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8670" yWindow="375" windowWidth="8820" windowHeight="11070" firstSheet="6" activeTab="15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45621" refMode="R1C1"/>
</workbook>
</file>

<file path=xl/calcChain.xml><?xml version="1.0" encoding="utf-8"?>
<calcChain xmlns="http://schemas.openxmlformats.org/spreadsheetml/2006/main">
  <c r="AE365" i="19" l="1"/>
  <c r="AC365" i="19"/>
  <c r="AB365" i="19"/>
  <c r="AA365" i="19"/>
  <c r="Z365" i="19"/>
  <c r="Y365" i="19"/>
  <c r="X365" i="19"/>
  <c r="W365" i="19"/>
  <c r="V365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AD365" i="19" s="1"/>
  <c r="AE364" i="19"/>
  <c r="AC364" i="19"/>
  <c r="AB364" i="19"/>
  <c r="AA364" i="19"/>
  <c r="Z364" i="19"/>
  <c r="Y364" i="19"/>
  <c r="X364" i="19"/>
  <c r="W364" i="19"/>
  <c r="V364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AE363" i="19"/>
  <c r="AC363" i="19"/>
  <c r="AB363" i="19"/>
  <c r="AA363" i="19"/>
  <c r="Z363" i="19"/>
  <c r="Y363" i="19"/>
  <c r="X363" i="19"/>
  <c r="W363" i="19"/>
  <c r="V363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AD363" i="19"/>
  <c r="AE362" i="19"/>
  <c r="AC362" i="19"/>
  <c r="AB362" i="19"/>
  <c r="AA362" i="19"/>
  <c r="Z362" i="19"/>
  <c r="Y362" i="19"/>
  <c r="X362" i="19"/>
  <c r="W362" i="19"/>
  <c r="V362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AD362" i="19"/>
  <c r="AE361" i="19"/>
  <c r="AC361" i="19"/>
  <c r="AB361" i="19"/>
  <c r="AA361" i="19"/>
  <c r="Z361" i="19"/>
  <c r="Y361" i="19"/>
  <c r="X361" i="19"/>
  <c r="W361" i="19"/>
  <c r="V361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AD361" i="19"/>
  <c r="AE360" i="19"/>
  <c r="AC360" i="19"/>
  <c r="AB360" i="19"/>
  <c r="AA360" i="19"/>
  <c r="Z360" i="19"/>
  <c r="Y360" i="19"/>
  <c r="X360" i="19"/>
  <c r="W360" i="19"/>
  <c r="V360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AD360" i="19"/>
  <c r="AE359" i="19"/>
  <c r="AC359" i="19"/>
  <c r="AB359" i="19"/>
  <c r="AA359" i="19"/>
  <c r="Z359" i="19"/>
  <c r="Y359" i="19"/>
  <c r="X359" i="19"/>
  <c r="W359" i="19"/>
  <c r="V359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AD359" i="19"/>
  <c r="AE358" i="19"/>
  <c r="AC358" i="19"/>
  <c r="AB358" i="19"/>
  <c r="AA358" i="19"/>
  <c r="Z358" i="19"/>
  <c r="Y358" i="19"/>
  <c r="X358" i="19"/>
  <c r="W358" i="19"/>
  <c r="V358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AD358" i="19"/>
  <c r="AE357" i="19"/>
  <c r="AC357" i="19"/>
  <c r="AB357" i="19"/>
  <c r="AA357" i="19"/>
  <c r="Z357" i="19"/>
  <c r="Y357" i="19"/>
  <c r="X357" i="19"/>
  <c r="W357" i="19"/>
  <c r="V357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AD357" i="19"/>
  <c r="AE356" i="19"/>
  <c r="AC356" i="19"/>
  <c r="AB356" i="19"/>
  <c r="AA356" i="19"/>
  <c r="Z356" i="19"/>
  <c r="Y356" i="19"/>
  <c r="X356" i="19"/>
  <c r="W356" i="19"/>
  <c r="V356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AD356" i="19"/>
  <c r="AE355" i="19"/>
  <c r="AC355" i="19"/>
  <c r="AB355" i="19"/>
  <c r="AA355" i="19"/>
  <c r="Z355" i="19"/>
  <c r="Y355" i="19"/>
  <c r="X355" i="19"/>
  <c r="W355" i="19"/>
  <c r="V355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AD355" i="19"/>
  <c r="AE354" i="19"/>
  <c r="AC354" i="19"/>
  <c r="AB354" i="19"/>
  <c r="AA354" i="19"/>
  <c r="Z354" i="19"/>
  <c r="Y354" i="19"/>
  <c r="X354" i="19"/>
  <c r="W354" i="19"/>
  <c r="V354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AE353" i="19"/>
  <c r="AC353" i="19"/>
  <c r="AB353" i="19"/>
  <c r="AA353" i="19"/>
  <c r="Z353" i="19"/>
  <c r="Y353" i="19"/>
  <c r="X353" i="19"/>
  <c r="W353" i="19"/>
  <c r="V353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AD353" i="19" s="1"/>
  <c r="AE352" i="19"/>
  <c r="AC352" i="19"/>
  <c r="AB352" i="19"/>
  <c r="AA352" i="19"/>
  <c r="Z352" i="19"/>
  <c r="Y352" i="19"/>
  <c r="X352" i="19"/>
  <c r="W352" i="19"/>
  <c r="V352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AD352" i="19" s="1"/>
  <c r="AE351" i="19"/>
  <c r="AC351" i="19"/>
  <c r="AB351" i="19"/>
  <c r="AA351" i="19"/>
  <c r="Z351" i="19"/>
  <c r="Y351" i="19"/>
  <c r="X351" i="19"/>
  <c r="W351" i="19"/>
  <c r="V351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AE350" i="19"/>
  <c r="AC350" i="19"/>
  <c r="AB350" i="19"/>
  <c r="AA350" i="19"/>
  <c r="Z350" i="19"/>
  <c r="Y350" i="19"/>
  <c r="X350" i="19"/>
  <c r="W350" i="19"/>
  <c r="V350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AD350" i="19"/>
  <c r="AE349" i="19"/>
  <c r="AC349" i="19"/>
  <c r="AB349" i="19"/>
  <c r="AA349" i="19"/>
  <c r="Z349" i="19"/>
  <c r="Y349" i="19"/>
  <c r="X349" i="19"/>
  <c r="W349" i="19"/>
  <c r="V349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AE348" i="19"/>
  <c r="AC348" i="19"/>
  <c r="AB348" i="19"/>
  <c r="AA348" i="19"/>
  <c r="Z348" i="19"/>
  <c r="Y348" i="19"/>
  <c r="X348" i="19"/>
  <c r="W348" i="19"/>
  <c r="V348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AD348" i="19" s="1"/>
  <c r="AE347" i="19"/>
  <c r="AC347" i="19"/>
  <c r="AB347" i="19"/>
  <c r="AA347" i="19"/>
  <c r="Z347" i="19"/>
  <c r="Y347" i="19"/>
  <c r="X347" i="19"/>
  <c r="W347" i="19"/>
  <c r="V347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AD347" i="19" s="1"/>
  <c r="AE346" i="19"/>
  <c r="AC346" i="19"/>
  <c r="AB346" i="19"/>
  <c r="AA346" i="19"/>
  <c r="Z346" i="19"/>
  <c r="Y346" i="19"/>
  <c r="X346" i="19"/>
  <c r="W346" i="19"/>
  <c r="V346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AD346" i="19" s="1"/>
  <c r="AE345" i="19"/>
  <c r="AC345" i="19"/>
  <c r="AB345" i="19"/>
  <c r="AA345" i="19"/>
  <c r="Z345" i="19"/>
  <c r="Y345" i="19"/>
  <c r="X345" i="19"/>
  <c r="W345" i="19"/>
  <c r="V345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AD345" i="19" s="1"/>
  <c r="AE344" i="19"/>
  <c r="AC344" i="19"/>
  <c r="AB344" i="19"/>
  <c r="AA344" i="19"/>
  <c r="Z344" i="19"/>
  <c r="Y344" i="19"/>
  <c r="X344" i="19"/>
  <c r="W344" i="19"/>
  <c r="V344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AD344" i="19" s="1"/>
  <c r="AE343" i="19"/>
  <c r="AC343" i="19"/>
  <c r="AB343" i="19"/>
  <c r="AA343" i="19"/>
  <c r="Z343" i="19"/>
  <c r="Y343" i="19"/>
  <c r="X343" i="19"/>
  <c r="W343" i="19"/>
  <c r="V343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AE342" i="19"/>
  <c r="AC342" i="19"/>
  <c r="AB342" i="19"/>
  <c r="AA342" i="19"/>
  <c r="Z342" i="19"/>
  <c r="Y342" i="19"/>
  <c r="X342" i="19"/>
  <c r="W342" i="19"/>
  <c r="V342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AD342" i="19"/>
  <c r="AE341" i="19"/>
  <c r="AC341" i="19"/>
  <c r="AB341" i="19"/>
  <c r="AA341" i="19"/>
  <c r="Z341" i="19"/>
  <c r="Y341" i="19"/>
  <c r="X341" i="19"/>
  <c r="W341" i="19"/>
  <c r="V341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AE340" i="19"/>
  <c r="AC340" i="19"/>
  <c r="AB340" i="19"/>
  <c r="AA340" i="19"/>
  <c r="Z340" i="19"/>
  <c r="Y340" i="19"/>
  <c r="X340" i="19"/>
  <c r="W340" i="19"/>
  <c r="V340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AD340" i="19" s="1"/>
  <c r="AE339" i="19"/>
  <c r="AC339" i="19"/>
  <c r="AB339" i="19"/>
  <c r="AA339" i="19"/>
  <c r="Z339" i="19"/>
  <c r="Y339" i="19"/>
  <c r="X339" i="19"/>
  <c r="W339" i="19"/>
  <c r="V339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AD339" i="19" s="1"/>
  <c r="AE338" i="19"/>
  <c r="AC338" i="19"/>
  <c r="AB338" i="19"/>
  <c r="AA338" i="19"/>
  <c r="Z338" i="19"/>
  <c r="Y338" i="19"/>
  <c r="X338" i="19"/>
  <c r="W338" i="19"/>
  <c r="V338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AD338" i="19" s="1"/>
  <c r="AE337" i="19"/>
  <c r="AC337" i="19"/>
  <c r="AB337" i="19"/>
  <c r="AA337" i="19"/>
  <c r="Z337" i="19"/>
  <c r="Y337" i="19"/>
  <c r="X337" i="19"/>
  <c r="W337" i="19"/>
  <c r="V337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AD337" i="19" s="1"/>
  <c r="AE336" i="19"/>
  <c r="AC336" i="19"/>
  <c r="AB336" i="19"/>
  <c r="AA336" i="19"/>
  <c r="Z336" i="19"/>
  <c r="Y336" i="19"/>
  <c r="X336" i="19"/>
  <c r="W336" i="19"/>
  <c r="V336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AD336" i="19" s="1"/>
  <c r="AE335" i="19"/>
  <c r="AC335" i="19"/>
  <c r="AB335" i="19"/>
  <c r="AA335" i="19"/>
  <c r="Z335" i="19"/>
  <c r="Y335" i="19"/>
  <c r="X335" i="19"/>
  <c r="W335" i="19"/>
  <c r="V335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AD335" i="19" s="1"/>
  <c r="AE334" i="19"/>
  <c r="AC334" i="19"/>
  <c r="AB334" i="19"/>
  <c r="AA334" i="19"/>
  <c r="Z334" i="19"/>
  <c r="Y334" i="19"/>
  <c r="X334" i="19"/>
  <c r="W334" i="19"/>
  <c r="V334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AD334" i="19" s="1"/>
  <c r="AE333" i="19"/>
  <c r="AC333" i="19"/>
  <c r="AB333" i="19"/>
  <c r="AA333" i="19"/>
  <c r="Z333" i="19"/>
  <c r="Y333" i="19"/>
  <c r="X333" i="19"/>
  <c r="W333" i="19"/>
  <c r="V333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AD333" i="19" s="1"/>
  <c r="AE332" i="19"/>
  <c r="AC332" i="19"/>
  <c r="AB332" i="19"/>
  <c r="AA332" i="19"/>
  <c r="Z332" i="19"/>
  <c r="Y332" i="19"/>
  <c r="X332" i="19"/>
  <c r="W332" i="19"/>
  <c r="V332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AD332" i="19" s="1"/>
  <c r="AE331" i="19"/>
  <c r="AC331" i="19"/>
  <c r="AB331" i="19"/>
  <c r="AA331" i="19"/>
  <c r="Z331" i="19"/>
  <c r="Y331" i="19"/>
  <c r="X331" i="19"/>
  <c r="W331" i="19"/>
  <c r="V331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AD331" i="19" s="1"/>
  <c r="AE330" i="19"/>
  <c r="AC330" i="19"/>
  <c r="AB330" i="19"/>
  <c r="AA330" i="19"/>
  <c r="Z330" i="19"/>
  <c r="Y330" i="19"/>
  <c r="X330" i="19"/>
  <c r="W330" i="19"/>
  <c r="V330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AD330" i="19" s="1"/>
  <c r="AE329" i="19"/>
  <c r="AC329" i="19"/>
  <c r="AB329" i="19"/>
  <c r="AA329" i="19"/>
  <c r="Z329" i="19"/>
  <c r="Y329" i="19"/>
  <c r="X329" i="19"/>
  <c r="W329" i="19"/>
  <c r="V329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AD329" i="19" s="1"/>
  <c r="AE328" i="19"/>
  <c r="AC328" i="19"/>
  <c r="AB328" i="19"/>
  <c r="AA328" i="19"/>
  <c r="Z328" i="19"/>
  <c r="Y328" i="19"/>
  <c r="X328" i="19"/>
  <c r="W328" i="19"/>
  <c r="V328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AD328" i="19" s="1"/>
  <c r="AE327" i="19"/>
  <c r="AC327" i="19"/>
  <c r="AB327" i="19"/>
  <c r="AA327" i="19"/>
  <c r="Z327" i="19"/>
  <c r="Y327" i="19"/>
  <c r="X327" i="19"/>
  <c r="W327" i="19"/>
  <c r="V327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AE326" i="19"/>
  <c r="AC326" i="19"/>
  <c r="AB326" i="19"/>
  <c r="AA326" i="19"/>
  <c r="Z326" i="19"/>
  <c r="Y326" i="19"/>
  <c r="X326" i="19"/>
  <c r="W326" i="19"/>
  <c r="V326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AD326" i="19"/>
  <c r="AE325" i="19"/>
  <c r="AC325" i="19"/>
  <c r="AB325" i="19"/>
  <c r="AA325" i="19"/>
  <c r="Z325" i="19"/>
  <c r="Y325" i="19"/>
  <c r="X325" i="19"/>
  <c r="W325" i="19"/>
  <c r="V325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AE324" i="19"/>
  <c r="AC324" i="19"/>
  <c r="AB324" i="19"/>
  <c r="AA324" i="19"/>
  <c r="Z324" i="19"/>
  <c r="Y324" i="19"/>
  <c r="X324" i="19"/>
  <c r="W324" i="19"/>
  <c r="V324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AD324" i="19" s="1"/>
  <c r="AE323" i="19"/>
  <c r="AC323" i="19"/>
  <c r="AB323" i="19"/>
  <c r="AA323" i="19"/>
  <c r="Z323" i="19"/>
  <c r="Y323" i="19"/>
  <c r="X323" i="19"/>
  <c r="W323" i="19"/>
  <c r="V323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AD323" i="19" s="1"/>
  <c r="AE322" i="19"/>
  <c r="AC322" i="19"/>
  <c r="AB322" i="19"/>
  <c r="AA322" i="19"/>
  <c r="Z322" i="19"/>
  <c r="Y322" i="19"/>
  <c r="X322" i="19"/>
  <c r="W322" i="19"/>
  <c r="V322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AD322" i="19" s="1"/>
  <c r="AE321" i="19"/>
  <c r="AC321" i="19"/>
  <c r="AB321" i="19"/>
  <c r="AA321" i="19"/>
  <c r="Z321" i="19"/>
  <c r="Y321" i="19"/>
  <c r="X321" i="19"/>
  <c r="W321" i="19"/>
  <c r="V321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AD321" i="19" s="1"/>
  <c r="AE320" i="19"/>
  <c r="AC320" i="19"/>
  <c r="AB320" i="19"/>
  <c r="AA320" i="19"/>
  <c r="Z320" i="19"/>
  <c r="Y320" i="19"/>
  <c r="X320" i="19"/>
  <c r="W320" i="19"/>
  <c r="V320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AD320" i="19" s="1"/>
  <c r="AE319" i="19"/>
  <c r="AC319" i="19"/>
  <c r="AB319" i="19"/>
  <c r="AA319" i="19"/>
  <c r="Z319" i="19"/>
  <c r="Y319" i="19"/>
  <c r="X319" i="19"/>
  <c r="W319" i="19"/>
  <c r="V319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AD319" i="19" s="1"/>
  <c r="AE318" i="19"/>
  <c r="AC318" i="19"/>
  <c r="AB318" i="19"/>
  <c r="AA318" i="19"/>
  <c r="Z318" i="19"/>
  <c r="Y318" i="19"/>
  <c r="X318" i="19"/>
  <c r="W318" i="19"/>
  <c r="V318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AD318" i="19" s="1"/>
  <c r="AE317" i="19"/>
  <c r="AC317" i="19"/>
  <c r="AB317" i="19"/>
  <c r="AA317" i="19"/>
  <c r="Z317" i="19"/>
  <c r="Y317" i="19"/>
  <c r="X317" i="19"/>
  <c r="W317" i="19"/>
  <c r="V317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AD317" i="19" s="1"/>
  <c r="AE316" i="19"/>
  <c r="AC316" i="19"/>
  <c r="AB316" i="19"/>
  <c r="AA316" i="19"/>
  <c r="Z316" i="19"/>
  <c r="Y316" i="19"/>
  <c r="X316" i="19"/>
  <c r="W316" i="19"/>
  <c r="V316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AE315" i="19"/>
  <c r="AC315" i="19"/>
  <c r="AB315" i="19"/>
  <c r="AA315" i="19"/>
  <c r="Z315" i="19"/>
  <c r="Y315" i="19"/>
  <c r="X315" i="19"/>
  <c r="W315" i="19"/>
  <c r="V315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AD315" i="19"/>
  <c r="AE314" i="19"/>
  <c r="AC314" i="19"/>
  <c r="AB314" i="19"/>
  <c r="AA314" i="19"/>
  <c r="Z314" i="19"/>
  <c r="Y314" i="19"/>
  <c r="X314" i="19"/>
  <c r="W314" i="19"/>
  <c r="V314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AD314" i="19"/>
  <c r="AE313" i="19"/>
  <c r="AC313" i="19"/>
  <c r="AB313" i="19"/>
  <c r="AA313" i="19"/>
  <c r="Z313" i="19"/>
  <c r="Y313" i="19"/>
  <c r="X313" i="19"/>
  <c r="W313" i="19"/>
  <c r="V313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AD313" i="19"/>
  <c r="AE312" i="19"/>
  <c r="AC312" i="19"/>
  <c r="AB312" i="19"/>
  <c r="AA312" i="19"/>
  <c r="Z312" i="19"/>
  <c r="Y312" i="19"/>
  <c r="X312" i="19"/>
  <c r="W312" i="19"/>
  <c r="V312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AD312" i="19"/>
  <c r="AE311" i="19"/>
  <c r="AC311" i="19"/>
  <c r="AB311" i="19"/>
  <c r="AA311" i="19"/>
  <c r="Z311" i="19"/>
  <c r="Y311" i="19"/>
  <c r="X311" i="19"/>
  <c r="W311" i="19"/>
  <c r="V311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AD311" i="19"/>
  <c r="AE310" i="19"/>
  <c r="AC310" i="19"/>
  <c r="AB310" i="19"/>
  <c r="AA310" i="19"/>
  <c r="Z310" i="19"/>
  <c r="Y310" i="19"/>
  <c r="X310" i="19"/>
  <c r="W310" i="19"/>
  <c r="V310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AD310" i="19"/>
  <c r="AE309" i="19"/>
  <c r="AC309" i="19"/>
  <c r="AB309" i="19"/>
  <c r="AA309" i="19"/>
  <c r="Z309" i="19"/>
  <c r="Y309" i="19"/>
  <c r="X309" i="19"/>
  <c r="W309" i="19"/>
  <c r="V309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AE308" i="19"/>
  <c r="AC308" i="19"/>
  <c r="AB308" i="19"/>
  <c r="AA308" i="19"/>
  <c r="Z308" i="19"/>
  <c r="Y308" i="19"/>
  <c r="X308" i="19"/>
  <c r="W308" i="19"/>
  <c r="V308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AD308" i="19" s="1"/>
  <c r="AE307" i="19"/>
  <c r="AC307" i="19"/>
  <c r="AB307" i="19"/>
  <c r="AA307" i="19"/>
  <c r="Z307" i="19"/>
  <c r="Y307" i="19"/>
  <c r="X307" i="19"/>
  <c r="W307" i="19"/>
  <c r="V307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AE306" i="19"/>
  <c r="AC306" i="19"/>
  <c r="AB306" i="19"/>
  <c r="AA306" i="19"/>
  <c r="Z306" i="19"/>
  <c r="Y306" i="19"/>
  <c r="X306" i="19"/>
  <c r="W306" i="19"/>
  <c r="V306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AD306" i="19"/>
  <c r="AE305" i="19"/>
  <c r="AC305" i="19"/>
  <c r="AB305" i="19"/>
  <c r="AA305" i="19"/>
  <c r="Z305" i="19"/>
  <c r="Y305" i="19"/>
  <c r="X305" i="19"/>
  <c r="W305" i="19"/>
  <c r="V305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AE304" i="19"/>
  <c r="AC304" i="19"/>
  <c r="AB304" i="19"/>
  <c r="AA304" i="19"/>
  <c r="Z304" i="19"/>
  <c r="Y304" i="19"/>
  <c r="X304" i="19"/>
  <c r="W304" i="19"/>
  <c r="V304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AD304" i="19" s="1"/>
  <c r="AE303" i="19"/>
  <c r="AC303" i="19"/>
  <c r="AB303" i="19"/>
  <c r="AA303" i="19"/>
  <c r="Z303" i="19"/>
  <c r="Y303" i="19"/>
  <c r="X303" i="19"/>
  <c r="W303" i="19"/>
  <c r="V303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AD303" i="19" s="1"/>
  <c r="AE302" i="19"/>
  <c r="AC302" i="19"/>
  <c r="AB302" i="19"/>
  <c r="AA302" i="19"/>
  <c r="Z302" i="19"/>
  <c r="Y302" i="19"/>
  <c r="X302" i="19"/>
  <c r="W302" i="19"/>
  <c r="V302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AD302" i="19" s="1"/>
  <c r="AE301" i="19"/>
  <c r="AC301" i="19"/>
  <c r="AB301" i="19"/>
  <c r="AA301" i="19"/>
  <c r="Z301" i="19"/>
  <c r="Y301" i="19"/>
  <c r="X301" i="19"/>
  <c r="W301" i="19"/>
  <c r="V301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AD301" i="19" s="1"/>
  <c r="AE300" i="19"/>
  <c r="AC300" i="19"/>
  <c r="AB300" i="19"/>
  <c r="AA300" i="19"/>
  <c r="Z300" i="19"/>
  <c r="Y300" i="19"/>
  <c r="X300" i="19"/>
  <c r="W300" i="19"/>
  <c r="V300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AD300" i="19" s="1"/>
  <c r="AE299" i="19"/>
  <c r="AC299" i="19"/>
  <c r="AB299" i="19"/>
  <c r="AA299" i="19"/>
  <c r="Z299" i="19"/>
  <c r="Y299" i="19"/>
  <c r="X299" i="19"/>
  <c r="W299" i="19"/>
  <c r="V299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AE298" i="19"/>
  <c r="AC298" i="19"/>
  <c r="AB298" i="19"/>
  <c r="AA298" i="19"/>
  <c r="Z298" i="19"/>
  <c r="Y298" i="19"/>
  <c r="X298" i="19"/>
  <c r="W298" i="19"/>
  <c r="V298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AD298" i="19"/>
  <c r="AE297" i="19"/>
  <c r="AC297" i="19"/>
  <c r="AB297" i="19"/>
  <c r="AA297" i="19"/>
  <c r="Z297" i="19"/>
  <c r="Y297" i="19"/>
  <c r="X297" i="19"/>
  <c r="W297" i="19"/>
  <c r="V297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AD297" i="19"/>
  <c r="AE296" i="19"/>
  <c r="AC296" i="19"/>
  <c r="AB296" i="19"/>
  <c r="AA296" i="19"/>
  <c r="Z296" i="19"/>
  <c r="Y296" i="19"/>
  <c r="X296" i="19"/>
  <c r="W296" i="19"/>
  <c r="V296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AD296" i="19"/>
  <c r="AE295" i="19"/>
  <c r="AC295" i="19"/>
  <c r="AB295" i="19"/>
  <c r="AA295" i="19"/>
  <c r="Z295" i="19"/>
  <c r="Y295" i="19"/>
  <c r="X295" i="19"/>
  <c r="W295" i="19"/>
  <c r="V295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AD295" i="19"/>
  <c r="AE294" i="19"/>
  <c r="AC294" i="19"/>
  <c r="AB294" i="19"/>
  <c r="AA294" i="19"/>
  <c r="Z294" i="19"/>
  <c r="Y294" i="19"/>
  <c r="X294" i="19"/>
  <c r="W294" i="19"/>
  <c r="V294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AD294" i="19"/>
  <c r="AE293" i="19"/>
  <c r="AC293" i="19"/>
  <c r="AB293" i="19"/>
  <c r="AA293" i="19"/>
  <c r="Z293" i="19"/>
  <c r="Y293" i="19"/>
  <c r="X293" i="19"/>
  <c r="W293" i="19"/>
  <c r="V293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AE292" i="19"/>
  <c r="AC292" i="19"/>
  <c r="AB292" i="19"/>
  <c r="AA292" i="19"/>
  <c r="Z292" i="19"/>
  <c r="Y292" i="19"/>
  <c r="X292" i="19"/>
  <c r="W292" i="19"/>
  <c r="V292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AD292" i="19" s="1"/>
  <c r="AE291" i="19"/>
  <c r="AC291" i="19"/>
  <c r="AB291" i="19"/>
  <c r="AA291" i="19"/>
  <c r="Z291" i="19"/>
  <c r="Y291" i="19"/>
  <c r="X291" i="19"/>
  <c r="W291" i="19"/>
  <c r="V291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AE290" i="19"/>
  <c r="AC290" i="19"/>
  <c r="AB290" i="19"/>
  <c r="AA290" i="19"/>
  <c r="Z290" i="19"/>
  <c r="Y290" i="19"/>
  <c r="X290" i="19"/>
  <c r="W290" i="19"/>
  <c r="V290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AD290" i="19"/>
  <c r="AE289" i="19"/>
  <c r="AC289" i="19"/>
  <c r="AB289" i="19"/>
  <c r="AA289" i="19"/>
  <c r="Z289" i="19"/>
  <c r="Y289" i="19"/>
  <c r="X289" i="19"/>
  <c r="W289" i="19"/>
  <c r="V289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AE288" i="19"/>
  <c r="AC288" i="19"/>
  <c r="AB288" i="19"/>
  <c r="AA288" i="19"/>
  <c r="Z288" i="19"/>
  <c r="Y288" i="19"/>
  <c r="X288" i="19"/>
  <c r="W288" i="19"/>
  <c r="V288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AD288" i="19" s="1"/>
  <c r="AE287" i="19"/>
  <c r="AC287" i="19"/>
  <c r="AB287" i="19"/>
  <c r="AA287" i="19"/>
  <c r="Z287" i="19"/>
  <c r="Y287" i="19"/>
  <c r="X287" i="19"/>
  <c r="W287" i="19"/>
  <c r="V287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AE286" i="19"/>
  <c r="AC286" i="19"/>
  <c r="AB286" i="19"/>
  <c r="AA286" i="19"/>
  <c r="Z286" i="19"/>
  <c r="Y286" i="19"/>
  <c r="X286" i="19"/>
  <c r="W286" i="19"/>
  <c r="V286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AD286" i="19"/>
  <c r="AE285" i="19"/>
  <c r="AC285" i="19"/>
  <c r="AB285" i="19"/>
  <c r="AA285" i="19"/>
  <c r="Z285" i="19"/>
  <c r="Y285" i="19"/>
  <c r="X285" i="19"/>
  <c r="W285" i="19"/>
  <c r="V285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AD285" i="19"/>
  <c r="AE284" i="19"/>
  <c r="AC284" i="19"/>
  <c r="AB284" i="19"/>
  <c r="AA284" i="19"/>
  <c r="Z284" i="19"/>
  <c r="Y284" i="19"/>
  <c r="X284" i="19"/>
  <c r="W284" i="19"/>
  <c r="V284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AD284" i="19"/>
  <c r="AE283" i="19"/>
  <c r="AC283" i="19"/>
  <c r="AB283" i="19"/>
  <c r="AA283" i="19"/>
  <c r="Z283" i="19"/>
  <c r="Y283" i="19"/>
  <c r="X283" i="19"/>
  <c r="W283" i="19"/>
  <c r="V283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AD283" i="19"/>
  <c r="AE282" i="19"/>
  <c r="AC282" i="19"/>
  <c r="AB282" i="19"/>
  <c r="AA282" i="19"/>
  <c r="Z282" i="19"/>
  <c r="Y282" i="19"/>
  <c r="X282" i="19"/>
  <c r="W282" i="19"/>
  <c r="V282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AE281" i="19"/>
  <c r="AC281" i="19"/>
  <c r="AB281" i="19"/>
  <c r="AA281" i="19"/>
  <c r="Z281" i="19"/>
  <c r="Y281" i="19"/>
  <c r="X281" i="19"/>
  <c r="W281" i="19"/>
  <c r="V281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AD281" i="19" s="1"/>
  <c r="AE280" i="19"/>
  <c r="AC280" i="19"/>
  <c r="AB280" i="19"/>
  <c r="AA280" i="19"/>
  <c r="Z280" i="19"/>
  <c r="Y280" i="19"/>
  <c r="X280" i="19"/>
  <c r="W280" i="19"/>
  <c r="V280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AE279" i="19"/>
  <c r="AC279" i="19"/>
  <c r="AB279" i="19"/>
  <c r="AA279" i="19"/>
  <c r="Z279" i="19"/>
  <c r="Y279" i="19"/>
  <c r="X279" i="19"/>
  <c r="W279" i="19"/>
  <c r="V279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AD279" i="19"/>
  <c r="AE278" i="19"/>
  <c r="AC278" i="19"/>
  <c r="AB278" i="19"/>
  <c r="AA278" i="19"/>
  <c r="Z278" i="19"/>
  <c r="Y278" i="19"/>
  <c r="X278" i="19"/>
  <c r="W278" i="19"/>
  <c r="V278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AD278" i="19"/>
  <c r="AE277" i="19"/>
  <c r="AC277" i="19"/>
  <c r="AB277" i="19"/>
  <c r="AA277" i="19"/>
  <c r="Z277" i="19"/>
  <c r="Y277" i="19"/>
  <c r="X277" i="19"/>
  <c r="W277" i="19"/>
  <c r="V277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AD277" i="19"/>
  <c r="AE276" i="19"/>
  <c r="AC276" i="19"/>
  <c r="AB276" i="19"/>
  <c r="AA276" i="19"/>
  <c r="Z276" i="19"/>
  <c r="Y276" i="19"/>
  <c r="X276" i="19"/>
  <c r="W276" i="19"/>
  <c r="V276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AD276" i="19"/>
  <c r="AE275" i="19"/>
  <c r="AC275" i="19"/>
  <c r="AB275" i="19"/>
  <c r="AA275" i="19"/>
  <c r="Z275" i="19"/>
  <c r="Y275" i="19"/>
  <c r="X275" i="19"/>
  <c r="W275" i="19"/>
  <c r="V275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AD275" i="19"/>
  <c r="AE274" i="19"/>
  <c r="AC274" i="19"/>
  <c r="AB274" i="19"/>
  <c r="AA274" i="19"/>
  <c r="Z274" i="19"/>
  <c r="Y274" i="19"/>
  <c r="X274" i="19"/>
  <c r="W274" i="19"/>
  <c r="V274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AE273" i="19"/>
  <c r="AC273" i="19"/>
  <c r="AB273" i="19"/>
  <c r="AA273" i="19"/>
  <c r="Z273" i="19"/>
  <c r="Y273" i="19"/>
  <c r="X273" i="19"/>
  <c r="W273" i="19"/>
  <c r="V273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AD273" i="19" s="1"/>
  <c r="AE272" i="19"/>
  <c r="AC272" i="19"/>
  <c r="AB272" i="19"/>
  <c r="AA272" i="19"/>
  <c r="Z272" i="19"/>
  <c r="Y272" i="19"/>
  <c r="X272" i="19"/>
  <c r="W272" i="19"/>
  <c r="V272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AE271" i="19"/>
  <c r="AC271" i="19"/>
  <c r="AB271" i="19"/>
  <c r="AA271" i="19"/>
  <c r="Z271" i="19"/>
  <c r="Y271" i="19"/>
  <c r="X271" i="19"/>
  <c r="W271" i="19"/>
  <c r="V271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AD271" i="19"/>
  <c r="AE270" i="19"/>
  <c r="AC270" i="19"/>
  <c r="AB270" i="19"/>
  <c r="AA270" i="19"/>
  <c r="Z270" i="19"/>
  <c r="Y270" i="19"/>
  <c r="X270" i="19"/>
  <c r="W270" i="19"/>
  <c r="V270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AD270" i="19"/>
  <c r="AE269" i="19"/>
  <c r="AC269" i="19"/>
  <c r="AB269" i="19"/>
  <c r="AA269" i="19"/>
  <c r="Z269" i="19"/>
  <c r="Y269" i="19"/>
  <c r="X269" i="19"/>
  <c r="W269" i="19"/>
  <c r="V269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AD269" i="19"/>
  <c r="AE268" i="19"/>
  <c r="AC268" i="19"/>
  <c r="AB268" i="19"/>
  <c r="AA268" i="19"/>
  <c r="Z268" i="19"/>
  <c r="Y268" i="19"/>
  <c r="X268" i="19"/>
  <c r="W268" i="19"/>
  <c r="V268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AD268" i="19"/>
  <c r="AE267" i="19"/>
  <c r="AC267" i="19"/>
  <c r="AB267" i="19"/>
  <c r="AA267" i="19"/>
  <c r="Z267" i="19"/>
  <c r="Y267" i="19"/>
  <c r="X267" i="19"/>
  <c r="W267" i="19"/>
  <c r="V267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AD267" i="19"/>
  <c r="AE266" i="19"/>
  <c r="AC266" i="19"/>
  <c r="AB266" i="19"/>
  <c r="AA266" i="19"/>
  <c r="Z266" i="19"/>
  <c r="Y266" i="19"/>
  <c r="X266" i="19"/>
  <c r="W266" i="19"/>
  <c r="V266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AD266" i="19"/>
  <c r="AE265" i="19"/>
  <c r="AC265" i="19"/>
  <c r="AB265" i="19"/>
  <c r="AA265" i="19"/>
  <c r="Z265" i="19"/>
  <c r="Y265" i="19"/>
  <c r="X265" i="19"/>
  <c r="W265" i="19"/>
  <c r="V265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AD265" i="19"/>
  <c r="AE264" i="19"/>
  <c r="AC264" i="19"/>
  <c r="AB264" i="19"/>
  <c r="AA264" i="19"/>
  <c r="Z264" i="19"/>
  <c r="Y264" i="19"/>
  <c r="X264" i="19"/>
  <c r="W264" i="19"/>
  <c r="V264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AD264" i="19"/>
  <c r="AE263" i="19"/>
  <c r="AC263" i="19"/>
  <c r="AB263" i="19"/>
  <c r="AA263" i="19"/>
  <c r="Z263" i="19"/>
  <c r="Y263" i="19"/>
  <c r="X263" i="19"/>
  <c r="W263" i="19"/>
  <c r="V263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AD263" i="19"/>
  <c r="AE262" i="19"/>
  <c r="AC262" i="19"/>
  <c r="AB262" i="19"/>
  <c r="AA262" i="19"/>
  <c r="Z262" i="19"/>
  <c r="Y262" i="19"/>
  <c r="X262" i="19"/>
  <c r="W262" i="19"/>
  <c r="V262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AD262" i="19"/>
  <c r="AE261" i="19"/>
  <c r="AC261" i="19"/>
  <c r="AB261" i="19"/>
  <c r="AA261" i="19"/>
  <c r="Z261" i="19"/>
  <c r="Y261" i="19"/>
  <c r="X261" i="19"/>
  <c r="W261" i="19"/>
  <c r="V261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AD261" i="19"/>
  <c r="AE260" i="19"/>
  <c r="AC260" i="19"/>
  <c r="AB260" i="19"/>
  <c r="AA260" i="19"/>
  <c r="Z260" i="19"/>
  <c r="Y260" i="19"/>
  <c r="X260" i="19"/>
  <c r="W260" i="19"/>
  <c r="V260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AD260" i="19"/>
  <c r="AE259" i="19"/>
  <c r="AC259" i="19"/>
  <c r="AB259" i="19"/>
  <c r="AA259" i="19"/>
  <c r="Z259" i="19"/>
  <c r="Y259" i="19"/>
  <c r="X259" i="19"/>
  <c r="W259" i="19"/>
  <c r="V259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AE258" i="19"/>
  <c r="AC258" i="19"/>
  <c r="AB258" i="19"/>
  <c r="AA258" i="19"/>
  <c r="Z258" i="19"/>
  <c r="Y258" i="19"/>
  <c r="X258" i="19"/>
  <c r="W258" i="19"/>
  <c r="V258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AD258" i="19" s="1"/>
  <c r="AE257" i="19"/>
  <c r="AC257" i="19"/>
  <c r="AB257" i="19"/>
  <c r="AA257" i="19"/>
  <c r="Z257" i="19"/>
  <c r="Y257" i="19"/>
  <c r="X257" i="19"/>
  <c r="W257" i="19"/>
  <c r="V257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AD257" i="19" s="1"/>
  <c r="AE256" i="19"/>
  <c r="AC256" i="19"/>
  <c r="AB256" i="19"/>
  <c r="AA256" i="19"/>
  <c r="Z256" i="19"/>
  <c r="Y256" i="19"/>
  <c r="X256" i="19"/>
  <c r="W256" i="19"/>
  <c r="V256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AD256" i="19" s="1"/>
  <c r="AE255" i="19"/>
  <c r="AC255" i="19"/>
  <c r="AB255" i="19"/>
  <c r="AA255" i="19"/>
  <c r="Z255" i="19"/>
  <c r="Y255" i="19"/>
  <c r="X255" i="19"/>
  <c r="W255" i="19"/>
  <c r="V255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AE254" i="19"/>
  <c r="AC254" i="19"/>
  <c r="AB254" i="19"/>
  <c r="AA254" i="19"/>
  <c r="Z254" i="19"/>
  <c r="Y254" i="19"/>
  <c r="X254" i="19"/>
  <c r="W254" i="19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AD254" i="19"/>
  <c r="AE253" i="19"/>
  <c r="AC253" i="19"/>
  <c r="AB253" i="19"/>
  <c r="AA253" i="19"/>
  <c r="Z253" i="19"/>
  <c r="Y253" i="19"/>
  <c r="X253" i="19"/>
  <c r="W253" i="19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AE252" i="19"/>
  <c r="AC252" i="19"/>
  <c r="AB252" i="19"/>
  <c r="AA252" i="19"/>
  <c r="Z252" i="19"/>
  <c r="Y252" i="19"/>
  <c r="X252" i="19"/>
  <c r="W252" i="19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AD252" i="19" s="1"/>
  <c r="AE251" i="19"/>
  <c r="AC251" i="19"/>
  <c r="AB251" i="19"/>
  <c r="AA251" i="19"/>
  <c r="Z251" i="19"/>
  <c r="Y251" i="19"/>
  <c r="X251" i="19"/>
  <c r="W251" i="19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AD251" i="19" s="1"/>
  <c r="AE250" i="19"/>
  <c r="AC250" i="19"/>
  <c r="AB250" i="19"/>
  <c r="AA250" i="19"/>
  <c r="Z250" i="19"/>
  <c r="Y250" i="19"/>
  <c r="X250" i="19"/>
  <c r="W250" i="19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AD250" i="19" s="1"/>
  <c r="AE249" i="19"/>
  <c r="AC249" i="19"/>
  <c r="AB249" i="19"/>
  <c r="AA249" i="19"/>
  <c r="Z249" i="19"/>
  <c r="Y249" i="19"/>
  <c r="X249" i="19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AD249" i="19" s="1"/>
  <c r="AE248" i="19"/>
  <c r="AC248" i="19"/>
  <c r="AB248" i="19"/>
  <c r="AA248" i="19"/>
  <c r="Z248" i="19"/>
  <c r="Y248" i="19"/>
  <c r="X248" i="19"/>
  <c r="W248" i="19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AD248" i="19" s="1"/>
  <c r="AE247" i="19"/>
  <c r="AC247" i="19"/>
  <c r="AB247" i="19"/>
  <c r="AA247" i="19"/>
  <c r="Z247" i="19"/>
  <c r="Y247" i="19"/>
  <c r="X247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AD247" i="19" s="1"/>
  <c r="AE246" i="19"/>
  <c r="AC246" i="19"/>
  <c r="AB246" i="19"/>
  <c r="AA246" i="19"/>
  <c r="Z246" i="19"/>
  <c r="Y246" i="19"/>
  <c r="X246" i="19"/>
  <c r="W246" i="19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AD246" i="19" s="1"/>
  <c r="AE245" i="19"/>
  <c r="AC245" i="19"/>
  <c r="AB245" i="19"/>
  <c r="AA245" i="19"/>
  <c r="Z245" i="19"/>
  <c r="Y245" i="19"/>
  <c r="X245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AE244" i="19"/>
  <c r="AC244" i="19"/>
  <c r="AB24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AD244" i="19"/>
  <c r="AE243" i="19"/>
  <c r="AC243" i="19"/>
  <c r="AB243" i="19"/>
  <c r="AA243" i="19"/>
  <c r="Z243" i="19"/>
  <c r="Y243" i="19"/>
  <c r="X243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AE242" i="19"/>
  <c r="AC242" i="19"/>
  <c r="AB242" i="19"/>
  <c r="AA242" i="19"/>
  <c r="Z242" i="19"/>
  <c r="Y242" i="19"/>
  <c r="X242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AD242" i="19" s="1"/>
  <c r="AE241" i="19"/>
  <c r="AC241" i="19"/>
  <c r="AB241" i="19"/>
  <c r="AA241" i="19"/>
  <c r="Z241" i="19"/>
  <c r="Y241" i="19"/>
  <c r="X241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AD241" i="19" s="1"/>
  <c r="AE240" i="19"/>
  <c r="AC240" i="19"/>
  <c r="AB240" i="19"/>
  <c r="AA240" i="19"/>
  <c r="Z240" i="19"/>
  <c r="Y240" i="19"/>
  <c r="X240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AD240" i="19" s="1"/>
  <c r="AE239" i="19"/>
  <c r="AC239" i="19"/>
  <c r="AB239" i="19"/>
  <c r="AA239" i="19"/>
  <c r="Z239" i="19"/>
  <c r="Y239" i="19"/>
  <c r="X239" i="19"/>
  <c r="W239" i="19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AE238" i="19"/>
  <c r="AC238" i="19"/>
  <c r="AB238" i="19"/>
  <c r="AA238" i="19"/>
  <c r="Z238" i="19"/>
  <c r="Y238" i="19"/>
  <c r="X238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AD238" i="19"/>
  <c r="AE237" i="19"/>
  <c r="AC237" i="19"/>
  <c r="AB237" i="19"/>
  <c r="AA237" i="19"/>
  <c r="Z237" i="19"/>
  <c r="Y237" i="19"/>
  <c r="X237" i="19"/>
  <c r="W237" i="19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AD237" i="19"/>
  <c r="AE236" i="19"/>
  <c r="AC236" i="19"/>
  <c r="AB236" i="19"/>
  <c r="AA236" i="19"/>
  <c r="Z236" i="19"/>
  <c r="Y236" i="19"/>
  <c r="X236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AD236" i="19"/>
  <c r="AE235" i="19"/>
  <c r="AC235" i="19"/>
  <c r="AB235" i="19"/>
  <c r="AA235" i="19"/>
  <c r="Z235" i="19"/>
  <c r="Y235" i="19"/>
  <c r="X235" i="19"/>
  <c r="W235" i="19"/>
  <c r="V235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AD235" i="19"/>
  <c r="AE234" i="19"/>
  <c r="AC234" i="19"/>
  <c r="AB234" i="19"/>
  <c r="AA234" i="19"/>
  <c r="Z234" i="19"/>
  <c r="Y234" i="19"/>
  <c r="X234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AD234" i="19"/>
  <c r="AE233" i="19"/>
  <c r="AC233" i="19"/>
  <c r="AB233" i="19"/>
  <c r="AA233" i="19"/>
  <c r="Z233" i="19"/>
  <c r="Y233" i="19"/>
  <c r="X233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AD233" i="19"/>
  <c r="AE232" i="19"/>
  <c r="AC232" i="19"/>
  <c r="AB232" i="19"/>
  <c r="AA232" i="19"/>
  <c r="Z232" i="19"/>
  <c r="Y232" i="19"/>
  <c r="X232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AD232" i="19"/>
  <c r="AE231" i="19"/>
  <c r="AC231" i="19"/>
  <c r="AB231" i="19"/>
  <c r="AA231" i="19"/>
  <c r="Z231" i="19"/>
  <c r="Y231" i="19"/>
  <c r="X231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AD231" i="19"/>
  <c r="AE230" i="19"/>
  <c r="AC230" i="19"/>
  <c r="AB230" i="19"/>
  <c r="AA230" i="19"/>
  <c r="Z230" i="19"/>
  <c r="Y230" i="19"/>
  <c r="X230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AD230" i="19"/>
  <c r="AE229" i="19"/>
  <c r="AC229" i="19"/>
  <c r="AB229" i="19"/>
  <c r="AA229" i="19"/>
  <c r="Z229" i="19"/>
  <c r="Y229" i="19"/>
  <c r="X229" i="19"/>
  <c r="W229" i="19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AD229" i="19"/>
  <c r="AE228" i="19"/>
  <c r="AC228" i="19"/>
  <c r="AB228" i="19"/>
  <c r="AA228" i="19"/>
  <c r="Z228" i="19"/>
  <c r="Y228" i="19"/>
  <c r="X228" i="19"/>
  <c r="W228" i="19"/>
  <c r="V228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AD228" i="19"/>
  <c r="AE227" i="19"/>
  <c r="AC227" i="19"/>
  <c r="AB227" i="19"/>
  <c r="AA227" i="19"/>
  <c r="Z227" i="19"/>
  <c r="Y227" i="19"/>
  <c r="X227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AD227" i="19"/>
  <c r="AE226" i="19"/>
  <c r="AC226" i="19"/>
  <c r="AB226" i="19"/>
  <c r="AA226" i="19"/>
  <c r="Z226" i="19"/>
  <c r="Y226" i="19"/>
  <c r="X226" i="19"/>
  <c r="W226" i="19"/>
  <c r="V226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AD226" i="19"/>
  <c r="AE225" i="19"/>
  <c r="AC225" i="19"/>
  <c r="AB225" i="19"/>
  <c r="AA225" i="19"/>
  <c r="Z225" i="19"/>
  <c r="Y225" i="19"/>
  <c r="X225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AD225" i="19"/>
  <c r="AE224" i="19"/>
  <c r="AC224" i="19"/>
  <c r="AB224" i="19"/>
  <c r="AA224" i="19"/>
  <c r="Z224" i="19"/>
  <c r="Y224" i="19"/>
  <c r="X224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AD224" i="19"/>
  <c r="AE223" i="19"/>
  <c r="AC223" i="19"/>
  <c r="AB223" i="19"/>
  <c r="AA223" i="19"/>
  <c r="Z223" i="19"/>
  <c r="Y223" i="19"/>
  <c r="X223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AD223" i="19"/>
  <c r="AE222" i="19"/>
  <c r="AC222" i="19"/>
  <c r="AB222" i="19"/>
  <c r="AA222" i="19"/>
  <c r="Z222" i="19"/>
  <c r="Y222" i="19"/>
  <c r="X222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AD222" i="19"/>
  <c r="AE221" i="19"/>
  <c r="AC221" i="19"/>
  <c r="AB221" i="19"/>
  <c r="AA221" i="19"/>
  <c r="Z221" i="19"/>
  <c r="Y221" i="19"/>
  <c r="X221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AE220" i="19"/>
  <c r="AC220" i="19"/>
  <c r="AB220" i="19"/>
  <c r="AA220" i="19"/>
  <c r="Z220" i="19"/>
  <c r="Y220" i="19"/>
  <c r="X220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AD220" i="19" s="1"/>
  <c r="AE219" i="19"/>
  <c r="AC219" i="19"/>
  <c r="AB219" i="19"/>
  <c r="AA219" i="19"/>
  <c r="Z219" i="19"/>
  <c r="Y219" i="19"/>
  <c r="X219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AE218" i="19"/>
  <c r="AC218" i="19"/>
  <c r="AB218" i="19"/>
  <c r="AA218" i="19"/>
  <c r="Z218" i="19"/>
  <c r="Y218" i="19"/>
  <c r="X218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AD218" i="19"/>
  <c r="AE217" i="19"/>
  <c r="AC217" i="19"/>
  <c r="AB217" i="19"/>
  <c r="AA217" i="19"/>
  <c r="Z217" i="19"/>
  <c r="Y217" i="19"/>
  <c r="X217" i="19"/>
  <c r="W217" i="19"/>
  <c r="V217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AD217" i="19"/>
  <c r="AE216" i="19"/>
  <c r="AC216" i="19"/>
  <c r="AB216" i="19"/>
  <c r="AA216" i="19"/>
  <c r="Z216" i="19"/>
  <c r="Y216" i="19"/>
  <c r="X216" i="19"/>
  <c r="W216" i="19"/>
  <c r="V216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AD216" i="19"/>
  <c r="AE215" i="19"/>
  <c r="AC215" i="19"/>
  <c r="AB215" i="19"/>
  <c r="AA215" i="19"/>
  <c r="Z215" i="19"/>
  <c r="Y215" i="19"/>
  <c r="X215" i="19"/>
  <c r="W215" i="19"/>
  <c r="V215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AD215" i="19"/>
  <c r="AE214" i="19"/>
  <c r="AC214" i="19"/>
  <c r="AB214" i="19"/>
  <c r="AA214" i="19"/>
  <c r="Z214" i="19"/>
  <c r="Y214" i="19"/>
  <c r="X214" i="19"/>
  <c r="W214" i="19"/>
  <c r="V214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AD214" i="19"/>
  <c r="AE213" i="19"/>
  <c r="AC213" i="19"/>
  <c r="AB213" i="19"/>
  <c r="AA213" i="19"/>
  <c r="Z213" i="19"/>
  <c r="Y213" i="19"/>
  <c r="X213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AE212" i="19"/>
  <c r="AC212" i="19"/>
  <c r="AB212" i="19"/>
  <c r="AA212" i="19"/>
  <c r="Z212" i="19"/>
  <c r="Y212" i="19"/>
  <c r="X212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AD212" i="19" s="1"/>
  <c r="AE211" i="19"/>
  <c r="AC211" i="19"/>
  <c r="AB211" i="19"/>
  <c r="AA211" i="19"/>
  <c r="Z211" i="19"/>
  <c r="Y211" i="19"/>
  <c r="X211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AD211" i="19" s="1"/>
  <c r="AE210" i="19"/>
  <c r="AC210" i="19"/>
  <c r="AB210" i="19"/>
  <c r="AA210" i="19"/>
  <c r="Z210" i="19"/>
  <c r="Y210" i="19"/>
  <c r="X210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AD210" i="19" s="1"/>
  <c r="AE209" i="19"/>
  <c r="AC209" i="19"/>
  <c r="AB209" i="19"/>
  <c r="AA209" i="19"/>
  <c r="Z209" i="19"/>
  <c r="Y209" i="19"/>
  <c r="X209" i="19"/>
  <c r="W209" i="19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AD209" i="19" s="1"/>
  <c r="AE208" i="19"/>
  <c r="AC208" i="19"/>
  <c r="AB208" i="19"/>
  <c r="AA208" i="19"/>
  <c r="Z208" i="19"/>
  <c r="Y208" i="19"/>
  <c r="X208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AD208" i="19" s="1"/>
  <c r="AE207" i="19"/>
  <c r="AC207" i="19"/>
  <c r="AB207" i="19"/>
  <c r="AA207" i="19"/>
  <c r="Z207" i="19"/>
  <c r="Y207" i="19"/>
  <c r="X207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AD207" i="19" s="1"/>
  <c r="AE206" i="19"/>
  <c r="AC206" i="19"/>
  <c r="AB206" i="19"/>
  <c r="AA206" i="19"/>
  <c r="Z206" i="19"/>
  <c r="Y206" i="19"/>
  <c r="X206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AD206" i="19" s="1"/>
  <c r="AE205" i="19"/>
  <c r="AC205" i="19"/>
  <c r="AB205" i="19"/>
  <c r="AA205" i="19"/>
  <c r="Z205" i="19"/>
  <c r="Y205" i="19"/>
  <c r="X205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AD205" i="19" s="1"/>
  <c r="AE204" i="19"/>
  <c r="AC204" i="19"/>
  <c r="AB204" i="19"/>
  <c r="AA204" i="19"/>
  <c r="Z204" i="19"/>
  <c r="Y204" i="19"/>
  <c r="X204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AD204" i="19" s="1"/>
  <c r="AE203" i="19"/>
  <c r="AC203" i="19"/>
  <c r="AB203" i="19"/>
  <c r="AA203" i="19"/>
  <c r="Z203" i="19"/>
  <c r="Y203" i="19"/>
  <c r="X203" i="19"/>
  <c r="W203" i="19"/>
  <c r="V203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AD203" i="19" s="1"/>
  <c r="AE202" i="19"/>
  <c r="AC202" i="19"/>
  <c r="AB202" i="19"/>
  <c r="AA202" i="19"/>
  <c r="Z202" i="19"/>
  <c r="Y202" i="19"/>
  <c r="X202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AD202" i="19" s="1"/>
  <c r="AE201" i="19"/>
  <c r="AC201" i="19"/>
  <c r="AB201" i="19"/>
  <c r="AA201" i="19"/>
  <c r="Z201" i="19"/>
  <c r="Y201" i="19"/>
  <c r="X201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AE200" i="19"/>
  <c r="AC200" i="19"/>
  <c r="AB200" i="19"/>
  <c r="AA200" i="19"/>
  <c r="Z200" i="19"/>
  <c r="Y200" i="19"/>
  <c r="X200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AD200" i="19"/>
  <c r="AE199" i="19"/>
  <c r="AC199" i="19"/>
  <c r="AB199" i="19"/>
  <c r="AA199" i="19"/>
  <c r="Z199" i="19"/>
  <c r="Y199" i="19"/>
  <c r="X199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AD199" i="19"/>
  <c r="AE198" i="19"/>
  <c r="AC198" i="19"/>
  <c r="AB198" i="19"/>
  <c r="AA198" i="19"/>
  <c r="Z198" i="19"/>
  <c r="Y198" i="19"/>
  <c r="X198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AD198" i="19"/>
  <c r="AE197" i="19"/>
  <c r="AC197" i="19"/>
  <c r="AB197" i="19"/>
  <c r="AA197" i="19"/>
  <c r="Z197" i="19"/>
  <c r="Y197" i="19"/>
  <c r="X197" i="19"/>
  <c r="W197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AD197" i="19"/>
  <c r="AE196" i="19"/>
  <c r="AC196" i="19"/>
  <c r="AB196" i="19"/>
  <c r="AA196" i="19"/>
  <c r="Z196" i="19"/>
  <c r="Y196" i="19"/>
  <c r="X196" i="19"/>
  <c r="W196" i="19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AD196" i="19"/>
  <c r="AE195" i="19"/>
  <c r="AC195" i="19"/>
  <c r="AB195" i="19"/>
  <c r="AA195" i="19"/>
  <c r="Z195" i="19"/>
  <c r="Y195" i="19"/>
  <c r="X195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AD195" i="19"/>
  <c r="AE194" i="19"/>
  <c r="AC194" i="19"/>
  <c r="AB194" i="19"/>
  <c r="AA194" i="19"/>
  <c r="Z194" i="19"/>
  <c r="Y194" i="19"/>
  <c r="X194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AD194" i="19"/>
  <c r="AE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AD193" i="19"/>
  <c r="AE192" i="19"/>
  <c r="AC192" i="19"/>
  <c r="AB192" i="19"/>
  <c r="AA192" i="19"/>
  <c r="Z192" i="19"/>
  <c r="Y192" i="19"/>
  <c r="X192" i="19"/>
  <c r="W192" i="19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AD192" i="19"/>
  <c r="AE191" i="19"/>
  <c r="AC191" i="19"/>
  <c r="AB191" i="19"/>
  <c r="AA191" i="19"/>
  <c r="Z191" i="19"/>
  <c r="Y191" i="19"/>
  <c r="X191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AE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AD190" i="19" s="1"/>
  <c r="AE189" i="19"/>
  <c r="AC189" i="19"/>
  <c r="AB189" i="19"/>
  <c r="AA189" i="19"/>
  <c r="Z189" i="19"/>
  <c r="Y189" i="19"/>
  <c r="X189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AE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AD188" i="19"/>
  <c r="AE187" i="19"/>
  <c r="AC187" i="19"/>
  <c r="AB187" i="19"/>
  <c r="AA187" i="19"/>
  <c r="Z187" i="19"/>
  <c r="Y187" i="19"/>
  <c r="X187" i="19"/>
  <c r="W187" i="19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AD187" i="19"/>
  <c r="AE186" i="19"/>
  <c r="AC186" i="19"/>
  <c r="AB186" i="19"/>
  <c r="AA186" i="19"/>
  <c r="Z186" i="19"/>
  <c r="Y186" i="19"/>
  <c r="X186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AD186" i="19"/>
  <c r="AE185" i="19"/>
  <c r="AC185" i="19"/>
  <c r="AB185" i="19"/>
  <c r="AA185" i="19"/>
  <c r="Z185" i="19"/>
  <c r="Y185" i="19"/>
  <c r="X185" i="19"/>
  <c r="W185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AD185" i="19"/>
  <c r="AE184" i="19"/>
  <c r="AC184" i="19"/>
  <c r="AB184" i="19"/>
  <c r="AA184" i="19"/>
  <c r="Z184" i="19"/>
  <c r="Y184" i="19"/>
  <c r="X184" i="19"/>
  <c r="W184" i="19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AD184" i="19"/>
  <c r="AE183" i="19"/>
  <c r="AC183" i="19"/>
  <c r="AB183" i="19"/>
  <c r="AA183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AE182" i="19"/>
  <c r="AC182" i="19"/>
  <c r="AB182" i="19"/>
  <c r="AA182" i="19"/>
  <c r="Z182" i="19"/>
  <c r="Y182" i="19"/>
  <c r="X182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AD182" i="19" s="1"/>
  <c r="AE181" i="19"/>
  <c r="AC181" i="19"/>
  <c r="AB181" i="19"/>
  <c r="AA181" i="19"/>
  <c r="Z181" i="19"/>
  <c r="Y181" i="19"/>
  <c r="X181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AD181" i="19" s="1"/>
  <c r="AE180" i="19"/>
  <c r="AC180" i="19"/>
  <c r="AB180" i="19"/>
  <c r="AA180" i="19"/>
  <c r="Z180" i="19"/>
  <c r="Y180" i="19"/>
  <c r="X180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AD180" i="19" s="1"/>
  <c r="AE179" i="19"/>
  <c r="AC179" i="19"/>
  <c r="AB179" i="19"/>
  <c r="AA179" i="19"/>
  <c r="Z179" i="19"/>
  <c r="Y179" i="19"/>
  <c r="X179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AE178" i="19"/>
  <c r="AC178" i="19"/>
  <c r="AB178" i="19"/>
  <c r="AA178" i="19"/>
  <c r="Z178" i="19"/>
  <c r="Y178" i="19"/>
  <c r="X178" i="19"/>
  <c r="W178" i="19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AD178" i="19"/>
  <c r="AE177" i="19"/>
  <c r="AC177" i="19"/>
  <c r="AB177" i="19"/>
  <c r="AA177" i="19"/>
  <c r="Z177" i="19"/>
  <c r="Y177" i="19"/>
  <c r="X177" i="19"/>
  <c r="W177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AD177" i="19"/>
  <c r="AE176" i="19"/>
  <c r="AC176" i="19"/>
  <c r="AB176" i="19"/>
  <c r="AA176" i="19"/>
  <c r="Z176" i="19"/>
  <c r="Y176" i="19"/>
  <c r="X176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AD176" i="19"/>
  <c r="AE175" i="19"/>
  <c r="AC175" i="19"/>
  <c r="AB175" i="19"/>
  <c r="AA175" i="19"/>
  <c r="Z175" i="19"/>
  <c r="Y175" i="19"/>
  <c r="X175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AE174" i="19"/>
  <c r="AC174" i="19"/>
  <c r="AB174" i="19"/>
  <c r="AA174" i="19"/>
  <c r="Z174" i="19"/>
  <c r="Y174" i="19"/>
  <c r="X174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AD174" i="19" s="1"/>
  <c r="AE173" i="19"/>
  <c r="AC173" i="19"/>
  <c r="AB173" i="19"/>
  <c r="AA173" i="19"/>
  <c r="Z173" i="19"/>
  <c r="Y173" i="19"/>
  <c r="X173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AD173" i="19" s="1"/>
  <c r="AE172" i="19"/>
  <c r="AC172" i="19"/>
  <c r="AB172" i="19"/>
  <c r="AA172" i="19"/>
  <c r="Z172" i="19"/>
  <c r="Y172" i="19"/>
  <c r="X172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AD172" i="19" s="1"/>
  <c r="AE171" i="19"/>
  <c r="AC171" i="19"/>
  <c r="AB171" i="19"/>
  <c r="AA171" i="19"/>
  <c r="Z171" i="19"/>
  <c r="Y171" i="19"/>
  <c r="X171" i="19"/>
  <c r="W171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AD171" i="19" s="1"/>
  <c r="AE170" i="19"/>
  <c r="AC170" i="19"/>
  <c r="AB170" i="19"/>
  <c r="AA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AD170" i="19" s="1"/>
  <c r="AE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AD169" i="19" s="1"/>
  <c r="AE168" i="19"/>
  <c r="AC168" i="19"/>
  <c r="AB168" i="19"/>
  <c r="AA168" i="19"/>
  <c r="Z168" i="19"/>
  <c r="Y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AD168" i="19" s="1"/>
  <c r="AE167" i="19"/>
  <c r="AC167" i="19"/>
  <c r="AB167" i="19"/>
  <c r="AA167" i="19"/>
  <c r="Z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AD167" i="19" s="1"/>
  <c r="AE166" i="19"/>
  <c r="AC166" i="19"/>
  <c r="AB166" i="19"/>
  <c r="AA166" i="19"/>
  <c r="Z166" i="19"/>
  <c r="Y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AD166" i="19" s="1"/>
  <c r="AE165" i="19"/>
  <c r="AC165" i="19"/>
  <c r="AB165" i="19"/>
  <c r="AA165" i="19"/>
  <c r="Z165" i="19"/>
  <c r="Y165" i="19"/>
  <c r="X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AD165" i="19"/>
  <c r="AE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AD164" i="19"/>
  <c r="AE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AD163" i="19"/>
  <c r="AE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AD162" i="19"/>
  <c r="AE161" i="19"/>
  <c r="AC161" i="19"/>
  <c r="AB161" i="19"/>
  <c r="AA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AE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AD160" i="19" s="1"/>
  <c r="AE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AE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AD158" i="19"/>
  <c r="AE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AE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AD156" i="19" s="1"/>
  <c r="AE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AD155" i="19" s="1"/>
  <c r="AE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AD154" i="19" s="1"/>
  <c r="AE153" i="19"/>
  <c r="AC153" i="19"/>
  <c r="AB153" i="19"/>
  <c r="AA153" i="19"/>
  <c r="Z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AD153" i="19" s="1"/>
  <c r="AE152" i="19"/>
  <c r="AC152" i="19"/>
  <c r="AB152" i="19"/>
  <c r="AA152" i="19"/>
  <c r="Z152" i="19"/>
  <c r="Y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AD152" i="19" s="1"/>
  <c r="AE151" i="19"/>
  <c r="AC151" i="19"/>
  <c r="AB151" i="19"/>
  <c r="AA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AD151" i="19" s="1"/>
  <c r="AE150" i="19"/>
  <c r="AC150" i="19"/>
  <c r="AB150" i="19"/>
  <c r="AA150" i="19"/>
  <c r="Z150" i="19"/>
  <c r="Y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AD150" i="19" s="1"/>
  <c r="AE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AD149" i="19" s="1"/>
  <c r="AE148" i="19"/>
  <c r="AC148" i="19"/>
  <c r="AB148" i="19"/>
  <c r="AA148" i="19"/>
  <c r="Z148" i="19"/>
  <c r="Y148" i="19"/>
  <c r="X148" i="19"/>
  <c r="W148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AD148" i="19" s="1"/>
  <c r="AE147" i="19"/>
  <c r="AC147" i="19"/>
  <c r="AB147" i="19"/>
  <c r="AA147" i="19"/>
  <c r="Z147" i="19"/>
  <c r="Y147" i="19"/>
  <c r="X147" i="19"/>
  <c r="W147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AD147" i="19" s="1"/>
  <c r="AE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AD146" i="19" s="1"/>
  <c r="AE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AD145" i="19" s="1"/>
  <c r="AE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AD144" i="19" s="1"/>
  <c r="AE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AE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AD142" i="19"/>
  <c r="AE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AD141" i="19"/>
  <c r="AE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AD140" i="19"/>
  <c r="AE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AD139" i="19"/>
  <c r="AE138" i="19"/>
  <c r="AC138" i="19"/>
  <c r="AB138" i="19"/>
  <c r="AA138" i="19"/>
  <c r="Z138" i="19"/>
  <c r="Y138" i="19"/>
  <c r="X138" i="19"/>
  <c r="W138" i="19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AD138" i="19"/>
  <c r="AE137" i="19"/>
  <c r="AC137" i="19"/>
  <c r="AB137" i="19"/>
  <c r="AA137" i="19"/>
  <c r="Z137" i="19"/>
  <c r="Y137" i="19"/>
  <c r="X137" i="19"/>
  <c r="W137" i="19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AD137" i="19"/>
  <c r="AE136" i="19"/>
  <c r="AC136" i="19"/>
  <c r="AB136" i="19"/>
  <c r="AA136" i="19"/>
  <c r="Z136" i="19"/>
  <c r="Y136" i="19"/>
  <c r="X136" i="19"/>
  <c r="W136" i="19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AD136" i="19"/>
  <c r="AE135" i="19"/>
  <c r="AC135" i="19"/>
  <c r="AB135" i="19"/>
  <c r="AA135" i="19"/>
  <c r="Z135" i="19"/>
  <c r="Y135" i="19"/>
  <c r="X135" i="19"/>
  <c r="W135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AD135" i="19"/>
  <c r="AE134" i="19"/>
  <c r="AC134" i="19"/>
  <c r="AB134" i="19"/>
  <c r="AA134" i="19"/>
  <c r="Z134" i="19"/>
  <c r="Y134" i="19"/>
  <c r="X134" i="19"/>
  <c r="W134" i="19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AD134" i="19"/>
  <c r="AE133" i="19"/>
  <c r="AC133" i="19"/>
  <c r="AB133" i="19"/>
  <c r="AA133" i="19"/>
  <c r="Z133" i="19"/>
  <c r="Y133" i="19"/>
  <c r="X133" i="19"/>
  <c r="W133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AD133" i="19"/>
  <c r="AE132" i="19"/>
  <c r="AC132" i="19"/>
  <c r="AB132" i="19"/>
  <c r="AA132" i="19"/>
  <c r="Z132" i="19"/>
  <c r="Y132" i="19"/>
  <c r="X132" i="19"/>
  <c r="W132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AD132" i="19"/>
  <c r="AE131" i="19"/>
  <c r="AC131" i="19"/>
  <c r="AB131" i="19"/>
  <c r="AA131" i="19"/>
  <c r="Z131" i="19"/>
  <c r="Y131" i="19"/>
  <c r="X131" i="19"/>
  <c r="W131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AD131" i="19"/>
  <c r="AE130" i="19"/>
  <c r="AC130" i="19"/>
  <c r="AB130" i="19"/>
  <c r="AA130" i="19"/>
  <c r="Z130" i="19"/>
  <c r="Y130" i="19"/>
  <c r="X130" i="19"/>
  <c r="W130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AD130" i="19"/>
  <c r="AE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AE128" i="19"/>
  <c r="AC128" i="19"/>
  <c r="AB128" i="19"/>
  <c r="AA128" i="19"/>
  <c r="Z128" i="19"/>
  <c r="Y128" i="19"/>
  <c r="X128" i="19"/>
  <c r="W128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AD128" i="19" s="1"/>
  <c r="AE127" i="19"/>
  <c r="AC127" i="19"/>
  <c r="AB127" i="19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AE126" i="19"/>
  <c r="AC126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AD126" i="19"/>
  <c r="AE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AD125" i="19"/>
  <c r="AE124" i="19"/>
  <c r="AC124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AD124" i="19"/>
  <c r="AE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AE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AD122" i="19" s="1"/>
  <c r="AE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AE120" i="19"/>
  <c r="AC120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AD120" i="19"/>
  <c r="AE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AE118" i="19"/>
  <c r="AC118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AD118" i="19" s="1"/>
  <c r="AE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AE116" i="19"/>
  <c r="AC116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AD116" i="19"/>
  <c r="AE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AE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AD114" i="19" s="1"/>
  <c r="AE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AE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AD112" i="19"/>
  <c r="AE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AE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AD110" i="19" s="1"/>
  <c r="AE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AE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AD108" i="19"/>
  <c r="AE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AD107" i="19"/>
  <c r="AE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AD106" i="19"/>
  <c r="AE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AE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AD104" i="19" s="1"/>
  <c r="AE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AD103" i="19" s="1"/>
  <c r="AE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AD102" i="19" s="1"/>
  <c r="AE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AD101" i="19" s="1"/>
  <c r="AE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AD100" i="19" s="1"/>
  <c r="AE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AE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AD98" i="19"/>
  <c r="AE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AD97" i="19"/>
  <c r="AE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AD96" i="19"/>
  <c r="AE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AE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AD94" i="19" s="1"/>
  <c r="AE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AE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AD92" i="19"/>
  <c r="AE91" i="19"/>
  <c r="AC91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AD91" i="19"/>
  <c r="AE90" i="19"/>
  <c r="AC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AD90" i="19"/>
  <c r="AE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AD89" i="19"/>
  <c r="AE88" i="19"/>
  <c r="AC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AD88" i="19"/>
  <c r="AE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AE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AD86" i="19" s="1"/>
  <c r="AE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AE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AE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AD83" i="19" s="1"/>
  <c r="AE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AE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AD81" i="19"/>
  <c r="AE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AE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AD79" i="19" s="1"/>
  <c r="AE78" i="19"/>
  <c r="AC78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AE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AD77" i="19"/>
  <c r="AE76" i="19"/>
  <c r="AC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AE75" i="19"/>
  <c r="AC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AD75" i="19" s="1"/>
  <c r="AE74" i="19"/>
  <c r="AC74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AE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AD73" i="19"/>
  <c r="AE72" i="19"/>
  <c r="AC72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AE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AD71" i="19" s="1"/>
  <c r="AE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AD70" i="19" s="1"/>
  <c r="AE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AD69" i="19" s="1"/>
  <c r="AE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AD68" i="19" s="1"/>
  <c r="AE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AD67" i="19" s="1"/>
  <c r="AE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AD66" i="19" s="1"/>
  <c r="AE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AD65" i="19" s="1"/>
  <c r="AE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AD64" i="19" s="1"/>
  <c r="AE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AD63" i="19" s="1"/>
  <c r="AE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AD62" i="19" s="1"/>
  <c r="AE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AD61" i="19" s="1"/>
  <c r="AE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AE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AD59" i="19"/>
  <c r="AE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AD58" i="19"/>
  <c r="AE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AD57" i="19"/>
  <c r="AE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AD56" i="19"/>
  <c r="AE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AD55" i="19"/>
  <c r="AE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AD54" i="19"/>
  <c r="AE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AD53" i="19"/>
  <c r="AE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AD52" i="19"/>
  <c r="AE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AD51" i="19"/>
  <c r="AE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AD50" i="19"/>
  <c r="AE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AE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AD48" i="19" s="1"/>
  <c r="AE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AE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AD46" i="19"/>
  <c r="AE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AD45" i="19"/>
  <c r="AE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AD44" i="19"/>
  <c r="AE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AD43" i="19"/>
  <c r="AE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AD42" i="19"/>
  <c r="AE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AD41" i="19"/>
  <c r="AE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AD40" i="19"/>
  <c r="AE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AD39" i="19"/>
  <c r="AE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AD38" i="19"/>
  <c r="AE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AD37" i="19"/>
  <c r="AE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AD36" i="19"/>
  <c r="AE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AD35" i="19"/>
  <c r="AE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AE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AD33" i="19" s="1"/>
  <c r="AE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AD32" i="19" s="1"/>
  <c r="AE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AD31" i="19" s="1"/>
  <c r="AE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AD30" i="19" s="1"/>
  <c r="AE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AD29" i="19" s="1"/>
  <c r="AE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AE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AD27" i="19"/>
  <c r="AE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AE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AD25" i="19" s="1"/>
  <c r="AE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AD24" i="19" s="1"/>
  <c r="AE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AD23" i="19" s="1"/>
  <c r="AE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AD22" i="19" s="1"/>
  <c r="AE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AD21" i="19" s="1"/>
  <c r="AE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AD20" i="19" s="1"/>
  <c r="AE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AD19" i="19" s="1"/>
  <c r="AE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AD18" i="19" s="1"/>
  <c r="AE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AD17" i="19" s="1"/>
  <c r="AE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AD16" i="19" s="1"/>
  <c r="AE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AE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AD14" i="19"/>
  <c r="AE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AD13" i="19"/>
  <c r="AE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AD12" i="19"/>
  <c r="AE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AD11" i="19"/>
  <c r="AE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AE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AD9" i="19" s="1"/>
  <c r="AE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AD8" i="19" s="1"/>
  <c r="AE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AD7" i="19" s="1"/>
  <c r="AE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AD6" i="19" s="1"/>
  <c r="AE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AD5" i="19" s="1"/>
  <c r="AE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AD4" i="19" s="1"/>
  <c r="AE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AD3" i="19" s="1"/>
  <c r="AE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AE1" i="19"/>
  <c r="AC1" i="19"/>
  <c r="AB1" i="19"/>
  <c r="AA1" i="19"/>
  <c r="Z1" i="19"/>
  <c r="Y1" i="19"/>
  <c r="X1" i="19"/>
  <c r="W1" i="19"/>
  <c r="V1" i="19"/>
  <c r="U1" i="19"/>
  <c r="T1" i="19"/>
  <c r="S1" i="19"/>
  <c r="R1" i="19"/>
  <c r="Q1" i="19"/>
  <c r="P1" i="19"/>
  <c r="O1" i="19"/>
  <c r="N1" i="19"/>
  <c r="M1" i="19"/>
  <c r="L1" i="19"/>
  <c r="K1" i="19"/>
  <c r="J1" i="19"/>
  <c r="I1" i="19"/>
  <c r="H1" i="19"/>
  <c r="G1" i="19"/>
  <c r="F1" i="19"/>
  <c r="AD1" i="19"/>
  <c r="AE365" i="18"/>
  <c r="AC365" i="18"/>
  <c r="AB365" i="18"/>
  <c r="AA365" i="18"/>
  <c r="Z365" i="18"/>
  <c r="Y365" i="18"/>
  <c r="X365" i="18"/>
  <c r="W365" i="18"/>
  <c r="V365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AD365" i="18"/>
  <c r="AE364" i="18"/>
  <c r="AC364" i="18"/>
  <c r="AB364" i="18"/>
  <c r="AA364" i="18"/>
  <c r="Z364" i="18"/>
  <c r="Y364" i="18"/>
  <c r="X364" i="18"/>
  <c r="W364" i="18"/>
  <c r="V364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AE363" i="18"/>
  <c r="AC363" i="18"/>
  <c r="AB363" i="18"/>
  <c r="AA363" i="18"/>
  <c r="Z363" i="18"/>
  <c r="Y363" i="18"/>
  <c r="X363" i="18"/>
  <c r="W363" i="18"/>
  <c r="V363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AD363" i="18" s="1"/>
  <c r="AE362" i="18"/>
  <c r="AC362" i="18"/>
  <c r="AB362" i="18"/>
  <c r="AA362" i="18"/>
  <c r="Z362" i="18"/>
  <c r="Y362" i="18"/>
  <c r="X362" i="18"/>
  <c r="W362" i="18"/>
  <c r="V362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AD362" i="18" s="1"/>
  <c r="AE361" i="18"/>
  <c r="AC361" i="18"/>
  <c r="AB361" i="18"/>
  <c r="AA361" i="18"/>
  <c r="Z361" i="18"/>
  <c r="Y361" i="18"/>
  <c r="X361" i="18"/>
  <c r="W361" i="18"/>
  <c r="V361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AD361" i="18" s="1"/>
  <c r="AE360" i="18"/>
  <c r="AC360" i="18"/>
  <c r="AB360" i="18"/>
  <c r="AA360" i="18"/>
  <c r="Z360" i="18"/>
  <c r="Y360" i="18"/>
  <c r="X360" i="18"/>
  <c r="W360" i="18"/>
  <c r="V360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AD360" i="18" s="1"/>
  <c r="AE359" i="18"/>
  <c r="AC359" i="18"/>
  <c r="AB359" i="18"/>
  <c r="AA359" i="18"/>
  <c r="Z359" i="18"/>
  <c r="Y359" i="18"/>
  <c r="X359" i="18"/>
  <c r="W359" i="18"/>
  <c r="V359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AD359" i="18" s="1"/>
  <c r="AE358" i="18"/>
  <c r="AC358" i="18"/>
  <c r="AB358" i="18"/>
  <c r="AA358" i="18"/>
  <c r="Z358" i="18"/>
  <c r="Y358" i="18"/>
  <c r="X358" i="18"/>
  <c r="W358" i="18"/>
  <c r="V358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AD358" i="18" s="1"/>
  <c r="AE357" i="18"/>
  <c r="AC357" i="18"/>
  <c r="AB357" i="18"/>
  <c r="AA357" i="18"/>
  <c r="Z357" i="18"/>
  <c r="Y357" i="18"/>
  <c r="X357" i="18"/>
  <c r="W357" i="18"/>
  <c r="V357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AD357" i="18" s="1"/>
  <c r="AE356" i="18"/>
  <c r="AC356" i="18"/>
  <c r="AB356" i="18"/>
  <c r="AA356" i="18"/>
  <c r="Z356" i="18"/>
  <c r="Y356" i="18"/>
  <c r="X356" i="18"/>
  <c r="W356" i="18"/>
  <c r="V356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AD356" i="18" s="1"/>
  <c r="AE355" i="18"/>
  <c r="AC355" i="18"/>
  <c r="AB355" i="18"/>
  <c r="AA355" i="18"/>
  <c r="Z355" i="18"/>
  <c r="Y355" i="18"/>
  <c r="X355" i="18"/>
  <c r="W355" i="18"/>
  <c r="V355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AD355" i="18" s="1"/>
  <c r="AE354" i="18"/>
  <c r="AC354" i="18"/>
  <c r="AB354" i="18"/>
  <c r="AA354" i="18"/>
  <c r="Z354" i="18"/>
  <c r="Y354" i="18"/>
  <c r="X354" i="18"/>
  <c r="W354" i="18"/>
  <c r="V354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AD354" i="18" s="1"/>
  <c r="AE353" i="18"/>
  <c r="AC353" i="18"/>
  <c r="AB353" i="18"/>
  <c r="AA353" i="18"/>
  <c r="Z353" i="18"/>
  <c r="Y353" i="18"/>
  <c r="X353" i="18"/>
  <c r="W353" i="18"/>
  <c r="V353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AD353" i="18" s="1"/>
  <c r="AE352" i="18"/>
  <c r="AC352" i="18"/>
  <c r="AB352" i="18"/>
  <c r="AA352" i="18"/>
  <c r="Z352" i="18"/>
  <c r="Y352" i="18"/>
  <c r="X352" i="18"/>
  <c r="W352" i="18"/>
  <c r="V352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AD352" i="18" s="1"/>
  <c r="AE351" i="18"/>
  <c r="AC351" i="18"/>
  <c r="AB351" i="18"/>
  <c r="AA351" i="18"/>
  <c r="Z351" i="18"/>
  <c r="Y351" i="18"/>
  <c r="X351" i="18"/>
  <c r="W351" i="18"/>
  <c r="V351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AD351" i="18" s="1"/>
  <c r="AE350" i="18"/>
  <c r="AC350" i="18"/>
  <c r="AB350" i="18"/>
  <c r="AA350" i="18"/>
  <c r="Z350" i="18"/>
  <c r="Y350" i="18"/>
  <c r="X350" i="18"/>
  <c r="W350" i="18"/>
  <c r="V350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AD350" i="18" s="1"/>
  <c r="AE349" i="18"/>
  <c r="AC349" i="18"/>
  <c r="AB349" i="18"/>
  <c r="AA349" i="18"/>
  <c r="Z349" i="18"/>
  <c r="Y349" i="18"/>
  <c r="X349" i="18"/>
  <c r="W349" i="18"/>
  <c r="V349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AD349" i="18" s="1"/>
  <c r="AE348" i="18"/>
  <c r="AC348" i="18"/>
  <c r="AB348" i="18"/>
  <c r="AA348" i="18"/>
  <c r="Z348" i="18"/>
  <c r="Y348" i="18"/>
  <c r="X348" i="18"/>
  <c r="W348" i="18"/>
  <c r="V348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AE347" i="18"/>
  <c r="AC347" i="18"/>
  <c r="AB347" i="18"/>
  <c r="AA347" i="18"/>
  <c r="Z347" i="18"/>
  <c r="Y347" i="18"/>
  <c r="X347" i="18"/>
  <c r="W347" i="18"/>
  <c r="V347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AD347" i="18"/>
  <c r="AE346" i="18"/>
  <c r="AC346" i="18"/>
  <c r="AB346" i="18"/>
  <c r="AA346" i="18"/>
  <c r="Z346" i="18"/>
  <c r="Y346" i="18"/>
  <c r="X346" i="18"/>
  <c r="W346" i="18"/>
  <c r="V346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AD346" i="18"/>
  <c r="AE345" i="18"/>
  <c r="AC345" i="18"/>
  <c r="AB345" i="18"/>
  <c r="AA345" i="18"/>
  <c r="Z345" i="18"/>
  <c r="Y345" i="18"/>
  <c r="X345" i="18"/>
  <c r="W345" i="18"/>
  <c r="V345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AD345" i="18"/>
  <c r="AE344" i="18"/>
  <c r="AC344" i="18"/>
  <c r="AB344" i="18"/>
  <c r="AA344" i="18"/>
  <c r="Z344" i="18"/>
  <c r="Y344" i="18"/>
  <c r="X344" i="18"/>
  <c r="W344" i="18"/>
  <c r="V344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AD344" i="18"/>
  <c r="AE343" i="18"/>
  <c r="AC343" i="18"/>
  <c r="AB343" i="18"/>
  <c r="AA343" i="18"/>
  <c r="Z343" i="18"/>
  <c r="Y343" i="18"/>
  <c r="X343" i="18"/>
  <c r="W343" i="18"/>
  <c r="V343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AD343" i="18"/>
  <c r="AE342" i="18"/>
  <c r="AC342" i="18"/>
  <c r="AB342" i="18"/>
  <c r="AA342" i="18"/>
  <c r="Z342" i="18"/>
  <c r="Y342" i="18"/>
  <c r="X342" i="18"/>
  <c r="W342" i="18"/>
  <c r="V342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AD342" i="18"/>
  <c r="AE341" i="18"/>
  <c r="AC341" i="18"/>
  <c r="AB341" i="18"/>
  <c r="AA341" i="18"/>
  <c r="Z341" i="18"/>
  <c r="Y341" i="18"/>
  <c r="X341" i="18"/>
  <c r="W341" i="18"/>
  <c r="V341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AD341" i="18"/>
  <c r="AE340" i="18"/>
  <c r="AC340" i="18"/>
  <c r="AB340" i="18"/>
  <c r="AA340" i="18"/>
  <c r="Z340" i="18"/>
  <c r="Y340" i="18"/>
  <c r="X340" i="18"/>
  <c r="W340" i="18"/>
  <c r="V340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AD340" i="18"/>
  <c r="AE339" i="18"/>
  <c r="AC339" i="18"/>
  <c r="AB339" i="18"/>
  <c r="AA339" i="18"/>
  <c r="Z339" i="18"/>
  <c r="Y339" i="18"/>
  <c r="X339" i="18"/>
  <c r="W339" i="18"/>
  <c r="V339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AD339" i="18"/>
  <c r="AE338" i="18"/>
  <c r="AC338" i="18"/>
  <c r="AB338" i="18"/>
  <c r="AA338" i="18"/>
  <c r="Z338" i="18"/>
  <c r="Y338" i="18"/>
  <c r="X338" i="18"/>
  <c r="W338" i="18"/>
  <c r="V338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AD338" i="18"/>
  <c r="AE337" i="18"/>
  <c r="AC337" i="18"/>
  <c r="AB337" i="18"/>
  <c r="AA337" i="18"/>
  <c r="Z337" i="18"/>
  <c r="Y337" i="18"/>
  <c r="X337" i="18"/>
  <c r="W337" i="18"/>
  <c r="V337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AD337" i="18"/>
  <c r="AE336" i="18"/>
  <c r="AC336" i="18"/>
  <c r="AB336" i="18"/>
  <c r="AA336" i="18"/>
  <c r="Z336" i="18"/>
  <c r="Y336" i="18"/>
  <c r="X336" i="18"/>
  <c r="W336" i="18"/>
  <c r="V336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AD336" i="18"/>
  <c r="AE335" i="18"/>
  <c r="AC335" i="18"/>
  <c r="AB335" i="18"/>
  <c r="AA335" i="18"/>
  <c r="Z335" i="18"/>
  <c r="Y335" i="18"/>
  <c r="X335" i="18"/>
  <c r="W335" i="18"/>
  <c r="V335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AD335" i="18"/>
  <c r="AE334" i="18"/>
  <c r="AC334" i="18"/>
  <c r="AB334" i="18"/>
  <c r="AA334" i="18"/>
  <c r="Z334" i="18"/>
  <c r="Y334" i="18"/>
  <c r="X334" i="18"/>
  <c r="W334" i="18"/>
  <c r="V334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AD334" i="18"/>
  <c r="AE333" i="18"/>
  <c r="AC333" i="18"/>
  <c r="AB333" i="18"/>
  <c r="AA333" i="18"/>
  <c r="Z333" i="18"/>
  <c r="Y333" i="18"/>
  <c r="X333" i="18"/>
  <c r="W333" i="18"/>
  <c r="V333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AD333" i="18"/>
  <c r="AE332" i="18"/>
  <c r="AC332" i="18"/>
  <c r="AB332" i="18"/>
  <c r="AA332" i="18"/>
  <c r="Z332" i="18"/>
  <c r="Y332" i="18"/>
  <c r="X332" i="18"/>
  <c r="W332" i="18"/>
  <c r="V332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AD332" i="18"/>
  <c r="AE331" i="18"/>
  <c r="AC331" i="18"/>
  <c r="AB331" i="18"/>
  <c r="AA331" i="18"/>
  <c r="Z331" i="18"/>
  <c r="Y331" i="18"/>
  <c r="X331" i="18"/>
  <c r="W331" i="18"/>
  <c r="V331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AD331" i="18"/>
  <c r="AE330" i="18"/>
  <c r="AC330" i="18"/>
  <c r="AB330" i="18"/>
  <c r="AA330" i="18"/>
  <c r="Z330" i="18"/>
  <c r="Y330" i="18"/>
  <c r="X330" i="18"/>
  <c r="W330" i="18"/>
  <c r="V330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AD330" i="18"/>
  <c r="AE329" i="18"/>
  <c r="AC329" i="18"/>
  <c r="AB329" i="18"/>
  <c r="AA329" i="18"/>
  <c r="Z329" i="18"/>
  <c r="Y329" i="18"/>
  <c r="X329" i="18"/>
  <c r="W329" i="18"/>
  <c r="V329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AD329" i="18"/>
  <c r="AE328" i="18"/>
  <c r="AC328" i="18"/>
  <c r="AB328" i="18"/>
  <c r="AA328" i="18"/>
  <c r="Z328" i="18"/>
  <c r="Y328" i="18"/>
  <c r="X328" i="18"/>
  <c r="W328" i="18"/>
  <c r="V328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AD328" i="18"/>
  <c r="AE327" i="18"/>
  <c r="AC327" i="18"/>
  <c r="AB327" i="18"/>
  <c r="AA327" i="18"/>
  <c r="Z327" i="18"/>
  <c r="Y327" i="18"/>
  <c r="X327" i="18"/>
  <c r="W327" i="18"/>
  <c r="V327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AE326" i="18"/>
  <c r="AC326" i="18"/>
  <c r="AB326" i="18"/>
  <c r="AA326" i="18"/>
  <c r="Z326" i="18"/>
  <c r="Y326" i="18"/>
  <c r="X326" i="18"/>
  <c r="W326" i="18"/>
  <c r="V326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AD326" i="18" s="1"/>
  <c r="AE325" i="18"/>
  <c r="AC325" i="18"/>
  <c r="AB325" i="18"/>
  <c r="AA325" i="18"/>
  <c r="Z325" i="18"/>
  <c r="Y325" i="18"/>
  <c r="X325" i="18"/>
  <c r="W325" i="18"/>
  <c r="V325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AD325" i="18" s="1"/>
  <c r="AE324" i="18"/>
  <c r="AC324" i="18"/>
  <c r="AB324" i="18"/>
  <c r="AA324" i="18"/>
  <c r="Z324" i="18"/>
  <c r="Y324" i="18"/>
  <c r="X324" i="18"/>
  <c r="W324" i="18"/>
  <c r="V324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AD324" i="18" s="1"/>
  <c r="AE323" i="18"/>
  <c r="AC323" i="18"/>
  <c r="AB323" i="18"/>
  <c r="AA323" i="18"/>
  <c r="Z323" i="18"/>
  <c r="Y323" i="18"/>
  <c r="X323" i="18"/>
  <c r="W323" i="18"/>
  <c r="V323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AD323" i="18" s="1"/>
  <c r="AE322" i="18"/>
  <c r="AC322" i="18"/>
  <c r="AB322" i="18"/>
  <c r="AA322" i="18"/>
  <c r="Z322" i="18"/>
  <c r="Y322" i="18"/>
  <c r="X322" i="18"/>
  <c r="W322" i="18"/>
  <c r="V322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AD322" i="18" s="1"/>
  <c r="AE321" i="18"/>
  <c r="AC321" i="18"/>
  <c r="AB321" i="18"/>
  <c r="AA321" i="18"/>
  <c r="Z321" i="18"/>
  <c r="Y321" i="18"/>
  <c r="X321" i="18"/>
  <c r="W321" i="18"/>
  <c r="V321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AD321" i="18" s="1"/>
  <c r="AE320" i="18"/>
  <c r="AC320" i="18"/>
  <c r="AB320" i="18"/>
  <c r="AA320" i="18"/>
  <c r="Z320" i="18"/>
  <c r="Y320" i="18"/>
  <c r="X320" i="18"/>
  <c r="W320" i="18"/>
  <c r="V320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AD320" i="18" s="1"/>
  <c r="AE319" i="18"/>
  <c r="AC319" i="18"/>
  <c r="AB319" i="18"/>
  <c r="AA319" i="18"/>
  <c r="Z319" i="18"/>
  <c r="Y319" i="18"/>
  <c r="X319" i="18"/>
  <c r="W319" i="18"/>
  <c r="V319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AD319" i="18" s="1"/>
  <c r="AE318" i="18"/>
  <c r="AC318" i="18"/>
  <c r="AB318" i="18"/>
  <c r="AA318" i="18"/>
  <c r="Z318" i="18"/>
  <c r="Y318" i="18"/>
  <c r="X318" i="18"/>
  <c r="W318" i="18"/>
  <c r="V318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AD318" i="18" s="1"/>
  <c r="AE317" i="18"/>
  <c r="AC317" i="18"/>
  <c r="AB317" i="18"/>
  <c r="AA317" i="18"/>
  <c r="Z317" i="18"/>
  <c r="Y317" i="18"/>
  <c r="X317" i="18"/>
  <c r="W317" i="18"/>
  <c r="V317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AE316" i="18"/>
  <c r="AC316" i="18"/>
  <c r="AB316" i="18"/>
  <c r="AA316" i="18"/>
  <c r="Z316" i="18"/>
  <c r="Y316" i="18"/>
  <c r="X316" i="18"/>
  <c r="W316" i="18"/>
  <c r="V316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AD316" i="18"/>
  <c r="AE315" i="18"/>
  <c r="AC315" i="18"/>
  <c r="AB315" i="18"/>
  <c r="AA315" i="18"/>
  <c r="Z315" i="18"/>
  <c r="Y315" i="18"/>
  <c r="X315" i="18"/>
  <c r="W315" i="18"/>
  <c r="V315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AD315" i="18"/>
  <c r="AE314" i="18"/>
  <c r="AC314" i="18"/>
  <c r="AB314" i="18"/>
  <c r="AA314" i="18"/>
  <c r="Z314" i="18"/>
  <c r="Y314" i="18"/>
  <c r="X314" i="18"/>
  <c r="W314" i="18"/>
  <c r="V314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AD314" i="18"/>
  <c r="AE313" i="18"/>
  <c r="AC313" i="18"/>
  <c r="AB313" i="18"/>
  <c r="AA313" i="18"/>
  <c r="Z313" i="18"/>
  <c r="Y313" i="18"/>
  <c r="X313" i="18"/>
  <c r="W313" i="18"/>
  <c r="V313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AE312" i="18"/>
  <c r="AC312" i="18"/>
  <c r="AB312" i="18"/>
  <c r="AA312" i="18"/>
  <c r="Z312" i="18"/>
  <c r="Y312" i="18"/>
  <c r="X312" i="18"/>
  <c r="W312" i="18"/>
  <c r="V312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AD312" i="18" s="1"/>
  <c r="AE311" i="18"/>
  <c r="AC311" i="18"/>
  <c r="AB311" i="18"/>
  <c r="AA311" i="18"/>
  <c r="Z311" i="18"/>
  <c r="Y311" i="18"/>
  <c r="X311" i="18"/>
  <c r="W311" i="18"/>
  <c r="V311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AD311" i="18" s="1"/>
  <c r="AE310" i="18"/>
  <c r="AC310" i="18"/>
  <c r="AB310" i="18"/>
  <c r="AA310" i="18"/>
  <c r="Z310" i="18"/>
  <c r="Y310" i="18"/>
  <c r="X310" i="18"/>
  <c r="W310" i="18"/>
  <c r="V310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AD310" i="18" s="1"/>
  <c r="AE309" i="18"/>
  <c r="AC309" i="18"/>
  <c r="AB309" i="18"/>
  <c r="AA309" i="18"/>
  <c r="Z309" i="18"/>
  <c r="Y309" i="18"/>
  <c r="X309" i="18"/>
  <c r="W309" i="18"/>
  <c r="V309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AD309" i="18" s="1"/>
  <c r="AE308" i="18"/>
  <c r="AC308" i="18"/>
  <c r="AB308" i="18"/>
  <c r="AA308" i="18"/>
  <c r="Z308" i="18"/>
  <c r="Y308" i="18"/>
  <c r="X308" i="18"/>
  <c r="W308" i="18"/>
  <c r="V308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AD308" i="18" s="1"/>
  <c r="AE307" i="18"/>
  <c r="AC307" i="18"/>
  <c r="AB307" i="18"/>
  <c r="AA307" i="18"/>
  <c r="Z307" i="18"/>
  <c r="Y307" i="18"/>
  <c r="X307" i="18"/>
  <c r="W307" i="18"/>
  <c r="V307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AE306" i="18"/>
  <c r="AC306" i="18"/>
  <c r="AB306" i="18"/>
  <c r="AA306" i="18"/>
  <c r="Z306" i="18"/>
  <c r="Y306" i="18"/>
  <c r="X306" i="18"/>
  <c r="W306" i="18"/>
  <c r="V306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AD306" i="18"/>
  <c r="AE305" i="18"/>
  <c r="AC305" i="18"/>
  <c r="AB305" i="18"/>
  <c r="AA305" i="18"/>
  <c r="Z305" i="18"/>
  <c r="Y305" i="18"/>
  <c r="X305" i="18"/>
  <c r="W305" i="18"/>
  <c r="V305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AD305" i="18"/>
  <c r="AE304" i="18"/>
  <c r="AC304" i="18"/>
  <c r="AB304" i="18"/>
  <c r="AA304" i="18"/>
  <c r="Z304" i="18"/>
  <c r="Y304" i="18"/>
  <c r="X304" i="18"/>
  <c r="W304" i="18"/>
  <c r="V304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AD304" i="18"/>
  <c r="AE303" i="18"/>
  <c r="AC303" i="18"/>
  <c r="AB303" i="18"/>
  <c r="AA303" i="18"/>
  <c r="Z303" i="18"/>
  <c r="Y303" i="18"/>
  <c r="X303" i="18"/>
  <c r="W303" i="18"/>
  <c r="V303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AD303" i="18"/>
  <c r="AE302" i="18"/>
  <c r="AC302" i="18"/>
  <c r="AB302" i="18"/>
  <c r="AA302" i="18"/>
  <c r="Z302" i="18"/>
  <c r="Y302" i="18"/>
  <c r="X302" i="18"/>
  <c r="W302" i="18"/>
  <c r="V302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AD302" i="18"/>
  <c r="AE301" i="18"/>
  <c r="AC301" i="18"/>
  <c r="AB301" i="18"/>
  <c r="AA301" i="18"/>
  <c r="Z301" i="18"/>
  <c r="Y301" i="18"/>
  <c r="X301" i="18"/>
  <c r="W301" i="18"/>
  <c r="V301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AD301" i="18"/>
  <c r="AE300" i="18"/>
  <c r="AC300" i="18"/>
  <c r="AB300" i="18"/>
  <c r="AA300" i="18"/>
  <c r="Z300" i="18"/>
  <c r="Y300" i="18"/>
  <c r="X300" i="18"/>
  <c r="W300" i="18"/>
  <c r="V300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AD300" i="18"/>
  <c r="AE299" i="18"/>
  <c r="AC299" i="18"/>
  <c r="AB299" i="18"/>
  <c r="AA299" i="18"/>
  <c r="Z299" i="18"/>
  <c r="Y299" i="18"/>
  <c r="X299" i="18"/>
  <c r="W299" i="18"/>
  <c r="V299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AD299" i="18"/>
  <c r="AE298" i="18"/>
  <c r="AC298" i="18"/>
  <c r="AB298" i="18"/>
  <c r="AA298" i="18"/>
  <c r="Z298" i="18"/>
  <c r="Y298" i="18"/>
  <c r="X298" i="18"/>
  <c r="W298" i="18"/>
  <c r="V298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AD298" i="18"/>
  <c r="AE297" i="18"/>
  <c r="AC297" i="18"/>
  <c r="AB297" i="18"/>
  <c r="AA297" i="18"/>
  <c r="Z297" i="18"/>
  <c r="Y297" i="18"/>
  <c r="X297" i="18"/>
  <c r="W297" i="18"/>
  <c r="V297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AD297" i="18"/>
  <c r="AE296" i="18"/>
  <c r="AC296" i="18"/>
  <c r="AB296" i="18"/>
  <c r="AA296" i="18"/>
  <c r="Z296" i="18"/>
  <c r="Y296" i="18"/>
  <c r="X296" i="18"/>
  <c r="W296" i="18"/>
  <c r="V296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AD296" i="18"/>
  <c r="AE295" i="18"/>
  <c r="AC295" i="18"/>
  <c r="AB295" i="18"/>
  <c r="AA295" i="18"/>
  <c r="Z295" i="18"/>
  <c r="Y295" i="18"/>
  <c r="X295" i="18"/>
  <c r="W295" i="18"/>
  <c r="V295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AD295" i="18"/>
  <c r="AE294" i="18"/>
  <c r="AC294" i="18"/>
  <c r="AB294" i="18"/>
  <c r="AA294" i="18"/>
  <c r="Z294" i="18"/>
  <c r="Y294" i="18"/>
  <c r="X294" i="18"/>
  <c r="W294" i="18"/>
  <c r="V294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AD294" i="18"/>
  <c r="AE293" i="18"/>
  <c r="AC293" i="18"/>
  <c r="AB293" i="18"/>
  <c r="AA293" i="18"/>
  <c r="Z293" i="18"/>
  <c r="Y293" i="18"/>
  <c r="X293" i="18"/>
  <c r="W293" i="18"/>
  <c r="V293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AD293" i="18"/>
  <c r="AE292" i="18"/>
  <c r="AC292" i="18"/>
  <c r="AB292" i="18"/>
  <c r="AA292" i="18"/>
  <c r="Z292" i="18"/>
  <c r="Y292" i="18"/>
  <c r="X292" i="18"/>
  <c r="W292" i="18"/>
  <c r="V292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AD292" i="18"/>
  <c r="AE291" i="18"/>
  <c r="AC291" i="18"/>
  <c r="AB291" i="18"/>
  <c r="AA291" i="18"/>
  <c r="Z291" i="18"/>
  <c r="Y291" i="18"/>
  <c r="X291" i="18"/>
  <c r="W291" i="18"/>
  <c r="V291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AD291" i="18"/>
  <c r="AE290" i="18"/>
  <c r="AC290" i="18"/>
  <c r="AB290" i="18"/>
  <c r="AA290" i="18"/>
  <c r="Z290" i="18"/>
  <c r="Y290" i="18"/>
  <c r="X290" i="18"/>
  <c r="W290" i="18"/>
  <c r="V290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AD290" i="18"/>
  <c r="AE289" i="18"/>
  <c r="AC289" i="18"/>
  <c r="AB289" i="18"/>
  <c r="AA289" i="18"/>
  <c r="Z289" i="18"/>
  <c r="Y289" i="18"/>
  <c r="X289" i="18"/>
  <c r="W289" i="18"/>
  <c r="V289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AD289" i="18"/>
  <c r="AE288" i="18"/>
  <c r="AC288" i="18"/>
  <c r="AB288" i="18"/>
  <c r="AA288" i="18"/>
  <c r="Z288" i="18"/>
  <c r="Y288" i="18"/>
  <c r="X288" i="18"/>
  <c r="W288" i="18"/>
  <c r="V288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AD288" i="18"/>
  <c r="AE287" i="18"/>
  <c r="AC287" i="18"/>
  <c r="AB287" i="18"/>
  <c r="AA287" i="18"/>
  <c r="Z287" i="18"/>
  <c r="Y287" i="18"/>
  <c r="X287" i="18"/>
  <c r="W287" i="18"/>
  <c r="V287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AD287" i="18"/>
  <c r="AE286" i="18"/>
  <c r="AC286" i="18"/>
  <c r="AB286" i="18"/>
  <c r="AA286" i="18"/>
  <c r="Z286" i="18"/>
  <c r="Y286" i="18"/>
  <c r="X286" i="18"/>
  <c r="W286" i="18"/>
  <c r="V286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AD286" i="18"/>
  <c r="AE285" i="18"/>
  <c r="AC285" i="18"/>
  <c r="AB285" i="18"/>
  <c r="AA285" i="18"/>
  <c r="Z285" i="18"/>
  <c r="Y285" i="18"/>
  <c r="X285" i="18"/>
  <c r="W285" i="18"/>
  <c r="V285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AD285" i="18"/>
  <c r="AE284" i="18"/>
  <c r="AC284" i="18"/>
  <c r="AB284" i="18"/>
  <c r="AA284" i="18"/>
  <c r="Z284" i="18"/>
  <c r="Y284" i="18"/>
  <c r="X284" i="18"/>
  <c r="W284" i="18"/>
  <c r="V284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AD284" i="18"/>
  <c r="AE283" i="18"/>
  <c r="AC283" i="18"/>
  <c r="AB283" i="18"/>
  <c r="AA283" i="18"/>
  <c r="Z283" i="18"/>
  <c r="Y283" i="18"/>
  <c r="X283" i="18"/>
  <c r="W283" i="18"/>
  <c r="V283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AD283" i="18"/>
  <c r="AE282" i="18"/>
  <c r="AC282" i="18"/>
  <c r="AB282" i="18"/>
  <c r="AA282" i="18"/>
  <c r="Z282" i="18"/>
  <c r="Y282" i="18"/>
  <c r="X282" i="18"/>
  <c r="W282" i="18"/>
  <c r="V282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AD282" i="18"/>
  <c r="AE281" i="18"/>
  <c r="AC281" i="18"/>
  <c r="AB281" i="18"/>
  <c r="AA281" i="18"/>
  <c r="Z281" i="18"/>
  <c r="Y281" i="18"/>
  <c r="X281" i="18"/>
  <c r="W281" i="18"/>
  <c r="V281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AD281" i="18"/>
  <c r="AE280" i="18"/>
  <c r="AC280" i="18"/>
  <c r="AB280" i="18"/>
  <c r="AA280" i="18"/>
  <c r="Z280" i="18"/>
  <c r="Y280" i="18"/>
  <c r="X280" i="18"/>
  <c r="W280" i="18"/>
  <c r="V280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AD280" i="18"/>
  <c r="AE279" i="18"/>
  <c r="AC279" i="18"/>
  <c r="AB279" i="18"/>
  <c r="AA279" i="18"/>
  <c r="Z279" i="18"/>
  <c r="Y279" i="18"/>
  <c r="X279" i="18"/>
  <c r="W279" i="18"/>
  <c r="V279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AE278" i="18"/>
  <c r="AC278" i="18"/>
  <c r="AB278" i="18"/>
  <c r="AA278" i="18"/>
  <c r="Z278" i="18"/>
  <c r="Y278" i="18"/>
  <c r="X278" i="18"/>
  <c r="W278" i="18"/>
  <c r="V278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AD278" i="18" s="1"/>
  <c r="AE277" i="18"/>
  <c r="AC277" i="18"/>
  <c r="AB277" i="18"/>
  <c r="AA277" i="18"/>
  <c r="Z277" i="18"/>
  <c r="Y277" i="18"/>
  <c r="X277" i="18"/>
  <c r="W277" i="18"/>
  <c r="V277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AE276" i="18"/>
  <c r="AC276" i="18"/>
  <c r="AB276" i="18"/>
  <c r="AA276" i="18"/>
  <c r="Z276" i="18"/>
  <c r="Y276" i="18"/>
  <c r="X276" i="18"/>
  <c r="W276" i="18"/>
  <c r="V276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AD276" i="18"/>
  <c r="AE275" i="18"/>
  <c r="AC275" i="18"/>
  <c r="AB275" i="18"/>
  <c r="AA275" i="18"/>
  <c r="Z275" i="18"/>
  <c r="Y275" i="18"/>
  <c r="X275" i="18"/>
  <c r="W275" i="18"/>
  <c r="V275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AD275" i="18"/>
  <c r="AE274" i="18"/>
  <c r="AC274" i="18"/>
  <c r="AB274" i="18"/>
  <c r="AA274" i="18"/>
  <c r="Z274" i="18"/>
  <c r="Y274" i="18"/>
  <c r="X274" i="18"/>
  <c r="W274" i="18"/>
  <c r="V274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AD274" i="18"/>
  <c r="AE273" i="18"/>
  <c r="AC273" i="18"/>
  <c r="AB273" i="18"/>
  <c r="AA273" i="18"/>
  <c r="Z273" i="18"/>
  <c r="Y273" i="18"/>
  <c r="X273" i="18"/>
  <c r="W273" i="18"/>
  <c r="V273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AD273" i="18"/>
  <c r="AE272" i="18"/>
  <c r="AC272" i="18"/>
  <c r="AB272" i="18"/>
  <c r="AA272" i="18"/>
  <c r="Z272" i="18"/>
  <c r="Y272" i="18"/>
  <c r="X272" i="18"/>
  <c r="W272" i="18"/>
  <c r="V272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AD272" i="18"/>
  <c r="AE271" i="18"/>
  <c r="AC271" i="18"/>
  <c r="AB271" i="18"/>
  <c r="AA271" i="18"/>
  <c r="Z271" i="18"/>
  <c r="Y271" i="18"/>
  <c r="X271" i="18"/>
  <c r="W271" i="18"/>
  <c r="V271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AE270" i="18"/>
  <c r="AC270" i="18"/>
  <c r="AB270" i="18"/>
  <c r="AA270" i="18"/>
  <c r="Z270" i="18"/>
  <c r="Y270" i="18"/>
  <c r="X270" i="18"/>
  <c r="W270" i="18"/>
  <c r="V270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AD270" i="18" s="1"/>
  <c r="AE269" i="18"/>
  <c r="AC269" i="18"/>
  <c r="AB269" i="18"/>
  <c r="AA269" i="18"/>
  <c r="Z269" i="18"/>
  <c r="Y269" i="18"/>
  <c r="X269" i="18"/>
  <c r="W269" i="18"/>
  <c r="V269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AD269" i="18" s="1"/>
  <c r="AE268" i="18"/>
  <c r="AC268" i="18"/>
  <c r="AB268" i="18"/>
  <c r="AA268" i="18"/>
  <c r="Z268" i="18"/>
  <c r="Y268" i="18"/>
  <c r="X268" i="18"/>
  <c r="W268" i="18"/>
  <c r="V268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AD268" i="18" s="1"/>
  <c r="AE267" i="18"/>
  <c r="AC267" i="18"/>
  <c r="AB267" i="18"/>
  <c r="AA267" i="18"/>
  <c r="Z267" i="18"/>
  <c r="Y267" i="18"/>
  <c r="X267" i="18"/>
  <c r="W267" i="18"/>
  <c r="V267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AD267" i="18" s="1"/>
  <c r="AE266" i="18"/>
  <c r="AC266" i="18"/>
  <c r="AB266" i="18"/>
  <c r="AA266" i="18"/>
  <c r="Z266" i="18"/>
  <c r="Y266" i="18"/>
  <c r="X266" i="18"/>
  <c r="W266" i="18"/>
  <c r="V266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AD266" i="18" s="1"/>
  <c r="AE265" i="18"/>
  <c r="AC265" i="18"/>
  <c r="AB265" i="18"/>
  <c r="AA265" i="18"/>
  <c r="Z265" i="18"/>
  <c r="Y265" i="18"/>
  <c r="X265" i="18"/>
  <c r="W265" i="18"/>
  <c r="V265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AD265" i="18" s="1"/>
  <c r="AE264" i="18"/>
  <c r="AC264" i="18"/>
  <c r="AB264" i="18"/>
  <c r="AA264" i="18"/>
  <c r="Z264" i="18"/>
  <c r="Y264" i="18"/>
  <c r="X264" i="18"/>
  <c r="W264" i="18"/>
  <c r="V264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AD264" i="18" s="1"/>
  <c r="AE263" i="18"/>
  <c r="AC263" i="18"/>
  <c r="AB263" i="18"/>
  <c r="AA263" i="18"/>
  <c r="Z263" i="18"/>
  <c r="Y263" i="18"/>
  <c r="X263" i="18"/>
  <c r="W263" i="18"/>
  <c r="V263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AD263" i="18" s="1"/>
  <c r="AE262" i="18"/>
  <c r="AC262" i="18"/>
  <c r="AB262" i="18"/>
  <c r="AA262" i="18"/>
  <c r="Z262" i="18"/>
  <c r="Y262" i="18"/>
  <c r="X262" i="18"/>
  <c r="W262" i="18"/>
  <c r="V262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AD262" i="18" s="1"/>
  <c r="AE261" i="18"/>
  <c r="AC261" i="18"/>
  <c r="AB261" i="18"/>
  <c r="AA261" i="18"/>
  <c r="Z261" i="18"/>
  <c r="Y261" i="18"/>
  <c r="X261" i="18"/>
  <c r="W261" i="18"/>
  <c r="V261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AE260" i="18"/>
  <c r="AC260" i="18"/>
  <c r="AB260" i="18"/>
  <c r="AA260" i="18"/>
  <c r="Z260" i="18"/>
  <c r="Y260" i="18"/>
  <c r="X260" i="18"/>
  <c r="W260" i="18"/>
  <c r="V260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AD260" i="18"/>
  <c r="AE259" i="18"/>
  <c r="AC259" i="18"/>
  <c r="AB259" i="18"/>
  <c r="AA259" i="18"/>
  <c r="Z259" i="18"/>
  <c r="Y259" i="18"/>
  <c r="X259" i="18"/>
  <c r="W259" i="18"/>
  <c r="V259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AD259" i="18"/>
  <c r="AE258" i="18"/>
  <c r="AC258" i="18"/>
  <c r="AB258" i="18"/>
  <c r="AA258" i="18"/>
  <c r="Z258" i="18"/>
  <c r="Y258" i="18"/>
  <c r="X258" i="18"/>
  <c r="W258" i="18"/>
  <c r="V258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AD258" i="18"/>
  <c r="AE257" i="18"/>
  <c r="AC257" i="18"/>
  <c r="AB257" i="18"/>
  <c r="AA257" i="18"/>
  <c r="Z257" i="18"/>
  <c r="Y257" i="18"/>
  <c r="X257" i="18"/>
  <c r="W257" i="18"/>
  <c r="V257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AD257" i="18"/>
  <c r="AE256" i="18"/>
  <c r="AC256" i="18"/>
  <c r="AB256" i="18"/>
  <c r="AA256" i="18"/>
  <c r="Z256" i="18"/>
  <c r="Y256" i="18"/>
  <c r="X256" i="18"/>
  <c r="W256" i="18"/>
  <c r="V256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AD256" i="18"/>
  <c r="AE255" i="18"/>
  <c r="AC255" i="18"/>
  <c r="AB255" i="18"/>
  <c r="AA255" i="18"/>
  <c r="Z255" i="18"/>
  <c r="Y255" i="18"/>
  <c r="X255" i="18"/>
  <c r="W255" i="18"/>
  <c r="V255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AE254" i="18"/>
  <c r="AC254" i="18"/>
  <c r="AB254" i="18"/>
  <c r="AA254" i="18"/>
  <c r="Z254" i="18"/>
  <c r="Y254" i="18"/>
  <c r="X254" i="18"/>
  <c r="W254" i="18"/>
  <c r="V254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AD254" i="18" s="1"/>
  <c r="AE253" i="18"/>
  <c r="AC253" i="18"/>
  <c r="AB253" i="18"/>
  <c r="AA253" i="18"/>
  <c r="Z253" i="18"/>
  <c r="Y253" i="18"/>
  <c r="X253" i="18"/>
  <c r="W253" i="18"/>
  <c r="V253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AD253" i="18" s="1"/>
  <c r="AE252" i="18"/>
  <c r="AC252" i="18"/>
  <c r="AB252" i="18"/>
  <c r="AA252" i="18"/>
  <c r="Z252" i="18"/>
  <c r="Y252" i="18"/>
  <c r="X252" i="18"/>
  <c r="W252" i="18"/>
  <c r="V252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AD252" i="18" s="1"/>
  <c r="AE251" i="18"/>
  <c r="AC251" i="18"/>
  <c r="AB251" i="18"/>
  <c r="AA251" i="18"/>
  <c r="Z251" i="18"/>
  <c r="Y251" i="18"/>
  <c r="X251" i="18"/>
  <c r="W251" i="18"/>
  <c r="V251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AD251" i="18" s="1"/>
  <c r="AE250" i="18"/>
  <c r="AC250" i="18"/>
  <c r="AB250" i="18"/>
  <c r="AA250" i="18"/>
  <c r="Z250" i="18"/>
  <c r="Y250" i="18"/>
  <c r="X250" i="18"/>
  <c r="W250" i="18"/>
  <c r="V250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AD250" i="18" s="1"/>
  <c r="AE249" i="18"/>
  <c r="AC249" i="18"/>
  <c r="AB249" i="18"/>
  <c r="AA249" i="18"/>
  <c r="Z249" i="18"/>
  <c r="Y249" i="18"/>
  <c r="X249" i="18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AD249" i="18" s="1"/>
  <c r="AE248" i="18"/>
  <c r="AC248" i="18"/>
  <c r="AB248" i="18"/>
  <c r="AA248" i="18"/>
  <c r="Z248" i="18"/>
  <c r="Y248" i="18"/>
  <c r="X248" i="18"/>
  <c r="W248" i="18"/>
  <c r="V248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AD248" i="18" s="1"/>
  <c r="AE247" i="18"/>
  <c r="AC247" i="18"/>
  <c r="AB247" i="18"/>
  <c r="AA247" i="18"/>
  <c r="Z247" i="18"/>
  <c r="Y247" i="18"/>
  <c r="X247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AD247" i="18" s="1"/>
  <c r="AE246" i="18"/>
  <c r="AC246" i="18"/>
  <c r="AB246" i="18"/>
  <c r="AA246" i="18"/>
  <c r="Z246" i="18"/>
  <c r="Y246" i="18"/>
  <c r="X246" i="18"/>
  <c r="W246" i="18"/>
  <c r="V246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AD246" i="18" s="1"/>
  <c r="AE245" i="18"/>
  <c r="AC245" i="18"/>
  <c r="AB245" i="18"/>
  <c r="AA245" i="18"/>
  <c r="Z245" i="18"/>
  <c r="Y245" i="18"/>
  <c r="X245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AD245" i="18" s="1"/>
  <c r="AE244" i="18"/>
  <c r="AC244" i="18"/>
  <c r="AB244" i="18"/>
  <c r="AA244" i="18"/>
  <c r="Z244" i="18"/>
  <c r="Y244" i="18"/>
  <c r="X244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AD244" i="18" s="1"/>
  <c r="AE243" i="18"/>
  <c r="AC243" i="18"/>
  <c r="AB243" i="18"/>
  <c r="AA243" i="18"/>
  <c r="Z243" i="18"/>
  <c r="Y243" i="18"/>
  <c r="X243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AD243" i="18" s="1"/>
  <c r="AE242" i="18"/>
  <c r="AC242" i="18"/>
  <c r="AB242" i="18"/>
  <c r="AA242" i="18"/>
  <c r="Z242" i="18"/>
  <c r="Y242" i="18"/>
  <c r="X242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AD242" i="18" s="1"/>
  <c r="AE241" i="18"/>
  <c r="AC241" i="18"/>
  <c r="AB241" i="18"/>
  <c r="AA241" i="18"/>
  <c r="Z241" i="18"/>
  <c r="Y241" i="18"/>
  <c r="X241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AE240" i="18"/>
  <c r="AC240" i="18"/>
  <c r="AB240" i="18"/>
  <c r="AA240" i="18"/>
  <c r="Z240" i="18"/>
  <c r="Y240" i="18"/>
  <c r="X240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AD240" i="18"/>
  <c r="AE239" i="18"/>
  <c r="AC239" i="18"/>
  <c r="AB239" i="18"/>
  <c r="AA239" i="18"/>
  <c r="Z239" i="18"/>
  <c r="Y239" i="18"/>
  <c r="X239" i="18"/>
  <c r="W239" i="18"/>
  <c r="V239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AD239" i="18"/>
  <c r="AE238" i="18"/>
  <c r="AC238" i="18"/>
  <c r="AB238" i="18"/>
  <c r="AA238" i="18"/>
  <c r="Z238" i="18"/>
  <c r="Y238" i="18"/>
  <c r="X238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AD238" i="18"/>
  <c r="AE237" i="18"/>
  <c r="AC237" i="18"/>
  <c r="AB237" i="18"/>
  <c r="AA237" i="18"/>
  <c r="Z237" i="18"/>
  <c r="Y237" i="18"/>
  <c r="X237" i="18"/>
  <c r="W237" i="18"/>
  <c r="V237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AD237" i="18"/>
  <c r="AE236" i="18"/>
  <c r="AC236" i="18"/>
  <c r="AB236" i="18"/>
  <c r="AA236" i="18"/>
  <c r="Z236" i="18"/>
  <c r="Y236" i="18"/>
  <c r="X236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AD236" i="18"/>
  <c r="AE235" i="18"/>
  <c r="AC235" i="18"/>
  <c r="AB235" i="18"/>
  <c r="AA235" i="18"/>
  <c r="Z235" i="18"/>
  <c r="Y235" i="18"/>
  <c r="X235" i="18"/>
  <c r="W235" i="18"/>
  <c r="V235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AD235" i="18"/>
  <c r="AE234" i="18"/>
  <c r="AC234" i="18"/>
  <c r="AB234" i="18"/>
  <c r="AA234" i="18"/>
  <c r="Z234" i="18"/>
  <c r="Y234" i="18"/>
  <c r="X234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AD234" i="18"/>
  <c r="AE233" i="18"/>
  <c r="AC233" i="18"/>
  <c r="AB233" i="18"/>
  <c r="AA233" i="18"/>
  <c r="Z233" i="18"/>
  <c r="Y233" i="18"/>
  <c r="X233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AD233" i="18"/>
  <c r="AE232" i="18"/>
  <c r="AC232" i="18"/>
  <c r="AB232" i="18"/>
  <c r="AA232" i="18"/>
  <c r="Z232" i="18"/>
  <c r="Y232" i="18"/>
  <c r="X232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AD232" i="18"/>
  <c r="AE231" i="18"/>
  <c r="AC231" i="18"/>
  <c r="AB231" i="18"/>
  <c r="AA231" i="18"/>
  <c r="Z231" i="18"/>
  <c r="Y231" i="18"/>
  <c r="X231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AD231" i="18"/>
  <c r="AE230" i="18"/>
  <c r="AC230" i="18"/>
  <c r="AB230" i="18"/>
  <c r="AA230" i="18"/>
  <c r="Z230" i="18"/>
  <c r="Y230" i="18"/>
  <c r="X230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AD230" i="18"/>
  <c r="AE229" i="18"/>
  <c r="AC229" i="18"/>
  <c r="AB229" i="18"/>
  <c r="AA229" i="18"/>
  <c r="Z229" i="18"/>
  <c r="Y229" i="18"/>
  <c r="X229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AD229" i="18"/>
  <c r="AE228" i="18"/>
  <c r="AC228" i="18"/>
  <c r="AB228" i="18"/>
  <c r="AA228" i="18"/>
  <c r="Z228" i="18"/>
  <c r="Y228" i="18"/>
  <c r="X228" i="18"/>
  <c r="W228" i="18"/>
  <c r="V228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AD228" i="18"/>
  <c r="AE227" i="18"/>
  <c r="AC227" i="18"/>
  <c r="AB227" i="18"/>
  <c r="AA227" i="18"/>
  <c r="Z227" i="18"/>
  <c r="Y227" i="18"/>
  <c r="X227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AD227" i="18"/>
  <c r="AE226" i="18"/>
  <c r="AC226" i="18"/>
  <c r="AB226" i="18"/>
  <c r="AA226" i="18"/>
  <c r="Z226" i="18"/>
  <c r="Y226" i="18"/>
  <c r="X226" i="18"/>
  <c r="W226" i="18"/>
  <c r="V226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AD226" i="18"/>
  <c r="AE225" i="18"/>
  <c r="AC225" i="18"/>
  <c r="AB225" i="18"/>
  <c r="AA225" i="18"/>
  <c r="Z225" i="18"/>
  <c r="Y225" i="18"/>
  <c r="X225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AD225" i="18"/>
  <c r="AE224" i="18"/>
  <c r="AC224" i="18"/>
  <c r="AB224" i="18"/>
  <c r="AA224" i="18"/>
  <c r="Z224" i="18"/>
  <c r="Y224" i="18"/>
  <c r="X224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AD224" i="18"/>
  <c r="AE223" i="18"/>
  <c r="AC223" i="18"/>
  <c r="AB223" i="18"/>
  <c r="AA223" i="18"/>
  <c r="Z223" i="18"/>
  <c r="Y223" i="18"/>
  <c r="X223" i="18"/>
  <c r="W223" i="18"/>
  <c r="V223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AE222" i="18"/>
  <c r="AC222" i="18"/>
  <c r="AB222" i="18"/>
  <c r="AA222" i="18"/>
  <c r="Z222" i="18"/>
  <c r="Y222" i="18"/>
  <c r="X222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AD222" i="18" s="1"/>
  <c r="AE221" i="18"/>
  <c r="AC221" i="18"/>
  <c r="AB221" i="18"/>
  <c r="AA221" i="18"/>
  <c r="Z221" i="18"/>
  <c r="Y221" i="18"/>
  <c r="X221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AD221" i="18" s="1"/>
  <c r="AE220" i="18"/>
  <c r="AC220" i="18"/>
  <c r="AB220" i="18"/>
  <c r="AA220" i="18"/>
  <c r="Z220" i="18"/>
  <c r="Y220" i="18"/>
  <c r="X220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AD220" i="18" s="1"/>
  <c r="AE219" i="18"/>
  <c r="AC219" i="18"/>
  <c r="AB219" i="18"/>
  <c r="AA219" i="18"/>
  <c r="Z219" i="18"/>
  <c r="Y219" i="18"/>
  <c r="X219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AD219" i="18" s="1"/>
  <c r="AE218" i="18"/>
  <c r="AC218" i="18"/>
  <c r="AB218" i="18"/>
  <c r="AA218" i="18"/>
  <c r="Z218" i="18"/>
  <c r="Y218" i="18"/>
  <c r="X218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AD218" i="18" s="1"/>
  <c r="AE217" i="18"/>
  <c r="AC217" i="18"/>
  <c r="AB217" i="18"/>
  <c r="AA217" i="18"/>
  <c r="Z217" i="18"/>
  <c r="Y217" i="18"/>
  <c r="X217" i="18"/>
  <c r="W217" i="18"/>
  <c r="V217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AD217" i="18" s="1"/>
  <c r="AE216" i="18"/>
  <c r="AC216" i="18"/>
  <c r="AB216" i="18"/>
  <c r="AA216" i="18"/>
  <c r="Z216" i="18"/>
  <c r="Y216" i="18"/>
  <c r="X216" i="18"/>
  <c r="W216" i="18"/>
  <c r="V216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AD216" i="18" s="1"/>
  <c r="AE215" i="18"/>
  <c r="AC215" i="18"/>
  <c r="AB215" i="18"/>
  <c r="AA215" i="18"/>
  <c r="Z215" i="18"/>
  <c r="Y215" i="18"/>
  <c r="X215" i="18"/>
  <c r="W215" i="18"/>
  <c r="V215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AD215" i="18" s="1"/>
  <c r="AE214" i="18"/>
  <c r="AC214" i="18"/>
  <c r="AB214" i="18"/>
  <c r="AA214" i="18"/>
  <c r="Z214" i="18"/>
  <c r="Y214" i="18"/>
  <c r="X214" i="18"/>
  <c r="W214" i="18"/>
  <c r="V214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AD214" i="18" s="1"/>
  <c r="AE213" i="18"/>
  <c r="AC213" i="18"/>
  <c r="AB213" i="18"/>
  <c r="AA213" i="18"/>
  <c r="Z213" i="18"/>
  <c r="Y213" i="18"/>
  <c r="X213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AD213" i="18" s="1"/>
  <c r="AE212" i="18"/>
  <c r="AC212" i="18"/>
  <c r="AB212" i="18"/>
  <c r="AA212" i="18"/>
  <c r="Z212" i="18"/>
  <c r="Y212" i="18"/>
  <c r="X212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AE211" i="18"/>
  <c r="AC211" i="18"/>
  <c r="AB211" i="18"/>
  <c r="AA211" i="18"/>
  <c r="Z211" i="18"/>
  <c r="Y211" i="18"/>
  <c r="X211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AD211" i="18"/>
  <c r="AE210" i="18"/>
  <c r="AC210" i="18"/>
  <c r="AB210" i="18"/>
  <c r="AA210" i="18"/>
  <c r="Z210" i="18"/>
  <c r="Y210" i="18"/>
  <c r="X210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AD210" i="18"/>
  <c r="AE209" i="18"/>
  <c r="AC209" i="18"/>
  <c r="AB209" i="18"/>
  <c r="AA209" i="18"/>
  <c r="Z209" i="18"/>
  <c r="Y209" i="18"/>
  <c r="X209" i="18"/>
  <c r="W209" i="18"/>
  <c r="V209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AD209" i="18"/>
  <c r="AE208" i="18"/>
  <c r="AC208" i="18"/>
  <c r="AB208" i="18"/>
  <c r="AA208" i="18"/>
  <c r="Z208" i="18"/>
  <c r="Y208" i="18"/>
  <c r="X208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AD208" i="18"/>
  <c r="AE207" i="18"/>
  <c r="AC207" i="18"/>
  <c r="AB207" i="18"/>
  <c r="AA207" i="18"/>
  <c r="Z207" i="18"/>
  <c r="Y207" i="18"/>
  <c r="X207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AD207" i="18"/>
  <c r="AE206" i="18"/>
  <c r="AC206" i="18"/>
  <c r="AB206" i="18"/>
  <c r="AA206" i="18"/>
  <c r="Z206" i="18"/>
  <c r="Y206" i="18"/>
  <c r="X206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AD206" i="18"/>
  <c r="AE205" i="18"/>
  <c r="AC205" i="18"/>
  <c r="AB205" i="18"/>
  <c r="AA205" i="18"/>
  <c r="Z205" i="18"/>
  <c r="Y205" i="18"/>
  <c r="X205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AD205" i="18"/>
  <c r="AE204" i="18"/>
  <c r="AC204" i="18"/>
  <c r="AB204" i="18"/>
  <c r="AA204" i="18"/>
  <c r="Z204" i="18"/>
  <c r="Y204" i="18"/>
  <c r="X204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AD204" i="18"/>
  <c r="AE203" i="18"/>
  <c r="AC203" i="18"/>
  <c r="AB203" i="18"/>
  <c r="AA203" i="18"/>
  <c r="Z203" i="18"/>
  <c r="Y203" i="18"/>
  <c r="X203" i="18"/>
  <c r="W203" i="18"/>
  <c r="V203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AE202" i="18"/>
  <c r="AC202" i="18"/>
  <c r="AB202" i="18"/>
  <c r="AA202" i="18"/>
  <c r="Z202" i="18"/>
  <c r="Y202" i="18"/>
  <c r="X202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AD202" i="18" s="1"/>
  <c r="AE201" i="18"/>
  <c r="AC201" i="18"/>
  <c r="AB201" i="18"/>
  <c r="AA201" i="18"/>
  <c r="Z201" i="18"/>
  <c r="Y201" i="18"/>
  <c r="X201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AD201" i="18" s="1"/>
  <c r="AE200" i="18"/>
  <c r="AC200" i="18"/>
  <c r="AB200" i="18"/>
  <c r="AA200" i="18"/>
  <c r="Z200" i="18"/>
  <c r="Y200" i="18"/>
  <c r="X200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AD200" i="18" s="1"/>
  <c r="AE199" i="18"/>
  <c r="AC199" i="18"/>
  <c r="AB199" i="18"/>
  <c r="AA199" i="18"/>
  <c r="Z199" i="18"/>
  <c r="Y199" i="18"/>
  <c r="X199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AE198" i="18"/>
  <c r="AC198" i="18"/>
  <c r="AB198" i="18"/>
  <c r="AA198" i="18"/>
  <c r="Z198" i="18"/>
  <c r="Y198" i="18"/>
  <c r="X198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AD198" i="18"/>
  <c r="AE197" i="18"/>
  <c r="AC197" i="18"/>
  <c r="AB197" i="18"/>
  <c r="AA197" i="18"/>
  <c r="Z197" i="18"/>
  <c r="Y197" i="18"/>
  <c r="X197" i="18"/>
  <c r="W197" i="18"/>
  <c r="V197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AD197" i="18"/>
  <c r="AE196" i="18"/>
  <c r="AC196" i="18"/>
  <c r="AB196" i="18"/>
  <c r="AA196" i="18"/>
  <c r="Z196" i="18"/>
  <c r="Y196" i="18"/>
  <c r="X196" i="18"/>
  <c r="W196" i="18"/>
  <c r="V196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AD196" i="18"/>
  <c r="AE195" i="18"/>
  <c r="AC195" i="18"/>
  <c r="AB195" i="18"/>
  <c r="AA195" i="18"/>
  <c r="Z195" i="18"/>
  <c r="Y195" i="18"/>
  <c r="X195" i="18"/>
  <c r="W195" i="18"/>
  <c r="V195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AD195" i="18"/>
  <c r="AE194" i="18"/>
  <c r="AC194" i="18"/>
  <c r="AB194" i="18"/>
  <c r="AA194" i="18"/>
  <c r="Z194" i="18"/>
  <c r="Y194" i="18"/>
  <c r="X194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AD194" i="18"/>
  <c r="AE193" i="18"/>
  <c r="AC193" i="18"/>
  <c r="AB193" i="18"/>
  <c r="AA193" i="18"/>
  <c r="Z193" i="18"/>
  <c r="Y193" i="18"/>
  <c r="X193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AE192" i="18"/>
  <c r="AC192" i="18"/>
  <c r="AB192" i="18"/>
  <c r="AA192" i="18"/>
  <c r="Z192" i="18"/>
  <c r="Y192" i="18"/>
  <c r="X192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AD192" i="18" s="1"/>
  <c r="AE191" i="18"/>
  <c r="AC191" i="18"/>
  <c r="AB191" i="18"/>
  <c r="AA191" i="18"/>
  <c r="Z191" i="18"/>
  <c r="Y191" i="18"/>
  <c r="X191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AD191" i="18" s="1"/>
  <c r="AE190" i="18"/>
  <c r="AC190" i="18"/>
  <c r="AB190" i="18"/>
  <c r="AA190" i="18"/>
  <c r="Z190" i="18"/>
  <c r="Y190" i="18"/>
  <c r="X190" i="18"/>
  <c r="W190" i="18"/>
  <c r="V190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AD190" i="18" s="1"/>
  <c r="AE189" i="18"/>
  <c r="AC189" i="18"/>
  <c r="AB189" i="18"/>
  <c r="AA189" i="18"/>
  <c r="Z189" i="18"/>
  <c r="Y189" i="18"/>
  <c r="X189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AD189" i="18" s="1"/>
  <c r="AE188" i="18"/>
  <c r="AC188" i="18"/>
  <c r="AB188" i="18"/>
  <c r="AA188" i="18"/>
  <c r="Z188" i="18"/>
  <c r="Y188" i="18"/>
  <c r="X188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AD188" i="18" s="1"/>
  <c r="AE187" i="18"/>
  <c r="AC187" i="18"/>
  <c r="AB187" i="18"/>
  <c r="AA187" i="18"/>
  <c r="Z187" i="18"/>
  <c r="Y187" i="18"/>
  <c r="X187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AD187" i="18" s="1"/>
  <c r="AE186" i="18"/>
  <c r="AC186" i="18"/>
  <c r="AB186" i="18"/>
  <c r="AA186" i="18"/>
  <c r="Z186" i="18"/>
  <c r="Y186" i="18"/>
  <c r="X186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AD186" i="18" s="1"/>
  <c r="AE185" i="18"/>
  <c r="AC185" i="18"/>
  <c r="AB185" i="18"/>
  <c r="AA185" i="18"/>
  <c r="Z185" i="18"/>
  <c r="Y185" i="18"/>
  <c r="X185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AD185" i="18" s="1"/>
  <c r="AE184" i="18"/>
  <c r="AC184" i="18"/>
  <c r="AB184" i="18"/>
  <c r="AA184" i="18"/>
  <c r="Z184" i="18"/>
  <c r="Y184" i="18"/>
  <c r="X184" i="18"/>
  <c r="W184" i="18"/>
  <c r="V184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AD184" i="18" s="1"/>
  <c r="AE183" i="18"/>
  <c r="AC183" i="18"/>
  <c r="AB183" i="18"/>
  <c r="AA183" i="18"/>
  <c r="Z183" i="18"/>
  <c r="Y183" i="18"/>
  <c r="X183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AD183" i="18" s="1"/>
  <c r="AE182" i="18"/>
  <c r="AC182" i="18"/>
  <c r="AB182" i="18"/>
  <c r="AA182" i="18"/>
  <c r="Z182" i="18"/>
  <c r="Y182" i="18"/>
  <c r="X182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AE181" i="18"/>
  <c r="AC181" i="18"/>
  <c r="AB181" i="18"/>
  <c r="AA181" i="18"/>
  <c r="Z181" i="18"/>
  <c r="Y181" i="18"/>
  <c r="X181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AD181" i="18"/>
  <c r="AE180" i="18"/>
  <c r="AC180" i="18"/>
  <c r="AB180" i="18"/>
  <c r="AA180" i="18"/>
  <c r="Z180" i="18"/>
  <c r="Y180" i="18"/>
  <c r="X180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AE179" i="18"/>
  <c r="AC179" i="18"/>
  <c r="AB179" i="18"/>
  <c r="AA179" i="18"/>
  <c r="Z179" i="18"/>
  <c r="Y179" i="18"/>
  <c r="X179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AD179" i="18" s="1"/>
  <c r="AE178" i="18"/>
  <c r="AC178" i="18"/>
  <c r="AB178" i="18"/>
  <c r="AA178" i="18"/>
  <c r="Z178" i="18"/>
  <c r="Y178" i="18"/>
  <c r="X178" i="18"/>
  <c r="W178" i="18"/>
  <c r="V178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AE177" i="18"/>
  <c r="AC177" i="18"/>
  <c r="AB177" i="18"/>
  <c r="AA177" i="18"/>
  <c r="Z177" i="18"/>
  <c r="Y177" i="18"/>
  <c r="X177" i="18"/>
  <c r="W177" i="18"/>
  <c r="V177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AD177" i="18"/>
  <c r="AE176" i="18"/>
  <c r="AC176" i="18"/>
  <c r="AB176" i="18"/>
  <c r="AA176" i="18"/>
  <c r="Z176" i="18"/>
  <c r="Y176" i="18"/>
  <c r="X176" i="18"/>
  <c r="W176" i="18"/>
  <c r="V176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AE175" i="18"/>
  <c r="AC175" i="18"/>
  <c r="AB175" i="18"/>
  <c r="AA175" i="18"/>
  <c r="Z175" i="18"/>
  <c r="Y175" i="18"/>
  <c r="X175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AD175" i="18" s="1"/>
  <c r="AE174" i="18"/>
  <c r="AC174" i="18"/>
  <c r="AB174" i="18"/>
  <c r="AA174" i="18"/>
  <c r="Z174" i="18"/>
  <c r="Y174" i="18"/>
  <c r="X174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AE173" i="18"/>
  <c r="AC173" i="18"/>
  <c r="AB173" i="18"/>
  <c r="AA173" i="18"/>
  <c r="Z173" i="18"/>
  <c r="Y173" i="18"/>
  <c r="X173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AD173" i="18"/>
  <c r="AE172" i="18"/>
  <c r="AC172" i="18"/>
  <c r="AB172" i="18"/>
  <c r="AA172" i="18"/>
  <c r="Z172" i="18"/>
  <c r="Y172" i="18"/>
  <c r="X172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AD172" i="18"/>
  <c r="AE171" i="18"/>
  <c r="AC171" i="18"/>
  <c r="AB171" i="18"/>
  <c r="AA171" i="18"/>
  <c r="Z171" i="18"/>
  <c r="Y171" i="18"/>
  <c r="X171" i="18"/>
  <c r="W171" i="18"/>
  <c r="V171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AD171" i="18"/>
  <c r="AE170" i="18"/>
  <c r="AC170" i="18"/>
  <c r="AB170" i="18"/>
  <c r="AA170" i="18"/>
  <c r="Z170" i="18"/>
  <c r="Y170" i="18"/>
  <c r="X170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AD170" i="18"/>
  <c r="AE169" i="18"/>
  <c r="AC169" i="18"/>
  <c r="AB169" i="18"/>
  <c r="AA169" i="18"/>
  <c r="Z169" i="18"/>
  <c r="Y169" i="18"/>
  <c r="X169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AD169" i="18"/>
  <c r="AE168" i="18"/>
  <c r="AC168" i="18"/>
  <c r="AB168" i="18"/>
  <c r="AA168" i="18"/>
  <c r="Z168" i="18"/>
  <c r="Y168" i="18"/>
  <c r="X168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AD168" i="18"/>
  <c r="AE167" i="18"/>
  <c r="AC167" i="18"/>
  <c r="AB167" i="18"/>
  <c r="AA167" i="18"/>
  <c r="Z167" i="18"/>
  <c r="Y167" i="18"/>
  <c r="X167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AD167" i="18"/>
  <c r="AE166" i="18"/>
  <c r="AC166" i="18"/>
  <c r="AB166" i="18"/>
  <c r="AA166" i="18"/>
  <c r="Z166" i="18"/>
  <c r="Y166" i="18"/>
  <c r="X166" i="18"/>
  <c r="W166" i="18"/>
  <c r="V166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AD166" i="18"/>
  <c r="AE165" i="18"/>
  <c r="AC165" i="18"/>
  <c r="AB165" i="18"/>
  <c r="AA165" i="18"/>
  <c r="Z165" i="18"/>
  <c r="Y165" i="18"/>
  <c r="X165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AD165" i="18"/>
  <c r="AE164" i="18"/>
  <c r="AC164" i="18"/>
  <c r="AB164" i="18"/>
  <c r="AA164" i="18"/>
  <c r="Z164" i="18"/>
  <c r="Y164" i="18"/>
  <c r="X164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AD164" i="18"/>
  <c r="AE163" i="18"/>
  <c r="AC163" i="18"/>
  <c r="AB163" i="18"/>
  <c r="AA163" i="18"/>
  <c r="Z163" i="18"/>
  <c r="Y163" i="18"/>
  <c r="X163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AD163" i="18"/>
  <c r="AE162" i="18"/>
  <c r="AC162" i="18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AD162" i="18"/>
  <c r="AE161" i="18"/>
  <c r="AC161" i="18"/>
  <c r="AB161" i="18"/>
  <c r="AA161" i="18"/>
  <c r="Z161" i="18"/>
  <c r="Y161" i="18"/>
  <c r="X161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AD161" i="18"/>
  <c r="AE160" i="18"/>
  <c r="AC160" i="18"/>
  <c r="AB160" i="18"/>
  <c r="AA160" i="18"/>
  <c r="Z160" i="18"/>
  <c r="Y160" i="18"/>
  <c r="X160" i="18"/>
  <c r="W160" i="18"/>
  <c r="V160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AD160" i="18"/>
  <c r="AE159" i="18"/>
  <c r="AC159" i="18"/>
  <c r="AB159" i="18"/>
  <c r="AA159" i="18"/>
  <c r="Z159" i="18"/>
  <c r="Y159" i="18"/>
  <c r="X159" i="18"/>
  <c r="W159" i="18"/>
  <c r="V159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AD159" i="18"/>
  <c r="AE158" i="18"/>
  <c r="AC158" i="18"/>
  <c r="AB158" i="18"/>
  <c r="AA158" i="18"/>
  <c r="Z158" i="18"/>
  <c r="Y158" i="18"/>
  <c r="X158" i="18"/>
  <c r="W158" i="18"/>
  <c r="V158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AD158" i="18"/>
  <c r="AE157" i="18"/>
  <c r="AC157" i="18"/>
  <c r="AB157" i="18"/>
  <c r="AA157" i="18"/>
  <c r="Z157" i="18"/>
  <c r="Y157" i="18"/>
  <c r="X157" i="18"/>
  <c r="W157" i="18"/>
  <c r="V157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AD157" i="18"/>
  <c r="AE156" i="18"/>
  <c r="AC156" i="18"/>
  <c r="AB156" i="18"/>
  <c r="AA156" i="18"/>
  <c r="Z156" i="18"/>
  <c r="Y156" i="18"/>
  <c r="X156" i="18"/>
  <c r="W156" i="18"/>
  <c r="V156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AD156" i="18"/>
  <c r="AE155" i="18"/>
  <c r="AC155" i="18"/>
  <c r="AB155" i="18"/>
  <c r="AA155" i="18"/>
  <c r="Z155" i="18"/>
  <c r="Y155" i="18"/>
  <c r="X155" i="18"/>
  <c r="W155" i="18"/>
  <c r="V155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AD155" i="18"/>
  <c r="AE154" i="18"/>
  <c r="AC154" i="18"/>
  <c r="AB154" i="18"/>
  <c r="AA154" i="18"/>
  <c r="Z154" i="18"/>
  <c r="Y154" i="18"/>
  <c r="X154" i="18"/>
  <c r="W154" i="18"/>
  <c r="V154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AD154" i="18"/>
  <c r="AE153" i="18"/>
  <c r="AC153" i="18"/>
  <c r="AB153" i="18"/>
  <c r="AA153" i="18"/>
  <c r="Z153" i="18"/>
  <c r="Y153" i="18"/>
  <c r="X153" i="18"/>
  <c r="W153" i="18"/>
  <c r="V153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AD153" i="18"/>
  <c r="AE152" i="18"/>
  <c r="AC152" i="18"/>
  <c r="AB152" i="18"/>
  <c r="AA152" i="18"/>
  <c r="Z152" i="18"/>
  <c r="Y152" i="18"/>
  <c r="X152" i="18"/>
  <c r="W152" i="18"/>
  <c r="V152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AD152" i="18"/>
  <c r="AE151" i="18"/>
  <c r="AC151" i="18"/>
  <c r="AB151" i="18"/>
  <c r="AA151" i="18"/>
  <c r="Z151" i="18"/>
  <c r="Y151" i="18"/>
  <c r="X151" i="18"/>
  <c r="W151" i="18"/>
  <c r="V151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AE150" i="18"/>
  <c r="AC150" i="18"/>
  <c r="AB150" i="18"/>
  <c r="AA150" i="18"/>
  <c r="Z150" i="18"/>
  <c r="Y150" i="18"/>
  <c r="X150" i="18"/>
  <c r="W150" i="18"/>
  <c r="V150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AD150" i="18" s="1"/>
  <c r="AE149" i="18"/>
  <c r="AC149" i="18"/>
  <c r="AB149" i="18"/>
  <c r="AA149" i="18"/>
  <c r="Z149" i="18"/>
  <c r="Y149" i="18"/>
  <c r="X149" i="18"/>
  <c r="W149" i="18"/>
  <c r="V149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AD149" i="18" s="1"/>
  <c r="AE148" i="18"/>
  <c r="AC148" i="18"/>
  <c r="AB148" i="18"/>
  <c r="AA148" i="18"/>
  <c r="Z148" i="18"/>
  <c r="Y148" i="18"/>
  <c r="X148" i="18"/>
  <c r="W148" i="18"/>
  <c r="V148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AD148" i="18" s="1"/>
  <c r="AE147" i="18"/>
  <c r="AC147" i="18"/>
  <c r="AB147" i="18"/>
  <c r="AA147" i="18"/>
  <c r="Z147" i="18"/>
  <c r="Y147" i="18"/>
  <c r="X147" i="18"/>
  <c r="W147" i="18"/>
  <c r="V147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AD147" i="18" s="1"/>
  <c r="AE146" i="18"/>
  <c r="AC146" i="18"/>
  <c r="AB146" i="18"/>
  <c r="AA146" i="18"/>
  <c r="Z146" i="18"/>
  <c r="Y146" i="18"/>
  <c r="X146" i="18"/>
  <c r="W146" i="18"/>
  <c r="V146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AD146" i="18" s="1"/>
  <c r="AE145" i="18"/>
  <c r="AC145" i="18"/>
  <c r="AB145" i="18"/>
  <c r="AA145" i="18"/>
  <c r="Z145" i="18"/>
  <c r="Y145" i="18"/>
  <c r="X145" i="18"/>
  <c r="W145" i="18"/>
  <c r="V145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AD145" i="18" s="1"/>
  <c r="AE144" i="18"/>
  <c r="AC144" i="18"/>
  <c r="AB144" i="18"/>
  <c r="AA144" i="18"/>
  <c r="Z144" i="18"/>
  <c r="Y144" i="18"/>
  <c r="X144" i="18"/>
  <c r="W144" i="18"/>
  <c r="V144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AD144" i="18" s="1"/>
  <c r="AE143" i="18"/>
  <c r="AC143" i="18"/>
  <c r="AB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AD143" i="18" s="1"/>
  <c r="AE142" i="18"/>
  <c r="AC142" i="18"/>
  <c r="AB142" i="18"/>
  <c r="AA142" i="18"/>
  <c r="Z142" i="18"/>
  <c r="Y142" i="18"/>
  <c r="X142" i="18"/>
  <c r="W142" i="18"/>
  <c r="V142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AD142" i="18" s="1"/>
  <c r="AE141" i="18"/>
  <c r="AC141" i="18"/>
  <c r="AB141" i="18"/>
  <c r="AA141" i="18"/>
  <c r="Z141" i="18"/>
  <c r="Y141" i="18"/>
  <c r="X141" i="18"/>
  <c r="W141" i="18"/>
  <c r="V141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AD141" i="18" s="1"/>
  <c r="AE140" i="18"/>
  <c r="AC140" i="18"/>
  <c r="AB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AD140" i="18" s="1"/>
  <c r="AE139" i="18"/>
  <c r="AC139" i="18"/>
  <c r="AB139" i="18"/>
  <c r="AA139" i="18"/>
  <c r="Z139" i="18"/>
  <c r="Y139" i="18"/>
  <c r="X139" i="18"/>
  <c r="W139" i="18"/>
  <c r="V139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AD139" i="18" s="1"/>
  <c r="AE138" i="18"/>
  <c r="AC138" i="18"/>
  <c r="AB138" i="18"/>
  <c r="AA138" i="18"/>
  <c r="Z138" i="18"/>
  <c r="Y138" i="18"/>
  <c r="X138" i="18"/>
  <c r="W138" i="18"/>
  <c r="V138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AD138" i="18" s="1"/>
  <c r="AE137" i="18"/>
  <c r="AC137" i="18"/>
  <c r="AB137" i="18"/>
  <c r="AA137" i="18"/>
  <c r="Z137" i="18"/>
  <c r="Y137" i="18"/>
  <c r="X137" i="18"/>
  <c r="W137" i="18"/>
  <c r="V137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AE136" i="18"/>
  <c r="AC136" i="18"/>
  <c r="AB136" i="18"/>
  <c r="AA136" i="18"/>
  <c r="Z136" i="18"/>
  <c r="Y136" i="18"/>
  <c r="X136" i="18"/>
  <c r="W136" i="18"/>
  <c r="V136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AD136" i="18"/>
  <c r="AE135" i="18"/>
  <c r="AC135" i="18"/>
  <c r="AB135" i="18"/>
  <c r="AA135" i="18"/>
  <c r="Z135" i="18"/>
  <c r="Y135" i="18"/>
  <c r="X135" i="18"/>
  <c r="W135" i="18"/>
  <c r="V135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AD135" i="18"/>
  <c r="AE134" i="18"/>
  <c r="AC134" i="18"/>
  <c r="AB134" i="18"/>
  <c r="AA134" i="18"/>
  <c r="Z134" i="18"/>
  <c r="Y134" i="18"/>
  <c r="X134" i="18"/>
  <c r="W134" i="18"/>
  <c r="V134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AD134" i="18"/>
  <c r="AE133" i="18"/>
  <c r="AC133" i="18"/>
  <c r="AB133" i="18"/>
  <c r="AA133" i="18"/>
  <c r="Z133" i="18"/>
  <c r="Y133" i="18"/>
  <c r="X133" i="18"/>
  <c r="W133" i="18"/>
  <c r="V133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AD133" i="18"/>
  <c r="AE132" i="18"/>
  <c r="AC132" i="18"/>
  <c r="AB132" i="18"/>
  <c r="AA132" i="18"/>
  <c r="Z132" i="18"/>
  <c r="Y132" i="18"/>
  <c r="X132" i="18"/>
  <c r="W132" i="18"/>
  <c r="V132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AD132" i="18"/>
  <c r="AE131" i="18"/>
  <c r="AC131" i="18"/>
  <c r="AB131" i="18"/>
  <c r="AA131" i="18"/>
  <c r="Z131" i="18"/>
  <c r="Y131" i="18"/>
  <c r="X131" i="18"/>
  <c r="W131" i="18"/>
  <c r="V131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AD131" i="18"/>
  <c r="AE130" i="18"/>
  <c r="AC130" i="18"/>
  <c r="AB130" i="18"/>
  <c r="AA130" i="18"/>
  <c r="Z130" i="18"/>
  <c r="Y130" i="18"/>
  <c r="X130" i="18"/>
  <c r="W130" i="18"/>
  <c r="V130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AE129" i="18"/>
  <c r="AC129" i="18"/>
  <c r="AB129" i="18"/>
  <c r="AA129" i="18"/>
  <c r="Z129" i="18"/>
  <c r="Y129" i="18"/>
  <c r="X129" i="18"/>
  <c r="W129" i="18"/>
  <c r="V129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AD129" i="18" s="1"/>
  <c r="AE128" i="18"/>
  <c r="AC128" i="18"/>
  <c r="AB128" i="18"/>
  <c r="AA128" i="18"/>
  <c r="Z128" i="18"/>
  <c r="Y128" i="18"/>
  <c r="X128" i="18"/>
  <c r="W128" i="18"/>
  <c r="V128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AD128" i="18" s="1"/>
  <c r="AE127" i="18"/>
  <c r="AC127" i="18"/>
  <c r="AB127" i="18"/>
  <c r="AA127" i="18"/>
  <c r="Z127" i="18"/>
  <c r="Y127" i="18"/>
  <c r="X127" i="18"/>
  <c r="W127" i="18"/>
  <c r="V127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AD127" i="18" s="1"/>
  <c r="AE126" i="18"/>
  <c r="AC126" i="18"/>
  <c r="AB126" i="18"/>
  <c r="AA126" i="18"/>
  <c r="Z126" i="18"/>
  <c r="Y126" i="18"/>
  <c r="X126" i="18"/>
  <c r="W126" i="18"/>
  <c r="V126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AD126" i="18" s="1"/>
  <c r="AE125" i="18"/>
  <c r="AC125" i="18"/>
  <c r="AB125" i="18"/>
  <c r="AA125" i="18"/>
  <c r="Z125" i="18"/>
  <c r="Y125" i="18"/>
  <c r="X125" i="18"/>
  <c r="W125" i="18"/>
  <c r="V125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AE124" i="18"/>
  <c r="AC124" i="18"/>
  <c r="AB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AD124" i="18"/>
  <c r="AE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AD123" i="18"/>
  <c r="AE122" i="18"/>
  <c r="AC122" i="18"/>
  <c r="AB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AD122" i="18"/>
  <c r="AE121" i="18"/>
  <c r="AC121" i="18"/>
  <c r="AB121" i="18"/>
  <c r="AA121" i="18"/>
  <c r="Z121" i="18"/>
  <c r="Y121" i="18"/>
  <c r="X121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AD121" i="18"/>
  <c r="AE120" i="18"/>
  <c r="AC120" i="18"/>
  <c r="AB120" i="18"/>
  <c r="AA120" i="18"/>
  <c r="Z120" i="18"/>
  <c r="Y120" i="18"/>
  <c r="X120" i="18"/>
  <c r="W120" i="18"/>
  <c r="V120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AD120" i="18"/>
  <c r="AE119" i="18"/>
  <c r="AC119" i="18"/>
  <c r="AB119" i="18"/>
  <c r="AA119" i="18"/>
  <c r="Z119" i="18"/>
  <c r="Y119" i="18"/>
  <c r="X119" i="18"/>
  <c r="W119" i="18"/>
  <c r="V119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AD119" i="18"/>
  <c r="AE118" i="18"/>
  <c r="AC118" i="18"/>
  <c r="AB118" i="18"/>
  <c r="AA118" i="18"/>
  <c r="Z118" i="18"/>
  <c r="Y118" i="18"/>
  <c r="X118" i="18"/>
  <c r="W118" i="18"/>
  <c r="V118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AD118" i="18"/>
  <c r="AE117" i="18"/>
  <c r="AC117" i="18"/>
  <c r="AB117" i="18"/>
  <c r="AA117" i="18"/>
  <c r="Z117" i="18"/>
  <c r="Y117" i="18"/>
  <c r="X117" i="18"/>
  <c r="W117" i="18"/>
  <c r="V117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AD117" i="18"/>
  <c r="AE116" i="18"/>
  <c r="AC116" i="18"/>
  <c r="AB116" i="18"/>
  <c r="AA116" i="18"/>
  <c r="Z116" i="18"/>
  <c r="Y116" i="18"/>
  <c r="X116" i="18"/>
  <c r="W116" i="18"/>
  <c r="V116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AD116" i="18"/>
  <c r="AE115" i="18"/>
  <c r="AC115" i="18"/>
  <c r="AB115" i="18"/>
  <c r="AA115" i="18"/>
  <c r="Z115" i="18"/>
  <c r="Y115" i="18"/>
  <c r="X115" i="18"/>
  <c r="W115" i="18"/>
  <c r="V115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AD115" i="18"/>
  <c r="AE114" i="18"/>
  <c r="AC114" i="18"/>
  <c r="AB114" i="18"/>
  <c r="AA114" i="18"/>
  <c r="Z114" i="18"/>
  <c r="Y114" i="18"/>
  <c r="X114" i="18"/>
  <c r="W114" i="18"/>
  <c r="V114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AD114" i="18"/>
  <c r="AE113" i="18"/>
  <c r="AC113" i="18"/>
  <c r="AB113" i="18"/>
  <c r="AA113" i="18"/>
  <c r="Z113" i="18"/>
  <c r="Y113" i="18"/>
  <c r="X113" i="18"/>
  <c r="W113" i="18"/>
  <c r="V113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AD113" i="18"/>
  <c r="AE112" i="18"/>
  <c r="AC112" i="18"/>
  <c r="AB112" i="18"/>
  <c r="AA112" i="18"/>
  <c r="Z112" i="18"/>
  <c r="Y112" i="18"/>
  <c r="X112" i="18"/>
  <c r="W112" i="18"/>
  <c r="V112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AD112" i="18"/>
  <c r="AE111" i="18"/>
  <c r="AC111" i="18"/>
  <c r="AB111" i="18"/>
  <c r="AA111" i="18"/>
  <c r="Z111" i="18"/>
  <c r="Y111" i="18"/>
  <c r="X111" i="18"/>
  <c r="W111" i="18"/>
  <c r="V111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AD111" i="18"/>
  <c r="AE110" i="18"/>
  <c r="AC110" i="18"/>
  <c r="AB110" i="18"/>
  <c r="AA110" i="18"/>
  <c r="Z110" i="18"/>
  <c r="Y110" i="18"/>
  <c r="X110" i="18"/>
  <c r="W110" i="18"/>
  <c r="V110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AD110" i="18"/>
  <c r="AE109" i="18"/>
  <c r="AC109" i="18"/>
  <c r="AB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AE108" i="18"/>
  <c r="AC108" i="18"/>
  <c r="AB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AD108" i="18" s="1"/>
  <c r="AE107" i="18"/>
  <c r="AC107" i="18"/>
  <c r="AB107" i="18"/>
  <c r="AA107" i="18"/>
  <c r="Z107" i="18"/>
  <c r="Y107" i="18"/>
  <c r="X107" i="18"/>
  <c r="W107" i="18"/>
  <c r="V107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AD107" i="18" s="1"/>
  <c r="AE106" i="18"/>
  <c r="AC106" i="18"/>
  <c r="AB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AD106" i="18" s="1"/>
  <c r="AE105" i="18"/>
  <c r="AC105" i="18"/>
  <c r="AB105" i="18"/>
  <c r="AA105" i="18"/>
  <c r="Z105" i="18"/>
  <c r="Y105" i="18"/>
  <c r="X105" i="18"/>
  <c r="W105" i="18"/>
  <c r="V105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AE104" i="18"/>
  <c r="AC104" i="18"/>
  <c r="AB104" i="18"/>
  <c r="AA104" i="18"/>
  <c r="Z104" i="18"/>
  <c r="Y104" i="18"/>
  <c r="X104" i="18"/>
  <c r="W104" i="18"/>
  <c r="V104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AD104" i="18"/>
  <c r="AE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AD103" i="18"/>
  <c r="AE102" i="18"/>
  <c r="AC102" i="18"/>
  <c r="AB102" i="18"/>
  <c r="AA102" i="18"/>
  <c r="Z102" i="18"/>
  <c r="Y102" i="18"/>
  <c r="X102" i="18"/>
  <c r="W102" i="18"/>
  <c r="V102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AD102" i="18"/>
  <c r="AE101" i="18"/>
  <c r="AC101" i="18"/>
  <c r="AB101" i="18"/>
  <c r="AA101" i="18"/>
  <c r="Z101" i="18"/>
  <c r="Y101" i="18"/>
  <c r="X101" i="18"/>
  <c r="W101" i="18"/>
  <c r="V101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AD101" i="18"/>
  <c r="AE100" i="18"/>
  <c r="AC100" i="18"/>
  <c r="AB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AD100" i="18"/>
  <c r="AE99" i="18"/>
  <c r="AC99" i="18"/>
  <c r="AB99" i="18"/>
  <c r="AA99" i="18"/>
  <c r="Z99" i="18"/>
  <c r="Y99" i="18"/>
  <c r="X99" i="18"/>
  <c r="W99" i="18"/>
  <c r="V99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AD99" i="18"/>
  <c r="AE98" i="18"/>
  <c r="AC98" i="18"/>
  <c r="AB98" i="18"/>
  <c r="AA98" i="18"/>
  <c r="Z98" i="18"/>
  <c r="Y98" i="18"/>
  <c r="X98" i="18"/>
  <c r="W98" i="18"/>
  <c r="V98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AD98" i="18"/>
  <c r="AE97" i="18"/>
  <c r="AC97" i="18"/>
  <c r="AB97" i="18"/>
  <c r="AA97" i="18"/>
  <c r="Z97" i="18"/>
  <c r="Y97" i="18"/>
  <c r="X97" i="18"/>
  <c r="W97" i="18"/>
  <c r="V97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AD97" i="18"/>
  <c r="AE96" i="18"/>
  <c r="AC96" i="18"/>
  <c r="AB96" i="18"/>
  <c r="AA96" i="18"/>
  <c r="Z96" i="18"/>
  <c r="Y96" i="18"/>
  <c r="X96" i="18"/>
  <c r="W96" i="18"/>
  <c r="V96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AD96" i="18"/>
  <c r="AE95" i="18"/>
  <c r="AC95" i="18"/>
  <c r="AB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AD95" i="18"/>
  <c r="AE94" i="18"/>
  <c r="AC94" i="18"/>
  <c r="AB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AD94" i="18"/>
  <c r="AE93" i="18"/>
  <c r="AC93" i="18"/>
  <c r="AB93" i="18"/>
  <c r="AA93" i="18"/>
  <c r="Z93" i="18"/>
  <c r="Y93" i="18"/>
  <c r="X93" i="18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AD93" i="18"/>
  <c r="AE92" i="18"/>
  <c r="AC92" i="18"/>
  <c r="AB92" i="18"/>
  <c r="AA92" i="18"/>
  <c r="Z92" i="18"/>
  <c r="Y92" i="18"/>
  <c r="X92" i="18"/>
  <c r="W92" i="18"/>
  <c r="V92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AD92" i="18"/>
  <c r="AE91" i="18"/>
  <c r="AC91" i="18"/>
  <c r="AB91" i="18"/>
  <c r="AA91" i="18"/>
  <c r="Z91" i="18"/>
  <c r="Y91" i="18"/>
  <c r="X91" i="18"/>
  <c r="W91" i="18"/>
  <c r="V91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AD91" i="18"/>
  <c r="AE90" i="18"/>
  <c r="AC90" i="18"/>
  <c r="AB90" i="18"/>
  <c r="AA90" i="18"/>
  <c r="Z90" i="18"/>
  <c r="Y90" i="18"/>
  <c r="X90" i="18"/>
  <c r="W90" i="18"/>
  <c r="V90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AD90" i="18"/>
  <c r="AE89" i="18"/>
  <c r="AC89" i="18"/>
  <c r="AB89" i="18"/>
  <c r="AA89" i="18"/>
  <c r="Z89" i="18"/>
  <c r="Y89" i="18"/>
  <c r="X89" i="18"/>
  <c r="W89" i="18"/>
  <c r="V89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AD89" i="18"/>
  <c r="AE88" i="18"/>
  <c r="AC88" i="18"/>
  <c r="AB88" i="18"/>
  <c r="AA88" i="18"/>
  <c r="Z88" i="18"/>
  <c r="Y88" i="18"/>
  <c r="X88" i="18"/>
  <c r="W88" i="18"/>
  <c r="V88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AD88" i="18"/>
  <c r="AE87" i="18"/>
  <c r="AC87" i="18"/>
  <c r="AB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AD87" i="18"/>
  <c r="AE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AD86" i="18"/>
  <c r="AE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AE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AD84" i="18" s="1"/>
  <c r="AE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AE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AD82" i="18"/>
  <c r="AE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AD81" i="18"/>
  <c r="AE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AD80" i="18"/>
  <c r="AE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AE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AD78" i="18" s="1"/>
  <c r="AE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AD77" i="18" s="1"/>
  <c r="AE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AD76" i="18" s="1"/>
  <c r="AE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AD75" i="18" s="1"/>
  <c r="AE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AD74" i="18" s="1"/>
  <c r="AE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AE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AD72" i="18"/>
  <c r="AE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AD71" i="18"/>
  <c r="AE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AD70" i="18"/>
  <c r="AE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AD69" i="18"/>
  <c r="AE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AD68" i="18"/>
  <c r="AE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AD67" i="18"/>
  <c r="AE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AD66" i="18"/>
  <c r="AE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AD65" i="18"/>
  <c r="AE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AD64" i="18"/>
  <c r="AE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AD63" i="18"/>
  <c r="AE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AD62" i="18"/>
  <c r="AE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AD61" i="18"/>
  <c r="AE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AD60" i="18"/>
  <c r="AE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AD59" i="18"/>
  <c r="AE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AD58" i="18"/>
  <c r="AE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AD57" i="18"/>
  <c r="AE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AD56" i="18"/>
  <c r="AE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AD55" i="18"/>
  <c r="AE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AD54" i="18"/>
  <c r="AE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AD53" i="18"/>
  <c r="AE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AD52" i="18"/>
  <c r="AE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AD51" i="18"/>
  <c r="AE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AD50" i="18"/>
  <c r="AE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AD49" i="18"/>
  <c r="AE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AD48" i="18"/>
  <c r="AE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AD47" i="18"/>
  <c r="AE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AD46" i="18"/>
  <c r="AE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AD45" i="18"/>
  <c r="AE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AD44" i="18"/>
  <c r="AE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AE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AD42" i="18" s="1"/>
  <c r="AE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AD41" i="18" s="1"/>
  <c r="AE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AD40" i="18" s="1"/>
  <c r="AE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AE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AD38" i="18" s="1"/>
  <c r="AE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AD37" i="18" s="1"/>
  <c r="AE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AD36" i="18" s="1"/>
  <c r="AE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AE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AD34" i="18"/>
  <c r="AE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AD33" i="18"/>
  <c r="AE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AD32" i="18"/>
  <c r="AE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AD31" i="18"/>
  <c r="AE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AD30" i="18"/>
  <c r="AE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AE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AD28" i="18" s="1"/>
  <c r="AE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AD27" i="18" s="1"/>
  <c r="AE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AD26" i="18" s="1"/>
  <c r="AE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AD25" i="18" s="1"/>
  <c r="AE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AD24" i="18" s="1"/>
  <c r="AE23" i="18"/>
  <c r="AC23" i="18"/>
  <c r="AB23" i="18"/>
  <c r="AA23" i="18"/>
  <c r="Z23" i="18"/>
  <c r="Y23" i="18"/>
  <c r="X23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AD23" i="18" s="1"/>
  <c r="AE22" i="18"/>
  <c r="AC22" i="18"/>
  <c r="AB22" i="18"/>
  <c r="AA22" i="18"/>
  <c r="Z22" i="18"/>
  <c r="Y22" i="18"/>
  <c r="X22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AD22" i="18" s="1"/>
  <c r="AE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AD21" i="18" s="1"/>
  <c r="AE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AD20" i="18" s="1"/>
  <c r="AE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AD19" i="18" s="1"/>
  <c r="AE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AD18" i="18" s="1"/>
  <c r="AE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AD17" i="18" s="1"/>
  <c r="AE16" i="18"/>
  <c r="AC16" i="18"/>
  <c r="AB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AD16" i="18" s="1"/>
  <c r="AE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AD15" i="18" s="1"/>
  <c r="AE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AD14" i="18" s="1"/>
  <c r="AE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AD13" i="18" s="1"/>
  <c r="AE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AD12" i="18" s="1"/>
  <c r="AE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AD11" i="18" s="1"/>
  <c r="AE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AD10" i="18" s="1"/>
  <c r="AE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AD9" i="18" s="1"/>
  <c r="AE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AD8" i="18" s="1"/>
  <c r="AE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AD7" i="18" s="1"/>
  <c r="AE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AD6" i="18" s="1"/>
  <c r="AE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AD5" i="18" s="1"/>
  <c r="AE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AD4" i="18" s="1"/>
  <c r="AE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AD3" i="18" s="1"/>
  <c r="AE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AE1" i="18"/>
  <c r="AC1" i="18"/>
  <c r="AB1" i="18"/>
  <c r="AA1" i="18"/>
  <c r="Z1" i="18"/>
  <c r="Y1" i="18"/>
  <c r="X1" i="18"/>
  <c r="W1" i="18"/>
  <c r="V1" i="18"/>
  <c r="U1" i="18"/>
  <c r="T1" i="18"/>
  <c r="S1" i="18"/>
  <c r="R1" i="18"/>
  <c r="Q1" i="18"/>
  <c r="P1" i="18"/>
  <c r="O1" i="18"/>
  <c r="N1" i="18"/>
  <c r="M1" i="18"/>
  <c r="L1" i="18"/>
  <c r="K1" i="18"/>
  <c r="J1" i="18"/>
  <c r="I1" i="18"/>
  <c r="H1" i="18"/>
  <c r="G1" i="18"/>
  <c r="F1" i="18"/>
  <c r="AE365" i="17"/>
  <c r="AC365" i="17"/>
  <c r="AB365" i="17"/>
  <c r="AA365" i="17"/>
  <c r="Z365" i="17"/>
  <c r="Y365" i="17"/>
  <c r="X365" i="17"/>
  <c r="W365" i="17"/>
  <c r="V365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AD365" i="17" s="1"/>
  <c r="AE364" i="17"/>
  <c r="AC364" i="17"/>
  <c r="AB364" i="17"/>
  <c r="AA364" i="17"/>
  <c r="Z364" i="17"/>
  <c r="Y364" i="17"/>
  <c r="X364" i="17"/>
  <c r="W364" i="17"/>
  <c r="V364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AE363" i="17"/>
  <c r="AC363" i="17"/>
  <c r="AB363" i="17"/>
  <c r="AA363" i="17"/>
  <c r="Z363" i="17"/>
  <c r="Y363" i="17"/>
  <c r="X363" i="17"/>
  <c r="W363" i="17"/>
  <c r="V363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AD363" i="17"/>
  <c r="AE362" i="17"/>
  <c r="AC362" i="17"/>
  <c r="AB362" i="17"/>
  <c r="AA362" i="17"/>
  <c r="Z362" i="17"/>
  <c r="Y362" i="17"/>
  <c r="X362" i="17"/>
  <c r="W362" i="17"/>
  <c r="V362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AE361" i="17"/>
  <c r="AC361" i="17"/>
  <c r="AB361" i="17"/>
  <c r="AA361" i="17"/>
  <c r="Z361" i="17"/>
  <c r="Y361" i="17"/>
  <c r="X361" i="17"/>
  <c r="W361" i="17"/>
  <c r="V361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AD361" i="17" s="1"/>
  <c r="AE360" i="17"/>
  <c r="AC360" i="17"/>
  <c r="AB360" i="17"/>
  <c r="AA360" i="17"/>
  <c r="Z360" i="17"/>
  <c r="Y360" i="17"/>
  <c r="X360" i="17"/>
  <c r="W360" i="17"/>
  <c r="V360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AD360" i="17" s="1"/>
  <c r="AE359" i="17"/>
  <c r="AC359" i="17"/>
  <c r="AB359" i="17"/>
  <c r="AA359" i="17"/>
  <c r="Z359" i="17"/>
  <c r="Y359" i="17"/>
  <c r="X359" i="17"/>
  <c r="W359" i="17"/>
  <c r="V359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AD359" i="17" s="1"/>
  <c r="AE358" i="17"/>
  <c r="AC358" i="17"/>
  <c r="AB358" i="17"/>
  <c r="AA358" i="17"/>
  <c r="Z358" i="17"/>
  <c r="Y358" i="17"/>
  <c r="X358" i="17"/>
  <c r="W358" i="17"/>
  <c r="V358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AD358" i="17" s="1"/>
  <c r="AE357" i="17"/>
  <c r="AC357" i="17"/>
  <c r="AB357" i="17"/>
  <c r="AA357" i="17"/>
  <c r="Z357" i="17"/>
  <c r="Y357" i="17"/>
  <c r="X357" i="17"/>
  <c r="W357" i="17"/>
  <c r="V357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AE356" i="17"/>
  <c r="AC356" i="17"/>
  <c r="AB356" i="17"/>
  <c r="AA356" i="17"/>
  <c r="Z356" i="17"/>
  <c r="Y356" i="17"/>
  <c r="X356" i="17"/>
  <c r="W356" i="17"/>
  <c r="V356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AD356" i="17"/>
  <c r="AE355" i="17"/>
  <c r="AC355" i="17"/>
  <c r="AB355" i="17"/>
  <c r="AA355" i="17"/>
  <c r="Z355" i="17"/>
  <c r="Y355" i="17"/>
  <c r="X355" i="17"/>
  <c r="W355" i="17"/>
  <c r="V355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AE354" i="17"/>
  <c r="AC354" i="17"/>
  <c r="AB354" i="17"/>
  <c r="AA354" i="17"/>
  <c r="Z354" i="17"/>
  <c r="Y354" i="17"/>
  <c r="X354" i="17"/>
  <c r="W354" i="17"/>
  <c r="V354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AD354" i="17" s="1"/>
  <c r="AE353" i="17"/>
  <c r="AC353" i="17"/>
  <c r="AB353" i="17"/>
  <c r="AA353" i="17"/>
  <c r="Z353" i="17"/>
  <c r="Y353" i="17"/>
  <c r="X353" i="17"/>
  <c r="W353" i="17"/>
  <c r="V353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AD353" i="17" s="1"/>
  <c r="AE352" i="17"/>
  <c r="AC352" i="17"/>
  <c r="AB352" i="17"/>
  <c r="AA352" i="17"/>
  <c r="Z352" i="17"/>
  <c r="Y352" i="17"/>
  <c r="X352" i="17"/>
  <c r="W352" i="17"/>
  <c r="V352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AE351" i="17"/>
  <c r="AC351" i="17"/>
  <c r="AB351" i="17"/>
  <c r="AA351" i="17"/>
  <c r="Z351" i="17"/>
  <c r="Y351" i="17"/>
  <c r="X351" i="17"/>
  <c r="W351" i="17"/>
  <c r="V351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AD351" i="17"/>
  <c r="AE350" i="17"/>
  <c r="AC350" i="17"/>
  <c r="AB350" i="17"/>
  <c r="AA350" i="17"/>
  <c r="Z350" i="17"/>
  <c r="Y350" i="17"/>
  <c r="X350" i="17"/>
  <c r="W350" i="17"/>
  <c r="V350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AE349" i="17"/>
  <c r="AC349" i="17"/>
  <c r="AB349" i="17"/>
  <c r="AA349" i="17"/>
  <c r="Z349" i="17"/>
  <c r="Y349" i="17"/>
  <c r="X349" i="17"/>
  <c r="W349" i="17"/>
  <c r="V349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AD349" i="17" s="1"/>
  <c r="AE348" i="17"/>
  <c r="AC348" i="17"/>
  <c r="AB348" i="17"/>
  <c r="AA348" i="17"/>
  <c r="Z348" i="17"/>
  <c r="Y348" i="17"/>
  <c r="X348" i="17"/>
  <c r="W348" i="17"/>
  <c r="V348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AE347" i="17"/>
  <c r="AC347" i="17"/>
  <c r="AB347" i="17"/>
  <c r="AA347" i="17"/>
  <c r="Z347" i="17"/>
  <c r="Y347" i="17"/>
  <c r="X347" i="17"/>
  <c r="W347" i="17"/>
  <c r="V347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AD347" i="17"/>
  <c r="AE346" i="17"/>
  <c r="AC346" i="17"/>
  <c r="AB346" i="17"/>
  <c r="AA346" i="17"/>
  <c r="Z346" i="17"/>
  <c r="Y346" i="17"/>
  <c r="X346" i="17"/>
  <c r="W346" i="17"/>
  <c r="V346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AD346" i="17"/>
  <c r="AE345" i="17"/>
  <c r="AC345" i="17"/>
  <c r="AB345" i="17"/>
  <c r="AA345" i="17"/>
  <c r="Z345" i="17"/>
  <c r="Y345" i="17"/>
  <c r="X345" i="17"/>
  <c r="W345" i="17"/>
  <c r="V345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AD345" i="17"/>
  <c r="AE344" i="17"/>
  <c r="AC344" i="17"/>
  <c r="AB344" i="17"/>
  <c r="AA344" i="17"/>
  <c r="Z344" i="17"/>
  <c r="Y344" i="17"/>
  <c r="X344" i="17"/>
  <c r="W344" i="17"/>
  <c r="V344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AD344" i="17"/>
  <c r="AE343" i="17"/>
  <c r="AC343" i="17"/>
  <c r="AB343" i="17"/>
  <c r="AA343" i="17"/>
  <c r="Z343" i="17"/>
  <c r="Y343" i="17"/>
  <c r="X343" i="17"/>
  <c r="W343" i="17"/>
  <c r="V343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AD343" i="17"/>
  <c r="AE342" i="17"/>
  <c r="AC342" i="17"/>
  <c r="AB342" i="17"/>
  <c r="AA342" i="17"/>
  <c r="Z342" i="17"/>
  <c r="Y342" i="17"/>
  <c r="X342" i="17"/>
  <c r="W342" i="17"/>
  <c r="V342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AD342" i="17"/>
  <c r="AE341" i="17"/>
  <c r="AC341" i="17"/>
  <c r="AB341" i="17"/>
  <c r="AA341" i="17"/>
  <c r="Z341" i="17"/>
  <c r="Y341" i="17"/>
  <c r="X341" i="17"/>
  <c r="W341" i="17"/>
  <c r="V341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AD341" i="17"/>
  <c r="AE340" i="17"/>
  <c r="AC340" i="17"/>
  <c r="AB340" i="17"/>
  <c r="AA340" i="17"/>
  <c r="Z340" i="17"/>
  <c r="Y340" i="17"/>
  <c r="X340" i="17"/>
  <c r="W340" i="17"/>
  <c r="V340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AD340" i="17"/>
  <c r="AE339" i="17"/>
  <c r="AC339" i="17"/>
  <c r="AB339" i="17"/>
  <c r="AA339" i="17"/>
  <c r="Z339" i="17"/>
  <c r="Y339" i="17"/>
  <c r="X339" i="17"/>
  <c r="W339" i="17"/>
  <c r="V339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AD339" i="17"/>
  <c r="AE338" i="17"/>
  <c r="AC338" i="17"/>
  <c r="AB338" i="17"/>
  <c r="AA338" i="17"/>
  <c r="Z338" i="17"/>
  <c r="Y338" i="17"/>
  <c r="X338" i="17"/>
  <c r="W338" i="17"/>
  <c r="V338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AD338" i="17"/>
  <c r="AE337" i="17"/>
  <c r="AC337" i="17"/>
  <c r="AB337" i="17"/>
  <c r="AA337" i="17"/>
  <c r="Z337" i="17"/>
  <c r="Y337" i="17"/>
  <c r="X337" i="17"/>
  <c r="W337" i="17"/>
  <c r="V337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AE336" i="17"/>
  <c r="AC336" i="17"/>
  <c r="AB336" i="17"/>
  <c r="AA336" i="17"/>
  <c r="Z336" i="17"/>
  <c r="Y336" i="17"/>
  <c r="X336" i="17"/>
  <c r="W336" i="17"/>
  <c r="V336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AD336" i="17" s="1"/>
  <c r="AE335" i="17"/>
  <c r="AC335" i="17"/>
  <c r="AB335" i="17"/>
  <c r="AA335" i="17"/>
  <c r="Z335" i="17"/>
  <c r="Y335" i="17"/>
  <c r="X335" i="17"/>
  <c r="W335" i="17"/>
  <c r="V335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AD335" i="17" s="1"/>
  <c r="AE334" i="17"/>
  <c r="AC334" i="17"/>
  <c r="AB334" i="17"/>
  <c r="AA334" i="17"/>
  <c r="Z334" i="17"/>
  <c r="Y334" i="17"/>
  <c r="X334" i="17"/>
  <c r="W334" i="17"/>
  <c r="V334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AD334" i="17" s="1"/>
  <c r="AE333" i="17"/>
  <c r="AC333" i="17"/>
  <c r="AB333" i="17"/>
  <c r="AA333" i="17"/>
  <c r="Z333" i="17"/>
  <c r="Y333" i="17"/>
  <c r="X333" i="17"/>
  <c r="W333" i="17"/>
  <c r="V333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AD333" i="17" s="1"/>
  <c r="AE332" i="17"/>
  <c r="AC332" i="17"/>
  <c r="AB332" i="17"/>
  <c r="AA332" i="17"/>
  <c r="Z332" i="17"/>
  <c r="Y332" i="17"/>
  <c r="X332" i="17"/>
  <c r="W332" i="17"/>
  <c r="V332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AD332" i="17" s="1"/>
  <c r="AE331" i="17"/>
  <c r="AC331" i="17"/>
  <c r="AB331" i="17"/>
  <c r="AA331" i="17"/>
  <c r="Z331" i="17"/>
  <c r="Y331" i="17"/>
  <c r="X331" i="17"/>
  <c r="W331" i="17"/>
  <c r="V331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AD331" i="17" s="1"/>
  <c r="AE330" i="17"/>
  <c r="AC330" i="17"/>
  <c r="AB330" i="17"/>
  <c r="AA330" i="17"/>
  <c r="Z330" i="17"/>
  <c r="Y330" i="17"/>
  <c r="X330" i="17"/>
  <c r="W330" i="17"/>
  <c r="V330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AD330" i="17" s="1"/>
  <c r="AE329" i="17"/>
  <c r="AC329" i="17"/>
  <c r="AB329" i="17"/>
  <c r="AA329" i="17"/>
  <c r="Z329" i="17"/>
  <c r="Y329" i="17"/>
  <c r="X329" i="17"/>
  <c r="W329" i="17"/>
  <c r="V329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AD329" i="17" s="1"/>
  <c r="AE328" i="17"/>
  <c r="AC328" i="17"/>
  <c r="AB328" i="17"/>
  <c r="AA328" i="17"/>
  <c r="Z328" i="17"/>
  <c r="Y328" i="17"/>
  <c r="X328" i="17"/>
  <c r="W328" i="17"/>
  <c r="V328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AD328" i="17" s="1"/>
  <c r="AE327" i="17"/>
  <c r="AC327" i="17"/>
  <c r="AB327" i="17"/>
  <c r="AA327" i="17"/>
  <c r="Z327" i="17"/>
  <c r="Y327" i="17"/>
  <c r="X327" i="17"/>
  <c r="W327" i="17"/>
  <c r="V327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AD327" i="17" s="1"/>
  <c r="AE326" i="17"/>
  <c r="AC326" i="17"/>
  <c r="AB326" i="17"/>
  <c r="AA326" i="17"/>
  <c r="Z326" i="17"/>
  <c r="Y326" i="17"/>
  <c r="X326" i="17"/>
  <c r="W326" i="17"/>
  <c r="V326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AD326" i="17" s="1"/>
  <c r="AE325" i="17"/>
  <c r="AC325" i="17"/>
  <c r="AB325" i="17"/>
  <c r="AA325" i="17"/>
  <c r="Z325" i="17"/>
  <c r="Y325" i="17"/>
  <c r="X325" i="17"/>
  <c r="W325" i="17"/>
  <c r="V325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AE324" i="17"/>
  <c r="AC324" i="17"/>
  <c r="AB324" i="17"/>
  <c r="AA324" i="17"/>
  <c r="Z324" i="17"/>
  <c r="Y324" i="17"/>
  <c r="X324" i="17"/>
  <c r="W324" i="17"/>
  <c r="V324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AD324" i="17"/>
  <c r="AE323" i="17"/>
  <c r="AC323" i="17"/>
  <c r="AB323" i="17"/>
  <c r="AA323" i="17"/>
  <c r="Z323" i="17"/>
  <c r="Y323" i="17"/>
  <c r="X323" i="17"/>
  <c r="W323" i="17"/>
  <c r="V323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AE322" i="17"/>
  <c r="AC322" i="17"/>
  <c r="AB322" i="17"/>
  <c r="AA322" i="17"/>
  <c r="Z322" i="17"/>
  <c r="Y322" i="17"/>
  <c r="X322" i="17"/>
  <c r="W322" i="17"/>
  <c r="V322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AD322" i="17" s="1"/>
  <c r="AE321" i="17"/>
  <c r="AC321" i="17"/>
  <c r="AB321" i="17"/>
  <c r="AA321" i="17"/>
  <c r="Z321" i="17"/>
  <c r="Y321" i="17"/>
  <c r="X321" i="17"/>
  <c r="W321" i="17"/>
  <c r="V321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AD321" i="17" s="1"/>
  <c r="AE320" i="17"/>
  <c r="AC320" i="17"/>
  <c r="AB320" i="17"/>
  <c r="AA320" i="17"/>
  <c r="Z320" i="17"/>
  <c r="Y320" i="17"/>
  <c r="X320" i="17"/>
  <c r="W320" i="17"/>
  <c r="V320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AD320" i="17" s="1"/>
  <c r="AE319" i="17"/>
  <c r="AC319" i="17"/>
  <c r="AB319" i="17"/>
  <c r="AA319" i="17"/>
  <c r="Z319" i="17"/>
  <c r="Y319" i="17"/>
  <c r="X319" i="17"/>
  <c r="W319" i="17"/>
  <c r="V319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AE318" i="17"/>
  <c r="AC318" i="17"/>
  <c r="AB318" i="17"/>
  <c r="AA318" i="17"/>
  <c r="Z318" i="17"/>
  <c r="Y318" i="17"/>
  <c r="X318" i="17"/>
  <c r="W318" i="17"/>
  <c r="V318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AD318" i="17"/>
  <c r="AE317" i="17"/>
  <c r="AC317" i="17"/>
  <c r="AB317" i="17"/>
  <c r="AA317" i="17"/>
  <c r="Z317" i="17"/>
  <c r="Y317" i="17"/>
  <c r="X317" i="17"/>
  <c r="W317" i="17"/>
  <c r="V317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AE316" i="17"/>
  <c r="AC316" i="17"/>
  <c r="AB316" i="17"/>
  <c r="AA316" i="17"/>
  <c r="Z316" i="17"/>
  <c r="Y316" i="17"/>
  <c r="X316" i="17"/>
  <c r="W316" i="17"/>
  <c r="V316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AD316" i="17" s="1"/>
  <c r="AE315" i="17"/>
  <c r="AC315" i="17"/>
  <c r="AB315" i="17"/>
  <c r="AA315" i="17"/>
  <c r="Z315" i="17"/>
  <c r="Y315" i="17"/>
  <c r="X315" i="17"/>
  <c r="W315" i="17"/>
  <c r="V315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AE314" i="17"/>
  <c r="AC314" i="17"/>
  <c r="AB314" i="17"/>
  <c r="AA314" i="17"/>
  <c r="Z314" i="17"/>
  <c r="Y314" i="17"/>
  <c r="X314" i="17"/>
  <c r="W314" i="17"/>
  <c r="V314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AD314" i="17"/>
  <c r="AE313" i="17"/>
  <c r="AC313" i="17"/>
  <c r="AB313" i="17"/>
  <c r="AA313" i="17"/>
  <c r="Z313" i="17"/>
  <c r="Y313" i="17"/>
  <c r="X313" i="17"/>
  <c r="W313" i="17"/>
  <c r="V313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AD313" i="17"/>
  <c r="AE312" i="17"/>
  <c r="AC312" i="17"/>
  <c r="AB312" i="17"/>
  <c r="AA312" i="17"/>
  <c r="Z312" i="17"/>
  <c r="Y312" i="17"/>
  <c r="X312" i="17"/>
  <c r="W312" i="17"/>
  <c r="V312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AD312" i="17"/>
  <c r="AE311" i="17"/>
  <c r="AC311" i="17"/>
  <c r="AB311" i="17"/>
  <c r="AA311" i="17"/>
  <c r="Z311" i="17"/>
  <c r="Y311" i="17"/>
  <c r="X311" i="17"/>
  <c r="W311" i="17"/>
  <c r="V311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AD311" i="17"/>
  <c r="AE310" i="17"/>
  <c r="AC310" i="17"/>
  <c r="AB310" i="17"/>
  <c r="AA310" i="17"/>
  <c r="Z310" i="17"/>
  <c r="Y310" i="17"/>
  <c r="X310" i="17"/>
  <c r="W310" i="17"/>
  <c r="V310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AD310" i="17"/>
  <c r="AE309" i="17"/>
  <c r="AC309" i="17"/>
  <c r="AB309" i="17"/>
  <c r="AA309" i="17"/>
  <c r="Z309" i="17"/>
  <c r="Y309" i="17"/>
  <c r="X309" i="17"/>
  <c r="W309" i="17"/>
  <c r="V309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AD309" i="17"/>
  <c r="AE308" i="17"/>
  <c r="AC308" i="17"/>
  <c r="AB308" i="17"/>
  <c r="AA308" i="17"/>
  <c r="Z308" i="17"/>
  <c r="Y308" i="17"/>
  <c r="X308" i="17"/>
  <c r="W308" i="17"/>
  <c r="V308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AD308" i="17"/>
  <c r="AE307" i="17"/>
  <c r="AC307" i="17"/>
  <c r="AB307" i="17"/>
  <c r="AA307" i="17"/>
  <c r="Z307" i="17"/>
  <c r="Y307" i="17"/>
  <c r="X307" i="17"/>
  <c r="W307" i="17"/>
  <c r="V307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AD307" i="17"/>
  <c r="AE306" i="17"/>
  <c r="AC306" i="17"/>
  <c r="AB306" i="17"/>
  <c r="AA306" i="17"/>
  <c r="Z306" i="17"/>
  <c r="Y306" i="17"/>
  <c r="X306" i="17"/>
  <c r="W306" i="17"/>
  <c r="V306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AD306" i="17"/>
  <c r="AE305" i="17"/>
  <c r="AC305" i="17"/>
  <c r="AB305" i="17"/>
  <c r="AA305" i="17"/>
  <c r="Z305" i="17"/>
  <c r="Y305" i="17"/>
  <c r="X305" i="17"/>
  <c r="W305" i="17"/>
  <c r="V305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AE304" i="17"/>
  <c r="AC304" i="17"/>
  <c r="AB304" i="17"/>
  <c r="AA304" i="17"/>
  <c r="Z304" i="17"/>
  <c r="Y304" i="17"/>
  <c r="X304" i="17"/>
  <c r="W304" i="17"/>
  <c r="V304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AD304" i="17" s="1"/>
  <c r="AE303" i="17"/>
  <c r="AC303" i="17"/>
  <c r="AB303" i="17"/>
  <c r="AA303" i="17"/>
  <c r="Z303" i="17"/>
  <c r="Y303" i="17"/>
  <c r="X303" i="17"/>
  <c r="W303" i="17"/>
  <c r="V303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AE302" i="17"/>
  <c r="AC302" i="17"/>
  <c r="AB302" i="17"/>
  <c r="AA302" i="17"/>
  <c r="Z302" i="17"/>
  <c r="Y302" i="17"/>
  <c r="X302" i="17"/>
  <c r="W302" i="17"/>
  <c r="V302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AD302" i="17"/>
  <c r="AE301" i="17"/>
  <c r="AC301" i="17"/>
  <c r="AB301" i="17"/>
  <c r="AA301" i="17"/>
  <c r="Z301" i="17"/>
  <c r="Y301" i="17"/>
  <c r="X301" i="17"/>
  <c r="W301" i="17"/>
  <c r="V301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AD301" i="17"/>
  <c r="AE300" i="17"/>
  <c r="AC300" i="17"/>
  <c r="AB300" i="17"/>
  <c r="AA300" i="17"/>
  <c r="Z300" i="17"/>
  <c r="Y300" i="17"/>
  <c r="X300" i="17"/>
  <c r="W300" i="17"/>
  <c r="V300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AD300" i="17"/>
  <c r="AE299" i="17"/>
  <c r="AC299" i="17"/>
  <c r="AB299" i="17"/>
  <c r="AA299" i="17"/>
  <c r="Z299" i="17"/>
  <c r="Y299" i="17"/>
  <c r="X299" i="17"/>
  <c r="W299" i="17"/>
  <c r="V299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AD299" i="17"/>
  <c r="AE298" i="17"/>
  <c r="AC298" i="17"/>
  <c r="AB298" i="17"/>
  <c r="AA298" i="17"/>
  <c r="Z298" i="17"/>
  <c r="Y298" i="17"/>
  <c r="X298" i="17"/>
  <c r="W298" i="17"/>
  <c r="V298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AD298" i="17"/>
  <c r="AE297" i="17"/>
  <c r="AC297" i="17"/>
  <c r="AB297" i="17"/>
  <c r="AA297" i="17"/>
  <c r="Z297" i="17"/>
  <c r="Y297" i="17"/>
  <c r="X297" i="17"/>
  <c r="W297" i="17"/>
  <c r="V297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AE296" i="17"/>
  <c r="AC296" i="17"/>
  <c r="AB296" i="17"/>
  <c r="AA296" i="17"/>
  <c r="Z296" i="17"/>
  <c r="Y296" i="17"/>
  <c r="X296" i="17"/>
  <c r="W296" i="17"/>
  <c r="V296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AD296" i="17" s="1"/>
  <c r="AE295" i="17"/>
  <c r="AC295" i="17"/>
  <c r="AB295" i="17"/>
  <c r="AA295" i="17"/>
  <c r="Z295" i="17"/>
  <c r="Y295" i="17"/>
  <c r="X295" i="17"/>
  <c r="W295" i="17"/>
  <c r="V295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AD295" i="17" s="1"/>
  <c r="AE294" i="17"/>
  <c r="AC294" i="17"/>
  <c r="AB294" i="17"/>
  <c r="AA294" i="17"/>
  <c r="Z294" i="17"/>
  <c r="Y294" i="17"/>
  <c r="X294" i="17"/>
  <c r="W294" i="17"/>
  <c r="V294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AD294" i="17" s="1"/>
  <c r="AE293" i="17"/>
  <c r="AC293" i="17"/>
  <c r="AB293" i="17"/>
  <c r="AA293" i="17"/>
  <c r="Z293" i="17"/>
  <c r="Y293" i="17"/>
  <c r="X293" i="17"/>
  <c r="W293" i="17"/>
  <c r="V293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AD293" i="17" s="1"/>
  <c r="AE292" i="17"/>
  <c r="AC292" i="17"/>
  <c r="AB292" i="17"/>
  <c r="AA292" i="17"/>
  <c r="Z292" i="17"/>
  <c r="Y292" i="17"/>
  <c r="X292" i="17"/>
  <c r="W292" i="17"/>
  <c r="V292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AD292" i="17" s="1"/>
  <c r="AE291" i="17"/>
  <c r="AC291" i="17"/>
  <c r="AB291" i="17"/>
  <c r="AA291" i="17"/>
  <c r="Z291" i="17"/>
  <c r="Y291" i="17"/>
  <c r="X291" i="17"/>
  <c r="W291" i="17"/>
  <c r="V291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AD291" i="17" s="1"/>
  <c r="AE290" i="17"/>
  <c r="AC290" i="17"/>
  <c r="AB290" i="17"/>
  <c r="AA290" i="17"/>
  <c r="Z290" i="17"/>
  <c r="Y290" i="17"/>
  <c r="X290" i="17"/>
  <c r="W290" i="17"/>
  <c r="V290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AD290" i="17" s="1"/>
  <c r="AE289" i="17"/>
  <c r="AC289" i="17"/>
  <c r="AB289" i="17"/>
  <c r="AA289" i="17"/>
  <c r="Z289" i="17"/>
  <c r="Y289" i="17"/>
  <c r="X289" i="17"/>
  <c r="W289" i="17"/>
  <c r="V289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AD289" i="17" s="1"/>
  <c r="AE288" i="17"/>
  <c r="AC288" i="17"/>
  <c r="AB288" i="17"/>
  <c r="AA288" i="17"/>
  <c r="Z288" i="17"/>
  <c r="Y288" i="17"/>
  <c r="X288" i="17"/>
  <c r="W288" i="17"/>
  <c r="V288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AD288" i="17" s="1"/>
  <c r="AE287" i="17"/>
  <c r="AC287" i="17"/>
  <c r="AB287" i="17"/>
  <c r="AA287" i="17"/>
  <c r="Z287" i="17"/>
  <c r="Y287" i="17"/>
  <c r="X287" i="17"/>
  <c r="W287" i="17"/>
  <c r="V287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AD287" i="17" s="1"/>
  <c r="AE286" i="17"/>
  <c r="AC286" i="17"/>
  <c r="AB286" i="17"/>
  <c r="AA286" i="17"/>
  <c r="Z286" i="17"/>
  <c r="Y286" i="17"/>
  <c r="X286" i="17"/>
  <c r="W286" i="17"/>
  <c r="V286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AD286" i="17" s="1"/>
  <c r="AE285" i="17"/>
  <c r="AC285" i="17"/>
  <c r="AB285" i="17"/>
  <c r="AA285" i="17"/>
  <c r="Z285" i="17"/>
  <c r="Y285" i="17"/>
  <c r="X285" i="17"/>
  <c r="W285" i="17"/>
  <c r="V285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AD285" i="17" s="1"/>
  <c r="AE284" i="17"/>
  <c r="AC284" i="17"/>
  <c r="AB284" i="17"/>
  <c r="AA284" i="17"/>
  <c r="Z284" i="17"/>
  <c r="Y284" i="17"/>
  <c r="X284" i="17"/>
  <c r="W284" i="17"/>
  <c r="V284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AD284" i="17" s="1"/>
  <c r="AE283" i="17"/>
  <c r="AC283" i="17"/>
  <c r="AB283" i="17"/>
  <c r="AA283" i="17"/>
  <c r="Z283" i="17"/>
  <c r="Y283" i="17"/>
  <c r="X283" i="17"/>
  <c r="W283" i="17"/>
  <c r="V283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AE282" i="17"/>
  <c r="AC282" i="17"/>
  <c r="AB282" i="17"/>
  <c r="AA282" i="17"/>
  <c r="Z282" i="17"/>
  <c r="Y282" i="17"/>
  <c r="X282" i="17"/>
  <c r="W282" i="17"/>
  <c r="V282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AD282" i="17"/>
  <c r="AE281" i="17"/>
  <c r="AC281" i="17"/>
  <c r="AB281" i="17"/>
  <c r="AA281" i="17"/>
  <c r="Z281" i="17"/>
  <c r="Y281" i="17"/>
  <c r="X281" i="17"/>
  <c r="W281" i="17"/>
  <c r="V281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AD281" i="17"/>
  <c r="AE280" i="17"/>
  <c r="AC280" i="17"/>
  <c r="AB280" i="17"/>
  <c r="AA280" i="17"/>
  <c r="Z280" i="17"/>
  <c r="Y280" i="17"/>
  <c r="X280" i="17"/>
  <c r="W280" i="17"/>
  <c r="V280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AD280" i="17"/>
  <c r="AE279" i="17"/>
  <c r="AC279" i="17"/>
  <c r="AB279" i="17"/>
  <c r="AA279" i="17"/>
  <c r="Z279" i="17"/>
  <c r="Y279" i="17"/>
  <c r="X279" i="17"/>
  <c r="W279" i="17"/>
  <c r="V279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AD279" i="17"/>
  <c r="AE278" i="17"/>
  <c r="AC278" i="17"/>
  <c r="AB278" i="17"/>
  <c r="AA278" i="17"/>
  <c r="Z278" i="17"/>
  <c r="Y278" i="17"/>
  <c r="X278" i="17"/>
  <c r="W278" i="17"/>
  <c r="V278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AD278" i="17"/>
  <c r="AE277" i="17"/>
  <c r="AC277" i="17"/>
  <c r="AB277" i="17"/>
  <c r="AA277" i="17"/>
  <c r="Z277" i="17"/>
  <c r="Y277" i="17"/>
  <c r="X277" i="17"/>
  <c r="W277" i="17"/>
  <c r="V277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AD277" i="17"/>
  <c r="AE276" i="17"/>
  <c r="AC276" i="17"/>
  <c r="AB276" i="17"/>
  <c r="AA276" i="17"/>
  <c r="Z276" i="17"/>
  <c r="Y276" i="17"/>
  <c r="X276" i="17"/>
  <c r="W276" i="17"/>
  <c r="V276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AD276" i="17"/>
  <c r="AE275" i="17"/>
  <c r="AC275" i="17"/>
  <c r="AB275" i="17"/>
  <c r="AA275" i="17"/>
  <c r="Z275" i="17"/>
  <c r="Y275" i="17"/>
  <c r="X275" i="17"/>
  <c r="W275" i="17"/>
  <c r="V275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AE274" i="17"/>
  <c r="AC274" i="17"/>
  <c r="AB274" i="17"/>
  <c r="AA274" i="17"/>
  <c r="Z274" i="17"/>
  <c r="Y274" i="17"/>
  <c r="X274" i="17"/>
  <c r="W274" i="17"/>
  <c r="V274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AD274" i="17" s="1"/>
  <c r="AE273" i="17"/>
  <c r="AC273" i="17"/>
  <c r="AB273" i="17"/>
  <c r="AA273" i="17"/>
  <c r="Z273" i="17"/>
  <c r="Y273" i="17"/>
  <c r="X273" i="17"/>
  <c r="W273" i="17"/>
  <c r="V273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AE272" i="17"/>
  <c r="AC272" i="17"/>
  <c r="AB272" i="17"/>
  <c r="AA272" i="17"/>
  <c r="Z272" i="17"/>
  <c r="Y272" i="17"/>
  <c r="X272" i="17"/>
  <c r="W272" i="17"/>
  <c r="V272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AD272" i="17"/>
  <c r="AE271" i="17"/>
  <c r="AC271" i="17"/>
  <c r="AB271" i="17"/>
  <c r="AA271" i="17"/>
  <c r="Z271" i="17"/>
  <c r="Y271" i="17"/>
  <c r="X271" i="17"/>
  <c r="W271" i="17"/>
  <c r="V271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AE270" i="17"/>
  <c r="AC270" i="17"/>
  <c r="AB270" i="17"/>
  <c r="AA270" i="17"/>
  <c r="Z270" i="17"/>
  <c r="Y270" i="17"/>
  <c r="X270" i="17"/>
  <c r="W270" i="17"/>
  <c r="V270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AD270" i="17" s="1"/>
  <c r="AE269" i="17"/>
  <c r="AC269" i="17"/>
  <c r="AB269" i="17"/>
  <c r="AA269" i="17"/>
  <c r="Z269" i="17"/>
  <c r="Y269" i="17"/>
  <c r="X269" i="17"/>
  <c r="W269" i="17"/>
  <c r="V269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AD269" i="17" s="1"/>
  <c r="AE268" i="17"/>
  <c r="AC268" i="17"/>
  <c r="AB268" i="17"/>
  <c r="AA268" i="17"/>
  <c r="Z268" i="17"/>
  <c r="Y268" i="17"/>
  <c r="X268" i="17"/>
  <c r="W268" i="17"/>
  <c r="V268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AD268" i="17" s="1"/>
  <c r="AE267" i="17"/>
  <c r="AC267" i="17"/>
  <c r="AB267" i="17"/>
  <c r="AA267" i="17"/>
  <c r="Z267" i="17"/>
  <c r="Y267" i="17"/>
  <c r="X267" i="17"/>
  <c r="W267" i="17"/>
  <c r="V267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AD267" i="17" s="1"/>
  <c r="AE266" i="17"/>
  <c r="AC266" i="17"/>
  <c r="AB266" i="17"/>
  <c r="AA266" i="17"/>
  <c r="Z266" i="17"/>
  <c r="Y266" i="17"/>
  <c r="X266" i="17"/>
  <c r="W266" i="17"/>
  <c r="V266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AD266" i="17" s="1"/>
  <c r="AE265" i="17"/>
  <c r="AC265" i="17"/>
  <c r="AB265" i="17"/>
  <c r="AA265" i="17"/>
  <c r="Z265" i="17"/>
  <c r="Y265" i="17"/>
  <c r="X265" i="17"/>
  <c r="W265" i="17"/>
  <c r="V265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AD265" i="17" s="1"/>
  <c r="AE264" i="17"/>
  <c r="AC264" i="17"/>
  <c r="AB264" i="17"/>
  <c r="AA264" i="17"/>
  <c r="Z264" i="17"/>
  <c r="Y264" i="17"/>
  <c r="X264" i="17"/>
  <c r="W264" i="17"/>
  <c r="V264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AD264" i="17" s="1"/>
  <c r="AE263" i="17"/>
  <c r="AC263" i="17"/>
  <c r="AB263" i="17"/>
  <c r="AA263" i="17"/>
  <c r="Z263" i="17"/>
  <c r="Y263" i="17"/>
  <c r="X263" i="17"/>
  <c r="W263" i="17"/>
  <c r="V263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AD263" i="17" s="1"/>
  <c r="AE262" i="17"/>
  <c r="AC262" i="17"/>
  <c r="AB262" i="17"/>
  <c r="AA262" i="17"/>
  <c r="Z262" i="17"/>
  <c r="Y262" i="17"/>
  <c r="X262" i="17"/>
  <c r="W262" i="17"/>
  <c r="V262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AD262" i="17" s="1"/>
  <c r="AE261" i="17"/>
  <c r="AC261" i="17"/>
  <c r="AB261" i="17"/>
  <c r="AA261" i="17"/>
  <c r="Z261" i="17"/>
  <c r="Y261" i="17"/>
  <c r="X261" i="17"/>
  <c r="W261" i="17"/>
  <c r="V261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AD261" i="17" s="1"/>
  <c r="AE260" i="17"/>
  <c r="AC260" i="17"/>
  <c r="AB260" i="17"/>
  <c r="AA260" i="17"/>
  <c r="Z260" i="17"/>
  <c r="Y260" i="17"/>
  <c r="X260" i="17"/>
  <c r="W260" i="17"/>
  <c r="V260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AD260" i="17" s="1"/>
  <c r="AE259" i="17"/>
  <c r="AC259" i="17"/>
  <c r="AB259" i="17"/>
  <c r="AA259" i="17"/>
  <c r="Z259" i="17"/>
  <c r="Y259" i="17"/>
  <c r="X259" i="17"/>
  <c r="W259" i="17"/>
  <c r="V259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AD259" i="17" s="1"/>
  <c r="AE258" i="17"/>
  <c r="AC258" i="17"/>
  <c r="AB258" i="17"/>
  <c r="AA258" i="17"/>
  <c r="Z258" i="17"/>
  <c r="Y258" i="17"/>
  <c r="X258" i="17"/>
  <c r="W258" i="17"/>
  <c r="V258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AD258" i="17" s="1"/>
  <c r="AE257" i="17"/>
  <c r="AC257" i="17"/>
  <c r="AB257" i="17"/>
  <c r="AA257" i="17"/>
  <c r="Z257" i="17"/>
  <c r="Y257" i="17"/>
  <c r="X257" i="17"/>
  <c r="W257" i="17"/>
  <c r="V257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AD257" i="17" s="1"/>
  <c r="AE256" i="17"/>
  <c r="AC256" i="17"/>
  <c r="AB256" i="17"/>
  <c r="AA256" i="17"/>
  <c r="Z256" i="17"/>
  <c r="Y256" i="17"/>
  <c r="X256" i="17"/>
  <c r="W256" i="17"/>
  <c r="V256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AD256" i="17" s="1"/>
  <c r="AE255" i="17"/>
  <c r="AC255" i="17"/>
  <c r="AB255" i="17"/>
  <c r="AA255" i="17"/>
  <c r="Z255" i="17"/>
  <c r="Y255" i="17"/>
  <c r="X255" i="17"/>
  <c r="W255" i="17"/>
  <c r="V255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AD255" i="17" s="1"/>
  <c r="AE254" i="17"/>
  <c r="AC254" i="17"/>
  <c r="AB254" i="17"/>
  <c r="AA254" i="17"/>
  <c r="Z254" i="17"/>
  <c r="Y254" i="17"/>
  <c r="X254" i="17"/>
  <c r="W254" i="17"/>
  <c r="V254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AD254" i="17" s="1"/>
  <c r="AE253" i="17"/>
  <c r="AC253" i="17"/>
  <c r="AB253" i="17"/>
  <c r="AA253" i="17"/>
  <c r="Z253" i="17"/>
  <c r="Y253" i="17"/>
  <c r="X253" i="17"/>
  <c r="W253" i="17"/>
  <c r="V253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AD253" i="17" s="1"/>
  <c r="AE252" i="17"/>
  <c r="AC252" i="17"/>
  <c r="AB252" i="17"/>
  <c r="AA252" i="17"/>
  <c r="Z252" i="17"/>
  <c r="Y252" i="17"/>
  <c r="X252" i="17"/>
  <c r="W252" i="17"/>
  <c r="V252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AD252" i="17" s="1"/>
  <c r="AE251" i="17"/>
  <c r="AC251" i="17"/>
  <c r="AB251" i="17"/>
  <c r="AA251" i="17"/>
  <c r="Z251" i="17"/>
  <c r="Y251" i="17"/>
  <c r="X251" i="17"/>
  <c r="W251" i="17"/>
  <c r="V251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AD251" i="17" s="1"/>
  <c r="AE250" i="17"/>
  <c r="AC250" i="17"/>
  <c r="AB250" i="17"/>
  <c r="AA250" i="17"/>
  <c r="Z250" i="17"/>
  <c r="Y250" i="17"/>
  <c r="X250" i="17"/>
  <c r="W250" i="17"/>
  <c r="V250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AD250" i="17" s="1"/>
  <c r="AE249" i="17"/>
  <c r="AC249" i="17"/>
  <c r="AB249" i="17"/>
  <c r="AA249" i="17"/>
  <c r="Z249" i="17"/>
  <c r="Y249" i="17"/>
  <c r="X249" i="17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AD249" i="17" s="1"/>
  <c r="AE248" i="17"/>
  <c r="AC248" i="17"/>
  <c r="AB248" i="17"/>
  <c r="AA248" i="17"/>
  <c r="Z248" i="17"/>
  <c r="Y248" i="17"/>
  <c r="X248" i="17"/>
  <c r="W248" i="17"/>
  <c r="V248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AD248" i="17" s="1"/>
  <c r="AE247" i="17"/>
  <c r="AC247" i="17"/>
  <c r="AB247" i="17"/>
  <c r="AA247" i="17"/>
  <c r="Z247" i="17"/>
  <c r="Y247" i="17"/>
  <c r="X247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AD247" i="17" s="1"/>
  <c r="AE246" i="17"/>
  <c r="AC246" i="17"/>
  <c r="AB246" i="17"/>
  <c r="AA246" i="17"/>
  <c r="Z246" i="17"/>
  <c r="Y246" i="17"/>
  <c r="X246" i="17"/>
  <c r="W246" i="17"/>
  <c r="V246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AD246" i="17" s="1"/>
  <c r="AE245" i="17"/>
  <c r="AC245" i="17"/>
  <c r="AB245" i="17"/>
  <c r="AA245" i="17"/>
  <c r="Z245" i="17"/>
  <c r="Y245" i="17"/>
  <c r="X245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AD245" i="17" s="1"/>
  <c r="AE244" i="17"/>
  <c r="AC244" i="17"/>
  <c r="AB244" i="17"/>
  <c r="AA244" i="17"/>
  <c r="Z244" i="17"/>
  <c r="Y244" i="17"/>
  <c r="X244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AD244" i="17" s="1"/>
  <c r="AE243" i="17"/>
  <c r="AC243" i="17"/>
  <c r="AB243" i="17"/>
  <c r="AA243" i="17"/>
  <c r="Z243" i="17"/>
  <c r="Y243" i="17"/>
  <c r="X243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AE242" i="17"/>
  <c r="AC242" i="17"/>
  <c r="AB242" i="17"/>
  <c r="AA242" i="17"/>
  <c r="Z242" i="17"/>
  <c r="Y242" i="17"/>
  <c r="X242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AD242" i="17"/>
  <c r="AE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AE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AD240" i="17" s="1"/>
  <c r="AE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AD239" i="17" s="1"/>
  <c r="AE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AD238" i="17" s="1"/>
  <c r="AE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AE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AD236" i="17"/>
  <c r="AE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AE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AD234" i="17" s="1"/>
  <c r="AE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AD233" i="17" s="1"/>
  <c r="AE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AD232" i="17" s="1"/>
  <c r="AE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AD231" i="17" s="1"/>
  <c r="AE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AE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AD229" i="17"/>
  <c r="AE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AD228" i="17"/>
  <c r="AE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AD227" i="17"/>
  <c r="AE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AD226" i="17"/>
  <c r="AE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AD225" i="17"/>
  <c r="AE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AD224" i="17"/>
  <c r="AE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AD223" i="17"/>
  <c r="AE222" i="17"/>
  <c r="AC222" i="17"/>
  <c r="AB222" i="17"/>
  <c r="AA222" i="17"/>
  <c r="Z222" i="17"/>
  <c r="Y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AD222" i="17"/>
  <c r="AE221" i="17"/>
  <c r="AC221" i="17"/>
  <c r="AB221" i="17"/>
  <c r="AA221" i="17"/>
  <c r="Z221" i="17"/>
  <c r="Y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AD221" i="17"/>
  <c r="AE220" i="17"/>
  <c r="AC220" i="17"/>
  <c r="AB220" i="17"/>
  <c r="AA220" i="17"/>
  <c r="Z220" i="17"/>
  <c r="Y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AD220" i="17"/>
  <c r="AE219" i="17"/>
  <c r="AC219" i="17"/>
  <c r="AB219" i="17"/>
  <c r="AA219" i="17"/>
  <c r="Z219" i="17"/>
  <c r="Y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AD219" i="17"/>
  <c r="AE218" i="17"/>
  <c r="AC218" i="17"/>
  <c r="AB218" i="17"/>
  <c r="AA218" i="17"/>
  <c r="Z218" i="17"/>
  <c r="Y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AD218" i="17"/>
  <c r="AE217" i="17"/>
  <c r="AC217" i="17"/>
  <c r="AB217" i="17"/>
  <c r="AA217" i="17"/>
  <c r="Z217" i="17"/>
  <c r="Y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AD217" i="17"/>
  <c r="AE216" i="17"/>
  <c r="AC216" i="17"/>
  <c r="AB216" i="17"/>
  <c r="AA216" i="17"/>
  <c r="Z216" i="17"/>
  <c r="Y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AD216" i="17"/>
  <c r="AE215" i="17"/>
  <c r="AC215" i="17"/>
  <c r="AB215" i="17"/>
  <c r="AA215" i="17"/>
  <c r="Z215" i="17"/>
  <c r="Y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AD215" i="17"/>
  <c r="AE214" i="17"/>
  <c r="AC214" i="17"/>
  <c r="AB214" i="17"/>
  <c r="AA214" i="17"/>
  <c r="Z214" i="17"/>
  <c r="Y214" i="17"/>
  <c r="X214" i="17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AD214" i="17"/>
  <c r="AE213" i="17"/>
  <c r="AC213" i="17"/>
  <c r="AB213" i="17"/>
  <c r="AA213" i="17"/>
  <c r="Z213" i="17"/>
  <c r="Y213" i="17"/>
  <c r="X213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AD213" i="17"/>
  <c r="AE212" i="17"/>
  <c r="AC212" i="17"/>
  <c r="AB212" i="17"/>
  <c r="AA212" i="17"/>
  <c r="Z212" i="17"/>
  <c r="Y212" i="17"/>
  <c r="X212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AD212" i="17"/>
  <c r="AE211" i="17"/>
  <c r="AC211" i="17"/>
  <c r="AB211" i="17"/>
  <c r="AA211" i="17"/>
  <c r="Z211" i="17"/>
  <c r="Y211" i="17"/>
  <c r="X21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AD211" i="17"/>
  <c r="AE210" i="17"/>
  <c r="AC210" i="17"/>
  <c r="AB210" i="17"/>
  <c r="AA210" i="17"/>
  <c r="Z210" i="17"/>
  <c r="Y210" i="17"/>
  <c r="X210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AD210" i="17"/>
  <c r="AE209" i="17"/>
  <c r="AC209" i="17"/>
  <c r="AB209" i="17"/>
  <c r="AA209" i="17"/>
  <c r="Z209" i="17"/>
  <c r="Y209" i="17"/>
  <c r="X209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AD209" i="17"/>
  <c r="AE208" i="17"/>
  <c r="AC208" i="17"/>
  <c r="AB208" i="17"/>
  <c r="AA208" i="17"/>
  <c r="Z208" i="17"/>
  <c r="Y208" i="17"/>
  <c r="X208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AD208" i="17"/>
  <c r="AE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AD207" i="17"/>
  <c r="AE206" i="17"/>
  <c r="AC206" i="17"/>
  <c r="AB206" i="17"/>
  <c r="AA206" i="17"/>
  <c r="Z206" i="17"/>
  <c r="Y206" i="17"/>
  <c r="X206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AD206" i="17"/>
  <c r="AE205" i="17"/>
  <c r="AC205" i="17"/>
  <c r="AB205" i="17"/>
  <c r="AA205" i="17"/>
  <c r="Z205" i="17"/>
  <c r="Y205" i="17"/>
  <c r="X205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AE204" i="17"/>
  <c r="AC204" i="17"/>
  <c r="AB204" i="17"/>
  <c r="AA204" i="17"/>
  <c r="Z204" i="17"/>
  <c r="Y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AD204" i="17" s="1"/>
  <c r="AE203" i="17"/>
  <c r="AC203" i="17"/>
  <c r="AB203" i="17"/>
  <c r="AA203" i="17"/>
  <c r="Z203" i="17"/>
  <c r="Y203" i="17"/>
  <c r="X203" i="17"/>
  <c r="W203" i="17"/>
  <c r="V203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AD203" i="17" s="1"/>
  <c r="AE202" i="17"/>
  <c r="AC202" i="17"/>
  <c r="AB202" i="17"/>
  <c r="AA202" i="17"/>
  <c r="Z202" i="17"/>
  <c r="Y202" i="17"/>
  <c r="X202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AD202" i="17" s="1"/>
  <c r="AE201" i="17"/>
  <c r="AC201" i="17"/>
  <c r="AB201" i="17"/>
  <c r="AA201" i="17"/>
  <c r="Z201" i="17"/>
  <c r="Y201" i="17"/>
  <c r="X201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AD201" i="17" s="1"/>
  <c r="AE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AD200" i="17" s="1"/>
  <c r="AE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AE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AD198" i="17"/>
  <c r="AE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AE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AD196" i="17" s="1"/>
  <c r="AE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AD195" i="17" s="1"/>
  <c r="AE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AD194" i="17" s="1"/>
  <c r="AE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AD193" i="17" s="1"/>
  <c r="AE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AD192" i="17" s="1"/>
  <c r="AE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AD191" i="17" s="1"/>
  <c r="AE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AD190" i="17" s="1"/>
  <c r="AE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AD189" i="17" s="1"/>
  <c r="AE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AD188" i="17" s="1"/>
  <c r="AE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AD187" i="17" s="1"/>
  <c r="AE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AD186" i="17" s="1"/>
  <c r="AE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AD185" i="17" s="1"/>
  <c r="AE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AD184" i="17" s="1"/>
  <c r="AE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AD183" i="17" s="1"/>
  <c r="AE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AD182" i="17" s="1"/>
  <c r="AE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AD181" i="17" s="1"/>
  <c r="AE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AD180" i="17" s="1"/>
  <c r="AE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AD179" i="17" s="1"/>
  <c r="AE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AD178" i="17" s="1"/>
  <c r="AE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AD177" i="17" s="1"/>
  <c r="AE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AD176" i="17" s="1"/>
  <c r="AE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AE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AD174" i="17"/>
  <c r="AE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AD173" i="17"/>
  <c r="AE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AD172" i="17"/>
  <c r="AE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AD171" i="17"/>
  <c r="AE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AD170" i="17"/>
  <c r="AE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AD169" i="17"/>
  <c r="AE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AE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AD167" i="17" s="1"/>
  <c r="AE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AD166" i="17" s="1"/>
  <c r="AE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AD165" i="17" s="1"/>
  <c r="AE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AE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AD163" i="17"/>
  <c r="AE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AD162" i="17"/>
  <c r="AE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AD161" i="17"/>
  <c r="AE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AD160" i="17"/>
  <c r="AE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AE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AD158" i="17" s="1"/>
  <c r="AE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AD157" i="17" s="1"/>
  <c r="AE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AD156" i="17" s="1"/>
  <c r="AE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AD155" i="17" s="1"/>
  <c r="AE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AE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AD153" i="17"/>
  <c r="AE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AE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AD151" i="17" s="1"/>
  <c r="AE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AE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AD149" i="17"/>
  <c r="AE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AE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AD147" i="17" s="1"/>
  <c r="AE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AD146" i="17" s="1"/>
  <c r="AE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AE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AD144" i="17"/>
  <c r="AE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AD143" i="17"/>
  <c r="AE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AD142" i="17"/>
  <c r="AE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AD141" i="17"/>
  <c r="AE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AD140" i="17"/>
  <c r="AE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AD139" i="17"/>
  <c r="AE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AE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AD137" i="17" s="1"/>
  <c r="AE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AD136" i="17" s="1"/>
  <c r="AE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AD135" i="17" s="1"/>
  <c r="AE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AD134" i="17" s="1"/>
  <c r="AE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AD133" i="17" s="1"/>
  <c r="AE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AD132" i="17" s="1"/>
  <c r="AE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AD131" i="17" s="1"/>
  <c r="AE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AD130" i="17" s="1"/>
  <c r="AE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AE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AD128" i="17"/>
  <c r="AE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AE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AD126" i="17" s="1"/>
  <c r="AE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AD125" i="17" s="1"/>
  <c r="AE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AD124" i="17" s="1"/>
  <c r="AE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AD123" i="17" s="1"/>
  <c r="AE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AD122" i="17" s="1"/>
  <c r="AE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AD121" i="17" s="1"/>
  <c r="AE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AD120" i="17" s="1"/>
  <c r="AE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AD119" i="17" s="1"/>
  <c r="AE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AD118" i="17" s="1"/>
  <c r="AE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AD117" i="17" s="1"/>
  <c r="AE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AD116" i="17" s="1"/>
  <c r="AE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AE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AD114" i="17"/>
  <c r="AE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AD113" i="17"/>
  <c r="AE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AD112" i="17"/>
  <c r="AE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AD111" i="17"/>
  <c r="AE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AD110" i="17"/>
  <c r="AE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AD109" i="17"/>
  <c r="AE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AD108" i="17"/>
  <c r="AE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AD107" i="17"/>
  <c r="AE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AD106" i="17"/>
  <c r="AE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AD105" i="17"/>
  <c r="AE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AD104" i="17"/>
  <c r="AE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AD103" i="17"/>
  <c r="AE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AD102" i="17"/>
  <c r="AE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AD101" i="17"/>
  <c r="AE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AD100" i="17"/>
  <c r="AE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AD99" i="17"/>
  <c r="AE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AD98" i="17"/>
  <c r="AE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AD97" i="17"/>
  <c r="AE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AD96" i="17"/>
  <c r="AE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AD95" i="17"/>
  <c r="AE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AD94" i="17"/>
  <c r="AE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AE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AD92" i="17" s="1"/>
  <c r="AE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AD91" i="17" s="1"/>
  <c r="AE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AD90" i="17" s="1"/>
  <c r="AE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AD89" i="17" s="1"/>
  <c r="AE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AD88" i="17" s="1"/>
  <c r="AE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AD87" i="17" s="1"/>
  <c r="AE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AD86" i="17" s="1"/>
  <c r="AE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AD85" i="17" s="1"/>
  <c r="AE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AD84" i="17" s="1"/>
  <c r="AE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AD83" i="17" s="1"/>
  <c r="AE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AD82" i="17" s="1"/>
  <c r="AE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AD81" i="17" s="1"/>
  <c r="AE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AD80" i="17" s="1"/>
  <c r="AE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AD79" i="17" s="1"/>
  <c r="AE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AD78" i="17" s="1"/>
  <c r="AE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AE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AD76" i="17"/>
  <c r="AE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AD75" i="17"/>
  <c r="AE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AD74" i="17"/>
  <c r="AE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AD73" i="17"/>
  <c r="AE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AD72" i="17"/>
  <c r="AE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AD71" i="17"/>
  <c r="AE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AD70" i="17"/>
  <c r="AE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AD69" i="17"/>
  <c r="AE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AD68" i="17"/>
  <c r="AE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AD67" i="17"/>
  <c r="AE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AD66" i="17"/>
  <c r="AE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AD65" i="17"/>
  <c r="AE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AD64" i="17"/>
  <c r="AE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AD63" i="17"/>
  <c r="AE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AD62" i="17"/>
  <c r="AE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AD61" i="17"/>
  <c r="AE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AD60" i="17"/>
  <c r="AE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AD59" i="17"/>
  <c r="AE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AD58" i="17"/>
  <c r="AE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AD57" i="17"/>
  <c r="AE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AE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AD55" i="17" s="1"/>
  <c r="AE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AD54" i="17" s="1"/>
  <c r="AE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AD53" i="17" s="1"/>
  <c r="AE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AD52" i="17" s="1"/>
  <c r="AE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AD51" i="17" s="1"/>
  <c r="AE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AD50" i="17" s="1"/>
  <c r="AE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AD49" i="17" s="1"/>
  <c r="AE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AD48" i="17" s="1"/>
  <c r="AE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AD47" i="17" s="1"/>
  <c r="AE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AD46" i="17" s="1"/>
  <c r="AE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AD45" i="17" s="1"/>
  <c r="AE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AD44" i="17" s="1"/>
  <c r="AE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AE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AD42" i="17"/>
  <c r="AE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AD41" i="17"/>
  <c r="AE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AD40" i="17"/>
  <c r="AE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AE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AD38" i="17" s="1"/>
  <c r="AE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AD37" i="17" s="1"/>
  <c r="AE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AD36" i="17" s="1"/>
  <c r="AE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AE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AD34" i="17"/>
  <c r="AE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AE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AD32" i="17" s="1"/>
  <c r="AE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AD31" i="17" s="1"/>
  <c r="AE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AD30" i="17" s="1"/>
  <c r="AE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AD29" i="17" s="1"/>
  <c r="AE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AD28" i="17" s="1"/>
  <c r="AE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AD27" i="17" s="1"/>
  <c r="AE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AD26" i="17" s="1"/>
  <c r="AE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AD25" i="17" s="1"/>
  <c r="AE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AD24" i="17" s="1"/>
  <c r="AE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AD23" i="17" s="1"/>
  <c r="AE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AD22" i="17" s="1"/>
  <c r="AE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AD21" i="17" s="1"/>
  <c r="AE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AD20" i="17" s="1"/>
  <c r="AE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AD19" i="17" s="1"/>
  <c r="AE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AD18" i="17" s="1"/>
  <c r="AE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AD17" i="17" s="1"/>
  <c r="AE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AD16" i="17" s="1"/>
  <c r="AE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AD15" i="17" s="1"/>
  <c r="AE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AD14" i="17" s="1"/>
  <c r="AE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AE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AD12" i="17"/>
  <c r="AE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AE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AD10" i="17" s="1"/>
  <c r="AE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AE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AD8" i="17"/>
  <c r="AE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AD7" i="17"/>
  <c r="AE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AD6" i="17"/>
  <c r="AE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AD5" i="17"/>
  <c r="AE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AD4" i="17"/>
  <c r="AE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AD3" i="17"/>
  <c r="AE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 s="1"/>
  <c r="AD2" i="17" s="1"/>
  <c r="AE1" i="17"/>
  <c r="AC1" i="17"/>
  <c r="AB1" i="17"/>
  <c r="AA1" i="17"/>
  <c r="Z1" i="17"/>
  <c r="Y1" i="17"/>
  <c r="X1" i="17"/>
  <c r="W1" i="17"/>
  <c r="V1" i="17"/>
  <c r="U1" i="17"/>
  <c r="T1" i="17"/>
  <c r="S1" i="17"/>
  <c r="R1" i="17"/>
  <c r="Q1" i="17"/>
  <c r="P1" i="17"/>
  <c r="O1" i="17"/>
  <c r="N1" i="17"/>
  <c r="M1" i="17"/>
  <c r="L1" i="17"/>
  <c r="K1" i="17"/>
  <c r="J1" i="17"/>
  <c r="I1" i="17"/>
  <c r="H1" i="17"/>
  <c r="G1" i="17"/>
  <c r="F1" i="17"/>
  <c r="AD1" i="17" s="1"/>
  <c r="AE365" i="16"/>
  <c r="AC365" i="16"/>
  <c r="AB365" i="16"/>
  <c r="AA365" i="16"/>
  <c r="Z365" i="16"/>
  <c r="Y365" i="16"/>
  <c r="X365" i="16"/>
  <c r="W365" i="16"/>
  <c r="V365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AD365" i="16" s="1"/>
  <c r="AE364" i="16"/>
  <c r="AC364" i="16"/>
  <c r="AB364" i="16"/>
  <c r="AA364" i="16"/>
  <c r="Z364" i="16"/>
  <c r="Y364" i="16"/>
  <c r="X364" i="16"/>
  <c r="W364" i="16"/>
  <c r="V364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AE363" i="16"/>
  <c r="AC363" i="16"/>
  <c r="AB363" i="16"/>
  <c r="AA363" i="16"/>
  <c r="Z363" i="16"/>
  <c r="Y363" i="16"/>
  <c r="X363" i="16"/>
  <c r="W363" i="16"/>
  <c r="V363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AD363" i="16"/>
  <c r="AE362" i="16"/>
  <c r="AC362" i="16"/>
  <c r="AB362" i="16"/>
  <c r="AA362" i="16"/>
  <c r="Z362" i="16"/>
  <c r="Y362" i="16"/>
  <c r="X362" i="16"/>
  <c r="W362" i="16"/>
  <c r="V362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AE361" i="16"/>
  <c r="AC361" i="16"/>
  <c r="AB361" i="16"/>
  <c r="AA361" i="16"/>
  <c r="Z361" i="16"/>
  <c r="Y361" i="16"/>
  <c r="X361" i="16"/>
  <c r="W361" i="16"/>
  <c r="V361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AD361" i="16" s="1"/>
  <c r="AE360" i="16"/>
  <c r="AC360" i="16"/>
  <c r="AB360" i="16"/>
  <c r="AA360" i="16"/>
  <c r="Z360" i="16"/>
  <c r="Y360" i="16"/>
  <c r="X360" i="16"/>
  <c r="W360" i="16"/>
  <c r="V360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AD360" i="16" s="1"/>
  <c r="AE359" i="16"/>
  <c r="AC359" i="16"/>
  <c r="AB359" i="16"/>
  <c r="AA359" i="16"/>
  <c r="Z359" i="16"/>
  <c r="Y359" i="16"/>
  <c r="X359" i="16"/>
  <c r="W359" i="16"/>
  <c r="V359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AD359" i="16" s="1"/>
  <c r="AE358" i="16"/>
  <c r="AC358" i="16"/>
  <c r="AB358" i="16"/>
  <c r="AA358" i="16"/>
  <c r="Z358" i="16"/>
  <c r="Y358" i="16"/>
  <c r="X358" i="16"/>
  <c r="W358" i="16"/>
  <c r="V358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AD358" i="16" s="1"/>
  <c r="AE357" i="16"/>
  <c r="AC357" i="16"/>
  <c r="AB357" i="16"/>
  <c r="AA357" i="16"/>
  <c r="Z357" i="16"/>
  <c r="Y357" i="16"/>
  <c r="X357" i="16"/>
  <c r="W357" i="16"/>
  <c r="V357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AD357" i="16" s="1"/>
  <c r="AE356" i="16"/>
  <c r="AC356" i="16"/>
  <c r="AB356" i="16"/>
  <c r="AA356" i="16"/>
  <c r="Z356" i="16"/>
  <c r="Y356" i="16"/>
  <c r="X356" i="16"/>
  <c r="W356" i="16"/>
  <c r="V356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AD356" i="16" s="1"/>
  <c r="AE355" i="16"/>
  <c r="AC355" i="16"/>
  <c r="AB355" i="16"/>
  <c r="AA355" i="16"/>
  <c r="Z355" i="16"/>
  <c r="Y355" i="16"/>
  <c r="X355" i="16"/>
  <c r="W355" i="16"/>
  <c r="V355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AE354" i="16"/>
  <c r="AC354" i="16"/>
  <c r="AB354" i="16"/>
  <c r="AA354" i="16"/>
  <c r="Z354" i="16"/>
  <c r="Y354" i="16"/>
  <c r="X354" i="16"/>
  <c r="W354" i="16"/>
  <c r="V354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AD354" i="16"/>
  <c r="AE353" i="16"/>
  <c r="AC353" i="16"/>
  <c r="AB353" i="16"/>
  <c r="AA353" i="16"/>
  <c r="Z353" i="16"/>
  <c r="Y353" i="16"/>
  <c r="X353" i="16"/>
  <c r="W353" i="16"/>
  <c r="V353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AD353" i="16"/>
  <c r="AE352" i="16"/>
  <c r="AC352" i="16"/>
  <c r="AB352" i="16"/>
  <c r="AA352" i="16"/>
  <c r="Z352" i="16"/>
  <c r="Y352" i="16"/>
  <c r="X352" i="16"/>
  <c r="W352" i="16"/>
  <c r="V352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AD352" i="16"/>
  <c r="AE351" i="16"/>
  <c r="AC351" i="16"/>
  <c r="AB351" i="16"/>
  <c r="AA351" i="16"/>
  <c r="Z351" i="16"/>
  <c r="Y351" i="16"/>
  <c r="X351" i="16"/>
  <c r="W351" i="16"/>
  <c r="V351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AD351" i="16"/>
  <c r="AE350" i="16"/>
  <c r="AC350" i="16"/>
  <c r="AB350" i="16"/>
  <c r="AA350" i="16"/>
  <c r="Z350" i="16"/>
  <c r="Y350" i="16"/>
  <c r="X350" i="16"/>
  <c r="W350" i="16"/>
  <c r="V350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AD350" i="16"/>
  <c r="AE349" i="16"/>
  <c r="AC349" i="16"/>
  <c r="AB349" i="16"/>
  <c r="AA349" i="16"/>
  <c r="Z349" i="16"/>
  <c r="Y349" i="16"/>
  <c r="X349" i="16"/>
  <c r="W349" i="16"/>
  <c r="V349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AD349" i="16"/>
  <c r="AE348" i="16"/>
  <c r="AC348" i="16"/>
  <c r="AB348" i="16"/>
  <c r="AA348" i="16"/>
  <c r="Z348" i="16"/>
  <c r="Y348" i="16"/>
  <c r="X348" i="16"/>
  <c r="W348" i="16"/>
  <c r="V348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AD348" i="16"/>
  <c r="AE347" i="16"/>
  <c r="AC347" i="16"/>
  <c r="AB347" i="16"/>
  <c r="AA347" i="16"/>
  <c r="Z347" i="16"/>
  <c r="Y347" i="16"/>
  <c r="X347" i="16"/>
  <c r="W347" i="16"/>
  <c r="V347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AD347" i="16"/>
  <c r="AE346" i="16"/>
  <c r="AC346" i="16"/>
  <c r="AB346" i="16"/>
  <c r="AA346" i="16"/>
  <c r="Z346" i="16"/>
  <c r="Y346" i="16"/>
  <c r="X346" i="16"/>
  <c r="W346" i="16"/>
  <c r="V346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AD346" i="16"/>
  <c r="AE345" i="16"/>
  <c r="AC345" i="16"/>
  <c r="AB345" i="16"/>
  <c r="AA345" i="16"/>
  <c r="Z345" i="16"/>
  <c r="Y345" i="16"/>
  <c r="X345" i="16"/>
  <c r="W345" i="16"/>
  <c r="V345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AD345" i="16"/>
  <c r="AE344" i="16"/>
  <c r="AC344" i="16"/>
  <c r="AB344" i="16"/>
  <c r="AA344" i="16"/>
  <c r="Z344" i="16"/>
  <c r="Y344" i="16"/>
  <c r="X344" i="16"/>
  <c r="W344" i="16"/>
  <c r="V344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AD344" i="16"/>
  <c r="AE343" i="16"/>
  <c r="AC343" i="16"/>
  <c r="AB343" i="16"/>
  <c r="AA343" i="16"/>
  <c r="Z343" i="16"/>
  <c r="Y343" i="16"/>
  <c r="X343" i="16"/>
  <c r="W343" i="16"/>
  <c r="V343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AD343" i="16"/>
  <c r="AE342" i="16"/>
  <c r="AC342" i="16"/>
  <c r="AB342" i="16"/>
  <c r="AA342" i="16"/>
  <c r="Z342" i="16"/>
  <c r="Y342" i="16"/>
  <c r="X342" i="16"/>
  <c r="W342" i="16"/>
  <c r="V342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AD342" i="16"/>
  <c r="AE341" i="16"/>
  <c r="AC341" i="16"/>
  <c r="AB341" i="16"/>
  <c r="AA341" i="16"/>
  <c r="Z341" i="16"/>
  <c r="Y341" i="16"/>
  <c r="X341" i="16"/>
  <c r="W341" i="16"/>
  <c r="V341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AD341" i="16"/>
  <c r="AE340" i="16"/>
  <c r="AC340" i="16"/>
  <c r="AB340" i="16"/>
  <c r="AA340" i="16"/>
  <c r="Z340" i="16"/>
  <c r="Y340" i="16"/>
  <c r="X340" i="16"/>
  <c r="W340" i="16"/>
  <c r="V340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AD340" i="16"/>
  <c r="AE339" i="16"/>
  <c r="AC339" i="16"/>
  <c r="AB339" i="16"/>
  <c r="AA339" i="16"/>
  <c r="Z339" i="16"/>
  <c r="Y339" i="16"/>
  <c r="X339" i="16"/>
  <c r="W339" i="16"/>
  <c r="V339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AD339" i="16"/>
  <c r="AE338" i="16"/>
  <c r="AC338" i="16"/>
  <c r="AB338" i="16"/>
  <c r="AA338" i="16"/>
  <c r="Z338" i="16"/>
  <c r="Y338" i="16"/>
  <c r="X338" i="16"/>
  <c r="W338" i="16"/>
  <c r="V338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AD338" i="16"/>
  <c r="AE337" i="16"/>
  <c r="AC337" i="16"/>
  <c r="AB337" i="16"/>
  <c r="AA337" i="16"/>
  <c r="Z337" i="16"/>
  <c r="Y337" i="16"/>
  <c r="X337" i="16"/>
  <c r="W337" i="16"/>
  <c r="V337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AD337" i="16"/>
  <c r="AE336" i="16"/>
  <c r="AC336" i="16"/>
  <c r="AB336" i="16"/>
  <c r="AA336" i="16"/>
  <c r="Z336" i="16"/>
  <c r="Y336" i="16"/>
  <c r="X336" i="16"/>
  <c r="W336" i="16"/>
  <c r="V336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AD336" i="16"/>
  <c r="AE335" i="16"/>
  <c r="AC335" i="16"/>
  <c r="AB335" i="16"/>
  <c r="AA335" i="16"/>
  <c r="Z335" i="16"/>
  <c r="Y335" i="16"/>
  <c r="X335" i="16"/>
  <c r="W335" i="16"/>
  <c r="V335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AD335" i="16"/>
  <c r="AE334" i="16"/>
  <c r="AC334" i="16"/>
  <c r="AB334" i="16"/>
  <c r="AA334" i="16"/>
  <c r="Z334" i="16"/>
  <c r="Y334" i="16"/>
  <c r="X334" i="16"/>
  <c r="W334" i="16"/>
  <c r="V334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AD334" i="16"/>
  <c r="AE333" i="16"/>
  <c r="AC333" i="16"/>
  <c r="AB333" i="16"/>
  <c r="AA333" i="16"/>
  <c r="Z333" i="16"/>
  <c r="Y333" i="16"/>
  <c r="X333" i="16"/>
  <c r="W333" i="16"/>
  <c r="V333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AD333" i="16"/>
  <c r="AE332" i="16"/>
  <c r="AC332" i="16"/>
  <c r="AB332" i="16"/>
  <c r="AA332" i="16"/>
  <c r="Z332" i="16"/>
  <c r="Y332" i="16"/>
  <c r="X332" i="16"/>
  <c r="W332" i="16"/>
  <c r="V332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AD332" i="16"/>
  <c r="AE331" i="16"/>
  <c r="AC331" i="16"/>
  <c r="AB331" i="16"/>
  <c r="AA331" i="16"/>
  <c r="Z331" i="16"/>
  <c r="Y331" i="16"/>
  <c r="X331" i="16"/>
  <c r="W331" i="16"/>
  <c r="V331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AD331" i="16"/>
  <c r="AE330" i="16"/>
  <c r="AC330" i="16"/>
  <c r="AB330" i="16"/>
  <c r="AA330" i="16"/>
  <c r="Z330" i="16"/>
  <c r="Y330" i="16"/>
  <c r="X330" i="16"/>
  <c r="W330" i="16"/>
  <c r="V330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AD330" i="16"/>
  <c r="AE329" i="16"/>
  <c r="AC329" i="16"/>
  <c r="AB329" i="16"/>
  <c r="AA329" i="16"/>
  <c r="Z329" i="16"/>
  <c r="Y329" i="16"/>
  <c r="X329" i="16"/>
  <c r="W329" i="16"/>
  <c r="V329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AD329" i="16"/>
  <c r="AE328" i="16"/>
  <c r="AC328" i="16"/>
  <c r="AB328" i="16"/>
  <c r="AA328" i="16"/>
  <c r="Z328" i="16"/>
  <c r="Y328" i="16"/>
  <c r="X328" i="16"/>
  <c r="W328" i="16"/>
  <c r="V328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AD328" i="16"/>
  <c r="AE327" i="16"/>
  <c r="AC327" i="16"/>
  <c r="AB327" i="16"/>
  <c r="AA327" i="16"/>
  <c r="Z327" i="16"/>
  <c r="Y327" i="16"/>
  <c r="X327" i="16"/>
  <c r="W327" i="16"/>
  <c r="V327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AE326" i="16"/>
  <c r="AC326" i="16"/>
  <c r="AB326" i="16"/>
  <c r="AA326" i="16"/>
  <c r="Z326" i="16"/>
  <c r="Y326" i="16"/>
  <c r="X326" i="16"/>
  <c r="W326" i="16"/>
  <c r="V326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AD326" i="16" s="1"/>
  <c r="AE325" i="16"/>
  <c r="AC325" i="16"/>
  <c r="AB325" i="16"/>
  <c r="AA325" i="16"/>
  <c r="Z325" i="16"/>
  <c r="Y325" i="16"/>
  <c r="X325" i="16"/>
  <c r="W325" i="16"/>
  <c r="V325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AE324" i="16"/>
  <c r="AC324" i="16"/>
  <c r="AB324" i="16"/>
  <c r="AA324" i="16"/>
  <c r="Z324" i="16"/>
  <c r="Y324" i="16"/>
  <c r="X324" i="16"/>
  <c r="W324" i="16"/>
  <c r="V324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AD324" i="16"/>
  <c r="AE323" i="16"/>
  <c r="AC323" i="16"/>
  <c r="AB323" i="16"/>
  <c r="AA323" i="16"/>
  <c r="Z323" i="16"/>
  <c r="Y323" i="16"/>
  <c r="X323" i="16"/>
  <c r="W323" i="16"/>
  <c r="V323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AD323" i="16"/>
  <c r="AE322" i="16"/>
  <c r="AC322" i="16"/>
  <c r="AB322" i="16"/>
  <c r="AA322" i="16"/>
  <c r="Z322" i="16"/>
  <c r="Y322" i="16"/>
  <c r="X322" i="16"/>
  <c r="W322" i="16"/>
  <c r="V322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AD322" i="16"/>
  <c r="AE321" i="16"/>
  <c r="AC321" i="16"/>
  <c r="AB321" i="16"/>
  <c r="AA321" i="16"/>
  <c r="Z321" i="16"/>
  <c r="Y321" i="16"/>
  <c r="X321" i="16"/>
  <c r="W321" i="16"/>
  <c r="V321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AD321" i="16"/>
  <c r="AE320" i="16"/>
  <c r="AC320" i="16"/>
  <c r="AB320" i="16"/>
  <c r="AA320" i="16"/>
  <c r="Z320" i="16"/>
  <c r="Y320" i="16"/>
  <c r="X320" i="16"/>
  <c r="W320" i="16"/>
  <c r="V320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AD320" i="16"/>
  <c r="AE319" i="16"/>
  <c r="AC319" i="16"/>
  <c r="AB319" i="16"/>
  <c r="AA319" i="16"/>
  <c r="Z319" i="16"/>
  <c r="Y319" i="16"/>
  <c r="X319" i="16"/>
  <c r="W319" i="16"/>
  <c r="V319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AD319" i="16"/>
  <c r="AE318" i="16"/>
  <c r="AC318" i="16"/>
  <c r="AB318" i="16"/>
  <c r="AA318" i="16"/>
  <c r="Z318" i="16"/>
  <c r="Y318" i="16"/>
  <c r="X318" i="16"/>
  <c r="W318" i="16"/>
  <c r="V318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AD318" i="16"/>
  <c r="AE317" i="16"/>
  <c r="AC317" i="16"/>
  <c r="AB317" i="16"/>
  <c r="AA317" i="16"/>
  <c r="Z317" i="16"/>
  <c r="Y317" i="16"/>
  <c r="X317" i="16"/>
  <c r="W317" i="16"/>
  <c r="V317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AD317" i="16"/>
  <c r="AE316" i="16"/>
  <c r="AC316" i="16"/>
  <c r="AB316" i="16"/>
  <c r="AA316" i="16"/>
  <c r="Z316" i="16"/>
  <c r="Y316" i="16"/>
  <c r="X316" i="16"/>
  <c r="W316" i="16"/>
  <c r="V316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AD316" i="16"/>
  <c r="AE315" i="16"/>
  <c r="AC315" i="16"/>
  <c r="AB315" i="16"/>
  <c r="AA315" i="16"/>
  <c r="Z315" i="16"/>
  <c r="Y315" i="16"/>
  <c r="X315" i="16"/>
  <c r="W315" i="16"/>
  <c r="V315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AD315" i="16"/>
  <c r="AE314" i="16"/>
  <c r="AC314" i="16"/>
  <c r="AB314" i="16"/>
  <c r="AA314" i="16"/>
  <c r="Z314" i="16"/>
  <c r="Y314" i="16"/>
  <c r="X314" i="16"/>
  <c r="W314" i="16"/>
  <c r="V314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AE313" i="16"/>
  <c r="AC313" i="16"/>
  <c r="AB313" i="16"/>
  <c r="AA313" i="16"/>
  <c r="Z313" i="16"/>
  <c r="Y313" i="16"/>
  <c r="X313" i="16"/>
  <c r="W313" i="16"/>
  <c r="V313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AD313" i="16" s="1"/>
  <c r="AE312" i="16"/>
  <c r="AC312" i="16"/>
  <c r="AB312" i="16"/>
  <c r="AA312" i="16"/>
  <c r="Z312" i="16"/>
  <c r="Y312" i="16"/>
  <c r="X312" i="16"/>
  <c r="W312" i="16"/>
  <c r="V312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AD312" i="16" s="1"/>
  <c r="AE311" i="16"/>
  <c r="AC311" i="16"/>
  <c r="AB311" i="16"/>
  <c r="AA311" i="16"/>
  <c r="Z311" i="16"/>
  <c r="Y311" i="16"/>
  <c r="X311" i="16"/>
  <c r="W311" i="16"/>
  <c r="V311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AD311" i="16" s="1"/>
  <c r="AE310" i="16"/>
  <c r="AC310" i="16"/>
  <c r="AB310" i="16"/>
  <c r="AA310" i="16"/>
  <c r="Z310" i="16"/>
  <c r="Y310" i="16"/>
  <c r="X310" i="16"/>
  <c r="W310" i="16"/>
  <c r="V310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AD310" i="16" s="1"/>
  <c r="AE309" i="16"/>
  <c r="AC309" i="16"/>
  <c r="AB309" i="16"/>
  <c r="AA309" i="16"/>
  <c r="Z309" i="16"/>
  <c r="Y309" i="16"/>
  <c r="X309" i="16"/>
  <c r="W309" i="16"/>
  <c r="V309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AD309" i="16" s="1"/>
  <c r="AE308" i="16"/>
  <c r="AC308" i="16"/>
  <c r="AB308" i="16"/>
  <c r="AA308" i="16"/>
  <c r="Z308" i="16"/>
  <c r="Y308" i="16"/>
  <c r="X308" i="16"/>
  <c r="W308" i="16"/>
  <c r="V308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AD308" i="16" s="1"/>
  <c r="AE307" i="16"/>
  <c r="AC307" i="16"/>
  <c r="AB307" i="16"/>
  <c r="AA307" i="16"/>
  <c r="Z307" i="16"/>
  <c r="Y307" i="16"/>
  <c r="X307" i="16"/>
  <c r="W307" i="16"/>
  <c r="V307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AD307" i="16" s="1"/>
  <c r="AE306" i="16"/>
  <c r="AC306" i="16"/>
  <c r="AB306" i="16"/>
  <c r="AA306" i="16"/>
  <c r="Z306" i="16"/>
  <c r="Y306" i="16"/>
  <c r="X306" i="16"/>
  <c r="W306" i="16"/>
  <c r="V306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AD306" i="16" s="1"/>
  <c r="AE305" i="16"/>
  <c r="AC305" i="16"/>
  <c r="AB305" i="16"/>
  <c r="AA305" i="16"/>
  <c r="Z305" i="16"/>
  <c r="Y305" i="16"/>
  <c r="X305" i="16"/>
  <c r="W305" i="16"/>
  <c r="V305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AD305" i="16" s="1"/>
  <c r="AE304" i="16"/>
  <c r="AC304" i="16"/>
  <c r="AB304" i="16"/>
  <c r="AA304" i="16"/>
  <c r="Z304" i="16"/>
  <c r="Y304" i="16"/>
  <c r="X304" i="16"/>
  <c r="W304" i="16"/>
  <c r="V304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AD304" i="16" s="1"/>
  <c r="AE303" i="16"/>
  <c r="AC303" i="16"/>
  <c r="AB303" i="16"/>
  <c r="AA303" i="16"/>
  <c r="Z303" i="16"/>
  <c r="Y303" i="16"/>
  <c r="X303" i="16"/>
  <c r="W303" i="16"/>
  <c r="V303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AD303" i="16" s="1"/>
  <c r="AE302" i="16"/>
  <c r="AC302" i="16"/>
  <c r="AB302" i="16"/>
  <c r="AA302" i="16"/>
  <c r="Z302" i="16"/>
  <c r="Y302" i="16"/>
  <c r="X302" i="16"/>
  <c r="W302" i="16"/>
  <c r="V302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AD302" i="16" s="1"/>
  <c r="AE301" i="16"/>
  <c r="AC301" i="16"/>
  <c r="AB301" i="16"/>
  <c r="AA301" i="16"/>
  <c r="Z301" i="16"/>
  <c r="Y301" i="16"/>
  <c r="X301" i="16"/>
  <c r="W301" i="16"/>
  <c r="V301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AD301" i="16" s="1"/>
  <c r="AE300" i="16"/>
  <c r="AC300" i="16"/>
  <c r="AB300" i="16"/>
  <c r="AA300" i="16"/>
  <c r="Z300" i="16"/>
  <c r="Y300" i="16"/>
  <c r="X300" i="16"/>
  <c r="W300" i="16"/>
  <c r="V300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AD300" i="16" s="1"/>
  <c r="AE299" i="16"/>
  <c r="AC299" i="16"/>
  <c r="AB299" i="16"/>
  <c r="AA299" i="16"/>
  <c r="Z299" i="16"/>
  <c r="Y299" i="16"/>
  <c r="X299" i="16"/>
  <c r="W299" i="16"/>
  <c r="V299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AD299" i="16" s="1"/>
  <c r="AE298" i="16"/>
  <c r="AC298" i="16"/>
  <c r="AB298" i="16"/>
  <c r="AA298" i="16"/>
  <c r="Z298" i="16"/>
  <c r="Y298" i="16"/>
  <c r="X298" i="16"/>
  <c r="W298" i="16"/>
  <c r="V298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AD298" i="16" s="1"/>
  <c r="AE297" i="16"/>
  <c r="AC297" i="16"/>
  <c r="AB297" i="16"/>
  <c r="AA297" i="16"/>
  <c r="Z297" i="16"/>
  <c r="Y297" i="16"/>
  <c r="X297" i="16"/>
  <c r="W297" i="16"/>
  <c r="V297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AD297" i="16" s="1"/>
  <c r="AE296" i="16"/>
  <c r="AC296" i="16"/>
  <c r="AB296" i="16"/>
  <c r="AA296" i="16"/>
  <c r="Z296" i="16"/>
  <c r="Y296" i="16"/>
  <c r="X296" i="16"/>
  <c r="W296" i="16"/>
  <c r="V296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AD296" i="16" s="1"/>
  <c r="AE295" i="16"/>
  <c r="AC295" i="16"/>
  <c r="AB295" i="16"/>
  <c r="AA295" i="16"/>
  <c r="Z295" i="16"/>
  <c r="Y295" i="16"/>
  <c r="X295" i="16"/>
  <c r="W295" i="16"/>
  <c r="V295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AD295" i="16" s="1"/>
  <c r="AE294" i="16"/>
  <c r="AC294" i="16"/>
  <c r="AB294" i="16"/>
  <c r="AA294" i="16"/>
  <c r="Z294" i="16"/>
  <c r="Y294" i="16"/>
  <c r="X294" i="16"/>
  <c r="W294" i="16"/>
  <c r="V294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AD294" i="16" s="1"/>
  <c r="AE293" i="16"/>
  <c r="AC293" i="16"/>
  <c r="AB293" i="16"/>
  <c r="AA293" i="16"/>
  <c r="Z293" i="16"/>
  <c r="Y293" i="16"/>
  <c r="X293" i="16"/>
  <c r="W293" i="16"/>
  <c r="V293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AD293" i="16" s="1"/>
  <c r="AE292" i="16"/>
  <c r="AC292" i="16"/>
  <c r="AB292" i="16"/>
  <c r="AA292" i="16"/>
  <c r="Z292" i="16"/>
  <c r="Y292" i="16"/>
  <c r="X292" i="16"/>
  <c r="W292" i="16"/>
  <c r="V292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AD292" i="16" s="1"/>
  <c r="AE291" i="16"/>
  <c r="AC291" i="16"/>
  <c r="AB291" i="16"/>
  <c r="AA291" i="16"/>
  <c r="Z291" i="16"/>
  <c r="Y291" i="16"/>
  <c r="X291" i="16"/>
  <c r="W291" i="16"/>
  <c r="V291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AD291" i="16" s="1"/>
  <c r="AE290" i="16"/>
  <c r="AC290" i="16"/>
  <c r="AB290" i="16"/>
  <c r="AA290" i="16"/>
  <c r="Z290" i="16"/>
  <c r="Y290" i="16"/>
  <c r="X290" i="16"/>
  <c r="W290" i="16"/>
  <c r="V290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AD290" i="16" s="1"/>
  <c r="AE289" i="16"/>
  <c r="AC289" i="16"/>
  <c r="AB289" i="16"/>
  <c r="AA289" i="16"/>
  <c r="Z289" i="16"/>
  <c r="Y289" i="16"/>
  <c r="X289" i="16"/>
  <c r="W289" i="16"/>
  <c r="V289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AD289" i="16" s="1"/>
  <c r="AE288" i="16"/>
  <c r="AC288" i="16"/>
  <c r="AB288" i="16"/>
  <c r="AA288" i="16"/>
  <c r="Z288" i="16"/>
  <c r="Y288" i="16"/>
  <c r="X288" i="16"/>
  <c r="W288" i="16"/>
  <c r="V288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AD288" i="16" s="1"/>
  <c r="AE287" i="16"/>
  <c r="AC287" i="16"/>
  <c r="AB287" i="16"/>
  <c r="AA287" i="16"/>
  <c r="Z287" i="16"/>
  <c r="Y287" i="16"/>
  <c r="X287" i="16"/>
  <c r="W287" i="16"/>
  <c r="V287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AD287" i="16" s="1"/>
  <c r="AE286" i="16"/>
  <c r="AC286" i="16"/>
  <c r="AB286" i="16"/>
  <c r="AA286" i="16"/>
  <c r="Z286" i="16"/>
  <c r="Y286" i="16"/>
  <c r="X286" i="16"/>
  <c r="W286" i="16"/>
  <c r="V286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AD286" i="16" s="1"/>
  <c r="AE285" i="16"/>
  <c r="AC285" i="16"/>
  <c r="AB285" i="16"/>
  <c r="AA285" i="16"/>
  <c r="Z285" i="16"/>
  <c r="Y285" i="16"/>
  <c r="X285" i="16"/>
  <c r="W285" i="16"/>
  <c r="V285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AE284" i="16"/>
  <c r="AC284" i="16"/>
  <c r="AB284" i="16"/>
  <c r="AA284" i="16"/>
  <c r="Z284" i="16"/>
  <c r="Y284" i="16"/>
  <c r="X284" i="16"/>
  <c r="W284" i="16"/>
  <c r="V284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AD284" i="16"/>
  <c r="AE283" i="16"/>
  <c r="AC283" i="16"/>
  <c r="AB283" i="16"/>
  <c r="AA283" i="16"/>
  <c r="Z283" i="16"/>
  <c r="Y283" i="16"/>
  <c r="X283" i="16"/>
  <c r="W283" i="16"/>
  <c r="V283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AD283" i="16"/>
  <c r="AE282" i="16"/>
  <c r="AC282" i="16"/>
  <c r="AB282" i="16"/>
  <c r="AA282" i="16"/>
  <c r="Z282" i="16"/>
  <c r="Y282" i="16"/>
  <c r="X282" i="16"/>
  <c r="W282" i="16"/>
  <c r="V282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AD282" i="16"/>
  <c r="AE281" i="16"/>
  <c r="AC281" i="16"/>
  <c r="AB281" i="16"/>
  <c r="AA281" i="16"/>
  <c r="Z281" i="16"/>
  <c r="Y281" i="16"/>
  <c r="X281" i="16"/>
  <c r="W281" i="16"/>
  <c r="V281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AE280" i="16"/>
  <c r="AC280" i="16"/>
  <c r="AB280" i="16"/>
  <c r="AA280" i="16"/>
  <c r="Z280" i="16"/>
  <c r="Y280" i="16"/>
  <c r="X280" i="16"/>
  <c r="W280" i="16"/>
  <c r="V280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AD280" i="16" s="1"/>
  <c r="AE279" i="16"/>
  <c r="AC279" i="16"/>
  <c r="AB279" i="16"/>
  <c r="AA279" i="16"/>
  <c r="Z279" i="16"/>
  <c r="Y279" i="16"/>
  <c r="X279" i="16"/>
  <c r="W279" i="16"/>
  <c r="V279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AE278" i="16"/>
  <c r="AC278" i="16"/>
  <c r="AB278" i="16"/>
  <c r="AA278" i="16"/>
  <c r="Z278" i="16"/>
  <c r="Y278" i="16"/>
  <c r="X278" i="16"/>
  <c r="W278" i="16"/>
  <c r="V278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AD278" i="16"/>
  <c r="AE277" i="16"/>
  <c r="AC277" i="16"/>
  <c r="AB277" i="16"/>
  <c r="AA277" i="16"/>
  <c r="Z277" i="16"/>
  <c r="Y277" i="16"/>
  <c r="X277" i="16"/>
  <c r="W277" i="16"/>
  <c r="V277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AE276" i="16"/>
  <c r="AC276" i="16"/>
  <c r="AB276" i="16"/>
  <c r="AA276" i="16"/>
  <c r="Z276" i="16"/>
  <c r="Y276" i="16"/>
  <c r="X276" i="16"/>
  <c r="W276" i="16"/>
  <c r="V276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AD276" i="16" s="1"/>
  <c r="AE275" i="16"/>
  <c r="AC275" i="16"/>
  <c r="AB275" i="16"/>
  <c r="AA275" i="16"/>
  <c r="Z275" i="16"/>
  <c r="Y275" i="16"/>
  <c r="X275" i="16"/>
  <c r="W275" i="16"/>
  <c r="V275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AE274" i="16"/>
  <c r="AC274" i="16"/>
  <c r="AB274" i="16"/>
  <c r="AA274" i="16"/>
  <c r="Z274" i="16"/>
  <c r="Y274" i="16"/>
  <c r="X274" i="16"/>
  <c r="W274" i="16"/>
  <c r="V274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AD274" i="16"/>
  <c r="AE273" i="16"/>
  <c r="AC273" i="16"/>
  <c r="AB273" i="16"/>
  <c r="AA273" i="16"/>
  <c r="Z273" i="16"/>
  <c r="Y273" i="16"/>
  <c r="X273" i="16"/>
  <c r="W273" i="16"/>
  <c r="V273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AE272" i="16"/>
  <c r="AC272" i="16"/>
  <c r="AB272" i="16"/>
  <c r="AA272" i="16"/>
  <c r="Z272" i="16"/>
  <c r="Y272" i="16"/>
  <c r="X272" i="16"/>
  <c r="W272" i="16"/>
  <c r="V272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AD272" i="16" s="1"/>
  <c r="AE271" i="16"/>
  <c r="AC271" i="16"/>
  <c r="AB271" i="16"/>
  <c r="AA271" i="16"/>
  <c r="Z271" i="16"/>
  <c r="Y271" i="16"/>
  <c r="X271" i="16"/>
  <c r="W271" i="16"/>
  <c r="V271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AD271" i="16" s="1"/>
  <c r="AE270" i="16"/>
  <c r="AC270" i="16"/>
  <c r="AB270" i="16"/>
  <c r="AA270" i="16"/>
  <c r="Z270" i="16"/>
  <c r="Y270" i="16"/>
  <c r="X270" i="16"/>
  <c r="W270" i="16"/>
  <c r="V270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AE269" i="16"/>
  <c r="AC269" i="16"/>
  <c r="AB269" i="16"/>
  <c r="AA269" i="16"/>
  <c r="Z269" i="16"/>
  <c r="Y269" i="16"/>
  <c r="X269" i="16"/>
  <c r="W269" i="16"/>
  <c r="V269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AD269" i="16"/>
  <c r="AE268" i="16"/>
  <c r="AC268" i="16"/>
  <c r="AB268" i="16"/>
  <c r="AA268" i="16"/>
  <c r="Z268" i="16"/>
  <c r="Y268" i="16"/>
  <c r="X268" i="16"/>
  <c r="W268" i="16"/>
  <c r="V268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AD268" i="16"/>
  <c r="AE267" i="16"/>
  <c r="AC267" i="16"/>
  <c r="AB267" i="16"/>
  <c r="AA267" i="16"/>
  <c r="Z267" i="16"/>
  <c r="Y267" i="16"/>
  <c r="X267" i="16"/>
  <c r="W267" i="16"/>
  <c r="V267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AD267" i="16"/>
  <c r="AE266" i="16"/>
  <c r="AC266" i="16"/>
  <c r="AB266" i="16"/>
  <c r="AA266" i="16"/>
  <c r="Z266" i="16"/>
  <c r="Y266" i="16"/>
  <c r="X266" i="16"/>
  <c r="W266" i="16"/>
  <c r="V266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AD266" i="16"/>
  <c r="AE265" i="16"/>
  <c r="AC265" i="16"/>
  <c r="AB265" i="16"/>
  <c r="AA265" i="16"/>
  <c r="Z265" i="16"/>
  <c r="Y265" i="16"/>
  <c r="X265" i="16"/>
  <c r="W265" i="16"/>
  <c r="V265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AD265" i="16"/>
  <c r="AE264" i="16"/>
  <c r="AC264" i="16"/>
  <c r="AB264" i="16"/>
  <c r="AA264" i="16"/>
  <c r="Z264" i="16"/>
  <c r="Y264" i="16"/>
  <c r="X264" i="16"/>
  <c r="W264" i="16"/>
  <c r="V264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AD264" i="16"/>
  <c r="AE263" i="16"/>
  <c r="AC263" i="16"/>
  <c r="AB263" i="16"/>
  <c r="AA263" i="16"/>
  <c r="Z263" i="16"/>
  <c r="Y263" i="16"/>
  <c r="X263" i="16"/>
  <c r="W263" i="16"/>
  <c r="V263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AD263" i="16"/>
  <c r="AE262" i="16"/>
  <c r="AC262" i="16"/>
  <c r="AB262" i="16"/>
  <c r="AA262" i="16"/>
  <c r="Z262" i="16"/>
  <c r="Y262" i="16"/>
  <c r="X262" i="16"/>
  <c r="W262" i="16"/>
  <c r="V262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AD262" i="16"/>
  <c r="AE261" i="16"/>
  <c r="AC261" i="16"/>
  <c r="AB261" i="16"/>
  <c r="AA261" i="16"/>
  <c r="Z261" i="16"/>
  <c r="Y261" i="16"/>
  <c r="X261" i="16"/>
  <c r="W261" i="16"/>
  <c r="V261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AD261" i="16"/>
  <c r="AE260" i="16"/>
  <c r="AC260" i="16"/>
  <c r="AB260" i="16"/>
  <c r="AA260" i="16"/>
  <c r="Z260" i="16"/>
  <c r="Y260" i="16"/>
  <c r="X260" i="16"/>
  <c r="W260" i="16"/>
  <c r="V260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AD260" i="16"/>
  <c r="AE259" i="16"/>
  <c r="AC259" i="16"/>
  <c r="AB259" i="16"/>
  <c r="AA259" i="16"/>
  <c r="Z259" i="16"/>
  <c r="Y259" i="16"/>
  <c r="X259" i="16"/>
  <c r="W259" i="16"/>
  <c r="V259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AD259" i="16"/>
  <c r="AE258" i="16"/>
  <c r="AC258" i="16"/>
  <c r="AB258" i="16"/>
  <c r="AA258" i="16"/>
  <c r="Z258" i="16"/>
  <c r="Y258" i="16"/>
  <c r="X258" i="16"/>
  <c r="W258" i="16"/>
  <c r="V258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AD258" i="16"/>
  <c r="AE257" i="16"/>
  <c r="AC257" i="16"/>
  <c r="AB257" i="16"/>
  <c r="AA257" i="16"/>
  <c r="Z257" i="16"/>
  <c r="Y257" i="16"/>
  <c r="X257" i="16"/>
  <c r="W257" i="16"/>
  <c r="V257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AD257" i="16"/>
  <c r="AE256" i="16"/>
  <c r="AC256" i="16"/>
  <c r="AB256" i="16"/>
  <c r="AA256" i="16"/>
  <c r="Z256" i="16"/>
  <c r="Y256" i="16"/>
  <c r="X256" i="16"/>
  <c r="W256" i="16"/>
  <c r="V256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AD256" i="16"/>
  <c r="AE255" i="16"/>
  <c r="AC255" i="16"/>
  <c r="AB255" i="16"/>
  <c r="AA255" i="16"/>
  <c r="Z255" i="16"/>
  <c r="Y255" i="16"/>
  <c r="X255" i="16"/>
  <c r="W255" i="16"/>
  <c r="V255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AD255" i="16"/>
  <c r="AE254" i="16"/>
  <c r="AC254" i="16"/>
  <c r="AB254" i="16"/>
  <c r="AA254" i="16"/>
  <c r="Z254" i="16"/>
  <c r="Y254" i="16"/>
  <c r="X254" i="16"/>
  <c r="W254" i="16"/>
  <c r="V254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AD254" i="16"/>
  <c r="AE253" i="16"/>
  <c r="AC253" i="16"/>
  <c r="AB253" i="16"/>
  <c r="AA253" i="16"/>
  <c r="Z253" i="16"/>
  <c r="Y253" i="16"/>
  <c r="X253" i="16"/>
  <c r="W253" i="16"/>
  <c r="V253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AD253" i="16"/>
  <c r="AE252" i="16"/>
  <c r="AC252" i="16"/>
  <c r="AB252" i="16"/>
  <c r="AA252" i="16"/>
  <c r="Z252" i="16"/>
  <c r="Y252" i="16"/>
  <c r="X252" i="16"/>
  <c r="W252" i="16"/>
  <c r="V252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AD252" i="16"/>
  <c r="AE251" i="16"/>
  <c r="AC251" i="16"/>
  <c r="AB251" i="16"/>
  <c r="AA251" i="16"/>
  <c r="Z251" i="16"/>
  <c r="Y251" i="16"/>
  <c r="X251" i="16"/>
  <c r="W251" i="16"/>
  <c r="V251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AD251" i="16"/>
  <c r="AE250" i="16"/>
  <c r="AC250" i="16"/>
  <c r="AB250" i="16"/>
  <c r="AA250" i="16"/>
  <c r="Z250" i="16"/>
  <c r="Y250" i="16"/>
  <c r="X250" i="16"/>
  <c r="W250" i="16"/>
  <c r="V250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AD250" i="16"/>
  <c r="AE249" i="16"/>
  <c r="AC249" i="16"/>
  <c r="AB249" i="16"/>
  <c r="AA249" i="16"/>
  <c r="Z249" i="16"/>
  <c r="Y249" i="16"/>
  <c r="X249" i="16"/>
  <c r="W249" i="16"/>
  <c r="V249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AD249" i="16"/>
  <c r="AE248" i="16"/>
  <c r="AC248" i="16"/>
  <c r="AB248" i="16"/>
  <c r="AA248" i="16"/>
  <c r="Z248" i="16"/>
  <c r="Y248" i="16"/>
  <c r="X248" i="16"/>
  <c r="W248" i="16"/>
  <c r="V248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AD248" i="16"/>
  <c r="AE247" i="16"/>
  <c r="AC247" i="16"/>
  <c r="AB247" i="16"/>
  <c r="AA247" i="16"/>
  <c r="Z247" i="16"/>
  <c r="Y247" i="16"/>
  <c r="X247" i="16"/>
  <c r="W247" i="16"/>
  <c r="V247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AD247" i="16"/>
  <c r="AE246" i="16"/>
  <c r="AC246" i="16"/>
  <c r="AB246" i="16"/>
  <c r="AA246" i="16"/>
  <c r="Z246" i="16"/>
  <c r="Y246" i="16"/>
  <c r="X246" i="16"/>
  <c r="W246" i="16"/>
  <c r="V246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AD246" i="16"/>
  <c r="AE245" i="16"/>
  <c r="AC245" i="16"/>
  <c r="AB245" i="16"/>
  <c r="AA245" i="16"/>
  <c r="Z245" i="16"/>
  <c r="Y245" i="16"/>
  <c r="X245" i="16"/>
  <c r="W245" i="16"/>
  <c r="V245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AE244" i="16"/>
  <c r="AC244" i="16"/>
  <c r="AB244" i="16"/>
  <c r="AA244" i="16"/>
  <c r="Z244" i="16"/>
  <c r="Y244" i="16"/>
  <c r="X244" i="16"/>
  <c r="W244" i="16"/>
  <c r="V244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AD244" i="16" s="1"/>
  <c r="AE243" i="16"/>
  <c r="AC243" i="16"/>
  <c r="AB243" i="16"/>
  <c r="AA243" i="16"/>
  <c r="Z243" i="16"/>
  <c r="Y243" i="16"/>
  <c r="X243" i="16"/>
  <c r="W243" i="16"/>
  <c r="V243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AD243" i="16" s="1"/>
  <c r="AE242" i="16"/>
  <c r="AC242" i="16"/>
  <c r="AB242" i="16"/>
  <c r="AA242" i="16"/>
  <c r="Z242" i="16"/>
  <c r="Y242" i="16"/>
  <c r="X242" i="16"/>
  <c r="W242" i="16"/>
  <c r="V242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AD242" i="16" s="1"/>
  <c r="AE241" i="16"/>
  <c r="AC241" i="16"/>
  <c r="AB241" i="16"/>
  <c r="AA241" i="16"/>
  <c r="Z241" i="16"/>
  <c r="Y241" i="16"/>
  <c r="X241" i="16"/>
  <c r="W241" i="16"/>
  <c r="V241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AE240" i="16"/>
  <c r="AC240" i="16"/>
  <c r="AB240" i="16"/>
  <c r="AA240" i="16"/>
  <c r="Z240" i="16"/>
  <c r="Y240" i="16"/>
  <c r="X240" i="16"/>
  <c r="W240" i="16"/>
  <c r="V240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AD240" i="16"/>
  <c r="AE239" i="16"/>
  <c r="AC239" i="16"/>
  <c r="AB239" i="16"/>
  <c r="AA239" i="16"/>
  <c r="Z239" i="16"/>
  <c r="Y239" i="16"/>
  <c r="X239" i="16"/>
  <c r="W239" i="16"/>
  <c r="V239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AD239" i="16"/>
  <c r="AE238" i="16"/>
  <c r="AC238" i="16"/>
  <c r="AB238" i="16"/>
  <c r="AA238" i="16"/>
  <c r="Z238" i="16"/>
  <c r="Y238" i="16"/>
  <c r="X238" i="16"/>
  <c r="W238" i="16"/>
  <c r="V238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AD238" i="16"/>
  <c r="AE237" i="16"/>
  <c r="AC237" i="16"/>
  <c r="AB237" i="16"/>
  <c r="AA237" i="16"/>
  <c r="Z237" i="16"/>
  <c r="Y237" i="16"/>
  <c r="X237" i="16"/>
  <c r="W237" i="16"/>
  <c r="V237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AD237" i="16"/>
  <c r="AE236" i="16"/>
  <c r="AC236" i="16"/>
  <c r="AB236" i="16"/>
  <c r="AA236" i="16"/>
  <c r="Z236" i="16"/>
  <c r="Y236" i="16"/>
  <c r="X236" i="16"/>
  <c r="W236" i="16"/>
  <c r="V236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AD236" i="16"/>
  <c r="AE235" i="16"/>
  <c r="AC235" i="16"/>
  <c r="AB235" i="16"/>
  <c r="AA235" i="16"/>
  <c r="Z235" i="16"/>
  <c r="Y235" i="16"/>
  <c r="X235" i="16"/>
  <c r="W235" i="16"/>
  <c r="V235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AE234" i="16"/>
  <c r="AC234" i="16"/>
  <c r="AB234" i="16"/>
  <c r="AA234" i="16"/>
  <c r="Z234" i="16"/>
  <c r="Y234" i="16"/>
  <c r="X234" i="16"/>
  <c r="W234" i="16"/>
  <c r="V234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AE233" i="16"/>
  <c r="AC233" i="16"/>
  <c r="AB233" i="16"/>
  <c r="AA233" i="16"/>
  <c r="Z233" i="16"/>
  <c r="Y233" i="16"/>
  <c r="X233" i="16"/>
  <c r="W233" i="16"/>
  <c r="V233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AD233" i="16"/>
  <c r="AE232" i="16"/>
  <c r="AC232" i="16"/>
  <c r="AB232" i="16"/>
  <c r="AA232" i="16"/>
  <c r="Z232" i="16"/>
  <c r="Y232" i="16"/>
  <c r="X232" i="16"/>
  <c r="W232" i="16"/>
  <c r="V232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AE231" i="16"/>
  <c r="AC231" i="16"/>
  <c r="AB231" i="16"/>
  <c r="AA231" i="16"/>
  <c r="Z231" i="16"/>
  <c r="Y231" i="16"/>
  <c r="X231" i="16"/>
  <c r="W231" i="16"/>
  <c r="V231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AD231" i="16" s="1"/>
  <c r="AE230" i="16"/>
  <c r="AC230" i="16"/>
  <c r="AB230" i="16"/>
  <c r="AA230" i="16"/>
  <c r="Z230" i="16"/>
  <c r="Y230" i="16"/>
  <c r="X230" i="16"/>
  <c r="W230" i="16"/>
  <c r="V230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AE229" i="16"/>
  <c r="AC229" i="16"/>
  <c r="AB229" i="16"/>
  <c r="AA229" i="16"/>
  <c r="Z229" i="16"/>
  <c r="Y229" i="16"/>
  <c r="X229" i="16"/>
  <c r="W229" i="16"/>
  <c r="V229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AD229" i="16"/>
  <c r="AE228" i="16"/>
  <c r="AC228" i="16"/>
  <c r="AB228" i="16"/>
  <c r="AA228" i="16"/>
  <c r="Z228" i="16"/>
  <c r="Y228" i="16"/>
  <c r="X228" i="16"/>
  <c r="W228" i="16"/>
  <c r="V228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AE227" i="16"/>
  <c r="AC227" i="16"/>
  <c r="AB227" i="16"/>
  <c r="AA227" i="16"/>
  <c r="Z227" i="16"/>
  <c r="Y227" i="16"/>
  <c r="X227" i="16"/>
  <c r="W227" i="16"/>
  <c r="V227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AD227" i="16" s="1"/>
  <c r="AE226" i="16"/>
  <c r="AC226" i="16"/>
  <c r="AB226" i="16"/>
  <c r="AA226" i="16"/>
  <c r="Z226" i="16"/>
  <c r="Y226" i="16"/>
  <c r="X226" i="16"/>
  <c r="W226" i="16"/>
  <c r="V226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AE225" i="16"/>
  <c r="AC225" i="16"/>
  <c r="AB225" i="16"/>
  <c r="AA225" i="16"/>
  <c r="Z225" i="16"/>
  <c r="Y225" i="16"/>
  <c r="X225" i="16"/>
  <c r="W225" i="16"/>
  <c r="V225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AD225" i="16"/>
  <c r="AE224" i="16"/>
  <c r="AC224" i="16"/>
  <c r="AB224" i="16"/>
  <c r="AA224" i="16"/>
  <c r="Z224" i="16"/>
  <c r="Y224" i="16"/>
  <c r="X224" i="16"/>
  <c r="W224" i="16"/>
  <c r="V224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AE223" i="16"/>
  <c r="AC223" i="16"/>
  <c r="AB223" i="16"/>
  <c r="AA223" i="16"/>
  <c r="Z223" i="16"/>
  <c r="Y223" i="16"/>
  <c r="X223" i="16"/>
  <c r="W223" i="16"/>
  <c r="V223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AD223" i="16" s="1"/>
  <c r="AE222" i="16"/>
  <c r="AC222" i="16"/>
  <c r="AB222" i="16"/>
  <c r="AA222" i="16"/>
  <c r="Z222" i="16"/>
  <c r="Y222" i="16"/>
  <c r="X222" i="16"/>
  <c r="W222" i="16"/>
  <c r="V222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AE221" i="16"/>
  <c r="AC221" i="16"/>
  <c r="AB221" i="16"/>
  <c r="AA221" i="16"/>
  <c r="Z221" i="16"/>
  <c r="Y221" i="16"/>
  <c r="X221" i="16"/>
  <c r="W221" i="16"/>
  <c r="V221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AD221" i="16"/>
  <c r="AE220" i="16"/>
  <c r="AC220" i="16"/>
  <c r="AB220" i="16"/>
  <c r="AA220" i="16"/>
  <c r="Z220" i="16"/>
  <c r="Y220" i="16"/>
  <c r="X220" i="16"/>
  <c r="W220" i="16"/>
  <c r="V220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AE219" i="16"/>
  <c r="AC219" i="16"/>
  <c r="AB219" i="16"/>
  <c r="AA219" i="16"/>
  <c r="Z219" i="16"/>
  <c r="Y219" i="16"/>
  <c r="X219" i="16"/>
  <c r="W219" i="16"/>
  <c r="V219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AD219" i="16" s="1"/>
  <c r="AE218" i="16"/>
  <c r="AC218" i="16"/>
  <c r="AB218" i="16"/>
  <c r="AA218" i="16"/>
  <c r="Z218" i="16"/>
  <c r="Y218" i="16"/>
  <c r="X218" i="16"/>
  <c r="W218" i="16"/>
  <c r="V218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AE217" i="16"/>
  <c r="AC217" i="16"/>
  <c r="AB217" i="16"/>
  <c r="AA217" i="16"/>
  <c r="Z217" i="16"/>
  <c r="Y217" i="16"/>
  <c r="X217" i="16"/>
  <c r="W217" i="16"/>
  <c r="V217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AD217" i="16"/>
  <c r="AE216" i="16"/>
  <c r="AC216" i="16"/>
  <c r="AB216" i="16"/>
  <c r="AA216" i="16"/>
  <c r="Z216" i="16"/>
  <c r="Y216" i="16"/>
  <c r="X216" i="16"/>
  <c r="W216" i="16"/>
  <c r="V216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AE215" i="16"/>
  <c r="AC215" i="16"/>
  <c r="AB215" i="16"/>
  <c r="AA215" i="16"/>
  <c r="Z215" i="16"/>
  <c r="Y215" i="16"/>
  <c r="X215" i="16"/>
  <c r="W215" i="16"/>
  <c r="V215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AD215" i="16" s="1"/>
  <c r="AE214" i="16"/>
  <c r="AC214" i="16"/>
  <c r="AB214" i="16"/>
  <c r="AA214" i="16"/>
  <c r="Z214" i="16"/>
  <c r="Y214" i="16"/>
  <c r="X214" i="16"/>
  <c r="W214" i="16"/>
  <c r="V214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AE213" i="16"/>
  <c r="AC213" i="16"/>
  <c r="AB213" i="16"/>
  <c r="AA213" i="16"/>
  <c r="Z213" i="16"/>
  <c r="Y213" i="16"/>
  <c r="X213" i="16"/>
  <c r="W213" i="16"/>
  <c r="V213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AD213" i="16"/>
  <c r="AE212" i="16"/>
  <c r="AC212" i="16"/>
  <c r="AB212" i="16"/>
  <c r="AA212" i="16"/>
  <c r="Z212" i="16"/>
  <c r="Y212" i="16"/>
  <c r="X212" i="16"/>
  <c r="W212" i="16"/>
  <c r="V212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AE211" i="16"/>
  <c r="AC211" i="16"/>
  <c r="AB211" i="16"/>
  <c r="AA211" i="16"/>
  <c r="Z211" i="16"/>
  <c r="Y211" i="16"/>
  <c r="X211" i="16"/>
  <c r="W211" i="16"/>
  <c r="V211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AD211" i="16" s="1"/>
  <c r="AE210" i="16"/>
  <c r="AC210" i="16"/>
  <c r="AB210" i="16"/>
  <c r="AA210" i="16"/>
  <c r="Z210" i="16"/>
  <c r="Y210" i="16"/>
  <c r="X210" i="16"/>
  <c r="W210" i="16"/>
  <c r="V210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AE209" i="16"/>
  <c r="AC209" i="16"/>
  <c r="AB209" i="16"/>
  <c r="AA209" i="16"/>
  <c r="Z209" i="16"/>
  <c r="Y209" i="16"/>
  <c r="X209" i="16"/>
  <c r="W209" i="16"/>
  <c r="V209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AD209" i="16"/>
  <c r="AE208" i="16"/>
  <c r="AC208" i="16"/>
  <c r="AB208" i="16"/>
  <c r="AA208" i="16"/>
  <c r="Z208" i="16"/>
  <c r="Y208" i="16"/>
  <c r="X208" i="16"/>
  <c r="W208" i="16"/>
  <c r="V208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AE207" i="16"/>
  <c r="AC207" i="16"/>
  <c r="AB207" i="16"/>
  <c r="AA207" i="16"/>
  <c r="Z207" i="16"/>
  <c r="Y207" i="16"/>
  <c r="X207" i="16"/>
  <c r="W207" i="16"/>
  <c r="V207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AD207" i="16" s="1"/>
  <c r="AE206" i="16"/>
  <c r="AC206" i="16"/>
  <c r="AB206" i="16"/>
  <c r="AA206" i="16"/>
  <c r="Z206" i="16"/>
  <c r="Y206" i="16"/>
  <c r="X206" i="16"/>
  <c r="W206" i="16"/>
  <c r="V206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AE205" i="16"/>
  <c r="AC205" i="16"/>
  <c r="AB205" i="16"/>
  <c r="AA205" i="16"/>
  <c r="Z205" i="16"/>
  <c r="Y205" i="16"/>
  <c r="X205" i="16"/>
  <c r="W205" i="16"/>
  <c r="V205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AD205" i="16"/>
  <c r="AE204" i="16"/>
  <c r="AC204" i="16"/>
  <c r="AB204" i="16"/>
  <c r="AA204" i="16"/>
  <c r="Z204" i="16"/>
  <c r="Y204" i="16"/>
  <c r="X204" i="16"/>
  <c r="W204" i="16"/>
  <c r="V204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AE203" i="16"/>
  <c r="AC203" i="16"/>
  <c r="AB203" i="16"/>
  <c r="AA203" i="16"/>
  <c r="Z203" i="16"/>
  <c r="Y203" i="16"/>
  <c r="X203" i="16"/>
  <c r="W203" i="16"/>
  <c r="V203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AD203" i="16" s="1"/>
  <c r="AE202" i="16"/>
  <c r="AC202" i="16"/>
  <c r="AB202" i="16"/>
  <c r="AA202" i="16"/>
  <c r="Z202" i="16"/>
  <c r="Y202" i="16"/>
  <c r="X202" i="16"/>
  <c r="W202" i="16"/>
  <c r="V202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AE201" i="16"/>
  <c r="AC201" i="16"/>
  <c r="AB201" i="16"/>
  <c r="AA201" i="16"/>
  <c r="Z201" i="16"/>
  <c r="Y201" i="16"/>
  <c r="X201" i="16"/>
  <c r="W201" i="16"/>
  <c r="V201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AD201" i="16"/>
  <c r="AE200" i="16"/>
  <c r="AC200" i="16"/>
  <c r="AB200" i="16"/>
  <c r="AA200" i="16"/>
  <c r="Z200" i="16"/>
  <c r="Y200" i="16"/>
  <c r="X200" i="16"/>
  <c r="W200" i="16"/>
  <c r="V200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AE199" i="16"/>
  <c r="AC199" i="16"/>
  <c r="AB199" i="16"/>
  <c r="AA199" i="16"/>
  <c r="Z199" i="16"/>
  <c r="Y199" i="16"/>
  <c r="X199" i="16"/>
  <c r="W199" i="16"/>
  <c r="V199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AD199" i="16" s="1"/>
  <c r="AE198" i="16"/>
  <c r="AC198" i="16"/>
  <c r="AB198" i="16"/>
  <c r="AA198" i="16"/>
  <c r="Z198" i="16"/>
  <c r="Y198" i="16"/>
  <c r="X198" i="16"/>
  <c r="W198" i="16"/>
  <c r="V198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AE197" i="16"/>
  <c r="AC197" i="16"/>
  <c r="AB197" i="16"/>
  <c r="AA197" i="16"/>
  <c r="Z197" i="16"/>
  <c r="Y197" i="16"/>
  <c r="X197" i="16"/>
  <c r="W197" i="16"/>
  <c r="V197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AD197" i="16"/>
  <c r="AE196" i="16"/>
  <c r="AC196" i="16"/>
  <c r="AB196" i="16"/>
  <c r="AA196" i="16"/>
  <c r="Z196" i="16"/>
  <c r="Y196" i="16"/>
  <c r="X196" i="16"/>
  <c r="W196" i="16"/>
  <c r="V196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AE195" i="16"/>
  <c r="AC195" i="16"/>
  <c r="AB195" i="16"/>
  <c r="AA195" i="16"/>
  <c r="Z195" i="16"/>
  <c r="Y195" i="16"/>
  <c r="X195" i="16"/>
  <c r="W195" i="16"/>
  <c r="V195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AD195" i="16" s="1"/>
  <c r="AE194" i="16"/>
  <c r="AC194" i="16"/>
  <c r="AB194" i="16"/>
  <c r="AA194" i="16"/>
  <c r="Z194" i="16"/>
  <c r="Y194" i="16"/>
  <c r="X194" i="16"/>
  <c r="W194" i="16"/>
  <c r="V194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AE193" i="16"/>
  <c r="AC193" i="16"/>
  <c r="AB193" i="16"/>
  <c r="AA193" i="16"/>
  <c r="Z193" i="16"/>
  <c r="Y193" i="16"/>
  <c r="X193" i="16"/>
  <c r="W193" i="16"/>
  <c r="V193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AD193" i="16"/>
  <c r="AE192" i="16"/>
  <c r="AC192" i="16"/>
  <c r="AB192" i="16"/>
  <c r="AA192" i="16"/>
  <c r="Z192" i="16"/>
  <c r="Y192" i="16"/>
  <c r="X192" i="16"/>
  <c r="W192" i="16"/>
  <c r="V192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AE191" i="16"/>
  <c r="AC191" i="16"/>
  <c r="AB191" i="16"/>
  <c r="AA191" i="16"/>
  <c r="Z191" i="16"/>
  <c r="Y191" i="16"/>
  <c r="X191" i="16"/>
  <c r="W191" i="16"/>
  <c r="V191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AD191" i="16" s="1"/>
  <c r="AE190" i="16"/>
  <c r="AC190" i="16"/>
  <c r="AB190" i="16"/>
  <c r="AA190" i="16"/>
  <c r="Z190" i="16"/>
  <c r="Y190" i="16"/>
  <c r="X190" i="16"/>
  <c r="W190" i="16"/>
  <c r="V190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AE189" i="16"/>
  <c r="AC189" i="16"/>
  <c r="AB189" i="16"/>
  <c r="AA189" i="16"/>
  <c r="Z189" i="16"/>
  <c r="Y189" i="16"/>
  <c r="X189" i="16"/>
  <c r="W189" i="16"/>
  <c r="V189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AD189" i="16"/>
  <c r="AE188" i="16"/>
  <c r="AC188" i="16"/>
  <c r="AB188" i="16"/>
  <c r="AA188" i="16"/>
  <c r="Z188" i="16"/>
  <c r="Y188" i="16"/>
  <c r="X188" i="16"/>
  <c r="W188" i="16"/>
  <c r="V188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AE187" i="16"/>
  <c r="AC187" i="16"/>
  <c r="AB187" i="16"/>
  <c r="AA187" i="16"/>
  <c r="Z187" i="16"/>
  <c r="Y187" i="16"/>
  <c r="X187" i="16"/>
  <c r="W187" i="16"/>
  <c r="V187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AD187" i="16" s="1"/>
  <c r="AE186" i="16"/>
  <c r="AC186" i="16"/>
  <c r="AB186" i="16"/>
  <c r="AA186" i="16"/>
  <c r="Z186" i="16"/>
  <c r="Y186" i="16"/>
  <c r="X186" i="16"/>
  <c r="W186" i="16"/>
  <c r="V186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AE185" i="16"/>
  <c r="AC185" i="16"/>
  <c r="AB185" i="16"/>
  <c r="AA185" i="16"/>
  <c r="Z185" i="16"/>
  <c r="Y185" i="16"/>
  <c r="X185" i="16"/>
  <c r="W185" i="16"/>
  <c r="V185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AD185" i="16"/>
  <c r="AE184" i="16"/>
  <c r="AC184" i="16"/>
  <c r="AB184" i="16"/>
  <c r="AA184" i="16"/>
  <c r="Z184" i="16"/>
  <c r="Y184" i="16"/>
  <c r="X184" i="16"/>
  <c r="W184" i="16"/>
  <c r="V184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AE183" i="16"/>
  <c r="AC183" i="16"/>
  <c r="AB183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AD183" i="16" s="1"/>
  <c r="AE182" i="16"/>
  <c r="AC182" i="16"/>
  <c r="AB182" i="16"/>
  <c r="AA182" i="16"/>
  <c r="Z182" i="16"/>
  <c r="Y182" i="16"/>
  <c r="X182" i="16"/>
  <c r="W182" i="16"/>
  <c r="V182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AE181" i="16"/>
  <c r="AC181" i="16"/>
  <c r="AB181" i="16"/>
  <c r="AA181" i="16"/>
  <c r="Z181" i="16"/>
  <c r="Y181" i="16"/>
  <c r="X181" i="16"/>
  <c r="W181" i="16"/>
  <c r="V181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AD181" i="16"/>
  <c r="AE180" i="16"/>
  <c r="AC180" i="16"/>
  <c r="AB180" i="16"/>
  <c r="AA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AE179" i="16"/>
  <c r="AC179" i="16"/>
  <c r="AB179" i="16"/>
  <c r="AA179" i="16"/>
  <c r="Z179" i="16"/>
  <c r="Y179" i="16"/>
  <c r="X179" i="16"/>
  <c r="W179" i="16"/>
  <c r="V179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AD179" i="16" s="1"/>
  <c r="AE178" i="16"/>
  <c r="AC178" i="16"/>
  <c r="AB178" i="16"/>
  <c r="AA178" i="16"/>
  <c r="Z178" i="16"/>
  <c r="Y178" i="16"/>
  <c r="X178" i="16"/>
  <c r="W178" i="16"/>
  <c r="V178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AE177" i="16"/>
  <c r="AC177" i="16"/>
  <c r="AB177" i="16"/>
  <c r="AA177" i="16"/>
  <c r="Z177" i="16"/>
  <c r="Y177" i="16"/>
  <c r="X177" i="16"/>
  <c r="W177" i="16"/>
  <c r="V177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AD177" i="16"/>
  <c r="AE176" i="16"/>
  <c r="AC176" i="16"/>
  <c r="AB176" i="16"/>
  <c r="AA176" i="16"/>
  <c r="Z176" i="16"/>
  <c r="Y176" i="16"/>
  <c r="X176" i="16"/>
  <c r="W176" i="16"/>
  <c r="V176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AE175" i="16"/>
  <c r="AC175" i="16"/>
  <c r="AB175" i="16"/>
  <c r="AA175" i="16"/>
  <c r="Z175" i="16"/>
  <c r="Y175" i="16"/>
  <c r="X175" i="16"/>
  <c r="W175" i="16"/>
  <c r="V175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AD175" i="16" s="1"/>
  <c r="AE174" i="16"/>
  <c r="AC174" i="16"/>
  <c r="AB174" i="16"/>
  <c r="AA174" i="16"/>
  <c r="Z174" i="16"/>
  <c r="Y174" i="16"/>
  <c r="X174" i="16"/>
  <c r="W174" i="16"/>
  <c r="V174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AE173" i="16"/>
  <c r="AC173" i="16"/>
  <c r="AB173" i="16"/>
  <c r="AA173" i="16"/>
  <c r="Z173" i="16"/>
  <c r="Y173" i="16"/>
  <c r="X173" i="16"/>
  <c r="W173" i="16"/>
  <c r="V173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AD173" i="16"/>
  <c r="AE172" i="16"/>
  <c r="AC172" i="16"/>
  <c r="AB172" i="16"/>
  <c r="AA172" i="16"/>
  <c r="Z172" i="16"/>
  <c r="Y172" i="16"/>
  <c r="X172" i="16"/>
  <c r="W172" i="16"/>
  <c r="V172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AE171" i="16"/>
  <c r="AC171" i="16"/>
  <c r="AB171" i="16"/>
  <c r="AA171" i="16"/>
  <c r="Z171" i="16"/>
  <c r="Y171" i="16"/>
  <c r="X171" i="16"/>
  <c r="W171" i="16"/>
  <c r="V171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AD171" i="16" s="1"/>
  <c r="AE170" i="16"/>
  <c r="AC170" i="16"/>
  <c r="AB170" i="16"/>
  <c r="AA170" i="16"/>
  <c r="Z170" i="16"/>
  <c r="Y170" i="16"/>
  <c r="X170" i="16"/>
  <c r="W170" i="16"/>
  <c r="V170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AE169" i="16"/>
  <c r="AC169" i="16"/>
  <c r="AB169" i="16"/>
  <c r="AA169" i="16"/>
  <c r="Z169" i="16"/>
  <c r="Y169" i="16"/>
  <c r="X169" i="16"/>
  <c r="W169" i="16"/>
  <c r="V169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AD169" i="16"/>
  <c r="AE168" i="16"/>
  <c r="AC168" i="16"/>
  <c r="AB168" i="16"/>
  <c r="AA168" i="16"/>
  <c r="Z168" i="16"/>
  <c r="Y168" i="16"/>
  <c r="X168" i="16"/>
  <c r="W168" i="16"/>
  <c r="V168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AD168" i="16"/>
  <c r="AE167" i="16"/>
  <c r="AC167" i="16"/>
  <c r="AB167" i="16"/>
  <c r="AA167" i="16"/>
  <c r="Z167" i="16"/>
  <c r="Y167" i="16"/>
  <c r="X167" i="16"/>
  <c r="W167" i="16"/>
  <c r="V167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AE166" i="16"/>
  <c r="AC166" i="16"/>
  <c r="AB166" i="16"/>
  <c r="AA166" i="16"/>
  <c r="Z166" i="16"/>
  <c r="Y166" i="16"/>
  <c r="X166" i="16"/>
  <c r="W166" i="16"/>
  <c r="V166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AD166" i="16" s="1"/>
  <c r="AE165" i="16"/>
  <c r="AC165" i="16"/>
  <c r="AB165" i="16"/>
  <c r="AA165" i="16"/>
  <c r="Z165" i="16"/>
  <c r="Y165" i="16"/>
  <c r="X165" i="16"/>
  <c r="W165" i="16"/>
  <c r="V165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AD165" i="16" s="1"/>
  <c r="AE164" i="16"/>
  <c r="AC164" i="16"/>
  <c r="AB164" i="16"/>
  <c r="AA164" i="16"/>
  <c r="Z164" i="16"/>
  <c r="Y164" i="16"/>
  <c r="X164" i="16"/>
  <c r="W164" i="16"/>
  <c r="V164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AD164" i="16" s="1"/>
  <c r="AE163" i="16"/>
  <c r="AC163" i="16"/>
  <c r="AB163" i="16"/>
  <c r="AA163" i="16"/>
  <c r="Z163" i="16"/>
  <c r="Y163" i="16"/>
  <c r="X163" i="16"/>
  <c r="W163" i="16"/>
  <c r="V163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AD163" i="16" s="1"/>
  <c r="AE162" i="16"/>
  <c r="AC162" i="16"/>
  <c r="AB162" i="16"/>
  <c r="AA162" i="16"/>
  <c r="Z162" i="16"/>
  <c r="Y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AD162" i="16" s="1"/>
  <c r="AE161" i="16"/>
  <c r="AC161" i="16"/>
  <c r="AB161" i="16"/>
  <c r="AA161" i="16"/>
  <c r="Z161" i="16"/>
  <c r="Y161" i="16"/>
  <c r="X161" i="16"/>
  <c r="W161" i="16"/>
  <c r="V161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AD161" i="16" s="1"/>
  <c r="AE160" i="16"/>
  <c r="AC160" i="16"/>
  <c r="AB160" i="16"/>
  <c r="AA160" i="16"/>
  <c r="Z160" i="16"/>
  <c r="Y160" i="16"/>
  <c r="X160" i="16"/>
  <c r="W160" i="16"/>
  <c r="V160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AD160" i="16" s="1"/>
  <c r="AE159" i="16"/>
  <c r="AC159" i="16"/>
  <c r="AB159" i="16"/>
  <c r="AA159" i="16"/>
  <c r="Z159" i="16"/>
  <c r="Y159" i="16"/>
  <c r="X159" i="16"/>
  <c r="W159" i="16"/>
  <c r="V159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AD159" i="16" s="1"/>
  <c r="AE158" i="16"/>
  <c r="AC158" i="16"/>
  <c r="AB158" i="16"/>
  <c r="AA158" i="16"/>
  <c r="Z158" i="16"/>
  <c r="Y158" i="16"/>
  <c r="X158" i="16"/>
  <c r="W158" i="16"/>
  <c r="V158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AD158" i="16" s="1"/>
  <c r="AE157" i="16"/>
  <c r="AC157" i="16"/>
  <c r="AB157" i="16"/>
  <c r="AA157" i="16"/>
  <c r="Z157" i="16"/>
  <c r="Y157" i="16"/>
  <c r="X157" i="16"/>
  <c r="W157" i="16"/>
  <c r="V157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AD157" i="16" s="1"/>
  <c r="AE156" i="16"/>
  <c r="AC156" i="16"/>
  <c r="AB156" i="16"/>
  <c r="AA156" i="16"/>
  <c r="Z156" i="16"/>
  <c r="Y156" i="16"/>
  <c r="X156" i="16"/>
  <c r="W156" i="16"/>
  <c r="V156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AD156" i="16" s="1"/>
  <c r="AE155" i="16"/>
  <c r="AC155" i="16"/>
  <c r="AB155" i="16"/>
  <c r="AA155" i="16"/>
  <c r="Z155" i="16"/>
  <c r="Y155" i="16"/>
  <c r="X155" i="16"/>
  <c r="W155" i="16"/>
  <c r="V155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AD155" i="16" s="1"/>
  <c r="AE154" i="16"/>
  <c r="AC154" i="16"/>
  <c r="AB154" i="16"/>
  <c r="AA154" i="16"/>
  <c r="Z154" i="16"/>
  <c r="Y154" i="16"/>
  <c r="X154" i="16"/>
  <c r="W154" i="16"/>
  <c r="V154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AD154" i="16" s="1"/>
  <c r="AE153" i="16"/>
  <c r="AC153" i="16"/>
  <c r="AB153" i="16"/>
  <c r="AA153" i="16"/>
  <c r="Z153" i="16"/>
  <c r="Y153" i="16"/>
  <c r="X153" i="16"/>
  <c r="W153" i="16"/>
  <c r="V153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AD153" i="16" s="1"/>
  <c r="AE152" i="16"/>
  <c r="AC152" i="16"/>
  <c r="AB152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AD152" i="16" s="1"/>
  <c r="AE151" i="16"/>
  <c r="AC151" i="16"/>
  <c r="AB151" i="16"/>
  <c r="AA151" i="16"/>
  <c r="Z151" i="16"/>
  <c r="Y151" i="16"/>
  <c r="X151" i="16"/>
  <c r="W151" i="16"/>
  <c r="V151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AE150" i="16"/>
  <c r="AC150" i="16"/>
  <c r="AB150" i="16"/>
  <c r="AA150" i="16"/>
  <c r="Z150" i="16"/>
  <c r="Y150" i="16"/>
  <c r="X150" i="16"/>
  <c r="W150" i="16"/>
  <c r="V150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AD150" i="16"/>
  <c r="AE149" i="16"/>
  <c r="AC149" i="16"/>
  <c r="AB149" i="16"/>
  <c r="AA149" i="16"/>
  <c r="Z149" i="16"/>
  <c r="Y149" i="16"/>
  <c r="X149" i="16"/>
  <c r="W149" i="16"/>
  <c r="V149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AD149" i="16"/>
  <c r="AE148" i="16"/>
  <c r="AC148" i="16"/>
  <c r="AB148" i="16"/>
  <c r="AA148" i="16"/>
  <c r="Z148" i="16"/>
  <c r="Y148" i="16"/>
  <c r="X148" i="16"/>
  <c r="W148" i="16"/>
  <c r="V148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AD148" i="16"/>
  <c r="AE147" i="16"/>
  <c r="AC147" i="16"/>
  <c r="AB147" i="16"/>
  <c r="AA147" i="16"/>
  <c r="Z147" i="16"/>
  <c r="Y147" i="16"/>
  <c r="X147" i="16"/>
  <c r="W147" i="16"/>
  <c r="V147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AD147" i="16"/>
  <c r="AE146" i="16"/>
  <c r="AC146" i="16"/>
  <c r="AB146" i="16"/>
  <c r="AA146" i="16"/>
  <c r="Z146" i="16"/>
  <c r="Y146" i="16"/>
  <c r="X146" i="16"/>
  <c r="W146" i="16"/>
  <c r="V146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AD146" i="16"/>
  <c r="AE145" i="16"/>
  <c r="AC145" i="16"/>
  <c r="AB145" i="16"/>
  <c r="AA145" i="16"/>
  <c r="Z145" i="16"/>
  <c r="Y145" i="16"/>
  <c r="X145" i="16"/>
  <c r="W145" i="16"/>
  <c r="V145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AD145" i="16"/>
  <c r="AE144" i="16"/>
  <c r="AC144" i="16"/>
  <c r="AB144" i="16"/>
  <c r="AA144" i="16"/>
  <c r="Z144" i="16"/>
  <c r="Y144" i="16"/>
  <c r="X144" i="16"/>
  <c r="W144" i="16"/>
  <c r="V144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AD144" i="16"/>
  <c r="AE143" i="16"/>
  <c r="AC143" i="16"/>
  <c r="AB143" i="16"/>
  <c r="AA143" i="16"/>
  <c r="Z143" i="16"/>
  <c r="Y143" i="16"/>
  <c r="X143" i="16"/>
  <c r="W143" i="16"/>
  <c r="V143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AD143" i="16"/>
  <c r="AE142" i="16"/>
  <c r="AC142" i="16"/>
  <c r="AB142" i="16"/>
  <c r="AA142" i="16"/>
  <c r="Z142" i="16"/>
  <c r="Y142" i="16"/>
  <c r="X142" i="16"/>
  <c r="W142" i="16"/>
  <c r="V142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AD142" i="16"/>
  <c r="AE141" i="16"/>
  <c r="AC141" i="16"/>
  <c r="AB141" i="16"/>
  <c r="AA141" i="16"/>
  <c r="Z141" i="16"/>
  <c r="Y141" i="16"/>
  <c r="X141" i="16"/>
  <c r="W141" i="16"/>
  <c r="V141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AD141" i="16"/>
  <c r="AE140" i="16"/>
  <c r="AC140" i="16"/>
  <c r="AB140" i="16"/>
  <c r="AA140" i="16"/>
  <c r="Z140" i="16"/>
  <c r="Y140" i="16"/>
  <c r="X140" i="16"/>
  <c r="W140" i="16"/>
  <c r="V140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AD140" i="16"/>
  <c r="AE139" i="16"/>
  <c r="AC139" i="16"/>
  <c r="AB139" i="16"/>
  <c r="AA139" i="16"/>
  <c r="Z139" i="16"/>
  <c r="Y139" i="16"/>
  <c r="X139" i="16"/>
  <c r="W139" i="16"/>
  <c r="V139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AD139" i="16"/>
  <c r="AE138" i="16"/>
  <c r="AC138" i="16"/>
  <c r="AB138" i="16"/>
  <c r="AA138" i="16"/>
  <c r="Z138" i="16"/>
  <c r="Y138" i="16"/>
  <c r="X138" i="16"/>
  <c r="W138" i="16"/>
  <c r="V138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AD138" i="16"/>
  <c r="AE137" i="16"/>
  <c r="AC137" i="16"/>
  <c r="AB137" i="16"/>
  <c r="AA137" i="16"/>
  <c r="Z137" i="16"/>
  <c r="Y137" i="16"/>
  <c r="X137" i="16"/>
  <c r="W137" i="16"/>
  <c r="V137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AD137" i="16"/>
  <c r="AE136" i="16"/>
  <c r="AC136" i="16"/>
  <c r="AB136" i="16"/>
  <c r="AA136" i="16"/>
  <c r="Z136" i="16"/>
  <c r="Y136" i="16"/>
  <c r="X136" i="16"/>
  <c r="W136" i="16"/>
  <c r="V136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AD136" i="16"/>
  <c r="AE135" i="16"/>
  <c r="AC135" i="16"/>
  <c r="AB135" i="16"/>
  <c r="AA135" i="16"/>
  <c r="Z135" i="16"/>
  <c r="Y135" i="16"/>
  <c r="X135" i="16"/>
  <c r="W135" i="16"/>
  <c r="V135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AD135" i="16"/>
  <c r="AE134" i="16"/>
  <c r="AC134" i="16"/>
  <c r="AB134" i="16"/>
  <c r="AA134" i="16"/>
  <c r="Z134" i="16"/>
  <c r="Y134" i="16"/>
  <c r="X134" i="16"/>
  <c r="W134" i="16"/>
  <c r="V134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AD134" i="16"/>
  <c r="AE133" i="16"/>
  <c r="AC133" i="16"/>
  <c r="AB133" i="16"/>
  <c r="AA133" i="16"/>
  <c r="Z133" i="16"/>
  <c r="Y133" i="16"/>
  <c r="X133" i="16"/>
  <c r="W133" i="16"/>
  <c r="V133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AD133" i="16"/>
  <c r="AE132" i="16"/>
  <c r="AC132" i="16"/>
  <c r="AB132" i="16"/>
  <c r="AA132" i="16"/>
  <c r="Z132" i="16"/>
  <c r="Y132" i="16"/>
  <c r="X132" i="16"/>
  <c r="W132" i="16"/>
  <c r="V132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AD132" i="16"/>
  <c r="AE131" i="16"/>
  <c r="AC131" i="16"/>
  <c r="AB131" i="16"/>
  <c r="AA131" i="16"/>
  <c r="Z131" i="16"/>
  <c r="Y131" i="16"/>
  <c r="X131" i="16"/>
  <c r="W131" i="16"/>
  <c r="V131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AD131" i="16"/>
  <c r="AE130" i="16"/>
  <c r="AC130" i="16"/>
  <c r="AB130" i="16"/>
  <c r="AA130" i="16"/>
  <c r="Z130" i="16"/>
  <c r="Y130" i="16"/>
  <c r="X130" i="16"/>
  <c r="W130" i="16"/>
  <c r="V130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AE129" i="16"/>
  <c r="AC129" i="16"/>
  <c r="AB129" i="16"/>
  <c r="AA129" i="16"/>
  <c r="Z129" i="16"/>
  <c r="Y129" i="16"/>
  <c r="X129" i="16"/>
  <c r="W129" i="16"/>
  <c r="V129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AD129" i="16" s="1"/>
  <c r="AE128" i="16"/>
  <c r="AC128" i="16"/>
  <c r="AB128" i="16"/>
  <c r="AA128" i="16"/>
  <c r="Z128" i="16"/>
  <c r="Y128" i="16"/>
  <c r="X128" i="16"/>
  <c r="W128" i="16"/>
  <c r="V128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AD128" i="16" s="1"/>
  <c r="AE127" i="16"/>
  <c r="AC127" i="16"/>
  <c r="AB127" i="16"/>
  <c r="AA127" i="16"/>
  <c r="Z127" i="16"/>
  <c r="Y127" i="16"/>
  <c r="X127" i="16"/>
  <c r="W127" i="16"/>
  <c r="V127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AD127" i="16" s="1"/>
  <c r="AE126" i="16"/>
  <c r="AC126" i="16"/>
  <c r="AB126" i="16"/>
  <c r="AA126" i="16"/>
  <c r="Z126" i="16"/>
  <c r="Y126" i="16"/>
  <c r="X126" i="16"/>
  <c r="W126" i="16"/>
  <c r="V126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AD126" i="16" s="1"/>
  <c r="AE125" i="16"/>
  <c r="AC125" i="16"/>
  <c r="AB125" i="16"/>
  <c r="AA125" i="16"/>
  <c r="Z125" i="16"/>
  <c r="Y125" i="16"/>
  <c r="X125" i="16"/>
  <c r="W125" i="16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AD125" i="16" s="1"/>
  <c r="AE124" i="16"/>
  <c r="AC124" i="16"/>
  <c r="AB124" i="16"/>
  <c r="AA124" i="16"/>
  <c r="Z124" i="16"/>
  <c r="Y124" i="16"/>
  <c r="X124" i="16"/>
  <c r="W124" i="16"/>
  <c r="V124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AD124" i="16" s="1"/>
  <c r="AE123" i="16"/>
  <c r="AC123" i="16"/>
  <c r="AB123" i="16"/>
  <c r="AA123" i="16"/>
  <c r="Z123" i="16"/>
  <c r="Y123" i="16"/>
  <c r="X123" i="16"/>
  <c r="W123" i="16"/>
  <c r="V123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AD123" i="16" s="1"/>
  <c r="AE122" i="16"/>
  <c r="AC122" i="16"/>
  <c r="AB122" i="16"/>
  <c r="AA122" i="16"/>
  <c r="Z122" i="16"/>
  <c r="Y122" i="16"/>
  <c r="X122" i="16"/>
  <c r="W122" i="16"/>
  <c r="V122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AD122" i="16" s="1"/>
  <c r="AE121" i="16"/>
  <c r="AC121" i="16"/>
  <c r="AB121" i="16"/>
  <c r="AA121" i="16"/>
  <c r="Z121" i="16"/>
  <c r="Y121" i="16"/>
  <c r="X121" i="16"/>
  <c r="W121" i="16"/>
  <c r="V121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AD121" i="16" s="1"/>
  <c r="AE120" i="16"/>
  <c r="AC120" i="16"/>
  <c r="AB120" i="16"/>
  <c r="AA120" i="16"/>
  <c r="Z120" i="16"/>
  <c r="Y120" i="16"/>
  <c r="X120" i="16"/>
  <c r="W120" i="16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AD120" i="16" s="1"/>
  <c r="AE119" i="16"/>
  <c r="AC119" i="16"/>
  <c r="AB119" i="16"/>
  <c r="AA119" i="16"/>
  <c r="Z119" i="16"/>
  <c r="Y119" i="16"/>
  <c r="X119" i="16"/>
  <c r="W119" i="16"/>
  <c r="V119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AD119" i="16" s="1"/>
  <c r="AE118" i="16"/>
  <c r="AC118" i="16"/>
  <c r="AB118" i="16"/>
  <c r="AA118" i="16"/>
  <c r="Z118" i="16"/>
  <c r="Y118" i="16"/>
  <c r="X118" i="16"/>
  <c r="W118" i="16"/>
  <c r="V118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AD118" i="16" s="1"/>
  <c r="AE117" i="16"/>
  <c r="AC117" i="16"/>
  <c r="AB117" i="16"/>
  <c r="AA117" i="16"/>
  <c r="Z117" i="16"/>
  <c r="Y117" i="16"/>
  <c r="X117" i="16"/>
  <c r="W117" i="16"/>
  <c r="V117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AD117" i="16" s="1"/>
  <c r="AE116" i="16"/>
  <c r="AC116" i="16"/>
  <c r="AB116" i="16"/>
  <c r="AA116" i="16"/>
  <c r="Z116" i="16"/>
  <c r="Y116" i="16"/>
  <c r="X116" i="16"/>
  <c r="W116" i="16"/>
  <c r="V116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AD116" i="16" s="1"/>
  <c r="AE115" i="16"/>
  <c r="AC115" i="16"/>
  <c r="AB115" i="16"/>
  <c r="AA115" i="16"/>
  <c r="Z115" i="16"/>
  <c r="Y115" i="16"/>
  <c r="X115" i="16"/>
  <c r="W115" i="16"/>
  <c r="V115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AE114" i="16"/>
  <c r="AC114" i="16"/>
  <c r="AB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AD114" i="16"/>
  <c r="AE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AD113" i="16"/>
  <c r="AE112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AD112" i="16"/>
  <c r="AE111" i="16"/>
  <c r="AC111" i="16"/>
  <c r="AB111" i="16"/>
  <c r="AA111" i="16"/>
  <c r="Z111" i="16"/>
  <c r="Y111" i="16"/>
  <c r="X111" i="16"/>
  <c r="W111" i="16"/>
  <c r="V111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AD111" i="16"/>
  <c r="AE110" i="16"/>
  <c r="AC110" i="16"/>
  <c r="AB110" i="16"/>
  <c r="AA110" i="16"/>
  <c r="Z110" i="16"/>
  <c r="Y110" i="16"/>
  <c r="X110" i="16"/>
  <c r="W110" i="16"/>
  <c r="V110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AD110" i="16"/>
  <c r="AE109" i="16"/>
  <c r="AC109" i="16"/>
  <c r="AB109" i="16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AD109" i="16"/>
  <c r="AE108" i="16"/>
  <c r="AC108" i="16"/>
  <c r="AB108" i="16"/>
  <c r="AA108" i="16"/>
  <c r="Z108" i="16"/>
  <c r="Y108" i="16"/>
  <c r="X108" i="16"/>
  <c r="W108" i="16"/>
  <c r="V108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AD108" i="16"/>
  <c r="AE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AD107" i="16"/>
  <c r="AE106" i="16"/>
  <c r="AC106" i="16"/>
  <c r="AB106" i="16"/>
  <c r="AA106" i="16"/>
  <c r="Z106" i="16"/>
  <c r="Y106" i="16"/>
  <c r="X106" i="16"/>
  <c r="W106" i="16"/>
  <c r="V106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AD106" i="16"/>
  <c r="AE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AD105" i="16"/>
  <c r="AE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AD104" i="16"/>
  <c r="AE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AE102" i="16"/>
  <c r="AC102" i="16"/>
  <c r="AB102" i="16"/>
  <c r="AA102" i="16"/>
  <c r="Z102" i="16"/>
  <c r="Y102" i="16"/>
  <c r="X102" i="16"/>
  <c r="W102" i="16"/>
  <c r="V102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AD102" i="16" s="1"/>
  <c r="AE101" i="16"/>
  <c r="AC101" i="16"/>
  <c r="AB101" i="16"/>
  <c r="AA101" i="16"/>
  <c r="Z101" i="16"/>
  <c r="Y101" i="16"/>
  <c r="X101" i="16"/>
  <c r="W101" i="16"/>
  <c r="V101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AD101" i="16" s="1"/>
  <c r="AE100" i="16"/>
  <c r="AC100" i="16"/>
  <c r="AB100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AD100" i="16" s="1"/>
  <c r="AE99" i="16"/>
  <c r="AC99" i="16"/>
  <c r="AB99" i="16"/>
  <c r="AA99" i="16"/>
  <c r="Z99" i="16"/>
  <c r="Y99" i="16"/>
  <c r="X99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AE98" i="16"/>
  <c r="AC98" i="16"/>
  <c r="AB98" i="16"/>
  <c r="AA98" i="16"/>
  <c r="Z98" i="16"/>
  <c r="Y98" i="16"/>
  <c r="X98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AD98" i="16"/>
  <c r="AE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AD97" i="16"/>
  <c r="AE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AD96" i="16"/>
  <c r="AE95" i="16"/>
  <c r="AC95" i="16"/>
  <c r="AB95" i="16"/>
  <c r="AA95" i="16"/>
  <c r="Z95" i="16"/>
  <c r="Y95" i="16"/>
  <c r="X95" i="16"/>
  <c r="W95" i="16"/>
  <c r="V95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AD95" i="16"/>
  <c r="AE94" i="16"/>
  <c r="AC94" i="16"/>
  <c r="AB94" i="16"/>
  <c r="AA94" i="16"/>
  <c r="Z94" i="16"/>
  <c r="Y94" i="16"/>
  <c r="X94" i="16"/>
  <c r="W94" i="16"/>
  <c r="V94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AD94" i="16"/>
  <c r="AE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AD93" i="16"/>
  <c r="AE92" i="16"/>
  <c r="AC92" i="16"/>
  <c r="AB92" i="16"/>
  <c r="AA92" i="16"/>
  <c r="Z92" i="16"/>
  <c r="Y92" i="16"/>
  <c r="X92" i="16"/>
  <c r="W92" i="16"/>
  <c r="V92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AD92" i="16"/>
  <c r="AE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AE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AD90" i="16" s="1"/>
  <c r="AE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AE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AD88" i="16"/>
  <c r="AE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AE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AD86" i="16" s="1"/>
  <c r="AE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AE84" i="16"/>
  <c r="AC84" i="16"/>
  <c r="AB84" i="16"/>
  <c r="AA84" i="16"/>
  <c r="Z84" i="16"/>
  <c r="Y84" i="16"/>
  <c r="X84" i="16"/>
  <c r="W84" i="16"/>
  <c r="V84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AD84" i="16"/>
  <c r="AE83" i="16"/>
  <c r="AC83" i="16"/>
  <c r="AB83" i="16"/>
  <c r="AA83" i="16"/>
  <c r="Z83" i="16"/>
  <c r="Y83" i="16"/>
  <c r="X83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AE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AD82" i="16" s="1"/>
  <c r="AE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AE80" i="16"/>
  <c r="AC80" i="16"/>
  <c r="AB80" i="16"/>
  <c r="AA80" i="16"/>
  <c r="Z80" i="16"/>
  <c r="Y80" i="16"/>
  <c r="X80" i="16"/>
  <c r="W80" i="16"/>
  <c r="V80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AD80" i="16"/>
  <c r="AE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AD79" i="16"/>
  <c r="AE78" i="16"/>
  <c r="AC78" i="16"/>
  <c r="AB78" i="16"/>
  <c r="AA78" i="16"/>
  <c r="Z78" i="16"/>
  <c r="Y78" i="16"/>
  <c r="X78" i="16"/>
  <c r="W78" i="16"/>
  <c r="V78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AD78" i="16"/>
  <c r="AE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AD77" i="16"/>
  <c r="AE76" i="16"/>
  <c r="AC76" i="16"/>
  <c r="AB76" i="16"/>
  <c r="AA76" i="16"/>
  <c r="Z76" i="16"/>
  <c r="Y76" i="16"/>
  <c r="X76" i="16"/>
  <c r="W76" i="16"/>
  <c r="V76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AD76" i="16"/>
  <c r="AE75" i="16"/>
  <c r="AC75" i="16"/>
  <c r="AB75" i="16"/>
  <c r="AA75" i="16"/>
  <c r="Z75" i="16"/>
  <c r="Y75" i="16"/>
  <c r="X75" i="16"/>
  <c r="W75" i="16"/>
  <c r="V75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AD75" i="16"/>
  <c r="AE74" i="16"/>
  <c r="AC74" i="16"/>
  <c r="AB74" i="16"/>
  <c r="AA74" i="16"/>
  <c r="Z74" i="16"/>
  <c r="Y74" i="16"/>
  <c r="X74" i="16"/>
  <c r="W74" i="16"/>
  <c r="V74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AD74" i="16"/>
  <c r="AE73" i="16"/>
  <c r="AC73" i="16"/>
  <c r="AB73" i="16"/>
  <c r="AA73" i="16"/>
  <c r="Z73" i="16"/>
  <c r="Y73" i="16"/>
  <c r="X73" i="16"/>
  <c r="W73" i="16"/>
  <c r="V73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AD73" i="16"/>
  <c r="AE72" i="16"/>
  <c r="AC72" i="16"/>
  <c r="AB72" i="16"/>
  <c r="AA72" i="16"/>
  <c r="Z72" i="16"/>
  <c r="Y72" i="16"/>
  <c r="X72" i="16"/>
  <c r="W72" i="16"/>
  <c r="V72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AD72" i="16"/>
  <c r="AE71" i="16"/>
  <c r="AC71" i="16"/>
  <c r="AB71" i="16"/>
  <c r="AA71" i="16"/>
  <c r="Z71" i="16"/>
  <c r="Y71" i="16"/>
  <c r="X71" i="16"/>
  <c r="W71" i="16"/>
  <c r="V71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AD71" i="16"/>
  <c r="AE70" i="16"/>
  <c r="AC70" i="16"/>
  <c r="AB70" i="16"/>
  <c r="AA70" i="16"/>
  <c r="Z70" i="16"/>
  <c r="Y70" i="16"/>
  <c r="X70" i="16"/>
  <c r="W70" i="16"/>
  <c r="V70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AE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AD69" i="16" s="1"/>
  <c r="AE68" i="16"/>
  <c r="AC68" i="16"/>
  <c r="AB68" i="16"/>
  <c r="AA68" i="16"/>
  <c r="Z68" i="16"/>
  <c r="Y68" i="16"/>
  <c r="X68" i="16"/>
  <c r="W68" i="16"/>
  <c r="V68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AD68" i="16" s="1"/>
  <c r="AE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AD67" i="16" s="1"/>
  <c r="AE66" i="16"/>
  <c r="AC66" i="16"/>
  <c r="AB66" i="16"/>
  <c r="AA66" i="16"/>
  <c r="Z66" i="16"/>
  <c r="Y66" i="16"/>
  <c r="X66" i="16"/>
  <c r="W66" i="16"/>
  <c r="V66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AD66" i="16" s="1"/>
  <c r="AE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AD65" i="16" s="1"/>
  <c r="AE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AD64" i="16" s="1"/>
  <c r="AE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AD63" i="16" s="1"/>
  <c r="AE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AD62" i="16" s="1"/>
  <c r="AE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AD61" i="16" s="1"/>
  <c r="AE60" i="16"/>
  <c r="AC60" i="16"/>
  <c r="AB60" i="16"/>
  <c r="AA60" i="16"/>
  <c r="Z60" i="16"/>
  <c r="Y60" i="16"/>
  <c r="X60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AD60" i="16" s="1"/>
  <c r="AE59" i="16"/>
  <c r="AC59" i="16"/>
  <c r="AB59" i="16"/>
  <c r="AA59" i="16"/>
  <c r="Z59" i="16"/>
  <c r="Y59" i="16"/>
  <c r="X59" i="16"/>
  <c r="W59" i="16"/>
  <c r="V59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AD59" i="16" s="1"/>
  <c r="AE58" i="16"/>
  <c r="AC58" i="16"/>
  <c r="AB58" i="16"/>
  <c r="AA58" i="16"/>
  <c r="Z58" i="16"/>
  <c r="Y58" i="16"/>
  <c r="X58" i="16"/>
  <c r="W58" i="16"/>
  <c r="V58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AD58" i="16" s="1"/>
  <c r="AE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AD57" i="16" s="1"/>
  <c r="AE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AD56" i="16" s="1"/>
  <c r="AE55" i="16"/>
  <c r="AC55" i="16"/>
  <c r="AB55" i="16"/>
  <c r="AA55" i="16"/>
  <c r="Z55" i="16"/>
  <c r="Y55" i="16"/>
  <c r="X55" i="16"/>
  <c r="W55" i="16"/>
  <c r="V55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AD55" i="16" s="1"/>
  <c r="AE54" i="16"/>
  <c r="AC54" i="16"/>
  <c r="AB54" i="16"/>
  <c r="AA54" i="16"/>
  <c r="Z54" i="16"/>
  <c r="Y54" i="16"/>
  <c r="X54" i="16"/>
  <c r="W54" i="16"/>
  <c r="V54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AD54" i="16" s="1"/>
  <c r="AE53" i="16"/>
  <c r="AC53" i="16"/>
  <c r="AB53" i="16"/>
  <c r="AA53" i="16"/>
  <c r="Z53" i="16"/>
  <c r="Y53" i="16"/>
  <c r="X53" i="16"/>
  <c r="W53" i="16"/>
  <c r="V53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AD53" i="16" s="1"/>
  <c r="AE52" i="16"/>
  <c r="AC52" i="16"/>
  <c r="AB52" i="16"/>
  <c r="AA52" i="16"/>
  <c r="Z52" i="16"/>
  <c r="Y52" i="16"/>
  <c r="X52" i="16"/>
  <c r="W52" i="16"/>
  <c r="V52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AD52" i="16" s="1"/>
  <c r="AE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AD51" i="16" s="1"/>
  <c r="AE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AD50" i="16" s="1"/>
  <c r="AE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AD49" i="16" s="1"/>
  <c r="AE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AD48" i="16" s="1"/>
  <c r="AE47" i="16"/>
  <c r="AC47" i="16"/>
  <c r="AB47" i="16"/>
  <c r="AA47" i="16"/>
  <c r="Z47" i="16"/>
  <c r="Y47" i="16"/>
  <c r="X47" i="16"/>
  <c r="W47" i="16"/>
  <c r="V47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AD47" i="16" s="1"/>
  <c r="AE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AD46" i="16" s="1"/>
  <c r="AE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AE44" i="16"/>
  <c r="AC44" i="16"/>
  <c r="AB44" i="16"/>
  <c r="AA44" i="16"/>
  <c r="Z44" i="16"/>
  <c r="Y44" i="16"/>
  <c r="X44" i="16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AD44" i="16"/>
  <c r="AE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AE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AD42" i="16" s="1"/>
  <c r="AE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AE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AD40" i="16"/>
  <c r="AE39" i="16"/>
  <c r="AC39" i="16"/>
  <c r="AB39" i="16"/>
  <c r="AA39" i="16"/>
  <c r="Z39" i="16"/>
  <c r="Y39" i="16"/>
  <c r="X39" i="16"/>
  <c r="W39" i="16"/>
  <c r="V39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AE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AD38" i="16" s="1"/>
  <c r="AE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AE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AD36" i="16"/>
  <c r="AE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AD35" i="16"/>
  <c r="AE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AD34" i="16"/>
  <c r="AE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AD33" i="16"/>
  <c r="AE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AD32" i="16"/>
  <c r="AE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AD31" i="16"/>
  <c r="AE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AD30" i="16"/>
  <c r="AE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AD29" i="16"/>
  <c r="AE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AD28" i="16"/>
  <c r="AE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AD27" i="16"/>
  <c r="AE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AD26" i="16"/>
  <c r="AE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AD25" i="16"/>
  <c r="AE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AD24" i="16"/>
  <c r="AE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AD23" i="16"/>
  <c r="AE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AD22" i="16"/>
  <c r="AE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AD21" i="16"/>
  <c r="AE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AD20" i="16"/>
  <c r="AE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AD19" i="16"/>
  <c r="AE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AE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AD17" i="16" s="1"/>
  <c r="AE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AD16" i="16" s="1"/>
  <c r="AE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AD15" i="16" s="1"/>
  <c r="AE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AD14" i="16" s="1"/>
  <c r="AE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AD13" i="16" s="1"/>
  <c r="AE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AD12" i="16" s="1"/>
  <c r="AE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AE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AD10" i="16"/>
  <c r="AE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AD9" i="16"/>
  <c r="AE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AD8" i="16"/>
  <c r="AE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AD7" i="16"/>
  <c r="AE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AD6" i="16"/>
  <c r="AE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AD5" i="16"/>
  <c r="AE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AD4" i="16"/>
  <c r="AE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AD3" i="16"/>
  <c r="AE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 s="1"/>
  <c r="AD2" i="16" s="1"/>
  <c r="AE1" i="16"/>
  <c r="AC1" i="16"/>
  <c r="AB1" i="16"/>
  <c r="AA1" i="16"/>
  <c r="Z1" i="16"/>
  <c r="Y1" i="16"/>
  <c r="X1" i="16"/>
  <c r="W1" i="16"/>
  <c r="V1" i="16"/>
  <c r="U1" i="16"/>
  <c r="T1" i="16"/>
  <c r="S1" i="16"/>
  <c r="R1" i="16"/>
  <c r="Q1" i="16"/>
  <c r="P1" i="16"/>
  <c r="O1" i="16"/>
  <c r="N1" i="16"/>
  <c r="M1" i="16"/>
  <c r="L1" i="16"/>
  <c r="K1" i="16"/>
  <c r="J1" i="16"/>
  <c r="I1" i="16"/>
  <c r="H1" i="16"/>
  <c r="G1" i="16"/>
  <c r="F1" i="16"/>
  <c r="AD1" i="16" s="1"/>
  <c r="AE365" i="15"/>
  <c r="AC365" i="15"/>
  <c r="AB365" i="15"/>
  <c r="AA365" i="15"/>
  <c r="Z365" i="15"/>
  <c r="Y365" i="15"/>
  <c r="X365" i="15"/>
  <c r="W365" i="15"/>
  <c r="V365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AD365" i="15" s="1"/>
  <c r="AE364" i="15"/>
  <c r="AC364" i="15"/>
  <c r="AB364" i="15"/>
  <c r="AA364" i="15"/>
  <c r="Z364" i="15"/>
  <c r="Y364" i="15"/>
  <c r="X364" i="15"/>
  <c r="W364" i="15"/>
  <c r="V364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AE363" i="15"/>
  <c r="AC363" i="15"/>
  <c r="AB363" i="15"/>
  <c r="AA363" i="15"/>
  <c r="Z363" i="15"/>
  <c r="Y363" i="15"/>
  <c r="X363" i="15"/>
  <c r="W363" i="15"/>
  <c r="V363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AD363" i="15"/>
  <c r="AE362" i="15"/>
  <c r="AC362" i="15"/>
  <c r="AB362" i="15"/>
  <c r="AA362" i="15"/>
  <c r="Z362" i="15"/>
  <c r="Y362" i="15"/>
  <c r="X362" i="15"/>
  <c r="W362" i="15"/>
  <c r="V362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AE361" i="15"/>
  <c r="AC361" i="15"/>
  <c r="AB361" i="15"/>
  <c r="AA361" i="15"/>
  <c r="Z361" i="15"/>
  <c r="Y361" i="15"/>
  <c r="X361" i="15"/>
  <c r="W361" i="15"/>
  <c r="V361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AD361" i="15" s="1"/>
  <c r="AE360" i="15"/>
  <c r="AC360" i="15"/>
  <c r="AB360" i="15"/>
  <c r="AA360" i="15"/>
  <c r="Z360" i="15"/>
  <c r="Y360" i="15"/>
  <c r="X360" i="15"/>
  <c r="W360" i="15"/>
  <c r="V360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AD360" i="15" s="1"/>
  <c r="AE359" i="15"/>
  <c r="AC359" i="15"/>
  <c r="AB359" i="15"/>
  <c r="AA359" i="15"/>
  <c r="Z359" i="15"/>
  <c r="Y359" i="15"/>
  <c r="X359" i="15"/>
  <c r="W359" i="15"/>
  <c r="V359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AD359" i="15" s="1"/>
  <c r="AE358" i="15"/>
  <c r="AC358" i="15"/>
  <c r="AB358" i="15"/>
  <c r="AA358" i="15"/>
  <c r="Z358" i="15"/>
  <c r="Y358" i="15"/>
  <c r="X358" i="15"/>
  <c r="W358" i="15"/>
  <c r="V358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AD358" i="15" s="1"/>
  <c r="AE357" i="15"/>
  <c r="AC357" i="15"/>
  <c r="AB357" i="15"/>
  <c r="AA357" i="15"/>
  <c r="Z357" i="15"/>
  <c r="Y357" i="15"/>
  <c r="X357" i="15"/>
  <c r="W357" i="15"/>
  <c r="V357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AD357" i="15" s="1"/>
  <c r="AE356" i="15"/>
  <c r="AC356" i="15"/>
  <c r="AB356" i="15"/>
  <c r="AA356" i="15"/>
  <c r="Z356" i="15"/>
  <c r="Y356" i="15"/>
  <c r="X356" i="15"/>
  <c r="W356" i="15"/>
  <c r="V356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AD356" i="15" s="1"/>
  <c r="AE355" i="15"/>
  <c r="AC355" i="15"/>
  <c r="AB355" i="15"/>
  <c r="AA355" i="15"/>
  <c r="Z355" i="15"/>
  <c r="Y355" i="15"/>
  <c r="X355" i="15"/>
  <c r="W355" i="15"/>
  <c r="V355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AD355" i="15" s="1"/>
  <c r="AE354" i="15"/>
  <c r="AC354" i="15"/>
  <c r="AB354" i="15"/>
  <c r="AA354" i="15"/>
  <c r="Z354" i="15"/>
  <c r="Y354" i="15"/>
  <c r="X354" i="15"/>
  <c r="W354" i="15"/>
  <c r="V354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AD354" i="15" s="1"/>
  <c r="AE353" i="15"/>
  <c r="AC353" i="15"/>
  <c r="AB353" i="15"/>
  <c r="AA353" i="15"/>
  <c r="Z353" i="15"/>
  <c r="Y353" i="15"/>
  <c r="X353" i="15"/>
  <c r="W353" i="15"/>
  <c r="V353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AE352" i="15"/>
  <c r="AC352" i="15"/>
  <c r="AB352" i="15"/>
  <c r="AA352" i="15"/>
  <c r="Z352" i="15"/>
  <c r="Y352" i="15"/>
  <c r="X352" i="15"/>
  <c r="W352" i="15"/>
  <c r="V352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AD352" i="15"/>
  <c r="AE351" i="15"/>
  <c r="AC351" i="15"/>
  <c r="AB351" i="15"/>
  <c r="AA351" i="15"/>
  <c r="Z351" i="15"/>
  <c r="Y351" i="15"/>
  <c r="X351" i="15"/>
  <c r="W351" i="15"/>
  <c r="V351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AD351" i="15"/>
  <c r="AE350" i="15"/>
  <c r="AC350" i="15"/>
  <c r="AB350" i="15"/>
  <c r="AA350" i="15"/>
  <c r="Z350" i="15"/>
  <c r="Y350" i="15"/>
  <c r="X350" i="15"/>
  <c r="W350" i="15"/>
  <c r="V350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AD350" i="15"/>
  <c r="AE349" i="15"/>
  <c r="AC349" i="15"/>
  <c r="AB349" i="15"/>
  <c r="AA349" i="15"/>
  <c r="Z349" i="15"/>
  <c r="Y349" i="15"/>
  <c r="X349" i="15"/>
  <c r="W349" i="15"/>
  <c r="V349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AD349" i="15"/>
  <c r="AE348" i="15"/>
  <c r="AC348" i="15"/>
  <c r="AB348" i="15"/>
  <c r="AA348" i="15"/>
  <c r="Z348" i="15"/>
  <c r="Y348" i="15"/>
  <c r="X348" i="15"/>
  <c r="W348" i="15"/>
  <c r="V348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AD348" i="15"/>
  <c r="AE347" i="15"/>
  <c r="AC347" i="15"/>
  <c r="AB347" i="15"/>
  <c r="AA347" i="15"/>
  <c r="Z347" i="15"/>
  <c r="Y347" i="15"/>
  <c r="X347" i="15"/>
  <c r="W347" i="15"/>
  <c r="V347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AE346" i="15"/>
  <c r="AC346" i="15"/>
  <c r="AB346" i="15"/>
  <c r="AA346" i="15"/>
  <c r="Z346" i="15"/>
  <c r="Y346" i="15"/>
  <c r="X346" i="15"/>
  <c r="W346" i="15"/>
  <c r="V346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AD346" i="15" s="1"/>
  <c r="AE345" i="15"/>
  <c r="AC345" i="15"/>
  <c r="AB345" i="15"/>
  <c r="AA345" i="15"/>
  <c r="Z345" i="15"/>
  <c r="Y345" i="15"/>
  <c r="X345" i="15"/>
  <c r="W345" i="15"/>
  <c r="V345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AD345" i="15" s="1"/>
  <c r="AE344" i="15"/>
  <c r="AC344" i="15"/>
  <c r="AB344" i="15"/>
  <c r="AA344" i="15"/>
  <c r="Z344" i="15"/>
  <c r="Y344" i="15"/>
  <c r="X344" i="15"/>
  <c r="W344" i="15"/>
  <c r="V344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AD344" i="15" s="1"/>
  <c r="AE343" i="15"/>
  <c r="AC343" i="15"/>
  <c r="AB343" i="15"/>
  <c r="AA343" i="15"/>
  <c r="Z343" i="15"/>
  <c r="Y343" i="15"/>
  <c r="X343" i="15"/>
  <c r="W343" i="15"/>
  <c r="V343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AD343" i="15" s="1"/>
  <c r="AE342" i="15"/>
  <c r="AC342" i="15"/>
  <c r="AB342" i="15"/>
  <c r="AA342" i="15"/>
  <c r="Z342" i="15"/>
  <c r="Y342" i="15"/>
  <c r="X342" i="15"/>
  <c r="W342" i="15"/>
  <c r="V342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AD342" i="15" s="1"/>
  <c r="AE341" i="15"/>
  <c r="AC341" i="15"/>
  <c r="AB341" i="15"/>
  <c r="AA341" i="15"/>
  <c r="Z341" i="15"/>
  <c r="Y341" i="15"/>
  <c r="X341" i="15"/>
  <c r="W341" i="15"/>
  <c r="V341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AD341" i="15" s="1"/>
  <c r="AE340" i="15"/>
  <c r="AC340" i="15"/>
  <c r="AB340" i="15"/>
  <c r="AA340" i="15"/>
  <c r="Z340" i="15"/>
  <c r="Y340" i="15"/>
  <c r="X340" i="15"/>
  <c r="W340" i="15"/>
  <c r="V340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AD340" i="15" s="1"/>
  <c r="AE339" i="15"/>
  <c r="AC339" i="15"/>
  <c r="AB339" i="15"/>
  <c r="AA339" i="15"/>
  <c r="Z339" i="15"/>
  <c r="Y339" i="15"/>
  <c r="X339" i="15"/>
  <c r="W339" i="15"/>
  <c r="V339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AD339" i="15" s="1"/>
  <c r="AE338" i="15"/>
  <c r="AC338" i="15"/>
  <c r="AB338" i="15"/>
  <c r="AA338" i="15"/>
  <c r="Z338" i="15"/>
  <c r="Y338" i="15"/>
  <c r="X338" i="15"/>
  <c r="W338" i="15"/>
  <c r="V338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AE337" i="15"/>
  <c r="AC337" i="15"/>
  <c r="AB337" i="15"/>
  <c r="AA337" i="15"/>
  <c r="Z337" i="15"/>
  <c r="Y337" i="15"/>
  <c r="X337" i="15"/>
  <c r="W337" i="15"/>
  <c r="V337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AD337" i="15"/>
  <c r="AE336" i="15"/>
  <c r="AC336" i="15"/>
  <c r="AB336" i="15"/>
  <c r="AA336" i="15"/>
  <c r="Z336" i="15"/>
  <c r="Y336" i="15"/>
  <c r="X336" i="15"/>
  <c r="W336" i="15"/>
  <c r="V336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AD336" i="15"/>
  <c r="AE335" i="15"/>
  <c r="AC335" i="15"/>
  <c r="AB335" i="15"/>
  <c r="AA335" i="15"/>
  <c r="Z335" i="15"/>
  <c r="Y335" i="15"/>
  <c r="X335" i="15"/>
  <c r="W335" i="15"/>
  <c r="V335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AD335" i="15"/>
  <c r="AE334" i="15"/>
  <c r="AC334" i="15"/>
  <c r="AB334" i="15"/>
  <c r="AA334" i="15"/>
  <c r="Z334" i="15"/>
  <c r="Y334" i="15"/>
  <c r="X334" i="15"/>
  <c r="W334" i="15"/>
  <c r="V334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AD334" i="15"/>
  <c r="AE333" i="15"/>
  <c r="AC333" i="15"/>
  <c r="AB333" i="15"/>
  <c r="AA333" i="15"/>
  <c r="Z333" i="15"/>
  <c r="Y333" i="15"/>
  <c r="X333" i="15"/>
  <c r="W333" i="15"/>
  <c r="V333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AD333" i="15"/>
  <c r="AE332" i="15"/>
  <c r="AC332" i="15"/>
  <c r="AB332" i="15"/>
  <c r="AA332" i="15"/>
  <c r="Z332" i="15"/>
  <c r="Y332" i="15"/>
  <c r="X332" i="15"/>
  <c r="W332" i="15"/>
  <c r="V332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AD332" i="15"/>
  <c r="AE331" i="15"/>
  <c r="AC331" i="15"/>
  <c r="AB331" i="15"/>
  <c r="AA331" i="15"/>
  <c r="Z331" i="15"/>
  <c r="Y331" i="15"/>
  <c r="X331" i="15"/>
  <c r="W331" i="15"/>
  <c r="V331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AD331" i="15"/>
  <c r="AE330" i="15"/>
  <c r="AC330" i="15"/>
  <c r="AB330" i="15"/>
  <c r="AA330" i="15"/>
  <c r="Z330" i="15"/>
  <c r="Y330" i="15"/>
  <c r="X330" i="15"/>
  <c r="W330" i="15"/>
  <c r="V330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AD330" i="15"/>
  <c r="AE329" i="15"/>
  <c r="AC329" i="15"/>
  <c r="AB329" i="15"/>
  <c r="AA329" i="15"/>
  <c r="Z329" i="15"/>
  <c r="Y329" i="15"/>
  <c r="X329" i="15"/>
  <c r="W329" i="15"/>
  <c r="V329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AD329" i="15"/>
  <c r="AE328" i="15"/>
  <c r="AC328" i="15"/>
  <c r="AB328" i="15"/>
  <c r="AA328" i="15"/>
  <c r="Z328" i="15"/>
  <c r="Y328" i="15"/>
  <c r="X328" i="15"/>
  <c r="W328" i="15"/>
  <c r="V328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AD328" i="15"/>
  <c r="AE327" i="15"/>
  <c r="AC327" i="15"/>
  <c r="AB327" i="15"/>
  <c r="AA327" i="15"/>
  <c r="Z327" i="15"/>
  <c r="Y327" i="15"/>
  <c r="X327" i="15"/>
  <c r="W327" i="15"/>
  <c r="V327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AD327" i="15"/>
  <c r="AE326" i="15"/>
  <c r="AC326" i="15"/>
  <c r="AB326" i="15"/>
  <c r="AA326" i="15"/>
  <c r="Z326" i="15"/>
  <c r="Y326" i="15"/>
  <c r="X326" i="15"/>
  <c r="W326" i="15"/>
  <c r="V326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AD326" i="15"/>
  <c r="AE325" i="15"/>
  <c r="AC325" i="15"/>
  <c r="AB325" i="15"/>
  <c r="AA325" i="15"/>
  <c r="Z325" i="15"/>
  <c r="Y325" i="15"/>
  <c r="X325" i="15"/>
  <c r="W325" i="15"/>
  <c r="V325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AD325" i="15"/>
  <c r="AE324" i="15"/>
  <c r="AC324" i="15"/>
  <c r="AB324" i="15"/>
  <c r="AA324" i="15"/>
  <c r="Z324" i="15"/>
  <c r="Y324" i="15"/>
  <c r="X324" i="15"/>
  <c r="W324" i="15"/>
  <c r="V324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AD324" i="15"/>
  <c r="AE323" i="15"/>
  <c r="AC323" i="15"/>
  <c r="AB323" i="15"/>
  <c r="AA323" i="15"/>
  <c r="Z323" i="15"/>
  <c r="Y323" i="15"/>
  <c r="X323" i="15"/>
  <c r="W323" i="15"/>
  <c r="V323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AD323" i="15"/>
  <c r="AE322" i="15"/>
  <c r="AC322" i="15"/>
  <c r="AB322" i="15"/>
  <c r="AA322" i="15"/>
  <c r="Z322" i="15"/>
  <c r="Y322" i="15"/>
  <c r="X322" i="15"/>
  <c r="W322" i="15"/>
  <c r="V322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AD322" i="15"/>
  <c r="AE321" i="15"/>
  <c r="AC321" i="15"/>
  <c r="AB321" i="15"/>
  <c r="AA321" i="15"/>
  <c r="Z321" i="15"/>
  <c r="Y321" i="15"/>
  <c r="X321" i="15"/>
  <c r="W321" i="15"/>
  <c r="V321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AD321" i="15"/>
  <c r="AE320" i="15"/>
  <c r="AC320" i="15"/>
  <c r="AB320" i="15"/>
  <c r="AA320" i="15"/>
  <c r="Z320" i="15"/>
  <c r="Y320" i="15"/>
  <c r="X320" i="15"/>
  <c r="W320" i="15"/>
  <c r="V320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AD320" i="15"/>
  <c r="AE319" i="15"/>
  <c r="AC319" i="15"/>
  <c r="AB319" i="15"/>
  <c r="AA319" i="15"/>
  <c r="Z319" i="15"/>
  <c r="Y319" i="15"/>
  <c r="X319" i="15"/>
  <c r="W319" i="15"/>
  <c r="V319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AD319" i="15"/>
  <c r="AE318" i="15"/>
  <c r="AC318" i="15"/>
  <c r="AB318" i="15"/>
  <c r="AA318" i="15"/>
  <c r="Z318" i="15"/>
  <c r="Y318" i="15"/>
  <c r="X318" i="15"/>
  <c r="W318" i="15"/>
  <c r="V318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AD318" i="15"/>
  <c r="AE317" i="15"/>
  <c r="AC317" i="15"/>
  <c r="AB317" i="15"/>
  <c r="AA317" i="15"/>
  <c r="Z317" i="15"/>
  <c r="Y317" i="15"/>
  <c r="X317" i="15"/>
  <c r="W317" i="15"/>
  <c r="V317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AD317" i="15"/>
  <c r="AE316" i="15"/>
  <c r="AC316" i="15"/>
  <c r="AB316" i="15"/>
  <c r="AA316" i="15"/>
  <c r="Z316" i="15"/>
  <c r="Y316" i="15"/>
  <c r="X316" i="15"/>
  <c r="W316" i="15"/>
  <c r="V316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AD316" i="15"/>
  <c r="AE315" i="15"/>
  <c r="AC315" i="15"/>
  <c r="AB315" i="15"/>
  <c r="AA315" i="15"/>
  <c r="Z315" i="15"/>
  <c r="Y315" i="15"/>
  <c r="X315" i="15"/>
  <c r="W315" i="15"/>
  <c r="V315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AD315" i="15"/>
  <c r="AE314" i="15"/>
  <c r="AC314" i="15"/>
  <c r="AB314" i="15"/>
  <c r="AA314" i="15"/>
  <c r="Z314" i="15"/>
  <c r="Y314" i="15"/>
  <c r="X314" i="15"/>
  <c r="W314" i="15"/>
  <c r="V314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AD314" i="15"/>
  <c r="AE313" i="15"/>
  <c r="AC313" i="15"/>
  <c r="AB313" i="15"/>
  <c r="AA313" i="15"/>
  <c r="Z313" i="15"/>
  <c r="Y313" i="15"/>
  <c r="X313" i="15"/>
  <c r="W313" i="15"/>
  <c r="V313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AE312" i="15"/>
  <c r="AC312" i="15"/>
  <c r="AB312" i="15"/>
  <c r="AA312" i="15"/>
  <c r="Z312" i="15"/>
  <c r="Y312" i="15"/>
  <c r="X312" i="15"/>
  <c r="W312" i="15"/>
  <c r="V312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AD312" i="15" s="1"/>
  <c r="AE311" i="15"/>
  <c r="AC311" i="15"/>
  <c r="AB311" i="15"/>
  <c r="AA311" i="15"/>
  <c r="Z311" i="15"/>
  <c r="Y311" i="15"/>
  <c r="X311" i="15"/>
  <c r="W311" i="15"/>
  <c r="V311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AD311" i="15" s="1"/>
  <c r="AE310" i="15"/>
  <c r="AC310" i="15"/>
  <c r="AB310" i="15"/>
  <c r="AA310" i="15"/>
  <c r="Z310" i="15"/>
  <c r="Y310" i="15"/>
  <c r="X310" i="15"/>
  <c r="W310" i="15"/>
  <c r="V310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AD310" i="15" s="1"/>
  <c r="AE309" i="15"/>
  <c r="AC309" i="15"/>
  <c r="AB309" i="15"/>
  <c r="AA309" i="15"/>
  <c r="Z309" i="15"/>
  <c r="Y309" i="15"/>
  <c r="X309" i="15"/>
  <c r="W309" i="15"/>
  <c r="V309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AD309" i="15" s="1"/>
  <c r="AE308" i="15"/>
  <c r="AC308" i="15"/>
  <c r="AB308" i="15"/>
  <c r="AA308" i="15"/>
  <c r="Z308" i="15"/>
  <c r="Y308" i="15"/>
  <c r="X308" i="15"/>
  <c r="W308" i="15"/>
  <c r="V308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AD308" i="15" s="1"/>
  <c r="AE307" i="15"/>
  <c r="AC307" i="15"/>
  <c r="AB307" i="15"/>
  <c r="AA307" i="15"/>
  <c r="Z307" i="15"/>
  <c r="Y307" i="15"/>
  <c r="X307" i="15"/>
  <c r="W307" i="15"/>
  <c r="V307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AD307" i="15" s="1"/>
  <c r="AE306" i="15"/>
  <c r="AC306" i="15"/>
  <c r="AB306" i="15"/>
  <c r="AA306" i="15"/>
  <c r="Z306" i="15"/>
  <c r="Y306" i="15"/>
  <c r="X306" i="15"/>
  <c r="W306" i="15"/>
  <c r="V306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AD306" i="15" s="1"/>
  <c r="AE305" i="15"/>
  <c r="AC305" i="15"/>
  <c r="AB305" i="15"/>
  <c r="AA305" i="15"/>
  <c r="Z305" i="15"/>
  <c r="Y305" i="15"/>
  <c r="X305" i="15"/>
  <c r="W305" i="15"/>
  <c r="V305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AD305" i="15" s="1"/>
  <c r="AE304" i="15"/>
  <c r="AC304" i="15"/>
  <c r="AB304" i="15"/>
  <c r="AA304" i="15"/>
  <c r="Z304" i="15"/>
  <c r="Y304" i="15"/>
  <c r="X304" i="15"/>
  <c r="W304" i="15"/>
  <c r="V304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AD304" i="15" s="1"/>
  <c r="AE303" i="15"/>
  <c r="AC303" i="15"/>
  <c r="AB303" i="15"/>
  <c r="AA303" i="15"/>
  <c r="Z303" i="15"/>
  <c r="Y303" i="15"/>
  <c r="X303" i="15"/>
  <c r="W303" i="15"/>
  <c r="V303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AE302" i="15"/>
  <c r="AC302" i="15"/>
  <c r="AB302" i="15"/>
  <c r="AA302" i="15"/>
  <c r="Z302" i="15"/>
  <c r="Y302" i="15"/>
  <c r="X302" i="15"/>
  <c r="W302" i="15"/>
  <c r="V302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AD302" i="15"/>
  <c r="AE301" i="15"/>
  <c r="AC301" i="15"/>
  <c r="AB301" i="15"/>
  <c r="AA301" i="15"/>
  <c r="Z301" i="15"/>
  <c r="Y301" i="15"/>
  <c r="X301" i="15"/>
  <c r="W301" i="15"/>
  <c r="V301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AE300" i="15"/>
  <c r="AC300" i="15"/>
  <c r="AB300" i="15"/>
  <c r="AA300" i="15"/>
  <c r="Z300" i="15"/>
  <c r="Y300" i="15"/>
  <c r="X300" i="15"/>
  <c r="W300" i="15"/>
  <c r="V300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AD300" i="15" s="1"/>
  <c r="AE299" i="15"/>
  <c r="AC299" i="15"/>
  <c r="AB299" i="15"/>
  <c r="AA299" i="15"/>
  <c r="Z299" i="15"/>
  <c r="Y299" i="15"/>
  <c r="X299" i="15"/>
  <c r="W299" i="15"/>
  <c r="V299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AE298" i="15"/>
  <c r="AC298" i="15"/>
  <c r="AB298" i="15"/>
  <c r="AA298" i="15"/>
  <c r="Z298" i="15"/>
  <c r="Y298" i="15"/>
  <c r="X298" i="15"/>
  <c r="W298" i="15"/>
  <c r="V298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AD298" i="15"/>
  <c r="AE297" i="15"/>
  <c r="AC297" i="15"/>
  <c r="AB297" i="15"/>
  <c r="AA297" i="15"/>
  <c r="Z297" i="15"/>
  <c r="Y297" i="15"/>
  <c r="X297" i="15"/>
  <c r="W297" i="15"/>
  <c r="V297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AE296" i="15"/>
  <c r="AC296" i="15"/>
  <c r="AB296" i="15"/>
  <c r="AA296" i="15"/>
  <c r="Z296" i="15"/>
  <c r="Y296" i="15"/>
  <c r="X296" i="15"/>
  <c r="W296" i="15"/>
  <c r="V296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AD296" i="15" s="1"/>
  <c r="AE295" i="15"/>
  <c r="AC295" i="15"/>
  <c r="AB295" i="15"/>
  <c r="AA295" i="15"/>
  <c r="Z295" i="15"/>
  <c r="Y295" i="15"/>
  <c r="X295" i="15"/>
  <c r="W295" i="15"/>
  <c r="V295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AE294" i="15"/>
  <c r="AC294" i="15"/>
  <c r="AB294" i="15"/>
  <c r="AA294" i="15"/>
  <c r="Z294" i="15"/>
  <c r="Y294" i="15"/>
  <c r="X294" i="15"/>
  <c r="W294" i="15"/>
  <c r="V294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AD294" i="15"/>
  <c r="AE293" i="15"/>
  <c r="AC293" i="15"/>
  <c r="AB293" i="15"/>
  <c r="AA293" i="15"/>
  <c r="Z293" i="15"/>
  <c r="Y293" i="15"/>
  <c r="X293" i="15"/>
  <c r="W293" i="15"/>
  <c r="V293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AE292" i="15"/>
  <c r="AC292" i="15"/>
  <c r="AB292" i="15"/>
  <c r="AA292" i="15"/>
  <c r="Z292" i="15"/>
  <c r="Y292" i="15"/>
  <c r="X292" i="15"/>
  <c r="W292" i="15"/>
  <c r="V292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AD292" i="15" s="1"/>
  <c r="AE291" i="15"/>
  <c r="AC291" i="15"/>
  <c r="AB291" i="15"/>
  <c r="AA291" i="15"/>
  <c r="Z291" i="15"/>
  <c r="Y291" i="15"/>
  <c r="X291" i="15"/>
  <c r="W291" i="15"/>
  <c r="V291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AE290" i="15"/>
  <c r="AC290" i="15"/>
  <c r="AB290" i="15"/>
  <c r="AA290" i="15"/>
  <c r="Z290" i="15"/>
  <c r="Y290" i="15"/>
  <c r="X290" i="15"/>
  <c r="W290" i="15"/>
  <c r="V290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AD290" i="15"/>
  <c r="AE289" i="15"/>
  <c r="AC289" i="15"/>
  <c r="AB289" i="15"/>
  <c r="AA289" i="15"/>
  <c r="Z289" i="15"/>
  <c r="Y289" i="15"/>
  <c r="X289" i="15"/>
  <c r="W289" i="15"/>
  <c r="V289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AE288" i="15"/>
  <c r="AC288" i="15"/>
  <c r="AB288" i="15"/>
  <c r="AA288" i="15"/>
  <c r="Z288" i="15"/>
  <c r="Y288" i="15"/>
  <c r="X288" i="15"/>
  <c r="W288" i="15"/>
  <c r="V288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AD288" i="15" s="1"/>
  <c r="AE287" i="15"/>
  <c r="AC287" i="15"/>
  <c r="AB287" i="15"/>
  <c r="AA287" i="15"/>
  <c r="Z287" i="15"/>
  <c r="Y287" i="15"/>
  <c r="X287" i="15"/>
  <c r="W287" i="15"/>
  <c r="V287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AD287" i="15" s="1"/>
  <c r="AE286" i="15"/>
  <c r="AC286" i="15"/>
  <c r="AB286" i="15"/>
  <c r="AA286" i="15"/>
  <c r="Z286" i="15"/>
  <c r="Y286" i="15"/>
  <c r="X286" i="15"/>
  <c r="W286" i="15"/>
  <c r="V286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AD286" i="15" s="1"/>
  <c r="AE285" i="15"/>
  <c r="AC285" i="15"/>
  <c r="AB285" i="15"/>
  <c r="AA285" i="15"/>
  <c r="Z285" i="15"/>
  <c r="Y285" i="15"/>
  <c r="X285" i="15"/>
  <c r="W285" i="15"/>
  <c r="V285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AD285" i="15" s="1"/>
  <c r="AE284" i="15"/>
  <c r="AC284" i="15"/>
  <c r="AB284" i="15"/>
  <c r="AA284" i="15"/>
  <c r="Z284" i="15"/>
  <c r="Y284" i="15"/>
  <c r="X284" i="15"/>
  <c r="W284" i="15"/>
  <c r="V284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AD284" i="15" s="1"/>
  <c r="AE283" i="15"/>
  <c r="AC283" i="15"/>
  <c r="AB283" i="15"/>
  <c r="AA283" i="15"/>
  <c r="Z283" i="15"/>
  <c r="Y283" i="15"/>
  <c r="X283" i="15"/>
  <c r="W283" i="15"/>
  <c r="V283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AE282" i="15"/>
  <c r="AC282" i="15"/>
  <c r="AB282" i="15"/>
  <c r="AA282" i="15"/>
  <c r="Z282" i="15"/>
  <c r="Y282" i="15"/>
  <c r="X282" i="15"/>
  <c r="W282" i="15"/>
  <c r="V282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AD282" i="15"/>
  <c r="AE281" i="15"/>
  <c r="AC281" i="15"/>
  <c r="AB281" i="15"/>
  <c r="AA281" i="15"/>
  <c r="Z281" i="15"/>
  <c r="Y281" i="15"/>
  <c r="X281" i="15"/>
  <c r="W281" i="15"/>
  <c r="V281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AD281" i="15"/>
  <c r="AE280" i="15"/>
  <c r="AC280" i="15"/>
  <c r="AB280" i="15"/>
  <c r="AA280" i="15"/>
  <c r="Z280" i="15"/>
  <c r="Y280" i="15"/>
  <c r="X280" i="15"/>
  <c r="W280" i="15"/>
  <c r="V280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AE279" i="15"/>
  <c r="AC279" i="15"/>
  <c r="AB279" i="15"/>
  <c r="AA279" i="15"/>
  <c r="Z279" i="15"/>
  <c r="Y279" i="15"/>
  <c r="X279" i="15"/>
  <c r="W279" i="15"/>
  <c r="V279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AD279" i="15" s="1"/>
  <c r="AE278" i="15"/>
  <c r="AC278" i="15"/>
  <c r="AB278" i="15"/>
  <c r="AA278" i="15"/>
  <c r="Z278" i="15"/>
  <c r="Y278" i="15"/>
  <c r="X278" i="15"/>
  <c r="W278" i="15"/>
  <c r="V278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AD278" i="15" s="1"/>
  <c r="AE277" i="15"/>
  <c r="AC277" i="15"/>
  <c r="AB277" i="15"/>
  <c r="AA277" i="15"/>
  <c r="Z277" i="15"/>
  <c r="Y277" i="15"/>
  <c r="X277" i="15"/>
  <c r="W277" i="15"/>
  <c r="V277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AD277" i="15" s="1"/>
  <c r="AE276" i="15"/>
  <c r="AC276" i="15"/>
  <c r="AB276" i="15"/>
  <c r="AA276" i="15"/>
  <c r="Z276" i="15"/>
  <c r="Y276" i="15"/>
  <c r="X276" i="15"/>
  <c r="W276" i="15"/>
  <c r="V276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AD276" i="15" s="1"/>
  <c r="AE275" i="15"/>
  <c r="AC275" i="15"/>
  <c r="AB275" i="15"/>
  <c r="AA275" i="15"/>
  <c r="Z275" i="15"/>
  <c r="Y275" i="15"/>
  <c r="X275" i="15"/>
  <c r="W275" i="15"/>
  <c r="V275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AD275" i="15" s="1"/>
  <c r="AE274" i="15"/>
  <c r="AC274" i="15"/>
  <c r="AB274" i="15"/>
  <c r="AA274" i="15"/>
  <c r="Z274" i="15"/>
  <c r="Y274" i="15"/>
  <c r="X274" i="15"/>
  <c r="W274" i="15"/>
  <c r="V274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AE273" i="15"/>
  <c r="AC273" i="15"/>
  <c r="AB273" i="15"/>
  <c r="AA273" i="15"/>
  <c r="Z273" i="15"/>
  <c r="Y273" i="15"/>
  <c r="X273" i="15"/>
  <c r="W273" i="15"/>
  <c r="V273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AD273" i="15"/>
  <c r="AE272" i="15"/>
  <c r="AC272" i="15"/>
  <c r="AB272" i="15"/>
  <c r="AA272" i="15"/>
  <c r="Z272" i="15"/>
  <c r="Y272" i="15"/>
  <c r="X272" i="15"/>
  <c r="W272" i="15"/>
  <c r="V272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AD272" i="15"/>
  <c r="AE271" i="15"/>
  <c r="AC271" i="15"/>
  <c r="AB271" i="15"/>
  <c r="AA271" i="15"/>
  <c r="Z271" i="15"/>
  <c r="Y271" i="15"/>
  <c r="X271" i="15"/>
  <c r="W271" i="15"/>
  <c r="V271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AD271" i="15"/>
  <c r="AE270" i="15"/>
  <c r="AC270" i="15"/>
  <c r="AB270" i="15"/>
  <c r="AA270" i="15"/>
  <c r="Z270" i="15"/>
  <c r="Y270" i="15"/>
  <c r="X270" i="15"/>
  <c r="W270" i="15"/>
  <c r="V270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AD270" i="15"/>
  <c r="AE269" i="15"/>
  <c r="AC269" i="15"/>
  <c r="AB269" i="15"/>
  <c r="AA269" i="15"/>
  <c r="Z269" i="15"/>
  <c r="Y269" i="15"/>
  <c r="X269" i="15"/>
  <c r="W269" i="15"/>
  <c r="V269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AD269" i="15"/>
  <c r="AE268" i="15"/>
  <c r="AC268" i="15"/>
  <c r="AB268" i="15"/>
  <c r="AA268" i="15"/>
  <c r="Z268" i="15"/>
  <c r="Y268" i="15"/>
  <c r="X268" i="15"/>
  <c r="W268" i="15"/>
  <c r="V268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AD268" i="15"/>
  <c r="AE267" i="15"/>
  <c r="AC267" i="15"/>
  <c r="AB267" i="15"/>
  <c r="AA267" i="15"/>
  <c r="Z267" i="15"/>
  <c r="Y267" i="15"/>
  <c r="X267" i="15"/>
  <c r="W267" i="15"/>
  <c r="V267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AD267" i="15"/>
  <c r="AE266" i="15"/>
  <c r="AC266" i="15"/>
  <c r="AB266" i="15"/>
  <c r="AA266" i="15"/>
  <c r="Z266" i="15"/>
  <c r="Y266" i="15"/>
  <c r="X266" i="15"/>
  <c r="W266" i="15"/>
  <c r="V266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AD266" i="15"/>
  <c r="AE265" i="15"/>
  <c r="AC265" i="15"/>
  <c r="AB265" i="15"/>
  <c r="AA265" i="15"/>
  <c r="Z265" i="15"/>
  <c r="Y265" i="15"/>
  <c r="X265" i="15"/>
  <c r="W265" i="15"/>
  <c r="V265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AE264" i="15"/>
  <c r="AC264" i="15"/>
  <c r="AB264" i="15"/>
  <c r="AA264" i="15"/>
  <c r="Z264" i="15"/>
  <c r="Y264" i="15"/>
  <c r="X264" i="15"/>
  <c r="W264" i="15"/>
  <c r="V264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AD264" i="15" s="1"/>
  <c r="AE263" i="15"/>
  <c r="AC263" i="15"/>
  <c r="AB263" i="15"/>
  <c r="AA263" i="15"/>
  <c r="Z263" i="15"/>
  <c r="Y263" i="15"/>
  <c r="X263" i="15"/>
  <c r="W263" i="15"/>
  <c r="V263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AE262" i="15"/>
  <c r="AC262" i="15"/>
  <c r="AB262" i="15"/>
  <c r="AA262" i="15"/>
  <c r="Z262" i="15"/>
  <c r="Y262" i="15"/>
  <c r="X262" i="15"/>
  <c r="W262" i="15"/>
  <c r="V262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AD262" i="15"/>
  <c r="AE261" i="15"/>
  <c r="AC261" i="15"/>
  <c r="AB261" i="15"/>
  <c r="AA261" i="15"/>
  <c r="Z261" i="15"/>
  <c r="Y261" i="15"/>
  <c r="X261" i="15"/>
  <c r="W261" i="15"/>
  <c r="V261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AE260" i="15"/>
  <c r="AC260" i="15"/>
  <c r="AB260" i="15"/>
  <c r="AA260" i="15"/>
  <c r="Z260" i="15"/>
  <c r="Y260" i="15"/>
  <c r="X260" i="15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AD260" i="15" s="1"/>
  <c r="AE259" i="15"/>
  <c r="AC259" i="15"/>
  <c r="AB259" i="15"/>
  <c r="AA259" i="15"/>
  <c r="Z259" i="15"/>
  <c r="Y259" i="15"/>
  <c r="X259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AD259" i="15" s="1"/>
  <c r="AE258" i="15"/>
  <c r="AC258" i="15"/>
  <c r="AB258" i="15"/>
  <c r="AA258" i="15"/>
  <c r="Z258" i="15"/>
  <c r="Y258" i="15"/>
  <c r="X258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AD258" i="15" s="1"/>
  <c r="AE257" i="15"/>
  <c r="AC257" i="15"/>
  <c r="AB257" i="15"/>
  <c r="AA257" i="15"/>
  <c r="Z257" i="15"/>
  <c r="Y257" i="15"/>
  <c r="X257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AD257" i="15" s="1"/>
  <c r="AE256" i="15"/>
  <c r="AC256" i="15"/>
  <c r="AB256" i="15"/>
  <c r="AA256" i="15"/>
  <c r="Z256" i="15"/>
  <c r="Y256" i="15"/>
  <c r="X256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AD256" i="15" s="1"/>
  <c r="AE255" i="15"/>
  <c r="AC255" i="15"/>
  <c r="AB255" i="15"/>
  <c r="AA255" i="15"/>
  <c r="Z255" i="15"/>
  <c r="Y255" i="15"/>
  <c r="X255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AE254" i="15"/>
  <c r="AC254" i="15"/>
  <c r="AB254" i="15"/>
  <c r="AA254" i="15"/>
  <c r="Z254" i="15"/>
  <c r="Y254" i="15"/>
  <c r="X254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AD254" i="15"/>
  <c r="AE253" i="15"/>
  <c r="AC253" i="15"/>
  <c r="AB253" i="15"/>
  <c r="AA253" i="15"/>
  <c r="Z253" i="15"/>
  <c r="Y253" i="15"/>
  <c r="X253" i="15"/>
  <c r="W253" i="15"/>
  <c r="V253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AD253" i="15"/>
  <c r="AE252" i="15"/>
  <c r="AC252" i="15"/>
  <c r="AB252" i="15"/>
  <c r="AA252" i="15"/>
  <c r="Z252" i="15"/>
  <c r="Y252" i="15"/>
  <c r="X252" i="15"/>
  <c r="W252" i="15"/>
  <c r="V252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AD252" i="15"/>
  <c r="AE251" i="15"/>
  <c r="AC251" i="15"/>
  <c r="AB251" i="15"/>
  <c r="AA251" i="15"/>
  <c r="Z251" i="15"/>
  <c r="Y251" i="15"/>
  <c r="X251" i="15"/>
  <c r="W251" i="15"/>
  <c r="V251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AD251" i="15"/>
  <c r="AE250" i="15"/>
  <c r="AC250" i="15"/>
  <c r="AB250" i="15"/>
  <c r="AA250" i="15"/>
  <c r="Z250" i="15"/>
  <c r="Y250" i="15"/>
  <c r="X250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AD250" i="15"/>
  <c r="AE249" i="15"/>
  <c r="AC249" i="15"/>
  <c r="AB249" i="15"/>
  <c r="AA249" i="15"/>
  <c r="Z249" i="15"/>
  <c r="Y249" i="15"/>
  <c r="X249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AD249" i="15"/>
  <c r="AE248" i="15"/>
  <c r="AC248" i="15"/>
  <c r="AB248" i="15"/>
  <c r="AA248" i="15"/>
  <c r="Z248" i="15"/>
  <c r="Y248" i="15"/>
  <c r="X248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AD248" i="15"/>
  <c r="AE247" i="15"/>
  <c r="AC247" i="15"/>
  <c r="AB247" i="15"/>
  <c r="AA247" i="15"/>
  <c r="Z247" i="15"/>
  <c r="Y247" i="15"/>
  <c r="X247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AD247" i="15"/>
  <c r="AE246" i="15"/>
  <c r="AC246" i="15"/>
  <c r="AB246" i="15"/>
  <c r="AA246" i="15"/>
  <c r="Z246" i="15"/>
  <c r="Y246" i="15"/>
  <c r="X246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AD246" i="15"/>
  <c r="AE245" i="15"/>
  <c r="AC245" i="15"/>
  <c r="AB245" i="15"/>
  <c r="AA245" i="15"/>
  <c r="Z245" i="15"/>
  <c r="Y245" i="15"/>
  <c r="X245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AD245" i="15"/>
  <c r="AE244" i="15"/>
  <c r="AC244" i="15"/>
  <c r="AB244" i="15"/>
  <c r="AA244" i="15"/>
  <c r="Z244" i="15"/>
  <c r="Y244" i="15"/>
  <c r="X244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AD244" i="15"/>
  <c r="AE243" i="15"/>
  <c r="AC243" i="15"/>
  <c r="AB243" i="15"/>
  <c r="AA243" i="15"/>
  <c r="Z243" i="15"/>
  <c r="Y243" i="15"/>
  <c r="X243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AD243" i="15"/>
  <c r="AE242" i="15"/>
  <c r="AC242" i="15"/>
  <c r="AB242" i="15"/>
  <c r="AA242" i="15"/>
  <c r="Z242" i="15"/>
  <c r="Y242" i="15"/>
  <c r="X242" i="15"/>
  <c r="W242" i="15"/>
  <c r="V242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AD242" i="15"/>
  <c r="AE241" i="15"/>
  <c r="AC241" i="15"/>
  <c r="AB241" i="15"/>
  <c r="AA241" i="15"/>
  <c r="Z241" i="15"/>
  <c r="Y241" i="15"/>
  <c r="X241" i="15"/>
  <c r="W241" i="15"/>
  <c r="V241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AD241" i="15"/>
  <c r="AE240" i="15"/>
  <c r="AC240" i="15"/>
  <c r="AB240" i="15"/>
  <c r="AA240" i="15"/>
  <c r="Z240" i="15"/>
  <c r="Y240" i="15"/>
  <c r="X240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AD240" i="15"/>
  <c r="AE239" i="15"/>
  <c r="AC239" i="15"/>
  <c r="AB239" i="15"/>
  <c r="AA239" i="15"/>
  <c r="Z239" i="15"/>
  <c r="Y239" i="15"/>
  <c r="X239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AD239" i="15"/>
  <c r="AE238" i="15"/>
  <c r="AC238" i="15"/>
  <c r="AB238" i="15"/>
  <c r="AA238" i="15"/>
  <c r="Z238" i="15"/>
  <c r="Y238" i="15"/>
  <c r="X238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AE237" i="15"/>
  <c r="AC237" i="15"/>
  <c r="AB237" i="15"/>
  <c r="AA237" i="15"/>
  <c r="Z237" i="15"/>
  <c r="Y237" i="15"/>
  <c r="X237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AD237" i="15" s="1"/>
  <c r="AE236" i="15"/>
  <c r="AC236" i="15"/>
  <c r="AB236" i="15"/>
  <c r="AA236" i="15"/>
  <c r="Z236" i="15"/>
  <c r="Y236" i="15"/>
  <c r="X236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AD236" i="15" s="1"/>
  <c r="AE235" i="15"/>
  <c r="AC235" i="15"/>
  <c r="AB235" i="15"/>
  <c r="AA235" i="15"/>
  <c r="Z235" i="15"/>
  <c r="Y235" i="15"/>
  <c r="X235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AD235" i="15" s="1"/>
  <c r="AE234" i="15"/>
  <c r="AC234" i="15"/>
  <c r="AB234" i="15"/>
  <c r="AA234" i="15"/>
  <c r="Z234" i="15"/>
  <c r="Y234" i="15"/>
  <c r="X234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AD234" i="15" s="1"/>
  <c r="AE233" i="15"/>
  <c r="AC233" i="15"/>
  <c r="AB233" i="15"/>
  <c r="AA233" i="15"/>
  <c r="Z233" i="15"/>
  <c r="Y233" i="15"/>
  <c r="X233" i="15"/>
  <c r="W233" i="15"/>
  <c r="V233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AD233" i="15" s="1"/>
  <c r="AE232" i="15"/>
  <c r="AC232" i="15"/>
  <c r="AB232" i="15"/>
  <c r="AA232" i="15"/>
  <c r="Z232" i="15"/>
  <c r="Y232" i="15"/>
  <c r="X232" i="15"/>
  <c r="W232" i="15"/>
  <c r="V232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AD232" i="15" s="1"/>
  <c r="AE231" i="15"/>
  <c r="AC231" i="15"/>
  <c r="AB231" i="15"/>
  <c r="AA231" i="15"/>
  <c r="Z231" i="15"/>
  <c r="Y231" i="15"/>
  <c r="X231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AD231" i="15" s="1"/>
  <c r="AE230" i="15"/>
  <c r="AC230" i="15"/>
  <c r="AB230" i="15"/>
  <c r="AA230" i="15"/>
  <c r="Z230" i="15"/>
  <c r="Y230" i="15"/>
  <c r="X230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AD230" i="15" s="1"/>
  <c r="AE229" i="15"/>
  <c r="AC229" i="15"/>
  <c r="AB229" i="15"/>
  <c r="AA229" i="15"/>
  <c r="Z229" i="15"/>
  <c r="Y229" i="15"/>
  <c r="X229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AD229" i="15" s="1"/>
  <c r="AE228" i="15"/>
  <c r="AC228" i="15"/>
  <c r="AB228" i="15"/>
  <c r="AA228" i="15"/>
  <c r="Z228" i="15"/>
  <c r="Y228" i="15"/>
  <c r="X228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AD228" i="15" s="1"/>
  <c r="AE227" i="15"/>
  <c r="AC227" i="15"/>
  <c r="AB227" i="15"/>
  <c r="AA227" i="15"/>
  <c r="Z227" i="15"/>
  <c r="Y227" i="15"/>
  <c r="X227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AD227" i="15" s="1"/>
  <c r="AE226" i="15"/>
  <c r="AC226" i="15"/>
  <c r="AB226" i="15"/>
  <c r="AA226" i="15"/>
  <c r="Z226" i="15"/>
  <c r="Y226" i="15"/>
  <c r="X226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AE225" i="15"/>
  <c r="AC225" i="15"/>
  <c r="AB225" i="15"/>
  <c r="AA225" i="15"/>
  <c r="Z225" i="15"/>
  <c r="Y225" i="15"/>
  <c r="X225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AD225" i="15"/>
  <c r="AE224" i="15"/>
  <c r="AC224" i="15"/>
  <c r="AB224" i="15"/>
  <c r="AA224" i="15"/>
  <c r="Z224" i="15"/>
  <c r="Y224" i="15"/>
  <c r="X224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AD224" i="15"/>
  <c r="AE223" i="15"/>
  <c r="AC223" i="15"/>
  <c r="AB223" i="15"/>
  <c r="AA223" i="15"/>
  <c r="Z223" i="15"/>
  <c r="Y223" i="15"/>
  <c r="X223" i="15"/>
  <c r="W223" i="15"/>
  <c r="V223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AD223" i="15"/>
  <c r="AE222" i="15"/>
  <c r="AC222" i="15"/>
  <c r="AB222" i="15"/>
  <c r="AA222" i="15"/>
  <c r="Z222" i="15"/>
  <c r="Y222" i="15"/>
  <c r="X222" i="15"/>
  <c r="W222" i="15"/>
  <c r="V222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AD222" i="15"/>
  <c r="AE221" i="15"/>
  <c r="AC221" i="15"/>
  <c r="AB221" i="15"/>
  <c r="AA221" i="15"/>
  <c r="Z221" i="15"/>
  <c r="Y221" i="15"/>
  <c r="X221" i="15"/>
  <c r="W221" i="15"/>
  <c r="V221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AD221" i="15"/>
  <c r="AE220" i="15"/>
  <c r="AC220" i="15"/>
  <c r="AB220" i="15"/>
  <c r="AA220" i="15"/>
  <c r="Z220" i="15"/>
  <c r="Y220" i="15"/>
  <c r="X220" i="15"/>
  <c r="W220" i="15"/>
  <c r="V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AD220" i="15"/>
  <c r="AE219" i="15"/>
  <c r="AC219" i="15"/>
  <c r="AB219" i="15"/>
  <c r="AA219" i="15"/>
  <c r="Z219" i="15"/>
  <c r="Y219" i="15"/>
  <c r="X219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AD219" i="15"/>
  <c r="AE218" i="15"/>
  <c r="AC218" i="15"/>
  <c r="AB218" i="15"/>
  <c r="AA218" i="15"/>
  <c r="Z218" i="15"/>
  <c r="Y218" i="15"/>
  <c r="X218" i="15"/>
  <c r="W218" i="15"/>
  <c r="V218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AD218" i="15"/>
  <c r="AE217" i="15"/>
  <c r="AC217" i="15"/>
  <c r="AB217" i="15"/>
  <c r="AA217" i="15"/>
  <c r="Z217" i="15"/>
  <c r="Y217" i="15"/>
  <c r="X217" i="15"/>
  <c r="W217" i="15"/>
  <c r="V217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AD217" i="15"/>
  <c r="AE216" i="15"/>
  <c r="AC216" i="15"/>
  <c r="AB216" i="15"/>
  <c r="AA216" i="15"/>
  <c r="Z216" i="15"/>
  <c r="Y216" i="15"/>
  <c r="X216" i="15"/>
  <c r="W216" i="15"/>
  <c r="V216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AD216" i="15"/>
  <c r="AE215" i="15"/>
  <c r="AC215" i="15"/>
  <c r="AB215" i="15"/>
  <c r="AA215" i="15"/>
  <c r="Z215" i="15"/>
  <c r="Y215" i="15"/>
  <c r="X215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AE214" i="15"/>
  <c r="AC214" i="15"/>
  <c r="AB214" i="15"/>
  <c r="AA214" i="15"/>
  <c r="Z214" i="15"/>
  <c r="Y214" i="15"/>
  <c r="X214" i="15"/>
  <c r="W214" i="15"/>
  <c r="V214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AD214" i="15" s="1"/>
  <c r="AE213" i="15"/>
  <c r="AC213" i="15"/>
  <c r="AB213" i="15"/>
  <c r="AA213" i="15"/>
  <c r="Z213" i="15"/>
  <c r="Y213" i="15"/>
  <c r="X213" i="15"/>
  <c r="W213" i="15"/>
  <c r="V213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AD213" i="15" s="1"/>
  <c r="AE212" i="15"/>
  <c r="AC212" i="15"/>
  <c r="AB212" i="15"/>
  <c r="AA212" i="15"/>
  <c r="Z212" i="15"/>
  <c r="Y212" i="15"/>
  <c r="X212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AD212" i="15" s="1"/>
  <c r="AE211" i="15"/>
  <c r="AC211" i="15"/>
  <c r="AB211" i="15"/>
  <c r="AA211" i="15"/>
  <c r="Z211" i="15"/>
  <c r="Y211" i="15"/>
  <c r="X211" i="15"/>
  <c r="W211" i="15"/>
  <c r="V211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AD211" i="15" s="1"/>
  <c r="AE210" i="15"/>
  <c r="AC210" i="15"/>
  <c r="AB210" i="15"/>
  <c r="AA210" i="15"/>
  <c r="Z210" i="15"/>
  <c r="Y210" i="15"/>
  <c r="X210" i="15"/>
  <c r="W210" i="15"/>
  <c r="V210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AD210" i="15" s="1"/>
  <c r="AE209" i="15"/>
  <c r="AC209" i="15"/>
  <c r="AB209" i="15"/>
  <c r="AA209" i="15"/>
  <c r="Z209" i="15"/>
  <c r="Y209" i="15"/>
  <c r="X209" i="15"/>
  <c r="W209" i="15"/>
  <c r="V209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AD209" i="15" s="1"/>
  <c r="AE208" i="15"/>
  <c r="AC208" i="15"/>
  <c r="AB208" i="15"/>
  <c r="AA208" i="15"/>
  <c r="Z208" i="15"/>
  <c r="Y208" i="15"/>
  <c r="X208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AD208" i="15" s="1"/>
  <c r="AE207" i="15"/>
  <c r="AC207" i="15"/>
  <c r="AB207" i="15"/>
  <c r="AA207" i="15"/>
  <c r="Z207" i="15"/>
  <c r="Y207" i="15"/>
  <c r="X207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AD207" i="15" s="1"/>
  <c r="AE206" i="15"/>
  <c r="AC206" i="15"/>
  <c r="AB206" i="15"/>
  <c r="AA206" i="15"/>
  <c r="Z206" i="15"/>
  <c r="Y206" i="15"/>
  <c r="X206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AD206" i="15" s="1"/>
  <c r="AE205" i="15"/>
  <c r="AC205" i="15"/>
  <c r="AB205" i="15"/>
  <c r="AA205" i="15"/>
  <c r="Z205" i="15"/>
  <c r="Y205" i="15"/>
  <c r="X205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AD205" i="15" s="1"/>
  <c r="AE204" i="15"/>
  <c r="AC204" i="15"/>
  <c r="AB204" i="15"/>
  <c r="AA204" i="15"/>
  <c r="Z204" i="15"/>
  <c r="Y204" i="15"/>
  <c r="X204" i="15"/>
  <c r="W204" i="15"/>
  <c r="V204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AD204" i="15" s="1"/>
  <c r="AE203" i="15"/>
  <c r="AC203" i="15"/>
  <c r="AB203" i="15"/>
  <c r="AA203" i="15"/>
  <c r="Z203" i="15"/>
  <c r="Y203" i="15"/>
  <c r="X203" i="15"/>
  <c r="W203" i="15"/>
  <c r="V203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AD203" i="15" s="1"/>
  <c r="AE202" i="15"/>
  <c r="AC202" i="15"/>
  <c r="AB202" i="15"/>
  <c r="AA202" i="15"/>
  <c r="Z202" i="15"/>
  <c r="Y202" i="15"/>
  <c r="X202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AD202" i="15" s="1"/>
  <c r="AE201" i="15"/>
  <c r="AC201" i="15"/>
  <c r="AB201" i="15"/>
  <c r="AA201" i="15"/>
  <c r="Z201" i="15"/>
  <c r="Y201" i="15"/>
  <c r="X201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AE200" i="15"/>
  <c r="AC200" i="15"/>
  <c r="AB200" i="15"/>
  <c r="AA200" i="15"/>
  <c r="Z200" i="15"/>
  <c r="Y200" i="15"/>
  <c r="X200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AD200" i="15"/>
  <c r="AE199" i="15"/>
  <c r="AC199" i="15"/>
  <c r="AB199" i="15"/>
  <c r="AA199" i="15"/>
  <c r="Z199" i="15"/>
  <c r="Y199" i="15"/>
  <c r="X199" i="15"/>
  <c r="W199" i="15"/>
  <c r="V199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AD199" i="15"/>
  <c r="AE198" i="15"/>
  <c r="AC198" i="15"/>
  <c r="AB198" i="15"/>
  <c r="AA198" i="15"/>
  <c r="Z198" i="15"/>
  <c r="Y198" i="15"/>
  <c r="X198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AD198" i="15"/>
  <c r="AE197" i="15"/>
  <c r="AC197" i="15"/>
  <c r="AB197" i="15"/>
  <c r="AA197" i="15"/>
  <c r="Z197" i="15"/>
  <c r="Y197" i="15"/>
  <c r="X197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AD197" i="15"/>
  <c r="AE196" i="15"/>
  <c r="AC196" i="15"/>
  <c r="AB196" i="15"/>
  <c r="AA196" i="15"/>
  <c r="Z196" i="15"/>
  <c r="Y196" i="15"/>
  <c r="X196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AD196" i="15"/>
  <c r="AE195" i="15"/>
  <c r="AC195" i="15"/>
  <c r="AB195" i="15"/>
  <c r="AA195" i="15"/>
  <c r="Z195" i="15"/>
  <c r="Y195" i="15"/>
  <c r="X195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AE194" i="15"/>
  <c r="AC194" i="15"/>
  <c r="AB194" i="15"/>
  <c r="AA194" i="15"/>
  <c r="Z194" i="15"/>
  <c r="Y194" i="15"/>
  <c r="X194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AD194" i="15" s="1"/>
  <c r="AE193" i="15"/>
  <c r="AC193" i="15"/>
  <c r="AB193" i="15"/>
  <c r="AA193" i="15"/>
  <c r="Z193" i="15"/>
  <c r="Y193" i="15"/>
  <c r="X193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AE192" i="15"/>
  <c r="AC192" i="15"/>
  <c r="AB192" i="15"/>
  <c r="AA192" i="15"/>
  <c r="Z192" i="15"/>
  <c r="Y192" i="15"/>
  <c r="X192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AD192" i="15"/>
  <c r="AE191" i="15"/>
  <c r="AC191" i="15"/>
  <c r="AB191" i="15"/>
  <c r="AA191" i="15"/>
  <c r="Z191" i="15"/>
  <c r="Y191" i="15"/>
  <c r="X191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AE190" i="15"/>
  <c r="AC190" i="15"/>
  <c r="AB190" i="15"/>
  <c r="AA190" i="15"/>
  <c r="Z190" i="15"/>
  <c r="Y190" i="15"/>
  <c r="X190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AD190" i="15" s="1"/>
  <c r="AE189" i="15"/>
  <c r="AC189" i="15"/>
  <c r="AB189" i="15"/>
  <c r="AA189" i="15"/>
  <c r="Z189" i="15"/>
  <c r="Y189" i="15"/>
  <c r="X189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AE188" i="15"/>
  <c r="AC188" i="15"/>
  <c r="AB188" i="15"/>
  <c r="AA188" i="15"/>
  <c r="Z188" i="15"/>
  <c r="Y188" i="15"/>
  <c r="X188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AD188" i="15"/>
  <c r="AE187" i="15"/>
  <c r="AC187" i="15"/>
  <c r="AB187" i="15"/>
  <c r="AA187" i="15"/>
  <c r="Z187" i="15"/>
  <c r="Y187" i="15"/>
  <c r="X187" i="15"/>
  <c r="W187" i="15"/>
  <c r="V187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AD187" i="15"/>
  <c r="AE186" i="15"/>
  <c r="AC186" i="15"/>
  <c r="AB186" i="15"/>
  <c r="AA186" i="15"/>
  <c r="Z186" i="15"/>
  <c r="Y186" i="15"/>
  <c r="X186" i="15"/>
  <c r="W186" i="15"/>
  <c r="V186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AE185" i="15"/>
  <c r="AC185" i="15"/>
  <c r="AB185" i="15"/>
  <c r="AA185" i="15"/>
  <c r="Z185" i="15"/>
  <c r="Y185" i="15"/>
  <c r="X185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AD185" i="15" s="1"/>
  <c r="AE184" i="15"/>
  <c r="AC184" i="15"/>
  <c r="AB184" i="15"/>
  <c r="AA184" i="15"/>
  <c r="Z184" i="15"/>
  <c r="Y184" i="15"/>
  <c r="X184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AD184" i="15" s="1"/>
  <c r="AE183" i="15"/>
  <c r="AC183" i="15"/>
  <c r="AB183" i="15"/>
  <c r="AA183" i="15"/>
  <c r="Z183" i="15"/>
  <c r="Y183" i="15"/>
  <c r="X183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AD183" i="15" s="1"/>
  <c r="AE182" i="15"/>
  <c r="AC182" i="15"/>
  <c r="AB182" i="15"/>
  <c r="AA182" i="15"/>
  <c r="Z182" i="15"/>
  <c r="Y182" i="15"/>
  <c r="X182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AD182" i="15" s="1"/>
  <c r="AE181" i="15"/>
  <c r="AC181" i="15"/>
  <c r="AB181" i="15"/>
  <c r="AA181" i="15"/>
  <c r="Z181" i="15"/>
  <c r="Y181" i="15"/>
  <c r="X181" i="15"/>
  <c r="W181" i="15"/>
  <c r="V181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AD181" i="15" s="1"/>
  <c r="AE180" i="15"/>
  <c r="AC180" i="15"/>
  <c r="AB180" i="15"/>
  <c r="AA180" i="15"/>
  <c r="Z180" i="15"/>
  <c r="Y180" i="15"/>
  <c r="X180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AD180" i="15" s="1"/>
  <c r="AE179" i="15"/>
  <c r="AC179" i="15"/>
  <c r="AB179" i="15"/>
  <c r="AA179" i="15"/>
  <c r="Z179" i="15"/>
  <c r="Y179" i="15"/>
  <c r="X179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AD179" i="15" s="1"/>
  <c r="AE178" i="15"/>
  <c r="AC178" i="15"/>
  <c r="AB178" i="15"/>
  <c r="AA178" i="15"/>
  <c r="Z178" i="15"/>
  <c r="Y178" i="15"/>
  <c r="X178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AD178" i="15" s="1"/>
  <c r="AE177" i="15"/>
  <c r="AC177" i="15"/>
  <c r="AB177" i="15"/>
  <c r="AA177" i="15"/>
  <c r="Z177" i="15"/>
  <c r="Y177" i="15"/>
  <c r="X177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AD177" i="15" s="1"/>
  <c r="AE176" i="15"/>
  <c r="AC176" i="15"/>
  <c r="AB176" i="15"/>
  <c r="AA176" i="15"/>
  <c r="Z176" i="15"/>
  <c r="Y176" i="15"/>
  <c r="X176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AD176" i="15" s="1"/>
  <c r="AE175" i="15"/>
  <c r="AC175" i="15"/>
  <c r="AB175" i="15"/>
  <c r="AA175" i="15"/>
  <c r="Z175" i="15"/>
  <c r="Y175" i="15"/>
  <c r="X175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AE174" i="15"/>
  <c r="AC174" i="15"/>
  <c r="AB174" i="15"/>
  <c r="AA174" i="15"/>
  <c r="Z174" i="15"/>
  <c r="Y174" i="15"/>
  <c r="X174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AD174" i="15"/>
  <c r="AE173" i="15"/>
  <c r="AC173" i="15"/>
  <c r="AB173" i="15"/>
  <c r="AA173" i="15"/>
  <c r="Z173" i="15"/>
  <c r="Y173" i="15"/>
  <c r="X173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AD173" i="15"/>
  <c r="AE172" i="15"/>
  <c r="AC172" i="15"/>
  <c r="AB172" i="15"/>
  <c r="AA172" i="15"/>
  <c r="Z172" i="15"/>
  <c r="Y172" i="15"/>
  <c r="X172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AD172" i="15"/>
  <c r="AE171" i="15"/>
  <c r="AC171" i="15"/>
  <c r="AB171" i="15"/>
  <c r="AA171" i="15"/>
  <c r="Z171" i="15"/>
  <c r="Y171" i="15"/>
  <c r="X171" i="15"/>
  <c r="W171" i="15"/>
  <c r="V171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AD171" i="15"/>
  <c r="AE170" i="15"/>
  <c r="AC170" i="15"/>
  <c r="AB170" i="15"/>
  <c r="AA170" i="15"/>
  <c r="Z170" i="15"/>
  <c r="Y170" i="15"/>
  <c r="X170" i="15"/>
  <c r="W170" i="15"/>
  <c r="V170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AD170" i="15"/>
  <c r="AE169" i="15"/>
  <c r="AC169" i="15"/>
  <c r="AB169" i="15"/>
  <c r="AA169" i="15"/>
  <c r="Z169" i="15"/>
  <c r="Y169" i="15"/>
  <c r="X169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AD169" i="15"/>
  <c r="AE168" i="15"/>
  <c r="AC168" i="15"/>
  <c r="AB168" i="15"/>
  <c r="AA168" i="15"/>
  <c r="Z168" i="15"/>
  <c r="Y168" i="15"/>
  <c r="X168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AD168" i="15"/>
  <c r="AE167" i="15"/>
  <c r="AC167" i="15"/>
  <c r="AB167" i="15"/>
  <c r="AA167" i="15"/>
  <c r="Z167" i="15"/>
  <c r="Y167" i="15"/>
  <c r="X167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AD167" i="15"/>
  <c r="AE166" i="15"/>
  <c r="AC166" i="15"/>
  <c r="AB166" i="15"/>
  <c r="AA166" i="15"/>
  <c r="Z166" i="15"/>
  <c r="Y166" i="15"/>
  <c r="X166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AD166" i="15"/>
  <c r="AE165" i="15"/>
  <c r="AC165" i="15"/>
  <c r="AB165" i="15"/>
  <c r="AA165" i="15"/>
  <c r="Z165" i="15"/>
  <c r="Y165" i="15"/>
  <c r="X165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AD165" i="15"/>
  <c r="AE164" i="15"/>
  <c r="AC164" i="15"/>
  <c r="AB164" i="15"/>
  <c r="AA164" i="15"/>
  <c r="Z164" i="15"/>
  <c r="Y164" i="15"/>
  <c r="X164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AE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AD163" i="15" s="1"/>
  <c r="AE162" i="15"/>
  <c r="AC162" i="15"/>
  <c r="AB162" i="15"/>
  <c r="AA162" i="15"/>
  <c r="Z162" i="15"/>
  <c r="Y162" i="15"/>
  <c r="X162" i="15"/>
  <c r="W162" i="15"/>
  <c r="V162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AD162" i="15" s="1"/>
  <c r="AE161" i="15"/>
  <c r="AC161" i="15"/>
  <c r="AB161" i="15"/>
  <c r="AA161" i="15"/>
  <c r="Z161" i="15"/>
  <c r="Y161" i="15"/>
  <c r="X161" i="15"/>
  <c r="W161" i="15"/>
  <c r="V161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AD161" i="15" s="1"/>
  <c r="AE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AD160" i="15" s="1"/>
  <c r="AE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AE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AD158" i="15"/>
  <c r="AE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AD157" i="15"/>
  <c r="AE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AD156" i="15"/>
  <c r="AE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AD155" i="15"/>
  <c r="AE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AD154" i="15"/>
  <c r="AE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AD153" i="15"/>
  <c r="AE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AD152" i="15"/>
  <c r="AE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AE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AD150" i="15" s="1"/>
  <c r="AE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AD149" i="15" s="1"/>
  <c r="AE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AD148" i="15" s="1"/>
  <c r="AE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AD147" i="15" s="1"/>
  <c r="AE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AD146" i="15" s="1"/>
  <c r="AE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AD145" i="15" s="1"/>
  <c r="AE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AD144" i="15" s="1"/>
  <c r="AE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AD143" i="15" s="1"/>
  <c r="AE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AD142" i="15" s="1"/>
  <c r="AE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AD141" i="15" s="1"/>
  <c r="AE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AD140" i="15" s="1"/>
  <c r="AE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AD139" i="15" s="1"/>
  <c r="AE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AD138" i="15" s="1"/>
  <c r="AE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AD137" i="15" s="1"/>
  <c r="AE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AE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AD135" i="15"/>
  <c r="AE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AD134" i="15"/>
  <c r="AE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AD133" i="15"/>
  <c r="AE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AD132" i="15"/>
  <c r="AE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AD131" i="15"/>
  <c r="AE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AD130" i="15"/>
  <c r="AE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AD129" i="15"/>
  <c r="AE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AD128" i="15"/>
  <c r="AE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AE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AD126" i="15" s="1"/>
  <c r="AE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AD125" i="15" s="1"/>
  <c r="AE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AD124" i="15" s="1"/>
  <c r="AE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AE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AD122" i="15"/>
  <c r="AE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AD121" i="15"/>
  <c r="AE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AD120" i="15"/>
  <c r="AE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AD119" i="15"/>
  <c r="AE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AD118" i="15"/>
  <c r="AE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AD117" i="15"/>
  <c r="AE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AD116" i="15"/>
  <c r="AE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AD115" i="15"/>
  <c r="AE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AD114" i="15"/>
  <c r="AE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AE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AD112" i="15" s="1"/>
  <c r="AE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AE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AD110" i="15"/>
  <c r="AE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AD109" i="15"/>
  <c r="AE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AE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AD107" i="15" s="1"/>
  <c r="AE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AD106" i="15" s="1"/>
  <c r="AE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AD105" i="15" s="1"/>
  <c r="AE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AD104" i="15" s="1"/>
  <c r="AE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AE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AD102" i="15"/>
  <c r="AE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AD101" i="15"/>
  <c r="AE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AD100" i="15"/>
  <c r="AE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AE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AD98" i="15" s="1"/>
  <c r="AE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AE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AD96" i="15"/>
  <c r="AE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AE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AD94" i="15" s="1"/>
  <c r="AE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AE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AD92" i="15"/>
  <c r="AE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AE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AD90" i="15" s="1"/>
  <c r="AE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AE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AD88" i="15"/>
  <c r="AE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AD87" i="15"/>
  <c r="AE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AD86" i="15"/>
  <c r="AE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AD85" i="15"/>
  <c r="AE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AD84" i="15"/>
  <c r="AE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AD83" i="15"/>
  <c r="AE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AD82" i="15"/>
  <c r="AE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AE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AD80" i="15" s="1"/>
  <c r="AE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AD79" i="15" s="1"/>
  <c r="AE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AD78" i="15" s="1"/>
  <c r="AE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AD77" i="15" s="1"/>
  <c r="AE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AD76" i="15" s="1"/>
  <c r="AE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AD75" i="15" s="1"/>
  <c r="AE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AD74" i="15" s="1"/>
  <c r="AE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AE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AD72" i="15"/>
  <c r="AE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AD71" i="15"/>
  <c r="AE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AD70" i="15"/>
  <c r="AE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AD69" i="15"/>
  <c r="AE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AE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AD67" i="15" s="1"/>
  <c r="AE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AD66" i="15" s="1"/>
  <c r="AE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AD65" i="15" s="1"/>
  <c r="AE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AD64" i="15" s="1"/>
  <c r="AE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AD63" i="15" s="1"/>
  <c r="AE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AD62" i="15" s="1"/>
  <c r="AE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AD61" i="15" s="1"/>
  <c r="AE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AD60" i="15" s="1"/>
  <c r="AE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AD59" i="15" s="1"/>
  <c r="AE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AD58" i="15" s="1"/>
  <c r="AE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AD57" i="15" s="1"/>
  <c r="AE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AD56" i="15" s="1"/>
  <c r="AE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AD55" i="15" s="1"/>
  <c r="AE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AD54" i="15" s="1"/>
  <c r="AE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AD53" i="15" s="1"/>
  <c r="AE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AD52" i="15" s="1"/>
  <c r="AE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AD51" i="15" s="1"/>
  <c r="AE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AD50" i="15" s="1"/>
  <c r="AE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AD49" i="15" s="1"/>
  <c r="AE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AD48" i="15" s="1"/>
  <c r="AE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AD47" i="15" s="1"/>
  <c r="AE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AD46" i="15" s="1"/>
  <c r="AE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AD45" i="15" s="1"/>
  <c r="AE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AD44" i="15" s="1"/>
  <c r="AE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AE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AD42" i="15"/>
  <c r="AE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AD41" i="15"/>
  <c r="AE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AD40" i="15"/>
  <c r="AE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AE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AD38" i="15" s="1"/>
  <c r="AE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AD37" i="15" s="1"/>
  <c r="AE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AD36" i="15" s="1"/>
  <c r="AE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AD35" i="15" s="1"/>
  <c r="AE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AD34" i="15" s="1"/>
  <c r="AE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AE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AD32" i="15"/>
  <c r="AE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AD31" i="15"/>
  <c r="AE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AD30" i="15"/>
  <c r="AE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AD29" i="15"/>
  <c r="AE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AD28" i="15"/>
  <c r="AE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AD27" i="15"/>
  <c r="AE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AD26" i="15"/>
  <c r="AE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AD25" i="15"/>
  <c r="AE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AD24" i="15"/>
  <c r="AE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AD23" i="15"/>
  <c r="AE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AD22" i="15"/>
  <c r="AE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AD21" i="15"/>
  <c r="AE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AD20" i="15"/>
  <c r="AE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AD19" i="15"/>
  <c r="AE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AD18" i="15"/>
  <c r="AE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AD17" i="15"/>
  <c r="AE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AD16" i="15"/>
  <c r="AE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AD15" i="15"/>
  <c r="AE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AD14" i="15"/>
  <c r="AE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AD13" i="15"/>
  <c r="AE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AD12" i="15"/>
  <c r="AE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AD11" i="15"/>
  <c r="AE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AD10" i="15"/>
  <c r="AE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AD9" i="15"/>
  <c r="AE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AD8" i="15"/>
  <c r="AE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AD7" i="15"/>
  <c r="AE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AE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AD5" i="15" s="1"/>
  <c r="AE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AD4" i="15" s="1"/>
  <c r="AE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AD3" i="15" s="1"/>
  <c r="AE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AE1" i="15"/>
  <c r="AC1" i="15"/>
  <c r="A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AD1" i="15"/>
  <c r="AE365" i="14"/>
  <c r="AC365" i="14"/>
  <c r="AB365" i="14"/>
  <c r="AA365" i="14"/>
  <c r="Z365" i="14"/>
  <c r="Y365" i="14"/>
  <c r="X365" i="14"/>
  <c r="W365" i="14"/>
  <c r="V365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AD365" i="14"/>
  <c r="AE364" i="14"/>
  <c r="AC364" i="14"/>
  <c r="AB364" i="14"/>
  <c r="AA364" i="14"/>
  <c r="Z364" i="14"/>
  <c r="Y364" i="14"/>
  <c r="X364" i="14"/>
  <c r="W364" i="14"/>
  <c r="V364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AE363" i="14"/>
  <c r="AC363" i="14"/>
  <c r="AB363" i="14"/>
  <c r="AA363" i="14"/>
  <c r="Z363" i="14"/>
  <c r="Y363" i="14"/>
  <c r="X363" i="14"/>
  <c r="W363" i="14"/>
  <c r="V363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AD363" i="14" s="1"/>
  <c r="AE362" i="14"/>
  <c r="AC362" i="14"/>
  <c r="AB362" i="14"/>
  <c r="AA362" i="14"/>
  <c r="Z362" i="14"/>
  <c r="Y362" i="14"/>
  <c r="X362" i="14"/>
  <c r="W362" i="14"/>
  <c r="V362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AD362" i="14" s="1"/>
  <c r="AE361" i="14"/>
  <c r="AC361" i="14"/>
  <c r="AB361" i="14"/>
  <c r="AA361" i="14"/>
  <c r="Z361" i="14"/>
  <c r="Y361" i="14"/>
  <c r="X361" i="14"/>
  <c r="W361" i="14"/>
  <c r="V361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AD361" i="14" s="1"/>
  <c r="AE360" i="14"/>
  <c r="AC360" i="14"/>
  <c r="AB360" i="14"/>
  <c r="AA360" i="14"/>
  <c r="Z360" i="14"/>
  <c r="Y360" i="14"/>
  <c r="X360" i="14"/>
  <c r="W360" i="14"/>
  <c r="V360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AD360" i="14" s="1"/>
  <c r="AE359" i="14"/>
  <c r="AC359" i="14"/>
  <c r="AB359" i="14"/>
  <c r="AA359" i="14"/>
  <c r="Z359" i="14"/>
  <c r="Y359" i="14"/>
  <c r="X359" i="14"/>
  <c r="W359" i="14"/>
  <c r="V359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AD359" i="14" s="1"/>
  <c r="AE358" i="14"/>
  <c r="AC358" i="14"/>
  <c r="AB358" i="14"/>
  <c r="AA358" i="14"/>
  <c r="Z358" i="14"/>
  <c r="Y358" i="14"/>
  <c r="X358" i="14"/>
  <c r="W358" i="14"/>
  <c r="V358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AD358" i="14" s="1"/>
  <c r="AE357" i="14"/>
  <c r="AC357" i="14"/>
  <c r="AB357" i="14"/>
  <c r="AA357" i="14"/>
  <c r="Z357" i="14"/>
  <c r="Y357" i="14"/>
  <c r="X357" i="14"/>
  <c r="W357" i="14"/>
  <c r="V357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AD357" i="14" s="1"/>
  <c r="AE356" i="14"/>
  <c r="AC356" i="14"/>
  <c r="AB356" i="14"/>
  <c r="AA356" i="14"/>
  <c r="Z356" i="14"/>
  <c r="Y356" i="14"/>
  <c r="X356" i="14"/>
  <c r="W356" i="14"/>
  <c r="V356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AD356" i="14" s="1"/>
  <c r="AE355" i="14"/>
  <c r="AC355" i="14"/>
  <c r="AB355" i="14"/>
  <c r="AA355" i="14"/>
  <c r="Z355" i="14"/>
  <c r="Y355" i="14"/>
  <c r="X355" i="14"/>
  <c r="W355" i="14"/>
  <c r="V355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AD355" i="14" s="1"/>
  <c r="AE354" i="14"/>
  <c r="AC354" i="14"/>
  <c r="AB354" i="14"/>
  <c r="AA354" i="14"/>
  <c r="Z354" i="14"/>
  <c r="Y354" i="14"/>
  <c r="X354" i="14"/>
  <c r="W354" i="14"/>
  <c r="V354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AD354" i="14" s="1"/>
  <c r="AE353" i="14"/>
  <c r="AC353" i="14"/>
  <c r="AB353" i="14"/>
  <c r="AA353" i="14"/>
  <c r="Z353" i="14"/>
  <c r="Y353" i="14"/>
  <c r="X353" i="14"/>
  <c r="W353" i="14"/>
  <c r="V353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AD353" i="14" s="1"/>
  <c r="AE352" i="14"/>
  <c r="AC352" i="14"/>
  <c r="AB352" i="14"/>
  <c r="AA352" i="14"/>
  <c r="Z352" i="14"/>
  <c r="Y352" i="14"/>
  <c r="X352" i="14"/>
  <c r="W352" i="14"/>
  <c r="V352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AD352" i="14" s="1"/>
  <c r="AE351" i="14"/>
  <c r="AC351" i="14"/>
  <c r="AB351" i="14"/>
  <c r="AA351" i="14"/>
  <c r="Z351" i="14"/>
  <c r="Y351" i="14"/>
  <c r="X351" i="14"/>
  <c r="W351" i="14"/>
  <c r="V351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AD351" i="14" s="1"/>
  <c r="AE350" i="14"/>
  <c r="AC350" i="14"/>
  <c r="AB350" i="14"/>
  <c r="AA350" i="14"/>
  <c r="Z350" i="14"/>
  <c r="Y350" i="14"/>
  <c r="X350" i="14"/>
  <c r="W350" i="14"/>
  <c r="V350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AD350" i="14" s="1"/>
  <c r="AE349" i="14"/>
  <c r="AC349" i="14"/>
  <c r="AB349" i="14"/>
  <c r="AA349" i="14"/>
  <c r="Z349" i="14"/>
  <c r="Y349" i="14"/>
  <c r="X349" i="14"/>
  <c r="W349" i="14"/>
  <c r="V349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AD349" i="14" s="1"/>
  <c r="AE348" i="14"/>
  <c r="AC348" i="14"/>
  <c r="AB348" i="14"/>
  <c r="AA348" i="14"/>
  <c r="Z348" i="14"/>
  <c r="Y348" i="14"/>
  <c r="X348" i="14"/>
  <c r="W348" i="14"/>
  <c r="V348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AD348" i="14" s="1"/>
  <c r="AE347" i="14"/>
  <c r="AC347" i="14"/>
  <c r="AB347" i="14"/>
  <c r="AA347" i="14"/>
  <c r="Z347" i="14"/>
  <c r="Y347" i="14"/>
  <c r="X347" i="14"/>
  <c r="W347" i="14"/>
  <c r="V347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AD347" i="14" s="1"/>
  <c r="AE346" i="14"/>
  <c r="AC346" i="14"/>
  <c r="AB346" i="14"/>
  <c r="AA346" i="14"/>
  <c r="Z346" i="14"/>
  <c r="Y346" i="14"/>
  <c r="X346" i="14"/>
  <c r="W346" i="14"/>
  <c r="V346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AD346" i="14" s="1"/>
  <c r="AE345" i="14"/>
  <c r="AC345" i="14"/>
  <c r="AB345" i="14"/>
  <c r="AA345" i="14"/>
  <c r="Z345" i="14"/>
  <c r="Y345" i="14"/>
  <c r="X345" i="14"/>
  <c r="W345" i="14"/>
  <c r="V345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AD345" i="14" s="1"/>
  <c r="AE344" i="14"/>
  <c r="AC344" i="14"/>
  <c r="AB344" i="14"/>
  <c r="AA344" i="14"/>
  <c r="Z344" i="14"/>
  <c r="Y344" i="14"/>
  <c r="X344" i="14"/>
  <c r="W344" i="14"/>
  <c r="V344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AD344" i="14" s="1"/>
  <c r="AE343" i="14"/>
  <c r="AC343" i="14"/>
  <c r="AB343" i="14"/>
  <c r="AA343" i="14"/>
  <c r="Z343" i="14"/>
  <c r="Y343" i="14"/>
  <c r="X343" i="14"/>
  <c r="W343" i="14"/>
  <c r="V343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AD343" i="14" s="1"/>
  <c r="AE342" i="14"/>
  <c r="AC342" i="14"/>
  <c r="AB342" i="14"/>
  <c r="AA342" i="14"/>
  <c r="Z342" i="14"/>
  <c r="Y342" i="14"/>
  <c r="X342" i="14"/>
  <c r="W342" i="14"/>
  <c r="V342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AD342" i="14" s="1"/>
  <c r="AE341" i="14"/>
  <c r="AC341" i="14"/>
  <c r="AB341" i="14"/>
  <c r="AA341" i="14"/>
  <c r="Z341" i="14"/>
  <c r="Y341" i="14"/>
  <c r="X341" i="14"/>
  <c r="W341" i="14"/>
  <c r="V341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AD341" i="14" s="1"/>
  <c r="AE340" i="14"/>
  <c r="AC340" i="14"/>
  <c r="AB340" i="14"/>
  <c r="AA340" i="14"/>
  <c r="Z340" i="14"/>
  <c r="Y340" i="14"/>
  <c r="X340" i="14"/>
  <c r="W340" i="14"/>
  <c r="V340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AD340" i="14" s="1"/>
  <c r="AE339" i="14"/>
  <c r="AC339" i="14"/>
  <c r="AB339" i="14"/>
  <c r="AA339" i="14"/>
  <c r="Z339" i="14"/>
  <c r="Y339" i="14"/>
  <c r="X339" i="14"/>
  <c r="W339" i="14"/>
  <c r="V339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AD339" i="14" s="1"/>
  <c r="AE338" i="14"/>
  <c r="AC338" i="14"/>
  <c r="AB338" i="14"/>
  <c r="AA338" i="14"/>
  <c r="Z338" i="14"/>
  <c r="Y338" i="14"/>
  <c r="X338" i="14"/>
  <c r="W338" i="14"/>
  <c r="V338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AD338" i="14" s="1"/>
  <c r="AE337" i="14"/>
  <c r="AC337" i="14"/>
  <c r="AB337" i="14"/>
  <c r="AA337" i="14"/>
  <c r="Z337" i="14"/>
  <c r="Y337" i="14"/>
  <c r="X337" i="14"/>
  <c r="W337" i="14"/>
  <c r="V337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AD337" i="14" s="1"/>
  <c r="AE336" i="14"/>
  <c r="AC336" i="14"/>
  <c r="AB336" i="14"/>
  <c r="AA336" i="14"/>
  <c r="Z336" i="14"/>
  <c r="Y336" i="14"/>
  <c r="X336" i="14"/>
  <c r="W336" i="14"/>
  <c r="V336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AD336" i="14" s="1"/>
  <c r="AE335" i="14"/>
  <c r="AC335" i="14"/>
  <c r="AB335" i="14"/>
  <c r="AA335" i="14"/>
  <c r="Z335" i="14"/>
  <c r="Y335" i="14"/>
  <c r="X335" i="14"/>
  <c r="W335" i="14"/>
  <c r="V335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AD335" i="14" s="1"/>
  <c r="AE334" i="14"/>
  <c r="AC334" i="14"/>
  <c r="AB334" i="14"/>
  <c r="AA334" i="14"/>
  <c r="Z334" i="14"/>
  <c r="Y334" i="14"/>
  <c r="X334" i="14"/>
  <c r="W334" i="14"/>
  <c r="V334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AD334" i="14" s="1"/>
  <c r="AE333" i="14"/>
  <c r="AC333" i="14"/>
  <c r="AB333" i="14"/>
  <c r="AA333" i="14"/>
  <c r="Z333" i="14"/>
  <c r="Y333" i="14"/>
  <c r="X333" i="14"/>
  <c r="W333" i="14"/>
  <c r="V333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AD333" i="14" s="1"/>
  <c r="AE332" i="14"/>
  <c r="AC332" i="14"/>
  <c r="AB332" i="14"/>
  <c r="AA332" i="14"/>
  <c r="Z332" i="14"/>
  <c r="Y332" i="14"/>
  <c r="X332" i="14"/>
  <c r="W332" i="14"/>
  <c r="V332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AD332" i="14" s="1"/>
  <c r="AE331" i="14"/>
  <c r="AC331" i="14"/>
  <c r="AB331" i="14"/>
  <c r="AA331" i="14"/>
  <c r="Z331" i="14"/>
  <c r="Y331" i="14"/>
  <c r="X331" i="14"/>
  <c r="W331" i="14"/>
  <c r="V331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AD331" i="14" s="1"/>
  <c r="AE330" i="14"/>
  <c r="AC330" i="14"/>
  <c r="AB330" i="14"/>
  <c r="AA330" i="14"/>
  <c r="Z330" i="14"/>
  <c r="Y330" i="14"/>
  <c r="X330" i="14"/>
  <c r="W330" i="14"/>
  <c r="V330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AD330" i="14" s="1"/>
  <c r="AE329" i="14"/>
  <c r="AC329" i="14"/>
  <c r="AB329" i="14"/>
  <c r="AA329" i="14"/>
  <c r="Z329" i="14"/>
  <c r="Y329" i="14"/>
  <c r="X329" i="14"/>
  <c r="W329" i="14"/>
  <c r="V329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AD329" i="14" s="1"/>
  <c r="AE328" i="14"/>
  <c r="AC328" i="14"/>
  <c r="AB328" i="14"/>
  <c r="AA328" i="14"/>
  <c r="Z328" i="14"/>
  <c r="Y328" i="14"/>
  <c r="X328" i="14"/>
  <c r="W328" i="14"/>
  <c r="V328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AD328" i="14" s="1"/>
  <c r="AE327" i="14"/>
  <c r="AC327" i="14"/>
  <c r="AB327" i="14"/>
  <c r="AA327" i="14"/>
  <c r="Z327" i="14"/>
  <c r="Y327" i="14"/>
  <c r="X327" i="14"/>
  <c r="W327" i="14"/>
  <c r="V327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AD327" i="14" s="1"/>
  <c r="AE326" i="14"/>
  <c r="AC326" i="14"/>
  <c r="AB326" i="14"/>
  <c r="AA326" i="14"/>
  <c r="Z326" i="14"/>
  <c r="Y326" i="14"/>
  <c r="X326" i="14"/>
  <c r="W326" i="14"/>
  <c r="V326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AD326" i="14" s="1"/>
  <c r="AE325" i="14"/>
  <c r="AC325" i="14"/>
  <c r="AB325" i="14"/>
  <c r="AA325" i="14"/>
  <c r="Z325" i="14"/>
  <c r="Y325" i="14"/>
  <c r="X325" i="14"/>
  <c r="W325" i="14"/>
  <c r="V325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AE324" i="14"/>
  <c r="AC324" i="14"/>
  <c r="AB324" i="14"/>
  <c r="AA324" i="14"/>
  <c r="Z324" i="14"/>
  <c r="Y324" i="14"/>
  <c r="X324" i="14"/>
  <c r="W324" i="14"/>
  <c r="V324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AD324" i="14"/>
  <c r="AE323" i="14"/>
  <c r="AC323" i="14"/>
  <c r="AB323" i="14"/>
  <c r="AA323" i="14"/>
  <c r="Z323" i="14"/>
  <c r="Y323" i="14"/>
  <c r="X323" i="14"/>
  <c r="W323" i="14"/>
  <c r="V323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AD323" i="14"/>
  <c r="AE322" i="14"/>
  <c r="AC322" i="14"/>
  <c r="AB322" i="14"/>
  <c r="AA322" i="14"/>
  <c r="Z322" i="14"/>
  <c r="Y322" i="14"/>
  <c r="X322" i="14"/>
  <c r="W322" i="14"/>
  <c r="V322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AD322" i="14"/>
  <c r="AE321" i="14"/>
  <c r="AC321" i="14"/>
  <c r="AB321" i="14"/>
  <c r="AA321" i="14"/>
  <c r="Z321" i="14"/>
  <c r="Y321" i="14"/>
  <c r="X321" i="14"/>
  <c r="W321" i="14"/>
  <c r="V321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AD321" i="14"/>
  <c r="AE320" i="14"/>
  <c r="AC320" i="14"/>
  <c r="AB320" i="14"/>
  <c r="AA320" i="14"/>
  <c r="Z320" i="14"/>
  <c r="Y320" i="14"/>
  <c r="X320" i="14"/>
  <c r="W320" i="14"/>
  <c r="V320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AD320" i="14"/>
  <c r="AE319" i="14"/>
  <c r="AC319" i="14"/>
  <c r="AB319" i="14"/>
  <c r="AA319" i="14"/>
  <c r="Z319" i="14"/>
  <c r="Y319" i="14"/>
  <c r="X319" i="14"/>
  <c r="W319" i="14"/>
  <c r="V319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AD319" i="14"/>
  <c r="AE318" i="14"/>
  <c r="AC318" i="14"/>
  <c r="AB318" i="14"/>
  <c r="AA318" i="14"/>
  <c r="Z318" i="14"/>
  <c r="Y318" i="14"/>
  <c r="X318" i="14"/>
  <c r="W318" i="14"/>
  <c r="V318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AD318" i="14"/>
  <c r="AE317" i="14"/>
  <c r="AC317" i="14"/>
  <c r="AB317" i="14"/>
  <c r="AA317" i="14"/>
  <c r="Z317" i="14"/>
  <c r="Y317" i="14"/>
  <c r="X317" i="14"/>
  <c r="W317" i="14"/>
  <c r="V317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AD317" i="14"/>
  <c r="AE316" i="14"/>
  <c r="AC316" i="14"/>
  <c r="AB316" i="14"/>
  <c r="AA316" i="14"/>
  <c r="Z316" i="14"/>
  <c r="Y316" i="14"/>
  <c r="X316" i="14"/>
  <c r="W316" i="14"/>
  <c r="V316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AD316" i="14"/>
  <c r="AE315" i="14"/>
  <c r="AC315" i="14"/>
  <c r="AB315" i="14"/>
  <c r="AA315" i="14"/>
  <c r="Z315" i="14"/>
  <c r="Y315" i="14"/>
  <c r="X315" i="14"/>
  <c r="W315" i="14"/>
  <c r="V315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AD315" i="14"/>
  <c r="AE314" i="14"/>
  <c r="AC314" i="14"/>
  <c r="AB314" i="14"/>
  <c r="AA314" i="14"/>
  <c r="Z314" i="14"/>
  <c r="Y314" i="14"/>
  <c r="X314" i="14"/>
  <c r="W314" i="14"/>
  <c r="V314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AD314" i="14"/>
  <c r="AE313" i="14"/>
  <c r="AC313" i="14"/>
  <c r="AB313" i="14"/>
  <c r="AA313" i="14"/>
  <c r="Z313" i="14"/>
  <c r="Y313" i="14"/>
  <c r="X313" i="14"/>
  <c r="W313" i="14"/>
  <c r="V313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AD313" i="14"/>
  <c r="AE312" i="14"/>
  <c r="AC312" i="14"/>
  <c r="AB312" i="14"/>
  <c r="AA312" i="14"/>
  <c r="Z312" i="14"/>
  <c r="Y312" i="14"/>
  <c r="X312" i="14"/>
  <c r="W312" i="14"/>
  <c r="V312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AD312" i="14"/>
  <c r="AE311" i="14"/>
  <c r="AC311" i="14"/>
  <c r="AB311" i="14"/>
  <c r="AA311" i="14"/>
  <c r="Z311" i="14"/>
  <c r="Y311" i="14"/>
  <c r="X311" i="14"/>
  <c r="W311" i="14"/>
  <c r="V311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AE310" i="14"/>
  <c r="AC310" i="14"/>
  <c r="AB310" i="14"/>
  <c r="AA310" i="14"/>
  <c r="Z310" i="14"/>
  <c r="Y310" i="14"/>
  <c r="X310" i="14"/>
  <c r="W310" i="14"/>
  <c r="V310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AD310" i="14" s="1"/>
  <c r="AE309" i="14"/>
  <c r="AC309" i="14"/>
  <c r="AB309" i="14"/>
  <c r="AA309" i="14"/>
  <c r="Z309" i="14"/>
  <c r="Y309" i="14"/>
  <c r="X309" i="14"/>
  <c r="W309" i="14"/>
  <c r="V309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AE308" i="14"/>
  <c r="AC308" i="14"/>
  <c r="AB308" i="14"/>
  <c r="AA308" i="14"/>
  <c r="Z308" i="14"/>
  <c r="Y308" i="14"/>
  <c r="X308" i="14"/>
  <c r="W308" i="14"/>
  <c r="V308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AD308" i="14"/>
  <c r="AE307" i="14"/>
  <c r="AC307" i="14"/>
  <c r="AB307" i="14"/>
  <c r="AA307" i="14"/>
  <c r="Z307" i="14"/>
  <c r="Y307" i="14"/>
  <c r="X307" i="14"/>
  <c r="W307" i="14"/>
  <c r="V307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AE306" i="14"/>
  <c r="AC306" i="14"/>
  <c r="AB306" i="14"/>
  <c r="AA306" i="14"/>
  <c r="Z306" i="14"/>
  <c r="Y306" i="14"/>
  <c r="X306" i="14"/>
  <c r="W306" i="14"/>
  <c r="V306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AD306" i="14" s="1"/>
  <c r="AE305" i="14"/>
  <c r="AC305" i="14"/>
  <c r="AB305" i="14"/>
  <c r="AA305" i="14"/>
  <c r="Z305" i="14"/>
  <c r="Y305" i="14"/>
  <c r="X305" i="14"/>
  <c r="W305" i="14"/>
  <c r="V305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AE304" i="14"/>
  <c r="AC304" i="14"/>
  <c r="AB304" i="14"/>
  <c r="AA304" i="14"/>
  <c r="Z304" i="14"/>
  <c r="Y304" i="14"/>
  <c r="X304" i="14"/>
  <c r="W304" i="14"/>
  <c r="V304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AD304" i="14"/>
  <c r="AE303" i="14"/>
  <c r="AC303" i="14"/>
  <c r="AB303" i="14"/>
  <c r="AA303" i="14"/>
  <c r="Z303" i="14"/>
  <c r="Y303" i="14"/>
  <c r="X303" i="14"/>
  <c r="W303" i="14"/>
  <c r="V303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AE302" i="14"/>
  <c r="AC302" i="14"/>
  <c r="AB302" i="14"/>
  <c r="AA302" i="14"/>
  <c r="Z302" i="14"/>
  <c r="Y302" i="14"/>
  <c r="X302" i="14"/>
  <c r="W302" i="14"/>
  <c r="V302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AD302" i="14" s="1"/>
  <c r="AE301" i="14"/>
  <c r="AC301" i="14"/>
  <c r="AB301" i="14"/>
  <c r="AA301" i="14"/>
  <c r="Z301" i="14"/>
  <c r="Y301" i="14"/>
  <c r="X301" i="14"/>
  <c r="W301" i="14"/>
  <c r="V301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AD301" i="14" s="1"/>
  <c r="AE300" i="14"/>
  <c r="AC300" i="14"/>
  <c r="AB300" i="14"/>
  <c r="AA300" i="14"/>
  <c r="Z300" i="14"/>
  <c r="Y300" i="14"/>
  <c r="X300" i="14"/>
  <c r="W300" i="14"/>
  <c r="V300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AD300" i="14" s="1"/>
  <c r="AE299" i="14"/>
  <c r="AC299" i="14"/>
  <c r="AB299" i="14"/>
  <c r="AA299" i="14"/>
  <c r="Z299" i="14"/>
  <c r="Y299" i="14"/>
  <c r="X299" i="14"/>
  <c r="W299" i="14"/>
  <c r="V299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AD299" i="14" s="1"/>
  <c r="AE298" i="14"/>
  <c r="AC298" i="14"/>
  <c r="AB298" i="14"/>
  <c r="AA298" i="14"/>
  <c r="Z298" i="14"/>
  <c r="Y298" i="14"/>
  <c r="X298" i="14"/>
  <c r="W298" i="14"/>
  <c r="V298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AD298" i="14" s="1"/>
  <c r="AE297" i="14"/>
  <c r="AC297" i="14"/>
  <c r="AB297" i="14"/>
  <c r="AA297" i="14"/>
  <c r="Z297" i="14"/>
  <c r="Y297" i="14"/>
  <c r="X297" i="14"/>
  <c r="W297" i="14"/>
  <c r="V297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AD297" i="14" s="1"/>
  <c r="AE296" i="14"/>
  <c r="AC296" i="14"/>
  <c r="AB296" i="14"/>
  <c r="AA296" i="14"/>
  <c r="Z296" i="14"/>
  <c r="Y296" i="14"/>
  <c r="X296" i="14"/>
  <c r="W296" i="14"/>
  <c r="V296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AD296" i="14" s="1"/>
  <c r="AE295" i="14"/>
  <c r="AC295" i="14"/>
  <c r="AB295" i="14"/>
  <c r="AA295" i="14"/>
  <c r="Z295" i="14"/>
  <c r="Y295" i="14"/>
  <c r="X295" i="14"/>
  <c r="W295" i="14"/>
  <c r="V295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AD295" i="14" s="1"/>
  <c r="AE294" i="14"/>
  <c r="AC294" i="14"/>
  <c r="AB294" i="14"/>
  <c r="AA294" i="14"/>
  <c r="Z294" i="14"/>
  <c r="Y294" i="14"/>
  <c r="X294" i="14"/>
  <c r="W294" i="14"/>
  <c r="V294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AD294" i="14" s="1"/>
  <c r="AE293" i="14"/>
  <c r="AC293" i="14"/>
  <c r="AB293" i="14"/>
  <c r="AA293" i="14"/>
  <c r="Z293" i="14"/>
  <c r="Y293" i="14"/>
  <c r="X293" i="14"/>
  <c r="W293" i="14"/>
  <c r="V293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AD293" i="14" s="1"/>
  <c r="AE292" i="14"/>
  <c r="AC292" i="14"/>
  <c r="AB292" i="14"/>
  <c r="AA292" i="14"/>
  <c r="Z292" i="14"/>
  <c r="Y292" i="14"/>
  <c r="X292" i="14"/>
  <c r="W292" i="14"/>
  <c r="V292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AD292" i="14" s="1"/>
  <c r="AE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AD291" i="14" s="1"/>
  <c r="AE290" i="14"/>
  <c r="AC290" i="14"/>
  <c r="AB290" i="14"/>
  <c r="AA290" i="14"/>
  <c r="Z290" i="14"/>
  <c r="Y290" i="14"/>
  <c r="X290" i="14"/>
  <c r="W290" i="14"/>
  <c r="V290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AD290" i="14" s="1"/>
  <c r="AE289" i="14"/>
  <c r="AC289" i="14"/>
  <c r="AB289" i="14"/>
  <c r="AA289" i="14"/>
  <c r="Z289" i="14"/>
  <c r="Y289" i="14"/>
  <c r="X289" i="14"/>
  <c r="W289" i="14"/>
  <c r="V289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AD289" i="14" s="1"/>
  <c r="AE288" i="14"/>
  <c r="AC288" i="14"/>
  <c r="AB288" i="14"/>
  <c r="AA288" i="14"/>
  <c r="Z288" i="14"/>
  <c r="Y288" i="14"/>
  <c r="X288" i="14"/>
  <c r="W288" i="14"/>
  <c r="V288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AD288" i="14" s="1"/>
  <c r="AE287" i="14"/>
  <c r="AC287" i="14"/>
  <c r="AB287" i="14"/>
  <c r="AA287" i="14"/>
  <c r="Z287" i="14"/>
  <c r="Y287" i="14"/>
  <c r="X287" i="14"/>
  <c r="W287" i="14"/>
  <c r="V287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AD287" i="14" s="1"/>
  <c r="AE286" i="14"/>
  <c r="AC286" i="14"/>
  <c r="AB286" i="14"/>
  <c r="AA286" i="14"/>
  <c r="Z286" i="14"/>
  <c r="Y286" i="14"/>
  <c r="X286" i="14"/>
  <c r="W286" i="14"/>
  <c r="V286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AD286" i="14" s="1"/>
  <c r="AE285" i="14"/>
  <c r="AC285" i="14"/>
  <c r="AB285" i="14"/>
  <c r="AA285" i="14"/>
  <c r="Z285" i="14"/>
  <c r="Y285" i="14"/>
  <c r="X285" i="14"/>
  <c r="W285" i="14"/>
  <c r="V285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AD285" i="14" s="1"/>
  <c r="AE284" i="14"/>
  <c r="AC284" i="14"/>
  <c r="AB284" i="14"/>
  <c r="AA284" i="14"/>
  <c r="Z284" i="14"/>
  <c r="Y284" i="14"/>
  <c r="X284" i="14"/>
  <c r="W284" i="14"/>
  <c r="V284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AD284" i="14" s="1"/>
  <c r="AE283" i="14"/>
  <c r="AC283" i="14"/>
  <c r="AB283" i="14"/>
  <c r="AA283" i="14"/>
  <c r="Z283" i="14"/>
  <c r="Y283" i="14"/>
  <c r="X283" i="14"/>
  <c r="W283" i="14"/>
  <c r="V283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AD283" i="14" s="1"/>
  <c r="AE282" i="14"/>
  <c r="AC282" i="14"/>
  <c r="AB282" i="14"/>
  <c r="AA282" i="14"/>
  <c r="Z282" i="14"/>
  <c r="Y282" i="14"/>
  <c r="X282" i="14"/>
  <c r="W282" i="14"/>
  <c r="V282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AD282" i="14" s="1"/>
  <c r="AE281" i="14"/>
  <c r="AC281" i="14"/>
  <c r="AB281" i="14"/>
  <c r="AA281" i="14"/>
  <c r="Z281" i="14"/>
  <c r="Y281" i="14"/>
  <c r="X281" i="14"/>
  <c r="W281" i="14"/>
  <c r="V281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AD281" i="14" s="1"/>
  <c r="AE280" i="14"/>
  <c r="AC280" i="14"/>
  <c r="AB280" i="14"/>
  <c r="AA280" i="14"/>
  <c r="Z280" i="14"/>
  <c r="Y280" i="14"/>
  <c r="X280" i="14"/>
  <c r="W280" i="14"/>
  <c r="V280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AD280" i="14" s="1"/>
  <c r="AE279" i="14"/>
  <c r="AC279" i="14"/>
  <c r="AB279" i="14"/>
  <c r="AA279" i="14"/>
  <c r="Z279" i="14"/>
  <c r="Y279" i="14"/>
  <c r="X279" i="14"/>
  <c r="W279" i="14"/>
  <c r="V279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AD279" i="14" s="1"/>
  <c r="AE278" i="14"/>
  <c r="AC278" i="14"/>
  <c r="AB278" i="14"/>
  <c r="AA278" i="14"/>
  <c r="Z278" i="14"/>
  <c r="Y278" i="14"/>
  <c r="X278" i="14"/>
  <c r="W278" i="14"/>
  <c r="V278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AD278" i="14" s="1"/>
  <c r="AE277" i="14"/>
  <c r="AC277" i="14"/>
  <c r="AB277" i="14"/>
  <c r="AA277" i="14"/>
  <c r="Z277" i="14"/>
  <c r="Y277" i="14"/>
  <c r="X277" i="14"/>
  <c r="W277" i="14"/>
  <c r="V277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AD277" i="14" s="1"/>
  <c r="AE276" i="14"/>
  <c r="AC276" i="14"/>
  <c r="AB276" i="14"/>
  <c r="AA276" i="14"/>
  <c r="Z276" i="14"/>
  <c r="Y276" i="14"/>
  <c r="X276" i="14"/>
  <c r="W276" i="14"/>
  <c r="V276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AD276" i="14" s="1"/>
  <c r="AE275" i="14"/>
  <c r="AC275" i="14"/>
  <c r="AB275" i="14"/>
  <c r="AA275" i="14"/>
  <c r="Z275" i="14"/>
  <c r="Y275" i="14"/>
  <c r="X275" i="14"/>
  <c r="W275" i="14"/>
  <c r="V275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AD275" i="14" s="1"/>
  <c r="AE274" i="14"/>
  <c r="AC274" i="14"/>
  <c r="AB274" i="14"/>
  <c r="AA274" i="14"/>
  <c r="Z274" i="14"/>
  <c r="Y274" i="14"/>
  <c r="X274" i="14"/>
  <c r="W274" i="14"/>
  <c r="V274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AD274" i="14" s="1"/>
  <c r="AE273" i="14"/>
  <c r="AC273" i="14"/>
  <c r="AB273" i="14"/>
  <c r="AA273" i="14"/>
  <c r="Z273" i="14"/>
  <c r="Y273" i="14"/>
  <c r="X273" i="14"/>
  <c r="W273" i="14"/>
  <c r="V273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AD273" i="14" s="1"/>
  <c r="AE272" i="14"/>
  <c r="AC272" i="14"/>
  <c r="AB272" i="14"/>
  <c r="AA272" i="14"/>
  <c r="Z272" i="14"/>
  <c r="Y272" i="14"/>
  <c r="X272" i="14"/>
  <c r="W272" i="14"/>
  <c r="V272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AD272" i="14" s="1"/>
  <c r="AE271" i="14"/>
  <c r="AC271" i="14"/>
  <c r="AB271" i="14"/>
  <c r="AA271" i="14"/>
  <c r="Z271" i="14"/>
  <c r="Y271" i="14"/>
  <c r="X271" i="14"/>
  <c r="W271" i="14"/>
  <c r="V271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AD271" i="14" s="1"/>
  <c r="AE270" i="14"/>
  <c r="AC270" i="14"/>
  <c r="AB270" i="14"/>
  <c r="AA270" i="14"/>
  <c r="Z270" i="14"/>
  <c r="Y270" i="14"/>
  <c r="X270" i="14"/>
  <c r="W270" i="14"/>
  <c r="V270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AD270" i="14" s="1"/>
  <c r="AE269" i="14"/>
  <c r="AC269" i="14"/>
  <c r="AB269" i="14"/>
  <c r="AA269" i="14"/>
  <c r="Z269" i="14"/>
  <c r="Y269" i="14"/>
  <c r="X269" i="14"/>
  <c r="W269" i="14"/>
  <c r="V269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AD269" i="14" s="1"/>
  <c r="AE268" i="14"/>
  <c r="AC268" i="14"/>
  <c r="AB268" i="14"/>
  <c r="AA268" i="14"/>
  <c r="Z268" i="14"/>
  <c r="Y268" i="14"/>
  <c r="X268" i="14"/>
  <c r="W268" i="14"/>
  <c r="V268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AD268" i="14" s="1"/>
  <c r="AE267" i="14"/>
  <c r="AC267" i="14"/>
  <c r="AB267" i="14"/>
  <c r="AA267" i="14"/>
  <c r="Z267" i="14"/>
  <c r="Y267" i="14"/>
  <c r="X267" i="14"/>
  <c r="W267" i="14"/>
  <c r="V267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AD267" i="14" s="1"/>
  <c r="AE266" i="14"/>
  <c r="AC266" i="14"/>
  <c r="AB266" i="14"/>
  <c r="AA266" i="14"/>
  <c r="Z266" i="14"/>
  <c r="Y266" i="14"/>
  <c r="X266" i="14"/>
  <c r="W266" i="14"/>
  <c r="V266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AD266" i="14" s="1"/>
  <c r="AE265" i="14"/>
  <c r="AC265" i="14"/>
  <c r="AB265" i="14"/>
  <c r="AA265" i="14"/>
  <c r="Z265" i="14"/>
  <c r="Y265" i="14"/>
  <c r="X265" i="14"/>
  <c r="W265" i="14"/>
  <c r="V265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AD265" i="14" s="1"/>
  <c r="AE264" i="14"/>
  <c r="AC264" i="14"/>
  <c r="AB264" i="14"/>
  <c r="AA264" i="14"/>
  <c r="Z264" i="14"/>
  <c r="Y264" i="14"/>
  <c r="X264" i="14"/>
  <c r="W264" i="14"/>
  <c r="V264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AD264" i="14" s="1"/>
  <c r="AE263" i="14"/>
  <c r="AC263" i="14"/>
  <c r="AB263" i="14"/>
  <c r="AA263" i="14"/>
  <c r="Z263" i="14"/>
  <c r="Y263" i="14"/>
  <c r="X263" i="14"/>
  <c r="W263" i="14"/>
  <c r="V263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AD263" i="14" s="1"/>
  <c r="AE262" i="14"/>
  <c r="AC262" i="14"/>
  <c r="AB262" i="14"/>
  <c r="AA262" i="14"/>
  <c r="Z262" i="14"/>
  <c r="Y262" i="14"/>
  <c r="X262" i="14"/>
  <c r="W262" i="14"/>
  <c r="V262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AD262" i="14" s="1"/>
  <c r="AE261" i="14"/>
  <c r="AC261" i="14"/>
  <c r="AB261" i="14"/>
  <c r="AA261" i="14"/>
  <c r="Z261" i="14"/>
  <c r="Y261" i="14"/>
  <c r="X261" i="14"/>
  <c r="W261" i="14"/>
  <c r="V261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AD261" i="14" s="1"/>
  <c r="AE260" i="14"/>
  <c r="AC260" i="14"/>
  <c r="AB260" i="14"/>
  <c r="AA260" i="14"/>
  <c r="Z260" i="14"/>
  <c r="Y260" i="14"/>
  <c r="X260" i="14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AD260" i="14" s="1"/>
  <c r="AE259" i="14"/>
  <c r="AC259" i="14"/>
  <c r="AB259" i="14"/>
  <c r="AA259" i="14"/>
  <c r="Z259" i="14"/>
  <c r="Y259" i="14"/>
  <c r="X259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AD259" i="14" s="1"/>
  <c r="AE258" i="14"/>
  <c r="AC258" i="14"/>
  <c r="AB258" i="14"/>
  <c r="AA258" i="14"/>
  <c r="Z258" i="14"/>
  <c r="Y258" i="14"/>
  <c r="X258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AD258" i="14" s="1"/>
  <c r="AE257" i="14"/>
  <c r="AC257" i="14"/>
  <c r="AB257" i="14"/>
  <c r="AA257" i="14"/>
  <c r="Z257" i="14"/>
  <c r="Y257" i="14"/>
  <c r="X257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AD257" i="14" s="1"/>
  <c r="AE256" i="14"/>
  <c r="AC256" i="14"/>
  <c r="AB256" i="14"/>
  <c r="AA256" i="14"/>
  <c r="Z256" i="14"/>
  <c r="Y256" i="14"/>
  <c r="X256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AD256" i="14" s="1"/>
  <c r="AE255" i="14"/>
  <c r="AC255" i="14"/>
  <c r="AB255" i="14"/>
  <c r="AA255" i="14"/>
  <c r="Z255" i="14"/>
  <c r="Y255" i="14"/>
  <c r="X255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AD255" i="14" s="1"/>
  <c r="AE254" i="14"/>
  <c r="AC254" i="14"/>
  <c r="AB254" i="14"/>
  <c r="AA254" i="14"/>
  <c r="Z254" i="14"/>
  <c r="Y254" i="14"/>
  <c r="X254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AD254" i="14" s="1"/>
  <c r="AE253" i="14"/>
  <c r="AC253" i="14"/>
  <c r="AB253" i="14"/>
  <c r="AA253" i="14"/>
  <c r="Z253" i="14"/>
  <c r="Y253" i="14"/>
  <c r="X253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AD253" i="14" s="1"/>
  <c r="AE252" i="14"/>
  <c r="AC252" i="14"/>
  <c r="AB252" i="14"/>
  <c r="AA252" i="14"/>
  <c r="Z252" i="14"/>
  <c r="Y252" i="14"/>
  <c r="X252" i="14"/>
  <c r="W252" i="14"/>
  <c r="V252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AD252" i="14" s="1"/>
  <c r="AE251" i="14"/>
  <c r="AC251" i="14"/>
  <c r="AB251" i="14"/>
  <c r="AA251" i="14"/>
  <c r="Z251" i="14"/>
  <c r="Y251" i="14"/>
  <c r="X251" i="14"/>
  <c r="W251" i="14"/>
  <c r="V251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AD251" i="14" s="1"/>
  <c r="AE250" i="14"/>
  <c r="AC250" i="14"/>
  <c r="AB250" i="14"/>
  <c r="AA250" i="14"/>
  <c r="Z250" i="14"/>
  <c r="Y250" i="14"/>
  <c r="X250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AD250" i="14" s="1"/>
  <c r="AE249" i="14"/>
  <c r="AC249" i="14"/>
  <c r="AB249" i="14"/>
  <c r="AA249" i="14"/>
  <c r="Z249" i="14"/>
  <c r="Y249" i="14"/>
  <c r="X249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AD249" i="14" s="1"/>
  <c r="AE248" i="14"/>
  <c r="AC248" i="14"/>
  <c r="AB248" i="14"/>
  <c r="AA248" i="14"/>
  <c r="Z248" i="14"/>
  <c r="Y248" i="14"/>
  <c r="X248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AD248" i="14" s="1"/>
  <c r="AE247" i="14"/>
  <c r="AC247" i="14"/>
  <c r="AB247" i="14"/>
  <c r="AA247" i="14"/>
  <c r="Z247" i="14"/>
  <c r="Y247" i="14"/>
  <c r="X247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AD247" i="14" s="1"/>
  <c r="AE246" i="14"/>
  <c r="AC246" i="14"/>
  <c r="AB246" i="14"/>
  <c r="AA246" i="14"/>
  <c r="Z246" i="14"/>
  <c r="Y246" i="14"/>
  <c r="X246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AD246" i="14" s="1"/>
  <c r="AE245" i="14"/>
  <c r="AC245" i="14"/>
  <c r="AB245" i="14"/>
  <c r="AA245" i="14"/>
  <c r="Z245" i="14"/>
  <c r="Y245" i="14"/>
  <c r="X245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AD245" i="14" s="1"/>
  <c r="AE244" i="14"/>
  <c r="AC244" i="14"/>
  <c r="AB244" i="14"/>
  <c r="AA244" i="14"/>
  <c r="Z244" i="14"/>
  <c r="Y244" i="14"/>
  <c r="X244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AD244" i="14" s="1"/>
  <c r="AE243" i="14"/>
  <c r="AC243" i="14"/>
  <c r="AB243" i="14"/>
  <c r="AA243" i="14"/>
  <c r="Z243" i="14"/>
  <c r="Y243" i="14"/>
  <c r="X243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AD243" i="14" s="1"/>
  <c r="AE242" i="14"/>
  <c r="AC242" i="14"/>
  <c r="AB242" i="14"/>
  <c r="AA242" i="14"/>
  <c r="Z242" i="14"/>
  <c r="Y242" i="14"/>
  <c r="X242" i="14"/>
  <c r="W242" i="14"/>
  <c r="V242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AD242" i="14" s="1"/>
  <c r="AE241" i="14"/>
  <c r="AC241" i="14"/>
  <c r="AB241" i="14"/>
  <c r="AA241" i="14"/>
  <c r="Z241" i="14"/>
  <c r="Y241" i="14"/>
  <c r="X241" i="14"/>
  <c r="W241" i="14"/>
  <c r="V241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AE240" i="14"/>
  <c r="AC240" i="14"/>
  <c r="AB240" i="14"/>
  <c r="AA240" i="14"/>
  <c r="Z240" i="14"/>
  <c r="Y240" i="14"/>
  <c r="X240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AD240" i="14"/>
  <c r="AE239" i="14"/>
  <c r="AC239" i="14"/>
  <c r="AB239" i="14"/>
  <c r="AA239" i="14"/>
  <c r="Z239" i="14"/>
  <c r="Y239" i="14"/>
  <c r="X239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AE238" i="14"/>
  <c r="AC238" i="14"/>
  <c r="AB238" i="14"/>
  <c r="AA238" i="14"/>
  <c r="Z238" i="14"/>
  <c r="Y238" i="14"/>
  <c r="X238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AD238" i="14" s="1"/>
  <c r="AE237" i="14"/>
  <c r="AC237" i="14"/>
  <c r="AB237" i="14"/>
  <c r="AA237" i="14"/>
  <c r="Z237" i="14"/>
  <c r="Y237" i="14"/>
  <c r="X237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AD237" i="14" s="1"/>
  <c r="AE236" i="14"/>
  <c r="AC236" i="14"/>
  <c r="AB236" i="14"/>
  <c r="AA236" i="14"/>
  <c r="Z236" i="14"/>
  <c r="Y236" i="14"/>
  <c r="X236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AD236" i="14" s="1"/>
  <c r="AE235" i="14"/>
  <c r="AC235" i="14"/>
  <c r="AB235" i="14"/>
  <c r="AA235" i="14"/>
  <c r="Z235" i="14"/>
  <c r="Y235" i="14"/>
  <c r="X235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AD235" i="14" s="1"/>
  <c r="AE234" i="14"/>
  <c r="AC234" i="14"/>
  <c r="AB234" i="14"/>
  <c r="AA234" i="14"/>
  <c r="Z234" i="14"/>
  <c r="Y234" i="14"/>
  <c r="X234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AD234" i="14" s="1"/>
  <c r="AE233" i="14"/>
  <c r="AC233" i="14"/>
  <c r="AB233" i="14"/>
  <c r="AA233" i="14"/>
  <c r="Z233" i="14"/>
  <c r="Y233" i="14"/>
  <c r="X233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AD233" i="14" s="1"/>
  <c r="AE232" i="14"/>
  <c r="AC232" i="14"/>
  <c r="AB232" i="14"/>
  <c r="AA232" i="14"/>
  <c r="Z232" i="14"/>
  <c r="Y232" i="14"/>
  <c r="X232" i="14"/>
  <c r="W232" i="14"/>
  <c r="V232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AD232" i="14" s="1"/>
  <c r="AE231" i="14"/>
  <c r="AC231" i="14"/>
  <c r="AB231" i="14"/>
  <c r="AA231" i="14"/>
  <c r="Z231" i="14"/>
  <c r="Y231" i="14"/>
  <c r="X231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AD231" i="14" s="1"/>
  <c r="AE230" i="14"/>
  <c r="AC230" i="14"/>
  <c r="AB230" i="14"/>
  <c r="AA230" i="14"/>
  <c r="Z230" i="14"/>
  <c r="Y230" i="14"/>
  <c r="X230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AD230" i="14" s="1"/>
  <c r="AE229" i="14"/>
  <c r="AC229" i="14"/>
  <c r="AB229" i="14"/>
  <c r="AA229" i="14"/>
  <c r="Z229" i="14"/>
  <c r="Y229" i="14"/>
  <c r="X229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AD229" i="14" s="1"/>
  <c r="AE228" i="14"/>
  <c r="AC228" i="14"/>
  <c r="AB228" i="14"/>
  <c r="AA228" i="14"/>
  <c r="Z228" i="14"/>
  <c r="Y228" i="14"/>
  <c r="X228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AD228" i="14" s="1"/>
  <c r="AE227" i="14"/>
  <c r="AC227" i="14"/>
  <c r="AB227" i="14"/>
  <c r="AA227" i="14"/>
  <c r="Z227" i="14"/>
  <c r="Y227" i="14"/>
  <c r="X227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AD227" i="14" s="1"/>
  <c r="AE226" i="14"/>
  <c r="AC226" i="14"/>
  <c r="AB226" i="14"/>
  <c r="AA226" i="14"/>
  <c r="Z226" i="14"/>
  <c r="Y226" i="14"/>
  <c r="X226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AD226" i="14" s="1"/>
  <c r="AE225" i="14"/>
  <c r="AC225" i="14"/>
  <c r="AB225" i="14"/>
  <c r="AA225" i="14"/>
  <c r="Z225" i="14"/>
  <c r="Y225" i="14"/>
  <c r="X225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AD225" i="14" s="1"/>
  <c r="AE224" i="14"/>
  <c r="AC224" i="14"/>
  <c r="AB224" i="14"/>
  <c r="AA224" i="14"/>
  <c r="Z224" i="14"/>
  <c r="Y224" i="14"/>
  <c r="X224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AD224" i="14" s="1"/>
  <c r="AE223" i="14"/>
  <c r="AC223" i="14"/>
  <c r="AB223" i="14"/>
  <c r="AA223" i="14"/>
  <c r="Z223" i="14"/>
  <c r="Y223" i="14"/>
  <c r="X223" i="14"/>
  <c r="W223" i="14"/>
  <c r="V223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AD223" i="14" s="1"/>
  <c r="AE222" i="14"/>
  <c r="AC222" i="14"/>
  <c r="AB222" i="14"/>
  <c r="AA222" i="14"/>
  <c r="Z222" i="14"/>
  <c r="Y222" i="14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AD222" i="14" s="1"/>
  <c r="AE221" i="14"/>
  <c r="AC221" i="14"/>
  <c r="AB221" i="14"/>
  <c r="AA221" i="14"/>
  <c r="Z221" i="14"/>
  <c r="Y221" i="14"/>
  <c r="X221" i="14"/>
  <c r="W221" i="14"/>
  <c r="V221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AE220" i="14"/>
  <c r="AC220" i="14"/>
  <c r="AB220" i="14"/>
  <c r="AA220" i="14"/>
  <c r="Z220" i="14"/>
  <c r="Y220" i="14"/>
  <c r="X220" i="14"/>
  <c r="W220" i="14"/>
  <c r="V220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AD220" i="14"/>
  <c r="AE219" i="14"/>
  <c r="AC219" i="14"/>
  <c r="AB219" i="14"/>
  <c r="AA219" i="14"/>
  <c r="Z219" i="14"/>
  <c r="Y219" i="14"/>
  <c r="X219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AD219" i="14"/>
  <c r="AE218" i="14"/>
  <c r="AC218" i="14"/>
  <c r="AB218" i="14"/>
  <c r="AA218" i="14"/>
  <c r="Z218" i="14"/>
  <c r="Y218" i="14"/>
  <c r="X218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AD218" i="14"/>
  <c r="AE217" i="14"/>
  <c r="AC217" i="14"/>
  <c r="AB217" i="14"/>
  <c r="AA217" i="14"/>
  <c r="Z217" i="14"/>
  <c r="Y217" i="14"/>
  <c r="X217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AE216" i="14"/>
  <c r="AC216" i="14"/>
  <c r="AB216" i="14"/>
  <c r="AA216" i="14"/>
  <c r="Z216" i="14"/>
  <c r="Y216" i="14"/>
  <c r="X216" i="14"/>
  <c r="W216" i="14"/>
  <c r="V216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AD216" i="14" s="1"/>
  <c r="AE215" i="14"/>
  <c r="AC215" i="14"/>
  <c r="AB215" i="14"/>
  <c r="AA215" i="14"/>
  <c r="Z215" i="14"/>
  <c r="Y215" i="14"/>
  <c r="X215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AD215" i="14" s="1"/>
  <c r="AE214" i="14"/>
  <c r="AC214" i="14"/>
  <c r="AB214" i="14"/>
  <c r="AA214" i="14"/>
  <c r="Z214" i="14"/>
  <c r="Y214" i="14"/>
  <c r="X214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AD214" i="14" s="1"/>
  <c r="AE213" i="14"/>
  <c r="AC213" i="14"/>
  <c r="AB213" i="14"/>
  <c r="AA213" i="14"/>
  <c r="Z213" i="14"/>
  <c r="Y213" i="14"/>
  <c r="X213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AD213" i="14" s="1"/>
  <c r="AE212" i="14"/>
  <c r="AC212" i="14"/>
  <c r="AB212" i="14"/>
  <c r="AA212" i="14"/>
  <c r="Z212" i="14"/>
  <c r="Y212" i="14"/>
  <c r="X212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AD212" i="14" s="1"/>
  <c r="AE211" i="14"/>
  <c r="AC211" i="14"/>
  <c r="AB211" i="14"/>
  <c r="AA211" i="14"/>
  <c r="Z211" i="14"/>
  <c r="Y211" i="14"/>
  <c r="X211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AD211" i="14" s="1"/>
  <c r="AE210" i="14"/>
  <c r="AC210" i="14"/>
  <c r="AB210" i="14"/>
  <c r="AA210" i="14"/>
  <c r="Z210" i="14"/>
  <c r="Y210" i="14"/>
  <c r="X210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AD210" i="14" s="1"/>
  <c r="AE209" i="14"/>
  <c r="AC209" i="14"/>
  <c r="AB209" i="14"/>
  <c r="AA209" i="14"/>
  <c r="Z209" i="14"/>
  <c r="Y209" i="14"/>
  <c r="X209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AD209" i="14" s="1"/>
  <c r="AE208" i="14"/>
  <c r="AC208" i="14"/>
  <c r="AB208" i="14"/>
  <c r="AA208" i="14"/>
  <c r="Z208" i="14"/>
  <c r="Y208" i="14"/>
  <c r="X208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AD208" i="14" s="1"/>
  <c r="AE207" i="14"/>
  <c r="AC207" i="14"/>
  <c r="AB207" i="14"/>
  <c r="AA207" i="14"/>
  <c r="Z207" i="14"/>
  <c r="Y207" i="14"/>
  <c r="X207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AD207" i="14" s="1"/>
  <c r="AE206" i="14"/>
  <c r="AC206" i="14"/>
  <c r="AB206" i="14"/>
  <c r="AA206" i="14"/>
  <c r="Z206" i="14"/>
  <c r="Y206" i="14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AD206" i="14" s="1"/>
  <c r="AE205" i="14"/>
  <c r="AC205" i="14"/>
  <c r="AB205" i="14"/>
  <c r="AA205" i="14"/>
  <c r="Z205" i="14"/>
  <c r="Y205" i="14"/>
  <c r="X205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AD205" i="14" s="1"/>
  <c r="AE204" i="14"/>
  <c r="AC204" i="14"/>
  <c r="AB204" i="14"/>
  <c r="AA204" i="14"/>
  <c r="Z204" i="14"/>
  <c r="Y204" i="14"/>
  <c r="X204" i="14"/>
  <c r="W204" i="14"/>
  <c r="V204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AD204" i="14" s="1"/>
  <c r="AE203" i="14"/>
  <c r="AC203" i="14"/>
  <c r="AB203" i="14"/>
  <c r="AA203" i="14"/>
  <c r="Z203" i="14"/>
  <c r="Y203" i="14"/>
  <c r="X203" i="14"/>
  <c r="W203" i="14"/>
  <c r="V203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AD203" i="14" s="1"/>
  <c r="AE202" i="14"/>
  <c r="AC202" i="14"/>
  <c r="AB202" i="14"/>
  <c r="AA202" i="14"/>
  <c r="Z202" i="14"/>
  <c r="Y202" i="14"/>
  <c r="X202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AD202" i="14" s="1"/>
  <c r="AE201" i="14"/>
  <c r="AC201" i="14"/>
  <c r="AB201" i="14"/>
  <c r="AA201" i="14"/>
  <c r="Z201" i="14"/>
  <c r="Y201" i="14"/>
  <c r="X201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AD201" i="14" s="1"/>
  <c r="AE200" i="14"/>
  <c r="AC200" i="14"/>
  <c r="AB200" i="14"/>
  <c r="AA200" i="14"/>
  <c r="Z200" i="14"/>
  <c r="Y200" i="14"/>
  <c r="X200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AD200" i="14" s="1"/>
  <c r="AE199" i="14"/>
  <c r="AC199" i="14"/>
  <c r="AB199" i="14"/>
  <c r="AA199" i="14"/>
  <c r="Z199" i="14"/>
  <c r="Y199" i="14"/>
  <c r="X199" i="14"/>
  <c r="W199" i="14"/>
  <c r="V199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AD199" i="14" s="1"/>
  <c r="AE198" i="14"/>
  <c r="AC198" i="14"/>
  <c r="AB198" i="14"/>
  <c r="AA198" i="14"/>
  <c r="Z198" i="14"/>
  <c r="Y198" i="14"/>
  <c r="X198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AD198" i="14" s="1"/>
  <c r="AE197" i="14"/>
  <c r="AC197" i="14"/>
  <c r="AB197" i="14"/>
  <c r="AA197" i="14"/>
  <c r="Z197" i="14"/>
  <c r="Y197" i="14"/>
  <c r="X197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AD197" i="14" s="1"/>
  <c r="AE196" i="14"/>
  <c r="AC196" i="14"/>
  <c r="AB196" i="14"/>
  <c r="AA196" i="14"/>
  <c r="Z196" i="14"/>
  <c r="Y196" i="14"/>
  <c r="X196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AD196" i="14" s="1"/>
  <c r="AE195" i="14"/>
  <c r="AC195" i="14"/>
  <c r="AB195" i="14"/>
  <c r="AA195" i="14"/>
  <c r="Z195" i="14"/>
  <c r="Y195" i="14"/>
  <c r="X195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AE194" i="14"/>
  <c r="AC194" i="14"/>
  <c r="AB194" i="14"/>
  <c r="AA194" i="14"/>
  <c r="Z194" i="14"/>
  <c r="Y194" i="14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AD194" i="14"/>
  <c r="AE193" i="14"/>
  <c r="AC193" i="14"/>
  <c r="AB193" i="14"/>
  <c r="AA193" i="14"/>
  <c r="Z193" i="14"/>
  <c r="Y193" i="14"/>
  <c r="X193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AE192" i="14"/>
  <c r="AC192" i="14"/>
  <c r="AB192" i="14"/>
  <c r="AA192" i="14"/>
  <c r="Z192" i="14"/>
  <c r="Y192" i="14"/>
  <c r="X192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AD192" i="14" s="1"/>
  <c r="AE191" i="14"/>
  <c r="AC191" i="14"/>
  <c r="AB191" i="14"/>
  <c r="AA191" i="14"/>
  <c r="Z191" i="14"/>
  <c r="Y191" i="14"/>
  <c r="X191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AE190" i="14"/>
  <c r="AC190" i="14"/>
  <c r="AB190" i="14"/>
  <c r="AA190" i="14"/>
  <c r="Z190" i="14"/>
  <c r="Y190" i="14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AD190" i="14"/>
  <c r="AE189" i="14"/>
  <c r="AC189" i="14"/>
  <c r="AB189" i="14"/>
  <c r="AA189" i="14"/>
  <c r="Z189" i="14"/>
  <c r="Y189" i="14"/>
  <c r="X189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AD189" i="14"/>
  <c r="AE188" i="14"/>
  <c r="AC188" i="14"/>
  <c r="AB188" i="14"/>
  <c r="AA188" i="14"/>
  <c r="Z188" i="14"/>
  <c r="Y188" i="14"/>
  <c r="X188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AD188" i="14"/>
  <c r="AE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AD187" i="14"/>
  <c r="AE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AD186" i="14"/>
  <c r="AE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AD185" i="14"/>
  <c r="AE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AD184" i="14" s="1"/>
  <c r="AE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AD183" i="14" s="1"/>
  <c r="AE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AD182" i="14" s="1"/>
  <c r="AE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AD181" i="14" s="1"/>
  <c r="AE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AD180" i="14" s="1"/>
  <c r="AE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AD179" i="14" s="1"/>
  <c r="AE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AD178" i="14" s="1"/>
  <c r="AE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AD177" i="14" s="1"/>
  <c r="AE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AD176" i="14" s="1"/>
  <c r="AE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AD175" i="14" s="1"/>
  <c r="AE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AD174" i="14" s="1"/>
  <c r="AE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AD173" i="14" s="1"/>
  <c r="AE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AD172" i="14" s="1"/>
  <c r="AE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AD171" i="14" s="1"/>
  <c r="AE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AD170" i="14" s="1"/>
  <c r="AE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AD169" i="14" s="1"/>
  <c r="AE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AD168" i="14" s="1"/>
  <c r="AE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AD167" i="14" s="1"/>
  <c r="AE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AD166" i="14" s="1"/>
  <c r="AE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AD165" i="14" s="1"/>
  <c r="AE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AD164" i="14" s="1"/>
  <c r="AE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AD163" i="14" s="1"/>
  <c r="AE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AD162" i="14" s="1"/>
  <c r="AE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AD161" i="14" s="1"/>
  <c r="AE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AD160" i="14" s="1"/>
  <c r="AE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AD159" i="14" s="1"/>
  <c r="AE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AD158" i="14" s="1"/>
  <c r="AE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AE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AD156" i="14"/>
  <c r="AE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AD155" i="14"/>
  <c r="AE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AD154" i="14"/>
  <c r="AE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AD153" i="14"/>
  <c r="AE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AD152" i="14"/>
  <c r="AE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AD151" i="14"/>
  <c r="AE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AD150" i="14"/>
  <c r="AE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AE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AD148" i="14" s="1"/>
  <c r="AE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AD147" i="14" s="1"/>
  <c r="AE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AD146" i="14" s="1"/>
  <c r="AE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AE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AD144" i="14"/>
  <c r="AE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AE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AD142" i="14" s="1"/>
  <c r="AE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AE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AD140" i="14"/>
  <c r="AE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AD139" i="14"/>
  <c r="AE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AD138" i="14"/>
  <c r="AE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AD137" i="14"/>
  <c r="AE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AD136" i="14"/>
  <c r="AE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AD135" i="14"/>
  <c r="AE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AD134" i="14"/>
  <c r="AE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AD133" i="14"/>
  <c r="AE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AD132" i="14"/>
  <c r="AE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AE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AD130" i="14" s="1"/>
  <c r="AE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AD129" i="14" s="1"/>
  <c r="AE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AD128" i="14" s="1"/>
  <c r="AE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AD127" i="14" s="1"/>
  <c r="AE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AD126" i="14" s="1"/>
  <c r="AE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AD125" i="14" s="1"/>
  <c r="AE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AD124" i="14" s="1"/>
  <c r="AE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AD123" i="14" s="1"/>
  <c r="AE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AD122" i="14" s="1"/>
  <c r="AE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AD121" i="14" s="1"/>
  <c r="AE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AD120" i="14" s="1"/>
  <c r="AE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AD119" i="14" s="1"/>
  <c r="AE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AD118" i="14" s="1"/>
  <c r="AE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AD117" i="14" s="1"/>
  <c r="AE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AD116" i="14" s="1"/>
  <c r="AE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AE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AD114" i="14"/>
  <c r="AE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AE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AD112" i="14" s="1"/>
  <c r="AE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AD111" i="14" s="1"/>
  <c r="AE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AD110" i="14" s="1"/>
  <c r="AE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AE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AD108" i="14"/>
  <c r="AE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AE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AD106" i="14" s="1"/>
  <c r="AE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AE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AD104" i="14"/>
  <c r="AE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AE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AD102" i="14" s="1"/>
  <c r="AE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AD101" i="14" s="1"/>
  <c r="AE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AD100" i="14" s="1"/>
  <c r="AE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AD99" i="14" s="1"/>
  <c r="AE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AD98" i="14" s="1"/>
  <c r="AE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AD97" i="14" s="1"/>
  <c r="AE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AD96" i="14" s="1"/>
  <c r="AE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AD95" i="14" s="1"/>
  <c r="AE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AD94" i="14" s="1"/>
  <c r="AE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AD93" i="14" s="1"/>
  <c r="AE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AD92" i="14" s="1"/>
  <c r="AE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AD91" i="14" s="1"/>
  <c r="AE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AD90" i="14" s="1"/>
  <c r="AE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AD89" i="14" s="1"/>
  <c r="AE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AD88" i="14" s="1"/>
  <c r="AE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AD87" i="14" s="1"/>
  <c r="AE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AE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AD85" i="14"/>
  <c r="AE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AD84" i="14"/>
  <c r="AE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AD83" i="14"/>
  <c r="AE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AD82" i="14"/>
  <c r="AE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AD81" i="14"/>
  <c r="AE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AD80" i="14"/>
  <c r="AE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AD79" i="14"/>
  <c r="AE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AD78" i="14"/>
  <c r="AE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AD77" i="14"/>
  <c r="AE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AD76" i="14"/>
  <c r="AE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AD75" i="14"/>
  <c r="AE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AD74" i="14"/>
  <c r="AE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AD73" i="14"/>
  <c r="AE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AD72" i="14"/>
  <c r="AE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AD71" i="14"/>
  <c r="AE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AD70" i="14"/>
  <c r="AE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AE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AD68" i="14" s="1"/>
  <c r="AE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AD67" i="14" s="1"/>
  <c r="AE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AD66" i="14" s="1"/>
  <c r="AE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AD65" i="14" s="1"/>
  <c r="AE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AD64" i="14" s="1"/>
  <c r="AE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AD63" i="14" s="1"/>
  <c r="AE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AD62" i="14" s="1"/>
  <c r="AE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AD61" i="14" s="1"/>
  <c r="AE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AD60" i="14" s="1"/>
  <c r="AE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AD59" i="14" s="1"/>
  <c r="AE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AD58" i="14" s="1"/>
  <c r="AE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AE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AD56" i="14"/>
  <c r="AE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AD55" i="14"/>
  <c r="AE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AD54" i="14"/>
  <c r="AE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AD53" i="14"/>
  <c r="AE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AD52" i="14"/>
  <c r="AE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AD51" i="14"/>
  <c r="AE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AD50" i="14"/>
  <c r="AE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AD49" i="14"/>
  <c r="AE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AD48" i="14"/>
  <c r="AE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AD47" i="14"/>
  <c r="AE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AD46" i="14"/>
  <c r="AE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AD45" i="14"/>
  <c r="AE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AD44" i="14"/>
  <c r="AE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AE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AD42" i="14" s="1"/>
  <c r="AE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AD41" i="14" s="1"/>
  <c r="AE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AD40" i="14" s="1"/>
  <c r="AE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AD39" i="14" s="1"/>
  <c r="AE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AD38" i="14" s="1"/>
  <c r="AE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AD37" i="14" s="1"/>
  <c r="AE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AD36" i="14" s="1"/>
  <c r="AE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AD35" i="14" s="1"/>
  <c r="AE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AD34" i="14" s="1"/>
  <c r="AE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AE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AD32" i="14"/>
  <c r="AE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AD31" i="14"/>
  <c r="AE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AD30" i="14"/>
  <c r="AE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AD29" i="14"/>
  <c r="AE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AD28" i="14"/>
  <c r="AE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AD27" i="14"/>
  <c r="AE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AD26" i="14"/>
  <c r="AE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AD25" i="14"/>
  <c r="AE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AD24" i="14"/>
  <c r="AE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AD23" i="14"/>
  <c r="AE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AD22" i="14"/>
  <c r="AE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AD21" i="14"/>
  <c r="AE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AD20" i="14"/>
  <c r="AE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AD19" i="14"/>
  <c r="AE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AD18" i="14"/>
  <c r="AE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AD17" i="14"/>
  <c r="AE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AD16" i="14"/>
  <c r="AE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AD15" i="14"/>
  <c r="AE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AD14" i="14"/>
  <c r="AE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AD13" i="14"/>
  <c r="AE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AD12" i="14"/>
  <c r="AE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AE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AD10" i="14" s="1"/>
  <c r="AE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AD9" i="14" s="1"/>
  <c r="AE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AD8" i="14" s="1"/>
  <c r="AE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AD7" i="14" s="1"/>
  <c r="AE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AD6" i="14" s="1"/>
  <c r="AE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AD5" i="14" s="1"/>
  <c r="AE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AD4" i="14" s="1"/>
  <c r="AE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AD3" i="14" s="1"/>
  <c r="AE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AE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AE365" i="13"/>
  <c r="AC365" i="13"/>
  <c r="AB365" i="13"/>
  <c r="AA365" i="13"/>
  <c r="Z365" i="13"/>
  <c r="Y365" i="13"/>
  <c r="X365" i="13"/>
  <c r="W365" i="13"/>
  <c r="V365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AD365" i="13" s="1"/>
  <c r="AE364" i="13"/>
  <c r="AC364" i="13"/>
  <c r="AB364" i="13"/>
  <c r="AA364" i="13"/>
  <c r="Z364" i="13"/>
  <c r="Y364" i="13"/>
  <c r="X364" i="13"/>
  <c r="W364" i="13"/>
  <c r="V364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AE363" i="13"/>
  <c r="AC363" i="13"/>
  <c r="AB363" i="13"/>
  <c r="AA363" i="13"/>
  <c r="Z363" i="13"/>
  <c r="Y363" i="13"/>
  <c r="X363" i="13"/>
  <c r="W363" i="13"/>
  <c r="V363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AD363" i="13"/>
  <c r="AE362" i="13"/>
  <c r="AC362" i="13"/>
  <c r="AB362" i="13"/>
  <c r="AA362" i="13"/>
  <c r="Z362" i="13"/>
  <c r="Y362" i="13"/>
  <c r="X362" i="13"/>
  <c r="W362" i="13"/>
  <c r="V362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AE361" i="13"/>
  <c r="AC361" i="13"/>
  <c r="AB361" i="13"/>
  <c r="AA361" i="13"/>
  <c r="Z361" i="13"/>
  <c r="Y361" i="13"/>
  <c r="X361" i="13"/>
  <c r="W361" i="13"/>
  <c r="V361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AD361" i="13" s="1"/>
  <c r="AE360" i="13"/>
  <c r="AC360" i="13"/>
  <c r="AB360" i="13"/>
  <c r="AA360" i="13"/>
  <c r="Z360" i="13"/>
  <c r="Y360" i="13"/>
  <c r="X360" i="13"/>
  <c r="W360" i="13"/>
  <c r="V360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AD360" i="13" s="1"/>
  <c r="AE359" i="13"/>
  <c r="AC359" i="13"/>
  <c r="AB359" i="13"/>
  <c r="AA359" i="13"/>
  <c r="Z359" i="13"/>
  <c r="Y359" i="13"/>
  <c r="X359" i="13"/>
  <c r="W359" i="13"/>
  <c r="V359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AD359" i="13" s="1"/>
  <c r="AE358" i="13"/>
  <c r="AC358" i="13"/>
  <c r="AB358" i="13"/>
  <c r="AA358" i="13"/>
  <c r="Z358" i="13"/>
  <c r="Y358" i="13"/>
  <c r="X358" i="13"/>
  <c r="W358" i="13"/>
  <c r="V358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AD358" i="13" s="1"/>
  <c r="AE357" i="13"/>
  <c r="AC357" i="13"/>
  <c r="AB357" i="13"/>
  <c r="AA357" i="13"/>
  <c r="Z357" i="13"/>
  <c r="Y357" i="13"/>
  <c r="X357" i="13"/>
  <c r="W357" i="13"/>
  <c r="V357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AD357" i="13" s="1"/>
  <c r="AE356" i="13"/>
  <c r="AC356" i="13"/>
  <c r="AB356" i="13"/>
  <c r="AA356" i="13"/>
  <c r="Z356" i="13"/>
  <c r="Y356" i="13"/>
  <c r="X356" i="13"/>
  <c r="W356" i="13"/>
  <c r="V356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AD356" i="13" s="1"/>
  <c r="AE355" i="13"/>
  <c r="AC355" i="13"/>
  <c r="AB355" i="13"/>
  <c r="AA355" i="13"/>
  <c r="Z355" i="13"/>
  <c r="Y355" i="13"/>
  <c r="X355" i="13"/>
  <c r="W355" i="13"/>
  <c r="V355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AE354" i="13"/>
  <c r="AC354" i="13"/>
  <c r="AB354" i="13"/>
  <c r="AA354" i="13"/>
  <c r="Z354" i="13"/>
  <c r="Y354" i="13"/>
  <c r="X354" i="13"/>
  <c r="W354" i="13"/>
  <c r="V354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AD354" i="13"/>
  <c r="AE353" i="13"/>
  <c r="AC353" i="13"/>
  <c r="AB353" i="13"/>
  <c r="AA353" i="13"/>
  <c r="Z353" i="13"/>
  <c r="Y353" i="13"/>
  <c r="X353" i="13"/>
  <c r="W353" i="13"/>
  <c r="V353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AD353" i="13"/>
  <c r="AE352" i="13"/>
  <c r="AC352" i="13"/>
  <c r="AB352" i="13"/>
  <c r="AA352" i="13"/>
  <c r="Z352" i="13"/>
  <c r="Y352" i="13"/>
  <c r="X352" i="13"/>
  <c r="W352" i="13"/>
  <c r="V352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AD352" i="13"/>
  <c r="AE351" i="13"/>
  <c r="AC351" i="13"/>
  <c r="AB351" i="13"/>
  <c r="AA351" i="13"/>
  <c r="Z351" i="13"/>
  <c r="Y351" i="13"/>
  <c r="X351" i="13"/>
  <c r="W351" i="13"/>
  <c r="V351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AD351" i="13"/>
  <c r="AE350" i="13"/>
  <c r="AC350" i="13"/>
  <c r="AB350" i="13"/>
  <c r="AA350" i="13"/>
  <c r="Z350" i="13"/>
  <c r="Y350" i="13"/>
  <c r="X350" i="13"/>
  <c r="W350" i="13"/>
  <c r="V350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AD350" i="13"/>
  <c r="AE349" i="13"/>
  <c r="AC349" i="13"/>
  <c r="AB349" i="13"/>
  <c r="AA349" i="13"/>
  <c r="Z349" i="13"/>
  <c r="Y349" i="13"/>
  <c r="X349" i="13"/>
  <c r="W349" i="13"/>
  <c r="V349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AD349" i="13"/>
  <c r="AE348" i="13"/>
  <c r="AC348" i="13"/>
  <c r="AB348" i="13"/>
  <c r="AA348" i="13"/>
  <c r="Z348" i="13"/>
  <c r="Y348" i="13"/>
  <c r="X348" i="13"/>
  <c r="W348" i="13"/>
  <c r="V348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AE347" i="13"/>
  <c r="AC347" i="13"/>
  <c r="AB347" i="13"/>
  <c r="AA347" i="13"/>
  <c r="Z347" i="13"/>
  <c r="Y347" i="13"/>
  <c r="X347" i="13"/>
  <c r="W347" i="13"/>
  <c r="V347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AD347" i="13" s="1"/>
  <c r="AE346" i="13"/>
  <c r="AC346" i="13"/>
  <c r="AB346" i="13"/>
  <c r="AA346" i="13"/>
  <c r="Z346" i="13"/>
  <c r="Y346" i="13"/>
  <c r="X346" i="13"/>
  <c r="W346" i="13"/>
  <c r="V346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AD346" i="13" s="1"/>
  <c r="AE345" i="13"/>
  <c r="AC345" i="13"/>
  <c r="AB345" i="13"/>
  <c r="AA345" i="13"/>
  <c r="Z345" i="13"/>
  <c r="Y345" i="13"/>
  <c r="X345" i="13"/>
  <c r="W345" i="13"/>
  <c r="V345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AE344" i="13"/>
  <c r="AC344" i="13"/>
  <c r="AB344" i="13"/>
  <c r="AA344" i="13"/>
  <c r="Z344" i="13"/>
  <c r="Y344" i="13"/>
  <c r="X344" i="13"/>
  <c r="W344" i="13"/>
  <c r="V344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AD344" i="13"/>
  <c r="AE343" i="13"/>
  <c r="AC343" i="13"/>
  <c r="AB343" i="13"/>
  <c r="AA343" i="13"/>
  <c r="Z343" i="13"/>
  <c r="Y343" i="13"/>
  <c r="X343" i="13"/>
  <c r="W343" i="13"/>
  <c r="V343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AD343" i="13"/>
  <c r="AE342" i="13"/>
  <c r="AC342" i="13"/>
  <c r="AB342" i="13"/>
  <c r="AA342" i="13"/>
  <c r="Z342" i="13"/>
  <c r="Y342" i="13"/>
  <c r="X342" i="13"/>
  <c r="W342" i="13"/>
  <c r="V342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AD342" i="13"/>
  <c r="AE341" i="13"/>
  <c r="AC341" i="13"/>
  <c r="AB341" i="13"/>
  <c r="AA341" i="13"/>
  <c r="Z341" i="13"/>
  <c r="Y341" i="13"/>
  <c r="X341" i="13"/>
  <c r="W341" i="13"/>
  <c r="V341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AD341" i="13"/>
  <c r="AE340" i="13"/>
  <c r="AC340" i="13"/>
  <c r="AB340" i="13"/>
  <c r="AA340" i="13"/>
  <c r="Z340" i="13"/>
  <c r="Y340" i="13"/>
  <c r="X340" i="13"/>
  <c r="W340" i="13"/>
  <c r="V340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AD340" i="13"/>
  <c r="AE339" i="13"/>
  <c r="AC339" i="13"/>
  <c r="AB339" i="13"/>
  <c r="AA339" i="13"/>
  <c r="Z339" i="13"/>
  <c r="Y339" i="13"/>
  <c r="X339" i="13"/>
  <c r="W339" i="13"/>
  <c r="V339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AD339" i="13"/>
  <c r="AE338" i="13"/>
  <c r="AC338" i="13"/>
  <c r="AB338" i="13"/>
  <c r="AA338" i="13"/>
  <c r="Z338" i="13"/>
  <c r="Y338" i="13"/>
  <c r="X338" i="13"/>
  <c r="W338" i="13"/>
  <c r="V338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AD338" i="13"/>
  <c r="AE337" i="13"/>
  <c r="AC337" i="13"/>
  <c r="AB337" i="13"/>
  <c r="AA337" i="13"/>
  <c r="Z337" i="13"/>
  <c r="Y337" i="13"/>
  <c r="X337" i="13"/>
  <c r="W337" i="13"/>
  <c r="V337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AD337" i="13"/>
  <c r="AE336" i="13"/>
  <c r="AC336" i="13"/>
  <c r="AB336" i="13"/>
  <c r="AA336" i="13"/>
  <c r="Z336" i="13"/>
  <c r="Y336" i="13"/>
  <c r="X336" i="13"/>
  <c r="W336" i="13"/>
  <c r="V336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AD336" i="13"/>
  <c r="AE335" i="13"/>
  <c r="AC335" i="13"/>
  <c r="AB335" i="13"/>
  <c r="AA335" i="13"/>
  <c r="Z335" i="13"/>
  <c r="Y335" i="13"/>
  <c r="X335" i="13"/>
  <c r="W335" i="13"/>
  <c r="V335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AD335" i="13"/>
  <c r="AE334" i="13"/>
  <c r="AC334" i="13"/>
  <c r="AB334" i="13"/>
  <c r="AA334" i="13"/>
  <c r="Z334" i="13"/>
  <c r="Y334" i="13"/>
  <c r="X334" i="13"/>
  <c r="W334" i="13"/>
  <c r="V334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AD334" i="13"/>
  <c r="AE333" i="13"/>
  <c r="AC333" i="13"/>
  <c r="AB333" i="13"/>
  <c r="AA333" i="13"/>
  <c r="Z333" i="13"/>
  <c r="Y333" i="13"/>
  <c r="X333" i="13"/>
  <c r="W333" i="13"/>
  <c r="V333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AD333" i="13"/>
  <c r="AE332" i="13"/>
  <c r="AC332" i="13"/>
  <c r="AB332" i="13"/>
  <c r="AA332" i="13"/>
  <c r="Z332" i="13"/>
  <c r="Y332" i="13"/>
  <c r="X332" i="13"/>
  <c r="W332" i="13"/>
  <c r="V332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AD332" i="13"/>
  <c r="AE331" i="13"/>
  <c r="AC331" i="13"/>
  <c r="AB331" i="13"/>
  <c r="AA331" i="13"/>
  <c r="Z331" i="13"/>
  <c r="Y331" i="13"/>
  <c r="X331" i="13"/>
  <c r="W331" i="13"/>
  <c r="V331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AD331" i="13"/>
  <c r="AE330" i="13"/>
  <c r="AC330" i="13"/>
  <c r="AB330" i="13"/>
  <c r="AA330" i="13"/>
  <c r="Z330" i="13"/>
  <c r="Y330" i="13"/>
  <c r="X330" i="13"/>
  <c r="W330" i="13"/>
  <c r="V330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AD330" i="13"/>
  <c r="AE329" i="13"/>
  <c r="AC329" i="13"/>
  <c r="AB329" i="13"/>
  <c r="AA329" i="13"/>
  <c r="Z329" i="13"/>
  <c r="Y329" i="13"/>
  <c r="X329" i="13"/>
  <c r="W329" i="13"/>
  <c r="V329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AD329" i="13"/>
  <c r="AE328" i="13"/>
  <c r="AC328" i="13"/>
  <c r="AB328" i="13"/>
  <c r="AA328" i="13"/>
  <c r="Z328" i="13"/>
  <c r="Y328" i="13"/>
  <c r="X328" i="13"/>
  <c r="W328" i="13"/>
  <c r="V328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AD328" i="13"/>
  <c r="AE327" i="13"/>
  <c r="AC327" i="13"/>
  <c r="AB327" i="13"/>
  <c r="AA327" i="13"/>
  <c r="Z327" i="13"/>
  <c r="Y327" i="13"/>
  <c r="X327" i="13"/>
  <c r="W327" i="13"/>
  <c r="V327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AD327" i="13"/>
  <c r="AE326" i="13"/>
  <c r="AC326" i="13"/>
  <c r="AB326" i="13"/>
  <c r="AA326" i="13"/>
  <c r="Z326" i="13"/>
  <c r="Y326" i="13"/>
  <c r="X326" i="13"/>
  <c r="W326" i="13"/>
  <c r="V326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AD326" i="13"/>
  <c r="AE325" i="13"/>
  <c r="AC325" i="13"/>
  <c r="AB325" i="13"/>
  <c r="AA325" i="13"/>
  <c r="Z325" i="13"/>
  <c r="Y325" i="13"/>
  <c r="X325" i="13"/>
  <c r="W325" i="13"/>
  <c r="V325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AD325" i="13"/>
  <c r="AE324" i="13"/>
  <c r="AC324" i="13"/>
  <c r="AB324" i="13"/>
  <c r="AA324" i="13"/>
  <c r="Z324" i="13"/>
  <c r="Y324" i="13"/>
  <c r="X324" i="13"/>
  <c r="W324" i="13"/>
  <c r="V324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AD324" i="13"/>
  <c r="AE323" i="13"/>
  <c r="AC323" i="13"/>
  <c r="AB323" i="13"/>
  <c r="AA323" i="13"/>
  <c r="Z323" i="13"/>
  <c r="Y323" i="13"/>
  <c r="X323" i="13"/>
  <c r="W323" i="13"/>
  <c r="V323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AD323" i="13"/>
  <c r="AE322" i="13"/>
  <c r="AC322" i="13"/>
  <c r="AB322" i="13"/>
  <c r="AA322" i="13"/>
  <c r="Z322" i="13"/>
  <c r="Y322" i="13"/>
  <c r="X322" i="13"/>
  <c r="W322" i="13"/>
  <c r="V322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AD322" i="13"/>
  <c r="AE321" i="13"/>
  <c r="AC321" i="13"/>
  <c r="AB321" i="13"/>
  <c r="AA321" i="13"/>
  <c r="Z321" i="13"/>
  <c r="Y321" i="13"/>
  <c r="X321" i="13"/>
  <c r="W321" i="13"/>
  <c r="V321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AD321" i="13"/>
  <c r="AE320" i="13"/>
  <c r="AC320" i="13"/>
  <c r="AB320" i="13"/>
  <c r="AA320" i="13"/>
  <c r="Z320" i="13"/>
  <c r="Y320" i="13"/>
  <c r="X320" i="13"/>
  <c r="W320" i="13"/>
  <c r="V320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AD320" i="13"/>
  <c r="AE319" i="13"/>
  <c r="AC319" i="13"/>
  <c r="AB319" i="13"/>
  <c r="AA319" i="13"/>
  <c r="Z319" i="13"/>
  <c r="Y319" i="13"/>
  <c r="X319" i="13"/>
  <c r="W319" i="13"/>
  <c r="V319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AD319" i="13"/>
  <c r="AE318" i="13"/>
  <c r="AC318" i="13"/>
  <c r="AB318" i="13"/>
  <c r="AA318" i="13"/>
  <c r="Z318" i="13"/>
  <c r="Y318" i="13"/>
  <c r="X318" i="13"/>
  <c r="W318" i="13"/>
  <c r="V318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AD318" i="13"/>
  <c r="AE317" i="13"/>
  <c r="AC317" i="13"/>
  <c r="AB317" i="13"/>
  <c r="AA317" i="13"/>
  <c r="Z317" i="13"/>
  <c r="Y317" i="13"/>
  <c r="X317" i="13"/>
  <c r="W317" i="13"/>
  <c r="V317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AD317" i="13"/>
  <c r="AE316" i="13"/>
  <c r="AC316" i="13"/>
  <c r="AB316" i="13"/>
  <c r="AA316" i="13"/>
  <c r="Z316" i="13"/>
  <c r="Y316" i="13"/>
  <c r="X316" i="13"/>
  <c r="W316" i="13"/>
  <c r="V316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AD316" i="13"/>
  <c r="AE315" i="13"/>
  <c r="AC315" i="13"/>
  <c r="AB315" i="13"/>
  <c r="AA315" i="13"/>
  <c r="Z315" i="13"/>
  <c r="Y315" i="13"/>
  <c r="X315" i="13"/>
  <c r="W315" i="13"/>
  <c r="V315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AD315" i="13"/>
  <c r="AE314" i="13"/>
  <c r="AC314" i="13"/>
  <c r="AB314" i="13"/>
  <c r="AA314" i="13"/>
  <c r="Z314" i="13"/>
  <c r="Y314" i="13"/>
  <c r="X314" i="13"/>
  <c r="W314" i="13"/>
  <c r="V314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AD314" i="13"/>
  <c r="AE313" i="13"/>
  <c r="AC313" i="13"/>
  <c r="AB313" i="13"/>
  <c r="AA313" i="13"/>
  <c r="Z313" i="13"/>
  <c r="Y313" i="13"/>
  <c r="X313" i="13"/>
  <c r="W313" i="13"/>
  <c r="V313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AD313" i="13"/>
  <c r="AE312" i="13"/>
  <c r="AC312" i="13"/>
  <c r="AB312" i="13"/>
  <c r="AA312" i="13"/>
  <c r="Z312" i="13"/>
  <c r="Y312" i="13"/>
  <c r="X312" i="13"/>
  <c r="W312" i="13"/>
  <c r="V312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AD312" i="13"/>
  <c r="AE311" i="13"/>
  <c r="AC311" i="13"/>
  <c r="AB311" i="13"/>
  <c r="AA311" i="13"/>
  <c r="Z311" i="13"/>
  <c r="Y311" i="13"/>
  <c r="X311" i="13"/>
  <c r="W311" i="13"/>
  <c r="V311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AE310" i="13"/>
  <c r="AC310" i="13"/>
  <c r="AB310" i="13"/>
  <c r="AA310" i="13"/>
  <c r="Z310" i="13"/>
  <c r="Y310" i="13"/>
  <c r="X310" i="13"/>
  <c r="W310" i="13"/>
  <c r="V310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AD310" i="13" s="1"/>
  <c r="AE309" i="13"/>
  <c r="AC309" i="13"/>
  <c r="AB309" i="13"/>
  <c r="AA309" i="13"/>
  <c r="Z309" i="13"/>
  <c r="Y309" i="13"/>
  <c r="X309" i="13"/>
  <c r="W309" i="13"/>
  <c r="V309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AD309" i="13" s="1"/>
  <c r="AE308" i="13"/>
  <c r="AC308" i="13"/>
  <c r="AB308" i="13"/>
  <c r="AA308" i="13"/>
  <c r="Z308" i="13"/>
  <c r="Y308" i="13"/>
  <c r="X308" i="13"/>
  <c r="W308" i="13"/>
  <c r="V308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AD308" i="13" s="1"/>
  <c r="AE307" i="13"/>
  <c r="AC307" i="13"/>
  <c r="AB307" i="13"/>
  <c r="AA307" i="13"/>
  <c r="Z307" i="13"/>
  <c r="Y307" i="13"/>
  <c r="X307" i="13"/>
  <c r="W307" i="13"/>
  <c r="V307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AD307" i="13" s="1"/>
  <c r="AE306" i="13"/>
  <c r="AC306" i="13"/>
  <c r="AB306" i="13"/>
  <c r="AA306" i="13"/>
  <c r="Z306" i="13"/>
  <c r="Y306" i="13"/>
  <c r="X306" i="13"/>
  <c r="W306" i="13"/>
  <c r="V306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AD306" i="13" s="1"/>
  <c r="AE305" i="13"/>
  <c r="AC305" i="13"/>
  <c r="AB305" i="13"/>
  <c r="AA305" i="13"/>
  <c r="Z305" i="13"/>
  <c r="Y305" i="13"/>
  <c r="X305" i="13"/>
  <c r="W305" i="13"/>
  <c r="V305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AD305" i="13" s="1"/>
  <c r="AE304" i="13"/>
  <c r="AC304" i="13"/>
  <c r="AB304" i="13"/>
  <c r="AA304" i="13"/>
  <c r="Z304" i="13"/>
  <c r="Y304" i="13"/>
  <c r="X304" i="13"/>
  <c r="W304" i="13"/>
  <c r="V304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AD304" i="13" s="1"/>
  <c r="AE303" i="13"/>
  <c r="AC303" i="13"/>
  <c r="AB303" i="13"/>
  <c r="AA303" i="13"/>
  <c r="Z303" i="13"/>
  <c r="Y303" i="13"/>
  <c r="X303" i="13"/>
  <c r="W303" i="13"/>
  <c r="V303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AE302" i="13"/>
  <c r="AC302" i="13"/>
  <c r="AB302" i="13"/>
  <c r="AA302" i="13"/>
  <c r="Z302" i="13"/>
  <c r="Y302" i="13"/>
  <c r="X302" i="13"/>
  <c r="W302" i="13"/>
  <c r="V302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AD302" i="13"/>
  <c r="AE301" i="13"/>
  <c r="AC301" i="13"/>
  <c r="AB301" i="13"/>
  <c r="AA301" i="13"/>
  <c r="Z301" i="13"/>
  <c r="Y301" i="13"/>
  <c r="X301" i="13"/>
  <c r="W301" i="13"/>
  <c r="V301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AD301" i="13"/>
  <c r="AE300" i="13"/>
  <c r="AC300" i="13"/>
  <c r="AB300" i="13"/>
  <c r="AA300" i="13"/>
  <c r="Z300" i="13"/>
  <c r="Y300" i="13"/>
  <c r="X300" i="13"/>
  <c r="W300" i="13"/>
  <c r="V300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AD300" i="13"/>
  <c r="AE299" i="13"/>
  <c r="AC299" i="13"/>
  <c r="AB299" i="13"/>
  <c r="AA299" i="13"/>
  <c r="Z299" i="13"/>
  <c r="Y299" i="13"/>
  <c r="X299" i="13"/>
  <c r="W299" i="13"/>
  <c r="V299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AD299" i="13"/>
  <c r="AE298" i="13"/>
  <c r="AC298" i="13"/>
  <c r="AB298" i="13"/>
  <c r="AA298" i="13"/>
  <c r="Z298" i="13"/>
  <c r="Y298" i="13"/>
  <c r="X298" i="13"/>
  <c r="W298" i="13"/>
  <c r="V298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AD298" i="13"/>
  <c r="AE297" i="13"/>
  <c r="AC297" i="13"/>
  <c r="AB297" i="13"/>
  <c r="AA297" i="13"/>
  <c r="Z297" i="13"/>
  <c r="Y297" i="13"/>
  <c r="X297" i="13"/>
  <c r="W297" i="13"/>
  <c r="V297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AD297" i="13"/>
  <c r="AE296" i="13"/>
  <c r="AC296" i="13"/>
  <c r="AB296" i="13"/>
  <c r="AA296" i="13"/>
  <c r="Z296" i="13"/>
  <c r="Y296" i="13"/>
  <c r="X296" i="13"/>
  <c r="W296" i="13"/>
  <c r="V296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AD296" i="13"/>
  <c r="AE295" i="13"/>
  <c r="AC295" i="13"/>
  <c r="AB295" i="13"/>
  <c r="AA295" i="13"/>
  <c r="Z295" i="13"/>
  <c r="Y295" i="13"/>
  <c r="X295" i="13"/>
  <c r="W295" i="13"/>
  <c r="V295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AD295" i="13"/>
  <c r="AE294" i="13"/>
  <c r="AC294" i="13"/>
  <c r="AB294" i="13"/>
  <c r="AA294" i="13"/>
  <c r="Z294" i="13"/>
  <c r="Y294" i="13"/>
  <c r="X294" i="13"/>
  <c r="W294" i="13"/>
  <c r="V294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AD294" i="13"/>
  <c r="AE293" i="13"/>
  <c r="AC293" i="13"/>
  <c r="AB293" i="13"/>
  <c r="AA293" i="13"/>
  <c r="Z293" i="13"/>
  <c r="Y293" i="13"/>
  <c r="X293" i="13"/>
  <c r="W293" i="13"/>
  <c r="V293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AD293" i="13"/>
  <c r="AE292" i="13"/>
  <c r="AC292" i="13"/>
  <c r="AB292" i="13"/>
  <c r="AA292" i="13"/>
  <c r="Z292" i="13"/>
  <c r="Y292" i="13"/>
  <c r="X292" i="13"/>
  <c r="W292" i="13"/>
  <c r="V292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AD292" i="13"/>
  <c r="AE291" i="13"/>
  <c r="AC291" i="13"/>
  <c r="AB291" i="13"/>
  <c r="AA291" i="13"/>
  <c r="Z291" i="13"/>
  <c r="Y291" i="13"/>
  <c r="X291" i="13"/>
  <c r="W291" i="13"/>
  <c r="V291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AE290" i="13"/>
  <c r="AC290" i="13"/>
  <c r="AB290" i="13"/>
  <c r="AA290" i="13"/>
  <c r="Z290" i="13"/>
  <c r="Y290" i="13"/>
  <c r="X290" i="13"/>
  <c r="W290" i="13"/>
  <c r="V290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AD290" i="13" s="1"/>
  <c r="AE289" i="13"/>
  <c r="AC289" i="13"/>
  <c r="AB289" i="13"/>
  <c r="AA289" i="13"/>
  <c r="Z289" i="13"/>
  <c r="Y289" i="13"/>
  <c r="X289" i="13"/>
  <c r="W289" i="13"/>
  <c r="V289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AD289" i="13" s="1"/>
  <c r="AE288" i="13"/>
  <c r="AC288" i="13"/>
  <c r="AB288" i="13"/>
  <c r="AA288" i="13"/>
  <c r="Z288" i="13"/>
  <c r="Y288" i="13"/>
  <c r="X288" i="13"/>
  <c r="W288" i="13"/>
  <c r="V288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AD288" i="13" s="1"/>
  <c r="AE287" i="13"/>
  <c r="AC287" i="13"/>
  <c r="AB287" i="13"/>
  <c r="AA287" i="13"/>
  <c r="Z287" i="13"/>
  <c r="Y287" i="13"/>
  <c r="X287" i="13"/>
  <c r="W287" i="13"/>
  <c r="V287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AD287" i="13" s="1"/>
  <c r="AE286" i="13"/>
  <c r="AC286" i="13"/>
  <c r="AB286" i="13"/>
  <c r="AA286" i="13"/>
  <c r="Z286" i="13"/>
  <c r="Y286" i="13"/>
  <c r="X286" i="13"/>
  <c r="W286" i="13"/>
  <c r="V286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AD286" i="13" s="1"/>
  <c r="AE285" i="13"/>
  <c r="AC285" i="13"/>
  <c r="AB285" i="13"/>
  <c r="AA285" i="13"/>
  <c r="Z285" i="13"/>
  <c r="Y285" i="13"/>
  <c r="X285" i="13"/>
  <c r="W285" i="13"/>
  <c r="V285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AD285" i="13" s="1"/>
  <c r="AE284" i="13"/>
  <c r="AC284" i="13"/>
  <c r="AB284" i="13"/>
  <c r="AA284" i="13"/>
  <c r="Z284" i="13"/>
  <c r="Y284" i="13"/>
  <c r="X284" i="13"/>
  <c r="W284" i="13"/>
  <c r="V284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AD284" i="13" s="1"/>
  <c r="AE283" i="13"/>
  <c r="AC283" i="13"/>
  <c r="AB283" i="13"/>
  <c r="AA283" i="13"/>
  <c r="Z283" i="13"/>
  <c r="Y283" i="13"/>
  <c r="X283" i="13"/>
  <c r="W283" i="13"/>
  <c r="V283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AE282" i="13"/>
  <c r="AC282" i="13"/>
  <c r="AB282" i="13"/>
  <c r="AA282" i="13"/>
  <c r="Z282" i="13"/>
  <c r="Y282" i="13"/>
  <c r="X282" i="13"/>
  <c r="W282" i="13"/>
  <c r="V282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AD282" i="13"/>
  <c r="AE281" i="13"/>
  <c r="AC281" i="13"/>
  <c r="AB281" i="13"/>
  <c r="AA281" i="13"/>
  <c r="Z281" i="13"/>
  <c r="Y281" i="13"/>
  <c r="X281" i="13"/>
  <c r="W281" i="13"/>
  <c r="V281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AE280" i="13"/>
  <c r="AC280" i="13"/>
  <c r="AB280" i="13"/>
  <c r="AA280" i="13"/>
  <c r="Z280" i="13"/>
  <c r="Y280" i="13"/>
  <c r="X280" i="13"/>
  <c r="W280" i="13"/>
  <c r="V280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AD280" i="13" s="1"/>
  <c r="AE279" i="13"/>
  <c r="AC279" i="13"/>
  <c r="AB279" i="13"/>
  <c r="AA279" i="13"/>
  <c r="Z279" i="13"/>
  <c r="Y279" i="13"/>
  <c r="X279" i="13"/>
  <c r="W279" i="13"/>
  <c r="V279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AE278" i="13"/>
  <c r="AC278" i="13"/>
  <c r="AB278" i="13"/>
  <c r="AA278" i="13"/>
  <c r="Z278" i="13"/>
  <c r="Y278" i="13"/>
  <c r="X278" i="13"/>
  <c r="W278" i="13"/>
  <c r="V278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AD278" i="13"/>
  <c r="AE277" i="13"/>
  <c r="AC277" i="13"/>
  <c r="AB277" i="13"/>
  <c r="AA277" i="13"/>
  <c r="Z277" i="13"/>
  <c r="Y277" i="13"/>
  <c r="X277" i="13"/>
  <c r="W277" i="13"/>
  <c r="V277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AE276" i="13"/>
  <c r="AC276" i="13"/>
  <c r="AB276" i="13"/>
  <c r="AA276" i="13"/>
  <c r="Z276" i="13"/>
  <c r="Y276" i="13"/>
  <c r="X276" i="13"/>
  <c r="W276" i="13"/>
  <c r="V276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AD276" i="13" s="1"/>
  <c r="AE275" i="13"/>
  <c r="AC275" i="13"/>
  <c r="AB275" i="13"/>
  <c r="AA275" i="13"/>
  <c r="Z275" i="13"/>
  <c r="Y275" i="13"/>
  <c r="X275" i="13"/>
  <c r="W275" i="13"/>
  <c r="V275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AD275" i="13" s="1"/>
  <c r="AE274" i="13"/>
  <c r="AC274" i="13"/>
  <c r="AB274" i="13"/>
  <c r="AA274" i="13"/>
  <c r="Z274" i="13"/>
  <c r="Y274" i="13"/>
  <c r="X274" i="13"/>
  <c r="W274" i="13"/>
  <c r="V274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AD274" i="13" s="1"/>
  <c r="AE273" i="13"/>
  <c r="AC273" i="13"/>
  <c r="AB273" i="13"/>
  <c r="AA273" i="13"/>
  <c r="Z273" i="13"/>
  <c r="Y273" i="13"/>
  <c r="X273" i="13"/>
  <c r="W273" i="13"/>
  <c r="V273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AD273" i="13" s="1"/>
  <c r="AE272" i="13"/>
  <c r="AC272" i="13"/>
  <c r="AB272" i="13"/>
  <c r="AA272" i="13"/>
  <c r="Z272" i="13"/>
  <c r="Y272" i="13"/>
  <c r="X272" i="13"/>
  <c r="W272" i="13"/>
  <c r="V272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AD272" i="13" s="1"/>
  <c r="AE271" i="13"/>
  <c r="AC271" i="13"/>
  <c r="AB271" i="13"/>
  <c r="AA271" i="13"/>
  <c r="Z271" i="13"/>
  <c r="Y271" i="13"/>
  <c r="X271" i="13"/>
  <c r="W271" i="13"/>
  <c r="V271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AE270" i="13"/>
  <c r="AC270" i="13"/>
  <c r="AB270" i="13"/>
  <c r="AA270" i="13"/>
  <c r="Z270" i="13"/>
  <c r="Y270" i="13"/>
  <c r="X270" i="13"/>
  <c r="W270" i="13"/>
  <c r="V270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AD270" i="13"/>
  <c r="AE269" i="13"/>
  <c r="AC269" i="13"/>
  <c r="AB269" i="13"/>
  <c r="AA269" i="13"/>
  <c r="Z269" i="13"/>
  <c r="Y269" i="13"/>
  <c r="X269" i="13"/>
  <c r="W269" i="13"/>
  <c r="V269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AD269" i="13"/>
  <c r="AE268" i="13"/>
  <c r="AC268" i="13"/>
  <c r="AB268" i="13"/>
  <c r="AA268" i="13"/>
  <c r="Z268" i="13"/>
  <c r="Y268" i="13"/>
  <c r="X268" i="13"/>
  <c r="W268" i="13"/>
  <c r="V268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AD268" i="13"/>
  <c r="AE267" i="13"/>
  <c r="AC267" i="13"/>
  <c r="AB267" i="13"/>
  <c r="AA267" i="13"/>
  <c r="Z267" i="13"/>
  <c r="Y267" i="13"/>
  <c r="X267" i="13"/>
  <c r="W267" i="13"/>
  <c r="V267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AD267" i="13"/>
  <c r="AE266" i="13"/>
  <c r="AC266" i="13"/>
  <c r="AB266" i="13"/>
  <c r="AA266" i="13"/>
  <c r="Z266" i="13"/>
  <c r="Y266" i="13"/>
  <c r="X266" i="13"/>
  <c r="W266" i="13"/>
  <c r="V266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AD266" i="13"/>
  <c r="AE265" i="13"/>
  <c r="AC265" i="13"/>
  <c r="AB265" i="13"/>
  <c r="AA265" i="13"/>
  <c r="Z265" i="13"/>
  <c r="Y265" i="13"/>
  <c r="X265" i="13"/>
  <c r="W265" i="13"/>
  <c r="V265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AD265" i="13"/>
  <c r="AE264" i="13"/>
  <c r="AC264" i="13"/>
  <c r="AB264" i="13"/>
  <c r="AA264" i="13"/>
  <c r="Z264" i="13"/>
  <c r="Y264" i="13"/>
  <c r="X264" i="13"/>
  <c r="W264" i="13"/>
  <c r="V264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AD264" i="13"/>
  <c r="AE263" i="13"/>
  <c r="AC263" i="13"/>
  <c r="AB263" i="13"/>
  <c r="AA263" i="13"/>
  <c r="Z263" i="13"/>
  <c r="Y263" i="13"/>
  <c r="X263" i="13"/>
  <c r="W263" i="13"/>
  <c r="V263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AD263" i="13"/>
  <c r="AE262" i="13"/>
  <c r="AC262" i="13"/>
  <c r="AB262" i="13"/>
  <c r="AA262" i="13"/>
  <c r="Z262" i="13"/>
  <c r="Y262" i="13"/>
  <c r="X262" i="13"/>
  <c r="W262" i="13"/>
  <c r="V262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AD262" i="13"/>
  <c r="AE261" i="13"/>
  <c r="AC261" i="13"/>
  <c r="AB261" i="13"/>
  <c r="AA261" i="13"/>
  <c r="Z261" i="13"/>
  <c r="Y261" i="13"/>
  <c r="X261" i="13"/>
  <c r="W261" i="13"/>
  <c r="V261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AD261" i="13"/>
  <c r="AE260" i="13"/>
  <c r="AC260" i="13"/>
  <c r="AB260" i="13"/>
  <c r="AA260" i="13"/>
  <c r="Z260" i="13"/>
  <c r="Y260" i="13"/>
  <c r="X260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AD260" i="13"/>
  <c r="AE259" i="13"/>
  <c r="AC259" i="13"/>
  <c r="AB259" i="13"/>
  <c r="AA259" i="13"/>
  <c r="Z259" i="13"/>
  <c r="Y259" i="13"/>
  <c r="X259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AD259" i="13"/>
  <c r="AE258" i="13"/>
  <c r="AC258" i="13"/>
  <c r="AB258" i="13"/>
  <c r="AA258" i="13"/>
  <c r="Z258" i="13"/>
  <c r="Y258" i="13"/>
  <c r="X258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AD258" i="13"/>
  <c r="AE257" i="13"/>
  <c r="AC257" i="13"/>
  <c r="AB257" i="13"/>
  <c r="AA257" i="13"/>
  <c r="Z257" i="13"/>
  <c r="Y257" i="13"/>
  <c r="X257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AD257" i="13"/>
  <c r="AE256" i="13"/>
  <c r="AC256" i="13"/>
  <c r="AB256" i="13"/>
  <c r="AA256" i="13"/>
  <c r="Z256" i="13"/>
  <c r="Y256" i="13"/>
  <c r="X256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AD256" i="13"/>
  <c r="AE255" i="13"/>
  <c r="AC255" i="13"/>
  <c r="AB255" i="13"/>
  <c r="AA255" i="13"/>
  <c r="Z255" i="13"/>
  <c r="Y255" i="13"/>
  <c r="X255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AE254" i="13"/>
  <c r="AC254" i="13"/>
  <c r="AB254" i="13"/>
  <c r="AA254" i="13"/>
  <c r="Z254" i="13"/>
  <c r="Y254" i="13"/>
  <c r="X254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AD254" i="13" s="1"/>
  <c r="AE253" i="13"/>
  <c r="AC253" i="13"/>
  <c r="AB253" i="13"/>
  <c r="AA253" i="13"/>
  <c r="Z253" i="13"/>
  <c r="Y253" i="13"/>
  <c r="X253" i="13"/>
  <c r="W253" i="13"/>
  <c r="V253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AD253" i="13" s="1"/>
  <c r="AE252" i="13"/>
  <c r="AC252" i="13"/>
  <c r="AB252" i="13"/>
  <c r="AA252" i="13"/>
  <c r="Z252" i="13"/>
  <c r="Y252" i="13"/>
  <c r="X252" i="13"/>
  <c r="W252" i="13"/>
  <c r="V252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AD252" i="13" s="1"/>
  <c r="AE251" i="13"/>
  <c r="AC251" i="13"/>
  <c r="AB251" i="13"/>
  <c r="AA251" i="13"/>
  <c r="Z251" i="13"/>
  <c r="Y251" i="13"/>
  <c r="X251" i="13"/>
  <c r="W251" i="13"/>
  <c r="V251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AD251" i="13" s="1"/>
  <c r="AE250" i="13"/>
  <c r="AC250" i="13"/>
  <c r="AB250" i="13"/>
  <c r="AA250" i="13"/>
  <c r="Z250" i="13"/>
  <c r="Y250" i="13"/>
  <c r="X250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AD250" i="13" s="1"/>
  <c r="AE249" i="13"/>
  <c r="AC249" i="13"/>
  <c r="AB249" i="13"/>
  <c r="AA249" i="13"/>
  <c r="Z249" i="13"/>
  <c r="Y249" i="13"/>
  <c r="X249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AD249" i="13" s="1"/>
  <c r="AE248" i="13"/>
  <c r="AC248" i="13"/>
  <c r="AB248" i="13"/>
  <c r="AA248" i="13"/>
  <c r="Z248" i="13"/>
  <c r="Y248" i="13"/>
  <c r="X248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AD248" i="13" s="1"/>
  <c r="AE247" i="13"/>
  <c r="AC247" i="13"/>
  <c r="AB247" i="13"/>
  <c r="AA247" i="13"/>
  <c r="Z247" i="13"/>
  <c r="Y247" i="13"/>
  <c r="X247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AD247" i="13" s="1"/>
  <c r="AE246" i="13"/>
  <c r="AC246" i="13"/>
  <c r="AB246" i="13"/>
  <c r="AA246" i="13"/>
  <c r="Z246" i="13"/>
  <c r="Y246" i="13"/>
  <c r="X246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AD246" i="13" s="1"/>
  <c r="AE245" i="13"/>
  <c r="AC245" i="13"/>
  <c r="AB245" i="13"/>
  <c r="AA245" i="13"/>
  <c r="Z245" i="13"/>
  <c r="Y245" i="13"/>
  <c r="X245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AE244" i="13"/>
  <c r="AC244" i="13"/>
  <c r="AB244" i="13"/>
  <c r="AA244" i="13"/>
  <c r="Z244" i="13"/>
  <c r="Y244" i="13"/>
  <c r="X244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AD244" i="13"/>
  <c r="AE243" i="13"/>
  <c r="AC243" i="13"/>
  <c r="AB243" i="13"/>
  <c r="AA243" i="13"/>
  <c r="Z243" i="13"/>
  <c r="Y243" i="13"/>
  <c r="X243" i="13"/>
  <c r="W243" i="13"/>
  <c r="V243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AD243" i="13"/>
  <c r="AE242" i="13"/>
  <c r="AC242" i="13"/>
  <c r="AB242" i="13"/>
  <c r="AA242" i="13"/>
  <c r="Z242" i="13"/>
  <c r="Y242" i="13"/>
  <c r="X242" i="13"/>
  <c r="W242" i="13"/>
  <c r="V242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AD242" i="13"/>
  <c r="AE241" i="13"/>
  <c r="AC241" i="13"/>
  <c r="AB241" i="13"/>
  <c r="AA241" i="13"/>
  <c r="Z241" i="13"/>
  <c r="Y241" i="13"/>
  <c r="X241" i="13"/>
  <c r="W241" i="13"/>
  <c r="V241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AE240" i="13"/>
  <c r="AC240" i="13"/>
  <c r="AB240" i="13"/>
  <c r="AA240" i="13"/>
  <c r="Z240" i="13"/>
  <c r="Y240" i="13"/>
  <c r="X240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AD240" i="13" s="1"/>
  <c r="AE239" i="13"/>
  <c r="AC239" i="13"/>
  <c r="AB239" i="13"/>
  <c r="AA239" i="13"/>
  <c r="Z239" i="13"/>
  <c r="Y239" i="13"/>
  <c r="X239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AD239" i="13" s="1"/>
  <c r="AE238" i="13"/>
  <c r="AC238" i="13"/>
  <c r="AB238" i="13"/>
  <c r="AA238" i="13"/>
  <c r="Z238" i="13"/>
  <c r="Y238" i="13"/>
  <c r="X238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AD238" i="13" s="1"/>
  <c r="AE237" i="13"/>
  <c r="AC237" i="13"/>
  <c r="AB237" i="13"/>
  <c r="AA237" i="13"/>
  <c r="Z237" i="13"/>
  <c r="Y237" i="13"/>
  <c r="X237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AD237" i="13" s="1"/>
  <c r="AE236" i="13"/>
  <c r="AC236" i="13"/>
  <c r="AB236" i="13"/>
  <c r="AA236" i="13"/>
  <c r="Z236" i="13"/>
  <c r="Y236" i="13"/>
  <c r="X236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AD236" i="13" s="1"/>
  <c r="AE235" i="13"/>
  <c r="AC235" i="13"/>
  <c r="AB235" i="13"/>
  <c r="AA235" i="13"/>
  <c r="Z235" i="13"/>
  <c r="Y235" i="13"/>
  <c r="X235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AD235" i="13" s="1"/>
  <c r="AE234" i="13"/>
  <c r="AC234" i="13"/>
  <c r="AB234" i="13"/>
  <c r="AA234" i="13"/>
  <c r="Z234" i="13"/>
  <c r="Y234" i="13"/>
  <c r="X234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AD234" i="13" s="1"/>
  <c r="AE233" i="13"/>
  <c r="AC233" i="13"/>
  <c r="AB233" i="13"/>
  <c r="AA233" i="13"/>
  <c r="Z233" i="13"/>
  <c r="Y233" i="13"/>
  <c r="X233" i="13"/>
  <c r="W233" i="13"/>
  <c r="V233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AD233" i="13" s="1"/>
  <c r="AE232" i="13"/>
  <c r="AC232" i="13"/>
  <c r="AB232" i="13"/>
  <c r="AA232" i="13"/>
  <c r="Z232" i="13"/>
  <c r="Y232" i="13"/>
  <c r="X232" i="13"/>
  <c r="W232" i="13"/>
  <c r="V232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AD232" i="13" s="1"/>
  <c r="AE231" i="13"/>
  <c r="AC231" i="13"/>
  <c r="AB231" i="13"/>
  <c r="AA231" i="13"/>
  <c r="Z231" i="13"/>
  <c r="Y231" i="13"/>
  <c r="X231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AD231" i="13" s="1"/>
  <c r="AE230" i="13"/>
  <c r="AC230" i="13"/>
  <c r="AB230" i="13"/>
  <c r="AA230" i="13"/>
  <c r="Z230" i="13"/>
  <c r="Y230" i="13"/>
  <c r="X230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AD230" i="13" s="1"/>
  <c r="AE229" i="13"/>
  <c r="AC229" i="13"/>
  <c r="AB229" i="13"/>
  <c r="AA229" i="13"/>
  <c r="Z229" i="13"/>
  <c r="Y229" i="13"/>
  <c r="X229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AD229" i="13" s="1"/>
  <c r="AE228" i="13"/>
  <c r="AC228" i="13"/>
  <c r="AB228" i="13"/>
  <c r="AA228" i="13"/>
  <c r="Z228" i="13"/>
  <c r="Y228" i="13"/>
  <c r="X228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AD228" i="13" s="1"/>
  <c r="AE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AD227" i="13" s="1"/>
  <c r="AE226" i="13"/>
  <c r="AC226" i="13"/>
  <c r="AB226" i="13"/>
  <c r="AA226" i="13"/>
  <c r="Z226" i="13"/>
  <c r="Y226" i="13"/>
  <c r="X226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AD226" i="13" s="1"/>
  <c r="AE225" i="13"/>
  <c r="AC225" i="13"/>
  <c r="AB225" i="13"/>
  <c r="AA225" i="13"/>
  <c r="Z225" i="13"/>
  <c r="Y225" i="13"/>
  <c r="X225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AD225" i="13" s="1"/>
  <c r="AE224" i="13"/>
  <c r="AC224" i="13"/>
  <c r="AB224" i="13"/>
  <c r="AA224" i="13"/>
  <c r="Z224" i="13"/>
  <c r="Y224" i="13"/>
  <c r="X224" i="13"/>
  <c r="W224" i="13"/>
  <c r="V224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AD224" i="13" s="1"/>
  <c r="AE223" i="13"/>
  <c r="AC223" i="13"/>
  <c r="AB223" i="13"/>
  <c r="AA223" i="13"/>
  <c r="Z223" i="13"/>
  <c r="Y223" i="13"/>
  <c r="X223" i="13"/>
  <c r="W223" i="13"/>
  <c r="V223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AD223" i="13" s="1"/>
  <c r="AE222" i="13"/>
  <c r="AC222" i="13"/>
  <c r="AB222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AD222" i="13" s="1"/>
  <c r="AE221" i="13"/>
  <c r="AC221" i="13"/>
  <c r="AB221" i="13"/>
  <c r="AA221" i="13"/>
  <c r="Z221" i="13"/>
  <c r="Y221" i="13"/>
  <c r="X221" i="13"/>
  <c r="W221" i="13"/>
  <c r="V221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AD221" i="13" s="1"/>
  <c r="AE220" i="13"/>
  <c r="AC220" i="13"/>
  <c r="AB220" i="13"/>
  <c r="AA220" i="13"/>
  <c r="Z220" i="13"/>
  <c r="Y220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AD220" i="13" s="1"/>
  <c r="AE219" i="13"/>
  <c r="AC219" i="13"/>
  <c r="AB219" i="13"/>
  <c r="AA219" i="13"/>
  <c r="Z219" i="13"/>
  <c r="Y219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AD219" i="13" s="1"/>
  <c r="AE218" i="13"/>
  <c r="AC218" i="13"/>
  <c r="AB218" i="13"/>
  <c r="AA218" i="13"/>
  <c r="Z218" i="13"/>
  <c r="Y218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AD218" i="13" s="1"/>
  <c r="AE217" i="13"/>
  <c r="AC217" i="13"/>
  <c r="AB217" i="13"/>
  <c r="AA217" i="13"/>
  <c r="Z217" i="13"/>
  <c r="Y217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AD217" i="13" s="1"/>
  <c r="AE216" i="13"/>
  <c r="AC216" i="13"/>
  <c r="AB216" i="13"/>
  <c r="AA216" i="13"/>
  <c r="Z216" i="13"/>
  <c r="Y216" i="13"/>
  <c r="X216" i="13"/>
  <c r="W216" i="13"/>
  <c r="V216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AD216" i="13" s="1"/>
  <c r="AE215" i="13"/>
  <c r="AC215" i="13"/>
  <c r="AB215" i="13"/>
  <c r="AA215" i="13"/>
  <c r="Z215" i="13"/>
  <c r="Y215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AD215" i="13" s="1"/>
  <c r="AE214" i="13"/>
  <c r="AC214" i="13"/>
  <c r="AB214" i="13"/>
  <c r="AA214" i="13"/>
  <c r="Z214" i="13"/>
  <c r="Y214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AE213" i="13"/>
  <c r="AC213" i="13"/>
  <c r="AB213" i="13"/>
  <c r="AA213" i="13"/>
  <c r="Z213" i="13"/>
  <c r="Y213" i="13"/>
  <c r="X213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AD213" i="13"/>
  <c r="AE212" i="13"/>
  <c r="AC212" i="13"/>
  <c r="AB212" i="13"/>
  <c r="AA212" i="13"/>
  <c r="Z212" i="13"/>
  <c r="Y212" i="13"/>
  <c r="X212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AD212" i="13"/>
  <c r="AE211" i="13"/>
  <c r="AC211" i="13"/>
  <c r="AB211" i="13"/>
  <c r="AA211" i="13"/>
  <c r="Z211" i="13"/>
  <c r="Y211" i="13"/>
  <c r="X211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AD211" i="13"/>
  <c r="AE210" i="13"/>
  <c r="AC210" i="13"/>
  <c r="AB210" i="13"/>
  <c r="AA210" i="13"/>
  <c r="Z210" i="13"/>
  <c r="Y210" i="13"/>
  <c r="X210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AD210" i="13"/>
  <c r="AE209" i="13"/>
  <c r="AC209" i="13"/>
  <c r="AB209" i="13"/>
  <c r="AA209" i="13"/>
  <c r="Z209" i="13"/>
  <c r="Y209" i="13"/>
  <c r="X209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AD209" i="13"/>
  <c r="AE208" i="13"/>
  <c r="AC208" i="13"/>
  <c r="AB208" i="13"/>
  <c r="AA208" i="13"/>
  <c r="Z208" i="13"/>
  <c r="Y208" i="13"/>
  <c r="X208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AD208" i="13"/>
  <c r="AE207" i="13"/>
  <c r="AC207" i="13"/>
  <c r="AB207" i="13"/>
  <c r="AA207" i="13"/>
  <c r="Z207" i="13"/>
  <c r="Y207" i="13"/>
  <c r="X207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AD207" i="13"/>
  <c r="AE206" i="13"/>
  <c r="AC206" i="13"/>
  <c r="AB206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AD206" i="13"/>
  <c r="AE205" i="13"/>
  <c r="AC205" i="13"/>
  <c r="AB205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AD205" i="13"/>
  <c r="AE204" i="13"/>
  <c r="AC204" i="13"/>
  <c r="AB204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AD204" i="13"/>
  <c r="AE203" i="13"/>
  <c r="AC203" i="13"/>
  <c r="AB203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AE202" i="13"/>
  <c r="AC202" i="13"/>
  <c r="AB202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AD202" i="13" s="1"/>
  <c r="AE201" i="13"/>
  <c r="AC201" i="13"/>
  <c r="AB201" i="13"/>
  <c r="AA201" i="13"/>
  <c r="Z201" i="13"/>
  <c r="Y201" i="13"/>
  <c r="X201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AD201" i="13" s="1"/>
  <c r="AE200" i="13"/>
  <c r="AC200" i="13"/>
  <c r="AB200" i="13"/>
  <c r="AA200" i="13"/>
  <c r="Z200" i="13"/>
  <c r="Y200" i="13"/>
  <c r="X200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AD200" i="13" s="1"/>
  <c r="AE199" i="13"/>
  <c r="AC199" i="13"/>
  <c r="AB199" i="13"/>
  <c r="AA199" i="13"/>
  <c r="Z199" i="13"/>
  <c r="Y199" i="13"/>
  <c r="X199" i="13"/>
  <c r="W199" i="13"/>
  <c r="V199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AD199" i="13" s="1"/>
  <c r="AE198" i="13"/>
  <c r="AC198" i="13"/>
  <c r="AB198" i="13"/>
  <c r="AA198" i="13"/>
  <c r="Z198" i="13"/>
  <c r="Y198" i="13"/>
  <c r="X198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AD198" i="13" s="1"/>
  <c r="AE197" i="13"/>
  <c r="AC197" i="13"/>
  <c r="AB197" i="13"/>
  <c r="AA197" i="13"/>
  <c r="Z197" i="13"/>
  <c r="Y197" i="13"/>
  <c r="X197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AD197" i="13" s="1"/>
  <c r="AE196" i="13"/>
  <c r="AC196" i="13"/>
  <c r="AB196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AD196" i="13" s="1"/>
  <c r="AE195" i="13"/>
  <c r="AC195" i="13"/>
  <c r="AB195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AE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AD194" i="13"/>
  <c r="AE193" i="13"/>
  <c r="AC193" i="13"/>
  <c r="AB193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AE192" i="13"/>
  <c r="AC192" i="13"/>
  <c r="AB192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AD192" i="13" s="1"/>
  <c r="AE191" i="13"/>
  <c r="AC191" i="13"/>
  <c r="AB191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AE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AD190" i="13"/>
  <c r="AE189" i="13"/>
  <c r="AC189" i="13"/>
  <c r="AB189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AE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AD188" i="13" s="1"/>
  <c r="AE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AE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AD186" i="13"/>
  <c r="AE185" i="13"/>
  <c r="AC185" i="13"/>
  <c r="AB185" i="13"/>
  <c r="AA185" i="13"/>
  <c r="Z185" i="13"/>
  <c r="Y185" i="13"/>
  <c r="X185" i="13"/>
  <c r="W185" i="13"/>
  <c r="V185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AE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AD184" i="13" s="1"/>
  <c r="AE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AE182" i="13"/>
  <c r="AC182" i="13"/>
  <c r="AB182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AD182" i="13"/>
  <c r="AE181" i="13"/>
  <c r="AC181" i="13"/>
  <c r="AB181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AD181" i="13"/>
  <c r="AE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AD180" i="13"/>
  <c r="AE179" i="13"/>
  <c r="AC179" i="13"/>
  <c r="AB179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AE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AD178" i="13" s="1"/>
  <c r="AE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AD177" i="13" s="1"/>
  <c r="AE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AD176" i="13" s="1"/>
  <c r="AE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AE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AD174" i="13"/>
  <c r="AE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AE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AD172" i="13" s="1"/>
  <c r="AE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AD171" i="13" s="1"/>
  <c r="AE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AD170" i="13" s="1"/>
  <c r="AE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AE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AD168" i="13"/>
  <c r="AE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AD167" i="13"/>
  <c r="AE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AD166" i="13"/>
  <c r="AE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AD165" i="13"/>
  <c r="AE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AD164" i="13"/>
  <c r="AE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AD163" i="13"/>
  <c r="AE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AD162" i="13"/>
  <c r="AE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AD161" i="13"/>
  <c r="AE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AD160" i="13"/>
  <c r="AE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AE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AD158" i="13" s="1"/>
  <c r="AE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AD157" i="13" s="1"/>
  <c r="AE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AD156" i="13" s="1"/>
  <c r="AE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AD155" i="13" s="1"/>
  <c r="AE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AD154" i="13" s="1"/>
  <c r="AE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AD153" i="13" s="1"/>
  <c r="AE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AD152" i="13" s="1"/>
  <c r="AE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AE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AD150" i="13"/>
  <c r="AE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AD149" i="13"/>
  <c r="AE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AD148" i="13"/>
  <c r="AE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AD147" i="13"/>
  <c r="AE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AD146" i="13"/>
  <c r="AE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AD145" i="13"/>
  <c r="AE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AD144" i="13"/>
  <c r="AE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AD143" i="13"/>
  <c r="AE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AD142" i="13"/>
  <c r="AE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AD141" i="13"/>
  <c r="AE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AD140" i="13"/>
  <c r="AE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AD139" i="13"/>
  <c r="AE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AD138" i="13"/>
  <c r="AE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AD137" i="13"/>
  <c r="AE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AD136" i="13"/>
  <c r="AE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AD135" i="13"/>
  <c r="AE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AD134" i="13"/>
  <c r="AE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AD133" i="13"/>
  <c r="AE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AD132" i="13"/>
  <c r="AE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AD131" i="13"/>
  <c r="AE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AD130" i="13"/>
  <c r="AE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AD129" i="13"/>
  <c r="AE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AD128" i="13"/>
  <c r="AE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AE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AD126" i="13" s="1"/>
  <c r="AE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AE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AD124" i="13"/>
  <c r="AE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AD123" i="13"/>
  <c r="AE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AD122" i="13"/>
  <c r="AE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AD121" i="13"/>
  <c r="AE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AD120" i="13"/>
  <c r="AE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AD119" i="13"/>
  <c r="AE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AD118" i="13"/>
  <c r="AE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AD117" i="13"/>
  <c r="AE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AD116" i="13"/>
  <c r="AE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AE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AD114" i="13" s="1"/>
  <c r="AE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AD113" i="13" s="1"/>
  <c r="AE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AD112" i="13" s="1"/>
  <c r="AE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AD111" i="13" s="1"/>
  <c r="AE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AD110" i="13" s="1"/>
  <c r="AE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AD109" i="13" s="1"/>
  <c r="AE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AD108" i="13" s="1"/>
  <c r="AE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AD107" i="13" s="1"/>
  <c r="AE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AD106" i="13" s="1"/>
  <c r="AE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AE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AD104" i="13"/>
  <c r="AE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AD103" i="13"/>
  <c r="AE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AD102" i="13"/>
  <c r="AE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AD101" i="13"/>
  <c r="AE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AD100" i="13"/>
  <c r="AE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AD99" i="13"/>
  <c r="AE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AD98" i="13"/>
  <c r="AE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AD97" i="13"/>
  <c r="AE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AD96" i="13"/>
  <c r="AE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AD95" i="13"/>
  <c r="AE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AD94" i="13"/>
  <c r="AE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AD93" i="13"/>
  <c r="AE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AD92" i="13"/>
  <c r="AE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AD91" i="13"/>
  <c r="AE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AD90" i="13"/>
  <c r="AE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AD89" i="13"/>
  <c r="AE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AD88" i="13"/>
  <c r="AE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AD87" i="13"/>
  <c r="AE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AD86" i="13"/>
  <c r="AE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AD85" i="13"/>
  <c r="AE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AD84" i="13"/>
  <c r="AE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AD83" i="13"/>
  <c r="AE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AD82" i="13"/>
  <c r="AE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AD81" i="13"/>
  <c r="AE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AD80" i="13"/>
  <c r="AE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AE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AD78" i="13" s="1"/>
  <c r="AE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AD77" i="13" s="1"/>
  <c r="AE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AD76" i="13" s="1"/>
  <c r="AE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AD75" i="13" s="1"/>
  <c r="AE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AD74" i="13" s="1"/>
  <c r="AE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AD73" i="13" s="1"/>
  <c r="AE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AD72" i="13" s="1"/>
  <c r="AE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AD71" i="13" s="1"/>
  <c r="AE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AD70" i="13" s="1"/>
  <c r="AE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AD69" i="13" s="1"/>
  <c r="AE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AD68" i="13" s="1"/>
  <c r="AE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AD67" i="13" s="1"/>
  <c r="AE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AE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AD65" i="13"/>
  <c r="AE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AD64" i="13"/>
  <c r="AE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AD63" i="13"/>
  <c r="AE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AD62" i="13"/>
  <c r="AE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AD61" i="13"/>
  <c r="AE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AD60" i="13"/>
  <c r="AE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AD59" i="13"/>
  <c r="AE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AD58" i="13"/>
  <c r="AE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AD57" i="13"/>
  <c r="AE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AD56" i="13"/>
  <c r="AE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AD55" i="13"/>
  <c r="AE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AD54" i="13"/>
  <c r="AE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AD53" i="13"/>
  <c r="AE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AD52" i="13"/>
  <c r="AE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AD51" i="13"/>
  <c r="AE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AD50" i="13"/>
  <c r="AE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AD49" i="13"/>
  <c r="AE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AD48" i="13"/>
  <c r="AE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AD47" i="13"/>
  <c r="AE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AD46" i="13"/>
  <c r="AE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AE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AD44" i="13" s="1"/>
  <c r="AE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AE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AD42" i="13"/>
  <c r="AE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AD41" i="13"/>
  <c r="AE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AD40" i="13"/>
  <c r="AE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AE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AD38" i="13" s="1"/>
  <c r="AE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AD37" i="13" s="1"/>
  <c r="AE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AD36" i="13" s="1"/>
  <c r="AE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AD35" i="13" s="1"/>
  <c r="AE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AD34" i="13" s="1"/>
  <c r="AE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AD33" i="13" s="1"/>
  <c r="AE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AD32" i="13" s="1"/>
  <c r="AE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AD31" i="13" s="1"/>
  <c r="AE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AD30" i="13" s="1"/>
  <c r="AE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AD29" i="13" s="1"/>
  <c r="AE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AD28" i="13" s="1"/>
  <c r="AE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AD27" i="13" s="1"/>
  <c r="AE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AD26" i="13" s="1"/>
  <c r="AE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AD25" i="13" s="1"/>
  <c r="AE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AD24" i="13" s="1"/>
  <c r="AE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AD23" i="13" s="1"/>
  <c r="AE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AD22" i="13" s="1"/>
  <c r="AE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AD21" i="13" s="1"/>
  <c r="AE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AD20" i="13" s="1"/>
  <c r="AE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AD19" i="13" s="1"/>
  <c r="AE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AD18" i="13" s="1"/>
  <c r="AE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AE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AD16" i="13"/>
  <c r="AE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AE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AD14" i="13" s="1"/>
  <c r="AE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AD13" i="13" s="1"/>
  <c r="AE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AD12" i="13" s="1"/>
  <c r="AE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AD11" i="13" s="1"/>
  <c r="AE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AD10" i="13" s="1"/>
  <c r="AE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AD9" i="13" s="1"/>
  <c r="AE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AD8" i="13" s="1"/>
  <c r="AE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AD7" i="13" s="1"/>
  <c r="AE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AD6" i="13" s="1"/>
  <c r="AE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AD5" i="13" s="1"/>
  <c r="AE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AD4" i="13" s="1"/>
  <c r="AE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AD3" i="13" s="1"/>
  <c r="AE2" i="13"/>
  <c r="AC2" i="13"/>
  <c r="AB2" i="13"/>
  <c r="AA2" i="13"/>
  <c r="Z2" i="13"/>
  <c r="Y2" i="13"/>
  <c r="X2" i="13"/>
  <c r="W2" i="13"/>
  <c r="V2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AE1" i="13"/>
  <c r="AC1" i="13"/>
  <c r="AB1" i="13"/>
  <c r="AA1" i="13"/>
  <c r="Z1" i="13"/>
  <c r="Y1" i="13"/>
  <c r="X1" i="13"/>
  <c r="W1" i="13"/>
  <c r="V1" i="13"/>
  <c r="U1" i="13"/>
  <c r="T1" i="13"/>
  <c r="S1" i="13"/>
  <c r="R1" i="13"/>
  <c r="Q1" i="13"/>
  <c r="P1" i="13"/>
  <c r="O1" i="13"/>
  <c r="N1" i="13"/>
  <c r="M1" i="13"/>
  <c r="L1" i="13"/>
  <c r="K1" i="13"/>
  <c r="J1" i="13"/>
  <c r="I1" i="13"/>
  <c r="H1" i="13"/>
  <c r="G1" i="13"/>
  <c r="F1" i="13"/>
  <c r="AD1" i="13"/>
  <c r="AE365" i="12"/>
  <c r="AC365" i="12"/>
  <c r="AB365" i="12"/>
  <c r="AA365" i="12"/>
  <c r="Z365" i="12"/>
  <c r="Y365" i="12"/>
  <c r="X365" i="12"/>
  <c r="W365" i="12"/>
  <c r="V365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AD365" i="12"/>
  <c r="AE364" i="12"/>
  <c r="AC364" i="12"/>
  <c r="AB364" i="12"/>
  <c r="AA364" i="12"/>
  <c r="Z364" i="12"/>
  <c r="Y364" i="12"/>
  <c r="X364" i="12"/>
  <c r="W364" i="12"/>
  <c r="V364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AE363" i="12"/>
  <c r="AC363" i="12"/>
  <c r="AB363" i="12"/>
  <c r="AA363" i="12"/>
  <c r="Z363" i="12"/>
  <c r="Y363" i="12"/>
  <c r="X363" i="12"/>
  <c r="W363" i="12"/>
  <c r="V363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AD363" i="12" s="1"/>
  <c r="AE362" i="12"/>
  <c r="AC362" i="12"/>
  <c r="AB362" i="12"/>
  <c r="AA362" i="12"/>
  <c r="Z362" i="12"/>
  <c r="Y362" i="12"/>
  <c r="X362" i="12"/>
  <c r="W362" i="12"/>
  <c r="V362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AD362" i="12" s="1"/>
  <c r="AE361" i="12"/>
  <c r="AC361" i="12"/>
  <c r="AB361" i="12"/>
  <c r="AA361" i="12"/>
  <c r="Z361" i="12"/>
  <c r="Y361" i="12"/>
  <c r="X361" i="12"/>
  <c r="W361" i="12"/>
  <c r="V361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AD361" i="12" s="1"/>
  <c r="AE360" i="12"/>
  <c r="AC360" i="12"/>
  <c r="AB360" i="12"/>
  <c r="AA360" i="12"/>
  <c r="Z360" i="12"/>
  <c r="Y360" i="12"/>
  <c r="X360" i="12"/>
  <c r="W360" i="12"/>
  <c r="V360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AD360" i="12" s="1"/>
  <c r="AE359" i="12"/>
  <c r="AC359" i="12"/>
  <c r="AB359" i="12"/>
  <c r="AA359" i="12"/>
  <c r="Z359" i="12"/>
  <c r="Y359" i="12"/>
  <c r="X359" i="12"/>
  <c r="W359" i="12"/>
  <c r="V359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AD359" i="12" s="1"/>
  <c r="AE358" i="12"/>
  <c r="AC358" i="12"/>
  <c r="AB358" i="12"/>
  <c r="AA358" i="12"/>
  <c r="Z358" i="12"/>
  <c r="Y358" i="12"/>
  <c r="X358" i="12"/>
  <c r="W358" i="12"/>
  <c r="V358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AD358" i="12" s="1"/>
  <c r="AE357" i="12"/>
  <c r="AC357" i="12"/>
  <c r="AB357" i="12"/>
  <c r="AA357" i="12"/>
  <c r="Z357" i="12"/>
  <c r="Y357" i="12"/>
  <c r="X357" i="12"/>
  <c r="W357" i="12"/>
  <c r="V357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AD357" i="12" s="1"/>
  <c r="AE356" i="12"/>
  <c r="AC356" i="12"/>
  <c r="AB356" i="12"/>
  <c r="AA356" i="12"/>
  <c r="Z356" i="12"/>
  <c r="Y356" i="12"/>
  <c r="X356" i="12"/>
  <c r="W356" i="12"/>
  <c r="V356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AD356" i="12" s="1"/>
  <c r="AE355" i="12"/>
  <c r="AC355" i="12"/>
  <c r="AB355" i="12"/>
  <c r="AA355" i="12"/>
  <c r="Z355" i="12"/>
  <c r="Y355" i="12"/>
  <c r="X355" i="12"/>
  <c r="W355" i="12"/>
  <c r="V355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AD355" i="12" s="1"/>
  <c r="AE354" i="12"/>
  <c r="AC354" i="12"/>
  <c r="AB354" i="12"/>
  <c r="AA354" i="12"/>
  <c r="Z354" i="12"/>
  <c r="Y354" i="12"/>
  <c r="X354" i="12"/>
  <c r="W354" i="12"/>
  <c r="V354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AD354" i="12" s="1"/>
  <c r="AE353" i="12"/>
  <c r="AC353" i="12"/>
  <c r="AB353" i="12"/>
  <c r="AA353" i="12"/>
  <c r="Z353" i="12"/>
  <c r="Y353" i="12"/>
  <c r="X353" i="12"/>
  <c r="W353" i="12"/>
  <c r="V353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AE352" i="12"/>
  <c r="AC352" i="12"/>
  <c r="AB352" i="12"/>
  <c r="AA352" i="12"/>
  <c r="Z352" i="12"/>
  <c r="Y352" i="12"/>
  <c r="X352" i="12"/>
  <c r="W352" i="12"/>
  <c r="V352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AD352" i="12"/>
  <c r="AE351" i="12"/>
  <c r="AC351" i="12"/>
  <c r="AB351" i="12"/>
  <c r="AA351" i="12"/>
  <c r="Z351" i="12"/>
  <c r="Y351" i="12"/>
  <c r="X351" i="12"/>
  <c r="W351" i="12"/>
  <c r="V351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AD351" i="12"/>
  <c r="AE350" i="12"/>
  <c r="AC350" i="12"/>
  <c r="AB350" i="12"/>
  <c r="AA350" i="12"/>
  <c r="Z350" i="12"/>
  <c r="Y350" i="12"/>
  <c r="X350" i="12"/>
  <c r="W350" i="12"/>
  <c r="V350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AD350" i="12"/>
  <c r="AE349" i="12"/>
  <c r="AC349" i="12"/>
  <c r="AB349" i="12"/>
  <c r="AA349" i="12"/>
  <c r="Z349" i="12"/>
  <c r="Y349" i="12"/>
  <c r="X349" i="12"/>
  <c r="W349" i="12"/>
  <c r="V349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AE348" i="12"/>
  <c r="AC348" i="12"/>
  <c r="AB348" i="12"/>
  <c r="AA348" i="12"/>
  <c r="Z348" i="12"/>
  <c r="Y348" i="12"/>
  <c r="X348" i="12"/>
  <c r="W348" i="12"/>
  <c r="V348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AD348" i="12" s="1"/>
  <c r="AE347" i="12"/>
  <c r="AC347" i="12"/>
  <c r="AB347" i="12"/>
  <c r="AA347" i="12"/>
  <c r="Z347" i="12"/>
  <c r="Y347" i="12"/>
  <c r="X347" i="12"/>
  <c r="W347" i="12"/>
  <c r="V347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AD347" i="12" s="1"/>
  <c r="AE346" i="12"/>
  <c r="AC346" i="12"/>
  <c r="AB346" i="12"/>
  <c r="AA346" i="12"/>
  <c r="Z346" i="12"/>
  <c r="Y346" i="12"/>
  <c r="X346" i="12"/>
  <c r="W346" i="12"/>
  <c r="V346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AD346" i="12" s="1"/>
  <c r="AE345" i="12"/>
  <c r="AC345" i="12"/>
  <c r="AB345" i="12"/>
  <c r="AA345" i="12"/>
  <c r="Z345" i="12"/>
  <c r="Y345" i="12"/>
  <c r="X345" i="12"/>
  <c r="W345" i="12"/>
  <c r="V345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AD345" i="12" s="1"/>
  <c r="AE344" i="12"/>
  <c r="AC344" i="12"/>
  <c r="AB344" i="12"/>
  <c r="AA344" i="12"/>
  <c r="Z344" i="12"/>
  <c r="Y344" i="12"/>
  <c r="X344" i="12"/>
  <c r="W344" i="12"/>
  <c r="V344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AD344" i="12" s="1"/>
  <c r="AE343" i="12"/>
  <c r="AC343" i="12"/>
  <c r="AB343" i="12"/>
  <c r="AA343" i="12"/>
  <c r="Z343" i="12"/>
  <c r="Y343" i="12"/>
  <c r="X343" i="12"/>
  <c r="W343" i="12"/>
  <c r="V343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AD343" i="12" s="1"/>
  <c r="AE342" i="12"/>
  <c r="AC342" i="12"/>
  <c r="AB342" i="12"/>
  <c r="AA342" i="12"/>
  <c r="Z342" i="12"/>
  <c r="Y342" i="12"/>
  <c r="X342" i="12"/>
  <c r="W342" i="12"/>
  <c r="V342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AD342" i="12" s="1"/>
  <c r="AE341" i="12"/>
  <c r="AC341" i="12"/>
  <c r="AB341" i="12"/>
  <c r="AA341" i="12"/>
  <c r="Z341" i="12"/>
  <c r="Y341" i="12"/>
  <c r="X341" i="12"/>
  <c r="W341" i="12"/>
  <c r="V341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AE340" i="12"/>
  <c r="AC340" i="12"/>
  <c r="AB340" i="12"/>
  <c r="AA340" i="12"/>
  <c r="Z340" i="12"/>
  <c r="Y340" i="12"/>
  <c r="X340" i="12"/>
  <c r="W340" i="12"/>
  <c r="V340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AD340" i="12"/>
  <c r="AE339" i="12"/>
  <c r="AC339" i="12"/>
  <c r="AB339" i="12"/>
  <c r="AA339" i="12"/>
  <c r="Z339" i="12"/>
  <c r="Y339" i="12"/>
  <c r="X339" i="12"/>
  <c r="W339" i="12"/>
  <c r="V339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AE338" i="12"/>
  <c r="AC338" i="12"/>
  <c r="AB338" i="12"/>
  <c r="AA338" i="12"/>
  <c r="Z338" i="12"/>
  <c r="Y338" i="12"/>
  <c r="X338" i="12"/>
  <c r="W338" i="12"/>
  <c r="V338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AD338" i="12" s="1"/>
  <c r="AE337" i="12"/>
  <c r="AC337" i="12"/>
  <c r="AB337" i="12"/>
  <c r="AA337" i="12"/>
  <c r="Z337" i="12"/>
  <c r="Y337" i="12"/>
  <c r="X337" i="12"/>
  <c r="W337" i="12"/>
  <c r="V337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AE336" i="12"/>
  <c r="AC336" i="12"/>
  <c r="AB336" i="12"/>
  <c r="AA336" i="12"/>
  <c r="Z336" i="12"/>
  <c r="Y336" i="12"/>
  <c r="X336" i="12"/>
  <c r="W336" i="12"/>
  <c r="V336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AD336" i="12"/>
  <c r="AE335" i="12"/>
  <c r="AC335" i="12"/>
  <c r="AB335" i="12"/>
  <c r="AA335" i="12"/>
  <c r="Z335" i="12"/>
  <c r="Y335" i="12"/>
  <c r="X335" i="12"/>
  <c r="W335" i="12"/>
  <c r="V335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AE334" i="12"/>
  <c r="AC334" i="12"/>
  <c r="AB334" i="12"/>
  <c r="AA334" i="12"/>
  <c r="Z334" i="12"/>
  <c r="Y334" i="12"/>
  <c r="X334" i="12"/>
  <c r="W334" i="12"/>
  <c r="V334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AD334" i="12" s="1"/>
  <c r="AE333" i="12"/>
  <c r="AC333" i="12"/>
  <c r="AB333" i="12"/>
  <c r="AA333" i="12"/>
  <c r="Z333" i="12"/>
  <c r="Y333" i="12"/>
  <c r="X333" i="12"/>
  <c r="W333" i="12"/>
  <c r="V333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AD333" i="12" s="1"/>
  <c r="AE332" i="12"/>
  <c r="AC332" i="12"/>
  <c r="AB332" i="12"/>
  <c r="AA332" i="12"/>
  <c r="Z332" i="12"/>
  <c r="Y332" i="12"/>
  <c r="X332" i="12"/>
  <c r="W332" i="12"/>
  <c r="V332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AD332" i="12" s="1"/>
  <c r="AE331" i="12"/>
  <c r="AC331" i="12"/>
  <c r="AB331" i="12"/>
  <c r="AA331" i="12"/>
  <c r="Z331" i="12"/>
  <c r="Y331" i="12"/>
  <c r="X331" i="12"/>
  <c r="W331" i="12"/>
  <c r="V331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AE330" i="12"/>
  <c r="AC330" i="12"/>
  <c r="AB330" i="12"/>
  <c r="AA330" i="12"/>
  <c r="Z330" i="12"/>
  <c r="Y330" i="12"/>
  <c r="X330" i="12"/>
  <c r="W330" i="12"/>
  <c r="V330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AD330" i="12"/>
  <c r="AE329" i="12"/>
  <c r="AC329" i="12"/>
  <c r="AB329" i="12"/>
  <c r="AA329" i="12"/>
  <c r="Z329" i="12"/>
  <c r="Y329" i="12"/>
  <c r="X329" i="12"/>
  <c r="W329" i="12"/>
  <c r="V329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AD329" i="12"/>
  <c r="AE328" i="12"/>
  <c r="AC328" i="12"/>
  <c r="AB328" i="12"/>
  <c r="AA328" i="12"/>
  <c r="Z328" i="12"/>
  <c r="Y328" i="12"/>
  <c r="X328" i="12"/>
  <c r="W328" i="12"/>
  <c r="V328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AD328" i="12"/>
  <c r="AE327" i="12"/>
  <c r="AC327" i="12"/>
  <c r="AB327" i="12"/>
  <c r="AA327" i="12"/>
  <c r="Z327" i="12"/>
  <c r="Y327" i="12"/>
  <c r="X327" i="12"/>
  <c r="W327" i="12"/>
  <c r="V327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AE326" i="12"/>
  <c r="AC326" i="12"/>
  <c r="AB326" i="12"/>
  <c r="AA326" i="12"/>
  <c r="Z326" i="12"/>
  <c r="Y326" i="12"/>
  <c r="X326" i="12"/>
  <c r="W326" i="12"/>
  <c r="V326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AD326" i="12" s="1"/>
  <c r="AE325" i="12"/>
  <c r="AC325" i="12"/>
  <c r="AB325" i="12"/>
  <c r="AA325" i="12"/>
  <c r="Z325" i="12"/>
  <c r="Y325" i="12"/>
  <c r="X325" i="12"/>
  <c r="W325" i="12"/>
  <c r="V325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AE324" i="12"/>
  <c r="AC324" i="12"/>
  <c r="AB324" i="12"/>
  <c r="AA324" i="12"/>
  <c r="Z324" i="12"/>
  <c r="Y324" i="12"/>
  <c r="X324" i="12"/>
  <c r="W324" i="12"/>
  <c r="V324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AD324" i="12"/>
  <c r="AE323" i="12"/>
  <c r="AC323" i="12"/>
  <c r="AB323" i="12"/>
  <c r="AA323" i="12"/>
  <c r="Z323" i="12"/>
  <c r="Y323" i="12"/>
  <c r="X323" i="12"/>
  <c r="W323" i="12"/>
  <c r="V323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AD323" i="12"/>
  <c r="AE322" i="12"/>
  <c r="AC322" i="12"/>
  <c r="AB322" i="12"/>
  <c r="AA322" i="12"/>
  <c r="Z322" i="12"/>
  <c r="Y322" i="12"/>
  <c r="X322" i="12"/>
  <c r="W322" i="12"/>
  <c r="V322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AD322" i="12"/>
  <c r="AE321" i="12"/>
  <c r="AC321" i="12"/>
  <c r="AB321" i="12"/>
  <c r="AA321" i="12"/>
  <c r="Z321" i="12"/>
  <c r="Y321" i="12"/>
  <c r="X321" i="12"/>
  <c r="W321" i="12"/>
  <c r="V321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AD321" i="12"/>
  <c r="AE320" i="12"/>
  <c r="AC320" i="12"/>
  <c r="AB320" i="12"/>
  <c r="AA320" i="12"/>
  <c r="Z320" i="12"/>
  <c r="Y320" i="12"/>
  <c r="X320" i="12"/>
  <c r="W320" i="12"/>
  <c r="V320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AD320" i="12"/>
  <c r="AE319" i="12"/>
  <c r="AC319" i="12"/>
  <c r="AB319" i="12"/>
  <c r="AA319" i="12"/>
  <c r="Z319" i="12"/>
  <c r="Y319" i="12"/>
  <c r="X319" i="12"/>
  <c r="W319" i="12"/>
  <c r="V319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AD319" i="12"/>
  <c r="AE318" i="12"/>
  <c r="AC318" i="12"/>
  <c r="AB318" i="12"/>
  <c r="AA318" i="12"/>
  <c r="Z318" i="12"/>
  <c r="Y318" i="12"/>
  <c r="X318" i="12"/>
  <c r="W318" i="12"/>
  <c r="V318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AD318" i="12"/>
  <c r="AE317" i="12"/>
  <c r="AC317" i="12"/>
  <c r="AB317" i="12"/>
  <c r="AA317" i="12"/>
  <c r="Z317" i="12"/>
  <c r="Y317" i="12"/>
  <c r="X317" i="12"/>
  <c r="W317" i="12"/>
  <c r="V317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AD317" i="12"/>
  <c r="AE316" i="12"/>
  <c r="AC316" i="12"/>
  <c r="AB316" i="12"/>
  <c r="AA316" i="12"/>
  <c r="Z316" i="12"/>
  <c r="Y316" i="12"/>
  <c r="X316" i="12"/>
  <c r="W316" i="12"/>
  <c r="V316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AD316" i="12"/>
  <c r="AE315" i="12"/>
  <c r="AC315" i="12"/>
  <c r="AB315" i="12"/>
  <c r="AA315" i="12"/>
  <c r="Z315" i="12"/>
  <c r="Y315" i="12"/>
  <c r="X315" i="12"/>
  <c r="W315" i="12"/>
  <c r="V315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AD315" i="12"/>
  <c r="AE314" i="12"/>
  <c r="AC314" i="12"/>
  <c r="AB314" i="12"/>
  <c r="AA314" i="12"/>
  <c r="Z314" i="12"/>
  <c r="Y314" i="12"/>
  <c r="X314" i="12"/>
  <c r="W314" i="12"/>
  <c r="V314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AD314" i="12"/>
  <c r="AE313" i="12"/>
  <c r="AC313" i="12"/>
  <c r="AB313" i="12"/>
  <c r="AA313" i="12"/>
  <c r="Z313" i="12"/>
  <c r="Y313" i="12"/>
  <c r="X313" i="12"/>
  <c r="W313" i="12"/>
  <c r="V313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AD313" i="12"/>
  <c r="AE312" i="12"/>
  <c r="AC312" i="12"/>
  <c r="AB312" i="12"/>
  <c r="AA312" i="12"/>
  <c r="Z312" i="12"/>
  <c r="Y312" i="12"/>
  <c r="X312" i="12"/>
  <c r="W312" i="12"/>
  <c r="V312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AD312" i="12"/>
  <c r="AE311" i="12"/>
  <c r="AC311" i="12"/>
  <c r="AB311" i="12"/>
  <c r="AA311" i="12"/>
  <c r="Z311" i="12"/>
  <c r="Y311" i="12"/>
  <c r="X311" i="12"/>
  <c r="W311" i="12"/>
  <c r="V311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AD311" i="12"/>
  <c r="AE310" i="12"/>
  <c r="AC310" i="12"/>
  <c r="AB310" i="12"/>
  <c r="AA310" i="12"/>
  <c r="Z310" i="12"/>
  <c r="Y310" i="12"/>
  <c r="X310" i="12"/>
  <c r="W310" i="12"/>
  <c r="V310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AD310" i="12"/>
  <c r="AE309" i="12"/>
  <c r="AC309" i="12"/>
  <c r="AB309" i="12"/>
  <c r="AA309" i="12"/>
  <c r="Z309" i="12"/>
  <c r="Y309" i="12"/>
  <c r="X309" i="12"/>
  <c r="W309" i="12"/>
  <c r="V309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AD309" i="12"/>
  <c r="AE308" i="12"/>
  <c r="AC308" i="12"/>
  <c r="AB308" i="12"/>
  <c r="AA308" i="12"/>
  <c r="Z308" i="12"/>
  <c r="Y308" i="12"/>
  <c r="X308" i="12"/>
  <c r="W308" i="12"/>
  <c r="V308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AD308" i="12"/>
  <c r="AE307" i="12"/>
  <c r="AC307" i="12"/>
  <c r="AB307" i="12"/>
  <c r="AA307" i="12"/>
  <c r="Z307" i="12"/>
  <c r="Y307" i="12"/>
  <c r="X307" i="12"/>
  <c r="W307" i="12"/>
  <c r="V307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AD307" i="12"/>
  <c r="AE306" i="12"/>
  <c r="AC306" i="12"/>
  <c r="AB306" i="12"/>
  <c r="AA306" i="12"/>
  <c r="Z306" i="12"/>
  <c r="Y306" i="12"/>
  <c r="X306" i="12"/>
  <c r="W306" i="12"/>
  <c r="V306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AD306" i="12"/>
  <c r="AE305" i="12"/>
  <c r="AC305" i="12"/>
  <c r="AB305" i="12"/>
  <c r="AA305" i="12"/>
  <c r="Z305" i="12"/>
  <c r="Y305" i="12"/>
  <c r="X305" i="12"/>
  <c r="W305" i="12"/>
  <c r="V305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AD305" i="12"/>
  <c r="AE304" i="12"/>
  <c r="AC304" i="12"/>
  <c r="AB304" i="12"/>
  <c r="AA304" i="12"/>
  <c r="Z304" i="12"/>
  <c r="Y304" i="12"/>
  <c r="X304" i="12"/>
  <c r="W304" i="12"/>
  <c r="V304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AD304" i="12"/>
  <c r="AE303" i="12"/>
  <c r="AC303" i="12"/>
  <c r="AB303" i="12"/>
  <c r="AA303" i="12"/>
  <c r="Z303" i="12"/>
  <c r="Y303" i="12"/>
  <c r="X303" i="12"/>
  <c r="W303" i="12"/>
  <c r="V303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AD303" i="12"/>
  <c r="AE302" i="12"/>
  <c r="AC302" i="12"/>
  <c r="AB302" i="12"/>
  <c r="AA302" i="12"/>
  <c r="Z302" i="12"/>
  <c r="Y302" i="12"/>
  <c r="X302" i="12"/>
  <c r="W302" i="12"/>
  <c r="V302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AD302" i="12"/>
  <c r="AE301" i="12"/>
  <c r="AC301" i="12"/>
  <c r="AB301" i="12"/>
  <c r="AA301" i="12"/>
  <c r="Z301" i="12"/>
  <c r="Y301" i="12"/>
  <c r="X301" i="12"/>
  <c r="W301" i="12"/>
  <c r="V301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AD301" i="12"/>
  <c r="AE300" i="12"/>
  <c r="AC300" i="12"/>
  <c r="AB300" i="12"/>
  <c r="AA300" i="12"/>
  <c r="Z300" i="12"/>
  <c r="Y300" i="12"/>
  <c r="X300" i="12"/>
  <c r="W300" i="12"/>
  <c r="V300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AD300" i="12"/>
  <c r="AE299" i="12"/>
  <c r="AC299" i="12"/>
  <c r="AB299" i="12"/>
  <c r="AA299" i="12"/>
  <c r="Z299" i="12"/>
  <c r="Y299" i="12"/>
  <c r="X299" i="12"/>
  <c r="W299" i="12"/>
  <c r="V299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AD299" i="12"/>
  <c r="AE298" i="12"/>
  <c r="AC298" i="12"/>
  <c r="AB298" i="12"/>
  <c r="AA298" i="12"/>
  <c r="Z298" i="12"/>
  <c r="Y298" i="12"/>
  <c r="X298" i="12"/>
  <c r="W298" i="12"/>
  <c r="V298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AD298" i="12"/>
  <c r="AE297" i="12"/>
  <c r="AC297" i="12"/>
  <c r="AB297" i="12"/>
  <c r="AA297" i="12"/>
  <c r="Z297" i="12"/>
  <c r="Y297" i="12"/>
  <c r="X297" i="12"/>
  <c r="W297" i="12"/>
  <c r="V297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AE296" i="12"/>
  <c r="AC296" i="12"/>
  <c r="AB296" i="12"/>
  <c r="AA296" i="12"/>
  <c r="Z296" i="12"/>
  <c r="Y296" i="12"/>
  <c r="X296" i="12"/>
  <c r="W296" i="12"/>
  <c r="V296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AD296" i="12" s="1"/>
  <c r="AE295" i="12"/>
  <c r="AC295" i="12"/>
  <c r="AB295" i="12"/>
  <c r="AA295" i="12"/>
  <c r="Z295" i="12"/>
  <c r="Y295" i="12"/>
  <c r="X295" i="12"/>
  <c r="W295" i="12"/>
  <c r="V295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AE294" i="12"/>
  <c r="AC294" i="12"/>
  <c r="AB294" i="12"/>
  <c r="AA294" i="12"/>
  <c r="Z294" i="12"/>
  <c r="Y294" i="12"/>
  <c r="X294" i="12"/>
  <c r="W294" i="12"/>
  <c r="V294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AD294" i="12"/>
  <c r="AE293" i="12"/>
  <c r="AC293" i="12"/>
  <c r="AB293" i="12"/>
  <c r="AA293" i="12"/>
  <c r="Z293" i="12"/>
  <c r="Y293" i="12"/>
  <c r="X293" i="12"/>
  <c r="W293" i="12"/>
  <c r="V293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AD293" i="12"/>
  <c r="AE292" i="12"/>
  <c r="AC292" i="12"/>
  <c r="AB292" i="12"/>
  <c r="AA292" i="12"/>
  <c r="Z292" i="12"/>
  <c r="Y292" i="12"/>
  <c r="X292" i="12"/>
  <c r="W292" i="12"/>
  <c r="V292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AD292" i="12"/>
  <c r="AE291" i="12"/>
  <c r="AC291" i="12"/>
  <c r="AB291" i="12"/>
  <c r="AA291" i="12"/>
  <c r="Z291" i="12"/>
  <c r="Y291" i="12"/>
  <c r="X291" i="12"/>
  <c r="W291" i="12"/>
  <c r="V291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AD291" i="12"/>
  <c r="AE290" i="12"/>
  <c r="AC290" i="12"/>
  <c r="AB290" i="12"/>
  <c r="AA290" i="12"/>
  <c r="Z290" i="12"/>
  <c r="Y290" i="12"/>
  <c r="X290" i="12"/>
  <c r="W290" i="12"/>
  <c r="V290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AE289" i="12"/>
  <c r="AC289" i="12"/>
  <c r="AB289" i="12"/>
  <c r="AA289" i="12"/>
  <c r="Z289" i="12"/>
  <c r="Y289" i="12"/>
  <c r="X289" i="12"/>
  <c r="W289" i="12"/>
  <c r="V289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AD289" i="12" s="1"/>
  <c r="AE288" i="12"/>
  <c r="AC288" i="12"/>
  <c r="AB288" i="12"/>
  <c r="AA288" i="12"/>
  <c r="Z288" i="12"/>
  <c r="Y288" i="12"/>
  <c r="X288" i="12"/>
  <c r="W288" i="12"/>
  <c r="V288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AD288" i="12" s="1"/>
  <c r="AE287" i="12"/>
  <c r="AC287" i="12"/>
  <c r="AB287" i="12"/>
  <c r="AA287" i="12"/>
  <c r="Z287" i="12"/>
  <c r="Y287" i="12"/>
  <c r="X287" i="12"/>
  <c r="W287" i="12"/>
  <c r="V287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AD287" i="12" s="1"/>
  <c r="AE286" i="12"/>
  <c r="AC286" i="12"/>
  <c r="AB286" i="12"/>
  <c r="AA286" i="12"/>
  <c r="Z286" i="12"/>
  <c r="Y286" i="12"/>
  <c r="X286" i="12"/>
  <c r="W286" i="12"/>
  <c r="V286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AD286" i="12" s="1"/>
  <c r="AE285" i="12"/>
  <c r="AC285" i="12"/>
  <c r="AB285" i="12"/>
  <c r="AA285" i="12"/>
  <c r="Z285" i="12"/>
  <c r="Y285" i="12"/>
  <c r="X285" i="12"/>
  <c r="W285" i="12"/>
  <c r="V285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AD285" i="12" s="1"/>
  <c r="AE284" i="12"/>
  <c r="AC284" i="12"/>
  <c r="AB284" i="12"/>
  <c r="AA284" i="12"/>
  <c r="Z284" i="12"/>
  <c r="Y284" i="12"/>
  <c r="X284" i="12"/>
  <c r="W284" i="12"/>
  <c r="V284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AD284" i="12" s="1"/>
  <c r="AE283" i="12"/>
  <c r="AC283" i="12"/>
  <c r="AB283" i="12"/>
  <c r="AA283" i="12"/>
  <c r="Z283" i="12"/>
  <c r="Y283" i="12"/>
  <c r="X283" i="12"/>
  <c r="W283" i="12"/>
  <c r="V283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AE282" i="12"/>
  <c r="AC282" i="12"/>
  <c r="AB282" i="12"/>
  <c r="AA282" i="12"/>
  <c r="Z282" i="12"/>
  <c r="Y282" i="12"/>
  <c r="X282" i="12"/>
  <c r="W282" i="12"/>
  <c r="V282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AD282" i="12"/>
  <c r="AE281" i="12"/>
  <c r="AC281" i="12"/>
  <c r="AB281" i="12"/>
  <c r="AA281" i="12"/>
  <c r="Z281" i="12"/>
  <c r="Y281" i="12"/>
  <c r="X281" i="12"/>
  <c r="W281" i="12"/>
  <c r="V281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AE280" i="12"/>
  <c r="AC280" i="12"/>
  <c r="AB280" i="12"/>
  <c r="AA280" i="12"/>
  <c r="Z280" i="12"/>
  <c r="Y280" i="12"/>
  <c r="X280" i="12"/>
  <c r="W280" i="12"/>
  <c r="V280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AD280" i="12" s="1"/>
  <c r="AE279" i="12"/>
  <c r="AC279" i="12"/>
  <c r="AB279" i="12"/>
  <c r="AA279" i="12"/>
  <c r="Z279" i="12"/>
  <c r="Y279" i="12"/>
  <c r="X279" i="12"/>
  <c r="W279" i="12"/>
  <c r="V279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AD279" i="12" s="1"/>
  <c r="AE278" i="12"/>
  <c r="AC278" i="12"/>
  <c r="AB278" i="12"/>
  <c r="AA278" i="12"/>
  <c r="Z278" i="12"/>
  <c r="Y278" i="12"/>
  <c r="X278" i="12"/>
  <c r="W278" i="12"/>
  <c r="V278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AD278" i="12" s="1"/>
  <c r="AE277" i="12"/>
  <c r="AC277" i="12"/>
  <c r="AB277" i="12"/>
  <c r="AA277" i="12"/>
  <c r="Z277" i="12"/>
  <c r="Y277" i="12"/>
  <c r="X277" i="12"/>
  <c r="W277" i="12"/>
  <c r="V277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AD277" i="12" s="1"/>
  <c r="AE276" i="12"/>
  <c r="AC276" i="12"/>
  <c r="AB276" i="12"/>
  <c r="AA276" i="12"/>
  <c r="Z276" i="12"/>
  <c r="Y276" i="12"/>
  <c r="X276" i="12"/>
  <c r="W276" i="12"/>
  <c r="V276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AD276" i="12" s="1"/>
  <c r="AE275" i="12"/>
  <c r="AC275" i="12"/>
  <c r="AB275" i="12"/>
  <c r="AA275" i="12"/>
  <c r="Z275" i="12"/>
  <c r="Y275" i="12"/>
  <c r="X275" i="12"/>
  <c r="W275" i="12"/>
  <c r="V275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AD275" i="12" s="1"/>
  <c r="AE274" i="12"/>
  <c r="AC274" i="12"/>
  <c r="AB274" i="12"/>
  <c r="AA274" i="12"/>
  <c r="Z274" i="12"/>
  <c r="Y274" i="12"/>
  <c r="X274" i="12"/>
  <c r="W274" i="12"/>
  <c r="V274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AD274" i="12" s="1"/>
  <c r="AE273" i="12"/>
  <c r="AC273" i="12"/>
  <c r="AB273" i="12"/>
  <c r="AA273" i="12"/>
  <c r="Z273" i="12"/>
  <c r="Y273" i="12"/>
  <c r="X273" i="12"/>
  <c r="W273" i="12"/>
  <c r="V273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AD273" i="12" s="1"/>
  <c r="AE272" i="12"/>
  <c r="AC272" i="12"/>
  <c r="AB272" i="12"/>
  <c r="AA272" i="12"/>
  <c r="Z272" i="12"/>
  <c r="Y272" i="12"/>
  <c r="X272" i="12"/>
  <c r="W272" i="12"/>
  <c r="V272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AD272" i="12" s="1"/>
  <c r="AE271" i="12"/>
  <c r="AC271" i="12"/>
  <c r="AB271" i="12"/>
  <c r="AA271" i="12"/>
  <c r="Z271" i="12"/>
  <c r="Y271" i="12"/>
  <c r="X271" i="12"/>
  <c r="W271" i="12"/>
  <c r="V271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AE270" i="12"/>
  <c r="AC270" i="12"/>
  <c r="AB270" i="12"/>
  <c r="AA270" i="12"/>
  <c r="Z270" i="12"/>
  <c r="Y270" i="12"/>
  <c r="X270" i="12"/>
  <c r="W270" i="12"/>
  <c r="V270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AD270" i="12"/>
  <c r="AE269" i="12"/>
  <c r="AC269" i="12"/>
  <c r="AB269" i="12"/>
  <c r="AA269" i="12"/>
  <c r="Z269" i="12"/>
  <c r="Y269" i="12"/>
  <c r="X269" i="12"/>
  <c r="W269" i="12"/>
  <c r="V269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AE268" i="12"/>
  <c r="AC268" i="12"/>
  <c r="AB268" i="12"/>
  <c r="AA268" i="12"/>
  <c r="Z268" i="12"/>
  <c r="Y268" i="12"/>
  <c r="X268" i="12"/>
  <c r="W268" i="12"/>
  <c r="V268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AD268" i="12" s="1"/>
  <c r="AE267" i="12"/>
  <c r="AC267" i="12"/>
  <c r="AB267" i="12"/>
  <c r="AA267" i="12"/>
  <c r="Z267" i="12"/>
  <c r="Y267" i="12"/>
  <c r="X267" i="12"/>
  <c r="W267" i="12"/>
  <c r="V267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AD267" i="12" s="1"/>
  <c r="AE266" i="12"/>
  <c r="AC266" i="12"/>
  <c r="AB266" i="12"/>
  <c r="AA266" i="12"/>
  <c r="Z266" i="12"/>
  <c r="Y266" i="12"/>
  <c r="X266" i="12"/>
  <c r="W266" i="12"/>
  <c r="V266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AD266" i="12" s="1"/>
  <c r="AE265" i="12"/>
  <c r="AC265" i="12"/>
  <c r="AB265" i="12"/>
  <c r="AA265" i="12"/>
  <c r="Z265" i="12"/>
  <c r="Y265" i="12"/>
  <c r="X265" i="12"/>
  <c r="W265" i="12"/>
  <c r="V265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AD265" i="12" s="1"/>
  <c r="AE264" i="12"/>
  <c r="AC264" i="12"/>
  <c r="AB264" i="12"/>
  <c r="AA264" i="12"/>
  <c r="Z264" i="12"/>
  <c r="Y264" i="12"/>
  <c r="X264" i="12"/>
  <c r="W264" i="12"/>
  <c r="V264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AD264" i="12" s="1"/>
  <c r="AE263" i="12"/>
  <c r="AC263" i="12"/>
  <c r="AB263" i="12"/>
  <c r="AA263" i="12"/>
  <c r="Z263" i="12"/>
  <c r="Y263" i="12"/>
  <c r="X263" i="12"/>
  <c r="W263" i="12"/>
  <c r="V263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AD263" i="12" s="1"/>
  <c r="AE262" i="12"/>
  <c r="AC262" i="12"/>
  <c r="AB262" i="12"/>
  <c r="AA262" i="12"/>
  <c r="Z262" i="12"/>
  <c r="Y262" i="12"/>
  <c r="X262" i="12"/>
  <c r="W262" i="12"/>
  <c r="V262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AD262" i="12" s="1"/>
  <c r="AE261" i="12"/>
  <c r="AC261" i="12"/>
  <c r="AB261" i="12"/>
  <c r="AA261" i="12"/>
  <c r="Z261" i="12"/>
  <c r="Y261" i="12"/>
  <c r="X261" i="12"/>
  <c r="W261" i="12"/>
  <c r="V261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AD261" i="12" s="1"/>
  <c r="AE260" i="12"/>
  <c r="AC260" i="12"/>
  <c r="AB260" i="12"/>
  <c r="AA260" i="12"/>
  <c r="Z260" i="12"/>
  <c r="Y260" i="12"/>
  <c r="X260" i="12"/>
  <c r="W260" i="12"/>
  <c r="V260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AD260" i="12" s="1"/>
  <c r="AE259" i="12"/>
  <c r="AC259" i="12"/>
  <c r="AB259" i="12"/>
  <c r="AA259" i="12"/>
  <c r="Z259" i="12"/>
  <c r="Y259" i="12"/>
  <c r="X259" i="12"/>
  <c r="W259" i="12"/>
  <c r="V259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AD259" i="12" s="1"/>
  <c r="AE258" i="12"/>
  <c r="AC258" i="12"/>
  <c r="AB258" i="12"/>
  <c r="AA258" i="12"/>
  <c r="Z258" i="12"/>
  <c r="Y258" i="12"/>
  <c r="X258" i="12"/>
  <c r="W258" i="12"/>
  <c r="V258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AD258" i="12" s="1"/>
  <c r="AE257" i="12"/>
  <c r="AC257" i="12"/>
  <c r="AB257" i="12"/>
  <c r="AA257" i="12"/>
  <c r="Z257" i="12"/>
  <c r="Y257" i="12"/>
  <c r="X257" i="12"/>
  <c r="W257" i="12"/>
  <c r="V257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AD257" i="12" s="1"/>
  <c r="AE256" i="12"/>
  <c r="AC256" i="12"/>
  <c r="AB256" i="12"/>
  <c r="AA256" i="12"/>
  <c r="Z256" i="12"/>
  <c r="Y256" i="12"/>
  <c r="X256" i="12"/>
  <c r="W256" i="12"/>
  <c r="V256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AD256" i="12" s="1"/>
  <c r="AE255" i="12"/>
  <c r="AC255" i="12"/>
  <c r="AB255" i="12"/>
  <c r="AA255" i="12"/>
  <c r="Z255" i="12"/>
  <c r="Y255" i="12"/>
  <c r="X255" i="12"/>
  <c r="W255" i="12"/>
  <c r="V255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AE254" i="12"/>
  <c r="AC254" i="12"/>
  <c r="AB254" i="12"/>
  <c r="AA254" i="12"/>
  <c r="Z254" i="12"/>
  <c r="Y254" i="12"/>
  <c r="X254" i="12"/>
  <c r="W254" i="12"/>
  <c r="V254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AD254" i="12"/>
  <c r="AE253" i="12"/>
  <c r="AC253" i="12"/>
  <c r="AB253" i="12"/>
  <c r="AA253" i="12"/>
  <c r="Z253" i="12"/>
  <c r="Y253" i="12"/>
  <c r="X253" i="12"/>
  <c r="W253" i="12"/>
  <c r="V253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AD253" i="12"/>
  <c r="AE252" i="12"/>
  <c r="AC252" i="12"/>
  <c r="AB252" i="12"/>
  <c r="AA252" i="12"/>
  <c r="Z252" i="12"/>
  <c r="Y252" i="12"/>
  <c r="X252" i="12"/>
  <c r="W252" i="12"/>
  <c r="V252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AD252" i="12"/>
  <c r="AE251" i="12"/>
  <c r="AC251" i="12"/>
  <c r="AB251" i="12"/>
  <c r="AA251" i="12"/>
  <c r="Z251" i="12"/>
  <c r="Y251" i="12"/>
  <c r="X251" i="12"/>
  <c r="W251" i="12"/>
  <c r="V251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AD251" i="12"/>
  <c r="AE250" i="12"/>
  <c r="AC250" i="12"/>
  <c r="AB250" i="12"/>
  <c r="AA250" i="12"/>
  <c r="Z250" i="12"/>
  <c r="Y250" i="12"/>
  <c r="X250" i="12"/>
  <c r="W250" i="12"/>
  <c r="V250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AD250" i="12"/>
  <c r="AE249" i="12"/>
  <c r="AC249" i="12"/>
  <c r="AB249" i="12"/>
  <c r="AA249" i="12"/>
  <c r="Z249" i="12"/>
  <c r="Y249" i="12"/>
  <c r="X249" i="12"/>
  <c r="W249" i="12"/>
  <c r="V249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AD249" i="12"/>
  <c r="AE248" i="12"/>
  <c r="AC248" i="12"/>
  <c r="AB248" i="12"/>
  <c r="AA248" i="12"/>
  <c r="Z248" i="12"/>
  <c r="Y248" i="12"/>
  <c r="X248" i="12"/>
  <c r="W248" i="12"/>
  <c r="V248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AD248" i="12"/>
  <c r="AE247" i="12"/>
  <c r="AC247" i="12"/>
  <c r="AB247" i="12"/>
  <c r="AA247" i="12"/>
  <c r="Z247" i="12"/>
  <c r="Y247" i="12"/>
  <c r="X247" i="12"/>
  <c r="W247" i="12"/>
  <c r="V247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AD247" i="12"/>
  <c r="AE246" i="12"/>
  <c r="AC246" i="12"/>
  <c r="AB246" i="12"/>
  <c r="AA246" i="12"/>
  <c r="Z246" i="12"/>
  <c r="Y246" i="12"/>
  <c r="X246" i="12"/>
  <c r="W246" i="12"/>
  <c r="V246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AD246" i="12"/>
  <c r="AE245" i="12"/>
  <c r="AC245" i="12"/>
  <c r="AB245" i="12"/>
  <c r="AA245" i="12"/>
  <c r="Z245" i="12"/>
  <c r="Y245" i="12"/>
  <c r="X245" i="12"/>
  <c r="W245" i="12"/>
  <c r="V245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AD245" i="12"/>
  <c r="AE244" i="12"/>
  <c r="AC244" i="12"/>
  <c r="AB244" i="12"/>
  <c r="AA244" i="12"/>
  <c r="Z244" i="12"/>
  <c r="Y244" i="12"/>
  <c r="X244" i="12"/>
  <c r="W244" i="12"/>
  <c r="V244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AD244" i="12"/>
  <c r="AE243" i="12"/>
  <c r="AC243" i="12"/>
  <c r="AB243" i="12"/>
  <c r="AA243" i="12"/>
  <c r="Z243" i="12"/>
  <c r="Y243" i="12"/>
  <c r="X243" i="12"/>
  <c r="W243" i="12"/>
  <c r="V243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AD243" i="12"/>
  <c r="AE242" i="12"/>
  <c r="AC242" i="12"/>
  <c r="AB242" i="12"/>
  <c r="AA242" i="12"/>
  <c r="Z242" i="12"/>
  <c r="Y242" i="12"/>
  <c r="X242" i="12"/>
  <c r="W242" i="12"/>
  <c r="V242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AD242" i="12"/>
  <c r="AE241" i="12"/>
  <c r="AC241" i="12"/>
  <c r="AB241" i="12"/>
  <c r="AA241" i="12"/>
  <c r="Z241" i="12"/>
  <c r="Y241" i="12"/>
  <c r="X241" i="12"/>
  <c r="W241" i="12"/>
  <c r="V241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AD241" i="12"/>
  <c r="AE240" i="12"/>
  <c r="AC240" i="12"/>
  <c r="AB240" i="12"/>
  <c r="AA240" i="12"/>
  <c r="Z240" i="12"/>
  <c r="Y240" i="12"/>
  <c r="X240" i="12"/>
  <c r="W240" i="12"/>
  <c r="V240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AD240" i="12"/>
  <c r="AE239" i="12"/>
  <c r="AC239" i="12"/>
  <c r="AB239" i="12"/>
  <c r="AA239" i="12"/>
  <c r="Z239" i="12"/>
  <c r="Y239" i="12"/>
  <c r="X239" i="12"/>
  <c r="W239" i="12"/>
  <c r="V239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AD239" i="12"/>
  <c r="AE238" i="12"/>
  <c r="AC238" i="12"/>
  <c r="AB238" i="12"/>
  <c r="AA238" i="12"/>
  <c r="Z238" i="12"/>
  <c r="Y238" i="12"/>
  <c r="X238" i="12"/>
  <c r="W238" i="12"/>
  <c r="V238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AD238" i="12"/>
  <c r="AE237" i="12"/>
  <c r="AC237" i="12"/>
  <c r="AB237" i="12"/>
  <c r="AA237" i="12"/>
  <c r="Z237" i="12"/>
  <c r="Y237" i="12"/>
  <c r="X237" i="12"/>
  <c r="W237" i="12"/>
  <c r="V237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AD237" i="12"/>
  <c r="AE236" i="12"/>
  <c r="AC236" i="12"/>
  <c r="AB236" i="12"/>
  <c r="AA236" i="12"/>
  <c r="Z236" i="12"/>
  <c r="Y236" i="12"/>
  <c r="X236" i="12"/>
  <c r="W236" i="12"/>
  <c r="V236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AD236" i="12"/>
  <c r="AE235" i="12"/>
  <c r="AC235" i="12"/>
  <c r="AB235" i="12"/>
  <c r="AA235" i="12"/>
  <c r="Z235" i="12"/>
  <c r="Y235" i="12"/>
  <c r="X235" i="12"/>
  <c r="W235" i="12"/>
  <c r="V235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AD235" i="12"/>
  <c r="AE234" i="12"/>
  <c r="AC234" i="12"/>
  <c r="AB234" i="12"/>
  <c r="AA234" i="12"/>
  <c r="Z234" i="12"/>
  <c r="Y234" i="12"/>
  <c r="X234" i="12"/>
  <c r="W234" i="12"/>
  <c r="V234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AD234" i="12"/>
  <c r="AE233" i="12"/>
  <c r="AC233" i="12"/>
  <c r="AB233" i="12"/>
  <c r="AA233" i="12"/>
  <c r="Z233" i="12"/>
  <c r="Y233" i="12"/>
  <c r="X233" i="12"/>
  <c r="W233" i="12"/>
  <c r="V233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AD233" i="12"/>
  <c r="AE232" i="12"/>
  <c r="AC232" i="12"/>
  <c r="AB232" i="12"/>
  <c r="AA232" i="12"/>
  <c r="Z232" i="12"/>
  <c r="Y232" i="12"/>
  <c r="X232" i="12"/>
  <c r="W232" i="12"/>
  <c r="V232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AD232" i="12"/>
  <c r="AE231" i="12"/>
  <c r="AC231" i="12"/>
  <c r="AB231" i="12"/>
  <c r="AA231" i="12"/>
  <c r="Z231" i="12"/>
  <c r="Y231" i="12"/>
  <c r="X231" i="12"/>
  <c r="W231" i="12"/>
  <c r="V231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AD231" i="12"/>
  <c r="AE230" i="12"/>
  <c r="AC230" i="12"/>
  <c r="AB230" i="12"/>
  <c r="AA230" i="12"/>
  <c r="Z230" i="12"/>
  <c r="Y230" i="12"/>
  <c r="X230" i="12"/>
  <c r="W230" i="12"/>
  <c r="V230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AD230" i="12"/>
  <c r="AE229" i="12"/>
  <c r="AC229" i="12"/>
  <c r="AB229" i="12"/>
  <c r="AA229" i="12"/>
  <c r="Z229" i="12"/>
  <c r="Y229" i="12"/>
  <c r="X229" i="12"/>
  <c r="W229" i="12"/>
  <c r="V229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AD229" i="12"/>
  <c r="AE228" i="12"/>
  <c r="AC228" i="12"/>
  <c r="AB228" i="12"/>
  <c r="AA228" i="12"/>
  <c r="Z228" i="12"/>
  <c r="Y228" i="12"/>
  <c r="X228" i="12"/>
  <c r="W228" i="12"/>
  <c r="V228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AD228" i="12"/>
  <c r="AE227" i="12"/>
  <c r="AC227" i="12"/>
  <c r="AB227" i="12"/>
  <c r="AA227" i="12"/>
  <c r="Z227" i="12"/>
  <c r="Y227" i="12"/>
  <c r="X227" i="12"/>
  <c r="W227" i="12"/>
  <c r="V227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AD227" i="12"/>
  <c r="AE226" i="12"/>
  <c r="AC226" i="12"/>
  <c r="AB226" i="12"/>
  <c r="AA226" i="12"/>
  <c r="Z226" i="12"/>
  <c r="Y226" i="12"/>
  <c r="X226" i="12"/>
  <c r="W226" i="12"/>
  <c r="V226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AD226" i="12"/>
  <c r="AE225" i="12"/>
  <c r="AC225" i="12"/>
  <c r="AB225" i="12"/>
  <c r="AA225" i="12"/>
  <c r="Z225" i="12"/>
  <c r="Y225" i="12"/>
  <c r="X225" i="12"/>
  <c r="W225" i="12"/>
  <c r="V225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AD225" i="12"/>
  <c r="AE224" i="12"/>
  <c r="AC224" i="12"/>
  <c r="AB224" i="12"/>
  <c r="AA224" i="12"/>
  <c r="Z224" i="12"/>
  <c r="Y224" i="12"/>
  <c r="X224" i="12"/>
  <c r="W224" i="12"/>
  <c r="V224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AD224" i="12"/>
  <c r="AE223" i="12"/>
  <c r="AC223" i="12"/>
  <c r="AB223" i="12"/>
  <c r="AA223" i="12"/>
  <c r="Z223" i="12"/>
  <c r="Y223" i="12"/>
  <c r="X223" i="12"/>
  <c r="W223" i="12"/>
  <c r="V223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AD223" i="12"/>
  <c r="AE222" i="12"/>
  <c r="AC222" i="12"/>
  <c r="AB222" i="12"/>
  <c r="AA222" i="12"/>
  <c r="Z222" i="12"/>
  <c r="Y222" i="12"/>
  <c r="X222" i="12"/>
  <c r="W222" i="12"/>
  <c r="V222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AD222" i="12"/>
  <c r="AE221" i="12"/>
  <c r="AC221" i="12"/>
  <c r="AB221" i="12"/>
  <c r="AA221" i="12"/>
  <c r="Z221" i="12"/>
  <c r="Y221" i="12"/>
  <c r="X221" i="12"/>
  <c r="W221" i="12"/>
  <c r="V221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AD221" i="12"/>
  <c r="AE220" i="12"/>
  <c r="AC220" i="12"/>
  <c r="AB220" i="12"/>
  <c r="AA220" i="12"/>
  <c r="Z220" i="12"/>
  <c r="Y220" i="12"/>
  <c r="X220" i="12"/>
  <c r="W220" i="12"/>
  <c r="V220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AD220" i="12"/>
  <c r="AE219" i="12"/>
  <c r="AC219" i="12"/>
  <c r="AB219" i="12"/>
  <c r="AA219" i="12"/>
  <c r="Z219" i="12"/>
  <c r="Y219" i="12"/>
  <c r="X219" i="12"/>
  <c r="W219" i="12"/>
  <c r="V219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AD219" i="12"/>
  <c r="AE218" i="12"/>
  <c r="AC218" i="12"/>
  <c r="AB218" i="12"/>
  <c r="AA218" i="12"/>
  <c r="Z218" i="12"/>
  <c r="Y218" i="12"/>
  <c r="X218" i="12"/>
  <c r="W218" i="12"/>
  <c r="V218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AE217" i="12"/>
  <c r="AC217" i="12"/>
  <c r="AB217" i="12"/>
  <c r="AA217" i="12"/>
  <c r="Z217" i="12"/>
  <c r="Y217" i="12"/>
  <c r="X217" i="12"/>
  <c r="W217" i="12"/>
  <c r="V217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AD217" i="12" s="1"/>
  <c r="AE216" i="12"/>
  <c r="AC216" i="12"/>
  <c r="AB216" i="12"/>
  <c r="AA216" i="12"/>
  <c r="Z216" i="12"/>
  <c r="Y216" i="12"/>
  <c r="X216" i="12"/>
  <c r="W216" i="12"/>
  <c r="V216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AD216" i="12" s="1"/>
  <c r="AE215" i="12"/>
  <c r="AC215" i="12"/>
  <c r="AB215" i="12"/>
  <c r="AA215" i="12"/>
  <c r="Z215" i="12"/>
  <c r="Y215" i="12"/>
  <c r="X215" i="12"/>
  <c r="W215" i="12"/>
  <c r="V215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AD215" i="12" s="1"/>
  <c r="AE214" i="12"/>
  <c r="AC214" i="12"/>
  <c r="AB214" i="12"/>
  <c r="AA214" i="12"/>
  <c r="Z214" i="12"/>
  <c r="Y214" i="12"/>
  <c r="X214" i="12"/>
  <c r="W214" i="12"/>
  <c r="V214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AD214" i="12" s="1"/>
  <c r="AE213" i="12"/>
  <c r="AC213" i="12"/>
  <c r="AB213" i="12"/>
  <c r="AA213" i="12"/>
  <c r="Z213" i="12"/>
  <c r="Y213" i="12"/>
  <c r="X213" i="12"/>
  <c r="W213" i="12"/>
  <c r="V213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AD213" i="12" s="1"/>
  <c r="AE212" i="12"/>
  <c r="AC212" i="12"/>
  <c r="AB212" i="12"/>
  <c r="AA212" i="12"/>
  <c r="Z212" i="12"/>
  <c r="Y212" i="12"/>
  <c r="X212" i="12"/>
  <c r="W212" i="12"/>
  <c r="V212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AD212" i="12" s="1"/>
  <c r="AE211" i="12"/>
  <c r="AC211" i="12"/>
  <c r="AB211" i="12"/>
  <c r="AA211" i="12"/>
  <c r="Z211" i="12"/>
  <c r="Y211" i="12"/>
  <c r="X211" i="12"/>
  <c r="W211" i="12"/>
  <c r="V211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AD211" i="12" s="1"/>
  <c r="AE210" i="12"/>
  <c r="AC210" i="12"/>
  <c r="AB210" i="12"/>
  <c r="AA210" i="12"/>
  <c r="Z210" i="12"/>
  <c r="Y210" i="12"/>
  <c r="X210" i="12"/>
  <c r="W210" i="12"/>
  <c r="V210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AD210" i="12" s="1"/>
  <c r="AE209" i="12"/>
  <c r="AC209" i="12"/>
  <c r="AB209" i="12"/>
  <c r="AA209" i="12"/>
  <c r="Z209" i="12"/>
  <c r="Y209" i="12"/>
  <c r="X209" i="12"/>
  <c r="W209" i="12"/>
  <c r="V209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AD209" i="12" s="1"/>
  <c r="AE208" i="12"/>
  <c r="AC208" i="12"/>
  <c r="AB208" i="12"/>
  <c r="AA208" i="12"/>
  <c r="Z208" i="12"/>
  <c r="Y208" i="12"/>
  <c r="X208" i="12"/>
  <c r="W208" i="12"/>
  <c r="V208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AD208" i="12" s="1"/>
  <c r="AE207" i="12"/>
  <c r="AC207" i="12"/>
  <c r="AB207" i="12"/>
  <c r="AA207" i="12"/>
  <c r="Z207" i="12"/>
  <c r="Y207" i="12"/>
  <c r="X207" i="12"/>
  <c r="W207" i="12"/>
  <c r="V207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AD207" i="12" s="1"/>
  <c r="AE206" i="12"/>
  <c r="AC206" i="12"/>
  <c r="AB206" i="12"/>
  <c r="AA206" i="12"/>
  <c r="Z206" i="12"/>
  <c r="Y206" i="12"/>
  <c r="X206" i="12"/>
  <c r="W206" i="12"/>
  <c r="V206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AD206" i="12" s="1"/>
  <c r="AE205" i="12"/>
  <c r="AC205" i="12"/>
  <c r="AB205" i="12"/>
  <c r="AA205" i="12"/>
  <c r="Z205" i="12"/>
  <c r="Y205" i="12"/>
  <c r="X205" i="12"/>
  <c r="W205" i="12"/>
  <c r="V205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AD205" i="12" s="1"/>
  <c r="AE204" i="12"/>
  <c r="AC204" i="12"/>
  <c r="AB204" i="12"/>
  <c r="AA204" i="12"/>
  <c r="Z204" i="12"/>
  <c r="Y204" i="12"/>
  <c r="X204" i="12"/>
  <c r="W204" i="12"/>
  <c r="V204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AD204" i="12" s="1"/>
  <c r="AE203" i="12"/>
  <c r="AC203" i="12"/>
  <c r="AB203" i="12"/>
  <c r="AA203" i="12"/>
  <c r="Z203" i="12"/>
  <c r="Y203" i="12"/>
  <c r="X203" i="12"/>
  <c r="W203" i="12"/>
  <c r="V203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AD203" i="12" s="1"/>
  <c r="AE202" i="12"/>
  <c r="AC202" i="12"/>
  <c r="AB202" i="12"/>
  <c r="AA202" i="12"/>
  <c r="Z202" i="12"/>
  <c r="Y202" i="12"/>
  <c r="X202" i="12"/>
  <c r="W202" i="12"/>
  <c r="V202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AD202" i="12" s="1"/>
  <c r="AE201" i="12"/>
  <c r="AC201" i="12"/>
  <c r="AB201" i="12"/>
  <c r="AA201" i="12"/>
  <c r="Z201" i="12"/>
  <c r="Y201" i="12"/>
  <c r="X201" i="12"/>
  <c r="W201" i="12"/>
  <c r="V201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AD201" i="12" s="1"/>
  <c r="AE200" i="12"/>
  <c r="AC200" i="12"/>
  <c r="AB200" i="12"/>
  <c r="AA200" i="12"/>
  <c r="Z200" i="12"/>
  <c r="Y200" i="12"/>
  <c r="X200" i="12"/>
  <c r="W200" i="12"/>
  <c r="V200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AD200" i="12" s="1"/>
  <c r="AE199" i="12"/>
  <c r="AC199" i="12"/>
  <c r="AB199" i="12"/>
  <c r="AA199" i="12"/>
  <c r="Z199" i="12"/>
  <c r="Y199" i="12"/>
  <c r="X199" i="12"/>
  <c r="W199" i="12"/>
  <c r="V199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AD199" i="12" s="1"/>
  <c r="AE198" i="12"/>
  <c r="AC198" i="12"/>
  <c r="AB198" i="12"/>
  <c r="AA198" i="12"/>
  <c r="Z198" i="12"/>
  <c r="Y198" i="12"/>
  <c r="X198" i="12"/>
  <c r="W198" i="12"/>
  <c r="V198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AD198" i="12" s="1"/>
  <c r="AE197" i="12"/>
  <c r="AC197" i="12"/>
  <c r="AB197" i="12"/>
  <c r="AA197" i="12"/>
  <c r="Z197" i="12"/>
  <c r="Y197" i="12"/>
  <c r="X197" i="12"/>
  <c r="W197" i="12"/>
  <c r="V197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AD197" i="12" s="1"/>
  <c r="AE196" i="12"/>
  <c r="AC196" i="12"/>
  <c r="AB196" i="12"/>
  <c r="AA196" i="12"/>
  <c r="Z196" i="12"/>
  <c r="Y196" i="12"/>
  <c r="X196" i="12"/>
  <c r="W196" i="12"/>
  <c r="V196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AD196" i="12" s="1"/>
  <c r="AE195" i="12"/>
  <c r="AC195" i="12"/>
  <c r="AB195" i="12"/>
  <c r="AA195" i="12"/>
  <c r="Z195" i="12"/>
  <c r="Y195" i="12"/>
  <c r="X195" i="12"/>
  <c r="W195" i="12"/>
  <c r="V195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AD195" i="12" s="1"/>
  <c r="AE194" i="12"/>
  <c r="AC194" i="12"/>
  <c r="AB194" i="12"/>
  <c r="AA194" i="12"/>
  <c r="Z194" i="12"/>
  <c r="Y194" i="12"/>
  <c r="X194" i="12"/>
  <c r="W194" i="12"/>
  <c r="V194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AD194" i="12" s="1"/>
  <c r="AE193" i="12"/>
  <c r="AC193" i="12"/>
  <c r="AB193" i="12"/>
  <c r="AA193" i="12"/>
  <c r="Z193" i="12"/>
  <c r="Y193" i="12"/>
  <c r="X193" i="12"/>
  <c r="W193" i="12"/>
  <c r="V193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AD193" i="12" s="1"/>
  <c r="AE192" i="12"/>
  <c r="AC192" i="12"/>
  <c r="AB192" i="12"/>
  <c r="AA192" i="12"/>
  <c r="Z192" i="12"/>
  <c r="Y192" i="12"/>
  <c r="X192" i="12"/>
  <c r="W192" i="12"/>
  <c r="V192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AD192" i="12" s="1"/>
  <c r="AE191" i="12"/>
  <c r="AC191" i="12"/>
  <c r="AB191" i="12"/>
  <c r="AA191" i="12"/>
  <c r="Z191" i="12"/>
  <c r="Y191" i="12"/>
  <c r="X191" i="12"/>
  <c r="W191" i="12"/>
  <c r="V191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AD191" i="12" s="1"/>
  <c r="AE190" i="12"/>
  <c r="AC190" i="12"/>
  <c r="AB190" i="12"/>
  <c r="AA190" i="12"/>
  <c r="Z190" i="12"/>
  <c r="Y190" i="12"/>
  <c r="X190" i="12"/>
  <c r="W190" i="12"/>
  <c r="V190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AD190" i="12" s="1"/>
  <c r="AE189" i="12"/>
  <c r="AC189" i="12"/>
  <c r="AB189" i="12"/>
  <c r="AA189" i="12"/>
  <c r="Z189" i="12"/>
  <c r="Y189" i="12"/>
  <c r="X189" i="12"/>
  <c r="W189" i="12"/>
  <c r="V189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AD189" i="12" s="1"/>
  <c r="AE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AD188" i="12" s="1"/>
  <c r="AE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AD187" i="12" s="1"/>
  <c r="AE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AD186" i="12" s="1"/>
  <c r="AE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AD185" i="12" s="1"/>
  <c r="AE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AD184" i="12" s="1"/>
  <c r="AE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AD183" i="12" s="1"/>
  <c r="AE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AD182" i="12" s="1"/>
  <c r="AE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AD181" i="12" s="1"/>
  <c r="AE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AD180" i="12" s="1"/>
  <c r="AE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AD179" i="12" s="1"/>
  <c r="AE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AD178" i="12" s="1"/>
  <c r="AE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AD177" i="12" s="1"/>
  <c r="AE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AD176" i="12" s="1"/>
  <c r="AE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AD175" i="12" s="1"/>
  <c r="AE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AD174" i="12" s="1"/>
  <c r="AE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AE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AD172" i="12"/>
  <c r="AE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AD171" i="12"/>
  <c r="AE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AD170" i="12"/>
  <c r="AE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AD169" i="12"/>
  <c r="AE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AD168" i="12"/>
  <c r="AE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AD167" i="12"/>
  <c r="AE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AD166" i="12"/>
  <c r="AE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AD165" i="12"/>
  <c r="AE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AD164" i="12"/>
  <c r="AE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AE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AD162" i="12" s="1"/>
  <c r="AE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AD161" i="12" s="1"/>
  <c r="AE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AD160" i="12" s="1"/>
  <c r="AE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AE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AD158" i="12"/>
  <c r="AE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AD157" i="12"/>
  <c r="AE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AD156" i="12"/>
  <c r="AE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AD155" i="12"/>
  <c r="AE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AD154" i="12"/>
  <c r="AE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AD153" i="12"/>
  <c r="AE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AE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AD151" i="12" s="1"/>
  <c r="AE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AD150" i="12" s="1"/>
  <c r="AE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AD149" i="12" s="1"/>
  <c r="AE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AD148" i="12" s="1"/>
  <c r="AE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AD147" i="12" s="1"/>
  <c r="AE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AD146" i="12" s="1"/>
  <c r="AE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AD145" i="12" s="1"/>
  <c r="AE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AD144" i="12" s="1"/>
  <c r="AE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AD143" i="12" s="1"/>
  <c r="AE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AD142" i="12" s="1"/>
  <c r="AE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AE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AD140" i="12"/>
  <c r="AE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AE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AD138" i="12" s="1"/>
  <c r="AE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AE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AD136" i="12"/>
  <c r="AE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AD135" i="12"/>
  <c r="AE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AD134" i="12"/>
  <c r="AE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AD133" i="12"/>
  <c r="AE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AD132" i="12"/>
  <c r="AE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AD131" i="12"/>
  <c r="AE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AE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AD129" i="12" s="1"/>
  <c r="AE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AD128" i="12" s="1"/>
  <c r="AE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AD127" i="12" s="1"/>
  <c r="AE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AD126" i="12" s="1"/>
  <c r="AE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AD125" i="12" s="1"/>
  <c r="AE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AD124" i="12" s="1"/>
  <c r="AE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AD123" i="12" s="1"/>
  <c r="AE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AD122" i="12" s="1"/>
  <c r="AE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AD121" i="12" s="1"/>
  <c r="AE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AD120" i="12" s="1"/>
  <c r="AE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AD119" i="12" s="1"/>
  <c r="AE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AD118" i="12" s="1"/>
  <c r="AE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AD117" i="12" s="1"/>
  <c r="AE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AD116" i="12" s="1"/>
  <c r="AE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AD115" i="12" s="1"/>
  <c r="AE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AD114" i="12" s="1"/>
  <c r="AE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AE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AD112" i="12"/>
  <c r="AE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AD111" i="12"/>
  <c r="AE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AE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AD109" i="12" s="1"/>
  <c r="AE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AE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AD107" i="12"/>
  <c r="AE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AE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AD105" i="12" s="1"/>
  <c r="AE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AE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AD103" i="12"/>
  <c r="AE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AE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AD101" i="12" s="1"/>
  <c r="AE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AE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AD99" i="12"/>
  <c r="AE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AE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AD97" i="12" s="1"/>
  <c r="AE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AE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AD95" i="12"/>
  <c r="AE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AE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AD93" i="12" s="1"/>
  <c r="AE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AE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AD91" i="12"/>
  <c r="AE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AE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AD89" i="12" s="1"/>
  <c r="AE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AE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AD87" i="12"/>
  <c r="AE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AE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AD85" i="12" s="1"/>
  <c r="AE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AE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AD83" i="12"/>
  <c r="AE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AE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AD81" i="12" s="1"/>
  <c r="AE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AE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AD79" i="12"/>
  <c r="AE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AE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AD77" i="12" s="1"/>
  <c r="AE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AE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AD75" i="12"/>
  <c r="AE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AE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AD73" i="12" s="1"/>
  <c r="AE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AE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AD71" i="12"/>
  <c r="AE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AE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AD69" i="12" s="1"/>
  <c r="AE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AE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AD67" i="12"/>
  <c r="AE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AE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AD65" i="12" s="1"/>
  <c r="AE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AE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AD63" i="12"/>
  <c r="AE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AE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AD61" i="12" s="1"/>
  <c r="AE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AE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AD59" i="12"/>
  <c r="AE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AE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AD57" i="12" s="1"/>
  <c r="AE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AE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AD55" i="12"/>
  <c r="AE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AE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AD53" i="12" s="1"/>
  <c r="AE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AE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AD51" i="12"/>
  <c r="AE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AE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AD49" i="12" s="1"/>
  <c r="AE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AE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AD47" i="12"/>
  <c r="AE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AE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AD45" i="12" s="1"/>
  <c r="AE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AE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AD43" i="12"/>
  <c r="AE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AE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AD41" i="12" s="1"/>
  <c r="AE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AD40" i="12" s="1"/>
  <c r="AE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AD39" i="12" s="1"/>
  <c r="AE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AD38" i="12" s="1"/>
  <c r="AE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AD37" i="12" s="1"/>
  <c r="AE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AD36" i="12" s="1"/>
  <c r="AE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AE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AD34" i="12"/>
  <c r="AE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AE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AD32" i="12" s="1"/>
  <c r="AE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AD31" i="12" s="1"/>
  <c r="AE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AD30" i="12" s="1"/>
  <c r="AE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AD29" i="12" s="1"/>
  <c r="AE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AD28" i="12" s="1"/>
  <c r="AE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AD27" i="12" s="1"/>
  <c r="AE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AD26" i="12" s="1"/>
  <c r="AE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AD25" i="12" s="1"/>
  <c r="AE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AD24" i="12" s="1"/>
  <c r="AE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AD23" i="12" s="1"/>
  <c r="AE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AD22" i="12" s="1"/>
  <c r="AE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AD21" i="12" s="1"/>
  <c r="AE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AD20" i="12" s="1"/>
  <c r="AE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AD19" i="12" s="1"/>
  <c r="AE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AD18" i="12" s="1"/>
  <c r="AE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AD17" i="12" s="1"/>
  <c r="AE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AD16" i="12" s="1"/>
  <c r="AE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AD15" i="12" s="1"/>
  <c r="AE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AD14" i="12" s="1"/>
  <c r="AE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AD13" i="12" s="1"/>
  <c r="AE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AD12" i="12" s="1"/>
  <c r="AE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AE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AD10" i="12"/>
  <c r="AE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AE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AD8" i="12" s="1"/>
  <c r="AE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AD7" i="12" s="1"/>
  <c r="AE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AD6" i="12" s="1"/>
  <c r="AE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AD5" i="12" s="1"/>
  <c r="AE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AD4" i="12" s="1"/>
  <c r="AE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AD3" i="12" s="1"/>
  <c r="AE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AE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AD1" i="12"/>
  <c r="AE365" i="11"/>
  <c r="AC365" i="11"/>
  <c r="AB365" i="11"/>
  <c r="AA365" i="11"/>
  <c r="Z365" i="11"/>
  <c r="Y365" i="11"/>
  <c r="X365" i="11"/>
  <c r="W365" i="11"/>
  <c r="V365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AE364" i="11"/>
  <c r="AC364" i="11"/>
  <c r="AB364" i="11"/>
  <c r="AA364" i="11"/>
  <c r="Z364" i="11"/>
  <c r="Y364" i="11"/>
  <c r="X364" i="11"/>
  <c r="W364" i="11"/>
  <c r="V364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AD364" i="11" s="1"/>
  <c r="AE363" i="11"/>
  <c r="AC363" i="11"/>
  <c r="AB363" i="11"/>
  <c r="AA363" i="11"/>
  <c r="Z363" i="11"/>
  <c r="Y363" i="11"/>
  <c r="X363" i="11"/>
  <c r="W363" i="11"/>
  <c r="V363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AE362" i="11"/>
  <c r="AC362" i="11"/>
  <c r="AB362" i="11"/>
  <c r="AA362" i="11"/>
  <c r="Z362" i="11"/>
  <c r="Y362" i="11"/>
  <c r="X362" i="11"/>
  <c r="W362" i="11"/>
  <c r="V362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AD362" i="11"/>
  <c r="AE361" i="11"/>
  <c r="AC361" i="11"/>
  <c r="AB361" i="11"/>
  <c r="AA361" i="11"/>
  <c r="Z361" i="11"/>
  <c r="Y361" i="11"/>
  <c r="X361" i="11"/>
  <c r="W361" i="11"/>
  <c r="V361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AE360" i="11"/>
  <c r="AC360" i="11"/>
  <c r="AB360" i="11"/>
  <c r="AA360" i="11"/>
  <c r="Z360" i="11"/>
  <c r="Y360" i="11"/>
  <c r="X360" i="11"/>
  <c r="W360" i="11"/>
  <c r="V360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AD360" i="11" s="1"/>
  <c r="AE359" i="11"/>
  <c r="AC359" i="11"/>
  <c r="AB359" i="11"/>
  <c r="AA359" i="11"/>
  <c r="Z359" i="11"/>
  <c r="Y359" i="11"/>
  <c r="X359" i="11"/>
  <c r="W359" i="11"/>
  <c r="V359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AE358" i="11"/>
  <c r="AC358" i="11"/>
  <c r="AB358" i="11"/>
  <c r="AA358" i="11"/>
  <c r="Z358" i="11"/>
  <c r="Y358" i="11"/>
  <c r="X358" i="11"/>
  <c r="W358" i="11"/>
  <c r="V358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AD358" i="11"/>
  <c r="AE357" i="11"/>
  <c r="AC357" i="11"/>
  <c r="AB357" i="11"/>
  <c r="AA357" i="11"/>
  <c r="Z357" i="11"/>
  <c r="Y357" i="11"/>
  <c r="X357" i="11"/>
  <c r="W357" i="11"/>
  <c r="V357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AE356" i="11"/>
  <c r="AC356" i="11"/>
  <c r="AB356" i="11"/>
  <c r="AA356" i="11"/>
  <c r="Z356" i="11"/>
  <c r="Y356" i="11"/>
  <c r="X356" i="11"/>
  <c r="W356" i="11"/>
  <c r="V356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AD356" i="11" s="1"/>
  <c r="AE355" i="11"/>
  <c r="AC355" i="11"/>
  <c r="AB355" i="11"/>
  <c r="AA355" i="11"/>
  <c r="Z355" i="11"/>
  <c r="Y355" i="11"/>
  <c r="X355" i="11"/>
  <c r="W355" i="11"/>
  <c r="V355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AE354" i="11"/>
  <c r="AC354" i="11"/>
  <c r="AB354" i="11"/>
  <c r="AA354" i="11"/>
  <c r="Z354" i="11"/>
  <c r="Y354" i="11"/>
  <c r="X354" i="11"/>
  <c r="W354" i="11"/>
  <c r="V354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AD354" i="11"/>
  <c r="AE353" i="11"/>
  <c r="AC353" i="11"/>
  <c r="AB353" i="11"/>
  <c r="AA353" i="11"/>
  <c r="Z353" i="11"/>
  <c r="Y353" i="11"/>
  <c r="X353" i="11"/>
  <c r="W353" i="11"/>
  <c r="V353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AE352" i="11"/>
  <c r="AC352" i="11"/>
  <c r="AB352" i="11"/>
  <c r="AA352" i="11"/>
  <c r="Z352" i="11"/>
  <c r="Y352" i="11"/>
  <c r="X352" i="11"/>
  <c r="W352" i="11"/>
  <c r="V352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AD352" i="11" s="1"/>
  <c r="AE351" i="11"/>
  <c r="AC351" i="11"/>
  <c r="AB351" i="11"/>
  <c r="AA351" i="11"/>
  <c r="Z351" i="11"/>
  <c r="Y351" i="11"/>
  <c r="X351" i="11"/>
  <c r="W351" i="11"/>
  <c r="V351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AE350" i="11"/>
  <c r="AC350" i="11"/>
  <c r="AB350" i="11"/>
  <c r="AA350" i="11"/>
  <c r="Z350" i="11"/>
  <c r="Y350" i="11"/>
  <c r="X350" i="11"/>
  <c r="W350" i="11"/>
  <c r="V350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AD350" i="11"/>
  <c r="AE349" i="11"/>
  <c r="AC349" i="11"/>
  <c r="AB349" i="11"/>
  <c r="AA349" i="11"/>
  <c r="Z349" i="11"/>
  <c r="Y349" i="11"/>
  <c r="X349" i="11"/>
  <c r="W349" i="11"/>
  <c r="V349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AE348" i="11"/>
  <c r="AC348" i="11"/>
  <c r="AB348" i="11"/>
  <c r="AA348" i="11"/>
  <c r="Z348" i="11"/>
  <c r="Y348" i="11"/>
  <c r="X348" i="11"/>
  <c r="W348" i="11"/>
  <c r="V348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AD348" i="11" s="1"/>
  <c r="AE347" i="11"/>
  <c r="AC347" i="11"/>
  <c r="AB347" i="11"/>
  <c r="AA347" i="11"/>
  <c r="Z347" i="11"/>
  <c r="Y347" i="11"/>
  <c r="X347" i="11"/>
  <c r="W347" i="11"/>
  <c r="V347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AE346" i="11"/>
  <c r="AC346" i="11"/>
  <c r="AB346" i="11"/>
  <c r="AA346" i="11"/>
  <c r="Z346" i="11"/>
  <c r="Y346" i="11"/>
  <c r="X346" i="11"/>
  <c r="W346" i="11"/>
  <c r="V346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AD346" i="11"/>
  <c r="AE345" i="11"/>
  <c r="AC345" i="11"/>
  <c r="AB345" i="11"/>
  <c r="AA345" i="11"/>
  <c r="Z345" i="11"/>
  <c r="Y345" i="11"/>
  <c r="X345" i="11"/>
  <c r="W345" i="11"/>
  <c r="V345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AE344" i="11"/>
  <c r="AC344" i="11"/>
  <c r="AB344" i="11"/>
  <c r="AA344" i="11"/>
  <c r="Z344" i="11"/>
  <c r="Y344" i="11"/>
  <c r="X344" i="11"/>
  <c r="W344" i="11"/>
  <c r="V344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AD344" i="11" s="1"/>
  <c r="AE343" i="11"/>
  <c r="AC343" i="11"/>
  <c r="AB343" i="11"/>
  <c r="AA343" i="11"/>
  <c r="Z343" i="11"/>
  <c r="Y343" i="11"/>
  <c r="X343" i="11"/>
  <c r="W343" i="11"/>
  <c r="V343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AE342" i="11"/>
  <c r="AC342" i="11"/>
  <c r="AB342" i="11"/>
  <c r="AA342" i="11"/>
  <c r="Z342" i="11"/>
  <c r="Y342" i="11"/>
  <c r="X342" i="11"/>
  <c r="W342" i="11"/>
  <c r="V342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AD342" i="11"/>
  <c r="AE341" i="11"/>
  <c r="AC341" i="11"/>
  <c r="AB341" i="11"/>
  <c r="AA341" i="11"/>
  <c r="Z341" i="11"/>
  <c r="Y341" i="11"/>
  <c r="X341" i="11"/>
  <c r="W341" i="11"/>
  <c r="V341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AE340" i="11"/>
  <c r="AC340" i="11"/>
  <c r="AB340" i="11"/>
  <c r="AA340" i="11"/>
  <c r="Z340" i="11"/>
  <c r="Y340" i="11"/>
  <c r="X340" i="11"/>
  <c r="W340" i="11"/>
  <c r="V340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AD340" i="11" s="1"/>
  <c r="AE339" i="11"/>
  <c r="AC339" i="11"/>
  <c r="AB339" i="11"/>
  <c r="AA339" i="11"/>
  <c r="Z339" i="11"/>
  <c r="Y339" i="11"/>
  <c r="X339" i="11"/>
  <c r="W339" i="11"/>
  <c r="V339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AE338" i="11"/>
  <c r="AC338" i="11"/>
  <c r="AB338" i="11"/>
  <c r="AA338" i="11"/>
  <c r="Z338" i="11"/>
  <c r="Y338" i="11"/>
  <c r="X338" i="11"/>
  <c r="W338" i="11"/>
  <c r="V338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AD338" i="11"/>
  <c r="AE337" i="11"/>
  <c r="AC337" i="11"/>
  <c r="AB337" i="11"/>
  <c r="AA337" i="11"/>
  <c r="Z337" i="11"/>
  <c r="Y337" i="11"/>
  <c r="X337" i="11"/>
  <c r="W337" i="11"/>
  <c r="V337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AE336" i="11"/>
  <c r="AC336" i="11"/>
  <c r="AB336" i="11"/>
  <c r="AA336" i="11"/>
  <c r="Z336" i="11"/>
  <c r="Y336" i="11"/>
  <c r="X336" i="11"/>
  <c r="W336" i="11"/>
  <c r="V336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AD336" i="11" s="1"/>
  <c r="AE335" i="11"/>
  <c r="AC335" i="11"/>
  <c r="AB335" i="11"/>
  <c r="AA335" i="11"/>
  <c r="Z335" i="11"/>
  <c r="Y335" i="11"/>
  <c r="X335" i="11"/>
  <c r="W335" i="11"/>
  <c r="V335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AE334" i="11"/>
  <c r="AC334" i="11"/>
  <c r="AB334" i="11"/>
  <c r="AA334" i="11"/>
  <c r="Z334" i="11"/>
  <c r="Y334" i="11"/>
  <c r="X334" i="11"/>
  <c r="W334" i="11"/>
  <c r="V334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AD334" i="11"/>
  <c r="AE333" i="11"/>
  <c r="AC333" i="11"/>
  <c r="AB333" i="11"/>
  <c r="AA333" i="11"/>
  <c r="Z333" i="11"/>
  <c r="Y333" i="11"/>
  <c r="X333" i="11"/>
  <c r="W333" i="11"/>
  <c r="V333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AE332" i="11"/>
  <c r="AC332" i="11"/>
  <c r="AB332" i="11"/>
  <c r="AA332" i="11"/>
  <c r="Z332" i="11"/>
  <c r="Y332" i="11"/>
  <c r="X332" i="11"/>
  <c r="W332" i="11"/>
  <c r="V332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AD332" i="11" s="1"/>
  <c r="AE331" i="11"/>
  <c r="AC331" i="11"/>
  <c r="AB331" i="11"/>
  <c r="AA331" i="11"/>
  <c r="Z331" i="11"/>
  <c r="Y331" i="11"/>
  <c r="X331" i="11"/>
  <c r="W331" i="11"/>
  <c r="V331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AE330" i="11"/>
  <c r="AC330" i="11"/>
  <c r="AB330" i="11"/>
  <c r="AA330" i="11"/>
  <c r="Z330" i="11"/>
  <c r="Y330" i="11"/>
  <c r="X330" i="11"/>
  <c r="W330" i="11"/>
  <c r="V330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AD330" i="11"/>
  <c r="AE329" i="11"/>
  <c r="AC329" i="11"/>
  <c r="AB329" i="11"/>
  <c r="AA329" i="11"/>
  <c r="Z329" i="11"/>
  <c r="Y329" i="11"/>
  <c r="X329" i="11"/>
  <c r="W329" i="11"/>
  <c r="V329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AE328" i="11"/>
  <c r="AC328" i="11"/>
  <c r="AB328" i="11"/>
  <c r="AA328" i="11"/>
  <c r="Z328" i="11"/>
  <c r="Y328" i="11"/>
  <c r="X328" i="11"/>
  <c r="W328" i="11"/>
  <c r="V328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AD328" i="11" s="1"/>
  <c r="AE327" i="11"/>
  <c r="AC327" i="11"/>
  <c r="AB327" i="11"/>
  <c r="AA327" i="11"/>
  <c r="Z327" i="11"/>
  <c r="Y327" i="11"/>
  <c r="X327" i="11"/>
  <c r="W327" i="11"/>
  <c r="V327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AE326" i="11"/>
  <c r="AC326" i="11"/>
  <c r="AB326" i="11"/>
  <c r="AA326" i="11"/>
  <c r="Z326" i="11"/>
  <c r="Y326" i="11"/>
  <c r="X326" i="11"/>
  <c r="W326" i="11"/>
  <c r="V326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AD326" i="11"/>
  <c r="AE325" i="11"/>
  <c r="AC325" i="11"/>
  <c r="AB325" i="11"/>
  <c r="AA325" i="11"/>
  <c r="Z325" i="11"/>
  <c r="Y325" i="11"/>
  <c r="X325" i="11"/>
  <c r="W325" i="11"/>
  <c r="V325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AE324" i="11"/>
  <c r="AC324" i="11"/>
  <c r="AB324" i="11"/>
  <c r="AA324" i="11"/>
  <c r="Z324" i="11"/>
  <c r="Y324" i="11"/>
  <c r="X324" i="11"/>
  <c r="W324" i="11"/>
  <c r="V324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AD324" i="11" s="1"/>
  <c r="AE323" i="11"/>
  <c r="AC323" i="11"/>
  <c r="AB323" i="11"/>
  <c r="AA323" i="11"/>
  <c r="Z323" i="11"/>
  <c r="Y323" i="11"/>
  <c r="X323" i="11"/>
  <c r="W323" i="11"/>
  <c r="V323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AE322" i="11"/>
  <c r="AC322" i="11"/>
  <c r="AB322" i="11"/>
  <c r="AA322" i="11"/>
  <c r="Z322" i="11"/>
  <c r="Y322" i="11"/>
  <c r="X322" i="11"/>
  <c r="W322" i="11"/>
  <c r="V322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AD322" i="11"/>
  <c r="AE321" i="11"/>
  <c r="AC321" i="11"/>
  <c r="AB321" i="11"/>
  <c r="AA321" i="11"/>
  <c r="Z321" i="11"/>
  <c r="Y321" i="11"/>
  <c r="X321" i="11"/>
  <c r="W321" i="11"/>
  <c r="V321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AE320" i="11"/>
  <c r="AC320" i="11"/>
  <c r="AB320" i="11"/>
  <c r="AA320" i="11"/>
  <c r="Z320" i="11"/>
  <c r="Y320" i="11"/>
  <c r="X320" i="11"/>
  <c r="W320" i="11"/>
  <c r="V320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AD320" i="11" s="1"/>
  <c r="AE319" i="11"/>
  <c r="AC319" i="11"/>
  <c r="AB319" i="11"/>
  <c r="AA319" i="11"/>
  <c r="Z319" i="11"/>
  <c r="Y319" i="11"/>
  <c r="X319" i="11"/>
  <c r="W319" i="11"/>
  <c r="V319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AE318" i="11"/>
  <c r="AC318" i="11"/>
  <c r="AB318" i="11"/>
  <c r="AA318" i="11"/>
  <c r="Z318" i="11"/>
  <c r="Y318" i="11"/>
  <c r="X318" i="11"/>
  <c r="W318" i="11"/>
  <c r="V318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AD318" i="11"/>
  <c r="AE317" i="11"/>
  <c r="AC317" i="11"/>
  <c r="AB317" i="11"/>
  <c r="AA317" i="11"/>
  <c r="Z317" i="11"/>
  <c r="Y317" i="11"/>
  <c r="X317" i="11"/>
  <c r="W317" i="11"/>
  <c r="V317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AE316" i="11"/>
  <c r="AC316" i="11"/>
  <c r="AB316" i="11"/>
  <c r="AA316" i="11"/>
  <c r="Z316" i="11"/>
  <c r="Y316" i="11"/>
  <c r="X316" i="11"/>
  <c r="W316" i="11"/>
  <c r="V316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AD316" i="11" s="1"/>
  <c r="AE315" i="11"/>
  <c r="AC315" i="11"/>
  <c r="AB315" i="11"/>
  <c r="AA315" i="11"/>
  <c r="Z315" i="11"/>
  <c r="Y315" i="11"/>
  <c r="X315" i="11"/>
  <c r="W315" i="11"/>
  <c r="V315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AE314" i="11"/>
  <c r="AC314" i="11"/>
  <c r="AB314" i="11"/>
  <c r="AA314" i="11"/>
  <c r="Z314" i="11"/>
  <c r="Y314" i="11"/>
  <c r="X314" i="11"/>
  <c r="W314" i="11"/>
  <c r="V314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AD314" i="11"/>
  <c r="AE313" i="11"/>
  <c r="AC313" i="11"/>
  <c r="AB313" i="11"/>
  <c r="AA313" i="11"/>
  <c r="Z313" i="11"/>
  <c r="Y313" i="11"/>
  <c r="X313" i="11"/>
  <c r="W313" i="11"/>
  <c r="V313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AE312" i="11"/>
  <c r="AC312" i="11"/>
  <c r="AB312" i="11"/>
  <c r="AA312" i="11"/>
  <c r="Z312" i="11"/>
  <c r="Y312" i="11"/>
  <c r="X312" i="11"/>
  <c r="W312" i="11"/>
  <c r="V312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AD312" i="11" s="1"/>
  <c r="AE311" i="11"/>
  <c r="AC311" i="11"/>
  <c r="AB311" i="11"/>
  <c r="AA311" i="11"/>
  <c r="Z311" i="11"/>
  <c r="Y311" i="11"/>
  <c r="X311" i="11"/>
  <c r="W311" i="11"/>
  <c r="V311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AE310" i="11"/>
  <c r="AC310" i="11"/>
  <c r="AB310" i="11"/>
  <c r="AA310" i="11"/>
  <c r="Z310" i="11"/>
  <c r="Y310" i="11"/>
  <c r="X310" i="11"/>
  <c r="W310" i="11"/>
  <c r="V310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AD310" i="11"/>
  <c r="AE309" i="11"/>
  <c r="AC309" i="11"/>
  <c r="AB309" i="11"/>
  <c r="AA309" i="11"/>
  <c r="Z309" i="11"/>
  <c r="Y309" i="11"/>
  <c r="X309" i="11"/>
  <c r="W309" i="11"/>
  <c r="V309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AE308" i="11"/>
  <c r="AC308" i="11"/>
  <c r="AB308" i="11"/>
  <c r="AA308" i="11"/>
  <c r="Z308" i="11"/>
  <c r="Y308" i="11"/>
  <c r="X308" i="11"/>
  <c r="W308" i="11"/>
  <c r="V308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AD308" i="11" s="1"/>
  <c r="AE307" i="11"/>
  <c r="AC307" i="11"/>
  <c r="AB307" i="11"/>
  <c r="AA307" i="11"/>
  <c r="Z307" i="11"/>
  <c r="Y307" i="11"/>
  <c r="X307" i="11"/>
  <c r="W307" i="11"/>
  <c r="V307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AE306" i="11"/>
  <c r="AC306" i="11"/>
  <c r="AB306" i="11"/>
  <c r="AA306" i="11"/>
  <c r="Z306" i="11"/>
  <c r="Y306" i="11"/>
  <c r="X306" i="11"/>
  <c r="W306" i="11"/>
  <c r="V306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AD306" i="11"/>
  <c r="AE305" i="11"/>
  <c r="AC305" i="11"/>
  <c r="AB305" i="11"/>
  <c r="AA305" i="11"/>
  <c r="Z305" i="11"/>
  <c r="Y305" i="11"/>
  <c r="X305" i="11"/>
  <c r="W305" i="11"/>
  <c r="V305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AE304" i="11"/>
  <c r="AC304" i="11"/>
  <c r="AB304" i="11"/>
  <c r="AA304" i="11"/>
  <c r="Z304" i="11"/>
  <c r="Y304" i="11"/>
  <c r="X304" i="11"/>
  <c r="W304" i="11"/>
  <c r="V304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AD304" i="11" s="1"/>
  <c r="AE303" i="11"/>
  <c r="AC303" i="11"/>
  <c r="AB303" i="11"/>
  <c r="AA303" i="11"/>
  <c r="Z303" i="11"/>
  <c r="Y303" i="11"/>
  <c r="X303" i="11"/>
  <c r="W303" i="11"/>
  <c r="V303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AE302" i="11"/>
  <c r="AC302" i="11"/>
  <c r="AB302" i="11"/>
  <c r="AA302" i="11"/>
  <c r="Z302" i="11"/>
  <c r="Y302" i="11"/>
  <c r="X302" i="11"/>
  <c r="W302" i="11"/>
  <c r="V302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AD302" i="11"/>
  <c r="AE301" i="11"/>
  <c r="AC301" i="11"/>
  <c r="AB301" i="11"/>
  <c r="AA301" i="11"/>
  <c r="Z301" i="11"/>
  <c r="Y301" i="11"/>
  <c r="X301" i="11"/>
  <c r="W301" i="11"/>
  <c r="V301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AE300" i="11"/>
  <c r="AC300" i="11"/>
  <c r="AB300" i="11"/>
  <c r="AA300" i="11"/>
  <c r="Z300" i="11"/>
  <c r="Y300" i="11"/>
  <c r="X300" i="11"/>
  <c r="W300" i="11"/>
  <c r="V300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AD300" i="11" s="1"/>
  <c r="AE299" i="11"/>
  <c r="AC299" i="11"/>
  <c r="AB299" i="11"/>
  <c r="AA299" i="11"/>
  <c r="Z299" i="11"/>
  <c r="Y299" i="11"/>
  <c r="X299" i="11"/>
  <c r="W299" i="11"/>
  <c r="V299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AE298" i="11"/>
  <c r="AC298" i="11"/>
  <c r="AB298" i="11"/>
  <c r="AA298" i="11"/>
  <c r="Z298" i="11"/>
  <c r="Y298" i="11"/>
  <c r="X298" i="11"/>
  <c r="W298" i="11"/>
  <c r="V298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AD298" i="11"/>
  <c r="AE297" i="11"/>
  <c r="AC297" i="11"/>
  <c r="AB297" i="11"/>
  <c r="AA297" i="11"/>
  <c r="Z297" i="11"/>
  <c r="Y297" i="11"/>
  <c r="X297" i="11"/>
  <c r="W297" i="11"/>
  <c r="V297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AD297" i="11"/>
  <c r="AE296" i="11"/>
  <c r="AC296" i="11"/>
  <c r="AB296" i="11"/>
  <c r="AA296" i="11"/>
  <c r="Z296" i="11"/>
  <c r="Y296" i="11"/>
  <c r="X296" i="11"/>
  <c r="W296" i="11"/>
  <c r="V296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AD296" i="11"/>
  <c r="AE295" i="11"/>
  <c r="AC295" i="11"/>
  <c r="AB295" i="11"/>
  <c r="AA295" i="11"/>
  <c r="Z295" i="11"/>
  <c r="Y295" i="11"/>
  <c r="X295" i="11"/>
  <c r="W295" i="11"/>
  <c r="V295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AD295" i="11"/>
  <c r="AE294" i="11"/>
  <c r="AC294" i="11"/>
  <c r="AB294" i="11"/>
  <c r="AA294" i="11"/>
  <c r="Z294" i="11"/>
  <c r="Y294" i="11"/>
  <c r="X294" i="11"/>
  <c r="W294" i="11"/>
  <c r="V294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AD294" i="11"/>
  <c r="AE293" i="11"/>
  <c r="AC293" i="11"/>
  <c r="AB293" i="11"/>
  <c r="AA293" i="11"/>
  <c r="Z293" i="11"/>
  <c r="Y293" i="11"/>
  <c r="X293" i="11"/>
  <c r="W293" i="11"/>
  <c r="V293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AD293" i="11"/>
  <c r="AE292" i="11"/>
  <c r="AC292" i="11"/>
  <c r="AB292" i="11"/>
  <c r="AA292" i="11"/>
  <c r="Z292" i="11"/>
  <c r="Y292" i="11"/>
  <c r="X292" i="11"/>
  <c r="W292" i="11"/>
  <c r="V292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AD292" i="11"/>
  <c r="AE291" i="11"/>
  <c r="AC291" i="11"/>
  <c r="AB291" i="11"/>
  <c r="AA291" i="11"/>
  <c r="Z291" i="11"/>
  <c r="Y291" i="11"/>
  <c r="X291" i="11"/>
  <c r="W291" i="11"/>
  <c r="V291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AD291" i="11"/>
  <c r="AE290" i="11"/>
  <c r="AC290" i="11"/>
  <c r="AB290" i="11"/>
  <c r="AA290" i="11"/>
  <c r="Z290" i="11"/>
  <c r="Y290" i="11"/>
  <c r="X290" i="11"/>
  <c r="W290" i="11"/>
  <c r="V290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AD290" i="11"/>
  <c r="AE289" i="11"/>
  <c r="AC289" i="11"/>
  <c r="AB289" i="11"/>
  <c r="AA289" i="11"/>
  <c r="Z289" i="11"/>
  <c r="Y289" i="11"/>
  <c r="X289" i="11"/>
  <c r="W289" i="11"/>
  <c r="V289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AE288" i="11"/>
  <c r="AC288" i="11"/>
  <c r="AB288" i="11"/>
  <c r="AA288" i="11"/>
  <c r="Z288" i="11"/>
  <c r="Y288" i="11"/>
  <c r="X288" i="11"/>
  <c r="W288" i="11"/>
  <c r="V288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AD288" i="11" s="1"/>
  <c r="AE287" i="11"/>
  <c r="AC287" i="11"/>
  <c r="AB287" i="11"/>
  <c r="AA287" i="11"/>
  <c r="Z287" i="11"/>
  <c r="Y287" i="11"/>
  <c r="X287" i="11"/>
  <c r="W287" i="11"/>
  <c r="V287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AE286" i="11"/>
  <c r="AC286" i="11"/>
  <c r="AB286" i="11"/>
  <c r="AA286" i="11"/>
  <c r="Z286" i="11"/>
  <c r="Y286" i="11"/>
  <c r="X286" i="11"/>
  <c r="W286" i="11"/>
  <c r="V286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AD286" i="11"/>
  <c r="AE285" i="11"/>
  <c r="AC285" i="11"/>
  <c r="AB285" i="11"/>
  <c r="AA285" i="11"/>
  <c r="Z285" i="11"/>
  <c r="Y285" i="11"/>
  <c r="X285" i="11"/>
  <c r="W285" i="11"/>
  <c r="V285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AE284" i="11"/>
  <c r="AC284" i="11"/>
  <c r="AB284" i="11"/>
  <c r="AA284" i="11"/>
  <c r="Z284" i="11"/>
  <c r="Y284" i="11"/>
  <c r="X284" i="11"/>
  <c r="W284" i="11"/>
  <c r="V284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AD284" i="11" s="1"/>
  <c r="AE283" i="11"/>
  <c r="AC283" i="11"/>
  <c r="AB283" i="11"/>
  <c r="AA283" i="11"/>
  <c r="Z283" i="11"/>
  <c r="Y283" i="11"/>
  <c r="X283" i="11"/>
  <c r="W283" i="11"/>
  <c r="V283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AE282" i="11"/>
  <c r="AC282" i="11"/>
  <c r="AB282" i="11"/>
  <c r="AA282" i="11"/>
  <c r="Z282" i="11"/>
  <c r="Y282" i="11"/>
  <c r="X282" i="11"/>
  <c r="W282" i="11"/>
  <c r="V282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AD282" i="11"/>
  <c r="AE281" i="11"/>
  <c r="AC281" i="11"/>
  <c r="AB281" i="11"/>
  <c r="AA281" i="11"/>
  <c r="Z281" i="11"/>
  <c r="Y281" i="11"/>
  <c r="X281" i="11"/>
  <c r="W281" i="11"/>
  <c r="V281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AE280" i="11"/>
  <c r="AC280" i="11"/>
  <c r="AB280" i="11"/>
  <c r="AA280" i="11"/>
  <c r="Z280" i="11"/>
  <c r="Y280" i="11"/>
  <c r="X280" i="11"/>
  <c r="W280" i="11"/>
  <c r="V280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AD280" i="11" s="1"/>
  <c r="AE279" i="11"/>
  <c r="AC279" i="11"/>
  <c r="AB279" i="11"/>
  <c r="AA279" i="11"/>
  <c r="Z279" i="11"/>
  <c r="Y279" i="11"/>
  <c r="X279" i="11"/>
  <c r="W279" i="11"/>
  <c r="V279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AE278" i="11"/>
  <c r="AC278" i="11"/>
  <c r="AB278" i="11"/>
  <c r="AA278" i="11"/>
  <c r="Z278" i="11"/>
  <c r="Y278" i="11"/>
  <c r="X278" i="11"/>
  <c r="W278" i="11"/>
  <c r="V278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AD278" i="11"/>
  <c r="AE277" i="11"/>
  <c r="AC277" i="11"/>
  <c r="AB277" i="11"/>
  <c r="AA277" i="11"/>
  <c r="Z277" i="11"/>
  <c r="Y277" i="11"/>
  <c r="X277" i="11"/>
  <c r="W277" i="11"/>
  <c r="V277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AE276" i="11"/>
  <c r="AC276" i="11"/>
  <c r="AB276" i="11"/>
  <c r="AA276" i="11"/>
  <c r="Z276" i="11"/>
  <c r="Y276" i="11"/>
  <c r="X276" i="11"/>
  <c r="W276" i="11"/>
  <c r="V276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AD276" i="11" s="1"/>
  <c r="AE275" i="11"/>
  <c r="AC275" i="11"/>
  <c r="AB275" i="11"/>
  <c r="AA275" i="11"/>
  <c r="Z275" i="11"/>
  <c r="Y275" i="11"/>
  <c r="X275" i="11"/>
  <c r="W275" i="11"/>
  <c r="V275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AE274" i="11"/>
  <c r="AC274" i="11"/>
  <c r="AB274" i="11"/>
  <c r="AA274" i="11"/>
  <c r="Z274" i="11"/>
  <c r="Y274" i="11"/>
  <c r="X274" i="11"/>
  <c r="W274" i="11"/>
  <c r="V274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AD274" i="11"/>
  <c r="AE273" i="11"/>
  <c r="AC273" i="11"/>
  <c r="AB273" i="11"/>
  <c r="AA273" i="11"/>
  <c r="Z273" i="11"/>
  <c r="Y273" i="11"/>
  <c r="X273" i="11"/>
  <c r="W273" i="11"/>
  <c r="V273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AE272" i="11"/>
  <c r="AC272" i="11"/>
  <c r="AB272" i="11"/>
  <c r="AA272" i="11"/>
  <c r="Z272" i="11"/>
  <c r="Y272" i="11"/>
  <c r="X272" i="11"/>
  <c r="W272" i="11"/>
  <c r="V272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AD272" i="11" s="1"/>
  <c r="AE271" i="11"/>
  <c r="AC271" i="11"/>
  <c r="AB271" i="11"/>
  <c r="AA271" i="11"/>
  <c r="Z271" i="11"/>
  <c r="Y271" i="11"/>
  <c r="X271" i="11"/>
  <c r="W271" i="11"/>
  <c r="V271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AE270" i="11"/>
  <c r="AC270" i="11"/>
  <c r="AB270" i="11"/>
  <c r="AA270" i="11"/>
  <c r="Z270" i="11"/>
  <c r="Y270" i="11"/>
  <c r="X270" i="11"/>
  <c r="W270" i="11"/>
  <c r="V270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AD270" i="11"/>
  <c r="AE269" i="11"/>
  <c r="AC269" i="11"/>
  <c r="AB269" i="11"/>
  <c r="AA269" i="11"/>
  <c r="Z269" i="11"/>
  <c r="Y269" i="11"/>
  <c r="X269" i="11"/>
  <c r="W269" i="11"/>
  <c r="V269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AE268" i="11"/>
  <c r="AC268" i="11"/>
  <c r="AB268" i="11"/>
  <c r="AA268" i="11"/>
  <c r="Z268" i="11"/>
  <c r="Y268" i="11"/>
  <c r="X268" i="11"/>
  <c r="W268" i="11"/>
  <c r="V268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AD268" i="11" s="1"/>
  <c r="AE267" i="11"/>
  <c r="AC267" i="11"/>
  <c r="AB267" i="11"/>
  <c r="AA267" i="11"/>
  <c r="Z267" i="11"/>
  <c r="Y267" i="11"/>
  <c r="X267" i="11"/>
  <c r="W267" i="11"/>
  <c r="V267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AD267" i="11" s="1"/>
  <c r="AE266" i="11"/>
  <c r="AC266" i="11"/>
  <c r="AB266" i="11"/>
  <c r="AA266" i="11"/>
  <c r="Z266" i="11"/>
  <c r="Y266" i="11"/>
  <c r="X266" i="11"/>
  <c r="W266" i="11"/>
  <c r="V266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AD266" i="11" s="1"/>
  <c r="AE265" i="11"/>
  <c r="AC265" i="11"/>
  <c r="AB265" i="11"/>
  <c r="AA265" i="11"/>
  <c r="Z265" i="11"/>
  <c r="Y265" i="11"/>
  <c r="X265" i="11"/>
  <c r="W265" i="11"/>
  <c r="V265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AE264" i="11"/>
  <c r="AC264" i="11"/>
  <c r="AB264" i="11"/>
  <c r="AA264" i="11"/>
  <c r="Z264" i="11"/>
  <c r="Y264" i="11"/>
  <c r="X264" i="11"/>
  <c r="W264" i="11"/>
  <c r="V264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AD264" i="11"/>
  <c r="AE263" i="11"/>
  <c r="AC263" i="11"/>
  <c r="AB263" i="11"/>
  <c r="AA263" i="11"/>
  <c r="Z263" i="11"/>
  <c r="Y263" i="11"/>
  <c r="X263" i="11"/>
  <c r="W263" i="11"/>
  <c r="V263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AE262" i="11"/>
  <c r="AC262" i="11"/>
  <c r="AB262" i="11"/>
  <c r="AA262" i="11"/>
  <c r="Z262" i="11"/>
  <c r="Y262" i="11"/>
  <c r="X262" i="11"/>
  <c r="W262" i="11"/>
  <c r="V262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AD262" i="11" s="1"/>
  <c r="AE261" i="11"/>
  <c r="AC261" i="11"/>
  <c r="AB261" i="11"/>
  <c r="AA261" i="11"/>
  <c r="Z261" i="11"/>
  <c r="Y261" i="11"/>
  <c r="X261" i="11"/>
  <c r="W261" i="11"/>
  <c r="V261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AD261" i="11" s="1"/>
  <c r="AE260" i="11"/>
  <c r="AC260" i="11"/>
  <c r="AB260" i="11"/>
  <c r="AA260" i="11"/>
  <c r="Z260" i="11"/>
  <c r="Y260" i="11"/>
  <c r="X260" i="11"/>
  <c r="W260" i="11"/>
  <c r="V260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AD260" i="11" s="1"/>
  <c r="AE259" i="11"/>
  <c r="AC259" i="11"/>
  <c r="AB259" i="11"/>
  <c r="AA259" i="11"/>
  <c r="Z259" i="11"/>
  <c r="Y259" i="11"/>
  <c r="X259" i="11"/>
  <c r="W259" i="11"/>
  <c r="V259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AD259" i="11" s="1"/>
  <c r="AE258" i="11"/>
  <c r="AC258" i="11"/>
  <c r="AB258" i="11"/>
  <c r="AA258" i="11"/>
  <c r="Z258" i="11"/>
  <c r="Y258" i="11"/>
  <c r="X258" i="11"/>
  <c r="W258" i="11"/>
  <c r="V258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AD258" i="11" s="1"/>
  <c r="AE257" i="11"/>
  <c r="AC257" i="11"/>
  <c r="AB257" i="11"/>
  <c r="AA257" i="11"/>
  <c r="Z257" i="11"/>
  <c r="Y257" i="11"/>
  <c r="X257" i="11"/>
  <c r="W257" i="11"/>
  <c r="V257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AD257" i="11" s="1"/>
  <c r="AE256" i="11"/>
  <c r="AC256" i="11"/>
  <c r="AB256" i="11"/>
  <c r="AA256" i="11"/>
  <c r="Z256" i="11"/>
  <c r="Y256" i="11"/>
  <c r="X256" i="11"/>
  <c r="W256" i="11"/>
  <c r="V256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AD256" i="11" s="1"/>
  <c r="AE255" i="11"/>
  <c r="AC255" i="11"/>
  <c r="AB255" i="11"/>
  <c r="AA255" i="11"/>
  <c r="Z255" i="11"/>
  <c r="Y255" i="11"/>
  <c r="X255" i="11"/>
  <c r="W255" i="11"/>
  <c r="V255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AE254" i="11"/>
  <c r="AC254" i="11"/>
  <c r="AB254" i="11"/>
  <c r="AA254" i="11"/>
  <c r="Z254" i="11"/>
  <c r="Y254" i="11"/>
  <c r="X254" i="11"/>
  <c r="W254" i="11"/>
  <c r="V254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AD254" i="11"/>
  <c r="AE253" i="11"/>
  <c r="AC253" i="11"/>
  <c r="AB253" i="11"/>
  <c r="AA253" i="11"/>
  <c r="Z253" i="11"/>
  <c r="Y253" i="11"/>
  <c r="X253" i="11"/>
  <c r="W253" i="11"/>
  <c r="V253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AD253" i="11"/>
  <c r="AE252" i="11"/>
  <c r="AC252" i="11"/>
  <c r="AB252" i="11"/>
  <c r="AA252" i="11"/>
  <c r="Z252" i="11"/>
  <c r="Y252" i="11"/>
  <c r="X252" i="11"/>
  <c r="W252" i="11"/>
  <c r="V252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AD252" i="11"/>
  <c r="AE251" i="11"/>
  <c r="AC251" i="11"/>
  <c r="AB251" i="11"/>
  <c r="AA251" i="11"/>
  <c r="Z251" i="11"/>
  <c r="Y251" i="11"/>
  <c r="X251" i="11"/>
  <c r="W251" i="11"/>
  <c r="V251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AD251" i="11"/>
  <c r="AE250" i="11"/>
  <c r="AC250" i="11"/>
  <c r="AB250" i="11"/>
  <c r="AA250" i="11"/>
  <c r="Z250" i="11"/>
  <c r="Y250" i="11"/>
  <c r="X250" i="11"/>
  <c r="W250" i="11"/>
  <c r="V250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AD250" i="11"/>
  <c r="AE249" i="11"/>
  <c r="AC249" i="11"/>
  <c r="AB249" i="11"/>
  <c r="AA249" i="11"/>
  <c r="Z249" i="11"/>
  <c r="Y249" i="11"/>
  <c r="X249" i="11"/>
  <c r="W249" i="11"/>
  <c r="V249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AD249" i="11"/>
  <c r="AE248" i="11"/>
  <c r="AC248" i="11"/>
  <c r="AB248" i="11"/>
  <c r="AA248" i="11"/>
  <c r="Z248" i="11"/>
  <c r="Y248" i="11"/>
  <c r="X248" i="11"/>
  <c r="W248" i="11"/>
  <c r="V248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AD248" i="11"/>
  <c r="AE247" i="11"/>
  <c r="AC247" i="11"/>
  <c r="AB247" i="11"/>
  <c r="AA247" i="11"/>
  <c r="Z247" i="11"/>
  <c r="Y247" i="11"/>
  <c r="X247" i="11"/>
  <c r="W247" i="11"/>
  <c r="V247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AE246" i="11"/>
  <c r="AC246" i="11"/>
  <c r="AB246" i="11"/>
  <c r="AA246" i="11"/>
  <c r="Z246" i="11"/>
  <c r="Y246" i="11"/>
  <c r="X246" i="11"/>
  <c r="W246" i="11"/>
  <c r="V246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AD246" i="11" s="1"/>
  <c r="AE245" i="11"/>
  <c r="AC245" i="11"/>
  <c r="AB245" i="11"/>
  <c r="AA245" i="11"/>
  <c r="Z245" i="11"/>
  <c r="Y245" i="11"/>
  <c r="X245" i="11"/>
  <c r="W245" i="11"/>
  <c r="V245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AD245" i="11" s="1"/>
  <c r="AE244" i="11"/>
  <c r="AC244" i="11"/>
  <c r="AB244" i="11"/>
  <c r="AA244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AD244" i="11" s="1"/>
  <c r="AE243" i="11"/>
  <c r="AC243" i="11"/>
  <c r="AB243" i="11"/>
  <c r="AA243" i="11"/>
  <c r="Z243" i="11"/>
  <c r="Y243" i="11"/>
  <c r="X243" i="11"/>
  <c r="W243" i="11"/>
  <c r="V243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AD243" i="11" s="1"/>
  <c r="AE242" i="11"/>
  <c r="AC242" i="11"/>
  <c r="AB242" i="11"/>
  <c r="AA242" i="11"/>
  <c r="Z242" i="11"/>
  <c r="Y242" i="11"/>
  <c r="X242" i="11"/>
  <c r="W242" i="11"/>
  <c r="V242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AD242" i="11" s="1"/>
  <c r="AE241" i="11"/>
  <c r="AC241" i="11"/>
  <c r="AB241" i="11"/>
  <c r="AA241" i="11"/>
  <c r="Z241" i="11"/>
  <c r="Y241" i="11"/>
  <c r="X241" i="11"/>
  <c r="W241" i="11"/>
  <c r="V241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AD241" i="11" s="1"/>
  <c r="AE240" i="11"/>
  <c r="AC240" i="11"/>
  <c r="AB240" i="11"/>
  <c r="AA240" i="11"/>
  <c r="Z240" i="11"/>
  <c r="Y240" i="11"/>
  <c r="X240" i="11"/>
  <c r="W240" i="11"/>
  <c r="V240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AD240" i="11" s="1"/>
  <c r="AE239" i="11"/>
  <c r="AC239" i="11"/>
  <c r="AB239" i="11"/>
  <c r="AA239" i="11"/>
  <c r="Z239" i="11"/>
  <c r="Y239" i="11"/>
  <c r="X239" i="11"/>
  <c r="W239" i="11"/>
  <c r="V239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AD239" i="11" s="1"/>
  <c r="AE238" i="11"/>
  <c r="AC238" i="11"/>
  <c r="AB238" i="11"/>
  <c r="AA238" i="11"/>
  <c r="Z238" i="11"/>
  <c r="Y238" i="11"/>
  <c r="X238" i="11"/>
  <c r="W238" i="11"/>
  <c r="V238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AD238" i="11" s="1"/>
  <c r="AE237" i="11"/>
  <c r="AC237" i="11"/>
  <c r="AB237" i="11"/>
  <c r="AA237" i="11"/>
  <c r="Z237" i="11"/>
  <c r="Y237" i="11"/>
  <c r="X237" i="11"/>
  <c r="W237" i="11"/>
  <c r="V237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AE236" i="11"/>
  <c r="AC236" i="11"/>
  <c r="AB236" i="11"/>
  <c r="AA236" i="11"/>
  <c r="Z236" i="11"/>
  <c r="Y236" i="11"/>
  <c r="X236" i="11"/>
  <c r="W236" i="11"/>
  <c r="V236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AD236" i="11"/>
  <c r="AE235" i="11"/>
  <c r="AC235" i="11"/>
  <c r="AB235" i="11"/>
  <c r="AA235" i="11"/>
  <c r="Z235" i="11"/>
  <c r="Y235" i="11"/>
  <c r="X235" i="11"/>
  <c r="W235" i="11"/>
  <c r="V235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AD235" i="11"/>
  <c r="AE234" i="11"/>
  <c r="AC234" i="11"/>
  <c r="AB234" i="11"/>
  <c r="AA234" i="11"/>
  <c r="Z234" i="11"/>
  <c r="Y234" i="11"/>
  <c r="X234" i="11"/>
  <c r="W234" i="11"/>
  <c r="V234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AD234" i="11"/>
  <c r="AE233" i="11"/>
  <c r="AC233" i="11"/>
  <c r="AB233" i="11"/>
  <c r="AA233" i="11"/>
  <c r="Z233" i="11"/>
  <c r="Y233" i="11"/>
  <c r="X233" i="11"/>
  <c r="W233" i="11"/>
  <c r="V233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AE232" i="11"/>
  <c r="AC232" i="11"/>
  <c r="AB232" i="11"/>
  <c r="AA232" i="11"/>
  <c r="Z232" i="11"/>
  <c r="Y232" i="11"/>
  <c r="X232" i="11"/>
  <c r="W232" i="11"/>
  <c r="V232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AD232" i="11" s="1"/>
  <c r="AE231" i="11"/>
  <c r="AC231" i="11"/>
  <c r="AB231" i="11"/>
  <c r="AA231" i="11"/>
  <c r="Z231" i="11"/>
  <c r="Y231" i="11"/>
  <c r="X231" i="11"/>
  <c r="W231" i="11"/>
  <c r="V231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AD231" i="11" s="1"/>
  <c r="AE230" i="11"/>
  <c r="AC230" i="11"/>
  <c r="AB230" i="11"/>
  <c r="AA230" i="11"/>
  <c r="Z230" i="11"/>
  <c r="Y230" i="11"/>
  <c r="X230" i="11"/>
  <c r="W230" i="11"/>
  <c r="V230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AD230" i="11" s="1"/>
  <c r="AE229" i="11"/>
  <c r="AC229" i="11"/>
  <c r="AB229" i="11"/>
  <c r="AA229" i="11"/>
  <c r="Z229" i="11"/>
  <c r="Y229" i="11"/>
  <c r="X229" i="11"/>
  <c r="W229" i="11"/>
  <c r="V229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AD229" i="11" s="1"/>
  <c r="AE228" i="11"/>
  <c r="AC228" i="11"/>
  <c r="AB228" i="11"/>
  <c r="AA228" i="11"/>
  <c r="Z228" i="11"/>
  <c r="Y228" i="11"/>
  <c r="X228" i="11"/>
  <c r="W228" i="11"/>
  <c r="V228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AD228" i="11" s="1"/>
  <c r="AE227" i="11"/>
  <c r="AC227" i="11"/>
  <c r="AB227" i="11"/>
  <c r="AA227" i="11"/>
  <c r="Z227" i="11"/>
  <c r="Y227" i="11"/>
  <c r="X227" i="11"/>
  <c r="W227" i="11"/>
  <c r="V227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AD227" i="11" s="1"/>
  <c r="AE226" i="11"/>
  <c r="AC226" i="11"/>
  <c r="AB226" i="11"/>
  <c r="AA226" i="11"/>
  <c r="Z226" i="11"/>
  <c r="Y226" i="11"/>
  <c r="X226" i="11"/>
  <c r="W226" i="11"/>
  <c r="V226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AD226" i="11" s="1"/>
  <c r="AE225" i="11"/>
  <c r="AC225" i="11"/>
  <c r="AB225" i="11"/>
  <c r="AA225" i="11"/>
  <c r="Z225" i="11"/>
  <c r="Y225" i="11"/>
  <c r="X225" i="11"/>
  <c r="W225" i="11"/>
  <c r="V225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AD225" i="11" s="1"/>
  <c r="AE224" i="11"/>
  <c r="AC224" i="11"/>
  <c r="AB224" i="11"/>
  <c r="AA224" i="11"/>
  <c r="Z224" i="11"/>
  <c r="Y224" i="11"/>
  <c r="X224" i="11"/>
  <c r="W224" i="11"/>
  <c r="V224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AD224" i="11" s="1"/>
  <c r="AE223" i="11"/>
  <c r="AC223" i="11"/>
  <c r="AB223" i="11"/>
  <c r="AA223" i="11"/>
  <c r="Z223" i="11"/>
  <c r="Y223" i="11"/>
  <c r="X223" i="11"/>
  <c r="W223" i="11"/>
  <c r="V223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AD223" i="11" s="1"/>
  <c r="AE222" i="11"/>
  <c r="AC222" i="11"/>
  <c r="AB222" i="11"/>
  <c r="AA222" i="11"/>
  <c r="Z222" i="11"/>
  <c r="Y222" i="11"/>
  <c r="X222" i="11"/>
  <c r="W222" i="11"/>
  <c r="V222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AD222" i="11" s="1"/>
  <c r="AE221" i="11"/>
  <c r="AC221" i="11"/>
  <c r="AB221" i="11"/>
  <c r="AA221" i="11"/>
  <c r="Z221" i="11"/>
  <c r="Y221" i="11"/>
  <c r="X221" i="11"/>
  <c r="W221" i="11"/>
  <c r="V221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AE220" i="11"/>
  <c r="AC220" i="11"/>
  <c r="AB220" i="11"/>
  <c r="AA220" i="11"/>
  <c r="Z220" i="11"/>
  <c r="Y220" i="11"/>
  <c r="X220" i="11"/>
  <c r="W220" i="11"/>
  <c r="V220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AD220" i="11"/>
  <c r="AE219" i="11"/>
  <c r="AC219" i="11"/>
  <c r="AB219" i="11"/>
  <c r="AA219" i="11"/>
  <c r="Z219" i="11"/>
  <c r="Y219" i="11"/>
  <c r="X219" i="11"/>
  <c r="W219" i="11"/>
  <c r="V219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AD219" i="11"/>
  <c r="AE218" i="11"/>
  <c r="AC218" i="11"/>
  <c r="AB218" i="11"/>
  <c r="AA218" i="11"/>
  <c r="Z218" i="11"/>
  <c r="Y218" i="11"/>
  <c r="X218" i="11"/>
  <c r="W218" i="11"/>
  <c r="V218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AD218" i="11"/>
  <c r="AE217" i="11"/>
  <c r="AC217" i="11"/>
  <c r="AB217" i="11"/>
  <c r="AA217" i="11"/>
  <c r="Z217" i="11"/>
  <c r="Y217" i="11"/>
  <c r="X217" i="11"/>
  <c r="W217" i="11"/>
  <c r="V217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AD217" i="11"/>
  <c r="AE216" i="11"/>
  <c r="AC216" i="11"/>
  <c r="AB216" i="11"/>
  <c r="AA216" i="11"/>
  <c r="Z216" i="11"/>
  <c r="Y216" i="11"/>
  <c r="X216" i="11"/>
  <c r="W216" i="11"/>
  <c r="V216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AD216" i="11"/>
  <c r="AE215" i="11"/>
  <c r="AC215" i="11"/>
  <c r="AB215" i="11"/>
  <c r="AA215" i="11"/>
  <c r="Z215" i="11"/>
  <c r="Y215" i="11"/>
  <c r="X215" i="11"/>
  <c r="W215" i="11"/>
  <c r="V215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AE214" i="11"/>
  <c r="AC214" i="11"/>
  <c r="AB214" i="11"/>
  <c r="AA214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AD214" i="11" s="1"/>
  <c r="AE213" i="11"/>
  <c r="AC213" i="11"/>
  <c r="AB213" i="11"/>
  <c r="AA213" i="11"/>
  <c r="Z213" i="11"/>
  <c r="Y213" i="11"/>
  <c r="X213" i="11"/>
  <c r="W213" i="11"/>
  <c r="V213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AE212" i="11"/>
  <c r="AC212" i="11"/>
  <c r="AB212" i="11"/>
  <c r="AA212" i="11"/>
  <c r="Z212" i="11"/>
  <c r="Y212" i="11"/>
  <c r="X212" i="11"/>
  <c r="W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AD212" i="11"/>
  <c r="AE211" i="11"/>
  <c r="AC211" i="11"/>
  <c r="AB211" i="11"/>
  <c r="AA211" i="11"/>
  <c r="Z211" i="11"/>
  <c r="Y211" i="11"/>
  <c r="X211" i="11"/>
  <c r="W211" i="11"/>
  <c r="V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AD211" i="11"/>
  <c r="AE210" i="11"/>
  <c r="AC210" i="11"/>
  <c r="AB210" i="11"/>
  <c r="AA210" i="11"/>
  <c r="Z210" i="11"/>
  <c r="Y210" i="11"/>
  <c r="X210" i="11"/>
  <c r="W210" i="11"/>
  <c r="V210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AD210" i="11"/>
  <c r="AE209" i="11"/>
  <c r="AC209" i="11"/>
  <c r="AB209" i="11"/>
  <c r="AA209" i="11"/>
  <c r="Z209" i="11"/>
  <c r="Y209" i="11"/>
  <c r="X209" i="11"/>
  <c r="W209" i="11"/>
  <c r="V209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AD209" i="11"/>
  <c r="AE208" i="11"/>
  <c r="AC208" i="11"/>
  <c r="AB208" i="11"/>
  <c r="AA208" i="11"/>
  <c r="Z208" i="11"/>
  <c r="Y208" i="11"/>
  <c r="X208" i="11"/>
  <c r="W208" i="11"/>
  <c r="V208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AD208" i="11"/>
  <c r="AE207" i="11"/>
  <c r="AC207" i="11"/>
  <c r="AB207" i="11"/>
  <c r="AA207" i="11"/>
  <c r="Z207" i="11"/>
  <c r="Y207" i="11"/>
  <c r="X207" i="11"/>
  <c r="W207" i="11"/>
  <c r="V207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AD207" i="11"/>
  <c r="AE206" i="11"/>
  <c r="AC206" i="11"/>
  <c r="AB206" i="11"/>
  <c r="AA206" i="11"/>
  <c r="Z206" i="11"/>
  <c r="Y206" i="11"/>
  <c r="X206" i="11"/>
  <c r="W206" i="11"/>
  <c r="V206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AD206" i="11"/>
  <c r="AE205" i="11"/>
  <c r="AC205" i="11"/>
  <c r="AB205" i="11"/>
  <c r="AA205" i="11"/>
  <c r="Z205" i="11"/>
  <c r="Y205" i="11"/>
  <c r="X205" i="11"/>
  <c r="W205" i="11"/>
  <c r="V205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AD205" i="11"/>
  <c r="AE204" i="11"/>
  <c r="AC204" i="11"/>
  <c r="AB204" i="11"/>
  <c r="AA204" i="11"/>
  <c r="Z204" i="11"/>
  <c r="Y204" i="11"/>
  <c r="X204" i="11"/>
  <c r="W204" i="11"/>
  <c r="V204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AD204" i="11"/>
  <c r="AE203" i="11"/>
  <c r="AC203" i="11"/>
  <c r="AB203" i="11"/>
  <c r="AA203" i="11"/>
  <c r="Z203" i="11"/>
  <c r="Y203" i="11"/>
  <c r="X203" i="11"/>
  <c r="W203" i="11"/>
  <c r="V203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AE202" i="11"/>
  <c r="AC202" i="11"/>
  <c r="AB202" i="11"/>
  <c r="AA202" i="11"/>
  <c r="Z202" i="11"/>
  <c r="Y202" i="11"/>
  <c r="X202" i="11"/>
  <c r="W202" i="11"/>
  <c r="V202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AD202" i="11" s="1"/>
  <c r="AE201" i="11"/>
  <c r="AC201" i="11"/>
  <c r="AB201" i="11"/>
  <c r="AA201" i="11"/>
  <c r="Z201" i="11"/>
  <c r="Y201" i="11"/>
  <c r="X201" i="11"/>
  <c r="W201" i="11"/>
  <c r="V201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AE200" i="11"/>
  <c r="AC200" i="11"/>
  <c r="AB200" i="11"/>
  <c r="AA200" i="11"/>
  <c r="Z200" i="11"/>
  <c r="Y200" i="11"/>
  <c r="X200" i="11"/>
  <c r="W200" i="11"/>
  <c r="V200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AD200" i="11"/>
  <c r="AE199" i="11"/>
  <c r="AC199" i="11"/>
  <c r="AB199" i="11"/>
  <c r="AA199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AD199" i="11"/>
  <c r="AE198" i="11"/>
  <c r="AC198" i="11"/>
  <c r="AB198" i="11"/>
  <c r="AA198" i="11"/>
  <c r="Z198" i="11"/>
  <c r="Y198" i="11"/>
  <c r="X198" i="11"/>
  <c r="W198" i="11"/>
  <c r="V198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AD198" i="11"/>
  <c r="AE197" i="11"/>
  <c r="AC197" i="11"/>
  <c r="AB197" i="11"/>
  <c r="AA197" i="11"/>
  <c r="Z197" i="11"/>
  <c r="Y197" i="11"/>
  <c r="X197" i="11"/>
  <c r="W197" i="11"/>
  <c r="V197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AD197" i="11"/>
  <c r="AE196" i="11"/>
  <c r="AC196" i="11"/>
  <c r="AB196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AE195" i="11"/>
  <c r="AC195" i="11"/>
  <c r="AB195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AD195" i="11" s="1"/>
  <c r="AE194" i="11"/>
  <c r="AC194" i="11"/>
  <c r="AB194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AD194" i="11" s="1"/>
  <c r="AE193" i="11"/>
  <c r="AC193" i="11"/>
  <c r="AB193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AD193" i="11" s="1"/>
  <c r="AE192" i="11"/>
  <c r="AC192" i="11"/>
  <c r="AB192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AD192" i="11" s="1"/>
  <c r="AE191" i="11"/>
  <c r="AC191" i="11"/>
  <c r="AB191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AE190" i="11"/>
  <c r="AC190" i="11"/>
  <c r="AB190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AD190" i="11"/>
  <c r="AE189" i="11"/>
  <c r="AC189" i="11"/>
  <c r="AB189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AD189" i="11"/>
  <c r="AE188" i="11"/>
  <c r="AC188" i="11"/>
  <c r="AB188" i="11"/>
  <c r="AA188" i="11"/>
  <c r="Z188" i="11"/>
  <c r="Y188" i="11"/>
  <c r="X188" i="11"/>
  <c r="W188" i="11"/>
  <c r="V188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AD188" i="11"/>
  <c r="AE187" i="11"/>
  <c r="AC187" i="11"/>
  <c r="AB187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AE186" i="11"/>
  <c r="AC186" i="11"/>
  <c r="AB186" i="11"/>
  <c r="AA186" i="11"/>
  <c r="Z186" i="11"/>
  <c r="Y186" i="11"/>
  <c r="X186" i="11"/>
  <c r="W186" i="11"/>
  <c r="V186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AD186" i="11" s="1"/>
  <c r="AE185" i="11"/>
  <c r="AC185" i="11"/>
  <c r="AB185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AD185" i="11" s="1"/>
  <c r="AE184" i="11"/>
  <c r="AC184" i="11"/>
  <c r="AB184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AD184" i="11" s="1"/>
  <c r="AE183" i="11"/>
  <c r="AC183" i="11"/>
  <c r="AB183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AD183" i="11" s="1"/>
  <c r="AE182" i="11"/>
  <c r="AC182" i="11"/>
  <c r="AB182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AD182" i="11" s="1"/>
  <c r="AE181" i="11"/>
  <c r="AC181" i="11"/>
  <c r="AB181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AD181" i="11" s="1"/>
  <c r="AE180" i="11"/>
  <c r="AC180" i="11"/>
  <c r="AB180" i="11"/>
  <c r="AA180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AD180" i="11" s="1"/>
  <c r="AE179" i="11"/>
  <c r="AC179" i="11"/>
  <c r="AB179" i="11"/>
  <c r="AA179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AE178" i="11"/>
  <c r="AC178" i="11"/>
  <c r="AB178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AD178" i="11"/>
  <c r="AE177" i="11"/>
  <c r="AC177" i="11"/>
  <c r="AB177" i="1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AD177" i="11"/>
  <c r="AE176" i="11"/>
  <c r="AC176" i="11"/>
  <c r="AB176" i="11"/>
  <c r="AA176" i="11"/>
  <c r="Z176" i="11"/>
  <c r="Y176" i="11"/>
  <c r="X176" i="11"/>
  <c r="W176" i="11"/>
  <c r="V176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AD176" i="11"/>
  <c r="AE175" i="11"/>
  <c r="AC175" i="11"/>
  <c r="AB175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AD175" i="11"/>
  <c r="AE174" i="11"/>
  <c r="AC174" i="11"/>
  <c r="AB174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AD174" i="11"/>
  <c r="AE173" i="11"/>
  <c r="AC173" i="11"/>
  <c r="AB173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AE172" i="11"/>
  <c r="AC172" i="11"/>
  <c r="AB172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AD172" i="11" s="1"/>
  <c r="AE171" i="11"/>
  <c r="AC171" i="11"/>
  <c r="AB171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AE170" i="11"/>
  <c r="AC170" i="11"/>
  <c r="AB170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AD170" i="11"/>
  <c r="AE169" i="11"/>
  <c r="AC169" i="11"/>
  <c r="AB169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AE168" i="11"/>
  <c r="AC168" i="11"/>
  <c r="AB168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AD168" i="11" s="1"/>
  <c r="AE167" i="11"/>
  <c r="AC167" i="11"/>
  <c r="AB167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AE166" i="11"/>
  <c r="AC166" i="11"/>
  <c r="AB166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AD166" i="11"/>
  <c r="AE165" i="11"/>
  <c r="AC165" i="11"/>
  <c r="AB165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AD165" i="11"/>
  <c r="AE164" i="11"/>
  <c r="AC164" i="11"/>
  <c r="AB164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AD164" i="11"/>
  <c r="AE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AE162" i="11"/>
  <c r="AC162" i="11"/>
  <c r="AB162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AD162" i="11" s="1"/>
  <c r="AE161" i="11"/>
  <c r="AC161" i="11"/>
  <c r="AB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AE160" i="11"/>
  <c r="AC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AD160" i="11"/>
  <c r="AE159" i="11"/>
  <c r="AC159" i="11"/>
  <c r="AB159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AD159" i="11"/>
  <c r="AE158" i="11"/>
  <c r="AC158" i="11"/>
  <c r="AB158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AD158" i="11"/>
  <c r="AE157" i="11"/>
  <c r="AC157" i="11"/>
  <c r="AB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AD157" i="11"/>
  <c r="AE156" i="11"/>
  <c r="AC156" i="11"/>
  <c r="AB156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AD156" i="11"/>
  <c r="AE155" i="11"/>
  <c r="AC155" i="11"/>
  <c r="AB155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AD155" i="11"/>
  <c r="AE154" i="11"/>
  <c r="AC154" i="11"/>
  <c r="AB154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AD154" i="11"/>
  <c r="AE153" i="11"/>
  <c r="AC153" i="11"/>
  <c r="AB153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AD153" i="11"/>
  <c r="AE152" i="11"/>
  <c r="AC152" i="11"/>
  <c r="AB152" i="11"/>
  <c r="AA152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AD152" i="11"/>
  <c r="AE151" i="11"/>
  <c r="AC151" i="11"/>
  <c r="AB151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AD151" i="11"/>
  <c r="AE150" i="11"/>
  <c r="AC150" i="11"/>
  <c r="AB150" i="11"/>
  <c r="AA150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AD150" i="11"/>
  <c r="AE149" i="11"/>
  <c r="AC149" i="11"/>
  <c r="AB149" i="11"/>
  <c r="AA149" i="11"/>
  <c r="Z149" i="11"/>
  <c r="Y149" i="11"/>
  <c r="X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AD149" i="11"/>
  <c r="AE148" i="11"/>
  <c r="AC148" i="11"/>
  <c r="AB148" i="11"/>
  <c r="AA148" i="11"/>
  <c r="Z148" i="11"/>
  <c r="Y148" i="11"/>
  <c r="X148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AD148" i="11"/>
  <c r="AE147" i="11"/>
  <c r="AC147" i="11"/>
  <c r="AB147" i="11"/>
  <c r="AA147" i="11"/>
  <c r="Z147" i="11"/>
  <c r="Y147" i="11"/>
  <c r="X147" i="11"/>
  <c r="W147" i="11"/>
  <c r="V147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AD147" i="11"/>
  <c r="AE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AD146" i="11"/>
  <c r="AE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AE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AD144" i="11" s="1"/>
  <c r="AE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AD143" i="11" s="1"/>
  <c r="AE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AD142" i="11" s="1"/>
  <c r="AE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AD141" i="11" s="1"/>
  <c r="AE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AD140" i="11" s="1"/>
  <c r="AE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AD139" i="11" s="1"/>
  <c r="AE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AE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AD137" i="11"/>
  <c r="AE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AD136" i="11"/>
  <c r="AE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AE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AD134" i="11" s="1"/>
  <c r="AE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AD133" i="11" s="1"/>
  <c r="AE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AD132" i="11" s="1"/>
  <c r="AE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AD131" i="11" s="1"/>
  <c r="AE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AD130" i="11" s="1"/>
  <c r="AE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AE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AD128" i="11"/>
  <c r="AE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AD127" i="11"/>
  <c r="AE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AD126" i="11"/>
  <c r="AE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AD125" i="11"/>
  <c r="AE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AD124" i="11"/>
  <c r="AE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AD123" i="11"/>
  <c r="AE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AD122" i="11"/>
  <c r="AE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AD121" i="11"/>
  <c r="AE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AD120" i="11"/>
  <c r="AE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AD119" i="11"/>
  <c r="AE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AD118" i="11"/>
  <c r="AE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AD117" i="11"/>
  <c r="AE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AD116" i="11"/>
  <c r="AE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AD115" i="11"/>
  <c r="AE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AD114" i="11"/>
  <c r="AE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AD113" i="11"/>
  <c r="AE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AD112" i="11"/>
  <c r="AE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AD111" i="11"/>
  <c r="AE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AD110" i="11"/>
  <c r="AE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AE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AD108" i="11" s="1"/>
  <c r="AE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AD107" i="11" s="1"/>
  <c r="AE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AD106" i="11" s="1"/>
  <c r="AE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AE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AD104" i="11"/>
  <c r="AE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AE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AD102" i="11" s="1"/>
  <c r="AE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AD101" i="11" s="1"/>
  <c r="AE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AD100" i="11" s="1"/>
  <c r="AE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AD99" i="11" s="1"/>
  <c r="AE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AD98" i="11" s="1"/>
  <c r="AE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AD97" i="11" s="1"/>
  <c r="AE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AD96" i="11" s="1"/>
  <c r="AE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AD95" i="11" s="1"/>
  <c r="AE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AD94" i="11" s="1"/>
  <c r="AE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AD93" i="11" s="1"/>
  <c r="AE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AD92" i="11" s="1"/>
  <c r="AE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AD91" i="11" s="1"/>
  <c r="AE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AD90" i="11" s="1"/>
  <c r="AE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AD89" i="11" s="1"/>
  <c r="AE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AD88" i="11" s="1"/>
  <c r="AE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AD87" i="11" s="1"/>
  <c r="AE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AE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AD85" i="11"/>
  <c r="AE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AD84" i="11"/>
  <c r="AE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AD83" i="11"/>
  <c r="AE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AD82" i="11"/>
  <c r="AE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AD81" i="11"/>
  <c r="AE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AD80" i="11"/>
  <c r="AE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AD79" i="11"/>
  <c r="AE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AD78" i="11"/>
  <c r="AE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AE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AD76" i="11" s="1"/>
  <c r="AE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AE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AD74" i="11"/>
  <c r="AE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AE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AD72" i="11" s="1"/>
  <c r="AE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AE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AD70" i="11"/>
  <c r="AE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AE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AD68" i="11" s="1"/>
  <c r="AE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AE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AD66" i="11"/>
  <c r="AE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AE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AD64" i="11" s="1"/>
  <c r="AE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AE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AD62" i="11"/>
  <c r="AE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AE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AD60" i="11" s="1"/>
  <c r="AE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AE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AD58" i="11"/>
  <c r="AE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AE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AD56" i="11" s="1"/>
  <c r="AE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AE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AD54" i="11"/>
  <c r="AE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AE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AD52" i="11" s="1"/>
  <c r="AE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AE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AD50" i="11"/>
  <c r="AE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AE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AD48" i="11" s="1"/>
  <c r="AE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AE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AD46" i="11"/>
  <c r="AE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AE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AD44" i="11" s="1"/>
  <c r="AE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AD43" i="11" s="1"/>
  <c r="AE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AD42" i="11" s="1"/>
  <c r="AE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AD41" i="11" s="1"/>
  <c r="AE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AD40" i="11" s="1"/>
  <c r="AE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AD39" i="11" s="1"/>
  <c r="AE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AD38" i="11" s="1"/>
  <c r="AE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AD37" i="11" s="1"/>
  <c r="AE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AD36" i="11" s="1"/>
  <c r="AE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AD35" i="11" s="1"/>
  <c r="AE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AD34" i="11" s="1"/>
  <c r="AE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AE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AD32" i="11"/>
  <c r="AE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AE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AD30" i="11" s="1"/>
  <c r="AE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AE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AD28" i="11"/>
  <c r="AE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AE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AD26" i="11" s="1"/>
  <c r="AE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AD25" i="11" s="1"/>
  <c r="AE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AD24" i="11" s="1"/>
  <c r="AE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AD23" i="11" s="1"/>
  <c r="AE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AD22" i="11" s="1"/>
  <c r="AE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AD21" i="11" s="1"/>
  <c r="AE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AD20" i="11" s="1"/>
  <c r="AE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AD19" i="11" s="1"/>
  <c r="AE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AD18" i="11" s="1"/>
  <c r="AE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AD17" i="11" s="1"/>
  <c r="AE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AD16" i="11" s="1"/>
  <c r="AE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AD15" i="11" s="1"/>
  <c r="AE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AD14" i="11" s="1"/>
  <c r="AE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AD13" i="11" s="1"/>
  <c r="AE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AD12" i="11" s="1"/>
  <c r="AE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AD11" i="11" s="1"/>
  <c r="AE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AD10" i="11" s="1"/>
  <c r="AE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AD9" i="11" s="1"/>
  <c r="AE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AD8" i="11" s="1"/>
  <c r="AE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AD7" i="11" s="1"/>
  <c r="AE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AD6" i="11" s="1"/>
  <c r="AE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AE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AD4" i="11"/>
  <c r="AE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AD3" i="11"/>
  <c r="AE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 s="1"/>
  <c r="AD2" i="11" s="1"/>
  <c r="AE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AD1" i="11" s="1"/>
  <c r="AE365" i="10"/>
  <c r="AC365" i="10"/>
  <c r="AB365" i="10"/>
  <c r="AA365" i="10"/>
  <c r="Z365" i="10"/>
  <c r="Y365" i="10"/>
  <c r="X365" i="10"/>
  <c r="W365" i="10"/>
  <c r="V365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AD365" i="10" s="1"/>
  <c r="AE364" i="10"/>
  <c r="AC364" i="10"/>
  <c r="AB364" i="10"/>
  <c r="AA364" i="10"/>
  <c r="Z364" i="10"/>
  <c r="Y364" i="10"/>
  <c r="X364" i="10"/>
  <c r="W364" i="10"/>
  <c r="V364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AE363" i="10"/>
  <c r="AC363" i="10"/>
  <c r="AB363" i="10"/>
  <c r="AA363" i="10"/>
  <c r="Z363" i="10"/>
  <c r="Y363" i="10"/>
  <c r="X363" i="10"/>
  <c r="W363" i="10"/>
  <c r="V363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AD363" i="10"/>
  <c r="AE362" i="10"/>
  <c r="AC362" i="10"/>
  <c r="AB362" i="10"/>
  <c r="AA362" i="10"/>
  <c r="Z362" i="10"/>
  <c r="Y362" i="10"/>
  <c r="X362" i="10"/>
  <c r="W362" i="10"/>
  <c r="V362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AD362" i="10"/>
  <c r="AE361" i="10"/>
  <c r="AC361" i="10"/>
  <c r="AB361" i="10"/>
  <c r="AA361" i="10"/>
  <c r="Z361" i="10"/>
  <c r="Y361" i="10"/>
  <c r="X361" i="10"/>
  <c r="W361" i="10"/>
  <c r="V361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AD361" i="10"/>
  <c r="AE360" i="10"/>
  <c r="AC360" i="10"/>
  <c r="AB360" i="10"/>
  <c r="AA360" i="10"/>
  <c r="Z360" i="10"/>
  <c r="Y360" i="10"/>
  <c r="X360" i="10"/>
  <c r="W360" i="10"/>
  <c r="V360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AD360" i="10"/>
  <c r="AE359" i="10"/>
  <c r="AC359" i="10"/>
  <c r="AB359" i="10"/>
  <c r="AA359" i="10"/>
  <c r="Z359" i="10"/>
  <c r="Y359" i="10"/>
  <c r="X359" i="10"/>
  <c r="W359" i="10"/>
  <c r="V359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AD359" i="10"/>
  <c r="AE358" i="10"/>
  <c r="AC358" i="10"/>
  <c r="AB358" i="10"/>
  <c r="AA358" i="10"/>
  <c r="Z358" i="10"/>
  <c r="Y358" i="10"/>
  <c r="X358" i="10"/>
  <c r="W358" i="10"/>
  <c r="V358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AD358" i="10"/>
  <c r="AE357" i="10"/>
  <c r="AC357" i="10"/>
  <c r="AB357" i="10"/>
  <c r="AA357" i="10"/>
  <c r="Z357" i="10"/>
  <c r="Y357" i="10"/>
  <c r="X357" i="10"/>
  <c r="W357" i="10"/>
  <c r="V357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AE356" i="10"/>
  <c r="AC356" i="10"/>
  <c r="AB356" i="10"/>
  <c r="AA356" i="10"/>
  <c r="Z356" i="10"/>
  <c r="Y356" i="10"/>
  <c r="X356" i="10"/>
  <c r="W356" i="10"/>
  <c r="V356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AD356" i="10" s="1"/>
  <c r="AE355" i="10"/>
  <c r="AC355" i="10"/>
  <c r="AB355" i="10"/>
  <c r="AA355" i="10"/>
  <c r="Z355" i="10"/>
  <c r="Y355" i="10"/>
  <c r="X355" i="10"/>
  <c r="W355" i="10"/>
  <c r="V355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AD355" i="10" s="1"/>
  <c r="AE354" i="10"/>
  <c r="AC354" i="10"/>
  <c r="AB354" i="10"/>
  <c r="AA354" i="10"/>
  <c r="Z354" i="10"/>
  <c r="Y354" i="10"/>
  <c r="X354" i="10"/>
  <c r="W354" i="10"/>
  <c r="V354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AD354" i="10" s="1"/>
  <c r="AE353" i="10"/>
  <c r="AC353" i="10"/>
  <c r="AB353" i="10"/>
  <c r="AA353" i="10"/>
  <c r="Z353" i="10"/>
  <c r="Y353" i="10"/>
  <c r="X353" i="10"/>
  <c r="W353" i="10"/>
  <c r="V353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AE352" i="10"/>
  <c r="AC352" i="10"/>
  <c r="AB352" i="10"/>
  <c r="AA352" i="10"/>
  <c r="Z352" i="10"/>
  <c r="Y352" i="10"/>
  <c r="X352" i="10"/>
  <c r="W352" i="10"/>
  <c r="V352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AD352" i="10"/>
  <c r="AE351" i="10"/>
  <c r="AC351" i="10"/>
  <c r="AB351" i="10"/>
  <c r="AA351" i="10"/>
  <c r="Z351" i="10"/>
  <c r="Y351" i="10"/>
  <c r="X351" i="10"/>
  <c r="W351" i="10"/>
  <c r="V351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AD351" i="10"/>
  <c r="AE350" i="10"/>
  <c r="AC350" i="10"/>
  <c r="AB350" i="10"/>
  <c r="AA350" i="10"/>
  <c r="Z350" i="10"/>
  <c r="Y350" i="10"/>
  <c r="X350" i="10"/>
  <c r="W350" i="10"/>
  <c r="V350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AD350" i="10"/>
  <c r="AE349" i="10"/>
  <c r="AC349" i="10"/>
  <c r="AB349" i="10"/>
  <c r="AA349" i="10"/>
  <c r="Z349" i="10"/>
  <c r="Y349" i="10"/>
  <c r="X349" i="10"/>
  <c r="W349" i="10"/>
  <c r="V349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AE348" i="10"/>
  <c r="AC348" i="10"/>
  <c r="AB348" i="10"/>
  <c r="AA348" i="10"/>
  <c r="Z348" i="10"/>
  <c r="Y348" i="10"/>
  <c r="X348" i="10"/>
  <c r="W348" i="10"/>
  <c r="V348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AD348" i="10" s="1"/>
  <c r="AE347" i="10"/>
  <c r="AC347" i="10"/>
  <c r="AB347" i="10"/>
  <c r="AA347" i="10"/>
  <c r="Z347" i="10"/>
  <c r="Y347" i="10"/>
  <c r="X347" i="10"/>
  <c r="W347" i="10"/>
  <c r="V347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AD347" i="10" s="1"/>
  <c r="AE346" i="10"/>
  <c r="AC346" i="10"/>
  <c r="AB346" i="10"/>
  <c r="AA346" i="10"/>
  <c r="Z346" i="10"/>
  <c r="Y346" i="10"/>
  <c r="X346" i="10"/>
  <c r="W346" i="10"/>
  <c r="V346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AD346" i="10" s="1"/>
  <c r="AE345" i="10"/>
  <c r="AC345" i="10"/>
  <c r="AB345" i="10"/>
  <c r="AA345" i="10"/>
  <c r="Z345" i="10"/>
  <c r="Y345" i="10"/>
  <c r="X345" i="10"/>
  <c r="W345" i="10"/>
  <c r="V345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AD345" i="10" s="1"/>
  <c r="AE344" i="10"/>
  <c r="AC344" i="10"/>
  <c r="AB344" i="10"/>
  <c r="AA344" i="10"/>
  <c r="Z344" i="10"/>
  <c r="Y344" i="10"/>
  <c r="X344" i="10"/>
  <c r="W344" i="10"/>
  <c r="V344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AE343" i="10"/>
  <c r="AC343" i="10"/>
  <c r="AB343" i="10"/>
  <c r="AA343" i="10"/>
  <c r="Z343" i="10"/>
  <c r="Y343" i="10"/>
  <c r="X343" i="10"/>
  <c r="W343" i="10"/>
  <c r="V343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AE342" i="10"/>
  <c r="AC342" i="10"/>
  <c r="AB342" i="10"/>
  <c r="AA342" i="10"/>
  <c r="Z342" i="10"/>
  <c r="Y342" i="10"/>
  <c r="X342" i="10"/>
  <c r="W342" i="10"/>
  <c r="V342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AD342" i="10" s="1"/>
  <c r="AE341" i="10"/>
  <c r="AC341" i="10"/>
  <c r="AB341" i="10"/>
  <c r="AA341" i="10"/>
  <c r="Z341" i="10"/>
  <c r="Y341" i="10"/>
  <c r="X341" i="10"/>
  <c r="W341" i="10"/>
  <c r="V341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AD341" i="10" s="1"/>
  <c r="AE340" i="10"/>
  <c r="AC340" i="10"/>
  <c r="AB340" i="10"/>
  <c r="AA340" i="10"/>
  <c r="Z340" i="10"/>
  <c r="Y340" i="10"/>
  <c r="X340" i="10"/>
  <c r="W340" i="10"/>
  <c r="V340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AD340" i="10" s="1"/>
  <c r="AE339" i="10"/>
  <c r="AC339" i="10"/>
  <c r="AB339" i="10"/>
  <c r="AA339" i="10"/>
  <c r="Z339" i="10"/>
  <c r="Y339" i="10"/>
  <c r="X339" i="10"/>
  <c r="W339" i="10"/>
  <c r="V339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AD339" i="10" s="1"/>
  <c r="AE338" i="10"/>
  <c r="AC338" i="10"/>
  <c r="AB338" i="10"/>
  <c r="AA338" i="10"/>
  <c r="Z338" i="10"/>
  <c r="Y338" i="10"/>
  <c r="X338" i="10"/>
  <c r="W338" i="10"/>
  <c r="V338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AD338" i="10" s="1"/>
  <c r="AE337" i="10"/>
  <c r="AC337" i="10"/>
  <c r="AB337" i="10"/>
  <c r="AA337" i="10"/>
  <c r="Z337" i="10"/>
  <c r="Y337" i="10"/>
  <c r="X337" i="10"/>
  <c r="W337" i="10"/>
  <c r="V337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AD337" i="10" s="1"/>
  <c r="AE336" i="10"/>
  <c r="AC336" i="10"/>
  <c r="AB336" i="10"/>
  <c r="AA336" i="10"/>
  <c r="Z336" i="10"/>
  <c r="Y336" i="10"/>
  <c r="X336" i="10"/>
  <c r="W336" i="10"/>
  <c r="V336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AD336" i="10" s="1"/>
  <c r="AE335" i="10"/>
  <c r="AC335" i="10"/>
  <c r="AB335" i="10"/>
  <c r="AA335" i="10"/>
  <c r="Z335" i="10"/>
  <c r="Y335" i="10"/>
  <c r="X335" i="10"/>
  <c r="W335" i="10"/>
  <c r="V335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AD335" i="10" s="1"/>
  <c r="AE334" i="10"/>
  <c r="AC334" i="10"/>
  <c r="AB334" i="10"/>
  <c r="AA334" i="10"/>
  <c r="Z334" i="10"/>
  <c r="Y334" i="10"/>
  <c r="X334" i="10"/>
  <c r="W334" i="10"/>
  <c r="V334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AD334" i="10" s="1"/>
  <c r="AE333" i="10"/>
  <c r="AC333" i="10"/>
  <c r="AB333" i="10"/>
  <c r="AA333" i="10"/>
  <c r="Z333" i="10"/>
  <c r="Y333" i="10"/>
  <c r="X333" i="10"/>
  <c r="W333" i="10"/>
  <c r="V333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AD333" i="10" s="1"/>
  <c r="AE332" i="10"/>
  <c r="AC332" i="10"/>
  <c r="AB332" i="10"/>
  <c r="AA332" i="10"/>
  <c r="Z332" i="10"/>
  <c r="Y332" i="10"/>
  <c r="X332" i="10"/>
  <c r="W332" i="10"/>
  <c r="V332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AD332" i="10" s="1"/>
  <c r="AE331" i="10"/>
  <c r="AC331" i="10"/>
  <c r="AB331" i="10"/>
  <c r="AA331" i="10"/>
  <c r="Z331" i="10"/>
  <c r="Y331" i="10"/>
  <c r="X331" i="10"/>
  <c r="W331" i="10"/>
  <c r="V331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AD331" i="10" s="1"/>
  <c r="AE330" i="10"/>
  <c r="AC330" i="10"/>
  <c r="AB330" i="10"/>
  <c r="AA330" i="10"/>
  <c r="Z330" i="10"/>
  <c r="Y330" i="10"/>
  <c r="X330" i="10"/>
  <c r="W330" i="10"/>
  <c r="V330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AD330" i="10" s="1"/>
  <c r="AE329" i="10"/>
  <c r="AC329" i="10"/>
  <c r="AB329" i="10"/>
  <c r="AA329" i="10"/>
  <c r="Z329" i="10"/>
  <c r="Y329" i="10"/>
  <c r="X329" i="10"/>
  <c r="W329" i="10"/>
  <c r="V329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AD329" i="10" s="1"/>
  <c r="AE328" i="10"/>
  <c r="AC328" i="10"/>
  <c r="AB328" i="10"/>
  <c r="AA328" i="10"/>
  <c r="Z328" i="10"/>
  <c r="Y328" i="10"/>
  <c r="X328" i="10"/>
  <c r="W328" i="10"/>
  <c r="V328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AD328" i="10" s="1"/>
  <c r="AE327" i="10"/>
  <c r="AC327" i="10"/>
  <c r="AB327" i="10"/>
  <c r="AA327" i="10"/>
  <c r="Z327" i="10"/>
  <c r="Y327" i="10"/>
  <c r="X327" i="10"/>
  <c r="W327" i="10"/>
  <c r="V327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AE326" i="10"/>
  <c r="AC326" i="10"/>
  <c r="AB326" i="10"/>
  <c r="AA326" i="10"/>
  <c r="Z326" i="10"/>
  <c r="Y326" i="10"/>
  <c r="X326" i="10"/>
  <c r="W326" i="10"/>
  <c r="V326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AD326" i="10"/>
  <c r="AE325" i="10"/>
  <c r="AC325" i="10"/>
  <c r="AB325" i="10"/>
  <c r="AA325" i="10"/>
  <c r="Z325" i="10"/>
  <c r="Y325" i="10"/>
  <c r="X325" i="10"/>
  <c r="W325" i="10"/>
  <c r="V325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AD325" i="10"/>
  <c r="AE324" i="10"/>
  <c r="AC324" i="10"/>
  <c r="AB324" i="10"/>
  <c r="AA324" i="10"/>
  <c r="Z324" i="10"/>
  <c r="Y324" i="10"/>
  <c r="X324" i="10"/>
  <c r="W324" i="10"/>
  <c r="V324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AD324" i="10"/>
  <c r="AE323" i="10"/>
  <c r="AC323" i="10"/>
  <c r="AB323" i="10"/>
  <c r="AA323" i="10"/>
  <c r="Z323" i="10"/>
  <c r="Y323" i="10"/>
  <c r="X323" i="10"/>
  <c r="W323" i="10"/>
  <c r="V323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AD323" i="10"/>
  <c r="AE322" i="10"/>
  <c r="AC322" i="10"/>
  <c r="AB322" i="10"/>
  <c r="AA322" i="10"/>
  <c r="Z322" i="10"/>
  <c r="Y322" i="10"/>
  <c r="X322" i="10"/>
  <c r="W322" i="10"/>
  <c r="V322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AD322" i="10"/>
  <c r="AE321" i="10"/>
  <c r="AC321" i="10"/>
  <c r="AB321" i="10"/>
  <c r="AA321" i="10"/>
  <c r="Z321" i="10"/>
  <c r="Y321" i="10"/>
  <c r="X321" i="10"/>
  <c r="W321" i="10"/>
  <c r="V321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AD321" i="10"/>
  <c r="AE320" i="10"/>
  <c r="AC320" i="10"/>
  <c r="AB320" i="10"/>
  <c r="AA320" i="10"/>
  <c r="Z320" i="10"/>
  <c r="Y320" i="10"/>
  <c r="X320" i="10"/>
  <c r="W320" i="10"/>
  <c r="V320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AD320" i="10"/>
  <c r="AE319" i="10"/>
  <c r="AC319" i="10"/>
  <c r="AB319" i="10"/>
  <c r="AA319" i="10"/>
  <c r="Z319" i="10"/>
  <c r="Y319" i="10"/>
  <c r="X319" i="10"/>
  <c r="W319" i="10"/>
  <c r="V319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AD319" i="10"/>
  <c r="AE318" i="10"/>
  <c r="AC318" i="10"/>
  <c r="AB318" i="10"/>
  <c r="AA318" i="10"/>
  <c r="Z318" i="10"/>
  <c r="Y318" i="10"/>
  <c r="X318" i="10"/>
  <c r="W318" i="10"/>
  <c r="V318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AD318" i="10"/>
  <c r="AE317" i="10"/>
  <c r="AC317" i="10"/>
  <c r="AB317" i="10"/>
  <c r="AA317" i="10"/>
  <c r="Z317" i="10"/>
  <c r="Y317" i="10"/>
  <c r="X317" i="10"/>
  <c r="W317" i="10"/>
  <c r="V317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AD317" i="10"/>
  <c r="AE316" i="10"/>
  <c r="AC316" i="10"/>
  <c r="AB316" i="10"/>
  <c r="AA316" i="10"/>
  <c r="Z316" i="10"/>
  <c r="Y316" i="10"/>
  <c r="X316" i="10"/>
  <c r="W316" i="10"/>
  <c r="V316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AD316" i="10"/>
  <c r="AE315" i="10"/>
  <c r="AC315" i="10"/>
  <c r="AB315" i="10"/>
  <c r="AA315" i="10"/>
  <c r="Z315" i="10"/>
  <c r="Y315" i="10"/>
  <c r="X315" i="10"/>
  <c r="W315" i="10"/>
  <c r="V315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AD315" i="10"/>
  <c r="AE314" i="10"/>
  <c r="AC314" i="10"/>
  <c r="AB314" i="10"/>
  <c r="AA314" i="10"/>
  <c r="Z314" i="10"/>
  <c r="Y314" i="10"/>
  <c r="X314" i="10"/>
  <c r="W314" i="10"/>
  <c r="V314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AD314" i="10"/>
  <c r="AE313" i="10"/>
  <c r="AC313" i="10"/>
  <c r="AB313" i="10"/>
  <c r="AA313" i="10"/>
  <c r="Z313" i="10"/>
  <c r="Y313" i="10"/>
  <c r="X313" i="10"/>
  <c r="W313" i="10"/>
  <c r="V313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AD313" i="10"/>
  <c r="AE312" i="10"/>
  <c r="AC312" i="10"/>
  <c r="AB312" i="10"/>
  <c r="AA312" i="10"/>
  <c r="Z312" i="10"/>
  <c r="Y312" i="10"/>
  <c r="X312" i="10"/>
  <c r="W312" i="10"/>
  <c r="V312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AD312" i="10"/>
  <c r="AE311" i="10"/>
  <c r="AC311" i="10"/>
  <c r="AB311" i="10"/>
  <c r="AA311" i="10"/>
  <c r="Z311" i="10"/>
  <c r="Y311" i="10"/>
  <c r="X311" i="10"/>
  <c r="W311" i="10"/>
  <c r="V311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AD311" i="10"/>
  <c r="AE310" i="10"/>
  <c r="AC310" i="10"/>
  <c r="AB310" i="10"/>
  <c r="AA310" i="10"/>
  <c r="Z310" i="10"/>
  <c r="Y310" i="10"/>
  <c r="X310" i="10"/>
  <c r="W310" i="10"/>
  <c r="V310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AD310" i="10"/>
  <c r="AE309" i="10"/>
  <c r="AC309" i="10"/>
  <c r="AB309" i="10"/>
  <c r="AA309" i="10"/>
  <c r="Z309" i="10"/>
  <c r="Y309" i="10"/>
  <c r="X309" i="10"/>
  <c r="W309" i="10"/>
  <c r="V309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AD309" i="10"/>
  <c r="AE308" i="10"/>
  <c r="AC308" i="10"/>
  <c r="AB308" i="10"/>
  <c r="AA308" i="10"/>
  <c r="Z308" i="10"/>
  <c r="Y308" i="10"/>
  <c r="X308" i="10"/>
  <c r="W308" i="10"/>
  <c r="V308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AD308" i="10"/>
  <c r="AE307" i="10"/>
  <c r="AC307" i="10"/>
  <c r="AB307" i="10"/>
  <c r="AA307" i="10"/>
  <c r="Z307" i="10"/>
  <c r="Y307" i="10"/>
  <c r="X307" i="10"/>
  <c r="W307" i="10"/>
  <c r="V307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AD307" i="10"/>
  <c r="AE306" i="10"/>
  <c r="AC306" i="10"/>
  <c r="AB306" i="10"/>
  <c r="AA306" i="10"/>
  <c r="Z306" i="10"/>
  <c r="Y306" i="10"/>
  <c r="X306" i="10"/>
  <c r="W306" i="10"/>
  <c r="V306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AD306" i="10"/>
  <c r="AE305" i="10"/>
  <c r="AC305" i="10"/>
  <c r="AB305" i="10"/>
  <c r="AA305" i="10"/>
  <c r="Z305" i="10"/>
  <c r="Y305" i="10"/>
  <c r="X305" i="10"/>
  <c r="W305" i="10"/>
  <c r="V305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AD305" i="10"/>
  <c r="AE304" i="10"/>
  <c r="AC304" i="10"/>
  <c r="AB304" i="10"/>
  <c r="AA304" i="10"/>
  <c r="Z304" i="10"/>
  <c r="Y304" i="10"/>
  <c r="X304" i="10"/>
  <c r="W304" i="10"/>
  <c r="V304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AD304" i="10"/>
  <c r="AE303" i="10"/>
  <c r="AC303" i="10"/>
  <c r="AB303" i="10"/>
  <c r="AA303" i="10"/>
  <c r="Z303" i="10"/>
  <c r="Y303" i="10"/>
  <c r="X303" i="10"/>
  <c r="W303" i="10"/>
  <c r="V303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AD303" i="10"/>
  <c r="AE302" i="10"/>
  <c r="AC302" i="10"/>
  <c r="AB302" i="10"/>
  <c r="AA302" i="10"/>
  <c r="Z302" i="10"/>
  <c r="Y302" i="10"/>
  <c r="X302" i="10"/>
  <c r="W302" i="10"/>
  <c r="V302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AD302" i="10"/>
  <c r="AE301" i="10"/>
  <c r="AC301" i="10"/>
  <c r="AB301" i="10"/>
  <c r="AA301" i="10"/>
  <c r="Z301" i="10"/>
  <c r="Y301" i="10"/>
  <c r="X301" i="10"/>
  <c r="W301" i="10"/>
  <c r="V301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AD301" i="10"/>
  <c r="AE300" i="10"/>
  <c r="AC300" i="10"/>
  <c r="AB300" i="10"/>
  <c r="AA300" i="10"/>
  <c r="Z300" i="10"/>
  <c r="Y300" i="10"/>
  <c r="X300" i="10"/>
  <c r="W300" i="10"/>
  <c r="V300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AD300" i="10"/>
  <c r="AE299" i="10"/>
  <c r="AC299" i="10"/>
  <c r="AB299" i="10"/>
  <c r="AA299" i="10"/>
  <c r="Z299" i="10"/>
  <c r="Y299" i="10"/>
  <c r="X299" i="10"/>
  <c r="W299" i="10"/>
  <c r="V299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AE298" i="10"/>
  <c r="AC298" i="10"/>
  <c r="AB298" i="10"/>
  <c r="AA298" i="10"/>
  <c r="Z298" i="10"/>
  <c r="Y298" i="10"/>
  <c r="X298" i="10"/>
  <c r="W298" i="10"/>
  <c r="V298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AD298" i="10" s="1"/>
  <c r="AE297" i="10"/>
  <c r="AC297" i="10"/>
  <c r="AB297" i="10"/>
  <c r="AA297" i="10"/>
  <c r="Z297" i="10"/>
  <c r="Y297" i="10"/>
  <c r="X297" i="10"/>
  <c r="W297" i="10"/>
  <c r="V297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AE296" i="10"/>
  <c r="AC296" i="10"/>
  <c r="AB296" i="10"/>
  <c r="AA296" i="10"/>
  <c r="Z296" i="10"/>
  <c r="Y296" i="10"/>
  <c r="X296" i="10"/>
  <c r="W296" i="10"/>
  <c r="V296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AD296" i="10"/>
  <c r="AE295" i="10"/>
  <c r="AC295" i="10"/>
  <c r="AB295" i="10"/>
  <c r="AA295" i="10"/>
  <c r="Z295" i="10"/>
  <c r="Y295" i="10"/>
  <c r="X295" i="10"/>
  <c r="W295" i="10"/>
  <c r="V295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AD295" i="10"/>
  <c r="AE294" i="10"/>
  <c r="AC294" i="10"/>
  <c r="AB294" i="10"/>
  <c r="AA294" i="10"/>
  <c r="Z294" i="10"/>
  <c r="Y294" i="10"/>
  <c r="X294" i="10"/>
  <c r="W294" i="10"/>
  <c r="V294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AD294" i="10"/>
  <c r="AE293" i="10"/>
  <c r="AC293" i="10"/>
  <c r="AB293" i="10"/>
  <c r="AA293" i="10"/>
  <c r="Z293" i="10"/>
  <c r="Y293" i="10"/>
  <c r="X293" i="10"/>
  <c r="W293" i="10"/>
  <c r="V293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AD293" i="10"/>
  <c r="AE292" i="10"/>
  <c r="AC292" i="10"/>
  <c r="AB292" i="10"/>
  <c r="AA292" i="10"/>
  <c r="Z292" i="10"/>
  <c r="Y292" i="10"/>
  <c r="X292" i="10"/>
  <c r="W292" i="10"/>
  <c r="V292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AD292" i="10"/>
  <c r="AE291" i="10"/>
  <c r="AC291" i="10"/>
  <c r="AB291" i="10"/>
  <c r="AA291" i="10"/>
  <c r="Z291" i="10"/>
  <c r="Y291" i="10"/>
  <c r="X291" i="10"/>
  <c r="W291" i="10"/>
  <c r="V291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AD291" i="10"/>
  <c r="AE290" i="10"/>
  <c r="AC290" i="10"/>
  <c r="AB290" i="10"/>
  <c r="AA290" i="10"/>
  <c r="Z290" i="10"/>
  <c r="Y290" i="10"/>
  <c r="X290" i="10"/>
  <c r="W290" i="10"/>
  <c r="V290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AE289" i="10"/>
  <c r="AC289" i="10"/>
  <c r="AB289" i="10"/>
  <c r="AA289" i="10"/>
  <c r="Z289" i="10"/>
  <c r="Y289" i="10"/>
  <c r="X289" i="10"/>
  <c r="W289" i="10"/>
  <c r="V289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AE288" i="10"/>
  <c r="AC288" i="10"/>
  <c r="AB288" i="10"/>
  <c r="AA288" i="10"/>
  <c r="Z288" i="10"/>
  <c r="Y288" i="10"/>
  <c r="X288" i="10"/>
  <c r="W288" i="10"/>
  <c r="V288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AD288" i="10"/>
  <c r="AE287" i="10"/>
  <c r="AC287" i="10"/>
  <c r="AB287" i="10"/>
  <c r="AA287" i="10"/>
  <c r="Z287" i="10"/>
  <c r="Y287" i="10"/>
  <c r="X287" i="10"/>
  <c r="W287" i="10"/>
  <c r="V287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AD287" i="10"/>
  <c r="AE286" i="10"/>
  <c r="AC286" i="10"/>
  <c r="AB286" i="10"/>
  <c r="AA286" i="10"/>
  <c r="Z286" i="10"/>
  <c r="Y286" i="10"/>
  <c r="X286" i="10"/>
  <c r="W286" i="10"/>
  <c r="V286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AD286" i="10"/>
  <c r="AE285" i="10"/>
  <c r="AC285" i="10"/>
  <c r="AB285" i="10"/>
  <c r="AA285" i="10"/>
  <c r="Z285" i="10"/>
  <c r="Y285" i="10"/>
  <c r="X285" i="10"/>
  <c r="W285" i="10"/>
  <c r="V285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AD285" i="10"/>
  <c r="AE284" i="10"/>
  <c r="AC284" i="10"/>
  <c r="AB284" i="10"/>
  <c r="AA284" i="10"/>
  <c r="Z284" i="10"/>
  <c r="Y284" i="10"/>
  <c r="X284" i="10"/>
  <c r="W284" i="10"/>
  <c r="V284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AD284" i="10"/>
  <c r="AE283" i="10"/>
  <c r="AC283" i="10"/>
  <c r="AB283" i="10"/>
  <c r="AA283" i="10"/>
  <c r="Z283" i="10"/>
  <c r="Y283" i="10"/>
  <c r="X283" i="10"/>
  <c r="W283" i="10"/>
  <c r="V283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AD283" i="10"/>
  <c r="AE282" i="10"/>
  <c r="AC282" i="10"/>
  <c r="AB282" i="10"/>
  <c r="AA282" i="10"/>
  <c r="Z282" i="10"/>
  <c r="Y282" i="10"/>
  <c r="X282" i="10"/>
  <c r="W282" i="10"/>
  <c r="V282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AD282" i="10"/>
  <c r="AE281" i="10"/>
  <c r="AC281" i="10"/>
  <c r="AB281" i="10"/>
  <c r="AA281" i="10"/>
  <c r="Z281" i="10"/>
  <c r="Y281" i="10"/>
  <c r="X281" i="10"/>
  <c r="W281" i="10"/>
  <c r="V281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AD281" i="10"/>
  <c r="AE280" i="10"/>
  <c r="AC280" i="10"/>
  <c r="AB280" i="10"/>
  <c r="AA280" i="10"/>
  <c r="Z280" i="10"/>
  <c r="Y280" i="10"/>
  <c r="X280" i="10"/>
  <c r="W280" i="10"/>
  <c r="V280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AD280" i="10"/>
  <c r="AE279" i="10"/>
  <c r="AC279" i="10"/>
  <c r="AB279" i="10"/>
  <c r="AA279" i="10"/>
  <c r="Z279" i="10"/>
  <c r="Y279" i="10"/>
  <c r="X279" i="10"/>
  <c r="W279" i="10"/>
  <c r="V279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AE278" i="10"/>
  <c r="AC278" i="10"/>
  <c r="AB278" i="10"/>
  <c r="AA278" i="10"/>
  <c r="Z278" i="10"/>
  <c r="Y278" i="10"/>
  <c r="X278" i="10"/>
  <c r="W278" i="10"/>
  <c r="V278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AD278" i="10" s="1"/>
  <c r="AE277" i="10"/>
  <c r="AC277" i="10"/>
  <c r="AB277" i="10"/>
  <c r="AA277" i="10"/>
  <c r="Z277" i="10"/>
  <c r="Y277" i="10"/>
  <c r="X277" i="10"/>
  <c r="W277" i="10"/>
  <c r="V277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AE276" i="10"/>
  <c r="AC276" i="10"/>
  <c r="AB276" i="10"/>
  <c r="AA276" i="10"/>
  <c r="Z276" i="10"/>
  <c r="Y276" i="10"/>
  <c r="X276" i="10"/>
  <c r="W276" i="10"/>
  <c r="V276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AD276" i="10"/>
  <c r="AE275" i="10"/>
  <c r="AC275" i="10"/>
  <c r="AB275" i="10"/>
  <c r="AA275" i="10"/>
  <c r="Z275" i="10"/>
  <c r="Y275" i="10"/>
  <c r="X275" i="10"/>
  <c r="W275" i="10"/>
  <c r="V275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AD275" i="10"/>
  <c r="AE274" i="10"/>
  <c r="AC274" i="10"/>
  <c r="AB274" i="10"/>
  <c r="AA274" i="10"/>
  <c r="Z274" i="10"/>
  <c r="Y274" i="10"/>
  <c r="X274" i="10"/>
  <c r="W274" i="10"/>
  <c r="V274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AD274" i="10"/>
  <c r="AE273" i="10"/>
  <c r="AC273" i="10"/>
  <c r="AB273" i="10"/>
  <c r="AA273" i="10"/>
  <c r="Z273" i="10"/>
  <c r="Y273" i="10"/>
  <c r="X273" i="10"/>
  <c r="W273" i="10"/>
  <c r="V273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AD273" i="10"/>
  <c r="AE272" i="10"/>
  <c r="AC272" i="10"/>
  <c r="AB272" i="10"/>
  <c r="AA272" i="10"/>
  <c r="Z272" i="10"/>
  <c r="Y272" i="10"/>
  <c r="X272" i="10"/>
  <c r="W272" i="10"/>
  <c r="V272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AD272" i="10"/>
  <c r="AE271" i="10"/>
  <c r="AC271" i="10"/>
  <c r="AB271" i="10"/>
  <c r="AA271" i="10"/>
  <c r="Z271" i="10"/>
  <c r="Y271" i="10"/>
  <c r="X271" i="10"/>
  <c r="W271" i="10"/>
  <c r="V271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AD271" i="10"/>
  <c r="AE270" i="10"/>
  <c r="AC270" i="10"/>
  <c r="AB270" i="10"/>
  <c r="AA270" i="10"/>
  <c r="Z270" i="10"/>
  <c r="Y270" i="10"/>
  <c r="X270" i="10"/>
  <c r="W270" i="10"/>
  <c r="V270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AD270" i="10"/>
  <c r="AE269" i="10"/>
  <c r="AC269" i="10"/>
  <c r="AB269" i="10"/>
  <c r="AA269" i="10"/>
  <c r="Z269" i="10"/>
  <c r="Y269" i="10"/>
  <c r="X269" i="10"/>
  <c r="W269" i="10"/>
  <c r="V269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AD269" i="10"/>
  <c r="AE268" i="10"/>
  <c r="AC268" i="10"/>
  <c r="AB268" i="10"/>
  <c r="AA268" i="10"/>
  <c r="Z268" i="10"/>
  <c r="Y268" i="10"/>
  <c r="X268" i="10"/>
  <c r="W268" i="10"/>
  <c r="V268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AD268" i="10"/>
  <c r="AE267" i="10"/>
  <c r="AC267" i="10"/>
  <c r="AB267" i="10"/>
  <c r="AA267" i="10"/>
  <c r="Z267" i="10"/>
  <c r="Y267" i="10"/>
  <c r="X267" i="10"/>
  <c r="W267" i="10"/>
  <c r="V267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AD267" i="10"/>
  <c r="AE266" i="10"/>
  <c r="AC266" i="10"/>
  <c r="AB266" i="10"/>
  <c r="AA266" i="10"/>
  <c r="Z266" i="10"/>
  <c r="Y266" i="10"/>
  <c r="X266" i="10"/>
  <c r="W266" i="10"/>
  <c r="V266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AD266" i="10"/>
  <c r="AE265" i="10"/>
  <c r="AC265" i="10"/>
  <c r="AB265" i="10"/>
  <c r="AA265" i="10"/>
  <c r="Z265" i="10"/>
  <c r="Y265" i="10"/>
  <c r="X265" i="10"/>
  <c r="W265" i="10"/>
  <c r="V265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AE264" i="10"/>
  <c r="AC264" i="10"/>
  <c r="AB264" i="10"/>
  <c r="AA264" i="10"/>
  <c r="Z264" i="10"/>
  <c r="Y264" i="10"/>
  <c r="X264" i="10"/>
  <c r="W264" i="10"/>
  <c r="V264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AD264" i="10" s="1"/>
  <c r="AE263" i="10"/>
  <c r="AC263" i="10"/>
  <c r="AB263" i="10"/>
  <c r="AA263" i="10"/>
  <c r="Z263" i="10"/>
  <c r="Y263" i="10"/>
  <c r="X263" i="10"/>
  <c r="W263" i="10"/>
  <c r="V263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AD263" i="10" s="1"/>
  <c r="AE262" i="10"/>
  <c r="AC262" i="10"/>
  <c r="AB262" i="10"/>
  <c r="AA262" i="10"/>
  <c r="Z262" i="10"/>
  <c r="Y262" i="10"/>
  <c r="X262" i="10"/>
  <c r="W262" i="10"/>
  <c r="V262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AD262" i="10" s="1"/>
  <c r="AE261" i="10"/>
  <c r="AC261" i="10"/>
  <c r="AB261" i="10"/>
  <c r="AA261" i="10"/>
  <c r="Z261" i="10"/>
  <c r="Y261" i="10"/>
  <c r="X261" i="10"/>
  <c r="W261" i="10"/>
  <c r="V261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AD261" i="10" s="1"/>
  <c r="AE260" i="10"/>
  <c r="AC260" i="10"/>
  <c r="AB260" i="10"/>
  <c r="AA260" i="10"/>
  <c r="Z260" i="10"/>
  <c r="Y260" i="10"/>
  <c r="X260" i="10"/>
  <c r="W260" i="10"/>
  <c r="V260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AD260" i="10" s="1"/>
  <c r="AE259" i="10"/>
  <c r="AC259" i="10"/>
  <c r="AB259" i="10"/>
  <c r="AA259" i="10"/>
  <c r="Z259" i="10"/>
  <c r="Y259" i="10"/>
  <c r="X259" i="10"/>
  <c r="W259" i="10"/>
  <c r="V259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AD259" i="10" s="1"/>
  <c r="AE258" i="10"/>
  <c r="AC258" i="10"/>
  <c r="AB258" i="10"/>
  <c r="AA258" i="10"/>
  <c r="Z258" i="10"/>
  <c r="Y258" i="10"/>
  <c r="X258" i="10"/>
  <c r="W258" i="10"/>
  <c r="V258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AD258" i="10" s="1"/>
  <c r="AE257" i="10"/>
  <c r="AC257" i="10"/>
  <c r="AB257" i="10"/>
  <c r="AA257" i="10"/>
  <c r="Z257" i="10"/>
  <c r="Y257" i="10"/>
  <c r="X257" i="10"/>
  <c r="W257" i="10"/>
  <c r="V257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AD257" i="10" s="1"/>
  <c r="AE256" i="10"/>
  <c r="AC256" i="10"/>
  <c r="AB256" i="10"/>
  <c r="AA256" i="10"/>
  <c r="Z256" i="10"/>
  <c r="Y256" i="10"/>
  <c r="X256" i="10"/>
  <c r="W256" i="10"/>
  <c r="V256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AD256" i="10" s="1"/>
  <c r="AE255" i="10"/>
  <c r="AC255" i="10"/>
  <c r="AB255" i="10"/>
  <c r="AA255" i="10"/>
  <c r="Z255" i="10"/>
  <c r="Y255" i="10"/>
  <c r="X255" i="10"/>
  <c r="W255" i="10"/>
  <c r="V255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AE254" i="10"/>
  <c r="AC254" i="10"/>
  <c r="AB254" i="10"/>
  <c r="AA254" i="10"/>
  <c r="Z254" i="10"/>
  <c r="Y254" i="10"/>
  <c r="X254" i="10"/>
  <c r="W254" i="10"/>
  <c r="V254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AD254" i="10"/>
  <c r="AE253" i="10"/>
  <c r="AC253" i="10"/>
  <c r="AB253" i="10"/>
  <c r="AA253" i="10"/>
  <c r="Z253" i="10"/>
  <c r="Y253" i="10"/>
  <c r="X253" i="10"/>
  <c r="W253" i="10"/>
  <c r="V253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AD253" i="10"/>
  <c r="AE252" i="10"/>
  <c r="AC252" i="10"/>
  <c r="AB252" i="10"/>
  <c r="AA252" i="10"/>
  <c r="Z252" i="10"/>
  <c r="Y252" i="10"/>
  <c r="X252" i="10"/>
  <c r="W252" i="10"/>
  <c r="V252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AD252" i="10"/>
  <c r="AE251" i="10"/>
  <c r="AC251" i="10"/>
  <c r="AB251" i="10"/>
  <c r="AA251" i="10"/>
  <c r="Z251" i="10"/>
  <c r="Y251" i="10"/>
  <c r="X251" i="10"/>
  <c r="W251" i="10"/>
  <c r="V251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AE250" i="10"/>
  <c r="AC250" i="10"/>
  <c r="AB250" i="10"/>
  <c r="AA250" i="10"/>
  <c r="Z250" i="10"/>
  <c r="Y250" i="10"/>
  <c r="X250" i="10"/>
  <c r="W250" i="10"/>
  <c r="V250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AD250" i="10" s="1"/>
  <c r="AE249" i="10"/>
  <c r="AC249" i="10"/>
  <c r="AB249" i="10"/>
  <c r="AA249" i="10"/>
  <c r="Z249" i="10"/>
  <c r="Y249" i="10"/>
  <c r="X249" i="10"/>
  <c r="W249" i="10"/>
  <c r="V249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AD249" i="10" s="1"/>
  <c r="AE248" i="10"/>
  <c r="AC248" i="10"/>
  <c r="AB248" i="10"/>
  <c r="AA248" i="10"/>
  <c r="Z248" i="10"/>
  <c r="Y248" i="10"/>
  <c r="X248" i="10"/>
  <c r="W248" i="10"/>
  <c r="V248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AD248" i="10" s="1"/>
  <c r="AE247" i="10"/>
  <c r="AC247" i="10"/>
  <c r="AB247" i="10"/>
  <c r="AA247" i="10"/>
  <c r="Z247" i="10"/>
  <c r="Y247" i="10"/>
  <c r="X247" i="10"/>
  <c r="W247" i="10"/>
  <c r="V247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AD247" i="10" s="1"/>
  <c r="AE246" i="10"/>
  <c r="AC246" i="10"/>
  <c r="AB246" i="10"/>
  <c r="AA246" i="10"/>
  <c r="Z246" i="10"/>
  <c r="Y246" i="10"/>
  <c r="X246" i="10"/>
  <c r="W246" i="10"/>
  <c r="V246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AD246" i="10" s="1"/>
  <c r="AE245" i="10"/>
  <c r="AC245" i="10"/>
  <c r="AB245" i="10"/>
  <c r="AA245" i="10"/>
  <c r="Z245" i="10"/>
  <c r="Y245" i="10"/>
  <c r="X245" i="10"/>
  <c r="W245" i="10"/>
  <c r="V245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AD245" i="10" s="1"/>
  <c r="AE244" i="10"/>
  <c r="AC244" i="10"/>
  <c r="AB244" i="10"/>
  <c r="AA244" i="10"/>
  <c r="Z244" i="10"/>
  <c r="Y244" i="10"/>
  <c r="X244" i="10"/>
  <c r="W244" i="10"/>
  <c r="V244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AD244" i="10" s="1"/>
  <c r="AE243" i="10"/>
  <c r="AC243" i="10"/>
  <c r="AB243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AD243" i="10" s="1"/>
  <c r="AE242" i="10"/>
  <c r="AC242" i="10"/>
  <c r="AB242" i="10"/>
  <c r="AA242" i="10"/>
  <c r="Z242" i="10"/>
  <c r="Y242" i="10"/>
  <c r="X242" i="10"/>
  <c r="W242" i="10"/>
  <c r="V242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AD242" i="10" s="1"/>
  <c r="AE241" i="10"/>
  <c r="AC241" i="10"/>
  <c r="AB241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AD241" i="10" s="1"/>
  <c r="AE240" i="10"/>
  <c r="AC240" i="10"/>
  <c r="AB240" i="10"/>
  <c r="AA240" i="10"/>
  <c r="Z240" i="10"/>
  <c r="Y240" i="10"/>
  <c r="X240" i="10"/>
  <c r="W240" i="10"/>
  <c r="V240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AD240" i="10" s="1"/>
  <c r="AE239" i="10"/>
  <c r="AC239" i="10"/>
  <c r="AB239" i="10"/>
  <c r="AA239" i="10"/>
  <c r="Z239" i="10"/>
  <c r="Y239" i="10"/>
  <c r="X239" i="10"/>
  <c r="W239" i="10"/>
  <c r="V239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AD239" i="10" s="1"/>
  <c r="AE238" i="10"/>
  <c r="AC238" i="10"/>
  <c r="AB238" i="10"/>
  <c r="AA238" i="10"/>
  <c r="Z238" i="10"/>
  <c r="Y238" i="10"/>
  <c r="X238" i="10"/>
  <c r="W238" i="10"/>
  <c r="V238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AE237" i="10"/>
  <c r="AC237" i="10"/>
  <c r="AB237" i="10"/>
  <c r="AA237" i="10"/>
  <c r="Z237" i="10"/>
  <c r="Y237" i="10"/>
  <c r="X237" i="10"/>
  <c r="W237" i="10"/>
  <c r="V237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AD237" i="10"/>
  <c r="AE236" i="10"/>
  <c r="AC236" i="10"/>
  <c r="AB236" i="10"/>
  <c r="AA236" i="10"/>
  <c r="Z236" i="10"/>
  <c r="Y236" i="10"/>
  <c r="X236" i="10"/>
  <c r="W236" i="10"/>
  <c r="V236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AD236" i="10"/>
  <c r="AE235" i="10"/>
  <c r="AC235" i="10"/>
  <c r="AB235" i="10"/>
  <c r="AA235" i="10"/>
  <c r="Z235" i="10"/>
  <c r="Y235" i="10"/>
  <c r="X235" i="10"/>
  <c r="W235" i="10"/>
  <c r="V235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AD235" i="10"/>
  <c r="AE234" i="10"/>
  <c r="AC234" i="10"/>
  <c r="AB234" i="10"/>
  <c r="AA234" i="10"/>
  <c r="Z234" i="10"/>
  <c r="Y234" i="10"/>
  <c r="X234" i="10"/>
  <c r="W234" i="10"/>
  <c r="V234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AD234" i="10"/>
  <c r="AE233" i="10"/>
  <c r="AC233" i="10"/>
  <c r="AB233" i="10"/>
  <c r="AA233" i="10"/>
  <c r="Z233" i="10"/>
  <c r="Y233" i="10"/>
  <c r="X233" i="10"/>
  <c r="W233" i="10"/>
  <c r="V233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AE232" i="10"/>
  <c r="AC232" i="10"/>
  <c r="AB232" i="10"/>
  <c r="AA232" i="10"/>
  <c r="Z232" i="10"/>
  <c r="Y232" i="10"/>
  <c r="X232" i="10"/>
  <c r="W232" i="10"/>
  <c r="V232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AD232" i="10" s="1"/>
  <c r="AE231" i="10"/>
  <c r="AC231" i="10"/>
  <c r="AB231" i="10"/>
  <c r="AA231" i="10"/>
  <c r="Z231" i="10"/>
  <c r="Y231" i="10"/>
  <c r="X231" i="10"/>
  <c r="W231" i="10"/>
  <c r="V231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AD231" i="10" s="1"/>
  <c r="AE230" i="10"/>
  <c r="AC230" i="10"/>
  <c r="AB230" i="10"/>
  <c r="AA230" i="10"/>
  <c r="Z230" i="10"/>
  <c r="Y230" i="10"/>
  <c r="X230" i="10"/>
  <c r="W230" i="10"/>
  <c r="V230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AD230" i="10" s="1"/>
  <c r="AE229" i="10"/>
  <c r="AC229" i="10"/>
  <c r="AB229" i="10"/>
  <c r="AA229" i="10"/>
  <c r="Z229" i="10"/>
  <c r="Y229" i="10"/>
  <c r="X229" i="10"/>
  <c r="W229" i="10"/>
  <c r="V229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AD229" i="10" s="1"/>
  <c r="AE228" i="10"/>
  <c r="AC228" i="10"/>
  <c r="AB228" i="10"/>
  <c r="AA228" i="10"/>
  <c r="Z228" i="10"/>
  <c r="Y228" i="10"/>
  <c r="X228" i="10"/>
  <c r="W228" i="10"/>
  <c r="V228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AD228" i="10" s="1"/>
  <c r="AE227" i="10"/>
  <c r="AC227" i="10"/>
  <c r="AB227" i="10"/>
  <c r="AA227" i="10"/>
  <c r="Z227" i="10"/>
  <c r="Y227" i="10"/>
  <c r="X227" i="10"/>
  <c r="W227" i="10"/>
  <c r="V227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AD227" i="10" s="1"/>
  <c r="AE226" i="10"/>
  <c r="AC226" i="10"/>
  <c r="AB226" i="10"/>
  <c r="AA226" i="10"/>
  <c r="Z226" i="10"/>
  <c r="Y226" i="10"/>
  <c r="X226" i="10"/>
  <c r="W226" i="10"/>
  <c r="V226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AD226" i="10" s="1"/>
  <c r="AE225" i="10"/>
  <c r="AC225" i="10"/>
  <c r="AB225" i="10"/>
  <c r="AA225" i="10"/>
  <c r="Z225" i="10"/>
  <c r="Y225" i="10"/>
  <c r="X225" i="10"/>
  <c r="W225" i="10"/>
  <c r="V225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AD225" i="10" s="1"/>
  <c r="AE224" i="10"/>
  <c r="AC224" i="10"/>
  <c r="AB224" i="10"/>
  <c r="AA224" i="10"/>
  <c r="Z224" i="10"/>
  <c r="Y224" i="10"/>
  <c r="X224" i="10"/>
  <c r="W224" i="10"/>
  <c r="V224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AD224" i="10" s="1"/>
  <c r="AE223" i="10"/>
  <c r="AC223" i="10"/>
  <c r="AB223" i="10"/>
  <c r="AA223" i="10"/>
  <c r="Z223" i="10"/>
  <c r="Y223" i="10"/>
  <c r="X223" i="10"/>
  <c r="W223" i="10"/>
  <c r="V223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AD223" i="10" s="1"/>
  <c r="AE222" i="10"/>
  <c r="AC222" i="10"/>
  <c r="AB222" i="10"/>
  <c r="AA222" i="10"/>
  <c r="Z222" i="10"/>
  <c r="Y222" i="10"/>
  <c r="X222" i="10"/>
  <c r="W222" i="10"/>
  <c r="V222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AD222" i="10" s="1"/>
  <c r="AE221" i="10"/>
  <c r="AC221" i="10"/>
  <c r="AB221" i="10"/>
  <c r="AA221" i="10"/>
  <c r="Z221" i="10"/>
  <c r="Y221" i="10"/>
  <c r="X221" i="10"/>
  <c r="W221" i="10"/>
  <c r="V221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AD221" i="10" s="1"/>
  <c r="AE220" i="10"/>
  <c r="AC220" i="10"/>
  <c r="AB220" i="10"/>
  <c r="AA220" i="10"/>
  <c r="Z220" i="10"/>
  <c r="Y220" i="10"/>
  <c r="X220" i="10"/>
  <c r="W220" i="10"/>
  <c r="V220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AD220" i="10" s="1"/>
  <c r="AE219" i="10"/>
  <c r="AC219" i="10"/>
  <c r="AB219" i="10"/>
  <c r="AA219" i="10"/>
  <c r="Z219" i="10"/>
  <c r="Y219" i="10"/>
  <c r="X219" i="10"/>
  <c r="W219" i="10"/>
  <c r="V219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AD219" i="10" s="1"/>
  <c r="AE218" i="10"/>
  <c r="AC218" i="10"/>
  <c r="AB218" i="10"/>
  <c r="AA218" i="10"/>
  <c r="Z218" i="10"/>
  <c r="Y218" i="10"/>
  <c r="X218" i="10"/>
  <c r="W218" i="10"/>
  <c r="V218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AD218" i="10" s="1"/>
  <c r="AE217" i="10"/>
  <c r="AC217" i="10"/>
  <c r="AB217" i="10"/>
  <c r="AA217" i="10"/>
  <c r="Z217" i="10"/>
  <c r="Y217" i="10"/>
  <c r="X217" i="10"/>
  <c r="W217" i="10"/>
  <c r="V217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AD217" i="10" s="1"/>
  <c r="AE216" i="10"/>
  <c r="AC216" i="10"/>
  <c r="AB216" i="10"/>
  <c r="AA216" i="10"/>
  <c r="Z216" i="10"/>
  <c r="Y216" i="10"/>
  <c r="X216" i="10"/>
  <c r="W216" i="10"/>
  <c r="V216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AD216" i="10" s="1"/>
  <c r="AE215" i="10"/>
  <c r="AC215" i="10"/>
  <c r="AB215" i="10"/>
  <c r="AA215" i="10"/>
  <c r="Z215" i="10"/>
  <c r="Y215" i="10"/>
  <c r="X215" i="10"/>
  <c r="W215" i="10"/>
  <c r="V215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AD215" i="10" s="1"/>
  <c r="AE214" i="10"/>
  <c r="AC214" i="10"/>
  <c r="AB214" i="10"/>
  <c r="AA214" i="10"/>
  <c r="Z214" i="10"/>
  <c r="Y214" i="10"/>
  <c r="X214" i="10"/>
  <c r="W214" i="10"/>
  <c r="V214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AD214" i="10" s="1"/>
  <c r="AE213" i="10"/>
  <c r="AC213" i="10"/>
  <c r="AB213" i="10"/>
  <c r="AA213" i="10"/>
  <c r="Z213" i="10"/>
  <c r="Y213" i="10"/>
  <c r="X213" i="10"/>
  <c r="W213" i="10"/>
  <c r="V213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AE212" i="10"/>
  <c r="AC212" i="10"/>
  <c r="AB212" i="10"/>
  <c r="AA212" i="10"/>
  <c r="Z212" i="10"/>
  <c r="Y212" i="10"/>
  <c r="X212" i="10"/>
  <c r="W212" i="10"/>
  <c r="V212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AD212" i="10"/>
  <c r="AE211" i="10"/>
  <c r="AC211" i="10"/>
  <c r="AB211" i="10"/>
  <c r="AA211" i="10"/>
  <c r="Z211" i="10"/>
  <c r="Y211" i="10"/>
  <c r="X211" i="10"/>
  <c r="W211" i="10"/>
  <c r="V211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AD211" i="10"/>
  <c r="AE210" i="10"/>
  <c r="AC210" i="10"/>
  <c r="AB210" i="10"/>
  <c r="AA210" i="10"/>
  <c r="Z210" i="10"/>
  <c r="Y210" i="10"/>
  <c r="X210" i="10"/>
  <c r="W210" i="10"/>
  <c r="V210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AD210" i="10"/>
  <c r="AE209" i="10"/>
  <c r="AC209" i="10"/>
  <c r="AB209" i="10"/>
  <c r="AA209" i="10"/>
  <c r="Z209" i="10"/>
  <c r="Y209" i="10"/>
  <c r="X209" i="10"/>
  <c r="W209" i="10"/>
  <c r="V209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AD209" i="10"/>
  <c r="AE208" i="10"/>
  <c r="AC208" i="10"/>
  <c r="AB208" i="10"/>
  <c r="AA208" i="10"/>
  <c r="Z208" i="10"/>
  <c r="Y208" i="10"/>
  <c r="X208" i="10"/>
  <c r="W208" i="10"/>
  <c r="V208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AD208" i="10"/>
  <c r="AE207" i="10"/>
  <c r="AC207" i="10"/>
  <c r="AB207" i="10"/>
  <c r="AA207" i="10"/>
  <c r="Z207" i="10"/>
  <c r="Y207" i="10"/>
  <c r="X207" i="10"/>
  <c r="W207" i="10"/>
  <c r="V207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AD207" i="10"/>
  <c r="AE206" i="10"/>
  <c r="AC206" i="10"/>
  <c r="AB206" i="10"/>
  <c r="AA206" i="10"/>
  <c r="Z206" i="10"/>
  <c r="Y206" i="10"/>
  <c r="X206" i="10"/>
  <c r="W206" i="10"/>
  <c r="V206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AD206" i="10"/>
  <c r="AE205" i="10"/>
  <c r="AC205" i="10"/>
  <c r="AB205" i="10"/>
  <c r="AA205" i="10"/>
  <c r="Z205" i="10"/>
  <c r="Y205" i="10"/>
  <c r="X205" i="10"/>
  <c r="W205" i="10"/>
  <c r="V205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AD205" i="10"/>
  <c r="AE204" i="10"/>
  <c r="AC204" i="10"/>
  <c r="AB204" i="10"/>
  <c r="AA204" i="10"/>
  <c r="Z204" i="10"/>
  <c r="Y204" i="10"/>
  <c r="X204" i="10"/>
  <c r="W204" i="10"/>
  <c r="V204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AD204" i="10"/>
  <c r="AE203" i="10"/>
  <c r="AC203" i="10"/>
  <c r="AB203" i="10"/>
  <c r="AA203" i="10"/>
  <c r="Z203" i="10"/>
  <c r="Y203" i="10"/>
  <c r="X203" i="10"/>
  <c r="W203" i="10"/>
  <c r="V203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AD203" i="10"/>
  <c r="AE202" i="10"/>
  <c r="AC202" i="10"/>
  <c r="AB202" i="10"/>
  <c r="AA202" i="10"/>
  <c r="Z202" i="10"/>
  <c r="Y202" i="10"/>
  <c r="X202" i="10"/>
  <c r="W202" i="10"/>
  <c r="V202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AD202" i="10"/>
  <c r="AE201" i="10"/>
  <c r="AC201" i="10"/>
  <c r="AB201" i="10"/>
  <c r="AA201" i="10"/>
  <c r="Z201" i="10"/>
  <c r="Y201" i="10"/>
  <c r="X201" i="10"/>
  <c r="W201" i="10"/>
  <c r="V201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AD201" i="10"/>
  <c r="AE200" i="10"/>
  <c r="AC200" i="10"/>
  <c r="AB200" i="10"/>
  <c r="AA200" i="10"/>
  <c r="Z200" i="10"/>
  <c r="Y200" i="10"/>
  <c r="X200" i="10"/>
  <c r="W200" i="10"/>
  <c r="V200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AD200" i="10"/>
  <c r="AE199" i="10"/>
  <c r="AC199" i="10"/>
  <c r="AB199" i="10"/>
  <c r="AA199" i="10"/>
  <c r="Z199" i="10"/>
  <c r="Y199" i="10"/>
  <c r="X199" i="10"/>
  <c r="W199" i="10"/>
  <c r="V199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AD199" i="10"/>
  <c r="AE198" i="10"/>
  <c r="AC198" i="10"/>
  <c r="AB198" i="10"/>
  <c r="AA198" i="10"/>
  <c r="Z198" i="10"/>
  <c r="Y198" i="10"/>
  <c r="X198" i="10"/>
  <c r="W198" i="10"/>
  <c r="V198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AD198" i="10"/>
  <c r="AE197" i="10"/>
  <c r="AC197" i="10"/>
  <c r="AB197" i="10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AD197" i="10"/>
  <c r="AE196" i="10"/>
  <c r="AC196" i="10"/>
  <c r="AB196" i="10"/>
  <c r="AA196" i="10"/>
  <c r="Z196" i="10"/>
  <c r="Y196" i="10"/>
  <c r="X196" i="10"/>
  <c r="W196" i="10"/>
  <c r="V196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AD196" i="10"/>
  <c r="AE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AD195" i="10"/>
  <c r="AE194" i="10"/>
  <c r="AC194" i="10"/>
  <c r="AB194" i="10"/>
  <c r="AA194" i="10"/>
  <c r="Z194" i="10"/>
  <c r="Y194" i="10"/>
  <c r="X194" i="10"/>
  <c r="W194" i="10"/>
  <c r="V194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AD194" i="10"/>
  <c r="AE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AE192" i="10"/>
  <c r="AC192" i="10"/>
  <c r="AB192" i="10"/>
  <c r="AA192" i="10"/>
  <c r="Z192" i="10"/>
  <c r="Y192" i="10"/>
  <c r="X192" i="10"/>
  <c r="W192" i="10"/>
  <c r="V192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AD192" i="10" s="1"/>
  <c r="AE191" i="10"/>
  <c r="AC191" i="10"/>
  <c r="AB191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AD191" i="10" s="1"/>
  <c r="AE190" i="10"/>
  <c r="AC190" i="10"/>
  <c r="AB190" i="10"/>
  <c r="AA190" i="10"/>
  <c r="Z190" i="10"/>
  <c r="Y190" i="10"/>
  <c r="X190" i="10"/>
  <c r="W190" i="10"/>
  <c r="V190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AD190" i="10" s="1"/>
  <c r="AE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AD189" i="10" s="1"/>
  <c r="AE188" i="10"/>
  <c r="AC188" i="10"/>
  <c r="AB188" i="10"/>
  <c r="AA188" i="10"/>
  <c r="Z188" i="10"/>
  <c r="Y188" i="10"/>
  <c r="X188" i="10"/>
  <c r="W188" i="10"/>
  <c r="V188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AD188" i="10" s="1"/>
  <c r="AE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AD187" i="10" s="1"/>
  <c r="AE186" i="10"/>
  <c r="AC186" i="10"/>
  <c r="AB186" i="10"/>
  <c r="AA186" i="10"/>
  <c r="Z186" i="10"/>
  <c r="Y186" i="10"/>
  <c r="X186" i="10"/>
  <c r="W186" i="10"/>
  <c r="V186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AD186" i="10" s="1"/>
  <c r="AE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AD185" i="10" s="1"/>
  <c r="AE184" i="10"/>
  <c r="AC184" i="10"/>
  <c r="AB184" i="10"/>
  <c r="AA184" i="10"/>
  <c r="Z184" i="10"/>
  <c r="Y184" i="10"/>
  <c r="X184" i="10"/>
  <c r="W184" i="10"/>
  <c r="V184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AD184" i="10" s="1"/>
  <c r="AE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AD183" i="10" s="1"/>
  <c r="AE182" i="10"/>
  <c r="AC182" i="10"/>
  <c r="AB182" i="10"/>
  <c r="AA182" i="10"/>
  <c r="Z182" i="10"/>
  <c r="Y182" i="10"/>
  <c r="X182" i="10"/>
  <c r="W182" i="10"/>
  <c r="V182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AD182" i="10" s="1"/>
  <c r="AE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AD181" i="10" s="1"/>
  <c r="AE180" i="10"/>
  <c r="AC180" i="10"/>
  <c r="AB180" i="10"/>
  <c r="AA180" i="10"/>
  <c r="Z180" i="10"/>
  <c r="Y180" i="10"/>
  <c r="X180" i="10"/>
  <c r="W180" i="10"/>
  <c r="V180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AD180" i="10" s="1"/>
  <c r="AE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AD179" i="10" s="1"/>
  <c r="AE178" i="10"/>
  <c r="AC178" i="10"/>
  <c r="AB178" i="10"/>
  <c r="AA178" i="10"/>
  <c r="Z178" i="10"/>
  <c r="Y178" i="10"/>
  <c r="X178" i="10"/>
  <c r="W178" i="10"/>
  <c r="V178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AD178" i="10" s="1"/>
  <c r="AE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AE176" i="10"/>
  <c r="AC176" i="10"/>
  <c r="AB176" i="10"/>
  <c r="AA176" i="10"/>
  <c r="Z176" i="10"/>
  <c r="Y176" i="10"/>
  <c r="X176" i="10"/>
  <c r="W176" i="10"/>
  <c r="V176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AD176" i="10"/>
  <c r="AE175" i="10"/>
  <c r="AC175" i="10"/>
  <c r="AB175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AE174" i="10"/>
  <c r="AC174" i="10"/>
  <c r="AB174" i="10"/>
  <c r="AA174" i="10"/>
  <c r="Z174" i="10"/>
  <c r="Y174" i="10"/>
  <c r="X174" i="10"/>
  <c r="W174" i="10"/>
  <c r="V174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AD174" i="10" s="1"/>
  <c r="AE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AE172" i="10"/>
  <c r="AC172" i="10"/>
  <c r="AB172" i="10"/>
  <c r="AA172" i="10"/>
  <c r="Z172" i="10"/>
  <c r="Y172" i="10"/>
  <c r="X172" i="10"/>
  <c r="W172" i="10"/>
  <c r="V172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AD172" i="10"/>
  <c r="AE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AD171" i="10"/>
  <c r="AE170" i="10"/>
  <c r="AC170" i="10"/>
  <c r="AB170" i="10"/>
  <c r="AA170" i="10"/>
  <c r="Z170" i="10"/>
  <c r="Y170" i="10"/>
  <c r="X170" i="10"/>
  <c r="W170" i="10"/>
  <c r="V170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AD170" i="10"/>
  <c r="AE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AD169" i="10"/>
  <c r="AE168" i="10"/>
  <c r="AC168" i="10"/>
  <c r="AB168" i="10"/>
  <c r="AA168" i="10"/>
  <c r="Z168" i="10"/>
  <c r="Y168" i="10"/>
  <c r="X168" i="10"/>
  <c r="W168" i="10"/>
  <c r="V168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AD168" i="10"/>
  <c r="AE167" i="10"/>
  <c r="AC167" i="10"/>
  <c r="AB167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AD167" i="10"/>
  <c r="AE166" i="10"/>
  <c r="AC166" i="10"/>
  <c r="AB166" i="10"/>
  <c r="AA166" i="10"/>
  <c r="Z166" i="10"/>
  <c r="Y166" i="10"/>
  <c r="X166" i="10"/>
  <c r="W166" i="10"/>
  <c r="V166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AD166" i="10"/>
  <c r="AE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AD165" i="10"/>
  <c r="AE164" i="10"/>
  <c r="AC164" i="10"/>
  <c r="AB164" i="10"/>
  <c r="AA164" i="10"/>
  <c r="Z164" i="10"/>
  <c r="Y164" i="10"/>
  <c r="X164" i="10"/>
  <c r="W164" i="10"/>
  <c r="V164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AD164" i="10"/>
  <c r="AE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AD163" i="10"/>
  <c r="AE162" i="10"/>
  <c r="AC162" i="10"/>
  <c r="AB162" i="10"/>
  <c r="AA162" i="10"/>
  <c r="Z162" i="10"/>
  <c r="Y162" i="10"/>
  <c r="X162" i="10"/>
  <c r="W162" i="10"/>
  <c r="V162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AD162" i="10"/>
  <c r="AE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AE160" i="10"/>
  <c r="AC160" i="10"/>
  <c r="AB160" i="10"/>
  <c r="AA160" i="10"/>
  <c r="Z160" i="10"/>
  <c r="Y160" i="10"/>
  <c r="X160" i="10"/>
  <c r="W160" i="10"/>
  <c r="V160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AD160" i="10" s="1"/>
  <c r="AE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AE158" i="10"/>
  <c r="AC158" i="10"/>
  <c r="AB158" i="10"/>
  <c r="AA158" i="10"/>
  <c r="Z158" i="10"/>
  <c r="Y158" i="10"/>
  <c r="X158" i="10"/>
  <c r="W158" i="10"/>
  <c r="V158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AD158" i="10"/>
  <c r="AE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AD157" i="10"/>
  <c r="AE156" i="10"/>
  <c r="AC156" i="10"/>
  <c r="AB156" i="10"/>
  <c r="AA156" i="10"/>
  <c r="Z156" i="10"/>
  <c r="Y156" i="10"/>
  <c r="X156" i="10"/>
  <c r="W156" i="10"/>
  <c r="V156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AD156" i="10"/>
  <c r="AE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AD155" i="10"/>
  <c r="AE154" i="10"/>
  <c r="AC154" i="10"/>
  <c r="AB154" i="10"/>
  <c r="AA154" i="10"/>
  <c r="Z154" i="10"/>
  <c r="Y154" i="10"/>
  <c r="X154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AD154" i="10"/>
  <c r="AE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AD153" i="10"/>
  <c r="AE152" i="10"/>
  <c r="AC152" i="10"/>
  <c r="AB152" i="10"/>
  <c r="AA152" i="10"/>
  <c r="Z152" i="10"/>
  <c r="Y152" i="10"/>
  <c r="X152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AD152" i="10"/>
  <c r="AE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AD151" i="10"/>
  <c r="AE150" i="10"/>
  <c r="AC150" i="10"/>
  <c r="AB150" i="10"/>
  <c r="AA150" i="10"/>
  <c r="Z150" i="10"/>
  <c r="Y150" i="10"/>
  <c r="X150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AD150" i="10"/>
  <c r="AE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AD149" i="10"/>
  <c r="AE148" i="10"/>
  <c r="AC148" i="10"/>
  <c r="AB148" i="10"/>
  <c r="AA148" i="10"/>
  <c r="Z148" i="10"/>
  <c r="Y148" i="10"/>
  <c r="X148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AD148" i="10"/>
  <c r="AE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AD147" i="10"/>
  <c r="AE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AD146" i="10"/>
  <c r="AE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AD145" i="10"/>
  <c r="AE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AD144" i="10"/>
  <c r="AE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AD143" i="10"/>
  <c r="AE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AD142" i="10"/>
  <c r="AE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AD141" i="10"/>
  <c r="AE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AD140" i="10"/>
  <c r="AE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AD139" i="10"/>
  <c r="AE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AD138" i="10"/>
  <c r="AE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AD137" i="10"/>
  <c r="AE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AD136" i="10"/>
  <c r="AE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AD135" i="10"/>
  <c r="AE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AD134" i="10"/>
  <c r="AE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AD133" i="10"/>
  <c r="AE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AD132" i="10"/>
  <c r="AE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AD131" i="10"/>
  <c r="AE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AD130" i="10"/>
  <c r="AE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AD129" i="10"/>
  <c r="AE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AD128" i="10"/>
  <c r="AE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AD127" i="10"/>
  <c r="AE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AD126" i="10"/>
  <c r="AE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AD125" i="10"/>
  <c r="AE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AD124" i="10"/>
  <c r="AE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AE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AD122" i="10" s="1"/>
  <c r="AE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AD121" i="10" s="1"/>
  <c r="AE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AD120" i="10" s="1"/>
  <c r="AE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AD119" i="10" s="1"/>
  <c r="AE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AD118" i="10" s="1"/>
  <c r="AE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AD117" i="10" s="1"/>
  <c r="AE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AD116" i="10" s="1"/>
  <c r="AE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AD115" i="10" s="1"/>
  <c r="AE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AD114" i="10" s="1"/>
  <c r="AE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AD113" i="10" s="1"/>
  <c r="AE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AD112" i="10" s="1"/>
  <c r="AE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AE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AD110" i="10"/>
  <c r="AE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AE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AD108" i="10" s="1"/>
  <c r="AE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AD107" i="10" s="1"/>
  <c r="AE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AD106" i="10" s="1"/>
  <c r="AE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AD105" i="10" s="1"/>
  <c r="AE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AD104" i="10" s="1"/>
  <c r="AE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AD103" i="10" s="1"/>
  <c r="AE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AD102" i="10" s="1"/>
  <c r="AE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AD101" i="10" s="1"/>
  <c r="AE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AD100" i="10" s="1"/>
  <c r="AE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AD99" i="10" s="1"/>
  <c r="AE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AD98" i="10" s="1"/>
  <c r="AE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AD97" i="10" s="1"/>
  <c r="AE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AD96" i="10" s="1"/>
  <c r="AE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AD95" i="10" s="1"/>
  <c r="AE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AD94" i="10" s="1"/>
  <c r="AE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AE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AD92" i="10"/>
  <c r="AE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AD91" i="10"/>
  <c r="AE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AD90" i="10"/>
  <c r="AE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AD89" i="10"/>
  <c r="AE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AD88" i="10"/>
  <c r="AE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AD87" i="10"/>
  <c r="AE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AD86" i="10"/>
  <c r="AE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AE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AD84" i="10" s="1"/>
  <c r="AE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AD83" i="10" s="1"/>
  <c r="AE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AD82" i="10" s="1"/>
  <c r="AE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AD81" i="10" s="1"/>
  <c r="AE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AD80" i="10" s="1"/>
  <c r="AE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AD79" i="10" s="1"/>
  <c r="AE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AD78" i="10" s="1"/>
  <c r="AE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AD77" i="10" s="1"/>
  <c r="AE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AD76" i="10" s="1"/>
  <c r="AE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AD75" i="10" s="1"/>
  <c r="AE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AD74" i="10" s="1"/>
  <c r="AE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AE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AD72" i="10"/>
  <c r="AE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AD71" i="10"/>
  <c r="AE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AD70" i="10"/>
  <c r="AE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AD69" i="10"/>
  <c r="AE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AD68" i="10"/>
  <c r="AE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AD67" i="10"/>
  <c r="AE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AD66" i="10"/>
  <c r="AE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AD65" i="10"/>
  <c r="AE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AD64" i="10"/>
  <c r="AE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AD63" i="10"/>
  <c r="AE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AD62" i="10"/>
  <c r="AE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AD61" i="10"/>
  <c r="AE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AD60" i="10"/>
  <c r="AE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AD59" i="10"/>
  <c r="AE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AD58" i="10"/>
  <c r="AE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AD57" i="10"/>
  <c r="AE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AD56" i="10"/>
  <c r="AE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AD55" i="10"/>
  <c r="AE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AD54" i="10"/>
  <c r="AE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AD53" i="10"/>
  <c r="AE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AD52" i="10"/>
  <c r="AE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AD51" i="10"/>
  <c r="AE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AD50" i="10"/>
  <c r="AE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AD49" i="10"/>
  <c r="AE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AD48" i="10"/>
  <c r="AE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AD47" i="10"/>
  <c r="AE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AD46" i="10"/>
  <c r="AE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AD45" i="10"/>
  <c r="AE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AD44" i="10"/>
  <c r="AE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AE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AD42" i="10" s="1"/>
  <c r="AE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AD41" i="10" s="1"/>
  <c r="AE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AD40" i="10" s="1"/>
  <c r="AE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AD39" i="10" s="1"/>
  <c r="AE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AD38" i="10" s="1"/>
  <c r="AE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AD37" i="10" s="1"/>
  <c r="AE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AD36" i="10" s="1"/>
  <c r="AE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AD35" i="10"/>
  <c r="AE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AD34" i="10"/>
  <c r="AE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AE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AD32" i="10" s="1"/>
  <c r="AE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AE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AD30" i="10"/>
  <c r="AE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AD29" i="10"/>
  <c r="AE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AD28" i="10"/>
  <c r="AE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AD27" i="10"/>
  <c r="AE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AD26" i="10"/>
  <c r="AE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AD25" i="10"/>
  <c r="AE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AD24" i="10"/>
  <c r="AE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AD23" i="10"/>
  <c r="AE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AD22" i="10"/>
  <c r="AE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AD21" i="10"/>
  <c r="AE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AD20" i="10"/>
  <c r="AE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AD19" i="10"/>
  <c r="AE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AD18" i="10"/>
  <c r="AE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AE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AD16" i="10" s="1"/>
  <c r="AE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AD15" i="10" s="1"/>
  <c r="AE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AD14" i="10" s="1"/>
  <c r="AE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AD13" i="10" s="1"/>
  <c r="AE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AE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AD11" i="10"/>
  <c r="AE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AD10" i="10"/>
  <c r="AE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AD9" i="10"/>
  <c r="AE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AD8" i="10"/>
  <c r="AE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AD7" i="10"/>
  <c r="AE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AD6" i="10"/>
  <c r="AE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AD5" i="10"/>
  <c r="AE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AD4" i="10"/>
  <c r="AE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AD3" i="10"/>
  <c r="AE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 s="1"/>
  <c r="AD2" i="10" s="1"/>
  <c r="AE1" i="10"/>
  <c r="AC1" i="10"/>
  <c r="AB1" i="10"/>
  <c r="AA1" i="10"/>
  <c r="Z1" i="10"/>
  <c r="Y1" i="10"/>
  <c r="X1" i="10"/>
  <c r="W1" i="10"/>
  <c r="V1" i="10"/>
  <c r="U1" i="10"/>
  <c r="T1" i="10"/>
  <c r="S1" i="10"/>
  <c r="R1" i="10"/>
  <c r="Q1" i="10"/>
  <c r="P1" i="10"/>
  <c r="O1" i="10"/>
  <c r="N1" i="10"/>
  <c r="M1" i="10"/>
  <c r="L1" i="10"/>
  <c r="K1" i="10"/>
  <c r="J1" i="10"/>
  <c r="I1" i="10"/>
  <c r="H1" i="10"/>
  <c r="G1" i="10"/>
  <c r="F1" i="10"/>
  <c r="AD1" i="10" s="1"/>
  <c r="AE365" i="9"/>
  <c r="AC365" i="9"/>
  <c r="AB365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AD365" i="9" s="1"/>
  <c r="AE364" i="9"/>
  <c r="AC364" i="9"/>
  <c r="AB364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AE363" i="9"/>
  <c r="AC363" i="9"/>
  <c r="AB363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AD363" i="9"/>
  <c r="AE362" i="9"/>
  <c r="AC362" i="9"/>
  <c r="AB362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AE361" i="9"/>
  <c r="AC361" i="9"/>
  <c r="AB361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AD361" i="9" s="1"/>
  <c r="AE360" i="9"/>
  <c r="AC360" i="9"/>
  <c r="AB360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AD360" i="9" s="1"/>
  <c r="AE359" i="9"/>
  <c r="AC359" i="9"/>
  <c r="AB359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AD359" i="9" s="1"/>
  <c r="AE358" i="9"/>
  <c r="AC358" i="9"/>
  <c r="AB358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AD358" i="9" s="1"/>
  <c r="AE357" i="9"/>
  <c r="AC357" i="9"/>
  <c r="AB357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AE356" i="9"/>
  <c r="AC356" i="9"/>
  <c r="AB356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AD356" i="9"/>
  <c r="AE355" i="9"/>
  <c r="AC355" i="9"/>
  <c r="AB355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AE354" i="9"/>
  <c r="AC354" i="9"/>
  <c r="AB354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AD354" i="9" s="1"/>
  <c r="AE353" i="9"/>
  <c r="AC353" i="9"/>
  <c r="AB353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AE352" i="9"/>
  <c r="AC352" i="9"/>
  <c r="AB352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AD352" i="9"/>
  <c r="AE351" i="9"/>
  <c r="AC351" i="9"/>
  <c r="AB351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AE350" i="9"/>
  <c r="AC350" i="9"/>
  <c r="AB350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AD350" i="9" s="1"/>
  <c r="AE349" i="9"/>
  <c r="AC349" i="9"/>
  <c r="AB349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AE348" i="9"/>
  <c r="AC348" i="9"/>
  <c r="AB348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AD348" i="9"/>
  <c r="AE347" i="9"/>
  <c r="AC347" i="9"/>
  <c r="AB347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AE346" i="9"/>
  <c r="AC346" i="9"/>
  <c r="AB346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AD346" i="9" s="1"/>
  <c r="AE345" i="9"/>
  <c r="AC345" i="9"/>
  <c r="AB345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AE344" i="9"/>
  <c r="AC344" i="9"/>
  <c r="AB344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AD344" i="9"/>
  <c r="AE343" i="9"/>
  <c r="AC343" i="9"/>
  <c r="AB343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AD343" i="9"/>
  <c r="AE342" i="9"/>
  <c r="AC342" i="9"/>
  <c r="AB342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AD342" i="9"/>
  <c r="AE341" i="9"/>
  <c r="AC341" i="9"/>
  <c r="AB341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AD341" i="9"/>
  <c r="AE340" i="9"/>
  <c r="AC340" i="9"/>
  <c r="AB340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AD340" i="9"/>
  <c r="AE339" i="9"/>
  <c r="AC339" i="9"/>
  <c r="AB339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AD339" i="9"/>
  <c r="AE338" i="9"/>
  <c r="AC338" i="9"/>
  <c r="AB338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AD338" i="9"/>
  <c r="AE337" i="9"/>
  <c r="AC337" i="9"/>
  <c r="AB337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AD337" i="9"/>
  <c r="AE336" i="9"/>
  <c r="AC336" i="9"/>
  <c r="AB336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AD336" i="9"/>
  <c r="AE335" i="9"/>
  <c r="AC335" i="9"/>
  <c r="AB335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AD335" i="9"/>
  <c r="AE334" i="9"/>
  <c r="AC334" i="9"/>
  <c r="AB334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AE333" i="9"/>
  <c r="AC333" i="9"/>
  <c r="AB333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AD333" i="9" s="1"/>
  <c r="AE332" i="9"/>
  <c r="AC332" i="9"/>
  <c r="AB332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AD332" i="9" s="1"/>
  <c r="AE331" i="9"/>
  <c r="AC331" i="9"/>
  <c r="AB331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AD331" i="9" s="1"/>
  <c r="AE330" i="9"/>
  <c r="AC330" i="9"/>
  <c r="AB330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AD330" i="9" s="1"/>
  <c r="AE329" i="9"/>
  <c r="AC329" i="9"/>
  <c r="AB329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AD329" i="9" s="1"/>
  <c r="AE328" i="9"/>
  <c r="AC328" i="9"/>
  <c r="AB328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AD328" i="9" s="1"/>
  <c r="AE327" i="9"/>
  <c r="AC327" i="9"/>
  <c r="AB327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AD327" i="9" s="1"/>
  <c r="AE326" i="9"/>
  <c r="AC326" i="9"/>
  <c r="AB326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AD326" i="9" s="1"/>
  <c r="AE325" i="9"/>
  <c r="AC325" i="9"/>
  <c r="AB325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AD325" i="9" s="1"/>
  <c r="AE324" i="9"/>
  <c r="AC324" i="9"/>
  <c r="AB324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AD324" i="9" s="1"/>
  <c r="AE323" i="9"/>
  <c r="AC323" i="9"/>
  <c r="AB323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AD323" i="9" s="1"/>
  <c r="AE322" i="9"/>
  <c r="AC322" i="9"/>
  <c r="AB322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AD322" i="9" s="1"/>
  <c r="AE321" i="9"/>
  <c r="AC321" i="9"/>
  <c r="AB321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AD321" i="9" s="1"/>
  <c r="AE320" i="9"/>
  <c r="AC320" i="9"/>
  <c r="AB320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AD320" i="9" s="1"/>
  <c r="AE319" i="9"/>
  <c r="AC319" i="9"/>
  <c r="AB319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AD319" i="9" s="1"/>
  <c r="AE318" i="9"/>
  <c r="AC318" i="9"/>
  <c r="AB318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AD318" i="9" s="1"/>
  <c r="AE317" i="9"/>
  <c r="AC317" i="9"/>
  <c r="AB317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AD317" i="9" s="1"/>
  <c r="AE316" i="9"/>
  <c r="AC316" i="9"/>
  <c r="AB316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AD316" i="9" s="1"/>
  <c r="AE315" i="9"/>
  <c r="AC315" i="9"/>
  <c r="AB315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AD315" i="9" s="1"/>
  <c r="AE314" i="9"/>
  <c r="AC314" i="9"/>
  <c r="AB314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AD314" i="9" s="1"/>
  <c r="AE313" i="9"/>
  <c r="AC313" i="9"/>
  <c r="AB313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AD313" i="9" s="1"/>
  <c r="AE312" i="9"/>
  <c r="AC312" i="9"/>
  <c r="AB312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AD312" i="9" s="1"/>
  <c r="AE311" i="9"/>
  <c r="AC311" i="9"/>
  <c r="AB311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AD311" i="9" s="1"/>
  <c r="AE310" i="9"/>
  <c r="AC310" i="9"/>
  <c r="AB310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AD310" i="9" s="1"/>
  <c r="AE309" i="9"/>
  <c r="AC309" i="9"/>
  <c r="AB309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AD309" i="9" s="1"/>
  <c r="AE308" i="9"/>
  <c r="AC308" i="9"/>
  <c r="AB308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AD308" i="9" s="1"/>
  <c r="AE307" i="9"/>
  <c r="AC307" i="9"/>
  <c r="AB307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AE306" i="9"/>
  <c r="AC306" i="9"/>
  <c r="AB306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AD306" i="9"/>
  <c r="AE305" i="9"/>
  <c r="AC305" i="9"/>
  <c r="AB305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AE304" i="9"/>
  <c r="AC304" i="9"/>
  <c r="AB304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AD304" i="9" s="1"/>
  <c r="AE303" i="9"/>
  <c r="AC303" i="9"/>
  <c r="AB303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AE302" i="9"/>
  <c r="AC302" i="9"/>
  <c r="AB302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AD302" i="9"/>
  <c r="AE301" i="9"/>
  <c r="AC301" i="9"/>
  <c r="AB301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AD301" i="9"/>
  <c r="AE300" i="9"/>
  <c r="AC300" i="9"/>
  <c r="AB300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AD300" i="9"/>
  <c r="AE299" i="9"/>
  <c r="AC299" i="9"/>
  <c r="AB299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AE298" i="9"/>
  <c r="AC298" i="9"/>
  <c r="AB298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AD298" i="9" s="1"/>
  <c r="AE297" i="9"/>
  <c r="AC297" i="9"/>
  <c r="AB297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AE296" i="9"/>
  <c r="AC296" i="9"/>
  <c r="AB296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AD296" i="9"/>
  <c r="AE295" i="9"/>
  <c r="AC295" i="9"/>
  <c r="AB295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AE294" i="9"/>
  <c r="AC294" i="9"/>
  <c r="AB294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AD294" i="9" s="1"/>
  <c r="AE293" i="9"/>
  <c r="AC293" i="9"/>
  <c r="AB293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AD293" i="9" s="1"/>
  <c r="AE292" i="9"/>
  <c r="AC292" i="9"/>
  <c r="AB292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AD292" i="9" s="1"/>
  <c r="AE291" i="9"/>
  <c r="AC291" i="9"/>
  <c r="AB291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AD291" i="9" s="1"/>
  <c r="AE290" i="9"/>
  <c r="AC290" i="9"/>
  <c r="AB290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AD290" i="9" s="1"/>
  <c r="AE289" i="9"/>
  <c r="AC289" i="9"/>
  <c r="AB289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AE288" i="9"/>
  <c r="AC288" i="9"/>
  <c r="AB288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AD288" i="9"/>
  <c r="AE287" i="9"/>
  <c r="AC287" i="9"/>
  <c r="AB287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AD287" i="9"/>
  <c r="AE286" i="9"/>
  <c r="AC286" i="9"/>
  <c r="AB286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AD286" i="9"/>
  <c r="AE285" i="9"/>
  <c r="AC285" i="9"/>
  <c r="AB285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AD285" i="9"/>
  <c r="AE284" i="9"/>
  <c r="AC284" i="9"/>
  <c r="AB284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AD284" i="9"/>
  <c r="AE283" i="9"/>
  <c r="AC283" i="9"/>
  <c r="AB283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AE282" i="9"/>
  <c r="AC282" i="9"/>
  <c r="AB282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AD282" i="9" s="1"/>
  <c r="AE281" i="9"/>
  <c r="AC281" i="9"/>
  <c r="AB281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AE280" i="9"/>
  <c r="AC280" i="9"/>
  <c r="AB280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AD280" i="9"/>
  <c r="AE279" i="9"/>
  <c r="AC279" i="9"/>
  <c r="AB279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AD279" i="9"/>
  <c r="AE278" i="9"/>
  <c r="AC278" i="9"/>
  <c r="AB278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AD278" i="9"/>
  <c r="AE277" i="9"/>
  <c r="AC277" i="9"/>
  <c r="AB277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AD277" i="9"/>
  <c r="AE276" i="9"/>
  <c r="AC276" i="9"/>
  <c r="AB276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AD276" i="9"/>
  <c r="AE275" i="9"/>
  <c r="AC275" i="9"/>
  <c r="AB275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AD275" i="9"/>
  <c r="AE274" i="9"/>
  <c r="AC274" i="9"/>
  <c r="AB274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AD274" i="9"/>
  <c r="AE273" i="9"/>
  <c r="AC273" i="9"/>
  <c r="AB273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AD273" i="9"/>
  <c r="AE272" i="9"/>
  <c r="AC272" i="9"/>
  <c r="AB272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AD272" i="9"/>
  <c r="AE271" i="9"/>
  <c r="AC271" i="9"/>
  <c r="AB271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AD271" i="9"/>
  <c r="AE270" i="9"/>
  <c r="AC270" i="9"/>
  <c r="AB270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AD270" i="9"/>
  <c r="AE269" i="9"/>
  <c r="AC269" i="9"/>
  <c r="AB269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AD269" i="9"/>
  <c r="AE268" i="9"/>
  <c r="AC268" i="9"/>
  <c r="AB268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AD268" i="9"/>
  <c r="AE267" i="9"/>
  <c r="AC267" i="9"/>
  <c r="AB267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AD267" i="9"/>
  <c r="AE266" i="9"/>
  <c r="AC266" i="9"/>
  <c r="AB266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AD266" i="9"/>
  <c r="AE265" i="9"/>
  <c r="AC265" i="9"/>
  <c r="AB265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AD265" i="9"/>
  <c r="AE264" i="9"/>
  <c r="AC264" i="9"/>
  <c r="AB264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AD264" i="9"/>
  <c r="AE263" i="9"/>
  <c r="AC263" i="9"/>
  <c r="AB263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AD263" i="9"/>
  <c r="AE262" i="9"/>
  <c r="AC262" i="9"/>
  <c r="AB262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AD262" i="9"/>
  <c r="AE261" i="9"/>
  <c r="AC261" i="9"/>
  <c r="AB261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AD261" i="9"/>
  <c r="AE260" i="9"/>
  <c r="AC260" i="9"/>
  <c r="AB260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AD260" i="9"/>
  <c r="AE259" i="9"/>
  <c r="AC259" i="9"/>
  <c r="AB259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AD259" i="9"/>
  <c r="AE258" i="9"/>
  <c r="AC258" i="9"/>
  <c r="AB258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AD258" i="9"/>
  <c r="AE257" i="9"/>
  <c r="AC257" i="9"/>
  <c r="AB257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AD257" i="9"/>
  <c r="AE256" i="9"/>
  <c r="AC256" i="9"/>
  <c r="AB256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AD256" i="9"/>
  <c r="AE255" i="9"/>
  <c r="AC255" i="9"/>
  <c r="AB255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AD255" i="9"/>
  <c r="AE254" i="9"/>
  <c r="AC254" i="9"/>
  <c r="AB254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AD254" i="9"/>
  <c r="AE253" i="9"/>
  <c r="AC253" i="9"/>
  <c r="AB253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AD253" i="9"/>
  <c r="AE252" i="9"/>
  <c r="AC252" i="9"/>
  <c r="AB252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AD252" i="9"/>
  <c r="AE251" i="9"/>
  <c r="AC251" i="9"/>
  <c r="AB251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AD251" i="9"/>
  <c r="AE250" i="9"/>
  <c r="AC250" i="9"/>
  <c r="AB250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AD250" i="9"/>
  <c r="AE249" i="9"/>
  <c r="AC249" i="9"/>
  <c r="AB249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AD249" i="9"/>
  <c r="AE248" i="9"/>
  <c r="AC248" i="9"/>
  <c r="AB248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AD248" i="9"/>
  <c r="AE247" i="9"/>
  <c r="AC247" i="9"/>
  <c r="AB247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AD247" i="9"/>
  <c r="AE246" i="9"/>
  <c r="AC246" i="9"/>
  <c r="AB246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AD246" i="9"/>
  <c r="AE245" i="9"/>
  <c r="AC245" i="9"/>
  <c r="AB245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AD245" i="9"/>
  <c r="AE244" i="9"/>
  <c r="AC244" i="9"/>
  <c r="AB244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AD244" i="9"/>
  <c r="AE243" i="9"/>
  <c r="AC243" i="9"/>
  <c r="AB243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AE242" i="9"/>
  <c r="AC242" i="9"/>
  <c r="AB242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AD242" i="9" s="1"/>
  <c r="AE241" i="9"/>
  <c r="AC241" i="9"/>
  <c r="AB241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AD241" i="9" s="1"/>
  <c r="AE240" i="9"/>
  <c r="AC240" i="9"/>
  <c r="AB240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AD240" i="9" s="1"/>
  <c r="AE239" i="9"/>
  <c r="AC239" i="9"/>
  <c r="AB239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AD239" i="9" s="1"/>
  <c r="AE238" i="9"/>
  <c r="AC238" i="9"/>
  <c r="AB238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AD238" i="9" s="1"/>
  <c r="AE237" i="9"/>
  <c r="AC237" i="9"/>
  <c r="AB237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AD237" i="9" s="1"/>
  <c r="AE236" i="9"/>
  <c r="AC236" i="9"/>
  <c r="AB236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AD236" i="9" s="1"/>
  <c r="AE235" i="9"/>
  <c r="AC235" i="9"/>
  <c r="AB235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AD235" i="9" s="1"/>
  <c r="AE234" i="9"/>
  <c r="AC234" i="9"/>
  <c r="AB234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AD234" i="9" s="1"/>
  <c r="AE233" i="9"/>
  <c r="AC233" i="9"/>
  <c r="AB233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AD233" i="9" s="1"/>
  <c r="AE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AD232" i="9" s="1"/>
  <c r="AE231" i="9"/>
  <c r="AC231" i="9"/>
  <c r="AB231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AD231" i="9" s="1"/>
  <c r="AE230" i="9"/>
  <c r="AC230" i="9"/>
  <c r="AB230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AD230" i="9" s="1"/>
  <c r="AE229" i="9"/>
  <c r="AC229" i="9"/>
  <c r="AB229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AD229" i="9" s="1"/>
  <c r="AE228" i="9"/>
  <c r="AC228" i="9"/>
  <c r="AB228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AD228" i="9" s="1"/>
  <c r="AE227" i="9"/>
  <c r="AC227" i="9"/>
  <c r="AB227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AD227" i="9" s="1"/>
  <c r="AE226" i="9"/>
  <c r="AC226" i="9"/>
  <c r="AB226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AD226" i="9" s="1"/>
  <c r="AE225" i="9"/>
  <c r="AC225" i="9"/>
  <c r="AB225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AD225" i="9" s="1"/>
  <c r="AE224" i="9"/>
  <c r="AC224" i="9"/>
  <c r="AB224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AD224" i="9" s="1"/>
  <c r="AE223" i="9"/>
  <c r="AC223" i="9"/>
  <c r="AB223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AD223" i="9" s="1"/>
  <c r="AE222" i="9"/>
  <c r="AC222" i="9"/>
  <c r="AB222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AD222" i="9" s="1"/>
  <c r="AE221" i="9"/>
  <c r="AC221" i="9"/>
  <c r="AB221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AD221" i="9" s="1"/>
  <c r="AE220" i="9"/>
  <c r="AC220" i="9"/>
  <c r="AB220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AD220" i="9" s="1"/>
  <c r="AE219" i="9"/>
  <c r="AC219" i="9"/>
  <c r="AB219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AD219" i="9" s="1"/>
  <c r="AE218" i="9"/>
  <c r="AC218" i="9"/>
  <c r="AB218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AD218" i="9" s="1"/>
  <c r="AE217" i="9"/>
  <c r="AC217" i="9"/>
  <c r="AB217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AD217" i="9" s="1"/>
  <c r="AE216" i="9"/>
  <c r="AC216" i="9"/>
  <c r="AB216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AD216" i="9" s="1"/>
  <c r="AE215" i="9"/>
  <c r="AC215" i="9"/>
  <c r="AB215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AD215" i="9" s="1"/>
  <c r="AE214" i="9"/>
  <c r="AC214" i="9"/>
  <c r="AB214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AD214" i="9" s="1"/>
  <c r="AE213" i="9"/>
  <c r="AC213" i="9"/>
  <c r="AB213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AE212" i="9"/>
  <c r="AC212" i="9"/>
  <c r="AB212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AD212" i="9"/>
  <c r="AE211" i="9"/>
  <c r="AC211" i="9"/>
  <c r="AB211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AE210" i="9"/>
  <c r="AC210" i="9"/>
  <c r="AB210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AD210" i="9" s="1"/>
  <c r="AE209" i="9"/>
  <c r="AC209" i="9"/>
  <c r="AB209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AD209" i="9" s="1"/>
  <c r="AE208" i="9"/>
  <c r="AC208" i="9"/>
  <c r="AB208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AD208" i="9" s="1"/>
  <c r="AE207" i="9"/>
  <c r="AC207" i="9"/>
  <c r="AB207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AE206" i="9"/>
  <c r="AC206" i="9"/>
  <c r="AB206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AD206" i="9"/>
  <c r="AE205" i="9"/>
  <c r="AC205" i="9"/>
  <c r="AB205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AD205" i="9"/>
  <c r="AE204" i="9"/>
  <c r="AC204" i="9"/>
  <c r="AB204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AD204" i="9"/>
  <c r="AE203" i="9"/>
  <c r="AC203" i="9"/>
  <c r="AB203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AD203" i="9"/>
  <c r="AE202" i="9"/>
  <c r="AC202" i="9"/>
  <c r="AB202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AD202" i="9"/>
  <c r="AE201" i="9"/>
  <c r="AC201" i="9"/>
  <c r="AB201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AD201" i="9"/>
  <c r="AE200" i="9"/>
  <c r="AC200" i="9"/>
  <c r="AB200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AE199" i="9"/>
  <c r="AC199" i="9"/>
  <c r="AB199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AD199" i="9" s="1"/>
  <c r="AE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AD198" i="9" s="1"/>
  <c r="AE197" i="9"/>
  <c r="AC197" i="9"/>
  <c r="AB197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AD197" i="9" s="1"/>
  <c r="AE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AE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AD195" i="9"/>
  <c r="AE194" i="9"/>
  <c r="AC194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AD194" i="9"/>
  <c r="AE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AD193" i="9"/>
  <c r="AE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AD192" i="9"/>
  <c r="AE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AD191" i="9"/>
  <c r="AE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AD190" i="9"/>
  <c r="AE189" i="9"/>
  <c r="AC189" i="9"/>
  <c r="AB189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AD189" i="9"/>
  <c r="AE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AD188" i="9"/>
  <c r="AE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AE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AD186" i="9" s="1"/>
  <c r="AE185" i="9"/>
  <c r="AC185" i="9"/>
  <c r="AB185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AD185" i="9" s="1"/>
  <c r="AE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AD184" i="9" s="1"/>
  <c r="AE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AD183" i="9" s="1"/>
  <c r="AE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AD182" i="9" s="1"/>
  <c r="AE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AD181" i="9" s="1"/>
  <c r="AE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AD180" i="9" s="1"/>
  <c r="AE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AD179" i="9" s="1"/>
  <c r="AE178" i="9"/>
  <c r="AC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AD178" i="9" s="1"/>
  <c r="AE177" i="9"/>
  <c r="AC177" i="9"/>
  <c r="AB177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AD177" i="9" s="1"/>
  <c r="AE176" i="9"/>
  <c r="AC176" i="9"/>
  <c r="AB176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AD176" i="9" s="1"/>
  <c r="AE175" i="9"/>
  <c r="AC175" i="9"/>
  <c r="AB175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AD175" i="9" s="1"/>
  <c r="AE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AD174" i="9" s="1"/>
  <c r="AE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AD173" i="9" s="1"/>
  <c r="AE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AD172" i="9" s="1"/>
  <c r="AE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AD171" i="9" s="1"/>
  <c r="AE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AD170" i="9" s="1"/>
  <c r="AE169" i="9"/>
  <c r="AC169" i="9"/>
  <c r="AB169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AE168" i="9"/>
  <c r="AC168" i="9"/>
  <c r="AB168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AD168" i="9"/>
  <c r="AE167" i="9"/>
  <c r="AC167" i="9"/>
  <c r="AB167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AD167" i="9"/>
  <c r="AE166" i="9"/>
  <c r="AC166" i="9"/>
  <c r="AB166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AD166" i="9"/>
  <c r="AE165" i="9"/>
  <c r="AC165" i="9"/>
  <c r="AB165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AD165" i="9"/>
  <c r="AE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AD164" i="9"/>
  <c r="AE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AD163" i="9"/>
  <c r="AE162" i="9"/>
  <c r="AC162" i="9"/>
  <c r="AB162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AD162" i="9"/>
  <c r="AE161" i="9"/>
  <c r="AC161" i="9"/>
  <c r="AB161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AE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AD160" i="9" s="1"/>
  <c r="AE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AD159" i="9" s="1"/>
  <c r="AE158" i="9"/>
  <c r="AC158" i="9"/>
  <c r="AB158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AD158" i="9" s="1"/>
  <c r="AE157" i="9"/>
  <c r="AC157" i="9"/>
  <c r="AB157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AD157" i="9" s="1"/>
  <c r="AE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AD156" i="9" s="1"/>
  <c r="AE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AD155" i="9" s="1"/>
  <c r="AE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AD154" i="9" s="1"/>
  <c r="AE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AE152" i="9"/>
  <c r="AC152" i="9"/>
  <c r="AB152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AD152" i="9"/>
  <c r="AE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AD151" i="9"/>
  <c r="AE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AE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AD149" i="9" s="1"/>
  <c r="AE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AE147" i="9"/>
  <c r="AC147" i="9"/>
  <c r="AB147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AD147" i="9"/>
  <c r="AE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AE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AD145" i="9" s="1"/>
  <c r="AE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AE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AD143" i="9"/>
  <c r="AE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AE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AD141" i="9" s="1"/>
  <c r="AE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AE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AD139" i="9"/>
  <c r="AE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AE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AD137" i="9" s="1"/>
  <c r="AE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AE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AD135" i="9"/>
  <c r="AE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AE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AD133" i="9" s="1"/>
  <c r="AE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AE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AD131" i="9"/>
  <c r="AE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AE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AD129" i="9" s="1"/>
  <c r="AE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AE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AD127" i="9"/>
  <c r="AE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AE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AD125" i="9" s="1"/>
  <c r="AE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AE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AD123" i="9"/>
  <c r="AE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AE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AD121" i="9" s="1"/>
  <c r="AE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AE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AD119" i="9"/>
  <c r="AE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AE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AD117" i="9" s="1"/>
  <c r="AE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AE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AD115" i="9"/>
  <c r="AE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AE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AD113" i="9" s="1"/>
  <c r="AE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AE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AD111" i="9"/>
  <c r="AE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AE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AD109" i="9" s="1"/>
  <c r="AE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AE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AD107" i="9"/>
  <c r="AE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AE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AD105" i="9" s="1"/>
  <c r="AE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AE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AD103" i="9"/>
  <c r="AE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AE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AD101" i="9" s="1"/>
  <c r="AE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AE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AD99" i="9"/>
  <c r="AE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AE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AD97" i="9" s="1"/>
  <c r="AE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AE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AD95" i="9"/>
  <c r="AE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AE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AD93" i="9" s="1"/>
  <c r="AE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AE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AD91" i="9"/>
  <c r="AE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AE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AD89" i="9" s="1"/>
  <c r="AE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AE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AD87" i="9"/>
  <c r="AE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AE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AD85" i="9" s="1"/>
  <c r="AE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AE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AD83" i="9"/>
  <c r="AE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AE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AD81" i="9" s="1"/>
  <c r="AE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AE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AD79" i="9"/>
  <c r="AE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AE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AD77" i="9" s="1"/>
  <c r="AE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AE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AD75" i="9"/>
  <c r="AE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AE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AD73" i="9" s="1"/>
  <c r="AE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AE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AD71" i="9"/>
  <c r="AE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AE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AD69" i="9" s="1"/>
  <c r="AE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AE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AD67" i="9"/>
  <c r="AE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AE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AD65" i="9" s="1"/>
  <c r="AE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AE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AD63" i="9"/>
  <c r="AE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AE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AD61" i="9" s="1"/>
  <c r="AE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AE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AD59" i="9"/>
  <c r="AE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AE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AD57" i="9" s="1"/>
  <c r="AE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AE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AD55" i="9"/>
  <c r="AE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AE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AD53" i="9" s="1"/>
  <c r="AE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AE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AD51" i="9"/>
  <c r="AE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AE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AD49" i="9" s="1"/>
  <c r="AE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AE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AD47" i="9"/>
  <c r="AE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AE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AD45" i="9" s="1"/>
  <c r="AE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AE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AD43" i="9"/>
  <c r="AE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AE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AD41" i="9" s="1"/>
  <c r="AE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AE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AD39" i="9"/>
  <c r="AE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AE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AD37" i="9" s="1"/>
  <c r="AE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AE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AD35" i="9"/>
  <c r="AE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AE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AD33" i="9" s="1"/>
  <c r="AE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AE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AD31" i="9"/>
  <c r="AE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AE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AD29" i="9" s="1"/>
  <c r="AE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AE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AD27" i="9"/>
  <c r="AE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AE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AD25" i="9" s="1"/>
  <c r="AE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AE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AD23" i="9"/>
  <c r="AE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AE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AD21" i="9" s="1"/>
  <c r="AE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AE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AD19" i="9"/>
  <c r="AE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AE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AD17" i="9" s="1"/>
  <c r="AE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AE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AD15" i="9"/>
  <c r="AE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AE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AD13" i="9" s="1"/>
  <c r="AE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AE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AD11" i="9"/>
  <c r="AE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AE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AD9" i="9" s="1"/>
  <c r="AE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AE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AD7" i="9"/>
  <c r="AE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AE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AD5" i="9" s="1"/>
  <c r="AE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AE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AD3" i="9"/>
  <c r="AE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 s="1"/>
  <c r="AD2" i="9" s="1"/>
  <c r="AE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AE365" i="8"/>
  <c r="AC365" i="8"/>
  <c r="AB365" i="8"/>
  <c r="AA365" i="8"/>
  <c r="Z365" i="8"/>
  <c r="Y365" i="8"/>
  <c r="X365" i="8"/>
  <c r="W365" i="8"/>
  <c r="V365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AD365" i="8"/>
  <c r="AE364" i="8"/>
  <c r="AC364" i="8"/>
  <c r="AB364" i="8"/>
  <c r="AA364" i="8"/>
  <c r="Z364" i="8"/>
  <c r="Y364" i="8"/>
  <c r="X364" i="8"/>
  <c r="W364" i="8"/>
  <c r="V364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AE363" i="8"/>
  <c r="AC363" i="8"/>
  <c r="AB363" i="8"/>
  <c r="AA363" i="8"/>
  <c r="Z363" i="8"/>
  <c r="Y363" i="8"/>
  <c r="X363" i="8"/>
  <c r="W363" i="8"/>
  <c r="V363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AD363" i="8" s="1"/>
  <c r="AE362" i="8"/>
  <c r="AC362" i="8"/>
  <c r="AB362" i="8"/>
  <c r="AA362" i="8"/>
  <c r="Z362" i="8"/>
  <c r="Y362" i="8"/>
  <c r="X362" i="8"/>
  <c r="W362" i="8"/>
  <c r="V362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AE361" i="8"/>
  <c r="AC361" i="8"/>
  <c r="AB361" i="8"/>
  <c r="AA361" i="8"/>
  <c r="Z361" i="8"/>
  <c r="Y361" i="8"/>
  <c r="X361" i="8"/>
  <c r="W361" i="8"/>
  <c r="V361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AD361" i="8"/>
  <c r="AE360" i="8"/>
  <c r="AC360" i="8"/>
  <c r="AB360" i="8"/>
  <c r="AA360" i="8"/>
  <c r="Z360" i="8"/>
  <c r="Y360" i="8"/>
  <c r="X360" i="8"/>
  <c r="W360" i="8"/>
  <c r="V360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AE359" i="8"/>
  <c r="AC359" i="8"/>
  <c r="AB359" i="8"/>
  <c r="AA359" i="8"/>
  <c r="Z359" i="8"/>
  <c r="Y359" i="8"/>
  <c r="X359" i="8"/>
  <c r="W359" i="8"/>
  <c r="V359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AD359" i="8" s="1"/>
  <c r="AE358" i="8"/>
  <c r="AC358" i="8"/>
  <c r="AB358" i="8"/>
  <c r="AA358" i="8"/>
  <c r="Z358" i="8"/>
  <c r="Y358" i="8"/>
  <c r="X358" i="8"/>
  <c r="W358" i="8"/>
  <c r="V358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AD358" i="8" s="1"/>
  <c r="AE357" i="8"/>
  <c r="AC357" i="8"/>
  <c r="AB357" i="8"/>
  <c r="AA357" i="8"/>
  <c r="Z357" i="8"/>
  <c r="Y357" i="8"/>
  <c r="X357" i="8"/>
  <c r="W357" i="8"/>
  <c r="V357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AD357" i="8" s="1"/>
  <c r="AE356" i="8"/>
  <c r="AC356" i="8"/>
  <c r="AB356" i="8"/>
  <c r="AA356" i="8"/>
  <c r="Z356" i="8"/>
  <c r="Y356" i="8"/>
  <c r="X356" i="8"/>
  <c r="W356" i="8"/>
  <c r="V356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AD356" i="8" s="1"/>
  <c r="AE355" i="8"/>
  <c r="AC355" i="8"/>
  <c r="AB355" i="8"/>
  <c r="AA355" i="8"/>
  <c r="Z355" i="8"/>
  <c r="Y355" i="8"/>
  <c r="X355" i="8"/>
  <c r="W355" i="8"/>
  <c r="V355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AD355" i="8" s="1"/>
  <c r="AE354" i="8"/>
  <c r="AC354" i="8"/>
  <c r="AB354" i="8"/>
  <c r="AA354" i="8"/>
  <c r="Z354" i="8"/>
  <c r="Y354" i="8"/>
  <c r="X354" i="8"/>
  <c r="W354" i="8"/>
  <c r="V354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AD354" i="8" s="1"/>
  <c r="AE353" i="8"/>
  <c r="AC353" i="8"/>
  <c r="AB353" i="8"/>
  <c r="AA353" i="8"/>
  <c r="Z353" i="8"/>
  <c r="Y353" i="8"/>
  <c r="X353" i="8"/>
  <c r="W353" i="8"/>
  <c r="V353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AD353" i="8" s="1"/>
  <c r="AE352" i="8"/>
  <c r="AC352" i="8"/>
  <c r="AB352" i="8"/>
  <c r="AA352" i="8"/>
  <c r="Z352" i="8"/>
  <c r="Y352" i="8"/>
  <c r="X352" i="8"/>
  <c r="W352" i="8"/>
  <c r="V352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AD352" i="8" s="1"/>
  <c r="AE351" i="8"/>
  <c r="AC351" i="8"/>
  <c r="AB351" i="8"/>
  <c r="AA351" i="8"/>
  <c r="Z351" i="8"/>
  <c r="Y351" i="8"/>
  <c r="X351" i="8"/>
  <c r="W351" i="8"/>
  <c r="V351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AE350" i="8"/>
  <c r="AC350" i="8"/>
  <c r="AB350" i="8"/>
  <c r="AA350" i="8"/>
  <c r="Z350" i="8"/>
  <c r="Y350" i="8"/>
  <c r="X350" i="8"/>
  <c r="W350" i="8"/>
  <c r="V350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AD350" i="8"/>
  <c r="AE349" i="8"/>
  <c r="AC349" i="8"/>
  <c r="AB349" i="8"/>
  <c r="AA349" i="8"/>
  <c r="Z349" i="8"/>
  <c r="Y349" i="8"/>
  <c r="X349" i="8"/>
  <c r="W349" i="8"/>
  <c r="V349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AD349" i="8"/>
  <c r="AE348" i="8"/>
  <c r="AC348" i="8"/>
  <c r="AB348" i="8"/>
  <c r="AA348" i="8"/>
  <c r="Z348" i="8"/>
  <c r="Y348" i="8"/>
  <c r="X348" i="8"/>
  <c r="W348" i="8"/>
  <c r="V348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AD348" i="8"/>
  <c r="AE347" i="8"/>
  <c r="AC347" i="8"/>
  <c r="AB347" i="8"/>
  <c r="AA347" i="8"/>
  <c r="Z347" i="8"/>
  <c r="Y347" i="8"/>
  <c r="X347" i="8"/>
  <c r="W347" i="8"/>
  <c r="V347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AD347" i="8"/>
  <c r="AE346" i="8"/>
  <c r="AC346" i="8"/>
  <c r="AB346" i="8"/>
  <c r="AA346" i="8"/>
  <c r="Z346" i="8"/>
  <c r="Y346" i="8"/>
  <c r="X346" i="8"/>
  <c r="W346" i="8"/>
  <c r="V346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AD346" i="8"/>
  <c r="AE345" i="8"/>
  <c r="AC345" i="8"/>
  <c r="AB345" i="8"/>
  <c r="AA345" i="8"/>
  <c r="Z345" i="8"/>
  <c r="Y345" i="8"/>
  <c r="X345" i="8"/>
  <c r="W345" i="8"/>
  <c r="V345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AD345" i="8"/>
  <c r="AE344" i="8"/>
  <c r="AC344" i="8"/>
  <c r="AB344" i="8"/>
  <c r="AA344" i="8"/>
  <c r="Z344" i="8"/>
  <c r="Y344" i="8"/>
  <c r="X344" i="8"/>
  <c r="W344" i="8"/>
  <c r="V344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AD344" i="8"/>
  <c r="AE343" i="8"/>
  <c r="AC343" i="8"/>
  <c r="AB343" i="8"/>
  <c r="AA343" i="8"/>
  <c r="Z343" i="8"/>
  <c r="Y343" i="8"/>
  <c r="X343" i="8"/>
  <c r="W343" i="8"/>
  <c r="V343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AD343" i="8"/>
  <c r="AE342" i="8"/>
  <c r="AC342" i="8"/>
  <c r="AB342" i="8"/>
  <c r="AA342" i="8"/>
  <c r="Z342" i="8"/>
  <c r="Y342" i="8"/>
  <c r="X342" i="8"/>
  <c r="W342" i="8"/>
  <c r="V342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AD342" i="8"/>
  <c r="AE341" i="8"/>
  <c r="AC341" i="8"/>
  <c r="AB341" i="8"/>
  <c r="AA341" i="8"/>
  <c r="Z341" i="8"/>
  <c r="Y341" i="8"/>
  <c r="X341" i="8"/>
  <c r="W341" i="8"/>
  <c r="V341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AD341" i="8"/>
  <c r="AE340" i="8"/>
  <c r="AC340" i="8"/>
  <c r="AB340" i="8"/>
  <c r="AA340" i="8"/>
  <c r="Z340" i="8"/>
  <c r="Y340" i="8"/>
  <c r="X340" i="8"/>
  <c r="W340" i="8"/>
  <c r="V340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AD340" i="8"/>
  <c r="AE339" i="8"/>
  <c r="AC339" i="8"/>
  <c r="AB339" i="8"/>
  <c r="AA339" i="8"/>
  <c r="Z339" i="8"/>
  <c r="Y339" i="8"/>
  <c r="X339" i="8"/>
  <c r="W339" i="8"/>
  <c r="V339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AD339" i="8"/>
  <c r="AE338" i="8"/>
  <c r="AC338" i="8"/>
  <c r="AB338" i="8"/>
  <c r="AA338" i="8"/>
  <c r="Z338" i="8"/>
  <c r="Y338" i="8"/>
  <c r="X338" i="8"/>
  <c r="W338" i="8"/>
  <c r="V338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AD338" i="8"/>
  <c r="AE337" i="8"/>
  <c r="AC337" i="8"/>
  <c r="AB337" i="8"/>
  <c r="AA337" i="8"/>
  <c r="Z337" i="8"/>
  <c r="Y337" i="8"/>
  <c r="X337" i="8"/>
  <c r="W337" i="8"/>
  <c r="V337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AD337" i="8"/>
  <c r="AE336" i="8"/>
  <c r="AC336" i="8"/>
  <c r="AB336" i="8"/>
  <c r="AA336" i="8"/>
  <c r="Z336" i="8"/>
  <c r="Y336" i="8"/>
  <c r="X336" i="8"/>
  <c r="W336" i="8"/>
  <c r="V336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AD336" i="8"/>
  <c r="AE335" i="8"/>
  <c r="AC335" i="8"/>
  <c r="AB335" i="8"/>
  <c r="AA335" i="8"/>
  <c r="Z335" i="8"/>
  <c r="Y335" i="8"/>
  <c r="X335" i="8"/>
  <c r="W335" i="8"/>
  <c r="V335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AD335" i="8"/>
  <c r="AE334" i="8"/>
  <c r="AC334" i="8"/>
  <c r="AB334" i="8"/>
  <c r="AA334" i="8"/>
  <c r="Z334" i="8"/>
  <c r="Y334" i="8"/>
  <c r="X334" i="8"/>
  <c r="W334" i="8"/>
  <c r="V334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AE333" i="8"/>
  <c r="AC333" i="8"/>
  <c r="AB333" i="8"/>
  <c r="AA333" i="8"/>
  <c r="Z333" i="8"/>
  <c r="Y333" i="8"/>
  <c r="X333" i="8"/>
  <c r="W333" i="8"/>
  <c r="V333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AD333" i="8" s="1"/>
  <c r="AE332" i="8"/>
  <c r="AC332" i="8"/>
  <c r="AB332" i="8"/>
  <c r="AA332" i="8"/>
  <c r="Z332" i="8"/>
  <c r="Y332" i="8"/>
  <c r="X332" i="8"/>
  <c r="W332" i="8"/>
  <c r="V332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AD332" i="8" s="1"/>
  <c r="AE331" i="8"/>
  <c r="AC331" i="8"/>
  <c r="AB331" i="8"/>
  <c r="AA331" i="8"/>
  <c r="Z331" i="8"/>
  <c r="Y331" i="8"/>
  <c r="X331" i="8"/>
  <c r="W331" i="8"/>
  <c r="V331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AE330" i="8"/>
  <c r="AC330" i="8"/>
  <c r="AB330" i="8"/>
  <c r="AA330" i="8"/>
  <c r="Z330" i="8"/>
  <c r="Y330" i="8"/>
  <c r="X330" i="8"/>
  <c r="W330" i="8"/>
  <c r="V330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AD330" i="8"/>
  <c r="AE329" i="8"/>
  <c r="AC329" i="8"/>
  <c r="AB329" i="8"/>
  <c r="AA329" i="8"/>
  <c r="Z329" i="8"/>
  <c r="Y329" i="8"/>
  <c r="X329" i="8"/>
  <c r="W329" i="8"/>
  <c r="V329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AE328" i="8"/>
  <c r="AC328" i="8"/>
  <c r="AB328" i="8"/>
  <c r="AA328" i="8"/>
  <c r="Z328" i="8"/>
  <c r="Y328" i="8"/>
  <c r="X328" i="8"/>
  <c r="W328" i="8"/>
  <c r="V328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AD328" i="8" s="1"/>
  <c r="AE327" i="8"/>
  <c r="AC327" i="8"/>
  <c r="AB327" i="8"/>
  <c r="AA327" i="8"/>
  <c r="Z327" i="8"/>
  <c r="Y327" i="8"/>
  <c r="X327" i="8"/>
  <c r="W327" i="8"/>
  <c r="V327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AD327" i="8" s="1"/>
  <c r="AE326" i="8"/>
  <c r="AC326" i="8"/>
  <c r="AB326" i="8"/>
  <c r="AA326" i="8"/>
  <c r="Z326" i="8"/>
  <c r="Y326" i="8"/>
  <c r="X326" i="8"/>
  <c r="W326" i="8"/>
  <c r="V326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AD326" i="8" s="1"/>
  <c r="AE325" i="8"/>
  <c r="AC325" i="8"/>
  <c r="AB325" i="8"/>
  <c r="AA325" i="8"/>
  <c r="Z325" i="8"/>
  <c r="Y325" i="8"/>
  <c r="X325" i="8"/>
  <c r="W325" i="8"/>
  <c r="V325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AD325" i="8" s="1"/>
  <c r="AE324" i="8"/>
  <c r="AC324" i="8"/>
  <c r="AB324" i="8"/>
  <c r="AA324" i="8"/>
  <c r="Z324" i="8"/>
  <c r="Y324" i="8"/>
  <c r="X324" i="8"/>
  <c r="W324" i="8"/>
  <c r="V324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AD324" i="8" s="1"/>
  <c r="AE323" i="8"/>
  <c r="AC323" i="8"/>
  <c r="AB323" i="8"/>
  <c r="AA323" i="8"/>
  <c r="Z323" i="8"/>
  <c r="Y323" i="8"/>
  <c r="X323" i="8"/>
  <c r="W323" i="8"/>
  <c r="V323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AD323" i="8" s="1"/>
  <c r="AE322" i="8"/>
  <c r="AC322" i="8"/>
  <c r="AB322" i="8"/>
  <c r="AA322" i="8"/>
  <c r="Z322" i="8"/>
  <c r="Y322" i="8"/>
  <c r="X322" i="8"/>
  <c r="W322" i="8"/>
  <c r="V322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AD322" i="8" s="1"/>
  <c r="AE321" i="8"/>
  <c r="AC321" i="8"/>
  <c r="AB321" i="8"/>
  <c r="AA321" i="8"/>
  <c r="Z321" i="8"/>
  <c r="Y321" i="8"/>
  <c r="X321" i="8"/>
  <c r="W321" i="8"/>
  <c r="V321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AD321" i="8" s="1"/>
  <c r="AE320" i="8"/>
  <c r="AC320" i="8"/>
  <c r="AB320" i="8"/>
  <c r="AA320" i="8"/>
  <c r="Z320" i="8"/>
  <c r="Y320" i="8"/>
  <c r="X320" i="8"/>
  <c r="W320" i="8"/>
  <c r="V320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AD320" i="8" s="1"/>
  <c r="AE319" i="8"/>
  <c r="AC319" i="8"/>
  <c r="AB319" i="8"/>
  <c r="AA319" i="8"/>
  <c r="Z319" i="8"/>
  <c r="Y319" i="8"/>
  <c r="X319" i="8"/>
  <c r="W319" i="8"/>
  <c r="V319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AD319" i="8" s="1"/>
  <c r="AE318" i="8"/>
  <c r="AC318" i="8"/>
  <c r="AB318" i="8"/>
  <c r="AA318" i="8"/>
  <c r="Z318" i="8"/>
  <c r="Y318" i="8"/>
  <c r="X318" i="8"/>
  <c r="W318" i="8"/>
  <c r="V318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AD318" i="8" s="1"/>
  <c r="AE317" i="8"/>
  <c r="AC317" i="8"/>
  <c r="AB317" i="8"/>
  <c r="AA317" i="8"/>
  <c r="Z317" i="8"/>
  <c r="Y317" i="8"/>
  <c r="X317" i="8"/>
  <c r="W317" i="8"/>
  <c r="V317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AD317" i="8" s="1"/>
  <c r="AE316" i="8"/>
  <c r="AC316" i="8"/>
  <c r="AB316" i="8"/>
  <c r="AA316" i="8"/>
  <c r="Z316" i="8"/>
  <c r="Y316" i="8"/>
  <c r="X316" i="8"/>
  <c r="W316" i="8"/>
  <c r="V316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AD316" i="8" s="1"/>
  <c r="AE315" i="8"/>
  <c r="AC315" i="8"/>
  <c r="AB315" i="8"/>
  <c r="AA315" i="8"/>
  <c r="Z315" i="8"/>
  <c r="Y315" i="8"/>
  <c r="X315" i="8"/>
  <c r="W315" i="8"/>
  <c r="V315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AD315" i="8" s="1"/>
  <c r="AE314" i="8"/>
  <c r="AC314" i="8"/>
  <c r="AB314" i="8"/>
  <c r="AA314" i="8"/>
  <c r="Z314" i="8"/>
  <c r="Y314" i="8"/>
  <c r="X314" i="8"/>
  <c r="W314" i="8"/>
  <c r="V314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AD314" i="8" s="1"/>
  <c r="AE313" i="8"/>
  <c r="AC313" i="8"/>
  <c r="AB313" i="8"/>
  <c r="AA313" i="8"/>
  <c r="Z313" i="8"/>
  <c r="Y313" i="8"/>
  <c r="X313" i="8"/>
  <c r="W313" i="8"/>
  <c r="V313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AD313" i="8" s="1"/>
  <c r="AE312" i="8"/>
  <c r="AC312" i="8"/>
  <c r="AB312" i="8"/>
  <c r="AA312" i="8"/>
  <c r="Z312" i="8"/>
  <c r="Y312" i="8"/>
  <c r="X312" i="8"/>
  <c r="W312" i="8"/>
  <c r="V312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AD312" i="8" s="1"/>
  <c r="AE311" i="8"/>
  <c r="AC311" i="8"/>
  <c r="AB311" i="8"/>
  <c r="AA311" i="8"/>
  <c r="Z311" i="8"/>
  <c r="Y311" i="8"/>
  <c r="X311" i="8"/>
  <c r="W311" i="8"/>
  <c r="V311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AD311" i="8" s="1"/>
  <c r="AE310" i="8"/>
  <c r="AC310" i="8"/>
  <c r="AB310" i="8"/>
  <c r="AA310" i="8"/>
  <c r="Z310" i="8"/>
  <c r="Y310" i="8"/>
  <c r="X310" i="8"/>
  <c r="W310" i="8"/>
  <c r="V310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AD310" i="8" s="1"/>
  <c r="AE309" i="8"/>
  <c r="AC309" i="8"/>
  <c r="AB309" i="8"/>
  <c r="AA309" i="8"/>
  <c r="Z309" i="8"/>
  <c r="Y309" i="8"/>
  <c r="X309" i="8"/>
  <c r="W309" i="8"/>
  <c r="V309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AD309" i="8" s="1"/>
  <c r="AE308" i="8"/>
  <c r="AC308" i="8"/>
  <c r="AB308" i="8"/>
  <c r="AA308" i="8"/>
  <c r="Z308" i="8"/>
  <c r="Y308" i="8"/>
  <c r="X308" i="8"/>
  <c r="W308" i="8"/>
  <c r="V308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AD308" i="8" s="1"/>
  <c r="AE307" i="8"/>
  <c r="AC307" i="8"/>
  <c r="AB307" i="8"/>
  <c r="AA307" i="8"/>
  <c r="Z307" i="8"/>
  <c r="Y307" i="8"/>
  <c r="X307" i="8"/>
  <c r="W307" i="8"/>
  <c r="V307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AE306" i="8"/>
  <c r="AC306" i="8"/>
  <c r="AB306" i="8"/>
  <c r="AA306" i="8"/>
  <c r="Z306" i="8"/>
  <c r="Y306" i="8"/>
  <c r="X306" i="8"/>
  <c r="W306" i="8"/>
  <c r="V306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AD306" i="8"/>
  <c r="AE305" i="8"/>
  <c r="AC305" i="8"/>
  <c r="AB305" i="8"/>
  <c r="AA305" i="8"/>
  <c r="Z305" i="8"/>
  <c r="Y305" i="8"/>
  <c r="X305" i="8"/>
  <c r="W305" i="8"/>
  <c r="V305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AD305" i="8"/>
  <c r="AE304" i="8"/>
  <c r="AC304" i="8"/>
  <c r="AB304" i="8"/>
  <c r="AA304" i="8"/>
  <c r="Z304" i="8"/>
  <c r="Y304" i="8"/>
  <c r="X304" i="8"/>
  <c r="W304" i="8"/>
  <c r="V304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AD304" i="8"/>
  <c r="AE303" i="8"/>
  <c r="AC303" i="8"/>
  <c r="AB303" i="8"/>
  <c r="AA303" i="8"/>
  <c r="Z303" i="8"/>
  <c r="Y303" i="8"/>
  <c r="X303" i="8"/>
  <c r="W303" i="8"/>
  <c r="V303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AD303" i="8"/>
  <c r="AE302" i="8"/>
  <c r="AC302" i="8"/>
  <c r="AB302" i="8"/>
  <c r="AA302" i="8"/>
  <c r="Z302" i="8"/>
  <c r="Y302" i="8"/>
  <c r="X302" i="8"/>
  <c r="W302" i="8"/>
  <c r="V302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AD302" i="8"/>
  <c r="AE301" i="8"/>
  <c r="AC301" i="8"/>
  <c r="AB301" i="8"/>
  <c r="AA301" i="8"/>
  <c r="Z301" i="8"/>
  <c r="Y301" i="8"/>
  <c r="X301" i="8"/>
  <c r="W301" i="8"/>
  <c r="V301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AE300" i="8"/>
  <c r="AC300" i="8"/>
  <c r="AB300" i="8"/>
  <c r="AA300" i="8"/>
  <c r="Z300" i="8"/>
  <c r="Y300" i="8"/>
  <c r="X300" i="8"/>
  <c r="W300" i="8"/>
  <c r="V300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AD300" i="8" s="1"/>
  <c r="AE299" i="8"/>
  <c r="AC299" i="8"/>
  <c r="AB299" i="8"/>
  <c r="AA299" i="8"/>
  <c r="Z299" i="8"/>
  <c r="Y299" i="8"/>
  <c r="X299" i="8"/>
  <c r="W299" i="8"/>
  <c r="V299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AD299" i="8" s="1"/>
  <c r="AE298" i="8"/>
  <c r="AC298" i="8"/>
  <c r="AB298" i="8"/>
  <c r="AA298" i="8"/>
  <c r="Z298" i="8"/>
  <c r="Y298" i="8"/>
  <c r="X298" i="8"/>
  <c r="W298" i="8"/>
  <c r="V298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AD298" i="8" s="1"/>
  <c r="AE297" i="8"/>
  <c r="AC297" i="8"/>
  <c r="AB297" i="8"/>
  <c r="AA297" i="8"/>
  <c r="Z297" i="8"/>
  <c r="Y297" i="8"/>
  <c r="X297" i="8"/>
  <c r="W297" i="8"/>
  <c r="V297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AD297" i="8" s="1"/>
  <c r="AE296" i="8"/>
  <c r="AC296" i="8"/>
  <c r="AB296" i="8"/>
  <c r="AA296" i="8"/>
  <c r="Z296" i="8"/>
  <c r="Y296" i="8"/>
  <c r="X296" i="8"/>
  <c r="W296" i="8"/>
  <c r="V296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AD296" i="8" s="1"/>
  <c r="AE295" i="8"/>
  <c r="AC295" i="8"/>
  <c r="AB295" i="8"/>
  <c r="AA295" i="8"/>
  <c r="Z295" i="8"/>
  <c r="Y295" i="8"/>
  <c r="X295" i="8"/>
  <c r="W295" i="8"/>
  <c r="V295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AE294" i="8"/>
  <c r="AC294" i="8"/>
  <c r="AB294" i="8"/>
  <c r="AA294" i="8"/>
  <c r="Z294" i="8"/>
  <c r="Y294" i="8"/>
  <c r="X294" i="8"/>
  <c r="W294" i="8"/>
  <c r="V294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AD294" i="8"/>
  <c r="AE293" i="8"/>
  <c r="AC293" i="8"/>
  <c r="AB293" i="8"/>
  <c r="AA293" i="8"/>
  <c r="Z293" i="8"/>
  <c r="Y293" i="8"/>
  <c r="X293" i="8"/>
  <c r="W293" i="8"/>
  <c r="V293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AD293" i="8"/>
  <c r="AE292" i="8"/>
  <c r="AC292" i="8"/>
  <c r="AB292" i="8"/>
  <c r="AA292" i="8"/>
  <c r="Z292" i="8"/>
  <c r="Y292" i="8"/>
  <c r="X292" i="8"/>
  <c r="W292" i="8"/>
  <c r="V292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AD292" i="8"/>
  <c r="AE291" i="8"/>
  <c r="AC291" i="8"/>
  <c r="AB291" i="8"/>
  <c r="AA291" i="8"/>
  <c r="Z291" i="8"/>
  <c r="Y291" i="8"/>
  <c r="X291" i="8"/>
  <c r="W291" i="8"/>
  <c r="V291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AD291" i="8"/>
  <c r="AE290" i="8"/>
  <c r="AC290" i="8"/>
  <c r="AB290" i="8"/>
  <c r="AA290" i="8"/>
  <c r="Z290" i="8"/>
  <c r="Y290" i="8"/>
  <c r="X290" i="8"/>
  <c r="W290" i="8"/>
  <c r="V290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AD290" i="8"/>
  <c r="AE289" i="8"/>
  <c r="AC289" i="8"/>
  <c r="AB289" i="8"/>
  <c r="AA289" i="8"/>
  <c r="Z289" i="8"/>
  <c r="Y289" i="8"/>
  <c r="X289" i="8"/>
  <c r="W289" i="8"/>
  <c r="V289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AE288" i="8"/>
  <c r="AC288" i="8"/>
  <c r="AB288" i="8"/>
  <c r="AA288" i="8"/>
  <c r="Z288" i="8"/>
  <c r="Y288" i="8"/>
  <c r="X288" i="8"/>
  <c r="W288" i="8"/>
  <c r="V288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AD288" i="8" s="1"/>
  <c r="AE287" i="8"/>
  <c r="AC287" i="8"/>
  <c r="AB287" i="8"/>
  <c r="AA287" i="8"/>
  <c r="Z287" i="8"/>
  <c r="Y287" i="8"/>
  <c r="X287" i="8"/>
  <c r="W287" i="8"/>
  <c r="V287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AE286" i="8"/>
  <c r="AC286" i="8"/>
  <c r="AB286" i="8"/>
  <c r="AA286" i="8"/>
  <c r="Z286" i="8"/>
  <c r="Y286" i="8"/>
  <c r="X286" i="8"/>
  <c r="W286" i="8"/>
  <c r="V286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AD286" i="8"/>
  <c r="AE285" i="8"/>
  <c r="AC285" i="8"/>
  <c r="AB285" i="8"/>
  <c r="AA285" i="8"/>
  <c r="Z285" i="8"/>
  <c r="Y285" i="8"/>
  <c r="X285" i="8"/>
  <c r="W285" i="8"/>
  <c r="V285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AD285" i="8"/>
  <c r="AE284" i="8"/>
  <c r="AC284" i="8"/>
  <c r="AB284" i="8"/>
  <c r="AA284" i="8"/>
  <c r="Z284" i="8"/>
  <c r="Y284" i="8"/>
  <c r="X284" i="8"/>
  <c r="W284" i="8"/>
  <c r="V284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AD284" i="8"/>
  <c r="AE283" i="8"/>
  <c r="AC283" i="8"/>
  <c r="AB283" i="8"/>
  <c r="AA283" i="8"/>
  <c r="Z283" i="8"/>
  <c r="Y283" i="8"/>
  <c r="X283" i="8"/>
  <c r="W283" i="8"/>
  <c r="V283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AD283" i="8"/>
  <c r="AE282" i="8"/>
  <c r="AC282" i="8"/>
  <c r="AB282" i="8"/>
  <c r="AA282" i="8"/>
  <c r="Z282" i="8"/>
  <c r="Y282" i="8"/>
  <c r="X282" i="8"/>
  <c r="W282" i="8"/>
  <c r="V282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AD282" i="8"/>
  <c r="AE281" i="8"/>
  <c r="AC281" i="8"/>
  <c r="AB281" i="8"/>
  <c r="AA281" i="8"/>
  <c r="Z281" i="8"/>
  <c r="Y281" i="8"/>
  <c r="X281" i="8"/>
  <c r="W281" i="8"/>
  <c r="V281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AE280" i="8"/>
  <c r="AC280" i="8"/>
  <c r="AB280" i="8"/>
  <c r="AA280" i="8"/>
  <c r="Z280" i="8"/>
  <c r="Y280" i="8"/>
  <c r="X280" i="8"/>
  <c r="W280" i="8"/>
  <c r="V280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AD280" i="8" s="1"/>
  <c r="AE279" i="8"/>
  <c r="AC279" i="8"/>
  <c r="AB279" i="8"/>
  <c r="AA279" i="8"/>
  <c r="Z279" i="8"/>
  <c r="Y279" i="8"/>
  <c r="X279" i="8"/>
  <c r="W279" i="8"/>
  <c r="V279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AE278" i="8"/>
  <c r="AC278" i="8"/>
  <c r="AB278" i="8"/>
  <c r="AA278" i="8"/>
  <c r="Z278" i="8"/>
  <c r="Y278" i="8"/>
  <c r="X278" i="8"/>
  <c r="W278" i="8"/>
  <c r="V278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AD278" i="8"/>
  <c r="AE277" i="8"/>
  <c r="AC277" i="8"/>
  <c r="AB277" i="8"/>
  <c r="AA277" i="8"/>
  <c r="Z277" i="8"/>
  <c r="Y277" i="8"/>
  <c r="X277" i="8"/>
  <c r="W277" i="8"/>
  <c r="V277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AD277" i="8"/>
  <c r="AE276" i="8"/>
  <c r="AC276" i="8"/>
  <c r="AB276" i="8"/>
  <c r="AA276" i="8"/>
  <c r="Z276" i="8"/>
  <c r="Y276" i="8"/>
  <c r="X276" i="8"/>
  <c r="W276" i="8"/>
  <c r="V276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AD276" i="8"/>
  <c r="AE275" i="8"/>
  <c r="AC275" i="8"/>
  <c r="AB275" i="8"/>
  <c r="AA275" i="8"/>
  <c r="Z275" i="8"/>
  <c r="Y275" i="8"/>
  <c r="X275" i="8"/>
  <c r="W275" i="8"/>
  <c r="V275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AD275" i="8"/>
  <c r="AE274" i="8"/>
  <c r="AC274" i="8"/>
  <c r="AB274" i="8"/>
  <c r="AA274" i="8"/>
  <c r="Z274" i="8"/>
  <c r="Y274" i="8"/>
  <c r="X274" i="8"/>
  <c r="W274" i="8"/>
  <c r="V274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AD274" i="8"/>
  <c r="AE273" i="8"/>
  <c r="AC273" i="8"/>
  <c r="AB273" i="8"/>
  <c r="AA273" i="8"/>
  <c r="Z273" i="8"/>
  <c r="Y273" i="8"/>
  <c r="X273" i="8"/>
  <c r="W273" i="8"/>
  <c r="V273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AD273" i="8"/>
  <c r="AE272" i="8"/>
  <c r="AC272" i="8"/>
  <c r="AB272" i="8"/>
  <c r="AA272" i="8"/>
  <c r="Z272" i="8"/>
  <c r="Y272" i="8"/>
  <c r="X272" i="8"/>
  <c r="W272" i="8"/>
  <c r="V272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AD272" i="8"/>
  <c r="AE271" i="8"/>
  <c r="AC271" i="8"/>
  <c r="AB271" i="8"/>
  <c r="AA271" i="8"/>
  <c r="Z271" i="8"/>
  <c r="Y271" i="8"/>
  <c r="X271" i="8"/>
  <c r="W271" i="8"/>
  <c r="V271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AD271" i="8"/>
  <c r="AE270" i="8"/>
  <c r="AC270" i="8"/>
  <c r="AB270" i="8"/>
  <c r="AA270" i="8"/>
  <c r="Z270" i="8"/>
  <c r="Y270" i="8"/>
  <c r="X270" i="8"/>
  <c r="W270" i="8"/>
  <c r="V270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AD270" i="8"/>
  <c r="AE269" i="8"/>
  <c r="AC269" i="8"/>
  <c r="AB269" i="8"/>
  <c r="AA269" i="8"/>
  <c r="Z269" i="8"/>
  <c r="Y269" i="8"/>
  <c r="X269" i="8"/>
  <c r="W269" i="8"/>
  <c r="V269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AD269" i="8"/>
  <c r="AE268" i="8"/>
  <c r="AC268" i="8"/>
  <c r="AB268" i="8"/>
  <c r="AA268" i="8"/>
  <c r="Z268" i="8"/>
  <c r="Y268" i="8"/>
  <c r="X268" i="8"/>
  <c r="W268" i="8"/>
  <c r="V268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AD268" i="8"/>
  <c r="AE267" i="8"/>
  <c r="AC267" i="8"/>
  <c r="AB267" i="8"/>
  <c r="AA267" i="8"/>
  <c r="Z267" i="8"/>
  <c r="Y267" i="8"/>
  <c r="X267" i="8"/>
  <c r="W267" i="8"/>
  <c r="V267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AE266" i="8"/>
  <c r="AC266" i="8"/>
  <c r="AB266" i="8"/>
  <c r="AA266" i="8"/>
  <c r="Z266" i="8"/>
  <c r="Y266" i="8"/>
  <c r="X266" i="8"/>
  <c r="W266" i="8"/>
  <c r="V266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AD266" i="8" s="1"/>
  <c r="AE265" i="8"/>
  <c r="AC265" i="8"/>
  <c r="AB265" i="8"/>
  <c r="AA265" i="8"/>
  <c r="Z265" i="8"/>
  <c r="Y265" i="8"/>
  <c r="X265" i="8"/>
  <c r="W265" i="8"/>
  <c r="V265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AE264" i="8"/>
  <c r="AC264" i="8"/>
  <c r="AB264" i="8"/>
  <c r="AA264" i="8"/>
  <c r="Z264" i="8"/>
  <c r="Y264" i="8"/>
  <c r="X264" i="8"/>
  <c r="W264" i="8"/>
  <c r="V264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AD264" i="8"/>
  <c r="AE263" i="8"/>
  <c r="AC263" i="8"/>
  <c r="AB263" i="8"/>
  <c r="AA263" i="8"/>
  <c r="Z263" i="8"/>
  <c r="Y263" i="8"/>
  <c r="X263" i="8"/>
  <c r="W263" i="8"/>
  <c r="V263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AD263" i="8"/>
  <c r="AE262" i="8"/>
  <c r="AC262" i="8"/>
  <c r="AB262" i="8"/>
  <c r="AA262" i="8"/>
  <c r="Z262" i="8"/>
  <c r="Y262" i="8"/>
  <c r="X262" i="8"/>
  <c r="W262" i="8"/>
  <c r="V262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AD262" i="8"/>
  <c r="AE261" i="8"/>
  <c r="AC261" i="8"/>
  <c r="AB261" i="8"/>
  <c r="AA261" i="8"/>
  <c r="Z261" i="8"/>
  <c r="Y261" i="8"/>
  <c r="X261" i="8"/>
  <c r="W261" i="8"/>
  <c r="V261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AD261" i="8"/>
  <c r="AE260" i="8"/>
  <c r="AC260" i="8"/>
  <c r="AB260" i="8"/>
  <c r="AA260" i="8"/>
  <c r="Z260" i="8"/>
  <c r="Y260" i="8"/>
  <c r="X260" i="8"/>
  <c r="W260" i="8"/>
  <c r="V260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AD260" i="8"/>
  <c r="AE259" i="8"/>
  <c r="AC259" i="8"/>
  <c r="AB259" i="8"/>
  <c r="AA259" i="8"/>
  <c r="Z259" i="8"/>
  <c r="Y259" i="8"/>
  <c r="X259" i="8"/>
  <c r="W259" i="8"/>
  <c r="V259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AD259" i="8"/>
  <c r="AE258" i="8"/>
  <c r="AC258" i="8"/>
  <c r="AB258" i="8"/>
  <c r="AA258" i="8"/>
  <c r="Z258" i="8"/>
  <c r="Y258" i="8"/>
  <c r="X258" i="8"/>
  <c r="W258" i="8"/>
  <c r="V258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AD258" i="8"/>
  <c r="AE257" i="8"/>
  <c r="AC257" i="8"/>
  <c r="AB257" i="8"/>
  <c r="AA257" i="8"/>
  <c r="Z257" i="8"/>
  <c r="Y257" i="8"/>
  <c r="X257" i="8"/>
  <c r="W257" i="8"/>
  <c r="V257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AD257" i="8"/>
  <c r="AE256" i="8"/>
  <c r="AC256" i="8"/>
  <c r="AB256" i="8"/>
  <c r="AA256" i="8"/>
  <c r="Z256" i="8"/>
  <c r="Y256" i="8"/>
  <c r="X256" i="8"/>
  <c r="W256" i="8"/>
  <c r="V256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AD256" i="8"/>
  <c r="AE255" i="8"/>
  <c r="AC255" i="8"/>
  <c r="AB255" i="8"/>
  <c r="AA255" i="8"/>
  <c r="Z255" i="8"/>
  <c r="Y255" i="8"/>
  <c r="X255" i="8"/>
  <c r="W255" i="8"/>
  <c r="V255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AD255" i="8"/>
  <c r="AE254" i="8"/>
  <c r="AC254" i="8"/>
  <c r="AB254" i="8"/>
  <c r="AA254" i="8"/>
  <c r="Z254" i="8"/>
  <c r="Y254" i="8"/>
  <c r="X254" i="8"/>
  <c r="W254" i="8"/>
  <c r="V254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AD254" i="8"/>
  <c r="AE253" i="8"/>
  <c r="AC253" i="8"/>
  <c r="AB253" i="8"/>
  <c r="AA253" i="8"/>
  <c r="Z253" i="8"/>
  <c r="Y253" i="8"/>
  <c r="X253" i="8"/>
  <c r="W253" i="8"/>
  <c r="V253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AD253" i="8"/>
  <c r="AE252" i="8"/>
  <c r="AC252" i="8"/>
  <c r="AB252" i="8"/>
  <c r="AA252" i="8"/>
  <c r="Z252" i="8"/>
  <c r="Y252" i="8"/>
  <c r="X252" i="8"/>
  <c r="W252" i="8"/>
  <c r="V252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AE251" i="8"/>
  <c r="AC251" i="8"/>
  <c r="AB251" i="8"/>
  <c r="AA251" i="8"/>
  <c r="Z251" i="8"/>
  <c r="Y251" i="8"/>
  <c r="X251" i="8"/>
  <c r="W251" i="8"/>
  <c r="V251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AD251" i="8" s="1"/>
  <c r="AE250" i="8"/>
  <c r="AC250" i="8"/>
  <c r="AB250" i="8"/>
  <c r="AA250" i="8"/>
  <c r="Z250" i="8"/>
  <c r="Y250" i="8"/>
  <c r="X250" i="8"/>
  <c r="W250" i="8"/>
  <c r="V250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AE249" i="8"/>
  <c r="AC249" i="8"/>
  <c r="AB249" i="8"/>
  <c r="AA249" i="8"/>
  <c r="Z249" i="8"/>
  <c r="Y249" i="8"/>
  <c r="X249" i="8"/>
  <c r="W249" i="8"/>
  <c r="V249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AD249" i="8"/>
  <c r="AE248" i="8"/>
  <c r="AC248" i="8"/>
  <c r="AB248" i="8"/>
  <c r="AA248" i="8"/>
  <c r="Z248" i="8"/>
  <c r="Y248" i="8"/>
  <c r="X248" i="8"/>
  <c r="W248" i="8"/>
  <c r="V248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AD248" i="8"/>
  <c r="AE247" i="8"/>
  <c r="AC247" i="8"/>
  <c r="AB247" i="8"/>
  <c r="AA247" i="8"/>
  <c r="Z247" i="8"/>
  <c r="Y247" i="8"/>
  <c r="X247" i="8"/>
  <c r="W247" i="8"/>
  <c r="V247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AD247" i="8"/>
  <c r="AE246" i="8"/>
  <c r="AC246" i="8"/>
  <c r="AB246" i="8"/>
  <c r="AA246" i="8"/>
  <c r="Z246" i="8"/>
  <c r="Y246" i="8"/>
  <c r="X246" i="8"/>
  <c r="W246" i="8"/>
  <c r="V246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AD246" i="8"/>
  <c r="AE245" i="8"/>
  <c r="AC245" i="8"/>
  <c r="AB245" i="8"/>
  <c r="AA245" i="8"/>
  <c r="Z245" i="8"/>
  <c r="Y245" i="8"/>
  <c r="X245" i="8"/>
  <c r="W245" i="8"/>
  <c r="V245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AD245" i="8"/>
  <c r="AE244" i="8"/>
  <c r="AC244" i="8"/>
  <c r="AB244" i="8"/>
  <c r="AA244" i="8"/>
  <c r="Z244" i="8"/>
  <c r="Y244" i="8"/>
  <c r="X244" i="8"/>
  <c r="W244" i="8"/>
  <c r="V244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AD244" i="8"/>
  <c r="AE243" i="8"/>
  <c r="AC243" i="8"/>
  <c r="AB243" i="8"/>
  <c r="AA243" i="8"/>
  <c r="Z243" i="8"/>
  <c r="Y243" i="8"/>
  <c r="X243" i="8"/>
  <c r="W243" i="8"/>
  <c r="V243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AE242" i="8"/>
  <c r="AC242" i="8"/>
  <c r="AB242" i="8"/>
  <c r="AA242" i="8"/>
  <c r="Z242" i="8"/>
  <c r="Y242" i="8"/>
  <c r="X242" i="8"/>
  <c r="W242" i="8"/>
  <c r="V242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AD242" i="8" s="1"/>
  <c r="AE241" i="8"/>
  <c r="AC241" i="8"/>
  <c r="AB241" i="8"/>
  <c r="AA241" i="8"/>
  <c r="Z241" i="8"/>
  <c r="Y241" i="8"/>
  <c r="X241" i="8"/>
  <c r="W241" i="8"/>
  <c r="V241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AD241" i="8" s="1"/>
  <c r="AE240" i="8"/>
  <c r="AC240" i="8"/>
  <c r="AB240" i="8"/>
  <c r="AA240" i="8"/>
  <c r="Z240" i="8"/>
  <c r="Y240" i="8"/>
  <c r="X240" i="8"/>
  <c r="W240" i="8"/>
  <c r="V240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AD240" i="8" s="1"/>
  <c r="AE239" i="8"/>
  <c r="AC239" i="8"/>
  <c r="AB239" i="8"/>
  <c r="AA239" i="8"/>
  <c r="Z239" i="8"/>
  <c r="Y239" i="8"/>
  <c r="X239" i="8"/>
  <c r="W239" i="8"/>
  <c r="V239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AD239" i="8" s="1"/>
  <c r="AE238" i="8"/>
  <c r="AC238" i="8"/>
  <c r="AB238" i="8"/>
  <c r="AA238" i="8"/>
  <c r="Z238" i="8"/>
  <c r="Y238" i="8"/>
  <c r="X238" i="8"/>
  <c r="W238" i="8"/>
  <c r="V238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AE237" i="8"/>
  <c r="AC237" i="8"/>
  <c r="AB237" i="8"/>
  <c r="AA237" i="8"/>
  <c r="Z237" i="8"/>
  <c r="Y237" i="8"/>
  <c r="X237" i="8"/>
  <c r="W237" i="8"/>
  <c r="V237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AD237" i="8"/>
  <c r="AE236" i="8"/>
  <c r="AC236" i="8"/>
  <c r="AB236" i="8"/>
  <c r="AA236" i="8"/>
  <c r="Z236" i="8"/>
  <c r="Y236" i="8"/>
  <c r="X236" i="8"/>
  <c r="W236" i="8"/>
  <c r="V236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AD236" i="8"/>
  <c r="AE235" i="8"/>
  <c r="AC235" i="8"/>
  <c r="AB235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AD235" i="8"/>
  <c r="AE234" i="8"/>
  <c r="AC234" i="8"/>
  <c r="AB234" i="8"/>
  <c r="AA234" i="8"/>
  <c r="Z234" i="8"/>
  <c r="Y234" i="8"/>
  <c r="X234" i="8"/>
  <c r="W234" i="8"/>
  <c r="V234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AD234" i="8"/>
  <c r="AE233" i="8"/>
  <c r="AC233" i="8"/>
  <c r="AB233" i="8"/>
  <c r="AA233" i="8"/>
  <c r="Z233" i="8"/>
  <c r="Y233" i="8"/>
  <c r="X233" i="8"/>
  <c r="W233" i="8"/>
  <c r="V233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AD233" i="8"/>
  <c r="AE232" i="8"/>
  <c r="AC232" i="8"/>
  <c r="AB232" i="8"/>
  <c r="AA232" i="8"/>
  <c r="Z232" i="8"/>
  <c r="Y232" i="8"/>
  <c r="X232" i="8"/>
  <c r="W232" i="8"/>
  <c r="V232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AD232" i="8"/>
  <c r="AE231" i="8"/>
  <c r="AC231" i="8"/>
  <c r="AB231" i="8"/>
  <c r="AA231" i="8"/>
  <c r="Z231" i="8"/>
  <c r="Y231" i="8"/>
  <c r="X231" i="8"/>
  <c r="W231" i="8"/>
  <c r="V231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AE230" i="8"/>
  <c r="AC230" i="8"/>
  <c r="AB230" i="8"/>
  <c r="AA230" i="8"/>
  <c r="Z230" i="8"/>
  <c r="Y230" i="8"/>
  <c r="X230" i="8"/>
  <c r="W230" i="8"/>
  <c r="V230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AD230" i="8" s="1"/>
  <c r="AE229" i="8"/>
  <c r="AC229" i="8"/>
  <c r="AB229" i="8"/>
  <c r="AA229" i="8"/>
  <c r="Z229" i="8"/>
  <c r="Y229" i="8"/>
  <c r="X229" i="8"/>
  <c r="W229" i="8"/>
  <c r="V229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AD229" i="8" s="1"/>
  <c r="AE228" i="8"/>
  <c r="AC228" i="8"/>
  <c r="AB228" i="8"/>
  <c r="AA228" i="8"/>
  <c r="Z228" i="8"/>
  <c r="Y228" i="8"/>
  <c r="X228" i="8"/>
  <c r="W228" i="8"/>
  <c r="V228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AD228" i="8" s="1"/>
  <c r="AE227" i="8"/>
  <c r="AC227" i="8"/>
  <c r="AB227" i="8"/>
  <c r="AA227" i="8"/>
  <c r="Z227" i="8"/>
  <c r="Y227" i="8"/>
  <c r="X227" i="8"/>
  <c r="W227" i="8"/>
  <c r="V227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AD227" i="8" s="1"/>
  <c r="AE226" i="8"/>
  <c r="AC226" i="8"/>
  <c r="AB226" i="8"/>
  <c r="AA226" i="8"/>
  <c r="Z226" i="8"/>
  <c r="Y226" i="8"/>
  <c r="X226" i="8"/>
  <c r="W226" i="8"/>
  <c r="V226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AD226" i="8" s="1"/>
  <c r="AE225" i="8"/>
  <c r="AC225" i="8"/>
  <c r="AB225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AD225" i="8" s="1"/>
  <c r="AE224" i="8"/>
  <c r="AC224" i="8"/>
  <c r="AB224" i="8"/>
  <c r="AA224" i="8"/>
  <c r="Z224" i="8"/>
  <c r="Y224" i="8"/>
  <c r="X224" i="8"/>
  <c r="W224" i="8"/>
  <c r="V224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AD224" i="8" s="1"/>
  <c r="AE223" i="8"/>
  <c r="AC223" i="8"/>
  <c r="AB223" i="8"/>
  <c r="AA223" i="8"/>
  <c r="Z223" i="8"/>
  <c r="Y223" i="8"/>
  <c r="X223" i="8"/>
  <c r="W223" i="8"/>
  <c r="V223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AD223" i="8" s="1"/>
  <c r="AE222" i="8"/>
  <c r="AC222" i="8"/>
  <c r="AB222" i="8"/>
  <c r="AA222" i="8"/>
  <c r="Z222" i="8"/>
  <c r="Y222" i="8"/>
  <c r="X222" i="8"/>
  <c r="W222" i="8"/>
  <c r="V222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AD222" i="8" s="1"/>
  <c r="AE221" i="8"/>
  <c r="AC221" i="8"/>
  <c r="AB221" i="8"/>
  <c r="AA221" i="8"/>
  <c r="Z221" i="8"/>
  <c r="Y221" i="8"/>
  <c r="X221" i="8"/>
  <c r="W221" i="8"/>
  <c r="V221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AE220" i="8"/>
  <c r="AC220" i="8"/>
  <c r="AB220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AD220" i="8"/>
  <c r="AE219" i="8"/>
  <c r="AC219" i="8"/>
  <c r="AB219" i="8"/>
  <c r="AA219" i="8"/>
  <c r="Z219" i="8"/>
  <c r="Y219" i="8"/>
  <c r="X219" i="8"/>
  <c r="W219" i="8"/>
  <c r="V219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AD219" i="8"/>
  <c r="AE218" i="8"/>
  <c r="AC218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AD218" i="8"/>
  <c r="AE217" i="8"/>
  <c r="AC217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AE216" i="8"/>
  <c r="AC216" i="8"/>
  <c r="AB216" i="8"/>
  <c r="AA216" i="8"/>
  <c r="Z216" i="8"/>
  <c r="Y216" i="8"/>
  <c r="X216" i="8"/>
  <c r="W216" i="8"/>
  <c r="V216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AD216" i="8" s="1"/>
  <c r="AE215" i="8"/>
  <c r="AC215" i="8"/>
  <c r="AB215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AD215" i="8" s="1"/>
  <c r="AE214" i="8"/>
  <c r="AC214" i="8"/>
  <c r="AB214" i="8"/>
  <c r="AA214" i="8"/>
  <c r="Z214" i="8"/>
  <c r="Y214" i="8"/>
  <c r="X214" i="8"/>
  <c r="W214" i="8"/>
  <c r="V214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AD214" i="8" s="1"/>
  <c r="AE213" i="8"/>
  <c r="AC213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AD213" i="8" s="1"/>
  <c r="AE212" i="8"/>
  <c r="AC212" i="8"/>
  <c r="AB212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AD212" i="8" s="1"/>
  <c r="AE211" i="8"/>
  <c r="AC211" i="8"/>
  <c r="AB211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AD211" i="8" s="1"/>
  <c r="AE210" i="8"/>
  <c r="AC210" i="8"/>
  <c r="AB210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AD210" i="8" s="1"/>
  <c r="AE209" i="8"/>
  <c r="AC209" i="8"/>
  <c r="AB209" i="8"/>
  <c r="AA209" i="8"/>
  <c r="Z209" i="8"/>
  <c r="Y209" i="8"/>
  <c r="X209" i="8"/>
  <c r="W209" i="8"/>
  <c r="V209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AD209" i="8" s="1"/>
  <c r="AE208" i="8"/>
  <c r="AC208" i="8"/>
  <c r="AB208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AD208" i="8" s="1"/>
  <c r="AE207" i="8"/>
  <c r="AC207" i="8"/>
  <c r="AB207" i="8"/>
  <c r="AA207" i="8"/>
  <c r="Z207" i="8"/>
  <c r="Y207" i="8"/>
  <c r="X207" i="8"/>
  <c r="W207" i="8"/>
  <c r="V207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AD207" i="8" s="1"/>
  <c r="AE206" i="8"/>
  <c r="AC206" i="8"/>
  <c r="AB206" i="8"/>
  <c r="AA206" i="8"/>
  <c r="Z206" i="8"/>
  <c r="Y206" i="8"/>
  <c r="X206" i="8"/>
  <c r="W206" i="8"/>
  <c r="V206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AD206" i="8" s="1"/>
  <c r="AE205" i="8"/>
  <c r="AC205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AD205" i="8" s="1"/>
  <c r="AE204" i="8"/>
  <c r="AC204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AD204" i="8" s="1"/>
  <c r="AE203" i="8"/>
  <c r="AC203" i="8"/>
  <c r="AB203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AD203" i="8" s="1"/>
  <c r="AE202" i="8"/>
  <c r="AC202" i="8"/>
  <c r="AB202" i="8"/>
  <c r="AA202" i="8"/>
  <c r="Z202" i="8"/>
  <c r="Y202" i="8"/>
  <c r="X202" i="8"/>
  <c r="W202" i="8"/>
  <c r="V202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AD202" i="8" s="1"/>
  <c r="AE201" i="8"/>
  <c r="AC201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AE200" i="8"/>
  <c r="AC200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AD200" i="8"/>
  <c r="AE199" i="8"/>
  <c r="AC199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AE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AD198" i="8" s="1"/>
  <c r="AE197" i="8"/>
  <c r="AC197" i="8"/>
  <c r="AB197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AE196" i="8"/>
  <c r="AC196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AD196" i="8"/>
  <c r="AE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AD195" i="8"/>
  <c r="AE194" i="8"/>
  <c r="AC194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AD194" i="8"/>
  <c r="AE193" i="8"/>
  <c r="AC193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AE192" i="8"/>
  <c r="AC192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AD192" i="8" s="1"/>
  <c r="AE191" i="8"/>
  <c r="AC191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AE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AD190" i="8"/>
  <c r="AE189" i="8"/>
  <c r="AC189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AE188" i="8"/>
  <c r="AC188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AD188" i="8" s="1"/>
  <c r="AE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AE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AD186" i="8"/>
  <c r="AE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AE184" i="8"/>
  <c r="AC184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AD184" i="8" s="1"/>
  <c r="AE183" i="8"/>
  <c r="AC183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AD183" i="8" s="1"/>
  <c r="AE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AD182" i="8" s="1"/>
  <c r="AE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AE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AD180" i="8"/>
  <c r="AE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AD179" i="8"/>
  <c r="AE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AE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AD177" i="8" s="1"/>
  <c r="AE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AD176" i="8" s="1"/>
  <c r="AE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AE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AD174" i="8"/>
  <c r="AE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AE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AD172" i="8" s="1"/>
  <c r="AE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AD171" i="8" s="1"/>
  <c r="AE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AD170" i="8" s="1"/>
  <c r="AE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AD169" i="8" s="1"/>
  <c r="AE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AE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AD167" i="8"/>
  <c r="AE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AE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AD165" i="8" s="1"/>
  <c r="AE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AE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AD163" i="8"/>
  <c r="AE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AE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AD161" i="8" s="1"/>
  <c r="AE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AD160" i="8" s="1"/>
  <c r="AE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AD159" i="8" s="1"/>
  <c r="AE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AD158" i="8" s="1"/>
  <c r="AE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AD157" i="8" s="1"/>
  <c r="AE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AD156" i="8" s="1"/>
  <c r="AE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AE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AD154" i="8"/>
  <c r="AE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AD153" i="8"/>
  <c r="AE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AD152" i="8"/>
  <c r="AE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AE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AD150" i="8" s="1"/>
  <c r="AE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AD149" i="8" s="1"/>
  <c r="AE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AD148" i="8" s="1"/>
  <c r="AE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AD147" i="8" s="1"/>
  <c r="AE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AD146" i="8" s="1"/>
  <c r="AE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AD145" i="8" s="1"/>
  <c r="AE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AD144" i="8" s="1"/>
  <c r="AE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AD143" i="8" s="1"/>
  <c r="AE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AD142" i="8" s="1"/>
  <c r="AE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AD141" i="8" s="1"/>
  <c r="AE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AD140" i="8" s="1"/>
  <c r="AE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AD139" i="8" s="1"/>
  <c r="AE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AD138" i="8" s="1"/>
  <c r="AE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AD137" i="8" s="1"/>
  <c r="AE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AD136" i="8" s="1"/>
  <c r="AE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AD135" i="8" s="1"/>
  <c r="AE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AD134" i="8" s="1"/>
  <c r="AE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AD133" i="8" s="1"/>
  <c r="AE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AD132" i="8" s="1"/>
  <c r="AE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AD131" i="8" s="1"/>
  <c r="AE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AD130" i="8" s="1"/>
  <c r="AE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AD129" i="8" s="1"/>
  <c r="AE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AD128" i="8" s="1"/>
  <c r="AE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AE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AD126" i="8"/>
  <c r="AE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AE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AD124" i="8" s="1"/>
  <c r="AE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AE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AD122" i="8"/>
  <c r="AE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AD121" i="8"/>
  <c r="AE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AD120" i="8"/>
  <c r="AE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AD119" i="8"/>
  <c r="AE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AD118" i="8"/>
  <c r="AE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AD117" i="8"/>
  <c r="AE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AD116" i="8"/>
  <c r="AE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AE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AD114" i="8" s="1"/>
  <c r="AE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AE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AD112" i="8"/>
  <c r="AE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AD111" i="8"/>
  <c r="AE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AD110" i="8"/>
  <c r="AE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AD109" i="8"/>
  <c r="AE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AD108" i="8"/>
  <c r="AE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AE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AD106" i="8" s="1"/>
  <c r="AE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AE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AD104" i="8"/>
  <c r="AE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AD103" i="8"/>
  <c r="AE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AD102" i="8"/>
  <c r="AE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AD101" i="8"/>
  <c r="AE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AD100" i="8"/>
  <c r="AE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AE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AD98" i="8" s="1"/>
  <c r="AE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AE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AD96" i="8"/>
  <c r="AE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AE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AD94" i="8" s="1"/>
  <c r="AE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AE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AD92" i="8"/>
  <c r="AE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AE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AD90" i="8" s="1"/>
  <c r="AE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AE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AD88" i="8"/>
  <c r="AE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AE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AD86" i="8" s="1"/>
  <c r="AE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AE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AD84" i="8"/>
  <c r="AE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AE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AD82" i="8" s="1"/>
  <c r="AE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AD81" i="8" s="1"/>
  <c r="AE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AD80" i="8" s="1"/>
  <c r="AE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AD79" i="8" s="1"/>
  <c r="AE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AD78" i="8" s="1"/>
  <c r="AE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AE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AE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AD75" i="8" s="1"/>
  <c r="AE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AD74" i="8" s="1"/>
  <c r="AE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AD73" i="8" s="1"/>
  <c r="AE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AD72" i="8" s="1"/>
  <c r="AE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AD71" i="8" s="1"/>
  <c r="AE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AD70" i="8" s="1"/>
  <c r="AE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AE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AD68" i="8"/>
  <c r="AE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AD67" i="8"/>
  <c r="AE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AD66" i="8"/>
  <c r="AE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AE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AD64" i="8" s="1"/>
  <c r="AE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AE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AD62" i="8"/>
  <c r="AE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AD61" i="8"/>
  <c r="AE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AD60" i="8"/>
  <c r="AE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AD59" i="8"/>
  <c r="AE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AD58" i="8"/>
  <c r="AE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AE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AD56" i="8" s="1"/>
  <c r="AE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AE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AD54" i="8"/>
  <c r="AE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AD53" i="8"/>
  <c r="AE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AD52" i="8"/>
  <c r="AE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AD51" i="8"/>
  <c r="AE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AD50" i="8"/>
  <c r="AE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AD49" i="8"/>
  <c r="AE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AD48" i="8"/>
  <c r="AE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AD47" i="8"/>
  <c r="AE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AD46" i="8"/>
  <c r="AE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AE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AD44" i="8" s="1"/>
  <c r="AE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AE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AD42" i="8"/>
  <c r="AE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AD41" i="8"/>
  <c r="AE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AD40" i="8"/>
  <c r="AE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AE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AD38" i="8" s="1"/>
  <c r="AE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AD37" i="8" s="1"/>
  <c r="AE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AD36" i="8" s="1"/>
  <c r="AE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AD35" i="8" s="1"/>
  <c r="AE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AD34" i="8" s="1"/>
  <c r="AE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AD33" i="8" s="1"/>
  <c r="AE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AE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AD31" i="8"/>
  <c r="AE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AE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AD29" i="8" s="1"/>
  <c r="AE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AD28" i="8" s="1"/>
  <c r="AE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AD27" i="8" s="1"/>
  <c r="AE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AD26" i="8" s="1"/>
  <c r="AE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AE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AD24" i="8"/>
  <c r="AE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AE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AD22" i="8" s="1"/>
  <c r="AE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AE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AD20" i="8"/>
  <c r="AE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AD19" i="8"/>
  <c r="AE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AD18" i="8"/>
  <c r="AE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AE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AD16" i="8" s="1"/>
  <c r="AE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AE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AD14" i="8"/>
  <c r="AE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AD13" i="8"/>
  <c r="AE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AD12" i="8"/>
  <c r="AE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AE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AD10" i="8" s="1"/>
  <c r="AE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AD9" i="8" s="1"/>
  <c r="AE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AD8" i="8" s="1"/>
  <c r="AE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AE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AD6" i="8"/>
  <c r="AE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AD5" i="8"/>
  <c r="AE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AD4" i="8"/>
  <c r="AE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AD3" i="8"/>
  <c r="AE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 s="1"/>
  <c r="AD2" i="8" s="1"/>
  <c r="AE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AD1" i="8" s="1"/>
  <c r="AE365" i="7"/>
  <c r="AC365" i="7"/>
  <c r="AB365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AD365" i="7" s="1"/>
  <c r="AE364" i="7"/>
  <c r="AC364" i="7"/>
  <c r="AB364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AE363" i="7"/>
  <c r="AC363" i="7"/>
  <c r="AB363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AD363" i="7"/>
  <c r="AE362" i="7"/>
  <c r="AC362" i="7"/>
  <c r="AB362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AD362" i="7"/>
  <c r="AE361" i="7"/>
  <c r="AC361" i="7"/>
  <c r="AB361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AD361" i="7"/>
  <c r="AE360" i="7"/>
  <c r="AC360" i="7"/>
  <c r="AB360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AD360" i="7"/>
  <c r="AE359" i="7"/>
  <c r="AC359" i="7"/>
  <c r="AB359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AE358" i="7"/>
  <c r="AC358" i="7"/>
  <c r="AB358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AD358" i="7" s="1"/>
  <c r="AE357" i="7"/>
  <c r="AC357" i="7"/>
  <c r="AB357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AD357" i="7" s="1"/>
  <c r="AE356" i="7"/>
  <c r="AC356" i="7"/>
  <c r="AB356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AD356" i="7" s="1"/>
  <c r="AE355" i="7"/>
  <c r="AC355" i="7"/>
  <c r="AB355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AD355" i="7" s="1"/>
  <c r="AE354" i="7"/>
  <c r="AC354" i="7"/>
  <c r="AB354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AD354" i="7" s="1"/>
  <c r="AE353" i="7"/>
  <c r="AC353" i="7"/>
  <c r="AB353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AD353" i="7" s="1"/>
  <c r="AE352" i="7"/>
  <c r="AC352" i="7"/>
  <c r="AB352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AD352" i="7" s="1"/>
  <c r="AE351" i="7"/>
  <c r="AC351" i="7"/>
  <c r="AB351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AD351" i="7" s="1"/>
  <c r="AE350" i="7"/>
  <c r="AC350" i="7"/>
  <c r="AB350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AD350" i="7" s="1"/>
  <c r="AE349" i="7"/>
  <c r="AC349" i="7"/>
  <c r="AB349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AE348" i="7"/>
  <c r="AC348" i="7"/>
  <c r="AB348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AD348" i="7"/>
  <c r="AE347" i="7"/>
  <c r="AC347" i="7"/>
  <c r="AB347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AD347" i="7"/>
  <c r="AE346" i="7"/>
  <c r="AC346" i="7"/>
  <c r="AB346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AD346" i="7"/>
  <c r="AE345" i="7"/>
  <c r="AC345" i="7"/>
  <c r="AB345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AD345" i="7"/>
  <c r="AE344" i="7"/>
  <c r="AC344" i="7"/>
  <c r="AB344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AD344" i="7"/>
  <c r="AE343" i="7"/>
  <c r="AC343" i="7"/>
  <c r="AB343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AD343" i="7"/>
  <c r="AE342" i="7"/>
  <c r="AC342" i="7"/>
  <c r="AB342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AD342" i="7"/>
  <c r="AE341" i="7"/>
  <c r="AC341" i="7"/>
  <c r="AB341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AD341" i="7"/>
  <c r="AE340" i="7"/>
  <c r="AC340" i="7"/>
  <c r="AB340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AD340" i="7"/>
  <c r="AE339" i="7"/>
  <c r="AC339" i="7"/>
  <c r="AB339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AD339" i="7"/>
  <c r="AE338" i="7"/>
  <c r="AC338" i="7"/>
  <c r="AB338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AE337" i="7"/>
  <c r="AC337" i="7"/>
  <c r="AB337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AD337" i="7" s="1"/>
  <c r="AE336" i="7"/>
  <c r="AC336" i="7"/>
  <c r="AB336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AE335" i="7"/>
  <c r="AC335" i="7"/>
  <c r="AB335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AD335" i="7"/>
  <c r="AE334" i="7"/>
  <c r="AC334" i="7"/>
  <c r="AB334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AE333" i="7"/>
  <c r="AC333" i="7"/>
  <c r="AB333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AD333" i="7" s="1"/>
  <c r="AE332" i="7"/>
  <c r="AC332" i="7"/>
  <c r="AB332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AE331" i="7"/>
  <c r="AC331" i="7"/>
  <c r="AB331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AD331" i="7"/>
  <c r="AE330" i="7"/>
  <c r="AC330" i="7"/>
  <c r="AB330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AD330" i="7"/>
  <c r="AE329" i="7"/>
  <c r="AC329" i="7"/>
  <c r="AB329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AE328" i="7"/>
  <c r="AC328" i="7"/>
  <c r="AB328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AD328" i="7" s="1"/>
  <c r="AE327" i="7"/>
  <c r="AC327" i="7"/>
  <c r="AB327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AE326" i="7"/>
  <c r="AC326" i="7"/>
  <c r="AB326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AD326" i="7"/>
  <c r="AE325" i="7"/>
  <c r="AC325" i="7"/>
  <c r="AB325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AD325" i="7"/>
  <c r="AE324" i="7"/>
  <c r="AC324" i="7"/>
  <c r="AB324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AD324" i="7"/>
  <c r="AE323" i="7"/>
  <c r="AC323" i="7"/>
  <c r="AB323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AD323" i="7"/>
  <c r="AE322" i="7"/>
  <c r="AC322" i="7"/>
  <c r="AB322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AD322" i="7"/>
  <c r="AE321" i="7"/>
  <c r="AC321" i="7"/>
  <c r="AB321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AD321" i="7"/>
  <c r="AE320" i="7"/>
  <c r="AC320" i="7"/>
  <c r="AB320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AD320" i="7"/>
  <c r="AE319" i="7"/>
  <c r="AC319" i="7"/>
  <c r="AB319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AD319" i="7"/>
  <c r="AE318" i="7"/>
  <c r="AC318" i="7"/>
  <c r="AB318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AD318" i="7"/>
  <c r="AE317" i="7"/>
  <c r="AC317" i="7"/>
  <c r="AB317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AD317" i="7"/>
  <c r="AE316" i="7"/>
  <c r="AC316" i="7"/>
  <c r="AB316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AD316" i="7"/>
  <c r="AE315" i="7"/>
  <c r="AC315" i="7"/>
  <c r="AB315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AD315" i="7"/>
  <c r="AE314" i="7"/>
  <c r="AC314" i="7"/>
  <c r="AB314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AE313" i="7"/>
  <c r="AC313" i="7"/>
  <c r="AB313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AD313" i="7" s="1"/>
  <c r="AE312" i="7"/>
  <c r="AC312" i="7"/>
  <c r="AB312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AE311" i="7"/>
  <c r="AC311" i="7"/>
  <c r="AB311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AD311" i="7"/>
  <c r="AE310" i="7"/>
  <c r="AC310" i="7"/>
  <c r="AB310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AD310" i="7"/>
  <c r="AE309" i="7"/>
  <c r="AC309" i="7"/>
  <c r="AB309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AD309" i="7"/>
  <c r="AE308" i="7"/>
  <c r="AC308" i="7"/>
  <c r="AB308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AD308" i="7"/>
  <c r="AE307" i="7"/>
  <c r="AC307" i="7"/>
  <c r="AB307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AE306" i="7"/>
  <c r="AC306" i="7"/>
  <c r="AB306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AD306" i="7" s="1"/>
  <c r="AE305" i="7"/>
  <c r="AC305" i="7"/>
  <c r="AB305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AE304" i="7"/>
  <c r="AC304" i="7"/>
  <c r="AB304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AD304" i="7"/>
  <c r="AE303" i="7"/>
  <c r="AC303" i="7"/>
  <c r="AB303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AE302" i="7"/>
  <c r="AC302" i="7"/>
  <c r="AB302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AD302" i="7" s="1"/>
  <c r="AE301" i="7"/>
  <c r="AC301" i="7"/>
  <c r="AB301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AD301" i="7" s="1"/>
  <c r="AE300" i="7"/>
  <c r="AC300" i="7"/>
  <c r="AB300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AD300" i="7" s="1"/>
  <c r="AE299" i="7"/>
  <c r="AC299" i="7"/>
  <c r="AB299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AD299" i="7" s="1"/>
  <c r="AE298" i="7"/>
  <c r="AC298" i="7"/>
  <c r="AB298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AD298" i="7" s="1"/>
  <c r="AE297" i="7"/>
  <c r="AC297" i="7"/>
  <c r="AB297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AE296" i="7"/>
  <c r="AC296" i="7"/>
  <c r="AB296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AD296" i="7"/>
  <c r="AE295" i="7"/>
  <c r="AC295" i="7"/>
  <c r="AB295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AD295" i="7"/>
  <c r="AE294" i="7"/>
  <c r="AC294" i="7"/>
  <c r="AB294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AD294" i="7"/>
  <c r="AE293" i="7"/>
  <c r="AC293" i="7"/>
  <c r="AB293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AD293" i="7"/>
  <c r="AE292" i="7"/>
  <c r="AC292" i="7"/>
  <c r="AB292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AE291" i="7"/>
  <c r="AC291" i="7"/>
  <c r="AB291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AD291" i="7" s="1"/>
  <c r="AE290" i="7"/>
  <c r="AC290" i="7"/>
  <c r="AB290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AD290" i="7" s="1"/>
  <c r="AE289" i="7"/>
  <c r="AC289" i="7"/>
  <c r="AB289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AD289" i="7" s="1"/>
  <c r="AE288" i="7"/>
  <c r="AC288" i="7"/>
  <c r="AB288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AD288" i="7" s="1"/>
  <c r="AE287" i="7"/>
  <c r="AC287" i="7"/>
  <c r="AB287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AD287" i="7" s="1"/>
  <c r="AE286" i="7"/>
  <c r="AC286" i="7"/>
  <c r="AB286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AD286" i="7" s="1"/>
  <c r="AE285" i="7"/>
  <c r="AC285" i="7"/>
  <c r="AB285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AD285" i="7" s="1"/>
  <c r="AE284" i="7"/>
  <c r="AC284" i="7"/>
  <c r="AB284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AD284" i="7" s="1"/>
  <c r="AE283" i="7"/>
  <c r="AC283" i="7"/>
  <c r="AB283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AE282" i="7"/>
  <c r="AC282" i="7"/>
  <c r="AB282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AD282" i="7"/>
  <c r="AE281" i="7"/>
  <c r="AC281" i="7"/>
  <c r="AB281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AD281" i="7"/>
  <c r="AE280" i="7"/>
  <c r="AC280" i="7"/>
  <c r="AB280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AD280" i="7"/>
  <c r="AE279" i="7"/>
  <c r="AC279" i="7"/>
  <c r="AB279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AD279" i="7"/>
  <c r="AE278" i="7"/>
  <c r="AC278" i="7"/>
  <c r="AB278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AD278" i="7"/>
  <c r="AE277" i="7"/>
  <c r="AC277" i="7"/>
  <c r="AB277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AE276" i="7"/>
  <c r="AC276" i="7"/>
  <c r="AB276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AD276" i="7" s="1"/>
  <c r="AE275" i="7"/>
  <c r="AC275" i="7"/>
  <c r="AB275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AE274" i="7"/>
  <c r="AC274" i="7"/>
  <c r="AB274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AD274" i="7"/>
  <c r="AE273" i="7"/>
  <c r="AC273" i="7"/>
  <c r="AB273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AE272" i="7"/>
  <c r="AC272" i="7"/>
  <c r="AB272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AD272" i="7" s="1"/>
  <c r="AE271" i="7"/>
  <c r="AC271" i="7"/>
  <c r="AB271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AE270" i="7"/>
  <c r="AC270" i="7"/>
  <c r="AB270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AD270" i="7"/>
  <c r="AE269" i="7"/>
  <c r="AC269" i="7"/>
  <c r="AB269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AE268" i="7"/>
  <c r="AC268" i="7"/>
  <c r="AB268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AD268" i="7" s="1"/>
  <c r="AE267" i="7"/>
  <c r="AC267" i="7"/>
  <c r="AB267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AE266" i="7"/>
  <c r="AC266" i="7"/>
  <c r="AB266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AD266" i="7"/>
  <c r="AE265" i="7"/>
  <c r="AC265" i="7"/>
  <c r="AB265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AE264" i="7"/>
  <c r="AC264" i="7"/>
  <c r="AB264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AD264" i="7" s="1"/>
  <c r="AE263" i="7"/>
  <c r="AC263" i="7"/>
  <c r="AB263" i="7"/>
  <c r="AA263" i="7"/>
  <c r="Z263" i="7"/>
  <c r="Y263" i="7"/>
  <c r="X263" i="7"/>
  <c r="W263" i="7"/>
  <c r="V263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AE262" i="7"/>
  <c r="AC262" i="7"/>
  <c r="AB262" i="7"/>
  <c r="AA262" i="7"/>
  <c r="Z262" i="7"/>
  <c r="Y262" i="7"/>
  <c r="X262" i="7"/>
  <c r="W262" i="7"/>
  <c r="V262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AD262" i="7"/>
  <c r="AE261" i="7"/>
  <c r="AC261" i="7"/>
  <c r="AB261" i="7"/>
  <c r="AA261" i="7"/>
  <c r="Z261" i="7"/>
  <c r="Y261" i="7"/>
  <c r="X261" i="7"/>
  <c r="W261" i="7"/>
  <c r="V261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AD261" i="7"/>
  <c r="AE260" i="7"/>
  <c r="AC260" i="7"/>
  <c r="AB260" i="7"/>
  <c r="AA260" i="7"/>
  <c r="Z260" i="7"/>
  <c r="Y260" i="7"/>
  <c r="X260" i="7"/>
  <c r="W260" i="7"/>
  <c r="V260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AD260" i="7"/>
  <c r="AE259" i="7"/>
  <c r="AC259" i="7"/>
  <c r="AB259" i="7"/>
  <c r="AA259" i="7"/>
  <c r="Z259" i="7"/>
  <c r="Y259" i="7"/>
  <c r="X259" i="7"/>
  <c r="W259" i="7"/>
  <c r="V259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AD259" i="7"/>
  <c r="AE258" i="7"/>
  <c r="AC258" i="7"/>
  <c r="AB258" i="7"/>
  <c r="AA258" i="7"/>
  <c r="Z258" i="7"/>
  <c r="Y258" i="7"/>
  <c r="X258" i="7"/>
  <c r="W258" i="7"/>
  <c r="V258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AD258" i="7"/>
  <c r="AE257" i="7"/>
  <c r="AC257" i="7"/>
  <c r="AB257" i="7"/>
  <c r="AA257" i="7"/>
  <c r="Z257" i="7"/>
  <c r="Y257" i="7"/>
  <c r="X257" i="7"/>
  <c r="W257" i="7"/>
  <c r="V257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AE256" i="7"/>
  <c r="AC256" i="7"/>
  <c r="AB256" i="7"/>
  <c r="AA256" i="7"/>
  <c r="Z256" i="7"/>
  <c r="Y256" i="7"/>
  <c r="X256" i="7"/>
  <c r="W256" i="7"/>
  <c r="V256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AD256" i="7" s="1"/>
  <c r="AE255" i="7"/>
  <c r="AC255" i="7"/>
  <c r="AB255" i="7"/>
  <c r="AA255" i="7"/>
  <c r="Z255" i="7"/>
  <c r="Y255" i="7"/>
  <c r="X255" i="7"/>
  <c r="W255" i="7"/>
  <c r="V255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AE254" i="7"/>
  <c r="AC254" i="7"/>
  <c r="AB254" i="7"/>
  <c r="AA254" i="7"/>
  <c r="Z254" i="7"/>
  <c r="Y254" i="7"/>
  <c r="X254" i="7"/>
  <c r="W254" i="7"/>
  <c r="V254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AD254" i="7"/>
  <c r="AE253" i="7"/>
  <c r="AC253" i="7"/>
  <c r="AB253" i="7"/>
  <c r="AA253" i="7"/>
  <c r="Z253" i="7"/>
  <c r="Y253" i="7"/>
  <c r="X253" i="7"/>
  <c r="W253" i="7"/>
  <c r="V253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AE252" i="7"/>
  <c r="AC252" i="7"/>
  <c r="AB252" i="7"/>
  <c r="AA252" i="7"/>
  <c r="Z252" i="7"/>
  <c r="Y252" i="7"/>
  <c r="X252" i="7"/>
  <c r="W252" i="7"/>
  <c r="V252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AD252" i="7" s="1"/>
  <c r="AE251" i="7"/>
  <c r="AC251" i="7"/>
  <c r="AB251" i="7"/>
  <c r="AA251" i="7"/>
  <c r="Z251" i="7"/>
  <c r="Y251" i="7"/>
  <c r="X251" i="7"/>
  <c r="W251" i="7"/>
  <c r="V251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AD251" i="7" s="1"/>
  <c r="AE250" i="7"/>
  <c r="AC250" i="7"/>
  <c r="AB250" i="7"/>
  <c r="AA250" i="7"/>
  <c r="Z250" i="7"/>
  <c r="Y250" i="7"/>
  <c r="X250" i="7"/>
  <c r="W250" i="7"/>
  <c r="V250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AD250" i="7" s="1"/>
  <c r="AE249" i="7"/>
  <c r="AC249" i="7"/>
  <c r="AB249" i="7"/>
  <c r="AA249" i="7"/>
  <c r="Z249" i="7"/>
  <c r="Y249" i="7"/>
  <c r="X249" i="7"/>
  <c r="W249" i="7"/>
  <c r="V249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AD249" i="7" s="1"/>
  <c r="AE248" i="7"/>
  <c r="AC248" i="7"/>
  <c r="AB248" i="7"/>
  <c r="AA248" i="7"/>
  <c r="Z248" i="7"/>
  <c r="Y248" i="7"/>
  <c r="X248" i="7"/>
  <c r="W248" i="7"/>
  <c r="V248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AD248" i="7" s="1"/>
  <c r="AE247" i="7"/>
  <c r="AC247" i="7"/>
  <c r="AB247" i="7"/>
  <c r="AA247" i="7"/>
  <c r="Z247" i="7"/>
  <c r="Y247" i="7"/>
  <c r="X247" i="7"/>
  <c r="W247" i="7"/>
  <c r="V247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AD247" i="7" s="1"/>
  <c r="AE246" i="7"/>
  <c r="AC246" i="7"/>
  <c r="AB246" i="7"/>
  <c r="AA246" i="7"/>
  <c r="Z246" i="7"/>
  <c r="Y246" i="7"/>
  <c r="X246" i="7"/>
  <c r="W246" i="7"/>
  <c r="V246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AD246" i="7" s="1"/>
  <c r="AE245" i="7"/>
  <c r="AC245" i="7"/>
  <c r="AB245" i="7"/>
  <c r="AA245" i="7"/>
  <c r="Z245" i="7"/>
  <c r="Y245" i="7"/>
  <c r="X245" i="7"/>
  <c r="W245" i="7"/>
  <c r="V245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AE244" i="7"/>
  <c r="AC244" i="7"/>
  <c r="AB244" i="7"/>
  <c r="AA244" i="7"/>
  <c r="Z244" i="7"/>
  <c r="Y244" i="7"/>
  <c r="X244" i="7"/>
  <c r="W244" i="7"/>
  <c r="V244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AD244" i="7"/>
  <c r="AE243" i="7"/>
  <c r="AC243" i="7"/>
  <c r="AB243" i="7"/>
  <c r="AA243" i="7"/>
  <c r="Z243" i="7"/>
  <c r="Y243" i="7"/>
  <c r="X243" i="7"/>
  <c r="W243" i="7"/>
  <c r="V243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AD243" i="7"/>
  <c r="AE242" i="7"/>
  <c r="AC242" i="7"/>
  <c r="AB242" i="7"/>
  <c r="AA242" i="7"/>
  <c r="Z242" i="7"/>
  <c r="Y242" i="7"/>
  <c r="X242" i="7"/>
  <c r="W242" i="7"/>
  <c r="V242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AE241" i="7"/>
  <c r="AC241" i="7"/>
  <c r="AB241" i="7"/>
  <c r="AA241" i="7"/>
  <c r="Z241" i="7"/>
  <c r="Y241" i="7"/>
  <c r="X241" i="7"/>
  <c r="W241" i="7"/>
  <c r="V241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AD241" i="7" s="1"/>
  <c r="AE240" i="7"/>
  <c r="AC240" i="7"/>
  <c r="AB240" i="7"/>
  <c r="AA240" i="7"/>
  <c r="Z240" i="7"/>
  <c r="Y240" i="7"/>
  <c r="X240" i="7"/>
  <c r="W240" i="7"/>
  <c r="V240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AD240" i="7" s="1"/>
  <c r="AE239" i="7"/>
  <c r="AC239" i="7"/>
  <c r="AB239" i="7"/>
  <c r="AA239" i="7"/>
  <c r="Z239" i="7"/>
  <c r="Y239" i="7"/>
  <c r="X239" i="7"/>
  <c r="W239" i="7"/>
  <c r="V239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AD239" i="7" s="1"/>
  <c r="AE238" i="7"/>
  <c r="AC238" i="7"/>
  <c r="AB238" i="7"/>
  <c r="AA238" i="7"/>
  <c r="Z238" i="7"/>
  <c r="Y238" i="7"/>
  <c r="X238" i="7"/>
  <c r="W238" i="7"/>
  <c r="V238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AE237" i="7"/>
  <c r="AC237" i="7"/>
  <c r="AB237" i="7"/>
  <c r="AA237" i="7"/>
  <c r="Z237" i="7"/>
  <c r="Y237" i="7"/>
  <c r="X237" i="7"/>
  <c r="W237" i="7"/>
  <c r="V237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AD237" i="7"/>
  <c r="AE236" i="7"/>
  <c r="AC236" i="7"/>
  <c r="AB236" i="7"/>
  <c r="AA236" i="7"/>
  <c r="Z236" i="7"/>
  <c r="Y236" i="7"/>
  <c r="X236" i="7"/>
  <c r="W236" i="7"/>
  <c r="V236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AD236" i="7"/>
  <c r="AE235" i="7"/>
  <c r="AC235" i="7"/>
  <c r="AB235" i="7"/>
  <c r="AA235" i="7"/>
  <c r="Z235" i="7"/>
  <c r="Y235" i="7"/>
  <c r="X235" i="7"/>
  <c r="W235" i="7"/>
  <c r="V235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AD235" i="7"/>
  <c r="AE234" i="7"/>
  <c r="AC234" i="7"/>
  <c r="AB234" i="7"/>
  <c r="AA234" i="7"/>
  <c r="Z234" i="7"/>
  <c r="Y234" i="7"/>
  <c r="X234" i="7"/>
  <c r="W234" i="7"/>
  <c r="V234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AD234" i="7"/>
  <c r="AE233" i="7"/>
  <c r="AC233" i="7"/>
  <c r="AB233" i="7"/>
  <c r="AA233" i="7"/>
  <c r="Z233" i="7"/>
  <c r="Y233" i="7"/>
  <c r="X233" i="7"/>
  <c r="W233" i="7"/>
  <c r="V233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AD233" i="7"/>
  <c r="AE232" i="7"/>
  <c r="AC232" i="7"/>
  <c r="AB232" i="7"/>
  <c r="AA232" i="7"/>
  <c r="Z232" i="7"/>
  <c r="Y232" i="7"/>
  <c r="X232" i="7"/>
  <c r="W232" i="7"/>
  <c r="V232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AD232" i="7"/>
  <c r="AE231" i="7"/>
  <c r="AC231" i="7"/>
  <c r="AB231" i="7"/>
  <c r="AA231" i="7"/>
  <c r="Z231" i="7"/>
  <c r="Y231" i="7"/>
  <c r="X231" i="7"/>
  <c r="W231" i="7"/>
  <c r="V231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AD231" i="7"/>
  <c r="AE230" i="7"/>
  <c r="AC230" i="7"/>
  <c r="AB230" i="7"/>
  <c r="AA230" i="7"/>
  <c r="Z230" i="7"/>
  <c r="Y230" i="7"/>
  <c r="X230" i="7"/>
  <c r="W230" i="7"/>
  <c r="V230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AD230" i="7"/>
  <c r="AE229" i="7"/>
  <c r="AC229" i="7"/>
  <c r="AB229" i="7"/>
  <c r="AA229" i="7"/>
  <c r="Z229" i="7"/>
  <c r="Y229" i="7"/>
  <c r="X229" i="7"/>
  <c r="W229" i="7"/>
  <c r="V229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AD229" i="7"/>
  <c r="AE228" i="7"/>
  <c r="AC228" i="7"/>
  <c r="AB228" i="7"/>
  <c r="AA228" i="7"/>
  <c r="Z228" i="7"/>
  <c r="Y228" i="7"/>
  <c r="X228" i="7"/>
  <c r="W228" i="7"/>
  <c r="V228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AD228" i="7"/>
  <c r="AE227" i="7"/>
  <c r="AC227" i="7"/>
  <c r="AB227" i="7"/>
  <c r="AA227" i="7"/>
  <c r="Z227" i="7"/>
  <c r="Y227" i="7"/>
  <c r="X227" i="7"/>
  <c r="W227" i="7"/>
  <c r="V227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AD227" i="7"/>
  <c r="AE226" i="7"/>
  <c r="AC226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AE225" i="7"/>
  <c r="AC225" i="7"/>
  <c r="AB225" i="7"/>
  <c r="AA225" i="7"/>
  <c r="Z225" i="7"/>
  <c r="Y225" i="7"/>
  <c r="X225" i="7"/>
  <c r="W225" i="7"/>
  <c r="V225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AE224" i="7"/>
  <c r="AC224" i="7"/>
  <c r="AB224" i="7"/>
  <c r="AA224" i="7"/>
  <c r="Z224" i="7"/>
  <c r="Y224" i="7"/>
  <c r="X224" i="7"/>
  <c r="W224" i="7"/>
  <c r="V224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AD224" i="7"/>
  <c r="AE223" i="7"/>
  <c r="AC223" i="7"/>
  <c r="AB223" i="7"/>
  <c r="AA223" i="7"/>
  <c r="Z223" i="7"/>
  <c r="Y223" i="7"/>
  <c r="X223" i="7"/>
  <c r="W223" i="7"/>
  <c r="V223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AD223" i="7"/>
  <c r="AE222" i="7"/>
  <c r="AC222" i="7"/>
  <c r="AB222" i="7"/>
  <c r="AA222" i="7"/>
  <c r="Z222" i="7"/>
  <c r="Y222" i="7"/>
  <c r="X222" i="7"/>
  <c r="W222" i="7"/>
  <c r="V222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AD222" i="7"/>
  <c r="AE221" i="7"/>
  <c r="AC221" i="7"/>
  <c r="AB221" i="7"/>
  <c r="AA221" i="7"/>
  <c r="Z221" i="7"/>
  <c r="Y221" i="7"/>
  <c r="X221" i="7"/>
  <c r="W221" i="7"/>
  <c r="V221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AD221" i="7"/>
  <c r="AE220" i="7"/>
  <c r="AC220" i="7"/>
  <c r="AB220" i="7"/>
  <c r="AA220" i="7"/>
  <c r="Z220" i="7"/>
  <c r="Y220" i="7"/>
  <c r="X220" i="7"/>
  <c r="W220" i="7"/>
  <c r="V220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AD220" i="7"/>
  <c r="AE219" i="7"/>
  <c r="AC219" i="7"/>
  <c r="AB219" i="7"/>
  <c r="AA219" i="7"/>
  <c r="Z219" i="7"/>
  <c r="Y219" i="7"/>
  <c r="X219" i="7"/>
  <c r="W219" i="7"/>
  <c r="V219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AD219" i="7"/>
  <c r="AE218" i="7"/>
  <c r="AC218" i="7"/>
  <c r="AB218" i="7"/>
  <c r="AA218" i="7"/>
  <c r="Z218" i="7"/>
  <c r="Y218" i="7"/>
  <c r="X218" i="7"/>
  <c r="W218" i="7"/>
  <c r="V218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AD218" i="7"/>
  <c r="AE217" i="7"/>
  <c r="AC217" i="7"/>
  <c r="AB217" i="7"/>
  <c r="AA217" i="7"/>
  <c r="Z217" i="7"/>
  <c r="Y217" i="7"/>
  <c r="X217" i="7"/>
  <c r="W217" i="7"/>
  <c r="V217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AD217" i="7"/>
  <c r="AE216" i="7"/>
  <c r="AC216" i="7"/>
  <c r="AB216" i="7"/>
  <c r="AA216" i="7"/>
  <c r="Z216" i="7"/>
  <c r="Y216" i="7"/>
  <c r="X216" i="7"/>
  <c r="W216" i="7"/>
  <c r="V216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AD216" i="7"/>
  <c r="AE215" i="7"/>
  <c r="AC215" i="7"/>
  <c r="AB215" i="7"/>
  <c r="AA215" i="7"/>
  <c r="Z215" i="7"/>
  <c r="Y215" i="7"/>
  <c r="X215" i="7"/>
  <c r="W215" i="7"/>
  <c r="V215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AD215" i="7"/>
  <c r="AE214" i="7"/>
  <c r="AC214" i="7"/>
  <c r="AB214" i="7"/>
  <c r="AA214" i="7"/>
  <c r="Z214" i="7"/>
  <c r="Y214" i="7"/>
  <c r="X214" i="7"/>
  <c r="W214" i="7"/>
  <c r="V214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AD214" i="7"/>
  <c r="AE213" i="7"/>
  <c r="AC213" i="7"/>
  <c r="AB213" i="7"/>
  <c r="AA213" i="7"/>
  <c r="Z213" i="7"/>
  <c r="Y213" i="7"/>
  <c r="X213" i="7"/>
  <c r="W213" i="7"/>
  <c r="V213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AD213" i="7"/>
  <c r="AE212" i="7"/>
  <c r="AC212" i="7"/>
  <c r="AB212" i="7"/>
  <c r="AA212" i="7"/>
  <c r="Z212" i="7"/>
  <c r="Y212" i="7"/>
  <c r="X212" i="7"/>
  <c r="W212" i="7"/>
  <c r="V212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AD212" i="7"/>
  <c r="AE211" i="7"/>
  <c r="AC211" i="7"/>
  <c r="AB211" i="7"/>
  <c r="AA211" i="7"/>
  <c r="Z211" i="7"/>
  <c r="Y211" i="7"/>
  <c r="X211" i="7"/>
  <c r="W211" i="7"/>
  <c r="V211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AD211" i="7"/>
  <c r="AE210" i="7"/>
  <c r="AC210" i="7"/>
  <c r="AB210" i="7"/>
  <c r="AA210" i="7"/>
  <c r="Z210" i="7"/>
  <c r="Y210" i="7"/>
  <c r="X210" i="7"/>
  <c r="W210" i="7"/>
  <c r="V210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AD210" i="7"/>
  <c r="AE209" i="7"/>
  <c r="AC209" i="7"/>
  <c r="AB209" i="7"/>
  <c r="AA209" i="7"/>
  <c r="Z209" i="7"/>
  <c r="Y209" i="7"/>
  <c r="X209" i="7"/>
  <c r="W209" i="7"/>
  <c r="V209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AE208" i="7"/>
  <c r="AC208" i="7"/>
  <c r="AB208" i="7"/>
  <c r="AA208" i="7"/>
  <c r="Z208" i="7"/>
  <c r="Y208" i="7"/>
  <c r="X208" i="7"/>
  <c r="W208" i="7"/>
  <c r="V208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AD208" i="7" s="1"/>
  <c r="AE207" i="7"/>
  <c r="AC207" i="7"/>
  <c r="AB207" i="7"/>
  <c r="AA207" i="7"/>
  <c r="Z207" i="7"/>
  <c r="Y207" i="7"/>
  <c r="X207" i="7"/>
  <c r="W207" i="7"/>
  <c r="V207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AD207" i="7" s="1"/>
  <c r="AE206" i="7"/>
  <c r="AC206" i="7"/>
  <c r="AB206" i="7"/>
  <c r="AA206" i="7"/>
  <c r="Z206" i="7"/>
  <c r="Y206" i="7"/>
  <c r="X206" i="7"/>
  <c r="W206" i="7"/>
  <c r="V206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AD206" i="7" s="1"/>
  <c r="AE205" i="7"/>
  <c r="AC205" i="7"/>
  <c r="AB205" i="7"/>
  <c r="AA205" i="7"/>
  <c r="Z205" i="7"/>
  <c r="Y205" i="7"/>
  <c r="X205" i="7"/>
  <c r="W205" i="7"/>
  <c r="V205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AE204" i="7"/>
  <c r="AC204" i="7"/>
  <c r="AB204" i="7"/>
  <c r="AA204" i="7"/>
  <c r="Z204" i="7"/>
  <c r="Y204" i="7"/>
  <c r="X204" i="7"/>
  <c r="W204" i="7"/>
  <c r="V204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AD204" i="7"/>
  <c r="AE203" i="7"/>
  <c r="AC203" i="7"/>
  <c r="AB203" i="7"/>
  <c r="AA203" i="7"/>
  <c r="Z203" i="7"/>
  <c r="Y203" i="7"/>
  <c r="X203" i="7"/>
  <c r="W203" i="7"/>
  <c r="V203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AD203" i="7"/>
  <c r="AE202" i="7"/>
  <c r="AC202" i="7"/>
  <c r="AB202" i="7"/>
  <c r="AA202" i="7"/>
  <c r="Z202" i="7"/>
  <c r="Y202" i="7"/>
  <c r="X202" i="7"/>
  <c r="W202" i="7"/>
  <c r="V202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AD202" i="7"/>
  <c r="AE201" i="7"/>
  <c r="AC201" i="7"/>
  <c r="AB201" i="7"/>
  <c r="AA201" i="7"/>
  <c r="Z201" i="7"/>
  <c r="Y201" i="7"/>
  <c r="X201" i="7"/>
  <c r="W201" i="7"/>
  <c r="V201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AE200" i="7"/>
  <c r="AC200" i="7"/>
  <c r="AB200" i="7"/>
  <c r="AA200" i="7"/>
  <c r="Z200" i="7"/>
  <c r="Y200" i="7"/>
  <c r="X200" i="7"/>
  <c r="W200" i="7"/>
  <c r="V200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AD200" i="7" s="1"/>
  <c r="AE199" i="7"/>
  <c r="AC199" i="7"/>
  <c r="AB199" i="7"/>
  <c r="AA199" i="7"/>
  <c r="Z199" i="7"/>
  <c r="Y199" i="7"/>
  <c r="X199" i="7"/>
  <c r="W199" i="7"/>
  <c r="V199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AE198" i="7"/>
  <c r="AC198" i="7"/>
  <c r="AB198" i="7"/>
  <c r="AA198" i="7"/>
  <c r="Z198" i="7"/>
  <c r="Y198" i="7"/>
  <c r="X198" i="7"/>
  <c r="W198" i="7"/>
  <c r="V198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AD198" i="7"/>
  <c r="AE197" i="7"/>
  <c r="AC197" i="7"/>
  <c r="AB197" i="7"/>
  <c r="AA197" i="7"/>
  <c r="Z197" i="7"/>
  <c r="Y197" i="7"/>
  <c r="X197" i="7"/>
  <c r="W197" i="7"/>
  <c r="V197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AE196" i="7"/>
  <c r="AC196" i="7"/>
  <c r="AB196" i="7"/>
  <c r="AA196" i="7"/>
  <c r="Z196" i="7"/>
  <c r="Y196" i="7"/>
  <c r="X196" i="7"/>
  <c r="W196" i="7"/>
  <c r="V196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AE195" i="7"/>
  <c r="AC195" i="7"/>
  <c r="AB195" i="7"/>
  <c r="AA195" i="7"/>
  <c r="Z195" i="7"/>
  <c r="Y195" i="7"/>
  <c r="X195" i="7"/>
  <c r="W195" i="7"/>
  <c r="V195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AD195" i="7"/>
  <c r="AE194" i="7"/>
  <c r="AC194" i="7"/>
  <c r="AB194" i="7"/>
  <c r="AA194" i="7"/>
  <c r="Z194" i="7"/>
  <c r="Y194" i="7"/>
  <c r="X194" i="7"/>
  <c r="W194" i="7"/>
  <c r="V194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AD194" i="7"/>
  <c r="AE193" i="7"/>
  <c r="AC193" i="7"/>
  <c r="AB193" i="7"/>
  <c r="AA193" i="7"/>
  <c r="Z193" i="7"/>
  <c r="Y193" i="7"/>
  <c r="X193" i="7"/>
  <c r="W193" i="7"/>
  <c r="V193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AE192" i="7"/>
  <c r="AC192" i="7"/>
  <c r="AB192" i="7"/>
  <c r="AA192" i="7"/>
  <c r="Z192" i="7"/>
  <c r="Y192" i="7"/>
  <c r="X192" i="7"/>
  <c r="W192" i="7"/>
  <c r="V192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AD192" i="7" s="1"/>
  <c r="AE191" i="7"/>
  <c r="AC191" i="7"/>
  <c r="AB191" i="7"/>
  <c r="AA191" i="7"/>
  <c r="Z191" i="7"/>
  <c r="Y191" i="7"/>
  <c r="X191" i="7"/>
  <c r="W191" i="7"/>
  <c r="V191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AE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AD190" i="7"/>
  <c r="AE189" i="7"/>
  <c r="AC189" i="7"/>
  <c r="AB189" i="7"/>
  <c r="AA189" i="7"/>
  <c r="Z189" i="7"/>
  <c r="Y189" i="7"/>
  <c r="X189" i="7"/>
  <c r="W189" i="7"/>
  <c r="V189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AE188" i="7"/>
  <c r="AC188" i="7"/>
  <c r="AB188" i="7"/>
  <c r="AA188" i="7"/>
  <c r="Z188" i="7"/>
  <c r="Y188" i="7"/>
  <c r="X188" i="7"/>
  <c r="W188" i="7"/>
  <c r="V188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AD188" i="7" s="1"/>
  <c r="AE187" i="7"/>
  <c r="AC187" i="7"/>
  <c r="AB187" i="7"/>
  <c r="AA187" i="7"/>
  <c r="Z187" i="7"/>
  <c r="Y187" i="7"/>
  <c r="X187" i="7"/>
  <c r="W187" i="7"/>
  <c r="V187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AE186" i="7"/>
  <c r="AC186" i="7"/>
  <c r="AB186" i="7"/>
  <c r="AA186" i="7"/>
  <c r="Z186" i="7"/>
  <c r="Y186" i="7"/>
  <c r="X186" i="7"/>
  <c r="W186" i="7"/>
  <c r="V186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AD186" i="7"/>
  <c r="AE185" i="7"/>
  <c r="AC185" i="7"/>
  <c r="AB185" i="7"/>
  <c r="AA185" i="7"/>
  <c r="Z185" i="7"/>
  <c r="Y185" i="7"/>
  <c r="X185" i="7"/>
  <c r="W185" i="7"/>
  <c r="V185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AE184" i="7"/>
  <c r="AC184" i="7"/>
  <c r="AB184" i="7"/>
  <c r="AA184" i="7"/>
  <c r="Z184" i="7"/>
  <c r="Y184" i="7"/>
  <c r="X184" i="7"/>
  <c r="W184" i="7"/>
  <c r="V184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AD184" i="7" s="1"/>
  <c r="AE183" i="7"/>
  <c r="AC183" i="7"/>
  <c r="AB183" i="7"/>
  <c r="AA183" i="7"/>
  <c r="Z183" i="7"/>
  <c r="Y183" i="7"/>
  <c r="X183" i="7"/>
  <c r="W183" i="7"/>
  <c r="V183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AE182" i="7"/>
  <c r="AC182" i="7"/>
  <c r="AB182" i="7"/>
  <c r="AA182" i="7"/>
  <c r="Z182" i="7"/>
  <c r="Y182" i="7"/>
  <c r="X182" i="7"/>
  <c r="W182" i="7"/>
  <c r="V182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AD182" i="7"/>
  <c r="AE181" i="7"/>
  <c r="AC181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AE180" i="7"/>
  <c r="AC180" i="7"/>
  <c r="AB180" i="7"/>
  <c r="AA180" i="7"/>
  <c r="Z180" i="7"/>
  <c r="Y180" i="7"/>
  <c r="X180" i="7"/>
  <c r="W180" i="7"/>
  <c r="V180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AD180" i="7" s="1"/>
  <c r="AE179" i="7"/>
  <c r="AC179" i="7"/>
  <c r="AB179" i="7"/>
  <c r="AA179" i="7"/>
  <c r="Z179" i="7"/>
  <c r="Y179" i="7"/>
  <c r="X179" i="7"/>
  <c r="W179" i="7"/>
  <c r="V179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AE178" i="7"/>
  <c r="AC178" i="7"/>
  <c r="AB178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AD178" i="7"/>
  <c r="AE177" i="7"/>
  <c r="AC177" i="7"/>
  <c r="AB177" i="7"/>
  <c r="AA177" i="7"/>
  <c r="Z177" i="7"/>
  <c r="Y177" i="7"/>
  <c r="X177" i="7"/>
  <c r="W177" i="7"/>
  <c r="V177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AD177" i="7"/>
  <c r="AE176" i="7"/>
  <c r="AC176" i="7"/>
  <c r="AB176" i="7"/>
  <c r="AA176" i="7"/>
  <c r="Z176" i="7"/>
  <c r="Y176" i="7"/>
  <c r="X176" i="7"/>
  <c r="W176" i="7"/>
  <c r="V176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AD176" i="7"/>
  <c r="AE175" i="7"/>
  <c r="AC175" i="7"/>
  <c r="AB175" i="7"/>
  <c r="AA175" i="7"/>
  <c r="Z175" i="7"/>
  <c r="Y175" i="7"/>
  <c r="X175" i="7"/>
  <c r="W175" i="7"/>
  <c r="V175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AD175" i="7"/>
  <c r="AE174" i="7"/>
  <c r="AC174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AD174" i="7"/>
  <c r="AE173" i="7"/>
  <c r="AC173" i="7"/>
  <c r="AB173" i="7"/>
  <c r="AA173" i="7"/>
  <c r="Z173" i="7"/>
  <c r="Y173" i="7"/>
  <c r="X173" i="7"/>
  <c r="W173" i="7"/>
  <c r="V173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AE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AD172" i="7" s="1"/>
  <c r="AE171" i="7"/>
  <c r="AC171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AD171" i="7" s="1"/>
  <c r="AE170" i="7"/>
  <c r="AC170" i="7"/>
  <c r="AB170" i="7"/>
  <c r="AA170" i="7"/>
  <c r="Z170" i="7"/>
  <c r="Y170" i="7"/>
  <c r="X170" i="7"/>
  <c r="W170" i="7"/>
  <c r="V170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AD170" i="7" s="1"/>
  <c r="AE169" i="7"/>
  <c r="AC169" i="7"/>
  <c r="AB169" i="7"/>
  <c r="AA169" i="7"/>
  <c r="Z169" i="7"/>
  <c r="Y169" i="7"/>
  <c r="X169" i="7"/>
  <c r="W169" i="7"/>
  <c r="V169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AD169" i="7" s="1"/>
  <c r="AE168" i="7"/>
  <c r="AC168" i="7"/>
  <c r="AB168" i="7"/>
  <c r="AA168" i="7"/>
  <c r="Z168" i="7"/>
  <c r="Y168" i="7"/>
  <c r="X168" i="7"/>
  <c r="W168" i="7"/>
  <c r="V168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AD168" i="7" s="1"/>
  <c r="AE167" i="7"/>
  <c r="AC167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AE166" i="7"/>
  <c r="AC166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AD166" i="7"/>
  <c r="AE165" i="7"/>
  <c r="AC165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AE164" i="7"/>
  <c r="AC164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AD164" i="7" s="1"/>
  <c r="AE163" i="7"/>
  <c r="AC163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AE162" i="7"/>
  <c r="AC162" i="7"/>
  <c r="AB162" i="7"/>
  <c r="AA162" i="7"/>
  <c r="Z162" i="7"/>
  <c r="Y162" i="7"/>
  <c r="X162" i="7"/>
  <c r="W162" i="7"/>
  <c r="V162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AD162" i="7"/>
  <c r="AE161" i="7"/>
  <c r="AC161" i="7"/>
  <c r="AB161" i="7"/>
  <c r="AA161" i="7"/>
  <c r="Z161" i="7"/>
  <c r="Y161" i="7"/>
  <c r="X161" i="7"/>
  <c r="W161" i="7"/>
  <c r="V161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AE160" i="7"/>
  <c r="AC160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AD160" i="7" s="1"/>
  <c r="AE159" i="7"/>
  <c r="AC159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AE158" i="7"/>
  <c r="AC158" i="7"/>
  <c r="AB158" i="7"/>
  <c r="AA158" i="7"/>
  <c r="Z158" i="7"/>
  <c r="Y158" i="7"/>
  <c r="X158" i="7"/>
  <c r="W158" i="7"/>
  <c r="V158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AD158" i="7"/>
  <c r="AE157" i="7"/>
  <c r="AC157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AD157" i="7"/>
  <c r="AE156" i="7"/>
  <c r="AC156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AD156" i="7"/>
  <c r="AE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AD155" i="7"/>
  <c r="AE154" i="7"/>
  <c r="AC154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AD154" i="7"/>
  <c r="AE153" i="7"/>
  <c r="AC153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AD153" i="7"/>
  <c r="AE152" i="7"/>
  <c r="AC152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AD152" i="7"/>
  <c r="AE151" i="7"/>
  <c r="AC151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AD151" i="7"/>
  <c r="AE150" i="7"/>
  <c r="AC150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AD150" i="7"/>
  <c r="AE149" i="7"/>
  <c r="AC149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AE148" i="7"/>
  <c r="AC148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AD148" i="7" s="1"/>
  <c r="AE147" i="7"/>
  <c r="AC147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AD147" i="7" s="1"/>
  <c r="AE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AD146" i="7" s="1"/>
  <c r="AE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AE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AD144" i="7"/>
  <c r="AE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AD143" i="7"/>
  <c r="AE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AD142" i="7"/>
  <c r="AE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AD141" i="7"/>
  <c r="AE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AE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AD139" i="7" s="1"/>
  <c r="AE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AE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AD137" i="7"/>
  <c r="AE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AE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AD135" i="7" s="1"/>
  <c r="AE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AE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AD133" i="7"/>
  <c r="AE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AD132" i="7"/>
  <c r="AE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AD131" i="7"/>
  <c r="AE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AD130" i="7"/>
  <c r="AE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AD129" i="7"/>
  <c r="AE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AD128" i="7"/>
  <c r="AE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AD127" i="7"/>
  <c r="AE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AD126" i="7"/>
  <c r="AE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AD125" i="7"/>
  <c r="AE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AD124" i="7"/>
  <c r="AE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AD123" i="7"/>
  <c r="AE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AD122" i="7"/>
  <c r="AE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AE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AD120" i="7" s="1"/>
  <c r="AE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AE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AD118" i="7"/>
  <c r="AE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AD117" i="7"/>
  <c r="AE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AD116" i="7"/>
  <c r="AE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AE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AD114" i="7" s="1"/>
  <c r="AE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AD113" i="7" s="1"/>
  <c r="AE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AD112" i="7" s="1"/>
  <c r="AE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AD111" i="7" s="1"/>
  <c r="AE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AD110" i="7" s="1"/>
  <c r="AE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AD109" i="7" s="1"/>
  <c r="AE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AD108" i="7" s="1"/>
  <c r="AE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AD107" i="7" s="1"/>
  <c r="AE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AD106" i="7" s="1"/>
  <c r="AE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AE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AD104" i="7"/>
  <c r="AE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AE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AD102" i="7" s="1"/>
  <c r="AE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AD101" i="7" s="1"/>
  <c r="AE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AD100" i="7" s="1"/>
  <c r="AE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AE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AD98" i="7"/>
  <c r="AE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AE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AD96" i="7" s="1"/>
  <c r="AE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AD95" i="7" s="1"/>
  <c r="AE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AD94" i="7" s="1"/>
  <c r="AE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AE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AD92" i="7"/>
  <c r="AE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AD91" i="7"/>
  <c r="AE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AD90" i="7"/>
  <c r="AE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AD89" i="7"/>
  <c r="AE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AD88" i="7"/>
  <c r="AE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AD87" i="7"/>
  <c r="AE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AE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AD85" i="7" s="1"/>
  <c r="AE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AE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AD83" i="7"/>
  <c r="AE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AE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AD81" i="7" s="1"/>
  <c r="AE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AE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AD79" i="7"/>
  <c r="AE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AE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AD77" i="7" s="1"/>
  <c r="AE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AE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AD75" i="7"/>
  <c r="AE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AD74" i="7"/>
  <c r="AE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AD73" i="7"/>
  <c r="AE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AD72" i="7"/>
  <c r="AE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AD71" i="7"/>
  <c r="AE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AD70" i="7"/>
  <c r="AE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AD69" i="7"/>
  <c r="AE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AD68" i="7"/>
  <c r="AE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AD67" i="7"/>
  <c r="AE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AD66" i="7"/>
  <c r="AE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AD65" i="7"/>
  <c r="AE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AD64" i="7"/>
  <c r="AE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AD63" i="7"/>
  <c r="AE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AD62" i="7"/>
  <c r="AE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AD61" i="7"/>
  <c r="AE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AD60" i="7"/>
  <c r="AE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AD59" i="7"/>
  <c r="AE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AD58" i="7"/>
  <c r="AE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AD57" i="7"/>
  <c r="AE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AD56" i="7"/>
  <c r="AE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AD55" i="7"/>
  <c r="AE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AD54" i="7"/>
  <c r="AE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AD53" i="7"/>
  <c r="AE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AD52" i="7"/>
  <c r="AE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AD51" i="7"/>
  <c r="AE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AD50" i="7"/>
  <c r="AE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AE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AD48" i="7" s="1"/>
  <c r="AE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AE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AD46" i="7"/>
  <c r="AE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AE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AD44" i="7" s="1"/>
  <c r="AE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AE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AD42" i="7"/>
  <c r="AE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AE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AD40" i="7" s="1"/>
  <c r="AE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AD39" i="7" s="1"/>
  <c r="AE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AD38" i="7" s="1"/>
  <c r="AE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AD37" i="7" s="1"/>
  <c r="AE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AD36" i="7" s="1"/>
  <c r="AE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AD35" i="7" s="1"/>
  <c r="AE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AD34" i="7" s="1"/>
  <c r="AE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AD33" i="7" s="1"/>
  <c r="AE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AD32" i="7" s="1"/>
  <c r="AE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AD31" i="7" s="1"/>
  <c r="AE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AD30" i="7" s="1"/>
  <c r="AE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AD29" i="7" s="1"/>
  <c r="AE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AD28" i="7" s="1"/>
  <c r="AE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AD27" i="7" s="1"/>
  <c r="AE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AD26" i="7" s="1"/>
  <c r="AE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AD25" i="7" s="1"/>
  <c r="AE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AD24" i="7" s="1"/>
  <c r="AE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AD23" i="7" s="1"/>
  <c r="AE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AD22" i="7" s="1"/>
  <c r="AE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AD21" i="7" s="1"/>
  <c r="AE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AD20" i="7" s="1"/>
  <c r="AE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AD19" i="7" s="1"/>
  <c r="AE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AD18" i="7" s="1"/>
  <c r="AE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AD17" i="7" s="1"/>
  <c r="AE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AD16" i="7" s="1"/>
  <c r="AE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AE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AD14" i="7"/>
  <c r="AE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AE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AD12" i="7" s="1"/>
  <c r="AE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AD11" i="7" s="1"/>
  <c r="AE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AD10" i="7" s="1"/>
  <c r="AE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AD9" i="7" s="1"/>
  <c r="AE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AD8" i="7" s="1"/>
  <c r="AE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AD7" i="7" s="1"/>
  <c r="AE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AE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AD5" i="7"/>
  <c r="AE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AD4" i="7"/>
  <c r="AE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AD3" i="7"/>
  <c r="AE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 s="1"/>
  <c r="AD2" i="7" s="1"/>
  <c r="AE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AE365" i="6"/>
  <c r="AC365" i="6"/>
  <c r="AB365" i="6"/>
  <c r="AA365" i="6"/>
  <c r="Z365" i="6"/>
  <c r="Y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AD365" i="6"/>
  <c r="AE364" i="6"/>
  <c r="AC364" i="6"/>
  <c r="AB364" i="6"/>
  <c r="AA364" i="6"/>
  <c r="Z364" i="6"/>
  <c r="Y364" i="6"/>
  <c r="X364" i="6"/>
  <c r="W364" i="6"/>
  <c r="V364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AE363" i="6"/>
  <c r="AC363" i="6"/>
  <c r="AB363" i="6"/>
  <c r="AA363" i="6"/>
  <c r="Z363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AD363" i="6" s="1"/>
  <c r="AE362" i="6"/>
  <c r="AC362" i="6"/>
  <c r="AB362" i="6"/>
  <c r="AA362" i="6"/>
  <c r="Z362" i="6"/>
  <c r="Y362" i="6"/>
  <c r="X362" i="6"/>
  <c r="W362" i="6"/>
  <c r="V362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AE361" i="6"/>
  <c r="AC361" i="6"/>
  <c r="AB361" i="6"/>
  <c r="AA361" i="6"/>
  <c r="Z361" i="6"/>
  <c r="Y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AD361" i="6"/>
  <c r="AE360" i="6"/>
  <c r="AC360" i="6"/>
  <c r="AB360" i="6"/>
  <c r="AA360" i="6"/>
  <c r="Z360" i="6"/>
  <c r="Y360" i="6"/>
  <c r="X360" i="6"/>
  <c r="W360" i="6"/>
  <c r="V360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AE359" i="6"/>
  <c r="AC359" i="6"/>
  <c r="AB359" i="6"/>
  <c r="AA359" i="6"/>
  <c r="Z359" i="6"/>
  <c r="Y359" i="6"/>
  <c r="X359" i="6"/>
  <c r="W359" i="6"/>
  <c r="V359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AD359" i="6" s="1"/>
  <c r="AE358" i="6"/>
  <c r="AC358" i="6"/>
  <c r="AB358" i="6"/>
  <c r="AA358" i="6"/>
  <c r="Z358" i="6"/>
  <c r="Y358" i="6"/>
  <c r="X358" i="6"/>
  <c r="W358" i="6"/>
  <c r="V358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AD358" i="6" s="1"/>
  <c r="AE357" i="6"/>
  <c r="AC357" i="6"/>
  <c r="AB357" i="6"/>
  <c r="AA357" i="6"/>
  <c r="Z357" i="6"/>
  <c r="Y357" i="6"/>
  <c r="X357" i="6"/>
  <c r="W357" i="6"/>
  <c r="V357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AE356" i="6"/>
  <c r="AC356" i="6"/>
  <c r="AB356" i="6"/>
  <c r="AA356" i="6"/>
  <c r="Z356" i="6"/>
  <c r="Y356" i="6"/>
  <c r="X356" i="6"/>
  <c r="W356" i="6"/>
  <c r="V356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AD356" i="6"/>
  <c r="AE355" i="6"/>
  <c r="AC355" i="6"/>
  <c r="AB355" i="6"/>
  <c r="AA355" i="6"/>
  <c r="Z355" i="6"/>
  <c r="Y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AD355" i="6"/>
  <c r="AE354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AD354" i="6"/>
  <c r="AE353" i="6"/>
  <c r="AC353" i="6"/>
  <c r="AB353" i="6"/>
  <c r="AA353" i="6"/>
  <c r="Z353" i="6"/>
  <c r="Y353" i="6"/>
  <c r="X353" i="6"/>
  <c r="W353" i="6"/>
  <c r="V353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AD353" i="6"/>
  <c r="AE352" i="6"/>
  <c r="AC352" i="6"/>
  <c r="AB352" i="6"/>
  <c r="AA352" i="6"/>
  <c r="Z352" i="6"/>
  <c r="Y352" i="6"/>
  <c r="X352" i="6"/>
  <c r="W352" i="6"/>
  <c r="V352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AD352" i="6"/>
  <c r="AE351" i="6"/>
  <c r="AC351" i="6"/>
  <c r="AB351" i="6"/>
  <c r="AA351" i="6"/>
  <c r="Z351" i="6"/>
  <c r="Y351" i="6"/>
  <c r="X351" i="6"/>
  <c r="W351" i="6"/>
  <c r="V351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AE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AD350" i="6" s="1"/>
  <c r="AE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AD349" i="6" s="1"/>
  <c r="AE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AD348" i="6" s="1"/>
  <c r="AE347" i="6"/>
  <c r="AC347" i="6"/>
  <c r="AB347" i="6"/>
  <c r="AA347" i="6"/>
  <c r="Z347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AD347" i="6" s="1"/>
  <c r="AE346" i="6"/>
  <c r="AC346" i="6"/>
  <c r="AB346" i="6"/>
  <c r="AA346" i="6"/>
  <c r="Z346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AD346" i="6" s="1"/>
  <c r="AE345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AE344" i="6"/>
  <c r="AC344" i="6"/>
  <c r="AB344" i="6"/>
  <c r="AA344" i="6"/>
  <c r="Z344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AD344" i="6"/>
  <c r="AE343" i="6"/>
  <c r="AC343" i="6"/>
  <c r="AB343" i="6"/>
  <c r="AA343" i="6"/>
  <c r="Z343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AE342" i="6"/>
  <c r="AC342" i="6"/>
  <c r="AB342" i="6"/>
  <c r="AA342" i="6"/>
  <c r="Z342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AD342" i="6" s="1"/>
  <c r="AE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AD341" i="6" s="1"/>
  <c r="AE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AD340" i="6" s="1"/>
  <c r="AE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AE338" i="6"/>
  <c r="AC338" i="6"/>
  <c r="AB338" i="6"/>
  <c r="AA338" i="6"/>
  <c r="Z338" i="6"/>
  <c r="Y338" i="6"/>
  <c r="X338" i="6"/>
  <c r="W338" i="6"/>
  <c r="V338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AD338" i="6"/>
  <c r="AE337" i="6"/>
  <c r="AC337" i="6"/>
  <c r="AB337" i="6"/>
  <c r="AA337" i="6"/>
  <c r="Z337" i="6"/>
  <c r="Y337" i="6"/>
  <c r="X337" i="6"/>
  <c r="W337" i="6"/>
  <c r="V337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AE336" i="6"/>
  <c r="AC336" i="6"/>
  <c r="AB336" i="6"/>
  <c r="AA336" i="6"/>
  <c r="Z336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AD336" i="6" s="1"/>
  <c r="AE335" i="6"/>
  <c r="AC335" i="6"/>
  <c r="AB335" i="6"/>
  <c r="AA335" i="6"/>
  <c r="Z335" i="6"/>
  <c r="Y335" i="6"/>
  <c r="X335" i="6"/>
  <c r="W335" i="6"/>
  <c r="V335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AE334" i="6"/>
  <c r="AC334" i="6"/>
  <c r="AB334" i="6"/>
  <c r="AA334" i="6"/>
  <c r="Z334" i="6"/>
  <c r="Y334" i="6"/>
  <c r="X334" i="6"/>
  <c r="W334" i="6"/>
  <c r="V334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AD334" i="6"/>
  <c r="AE333" i="6"/>
  <c r="AC333" i="6"/>
  <c r="AB333" i="6"/>
  <c r="AA333" i="6"/>
  <c r="Z333" i="6"/>
  <c r="Y333" i="6"/>
  <c r="X333" i="6"/>
  <c r="W333" i="6"/>
  <c r="V333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AE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AD332" i="6" s="1"/>
  <c r="AE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AE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AD330" i="6"/>
  <c r="AE329" i="6"/>
  <c r="AC329" i="6"/>
  <c r="AB329" i="6"/>
  <c r="AA329" i="6"/>
  <c r="Z329" i="6"/>
  <c r="Y329" i="6"/>
  <c r="X329" i="6"/>
  <c r="W329" i="6"/>
  <c r="V329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AD329" i="6"/>
  <c r="AE328" i="6"/>
  <c r="AC328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AD328" i="6"/>
  <c r="AE327" i="6"/>
  <c r="AC327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AD327" i="6"/>
  <c r="AE326" i="6"/>
  <c r="AC326" i="6"/>
  <c r="AB326" i="6"/>
  <c r="AA326" i="6"/>
  <c r="Z326" i="6"/>
  <c r="Y326" i="6"/>
  <c r="X326" i="6"/>
  <c r="W326" i="6"/>
  <c r="V326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AD326" i="6"/>
  <c r="AE325" i="6"/>
  <c r="AC325" i="6"/>
  <c r="AB325" i="6"/>
  <c r="AA325" i="6"/>
  <c r="Z325" i="6"/>
  <c r="Y325" i="6"/>
  <c r="X325" i="6"/>
  <c r="W325" i="6"/>
  <c r="V325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AE324" i="6"/>
  <c r="AC324" i="6"/>
  <c r="AB324" i="6"/>
  <c r="AA324" i="6"/>
  <c r="Z324" i="6"/>
  <c r="Y324" i="6"/>
  <c r="X324" i="6"/>
  <c r="W324" i="6"/>
  <c r="V324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AD324" i="6" s="1"/>
  <c r="AE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AE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AD322" i="6"/>
  <c r="AE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AE320" i="6"/>
  <c r="AC320" i="6"/>
  <c r="AB320" i="6"/>
  <c r="AA320" i="6"/>
  <c r="Z320" i="6"/>
  <c r="Y320" i="6"/>
  <c r="X320" i="6"/>
  <c r="W320" i="6"/>
  <c r="V320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AD320" i="6" s="1"/>
  <c r="AE319" i="6"/>
  <c r="AC319" i="6"/>
  <c r="AB319" i="6"/>
  <c r="AA319" i="6"/>
  <c r="Z319" i="6"/>
  <c r="Y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AE318" i="6"/>
  <c r="AC318" i="6"/>
  <c r="AB318" i="6"/>
  <c r="AA318" i="6"/>
  <c r="Z318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AD318" i="6"/>
  <c r="AE317" i="6"/>
  <c r="AC317" i="6"/>
  <c r="AB317" i="6"/>
  <c r="AA317" i="6"/>
  <c r="Z317" i="6"/>
  <c r="Y317" i="6"/>
  <c r="X317" i="6"/>
  <c r="W317" i="6"/>
  <c r="V317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AE316" i="6"/>
  <c r="AC316" i="6"/>
  <c r="AB316" i="6"/>
  <c r="AA316" i="6"/>
  <c r="Z316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AD316" i="6" s="1"/>
  <c r="AE315" i="6"/>
  <c r="AC315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AE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AD314" i="6"/>
  <c r="AE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AE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AD312" i="6" s="1"/>
  <c r="AE311" i="6"/>
  <c r="AC311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AE310" i="6"/>
  <c r="AC310" i="6"/>
  <c r="AB310" i="6"/>
  <c r="AA310" i="6"/>
  <c r="Z310" i="6"/>
  <c r="Y310" i="6"/>
  <c r="X310" i="6"/>
  <c r="W310" i="6"/>
  <c r="V310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AD310" i="6"/>
  <c r="AE309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AE308" i="6"/>
  <c r="AC308" i="6"/>
  <c r="AB308" i="6"/>
  <c r="AA308" i="6"/>
  <c r="Z308" i="6"/>
  <c r="Y308" i="6"/>
  <c r="X308" i="6"/>
  <c r="W308" i="6"/>
  <c r="V308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AD308" i="6" s="1"/>
  <c r="AE307" i="6"/>
  <c r="AC307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AE306" i="6"/>
  <c r="AC306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AD306" i="6"/>
  <c r="AE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AE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AD304" i="6" s="1"/>
  <c r="AE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AE302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AD302" i="6"/>
  <c r="AE301" i="6"/>
  <c r="AC301" i="6"/>
  <c r="AB301" i="6"/>
  <c r="AA301" i="6"/>
  <c r="Z301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AE300" i="6"/>
  <c r="AC300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AD300" i="6" s="1"/>
  <c r="AE299" i="6"/>
  <c r="AC299" i="6"/>
  <c r="AB299" i="6"/>
  <c r="AA299" i="6"/>
  <c r="Z299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AD299" i="6" s="1"/>
  <c r="AE298" i="6"/>
  <c r="AC298" i="6"/>
  <c r="AB298" i="6"/>
  <c r="AA298" i="6"/>
  <c r="Z298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AD298" i="6" s="1"/>
  <c r="AE297" i="6"/>
  <c r="AC297" i="6"/>
  <c r="AB297" i="6"/>
  <c r="AA297" i="6"/>
  <c r="Z297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AD297" i="6" s="1"/>
  <c r="AE296" i="6"/>
  <c r="AC296" i="6"/>
  <c r="AB296" i="6"/>
  <c r="AA296" i="6"/>
  <c r="Z296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AD296" i="6" s="1"/>
  <c r="AE295" i="6"/>
  <c r="AC295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AD295" i="6" s="1"/>
  <c r="AE294" i="6"/>
  <c r="AC294" i="6"/>
  <c r="AB294" i="6"/>
  <c r="AA294" i="6"/>
  <c r="Z294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AD294" i="6" s="1"/>
  <c r="AE293" i="6"/>
  <c r="AC293" i="6"/>
  <c r="AB293" i="6"/>
  <c r="AA293" i="6"/>
  <c r="Z293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AD293" i="6" s="1"/>
  <c r="AE292" i="6"/>
  <c r="AC292" i="6"/>
  <c r="AB292" i="6"/>
  <c r="AA292" i="6"/>
  <c r="Z292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AD292" i="6" s="1"/>
  <c r="AE291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AD291" i="6" s="1"/>
  <c r="AE290" i="6"/>
  <c r="AC290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AD290" i="6" s="1"/>
  <c r="AE289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AD289" i="6" s="1"/>
  <c r="AE288" i="6"/>
  <c r="AC288" i="6"/>
  <c r="AB288" i="6"/>
  <c r="AA288" i="6"/>
  <c r="Z288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AE287" i="6"/>
  <c r="AC287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AD287" i="6"/>
  <c r="AE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AE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AD285" i="6" s="1"/>
  <c r="AE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AE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AD283" i="6"/>
  <c r="AE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AE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AD281" i="6" s="1"/>
  <c r="AE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AE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AD279" i="6"/>
  <c r="AE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AE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AD277" i="6" s="1"/>
  <c r="AE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AE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AD275" i="6"/>
  <c r="AE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AE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AD273" i="6" s="1"/>
  <c r="AE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AD272" i="6" s="1"/>
  <c r="AE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AD271" i="6" s="1"/>
  <c r="AE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AD270" i="6" s="1"/>
  <c r="AE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AE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AD268" i="6"/>
  <c r="AE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AE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AD266" i="6" s="1"/>
  <c r="AE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AE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AD264" i="6"/>
  <c r="AE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AD263" i="6"/>
  <c r="AE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AD262" i="6"/>
  <c r="AE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AD261" i="6"/>
  <c r="AE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AD260" i="6"/>
  <c r="AE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AD259" i="6"/>
  <c r="AE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AD258" i="6"/>
  <c r="AE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AE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AD256" i="6" s="1"/>
  <c r="AE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AE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AD254" i="6"/>
  <c r="AE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AD253" i="6"/>
  <c r="AE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AD252" i="6"/>
  <c r="AE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AD251" i="6"/>
  <c r="AE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AD250" i="6"/>
  <c r="AE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AD249" i="6"/>
  <c r="AE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AD248" i="6"/>
  <c r="AE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AD247" i="6"/>
  <c r="AE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AD246" i="6"/>
  <c r="AE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AD245" i="6"/>
  <c r="AE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AD244" i="6"/>
  <c r="AE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AD243" i="6"/>
  <c r="AE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AD242" i="6"/>
  <c r="AE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AE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AD240" i="6" s="1"/>
  <c r="AE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AE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AD238" i="6"/>
  <c r="AE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AE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AD236" i="6" s="1"/>
  <c r="AE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AD235" i="6" s="1"/>
  <c r="AE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AD234" i="6" s="1"/>
  <c r="AE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AE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AD232" i="6"/>
  <c r="AE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AD231" i="6"/>
  <c r="AE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AD230" i="6"/>
  <c r="AE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AE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AD228" i="6" s="1"/>
  <c r="AE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AD227" i="6" s="1"/>
  <c r="AE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AD226" i="6" s="1"/>
  <c r="AE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AE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AD224" i="6"/>
  <c r="AE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AD223" i="6"/>
  <c r="AE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AD222" i="6"/>
  <c r="AE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AE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AD220" i="6" s="1"/>
  <c r="AE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AD219" i="6" s="1"/>
  <c r="AE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AD218" i="6" s="1"/>
  <c r="AE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AD217" i="6" s="1"/>
  <c r="AE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AD216" i="6" s="1"/>
  <c r="AE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AE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AD214" i="6"/>
  <c r="AE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AE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AD212" i="6" s="1"/>
  <c r="AE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AE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AD210" i="6"/>
  <c r="AE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AE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AD208" i="6" s="1"/>
  <c r="AE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AE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AD206" i="6"/>
  <c r="AE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AE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AD204" i="6" s="1"/>
  <c r="AE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AE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AD202" i="6"/>
  <c r="AE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AE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AD200" i="6" s="1"/>
  <c r="AE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AE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AD198" i="6"/>
  <c r="AE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AE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AE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AE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AD194" i="6" s="1"/>
  <c r="AE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AE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AD192" i="6"/>
  <c r="AE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AE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AD190" i="6" s="1"/>
  <c r="AE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AD189" i="6" s="1"/>
  <c r="AE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AD188" i="6" s="1"/>
  <c r="AE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AE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AD186" i="6"/>
  <c r="AE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AD185" i="6"/>
  <c r="AE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AD184" i="6"/>
  <c r="AE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AD183" i="6"/>
  <c r="AE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AD182" i="6"/>
  <c r="AE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AD181" i="6"/>
  <c r="AE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AD180" i="6"/>
  <c r="AE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AD179" i="6"/>
  <c r="AE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AD178" i="6"/>
  <c r="AE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AE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AD176" i="6" s="1"/>
  <c r="AE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AD175" i="6" s="1"/>
  <c r="AE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AD174" i="6" s="1"/>
  <c r="AE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AD173" i="6" s="1"/>
  <c r="AE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AD172" i="6" s="1"/>
  <c r="AE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AD171" i="6" s="1"/>
  <c r="AE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AD170" i="6" s="1"/>
  <c r="AE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AE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AD168" i="6"/>
  <c r="AE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AD167" i="6"/>
  <c r="AE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AD166" i="6"/>
  <c r="AE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AD165" i="6"/>
  <c r="AE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AD164" i="6"/>
  <c r="AE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AE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AD162" i="6" s="1"/>
  <c r="AE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AE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AD160" i="6"/>
  <c r="AE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AE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AD158" i="6" s="1"/>
  <c r="AE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AE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AD156" i="6"/>
  <c r="AE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AE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AD154" i="6" s="1"/>
  <c r="AE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AD153" i="6" s="1"/>
  <c r="AE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AE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AD151" i="6"/>
  <c r="AE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AD150" i="6"/>
  <c r="AE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AD149" i="6"/>
  <c r="AE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AD148" i="6"/>
  <c r="AE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AD147" i="6"/>
  <c r="AE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AD146" i="6"/>
  <c r="AE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AD145" i="6"/>
  <c r="AE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AD144" i="6"/>
  <c r="AE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AD143" i="6"/>
  <c r="AE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AD142" i="6"/>
  <c r="AE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AE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AD140" i="6" s="1"/>
  <c r="AE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AE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AD138" i="6"/>
  <c r="AE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AE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AD136" i="6" s="1"/>
  <c r="AE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AE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AD134" i="6"/>
  <c r="AE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AE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AD132" i="6" s="1"/>
  <c r="AE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AE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AD130" i="6"/>
  <c r="AE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AE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AD128" i="6" s="1"/>
  <c r="AE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AD127" i="6" s="1"/>
  <c r="AE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AD126" i="6" s="1"/>
  <c r="AE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AD125" i="6" s="1"/>
  <c r="AE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AD124" i="6" s="1"/>
  <c r="AE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AD123" i="6" s="1"/>
  <c r="AE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AD122" i="6" s="1"/>
  <c r="AE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AE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AD120" i="6"/>
  <c r="AE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AE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AD118" i="6" s="1"/>
  <c r="AE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AD117" i="6" s="1"/>
  <c r="AE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AD116" i="6" s="1"/>
  <c r="AE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AE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AD114" i="6"/>
  <c r="AE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AE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AD112" i="6" s="1"/>
  <c r="AE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AD111" i="6" s="1"/>
  <c r="AE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AE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AD109" i="6"/>
  <c r="AE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AD108" i="6"/>
  <c r="AE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AD107" i="6"/>
  <c r="AE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AD106" i="6"/>
  <c r="AE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AD105" i="6"/>
  <c r="AE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AD104" i="6"/>
  <c r="AE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AD103" i="6"/>
  <c r="AE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AD102" i="6"/>
  <c r="AE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AD101" i="6"/>
  <c r="AE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AD100" i="6"/>
  <c r="AE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AD99" i="6"/>
  <c r="AE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AE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AD97" i="6" s="1"/>
  <c r="AE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AD96" i="6" s="1"/>
  <c r="AE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AD95" i="6" s="1"/>
  <c r="AE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AE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AD93" i="6"/>
  <c r="AE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AD92" i="6"/>
  <c r="AE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AD91" i="6"/>
  <c r="AE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AE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AD89" i="6" s="1"/>
  <c r="AE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AD88" i="6" s="1"/>
  <c r="AE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AD87" i="6" s="1"/>
  <c r="AE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AD86" i="6" s="1"/>
  <c r="AE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AD85" i="6" s="1"/>
  <c r="AE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AD84" i="6" s="1"/>
  <c r="AE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AE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AD82" i="6"/>
  <c r="AE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AE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AE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AD79" i="6"/>
  <c r="AE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AE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AD77" i="6" s="1"/>
  <c r="AE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AE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AD75" i="6"/>
  <c r="AE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AD74" i="6"/>
  <c r="AE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AE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AD72" i="6" s="1"/>
  <c r="AE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AE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AD70" i="6"/>
  <c r="AE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AE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AD68" i="6" s="1"/>
  <c r="AE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AD67" i="6" s="1"/>
  <c r="AE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AD66" i="6" s="1"/>
  <c r="AE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AD65" i="6" s="1"/>
  <c r="AE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AD64" i="6" s="1"/>
  <c r="AE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AE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AD62" i="6"/>
  <c r="AE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AE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AD60" i="6" s="1"/>
  <c r="AE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AE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AD58" i="6"/>
  <c r="AE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AE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AD56" i="6" s="1"/>
  <c r="AE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AE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AD54" i="6"/>
  <c r="AE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AE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AD52" i="6" s="1"/>
  <c r="AE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AE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AD50" i="6"/>
  <c r="AE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AE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AD48" i="6" s="1"/>
  <c r="AE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AE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AD46" i="6"/>
  <c r="AE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AE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AD44" i="6" s="1"/>
  <c r="AE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AE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AD42" i="6"/>
  <c r="AE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AE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AD40" i="6" s="1"/>
  <c r="AE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AE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AD38" i="6"/>
  <c r="AE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AE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AD36" i="6" s="1"/>
  <c r="AE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AE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AD34" i="6"/>
  <c r="AE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AE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AD32" i="6" s="1"/>
  <c r="AE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AD31" i="6" s="1"/>
  <c r="AE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AD30" i="6" s="1"/>
  <c r="AE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AD29" i="6" s="1"/>
  <c r="AE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AD28" i="6" s="1"/>
  <c r="AE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AE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AD26" i="6"/>
  <c r="AE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AD25" i="6"/>
  <c r="AE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AD24" i="6"/>
  <c r="AE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AD23" i="6"/>
  <c r="AE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AD22" i="6"/>
  <c r="AE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AD21" i="6"/>
  <c r="AE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AD20" i="6"/>
  <c r="AE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AD19" i="6"/>
  <c r="AE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AD18" i="6"/>
  <c r="AE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AE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AD16" i="6" s="1"/>
  <c r="AE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AE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AD14" i="6"/>
  <c r="AE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AE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AD12" i="6" s="1"/>
  <c r="AE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AE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AD10" i="6"/>
  <c r="AE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AD9" i="6"/>
  <c r="AE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AD8" i="6"/>
  <c r="AE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AE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AD6" i="6" s="1"/>
  <c r="AE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AE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AD4" i="6"/>
  <c r="AE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AD3" i="6"/>
  <c r="AE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 s="1"/>
  <c r="AD2" i="6" s="1"/>
  <c r="AE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AD1" i="6" s="1"/>
  <c r="AE365" i="5"/>
  <c r="AC365" i="5"/>
  <c r="AB365" i="5"/>
  <c r="AA365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AD365" i="5" s="1"/>
  <c r="AE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AE363" i="5"/>
  <c r="AC363" i="5"/>
  <c r="AB363" i="5"/>
  <c r="AA363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AD363" i="5"/>
  <c r="AE362" i="5"/>
  <c r="AC362" i="5"/>
  <c r="AB362" i="5"/>
  <c r="AA362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AE361" i="5"/>
  <c r="AC361" i="5"/>
  <c r="AB361" i="5"/>
  <c r="AA361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AE360" i="5"/>
  <c r="AC360" i="5"/>
  <c r="AB360" i="5"/>
  <c r="AA360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AD360" i="5"/>
  <c r="AE359" i="5"/>
  <c r="AC359" i="5"/>
  <c r="AB359" i="5"/>
  <c r="AA359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AE358" i="5"/>
  <c r="AC358" i="5"/>
  <c r="AB358" i="5"/>
  <c r="AA358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AD358" i="5" s="1"/>
  <c r="AE357" i="5"/>
  <c r="AC357" i="5"/>
  <c r="AB357" i="5"/>
  <c r="AA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AE356" i="5"/>
  <c r="AC356" i="5"/>
  <c r="AB356" i="5"/>
  <c r="AA356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AD356" i="5"/>
  <c r="AE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AD355" i="5"/>
  <c r="AE354" i="5"/>
  <c r="AC354" i="5"/>
  <c r="AB354" i="5"/>
  <c r="AA354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AD354" i="5"/>
  <c r="AE353" i="5"/>
  <c r="AC353" i="5"/>
  <c r="AB353" i="5"/>
  <c r="AA353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AD353" i="5"/>
  <c r="AE352" i="5"/>
  <c r="AC352" i="5"/>
  <c r="AB352" i="5"/>
  <c r="AA352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AD352" i="5"/>
  <c r="AE351" i="5"/>
  <c r="AC351" i="5"/>
  <c r="AB351" i="5"/>
  <c r="AA351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AE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AD350" i="5" s="1"/>
  <c r="AE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AE348" i="5"/>
  <c r="AC348" i="5"/>
  <c r="AB348" i="5"/>
  <c r="AA348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AD348" i="5"/>
  <c r="AE347" i="5"/>
  <c r="AC347" i="5"/>
  <c r="AB347" i="5"/>
  <c r="AA347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AE346" i="5"/>
  <c r="AC346" i="5"/>
  <c r="AB346" i="5"/>
  <c r="AA346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AD346" i="5" s="1"/>
  <c r="AE345" i="5"/>
  <c r="AC345" i="5"/>
  <c r="AB345" i="5"/>
  <c r="AA345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AE344" i="5"/>
  <c r="AC344" i="5"/>
  <c r="AB344" i="5"/>
  <c r="AA344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AD344" i="5"/>
  <c r="AE343" i="5"/>
  <c r="AC343" i="5"/>
  <c r="AB343" i="5"/>
  <c r="AA343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AE342" i="5"/>
  <c r="AC342" i="5"/>
  <c r="AB342" i="5"/>
  <c r="AA342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AD342" i="5" s="1"/>
  <c r="AE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AE340" i="5"/>
  <c r="AC340" i="5"/>
  <c r="AB340" i="5"/>
  <c r="AA340" i="5"/>
  <c r="Z340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AD340" i="5"/>
  <c r="AE339" i="5"/>
  <c r="AC339" i="5"/>
  <c r="AB339" i="5"/>
  <c r="AA339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AE338" i="5"/>
  <c r="AC338" i="5"/>
  <c r="AB338" i="5"/>
  <c r="AA338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AD338" i="5" s="1"/>
  <c r="AE337" i="5"/>
  <c r="AC337" i="5"/>
  <c r="AB337" i="5"/>
  <c r="AA337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AE336" i="5"/>
  <c r="AC336" i="5"/>
  <c r="AB336" i="5"/>
  <c r="AA336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AD336" i="5"/>
  <c r="AE335" i="5"/>
  <c r="AC335" i="5"/>
  <c r="AB335" i="5"/>
  <c r="AA335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AE334" i="5"/>
  <c r="AC334" i="5"/>
  <c r="AB334" i="5"/>
  <c r="AA334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AD334" i="5" s="1"/>
  <c r="AE333" i="5"/>
  <c r="AC333" i="5"/>
  <c r="AB333" i="5"/>
  <c r="AA333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AE332" i="5"/>
  <c r="AC332" i="5"/>
  <c r="AB332" i="5"/>
  <c r="AA332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AD332" i="5"/>
  <c r="AE331" i="5"/>
  <c r="AC331" i="5"/>
  <c r="AB331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AE330" i="5"/>
  <c r="AC330" i="5"/>
  <c r="AB330" i="5"/>
  <c r="AA330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AD330" i="5" s="1"/>
  <c r="AE329" i="5"/>
  <c r="AC329" i="5"/>
  <c r="AB329" i="5"/>
  <c r="AA329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AE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AD328" i="5"/>
  <c r="AE327" i="5"/>
  <c r="AC327" i="5"/>
  <c r="AB327" i="5"/>
  <c r="AA327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AE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AD326" i="5" s="1"/>
  <c r="AE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AD325" i="5" s="1"/>
  <c r="AE324" i="5"/>
  <c r="AC324" i="5"/>
  <c r="AB324" i="5"/>
  <c r="AA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AD324" i="5" s="1"/>
  <c r="AE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AE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AD322" i="5"/>
  <c r="AE321" i="5"/>
  <c r="AC321" i="5"/>
  <c r="AB321" i="5"/>
  <c r="AA321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AE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AD320" i="5" s="1"/>
  <c r="AE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AE318" i="5"/>
  <c r="AC318" i="5"/>
  <c r="AB318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AD318" i="5"/>
  <c r="AE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AE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AD316" i="5" s="1"/>
  <c r="AE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AE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AD314" i="5"/>
  <c r="AE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AE312" i="5"/>
  <c r="AC312" i="5"/>
  <c r="AB312" i="5"/>
  <c r="AA312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AD312" i="5" s="1"/>
  <c r="AE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AE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AD310" i="5"/>
  <c r="AE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AE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AD308" i="5" s="1"/>
  <c r="AE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AE306" i="5"/>
  <c r="AC306" i="5"/>
  <c r="AB306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AD306" i="5"/>
  <c r="AE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AE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AD304" i="5" s="1"/>
  <c r="AE303" i="5"/>
  <c r="AC303" i="5"/>
  <c r="AB303" i="5"/>
  <c r="AA303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AE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AD302" i="5"/>
  <c r="AE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AE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AD300" i="5" s="1"/>
  <c r="AE299" i="5"/>
  <c r="AC299" i="5"/>
  <c r="AB299" i="5"/>
  <c r="AA299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AE298" i="5"/>
  <c r="AC298" i="5"/>
  <c r="AB298" i="5"/>
  <c r="AA298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AD298" i="5"/>
  <c r="AE297" i="5"/>
  <c r="AC297" i="5"/>
  <c r="AB297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AE296" i="5"/>
  <c r="AC296" i="5"/>
  <c r="AB296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AD296" i="5" s="1"/>
  <c r="AE295" i="5"/>
  <c r="AC295" i="5"/>
  <c r="AB295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AE294" i="5"/>
  <c r="AC294" i="5"/>
  <c r="AB294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AD294" i="5"/>
  <c r="AE293" i="5"/>
  <c r="AC293" i="5"/>
  <c r="AB293" i="5"/>
  <c r="AA293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AE292" i="5"/>
  <c r="AC292" i="5"/>
  <c r="AB292" i="5"/>
  <c r="AA292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AD292" i="5" s="1"/>
  <c r="AE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AE290" i="5"/>
  <c r="AC290" i="5"/>
  <c r="AB290" i="5"/>
  <c r="AA290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AD290" i="5"/>
  <c r="AE289" i="5"/>
  <c r="AC289" i="5"/>
  <c r="AB289" i="5"/>
  <c r="AA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AE288" i="5"/>
  <c r="AC288" i="5"/>
  <c r="AB288" i="5"/>
  <c r="AA288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AD288" i="5" s="1"/>
  <c r="AE287" i="5"/>
  <c r="AC287" i="5"/>
  <c r="AB287" i="5"/>
  <c r="AA287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AE286" i="5"/>
  <c r="AC286" i="5"/>
  <c r="AB286" i="5"/>
  <c r="AA286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AD286" i="5"/>
  <c r="AE285" i="5"/>
  <c r="AC285" i="5"/>
  <c r="AB285" i="5"/>
  <c r="AA285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AD285" i="5"/>
  <c r="AE284" i="5"/>
  <c r="AC284" i="5"/>
  <c r="AB284" i="5"/>
  <c r="AA284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AD284" i="5"/>
  <c r="AE283" i="5"/>
  <c r="AC283" i="5"/>
  <c r="AB283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AE282" i="5"/>
  <c r="AC282" i="5"/>
  <c r="AB282" i="5"/>
  <c r="AA282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AD282" i="5" s="1"/>
  <c r="AE281" i="5"/>
  <c r="AC281" i="5"/>
  <c r="AB281" i="5"/>
  <c r="AA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AE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AD280" i="5"/>
  <c r="AE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AD279" i="5"/>
  <c r="AE278" i="5"/>
  <c r="AC278" i="5"/>
  <c r="AB278" i="5"/>
  <c r="AA278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AD278" i="5"/>
  <c r="AE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AE276" i="5"/>
  <c r="AC276" i="5"/>
  <c r="AB276" i="5"/>
  <c r="AA276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AD276" i="5" s="1"/>
  <c r="AE275" i="5"/>
  <c r="AC275" i="5"/>
  <c r="AB275" i="5"/>
  <c r="AA275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AE274" i="5"/>
  <c r="AC274" i="5"/>
  <c r="AB274" i="5"/>
  <c r="AA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AD274" i="5"/>
  <c r="AE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AE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AD272" i="5" s="1"/>
  <c r="AE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AE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AD270" i="5"/>
  <c r="AE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AD269" i="5"/>
  <c r="AE268" i="5"/>
  <c r="AC268" i="5"/>
  <c r="AB268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AD268" i="5"/>
  <c r="AE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AD267" i="5"/>
  <c r="AE266" i="5"/>
  <c r="AC266" i="5"/>
  <c r="AB266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AD266" i="5"/>
  <c r="AE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AE264" i="5"/>
  <c r="AC264" i="5"/>
  <c r="AB264" i="5"/>
  <c r="AA264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AD264" i="5" s="1"/>
  <c r="AE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AD263" i="5" s="1"/>
  <c r="AE262" i="5"/>
  <c r="AC262" i="5"/>
  <c r="AB262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AD262" i="5" s="1"/>
  <c r="AE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AD261" i="5" s="1"/>
  <c r="AE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AD260" i="5" s="1"/>
  <c r="AE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AD259" i="5" s="1"/>
  <c r="AE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AD258" i="5" s="1"/>
  <c r="AE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AD257" i="5" s="1"/>
  <c r="AE256" i="5"/>
  <c r="AC256" i="5"/>
  <c r="AB256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AD256" i="5" s="1"/>
  <c r="AE255" i="5"/>
  <c r="AC255" i="5"/>
  <c r="AB255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AE254" i="5"/>
  <c r="AC254" i="5"/>
  <c r="AB254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AD254" i="5"/>
  <c r="AE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AE252" i="5"/>
  <c r="AC252" i="5"/>
  <c r="AB252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AD252" i="5" s="1"/>
  <c r="AE251" i="5"/>
  <c r="AC251" i="5"/>
  <c r="AB251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AD251" i="5" s="1"/>
  <c r="AE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AD250" i="5" s="1"/>
  <c r="AE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AD249" i="5" s="1"/>
  <c r="AE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AD248" i="5" s="1"/>
  <c r="AE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AD247" i="5" s="1"/>
  <c r="AE246" i="5"/>
  <c r="AC246" i="5"/>
  <c r="AB246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AD246" i="5" s="1"/>
  <c r="AE245" i="5"/>
  <c r="AC245" i="5"/>
  <c r="AB245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AE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AD244" i="5"/>
  <c r="AE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AE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AD242" i="5" s="1"/>
  <c r="AE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AE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AD240" i="5"/>
  <c r="AE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AD239" i="5"/>
  <c r="AE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AD238" i="5"/>
  <c r="AE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AD237" i="5"/>
  <c r="AE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AD236" i="5"/>
  <c r="AE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AD235" i="5"/>
  <c r="AE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AD234" i="5"/>
  <c r="AE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AE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AD232" i="5" s="1"/>
  <c r="AE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AE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AD230" i="5"/>
  <c r="AE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AE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AD228" i="5" s="1"/>
  <c r="AE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AD227" i="5" s="1"/>
  <c r="AE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AE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AD225" i="5"/>
  <c r="AE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AD224" i="5"/>
  <c r="AE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AD223" i="5"/>
  <c r="AE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AD222" i="5"/>
  <c r="AE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AE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AD220" i="5" s="1"/>
  <c r="AE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AD219" i="5" s="1"/>
  <c r="AE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AD218" i="5" s="1"/>
  <c r="AE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AD217" i="5" s="1"/>
  <c r="AE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AD216" i="5" s="1"/>
  <c r="AE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AD215" i="5" s="1"/>
  <c r="AE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AD214" i="5" s="1"/>
  <c r="AE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AE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AD212" i="5"/>
  <c r="AE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AD211" i="5"/>
  <c r="AE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AD210" i="5"/>
  <c r="AE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AE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AD208" i="5" s="1"/>
  <c r="AE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AD207" i="5" s="1"/>
  <c r="AE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AD206" i="5" s="1"/>
  <c r="AE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AD205" i="5" s="1"/>
  <c r="AE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AD204" i="5" s="1"/>
  <c r="AE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AD203" i="5" s="1"/>
  <c r="AE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AD202" i="5" s="1"/>
  <c r="AE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AD201" i="5" s="1"/>
  <c r="AE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AE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AD199" i="5"/>
  <c r="AE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AE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AD197" i="5" s="1"/>
  <c r="AE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AE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AD195" i="5"/>
  <c r="AE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AE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AE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AD192" i="5"/>
  <c r="AE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AE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AD190" i="5" s="1"/>
  <c r="AE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AE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AD188" i="5"/>
  <c r="AE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AE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AD186" i="5" s="1"/>
  <c r="AE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AE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AD184" i="5"/>
  <c r="AE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AE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AD182" i="5" s="1"/>
  <c r="AE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AE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AD180" i="5"/>
  <c r="AE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AE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AD178" i="5" s="1"/>
  <c r="AE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AE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AD176" i="5"/>
  <c r="AE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AE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AD174" i="5" s="1"/>
  <c r="AE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AE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AD172" i="5"/>
  <c r="AE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AE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AD170" i="5" s="1"/>
  <c r="AE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AD169" i="5" s="1"/>
  <c r="AE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AD168" i="5" s="1"/>
  <c r="AE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AD167" i="5" s="1"/>
  <c r="AE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AE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AE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AD164" i="5" s="1"/>
  <c r="AE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AE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AD162" i="5"/>
  <c r="AE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AE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AD160" i="5" s="1"/>
  <c r="AE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AE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AD158" i="5"/>
  <c r="AE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AE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AD156" i="5" s="1"/>
  <c r="AE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AD155" i="5" s="1"/>
  <c r="AE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AE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AD153" i="5"/>
  <c r="AE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AD152" i="5"/>
  <c r="AE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AE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AD150" i="5" s="1"/>
  <c r="AE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AD149" i="5" s="1"/>
  <c r="AE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AE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AD147" i="5"/>
  <c r="AE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AE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AD145" i="5" s="1"/>
  <c r="AE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AD144" i="5" s="1"/>
  <c r="AE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AD143" i="5" s="1"/>
  <c r="AE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AD142" i="5" s="1"/>
  <c r="AE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AE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AD140" i="5"/>
  <c r="AE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AE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AD138" i="5" s="1"/>
  <c r="AE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AE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AD136" i="5"/>
  <c r="AE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AE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AD134" i="5" s="1"/>
  <c r="AE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AE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AD132" i="5"/>
  <c r="AE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AE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AD130" i="5" s="1"/>
  <c r="AE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AE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AE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AD127" i="5" s="1"/>
  <c r="AE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AD126" i="5" s="1"/>
  <c r="AE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AD125" i="5" s="1"/>
  <c r="AE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AD124" i="5" s="1"/>
  <c r="AE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AD123" i="5" s="1"/>
  <c r="AE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AD122" i="5" s="1"/>
  <c r="AE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AE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AD120" i="5"/>
  <c r="AE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AE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AD118" i="5" s="1"/>
  <c r="AE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AE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AD116" i="5"/>
  <c r="AE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AE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AD114" i="5" s="1"/>
  <c r="AE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AD113" i="5" s="1"/>
  <c r="AE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AD112" i="5" s="1"/>
  <c r="AE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AE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AD110" i="5"/>
  <c r="AE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AE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AD108" i="5" s="1"/>
  <c r="AE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AE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AD106" i="5"/>
  <c r="AE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AE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AD104" i="5" s="1"/>
  <c r="AE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AE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AD102" i="5"/>
  <c r="AE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AE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AD100" i="5" s="1"/>
  <c r="AE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AD99" i="5" s="1"/>
  <c r="AE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AE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AD97" i="5"/>
  <c r="AE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AD96" i="5"/>
  <c r="AE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AD95" i="5"/>
  <c r="AE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AD94" i="5"/>
  <c r="AE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AD93" i="5"/>
  <c r="AE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AD92" i="5"/>
  <c r="AE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AD91" i="5"/>
  <c r="AE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AD90" i="5"/>
  <c r="AE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AD89" i="5"/>
  <c r="AE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AD88" i="5"/>
  <c r="AE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AE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AD86" i="5" s="1"/>
  <c r="AE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AE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AD84" i="5"/>
  <c r="AE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AE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AD82" i="5" s="1"/>
  <c r="AE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AD81" i="5" s="1"/>
  <c r="AE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AD80" i="5" s="1"/>
  <c r="AE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AE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AD78" i="5"/>
  <c r="AE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AE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AD76" i="5" s="1"/>
  <c r="AE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AE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AD74" i="5"/>
  <c r="AE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AE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AD72" i="5" s="1"/>
  <c r="AE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AE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AD70" i="5"/>
  <c r="AE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AE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AD68" i="5" s="1"/>
  <c r="AE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AE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AD66" i="5"/>
  <c r="AE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AE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AD64" i="5" s="1"/>
  <c r="AE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AE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AD62" i="5"/>
  <c r="AE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AD61" i="5"/>
  <c r="AE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AD60" i="5"/>
  <c r="AE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AD59" i="5"/>
  <c r="AE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AD58" i="5"/>
  <c r="AE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AE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AD56" i="5" s="1"/>
  <c r="AE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AD55" i="5" s="1"/>
  <c r="AE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AD54" i="5" s="1"/>
  <c r="AE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AD53" i="5" s="1"/>
  <c r="AE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AD52" i="5" s="1"/>
  <c r="AE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AE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AD50" i="5"/>
  <c r="AE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AE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AD48" i="5" s="1"/>
  <c r="AE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AE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AD46" i="5"/>
  <c r="AE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AE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AD44" i="5" s="1"/>
  <c r="AE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AE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AD42" i="5"/>
  <c r="AE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AE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AD40" i="5" s="1"/>
  <c r="AE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AD39" i="5" s="1"/>
  <c r="AE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AD38" i="5" s="1"/>
  <c r="AE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AE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AD36" i="5"/>
  <c r="AE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AD35" i="5"/>
  <c r="AE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AD34" i="5"/>
  <c r="AE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AE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AD32" i="5" s="1"/>
  <c r="AE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AE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AD30" i="5"/>
  <c r="AE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AD29" i="5"/>
  <c r="AE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AE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AE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AD26" i="5"/>
  <c r="AE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AD25" i="5"/>
  <c r="AE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AD24" i="5"/>
  <c r="AE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AD23" i="5"/>
  <c r="AE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AD22" i="5"/>
  <c r="AE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AD21" i="5"/>
  <c r="AE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AD20" i="5"/>
  <c r="AE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AE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AD18" i="5" s="1"/>
  <c r="AE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AE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AD16" i="5"/>
  <c r="AE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AD15" i="5"/>
  <c r="AE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AD14" i="5"/>
  <c r="AE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AD13" i="5"/>
  <c r="AE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AD12" i="5"/>
  <c r="AE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AE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AD10" i="5" s="1"/>
  <c r="AE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AD9" i="5" s="1"/>
  <c r="AE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AD8" i="5" s="1"/>
  <c r="AE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AD7" i="5" s="1"/>
  <c r="AE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AE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AD5" i="5"/>
  <c r="AE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AD4" i="5"/>
  <c r="AE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AD3" i="5"/>
  <c r="AE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 s="1"/>
  <c r="AD2" i="5" s="1"/>
  <c r="AE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AE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AD365" i="4"/>
  <c r="AE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AE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AE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AE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AE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AE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AE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AE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AE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AE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AE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AE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AD353" i="4" s="1"/>
  <c r="AE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AE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AD351" i="4"/>
  <c r="AE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AE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AD349" i="4" s="1"/>
  <c r="AE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AE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AD347" i="4"/>
  <c r="AE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AE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AD345" i="4" s="1"/>
  <c r="AE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AE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AD343" i="4"/>
  <c r="AE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AE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AD341" i="4" s="1"/>
  <c r="AE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AE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AD339" i="4"/>
  <c r="AE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AE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AD337" i="4" s="1"/>
  <c r="AE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AE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AD335" i="4"/>
  <c r="AE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AE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AD333" i="4" s="1"/>
  <c r="AE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AE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AE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AE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AD329" i="4"/>
  <c r="AE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AE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AE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AE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AD325" i="4" s="1"/>
  <c r="AE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AE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AD323" i="4"/>
  <c r="AE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AE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AD321" i="4" s="1"/>
  <c r="AE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AE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AD319" i="4"/>
  <c r="AE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AE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AD317" i="4" s="1"/>
  <c r="AE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AE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AD315" i="4"/>
  <c r="AE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AE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AD313" i="4" s="1"/>
  <c r="AE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AE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AD311" i="4"/>
  <c r="AE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AE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AD309" i="4" s="1"/>
  <c r="AE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AE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AE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AE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AE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AE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AE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AE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AE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AE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AE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AE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AE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AE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AD295" i="4"/>
  <c r="AE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AE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AD293" i="4" s="1"/>
  <c r="AE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AE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AD291" i="4"/>
  <c r="AE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AE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AD289" i="4" s="1"/>
  <c r="AE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AE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AD287" i="4"/>
  <c r="AE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AE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AD285" i="4" s="1"/>
  <c r="AE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AE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AE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AE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AE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AE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AE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AE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AE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AE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AD275" i="4"/>
  <c r="AE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AE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AD273" i="4" s="1"/>
  <c r="AE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AE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AD271" i="4"/>
  <c r="AE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AE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AD269" i="4" s="1"/>
  <c r="AE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AE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AD267" i="4"/>
  <c r="AE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AE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AD265" i="4" s="1"/>
  <c r="AE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AE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AD263" i="4"/>
  <c r="AE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AE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AD261" i="4" s="1"/>
  <c r="AE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AE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AD259" i="4"/>
  <c r="AE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AE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AD257" i="4" s="1"/>
  <c r="AE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AE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AD255" i="4"/>
  <c r="AE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AE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AE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AE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AE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AE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AD249" i="4" s="1"/>
  <c r="AE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AE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AD247" i="4"/>
  <c r="AE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AE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AD245" i="4" s="1"/>
  <c r="AE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AE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AE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AE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AE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AE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AE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AE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AE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AE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AE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AE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AE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AE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AE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AE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AD229" i="4"/>
  <c r="AE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AE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AD227" i="4" s="1"/>
  <c r="AE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AE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AD225" i="4"/>
  <c r="AE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AE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AD223" i="4" s="1"/>
  <c r="AE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AE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AD221" i="4"/>
  <c r="AE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AE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AD219" i="4" s="1"/>
  <c r="AE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AE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AD217" i="4"/>
  <c r="AE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AE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AD215" i="4" s="1"/>
  <c r="AE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AE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AD213" i="4"/>
  <c r="AE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AE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AD211" i="4" s="1"/>
  <c r="AE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AE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AD209" i="4"/>
  <c r="AE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AE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AE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AE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AE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AE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AD203" i="4" s="1"/>
  <c r="AE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AE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AE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AE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AD199" i="4"/>
  <c r="AE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AE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AD197" i="4" s="1"/>
  <c r="AE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AE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AE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AE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AE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AE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AE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AE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AE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AE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AE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AE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AE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AE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AD183" i="4"/>
  <c r="AE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AE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AD181" i="4" s="1"/>
  <c r="AE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AE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AD179" i="4"/>
  <c r="AE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AE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AD177" i="4" s="1"/>
  <c r="AE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AE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AD175" i="4"/>
  <c r="AE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AE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AD173" i="4" s="1"/>
  <c r="AE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AE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AD171" i="4"/>
  <c r="AE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AE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AD169" i="4" s="1"/>
  <c r="AE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AE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AD167" i="4"/>
  <c r="AE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AE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AD165" i="4" s="1"/>
  <c r="AE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AE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AD163" i="4"/>
  <c r="AE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AE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AD161" i="4" s="1"/>
  <c r="AE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AE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AE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AE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AE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AE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AE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AE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AE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AE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AD151" i="4"/>
  <c r="AE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AE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AD149" i="4" s="1"/>
  <c r="AE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AE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AD147" i="4"/>
  <c r="AE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AE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AE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AE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AE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AE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AD141" i="4" s="1"/>
  <c r="AE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AE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AD139" i="4"/>
  <c r="AE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AE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AD137" i="4" s="1"/>
  <c r="AE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AE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AD135" i="4"/>
  <c r="AE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AE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AD133" i="4" s="1"/>
  <c r="AE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AE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AE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AE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AD129" i="4"/>
  <c r="AE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AE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AD127" i="4" s="1"/>
  <c r="AE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AE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AD125" i="4"/>
  <c r="AE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AE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AD123" i="4" s="1"/>
  <c r="AE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AE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AD121" i="4"/>
  <c r="AE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AE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AE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AE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AE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AE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AE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AE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AE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AE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AE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AE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AD109" i="4" s="1"/>
  <c r="AE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AE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AE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AE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AE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AE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AD103" i="4"/>
  <c r="AE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AE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AE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AE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AD99" i="4" s="1"/>
  <c r="AE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AE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AD97" i="4"/>
  <c r="AE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AE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AD95" i="4" s="1"/>
  <c r="AE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AE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AD93" i="4"/>
  <c r="AE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AE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AD91" i="4" s="1"/>
  <c r="AE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AE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AD89" i="4"/>
  <c r="AE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AE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AD87" i="4" s="1"/>
  <c r="AE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AE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AD85" i="4"/>
  <c r="AE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AE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AD83" i="4" s="1"/>
  <c r="AE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AE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AD81" i="4"/>
  <c r="AE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AE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AD79" i="4" s="1"/>
  <c r="AE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AE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AD77" i="4"/>
  <c r="AE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AE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AD75" i="4" s="1"/>
  <c r="AE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AE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AD73" i="4"/>
  <c r="AE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AE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AD71" i="4" s="1"/>
  <c r="AE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AE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AD69" i="4"/>
  <c r="AE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AE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AE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AD66" i="4" s="1"/>
  <c r="F66" i="4"/>
  <c r="AE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AD65" i="4" s="1"/>
  <c r="AE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AE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AD63" i="4"/>
  <c r="AE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AD62" i="4" s="1"/>
  <c r="F62" i="4"/>
  <c r="AE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AD61" i="4" s="1"/>
  <c r="AE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AE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AD59" i="4"/>
  <c r="AE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AD58" i="4" s="1"/>
  <c r="F58" i="4"/>
  <c r="AE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AD57" i="4" s="1"/>
  <c r="AE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AE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AD55" i="4" s="1"/>
  <c r="P55" i="4"/>
  <c r="O55" i="4"/>
  <c r="N55" i="4"/>
  <c r="M55" i="4"/>
  <c r="L55" i="4"/>
  <c r="K55" i="4"/>
  <c r="J55" i="4"/>
  <c r="I55" i="4"/>
  <c r="H55" i="4"/>
  <c r="G55" i="4"/>
  <c r="F55" i="4"/>
  <c r="AE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AD54" i="4" s="1"/>
  <c r="F54" i="4"/>
  <c r="AE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AD53" i="4" s="1"/>
  <c r="AE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AE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AE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AD50" i="4" s="1"/>
  <c r="AE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AD49" i="4"/>
  <c r="AE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AE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AD47" i="4" s="1"/>
  <c r="AE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AD46" i="4" s="1"/>
  <c r="AE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AD45" i="4" s="1"/>
  <c r="F45" i="4"/>
  <c r="AE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AE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AE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AD42" i="4" s="1"/>
  <c r="AE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AD41" i="4" s="1"/>
  <c r="F41" i="4"/>
  <c r="AE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AE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AE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AD38" i="4" s="1"/>
  <c r="AE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AD37" i="4"/>
  <c r="AE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AE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AD35" i="4" s="1"/>
  <c r="AE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AD34" i="4" s="1"/>
  <c r="F34" i="4"/>
  <c r="AE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AE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AE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AD31" i="4" s="1"/>
  <c r="AE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AD30" i="4" s="1"/>
  <c r="F30" i="4"/>
  <c r="AE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AE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AE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AD27" i="4" s="1"/>
  <c r="AE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AD26" i="4" s="1"/>
  <c r="F26" i="4"/>
  <c r="AE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AD25" i="4" s="1"/>
  <c r="AE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AE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AD23" i="4"/>
  <c r="AE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AD22" i="4" s="1"/>
  <c r="F22" i="4"/>
  <c r="AE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AD21" i="4" s="1"/>
  <c r="AE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AE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AD19" i="4"/>
  <c r="AE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AD18" i="4" s="1"/>
  <c r="F18" i="4"/>
  <c r="AE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AD17" i="4" s="1"/>
  <c r="AE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AD16" i="4" s="1"/>
  <c r="AE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AE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AD14" i="4"/>
  <c r="AE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AE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AD12" i="4" s="1"/>
  <c r="AE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AD11" i="4" s="1"/>
  <c r="AE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AD10" i="4"/>
  <c r="AE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AD9" i="4"/>
  <c r="AE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AD8" i="4" s="1"/>
  <c r="F8" i="4"/>
  <c r="AE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AE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AD6" i="4" s="1"/>
  <c r="AE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AD5" i="4" s="1"/>
  <c r="AE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AD4" i="4" s="1"/>
  <c r="F4" i="4"/>
  <c r="AE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AD3" i="4" s="1"/>
  <c r="F3" i="4"/>
  <c r="AE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AE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AD1" i="4" s="1"/>
  <c r="AD360" i="6"/>
  <c r="AD5" i="6"/>
  <c r="AD7" i="6"/>
  <c r="AD51" i="6"/>
  <c r="AD53" i="6"/>
  <c r="AD55" i="6"/>
  <c r="AD59" i="6"/>
  <c r="AD61" i="6"/>
  <c r="AD69" i="6"/>
  <c r="AD83" i="6"/>
  <c r="AD119" i="6"/>
  <c r="AD121" i="6"/>
  <c r="AD137" i="6"/>
  <c r="AD141" i="6"/>
  <c r="AD157" i="6"/>
  <c r="AD159" i="6"/>
  <c r="AD163" i="6"/>
  <c r="AD169" i="6"/>
  <c r="AD177" i="6"/>
  <c r="AD205" i="6"/>
  <c r="AD207" i="6"/>
  <c r="AD211" i="6"/>
  <c r="AD213" i="6"/>
  <c r="AD221" i="6"/>
  <c r="AD225" i="6"/>
  <c r="AD229" i="6"/>
  <c r="AD237" i="6"/>
  <c r="AD239" i="6"/>
  <c r="AD265" i="6"/>
  <c r="AD267" i="6"/>
  <c r="AD269" i="6"/>
  <c r="AD301" i="6"/>
  <c r="AD303" i="6"/>
  <c r="AD305" i="6"/>
  <c r="AD317" i="6"/>
  <c r="AD319" i="6"/>
  <c r="AD321" i="6"/>
  <c r="AD323" i="6"/>
  <c r="AD331" i="6"/>
  <c r="AD333" i="6"/>
  <c r="AD339" i="6"/>
  <c r="AD343" i="6"/>
  <c r="AD10" i="19"/>
  <c r="AD26" i="19"/>
  <c r="AD28" i="19"/>
  <c r="AD34" i="19"/>
  <c r="AD60" i="19"/>
  <c r="AD72" i="19"/>
  <c r="AD74" i="19"/>
  <c r="AD76" i="19"/>
  <c r="AD78" i="19"/>
  <c r="AD80" i="19"/>
  <c r="AD82" i="19"/>
  <c r="AD84" i="19"/>
  <c r="AD272" i="19"/>
  <c r="AD274" i="19"/>
  <c r="AD280" i="19"/>
  <c r="AD282" i="19"/>
  <c r="AD316" i="19"/>
  <c r="AD354" i="19"/>
  <c r="AD364" i="19"/>
  <c r="AD15" i="19"/>
  <c r="AD47" i="19"/>
  <c r="AD49" i="19"/>
  <c r="AD85" i="19"/>
  <c r="AD87" i="19"/>
  <c r="AD93" i="19"/>
  <c r="AD95" i="19"/>
  <c r="AD99" i="19"/>
  <c r="AD105" i="19"/>
  <c r="AD109" i="19"/>
  <c r="AD111" i="19"/>
  <c r="AD113" i="19"/>
  <c r="AD115" i="19"/>
  <c r="AD117" i="19"/>
  <c r="AD119" i="19"/>
  <c r="AD121" i="19"/>
  <c r="AD123" i="19"/>
  <c r="AD127" i="19"/>
  <c r="AD129" i="19"/>
  <c r="AD143" i="19"/>
  <c r="AD157" i="19"/>
  <c r="AD159" i="19"/>
  <c r="AD161" i="19"/>
  <c r="AD175" i="19"/>
  <c r="AD179" i="19"/>
  <c r="AD183" i="19"/>
  <c r="AD189" i="19"/>
  <c r="AD191" i="19"/>
  <c r="AD201" i="19"/>
  <c r="AD213" i="19"/>
  <c r="AD219" i="19"/>
  <c r="AD221" i="19"/>
  <c r="AD239" i="19"/>
  <c r="AD243" i="19"/>
  <c r="AD245" i="19"/>
  <c r="AD253" i="19"/>
  <c r="AD255" i="19"/>
  <c r="AD259" i="19"/>
  <c r="AD287" i="19"/>
  <c r="AD289" i="19"/>
  <c r="AD291" i="19"/>
  <c r="AD293" i="19"/>
  <c r="AD299" i="19"/>
  <c r="AD305" i="19"/>
  <c r="AD307" i="19"/>
  <c r="AD309" i="19"/>
  <c r="AD325" i="19"/>
  <c r="AD327" i="19"/>
  <c r="AD341" i="19"/>
  <c r="AD343" i="19"/>
  <c r="AD349" i="19"/>
  <c r="AD351" i="19"/>
  <c r="AD1" i="18"/>
  <c r="AD130" i="18"/>
  <c r="AD174" i="18"/>
  <c r="AD176" i="18"/>
  <c r="AD178" i="18"/>
  <c r="AD180" i="18"/>
  <c r="AD182" i="18"/>
  <c r="AD212" i="18"/>
  <c r="AD348" i="18"/>
  <c r="AD364" i="18"/>
  <c r="AD29" i="18"/>
  <c r="AD35" i="18"/>
  <c r="AD39" i="18"/>
  <c r="AD43" i="18"/>
  <c r="AD73" i="18"/>
  <c r="AD79" i="18"/>
  <c r="AD83" i="18"/>
  <c r="AD85" i="18"/>
  <c r="AD105" i="18"/>
  <c r="AD109" i="18"/>
  <c r="AD125" i="18"/>
  <c r="AD137" i="18"/>
  <c r="AD151" i="18"/>
  <c r="AD193" i="18"/>
  <c r="AD199" i="18"/>
  <c r="AD203" i="18"/>
  <c r="AD223" i="18"/>
  <c r="AD241" i="18"/>
  <c r="AD255" i="18"/>
  <c r="AD261" i="18"/>
  <c r="AD271" i="18"/>
  <c r="AD277" i="18"/>
  <c r="AD279" i="18"/>
  <c r="AD307" i="18"/>
  <c r="AD313" i="18"/>
  <c r="AD317" i="18"/>
  <c r="AD327" i="18"/>
  <c r="AD56" i="17"/>
  <c r="AD138" i="17"/>
  <c r="AD148" i="17"/>
  <c r="AD150" i="17"/>
  <c r="AD152" i="17"/>
  <c r="AD154" i="17"/>
  <c r="AD164" i="17"/>
  <c r="AD168" i="17"/>
  <c r="AD230" i="17"/>
  <c r="AD348" i="17"/>
  <c r="AD350" i="17"/>
  <c r="AD352" i="17"/>
  <c r="AD362" i="17"/>
  <c r="AD364" i="17"/>
  <c r="AD9" i="17"/>
  <c r="AD11" i="17"/>
  <c r="AD13" i="17"/>
  <c r="AD33" i="17"/>
  <c r="AD35" i="17"/>
  <c r="AD39" i="17"/>
  <c r="AD43" i="17"/>
  <c r="AD77" i="17"/>
  <c r="AD93" i="17"/>
  <c r="AD115" i="17"/>
  <c r="AD127" i="17"/>
  <c r="AD129" i="17"/>
  <c r="AD145" i="17"/>
  <c r="AD159" i="17"/>
  <c r="AD175" i="17"/>
  <c r="AD197" i="17"/>
  <c r="AD199" i="17"/>
  <c r="AD205" i="17"/>
  <c r="AD235" i="17"/>
  <c r="AD237" i="17"/>
  <c r="AD241" i="17"/>
  <c r="AD243" i="17"/>
  <c r="AD271" i="17"/>
  <c r="AD273" i="17"/>
  <c r="AD275" i="17"/>
  <c r="AD283" i="17"/>
  <c r="AD297" i="17"/>
  <c r="AD303" i="17"/>
  <c r="AD305" i="17"/>
  <c r="AD315" i="17"/>
  <c r="AD317" i="17"/>
  <c r="AD319" i="17"/>
  <c r="AD323" i="17"/>
  <c r="AD325" i="17"/>
  <c r="AD337" i="17"/>
  <c r="AD355" i="17"/>
  <c r="AD357" i="17"/>
  <c r="AD18" i="16"/>
  <c r="AD70" i="16"/>
  <c r="AD130" i="16"/>
  <c r="AD170" i="16"/>
  <c r="AD172" i="16"/>
  <c r="AD174" i="16"/>
  <c r="AD176" i="16"/>
  <c r="AD178" i="16"/>
  <c r="AD180" i="16"/>
  <c r="AD182" i="16"/>
  <c r="AD184" i="16"/>
  <c r="AD186" i="16"/>
  <c r="AD188" i="16"/>
  <c r="AD190" i="16"/>
  <c r="AD192" i="16"/>
  <c r="AD194" i="16"/>
  <c r="AD198" i="16"/>
  <c r="AD200" i="16"/>
  <c r="AD202" i="16"/>
  <c r="AD204" i="16"/>
  <c r="AD206" i="16"/>
  <c r="AD208" i="16"/>
  <c r="AD210" i="16"/>
  <c r="AD212" i="16"/>
  <c r="AD214" i="16"/>
  <c r="AD216" i="16"/>
  <c r="AD218" i="16"/>
  <c r="AD220" i="16"/>
  <c r="AD222" i="16"/>
  <c r="AD224" i="16"/>
  <c r="AD226" i="16"/>
  <c r="AD228" i="16"/>
  <c r="AD230" i="16"/>
  <c r="AD232" i="16"/>
  <c r="AD234" i="16"/>
  <c r="AD270" i="16"/>
  <c r="AD314" i="16"/>
  <c r="AD362" i="16"/>
  <c r="AD364" i="16"/>
  <c r="AD11" i="16"/>
  <c r="AD37" i="16"/>
  <c r="AD39" i="16"/>
  <c r="AD41" i="16"/>
  <c r="AD43" i="16"/>
  <c r="AD45" i="16"/>
  <c r="AD81" i="16"/>
  <c r="AD83" i="16"/>
  <c r="AD85" i="16"/>
  <c r="AD87" i="16"/>
  <c r="AD89" i="16"/>
  <c r="AD91" i="16"/>
  <c r="AD99" i="16"/>
  <c r="AD103" i="16"/>
  <c r="AD115" i="16"/>
  <c r="AD151" i="16"/>
  <c r="AD167" i="16"/>
  <c r="AD235" i="16"/>
  <c r="AD241" i="16"/>
  <c r="AD245" i="16"/>
  <c r="AD273" i="16"/>
  <c r="AD275" i="16"/>
  <c r="AD277" i="16"/>
  <c r="AD279" i="16"/>
  <c r="AD281" i="16"/>
  <c r="AD285" i="16"/>
  <c r="AD325" i="16"/>
  <c r="AD327" i="16"/>
  <c r="AD355" i="16"/>
  <c r="AD6" i="15"/>
  <c r="AD68" i="15"/>
  <c r="AD108" i="15"/>
  <c r="AD136" i="15"/>
  <c r="AD164" i="15"/>
  <c r="AD186" i="15"/>
  <c r="AD226" i="15"/>
  <c r="AD238" i="15"/>
  <c r="AD274" i="15"/>
  <c r="AD280" i="15"/>
  <c r="AD338" i="15"/>
  <c r="AD362" i="15"/>
  <c r="AD364" i="15"/>
  <c r="AD33" i="15"/>
  <c r="AD39" i="15"/>
  <c r="AD43" i="15"/>
  <c r="AD73" i="15"/>
  <c r="AD81" i="15"/>
  <c r="AD89" i="15"/>
  <c r="AD91" i="15"/>
  <c r="AD93" i="15"/>
  <c r="AD95" i="15"/>
  <c r="AD97" i="15"/>
  <c r="AD99" i="15"/>
  <c r="AD103" i="15"/>
  <c r="AD111" i="15"/>
  <c r="AD113" i="15"/>
  <c r="AD123" i="15"/>
  <c r="AD127" i="15"/>
  <c r="AD151" i="15"/>
  <c r="AD159" i="15"/>
  <c r="AD175" i="15"/>
  <c r="AD189" i="15"/>
  <c r="AD191" i="15"/>
  <c r="AD193" i="15"/>
  <c r="AD195" i="15"/>
  <c r="AD201" i="15"/>
  <c r="AD215" i="15"/>
  <c r="AD255" i="15"/>
  <c r="AD261" i="15"/>
  <c r="AD263" i="15"/>
  <c r="AD265" i="15"/>
  <c r="AD283" i="15"/>
  <c r="AD289" i="15"/>
  <c r="AD291" i="15"/>
  <c r="AD293" i="15"/>
  <c r="AD295" i="15"/>
  <c r="AD297" i="15"/>
  <c r="AD299" i="15"/>
  <c r="AD301" i="15"/>
  <c r="AD303" i="15"/>
  <c r="AD313" i="15"/>
  <c r="AD347" i="15"/>
  <c r="AD353" i="15"/>
  <c r="AD1" i="14"/>
  <c r="AD86" i="14"/>
  <c r="AD364" i="14"/>
  <c r="AD11" i="14"/>
  <c r="AD33" i="14"/>
  <c r="AD43" i="14"/>
  <c r="AD57" i="14"/>
  <c r="AD69" i="14"/>
  <c r="AD103" i="14"/>
  <c r="AD105" i="14"/>
  <c r="AD107" i="14"/>
  <c r="AD109" i="14"/>
  <c r="AD113" i="14"/>
  <c r="AD115" i="14"/>
  <c r="AD131" i="14"/>
  <c r="AD141" i="14"/>
  <c r="AD143" i="14"/>
  <c r="AD145" i="14"/>
  <c r="AD149" i="14"/>
  <c r="AD157" i="14"/>
  <c r="AD191" i="14"/>
  <c r="AD193" i="14"/>
  <c r="AD195" i="14"/>
  <c r="AD217" i="14"/>
  <c r="AD221" i="14"/>
  <c r="AD239" i="14"/>
  <c r="AD241" i="14"/>
  <c r="AD303" i="14"/>
  <c r="AD305" i="14"/>
  <c r="AD307" i="14"/>
  <c r="AD309" i="14"/>
  <c r="AD311" i="14"/>
  <c r="AD325" i="14"/>
  <c r="AD66" i="13"/>
  <c r="AD214" i="13"/>
  <c r="AD348" i="13"/>
  <c r="AD362" i="13"/>
  <c r="AD364" i="13"/>
  <c r="AD15" i="13"/>
  <c r="AD17" i="13"/>
  <c r="AD39" i="13"/>
  <c r="AD43" i="13"/>
  <c r="AD45" i="13"/>
  <c r="AD79" i="13"/>
  <c r="AD105" i="13"/>
  <c r="AD115" i="13"/>
  <c r="AD125" i="13"/>
  <c r="AD127" i="13"/>
  <c r="AD151" i="13"/>
  <c r="AD159" i="13"/>
  <c r="AD169" i="13"/>
  <c r="AD173" i="13"/>
  <c r="AD175" i="13"/>
  <c r="AD179" i="13"/>
  <c r="AD183" i="13"/>
  <c r="AD185" i="13"/>
  <c r="AD187" i="13"/>
  <c r="AD189" i="13"/>
  <c r="AD191" i="13"/>
  <c r="AD193" i="13"/>
  <c r="AD195" i="13"/>
  <c r="AD203" i="13"/>
  <c r="AD241" i="13"/>
  <c r="AD245" i="13"/>
  <c r="AD255" i="13"/>
  <c r="AD271" i="13"/>
  <c r="AD277" i="13"/>
  <c r="AD279" i="13"/>
  <c r="AD281" i="13"/>
  <c r="AD283" i="13"/>
  <c r="AD291" i="13"/>
  <c r="AD303" i="13"/>
  <c r="AD311" i="13"/>
  <c r="AD345" i="13"/>
  <c r="AD355" i="13"/>
  <c r="AD42" i="12"/>
  <c r="AD44" i="12"/>
  <c r="AD46" i="12"/>
  <c r="AD48" i="12"/>
  <c r="AD50" i="12"/>
  <c r="AD52" i="12"/>
  <c r="AD54" i="12"/>
  <c r="AD56" i="12"/>
  <c r="AD58" i="12"/>
  <c r="AD60" i="12"/>
  <c r="AD62" i="12"/>
  <c r="AD64" i="12"/>
  <c r="AD66" i="12"/>
  <c r="AD68" i="12"/>
  <c r="AD70" i="12"/>
  <c r="AD72" i="12"/>
  <c r="AD74" i="12"/>
  <c r="AD76" i="12"/>
  <c r="AD78" i="12"/>
  <c r="AD80" i="12"/>
  <c r="AD82" i="12"/>
  <c r="AD84" i="12"/>
  <c r="AD86" i="12"/>
  <c r="AD88" i="12"/>
  <c r="AD90" i="12"/>
  <c r="AD92" i="12"/>
  <c r="AD94" i="12"/>
  <c r="AD96" i="12"/>
  <c r="AD98" i="12"/>
  <c r="AD100" i="12"/>
  <c r="AD102" i="12"/>
  <c r="AD104" i="12"/>
  <c r="AD106" i="12"/>
  <c r="AD108" i="12"/>
  <c r="AD110" i="12"/>
  <c r="AD130" i="12"/>
  <c r="AD152" i="12"/>
  <c r="AD218" i="12"/>
  <c r="AD290" i="12"/>
  <c r="AD364" i="12"/>
  <c r="AD9" i="12"/>
  <c r="AD11" i="12"/>
  <c r="AD33" i="12"/>
  <c r="AD35" i="12"/>
  <c r="AD113" i="12"/>
  <c r="AD137" i="12"/>
  <c r="AD139" i="12"/>
  <c r="AD141" i="12"/>
  <c r="AD159" i="12"/>
  <c r="AD163" i="12"/>
  <c r="AD173" i="12"/>
  <c r="AD255" i="12"/>
  <c r="AD269" i="12"/>
  <c r="AD271" i="12"/>
  <c r="AD281" i="12"/>
  <c r="AD283" i="12"/>
  <c r="AD295" i="12"/>
  <c r="AD297" i="12"/>
  <c r="AD325" i="12"/>
  <c r="AD327" i="12"/>
  <c r="AD331" i="12"/>
  <c r="AD335" i="12"/>
  <c r="AD337" i="12"/>
  <c r="AD339" i="12"/>
  <c r="AD341" i="12"/>
  <c r="AD349" i="12"/>
  <c r="AD353" i="12"/>
  <c r="AD5" i="11"/>
  <c r="AD27" i="11"/>
  <c r="AD29" i="11"/>
  <c r="AD31" i="11"/>
  <c r="AD33" i="11"/>
  <c r="AD45" i="11"/>
  <c r="AD47" i="11"/>
  <c r="AD49" i="11"/>
  <c r="AD86" i="11"/>
  <c r="AD138" i="11"/>
  <c r="AD51" i="11"/>
  <c r="AD53" i="11"/>
  <c r="AD55" i="11"/>
  <c r="AD57" i="11"/>
  <c r="AD59" i="11"/>
  <c r="AD61" i="11"/>
  <c r="AD63" i="11"/>
  <c r="AD65" i="11"/>
  <c r="AD67" i="11"/>
  <c r="AD69" i="11"/>
  <c r="AD71" i="11"/>
  <c r="AD73" i="11"/>
  <c r="AD75" i="11"/>
  <c r="AD77" i="11"/>
  <c r="AD103" i="11"/>
  <c r="AD105" i="11"/>
  <c r="AD109" i="11"/>
  <c r="AD129" i="11"/>
  <c r="AD135" i="11"/>
  <c r="AD145" i="11"/>
  <c r="AD161" i="11"/>
  <c r="AD163" i="11"/>
  <c r="AD167" i="11"/>
  <c r="AD169" i="11"/>
  <c r="AD171" i="11"/>
  <c r="AD173" i="11"/>
  <c r="AD179" i="11"/>
  <c r="AD187" i="11"/>
  <c r="AD191" i="11"/>
  <c r="AD201" i="11"/>
  <c r="AD203" i="11"/>
  <c r="AD213" i="11"/>
  <c r="AD215" i="11"/>
  <c r="AD221" i="11"/>
  <c r="AD233" i="11"/>
  <c r="AD237" i="11"/>
  <c r="AD247" i="11"/>
  <c r="AD255" i="11"/>
  <c r="AD263" i="11"/>
  <c r="AD265" i="11"/>
  <c r="AD269" i="11"/>
  <c r="AD271" i="11"/>
  <c r="AD273" i="11"/>
  <c r="AD275" i="11"/>
  <c r="AD277" i="11"/>
  <c r="AD279" i="11"/>
  <c r="AD281" i="11"/>
  <c r="AD283" i="11"/>
  <c r="AD285" i="11"/>
  <c r="AD287" i="11"/>
  <c r="AD289" i="11"/>
  <c r="AD299" i="11"/>
  <c r="AD301" i="11"/>
  <c r="AD303" i="11"/>
  <c r="AD305" i="11"/>
  <c r="AD307" i="11"/>
  <c r="AD309" i="11"/>
  <c r="AD311" i="11"/>
  <c r="AD313" i="11"/>
  <c r="AD315" i="11"/>
  <c r="AD317" i="11"/>
  <c r="AD319" i="11"/>
  <c r="AD321" i="11"/>
  <c r="AD323" i="11"/>
  <c r="AD325" i="11"/>
  <c r="AD327" i="11"/>
  <c r="AD329" i="11"/>
  <c r="AD331" i="11"/>
  <c r="AD333" i="11"/>
  <c r="AD335" i="11"/>
  <c r="AD337" i="11"/>
  <c r="AD339" i="11"/>
  <c r="AD341" i="11"/>
  <c r="AD343" i="11"/>
  <c r="AD345" i="11"/>
  <c r="AD347" i="11"/>
  <c r="AD349" i="11"/>
  <c r="AD351" i="11"/>
  <c r="AD353" i="11"/>
  <c r="AD355" i="11"/>
  <c r="AD357" i="11"/>
  <c r="AD359" i="11"/>
  <c r="AD361" i="11"/>
  <c r="AD363" i="11"/>
  <c r="AD365" i="11"/>
  <c r="AD12" i="10"/>
  <c r="AD238" i="10"/>
  <c r="AD290" i="10"/>
  <c r="AD344" i="10"/>
  <c r="AD364" i="10"/>
  <c r="AD17" i="10"/>
  <c r="AD31" i="10"/>
  <c r="AD33" i="10"/>
  <c r="AD43" i="10"/>
  <c r="AD73" i="10"/>
  <c r="AD85" i="10"/>
  <c r="AD93" i="10"/>
  <c r="AD109" i="10"/>
  <c r="AD111" i="10"/>
  <c r="AD123" i="10"/>
  <c r="AD159" i="10"/>
  <c r="AD161" i="10"/>
  <c r="AD173" i="10"/>
  <c r="AD175" i="10"/>
  <c r="AD177" i="10"/>
  <c r="AD193" i="10"/>
  <c r="AD213" i="10"/>
  <c r="AD233" i="10"/>
  <c r="AD251" i="10"/>
  <c r="AD255" i="10"/>
  <c r="AD265" i="10"/>
  <c r="AD277" i="10"/>
  <c r="AD279" i="10"/>
  <c r="AD289" i="10"/>
  <c r="AD297" i="10"/>
  <c r="AD299" i="10"/>
  <c r="AD327" i="10"/>
  <c r="AD343" i="10"/>
  <c r="AD349" i="10"/>
  <c r="AD353" i="10"/>
  <c r="AD357" i="10"/>
  <c r="AD1" i="9"/>
  <c r="AD4" i="9"/>
  <c r="AD6" i="9"/>
  <c r="AD8" i="9"/>
  <c r="AD10" i="9"/>
  <c r="AD12" i="9"/>
  <c r="AD14" i="9"/>
  <c r="AD16" i="9"/>
  <c r="AD18" i="9"/>
  <c r="AD20" i="9"/>
  <c r="AD22" i="9"/>
  <c r="AD24" i="9"/>
  <c r="AD26" i="9"/>
  <c r="AD28" i="9"/>
  <c r="AD30" i="9"/>
  <c r="AD32" i="9"/>
  <c r="AD34" i="9"/>
  <c r="AD36" i="9"/>
  <c r="AD38" i="9"/>
  <c r="AD40" i="9"/>
  <c r="AD42" i="9"/>
  <c r="AD44" i="9"/>
  <c r="AD46" i="9"/>
  <c r="AD48" i="9"/>
  <c r="AD50" i="9"/>
  <c r="AD52" i="9"/>
  <c r="AD54" i="9"/>
  <c r="AD56" i="9"/>
  <c r="AD58" i="9"/>
  <c r="AD60" i="9"/>
  <c r="AD62" i="9"/>
  <c r="AD64" i="9"/>
  <c r="AD66" i="9"/>
  <c r="AD68" i="9"/>
  <c r="AD70" i="9"/>
  <c r="AD72" i="9"/>
  <c r="AD74" i="9"/>
  <c r="AD76" i="9"/>
  <c r="AD78" i="9"/>
  <c r="AD80" i="9"/>
  <c r="AD82" i="9"/>
  <c r="AD84" i="9"/>
  <c r="AD86" i="9"/>
  <c r="AD88" i="9"/>
  <c r="AD90" i="9"/>
  <c r="AD92" i="9"/>
  <c r="AD94" i="9"/>
  <c r="AD96" i="9"/>
  <c r="AD98" i="9"/>
  <c r="AD100" i="9"/>
  <c r="AD102" i="9"/>
  <c r="AD104" i="9"/>
  <c r="AD106" i="9"/>
  <c r="AD108" i="9"/>
  <c r="AD110" i="9"/>
  <c r="AD112" i="9"/>
  <c r="AD114" i="9"/>
  <c r="AD116" i="9"/>
  <c r="AD118" i="9"/>
  <c r="AD120" i="9"/>
  <c r="AD122" i="9"/>
  <c r="AD124" i="9"/>
  <c r="AD126" i="9"/>
  <c r="AD128" i="9"/>
  <c r="AD130" i="9"/>
  <c r="AD132" i="9"/>
  <c r="AD134" i="9"/>
  <c r="AD136" i="9"/>
  <c r="AD138" i="9"/>
  <c r="AD140" i="9"/>
  <c r="AD142" i="9"/>
  <c r="AD144" i="9"/>
  <c r="AD146" i="9"/>
  <c r="AD148" i="9"/>
  <c r="AD150" i="9"/>
  <c r="AD200" i="9"/>
  <c r="AD334" i="9"/>
  <c r="AD362" i="9"/>
  <c r="AD364" i="9"/>
  <c r="AD153" i="9"/>
  <c r="AD161" i="9"/>
  <c r="AD169" i="9"/>
  <c r="AD187" i="9"/>
  <c r="AD207" i="9"/>
  <c r="AD211" i="9"/>
  <c r="AD213" i="9"/>
  <c r="AD243" i="9"/>
  <c r="AD281" i="9"/>
  <c r="AD283" i="9"/>
  <c r="AD289" i="9"/>
  <c r="AD295" i="9"/>
  <c r="AD297" i="9"/>
  <c r="AD299" i="9"/>
  <c r="AD303" i="9"/>
  <c r="AD305" i="9"/>
  <c r="AD307" i="9"/>
  <c r="AD345" i="9"/>
  <c r="AD347" i="9"/>
  <c r="AD349" i="9"/>
  <c r="AD351" i="9"/>
  <c r="AD353" i="9"/>
  <c r="AD355" i="9"/>
  <c r="AD357" i="9"/>
  <c r="AD30" i="8"/>
  <c r="AD32" i="8"/>
  <c r="AD76" i="8"/>
  <c r="AD162" i="8"/>
  <c r="AD164" i="8"/>
  <c r="AD166" i="8"/>
  <c r="AD168" i="8"/>
  <c r="AD178" i="8"/>
  <c r="AD238" i="8"/>
  <c r="AD250" i="8"/>
  <c r="AD252" i="8"/>
  <c r="AD334" i="8"/>
  <c r="AD360" i="8"/>
  <c r="AD362" i="8"/>
  <c r="AD364" i="8"/>
  <c r="AD7" i="8"/>
  <c r="AD11" i="8"/>
  <c r="AD15" i="8"/>
  <c r="AD17" i="8"/>
  <c r="AD21" i="8"/>
  <c r="AD23" i="8"/>
  <c r="AD25" i="8"/>
  <c r="AD39" i="8"/>
  <c r="AD43" i="8"/>
  <c r="AD45" i="8"/>
  <c r="AD55" i="8"/>
  <c r="AD57" i="8"/>
  <c r="AD63" i="8"/>
  <c r="AD65" i="8"/>
  <c r="AD69" i="8"/>
  <c r="AD77" i="8"/>
  <c r="AD83" i="8"/>
  <c r="AD85" i="8"/>
  <c r="AD87" i="8"/>
  <c r="AD89" i="8"/>
  <c r="AD91" i="8"/>
  <c r="AD93" i="8"/>
  <c r="AD95" i="8"/>
  <c r="AD97" i="8"/>
  <c r="AD99" i="8"/>
  <c r="AD105" i="8"/>
  <c r="AD107" i="8"/>
  <c r="AD113" i="8"/>
  <c r="AD115" i="8"/>
  <c r="AD123" i="8"/>
  <c r="AD125" i="8"/>
  <c r="AD127" i="8"/>
  <c r="AD151" i="8"/>
  <c r="AD155" i="8"/>
  <c r="AD173" i="8"/>
  <c r="AD175" i="8"/>
  <c r="AD181" i="8"/>
  <c r="AD185" i="8"/>
  <c r="AD187" i="8"/>
  <c r="AD189" i="8"/>
  <c r="AD191" i="8"/>
  <c r="AD193" i="8"/>
  <c r="AD199" i="8"/>
  <c r="AD201" i="8"/>
  <c r="AD217" i="8"/>
  <c r="AD221" i="8"/>
  <c r="AD231" i="8"/>
  <c r="AD243" i="8"/>
  <c r="AD265" i="8"/>
  <c r="AD267" i="8"/>
  <c r="AD279" i="8"/>
  <c r="AD287" i="8"/>
  <c r="AD289" i="8"/>
  <c r="AD295" i="8"/>
  <c r="AD301" i="8"/>
  <c r="AD307" i="8"/>
  <c r="AD329" i="8"/>
  <c r="AD331" i="8"/>
  <c r="AD351" i="8"/>
  <c r="AD1" i="7"/>
  <c r="AD6" i="7"/>
  <c r="AD76" i="7"/>
  <c r="AD78" i="7"/>
  <c r="AD80" i="7"/>
  <c r="AD82" i="7"/>
  <c r="AD84" i="7"/>
  <c r="AD86" i="7"/>
  <c r="AD134" i="7"/>
  <c r="AD136" i="7"/>
  <c r="AD138" i="7"/>
  <c r="AD140" i="7"/>
  <c r="AD226" i="7"/>
  <c r="AD238" i="7"/>
  <c r="AD242" i="7"/>
  <c r="AD292" i="7"/>
  <c r="AD312" i="7"/>
  <c r="AD314" i="7"/>
  <c r="AD332" i="7"/>
  <c r="AD334" i="7"/>
  <c r="AD336" i="7"/>
  <c r="AD338" i="7"/>
  <c r="AD364" i="7"/>
  <c r="AD13" i="7"/>
  <c r="AD15" i="7"/>
  <c r="AD41" i="7"/>
  <c r="AD43" i="7"/>
  <c r="AD45" i="7"/>
  <c r="AD47" i="7"/>
  <c r="AD49" i="7"/>
  <c r="AD93" i="7"/>
  <c r="AD97" i="7"/>
  <c r="AD99" i="7"/>
  <c r="AD103" i="7"/>
  <c r="AD105" i="7"/>
  <c r="AD115" i="7"/>
  <c r="AD119" i="7"/>
  <c r="AD121" i="7"/>
  <c r="AD145" i="7"/>
  <c r="AD149" i="7"/>
  <c r="AD159" i="7"/>
  <c r="AD161" i="7"/>
  <c r="AD163" i="7"/>
  <c r="AD165" i="7"/>
  <c r="AD167" i="7"/>
  <c r="AD173" i="7"/>
  <c r="AD179" i="7"/>
  <c r="AD181" i="7"/>
  <c r="AD183" i="7"/>
  <c r="AD185" i="7"/>
  <c r="AD187" i="7"/>
  <c r="AD189" i="7"/>
  <c r="AD191" i="7"/>
  <c r="AD193" i="7"/>
  <c r="AD197" i="7"/>
  <c r="AD199" i="7"/>
  <c r="AD201" i="7"/>
  <c r="AD205" i="7"/>
  <c r="AD209" i="7"/>
  <c r="AD225" i="7"/>
  <c r="AD245" i="7"/>
  <c r="AD253" i="7"/>
  <c r="AD255" i="7"/>
  <c r="AD257" i="7"/>
  <c r="AD263" i="7"/>
  <c r="AD265" i="7"/>
  <c r="AD267" i="7"/>
  <c r="AD269" i="7"/>
  <c r="AD271" i="7"/>
  <c r="AD273" i="7"/>
  <c r="AD275" i="7"/>
  <c r="AD277" i="7"/>
  <c r="AD283" i="7"/>
  <c r="AD297" i="7"/>
  <c r="AD303" i="7"/>
  <c r="AD305" i="7"/>
  <c r="AD307" i="7"/>
  <c r="AD327" i="7"/>
  <c r="AD329" i="7"/>
  <c r="AD349" i="7"/>
  <c r="AD359" i="7"/>
  <c r="AD76" i="6"/>
  <c r="AD78" i="6"/>
  <c r="AD80" i="6"/>
  <c r="AD90" i="6"/>
  <c r="AD94" i="6"/>
  <c r="AD98" i="6"/>
  <c r="AD110" i="6"/>
  <c r="AD152" i="6"/>
  <c r="AD274" i="6"/>
  <c r="AD276" i="6"/>
  <c r="AD278" i="6"/>
  <c r="AD280" i="6"/>
  <c r="AD282" i="6"/>
  <c r="AD284" i="6"/>
  <c r="AD286" i="6"/>
  <c r="AD288" i="6"/>
  <c r="AD362" i="6"/>
  <c r="AD364" i="6"/>
  <c r="AD11" i="6"/>
  <c r="AD13" i="6"/>
  <c r="AD15" i="6"/>
  <c r="AD17" i="6"/>
  <c r="AD27" i="6"/>
  <c r="AD33" i="6"/>
  <c r="AD35" i="6"/>
  <c r="AD37" i="6"/>
  <c r="AD39" i="6"/>
  <c r="AD41" i="6"/>
  <c r="AD43" i="6"/>
  <c r="AD45" i="6"/>
  <c r="AD47" i="6"/>
  <c r="AD49" i="6"/>
  <c r="AD57" i="6"/>
  <c r="AD63" i="6"/>
  <c r="AD71" i="6"/>
  <c r="AD73" i="6"/>
  <c r="AD81" i="6"/>
  <c r="AD113" i="6"/>
  <c r="AD115" i="6"/>
  <c r="AD129" i="6"/>
  <c r="AD131" i="6"/>
  <c r="AD133" i="6"/>
  <c r="AD135" i="6"/>
  <c r="AD139" i="6"/>
  <c r="AD155" i="6"/>
  <c r="AD161" i="6"/>
  <c r="AD187" i="6"/>
  <c r="AD191" i="6"/>
  <c r="AD193" i="6"/>
  <c r="AD195" i="6"/>
  <c r="AD197" i="6"/>
  <c r="AD199" i="6"/>
  <c r="AD201" i="6"/>
  <c r="AD203" i="6"/>
  <c r="AD209" i="6"/>
  <c r="AD215" i="6"/>
  <c r="AD233" i="6"/>
  <c r="AD241" i="6"/>
  <c r="AD255" i="6"/>
  <c r="AD257" i="6"/>
  <c r="AD307" i="6"/>
  <c r="AD309" i="6"/>
  <c r="AD311" i="6"/>
  <c r="AD313" i="6"/>
  <c r="AD315" i="6"/>
  <c r="AD325" i="6"/>
  <c r="AD335" i="6"/>
  <c r="AD337" i="6"/>
  <c r="AD345" i="6"/>
  <c r="AD351" i="6"/>
  <c r="AD357" i="6"/>
  <c r="AD15" i="4"/>
  <c r="AD28" i="5"/>
  <c r="AD98" i="5"/>
  <c r="AD194" i="5"/>
  <c r="AD196" i="5"/>
  <c r="AD198" i="5"/>
  <c r="AD200" i="5"/>
  <c r="AD17" i="5"/>
  <c r="AD57" i="5"/>
  <c r="AD65" i="5"/>
  <c r="AD75" i="5"/>
  <c r="AD77" i="5"/>
  <c r="AD129" i="5"/>
  <c r="AD133" i="5"/>
  <c r="AD135" i="5"/>
  <c r="AD137" i="5"/>
  <c r="AD151" i="5"/>
  <c r="AD171" i="5"/>
  <c r="AD173" i="5"/>
  <c r="AD175" i="5"/>
  <c r="AD209" i="5"/>
  <c r="AD231" i="5"/>
  <c r="AD273" i="5"/>
  <c r="AD277" i="5"/>
  <c r="AD283" i="5"/>
  <c r="AD313" i="5"/>
  <c r="AD166" i="5"/>
  <c r="AD19" i="5"/>
  <c r="AD27" i="5"/>
  <c r="AD31" i="5"/>
  <c r="AD33" i="5"/>
  <c r="AD37" i="5"/>
  <c r="AD41" i="5"/>
  <c r="AD43" i="5"/>
  <c r="AD45" i="5"/>
  <c r="AD47" i="5"/>
  <c r="AD63" i="5"/>
  <c r="AD71" i="5"/>
  <c r="AD73" i="5"/>
  <c r="AD101" i="5"/>
  <c r="AD107" i="5"/>
  <c r="AD111" i="5"/>
  <c r="AD117" i="5"/>
  <c r="AD131" i="5"/>
  <c r="AD139" i="5"/>
  <c r="AD141" i="5"/>
  <c r="AD157" i="5"/>
  <c r="AD165" i="5"/>
  <c r="AD177" i="5"/>
  <c r="AD179" i="5"/>
  <c r="AD181" i="5"/>
  <c r="AD183" i="5"/>
  <c r="AD185" i="5"/>
  <c r="AD187" i="5"/>
  <c r="AD221" i="5"/>
  <c r="AD229" i="5"/>
  <c r="AD241" i="5"/>
  <c r="AD271" i="5"/>
  <c r="AD297" i="5"/>
  <c r="AD303" i="5"/>
  <c r="AD309" i="5"/>
  <c r="AD311" i="5"/>
  <c r="AD315" i="5"/>
  <c r="AD323" i="5"/>
  <c r="AD327" i="5"/>
  <c r="AD329" i="5"/>
  <c r="AD333" i="5"/>
  <c r="AD335" i="5"/>
  <c r="AD337" i="5"/>
  <c r="AD339" i="5"/>
  <c r="AD341" i="5"/>
  <c r="AD1" i="5"/>
  <c r="AD6" i="5"/>
  <c r="AD128" i="5"/>
  <c r="AD146" i="5"/>
  <c r="AD148" i="5"/>
  <c r="AD154" i="5"/>
  <c r="AD226" i="5"/>
  <c r="AD362" i="5"/>
  <c r="AD364" i="5"/>
  <c r="AD11" i="5"/>
  <c r="AD49" i="5"/>
  <c r="AD51" i="5"/>
  <c r="AD67" i="5"/>
  <c r="AD69" i="5"/>
  <c r="AD79" i="5"/>
  <c r="AD83" i="5"/>
  <c r="AD85" i="5"/>
  <c r="AD87" i="5"/>
  <c r="AD103" i="5"/>
  <c r="AD105" i="5"/>
  <c r="AD109" i="5"/>
  <c r="AD115" i="5"/>
  <c r="AD119" i="5"/>
  <c r="AD121" i="5"/>
  <c r="AD159" i="5"/>
  <c r="AD161" i="5"/>
  <c r="AD163" i="5"/>
  <c r="AD189" i="5"/>
  <c r="AD191" i="5"/>
  <c r="AD193" i="5"/>
  <c r="AD213" i="5"/>
  <c r="AD233" i="5"/>
  <c r="AD243" i="5"/>
  <c r="AD245" i="5"/>
  <c r="AD253" i="5"/>
  <c r="AD255" i="5"/>
  <c r="AD265" i="5"/>
  <c r="AD275" i="5"/>
  <c r="AD281" i="5"/>
  <c r="AD287" i="5"/>
  <c r="AD289" i="5"/>
  <c r="AD291" i="5"/>
  <c r="AD293" i="5"/>
  <c r="AD295" i="5"/>
  <c r="AD299" i="5"/>
  <c r="AD301" i="5"/>
  <c r="AD305" i="5"/>
  <c r="AD307" i="5"/>
  <c r="AD317" i="5"/>
  <c r="AD319" i="5"/>
  <c r="AD321" i="5"/>
  <c r="AD331" i="5"/>
  <c r="AD343" i="5"/>
  <c r="AD345" i="5"/>
  <c r="AD347" i="5"/>
  <c r="AD349" i="5"/>
  <c r="AD351" i="5"/>
  <c r="AD357" i="5"/>
  <c r="AD359" i="5"/>
  <c r="AD361" i="5"/>
  <c r="AD20" i="4"/>
  <c r="AD24" i="4"/>
  <c r="AD28" i="4"/>
  <c r="AD32" i="4"/>
  <c r="AD36" i="4"/>
  <c r="AD40" i="4"/>
  <c r="AD44" i="4"/>
  <c r="AD48" i="4"/>
  <c r="AD52" i="4"/>
  <c r="AD56" i="4"/>
  <c r="AD60" i="4"/>
  <c r="AD64" i="4"/>
  <c r="AD68" i="4"/>
  <c r="AD70" i="4"/>
  <c r="AD72" i="4"/>
  <c r="AD74" i="4"/>
  <c r="AD78" i="4"/>
  <c r="AD80" i="4"/>
  <c r="AD82" i="4"/>
  <c r="AD84" i="4"/>
  <c r="AD86" i="4"/>
  <c r="AD88" i="4"/>
  <c r="AD90" i="4"/>
  <c r="AD92" i="4"/>
  <c r="AD94" i="4"/>
  <c r="AD96" i="4"/>
  <c r="AD98" i="4"/>
  <c r="AD100" i="4"/>
  <c r="AD102" i="4"/>
  <c r="AD104" i="4"/>
  <c r="AD106" i="4"/>
  <c r="AD108" i="4"/>
  <c r="AD110" i="4"/>
  <c r="AD112" i="4"/>
  <c r="AD114" i="4"/>
  <c r="AD116" i="4"/>
  <c r="AD118" i="4"/>
  <c r="AD120" i="4"/>
  <c r="AD122" i="4"/>
  <c r="AD124" i="4"/>
  <c r="AD126" i="4"/>
  <c r="AD128" i="4"/>
  <c r="AD130" i="4"/>
  <c r="AD132" i="4"/>
  <c r="AD134" i="4"/>
  <c r="AD136" i="4"/>
  <c r="AD138" i="4"/>
  <c r="AD140" i="4"/>
  <c r="AD142" i="4"/>
  <c r="AD144" i="4"/>
  <c r="AD146" i="4"/>
  <c r="AD148" i="4"/>
  <c r="AD150" i="4"/>
  <c r="AD152" i="4"/>
  <c r="AD154" i="4"/>
  <c r="AD156" i="4"/>
  <c r="AD158" i="4"/>
  <c r="AD160" i="4"/>
  <c r="AD162" i="4"/>
  <c r="AD164" i="4"/>
  <c r="AD166" i="4"/>
  <c r="AD168" i="4"/>
  <c r="AD170" i="4"/>
  <c r="AD172" i="4"/>
  <c r="AD174" i="4"/>
  <c r="AD176" i="4"/>
  <c r="AD178" i="4"/>
  <c r="AD180" i="4"/>
  <c r="AD184" i="4"/>
  <c r="AD186" i="4"/>
  <c r="AD188" i="4"/>
  <c r="AD13" i="4"/>
  <c r="AD190" i="4"/>
  <c r="AD192" i="4"/>
  <c r="AD194" i="4"/>
  <c r="AD198" i="4"/>
  <c r="AD200" i="4"/>
  <c r="AD202" i="4"/>
  <c r="AD204" i="4"/>
  <c r="AD206" i="4"/>
  <c r="AD208" i="4"/>
  <c r="AD210" i="4"/>
  <c r="AD212" i="4"/>
  <c r="AD214" i="4"/>
  <c r="AD216" i="4"/>
  <c r="AD218" i="4"/>
  <c r="AD220" i="4"/>
  <c r="AD222" i="4"/>
  <c r="AD224" i="4"/>
  <c r="AD226" i="4"/>
  <c r="AD228" i="4"/>
  <c r="AD230" i="4"/>
  <c r="AD232" i="4"/>
  <c r="AD234" i="4"/>
  <c r="AD236" i="4"/>
  <c r="AD238" i="4"/>
  <c r="AD240" i="4"/>
  <c r="AD242" i="4"/>
  <c r="AD244" i="4"/>
  <c r="AD246" i="4"/>
  <c r="AD248" i="4"/>
  <c r="AD250" i="4"/>
  <c r="AD252" i="4"/>
  <c r="AD254" i="4"/>
  <c r="AD256" i="4"/>
  <c r="AD258" i="4"/>
  <c r="AD260" i="4"/>
  <c r="AD262" i="4"/>
  <c r="AD264" i="4"/>
  <c r="AD266" i="4"/>
  <c r="AD268" i="4"/>
  <c r="AD270" i="4"/>
  <c r="AD272" i="4"/>
  <c r="AD274" i="4"/>
  <c r="AD276" i="4"/>
  <c r="AD278" i="4"/>
  <c r="AD280" i="4"/>
  <c r="AD282" i="4"/>
  <c r="AD284" i="4"/>
  <c r="AD286" i="4"/>
  <c r="AD288" i="4"/>
  <c r="AD290" i="4"/>
  <c r="AD292" i="4"/>
  <c r="AD294" i="4"/>
  <c r="AD296" i="4"/>
  <c r="AD298" i="4"/>
  <c r="AD300" i="4"/>
  <c r="AD302" i="4"/>
  <c r="AD304" i="4"/>
  <c r="AD306" i="4"/>
  <c r="AD308" i="4"/>
  <c r="AD310" i="4"/>
  <c r="AD312" i="4"/>
  <c r="AD314" i="4"/>
  <c r="AD316" i="4"/>
  <c r="AD318" i="4"/>
  <c r="AD320" i="4"/>
  <c r="AD322" i="4"/>
  <c r="AD324" i="4"/>
  <c r="AD326" i="4"/>
  <c r="AD328" i="4"/>
  <c r="AD330" i="4"/>
  <c r="AD332" i="4"/>
  <c r="AD334" i="4"/>
  <c r="AD336" i="4"/>
  <c r="AD340" i="4"/>
  <c r="AD342" i="4"/>
  <c r="AD344" i="4"/>
  <c r="AD346" i="4"/>
  <c r="AD348" i="4"/>
  <c r="AD350" i="4"/>
  <c r="AD352" i="4"/>
  <c r="AD354" i="4"/>
  <c r="AD356" i="4"/>
  <c r="AD358" i="4"/>
  <c r="AD360" i="4"/>
  <c r="AD362" i="4"/>
  <c r="AD76" i="4"/>
  <c r="AD182" i="4"/>
  <c r="AD338" i="4"/>
  <c r="AD364" i="4"/>
  <c r="AD7" i="4"/>
  <c r="AD29" i="4"/>
  <c r="AD33" i="4"/>
  <c r="AD39" i="4"/>
  <c r="AD43" i="4"/>
  <c r="AD51" i="4"/>
  <c r="AD67" i="4"/>
  <c r="AD101" i="4"/>
  <c r="AD105" i="4"/>
  <c r="AD107" i="4"/>
  <c r="AD111" i="4"/>
  <c r="AD113" i="4"/>
  <c r="AD115" i="4"/>
  <c r="AD117" i="4"/>
  <c r="AD119" i="4"/>
  <c r="AD131" i="4"/>
  <c r="AD143" i="4"/>
  <c r="AD145" i="4"/>
  <c r="AD153" i="4"/>
  <c r="AD155" i="4"/>
  <c r="AD157" i="4"/>
  <c r="AD159" i="4"/>
  <c r="AD185" i="4"/>
  <c r="AD187" i="4"/>
  <c r="AD189" i="4"/>
  <c r="AD191" i="4"/>
  <c r="AD193" i="4"/>
  <c r="AD195" i="4"/>
  <c r="AD201" i="4"/>
  <c r="AD205" i="4"/>
  <c r="AD207" i="4"/>
  <c r="AD231" i="4"/>
  <c r="AD233" i="4"/>
  <c r="AD235" i="4"/>
  <c r="AD237" i="4"/>
  <c r="AD239" i="4"/>
  <c r="AD241" i="4"/>
  <c r="AD243" i="4"/>
  <c r="AD251" i="4"/>
  <c r="AD253" i="4"/>
  <c r="AD277" i="4"/>
  <c r="AD279" i="4"/>
  <c r="AD281" i="4"/>
  <c r="AD283" i="4"/>
  <c r="AD297" i="4"/>
  <c r="AD299" i="4"/>
  <c r="AD301" i="4"/>
  <c r="AD303" i="4"/>
  <c r="AD305" i="4"/>
  <c r="AD307" i="4"/>
  <c r="AD327" i="4"/>
  <c r="AD331" i="4"/>
  <c r="AD355" i="4"/>
  <c r="AD357" i="4"/>
  <c r="AD359" i="4"/>
  <c r="AD361" i="4"/>
  <c r="AD363" i="4"/>
  <c r="AD196" i="16"/>
  <c r="AD196" i="11"/>
  <c r="AD196" i="9"/>
  <c r="AD197" i="8"/>
  <c r="AD281" i="8"/>
  <c r="AD196" i="7"/>
  <c r="AD196" i="6"/>
  <c r="AD196" i="4"/>
  <c r="F2" i="4" l="1"/>
  <c r="AD2" i="4" s="1"/>
  <c r="F2" i="12"/>
  <c r="AD2" i="12" s="1"/>
  <c r="F2" i="13"/>
  <c r="AD2" i="13" s="1"/>
  <c r="F2" i="14"/>
  <c r="AD2" i="14" s="1"/>
  <c r="F2" i="15"/>
  <c r="AD2" i="15" s="1"/>
  <c r="F2" i="18"/>
  <c r="AD2" i="18" s="1"/>
  <c r="F2" i="19"/>
  <c r="AD2" i="19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charset val="17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Fill="1" applyBorder="1" applyAlignment="1"/>
    <xf numFmtId="0" fontId="1" fillId="0" borderId="0" xfId="1"/>
    <xf numFmtId="0" fontId="0" fillId="0" borderId="0" xfId="0" applyBorder="1" applyAlignment="1">
      <alignment horizontal="center"/>
    </xf>
    <xf numFmtId="0" fontId="0" fillId="0" borderId="0" xfId="0" applyFill="1" applyBorder="1" applyAlignment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5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89</v>
      </c>
      <c r="B1">
        <v>1</v>
      </c>
      <c r="C1">
        <v>1</v>
      </c>
      <c r="D1">
        <v>2</v>
      </c>
      <c r="E1">
        <v>2</v>
      </c>
      <c r="F1" s="3">
        <f>3382.2+(821.1-678.4)+(0+(0-0))+0-0-0</f>
        <v>3524.8999999999996</v>
      </c>
      <c r="G1" s="3">
        <f>2915.2+(845.8-602.2)+(0+(0-0))+0-0-0</f>
        <v>3158.7999999999997</v>
      </c>
      <c r="H1" s="3">
        <f>2736.9+(709.4-544.6)+(0+(0-0))+0-0-0</f>
        <v>2901.7</v>
      </c>
      <c r="I1" s="3">
        <f>2727.6+(628.6-538.1)+(-1.391076+(-0.320586--0.274431))+0-0-0</f>
        <v>2816.662769</v>
      </c>
      <c r="J1" s="3">
        <f>2691.2+(633.4-541.2)+(-6.86256+(-1.61517--1.38006))+0-0-0</f>
        <v>2776.3023299999995</v>
      </c>
      <c r="K1" s="3">
        <f>2734+(569-523.2)+(-1.39434+(-0.29019--0.266832))+0-0-0</f>
        <v>2778.382302</v>
      </c>
      <c r="L1" s="3">
        <f>2632.5+(498-467.2)+(-6.712875+(-1.2699--1.19136))+0-0-0</f>
        <v>2656.508585</v>
      </c>
      <c r="M1" s="3">
        <f>2674.1+(472.8-502.9)+(4.091373+(0.723384-0.769437))+11.7-0-0</f>
        <v>2659.74532</v>
      </c>
      <c r="N1" s="3">
        <f>2849.5+(471.2-500.2)+(0+(0-0))+0-0-0</f>
        <v>2820.5</v>
      </c>
      <c r="O1" s="3">
        <f>3351.3+(363.5-489.6)+(-6.836652+(-0.74154--0.998784))+0-0-0</f>
        <v>3218.6205920000002</v>
      </c>
      <c r="P1" s="3">
        <f>3539.9+(266.9-505.3)+(-9.026745+(-0.680595--1.288515))+0-0-0</f>
        <v>3293.0811749999998</v>
      </c>
      <c r="Q1" s="3">
        <f>3494.7+(266.6-455)+(-3.564594+(-0.271932--0.4641))+1.9-0-0</f>
        <v>3304.8275739999999</v>
      </c>
      <c r="R1" s="3">
        <f>3406.9+(318.5-404.3)+(-3.475038+(-0.32487--0.412386))+0-0-0</f>
        <v>3317.7124779999999</v>
      </c>
      <c r="S1" s="3">
        <f>3384.8+(326.4-439.9)+(0+(0-0))+0-0-0</f>
        <v>3271.3</v>
      </c>
      <c r="T1" s="3">
        <f>3271.1+(324.6-377.3)+(-5.004783+(-0.496638--0.577269))+0-0-0</f>
        <v>3213.475848</v>
      </c>
      <c r="U1" s="3">
        <f>3378.3+(266.2-447.4)+(-5.168799+(-0.407286--0.684522))+0-0-0</f>
        <v>3192.2084370000002</v>
      </c>
      <c r="V1" s="3">
        <f>3306.5+(452.4-532.8)+(-5.058945+(-0.692172--0.815184))+0-0-0</f>
        <v>3221.1640669999997</v>
      </c>
      <c r="W1" s="3">
        <f>3309.8+(705.8-712)+(-3.375996+(-0.719916--0.72624))+0-0-0</f>
        <v>3300.2303280000006</v>
      </c>
      <c r="X1" s="3">
        <f>3694.2+(746.2-791)+(-1.884042+(-0.380562--0.40341))+0-0-0</f>
        <v>3647.5388059999996</v>
      </c>
      <c r="Y1" s="3">
        <f>3944.3+(1047.7-1014.6)+(0+(0-0))+0-0-0</f>
        <v>3977.4</v>
      </c>
      <c r="Z1" s="3">
        <f>3905.5+(1091.9-1029)+(-1.991805+(-0.556869--0.52479))+0-0-0</f>
        <v>3966.3761159999999</v>
      </c>
      <c r="AA1" s="3">
        <f>3940.8+(990.4-1032.6)+(-10.04904+(-2.52552--2.63313))+0-0-0</f>
        <v>3888.6585700000005</v>
      </c>
      <c r="AB1" s="3">
        <f>3816.3+(1030.7-1030.1)+(-3.892626+(-1.051314--1.050702))+0-0-0</f>
        <v>3813.0067620000004</v>
      </c>
      <c r="AC1" s="3">
        <f>3492+(1007.6-860.4)+(-12.46644+(-3.597132--3.071628))+0-0-0</f>
        <v>3626.2080559999999</v>
      </c>
      <c r="AD1">
        <f t="shared" ref="AD1:AD64" si="0">SUM(F1:AC1)</f>
        <v>78345.310115000015</v>
      </c>
      <c r="AE1" s="3">
        <f>3956+(1028-985)+(0+(0-0))+0-0-0</f>
        <v>3999</v>
      </c>
    </row>
    <row r="2" spans="1:31" s="2" customFormat="1" x14ac:dyDescent="0.25">
      <c r="A2">
        <v>89</v>
      </c>
      <c r="B2">
        <v>1</v>
      </c>
      <c r="C2">
        <v>2</v>
      </c>
      <c r="D2">
        <v>3</v>
      </c>
      <c r="E2">
        <v>2</v>
      </c>
      <c r="F2" s="3">
        <f>(G2+AC1)/2</f>
        <v>3327.5323630000003</v>
      </c>
      <c r="G2" s="3">
        <f>3112+(546-621.4)+(-7.9356+(-1.3923--1.58457))+0-0-0</f>
        <v>3028.8566700000001</v>
      </c>
      <c r="H2" s="3">
        <f>3087.1+(501.6-548.5)+(-9.446526+(-1.534896--1.67841))+0-0-0</f>
        <v>3030.896988</v>
      </c>
      <c r="I2" s="3">
        <f>2854.6+(545.7-577.2)+(-2.911692+(-0.556614--0.588744))+0-0-0</f>
        <v>2820.2204379999998</v>
      </c>
      <c r="J2" s="3">
        <f>2739+(600.5-607.9)+(0+(0-0))+0-0-0</f>
        <v>2731.6</v>
      </c>
      <c r="K2" s="3">
        <f>2739.3+(579.8-603.3)+(2.794086+(0.591396-0.615366))+0-0-0</f>
        <v>2718.5701160000003</v>
      </c>
      <c r="L2" s="3">
        <f>2737.3+(591.6-595.6)+(1.396023+(0.301716-0.303756))+0-0-0</f>
        <v>2734.6939830000001</v>
      </c>
      <c r="M2" s="3">
        <f>2756.2+(337.2-477.2)+(-7.02831+(-0.85986--1.21686))+0-0-0</f>
        <v>2609.5286899999996</v>
      </c>
      <c r="N2" s="3">
        <f>2878.3+(295.2-553.1)+(-2.935866+(-0.301104--0.564162))+8.3-0-0</f>
        <v>2626.0271920000005</v>
      </c>
      <c r="O2" s="3">
        <f>3169.2+(263.8-654.7)+(-3.232584+(-0.269076--0.667794))+0-0-0</f>
        <v>2775.4661339999998</v>
      </c>
      <c r="P2" s="3">
        <f>3356.6+(387.8-732.3)+(-3.423732+(-0.395556--0.746946))+0-0-0</f>
        <v>3009.027658</v>
      </c>
      <c r="Q2" s="3">
        <f>3494.3+(472-759.5)+(-5.346279+(-0.72216--1.162035))+0-0-0</f>
        <v>3201.8935960000003</v>
      </c>
      <c r="R2" s="3">
        <f>3427.9+(753.9-926.5)+(0+(0-0))+0-0-0</f>
        <v>3255.3</v>
      </c>
      <c r="S2" s="3">
        <f>3478.3+(699.1-866.6)+(-8.869665+(-1.782705--2.20983))+0-0-0</f>
        <v>3302.3574600000002</v>
      </c>
      <c r="T2" s="3">
        <f>3318.3+(644.2-845.5)+(-1.692333+(-0.328542--0.431205))+0-0-0</f>
        <v>3115.4103300000002</v>
      </c>
      <c r="U2" s="3">
        <f>3259.9+(644-750)+(-1.662549+(-0.32844--0.3825))+0-0-0</f>
        <v>3152.2915109999999</v>
      </c>
      <c r="V2" s="3">
        <f>3252.7+(648.7-768)+(-4.976631+(-0.992511--1.17504))+0-0-0</f>
        <v>3128.6058979999998</v>
      </c>
      <c r="W2" s="3">
        <f>3248.6+(611.3-734.6)+(-3.313572+(-0.623526--0.749292))+0-0-0</f>
        <v>3122.1121939999998</v>
      </c>
      <c r="X2" s="3">
        <f>3729.6+(410.6-952.2)+(0+(0-0))+0-0-0</f>
        <v>3188</v>
      </c>
      <c r="Y2" s="3">
        <f>4215.3+(455.6-1020.3)+(-2.149803+(-0.232356--0.520353))+0-0-0</f>
        <v>3648.7381940000005</v>
      </c>
      <c r="Z2" s="3">
        <f>4662.4+(613.9-1264.8)+(-9.511296+(-1.252356--2.580192))+0-0-0</f>
        <v>4003.3165399999993</v>
      </c>
      <c r="AA2" s="3">
        <f>4337.3+(818.3-1172.6)+(-4.424046+(-0.834666--1.196052))+0-0-0</f>
        <v>3978.9373399999999</v>
      </c>
      <c r="AB2" s="3">
        <f>3972.9+(998-1085)+(-6.078537+(-1.52694--1.66005))+0-0-0</f>
        <v>3879.954573</v>
      </c>
      <c r="AC2" s="3">
        <f>3978.3+(804.8-998)+(-6.086799+(-1.231344--1.52694))+0-0-0</f>
        <v>3779.3087970000001</v>
      </c>
      <c r="AD2">
        <f t="shared" si="0"/>
        <v>76168.646665000007</v>
      </c>
      <c r="AE2" s="3">
        <f>4674+(636-1296)+(0+(0-0))+0-0-0</f>
        <v>4014</v>
      </c>
    </row>
    <row r="3" spans="1:31" s="2" customFormat="1" x14ac:dyDescent="0.25">
      <c r="A3">
        <v>89</v>
      </c>
      <c r="B3">
        <v>1</v>
      </c>
      <c r="C3">
        <v>3</v>
      </c>
      <c r="D3">
        <v>4</v>
      </c>
      <c r="E3">
        <v>2</v>
      </c>
      <c r="F3" s="3">
        <f>3515.6+(997.4-981.8)+(-7.171824+(-2.034696--2.002872))+0-0-0</f>
        <v>3523.9963519999997</v>
      </c>
      <c r="G3" s="3">
        <f>3330.3+(669.1-801.8)+(-5.095359+(-1.023723--1.226754))+0-0-0</f>
        <v>3192.7076720000005</v>
      </c>
      <c r="H3" s="3">
        <f>3146.5+(493-715)+(-9.62829+(-1.50858--2.1879))+0-0-0</f>
        <v>2915.5510300000001</v>
      </c>
      <c r="I3" s="3">
        <f>3168.3+(350.1-721.2)+(-3.231666+(-0.357102--0.735624))+0-0-0</f>
        <v>2794.3468560000001</v>
      </c>
      <c r="J3" s="3">
        <f>3164.6+(338.5-757.4)+(-4.841838+(-0.517905--1.158822))+0-0-0</f>
        <v>2741.4990789999997</v>
      </c>
      <c r="K3" s="3">
        <f>3004.4+(454.9-743)+(-1.532244+(-0.231999--0.37893))+0-0-0</f>
        <v>2714.914687</v>
      </c>
      <c r="L3" s="3">
        <f>2933.4+(538.7-741.6)+(-5.984136+(-1.098948--1.512864))+0-0-0</f>
        <v>2724.9297799999999</v>
      </c>
      <c r="M3" s="3">
        <f>2865.9+(376.6-642.7)+(-4.384827+(-0.576198--0.983331))+0-0-0</f>
        <v>2595.822306</v>
      </c>
      <c r="N3" s="3">
        <f>2870.8+(451.6-692.9)+(1.464108+(0.230316-0.353379))+0-0-0</f>
        <v>2630.8410450000001</v>
      </c>
      <c r="O3" s="3">
        <f>3028.9+(625.5-860)+(0+(0-0))+0-0-0</f>
        <v>2794.4</v>
      </c>
      <c r="P3" s="3">
        <f>3345.6+(663.2-936.1)+(1.706256+(0.338232-0.477411))+0-0-0</f>
        <v>3074.267077</v>
      </c>
      <c r="Q3" s="3">
        <f>3514.2+(524.5-853)+(-1.792242+(-0.267495--0.43503))+0-0-0</f>
        <v>3184.0752929999999</v>
      </c>
      <c r="R3" s="3">
        <f>3430.7+(481-679.1)+(-3.499314+(-0.49062--0.692682))+0-0-0</f>
        <v>3229.3027480000001</v>
      </c>
      <c r="S3" s="3">
        <f>3384.1+(393.2-568.2)+(-1.725891+(-0.200532--0.289782))+0-0-0</f>
        <v>3207.4633589999999</v>
      </c>
      <c r="T3" s="3">
        <f>3375.5+(317.8-538.1)+(0+(0-0))+0-0-0</f>
        <v>3155.2</v>
      </c>
      <c r="U3" s="3">
        <f>3340.2+(329.8-539.4)+(-5.110506+(-0.504594--0.825282))+0-0-0</f>
        <v>3125.8101819999997</v>
      </c>
      <c r="V3" s="3">
        <f>3379.5+(269.2-524.4)+(-3.44709+(-0.274584--0.534888))+0-0-0</f>
        <v>3121.113214</v>
      </c>
      <c r="W3" s="3">
        <f>3387.4+(373.7-606.9)+(-3.455148+(-0.381174--0.619038))+0-0-0</f>
        <v>3150.9827160000004</v>
      </c>
      <c r="X3" s="3">
        <f>3562.8+(410.5-659.5)+(0+(0-0))+0-0-0</f>
        <v>3313.8</v>
      </c>
      <c r="Y3" s="3">
        <f>3876.2+(590.6-733.1)+(0+(0-0))+0-0-0</f>
        <v>3733.7</v>
      </c>
      <c r="Z3" s="3">
        <f>4224.4+(719-970.3)+(-8.617776+(-1.46676--1.979412))+0-0-0</f>
        <v>3964.9948759999993</v>
      </c>
      <c r="AA3" s="3">
        <f>4201.9+(640-944.1)+(0+(0-0))+0-0-0</f>
        <v>3897.7999999999997</v>
      </c>
      <c r="AB3" s="3">
        <f>4008.7+(679.4-878.2)+(-2.044437+(-0.346494--0.447882))+0-0-0</f>
        <v>3807.9569509999997</v>
      </c>
      <c r="AC3" s="3">
        <f>3713.2+(736.3-761.2)+(-3.787464+(-0.751026--0.776424))+0-0-0</f>
        <v>3684.537934</v>
      </c>
      <c r="AD3">
        <f t="shared" si="0"/>
        <v>76280.013156999979</v>
      </c>
      <c r="AE3" s="3">
        <f>4202+(774-980)+(0+(0-0))+0-0-0</f>
        <v>3996</v>
      </c>
    </row>
    <row r="4" spans="1:31" s="2" customFormat="1" x14ac:dyDescent="0.25">
      <c r="A4">
        <v>89</v>
      </c>
      <c r="B4">
        <v>1</v>
      </c>
      <c r="C4">
        <v>4</v>
      </c>
      <c r="D4">
        <v>5</v>
      </c>
      <c r="E4">
        <v>2</v>
      </c>
      <c r="F4" s="3">
        <f>3259.5+(727.2-655.4)+(-3.32469+(-0.741744--0.668508))+0-0-0</f>
        <v>3327.9020740000001</v>
      </c>
      <c r="G4" s="3">
        <f>3105+(707.2-703.8)+(-6.3342+(-1.442688--1.435752))+0-0-0</f>
        <v>3102.0588640000001</v>
      </c>
      <c r="H4" s="3">
        <f>3068.3+(423.7-603.3)+(-4.694499+(-0.648261--0.923049))+0-0-0</f>
        <v>2884.2802890000003</v>
      </c>
      <c r="I4" s="3">
        <f>2852.9+(404.5-505.3)+(2.909958+(0.41259-0.515406))+0-0-0</f>
        <v>2754.907142</v>
      </c>
      <c r="J4" s="3">
        <f>2822.9+(334.9-463.3)+(-1.439679+(-0.170799--0.236283))+0-0-0</f>
        <v>2693.1258050000001</v>
      </c>
      <c r="K4" s="3">
        <f>2818.2+(396-511.3)+(1.437282+(0.20196-0.260763))+0-0-0</f>
        <v>2704.2784789999996</v>
      </c>
      <c r="L4" s="3">
        <f>2814.5+(394.8-490.8)+(-1.435395+(-0.201348--0.250308))+0-0-0</f>
        <v>2717.1135650000001</v>
      </c>
      <c r="M4" s="3">
        <f>2803.1+(221.4-423.2)+(-2.859162+(-0.225828--0.431664))+0-0-0</f>
        <v>2598.6466739999996</v>
      </c>
      <c r="N4" s="3">
        <f>2782+(345.7-491.1)+(0+(0-0))+0-0-0</f>
        <v>2636.6</v>
      </c>
      <c r="O4" s="3">
        <f>2902.2+(538.2-619.5)+(1.480122+(0.274482-0.315945))+0-0-0</f>
        <v>2822.3386589999996</v>
      </c>
      <c r="P4" s="3">
        <f>3335.6+(392.2-659)+(-6.804624+(-0.800088--1.34436))+0-0-0</f>
        <v>3062.5396479999999</v>
      </c>
      <c r="Q4" s="3">
        <f>3445.1+(376.5-564.9)+(-3.514002+(-0.38403--0.576198))+0-0-0</f>
        <v>3253.378166</v>
      </c>
      <c r="R4" s="3">
        <f>3475+(330.9-479.1)+(0+(0-0))+0-0-0</f>
        <v>3326.8</v>
      </c>
      <c r="S4" s="3">
        <f>3403.9+(393.1-471.3)+(1.735989+(0.200481-0.240363))+0-0-0</f>
        <v>3327.3961070000005</v>
      </c>
      <c r="T4" s="3">
        <f>3494.1+(303.5-524.1)+(-3.563982+(-0.30957--0.534582))+0-0-0</f>
        <v>3270.1610300000002</v>
      </c>
      <c r="U4" s="3">
        <f>3370.2+(375.2-483.6)+(-5.156406+(-0.574056--0.739908))+0-0-0</f>
        <v>3256.8094459999998</v>
      </c>
      <c r="V4" s="3">
        <f>3315+(414.9-449.9)+(0+(0-0))+0-0-0</f>
        <v>3280</v>
      </c>
      <c r="W4" s="3">
        <f>3466.9+(457.1-581.1)+(-1.768119+(-0.233121--0.296361))+0-0-0</f>
        <v>3341.1951210000002</v>
      </c>
      <c r="X4" s="3">
        <f>3750.8+(399.8-630.4)+(-1.912908+(-0.203898--0.321504))+0-0-0</f>
        <v>3518.4046980000003</v>
      </c>
      <c r="Y4" s="3">
        <f>4327.6+(264.3-773)+(-2.207076+(-0.134793--0.39423))+0-0-0</f>
        <v>3816.9523610000006</v>
      </c>
      <c r="Z4" s="3">
        <f>4468.4+(524.7-1022.2)+(-9.115536+(-1.070388--2.085288))+0-0-0</f>
        <v>3962.7993639999995</v>
      </c>
      <c r="AA4" s="3">
        <f>4418.5+(447.8-981.4)+(-4.50687+(-0.456756--1.001028))+0-0-0</f>
        <v>3880.937402</v>
      </c>
      <c r="AB4" s="3">
        <f>4126.8+(512-818.4)+(0+(0-0))+0-0-0</f>
        <v>3820.4</v>
      </c>
      <c r="AC4" s="3">
        <f>3875.1+(541.2-688)+(-3.952602+(-0.552024--0.70176))+0-0-0</f>
        <v>3724.4971340000002</v>
      </c>
      <c r="AD4">
        <f t="shared" si="0"/>
        <v>77083.522028000007</v>
      </c>
      <c r="AE4" s="3">
        <f>4551+(578-1041)+(0+(0-0))+0-0-0</f>
        <v>4088</v>
      </c>
    </row>
    <row r="5" spans="1:31" s="2" customFormat="1" x14ac:dyDescent="0.25">
      <c r="A5">
        <v>89</v>
      </c>
      <c r="B5">
        <v>1</v>
      </c>
      <c r="C5">
        <v>5</v>
      </c>
      <c r="D5">
        <v>6</v>
      </c>
      <c r="E5">
        <v>6</v>
      </c>
      <c r="F5" s="3">
        <f>3652.9+(398.1-576.5)+(-9.314895+(-1.015155--1.470075))+0-0-0</f>
        <v>3465.6400250000002</v>
      </c>
      <c r="G5" s="3">
        <f>3334.5+(348.2-518.3)+(-5.101785+(-0.532746--0.792999))+0-0-0</f>
        <v>3159.5584680000002</v>
      </c>
      <c r="H5" s="3">
        <f>3113.8+(361-564.8)+(-3.176076+(-0.36822--0.576096))+0-0-0</f>
        <v>2907.0318000000002</v>
      </c>
      <c r="I5" s="3">
        <f>3069.5+(225.6-507.4)+(-1.565445+(-0.115056--0.258774))+0-0-0</f>
        <v>2786.2782729999999</v>
      </c>
      <c r="J5" s="3">
        <f>3016.2+(255.2-532.8)+(-1.538262+(-0.130152--0.271728))+0-0-0</f>
        <v>2737.2033139999999</v>
      </c>
      <c r="K5" s="3">
        <f>2998.2+(306.2-552.7)+(-1.529082+(-0.156162--0.281877))+0-0-0</f>
        <v>2750.2966329999999</v>
      </c>
      <c r="L5" s="3">
        <f>3029+(247.4-508.8)+(-6.17916+(-0.504696--1.037952))+0-0-0</f>
        <v>2761.9540959999999</v>
      </c>
      <c r="M5" s="3">
        <f>3101.9+(129.8-535.9)+(1.581969+(0.066198-0.273309))+0-0-0</f>
        <v>2697.1748580000003</v>
      </c>
      <c r="N5" s="3">
        <f>3158.7+(225.4-633)+(1.610937+(0.114954-0.32283))+0-0-0</f>
        <v>2752.5030609999999</v>
      </c>
      <c r="O5" s="3">
        <f>3353.8+(287.3-700.6)+(1.710438+(0.146523-0.357306))+0-0-0</f>
        <v>2941.9996550000001</v>
      </c>
      <c r="P5" s="3">
        <f>3652+(296.3-810.7)+(0+(0-0))+0-0-0</f>
        <v>3137.6</v>
      </c>
      <c r="Q5" s="3">
        <f>3726.8+(346.7-779.7)+(3.801336+(0.353634-0.795294))+0-0-0</f>
        <v>3297.1596760000002</v>
      </c>
      <c r="R5" s="3">
        <f>3715.8+(301.6-684.7)+(-1.895058+(-0.153816--0.349197))+0-0-0</f>
        <v>3331.0003230000002</v>
      </c>
      <c r="S5" s="3">
        <f>3677.2+(194.6-566.8)+(-3.750744+(-0.198492--0.578136))+0-0-0</f>
        <v>3301.6289000000002</v>
      </c>
      <c r="T5" s="3">
        <f>3466.5+(262.6-497.9)+(1.767915+(0.133926-0.253929))+0-0-0</f>
        <v>3232.8479119999997</v>
      </c>
      <c r="U5" s="3">
        <f>3556.3+(138.1-515.7)+(-3.627426+(-0.140862--0.526014))+0-0-0</f>
        <v>3175.4577260000001</v>
      </c>
      <c r="V5" s="3">
        <f>3568.3+(140.7-534.1)+(0+(0-0))+0-0-0</f>
        <v>3174.9</v>
      </c>
      <c r="W5" s="3">
        <f>3590.3+(148.4-537.3)+(-5.493159+(-0.227052--0.822069))+0-0-0</f>
        <v>3196.5018580000001</v>
      </c>
      <c r="X5" s="3">
        <f>3688+(185.5-594.8)+(-7.52352+(-0.37842--1.213392))+0-0-0</f>
        <v>3272.0114519999997</v>
      </c>
      <c r="Y5" s="3">
        <f>4248.2+(172.2-775.1)+(-4.333164+(-0.175644--0.790602))+0-0-0</f>
        <v>3641.5817939999997</v>
      </c>
      <c r="Z5" s="3">
        <f>4756.3+(257.1-1066.2)+(-7.277139+(-0.393363--1.631286))+0-0-0</f>
        <v>3941.1607840000001</v>
      </c>
      <c r="AA5" s="3">
        <f>4661.6+(267.8-1031.8)+(0+(0-0))+0-0-0</f>
        <v>3897.6000000000004</v>
      </c>
      <c r="AB5" s="3">
        <f>4376.6+(297.8-909.8)+(-2.232066+(-0.151878--0.463998))+0-0-0</f>
        <v>3762.6800540000004</v>
      </c>
      <c r="AC5" s="3">
        <f>4180.3+(314.1-848.6)+(-4.263906+(-0.320382--0.865572))+0-0-0</f>
        <v>3642.0812840000003</v>
      </c>
      <c r="AD5">
        <f t="shared" si="0"/>
        <v>76963.85194600001</v>
      </c>
      <c r="AE5" s="3">
        <f>4823+(241-1065)+(0+(0-0))+0-0-0</f>
        <v>3999</v>
      </c>
    </row>
    <row r="6" spans="1:31" s="2" customFormat="1" x14ac:dyDescent="0.25">
      <c r="A6">
        <v>89</v>
      </c>
      <c r="B6">
        <v>1</v>
      </c>
      <c r="C6">
        <v>6</v>
      </c>
      <c r="D6">
        <v>7</v>
      </c>
      <c r="E6">
        <v>1</v>
      </c>
      <c r="F6" s="3">
        <f>3752.6+(360.8-642.3)+(-1.913826+(-0.184008--0.327573))+0-0-0</f>
        <v>3469.3297389999998</v>
      </c>
      <c r="G6" s="3">
        <f>3544.1+(229.1-627.4)+(-3.614982+(-0.233682--0.639948))+0-0-0</f>
        <v>3142.5912840000001</v>
      </c>
      <c r="H6" s="3">
        <f>3330.6+(155-588.5)+(-5.095818+(-0.23715--0.900405))+0-0-0</f>
        <v>2892.6674370000001</v>
      </c>
      <c r="I6" s="3">
        <f>3206.2+(150.6-576.9)+(0+(0-0))+0-0-0</f>
        <v>2779.8999999999996</v>
      </c>
      <c r="J6" s="3">
        <f>3192.1+(192.7-652.1)+(-4.883913+(-0.294831--0.997713))+0-0-0</f>
        <v>2728.5189689999997</v>
      </c>
      <c r="K6" s="3">
        <f>3045.3+(315.8-623.4)+(0+(0-0))+0-0-0</f>
        <v>2737.7000000000003</v>
      </c>
      <c r="L6" s="3">
        <f>2983.3+(265.8-577)+(4.564449+(0.406674-0.88281))+0-0-0</f>
        <v>2676.1883130000006</v>
      </c>
      <c r="M6" s="3">
        <f>3008.7+(159.5-560.8)+(-9.206622+(-0.48807--1.716048))+0-0-0</f>
        <v>2599.4213559999998</v>
      </c>
      <c r="N6" s="3">
        <f>3053.3+(160.8-595.3)+(3.114366+(0.164016-0.607206))+0-0-0</f>
        <v>2621.471176</v>
      </c>
      <c r="O6" s="3">
        <f>3123.1+(184.4-533.2)+(0+(0-0))+0-0-0</f>
        <v>2774.2999999999997</v>
      </c>
      <c r="P6" s="3">
        <f>3403.9+(148.7-545)+(0+(0-0))+0-0-0</f>
        <v>3007.6</v>
      </c>
      <c r="Q6" s="3">
        <f>3407.5+(255.4-483.1)+(3.47565+(0.260508-0.492762))+0-0-0</f>
        <v>3183.043396</v>
      </c>
      <c r="R6" s="3">
        <f>3410.4+(309.8-447.1)+(0+(0-0))+0-0-0</f>
        <v>3273.1</v>
      </c>
      <c r="S6" s="3">
        <f>3404+(276.8-416.5)+(-5.20812+(-0.423504--0.637245))+0-0-0</f>
        <v>3259.305621</v>
      </c>
      <c r="T6" s="3">
        <f>3507.2+(149.6-459.6)+(-5.366016+(-0.228888--0.703188))+0-0-0</f>
        <v>3192.3082839999997</v>
      </c>
      <c r="U6" s="3">
        <f>3496.9+(132.7-481.3)+(-5.350257+(-0.203031--0.736389))+0-0-0</f>
        <v>3143.4831010000003</v>
      </c>
      <c r="V6" s="3">
        <f>3503.1+(141.3-495.1)+(-5.359743+(-0.216189--0.757503))+0-0-0</f>
        <v>3144.4815709999998</v>
      </c>
      <c r="W6" s="3">
        <f>3528.8+(191-488.5)+(0+(0-0))+0-0-0</f>
        <v>3231.3</v>
      </c>
      <c r="X6" s="3">
        <f>3752.3+(239.8-604.5)+(-5.741019+(-0.366894--0.924885))+0-0-0</f>
        <v>3382.4169720000004</v>
      </c>
      <c r="Y6" s="3">
        <f>4432.1+(150.7-821.9)+(-6.781113+(-0.230571--1.257507))+0-0-0</f>
        <v>3755.1458230000007</v>
      </c>
      <c r="Z6" s="3">
        <f>4974.2+(130.3-1194)+(-10.147368+(-0.265812--2.43576))+0-0-0</f>
        <v>3902.5225799999998</v>
      </c>
      <c r="AA6" s="3">
        <f>4964.2+(200.7-1227)+(-5.063484+(-0.204714--1.25154))+0-0-0</f>
        <v>3933.8833419999996</v>
      </c>
      <c r="AB6" s="3">
        <f>4733.2+(252.3-1161.5)+(-2.413932+(-0.128673--0.592365))+0-0-0</f>
        <v>3822.0497599999999</v>
      </c>
      <c r="AC6" s="3">
        <f>4555+(222-1065.2)+(0+(0-0))+0-0-0</f>
        <v>3711.8</v>
      </c>
      <c r="AD6">
        <f t="shared" si="0"/>
        <v>76364.528723999974</v>
      </c>
      <c r="AE6" s="3">
        <f>5235+(209-1093)+(0+(0-0))+0-0-0</f>
        <v>4351</v>
      </c>
    </row>
    <row r="7" spans="1:31" s="2" customFormat="1" x14ac:dyDescent="0.25">
      <c r="A7">
        <v>89</v>
      </c>
      <c r="B7">
        <v>1</v>
      </c>
      <c r="C7">
        <v>7</v>
      </c>
      <c r="D7">
        <v>1</v>
      </c>
      <c r="E7">
        <v>1</v>
      </c>
      <c r="F7" s="3">
        <f>4187.2+(214.2-895.1)+(-2.135472+(-0.109242--0.456501))+0-0-0</f>
        <v>3504.5117869999999</v>
      </c>
      <c r="G7" s="3">
        <f>3513.2+(279.1-685.8)+(-5.375196+(-0.427023--1.049274))+0-0-0</f>
        <v>3101.7470549999998</v>
      </c>
      <c r="H7" s="3">
        <f>3476.1+(134.7-688.9)+(0+(0-0))+0-0-0</f>
        <v>2921.8999999999996</v>
      </c>
      <c r="I7" s="3">
        <f>3447.1+(100.6-739.5)+(-7.032084+(-0.205224--1.50858))+0-0-0</f>
        <v>2802.4712719999998</v>
      </c>
      <c r="J7" s="3">
        <f>3472.8+(118.5-802.9)+(1.771128+(0.060435-0.409479))+0-0-0</f>
        <v>2789.8220839999999</v>
      </c>
      <c r="K7" s="3">
        <f>3460.1+(111.4-768)+(-1.764651+(-0.056814--0.39168))+0-0-0</f>
        <v>2802.0702150000002</v>
      </c>
      <c r="L7" s="3">
        <f>3546.8+(105.6-823.4)+(-3.617736+(-0.107712--0.839868))+0-0-0</f>
        <v>2826.1144199999999</v>
      </c>
      <c r="M7" s="3">
        <f>3639.1+(166.9-932.7)+(-7.423764+(-0.340476--1.902708))+0-0-0</f>
        <v>2867.4384679999998</v>
      </c>
      <c r="N7" s="3">
        <f>3792.4+(221.5-971.2)+(3.868248+(0.22593-0.990624))+0-0-0</f>
        <v>3045.8035539999996</v>
      </c>
      <c r="O7" s="3">
        <f>4136.9+(221.5-1038.3)+(-2.109819+(-0.112965--0.529533))+0-0-0</f>
        <v>3318.4067489999993</v>
      </c>
      <c r="P7" s="3">
        <f>4405.3+(239.1-1033.3)+(0+(0-0))+0-0-0</f>
        <v>3611.1000000000004</v>
      </c>
      <c r="Q7" s="3">
        <f>4580.4+(206.4-942.3)+(-4.672008+(-0.210528--0.961146))+0-0-0</f>
        <v>3840.5786099999996</v>
      </c>
      <c r="R7" s="3">
        <f>4696+(201.4-974.9)+(-2.39496+(-0.102714--0.497199))+0-0-0</f>
        <v>3920.4995250000002</v>
      </c>
      <c r="S7" s="3">
        <f>4828.4+(225.6-1112.1)+(-7.387452+(-0.345168--1.701513))+0-0-0</f>
        <v>3935.8688929999998</v>
      </c>
      <c r="T7" s="3">
        <f>4870.8+(189.5-1112.4)+(-9.936432+(-0.38658--2.269296))+0-0-0</f>
        <v>3939.8462840000002</v>
      </c>
      <c r="U7" s="3">
        <f>4844.5+(136.9-1176.6)+(-4.94139+(-0.139638--1.200132))+0-0-0</f>
        <v>3800.9191040000001</v>
      </c>
      <c r="V7" s="3">
        <f>4830.9+(105.3-1161.1)+(-12.318795+(-0.268515--2.960805))+0-0-0</f>
        <v>3765.4734949999993</v>
      </c>
      <c r="W7" s="3">
        <f>4725.1+(72.7-1001.5)+(0+(0-0))+0-0-0</f>
        <v>3796.3</v>
      </c>
      <c r="X7" s="3">
        <f>4801.1+(72.1-1032.4)+(-7.345683+(-0.110313--1.579572))+0-0-0</f>
        <v>3834.9235760000001</v>
      </c>
      <c r="Y7" s="3">
        <f>5273.9+(40.6-1264.8)+(0+(0-0))+0-0-0</f>
        <v>4049.7</v>
      </c>
      <c r="Z7" s="3">
        <f>5638.8+(45-1493.5)+(-5.751576+(-0.0459--1.52337))+0-0-0</f>
        <v>4186.0258940000003</v>
      </c>
      <c r="AA7" s="3">
        <f>5238.8+(102.3-1222.3)+(-5.343576+(-0.104346--1.246746))+0-0-0</f>
        <v>4114.5988240000006</v>
      </c>
      <c r="AB7" s="3">
        <f>4956.6+(185.9-1167.2)+(-2.527866+(-0.094809--0.595272))+0-0-0</f>
        <v>3973.2725970000001</v>
      </c>
      <c r="AC7" s="3">
        <f>4690.8+(287.6-1132.6)+(-2.392308+(-0.146676--0.577626))+0-0-0</f>
        <v>3843.8386420000002</v>
      </c>
      <c r="AD7">
        <f t="shared" si="0"/>
        <v>84593.231048000001</v>
      </c>
      <c r="AE7" s="3">
        <f>5760+(37-1532)+(0+(0-0))+0-0-0</f>
        <v>4265</v>
      </c>
    </row>
    <row r="8" spans="1:31" s="2" customFormat="1" x14ac:dyDescent="0.25">
      <c r="A8">
        <v>89</v>
      </c>
      <c r="B8">
        <v>1</v>
      </c>
      <c r="C8">
        <v>8</v>
      </c>
      <c r="D8">
        <v>2</v>
      </c>
      <c r="E8">
        <v>1</v>
      </c>
      <c r="F8" s="3">
        <f>4636.4+(72.7-1111.5)+(-9.458256+(-0.148308--2.26746))+0-0-0</f>
        <v>3590.2608959999993</v>
      </c>
      <c r="G8" s="3">
        <f>4430.1+(0-1172)+(-6.778053+(0--1.79316))+0-0-0</f>
        <v>3253.1151070000005</v>
      </c>
      <c r="H8" s="3">
        <f>3803.6+(89.7-921.7)+(-7.759344+(-0.182988--1.880268))+0-0-0</f>
        <v>2965.5379359999997</v>
      </c>
      <c r="I8" s="3">
        <f>3684.3+(55-703.3)+(-3.757986+(-0.0561--0.717366))+0-0-0</f>
        <v>3032.90328</v>
      </c>
      <c r="J8" s="3">
        <f>3651+(76.2-797.7)+(0+(0-0))+0-0-0</f>
        <v>2929.5</v>
      </c>
      <c r="K8" s="3">
        <f>3645+(82.9-800.9)+(1.85895+(0.042279-0.408459))+0-0-0</f>
        <v>2928.4927699999998</v>
      </c>
      <c r="L8" s="3">
        <f>3652.4+(113.1-803.9)+(3.725448+(0.115362-0.819978))+0-0-0</f>
        <v>2964.6208320000005</v>
      </c>
      <c r="M8" s="3">
        <f>3652+(136.4-804.3)+(-1.86252+(-0.069564--0.410193))+0-0-0</f>
        <v>2982.578109</v>
      </c>
      <c r="N8" s="3">
        <f>3842.7+(128.4-789)+(-1.959777+(-0.065484--0.40239))+0-0-0</f>
        <v>3180.4771289999999</v>
      </c>
      <c r="O8" s="3">
        <f>4071.5+(100.6-796)+(-4.15293+(-0.102612--0.81192))+0-0-0</f>
        <v>3372.6563780000001</v>
      </c>
      <c r="P8" s="3">
        <f>4424.9+(103.2-906.8)+(0+(0-0))+0-0-0</f>
        <v>3621.2999999999997</v>
      </c>
      <c r="Q8" s="3">
        <f>4627.9+(97.6-932.8)+(-4.720458+(-0.099552--0.951456))+0-0-0</f>
        <v>3788.8314459999997</v>
      </c>
      <c r="R8" s="3">
        <f>4730.7+(65.3-943.6)+(-7.237971+(-0.099909--1.443708))+0-0-0</f>
        <v>3846.5058279999998</v>
      </c>
      <c r="S8" s="3">
        <f>4630.6+(88.9-878.2)+(0+(0-0))+3.6-0-0</f>
        <v>3844.9</v>
      </c>
      <c r="T8" s="3">
        <f>4573.3+(73-865)+(-9.329532+(-0.14892--1.7646))+4.8-0-0</f>
        <v>3778.3861480000005</v>
      </c>
      <c r="U8" s="3">
        <f>4461.7+(63.1-848.3)+(-6.826401+(-0.096543--1.297899))+0-0-0</f>
        <v>3670.8749550000002</v>
      </c>
      <c r="V8" s="3">
        <f>4357.2+(56.7-837.9)+(-2.222172+(-0.028917--0.427329))+0-0-0</f>
        <v>3574.1762399999998</v>
      </c>
      <c r="W8" s="3">
        <f>4025.2+(262.1-730.3)+(-6.158556+(-0.401013--1.117359))+0-0-0</f>
        <v>3551.5577899999998</v>
      </c>
      <c r="X8" s="3">
        <f>4137+(335.2-794.1)+(-2.10987+(-0.170952--0.404991))+0-0-0</f>
        <v>3676.2241690000001</v>
      </c>
      <c r="Y8" s="3">
        <f>4682.8+(261.7-891.1)+(-4.776456+(-0.266934--0.908922))+0-0-0</f>
        <v>4049.2655319999999</v>
      </c>
      <c r="Z8" s="3">
        <f>5297.8+(194.9-1215.3)+(-10.807512+(-0.397596--2.479212))+0-0-0</f>
        <v>4268.6741040000006</v>
      </c>
      <c r="AA8" s="3">
        <f>5221+(327.3-1350.8)+(-2.66271+(-0.166923--0.688908))+0-0-0</f>
        <v>4195.3592749999998</v>
      </c>
      <c r="AB8" s="3">
        <f>4895.5+(386.4-1257)+(-7.490115+(-0.591192--1.92321))+0-0-0</f>
        <v>4018.7419030000001</v>
      </c>
      <c r="AC8" s="3">
        <f>4675.9+(386.2-1148.3)+(2.384709+(0.196962-0.585633))+0-0-0</f>
        <v>3915.796038</v>
      </c>
      <c r="AD8">
        <f t="shared" si="0"/>
        <v>85000.735864999995</v>
      </c>
      <c r="AE8" s="3">
        <f>5292+(259-1248)+(0+(0-0))+0-0-0</f>
        <v>4303</v>
      </c>
    </row>
    <row r="9" spans="1:31" s="2" customFormat="1" x14ac:dyDescent="0.25">
      <c r="A9">
        <v>89</v>
      </c>
      <c r="B9">
        <v>1</v>
      </c>
      <c r="C9">
        <v>9</v>
      </c>
      <c r="D9">
        <v>3</v>
      </c>
      <c r="E9">
        <v>1</v>
      </c>
      <c r="F9" s="3">
        <f>4443.6+(339-1126.4)+(-11.33118+(-0.86445--2.87232))+0-0-0</f>
        <v>3646.8766900000001</v>
      </c>
      <c r="G9" s="3">
        <f>3913.7+(242.3-841.1)+(-9.979935+(-0.617865--2.144805))+0-0-0</f>
        <v>3306.4470049999995</v>
      </c>
      <c r="H9" s="3">
        <f>3696+(94.1-725)+(0+(0-0))+0-0-0</f>
        <v>3065.1</v>
      </c>
      <c r="I9" s="3">
        <f>3614.1+(98.4-772.3)+(-3.686382+(-0.100368--0.787746))+0-0-0</f>
        <v>2937.200996</v>
      </c>
      <c r="J9" s="3">
        <f>3544.6+(98.8-745.9)+(-9.03873+(-0.25194--1.902045))+0-0-0</f>
        <v>2890.111375</v>
      </c>
      <c r="K9" s="3">
        <f>3559+(104.6-751.6)+(-3.63018+(-0.106692--0.766632))+0-0-0</f>
        <v>2909.0297599999999</v>
      </c>
      <c r="L9" s="3">
        <f>3618.3+(108.2-780.2)+(0+(0-0))+0-0-0</f>
        <v>2946.3</v>
      </c>
      <c r="M9" s="3">
        <f>3619.9+(136.4-796.9)+(-1.846149+(-0.069564--0.406419))+0-0-0</f>
        <v>2957.8907060000001</v>
      </c>
      <c r="N9" s="3">
        <f>4162.2+(5-1000.4)+(-4.245444+(-0.0051--1.020408))+0-0-0</f>
        <v>3163.5698639999996</v>
      </c>
      <c r="O9" s="3">
        <f>4476.2+(0-1092.4)+(-2.282862+(0--0.557124))+0-0-0</f>
        <v>3382.0742619999996</v>
      </c>
      <c r="P9" s="3">
        <f>4700.7+(38.1-1126.1)+(0+(0-0))+0-0-0</f>
        <v>3612.7</v>
      </c>
      <c r="Q9" s="3">
        <f>4724+(84.3-1015.7)+(0+(0-0))+0-0-0</f>
        <v>3792.6</v>
      </c>
      <c r="R9" s="3">
        <f>4670.4+(129.1-958.2)+(0+(0-0))+0-0-0</f>
        <v>3841.2999999999997</v>
      </c>
      <c r="S9" s="3">
        <f>4603+(92.3-913.5)+(-9.39012+(-0.188292--1.86354))+0-0-0</f>
        <v>3774.0851280000002</v>
      </c>
      <c r="T9" s="3">
        <f>4569.4+(49.6-922.7)+(-6.991182+(-0.075888--1.411731))+0-0-0</f>
        <v>3690.6446609999998</v>
      </c>
      <c r="U9" s="3">
        <f>4573.8+(38.4-991)+(-2.332638+(-0.019584--0.50541))+0-0-0</f>
        <v>3619.353188</v>
      </c>
      <c r="V9" s="3">
        <f>4562.8+(6.7-1042.8)+(-9.308112+(-0.013668--2.127312))+0-0-0</f>
        <v>3519.5055320000001</v>
      </c>
      <c r="W9" s="3">
        <f>4585.9+(4.5-1086.7)+(2.338809+(0.002295-0.554217))+0-0-0</f>
        <v>3505.486887</v>
      </c>
      <c r="X9" s="3">
        <f>4580.9+(29.3-1040.3)+(-9.345036+(-0.059772--2.122212))+0-0-0</f>
        <v>3562.6174039999996</v>
      </c>
      <c r="Y9" s="3">
        <f>5082+(65.9-1257.5)+(2.59182+(0.033609-0.641325))+0-0-0</f>
        <v>3892.3841040000002</v>
      </c>
      <c r="Z9" s="3">
        <f>5636+(182.5-1566.7)+(-11.49744+(-0.3723--3.196068))+0-0-0</f>
        <v>4243.1263280000003</v>
      </c>
      <c r="AA9" s="3">
        <f>5588.5+(100.4-1504.7)+(-2.850135+(-0.051204--0.767397))+0-0-0</f>
        <v>4182.0660579999994</v>
      </c>
      <c r="AB9" s="3">
        <f>5138.8+(337.7-1448.2)+(-5.241576+(-0.344454--1.477164))+0-0-0</f>
        <v>4024.1911340000001</v>
      </c>
      <c r="AC9" s="3">
        <f>4933.9+(374.5-1408)+(-7.548867+(-0.572985--2.15424))+0-0-0</f>
        <v>3894.4323879999997</v>
      </c>
      <c r="AD9">
        <f t="shared" si="0"/>
        <v>84359.093469999978</v>
      </c>
      <c r="AE9" s="3">
        <f>5664+(122.6-1514.1)+(0+(0-0))+0-0-0</f>
        <v>4272.5</v>
      </c>
    </row>
    <row r="10" spans="1:31" s="2" customFormat="1" x14ac:dyDescent="0.25">
      <c r="A10">
        <v>89</v>
      </c>
      <c r="B10">
        <v>1</v>
      </c>
      <c r="C10">
        <v>10</v>
      </c>
      <c r="D10">
        <v>4</v>
      </c>
      <c r="E10">
        <v>1</v>
      </c>
      <c r="F10" s="3">
        <f>4445.1+(450-1180.8)+(-9.068004+(-0.918--2.408832))+0-0-0</f>
        <v>3706.7228280000004</v>
      </c>
      <c r="G10" s="3">
        <f>3939.6+(149.1-770.2)+(-10.04598+(-0.380205--1.96401))+0-0-0</f>
        <v>3310.0378249999999</v>
      </c>
      <c r="H10" s="3">
        <f>3821.5+(38-814.2)+(-7.79586+(-0.07752--1.660968))+0-0-0</f>
        <v>3039.0875880000003</v>
      </c>
      <c r="I10" s="3">
        <f>3603.1+(89.3-775.9)+(-3.675162+(-0.091086--0.791418))+0-0-0</f>
        <v>2913.5251699999999</v>
      </c>
      <c r="J10" s="3">
        <f>3451.1+(122.4-701.7)+(0+(0-0))+0-0-0</f>
        <v>2871.7999999999997</v>
      </c>
      <c r="K10" s="3">
        <f>3361.9+(211.1-680.2)+(-3.429138+(-0.215322--0.693804))+0-0-0</f>
        <v>2889.8493440000002</v>
      </c>
      <c r="L10" s="3">
        <f>3386.7+(195.9-654.6)+(-3.454434+(-0.199818--0.667692))+0-0-0</f>
        <v>2925.0134400000002</v>
      </c>
      <c r="M10" s="3">
        <f>3463.2+(134.1-661.5)+(-3.532464+(-0.136782--0.67473))+0-0-0</f>
        <v>2932.8054839999995</v>
      </c>
      <c r="N10" s="3">
        <f>3842.1+(66.4-764.2)+(3.918942+(0.067728-0.779484))+0-0-0</f>
        <v>3147.5071859999998</v>
      </c>
      <c r="O10" s="3">
        <f>4164.5+(57.2-851)+(2.123895+(0.029172-0.43401))+0-0-0</f>
        <v>3372.4190569999996</v>
      </c>
      <c r="P10" s="3">
        <f>4492+(47.6-961.5)+(-2.29092+(-0.024276--0.490365))+0-0-0</f>
        <v>3576.275169</v>
      </c>
      <c r="Q10" s="3">
        <f>4692.8+(56.2-1003.5)+(2.393328+(0.028662-0.511785))+0-0-0</f>
        <v>3747.4102050000001</v>
      </c>
      <c r="R10" s="3">
        <f>4635.4+(111.6-914.6)+(-4.728108+(-0.113832--0.932892))+0-0-0</f>
        <v>3828.4909519999997</v>
      </c>
      <c r="S10" s="3">
        <f>4458.4+(176.4-845.7)+(-9.095136+(-0.359856--1.725228))+0-0-0</f>
        <v>3781.3702359999993</v>
      </c>
      <c r="T10" s="3">
        <f>4311+(196-793.2)+(4.39722+(0.19992-0.809064))+0-0-0</f>
        <v>3717.588076</v>
      </c>
      <c r="U10" s="3">
        <f>4232.3+(249.6-828.3)+(0+(0-0))+0-0-0</f>
        <v>3653.6000000000004</v>
      </c>
      <c r="V10" s="3">
        <f>4203.1+(275.9-892.7)+(-4.287162+(-0.281418--0.910554))+0-0-0</f>
        <v>3582.6419740000001</v>
      </c>
      <c r="W10" s="3">
        <f>4144.6+(231.5-822.8)+(-2.113746+(-0.118065--0.419628))+0-0-0</f>
        <v>3551.4878170000002</v>
      </c>
      <c r="X10" s="3">
        <f>4229.4+(228.2-854.6)+(-4.313988+(-0.232764--0.871692))+0-0-0</f>
        <v>3599.3249399999995</v>
      </c>
      <c r="Y10" s="3">
        <f>4940.5+(82.5-1059.3)+(-7.558965+(-0.126225--1.620729))+0-0-0</f>
        <v>3957.6355389999999</v>
      </c>
      <c r="Z10" s="3">
        <f>5520.6+(59.9-1289.7)+(-5.631012+(-0.061098--1.315494))+0-0-0</f>
        <v>4286.4233840000006</v>
      </c>
      <c r="AA10" s="3">
        <f>5274.7+(151.3-1205.5)+(-10.760388+(-0.308652--2.45922))+0-0-0</f>
        <v>4211.8901800000003</v>
      </c>
      <c r="AB10" s="3">
        <f>4892.5+(167.8-1025.7)+(-9.9807+(-0.342312--2.092428))+0-0-0</f>
        <v>4026.369416</v>
      </c>
      <c r="AC10" s="3">
        <f>4827.7+(124.5-1064.9)+(-7.386381+(-0.190485--1.629297))+0-0-0</f>
        <v>3881.3524309999998</v>
      </c>
      <c r="AD10">
        <f t="shared" si="0"/>
        <v>84510.628240999999</v>
      </c>
      <c r="AE10" s="3">
        <f>5571+(58.9-1461.3)+(0+(0-0))+0-0-0</f>
        <v>4168.6000000000004</v>
      </c>
    </row>
    <row r="11" spans="1:31" s="2" customFormat="1" x14ac:dyDescent="0.25">
      <c r="A11">
        <v>89</v>
      </c>
      <c r="B11">
        <v>1</v>
      </c>
      <c r="C11">
        <v>11</v>
      </c>
      <c r="D11">
        <v>5</v>
      </c>
      <c r="E11">
        <v>1</v>
      </c>
      <c r="F11" s="3">
        <f>4708+(37.6-1080.1)+(-12.0054+(-0.09588--2.754255))+0-0-0</f>
        <v>3656.152975</v>
      </c>
      <c r="G11" s="3">
        <f>4301.4+(37.1-1021.9)+(-6.581142+(-0.056763--1.563507))+0-0-0</f>
        <v>3311.5256019999993</v>
      </c>
      <c r="H11" s="3">
        <f>3844.9+(92.1-894.4)+(-7.843596+(-0.187884--1.824576))+0-0-0</f>
        <v>3036.3930960000002</v>
      </c>
      <c r="I11" s="3">
        <f>3685.6+(114.5-899.8)+(-7.518624+(-0.23358--1.835592))+0-0-0</f>
        <v>2894.3833880000002</v>
      </c>
      <c r="J11" s="3">
        <f>3451.9+(127.2-724.2)+(-5.281407+(-0.194616--1.108026))+0-0-0</f>
        <v>2850.5320030000003</v>
      </c>
      <c r="K11" s="3">
        <f>3319.7+(140.1-616.7)+(0+(0-0))+0-0-0</f>
        <v>2843.1</v>
      </c>
      <c r="L11" s="3">
        <f>3150+(185.3-529.2)+(-4.8195+(-0.283509--0.809676))+0-0-0</f>
        <v>2801.8066669999998</v>
      </c>
      <c r="M11" s="3">
        <f>3203.3+(219.1-526.8)+(0+(0-0))+0-0-0</f>
        <v>2895.6000000000004</v>
      </c>
      <c r="N11" s="3">
        <f>3506.7+(251.2-617.6)+(-1.788417+(-0.128112--0.314976))+0-0-0</f>
        <v>3138.6984469999998</v>
      </c>
      <c r="O11" s="3">
        <f>3706.8+(298.3-640.7)+(-1.890468+(-0.152133--0.326757))+0-0-0</f>
        <v>3362.6841560000003</v>
      </c>
      <c r="P11" s="3">
        <f>4109.5+(275.4-808.1)+(-12.57507+(-0.842724--2.472786))+0-0-0</f>
        <v>3565.854992</v>
      </c>
      <c r="Q11" s="3">
        <f>4296.5+(309.2-804.2)+(0+(0-0))+0-0-0</f>
        <v>3801.5</v>
      </c>
      <c r="R11" s="3">
        <f>4407.9+(280.8-802.5)+(-4.496058+(-0.286416--0.81855))+0-0-0</f>
        <v>3882.2360759999997</v>
      </c>
      <c r="S11" s="3">
        <f>4449.9+(355.9-981.1)+(0+(0-0))+0-0-0</f>
        <v>3824.7</v>
      </c>
      <c r="T11" s="3">
        <f>4440.1+(426.7-1111.7)+(-2.264451+(-0.217617--0.566967))+0-0-0</f>
        <v>3753.1848990000003</v>
      </c>
      <c r="U11" s="3">
        <f>4373.9+(439.8-1138.6)+(-8.922756+(-0.897192--2.322744))+0-0-0</f>
        <v>3667.6027959999997</v>
      </c>
      <c r="V11" s="3">
        <f>4398.8+(402.7-1226.5)+(-4.486776+(-0.410754--1.25103))+0-0-0</f>
        <v>3571.3535000000002</v>
      </c>
      <c r="W11" s="3">
        <f>4299+(348.4-1102.4)+(-6.57747+(-0.533052--1.686672))+0-0-0</f>
        <v>3539.5761499999999</v>
      </c>
      <c r="X11" s="3">
        <f>4321.7+(311.1-1038.6)+(-4.408134+(-0.317322--1.059372))+0-0-0</f>
        <v>3590.5339159999999</v>
      </c>
      <c r="Y11" s="3">
        <f>4805.8+(156.3-1019.3)+(-2.450958+(-0.079713--0.519843))+0-0-0</f>
        <v>3940.7891720000002</v>
      </c>
      <c r="Z11" s="3">
        <f>5204.1+(92.9-1023.6)+(-7.962273+(-0.142137--1.566108))+0-0-0</f>
        <v>4266.8616980000006</v>
      </c>
      <c r="AA11" s="3">
        <f>5195.6+(87-1049.9)+(-7.949268+(-0.13311--1.606347))+0-0-0</f>
        <v>4226.2239690000006</v>
      </c>
      <c r="AB11" s="3">
        <f>4948.3+(124.5-1003.9)+(-7.570899+(-0.190485--1.535967))+0-0-0</f>
        <v>4062.674583</v>
      </c>
      <c r="AC11" s="3">
        <f>4779.6+(132.2-985.1)+(-7.312788+(-0.202266--1.507203))+0-0-0</f>
        <v>3920.6921490000004</v>
      </c>
      <c r="AD11">
        <f t="shared" si="0"/>
        <v>84404.660233999995</v>
      </c>
      <c r="AE11" s="3">
        <f>5223+(106-1046.4)+(0+(0-0))+0-0-0</f>
        <v>4282.6000000000004</v>
      </c>
    </row>
    <row r="12" spans="1:31" s="2" customFormat="1" x14ac:dyDescent="0.25">
      <c r="A12">
        <v>89</v>
      </c>
      <c r="B12">
        <v>1</v>
      </c>
      <c r="C12">
        <v>12</v>
      </c>
      <c r="D12">
        <v>6</v>
      </c>
      <c r="E12">
        <v>2</v>
      </c>
      <c r="F12" s="3">
        <f>4569.3+(137.6-1025.5)+(-9.321372+(-0.280704--2.09202))+0-0-0</f>
        <v>3673.889944</v>
      </c>
      <c r="G12" s="3">
        <f>4086.9+(229.9-983)+(-2.084319+(-0.117249--0.50133))+0-0-0</f>
        <v>3332.0997620000003</v>
      </c>
      <c r="H12" s="3">
        <f>3779.8+(152.6-851.2)+(-5.783094+(-0.233478--1.302336))+0-0-0</f>
        <v>3076.4857640000005</v>
      </c>
      <c r="I12" s="3">
        <f>3717.7+(85.1-890.6)+(-7.584108+(-0.173604--1.816824))+0-0-0</f>
        <v>2906.2591119999997</v>
      </c>
      <c r="J12" s="3">
        <f>3629.2+(35.8-823.2)+(-3.701784+(-0.036516--0.839664))+0-0-0</f>
        <v>2838.9013639999998</v>
      </c>
      <c r="K12" s="3">
        <f>3573.7+(50.5-791.8)+(0+(0-0))+0-0-0</f>
        <v>2832.3999999999996</v>
      </c>
      <c r="L12" s="3">
        <f>3504.2+(73.7-759.4)+(-8.93571+(-0.187935--1.93647))+0-0-0</f>
        <v>2811.312825</v>
      </c>
      <c r="M12" s="3">
        <f>3293.8+(105.4-713.2)+(3.359676+(0.107508-0.727464))+0-0-0</f>
        <v>2688.73972</v>
      </c>
      <c r="N12" s="3">
        <f>3589.6+(103.3-882.4)+(1.830696+(0.052683-0.450024))+0-0-0</f>
        <v>2811.9333550000001</v>
      </c>
      <c r="O12" s="3">
        <f>3795+(193.4-962.7)+(0+(0-0))+0-0-0</f>
        <v>3025.7</v>
      </c>
      <c r="P12" s="3">
        <f>4228.2+(239.2-1209.1)+(-2.156382+(-0.121992--0.616641))+0-0-0</f>
        <v>3256.6382670000003</v>
      </c>
      <c r="Q12" s="3">
        <f>4421.3+(281.8-1251.6)+(0+(0-0))+0-0-0</f>
        <v>3451.5</v>
      </c>
      <c r="R12" s="3">
        <f>4493.9+(273.4-1219.5)+(-4.583778+(-0.278868--1.24389))+0-0-0</f>
        <v>3544.1812439999999</v>
      </c>
      <c r="S12" s="3">
        <f>4432.4+(230.8-1145.5)+(-9.042096+(-0.470832--2.33682))+0-0-0</f>
        <v>3510.5238919999997</v>
      </c>
      <c r="T12" s="3">
        <f>4311.9+(262.8-1118.7)+(6.597207+(0.402084-1.711611))+0-0-0</f>
        <v>3461.2876799999995</v>
      </c>
      <c r="U12" s="3">
        <f>4161.2+(254.4-1020.6)+(-6.366636+(-0.389232--1.561518))+0-0-0</f>
        <v>3389.8056499999998</v>
      </c>
      <c r="V12" s="3">
        <f>4108.3+(265.3-1030.2)+(-4.190466+(-0.270606--1.050804))+0-0-0</f>
        <v>3339.989732</v>
      </c>
      <c r="W12" s="3">
        <f>4153.4+(238.4-1041.2)+(-6.354702+(-0.364752--1.593036))+0-0-0</f>
        <v>3345.4735819999996</v>
      </c>
      <c r="X12" s="3">
        <f>4167+(212.6-954.2)+(-8.50068+(-0.433704--1.946568))+0-0-0</f>
        <v>3418.4121840000003</v>
      </c>
      <c r="Y12" s="3">
        <f>4556.6+(97.4-821.4)+(0+(0-0))+0-0-0</f>
        <v>3832.6000000000004</v>
      </c>
      <c r="Z12" s="3">
        <f>5020.2+(252.9-1053.9)+(-10.241208+(-0.515916--2.149956))+0-0-0</f>
        <v>4210.5928320000003</v>
      </c>
      <c r="AA12" s="3">
        <f>4682.1+(330.8-837.2)+(-2.387871+(-0.168708--0.426972))+0-0-0</f>
        <v>4173.5703930000009</v>
      </c>
      <c r="AB12" s="3">
        <f>4470.9+(363.8-774.8)+(-4.560318+(-0.371076--0.790296))+0-0-0</f>
        <v>4055.7589019999996</v>
      </c>
      <c r="AC12" s="3">
        <f>4240.2+(377.7-675.5)+(-8.650008+(-0.770508--1.37802))+0-0-0</f>
        <v>3934.3575039999996</v>
      </c>
      <c r="AD12">
        <f t="shared" si="0"/>
        <v>80922.413708000007</v>
      </c>
      <c r="AE12" s="3">
        <f>5050+(279.1-1080.5)+(0+(0-0))+0-0-0</f>
        <v>4248.6000000000004</v>
      </c>
    </row>
    <row r="13" spans="1:31" s="2" customFormat="1" x14ac:dyDescent="0.25">
      <c r="A13">
        <v>89</v>
      </c>
      <c r="B13">
        <v>1</v>
      </c>
      <c r="C13">
        <v>13</v>
      </c>
      <c r="D13">
        <v>7</v>
      </c>
      <c r="E13">
        <v>2</v>
      </c>
      <c r="F13" s="3">
        <f>3741.8+(451.1-474.8)+(-3.816636+(-0.460122--0.484296))+0-0-0</f>
        <v>3714.3075380000005</v>
      </c>
      <c r="G13" s="3">
        <f>3153.4+(485.4-342.2)+(-3.216468+(-0.495108--0.349044))+0-0-0</f>
        <v>3293.2374679999998</v>
      </c>
      <c r="H13" s="3">
        <f>2999.6+(394.4-378.9)+(-3.059592+(-0.402288--0.386478))+0-0-0</f>
        <v>3012.024598</v>
      </c>
      <c r="I13" s="3">
        <f>2953+(327-414.7)+(-4.51809+(-0.50031--0.634491))+0-0-0</f>
        <v>2860.9160910000001</v>
      </c>
      <c r="J13" s="3">
        <f>2882.7+(352.4-442.1)+(-2.940354+(-0.359448--0.450942))+0-0-0</f>
        <v>2790.1511399999999</v>
      </c>
      <c r="K13" s="3">
        <f>2893.1+(371.1-476.7)+(1.475481+(0.189261-0.243117))+0-0-0</f>
        <v>2788.9216249999999</v>
      </c>
      <c r="L13" s="3">
        <f>2955.7+(336.6-513.1)+(-4.522221+(-0.514998--0.785043))+0-0-0</f>
        <v>2774.9478239999999</v>
      </c>
      <c r="M13" s="3">
        <f>3026.1+(236.1-614)+(0+(0-0))+0-0-0</f>
        <v>2648.2</v>
      </c>
      <c r="N13" s="3">
        <f>3020.9+(242.6-573.6)+(3.081318+(0.247452-0.585072))+0-0-0</f>
        <v>2692.6436980000003</v>
      </c>
      <c r="O13" s="3">
        <f>3067+(248.5-508.1)+(-1.56417+(-0.126735--0.259131))+0-0-0</f>
        <v>2805.968226</v>
      </c>
      <c r="P13" s="3">
        <f>3079.4+(275.4-454.7)+(-1.570494+(-0.140454--0.231897))+0-0-0</f>
        <v>2898.6209490000001</v>
      </c>
      <c r="Q13" s="3">
        <f>3079+(319.2-451.7)+(-3.14058+(-0.325584--0.460734))+0-0-0</f>
        <v>2943.4945699999998</v>
      </c>
      <c r="R13" s="3">
        <f>3025.9+(343.9-465.2)+(-3.086418+(-0.350778--0.474504))+0-0-0</f>
        <v>2901.6373079999998</v>
      </c>
      <c r="S13" s="3">
        <f>3026.7+(331.5-496.2)+(-1.543617+(-0.169065--0.253062))+0-0-0</f>
        <v>2860.5403799999999</v>
      </c>
      <c r="T13" s="3">
        <f>2986.8+(352.9-528)+(0+(0-0))+0-0-0</f>
        <v>2811.7000000000003</v>
      </c>
      <c r="U13" s="3">
        <f>2921.3+(395.1-528)+(0+(0-0))+0-0-0</f>
        <v>2788.4</v>
      </c>
      <c r="V13" s="3">
        <f>2912.3+(386.4-507.6)+(0+(0-0))+0-0-0</f>
        <v>2791.1000000000004</v>
      </c>
      <c r="W13" s="3">
        <f>2905.2+(418.5-490.3)+(-4.444956+(-0.640305--0.750159))+0-0-0</f>
        <v>2829.0648979999996</v>
      </c>
      <c r="X13" s="3">
        <f>3147.4+(359.3-540.4)+(-3.210348+(-0.366486--0.551208))+0-0-0</f>
        <v>2963.2743740000001</v>
      </c>
      <c r="Y13" s="3">
        <f>4043.8+(273.3-834.6)+(-4.124676+(-0.278766--0.851292))+0-0-0</f>
        <v>3478.94785</v>
      </c>
      <c r="Z13" s="3">
        <f>4747.6+(283.2-1006.6)+(-12.10638+(-0.72216--2.56683))+0-0-0</f>
        <v>4013.9382900000001</v>
      </c>
      <c r="AA13" s="3">
        <f>4782.1+(233.5-897.1)+(-7.316613+(-0.357255--1.372563))+0-0-0</f>
        <v>4112.198695</v>
      </c>
      <c r="AB13" s="3">
        <f>4304.8+(346.4-631.1)+(-4.390896+(-0.353328--0.643722))+0-0-0</f>
        <v>4015.9994980000006</v>
      </c>
      <c r="AC13" s="3">
        <f>3977.3+(429.7-564.7)+(-6.085269+(-0.657441--0.863991))+0-0-0</f>
        <v>3836.4212810000004</v>
      </c>
      <c r="AD13">
        <f t="shared" si="0"/>
        <v>74626.656300999995</v>
      </c>
      <c r="AE13" s="3">
        <f>4964+(211.8-899)+(0+(0-0))+0-0-0</f>
        <v>4276.8</v>
      </c>
    </row>
    <row r="14" spans="1:31" s="2" customFormat="1" x14ac:dyDescent="0.25">
      <c r="A14">
        <v>89</v>
      </c>
      <c r="B14">
        <v>1</v>
      </c>
      <c r="C14">
        <v>14</v>
      </c>
      <c r="D14">
        <v>1</v>
      </c>
      <c r="E14">
        <v>1</v>
      </c>
      <c r="F14" s="3">
        <f>3512+(370.7-423.4)+(-3.58224+(-0.378114--0.431868))+0-0-0</f>
        <v>3455.771514</v>
      </c>
      <c r="G14" s="3">
        <f>3408.3+(184-550.8)+(-6.952932+(-0.37536--1.123632))+0-0-0</f>
        <v>3035.2953400000001</v>
      </c>
      <c r="H14" s="3">
        <f>3359.8+(151.9-673.9)+(-1.713498+(-0.077469--0.343689))+0-0-0</f>
        <v>2836.3527220000001</v>
      </c>
      <c r="I14" s="3">
        <f>3317.5+(142-685.7)+(-1.691925+(-0.07242--0.349707))+0-0-0</f>
        <v>2772.385362</v>
      </c>
      <c r="J14" s="3">
        <f>3302.6+(107.7-669)+(1.684326+(0.054927-0.34119))+0-0-0</f>
        <v>2742.6980630000003</v>
      </c>
      <c r="K14" s="3">
        <f>3309.3+(183.1-685.5)+(3.375486+(0.186762-0.69921))+0-0-0</f>
        <v>2809.7630380000001</v>
      </c>
      <c r="L14" s="3">
        <f>3445.2+(275.1-652.3)+(-7.028208+(-0.561204--1.330692))+0-0-0</f>
        <v>3061.7412800000002</v>
      </c>
      <c r="M14" s="3">
        <f>3567.9+(287.5-588.3)+(1.819629+(0.146625-0.300033))+0-0-0</f>
        <v>3268.7662210000003</v>
      </c>
      <c r="N14" s="3">
        <f>3906.6+(361.3-604.3)+(0+(0-0))+0-0-0</f>
        <v>3663.6</v>
      </c>
      <c r="O14" s="3">
        <f>4337.4+(351.8-683)+(-2.212074+(-0.179418--0.34833))+0-0-0</f>
        <v>4004.1568379999999</v>
      </c>
      <c r="P14" s="3">
        <f>4698.4+(345-679.9)+(0+(0-0))+0-0-0</f>
        <v>4363.5</v>
      </c>
      <c r="Q14" s="3">
        <f>5002.2+(367.1-765)+(0+(0-0))+0-0-0</f>
        <v>4604.3</v>
      </c>
      <c r="R14" s="3">
        <f>4963.8+(450.4-828.1)+(0+(0-0))+0-0-0</f>
        <v>4586.1000000000004</v>
      </c>
      <c r="S14" s="3">
        <f>4936.3+(499.1-948.5)+(-10.070052+(-1.018164--1.93494))+0-0-0</f>
        <v>4477.7467240000005</v>
      </c>
      <c r="T14" s="3">
        <f>4932.4+(522.2-1026.1)+(2.515524+(0.266322-0.523311))+0-0-0</f>
        <v>4430.7585349999999</v>
      </c>
      <c r="U14" s="3">
        <f>4917+(443.5-1017.6)+(5.01534+(0.45237-1.037952))+0-0-0</f>
        <v>4347.3297579999999</v>
      </c>
      <c r="V14" s="3">
        <f>4913.5+(390.9-1064.8)+(-2.505885+(-0.199359--0.543048))+0-0-0</f>
        <v>4237.4378040000001</v>
      </c>
      <c r="W14" s="3">
        <f>4852.8+(410.1-1078.5)+(-7.424784+(-0.627453--1.650105))+0-0-0</f>
        <v>4177.9978680000004</v>
      </c>
      <c r="X14" s="3">
        <f>4699.4+(331.9-847.3)+(-14.380164+(-1.015614--2.592738))+0-0-0</f>
        <v>4171.1969600000002</v>
      </c>
      <c r="Y14" s="3">
        <f>4965.5+(232-624.8)+(2.532405+(0.11832-0.318648))+0-0-0</f>
        <v>4575.0320769999998</v>
      </c>
      <c r="Z14" s="3">
        <f>5338.7+(264.3-587.4)+(-5.445474+(-0.269586--0.599148))+0-0-0</f>
        <v>5010.4840879999992</v>
      </c>
      <c r="AA14" s="3">
        <f>5315.8+(251.8-653)+(-10.844232+(-0.513672--1.33212))+0-0-0</f>
        <v>4904.574216</v>
      </c>
      <c r="AB14" s="3">
        <f>5158.7+(232.9-758.6)+(-10.523748+(-0.475116--1.547544))+0-0-0</f>
        <v>4623.5486799999999</v>
      </c>
      <c r="AC14" s="3">
        <f>4778.7+(207.8-632.6)+(-4.874274+(-0.211956--0.645252))+0-0-0</f>
        <v>4349.459022</v>
      </c>
      <c r="AD14">
        <f t="shared" si="0"/>
        <v>94509.996109999978</v>
      </c>
      <c r="AE14" s="3">
        <f>5425+(266.1-592.7)+(0+(0-0))+0-0-0</f>
        <v>5098.3999999999996</v>
      </c>
    </row>
    <row r="15" spans="1:31" s="2" customFormat="1" x14ac:dyDescent="0.25">
      <c r="A15">
        <v>89</v>
      </c>
      <c r="B15">
        <v>1</v>
      </c>
      <c r="C15">
        <v>15</v>
      </c>
      <c r="D15">
        <v>2</v>
      </c>
      <c r="E15">
        <v>1</v>
      </c>
      <c r="F15" s="3">
        <f>4090.2+(299.9-485.2)+(-12.516012+(-0.917694--1.484712))+0-0-0</f>
        <v>3892.9510059999998</v>
      </c>
      <c r="G15" s="3">
        <f>3613.4+(307.6-488.1)+(-3.685668+(-0.313752--0.497862))+0-0-0</f>
        <v>3429.3984420000002</v>
      </c>
      <c r="H15" s="3">
        <f>3480.8+(197.6-476.6)+(-1.775208+(-0.100776--0.243066))+0-0-0</f>
        <v>3200.1670820000004</v>
      </c>
      <c r="I15" s="3">
        <f>3458.9+(190.1-538.2)+(-7.056156+(-0.387804--1.097928))+0-0-0</f>
        <v>3104.4539680000003</v>
      </c>
      <c r="J15" s="3">
        <f>3471+(170.8-573.2)+(-3.54042+(-0.174216--0.584664))+0-0-0</f>
        <v>3065.4700279999997</v>
      </c>
      <c r="K15" s="3">
        <f>3425.5+(201.5-510.3)+(-5.241015+(-0.308295--0.780759))+0-0-0</f>
        <v>3111.9314489999997</v>
      </c>
      <c r="L15" s="3">
        <f>3550+(246-509.6)+(-1.8105+(-0.12546--0.259896))+0-0-0</f>
        <v>3284.7239359999999</v>
      </c>
      <c r="M15" s="3">
        <f>3715.4+(280.7-467.4)+(-7.579416+(-0.572628--0.953496))+0-0-0</f>
        <v>3521.5014520000004</v>
      </c>
      <c r="N15" s="3">
        <f>3980.2+(487.6-484.3)+(0+(0-0))+0-0-0</f>
        <v>3983.5</v>
      </c>
      <c r="O15" s="3">
        <f>4434.4+(455.9-605)+(0+(0-0))+0-0-0</f>
        <v>4285.2999999999993</v>
      </c>
      <c r="P15" s="3">
        <f>4987.9+(384.8-780.8)+(-2.543829+(-0.196248--0.398208))+0-0-0</f>
        <v>4589.5581309999998</v>
      </c>
      <c r="Q15" s="3">
        <f>5033.4+(440.3-712.3)+(-5.134068+(-0.449106--0.726546))+0-0-0</f>
        <v>4756.5433720000001</v>
      </c>
      <c r="R15" s="3">
        <f>5079.9+(434.6-727.5)+(-10.362996+(-0.886584--1.4841))+0-0-0</f>
        <v>4777.23452</v>
      </c>
      <c r="S15" s="3">
        <f>5069.6+(445.4-874.1)+(-5.170992+(-0.454308--0.891582))+0-0-0</f>
        <v>4636.1662820000001</v>
      </c>
      <c r="T15" s="3">
        <f>5062.9+(454.4-880.2)+(-7.746237+(-0.695232--1.346706))+0-0-0</f>
        <v>4630.0052369999994</v>
      </c>
      <c r="U15" s="3">
        <f>5046+(489.4-990.2)+(0+(0-0))+0-0-0</f>
        <v>4545.2</v>
      </c>
      <c r="V15" s="3">
        <f>5061.1+(442.3-1015)+(-7.743483+(-0.676719--1.55295))+0-0-0</f>
        <v>4481.5327480000005</v>
      </c>
      <c r="W15" s="3">
        <f>5042.8+(391.5-990)+(2.571828+(0.199665-0.5049))+0-0-0</f>
        <v>4446.5665930000005</v>
      </c>
      <c r="X15" s="3">
        <f>5043.7+(287.2-835.6)+(-12.861435+(-0.73236--2.13078))+0-0-0</f>
        <v>4483.836984999999</v>
      </c>
      <c r="Y15" s="3">
        <f>5026.5+(278.6-498.1)+(5.12703+(0.284172-0.508062))+0-0-0</f>
        <v>4811.9031400000003</v>
      </c>
      <c r="Z15" s="3">
        <f>5258.7+(441.1-545.5)+(-5.363874+(-0.449922--0.55641))+0-0-0</f>
        <v>5149.042614</v>
      </c>
      <c r="AA15" s="3">
        <f>5244.3+(287.5-529.4)+(-13.372965+(-0.733125--1.34997))+0-0-0</f>
        <v>4989.6438800000005</v>
      </c>
      <c r="AB15" s="3">
        <f>5203.2+(256.3-732.5)+(-5.307264+(-0.261426--0.74715))+0-0-0</f>
        <v>4722.1784600000001</v>
      </c>
      <c r="AC15" s="3">
        <f>5060.4+(236.1-939.2)+(-7.742412+(-0.361233--1.436976))+0-0-0</f>
        <v>4350.6333309999991</v>
      </c>
      <c r="AD15">
        <f t="shared" si="0"/>
        <v>100249.44265599998</v>
      </c>
      <c r="AE15" s="3">
        <f>5316+(447.5-529.8)+(0+(0-0))+0-0-0</f>
        <v>5233.7</v>
      </c>
    </row>
    <row r="16" spans="1:31" s="2" customFormat="1" x14ac:dyDescent="0.25">
      <c r="A16">
        <v>89</v>
      </c>
      <c r="B16">
        <v>1</v>
      </c>
      <c r="C16">
        <v>16</v>
      </c>
      <c r="D16">
        <v>3</v>
      </c>
      <c r="E16">
        <v>1</v>
      </c>
      <c r="F16" s="3">
        <f>4394.9+(275-808)+(-8.965596+(-0.561--1.64832))+0-0-0</f>
        <v>3854.0217239999997</v>
      </c>
      <c r="G16" s="3">
        <f>3897.8+(255-712.1)+(0+(0-0))+0-0-0</f>
        <v>3440.7000000000003</v>
      </c>
      <c r="H16" s="3">
        <f>3881.9+(289.8-886.5)+(-3.959538+(-0.295596--0.90423))+0-0-0</f>
        <v>3281.8490959999999</v>
      </c>
      <c r="I16" s="3">
        <f>3777.3+(267.7-856.6)+(-7.705692+(-0.546108--1.747464))+0-0-0</f>
        <v>3181.8956640000001</v>
      </c>
      <c r="J16" s="3">
        <f>3649.8+(280.3-722.5)+(1.861398+(0.142953-0.368475))+0-0-0</f>
        <v>3209.2358760000002</v>
      </c>
      <c r="K16" s="3">
        <f>3577.8+(276.2-573.8)+(0+(0-0))+0-0-0</f>
        <v>3280.2000000000003</v>
      </c>
      <c r="L16" s="3">
        <f>3532.3+(353-486)+(-1.801473+(-0.18003--0.24786))+0-0-0</f>
        <v>3397.5663570000002</v>
      </c>
      <c r="M16" s="3">
        <f>3685.7+(426.7-442.5)+(-1.879707+(-0.217617--0.225675))+0-0-0</f>
        <v>3668.0283509999995</v>
      </c>
      <c r="N16" s="3">
        <f>4253.4+(403.9-590.8)+(2.169234+(0.205989-0.301308))+0-0-0</f>
        <v>4068.5739149999995</v>
      </c>
      <c r="O16" s="3">
        <f>4859.9+(285.2-731.9)+(2.478549+(0.145452-0.373269))+0-0-0</f>
        <v>4415.4507320000002</v>
      </c>
      <c r="P16" s="3">
        <f>4966+(317.1-573)+(2.53266+(0.161721-0.29223))+0-0-0</f>
        <v>4712.5021510000006</v>
      </c>
      <c r="Q16" s="3">
        <f>5009.5+(445.8-562.7)+(-2.554845+(-0.227358--0.286977))+0-0-0</f>
        <v>4890.1047740000004</v>
      </c>
      <c r="R16" s="3">
        <f>4960+(423.7-494.4)+(0+(0-0))+0-0-0</f>
        <v>4889.3</v>
      </c>
      <c r="S16" s="3">
        <f>4961.2+(396.3-602.7)+(-10.120848+(-0.808452--1.229508))+0-0-0</f>
        <v>4745.1002079999998</v>
      </c>
      <c r="T16" s="3">
        <f>5018.2+(531.8-793.7)+(-2.559282+(-0.271218--0.404787))+0-0-0</f>
        <v>4753.8742869999996</v>
      </c>
      <c r="U16" s="3">
        <f>5008.2+(568.5-909.5)+(-5.108364+(-0.57987--0.92769))+0-0-0</f>
        <v>4662.4394560000001</v>
      </c>
      <c r="V16" s="3">
        <f>5015.5+(455.6-880.6)+(-2.557905+(-0.232356--0.449106))+0-0-0</f>
        <v>4588.1588449999999</v>
      </c>
      <c r="W16" s="3">
        <f>5048.3+(320.6-797)+(-5.149266+(-0.327012--0.81294))+0-0-0</f>
        <v>4567.2366620000003</v>
      </c>
      <c r="X16" s="3">
        <f>5102.1+(262.3-722.1)+(-13.010355+(-0.668865--1.841355))+0-0-0</f>
        <v>4630.4621349999998</v>
      </c>
      <c r="Y16" s="3">
        <f>5245.4+(311.4-605.6)+(-2.675154+(-0.158814--0.308856))+0-0-0</f>
        <v>4948.6748879999996</v>
      </c>
      <c r="Z16" s="3">
        <f>5382.9+(370.8-527.4)+(-8.235837+(-0.567324--0.806922))+0-0-0</f>
        <v>5218.3037609999992</v>
      </c>
      <c r="AA16" s="3">
        <f>5381.8+(411.1-732.6)+(-10.978872+(-0.838644--1.494504))+0-0-0</f>
        <v>5049.9769880000003</v>
      </c>
      <c r="AB16" s="3">
        <f>5292.2+(325.9-865.8)+(-5.398044+(-0.332418--0.883116))+0-0-0</f>
        <v>4747.4526540000006</v>
      </c>
      <c r="AC16" s="3">
        <f>4976.6+(294.9-899.1)+(-10.152264+(-0.601596--1.834164))+0-0-0</f>
        <v>4363.4803040000006</v>
      </c>
      <c r="AD16">
        <f t="shared" si="0"/>
        <v>102564.58882799998</v>
      </c>
      <c r="AE16" s="3">
        <f>5357+(392.4-551.6)+(0+(0-0))+0-0-0</f>
        <v>5197.8</v>
      </c>
    </row>
    <row r="17" spans="1:31" s="2" customFormat="1" x14ac:dyDescent="0.25">
      <c r="A17">
        <v>89</v>
      </c>
      <c r="B17">
        <v>1</v>
      </c>
      <c r="C17">
        <v>17</v>
      </c>
      <c r="D17">
        <v>4</v>
      </c>
      <c r="E17">
        <v>1</v>
      </c>
      <c r="F17" s="3">
        <f>4452.7+(419.2-1020.3)+(-6.812631+(-0.641376--1.561059))+0-0-0</f>
        <v>3845.7070519999997</v>
      </c>
      <c r="G17" s="3">
        <f>4362.3+(243.7-1108.4)+(-11.123865+(-0.621435--2.82642))+0-0-0</f>
        <v>3488.6811200000002</v>
      </c>
      <c r="H17" s="3">
        <f>3916.7+(201.8-892)+(-5.992551+(-0.308754--1.36476))+0-0-0</f>
        <v>3221.563455</v>
      </c>
      <c r="I17" s="3">
        <f>3756.3+(204.2-814.9)+(-9.578565+(-0.52071--2.077995))+0-0-0</f>
        <v>3137.5787200000004</v>
      </c>
      <c r="J17" s="3">
        <f>3778.3+(196.3-847.9)+(0+(0-0))+0-0-0</f>
        <v>3126.7000000000003</v>
      </c>
      <c r="K17" s="3">
        <f>3700.6+(199.5-729.2)+(3.774612+(0.20349-0.743784))+0-0-0</f>
        <v>3174.1343179999994</v>
      </c>
      <c r="L17" s="3">
        <f>3739.8+(269-641.8)+(0+(0-0))+0-0-0</f>
        <v>3367</v>
      </c>
      <c r="M17" s="3">
        <f>3948+(360.7-644.2)+(-8.05392+(-0.735828--1.314168))+0-0-0</f>
        <v>3657.0244200000002</v>
      </c>
      <c r="N17" s="3">
        <f>4221.4+(581.5-670.6)+(0+(0-0))+0-0-0</f>
        <v>4132.2999999999993</v>
      </c>
      <c r="O17" s="3">
        <f>4677+(649.1-842.5)+(7.15581+(0.993123-1.289025))+0-0-0</f>
        <v>4490.4599080000007</v>
      </c>
      <c r="P17" s="3">
        <f>4977.9+(634-866.5)+(2.538729+(0.32334-0.441915))+0-0-0</f>
        <v>4747.820154</v>
      </c>
      <c r="Q17" s="3">
        <f>5063.7+(807.1-948.9)+(-7.747461+(-1.234863--1.451817))+0-0-0</f>
        <v>4914.3694929999992</v>
      </c>
      <c r="R17" s="3">
        <f>5135.6+(780.8-1020.3)+(-2.619156+(-0.398208--0.520353))+0-0-0</f>
        <v>4893.602989</v>
      </c>
      <c r="S17" s="3">
        <f>5148.9+(824.2-1226)+(-5.251878+(-0.840684--1.25052))+0-0-0</f>
        <v>4742.2579579999992</v>
      </c>
      <c r="T17" s="3">
        <f>5143.5+(882.6-1277.8)+(-2.623185+(-0.450126--0.651678))+0-0-0</f>
        <v>4745.8783670000003</v>
      </c>
      <c r="U17" s="3">
        <f>5077.2+(827.6-1255.8)+(5.178744+(0.844152-1.280916))+0-0-0</f>
        <v>4653.7419799999998</v>
      </c>
      <c r="V17" s="3">
        <f>5016.1+(820.2-1243.8)+(5.116422+(0.836604-1.268676))+0-0-0</f>
        <v>4597.1843500000004</v>
      </c>
      <c r="W17" s="3">
        <f>5001.5+(750.7-1177.7)+(-7.652295+(-1.148571--1.801881))+0-0-0</f>
        <v>4567.5010149999998</v>
      </c>
      <c r="X17" s="3">
        <f>4983.3+(719.1-1117)+(-5.082966+(-0.733482--1.13934))+0-0-0</f>
        <v>4580.7228920000007</v>
      </c>
      <c r="Y17" s="3">
        <f>5128.4+(640.3-896)+(-5.230968+(-0.653106--0.91392))+0-0-0</f>
        <v>4867.7298460000002</v>
      </c>
      <c r="Z17" s="3">
        <f>5339.2+(577.8-669.5)+(-5.445984+(-0.589356--0.68289))+0-0-0</f>
        <v>5242.1475499999997</v>
      </c>
      <c r="AA17" s="3">
        <f>5248+(623.2-845.2)+(-5.35296+(-0.635664--0.862104))+0-0-0</f>
        <v>5020.8734800000002</v>
      </c>
      <c r="AB17" s="3">
        <f>5045.5+(615.8-904.2)+(0+(0-0))+0-0-0</f>
        <v>4757.1000000000004</v>
      </c>
      <c r="AC17" s="3">
        <f>4781+(552.7-938.4)+(-2.43831+(-0.281877--0.478584))+0-0-0</f>
        <v>4393.0583969999998</v>
      </c>
      <c r="AD17">
        <f t="shared" si="0"/>
        <v>102365.137464</v>
      </c>
      <c r="AE17" s="3">
        <f>5314+(574.7-745.4)+(0+(0-0))+0-0-0</f>
        <v>5143.3</v>
      </c>
    </row>
    <row r="18" spans="1:31" s="2" customFormat="1" x14ac:dyDescent="0.25">
      <c r="A18">
        <v>89</v>
      </c>
      <c r="B18">
        <v>1</v>
      </c>
      <c r="C18">
        <v>18</v>
      </c>
      <c r="D18">
        <v>5</v>
      </c>
      <c r="E18">
        <v>1</v>
      </c>
      <c r="F18" s="3">
        <f>4248.1+(569.7-945.1)+(-6.499593+(-0.871641--1.446003))+0-0-0</f>
        <v>3866.7747690000001</v>
      </c>
      <c r="G18" s="3">
        <f>4018+(589.8-1127.9)+(2.04918+(0.300798-0.575229))+0-0-0</f>
        <v>3481.6747489999998</v>
      </c>
      <c r="H18" s="3">
        <f>4001.9+(595.9-1323.8)+(-2.040969+(-0.303909--0.675138))+0-0-0</f>
        <v>3272.3302600000002</v>
      </c>
      <c r="I18" s="3">
        <f>3947.9+(624-1373.9)+(-2.013429+(-0.31824--0.700689))+0-0-0</f>
        <v>3196.3690200000001</v>
      </c>
      <c r="J18" s="3">
        <f>3837.6+(522.4-1189.4)+(-11.743056+(-1.598544--3.639564))+0-0-0</f>
        <v>3160.8979639999998</v>
      </c>
      <c r="K18" s="3">
        <f>3808.7+(516.9-1107.2)+(0+(0-0))+0-0-0</f>
        <v>3218.3999999999996</v>
      </c>
      <c r="L18" s="3">
        <f>3804.3+(484.3-896.2)+(-3.880386+(-0.493986--0.914124))+0-0-0</f>
        <v>3388.9397520000002</v>
      </c>
      <c r="M18" s="3">
        <f>3925.9+(479.8-722.6)+(-2.002209+(-0.244698--0.368526))+0-0-0</f>
        <v>3681.2216189999999</v>
      </c>
      <c r="N18" s="3">
        <f>4440.7+(616.8-872.4)+(2.264757+(0.314568-0.444924))+0-0-0</f>
        <v>4187.2344009999997</v>
      </c>
      <c r="O18" s="3">
        <f>4841.6+(687.7-1039.1)+(0+(0-0))+0-0-0</f>
        <v>4490.2000000000007</v>
      </c>
      <c r="P18" s="3">
        <f>5187.9+(617.3-1050)+(0+(0-0))+0-0-0</f>
        <v>4755.2</v>
      </c>
      <c r="Q18" s="3">
        <f>5212.9+(698.1-987.6)+(-5.317158+(-0.712062--1.007352))+0-0-0</f>
        <v>4918.3781319999998</v>
      </c>
      <c r="R18" s="3">
        <f>5165.2+(741.5-982.6)+(-7.902756+(-1.134495--1.503378))+0-0-0</f>
        <v>4916.5661269999991</v>
      </c>
      <c r="S18" s="3">
        <f>5021.2+(677.3-927.7)+(-7.682436+(-1.036269--1.419381))+0-0-0</f>
        <v>4763.5006759999997</v>
      </c>
      <c r="T18" s="3">
        <f>4977.5+(715.9-894.7)+(-7.615575+(-1.095327--1.368891))+0-0-0</f>
        <v>4791.3579890000001</v>
      </c>
      <c r="U18" s="3">
        <f>4815.9+(749-825.9)+(-7.368327+(-1.14597--1.263627))+0-0-0</f>
        <v>4731.7493299999996</v>
      </c>
      <c r="V18" s="3">
        <f>4773.8+(691.9-829.6)+(-2.434638+(-0.352869--0.423096))+0-0-0</f>
        <v>4633.7355890000008</v>
      </c>
      <c r="W18" s="3">
        <f>4824.3+(636.7-863.6)+(-12.301965+(-1.623585--2.20218))+0-0-0</f>
        <v>4585.6766300000008</v>
      </c>
      <c r="X18" s="3">
        <f>4801.7+(537.7-807.7)+(-7.346601+(-0.822681--1.235781))+0-0-0</f>
        <v>4524.7664989999994</v>
      </c>
      <c r="Y18" s="3">
        <f>4975+(441.2-616.3)+(-5.0745+(-0.450024--0.628626))+0-0-0</f>
        <v>4795.0041019999999</v>
      </c>
      <c r="Z18" s="3">
        <f>5364.9+(504.5-619.8)+(-19.152693+(-1.801065--2.212686))+0-0-0</f>
        <v>5230.8589279999997</v>
      </c>
      <c r="AA18" s="3">
        <f>5365.1+(488-728.2)+(-8.208603+(-0.74664--1.114146))+0-0-0</f>
        <v>5117.0589030000001</v>
      </c>
      <c r="AB18" s="3">
        <f>5321.4+(537.8-1044.5)+(-8.141742+(-0.822834--1.598085))+0-0-0</f>
        <v>4807.333509</v>
      </c>
      <c r="AC18" s="3">
        <f>5267.2+(512.7-1352.7)+(2.686272+(0.261477-0.689877))+0-0-0</f>
        <v>4429.457872</v>
      </c>
      <c r="AD18">
        <f t="shared" si="0"/>
        <v>102944.68681999999</v>
      </c>
      <c r="AE18" s="3">
        <f>5366+(487.8-647.1)+(0+(0-0))+0-0-0</f>
        <v>5206.7</v>
      </c>
    </row>
    <row r="19" spans="1:31" s="2" customFormat="1" x14ac:dyDescent="0.25">
      <c r="A19">
        <v>89</v>
      </c>
      <c r="B19">
        <v>1</v>
      </c>
      <c r="C19">
        <v>19</v>
      </c>
      <c r="D19">
        <v>6</v>
      </c>
      <c r="E19">
        <v>1</v>
      </c>
      <c r="F19" s="3">
        <f>5208.9+(642.2-1901)+(-10.626156+(-1.310088--3.87804))+0-0-0</f>
        <v>3942.0417959999995</v>
      </c>
      <c r="G19" s="3">
        <f>4385.3+(730.5-1570.2)+(-6.709509+(-1.117665--2.402406))+0-0-0</f>
        <v>3540.1752320000005</v>
      </c>
      <c r="H19" s="3">
        <f>4215.9+(714.6-1638.2)+(-4.300218+(-0.728892--1.670964))+0-0-0</f>
        <v>3288.9418539999997</v>
      </c>
      <c r="I19" s="3">
        <f>4054.1+(653.4-1489.3)+(-6.202773+(-0.999702--2.278629))+0-0-0</f>
        <v>3213.2761539999997</v>
      </c>
      <c r="J19" s="3">
        <f>3963.4+(556.7-1348.1)+(0+(0-0))+0-0-0</f>
        <v>3172</v>
      </c>
      <c r="K19" s="3">
        <f>3933.9+(485.5-1198.6)+(2.006289+(0.247605-0.611286))+0-0-0</f>
        <v>3222.4426080000003</v>
      </c>
      <c r="L19" s="3">
        <f>3914+(544.2-1098.5)+(-3.99228+(-0.555084--1.12047))+0-0-0</f>
        <v>3356.2731059999996</v>
      </c>
      <c r="M19" s="3">
        <f>3943.1+(540.6-914.1)+(-2.010981+(-0.275706--0.466191))+0-0-0</f>
        <v>3567.7795040000001</v>
      </c>
      <c r="N19" s="3">
        <f>4554.8+(675.4-1252.7)+(-2.322948+(-0.344454--0.638877))+0-0-0</f>
        <v>3975.4714749999998</v>
      </c>
      <c r="O19" s="3">
        <f>4909.9+(802.8-1379.1)+(7.512147+(1.228284-2.110023))+0-0-0</f>
        <v>4340.2304079999994</v>
      </c>
      <c r="P19" s="3">
        <f>5042.7+(736.7-1156.1)+(5.143554+(0.751434-1.179222))+0-0-0</f>
        <v>4628.0157660000004</v>
      </c>
      <c r="Q19" s="3">
        <f>5134+(706.7-1021.1)+(2.61834+(0.360417-0.520761))+0-0-0</f>
        <v>4822.0579960000005</v>
      </c>
      <c r="R19" s="3">
        <f>5181.4+(725.5-1079.9)+(0+(0-0))+0-0-0</f>
        <v>4827</v>
      </c>
      <c r="S19" s="3">
        <f>5123.8+(784.5-1281.5)+(-10.452552+(-1.60038--2.61426))+0-0-0</f>
        <v>4617.361328</v>
      </c>
      <c r="T19" s="3">
        <f>5096.4+(828.1-1435.7)+(7.797492+(1.266993-2.196621))+0-0-0</f>
        <v>4495.6678639999991</v>
      </c>
      <c r="U19" s="3">
        <f>5160.2+(867.2-1602.2)+(-2.631702+(-0.442272--0.817122))+0-0-0</f>
        <v>4422.9431479999994</v>
      </c>
      <c r="V19" s="3">
        <f>4967.2+(828.7-1626.3)+(-2.533272+(-0.422637--0.829413))+0-0-0</f>
        <v>4167.4735040000005</v>
      </c>
      <c r="W19" s="3">
        <f>4969.8+(809.4-1504.2)+(-5.069196+(-0.825588--1.534284))+0-0-0</f>
        <v>4270.6395000000002</v>
      </c>
      <c r="X19" s="3">
        <f>4961.3+(908.8-1472)+(-2.530263+(-0.463488--0.75072))+0-0-0</f>
        <v>4395.8569690000004</v>
      </c>
      <c r="Y19" s="3">
        <f>5105+(673.3-1102.6)+(5.2071+(0.686766-1.124652))+0-0-0</f>
        <v>4680.4692139999997</v>
      </c>
      <c r="Z19" s="3">
        <f>5293.5+(562.4-1057.3)+(2.699685+(0.286824-0.539223))+0-0-0</f>
        <v>4801.047286</v>
      </c>
      <c r="AA19" s="3">
        <f>5326.8+(659.1-1284.8)+(0+(0-0))+0-0-0</f>
        <v>4701.1000000000004</v>
      </c>
      <c r="AB19" s="3">
        <f>5293.2+(748.3-1448.1)+(-8.098596+(-1.144899--2.215593))+0-0-0</f>
        <v>4586.3720979999998</v>
      </c>
      <c r="AC19" s="3">
        <f>5256.3+(681.1-1607)+(0+(0-0))+0-0-0</f>
        <v>4330.4000000000005</v>
      </c>
      <c r="AD19">
        <f t="shared" si="0"/>
        <v>99365.036809999991</v>
      </c>
      <c r="AE19" s="3">
        <f>5385+(558.5-1113.8)+(0+(0-0))+0-0-0</f>
        <v>4829.7</v>
      </c>
    </row>
    <row r="20" spans="1:31" s="2" customFormat="1" x14ac:dyDescent="0.25">
      <c r="A20">
        <v>89</v>
      </c>
      <c r="B20">
        <v>1</v>
      </c>
      <c r="C20">
        <v>20</v>
      </c>
      <c r="D20">
        <v>7</v>
      </c>
      <c r="E20">
        <v>1</v>
      </c>
      <c r="F20" s="3">
        <f>4719.5+(514.8-1322.8)+(-4.81389+(-0.525096--1.349256))+0-0-0</f>
        <v>3907.5102700000002</v>
      </c>
      <c r="G20" s="3">
        <f>4324.6+(559.4-1345.2)+(-8.822184+(-1.141176--2.744208))+0-0-0</f>
        <v>3531.5808480000001</v>
      </c>
      <c r="H20" s="3">
        <f>4262.7+(542.1-1475.2)+(-4.347954+(-0.552942--1.504704))+0-0-0</f>
        <v>3326.2038079999998</v>
      </c>
      <c r="I20" s="3">
        <f>4096.4+(585.2-1489.3)+(-2.089164+(-0.298452--0.759543))+0-0-0</f>
        <v>3190.6719269999999</v>
      </c>
      <c r="J20" s="3">
        <f>4087.4+(755-1737.5)+(-4.169148+(-0.7701--1.77225))+0-0-0</f>
        <v>3101.7330019999999</v>
      </c>
      <c r="K20" s="3">
        <f>4101.5+(783.2-1781.5)+(-2.091765+(-0.399432--0.908565))+0-0-0</f>
        <v>3101.6173679999997</v>
      </c>
      <c r="L20" s="3">
        <f>4056.4+(822.8-1825.4)+(-8.275056+(-1.678512--3.723816))+0-0-0</f>
        <v>3047.570248</v>
      </c>
      <c r="M20" s="3">
        <f>4030+(843.9-1905.3)+(0+(0-0))+0-0-0</f>
        <v>2968.6</v>
      </c>
      <c r="N20" s="3">
        <f>4226.7+(759.8-1900.5)+(-4.311234+(-0.774996--1.93851))+0-0-0</f>
        <v>3082.8522800000001</v>
      </c>
      <c r="O20" s="3">
        <f>4381.9+(758.2-1746.3)+(6.704307+(1.160046-2.671839))+0-0-0</f>
        <v>3398.9925139999996</v>
      </c>
      <c r="P20" s="3">
        <f>4836.2+(658.8-1696.4)+(4.932924+(0.671976-1.730328))+0-0-0</f>
        <v>3802.4745719999996</v>
      </c>
      <c r="Q20" s="3">
        <f>5331+(626.4-1937.7)+(2.71881+(0.319464-0.988227))+0-0-0</f>
        <v>4021.750047</v>
      </c>
      <c r="R20" s="3">
        <f>5277.5+(603.2-1837.6)+(0+(0-0))+0-0-0</f>
        <v>4043.1000000000004</v>
      </c>
      <c r="S20" s="3">
        <f>5232.7+(623.6-1882.1)+(-2.668677+(-0.318036--0.959871))+0-0-0</f>
        <v>3972.1731579999996</v>
      </c>
      <c r="T20" s="3">
        <f>5223.3+(682.9-2047.2)+(-5.327766+(-0.696558--2.088144))+0-0-0</f>
        <v>3855.0638199999999</v>
      </c>
      <c r="U20" s="3">
        <f>5212.3+(639.5-2018.9)+(2.658273+(0.326145-1.029639))+0-0-0</f>
        <v>3834.8547790000002</v>
      </c>
      <c r="V20" s="3">
        <f>5160.1+(635.3-1831)+(-10.526604+(-1.296012--3.73524))+0-0-0</f>
        <v>3956.3126240000006</v>
      </c>
      <c r="W20" s="3">
        <f>5135.8+(577.4-1631.8)+(-5.238516+(-0.588948--1.664436))+0-0-0</f>
        <v>4077.2369720000002</v>
      </c>
      <c r="X20" s="3">
        <f>5017.9+(563.7-1515.5)+(-15.354774+(-1.724922--4.63743))+0-0-0</f>
        <v>4053.6577339999994</v>
      </c>
      <c r="Y20" s="3">
        <f>4970.3+(456.5-1129.4)+(0+(0-0))+0-0-0</f>
        <v>4297.3999999999996</v>
      </c>
      <c r="Z20" s="3">
        <f>5516.4+(495.1-1413.4)+(-2.813364+(-0.252501--0.720834))+0-0-0</f>
        <v>4595.7549689999996</v>
      </c>
      <c r="AA20" s="3">
        <f>5597.6+(602.7-1645.5)+(-8.564328+(-0.922131--2.517615))+0-0-0</f>
        <v>4547.8311560000002</v>
      </c>
      <c r="AB20" s="3">
        <f>5649.2+(665.9-1948.6)+(-8.643276+(-1.018827--2.981358))+0-0-0</f>
        <v>4359.8192550000003</v>
      </c>
      <c r="AC20" s="3">
        <f>5261.1+(585.9-1751.3)+(-10.732644+(-1.195236--3.572652))+0-0-0</f>
        <v>4087.3447720000004</v>
      </c>
      <c r="AD20">
        <f t="shared" si="0"/>
        <v>90162.106122999976</v>
      </c>
      <c r="AE20" s="3">
        <f>5522+(496.3-1468.6)+(0+(0-0))+0-0-0</f>
        <v>4549.7</v>
      </c>
    </row>
    <row r="21" spans="1:31" s="2" customFormat="1" x14ac:dyDescent="0.25">
      <c r="A21">
        <v>89</v>
      </c>
      <c r="B21">
        <v>1</v>
      </c>
      <c r="C21">
        <v>21</v>
      </c>
      <c r="D21">
        <v>1</v>
      </c>
      <c r="E21">
        <v>1</v>
      </c>
      <c r="F21" s="3">
        <f>4535.4+(628.4-1527.9)+(-11.56527+(-1.60242--3.896145))+0-0-0</f>
        <v>3626.6284549999996</v>
      </c>
      <c r="G21" s="3">
        <f>4280.9+(641.6-1680.8)+(-10.916295+(-1.63608--4.28604))+0-0-0</f>
        <v>3233.433665</v>
      </c>
      <c r="H21" s="3">
        <f>4085.5+(596.5-1672.6)+(-12.50163+(-1.82529--5.118156))+0-0-0</f>
        <v>3000.1912360000001</v>
      </c>
      <c r="I21" s="3">
        <f>4104+(579.9-1740.3)+(-2.09304+(-0.295749--0.887553))+0-0-0</f>
        <v>2942.0987639999998</v>
      </c>
      <c r="J21" s="3">
        <f>4105.7+(549.5-1709.5)+(-6.281721+(-0.840735--2.615535))+0-0-0</f>
        <v>2941.1930789999997</v>
      </c>
      <c r="K21" s="3">
        <f>4112.8+(477.3-1574.5)+(-4.195056+(-0.486846--1.60599))+0-0-0</f>
        <v>3012.5240880000006</v>
      </c>
      <c r="L21" s="3">
        <f>4078.9+(380.8-1207.6)+(-12.481434+(-1.165248--3.695256))+0-0-0</f>
        <v>3242.1485740000003</v>
      </c>
      <c r="M21" s="3">
        <f>4149.6+(403.1-961.7)+(2.116296+(0.205581-0.490467))+0-0-0</f>
        <v>3592.8314100000002</v>
      </c>
      <c r="N21" s="3">
        <f>4742.6+(610.7-1232.3)+(0+(0-0))+0-0-0</f>
        <v>4121</v>
      </c>
      <c r="O21" s="3">
        <f>5065.3+(628.7-1177.5)+(-5.166606+(-0.641274--1.20105))+0-0-0</f>
        <v>4511.8931700000003</v>
      </c>
      <c r="P21" s="3">
        <f>5216.6+(625.9-1100.4)+(2.660466+(0.319209-0.561204))+0-0-0</f>
        <v>4744.5184710000003</v>
      </c>
      <c r="Q21" s="3">
        <f>5302.9+(657.7-1076.8)+(2.704479+(0.335427-0.549168))+0-0-0</f>
        <v>4886.2907379999997</v>
      </c>
      <c r="R21" s="3">
        <f>5281.7+(735.4-1131)+(-5.387334+(-0.750108--1.15362))+0-0-0</f>
        <v>4881.1161779999993</v>
      </c>
      <c r="S21" s="3">
        <f>5247.5+(812.8-1309.9)+(-13.381125+(-2.07264--3.340245))+0-0-0</f>
        <v>4738.2864799999998</v>
      </c>
      <c r="T21" s="3">
        <f>5264.6+(829.5-1358.3)+(2.684946+(0.423045-0.692733))+0-0-0</f>
        <v>4738.2152580000002</v>
      </c>
      <c r="U21" s="3">
        <f>5094.4+(815.2-1245)+(-10.392576+(-1.663008--2.5398))+0-0-0</f>
        <v>4655.0842159999993</v>
      </c>
      <c r="V21" s="3">
        <f>4898.4+(811.7-1101.2)+(0+(0-0))+0-0-0</f>
        <v>4608.8999999999996</v>
      </c>
      <c r="W21" s="3">
        <f>4754.8+(670.1-889.8)+(-9.699792+(-1.367004--1.815192))+0-0-0</f>
        <v>4525.8483960000003</v>
      </c>
      <c r="X21" s="3">
        <f>4724.6+(557.7-826)+(-4.819092+(-0.568854--0.84252))+0-0-0</f>
        <v>4451.7545740000005</v>
      </c>
      <c r="Y21" s="3">
        <f>4845.5+(406-561.6)+(-9.88482+(-0.82824--1.145664))+0-0-0</f>
        <v>4680.3326039999993</v>
      </c>
      <c r="Z21" s="3">
        <f>5498.8+(392.5-675)+(-8.413164+(-0.600525--1.03275))+0-0-0</f>
        <v>5208.3190610000001</v>
      </c>
      <c r="AA21" s="3">
        <f>5510.2+(527.1-891.5)+(-8.430606+(-0.806463--1.363995))+0-0-0</f>
        <v>5137.9269260000001</v>
      </c>
      <c r="AB21" s="3">
        <f>5408.8+(526.3-1075.2)+(-8.275464+(-0.805239--1.645056))+0-0-0</f>
        <v>4852.4643529999994</v>
      </c>
      <c r="AC21" s="3">
        <f>5127.5+(386.9-1123.4)+(-10.4601+(-0.789276--2.291736))+0-0-0</f>
        <v>4382.0423600000004</v>
      </c>
      <c r="AD21">
        <f t="shared" si="0"/>
        <v>100715.04205600002</v>
      </c>
      <c r="AE21" s="3">
        <f>5501+(401-708.8)+(0+(0-0))+0-0-0</f>
        <v>5193.2</v>
      </c>
    </row>
    <row r="22" spans="1:31" s="2" customFormat="1" x14ac:dyDescent="0.25">
      <c r="A22">
        <v>89</v>
      </c>
      <c r="B22">
        <v>1</v>
      </c>
      <c r="C22">
        <v>22</v>
      </c>
      <c r="D22">
        <v>2</v>
      </c>
      <c r="E22">
        <v>1</v>
      </c>
      <c r="F22" s="3">
        <f>4802.3+(523.1-1357.5)+(-4.898346+(-0.533562--1.38465))+0-0-0</f>
        <v>3963.852742</v>
      </c>
      <c r="G22" s="3">
        <f>4464.4+(379.9-1262.1)+(-11.38422+(-0.968745--3.218355))+0-0-0</f>
        <v>3573.0653899999998</v>
      </c>
      <c r="H22" s="3">
        <f>4104.6+(225.5-960.5)+(-6.280038+(-0.345015--1.469565))+0-0-0</f>
        <v>3364.4445120000005</v>
      </c>
      <c r="I22" s="3">
        <f>3975.2+(145.9-960.1)+(-6.082056+(-0.223227--1.468953))+0-0-0</f>
        <v>3156.1636699999999</v>
      </c>
      <c r="J22" s="3">
        <f>3963.7+(126.4-879.1)+(-10.107435+(-0.32232--2.241705))+0-0-0</f>
        <v>3202.8119499999998</v>
      </c>
      <c r="K22" s="3">
        <f>4005.7+(154.6-924.9)+(4.085814+(0.157692-0.943398))+0-0-0</f>
        <v>3238.7001079999995</v>
      </c>
      <c r="L22" s="3">
        <f>4003.1+(156.1-763.7)+(-10.207905+(-0.398055--1.947435))+0-0-0</f>
        <v>3386.8414750000002</v>
      </c>
      <c r="M22" s="3">
        <f>4153.2+(236.8-685.5)+(-2.118132+(-0.120768--0.349605))+0-0-0</f>
        <v>3702.6107050000001</v>
      </c>
      <c r="N22" s="3">
        <f>4564.9+(405.7-768.8)+(2.328099+(0.206907-0.392088))+0-0-0</f>
        <v>4203.9429179999988</v>
      </c>
      <c r="O22" s="3">
        <f>5033.4+(531.5-983.7)+(-2.567034+(-0.271065--0.501687))+0-0-0</f>
        <v>4578.8635880000002</v>
      </c>
      <c r="P22" s="3">
        <f>5176.4+(590.5-974.6)+(-2.639964+(-0.301155--0.497046))+0-0-0</f>
        <v>4789.8559269999996</v>
      </c>
      <c r="Q22" s="3">
        <f>5163.7+(609.4-781.9)+(2.633487+(0.310794-0.398769))+0-0-0</f>
        <v>4993.7455119999995</v>
      </c>
      <c r="R22" s="3">
        <f>5122.4+(686.4-841.1)+(-7.837272+(-1.050192--1.286883))+0-0-0</f>
        <v>4960.0994190000001</v>
      </c>
      <c r="S22" s="3">
        <f>5103.7+(751.5-1042.8)+(-7.808661+(-1.149795--1.595484))+0-0-0</f>
        <v>4805.0370279999997</v>
      </c>
      <c r="T22" s="3">
        <f>5125.2+(736.5-1058.9)+(0+(0-0))+0-0-0</f>
        <v>4802.7999999999993</v>
      </c>
      <c r="U22" s="3">
        <f>4922.8+(762.5-933.8)+(0+(0-0))+0-0-0</f>
        <v>4751.5</v>
      </c>
      <c r="V22" s="3">
        <f>4786.3+(701.3-834.1)+(-2.441013+(-0.357663--0.425391))+0-0-0</f>
        <v>4651.1267150000003</v>
      </c>
      <c r="W22" s="3">
        <f>4807.4+(629.6-859.7)+(-14.710644+(-1.926576--2.630682))+0-0-0</f>
        <v>4563.2934619999996</v>
      </c>
      <c r="X22" s="3">
        <f>4631.5+(582.9-711.3)+(-2.362065+(-0.297279--0.362763))+0-0-0</f>
        <v>4500.8034190000008</v>
      </c>
      <c r="Y22" s="3">
        <f>4823.2+(465.2-545.4)+(-4.919664+(-0.474504--0.556308))+0-0-0</f>
        <v>4738.1621400000004</v>
      </c>
      <c r="Z22" s="3">
        <f>5415.4+(633.7-775.4)+(-16.571124+(-1.939122--2.372724))+0-0-0</f>
        <v>5257.5624779999998</v>
      </c>
      <c r="AA22" s="3">
        <f>5435.7+(510.6-787.8)+(-11.088828+(-1.041624--1.607112))+0-0-0</f>
        <v>5147.9766600000003</v>
      </c>
      <c r="AB22" s="3">
        <f>5335.6+(328.7-809.3)+(0+(0-0))+0-0-0</f>
        <v>4855</v>
      </c>
      <c r="AC22" s="3">
        <f>5309.9+(219.6-1069.2)+(-2.708049+(-0.111996--0.545292))+0-0-0</f>
        <v>4458.0252469999996</v>
      </c>
      <c r="AD22">
        <f t="shared" si="0"/>
        <v>103646.285065</v>
      </c>
      <c r="AE22" s="3">
        <f>5474+(606.6-822.1)+(0+(0-0))+0-0-0</f>
        <v>5258.5</v>
      </c>
    </row>
    <row r="23" spans="1:31" s="2" customFormat="1" x14ac:dyDescent="0.25">
      <c r="A23">
        <v>89</v>
      </c>
      <c r="B23">
        <v>1</v>
      </c>
      <c r="C23">
        <v>23</v>
      </c>
      <c r="D23">
        <v>3</v>
      </c>
      <c r="E23">
        <v>1</v>
      </c>
      <c r="F23" s="3">
        <f>4730.1+(179.9-970.1)+(-7.237053+(-0.275247--1.484253))+0-0-0</f>
        <v>3933.8719530000008</v>
      </c>
      <c r="G23" s="3">
        <f>4494.2+(178.6-1156.6)+(0+(0-0))+0-0-0</f>
        <v>3516.2</v>
      </c>
      <c r="H23" s="3">
        <f>4295.6+(131.7-1072.4)+(-4.381512+(-0.134334--1.093848))+0-0-0</f>
        <v>3351.4780020000007</v>
      </c>
      <c r="I23" s="3">
        <f>4194.7+(116.3-1059.6)+(-2.139297+(-0.059313--0.540396))+0-0-0</f>
        <v>3249.7417859999996</v>
      </c>
      <c r="J23" s="3">
        <f>4133+(82.9-996.7)+(-8.43132+(-0.169116--2.033268))+0-0-0</f>
        <v>3212.6328319999998</v>
      </c>
      <c r="K23" s="3">
        <f>4103.7+(71.3-894.1)+(-2.092887+(-0.036363--0.455991))+0-0-0</f>
        <v>3279.2267409999995</v>
      </c>
      <c r="L23" s="3">
        <f>4132.1+(85-769.8)+(-2.107371+(-0.04335--0.392598))+0-0-0</f>
        <v>3445.5418770000001</v>
      </c>
      <c r="M23" s="3">
        <f>4240.4+(190.1-662.8)+(-4.325208+(-0.193902--0.676056))+0-0-0</f>
        <v>3763.8569459999999</v>
      </c>
      <c r="N23" s="3">
        <f>4709.5+(164.2-611.6)+(-9.60738+(-0.334968--1.247664))+0-0-0</f>
        <v>4253.4053160000003</v>
      </c>
      <c r="O23" s="3">
        <f>4927.8+(215.6-558)+(-7.539534+(-0.329868--0.85374))+0-0-0</f>
        <v>4578.3843380000008</v>
      </c>
      <c r="P23" s="3">
        <f>5206.8+(181.6-520)+(-7.966404+(-0.277848--0.7956))+0-0-0</f>
        <v>4860.9513480000005</v>
      </c>
      <c r="Q23" s="3">
        <f>5307.7+(290.5-569)+(-5.413854+(-0.29631--0.58038))+0-0-0</f>
        <v>5024.0702160000001</v>
      </c>
      <c r="R23" s="3">
        <f>5293.3+(364.3-672.4)+(0+(0-0))+0-0-0</f>
        <v>4985.2</v>
      </c>
      <c r="S23" s="3">
        <f>5313.6+(396.9-895.9)+(-2.709936+(-0.202419--0.456909))+0-0-0</f>
        <v>4812.1445540000004</v>
      </c>
      <c r="T23" s="3">
        <f>5224.6+(451.4-816)+(-5.329092+(-0.460428--0.83232))+0-0-0</f>
        <v>4855.0428000000002</v>
      </c>
      <c r="U23" s="3">
        <f>5203.4+(389.5-765.4)+(-5.307468+(-0.39729--0.780708))+0-0-0</f>
        <v>4822.5759500000004</v>
      </c>
      <c r="V23" s="3">
        <f>5163.9+(285.8-652.2)+(-5.267178+(-0.291516--0.665244))+0-0-0</f>
        <v>4792.6065500000004</v>
      </c>
      <c r="W23" s="3">
        <f>5166.5+(177.1-636.1)+(-2.634915+(-0.090321--0.324411))+0-0-0</f>
        <v>4705.0991750000003</v>
      </c>
      <c r="X23" s="3">
        <f>5129.4+(203.9-669.1)+(-2.615994+(-0.103989--0.341241))+0-0-0</f>
        <v>4661.8212579999999</v>
      </c>
      <c r="Y23" s="3">
        <f>5238.8+(453.4-804.5)+(0+(0-0))+0-0-0</f>
        <v>4887.7</v>
      </c>
      <c r="Z23" s="3">
        <f>5453.8+(687.5-809.2)+(-5.562876+(-0.70125--0.825384))+0-0-0</f>
        <v>5326.6612580000001</v>
      </c>
      <c r="AA23" s="3">
        <f>5438.3+(647.1-862.1)+(-5.547066+(-0.660042--0.879342))+0-0-0</f>
        <v>5217.9722339999998</v>
      </c>
      <c r="AB23" s="3">
        <f>5374+(259.7-731)+(-10.96296+(-0.529788--1.49124))+0-0-0</f>
        <v>4892.6984919999995</v>
      </c>
      <c r="AC23" s="3">
        <f>5373.5+(248.3-1100.9)+(-5.48097+(-0.253266--1.122918))+0-0-0</f>
        <v>4516.2886819999994</v>
      </c>
      <c r="AD23">
        <f t="shared" si="0"/>
        <v>104945.17230799998</v>
      </c>
      <c r="AE23" s="3">
        <f>5456+(614.9-746.4)+(0+(0-0))+0-0-0</f>
        <v>5324.5</v>
      </c>
    </row>
    <row r="24" spans="1:31" s="2" customFormat="1" x14ac:dyDescent="0.25">
      <c r="A24">
        <v>89</v>
      </c>
      <c r="B24">
        <v>1</v>
      </c>
      <c r="C24">
        <v>24</v>
      </c>
      <c r="D24">
        <v>4</v>
      </c>
      <c r="E24">
        <v>1</v>
      </c>
      <c r="F24" s="3">
        <f>5139.2+(376-1558.4)+(-7.862976+(-0.57528--2.384352))+0-0-0</f>
        <v>3950.7460959999999</v>
      </c>
      <c r="G24" s="3">
        <f>4756.9+(396.7-1557.3)+(-7.278057+(-0.606951--2.382669))+0-0-0</f>
        <v>3590.7976609999996</v>
      </c>
      <c r="H24" s="3">
        <f>4627.1+(421.3-1679.8)+(2.359821+(0.214863-0.856698))+0-0-0</f>
        <v>3370.3179860000005</v>
      </c>
      <c r="I24" s="3">
        <f>4616.8+(372.2-1712.4)+(-7.063704+(-0.569466--2.619972))+0-0-0</f>
        <v>3271.5868020000003</v>
      </c>
      <c r="J24" s="3">
        <f>4604.5+(383-1735.9)+(-11.741475+(-0.97665--4.426545))+0-0-0</f>
        <v>3243.3084199999998</v>
      </c>
      <c r="K24" s="3">
        <f>4399.2+(351-1435.6)+(-6.730776+(-0.53703--2.196468))+0-0-0</f>
        <v>3309.5286619999997</v>
      </c>
      <c r="L24" s="3">
        <f>4264.4+(386.4-1166.4)+(-2.174844+(-0.197064--0.594864))+0-0-0</f>
        <v>3482.6229559999997</v>
      </c>
      <c r="M24" s="3">
        <f>4312.7+(324.4-804.9)+(0+(0-0))+0-0-0</f>
        <v>3832.2</v>
      </c>
      <c r="N24" s="3">
        <f>4859.6+(382.5-943.8)+(0+(0-0))+0-0-0</f>
        <v>4298.3</v>
      </c>
      <c r="O24" s="3">
        <f>5208.4+(394.6-934.5)+(-2.656284+(-0.201246--0.476595))+0-0-0</f>
        <v>4666.1190649999999</v>
      </c>
      <c r="P24" s="3">
        <f>5308.4+(404.2-789.3)+(0+(0-0))+0-0-0</f>
        <v>4923.2999999999993</v>
      </c>
      <c r="Q24" s="3">
        <f>5358.2+(451-696.3)+(0+(0-0))+0-0-0</f>
        <v>5112.8999999999996</v>
      </c>
      <c r="R24" s="3">
        <f>5275.1+(526.6-698.2)+(-8.070903+(-0.805698--1.068246))+0-0-0</f>
        <v>5095.6916449999999</v>
      </c>
      <c r="S24" s="3">
        <f>5115.4+(599.8-800.7)+(-5.217708+(-0.611796--0.816714))+0-0-0</f>
        <v>4909.4872100000002</v>
      </c>
      <c r="T24" s="3">
        <f>5101.4+(704-865.4)+(-2.601714+(-0.35904--0.441354))+0-0-0</f>
        <v>4937.4805999999999</v>
      </c>
      <c r="U24" s="3">
        <f>5166.6+(646-932.5)+(2.634966+(0.32946-0.475575))+0-0-0</f>
        <v>4882.5888510000004</v>
      </c>
      <c r="V24" s="3">
        <f>5173.8+(629.8-970.1)+(-2.638638+(-0.321198--0.494751))+0-0-0</f>
        <v>4831.0349150000002</v>
      </c>
      <c r="W24" s="3">
        <f>5111.3+(601-794.7)+(-7.820289+(-0.91953--1.215891))+0-0-0</f>
        <v>4910.0760720000007</v>
      </c>
      <c r="X24" s="3">
        <f>5026.6+(570.4-725.4)+(-12.81783+(-1.45452--1.84977))+0-0-0</f>
        <v>4859.17742</v>
      </c>
      <c r="Y24" s="3">
        <f>5108.4+(673.8-746.7)+(-5.210568+(-0.687276--0.761634))+0-0-0</f>
        <v>5030.3637900000003</v>
      </c>
      <c r="Z24" s="3">
        <f>5559.3+(801.7-1045.2)+(-11.340972+(-1.635468--2.132208))+0-0-0</f>
        <v>5304.9557679999998</v>
      </c>
      <c r="AA24" s="3">
        <f>5480.1+(767.1-1104.2)+(-13.974255+(-1.956105--2.81571))+0-0-0</f>
        <v>5129.8853499999996</v>
      </c>
      <c r="AB24" s="3">
        <f>5080.6+(743.2-995.6)+(-10.364424+(-1.516128--2.031024))+0-0-0</f>
        <v>4818.350472000001</v>
      </c>
      <c r="AC24" s="3">
        <f>4879.7+(445.1-938.4)+(-9.954588+(-0.908004--1.914336))+0-0-0</f>
        <v>4377.451744</v>
      </c>
      <c r="AD24">
        <f t="shared" si="0"/>
        <v>106138.27148500002</v>
      </c>
      <c r="AE24" s="3">
        <f>5491+(801-1089)+(0+(0-0))+0-0-0</f>
        <v>5203</v>
      </c>
    </row>
    <row r="25" spans="1:31" s="2" customFormat="1" x14ac:dyDescent="0.25">
      <c r="A25">
        <v>89</v>
      </c>
      <c r="B25">
        <v>1</v>
      </c>
      <c r="C25">
        <v>25</v>
      </c>
      <c r="D25">
        <v>5</v>
      </c>
      <c r="E25">
        <v>1</v>
      </c>
      <c r="F25" s="3">
        <f>4492.2+(317.8-932.6)+(-6.873066+(-0.486234--1.426878))+0-0-0</f>
        <v>3871.4675779999998</v>
      </c>
      <c r="G25" s="3">
        <f>4389.7+(218.8-1083.7)+(-6.716241+(-0.334764--1.658061))+0-0-0</f>
        <v>3519.4070559999996</v>
      </c>
      <c r="H25" s="3">
        <f>4187+(160.2-1012.4)+(-4.27074+(-0.163404--1.032648))+0-0-0</f>
        <v>3331.3985040000002</v>
      </c>
      <c r="I25" s="3">
        <f>4158.6+(192.1-1123.7)+(-4.241772+(-0.195942--1.146174))+0-0-0</f>
        <v>3223.7084600000003</v>
      </c>
      <c r="J25" s="3">
        <f>4182.7+(191.7-1161.4)+(-4.266354+(-0.195534--1.184628))+0-0-0</f>
        <v>3209.7227400000002</v>
      </c>
      <c r="K25" s="3">
        <f>4200.8+(177.2-1101.1)+(2.142408+(0.090372-0.561561))+0-0-0</f>
        <v>3278.5712190000004</v>
      </c>
      <c r="L25" s="3">
        <f>4224.2+(148.2-928.3)+(-2.154342+(-0.075582--0.473433))+0-0-0</f>
        <v>3442.3435089999998</v>
      </c>
      <c r="M25" s="3">
        <f>4402.9+(240.5-869.8)+(2.245479+(0.122655-0.443598))+0-0-0</f>
        <v>3775.5245359999994</v>
      </c>
      <c r="N25" s="3">
        <f>5065.7+(231.6-995)+(0+(0-0))+0-0-0</f>
        <v>4302.3</v>
      </c>
      <c r="O25" s="3">
        <f>5352.6+(235.9-882.8)+(-2.729826+(-0.120309--0.450228))+0-0-0</f>
        <v>4703.3000930000007</v>
      </c>
      <c r="P25" s="3">
        <f>5406.7+(408.5-885.1)+(5.514834+(0.41667-0.902802))+0-0-0</f>
        <v>4935.1287019999991</v>
      </c>
      <c r="Q25" s="3">
        <f>5335.7+(472.8-754.1)+(-8.163621+(-0.723384--1.153773))+0-0-0</f>
        <v>5046.666768</v>
      </c>
      <c r="R25" s="3">
        <f>5376.3+(366.8-730.5)+(2.741913+(0.187068-0.372555))+0-0-0</f>
        <v>5015.1564260000005</v>
      </c>
      <c r="S25" s="3">
        <f>5383.2+(260.5-826.6)+(-2.745432+(-0.132855--0.421566))+0-0-0</f>
        <v>4814.6432789999999</v>
      </c>
      <c r="T25" s="3">
        <f>5370.2+(305.9-799.7)+(2.738802+(0.156009-0.407847))+0-0-0</f>
        <v>4878.8869639999994</v>
      </c>
      <c r="U25" s="3">
        <f>5298.1+(317.9-789.8)+(-8.106093+(-0.486387--1.208394))+0-0-0</f>
        <v>4818.8159140000007</v>
      </c>
      <c r="V25" s="3">
        <f>4991.4+(317.5-599.7)+(0+(0-0))+0-0-0</f>
        <v>4709.2</v>
      </c>
      <c r="W25" s="3">
        <f>4877.8+(376.4-595.7)+(-7.463034+(-0.575892--0.911421))+0-0-0</f>
        <v>4651.3724949999996</v>
      </c>
      <c r="X25" s="3">
        <f>4876.2+(394.6-654.5)+(-14.921172+(-1.207476--2.00277))+0-0-0</f>
        <v>4602.1741220000004</v>
      </c>
      <c r="Y25" s="3">
        <f>4884+(536.4-673.2)+(-4.98168+(-0.547128--0.686664))+0-0-0</f>
        <v>4742.3578559999996</v>
      </c>
      <c r="Z25" s="3">
        <f>5846.1+(383.8-947.9)+(-11.926044+(-0.782952--1.933716))+0-0-0</f>
        <v>5271.2247200000002</v>
      </c>
      <c r="AA25" s="3">
        <f>5860.2+(320.8-999.4)+(-8.966106+(-0.490824--1.529082))+0-0-0</f>
        <v>5173.6721520000001</v>
      </c>
      <c r="AB25" s="3">
        <f>5713.2+(174-1036)+(-11.654928+(-0.35496--2.11344))+0-0-0</f>
        <v>4841.3035519999994</v>
      </c>
      <c r="AC25" s="3">
        <f>5342.2+(105.7-1076.9)+(0+(0-0))+0-0-0</f>
        <v>4371</v>
      </c>
      <c r="AD25">
        <f t="shared" si="0"/>
        <v>104529.346645</v>
      </c>
      <c r="AE25" s="3">
        <f>5900+(419-991)+(0+(0-0))+0-0-0</f>
        <v>5328</v>
      </c>
    </row>
    <row r="26" spans="1:31" s="2" customFormat="1" x14ac:dyDescent="0.25">
      <c r="A26">
        <v>89</v>
      </c>
      <c r="B26">
        <v>1</v>
      </c>
      <c r="C26">
        <v>26</v>
      </c>
      <c r="D26">
        <v>6</v>
      </c>
      <c r="E26">
        <v>1</v>
      </c>
      <c r="F26" s="3">
        <f>4879.8+(205.6-1152)+(-7.466094+(-0.314568--1.76256))+0-0-0</f>
        <v>3927.3818980000001</v>
      </c>
      <c r="G26" s="3">
        <f>4592.3+(244.9-1324.2)+(-2.342073+(-0.124899--0.675342))+0-0-0</f>
        <v>3511.2083699999998</v>
      </c>
      <c r="H26" s="3">
        <f>4566.6+(245.5-1504.9)+(0+(0-0))+0-0-0</f>
        <v>3307.2000000000003</v>
      </c>
      <c r="I26" s="3">
        <f>4455.9+(240.7-1491.4)+(-9.090036+(-0.491028--3.042456))+0-0-0</f>
        <v>3198.661392</v>
      </c>
      <c r="J26" s="3">
        <f>4370.2+(212.9-1419.8)+(-6.686406+(-0.325737--2.172294))+0-0-0</f>
        <v>3158.4601510000002</v>
      </c>
      <c r="K26" s="3">
        <f>4390.7+(187.9-1359.4)+(0+(0-0))+0-0-0</f>
        <v>3219.2</v>
      </c>
      <c r="L26" s="3">
        <f>4365.4+(135.5-1157.7)+(-13.358124+(-0.41463--3.542562))+0-0-0</f>
        <v>3332.9698079999998</v>
      </c>
      <c r="M26" s="3">
        <f>4425.6+(144-994.5)+(2.257056+(0.07344-0.507195))+0-0-0</f>
        <v>3576.9233010000003</v>
      </c>
      <c r="N26" s="3">
        <f>4842.6+(220.8-1079.2)+(0+(0-0))+0-0-0</f>
        <v>3984.2000000000003</v>
      </c>
      <c r="O26" s="3">
        <f>5109.3+(128.1-857.2)+(5.211486+(0.130662-0.874344))+0-0-0</f>
        <v>4384.6678039999997</v>
      </c>
      <c r="P26" s="3">
        <f>5278.9+(100.4-721.3)+(-8.076717+(-0.153612--1.103589))+0-0-0</f>
        <v>4650.8732600000003</v>
      </c>
      <c r="Q26" s="3">
        <f>5232.5+(186.5-549.7)+(-8.005725+(-0.285345--0.841041))+0-0-0</f>
        <v>4861.8499710000006</v>
      </c>
      <c r="R26" s="3">
        <f>5232.9+(126.8-549.6)+(0+(0-0))+0-0-0</f>
        <v>4810.0999999999995</v>
      </c>
      <c r="S26" s="3">
        <f>5254.1+(127.8-770.2)+(-8.038773+(-0.195534--1.178406))+0-0-0</f>
        <v>4604.644099000001</v>
      </c>
      <c r="T26" s="3">
        <f>5271+(183.7-940.7)+(-2.68821+(-0.093687--0.479757))+0-0-0</f>
        <v>4511.6978600000002</v>
      </c>
      <c r="U26" s="3">
        <f>5339.2+(358.3-1253.9)+(-2.722992+(-0.182733--0.639489))+0-0-0</f>
        <v>4441.3337639999991</v>
      </c>
      <c r="V26" s="3">
        <f>5338.5+(387.3-1341.5)+(-8.167905+(-0.592569--2.052495))+0-0-0</f>
        <v>4377.5920210000004</v>
      </c>
      <c r="W26" s="3">
        <f>5256.8+(285.6-1086.7)+(-8.042904+(-0.436968--1.662651))+0-0-0</f>
        <v>4448.8827789999996</v>
      </c>
      <c r="X26" s="3">
        <f>5180.3+(219.6-889.7)+(-7.925859+(-0.335988--1.361241))+0-0-0</f>
        <v>4503.2993939999997</v>
      </c>
      <c r="Y26" s="3">
        <f>5260.6+(222.2-766.4)+(2.682906+(0.113322-0.390864))+0-0-0</f>
        <v>4718.8053640000007</v>
      </c>
      <c r="Z26" s="3">
        <f>5507.3+(225.1-686.7)+(-5.617446+(-0.229602--0.700434))+0-0-0</f>
        <v>5040.5533859999996</v>
      </c>
      <c r="AA26" s="3">
        <f>5485.5+(236.3-798.9)+(-2.797605+(-0.120513--0.407439))+0-0-0</f>
        <v>4920.3893209999997</v>
      </c>
      <c r="AB26" s="3">
        <f>5443.5+(258.3-1094.9)+(-5.55237+(-0.263466--1.116798))+0-0-0</f>
        <v>4602.2009619999999</v>
      </c>
      <c r="AC26" s="3">
        <f>5382.1+(252.9-1278.9)+(-16.469226+(-0.773874--3.913434))+0-0-0</f>
        <v>4342.7703340000007</v>
      </c>
      <c r="AD26">
        <f t="shared" si="0"/>
        <v>100435.86523899999</v>
      </c>
      <c r="AE26" s="3">
        <f>5510+(261.3-759)+(0+(0-0))+0-0-0</f>
        <v>5012.3</v>
      </c>
    </row>
    <row r="27" spans="1:31" s="2" customFormat="1" x14ac:dyDescent="0.25">
      <c r="A27">
        <v>89</v>
      </c>
      <c r="B27">
        <v>1</v>
      </c>
      <c r="C27">
        <v>27</v>
      </c>
      <c r="D27">
        <v>7</v>
      </c>
      <c r="E27">
        <v>1</v>
      </c>
      <c r="F27" s="3">
        <f>5151.4+(265.6-1461.8)+(-5.254428+(-0.270912--1.491036))+0-0-0</f>
        <v>3951.165696</v>
      </c>
      <c r="G27" s="3">
        <f>4702+(364.1-1500.4)+(-11.9901+(-0.928455--3.82602))+0-0-0</f>
        <v>3556.6074649999996</v>
      </c>
      <c r="H27" s="3">
        <f>4225.8+(383.6-1308.4)+(-10.77579+(-0.97818--3.33642))+0-0-0</f>
        <v>3292.5824499999999</v>
      </c>
      <c r="I27" s="3">
        <f>4140.2+(410.1-1373.7)+(-4.223004+(-0.418302--1.401174))+0-0-0</f>
        <v>3173.359868</v>
      </c>
      <c r="J27" s="3">
        <f>4001.9+(345.4-1234.8)+(0+(0-0))+0-0-0</f>
        <v>3112.5</v>
      </c>
      <c r="K27" s="3">
        <f>4010.5+(261-1146.4)+(-8.18142+(-0.53244--2.338656))+0-0-0</f>
        <v>3118.724796</v>
      </c>
      <c r="L27" s="3">
        <f>4002.5+(298.2-1291.7)+(-14.288925+(-1.064574--4.611369))+0-0-0</f>
        <v>2998.2578699999999</v>
      </c>
      <c r="M27" s="3">
        <f>4028.6+(329.6-1429.5)+(-8.218344+(-0.672384--2.91618))+0-0-0</f>
        <v>2922.7254519999997</v>
      </c>
      <c r="N27" s="3">
        <f>4064.9+(270.2-1231.8)+(0+(0-0))+0-0-0</f>
        <v>3103.3</v>
      </c>
      <c r="O27" s="3">
        <f>4315.9+(243.5-1166.2)+(4.402218+(0.24837-1.189524))+0-0-0</f>
        <v>3396.6610639999999</v>
      </c>
      <c r="P27" s="3">
        <f>4687+(191.7-1158.1)+(0+(0-0))+0-0-0</f>
        <v>3720.6000000000004</v>
      </c>
      <c r="Q27" s="3">
        <f>4742.3+(171.1-989.9)+(-4.837146+(-0.174522--1.009698))+0-0-0</f>
        <v>3919.4980300000002</v>
      </c>
      <c r="R27" s="3">
        <f>4789.4+(201.1-1049.4)+(-4.885188+(-0.205122--1.070388))+0-0-0</f>
        <v>3937.0800779999995</v>
      </c>
      <c r="S27" s="3">
        <f>4771.8+(210.1-1098.4)+(0+(0-0))+0-0-0</f>
        <v>3883.5</v>
      </c>
      <c r="T27" s="3">
        <f>5044+(349.8-1639.1)+(-10.28976+(-0.713592--3.343764))+0-0-0</f>
        <v>3747.0404119999998</v>
      </c>
      <c r="U27" s="3">
        <f>5208.3+(328.2-1805.9)+(-18.593631+(-1.171674--6.447063))+0-0-0</f>
        <v>3717.2817580000005</v>
      </c>
      <c r="V27" s="3">
        <f>4822.3+(288.4-1425.9)+(-14.756238+(-0.882504--4.363254))+0-0-0</f>
        <v>3673.524512</v>
      </c>
      <c r="W27" s="3">
        <f>4778.8+(198.5-1237.3)+(-2.437188+(-0.101235--0.631023))+0-0-0</f>
        <v>3738.0925999999999</v>
      </c>
      <c r="X27" s="3">
        <f>4707.8+(112.6-1045.5)+(-12.00489+(-0.28713--2.666025))+0-0-0</f>
        <v>3765.2740050000002</v>
      </c>
      <c r="Y27" s="3">
        <f>4899.3+(124.2-952.7)+(-4.997286+(-0.126684--0.971754))+0-0-0</f>
        <v>4066.6477840000002</v>
      </c>
      <c r="Z27" s="3">
        <f>5548.9+(227.8-1086.5)+(-5.659878+(-0.232356--1.10823))+0-0-0</f>
        <v>4685.4159959999997</v>
      </c>
      <c r="AA27" s="3">
        <f>5597.1+(257.8-1210.2)+(0+(0-0))+0-0-0</f>
        <v>4644.7000000000007</v>
      </c>
      <c r="AB27" s="3">
        <f>5538+(272.8-1311.1)+(-8.47314+(-0.417384--2.005983))+0-0-0</f>
        <v>4492.8154589999995</v>
      </c>
      <c r="AC27" s="3">
        <f>5286.9+(325.9-1430.3)+(-8.088957+(-0.498627--2.188359))+0-0-0</f>
        <v>4176.1007749999999</v>
      </c>
      <c r="AD27">
        <f t="shared" si="0"/>
        <v>88793.45607</v>
      </c>
      <c r="AE27" s="3">
        <f>5559+(277.3-1199.6)+(0+(0-0))+0-0-0</f>
        <v>4636.7</v>
      </c>
    </row>
    <row r="28" spans="1:31" s="2" customFormat="1" x14ac:dyDescent="0.25">
      <c r="A28">
        <v>89</v>
      </c>
      <c r="B28">
        <v>1</v>
      </c>
      <c r="C28">
        <v>28</v>
      </c>
      <c r="D28">
        <v>1</v>
      </c>
      <c r="E28">
        <v>1</v>
      </c>
      <c r="F28" s="3">
        <f>4901+(386.4-1429.3)+(-12.49755+(-0.98532--3.644715))+0-0-0</f>
        <v>3848.261845</v>
      </c>
      <c r="G28" s="3">
        <f>4402.4+(392.6-1336.3)+(-13.471344+(-1.201356--4.089078))+0-0-0</f>
        <v>3448.1163779999997</v>
      </c>
      <c r="H28" s="3">
        <f>4341.6+(420-1528.1)+(-8.856864+(-0.8568--3.117324))+0-0-0</f>
        <v>3226.9036600000004</v>
      </c>
      <c r="I28" s="3">
        <f>4360.1+(456-1679.1)+(-4.447302+(-0.46512--1.712682))+0-0-0</f>
        <v>3133.8002600000004</v>
      </c>
      <c r="J28" s="3">
        <f>4356.5+(436.3-1667.3)+(-6.665445+(-0.667539--2.550969))+0-0-0</f>
        <v>3120.7179850000002</v>
      </c>
      <c r="K28" s="3">
        <f>4381.8+(393.6-1562.1)+(-4.469436+(-0.401472--1.593342))+0-0-0</f>
        <v>3210.022434</v>
      </c>
      <c r="L28" s="3">
        <f>4510.5+(313.6-1427.2)+(-2.300355+(-0.159936--0.727872))+0-0-0</f>
        <v>3395.1675810000002</v>
      </c>
      <c r="M28" s="3">
        <f>4594.1+(303.1-1124.2)+(2.342991+(0.154581-0.573342))+0-0-0</f>
        <v>3774.9242300000005</v>
      </c>
      <c r="N28" s="3">
        <f>4916.9+(388.5-1174.9)+(-2.507619+(-0.198135--0.599199))+0-0-0</f>
        <v>4128.3934449999997</v>
      </c>
      <c r="O28" s="3">
        <f>5179.4+(249.7-809.1)+(0+(0-0))+0-0-0</f>
        <v>4620</v>
      </c>
      <c r="P28" s="3">
        <f>5207.2+(251.3-521.7)+(-7.967016+(-0.384489--0.798201))+0-0-0</f>
        <v>4929.2466960000002</v>
      </c>
      <c r="Q28" s="3">
        <f>5284.2+(359.8-481.8)+(-8.084826+(-0.550494--0.737154))+0-0-0</f>
        <v>5154.3018339999999</v>
      </c>
      <c r="R28" s="3">
        <f>5321.2+(324.5-522.7)+(-8.141436+(-0.496485--0.799731))+0-0-0</f>
        <v>5115.1618099999996</v>
      </c>
      <c r="S28" s="3">
        <f>5136.7+(375.1-682.6)+(-13.098585+(-0.956505--1.74063))+0-0-0</f>
        <v>4816.8855400000002</v>
      </c>
      <c r="T28" s="3">
        <f>5233.6+(496.2-748.6)+(-8.007408+(-0.759186--1.145358))+0-0-0</f>
        <v>4973.5787640000008</v>
      </c>
      <c r="U28" s="3">
        <f>5244.1+(578.2-888.3)+(-2.674491+(-0.294882--0.453033))+0-0-0</f>
        <v>4931.4836599999999</v>
      </c>
      <c r="V28" s="3">
        <f>5284.8+(519.5-977)+(-5.390496+(-0.52989--0.99654))+0-0-0</f>
        <v>4822.3761540000005</v>
      </c>
      <c r="W28" s="3">
        <f>5233.5+(433.6-907.3)+(-2.669085+(-0.221136--0.462723))+0-0-0</f>
        <v>4757.3725020000002</v>
      </c>
      <c r="X28" s="3">
        <f>5315.6+(313.6-906.7)+(-8.132868+(-0.479808--1.387251))+0-0-0</f>
        <v>4715.2745750000004</v>
      </c>
      <c r="Y28" s="3">
        <f>5424.1+(172.4-730.4)+(-2.766291+(-0.087924--0.372504))+0-0-0</f>
        <v>4863.618289</v>
      </c>
      <c r="Z28" s="3">
        <f>5702.7+(321.7-713.5)+(-11.633508+(-0.656268--1.45554))+0-0-0</f>
        <v>5300.0657639999999</v>
      </c>
      <c r="AA28" s="3">
        <f>5839+(191.8-837.8)+(-8.93367+(-0.293454--1.281834))+0-0-0</f>
        <v>5185.0547100000003</v>
      </c>
      <c r="AB28" s="3">
        <f>5574.3+(207.9-959.4)+(-5.685786+(-0.212058--0.978588))+0-0-0</f>
        <v>4817.880744</v>
      </c>
      <c r="AC28" s="3">
        <f>5321.7+(180.9-955.6)+(-5.428134+(-0.184518--0.974712))+0-0-0</f>
        <v>4542.3620600000004</v>
      </c>
      <c r="AD28">
        <f t="shared" si="0"/>
        <v>104830.97091999999</v>
      </c>
      <c r="AE28" s="3">
        <f>5727+(272.3-709.7)+(0+(0-0))+0-0-0</f>
        <v>5289.6</v>
      </c>
    </row>
    <row r="29" spans="1:31" s="2" customFormat="1" x14ac:dyDescent="0.25">
      <c r="A29">
        <v>89</v>
      </c>
      <c r="B29">
        <v>1</v>
      </c>
      <c r="C29">
        <v>29</v>
      </c>
      <c r="D29">
        <v>2</v>
      </c>
      <c r="E29">
        <v>1</v>
      </c>
      <c r="F29" s="3">
        <f>5070.4+(220.2-1376.4)+(-7.757712+(-0.336906--2.105892))+0-0-0</f>
        <v>3908.2112739999998</v>
      </c>
      <c r="G29" s="3">
        <f>4528.1+(161.3-1143.8)+(-9.237324+(-0.329052--2.333352))+0-0-0</f>
        <v>3538.3669760000002</v>
      </c>
      <c r="H29" s="3">
        <f>4416.4+(218.8-1281.9)+(-2.252364+(-0.111588--0.653769))+0-0-0</f>
        <v>3351.5898169999991</v>
      </c>
      <c r="I29" s="3">
        <f>4494.1+(209.1-1401.8)+(-2.291991+(-0.106641--0.714918))+0-0-0</f>
        <v>3299.7162860000008</v>
      </c>
      <c r="J29" s="3">
        <f>4465.2+(209-1416.9)+(-4.554504+(-0.21318--1.445238))+0-0-0</f>
        <v>3253.9775539999996</v>
      </c>
      <c r="K29" s="3">
        <f>4455.7+(174.2-1326.7)+(-11.362035+(-0.44421--3.383085))+0-0-0</f>
        <v>3294.77684</v>
      </c>
      <c r="L29" s="3">
        <f>4458.3+(131.2-1133.6)+(-2.273733+(-0.066912--0.578136))+0-0-0</f>
        <v>3454.1374910000004</v>
      </c>
      <c r="M29" s="3">
        <f>4601.3+(145.4-960.4)+(-4.693326+(-0.148308--0.979608))+0-0-0</f>
        <v>3782.4379740000004</v>
      </c>
      <c r="N29" s="3">
        <f>4982.4+(160.6-843.9)+(-7.623072+(-0.245718--1.291167))+0-0-0</f>
        <v>4292.5223769999993</v>
      </c>
      <c r="O29" s="3">
        <f>5269.9+(146.8-735.6)+(0+(0-0))+0-0-0</f>
        <v>4681.0999999999995</v>
      </c>
      <c r="P29" s="3">
        <f>5374.8+(183.1-603.4)+(0+(0-0))+0-0-0</f>
        <v>4954.5</v>
      </c>
      <c r="Q29" s="3">
        <f>5358.7+(298.4-550.6)+(-5.465874+(-0.304368--0.561612))+0-0-0</f>
        <v>5101.2913699999999</v>
      </c>
      <c r="R29" s="3">
        <f>5162.7+(444.3-474.4)+(-7.898931+(-0.679779--0.725832))+0-0-0</f>
        <v>5124.7471219999998</v>
      </c>
      <c r="S29" s="3">
        <f>5172.7+(244.8-495.6)+(-2.638077+(-0.124848--0.252756))+0-0-0</f>
        <v>4919.3898309999995</v>
      </c>
      <c r="T29" s="3">
        <f>5171.1+(356.4-571.1)+(2.637261+(0.181764-0.291261))+0-0-0</f>
        <v>4958.9277640000009</v>
      </c>
      <c r="U29" s="3">
        <f>5154.2+(374.3-581.3)+(-10.514568+(-0.763572--1.185852))+0-0-0</f>
        <v>4937.107712</v>
      </c>
      <c r="V29" s="3">
        <f>4964.9+(425.5-425.5)+(-2.532099+(-0.217005--0.217005))+0-0-0</f>
        <v>4962.3679009999996</v>
      </c>
      <c r="W29" s="3">
        <f>4834.4+(577.7-388.4)+(-7.396632+(-0.883881--0.594252))+10.7-0-0</f>
        <v>5026.7137389999998</v>
      </c>
      <c r="X29" s="3">
        <f>4760.5+(511.4-389.3)+(-7.283565+(-0.782442--0.595629))+83.8-0-0</f>
        <v>4958.9296220000006</v>
      </c>
      <c r="Y29" s="3">
        <f>5276.5+(198.2-544)+(-5.38203+(-0.202164--0.55488))+0-0-0</f>
        <v>4925.6706859999995</v>
      </c>
      <c r="Z29" s="3">
        <f>5691.3+(411.1-812.4)+(-11.610252+(-0.838644--1.657296))+0-0-0</f>
        <v>5279.2084000000004</v>
      </c>
      <c r="AA29" s="3">
        <f>5681.7+(345.7-874.8)+(-14.488335+(-0.881535--2.23074))+0-0-0</f>
        <v>5139.4608700000008</v>
      </c>
      <c r="AB29" s="3">
        <f>5381.6+(333.1-909.2)+(-2.744616+(-0.169881--0.463692))+0-0-0</f>
        <v>4803.0491949999996</v>
      </c>
      <c r="AC29" s="3">
        <f>4870.3+(312.3-781.9)+(-4.967706+(-0.318546--0.797538))+0-0-0</f>
        <v>4396.2112859999997</v>
      </c>
      <c r="AD29">
        <f t="shared" si="0"/>
        <v>106344.412087</v>
      </c>
      <c r="AE29" s="3">
        <f>5757+(384.2-834.1)+(0+(0-0))+0-0-0</f>
        <v>5307.1</v>
      </c>
    </row>
    <row r="30" spans="1:31" s="2" customFormat="1" x14ac:dyDescent="0.25">
      <c r="A30">
        <v>89</v>
      </c>
      <c r="B30">
        <v>1</v>
      </c>
      <c r="C30">
        <v>30</v>
      </c>
      <c r="D30">
        <v>3</v>
      </c>
      <c r="E30">
        <v>1</v>
      </c>
      <c r="F30" s="3">
        <f>4455.4+(148.5-779.1)+(-6.816762+(-0.227205--1.192023))+0-0-0</f>
        <v>3818.9480559999997</v>
      </c>
      <c r="G30" s="3">
        <f>4294.2+(200.9-988.5)+(-8.760168+(-0.409836--2.01654))+0-0-0</f>
        <v>3499.4465359999999</v>
      </c>
      <c r="H30" s="3">
        <f>4255+(293.4-1253.9)+(0+(0-0))+0-0-0</f>
        <v>3294.5</v>
      </c>
      <c r="I30" s="3">
        <f>4194.3+(280.8-1252.5)+(-8.556372+(-0.572832--2.5551))+0-0-0</f>
        <v>3216.0258960000006</v>
      </c>
      <c r="J30" s="3">
        <f>4201.6+(196.3-1170.5)+(-4.285632+(-0.200226--1.19391))+0-0-0</f>
        <v>3224.1080520000005</v>
      </c>
      <c r="K30" s="3">
        <f>4202.1+(186.3-1102)+(-6.429213+(-0.285039--1.68606))+0-0-0</f>
        <v>3281.3718080000003</v>
      </c>
      <c r="L30" s="3">
        <f>4085+(184.6-852)+(-4.1667+(-0.188292--0.86904))+0-0-0</f>
        <v>3414.1140479999999</v>
      </c>
      <c r="M30" s="3">
        <f>4135.4+(299-697.1)+(-2.109054+(-0.15249--0.355521))+0-0-0</f>
        <v>3735.3939769999997</v>
      </c>
      <c r="N30" s="3">
        <f>4748.7+(189.8-671)+(0+(0-0))+0-0-0</f>
        <v>4267.5</v>
      </c>
      <c r="O30" s="3">
        <f>5149.3+(185.8-676.5)+(2.626143+(0.094758-0.345015))+0-0-0</f>
        <v>4660.9758860000002</v>
      </c>
      <c r="P30" s="3">
        <f>5212.8+(369.2-720.8)+(0+(0-0))+0-0-0</f>
        <v>4861.2</v>
      </c>
      <c r="Q30" s="3">
        <f>5096.5+(633.4-700)+(-2.599215+(-0.323034--0.357))+0-0-0</f>
        <v>5027.3347509999994</v>
      </c>
      <c r="R30" s="3">
        <f>5088.9+(592.1-658.9)+(5.190678+(0.603942-0.672078))+0-0-0</f>
        <v>5027.2225419999995</v>
      </c>
      <c r="S30" s="3">
        <f>5017.2+(480-626.2)+(2.558772+(0.2448-0.319362))+0-0-0</f>
        <v>4873.4842099999996</v>
      </c>
      <c r="T30" s="3">
        <f>5133.8+(344.5-585)+(-2.618238+(-0.175695--0.29835))+0-0-0</f>
        <v>4890.8044170000003</v>
      </c>
      <c r="U30" s="3">
        <f>5282.5+(206.3-612.6)+(-13.470375+(-0.526065--1.56213))+0-0-0</f>
        <v>4863.7656900000002</v>
      </c>
      <c r="V30" s="3">
        <f>5226.3+(188.7-599)+(-5.330826+(-0.192474--0.61098))+0-0-0</f>
        <v>4811.0876799999996</v>
      </c>
      <c r="W30" s="3">
        <f>5270.2+(166.9-645.7)+(-13.43901+(-0.425595--1.646535))+0-0-0</f>
        <v>4779.1819299999997</v>
      </c>
      <c r="X30" s="3">
        <f>5295.9+(151.9-768.9)+(-13.504545+(-0.387345--1.960695))+0-0-0</f>
        <v>4666.9688049999995</v>
      </c>
      <c r="Y30" s="3">
        <f>5564.2+(156.3-765.3)+(-8.513226+(-0.239139--1.170909))+0-0-0</f>
        <v>4947.6185439999999</v>
      </c>
      <c r="Z30" s="3">
        <f>5656.3+(326.6-744.5)+(-11.538852+(-0.666264--1.51878))+0-0-0</f>
        <v>5227.7136640000008</v>
      </c>
      <c r="AA30" s="3">
        <f>5620.9+(319.8-756.4)+(-17.199954+(-0.978588--2.314584))+0-0-0</f>
        <v>5168.4360419999994</v>
      </c>
      <c r="AB30" s="3">
        <f>5278.3+(357.6-815.3)+(-13.459665+(-0.91188--2.079015))+0-0-0</f>
        <v>4808.3074700000006</v>
      </c>
      <c r="AC30" s="3">
        <f>4653.8+(407.5-620.5)+(-14.240628+(-1.24695--1.89873))+0-0-0</f>
        <v>4427.2111519999999</v>
      </c>
      <c r="AD30">
        <f t="shared" si="0"/>
        <v>104792.721156</v>
      </c>
      <c r="AE30" s="3">
        <f>5728+(397.6-769.2)+(0+(0-0))+0-0-0</f>
        <v>5356.4</v>
      </c>
    </row>
    <row r="31" spans="1:31" s="2" customFormat="1" x14ac:dyDescent="0.25">
      <c r="A31">
        <v>89</v>
      </c>
      <c r="B31">
        <v>1</v>
      </c>
      <c r="C31">
        <v>31</v>
      </c>
      <c r="D31">
        <v>4</v>
      </c>
      <c r="E31">
        <v>1</v>
      </c>
      <c r="F31" s="3">
        <f>4263.9+(259.1-644.1)+(-13.047534+(-0.792846--1.970946))+0-0-0</f>
        <v>3867.0305659999995</v>
      </c>
      <c r="G31" s="3">
        <f>4216.3+(246.6-954.5)+(-12.901878+(-0.754596--2.92077))+0-0-0</f>
        <v>3497.6642959999999</v>
      </c>
      <c r="H31" s="3">
        <f>4205.7+(257.9-1142.3)+(-2.144907+(-0.131529--0.582573))+0-0-0</f>
        <v>3319.6061369999998</v>
      </c>
      <c r="I31" s="3">
        <f>4134.9+(171.3-1061.7)+(-4.217598+(-0.174726--1.082934))+0-0-0</f>
        <v>3241.1906099999997</v>
      </c>
      <c r="J31" s="3">
        <f>4156.6+(182.2-1115.9)+(0+(0-0))+0-0-0</f>
        <v>3222.9000000000005</v>
      </c>
      <c r="K31" s="3">
        <f>4162.3+(154.8-1050.1)+(-2.122773+(-0.078948--0.535551))+0-0-0</f>
        <v>3265.33383</v>
      </c>
      <c r="L31" s="3">
        <f>4150.6+(135.8-887.1)+(-4.233612+(-0.138516--0.904842))+0-0-0</f>
        <v>3395.8327140000001</v>
      </c>
      <c r="M31" s="3">
        <f>4343.9+(211.7-829)+(-4.430778+(-0.215934--0.84558))+0-0-0</f>
        <v>3722.7988679999994</v>
      </c>
      <c r="N31" s="3">
        <f>4883.5+(214.6-801.1)+(-7.471755+(-0.328338--1.225683))+0-0-0</f>
        <v>4290.4255899999998</v>
      </c>
      <c r="O31" s="3">
        <f>5389.8+(195-738.4)+(-8.246394+(-0.29835--1.129752))+0-0-0</f>
        <v>4838.9850080000006</v>
      </c>
      <c r="P31" s="3">
        <f>5465.3+(170.9-737.5)+(0+(0-0))+0-0-0</f>
        <v>4898.7</v>
      </c>
      <c r="Q31" s="3">
        <f>5443.5+(273.2-630.1)+(2.776185+(0.139332-0.321351))+0-0-0</f>
        <v>5089.1941660000002</v>
      </c>
      <c r="R31" s="3">
        <f>5474.1+(215-632.5)+(-2.791791+(-0.10965--0.322575))+0-0-0</f>
        <v>5054.0211340000005</v>
      </c>
      <c r="S31" s="3">
        <f>5453.1+(265.2-841.7)+(-2.781081+(-0.135252--0.429267))+0-0-0</f>
        <v>4874.1129340000007</v>
      </c>
      <c r="T31" s="3">
        <f>5504.6+(325.1-945.1)+(0+(0-0))+0-0-0</f>
        <v>4884.6000000000004</v>
      </c>
      <c r="U31" s="3">
        <f>5544.4+(276.5-966.2)+(-8.482932+(-0.423045--1.478286))+0-0-0</f>
        <v>4847.272309</v>
      </c>
      <c r="V31" s="3">
        <f>5530.9+(259.4-1029.4)+(-8.462277+(-0.396882--1.574982))+0-0-0</f>
        <v>4753.6158230000001</v>
      </c>
      <c r="W31" s="3">
        <f>5431+(245-988.3)+(-13.84905+(-0.62475--2.520165))+0-0-0</f>
        <v>4675.746365</v>
      </c>
      <c r="X31" s="3">
        <f>5179.5+(247.9-853.5)+(-10.56618+(-0.505716--1.74114))+0-0-0</f>
        <v>4564.5692439999993</v>
      </c>
      <c r="Y31" s="3">
        <f>5350.2+(260.4-901.6)+(-5.457204+(-0.265608--0.919632))+0-0-0</f>
        <v>4704.1968200000001</v>
      </c>
      <c r="Z31" s="3">
        <f>5748+(207.9-700.2)+(-8.79444+(-0.318087--1.071306))+0-0-0</f>
        <v>5247.6587789999994</v>
      </c>
      <c r="AA31" s="3">
        <f>5781.7+(229.3-908.9)+(-2.948667+(-0.116943--0.463539))+0-0-0</f>
        <v>5099.4979290000001</v>
      </c>
      <c r="AB31" s="3">
        <f>5534+(224.2-908.1)+(-14.1117+(-0.57171--2.315655))+0-0-0</f>
        <v>4837.7322450000001</v>
      </c>
      <c r="AC31" s="3">
        <f>4958.8+(184.1-671)+(-10.115952+(-0.375564--1.36884))+0-0-0</f>
        <v>4462.7773240000006</v>
      </c>
      <c r="AD31">
        <f t="shared" si="0"/>
        <v>104655.46269100001</v>
      </c>
      <c r="AE31" s="3">
        <f>5760+(177.2-716.5)+(0+(0-0))+0-0-0</f>
        <v>5220.7</v>
      </c>
    </row>
    <row r="32" spans="1:31" s="2" customFormat="1" x14ac:dyDescent="0.25">
      <c r="A32">
        <v>89</v>
      </c>
      <c r="B32">
        <v>2</v>
      </c>
      <c r="C32">
        <v>1</v>
      </c>
      <c r="D32">
        <v>5</v>
      </c>
      <c r="E32">
        <v>1</v>
      </c>
      <c r="F32" s="3">
        <f>4329.2+(322.7-771.3)+(-4.415784+(-0.329154--0.786726))+0-0-0</f>
        <v>3876.6417879999999</v>
      </c>
      <c r="G32" s="3">
        <f>4275.3+(456.8-1263.9)+(-10.902015+(-1.16484--3.222945))+0-0-0</f>
        <v>3459.3560899999998</v>
      </c>
      <c r="H32" s="3">
        <f>4165.8+(431.9-1376.9)+(0+(0-0))+0-0-0</f>
        <v>3220.8</v>
      </c>
      <c r="I32" s="3">
        <f>4155.5+(376.6-1311.9)+(-6.357915+(-0.576198--2.007207))+0-0-0</f>
        <v>3215.2730939999997</v>
      </c>
      <c r="J32" s="3">
        <f>4309.3+(264.9-1354.9)+(-6.593229+(-0.405297--2.072997))+0-0-0</f>
        <v>3214.3744710000001</v>
      </c>
      <c r="K32" s="3">
        <f>4419.8+(148.1-1274)+(-9.016392+(-0.302124--2.59896))+0-0-0</f>
        <v>3287.1804440000001</v>
      </c>
      <c r="L32" s="3">
        <f>4185.6+(128.3-898.9)+(-6.403968+(-0.196299--1.375317))+0-0-0</f>
        <v>3409.7750500000006</v>
      </c>
      <c r="M32" s="3">
        <f>4371+(182.9-784)+(0+(0-0))+0-0-0</f>
        <v>3769.9</v>
      </c>
      <c r="N32" s="3">
        <f>4976+(204.6-865.3)+(5.07552+(0.208692-0.882606))+0-0-0</f>
        <v>4319.7016060000005</v>
      </c>
      <c r="O32" s="3">
        <f>5129.4+(241-710.1)+(10.463976+(0.49164-1.448604))+0-0-0</f>
        <v>4669.8070119999993</v>
      </c>
      <c r="P32" s="3">
        <f>5507.2+(218.9-743.8)+(-2.808672+(-0.111639--0.379338))+0-0-0</f>
        <v>4979.7590270000001</v>
      </c>
      <c r="Q32" s="3">
        <f>5700.5+(149.3-754.7)+(8.721765+(0.228429-1.154691))+0-0-0</f>
        <v>5102.8955030000006</v>
      </c>
      <c r="R32" s="3">
        <f>5723.6+(242.4-910.7)+(2.919036+(0.123624-0.464457))+0-0-0</f>
        <v>5057.8782030000002</v>
      </c>
      <c r="S32" s="3">
        <f>5677.3+(362.4-1176.3)+(-11.581692+(-0.739296--2.399652))+0-0-0</f>
        <v>4853.4786640000002</v>
      </c>
      <c r="T32" s="3">
        <f>5644.5+(568.8-1305.4)+(-2.878695+(-0.290088--0.665754))+0-0-0</f>
        <v>4905.3969709999992</v>
      </c>
      <c r="U32" s="3">
        <f>5658.7+(478.7-1283.5)+(-2.885937+(-0.244137--0.654585))+0-0-0</f>
        <v>4851.4245109999993</v>
      </c>
      <c r="V32" s="3">
        <f>5659.5+(340.5-1230.8)+(-14.431725+(-0.868275--3.13854))+0-0-0</f>
        <v>4757.0385399999996</v>
      </c>
      <c r="W32" s="3">
        <f>5543.5+(306.3-1182.3)+(-8.481555+(-0.468639--1.808919))+0-0-0</f>
        <v>4660.358725</v>
      </c>
      <c r="X32" s="3">
        <f>5545.3+(264.8-1172.9)+(-16.968618+(-0.810288--3.589074))+0-0-0</f>
        <v>4623.0101679999998</v>
      </c>
      <c r="Y32" s="3">
        <f>5481.8+(253.3-990.7)+(-2.795718+(-0.129183--0.505257))+0-0-0</f>
        <v>4741.980356</v>
      </c>
      <c r="Z32" s="3">
        <f>5922.7+(163-810.4)+(-12.082308+(-0.33252--1.653216))+0-0-0</f>
        <v>5264.5383879999999</v>
      </c>
      <c r="AA32" s="3">
        <f>6020.1+(114.7-961.8)+(-18.421506+(-0.350982--2.943108))+0-0-0</f>
        <v>5157.1706199999999</v>
      </c>
      <c r="AB32" s="3">
        <f>5965.1+(217.7-1323.7)+(-9.126603+(-0.333081--2.025261))+0-0-0</f>
        <v>4851.6655770000007</v>
      </c>
      <c r="AC32" s="3">
        <f>5598.8+(149.4-1292.2)+(-5.710776+(-0.152388--1.318044))+0-0-0</f>
        <v>4451.4548800000002</v>
      </c>
      <c r="AD32">
        <f t="shared" si="0"/>
        <v>104700.85968800001</v>
      </c>
      <c r="AE32" s="3">
        <f>5976+(209.4-910.3)+(0+(0-0))+0-0-0</f>
        <v>5275.1</v>
      </c>
    </row>
    <row r="33" spans="1:31" s="2" customFormat="1" x14ac:dyDescent="0.25">
      <c r="A33">
        <v>89</v>
      </c>
      <c r="B33">
        <v>2</v>
      </c>
      <c r="C33">
        <v>2</v>
      </c>
      <c r="D33">
        <v>6</v>
      </c>
      <c r="E33">
        <v>1</v>
      </c>
      <c r="F33" s="3">
        <f>5334.5+(281.1-1651.6)+(-5.44119+(-0.286722--1.684632))+0-0-0</f>
        <v>3959.9567200000001</v>
      </c>
      <c r="G33" s="3">
        <f>5150.1+(411.6-1982.1)+(0+(0-0))+0-0-0</f>
        <v>3579.6000000000004</v>
      </c>
      <c r="H33" s="3">
        <f>5098.7+(364.3-2097.8)+(-7.801011+(-0.557379--3.209634))+0-0-0</f>
        <v>3360.0512439999998</v>
      </c>
      <c r="I33" s="3">
        <f>4853.3+(331.6-1906.8)+(-12.375915+(-0.84558--4.86234))+0-0-0</f>
        <v>3269.7408450000003</v>
      </c>
      <c r="J33" s="3">
        <f>4763+(307.7-1812.1)+(2.42913+(0.156927-0.924171))+0-0-0</f>
        <v>3260.2618860000002</v>
      </c>
      <c r="K33" s="3">
        <f>4772.6+(269.5-1714.3)+(0+(0-0))+0-0-0</f>
        <v>3327.8</v>
      </c>
      <c r="L33" s="3">
        <f>4684.3+(232.1-1563.4)+(-7.166979+(-0.355113--2.392002))+0-0-0</f>
        <v>3347.8699099999999</v>
      </c>
      <c r="M33" s="3">
        <f>4814.8+(115.8-1305.6)+(-2.455548+(-0.059058--0.665856))+0-0-0</f>
        <v>3623.1512499999999</v>
      </c>
      <c r="N33" s="3">
        <f>5326.8+(42.5-1255.6)+(0+(0-0))+0-0-0</f>
        <v>4113.7000000000007</v>
      </c>
      <c r="O33" s="3">
        <f>5574.1+(75.8-1123.7)+(-5.685582+(-0.077316--1.146174))+0-0-0</f>
        <v>4521.5832760000003</v>
      </c>
      <c r="P33" s="3">
        <f>5607.7+(124.8-909.4)+(-5.719854+(-0.127296--0.927588))+0-0-0</f>
        <v>4818.1804379999994</v>
      </c>
      <c r="Q33" s="3">
        <f>5602.3+(136.1-781.9)+(-2.857173+(-0.069411--0.398769))+0-0-0</f>
        <v>4953.9721849999996</v>
      </c>
      <c r="R33" s="3">
        <f>5602.8+(195.5-895.8)+(-2.857428+(-0.099705--0.456858))+0-0-0</f>
        <v>4899.9997249999997</v>
      </c>
      <c r="S33" s="3">
        <f>5573.1+(243-1109.4)+(-2.842281+(-0.12393--0.565794))+0-0-0</f>
        <v>4704.2995830000009</v>
      </c>
      <c r="T33" s="3">
        <f>5546.1+(416.3-1356.3)+(-2.828511+(-0.212313--0.691713))+0-0-0</f>
        <v>4603.7508889999999</v>
      </c>
      <c r="U33" s="3">
        <f>5510+(508.1-1521.1)+(-2.8101+(-0.259131--0.775761))+0-0-0</f>
        <v>4494.7065300000004</v>
      </c>
      <c r="V33" s="3">
        <f>5484.7+(507.1-1554.6)+(-11.188788+(-1.034484--3.171384))+0-0-0</f>
        <v>4428.1481119999999</v>
      </c>
      <c r="W33" s="3">
        <f>5492.6+(391.6-1464.1)+(-16.807356+(-1.198296--4.480146))+0-0-0</f>
        <v>4406.5744940000004</v>
      </c>
      <c r="X33" s="3">
        <f>5356.4+(256.1-1194.9)+(-5.463528+(-0.261222--1.218798))+0-0-0</f>
        <v>4413.094047999999</v>
      </c>
      <c r="Y33" s="3">
        <f>5426.4+(222.3-1095.2)+(-2.767464+(-0.113373--0.558552))+0-0-0</f>
        <v>4551.1777149999998</v>
      </c>
      <c r="Z33" s="3">
        <f>5717.8+(170.4-826.4)+(-5.832156+(-0.173808--0.842928))+0-0-0</f>
        <v>5056.6369640000003</v>
      </c>
      <c r="AA33" s="3">
        <f>5680.3+(185.4-889.8)+(-2.896953+(-0.094554--0.453798))+0-0-0</f>
        <v>4973.3622910000004</v>
      </c>
      <c r="AB33" s="3">
        <f>5547.6+(277.1-1085)+(2.829276+(0.141321-0.55335))+0-0-0</f>
        <v>4742.117247000001</v>
      </c>
      <c r="AC33" s="3">
        <f>5534.5+(387.2-1514.9)+(0+(0-0))+0-0-0</f>
        <v>4406.8</v>
      </c>
      <c r="AD33">
        <f t="shared" si="0"/>
        <v>101816.53535200001</v>
      </c>
      <c r="AE33" s="3">
        <f>5702+(156.7-821.4)+(0+(0-0))+0-0-0</f>
        <v>5037.3</v>
      </c>
    </row>
    <row r="34" spans="1:31" s="2" customFormat="1" x14ac:dyDescent="0.25">
      <c r="A34">
        <v>89</v>
      </c>
      <c r="B34">
        <v>2</v>
      </c>
      <c r="C34">
        <v>3</v>
      </c>
      <c r="D34">
        <v>7</v>
      </c>
      <c r="E34">
        <v>1</v>
      </c>
      <c r="F34" s="3">
        <f>5423.6+(312.6-1737.9)+(2.766036+(0.159426-0.886329))+0-0-0</f>
        <v>4000.3391330000004</v>
      </c>
      <c r="G34" s="3">
        <f>5276.4+(337.4-1999.7)+(-2.690964+(-0.172074--1.019847))+0-0-0</f>
        <v>3612.2568089999995</v>
      </c>
      <c r="H34" s="3">
        <f>5223.5+(278.5-2127.9)+(-2.663985+(-0.142035--1.085229))+0-0-0</f>
        <v>3372.3792089999997</v>
      </c>
      <c r="I34" s="3">
        <f>4822.8+(275.1-1904.1)+(0+(0-0))+0-0-0</f>
        <v>3193.8</v>
      </c>
      <c r="J34" s="3">
        <f>4886.7+(218.2-1951.5)+(-9.968868+(-0.445128--3.98106))+0-0-0</f>
        <v>3146.9670639999995</v>
      </c>
      <c r="K34" s="3">
        <f>4913.1+(218.4-1971.6)+(-7.517043+(-0.334152--3.016548))+0-0-0</f>
        <v>3155.0653530000004</v>
      </c>
      <c r="L34" s="3">
        <f>4853.5+(137.4-1941.4)+(-14.85171+(-0.420444--5.940684))+0-0-0</f>
        <v>3040.1685299999999</v>
      </c>
      <c r="M34" s="3">
        <f>4697.3+(104.6-1792)+(-7.186869+(-0.160038--2.74176))+0-0-0</f>
        <v>3005.2948529999999</v>
      </c>
      <c r="N34" s="3">
        <f>4909.2+(81.1-1790.4)+(-2.503692+(-0.041361--0.913104))+0-0-0</f>
        <v>3198.2680509999996</v>
      </c>
      <c r="O34" s="3">
        <f>5188.9+(82-1753.4)+(5.292678+(0.08364-1.788468))+0-0-0</f>
        <v>3521.0878499999994</v>
      </c>
      <c r="P34" s="3">
        <f>5309+(135.5-1626.9)+(-8.12277+(-0.207315--2.489157))+0-0-0</f>
        <v>3811.7590719999998</v>
      </c>
      <c r="Q34" s="3">
        <f>5399.5+(146.7-1542.8)+(-5.50749+(-0.149634--1.573656))+0-0-0</f>
        <v>3999.3165320000003</v>
      </c>
      <c r="R34" s="3">
        <f>5397.9+(133.8-1415)+(-5.505858+(-0.136476--1.4433))+0-0-0</f>
        <v>4112.5009659999996</v>
      </c>
      <c r="S34" s="3">
        <f>5419.3+(118.7-1443.9)+(2.763843+(0.060537-0.736389))+0-0-0</f>
        <v>4096.1879910000007</v>
      </c>
      <c r="T34" s="3">
        <f>5381.8+(116.4-1543)+(-13.72359+(-0.29682--3.93465))+0-0-0</f>
        <v>3945.1142400000003</v>
      </c>
      <c r="U34" s="3">
        <f>5476.5+(115.1-1737.3)+(-11.17206+(-0.234804--3.544092))+0-0-0</f>
        <v>3846.4372280000002</v>
      </c>
      <c r="V34" s="3">
        <f>5386.7+(103.4-1676.5)+(-5.494434+(-0.105468--1.71003))+0-0-0</f>
        <v>3809.7101279999997</v>
      </c>
      <c r="W34" s="3">
        <f>5239+(111-1496.3)+(-13.35945+(-0.28305--3.815565))+0-0-0</f>
        <v>3843.8730649999998</v>
      </c>
      <c r="X34" s="3">
        <f>5036+(111.6-1102.8)+(-2.56836+(-0.056916--0.562428))+0-0-0</f>
        <v>4042.7371520000002</v>
      </c>
      <c r="Y34" s="3">
        <f>5176.2+(85.1-943.4)+(-10.559448+(-0.173604--1.924536))+0-0-0</f>
        <v>4309.0914839999996</v>
      </c>
      <c r="Z34" s="3">
        <f>5447.8+(147.3-873)+(-13.89189+(-0.375615--2.22615))+0-0-0</f>
        <v>4710.0586450000001</v>
      </c>
      <c r="AA34" s="3">
        <f>5239.2+(118-1020.4)+(-5.343984+(-0.12036--1.040808))+0-0-0</f>
        <v>4332.3764639999999</v>
      </c>
      <c r="AB34" s="3">
        <f>4963+(83-1050)+(-5.06226+(-0.08466--1.071))+0-0-0</f>
        <v>3991.9240799999998</v>
      </c>
      <c r="AC34" s="3">
        <f>4728+(94.4-997.3)+(-4.82256+(-0.096288--1.017246))+0-0-0</f>
        <v>3821.198398</v>
      </c>
      <c r="AD34">
        <f t="shared" si="0"/>
        <v>89917.912296999988</v>
      </c>
      <c r="AE34" s="3">
        <f>5453+(172.2-969.7)+(0+(0-0))+0-0-0</f>
        <v>4655.5</v>
      </c>
    </row>
    <row r="35" spans="1:31" s="2" customFormat="1" x14ac:dyDescent="0.25">
      <c r="A35">
        <v>89</v>
      </c>
      <c r="B35">
        <v>2</v>
      </c>
      <c r="C35">
        <v>4</v>
      </c>
      <c r="D35">
        <v>1</v>
      </c>
      <c r="E35">
        <v>1</v>
      </c>
      <c r="F35" s="3">
        <f>4522.8+(125.9-1205.3)+(-9.226512+(-0.256836--2.458812))+0-0-0</f>
        <v>3436.3754640000006</v>
      </c>
      <c r="G35" s="3">
        <f>4349.4+(123.8-1322.4)+(2.218194+(0.063138-0.674424))+0-0-0</f>
        <v>3152.4069079999995</v>
      </c>
      <c r="H35" s="3">
        <f>4388.8+(183.2-1607.5)+(0+(0-0))+0-0-0</f>
        <v>2964.5</v>
      </c>
      <c r="I35" s="3">
        <f>4308.6+(153.7-1546.4)+(-8.789544+(-0.313548--3.154656))+0-0-0</f>
        <v>2909.9515640000004</v>
      </c>
      <c r="J35" s="3">
        <f>4328.5+(124.7-1546.8)+(2.207535+(0.063597-0.788868))+0-0-0</f>
        <v>2907.8822640000003</v>
      </c>
      <c r="K35" s="3">
        <f>4445.3+(171.8-1612)+(0+(0-0))+0-0-0</f>
        <v>3005.1000000000004</v>
      </c>
      <c r="L35" s="3">
        <f>4433.7+(121.3-1371)+(-11.305935+(-0.309315--3.49605))+0-0-0</f>
        <v>3175.8807999999999</v>
      </c>
      <c r="M35" s="3">
        <f>4638.2+(111.1-1148.6)+(-2.365482+(-0.056661--0.585786))+0-0-0</f>
        <v>3598.8636429999997</v>
      </c>
      <c r="N35" s="3">
        <f>5058+(123.1-1038.8)+(5.15916+(0.125562-1.059576))+0-0-0</f>
        <v>4146.5251459999999</v>
      </c>
      <c r="O35" s="3">
        <f>5555.6+(116.2-1102.3)+(-8.500068+(-0.177786--1.686519))+0-0-0</f>
        <v>4562.5086650000003</v>
      </c>
      <c r="P35" s="3">
        <f>5628.8+(149.7-1004.7)+(-5.741376+(-0.152694--1.024794))+0-0-0</f>
        <v>4768.9307239999998</v>
      </c>
      <c r="Q35" s="3">
        <f>5709.1+(159.2-976.8)+(2.911641+(0.081192-0.498168))+0-0-0</f>
        <v>4893.9946650000002</v>
      </c>
      <c r="R35" s="3">
        <f>5797.2+(145.4-920.3)+(-5.913144+(-0.148308--0.938706))+0-0-0</f>
        <v>5017.1772540000002</v>
      </c>
      <c r="S35" s="3">
        <f>5820.5+(171.7-1109)+(-11.87382+(-0.350268--2.26236))+0-0-0</f>
        <v>4873.2382719999996</v>
      </c>
      <c r="T35" s="3">
        <f>5814.3+(236-1118.5)+(-5.930586+(-0.24072--1.14087))+0-0-0</f>
        <v>4926.7695640000002</v>
      </c>
      <c r="U35" s="3">
        <f>5698.6+(265-1103.7)+(-8.718858+(-0.40545--1.688661))+0-0-0</f>
        <v>4852.4643530000003</v>
      </c>
      <c r="V35" s="3">
        <f>5718.7+(252.6-1147)+(-2.916537+(-0.128826--0.58497))+0-0-0</f>
        <v>4821.8396069999999</v>
      </c>
      <c r="W35" s="3">
        <f>5657.3+(213.9-1001.5)+(-11.540892+(-0.436356--2.04306))+0-0-0</f>
        <v>4859.7658119999996</v>
      </c>
      <c r="X35" s="3">
        <f>5529.6+(206.7-883.1)+(-8.460288+(-0.316251--1.351143))+0-0-0</f>
        <v>4845.7746040000011</v>
      </c>
      <c r="Y35" s="3">
        <f>5593.2+(183.6-939.9)+(-11.410128+(-0.374544--1.917396))+0-0-0</f>
        <v>4827.0327239999997</v>
      </c>
      <c r="Z35" s="3">
        <f>6107.6+(102-934.8)+(-9.344628+(-0.15606--1.430244))+0-0-0</f>
        <v>5266.7295560000002</v>
      </c>
      <c r="AA35" s="3">
        <f>6221.3+(95.2-1184.6)+(-9.518589+(-0.145656--1.812438))+0-0-0</f>
        <v>5124.0481930000005</v>
      </c>
      <c r="AB35" s="3">
        <f>5855.5+(95.1-1166.4)+(-14.931525+(-0.242505--2.97432))+0-0-0</f>
        <v>4772.0002899999999</v>
      </c>
      <c r="AC35" s="3">
        <f>5224.7+(139.5-972.2)+(-13.322985+(-0.355725--2.47911))+0-0-0</f>
        <v>4380.8004000000001</v>
      </c>
      <c r="AD35">
        <f t="shared" si="0"/>
        <v>102090.56047200001</v>
      </c>
      <c r="AE35" s="3">
        <f>6246.3+(71.1-1080.3)+(0+(0-0))+0-0-0</f>
        <v>5237.1000000000004</v>
      </c>
    </row>
    <row r="36" spans="1:31" s="2" customFormat="1" x14ac:dyDescent="0.25">
      <c r="A36">
        <v>89</v>
      </c>
      <c r="B36">
        <v>2</v>
      </c>
      <c r="C36">
        <v>5</v>
      </c>
      <c r="D36">
        <v>2</v>
      </c>
      <c r="E36">
        <v>1</v>
      </c>
      <c r="F36" s="3">
        <f>4961.6+(172.5-1306.5)+(-5.060832+(-0.17595--1.33263))+0-0-0</f>
        <v>3823.6958480000003</v>
      </c>
      <c r="G36" s="3">
        <f>4736+(176-1421.1)+(-7.24608+(-0.26928--2.174283))+0-0-0</f>
        <v>3485.558923</v>
      </c>
      <c r="H36" s="3">
        <f>4610.4+(151.4-1444.6)+(-7.053912+(-0.231642--2.210238))+0-0-0</f>
        <v>3312.1246839999999</v>
      </c>
      <c r="I36" s="3">
        <f>4398.2+(190.3-1372.8)+(-6.729246+(-0.291159--2.100384))+0-0-0</f>
        <v>3210.7799789999999</v>
      </c>
      <c r="J36" s="3">
        <f>4405.3+(214.4-1435.3)+(6.740109+(0.328032-2.196009))+0-0-0</f>
        <v>3189.2721320000005</v>
      </c>
      <c r="K36" s="3">
        <f>4415.4+(192.8-1357.2)+(-11.25927+(-0.49164--3.46086))+0-0-0</f>
        <v>3242.7099499999995</v>
      </c>
      <c r="L36" s="3">
        <f>4402.6+(223.7-1247.2)+(-11.22663+(-0.570435--3.18036))+0-0-0</f>
        <v>3370.4832950000005</v>
      </c>
      <c r="M36" s="3">
        <f>4380.4+(347.4-935.7)+(-4.468008+(-0.354348--0.954414))+0-0-0</f>
        <v>3788.2320579999996</v>
      </c>
      <c r="N36" s="3">
        <f>4757+(399.3-876.7)+(4.85214+(0.407286-0.894234))+0-0-0</f>
        <v>4283.9651920000006</v>
      </c>
      <c r="O36" s="3">
        <f>5077.5+(285.5-725.9)+(-2.589525+(-0.145605--0.370209))+0-0-0</f>
        <v>4634.735079</v>
      </c>
      <c r="P36" s="3">
        <f>5340.4+(195-710)+(-8.170812+(-0.29835--1.0863))+0-0-0</f>
        <v>4818.0171379999992</v>
      </c>
      <c r="Q36" s="3">
        <f>5558.2+(208.7-692.1)+(-8.504046+(-0.319311--1.058913))+0-0-0</f>
        <v>5067.0355559999998</v>
      </c>
      <c r="R36" s="3">
        <f>5585+(287-818.6)+(0+(0-0))+0-0-0</f>
        <v>5053.3999999999996</v>
      </c>
      <c r="S36" s="3">
        <f>5435.6+(298.2-894.6)+(-11.088624+(-0.608328--1.824984))+0-0-0</f>
        <v>4829.3280320000003</v>
      </c>
      <c r="T36" s="3">
        <f>5414.7+(393.4-924.9)+(0+(0-0))+0-0-0</f>
        <v>4883.2</v>
      </c>
      <c r="U36" s="3">
        <f>5454.9+(364.6-992.4)+(-11.127996+(-0.743784--2.024496))+0-0-0</f>
        <v>4817.2527159999991</v>
      </c>
      <c r="V36" s="3">
        <f>5340.9+(317.4-901.3)+(-5.447718+(-0.323748--0.919326))+0-0-0</f>
        <v>4752.14786</v>
      </c>
      <c r="W36" s="3">
        <f>5139.9+(283.1-752.8)+(-13.106745+(-0.721905--1.91964))+0-0-0</f>
        <v>4658.2909899999995</v>
      </c>
      <c r="X36" s="3">
        <f>5001.6+(296-689)+(-15.304896+(-0.90576--2.10834))+0-0-0</f>
        <v>4594.4976839999999</v>
      </c>
      <c r="Y36" s="3">
        <f>5019+(453.6-768.3)+(-2.55969+(-0.231336--0.391833))+0-0-0</f>
        <v>4701.900807</v>
      </c>
      <c r="Z36" s="3">
        <f>6042.9+(159.7-945.9)+(-18.491274+(-0.488682--2.894454))+0-0-0</f>
        <v>5240.6144979999999</v>
      </c>
      <c r="AA36" s="3">
        <f>6044.5+(263.8-1103.9)+(-24.66156+(-1.076304--4.503912))+0-0-0</f>
        <v>5183.166048</v>
      </c>
      <c r="AB36" s="3">
        <f>5466.3+(338.7-912.1)+(-19.514691+(-1.209159--3.256197))+0-0-0</f>
        <v>4875.4323469999999</v>
      </c>
      <c r="AC36" s="3">
        <f>5058.9+(147.3-758)+(-10.320156+(-0.300492--1.54632))+0-0-0</f>
        <v>4439.1256720000001</v>
      </c>
      <c r="AD36">
        <f t="shared" si="0"/>
        <v>104254.96648799998</v>
      </c>
      <c r="AE36" s="3">
        <f>6267+(154.8-1136.1)+(0+(0-0))+0-0-0</f>
        <v>5285.7</v>
      </c>
    </row>
    <row r="37" spans="1:31" s="2" customFormat="1" x14ac:dyDescent="0.25">
      <c r="A37">
        <v>89</v>
      </c>
      <c r="B37">
        <v>2</v>
      </c>
      <c r="C37">
        <v>6</v>
      </c>
      <c r="D37">
        <v>3</v>
      </c>
      <c r="E37">
        <v>1</v>
      </c>
      <c r="F37" s="3">
        <f>4961.8+(208.3-1134.5)+(-12.65259+(-0.531165--2.892975))+0-0-0</f>
        <v>4025.3092200000006</v>
      </c>
      <c r="G37" s="3">
        <f>4661.6+(260.9-1302.9)+(-9.509664+(-0.532236--2.657916))+0-0-0</f>
        <v>3612.2160160000003</v>
      </c>
      <c r="H37" s="3">
        <f>4579.5+(330.2-1478.1)+(-16.348815+(-1.178814--5.276817))+0-0-0</f>
        <v>3419.3491880000001</v>
      </c>
      <c r="I37" s="3">
        <f>4538.8+(329.2-1509.9)+(-4.629576+(-0.335784--1.540098))+0-0-0</f>
        <v>3354.6747380000002</v>
      </c>
      <c r="J37" s="3">
        <f>4388.4+(266.2-1317.9)+(-8.952336+(-0.543048--2.688516))+0-0-0</f>
        <v>3329.8931319999997</v>
      </c>
      <c r="K37" s="3">
        <f>4260.9+(310-1138.2)+(2.173059+(0.1581-0.580482))+0-0-0</f>
        <v>3434.4506769999998</v>
      </c>
      <c r="L37" s="3">
        <f>4249.8+(219.6-1043.5)+(-13.004388+(-0.671976--3.19311))+0-0-0</f>
        <v>3415.4167459999999</v>
      </c>
      <c r="M37" s="3">
        <f>4388.8+(238.5-801.2)+(-2.238288+(-0.121635--0.408612))+0-0-0</f>
        <v>3824.1486890000006</v>
      </c>
      <c r="N37" s="3">
        <f>4975.2+(235.9-848)+(-5.074704+(-0.240618--0.86496))+0-0-0</f>
        <v>4358.6496379999999</v>
      </c>
      <c r="O37" s="3">
        <f>5553.6+(230.9-1059.4)+(-11.329344+(-0.471036--2.161176))+0-0-0</f>
        <v>4715.4607960000003</v>
      </c>
      <c r="P37" s="3">
        <f>5886.2+(163.4-1085.3)+(0+(0-0))+0-0-0</f>
        <v>4964.3</v>
      </c>
      <c r="Q37" s="3">
        <f>5952+(190.7-993.1)+(-6.07104+(-0.194514--1.012962))+0-0-0</f>
        <v>5144.3474080000005</v>
      </c>
      <c r="R37" s="3">
        <f>5939+(286.2-1089.8)+(-6.05778+(-0.291924--1.111596))+0-0-0</f>
        <v>5130.1618920000001</v>
      </c>
      <c r="S37" s="3">
        <f>5698.5+(330.3-1104.1)+(-8.718705+(-0.505359--1.689273))+0-0-0</f>
        <v>4917.1652089999998</v>
      </c>
      <c r="T37" s="3">
        <f>5550.1+(470.1-1116.1)+(-11.322204+(-0.959004--2.276844))+0-0-0</f>
        <v>4894.095636</v>
      </c>
      <c r="U37" s="3">
        <f>5521.5+(514.6-1094.6)+(-8.447895+(-0.787338--1.674738))+0-0-0</f>
        <v>4933.9395050000003</v>
      </c>
      <c r="V37" s="3">
        <f>5499.7+(455.1-1146.7)+(-8.414541+(-0.696303--1.754451))+0-0-0</f>
        <v>4800.7436069999994</v>
      </c>
      <c r="W37" s="3">
        <f>5562.6+(314.5-1119.3)+(-5.673852+(-0.32079--1.141686))+0-0-0</f>
        <v>4752.9470440000005</v>
      </c>
      <c r="X37" s="3">
        <f>5468.8+(233.2-1007.3)+(-11.156352+(-0.475728--2.054892))+0-0-0</f>
        <v>4685.1228120000005</v>
      </c>
      <c r="Y37" s="3">
        <f>5549.1+(139.9-920.2)+(-5.660082+(-0.142698--0.938604))+0-0-0</f>
        <v>4763.9358240000001</v>
      </c>
      <c r="Z37" s="3">
        <f>6251.2+(152.6-1117.5)+(-9.564336+(-0.233478--1.709775))+0-0-0</f>
        <v>5278.211961</v>
      </c>
      <c r="AA37" s="3">
        <f>6179.6+(123.3-1087.7)+(0+(0-0))+0-0-0</f>
        <v>5215.2000000000007</v>
      </c>
      <c r="AB37" s="3">
        <f>5862.5+(88.5-1075.2)+(-8.969625+(-0.135405--1.645056))+0-0-0</f>
        <v>4868.3400259999999</v>
      </c>
      <c r="AC37" s="3">
        <f>5603+(109.8-1178.7)+(-5.71506+(-0.111996--1.202274))+0-0-0</f>
        <v>4529.4752180000005</v>
      </c>
      <c r="AD37">
        <f t="shared" si="0"/>
        <v>106367.554982</v>
      </c>
      <c r="AE37" s="3">
        <f>6307+(206.5-1220.9)+(0+(0-0))+0-0-0</f>
        <v>5292.6</v>
      </c>
    </row>
    <row r="38" spans="1:31" s="2" customFormat="1" x14ac:dyDescent="0.25">
      <c r="A38">
        <v>89</v>
      </c>
      <c r="B38">
        <v>2</v>
      </c>
      <c r="C38">
        <v>7</v>
      </c>
      <c r="D38">
        <v>4</v>
      </c>
      <c r="E38">
        <v>1</v>
      </c>
      <c r="F38" s="3">
        <f>5345.1+(88.1-1488.5)+(-10.904004+(-0.179724--3.03654))+0-0-0</f>
        <v>3936.6528120000003</v>
      </c>
      <c r="G38" s="3">
        <f>5142.6+(75.4-1665.7)+(-18.359082+(-0.269178--5.946549))+0-0-0</f>
        <v>3539.618289</v>
      </c>
      <c r="H38" s="3">
        <f>4959.5+(74.6-1666.6)+(-7.588035+(-0.114138--2.549898))+0-0-0</f>
        <v>3362.3477250000001</v>
      </c>
      <c r="I38" s="3">
        <f>4969.6+(82.9-1766.2)+(-5.068992+(-0.084558--1.801524))+0-0-0</f>
        <v>3282.9479740000002</v>
      </c>
      <c r="J38" s="3">
        <f>4981.1+(82.3-1773.1)+(-15.242166+(-0.251838--5.425686))+0-0-0</f>
        <v>3280.2316820000001</v>
      </c>
      <c r="K38" s="3">
        <f>4807.3+(122.3-1622.4)+(-4.903446+(-0.124746--1.654848))+0-0-0</f>
        <v>3303.8266559999997</v>
      </c>
      <c r="L38" s="3">
        <f>4743.4+(153.3-1435.9)+(-14.514804+(-0.469098--4.393854))+0-0-0</f>
        <v>3450.2099519999992</v>
      </c>
      <c r="M38" s="3">
        <f>4886.5+(172.2-1212.5)+(-7.476345+(-0.263466--1.855125))+0-0-0</f>
        <v>3840.3153139999999</v>
      </c>
      <c r="N38" s="3">
        <f>5275.1+(171.1-1080.3)+(-2.690301+(-0.087261--0.550953))+0-0-0</f>
        <v>4363.6733910000003</v>
      </c>
      <c r="O38" s="3">
        <f>5714.4+(265.2-1233.8)+(-8.743032+(-0.405756--1.887714))+0-0-0</f>
        <v>4738.5389259999993</v>
      </c>
      <c r="P38" s="3">
        <f>5819.3+(235.3-1069.8)+(-8.903529+(-0.360009--1.636794))+0-0-0</f>
        <v>4977.173256</v>
      </c>
      <c r="Q38" s="3">
        <f>5954.3+(288.4-1135)+(0+(0-0))+0-0-0</f>
        <v>5107.7</v>
      </c>
      <c r="R38" s="3">
        <f>6043.4+(430.1-1329.8)+(-9.246402+(-0.658053--2.034594))+0-0-0</f>
        <v>5135.8301389999997</v>
      </c>
      <c r="S38" s="3">
        <f>6059.5+(422.7-1545.9)+(0+(0-0))+0-0-0</f>
        <v>4936.3</v>
      </c>
      <c r="T38" s="3">
        <f>6028.4+(594.6-1634)+(-6.148968+(-0.606492--1.66668))+0-0-0</f>
        <v>4983.91122</v>
      </c>
      <c r="U38" s="3">
        <f>6046.1+(623.7-1706.7)+(-12.334044+(-1.272348--3.481668))+0-0-0</f>
        <v>4952.9752760000001</v>
      </c>
      <c r="V38" s="3">
        <f>5929+(604.2-1625.9)+(-9.07137+(-0.924426--2.487627))+0-0-0</f>
        <v>4899.7918310000005</v>
      </c>
      <c r="W38" s="3">
        <f>5851.9+(336.3-1331)+(-11.937876+(-0.686052--2.71524))+0-0-0</f>
        <v>4847.2913119999994</v>
      </c>
      <c r="X38" s="3">
        <f>5810+(213.8-1251.1)+(-8.8893+(-0.327114--1.914183))+0-0-0</f>
        <v>4765.3977690000002</v>
      </c>
      <c r="Y38" s="3">
        <f>5974.7+(91-1212.4)+(-12.188388+(-0.18564--2.473296))+0-0-0</f>
        <v>4843.3992679999992</v>
      </c>
      <c r="Z38" s="3">
        <f>6297.4+(76-1036.1)+(-6.423348+(-0.07752--1.056822))+0-0-0</f>
        <v>5331.8559539999997</v>
      </c>
      <c r="AA38" s="3">
        <f>6284.8+(113.6-1168)+(-12.820992+(-0.231744--2.38272))+0-0-0</f>
        <v>5219.7299839999996</v>
      </c>
      <c r="AB38" s="3">
        <f>6276.5+(193-1567)+(-6.40203+(-0.19686--1.59834))+0-0-0</f>
        <v>4897.4994500000003</v>
      </c>
      <c r="AC38" s="3">
        <f>6060.5+(258.1-1817.8)+(-6.18171+(-0.263262--1.854156))+0-0-0</f>
        <v>4496.2091840000003</v>
      </c>
      <c r="AD38">
        <f t="shared" si="0"/>
        <v>106493.427364</v>
      </c>
      <c r="AE38" s="3">
        <f>6270+(70.6-999.2)+(0+(0-0))+0-0-0</f>
        <v>5341.4</v>
      </c>
    </row>
    <row r="39" spans="1:31" s="2" customFormat="1" x14ac:dyDescent="0.25">
      <c r="A39">
        <v>89</v>
      </c>
      <c r="B39">
        <v>2</v>
      </c>
      <c r="C39">
        <v>8</v>
      </c>
      <c r="D39">
        <v>5</v>
      </c>
      <c r="E39">
        <v>1</v>
      </c>
      <c r="F39" s="3">
        <f>5471.1+(314.6-1826.8)+(-2.790261+(-0.160446--0.931668))+0-0-0</f>
        <v>3956.8809610000008</v>
      </c>
      <c r="G39" s="3">
        <f>5168.4+(128.2-1742.3)+(-2.635884+(-0.065382--0.888573))+0-0-0</f>
        <v>3552.4873069999999</v>
      </c>
      <c r="H39" s="3">
        <f>5158.3+(53.3-1840.9)+(-5.261466+(-0.054366--1.877718))+0-0-0</f>
        <v>3367.2618859999998</v>
      </c>
      <c r="I39" s="3">
        <f>4934.6+(62.1-1723.4)+(0+(0-0))+0-0-0</f>
        <v>3273.3</v>
      </c>
      <c r="J39" s="3">
        <f>4705.1+(80.4-1535.4)+(-4.799202+(-0.082008--1.566108))+0-0-0</f>
        <v>3246.7848980000003</v>
      </c>
      <c r="K39" s="3">
        <f>4330.3+(149.7-1178.1)+(-11.042265+(-0.381735--3.004155))+0-0-0</f>
        <v>3293.4801550000007</v>
      </c>
      <c r="L39" s="3">
        <f>4324.9+(140.6-1124.4)+(-6.617097+(-0.215118--1.720332))+0-0-0</f>
        <v>3335.9881169999994</v>
      </c>
      <c r="M39" s="3">
        <f>4699.8+(196.2-1154.1)+(0+(0-0))+0-0-0</f>
        <v>3741.9000000000005</v>
      </c>
      <c r="N39" s="3">
        <f>5317.8+(198.1-1192.1)+(-5.424156+(-0.202062--1.215942))+0-0-0</f>
        <v>4319.3897240000006</v>
      </c>
      <c r="O39" s="3">
        <f>5677+(184.3-1102.6)+(-2.89527+(-0.093993--0.562326))+0-0-0</f>
        <v>4756.2730629999996</v>
      </c>
      <c r="P39" s="3">
        <f>5815.9+(181.6-998.4)+(-8.898327+(-0.277848--1.527552))+0-0-0</f>
        <v>4991.4513769999994</v>
      </c>
      <c r="Q39" s="3">
        <f>5937.8+(308-1125.5)+(-9.084834+(-0.47124--1.722015))+0-0-0</f>
        <v>5112.4659410000004</v>
      </c>
      <c r="R39" s="3">
        <f>5931.2+(443.2-1250.2)+(-9.074736+(-0.678096--1.912806))+0-0-0</f>
        <v>5116.359974</v>
      </c>
      <c r="S39" s="3">
        <f>5820.7+(580.3-1443)+(-11.874228+(-1.183812--2.94372))+0-0-0</f>
        <v>4947.8856800000003</v>
      </c>
      <c r="T39" s="3">
        <f>5704.3+(700-1516.5)+(-2.909193+(-0.357--0.773415))+0-0-0</f>
        <v>4885.3072220000004</v>
      </c>
      <c r="U39" s="3">
        <f>6023.1+(725.5-1677)+(-3.071781+(-0.370005--0.85527))+0-0-0</f>
        <v>5069.0134840000001</v>
      </c>
      <c r="V39" s="3">
        <f>5855.5+(570.1-1508.4)+(-14.931525+(-1.453755--3.84642))+0-0-0</f>
        <v>4904.6611400000002</v>
      </c>
      <c r="W39" s="3">
        <f>5703.1+(342.4-1188.4)+(-11.634324+(-0.698496--2.424336))+0-0-0</f>
        <v>4847.1915160000008</v>
      </c>
      <c r="X39" s="3">
        <f>5444.6+(331.3-965.7)+(-11.106984+(-0.675852--1.970028))+0-0-0</f>
        <v>4800.3871920000011</v>
      </c>
      <c r="Y39" s="3">
        <f>5542.3+(299.2-882.7)+(-8.479719+(-0.457776--1.350531))+0-0-0</f>
        <v>4951.2130360000001</v>
      </c>
      <c r="Z39" s="3">
        <f>6190.1+(114.5-989.4)+(-9.470853+(-0.175185--1.513782))+0-0-0</f>
        <v>5307.0677440000009</v>
      </c>
      <c r="AA39" s="3">
        <f>6297.3+(80.8-1172.2)+(-6.423246+(-0.082416--1.195644))+0-0-0</f>
        <v>5200.5899819999995</v>
      </c>
      <c r="AB39" s="3">
        <f>6067.9+(127.6-1332.8)+(-12.378516+(-0.260304--2.718912))+0-0-0</f>
        <v>4852.780092</v>
      </c>
      <c r="AC39" s="3">
        <f>5865.2+(164.6-1561.6)+(-11.965008+(-0.335784--3.185664))+0-0-0</f>
        <v>4459.0848719999995</v>
      </c>
      <c r="AD39">
        <f t="shared" si="0"/>
        <v>106289.20536300002</v>
      </c>
      <c r="AE39" s="3">
        <f>6314+(99.1-1012.7)+(0+(0-0))+0-0-0</f>
        <v>5400.4</v>
      </c>
    </row>
    <row r="40" spans="1:31" s="2" customFormat="1" x14ac:dyDescent="0.25">
      <c r="A40">
        <v>89</v>
      </c>
      <c r="B40">
        <v>2</v>
      </c>
      <c r="C40">
        <v>9</v>
      </c>
      <c r="D40">
        <v>6</v>
      </c>
      <c r="E40">
        <v>1</v>
      </c>
      <c r="F40" s="3">
        <f>5726.1+(243.4-2021.1)+(-2.920311+(-0.124134--1.030761))+0-0-0</f>
        <v>3946.3863160000005</v>
      </c>
      <c r="G40" s="3">
        <f>5488.1+(281.2-2197.5)+(-8.396793+(-0.430236--3.362175))+0-0-0</f>
        <v>3566.3351460000003</v>
      </c>
      <c r="H40" s="3">
        <f>5280.9+(272.1-2186)+(8.079777+(0.416313-3.34458))+0-0-0</f>
        <v>3372.1515099999997</v>
      </c>
      <c r="I40" s="3">
        <f>5174.7+(255.3-2125.3)+(-7.917291+(-0.390609--3.251709))+0-0-0</f>
        <v>3299.6438089999997</v>
      </c>
      <c r="J40" s="3">
        <f>5130+(237.1-2104)+(2.6163+(0.120921-1.07304))+0-0-0</f>
        <v>3264.764181</v>
      </c>
      <c r="K40" s="3">
        <f>5078.8+(234.9-2023.8)+(-7.770564+(-0.359397--3.096414))+0-0-0</f>
        <v>3284.8664530000005</v>
      </c>
      <c r="L40" s="3">
        <f>4849.1+(230.8-1743.7)+(-9.892164+(-0.470832--3.557148))+0-0-0</f>
        <v>3329.3941520000003</v>
      </c>
      <c r="M40" s="3">
        <f>5004.2+(175.2-1589.6)+(-7.656426+(-0.268056--2.432088))+0-0-0</f>
        <v>3584.3076060000003</v>
      </c>
      <c r="N40" s="3">
        <f>5406.4+(252.3-1561)+(0+(0-0))+0-0-0</f>
        <v>4097.7</v>
      </c>
      <c r="O40" s="3">
        <f>5721.6+(404.8-1598.7)+(-2.918016+(-0.206448--0.815337))+0-0-0</f>
        <v>4525.3908730000003</v>
      </c>
      <c r="P40" s="3">
        <f>5838.4+(459-1478.2)+(-5.955168+(-0.46818--1.507764))+0-0-0</f>
        <v>4814.2844159999995</v>
      </c>
      <c r="Q40" s="3">
        <f>6021.1+(546.2-1535.7)+(0+(0-0))+0-0-0</f>
        <v>5031.6000000000004</v>
      </c>
      <c r="R40" s="3">
        <f>6100.1+(743.5-1799.6)+(-9.333153+(-1.137555--2.753388))+0-0-0</f>
        <v>5036.2826800000003</v>
      </c>
      <c r="S40" s="3">
        <f>6009.6+(889.1-1988.5)+(-6.129792+(-0.906882--2.02827))+0-0-0</f>
        <v>4905.1915960000006</v>
      </c>
      <c r="T40" s="3">
        <f>5858.9+(1036.1-2077)+(-2.988039+(-0.528411--1.05927))+0-0-0</f>
        <v>4815.5428199999997</v>
      </c>
      <c r="U40" s="3">
        <f>5742.1+(966.3-2048.6)+(-8.785413+(-1.478439--3.134358))+0-0-0</f>
        <v>4652.6705060000004</v>
      </c>
      <c r="V40" s="3">
        <f>5704+(901.2-2114.4)+(-5.81808+(-0.919224--2.156688))+0-0-0</f>
        <v>4486.219384</v>
      </c>
      <c r="W40" s="3">
        <f>5701.9+(524.9-1814.9)+(-20.355783+(-1.873893--6.479193))+0-0-0</f>
        <v>4396.1495169999998</v>
      </c>
      <c r="X40" s="3">
        <f>5463.9+(346.6-1427.3)+(0+(0-0))+0-0-0</f>
        <v>4383.2</v>
      </c>
      <c r="Y40" s="3">
        <f>5591.6+(335.3-1328.6)+(-5.703432+(-0.342006--1.355172))+0-0-0</f>
        <v>4593.6097340000006</v>
      </c>
      <c r="Z40" s="3">
        <f>6322.3+(304.8-1634.1)+(-16.121865+(-0.77724--4.166955))+0-0-0</f>
        <v>4980.2678500000002</v>
      </c>
      <c r="AA40" s="3">
        <f>6271.3+(361.2-1698.5)+(-6.396726+(-0.368424--1.73247))+0-0-0</f>
        <v>4928.9673199999997</v>
      </c>
      <c r="AB40" s="3">
        <f>6264.4+(397.9-1961.7)+(-12.779376+(-0.811716--4.001868))+0-0-0</f>
        <v>4691.0107759999992</v>
      </c>
      <c r="AC40" s="3">
        <f>6005.9+(407.7-2017)+(-3.063009+(-0.207927--1.02867))+0-0-0</f>
        <v>4394.3577339999993</v>
      </c>
      <c r="AD40">
        <f t="shared" si="0"/>
        <v>102380.29437900001</v>
      </c>
      <c r="AE40" s="3">
        <f>6304+(319.3-1670.6)+(0+(0-0))+0-0-0</f>
        <v>4952.7</v>
      </c>
    </row>
    <row r="41" spans="1:31" s="2" customFormat="1" x14ac:dyDescent="0.25">
      <c r="A41">
        <v>89</v>
      </c>
      <c r="B41">
        <v>2</v>
      </c>
      <c r="C41">
        <v>10</v>
      </c>
      <c r="D41">
        <v>7</v>
      </c>
      <c r="E41">
        <v>1</v>
      </c>
      <c r="F41" s="3">
        <f>5429.8+(457.2-1995.1)+(0+(0-0))+4-0-0</f>
        <v>3895.9000000000005</v>
      </c>
      <c r="G41" s="3">
        <f>5120.6+(531.9-2192.8)+(0+(0-0))+4.4-0-0</f>
        <v>3464.1000000000004</v>
      </c>
      <c r="H41" s="3">
        <f>5037+(317.9-2089.6)+(5.13774+(0.324258-2.131392))+0-0-0</f>
        <v>3268.6306060000002</v>
      </c>
      <c r="I41" s="3">
        <f>4890.3+(161-1939.4)+(-2.494053+(-0.08211--0.989094))+0-0-0</f>
        <v>3110.3129309999999</v>
      </c>
      <c r="J41" s="3">
        <f>4891.9+(152.1-1983)+(4.989738+(0.155142-2.02266))+0-0-0</f>
        <v>3064.1222199999997</v>
      </c>
      <c r="K41" s="3">
        <f>4822.3+(145.7-1908.5)+(-12.296865+(-0.371535--4.866675))+0-0-0</f>
        <v>3051.6982750000002</v>
      </c>
      <c r="L41" s="3">
        <f>4318.6+(203.1-1611.6)+(-11.01243+(-0.517905--4.10958))+0-0-0</f>
        <v>2902.6792450000003</v>
      </c>
      <c r="M41" s="3">
        <f>4133.3+(197.7-1472.9)+(-4.215966+(-0.201654--1.502358))+0-0-0</f>
        <v>2855.1847380000004</v>
      </c>
      <c r="N41" s="3">
        <f>4325.2+(185-1478.3)+(2.205852+(0.09435-0.753933))+0-0-0</f>
        <v>3033.4462689999996</v>
      </c>
      <c r="O41" s="3">
        <f>4694.7+(263.9-1608.3)+(-2.394297+(-0.134589--0.820233))+0-0-0</f>
        <v>3348.5913469999996</v>
      </c>
      <c r="P41" s="3">
        <f>5089.9+(364.3-1754.7)+(-5.191698+(-0.371586--1.789794))+0-0-0</f>
        <v>3695.7265099999995</v>
      </c>
      <c r="Q41" s="3">
        <f>5238.9+(551.5-1916.3)+(-8.015517+(-0.843795--2.931939))+0-0-0</f>
        <v>3868.1726269999995</v>
      </c>
      <c r="R41" s="3">
        <f>5261.6+(521.9-1894.7)+(2.683416+(0.266169-0.966297))+0-0-0</f>
        <v>3890.7832880000001</v>
      </c>
      <c r="S41" s="3">
        <f>5267.4+(693.5-2131.5)+(-5.372748+(-0.70737--2.17413))+0-0-0</f>
        <v>3825.4940119999997</v>
      </c>
      <c r="T41" s="3">
        <f>5219.4+(766.6-2253.6)+(7.985682+(1.172898-3.448008))+0-0-0</f>
        <v>3738.1105719999996</v>
      </c>
      <c r="U41" s="3">
        <f>4948.5+(667.2-1958.5)+(-7.571205+(-1.020816--2.996505))+0-0-0</f>
        <v>3651.604484</v>
      </c>
      <c r="V41" s="3">
        <f>4767.3+(630.7-1810.9)+(-7.293969+(-0.964971--2.770677))+0-0-0</f>
        <v>3581.6117370000002</v>
      </c>
      <c r="W41" s="3">
        <f>4653.8+(660.3-1681.4)+(-11.86719+(-1.683765--4.28757))+0-0-0</f>
        <v>3623.4366149999996</v>
      </c>
      <c r="X41" s="3">
        <f>4492.9+(422.5-1205.9)+(-11.456895+(-1.077375--3.075045))+0-0-0</f>
        <v>3700.0407749999995</v>
      </c>
      <c r="Y41" s="3">
        <f>4701.8+(219.9-1015.7)+(-2.397918+(-0.112149--0.518007))+0-0-0</f>
        <v>3904.00794</v>
      </c>
      <c r="Z41" s="3">
        <f>5600.3+(320.5-1292.2)+(-11.424612+(-0.65382--2.636088))+0-0-0</f>
        <v>4619.1576560000003</v>
      </c>
      <c r="AA41" s="3">
        <f>5528.8+(341.9-1258.3)+(-5.639376+(-0.348738--1.283466))+0-0-0</f>
        <v>4607.6953520000006</v>
      </c>
      <c r="AB41" s="3">
        <f>5229+(387.8-1171.8)+(-16.00074+(-1.186668--3.585708))+0-0-0</f>
        <v>4431.3982999999998</v>
      </c>
      <c r="AC41" s="3">
        <f>5171.1+(531.2-1596)+(-5.274522+(-0.541824--1.62792))+0-0-0</f>
        <v>4102.1115740000005</v>
      </c>
      <c r="AD41">
        <f t="shared" si="0"/>
        <v>87234.017072999981</v>
      </c>
      <c r="AE41" s="3">
        <f>5670+(336-1383.9)+(0+(0-0))+0-0-0</f>
        <v>4622.1000000000004</v>
      </c>
    </row>
    <row r="42" spans="1:31" s="2" customFormat="1" x14ac:dyDescent="0.25">
      <c r="A42">
        <v>89</v>
      </c>
      <c r="B42">
        <v>2</v>
      </c>
      <c r="C42">
        <v>11</v>
      </c>
      <c r="D42">
        <v>1</v>
      </c>
      <c r="E42">
        <v>1</v>
      </c>
      <c r="F42" s="3">
        <f>4879.5+(776.5-2028)+(-9.95418+(-1.58406--4.13712))+0-0-0</f>
        <v>3620.59888</v>
      </c>
      <c r="G42" s="3">
        <f>4486.2+(920.2-2146.7)+(-11.43981+(-2.34651--5.474085))+0-0-0</f>
        <v>3251.3877649999999</v>
      </c>
      <c r="H42" s="3">
        <f>4338.9+(861.2-2136.8)+(-4.425678+(-0.878424--2.179536))+0-0-0</f>
        <v>3060.1754339999993</v>
      </c>
      <c r="I42" s="3">
        <f>4278.7+(677.7-2003.1)+(-8.728548+(-1.382508--4.086324))+0-0-0</f>
        <v>2947.2752680000003</v>
      </c>
      <c r="J42" s="3">
        <f>4208.2+(503.8-1785.3)+(0+(0-0))+0-0-0</f>
        <v>2926.7</v>
      </c>
      <c r="K42" s="3">
        <f>4216.7+(468.7-1663.5)+(-2.150517+(-0.239037--0.848385))+0-0-0</f>
        <v>3020.3588309999996</v>
      </c>
      <c r="L42" s="3">
        <f>4028.3+(376-1270.4)+(-8.217732+(-0.76704--2.591616))+0-0-0</f>
        <v>3127.506844</v>
      </c>
      <c r="M42" s="3">
        <f>4277.1+(387.6-1141.3)+(-4.362642+(-0.395352--1.164126))+0-0-0</f>
        <v>3519.8061320000006</v>
      </c>
      <c r="N42" s="3">
        <f>4665.5+(298.9-883.7)+(-4.75881+(-0.304878--0.901374))+0-0-0</f>
        <v>4076.5376859999997</v>
      </c>
      <c r="O42" s="3">
        <f>4933.5+(245.8-576.8)+(-7.548255+(-0.376074--0.882504))+0-0-0</f>
        <v>4595.4581749999998</v>
      </c>
      <c r="P42" s="3">
        <f>5035+(356.8-437.6)+(-5.1357+(-0.363936--0.446352))+0-0-0</f>
        <v>4949.1467160000002</v>
      </c>
      <c r="Q42" s="3">
        <f>4964.9+(422.1-421)+(-2.532099+(-0.215271--0.21471))+0-0-0</f>
        <v>4963.4673400000001</v>
      </c>
      <c r="R42" s="3">
        <f>5160.2+(534-637.7)+(-13.15851+(-1.3617--1.626135))+0-0-0</f>
        <v>5043.6059249999998</v>
      </c>
      <c r="S42" s="3">
        <f>5249.9+(572.1-920.4)+(-5.354898+(-0.583542--0.938808))+0-0-0</f>
        <v>4896.6003679999994</v>
      </c>
      <c r="T42" s="3">
        <f>5172.1+(597.9-880.9)+(-2.637771+(-0.304929--0.449259))+0-0-0</f>
        <v>4886.6065590000007</v>
      </c>
      <c r="U42" s="3">
        <f>5053.7+(540.2-795.9)+(-12.886935+(-1.37751--2.029545))+0-0-0</f>
        <v>4785.7650999999996</v>
      </c>
      <c r="V42" s="3">
        <f>5011.9+(584.7-912.1)+(-12.780345+(-1.490985--2.325855))+0-0-0</f>
        <v>4672.5545249999996</v>
      </c>
      <c r="W42" s="3">
        <f>4774.4+(565.2-697.5)+(-7.304832+(-0.864756--1.067175))+0-0-0</f>
        <v>4634.9975869999998</v>
      </c>
      <c r="X42" s="3">
        <f>4682.5+(485.4-608.7)+(-7.164225+(-0.742662--0.931311))+0-0-0</f>
        <v>4552.224424</v>
      </c>
      <c r="Y42" s="3">
        <f>4817.8+(463.7-649.6)+(-2.457078+(-0.236487--0.331296))+0-0-0</f>
        <v>4629.5377310000003</v>
      </c>
      <c r="Z42" s="3">
        <f>5719+(473.6-1017.3)+(-11.66676+(-0.966144--2.075292))+0-0-0</f>
        <v>5164.7423880000006</v>
      </c>
      <c r="AA42" s="3">
        <f>6018+(511.2-1403.7)+(-6.13836+(-0.521424--1.431774))+0-0-0</f>
        <v>5120.2719900000002</v>
      </c>
      <c r="AB42" s="3">
        <f>5808.8+(499.7-1482.9)+(-5.924976+(-0.509694--1.512558))+0-0-0</f>
        <v>4820.6778880000002</v>
      </c>
      <c r="AC42" s="3">
        <f>5253.1+(451.7-1264.9)+(-8.037243+(-0.691101--1.935297))+0-0-0</f>
        <v>4433.1069530000004</v>
      </c>
      <c r="AD42">
        <f t="shared" si="0"/>
        <v>101699.11050900001</v>
      </c>
      <c r="AE42" s="3">
        <f>5967+(437.1-1192.5)+(0+(0-0))+0-0-0</f>
        <v>5211.6000000000004</v>
      </c>
    </row>
    <row r="43" spans="1:31" s="2" customFormat="1" x14ac:dyDescent="0.25">
      <c r="A43">
        <v>89</v>
      </c>
      <c r="B43">
        <v>2</v>
      </c>
      <c r="C43">
        <v>12</v>
      </c>
      <c r="D43">
        <v>2</v>
      </c>
      <c r="E43">
        <v>1</v>
      </c>
      <c r="F43" s="3">
        <f>4726.2+(683.6-1573)+(0+(0-0))+0-0-0</f>
        <v>3836.7999999999997</v>
      </c>
      <c r="G43" s="3">
        <f>4670.6+(690.4-1901.9)+(-2.382006+(-0.352104--0.969969))+0-0-0</f>
        <v>3457.3358590000003</v>
      </c>
      <c r="H43" s="3">
        <f>4574.8+(627.3-1922.3)+(0+(0-0))+0-0-0</f>
        <v>3279.8</v>
      </c>
      <c r="I43" s="3">
        <f>4483.7+(453-1743.1)+(-4.573374+(-0.46206--1.777962))+0-0-0</f>
        <v>3190.3425280000001</v>
      </c>
      <c r="J43" s="3">
        <f>4426.6+(426.7-1676)+(-2.257566+(-0.217617--0.85476))+0-0-0</f>
        <v>3175.6795770000003</v>
      </c>
      <c r="K43" s="3">
        <f>4401.6+(382.4-1532.1)+(-11.22408+(-0.97512--3.906855))+0-0-0</f>
        <v>3243.6076550000007</v>
      </c>
      <c r="L43" s="3">
        <f>4364.4+(255.6-1306.9)+(-4.451688+(-0.260712--1.333038))+0-0-0</f>
        <v>3309.7206379999993</v>
      </c>
      <c r="M43" s="3">
        <f>4568+(295.2-1131.8)+(0+(0-0))+0-0-0</f>
        <v>3731.4</v>
      </c>
      <c r="N43" s="3">
        <f>4974.9+(526.6-1166.4)+(-2.537199+(-0.268566--0.594864))+0-0-0</f>
        <v>4332.8890989999991</v>
      </c>
      <c r="O43" s="3">
        <f>4999.2+(557.8-798.8)+(0+(0-0))+0-0-0</f>
        <v>4758.2</v>
      </c>
      <c r="P43" s="3">
        <f>5054.5+(641.6-700.2)+(5.15559+(0.654432-0.714204))+0-0-0</f>
        <v>5000.9958179999994</v>
      </c>
      <c r="Q43" s="3">
        <f>5111.1+(737.9-741.5)+(-2.606661+(-0.376329--0.378165))+0-0-0</f>
        <v>5104.8951749999997</v>
      </c>
      <c r="R43" s="3">
        <f>5263.3+(599.5-709)+(-8.052849+(-0.917235--1.08477))+0-0-0</f>
        <v>5145.9146860000001</v>
      </c>
      <c r="S43" s="3">
        <f>5090.4+(598-641.1)+(-10.384416+(-1.21992--1.307844))+0-0-0</f>
        <v>5037.0035079999989</v>
      </c>
      <c r="T43" s="3">
        <f>5081.7+(597.6-611.8)+(2.591667+(0.304776-0.312018))+0-0-0</f>
        <v>5070.084425</v>
      </c>
      <c r="U43" s="3">
        <f>5047.4+(570.9-593.6)+(-7.722522+(-0.873477--0.908208))+0-0-0</f>
        <v>5017.0122089999995</v>
      </c>
      <c r="V43" s="3">
        <f>4864.5+(616.7-556.9)+(-14.88537+(-1.887102--1.704114))+0-0-0</f>
        <v>4909.2316419999997</v>
      </c>
      <c r="W43" s="3">
        <f>4877.5+(684.9-551.5)+(-2.487525+(-0.349299--0.281265))+0-0-0</f>
        <v>5008.3444409999993</v>
      </c>
      <c r="X43" s="3">
        <f>4891.6+(723.1-542.2)+(-7.484148+(-1.106343--0.829566))+0-0-0</f>
        <v>5064.7390750000004</v>
      </c>
      <c r="Y43" s="3">
        <f>5170.7+(615.6-623.8)+(-5.274114+(-0.627912--0.636276))+0-0-0</f>
        <v>5157.2342500000004</v>
      </c>
      <c r="Z43" s="3">
        <f>5636.6+(534.1-836.2)+(-20.122662+(-1.906737--2.985234))+0-0-0</f>
        <v>5315.4558349999998</v>
      </c>
      <c r="AA43" s="3">
        <f>5527.5+(569.7-940.1)+(-11.2761+(-1.162188--1.917804))+0-0-0</f>
        <v>5146.5795160000007</v>
      </c>
      <c r="AB43" s="3">
        <f>5384.6+(518.6-1096.2)+(-13.73073+(-1.32243--2.79531))+0-0-0</f>
        <v>4794.74215</v>
      </c>
      <c r="AC43" s="3">
        <f>5036.3+(533.7-1183.8)+(-12.842565+(-1.360935--3.01869))+0-0-0</f>
        <v>4375.015190000001</v>
      </c>
      <c r="AD43">
        <f t="shared" si="0"/>
        <v>106463.02327599999</v>
      </c>
      <c r="AE43" s="3">
        <f>5625+(575-893.3)+(0+(0-0))+0-0-0</f>
        <v>5306.7</v>
      </c>
    </row>
    <row r="44" spans="1:31" s="2" customFormat="1" x14ac:dyDescent="0.25">
      <c r="A44">
        <v>89</v>
      </c>
      <c r="B44">
        <v>2</v>
      </c>
      <c r="C44">
        <v>13</v>
      </c>
      <c r="D44">
        <v>3</v>
      </c>
      <c r="E44">
        <v>1</v>
      </c>
      <c r="F44" s="3">
        <f>4591.9+(425-1187.9)+(-14.051214+(-1.3005--3.634974))+0-0-0</f>
        <v>3817.2832599999997</v>
      </c>
      <c r="G44" s="3">
        <f>4488.9+(172.8-1179)+(-16.025373+(-0.616896--4.20903))+0-0-0</f>
        <v>3470.2667609999999</v>
      </c>
      <c r="H44" s="3">
        <f>4403.6+(197.2-1276.2)+(-2.245836+(-0.100572--0.650862))+0-0-0</f>
        <v>3322.9044540000004</v>
      </c>
      <c r="I44" s="3">
        <f>4310.5+(192.1-1268.1)+(-2.198355+(-0.097971--0.646731))+0-0-0</f>
        <v>3232.8504050000001</v>
      </c>
      <c r="J44" s="3">
        <f>4202.6+(177-1157.7)+(-4.286652+(-0.18054--1.180854))+0-0-0</f>
        <v>3218.6136620000007</v>
      </c>
      <c r="K44" s="3">
        <f>4213.3+(145.7-1081.7)+(-10.743915+(-0.371535--2.758335))+0-0-0</f>
        <v>3268.9428850000004</v>
      </c>
      <c r="L44" s="3">
        <f>4167.9+(103.3-907.4)+(-12.753774+(-0.316098--2.776644))+0-0-0</f>
        <v>3353.5067719999997</v>
      </c>
      <c r="M44" s="3">
        <f>4142.1+(267.4-655.3)+(2.112471+(0.136374-0.334203))+0-0-0</f>
        <v>3756.1146420000005</v>
      </c>
      <c r="N44" s="3">
        <f>4599+(373.1-688.7)+(0+(0-0))+0-0-0</f>
        <v>4283.3999999999996</v>
      </c>
      <c r="O44" s="3">
        <f>4815.6+(586.5-717.8)+(-7.367868+(-0.897345--1.098234))+0-0-0</f>
        <v>4677.1330210000006</v>
      </c>
      <c r="P44" s="3">
        <f>4760.7+(790.8-650.3)+(0+(0-0))+0-0-0</f>
        <v>4901.2</v>
      </c>
      <c r="Q44" s="3">
        <f>4783.3+(924.5-641.2)+(-9.757932+(-1.88598--1.308048))+0-0-0</f>
        <v>5056.2641360000007</v>
      </c>
      <c r="R44" s="3">
        <f>4816.9+(885.8-585.2)+(-2.456619+(-0.451758--0.298452))+0-0-0</f>
        <v>5114.8900750000003</v>
      </c>
      <c r="S44" s="3">
        <f>4764.1+(681.8-574.6)+(-9.718764+(-1.390872--1.172184))+0-0-0</f>
        <v>4861.3625480000001</v>
      </c>
      <c r="T44" s="3">
        <f>4815.5+(648.1-537)+(-9.82362+(-1.322124--1.09548))+0-0-0</f>
        <v>4916.5497359999999</v>
      </c>
      <c r="U44" s="3">
        <f>4864.6+(537.4-523.8)+(-7.442838+(-0.822222--0.801414))+0-0-0</f>
        <v>4870.7363540000006</v>
      </c>
      <c r="V44" s="3">
        <f>4857.3+(461.5-496.6)+(-7.431669+(-0.706095--0.759798))+0-0-0</f>
        <v>4814.8220339999998</v>
      </c>
      <c r="W44" s="3">
        <f>4757+(530.8-554.2)+(0+(0-0))+0-0-0</f>
        <v>4733.6000000000004</v>
      </c>
      <c r="X44" s="3">
        <f>4412.3+(741.4-521.9)+(-9.001092+(-1.512456--1.064676))+0-0-0</f>
        <v>4622.3511280000002</v>
      </c>
      <c r="Y44" s="3">
        <f>4569+(698.5-598.5)+(2.33019+(0.356235-0.305235))+0-0-0</f>
        <v>4671.3811900000001</v>
      </c>
      <c r="Z44" s="3">
        <f>5140+(726.1-657.6)+(-13.107+(-1.851555--1.67688))+0-0-0</f>
        <v>5195.2183249999998</v>
      </c>
      <c r="AA44" s="3">
        <f>5193.2+(678.6-691.9)+(-13.24266+(-1.73043--1.764345))+0-0-0</f>
        <v>5166.6912549999997</v>
      </c>
      <c r="AB44" s="3">
        <f>5017.6+(505.8-660.4)+(-2.558976+(-0.257958--0.336804))+0-0-0</f>
        <v>4860.5198700000001</v>
      </c>
      <c r="AC44" s="3">
        <f>4831.4+(308.9-667.2)+(-2.464014+(-0.157539--0.340272))+0-0-0</f>
        <v>4470.8187189999999</v>
      </c>
      <c r="AD44">
        <f t="shared" si="0"/>
        <v>104657.42123199999</v>
      </c>
      <c r="AE44" s="3">
        <f>5231+(722.4-722)+(0+(0-0))+0-0-0</f>
        <v>5231.3999999999996</v>
      </c>
    </row>
    <row r="45" spans="1:31" s="2" customFormat="1" x14ac:dyDescent="0.25">
      <c r="A45">
        <v>89</v>
      </c>
      <c r="B45">
        <v>2</v>
      </c>
      <c r="C45">
        <v>14</v>
      </c>
      <c r="D45">
        <v>4</v>
      </c>
      <c r="E45">
        <v>1</v>
      </c>
      <c r="F45" s="3">
        <f>4604.8+(230.4-918.8)+(-9.393792+(-0.470016--1.874352))+0-0-0</f>
        <v>3908.4105440000003</v>
      </c>
      <c r="G45" s="3">
        <f>4381.6+(320.5-1146.3)+(-8.938464+(-0.65382--2.338452))+0-0-0</f>
        <v>3548.5461680000003</v>
      </c>
      <c r="H45" s="3">
        <f>4340.7+(370.4-1363.3)+(-6.641271+(-0.566712--2.085849))+0-0-0</f>
        <v>3342.6778659999995</v>
      </c>
      <c r="I45" s="3">
        <f>4324.4+(423-1493.1)+(2.205444+(0.21573-0.761481))+0-0-0</f>
        <v>3255.9596929999998</v>
      </c>
      <c r="J45" s="3">
        <f>4342.2+(379.9-1492.4)+(8.858088+(0.774996-3.044496))+0-0-0</f>
        <v>3236.2885879999999</v>
      </c>
      <c r="K45" s="3">
        <f>4329.3+(389.5-1437.3)+(-2.207943+(-0.198645--0.733023))+0-0-0</f>
        <v>3279.8264349999999</v>
      </c>
      <c r="L45" s="3">
        <f>4090.9+(370.5-1082.3)+(-10.431795+(-0.944775--2.759865))+0-0-0</f>
        <v>3370.4832950000005</v>
      </c>
      <c r="M45" s="3">
        <f>4156.4+(595.1-955.6)+(0+(0-0))+0-0-0</f>
        <v>3795.8999999999996</v>
      </c>
      <c r="N45" s="3">
        <f>4595.4+(603.8-868.1)+(-4.687308+(-0.615876--0.885462))+0-0-0</f>
        <v>4326.6822779999993</v>
      </c>
      <c r="O45" s="3">
        <f>4630.4+(663.8-562.3)+(4.723008+(0.677076-0.573546))+0-0-0</f>
        <v>4736.7265379999999</v>
      </c>
      <c r="P45" s="3">
        <f>4754.2+(743.6-508.7)+(-7.273926+(-1.137708--0.778311))+0-0-0</f>
        <v>4981.4666769999994</v>
      </c>
      <c r="Q45" s="3">
        <f>4989.9+(654-513.9)+(-5.089698+(-0.66708--0.524178))+0-0-0</f>
        <v>5124.7673999999997</v>
      </c>
      <c r="R45" s="3">
        <f>5084.5+(639.7-602.4)+(-10.37238+(-1.304988--1.228896))+0-0-0</f>
        <v>5111.3515280000001</v>
      </c>
      <c r="S45" s="3">
        <f>5148.3+(717.1-956.3)+(0+(0-0))+0-0-0</f>
        <v>4909.1000000000004</v>
      </c>
      <c r="T45" s="3">
        <f>5200.8+(764.3-985.8)+(5.304816+(0.779586-1.005516))+0-0-0</f>
        <v>4984.3788860000004</v>
      </c>
      <c r="U45" s="3">
        <f>5287.7+(855.3-1227.2)+(-2.696727+(-0.436203--0.625872))+0-0-0</f>
        <v>4913.2929419999991</v>
      </c>
      <c r="V45" s="3">
        <f>5344.9+(900.9-1380.5)+(-5.451798+(-0.918918--1.40811))+0-0-0</f>
        <v>4860.3373939999992</v>
      </c>
      <c r="W45" s="3">
        <f>5250.9+(913.7-1376.9)+(-10.711836+(-1.863948--2.808876))+0-0-0</f>
        <v>4777.9330920000002</v>
      </c>
      <c r="X45" s="3">
        <f>5026.1+(627.4-981.7)+(-12.816555+(-1.59987--2.503335))+0-0-0</f>
        <v>4659.8869100000002</v>
      </c>
      <c r="Y45" s="3">
        <f>5021+(779.9-1122.3)+(-5.12142+(-0.795498--1.144746))+0-0-0</f>
        <v>4673.8278280000004</v>
      </c>
      <c r="Z45" s="3">
        <f>6093.6+(538.4-1383.1)+(-12.430944+(-1.098336--2.821524))+0-0-0</f>
        <v>5238.1922440000008</v>
      </c>
      <c r="AA45" s="3">
        <f>5885.5+(622.2-1269.2)+(-6.00321+(-0.634644--1.294584))+0-0-0</f>
        <v>5233.1567299999997</v>
      </c>
      <c r="AB45" s="3">
        <f>5801+(396.2-1328)+(-8.87553+(-0.606186--2.03184))+0-0-0</f>
        <v>4861.7501240000001</v>
      </c>
      <c r="AC45" s="3">
        <f>5420+(418.5-1351.7)+(-5.5284+(-0.42687--1.378734))+0-0-0</f>
        <v>4482.2234640000006</v>
      </c>
      <c r="AD45">
        <f t="shared" si="0"/>
        <v>105613.16662399999</v>
      </c>
      <c r="AE45" s="3">
        <f>6118+(572-1381)+(0+(0-0))+0-0-0</f>
        <v>5309</v>
      </c>
    </row>
    <row r="46" spans="1:31" s="2" customFormat="1" x14ac:dyDescent="0.25">
      <c r="A46">
        <v>89</v>
      </c>
      <c r="B46">
        <v>2</v>
      </c>
      <c r="C46">
        <v>15</v>
      </c>
      <c r="D46">
        <v>5</v>
      </c>
      <c r="E46">
        <v>1</v>
      </c>
      <c r="F46" s="3">
        <f>4678.2+(677.9-1477.8)+(-2.385882+(-0.345729--0.753678))+0-0-0</f>
        <v>3876.3220669999996</v>
      </c>
      <c r="G46" s="3">
        <f>4635.1+(643.1-1736.9)+(-7.091703+(-0.983943--2.657457))+0-0-0</f>
        <v>3535.8818110000002</v>
      </c>
      <c r="H46" s="3">
        <f>4645.6+(516.5-1796.6)+(-4.738512+(-0.52683--1.832532))+0-0-0</f>
        <v>3362.0671900000007</v>
      </c>
      <c r="I46" s="3">
        <f>4543.5+(451.3-1727.9)+(-9.26874+(-0.920652--3.524916))+0-0-0</f>
        <v>3260.2355239999997</v>
      </c>
      <c r="J46" s="3">
        <f>4299+(500.1-1554.7)+(2.19249+(0.255051-0.792897))+0-0-0</f>
        <v>3246.0546440000003</v>
      </c>
      <c r="K46" s="3">
        <f>4307.7+(551.5-1560.8)+(2.196927+(0.281265-0.796008))+0-0-0</f>
        <v>3300.0821839999994</v>
      </c>
      <c r="L46" s="3">
        <f>4069.5+(512-1204.9)+(-8.30178+(-1.04448--2.457996))+0-0-0</f>
        <v>3369.7117359999997</v>
      </c>
      <c r="M46" s="3">
        <f>4241.5+(576.3-1023.2)+(0+(0-0))+0-0-0</f>
        <v>3794.6</v>
      </c>
      <c r="N46" s="3">
        <f>4712.7+(622-1029.3)+(-2.403477+(-0.31722--0.524943))+0-0-0</f>
        <v>4303.2042459999993</v>
      </c>
      <c r="O46" s="3">
        <f>4921.3+(515.9-724.7)+(0+(0-0))+0-0-0</f>
        <v>4712.5</v>
      </c>
      <c r="P46" s="3">
        <f>4975+(707.9-694.1)+(-5.0745+(-0.722058--0.707982))+0-0-0</f>
        <v>4983.7114240000001</v>
      </c>
      <c r="Q46" s="3">
        <f>4996.1+(726.1-609.8)+(-5.096022+(-0.740622--0.621996))+0-0-0</f>
        <v>5107.1853520000004</v>
      </c>
      <c r="R46" s="3">
        <f>5022.1+(708-592.9)+(-5.122542+(-0.72216--0.604758))+0-0-0</f>
        <v>5131.9600560000008</v>
      </c>
      <c r="S46" s="3">
        <f>5006+(806.4-883.3)+(2.55306+(0.411264-0.450483))+0-0-0</f>
        <v>4931.6138410000003</v>
      </c>
      <c r="T46" s="3">
        <f>5019.1+(830.7-886.4)+(7.679223+(1.270971-1.356192))+0-0-0</f>
        <v>4970.9940020000004</v>
      </c>
      <c r="U46" s="3">
        <f>5085.6+(772.9-962.9)+(-5.187312+(-0.788358--0.982158))+0-0-0</f>
        <v>4890.6064880000004</v>
      </c>
      <c r="V46" s="3">
        <f>5005+(599.9-759.9)+(-7.65765+(-0.917847--1.162647))+0-0-0</f>
        <v>4837.5871500000003</v>
      </c>
      <c r="W46" s="3">
        <f>4829.7+(511.3-578.8)+(-7.389441+(-0.782289--0.885564))+0-0-0</f>
        <v>4754.913834</v>
      </c>
      <c r="X46" s="3">
        <f>4894.2+(333.4-554.2)+(-12.48021+(-0.85017--1.41321))+0-0-0</f>
        <v>4661.4828299999999</v>
      </c>
      <c r="Y46" s="3">
        <f>5163.3+(372.5-720.3)+(-5.266566+(-0.37995--0.734706))+0-0-0</f>
        <v>4810.5881900000004</v>
      </c>
      <c r="Z46" s="3">
        <f>5413.3+(429.8-563.5)+(-2.760783+(-0.219198--0.287385))+0-0-0</f>
        <v>5276.9074040000005</v>
      </c>
      <c r="AA46" s="3">
        <f>5450.2+(426.7-702)+(-13.89801+(-1.088085--1.7901))+0-0-0</f>
        <v>5161.7040049999996</v>
      </c>
      <c r="AB46" s="3">
        <f>5285.7+(274-718.1)+(-5.391414+(-0.27948--0.732462))+0-0-0</f>
        <v>4836.6615679999995</v>
      </c>
      <c r="AC46" s="3">
        <f>5201+(290.9-882.5)+(-7.95753+(-0.445077--1.350225))+0-0-0</f>
        <v>4602.3476179999998</v>
      </c>
      <c r="AD46">
        <f t="shared" si="0"/>
        <v>105718.92316399999</v>
      </c>
      <c r="AE46" s="3">
        <f>5440+(516.4-613.5)+(0+(0-0))+0-0-0</f>
        <v>5342.9</v>
      </c>
    </row>
    <row r="47" spans="1:31" s="2" customFormat="1" x14ac:dyDescent="0.25">
      <c r="A47">
        <v>89</v>
      </c>
      <c r="B47">
        <v>2</v>
      </c>
      <c r="C47">
        <v>16</v>
      </c>
      <c r="D47">
        <v>6</v>
      </c>
      <c r="E47">
        <v>1</v>
      </c>
      <c r="F47" s="3">
        <f>4776.6+(355.9-1272.9)+(0+(0-0))+0-0-0</f>
        <v>3859.6000000000004</v>
      </c>
      <c r="G47" s="3">
        <f>4803.5+(327.1-1621.1)+(0+(0-0))+0-0-0</f>
        <v>3509.5</v>
      </c>
      <c r="H47" s="3">
        <f>4668.7+(330.6-1656.9)+(0+(0-0))+0-0-0</f>
        <v>3342.3999999999996</v>
      </c>
      <c r="I47" s="3">
        <f>4505+(340.7-1626.6)+(0+(0-0))+0-0-0</f>
        <v>3219.1000000000004</v>
      </c>
      <c r="J47" s="3">
        <f>4355.4+(367.2-1544.6)+(0+(0-0))+0-0-0</f>
        <v>3178</v>
      </c>
      <c r="K47" s="3">
        <f>4287.8+(300.7-1371.4)+(0+(0-0))+0-0-0</f>
        <v>3217.1000000000004</v>
      </c>
      <c r="L47" s="3">
        <f>4283.1+(369.8-1369)+(0+(0-0))+0-0-0</f>
        <v>3283.9000000000005</v>
      </c>
      <c r="M47" s="3">
        <f>4423.2+(547.4-1380.3)+(0+(0-0))+0-0-0</f>
        <v>3590.2999999999997</v>
      </c>
      <c r="N47" s="3">
        <f>4810.8+(579.6-1254.2)+(0+(0-0))+0-0-0</f>
        <v>4136.2</v>
      </c>
      <c r="O47" s="3">
        <f>5286.9+(267.9-1007.2)+(0+(0-0))+0-0-0</f>
        <v>4547.5999999999995</v>
      </c>
      <c r="P47" s="3">
        <f>5336.8+(324.9-900.7)+(0+(0-0))+0-0-0</f>
        <v>4761</v>
      </c>
      <c r="Q47" s="3">
        <f>5703.5+(328.6-1133.2)+(0+(0-0))+0-0-0</f>
        <v>4898.8999999999996</v>
      </c>
      <c r="R47" s="3">
        <f>5768.8+(306.1-1224.8)+(2.942088+(0.156111-0.624648))+0-0-0</f>
        <v>4852.5735510000004</v>
      </c>
      <c r="S47" s="3">
        <f>5749.3+(377-1490.1)+(0+(0-0))+0-0-0</f>
        <v>4636.2000000000007</v>
      </c>
      <c r="T47" s="3">
        <f>5734.5+(430-1600.5)+(-5.84919+(-0.4386--1.63251))+0-0-0</f>
        <v>4559.3447200000001</v>
      </c>
      <c r="U47" s="3">
        <f>5745.8+(465.8-1728)+(-8.791074+(-0.712674--2.64384))+0-0-0</f>
        <v>4476.740092</v>
      </c>
      <c r="V47" s="3">
        <f>5728.8+(575.8-1877)+(-14.60844+(-1.46829--4.78635))+0-0-0</f>
        <v>4416.30962</v>
      </c>
      <c r="W47" s="3">
        <f>5571.4+(548.7-1728.5)+(-8.524242+(-0.839511--2.644605))+0-0-0</f>
        <v>4384.8808519999993</v>
      </c>
      <c r="X47" s="3">
        <f>5545.1+(601.3-1764.4)+(-5.656002+(-0.613326--1.799688))+0-0-0</f>
        <v>4377.5303599999997</v>
      </c>
      <c r="Y47" s="3">
        <f>5618.7+(515.1-1654.6)+(-5.731074+(-0.525402--1.687692))+0-0-0</f>
        <v>4474.6312159999998</v>
      </c>
      <c r="Z47" s="3">
        <f>5937.8+(461.8-1383.5)+(-9.084834+(-0.706554--2.116755))+0-0-0</f>
        <v>5008.4253670000007</v>
      </c>
      <c r="AA47" s="3">
        <f>5941.9+(400.4-1338.6)+(-12.121476+(-0.816816--2.730744))+0-0-0</f>
        <v>4993.4924519999995</v>
      </c>
      <c r="AB47" s="3">
        <f>5623.6+(501.4-1393.1)+(2.868036+(0.255714-0.710481))+0-0-0</f>
        <v>4734.3132690000002</v>
      </c>
      <c r="AC47" s="3">
        <f>5428.2+(613.9-1670.9)+(-5.536764+(-0.626178--1.704318))+0-0-0</f>
        <v>4366.7413759999999</v>
      </c>
      <c r="AD47">
        <f t="shared" si="0"/>
        <v>100824.78287500002</v>
      </c>
      <c r="AE47" s="3">
        <f>5962+(423.8-1369.2)+(0+(0-0))+0-0-0</f>
        <v>5016.6000000000004</v>
      </c>
    </row>
    <row r="48" spans="1:31" s="2" customFormat="1" x14ac:dyDescent="0.25">
      <c r="A48">
        <v>89</v>
      </c>
      <c r="B48">
        <v>2</v>
      </c>
      <c r="C48">
        <v>17</v>
      </c>
      <c r="D48">
        <v>7</v>
      </c>
      <c r="E48">
        <v>1</v>
      </c>
      <c r="F48" s="3">
        <f>5182.2+(673.5-1917.2)+(-5.285844+(-0.68697--1.955544))+0-0-0</f>
        <v>3934.4827300000002</v>
      </c>
      <c r="G48" s="3">
        <f>5167.7+(648.4-2249.2)+(-7.906581+(-0.992052--3.441276))+0-0-0</f>
        <v>3561.4426430000003</v>
      </c>
      <c r="H48" s="3">
        <f>5073+(639.4-2384.2)+(-10.34892+(-1.304376--4.863768))+0-0-0</f>
        <v>3321.4104720000005</v>
      </c>
      <c r="I48" s="3">
        <f>4789.8+(668.5-2267)+(-2.442798+(-0.340935--1.15617))+0-0-0</f>
        <v>3189.6724370000002</v>
      </c>
      <c r="J48" s="3">
        <f>4696.7+(488.7-2042.6)+(-7.185951+(-0.747711--3.125178))+0-0-0</f>
        <v>3137.991516</v>
      </c>
      <c r="K48" s="3">
        <f>4679.8+(504.3-2059.4)+(0+(0-0))+0-0-0</f>
        <v>3124.7</v>
      </c>
      <c r="L48" s="3">
        <f>4366.4+(485.6-1895.2)+(-8.907456+(-0.990624--3.866208))+0-0-0</f>
        <v>2950.7681279999997</v>
      </c>
      <c r="M48" s="3">
        <f>4419.4+(500.1-1959.9)+(-4.507788+(-0.510102--1.999098))+0-0-0</f>
        <v>2956.5812079999996</v>
      </c>
      <c r="N48" s="3">
        <f>4875.3+(458.1-2153)+(-7.459209+(-0.700893--3.29409))+0-0-0</f>
        <v>3175.5339880000001</v>
      </c>
      <c r="O48" s="3">
        <f>5003+(420-1935.6)+(0+(0-0))+0-0-0</f>
        <v>3487.4</v>
      </c>
      <c r="P48" s="3">
        <f>5068.5+(469-1762.7)+(-2.584935+(-0.23919--0.898977))+0-0-0</f>
        <v>3772.8748520000004</v>
      </c>
      <c r="Q48" s="3">
        <f>5140.8+(529.5-1727.7)+(0+(0-0))+0-0-0</f>
        <v>3942.6000000000004</v>
      </c>
      <c r="R48" s="3">
        <f>5116+(607.9-1775.7)+(0+(0-0))+0-0-0</f>
        <v>3948.2</v>
      </c>
      <c r="S48" s="3">
        <f>5035.4+(599.1-1753.4)+(0+(0-0))+0-0-0</f>
        <v>3881.0999999999995</v>
      </c>
      <c r="T48" s="3">
        <f>4940.6+(714.3-1860.7)+(0+(0-0))+0-0-0</f>
        <v>3794.2000000000003</v>
      </c>
      <c r="U48" s="3">
        <f>4945+(777.8-2023.2)+(0+(0-0))+0-0-0</f>
        <v>3699.6</v>
      </c>
      <c r="V48" s="3">
        <f>4954.9+(707.7-2016.7)+(-12.634995+(-1.804635--5.142585))+0-0-0</f>
        <v>3636.6029549999998</v>
      </c>
      <c r="W48" s="3">
        <f>4966.9+(835.3-2107.1)+(-7.599357+(-1.278009--3.223863))+0-0-0</f>
        <v>3689.4464969999995</v>
      </c>
      <c r="X48" s="3">
        <f>4868.5+(745.2-1917.4)+(-4.96587+(-0.760104--1.955748))+0-0-0</f>
        <v>3692.5297740000001</v>
      </c>
      <c r="Y48" s="3">
        <f>4955.2+(611.8-1662.7)+(-5.054304+(-0.624036--1.695954))+0-0-0</f>
        <v>3900.3176139999996</v>
      </c>
      <c r="Z48" s="3">
        <f>5492.8+(650.7-1626)+(-14.00664+(-1.659285--4.1463))+0-0-0</f>
        <v>4505.9803750000001</v>
      </c>
      <c r="AA48" s="3">
        <f>5608+(707.6-1780.2)+(-5.72016+(-0.721752--1.815804))+0-0-0</f>
        <v>4530.7738919999993</v>
      </c>
      <c r="AB48" s="3">
        <f>5432.2+(624.5-1767)+(-8.311266+(-0.955485--2.70351))+0-0-0</f>
        <v>4283.136759</v>
      </c>
      <c r="AC48" s="3">
        <f>5077.7+(590.2-1642.7)+(-2.589627+(-0.301002--0.837777))+0-0-0</f>
        <v>4023.147148</v>
      </c>
      <c r="AD48">
        <f t="shared" si="0"/>
        <v>88140.492987999998</v>
      </c>
      <c r="AE48" s="3">
        <f>5701+(643.5-1698.4)+(0+(0-0))+0-0-0</f>
        <v>4646.1000000000004</v>
      </c>
    </row>
    <row r="49" spans="1:31" s="2" customFormat="1" x14ac:dyDescent="0.25">
      <c r="A49">
        <v>89</v>
      </c>
      <c r="B49">
        <v>2</v>
      </c>
      <c r="C49">
        <v>18</v>
      </c>
      <c r="D49">
        <v>1</v>
      </c>
      <c r="E49">
        <v>1</v>
      </c>
      <c r="F49" s="3">
        <f>4942.3+(323-1669.3)+(-7.561719+(-0.49419--2.554029))+0-0-0</f>
        <v>3590.4981200000002</v>
      </c>
      <c r="G49" s="3">
        <f>4712.6+(292.8-1750.5)+(-2.403426+(-0.149328--0.892755))+0-0-0</f>
        <v>3253.2400010000006</v>
      </c>
      <c r="H49" s="3">
        <f>4387+(318.2-1680.7)+(-4.47474+(-0.324564--1.714314))+0-0-0</f>
        <v>3021.4150100000002</v>
      </c>
      <c r="I49" s="3">
        <f>4370.5+(297.5-1671.1)+(-2.228955+(-0.151725--0.852261))+0-0-0</f>
        <v>2995.3715809999999</v>
      </c>
      <c r="J49" s="3">
        <f>4471.4+(304.5-1774)+(2.280414+(0.155295-0.90474))+0-0-0</f>
        <v>3003.4309689999995</v>
      </c>
      <c r="K49" s="3">
        <f>4516.4+(348.4-1784.9)+(-4.606728+(-0.355368--1.820598))+0-0-0</f>
        <v>3076.7585019999997</v>
      </c>
      <c r="L49" s="3">
        <f>4548.6+(263.3-1621.2)+(-2.319786+(-0.134283--0.826812))+0-0-0</f>
        <v>3189.0727430000002</v>
      </c>
      <c r="M49" s="3">
        <f>4764.9+(305.7-1398.9)+(0+(0-0))+0-0-0</f>
        <v>3671.7</v>
      </c>
      <c r="N49" s="3">
        <f>5025.7+(591.9-1366.4)+(-7.689321+(-0.905607--2.090592))+0-0-0</f>
        <v>4244.6956639999999</v>
      </c>
      <c r="O49" s="3">
        <f>5260.9+(602.3-1289)+(0+(0-0))+0-0-0</f>
        <v>4574.2</v>
      </c>
      <c r="P49" s="3">
        <f>5537.5+(619.8-1279.7)+(-5.64825+(-0.632196--1.305294))+0-0-0</f>
        <v>4872.6248480000004</v>
      </c>
      <c r="Q49" s="3">
        <f>5940.3+(627.4-1432.2)+(-6.059106+(-0.639948--1.460844))+0-0-0</f>
        <v>5130.2617899999996</v>
      </c>
      <c r="R49" s="3">
        <f>6025.4+(700.1-1582.7)+(-3.072954+(-0.357051--0.807177))+0-0-0</f>
        <v>5140.1771719999997</v>
      </c>
      <c r="S49" s="3">
        <f>6039.2+(645.9-1764.5)+(-9.239976+(-0.988227--2.699685))+0-0-0</f>
        <v>4913.0714820000003</v>
      </c>
      <c r="T49" s="3">
        <f>6070.1+(723.4-1810.2)+(-9.287253+(-1.106802--2.769606))+0-0-0</f>
        <v>4975.6755510000003</v>
      </c>
      <c r="U49" s="3">
        <f>6073.7+(711.6-1834.8)+(-12.390348+(-1.451664--3.742992))+0-0-0</f>
        <v>4940.4009800000003</v>
      </c>
      <c r="V49" s="3">
        <f>5901.8+(815.7-1811.7)+(-6.019836+(-0.832014--1.847934))+0-0-0</f>
        <v>4900.7960840000005</v>
      </c>
      <c r="W49" s="3">
        <f>5794.4+(815.9-1810.2)+(-17.730864+(-2.496654--5.539212))+0-0-0</f>
        <v>4785.4116939999994</v>
      </c>
      <c r="X49" s="3">
        <f>5464.6+(578.9-1323.7)+(-19.508622+(-2.066673--4.725609))+0-0-0</f>
        <v>4702.9503140000006</v>
      </c>
      <c r="Y49" s="3">
        <f>5344.7+(522.3-1113.6)+(-10.903188+(-1.065492--2.271744))+0-0-0</f>
        <v>4743.7030639999994</v>
      </c>
      <c r="Z49" s="3">
        <f>5896.8+(392.3-1043.1)+(-6.014736+(-0.400146--1.063962))+0-0-0</f>
        <v>5240.6490800000001</v>
      </c>
      <c r="AA49" s="3">
        <f>6139.2+(403.2-1311.7)+(-9.392976+(-0.616896--2.006901))+0-0-0</f>
        <v>5222.6970289999999</v>
      </c>
      <c r="AB49" s="3">
        <f>5929+(346.4-1362.1)+(-12.09516+(-0.706656--2.778684))+0-0-0</f>
        <v>4903.2768679999999</v>
      </c>
      <c r="AC49" s="3">
        <f>5707.3+(521.2-1711.5)+(-5.821446+(-0.531624--1.74573))+0-0-0</f>
        <v>4512.3926600000004</v>
      </c>
      <c r="AD49">
        <f t="shared" si="0"/>
        <v>103604.471206</v>
      </c>
      <c r="AE49" s="3">
        <f>6241+(369-1237.7)+(0+(0-0))+0-0-0</f>
        <v>5372.3</v>
      </c>
    </row>
    <row r="50" spans="1:31" s="2" customFormat="1" x14ac:dyDescent="0.25">
      <c r="A50">
        <v>89</v>
      </c>
      <c r="B50">
        <v>2</v>
      </c>
      <c r="C50">
        <v>19</v>
      </c>
      <c r="D50">
        <v>2</v>
      </c>
      <c r="E50">
        <v>1</v>
      </c>
      <c r="F50" s="3">
        <f>5272.8+(550.5-1888.2)+(-5.378256+(-0.56151--1.925964))+0-0-0</f>
        <v>3931.0861980000004</v>
      </c>
      <c r="G50" s="3">
        <f>4981.1+(407.2-1841.8)+(-2.540361+(-0.207672--0.939318))+0-0-0</f>
        <v>3544.6912850000003</v>
      </c>
      <c r="H50" s="3">
        <f>4792.7+(316.3-1767.6)+(0+(0-0))+0-0-0</f>
        <v>3341.3999999999996</v>
      </c>
      <c r="I50" s="3">
        <f>4740.7+(308.7-1777.2)+(-2.417757+(-0.157437--0.906372))+0-0-0</f>
        <v>3270.5311779999997</v>
      </c>
      <c r="J50" s="3">
        <f>4755.2+(172.5-1672.7)+(-4.850304+(-0.17595--1.706154))+0-0-0</f>
        <v>3251.6799000000001</v>
      </c>
      <c r="K50" s="3">
        <f>4742+(192-1636.5)+(-12.0921+(-0.4896--4.173075))+0-0-0</f>
        <v>3289.091375</v>
      </c>
      <c r="L50" s="3">
        <f>4519+(206.4-1355.6)+(-11.52345+(-0.52632--3.45678))+0-0-0</f>
        <v>3361.2070100000001</v>
      </c>
      <c r="M50" s="3">
        <f>4602.7+(201.2-1020.1)+(-4.694754+(-0.205224--1.040502))+0-0-0</f>
        <v>3779.9405239999996</v>
      </c>
      <c r="N50" s="3">
        <f>4994.2+(320.3-959.8)+(-7.641126+(-0.490059--1.468494))+0-0-0</f>
        <v>4348.0373089999994</v>
      </c>
      <c r="O50" s="3">
        <f>5237.9+(506.8-996.1)+(-2.671329+(-0.258468--0.508011))+0-0-0</f>
        <v>4746.1782139999996</v>
      </c>
      <c r="P50" s="3">
        <f>5405.3+(647.8-1057.7)+(0+(0-0))+0-0-0</f>
        <v>4995.3999999999996</v>
      </c>
      <c r="Q50" s="3">
        <f>5664.4+(721.3-1244.8)+(-2.888844+(-0.367863--0.634848))+0-0-0</f>
        <v>5138.2781409999998</v>
      </c>
      <c r="R50" s="3">
        <f>5855.5+(708.8-1409.4)+(-5.97261+(-0.722976--1.437588))+0-0-0</f>
        <v>5149.6420019999996</v>
      </c>
      <c r="S50" s="3">
        <f>5895.9+(779.2-1710.4)+(-9.020727+(-1.192176--2.616912))+0-0-0</f>
        <v>4957.1040089999997</v>
      </c>
      <c r="T50" s="3">
        <f>5929.2+(817.9-1733.9)+(-6.047784+(-0.834258--1.768578))+0-0-0</f>
        <v>5008.0865359999998</v>
      </c>
      <c r="U50" s="3">
        <f>5962.6+(814.3-1778.1)+(-15.20463+(-2.076465--4.534155))+0-0-0</f>
        <v>4986.0530600000002</v>
      </c>
      <c r="V50" s="3">
        <f>5958+(811.2-1821.4)+(-6.07716+(-0.827424--1.857828))+0-0-0</f>
        <v>4942.7532440000004</v>
      </c>
      <c r="W50" s="3">
        <f>5765.7+(728.6-1616.9)+(-17.643042+(-2.229516--4.947714))+0-0-0</f>
        <v>4862.4751559999995</v>
      </c>
      <c r="X50" s="3">
        <f>5441.9+(672.3-1313.1)+(-11.101476+(-1.371492--2.678724))+0-0-0</f>
        <v>4791.3057559999997</v>
      </c>
      <c r="Y50" s="3">
        <f>5319.4+(573.1-1109.5)+(0+(0-0))+0-0-0</f>
        <v>4783</v>
      </c>
      <c r="Z50" s="3">
        <f>5996.5+(567.9-1220.8)+(-12.23286+(-1.158516--2.490432))+0-0-0</f>
        <v>5332.6990560000004</v>
      </c>
      <c r="AA50" s="3">
        <f>6426.3+(559.6-1676.7)+(-16.387065+(-1.42698--4.275585))+0-0-0</f>
        <v>5295.661540000001</v>
      </c>
      <c r="AB50" s="3">
        <f>6447.2+(535-1999.5)+(-9.864216+(-0.81855--3.059235))+0-0-0</f>
        <v>4975.0764689999996</v>
      </c>
      <c r="AC50" s="3">
        <f>6021.1+(485.6-1962.5)+(-15.353805+(-1.23828--5.004375))+0-0-0</f>
        <v>4532.6122900000009</v>
      </c>
      <c r="AD50">
        <f t="shared" si="0"/>
        <v>106613.99025200003</v>
      </c>
      <c r="AE50" s="3">
        <f>6445+(520.3-1619.6)+(0+(0-0))+0-0-0</f>
        <v>5345.7</v>
      </c>
    </row>
    <row r="51" spans="1:31" s="2" customFormat="1" x14ac:dyDescent="0.25">
      <c r="A51">
        <v>89</v>
      </c>
      <c r="B51">
        <v>2</v>
      </c>
      <c r="C51">
        <v>20</v>
      </c>
      <c r="D51">
        <v>3</v>
      </c>
      <c r="E51">
        <v>1</v>
      </c>
      <c r="F51" s="3">
        <f>5092.9+(429.4-1578.5)+(-23.376411+(-1.970946--7.245315))+0-0-0</f>
        <v>3925.6979579999997</v>
      </c>
      <c r="G51" s="3">
        <f>4827+(396-1653)+(-22.15593+(-1.81764--7.58727))+0-0-0</f>
        <v>3553.6136999999999</v>
      </c>
      <c r="H51" s="3">
        <f>4687.7+(432.9-1765.9)+(2.390727+(0.220779-0.900609))+0-0-0</f>
        <v>3356.4108969999997</v>
      </c>
      <c r="I51" s="3">
        <f>4619.3+(415.8-1764.9)+(-16.490901+(-1.484406--6.300693))+0-0-0</f>
        <v>3258.5253859999998</v>
      </c>
      <c r="J51" s="3">
        <f>4613+(370.2-1730.5)+(-2.35263+(-0.188802--0.882555))+0-0-0</f>
        <v>3251.041123</v>
      </c>
      <c r="K51" s="3">
        <f>4584.8+(445-1728.6)+(-11.69124+(-1.13475--4.40793))+0-0-0</f>
        <v>3292.7819400000003</v>
      </c>
      <c r="L51" s="3">
        <f>4438.5+(500.7-1571.6)+(-6.790905+(-0.766071--2.404548))+0-0-0</f>
        <v>3362.4475720000005</v>
      </c>
      <c r="M51" s="3">
        <f>4695.5+(654.1-1557.1)+(4.78941+(0.667182-1.588242))+0-0-0</f>
        <v>3796.3683500000002</v>
      </c>
      <c r="N51" s="3">
        <f>5086.7+(684.8-1342.7)+(5.188434+(0.698496-1.369554))+0-0-0</f>
        <v>4433.3173759999991</v>
      </c>
      <c r="O51" s="3">
        <f>5312.9+(683.8-1165.4)+(-8.128737+(-1.046214--1.783062))+0-0-0</f>
        <v>4823.9081109999988</v>
      </c>
      <c r="P51" s="3">
        <f>5975.5+(611.2-1485.4)+(-6.09501+(-0.623424--1.515108))+0-0-0</f>
        <v>5096.0966740000003</v>
      </c>
      <c r="Q51" s="3">
        <f>6217.8+(624.9-1559.4)+(-3.171078+(-0.318699--0.795294))+0-0-0</f>
        <v>5280.605517</v>
      </c>
      <c r="R51" s="3">
        <f>6286+(753.8-1769.7)+(-9.61758+(-1.153314--2.707641))+0-0-0</f>
        <v>5262.0367470000001</v>
      </c>
      <c r="S51" s="3">
        <f>6322.3+(944.4-2186.3)+(-6.448746+(-0.963288--2.230026))+0-0-0</f>
        <v>5075.2179919999999</v>
      </c>
      <c r="T51" s="3">
        <f>6340.2+(964.7-2121.2)+(-6.467004+(-0.983994--2.163624))+0-0-0</f>
        <v>5178.4126259999994</v>
      </c>
      <c r="U51" s="3">
        <f>6067.4+(983.2-1983.9)+(0+(0-0))+0-0-0</f>
        <v>5066.7</v>
      </c>
      <c r="V51" s="3">
        <f>6008.4+(851.1-1860.6)+(-15.32142+(-2.170305--4.74453))+0-0-0</f>
        <v>4986.1528049999997</v>
      </c>
      <c r="W51" s="3">
        <f>5834.7+(916.7-1727.9)+(-14.878485+(-2.337585--4.406145))+0-0-0</f>
        <v>5010.6900750000004</v>
      </c>
      <c r="X51" s="3">
        <f>5790.5+(814-1687.8)+(-17.71893+(-2.49084--5.164668))+0-0-0</f>
        <v>4901.6548979999998</v>
      </c>
      <c r="Y51" s="3">
        <f>5702.5+(686.3-1493.5)+(-2.908275+(-0.350013--0.761685))+0-0-0</f>
        <v>4892.8033970000006</v>
      </c>
      <c r="Z51" s="3">
        <f>6058.6+(567.4-1312.2)+(-12.359544+(-1.157496--2.676888))+0-0-0</f>
        <v>5302.9598480000004</v>
      </c>
      <c r="AA51" s="3">
        <f>6298.5+(563.2-1620)+(-19.27341+(-1.723392--4.9572))+0-0-0</f>
        <v>5225.660398</v>
      </c>
      <c r="AB51" s="3">
        <f>6175.9+(448.6-1697.6)+(-12.598836+(-0.915144--3.463104))+0-0-0</f>
        <v>4916.8491239999994</v>
      </c>
      <c r="AC51" s="3">
        <f>5778.5+(548.4-1806.6)+(-8.841105+(-0.839052--2.764098))+0-0-0</f>
        <v>4513.383941</v>
      </c>
      <c r="AD51">
        <f t="shared" si="0"/>
        <v>107763.33645500001</v>
      </c>
      <c r="AE51" s="3">
        <f>6282.5+(549.2-1487.3)+(0+(0-0))+0-0-0</f>
        <v>5344.4</v>
      </c>
    </row>
    <row r="52" spans="1:31" s="2" customFormat="1" x14ac:dyDescent="0.25">
      <c r="A52">
        <v>89</v>
      </c>
      <c r="B52">
        <v>2</v>
      </c>
      <c r="C52">
        <v>21</v>
      </c>
      <c r="D52">
        <v>4</v>
      </c>
      <c r="E52">
        <v>1</v>
      </c>
      <c r="F52" s="3">
        <f>5395.3+(455.1-1909)+(-2.751603+(-0.232101--0.97359))+0-0-0</f>
        <v>3939.3898859999999</v>
      </c>
      <c r="G52" s="3">
        <f>5124.2+(505.3-2076.3)+(-5.226684+(-0.515406--2.117826))+0-0-0</f>
        <v>3549.5757359999998</v>
      </c>
      <c r="H52" s="3">
        <f>4973.7+(376.2-2005.5)+(-12.682935+(-0.95931--5.114025))+0-0-0</f>
        <v>3335.8717799999995</v>
      </c>
      <c r="I52" s="3">
        <f>4916.4+(406.1-2070.8)+(-5.014728+(-0.414222--2.112216))+0-0-0</f>
        <v>3248.3832659999994</v>
      </c>
      <c r="J52" s="3">
        <f>4828.6+(404.1-2000)+(0+(0-0))+0-0-0</f>
        <v>3232.7000000000003</v>
      </c>
      <c r="K52" s="3">
        <f>4858.4+(438.2-2010.4)+(-9.911136+(-0.893928--4.101216))+0-0-0</f>
        <v>3279.4961519999997</v>
      </c>
      <c r="L52" s="3">
        <f>4654.7+(424.6-1726.6)+(-7.121691+(-0.649638--2.641698))+0-0-0</f>
        <v>3347.570369</v>
      </c>
      <c r="M52" s="3">
        <f>4757.4+(488.2-1453.8)+(0+(0-0))+0-0-0</f>
        <v>3791.7999999999997</v>
      </c>
      <c r="N52" s="3">
        <f>5389.4+(456.1-1427.3)+(5.497188+(0.465222-1.455846))+0-0-0</f>
        <v>4422.7065640000001</v>
      </c>
      <c r="O52" s="3">
        <f>5748.2+(642.3-1534.4)+(-2.931582+(-0.327573--0.782544))+0-0-0</f>
        <v>4853.6233889999994</v>
      </c>
      <c r="P52" s="3">
        <f>6065.2+(571.8-1528.2)+(6.186504+(0.583236-1.558764))+0-0-0</f>
        <v>5114.0109759999996</v>
      </c>
      <c r="Q52" s="3">
        <f>6264.3+(650.1-1591.2)+(6.389586+(0.663102-1.623024))+0-0-0</f>
        <v>5328.629664</v>
      </c>
      <c r="R52" s="3">
        <f>6289.7+(809.3-1774.2)+(-9.623241+(-1.238229--2.714526))+0-0-0</f>
        <v>5316.6530559999992</v>
      </c>
      <c r="S52" s="3">
        <f>6233+(803-1957.7)+(-3.17883+(-0.40953--0.998427))+0-0-0</f>
        <v>5075.710067</v>
      </c>
      <c r="T52" s="3">
        <f>6173.4+(949.1-2018.6)+(-9.445302+(-1.452123--3.088458))+0-0-0</f>
        <v>5096.0910329999997</v>
      </c>
      <c r="U52" s="3">
        <f>6097.5+(923.4-1930.9)+(-12.4389+(-1.883736--3.939036))+0-0-0</f>
        <v>5079.6163999999999</v>
      </c>
      <c r="V52" s="3">
        <f>5975.7+(921.9-1814.6)+(-12.190428+(-1.880676--3.701784))+0-0-0</f>
        <v>5072.6306800000002</v>
      </c>
      <c r="W52" s="3">
        <f>5838.3+(890.8-1756.4)+(-17.865198+(-2.725848--5.374584))+0-0-0</f>
        <v>4957.4835379999995</v>
      </c>
      <c r="X52" s="3">
        <f>5625.3+(798.7-1588.8)+(-11.475612+(-1.629348--3.241152))+0-0-0</f>
        <v>4825.3361920000007</v>
      </c>
      <c r="Y52" s="3">
        <f>5645.7+(640.2-1460.5)+(-5.758614+(-0.653004--1.48971))+0-0-0</f>
        <v>4820.4780919999994</v>
      </c>
      <c r="Z52" s="3">
        <f>6170.8+(438.9-1293.8)+(-3.147108+(-0.223839--0.659838))+0-0-0</f>
        <v>5313.1888910000007</v>
      </c>
      <c r="AA52" s="3">
        <f>6570+(408.5-1648.7)+(-10.0521+(-0.625005--2.522511))+0-0-0</f>
        <v>5321.6454060000005</v>
      </c>
      <c r="AB52" s="3">
        <f>6547.6+(514.1-2023.1)+(-10.017828+(-0.786573--3.095343))+0-0-0</f>
        <v>5030.890942</v>
      </c>
      <c r="AC52" s="3">
        <f>6246.1+(513.6-2127.4)+(-12.742044+(-1.047744--4.339896))+0-0-0</f>
        <v>4622.8501080000005</v>
      </c>
      <c r="AD52">
        <f t="shared" si="0"/>
        <v>107976.33218699999</v>
      </c>
      <c r="AE52" s="3">
        <f>6521.9+(438.9-1569.5)+(0+(0-0))+0-0-0</f>
        <v>5391.2999999999993</v>
      </c>
    </row>
    <row r="53" spans="1:31" s="2" customFormat="1" x14ac:dyDescent="0.25">
      <c r="A53">
        <v>89</v>
      </c>
      <c r="B53">
        <v>2</v>
      </c>
      <c r="C53">
        <v>22</v>
      </c>
      <c r="D53">
        <v>5</v>
      </c>
      <c r="E53">
        <v>1</v>
      </c>
      <c r="F53" s="3">
        <f>5502+(619.1-2089.9)+(-2.80602+(-0.315741--1.065849))+0-0-0</f>
        <v>4029.144088</v>
      </c>
      <c r="G53" s="3">
        <f>5063.7+(616.8-2052.7)+(-10.329948+(-1.258272--4.187508))+0-0-0</f>
        <v>3620.3992880000001</v>
      </c>
      <c r="H53" s="3">
        <f>4833.8+(460.8-1876)+(-12.32619+(-1.17504--4.7838))+0-0-0</f>
        <v>3409.8825700000002</v>
      </c>
      <c r="I53" s="3">
        <f>4788.6+(398.9-1866.7)+(-7.326558+(-0.610317--2.856051))+0-0-0</f>
        <v>3315.7191760000001</v>
      </c>
      <c r="J53" s="3">
        <f>4800.4+(415.3-1926.7)+(-4.896408+(-0.423606--1.965234))+0-0-0</f>
        <v>3285.6452199999994</v>
      </c>
      <c r="K53" s="3">
        <f>4826.3+(376.3-1866.5)+(-2.461413+(-0.191913--0.951915))+0-0-0</f>
        <v>3334.3985890000004</v>
      </c>
      <c r="L53" s="3">
        <f>4820.3+(345.6-1761.6)+(-9.833412+(-0.705024--3.593664))+0-0-0</f>
        <v>3397.3552280000004</v>
      </c>
      <c r="M53" s="3">
        <f>5027.3+(278.4-1396.7)+(-7.691769+(-0.425952--2.136951))+0-0-0</f>
        <v>3903.0192299999999</v>
      </c>
      <c r="N53" s="3">
        <f>5557.3+(471.4-1361.6)+(0+(0-0))+0-0-0</f>
        <v>4667.1000000000004</v>
      </c>
      <c r="O53" s="3">
        <f>5870.1+(478.2-1429.8)+(-5.987502+(-0.487764--1.458396))+0-0-0</f>
        <v>4913.4831299999996</v>
      </c>
      <c r="P53" s="3">
        <f>6081.1+(432.8-1267)+(-6.202722+(-0.441456--1.29234))+0-0-0</f>
        <v>5241.548162000001</v>
      </c>
      <c r="Q53" s="3">
        <f>6258+(391.2-1190.9)+(0+(0-0))+0-0-0</f>
        <v>5458.3</v>
      </c>
      <c r="R53" s="3">
        <f>6456.6+(553.9-1555.8)+(-6.585732+(-0.564978--1.586916))+0-0-0</f>
        <v>5449.136206000001</v>
      </c>
      <c r="S53" s="3">
        <f>6337.1+(722.7-1812.9)+(-6.463842+(-0.737154--1.849158))+0-0-0</f>
        <v>5241.548162000001</v>
      </c>
      <c r="T53" s="3">
        <f>6366.4+(757.6-1812.6)+(-3.246864+(-0.386376--0.924426))+0-0-0</f>
        <v>5308.691186</v>
      </c>
      <c r="U53" s="3">
        <f>6298+(744.2-1764.1)+(-9.63594+(-1.138626--2.699073))+0-0-0</f>
        <v>5270.0245070000001</v>
      </c>
      <c r="V53" s="3">
        <f>6300.7+(781.6-1851.7)+(-3.213357+(-0.398616--0.944367))+0-0-0</f>
        <v>5227.9323940000004</v>
      </c>
      <c r="W53" s="3">
        <f>6299.8+(763.4-1895.4)+(-19.277388+(-2.336004--5.799924))+0-0-0</f>
        <v>5151.9865319999999</v>
      </c>
      <c r="X53" s="3">
        <f>5961.4+(553.1-1356.5)+(-12.161256+(-1.128324--2.76726))+0-0-0</f>
        <v>5147.47768</v>
      </c>
      <c r="Y53" s="3">
        <f>6103.8+(418.6-1549.8)+(-9.338814+(-0.640458--2.371194))+0-0-0</f>
        <v>4964.9919220000002</v>
      </c>
      <c r="Z53" s="3">
        <f>6759.9+(307-1994.1)+(-13.790196+(-0.62628--4.067964))+7.5-0-0</f>
        <v>5069.9514879999997</v>
      </c>
      <c r="AA53" s="3">
        <f>6879.2+(358.2-2169.4)+(-14.033568+(-0.730728--4.425576))+8-0-0</f>
        <v>5065.6612800000003</v>
      </c>
      <c r="AB53" s="3">
        <f>6723.8+(389.7-2270.2)+(-6.858276+(-0.397494--2.315604))+4-0-0</f>
        <v>4842.3598339999999</v>
      </c>
      <c r="AC53" s="3">
        <f>6182.8+(414.2-2152.2)+(-15.76614+(-1.05621--5.48811))+0-0-0</f>
        <v>4433.46576</v>
      </c>
      <c r="AD53">
        <f t="shared" si="0"/>
        <v>109749.22163200002</v>
      </c>
      <c r="AE53" s="3">
        <f>6890+(286.9-2092.9)+(0+(0-0))+8-0-0</f>
        <v>5092</v>
      </c>
    </row>
    <row r="54" spans="1:31" s="2" customFormat="1" x14ac:dyDescent="0.25">
      <c r="A54">
        <v>89</v>
      </c>
      <c r="B54">
        <v>2</v>
      </c>
      <c r="C54">
        <v>23</v>
      </c>
      <c r="D54">
        <v>6</v>
      </c>
      <c r="E54">
        <v>1</v>
      </c>
      <c r="F54" s="3">
        <f>5455.3+(574-2076.7)+(-22.257624+(-2.34192--8.472936))+0-0-0</f>
        <v>3936.4733920000003</v>
      </c>
      <c r="G54" s="3">
        <f>5088.1+(446.4-1932.8)+(-12.974655+(-1.13832--4.92864))+0-0-0</f>
        <v>3592.5156650000004</v>
      </c>
      <c r="H54" s="3">
        <f>4740.9+(468.4-1814.9)+(-2.417859+(-0.238884--0.925599))+0-0-0</f>
        <v>3392.6688559999998</v>
      </c>
      <c r="I54" s="3">
        <f>4673.9+(439.6-1808.7)+(-11.918445+(-1.12098--4.612185))+0-0-0</f>
        <v>3296.3727599999997</v>
      </c>
      <c r="J54" s="3">
        <f>4707.2+(381-1798.1)+(0+(0-0))+0-0-0</f>
        <v>3290.1</v>
      </c>
      <c r="K54" s="3">
        <f>4677.7+(374.8-1742.9)+(-11.928135+(-0.95574--4.444395))+0-0-0</f>
        <v>3301.1605199999995</v>
      </c>
      <c r="L54" s="3">
        <f>4688.4+(330.7-1650.9)+(-4.782168+(-0.337314--1.683918))+0-0-0</f>
        <v>3364.7644359999999</v>
      </c>
      <c r="M54" s="3">
        <f>5013.2+(262.5-1531.8)+(0+(0-0))+0-0-0</f>
        <v>3743.8999999999996</v>
      </c>
      <c r="N54" s="3">
        <f>5611.7+(346.2-1635.3)+(-2.861967+(-0.176562--0.834003))+0-0-0</f>
        <v>4320.3954739999999</v>
      </c>
      <c r="O54" s="3">
        <f>5912.6+(440.3-1567)+(0+(0-0))+0-0-0</f>
        <v>4785.9000000000005</v>
      </c>
      <c r="P54" s="3">
        <f>6201.7+(506.1-1616.9)+(-6.325734+(-0.516222--1.649238))+0-0-0</f>
        <v>5085.7072819999994</v>
      </c>
      <c r="Q54" s="3">
        <f>6346.2+(642.6-1701.1)+(0+(0-0))+0-0-0</f>
        <v>5287.7</v>
      </c>
      <c r="R54" s="3">
        <f>6326.3+(791.4-1853.4)+(-12.905652+(-1.614456--3.780936))+0-0-0</f>
        <v>5253.5608280000006</v>
      </c>
      <c r="S54" s="3">
        <f>6274+(740.1-1957.4)+(-3.19974+(-0.377451--0.998274))+0-0-0</f>
        <v>5054.121083</v>
      </c>
      <c r="T54" s="3">
        <f>6242.1+(636.7-1926.2)+(-9.550413+(-0.974151--2.947086))+0-0-0</f>
        <v>4945.0225220000002</v>
      </c>
      <c r="U54" s="3">
        <f>6210.1+(650.5-2046.1)+(-6.334302+(-0.66351--2.087022))+0-0-0</f>
        <v>4809.5892100000001</v>
      </c>
      <c r="V54" s="3">
        <f>6032.6+(584.7-1833.4)+(-15.38313+(-1.490985--4.67517))+0-0-0</f>
        <v>4771.7010550000005</v>
      </c>
      <c r="W54" s="3">
        <f>5824+(655.9-1656.7)+(-8.91072+(-1.003527--2.534751))+0-0-0</f>
        <v>4815.8205040000003</v>
      </c>
      <c r="X54" s="3">
        <f>5731+(652.5-1470.2)+(-11.69124+(-1.3311--2.999208))+0-0-0</f>
        <v>4903.2768679999999</v>
      </c>
      <c r="Y54" s="3">
        <f>5816.3+(570.4-1390)+(-11.865252+(-1.163616--2.8356))+0-0-0</f>
        <v>4986.5067319999998</v>
      </c>
      <c r="Z54" s="3">
        <f>6276.3+(396.6-1445.2)+(-12.803652+(-0.809064--2.948208))+0-0-0</f>
        <v>5217.0354920000009</v>
      </c>
      <c r="AA54" s="3">
        <f>6653.2+(475.5-1959.7)+(-13.572528+(-0.97002--3.997788))+0-0-0</f>
        <v>5158.4552400000002</v>
      </c>
      <c r="AB54" s="3">
        <f>6459.1+(384-1952.3)+(-16.470705+(-0.9792--4.978365))+0-0-0</f>
        <v>4878.3284600000006</v>
      </c>
      <c r="AC54" s="3">
        <f>5987.9+(388.7-1709.2)+(-9.161487+(-0.594711--2.615076))+0-0-0</f>
        <v>4660.2588779999996</v>
      </c>
      <c r="AD54">
        <f t="shared" si="0"/>
        <v>106851.33525699997</v>
      </c>
      <c r="AE54" s="3">
        <f>6370+(347.1-1550.3)+(0+(0-0))+0-0-0</f>
        <v>5166.8</v>
      </c>
    </row>
    <row r="55" spans="1:31" s="2" customFormat="1" x14ac:dyDescent="0.25">
      <c r="A55">
        <v>89</v>
      </c>
      <c r="B55">
        <v>2</v>
      </c>
      <c r="C55">
        <v>24</v>
      </c>
      <c r="D55">
        <v>7</v>
      </c>
      <c r="E55">
        <v>1</v>
      </c>
      <c r="F55" s="3">
        <f>5481.2+(501.2-1989.5)+(-2.795412+(-0.255612--1.014645))+0-0-0</f>
        <v>3990.8636209999995</v>
      </c>
      <c r="G55" s="3">
        <f>5338.6+(403.4-2121.6)+(-8.168058+(-0.617202--3.246048))+0-0-0</f>
        <v>3614.8607880000004</v>
      </c>
      <c r="H55" s="3">
        <f>5236.1+(217-2071.2)+(0+(0-0))+0-0-0</f>
        <v>3381.9000000000005</v>
      </c>
      <c r="I55" s="3">
        <f>5109+(221.7-2076.2)+(-5.21118+(-0.226134--2.117724))+4.6-0-0</f>
        <v>3255.7804099999998</v>
      </c>
      <c r="J55" s="3">
        <f>4982.5+(242-2031.2)+(-2.541075+(-0.12342--1.035912))+0-0-0</f>
        <v>3191.671417</v>
      </c>
      <c r="K55" s="3">
        <f>4899.4+(243.6-1979.1)+(-29.984328+(-1.490832--12.112092))+0-0-0</f>
        <v>3144.5369319999995</v>
      </c>
      <c r="L55" s="3">
        <f>4508.8+(241.8-1742.7)+(-18.395904+(-0.986544--7.110216))+0-0-0</f>
        <v>2995.6277680000003</v>
      </c>
      <c r="M55" s="3">
        <f>4412.1+(248.6-1648.2)+(-2.250171+(-0.126786--0.840582))+0-0-0</f>
        <v>3010.9636249999999</v>
      </c>
      <c r="N55" s="3">
        <f>4433.6+(235.7-1394.9)+(-4.522272+(-0.240414--1.422798))+0-0-0</f>
        <v>3271.0601120000006</v>
      </c>
      <c r="O55" s="3">
        <f>4612.4+(299.1-1356.5)+(-7.056972+(-0.457623--2.075445))+0-0-0</f>
        <v>3549.5608499999994</v>
      </c>
      <c r="P55" s="3">
        <f>4833.2+(322.1-1271)+(-2.464932+(-0.164271--0.64821))+0-0-0</f>
        <v>3882.3190069999996</v>
      </c>
      <c r="Q55" s="3">
        <f>5147.2+(380.1-1428)+(-10.500288+(-0.775404--2.91312))+0-0-0</f>
        <v>4090.9374279999993</v>
      </c>
      <c r="R55" s="3">
        <f>5224.9+(580-1690.5)+(-5.329398+(-0.5916--1.72431))+0-0-0</f>
        <v>4110.2033119999996</v>
      </c>
      <c r="S55" s="3">
        <f>5202.7+(616.9-1729.2)+(-10.613508+(-1.258476--3.527568))+0-0-0</f>
        <v>4082.0555839999997</v>
      </c>
      <c r="T55" s="3">
        <f>5189.1+(597.9-1778.3)+(0+(0-0))+0-0-0</f>
        <v>4008.7000000000003</v>
      </c>
      <c r="U55" s="3">
        <f>5184.5+(741.1-2005.1)+(-5.28819+(-0.755922--2.045202))+0-0-0</f>
        <v>3916.5010900000002</v>
      </c>
      <c r="V55" s="3">
        <f>5004.9+(787.7-1874.4)+(-12.762495+(-2.008635--4.77972))+0-0-0</f>
        <v>3908.2085899999997</v>
      </c>
      <c r="W55" s="3">
        <f>4925.2+(739.5-1734.9)+(-15.071112+(-2.26287--5.308794))+0-0-0</f>
        <v>3917.7748119999997</v>
      </c>
      <c r="X55" s="3">
        <f>4857.1+(730.8-1603.8)+(-4.954242+(-0.745416--1.635876))+0-0-0</f>
        <v>3980.0362180000002</v>
      </c>
      <c r="Y55" s="3">
        <f>5131.9+(611.5-1591.6)+(-10.469076+(-1.24746--3.246864))+0-0-0</f>
        <v>4143.3303279999991</v>
      </c>
      <c r="Z55" s="3">
        <f>5863.9+(559.4-1732.6)+(-5.981178+(-0.570588--1.767252))+0-0-0</f>
        <v>4685.9154859999999</v>
      </c>
      <c r="AA55" s="3">
        <f>5984.3+(445.9-1729.9)+(-9.155979+(-0.682227--2.646747))+0-0-0</f>
        <v>4693.1085410000005</v>
      </c>
      <c r="AB55" s="3">
        <f>5907.9+(285.1-1577.9)+(-15.065145+(-0.727005--4.023645))+0-0-0</f>
        <v>4603.3314949999994</v>
      </c>
      <c r="AC55" s="3">
        <f>5707.9+(232.6-1634.2)+(-2.911029+(-0.118626--0.833442))+0-0-0</f>
        <v>4304.1037869999991</v>
      </c>
      <c r="AD55">
        <f t="shared" si="0"/>
        <v>91733.351200999983</v>
      </c>
      <c r="AE55" s="3">
        <f>6103+(492.9-1876.6)+(0+(0-0))+0-0-0</f>
        <v>4719.3</v>
      </c>
    </row>
    <row r="56" spans="1:31" s="2" customFormat="1" x14ac:dyDescent="0.25">
      <c r="A56">
        <v>89</v>
      </c>
      <c r="B56">
        <v>2</v>
      </c>
      <c r="C56">
        <v>25</v>
      </c>
      <c r="D56">
        <v>1</v>
      </c>
      <c r="E56">
        <v>1</v>
      </c>
      <c r="F56" s="3">
        <f>5384.8+(438.1-2016.8)+(-2.746248+(-0.223431--1.028568))+0-0-0</f>
        <v>3804.1588890000003</v>
      </c>
      <c r="G56" s="3">
        <f>5142+(381-2092.1)+(-2.62242+(-0.19431--1.066971))+0-0-0</f>
        <v>3429.1502410000003</v>
      </c>
      <c r="H56" s="3">
        <f>5067.1+(164-2026.9)+(2.584221+(0.08364-1.033719))+0-0-0</f>
        <v>3205.8341420000002</v>
      </c>
      <c r="I56" s="3">
        <f>4966.9+(156.5-1993.7)+(-10.132476+(-0.31926--4.067148))+0-0-0</f>
        <v>3123.3154119999999</v>
      </c>
      <c r="J56" s="3">
        <f>4868+(124.9-1872.7)+(7.44804+(0.191097-2.865231))+0-0-0</f>
        <v>3124.9739059999997</v>
      </c>
      <c r="K56" s="3">
        <f>4691.9+(207.1-1745.1)+(-4.785738+(-0.211242--1.780002))+0-0-0</f>
        <v>3150.6830219999997</v>
      </c>
      <c r="L56" s="3">
        <f>4581.8+(236.5-1568.3)+(2.336718+(0.120615-0.799833))+0-0-0</f>
        <v>3251.6574999999998</v>
      </c>
      <c r="M56" s="3">
        <f>5103.6+(406.4-1753.3)+(-5.205672+(-0.414528--1.788366))+0-0-0</f>
        <v>3752.8681660000002</v>
      </c>
      <c r="N56" s="3">
        <f>5576.3+(574.6-1713.9)+(-2.843913+(-0.293046--0.874089))+0-0-0</f>
        <v>4434.7371300000004</v>
      </c>
      <c r="O56" s="3">
        <f>6053.1+(522-1686)+(-6.174162+(-0.53244--1.71972))+0-0-0</f>
        <v>4884.1131180000002</v>
      </c>
      <c r="P56" s="3">
        <f>6248.2+(566.8-1590.6)+(-6.373164+(-0.578136--1.622412))+0-0-0</f>
        <v>5219.0711119999996</v>
      </c>
      <c r="Q56" s="3">
        <f>6275.6+(629-1455)+(0+(0-0))+0-0-0</f>
        <v>5449.6</v>
      </c>
      <c r="R56" s="3">
        <f>6281.7+(722.1-1527.2)+(-9.611001+(-1.104813--2.336616))+0-0-0</f>
        <v>5468.2208019999998</v>
      </c>
      <c r="S56" s="3">
        <f>6465.4+(671.5-1861.4)+(-9.892062+(-1.027395--2.847942))+0-0-0</f>
        <v>5267.4284850000004</v>
      </c>
      <c r="T56" s="3">
        <f>6539.1+(654-1898.3)+(-13.339764+(-1.33416--3.872532))+0-0-0</f>
        <v>5283.9986079999999</v>
      </c>
      <c r="U56" s="3">
        <f>6530.3+(705.7-2048.2)+(0+(0-0))+0-0-0</f>
        <v>5187.8</v>
      </c>
      <c r="V56" s="3">
        <f>6442.8+(664.3-2016.5)+(-3.285828+(-0.338793--1.028415))+0-0-0</f>
        <v>5088.0037940000002</v>
      </c>
      <c r="W56" s="3">
        <f>6452+(622.4-2053.6)+(-19.74312+(-1.904544--6.284016))+0-0-0</f>
        <v>5005.4363520000006</v>
      </c>
      <c r="X56" s="3">
        <f>5991.7+(458.8-1563.7)+(-6.111534+(-0.467976--1.594974))+0-0-0</f>
        <v>4881.8154639999993</v>
      </c>
      <c r="Y56" s="3">
        <f>5905.7+(437.8-1539.6)+(-12.047628+(-0.893112--3.140784))+0-0-0</f>
        <v>4794.1000439999998</v>
      </c>
      <c r="Z56" s="3">
        <f>6469.1+(392.1-1594.4)+(-9.897723+(-0.599913--2.439432))+0-0-0</f>
        <v>5258.7417960000002</v>
      </c>
      <c r="AA56" s="3">
        <f>6843.8+(502.2-2071.3)+(-10.471014+(-0.768366--3.169089))+0-0-0</f>
        <v>5266.6297089999998</v>
      </c>
      <c r="AB56" s="3">
        <f>6821.3+(495.5-2279.9)+(-10.436589+(-0.758115--3.488247))+0-0-0</f>
        <v>5029.1935429999994</v>
      </c>
      <c r="AC56" s="3">
        <f>6333.5+(511.8-2196)+(-6.46017+(-0.522036--2.23992))+0-0-0</f>
        <v>4644.5577140000005</v>
      </c>
      <c r="AD56">
        <f t="shared" si="0"/>
        <v>108006.08894900001</v>
      </c>
      <c r="AE56" s="3">
        <f>6810+(443.3-1857.8)+(0+(0-0))+0-0-0</f>
        <v>5395.5</v>
      </c>
    </row>
    <row r="57" spans="1:31" s="2" customFormat="1" x14ac:dyDescent="0.25">
      <c r="A57">
        <v>89</v>
      </c>
      <c r="B57">
        <v>2</v>
      </c>
      <c r="C57">
        <v>26</v>
      </c>
      <c r="D57">
        <v>2</v>
      </c>
      <c r="E57">
        <v>1</v>
      </c>
      <c r="F57" s="3">
        <f>5580.2+(466.5-1966.4)+(-8.537706+(-0.713745--3.008592))+0-0-0</f>
        <v>4074.0571409999998</v>
      </c>
      <c r="G57" s="3">
        <f>5198.3+(205.2-1729.8)+(-7.953399+(-0.313956--2.646594))+0-0-0</f>
        <v>3668.0792390000001</v>
      </c>
      <c r="H57" s="3">
        <f>4973.6+(125-1754.5)+(-12.68268+(-0.31875--4.473975))+0-0-0</f>
        <v>3335.5725450000004</v>
      </c>
      <c r="I57" s="3">
        <f>5034.9+(123.2-1790.2)+(-7.703397+(-0.188496--2.739006))+0-0-0</f>
        <v>3362.7471129999994</v>
      </c>
      <c r="J57" s="3">
        <f>5005.4+(124.9-1785.5)+(-10.211016+(-0.254796--3.64242))+0-0-0</f>
        <v>3337.9766079999999</v>
      </c>
      <c r="K57" s="3">
        <f>4767.8+(218.7-1637)+(-7.294734+(-0.334611--2.50461))+0-0-0</f>
        <v>3344.3752650000001</v>
      </c>
      <c r="L57" s="3">
        <f>4392.2+(105.7-1130.2)+(-6.720066+(-0.161721--1.729206))+0-0-0</f>
        <v>3362.547419</v>
      </c>
      <c r="M57" s="3">
        <f>4877.2+(175.2-1201.3)+(-2.487372+(-0.089352--0.612663))+0-0-0</f>
        <v>3849.1359389999998</v>
      </c>
      <c r="N57" s="3">
        <f>5353.2+(229.2-1140.8)+(-8.190396+(-0.350676--1.745424))+0-0-0</f>
        <v>4434.8043520000001</v>
      </c>
      <c r="O57" s="3">
        <f>5669.9+(334-1124.2)+(-8.674947+(-0.51102--1.720026))+0-0-0</f>
        <v>4872.2340589999994</v>
      </c>
      <c r="P57" s="3">
        <f>5894.4+(304.3-1055.3)+(-6.012288+(-0.310386--1.076406))+0-0-0</f>
        <v>5138.1537319999998</v>
      </c>
      <c r="Q57" s="3">
        <f>6203.5+(356.1-1226.5)+(0+(0-0))+0-0-0</f>
        <v>5333.1</v>
      </c>
      <c r="R57" s="3">
        <f>6460.1+(338.9-1409.2)+(-9.883953+(-0.518517--2.156076))+0-0-0</f>
        <v>5381.5536060000004</v>
      </c>
      <c r="S57" s="3">
        <f>6539.2+(452.4-1761.1)+(0+(0-0))+0-0-0</f>
        <v>5230.5</v>
      </c>
      <c r="T57" s="3">
        <f>6622.8+(544.2-1913.8)+(0+(0-0))+0-0-0</f>
        <v>5253.2000000000007</v>
      </c>
      <c r="U57" s="3">
        <f>6636.3+(577.9-1975.9)+(-10.153539+(-0.884187--3.023127))+0-0-0</f>
        <v>5230.2854010000001</v>
      </c>
      <c r="V57" s="3">
        <f>6545.4+(521.5-1853)+(-16.69077+(-1.329825--4.72515))+0-0-0</f>
        <v>5200.6045549999999</v>
      </c>
      <c r="W57" s="3">
        <f>6008.4+(611.2-1526.9)+(-15.32142+(-1.55856--3.893595))+0-0-0</f>
        <v>5079.7136149999997</v>
      </c>
      <c r="X57" s="3">
        <f>5743.9+(563.7-1380.3)+(-14.646945+(-1.437435--3.519765))+0-0-0</f>
        <v>4914.735384999999</v>
      </c>
      <c r="Y57" s="3">
        <f>5763.8+(421.3-1386.5)+(-8.818614+(-0.644589--2.121345))+0-0-0</f>
        <v>4791.2581420000006</v>
      </c>
      <c r="Z57" s="3">
        <f>6156+(431.5-1325.6)+(-12.55824+(-0.88026--2.704224))+0-0-0</f>
        <v>5251.1657239999995</v>
      </c>
      <c r="AA57" s="3">
        <f>6687.1+(455.5-1887.7)+(-13.641684+(-0.92922--3.850908))+0-0-0</f>
        <v>5244.1800040000007</v>
      </c>
      <c r="AB57" s="3">
        <f>6364.2+(308-1674.8)+(0+(0-0))+0-0-0</f>
        <v>4997.3999999999996</v>
      </c>
      <c r="AC57" s="3">
        <f>5765.2+(418.5-1588.9)+(0+(0-0))+0-0-0</f>
        <v>4594.7999999999993</v>
      </c>
      <c r="AD57">
        <f t="shared" si="0"/>
        <v>109282.179844</v>
      </c>
      <c r="AE57" s="3">
        <f>6747+(454.2-1915.7)+(0+(0-0))+0-0-0</f>
        <v>5285.5</v>
      </c>
    </row>
    <row r="58" spans="1:31" s="2" customFormat="1" x14ac:dyDescent="0.25">
      <c r="A58">
        <v>89</v>
      </c>
      <c r="B58">
        <v>2</v>
      </c>
      <c r="C58">
        <v>27</v>
      </c>
      <c r="D58">
        <v>3</v>
      </c>
      <c r="E58">
        <v>5</v>
      </c>
      <c r="F58" s="3">
        <f>5554.8+(496.4-1901.1)+(-2.832948+(-0.253164--0.969561))+0-0-0</f>
        <v>4147.9834490000003</v>
      </c>
      <c r="G58" s="3">
        <f>5362.3+(353.8-1971.3)+(-2.734773+(-0.180438--1.005363))+0-0-0</f>
        <v>3742.8901520000004</v>
      </c>
      <c r="H58" s="3">
        <f>5311.8+(284.8-2092.1)+(-2.709018+(-0.145248--1.066971))+0-0-0</f>
        <v>3502.7127049999999</v>
      </c>
      <c r="I58" s="3">
        <f>5230.4+(195-2043.7)+(-10.670016+(-0.3978--4.169148))+0-0-0</f>
        <v>3374.801332</v>
      </c>
      <c r="J58" s="3">
        <f>5024.3+(277.2-1984.1)+(0+(0-0))+0-0-0</f>
        <v>3317.4000000000005</v>
      </c>
      <c r="K58" s="3">
        <f>5076.1+(370.3-2182.3)+(-12.944055+(-0.944265--5.564865))+0-0-0</f>
        <v>3255.7765450000002</v>
      </c>
      <c r="L58" s="3">
        <f>4459.4+(394.9-1761.7)+(-2.274294+(-0.201399--0.898467))+0-0-0</f>
        <v>3091.0227739999996</v>
      </c>
      <c r="M58" s="3">
        <f>4455+(366.9-1653.3)+(4.5441+(0.374238-1.686366))+0-0-0</f>
        <v>3171.831972</v>
      </c>
      <c r="N58" s="3">
        <f>4685.8+(391.3-1634.4)+(-7.169274+(-0.598689--2.500632))+0-0-0</f>
        <v>3437.4326689999998</v>
      </c>
      <c r="O58" s="3">
        <f>4791.1+(440.2-1469.8)+(0+(0-0))+0-0-0</f>
        <v>3761.5000000000005</v>
      </c>
      <c r="P58" s="3">
        <f>5091.5+(517.2-1554.6)+(-10.38666+(-1.055088--3.171384))+0-0-0</f>
        <v>4045.8296360000004</v>
      </c>
      <c r="Q58" s="3">
        <f>5297.1+(520.5-1560.2)+(-10.806084+(-1.06182--3.182808))+0-0-0</f>
        <v>4248.7149040000004</v>
      </c>
      <c r="R58" s="3">
        <f>5462.1+(600.5-1751.7)+(-11.142684+(-1.22502--3.573468))+0-0-0</f>
        <v>4302.1057640000008</v>
      </c>
      <c r="S58" s="3">
        <f>5429.1+(613-1782.4)+(0+(0-0))+0-0-0</f>
        <v>4259.7000000000007</v>
      </c>
      <c r="T58" s="3">
        <f>5491.4+(549.4-1798.6)+(-8.401842+(-0.840582--2.751858))+0-0-0</f>
        <v>4235.7094339999994</v>
      </c>
      <c r="U58" s="3">
        <f>5386+(536.8-1750.7)+(-5.49372+(-0.547536--1.785714))+0-0-0</f>
        <v>4167.8444580000005</v>
      </c>
      <c r="V58" s="3">
        <f>5275.7+(480.5-1602.3)+(-8.071821+(-0.735165--2.451519))+0-0-0</f>
        <v>4147.5445329999993</v>
      </c>
      <c r="W58" s="3">
        <f>5161.6+(593.9-1591.5)+(-5.264832+(-0.605778--1.62333))+0-0-0</f>
        <v>4159.7527200000004</v>
      </c>
      <c r="X58" s="3">
        <f>5015.6+(574.6-1397.7)+(-10.231824+(-1.172184--2.851308))+0-0-0</f>
        <v>4183.9472999999998</v>
      </c>
      <c r="Y58" s="3">
        <f>5115.6+(592.5-1419.7)+(0+(0-0))+0-0-0</f>
        <v>4288.4000000000005</v>
      </c>
      <c r="Z58" s="3">
        <f>5778+(576.9-1515.2)+(-2.94678+(-0.294219--0.772752))+0-0-0</f>
        <v>4837.231753</v>
      </c>
      <c r="AA58" s="3">
        <f>6004.4+(632.3-1656.8)+(-12.248976+(-1.289892--3.379872))+0-0-0</f>
        <v>4969.7410039999995</v>
      </c>
      <c r="AB58" s="3">
        <f>5997+(604.6-1805.5)+(-6.11694+(-0.616692--1.84161))+0-0-0</f>
        <v>4791.2079780000004</v>
      </c>
      <c r="AC58" s="3">
        <f>5862.4+(696.8-2033.3)+(-2.989824+(-0.355368--1.036983))+0-0-0</f>
        <v>4523.5917909999998</v>
      </c>
      <c r="AD58">
        <f t="shared" si="0"/>
        <v>95964.672872999989</v>
      </c>
      <c r="AE58" s="3">
        <f>5982+(687.2-1714.8)+(0+(0-0))+0-0-0</f>
        <v>4954.3999999999996</v>
      </c>
    </row>
    <row r="59" spans="1:31" s="2" customFormat="1" x14ac:dyDescent="0.25">
      <c r="A59">
        <v>89</v>
      </c>
      <c r="B59">
        <v>2</v>
      </c>
      <c r="C59">
        <v>28</v>
      </c>
      <c r="D59">
        <v>4</v>
      </c>
      <c r="E59">
        <v>1</v>
      </c>
      <c r="F59" s="3">
        <f>5573.8+(609.3-2177.2)+(0+(0-0))+0-0-0</f>
        <v>4005.9000000000005</v>
      </c>
      <c r="G59" s="3">
        <f>5026.3+(457.6-1907)+(-7.690239+(-0.700128--2.91771))+0-0-0</f>
        <v>3571.4273430000003</v>
      </c>
      <c r="H59" s="3">
        <f>4981.4+(373.1-2018.7)+(2.540514+(0.190281-1.029537))+0-0-0</f>
        <v>3337.5012579999998</v>
      </c>
      <c r="I59" s="3">
        <f>4923.8+(261-1920.3)+(-5.022276+(-0.26622--1.958706))+0-0-0</f>
        <v>3261.1702100000002</v>
      </c>
      <c r="J59" s="3">
        <f>4784+(169.8-1727.2)+(2.43984+(0.086598-0.880872))+0-0-0</f>
        <v>3228.2455660000001</v>
      </c>
      <c r="K59" s="3">
        <f>4707.4+(185.5-1620.6)+(-9.603096+(-0.37842--3.306024))+0-0-0</f>
        <v>3265.6245079999999</v>
      </c>
      <c r="L59" s="3">
        <f>4657.5+(278.3-1564.1)+(-9.5013+(-0.567732--3.190764))+0-0-0</f>
        <v>3364.8217319999999</v>
      </c>
      <c r="M59" s="3">
        <f>5005.6+(328.8-1419.1)+(-5.105712+(-0.335376--1.447482))+0-0-0</f>
        <v>3911.3063940000002</v>
      </c>
      <c r="N59" s="3">
        <f>5389.8+(166.5-936.4)+(-8.246394+(-0.254745--1.432692))+0-0-0</f>
        <v>4612.8315530000009</v>
      </c>
      <c r="O59" s="3">
        <f>5750+(236.8-900.3)+(2.9325+(0.120768-0.459153))+0-0-0</f>
        <v>5089.0941149999999</v>
      </c>
      <c r="P59" s="3">
        <f>6113.6+(346.5-1043.2)+(-3.117936+(-0.176715--0.532032))+0-0-0</f>
        <v>5414.1373810000005</v>
      </c>
      <c r="Q59" s="3">
        <f>6301.6+(452.5-1125.4)+(0+(0-0))+0-0-0</f>
        <v>5628.7000000000007</v>
      </c>
      <c r="R59" s="3">
        <f>6354.2+(493.3-1151.3)+(-9.721926+(-0.754749--1.761489))+0-0-0</f>
        <v>5687.4848139999995</v>
      </c>
      <c r="S59" s="3">
        <f>6395.9+(589-1447.6)+(-6.523818+(-0.60078--1.476552))+0-0-0</f>
        <v>5531.651953999999</v>
      </c>
      <c r="T59" s="3">
        <f>6383.6+(716.8-1521)+(3.255636+(0.365568-0.77571))+0-0-0</f>
        <v>5582.2454940000007</v>
      </c>
      <c r="U59" s="3">
        <f>6384.1+(760.8-1596.6)+(-3.255891+(-0.388008--0.814266))+0-0-0</f>
        <v>5545.4703669999999</v>
      </c>
      <c r="V59" s="3">
        <f>6441.4+(757.5-1701.4)+(-9.855342+(-1.158975--2.603142))+0-0-0</f>
        <v>5489.0888249999998</v>
      </c>
      <c r="W59" s="3">
        <f>6271+(670.6-1534.6)+(-19.18926+(-2.052036--4.695876))+0-0-0</f>
        <v>5390.4545799999996</v>
      </c>
      <c r="X59" s="3">
        <f>5908.3+(705.1-1417.9)+(-15.066165+(-1.798005--3.615645))+0-0-0</f>
        <v>5182.251475</v>
      </c>
      <c r="Y59" s="3">
        <f>5977.6+(649.4-1465.9)+(-6.097152+(-0.662388--1.495218))+0-0-0</f>
        <v>5155.8356780000004</v>
      </c>
      <c r="Z59" s="3">
        <f>6683.5+(454.6-1548.2)+(-6.81717+(-0.463692--1.579164))+0-0-0</f>
        <v>5584.1983019999998</v>
      </c>
      <c r="AA59" s="3">
        <f>6810.6+(531-1729)+(-17.36703+(-1.35405--4.40895))+0-0-0</f>
        <v>5598.2878700000001</v>
      </c>
      <c r="AB59" s="3">
        <f>6766.6+(499.8-1965.9)+(-10.352898+(-0.764694--3.007827))+0-0-0</f>
        <v>5292.3902349999998</v>
      </c>
      <c r="AC59" s="3">
        <f>6576.2+(501.3-2185)+(-6.707724+(-0.511326--2.2287))+0-0-0</f>
        <v>4887.50965</v>
      </c>
      <c r="AD59">
        <f t="shared" si="0"/>
        <v>113617.629304</v>
      </c>
      <c r="AE59" s="3">
        <f>6747+(530-1734.1)+(0+(0-0))+0-0-0</f>
        <v>5542.9</v>
      </c>
    </row>
    <row r="60" spans="1:31" s="2" customFormat="1" x14ac:dyDescent="0.25">
      <c r="A60">
        <v>89</v>
      </c>
      <c r="B60">
        <v>2</v>
      </c>
      <c r="C60">
        <v>29</v>
      </c>
      <c r="D60">
        <v>5</v>
      </c>
      <c r="E60">
        <v>1</v>
      </c>
      <c r="F60" s="3">
        <f>5889.5+(627-2254.4)+(-9.010935+(-0.95931--3.449232))+0-0-0</f>
        <v>4255.5789870000008</v>
      </c>
      <c r="G60" s="3">
        <f>5330.1+(503.2-1990.6)+(2.718351+(0.256632-1.015206))+0-0-0</f>
        <v>3844.6597770000008</v>
      </c>
      <c r="H60" s="3">
        <f>5279.6+(359.8-1992.2)+(-8.077788+(-0.550494--3.048066))+0-0-0</f>
        <v>3641.6197840000004</v>
      </c>
      <c r="I60" s="3">
        <f>5113+(246.8-1834.1)+(-7.82289+(-0.377604--2.806173))+0-0-0</f>
        <v>3520.3056789999996</v>
      </c>
      <c r="J60" s="3">
        <f>5078.7+(167.2-1774.8)+(2.590137+(0.085272-0.905148))+0-0-0</f>
        <v>3472.870261</v>
      </c>
      <c r="K60" s="3">
        <f>5079.2+(181.9-1779.7)+(-12.95196+(-0.463845--4.538235))+0-0-0</f>
        <v>3472.5224299999995</v>
      </c>
      <c r="L60" s="3">
        <f>5037.6+(164.1-1683.1)+(0+(0-0))+0-0-0</f>
        <v>3518.6000000000004</v>
      </c>
      <c r="M60" s="3">
        <f>5200.3+(157.6-1343.2)+(-7.956459+(-0.241128--2.055096))+0-0-0</f>
        <v>4008.5575089999998</v>
      </c>
      <c r="N60" s="3">
        <f>5881+(325.3-1449.6)+(-5.99862+(-0.331806--1.478592))+0-0-0</f>
        <v>4751.8481659999998</v>
      </c>
      <c r="O60" s="3">
        <f>6355.7+(340.2-1572.3)+(-3.241407+(-0.173502--0.801873))+0-0-0</f>
        <v>5120.9869640000006</v>
      </c>
      <c r="P60" s="3">
        <f>6575.5+(429.5-1523.2)+(-6.70701+(-0.43809--1.553664))+0-0-0</f>
        <v>5476.2085640000005</v>
      </c>
      <c r="Q60" s="3">
        <f>6498.8+(420.8-1299.8)+(-6.628776+(-0.429216--1.325796))+62.3-0-0</f>
        <v>5676.3678040000004</v>
      </c>
      <c r="R60" s="3">
        <f>6468.9+(604.6-1284.3)+(0+(0-0))+0-0-0</f>
        <v>5789.2</v>
      </c>
      <c r="S60" s="3">
        <f>6397.8+(504-1208.2)+(-13.051512+(-1.02816--2.464728))+0-0-0</f>
        <v>5681.9850560000004</v>
      </c>
      <c r="T60" s="3">
        <f>6380.8+(626.1-1241.5)+(0+(0-0))+0-0-0</f>
        <v>5765.4000000000005</v>
      </c>
      <c r="U60" s="3">
        <f>6352.7+(657.2-1300.9)+(-9.719631+(-1.005516--1.990377))+0-0-0</f>
        <v>5700.26523</v>
      </c>
      <c r="V60" s="3">
        <f>6353.5+(688.6-1392.3)+(-12.96114+(-1.404744--2.840292))+0-0-0</f>
        <v>5638.2744080000002</v>
      </c>
      <c r="W60" s="3">
        <f>6379.8+(712.1-1527.8)+(-13.014792+(-1.452684--3.116712))+0-0-0</f>
        <v>5552.7492360000006</v>
      </c>
      <c r="X60" s="3">
        <f>6269.7+(673.4-1532.1)+(-15.987735+(-1.71717--3.906855))+0-0-0</f>
        <v>5397.2019499999997</v>
      </c>
      <c r="Y60" s="3">
        <f>6116.5+(655.1-1354.1)+(-6.23883+(-0.668202--1.381182))+0-0-0</f>
        <v>5411.97415</v>
      </c>
      <c r="Z60" s="3">
        <f>6732.6+(509.6-1423.6)+(-3.433626+(-0.259896--0.726036))+0-0-0</f>
        <v>5815.6325140000008</v>
      </c>
      <c r="AA60" s="3">
        <f>6800.7+(582.2-1574.6)+(-10.405071+(-0.890766--2.409138))+0-0-0</f>
        <v>5799.4133010000005</v>
      </c>
      <c r="AB60" s="3">
        <f>6762.1+(523.9-1748.3)+(-17.243355+(-1.335945--4.458165))+0-0-0</f>
        <v>5523.5788650000004</v>
      </c>
      <c r="AC60" s="3">
        <f>6356.5+(613.4-1915.7)+(-12.96726+(-1.251336--3.908028))+0-0-0</f>
        <v>5043.8894319999999</v>
      </c>
      <c r="AD60">
        <f t="shared" si="0"/>
        <v>117879.690067</v>
      </c>
      <c r="AE60" s="3">
        <f>6830+(674.8-1559.2)+(0+(0-0))+0-0-0</f>
        <v>5945.6</v>
      </c>
    </row>
    <row r="61" spans="1:31" s="2" customFormat="1" x14ac:dyDescent="0.25">
      <c r="A61">
        <v>89</v>
      </c>
      <c r="B61">
        <v>2</v>
      </c>
      <c r="C61">
        <v>30</v>
      </c>
      <c r="D61">
        <v>6</v>
      </c>
      <c r="E61">
        <v>1</v>
      </c>
      <c r="F61" s="3">
        <f>5877.3+(520.5-1923.8)+(-23.979384+(-2.12364--7.849104))+0-0-0</f>
        <v>4455.7460799999999</v>
      </c>
      <c r="G61" s="3">
        <f>5625.3+(355.2-1961.3)+(-8.606709+(-0.543456--3.000789))+0-0-0</f>
        <v>4013.0506240000004</v>
      </c>
      <c r="H61" s="3">
        <f>5546.3+(216.1-1951.1)+(-5.657226+(-0.220422--1.990122))+0-0-0</f>
        <v>3807.4124740000002</v>
      </c>
      <c r="I61" s="3">
        <f>5439.6+(186-1919.6)+(-11.096784+(-0.37944--3.915984))+0-0-0</f>
        <v>3698.4397600000007</v>
      </c>
      <c r="J61" s="3">
        <f>5416.7+(255-2016.4)+(5.525034+(0.2601-2.056728))+0-0-0</f>
        <v>3659.0284059999999</v>
      </c>
      <c r="K61" s="3">
        <f>5399.2+(263.4-2019.4)+(-13.76796+(-0.67167--5.14947))+0-0-0</f>
        <v>3633.9098399999998</v>
      </c>
      <c r="L61" s="3">
        <f>5417.2+(313.9-2062.3)+(-11.051088+(-0.640356--4.207092))+0-0-0</f>
        <v>3661.3156479999998</v>
      </c>
      <c r="M61" s="3">
        <f>5731.1+(309.3-1956.2)+(5.845722+(0.315486-1.995324))+0-0-0</f>
        <v>4088.3658840000003</v>
      </c>
      <c r="N61" s="3">
        <f>6289.5+(303-1853.1)+(-6.41529+(-0.30906--1.890162))+0-0-0</f>
        <v>4734.5658119999998</v>
      </c>
      <c r="O61" s="3">
        <f>6514.3+(474.5-1719.3)+(-3.322293+(-0.241995--0.876843))+0-0-0</f>
        <v>5266.8125550000004</v>
      </c>
      <c r="P61" s="3">
        <f>6594+(454.4-1351.5)+(0+(0-0))+0-0-0</f>
        <v>5696.9</v>
      </c>
      <c r="Q61" s="3">
        <f>6549.1+(470-1118.4)+(6.680082+(0.4794-1.140768))+0-0-0</f>
        <v>5906.7187140000005</v>
      </c>
      <c r="R61" s="3">
        <f>6542.3+(520.6-1144.4)+(-13.346292+(-1.062024--2.334576))+0-0-0</f>
        <v>5906.4262600000002</v>
      </c>
      <c r="S61" s="3">
        <f>6550.3+(557.4-1459.4)+(-10.021959+(-0.852822--2.232882))+0-0-0</f>
        <v>5639.658101</v>
      </c>
      <c r="T61" s="3">
        <f>6553.9+(682.2-1765.7)+(-6.684978+(-0.695844--1.801014))+0-0-0</f>
        <v>5464.8201919999992</v>
      </c>
      <c r="U61" s="3">
        <f>6696.4+(778.6-2174)+(-3.415164+(-0.397086--1.10874))+0-0-0</f>
        <v>5298.2964899999997</v>
      </c>
      <c r="V61" s="3">
        <f>6632.8+(814.9-2207.9)+(-10.148184+(-1.246797--3.378087))+0-0-0</f>
        <v>5231.7831059999999</v>
      </c>
      <c r="W61" s="3">
        <f>6601.8+(831.7-2227.4)+(-13.467672+(-1.696668--4.543896))+0-0-0</f>
        <v>5195.4795560000002</v>
      </c>
      <c r="X61" s="3">
        <f>6341.6+(641.3-1770.3)+(-19.405296+(-1.962378--5.417118))+0-0-0</f>
        <v>5196.6494440000006</v>
      </c>
      <c r="Y61" s="3">
        <f>5892.6+(407.4-1058.2)+(-9.015678+(-0.623322--1.619046))+0-0-0</f>
        <v>5233.7800459999999</v>
      </c>
      <c r="Z61" s="3">
        <f>6593.3+(509.9-1568)+(-3.362583+(-0.260049--0.79968))+0-0-0</f>
        <v>5532.3770480000003</v>
      </c>
      <c r="AA61" s="3">
        <f>7008.9+(436.5-1929.3)+(-7.149078+(-0.44523--1.967886))+0-0-0</f>
        <v>5510.4735779999992</v>
      </c>
      <c r="AB61" s="3">
        <f>6901+(349.1-2022.6)+(-10.55853+(-0.534123--3.094578))+0-0-0</f>
        <v>5219.5019249999996</v>
      </c>
      <c r="AC61" s="3">
        <f>6650.1+(420.9-2171.2)+(-3.391551+(-0.214659--1.107312))+0-0-0</f>
        <v>4897.3011020000013</v>
      </c>
      <c r="AD61">
        <f t="shared" si="0"/>
        <v>116948.812645</v>
      </c>
      <c r="AE61" s="3">
        <f>6976+(440.2-1920.8)+(0+(0-0))+0-0-0</f>
        <v>5495.4</v>
      </c>
    </row>
    <row r="62" spans="1:31" s="2" customFormat="1" x14ac:dyDescent="0.25">
      <c r="A62">
        <v>89</v>
      </c>
      <c r="B62">
        <v>2</v>
      </c>
      <c r="C62">
        <v>31</v>
      </c>
      <c r="D62">
        <v>7</v>
      </c>
      <c r="E62">
        <v>1</v>
      </c>
      <c r="F62" s="3">
        <f>6029.3+(467.6-2053.2)+(-3.074943+(-0.238476--1.047132))+0-0-0</f>
        <v>4441.4337130000004</v>
      </c>
      <c r="G62" s="3">
        <f>5582.8+(571.6-2135.6)+(2.847228+(0.291516-1.089156))+0-0-0</f>
        <v>4020.849588</v>
      </c>
      <c r="H62" s="3">
        <f>5231.1+(471.6-1961.4)+(-10.671444+(-0.962064--4.001256))+0-0-0</f>
        <v>3733.6677480000003</v>
      </c>
      <c r="I62" s="3">
        <f>5103.2+(433.6-1982.6)+(5.205264+(0.442272-2.022252))+0-0-0</f>
        <v>3557.825284</v>
      </c>
      <c r="J62" s="3">
        <f>5071.6+(344.1-1949.2)+(-2.586516+(-0.175491--0.994092))+0-0-0</f>
        <v>3464.7320850000006</v>
      </c>
      <c r="K62" s="3">
        <f>4942.5+(330.2-1869)+(-10.0827+(-0.673608--3.81276))+0-0-0</f>
        <v>3396.7564519999996</v>
      </c>
      <c r="L62" s="3">
        <f>4681.6+(334.7-1807.4)+(-9.550464+(-0.682788--3.687096))+0-0-0</f>
        <v>3202.3538440000007</v>
      </c>
      <c r="M62" s="3">
        <f>4346.2+(300.6-1449.1)+(-4.433124+(-0.306612--1.478082))+0-0-0</f>
        <v>3194.4383459999999</v>
      </c>
      <c r="N62" s="3">
        <f>4708+(273.7-1516.8)+(-4.80216+(-0.279174--1.547136))+0-0-0</f>
        <v>3461.3658020000003</v>
      </c>
      <c r="O62" s="3">
        <f>5052.7+(209.7-1428.3)+(-10.307508+(-0.427788--2.913732))+0-0-0</f>
        <v>3826.2784360000001</v>
      </c>
      <c r="P62" s="3">
        <f>5463.5+(221-1308.4)+(-5.57277+(-0.22542--1.334568))+0-0-0</f>
        <v>4371.6363780000001</v>
      </c>
      <c r="Q62" s="3">
        <f>5668.6+(355.8-1592.1)+(-5.781972+(-0.362916--1.623942))+0-0-0</f>
        <v>4427.7790540000005</v>
      </c>
      <c r="R62" s="3">
        <f>5663.3+(499.2-1642.6)+(-11.553132+(-1.018368--3.350904))+0-0-0</f>
        <v>4510.6794040000004</v>
      </c>
      <c r="S62" s="3">
        <f>5591+(656.8-1729.5)+(-2.85141+(-0.334968--0.882045))+0-0-0</f>
        <v>4515.9956670000001</v>
      </c>
      <c r="T62" s="3">
        <f>5599.8+(720.3-1851.9)+(-5.711796+(-0.734706--1.888938))+0-0-0</f>
        <v>4463.6424360000001</v>
      </c>
      <c r="U62" s="3">
        <f>5633.6+(728.7-2010.9)+(-17.238816+(-2.229822--6.153354))+0-0-0</f>
        <v>4338.0847160000003</v>
      </c>
      <c r="V62" s="3">
        <f>5598.2+(724.2-1946.7)+(-11.420328+(-1.477368--3.971268))+0-0-0</f>
        <v>4366.7735720000001</v>
      </c>
      <c r="W62" s="3">
        <f>5348.6+(645.6-1558.5)+(-8.183358+(-0.987768--2.384505))+0-0-0</f>
        <v>4428.9133790000005</v>
      </c>
      <c r="X62" s="3">
        <f>5113.6+(579.5-1275.4)+(-18.255552+(-2.068815--4.553178))+0-0-0</f>
        <v>4401.9288110000007</v>
      </c>
      <c r="Y62" s="3">
        <f>5073.5+(415.2-1122.9)+(-5.17497+(-0.423504--1.145358))+0-0-0</f>
        <v>4361.3468840000005</v>
      </c>
      <c r="Z62" s="3">
        <f>5832.3+(429.6-1359.6)+(-8.923419+(-0.657288--2.080188))+0-0-0</f>
        <v>4894.799481</v>
      </c>
      <c r="AA62" s="3">
        <f>6356.8+(317.1-1564.1)+(-9.725904+(-0.485163--2.393073))+0-0-0</f>
        <v>5101.9820060000002</v>
      </c>
      <c r="AB62" s="3">
        <f>6447.8+(264.2-1785.9)+(-13.153512+(-0.538968--3.643236))+0-0-0</f>
        <v>4916.0507560000005</v>
      </c>
      <c r="AC62" s="3">
        <f>6111.4+(331.5-1757.8)+(-9.350442+(-0.507195--2.689434))+0-0-0</f>
        <v>4677.9317969999993</v>
      </c>
      <c r="AD62">
        <f t="shared" si="0"/>
        <v>100077.24563900002</v>
      </c>
      <c r="AE62" s="3">
        <f>6457+(299.7-1492.7)+(0+(0-0))+0-0-0</f>
        <v>5264</v>
      </c>
    </row>
    <row r="63" spans="1:31" s="2" customFormat="1" x14ac:dyDescent="0.25">
      <c r="A63">
        <v>89</v>
      </c>
      <c r="B63">
        <v>3</v>
      </c>
      <c r="C63">
        <v>1</v>
      </c>
      <c r="D63">
        <v>1</v>
      </c>
      <c r="E63">
        <v>1</v>
      </c>
      <c r="F63" s="3">
        <f>5526.4+(313.9-1709.1)+(-5.636928+(-0.320178--1.743282))+0-0-0</f>
        <v>4126.9861759999994</v>
      </c>
      <c r="G63" s="3">
        <f>5400.2+(210.6-1892.6)+(8.262306+(0.322218-2.895678))+0-0-0</f>
        <v>3723.8888459999998</v>
      </c>
      <c r="H63" s="3">
        <f>5256.4+(188.9-1966.2)+(-13.40382+(-0.481695--5.01381))+0-0-0</f>
        <v>3470.2282949999994</v>
      </c>
      <c r="I63" s="3">
        <f>5183.6+(202-2008.2)+(-2.643636+(-0.10302--1.024182))+0-0-0</f>
        <v>3375.6775260000004</v>
      </c>
      <c r="J63" s="3">
        <f>5163.4+(200.3-2018.6)+(2.633334+(0.102153-1.029486))+0-0-0</f>
        <v>3346.8060009999995</v>
      </c>
      <c r="K63" s="3">
        <f>5038.1+(210.7-1875.7)+(-12.847155+(-0.537285--4.783035))+0-0-0</f>
        <v>3364.4985950000005</v>
      </c>
      <c r="L63" s="3">
        <f>5028.6+(180.6-1351)+(0+(0-0))+0-0-0</f>
        <v>3858.2000000000003</v>
      </c>
      <c r="M63" s="3">
        <f>5293.5+(270.9-1290.5)+(2.699685+(0.138159-0.658155))+0-0-0</f>
        <v>4276.0796889999992</v>
      </c>
      <c r="N63" s="3">
        <f>6013.3+(346-1290.3)+(0+(0-0))+0-0-0</f>
        <v>5069</v>
      </c>
      <c r="O63" s="3">
        <f>6272.3+(432.8-1226.3)+(-6.397746+(-0.441456--1.250826))+0-0-0</f>
        <v>5473.2116240000005</v>
      </c>
      <c r="P63" s="3">
        <f>6392+(417.8-1236.3)+(-16.2996+(-1.06539--3.152565))+0-0-0</f>
        <v>5559.2875750000003</v>
      </c>
      <c r="Q63" s="3">
        <f>6605.3+(466.5-1281.3)+(-3.368703+(-0.237915--0.653463))+0-0-0</f>
        <v>5787.5468449999998</v>
      </c>
      <c r="R63" s="3">
        <f>6786+(569.3-1511.3)+(-6.92172+(-0.580686--1.541526))+0-0-0</f>
        <v>5838.0391200000004</v>
      </c>
      <c r="S63" s="3">
        <f>6736.4+(734.4-1736.2)+(-10.306692+(-1.123632--2.656386))+0-0-0</f>
        <v>5725.8260619999992</v>
      </c>
      <c r="T63" s="3">
        <f>6746.5+(959.1-1880.9)+(3.440715+(0.489141-0.959259))+0-0-0</f>
        <v>5827.6705970000003</v>
      </c>
      <c r="U63" s="3">
        <f>6708.3+(873.5-1798.2)+(-17.106165+(-2.227425--4.58541))+0-0-0</f>
        <v>5768.8518200000008</v>
      </c>
      <c r="V63" s="3">
        <f>6792.5+(713.7-1834.2)+(-6.92835+(-0.727974--1.870884))+0-0-0</f>
        <v>5666.2145600000003</v>
      </c>
      <c r="W63" s="3">
        <f>6674+(692.5-1802.2)+(-17.0187+(-1.765875--4.59561))+0-0-0</f>
        <v>5550.1110349999999</v>
      </c>
      <c r="X63" s="3">
        <f>6232.8+(716.4-1588.1)+(-12.714912+(-1.461456--3.239724))+0-0-0</f>
        <v>5350.163356</v>
      </c>
      <c r="Y63" s="3">
        <f>6095.9+(564.8-1469.5)+(-12.435636+(-1.152192--2.99778))+0-0-0</f>
        <v>5180.6099519999998</v>
      </c>
      <c r="Z63" s="3">
        <f>6737.4+(428.6-1571.2)+(-17.18037+(-1.09293--4.00656))+0-0-0</f>
        <v>5580.5332599999992</v>
      </c>
      <c r="AA63" s="3">
        <f>7062.8+(296.8-1669.7)+(-25.214196+(-1.059576--5.960829))+0-0-0</f>
        <v>5669.5870569999997</v>
      </c>
      <c r="AB63" s="3">
        <f>6759.4+(371.8-1684.3)+(-13.789176+(-0.758472--3.435972))+0-0-0</f>
        <v>5435.7883239999992</v>
      </c>
      <c r="AC63" s="3">
        <f>6327+(370.2-1671.1)+(-6.45354+(-0.377604--1.704522))+0-0-0</f>
        <v>5020.9733780000006</v>
      </c>
      <c r="AD63">
        <f t="shared" si="0"/>
        <v>118045.77969299997</v>
      </c>
      <c r="AE63" s="3">
        <f>7051+(309-1630.8)+(0+(0-0))+0-0-0</f>
        <v>5729.2</v>
      </c>
    </row>
    <row r="64" spans="1:31" s="2" customFormat="1" x14ac:dyDescent="0.25">
      <c r="A64">
        <v>89</v>
      </c>
      <c r="B64">
        <v>3</v>
      </c>
      <c r="C64">
        <v>2</v>
      </c>
      <c r="D64">
        <v>2</v>
      </c>
      <c r="E64">
        <v>1</v>
      </c>
      <c r="F64" s="3">
        <f>5944.3+(414.8-1894.8)+(-6.063186+(-0.423096--1.932696))+0-0-0</f>
        <v>4459.7464140000002</v>
      </c>
      <c r="G64" s="3">
        <f>5669+(401.7-2066.7)+(-14.45595+(-1.024335--5.270085))+0-0-0</f>
        <v>3993.7898</v>
      </c>
      <c r="H64" s="3">
        <f>5165.6+(357.6-1770.7)+(-7.903368+(-0.547128--2.709171))+0-0-0</f>
        <v>3746.7586750000005</v>
      </c>
      <c r="I64" s="3">
        <f>4910+(265.3-1542.5)+(-7.5123+(-0.405909--2.360025))+0-0-0</f>
        <v>3627.2418160000002</v>
      </c>
      <c r="J64" s="3">
        <f>4985.9+(283.6-1667.4)+(-5.085618+(-0.289272--1.700748))+0-0-0</f>
        <v>3598.4258579999996</v>
      </c>
      <c r="K64" s="3">
        <f>4996.1+(305.8-1733.6)+(-7.644033+(-0.467874--2.652408))+0-0-0</f>
        <v>3562.8405010000001</v>
      </c>
      <c r="L64" s="3">
        <f>4550.4+(313.5-1266.9)+(-2.320704+(-0.159885--0.646119))+0-0-0</f>
        <v>3595.1655299999998</v>
      </c>
      <c r="M64" s="3">
        <f>4838.5+(305-1068.8)+(-2.467635+(-0.15555--0.545088))+0-0-0</f>
        <v>4072.6219029999997</v>
      </c>
      <c r="N64" s="3">
        <f>5682+(367.9-1252.4)+(-2.89782+(-0.187629--0.638724))+0-0-0</f>
        <v>4795.0532750000002</v>
      </c>
      <c r="O64" s="3">
        <f>6087.9+(461.4-1252.9)+(-6.209658+(-0.470628--1.277958))+0-0-0</f>
        <v>5290.9976719999995</v>
      </c>
      <c r="P64" s="3">
        <f>6631.8+(497.2-1507.5)+(-20.293308+(-1.521432--4.61295))+0-0-0</f>
        <v>5604.2982099999999</v>
      </c>
      <c r="Q64" s="3">
        <f>6767.2+(602.2-1476.9)+(-3.451272+(-0.307122--0.753219))+0-0-0</f>
        <v>5889.4948249999998</v>
      </c>
      <c r="R64" s="3">
        <f>6860.9+(634.5-1562.9)+(-6.998118+(-0.64719--1.594158))+0-0-0</f>
        <v>5926.4488499999998</v>
      </c>
      <c r="S64" s="3">
        <f>6875.1+(769.9-1860.6)+(-17.531505+(-1.963245--4.74453))+0-0-0</f>
        <v>5769.6497800000006</v>
      </c>
      <c r="T64" s="3">
        <f>6845.2+(857.5-1851.2)+(0+(0-0))+0-0-0</f>
        <v>5851.5</v>
      </c>
      <c r="U64" s="3">
        <f>6835.4+(852-1850)+(-10.458162+(-1.30356--2.8305))+0-0-0</f>
        <v>5828.4687779999995</v>
      </c>
      <c r="V64" s="3">
        <f>6830.1+(889.7-1941.9)+(-13.933404+(-1.814988--3.961476))+0-0-0</f>
        <v>5766.1130840000005</v>
      </c>
      <c r="W64" s="3">
        <f>6752.7+(734.1-1846.5)+(-20.663262+(-2.246346--5.65029))+0-0-0</f>
        <v>5623.0406819999989</v>
      </c>
      <c r="X64" s="3">
        <f>6253.2+(698.4-1536.3)+(-15.94566+(-1.78092--3.917565))+0-0-0</f>
        <v>5401.4909850000004</v>
      </c>
      <c r="Y64" s="3">
        <f>5974.3+(674.4-1369.9)+(-3.046893+(-0.343944--0.698649))+0-0-0</f>
        <v>5276.1078120000002</v>
      </c>
      <c r="Z64" s="3">
        <f>6537.2+(546.2-1380.7)+(-3.333972+(-0.278562--0.704157))+0-0-0</f>
        <v>5699.7916230000001</v>
      </c>
      <c r="AA64" s="3">
        <f>7081.9+(417.5-1647.6)+(-10.835307+(-0.638775--2.520828))+0-0-0</f>
        <v>5842.8467459999993</v>
      </c>
      <c r="AB64" s="3">
        <f>7009.7+(559.7-2003.8)+(-17.874735+(-1.427235--5.10969))+0-0-0</f>
        <v>5551.4077200000002</v>
      </c>
      <c r="AC64" s="3">
        <f>6717.4+(614.8-2165)+(-6.851748+(-0.627096--2.2083))+0-0-0</f>
        <v>5161.9294559999998</v>
      </c>
      <c r="AD64">
        <f t="shared" si="0"/>
        <v>119935.22999499999</v>
      </c>
      <c r="AE64" s="3">
        <f>7052+(454.6-1621.1)+(0+(0-0))+0-0-0</f>
        <v>5885.5</v>
      </c>
    </row>
    <row r="65" spans="1:31" s="2" customFormat="1" x14ac:dyDescent="0.25">
      <c r="A65">
        <v>89</v>
      </c>
      <c r="B65">
        <v>3</v>
      </c>
      <c r="C65">
        <v>3</v>
      </c>
      <c r="D65">
        <v>3</v>
      </c>
      <c r="E65">
        <v>1</v>
      </c>
      <c r="F65" s="3">
        <f>5881.2+(557.2-1966.1)+(-8.998236+(-0.852516--3.008133))+0-0-0</f>
        <v>4465.4573810000002</v>
      </c>
      <c r="G65" s="3">
        <f>5525.7+(512.7-1938.8)+(-2.818107+(-0.261477--0.988788))+0-0-0</f>
        <v>4097.509204</v>
      </c>
      <c r="H65" s="3">
        <f>5283.8+(417-1844)+(-2.694738+(-0.21267--0.94044))+0-0-0</f>
        <v>3854.833032</v>
      </c>
      <c r="I65" s="3">
        <f>5265.1+(394.2-1879.6)+(-5.370402+(-0.402084--1.917192))+0-0-0</f>
        <v>3775.8447060000008</v>
      </c>
      <c r="J65" s="3">
        <f>4985.5+(413.8-1750.4)+(-12.713025+(-1.05519--4.46352))+0-0-0</f>
        <v>3639.5953049999998</v>
      </c>
      <c r="K65" s="3">
        <f>4853.4+(428.3-1701.6)+(-7.425702+(-0.655299--2.603448))+0-0-0</f>
        <v>3574.6224469999993</v>
      </c>
      <c r="L65" s="3">
        <f>4749+(435.8-1550.2)+(-2.42199+(-0.222258--0.790602))+0-0-0</f>
        <v>3632.7463539999999</v>
      </c>
      <c r="M65" s="3">
        <f>5144.4+(339.7-1228.5)+(0+(0-0))+0-0-0</f>
        <v>4255.5999999999995</v>
      </c>
      <c r="N65" s="3">
        <f>5659.6+(498.4-1259.9)+(-2.886396+(-0.254184--0.642549))+0-0-0</f>
        <v>4895.6019690000003</v>
      </c>
      <c r="O65" s="3">
        <f>5865.9+(678.4-1166.4)+(-2.991609+(-0.345984--0.594864))+0-0-0</f>
        <v>5375.157271</v>
      </c>
      <c r="P65" s="3">
        <f>6403.4+(636.7-1159.8)+(-3.265734+(-0.324717--0.591498))+0-0-0</f>
        <v>5877.301046999999</v>
      </c>
      <c r="Q65" s="3">
        <f>6616+(643.1-1127.6)+(-6.74832+(-0.655962--1.150152))+0-0-0</f>
        <v>6125.2458699999997</v>
      </c>
      <c r="R65" s="3">
        <f>6662.4+(821.1-1245.8)+(-6.795648+(-0.837522--1.270716))+0-0-0</f>
        <v>6231.3375459999997</v>
      </c>
      <c r="S65" s="3">
        <f>6614.4+(925.6-1541.3)+(-6.746688+(-0.944112--1.572126))+0-0-0</f>
        <v>5992.5813259999995</v>
      </c>
      <c r="T65" s="3">
        <f>6469.4+(1031.8-1410.5)+(0+(0-0))+0-0-0</f>
        <v>6090.7</v>
      </c>
      <c r="U65" s="3">
        <f>6366.3+(1042.7-1324.7)+(-6.493626+(-1.063554--1.351194))+0-0-0</f>
        <v>6078.0940140000002</v>
      </c>
      <c r="V65" s="3">
        <f>6303.3+(1051.1-1329.3)+(-19.288098+(-3.216366--4.067658))+0-0-0</f>
        <v>6006.6631940000007</v>
      </c>
      <c r="W65" s="3">
        <f>6317.4+(1076.2-1475.1)+(-12.887496+(-2.195448--3.009204))+0-0-0</f>
        <v>5906.4262600000002</v>
      </c>
      <c r="X65" s="3">
        <f>6166+(897.2-1312.8)+(-18.86796+(-2.745432--4.017168))+0-0-0</f>
        <v>5732.8037759999997</v>
      </c>
      <c r="Y65" s="3">
        <f>5911.1+(809.3-1143.2)+(-15.073305+(-2.063715--2.91516))+0-0-0</f>
        <v>5562.9781400000011</v>
      </c>
      <c r="Z65" s="3">
        <f>6585.2+(606.3-1231.8)+(-10.075356+(-0.927639--1.884654))+0-0-0</f>
        <v>5950.5816589999995</v>
      </c>
      <c r="AA65" s="3">
        <f>6884.3+(469.8-1338)+(-24.576951+(-1.677186--4.77666))+0-0-0</f>
        <v>5994.622523</v>
      </c>
      <c r="AB65" s="3">
        <f>6881.7+(645.7-1800.1)+(-14.038668+(-1.317228--3.672204))+0-0-0</f>
        <v>5715.6163080000006</v>
      </c>
      <c r="AC65" s="3">
        <f>6307.4+(560-1607.6)+(-16.08387+(-1.428--4.09938))+0-0-0</f>
        <v>5246.3875099999996</v>
      </c>
      <c r="AD65">
        <f t="shared" ref="AD65:AD128" si="1">SUM(F65:AC65)</f>
        <v>124078.30684200001</v>
      </c>
      <c r="AE65" s="3">
        <f>6852+(379.4-1236)+(0+(0-0))+0-0-0</f>
        <v>5995.4</v>
      </c>
    </row>
    <row r="66" spans="1:31" s="2" customFormat="1" x14ac:dyDescent="0.25">
      <c r="A66">
        <v>89</v>
      </c>
      <c r="B66">
        <v>3</v>
      </c>
      <c r="C66">
        <v>4</v>
      </c>
      <c r="D66">
        <v>4</v>
      </c>
      <c r="E66">
        <v>1</v>
      </c>
      <c r="F66" s="3">
        <f>5557.7+(519.3-1497.1)+(-8.503281+(-0.794529--2.290563))+0-0-0</f>
        <v>4572.8927530000001</v>
      </c>
      <c r="G66" s="3">
        <f>5237.5+(393.6-1510)+(-8.013375+(-0.602208--2.3103))+0-0-0</f>
        <v>4114.7947170000007</v>
      </c>
      <c r="H66" s="3">
        <f>5009.1+(418.4-1636.1)+(-5.109282+(-0.426768--1.668822))+0-0-0</f>
        <v>3787.5327720000005</v>
      </c>
      <c r="I66" s="3">
        <f>4853.4+(348.3-1472.9)+(-14.851404+(-1.065798--4.507074))+0-0-0</f>
        <v>3717.3898719999993</v>
      </c>
      <c r="J66" s="3">
        <f>4635.4+(298.8-1361.7)+(-4.728108+(-0.304776--1.388934))+0-0-0</f>
        <v>3568.8560499999994</v>
      </c>
      <c r="K66" s="3">
        <f>4632.4+(301.2-1336.8)+(-11.81262+(-0.76806--3.40884))+0-0-0</f>
        <v>3587.6281599999998</v>
      </c>
      <c r="L66" s="3">
        <f>4604.4+(314.4-1303.4)+(-11.74122+(-0.80172--3.32367))+0-0-0</f>
        <v>3606.1807299999996</v>
      </c>
      <c r="M66" s="3">
        <f>4753.5+(331.3-981.5)+(-9.69714+(-0.675852--2.00226))+0-0-0</f>
        <v>4094.9292680000003</v>
      </c>
      <c r="N66" s="3">
        <f>5318.2+(360.1-832.3)+(-5.424564+(-0.367302--0.848946))+0-0-0</f>
        <v>4841.0570799999996</v>
      </c>
      <c r="O66" s="3">
        <f>5848.4+(411.6-942.5)+(-8.948052+(-0.629748--1.442025))+0-0-0</f>
        <v>5309.3642250000003</v>
      </c>
      <c r="P66" s="3">
        <f>6228.9+(421.7-997)+(-3.176739+(-0.215067--0.50847))+0-0-0</f>
        <v>5650.7166639999996</v>
      </c>
      <c r="Q66" s="3">
        <f>6405.7+(429.4-1084.5)+(-3.266907+(-0.218994--0.553095))+0-0-0</f>
        <v>5747.6671939999997</v>
      </c>
      <c r="R66" s="3">
        <f>6516.5+(668.2-1285.2)+(-6.64683+(-0.681564--1.310904))+0-0-0</f>
        <v>5893.4825099999998</v>
      </c>
      <c r="S66" s="3">
        <f>6645.4+(681.9-1594.2)+(-6.778308+(-0.695538--1.626084))+0-0-0</f>
        <v>5727.2522379999991</v>
      </c>
      <c r="T66" s="3">
        <f>6625.4+(858.1-1707.1)+(-10.136862+(-1.312893--2.611863))+0-0-0</f>
        <v>5767.5621080000001</v>
      </c>
      <c r="U66" s="3">
        <f>6549.7+(938.5-1850.7)+(3.340347+(0.478635-0.943857))+0-0-0</f>
        <v>5640.3751249999996</v>
      </c>
      <c r="V66" s="3">
        <f>6542.8+(922-1679.9)+(3.336828+(0.47022-0.856749))+0-0-0</f>
        <v>5787.8502989999997</v>
      </c>
      <c r="W66" s="3">
        <f>6393.3+(758.3-1512.2)+(-13.042332+(-1.546932--3.084888))+0-0-0</f>
        <v>5627.8956239999998</v>
      </c>
      <c r="X66" s="3">
        <f>6064.6+(567.1-1199)+(-18.557676+(-1.735326--3.66894))+0-0-0</f>
        <v>5416.0759380000009</v>
      </c>
      <c r="Y66" s="3">
        <f>5785.6+(462.3-1118.1)+(-14.75328+(-1.178865--2.851155))+0-0-0</f>
        <v>5116.7190099999998</v>
      </c>
      <c r="Z66" s="3">
        <f>6400.5+(610.3-1502.6)+(-19.58553+(-1.867518--4.597956))+0-0-0</f>
        <v>5491.344908</v>
      </c>
      <c r="AA66" s="3">
        <f>6983.3+(506.5-1865.4)+(-28.491864+(-2.06652--7.610832))+0-0-0</f>
        <v>5601.452448</v>
      </c>
      <c r="AB66" s="3">
        <f>6927.1+(485.7-2013.3)+(-3.532821+(-0.247707--1.026783))+0-0-0</f>
        <v>5396.746255</v>
      </c>
      <c r="AC66" s="3">
        <f>6371+(694.8-2053.8)+(-16.24605+(-1.77174--5.23719))+0-0-0</f>
        <v>4999.2194</v>
      </c>
      <c r="AD66">
        <f t="shared" si="1"/>
        <v>119064.985348</v>
      </c>
      <c r="AE66" s="3">
        <f>6951+(506.1-1742.4)+(0+(0-0))+0-0-0</f>
        <v>5714.7</v>
      </c>
    </row>
    <row r="67" spans="1:31" s="2" customFormat="1" x14ac:dyDescent="0.25">
      <c r="A67">
        <v>89</v>
      </c>
      <c r="B67">
        <v>3</v>
      </c>
      <c r="C67">
        <v>5</v>
      </c>
      <c r="D67">
        <v>5</v>
      </c>
      <c r="E67">
        <v>1</v>
      </c>
      <c r="F67" s="3">
        <f>5447+(711.6-1750.2)+(-11.11188+(-1.451664--3.570408))+0-0-0</f>
        <v>4399.4068639999996</v>
      </c>
      <c r="G67" s="3">
        <f>5197.7+(440.6-1638.1)+(2.650827+(0.224706-0.835431))+0-0-0</f>
        <v>4002.2401019999998</v>
      </c>
      <c r="H67" s="3">
        <f>5115.1+(397.8-1703.2)+(-13.043505+(-1.01439--4.34316))+0-0-0</f>
        <v>3799.9852650000003</v>
      </c>
      <c r="I67" s="3">
        <f>5027.1+(321.9-1714.3)+(-7.691463+(-0.492507--2.622879))+0-0-0</f>
        <v>3629.1389090000002</v>
      </c>
      <c r="J67" s="3">
        <f>5054.9+(326.2-1686.9)+(-2.577999+(-0.166362--0.860319))+0-0-0</f>
        <v>3692.3159579999997</v>
      </c>
      <c r="K67" s="3">
        <f>4764.9+(335.9-1515)+(-14.580594+(-1.027854--4.6359))+0-0-0</f>
        <v>3574.8274519999995</v>
      </c>
      <c r="L67" s="3">
        <f>4453.2+(367.8-1209.1)+(-9.084528+(-0.750312--2.466564))+0-0-0</f>
        <v>3604.5317239999995</v>
      </c>
      <c r="M67" s="3">
        <f>4818.6+(360.8-1078.7)+(-4.914972+(-0.368016--1.100274))+0-0-0</f>
        <v>4096.5172860000011</v>
      </c>
      <c r="N67" s="3">
        <f>5564.4+(347.9-1101.3)+(2.837844+(0.177429-0.561663))+0-0-0</f>
        <v>4813.4536099999996</v>
      </c>
      <c r="O67" s="3">
        <f>5950.6+(400.3-1066.8)+(-12.139224+(-0.816612--2.176272))+0-0-0</f>
        <v>5273.320436</v>
      </c>
      <c r="P67" s="3">
        <f>6349.3+(438.4-1270.8)+(0+(0-0))+0-0-0</f>
        <v>5516.9000000000005</v>
      </c>
      <c r="Q67" s="3">
        <f>6467+(568.2-1175.1)+(-3.29817+(-0.289782--0.599301))+0-0-0</f>
        <v>5857.1113490000007</v>
      </c>
      <c r="R67" s="3">
        <f>6539.2+(663-1296.9)+(-3.334992+(-0.33813--0.661419))+0-0-0</f>
        <v>5902.2882969999991</v>
      </c>
      <c r="S67" s="3">
        <f>6524.6+(717.3-1501.3)+(-3.327546+(-0.365823--0.765663))+0-0-0</f>
        <v>5737.672294</v>
      </c>
      <c r="T67" s="3">
        <f>6481.3+(716-1344.7)+(-6.610926+(-0.73032--1.371594))+0-0-0</f>
        <v>5846.6303480000006</v>
      </c>
      <c r="U67" s="3">
        <f>6444.4+(786.2-1413.1)+(-3.286644+(-0.400962--0.720681))+0-0-0</f>
        <v>5814.5330750000003</v>
      </c>
      <c r="V67" s="3">
        <f>6427.1+(811.9-1457.2)+(-9.833463+(-1.242207--2.229516))+0-0-0</f>
        <v>5772.9538460000003</v>
      </c>
      <c r="W67" s="3">
        <f>6300.5+(740.8-1376.1)+(-22.492785+(-2.644656--4.912677))+0-0-0</f>
        <v>5644.9752360000002</v>
      </c>
      <c r="X67" s="3">
        <f>6186.2+(683.1-1407.6)+(-22.084734+(-2.438667--5.025132))+0-0-0</f>
        <v>5442.2017310000001</v>
      </c>
      <c r="Y67" s="3">
        <f>5700.4+(562.2-979.8)+(-11.628816+(-1.146888--1.998792))+0-0-0</f>
        <v>5272.023087999999</v>
      </c>
      <c r="Z67" s="3">
        <f>6217.9+(551.2-1091.1)+(-6.342258+(-0.562224--1.112922))+0-0-0</f>
        <v>5672.2084400000003</v>
      </c>
      <c r="AA67" s="3">
        <f>6652+(699-1481.7)+(-20.35512+(-2.13894--4.534002))+0-0-0</f>
        <v>5851.3399420000005</v>
      </c>
      <c r="AB67" s="3">
        <f>6691.7+(802.3-1916.1)+(3.412767+(0.409173-0.977211))+0-0-0</f>
        <v>5580.744729</v>
      </c>
      <c r="AC67" s="3">
        <f>6303.9+(744.9-1945.1)+(-3.214989+(-0.379899--0.992001))+0-0-0</f>
        <v>5101.0971129999998</v>
      </c>
      <c r="AD67">
        <f t="shared" si="1"/>
        <v>119898.417094</v>
      </c>
      <c r="AE67" s="3">
        <f>6666+(735-1583.6)+(0+(0-0))+0-0-0</f>
        <v>5817.4</v>
      </c>
    </row>
    <row r="68" spans="1:31" s="2" customFormat="1" x14ac:dyDescent="0.25">
      <c r="A68">
        <v>89</v>
      </c>
      <c r="B68">
        <v>3</v>
      </c>
      <c r="C68">
        <v>6</v>
      </c>
      <c r="D68">
        <v>6</v>
      </c>
      <c r="E68">
        <v>1</v>
      </c>
      <c r="F68" s="3">
        <f>5918.2+(633.1-1959.8)+(-12.073128+(-1.291524--3.997992))+0-0-0</f>
        <v>4582.1333400000003</v>
      </c>
      <c r="G68" s="3">
        <f>5247.7+(394-1526.3)+(-2.676327+(-0.20094--0.778413))+0-0-0</f>
        <v>4113.3011459999998</v>
      </c>
      <c r="H68" s="3">
        <f>5135.1+(342.2-1604.8)+(-5.237802+(-0.349044--1.636896))+0-0-0</f>
        <v>3868.5500500000003</v>
      </c>
      <c r="I68" s="3">
        <f>5076+(303.9-1617.6)+(-15.53256+(-0.929934--4.949856))+0-0-0</f>
        <v>3750.787362</v>
      </c>
      <c r="J68" s="3">
        <f>5006.2+(305.4-1613.6)+(-7.659486+(-0.467262--2.468808))+0-0-0</f>
        <v>3692.3420599999999</v>
      </c>
      <c r="K68" s="3">
        <f>4853.4+(318.1-1514.9)+(-19.801872+(-1.297848--6.180792))+0-0-0</f>
        <v>3641.6810719999994</v>
      </c>
      <c r="L68" s="3">
        <f>4352+(321.3-1108)+(-4.43904+(-0.327726--1.13016))+0-0-0</f>
        <v>3561.6633940000002</v>
      </c>
      <c r="M68" s="3">
        <f>4317.5+(311.3-680.6)+(0+(0-0))+0-0-0</f>
        <v>3948.2</v>
      </c>
      <c r="N68" s="3">
        <f>5061.7+(336.6-790.8)+(5.162934+(0.343332-0.806616))+0-0-0</f>
        <v>4612.1996499999996</v>
      </c>
      <c r="O68" s="3">
        <f>5766.1+(417.5-1044.3)+(-5.881422+(-0.42585--1.065186))+0-0-0</f>
        <v>5134.057914</v>
      </c>
      <c r="P68" s="3">
        <f>6241.9+(348-1057)+(-3.183369+(-0.17748--0.53907))+0-0-0</f>
        <v>5530.0782209999998</v>
      </c>
      <c r="Q68" s="3">
        <f>6527.4+(356.6-1119.3)+(0+(0-0))+0-0-0</f>
        <v>5764.7</v>
      </c>
      <c r="R68" s="3">
        <f>6522.3+(462.5-1196.6)+(-9.979119+(-0.707625--1.830798))+0-0-0</f>
        <v>5779.3440540000011</v>
      </c>
      <c r="S68" s="3">
        <f>6481.6+(677.2-1589.3)+(-6.611232+(-0.690744--1.621086))+0-0-0</f>
        <v>5563.8191100000004</v>
      </c>
      <c r="T68" s="3">
        <f>6423.8+(690.5-1627.7)+(-6.552276+(-0.70431--1.660254))+0-0-0</f>
        <v>5481.0036680000003</v>
      </c>
      <c r="U68" s="3">
        <f>6414.6+(712.2-1759.7)+(-6.542892+(-0.726444--1.794894))+0-0-0</f>
        <v>5361.6255580000006</v>
      </c>
      <c r="V68" s="3">
        <f>6479.5+(649.7-1861)+(-3.304545+(-0.331347--0.94911))+0-0-0</f>
        <v>5265.5132180000001</v>
      </c>
      <c r="W68" s="3">
        <f>6322.1+(687.9-1751.3)+(-16.121355+(-1.754145--4.465815))+0-0-0</f>
        <v>5245.2903150000011</v>
      </c>
      <c r="X68" s="3">
        <f>5730.2+(731.6-1341.2)+(-14.61201+(-1.86558--3.42006))+0-0-0</f>
        <v>5107.5424699999994</v>
      </c>
      <c r="Y68" s="3">
        <f>5517.5+(689.3-1155.6)+(-5.62785+(-0.703086--1.178712))+0-0-0</f>
        <v>5046.0477759999994</v>
      </c>
      <c r="Z68" s="3">
        <f>6208.2+(775.1-1565.3)+(-9.498546+(-1.185903--2.394909))+0-0-0</f>
        <v>5409.7104600000002</v>
      </c>
      <c r="AA68" s="3">
        <f>6668.4+(558.7-1601.1)+(-10.202652+(-0.854811--2.449683))+0-0-0</f>
        <v>5617.3922199999997</v>
      </c>
      <c r="AB68" s="3">
        <f>6312.6+(602.4-1559.7)+(-12.877704+(-1.228896--3.181788))+0-0-0</f>
        <v>5344.375188</v>
      </c>
      <c r="AC68" s="3">
        <f>6161.5+(659.5-1766.9)+(-12.56946+(-1.34538--3.604476))+0-0-0</f>
        <v>5043.7896360000004</v>
      </c>
      <c r="AD68">
        <f t="shared" si="1"/>
        <v>116465.147882</v>
      </c>
      <c r="AE68" s="3">
        <f>6760.7+(595.2-1761.8)+(0+(0-0))+0-0-0</f>
        <v>5594.1</v>
      </c>
    </row>
    <row r="69" spans="1:31" s="2" customFormat="1" x14ac:dyDescent="0.25">
      <c r="A69">
        <v>89</v>
      </c>
      <c r="B69">
        <v>3</v>
      </c>
      <c r="C69">
        <v>7</v>
      </c>
      <c r="D69">
        <v>7</v>
      </c>
      <c r="E69">
        <v>1</v>
      </c>
      <c r="F69" s="3">
        <f>5443.5+(546.9-1428.8)+(11.10474+(1.115676-2.914752))+0-0-0</f>
        <v>4570.9056640000008</v>
      </c>
      <c r="G69" s="3">
        <f>4859.8+(534.7-1284.3)+(4.956996+(0.545394-1.309986))+0-0-0</f>
        <v>4114.3924040000011</v>
      </c>
      <c r="H69" s="3">
        <f>4702.8+(452.2-1332.6)+(4.796856+(0.461244-1.359252))+0-0-0</f>
        <v>3826.2988480000004</v>
      </c>
      <c r="I69" s="3">
        <f>4707.2+(369.7-1414)+(0+(0-0))+0-0-0</f>
        <v>3662.8999999999996</v>
      </c>
      <c r="J69" s="3">
        <f>4701+(429.7-1572)+(4.79502+(0.438294-1.60344))+0-0-0</f>
        <v>3562.329874</v>
      </c>
      <c r="K69" s="3">
        <f>4630.9+(440.3-1607.7)+(-7.085277+(-0.673659--2.459781))+0-0-0</f>
        <v>3458.2008449999994</v>
      </c>
      <c r="L69" s="3">
        <f>4354.2+(361-1447)+(-6.661926+(-0.55233--2.21391))+0-0-0</f>
        <v>3263.199654</v>
      </c>
      <c r="M69" s="3">
        <f>4301+(333.2-1375.6)+(-4.38702+(-0.339864--1.403112))+0-0-0</f>
        <v>3255.2762280000002</v>
      </c>
      <c r="N69" s="3">
        <f>4591.2+(380-1466.3)+(-7.024536+(-0.5814--2.243439))+0-0-0</f>
        <v>3499.5375029999996</v>
      </c>
      <c r="O69" s="3">
        <f>4794.6+(581.2-1468.7)+(-7.335738+(-0.889236--2.247111))+0-0-0</f>
        <v>3901.1221370000003</v>
      </c>
      <c r="P69" s="3">
        <f>5004.8+(595.7-1305.3)+(0+(0-0))+0-0-0</f>
        <v>4295.2000000000007</v>
      </c>
      <c r="Q69" s="3">
        <f>5131.2+(527.4-1100.6)+(-2.616912+(-0.268974--0.561306))+0-0-0</f>
        <v>4555.6754199999996</v>
      </c>
      <c r="R69" s="3">
        <f>5396.7+(592.3-1404.1)+(0+(0-0))+0-0-0</f>
        <v>4584.8999999999996</v>
      </c>
      <c r="S69" s="3">
        <f>5785.3+(640.5-1824.9)+(-2.950503+(-0.326655--0.930699))+0-0-0</f>
        <v>4598.5535409999993</v>
      </c>
      <c r="T69" s="3">
        <f>5888.8+(681.8-1937.9)+(0+(0-0))+0-0-0</f>
        <v>4632.7</v>
      </c>
      <c r="U69" s="3">
        <f>5857+(701.4-1998)+(2.98707+(0.357714-1.01898))+0-0-0</f>
        <v>4562.7258039999997</v>
      </c>
      <c r="V69" s="3">
        <f>5816.9+(667.9-1902.9)+(-17.799714+(-2.043774--5.822874))+0-0-0</f>
        <v>4567.8793859999996</v>
      </c>
      <c r="W69" s="3">
        <f>5541.4+(596.7-1569.6)+(-16.956684+(-1.825902--4.802976))+0-0-0</f>
        <v>4554.5203899999997</v>
      </c>
      <c r="X69" s="3">
        <f>5278.1+(701.9-1413.5)+(-10.767324+(-1.431876--2.88354))+0-0-0</f>
        <v>4557.1843399999998</v>
      </c>
      <c r="Y69" s="3">
        <f>5115.2+(645.5-1053.9)+(-7.826256+(-0.987615--1.612467))+0-0-0</f>
        <v>4699.5985959999989</v>
      </c>
      <c r="Z69" s="3">
        <f>5754.6+(652.4-1355.8)+(-8.804538+(-0.998172--2.074374))+0-0-0</f>
        <v>5043.4716640000006</v>
      </c>
      <c r="AA69" s="3">
        <f>6382.3+(466.4-1458.4)+(-6.509946+(-0.475728--1.487568))+0-0-0</f>
        <v>5384.8018940000002</v>
      </c>
      <c r="AB69" s="3">
        <f>6281.4+(588.4-1641.8)+(-6.407028+(-0.600168--1.674636))+0-0-0</f>
        <v>5222.6674400000002</v>
      </c>
      <c r="AC69" s="3">
        <f>6149.5+(765.5-2006.8)+(-12.54498+(-1.56162--4.093872))+0-0-0</f>
        <v>4898.1872720000001</v>
      </c>
      <c r="AD69">
        <f t="shared" si="1"/>
        <v>103272.228904</v>
      </c>
      <c r="AE69" s="3">
        <f>6302+(601-1607.6)+(0+(0-0))+0-0-0</f>
        <v>5295.4</v>
      </c>
    </row>
    <row r="70" spans="1:31" s="2" customFormat="1" x14ac:dyDescent="0.25">
      <c r="A70">
        <v>89</v>
      </c>
      <c r="B70">
        <v>3</v>
      </c>
      <c r="C70">
        <v>8</v>
      </c>
      <c r="D70">
        <v>1</v>
      </c>
      <c r="E70">
        <v>1</v>
      </c>
      <c r="F70" s="3">
        <f>5749.9+(726.7-2124.5)+(-8.797347+(-1.111851--3.250485))+0-0-0</f>
        <v>4345.4412869999996</v>
      </c>
      <c r="G70" s="3">
        <f>5272.7+(828.1-2180.7)+(-18.823539+(-2.956317--7.785099))+0-0-0</f>
        <v>3906.105243</v>
      </c>
      <c r="H70" s="3">
        <f>4936.5+(811.3-2090.6)+(-10.07046+(-1.655052--4.264824))+0-0-0</f>
        <v>3649.7393119999997</v>
      </c>
      <c r="I70" s="3">
        <f>4726.2+(731.8-1909.6)+(-2.410362+(-0.373218--0.973896))+0-0-0</f>
        <v>3546.5903159999998</v>
      </c>
      <c r="J70" s="3">
        <f>4618.4+(589.4-1723.6)+(0+(0-0))+0-0-0</f>
        <v>3484.2</v>
      </c>
      <c r="K70" s="3">
        <f>4557.4+(524.8-1609.8)+(-11.62137+(-1.33824--4.10499))+0-0-0</f>
        <v>3463.5453799999996</v>
      </c>
      <c r="L70" s="3">
        <f>4479.6+(389.3-1343.9)+(-2.284596+(-0.198543--0.685389))+0-0-0</f>
        <v>3523.2022499999998</v>
      </c>
      <c r="M70" s="3">
        <f>4768.6+(306.4-909.8)+(0+(0-0))+0-0-0</f>
        <v>4165.2000000000007</v>
      </c>
      <c r="N70" s="3">
        <f>5472.9+(565.2-1074.7)+(-8.373537+(-0.864756--1.644291))+0-0-0</f>
        <v>4955.8059979999998</v>
      </c>
      <c r="O70" s="3">
        <f>5951.2+(713.9-1065.6)+(-3.035112+(-0.364089--0.543456))+0-0-0</f>
        <v>5596.6442550000002</v>
      </c>
      <c r="P70" s="3">
        <f>6259+(705.1-937.2)+(0+(0-0))+0-0-0</f>
        <v>6026.9</v>
      </c>
      <c r="Q70" s="3">
        <f>6294.5+(833.7-836.3)+(-3.210195+(-0.425187--0.426513))+0-0-0</f>
        <v>6288.6911309999996</v>
      </c>
      <c r="R70" s="3">
        <f>6355.5+(833.3-807.6)+(0+(0-0))+0-0-0</f>
        <v>6381.2</v>
      </c>
      <c r="S70" s="3">
        <f>6360.2+(857.9-975.8)+(3.243702+(0.437529-0.497658))+0-0-0</f>
        <v>6245.4835730000004</v>
      </c>
      <c r="T70" s="3">
        <f>6308.1+(954.4-992.8)+(0+(0-0))+0-0-0</f>
        <v>6269.7000000000007</v>
      </c>
      <c r="U70" s="3">
        <f>6240.7+(942.7-1047.3)+(-3.182757+(-0.480777--0.534123))+0-0-0</f>
        <v>6132.9705890000005</v>
      </c>
      <c r="V70" s="3">
        <f>6273.8+(924.4-1130.6)+(-9.598914+(-1.414332--1.729818))+0-0-0</f>
        <v>6058.3165720000006</v>
      </c>
      <c r="W70" s="3">
        <f>6266.8+(883.6-1225.2)+(-22.372476+(-3.154452--4.373964))+0-0-0</f>
        <v>5904.0470359999999</v>
      </c>
      <c r="X70" s="3">
        <f>6105.7+(844.7-1318.8)+(-15.569535+(-2.153985--3.36294))+0-0-0</f>
        <v>5617.2394200000008</v>
      </c>
      <c r="Y70" s="3">
        <f>6032.6+(706-1128.4)+(-3.076626+(-0.36006--0.575484))+0-0-0</f>
        <v>5607.3387980000007</v>
      </c>
      <c r="Z70" s="3">
        <f>6706.3+(607-1412.1)+(-3.420213+(-0.30957--0.720171))+0-0-0</f>
        <v>5898.1903880000009</v>
      </c>
      <c r="AA70" s="3">
        <f>6830.6+(610.8-1469.1)+(-6.967212+(-0.623016--1.498482))+0-0-0</f>
        <v>5966.2082540000001</v>
      </c>
      <c r="AB70" s="3">
        <f>6732.4+(713.5-1729.1)+(-17.16762+(-1.819425--4.409205))+0-0-0</f>
        <v>5702.2221599999993</v>
      </c>
      <c r="AC70" s="3">
        <f>6525.8+(675.2-1945.9)+(-13.312632+(-1.377408--3.969636))+0-0-0</f>
        <v>5244.3795960000007</v>
      </c>
      <c r="AD70">
        <f t="shared" si="1"/>
        <v>123979.361558</v>
      </c>
      <c r="AE70" s="3">
        <f>6769+(517-1363.7)+(0+(0-0))+0-0-0</f>
        <v>5922.3</v>
      </c>
    </row>
    <row r="71" spans="1:31" s="2" customFormat="1" x14ac:dyDescent="0.25">
      <c r="A71">
        <v>89</v>
      </c>
      <c r="B71">
        <v>3</v>
      </c>
      <c r="C71">
        <v>9</v>
      </c>
      <c r="D71">
        <v>2</v>
      </c>
      <c r="E71">
        <v>1</v>
      </c>
      <c r="F71" s="3">
        <f>6088.7+(564.6-2005.5)+(-9.315711+(-0.863838--3.068415))+0-0-0</f>
        <v>4640.6888659999995</v>
      </c>
      <c r="G71" s="3">
        <f>5538+(450.1-1844.4)+(-5.64876+(-0.459102--1.881288))+0-0-0</f>
        <v>4139.4734259999996</v>
      </c>
      <c r="H71" s="3">
        <f>5186.8+(516-1753.9)+(-2.645268+(-0.26316--0.894489))+0-0-0</f>
        <v>3946.8860610000002</v>
      </c>
      <c r="I71" s="3">
        <f>5195.7+(316.4-1680.2)+(-10.599228+(-0.645456--3.427608))+0-0-0</f>
        <v>3824.0829239999998</v>
      </c>
      <c r="J71" s="3">
        <f>5186.7+(320.5-1720.9)+(-2.645217+(-0.163455--0.877659))+0-0-0</f>
        <v>3784.3689869999998</v>
      </c>
      <c r="K71" s="3">
        <f>4863.1+(478-1607.2)+(-7.440543+(-0.73134--2.459016))+0-0-0</f>
        <v>3728.1871330000004</v>
      </c>
      <c r="L71" s="3">
        <f>4429.8+(426.3-1058.2)+(-9.036792+(-0.869652--2.158728))+0-0-0</f>
        <v>3790.1522840000002</v>
      </c>
      <c r="M71" s="3">
        <f>4949+(342.8-976)+(0+(0-0))+0-0-0</f>
        <v>4315.8</v>
      </c>
      <c r="N71" s="3">
        <f>5563.9+(356.7-809)+(2.837589+(0.181917-0.41259))+0-0-0</f>
        <v>5114.2069159999992</v>
      </c>
      <c r="O71" s="3">
        <f>5662.4+(555.8-691.1)+(-2.887824+(-0.283458--0.352461))+0-0-0</f>
        <v>5524.2811789999996</v>
      </c>
      <c r="P71" s="3">
        <f>6160.6+(755.9-755.5)+(3.141906+(0.385509-0.385305))+0-0-0</f>
        <v>6164.1421099999998</v>
      </c>
      <c r="Q71" s="3">
        <f>6335.3+(801.5-699.7)+(0+(0-0))+0-0-0</f>
        <v>6437.1</v>
      </c>
      <c r="R71" s="3">
        <f>6446.4+(819-718.2)+(-6.575328+(-0.83538--0.732564))+0-0-0</f>
        <v>6540.5218559999994</v>
      </c>
      <c r="S71" s="3">
        <f>6421+(951.7-965.6)+(-6.54942+(-0.970734--0.984912))+0-0-0</f>
        <v>6400.5647580000004</v>
      </c>
      <c r="T71" s="3">
        <f>6377.4+(1090.8-999.5)+(0+(0-0))+0-0-0</f>
        <v>6468.7</v>
      </c>
      <c r="U71" s="3">
        <f>6334+(1112.6-964.2)+(3.23034+(0.567426-0.491742))+0-0-0</f>
        <v>6485.7060240000001</v>
      </c>
      <c r="V71" s="3">
        <f>6245.6+(1072.2-947.9)+(-9.555768+(-1.640466--1.450287))+0-0-0</f>
        <v>6360.1540530000002</v>
      </c>
      <c r="W71" s="3">
        <f>6223.7+(1159-1131.7)+(-9.522261+(-1.77327--1.731501))+0-0-0</f>
        <v>6241.4359700000005</v>
      </c>
      <c r="X71" s="3">
        <f>6070.6+(955.7-1006.4)+(-24.768048+(-3.899256--4.106112))+0-0-0</f>
        <v>5995.3388080000004</v>
      </c>
      <c r="Y71" s="3">
        <f>5520.5+(825.6-550)+(-2.815455+(-0.421056--0.2805))+0-0-0</f>
        <v>5793.1439890000001</v>
      </c>
      <c r="Z71" s="3">
        <f>6404.2+(799-1070.3)+(0+(0-0))+0-0-0</f>
        <v>6132.9</v>
      </c>
      <c r="AA71" s="3">
        <f>6640.9+(759.2-1061.5)+(-10.160577+(-1.161576--1.624095))+0-0-0</f>
        <v>6328.9019419999995</v>
      </c>
      <c r="AB71" s="3">
        <f>6580.3+(857.2-1407.4)+(-10.067859+(-1.311516--2.153322))+0-0-0</f>
        <v>6020.873947</v>
      </c>
      <c r="AC71" s="3">
        <f>6369.2+(848.7-1655.5)+(-16.24146+(-2.164185--4.221525))+0-0-0</f>
        <v>5548.2158799999997</v>
      </c>
      <c r="AD71">
        <f t="shared" si="1"/>
        <v>129725.82711300001</v>
      </c>
      <c r="AE71" s="3">
        <f>6585+(697-1010)+(0+(0-0))+0-0-0</f>
        <v>6272</v>
      </c>
    </row>
    <row r="72" spans="1:31" s="2" customFormat="1" x14ac:dyDescent="0.25">
      <c r="A72">
        <v>89</v>
      </c>
      <c r="B72">
        <v>3</v>
      </c>
      <c r="C72">
        <v>10</v>
      </c>
      <c r="D72">
        <v>3</v>
      </c>
      <c r="E72">
        <v>1</v>
      </c>
      <c r="F72" s="3">
        <f>5768.7+(694.9-1681.4)+(-2.942037+(-0.354399--0.857514))+0-0-0</f>
        <v>4779.7610779999995</v>
      </c>
      <c r="G72" s="3">
        <f>5333.2+(558.9-1548.7)+(-5.439864+(-0.570078--1.579674))+0-0-0</f>
        <v>4338.9697319999996</v>
      </c>
      <c r="H72" s="3">
        <f>5167.5+(486.9-1601.6)+(0+(0-0))+0-0-0</f>
        <v>4052.8</v>
      </c>
      <c r="I72" s="3">
        <f>5088.6+(430-1570.3)+(-7.785558+(-0.6579--2.402559))+0-0-0</f>
        <v>3942.2591010000001</v>
      </c>
      <c r="J72" s="3">
        <f>4986+(436.6-1538.8)+(-7.62858+(-0.667998--2.354364))+0-0-0</f>
        <v>3877.857786</v>
      </c>
      <c r="K72" s="3">
        <f>4849.4+(451.8-1461.7)+(-4.946388+(-0.460836--1.490934))+0-0-0</f>
        <v>3835.5837099999994</v>
      </c>
      <c r="L72" s="3">
        <f>4426.9+(428-1085.8)+(0+(0-0))+0-0-0</f>
        <v>3769.0999999999995</v>
      </c>
      <c r="M72" s="3">
        <f>4824.7+(406.9-857.7)+(2.460597+(0.207519-0.437427))+0-0-0</f>
        <v>4376.1306889999996</v>
      </c>
      <c r="N72" s="3">
        <f>5396.5+(438.2-778.6)+(5.50443+(0.446964-0.794172))+0-0-0</f>
        <v>5061.2572220000002</v>
      </c>
      <c r="O72" s="3">
        <f>5798.2+(599.7-808.6)+(0+(0-0))+0-0-0</f>
        <v>5589.3</v>
      </c>
      <c r="P72" s="3">
        <f>6181.5+(675.9-873.7)+(3.152565+(0.344709-0.445587))+0-0-0</f>
        <v>5986.7516869999999</v>
      </c>
      <c r="Q72" s="3">
        <f>6372.9+(718.8-851.6)+(3.250179+(0.366588-0.434316))+0-0-0</f>
        <v>6243.2824509999991</v>
      </c>
      <c r="R72" s="3">
        <f>6483.9+(762.9-900.6)+(-6.613578+(-0.778158--0.918612))+0-0-0</f>
        <v>6339.7268759999997</v>
      </c>
      <c r="S72" s="3">
        <f>6434.1+(982.3-1218.4)+(-6.562782+(-1.001946--1.242768))+0-0-0</f>
        <v>6191.6780399999998</v>
      </c>
      <c r="T72" s="3">
        <f>6420.6+(1047.3-1167.3)+(-3.274506+(-0.534123--0.595323))+0.3-0-0</f>
        <v>6297.6866940000009</v>
      </c>
      <c r="U72" s="3">
        <f>6413.2+(1071.3-1189.9)+(-6.541464+(-1.092726--1.213698))+0.3-0-0</f>
        <v>6288.4795079999994</v>
      </c>
      <c r="V72" s="3">
        <f>6440.2+(1055.3-1260.2)+(-13.138008+(-2.152812--2.570808))+0-0-0</f>
        <v>6222.5799879999995</v>
      </c>
      <c r="W72" s="3">
        <f>6476.6+(999-1370)+(-19.818396+(-3.05694--4.1922))+0-0-0</f>
        <v>6086.9168640000007</v>
      </c>
      <c r="X72" s="3">
        <f>6418.4+(897.6-1470.7)+(-16.36692+(-2.28888--3.750285))+0-0-0</f>
        <v>5830.3944849999989</v>
      </c>
      <c r="Y72" s="3">
        <f>6133.3+(819.9-1331.4)+(-6.255966+(-0.836298--1.358028))+0-0-0</f>
        <v>5616.0657639999999</v>
      </c>
      <c r="Z72" s="3">
        <f>6666.1+(685.8-1399.2)+(-6.799422+(-0.699516--1.427184))+0-0-0</f>
        <v>5946.6282460000011</v>
      </c>
      <c r="AA72" s="3">
        <f>6916.7+(531.1-1265.7)+(-3.527517+(-0.270861--0.645507))+0-0-0</f>
        <v>6178.9471289999992</v>
      </c>
      <c r="AB72" s="3">
        <f>6758.5+(580.9-1422.2)+(-6.89367+(-0.592518--1.450644))+0-0-0</f>
        <v>5911.1644559999995</v>
      </c>
      <c r="AC72" s="3">
        <f>6081.7+(732.6-1369.9)+(-9.305001+(-1.120878--2.095947))+0-0-0</f>
        <v>5436.070068</v>
      </c>
      <c r="AD72">
        <f t="shared" si="1"/>
        <v>128199.39157400001</v>
      </c>
      <c r="AE72" s="3">
        <f>6871+(535.8-1243.1)+(0+(0-0))+0-0-0</f>
        <v>6163.7</v>
      </c>
    </row>
    <row r="73" spans="1:31" s="2" customFormat="1" x14ac:dyDescent="0.25">
      <c r="A73">
        <v>89</v>
      </c>
      <c r="B73">
        <v>3</v>
      </c>
      <c r="C73">
        <v>11</v>
      </c>
      <c r="D73">
        <v>4</v>
      </c>
      <c r="E73">
        <v>1</v>
      </c>
      <c r="F73" s="3">
        <f>5604+(714.4-1670.2)+(-14.2902+(-1.82172--4.25901))+0-0-0</f>
        <v>4636.3470900000002</v>
      </c>
      <c r="G73" s="3">
        <f>5244+(520.2-1567.3)+(-8.02332+(-0.795906--2.397969))+0-0-0</f>
        <v>4190.4787429999997</v>
      </c>
      <c r="H73" s="3">
        <f>5024.9+(484.8-1530.9)+(-7.688097+(-0.741744--2.342277))+0-0-0</f>
        <v>3972.7124359999993</v>
      </c>
      <c r="I73" s="3">
        <f>5058.8+(435.1-1654.9)+(0+(0-0))+0-0-0</f>
        <v>3839</v>
      </c>
      <c r="J73" s="3">
        <f>5106.7+(362.2-1662.6)+(2.604417+(0.184722-0.847926))+0-0-0</f>
        <v>3808.2412130000002</v>
      </c>
      <c r="K73" s="3">
        <f>4968+(372.7-1569.6)+(-15.20208+(-1.140462--4.802976))+0-0-0</f>
        <v>3759.5604340000004</v>
      </c>
      <c r="L73" s="3">
        <f>4714.1+(354.3-1262.3)+(-2.404191+(-0.180693--0.643773))+0-0-0</f>
        <v>3804.1588890000003</v>
      </c>
      <c r="M73" s="3">
        <f>4815+(500.1-976.1)+(-9.8226+(-1.020204--1.991244))+0-0-0</f>
        <v>4330.1484399999999</v>
      </c>
      <c r="N73" s="3">
        <f>5419.8+(586-986.7)+(2.764098+(0.29886-0.503217))+0-0-0</f>
        <v>5021.6597410000004</v>
      </c>
      <c r="O73" s="3">
        <f>6155.2+(625-1157)+(3.139152+(0.31875-0.59007))+0-0-0</f>
        <v>5626.0678319999997</v>
      </c>
      <c r="P73" s="3">
        <f>6469+(699.2-1168.6)+(-6.59838+(-0.713184--1.191972))+0-0-0</f>
        <v>5993.4804080000004</v>
      </c>
      <c r="Q73" s="3">
        <f>6535.6+(679.8-944.1)+(-3.333156+(-0.346698--0.481491))+0-0-0</f>
        <v>6268.1016369999998</v>
      </c>
      <c r="R73" s="3">
        <f>6556+(742.8-914.7)+(3.34356+(0.378828-0.466497))+0-0-0</f>
        <v>6387.3558910000002</v>
      </c>
      <c r="S73" s="3">
        <f>6523.9+(852.6-1132.4)+(-3.327189+(-0.434826--0.577524))+0-0-0</f>
        <v>6240.9155089999995</v>
      </c>
      <c r="T73" s="3">
        <f>6538.3+(898.4-1090.6)+(6.669066+(0.916368-1.112412))+0-0-0</f>
        <v>6352.5730220000005</v>
      </c>
      <c r="U73" s="3">
        <f>6494.7+(889.3-1017.4)+(-9.936891+(-1.360629--1.556622))+0-0-0</f>
        <v>6356.8591019999994</v>
      </c>
      <c r="V73" s="3">
        <f>6425.1+(873.6-1052.3)+(-6.553602+(-0.891072--1.073346))+0-0-0</f>
        <v>6240.0286720000004</v>
      </c>
      <c r="W73" s="3">
        <f>6455.7+(849.3-1194)+(-16.462035+(-2.165715--3.0447))+0-0-0</f>
        <v>6095.4169499999998</v>
      </c>
      <c r="X73" s="3">
        <f>6333.7+(855.4-1321.3)+(-16.150935+(-2.18127--3.369315))+0-0-0</f>
        <v>5852.8371100000004</v>
      </c>
      <c r="Y73" s="3">
        <f>5850.2+(908.5-1135.7)+(-2.983602+(-0.463335--0.579207))+0-0-0</f>
        <v>5620.1322700000001</v>
      </c>
      <c r="Z73" s="3">
        <f>6241+(836.6-1184)+(-6.36582+(-0.853332--1.20768))+0-0-0</f>
        <v>5887.5885280000002</v>
      </c>
      <c r="AA73" s="3">
        <f>6840.1+(566.6-1241.7)+(-3.488451+(-0.288966--0.633267))+0-0-0</f>
        <v>6161.8558499999999</v>
      </c>
      <c r="AB73" s="3">
        <f>6786.4+(639.7-1517.9)+(-3.461064+(-0.326247--0.774129))+0-0-0</f>
        <v>5905.1868180000001</v>
      </c>
      <c r="AC73" s="3">
        <f>6707.3+(723.2-1987.7)+(-13.682892+(-1.475328--4.054908))+0-0-0</f>
        <v>5431.696688</v>
      </c>
      <c r="AD73">
        <f t="shared" si="1"/>
        <v>127782.40327299999</v>
      </c>
      <c r="AE73" s="3">
        <f>6772+(559.7-1188.9)+(0+(0-0))+0-0-0</f>
        <v>6142.8</v>
      </c>
    </row>
    <row r="74" spans="1:31" s="2" customFormat="1" x14ac:dyDescent="0.25">
      <c r="A74">
        <v>89</v>
      </c>
      <c r="B74">
        <v>3</v>
      </c>
      <c r="C74">
        <v>12</v>
      </c>
      <c r="D74">
        <v>5</v>
      </c>
      <c r="E74">
        <v>1</v>
      </c>
      <c r="F74" s="3">
        <f>5787.2+(573.2-1739.2)+(-2.951472+(-0.292332--0.886992))+0-0-0</f>
        <v>4618.8431879999998</v>
      </c>
      <c r="G74" s="3">
        <f>4987.8+(606.1-1390.9)+(-5.087556+(-0.618222--1.418718))+0-0-0</f>
        <v>4198.7129400000003</v>
      </c>
      <c r="H74" s="3">
        <f>4771.5+(466-1402.6)+(-2.433465+(-0.23766--0.715326))+0-0-0</f>
        <v>3832.9442010000002</v>
      </c>
      <c r="I74" s="3">
        <f>4838.2+(420.7-1469.8)+(-9.869928+(-0.858228--2.998392))+0-0-0</f>
        <v>3781.3702359999997</v>
      </c>
      <c r="J74" s="3">
        <f>4657.8+(450.5-1415.5)+(2.375478+(0.229755-0.721905))+0-0-0</f>
        <v>3694.6833280000001</v>
      </c>
      <c r="K74" s="3">
        <f>4600.6+(424.3-1448.7)+(-9.385224+(-0.865572--2.955348))+0-0-0</f>
        <v>3568.9045520000004</v>
      </c>
      <c r="L74" s="3">
        <f>4750.9+(299.3-1248.3)+(-9.691836+(-0.610572--2.546532))+0-0-0</f>
        <v>3794.1441239999995</v>
      </c>
      <c r="M74" s="3">
        <f>4851+(322.5-842.1)+(2.47401+(0.164475-0.429471))+0-0-0</f>
        <v>4333.6090139999997</v>
      </c>
      <c r="N74" s="3">
        <f>5679.4+(566.3-1108.4)+(-8.689482+(-0.866439--1.695852))+0-0-0</f>
        <v>5129.439930999999</v>
      </c>
      <c r="O74" s="3">
        <f>6321.7+(423.2-1013.8)+(-6.448134+(-0.431664--1.034076))+0-0-0</f>
        <v>5725.2542780000003</v>
      </c>
      <c r="P74" s="3">
        <f>6712.8+(543.6-1248.9)+(0+(0-0))+0-0-0</f>
        <v>6007.5</v>
      </c>
      <c r="Q74" s="3">
        <f>6736.3+(567.5-994)+(3.435513+(0.289425-0.50694))+0-0-0</f>
        <v>6313.0179980000003</v>
      </c>
      <c r="R74" s="3">
        <f>6713.1+(565.8-877.6)+(6.847362+(0.577116-0.895152))+0-0-0</f>
        <v>6407.829326</v>
      </c>
      <c r="S74" s="3">
        <f>6649.6+(585.8-962.7)+(-3.391296+(-0.298758--0.490977))+0-0-0</f>
        <v>6269.5009230000005</v>
      </c>
      <c r="T74" s="3">
        <f>6589.2+(644-862.2)+(-10.081476+(-0.98532--1.319166))+0-0-0</f>
        <v>6361.2523700000002</v>
      </c>
      <c r="U74" s="3">
        <f>6553.8+(681.7-896.5)+(0+(0-0))+0-0-0</f>
        <v>6339</v>
      </c>
      <c r="V74" s="3">
        <f>6579.2+(648.6-926.5)+(-3.355392+(-0.330786--0.472515))+0-0-0</f>
        <v>6298.0863369999997</v>
      </c>
      <c r="W74" s="3">
        <f>6592.5+(663.5-1120)+(-6.72435+(-0.67677--1.1424))+0-0-0</f>
        <v>6129.7412800000002</v>
      </c>
      <c r="X74" s="3">
        <f>6379.5+(613.7-1107.5)+(-9.760635+(-0.938961--1.694475))+0-0-0</f>
        <v>5876.6948789999997</v>
      </c>
      <c r="Y74" s="3">
        <f>5921.8+(724-998.7)+(0+(0-0))+0-0-0</f>
        <v>5647.1</v>
      </c>
      <c r="Z74" s="3">
        <f>6257+(651.1-980.6)+(0+(0-0))+0-0-0</f>
        <v>5927.5</v>
      </c>
      <c r="AA74" s="3">
        <f>6868.1+(405.9-1131.9)+(-7.005462+(-0.414018--1.154538))+0-0-0</f>
        <v>6135.8350580000006</v>
      </c>
      <c r="AB74" s="3">
        <f>6787.2+(515-1370.1)+(-6.922944+(-0.5253--1.397502))+0-0-0</f>
        <v>5926.049258</v>
      </c>
      <c r="AC74" s="3">
        <f>6621+(620.1-1733.7)+(-10.13013+(-0.948753--2.652561))+0-0-0</f>
        <v>5498.9736779999994</v>
      </c>
      <c r="AD74">
        <f t="shared" si="1"/>
        <v>127815.98689900001</v>
      </c>
      <c r="AE74" s="3">
        <f>6852+(407.8-1149.9)+(0+(0-0))+0-0-0</f>
        <v>6109.9</v>
      </c>
    </row>
    <row r="75" spans="1:31" s="2" customFormat="1" x14ac:dyDescent="0.25">
      <c r="A75">
        <v>89</v>
      </c>
      <c r="B75">
        <v>3</v>
      </c>
      <c r="C75">
        <v>13</v>
      </c>
      <c r="D75">
        <v>6</v>
      </c>
      <c r="E75">
        <v>1</v>
      </c>
      <c r="F75" s="3">
        <f>6512.4+(555.4-2119.8)+(0+(0-0))+0-0-0</f>
        <v>4948</v>
      </c>
      <c r="G75" s="3">
        <f>5814.3+(670.8-2016.3)+(-2.965293+(-0.342108--1.028313))+0-0-0</f>
        <v>4466.520912</v>
      </c>
      <c r="H75" s="3">
        <f>5653.3+(734.9-2219.6)+(-5.766366+(-0.749598--2.263992))+0-0-0</f>
        <v>4164.3480280000003</v>
      </c>
      <c r="I75" s="3">
        <f>5491.7+(563.4-2052.7)+(-5.601534+(-0.574668--2.093754))+0-0-0</f>
        <v>3998.317552</v>
      </c>
      <c r="J75" s="3">
        <f>5092.5+(465.5-1643.1)+(-5.19435+(-0.47481--1.675962))+0-0-0</f>
        <v>3910.906802</v>
      </c>
      <c r="K75" s="3">
        <f>4895.4+(516-1580)+(-4.993308+(-0.52632--1.6116))+0-0-0</f>
        <v>3827.4919719999998</v>
      </c>
      <c r="L75" s="3">
        <f>4787.6+(346.1-1383.6)+(-2.441676+(-0.176511--0.705636))+0-0-0</f>
        <v>3748.1874490000005</v>
      </c>
      <c r="M75" s="3">
        <f>5091.6+(340.4-1184.8)+(0+(0-0))+0-0-0</f>
        <v>4247.2000000000007</v>
      </c>
      <c r="N75" s="3">
        <f>5728.6+(453.7-1260)+(5.843172+(0.462774-1.2852))+0-0-0</f>
        <v>4927.3207460000003</v>
      </c>
      <c r="O75" s="3">
        <f>6393.2+(504.7-1445.7)+(-3.260532+(-0.257397--0.737307))+0-0-0</f>
        <v>5449.4193779999996</v>
      </c>
      <c r="P75" s="3">
        <f>6502.7+(596.3-1281.2)+(0+(0-0))+0-0-0</f>
        <v>5817.7999999999993</v>
      </c>
      <c r="Q75" s="3">
        <f>6543.1+(571.1-1045.7)+(6.673962+(0.582522-1.066614))+0-0-0</f>
        <v>6074.6898700000002</v>
      </c>
      <c r="R75" s="3">
        <f>6454.9+(548.1-896.6)+(0+(0-0))+0-0-0</f>
        <v>6106.4</v>
      </c>
      <c r="S75" s="3">
        <f>6448+(518.1-1029.5)+(-6.57696+(-0.528462--1.05009))+0-0-0</f>
        <v>5930.5446680000005</v>
      </c>
      <c r="T75" s="3">
        <f>6429.9+(503.6-1064.8)+(-6.558498+(-0.513672--1.086096))+0-0-0</f>
        <v>5862.7139259999994</v>
      </c>
      <c r="U75" s="3">
        <f>6403.1+(548.7-1223.2)+(-3.265581+(-0.279837--0.623832))+0-0-0</f>
        <v>5725.678414</v>
      </c>
      <c r="V75" s="3">
        <f>6355.3+(525.6-1230.8)+(-16.206015+(-1.34028--3.13854))+0-0-0</f>
        <v>5635.6922450000002</v>
      </c>
      <c r="W75" s="3">
        <f>6331.7+(588.7-1365.2)+(-16.145835+(-1.501185--3.48126))+0-0-0</f>
        <v>5541.03424</v>
      </c>
      <c r="X75" s="3">
        <f>6186.4+(539.2-1307.1)+(-12.620256+(-1.099968--2.666484))+0-0-0</f>
        <v>5407.4462599999997</v>
      </c>
      <c r="Y75" s="3">
        <f>5655.3+(619.5-994.9)+(0+(0-0))+0-0-0</f>
        <v>5279.9000000000005</v>
      </c>
      <c r="Z75" s="3">
        <f>6232.3+(515.3-1132.6)+(-9.535419+(-0.788409--1.732878))+0-0-0</f>
        <v>5606.4090500000002</v>
      </c>
      <c r="AA75" s="3">
        <f>6648+(297.5-1164.1)+(-10.17144+(-0.455175--1.781073))+0-0-0</f>
        <v>5772.5544579999996</v>
      </c>
      <c r="AB75" s="3">
        <f>6689.3+(421.8-1495.7)+(-3.411543+(-0.215118--0.762807))+0-0-0</f>
        <v>5612.5361459999995</v>
      </c>
      <c r="AC75" s="3">
        <f>6631.9+(597.6-1899.2)+(-10.146807+(-0.914328--2.905776))+0-0-0</f>
        <v>5322.144640999999</v>
      </c>
      <c r="AD75">
        <f t="shared" si="1"/>
        <v>123383.25675699997</v>
      </c>
      <c r="AE75" s="3">
        <f>6671+(293-1114)+(0+(0-0))+0-0-0</f>
        <v>5850</v>
      </c>
    </row>
    <row r="76" spans="1:31" s="2" customFormat="1" x14ac:dyDescent="0.25">
      <c r="A76">
        <v>89</v>
      </c>
      <c r="B76">
        <v>3</v>
      </c>
      <c r="C76">
        <v>14</v>
      </c>
      <c r="D76">
        <v>7</v>
      </c>
      <c r="E76">
        <v>4</v>
      </c>
      <c r="F76" s="3">
        <f>6339.5+(445.5-1833.3)+(0+(0-0))+0-0-0</f>
        <v>4951.7</v>
      </c>
      <c r="G76" s="3">
        <f>5881.9+(458-1809)+(-2.999769+(-0.23358--0.92259))+0-0-0</f>
        <v>4528.5892409999997</v>
      </c>
      <c r="H76" s="3">
        <f>5716.2+(381.9-1905.6)+(5.830524+(0.389538-1.943712))+0-0-0</f>
        <v>4196.7763500000001</v>
      </c>
      <c r="I76" s="3">
        <f>5645.1+(347.8-2000.9)+(-5.758002+(-0.354756--2.040918))+0-0-0</f>
        <v>3987.9281599999999</v>
      </c>
      <c r="J76" s="3">
        <f>5330.3+(323.9-1758.8)+(0+(0-0))+0-0-0</f>
        <v>3895.4</v>
      </c>
      <c r="K76" s="3">
        <f>5183.2+(382.9-1819.8)+(0+(0-0))+0-0-0</f>
        <v>3746.2999999999997</v>
      </c>
      <c r="L76" s="3">
        <f>4895.8+(323.6-1727.8)+(0+(0-0))+0-0-0</f>
        <v>3491.6000000000004</v>
      </c>
      <c r="M76" s="3">
        <f>4828.4+(264-1606.2)+(-7.387452+(-0.40392--2.457486))+0-0-0</f>
        <v>3480.8661139999999</v>
      </c>
      <c r="N76" s="3">
        <f>5134.4+(338.6-1743.9)+(-5.237088+(-0.345372--1.778778))+0-0-0</f>
        <v>3725.2963179999992</v>
      </c>
      <c r="O76" s="3">
        <f>5279.8+(401.6-1631.1)+(-2.692698+(-0.204816--0.831861))+0-0-0</f>
        <v>4048.2343470000001</v>
      </c>
      <c r="P76" s="3">
        <f>5289+(673.4-1519.5)+(2.69739+(0.343434-0.774945))+0-0-0</f>
        <v>4445.1658789999992</v>
      </c>
      <c r="Q76" s="3">
        <f>5670.7+(640.1-1612.5)+(0+(0-0))+0-0-0</f>
        <v>4698.3</v>
      </c>
      <c r="R76" s="3">
        <f>5863.5+(513-1555.4)+(-5.98077+(-0.52326--1.586508))+0-0-0</f>
        <v>4816.1824780000006</v>
      </c>
      <c r="S76" s="3">
        <f>5897.6+(491-1531)+(-6.015552+(-0.50082--1.56162))+0-0-0</f>
        <v>4852.6452480000007</v>
      </c>
      <c r="T76" s="3">
        <f>5864.5+(463.6-1507.6)+(-5.98179+(-0.472872--1.537752))+0-0-0</f>
        <v>4815.5830900000001</v>
      </c>
      <c r="U76" s="3">
        <f>5841.3+(473.7-1550)+(-5.958126+(-0.483174--1.581))+0-0-0</f>
        <v>4760.1396999999997</v>
      </c>
      <c r="V76" s="3">
        <f>5790.5+(438.5-1488.4)+(-5.90631+(-0.44727--1.518168))+0-0-0</f>
        <v>4735.764588</v>
      </c>
      <c r="W76" s="3">
        <f>5747.1+(458.6-1443.2)+(-8.793063+(-0.701658--2.208096))+0-0-0</f>
        <v>4755.2133750000003</v>
      </c>
      <c r="X76" s="3">
        <f>5549.4+(462.6-1246.1)+(-5.660388+(-0.471852--1.271022))+0-0-0</f>
        <v>4761.0387819999996</v>
      </c>
      <c r="Y76" s="3">
        <f>5247.2+(559.2-1085.4)+(-2.676072+(-0.285192--0.553554))+0-0-0</f>
        <v>4718.5922899999996</v>
      </c>
      <c r="Z76" s="3">
        <f>5902.1+(600.6-1370.5)+(-3.010071+(-0.306306--0.698955))+0-0-0</f>
        <v>5129.5825780000005</v>
      </c>
      <c r="AA76" s="3">
        <f>6645.4+(349.7-1559.8)+(-3.389154+(-0.178347--0.795498))+0-0-0</f>
        <v>5432.5279969999992</v>
      </c>
      <c r="AB76" s="3">
        <f>6620.5+(362.3-1654.6)+(-10.129365+(-0.554319--2.531538))+0-0-0</f>
        <v>5320.0478539999995</v>
      </c>
      <c r="AC76" s="3">
        <f>6505.3+(374.4-1800.5)+(-6.635406+(-0.381888--1.83651))+0-0-0</f>
        <v>5074.0192160000006</v>
      </c>
      <c r="AD76">
        <f t="shared" si="1"/>
        <v>108367.49360500003</v>
      </c>
      <c r="AE76" s="3">
        <f>6642+(338.6-1601.4)+(0+(0-0))+0-0-0</f>
        <v>5379.2</v>
      </c>
    </row>
    <row r="77" spans="1:31" s="2" customFormat="1" x14ac:dyDescent="0.25">
      <c r="A77">
        <v>89</v>
      </c>
      <c r="B77">
        <v>3</v>
      </c>
      <c r="C77">
        <v>15</v>
      </c>
      <c r="D77">
        <v>1</v>
      </c>
      <c r="E77">
        <v>4</v>
      </c>
      <c r="F77" s="3">
        <f>6544.3+(251.9-2107.4)+(-10.012779+(-0.385407--3.224322))+0-0-0</f>
        <v>4681.6261359999999</v>
      </c>
      <c r="G77" s="3">
        <f>6109.2+(196.7-1995.9)+(0+(0-0))+0-0-0</f>
        <v>4310</v>
      </c>
      <c r="H77" s="3">
        <f>5601.7+(209.5-1761.4)+(5.713734+(0.21369-1.796628))+0-0-0</f>
        <v>4053.9307959999996</v>
      </c>
      <c r="I77" s="3">
        <f>5413.7+(228.3-1817.9)+(-5.521974+(-0.232866--1.854258))+0-0-0</f>
        <v>3820.1994179999992</v>
      </c>
      <c r="J77" s="3">
        <f>5244.3+(256.2-1747.1)+(0+(0-0))+0-0-0</f>
        <v>3753.4000000000005</v>
      </c>
      <c r="K77" s="3">
        <f>5073.2+(302.6-1712.9)+(-10.349328+(-0.617304--3.494316))+0-0-0</f>
        <v>3655.4276839999998</v>
      </c>
      <c r="L77" s="3">
        <f>4667.4+(407.4-1605.1)+(-4.760748+(-0.415548--1.637202))+0-0-0</f>
        <v>3466.1609059999996</v>
      </c>
      <c r="M77" s="3">
        <f>4629.9+(431.4-1500.2)+(0+(0-0))+0-0-0</f>
        <v>3561.0999999999995</v>
      </c>
      <c r="N77" s="3">
        <f>5019.5+(582.4-1607)+(2.559945+(0.297024-0.81957))+0-0-0</f>
        <v>3996.9373989999999</v>
      </c>
      <c r="O77" s="3">
        <f>5448+(608.9-1683.6)+(2.77848+(0.310539-0.858636))+0-0-0</f>
        <v>4375.5303830000003</v>
      </c>
      <c r="P77" s="3">
        <f>5977.5+(509.4-1663.8)+(9.145575+(0.779382-2.545614))+0-0-0</f>
        <v>4830.479343</v>
      </c>
      <c r="Q77" s="3">
        <f>6318.9+(463.4-1623.8)+(6.445278+(0.472668-1.656276))+0-0-0</f>
        <v>5163.7616699999999</v>
      </c>
      <c r="R77" s="3">
        <f>6336.6+(446-1520.9)+(0+(0-0))+0-0-0</f>
        <v>5261.7000000000007</v>
      </c>
      <c r="S77" s="3">
        <f>6258.5+(390.7-1400.8)+(-3.191835+(-0.199257--0.714408))+0-0-0</f>
        <v>5245.7233159999996</v>
      </c>
      <c r="T77" s="3">
        <f>6118.2+(406.8-1288.8)+(0+(0-0))+0-0-0</f>
        <v>5236.2</v>
      </c>
      <c r="U77" s="3">
        <f>6229.5+(408.6-1426.6)+(-6.35409+(-0.416772--1.455132))+0-0-0</f>
        <v>5206.1842699999997</v>
      </c>
      <c r="V77" s="3">
        <f>6157.5+(426.7-1389.9)+(-3.140325+(-0.217617--0.708849))+0-0-0</f>
        <v>5191.6509070000002</v>
      </c>
      <c r="W77" s="3">
        <f>6157.5+(438.5-1388)+(-15.701625+(-1.118175--3.5394))+0-0-0</f>
        <v>5194.7196000000004</v>
      </c>
      <c r="X77" s="3">
        <f>6076.1+(643.1-1495.8)+(-9.296433+(-0.983943--2.288574))+0-0-0</f>
        <v>5215.408198000001</v>
      </c>
      <c r="Y77" s="3">
        <f>5773.5+(738.4-1272.9)+(-17.66691+(-2.259504--3.895074))+0-0-0</f>
        <v>5222.9686600000005</v>
      </c>
      <c r="Z77" s="3">
        <f>5905.8+(485.7-738.3)+(-3.011958+(-0.247707--0.376533))+0-0-0</f>
        <v>5650.3168679999999</v>
      </c>
      <c r="AA77" s="3">
        <f>6519.1+(244.7-836.1)+(-16.623705+(-0.623985--2.132055))+0-0-0</f>
        <v>5912.5843650000006</v>
      </c>
      <c r="AB77" s="3">
        <f>6570.9+(367.7-1171.4)+(-6.702318+(-0.375054--1.194828))+0-0-0</f>
        <v>5761.3174559999998</v>
      </c>
      <c r="AC77" s="3">
        <f>6618.6+(576.4-1727.5)+(-13.501944+(-1.175856--3.5241))+0-0-0</f>
        <v>5456.3463000000002</v>
      </c>
      <c r="AD77">
        <f t="shared" si="1"/>
        <v>114223.673675</v>
      </c>
      <c r="AE77" s="3">
        <f>6482+(200.9-912.6)+(0+(0-0))+0-0-0</f>
        <v>5770.3</v>
      </c>
    </row>
    <row r="78" spans="1:31" s="2" customFormat="1" x14ac:dyDescent="0.25">
      <c r="A78">
        <v>89</v>
      </c>
      <c r="B78">
        <v>3</v>
      </c>
      <c r="C78">
        <v>16</v>
      </c>
      <c r="D78">
        <v>2</v>
      </c>
      <c r="E78">
        <v>1</v>
      </c>
      <c r="F78" s="3">
        <f>6252.3+(474.7-1788.6)+(-15.943365+(-1.210485--4.56093))+0-0-0</f>
        <v>4925.8070800000005</v>
      </c>
      <c r="G78" s="3">
        <f>5907.8+(419.2-1903.7)+(-9.038934+(-0.641376--2.912661))+0-0-0</f>
        <v>4416.5323509999998</v>
      </c>
      <c r="H78" s="3">
        <f>5711.7+(362.5-1856.6)+(2.912967+(0.184875-0.946866))+0-0-0</f>
        <v>4219.7509760000003</v>
      </c>
      <c r="I78" s="3">
        <f>5487.2+(376.8-1725.5)+(-13.99236+(-0.96084--4.400025))+0-0-0</f>
        <v>4127.946825</v>
      </c>
      <c r="J78" s="3">
        <f>5132.7+(366.9-1480.6)+(0+(0-0))+0-0-0</f>
        <v>4019</v>
      </c>
      <c r="K78" s="3">
        <f>5100+(399.8-1538.2)+(-13.005+(-1.01949--3.92241))+0-0-0</f>
        <v>3951.4979199999998</v>
      </c>
      <c r="L78" s="3">
        <f>4910.8+(364.8-1317.6)+(2.504508+(0.186048-0.671976))+0-0-0</f>
        <v>3960.0185799999999</v>
      </c>
      <c r="M78" s="3">
        <f>5563.5+(421.7-1387.3)+(-2.837385+(-0.215067--0.707523))+0-0-0</f>
        <v>4595.5550709999998</v>
      </c>
      <c r="N78" s="3">
        <f>6370.3+(609.3-1508.1)+(0+(0-0))+0-0-0</f>
        <v>5471.5</v>
      </c>
      <c r="O78" s="3">
        <f>6540.2+(634-1169.4)+(3.335502+(0.32334-0.596394))+0-0-0</f>
        <v>6007.8624479999989</v>
      </c>
      <c r="P78" s="3">
        <f>6674.8+(497.9-674.6)+(0+(0-0))+0-0-0</f>
        <v>6498.1</v>
      </c>
      <c r="Q78" s="3">
        <f>6692.1+(529.3-482.5)+(3.412971+(0.269943-0.246075))+0-0-0</f>
        <v>6742.3368390000005</v>
      </c>
      <c r="R78" s="3">
        <f>6641.9+(675.7-475.2)+(-3.387369+(-0.344607--0.242352))+0-0-0</f>
        <v>6838.9103759999998</v>
      </c>
      <c r="S78" s="3">
        <f>6640.1+(579.1-504.2)+(-6.772902+(-0.590682--0.514284))+0-0-0</f>
        <v>6708.1507000000001</v>
      </c>
      <c r="T78" s="3">
        <f>6612.6+(719.9-536.1)+(-6.744852+(-0.734298--0.546822))+0-0-0</f>
        <v>6789.4676720000007</v>
      </c>
      <c r="U78" s="3">
        <f>6601.2+(656.9-511.7)+(-6.733224+(-0.670038--0.521934))+0-0-0</f>
        <v>6739.5186719999992</v>
      </c>
      <c r="V78" s="3">
        <f>6674.7+(551.8-534.5)+(-13.616388+(-1.125672--1.09038))+0-0-0</f>
        <v>6678.3483200000001</v>
      </c>
      <c r="W78" s="3">
        <f>6646.8+(585.3-683.7)+(-16.94934+(-1.492515--1.743435))+0-0-0</f>
        <v>6531.7015799999999</v>
      </c>
      <c r="X78" s="3">
        <f>6352+(484.6-556.4)+(-19.43712+(-1.482876--1.702584))+0-0-0</f>
        <v>6260.9825879999999</v>
      </c>
      <c r="Y78" s="3">
        <f>5819.5+(613-403)+(-11.87178+(-1.25052--0.82212))+0-0-0</f>
        <v>6017.1998199999998</v>
      </c>
      <c r="Z78" s="3">
        <f>6403.6+(604.1-679.1)+(0+(0-0))+0-0-0</f>
        <v>6328.6</v>
      </c>
      <c r="AA78" s="3">
        <f>7006.5+(332.4-760.1)+(-17.866575+(-0.84762--1.938255))+0-0-0</f>
        <v>6562.0240599999997</v>
      </c>
      <c r="AB78" s="3">
        <f>6949.7+(373.8-1012.9)+(-14.177388+(-0.762552--2.066316))+0-0-0</f>
        <v>6297.7263760000005</v>
      </c>
      <c r="AC78" s="3">
        <f>6715.1+(432.1-1312.3)+(-20.548206+(-1.322226--4.015638))+0-0-0</f>
        <v>5817.0452060000007</v>
      </c>
      <c r="AD78">
        <f t="shared" si="1"/>
        <v>136505.58345999999</v>
      </c>
      <c r="AE78" s="3">
        <f>6975+(334.4-829.7)+(0+(0-0))+0-0-0</f>
        <v>6479.7</v>
      </c>
    </row>
    <row r="79" spans="1:31" s="2" customFormat="1" x14ac:dyDescent="0.25">
      <c r="A79">
        <v>89</v>
      </c>
      <c r="B79">
        <v>3</v>
      </c>
      <c r="C79">
        <v>17</v>
      </c>
      <c r="D79">
        <v>3</v>
      </c>
      <c r="E79">
        <v>1</v>
      </c>
      <c r="F79" s="3">
        <f>6100.1+(480.5-1354.2)+(0+(0-0))+0-0-0</f>
        <v>5226.4000000000005</v>
      </c>
      <c r="G79" s="3">
        <f>5724+(496.1-1425.1)+(-5.83848+(-0.506022--1.453602))+0-0-0</f>
        <v>4790.1090999999997</v>
      </c>
      <c r="H79" s="3">
        <f>5730.3+(376.8-1584.2)+(0+(0-0))+0-0-0</f>
        <v>4522.8999999999996</v>
      </c>
      <c r="I79" s="3">
        <f>5591.5+(364.5-1628.2)+(-8.554995+(-0.557685--2.491146))+0-0-0</f>
        <v>4321.1784660000003</v>
      </c>
      <c r="J79" s="3">
        <f>5548.9+(368.8-1673.3)+(-2.829939+(-0.188088--0.853383))+0-0-0</f>
        <v>4242.2353559999992</v>
      </c>
      <c r="K79" s="3">
        <f>5438.3+(425.6-1708.8)+(-11.094132+(-0.868224--3.485952))+0-0-0</f>
        <v>4146.6235960000004</v>
      </c>
      <c r="L79" s="3">
        <f>4827.4+(460.3-1215.4)+(-4.923948+(-0.469506--1.239708))+0-0-0</f>
        <v>4068.1462539999993</v>
      </c>
      <c r="M79" s="3">
        <f>5287.4+(553.6-1163.2)+(0+(0-0))+0-0-0</f>
        <v>4677.7999999999993</v>
      </c>
      <c r="N79" s="3">
        <f>6066.6+(637.4-1307.4)+(-3.093966+(-0.325074--0.666774))+0-0-0</f>
        <v>5393.8477339999999</v>
      </c>
      <c r="O79" s="3">
        <f>6529.8+(611.2-1193.3)+(-6.660396+(-0.623424--1.217166))+0-0-0</f>
        <v>5941.6333460000005</v>
      </c>
      <c r="P79" s="3">
        <f>6698.9+(560.4-897.8)+(-3.416439+(-0.285804--0.457878))+0-0-0</f>
        <v>6358.2556350000004</v>
      </c>
      <c r="Q79" s="3">
        <f>6761.1+(585.2-711.7)+(0+(0-0))+0-0-0</f>
        <v>6634.6</v>
      </c>
      <c r="R79" s="3">
        <f>6690.3+(626.6-569)+(-6.824106+(-0.639132--0.58038))+0-0-0</f>
        <v>6741.0171420000006</v>
      </c>
      <c r="S79" s="3">
        <f>6621.7+(544.7-554.2)+(-10.131201+(-0.833391--0.847926))+0-0-0</f>
        <v>6602.0833339999999</v>
      </c>
      <c r="T79" s="3">
        <f>6607.6+(697.5-578.5)+(-6.739752+(-0.71145--0.59007))+0-0-0</f>
        <v>6719.7388680000004</v>
      </c>
      <c r="U79" s="3">
        <f>6555.5+(666.7-543.3)+(-3.343305+(-0.340017--0.277083))+0-0-0</f>
        <v>6675.4937609999997</v>
      </c>
      <c r="V79" s="3">
        <f>6593+(549.6-518.2)+(-6.72486+(-0.560592--0.528564))+0-0-0</f>
        <v>6617.6431119999997</v>
      </c>
      <c r="W79" s="3">
        <f>6591.8+(461.9-565.8)+(-13.447272+(-0.942276--1.154232))+0-0-0</f>
        <v>6474.6646840000003</v>
      </c>
      <c r="X79" s="3">
        <f>6513.3+(505.6-802.5)+(-13.287132+(-1.031424--1.6371))+0-0-0</f>
        <v>6203.7185440000003</v>
      </c>
      <c r="Y79" s="3">
        <f>6439.1+(546.8-1050.7)+(-9.851823+(-0.836604--1.607571))+0-0-0</f>
        <v>5926.1191440000011</v>
      </c>
      <c r="Z79" s="3">
        <f>6794.3+(556.7-1087.6)+(-10.395279+(-0.851751--1.664028))+0-0-0</f>
        <v>6253.8169980000002</v>
      </c>
      <c r="AA79" s="3">
        <f>7027.7+(411.4-946.7)+(-7.168254+(-0.419628--0.965634))+0-0-0</f>
        <v>6485.777752</v>
      </c>
      <c r="AB79" s="3">
        <f>6931.9+(454.1-1148.8)+(-10.605807+(-0.694773--1.757664))+0-0-0</f>
        <v>6227.6570839999995</v>
      </c>
      <c r="AC79" s="3">
        <f>6865.9+(419.8-1473.6)+(-10.504827+(-0.642294--2.254608))+0-0-0</f>
        <v>5803.2074869999997</v>
      </c>
      <c r="AD79">
        <f t="shared" si="1"/>
        <v>137054.66739700001</v>
      </c>
      <c r="AE79" s="3">
        <f>6998+(404.1-984.5)+(0+(0-0))+0-0-0</f>
        <v>6417.6</v>
      </c>
    </row>
    <row r="80" spans="1:31" s="2" customFormat="1" x14ac:dyDescent="0.25">
      <c r="A80">
        <v>89</v>
      </c>
      <c r="B80">
        <v>3</v>
      </c>
      <c r="C80">
        <v>18</v>
      </c>
      <c r="D80">
        <v>4</v>
      </c>
      <c r="E80">
        <v>1</v>
      </c>
      <c r="F80" s="3">
        <f>6787.5+(436.5-2000.5)+(-10.384875+(-0.667845--3.060765))+0-0-0</f>
        <v>5215.5080449999996</v>
      </c>
      <c r="G80" s="3">
        <f>6383.3+(472.4-2097.1)+(-16.277415+(-1.20462--5.347605))+0-0-0</f>
        <v>4746.4655700000003</v>
      </c>
      <c r="H80" s="3">
        <f>5949.3+(455.3-1943.8)+(0+(0-0))+0-0-0</f>
        <v>4460.8</v>
      </c>
      <c r="I80" s="3">
        <f>5851.6+(359.3-1892.6)+(-11.937264+(-0.732972--3.860904))+0-0-0</f>
        <v>4309.4906680000004</v>
      </c>
      <c r="J80" s="3">
        <f>5764.4+(306.7-1841.6)+(-2.939844+(-0.156417--0.939216))+0-0-0</f>
        <v>4227.3429550000001</v>
      </c>
      <c r="K80" s="3">
        <f>5558.6+(318.4-1716.2)+(-17.009316+(-0.974304--5.251572))+0-0-0</f>
        <v>4148.0679520000003</v>
      </c>
      <c r="L80" s="3">
        <f>5058.7+(422.2-1371)+(-5.159874+(-0.430644--1.39842))+0-0-0</f>
        <v>4105.7079019999992</v>
      </c>
      <c r="M80" s="3">
        <f>5114+(396-877.3)+(0+(0-0))+0-0-0</f>
        <v>4632.7</v>
      </c>
      <c r="N80" s="3">
        <f>5956.5+(616.2-1020.2)+(-6.07563+(-0.628524--1.040604))+0-0-0</f>
        <v>5546.8364499999998</v>
      </c>
      <c r="O80" s="3">
        <f>6645.6+(611.8-1193.8)+(10.167768+(0.936054-1.826514))+0-0-0</f>
        <v>6072.8773080000001</v>
      </c>
      <c r="P80" s="3">
        <f>6671.8+(587.7-779.2)+(-6.805236+(-0.599454--0.794784))+0-0-0</f>
        <v>6473.6900940000005</v>
      </c>
      <c r="Q80" s="3">
        <f>6582.9+(646.6-509.4)+(6.714558+(0.659532-0.519588))+0-0-0</f>
        <v>6726.9545019999996</v>
      </c>
      <c r="R80" s="3">
        <f>6495.8+(801.3-503.2)+(-9.938574+(-1.225989--0.769896))+62-0-0</f>
        <v>6845.505333000001</v>
      </c>
      <c r="S80" s="3">
        <f>6683.3+(548.5-533.7)+(-6.816966+(-0.55947--0.544374))+20.4-0-0</f>
        <v>6711.6679379999996</v>
      </c>
      <c r="T80" s="3">
        <f>6750.1+(650.2-576.5)+(3.442551+(0.331602-0.294015))+0-0-0</f>
        <v>6827.2801380000001</v>
      </c>
      <c r="U80" s="3">
        <f>6702.9+(649.4-557.7)+(0+(0-0))+0-0-0</f>
        <v>6794.5999999999995</v>
      </c>
      <c r="V80" s="3">
        <f>6669.1+(629.8-555.9)+(0+(0-0))+0-0-0</f>
        <v>6743</v>
      </c>
      <c r="W80" s="3">
        <f>6670.9+(561.8-607.9)+(-13.608636+(-1.146072--1.240116))+0-0-0</f>
        <v>6611.2854079999988</v>
      </c>
      <c r="X80" s="3">
        <f>6620+(614.1-867.4)+(-13.5048+(-1.252764--1.769496))+0-0-0</f>
        <v>6353.7119320000002</v>
      </c>
      <c r="Y80" s="3">
        <f>6220.3+(696.9-807.8)+(-25.378824+(-2.843352--3.295824))+0-0-0</f>
        <v>6084.4736480000001</v>
      </c>
      <c r="Z80" s="3">
        <f>6733.8+(581.9-925.2)+(-13.736952+(-1.187076--1.887408))+0-0-0</f>
        <v>6377.4633800000001</v>
      </c>
      <c r="AA80" s="3">
        <f>6946.4+(379.2-710.4)+(-7.085328+(-0.386784--0.724608))+0-0-0</f>
        <v>6608.4524959999999</v>
      </c>
      <c r="AB80" s="3">
        <f>6812+(335.4-787.6)+(-10.42236+(-0.513162--1.205028))+0-0-0</f>
        <v>6350.0695059999998</v>
      </c>
      <c r="AC80" s="3">
        <f>6737.9+(389.1-1240.4)+(-13.745316+(-0.793764--2.530416))+0-0-0</f>
        <v>5874.5913359999995</v>
      </c>
      <c r="AD80">
        <f t="shared" si="1"/>
        <v>138848.54256100001</v>
      </c>
      <c r="AE80" s="3">
        <f>6899+(351.8-731.4)+(0+(0-0))+0-0-0</f>
        <v>6519.4</v>
      </c>
    </row>
    <row r="81" spans="1:31" s="2" customFormat="1" x14ac:dyDescent="0.25">
      <c r="A81">
        <v>89</v>
      </c>
      <c r="B81">
        <v>3</v>
      </c>
      <c r="C81">
        <v>19</v>
      </c>
      <c r="D81">
        <v>5</v>
      </c>
      <c r="E81">
        <v>1</v>
      </c>
      <c r="F81" s="3">
        <f>6632.9+(418.9-1754.4)+(-10.148337+(-0.640917--2.684232))+0-0-0</f>
        <v>5289.2949779999999</v>
      </c>
      <c r="G81" s="3">
        <f>6397.1+(423.8-2045.2)+(-13.050084+(-0.864552--4.172208))+0-0-0</f>
        <v>4765.9575720000012</v>
      </c>
      <c r="H81" s="3">
        <f>6163.5+(383.6-2067.4)+(-6.28677+(-0.391272--2.108748))+0-0-0</f>
        <v>4475.1307059999999</v>
      </c>
      <c r="I81" s="3">
        <f>5995.3+(347.5-2001.7)+(-15.288015+(-0.886125--5.104335))+0-0-0</f>
        <v>4330.0301950000003</v>
      </c>
      <c r="J81" s="3">
        <f>5802+(289.5-1824.2)+(5.91804+(0.29529-1.860684))+0-0-0</f>
        <v>4271.6526460000005</v>
      </c>
      <c r="K81" s="3">
        <f>5544.9+(319.8-1677.6)+(-14.139495+(-0.81549--4.27788))+0-0-0</f>
        <v>4176.4228949999997</v>
      </c>
      <c r="L81" s="3">
        <f>5118.3+(380.4-1409)+(-2.610333+(-0.194004--0.71859))+0-0-0</f>
        <v>4087.6142530000002</v>
      </c>
      <c r="M81" s="3">
        <f>5469.9+(374.3-1215.7)+(5.579298+(0.381786-1.240014))+0-0-0</f>
        <v>4633.2210699999996</v>
      </c>
      <c r="N81" s="3">
        <f>5850.7+(542.2-985.2)+(0+(0-0))+0-0-0</f>
        <v>5407.7</v>
      </c>
      <c r="O81" s="3">
        <f>6431+(585.1-1063.8)+(0+(0-0))+0-0-0</f>
        <v>5952.3</v>
      </c>
      <c r="P81" s="3">
        <f>6767.4+(506.5-817.1)+(-6.902748+(-0.51663--0.833442))+0-0-0</f>
        <v>6450.2140639999989</v>
      </c>
      <c r="Q81" s="3">
        <f>6768.3+(549.2-564)+(6.903666+(0.560184-0.57528))+0-0-0</f>
        <v>6760.3885700000001</v>
      </c>
      <c r="R81" s="3">
        <f>6734.9+(696.5-492)+(-10.304397+(-1.065645--0.75276))+0-0-0</f>
        <v>6928.7827179999995</v>
      </c>
      <c r="S81" s="3">
        <f>6671.5+(649.8-476.5)+(-3.402465+(-0.331398--0.243015))+0-0-0</f>
        <v>6841.3091519999998</v>
      </c>
      <c r="T81" s="3">
        <f>6637.7+(838.3-491.8)+(-3.385227+(-0.427533--0.250818))+0-0-0</f>
        <v>6980.6380579999995</v>
      </c>
      <c r="U81" s="3">
        <f>6612.9+(854.1-469.7)+(-6.745158+(-0.871182--0.479094))+0-0-0</f>
        <v>6990.162753999999</v>
      </c>
      <c r="V81" s="3">
        <f>6670.1+(720.2-482.6)+(-10.205253+(-1.101906--0.738378))+0-0-0</f>
        <v>6897.1312190000008</v>
      </c>
      <c r="W81" s="3">
        <f>6677.9+(579.6-686.2)+(-10.217187+(-0.886788--1.049886))+0-0-0</f>
        <v>6561.2459109999991</v>
      </c>
      <c r="X81" s="3">
        <f>6686.4+(640-1052)+(-17.05032+(-1.632--2.6826))+0-0-0</f>
        <v>6258.4002799999998</v>
      </c>
      <c r="Y81" s="3">
        <f>6337.7+(523.8-838)+(-16.161135+(-1.33569--2.1369))+0-0-0</f>
        <v>6008.1400750000003</v>
      </c>
      <c r="Z81" s="3">
        <f>6533.9+(523.5-777.3)+(-6.664578+(-0.53397--0.792846))+0-0-0</f>
        <v>6273.6942979999994</v>
      </c>
      <c r="AA81" s="3">
        <f>6992.7+(374.6-797)+(-10.698831+(-0.573138--1.21941))+0-0-0</f>
        <v>6560.2474410000004</v>
      </c>
      <c r="AB81" s="3">
        <f>6929.5+(372-994.2)+(-17.670225+(-0.9486--2.53521))+0-0-0</f>
        <v>6291.2163850000006</v>
      </c>
      <c r="AC81" s="3">
        <f>6797.6+(458.9-1416.1)+(0+(0-0))+0-0-0</f>
        <v>5840.4000000000005</v>
      </c>
      <c r="AD81">
        <f t="shared" si="1"/>
        <v>139031.29524000001</v>
      </c>
      <c r="AE81" s="3">
        <f>6975+(360.6-748.3)+(0+(0-0))+0-0-0</f>
        <v>6587.3</v>
      </c>
    </row>
    <row r="82" spans="1:31" s="2" customFormat="1" x14ac:dyDescent="0.25">
      <c r="A82">
        <v>89</v>
      </c>
      <c r="B82">
        <v>3</v>
      </c>
      <c r="C82">
        <v>20</v>
      </c>
      <c r="D82">
        <v>6</v>
      </c>
      <c r="E82">
        <v>1</v>
      </c>
      <c r="F82" s="3">
        <f>6828.7+(469.5-1991.4)+(-6.965274+(-0.47889--2.031228))+0-0-0</f>
        <v>5301.3870639999996</v>
      </c>
      <c r="G82" s="3">
        <f>6522.4+(399.8-2098.9)+(9.979272+(0.611694-3.211317))+0-0-0</f>
        <v>4830.6796489999997</v>
      </c>
      <c r="H82" s="3">
        <f>6125+(416-2014.8)+(0+(0-0))+0-0-0</f>
        <v>4526.2</v>
      </c>
      <c r="I82" s="3">
        <f>5809.7+(446.1-1884)+(2.962947+(0.227511-0.96084))+0-0-0</f>
        <v>4374.0296179999996</v>
      </c>
      <c r="J82" s="3">
        <f>5725.7+(439.5-1880.6)+(-5.840214+(-0.44829--1.918212))+0-0-0</f>
        <v>4280.2297080000008</v>
      </c>
      <c r="K82" s="3">
        <f>5542.3+(518.6-1879.8)+(-8.479719+(-0.793458--2.876094))+0-0-0</f>
        <v>4174.7029170000005</v>
      </c>
      <c r="L82" s="3">
        <f>5361.4+(522.3-1774.7)+(-2.734314+(-0.266373--0.905097))+0-0-0</f>
        <v>4106.9044100000001</v>
      </c>
      <c r="M82" s="3">
        <f>5526.3+(435.8-1445.3)+(2.818413+(0.222258-0.737103))+0-0-0</f>
        <v>4519.1035680000005</v>
      </c>
      <c r="N82" s="3">
        <f>6163.7+(467.1-1362.8)+(6.286974+(0.476442-1.390056))+0-0-0</f>
        <v>5273.3733599999996</v>
      </c>
      <c r="O82" s="3">
        <f>6599.4+(555-1224.2)+(13.462776+(1.1322-2.497368))+0-0-0</f>
        <v>5942.2976079999999</v>
      </c>
      <c r="P82" s="3">
        <f>6597.2+(539.8-727.1)+(6.729144+(0.550596-0.741642))+0-0-0</f>
        <v>6416.4380979999996</v>
      </c>
      <c r="Q82" s="3">
        <f>6657.5+(552.2-491.4)+(6.79065+(0.563244-0.501228))+0-0-0</f>
        <v>6725.152666</v>
      </c>
      <c r="R82" s="3">
        <f>6700.9+(620.1-489.1)+(3.417459+(0.316251-0.249441))+0-0-0</f>
        <v>6835.3842689999992</v>
      </c>
      <c r="S82" s="3">
        <f>6661.2+(479.4-524.3)+(0+(0-0))+0-0-0</f>
        <v>6616.3</v>
      </c>
      <c r="T82" s="3">
        <f>6621.9+(452.2-551.3)+(0+(0-0))+0-0-0</f>
        <v>6522.7999999999993</v>
      </c>
      <c r="U82" s="3">
        <f>6601+(411.4-620.1)+(-3.36651+(-0.209814--0.316251))+0-0-0</f>
        <v>6389.0399269999998</v>
      </c>
      <c r="V82" s="3">
        <f>6564.9+(398.4-667.2)+(-6.696198+(-0.406368--0.680544))+0-0-0</f>
        <v>6289.6779779999997</v>
      </c>
      <c r="W82" s="3">
        <f>6547.7+(525.1-864.4)+(-10.017981+(-0.803403--1.322532))+0-0-0</f>
        <v>6198.9011479999999</v>
      </c>
      <c r="X82" s="3">
        <f>6538.4+(578.1-1117.2)+(-16.67292+(-1.474155--2.84886))+0-0-0</f>
        <v>5984.0017849999995</v>
      </c>
      <c r="Y82" s="3">
        <f>6254.8+(719.9-1143)+(-9.569844+(-1.101447--1.74879))+0-0-0</f>
        <v>5822.7774989999998</v>
      </c>
      <c r="Z82" s="3">
        <f>6664.5+(664.8-1157.1)+(-3.398895+(-0.339048--0.590121))+0-0-0</f>
        <v>6169.0521779999999</v>
      </c>
      <c r="AA82" s="3">
        <f>6880+(391.7-818.7)+(-7.0176+(-0.399534--0.835074))+0-0-0</f>
        <v>6446.4179400000003</v>
      </c>
      <c r="AB82" s="3">
        <f>6843.1+(368.7-974.6)+(-6.979962+(-0.376074--0.994092))+0-0-0</f>
        <v>6230.8380560000005</v>
      </c>
      <c r="AC82" s="3">
        <f>6783+(481.9-1340.8)+(-3.45933+(-0.245769--0.683808))+0-0-0</f>
        <v>5921.0787090000003</v>
      </c>
      <c r="AD82">
        <f t="shared" si="1"/>
        <v>135896.768155</v>
      </c>
      <c r="AE82" s="3">
        <f>6845+(313.5-904.8)+(0+(0-0))+0-0-0</f>
        <v>6253.7</v>
      </c>
    </row>
    <row r="83" spans="1:31" s="2" customFormat="1" x14ac:dyDescent="0.25">
      <c r="A83">
        <v>89</v>
      </c>
      <c r="B83">
        <v>3</v>
      </c>
      <c r="C83">
        <v>21</v>
      </c>
      <c r="D83">
        <v>7</v>
      </c>
      <c r="E83">
        <v>1</v>
      </c>
      <c r="F83" s="3">
        <f>6691.3+(308.4-1653.2)+(0+(0-0))+0-0-0</f>
        <v>5346.5</v>
      </c>
      <c r="G83" s="3">
        <f>6518.7+(283.9-1902.6)+(-9.973611+(-0.434367--2.910978))+0-0-0</f>
        <v>4892.5029999999997</v>
      </c>
      <c r="H83" s="3">
        <f>6268.3+(204.7-1865.3)+(0+(0-0))+0-0-0</f>
        <v>4607.7000000000007</v>
      </c>
      <c r="I83" s="3">
        <f>5895+(171.3-1646.5)+(0+(0-0))+0-0-0</f>
        <v>4419.8</v>
      </c>
      <c r="J83" s="3">
        <f>5777+(134.2-1629.7)+(5.89254+(0.136884-1.662294))+0-0-0</f>
        <v>4285.8671299999996</v>
      </c>
      <c r="K83" s="3">
        <f>5586.9+(150.5-1608.2)+(-11.397276+(-0.30702--3.280728))+0-0-0</f>
        <v>4120.7764319999997</v>
      </c>
      <c r="L83" s="3">
        <f>5159.9+(218.8-1513.6)+(0+(0-0))+0-0-0</f>
        <v>3865.0999999999995</v>
      </c>
      <c r="M83" s="3">
        <f>5257.6+(172.1-1583.4)+(-8.044128+(-0.263313--2.422602))+0-0-0</f>
        <v>3840.4151610000004</v>
      </c>
      <c r="N83" s="3">
        <f>5461.5+(141.9-1498.3)+(0+(0-0))+0-0-0</f>
        <v>4105.1000000000004</v>
      </c>
      <c r="O83" s="3">
        <f>5701.6+(144.9-1348.8)+(0+(0-0))+0-0-0</f>
        <v>4497.7000000000007</v>
      </c>
      <c r="P83" s="3">
        <f>6196+(218.8-1408.4)+(-3.15996+(-0.111588--0.718284))+0-0-0</f>
        <v>5003.8467359999995</v>
      </c>
      <c r="Q83" s="3">
        <f>6465+(163.4-1296.4)+(9.89145+(0.250002-1.983492))+0-0-0</f>
        <v>5340.1579599999995</v>
      </c>
      <c r="R83" s="3">
        <f>6443.4+(154.3-1119.9)+(0+(0-0))+0-0-0</f>
        <v>5477.7999999999993</v>
      </c>
      <c r="S83" s="3">
        <f>6409.7+(148.6-988.1)+(0+(0-0))+0-0-0</f>
        <v>5570.2</v>
      </c>
      <c r="T83" s="3">
        <f>6370.9+(142.4-1100.3)+(-6.498318+(-0.145248--1.122306))+0-0-0</f>
        <v>5407.4787399999996</v>
      </c>
      <c r="U83" s="3">
        <f>6322.5+(161.9-1137.4)+(0+(0-0))+0-0-0</f>
        <v>5347</v>
      </c>
      <c r="V83" s="3">
        <f>6279.5+(162-1138.1)+(0+(0-0))+0-0-0</f>
        <v>5303.4</v>
      </c>
      <c r="W83" s="3">
        <f>6268+(216.9-1167.2)+(3.19668+(0.110619-0.595272))+0-0-0</f>
        <v>5320.4120269999994</v>
      </c>
      <c r="X83" s="3">
        <f>6181.1+(286.6-1152.4)+(-3.152361+(-0.146166--0.587724))+0-0-0</f>
        <v>5312.5891970000002</v>
      </c>
      <c r="Y83" s="3">
        <f>5892.8+(488.1-1080.3)+(0+(0-0))+0-0-0</f>
        <v>5300.6</v>
      </c>
      <c r="Z83" s="3">
        <f>6285.8+(584.4-1262.7)+(-3.205758+(-0.298044--0.643977))+0-0-0</f>
        <v>5604.6401750000005</v>
      </c>
      <c r="AA83" s="3">
        <f>6799.8+(229.8-1068.3)+(3.467898+(0.117198-0.544833))+0-0-0</f>
        <v>5964.340263</v>
      </c>
      <c r="AB83" s="3">
        <f>6776.4+(231.7-1140.6)+(-6.911928+(-0.236334--1.163412))+0-0-0</f>
        <v>5861.5151500000002</v>
      </c>
      <c r="AC83" s="3">
        <f>6689.7+(336.6-1423.7)+(-10.235241+(-0.514998--2.178261))+0-0-0</f>
        <v>5594.0280220000004</v>
      </c>
      <c r="AD83">
        <f t="shared" si="1"/>
        <v>120389.46999299999</v>
      </c>
      <c r="AE83" s="3">
        <f>6751+(249.8-1199.6)+(0+(0-0))+0-0-0</f>
        <v>5801.2</v>
      </c>
    </row>
    <row r="84" spans="1:31" s="2" customFormat="1" x14ac:dyDescent="0.25">
      <c r="A84">
        <v>89</v>
      </c>
      <c r="B84">
        <v>3</v>
      </c>
      <c r="C84">
        <v>22</v>
      </c>
      <c r="D84">
        <v>1</v>
      </c>
      <c r="E84">
        <v>1</v>
      </c>
      <c r="F84" s="3">
        <f>6662.4+(244.5-1749)+(-6.795648+(-0.24939--1.78398))+0-0-0</f>
        <v>5152.6389419999996</v>
      </c>
      <c r="G84" s="3">
        <f>6316.5+(176.1-1866.2)+(-9.664245+(-0.269433--2.855286))+0-0-0</f>
        <v>4619.3216079999993</v>
      </c>
      <c r="H84" s="3">
        <f>6026.7+(185.6-1881.9)+(-3.073617+(-0.094656--0.959769))+0-0-0</f>
        <v>4328.1914959999995</v>
      </c>
      <c r="I84" s="3">
        <f>5854.3+(122.2-1826.4)+(-5.971386+(-0.124644--1.862928))+0-0-0</f>
        <v>4145.8668980000002</v>
      </c>
      <c r="J84" s="3">
        <f>5749.6+(111.3-1780.4)+(-14.66148+(-0.283815--4.54002))+0-0-0</f>
        <v>4070.0947249999999</v>
      </c>
      <c r="K84" s="3">
        <f>5333.2+(219.8-1418.2)+(-10.879728+(-0.448392--2.893128))+0-0-0</f>
        <v>4126.3650079999989</v>
      </c>
      <c r="L84" s="3">
        <f>4944.9+(306.4-1173.6)+(-7.565697+(-0.468792--1.795608))+0-0-0</f>
        <v>4071.4611189999996</v>
      </c>
      <c r="M84" s="3">
        <f>5187+(331.5-883.6)+(0+(0-0))+0-0-0</f>
        <v>4634.8999999999996</v>
      </c>
      <c r="N84" s="3">
        <f>6269.8+(413.9-1206.4)+(0+(0-0))+0-0-0</f>
        <v>5477.3</v>
      </c>
      <c r="O84" s="3">
        <f>6649.2+(400.5-969.4)+(3.391092+(0.204255-0.494394))+0-0-0</f>
        <v>6083.4009530000003</v>
      </c>
      <c r="P84" s="3">
        <f>6609.1+(606.6-596.2)+(6.741282+(0.618732-0.608124))+0-0-0</f>
        <v>6626.2518899999995</v>
      </c>
      <c r="Q84" s="3">
        <f>6614.1+(812.3-442.3)+(-3.373191+(-0.414273--0.225573))+0-0-0</f>
        <v>6980.5381090000001</v>
      </c>
      <c r="R84" s="3">
        <f>6598.2+(931.9-373)+(10.095246+(1.425807-0.57069))+0-0-0</f>
        <v>7168.0503629999994</v>
      </c>
      <c r="S84" s="3">
        <f>6548.1+(931.6-405.1)+(-3.339531+(-0.475116--0.206601))+0-0-0</f>
        <v>7070.9919540000001</v>
      </c>
      <c r="T84" s="3">
        <f>6490+(1089.4-428.4)+(9.9297+(1.666782-0.655452))+1.7-0-0</f>
        <v>7163.6410299999998</v>
      </c>
      <c r="U84" s="3">
        <f>6494.2+(1005.2-390.9)+(0+(0-0))+10-0-0</f>
        <v>7118.5</v>
      </c>
      <c r="V84" s="3">
        <f>6497.8+(941.8-404.3)+(3.313878+(0.480318-0.206193))+1.8-0-0</f>
        <v>7040.6880030000002</v>
      </c>
      <c r="W84" s="3">
        <f>6503.5+(800.8-426.1)+(-3.316785+(-0.408408--0.217311))+0-0-0</f>
        <v>6874.6921179999999</v>
      </c>
      <c r="X84" s="3">
        <f>6554.1+(678.5-628.2)+(-6.685182+(-0.69207--0.640764))+0-0-0</f>
        <v>6597.663512000001</v>
      </c>
      <c r="Y84" s="3">
        <f>6439.1+(667.5-764.1)+(-3.283941+(-0.340425--0.389691))+0-0-0</f>
        <v>6339.2653250000003</v>
      </c>
      <c r="Z84" s="3">
        <f>6725+(743.1-875.4)+(-6.8595+(-0.757962--0.892908))+0-0-0</f>
        <v>6585.9754459999995</v>
      </c>
      <c r="AA84" s="3">
        <f>6893.1+(499.9-595.7)+(-3.515481+(-0.254949--0.303807))+0-0-0</f>
        <v>6793.8333769999999</v>
      </c>
      <c r="AB84" s="3">
        <f>6839.6+(485.3-715.2)+(-3.488196+(-0.247503--0.364752))+0-0-0</f>
        <v>6606.3290530000004</v>
      </c>
      <c r="AC84" s="3">
        <f>6775.1+(421.1-1012.7)+(-3.455301+(-0.214761--0.516477))+0-0-0</f>
        <v>6180.346415</v>
      </c>
      <c r="AD84">
        <f t="shared" si="1"/>
        <v>141856.30734400003</v>
      </c>
      <c r="AE84" s="3">
        <f>6844+(504-539.1)+(0+(0-0))+0-0-0</f>
        <v>6808.9</v>
      </c>
    </row>
    <row r="85" spans="1:31" s="2" customFormat="1" x14ac:dyDescent="0.25">
      <c r="A85">
        <v>89</v>
      </c>
      <c r="B85">
        <v>3</v>
      </c>
      <c r="C85">
        <v>23</v>
      </c>
      <c r="D85">
        <v>2</v>
      </c>
      <c r="E85">
        <v>1</v>
      </c>
      <c r="F85" s="3">
        <f>6769.4+(429.5-1609.5)+(-3.452394+(-0.219045--0.820845))+0-0-0</f>
        <v>5586.5494060000001</v>
      </c>
      <c r="G85" s="3">
        <f>6598.8+(458.5-1996.2)+(-13.461552+(-0.93534--4.072248))+0-0-0</f>
        <v>5050.7753560000001</v>
      </c>
      <c r="H85" s="3">
        <f>6113.1+(522.1-1885.6)+(-9.353043+(-0.798813--2.884968))+0-0-0</f>
        <v>4742.3331120000003</v>
      </c>
      <c r="I85" s="3">
        <f>5832+(488-1724.5)+(0+(0-0))+0-0-0</f>
        <v>4595.5</v>
      </c>
      <c r="J85" s="3">
        <f>5775.3+(474.7-1734.3)+(2.945403+(0.242097-0.884493))+0-0-0</f>
        <v>4518.0030070000012</v>
      </c>
      <c r="K85" s="3">
        <f>5474.2+(432.9-1486.8)+(-11.167368+(-0.883116--3.033072))+0-0-0</f>
        <v>4411.2825879999991</v>
      </c>
      <c r="L85" s="3">
        <f>5219.4+(409.4-1292.4)+(7.985682+(0.626382-1.977372))+0-0-0</f>
        <v>4343.0346919999993</v>
      </c>
      <c r="M85" s="3">
        <f>5705.6+(340.5-1145)+(2.909856+(0.173655-0.58395))+0-0-0</f>
        <v>4903.599561</v>
      </c>
      <c r="N85" s="3">
        <f>6268.2+(568.5-1099.9)+(-9.590346+(-0.869805--1.682847))+0-0-0</f>
        <v>5728.0226959999991</v>
      </c>
      <c r="O85" s="3">
        <f>6521.9+(722.7-870)+(-6.652338+(-0.737154--0.8874))+0-0-0</f>
        <v>6368.0979079999997</v>
      </c>
      <c r="P85" s="3">
        <f>6665.5+(632.6-457.2)+(-3.399405+(-0.322626--0.233172))+0-0-0</f>
        <v>6837.4111409999996</v>
      </c>
      <c r="Q85" s="3">
        <f>6765.5+(827.3-417.3)+(0+(0-0))+0-0-0</f>
        <v>7175.5</v>
      </c>
      <c r="R85" s="3">
        <f>6828.4+(864.9-403.8)+(-6.964968+(-0.882198--0.411876))+0-0-0</f>
        <v>7282.0647099999996</v>
      </c>
      <c r="S85" s="3">
        <f>6710.9+(865.8-422.4)+(-10.267677+(-1.324674--0.646272))+0-0-0</f>
        <v>7143.353920999999</v>
      </c>
      <c r="T85" s="3">
        <f>6677+(957.9-408.3)+(-3.40527+(-0.488529--0.208233))+0-0-0</f>
        <v>7222.9144340000003</v>
      </c>
      <c r="U85" s="3">
        <f>6679+(874.9-421.7)+(3.40629+(0.446199-0.215067))+70.8-0-0</f>
        <v>7206.6374219999998</v>
      </c>
      <c r="V85" s="3">
        <f>6658.5+(848.7-409.9)+(-3.395835+(-0.432837--0.209049))+35.4-0-0</f>
        <v>7129.0803770000002</v>
      </c>
      <c r="W85" s="3">
        <f>6648.6+(718.4-395.5)+(-3.390786+(-0.366384--0.201705))+0-0-0</f>
        <v>6967.9445349999996</v>
      </c>
      <c r="X85" s="3">
        <f>6590.2+(642.9-556.3)+(-10.083006+(-0.983637--0.851139))+0-0-0</f>
        <v>6666.5844960000004</v>
      </c>
      <c r="Y85" s="3">
        <f>6582.8+(638.3-837)+(-6.714456+(-0.651066--0.85374))+0-0-0</f>
        <v>6377.5882180000008</v>
      </c>
      <c r="Z85" s="3">
        <f>6878.4+(515.7-761.4)+(-3.507984+(-0.263007--0.388314))+0-0-0</f>
        <v>6629.3173230000002</v>
      </c>
      <c r="AA85" s="3">
        <f>7046.7+(411.8-572.6)+(0+(0-0))+8.3-0-0</f>
        <v>6894.2</v>
      </c>
      <c r="AB85" s="3">
        <f>6912.4+(270.1-590.7)+(-3.525324+(-0.137751--0.301257))+71.7-0-0</f>
        <v>6660.1381819999988</v>
      </c>
      <c r="AC85" s="3">
        <f>6802.8+(291.9-830.9)+(-10.408284+(-0.446607--1.271277))+0-0-0</f>
        <v>6254.2163860000001</v>
      </c>
      <c r="AD85">
        <f t="shared" si="1"/>
        <v>146694.14947100001</v>
      </c>
      <c r="AE85" s="3">
        <f>7033+(388.2-534.4)+(0+(0-0))+0-0-0</f>
        <v>6886.8</v>
      </c>
    </row>
    <row r="86" spans="1:31" s="2" customFormat="1" x14ac:dyDescent="0.25">
      <c r="A86">
        <v>89</v>
      </c>
      <c r="B86">
        <v>3</v>
      </c>
      <c r="C86">
        <v>24</v>
      </c>
      <c r="D86">
        <v>3</v>
      </c>
      <c r="E86">
        <v>1</v>
      </c>
      <c r="F86" s="3">
        <f>6740.4+(307.2-1349.3)+(-6.875208+(-0.313344--1.376286))+0-0-0</f>
        <v>5692.4877339999994</v>
      </c>
      <c r="G86" s="3">
        <f>6322.3+(352.4-1562.7)+(0+(0-0))+0-0-0</f>
        <v>5112</v>
      </c>
      <c r="H86" s="3">
        <f>5961.6+(347.4-1511)+(-6.080832+(-0.354348--1.54122))+0-0-0</f>
        <v>4793.1060399999997</v>
      </c>
      <c r="I86" s="3">
        <f>5896.3+(407.8-1644.6)+(6.014226+(0.415956-1.677492))+0-0-0</f>
        <v>4664.2526900000003</v>
      </c>
      <c r="J86" s="3">
        <f>5923+(439.1-1794.5)+(-3.02073+(-0.223941--0.915195))+0-0-0</f>
        <v>4565.2705240000005</v>
      </c>
      <c r="K86" s="3">
        <f>5837.6+(446.9-1835.1)+(-5.954352+(-0.455838--1.871802))+0-0-0</f>
        <v>4444.8616120000006</v>
      </c>
      <c r="L86" s="3">
        <f>5658.3+(396.2-1664.5)+(2.885733+(0.202062-0.848895))+0-0-0</f>
        <v>4392.2389000000003</v>
      </c>
      <c r="M86" s="3">
        <f>5919.7+(314.2-1301.4)+(3.019047+(0.160242-0.663714))+0-0-0</f>
        <v>4935.0155750000004</v>
      </c>
      <c r="N86" s="3">
        <f>6447.4+(369.9-1053.7)+(-6.576348+(-0.377298--1.074774))+0-0-0</f>
        <v>5757.7211279999992</v>
      </c>
      <c r="O86" s="3">
        <f>6999.6+(456.6-1069.2)+(0+(0-0))+0-0-0</f>
        <v>6387</v>
      </c>
      <c r="P86" s="3">
        <f>7046.1+(350.7-586.9)+(7.187022+(0.357714-0.598638))+0-0-0</f>
        <v>6816.8460980000009</v>
      </c>
      <c r="Q86" s="3">
        <f>6947.6+(673.5-481.3)+(3.543276+(0.343485-0.245463))+0-0-0</f>
        <v>7143.4412979999997</v>
      </c>
      <c r="R86" s="3">
        <f>6930.3+(734-438.3)+(3.534453+(0.37434-0.223533))+0-0-0</f>
        <v>7229.6852600000002</v>
      </c>
      <c r="S86" s="3">
        <f>6885.6+(702.2-492.6)+(-7.023312+(-0.716244--0.502452))+0-0-0</f>
        <v>7087.9628960000009</v>
      </c>
      <c r="T86" s="3">
        <f>6869.3+(873.9-540.1)+(7.006686+(0.891378-0.550902))+0-0-0</f>
        <v>7210.4471620000004</v>
      </c>
      <c r="U86" s="3">
        <f>6875.5+(819.3-503)+(14.02602+(1.671372-1.02612))+0-0-0</f>
        <v>7206.4712719999998</v>
      </c>
      <c r="V86" s="3">
        <f>6835+(742-448.5)+(-3.48585+(-0.37842--0.228735))+0-0-0</f>
        <v>7124.8644649999997</v>
      </c>
      <c r="W86" s="3">
        <f>6822.3+(579-438.9)+(-6.958746+(-0.59058--0.447678))+0-0-0</f>
        <v>6955.2983520000007</v>
      </c>
      <c r="X86" s="3">
        <f>6899.9+(427.9-638.8)+(-14.075796+(-0.872916--1.303152))+0-0-0</f>
        <v>6675.3544400000001</v>
      </c>
      <c r="Y86" s="3">
        <f>6894.9+(493.1-968.2)+(0+(0-0))+0-0-0</f>
        <v>6419.7999999999993</v>
      </c>
      <c r="Z86" s="3">
        <f>7010.4+(371.3-724.1)+(3.575304+(0.189363-0.369291))+0-0-0</f>
        <v>6660.9953759999999</v>
      </c>
      <c r="AA86" s="3">
        <f>7167.2+(411.9-681.1)+(-3.655272+(-0.210069--0.347361))+0-0-0</f>
        <v>6894.4820200000004</v>
      </c>
      <c r="AB86" s="3">
        <f>7112.8+(250-704.6)+(-10.882584+(-0.3825--1.078038))+0-0-0</f>
        <v>6648.0129539999998</v>
      </c>
      <c r="AC86" s="3">
        <f>7086.8+(198.3-972.7)+(-7.228536+(-0.202266--0.992154))+0-0-0</f>
        <v>6305.9613519999994</v>
      </c>
      <c r="AD86">
        <f t="shared" si="1"/>
        <v>147123.57714800001</v>
      </c>
      <c r="AE86" s="3">
        <f>7139+(379.9-668.3)+(0+(0-0))+0-0-0</f>
        <v>6850.6</v>
      </c>
    </row>
    <row r="87" spans="1:31" s="2" customFormat="1" x14ac:dyDescent="0.25">
      <c r="A87">
        <v>89</v>
      </c>
      <c r="B87">
        <v>3</v>
      </c>
      <c r="C87">
        <v>25</v>
      </c>
      <c r="D87">
        <v>4</v>
      </c>
      <c r="E87">
        <v>1</v>
      </c>
      <c r="F87" s="3">
        <f>7030.7+(241.1-1533.6)+(-10.756971+(-0.368883--2.346408))+0-0-0</f>
        <v>5729.4205540000003</v>
      </c>
      <c r="G87" s="3">
        <f>6680.8+(162.1-1710.3)+(0+(0-0))+0-0-0</f>
        <v>5132.6000000000004</v>
      </c>
      <c r="H87" s="3">
        <f>6601.1+(162.4-1952.8)+(-6.733122+(-0.165648--1.991856))+0-0-0</f>
        <v>4805.7930860000006</v>
      </c>
      <c r="I87" s="3">
        <f>6217.2+(173.7-1746.2)+(-3.170772+(-0.088587--0.890562))+0-0-0</f>
        <v>4642.3312029999997</v>
      </c>
      <c r="J87" s="3">
        <f>5986.3+(166.7-1638.3)+(-6.106026+(-0.170034--1.671066))+0-0-0</f>
        <v>4510.0950060000005</v>
      </c>
      <c r="K87" s="3">
        <f>5853.8+(266.5-1708)+(-14.92719+(-0.679575--4.3554))+0-0-0</f>
        <v>4401.0486350000001</v>
      </c>
      <c r="L87" s="3">
        <f>5427.7+(296.5-1408.8)+(-13.840635+(-0.756075--3.59244))+0-0-0</f>
        <v>4304.3957299999993</v>
      </c>
      <c r="M87" s="3">
        <f>5575.2+(259.5-947.5)+(5.686704+(0.26469-0.96645))+0-0-0</f>
        <v>4892.1849439999996</v>
      </c>
      <c r="N87" s="3">
        <f>6462.6+(286-1096.4)+(3.295926+(0.14586-0.559164))+0-0-0</f>
        <v>5655.0826220000008</v>
      </c>
      <c r="O87" s="3">
        <f>7034+(397.8-1152.3)+(3.58734+(0.202878-0.587673))+0-0-0</f>
        <v>6282.7025450000001</v>
      </c>
      <c r="P87" s="3">
        <f>7016+(416.4-700.7)+(-3.57816+(-0.212364--0.357357))+0-0-0</f>
        <v>6728.2668329999997</v>
      </c>
      <c r="Q87" s="3">
        <f>7015.7+(570.9-592.9)+(0+(0-0))+0-0-0</f>
        <v>6993.7</v>
      </c>
      <c r="R87" s="3">
        <f>7091.1+(589.8-578.4)+(-7.232922+(-0.601596--0.589968))+0-0-0</f>
        <v>7095.2554499999997</v>
      </c>
      <c r="S87" s="3">
        <f>7050.1+(557.9-619.3)+(-7.191102+(-0.569058--0.631686))+0-0-0</f>
        <v>6981.5715260000006</v>
      </c>
      <c r="T87" s="3">
        <f>7041.1+(632.6-570.3)+(0+(0-0))+0-0-0</f>
        <v>7103.4000000000005</v>
      </c>
      <c r="U87" s="3">
        <f>7019+(646.3-552.9)+(7.15938+(0.659226-0.563958))+0-0-0</f>
        <v>7119.6546479999997</v>
      </c>
      <c r="V87" s="3">
        <f>7002.6+(604.2-544.6)+(-7.142652+(-0.616284--0.555492))+0-0-0</f>
        <v>7054.996556000001</v>
      </c>
      <c r="W87" s="3">
        <f>6999.4+(399.5-524.9)+(-10.709082+(-0.611235--0.803097))+0-0-0</f>
        <v>6863.4827800000003</v>
      </c>
      <c r="X87" s="3">
        <f>7003.4+(379.2-812.8)+(-10.715202+(-0.580176--1.243584))+0-0-0</f>
        <v>6559.7482059999993</v>
      </c>
      <c r="Y87" s="3">
        <f>6994.1+(410.3-1107.2)+(-7.133982+(-0.418506--1.129344))+0-0-0</f>
        <v>6290.7768560000004</v>
      </c>
      <c r="Z87" s="3">
        <f>7170.3+(358.7-977.2)+(-3.656853+(-0.182937--0.498372))+0-0-0</f>
        <v>6548.4585820000002</v>
      </c>
      <c r="AA87" s="3">
        <f>7287.7+(216.3-741.9)+(-11.150181+(-0.330939--1.135107))+0-0-0</f>
        <v>6751.7539870000001</v>
      </c>
      <c r="AB87" s="3">
        <f>7205.7+(209.4-835.6)+(-11.024721+(-0.320382--1.278468))+0-0-0</f>
        <v>6569.4333649999999</v>
      </c>
      <c r="AC87" s="3">
        <f>7138.5+(189.9-1111.2)+(-7.28127+(-0.193698--1.133424))+0-0-0</f>
        <v>6210.8584559999999</v>
      </c>
      <c r="AD87">
        <f t="shared" si="1"/>
        <v>145227.01157</v>
      </c>
      <c r="AE87" s="3">
        <f>7257+(200.6-799.2)+(0+(0-0))+0-0-0</f>
        <v>6658.4</v>
      </c>
    </row>
    <row r="88" spans="1:31" s="2" customFormat="1" x14ac:dyDescent="0.25">
      <c r="A88">
        <v>89</v>
      </c>
      <c r="B88">
        <v>3</v>
      </c>
      <c r="C88">
        <v>26</v>
      </c>
      <c r="D88">
        <v>5</v>
      </c>
      <c r="E88">
        <v>1</v>
      </c>
      <c r="F88" s="3">
        <f>7049.3+(161.3-1558.1)+(-7.190286+(-0.164526--1.589262))+0-0-0</f>
        <v>5646.7344499999999</v>
      </c>
      <c r="G88" s="3">
        <f>6758.3+(135.8-1853.2)+(-3.446733+(-0.069258--0.945132))+0-0-0</f>
        <v>5038.3291409999993</v>
      </c>
      <c r="H88" s="3">
        <f>6597.2+(149.7-1981.4)+(-6.729144+(-0.152694--2.021028))+0-0-0</f>
        <v>4760.6391899999999</v>
      </c>
      <c r="I88" s="3">
        <f>6483.5+(200.3-2044.3)+(-9.919755+(-0.306459--3.127779))+0-0-0</f>
        <v>4632.4015650000001</v>
      </c>
      <c r="J88" s="3">
        <f>6010.8+(248.4-1714.6)+(-3.065508+(-0.126684--0.874446))+0-0-0</f>
        <v>4542.2822540000006</v>
      </c>
      <c r="K88" s="3">
        <f>5833.2+(278.3-1656.6)+(-14.87466+(-0.709665--4.22433))+0-0-0</f>
        <v>4443.5400049999998</v>
      </c>
      <c r="L88" s="3">
        <f>5631.1+(241.8-1262.1)+(-2.871861+(-0.123318--0.643671))+0-0-0</f>
        <v>4608.4484920000004</v>
      </c>
      <c r="M88" s="3">
        <f>6009.8+(185.9-1168.2)+(-3.064998+(-0.094809--0.595782))+0-0-0</f>
        <v>5024.9359750000003</v>
      </c>
      <c r="N88" s="3">
        <f>6525.9+(319.9-962.7)+(-6.656418+(-0.326298--0.981954))+0-0-0</f>
        <v>5877.0992379999998</v>
      </c>
      <c r="O88" s="3">
        <f>6781.3+(301.6-817.3)+(-3.458463+(-0.153816--0.416823))+0-0-0</f>
        <v>6262.404544</v>
      </c>
      <c r="P88" s="3">
        <f>6859.7+(402-542.3)+(0+(0-0))+0-0-0</f>
        <v>6719.4</v>
      </c>
      <c r="Q88" s="3">
        <f>7016.7+(404.3-624.8)+(-7.157034+(-0.412386--0.637296))+0-0-0</f>
        <v>6789.2678759999999</v>
      </c>
      <c r="R88" s="3">
        <f>6824.2+(706.8-507.3)+(0+(0-0))+0-0-0</f>
        <v>7023.7</v>
      </c>
      <c r="S88" s="3">
        <f>6746.7+(645.9-555.7)+(0+(0-0))+0-0-0</f>
        <v>6836.9</v>
      </c>
      <c r="T88" s="3">
        <f>6730.5+(848.7-553.5)+(0+(0-0))+0-0-0</f>
        <v>7025.7</v>
      </c>
      <c r="U88" s="3">
        <f>6600.7+(975.4-537.3)+(-3.366357+(-0.497454--0.274023))+0-0-0</f>
        <v>7035.210212</v>
      </c>
      <c r="V88" s="3">
        <f>6720.9+(826.1-499)+(6.855318+(0.842622-0.50898))+0-0-0</f>
        <v>7055.1889600000004</v>
      </c>
      <c r="W88" s="3">
        <f>6812.6+(577.1-446)+(-17.37213+(-1.471605--1.1373))+0-0-0</f>
        <v>6925.9935650000007</v>
      </c>
      <c r="X88" s="3">
        <f>6735+(433.3-681.4)+(-17.17425+(-1.104915--1.73757))+0-0-0</f>
        <v>6470.3584049999999</v>
      </c>
      <c r="Y88" s="3">
        <f>6823.6+(337.7-840.9)+(-6.960072+(-0.344454--0.857718))+0-0-0</f>
        <v>6313.9531920000009</v>
      </c>
      <c r="Z88" s="3">
        <f>7015+(351.9-816.2)+(0+(0-0))+0-0-0</f>
        <v>6550.7</v>
      </c>
      <c r="AA88" s="3">
        <f>7142.3+(257.6-684.6)+(-10.927719+(-0.394128--1.047438))+0-0-0</f>
        <v>6705.0255910000005</v>
      </c>
      <c r="AB88" s="3">
        <f>7100.8+(166.6-810.2)+(-3.621408+(-0.084966--0.413202))+0-0-0</f>
        <v>6453.9068280000001</v>
      </c>
      <c r="AC88" s="3">
        <f>7023.1+(183.3-1062.6)+(-3.581781+(-0.093483--0.541926))+0-0-0</f>
        <v>6140.6666620000005</v>
      </c>
      <c r="AD88">
        <f t="shared" si="1"/>
        <v>144882.78614500002</v>
      </c>
      <c r="AE88" s="3">
        <f>7129+(218-689)+(0+(0-0))+0-0-0</f>
        <v>6658</v>
      </c>
    </row>
    <row r="89" spans="1:31" s="2" customFormat="1" x14ac:dyDescent="0.25">
      <c r="A89">
        <v>89</v>
      </c>
      <c r="B89">
        <v>3</v>
      </c>
      <c r="C89">
        <v>27</v>
      </c>
      <c r="D89">
        <v>6</v>
      </c>
      <c r="E89">
        <v>1</v>
      </c>
      <c r="F89" s="3">
        <f>6800.5+(209.3-1438.4)+(-6.93651+(-0.213486--1.467168))+0-0-0</f>
        <v>5565.7171719999997</v>
      </c>
      <c r="G89" s="3">
        <f>6311.4+(186.3-1492.8)+(0+(0-0))+0-0-0</f>
        <v>5004.8999999999996</v>
      </c>
      <c r="H89" s="3">
        <f>6015.7+(244.9-1527.6)+(-9.204021+(-0.374697--2.337228))+0-0-0</f>
        <v>4725.7585099999997</v>
      </c>
      <c r="I89" s="3">
        <f>6110.9+(402.5-1848.7)+(-6.233118+(-0.41055--1.885674))+0-0-0</f>
        <v>4659.9420060000002</v>
      </c>
      <c r="J89" s="3">
        <f>6086.2+(538-2091.4)+(-6.207924+(-0.54876--2.133228))+0-0-0</f>
        <v>4528.176543999999</v>
      </c>
      <c r="K89" s="3">
        <f>5903.4+(515.3-2008.4)+(-15.05367+(-1.314015--5.12142))+0-0-0</f>
        <v>4399.0537349999995</v>
      </c>
      <c r="L89" s="3">
        <f>5506.2+(429.9-1658)+(-14.04081+(-1.096245--4.2279))+0-0-0</f>
        <v>4267.1908450000001</v>
      </c>
      <c r="M89" s="3">
        <f>5639.9+(473.9-1447.4)+(8.629047+(0.725067-2.214522))+0-0-0</f>
        <v>4673.5395920000001</v>
      </c>
      <c r="N89" s="3">
        <f>6217.2+(756-1533.1)+(0+(0-0))+0-0-0</f>
        <v>5440.1</v>
      </c>
      <c r="O89" s="3">
        <f>6622.6+(663.2-1242.6)+(10.132578+(1.014696-1.901178))+0-0-0</f>
        <v>6052.4460960000006</v>
      </c>
      <c r="P89" s="3">
        <f>6639.2+(547.7-699.1)+(0+(0-0))+0-0-0</f>
        <v>6487.8</v>
      </c>
      <c r="Q89" s="3">
        <f>6684.7+(496.3-478.8)+(6.818394+(0.506226-0.488376))+0-0-0</f>
        <v>6709.0362439999999</v>
      </c>
      <c r="R89" s="3">
        <f>6699.8+(543.2-464.1)+(0+(0-0))+0-0-0</f>
        <v>6778.9000000000005</v>
      </c>
      <c r="S89" s="3">
        <f>6645.3+(648.5-672.1)+(0+(0-0))+0-0-0</f>
        <v>6621.7</v>
      </c>
      <c r="T89" s="3">
        <f>6542.4+(682-644.3)+(0+(0-0))+0-0-0</f>
        <v>6580.0999999999995</v>
      </c>
      <c r="U89" s="3">
        <f>6514.1+(773.1-807.5)+(-6.644382+(-0.788562--0.82365))+0-0-0</f>
        <v>6473.0907060000009</v>
      </c>
      <c r="V89" s="3">
        <f>6493.6+(809.5-926)+(0+(0-0))+0-0-0</f>
        <v>6377.1</v>
      </c>
      <c r="W89" s="3">
        <f>6471.3+(822.3-1174.1)+(-16.501815+(-2.096865--2.993955))+0-0-0</f>
        <v>6103.8952749999999</v>
      </c>
      <c r="X89" s="3">
        <f>6309.3+(895.3-1314.1)+(-12.870972+(-1.826412--2.680764))+0-0-0</f>
        <v>5878.4833799999997</v>
      </c>
      <c r="Y89" s="3">
        <f>6037.9+(928.9-1118.7)+(-3.079329+(-0.473739--0.570537))+0-0-0</f>
        <v>5845.1174689999998</v>
      </c>
      <c r="Z89" s="3">
        <f>6451.4+(980.6-1297)+(-3.290214+(-0.500106--0.66147))+0-0-0</f>
        <v>6131.8711499999999</v>
      </c>
      <c r="AA89" s="3">
        <f>6892.4+(838.4-1409)+(-17.57562+(-2.13792--3.59295))+0-0-0</f>
        <v>6305.6794099999988</v>
      </c>
      <c r="AB89" s="3">
        <f>6830.6+(715.8-1469.4)+(-3.483606+(-0.365058--0.749394))+0-0-0</f>
        <v>6073.9007300000003</v>
      </c>
      <c r="AC89" s="3">
        <f>6753.9+(650.3-1604.6)+(-13.777956+(-1.326612--3.273384))+0-0-0</f>
        <v>5787.7688159999998</v>
      </c>
      <c r="AD89">
        <f t="shared" si="1"/>
        <v>137471.26768000002</v>
      </c>
      <c r="AE89" s="3">
        <f>6859+(779.2-1468.8)+(0+(0-0))+0-0-0</f>
        <v>6169.4</v>
      </c>
    </row>
    <row r="90" spans="1:31" s="2" customFormat="1" x14ac:dyDescent="0.25">
      <c r="A90">
        <v>89</v>
      </c>
      <c r="B90">
        <v>3</v>
      </c>
      <c r="C90">
        <v>28</v>
      </c>
      <c r="D90">
        <v>7</v>
      </c>
      <c r="E90">
        <v>1</v>
      </c>
      <c r="F90" s="3">
        <f>6633+(463.1-1617.3)+(-10.14849+(-0.708543--2.474469))+0-0-0</f>
        <v>5470.4174360000006</v>
      </c>
      <c r="G90" s="3">
        <f>6584.3+(220.4-1727.5)+(-6.715986+(-0.224808--1.76205))+0-0-0</f>
        <v>5072.0212560000009</v>
      </c>
      <c r="H90" s="3">
        <f>6426.7+(188-1870.5)+(-9.832851+(-0.28764--2.861865))+0-0-0</f>
        <v>4736.941374</v>
      </c>
      <c r="I90" s="3">
        <f>6393.5+(246.6-2091.2)+(-9.782055+(-0.377298--3.199536))+0-0-0</f>
        <v>4541.9401829999997</v>
      </c>
      <c r="J90" s="3">
        <f>6215.9+(252.5-2045.2)+(-9.510327+(-0.386325--3.129156))+0-0-0</f>
        <v>4416.4325039999994</v>
      </c>
      <c r="K90" s="3">
        <f>5898.5+(310.8-1972.2)+(-9.024705+(-0.475524--3.017466))+0-0-0</f>
        <v>4230.6172370000004</v>
      </c>
      <c r="L90" s="3">
        <f>5426.9+(352.2-1835.9)+(0+(0-0))+0-0-0</f>
        <v>3943.2</v>
      </c>
      <c r="M90" s="3">
        <f>5310.7+(389.4-1889.4)+(0+(0-0))+0-0-0</f>
        <v>3810.7</v>
      </c>
      <c r="N90" s="3">
        <f>5599.5+(586.6-1969.3)+(-11.42298+(-1.196664--4.017372))+0-0-0</f>
        <v>4208.1977280000001</v>
      </c>
      <c r="O90" s="3">
        <f>5602.4+(672.9-1736.5)+(-8.571672+(-1.029537--2.656845))+0-0-0</f>
        <v>4531.8556359999993</v>
      </c>
      <c r="P90" s="3">
        <f>6099.1+(752.7-1767.4)+(0+(0-0))+0-0-0</f>
        <v>5084.4000000000005</v>
      </c>
      <c r="Q90" s="3">
        <f>6423.4+(868.6-1827.4)+(0+(0-0))+0-0-0</f>
        <v>5464.5999999999995</v>
      </c>
      <c r="R90" s="3">
        <f>6445.2+(1005.8-1917.4)+(-3.287052+(-0.512958--0.977874))+0-0-0</f>
        <v>5530.7778639999997</v>
      </c>
      <c r="S90" s="3">
        <f>6586.8+(944.5-1986.7)+(-3.359268+(-0.481695--1.013217))+0-0-0</f>
        <v>5541.7722540000004</v>
      </c>
      <c r="T90" s="3">
        <f>6619.1+(966.2-2088.5)+(-3.375741+(-0.492762--1.065135))+0-0-0</f>
        <v>5493.9966320000003</v>
      </c>
      <c r="U90" s="3">
        <f>6605.1+(940.9-2099.4)+(-6.737202+(-0.959718--2.141388))+0-0-0</f>
        <v>5441.0444680000001</v>
      </c>
      <c r="V90" s="3">
        <f>6314.5+(966.9-1856.1)+(-3.220395+(-0.493119--0.946611))+0-0-0</f>
        <v>5422.5330970000005</v>
      </c>
      <c r="W90" s="3">
        <f>6193.5+(1019.5-1806.2)+(-9.476055+(-1.559835--2.763486))+0-0-0</f>
        <v>5398.5275959999999</v>
      </c>
      <c r="X90" s="3">
        <f>6027.6+(970.6-1611.7)+(-15.37038+(-2.47503--4.109835))+0-0-0</f>
        <v>5372.7644250000003</v>
      </c>
      <c r="Y90" s="3">
        <f>5778+(863.2-1323.1)+(-5.89356+(-0.880464--1.349562))+0-0-0</f>
        <v>5312.6755380000004</v>
      </c>
      <c r="Z90" s="3">
        <f>6291.8+(891.7-1579.2)+(-3.208818+(-0.454767--0.805392))+0-0-0</f>
        <v>5601.4418070000002</v>
      </c>
      <c r="AA90" s="3">
        <f>7057+(717.2-1790.4)+(-10.79721+(-1.097316--2.739312))+0-0-0</f>
        <v>5974.6447859999998</v>
      </c>
      <c r="AB90" s="3">
        <f>7064+(676.4-1816.9)+(-7.20528+(-0.689928--1.853238))+0-0-0</f>
        <v>5917.4580299999998</v>
      </c>
      <c r="AC90" s="3">
        <f>6993.3+(609.2-1867)+(-14.266332+(-1.242768--3.80868))+0-0-0</f>
        <v>5723.7995799999999</v>
      </c>
      <c r="AD90">
        <f t="shared" si="1"/>
        <v>122242.75943099998</v>
      </c>
      <c r="AE90" s="3">
        <f>6949+(697.6-1764)+(0+(0-0))+0-0-0</f>
        <v>5882.6</v>
      </c>
    </row>
    <row r="91" spans="1:31" s="2" customFormat="1" x14ac:dyDescent="0.25">
      <c r="A91">
        <v>89</v>
      </c>
      <c r="B91">
        <v>3</v>
      </c>
      <c r="C91">
        <v>29</v>
      </c>
      <c r="D91">
        <v>1</v>
      </c>
      <c r="E91">
        <v>1</v>
      </c>
      <c r="F91" s="3">
        <f>6839.3+(444.4-1920.1)+(-6.976086+(-0.453288--1.958502))+0-0-0</f>
        <v>5358.1291280000005</v>
      </c>
      <c r="G91" s="3">
        <f>6541.5+(388.2-2068.9)+(-13.34466+(-0.791928--4.220556))+0-0-0</f>
        <v>4850.8839680000001</v>
      </c>
      <c r="H91" s="3">
        <f>6369.7+(294-2087.2)+(-9.745641+(-0.44982--3.193416))+0-0-0</f>
        <v>4569.4979549999998</v>
      </c>
      <c r="I91" s="3">
        <f>6045.2+(285.7-1900.6)+(-18.498312+(-0.874242--5.815836))+0-0-0</f>
        <v>4416.7432820000004</v>
      </c>
      <c r="J91" s="3">
        <f>5537.3+(404-1610.2)+(0+(0-0))+0-0-0</f>
        <v>4331.1000000000004</v>
      </c>
      <c r="K91" s="3">
        <f>5344.1+(468-1578)+(-2.725491+(-0.23868--0.80478))+0-0-0</f>
        <v>4231.9406090000002</v>
      </c>
      <c r="L91" s="3">
        <f>5332+(511.7-1626.3)+(-2.71932+(-0.260967--0.829413))+0-0-0</f>
        <v>4215.2491259999997</v>
      </c>
      <c r="M91" s="3">
        <f>5485.6+(593.2-1242.5)+(-5.595312+(-0.605064--1.26735))+0-0-0</f>
        <v>4831.3669740000005</v>
      </c>
      <c r="N91" s="3">
        <f>6326.4+(953.1-1556.4)+(3.226464+(0.486081-0.793764))+0-0-0</f>
        <v>5726.0187809999998</v>
      </c>
      <c r="O91" s="3">
        <f>6689.5+(1073.7-1403.8)+(3.411645+(0.547587-0.715938))+0-0-0</f>
        <v>6362.6432939999995</v>
      </c>
      <c r="P91" s="3">
        <f>6724+(1078.6-957)+(-6.85848+(-1.100172--0.97614))+0-0-0</f>
        <v>6838.6174880000008</v>
      </c>
      <c r="Q91" s="3">
        <f>6749.2+(997.5-541.8)+(6.884184+(1.01745-0.552636))+0-0-0</f>
        <v>7212.248998</v>
      </c>
      <c r="R91" s="3">
        <f>6734+(902.5-339.8)+(-6.86868+(-0.92055--0.346596))+0-0-0</f>
        <v>7289.2573659999998</v>
      </c>
      <c r="S91" s="3">
        <f>6715.1+(781.5-352.4)+(0+(0-0))+0-0-0</f>
        <v>7144.2000000000007</v>
      </c>
      <c r="T91" s="3">
        <f>6639.1+(921.6-332.2)+(-3.385941+(-0.470016--0.169422))+0-0-0</f>
        <v>7224.8134650000002</v>
      </c>
      <c r="U91" s="3">
        <f>6545.9+(927.4-316.2)+(-6.676818+(-0.945948--0.322524))+0-0-0</f>
        <v>7149.7997579999992</v>
      </c>
      <c r="V91" s="3">
        <f>6500+(953-345.5)+(3.315+(0.48603-0.176205))+0-0-0</f>
        <v>7111.1248249999999</v>
      </c>
      <c r="W91" s="3">
        <f>6477.5+(1183.8-695.3)+(-13.2141+(-2.414952--1.418412))+0-0-0</f>
        <v>6951.7893599999998</v>
      </c>
      <c r="X91" s="3">
        <f>6507.1+(1282.3-1139.7)+(-19.911726+(-3.923838--3.487482))+0-0-0</f>
        <v>6629.3519180000003</v>
      </c>
      <c r="Y91" s="3">
        <f>6465.9+(1173.4-1286.8)+(-3.297609+(-0.598434--0.656268))+0-0-0</f>
        <v>6349.260225</v>
      </c>
      <c r="Z91" s="3">
        <f>6698.6+(1065-1230.1)+(0+(0-0))+0-0-0</f>
        <v>6533.5</v>
      </c>
      <c r="AA91" s="3">
        <f>6882.7+(682.6-735.9)+(0+(0-0))+0-0-0</f>
        <v>6829.4</v>
      </c>
      <c r="AB91" s="3">
        <f>6854.5+(658.4-904.2)+(-10.487385+(-1.007352--1.383426))+0-0-0</f>
        <v>6598.5886890000002</v>
      </c>
      <c r="AC91" s="3">
        <f>6864.6+(700.2-1337.2)+(-7.001892+(-0.714204--1.363944))+0-0-0</f>
        <v>6221.247848</v>
      </c>
      <c r="AD91">
        <f t="shared" si="1"/>
        <v>144976.77305700001</v>
      </c>
      <c r="AE91" s="3">
        <f>6836+(635.8-655.3)+(0+(0-0))+0-0-0</f>
        <v>6816.5</v>
      </c>
    </row>
    <row r="92" spans="1:31" s="2" customFormat="1" x14ac:dyDescent="0.25">
      <c r="A92">
        <v>89</v>
      </c>
      <c r="B92">
        <v>3</v>
      </c>
      <c r="C92">
        <v>30</v>
      </c>
      <c r="D92">
        <v>2</v>
      </c>
      <c r="E92">
        <v>1</v>
      </c>
      <c r="F92" s="3">
        <f>6859.8+(788.6-1997.8)+(-13.993992+(-1.608744--4.075512))+0-0-0</f>
        <v>5639.072776</v>
      </c>
      <c r="G92" s="3">
        <f>6497.3+(633.8-2025.5)+(-3.313623+(-0.323238--1.033005))+0-0-0</f>
        <v>5102.9961440000006</v>
      </c>
      <c r="H92" s="3">
        <f>6431.2+(409.9-2021.9)+(3.279912+(0.209049-1.031169))+0-0-0</f>
        <v>4821.657792</v>
      </c>
      <c r="I92" s="3">
        <f>6273.5+(389.9-1950)+(-9.598455+(-0.596547--2.9835))+0-0-0</f>
        <v>4706.1884979999995</v>
      </c>
      <c r="J92" s="3">
        <f>6154.3+(420.9-1887.5)+(-9.416079+(-0.643977--2.887875))+0-0-0</f>
        <v>4680.5278190000008</v>
      </c>
      <c r="K92" s="3">
        <f>5914.8+(441-1781.2)+(-12.066192+(-0.89964--3.633648))+0-0-0</f>
        <v>4565.2678160000005</v>
      </c>
      <c r="L92" s="3">
        <f>5249.6+(435.7-1440.8)+(2.677296+(0.222207-0.734808))+0-0-0</f>
        <v>4246.6646950000004</v>
      </c>
      <c r="M92" s="3">
        <f>5520.4+(488.7-1285.4)+(0+(0-0))+0-0-0</f>
        <v>4723.7</v>
      </c>
      <c r="N92" s="3">
        <f>6363+(825.8-1398.3)+(6.49026+(0.842316-1.426266))+0-0-0</f>
        <v>5796.4063100000003</v>
      </c>
      <c r="O92" s="3">
        <f>6682.8+(1076.2-1343.2)+(6.816456+(1.097724-1.370064))+0-0-0</f>
        <v>6422.3441160000002</v>
      </c>
      <c r="P92" s="3">
        <f>6780.3+(1087-977)+(3.457953+(0.55437-0.49827))+0-0-0</f>
        <v>6893.8140530000001</v>
      </c>
      <c r="Q92" s="3">
        <f>6821.2+(989.5-596)+(3.478812+(0.504645-0.30396))+0-0-0</f>
        <v>7218.3794969999999</v>
      </c>
      <c r="R92" s="3">
        <f>6781.6+(958.2-399.7)+(3.458616+(0.488682-0.203847))+0-0-0</f>
        <v>7343.8434510000006</v>
      </c>
      <c r="S92" s="3">
        <f>6756.5+(919.4-468.1)+(0+(0-0))+0-0-0</f>
        <v>7207.8</v>
      </c>
      <c r="T92" s="3">
        <f>6772.7+(920.4-418.1)+(3.454077+(0.469404-0.213231))+0-0-0</f>
        <v>7278.7102500000001</v>
      </c>
      <c r="U92" s="3">
        <f>6776.8+(918.5-507.6)+(-6.912336+(-0.93687--0.517752))+0-0-0</f>
        <v>7180.3685459999997</v>
      </c>
      <c r="V92" s="3">
        <f>6744.6+(984.5-723.7)+(-6.879492+(-1.00419--0.738174))+0-0-0</f>
        <v>6998.2544920000009</v>
      </c>
      <c r="W92" s="3">
        <f>6776.4+(1106.3-1120.1)+(-6.911928+(-1.128426--1.142502))+0-0-0</f>
        <v>6755.7021479999994</v>
      </c>
      <c r="X92" s="3">
        <f>6744.3+(1128.8-1302.3)+(-10.318779+(-1.727064--1.992519))+0-0-0</f>
        <v>6560.7466759999998</v>
      </c>
      <c r="Y92" s="3">
        <f>6802.3+(863.2-1313.9)+(-3.469173+(-0.440232--0.670089))+0-0-0</f>
        <v>6348.3606840000002</v>
      </c>
      <c r="Z92" s="3">
        <f>6982.9+(750.8-1177.3)+(0+(0-0))+0-0-0</f>
        <v>6556.4</v>
      </c>
      <c r="AA92" s="3">
        <f>7051.2+(492-808.9)+(-7.192224+(-0.50184--0.825078))+0-0-0</f>
        <v>6727.4310139999998</v>
      </c>
      <c r="AB92" s="3">
        <f>7023.5+(494.5-988.5)+(-3.581985+(-0.252195--0.504135))+0-0-0</f>
        <v>6526.1699550000003</v>
      </c>
      <c r="AC92" s="3">
        <f>6950.5+(484-1233)+(0+(0-0))+0-0-0</f>
        <v>6201.5</v>
      </c>
      <c r="AD92">
        <f t="shared" si="1"/>
        <v>146502.30673199997</v>
      </c>
      <c r="AE92" s="3">
        <f>7057+(461.2-785.1)+(0+(0-0))+0-0-0</f>
        <v>6733.1</v>
      </c>
    </row>
    <row r="93" spans="1:31" s="2" customFormat="1" x14ac:dyDescent="0.25">
      <c r="A93">
        <v>89</v>
      </c>
      <c r="B93">
        <v>3</v>
      </c>
      <c r="C93">
        <v>31</v>
      </c>
      <c r="D93">
        <v>3</v>
      </c>
      <c r="E93">
        <v>1</v>
      </c>
      <c r="F93" s="3">
        <f>6775.5+(572.9-1740.8)+(-3.455505+(-0.292179--0.887808))+0-0-0</f>
        <v>5604.7401239999999</v>
      </c>
      <c r="G93" s="3">
        <f>6403.5+(636.6-1990.5)+(3.265785+(0.324666-1.015155))+0-0-0</f>
        <v>5052.1752960000003</v>
      </c>
      <c r="H93" s="3">
        <f>6220.2+(397.9-1863.9)+(3.172302+(0.202929-0.950589))+0-0-0</f>
        <v>4756.6246419999998</v>
      </c>
      <c r="I93" s="3">
        <f>6195+(323.8-1897.5)+(6.3189+(0.330276-1.93545))+0-0-0</f>
        <v>4626.0137260000001</v>
      </c>
      <c r="J93" s="3">
        <f>6040+(396.6-1894.3)+(12.3216+(0.809064-3.864372))+0-0-0</f>
        <v>4551.5662920000004</v>
      </c>
      <c r="K93" s="3">
        <f>5792.7+(422-1774.1)+(0+(0-0))+0-0-0</f>
        <v>4440.6000000000004</v>
      </c>
      <c r="L93" s="3">
        <f>5495.5+(444-1583)+(-2.802705+(-0.22644--0.80733))+0-0-0</f>
        <v>4354.2781850000001</v>
      </c>
      <c r="M93" s="3">
        <f>6123.6+(508.8-1710.5)+(0+(0-0))+0-0-0</f>
        <v>4921.9000000000005</v>
      </c>
      <c r="N93" s="3">
        <f>6689+(790.3-1757.8)+(6.82278+(0.806106-1.792956))+0-0-0</f>
        <v>5727.3359300000002</v>
      </c>
      <c r="O93" s="3">
        <f>6680.5+(1101.1-1396.3)+(6.81411+(1.123122-1.424226))+0-0-0</f>
        <v>6391.8130060000003</v>
      </c>
      <c r="P93" s="3">
        <f>6676.2+(866.9-682)+(0+(0-0))+0-0-0</f>
        <v>6861.0999999999995</v>
      </c>
      <c r="Q93" s="3">
        <f>6704.7+(852.5-384.5)+(0+(0-0))+0-0-0</f>
        <v>7172.7</v>
      </c>
      <c r="R93" s="3">
        <f>6565.8+(785.7-377.4)+(3.348558+(0.400707-0.192474))+255-0-0</f>
        <v>7232.6567910000003</v>
      </c>
      <c r="S93" s="3">
        <f>6550.1+(710.7-524)+(0+(0-0))+355-0-0</f>
        <v>7091.8</v>
      </c>
      <c r="T93" s="3">
        <f>6520.2+(690.1-439.4)+(3.325302+(0.351951-0.224094))+355-0-0</f>
        <v>7129.3531589999993</v>
      </c>
      <c r="U93" s="3">
        <f>6603.5+(607.6-430.3)+(-3.367785+(-0.309876--0.219453))+355-0-0</f>
        <v>7132.3417920000002</v>
      </c>
      <c r="V93" s="3">
        <f>6627.1+(810.7-709.9)+(6.759642+(0.826914-0.724098))+355-0-0</f>
        <v>7089.7624580000002</v>
      </c>
      <c r="W93" s="3">
        <f>6582.8+(978.6-691.7)+(3.357228+(0.499086-0.352767))+0-0-0</f>
        <v>6873.2035470000001</v>
      </c>
      <c r="X93" s="3">
        <f>6611.2+(1085-1057)+(0+(0-0))+0-0-0</f>
        <v>6639.2</v>
      </c>
      <c r="Y93" s="3">
        <f>6501.2+(968.2-948.3)+(6.631224+(0.987564-0.967266))+0-0-0</f>
        <v>6527.7515220000005</v>
      </c>
      <c r="Z93" s="3">
        <f>6860.8+(947.3-1086)+(0+(0-0))+0-0-0</f>
        <v>6722.1</v>
      </c>
      <c r="AA93" s="3">
        <f>6996.1+(605.9-744.7)+(-3.568011+(-0.309009--0.379797))+0-0-0</f>
        <v>6853.8027769999999</v>
      </c>
      <c r="AB93" s="3">
        <f>6968.7+(595.5-991.4)+(0+(0-0))+0-0-0</f>
        <v>6572.8</v>
      </c>
      <c r="AC93" s="3">
        <f>6887.9+(708.6-1438.7)+(-10.538487+(-1.084158--2.201211))+0-0-0</f>
        <v>6148.3785659999994</v>
      </c>
      <c r="AD93">
        <f t="shared" si="1"/>
        <v>146473.99781299999</v>
      </c>
      <c r="AE93" s="3">
        <f>6998+(565.9-661.9)+(0+(0-0))+0-0-0</f>
        <v>6902</v>
      </c>
    </row>
    <row r="94" spans="1:31" s="2" customFormat="1" x14ac:dyDescent="0.25">
      <c r="A94">
        <v>89</v>
      </c>
      <c r="B94">
        <v>4</v>
      </c>
      <c r="C94">
        <v>1</v>
      </c>
      <c r="D94">
        <v>4</v>
      </c>
      <c r="E94">
        <v>1</v>
      </c>
      <c r="F94" s="3">
        <f>6800.5+(690.9-1867.1)+(-17.341275+(-1.761795--4.761105))+0-0-0</f>
        <v>5609.9580350000006</v>
      </c>
      <c r="G94" s="3">
        <f>6576.5+(438.8-1939.4)+(-10.062045+(-0.671364--2.967282))+0-0-0</f>
        <v>5068.1338729999998</v>
      </c>
      <c r="H94" s="3">
        <f>6285.2+(358.5-1844.8)+(-12.821808+(-0.73134--3.763392))+0-0-0</f>
        <v>4789.1102439999995</v>
      </c>
      <c r="I94" s="3">
        <f>6202.7+(320-1854.8)+(-9.490131+(-0.4896--2.837844))+0-0-0</f>
        <v>4660.7581129999999</v>
      </c>
      <c r="J94" s="3">
        <f>6027.2+(393.3-1813.2)+(-3.073872+(-0.200583--0.924732))+0-0-0</f>
        <v>4604.950276999999</v>
      </c>
      <c r="K94" s="3">
        <f>5560.2+(428.8-1488.7)+(-11.342808+(-0.874752--3.036948))+0-0-0</f>
        <v>4491.1193879999992</v>
      </c>
      <c r="L94" s="3">
        <f>5228+(504.9-1358.4)+(2.66628+(0.257499-0.692784))+0-0-0</f>
        <v>4376.7309949999999</v>
      </c>
      <c r="M94" s="3">
        <f>5542.9+(486.1-1109)+(5.653758+(0.495822-1.13118))+0-0-0</f>
        <v>4925.0183999999999</v>
      </c>
      <c r="N94" s="3">
        <f>6074.4+(728-1063)+(-3.097944+(-0.37128--0.54213))+0-0-0</f>
        <v>5736.472906</v>
      </c>
      <c r="O94" s="3">
        <f>6504.1+(993.4-1071.8)+(6.634182+(1.013268-1.093236))+0-0-0</f>
        <v>6432.2542140000005</v>
      </c>
      <c r="P94" s="3">
        <f>6689.1+(989.6-774.4)+(3.411441+(0.504696-0.394944))+0-0-0</f>
        <v>6907.8211929999998</v>
      </c>
      <c r="Q94" s="3">
        <f>6789.2+(925.4-487.3)+(0+(0-0))+0-0-0</f>
        <v>7227.3</v>
      </c>
      <c r="R94" s="3">
        <f>6793.9+(894.3-391.1)+(-3.464889+(-0.456093--0.199461))+31.7-0-0</f>
        <v>7325.0784789999989</v>
      </c>
      <c r="S94" s="3">
        <f>6798.4+(812.9-447.2)+(-6.934368+(-0.829158--0.456144))+55-0-0</f>
        <v>7211.7926179999995</v>
      </c>
      <c r="T94" s="3">
        <f>6744.7+(1009.8-552.9)+(3.439797+(0.514998-0.281979))+55-0-0</f>
        <v>7260.2728159999997</v>
      </c>
      <c r="U94" s="3">
        <f>6689+(1113.2-589)+(10.23417+(1.703196-0.90117))+55-0-0</f>
        <v>7279.2361959999998</v>
      </c>
      <c r="V94" s="3">
        <f>6652.8+(1218.1-738.8)+(-6.785856+(-1.242462--0.753576))+38.5-0-0</f>
        <v>7163.3252580000008</v>
      </c>
      <c r="W94" s="3">
        <f>6668.8+(1142.4-885.3)+(-6.802176+(-1.165248--0.903006))+0-0-0</f>
        <v>6918.8355820000006</v>
      </c>
      <c r="X94" s="3">
        <f>6661+(916.1-1045.6)+(-10.19133+(-1.401633--1.599768))+0-0-0</f>
        <v>6521.506805</v>
      </c>
      <c r="Y94" s="3">
        <f>6438.1+(849.6-1005.6)+(3.283431+(0.433296-0.512856))+0-0-0</f>
        <v>6285.3038710000001</v>
      </c>
      <c r="Z94" s="3">
        <f>6700.3+(878.1-1052.9)+(-10.251459+(-1.343493--1.610937))+0-0-0</f>
        <v>6515.515985</v>
      </c>
      <c r="AA94" s="3">
        <f>6927.7+(722.9-864.2)+(-3.533127+(-0.368679--0.440742))+0-0-0</f>
        <v>6782.9389359999996</v>
      </c>
      <c r="AB94" s="3">
        <f>7012.4+(758.3-1193.4)+(0+(0-0))+0-0-0</f>
        <v>6577.2999999999993</v>
      </c>
      <c r="AC94" s="3">
        <f>7037.2+(687.3-1496.7)+(-3.588972+(-0.350523--0.763317))+0-0-0</f>
        <v>6224.6238219999996</v>
      </c>
      <c r="AD94">
        <f t="shared" si="1"/>
        <v>146895.35800599997</v>
      </c>
      <c r="AE94" s="3">
        <f>6912+(729.1-848.7)+(0+(0-0))+0-0-0</f>
        <v>6792.4</v>
      </c>
    </row>
    <row r="95" spans="1:31" s="2" customFormat="1" x14ac:dyDescent="0.25">
      <c r="A95">
        <v>89</v>
      </c>
      <c r="B95">
        <v>4</v>
      </c>
      <c r="C95">
        <v>2</v>
      </c>
      <c r="D95">
        <v>5</v>
      </c>
      <c r="E95">
        <v>1</v>
      </c>
      <c r="F95" s="3">
        <f>6878.6+(571.2-1757.7)+(0+(0-0))+0-0-0</f>
        <v>5692.1</v>
      </c>
      <c r="G95" s="3">
        <f>6551.2+(275.4-1680.6)+(-6.682224+(-0.280908--1.714212))+0-0-0</f>
        <v>5140.75108</v>
      </c>
      <c r="H95" s="3">
        <f>6196.8+(263-1601)+(0+(0-0))+0-0-0</f>
        <v>4858.8</v>
      </c>
      <c r="I95" s="3">
        <f>6121.6+(287.5-1732.1)+(-6.244032+(-0.29325--1.766742))+0-0-0</f>
        <v>4672.2294599999996</v>
      </c>
      <c r="J95" s="3">
        <f>6036.5+(332.1-1768)+(-3.078615+(-0.169371--0.90168))+0-0-0</f>
        <v>4598.253694</v>
      </c>
      <c r="K95" s="3">
        <f>5801.7+(421.2-1737.9)+(-5.917734+(-0.429624--1.772658))+0-0-0</f>
        <v>4480.4252999999999</v>
      </c>
      <c r="L95" s="3">
        <f>5481.4+(429.4-1530.3)+(-2.795514+(-0.218994--0.780453))+0-0-0</f>
        <v>4378.2659450000001</v>
      </c>
      <c r="M95" s="3">
        <f>6029.7+(480.5-1583.8)+(-3.075147+(-0.245055--0.807738))+0-0-0</f>
        <v>4923.8875359999993</v>
      </c>
      <c r="N95" s="3">
        <f>6678.3+(545.3-1523.2)+(0+(0-0))+0-0-0</f>
        <v>5700.4</v>
      </c>
      <c r="O95" s="3">
        <f>6915.3+(620.9-1244.4)+(-10.580409+(-0.949977--1.903932))+0-0-0</f>
        <v>6282.173546</v>
      </c>
      <c r="P95" s="3">
        <f>7013.2+(600.9-878.7)+(3.576732+(0.306459-0.448137))+0-0-0</f>
        <v>6738.8350539999992</v>
      </c>
      <c r="Q95" s="3">
        <f>7005.1+(539.2-485.9)+(-3.572601+(-0.274992--0.247809))+0-0-0</f>
        <v>7054.8002160000005</v>
      </c>
      <c r="R95" s="3">
        <f>7037.6+(523.8-473.6)+(3.589176+(0.267138-0.241536))+0-0-0</f>
        <v>7091.4147780000003</v>
      </c>
      <c r="S95" s="3">
        <f>7043.1+(560.2-478.3)+(-3.591981+(-0.285702--0.243933))+0-0-0</f>
        <v>7121.36625</v>
      </c>
      <c r="T95" s="3">
        <f>7003.1+(633.1-417.3)+(7.143162+(0.645762-0.425646))+0-0-0</f>
        <v>7226.2632780000004</v>
      </c>
      <c r="U95" s="3">
        <f>6985.5+(590.5-427.1)+(3.562605+(0.301155-0.217821))+0-0-0</f>
        <v>7152.5459389999996</v>
      </c>
      <c r="V95" s="3">
        <f>6960.1+(521.4-450.3)+(0+(0-0))+0-0-0</f>
        <v>7031.2000000000007</v>
      </c>
      <c r="W95" s="3">
        <f>6980+(513.2-623.8)+(-3.5598+(-0.261732--0.318138))+0-0-0</f>
        <v>6865.8966059999993</v>
      </c>
      <c r="X95" s="3">
        <f>6982.1+(595.6-983.5)+(-10.682613+(-0.911268--1.504755))+0-0-0</f>
        <v>6584.1108740000009</v>
      </c>
      <c r="Y95" s="3">
        <f>6977.2+(568.7-1245.4)+(-7.116744+(-0.580074--1.270308))+0-0-0</f>
        <v>6294.0734899999998</v>
      </c>
      <c r="Z95" s="3">
        <f>7135.5+(570.6-1149)+(0+(0-0))+0-0-0</f>
        <v>6557.1</v>
      </c>
      <c r="AA95" s="3">
        <f>7260.1+(453.9-882.8)+(-11.107953+(-0.694467--1.350684))+0-0-0</f>
        <v>6820.7482640000007</v>
      </c>
      <c r="AB95" s="3">
        <f>7208.5+(394.6-1025.7)+(-7.35267+(-0.402492--1.046214))+0-0-0</f>
        <v>6570.6910519999992</v>
      </c>
      <c r="AC95" s="3">
        <f>7156.4+(448.7-1374.6)+(-3.649764+(-0.228837--0.701046))+0-0-0</f>
        <v>6227.3224449999998</v>
      </c>
      <c r="AD95">
        <f t="shared" si="1"/>
        <v>146063.65480700001</v>
      </c>
      <c r="AE95" s="3">
        <f>7210+(391.6-842.8)+(0+(0-0))+0-0-0</f>
        <v>6758.8</v>
      </c>
    </row>
    <row r="96" spans="1:31" s="2" customFormat="1" x14ac:dyDescent="0.25">
      <c r="A96">
        <v>89</v>
      </c>
      <c r="B96">
        <v>4</v>
      </c>
      <c r="C96">
        <v>3</v>
      </c>
      <c r="D96">
        <v>6</v>
      </c>
      <c r="E96">
        <v>1</v>
      </c>
      <c r="F96" s="3">
        <f>7046.5+(406.6-1770.4)+(-14.37486+(-0.829464--3.611616))+0-0-0</f>
        <v>5671.1072919999997</v>
      </c>
      <c r="G96" s="3">
        <f>6639.3+(439.2-1933.9)+(-16.930215+(-1.11996--4.931445))+0-0-0</f>
        <v>5131.4812700000002</v>
      </c>
      <c r="H96" s="3">
        <f>6278+(593.2-2027.8)+(-3.20178+(-0.302532--1.034178))+0-0-0</f>
        <v>4840.9298659999995</v>
      </c>
      <c r="I96" s="3">
        <f>6088.9+(560.8-1974.7)+(-6.210678+(-0.572016--2.014194))+0-0-0</f>
        <v>4670.2314999999999</v>
      </c>
      <c r="J96" s="3">
        <f>6026.1+(484.4-1919.8)+(-3.073311+(-0.247044--0.979098))+0-0-0</f>
        <v>4588.3587430000007</v>
      </c>
      <c r="K96" s="3">
        <f>5765.6+(607.4-1894.7)+(-8.821368+(-0.929322--2.898891))+0-0-0</f>
        <v>4471.4482010000002</v>
      </c>
      <c r="L96" s="3">
        <f>5575.8+(501.6-1757.7)+(0+(0-0))+0-0-0</f>
        <v>4319.7000000000007</v>
      </c>
      <c r="M96" s="3">
        <f>5852.4+(434.4-1579.7)+(-2.984724+(-0.221544--0.805647))+0-0-0</f>
        <v>4704.6993789999997</v>
      </c>
      <c r="N96" s="3">
        <f>6006.1+(802.6-1406.4)+(0+(0-0))+0-0-0</f>
        <v>5402.3</v>
      </c>
      <c r="O96" s="3">
        <f>6624.4+(860.3-1509.7)+(3.378444+(0.438753-0.769947))+0-0-0</f>
        <v>5978.0472499999996</v>
      </c>
      <c r="P96" s="3">
        <f>6889.8+(806.4-1267)+(7.027596+(0.822528-1.29234))+0-0-0</f>
        <v>6435.7577839999994</v>
      </c>
      <c r="Q96" s="3">
        <f>6934.4+(707.8-937.9)+(10.609632+(1.082934-1.434987))+0-0-0</f>
        <v>6714.5575789999994</v>
      </c>
      <c r="R96" s="3">
        <f>6896.7+(558.5-702.7)+(3.517317+(0.284835-0.358377))+0-0-0</f>
        <v>6755.9437749999997</v>
      </c>
      <c r="S96" s="3">
        <f>6844.8+(465.6-733.7)+(6.981696+(0.474912-0.748374))+0-0-0</f>
        <v>6583.4082339999995</v>
      </c>
      <c r="T96" s="3">
        <f>6828+(402.3-719.2)+(-10.44684+(-0.615519--1.100376))+0-0-0</f>
        <v>6501.1380170000002</v>
      </c>
      <c r="U96" s="3">
        <f>6868+(401.6-892.1)+(-3.50268+(-0.204816--0.454971))+0-0-0</f>
        <v>6374.2474750000001</v>
      </c>
      <c r="V96" s="3">
        <f>6819.3+(409.9-1006.8)+(-13.911372+(-0.836196--2.053872))+0-0-0</f>
        <v>6209.7063040000003</v>
      </c>
      <c r="W96" s="3">
        <f>6846.7+(520.1-1273)+(-13.967268+(-1.061004--2.59692))+0-0-0</f>
        <v>6081.3686480000006</v>
      </c>
      <c r="X96" s="3">
        <f>6632.7+(610.3-1294.6)+(-10.148031+(-0.933759--1.980738))+0-0-0</f>
        <v>5939.2989479999997</v>
      </c>
      <c r="Y96" s="3">
        <f>6177.9+(515.9-880)+(-3.150729+(-0.263109--0.4488))+0-0-0</f>
        <v>5810.834961999999</v>
      </c>
      <c r="Z96" s="3">
        <f>6531.9+(483.8-970.9)+(-3.331269+(-0.246738--0.495159))+0-0-0</f>
        <v>6041.7171519999993</v>
      </c>
      <c r="AA96" s="3">
        <f>7124.4+(465.8-1348.4)+(-14.533776+(-0.950232--2.750736))+0-0-0</f>
        <v>6229.0667279999989</v>
      </c>
      <c r="AB96" s="3">
        <f>7153.1+(506.2-1532.9)+(-3.648081+(-0.258162--0.781779))+0-0-0</f>
        <v>6123.2755360000001</v>
      </c>
      <c r="AC96" s="3">
        <f>7276.6+(418.6-1689.8)+(3.711066+(0.213486-0.861798))+0-0-0</f>
        <v>6008.4627540000001</v>
      </c>
      <c r="AD96">
        <f t="shared" si="1"/>
        <v>137587.08739700002</v>
      </c>
      <c r="AE96" s="3">
        <f>7186+(436.3-1323.8)+(0+(0-0))+0-0-0</f>
        <v>6298.5</v>
      </c>
    </row>
    <row r="97" spans="1:31" s="2" customFormat="1" x14ac:dyDescent="0.25">
      <c r="A97">
        <v>89</v>
      </c>
      <c r="B97">
        <v>4</v>
      </c>
      <c r="C97">
        <v>4</v>
      </c>
      <c r="D97">
        <v>7</v>
      </c>
      <c r="E97">
        <v>1</v>
      </c>
      <c r="F97" s="3">
        <f>6886.5+(285.8-1778)+(3.512115+(0.145758-0.90678))+0-0-0</f>
        <v>5397.051093</v>
      </c>
      <c r="G97" s="3">
        <f>6553.4+(138.7-1768.9)+(-3.342234+(-0.070737--0.902139))+0-0-0</f>
        <v>4920.6891679999999</v>
      </c>
      <c r="H97" s="3">
        <f>6334.2+(63.8-1868.5)+(-6.460884+(-0.065076--1.90587))+0-0-0</f>
        <v>4524.8799099999997</v>
      </c>
      <c r="I97" s="3">
        <f>6097.8+(77.7-1849.4)+(3.109878+(0.039627-0.943194))+0-0-0</f>
        <v>4328.3063110000003</v>
      </c>
      <c r="J97" s="3">
        <f>5948+(142.2-1857.5)+(-6.06696+(-0.145044--1.89465))+0-0-0</f>
        <v>4228.382646</v>
      </c>
      <c r="K97" s="3">
        <f>5787.7+(178.5-1895.3)+(-8.855181+(-0.273105--2.899809))+0-0-0</f>
        <v>4064.6715229999995</v>
      </c>
      <c r="L97" s="3">
        <f>5326.1+(201-1726.9)+(-5.432622+(-0.20502--1.761438))+0-0-0</f>
        <v>3796.3237960000001</v>
      </c>
      <c r="M97" s="3">
        <f>5176.3+(194.7-1609.1)+(-10.559652+(-0.397188--3.282564))+0-0-0</f>
        <v>3754.2257240000004</v>
      </c>
      <c r="N97" s="3">
        <f>5344.4+(284.9-1650.8)+(-2.725644+(-0.145299--0.841908))+0-0-0</f>
        <v>3976.4709649999995</v>
      </c>
      <c r="O97" s="3">
        <f>5630.6+(229.8-1570.5)+(2.871606+(0.117198-0.800955))+0-0-0</f>
        <v>4292.0878490000005</v>
      </c>
      <c r="P97" s="3">
        <f>6061.9+(328.9-1703.6)+(-15.457845+(-0.838695--4.34418))+0-0-0</f>
        <v>4675.2476399999996</v>
      </c>
      <c r="Q97" s="3">
        <f>6467.6+(391.8-1860.6)+(3.298476+(0.199818-0.948906))+0-0-0</f>
        <v>5001.3493880000005</v>
      </c>
      <c r="R97" s="3">
        <f>6444.3+(361-1668.7)+(-3.286593+(-0.18411--0.851037))+0-0-0</f>
        <v>5133.9803340000008</v>
      </c>
      <c r="S97" s="3">
        <f>6381.9+(398.7-1607.9)+(0+(0-0))+0-0-0</f>
        <v>5172.7</v>
      </c>
      <c r="T97" s="3">
        <f>6345.2+(435.3-1632.9)+(-9.708156+(-0.666009--2.498337))+0-0-0</f>
        <v>5139.7241719999993</v>
      </c>
      <c r="U97" s="3">
        <f>6444.2+(501-1808.2)+(9.859626+(0.76653-2.766546))+0-0-0</f>
        <v>5144.8596100000004</v>
      </c>
      <c r="V97" s="3">
        <f>6399.1+(513.1-1894.9)+(-6.527082+(-0.523362--1.932798))+0-0-0</f>
        <v>5012.1823540000005</v>
      </c>
      <c r="W97" s="3">
        <f>6336+(524.9-1829.5)+(-12.92544+(-1.070796--3.73218))+0-0-0</f>
        <v>5021.1359439999997</v>
      </c>
      <c r="X97" s="3">
        <f>6050.5+(444.6-1492.3)+(-3.085755+(-0.226746--0.761073))+0-0-0</f>
        <v>5000.2485720000004</v>
      </c>
      <c r="Y97" s="3">
        <f>5892.4+(366.7-1197.2)+(-6.010248+(-0.374034--1.221144))+0-0-0</f>
        <v>5056.7368619999997</v>
      </c>
      <c r="Z97" s="3">
        <f>6161+(390.8-1242.3)+(-6.28422+(-0.398616--1.267146))+0-0-0</f>
        <v>5304.0843100000002</v>
      </c>
      <c r="AA97" s="3">
        <f>6737.4+(267.9-1417.9)+(-10.308222+(-0.409887--2.169387))+0-0-0</f>
        <v>5578.8512779999992</v>
      </c>
      <c r="AB97" s="3">
        <f>6854.6+(252-1673.7)+(-6.991692+(-0.25704--1.707174))+0-0-0</f>
        <v>5427.3584420000007</v>
      </c>
      <c r="AC97" s="3">
        <f>6836.4+(160.3-1740.3)+(-6.973128+(-0.163506--1.775106))+0-0-0</f>
        <v>5251.0384719999993</v>
      </c>
      <c r="AD97">
        <f t="shared" si="1"/>
        <v>115202.58636300001</v>
      </c>
      <c r="AE97" s="3">
        <f>6965+(240.6-1568.4)+(0+(0-0))+0-0-0</f>
        <v>5637.2</v>
      </c>
    </row>
    <row r="98" spans="1:31" s="2" customFormat="1" x14ac:dyDescent="0.25">
      <c r="A98">
        <v>89</v>
      </c>
      <c r="B98">
        <v>4</v>
      </c>
      <c r="C98">
        <v>5</v>
      </c>
      <c r="D98">
        <v>1</v>
      </c>
      <c r="E98">
        <v>3</v>
      </c>
      <c r="F98" s="3">
        <f>6815.4+(131.4-1952.3)+(-10.427562+(-0.201042--2.987019))+0-0-0</f>
        <v>4986.8584149999997</v>
      </c>
      <c r="G98" s="3">
        <f>6122.8+(26.8-1580.3)+(-12.490512+(-0.054672--3.223812))+0-0-0</f>
        <v>4559.9786279999998</v>
      </c>
      <c r="H98" s="3">
        <f>5577.3+(54-1393.2)+(-2.844423+(-0.02754--0.710532))+0-0-0</f>
        <v>4235.9385689999999</v>
      </c>
      <c r="I98" s="3">
        <f>5548.6+(56.7-1533.4)+(-8.489358+(-0.086751--2.346102))+0-0-0</f>
        <v>4065.6699930000004</v>
      </c>
      <c r="J98" s="3">
        <f>5583.6+(114.5-1721.2)+(-5.695272+(-0.11679--1.755624))+0-0-0</f>
        <v>3972.8435620000005</v>
      </c>
      <c r="K98" s="3">
        <f>5443.8+(81.4-1674.4)+(-19.434366+(-0.290598--5.977608))+0-0-0</f>
        <v>3837.0526440000003</v>
      </c>
      <c r="L98" s="3">
        <f>4896.5+(149-1389.7)+(-4.99443+(-0.15198--1.417494))+0-0-0</f>
        <v>3652.0710840000002</v>
      </c>
      <c r="M98" s="3">
        <f>5099.6+(128.7-1426.9)+(-10.403184+(-0.262548--2.910876))+0-0-0</f>
        <v>3793.6451440000005</v>
      </c>
      <c r="N98" s="3">
        <f>5332.1+(177.4-1413)+(-5.438742+(-0.180948--1.44126))+0-0-0</f>
        <v>4092.3215700000001</v>
      </c>
      <c r="O98" s="3">
        <f>5712.2+(217.3-1448)+(-5.826444+(-0.221646--1.47696))+0-0-0</f>
        <v>4476.9288699999997</v>
      </c>
      <c r="P98" s="3">
        <f>6442+(286.3-1758.2)+(-9.85626+(-0.438039--2.690046))+0-0-0</f>
        <v>4962.4957469999999</v>
      </c>
      <c r="Q98" s="3">
        <f>6874.6+(205.2-1750.5)+(-7.012092+(-0.209304--1.78551))+0-0-0</f>
        <v>5323.864114</v>
      </c>
      <c r="R98" s="3">
        <f>6979.7+(226.9-1758.1)+(-7.119294+(-0.231438--1.793262))+0-0-0</f>
        <v>5442.9425300000003</v>
      </c>
      <c r="S98" s="3">
        <f>7035+(169.1-1821.9)+(-10.76355+(-0.258723--2.787507))+0-0-0</f>
        <v>5373.9652340000002</v>
      </c>
      <c r="T98" s="3">
        <f>7004.2+(134.9-1755.4)+(0+(0-0))+0-0-0</f>
        <v>5383.7</v>
      </c>
      <c r="U98" s="3">
        <f>6901.1+(162.9-1679.7)+(-3.519561+(-0.083079--0.856647))+0-0-0</f>
        <v>5381.5540069999997</v>
      </c>
      <c r="V98" s="3">
        <f>6920.6+(223.5-1786.6)+(-17.64753+(-0.569925--4.55583))+0-0-0</f>
        <v>5343.8383750000003</v>
      </c>
      <c r="W98" s="3">
        <f>6932.7+(306.8-1866.4)+(-10.607031+(-0.469404--2.855592))+0-0-0</f>
        <v>5364.8791569999994</v>
      </c>
      <c r="X98" s="3">
        <f>6452.7+(232-1340.8)+(-9.872631+(-0.35496--2.051424))+0-0-0</f>
        <v>5335.723833</v>
      </c>
      <c r="Y98" s="3">
        <f>6027.3+(220.7-964.4)+(0+(0-0))+0-0-0</f>
        <v>5283.6</v>
      </c>
      <c r="Z98" s="3">
        <f>6296.5+(305.1-1011.6)+(0+(0-0))+0-0-0</f>
        <v>5590</v>
      </c>
      <c r="AA98" s="3">
        <f>7305.5+(232.2-1563.6)+(-7.45161+(-0.236844--1.594872))+0-0-0</f>
        <v>5968.0064179999999</v>
      </c>
      <c r="AB98" s="3">
        <f>7240.3+(233.9-1663.7)+(0+(0-0))+0-0-0</f>
        <v>5810.5</v>
      </c>
      <c r="AC98" s="3">
        <f>7165.3+(261.7-1821.9)+(7.308606+(0.266934-1.858338))+0-0-0</f>
        <v>5610.8172020000002</v>
      </c>
      <c r="AD98">
        <f t="shared" si="1"/>
        <v>117849.19509600002</v>
      </c>
      <c r="AE98" s="3">
        <f>7332+(229.8-1613.2)+(0+(0-0))+0-0-0</f>
        <v>5948.6</v>
      </c>
    </row>
    <row r="99" spans="1:31" s="2" customFormat="1" x14ac:dyDescent="0.25">
      <c r="A99">
        <v>89</v>
      </c>
      <c r="B99">
        <v>4</v>
      </c>
      <c r="C99">
        <v>6</v>
      </c>
      <c r="D99">
        <v>2</v>
      </c>
      <c r="E99">
        <v>1</v>
      </c>
      <c r="F99" s="3">
        <f>6866.8+(244.1-1920)+(0+(0-0))+0-0-0</f>
        <v>5190.8999999999996</v>
      </c>
      <c r="G99" s="3">
        <f>6522.7+(181.4-1943.8)+(-9.979731+(-0.277542--2.974014))+0-0-0</f>
        <v>4753.0167410000004</v>
      </c>
      <c r="H99" s="3">
        <f>6227.3+(139.6-1931.9)+(-15.879615+(-0.35598--4.926345))+0-0-0</f>
        <v>4423.6907499999998</v>
      </c>
      <c r="I99" s="3">
        <f>5913.3+(176.8-1793)+(-15.078915+(-0.45084--4.57215))+0-0-0</f>
        <v>4286.1423950000008</v>
      </c>
      <c r="J99" s="3">
        <f>5542.4+(266.6-1606.8)+(-2.826624+(-0.135966--0.819468))+0-0-0</f>
        <v>4200.0568779999994</v>
      </c>
      <c r="K99" s="3">
        <f>5422.4+(340.8-1629.4)+(-11.061696+(-0.695232--3.323976))+0-0-0</f>
        <v>4125.3670479999992</v>
      </c>
      <c r="L99" s="3">
        <f>5329.3+(314.6-1573.3)+(-2.717943+(-0.160446--0.802383))+0-0-0</f>
        <v>4068.5239940000006</v>
      </c>
      <c r="M99" s="3">
        <f>5696.4+(274.3-1318.6)+(2.905164+(0.139893-0.672486))+0-0-0</f>
        <v>4654.4725709999993</v>
      </c>
      <c r="N99" s="3">
        <f>6121.8+(281.4-933.3)+(-6.244236+(-0.287028--0.951966))+0-0-0</f>
        <v>5464.3207020000009</v>
      </c>
      <c r="O99" s="3">
        <f>6463.4+(597.6-1007.9)+(3.296334+(0.304776-0.514029))+0-0-0</f>
        <v>6056.1870809999991</v>
      </c>
      <c r="P99" s="3">
        <f>6895.3+(774.9-1151.5)+(0+(0-0))+0-0-0</f>
        <v>6518.7</v>
      </c>
      <c r="Q99" s="3">
        <f>7211.7+(542.1-863.5)+(7.355934+(0.552942-0.88077))+0-0-0</f>
        <v>6897.3281059999999</v>
      </c>
      <c r="R99" s="3">
        <f>7158.9+(429.3-587.4)+(0+(0-0))+0-0-0</f>
        <v>7000.7999999999993</v>
      </c>
      <c r="S99" s="3">
        <f>7104.8+(388.5-547.6)+(-3.623448+(-0.198135--0.279276))+0-0-0</f>
        <v>6942.1576930000001</v>
      </c>
      <c r="T99" s="3">
        <f>7085.1+(491-514.9)+(0+(0-0))+0-0-0</f>
        <v>7061.2000000000007</v>
      </c>
      <c r="U99" s="3">
        <f>6830.5+(667.2-437.2)+(-6.96711+(-0.680544--0.445944))+0-0-0</f>
        <v>7053.2982899999997</v>
      </c>
      <c r="V99" s="3">
        <f>6625.1+(733.7-397.7)+(0+(0-0))+0-0-0</f>
        <v>6961.1</v>
      </c>
      <c r="W99" s="3">
        <f>6505.7+(765-454.7)+(-6.635814+(-0.7803--0.463794))+0-0-0</f>
        <v>6809.0476799999997</v>
      </c>
      <c r="X99" s="3">
        <f>6761.9+(824.6-989)+(-13.794276+(-1.682184--2.01756))+0-0-0</f>
        <v>6584.0411000000004</v>
      </c>
      <c r="Y99" s="3">
        <f>6708.6+(701.1-1059.6)+(-3.421386+(-0.357561--0.540396))+0-0-0</f>
        <v>6346.861449</v>
      </c>
      <c r="Z99" s="3">
        <f>6985.5+(821.9-1236.1)+(-3.562605+(-0.419169--0.630411))+0-0-0</f>
        <v>6567.9486370000004</v>
      </c>
      <c r="AA99" s="3">
        <f>7225.3+(654.7-1036.3)+(0+(0-0))+0-0-0</f>
        <v>6843.7000000000007</v>
      </c>
      <c r="AB99" s="3">
        <f>7244.8+(617.3-1270)+(-3.694848+(-0.314823--0.6477))+0-0-0</f>
        <v>6588.7380290000001</v>
      </c>
      <c r="AC99" s="3">
        <f>7150.8+(600.7-1528.6)+(-3.646908+(-0.306357--0.779586))+0-0-0</f>
        <v>6219.7263210000001</v>
      </c>
      <c r="AD99">
        <f t="shared" si="1"/>
        <v>141617.325465</v>
      </c>
      <c r="AE99" s="3">
        <f>7242+(610.1-1012.5)+(0+(0-0))+0-0-0</f>
        <v>6839.6</v>
      </c>
    </row>
    <row r="100" spans="1:31" s="2" customFormat="1" x14ac:dyDescent="0.25">
      <c r="A100">
        <v>89</v>
      </c>
      <c r="B100">
        <v>4</v>
      </c>
      <c r="C100">
        <v>7</v>
      </c>
      <c r="D100">
        <v>3</v>
      </c>
      <c r="E100">
        <v>1</v>
      </c>
      <c r="F100" s="3">
        <f>6646.4+(608.8-1588.5)+(-6.779328+(-0.620976--1.62027))+0-0-0</f>
        <v>5660.9199659999995</v>
      </c>
      <c r="G100" s="3">
        <f>6352.7+(358.4-1645)+(-3.239877+(-0.182784--0.83895))+0-0-0</f>
        <v>5063.5162890000001</v>
      </c>
      <c r="H100" s="3">
        <f>6208.8+(217.7-1670.6)+(-9.499464+(-0.333081--2.556018))+0-0-0</f>
        <v>4748.6234730000006</v>
      </c>
      <c r="I100" s="3">
        <f>6226.6+(253.3-1838.5)+(-6.351132+(-0.258366--1.87527))+0-0-0</f>
        <v>4636.6657720000003</v>
      </c>
      <c r="J100" s="3">
        <f>6090.9+(195-1740.3)+(-15.531795+(-0.49725--4.437765))+0-0-0</f>
        <v>4534.0087199999998</v>
      </c>
      <c r="K100" s="3">
        <f>5960.6+(144.9-1674.3)+(-12.159624+(-0.295596--3.415572))+0-0-0</f>
        <v>4422.1603520000008</v>
      </c>
      <c r="L100" s="3">
        <f>5323.8+(217.5-1247.3)+(-10.860552+(-0.4437--2.544492))+0-0-0</f>
        <v>4285.2402400000001</v>
      </c>
      <c r="M100" s="3">
        <f>5590.6+(197.8-960.5)+(-2.851206+(-0.100878--0.489855))+0-0-0</f>
        <v>4825.4377710000008</v>
      </c>
      <c r="N100" s="3">
        <f>6301.5+(313-984.1)+(0+(0-0))+0-0-0</f>
        <v>5630.4</v>
      </c>
      <c r="O100" s="3">
        <f>6737.9+(533.4-1042.1)+(-6.872658+(-0.544068--1.062942))+0-0-0</f>
        <v>6222.8462159999999</v>
      </c>
      <c r="P100" s="3">
        <f>7008.9+(720.2-1017.8)+(-10.723617+(-1.101906--1.557234))+0-0-0</f>
        <v>6701.0317109999996</v>
      </c>
      <c r="Q100" s="3">
        <f>7067.7+(867.8-867.6)+(-3.604527+(-0.442578--0.442476))+0-0-0</f>
        <v>7064.2953709999992</v>
      </c>
      <c r="R100" s="3">
        <f>7007.4+(636.1-444.4)+(0+(0-0))+0-0-0</f>
        <v>7199.0999999999995</v>
      </c>
      <c r="S100" s="3">
        <f>6947.4+(597.4-437.7)+(0+(0-0))+0-0-0</f>
        <v>7107.0999999999995</v>
      </c>
      <c r="T100" s="3">
        <f>6940.1+(680.8-412.4)+(-7.078902+(-0.694416--0.420648))+0-0-0</f>
        <v>7201.1473299999998</v>
      </c>
      <c r="U100" s="3">
        <f>6954.6+(653.9-415.3)+(10.640538+(1.000467-0.635409))+0-0-0</f>
        <v>7204.2055960000007</v>
      </c>
      <c r="V100" s="3">
        <f>6902.7+(637.4-416.1)+(3.520377+(0.325074-0.212211))+0-0-0</f>
        <v>7127.6332400000001</v>
      </c>
      <c r="W100" s="3">
        <f>6814.9+(587.4-456.6)+(-6.951198+(-0.599148--0.465732))+0-0-0</f>
        <v>6938.6153859999995</v>
      </c>
      <c r="X100" s="3">
        <f>6779+(812.5-900.2)+(-17.28645+(-2.071875--2.29551))+0-0-0</f>
        <v>6674.237185</v>
      </c>
      <c r="Y100" s="3">
        <f>6632+(818.3-1030)+(-6.76464+(-0.834666--1.0506))+0-0-0</f>
        <v>6413.7512940000006</v>
      </c>
      <c r="Z100" s="3">
        <f>6861.7+(831.6-1041.9)+(-3.499467+(-0.424116--0.531369))+0-0-0</f>
        <v>6648.0077859999992</v>
      </c>
      <c r="AA100" s="3">
        <f>7181.3+(553.1-824.1)+(-10.987389+(-0.846243--1.260873))+0-0-0</f>
        <v>6899.7272410000005</v>
      </c>
      <c r="AB100" s="3">
        <f>7240.6+(534.3-1063.8)+(-14.770824+(-1.089972--2.170152))+0-0-0</f>
        <v>6697.4093560000001</v>
      </c>
      <c r="AC100" s="3">
        <f>7052+(572.5-1220.1)+(-14.38608+(-1.1679--2.489004))+0-0-0</f>
        <v>6391.335024</v>
      </c>
      <c r="AD100">
        <f t="shared" si="1"/>
        <v>146297.41531900002</v>
      </c>
      <c r="AE100" s="3">
        <f>7165+(568.1-870.5)+(0+(0-0))+0-0-0</f>
        <v>6862.6</v>
      </c>
    </row>
    <row r="101" spans="1:31" s="2" customFormat="1" x14ac:dyDescent="0.25">
      <c r="A101">
        <v>89</v>
      </c>
      <c r="B101">
        <v>4</v>
      </c>
      <c r="C101">
        <v>8</v>
      </c>
      <c r="D101">
        <v>4</v>
      </c>
      <c r="E101">
        <v>1</v>
      </c>
      <c r="F101" s="3">
        <f>6705.7+(594.1-1654.1)+(-17.099535+(-1.514955--4.217955))+0-0-0</f>
        <v>5631.303465</v>
      </c>
      <c r="G101" s="3">
        <f>6262.1+(559.4-1743.4)+(-3.193671+(-0.285294--0.889134))+0-0-0</f>
        <v>5075.5101690000001</v>
      </c>
      <c r="H101" s="3">
        <f>5895.5+(510.3-1639.4)+(-6.01341+(-0.520506--1.672188))+0-0-0</f>
        <v>4761.5382719999998</v>
      </c>
      <c r="I101" s="3">
        <f>5871.6+(383.6-1658.6)+(-14.97258+(-0.97818--4.22943))+0-0-0</f>
        <v>4584.8786700000001</v>
      </c>
      <c r="J101" s="3">
        <f>5823.3+(357.7-1685.5)+(-11.879532+(-0.729708--3.43842))+0-0-0</f>
        <v>4486.3291799999997</v>
      </c>
      <c r="K101" s="3">
        <f>5492.6+(486-1585.4)+(-14.00613+(-1.2393--4.04277))+0-0-0</f>
        <v>4381.9973400000008</v>
      </c>
      <c r="L101" s="3">
        <f>5168.5+(388.7-1079.6)+(-7.907805+(-0.594711--1.651788))+0-0-0</f>
        <v>4470.749272</v>
      </c>
      <c r="M101" s="3">
        <f>5342.8+(341-720.6)+(0+(0-0))+0-0-0</f>
        <v>4963.2</v>
      </c>
      <c r="N101" s="3">
        <f>6019.3+(667.9-886.2)+(-9.209529+(-1.021887--1.355886))+0-0-0</f>
        <v>5792.1244699999997</v>
      </c>
      <c r="O101" s="3">
        <f>6501.6+(927.3-979.8)+(3.315816+(0.472923-0.499698))+0-0-0</f>
        <v>6452.3890410000004</v>
      </c>
      <c r="P101" s="3">
        <f>6793.8+(789.9-652.4)+(3.464838+(0.402849-0.332724))+0-0-0</f>
        <v>6934.8349630000002</v>
      </c>
      <c r="Q101" s="3">
        <f>6733.5+(909.4-460.6)+(6.86817+(0.927588-0.469812))+0-0-0</f>
        <v>7189.6259460000001</v>
      </c>
      <c r="R101" s="3">
        <f>6695.5+(1036.7-421.3)+(3.414705+(0.528717-0.214863))+0-0-0</f>
        <v>7314.6285589999998</v>
      </c>
      <c r="S101" s="3">
        <f>6692.1+(957.6-432.5)+(-3.412971+(-0.488376--0.220575))+0-0-0</f>
        <v>7213.519228000001</v>
      </c>
      <c r="T101" s="3">
        <f>6739.3+(1023.3-419.1)+(6.874086+(1.043766-0.427482))+0-0-0</f>
        <v>7350.9903700000004</v>
      </c>
      <c r="U101" s="3">
        <f>6707.7+(1029.9-396.1)+(-6.841854+(-1.050498--0.404022))+0-0-0</f>
        <v>7334.0116699999999</v>
      </c>
      <c r="V101" s="3">
        <f>6585.2+(1040.8-365.6)+(0+(0-0))+0-0-0</f>
        <v>7260.4</v>
      </c>
      <c r="W101" s="3">
        <f>6526.5+(912.8-358.7)+(-13.31406+(-1.862112--0.731748))+0-0-0</f>
        <v>7066.1555760000001</v>
      </c>
      <c r="X101" s="3">
        <f>6583.5+(781.9-534.6)+(-13.43034+(-1.595076--1.090584))+0-0-0</f>
        <v>6816.8651680000003</v>
      </c>
      <c r="Y101" s="3">
        <f>6645+(863.7-946.1)+(-3.38895+(-0.440487--0.482511))+0-0-0</f>
        <v>6559.2530740000002</v>
      </c>
      <c r="Z101" s="3">
        <f>6925.7+(744.2-897.2)+(3.532107+(0.379542-0.457572))+0-0-0</f>
        <v>6776.1540770000001</v>
      </c>
      <c r="AA101" s="3">
        <f>7249.2+(494.7-736.2)+(-7.394184+(-0.504594--0.750924))+0-0-0</f>
        <v>7000.552146</v>
      </c>
      <c r="AB101" s="3">
        <f>7280.8+(470-976.5)+(3.713208+(0.2397-0.498015))+0-0-0</f>
        <v>6777.7548930000003</v>
      </c>
      <c r="AC101" s="3">
        <f>7238+(399.2-1224.9)+(-3.69138+(-0.203592--0.624699))+0-0-0</f>
        <v>6409.0297270000001</v>
      </c>
      <c r="AD101">
        <f t="shared" si="1"/>
        <v>148603.79527599999</v>
      </c>
      <c r="AE101" s="3">
        <f>7254+(463.7-714.5)+(0+(0-0))+0-0-0</f>
        <v>7003.2</v>
      </c>
    </row>
    <row r="102" spans="1:31" s="2" customFormat="1" x14ac:dyDescent="0.25">
      <c r="A102">
        <v>89</v>
      </c>
      <c r="B102">
        <v>4</v>
      </c>
      <c r="C102">
        <v>9</v>
      </c>
      <c r="D102">
        <v>5</v>
      </c>
      <c r="E102">
        <v>1</v>
      </c>
      <c r="F102" s="3">
        <f>7138.4+(471.4-1919.3)+(-21.843504+(-1.442484--5.873058))+0-0-0</f>
        <v>5673.0870699999996</v>
      </c>
      <c r="G102" s="3">
        <f>7038.9+(361.1-2114.1)+(3.589839+(0.184161-1.078191))+0-0-0</f>
        <v>5288.5958089999995</v>
      </c>
      <c r="H102" s="3">
        <f>6820.4+(291.9-2178.7)+(-13.913616+(-0.595476--4.444548))+0-0-0</f>
        <v>4923.5354560000005</v>
      </c>
      <c r="I102" s="3">
        <f>6403.2+(299.9-1931.6)+(-6.531264+(-0.305898--1.970232))+0-0-0</f>
        <v>4766.6330699999999</v>
      </c>
      <c r="J102" s="3">
        <f>6296.3+(246.4-1879.5)+(-3.211113+(-0.125664--0.958545))+0-0-0</f>
        <v>4660.8217680000007</v>
      </c>
      <c r="K102" s="3">
        <f>6035.6+(292.4-1775.6)+(-12.312624+(-0.596496--3.622224))+0-0-0</f>
        <v>4543.1131040000009</v>
      </c>
      <c r="L102" s="3">
        <f>5678.8+(284.8-1506.2)+(0+(0-0))+0-0-0</f>
        <v>4457.3999999999996</v>
      </c>
      <c r="M102" s="3">
        <f>6040.4+(239.7-1225.7)+(3.080604+(0.122247-0.625107))+0-0-0</f>
        <v>5056.9777439999998</v>
      </c>
      <c r="N102" s="3">
        <f>6656.4+(450.3-1203.1)+(-6.789528+(-0.459306--1.227162))+0-0-0</f>
        <v>5897.5783279999996</v>
      </c>
      <c r="O102" s="3">
        <f>6958.1+(690.8-1139.2)+(7.097262+(0.704616-1.161984))+0-0-0</f>
        <v>6516.3398940000006</v>
      </c>
      <c r="P102" s="3">
        <f>6937.8+(751.9-711.1)+(0+(0-0))+0-0-0</f>
        <v>6978.6</v>
      </c>
      <c r="Q102" s="3">
        <f>7025.7+(766.7-460.8)+(7.166214+(0.782034-0.470016))+0-0-0</f>
        <v>7339.0782319999998</v>
      </c>
      <c r="R102" s="3">
        <f>7050.5+(591.6-457.1)+(-3.595755+(-0.301716--0.233121))+350-0-0</f>
        <v>7531.33565</v>
      </c>
      <c r="S102" s="3">
        <f>6842.2+(667-445.1)+(6.979044+(0.68034-0.454002))+350-0-0</f>
        <v>7421.3053819999996</v>
      </c>
      <c r="T102" s="3">
        <f>6644.7+(897-434.3)+(3.388797+(0.45747-0.221493))+350-0-0</f>
        <v>7461.0247739999995</v>
      </c>
      <c r="U102" s="3">
        <f>6628.5+(1116.5-431.2)+(3.380535+(0.569415-0.219912))+0-0-0</f>
        <v>7317.5300379999999</v>
      </c>
      <c r="V102" s="3">
        <f>6575.6+(1155.3-448.3)+(-10.060668+(-1.767609--0.685899))+0-0-0</f>
        <v>7271.4576220000008</v>
      </c>
      <c r="W102" s="3">
        <f>6521.4+(991.6-400.8)+(-13.303656+(-2.022864--0.817632))+0-0-0</f>
        <v>7097.6911119999995</v>
      </c>
      <c r="X102" s="3">
        <f>6541.8+(678.5-394.4)+(-13.345272+(-1.38414--0.804576))+0-0-0</f>
        <v>6811.9751640000004</v>
      </c>
      <c r="Y102" s="3">
        <f>6619.2+(767.4-833.7)+(-13.503168+(-1.565496--1.700748))+0-0-0</f>
        <v>6539.5320839999995</v>
      </c>
      <c r="Z102" s="3">
        <f>6910.7+(739.9-900.3)+(3.524457+(0.377349-0.459153))+0-0-0</f>
        <v>6753.7426530000002</v>
      </c>
      <c r="AA102" s="3">
        <f>7149.4+(409.8-557.2)+(0+(0-0))+0-0-0</f>
        <v>7002</v>
      </c>
      <c r="AB102" s="3">
        <f>7164.3+(379-746.4)+(-3.653793+(-0.19329--0.380664))+0-0-0</f>
        <v>6793.4335810000002</v>
      </c>
      <c r="AC102" s="3">
        <f>7042.6+(441.5-1087.9)+(-3.591726+(-0.225165--0.554829))+0-0-0</f>
        <v>6392.9379380000009</v>
      </c>
      <c r="AD102">
        <f t="shared" si="1"/>
        <v>150495.72647300002</v>
      </c>
      <c r="AE102" s="3">
        <f>7211+(392.2-618.9)+(0+(0-0))+0-0-0</f>
        <v>6984.3</v>
      </c>
    </row>
    <row r="103" spans="1:31" s="2" customFormat="1" x14ac:dyDescent="0.25">
      <c r="A103">
        <v>89</v>
      </c>
      <c r="B103">
        <v>4</v>
      </c>
      <c r="C103">
        <v>10</v>
      </c>
      <c r="D103">
        <v>6</v>
      </c>
      <c r="E103">
        <v>1</v>
      </c>
      <c r="F103" s="3">
        <f>6774.2+(313.9-1247.6)+(-10.364526+(-0.480267--1.908828))+26.6-0-0</f>
        <v>5858.1640350000007</v>
      </c>
      <c r="G103" s="3">
        <f>6552.4+(445.2-1669.1)+(-3.341724+(-0.227052--0.851241))+28-0-0</f>
        <v>5353.7824650000002</v>
      </c>
      <c r="H103" s="3">
        <f>6439.7+(449.5-1870.6)+(-9.852741+(-0.687735--2.862018))+1.4-0-0</f>
        <v>5012.3215419999997</v>
      </c>
      <c r="I103" s="3">
        <f>6237.7+(381.6-1749.7)+(0+(0-0))+0-0-0</f>
        <v>4869.6000000000004</v>
      </c>
      <c r="J103" s="3">
        <f>6111.9+(281.3-1606.8)+(6.234138+(0.286926-1.638936))+0-0-0</f>
        <v>4791.2821279999998</v>
      </c>
      <c r="K103" s="3">
        <f>5940.3+(402.9-1675.1)+(-12.118212+(-0.821916--3.417204))+0-0-0</f>
        <v>4658.5770760000005</v>
      </c>
      <c r="L103" s="3">
        <f>5480+(578.3-1568.8)+(-5.5896+(-0.589866--1.600176))+0-0-0</f>
        <v>4484.9207100000003</v>
      </c>
      <c r="M103" s="3">
        <f>5620.9+(524.6-1266.3)+(8.599977+(0.802638-1.937439))+0-0-0</f>
        <v>4886.6651759999995</v>
      </c>
      <c r="N103" s="3">
        <f>6311.3+(564.8-1263.1)+(-3.218763+(-0.288048--0.644181))+0-0-0</f>
        <v>5610.1373700000004</v>
      </c>
      <c r="O103" s="3">
        <f>6880.7+(646.9-1234.3)+(0+(0-0))+0-0-0</f>
        <v>6293.3</v>
      </c>
      <c r="P103" s="3">
        <f>6929+(757.5-874.6)+(17.66895+(1.931625-2.23023))+0-0-0</f>
        <v>6829.2703449999999</v>
      </c>
      <c r="Q103" s="3">
        <f>6951.7+(681.3-504.3)+(3.545367+(0.347463-0.257193))+0-0-0</f>
        <v>7132.3356370000001</v>
      </c>
      <c r="R103" s="3">
        <f>6923.9+(746.2-483)+(3.531189+(0.380562-0.24633))+15-0-0</f>
        <v>7205.7654209999992</v>
      </c>
      <c r="S103" s="3">
        <f>6864.8+(620.2-519.3)+(0+(0-0))+24.4-0-0</f>
        <v>6990.1</v>
      </c>
      <c r="T103" s="3">
        <f>6844.5+(596.1-538.3)+(0+(0-0))+0-0-0</f>
        <v>6902.3</v>
      </c>
      <c r="U103" s="3">
        <f>6784.7+(532.1-521.4)+(-10.380591+(-0.814113--0.797742))+0-0-0</f>
        <v>6785.0030379999998</v>
      </c>
      <c r="V103" s="3">
        <f>6659.4+(557.8-514.4)+(0+(0-0))+0-0-0</f>
        <v>6702.7999999999993</v>
      </c>
      <c r="W103" s="3">
        <f>6550.7+(697.1-670.7)+(-16.704285+(-1.777605--1.710285))+0-0-0</f>
        <v>6560.3283949999995</v>
      </c>
      <c r="X103" s="3">
        <f>6609+(925-1130.5)+(-13.48236+(-1.887--2.30622))+0-0-0</f>
        <v>6390.4368599999998</v>
      </c>
      <c r="Y103" s="3">
        <f>6619.9+(979-1363.7)+(-13.504596+(-1.99716--2.781948))+0-0-0</f>
        <v>6222.480192</v>
      </c>
      <c r="Z103" s="3">
        <f>6981.1+(908.2-1436.8)+(-3.560361+(-0.463182--0.732768))+0-0-0</f>
        <v>6449.2092249999996</v>
      </c>
      <c r="AA103" s="3">
        <f>7309.5+(649.1-1260.6)+(-7.45569+(-0.662082--1.285812))+0-0-0</f>
        <v>6691.1680399999996</v>
      </c>
      <c r="AB103" s="3">
        <f>7313.9+(514.2-1297.7)+(-7.460178+(-0.524484--1.323654))+0-0-0</f>
        <v>6523.7389919999996</v>
      </c>
      <c r="AC103" s="3">
        <f>7275.2+(553.1-1636.8)+(-3.710352+(-0.282081--0.834768))+28.6-0-0</f>
        <v>6216.9423350000006</v>
      </c>
      <c r="AD103">
        <f t="shared" si="1"/>
        <v>145420.62898200002</v>
      </c>
      <c r="AE103" s="3">
        <f>7282+(559.3-1205.3)+(0+(0-0))+0-0-0</f>
        <v>6636</v>
      </c>
    </row>
    <row r="104" spans="1:31" s="2" customFormat="1" x14ac:dyDescent="0.25">
      <c r="A104">
        <v>89</v>
      </c>
      <c r="B104">
        <v>4</v>
      </c>
      <c r="C104">
        <v>11</v>
      </c>
      <c r="D104">
        <v>7</v>
      </c>
      <c r="E104">
        <v>1</v>
      </c>
      <c r="F104" s="3">
        <f>7073.4+(515.4-1800.1)+(0+(0-0))+0-0-0</f>
        <v>5788.7</v>
      </c>
      <c r="G104" s="3">
        <f>6847.8+(404.1-1894.5)+(-6.984756+(-0.412182--1.93239))+0-0-0</f>
        <v>5351.9354519999997</v>
      </c>
      <c r="H104" s="3">
        <f>6607+(330-1927.7)+(0+(0-0))+0-0-0</f>
        <v>5009.3</v>
      </c>
      <c r="I104" s="3">
        <f>6397.1+(342.1-1941.6)+(-13.050084+(-0.697884--3.960864))+0-0-0</f>
        <v>4787.8128960000004</v>
      </c>
      <c r="J104" s="3">
        <f>6179.3+(374.2-1872.1)+(-6.302886+(-0.381684--1.909542))+2.6-0-0</f>
        <v>4679.2249720000009</v>
      </c>
      <c r="K104" s="3">
        <f>5708.8+(348-1531.3)+(-14.55744+(-0.8874--3.904815))+13-0-0</f>
        <v>4526.9599749999998</v>
      </c>
      <c r="L104" s="3">
        <f>5391.9+(365-1545)+(-5.499738+(-0.3723--1.5759))+0-0-0</f>
        <v>4207.6038619999999</v>
      </c>
      <c r="M104" s="3">
        <f>5332.8+(371.6-1514.1)+(0+(0-0))+0-0-0</f>
        <v>4190.3</v>
      </c>
      <c r="N104" s="3">
        <f>5688.7+(437.9-1701.4)+(0+(0-0))+0-0-0</f>
        <v>4425.2</v>
      </c>
      <c r="O104" s="3">
        <f>6040.6+(751.3-1979.3)+(-6.161412+(-0.766326--2.018886))+0-0-0</f>
        <v>4807.6911480000008</v>
      </c>
      <c r="P104" s="3">
        <f>6319.1+(823.6-1872.7)+(0+(0-0))+0-0-0</f>
        <v>5270</v>
      </c>
      <c r="Q104" s="3">
        <f>6882.8+(717.4-2006.2)+(-3.510228+(-0.365874--1.023162))+0-0-0</f>
        <v>5591.1470600000002</v>
      </c>
      <c r="R104" s="3">
        <f>7062.7+(813-2101.9)+(-3.601977+(-0.41463--1.071969))+0-0-0</f>
        <v>5770.8553619999993</v>
      </c>
      <c r="S104" s="3">
        <f>7054+(858.9-2071.4)+(7.19508+(0.876078-2.112828))+0-0-0</f>
        <v>5847.4583300000004</v>
      </c>
      <c r="T104" s="3">
        <f>7070.3+(796.2-2025.1)+(-3.605853+(-0.406062--1.032801))+0-0-0</f>
        <v>5838.4208860000008</v>
      </c>
      <c r="U104" s="3">
        <f>6983.5+(865-2057.6)+(-3.561585+(-0.44115--1.049376))+0-0-0</f>
        <v>5787.9466409999995</v>
      </c>
      <c r="V104" s="3">
        <f>6873.6+(891.2-2008.9)+(3.505536+(0.454512-1.024539))+0-0-0</f>
        <v>5758.8355090000005</v>
      </c>
      <c r="W104" s="3">
        <f>6814.3+(981.4-2025.1)+(-13.901172+(-2.002056--4.131204))+0-0-0</f>
        <v>5758.8279760000005</v>
      </c>
      <c r="X104" s="3">
        <f>6549.7+(991.2-1754.3)+(-3.340347+(-0.505512--0.894693))+0-0-0</f>
        <v>5783.6488340000005</v>
      </c>
      <c r="Y104" s="3">
        <f>6236.8+(1057.3-1522.3)+(-9.542304+(-1.617669--2.329119))+0-0-0</f>
        <v>5762.9691460000004</v>
      </c>
      <c r="Z104" s="3">
        <f>6567.3+(996.2-1509.3)+(0+(0-0))+0-0-0</f>
        <v>6054.2000000000007</v>
      </c>
      <c r="AA104" s="3">
        <f>7279.2+(770-1684.6)+(-3.712392+(-0.3927--0.859146))+0-0-0</f>
        <v>6361.3540540000004</v>
      </c>
      <c r="AB104" s="3">
        <f>7320.3+(680.6-1732.7)+(-7.466706+(-0.694212--1.767354))+0-0-0</f>
        <v>6261.8064360000008</v>
      </c>
      <c r="AC104" s="3">
        <f>7303.2+(653.6-1824.8)+(3.724632+(0.333336-0.930648))+0-0-0</f>
        <v>6135.1273199999996</v>
      </c>
      <c r="AD104">
        <f t="shared" si="1"/>
        <v>129757.325859</v>
      </c>
      <c r="AE104" s="3">
        <f>7262+(683.9-1663)+(0+(0-0))+0-0-0</f>
        <v>6282.9</v>
      </c>
    </row>
    <row r="105" spans="1:31" s="2" customFormat="1" x14ac:dyDescent="0.25">
      <c r="A105">
        <v>89</v>
      </c>
      <c r="B105">
        <v>4</v>
      </c>
      <c r="C105">
        <v>12</v>
      </c>
      <c r="D105">
        <v>1</v>
      </c>
      <c r="E105">
        <v>1</v>
      </c>
      <c r="F105" s="3">
        <f>7302.8+(410.8-2110.6)+(7.448856+(0.419016-2.152812))+0-0-0</f>
        <v>5608.7150600000004</v>
      </c>
      <c r="G105" s="3">
        <f>7075.8+(283.8-2182.5)+(-3.608658+(-0.144738--1.113075))+0-0-0</f>
        <v>5174.4596790000005</v>
      </c>
      <c r="H105" s="3">
        <f>6721+(288.3-2226.3)+(-3.42771+(-0.147033--1.135413))+0-0-0</f>
        <v>4780.5606699999998</v>
      </c>
      <c r="I105" s="3">
        <f>6454+(305.5-2159.4)+(0+(0-0))+0-0-0</f>
        <v>4600.1000000000004</v>
      </c>
      <c r="J105" s="3">
        <f>6150.4+(370.5-1987.8)+(-9.410112+(-0.566865--3.041334))+0-0-0</f>
        <v>4526.1643569999997</v>
      </c>
      <c r="K105" s="3">
        <f>5969.4+(474-1949.9)+(-15.22197+(-1.2087--4.972245))+0-0-0</f>
        <v>4482.0415750000002</v>
      </c>
      <c r="L105" s="3">
        <f>5797.9+(391.6-1743.1)+(0+(0-0))+0-0-0</f>
        <v>4446.3999999999996</v>
      </c>
      <c r="M105" s="3">
        <f>6405+(353.1-1736.6)+(6.5331+(0.360162-1.771332))+0-0-0</f>
        <v>5026.6219300000002</v>
      </c>
      <c r="N105" s="3">
        <f>7289.8+(515.7-1955.9)+(3.717798+(0.263007-0.997509))+0-0-0</f>
        <v>5852.5832960000007</v>
      </c>
      <c r="O105" s="3">
        <f>7398.5+(902.8-1798.1)+(11.319705+(1.381284-2.751093))+0-0-0</f>
        <v>6513.1498959999999</v>
      </c>
      <c r="P105" s="3">
        <f>7360.9+(832.5-1222.6)+(15.016236+(1.6983-2.494104))+0-0-0</f>
        <v>6985.0204319999993</v>
      </c>
      <c r="Q105" s="3">
        <f>7315.7+(758.3-752.3)+(-3.731007+(-0.386733--0.383673))+0-0-0</f>
        <v>7317.9659329999995</v>
      </c>
      <c r="R105" s="3">
        <f>7333.4+(665.5-529.2)+(0+(0-0))+0-0-0</f>
        <v>7469.7</v>
      </c>
      <c r="S105" s="3">
        <f>7251.8+(638.6-499.9)+(0+(0-0))+0-0-0</f>
        <v>7390.5</v>
      </c>
      <c r="T105" s="3">
        <f>7273.1+(734.1-497.7)+(3.709281+(0.374391-0.253827))+0-0-0</f>
        <v>7513.3298450000002</v>
      </c>
      <c r="U105" s="3">
        <f>7195.5+(745.5-451)+(3.669705+(0.380205-0.23001))+0-0-0</f>
        <v>7493.8199000000004</v>
      </c>
      <c r="V105" s="3">
        <f>7068+(803.7-434.5)+(7.20936+(0.819774-0.44319))+0-0-0</f>
        <v>7444.7859440000002</v>
      </c>
      <c r="W105" s="3">
        <f>7031.1+(882.6-600)+(0+(0-0))+0-0-0</f>
        <v>7313.7000000000007</v>
      </c>
      <c r="X105" s="3">
        <f>7004.5+(1008.3-944.6)+(-7.14459+(-1.028466--0.963492))+0-0-0</f>
        <v>7060.990436</v>
      </c>
      <c r="Y105" s="3">
        <f>6928.6+(1061.4-1170.6)+(0+(0-0))+0-0-0</f>
        <v>6819.4000000000005</v>
      </c>
      <c r="Z105" s="3">
        <f>7123.7+(1072.8-1218.1)+(-3.633087+(-0.547128--0.621231))+0-0-0</f>
        <v>6974.8410159999994</v>
      </c>
      <c r="AA105" s="3">
        <f>7318.2+(785.7-921.8)+(-7.464564+(-0.801414--0.940236))+0-0-0</f>
        <v>7174.7742580000004</v>
      </c>
      <c r="AB105" s="3">
        <f>7374.1+(702.8-1143.2)+(0+(0-0))+0-0-0</f>
        <v>6933.7000000000007</v>
      </c>
      <c r="AC105" s="3">
        <f>7282.8+(617.5-1428.1)+(-3.714228+(-0.314925--0.728331))+0-0-0</f>
        <v>6468.8991780000006</v>
      </c>
      <c r="AD105">
        <f t="shared" si="1"/>
        <v>151372.22340500003</v>
      </c>
      <c r="AE105" s="3">
        <f>7295+(751.9-877.2)+(0+(0-0))+0-0-0</f>
        <v>7169.7</v>
      </c>
    </row>
    <row r="106" spans="1:31" s="2" customFormat="1" x14ac:dyDescent="0.25">
      <c r="A106">
        <v>89</v>
      </c>
      <c r="B106">
        <v>4</v>
      </c>
      <c r="C106">
        <v>13</v>
      </c>
      <c r="D106">
        <v>2</v>
      </c>
      <c r="E106">
        <v>1</v>
      </c>
      <c r="F106" s="3">
        <f>7245.6+(518.6-1767.9)+(-7.390512+(-0.528972--1.803258))+0-0-0</f>
        <v>5990.1837740000001</v>
      </c>
      <c r="G106" s="3">
        <f>7110.1+(329-2022.2)+(-7.252302+(-0.33558--2.062644))+0-0-0</f>
        <v>5411.3747620000004</v>
      </c>
      <c r="H106" s="3">
        <f>6666.9+(191.9-1756.6)+(0+(0-0))+0-0-0</f>
        <v>5102.2</v>
      </c>
      <c r="I106" s="3">
        <f>6454.4+(206-1733.2)+(0+(0-0))+0-0-0</f>
        <v>4927.2</v>
      </c>
      <c r="J106" s="3">
        <f>6347.8+(176.1-1665.6)+(9.712134+(0.269433-2.548368))+0-0-0</f>
        <v>4865.7331990000002</v>
      </c>
      <c r="K106" s="3">
        <f>6169.7+(132.7-1528.9)+(-3.146547+(-0.067677--0.779739))+0-0-0</f>
        <v>4771.0655150000002</v>
      </c>
      <c r="L106" s="3">
        <f>5998.8+(251.6-1589.2)+(0+(0-0))+0-0-0</f>
        <v>4661.2</v>
      </c>
      <c r="M106" s="3">
        <f>6232.9+(329.3-1413.4)+(-9.536337+(-0.503829--2.162502))+0-0-0</f>
        <v>5140.9223359999996</v>
      </c>
      <c r="N106" s="3">
        <f>6625.9+(681.6-1347.1)+(-6.758418+(-0.695232--1.374042))+0-0-0</f>
        <v>5954.3203919999996</v>
      </c>
      <c r="O106" s="3">
        <f>7013.4+(740.8-1162.7)+(-10.730502+(-1.133424--1.778931))+0-0-0</f>
        <v>6581.4150049999998</v>
      </c>
      <c r="P106" s="3">
        <f>7251.2+(880.7-1044.1)+(-3.698112+(-0.449157--0.532491))+0-0-0</f>
        <v>7084.1852220000001</v>
      </c>
      <c r="Q106" s="3">
        <f>7240.9+(848.4-682.2)+(-3.692859+(-0.432684--0.347922))+0-0-0</f>
        <v>7403.3223789999993</v>
      </c>
      <c r="R106" s="3">
        <f>7247.4+(785.6-399.4)+(7.392348+(0.801312-0.407388))+0-0-0</f>
        <v>7641.3862719999997</v>
      </c>
      <c r="S106" s="3">
        <f>7209.7+(667.7-411.1)+(3.676947+(0.340527-0.209661))+0-0-0</f>
        <v>7470.1078130000005</v>
      </c>
      <c r="T106" s="3">
        <f>7192.8+(787.8-389.3)+(3.668328+(0.401778-0.198543))+0-0-0</f>
        <v>7595.1715629999999</v>
      </c>
      <c r="U106" s="3">
        <f>7115.3+(830.4-367.8)+(3.628803+(0.423504-0.187578))+5.4-0-0</f>
        <v>7587.1647290000001</v>
      </c>
      <c r="V106" s="3">
        <f>7062.3+(794.4-359.3)+(-3.601773+(-0.405144--0.183243))+35.5-0-0</f>
        <v>7529.0763260000003</v>
      </c>
      <c r="W106" s="3">
        <f>7014.2+(797.4-462.2)+(-10.731726+(-1.220022--0.707166))+46.5-0-0</f>
        <v>7384.6554179999994</v>
      </c>
      <c r="X106" s="3">
        <f>6933.8+(958.8-854.7)+(-7.072476+(-0.977976--0.871794))+12.5-0-0</f>
        <v>7043.2213419999998</v>
      </c>
      <c r="Y106" s="3">
        <f>6920.2+(1098.1-1245.1)+(-3.529302+(-0.560031--0.635001))+0-0-0</f>
        <v>6769.7456679999996</v>
      </c>
      <c r="Z106" s="3">
        <f>7104.3+(944.5-1069.3)+(7.246386+(0.96339-1.090686))+0-0-0</f>
        <v>6986.6190900000001</v>
      </c>
      <c r="AA106" s="3">
        <f>7372.3+(721.4-829)+(0+(0-0))+0-0-0</f>
        <v>7264.7</v>
      </c>
      <c r="AB106" s="3">
        <f>7382.3+(585.1-939.9)+(-3.764973+(-0.298401--0.479349))+0-0-0</f>
        <v>7023.9159749999999</v>
      </c>
      <c r="AC106" s="3">
        <f>7348.6+(553.7-1255)+(3.747786+(0.282387-0.64005))+0-0-0</f>
        <v>6650.6901230000003</v>
      </c>
      <c r="AD106">
        <f t="shared" si="1"/>
        <v>154839.57690300001</v>
      </c>
      <c r="AE106" s="3">
        <f>7429+(732.7-878.8)+(0+(0-0))+0-0-0</f>
        <v>7282.9</v>
      </c>
    </row>
    <row r="107" spans="1:31" s="2" customFormat="1" x14ac:dyDescent="0.25">
      <c r="A107">
        <v>89</v>
      </c>
      <c r="B107">
        <v>4</v>
      </c>
      <c r="C107">
        <v>14</v>
      </c>
      <c r="D107">
        <v>3</v>
      </c>
      <c r="E107">
        <v>1</v>
      </c>
      <c r="F107" s="3">
        <f>7196.2+(449.2-1601.7)+(3.670062+(0.229092-0.816867))+0-0-0</f>
        <v>6046.782287</v>
      </c>
      <c r="G107" s="3">
        <f>6926.1+(483.3-1928)+(-3.532311+(-0.246483--0.98328))+0-0-0</f>
        <v>5478.6044860000002</v>
      </c>
      <c r="H107" s="3">
        <f>6910.2+(391.3-2073.6)+(-7.048404+(-0.399126--2.115072))+0-0-0</f>
        <v>5222.5675419999998</v>
      </c>
      <c r="I107" s="3">
        <f>6727.4+(418.1-2048.9)+(-3.430974+(-0.213231--1.044939))+0-0-0</f>
        <v>5094.0007339999993</v>
      </c>
      <c r="J107" s="3">
        <f>6454.3+(423.7-1835.8)+(-6.583386+(-0.432174--1.872516))+0-0-0</f>
        <v>5037.0569560000004</v>
      </c>
      <c r="K107" s="3">
        <f>6040.3+(390.5-1489.9)+(-15.402765+(-0.995775--3.799245))+0-0-0</f>
        <v>4928.3007049999997</v>
      </c>
      <c r="L107" s="3">
        <f>5609.1+(375-1226)+(-11.442564+(-0.765--2.50104))+0-0-0</f>
        <v>4748.3934760000002</v>
      </c>
      <c r="M107" s="3">
        <f>6018.5+(648.2-1392.7)+(0+(0-0))+0-0-0</f>
        <v>5274</v>
      </c>
      <c r="N107" s="3">
        <f>6649.6+(838.3-1380.6)+(0+(0-0))+0-0-0</f>
        <v>6107.3</v>
      </c>
      <c r="O107" s="3">
        <f>7193.3+(924-1304.1)+(3.668583+(0.47124-0.665091))+0-0-0</f>
        <v>6816.6747320000004</v>
      </c>
      <c r="P107" s="3">
        <f>7324.6+(891.8-912.1)+(3.735546+(0.454818-0.465171))+0-0-0</f>
        <v>7308.0251930000004</v>
      </c>
      <c r="Q107" s="3">
        <f>7312.4+(802.9-513.9)+(7.458648+(0.818958-0.524178))+0-0-0</f>
        <v>7609.1534279999996</v>
      </c>
      <c r="R107" s="3">
        <f>7300+(812.7-402.2)+(11.169+(1.243431-0.615366))+0-0-0</f>
        <v>7722.2970649999997</v>
      </c>
      <c r="S107" s="3">
        <f>7252.5+(783.6-436.7)+(7.39755+(0.799272-0.445434))+0-0-0</f>
        <v>7607.1513879999993</v>
      </c>
      <c r="T107" s="3">
        <f>7259.6+(844.9-473.6)+(11.107188+(1.292697-0.724608))+94-0-0</f>
        <v>7736.5752770000008</v>
      </c>
      <c r="U107" s="3">
        <f>7170.7+(831.4-497.4)+(10.971171+(1.272042-0.761022))+162.4-0-0</f>
        <v>7678.5821909999995</v>
      </c>
      <c r="V107" s="3">
        <f>7041.8+(888.1-460.6)+(0+(0-0))+129.5-0-0</f>
        <v>7598.8</v>
      </c>
      <c r="W107" s="3">
        <f>7012.7+(807.7-393.8)+(-7.152954+(-0.823854--0.401676))+37.7-0-0</f>
        <v>7456.7248679999993</v>
      </c>
      <c r="X107" s="3">
        <f>6975.3+(715.8-531.3)+(-7.114806+(-0.730116--0.541926))+0-0-0</f>
        <v>7152.4970039999998</v>
      </c>
      <c r="Y107" s="3">
        <f>6996.7+(840.2-1008.7)+(-3.568317+(-0.428502--0.514437))+0-0-0</f>
        <v>6824.7176179999997</v>
      </c>
      <c r="Z107" s="3">
        <f>7194.3+(761.1-913.2)+(7.338186+(0.776322-0.931464))+0-0-0</f>
        <v>7049.3830440000002</v>
      </c>
      <c r="AA107" s="3">
        <f>7328.3+(603.3-653.6)+(-3.737433+(-0.307683--0.333336))+10-0-0</f>
        <v>7284.2882200000004</v>
      </c>
      <c r="AB107" s="3">
        <f>7276.7+(517.5-725.2)+(0+(0-0))+2-0-0</f>
        <v>7071</v>
      </c>
      <c r="AC107" s="3">
        <f>7178.1+(370.6-849.6)+(-7.321662+(-0.378012--0.866592))+0-0-0</f>
        <v>6692.2669180000003</v>
      </c>
      <c r="AD107">
        <f t="shared" si="1"/>
        <v>157545.143132</v>
      </c>
      <c r="AE107" s="3">
        <f>7320+(604.5-658)+(0+(0-0))+20-0-0</f>
        <v>7286.5</v>
      </c>
    </row>
    <row r="108" spans="1:31" s="2" customFormat="1" x14ac:dyDescent="0.25">
      <c r="A108">
        <v>89</v>
      </c>
      <c r="B108">
        <v>4</v>
      </c>
      <c r="C108">
        <v>15</v>
      </c>
      <c r="D108">
        <v>4</v>
      </c>
      <c r="E108">
        <v>1</v>
      </c>
      <c r="F108" s="3">
        <f>7084.4+(467.9-1395.2)+(-14.452176+(-0.954516--2.846208))+0-0-0</f>
        <v>6144.5395159999998</v>
      </c>
      <c r="G108" s="3">
        <f>6926.4+(607.6-1924.8)+(10.597392+(0.929628-2.944944))+0-0-0</f>
        <v>5617.7820759999995</v>
      </c>
      <c r="H108" s="3">
        <f>6807.8+(436-1916.2)+(0+(0-0))+0-0-0</f>
        <v>5327.6</v>
      </c>
      <c r="I108" s="3">
        <f>6850.1+(328.4-2015.8)+(-3.493551+(-0.167484--1.028058))+0-0-0</f>
        <v>5160.0670230000005</v>
      </c>
      <c r="J108" s="3">
        <f>6725+(346.3-1997)+(-13.719+(-0.706452--4.07388))+0-0-0</f>
        <v>5063.9484280000006</v>
      </c>
      <c r="K108" s="3">
        <f>6401+(381.3-1815.8)+(-9.79353+(-0.583389--2.778174))+0-0-0</f>
        <v>4958.9012549999998</v>
      </c>
      <c r="L108" s="3">
        <f>6007.4+(509.2-1681.4)+(-6.127548+(-0.519384--1.715028))+0-0-0</f>
        <v>4830.2680959999998</v>
      </c>
      <c r="M108" s="3">
        <f>6428.3+(630.6-1723.9)+(0+(0-0))+0-0-0</f>
        <v>5335</v>
      </c>
      <c r="N108" s="3">
        <f>7248.6+(852.4-1952.6)+(3.696786+(0.434724-0.995826))+0-0-0</f>
        <v>6151.5356840000004</v>
      </c>
      <c r="O108" s="3">
        <f>7369.5+(824.6-1466.1)+(15.03378+(1.682184-2.990844))+0-0-0</f>
        <v>6741.7251200000001</v>
      </c>
      <c r="P108" s="3">
        <f>7323.1+(760.2-945.8)+(7.469562+(0.775404-0.964716))+5-0-0</f>
        <v>7149.7802499999998</v>
      </c>
      <c r="Q108" s="3">
        <f>7282+(657.8-559.2)+(3.71382+(0.335478-0.285192))+10-0-0</f>
        <v>7394.364106</v>
      </c>
      <c r="R108" s="3">
        <f>7275+(598.1-582.2)+(3.71025+(0.305031-0.296922))+166.3-0-0</f>
        <v>7460.9183590000002</v>
      </c>
      <c r="S108" s="3">
        <f>7278.7+(493.5-661.5)+(3.712137+(0.251685-0.337365))+412-0-0</f>
        <v>7526.3264570000001</v>
      </c>
      <c r="T108" s="3">
        <f>7279.2+(707.6-601.9)+(7.424784+(0.721752-0.613938))+163.9-0-0</f>
        <v>7556.3325979999991</v>
      </c>
      <c r="U108" s="3">
        <f>7181.6+(777.3-561.6)+(10.987848+(1.189269-0.859248))+150-0-0</f>
        <v>7558.6178690000006</v>
      </c>
      <c r="V108" s="3">
        <f>7042.6+(902.1-491.1)+(7.183452+(0.920142-0.500922))+33-0-0</f>
        <v>7494.2026720000003</v>
      </c>
      <c r="W108" s="3">
        <f>7023.9+(761.2-413.8)+(3.582189+(0.388212-0.211038))+0-0-0</f>
        <v>7375.0593629999994</v>
      </c>
      <c r="X108" s="3">
        <f>6971.6+(568.6-449.4)+(-3.555516+(-0.289986--0.229194))+0-0-0</f>
        <v>7087.1836920000005</v>
      </c>
      <c r="Y108" s="3">
        <f>7006.5+(655.6-886.3)+(0+(0-0))+0-0-0</f>
        <v>6775.8</v>
      </c>
      <c r="Z108" s="3">
        <f>7234.2+(569.2-806.8)+(7.378884+(0.580584-0.822936))+0-0-0</f>
        <v>7003.7365320000008</v>
      </c>
      <c r="AA108" s="3">
        <f>7373.1+(521.8-636.9)+(0+(0-0))+0-0-0</f>
        <v>7258</v>
      </c>
      <c r="AB108" s="3">
        <f>7356.4+(389.4-705.4)+(3.751764+(0.198594-0.359754))+0-0-0</f>
        <v>7043.9906039999996</v>
      </c>
      <c r="AC108" s="3">
        <f>7295.3+(345.9-908.8)+(-11.161809+(-0.529227--1.390464))+0-0-0</f>
        <v>6722.0994280000004</v>
      </c>
      <c r="AD108">
        <f t="shared" si="1"/>
        <v>156737.77912799997</v>
      </c>
      <c r="AE108" s="3">
        <f>7384+(536-685.6)+(0+(0-0))+0-0-0</f>
        <v>7234.4</v>
      </c>
    </row>
    <row r="109" spans="1:31" s="2" customFormat="1" x14ac:dyDescent="0.25">
      <c r="A109">
        <v>89</v>
      </c>
      <c r="B109">
        <v>4</v>
      </c>
      <c r="C109">
        <v>16</v>
      </c>
      <c r="D109">
        <v>5</v>
      </c>
      <c r="E109">
        <v>1</v>
      </c>
      <c r="F109" s="3">
        <f>7154.4+(294.8-1243.3)+(-7.297488+(-0.300696--1.268166))+0-0-0</f>
        <v>6199.569982</v>
      </c>
      <c r="G109" s="3">
        <f>7014.4+(299.6-1714.8)+(-3.577344+(-0.152796--0.874548))+0-0-0</f>
        <v>5596.3444079999999</v>
      </c>
      <c r="H109" s="3">
        <f>6922.4+(153.8-1813.1)+(0+(0-0))+0-0-0</f>
        <v>5263.0999999999995</v>
      </c>
      <c r="I109" s="3">
        <f>6910.6+(165.7-1978.5)+(-3.524406+(-0.084507--1.009035))+0-0-0</f>
        <v>5095.2001220000002</v>
      </c>
      <c r="J109" s="3">
        <f>6797.6+(167.8-1949.7)+(0+(0-0))+0-0-0</f>
        <v>5015.7000000000007</v>
      </c>
      <c r="K109" s="3">
        <f>6699.5+(198.2-2009.1)+(-17.083725+(-0.50541--5.123205))+0-0-0</f>
        <v>4876.1340700000001</v>
      </c>
      <c r="L109" s="3">
        <f>6305.8+(312.5-1856.4)+(-6.431916+(-0.31875--1.893528))+0-0-0</f>
        <v>4757.0428619999993</v>
      </c>
      <c r="M109" s="3">
        <f>6514.6+(378.6-1587.6)+(3.322446+(0.193086-0.809676))+0-0-0</f>
        <v>5308.3058559999999</v>
      </c>
      <c r="N109" s="3">
        <f>7027+(843.2-1741.9)+(3.58377+(0.430032-0.888369))+0-0-0</f>
        <v>6131.4254330000003</v>
      </c>
      <c r="O109" s="3">
        <f>7205.3+(812.7-1245.3)+(3.674703+(0.414477-0.635103))+0-0-0</f>
        <v>6776.1540770000011</v>
      </c>
      <c r="P109" s="3">
        <f>7254.9+(688.8-824.7)+(7.399998+(0.702576-0.841194))+12.7-0-0</f>
        <v>7138.9613799999997</v>
      </c>
      <c r="Q109" s="3">
        <f>7298.7+(598.8-491.1)+(0+(0-0))+19-0-0</f>
        <v>7425.4</v>
      </c>
      <c r="R109" s="3">
        <f>7222.1+(653.6-540.5)+(11.049813+(1.000008-0.826965))+126.5-0-0</f>
        <v>7472.922856000001</v>
      </c>
      <c r="S109" s="3">
        <f>7145.9+(575.7-597.6)+(3.644409+(0.293607-0.304776))+234-0-0</f>
        <v>7361.6332400000001</v>
      </c>
      <c r="T109" s="3">
        <f>7060.6+(732.3-586.5)+(0+(0-0))+234-0-0</f>
        <v>7440.4000000000005</v>
      </c>
      <c r="U109" s="3">
        <f>6931.7+(734.9-568.9)+(-7.070334+(-0.749598--0.580278))+234-0-0</f>
        <v>7324.4603459999998</v>
      </c>
      <c r="V109" s="3">
        <f>6898.3+(708.9-539.9)+(-3.518133+(-0.361539--0.275349))+220.4-0-0</f>
        <v>7284.0956770000003</v>
      </c>
      <c r="W109" s="3">
        <f>6832+(732-453.3)+(6.96864+(0.74664-0.462366))+0-0-0</f>
        <v>7117.9529139999995</v>
      </c>
      <c r="X109" s="3">
        <f>6818+(657.5-539.4)+(-3.47718+(-0.335325--0.275094))+0-0-0</f>
        <v>6932.5625890000001</v>
      </c>
      <c r="Y109" s="3">
        <f>6841.1+(793.2-958.4)+(0+(0-0))+0-0-0</f>
        <v>6675.9000000000005</v>
      </c>
      <c r="Z109" s="3">
        <f>7101.9+(700.1-943.1)+(3.621969+(0.357051-0.480981))+0-0-0</f>
        <v>6862.3980389999997</v>
      </c>
      <c r="AA109" s="3">
        <f>7306.4+(515.7-742.5)+(0+(0-0))+0-0-0</f>
        <v>7079.5999999999995</v>
      </c>
      <c r="AB109" s="3">
        <f>7316+(423-855.7)+(3.73116+(0.21573-0.436407))+0-0-0</f>
        <v>6886.8104830000002</v>
      </c>
      <c r="AC109" s="3">
        <f>7327.3+(308.4-1053.7)+(0+(0-0))+0-0-0</f>
        <v>6582</v>
      </c>
      <c r="AD109">
        <f t="shared" si="1"/>
        <v>154604.074334</v>
      </c>
      <c r="AE109" s="3">
        <f>7292+(565.4-803.8)+(0+(0-0))+0-0-0</f>
        <v>7053.6</v>
      </c>
    </row>
    <row r="110" spans="1:31" s="2" customFormat="1" x14ac:dyDescent="0.25">
      <c r="A110">
        <v>89</v>
      </c>
      <c r="B110">
        <v>4</v>
      </c>
      <c r="C110">
        <v>17</v>
      </c>
      <c r="D110">
        <v>6</v>
      </c>
      <c r="E110">
        <v>1</v>
      </c>
      <c r="F110" s="3">
        <f>7252.3+(223.6-1331.6)+(3.698673+(0.114036-0.679116))+0-0-0</f>
        <v>6147.4335929999997</v>
      </c>
      <c r="G110" s="3">
        <f>7050.1+(176.5-1696.5)+(0+(0-0))+0-0-0</f>
        <v>5530.1</v>
      </c>
      <c r="H110" s="3">
        <f>7017.9+(184.9-2007)+(3.579129+(0.094299-1.02357))+0-0-0</f>
        <v>5198.449857999999</v>
      </c>
      <c r="I110" s="3">
        <f>7011.3+(232.7-2194.1)+(7.151526+(0.237354-2.237982))+0-0-0</f>
        <v>5055.0508980000004</v>
      </c>
      <c r="J110" s="3">
        <f>6987.3+(194.3-2217.4)+(3.563523+(0.099093-1.130874))+0-0-0</f>
        <v>4966.7317419999999</v>
      </c>
      <c r="K110" s="3">
        <f>6738.3+(125.4-1985.6)+(0+(0-0))+0-0-0</f>
        <v>4878.1000000000004</v>
      </c>
      <c r="L110" s="3">
        <f>6228.7+(210.1-1721.6)+(-9.529911+(-0.321453--2.634048))+0-0-0</f>
        <v>4709.9826839999996</v>
      </c>
      <c r="M110" s="3">
        <f>6464+(314.3-1691.4)+(-9.88992+(-0.480879--2.587842))+0-0-0</f>
        <v>5079.1170429999993</v>
      </c>
      <c r="N110" s="3">
        <f>7099.6+(497-1711.4)+(-14.483184+(-1.01388--3.491256))+3-0-0</f>
        <v>5876.1941920000008</v>
      </c>
      <c r="O110" s="3">
        <f>7136.4+(782.7-1496)+(-3.639564+(-0.399177--0.76296))+0-0-0</f>
        <v>6419.8242189999992</v>
      </c>
      <c r="P110" s="3">
        <f>7195.9+(710.5-1018.2)+(3.669909+(0.362355-0.519282))+0-0-0</f>
        <v>6891.712982</v>
      </c>
      <c r="Q110" s="3">
        <f>7118.2+(600.8-667.4)+(7.260564+(0.612816-0.680748))+133.3-0-0</f>
        <v>7192.0926319999999</v>
      </c>
      <c r="R110" s="3">
        <f>7165.8+(485.8-874)+(7.309116+(0.495516-0.89148))+400-0-0</f>
        <v>7184.5131520000004</v>
      </c>
      <c r="S110" s="3">
        <f>7113+(432.2-901.8)+(0+(0-0))+400-0-0</f>
        <v>7043.4</v>
      </c>
      <c r="T110" s="3">
        <f>7051.3+(342.6-824.9)+(3.596163+(0.174726-0.420699))+400-0-0</f>
        <v>6972.3501900000001</v>
      </c>
      <c r="U110" s="3">
        <f>6954.5+(342.5-836)+(3.546795+(0.174675-0.42636))+400-0-0</f>
        <v>6864.29511</v>
      </c>
      <c r="V110" s="3">
        <f>6833.2+(404.8-839.8)+(0+(0-0))+400-0-0</f>
        <v>6798.2</v>
      </c>
      <c r="W110" s="3">
        <f>6826.4+(510.6-910.2)+(-3.481464+(-0.260406--0.464202))+200-0-0</f>
        <v>6623.5223319999996</v>
      </c>
      <c r="X110" s="3">
        <f>6806.1+(623.5-1072.9)+(-10.413333+(-0.953955--1.641537))+0-0-0</f>
        <v>6346.9742490000008</v>
      </c>
      <c r="Y110" s="3">
        <f>6840.8+(707.4-1386.2)+(-3.488808+(-0.360774--0.706962))+0-0-0</f>
        <v>6158.8573800000004</v>
      </c>
      <c r="Z110" s="3">
        <f>7145.6+(731.6-1470.1)+(0+(0-0))+0-0-0</f>
        <v>6407.1</v>
      </c>
      <c r="AA110" s="3">
        <f>7394.9+(583.3-1287.7)+(-15.085596+(-1.189932--2.626908))+0-0-0</f>
        <v>6676.8513800000001</v>
      </c>
      <c r="AB110" s="3">
        <f>7395.1+(584.3-1441.3)+(-3.771501+(-0.297993--0.735063))+0-0-0</f>
        <v>6534.7655690000001</v>
      </c>
      <c r="AC110" s="3">
        <f>7271.6+(495.7-1507.2)+(3.708516+(0.252807-0.768672))+0-0-0</f>
        <v>6263.2926510000007</v>
      </c>
      <c r="AD110">
        <f t="shared" si="1"/>
        <v>147818.91185600002</v>
      </c>
      <c r="AE110" s="3">
        <f>7425+(504.9-1230.2)+(0+(0-0))+0-0-0</f>
        <v>6699.7</v>
      </c>
    </row>
    <row r="111" spans="1:31" s="2" customFormat="1" x14ac:dyDescent="0.25">
      <c r="A111">
        <v>89</v>
      </c>
      <c r="B111">
        <v>4</v>
      </c>
      <c r="C111">
        <v>18</v>
      </c>
      <c r="D111">
        <v>7</v>
      </c>
      <c r="E111">
        <v>1</v>
      </c>
      <c r="F111" s="3">
        <f>7148.5+(381.4-1659.5)+(0+(0-0))+0-0-0</f>
        <v>5870.4</v>
      </c>
      <c r="G111" s="3">
        <f>6973.3+(370.2-1958.7)+(-3.556383+(-0.188802--0.998937))+0-0-0</f>
        <v>5382.0537519999998</v>
      </c>
      <c r="H111" s="3">
        <f>6938.3+(256.8-2069.9)+(3.538533+(0.130968-1.055649))+0-0-0</f>
        <v>5127.8138520000002</v>
      </c>
      <c r="I111" s="3">
        <f>6928.8+(194.8-2165.9)+(3.533688+(0.099348-1.104609))+0-0-0</f>
        <v>4960.228427</v>
      </c>
      <c r="J111" s="3">
        <f>6936.8+(188.4-2283.9)+(3.537768+(0.096084-1.164789))+0-0-0</f>
        <v>4843.7690629999997</v>
      </c>
      <c r="K111" s="3">
        <f>6525.1+(188.3-2024.6)+(-9.983403+(-0.288099--3.097638))+0-0-0</f>
        <v>4681.6261359999999</v>
      </c>
      <c r="L111" s="3">
        <f>5922.9+(269.2-1807.7)+(0+(0-0))+0-0-0</f>
        <v>4384.3999999999996</v>
      </c>
      <c r="M111" s="3">
        <f>5815.2+(268.4-1744.9)+(0+(0-0))+0-0-0</f>
        <v>4338.7</v>
      </c>
      <c r="N111" s="3">
        <f>6023+(386.3-1808.1)+(-6.14346+(-0.394026--1.844262))+0-0-0</f>
        <v>4596.5067760000002</v>
      </c>
      <c r="O111" s="3">
        <f>6321.1+(486.9-1794.9)+(0+(0-0))+0-0-0</f>
        <v>5013.1000000000004</v>
      </c>
      <c r="P111" s="3">
        <f>6791.1+(764.6-2106.6)+(6.926922+(0.779892-2.148732))+0-0-0</f>
        <v>5454.6580819999999</v>
      </c>
      <c r="Q111" s="3">
        <f>6898+(780.6-1933.5)+(0+(0-0))+0-0-0</f>
        <v>5745.1</v>
      </c>
      <c r="R111" s="3">
        <f>7038.1+(763.8-2211.2)+(3.589431+(0.389538-1.127712))+337-0-0</f>
        <v>5930.551257000001</v>
      </c>
      <c r="S111" s="3">
        <f>7008.4+(619.4-2042.2)+(7.148568+(0.631788-2.083044))+337-0-0</f>
        <v>5928.2973119999997</v>
      </c>
      <c r="T111" s="3">
        <f>7023.6+(566.2-2038.8)+(3.582036+(0.288762-1.039788))+337-0-0</f>
        <v>5890.8310099999999</v>
      </c>
      <c r="U111" s="3">
        <f>6828.1+(632-1963.8)+(-6.964662+(-0.64464--2.003076))+337-0-0</f>
        <v>5827.6937740000003</v>
      </c>
      <c r="V111" s="3">
        <f>6635.1+(765.7-1918)+(-3.383901+(-0.390507--0.97818))+337-0-0</f>
        <v>5817.003772</v>
      </c>
      <c r="W111" s="3">
        <f>6697.9+(787.6-1903.2)+(-3.415929+(-0.401676--0.970632))+140.4-0-0</f>
        <v>5719.8530269999992</v>
      </c>
      <c r="X111" s="3">
        <f>6784.4+(893.3-2008.3)+(-6.920088+(-0.911166--2.048466))+0-0-0</f>
        <v>5663.6172119999992</v>
      </c>
      <c r="Y111" s="3">
        <f>6512.5+(896-1787.3)+(-9.964125+(-1.37088--2.734569))+0-0-0</f>
        <v>5612.5995640000001</v>
      </c>
      <c r="Z111" s="3">
        <f>6753.4+(813.5-1908)+(3.444234+(0.414885-0.97308))+0-0-0</f>
        <v>5661.7860389999996</v>
      </c>
      <c r="AA111" s="3">
        <f>7236.9+(706-1767)+(-3.690819+(-0.36006--0.90117))+0-0-0</f>
        <v>6172.7502909999994</v>
      </c>
      <c r="AB111" s="3">
        <f>7271.4+(646.1-1842.2)+(0+(0-0))+0-0-0</f>
        <v>6075.2999999999993</v>
      </c>
      <c r="AC111" s="3">
        <f>7145.9+(568-1802.9)+(3.644409+(0.28968-0.919479))+0-0-0</f>
        <v>5914.0146100000002</v>
      </c>
      <c r="AD111">
        <f t="shared" si="1"/>
        <v>130612.65395599999</v>
      </c>
      <c r="AE111" s="3">
        <f>7240.2+(652.7-1739.7)+(0+(0-0))+0-0-0</f>
        <v>6153.2</v>
      </c>
    </row>
    <row r="112" spans="1:31" s="2" customFormat="1" x14ac:dyDescent="0.25">
      <c r="A112">
        <v>89</v>
      </c>
      <c r="B112">
        <v>4</v>
      </c>
      <c r="C112">
        <v>19</v>
      </c>
      <c r="D112">
        <v>1</v>
      </c>
      <c r="E112">
        <v>3</v>
      </c>
      <c r="F112" s="3">
        <f>7008.9+(527.7-2001.1)+(-14.298156+(-1.076508--4.082244))+0-0-0</f>
        <v>5524.2075800000002</v>
      </c>
      <c r="G112" s="3">
        <f>7042.1+(488.1-2321)+(-10.774413+(-0.746793--3.55113))+0-0-0</f>
        <v>5201.2299240000011</v>
      </c>
      <c r="H112" s="3">
        <f>7069.3+(334.9-2431.3)+(-7.210686+(-0.341598--2.479926))+0-0-0</f>
        <v>4967.8276419999993</v>
      </c>
      <c r="I112" s="3">
        <f>6679.1+(346.6-2248.2)+(-6.812682+(-0.353532--2.293164))+0-0-0</f>
        <v>4772.6269499999999</v>
      </c>
      <c r="J112" s="3">
        <f>6344.1+(229.7-1887.9)+(-6.470982+(-0.234294--1.925658))+0-0-0</f>
        <v>4681.120382000001</v>
      </c>
      <c r="K112" s="3">
        <f>6293.7+(387.3-2138.3)+(0+(0-0))+0-0-0</f>
        <v>4542.7</v>
      </c>
      <c r="L112" s="3">
        <f>5921.8+(360.4-1871.9)+(0+(0-0))+0-0-0</f>
        <v>4410.3</v>
      </c>
      <c r="M112" s="3">
        <f>5853.7+(344.1-1719)+(-8.956161+(-0.526473--2.63007))+0-0-0</f>
        <v>4471.9474359999995</v>
      </c>
      <c r="N112" s="3">
        <f>6034+(467-1700.7)+(-3.07734+(-0.23817--0.867357))+0-0-0</f>
        <v>4797.8518469999999</v>
      </c>
      <c r="O112" s="3">
        <f>6592.6+(681.1-1983.6)+(6.724452+(0.694722-2.023272))+0-0-0</f>
        <v>5295.4959020000006</v>
      </c>
      <c r="P112" s="3">
        <f>6974.6+(851.5-2136.1)+(7.114092+(0.86853-2.178822))+0-0-0</f>
        <v>5695.8037999999997</v>
      </c>
      <c r="Q112" s="3">
        <f>7098.5+(824.2-1851.8)+(7.24047+(0.840684-1.888836))+0-0-0</f>
        <v>6077.092318</v>
      </c>
      <c r="R112" s="3">
        <f>7056+(833.3-1781.7)+(0+(0-0))+87-0-0</f>
        <v>6194.6</v>
      </c>
      <c r="S112" s="3">
        <f>7020.8+(749.5-1658.1)+(0+(0-0))+87-0-0</f>
        <v>6199.2000000000007</v>
      </c>
      <c r="T112" s="3">
        <f>6993.4+(681-1617.2)+(3.566634+(0.34731-0.824772))+87-0-0</f>
        <v>6147.2891719999998</v>
      </c>
      <c r="U112" s="3">
        <f>6924.4+(571.9-1480.1)+(0+(0-0))+87-0-0</f>
        <v>6103.2</v>
      </c>
      <c r="V112" s="3">
        <f>6760.9+(486.6-1250.7)+(0+(0-0))+87-0-0</f>
        <v>6083.7999999999993</v>
      </c>
      <c r="W112" s="3">
        <f>6744.9+(550.9-1265.9)+(-6.879798+(-0.561918--1.291218))+87-0-0</f>
        <v>6110.7495019999997</v>
      </c>
      <c r="X112" s="3">
        <f>6696.1+(668.6-1398.4)+(0+(0-0))+65.3-0-0</f>
        <v>6031.6</v>
      </c>
      <c r="Y112" s="3">
        <f>6604+(734.6-1385.7)+(3.36804+(0.374646-0.706707))+0-0-0</f>
        <v>5955.9359789999999</v>
      </c>
      <c r="Z112" s="3">
        <f>7049.8+(807.1-1550.4)+(0+(0-0))+0-0-0</f>
        <v>6306.5</v>
      </c>
      <c r="AA112" s="3">
        <f>7255.1+(612.2-1331.5)+(-3.700101+(-0.312222--0.679065))+0-0-0</f>
        <v>6532.4667420000005</v>
      </c>
      <c r="AB112" s="3">
        <f>7289.2+(531.9-1365.3)+(0+(0-0))+0-0-0</f>
        <v>6455.8</v>
      </c>
      <c r="AC112" s="3">
        <f>7131.2+(511.7-1419)+(0+(0-0))+0-0-0</f>
        <v>6223.9</v>
      </c>
      <c r="AD112">
        <f t="shared" si="1"/>
        <v>134783.24517600003</v>
      </c>
      <c r="AE112" s="3">
        <f>7202+(564.1-1318.8)+(0+(0-0))+0-0-0</f>
        <v>6447.3</v>
      </c>
    </row>
    <row r="113" spans="1:31" s="2" customFormat="1" x14ac:dyDescent="0.25">
      <c r="A113">
        <v>89</v>
      </c>
      <c r="B113">
        <v>4</v>
      </c>
      <c r="C113">
        <v>20</v>
      </c>
      <c r="D113">
        <v>2</v>
      </c>
      <c r="E113">
        <v>1</v>
      </c>
      <c r="F113" s="3">
        <f>7117.3+(522.7-1683.3)+(0+(0-0))+0-0-0</f>
        <v>5956.7000000000007</v>
      </c>
      <c r="G113" s="3">
        <f>7076.6+(645-2258.8)+(-10.827198+(-0.98685--3.455964))+0-0-0</f>
        <v>5454.4419159999998</v>
      </c>
      <c r="H113" s="3">
        <f>6752.6+(730-2327.4)+(-6.887652+(-0.7446--2.373948))+0-0-0</f>
        <v>5149.9416960000008</v>
      </c>
      <c r="I113" s="3">
        <f>6581.8+(562.9-2187.1)+(-10.070154+(-0.861237--3.346263))+0-0-0</f>
        <v>4950.0148720000007</v>
      </c>
      <c r="J113" s="3">
        <f>6571.9+(429.1-2092.1)+(0+(0-0))+0-0-0</f>
        <v>4908.8999999999996</v>
      </c>
      <c r="K113" s="3">
        <f>6484.4+(402.8-2045.7)+(0+(0-0))+0-0-0</f>
        <v>4841.5</v>
      </c>
      <c r="L113" s="3">
        <f>6158.8+(300.7-1739.9)+(-6.281976+(-0.306714--1.774698))+0-0-0</f>
        <v>4714.786008</v>
      </c>
      <c r="M113" s="3">
        <f>6373.1+(326.1-1587.7)+(-3.250281+(-0.166311--0.809727))+0-0-0</f>
        <v>5108.8931350000003</v>
      </c>
      <c r="N113" s="3">
        <f>7005.5+(486.8-1677.9)+(3.572805+(0.248268-0.855729))+0-0-0</f>
        <v>5817.3653439999998</v>
      </c>
      <c r="O113" s="3">
        <f>7274.1+(765-1534.6)+(3.709791+(0.39015-0.782646))+0-0-0</f>
        <v>6507.8172949999998</v>
      </c>
      <c r="P113" s="3">
        <f>7269.7+(536.4-790.3)+(7.415094+(0.547128-0.806106))+0-0-0</f>
        <v>7022.9561160000003</v>
      </c>
      <c r="Q113" s="3">
        <f>7208.6+(426.9-627)+(7.352772+(0.435438-0.63954))+133.3-0-0</f>
        <v>7148.9486699999998</v>
      </c>
      <c r="R113" s="3">
        <f>7208.2+(403.3-574.4)+(3.676182+(0.205683-0.292944))+400-0-0</f>
        <v>7440.688920999999</v>
      </c>
      <c r="S113" s="3">
        <f>7195.2+(393.9-589.3)+(3.669552+(0.200889-0.300543))+400-0-0</f>
        <v>7403.3698979999999</v>
      </c>
      <c r="T113" s="3">
        <f>7169.8+(429.7-602)+(3.656598+(0.219147-0.30702))+400-0-0</f>
        <v>7401.0687250000001</v>
      </c>
      <c r="U113" s="3">
        <f>7050.6+(498.2-584.3)+(7.191612+(0.508164-0.595986))+400-0-0</f>
        <v>7371.6037900000001</v>
      </c>
      <c r="V113" s="3">
        <f>6898.6+(552.4-526.7)+(0+(0-0))+400-0-0</f>
        <v>7324.3</v>
      </c>
      <c r="W113" s="3">
        <f>6888.9+(461.6-498.7)+(-14.053356+(-0.941664--1.017348))+400-0-0</f>
        <v>7237.8223279999993</v>
      </c>
      <c r="X113" s="3">
        <f>6881+(507.2-627.1)+(0+(0-0))+66.7-0-0</f>
        <v>6827.8</v>
      </c>
      <c r="Y113" s="3">
        <f>6901.1+(749-968.2)+(-3.519561+(-0.38199--0.493782))+0-0-0</f>
        <v>6678.4922310000002</v>
      </c>
      <c r="Z113" s="3">
        <f>7148+(554.2-779.6)+(3.64548+(0.282642-0.397596))+0-0-0</f>
        <v>6926.1305259999999</v>
      </c>
      <c r="AA113" s="3">
        <f>7334.3+(475.5-642.7)+(-7.480986+(-0.48501--0.655554))+0-0-0</f>
        <v>7159.7895580000004</v>
      </c>
      <c r="AB113" s="3">
        <f>7365.1+(359.8-778.7)+(-3.756201+(-0.183498--0.397137))+0-0-0</f>
        <v>6942.6574380000011</v>
      </c>
      <c r="AC113" s="3">
        <f>7176.9+(303.3-880.7)+(-3.660219+(-0.154683--0.449157))+0-0-0</f>
        <v>6596.1342549999999</v>
      </c>
      <c r="AD113">
        <f t="shared" si="1"/>
        <v>152892.122722</v>
      </c>
      <c r="AE113" s="3">
        <f>7306+(363.6-784.8)+(0+(0-0))+0-0-0</f>
        <v>6884.8</v>
      </c>
    </row>
    <row r="114" spans="1:31" s="2" customFormat="1" x14ac:dyDescent="0.25">
      <c r="A114">
        <v>89</v>
      </c>
      <c r="B114">
        <v>4</v>
      </c>
      <c r="C114">
        <v>21</v>
      </c>
      <c r="D114">
        <v>3</v>
      </c>
      <c r="E114">
        <v>1</v>
      </c>
      <c r="F114" s="3">
        <f>7190.1+(343.4-1266.9)+(-7.333902+(-0.350268--1.292238))+0-0-0</f>
        <v>6260.2080679999999</v>
      </c>
      <c r="G114" s="3">
        <f>7145.3+(497.7-1806.1)+(-3.644103+(-0.253827--0.921111))+0-0-0</f>
        <v>5833.9231810000001</v>
      </c>
      <c r="H114" s="3">
        <f>6883.3+(447.6-2003.9)+(-14.041932+(-0.913104--4.087956))+0-0-0</f>
        <v>5316.13292</v>
      </c>
      <c r="I114" s="3">
        <f>6813+(380.9-2020)+(6.94926+(0.388518-2.0604))+0-0-0</f>
        <v>5179.1773779999994</v>
      </c>
      <c r="J114" s="3">
        <f>6715.3+(394-2031.5)+(-6.849606+(-0.40188--2.07213))+0-0-0</f>
        <v>5072.6206440000005</v>
      </c>
      <c r="K114" s="3">
        <f>6625.3+(473.8-2072.3)+(-6.757806+(-0.483276--2.113746))+0-0-0</f>
        <v>5021.6726640000006</v>
      </c>
      <c r="L114" s="3">
        <f>5948.1+(662.1-1729.4)+(0+(0-0))+0-0-0</f>
        <v>4880.8</v>
      </c>
      <c r="M114" s="3">
        <f>6064.6+(756.1-1590.8)+(0+(0-0))+0-0-0</f>
        <v>5229.9000000000005</v>
      </c>
      <c r="N114" s="3">
        <f>6875+(832.1-1826.2)+(0+(0-0))+0-0-0</f>
        <v>5880.9</v>
      </c>
      <c r="O114" s="3">
        <f>7148.5+(728.6-1410.3)+(0+(0-0))+8.8-0-0</f>
        <v>6475.6</v>
      </c>
      <c r="P114" s="3">
        <f>7192.4+(673.2-886.2)+(0+(0-0))+0-0-0</f>
        <v>6979.4</v>
      </c>
      <c r="Q114" s="3">
        <f>7212.4+(533.4-529.7)+(14.713296+(1.088136-1.080588))+4-0-0</f>
        <v>7234.8208439999999</v>
      </c>
      <c r="R114" s="3">
        <f>7225.2+(507.4-645.5)+(-7.369704+(-0.517548--0.65841))+278-0-0</f>
        <v>7357.871157999999</v>
      </c>
      <c r="S114" s="3">
        <f>7205.7+(451.3-619.4)+(3.674907+(0.230163-0.315894))+415-0-0</f>
        <v>7456.1891759999999</v>
      </c>
      <c r="T114" s="3">
        <f>7214.5+(451.4-610.1)+(3.679395+(0.230214-0.311151))+415-0-0</f>
        <v>7474.3984580000006</v>
      </c>
      <c r="U114" s="3">
        <f>7063.6+(552.1-521)+(7.204872+(0.563142-0.53142))+415-0-0</f>
        <v>7516.9365940000007</v>
      </c>
      <c r="V114" s="3">
        <f>6979.8+(576.6-496.8)+(-3.559698+(-0.294066--0.253368))+415-0-0</f>
        <v>7470.9996040000005</v>
      </c>
      <c r="W114" s="3">
        <f>7022.4+(435.8-477.5)+(-10.744272+(-0.666774--0.730575))+415-0-0</f>
        <v>7385.0195290000001</v>
      </c>
      <c r="X114" s="3">
        <f>7009.6+(653.8-704.2)+(-10.724688+(-1.000314--1.077426))+138.3-0-0</f>
        <v>7086.8524240000006</v>
      </c>
      <c r="Y114" s="3">
        <f>7061.3+(804.6-1055.6)+(-3.601263+(-0.410346--0.538356))+0-0-0</f>
        <v>6806.8267470000001</v>
      </c>
      <c r="Z114" s="3">
        <f>7319.3+(784.8-1053.4)+(3.732843+(0.400248-0.537234))+0-0-0</f>
        <v>7054.2958570000001</v>
      </c>
      <c r="AA114" s="3">
        <f>7502.4+(529.8-762.3)+(-3.826224+(-0.270198--0.388773))+0-0-0</f>
        <v>7266.1923509999997</v>
      </c>
      <c r="AB114" s="3">
        <f>7548.9+(473.3-971.3)+(-3.849939+(-0.241383--0.495363))+0-0-0</f>
        <v>7047.3040409999994</v>
      </c>
      <c r="AC114" s="3">
        <f>7521.8+(386.5-1168.5)+(0+(0-0))+0-0-0</f>
        <v>6739.8</v>
      </c>
      <c r="AD114">
        <f t="shared" si="1"/>
        <v>156027.84163799998</v>
      </c>
      <c r="AE114" s="3">
        <f>7427+(484.4-766.3)+(0+(0-0))+0-0-0</f>
        <v>7145.1</v>
      </c>
    </row>
    <row r="115" spans="1:31" s="2" customFormat="1" x14ac:dyDescent="0.25">
      <c r="A115">
        <v>89</v>
      </c>
      <c r="B115">
        <v>4</v>
      </c>
      <c r="C115">
        <v>22</v>
      </c>
      <c r="D115">
        <v>4</v>
      </c>
      <c r="E115">
        <v>1</v>
      </c>
      <c r="F115" s="3">
        <f>7507.4+(426.9-1721.8)+(0+(0-0))+0-0-0</f>
        <v>6212.5</v>
      </c>
      <c r="G115" s="3">
        <f>7440.2+(470.7-2227.7)+(-7.589004+(-0.480114--2.272254))+0-0-0</f>
        <v>5677.4031359999999</v>
      </c>
      <c r="H115" s="3">
        <f>7296.7+(315.7-2262.3)+(3.721317+(0.161007-1.153773))+0-0-0</f>
        <v>5352.8285509999996</v>
      </c>
      <c r="I115" s="3">
        <f>7007.4+(324-2115)+(0+(0-0))+0-0-0</f>
        <v>5216.3999999999996</v>
      </c>
      <c r="J115" s="3">
        <f>6789.2+(339.2-1935.7)+(10.387476+(0.518976-2.961621))+0-0-0</f>
        <v>5200.6448309999996</v>
      </c>
      <c r="K115" s="3">
        <f>6671+(299.4-1897.6)+(0+(0-0))+0-0-0</f>
        <v>5072.8</v>
      </c>
      <c r="L115" s="3">
        <f>6190.2+(331.2-1537.9)+(-3.157002+(-0.168912--0.784329))+0-0-0</f>
        <v>4980.9584150000001</v>
      </c>
      <c r="M115" s="3">
        <f>6783.7+(348.5-1649.6)+(0+(0-0))+0-0-0</f>
        <v>5482.6</v>
      </c>
      <c r="N115" s="3">
        <f>7303.8+(542.1-1705.4)+(14.899752+(1.105884-3.479016))+0-0-0</f>
        <v>6153.0266199999996</v>
      </c>
      <c r="O115" s="3">
        <f>7416.5+(689.4-1429.9)+(0+(0-0))+0-0-0</f>
        <v>6676</v>
      </c>
      <c r="P115" s="3">
        <f>7417+(627.7-949.3)+(11.34801+(0.960381-1.452429))+0-0-0</f>
        <v>7106.2559619999993</v>
      </c>
      <c r="Q115" s="3">
        <f>7442.5+(470.1-542.1)+(3.795675+(0.239751-0.276471))+0-0-0</f>
        <v>7374.2589550000002</v>
      </c>
      <c r="R115" s="3">
        <f>7503+(434.2-777.7)+(-7.65306+(-0.442884--0.793254))+269.3-0-0</f>
        <v>7421.4973099999997</v>
      </c>
      <c r="S115" s="3">
        <f>7460.5+(298.3-733.4)+(0+(0-0))+404-0-0</f>
        <v>7429.4</v>
      </c>
      <c r="T115" s="3">
        <f>7479.4+(279.4-706)+(11.443482+(0.427482-1.08018))+404-0-0</f>
        <v>7467.5907839999991</v>
      </c>
      <c r="U115" s="3">
        <f>7406.1+(285.3-659.8)+(-3.777111+(-0.145503--0.336498))+404-0-0</f>
        <v>7432.013884</v>
      </c>
      <c r="V115" s="3">
        <f>7336.6+(352.5-705.6)+(-3.741666+(-0.179775--0.359856))+404-0-0</f>
        <v>7383.9384149999996</v>
      </c>
      <c r="W115" s="3">
        <f>7319.6+(406.9-824.2)+(-22.397976+(-1.245114--2.522052))+404-0-0</f>
        <v>7285.178962</v>
      </c>
      <c r="X115" s="3">
        <f>7321.9+(590.1-1100.4)+(-14.936676+(-1.203804--2.244816))+0-0-0</f>
        <v>6797.7043359999998</v>
      </c>
      <c r="Y115" s="3">
        <f>7346.2+(732.3-1428.7)+(-11.239686+(-1.120419--2.185911))+0-0-0</f>
        <v>6639.6258059999991</v>
      </c>
      <c r="Z115" s="3">
        <f>7461.8+(642.4-1203.6)+(3.805518+(0.327624-0.613836))+0-0-0</f>
        <v>6904.1193060000005</v>
      </c>
      <c r="AA115" s="3">
        <f>7559.5+(461-875.4)+(-15.42138+(-0.94044--1.785816))+0-0-0</f>
        <v>7130.5239960000008</v>
      </c>
      <c r="AB115" s="3">
        <f>7569.3+(384.9-1032.7)+(-15.441372+(-0.785196--2.106708))+0-0-0</f>
        <v>6907.3801400000002</v>
      </c>
      <c r="AC115" s="3">
        <f>7409.1+(422.3-1329.6)+(7.557282+(0.430746-1.356192))+0-0-0</f>
        <v>6508.4318359999997</v>
      </c>
      <c r="AD115">
        <f t="shared" si="1"/>
        <v>155813.08124499998</v>
      </c>
      <c r="AE115" s="3">
        <f>7631+(447-855)+(0+(0-0))+0-0-0</f>
        <v>7223</v>
      </c>
    </row>
    <row r="116" spans="1:31" s="2" customFormat="1" x14ac:dyDescent="0.25">
      <c r="A116">
        <v>89</v>
      </c>
      <c r="B116">
        <v>4</v>
      </c>
      <c r="C116">
        <v>23</v>
      </c>
      <c r="D116">
        <v>5</v>
      </c>
      <c r="E116">
        <v>1</v>
      </c>
      <c r="F116" s="3">
        <f>7322.4+(385.6-1671.8)+(-7.468848+(-0.393312--1.705236))+0-0-0</f>
        <v>6030.0430759999999</v>
      </c>
      <c r="G116" s="3">
        <f>7161.4+(450.9-2047)+(-3.652314+(-0.229959--1.04397))+0-0-0</f>
        <v>5562.4616969999988</v>
      </c>
      <c r="H116" s="3">
        <f>6856.1+(343.8-1908.2)+(-6.993222+(-0.350676--1.946364))+0-0-0</f>
        <v>5286.302466000001</v>
      </c>
      <c r="I116" s="3">
        <f>6762.8+(286.8-1928.3)+(-6.898056+(-0.292536--1.966866))+0-0-0</f>
        <v>5116.076274</v>
      </c>
      <c r="J116" s="3">
        <f>6450.8+(282.3-1712.8)+(9.869724+(0.431919-2.620584))+0-0-0</f>
        <v>5027.9810589999997</v>
      </c>
      <c r="K116" s="3">
        <f>6299.5+(251.3-1588.6)+(-6.42549+(-0.256326--1.620372))+0-0-0</f>
        <v>4957.1385559999999</v>
      </c>
      <c r="L116" s="3">
        <f>5886.7+(315.1-1368.3)+(-3.002217+(-0.160701--0.697833))+0-0-0</f>
        <v>4831.0349150000002</v>
      </c>
      <c r="M116" s="3">
        <f>6238.3+(375.5-1347.5)+(9.544599+(0.574515-2.061675))+0-0-0</f>
        <v>5274.3574390000003</v>
      </c>
      <c r="N116" s="3">
        <f>6916.2+(517.4-1428.5)+(-3.527262+(-0.263874--0.728535))+0-0-0</f>
        <v>6002.0373989999998</v>
      </c>
      <c r="O116" s="3">
        <f>7157+(971.6-1477.6)+(7.30014+(0.991032-1.507152))+0-0-0</f>
        <v>6657.7840200000001</v>
      </c>
      <c r="P116" s="3">
        <f>7204.2+(954.8-1306.5)+(3.674142+(0.486948-0.666315))+166.7-0-0</f>
        <v>7022.6947749999999</v>
      </c>
      <c r="Q116" s="3">
        <f>7193.8+(910-1220.8)+(-3.668838+(-0.4641--0.622608))+400-0-0</f>
        <v>7279.4896699999999</v>
      </c>
      <c r="R116" s="3">
        <f>7164.8+(824.1-1175.2)+(-7.308096+(-0.840582--1.198704))+533.3-0-0</f>
        <v>7340.0500259999999</v>
      </c>
      <c r="S116" s="3">
        <f>7196.2+(685.4-1089.7)+(0+(0-0))+600-0-0</f>
        <v>7391.9</v>
      </c>
      <c r="T116" s="3">
        <f>7198.3+(635.6-908.7)+(3.671133+(0.324156-0.463437))+500-0-0</f>
        <v>7428.7318519999999</v>
      </c>
      <c r="U116" s="3">
        <f>7075.5+(638.4-702.1)+(-3.608505+(-0.325584--0.358071))+400-0-0</f>
        <v>7408.2239820000004</v>
      </c>
      <c r="V116" s="3">
        <f>6989.2+(691.4-745.2)+(-7.128984+(-0.705228--0.760104))+400-0-0</f>
        <v>7328.3258919999998</v>
      </c>
      <c r="W116" s="3">
        <f>6957.2+(911.4-1021.2)+(10.644516+(1.394442-1.562436))+400-0-0</f>
        <v>7257.8765219999996</v>
      </c>
      <c r="X116" s="3">
        <f>6921.6+(990.1-1167.2)+(-7.060032+(-1.009902--1.190544))+66.7-0-0</f>
        <v>6804.3206099999998</v>
      </c>
      <c r="Y116" s="3">
        <f>6710.8+(947.3-996.8)+(3.422508+(0.483123-0.508368))+0-0-0</f>
        <v>6664.697263</v>
      </c>
      <c r="Z116" s="3">
        <f>7090.5+(913.8-1098.4)+(7.23231+(0.932076-1.120368))+0-0-0</f>
        <v>6912.9440179999992</v>
      </c>
      <c r="AA116" s="3">
        <f>7350.8+(626.3-821.5)+(-11.246724+(-0.958239--1.256895))+0-0-0</f>
        <v>7144.6519320000007</v>
      </c>
      <c r="AB116" s="3">
        <f>7357.5+(586.2-966.8)+(-3.752325+(-0.298962--0.493068))+0-0-0</f>
        <v>6973.3417810000001</v>
      </c>
      <c r="AC116" s="3">
        <f>7183.1+(605.5-1173.7)+(-3.663381+(-0.308805--0.598587))+0-0-0</f>
        <v>6611.526401000001</v>
      </c>
      <c r="AD116">
        <f t="shared" si="1"/>
        <v>154313.99162499997</v>
      </c>
      <c r="AE116" s="3">
        <f>7214+(598.4-762.5)+(0+(0-0))+0-0-0</f>
        <v>7049.9</v>
      </c>
    </row>
    <row r="117" spans="1:31" s="2" customFormat="1" x14ac:dyDescent="0.25">
      <c r="A117">
        <v>89</v>
      </c>
      <c r="B117">
        <v>4</v>
      </c>
      <c r="C117">
        <v>24</v>
      </c>
      <c r="D117">
        <v>6</v>
      </c>
      <c r="E117">
        <v>1</v>
      </c>
      <c r="F117" s="3">
        <f>7033.6+(579.9-1509.2)+(-3.587136+(-0.295749--0.769692))+0-0-0</f>
        <v>6101.186807</v>
      </c>
      <c r="G117" s="3">
        <f>6880.3+(619.3-1921.1)+(-3.508953+(-0.315843--0.979761))+0-0-0</f>
        <v>5575.6549649999997</v>
      </c>
      <c r="H117" s="3">
        <f>6777.4+(563.5-2080.3)+(13.825896+(1.14954-4.243812))+0-0-0</f>
        <v>5271.3316239999995</v>
      </c>
      <c r="I117" s="3">
        <f>6742.8+(373.9-2025.1)+(-6.877656+(-0.381378--2.065602))+0-0-0</f>
        <v>5086.4065680000003</v>
      </c>
      <c r="J117" s="3">
        <f>6569.5+(303.2-1854.3)+(-3.350445+(-0.154632--0.945693))+0-0-0</f>
        <v>5015.8406159999995</v>
      </c>
      <c r="K117" s="3">
        <f>6249.9+(489-1820.3)+(-6.374898+(-0.49878--1.856706))+0-0-0</f>
        <v>4913.5830279999991</v>
      </c>
      <c r="L117" s="3">
        <f>5897.7+(510.9-1633.7)+(-6.015654+(-0.521118--1.666374))+0-0-0</f>
        <v>4770.0296019999996</v>
      </c>
      <c r="M117" s="3">
        <f>6206.4+(486.9-1568.1)+(-3.165264+(-0.248319--0.799731))+0-0-0</f>
        <v>5122.5861479999994</v>
      </c>
      <c r="N117" s="3">
        <f>6740+(696.4-1717.2)+(3.4374+(0.355164-0.875772))+0-0-0</f>
        <v>5722.1167919999998</v>
      </c>
      <c r="O117" s="3">
        <f>7120.2+(727.1-1521.4)+(18.15651+(1.854105-3.87957))+0-0-0</f>
        <v>6342.0310449999997</v>
      </c>
      <c r="P117" s="3">
        <f>7234.2+(841.6-1530.3)+(3.689442+(0.429216-0.780453))+240-0-0</f>
        <v>6788.838205</v>
      </c>
      <c r="Q117" s="3">
        <f>7149.7+(914.9-1388.8)+(3.646347+(0.466599-0.708288))+360-0-0</f>
        <v>7039.2046580000006</v>
      </c>
      <c r="R117" s="3">
        <f>7123.2+(886.4-1228.8)+(-3.632832+(-0.452064--0.626688))+400-0-0</f>
        <v>7177.3417920000002</v>
      </c>
      <c r="S117" s="3">
        <f>7086.5+(904.5-1382.1)+(-7.22823+(-0.92259--1.409742))+400-0-0</f>
        <v>7002.1589219999996</v>
      </c>
      <c r="T117" s="3">
        <f>7104.3+(839.5-1473.2)+(-3.623193+(-0.428145--0.751332))+400-0-0</f>
        <v>6867.299994</v>
      </c>
      <c r="U117" s="3">
        <f>6995.5+(847.8-1478.1)+(-3.567705+(-0.432378--0.753831))+400-0-0</f>
        <v>6761.9537479999999</v>
      </c>
      <c r="V117" s="3">
        <f>6966.8+(925.9-1618.2)+(0+(0-0))+400-0-0</f>
        <v>6674.5</v>
      </c>
      <c r="W117" s="3">
        <f>6904.6+(1001.1-1595.2)+(-7.042692+(-1.021122--1.627104))+220-0-0</f>
        <v>6524.0632900000001</v>
      </c>
      <c r="X117" s="3">
        <f>6838.6+(1083.1-1589.7)+(-17.43843+(-2.761905--4.053735))+0-0-0</f>
        <v>6315.8534</v>
      </c>
      <c r="Y117" s="3">
        <f>6091.2+(909.5-765)+(-3.106512+(-0.463845--0.39015))+0-0-0</f>
        <v>6232.5197929999995</v>
      </c>
      <c r="Z117" s="3">
        <f>6816.2+(1006.4-1367.6)+(-6.952524+(-1.026528--1.394952))+0-0-0</f>
        <v>6448.4159</v>
      </c>
      <c r="AA117" s="3">
        <f>7280+(873.1-1439.2)+(-11.1384+(-1.335843--2.201976))+0-0-0</f>
        <v>6703.6277329999994</v>
      </c>
      <c r="AB117" s="3">
        <f>7301+(885.6-1629)+(-3.72351+(-0.451656--0.83079))+0-0-0</f>
        <v>6554.2556240000004</v>
      </c>
      <c r="AC117" s="3">
        <f>7207+(792.8-1727.7)+(-11.02671+(-1.212984--2.643381))+0-0-0</f>
        <v>6262.5036870000004</v>
      </c>
      <c r="AD117">
        <f t="shared" si="1"/>
        <v>147273.30394100002</v>
      </c>
      <c r="AE117" s="3">
        <f>7307+(829.2-1397.7)+(0+(0-0))+0-0-0</f>
        <v>6738.5</v>
      </c>
    </row>
    <row r="118" spans="1:31" s="2" customFormat="1" x14ac:dyDescent="0.25">
      <c r="A118">
        <v>89</v>
      </c>
      <c r="B118">
        <v>4</v>
      </c>
      <c r="C118">
        <v>25</v>
      </c>
      <c r="D118">
        <v>7</v>
      </c>
      <c r="E118">
        <v>1</v>
      </c>
      <c r="F118" s="3">
        <f>7061+(755.2-1922.4)+(10.80333+(1.155456-2.941272))+0-0-0</f>
        <v>5902.8175140000003</v>
      </c>
      <c r="G118" s="3">
        <f>6883.6+(599.1-2026.3)+(-3.510636+(-0.305541--1.033413))+0-0-0</f>
        <v>5453.617236000001</v>
      </c>
      <c r="H118" s="3">
        <f>6802.5+(385-2039.7)+(3.469275+(0.19635-1.040247))+10.7-0-0</f>
        <v>5161.1253779999997</v>
      </c>
      <c r="I118" s="3">
        <f>6665.8+(328.6-2004)+(3.399558+(0.167586-1.02204))+23-0-0</f>
        <v>5015.9451039999994</v>
      </c>
      <c r="J118" s="3">
        <f>6615.8+(300.7-2005.7)+(-10.122174+(-0.460071--3.068721))+23-0-0</f>
        <v>4926.2864760000002</v>
      </c>
      <c r="K118" s="3">
        <f>6397.1+(287.3-1931.6)+(-19.575126+(-0.879138--5.910696))+23-0-0</f>
        <v>4761.2564320000001</v>
      </c>
      <c r="L118" s="3">
        <f>6168.6+(363-2080.5)+(-15.72993+(-0.92565--5.305275))+9.6-0-0</f>
        <v>4449.3496950000008</v>
      </c>
      <c r="M118" s="3">
        <f>5976.5+(369.1-1905.9)+(0+(0-0))+0-0-0</f>
        <v>4439.7</v>
      </c>
      <c r="N118" s="3">
        <f>6014.4+(353.9-1733)+(-6.134688+(-0.360978--1.76766))+0-0-0</f>
        <v>4630.571993999999</v>
      </c>
      <c r="O118" s="3">
        <f>6034.1+(479.1-1563.8)+(-6.154782+(-0.488682--1.595076))+0-0-0</f>
        <v>4944.3516120000004</v>
      </c>
      <c r="P118" s="3">
        <f>6369.8+(694.3-1753.3)+(-3.248598+(-0.354093--0.894183))+0-0-0</f>
        <v>5308.0914920000005</v>
      </c>
      <c r="Q118" s="3">
        <f>6860.9+(841.6-2004.3)+(-6.998118+(-0.858432--2.044386))+0-0-0</f>
        <v>5692.3878359999999</v>
      </c>
      <c r="R118" s="3">
        <f>6794.3+(608.8-1737.7)+(-3.465093+(-0.310488--0.886227))+242-0-0</f>
        <v>5904.5106459999997</v>
      </c>
      <c r="S118" s="3">
        <f>6785.9+(635.7-1805.1)+(-3.460809+(-0.324207--0.920601))+242-0-0</f>
        <v>5855.635585</v>
      </c>
      <c r="T118" s="3">
        <f>6861.8+(730.5-2008.2)+(6.999036+(0.74511-2.048364))+242-0-0</f>
        <v>5831.7957820000001</v>
      </c>
      <c r="U118" s="3">
        <f>6792+(805.1-2044.7)+(-6.92784+(-0.821202--2.085594))+242-0-0</f>
        <v>5788.7365519999994</v>
      </c>
      <c r="V118" s="3">
        <f>6726+(882.8-2045.1)+(6.86052+(0.900456-2.086002))+242-0-0</f>
        <v>5811.3749739999994</v>
      </c>
      <c r="W118" s="3">
        <f>6549.7+(925.9-1834.9)+(-6.680694+(-0.944418--1.871598))+40.3-0-0</f>
        <v>5675.246486</v>
      </c>
      <c r="X118" s="3">
        <f>6192.9+(925.9-1419.5)+(-22.108653+(-3.305463--5.067615))+0-0-0</f>
        <v>5678.9534989999993</v>
      </c>
      <c r="Y118" s="3">
        <f>5901.2+(942.7-1221.8)+(6.019224+(0.961554-1.246236))+0-0-0</f>
        <v>5627.8345420000005</v>
      </c>
      <c r="Z118" s="3">
        <f>6517.7+(928.7-1534.6)+(-9.972081+(-1.420911--2.347938))+0-0-0</f>
        <v>5902.754946</v>
      </c>
      <c r="AA118" s="3">
        <f>7187.2+(805.5-1666.5)+(-7.330944+(-0.82161--1.69983))+0-0-0</f>
        <v>6319.7472760000001</v>
      </c>
      <c r="AB118" s="3">
        <f>7172.8+(710.4-1637.6)+(0+(0-0))+0-0-0</f>
        <v>6245.6</v>
      </c>
      <c r="AC118" s="3">
        <f>7145.6+(699.7-1733.1)+(-7.288512+(-0.713694--1.767762))+0-0-0</f>
        <v>6105.965556000001</v>
      </c>
      <c r="AD118">
        <f t="shared" si="1"/>
        <v>131433.656613</v>
      </c>
      <c r="AE118" s="3">
        <f>7281+(817.8-1746.2)+(0+(0-0))+0-0-0</f>
        <v>6352.6</v>
      </c>
    </row>
    <row r="119" spans="1:31" s="2" customFormat="1" x14ac:dyDescent="0.25">
      <c r="A119">
        <v>89</v>
      </c>
      <c r="B119">
        <v>4</v>
      </c>
      <c r="C119">
        <v>26</v>
      </c>
      <c r="D119">
        <v>1</v>
      </c>
      <c r="E119">
        <v>1</v>
      </c>
      <c r="F119" s="3">
        <f>7092.2+(757.9-1792.4)+(-10.851066+(-1.159587--2.742372))+0-0-0</f>
        <v>6048.4317190000002</v>
      </c>
      <c r="G119" s="3">
        <f>6794.6+(453.6-1689.8)+(-10.395738+(-0.694008--2.585394))+0-0-0</f>
        <v>5549.8956480000006</v>
      </c>
      <c r="H119" s="3">
        <f>6782.5+(420.9-1850.1)+(-3.459075+(-0.214659--0.943551))+0-0-0</f>
        <v>5350.5698170000005</v>
      </c>
      <c r="I119" s="3">
        <f>6579+(425.7-1828.8)+(-20.13174+(-1.302642--5.596128))+0-0-0</f>
        <v>5160.0617459999994</v>
      </c>
      <c r="J119" s="3">
        <f>6450.4+(354.3-1745.5)+(-6.579408+(-0.361386--1.78041))+0-0-0</f>
        <v>5054.039616</v>
      </c>
      <c r="K119" s="3">
        <f>5990.9+(454.4-1478.9)+(-12.221436+(-0.926976--3.016956))+0-0-0</f>
        <v>4956.2685439999996</v>
      </c>
      <c r="L119" s="3">
        <f>5672.2+(568.7-1377.9)+(-14.46411+(-1.450185--3.513645))+0-0-0</f>
        <v>4850.5993500000004</v>
      </c>
      <c r="M119" s="3">
        <f>5984.5+(634.5-1272.5)+(3.052095+(0.323595-0.648975))+0-0-0</f>
        <v>5349.2267149999998</v>
      </c>
      <c r="N119" s="3">
        <f>6339+(1119.4-1276.8)+(0+(0-0))+0-0-0</f>
        <v>6181.6</v>
      </c>
      <c r="O119" s="3">
        <f>6996.4+(1392.3-1562.4)+(3.568164+(0.710073-0.796824))+0-0-0</f>
        <v>6829.7814129999997</v>
      </c>
      <c r="P119" s="3">
        <f>7274.5+(1405.5-1519.4)+(3.709995+(0.716805-0.774894))+0-0-0</f>
        <v>7164.2519060000004</v>
      </c>
      <c r="Q119" s="3">
        <f>7312.4+(1426-1292.7)+(0+(0-0))+0-0-0</f>
        <v>7445.7</v>
      </c>
      <c r="R119" s="3">
        <f>7419.5+(1366.8-1240.3)+(0+(0-0))+0-0-0</f>
        <v>7546</v>
      </c>
      <c r="S119" s="3">
        <f>7325.1+(1326.4-1150.3)+(0+(0-0))+0-0-0</f>
        <v>7501.2000000000007</v>
      </c>
      <c r="T119" s="3">
        <f>7349.3+(1301.7-1099.8)+(3.748143+(0.663867-0.560898))+0-0-0</f>
        <v>7555.051112000001</v>
      </c>
      <c r="U119" s="3">
        <f>7255.9+(1378.3-1042.9)+(7.401018+(1.405866-1.063758))+0-0-0</f>
        <v>7599.0431259999996</v>
      </c>
      <c r="V119" s="3">
        <f>7167.3+(1431.6-1067.1)+(-3.655323+(-0.730116--0.544221))+0-0-0</f>
        <v>7527.9587820000006</v>
      </c>
      <c r="W119" s="3">
        <f>7120.2+(1410-1096.3)+(0+(0-0))+0-0-0</f>
        <v>7433.9</v>
      </c>
      <c r="X119" s="3">
        <f>7035.3+(1447.8-1270.2)+(-10.764009+(-2.215134--1.943406))+0-0-0</f>
        <v>7201.8642629999995</v>
      </c>
      <c r="Y119" s="3">
        <f>6674.6+(1328.3-1094.4)+(0+(0-0))+0-0-0</f>
        <v>6908.5</v>
      </c>
      <c r="Z119" s="3">
        <f>7068.7+(1227.8-1149.8)+(0+(0-0))+0-0-0</f>
        <v>7146.7</v>
      </c>
      <c r="AA119" s="3">
        <f>7474.6+(1131.6-1219.1)+(-11.436138+(-1.731348--1.865223))+0-0-0</f>
        <v>7375.7977370000008</v>
      </c>
      <c r="AB119" s="3">
        <f>7497.5+(1134.6-1441.7)+(-15.2949+(-2.314584--2.941068))+0-0-0</f>
        <v>7175.7315839999992</v>
      </c>
      <c r="AC119" s="3">
        <f>7307.8+(1176.3-1612.7)+(-14.907912+(-2.399652--3.289908))+0-0-0</f>
        <v>6857.3823439999996</v>
      </c>
      <c r="AD119">
        <f t="shared" si="1"/>
        <v>157769.55542199998</v>
      </c>
      <c r="AE119" s="3">
        <f>7489+(1001.3-1411.2)+(0+(0-0))+0-0-0</f>
        <v>7079.1</v>
      </c>
    </row>
    <row r="120" spans="1:31" s="2" customFormat="1" x14ac:dyDescent="0.25">
      <c r="A120">
        <v>89</v>
      </c>
      <c r="B120">
        <v>4</v>
      </c>
      <c r="C120">
        <v>27</v>
      </c>
      <c r="D120">
        <v>2</v>
      </c>
      <c r="E120">
        <v>1</v>
      </c>
      <c r="F120" s="3">
        <f>7251.3+(1199.6-2089.6)+(-14.792652+(-2.447184--4.262784))+0-0-0</f>
        <v>6348.322948</v>
      </c>
      <c r="G120" s="3">
        <f>6673+(1104.5-1959.7)+(-3.40323+(-0.563295--0.999447))+0-0-0</f>
        <v>5814.8329220000005</v>
      </c>
      <c r="H120" s="3">
        <f>6434.1+(891.7-1826.8)+(0+(0-0))+0-0-0</f>
        <v>5499</v>
      </c>
      <c r="I120" s="3">
        <f>6317.8+(769.8-1729.1)+(-9.666234+(-1.177794--2.645523))+0-0-0</f>
        <v>5350.3014949999997</v>
      </c>
      <c r="J120" s="3">
        <f>6251+(634.3-1615.7)+(-6.37602+(-0.646986--1.648014))+0-0-0</f>
        <v>5264.2250080000003</v>
      </c>
      <c r="K120" s="3">
        <f>6003.9+(662.6-1486.6)+(-15.309945+(-1.68963--3.79083))+0-0-0</f>
        <v>5166.6912549999997</v>
      </c>
      <c r="L120" s="3">
        <f>5915.4+(785.7-1628.5)+(-12.067416+(-1.602828--3.32214))+0-0-0</f>
        <v>5062.2518959999998</v>
      </c>
      <c r="M120" s="3">
        <f>6222.4+(709.6-1449.8)+(-3.173424+(-0.361896--0.739398))+0-0-0</f>
        <v>5479.4040779999996</v>
      </c>
      <c r="N120" s="3">
        <f>6885.3+(841.6-1461.9)+(-7.023006+(-0.858432--1.491138))+0-0-0</f>
        <v>6258.6097</v>
      </c>
      <c r="O120" s="3">
        <f>7147.2+(1121.7-1420.5)+(3.645072+(0.572067-0.724455))+0-0-0</f>
        <v>6851.8926839999995</v>
      </c>
      <c r="P120" s="3">
        <f>7196.8+(1460.3-1504.9)+(3.670368+(0.744753-0.767499))+33.3-0-0</f>
        <v>7189.1476220000004</v>
      </c>
      <c r="Q120" s="3">
        <f>7132.1+(1474.4-1263.8)+(7.274742+(1.503888-1.289076))+100-0-0</f>
        <v>7450.1895540000005</v>
      </c>
      <c r="R120" s="3">
        <f>7140.4+(1319-994.5)+(3.641604+(0.67269-0.507195))+100-0-0</f>
        <v>7568.7070989999993</v>
      </c>
      <c r="S120" s="3">
        <f>7110.6+(1342.6-1038.5)+(3.626406+(0.684726-0.529635))+100-0-0</f>
        <v>7518.4814970000007</v>
      </c>
      <c r="T120" s="3">
        <f>6992+(1387.2-876.5)+(7.13184+(1.414944-0.89403))+100-0-0</f>
        <v>7610.3527539999995</v>
      </c>
      <c r="U120" s="3">
        <f>6871.8+(1460.4-841.8)+(7.009236+(1.489608-0.858636))+100-0-0</f>
        <v>7598.0402080000003</v>
      </c>
      <c r="V120" s="3">
        <f>6812+(1514.2-864.7)+(3.47412+(0.772242-0.440997))+100-0-0</f>
        <v>7565.3053650000002</v>
      </c>
      <c r="W120" s="3">
        <f>6752.1+(1509.3-835.2)+(0+(0-0))+16.7-0-0</f>
        <v>7442.9000000000005</v>
      </c>
      <c r="X120" s="3">
        <f>6781.9+(1523.8-1062.7)+(-10.376307+(-2.331414--1.625931))+0-0-0</f>
        <v>7231.9182099999998</v>
      </c>
      <c r="Y120" s="3">
        <f>6629.8+(1357.3-965.4)+(-3.381198+(-0.692223--0.492354))+0-0-0</f>
        <v>7018.1189329999997</v>
      </c>
      <c r="Z120" s="3">
        <f>7161.6+(1456.1-1306.6)+(3.652416+(0.742611-0.666366))+0-0-0</f>
        <v>7314.8286610000005</v>
      </c>
      <c r="AA120" s="3">
        <f>7434+(1247.7-1132.1)+(0+(0-0))+0-0-0</f>
        <v>7549.6</v>
      </c>
      <c r="AB120" s="3">
        <f>7434.4+(1204.1-1290.1)+(-15.166176+(-2.456364--2.631804))+0-0-0</f>
        <v>7333.4092639999999</v>
      </c>
      <c r="AC120" s="3">
        <f>7427.8+(1169.5-1560.8)+(-7.576356+(-1.19289--1.592016))+0-0-0</f>
        <v>7029.3227699999998</v>
      </c>
      <c r="AD120">
        <f t="shared" si="1"/>
        <v>160515.85392299999</v>
      </c>
      <c r="AE120" s="3">
        <f>7414+(1117.7-1211.4)+(0+(0-0))+0-0-0</f>
        <v>7320.3</v>
      </c>
    </row>
    <row r="121" spans="1:31" s="2" customFormat="1" x14ac:dyDescent="0.25">
      <c r="A121">
        <v>89</v>
      </c>
      <c r="B121">
        <v>4</v>
      </c>
      <c r="C121">
        <v>28</v>
      </c>
      <c r="D121">
        <v>3</v>
      </c>
      <c r="E121">
        <v>1</v>
      </c>
      <c r="F121" s="3">
        <f>7298.8+(1253.5-2028)+(-11.167164+(-1.917855--3.10284))+0-0-0</f>
        <v>6514.3178210000005</v>
      </c>
      <c r="G121" s="3">
        <f>7153.2+(1115.7-2230.6)+(-7.296264+(-1.138014--2.275212))+0-0-0</f>
        <v>6032.140934</v>
      </c>
      <c r="H121" s="3">
        <f>6929.3+(775.2-1947.6)+(-14.135772+(-1.581408--3.973104))+0-0-0</f>
        <v>5745.1559240000006</v>
      </c>
      <c r="I121" s="3">
        <f>6679.6+(675.9-1769.2)+(-10.219788+(-1.034127--2.706876))+0-0-0</f>
        <v>5577.7529610000001</v>
      </c>
      <c r="J121" s="3">
        <f>6484+(618.8-1671.4)+(-6.61368+(-0.631176--1.704828))+0-0-0</f>
        <v>5425.8599719999993</v>
      </c>
      <c r="K121" s="3">
        <f>6101.7+(697.6-1530.4)+(-12.447468+(-1.423104--3.122016))+0-0-0</f>
        <v>5258.1514440000001</v>
      </c>
      <c r="L121" s="3">
        <f>5881.2+(723.4-1464.4)+(-11.997648+(-1.475736--2.987376))+0-0-0</f>
        <v>5129.713992</v>
      </c>
      <c r="M121" s="3">
        <f>6128+(835.2-1385.4)+(-9.37584+(-1.277856--2.119662))+0-0-0</f>
        <v>5569.2659659999999</v>
      </c>
      <c r="N121" s="3">
        <f>6546+(1215.3-1479.3)+(3.33846+(0.619803-0.754443))+0-0-0</f>
        <v>6285.2038199999997</v>
      </c>
      <c r="O121" s="3">
        <f>6907.9+(1294.1-1257.7)+(3.523029+(0.659991-0.641427))+0-0-0</f>
        <v>6947.8415929999992</v>
      </c>
      <c r="P121" s="3">
        <f>7258.7+(1280.6-1213.5)+(0+(0-0))+0-0-0</f>
        <v>7325.7999999999993</v>
      </c>
      <c r="Q121" s="3">
        <f>7250.2+(1147.1-788.7)+(3.697602+(0.585021-0.402237))+0-0-0</f>
        <v>7612.4803859999993</v>
      </c>
      <c r="R121" s="3">
        <f>7137.2+(1048.3-498.5)+(-3.639972+(-0.534633--0.254235))+0-0-0</f>
        <v>7683.0796300000002</v>
      </c>
      <c r="S121" s="3">
        <f>7069.6+(954.1-423.9)+(-3.605496+(-0.486591--0.216189))+0-0-0</f>
        <v>7595.9241019999999</v>
      </c>
      <c r="T121" s="3">
        <f>7053.4+(931-325.9)+(7.194468+(0.94962-0.332418))+0-0-0</f>
        <v>7666.31167</v>
      </c>
      <c r="U121" s="3">
        <f>6948.8+(928.1-250.7)+(3.543888+(0.473331-0.127857))+0-0-0</f>
        <v>7630.0893620000006</v>
      </c>
      <c r="V121" s="3">
        <f>6813+(1026.6-252.9)+(-6.94926+(-1.047132--0.257958))+0-0-0</f>
        <v>7578.9615659999999</v>
      </c>
      <c r="W121" s="3">
        <f>6761+(1152-416.1)+(-13.79244+(-2.35008--0.848844))+0-0-0</f>
        <v>7481.6063239999994</v>
      </c>
      <c r="X121" s="3">
        <f>6767.2+(1266.2-775.2)+(-13.805088+(-2.583048--1.581408))+0-0-0</f>
        <v>7243.3932720000003</v>
      </c>
      <c r="Y121" s="3">
        <f>6593.2+(1274-912.7)+(0+(0-0))+0-0-0</f>
        <v>6954.5</v>
      </c>
      <c r="Z121" s="3">
        <f>7004.4+(1170-912.7)+(3.572244+(0.5967-0.465477))+0-0-0</f>
        <v>7265.4034670000001</v>
      </c>
      <c r="AA121" s="3">
        <f>7361.9+(923.4-745.9)+(-7.509138+(-0.941868--0.760818))+0-0-0</f>
        <v>7531.7098120000001</v>
      </c>
      <c r="AB121" s="3">
        <f>7422.6+(949.3-1059.1)+(-3.785526+(-0.484143--0.540141))+0-0-0</f>
        <v>7309.0704720000003</v>
      </c>
      <c r="AC121" s="3">
        <f>7417.4+(973-1418.2)+(0+(0-0))+0-0-0</f>
        <v>6972.2</v>
      </c>
      <c r="AD121">
        <f t="shared" si="1"/>
        <v>162335.93448999996</v>
      </c>
      <c r="AE121" s="3">
        <f>7305+(794.3-800.1)+(0+(0-0))+0-0-0</f>
        <v>7299.2</v>
      </c>
    </row>
    <row r="122" spans="1:31" s="2" customFormat="1" x14ac:dyDescent="0.25">
      <c r="A122">
        <v>89</v>
      </c>
      <c r="B122">
        <v>4</v>
      </c>
      <c r="C122">
        <v>29</v>
      </c>
      <c r="D122">
        <v>4</v>
      </c>
      <c r="E122">
        <v>1</v>
      </c>
      <c r="F122" s="3">
        <f>7282.3+(883.3-2034.2)+(-14.855892+(-1.801932--4.149768))+0-0-0</f>
        <v>6118.891944</v>
      </c>
      <c r="G122" s="3">
        <f>6876+(697.6-1932)+(-21.04056+(-2.134656--5.91192))+0-0-0</f>
        <v>5624.3367040000003</v>
      </c>
      <c r="H122" s="3">
        <f>6530.1+(457.9-1651.1)+(-9.991053+(-0.700587--2.526183))+0-0-0</f>
        <v>5328.7345430000005</v>
      </c>
      <c r="I122" s="3">
        <f>6330.5+(429.9-1605.1)+(-9.685665+(-0.657747--2.455803))+0-0-0</f>
        <v>5147.4123909999998</v>
      </c>
      <c r="J122" s="3">
        <f>6077.2+(553.2-1574.3)+(6.198744+(0.564264-1.605786))+0-0-0</f>
        <v>5061.2572220000002</v>
      </c>
      <c r="K122" s="3">
        <f>5961.7+(653.7-1668.4)+(-6.080934+(-0.666774--1.701768))+0-0-0</f>
        <v>4941.95406</v>
      </c>
      <c r="L122" s="3">
        <f>5879.1+(661.7-1650.6)+(-17.990046+(-2.024802--5.050836))+0-0-0</f>
        <v>4875.2359880000004</v>
      </c>
      <c r="M122" s="3">
        <f>6262.5+(765.6-1684.3)+(3.193875+(0.390456-0.858993))+0-0-0</f>
        <v>5346.5253380000004</v>
      </c>
      <c r="N122" s="3">
        <f>6767.5+(940.5-1698.7)+(3.451425+(0.479655-0.866337))+0-0-0</f>
        <v>6012.3647430000001</v>
      </c>
      <c r="O122" s="3">
        <f>7222.5+(1155.3-1705.5)+(7.36695+(1.178406-1.73961))+0-0-0</f>
        <v>6679.1057460000002</v>
      </c>
      <c r="P122" s="3">
        <f>7308.5+(1121-1250.3)+(7.45467+(1.14342-1.275306))+0-0-0</f>
        <v>7186.5227839999998</v>
      </c>
      <c r="Q122" s="3">
        <f>7286.3+(1083.1-909)+(3.716013+(0.552381-0.46359))+0-0-0</f>
        <v>7464.204804</v>
      </c>
      <c r="R122" s="3">
        <f>7350.2+(969.6-734.3)+(11.245806+(1.483488-1.123479))+0-0-0</f>
        <v>7597.1058149999999</v>
      </c>
      <c r="S122" s="3">
        <f>7307.8+(810.8-587.9)+(3.726978+(0.413508-0.299829))+0-0-0</f>
        <v>7534.5406569999996</v>
      </c>
      <c r="T122" s="3">
        <f>7282.1+(740-412.5)+(14.855484+(1.5096-0.8415))+0-0-0</f>
        <v>7625.1235839999999</v>
      </c>
      <c r="U122" s="3">
        <f>7182.6+(805.9-376.8)+(3.663126+(0.411009-0.192168))+0-0-0</f>
        <v>7615.581967000001</v>
      </c>
      <c r="V122" s="3">
        <f>7105.9+(852.3-412.4)+(-3.624009+(-0.434673--0.210324))+0-0-0</f>
        <v>7541.9516419999991</v>
      </c>
      <c r="W122" s="3">
        <f>7031+(966.8-597.2)+(-10.75743+(-1.479204--0.913716))+0-0-0</f>
        <v>7389.2770820000005</v>
      </c>
      <c r="X122" s="3">
        <f>7005.1+(1165.9-1056.5)+(-10.717803+(-1.783827--1.616445))+0-0-0</f>
        <v>7103.6148149999999</v>
      </c>
      <c r="Y122" s="3">
        <f>6635.8+(1351.2-1123.9)+(-10.152774+(-2.067336--1.719567))+0-0-0</f>
        <v>6852.5994570000003</v>
      </c>
      <c r="Z122" s="3">
        <f>7041.5+(1210.2-1133)+(0+(0-0))+0-0-0</f>
        <v>7118.7</v>
      </c>
      <c r="AA122" s="3">
        <f>7270+(826.1-820.9)+(-3.7077+(-0.421311--0.418659))+0-0-0</f>
        <v>7271.4896479999998</v>
      </c>
      <c r="AB122" s="3">
        <f>7294.2+(808.2-1106)+(-7.440084+(-0.824364--1.12812))+0-0-0</f>
        <v>6989.263672</v>
      </c>
      <c r="AC122" s="3">
        <f>7233.3+(882.6-1496.2)+(7.377966+(0.900252-1.526124))+0-0-0</f>
        <v>6626.4520940000002</v>
      </c>
      <c r="AD122">
        <f t="shared" si="1"/>
        <v>157052.24670000002</v>
      </c>
      <c r="AE122" s="3">
        <f>7233+(800.5-742)+(0+(0-0))+0-0-0</f>
        <v>7291.5</v>
      </c>
    </row>
    <row r="123" spans="1:31" s="2" customFormat="1" x14ac:dyDescent="0.25">
      <c r="A123">
        <v>89</v>
      </c>
      <c r="B123">
        <v>4</v>
      </c>
      <c r="C123">
        <v>30</v>
      </c>
      <c r="D123">
        <v>5</v>
      </c>
      <c r="E123">
        <v>1</v>
      </c>
      <c r="F123" s="3">
        <f>7196.7+(877.3-1994.2)+(0+(0-0))+0-0-0</f>
        <v>6079.7999999999993</v>
      </c>
      <c r="G123" s="3">
        <f>7035.7+(608.6-2139.7)+(-3.588207+(-0.310386--1.091247))+0-0-0</f>
        <v>5501.7926540000008</v>
      </c>
      <c r="H123" s="3">
        <f>7033.9+(253.4-2035.2)+(3.587289+(0.129234-1.037952))+0-0-0</f>
        <v>5254.7785709999998</v>
      </c>
      <c r="I123" s="3">
        <f>6693.5+(230.8-1829.2)+(-3.413685+(-0.117708--0.932892))+0-0-0</f>
        <v>5092.501499</v>
      </c>
      <c r="J123" s="3">
        <f>6426.9+(292.2-1708.1)+(-6.555438+(-0.298044--1.742262))+0-0-0</f>
        <v>5005.8887800000002</v>
      </c>
      <c r="K123" s="3">
        <f>6302.6+(425.4-1762.6)+(-3.214326+(-0.216954--0.898926))+0-0-0</f>
        <v>4962.8676460000006</v>
      </c>
      <c r="L123" s="3">
        <f>5967.7+(475-1587.1)+(-3.043527+(-0.24225--0.809421))+0-0-0</f>
        <v>4853.1236440000002</v>
      </c>
      <c r="M123" s="3">
        <f>6260.7+(500.4-1505.1)+(-3.192957+(-0.255204--0.767601))+0-0-0</f>
        <v>5253.3194400000002</v>
      </c>
      <c r="N123" s="3">
        <f>6818.2+(821.8-1593.4)+(-3.477282+(-0.419118--0.812634))+0-0-0</f>
        <v>6043.5162339999997</v>
      </c>
      <c r="O123" s="3">
        <f>7086.6+(1063.7-1535.5)+(0+(0-0))+0-0-0</f>
        <v>6614.8</v>
      </c>
      <c r="P123" s="3">
        <f>7409.3+(1235.2-1548.1)+(-3.778743+(-0.629952--0.789531))+0-0-0</f>
        <v>7092.7808360000008</v>
      </c>
      <c r="Q123" s="3">
        <f>7382+(1157.5-1131.1)+(3.76482+(0.590325-0.576861))+0-0-0</f>
        <v>7412.1782839999996</v>
      </c>
      <c r="R123" s="3">
        <f>7333.2+(1033.3-929.7)+(-3.739932+(-0.526983--0.474147))+50-0-0</f>
        <v>7483.007231999999</v>
      </c>
      <c r="S123" s="3">
        <f>7265+(921.5-877.6)+(-3.70515+(-0.469965--0.447576))+100-0-0</f>
        <v>7405.1724609999992</v>
      </c>
      <c r="T123" s="3">
        <f>7310.1+(851.9-745.4)+(11.184453+(1.303407-1.140462))+100-0-0</f>
        <v>7527.9473980000002</v>
      </c>
      <c r="U123" s="3">
        <f>7156.8+(776.8-567)+(0+(0-0))+100-0-0</f>
        <v>7466.6</v>
      </c>
      <c r="V123" s="3">
        <f>7070.8+(777.8-574.2)+(-3.606108+(-0.396678--0.292842))+100-0-0</f>
        <v>7370.6900559999995</v>
      </c>
      <c r="W123" s="3">
        <f>7059.2+(863-769.8)+(-10.800576+(-1.32039--1.177794))+66.7-0-0</f>
        <v>7208.1568279999992</v>
      </c>
      <c r="X123" s="3">
        <f>7026+(1004.9-1060.7)+(-10.74978+(-1.537497--1.622871))+0-0-0</f>
        <v>6959.5355939999999</v>
      </c>
      <c r="Y123" s="3">
        <f>6632.5+(1154.5-1117.1)+(3.382575+(0.588795-0.569721))+0-0-0</f>
        <v>6673.301649</v>
      </c>
      <c r="Z123" s="3">
        <f>7057.8+(1128.7-1243.8)+(7.198956+(1.151274-1.268676))+0-0-0</f>
        <v>6949.7815540000011</v>
      </c>
      <c r="AA123" s="3">
        <f>7313+(822-964.6)+(-3.72963+(-0.41922--0.491946))+0-0-0</f>
        <v>7166.7430959999992</v>
      </c>
      <c r="AB123" s="3">
        <f>7396.5+(749.4-1217.4)+(-3.772215+(-0.382194--0.620874))+0-0-0</f>
        <v>6924.9664650000004</v>
      </c>
      <c r="AC123" s="3">
        <f>7347.5+(740.3-1457.6)+(-7.49445+(-0.755106--1.486752))+0-0-0</f>
        <v>6623.4371959999999</v>
      </c>
      <c r="AD123">
        <f t="shared" si="1"/>
        <v>154926.68711700002</v>
      </c>
      <c r="AE123" s="3">
        <f>7290+(794.6-863.8)+(0+(0-0))+0-0-0</f>
        <v>7220.8</v>
      </c>
    </row>
    <row r="124" spans="1:31" s="2" customFormat="1" x14ac:dyDescent="0.25">
      <c r="A124">
        <v>89</v>
      </c>
      <c r="B124">
        <v>4</v>
      </c>
      <c r="C124">
        <v>31</v>
      </c>
      <c r="D124">
        <v>6</v>
      </c>
      <c r="E124">
        <v>1</v>
      </c>
      <c r="F124" s="3">
        <f>7307.8+(805.4-1972)+(-7.453956+(-0.821508--2.01144))+0-0-0</f>
        <v>6134.9359760000007</v>
      </c>
      <c r="G124" s="3">
        <f>6950.6+(789.8-2116.4)+(7.089612+(0.805596-2.158728))+0-0-0</f>
        <v>5629.7364799999996</v>
      </c>
      <c r="H124" s="3">
        <f>6673.8+(716.3-2071.7)+(-13.614552+(-1.461252--4.226268))+0-0-0</f>
        <v>5307.5504640000008</v>
      </c>
      <c r="I124" s="3">
        <f>6496.8+(590.7-1931.7)+(-16.56684+(-1.506285--4.925835))+0-0-0</f>
        <v>5142.6527100000003</v>
      </c>
      <c r="J124" s="3">
        <f>6131.1+(545.7-1624.9)+(3.126861+(0.278307-0.828699))+0-0-0</f>
        <v>5054.4764690000002</v>
      </c>
      <c r="K124" s="3">
        <f>5956.9+(619.9-1611.3)+(-15.190095+(-1.580745--4.108815))+0-0-0</f>
        <v>4952.8379750000004</v>
      </c>
      <c r="L124" s="3">
        <f>5810.7+(800.1-1851.4)+(-5.926914+(-0.816102--1.888428))+0-0-0</f>
        <v>4754.5454119999995</v>
      </c>
      <c r="M124" s="3">
        <f>6097.5+(649.9-1656)+(-3.109725+(-0.331449--0.84456))+0-0-0</f>
        <v>5088.8033859999996</v>
      </c>
      <c r="N124" s="3">
        <f>6572.3+(705.8-1528.1)+(3.351873+(0.359958-0.779331))+0-0-0</f>
        <v>5752.9324999999999</v>
      </c>
      <c r="O124" s="3">
        <f>7002.4+(1044.9-1692.8)+(0+(0-0))+0-0-0</f>
        <v>6354.5</v>
      </c>
      <c r="P124" s="3">
        <f>7070.3+(1057.8-1340.3)+(0+(0-0))+0-0-0</f>
        <v>6787.8</v>
      </c>
      <c r="Q124" s="3">
        <f>7081.7+(1029.6-1053.2)+(0+(0-0))+0-0-0</f>
        <v>7058.0999999999995</v>
      </c>
      <c r="R124" s="3">
        <f>7101+(908.3-861.3)+(3.62151+(0.463233-0.439263))+0-0-0</f>
        <v>7151.6454800000001</v>
      </c>
      <c r="S124" s="3">
        <f>7179+(796-998.1)+(3.66129+(0.40596-0.509031))+0-0-0</f>
        <v>6980.4582189999992</v>
      </c>
      <c r="T124" s="3">
        <f>7197.7+(702.9-1012.8)+(7.341654+(0.716958-1.033056))+0-0-0</f>
        <v>6894.8255559999998</v>
      </c>
      <c r="U124" s="3">
        <f>7122.9+(695.4-1054.9)+(0+(0-0))+0-0-0</f>
        <v>6763.4</v>
      </c>
      <c r="V124" s="3">
        <f>7051.4+(745.9-1128.2)+(0+(0-0))+0-0-0</f>
        <v>6669.0999999999995</v>
      </c>
      <c r="W124" s="3">
        <f>7027.7+(925.4-1383.1)+(-7.168254+(-0.943908--1.410762))+0-0-0</f>
        <v>6563.2986000000001</v>
      </c>
      <c r="X124" s="3">
        <f>6894.4+(1096.7-1589.2)+(-21.096864+(-3.355902--4.862952))+0-0-0</f>
        <v>6382.3101859999997</v>
      </c>
      <c r="Y124" s="3">
        <f>6525.7+(1237.8-1528.2)+(-3.328107+(-0.631278--0.779382))+0-0-0</f>
        <v>6232.1199969999989</v>
      </c>
      <c r="Z124" s="3">
        <f>6890.9+(1122.7-1492.7)+(-14.057436+(-2.290308--3.045108))+0-0-0</f>
        <v>6507.5973639999993</v>
      </c>
      <c r="AA124" s="3">
        <f>7399.6+(833.7-1497.2)+(-15.095184+(-1.700748--3.054288))+0-0-0</f>
        <v>6722.3583560000006</v>
      </c>
      <c r="AB124" s="3">
        <f>7304.7+(759.4-1506.4)+(0+(0-0))+0-0-0</f>
        <v>6557.7</v>
      </c>
      <c r="AC124" s="3">
        <f>7172+(660.8-1556.5)+(-7.31544+(-0.674016--1.58763))+0-0-0</f>
        <v>6269.8981739999999</v>
      </c>
      <c r="AD124">
        <f t="shared" si="1"/>
        <v>147713.58330400003</v>
      </c>
      <c r="AE124" s="3">
        <f>7425+(798.1-1385.4)+(0+(0-0))+0-0-0</f>
        <v>6837.7</v>
      </c>
    </row>
    <row r="125" spans="1:31" s="2" customFormat="1" x14ac:dyDescent="0.25">
      <c r="A125">
        <v>89</v>
      </c>
      <c r="B125">
        <v>5</v>
      </c>
      <c r="C125">
        <v>1</v>
      </c>
      <c r="D125">
        <v>7</v>
      </c>
      <c r="E125">
        <v>1</v>
      </c>
      <c r="F125" s="3">
        <f>7120.5+(719.3-1964.4)+(-3.631455+(-0.366843--1.001844))+0-0-0</f>
        <v>5872.4035459999996</v>
      </c>
      <c r="G125" s="3">
        <f>6873.1+(672.1-2069.6)+(-21.031686+(-2.056626--6.332976))+0-0-0</f>
        <v>5458.8446640000002</v>
      </c>
      <c r="H125" s="3">
        <f>6732.2+(563-2131)+(-17.16711+(-1.43565--5.43405))+0-0-0</f>
        <v>5151.0312899999999</v>
      </c>
      <c r="I125" s="3">
        <f>6419.5+(533.9-2009.4)+(3.273945+(0.272289-1.024794))+0-0-0</f>
        <v>4946.5214400000004</v>
      </c>
      <c r="J125" s="3">
        <f>6265.6+(353.6-1850.1)+(-3.195456+(-0.180336--0.943551))+0-0-0</f>
        <v>4766.6677589999999</v>
      </c>
      <c r="K125" s="3">
        <f>6019.7+(393.3-1789.2)+(-6.140094+(-0.401166--1.824984))+0-0-0</f>
        <v>4619.0837239999992</v>
      </c>
      <c r="L125" s="3">
        <f>5795.7+(574.1-2042.6)+(-2.955807+(-0.292791--1.041726))+0-0-0</f>
        <v>4324.9931280000001</v>
      </c>
      <c r="M125" s="3">
        <f>5823.5+(600.4-2135.5)+(-2.969985+(-0.306204--1.089105))+0-0-0</f>
        <v>4286.2129159999995</v>
      </c>
      <c r="N125" s="3">
        <f>5892.1+(632.2-2046.4)+(0+(0-0))+0-0-0</f>
        <v>4477.9000000000005</v>
      </c>
      <c r="O125" s="3">
        <f>6257.2+(657.8-2127)+(3.191172+(0.335478-1.08477))+0-0-0</f>
        <v>4790.4418800000003</v>
      </c>
      <c r="P125" s="3">
        <f>6408+(675.1-1854.2)+(-6.53616+(-0.688602--1.891284))+0-0-0</f>
        <v>5223.5665220000001</v>
      </c>
      <c r="Q125" s="3">
        <f>6707.2+(1054.5-2226.3)+(3.420672+(0.537795-1.135413))+0-0-0</f>
        <v>5538.223054</v>
      </c>
      <c r="R125" s="3">
        <f>6806.5+(1193.8-2319)+(-6.94263+(-1.217676--2.36538))+0-0-0</f>
        <v>5675.5050740000006</v>
      </c>
      <c r="S125" s="3">
        <f>6906.2+(1096.5-2278)+(-3.522162+(-0.559215--1.16178))+0-0-0</f>
        <v>5721.7804029999998</v>
      </c>
      <c r="T125" s="3">
        <f>7010.8+(1002.2-2316.6)+(-7.151016+(-1.022244--2.362932))+0-0-0</f>
        <v>5690.589672000001</v>
      </c>
      <c r="U125" s="3">
        <f>6984.1+(1054.5-2411.6)+(0+(0-0))+0-0-0</f>
        <v>5627</v>
      </c>
      <c r="V125" s="3">
        <f>6906.4+(1065.5-2366.8)+(0+(0-0))+0-0-0</f>
        <v>5605.0999999999995</v>
      </c>
      <c r="W125" s="3">
        <f>6835.1+(1043.7-2274.7)+(-13.943604+(-2.129148--4.640388))+0-0-0</f>
        <v>5592.6676360000001</v>
      </c>
      <c r="X125" s="3">
        <f>6384.7+(1124.6-1947.6)+(-6.512394+(-1.147092--1.986552))+0-0-0</f>
        <v>5556.0270659999996</v>
      </c>
      <c r="Y125" s="3">
        <f>6021.5+(1250-1773.3)+(0+(0-0))+0-0-0</f>
        <v>5498.2</v>
      </c>
      <c r="Z125" s="3">
        <f>6399.2+(1270.9-1811.6)+(-6.527184+(-1.296318--1.847832))+0-0-0</f>
        <v>5852.5243300000002</v>
      </c>
      <c r="AA125" s="3">
        <f>7215.3+(1065.9-2090.7)+(0+(0-0))+0-0-0</f>
        <v>6190.5</v>
      </c>
      <c r="AB125" s="3">
        <f>7280.8+(947.1-2133.6)+(-7.426416+(-0.966042--2.176272))+0-0-0</f>
        <v>6088.0838140000005</v>
      </c>
      <c r="AC125" s="3">
        <f>7243.4+(927-2253.7)+(-3.694134+(-0.47277--1.149387))+0-0-0</f>
        <v>5913.6824829999996</v>
      </c>
      <c r="AD125">
        <f t="shared" si="1"/>
        <v>128467.550401</v>
      </c>
      <c r="AE125" s="3">
        <f>7178+(1044.9-2075.4)+(0+(0-0))+0-0-0</f>
        <v>6147.5</v>
      </c>
    </row>
    <row r="126" spans="1:31" s="2" customFormat="1" x14ac:dyDescent="0.25">
      <c r="A126">
        <v>89</v>
      </c>
      <c r="B126">
        <v>5</v>
      </c>
      <c r="C126">
        <v>2</v>
      </c>
      <c r="D126">
        <v>1</v>
      </c>
      <c r="E126">
        <v>1</v>
      </c>
      <c r="F126" s="3">
        <f>7023.6+(704.3-2205.7)+(-3.582036+(-0.359193--1.124907))+0-0-0</f>
        <v>5519.3836780000011</v>
      </c>
      <c r="G126" s="3">
        <f>6791.5+(520.8-2202.3)+(3.463665+(0.265608-1.123173))+0-0-0</f>
        <v>5112.6061</v>
      </c>
      <c r="H126" s="3">
        <f>6607.7+(382.6-2169.4)+(3.369927+(0.195126-1.106394))+0-0-0</f>
        <v>4823.3586589999995</v>
      </c>
      <c r="I126" s="3">
        <f>6261.5+(441.6-2045.8)+(-6.38673+(-0.450432--2.086716))+0-0-0</f>
        <v>4652.5495540000002</v>
      </c>
      <c r="J126" s="3">
        <f>5988.5+(439-1836.3)+(0+(0-0))+0-0-0</f>
        <v>4591.2</v>
      </c>
      <c r="K126" s="3">
        <f>5959+(470.7-1884.4)+(-6.07818+(-0.480114--1.922088))+0-0-0</f>
        <v>4540.6637940000001</v>
      </c>
      <c r="L126" s="3">
        <f>5911+(477.2-1956.1)+(0+(0-0))+0-0-0</f>
        <v>4432.1000000000004</v>
      </c>
      <c r="M126" s="3">
        <f>6057.8+(484.1-1695.7)+(6.178956+(0.493782-1.729614))+0-0-0</f>
        <v>4851.1431240000011</v>
      </c>
      <c r="N126" s="3">
        <f>6454.1+(582.4-1470.9)+(-6.583182+(-0.594048--1.500318))+0-0-0</f>
        <v>5559.9230880000005</v>
      </c>
      <c r="O126" s="3">
        <f>6850.5+(1001.3-1701.2)+(0+(0-0))+0-0-0</f>
        <v>6150.6</v>
      </c>
      <c r="P126" s="3">
        <f>7171.4+(1086-1633)+(3.657414+(0.55386-0.83283))+0-0-0</f>
        <v>6627.7784439999996</v>
      </c>
      <c r="Q126" s="3">
        <f>7235.4+(1183.9-1540.8)+(0+(0-0))+0-0-0</f>
        <v>6878.5</v>
      </c>
      <c r="R126" s="3">
        <f>7348.6+(1174.7-1499.3)+(3.747786+(0.599097-0.764643))+0-0-0</f>
        <v>7027.5822399999997</v>
      </c>
      <c r="S126" s="3">
        <f>7346.1+(1069.1-1443.4)+(3.746511+(0.545241-0.736134))+0-0-0</f>
        <v>6975.3556180000005</v>
      </c>
      <c r="T126" s="3">
        <f>7321.7+(972.5-1226.4)+(3.734067+(0.495975-0.625464))+0-0-0</f>
        <v>7071.4045779999997</v>
      </c>
      <c r="U126" s="3">
        <f>7263.3+(835.6-1025)+(3.704283+(0.426156-0.52275))+0-0-0</f>
        <v>7077.5076890000009</v>
      </c>
      <c r="V126" s="3">
        <f>7203.5+(848.8-1042.9)+(-14.69514+(-1.731552--2.127516))+0-0-0</f>
        <v>6995.1008239999992</v>
      </c>
      <c r="W126" s="3">
        <f>7173+(931.5-1242.2)+(-7.31646+(-0.95013--1.267044))+0-0-0</f>
        <v>6855.3004540000002</v>
      </c>
      <c r="X126" s="3">
        <f>7056.5+(999.2-1397.9)+(-14.39526+(-2.038368--2.851716))+0-0-0</f>
        <v>6644.2180880000005</v>
      </c>
      <c r="Y126" s="3">
        <f>6601.8+(1000-1263.9)+(-6.733836+(-1.02--1.289178))+0-0-0</f>
        <v>6331.4353419999998</v>
      </c>
      <c r="Z126" s="3">
        <f>7108.8+(1010.9-1524.3)+(-7.250976+(-1.031118--1.554786))+0-0-0</f>
        <v>6588.6726920000001</v>
      </c>
      <c r="AA126" s="3">
        <f>7556.2+(810.6-1496.1)+(-3.853662+(-0.413406--0.763011))+0-0-0</f>
        <v>6867.1959429999997</v>
      </c>
      <c r="AB126" s="3">
        <f>7509.1+(780.7-1630.6)+(0+(0-0))+0-0-0</f>
        <v>6659.2000000000007</v>
      </c>
      <c r="AC126" s="3">
        <f>7372.4+(677.1-1749.3)+(-3.759924+(-0.345321--0.892143))+0-0-0</f>
        <v>6296.9868980000001</v>
      </c>
      <c r="AD126">
        <f t="shared" si="1"/>
        <v>145129.76680700001</v>
      </c>
      <c r="AE126" s="3">
        <f>7522+(853.5-1445.4)+(0+(0-0))+0-0-0</f>
        <v>6930.1</v>
      </c>
    </row>
    <row r="127" spans="1:31" s="2" customFormat="1" x14ac:dyDescent="0.25">
      <c r="A127">
        <v>89</v>
      </c>
      <c r="B127">
        <v>5</v>
      </c>
      <c r="C127">
        <v>3</v>
      </c>
      <c r="D127">
        <v>2</v>
      </c>
      <c r="E127">
        <v>1</v>
      </c>
      <c r="F127" s="3">
        <f>7317+(687.8-2275.2)+(-11.19501+(-1.052334--3.481056))+0-0-0</f>
        <v>5720.8337120000006</v>
      </c>
      <c r="G127" s="3">
        <f>7039.5+(472.6-2257.1)+(-14.36058+(-0.964104--4.604484))+0-0-0</f>
        <v>5244.2798000000003</v>
      </c>
      <c r="H127" s="3">
        <f>6840+(325-2120.8)+(-6.9768+(-0.3315--2.163216))+0-0-0</f>
        <v>5039.054916</v>
      </c>
      <c r="I127" s="3">
        <f>6641.8+(163.3-1951.3)+(0+(0-0))+0-0-0</f>
        <v>4853.8</v>
      </c>
      <c r="J127" s="3">
        <f>6371.4+(169.1-1774.4)+(0+(0-0))+0-0-0</f>
        <v>4766.0999999999995</v>
      </c>
      <c r="K127" s="3">
        <f>6192.2+(263.6-1769.1)+(-9.474066+(-0.403308--2.706723))+0-0-0</f>
        <v>4679.5293489999995</v>
      </c>
      <c r="L127" s="3">
        <f>6177.7+(286.7-1540.6)+(3.150627+(0.146217-0.785706))+0-0-0</f>
        <v>4926.311138</v>
      </c>
      <c r="M127" s="3">
        <f>6099.4+(569.6-1212.8)+(6.221388+(0.580992-1.237056))+0-0-0</f>
        <v>5461.765324</v>
      </c>
      <c r="N127" s="3">
        <f>6196.5+(544.2-1204.8)+(6.32043+(0.555084-1.228896))+0-0-0</f>
        <v>5541.5466179999994</v>
      </c>
      <c r="O127" s="3">
        <f>6620.7+(883.6-1416.1)+(6.753114+(0.901272-1.444422))+0-0-0</f>
        <v>6094.4099639999995</v>
      </c>
      <c r="P127" s="3">
        <f>7082.6+(989.9-1500.6)+(10.836378+(1.514547-2.295918))+0-0-0</f>
        <v>6581.9550070000005</v>
      </c>
      <c r="Q127" s="3">
        <f>7336.2+(1068.5-1529.6)+(0+(0-0))+0-0-0</f>
        <v>6875.1</v>
      </c>
      <c r="R127" s="3">
        <f>7410.5+(985.1-1354.4)+(-7.55871+(-1.004802--1.381488))+0-0-0</f>
        <v>7034.0179760000001</v>
      </c>
      <c r="S127" s="3">
        <f>7392.6+(838.9-1286.6)+(-3.770226+(-0.427839--0.656166))+0-0-0</f>
        <v>6941.3581010000007</v>
      </c>
      <c r="T127" s="3">
        <f>7472.8+(728.1-1165.7)+(3.811128+(0.371331-0.594507))+0-0-0</f>
        <v>7038.7879519999997</v>
      </c>
      <c r="U127" s="3">
        <f>7410+(712.2-1091.9)+(7.5582+(0.726444-1.113738))+0-0-0</f>
        <v>7037.4709060000005</v>
      </c>
      <c r="V127" s="3">
        <f>7322.8+(773.1-1140.2)+(-3.734628+(-0.394281--0.581502))+0-0-0</f>
        <v>6952.1525929999998</v>
      </c>
      <c r="W127" s="3">
        <f>7254.5+(926.5-1345.1)+(-18.498975+(-2.362575--3.430005))+0-0-0</f>
        <v>6818.4684549999993</v>
      </c>
      <c r="X127" s="3">
        <f>6915.4+(841.5-1117.3)+(-17.63427+(-2.145825--2.849115))+0-0-0</f>
        <v>6622.6690199999994</v>
      </c>
      <c r="Y127" s="3">
        <f>6345+(872.9-968.1)+(-6.4719+(-0.890358--0.987462))+0-0-0</f>
        <v>6243.4252040000001</v>
      </c>
      <c r="Z127" s="3">
        <f>7037+(1010.1-1461)+(-10.76661+(-1.545453--2.23533))+0-0-0</f>
        <v>6576.0232670000005</v>
      </c>
      <c r="AA127" s="3">
        <f>7569.7+(776.4-1500.2)+(-7.721094+(-0.791928--1.530204))+0-0-0</f>
        <v>6838.9171819999992</v>
      </c>
      <c r="AB127" s="3">
        <f>7499.7+(717-1556.4)+(-3.824847+(-0.36567--0.793764))+0-0-0</f>
        <v>6656.9032469999993</v>
      </c>
      <c r="AC127" s="3">
        <f>7461.2+(471.7-1624.7)+(0+(0-0))+0-0-0</f>
        <v>6308.2</v>
      </c>
      <c r="AD127">
        <f t="shared" si="1"/>
        <v>146853.07973100003</v>
      </c>
      <c r="AE127" s="3">
        <f>7542+(809.1-1556.5)+(0+(0-0))+0-0-0</f>
        <v>6794.6</v>
      </c>
    </row>
    <row r="128" spans="1:31" s="2" customFormat="1" x14ac:dyDescent="0.25">
      <c r="A128">
        <v>89</v>
      </c>
      <c r="B128">
        <v>5</v>
      </c>
      <c r="C128">
        <v>4</v>
      </c>
      <c r="D128">
        <v>3</v>
      </c>
      <c r="E128">
        <v>1</v>
      </c>
      <c r="F128" s="3">
        <f>7355.1+(498.6-2126.7)+(3.751101+(0.254286-1.084617))+0-0-0</f>
        <v>5729.9207699999997</v>
      </c>
      <c r="G128" s="3">
        <f>7045.3+(417.1-2267.7)+(3.593103+(0.212721-1.156527))+0-0-0</f>
        <v>5197.3492970000007</v>
      </c>
      <c r="H128" s="3">
        <f>6839.1+(148-2069.8)+(-3.487941+(-0.07548--1.055598))+0-0-0</f>
        <v>4914.7921770000003</v>
      </c>
      <c r="I128" s="3">
        <f>6805.3+(74.2-2111.9)+(-10.412109+(-0.113526--3.231207))+0-0-0</f>
        <v>4760.3055720000002</v>
      </c>
      <c r="J128" s="3">
        <f>6804.9+(67.6-2181.1)+(-10.411497+(-0.103428--3.337083))+0-0-0</f>
        <v>4684.2221579999996</v>
      </c>
      <c r="K128" s="3">
        <f>6523.8+(118.5-2009.4)+(-6.654276+(-0.12087--2.049588))+0-0-0</f>
        <v>4628.1744419999995</v>
      </c>
      <c r="L128" s="3">
        <f>6141+(181.6-1824.1)+(-9.39573+(-0.277848--2.790873))+0-0-0</f>
        <v>4491.617295</v>
      </c>
      <c r="M128" s="3">
        <f>6399.9+(210.8-1759.9)+(0+(0-0))+0-0-0</f>
        <v>4850.7999999999993</v>
      </c>
      <c r="N128" s="3">
        <f>6809.8+(499.3-1781.5)+(3.472998+(0.254643-0.908565))+0-0-0</f>
        <v>5530.4190760000001</v>
      </c>
      <c r="O128" s="3">
        <f>7086.4+(778.4-1713.4)+(0+(0-0))+0-0-0</f>
        <v>6151.4</v>
      </c>
      <c r="P128" s="3">
        <f>7372.9+(865.4-1553.4)+(0+(0-0))+0-0-0</f>
        <v>6684.9</v>
      </c>
      <c r="Q128" s="3">
        <f>7570.4+(846.6-1501.8)+(0+(0-0))+0-0-0</f>
        <v>6915.2</v>
      </c>
      <c r="R128" s="3">
        <f>7522+(705.5-1271)+(0+(0-0))+0-0-0</f>
        <v>6956.5</v>
      </c>
      <c r="S128" s="3">
        <f>7457.6+(617.3-1090.2)+(0+(0-0))+0-0-0</f>
        <v>6984.7000000000007</v>
      </c>
      <c r="T128" s="3">
        <f>7447.1+(560.2-995.3)+(3.798021+(0.285702-0.507603))+0-0-0</f>
        <v>7015.5761199999997</v>
      </c>
      <c r="U128" s="3">
        <f>7371.3+(536.1-899.7)+(-3.759363+(-0.273411--0.458847))+0-0-0</f>
        <v>7004.1260729999995</v>
      </c>
      <c r="V128" s="3">
        <f>7299.6+(528.9-919.1)+(-7.445592+(-0.539478--0.937482))+0-0-0</f>
        <v>6902.3524120000002</v>
      </c>
      <c r="W128" s="3">
        <f>7177.7+(739.2-1156.8)+(-7.321254+(-0.753984--1.179936))+0-0-0</f>
        <v>6753.2046980000005</v>
      </c>
      <c r="X128" s="3">
        <f>7063.4+(921.2-1501.6)+(-14.409336+(-1.879248--3.063264))+0-0-0</f>
        <v>6469.7746800000004</v>
      </c>
      <c r="Y128" s="3">
        <f>6721.6+(787.7-1308.9)+(-3.428016+(-0.401727--0.667539))+0-0-0</f>
        <v>6197.2377960000003</v>
      </c>
      <c r="Z128" s="3">
        <f>6946.7+(845.1-1361.1)+(-3.542817+(-0.431001--0.694161))+0-0-0</f>
        <v>6427.4203429999998</v>
      </c>
      <c r="AA128" s="3">
        <f>7536.9+(750.6-1733)+(-7.687638+(-0.765612--1.76766))+0-0-0</f>
        <v>6547.81441</v>
      </c>
      <c r="AB128" s="3">
        <f>7571.7+(735.2-1990.1)+(-3.861567+(-0.374952--1.014951))+0-0-0</f>
        <v>6313.5784320000002</v>
      </c>
      <c r="AC128" s="3">
        <f>7562.5+(636.9-2060.4)+(0+(0-0))+0-0-0</f>
        <v>6139</v>
      </c>
      <c r="AD128">
        <f t="shared" si="1"/>
        <v>144250.38575100002</v>
      </c>
      <c r="AE128" s="3">
        <f>7481+(738.4-1663.1)+(0+(0-0))+0-0-0</f>
        <v>6556.3</v>
      </c>
    </row>
    <row r="129" spans="1:31" s="2" customFormat="1" x14ac:dyDescent="0.25">
      <c r="A129">
        <v>89</v>
      </c>
      <c r="B129">
        <v>5</v>
      </c>
      <c r="C129">
        <v>5</v>
      </c>
      <c r="D129">
        <v>4</v>
      </c>
      <c r="E129">
        <v>3</v>
      </c>
      <c r="F129" s="3">
        <f>7328.9+(572.3-2180.1)+(-7.475478+(-0.583746--2.223702))+0-0-0</f>
        <v>5715.2644779999991</v>
      </c>
      <c r="G129" s="3">
        <f>7148.6+(503.5-2348)+(-18.22893+(-1.283925--5.9874))+0-0-0</f>
        <v>5290.5745450000004</v>
      </c>
      <c r="H129" s="3">
        <f>6891.8+(245.2-2130)+(-7.029636+(-0.250104--2.1726))+0-0-0</f>
        <v>5001.8928599999999</v>
      </c>
      <c r="I129" s="3">
        <f>6632+(241.1-2060.2)+(0+(0-0))+0-0-0</f>
        <v>4812.8999999999996</v>
      </c>
      <c r="J129" s="3">
        <f>6539.1+(215.3-2065)+(6.669882+(0.219606-2.1063))+0-0-0</f>
        <v>4694.1831880000009</v>
      </c>
      <c r="K129" s="3">
        <f>6491.9+(273.8-2219.7)+(-9.932607+(-0.418914--3.396141))+0-0-0</f>
        <v>4539.0446199999997</v>
      </c>
      <c r="L129" s="3">
        <f>6012+(366.3-2114.4)+(-9.19836+(-0.560439--3.235032))+0-0-0</f>
        <v>4257.376233</v>
      </c>
      <c r="M129" s="3">
        <f>5948+(455.7-2177.4)+(6.06696+(0.464814-2.220948))+0-0-0</f>
        <v>4230.6108260000001</v>
      </c>
      <c r="N129" s="3">
        <f>6030.6+(506.5-2096.2)+(-6.151212+(-0.51663--2.138124))+0-0-0</f>
        <v>4436.3702820000008</v>
      </c>
      <c r="O129" s="3">
        <f>6263.6+(548.7-1988.4)+(3.194436+(0.279837-1.014084))+0-0-0</f>
        <v>4826.3601890000009</v>
      </c>
      <c r="P129" s="3">
        <f>6579+(923.7-2299.2)+(10.06587+(1.413261-3.517776))+0-0-0</f>
        <v>5211.4613550000004</v>
      </c>
      <c r="Q129" s="3">
        <f>6980.1+(951.6-2357.7)+(3.559851+(0.485316-1.202427))+0-0-0</f>
        <v>5576.84274</v>
      </c>
      <c r="R129" s="3">
        <f>7174.2+(897.5-2312.4)+(0+(0-0))+0-0-0</f>
        <v>5759.2999999999993</v>
      </c>
      <c r="S129" s="3">
        <f>7190.9+(758-2176)+(3.667359+(0.38658-1.10976))+0-0-0</f>
        <v>5775.8441789999997</v>
      </c>
      <c r="T129" s="3">
        <f>7292.7+(653.1-2171)+(3.719277+(0.333081-1.10721))+0-0-0</f>
        <v>5777.7451479999991</v>
      </c>
      <c r="U129" s="3">
        <f>7209.4+(645.1-2117.1)+(-7.353588+(-0.658002--2.159442))+0-0-0</f>
        <v>5731.5478519999997</v>
      </c>
      <c r="V129" s="3">
        <f>7016.2+(659.2-1960.7)+(-7.156524+(-0.672384--1.999914))+0-0-0</f>
        <v>5708.8710059999994</v>
      </c>
      <c r="W129" s="3">
        <f>7078.3+(688.1-2043.7)+(-18.049665+(-1.754655--5.211435))+0-0-0</f>
        <v>5708.1071150000007</v>
      </c>
      <c r="X129" s="3">
        <f>7048.6+(878.8-2249.9)+(-17.97393+(-2.24094--5.737245))+0-0-0</f>
        <v>5663.0223749999996</v>
      </c>
      <c r="Y129" s="3">
        <f>6542.3+(938.5-1890.1)+(0+(0-0))+0-0-0</f>
        <v>5590.7000000000007</v>
      </c>
      <c r="Z129" s="3">
        <f>7191.9+(781.5-1926.2)+(3.667869+(0.398565-0.982362))+0-0-0</f>
        <v>6050.2840719999995</v>
      </c>
      <c r="AA129" s="3">
        <f>7349.5+(672.1-1703.4)+(0+(0-0))+0-0-0</f>
        <v>6318.2</v>
      </c>
      <c r="AB129" s="3">
        <f>7391.6+(712.7-1956.8)+(-3.769716+(-0.363477--0.997968))+0-0-0</f>
        <v>6144.364775</v>
      </c>
      <c r="AC129" s="3">
        <f>7358.4+(649.3-2065.7)+(0+(0-0))+0-0-0</f>
        <v>5942</v>
      </c>
      <c r="AD129">
        <f t="shared" ref="AD129:AD192" si="2">SUM(F129:AC129)</f>
        <v>128762.86783800001</v>
      </c>
      <c r="AE129" s="3">
        <f>7305+(673.8-1732.4)+(0+(0-0))+0-0-0</f>
        <v>6246.4</v>
      </c>
    </row>
    <row r="130" spans="1:31" s="2" customFormat="1" x14ac:dyDescent="0.25">
      <c r="A130">
        <v>89</v>
      </c>
      <c r="B130">
        <v>5</v>
      </c>
      <c r="C130">
        <v>6</v>
      </c>
      <c r="D130">
        <v>5</v>
      </c>
      <c r="E130">
        <v>1</v>
      </c>
      <c r="F130" s="3">
        <f>7296.6+(579.8-2381.7)+(0+(0-0))+0-0-0</f>
        <v>5494.7000000000007</v>
      </c>
      <c r="G130" s="3">
        <f>6971+(444.8-2363.5)+(-7.11042+(-0.453696--2.41077))+0-0-0</f>
        <v>5047.1466540000001</v>
      </c>
      <c r="H130" s="3">
        <f>6867.2+(232.7-2355.1)+(0+(0-0))+0-0-0</f>
        <v>4744.7999999999993</v>
      </c>
      <c r="I130" s="3">
        <f>6713.4+(177.4-2322.3)+(3.423834+(0.090474-1.184373))+0-0-0</f>
        <v>4570.8299349999998</v>
      </c>
      <c r="J130" s="3">
        <f>6678.7+(122.3-2308.1)+(0+(0-0))+0-0-0</f>
        <v>4492.8999999999996</v>
      </c>
      <c r="K130" s="3">
        <f>6571.1+(144-2283.9)+(0+(0-0))+0-0-0</f>
        <v>4431.2000000000007</v>
      </c>
      <c r="L130" s="3">
        <f>6095.9+(192.5-1962.8)+(0+(0-0))+0-0-0</f>
        <v>4325.5999999999995</v>
      </c>
      <c r="M130" s="3">
        <f>6315.8+(123.6-1776.7)+(6.442116+(0.126072-1.812234))+0-0-0</f>
        <v>4667.455954</v>
      </c>
      <c r="N130" s="3">
        <f>6942.3+(116.1-1776.8)+(3.540573+(0.059211-0.906168))+0-0-0</f>
        <v>5284.2936159999999</v>
      </c>
      <c r="O130" s="3">
        <f>7455.8+(208.5-1824.5)+(3.802458+(0.106335-0.930495))+0-0-0</f>
        <v>5842.7782980000002</v>
      </c>
      <c r="P130" s="3">
        <f>7542.8+(791.2-2068.1)+(-3.846828+(-0.403512--1.054731))+0-0-0</f>
        <v>6262.7043910000002</v>
      </c>
      <c r="Q130" s="3">
        <f>7634.4+(941.1-2072.1)+(3.893544+(0.479961-1.056771))+0-0-0</f>
        <v>6506.7167339999996</v>
      </c>
      <c r="R130" s="3">
        <f>7633.4+(722.4-1750.6)+(3.893034+(0.368424-0.892806))+0-0-0</f>
        <v>6608.5686519999999</v>
      </c>
      <c r="S130" s="3">
        <f>7607.4+(626.1-1695.1)+(3.879774+(0.319311-0.864501))+0-0-0</f>
        <v>6541.7345839999998</v>
      </c>
      <c r="T130" s="3">
        <f>7611+(632.1-1629.1)+(7.76322+(0.644742-1.661682))+0-0-0</f>
        <v>6620.7462800000003</v>
      </c>
      <c r="U130" s="3">
        <f>7525.2+(607.1-1494.2)+(3.837852+(0.309621-0.762042))+0-0-0</f>
        <v>6641.4854309999992</v>
      </c>
      <c r="V130" s="3">
        <f>7420.6+(661.9-1499)+(0+(0-0))+0-0-0</f>
        <v>6583.5</v>
      </c>
      <c r="W130" s="3">
        <f>7355.3+(717.2-1610.8)+(-3.751203+(-0.365772--0.821508))+0-0-0</f>
        <v>6458.4045330000008</v>
      </c>
      <c r="X130" s="3">
        <f>7277.8+(868.4-1897)+(-7.423356+(-0.885768--1.93494))+0-0-0</f>
        <v>6242.8258160000005</v>
      </c>
      <c r="Y130" s="3">
        <f>6718+(952.3-1661.8)+(-3.42618+(-0.485673--0.847518))+0-0-0</f>
        <v>6005.435665</v>
      </c>
      <c r="Z130" s="3">
        <f>7358.1+(918.6-1928.1)+(-3.752631+(-0.468486--0.983331))+0-0-0</f>
        <v>6345.3622140000007</v>
      </c>
      <c r="AA130" s="3">
        <f>7648.9+(750.8-1844.1)+(-11.702817+(-1.148724--2.821473))+0-0-0</f>
        <v>6545.5699319999994</v>
      </c>
      <c r="AB130" s="3">
        <f>7674.9+(770.2-2152.1)+(-3.914199+(-0.392802--1.097571))+0-0-0</f>
        <v>6289.7905700000001</v>
      </c>
      <c r="AC130" s="3">
        <f>7651.3+(728.7-2424.8)+(0+(0-0))+0-0-0</f>
        <v>5955.2</v>
      </c>
      <c r="AD130">
        <f t="shared" si="2"/>
        <v>138509.749259</v>
      </c>
      <c r="AE130" s="3">
        <f>7601+(757-1976)+(0+(0-0))+0-0-0</f>
        <v>6382</v>
      </c>
    </row>
    <row r="131" spans="1:31" s="2" customFormat="1" x14ac:dyDescent="0.25">
      <c r="A131">
        <v>89</v>
      </c>
      <c r="B131">
        <v>5</v>
      </c>
      <c r="C131">
        <v>7</v>
      </c>
      <c r="D131">
        <v>6</v>
      </c>
      <c r="E131">
        <v>1</v>
      </c>
      <c r="F131" s="3">
        <f>7298.2+(583-2392.3)+(-3.722082+(-0.29733--1.220073))+0-0-0</f>
        <v>5486.1006609999995</v>
      </c>
      <c r="G131" s="3">
        <f>6892.7+(457.1-2297.8)+(-14.061108+(-0.932484--4.687512))+0-0-0</f>
        <v>5041.6939199999997</v>
      </c>
      <c r="H131" s="3">
        <f>6529.5+(324.4-2075.2)+(-6.66009+(-0.330888--2.116704))+0-0-0</f>
        <v>4773.8257260000009</v>
      </c>
      <c r="I131" s="3">
        <f>6231.7+(337.5-1959)+(0+(0-0))+0-0-0</f>
        <v>4610.2</v>
      </c>
      <c r="J131" s="3">
        <f>6202.3+(288.1-1959.6)+(0+(0-0))+0-0-0</f>
        <v>4530.8</v>
      </c>
      <c r="K131" s="3">
        <f>6195.2+(295.9-2034.7)+(-6.319104+(-0.301818--2.075394))+0-0-0</f>
        <v>4451.854472</v>
      </c>
      <c r="L131" s="3">
        <f>6110.5+(338.5-2162.7)+(-18.69813+(-1.03581--6.617862))+0-0-0</f>
        <v>4273.1839220000002</v>
      </c>
      <c r="M131" s="3">
        <f>6162.3+(438.8-2094.6)+(3.142773+(0.223788-1.068246))+0-0-0</f>
        <v>4508.798315</v>
      </c>
      <c r="N131" s="3">
        <f>6724.1+(441.9-2071.7)+(10.287873+(0.676107-3.169701))+0-0-0</f>
        <v>5102.0942790000008</v>
      </c>
      <c r="O131" s="3">
        <f>7048.9+(531.7-1979.5)+(3.594939+(0.271167-1.009545))+0-0-0</f>
        <v>5603.9565609999991</v>
      </c>
      <c r="P131" s="3">
        <f>7252.8+(730-1938.6)+(-3.698928+(-0.3723--0.988686))+0-0-0</f>
        <v>6041.1174580000006</v>
      </c>
      <c r="Q131" s="3">
        <f>7250.7+(826.7-1797.4)+(3.697857+(0.421617-0.916674))+0-0-0</f>
        <v>6283.2028</v>
      </c>
      <c r="R131" s="3">
        <f>7286.6+(754.5-1644.5)+(0+(0-0))+0-0-0</f>
        <v>6396.6</v>
      </c>
      <c r="S131" s="3">
        <f>7293.2+(691-1734.9)+(-3.719532+(-0.35241--0.884799))+0-0-0</f>
        <v>6246.1128569999992</v>
      </c>
      <c r="T131" s="3">
        <f>7372.7+(668-1837.5)+(0+(0-0))+0-0-0</f>
        <v>6203.2</v>
      </c>
      <c r="U131" s="3">
        <f>7405.1+(622.7-1911.3)+(-3.776601+(-0.317577--0.974763))+0-0-0</f>
        <v>6113.3805849999999</v>
      </c>
      <c r="V131" s="3">
        <f>7303.2+(685.7-1945.7)+(-11.173896+(-1.049121--2.976921))+0-0-0</f>
        <v>6033.953904</v>
      </c>
      <c r="W131" s="3">
        <f>7313.1+(846.8-2206)+(-7.459362+(-0.863736--2.25012))+0-0-0</f>
        <v>5947.8270220000004</v>
      </c>
      <c r="X131" s="3">
        <f>7166.7+(923.9-2244.5)+(-18.275085+(-2.355945--5.723475))+0-0-0</f>
        <v>5831.1924450000006</v>
      </c>
      <c r="Y131" s="3">
        <f>6790+(876.2-1896.2)+(-10.3887+(-1.340586--2.901186))+0-0-0</f>
        <v>5761.1719000000003</v>
      </c>
      <c r="Z131" s="3">
        <f>7305.9+(836.5-2070.8)+(0+(0-0))+0-0-0</f>
        <v>6071.5999999999995</v>
      </c>
      <c r="AA131" s="3">
        <f>7580.3+(869.2-2221.7)+(-7.731906+(-0.886584--2.266134))+0-0-0</f>
        <v>6221.4476439999999</v>
      </c>
      <c r="AB131" s="3">
        <f>7546.2+(869.2-2374.6)+(0+(0-0))+0-0-0</f>
        <v>6040.8</v>
      </c>
      <c r="AC131" s="3">
        <f>7505.3+(742.5-2499)+(-11.483109+(-1.136025--3.82347))+0-0-0</f>
        <v>5740.004336</v>
      </c>
      <c r="AD131">
        <f t="shared" si="2"/>
        <v>133314.11880700002</v>
      </c>
      <c r="AE131" s="3">
        <f>7579+(903.5-2219.5)+(0+(0-0))+0-0-0</f>
        <v>6263</v>
      </c>
    </row>
    <row r="132" spans="1:31" s="2" customFormat="1" x14ac:dyDescent="0.25">
      <c r="A132">
        <v>89</v>
      </c>
      <c r="B132">
        <v>5</v>
      </c>
      <c r="C132">
        <v>8</v>
      </c>
      <c r="D132">
        <v>7</v>
      </c>
      <c r="E132">
        <v>1</v>
      </c>
      <c r="F132" s="3">
        <f>7400.5+(455.7-2413.3)+(-18.871275+(-1.162035--6.153915))+0-0-0</f>
        <v>5429.0206049999997</v>
      </c>
      <c r="G132" s="3">
        <f>7233+(149.6-2336.9)+(3.68883+(0.076296-1.191819))+0-0-0</f>
        <v>5048.2733069999995</v>
      </c>
      <c r="H132" s="3">
        <f>6950.7+(144.6-2363.9)+(0+(0-0))+0-0-0</f>
        <v>4731.3999999999996</v>
      </c>
      <c r="I132" s="3">
        <f>6715.5+(186.2-2351.2)+(-17.124525+(-0.47481--5.99556))+0-0-0</f>
        <v>4538.8962250000004</v>
      </c>
      <c r="J132" s="3">
        <f>6463.6+(287.3-2273.3)+(-9.889308+(-0.439569--3.478149))+0-0-0</f>
        <v>4470.749272</v>
      </c>
      <c r="K132" s="3">
        <f>6205+(314.1-2140.8)+(-22.15185+(-1.121337--7.642656))+0-0-0</f>
        <v>4362.6694689999995</v>
      </c>
      <c r="L132" s="3">
        <f>5926.6+(167.2-2023.9)+(-12.090264+(-0.341088--4.128756))+0-0-0</f>
        <v>4061.5974040000006</v>
      </c>
      <c r="M132" s="3">
        <f>5835+(146.7-1974.2)+(2.97585+(0.074817-1.006842))+0-0-0</f>
        <v>4009.5438250000002</v>
      </c>
      <c r="N132" s="3">
        <f>6155+(160.1-2153.6)+(0+(0-0))+0-0-0</f>
        <v>4161.5</v>
      </c>
      <c r="O132" s="3">
        <f>6253.1+(323.8-2142.4)+(0+(0-0))+0-0-0</f>
        <v>4434.5</v>
      </c>
      <c r="P132" s="3">
        <f>6582.7+(454.8-2221.7)+(3.357177+(0.231948-1.133067))+0-0-0</f>
        <v>4818.2560579999999</v>
      </c>
      <c r="Q132" s="3">
        <f>6717.8+(694.6-2285.9)+(3.426078+(0.354246-1.165809))+0-0-0</f>
        <v>5129.1145150000002</v>
      </c>
      <c r="R132" s="3">
        <f>6834.3+(836-2369.5)+(0+(0-0))+0-0-0</f>
        <v>5300.8</v>
      </c>
      <c r="S132" s="3">
        <f>6985.7+(866.2-2472.7)+(-7.125414+(-0.883524--2.522154))+0-0-0</f>
        <v>5373.7132160000001</v>
      </c>
      <c r="T132" s="3">
        <f>6932.5+(810.3-2381.7)+(3.535575+(0.413253-1.214667))+0-0-0</f>
        <v>5363.8341610000007</v>
      </c>
      <c r="U132" s="3">
        <f>6940+(664.9-2274.9)+(-10.6182+(-1.017297--3.480597))+0-0-0</f>
        <v>5321.8450999999995</v>
      </c>
      <c r="V132" s="3">
        <f>7036.9+(606.9-2309.9)+(-3.588819+(-0.309519--1.178049))+0-0-0</f>
        <v>5331.1797109999998</v>
      </c>
      <c r="W132" s="3">
        <f>6699.2+(655.3-2009.7)+(-3.416592+(-0.334203--1.024947))+0-0-0</f>
        <v>5342.0741519999992</v>
      </c>
      <c r="X132" s="3">
        <f>6403.2+(768.4-1825.2)+(-16.32816+(-1.95942--4.65426))+0-0-0</f>
        <v>5332.7666799999997</v>
      </c>
      <c r="Y132" s="3">
        <f>6259.1+(680.8-1633.2)+(-6.384282+(-0.694416--1.665864))+0-0-0</f>
        <v>5301.287166000001</v>
      </c>
      <c r="Z132" s="3">
        <f>6826.9+(773.1-1878.9)+(-10.445157+(-1.182843--2.874717))+0-0-0</f>
        <v>5712.3467169999994</v>
      </c>
      <c r="AA132" s="3">
        <f>7387.4+(653.8-2049.6)+(-22.605444+(-2.000628--6.271776))+0-0-0</f>
        <v>5973.2657039999995</v>
      </c>
      <c r="AB132" s="3">
        <f>7090.6+(623.5-1852.1)+(-7.232412+(-0.63597--1.889142))+0-0-0</f>
        <v>5856.0207600000003</v>
      </c>
      <c r="AC132" s="3">
        <f>7021.5+(654.7-2024.2)+(-3.580965+(-0.333897--1.032342))+0-0-0</f>
        <v>5649.1174799999999</v>
      </c>
      <c r="AD132">
        <f t="shared" si="2"/>
        <v>121053.77152700002</v>
      </c>
      <c r="AE132" s="3">
        <f>7453+(636.9-1897.2)+(0+(0-0))+0-0-0</f>
        <v>6192.7</v>
      </c>
    </row>
    <row r="133" spans="1:31" s="2" customFormat="1" x14ac:dyDescent="0.25">
      <c r="A133">
        <v>89</v>
      </c>
      <c r="B133">
        <v>5</v>
      </c>
      <c r="C133">
        <v>9</v>
      </c>
      <c r="D133">
        <v>1</v>
      </c>
      <c r="E133">
        <v>1</v>
      </c>
      <c r="F133" s="3">
        <f>6666+(499.8-1942.4)+(-13.59864+(-1.019592--3.962496))+0-0-0</f>
        <v>5212.7442639999999</v>
      </c>
      <c r="G133" s="3">
        <f>6436.8+(251.2-1915.1)+(-19.696608+(-0.768672--5.860206))+0-0-0</f>
        <v>4758.2949260000005</v>
      </c>
      <c r="H133" s="3">
        <f>6312.2+(283.8-2079.1)+(-12.876888+(-0.578952--4.241364))+0-0-0</f>
        <v>4507.6855239999995</v>
      </c>
      <c r="I133" s="3">
        <f>6224.2+(294.5-2128.5)+(-6.348684+(-0.30039--2.17107))+0-0-0</f>
        <v>4385.7219960000002</v>
      </c>
      <c r="J133" s="3">
        <f>6021.6+(252.4-1956.3)+(6.142032+(0.257448-1.995426))+0-0-0</f>
        <v>4322.1040540000004</v>
      </c>
      <c r="K133" s="3">
        <f>5898.8+(354.2-1974.9)+(3.008388+(0.180642-1.007199))+0-0-0</f>
        <v>4280.2818310000002</v>
      </c>
      <c r="L133" s="3">
        <f>5615.5+(488.5-1905.4)+(0+(0-0))+0-0-0</f>
        <v>4198.6000000000004</v>
      </c>
      <c r="M133" s="3">
        <f>6017.5+(363.8-1756.7)+(0+(0-0))+0-0-0</f>
        <v>4624.6000000000004</v>
      </c>
      <c r="N133" s="3">
        <f>6801.9+(347.3-1825)+(-6.937938+(-0.354246--1.8615))+0-0-0</f>
        <v>5318.7693159999999</v>
      </c>
      <c r="O133" s="3">
        <f>7324.6+(387.3-1824.1)+(-7.471092+(-0.395046--1.860582))+0-0-0</f>
        <v>5881.7944440000001</v>
      </c>
      <c r="P133" s="3">
        <f>7492.3+(673.1-1872.8)+(11.463219+(1.029843-2.865384))+0-0-0</f>
        <v>6302.2276780000002</v>
      </c>
      <c r="Q133" s="3">
        <f>7584.2+(905.2-1899.6)+(7.735884+(0.923304-1.937592))+0-0-0</f>
        <v>6596.5215960000005</v>
      </c>
      <c r="R133" s="3">
        <f>7645+(875.4-1792.1)+(0+(0-0))+0-0-0</f>
        <v>6728.3</v>
      </c>
      <c r="S133" s="3">
        <f>7667.4+(888.7-1931.6)+(-11.731122+(-1.359711--2.955348))+0-0-0</f>
        <v>6614.3645150000002</v>
      </c>
      <c r="T133" s="3">
        <f>7672.4+(805-1777.9)+(-3.912924+(-0.41055--0.906729))+0-0-0</f>
        <v>6696.0832549999996</v>
      </c>
      <c r="U133" s="3">
        <f>7603.9+(781.8-1730.3)+(-3.877989+(-0.398718--0.882453))+0-0-0</f>
        <v>6652.0057459999998</v>
      </c>
      <c r="V133" s="3">
        <f>7503.9+(839.4-1709.5)+(-3.826989+(-0.428094--0.871845))+0-0-0</f>
        <v>6630.4167619999989</v>
      </c>
      <c r="W133" s="3">
        <f>7467.2+(939-1905.4)+(-7.616544+(-0.95778--1.943508))+0-0-0</f>
        <v>6494.1691839999994</v>
      </c>
      <c r="X133" s="3">
        <f>7323.5+(923.3-1977)+(-14.93994+(-1.883532--4.03308))+0-0-0</f>
        <v>6257.0096080000003</v>
      </c>
      <c r="Y133" s="3">
        <f>6860.2+(983.3-1839.6)+(0+(0-0))+0-0-0</f>
        <v>6003.9</v>
      </c>
      <c r="Z133" s="3">
        <f>7345.1+(1044.4-2002.8)+(-3.746001+(-0.532644--1.021428))+0-0-0</f>
        <v>6383.4427830000004</v>
      </c>
      <c r="AA133" s="3">
        <f>7707.5+(929-2096)+(-11.792475+(-1.42137--3.20688))+0-0-0</f>
        <v>6530.4930350000004</v>
      </c>
      <c r="AB133" s="3">
        <f>7647.2+(673.6-2083.4)+(-7.800144+(-0.687072--2.125068))+0-0-0</f>
        <v>6231.0378519999995</v>
      </c>
      <c r="AC133" s="3">
        <f>7575.8+(548.3-2220.6)+(-7.727316+(-0.559266--2.265012))+0-0-0</f>
        <v>5897.4784300000001</v>
      </c>
      <c r="AD133">
        <f t="shared" si="2"/>
        <v>137508.04679899997</v>
      </c>
      <c r="AE133" s="3">
        <f>7718+(1014.7-2123.9)+(0+(0-0))+0-0-0</f>
        <v>6608.8</v>
      </c>
    </row>
    <row r="134" spans="1:31" s="2" customFormat="1" x14ac:dyDescent="0.25">
      <c r="A134">
        <v>89</v>
      </c>
      <c r="B134">
        <v>5</v>
      </c>
      <c r="C134">
        <v>10</v>
      </c>
      <c r="D134">
        <v>2</v>
      </c>
      <c r="E134">
        <v>1</v>
      </c>
      <c r="F134" s="3">
        <f>7369.4+(346.8-2342.7)+(-15.033576+(-0.707472--4.779108))+0-0-0</f>
        <v>5362.5380599999999</v>
      </c>
      <c r="G134" s="3">
        <f>6932.1+(318.5-2342.3)+(-17.676855+(-0.812175--5.972865))+0-0-0</f>
        <v>4895.7838350000002</v>
      </c>
      <c r="H134" s="3">
        <f>6267.9+(435.2-2091.9)+(3.196629+(0.221952-1.066869))+0-0-0</f>
        <v>4613.5517119999995</v>
      </c>
      <c r="I134" s="3">
        <f>6006.4+(465.2-2008.4)+(-9.189792+(-0.711756--3.072852))+0-0-0</f>
        <v>4456.3713040000002</v>
      </c>
      <c r="J134" s="3">
        <f>5860.6+(387.9-1848.9)+(-5.977812+(-0.395658--1.885878))+0-0-0</f>
        <v>4395.112408</v>
      </c>
      <c r="K134" s="3">
        <f>5733.3+(548.5-1928.5)+(-2.923983+(-0.279735--0.983535))+0-0-0</f>
        <v>4351.0798169999998</v>
      </c>
      <c r="L134" s="3">
        <f>5468.9+(676.9-1908.1)+(-5.578278+(-0.690438--1.946262))+0-0-0</f>
        <v>4233.3775459999997</v>
      </c>
      <c r="M134" s="3">
        <f>5590.3+(748.9-1734.8)+(0+(0-0))+0-0-0</f>
        <v>4604.4000000000005</v>
      </c>
      <c r="N134" s="3">
        <f>6058.7+(788.8-1607.9)+(-6.179874+(-0.804576--1.640058))+0-0-0</f>
        <v>5234.2556079999995</v>
      </c>
      <c r="O134" s="3">
        <f>6453+(789.5-1460.5)+(-6.58206+(-0.80529--1.48971))+0-0-0</f>
        <v>5776.1023599999999</v>
      </c>
      <c r="P134" s="3">
        <f>7205.6+(789-1801.3)+(-3.674856+(-0.40239--0.918663))+0-0-0</f>
        <v>6190.1414169999998</v>
      </c>
      <c r="Q134" s="3">
        <f>7308.6+(1095.2-1978)+(-7.454772+(-1.117104--2.01756))+0-0-0</f>
        <v>6419.2456840000004</v>
      </c>
      <c r="R134" s="3">
        <f>7576.3+(1025.5-2068.2)+(-3.863913+(-0.523005--1.054782))+0-0-0</f>
        <v>6530.2678640000004</v>
      </c>
      <c r="S134" s="3">
        <f>7587.7+(891.1-2035.6)+(-7.739454+(-0.908922--2.076312))+0-0-0</f>
        <v>6436.6279359999999</v>
      </c>
      <c r="T134" s="3">
        <f>7577.2+(773.5-1791.4)+(-7.728744+(-0.78897--1.827228))+0-0-0</f>
        <v>6552.6095139999989</v>
      </c>
      <c r="U134" s="3">
        <f>7560+(884.7-1915.5)+(-3.8556+(-0.451197--0.976905))+0-0-0</f>
        <v>6525.8701080000001</v>
      </c>
      <c r="V134" s="3">
        <f>7425.8+(730-1646.7)+(-11.361474+(-1.1169--2.519451))+0-0-0</f>
        <v>6499.1410770000002</v>
      </c>
      <c r="W134" s="3">
        <f>7399.2+(747.2-1763.3)+(-15.094368+(-1.524288--3.597132))+0-0-0</f>
        <v>6370.0784760000006</v>
      </c>
      <c r="X134" s="3">
        <f>6909.7+(773.2-1512.5)+(-21.143682+(-2.365992--4.62825))+0-0-0</f>
        <v>6151.5185759999995</v>
      </c>
      <c r="Y134" s="3">
        <f>6786.8+(877.3-1779.4)+(-13.845072+(-1.789692--3.629976))+0-0-0</f>
        <v>5872.6952119999996</v>
      </c>
      <c r="Z134" s="3">
        <f>7408.7+(623.8-1825.3)+(0+(0-0))+0-0-0</f>
        <v>6207.2</v>
      </c>
      <c r="AA134" s="3">
        <f>7452.8+(407.1-1539.9)+(-15.203712+(-0.830484--3.141396))+0-0-0</f>
        <v>6307.1072000000004</v>
      </c>
      <c r="AB134" s="3">
        <f>7457+(393.1-1723.6)+(-11.40921+(-0.601443--2.637108))+0-0-0</f>
        <v>6117.1264549999996</v>
      </c>
      <c r="AC134" s="3">
        <f>7214.8+(279.6-1674.8)+(-11.038644+(-0.427788--2.562444))+0-0-0</f>
        <v>5810.6960120000003</v>
      </c>
      <c r="AD134">
        <f t="shared" si="2"/>
        <v>135912.89818100003</v>
      </c>
      <c r="AE134" s="3">
        <f>7441+(394-1564.4)+(0+(0-0))+0-0-0</f>
        <v>6270.6</v>
      </c>
    </row>
    <row r="135" spans="1:31" s="2" customFormat="1" x14ac:dyDescent="0.25">
      <c r="A135">
        <v>89</v>
      </c>
      <c r="B135">
        <v>5</v>
      </c>
      <c r="C135">
        <v>11</v>
      </c>
      <c r="D135">
        <v>3</v>
      </c>
      <c r="E135">
        <v>1</v>
      </c>
      <c r="F135" s="3">
        <f>6984+(372.1-2155.9)+(-17.8092+(-0.948855--5.497545))+0-0-0</f>
        <v>5186.9394899999998</v>
      </c>
      <c r="G135" s="3">
        <f>6642.5+(318-2197.5)+(-13.5507+(-0.64872--4.4829))+0-0-0</f>
        <v>4753.2834800000001</v>
      </c>
      <c r="H135" s="3">
        <f>6359.4+(332.4-2242.6)+(-9.729882+(-0.508572--3.431178))+0-0-0</f>
        <v>4442.3927240000003</v>
      </c>
      <c r="I135" s="3">
        <f>6249.1+(355.9-2281.1)+(-9.561123+(-0.544527--3.490083))+0-0-0</f>
        <v>4317.2844330000007</v>
      </c>
      <c r="J135" s="3">
        <f>5842.8+(276-1906.1)+(8.939484+(0.42228-2.916333))+0-0-0</f>
        <v>4219.1454310000008</v>
      </c>
      <c r="K135" s="3">
        <f>5759.9+(356.4-1955.7)+(-8.812647+(-0.545292--2.992221))+0-0-0</f>
        <v>4154.2342819999994</v>
      </c>
      <c r="L135" s="3">
        <f>5610.8+(488.5-2043.9)+(-14.30754+(-1.245675--5.211945))+0-0-0</f>
        <v>4045.0587300000002</v>
      </c>
      <c r="M135" s="3">
        <f>5875.5+(422.6-1729.5)+(0+(0-0))+0-0-0</f>
        <v>4568.6000000000004</v>
      </c>
      <c r="N135" s="3">
        <f>6242.7+(561.3-1729.1)+(3.183777+(0.286263-0.881841))+0-0-0</f>
        <v>5077.4881989999994</v>
      </c>
      <c r="O135" s="3">
        <f>6556.8+(663.6-1649.4)+(-6.687936+(-0.676872--1.682388))+0-0-0</f>
        <v>5565.3175799999999</v>
      </c>
      <c r="P135" s="3">
        <f>6996.3+(655.8-1664.6)+(0+(0-0))+0-0-0</f>
        <v>5987.5</v>
      </c>
      <c r="Q135" s="3">
        <f>7230+(666.7-1645.7)+(0+(0-0))+0-0-0</f>
        <v>6251</v>
      </c>
      <c r="R135" s="3">
        <f>7499.9+(557.2-1658.7)+(-3.824949+(-0.284172--0.845937))+0-0-0</f>
        <v>6395.1368159999993</v>
      </c>
      <c r="S135" s="3">
        <f>7428+(570-1644.5)+(0+(0-0))+0-0-0</f>
        <v>6353.5</v>
      </c>
      <c r="T135" s="3">
        <f>7442.4+(475.1-1445.4)+(-7.591248+(-0.484602--1.474308))+0-0-0</f>
        <v>6465.4984579999991</v>
      </c>
      <c r="U135" s="3">
        <f>7388.6+(441.4-1416.9)+(-3.768186+(-0.225114--0.722619))+0-0-0</f>
        <v>6409.8293190000004</v>
      </c>
      <c r="V135" s="3">
        <f>7314.4+(501.2-1519.5)+(-7.460688+(-0.511224--1.54989))+0-0-0</f>
        <v>6289.6779779999997</v>
      </c>
      <c r="W135" s="3">
        <f>7224.8+(452.2-1527)+(-25.792536+(-1.614354--5.45139))+0-0-0</f>
        <v>6128.0445</v>
      </c>
      <c r="X135" s="3">
        <f>6810.1+(511.6-1416.7)+(-17.365755+(-1.30458--3.612585))+0-0-0</f>
        <v>5889.9422500000001</v>
      </c>
      <c r="Y135" s="3">
        <f>6517.2+(418.5-1285.2)+(-6.647544+(-0.42687--1.310904))+0-0-0</f>
        <v>5644.7364900000002</v>
      </c>
      <c r="Z135" s="3">
        <f>7210+(371.4-1548.2)+(-7.3542+(-0.378828--1.579164))+0-0-0</f>
        <v>6027.0461359999999</v>
      </c>
      <c r="AA135" s="3">
        <f>7684.5+(552.7-1793.7)+(-15.67638+(-1.127508--3.659148))+0-0-0</f>
        <v>6430.3552600000003</v>
      </c>
      <c r="AB135" s="3">
        <f>7687.7+(293.2-2097.5)+(-15.682908+(-0.598128--4.2789))+0-0-0</f>
        <v>5871.3978639999996</v>
      </c>
      <c r="AC135" s="3">
        <f>7397.1+(305.4-2157.6)+(0+(0-0))+0-0-0</f>
        <v>5544.9000000000005</v>
      </c>
      <c r="AD135">
        <f t="shared" si="2"/>
        <v>132018.30942000001</v>
      </c>
      <c r="AE135" s="3">
        <f>7638+(425.2-1961.6)+(0+(0-0))+0-0-0</f>
        <v>6101.6</v>
      </c>
    </row>
    <row r="136" spans="1:31" s="2" customFormat="1" x14ac:dyDescent="0.25">
      <c r="A136">
        <v>89</v>
      </c>
      <c r="B136">
        <v>5</v>
      </c>
      <c r="C136">
        <v>12</v>
      </c>
      <c r="D136">
        <v>4</v>
      </c>
      <c r="E136">
        <v>1</v>
      </c>
      <c r="F136" s="3">
        <f>7033.3+(361.9-2335.1)+(-3.586983+(-0.184569--1.190901))+0-0-0</f>
        <v>5057.5193490000001</v>
      </c>
      <c r="G136" s="3">
        <f>6699.4+(245.7-2334)+(-6.833388+(-0.250614--2.38068))+0-0-0</f>
        <v>4606.3966779999992</v>
      </c>
      <c r="H136" s="3">
        <f>6384.3+(175.6-2189.2)+(3.255993+(0.089556-1.116492))+0-0-0</f>
        <v>4372.9290570000003</v>
      </c>
      <c r="I136" s="3">
        <f>6089.5+(216.7-2094.8)+(0+(0-0))+0-0-0</f>
        <v>4211.3999999999996</v>
      </c>
      <c r="J136" s="3">
        <f>5915.4+(232.2-2013.1)+(-3.016854+(-0.118422--1.026681))+0-0-0</f>
        <v>4132.3914050000003</v>
      </c>
      <c r="K136" s="3">
        <f>5795.3+(284.1-1959)+(5.911206+(0.289782-1.99818))+0-0-0</f>
        <v>4124.6028079999996</v>
      </c>
      <c r="L136" s="3">
        <f>5562+(258.8-1791.4)+(-8.50986+(-0.395964--2.740842))+0-0-0</f>
        <v>4023.2350179999999</v>
      </c>
      <c r="M136" s="3">
        <f>5948.6+(174.4-1699.1)+(-3.033786+(-0.088944--0.866541))+0-0-0</f>
        <v>4421.6438110000008</v>
      </c>
      <c r="N136" s="3">
        <f>6543.4+(201.4-1638.5)+(0+(0-0))+0-0-0</f>
        <v>5106.2999999999993</v>
      </c>
      <c r="O136" s="3">
        <f>7051.1+(263.2-1623.3)+(3.596061+(0.134232-0.827883))+0-0-0</f>
        <v>5693.9024099999997</v>
      </c>
      <c r="P136" s="3">
        <f>7250.7+(406.7-1581.1)+(-7.395714+(-0.414834--1.612722))+0-0-0</f>
        <v>6070.1021740000006</v>
      </c>
      <c r="Q136" s="3">
        <f>7236+(317.3-1256.5)+(-3.69036+(-0.161823--0.640815))+0-0-0</f>
        <v>6293.588632</v>
      </c>
      <c r="R136" s="3">
        <f>7274.3+(292.8-1109.5)+(0+(0-0))+0-0-0</f>
        <v>6457.6</v>
      </c>
      <c r="S136" s="3">
        <f>7254.6+(248.3-1169.2)+(0+(0-0))+0-0-0</f>
        <v>6333.7000000000007</v>
      </c>
      <c r="T136" s="3">
        <f>7267.7+(235-1055.8)+(3.706527+(0.11985-0.538458))+0-0-0</f>
        <v>6450.187919</v>
      </c>
      <c r="U136" s="3">
        <f>7194.6+(235.1-988.2)+(3.669246+(0.119901-0.503982))+0-0-0</f>
        <v>6444.7851650000002</v>
      </c>
      <c r="V136" s="3">
        <f>7109.7+(226.9-943.8)+(3.625947+(0.115719-0.481338))+0-0-0</f>
        <v>6396.0603280000005</v>
      </c>
      <c r="W136" s="3">
        <f>7098.1+(261.4-1060.5)+(0+(0-0))+0-0-0</f>
        <v>6299</v>
      </c>
      <c r="X136" s="3">
        <f>6904.2+(369.2-1202.9)+(-3.521142+(-0.188292--0.613479))+0-0-0</f>
        <v>6067.4040450000002</v>
      </c>
      <c r="Y136" s="3">
        <f>6414+(476.5-1080.2)+(9.81342+(0.729045-1.652706))+0-0-0</f>
        <v>5819.1897589999999</v>
      </c>
      <c r="Z136" s="3">
        <f>7214.8+(607.8-1648.4)+(3.679548+(0.309978-0.840684))+0-0-0</f>
        <v>6177.3488419999994</v>
      </c>
      <c r="AA136" s="3">
        <f>7648.4+(532.9-1931.9)+(-11.702052+(-0.815337--2.955807))+0-0-0</f>
        <v>6239.8384179999994</v>
      </c>
      <c r="AB136" s="3">
        <f>7592.4+(519.7-2081.6)+(-7.744248+(-0.530094--2.123232))+0-0-0</f>
        <v>6024.3488900000002</v>
      </c>
      <c r="AC136" s="3">
        <f>7325.6+(505.7-2187.1)+(-18.68028+(-1.289535--5.577105))+0-0-0</f>
        <v>5629.8072900000006</v>
      </c>
      <c r="AD136">
        <f t="shared" si="2"/>
        <v>132453.28199799999</v>
      </c>
      <c r="AE136" s="3">
        <f>7607+(540.7-1943.2)+(0+(0-0))+0-0-0</f>
        <v>6204.5</v>
      </c>
    </row>
    <row r="137" spans="1:31" s="2" customFormat="1" x14ac:dyDescent="0.25">
      <c r="A137">
        <v>89</v>
      </c>
      <c r="B137">
        <v>5</v>
      </c>
      <c r="C137">
        <v>13</v>
      </c>
      <c r="D137">
        <v>5</v>
      </c>
      <c r="E137">
        <v>1</v>
      </c>
      <c r="F137" s="3">
        <f>7244.7+(429-2483.8)+(-7.389594+(-0.43758--2.533476))+0-0-0</f>
        <v>5184.6063019999992</v>
      </c>
      <c r="G137" s="3">
        <f>6991.6+(165.6-2420)+(-7.131432+(-0.168912--2.4684))+0-0-0</f>
        <v>4732.3680560000012</v>
      </c>
      <c r="H137" s="3">
        <f>6408.6+(208.7-2174.3)+(-3.268386+(-0.106437--1.108893))+0-0-0</f>
        <v>4440.7340700000004</v>
      </c>
      <c r="I137" s="3">
        <f>5984.7+(239.6-1946.4)+(-12.208788+(-0.488784--3.970656))+0-0-0</f>
        <v>4269.173084</v>
      </c>
      <c r="J137" s="3">
        <f>5976.4+(189.7-1971.5)+(-15.23982+(-0.483735--5.027325))+0-0-0</f>
        <v>4183.9037699999999</v>
      </c>
      <c r="K137" s="3">
        <f>5912.1+(219.6-1957.2)+(-12.060684+(-0.447984--3.992688))+0-0-0</f>
        <v>4165.9840199999999</v>
      </c>
      <c r="L137" s="3">
        <f>5761+(226.2-1733.4)+(-11.75244+(-0.461448--3.536136))+0-0-0</f>
        <v>4245.1222480000006</v>
      </c>
      <c r="M137" s="3">
        <f>6002.5+(258-1467)+(6.12255+(0.26316-1.49634))+0-0-0</f>
        <v>4798.3893699999999</v>
      </c>
      <c r="N137" s="3">
        <f>6241.4+(290.4-1379.1)+(-3.183114+(-0.148104--0.703341))+0-0-0</f>
        <v>5150.0721229999999</v>
      </c>
      <c r="O137" s="3">
        <f>6576.7+(609.3-1497.8)+(-3.354117+(-0.310743--0.763878))+0-0-0</f>
        <v>5685.2990179999997</v>
      </c>
      <c r="P137" s="3">
        <f>7034.3+(662.4-1515.9)+(17.937465+(1.68912-3.865545))+0-0-0</f>
        <v>6196.5610400000005</v>
      </c>
      <c r="Q137" s="3">
        <f>7368.8+(567.2-1548)+(0+(0-0))+0-0-0</f>
        <v>6388</v>
      </c>
      <c r="R137" s="3">
        <f>7433+(504.4-1625.4)+(7.58166+(0.514488-1.657908))+0-0-0</f>
        <v>6318.4382400000004</v>
      </c>
      <c r="S137" s="3">
        <f>7442.5+(483.1-1552.3)+(-7.59135+(-0.492762--1.583346))+0-0-0</f>
        <v>6366.7992340000001</v>
      </c>
      <c r="T137" s="3">
        <f>7471.5+(431.3-1420.4)+(0+(0-0))+0-0-0</f>
        <v>6482.4</v>
      </c>
      <c r="U137" s="3">
        <f>7407.6+(425.1-1355.2)+(0+(0-0))+0-0-0</f>
        <v>6477.5</v>
      </c>
      <c r="V137" s="3">
        <f>7326.2+(429.9-1300.6)+(-3.736362+(-0.219249--0.663306))+0-0-0</f>
        <v>6452.2076950000001</v>
      </c>
      <c r="W137" s="3">
        <f>7292.5+(528-1489)+(-7.43835+(-0.53856--1.51878))+0-0-0</f>
        <v>6325.04187</v>
      </c>
      <c r="X137" s="3">
        <f>7259.7+(569-1724.8)+(-14.809788+(-1.16076--3.518592))+0-0-0</f>
        <v>6091.4480439999998</v>
      </c>
      <c r="Y137" s="3">
        <f>6793.7+(673.6-1568.4)+(-3.464787+(-0.343536--0.799884))+0-0-0</f>
        <v>5895.8915609999995</v>
      </c>
      <c r="Z137" s="3">
        <f>7444.1+(839.7-1677.1)+(-11.389473+(-1.284741--2.565963))+0-0-0</f>
        <v>6596.5917490000011</v>
      </c>
      <c r="AA137" s="3">
        <f>7636.1+(954.6-1830.7)+(-11.683233+(-1.460538--2.800971))+0-0-0</f>
        <v>6749.6571999999996</v>
      </c>
      <c r="AB137" s="3">
        <f>7588.4+(950.5-2037.2)+(3.870084+(0.484755-1.038972))+0-0-0</f>
        <v>6505.0158670000001</v>
      </c>
      <c r="AC137" s="3">
        <f>7481.1+(804.7-2121)+(-11.446083+(-1.231191--3.24513))+0-0-0</f>
        <v>6155.3678559999998</v>
      </c>
      <c r="AD137">
        <f t="shared" si="2"/>
        <v>135856.57241699999</v>
      </c>
      <c r="AE137" s="3">
        <f>7693+(721.5-1970.3)+(0+(0-0))+0-0-0</f>
        <v>6444.2</v>
      </c>
    </row>
    <row r="138" spans="1:31" s="2" customFormat="1" x14ac:dyDescent="0.25">
      <c r="A138">
        <v>89</v>
      </c>
      <c r="B138">
        <v>5</v>
      </c>
      <c r="C138">
        <v>14</v>
      </c>
      <c r="D138">
        <v>6</v>
      </c>
      <c r="E138">
        <v>1</v>
      </c>
      <c r="F138" s="3">
        <f>7155.6+(472-2390.6)+(-3.649356+(-0.24072--1.219206))+0-0-0</f>
        <v>5234.3291300000001</v>
      </c>
      <c r="G138" s="3">
        <f>6797.4+(269.3-2283.9)+(-3.466674+(-0.137343--1.164789))+0-0-0</f>
        <v>4780.3607719999991</v>
      </c>
      <c r="H138" s="3">
        <f>6597.5+(230.9-2317.3)+(-6.72945+(-0.235518--2.363646))+0-0-0</f>
        <v>4506.4986779999999</v>
      </c>
      <c r="I138" s="3">
        <f>6371.9+(225.9-2253.3)+(-6.499338+(-0.230418--2.298366))+0-0-0</f>
        <v>4340.0686100000003</v>
      </c>
      <c r="J138" s="3">
        <f>6227.7+(252.1-2191.3)+(-12.704508+(-0.514284--4.470252))+0-0-0</f>
        <v>4279.7514600000004</v>
      </c>
      <c r="K138" s="3">
        <f>6021.8+(246.1-2019.8)+(-15.35559+(-0.627555--5.15049))+0-0-0</f>
        <v>4237.2673450000002</v>
      </c>
      <c r="L138" s="3">
        <f>5780.7+(245.3-1846.2)+(-8.844471+(-0.375309--2.824686))+0-0-0</f>
        <v>4173.4049059999988</v>
      </c>
      <c r="M138" s="3">
        <f>6025.3+(228.5-1798.5)+(-3.072903+(-0.116535--0.917235))+0-0-0</f>
        <v>4453.0277969999997</v>
      </c>
      <c r="N138" s="3">
        <f>6309.2+(275.7-1567.8)+(3.217692+(0.140607-0.799578))+0-0-0</f>
        <v>5019.6587210000007</v>
      </c>
      <c r="O138" s="3">
        <f>6610.3+(345.1-1434.8)+(-3.371253+(-0.176001--0.731748))+0-0-0</f>
        <v>5517.7844940000004</v>
      </c>
      <c r="P138" s="3">
        <f>7191.6+(249.4-1504.6)+(3.667716+(0.127194-0.767346))+0-0-0</f>
        <v>5939.4275640000005</v>
      </c>
      <c r="Q138" s="3">
        <f>7303.8+(277.7-1392.6)+(-3.724938+(-0.141627--0.710226))+0-0-0</f>
        <v>6185.7436610000004</v>
      </c>
      <c r="R138" s="3">
        <f>7362.4+(263.1-1365.5)+(0+(0-0))+0-0-0</f>
        <v>6260</v>
      </c>
      <c r="S138" s="3">
        <f>7375.4+(211.1-1521)+(-11.284362+(-0.322983--2.32713))+0-0-0</f>
        <v>6056.2197850000002</v>
      </c>
      <c r="T138" s="3">
        <f>7377.6+(176.5-1556.3)+(0+(0-0))+0-0-0</f>
        <v>5997.8</v>
      </c>
      <c r="U138" s="3">
        <f>7211.9+(159-1469.8)+(-18.390345+(-0.40545--3.74799))+0-0-0</f>
        <v>5886.0521949999993</v>
      </c>
      <c r="V138" s="3">
        <f>7045.1+(182.4-1389.7)+(3.593001+(0.093024-0.708747))+0-0-0</f>
        <v>5840.7772780000005</v>
      </c>
      <c r="W138" s="3">
        <f>7024.4+(293.1-1558.3)+(-10.747332+(-0.448443--2.384199))+0-0-0</f>
        <v>5750.3884239999998</v>
      </c>
      <c r="X138" s="3">
        <f>6783.1+(454.6-1592.4)+(-13.837524+(-0.927384--3.248496))+0-0-0</f>
        <v>5633.7835880000002</v>
      </c>
      <c r="Y138" s="3">
        <f>6652.6+(427.7-1520)+(-3.392826+(-0.218127--0.7752))+0-0-0</f>
        <v>5557.4642469999999</v>
      </c>
      <c r="Z138" s="3">
        <f>7407.7+(428.7-1860.9)+(-11.333781+(-0.655911--2.847177))+0-0-0</f>
        <v>5966.3574850000005</v>
      </c>
      <c r="AA138" s="3">
        <f>7615.5+(514.4-2040.2)+(-11.651715+(-0.787032--3.121506))+0-0-0</f>
        <v>6080.3827590000001</v>
      </c>
      <c r="AB138" s="3">
        <f>7519.6+(462.1-2123.7)+(-15.339984+(-0.942684--4.332348))+0-0-0</f>
        <v>5846.0496800000001</v>
      </c>
      <c r="AC138" s="3">
        <f>7446.9+(453.6-2350.1)+(-3.797919+(-0.231336--1.198551))+0-0-0</f>
        <v>5547.5692959999997</v>
      </c>
      <c r="AD138">
        <f t="shared" si="2"/>
        <v>129090.16787499998</v>
      </c>
      <c r="AE138" s="3">
        <f>7720+(475.4-1981.9)+(0+(0-0))+0-0-0</f>
        <v>6213.5</v>
      </c>
    </row>
    <row r="139" spans="1:31" s="2" customFormat="1" x14ac:dyDescent="0.25">
      <c r="A139">
        <v>89</v>
      </c>
      <c r="B139">
        <v>5</v>
      </c>
      <c r="C139">
        <v>15</v>
      </c>
      <c r="D139">
        <v>7</v>
      </c>
      <c r="E139">
        <v>1</v>
      </c>
      <c r="F139" s="3">
        <f>7312.7+(357.2-2509.7)+(-11.188431+(-0.546516--3.839841))+0-0-0</f>
        <v>5152.3048939999999</v>
      </c>
      <c r="G139" s="3">
        <f>6796.7+(170.8-2225.2)+(-10.398951+(-0.261324--3.404556))+0-0-0</f>
        <v>4735.0442810000004</v>
      </c>
      <c r="H139" s="3">
        <f>6236.1+(214.9-1989.4)+(0+(0-0))+0-0-0</f>
        <v>4461.6000000000004</v>
      </c>
      <c r="I139" s="3">
        <f>6179.2+(137.3-2039.3)+(-9.454176+(-0.210069--3.120129))+0-0-0</f>
        <v>4270.6558839999998</v>
      </c>
      <c r="J139" s="3">
        <f>6210.7+(92.5-2138.9)+(-3.167457+(-0.047175--1.090839))+0-0-0</f>
        <v>4162.1762069999995</v>
      </c>
      <c r="K139" s="3">
        <f>6023.3+(134.3-2080.9)+(-15.359415+(-0.342465--5.306295))+0-0-0</f>
        <v>4066.3044149999996</v>
      </c>
      <c r="L139" s="3">
        <f>5271+(218.5-1657.5)+(-13.44105+(-0.557175--4.226625))+0-0-0</f>
        <v>3822.2284</v>
      </c>
      <c r="M139" s="3">
        <f>5126.9+(203.4-1580.2)+(0+(0-0))+0-0-0</f>
        <v>3750.0999999999995</v>
      </c>
      <c r="N139" s="3">
        <f>5201.2+(197.1-1441.4)+(-10.610448+(-0.402084--2.940456))+0-0-0</f>
        <v>3948.8279239999997</v>
      </c>
      <c r="O139" s="3">
        <f>5454.2+(231.6-1413)+(5.563284+(0.236232-1.44126))+0-0-0</f>
        <v>4277.1582559999997</v>
      </c>
      <c r="P139" s="3">
        <f>5921.7+(320.8-1504)+(0+(0-0))+0-0-0</f>
        <v>4738.5</v>
      </c>
      <c r="Q139" s="3">
        <f>6206.3+(272.4-1384.7)+(-3.165213+(-0.138924--0.706197))+0-0-0</f>
        <v>5091.4020600000003</v>
      </c>
      <c r="R139" s="3">
        <f>6316.2+(222.4-1273.9)+(-9.663786+(-0.340272--1.949067))+0-0-0</f>
        <v>5256.6450089999998</v>
      </c>
      <c r="S139" s="3">
        <f>6307.9+(218.6-1249.1)+(-3.217029+(-0.111486--0.637041))+0-0-0</f>
        <v>5274.7085259999994</v>
      </c>
      <c r="T139" s="3">
        <f>6363.3+(247.2-1363.8)+(-9.735849+(-0.378216--2.086614))+0-0-0</f>
        <v>5238.6725490000008</v>
      </c>
      <c r="U139" s="3">
        <f>6350.8+(318.5-1483.4)+(-3.238908+(-0.162435--0.756534))+0-0-0</f>
        <v>5183.2551909999993</v>
      </c>
      <c r="V139" s="3">
        <f>6232.8+(355.8-1435.6)+(-15.89364+(-0.90729--3.66078))+0-0-0</f>
        <v>5139.8598499999998</v>
      </c>
      <c r="W139" s="3">
        <f>6188.3+(380.1-1377)+(-15.780165+(-0.969255--3.51135))+0-0-0</f>
        <v>5178.1619300000002</v>
      </c>
      <c r="X139" s="3">
        <f>6078.4+(440.6-1314.1)+(-9.299952+(-0.674118--2.010573))+0-0-0</f>
        <v>5196.9365029999999</v>
      </c>
      <c r="Y139" s="3">
        <f>5922.7+(504.3-1223.8)+(0+(0-0))+0-0-0</f>
        <v>5203.2</v>
      </c>
      <c r="Z139" s="3">
        <f>6452.1+(353.3-1102.7)+(3.290571+(0.180183-0.562377))+0-0-0</f>
        <v>5705.6083770000005</v>
      </c>
      <c r="AA139" s="3">
        <f>6709.8+(336.1-1173.8)+(-3.421998+(-0.171411--0.598638))+0-0-0</f>
        <v>5869.1052290000007</v>
      </c>
      <c r="AB139" s="3">
        <f>6794.1+(444.9-1541.9)+(0+(0-0))+0-0-0</f>
        <v>5697.1</v>
      </c>
      <c r="AC139" s="3">
        <f>6738+(453-1678.4)+(-10.30914+(-0.69309--2.567952))+0-0-0</f>
        <v>5504.1657220000006</v>
      </c>
      <c r="AD139">
        <f t="shared" si="2"/>
        <v>116923.72120700002</v>
      </c>
      <c r="AE139" s="3">
        <f>6768+(418.3-1430.2)+(0+(0-0))+0-0-0</f>
        <v>5756.1</v>
      </c>
    </row>
    <row r="140" spans="1:31" s="2" customFormat="1" x14ac:dyDescent="0.25">
      <c r="A140">
        <v>89</v>
      </c>
      <c r="B140">
        <v>5</v>
      </c>
      <c r="C140">
        <v>16</v>
      </c>
      <c r="D140">
        <v>1</v>
      </c>
      <c r="E140">
        <v>1</v>
      </c>
      <c r="F140" s="3">
        <f>6722.2+(331.7-1939.9)+(-3.428322+(-0.169167--0.989349))+0-0-0</f>
        <v>5111.3918599999997</v>
      </c>
      <c r="G140" s="3">
        <f>6706.6+(276.1-2279.3)+(-3.420366+(-0.140811--1.162443))+0-0-0</f>
        <v>4701.0012659999993</v>
      </c>
      <c r="H140" s="3">
        <f>6453.1+(175.7-2184.3)+(-3.291081+(-0.089607--1.113993))+0-0-0</f>
        <v>4442.2333049999997</v>
      </c>
      <c r="I140" s="3">
        <f>6322.2+(154.7-2197)+(-6.448644+(-0.157794--2.24094))+0-0-0</f>
        <v>4275.5345019999995</v>
      </c>
      <c r="J140" s="3">
        <f>6265.7+(147.7-2197.4)+(-9.586521+(-0.225981--3.362022))+0-0-0</f>
        <v>4209.5495199999996</v>
      </c>
      <c r="K140" s="3">
        <f>6157.9+(165.7-2110.8)+(-9.421587+(-0.253521--3.229524))+0-0-0</f>
        <v>4206.3544159999992</v>
      </c>
      <c r="L140" s="3">
        <f>5836.7+(226.1-1898.6)+(-14.883585+(-0.576555--4.84143))+0-0-0</f>
        <v>4153.5812900000001</v>
      </c>
      <c r="M140" s="3">
        <f>5884.1+(218.4-1503.9)+(0+(0-0))+0-0-0</f>
        <v>4598.6000000000004</v>
      </c>
      <c r="N140" s="3">
        <f>6602.4+(307.4-1613.8)+(-3.367224+(-0.156774--0.823038))+0-0-0</f>
        <v>5293.2990399999999</v>
      </c>
      <c r="O140" s="3">
        <f>7224.7+(473.8-1753.8)+(0+(0-0))+0-0-0</f>
        <v>5944.7</v>
      </c>
      <c r="P140" s="3">
        <f>7445.6+(645.7-1659.8)+(3.797256+(0.329307-0.846498))+0-0-0</f>
        <v>6434.7800649999999</v>
      </c>
      <c r="Q140" s="3">
        <f>7392.9+(735-1429.4)+(-3.770379+(-0.37485--0.728994))+0-0-0</f>
        <v>6695.0837650000003</v>
      </c>
      <c r="R140" s="3">
        <f>7361.3+(653.9-1183.8)+(3.754263+(0.333489-0.603738))+0-0-0</f>
        <v>6834.8840140000002</v>
      </c>
      <c r="S140" s="3">
        <f>7324.5+(555-1109)+(-11.206485+(-0.84915--1.69677))+0-0-0</f>
        <v>6760.1411349999998</v>
      </c>
      <c r="T140" s="3">
        <f>7371.7+(479.8-974)+(0+(0-0))+0-0-0</f>
        <v>6877.5</v>
      </c>
      <c r="U140" s="3">
        <f>7333.2+(426.4-871.7)+(0+(0-0))+0-0-0</f>
        <v>6887.9</v>
      </c>
      <c r="V140" s="3">
        <f>7243.7+(403.9-813)+(-14.777148+(-0.823956--1.65852))+0-0-0</f>
        <v>6820.6574159999991</v>
      </c>
      <c r="W140" s="3">
        <f>7263.8+(543.7-1131.9)+(-7.409076+(-0.554574--1.154538))+0-0-0</f>
        <v>6668.7908880000005</v>
      </c>
      <c r="X140" s="3">
        <f>7214.6+(742.9-1521.2)+(-11.038338+(-1.136637--2.327436))+0-0-0</f>
        <v>6426.4524609999999</v>
      </c>
      <c r="Y140" s="3">
        <f>6889.8+(631.7-1299.3)+(0+(0-0))+0-0-0</f>
        <v>6222.2000000000007</v>
      </c>
      <c r="Z140" s="3">
        <f>7449.9+(640.4-1504.4)+(0+(0-0))+0-0-0</f>
        <v>6585.9</v>
      </c>
      <c r="AA140" s="3">
        <f>7635.7+(584.2-1543.2)+(0+(0-0))+0-0-0</f>
        <v>6676.7</v>
      </c>
      <c r="AB140" s="3">
        <f>7631.1+(597-1840.9)+(7.783722+(0.60894-1.877718))+0-0-0</f>
        <v>6393.7149440000003</v>
      </c>
      <c r="AC140" s="3">
        <f>7553+(549.6-2081.2)+(-3.85203+(-0.280296--1.061412))+0-0-0</f>
        <v>6018.3290859999997</v>
      </c>
      <c r="AD140">
        <f t="shared" si="2"/>
        <v>139239.27897299998</v>
      </c>
      <c r="AE140" s="3">
        <f>7603+(573.7-1520.3)+(0+(0-0))+0-0-0</f>
        <v>6656.4</v>
      </c>
    </row>
    <row r="141" spans="1:31" s="2" customFormat="1" x14ac:dyDescent="0.25">
      <c r="A141">
        <v>89</v>
      </c>
      <c r="B141">
        <v>5</v>
      </c>
      <c r="C141">
        <v>17</v>
      </c>
      <c r="D141">
        <v>2</v>
      </c>
      <c r="E141">
        <v>1</v>
      </c>
      <c r="F141" s="3">
        <f>7243.3+(404.4-2223.3)+(-14.776332+(-0.824976--4.535532))+0-0-0</f>
        <v>5413.3342239999993</v>
      </c>
      <c r="G141" s="3">
        <f>7065.6+(163.7-2262.1)+(-3.603456+(-0.083487--1.153671))+0-0-0</f>
        <v>4964.6667280000011</v>
      </c>
      <c r="H141" s="3">
        <f>6741.7+(181.9-2248.7)+(0+(0-0))+0-0-0</f>
        <v>4674.8999999999996</v>
      </c>
      <c r="I141" s="3">
        <f>6611.4+(130.1-2222.4)+(-10.115442+(-0.199053--3.400272))+0-0-0</f>
        <v>4512.1857769999997</v>
      </c>
      <c r="J141" s="3">
        <f>6557.6+(141.2-2259.3)+(-6.688752+(-0.144024--2.304486))+0-0-0</f>
        <v>4434.9717099999998</v>
      </c>
      <c r="K141" s="3">
        <f>6395.5+(170.6-2145.6)+(-6.52341+(-0.174012--2.188512))+0-0-0</f>
        <v>4415.9910900000004</v>
      </c>
      <c r="L141" s="3">
        <f>6108+(224.1-1994.9)+(-12.46032+(-0.457164--4.069596))+0-0-0</f>
        <v>4328.3521119999996</v>
      </c>
      <c r="M141" s="3">
        <f>6255.8+(244.1-1787.1)+(0+(0-0))+0-0-0</f>
        <v>4712.8</v>
      </c>
      <c r="N141" s="3">
        <f>6720.8+(310.5-1602.2)+(-3.427608+(-0.158355--0.817122))+0-0-0</f>
        <v>5426.3311590000003</v>
      </c>
      <c r="O141" s="3">
        <f>7240.9+(309.1-1546.7)+(-11.078577+(-0.472923--2.366451))+0-0-0</f>
        <v>5994.1149509999996</v>
      </c>
      <c r="P141" s="3">
        <f>7540.6+(739.8-1683.2)+(0+(0-0))+0-0-0</f>
        <v>6597.2000000000007</v>
      </c>
      <c r="Q141" s="3">
        <f>7469.5+(649.9-1378.4)+(0+(0-0))+0-0-0</f>
        <v>6741</v>
      </c>
      <c r="R141" s="3">
        <f>7537+(488.5-1133)+(3.84387+(0.249135-0.57783))+0-0-0</f>
        <v>6896.0151750000005</v>
      </c>
      <c r="S141" s="3">
        <f>7499.8+(344.9-1029.1)+(-3.824898+(-0.175899--0.524841))+0-0-0</f>
        <v>6812.1240440000001</v>
      </c>
      <c r="T141" s="3">
        <f>7509.5+(353-956.2)+(3.829845+(0.18003-0.487662))+0-0-0</f>
        <v>6909.8222130000004</v>
      </c>
      <c r="U141" s="3">
        <f>7479+(346.5-960.6)+(-3.81429+(-0.176715--0.489906))+0-0-0</f>
        <v>6861.3989009999996</v>
      </c>
      <c r="V141" s="3">
        <f>7380.4+(382.3-936.6)+(-3.764004+(-0.194973--0.477666))+0-0-0</f>
        <v>6822.6186889999999</v>
      </c>
      <c r="W141" s="3">
        <f>7346.8+(581.1-1246.1)+(-11.240604+(-0.889083--1.906533))+0-0-0</f>
        <v>6671.5768459999999</v>
      </c>
      <c r="X141" s="3">
        <f>7282.7+(672.7-1511.3)+(-18.570885+(-1.715385--3.853815))+0-0-0</f>
        <v>6427.6675450000002</v>
      </c>
      <c r="Y141" s="3">
        <f>6920.7+(513-1259.9)+(-7.059114+(-0.52326--1.285098))+0-0-0</f>
        <v>6167.502723999999</v>
      </c>
      <c r="Z141" s="3">
        <f>7480.4+(641.2-1540.1)+(-3.815004+(-0.327012--0.785451))+0-0-0</f>
        <v>6578.143435</v>
      </c>
      <c r="AA141" s="3">
        <f>7629.5+(611.2-1595)+(-11.673135+(-0.935136--2.44035))+0-0-0</f>
        <v>6635.5320789999996</v>
      </c>
      <c r="AB141" s="3">
        <f>7604.3+(620.8-1820)+(0+(0-0))+0-0-0</f>
        <v>6405.1</v>
      </c>
      <c r="AC141" s="3">
        <f>7451.5+(569.2-1941.3)+(-7.60053+(-0.580584--1.980126))+0-0-0</f>
        <v>6073.199012</v>
      </c>
      <c r="AD141">
        <f t="shared" si="2"/>
        <v>141476.54841399999</v>
      </c>
      <c r="AE141" s="3">
        <f>7635+(567.7-1508.1)+(0+(0-0))+0-0-0</f>
        <v>6694.6</v>
      </c>
    </row>
    <row r="142" spans="1:31" s="2" customFormat="1" x14ac:dyDescent="0.25">
      <c r="A142">
        <v>89</v>
      </c>
      <c r="B142">
        <v>5</v>
      </c>
      <c r="C142">
        <v>18</v>
      </c>
      <c r="D142">
        <v>3</v>
      </c>
      <c r="E142">
        <v>1</v>
      </c>
      <c r="F142" s="3">
        <f>7096.2+(388.2-1974.5)+(-18.09531+(-0.98991--5.034975))+0-0-0</f>
        <v>5495.8497549999993</v>
      </c>
      <c r="G142" s="3">
        <f>6742.8+(124.5-1871)+(-6.877656+(-0.12699--1.90842))+0-0-0</f>
        <v>4991.2037740000005</v>
      </c>
      <c r="H142" s="3">
        <f>6432.6+(123-1830.3)+(-3.280626+(-0.06273--0.933453))+0-0-0</f>
        <v>4722.8900970000004</v>
      </c>
      <c r="I142" s="3">
        <f>6180+(156.2-1775.8)+(3.1518+(0.079662-0.905658))+0-0-0</f>
        <v>4562.7258039999997</v>
      </c>
      <c r="J142" s="3">
        <f>6079.2+(225-1814.7)+(9.301176+(0.34425-2.776491))+0-0-0</f>
        <v>4496.3689350000004</v>
      </c>
      <c r="K142" s="3">
        <f>5795.9+(356.1-1711.5)+(-2.955909+(-0.181611--0.872865))+0-0-0</f>
        <v>4438.2353450000001</v>
      </c>
      <c r="L142" s="3">
        <f>5645.6+(364.9-1683.2)+(-8.637768+(-0.558297--2.575296))+0-0-0</f>
        <v>4320.6792310000001</v>
      </c>
      <c r="M142" s="3">
        <f>5862.6+(351.6-1494.2)+(0+(0-0))+0-0-0</f>
        <v>4720</v>
      </c>
      <c r="N142" s="3">
        <f>6339.3+(576.9-1571)+(6.466086+(0.588438-1.60242))+0-0-0</f>
        <v>5350.6521039999998</v>
      </c>
      <c r="O142" s="3">
        <f>6827.1+(692-1451)+(-6.963642+(-0.70584--1.48002))+0-0-0</f>
        <v>6061.9105380000001</v>
      </c>
      <c r="P142" s="3">
        <f>7075+(827.8-1366.8)+(10.82475+(1.266534-2.091204))+0-0-0</f>
        <v>6546.0000799999998</v>
      </c>
      <c r="Q142" s="3">
        <f>7146.2+(671.1-983.2)+(3.644562+(0.342261-0.501432))+0-0-0</f>
        <v>6837.5853909999996</v>
      </c>
      <c r="R142" s="3">
        <f>7203.4+(559.5-832.4)+(-7.347468+(-0.57069--0.849048))+0-0-0</f>
        <v>6923.4308899999996</v>
      </c>
      <c r="S142" s="3">
        <f>7252.4+(444.2-824.7)+(3.698724+(0.226542-0.420597))+0-0-0</f>
        <v>6875.4046689999996</v>
      </c>
      <c r="T142" s="3">
        <f>7248.7+(370.9-736.6)+(0+(0-0))+0-0-0</f>
        <v>6883</v>
      </c>
      <c r="U142" s="3">
        <f>7222.8+(343.4-674.4)+(0+(0-0))+0-0-0</f>
        <v>6891.8</v>
      </c>
      <c r="V142" s="3">
        <f>7251.4+(388.3-792.3)+(-3.698214+(-0.198033--0.404073))+0-0-0</f>
        <v>6843.9078259999997</v>
      </c>
      <c r="W142" s="3">
        <f>7275.2+(495.7-1050.2)+(-7.420704+(-0.505614--1.071204))+0-0-0</f>
        <v>6713.8448859999999</v>
      </c>
      <c r="X142" s="3">
        <f>7217.5+(635.7-1363.6)+(-18.404625+(-1.621035--3.47718))+0-0-0</f>
        <v>6473.05152</v>
      </c>
      <c r="Y142" s="3">
        <f>6862.1+(511-1123.9)+(-6.999342+(-0.52122--1.146378))+0-0-0</f>
        <v>6242.8258160000005</v>
      </c>
      <c r="Z142" s="3">
        <f>7449.2+(609.8-1385.4)+(-3.799092+(-0.310998--0.706554))+0-0-0</f>
        <v>6670.1964639999997</v>
      </c>
      <c r="AA142" s="3">
        <f>7539.9+(576.6-1367.7)+(-15.381396+(-1.176264--2.790108))+0-0-0</f>
        <v>6735.032447999999</v>
      </c>
      <c r="AB142" s="3">
        <f>7496.8+(599.8-1663.4)+(-7.646736+(-0.611796--1.696668))+0-0-0</f>
        <v>6426.6381359999996</v>
      </c>
      <c r="AC142" s="3">
        <f>7411.6+(616.2-1900.6)+(-7.559832+(-0.628524--1.938612))+0-0-0</f>
        <v>6120.950256000001</v>
      </c>
      <c r="AD142">
        <f t="shared" si="2"/>
        <v>142344.183965</v>
      </c>
      <c r="AE142" s="3">
        <f>7469+(551.2-1296.3)+(0+(0-0))+0-0-0</f>
        <v>6723.9</v>
      </c>
    </row>
    <row r="143" spans="1:31" s="2" customFormat="1" x14ac:dyDescent="0.25">
      <c r="A143">
        <v>89</v>
      </c>
      <c r="B143">
        <v>5</v>
      </c>
      <c r="C143">
        <v>19</v>
      </c>
      <c r="D143">
        <v>4</v>
      </c>
      <c r="E143">
        <v>1</v>
      </c>
      <c r="F143" s="3">
        <f>7117.8+(598.2-2173.6)+(-7.260156+(-0.610164--2.217072))+0-0-0</f>
        <v>5536.7467520000009</v>
      </c>
      <c r="G143" s="3">
        <f>6789.3+(481.2-2211.4)+(-6.925086+(-0.490824--2.255628))+0-0-0</f>
        <v>5053.9397180000005</v>
      </c>
      <c r="H143" s="3">
        <f>6672+(270.7-2170.7)+(-13.61088+(-0.552228--4.428228))+0-0-0</f>
        <v>4762.26512</v>
      </c>
      <c r="I143" s="3">
        <f>6548.4+(216.3-2159.6)+(3.339684+(0.110313-1.101396))+0-0-0</f>
        <v>4607.4486009999991</v>
      </c>
      <c r="J143" s="3">
        <f>6323.7+(269.6-2060.2)+(12.900348+(0.549984-4.202808))+0-0-0</f>
        <v>4542.3475240000007</v>
      </c>
      <c r="K143" s="3">
        <f>6341.5+(317.1-2172.8)+(6.46833+(0.323442-2.216256))+0-0-0</f>
        <v>4490.3755159999992</v>
      </c>
      <c r="L143" s="3">
        <f>5958.6+(350.7-1906.3)+(-6.077772+(-0.357714--1.944426))+0-0-0</f>
        <v>4398.5089399999997</v>
      </c>
      <c r="M143" s="3">
        <f>6341.6+(292.6-1891.8)+(6.468432+(0.298452-1.929636))+0-0-0</f>
        <v>4747.2372480000004</v>
      </c>
      <c r="N143" s="3">
        <f>6863.4+(500.1-1895.9)+(10.501002+(0.765153-2.900727))+0-0-0</f>
        <v>5475.9654279999995</v>
      </c>
      <c r="O143" s="3">
        <f>7031+(755.8-1723.6)+(14.34324+(1.541832-3.516144))+0-0-0</f>
        <v>6075.5689279999997</v>
      </c>
      <c r="P143" s="3">
        <f>7164.9+(782.8-1399.3)+(7.308198+(0.798456-1.427286))+0-0-0</f>
        <v>6555.0793679999997</v>
      </c>
      <c r="Q143" s="3">
        <f>7182.1+(717.3-1047.4)+(0+(0-0))+0-0-0</f>
        <v>6852</v>
      </c>
      <c r="R143" s="3">
        <f>7200.7+(619.6-876)+(3.672357+(0.315996-0.44676))+0-0-0</f>
        <v>6947.8415930000001</v>
      </c>
      <c r="S143" s="3">
        <f>7180.7+(477.6-817.4)+(0+(0-0))+0-0-0</f>
        <v>6840.9</v>
      </c>
      <c r="T143" s="3">
        <f>7205.1+(396.8-627.9)+(0+(0-0))+0-0-0</f>
        <v>6974</v>
      </c>
      <c r="U143" s="3">
        <f>7145.6+(411.1-615.6)+(3.644256+(0.209661-0.313956))+0-0-0</f>
        <v>6944.6399610000008</v>
      </c>
      <c r="V143" s="3">
        <f>7078.7+(442.1-623.4)+(7.220274+(0.450942-0.635868))+0-0-0</f>
        <v>6904.435348</v>
      </c>
      <c r="W143" s="3">
        <f>7060.1+(502.5-813.7)+(-14.402604+(-1.0251--1.659948))+0-0-0</f>
        <v>6735.1322440000004</v>
      </c>
      <c r="X143" s="3">
        <f>7010.7+(695.5-1233.4)+(-17.877285+(-1.773525--3.14517))+0-0-0</f>
        <v>6456.294359999999</v>
      </c>
      <c r="Y143" s="3">
        <f>6758.1+(686.2-1221.2)+(6.893262+(0.699924-1.245624))+0-0-0</f>
        <v>6229.4475620000003</v>
      </c>
      <c r="Z143" s="3">
        <f>7345.9+(596.9-1277.2)+(0+(0-0))+0-0-0</f>
        <v>6665.5999999999995</v>
      </c>
      <c r="AA143" s="3">
        <f>7493.8+(532.1-1311)+(-7.643676+(-0.542742--1.33722))+0-0-0</f>
        <v>6708.0508020000007</v>
      </c>
      <c r="AB143" s="3">
        <f>7467.3+(548.6-1566.5)+(-3.808323+(-0.279786--0.798915))+0-0-0</f>
        <v>6446.1108060000006</v>
      </c>
      <c r="AC143" s="3">
        <f>7409.8+(541.9-1815.9)+(-15.115992+(-1.105476--3.704436))+0-0-0</f>
        <v>6123.2829680000004</v>
      </c>
      <c r="AD143">
        <f t="shared" si="2"/>
        <v>143073.21878700005</v>
      </c>
      <c r="AE143" s="3">
        <f>7423+(523.6-1240.5)+(0+(0-0))+0-0-0</f>
        <v>6706.1</v>
      </c>
    </row>
    <row r="144" spans="1:31" s="2" customFormat="1" x14ac:dyDescent="0.25">
      <c r="A144">
        <v>89</v>
      </c>
      <c r="B144">
        <v>5</v>
      </c>
      <c r="C144">
        <v>20</v>
      </c>
      <c r="D144">
        <v>5</v>
      </c>
      <c r="E144">
        <v>1</v>
      </c>
      <c r="F144" s="3">
        <f>7249.8+(573.9-2208.4)+(-14.789592+(-1.170756--4.505136))+0-0-0</f>
        <v>5603.8447880000003</v>
      </c>
      <c r="G144" s="3">
        <f>6769.6+(460.5-2123.1)+(-10.357488+(-0.704565--3.248343))+0-0-0</f>
        <v>5099.1862899999996</v>
      </c>
      <c r="H144" s="3">
        <f>6432.6+(299.4-1925.8)+(-13.122504+(-0.610776--3.928632))+0-0-0</f>
        <v>4796.3953520000005</v>
      </c>
      <c r="I144" s="3">
        <f>6286.9+(177.1-1801.3)+(-16.031595+(-0.451605--4.593315))+0-0-0</f>
        <v>4650.8101150000002</v>
      </c>
      <c r="J144" s="3">
        <f>6312.9+(159.4-1859.5)+(-19.317474+(-0.487764--5.69007))+0-0-0</f>
        <v>4598.684831999999</v>
      </c>
      <c r="K144" s="3">
        <f>6303.7+(156.6-1934.3)+(-12.859548+(-0.319464--3.945972))+0-0-0</f>
        <v>4516.7669599999999</v>
      </c>
      <c r="L144" s="3">
        <f>5822.7+(225.6-1616.5)+(-17.817462+(-0.690336--4.94649))+0-0-0</f>
        <v>4418.238691999999</v>
      </c>
      <c r="M144" s="3">
        <f>5918.3+(211.1-1319.8)+(-9.054999+(-0.322983--2.019294))+0-0-0</f>
        <v>4802.2413120000001</v>
      </c>
      <c r="N144" s="3">
        <f>6539.8+(346.8-1374.6)+(0+(0-0))+0-0-0</f>
        <v>5512</v>
      </c>
      <c r="O144" s="3">
        <f>6875.2+(709.8-1488.3)+(-3.506352+(-0.361998--0.759033))+0-0-0</f>
        <v>6093.5906829999994</v>
      </c>
      <c r="P144" s="3">
        <f>7215.7+(824.2-1507.6)+(11.040021+(1.261026-2.306628))+0-0-0</f>
        <v>6542.2944189999998</v>
      </c>
      <c r="Q144" s="3">
        <f>7236.5+(764.6-1169.3)+(-3.690615+(-0.389946--0.596343))+0-0-0</f>
        <v>6828.3157820000006</v>
      </c>
      <c r="R144" s="3">
        <f>7205.9+(558.6-841.8)+(3.675009+(0.284886-0.429318))+0-0-0</f>
        <v>6926.2305770000003</v>
      </c>
      <c r="S144" s="3">
        <f>7167.5+(408.4-724.4)+(0+(0-0))+0-0-0</f>
        <v>6851.5</v>
      </c>
      <c r="T144" s="3">
        <f>7172.6+(474.7-667.2)+(3.658026+(0.242097-0.340272))+0-0-0</f>
        <v>6983.6598510000003</v>
      </c>
      <c r="U144" s="3">
        <f>7111.6+(505.9-627.2)+(0+(0-0))+0-0-0</f>
        <v>6990.3</v>
      </c>
      <c r="V144" s="3">
        <f>6974.7+(515.7-588.8)+(-14.228388+(-1.052028--1.201152))+0-0-0</f>
        <v>6887.5207360000004</v>
      </c>
      <c r="W144" s="3">
        <f>6947+(321.7-543.2)+(-14.17188+(-0.656268--1.108128))+0-0-0</f>
        <v>6711.7799800000003</v>
      </c>
      <c r="X144" s="3">
        <f>6908.6+(420.7-796.5)+(-21.140316+(-1.287342--2.43729))+0-0-0</f>
        <v>6512.8096320000004</v>
      </c>
      <c r="Y144" s="3">
        <f>6922.3+(496-1065.2)+(3.530373+(0.25296-0.543252))+0-0-0</f>
        <v>6356.3400810000003</v>
      </c>
      <c r="Z144" s="3">
        <f>7309.6+(188.4-622.7)+(7.455792+(0.192168-0.635154))+0-0-0</f>
        <v>6882.3128059999999</v>
      </c>
      <c r="AA144" s="3">
        <f>7390.1+(326.8-828.4)+(-11.306853+(-0.500004--1.267452))+0-0-0</f>
        <v>6877.9605949999996</v>
      </c>
      <c r="AB144" s="3">
        <f>7390.7+(198-958.3)+(0+(0-0))+0-0-0</f>
        <v>6630.4</v>
      </c>
      <c r="AC144" s="3">
        <f>7335+(287.1-1384.5)+(-11.22255+(-0.439263--2.118285))+0-0-0</f>
        <v>6228.0564720000002</v>
      </c>
      <c r="AD144">
        <f t="shared" si="2"/>
        <v>144301.23995500003</v>
      </c>
      <c r="AE144" s="3">
        <f>7454+(409.9-824)+(0+(0-0))+0-0-0</f>
        <v>7039.9</v>
      </c>
    </row>
    <row r="145" spans="1:31" s="2" customFormat="1" x14ac:dyDescent="0.25">
      <c r="A145">
        <v>89</v>
      </c>
      <c r="B145">
        <v>5</v>
      </c>
      <c r="C145">
        <v>21</v>
      </c>
      <c r="D145">
        <v>6</v>
      </c>
      <c r="E145">
        <v>8</v>
      </c>
      <c r="F145" s="3">
        <f>7247.8+(347.4-1767)+(-14.785512+(-0.708696--3.60468))+0-0-0</f>
        <v>5816.310472000001</v>
      </c>
      <c r="G145" s="3">
        <f>7042+(259.6-2077.6)+(-14.36568+(-0.529584--4.238304))+0-0-0</f>
        <v>5213.3430399999997</v>
      </c>
      <c r="H145" s="3">
        <f>6883.6+(172.1-2135.1)+(0+(0-0))+0-0-0</f>
        <v>4920.6000000000004</v>
      </c>
      <c r="I145" s="3">
        <f>6793.7+(91.1-2053)+(6.929574+(0.092922-2.09406))+0-0-0</f>
        <v>4836.7284359999994</v>
      </c>
      <c r="J145" s="3">
        <f>6768.7+(247.2-2037.6)+(-10.356111+(-0.378216--3.117528))+0-0-0</f>
        <v>4970.6832009999998</v>
      </c>
      <c r="K145" s="3">
        <f>6395.5+(324.9-2031.5)+(-16.308525+(-0.828495--5.180325))+0-0-0</f>
        <v>4676.9433049999998</v>
      </c>
      <c r="L145" s="3">
        <f>6101.8+(349.3-1972.9)+(-24.895344+(-1.425144--8.049432))+0-0-0</f>
        <v>4459.9289440000002</v>
      </c>
      <c r="M145" s="3">
        <f>6137.3+(303.9-1797.2)+(6.260046+(0.309978-1.833144))+0-0-0</f>
        <v>4648.7368800000004</v>
      </c>
      <c r="N145" s="3">
        <f>6715.4+(399-1949.3)+(6.849708+(0.40698-1.988286))+0-0-0</f>
        <v>5170.3684019999992</v>
      </c>
      <c r="O145" s="3">
        <f>7087.3+(592.8-1958.3)+(14.458092+(1.209312-3.994932))+0-0-0</f>
        <v>5733.4724720000004</v>
      </c>
      <c r="P145" s="3">
        <f>7122.6+(627.9-1605.8)+(7.265052+(0.640458-1.637916))+0-0-0</f>
        <v>6150.9675940000006</v>
      </c>
      <c r="Q145" s="3">
        <f>7113.4+(530.8-1283.6)+(0+(0-0))+0-0-0</f>
        <v>6360.5999999999995</v>
      </c>
      <c r="R145" s="3">
        <f>7121.2+(604-1272.3)+(7.263624+(0.61608-1.297746))+0-0-0</f>
        <v>6459.4819579999994</v>
      </c>
      <c r="S145" s="3">
        <f>7138.3+(449.7-1185.3)+(0+(0-0))+0-0-0</f>
        <v>6402.7000000000007</v>
      </c>
      <c r="T145" s="3">
        <f>7066.5+(346.5-1025.7)+(0+(0-0))+0-0-0</f>
        <v>6387.3</v>
      </c>
      <c r="U145" s="3">
        <f>6980+(381-1161.8)+(-3.5598+(-0.19431--0.592518))+0-0-0</f>
        <v>6196.0384079999994</v>
      </c>
      <c r="V145" s="3">
        <f>6923.6+(426.2-1280.9)+(-3.531036+(-0.217362--0.653259))+0-0-0</f>
        <v>6065.8048610000005</v>
      </c>
      <c r="W145" s="3">
        <f>6980.7+(462.5-1452.5)+(-10.680471+(-0.707625--2.222325))+0-0-0</f>
        <v>5981.5342289999999</v>
      </c>
      <c r="X145" s="3">
        <f>6918.8+(577.9-1578.8)+(-14.114352+(-1.178916--3.220752))+0-0-0</f>
        <v>5905.8274840000004</v>
      </c>
      <c r="Y145" s="3">
        <f>6765.2+(604-1353.4)+(3.450252+(0.30804-0.690234))+0-0-0</f>
        <v>6018.8680579999991</v>
      </c>
      <c r="Z145" s="3">
        <f>6975.4+(551.7-969.8)+(7.114908+(0.562734-0.989196))+0-0-0</f>
        <v>6563.9884459999994</v>
      </c>
      <c r="AA145" s="3">
        <f>7127.3+(530.8-1112.8)+(-3.634923+(-0.270708--0.567528))+0-0-0</f>
        <v>6541.9618970000001</v>
      </c>
      <c r="AB145" s="3">
        <f>7138+(573-1411.4)+(-3.64038+(-0.29223--0.719814))+0-0-0</f>
        <v>6296.3872040000006</v>
      </c>
      <c r="AC145" s="3">
        <f>7056.4+(642.4-1646.1)+(3.598764+(0.327624-0.839511))+0-0-0</f>
        <v>6055.7868769999995</v>
      </c>
      <c r="AD145">
        <f t="shared" si="2"/>
        <v>137834.36216799999</v>
      </c>
      <c r="AE145" s="3">
        <f>7089+(545-1039.9)+(0+(0-0))+0-0-0</f>
        <v>6594.1</v>
      </c>
    </row>
    <row r="146" spans="1:31" s="2" customFormat="1" x14ac:dyDescent="0.25">
      <c r="A146">
        <v>89</v>
      </c>
      <c r="B146">
        <v>5</v>
      </c>
      <c r="C146">
        <v>22</v>
      </c>
      <c r="D146">
        <v>7</v>
      </c>
      <c r="E146">
        <v>1</v>
      </c>
      <c r="F146" s="3">
        <f>6975.7+(533.5-1949.8)+(3.557607+(0.272085-0.994398))+0-0-0</f>
        <v>5562.2352940000001</v>
      </c>
      <c r="G146" s="3">
        <f>6916.2+(230.2-2054.2)+(-7.054524+(-0.234804--2.095284))+0-0-0</f>
        <v>5087.005956</v>
      </c>
      <c r="H146" s="3">
        <f>6791.2+(181.9-2167.9)+(-3.463512+(-0.092769--1.105629))+0-0-0</f>
        <v>4802.7493479999994</v>
      </c>
      <c r="I146" s="3">
        <f>6506.9+(172.7-2035.8)+(0+(0-0))+0-0-0</f>
        <v>4643.7999999999993</v>
      </c>
      <c r="J146" s="3">
        <f>6660.1+(290.6-2198.8)+(-3.396651+(-0.148206--1.121388))+0-0-0</f>
        <v>4749.4765309999993</v>
      </c>
      <c r="K146" s="3">
        <f>6058.1+(441.3-2080.3)+(-6.179262+(-0.450126--2.121906))+0-0-0</f>
        <v>4414.5925180000004</v>
      </c>
      <c r="L146" s="3">
        <f>5402.1+(538.9-1869.5)+(-11.020284+(-1.099356--3.81378))+0-0-0</f>
        <v>4063.1941400000005</v>
      </c>
      <c r="M146" s="3">
        <f>5579.7+(423.1-2058.8)+(-2.845647+(-0.215781--1.049988))+0-0-0</f>
        <v>3941.9885599999993</v>
      </c>
      <c r="N146" s="3">
        <f>5841.6+(257.1-2030.2)+(-8.937648+(-0.393363--3.106206))+0-0-0</f>
        <v>4062.2751950000006</v>
      </c>
      <c r="O146" s="3">
        <f>6263.1+(170.4-2145.5)+(3.194181+(0.086904-1.094205))+0-0-0</f>
        <v>4290.1868800000002</v>
      </c>
      <c r="P146" s="3">
        <f>6612.4+(207.5-2164.9)+(-6.744648+(-0.21165--2.208198))+0-0-0</f>
        <v>4650.2519000000002</v>
      </c>
      <c r="Q146" s="3">
        <f>6805.3+(462.4-2288.1)+(0+(0-0))+0-0-0</f>
        <v>4979.6000000000004</v>
      </c>
      <c r="R146" s="3">
        <f>6965.8+(483.6-2221.1)+(3.552558+(0.246636-1.132761))+0-0-0</f>
        <v>5230.9664330000005</v>
      </c>
      <c r="S146" s="3">
        <f>6928.7+(455.7-2056.1)+(0+(0-0))+0-0-0</f>
        <v>5328.3</v>
      </c>
      <c r="T146" s="3">
        <f>7011+(399.9-2031.4)+(3.57561+(0.203949-1.036014))+0-0-0</f>
        <v>5382.2435450000003</v>
      </c>
      <c r="U146" s="3">
        <f>6980.8+(383.6-2031)+(0+(0-0))+0-0-0</f>
        <v>5333.4</v>
      </c>
      <c r="V146" s="3">
        <f>6867.4+(374.7-1951.3)+(-10.507122+(-0.573291--2.985489))+0-0-0</f>
        <v>5282.7050759999993</v>
      </c>
      <c r="W146" s="3">
        <f>6832.6+(485.3-2006.1)+(-10.453878+(-0.742509--3.069333))+0-0-0</f>
        <v>5303.6729460000006</v>
      </c>
      <c r="X146" s="3">
        <f>6412.7+(417.3-1491.9)+(-13.081908+(-0.851292--3.043476))+0-0-0</f>
        <v>5327.2102759999998</v>
      </c>
      <c r="Y146" s="3">
        <f>6410.5+(423.5-1341.5)+(-6.53871+(-0.43197--1.36833))+0-0-0</f>
        <v>5486.8976499999999</v>
      </c>
      <c r="Z146" s="3">
        <f>7097.3+(458.8-1449.8)+(-3.619623+(-0.233988--0.739398))+0-0-0</f>
        <v>6103.1857870000003</v>
      </c>
      <c r="AA146" s="3">
        <f>7243.9+(670.3-1749.7)+(-18.471945+(-1.709265--4.461735))+0-0-0</f>
        <v>6148.7805250000001</v>
      </c>
      <c r="AB146" s="3">
        <f>7288.3+(745.8-2020.8)+(-7.434066+(-0.760716--2.061216))+0-0-0</f>
        <v>6007.1664339999998</v>
      </c>
      <c r="AC146" s="3">
        <f>7215.8+(619.6-2121.1)+(3.680058+(0.315996-1.081761))+0-0-0</f>
        <v>5717.214293</v>
      </c>
      <c r="AD146">
        <f t="shared" si="2"/>
        <v>121899.09928699999</v>
      </c>
      <c r="AE146" s="3">
        <f>7238+(537.9-1529)+(0+(0-0))+0-0-0</f>
        <v>6246.9</v>
      </c>
    </row>
    <row r="147" spans="1:31" s="2" customFormat="1" x14ac:dyDescent="0.25">
      <c r="A147">
        <v>89</v>
      </c>
      <c r="B147">
        <v>5</v>
      </c>
      <c r="C147">
        <v>23</v>
      </c>
      <c r="D147">
        <v>1</v>
      </c>
      <c r="E147">
        <v>1</v>
      </c>
      <c r="F147" s="3">
        <f>7192.3+(435.7-2262.4)+(-14.672292+(-0.888828--4.615296))+0-0-0</f>
        <v>5354.654176</v>
      </c>
      <c r="G147" s="3">
        <f>6935.5+(178.8-2225.1)+(3.537105+(0.091188-1.134801))+0-0-0</f>
        <v>4891.6934919999994</v>
      </c>
      <c r="H147" s="3">
        <f>6647.4+(151.9-2184.9)+(-6.780348+(-0.154938--2.228598))+0-0-0</f>
        <v>4609.6933119999994</v>
      </c>
      <c r="I147" s="3">
        <f>6463.7+(151.8-2123.7)+(-13.185948+(-0.309672--4.332348))+0-0-0</f>
        <v>4482.6367280000004</v>
      </c>
      <c r="J147" s="3">
        <f>6547.7+(143.4-2008)+(-3.339327+(-0.073134--1.02408))+0-0-0</f>
        <v>4680.7116190000006</v>
      </c>
      <c r="K147" s="3">
        <f>6133.2+(242.6-1992)+(-6.255864+(-0.247452--2.03184))+0-0-0</f>
        <v>4379.3285239999996</v>
      </c>
      <c r="L147" s="3">
        <f>5918.4+(310.1-1970.2)+(-6.036768+(-0.316302--2.009604))+0-0-0</f>
        <v>4253.956533999999</v>
      </c>
      <c r="M147" s="3">
        <f>6133.5+(248.3-1784.1)+(-3.128085+(-0.126633--0.909891))+0-0-0</f>
        <v>4595.3551729999999</v>
      </c>
      <c r="N147" s="3">
        <f>6903.4+(334.4-1971.1)+(3.520734+(0.170544-1.005261))+0-0-0</f>
        <v>5269.3860169999998</v>
      </c>
      <c r="O147" s="3">
        <f>7106.6+(532.5-1792.4)+(-10.873098+(-0.814725--2.742372))+0-0-0</f>
        <v>5837.7545490000011</v>
      </c>
      <c r="P147" s="3">
        <f>7266.7+(751.1-1720.1)+(3.706017+(0.383061-0.877251))+0-0-0</f>
        <v>6300.9118269999999</v>
      </c>
      <c r="Q147" s="3">
        <f>7230.7+(846.7-1518.8)+(11.062971+(1.295451-2.323764))+0-0-0</f>
        <v>6568.6346579999999</v>
      </c>
      <c r="R147" s="3">
        <f>7259.9+(721.6-1305.2)+(3.702549+(0.368016-0.665652))+0-0-0</f>
        <v>6679.7049129999996</v>
      </c>
      <c r="S147" s="3">
        <f>7249.2+(599.1-1206.3)+(3.697092+(0.305541-0.615213))+0-0-0</f>
        <v>6645.38742</v>
      </c>
      <c r="T147" s="3">
        <f>7260.5+(555.2-1153.2)+(3.702855+(0.283152-0.588132))+0-0-0</f>
        <v>6665.8978749999997</v>
      </c>
      <c r="U147" s="3">
        <f>7216.4+(516.6-1154)+(-3.680364+(-0.263466--0.58854))+0-0-0</f>
        <v>6575.6447099999996</v>
      </c>
      <c r="V147" s="3">
        <f>7115.2+(644.2-1346.8)+(0+(0-0))+0-0-0</f>
        <v>6412.6</v>
      </c>
      <c r="W147" s="3">
        <f>7095.6+(691.3-1509.9)+(-18.09378+(-1.762815--3.850245))+0-0-0</f>
        <v>6260.9936500000003</v>
      </c>
      <c r="X147" s="3">
        <f>6807.5+(753.9-1452.4)+(-6.94365+(-0.768978--1.481448))+0-0-0</f>
        <v>6102.7688200000002</v>
      </c>
      <c r="Y147" s="3">
        <f>6632.5+(624.7-1087.8)+(-6.76515+(-0.637194--1.109556))+0-0-0</f>
        <v>6163.1072119999999</v>
      </c>
      <c r="Z147" s="3">
        <f>7207.1+(536.6-1111.7)+(-3.675621+(-0.273666--0.566967))+0-0-0</f>
        <v>6628.6176800000003</v>
      </c>
      <c r="AA147" s="3">
        <f>7356.9+(694.6-1416.4)+(-15.008076+(-1.416984--2.889456))+0-0-0</f>
        <v>6621.5643959999998</v>
      </c>
      <c r="AB147" s="3">
        <f>7350.3+(659.9-1627.3)+(-7.497306+(-0.673098--1.659846))+0-0-0</f>
        <v>6376.3894420000006</v>
      </c>
      <c r="AC147" s="3">
        <f>7325.3+(634.2-1880.9)+(-7.471806+(-0.646884--1.918518))+0-0-0</f>
        <v>6072.3998280000005</v>
      </c>
      <c r="AD147">
        <f t="shared" si="2"/>
        <v>138429.79255499999</v>
      </c>
      <c r="AE147" s="3">
        <f>7502+(651.6-1361.8)+(0+(0-0))+0-0-0</f>
        <v>6791.8</v>
      </c>
    </row>
    <row r="148" spans="1:31" s="2" customFormat="1" x14ac:dyDescent="0.25">
      <c r="A148">
        <v>89</v>
      </c>
      <c r="B148">
        <v>5</v>
      </c>
      <c r="C148">
        <v>24</v>
      </c>
      <c r="D148">
        <v>2</v>
      </c>
      <c r="E148">
        <v>1</v>
      </c>
      <c r="F148" s="3">
        <f>7220.5+(571.1-2222.5)+(-11.047365+(-0.873783--3.400425))+0-0-0</f>
        <v>5560.5792770000007</v>
      </c>
      <c r="G148" s="3">
        <f>6903.3+(318.2-2185.5)+(-3.520683+(-0.162282--1.114605))+0-0-0</f>
        <v>5033.4316399999998</v>
      </c>
      <c r="H148" s="3">
        <f>6699.4+(196.5-2140)+(3.416694+(0.100215-1.0914))+0-0-0</f>
        <v>4758.3255089999993</v>
      </c>
      <c r="I148" s="3">
        <f>6391+(179.5-1959.9)+(-13.03764+(-0.36618--3.998196))+0-0-0</f>
        <v>4601.1943760000004</v>
      </c>
      <c r="J148" s="3">
        <f>6361.9+(213.3-1842.9)+(3.244569+(0.108783-0.939879))+0-0-0</f>
        <v>4734.7134729999989</v>
      </c>
      <c r="K148" s="3">
        <f>6267.3+(286.7-2071.7)+(-9.588969+(-0.438651--3.169701))+0-0-0</f>
        <v>4475.4420810000001</v>
      </c>
      <c r="L148" s="3">
        <f>6015+(347.8-2046.1)+(-12.2706+(-0.709512--4.174044))+0-0-0</f>
        <v>4307.8939319999999</v>
      </c>
      <c r="M148" s="3">
        <f>6083.4+(348-1844.8)+(-6.205068+(-0.35496--1.881696))+0-0-0</f>
        <v>4581.921667999999</v>
      </c>
      <c r="N148" s="3">
        <f>6603.9+(527.7-1955.3)+(6.735978+(0.538254-1.994406))+0-0-0</f>
        <v>5181.5798259999992</v>
      </c>
      <c r="O148" s="3">
        <f>6884.1+(748-1844.9)+(-14.043564+(-1.52592--3.763596))+0-0-0</f>
        <v>5775.3941120000009</v>
      </c>
      <c r="P148" s="3">
        <f>7097.2+(924.1-1864.4)+(10.858716+(1.413873-2.852532))+0-0-0</f>
        <v>6166.3200569999999</v>
      </c>
      <c r="Q148" s="3">
        <f>7144.3+(912-1601.5)+(-7.287186+(-0.93024--1.63353))+0-0-0</f>
        <v>6448.2161040000001</v>
      </c>
      <c r="R148" s="3">
        <f>7154.1+(886.8-1452.9)+(0+(0-0))+0-0-0</f>
        <v>6588</v>
      </c>
      <c r="S148" s="3">
        <f>7145.2+(735.5-1328.7)+(-7.288104+(-0.75021--1.355274))+0-0-0</f>
        <v>6545.3169600000001</v>
      </c>
      <c r="T148" s="3">
        <f>7176.8+(586.2-1177.4)+(3.660168+(0.298962-0.600474))+0-0-0</f>
        <v>6588.9586560000007</v>
      </c>
      <c r="U148" s="3">
        <f>7111.7+(556-1168)+(-3.626967+(-0.28356--0.59568))+0-0-0</f>
        <v>6496.3851530000002</v>
      </c>
      <c r="V148" s="3">
        <f>7042.3+(527.8-1185.9)+(-7.183146+(-0.538356--1.209618))+0-0-0</f>
        <v>6377.6881160000003</v>
      </c>
      <c r="W148" s="3">
        <f>7026.7+(697-1502.7)+(0+(0-0))+0-0-0</f>
        <v>6221</v>
      </c>
      <c r="X148" s="3">
        <f>6878.7+(600.2-1399.4)+(-7.016274+(-0.612204--1.427388))+0-0-0</f>
        <v>6073.2989100000004</v>
      </c>
      <c r="Y148" s="3">
        <f>6690.4+(636.8-1189.8)+(0+(0-0))+0-0-0</f>
        <v>6137.4</v>
      </c>
      <c r="Z148" s="3">
        <f>7256.1+(720.8-1333)+(-7.401222+(-0.735216--1.35966))+0-0-0</f>
        <v>6637.1232220000002</v>
      </c>
      <c r="AA148" s="3">
        <f>7334.7+(677.2-1402.7)+(-7.481394+(-0.690744--1.430754))+0-0-0</f>
        <v>6602.4586159999999</v>
      </c>
      <c r="AB148" s="3">
        <f>7232.8+(762.6-1604.9)+(-7.377456+(-0.777852--1.636998))+0-0-0</f>
        <v>6383.9816899999996</v>
      </c>
      <c r="AC148" s="3">
        <f>7147.3+(834.3-1895.8)+(-7.290246+(-0.850986--1.933716))+0-0-0</f>
        <v>6079.5924839999998</v>
      </c>
      <c r="AD148">
        <f t="shared" si="2"/>
        <v>138356.21586199998</v>
      </c>
      <c r="AE148" s="3">
        <f>7403+(610.6-1235.7)+(0+(0-0))+0-0-0</f>
        <v>6777.9</v>
      </c>
    </row>
    <row r="149" spans="1:31" s="2" customFormat="1" x14ac:dyDescent="0.25">
      <c r="A149">
        <v>89</v>
      </c>
      <c r="B149">
        <v>5</v>
      </c>
      <c r="C149">
        <v>25</v>
      </c>
      <c r="D149">
        <v>3</v>
      </c>
      <c r="E149">
        <v>1</v>
      </c>
      <c r="F149" s="3">
        <f>7078.8+(561.2-2082)+(-25.271316+(-2.003484--7.43274))+0-0-0</f>
        <v>5538.1579400000001</v>
      </c>
      <c r="G149" s="3">
        <f>6859.5+(231-2038)+(-17.491725+(-0.58905--5.1969))+0-0-0</f>
        <v>5039.6161249999996</v>
      </c>
      <c r="H149" s="3">
        <f>6550.4+(189.2-1991.4)+(-3.340704+(-0.096492--1.015614))+0-0-0</f>
        <v>4745.7784179999999</v>
      </c>
      <c r="I149" s="3">
        <f>6445.8+(133.8-1953.2)+(3.287358+(0.068238-0.996132))+0-0-0</f>
        <v>4628.7594639999998</v>
      </c>
      <c r="J149" s="3">
        <f>6483.3+(143.2-1889)+(3.306483+(0.073032-0.96339))+0-0-0</f>
        <v>4739.9161249999997</v>
      </c>
      <c r="K149" s="3">
        <f>6261+(268.6-2040.4)+(-12.77244+(-0.547944--4.162416))+0-0-0</f>
        <v>4480.0420319999994</v>
      </c>
      <c r="L149" s="3">
        <f>5823.8+(368.6-1861.2)+(-11.880552+(-0.751944--3.796848))+0-0-0</f>
        <v>4322.3643520000005</v>
      </c>
      <c r="M149" s="3">
        <f>5801.8+(417.5-1620.9)+(0+(0-0))+0-0-0</f>
        <v>4598.3999999999996</v>
      </c>
      <c r="N149" s="3">
        <f>6434.8+(502.4-1728.9)+(0+(0-0))+0-0-0</f>
        <v>5208.3</v>
      </c>
      <c r="O149" s="3">
        <f>6924.9+(689.9-1778.4)+(0+(0-0))+0-0-0</f>
        <v>5836.4</v>
      </c>
      <c r="P149" s="3">
        <f>7059.2+(871.6-1722.5)+(10.800576+(1.333548-2.635425))+0-0-0</f>
        <v>6217.7986989999999</v>
      </c>
      <c r="Q149" s="3">
        <f>7044.6+(949.4-1451.6)+(7.185492+(0.968388-1.480632))+0-0-0</f>
        <v>6549.0732480000006</v>
      </c>
      <c r="R149" s="3">
        <f>7110.2+(785.5-1234.4)+(14.504808+(1.60242-2.518176))+0-0-0</f>
        <v>6674.8890519999995</v>
      </c>
      <c r="S149" s="3">
        <f>6976.1+(695.7-1052.1)+(-7.115622+(-0.709614--1.073142))+0-0-0</f>
        <v>6612.9479060000003</v>
      </c>
      <c r="T149" s="3">
        <f>6982.6+(584.7-882.9)+(7.122252+(0.596394-0.900558))+0-0-0</f>
        <v>6691.2180880000005</v>
      </c>
      <c r="U149" s="3">
        <f>6966.9+(512-872.9)+(7.106238+(0.52224-0.890358))+0-0-0</f>
        <v>6612.73812</v>
      </c>
      <c r="V149" s="3">
        <f>6819+(593.6-916)+(-13.91076+(-1.210944--1.86864))+0-0-0</f>
        <v>6483.3469359999999</v>
      </c>
      <c r="W149" s="3">
        <f>6831.2+(721.6-1211.1)+(-6.967824+(-0.736032--1.235322))+0-0-0</f>
        <v>6335.2314660000002</v>
      </c>
      <c r="X149" s="3">
        <f>6845.2+(837.6-1500.7)+(-6.982104+(-0.854352--1.530714))+0-0-0</f>
        <v>6175.7942579999999</v>
      </c>
      <c r="Y149" s="3">
        <f>6858.3+(881.4-1470.3)+(3.497733+(0.449514-0.749853))+0-0-0</f>
        <v>6272.5973940000003</v>
      </c>
      <c r="Z149" s="3">
        <f>7221.8+(620.6-1138.7)+(-3.683118+(-0.316506--0.580737))+0-0-0</f>
        <v>6700.281113</v>
      </c>
      <c r="AA149" s="3">
        <f>7307.1+(646-1274.9)+(0+(0-0))+0-0-0</f>
        <v>6678.2000000000007</v>
      </c>
      <c r="AB149" s="3">
        <f>7300+(726.8-1539.6)+(-7.446+(-0.741336--1.570392))+0-0-0</f>
        <v>6480.5830559999995</v>
      </c>
      <c r="AC149" s="3">
        <f>7211.5+(716-1715.6)+(-7.35573+(-0.73032--1.749912))+0-0-0</f>
        <v>6205.563862</v>
      </c>
      <c r="AD149">
        <f t="shared" si="2"/>
        <v>139827.99765400001</v>
      </c>
      <c r="AE149" s="3">
        <f>7274+(559-1122.8)+(0+(0-0))+0-0-0</f>
        <v>6710.2</v>
      </c>
    </row>
    <row r="150" spans="1:31" s="2" customFormat="1" x14ac:dyDescent="0.25">
      <c r="A150">
        <v>89</v>
      </c>
      <c r="B150">
        <v>5</v>
      </c>
      <c r="C150">
        <v>26</v>
      </c>
      <c r="D150">
        <v>4</v>
      </c>
      <c r="E150">
        <v>1</v>
      </c>
      <c r="F150" s="3">
        <f>7005.8+(679.4-2034.2)+(-14.291832+(-1.385976--4.149768))+0-0-0</f>
        <v>5639.4719599999999</v>
      </c>
      <c r="G150" s="3">
        <f>6783.1+(584.1-2230.3)+(-6.918762+(-0.595782--2.274906))+0-0-0</f>
        <v>5131.6603619999996</v>
      </c>
      <c r="H150" s="3">
        <f>6469.4+(441.6-2093.4)+(-3.299394+(-0.225216--1.067634))+0-0-0</f>
        <v>4815.1430239999991</v>
      </c>
      <c r="I150" s="3">
        <f>6368.1+(289.6-1976.4)+(-12.990924+(-0.590784--4.031856))+0-0-0</f>
        <v>4671.7501480000001</v>
      </c>
      <c r="J150" s="3">
        <f>6405.4+(336.1-1939.7)+(6.533508+(0.342822-1.978494))+0-0-0</f>
        <v>4806.6978359999994</v>
      </c>
      <c r="K150" s="3">
        <f>6097.7+(328.7-1848)+(-6.219654+(-0.335274--1.88496))+0-0-0</f>
        <v>4573.7300319999995</v>
      </c>
      <c r="L150" s="3">
        <f>5752.5+(360.9-1718.5)+(-11.7351+(-0.736236--3.50574))+0-0-0</f>
        <v>4385.9344039999996</v>
      </c>
      <c r="M150" s="3">
        <f>5776.9+(377.9-1472.3)+(2.946219+(0.192729-0.750873))+0-0-0</f>
        <v>4684.8880749999998</v>
      </c>
      <c r="N150" s="3">
        <f>6424.4+(546.1-1620.7)+(0+(0-0))+0-0-0</f>
        <v>5349.7999999999993</v>
      </c>
      <c r="O150" s="3">
        <f>6936.8+(805.8-1750.3)+(0+(0-0))+0-0-0</f>
        <v>5992.3</v>
      </c>
      <c r="P150" s="3">
        <f>7083.1+(952.2-1576.3)+(7.224762+(0.971244-1.607826))+0-0-0</f>
        <v>6465.5881799999997</v>
      </c>
      <c r="Q150" s="3">
        <f>7065.6+(841.3-1172.1)+(7.206912+(0.858126-1.195542))+0-0-0</f>
        <v>6741.6694960000004</v>
      </c>
      <c r="R150" s="3">
        <f>7093.5+(708.1-932.7)+(0+(0-0))+0-0-0</f>
        <v>6868.9</v>
      </c>
      <c r="S150" s="3">
        <f>7076.3+(606.1-845.2)+(0+(0-0))+0-0-0</f>
        <v>6837.2</v>
      </c>
      <c r="T150" s="3">
        <f>7002.3+(460.5-576.8)+(0+(0-0))+0-0-0</f>
        <v>6886</v>
      </c>
      <c r="U150" s="3">
        <f>6907.6+(455.1-562.6)+(-3.522876+(-0.232101--0.286926))+0-0-0</f>
        <v>6796.6319490000005</v>
      </c>
      <c r="V150" s="3">
        <f>6891.3+(463.5-663.6)+(-3.514563+(-0.236385--0.338436))+0-0-0</f>
        <v>6687.7874879999999</v>
      </c>
      <c r="W150" s="3">
        <f>6907+(606.9-1007.1)+(-14.09028+(-1.238076--2.054484))+0-0-0</f>
        <v>6493.5261280000004</v>
      </c>
      <c r="X150" s="3">
        <f>6887.3+(736-1291)+(-10.537569+(-1.12608--1.97523))+0-0-0</f>
        <v>6322.6115810000001</v>
      </c>
      <c r="Y150" s="3">
        <f>6935.8+(710-1251.2)+(3.537258+(0.3621-0.638112))+0-0-0</f>
        <v>6397.8612460000004</v>
      </c>
      <c r="Z150" s="3">
        <f>7208.9+(500.6-911.9)+(-3.676539+(-0.255306--0.465069))+0-0-0</f>
        <v>6794.1332239999992</v>
      </c>
      <c r="AA150" s="3">
        <f>7295.2+(497.5-1042.9)+(-11.161656+(-0.761175--1.595637))+0-0-0</f>
        <v>6739.4728059999989</v>
      </c>
      <c r="AB150" s="3">
        <f>7276.3+(540.9-1314.6)+(3.710913+(0.275859-0.670446))+0-0-0</f>
        <v>6505.9163260000005</v>
      </c>
      <c r="AC150" s="3">
        <f>7201.3+(540.8-1520.6)+(0+(0-0))+0-0-0</f>
        <v>6221.5</v>
      </c>
      <c r="AD150">
        <f t="shared" si="2"/>
        <v>142810.17426500001</v>
      </c>
      <c r="AE150" s="3">
        <f>7235+(492.5-963)+(0+(0-0))+0-0-0</f>
        <v>6764.5</v>
      </c>
    </row>
    <row r="151" spans="1:31" s="2" customFormat="1" x14ac:dyDescent="0.25">
      <c r="A151">
        <v>89</v>
      </c>
      <c r="B151">
        <v>5</v>
      </c>
      <c r="C151">
        <v>27</v>
      </c>
      <c r="D151">
        <v>5</v>
      </c>
      <c r="E151">
        <v>1</v>
      </c>
      <c r="F151" s="3">
        <f>7077.9+(584.3-1964.7)+(-10.829187+(-0.893979--3.005991))+0-0-0</f>
        <v>5688.7828250000002</v>
      </c>
      <c r="G151" s="3">
        <f>6663.8+(565.8-1999)+(-3.398538+(-0.288558--1.01949))+0-0-0</f>
        <v>5227.9323940000004</v>
      </c>
      <c r="H151" s="3">
        <f>6601.6+(323.3-2055.7)+(-3.366816+(-0.164883--1.048407))+0-0-0</f>
        <v>4866.7167080000008</v>
      </c>
      <c r="I151" s="3">
        <f>6454.6+(270.7-1991.5)+(0+(0-0))+0-0-0</f>
        <v>4733.8</v>
      </c>
      <c r="J151" s="3">
        <f>6385.7+(359.4-1894.6)+(-9.770121+(-0.549882--2.898738))+0-0-0</f>
        <v>4843.0787350000001</v>
      </c>
      <c r="K151" s="3">
        <f>6128.9+(405.3-1888.1)+(-9.377217+(-0.620109--2.888793))+0-0-0</f>
        <v>4638.9914669999998</v>
      </c>
      <c r="L151" s="3">
        <f>5739.3+(466-1735.3)+(-5.854086+(-0.47532--1.770006))+0-0-0</f>
        <v>4465.4405999999999</v>
      </c>
      <c r="M151" s="3">
        <f>5791.3+(396-1444.9)+(2.953563+(0.20196-0.736899))+0-0-0</f>
        <v>4744.8186239999995</v>
      </c>
      <c r="N151" s="3">
        <f>6228.8+(593.2-1484.4)+(-6.353376+(-0.605064--1.514088))+0-0-0</f>
        <v>5332.1556479999999</v>
      </c>
      <c r="O151" s="3">
        <f>6801+(1022.5-1826)+(0+(0-0))+0-0-0</f>
        <v>5997.5</v>
      </c>
      <c r="P151" s="3">
        <f>7022.8+(958.9-1528.7)+(7.163256+(0.978078-1.559274))+0-0-0</f>
        <v>6459.5820599999997</v>
      </c>
      <c r="Q151" s="3">
        <f>7053.5+(841.1-1185.2)+(0+(0-0))+0-0-0</f>
        <v>6709.4</v>
      </c>
      <c r="R151" s="3">
        <f>7080.5+(694-904.7)+(3.611055+(0.35394-0.461397))+0-0-0</f>
        <v>6873.3035980000004</v>
      </c>
      <c r="S151" s="3">
        <f>7109.8+(591.2-876.7)+(0+(0-0))+0-0-0</f>
        <v>6824.3</v>
      </c>
      <c r="T151" s="3">
        <f>7141.7+(453.3-688.2)+(3.642267+(0.231183-0.350982))+0-0-0</f>
        <v>6910.3224680000003</v>
      </c>
      <c r="U151" s="3">
        <f>7094.9+(500.1-766.5)+(0+(0-0))+0-0-0</f>
        <v>6828.5</v>
      </c>
      <c r="V151" s="3">
        <f>7013.9+(509.5-797)+(-3.577089+(-0.259845--0.40647))+0-0-0</f>
        <v>6722.9695359999996</v>
      </c>
      <c r="W151" s="3">
        <f>6962.3+(597.1-983.1)+(-7.101546+(-0.609042--1.002762))+0-0-0</f>
        <v>6569.5921740000003</v>
      </c>
      <c r="X151" s="3">
        <f>6986.7+(773.7-1384.1)+(-3.563217+(-0.394587--0.705891))+0-0-0</f>
        <v>6373.0480870000001</v>
      </c>
      <c r="Y151" s="3">
        <f>7041.1+(740.4-1350)+(0+(0-0))+0-0-0</f>
        <v>6431.5</v>
      </c>
      <c r="Z151" s="3">
        <f>7098.4+(509.7-768.8)+(0+(0-0))+0-0-0</f>
        <v>6839.2999999999993</v>
      </c>
      <c r="AA151" s="3">
        <f>7244.9+(551.6-1011.5)+(-11.084697+(-0.843948--1.547595))+0-0-0</f>
        <v>6774.61895</v>
      </c>
      <c r="AB151" s="3">
        <f>7266.8+(601.1-1300.9)+(-3.706068+(-0.306561--0.663459))+0-0-0</f>
        <v>6563.6508299999996</v>
      </c>
      <c r="AC151" s="3">
        <f>7181.8+(598.4-1494.3)+(-7.325436+(-0.610368--1.524186))+0-0-0</f>
        <v>6279.4883820000005</v>
      </c>
      <c r="AD151">
        <f t="shared" si="2"/>
        <v>143698.79308600005</v>
      </c>
      <c r="AE151" s="3">
        <f>7188+(468.2-827.5)+(0+(0-0))+0-0-0</f>
        <v>6828.7</v>
      </c>
    </row>
    <row r="152" spans="1:31" s="2" customFormat="1" x14ac:dyDescent="0.25">
      <c r="A152">
        <v>89</v>
      </c>
      <c r="B152">
        <v>5</v>
      </c>
      <c r="C152">
        <v>28</v>
      </c>
      <c r="D152">
        <v>6</v>
      </c>
      <c r="E152">
        <v>1</v>
      </c>
      <c r="F152" s="3">
        <f>7003.7+(565.1-1822)+(-7.143774+(-0.576402--1.85844))+0-0-0</f>
        <v>5740.9382639999994</v>
      </c>
      <c r="G152" s="3">
        <f>6859.3+(410.8-2019.9)+(-10.494729+(-0.628524--3.090447))+0-0-0</f>
        <v>5242.1671939999997</v>
      </c>
      <c r="H152" s="3">
        <f>6795.2+(293-2182.3)+(3.465552+(0.14943-1.112973))+0-0-0</f>
        <v>4908.4020089999995</v>
      </c>
      <c r="I152" s="3">
        <f>6555.4+(189.3-1999.4)+(0+(0-0))+0-0-0</f>
        <v>4745.2999999999993</v>
      </c>
      <c r="J152" s="3">
        <f>6509.6+(183-1841.1)+(0+(0-0))+0-0-0</f>
        <v>4851.5</v>
      </c>
      <c r="K152" s="3">
        <f>6278.2+(224.2-1845.5)+(-12.807528+(-0.457368--3.76482))+0-0-0</f>
        <v>4647.3999239999994</v>
      </c>
      <c r="L152" s="3">
        <f>5841.1+(324.5-1717.7)+(-11.915844+(-0.66198--3.504108))+0-0-0</f>
        <v>4438.8262840000007</v>
      </c>
      <c r="M152" s="3">
        <f>5853.5+(273.1-1496)+(-5.97057+(-0.278562--1.52592))+0-0-0</f>
        <v>4625.8767880000005</v>
      </c>
      <c r="N152" s="3">
        <f>6242.7+(387.3-1448.8)+(-3.183777+(-0.197523--0.738888))+0-0-0</f>
        <v>5178.5575879999997</v>
      </c>
      <c r="O152" s="3">
        <f>6757.2+(725.1-1688.9)+(6.892344+(0.739602-1.722678))+0-0-0</f>
        <v>5799.309268</v>
      </c>
      <c r="P152" s="3">
        <f>7044.3+(738.7-1502.1)+(7.185186+(0.753474-1.532142))+0-0-0</f>
        <v>6287.3065180000003</v>
      </c>
      <c r="Q152" s="3">
        <f>7052.3+(671-1197.3)+(0+(0-0))+0-0-0</f>
        <v>6526</v>
      </c>
      <c r="R152" s="3">
        <f>7081.1+(607.7-1062.6)+(0+(0-0))+0-0-0</f>
        <v>6626.2000000000007</v>
      </c>
      <c r="S152" s="3">
        <f>7080.4+(549.7-1091.6)+(-3.611004+(-0.280347--0.556716))+0-0-0</f>
        <v>6535.1653649999998</v>
      </c>
      <c r="T152" s="3">
        <f>7086.6+(493.6-1094.5)+(3.614166+(0.251736-0.558195))+0-0-0</f>
        <v>6489.0077070000007</v>
      </c>
      <c r="U152" s="3">
        <f>7013.1+(446.1-1103.7)+(7.153362+(0.455022-1.125774))+0-0-0</f>
        <v>6361.98261</v>
      </c>
      <c r="V152" s="3">
        <f>6901.1+(427.1-1069.8)+(-3.519561+(-0.217821--0.545598))+0-0-0</f>
        <v>6255.2082160000009</v>
      </c>
      <c r="W152" s="3">
        <f>6860.9+(628-1324.5)+(-10.497177+(-0.96084--2.026485))+0-0-0</f>
        <v>6154.968468</v>
      </c>
      <c r="X152" s="3">
        <f>6826.3+(723.7-1489.1)+(-10.444239+(-1.107261--2.278323))+0-0-0</f>
        <v>6051.6268230000005</v>
      </c>
      <c r="Y152" s="3">
        <f>6901+(578.7-1305.9)+(-3.51951+(-0.295137--0.666009))+0-0-0</f>
        <v>6170.6513620000005</v>
      </c>
      <c r="Z152" s="3">
        <f>7173.1+(210.5-829.5)+(3.658281+(0.107355-0.423045))+0-0-0</f>
        <v>6557.442591</v>
      </c>
      <c r="AA152" s="3">
        <f>7227.4+(249.2-944.3)+(-11.057922+(-0.381276--1.444779))+0-0-0</f>
        <v>6522.3055809999996</v>
      </c>
      <c r="AB152" s="3">
        <f>7179.8+(346.8-1218.6)+(-7.323396+(-0.353736--1.242972))+0-0-0</f>
        <v>6301.5658400000002</v>
      </c>
      <c r="AC152" s="3">
        <f>7151.1+(336.1-1389.5)+(0+(0-0))+0-0-0</f>
        <v>6097.7000000000007</v>
      </c>
      <c r="AD152">
        <f t="shared" si="2"/>
        <v>139115.40840000001</v>
      </c>
      <c r="AE152" s="3">
        <f>7150+(204.1-836.6)+(0+(0-0))+0-0-0</f>
        <v>6517.5</v>
      </c>
    </row>
    <row r="153" spans="1:31" s="2" customFormat="1" x14ac:dyDescent="0.25">
      <c r="A153">
        <v>89</v>
      </c>
      <c r="B153">
        <v>5</v>
      </c>
      <c r="C153">
        <v>29</v>
      </c>
      <c r="D153">
        <v>7</v>
      </c>
      <c r="E153">
        <v>1</v>
      </c>
      <c r="F153" s="3">
        <f>7014.5+(377.6-1661.4)+(-7.15479+(-0.385152--1.694628))+0-0-0</f>
        <v>5724.8546859999997</v>
      </c>
      <c r="G153" s="3">
        <f>6823.9+(407-1926)+(6.960378+(0.41514-1.96452))+0-0-0</f>
        <v>5310.3109979999999</v>
      </c>
      <c r="H153" s="3">
        <f>6654.2+(279-1947.6)+(-3.393642+(-0.14229--0.993276))+0-0-0</f>
        <v>4983.0573440000007</v>
      </c>
      <c r="I153" s="3">
        <f>6506.7+(229.3-1961.8)+(-16.592085+(-0.584715--5.00259))+0-0-0</f>
        <v>4762.0257899999997</v>
      </c>
      <c r="J153" s="3">
        <f>6516.3+(242.7-1939.4)+(3.323313+(0.123777-0.989094))+0-0-0</f>
        <v>4822.0579960000005</v>
      </c>
      <c r="K153" s="3">
        <f>6000.9+(254-1730)+(-21.423213+(-0.90678--6.1761))+0-0-0</f>
        <v>4508.7461069999999</v>
      </c>
      <c r="L153" s="3">
        <f>5465.8+(230.4-1533.8)+(-11.150232+(-0.470016--3.128952))+0-0-0</f>
        <v>4153.9087040000004</v>
      </c>
      <c r="M153" s="3">
        <f>5298.5+(222.3-1551.8)+(-2.702235+(-0.113373--0.791418))+0-0-0</f>
        <v>3966.9758099999999</v>
      </c>
      <c r="N153" s="3">
        <f>5617+(175.9-1623.8)+(-2.86467+(-0.089709--0.828138))+0-0-0</f>
        <v>4166.9737590000004</v>
      </c>
      <c r="O153" s="3">
        <f>5672.8+(212-1439.1)+(0+(0-0))+0-0-0</f>
        <v>4445.7000000000007</v>
      </c>
      <c r="P153" s="3">
        <f>6088.4+(327.2-1512.4)+(3.105084+(0.166872-0.771324))+0-0-0</f>
        <v>4905.700632</v>
      </c>
      <c r="Q153" s="3">
        <f>6689.7+(522.3-1983.1)+(-6.823494+(-0.532746--2.022762))+0-0-0</f>
        <v>5223.5665220000001</v>
      </c>
      <c r="R153" s="3">
        <f>6923.3+(589.7-2058.2)+(-3.530883+(-0.300747--1.049682))+0-0-0</f>
        <v>5452.0180520000004</v>
      </c>
      <c r="S153" s="3">
        <f>6901.7+(467.4-1766.7)+(0+(0-0))+0-0-0</f>
        <v>5602.4</v>
      </c>
      <c r="T153" s="3">
        <f>6850.8+(380.2-1586.2)+(0+(0-0))+0-0-0</f>
        <v>5644.8</v>
      </c>
      <c r="U153" s="3">
        <f>6793.3+(407.5-1608.7)+(-3.464583+(-0.207825--0.820437))+0-0-0</f>
        <v>5589.2480290000003</v>
      </c>
      <c r="V153" s="3">
        <f>6608.8+(465.8-1501.3)+(-10.111464+(-0.712674--2.296989))+0-0-0</f>
        <v>5564.7728510000006</v>
      </c>
      <c r="W153" s="3">
        <f>6585+(546.5-1553.5)+(-3.35835+(-0.278715--0.792285))+0-0-0</f>
        <v>5575.1552199999996</v>
      </c>
      <c r="X153" s="3">
        <f>6487.2+(635.5-1501.2)+(-23.159304+(-2.268735--5.359284))+0-0-0</f>
        <v>5601.4312449999998</v>
      </c>
      <c r="Y153" s="3">
        <f>6419.1+(485.6-1101.8)+(-3.273741+(-0.247656--0.561918))+0-0-0</f>
        <v>5799.9405210000004</v>
      </c>
      <c r="Z153" s="3">
        <f>6928.2+(462.8-1127.2)+(0+(0-0))+0-0-0</f>
        <v>6263.7999999999993</v>
      </c>
      <c r="AA153" s="3">
        <f>6834.5+(501.2-1087)+(0+(0-0))+0-0-0</f>
        <v>6248.7</v>
      </c>
      <c r="AB153" s="3">
        <f>6730.6+(458.9-1065)+(-6.865212+(-0.468078--1.0863))+0-0-0</f>
        <v>6118.2530100000004</v>
      </c>
      <c r="AC153" s="3">
        <f>6642.9+(499.6-1212.6)+(-6.775758+(-0.509592--1.236852))+0-0-0</f>
        <v>5923.8515019999995</v>
      </c>
      <c r="AD153">
        <f t="shared" si="2"/>
        <v>126358.24877799999</v>
      </c>
      <c r="AE153" s="3">
        <f>6978+(422.7-1150.1)+(0+(0-0))+0-0-0</f>
        <v>6250.6</v>
      </c>
    </row>
    <row r="154" spans="1:31" s="2" customFormat="1" x14ac:dyDescent="0.25">
      <c r="A154">
        <v>89</v>
      </c>
      <c r="B154">
        <v>5</v>
      </c>
      <c r="C154">
        <v>30</v>
      </c>
      <c r="D154">
        <v>1</v>
      </c>
      <c r="E154">
        <v>1</v>
      </c>
      <c r="F154" s="3">
        <f>6573.4+(470.5-1468.6)+(-10.057302+(-0.719865--2.246958))+0-0-0</f>
        <v>5566.7697909999997</v>
      </c>
      <c r="G154" s="3">
        <f>6594.5+(327.1-1798)+(-6.72639+(-0.333642--1.83396))+0-0-0</f>
        <v>5118.373928</v>
      </c>
      <c r="H154" s="3">
        <f>6546.1+(218.2-1969.9)+(-10.015533+(-0.333846--3.013947))+0-0-0</f>
        <v>4787.0645680000007</v>
      </c>
      <c r="I154" s="3">
        <f>6472.3+(147.8-1958.5)+(-3.300873+(-0.075378--0.998835))+0-0-0</f>
        <v>4659.2225840000001</v>
      </c>
      <c r="J154" s="3">
        <f>6609.1+(121.6-1910)+(-16.853205+(-0.31008--4.8705))+0-0-0</f>
        <v>4808.4072150000011</v>
      </c>
      <c r="K154" s="3">
        <f>6143.1+(188.6-1682.6)+(-9.398943+(-0.288558--2.574378))+0-0-0</f>
        <v>4641.9868770000003</v>
      </c>
      <c r="L154" s="3">
        <f>5729.2+(202.2-1435.8)+(-8.765676+(-0.309366--2.196774))+0-0-0</f>
        <v>4488.721732</v>
      </c>
      <c r="M154" s="3">
        <f>5869.5+(325.9-1387.6)+(11.97378+(0.664836-2.830704))+0-0-0</f>
        <v>4817.6079120000004</v>
      </c>
      <c r="N154" s="3">
        <f>6439.1+(714.2-1588.1)+(6.567882+(0.728484-1.619862))+0-0-0</f>
        <v>5570.8765040000008</v>
      </c>
      <c r="O154" s="3">
        <f>6824.3+(864.4-1427.6)+(3.480393+(0.440844-0.728076))+0-0-0</f>
        <v>6264.2931610000005</v>
      </c>
      <c r="P154" s="3">
        <f>7053.4+(834.9-1122.4)+(10.791702+(1.277397-1.717272))+0-0-0</f>
        <v>6776.251827</v>
      </c>
      <c r="Q154" s="3">
        <f>7033.7+(708.7-701)+(14.348748+(1.445748-1.43004))+0-0-0</f>
        <v>7055.7644559999999</v>
      </c>
      <c r="R154" s="3">
        <f>7013.4+(656.8-465.2)+(7.153668+(0.669936-0.474504))+0-0-0</f>
        <v>7212.3491000000004</v>
      </c>
      <c r="S154" s="3">
        <f>6990.5+(674.3-461.2)+(-3.565155+(-0.343893--0.235212))+0-0-0</f>
        <v>7199.9261640000004</v>
      </c>
      <c r="T154" s="3">
        <f>6960.9+(793.1-472.7)+(3.550059+(0.404481-0.241077))+0-0-0</f>
        <v>7285.0134629999993</v>
      </c>
      <c r="U154" s="3">
        <f>6868.4+(761.6-444.3)+(0+(0-0))+0-0-0</f>
        <v>7185.7</v>
      </c>
      <c r="V154" s="3">
        <f>6732.2+(727.3-397.8)+(0+(0-0))+0-0-0</f>
        <v>7061.7</v>
      </c>
      <c r="W154" s="3">
        <f>6711.3+(802.1-654.6)+(0+(0-0))+0-0-0</f>
        <v>6858.8</v>
      </c>
      <c r="X154" s="3">
        <f>6702.4+(778.3-773.2)+(0+(0-0))+0-0-0</f>
        <v>6707.5</v>
      </c>
      <c r="Y154" s="3">
        <f>6859+(706.8-791.1)+(3.49809+(0.360468-0.403461))+0-0-0</f>
        <v>6778.1550969999998</v>
      </c>
      <c r="Z154" s="3">
        <f>7067+(609-550.4)+(0+(0-0))+0-0-0</f>
        <v>7125.6</v>
      </c>
      <c r="AA154" s="3">
        <f>7236.7+(643.8-828.7)+(-7.381434+(-0.656676--0.845274))+0-0-0</f>
        <v>7044.6071639999991</v>
      </c>
      <c r="AB154" s="3">
        <f>7212.6+(709.9-1092.1)+(0+(0-0))+0-0-0</f>
        <v>6830.4000000000005</v>
      </c>
      <c r="AC154" s="3">
        <f>7155.2+(678.1-1302.2)+(-10.947456+(-1.037493--1.992366))+0-0-0</f>
        <v>6521.1074169999993</v>
      </c>
      <c r="AD154">
        <f t="shared" si="2"/>
        <v>148366.19895999998</v>
      </c>
      <c r="AE154" s="3">
        <f>7233+(604.2-758.1)+(0+(0-0))+0-0-0</f>
        <v>7079.1</v>
      </c>
    </row>
    <row r="155" spans="1:31" s="2" customFormat="1" x14ac:dyDescent="0.25">
      <c r="A155">
        <v>89</v>
      </c>
      <c r="B155">
        <v>5</v>
      </c>
      <c r="C155">
        <v>31</v>
      </c>
      <c r="D155">
        <v>2</v>
      </c>
      <c r="E155">
        <v>1</v>
      </c>
      <c r="F155" s="3">
        <f>7190.7+(602.6-1860.6)+(-7.334514+(-0.614652--1.897812))+0-0-0</f>
        <v>5926.6486459999996</v>
      </c>
      <c r="G155" s="3">
        <f>7041.7+(384.7-1983.4)+(-7.182534+(-0.392394--2.023068))+0-0-0</f>
        <v>5437.4481400000004</v>
      </c>
      <c r="H155" s="3">
        <f>6861.6+(331.1-2085.7)+(3.499416+(0.168861-1.063707))+0-0-0</f>
        <v>5109.6045700000004</v>
      </c>
      <c r="I155" s="3">
        <f>6753+(360.7-2158.3)+(-3.44403+(-0.183957--1.100733))+0-0-0</f>
        <v>4952.872746</v>
      </c>
      <c r="J155" s="3">
        <f>6735.6+(336-2011.1)+(-6.870312+(-0.34272--2.051322))+0-0-0</f>
        <v>5055.3382899999997</v>
      </c>
      <c r="K155" s="3">
        <f>6421.7+(346.6-1893.1)+(-3.275067+(-0.176766--0.965481))+0-0-0</f>
        <v>4872.7136479999999</v>
      </c>
      <c r="L155" s="3">
        <f>6086.2+(371.6-1777)+(-18.623772+(-1.137096--5.43762))+0-0-0</f>
        <v>4666.4767519999996</v>
      </c>
      <c r="M155" s="3">
        <f>6197.1+(567.3-1840.2)+(0+(0-0))+0-0-0</f>
        <v>4924.2000000000007</v>
      </c>
      <c r="N155" s="3">
        <f>6716.7+(734.9-1801)+(0+(0-0))+0-0-0</f>
        <v>5650.6</v>
      </c>
      <c r="O155" s="3">
        <f>7101.3+(941-1767)+(0+(0-0))+0-0-0</f>
        <v>6275.3</v>
      </c>
      <c r="P155" s="3">
        <f>7225.3+(1145.6-1739.3)+(7.369806+(1.168512-1.774086))+0-0-0</f>
        <v>6638.3642320000008</v>
      </c>
      <c r="Q155" s="3">
        <f>7206.3+(1257.9-1497.5)+(-7.350426+(-1.283058--1.52745))+0-0-0</f>
        <v>6959.5939660000004</v>
      </c>
      <c r="R155" s="3">
        <f>7176.7+(1307.9-1335.3)+(7.320234+(1.334058-1.362006))+0-0-0</f>
        <v>7156.5922860000001</v>
      </c>
      <c r="S155" s="3">
        <f>7228.4+(1341.9-1306.3)+(-11.059452+(-2.053107--1.998639))+0-0-0</f>
        <v>7252.8860800000002</v>
      </c>
      <c r="T155" s="3">
        <f>7176.6+(1306.1-1229.1)+(-3.660066+(-0.666111--0.626841))+0-0-0</f>
        <v>7249.9006640000007</v>
      </c>
      <c r="U155" s="3">
        <f>7123.1+(1334-1274.9)+(0+(0-0))+0-0-0</f>
        <v>7182.2000000000007</v>
      </c>
      <c r="V155" s="3">
        <f>7052+(1449.7-1432.7)+(-7.19304+(-1.478694--1.461354))+0-0-0</f>
        <v>7061.7896199999996</v>
      </c>
      <c r="W155" s="3">
        <f>7009.1+(1485.6-1586.5)+(-10.723923+(-2.272968--2.427345))+0-0-0</f>
        <v>6897.630454000001</v>
      </c>
      <c r="X155" s="3">
        <f>7022.8+(1328.5-1587.4)+(-7.163256+(-1.35507--1.619148))+0-0-0</f>
        <v>6757.000822</v>
      </c>
      <c r="Y155" s="3">
        <f>7147.1+(1223.4-1576.8)+(-7.290042+(-1.247868--1.608336))+0-0-0</f>
        <v>6786.770426000001</v>
      </c>
      <c r="Z155" s="3">
        <f>7310.4+(1231.4-1511.5)+(-3.728304+(-0.628014--0.770865))+0-0-0</f>
        <v>7026.7145469999996</v>
      </c>
      <c r="AA155" s="3">
        <f>7360.9+(1015.4-1394.8)+(-11.262177+(-1.553562--2.134044))+0-0-0</f>
        <v>6970.8183049999998</v>
      </c>
      <c r="AB155" s="3">
        <f>7354.7+(1057.8-1645.6)+(0+(0-0))+0-0-0</f>
        <v>6766.9</v>
      </c>
      <c r="AC155" s="3">
        <f>7331.4+(1064.5-2037.7)+(-3.739014+(-0.542895--1.039227))+0-0-0</f>
        <v>6354.9573179999998</v>
      </c>
      <c r="AD155">
        <f t="shared" si="2"/>
        <v>149933.32151199999</v>
      </c>
      <c r="AE155" s="3">
        <f>7297+(1165.6-1469.7)+(0+(0-0))+0-0-0</f>
        <v>6992.9</v>
      </c>
    </row>
    <row r="156" spans="1:31" s="2" customFormat="1" x14ac:dyDescent="0.25">
      <c r="A156">
        <v>89</v>
      </c>
      <c r="B156">
        <v>6</v>
      </c>
      <c r="C156">
        <v>1</v>
      </c>
      <c r="D156">
        <v>3</v>
      </c>
      <c r="E156">
        <v>1</v>
      </c>
      <c r="F156" s="3">
        <f>7237.2+(778.8-2128.3)+(0+(0-0))+0-0-0</f>
        <v>5887.7</v>
      </c>
      <c r="G156" s="3">
        <f>6819.8+(582.9-2035.2)+(-13.912392+(-1.189116--4.151808))+0-0-0</f>
        <v>5356.5502999999999</v>
      </c>
      <c r="H156" s="3">
        <f>6629.9+(514.8-2145.5)+(10.143747+(0.787644-3.282615))+0-0-0</f>
        <v>5006.8487759999998</v>
      </c>
      <c r="I156" s="3">
        <f>6416.5+(524.8-2080.3)+(-6.54483+(-0.535296--2.121906))+0-0-0</f>
        <v>4856.0417799999996</v>
      </c>
      <c r="J156" s="3">
        <f>6238.8+(596.2-1859.8)+(-3.181788+(-0.304062--0.948498))+0-0-0</f>
        <v>4972.6626480000004</v>
      </c>
      <c r="K156" s="3">
        <f>6041.4+(627.8-1872)+(-3.081114+(-0.320178--0.95472))+0-0-0</f>
        <v>4794.753428</v>
      </c>
      <c r="L156" s="3">
        <f>6006.2+(523.3-1880.3)+(-6.126324+(-0.533766--1.917906))+0-0-0</f>
        <v>4644.4578160000001</v>
      </c>
      <c r="M156" s="3">
        <f>6100.8+(520-1762.4)+(6.222816+(0.5304-1.797648))+0-0-0</f>
        <v>4863.3555679999999</v>
      </c>
      <c r="N156" s="3">
        <f>6500.9+(927.9-1886.9)+(3.315459+(0.473229-0.962319))+0-0-0</f>
        <v>5544.726369</v>
      </c>
      <c r="O156" s="3">
        <f>6929+(1152.4-1922.1)+(3.53379+(0.587724-0.980271))+0-0-0</f>
        <v>6162.4412430000002</v>
      </c>
      <c r="P156" s="3">
        <f>7365.5+(1279.5-2040.8)+(0+(0-0))+0-0-0</f>
        <v>6604.2</v>
      </c>
      <c r="Q156" s="3">
        <f>7346.2+(1584.4-2046.9)+(3.746562+(0.808044-1.043919))+0-0-0</f>
        <v>6887.2106869999998</v>
      </c>
      <c r="R156" s="3">
        <f>7361.4+(1523-1776.8)+(3.754314+(0.77673-0.906168))+0-0-0</f>
        <v>7111.2248759999993</v>
      </c>
      <c r="S156" s="3">
        <f>7308.4+(1518.2-1748.3)+(0+(0-0))+0-0-0</f>
        <v>7078.2999999999993</v>
      </c>
      <c r="T156" s="3">
        <f>7276.5+(1517.3-1667.5)+(0+(0-0))+0-0-0</f>
        <v>7126.3</v>
      </c>
      <c r="U156" s="3">
        <f>7108.2+(1531.3-1546.7)+(3.625182+(0.780963-0.788817))+0-0-0</f>
        <v>7096.4173279999995</v>
      </c>
      <c r="V156" s="3">
        <f>6947.9+(1585.2-1624.1)+(3.543429+(0.808452-0.828291))+0-0-0</f>
        <v>6912.5235899999998</v>
      </c>
      <c r="W156" s="3">
        <f>6990.6+(1649.8-1855.8)+(-3.565206+(-0.841398--0.946458))+0-0-0</f>
        <v>6781.139854</v>
      </c>
      <c r="X156" s="3">
        <f>6979.3+(1508.1-1934.4)+(-10.678329+(-2.307393--2.959632))+0-0-0</f>
        <v>6542.9739099999997</v>
      </c>
      <c r="Y156" s="3">
        <f>7078+(1450.1-1849.6)+(-10.82934+(-2.218653--2.829888))+0-0-0</f>
        <v>6668.2818950000001</v>
      </c>
      <c r="Z156" s="3">
        <f>7289.9+(1423.1-1712.9)+(-3.717849+(-0.725781--0.873579))+0-0-0</f>
        <v>6996.5299489999998</v>
      </c>
      <c r="AA156" s="3">
        <f>7344.7+(1439.1-1808.7)+(-7.491594+(-1.467882--1.844874))+0-0-0</f>
        <v>6967.9853979999998</v>
      </c>
      <c r="AB156" s="3">
        <f>7307.6+(1530.8-2044.5)+(0+(0-0))+0-0-0</f>
        <v>6793.9000000000005</v>
      </c>
      <c r="AC156" s="3">
        <f>7179.4+(1381.7-2055.3)+(-7.322988+(-1.409334--2.096406))+0-0-0</f>
        <v>6499.1640839999991</v>
      </c>
      <c r="AD156">
        <f t="shared" si="2"/>
        <v>148155.68949899997</v>
      </c>
      <c r="AE156" s="3">
        <f>7300+(1382.7-1665.7)+(0+(0-0))+0-0-0</f>
        <v>7017</v>
      </c>
    </row>
    <row r="157" spans="1:31" s="2" customFormat="1" x14ac:dyDescent="0.25">
      <c r="A157">
        <v>89</v>
      </c>
      <c r="B157">
        <v>6</v>
      </c>
      <c r="C157">
        <v>2</v>
      </c>
      <c r="D157">
        <v>4</v>
      </c>
      <c r="E157">
        <v>1</v>
      </c>
      <c r="F157" s="3">
        <f>6964.8+(1146.3-2155.3)+(-3.552048+(-0.584613--1.099203))+0-0-0</f>
        <v>5952.7625420000004</v>
      </c>
      <c r="G157" s="3">
        <f>6691.7+(913.3-2193.9)+(-10.238301+(-1.397349--3.356667))+0-0-0</f>
        <v>5402.8210169999993</v>
      </c>
      <c r="H157" s="3">
        <f>6656.8+(554-2131.3)+(-3.394968+(-0.28254--1.086963))+0-0-0</f>
        <v>5076.909455</v>
      </c>
      <c r="I157" s="3">
        <f>6582+(434.9-2085.6)+(3.35682+(0.221799-1.063656))+0-0-0</f>
        <v>4933.8149629999998</v>
      </c>
      <c r="J157" s="3">
        <f>6538.7+(527.3-2028.9)+(0+(0-0))+0-0-0</f>
        <v>5037.0999999999995</v>
      </c>
      <c r="K157" s="3">
        <f>6399.3+(573.6-2043.2)+(-16.318215+(-1.46268--5.21016))+0-0-0</f>
        <v>4917.1292650000005</v>
      </c>
      <c r="L157" s="3">
        <f>5876.2+(629.4-1833)+(0+(0-0))+0-0-0</f>
        <v>4672.6000000000004</v>
      </c>
      <c r="M157" s="3">
        <f>5980.5+(801.6-1819)+(-6.10011+(-0.817632--1.85538))+0-0-0</f>
        <v>4958.0376380000007</v>
      </c>
      <c r="N157" s="3">
        <f>6423+(967.3-1891.5)+(0+(0-0))+0-0-0</f>
        <v>5498.8</v>
      </c>
      <c r="O157" s="3">
        <f>7126.8+(1315.9-2215.6)+(3.634668+(0.671109-1.129956))+0-0-0</f>
        <v>6230.2758210000002</v>
      </c>
      <c r="P157" s="3">
        <f>7253.9+(1395.4-2019)+(3.699489+(0.711654-1.02969))+0-0-0</f>
        <v>6633.6814529999992</v>
      </c>
      <c r="Q157" s="3">
        <f>7195.9+(1438-1743.7)+(0+(0-0))+0-0-0</f>
        <v>6890.2</v>
      </c>
      <c r="R157" s="3">
        <f>7216.2+(1471-1626.6)+(-3.680262+(-0.75021--0.829566))+0-0-0</f>
        <v>7056.9990940000007</v>
      </c>
      <c r="S157" s="3">
        <f>7209.1+(1448.7-1622.1)+(-3.676641+(-0.738837--0.827271))+0-0-0</f>
        <v>7032.1117930000009</v>
      </c>
      <c r="T157" s="3">
        <f>7205.9+(1382.2-1508.5)+(3.675009+(0.704922-0.769335))+0-0-0</f>
        <v>7083.2105959999999</v>
      </c>
      <c r="U157" s="3">
        <f>7123.9+(1420.4-1564.8)+(-7.266378+(-1.448808--1.596096))+0-0-0</f>
        <v>6972.3809099999999</v>
      </c>
      <c r="V157" s="3">
        <f>7052.1+(1438.5-1655.8)+(0+(0-0))+0-0-0</f>
        <v>6834.8</v>
      </c>
      <c r="W157" s="3">
        <f>7057.1+(1487-1869)+(-14.396484+(-3.03348--3.81276))+0-0-0</f>
        <v>6661.4827960000002</v>
      </c>
      <c r="X157" s="3">
        <f>6982+(1446.5-1954.5)+(7.12164+(1.47543-1.99359))+0-0-0</f>
        <v>6480.6034799999998</v>
      </c>
      <c r="Y157" s="3">
        <f>7100.8+(1375.6-1825.9)+(3.621408+(0.701556-0.931209))+0-0-0</f>
        <v>6653.8917549999996</v>
      </c>
      <c r="Z157" s="3">
        <f>7295+(1289.5-1680)+(-7.4409+(-1.31529--1.7136))+0-0-0</f>
        <v>6897.45741</v>
      </c>
      <c r="AA157" s="3">
        <f>7352.3+(1266.3-1821.3)+(-11.249019+(-1.937439--2.786589))+0-0-0</f>
        <v>6786.9001310000003</v>
      </c>
      <c r="AB157" s="3">
        <f>7325.4+(1285.9-2030.4)+(-11.207862+(-1.967427--3.106512))+0-0-0</f>
        <v>6570.8312229999992</v>
      </c>
      <c r="AC157" s="3">
        <f>7276.1+(1101.2-2046.4)+(-7.421622+(-1.123224--2.087328))+0-0-0</f>
        <v>6324.4424820000004</v>
      </c>
      <c r="AD157">
        <f t="shared" si="2"/>
        <v>147559.243824</v>
      </c>
      <c r="AE157" s="3">
        <f>7383+(1261.1-1680.5)+(0+(0-0))+0-0-0</f>
        <v>6963.6</v>
      </c>
    </row>
    <row r="158" spans="1:31" s="2" customFormat="1" x14ac:dyDescent="0.25">
      <c r="A158">
        <v>89</v>
      </c>
      <c r="B158">
        <v>6</v>
      </c>
      <c r="C158">
        <v>3</v>
      </c>
      <c r="D158">
        <v>5</v>
      </c>
      <c r="E158">
        <v>1</v>
      </c>
      <c r="F158" s="3">
        <f>7097.6+(748.3-2034.5)+(-3.619776+(-0.381633--1.037595))+0-0-0</f>
        <v>5808.4361860000008</v>
      </c>
      <c r="G158" s="3">
        <f>6690.9+(606.5-2060.9)+(-6.824718+(-0.61863--2.102118))+0-0-0</f>
        <v>5231.15877</v>
      </c>
      <c r="H158" s="3">
        <f>6360.6+(557.5-1974.3)+(0+(0-0))+0-0-0</f>
        <v>4943.8</v>
      </c>
      <c r="I158" s="3">
        <f>6383.4+(448.2-2023.1)+(-13.022136+(-0.914328--4.127124))+0-0-0</f>
        <v>4798.6906600000002</v>
      </c>
      <c r="J158" s="3">
        <f>6468.6+(416.4-1965.3)+(0+(0-0))+0-0-0</f>
        <v>4919.7000000000007</v>
      </c>
      <c r="K158" s="3">
        <f>6172.4+(573.3-1884.8)+(-3.147924+(-0.292383--0.961248))+0-0-0</f>
        <v>4858.4209409999994</v>
      </c>
      <c r="L158" s="3">
        <f>5623.9+(694.4-1708.8)+(-14.340945+(-1.77072--4.35744))+0-0-0</f>
        <v>4597.7457750000003</v>
      </c>
      <c r="M158" s="3">
        <f>5819.2+(731.6-1731.9)+(-8.903376+(-1.119348--2.649807))+0-0-0</f>
        <v>4811.5270829999999</v>
      </c>
      <c r="N158" s="3">
        <f>6533+(941.3-1961.2)+(3.33183+(0.480063-1.000212))+0-0-0</f>
        <v>5515.9116810000005</v>
      </c>
      <c r="O158" s="3">
        <f>7006.1+(929.4-1882.3)+(-3.573111+(-0.473994--0.959973))+0-0-0</f>
        <v>6050.1128680000011</v>
      </c>
      <c r="P158" s="3">
        <f>7260.9+(1250.5-2015)+(0+(0-0))+0-0-0</f>
        <v>6496.4</v>
      </c>
      <c r="Q158" s="3">
        <f>7235.7+(1485-2001.6)+(0+(0-0))+0-0-0</f>
        <v>6719.1</v>
      </c>
      <c r="R158" s="3">
        <f>7236.5+(1471.6-1868.5)+(0+(0-0))+0-0-0</f>
        <v>6839.6</v>
      </c>
      <c r="S158" s="3">
        <f>7224+(1405.2-1716.5)+(-7.36848+(-1.433304--1.75083))+0-0-0</f>
        <v>6905.6490459999995</v>
      </c>
      <c r="T158" s="3">
        <f>7226.2+(1405.5-1663.3)+(0+(0-0))+0-0-0</f>
        <v>6968.4</v>
      </c>
      <c r="U158" s="3">
        <f>7182.7+(1571.3-1873.5)+(-3.663177+(-0.801363--0.955485))+0-0-0</f>
        <v>6876.9909449999996</v>
      </c>
      <c r="V158" s="3">
        <f>7116.8+(1647.6-2007.9)+(3.629568+(0.840276-1.024029))+0-0-0</f>
        <v>6759.945815</v>
      </c>
      <c r="W158" s="3">
        <f>7111.9+(1591.2-2106.7)+(-3.627069+(-0.811512--1.074417))+0-0-0</f>
        <v>6593.035836</v>
      </c>
      <c r="X158" s="3">
        <f>7111.6+(1231-1901.7)+(-7.253832+(-1.25562--1.939734))+0-0-0</f>
        <v>6434.3302820000008</v>
      </c>
      <c r="Y158" s="3">
        <f>7211.4+(1228.7-1899.4)+(-3.677814+(-0.626637--0.968694))+0-0-0</f>
        <v>6537.364243</v>
      </c>
      <c r="Z158" s="3">
        <f>7357.2+(1326.3-1958)+(-11.256516+(-2.029239--2.99574))+0-0-0</f>
        <v>6715.2099850000004</v>
      </c>
      <c r="AA158" s="3">
        <f>7422.1+(1318.7-2107.5)+(-3.785271+(-0.672537--1.074825))+0-0-0</f>
        <v>6629.9170169999998</v>
      </c>
      <c r="AB158" s="3">
        <f>7335.2+(1246.5-2168.6)+(-11.222856+(-1.907145--3.317958))+0-0-0</f>
        <v>6403.2879570000005</v>
      </c>
      <c r="AC158" s="3">
        <f>7273.1+(1037.7-2147.8)+(-3.709281+(-0.529227--1.095378))+0-0-0</f>
        <v>6159.8568699999996</v>
      </c>
      <c r="AD158">
        <f t="shared" si="2"/>
        <v>144574.59195999999</v>
      </c>
      <c r="AE158" s="3">
        <f>7441+(1282.2-1964.2)+(0+(0-0))+0-0-0</f>
        <v>6759</v>
      </c>
    </row>
    <row r="159" spans="1:31" s="2" customFormat="1" x14ac:dyDescent="0.25">
      <c r="A159">
        <v>89</v>
      </c>
      <c r="B159">
        <v>6</v>
      </c>
      <c r="C159">
        <v>4</v>
      </c>
      <c r="D159">
        <v>6</v>
      </c>
      <c r="E159">
        <v>1</v>
      </c>
      <c r="F159" s="3">
        <f>6964.9+(747.6-2056.8)+(-14.208396+(-1.525104--4.195872))+0-0-0</f>
        <v>5644.1623719999989</v>
      </c>
      <c r="G159" s="3">
        <f>6693.5+(676-2162.7)+(-20.48211+(-2.06856--6.617862))+0-0-0</f>
        <v>5190.8671920000006</v>
      </c>
      <c r="H159" s="3">
        <f>6392.5+(575.7-2092.3)+(-6.52035+(-0.587214--2.134146))+0-0-0</f>
        <v>4870.9265820000001</v>
      </c>
      <c r="I159" s="3">
        <f>6426.1+(451.8-2147.2)+(13.109244+(0.921672-4.380288))+0-0-0</f>
        <v>4740.3506280000011</v>
      </c>
      <c r="J159" s="3">
        <f>6452.9+(408.6-2058.7)+(0+(0-0))+0-0-0</f>
        <v>4802.7999999999993</v>
      </c>
      <c r="K159" s="3">
        <f>6227.9+(453.4-1964.4)+(-15.881145+(-1.15617--5.00922))+0-0-0</f>
        <v>4704.871905</v>
      </c>
      <c r="L159" s="3">
        <f>5724.4+(501.8-1807.8)+(-14.59722+(-1.27959--4.60989))+0-0-0</f>
        <v>4407.1330799999996</v>
      </c>
      <c r="M159" s="3">
        <f>5725.8+(514-1640.3)+(0+(0-0))+0-0-0</f>
        <v>4599.5</v>
      </c>
      <c r="N159" s="3">
        <f>6382.5+(645.1-1906.2)+(-3.255075+(-0.329001--0.972162))+0-0-0</f>
        <v>5118.7880859999996</v>
      </c>
      <c r="O159" s="3">
        <f>6757.2+(1093.6-2151.2)+(-3.446172+(-0.557736--1.097112))+0-0-0</f>
        <v>5696.6932040000002</v>
      </c>
      <c r="P159" s="3">
        <f>6892.7+(1336.9-2129.4)+(-10.545831+(-2.045457--3.257982))+0-0-0</f>
        <v>6090.8666939999994</v>
      </c>
      <c r="Q159" s="3">
        <f>6855.1+(1432.2-1985.5)+(0+(0-0))+0-0-0</f>
        <v>6301.8</v>
      </c>
      <c r="R159" s="3">
        <f>6884.7+(1479.7-1949.9)+(7.022394+(1.509294-1.988898))+0-0-0</f>
        <v>6421.0427900000004</v>
      </c>
      <c r="S159" s="3">
        <f>6809.1+(1453.5-1990.9)+(3.472641+(0.741285-1.015359))+0-0-0</f>
        <v>6274.8985670000011</v>
      </c>
      <c r="T159" s="3">
        <f>6796.6+(1427.2-1985.4)+(-6.932532+(-1.455744--2.025108))+0-0-0</f>
        <v>6232.0368320000007</v>
      </c>
      <c r="U159" s="3">
        <f>6757.7+(1442-2125.8)+(-10.339281+(-2.20626--3.252474))+0-0-0</f>
        <v>6064.606933</v>
      </c>
      <c r="V159" s="3">
        <f>6675.8+(1454.7-2175.7)+(-13.618632+(-2.967588--4.438428))+0-0-0</f>
        <v>5942.6522080000004</v>
      </c>
      <c r="W159" s="3">
        <f>6550.3+(1535.8-2241.1)+(-16.703265+(-3.91629--5.714805))+0-0-0</f>
        <v>5830.0952500000003</v>
      </c>
      <c r="X159" s="3">
        <f>6129.4+(1498.1-1899.2)+(-6.251988+(-1.528062--1.937184))+0-0-0</f>
        <v>5722.4571339999993</v>
      </c>
      <c r="Y159" s="3">
        <f>6456+(1241.9-1894.7)+(3.29256+(0.633369-0.966297))+0-0-0</f>
        <v>5806.1596319999999</v>
      </c>
      <c r="Z159" s="3">
        <f>6969.4+(1185.1-2012.4)+(-10.663182+(-1.813203--3.078972))+0-0-0</f>
        <v>6132.7025869999998</v>
      </c>
      <c r="AA159" s="3">
        <f>6990.9+(1265.5-2199.2)+(-17.826795+(-3.227025--5.60796))+0-0-0</f>
        <v>6041.75414</v>
      </c>
      <c r="AB159" s="3">
        <f>6926.1+(1206.8-2304.2)+(-3.532311+(-0.615468--1.175142))+0-0-0</f>
        <v>5825.7273630000009</v>
      </c>
      <c r="AC159" s="3">
        <f>6926.6+(921.9-2217.6)+(-14.130264+(-1.880676--4.523904))+0-0-0</f>
        <v>5619.4129640000001</v>
      </c>
      <c r="AD159">
        <f t="shared" si="2"/>
        <v>134082.30614299999</v>
      </c>
      <c r="AE159" s="3">
        <f>6933+(1173.5-1944.3)+(0+(0-0))+0-0-0</f>
        <v>6162.2</v>
      </c>
    </row>
    <row r="160" spans="1:31" s="2" customFormat="1" x14ac:dyDescent="0.25">
      <c r="A160">
        <v>89</v>
      </c>
      <c r="B160">
        <v>6</v>
      </c>
      <c r="C160">
        <v>5</v>
      </c>
      <c r="D160">
        <v>7</v>
      </c>
      <c r="E160">
        <v>1</v>
      </c>
      <c r="F160" s="3">
        <f>6896.7+(925.5-2074.4)+(-3.517317+(-0.472005--1.057944))+0-0-0</f>
        <v>5744.868621999999</v>
      </c>
      <c r="G160" s="3">
        <f>6746+(1010.3-2356.6)+(-3.44046+(-0.515253--1.201866))+0-0-0</f>
        <v>5396.9461529999999</v>
      </c>
      <c r="H160" s="3">
        <f>6349.6+(921.7-2264.6)+(-19.429776+(-2.820402--6.929676))+0-0-0</f>
        <v>4991.3794980000011</v>
      </c>
      <c r="I160" s="3">
        <f>6006.9+(692.2-1964.3)+(9.190557+(1.059066-3.005379))+0-0-0</f>
        <v>4742.0442439999997</v>
      </c>
      <c r="J160" s="3">
        <f>6001+(557.5-1797.2)+(-12.24204+(-1.1373--3.666288))+0-0-0</f>
        <v>4751.5869480000001</v>
      </c>
      <c r="K160" s="3">
        <f>5929.9+(603.9-1958)+(-3.024249+(-0.307989--0.99858))+0-0-0</f>
        <v>4573.4663419999997</v>
      </c>
      <c r="L160" s="3">
        <f>5622.6+(640.4-2025.6)+(0+(0-0))+0-0-0</f>
        <v>4237.4000000000005</v>
      </c>
      <c r="M160" s="3">
        <f>5132.1+(661.4-1775.7)+(0+(0-0))+0-0-0</f>
        <v>4017.8</v>
      </c>
      <c r="N160" s="3">
        <f>5003.7+(767.2-1605.6)+(0+(0-0))+0-0-0</f>
        <v>4165.3</v>
      </c>
      <c r="O160" s="3">
        <f>5269.2+(888.7-1685.9)+(-5.374584+(-0.906474--1.719618))+0-0-0</f>
        <v>4467.4385599999996</v>
      </c>
      <c r="P160" s="3">
        <f>5471.8+(947.4-1585.4)+(-5.581236+(-0.966348--1.617108))+0-0-0</f>
        <v>4828.8695239999997</v>
      </c>
      <c r="Q160" s="3">
        <f>6062.5+(1135-2019.7)+(0+(0-0))+0-0-0</f>
        <v>5177.8</v>
      </c>
      <c r="R160" s="3">
        <f>6370.9+(1079.6-2108.5)+(-3.249159+(-0.550596--1.075335))+0-0-0</f>
        <v>5339.2755800000004</v>
      </c>
      <c r="S160" s="3">
        <f>6624.1+(1048-2225.7)+(-6.756582+(-1.06896--2.270214))+0-0-0</f>
        <v>5440.8446720000002</v>
      </c>
      <c r="T160" s="3">
        <f>6651.3+(1034.9-2202.8)+(-10.176489+(-1.583397--3.370284))+0-0-0</f>
        <v>5475.0103979999994</v>
      </c>
      <c r="U160" s="3">
        <f>6565.4+(1046.4-2186.6)+(-13.393416+(-2.134656--4.460664))+0-0-0</f>
        <v>5414.1325919999999</v>
      </c>
      <c r="V160" s="3">
        <f>6121.9+(1206.2-1943.9)+(-6.244338+(-1.230324--1.982778))+0-0-0</f>
        <v>5378.7081159999998</v>
      </c>
      <c r="W160" s="3">
        <f>6148+(1213-1935.5)+(6.27096+(1.23726-1.97421))+0-0-0</f>
        <v>5431.0340100000003</v>
      </c>
      <c r="X160" s="3">
        <f>5724.2+(878.2-1345.9)+(0+(0-0))+0-0-0</f>
        <v>5256.5</v>
      </c>
      <c r="Y160" s="3">
        <f>5945.2+(964.8-1330.6)+(0+(0-0))+0-0-0</f>
        <v>5579.4</v>
      </c>
      <c r="Z160" s="3">
        <f>6976+(1059.4-1846.2)+(-3.55776+(-0.540294--0.941562))+0-0-0</f>
        <v>6186.0435079999997</v>
      </c>
      <c r="AA160" s="3">
        <f>7190.1+(1079.2-2048.4)+(-3.666951+(-0.550392--1.044684))+0-0-0</f>
        <v>6217.7273410000007</v>
      </c>
      <c r="AB160" s="3">
        <f>7153.6+(1145.6-2217)+(-7.296672+(-1.168512--2.26134))+0-0-0</f>
        <v>6075.9961560000011</v>
      </c>
      <c r="AC160" s="3">
        <f>6928.7+(1056.1-2056.4)+(0+(0-0))+0-0-0</f>
        <v>5928.4</v>
      </c>
      <c r="AD160">
        <f t="shared" si="2"/>
        <v>124817.97226400001</v>
      </c>
      <c r="AE160" s="3">
        <f>7167+(1042.7-2001)+(0+(0-0))+0-0-0</f>
        <v>6208.7</v>
      </c>
    </row>
    <row r="161" spans="1:31" s="2" customFormat="1" x14ac:dyDescent="0.25">
      <c r="A161">
        <v>89</v>
      </c>
      <c r="B161">
        <v>6</v>
      </c>
      <c r="C161">
        <v>6</v>
      </c>
      <c r="D161">
        <v>1</v>
      </c>
      <c r="E161">
        <v>1</v>
      </c>
      <c r="F161" s="3">
        <f>6637.1+(750.4-2249.6)+(-3.384921+(-0.382704--1.147296))+0-0-0</f>
        <v>5135.2796710000002</v>
      </c>
      <c r="G161" s="3">
        <f>6330.5+(620.8-2246.5)+(0+(0-0))+0-0-0</f>
        <v>4704.8</v>
      </c>
      <c r="H161" s="3">
        <f>6174.8+(278.9-2036.4)+(-12.596592+(-0.568956--4.154256))+0-0-0</f>
        <v>4408.288708</v>
      </c>
      <c r="I161" s="3">
        <f>6185.7+(206.6-2113.8)+(0+(0-0))+0-0-0</f>
        <v>4278.5</v>
      </c>
      <c r="J161" s="3">
        <f>6328.8+(133.2-2040.5)+(-6.455376+(-0.135864--2.08131))+0-0-0</f>
        <v>4416.9900699999998</v>
      </c>
      <c r="K161" s="3">
        <f>6100.8+(215.1-1958.2)+(-15.55704+(-0.548505--4.99341))+0-0-0</f>
        <v>4346.5878649999995</v>
      </c>
      <c r="L161" s="3">
        <f>5725.6+(307.9-1833.9)+(-17.520336+(-0.942174--5.611734))+0-0-0</f>
        <v>4186.7492240000001</v>
      </c>
      <c r="M161" s="3">
        <f>6000.9+(341.4-1841.9)+(3.060459+(0.174114-0.939369))+0-0-0</f>
        <v>4502.6952039999996</v>
      </c>
      <c r="N161" s="3">
        <f>6328.2+(599.3-1803.6)+(0+(0-0))+0-0-0</f>
        <v>5123.8999999999996</v>
      </c>
      <c r="O161" s="3">
        <f>7059.8+(783.4-2055.4)+(-3.600498+(-0.399534--1.048254))+0-0-0</f>
        <v>5784.8482220000005</v>
      </c>
      <c r="P161" s="3">
        <f>7338.7+(850.8-1952.9)+(7.485474+(0.867816-1.991958))+0-0-0</f>
        <v>6242.9613319999999</v>
      </c>
      <c r="Q161" s="3">
        <f>7295.7+(922.5-1780.6)+(3.720807+(0.470475-0.908106))+0-0-0</f>
        <v>6440.8831760000003</v>
      </c>
      <c r="R161" s="3">
        <f>7345.5+(1115.7-1816.6)+(3.746205+(0.569007-0.926466))+0-0-0</f>
        <v>6647.988746</v>
      </c>
      <c r="S161" s="3">
        <f>7385+(1184.6-1950)+(0+(0-0))+0-0-0</f>
        <v>6619.6</v>
      </c>
      <c r="T161" s="3">
        <f>7312.7+(1458.7-2156.1)+(0+(0-0))+0-0-0</f>
        <v>6615.3</v>
      </c>
      <c r="U161" s="3">
        <f>7314.6+(1559.7-2258.4)+(-14.921784+(-3.181788--4.607136))+0-0-0</f>
        <v>6602.4035640000002</v>
      </c>
      <c r="V161" s="3">
        <f>7077.8+(1534.4-2177.7)+(-18.04839+(-3.91272--5.553135))+0-0-0</f>
        <v>6418.0920249999999</v>
      </c>
      <c r="W161" s="3">
        <f>6924.5+(1540.7-2142.9)+(-14.12598+(-3.143028--4.371516))+0-0-0</f>
        <v>6309.4025080000001</v>
      </c>
      <c r="X161" s="3">
        <f>6555.3+(1232.8-1689.5)+(-10.029609+(-1.886184--2.584935))+0-0-0</f>
        <v>6089.2691420000001</v>
      </c>
      <c r="Y161" s="3">
        <f>6885+(1146.7-1763.9)+(3.51135+(0.584817-0.899589))+0-0-0</f>
        <v>6270.9965780000002</v>
      </c>
      <c r="Z161" s="3">
        <f>7442.7+(1198.4-2022)+(-15.183108+(-2.444736--4.12488))+0-0-0</f>
        <v>6605.5970360000001</v>
      </c>
      <c r="AA161" s="3">
        <f>7429.8+(1190.4-2097.2)+(-22.735188+(-3.642624--6.417432))+0-0-0</f>
        <v>6503.0396199999996</v>
      </c>
      <c r="AB161" s="3">
        <f>7377.1+(884.9-1923.1)+(-7.524642+(-0.902598--1.961562))+0-0-0</f>
        <v>6332.434322000001</v>
      </c>
      <c r="AC161" s="3">
        <f>7284.5+(553.4-1942.7)+(-7.43019+(-0.564468--1.981554))+0-0-0</f>
        <v>5889.1868960000002</v>
      </c>
      <c r="AD161">
        <f t="shared" si="2"/>
        <v>136475.79390900003</v>
      </c>
      <c r="AE161" s="3">
        <f>7469+(1217.2-2074.6)+(0+(0-0))+0-0-0</f>
        <v>6611.6</v>
      </c>
    </row>
    <row r="162" spans="1:31" s="2" customFormat="1" x14ac:dyDescent="0.25">
      <c r="A162">
        <v>89</v>
      </c>
      <c r="B162">
        <v>6</v>
      </c>
      <c r="C162">
        <v>7</v>
      </c>
      <c r="D162">
        <v>2</v>
      </c>
      <c r="E162">
        <v>1</v>
      </c>
      <c r="F162" s="3">
        <f>7132.9+(367-2075.4)+(-7.275558+(-0.37434--2.116908))+0-0-0</f>
        <v>5418.9670100000003</v>
      </c>
      <c r="G162" s="3">
        <f>6856.5+(481.2-2289.8)+(-13.98726+(-0.981648--4.671192))+0-0-0</f>
        <v>5037.6022839999996</v>
      </c>
      <c r="H162" s="3">
        <f>6517.8+(402.9-2244.2)+(-16.62039+(-1.027395--5.72271))+0-0-0</f>
        <v>4664.5749249999999</v>
      </c>
      <c r="I162" s="3">
        <f>6387.7+(362.1-2174.7)+(-6.515454+(-0.369342--2.218194))+9-0-0</f>
        <v>4579.4333980000001</v>
      </c>
      <c r="J162" s="3">
        <f>6305.2+(360.3-2154.2)+(12.862608+(0.735012-4.394568))+0-0-0</f>
        <v>4520.503052</v>
      </c>
      <c r="K162" s="3">
        <f>6266.1+(420.5-2183.4)+(-9.587133+(-0.643365--3.340602))+0-0-0</f>
        <v>4496.310104000001</v>
      </c>
      <c r="L162" s="3">
        <f>6162.3+(521.2-2282.1)+(0+(0-0))+0-0-0</f>
        <v>4401.4000000000005</v>
      </c>
      <c r="M162" s="3">
        <f>6080.4+(431.4-1911.2)+(0+(0-0))+0-0-0</f>
        <v>4600.5999999999995</v>
      </c>
      <c r="N162" s="3">
        <f>6516.2+(718.3-2049.4)+(6.646524+(0.732666-2.090388))+0-0-0</f>
        <v>5190.3888019999995</v>
      </c>
      <c r="O162" s="3">
        <f>6996.6+(1008.7-2183.1)+(-3.568266+(-0.514437--1.113381))+0-0-0</f>
        <v>5819.2306780000008</v>
      </c>
      <c r="P162" s="3">
        <f>7271+(1100.9-2121.3)+(0+(0-0))+0-0-0</f>
        <v>6250.6</v>
      </c>
      <c r="Q162" s="3">
        <f>7305+(1396.9-2132.8)+(3.72555+(0.712419-1.087728))+0-0-0</f>
        <v>6572.4502410000005</v>
      </c>
      <c r="R162" s="3">
        <f>7238.6+(1423-2056.3)+(-11.075058+(-2.17719--3.146139))+0-0-0</f>
        <v>6595.1938909999999</v>
      </c>
      <c r="S162" s="3">
        <f>7344.4+(1303.9-2015.7)+(-11.236932+(-1.994967--3.084021))+0-0-0</f>
        <v>6622.4521219999997</v>
      </c>
      <c r="T162" s="3">
        <f>7322.3+(1365-2043.4)+(-11.203119+(-2.08845--3.126402))+0-0-0</f>
        <v>6633.7348329999995</v>
      </c>
      <c r="U162" s="3">
        <f>7314.9+(1406.8-2151.1)+(-7.461198+(-1.434936--2.194122))+0-0-0</f>
        <v>6563.8979879999997</v>
      </c>
      <c r="V162" s="3">
        <f>7207.7+(1322.9-2102.1)+(-29.407416+(-5.397432--8.576568))+0-0-0</f>
        <v>6402.2717199999997</v>
      </c>
      <c r="W162" s="3">
        <f>7223.7+(1184.3-2154.6)+(-14.736348+(-2.415972--4.395384))+0-0-0</f>
        <v>6240.6430639999999</v>
      </c>
      <c r="X162" s="3">
        <f>7062.1+(1115-1978.7)+(-7.203342+(-1.1373--2.018274))+0-0-0</f>
        <v>6192.0776320000004</v>
      </c>
      <c r="Y162" s="3">
        <f>7207.3+(952.3-1716.5)+(3.675723+(0.485673-0.875415))+0-0-0</f>
        <v>6446.3859810000004</v>
      </c>
      <c r="Z162" s="3">
        <f>7470.8+(1025.7-1871.9)+(-11.430324+(-1.569321--2.864007))+0-0-0</f>
        <v>6614.4643620000006</v>
      </c>
      <c r="AA162" s="3">
        <f>7417.7+(1061.6-1958.8)+(-22.698162+(-3.248496--5.993928))+0-0-0</f>
        <v>6500.54727</v>
      </c>
      <c r="AB162" s="3">
        <f>7401.6+(890.2-2018.2)+(-11.324448+(-1.362006--3.087846))+0-0-0</f>
        <v>6264.0013920000001</v>
      </c>
      <c r="AC162" s="3">
        <f>7388.3+(666.2-2076.9)+(-7.536066+(-0.679524--2.118438))+0-0-0</f>
        <v>5971.5028480000001</v>
      </c>
      <c r="AD162">
        <f t="shared" si="2"/>
        <v>138599.23359699998</v>
      </c>
      <c r="AE162" s="3">
        <f>7477+(1143.4-2030.3)+(0+(0-0))+0-0-0</f>
        <v>6590.1</v>
      </c>
    </row>
    <row r="163" spans="1:31" s="2" customFormat="1" x14ac:dyDescent="0.25">
      <c r="A163">
        <v>89</v>
      </c>
      <c r="B163">
        <v>6</v>
      </c>
      <c r="C163">
        <v>8</v>
      </c>
      <c r="D163">
        <v>3</v>
      </c>
      <c r="E163">
        <v>1</v>
      </c>
      <c r="F163" s="3">
        <f>7263.4+(603.6-2450.1)+(-7.408668+(-0.615672--2.499102))+0-0-0</f>
        <v>5411.3747619999995</v>
      </c>
      <c r="G163" s="3">
        <f>7194.9+(455.3-2538.3)+(-3.669399+(-0.232203--1.294533))+0-0-0</f>
        <v>5109.292931</v>
      </c>
      <c r="H163" s="3">
        <f>6723.5+(303.2-2270.2)+(0+(0-0))+0-0-0</f>
        <v>4756.5</v>
      </c>
      <c r="I163" s="3">
        <f>6461.6+(214.5-2058.5)+(-6.590832+(-0.21879--2.09967))+0-0-0</f>
        <v>4612.8900480000002</v>
      </c>
      <c r="J163" s="3">
        <f>6428.5+(266.8-2053.6)+(3.278535+(0.136068-1.047336))+0-0-0</f>
        <v>4644.0672669999994</v>
      </c>
      <c r="K163" s="3">
        <f>6255.5+(355.7-2055.4)+(-12.76122+(-0.725628--4.193016))+0-0-0</f>
        <v>4546.5061679999999</v>
      </c>
      <c r="L163" s="3">
        <f>5970.1+(269.7-1985.2)+(-18.268506+(-0.825282--6.074712))+0-0-0</f>
        <v>4241.5809240000008</v>
      </c>
      <c r="M163" s="3">
        <f>6113.6+(319.9-2065.9)+(6.235872+(0.326298-2.107218))+0-0-0</f>
        <v>4372.0549520000004</v>
      </c>
      <c r="N163" s="3">
        <f>6540.1+(351.9-1978.4)+(3.335451+(0.179469-1.008984))+0-0-0</f>
        <v>4916.1059359999999</v>
      </c>
      <c r="O163" s="3">
        <f>7001+(528.7-1987.5)+(0+(0-0))+0-0-0</f>
        <v>5542.2</v>
      </c>
      <c r="P163" s="3">
        <f>7173.6+(605.3-1744)+(14.634144+(1.234812-3.55776))+0-0-0</f>
        <v>6047.2111960000002</v>
      </c>
      <c r="Q163" s="3">
        <f>7270+(529.5-1308.1)+(7.4154+(0.54009-1.334262))+0-0-0</f>
        <v>6498.0212279999996</v>
      </c>
      <c r="R163" s="3">
        <f>7196.1+(526.7-1151.8)+(-3.670011+(-0.268617--0.587418))+0-0-0</f>
        <v>6567.6487900000002</v>
      </c>
      <c r="S163" s="3">
        <f>7238.4+(520.3-1170.8)+(0+(0-0))+0-0-0</f>
        <v>6587.9</v>
      </c>
      <c r="T163" s="3">
        <f>7193.7+(493.4-1043.9)+(3.668787+(0.251634-0.532389))+0-0-0</f>
        <v>6646.5880319999997</v>
      </c>
      <c r="U163" s="3">
        <f>7145.2+(490.8-1041.6)+(3.644052+(0.250308-0.531216))+0-0-0</f>
        <v>6597.7631439999996</v>
      </c>
      <c r="V163" s="3">
        <f>7071.6+(545.6-1203)+(-10.819548+(-0.834768--1.84059))+0-0-0</f>
        <v>6404.3862740000004</v>
      </c>
      <c r="W163" s="3">
        <f>7109.3+(637.2-1510.2)+(-10.877229+(-0.974916--2.310606))+0-0-0</f>
        <v>6226.7584610000004</v>
      </c>
      <c r="X163" s="3">
        <f>7073.2+(723.6-1718.7)+(-3.607332+(-0.369036--0.876537))+0-0-0</f>
        <v>6075.000168999999</v>
      </c>
      <c r="Y163" s="3">
        <f>7260.6+(612.5-1645.7)+(3.702906+(0.312375-0.839307))+0-0-0</f>
        <v>6230.5759740000003</v>
      </c>
      <c r="Z163" s="3">
        <f>7498.5+(686.7-1619.5)+(-3.824235+(-0.350217--0.825945))+0-0-0</f>
        <v>6562.3514930000001</v>
      </c>
      <c r="AA163" s="3">
        <f>7518.7+(829.5-1876.8)+(0+(0-0))+0-0-0</f>
        <v>6471.4</v>
      </c>
      <c r="AB163" s="3">
        <f>7518.2+(837.5-2132.2)+(-7.668564+(-0.85425--2.174844))+0-0-0</f>
        <v>6217.1520300000002</v>
      </c>
      <c r="AC163" s="3">
        <f>7456.8+(746.2-2259.8)+(0+(0-0))+0-0-0</f>
        <v>5943.2</v>
      </c>
      <c r="AD163">
        <f t="shared" si="2"/>
        <v>137228.529779</v>
      </c>
      <c r="AE163" s="3">
        <f>7561+(816.4-1759.2)+(0+(0-0))+0-0-0</f>
        <v>6618.2</v>
      </c>
    </row>
    <row r="164" spans="1:31" s="2" customFormat="1" x14ac:dyDescent="0.25">
      <c r="A164">
        <v>89</v>
      </c>
      <c r="B164">
        <v>6</v>
      </c>
      <c r="C164">
        <v>9</v>
      </c>
      <c r="D164">
        <v>4</v>
      </c>
      <c r="E164">
        <v>1</v>
      </c>
      <c r="F164" s="3">
        <f>7346.1+(508.6-2462)+(-18.732555+(-1.29693--6.2781))+0-0-0</f>
        <v>5378.9486150000012</v>
      </c>
      <c r="G164" s="3">
        <f>6937.4+(236.7-2210.2)+(-14.152296+(-0.482868--4.508808))+0-0-0</f>
        <v>4953.7736439999999</v>
      </c>
      <c r="H164" s="3">
        <f>6554.9+(164.5-2165.1)+(-10.028997+(-0.251685--3.312603))+0-0-0</f>
        <v>4547.3319209999991</v>
      </c>
      <c r="I164" s="3">
        <f>6171.6+(107.9-1903.1)+(-15.73758+(-0.275145--4.852905))+0-0-0</f>
        <v>4365.2401800000007</v>
      </c>
      <c r="J164" s="3">
        <f>6261.9+(130.3-1905.4)+(0+(0-0))+0-0-0</f>
        <v>4486.7999999999993</v>
      </c>
      <c r="K164" s="3">
        <f>6086.5+(181.7-1835.1)+(-15.520575+(-0.463335--4.679505))+0-0-0</f>
        <v>4421.7955950000005</v>
      </c>
      <c r="L164" s="3">
        <f>5898.8+(269.1-1947.5)+(-12.033552+(-0.548964--3.9729))+0-0-0</f>
        <v>4211.7903839999999</v>
      </c>
      <c r="M164" s="3">
        <f>6091.3+(356.9-1939.2)+(0+(0-0))+0-0-0</f>
        <v>4509</v>
      </c>
      <c r="N164" s="3">
        <f>6593.6+(494.5-1961.3)+(3.362736+(0.252195-1.000263))+0-0-0</f>
        <v>5129.4146680000003</v>
      </c>
      <c r="O164" s="3">
        <f>7145.2+(427.6-1824.5)+(0+(0-0))+0-0-0</f>
        <v>5748.2999999999993</v>
      </c>
      <c r="P164" s="3">
        <f>7337.8+(479.3-1725.5)+(3.742278+(0.244443-0.880005))+0-0-0</f>
        <v>6094.7067160000006</v>
      </c>
      <c r="Q164" s="3">
        <f>7358.7+(501.5-1446.9)+(11.258811+(0.767295-2.213757))+0-0-0</f>
        <v>6423.1123489999991</v>
      </c>
      <c r="R164" s="3">
        <f>7386.9+(492.7-1319.2)+(3.767319+(0.251277-0.672792))+0-0-0</f>
        <v>6563.7458039999992</v>
      </c>
      <c r="S164" s="3">
        <f>7345.1+(439.3-1289.6)+(0+(0-0))+0-0-0</f>
        <v>6494.8</v>
      </c>
      <c r="T164" s="3">
        <f>7335.1+(357.8-948.8)+(3.740901+(0.182478-0.483888))+0-0-0</f>
        <v>6747.5394910000005</v>
      </c>
      <c r="U164" s="3">
        <f>7282.7+(387.7-1003.2)+(-18.570885+(-0.988635--2.55816))+0-0-0</f>
        <v>6650.1986399999996</v>
      </c>
      <c r="V164" s="3">
        <f>7234.5+(421.1-1158.8)+(-7.37919+(-0.429522--1.181976))+0-0-0</f>
        <v>6490.173264</v>
      </c>
      <c r="W164" s="3">
        <f>7236.2+(413.2-1388.2)+(-7.380924+(-0.421464--1.415964))+0-0-0</f>
        <v>6254.8135759999996</v>
      </c>
      <c r="X164" s="3">
        <f>7214.6+(618.3-1865.9)+(-7.358892+(-0.630666--1.903218))+0-0-0</f>
        <v>5960.9136600000002</v>
      </c>
      <c r="Y164" s="3">
        <f>7190.8+(660.2-1830.5)+(-7.334616+(-0.673404--1.86711))+0-0-0</f>
        <v>6014.3590899999999</v>
      </c>
      <c r="Z164" s="3">
        <f>7514.4+(665.6-1911.4)+(0+(0-0))+0-0-0</f>
        <v>6268.5999999999995</v>
      </c>
      <c r="AA164" s="3">
        <f>7469.1+(709.6-2019.1)+(-15.236964+(-1.447584--4.118964))+0-0-0</f>
        <v>6147.0344160000004</v>
      </c>
      <c r="AB164" s="3">
        <f>7375.1+(712.8-2291.3)+(0+(0-0))+0-0-0</f>
        <v>5796.6</v>
      </c>
      <c r="AC164" s="3">
        <f>7175.8+(516-2208.9)+(-18.29829+(-1.3158--5.632695))+0-0-0</f>
        <v>5468.9186049999998</v>
      </c>
      <c r="AD164">
        <f t="shared" si="2"/>
        <v>135127.91061800002</v>
      </c>
      <c r="AE164" s="3">
        <f>7506+(740-1777.9)+(0+(0-0))+0-0-0</f>
        <v>6468.1</v>
      </c>
    </row>
    <row r="165" spans="1:31" s="2" customFormat="1" x14ac:dyDescent="0.25">
      <c r="A165">
        <v>89</v>
      </c>
      <c r="B165">
        <v>6</v>
      </c>
      <c r="C165">
        <v>10</v>
      </c>
      <c r="D165">
        <v>5</v>
      </c>
      <c r="E165">
        <v>5</v>
      </c>
      <c r="F165" s="3">
        <f>6967.1+(365-2181.5)+(-10.659663+(-0.55845--3.337695))+0-0-0</f>
        <v>5142.7195820000006</v>
      </c>
      <c r="G165" s="3">
        <f>6676+(256.1-2146.5)+(-10.21428+(-0.391833--3.284145))+0-0-0</f>
        <v>4778.2780320000002</v>
      </c>
      <c r="H165" s="3">
        <f>6295.2+(272.1-2052)+(-3.210552+(-0.138771--1.04652))+0-0-0</f>
        <v>4512.9971969999997</v>
      </c>
      <c r="I165" s="3">
        <f>6246.7+(210.1-2002.9)+(-6.371634+(-0.214302--2.042958))+0-0-0</f>
        <v>4449.3570219999992</v>
      </c>
      <c r="J165" s="3">
        <f>6343.2+(256.7-2089.1)+(-12.940128+(-0.523668--4.261764))+0-0-0</f>
        <v>4501.597968</v>
      </c>
      <c r="K165" s="3">
        <f>5891+(313.7-1928.7)+(-15.02205+(-0.799935--4.918185))+0-0-0</f>
        <v>4265.0962</v>
      </c>
      <c r="L165" s="3">
        <f>5562.1+(345.7-2052.7)+(-14.183355+(-0.881535--5.234385))+0-0-0</f>
        <v>3845.2694950000005</v>
      </c>
      <c r="M165" s="3">
        <f>5093+(430.8-1937.1)+(0+(0-0))+0-0-0</f>
        <v>3586.7</v>
      </c>
      <c r="N165" s="3">
        <f>5297.5+(469-2106.8)+(-5.40345+(-0.47838--2.148936))+0-0-0</f>
        <v>3655.9671059999996</v>
      </c>
      <c r="O165" s="3">
        <f>5471.2+(333.2-2013.6)+(-5.580624+(-0.339864--2.053872))+0-0-0</f>
        <v>3786.9333840000004</v>
      </c>
      <c r="P165" s="3">
        <f>5999.4+(406.2-2288.8)+(-3.059694+(-0.207162--1.167288))+0-0-0</f>
        <v>4114.7004319999996</v>
      </c>
      <c r="Q165" s="3">
        <f>6188.5+(343.2-2147.3)+(6.31227+(0.350064-2.190246))+0-0-0</f>
        <v>4388.8720880000001</v>
      </c>
      <c r="R165" s="3">
        <f>6700.8+(338.1-2446)+(-3.417408+(-0.172431--1.24746))+0-0-0</f>
        <v>4590.5576209999999</v>
      </c>
      <c r="S165" s="3">
        <f>6904.4+(243.9-2353.4)+(-3.521244+(-0.124389--1.200234))+0-0-0</f>
        <v>4792.4546009999995</v>
      </c>
      <c r="T165" s="3">
        <f>7106.3+(194.5-2370.3)+(0+(0-0))+0-0-0</f>
        <v>4930.5</v>
      </c>
      <c r="U165" s="3">
        <f>7051.3+(166.6-2335.1)+(-14.384652+(-0.339864--4.763604))+0-0-0</f>
        <v>4872.8390880000006</v>
      </c>
      <c r="V165" s="3">
        <f>6977.6+(235.3-2264.5)+(-3.558576+(-0.120003--1.154895))+0-0-0</f>
        <v>4945.8763160000008</v>
      </c>
      <c r="W165" s="3">
        <f>6929.5+(352.7-2325.4)+(-7.06809+(-0.359754--2.371908))+0-0-0</f>
        <v>4951.7440640000004</v>
      </c>
      <c r="X165" s="3">
        <f>6572.3+(415.9-1983.2)+(-6.703746+(-0.424218--2.022864))+0-0-0</f>
        <v>4999.8949000000002</v>
      </c>
      <c r="Y165" s="3">
        <f>6847.8+(401.9-1891.8)+(0+(0-0))+0-0-0</f>
        <v>5357.9</v>
      </c>
      <c r="Z165" s="3">
        <f>7252+(364.1-1837.8)+(-3.69852+(-0.185691--0.937278))+0-0-0</f>
        <v>5775.353067</v>
      </c>
      <c r="AA165" s="3">
        <f>7281.6+(410.2-1906)+(-11.140848+(-0.627606--2.91618))+0-0-0</f>
        <v>5776.9477260000003</v>
      </c>
      <c r="AB165" s="3">
        <f>7194.8+(337.3-1936)+(3.669348+(0.172023-0.98736))+0-0-0</f>
        <v>5598.9540110000007</v>
      </c>
      <c r="AC165" s="3">
        <f>7146.8+(423-2075.5)+(-3.644868+(-0.21573--1.058505))+0-0-0</f>
        <v>5491.4979069999999</v>
      </c>
      <c r="AD165">
        <f t="shared" si="2"/>
        <v>113113.00780699997</v>
      </c>
      <c r="AE165" s="3">
        <f>7233+(422.6-1933.4)+(0+(0-0))+0-0-0</f>
        <v>5722.2</v>
      </c>
    </row>
    <row r="166" spans="1:31" s="2" customFormat="1" x14ac:dyDescent="0.25">
      <c r="A166">
        <v>89</v>
      </c>
      <c r="B166">
        <v>6</v>
      </c>
      <c r="C166">
        <v>11</v>
      </c>
      <c r="D166">
        <v>6</v>
      </c>
      <c r="E166">
        <v>6</v>
      </c>
      <c r="F166" s="3">
        <f>7153.5+(292.9-2291.1)+(0+(0-0))+0-0-0</f>
        <v>5155.3</v>
      </c>
      <c r="G166" s="3">
        <f>6984.6+(284.7-2481.4)+(-3.562146+(-0.145197--1.265514))+0-0-0</f>
        <v>4785.4581709999993</v>
      </c>
      <c r="H166" s="3">
        <f>6708.8+(200.2-2401.6)+(3.421488+(0.102102-1.224816))+0-0-0</f>
        <v>4509.6987739999995</v>
      </c>
      <c r="I166" s="3">
        <f>6359.2+(199.5-2226.1)+(0+(0-0))+0-0-0</f>
        <v>4332.6000000000004</v>
      </c>
      <c r="J166" s="3">
        <f>6504.8+(112.7-2201.4)+(0+(0-0))+0-0-0</f>
        <v>4416.1000000000004</v>
      </c>
      <c r="K166" s="3">
        <f>6500.6+(158.4-2310.8)+(0+(0-0))+0-0-0</f>
        <v>4348.2000000000007</v>
      </c>
      <c r="L166" s="3">
        <f>6273.1+(200.2-2320.1)+(-12.797124+(-0.408408--4.733004))+0-0-0</f>
        <v>4144.7274720000005</v>
      </c>
      <c r="M166" s="3">
        <f>6176.3+(165.1-2097.9)+(3.149913+(0.084201-1.069929))+0-0-0</f>
        <v>4245.6641849999996</v>
      </c>
      <c r="N166" s="3">
        <f>6597.6+(155.1-1966.4)+(-3.364776+(-0.079101--1.002864))+0-0-0</f>
        <v>4783.8589870000005</v>
      </c>
      <c r="O166" s="3">
        <f>6994.6+(389.5-2059)+(7.134492+(0.39729-2.10018))+0-0-0</f>
        <v>5330.531602</v>
      </c>
      <c r="P166" s="3">
        <f>7073.7+(337.6-1643.1)+(7.215174+(0.344352-1.675962))+0-0-0</f>
        <v>5774.0835639999996</v>
      </c>
      <c r="Q166" s="3">
        <f>7060.4+(358.4-1385.5)+(3.600804+(0.182784-0.706605))+0-0-0</f>
        <v>6036.3769829999992</v>
      </c>
      <c r="R166" s="3">
        <f>7012.4+(261.7-1073.9)+(3.576324+(0.133467-0.547689))+10.5-0-0</f>
        <v>6213.862102</v>
      </c>
      <c r="S166" s="3">
        <f>6940.2+(256.9-1065.2)+(-3.539502+(-0.131019--0.543252))+21-0-0</f>
        <v>6149.772731</v>
      </c>
      <c r="T166" s="3">
        <f>6948.9+(206.9-1037)+(3.543939+(0.105519-0.52887))+21-0-0</f>
        <v>6142.920587999999</v>
      </c>
      <c r="U166" s="3">
        <f>6910+(173-1024.5)+(-3.5241+(-0.08823--0.522495))+21-0-0</f>
        <v>6076.4101650000002</v>
      </c>
      <c r="V166" s="3">
        <f>6881.9+(320.8-1283.8)+(-10.529307+(-0.490824--1.964214))+5.3-0-0</f>
        <v>5915.1440830000001</v>
      </c>
      <c r="W166" s="3">
        <f>6893.6+(476.4-1517)+(0+(0-0))+0-0-0</f>
        <v>5853</v>
      </c>
      <c r="X166" s="3">
        <f>6918+(596.4-1759.3)+(3.52818+(0.304164-0.897243))+0-0-0</f>
        <v>5758.0351010000004</v>
      </c>
      <c r="Y166" s="3">
        <f>7096.8+(631.1-1633.9)+(7.238736+(0.643722-1.666578))+0-0-0</f>
        <v>6100.2158799999997</v>
      </c>
      <c r="Z166" s="3">
        <f>7254.2+(487.2-1438.9)+(-3.699642+(-0.248472--0.733839))+0-0-0</f>
        <v>6299.2857249999997</v>
      </c>
      <c r="AA166" s="3">
        <f>7260.2+(577.1-1572.8)+(3.702702+(0.294321-0.802128))+0-0-0</f>
        <v>6267.6948949999996</v>
      </c>
      <c r="AB166" s="3">
        <f>7184.1+(630.8-1829.3)+(-7.327782+(-0.643416--1.865886))+0-0-0</f>
        <v>5979.4946880000007</v>
      </c>
      <c r="AC166" s="3">
        <f>7162.9+(577.5-2032.7)+(7.306158+(0.58905-2.073354))+0-0-0</f>
        <v>5713.5218539999996</v>
      </c>
      <c r="AD166">
        <f t="shared" si="2"/>
        <v>130331.95755000001</v>
      </c>
      <c r="AE166" s="3">
        <f>7242+(480.3-1433.2)+(0+(0-0))+0-0-0</f>
        <v>6289.1</v>
      </c>
    </row>
    <row r="167" spans="1:31" s="2" customFormat="1" x14ac:dyDescent="0.25">
      <c r="A167">
        <v>89</v>
      </c>
      <c r="B167">
        <v>6</v>
      </c>
      <c r="C167">
        <v>12</v>
      </c>
      <c r="D167">
        <v>7</v>
      </c>
      <c r="E167">
        <v>1</v>
      </c>
      <c r="F167" s="3">
        <f>6874.4+(570.7-1987.2)+(0+(0-0))+0-0-0</f>
        <v>5457.9</v>
      </c>
      <c r="G167" s="3">
        <f>6869.3+(537.2-2305.5)+(3.503343+(0.273972-1.175805))+0-0-0</f>
        <v>5103.6015100000004</v>
      </c>
      <c r="H167" s="3">
        <f>6691.7+(389.2-2241.3)+(0+(0-0))+0-0-0</f>
        <v>4839.5999999999995</v>
      </c>
      <c r="I167" s="3">
        <f>6505.2+(227.6-2025.9)+(16.58826+(0.58038-5.166045))+0-0-0</f>
        <v>4718.9025949999996</v>
      </c>
      <c r="J167" s="3">
        <f>6506.2+(275.5-2073.9)+(-6.636324+(-0.28101--2.115378))+0-0-0</f>
        <v>4702.998043999999</v>
      </c>
      <c r="K167" s="3">
        <f>6250.6+(276.2-2045.7)+(-15.93903+(-0.70431--5.216535))+0-0-0</f>
        <v>4469.6731950000003</v>
      </c>
      <c r="L167" s="3">
        <f>5847.7+(268.7-1977.9)+(-14.911635+(-0.685185--5.043645))+0-0-0</f>
        <v>4127.946825</v>
      </c>
      <c r="M167" s="3">
        <f>5696.8+(289-2048.3)+(-11.621472+(-0.58956--4.178532))+0-0-0</f>
        <v>3929.4675000000002</v>
      </c>
      <c r="N167" s="3">
        <f>5712+(269.2-1921.5)+(2.91312+(0.137292-0.979965))+0-0-0</f>
        <v>4061.7704469999999</v>
      </c>
      <c r="O167" s="3">
        <f>5894.8+(334-1923.2)+(0+(0-0))+0-0-0</f>
        <v>4305.6000000000004</v>
      </c>
      <c r="P167" s="3">
        <f>6334.2+(354.8-2058.7)+(-3.230442+(-0.180948--1.049937))+0-0-0</f>
        <v>4627.9385469999997</v>
      </c>
      <c r="Q167" s="3">
        <f>6561.3+(559.6-2170.2)+(-3.346263+(-0.285396--1.106802))+0-0-0</f>
        <v>4948.1751430000004</v>
      </c>
      <c r="R167" s="3">
        <f>6736.4+(622.9-2221.9)+(-3.435564+(-0.317679--1.133169))+0-0-0</f>
        <v>5134.7799259999993</v>
      </c>
      <c r="S167" s="3">
        <f>6801.4+(615.5-2150.9)+(-6.937428+(-0.62781--2.193918))+0-0-0</f>
        <v>5260.6286799999998</v>
      </c>
      <c r="T167" s="3">
        <f>6817+(532.4-1940.3)+(0+(0-0))+0-0-0</f>
        <v>5409.1</v>
      </c>
      <c r="U167" s="3">
        <f>6740.4+(572.1-1857.4)+(-10.312812+(-0.875313--2.841822))+0-0-0</f>
        <v>5446.7536969999992</v>
      </c>
      <c r="V167" s="3">
        <f>6652.4+(590.5-1867.9)+(-3.392724+(-0.301155--0.952629))+0-0-0</f>
        <v>5372.25875</v>
      </c>
      <c r="W167" s="3">
        <f>6579.7+(754.8-1958.6)+(-10.066941+(-1.154844--2.996658))+1-0-0</f>
        <v>5368.6748729999999</v>
      </c>
      <c r="X167" s="3">
        <f>6380.8+(644.5-1630.6)+(-16.27104+(-1.643475--4.15803))+0-0-0</f>
        <v>5380.9435150000008</v>
      </c>
      <c r="Y167" s="3">
        <f>6645.2+(663.7-1650.9)+(0+(0-0))+0-0-0</f>
        <v>5658</v>
      </c>
      <c r="Z167" s="3">
        <f>7055.1+(632-1706.7)+(-7.196202+(-0.64464--1.740834))+0-0-0</f>
        <v>5974.2999920000002</v>
      </c>
      <c r="AA167" s="3">
        <f>7067.6+(647.4-1741.3)+(-14.417904+(-1.320696--3.552252))+0-0-0</f>
        <v>5961.5136520000005</v>
      </c>
      <c r="AB167" s="3">
        <f>7090.3+(687.9-1876.1)+(-3.616053+(-0.350829--0.956811))+0-0-0</f>
        <v>5899.0899290000007</v>
      </c>
      <c r="AC167" s="3">
        <f>7084.9+(626.1-2003.6)+(-3.613299+(-0.319311--1.021836))+0-0-0</f>
        <v>5704.4892259999997</v>
      </c>
      <c r="AD167">
        <f t="shared" si="2"/>
        <v>121864.10604599999</v>
      </c>
      <c r="AE167" s="3">
        <f>7143+(672.2-1681.5)+(0+(0-0))+0-0-0</f>
        <v>6133.7</v>
      </c>
    </row>
    <row r="168" spans="1:31" s="2" customFormat="1" x14ac:dyDescent="0.25">
      <c r="A168">
        <v>89</v>
      </c>
      <c r="B168">
        <v>6</v>
      </c>
      <c r="C168">
        <v>13</v>
      </c>
      <c r="D168">
        <v>1</v>
      </c>
      <c r="E168">
        <v>1</v>
      </c>
      <c r="F168" s="3">
        <f>7105.9+(522.1-2264.3)+(-10.872027+(-0.798813--3.464379))+0-0-0</f>
        <v>5355.4935389999991</v>
      </c>
      <c r="G168" s="3">
        <f>6657+(337.3-2108)+(-10.18521+(-0.516069--3.22524))+0-0-0</f>
        <v>4878.8239610000001</v>
      </c>
      <c r="H168" s="3">
        <f>6224.8+(220.2-1933.3)+(-6.349296+(-0.224604--1.971966))+0-0-0</f>
        <v>4507.0980660000005</v>
      </c>
      <c r="I168" s="3">
        <f>6026.8+(212.3-1884.5)+(3.073668+(0.108273-0.961095))+0-0-0</f>
        <v>4356.8208460000005</v>
      </c>
      <c r="J168" s="3">
        <f>6097+(258.9-1833.4)+(3.10947+(0.132039-0.935034))+0-0-0</f>
        <v>4524.8064750000003</v>
      </c>
      <c r="K168" s="3">
        <f>6069.8+(322.2-1931.8)+(-15.47799+(-0.82161--4.92609))+0-0-0</f>
        <v>4448.8264900000004</v>
      </c>
      <c r="L168" s="3">
        <f>5961.7+(366.8-2035.5)+(-21.283269+(-1.309476--7.266735))+0-0-0</f>
        <v>4277.6739900000002</v>
      </c>
      <c r="M168" s="3">
        <f>6034.3+(315.9-1772.3)+(0+(0-0))+0-0-0</f>
        <v>4577.8999999999996</v>
      </c>
      <c r="N168" s="3">
        <f>6474+(779.7-1943.3)+(0+(0-0))+0-0-0</f>
        <v>5310.4</v>
      </c>
      <c r="O168" s="3">
        <f>7030.5+(930.3-2056.6)+(3.585555+(0.474453-1.048866))+0-0-0</f>
        <v>5907.2111420000001</v>
      </c>
      <c r="P168" s="3">
        <f>7174.2+(876.2-1722.7)+(10.976526+(1.340586-2.635731))+0-0-0</f>
        <v>6337.3813810000001</v>
      </c>
      <c r="Q168" s="3">
        <f>7149.8+(790.2-1360)+(14.585592+(1.612008-2.7744))+0-0-0</f>
        <v>6593.4232000000002</v>
      </c>
      <c r="R168" s="3">
        <f>7178.2+(714.9-1168.2)+(0+(0-0))+0-0-0</f>
        <v>6724.9</v>
      </c>
      <c r="S168" s="3">
        <f>7210.6+(643.3-1157.8)+(-11.032218+(-0.984249--1.771434))+0-0-0</f>
        <v>6685.8549670000002</v>
      </c>
      <c r="T168" s="3">
        <f>7247+(561.7-1025.3)+(0+(0-0))+0-0-0</f>
        <v>6783.4</v>
      </c>
      <c r="U168" s="3">
        <f>7217.5+(540.3-1026.6)+(0+(0-0))+0-0-0</f>
        <v>6731.2</v>
      </c>
      <c r="V168" s="3">
        <f>7147.4+(630-1162.6)+(-7.290348+(-0.6426--1.185852))+0-0-0</f>
        <v>6608.0529039999992</v>
      </c>
      <c r="W168" s="3">
        <f>7108.3+(859.5-1607.2)+(-10.875699+(-1.315035--2.459016))+0-0-0</f>
        <v>6350.8682820000004</v>
      </c>
      <c r="X168" s="3">
        <f>7097.7+(845.9-1741.5)+(-21.718962+(-2.588454--5.32899))+0-0-0</f>
        <v>6183.1215739999998</v>
      </c>
      <c r="Y168" s="3">
        <f>7252+(877.2-1756.8)+(-14.79408+(-1.789488--3.583872))+0-0-0</f>
        <v>6359.4003039999998</v>
      </c>
      <c r="Z168" s="3">
        <f>7397.5+(947.8-1752)+(-15.0909+(-1.933512--3.57408))+0-0-0</f>
        <v>6579.8496679999998</v>
      </c>
      <c r="AA168" s="3">
        <f>7421.1+(921.9-1825.9)+(-11.354283+(-1.410507--2.793627))+0-0-0</f>
        <v>6507.1288370000002</v>
      </c>
      <c r="AB168" s="3">
        <f>7358.4+(960-2021.2)+(-7.505568+(-0.9792--2.061624))+0-0-0</f>
        <v>6290.7768559999995</v>
      </c>
      <c r="AC168" s="3">
        <f>7367.5+(956.9-2254.3)+(-11.272275+(-1.464057--3.449079))+0-0-0</f>
        <v>6060.8127469999999</v>
      </c>
      <c r="AD168">
        <f t="shared" si="2"/>
        <v>138941.22522899997</v>
      </c>
      <c r="AE168" s="3">
        <f>7493+(909.3-1616.2)+(0+(0-0))+0-0-0</f>
        <v>6786.1</v>
      </c>
    </row>
    <row r="169" spans="1:31" s="2" customFormat="1" x14ac:dyDescent="0.25">
      <c r="A169">
        <v>89</v>
      </c>
      <c r="B169">
        <v>6</v>
      </c>
      <c r="C169">
        <v>14</v>
      </c>
      <c r="D169">
        <v>2</v>
      </c>
      <c r="E169">
        <v>1</v>
      </c>
      <c r="F169" s="3">
        <f>7118.8+(465.2-2158.5)+(-3.630588+(-0.237252--1.100835))+0-0-0</f>
        <v>5422.7329950000003</v>
      </c>
      <c r="G169" s="3">
        <f>6762.7+(270.8-2110.9)+(-10.346931+(-0.414324--3.229677))+0-0-0</f>
        <v>4915.0684219999994</v>
      </c>
      <c r="H169" s="3">
        <f>6465.8+(224.5-2152.6)+(0+(0-0))+0-0-0</f>
        <v>4537.7000000000007</v>
      </c>
      <c r="I169" s="3">
        <f>6391.8+(166.1-2179.7)+(0+(0-0))+0-0-0</f>
        <v>4378.2000000000007</v>
      </c>
      <c r="J169" s="3">
        <f>6267.3+(157.8-2019.1)+(12.785292+(0.321912-4.118964))+0-0-0</f>
        <v>4414.9882399999997</v>
      </c>
      <c r="K169" s="3">
        <f>6192+(211-2047.3)+(-6.31584+(-0.21522--2.088246))+0-0-0</f>
        <v>4351.2571859999998</v>
      </c>
      <c r="L169" s="3">
        <f>6042.1+(202.8-2014.2)+(-12.325884+(-0.413712--4.108968))+0-0-0</f>
        <v>4222.0693720000008</v>
      </c>
      <c r="M169" s="3">
        <f>6214.4+(202.3-1956.1)+(9.508032+(0.309519-2.992833))+0-0-0</f>
        <v>4467.4247179999993</v>
      </c>
      <c r="N169" s="3">
        <f>6747.1+(210-1800)+(-3.441021+(-0.1071--0.918))+0-0-0</f>
        <v>5154.4698790000002</v>
      </c>
      <c r="O169" s="3">
        <f>7236.4+(433.2-1976.6)+(0+(0-0))+0-0-0</f>
        <v>5693</v>
      </c>
      <c r="P169" s="3">
        <f>7199.3+(714.4-1813.5)+(11.014929+(1.093032-2.774655))+0-0-0</f>
        <v>6109.5333060000012</v>
      </c>
      <c r="Q169" s="3">
        <f>7175.5+(735.7-1531)+(3.659505+(0.375207-0.78081))+0-0-0</f>
        <v>6383.4539020000002</v>
      </c>
      <c r="R169" s="3">
        <f>7281.2+(642.2-1417)+(3.713412+(0.327522-0.72267))+0-0-0</f>
        <v>6509.7182640000001</v>
      </c>
      <c r="S169" s="3">
        <f>7299+(621.1-1512.2)+(-3.72249+(-0.316761--0.771222))+0-0-0</f>
        <v>6404.6319709999998</v>
      </c>
      <c r="T169" s="3">
        <f>7340.2+(687.1-1493.3)+(3.743502+(0.350421-0.761583))+0-0-0</f>
        <v>6537.3323399999999</v>
      </c>
      <c r="U169" s="3">
        <f>7289.2+(655.6-1439.8)+(-11.152476+(-1.003068--2.202894))+0-0-0</f>
        <v>6495.0473499999998</v>
      </c>
      <c r="V169" s="3">
        <f>7229.8+(732.1-1599.6)+(0+(0-0))+0-0-0</f>
        <v>6362.3</v>
      </c>
      <c r="W169" s="3">
        <f>7232.2+(988.7-2028.8)+(-14.753688+(-2.016948--4.138752))+0-0-0</f>
        <v>6179.468116</v>
      </c>
      <c r="X169" s="3">
        <f>7245.8+(1038.9-2263)+(-11.086074+(-1.589517--3.46239))+0-0-0</f>
        <v>6012.4867990000012</v>
      </c>
      <c r="Y169" s="3">
        <f>7314.2+(886.7-1928.7)+(-3.730242+(-0.452217--0.983637))+0-0-0</f>
        <v>6269.0011779999995</v>
      </c>
      <c r="Z169" s="3">
        <f>7464.2+(892.1-1822.5)+(-7.613484+(-0.909942--1.85895))+0-0-0</f>
        <v>6527.1355240000003</v>
      </c>
      <c r="AA169" s="3">
        <f>7500.1+(946.5-2034.1)+(-7.650102+(-0.96543--2.074782))+0-0-0</f>
        <v>6405.9592499999999</v>
      </c>
      <c r="AB169" s="3">
        <f>7401.4+(930.2-2165.8)+(-3.774714+(-0.474402--1.104558))+0-0-0</f>
        <v>6162.6554419999993</v>
      </c>
      <c r="AC169" s="3">
        <f>7340+(611.4-2100.9)+(-11.2302+(-0.935442--3.214377))+0-0-0</f>
        <v>5841.5487350000003</v>
      </c>
      <c r="AD169">
        <f t="shared" si="2"/>
        <v>135757.18298899999</v>
      </c>
      <c r="AE169" s="3">
        <f>7450+(814.3-1742.9)+(0+(0-0))+0-0-0</f>
        <v>6521.4</v>
      </c>
    </row>
    <row r="170" spans="1:31" s="2" customFormat="1" x14ac:dyDescent="0.25">
      <c r="A170">
        <v>89</v>
      </c>
      <c r="B170">
        <v>6</v>
      </c>
      <c r="C170">
        <v>15</v>
      </c>
      <c r="D170">
        <v>3</v>
      </c>
      <c r="E170">
        <v>1</v>
      </c>
      <c r="F170" s="3">
        <f>7139.1+(394.4-2150.7)+(-10.922823+(-0.603432--3.290571))+0-0-0</f>
        <v>5374.5643160000009</v>
      </c>
      <c r="G170" s="3">
        <f>6710.1+(285.2-2138.9)+(-10.266453+(-0.436356--3.272517))+0-0-0</f>
        <v>4848.9697080000005</v>
      </c>
      <c r="H170" s="3">
        <f>6418.8+(255.6-2181)+(-6.547176+(-0.260712--2.22462))+0-0-0</f>
        <v>4488.8167319999993</v>
      </c>
      <c r="I170" s="3">
        <f>6216+(198.1-2119.2)+(-9.51048+(-0.303093--3.242376))+0-0-0</f>
        <v>4288.3288029999994</v>
      </c>
      <c r="J170" s="3">
        <f>6163.5+(144.1-1907.9)+(-6.28677+(-0.146982--1.946058))+0-0-0</f>
        <v>4395.2123059999994</v>
      </c>
      <c r="K170" s="3">
        <f>6021.8+(196.6-1861.3)+(-12.284472+(-0.401064--3.797052))+0-0-0</f>
        <v>4348.2115160000003</v>
      </c>
      <c r="L170" s="3">
        <f>5761.5+(280.1-1882.7)+(-26.445285+(-1.285659--8.641593))+0-0-0</f>
        <v>4139.810649</v>
      </c>
      <c r="M170" s="3">
        <f>6042.3+(398-2022.1)+(-9.244719+(-0.60894--3.093813))+0-0-0</f>
        <v>4411.4401540000008</v>
      </c>
      <c r="N170" s="3">
        <f>6348.9+(733.9-2029.5)+(-6.475878+(-0.748578--2.07009))+0-0-0</f>
        <v>5048.1456339999995</v>
      </c>
      <c r="O170" s="3">
        <f>6658.4+(771.4-1815.5)+(-10.187352+(-1.180242--2.777715))+0-0-0</f>
        <v>5605.7101209999992</v>
      </c>
      <c r="P170" s="3">
        <f>7030.3+(793.3-1827.9)+(-14.341812+(-1.618332--3.728916))+0-0-0</f>
        <v>5983.4687720000002</v>
      </c>
      <c r="Q170" s="3">
        <f>7236.3+(955.3-1977)+(11.071539+(1.461609-3.02481))+0-0-0</f>
        <v>6224.108338</v>
      </c>
      <c r="R170" s="3">
        <f>7230.6+(834.2-1677.7)+(0+(0-0))+0-0-0</f>
        <v>6387.1</v>
      </c>
      <c r="S170" s="3">
        <f>7268.7+(701.8-1535.1)+(0+(0-0))+0-0-0</f>
        <v>6435.4</v>
      </c>
      <c r="T170" s="3">
        <f>7278.4+(592.4-1366.4)+(3.711984+(0.302124-0.696864))+0-0-0</f>
        <v>6507.7172439999995</v>
      </c>
      <c r="U170" s="3">
        <f>7217.7+(614.7-1394.6)+(-7.362054+(-0.626994--1.422492))+0-0-0</f>
        <v>6431.2334440000004</v>
      </c>
      <c r="V170" s="3">
        <f>7132.3+(704.4-1533.6)+(-7.274946+(-0.718488--1.564272))+0-0-0</f>
        <v>6296.670838</v>
      </c>
      <c r="W170" s="3">
        <f>7081.3+(850.9-1838.1)+(-10.834389+(-1.301877--2.812293))+0-0-0</f>
        <v>6084.7760270000008</v>
      </c>
      <c r="X170" s="3">
        <f>6803.3+(843.2-1708.2)+(-6.939366+(-0.860064--1.742364))+0-0-0</f>
        <v>5932.2429339999999</v>
      </c>
      <c r="Y170" s="3">
        <f>7088.3+(793.6-1694.2)+(3.615033+(0.404736-0.864042))+0-0-0</f>
        <v>6190.8557270000001</v>
      </c>
      <c r="Z170" s="3">
        <f>7320.2+(897.9-1800.4)+(-3.733302+(-0.457929--0.918204))+0-0-0</f>
        <v>6414.4269729999996</v>
      </c>
      <c r="AA170" s="3">
        <f>7374.7+(961.3-2047.4)+(-11.283291+(-1.470789--3.132522))+0-0-0</f>
        <v>6278.9784419999996</v>
      </c>
      <c r="AB170" s="3">
        <f>7281.7+(892.2-2122.9)+(0+(0-0))+0-0-0</f>
        <v>6051</v>
      </c>
      <c r="AC170" s="3">
        <f>7221.5+(774.9-2174.7)+(-3.682965+(-0.395199--1.109097))+0-0-0</f>
        <v>5818.7309330000007</v>
      </c>
      <c r="AD170">
        <f t="shared" si="2"/>
        <v>133985.91961099999</v>
      </c>
      <c r="AE170" s="3">
        <f>7332+(1051.6-1845.5)+(0+(0-0))+0-0-0</f>
        <v>6538.1</v>
      </c>
    </row>
    <row r="171" spans="1:31" s="2" customFormat="1" x14ac:dyDescent="0.25">
      <c r="A171">
        <v>89</v>
      </c>
      <c r="B171">
        <v>6</v>
      </c>
      <c r="C171">
        <v>16</v>
      </c>
      <c r="D171">
        <v>4</v>
      </c>
      <c r="E171">
        <v>1</v>
      </c>
      <c r="F171" s="3">
        <f>7137.2+(722.7-2340.1)+(-7.279944+(-0.737154--2.386902))+0-0-0</f>
        <v>5514.1698040000001</v>
      </c>
      <c r="G171" s="3">
        <f>6564.5+(563.9-2107.9)+(-16.739475+(-1.437945--5.375145))+0-0-0</f>
        <v>5007.697725</v>
      </c>
      <c r="H171" s="3">
        <f>6072.1+(438.8-1897.5)+(3.096771+(0.223788-0.967725))+0-0-0</f>
        <v>4615.7528340000008</v>
      </c>
      <c r="I171" s="3">
        <f>5864.2+(373.7-1812.8)+(-14.95371+(-0.952935--4.62264))+0-0-0</f>
        <v>4413.8159949999999</v>
      </c>
      <c r="J171" s="3">
        <f>6030.7+(377.4-1921.6)+(3.075657+(0.192474-0.980016))+0-0-0</f>
        <v>4488.7881150000003</v>
      </c>
      <c r="K171" s="3">
        <f>5990.8+(355.4-1898.5)+(-15.27654+(-0.90627--4.841175))+0-0-0</f>
        <v>4436.358365000001</v>
      </c>
      <c r="L171" s="3">
        <f>5747.4+(411.4-1864.9)+(-14.65587+(-1.04907--4.755495))+0-0-0</f>
        <v>4282.9505549999994</v>
      </c>
      <c r="M171" s="3">
        <f>5692.4+(476.3-1655.6)+(0+(0-0))+0-0-0</f>
        <v>4513.0999999999995</v>
      </c>
      <c r="N171" s="3">
        <f>5900.4+(498-1289.4)+(3.009204+(0.25398-0.657594))+0-0-0</f>
        <v>5111.6055900000001</v>
      </c>
      <c r="O171" s="3">
        <f>6399.4+(654.8-1397.4)+(9.791082+(1.001844-2.138022))+0-0-0</f>
        <v>5665.4549039999993</v>
      </c>
      <c r="P171" s="3">
        <f>7103+(698.2-1643.2)+(-3.62253+(-0.356082--0.838032))+0-0-0</f>
        <v>6154.8594199999998</v>
      </c>
      <c r="Q171" s="3">
        <f>7127.5+(1072.9-1751.4)+(3.635025+(0.547179-0.893214))+0-0-0</f>
        <v>6452.28899</v>
      </c>
      <c r="R171" s="3">
        <f>7125.8+(1075.4-1673.9)+(3.634158+(0.548454-0.853689))+0-0-0</f>
        <v>6530.6289230000002</v>
      </c>
      <c r="S171" s="3">
        <f>7110.4+(936.7-1585.5)+(-7.252608+(-0.955434--1.61721))+0-0-0</f>
        <v>6455.0091679999996</v>
      </c>
      <c r="T171" s="3">
        <f>7192.7+(792-1502.4)+(0+(0-0))+0-0-0</f>
        <v>6482.2999999999993</v>
      </c>
      <c r="U171" s="3">
        <f>7195+(723.1-1478.1)+(-3.66945+(-0.368781--0.753831))+0-0-0</f>
        <v>6436.7156000000004</v>
      </c>
      <c r="V171" s="3">
        <f>7115.8+(725.2-1471.9)+(-7.258116+(-0.739704--1.501338))+0-0-0</f>
        <v>6362.6035180000008</v>
      </c>
      <c r="W171" s="3">
        <f>7084+(930.4-1849.6)+(-3.61284+(-0.474504--0.943296))+0-0-0</f>
        <v>6161.6559520000001</v>
      </c>
      <c r="X171" s="3">
        <f>6958.7+(829.7-1798.3)+(0+(0-0))+0-0-0</f>
        <v>5990.1</v>
      </c>
      <c r="Y171" s="3">
        <f>7158.2+(779.5-1737.6)+(-7.301364+(-0.79509--1.772352))+0-0-0</f>
        <v>6193.7758980000008</v>
      </c>
      <c r="Z171" s="3">
        <f>7342.8+(819.3-1768.3)+(-11.234484+(-1.253529--2.705499))+0-0-0</f>
        <v>6384.0174859999997</v>
      </c>
      <c r="AA171" s="3">
        <f>7335.6+(937.2-1820)+(-11.223468+(-1.433916--2.7846))+0-0-0</f>
        <v>6442.927216</v>
      </c>
      <c r="AB171" s="3">
        <f>7303.9+(1022.8-2166.1)+(-3.724989+(-0.521628--1.104711))+0-0-0</f>
        <v>6157.4580939999996</v>
      </c>
      <c r="AC171" s="3">
        <f>7287.1+(935.9-2362.1)+(-7.432842+(-0.954618--2.409342))+0-0-0</f>
        <v>5854.9218820000006</v>
      </c>
      <c r="AD171">
        <f t="shared" si="2"/>
        <v>136108.956034</v>
      </c>
      <c r="AE171" s="3">
        <f>7397+(840.1-1730.8)+(0+(0-0))+0-0-0</f>
        <v>6506.3</v>
      </c>
    </row>
    <row r="172" spans="1:31" s="2" customFormat="1" x14ac:dyDescent="0.25">
      <c r="A172">
        <v>89</v>
      </c>
      <c r="B172">
        <v>6</v>
      </c>
      <c r="C172">
        <v>17</v>
      </c>
      <c r="D172">
        <v>5</v>
      </c>
      <c r="E172">
        <v>1</v>
      </c>
      <c r="F172" s="3">
        <f>6905.5+(582.4-2176.4)+(-3.521805+(-0.297024--1.109964))+0-0-0</f>
        <v>5308.7911350000004</v>
      </c>
      <c r="G172" s="3">
        <f>6360.7+(625.6-1998.4)+(-12.975828+(-1.276224--4.076736))+0-0-0</f>
        <v>4977.7246839999998</v>
      </c>
      <c r="H172" s="3">
        <f>6117.6+(500.3-1891.7)+(-9.359928+(-0.765459--2.894301))+0-0-0</f>
        <v>4718.968914000001</v>
      </c>
      <c r="I172" s="3">
        <f>6089.4+(451.4-1962.2)+(-9.316782+(-0.690642--3.002166))+0-0-0</f>
        <v>4571.5947419999993</v>
      </c>
      <c r="J172" s="3">
        <f>6025.5+(450.2-1971.7)+(3.073005+(0.229602-1.005567))+0-0-0</f>
        <v>4506.2970400000004</v>
      </c>
      <c r="K172" s="3">
        <f>5955.7+(503.3-1983)+(-9.112221+(-0.770049--3.03399))+0-0-0</f>
        <v>4469.1517199999998</v>
      </c>
      <c r="L172" s="3">
        <f>5724.1+(522.3-1962.5)+(-2.919291+(-0.266373--1.000875))+0-0-0</f>
        <v>4281.7152110000006</v>
      </c>
      <c r="M172" s="3">
        <f>5690.8+(590.6-1856)+(-2.902308+(-0.301206--0.94656))+0-0-0</f>
        <v>4423.1430459999992</v>
      </c>
      <c r="N172" s="3">
        <f>6013.5+(711.1-1642.1)+(-9.200655+(-1.087983--2.512413))+0-0-0</f>
        <v>5074.7237750000004</v>
      </c>
      <c r="O172" s="3">
        <f>6405+(813.8-1586.9)+(-6.5331+(-0.830076--1.618638))+0-0-0</f>
        <v>5626.1554619999997</v>
      </c>
      <c r="P172" s="3">
        <f>7033+(800.8-1770.2)+(-10.76049+(-1.225224--2.708406))+0-0-0</f>
        <v>6054.3226920000006</v>
      </c>
      <c r="Q172" s="3">
        <f>7214.2+(835-1722.4)+(-3.679242+(-0.42585--0.878424))+0-0-0</f>
        <v>6323.573331999999</v>
      </c>
      <c r="R172" s="3">
        <f>7220.2+(774.5-1549.9)+(-3.682302+(-0.394995--0.790449))+0-0-0</f>
        <v>6441.5131519999995</v>
      </c>
      <c r="S172" s="3">
        <f>7213.8+(795.8-1578.7)+(-7.358076+(-0.811716--1.610274))+0-0-0</f>
        <v>6424.3404819999996</v>
      </c>
      <c r="T172" s="3">
        <f>7244.8+(746.3-1478.6)+(-3.694848+(-0.380613--0.754086))+0-0-0</f>
        <v>6509.1786249999996</v>
      </c>
      <c r="U172" s="3">
        <f>7203.3+(732.7-1479.1)+(3.673683+(0.373677-0.754341))+0-0-0</f>
        <v>6460.1930190000003</v>
      </c>
      <c r="V172" s="3">
        <f>7130.5+(792.9-1587)+(-10.909665+(-1.213137--2.42811))+0-0-0</f>
        <v>6326.7053079999996</v>
      </c>
      <c r="W172" s="3">
        <f>7062.7+(908.4-1806.6)+(-7.203954+(-0.926568--1.842732))+0-0-0</f>
        <v>6158.2122099999997</v>
      </c>
      <c r="X172" s="3">
        <f>6938.9+(772.6-1733.6)+(-14.155356+(-1.576104--3.536544))+0-0-0</f>
        <v>5965.7050839999993</v>
      </c>
      <c r="Y172" s="3">
        <f>7015.9+(859.7-1690.6)+(-3.578109+(-0.438447--0.862206))+0-0-0</f>
        <v>6181.8456500000002</v>
      </c>
      <c r="Z172" s="3">
        <f>7325+(953.7-1857.6)+(-11.20725+(-1.459161--2.842128))+0-0-0</f>
        <v>6411.2757170000004</v>
      </c>
      <c r="AA172" s="3">
        <f>7314.7+(999.2-2014)+(-7.460994+(-1.019184--2.05428))+0-0-0</f>
        <v>6293.4741019999992</v>
      </c>
      <c r="AB172" s="3">
        <f>7261.2+(1049-2198.4)+(3.703212+(0.53499-1.121184))+0-0-0</f>
        <v>6114.9170179999992</v>
      </c>
      <c r="AC172" s="3">
        <f>7192.9+(989.8-2296.6)+(-14.673516+(-2.019192--4.685064))+0-0-0</f>
        <v>5874.0923559999992</v>
      </c>
      <c r="AD172">
        <f t="shared" si="2"/>
        <v>135497.61447599999</v>
      </c>
      <c r="AE172" s="3">
        <f>7323+(952.4-1728.3)+(0+(0-0))+0-0-0</f>
        <v>6547.1</v>
      </c>
    </row>
    <row r="173" spans="1:31" s="2" customFormat="1" x14ac:dyDescent="0.25">
      <c r="A173">
        <v>89</v>
      </c>
      <c r="B173">
        <v>6</v>
      </c>
      <c r="C173">
        <v>18</v>
      </c>
      <c r="D173">
        <v>6</v>
      </c>
      <c r="E173">
        <v>1</v>
      </c>
      <c r="F173" s="3">
        <f>6752.1+(885.7-2248.6)+(0+(0-0))+0-0-0</f>
        <v>5389.2000000000007</v>
      </c>
      <c r="G173" s="3">
        <f>6444.8+(766.9-2187.3)+(-6.573696+(-0.782238--2.231046))+0-0-0</f>
        <v>5019.2751119999994</v>
      </c>
      <c r="H173" s="3">
        <f>5888+(676.6-2003.6)+(0+(0-0))+0-0-0</f>
        <v>4561</v>
      </c>
      <c r="I173" s="3">
        <f>5885.9+(549.2-2040.6)+(-6.003618+(-0.560184--2.081412))+0-0-0</f>
        <v>4390.0176099999999</v>
      </c>
      <c r="J173" s="3">
        <f>5832+(466-1885)+(2.97432+(0.23766-0.96135))+0-0-0</f>
        <v>4415.2506299999995</v>
      </c>
      <c r="K173" s="3">
        <f>5820.4+(489.7-1885.9)+(0+(0-0))+0-0-0</f>
        <v>4424.2</v>
      </c>
      <c r="L173" s="3">
        <f>5649.7+(526.4-2004.6)+(-5.762694+(-0.536928--2.044692))+0-0-0</f>
        <v>4167.2450699999999</v>
      </c>
      <c r="M173" s="3">
        <f>5701.7+(505.2-1927.6)+(2.907867+(0.257652-0.983076))+0-0-0</f>
        <v>4281.4824429999999</v>
      </c>
      <c r="N173" s="3">
        <f>6164.7+(862.5-2263.3)+(-3.143997+(-0.439875--1.154283))+0-0-0</f>
        <v>4761.4704109999993</v>
      </c>
      <c r="O173" s="3">
        <f>6393.2+(849.1-1920.1)+(0+(0-0))+0-0-0</f>
        <v>5322.2</v>
      </c>
      <c r="P173" s="3">
        <f>6896.8+(859-2145.1)+(3.517368+(0.43809-1.094001))+0-0-0</f>
        <v>5613.5614570000007</v>
      </c>
      <c r="Q173" s="3">
        <f>7068.2+(973.7-2129.1)+(3.604782+(0.496587-1.085841))+0-0-0</f>
        <v>5915.8155280000001</v>
      </c>
      <c r="R173" s="3">
        <f>7046.3+(1035.2-2060.6)+(-7.187226+(-1.055904--2.101812))+0-0-0</f>
        <v>6014.7586820000006</v>
      </c>
      <c r="S173" s="3">
        <f>7028.1+(943.2-2093.5)+(-14.337324+(-1.924128--4.27074))+0-0-0</f>
        <v>5865.8092880000004</v>
      </c>
      <c r="T173" s="3">
        <f>7021.8+(998.5-2182.8)+(-7.162236+(-1.01847--2.226456))+0-0-0</f>
        <v>5831.5457500000002</v>
      </c>
      <c r="U173" s="3">
        <f>6911.3+(925.8-2177.9)+(0+(0-0))+0-0-0</f>
        <v>5659.2</v>
      </c>
      <c r="V173" s="3">
        <f>6799.4+(856.1-2071.3)+(-6.935388+(-0.873222--2.112726))+0-0-0</f>
        <v>5578.5041159999992</v>
      </c>
      <c r="W173" s="3">
        <f>6652.4+(968-2191.2)+(-13.570896+(-1.97472--4.470048))+0-0-0</f>
        <v>5418.1244319999996</v>
      </c>
      <c r="X173" s="3">
        <f>6306+(1050.9-2048.5)+(6.43212+(1.071918-2.08947))+0-0-0</f>
        <v>5313.8145679999998</v>
      </c>
      <c r="Y173" s="3">
        <f>6795.5+(940.9-1965.8)+(3.465705+(0.479859-1.002558))+0-0-0</f>
        <v>5773.5430060000008</v>
      </c>
      <c r="Z173" s="3">
        <f>7169.4+(999-2117.1)+(-7.312788+(-1.01898--2.159442))+0-0-0</f>
        <v>6045.1276739999994</v>
      </c>
      <c r="AA173" s="3">
        <f>7164.4+(970.9-2220.1)+(-7.307688+(-0.990318--2.264502))+0-0-0</f>
        <v>5909.1664959999998</v>
      </c>
      <c r="AB173" s="3">
        <f>7002.2+(949.8-2255.7)+(-7.142244+(-0.968796--2.300814))+0-0-0</f>
        <v>5690.4897740000006</v>
      </c>
      <c r="AC173" s="3">
        <f>7014.4+(688-2285.9)+(0+(0-0))+0-0-0</f>
        <v>5416.5</v>
      </c>
      <c r="AD173">
        <f t="shared" si="2"/>
        <v>126777.30204700002</v>
      </c>
      <c r="AE173" s="3">
        <f>7145+(983.2-2047.3)+(0+(0-0))+0-0-0</f>
        <v>6080.9</v>
      </c>
    </row>
    <row r="174" spans="1:31" s="2" customFormat="1" x14ac:dyDescent="0.25">
      <c r="A174">
        <v>89</v>
      </c>
      <c r="B174">
        <v>6</v>
      </c>
      <c r="C174">
        <v>19</v>
      </c>
      <c r="D174">
        <v>7</v>
      </c>
      <c r="E174">
        <v>3</v>
      </c>
      <c r="F174" s="3">
        <f>6928.3+(559.5-2438)+(-14.133732+(-1.14138--4.97352))+0-0-0</f>
        <v>5039.4984080000004</v>
      </c>
      <c r="G174" s="3">
        <f>6679.8+(509.6-2554)+(-10.220094+(-0.779688--3.90762))+0-0-0</f>
        <v>4628.3078379999997</v>
      </c>
      <c r="H174" s="3">
        <f>6125.4+(262.1-2090.1)+(-9.371862+(-0.401013--3.197853))+0-0-0</f>
        <v>4290.8249779999996</v>
      </c>
      <c r="I174" s="3">
        <f>6042.9+(115.9-2050.2)+(-3.081879+(-0.059109--1.045602))+0-0-0</f>
        <v>4106.5046140000004</v>
      </c>
      <c r="J174" s="3">
        <f>5988.4+(103.5-2130.7)+(0+(0-0))+0-0-0</f>
        <v>3961.2</v>
      </c>
      <c r="K174" s="3">
        <f>5904.8+(134.7-2123.4)+(0+(0-0))+0-0-0</f>
        <v>3916.1000000000004</v>
      </c>
      <c r="L174" s="3">
        <f>5640.7+(217.4-2118.7)+(-20.137299+(-0.776118--7.563759))+0-0-0</f>
        <v>3726.050342</v>
      </c>
      <c r="M174" s="3">
        <f>5550.6+(187.2-2219.5)+(-2.830806+(-0.095472--1.131945))+0-0-0</f>
        <v>3516.5056670000004</v>
      </c>
      <c r="N174" s="3">
        <f>5594+(184.7-2138.6)+(14.2647+(0.470985-5.45343))+0-0-0</f>
        <v>3649.3822550000004</v>
      </c>
      <c r="O174" s="3">
        <f>5847.6+(224-2108.1)+(-2.982276+(-0.11424--1.075131))+0-0-0</f>
        <v>3961.4786150000004</v>
      </c>
      <c r="P174" s="3">
        <f>6147.9+(353.2-2243.7)+(-6.270858+(-0.360264--2.288574))+0-0-0</f>
        <v>4253.057452</v>
      </c>
      <c r="Q174" s="3">
        <f>6238.7+(431.9-2222.4)+(-3.181737+(-0.220269--1.133424))+0-0-0</f>
        <v>4445.9314180000001</v>
      </c>
      <c r="R174" s="3">
        <f>6243.2+(571.3-2283)+(-9.552096+(-0.874089--3.49299))+0-0-0</f>
        <v>4524.5668050000004</v>
      </c>
      <c r="S174" s="3">
        <f>6333.3+(638.1-2392.1)+(-6.459966+(-0.650862--2.439942))+0-0-0</f>
        <v>4574.6291140000003</v>
      </c>
      <c r="T174" s="3">
        <f>6341.8+(605.3-2372.7)+(-6.468636+(-0.617406--2.420154))+0-0-0</f>
        <v>4569.7341120000001</v>
      </c>
      <c r="U174" s="3">
        <f>6266.9+(478.6-2163.8)+(-3.196119+(-0.244086--1.103538))+0-0-0</f>
        <v>4579.3633329999993</v>
      </c>
      <c r="V174" s="3">
        <f>6029.3+(456.4-1952.7)+(-9.224829+(-0.698292--2.987631))+0-0-0</f>
        <v>4526.0645100000002</v>
      </c>
      <c r="W174" s="3">
        <f>5869.8+(428.1-1751)+(-17.961588+(-1.309986--5.35806))+0-0-0</f>
        <v>4532.9864859999998</v>
      </c>
      <c r="X174" s="3">
        <f>5861.3+(532.2-1831.7)+(-5.978526+(-0.542844--1.868334))+0-0-0</f>
        <v>4557.1469640000005</v>
      </c>
      <c r="Y174" s="3">
        <f>6116.6+(301.5-1447.2)+(-6.238932+(-0.30753--1.476144))+0-0-0</f>
        <v>4965.8296820000005</v>
      </c>
      <c r="Z174" s="3">
        <f>6821.2+(264.3-1794.1)+(-13.915248+(-0.539172--3.659964))+0-0-0</f>
        <v>5280.605544</v>
      </c>
      <c r="AA174" s="3">
        <f>6913.5+(292.3-1996.8)+(-14.10354+(-0.596292--4.073472))+0-0-0</f>
        <v>5198.3736399999998</v>
      </c>
      <c r="AB174" s="3">
        <f>6733.2+(267.3-1961.9)+(-3.433932+(-0.136323--1.000569))+0-0-0</f>
        <v>5036.0303139999996</v>
      </c>
      <c r="AC174" s="3">
        <f>6212.3+(265.5-1626.8)+(-9.504819+(-0.406215--2.489004))+0-0-0</f>
        <v>4843.5779700000003</v>
      </c>
      <c r="AD174">
        <f t="shared" si="2"/>
        <v>106683.750061</v>
      </c>
      <c r="AE174" s="3">
        <f>6878+(267.3-1926.9)+(0+(0-0))+0-0-0</f>
        <v>5218.3999999999996</v>
      </c>
    </row>
    <row r="175" spans="1:31" s="2" customFormat="1" x14ac:dyDescent="0.25">
      <c r="A175">
        <v>89</v>
      </c>
      <c r="B175">
        <v>6</v>
      </c>
      <c r="C175">
        <v>20</v>
      </c>
      <c r="D175">
        <v>1</v>
      </c>
      <c r="E175">
        <v>1</v>
      </c>
      <c r="F175" s="3">
        <f>5903.6+(312.9-1657.3)+(-12.043344+(-0.638316--3.380892))+0-0-0</f>
        <v>4549.8992320000007</v>
      </c>
      <c r="G175" s="3">
        <f>5778.3+(265.4-1837.3)+(-8.840799+(-0.406062--2.811069))+0-0-0</f>
        <v>4199.9642079999994</v>
      </c>
      <c r="H175" s="3">
        <f>5498.7+(91-1645.2)+(-16.826022+(-0.27846--5.034312))+0-0-0</f>
        <v>3932.42983</v>
      </c>
      <c r="I175" s="3">
        <f>5427.2+(81.6-1704.1)+(-5.535744+(-0.083232--1.738182))+0-0-0</f>
        <v>3800.8192059999997</v>
      </c>
      <c r="J175" s="3">
        <f>5269.7+(126.4-1653.5)+(-5.375094+(-0.128928--1.68657))+0-0-0</f>
        <v>3738.7825480000001</v>
      </c>
      <c r="K175" s="3">
        <f>5288.6+(135.4-1705.9)+(0+(0-0))+0-0-0</f>
        <v>3718.1000000000004</v>
      </c>
      <c r="L175" s="3">
        <f>5107.2+(134.5-1587.7)+(-18.232704+(-0.480165--5.668089))+0-0-0</f>
        <v>3640.9552199999998</v>
      </c>
      <c r="M175" s="3">
        <f>4815.1+(154.1-1346.5)+(-7.367103+(-0.235773--2.060145))+0-0-0</f>
        <v>3617.1572690000003</v>
      </c>
      <c r="N175" s="3">
        <f>4998.8+(166.7-1242.4)+(-7.648164+(-0.255051--1.900872))+0-0-0</f>
        <v>3917.0976570000003</v>
      </c>
      <c r="O175" s="3">
        <f>5482+(229.1-1417.9)+(-2.79582+(-0.116841--0.723129))+0-0-0</f>
        <v>4291.0104679999995</v>
      </c>
      <c r="P175" s="3">
        <f>5694.1+(262-1260.8)+(-5.807982+(-0.26724--1.286016))+0-0-0</f>
        <v>4690.5107939999998</v>
      </c>
      <c r="Q175" s="3">
        <f>5929.3+(371.1-1182.8)+(-3.023943+(-0.189261--0.603228))+0-0-0</f>
        <v>5114.9900240000006</v>
      </c>
      <c r="R175" s="3">
        <f>5904.8+(392.6-1025)+(-3.011448+(-0.200226--0.52275))+0-0-0</f>
        <v>5269.7110760000005</v>
      </c>
      <c r="S175" s="3">
        <f>5903.7+(478.2-1154.1)+(-6.021774+(-0.487764--1.177182))+0-0-0</f>
        <v>5222.4676440000003</v>
      </c>
      <c r="T175" s="3">
        <f>5897+(585.9-1237.2)+(3.00747+(0.298809-0.630972))+0-0-0</f>
        <v>5248.3753070000002</v>
      </c>
      <c r="U175" s="3">
        <f>5887.6+(573.3-1242.7)+(-6.005352+(-0.584766--1.267554))+0-0-0</f>
        <v>5212.8774360000007</v>
      </c>
      <c r="V175" s="3">
        <f>5806.1+(670-1363.1)+(0+(0-0))+0-0-0</f>
        <v>5113</v>
      </c>
      <c r="W175" s="3">
        <f>5754.1+(658.7-1342.3)+(-14.672955+(-1.679685--3.422865))+0-0-0</f>
        <v>5057.5702250000004</v>
      </c>
      <c r="X175" s="3">
        <f>5660.9+(459.7-1014.1)+(-17.322354+(-1.406682--3.103146))+0-0-0</f>
        <v>5090.8741099999997</v>
      </c>
      <c r="Y175" s="3">
        <f>5991.3+(359.5-899.1)+(-3.055563+(-0.183345--0.458541))+0-0-0</f>
        <v>5448.9196329999995</v>
      </c>
      <c r="Z175" s="3">
        <f>6386.7+(319.9-833.7)+(-6.514434+(-0.326298--0.850374))+0-0-0</f>
        <v>5866.9096419999996</v>
      </c>
      <c r="AA175" s="3">
        <f>6416.7+(410.5-1112.9)+(-13.090068+(-0.83742--2.270316))+0-0-0</f>
        <v>5702.6428279999991</v>
      </c>
      <c r="AB175" s="3">
        <f>6320.5+(630.9-1481)+(-9.670365+(-0.965277--2.26593))+0-0-0</f>
        <v>5462.0302879999999</v>
      </c>
      <c r="AC175" s="3">
        <f>6214.8+(760.6-1827.3)+(-15.84774+(-1.93953--4.659615))+0-0-0</f>
        <v>5134.9723450000001</v>
      </c>
      <c r="AD175">
        <f t="shared" si="2"/>
        <v>113042.06699000001</v>
      </c>
      <c r="AE175" s="3">
        <f>6384+(275.6-876.6)+(0+(0-0))+0-0-0</f>
        <v>5783</v>
      </c>
    </row>
    <row r="176" spans="1:31" s="2" customFormat="1" x14ac:dyDescent="0.25">
      <c r="A176">
        <v>89</v>
      </c>
      <c r="B176">
        <v>6</v>
      </c>
      <c r="C176">
        <v>21</v>
      </c>
      <c r="D176">
        <v>2</v>
      </c>
      <c r="E176">
        <v>1</v>
      </c>
      <c r="F176" s="3">
        <f>5759.3+(694.2-1727.4)+(-8.811729+(-1.062126--2.642922))+0-0-0</f>
        <v>4718.8690670000005</v>
      </c>
      <c r="G176" s="3">
        <f>5674.9+(479.5-1834.4)+(-2.894199+(-0.244545--0.935544))+0-0-0</f>
        <v>4317.7968000000001</v>
      </c>
      <c r="H176" s="3">
        <f>5530.7+(341.5-1773.7)+(-5.641314+(-0.34833--1.809174))+0-0-0</f>
        <v>4094.3195300000002</v>
      </c>
      <c r="I176" s="3">
        <f>5270.8+(325.9-1639.7)+(-8.064324+(-0.498627--2.508741))+0-0-0</f>
        <v>3950.9457900000002</v>
      </c>
      <c r="J176" s="3">
        <f>5040.6+(311-1484.5)+(-7.712118+(-0.47583--2.271285))+0-0-0</f>
        <v>3861.1833370000004</v>
      </c>
      <c r="K176" s="3">
        <f>5051.4+(301-1440.7)+(0+(0-0))+0-0-0</f>
        <v>3911.7</v>
      </c>
      <c r="L176" s="3">
        <f>4987.5+(295.5-1312.8)+(-12.718125+(-0.753525--3.34764))+0-0-0</f>
        <v>3960.0759899999998</v>
      </c>
      <c r="M176" s="3">
        <f>5062.3+(425.8-1147.9)+(0+(0-0))+0-0-0</f>
        <v>4340.2</v>
      </c>
      <c r="N176" s="3">
        <f>5293.2+(609.7-925.9)+(2.699532+(0.310947-0.472209))+0-0-0</f>
        <v>4979.53827</v>
      </c>
      <c r="O176" s="3">
        <f>5919.7+(626.6-1023.4)+(-9.057141+(-0.958698--1.565802))+0-0-0</f>
        <v>5514.449963</v>
      </c>
      <c r="P176" s="3">
        <f>6524.2+(668.5-1340)+(0+(0-0))+0-0-0</f>
        <v>5852.7</v>
      </c>
      <c r="Q176" s="3">
        <f>7017.3+(874.9-1654.4)+(0+(0-0))+0-0-0</f>
        <v>6237.8</v>
      </c>
      <c r="R176" s="3">
        <f>6996.3+(1055.7-1700)+(-10.704339+(-1.615221--2.601))+0-0-0</f>
        <v>6342.2814399999997</v>
      </c>
      <c r="S176" s="3">
        <f>6825.4+(1428.4-2040.9)+(-17.40477+(-3.64242--5.204295))+0-0-0</f>
        <v>6197.0571049999999</v>
      </c>
      <c r="T176" s="3">
        <f>6897.6+(1548-2129.1)+(0+(0-0))+0-0-0</f>
        <v>6316.5</v>
      </c>
      <c r="U176" s="3">
        <f>6920.8+(1441.4-2061.4)+(7.059216+(1.470228-2.102628))+0-0-0</f>
        <v>6307.2268160000003</v>
      </c>
      <c r="V176" s="3">
        <f>6708.5+(1325.7-1833.8)+(-13.68534+(-2.704428--3.740952))+0-0-0</f>
        <v>6187.7511839999997</v>
      </c>
      <c r="W176" s="3">
        <f>6250.6+(1264.9-1498)+(-12.751224+(-2.580396--3.05592))+0-0-0</f>
        <v>6005.2242999999999</v>
      </c>
      <c r="X176" s="3">
        <f>6113.4+(1096.7-1397.6)+(-3.117834+(-0.559317--0.712776))+0-0-0</f>
        <v>5809.5356250000004</v>
      </c>
      <c r="Y176" s="3">
        <f>6336.5+(875.8-1196.6)+(-3.231615+(-0.446658--0.610266))+0-0-0</f>
        <v>6012.631993</v>
      </c>
      <c r="Z176" s="3">
        <f>6975.8+(949.7-1713.8)+(-10.672974+(-1.453041--2.622114))+0-0-0</f>
        <v>6202.1960990000007</v>
      </c>
      <c r="AA176" s="3">
        <f>6969.2+(1143.3-2063.4)+(-24.880044+(-4.081581--7.366338))+0-0-0</f>
        <v>6027.5047129999994</v>
      </c>
      <c r="AB176" s="3">
        <f>6565.7+(823.1-1682)+(-3.348507+(-0.419781--0.85782))+0-0-0</f>
        <v>5703.8895320000001</v>
      </c>
      <c r="AC176" s="3">
        <f>6217.7+(1032.9-1934)+(-6.342054+(-1.053558--1.97268))+0-0-0</f>
        <v>5311.177068</v>
      </c>
      <c r="AD176">
        <f t="shared" si="2"/>
        <v>128162.55462200001</v>
      </c>
      <c r="AE176" s="3">
        <f>6977+(1024.5-1805.9)+(0+(0-0))+0-0-0</f>
        <v>6195.6</v>
      </c>
    </row>
    <row r="177" spans="1:31" s="2" customFormat="1" x14ac:dyDescent="0.25">
      <c r="A177">
        <v>89</v>
      </c>
      <c r="B177">
        <v>6</v>
      </c>
      <c r="C177">
        <v>22</v>
      </c>
      <c r="D177">
        <v>3</v>
      </c>
      <c r="E177">
        <v>1</v>
      </c>
      <c r="F177" s="3">
        <f>5717.4+(988.6-1890.9)+(-11.663496+(-2.016744--3.857436))+0-0-0</f>
        <v>4805.2771959999991</v>
      </c>
      <c r="G177" s="3">
        <f>5527.3+(610.1-1748.1)+(-2.818923+(-0.311151--0.891531))+0-0-0</f>
        <v>4387.0614569999998</v>
      </c>
      <c r="H177" s="3">
        <f>5457.9+(497.8-1802.6)+(-5.567058+(-0.507756--1.838652))+0-0-0</f>
        <v>4148.8638379999993</v>
      </c>
      <c r="I177" s="3">
        <f>5316+(574.4-1873.2)+(-8.13348+(-0.878832--2.865996))+0-0-0</f>
        <v>4011.053684</v>
      </c>
      <c r="J177" s="3">
        <f>5105+(565.4-1717.9)+(-5.2071+(-0.576708--1.752258))+0-0-0</f>
        <v>3948.4684499999998</v>
      </c>
      <c r="K177" s="3">
        <f>5062.9+(630.4-1742.6)+(10.328316+(1.286016-3.554904))+0-0-0</f>
        <v>3958.7594279999998</v>
      </c>
      <c r="L177" s="3">
        <f>5027+(573.9-1538.9)+(-10.25508+(-1.170756--3.139356))+0-0-0</f>
        <v>4053.7135199999998</v>
      </c>
      <c r="M177" s="3">
        <f>5072.5+(511.6-1213)+(7.760925+(0.782748-1.85589))+0-0-0</f>
        <v>4377.7877830000007</v>
      </c>
      <c r="N177" s="3">
        <f>5800.1+(788.1-1282.5)+(-2.958051+(-0.401931--0.654075))+0-0-0</f>
        <v>5302.9940930000012</v>
      </c>
      <c r="O177" s="3">
        <f>6523.7+(782.9-1555.2)+(3.327087+(0.399279-0.793152))+0-0-0</f>
        <v>5754.3332139999993</v>
      </c>
      <c r="P177" s="3">
        <f>6720.1+(828.1-1709.4)+(6.854502+(0.844662-1.743588))+0-0-0</f>
        <v>5844.7555760000005</v>
      </c>
      <c r="Q177" s="3">
        <f>6802.3+(1110.6-1856.3)+(-3.469173+(-0.566406--0.946713))+0-0-0</f>
        <v>6053.5111340000003</v>
      </c>
      <c r="R177" s="3">
        <f>6879.1+(1206.9-1965.2)+(0+(0-0))+0-0-0</f>
        <v>6120.8</v>
      </c>
      <c r="S177" s="3">
        <f>6881.2+(1301.4-2171.1)+(-7.018824+(-1.327428--2.214522))+0-0-0</f>
        <v>6005.3682699999999</v>
      </c>
      <c r="T177" s="3">
        <f>6959.7+(1355.4-2111.1)+(0+(0-0))+0-0-0</f>
        <v>6204</v>
      </c>
      <c r="U177" s="3">
        <f>6913.9+(1419.4-2172.5)+(0+(0-0))+0-0-0</f>
        <v>6160.7999999999993</v>
      </c>
      <c r="V177" s="3">
        <f>6760+(1509.8-2194.3)+(-17.238+(-3.84999--5.595465))+0-0-0</f>
        <v>6060.0074750000003</v>
      </c>
      <c r="W177" s="3">
        <f>6574.7+(1423.8-2075.2)+(-20.118582+(-4.356828--6.350112))+0-0-0</f>
        <v>5905.1747020000003</v>
      </c>
      <c r="X177" s="3">
        <f>6218.5+(1068.6-1543.4)+(-9.514305+(-1.634958--2.361402))+0-0-0</f>
        <v>5734.912139</v>
      </c>
      <c r="Y177" s="3">
        <f>6788.6+(1062.7-1903.3)+(-6.924372+(-1.083954--1.941366))+0-0-0</f>
        <v>5941.9330399999999</v>
      </c>
      <c r="Z177" s="3">
        <f>7172.3+(1040.3-2068.1)+(-10.973619+(-1.591659--3.164193))+0-0-0</f>
        <v>6135.0989149999996</v>
      </c>
      <c r="AA177" s="3">
        <f>7155.1+(997.7-2174.5)+(-10.947303+(-1.526481--3.326985))+0-0-0</f>
        <v>5969.1532010000001</v>
      </c>
      <c r="AB177" s="3">
        <f>6677.1+(950.5-2005)+(-13.621284+(-1.93902--4.0902))+0-0-0</f>
        <v>5611.1298960000004</v>
      </c>
      <c r="AC177" s="3">
        <f>6078.3+(1162-2005.4)+(-6.199866+(-1.18524--2.045508))+0-0-0</f>
        <v>5229.5604020000001</v>
      </c>
      <c r="AD177">
        <f t="shared" si="2"/>
        <v>127724.51741300002</v>
      </c>
      <c r="AE177" s="3">
        <f>7177+(1023-2035.4)+(0+(0-0))+0-0-0</f>
        <v>6164.6</v>
      </c>
    </row>
    <row r="178" spans="1:31" s="2" customFormat="1" x14ac:dyDescent="0.25">
      <c r="A178">
        <v>89</v>
      </c>
      <c r="B178">
        <v>6</v>
      </c>
      <c r="C178">
        <v>23</v>
      </c>
      <c r="D178">
        <v>4</v>
      </c>
      <c r="E178">
        <v>1</v>
      </c>
      <c r="F178" s="3">
        <f>5718.4+(884.1-1857.6)+(-8.749152+(-1.352673--2.842128))+0-0-0</f>
        <v>4737.6403029999992</v>
      </c>
      <c r="G178" s="3">
        <f>5458.3+(664.3-1751.8)+(-8.351199+(-1.016379--2.680254))+0-0-0</f>
        <v>4364.1126759999997</v>
      </c>
      <c r="H178" s="3">
        <f>5165.9+(562.5-1632.5)+(-2.634609+(-0.286875--0.832575))+0-0-0</f>
        <v>4093.8110909999996</v>
      </c>
      <c r="I178" s="3">
        <f>5147.3+(513.3-1694.9)+(-7.875369+(-0.785349--2.593197))+0-0-0</f>
        <v>3959.6324789999999</v>
      </c>
      <c r="J178" s="3">
        <f>5141.3+(478-1698.7)+(-13.110315+(-1.2189--4.331685))+0-0-0</f>
        <v>3910.6024700000003</v>
      </c>
      <c r="K178" s="3">
        <f>5147.4+(422.7-1659.2)+(-2.625174+(-0.215577--0.846192))+0-0-0</f>
        <v>3908.9054409999994</v>
      </c>
      <c r="L178" s="3">
        <f>5089.2+(407.4-1539.2)+(-10.381968+(-0.831096--3.139968))+0-0-0</f>
        <v>3949.3269039999996</v>
      </c>
      <c r="M178" s="3">
        <f>5333.7+(469-1501.4)+(0+(0-0))+0-0-0</f>
        <v>4301.2999999999993</v>
      </c>
      <c r="N178" s="3">
        <f>6128.8+(471-1705.4)+(-6.251376+(-0.48042--1.739508))+0-0-0</f>
        <v>4889.4077119999993</v>
      </c>
      <c r="O178" s="3">
        <f>6511.2+(765.4-1812.6)+(-9.962136+(-1.171062--2.773278))+0-0-0</f>
        <v>5455.6400800000001</v>
      </c>
      <c r="P178" s="3">
        <f>6756.3+(917.7-1812.8)+(-3.445713+(-0.468027--0.924528))+0-0-0</f>
        <v>5858.2107880000003</v>
      </c>
      <c r="Q178" s="3">
        <f>6838.6+(942.4-1590.5)+(-6.975372+(-0.961248--1.62231))+0-0-0</f>
        <v>6184.1856900000002</v>
      </c>
      <c r="R178" s="3">
        <f>6847.9+(1102.6-1664.3)+(-17.462145+(-2.81163--4.243965))+0-0-0</f>
        <v>6270.1701899999998</v>
      </c>
      <c r="S178" s="3">
        <f>6843.6+(1325-2002.6)+(-13.960944+(-2.703--4.085304))+0-0-0</f>
        <v>6153.4213600000003</v>
      </c>
      <c r="T178" s="3">
        <f>6874.2+(1438.4-2045)+(-3.505842+(-0.733584--1.04295))+0-0-0</f>
        <v>6264.4035240000003</v>
      </c>
      <c r="U178" s="3">
        <f>6844.4+(1498.4-2075.4)+(-13.962576+(-3.056736--4.233816))+0-0-0</f>
        <v>6254.6145039999992</v>
      </c>
      <c r="V178" s="3">
        <f>6733.2+(1490.5-2060.1)+(-6.867864+(-1.52031--2.101302))+0-0-0</f>
        <v>6157.3131280000007</v>
      </c>
      <c r="W178" s="3">
        <f>6679.2+(1382.9-2034.7)+(-6.812784+(-1.410558--2.075394))+0-0-0</f>
        <v>6021.2520519999998</v>
      </c>
      <c r="X178" s="3">
        <f>6408.2+(1059.4-1581.7)+(-6.536364+(-1.080588--1.613334))+0-0-0</f>
        <v>5879.8963819999999</v>
      </c>
      <c r="Y178" s="3">
        <f>6543.3+(977.5-1399.9)+(-10.011249+(-1.495575--2.141847))+0-0-0</f>
        <v>6111.5350229999995</v>
      </c>
      <c r="Z178" s="3">
        <f>7065.7+(1252.1-2018.7)+(-10.810521+(-1.915713--3.088611))+0-0-0</f>
        <v>6289.4623769999998</v>
      </c>
      <c r="AA178" s="3">
        <f>7095.6+(1198.9-2149)+(-18.09378+(-3.057195--5.47995))+0-0-0</f>
        <v>6129.8289750000004</v>
      </c>
      <c r="AB178" s="3">
        <f>6893.2+(1097.4-2186.6)+(-7.031064+(-1.119348--2.230332))+0-0-0</f>
        <v>5798.0799200000001</v>
      </c>
      <c r="AC178" s="3">
        <f>6588.9+(948.8-2123.6)+(-6.720678+(-0.967776--2.166072))+0-0-0</f>
        <v>5408.5776179999993</v>
      </c>
      <c r="AD178">
        <f t="shared" si="2"/>
        <v>128351.33068699998</v>
      </c>
      <c r="AE178" s="3">
        <f>7085.7+(1226-2030.3)+(0+(0-0))+0-0-0</f>
        <v>6281.4</v>
      </c>
    </row>
    <row r="179" spans="1:31" s="2" customFormat="1" x14ac:dyDescent="0.25">
      <c r="A179">
        <v>89</v>
      </c>
      <c r="B179">
        <v>6</v>
      </c>
      <c r="C179">
        <v>24</v>
      </c>
      <c r="D179">
        <v>5</v>
      </c>
      <c r="E179">
        <v>1</v>
      </c>
      <c r="F179" s="3">
        <f>6068.6+(877.3-2007.8)+(-6.189972+(-0.894846--2.047956))+0-0-0</f>
        <v>4933.0631380000004</v>
      </c>
      <c r="G179" s="3">
        <f>5867.3+(560.5-1921.3)+(-2.992323+(-0.285855--0.979863))+0-0-0</f>
        <v>4504.201685</v>
      </c>
      <c r="H179" s="3">
        <f>5617.5+(460.1-1821)+(8.594775+(0.703953-2.78613))+0-0-0</f>
        <v>4263.1125980000006</v>
      </c>
      <c r="I179" s="3">
        <f>5612.7+(436.5-1939.9)+(0+(0-0))+0-0-0</f>
        <v>4109.2999999999993</v>
      </c>
      <c r="J179" s="3">
        <f>5596.4+(448.5-2014.4)+(-5.708328+(-0.45747--2.054688))+0-0-0</f>
        <v>4026.3888899999997</v>
      </c>
      <c r="K179" s="3">
        <f>5165+(548.3-1692.6)+(0+(0-0))+0-0-0</f>
        <v>4020.7</v>
      </c>
      <c r="L179" s="3">
        <f>5159.7+(506-1599.5)+(-7.894341+(-0.77418--2.447235))+0-0-0</f>
        <v>4059.9787139999999</v>
      </c>
      <c r="M179" s="3">
        <f>5207.5+(462.7-1326.8)+(-5.31165+(-0.471954--1.353336))+0-0-0</f>
        <v>4338.9697319999996</v>
      </c>
      <c r="N179" s="3">
        <f>5970.8+(536.4-1562.5)+(3.045108+(0.273564-0.796875))+0-0-0</f>
        <v>4947.2217970000011</v>
      </c>
      <c r="O179" s="3">
        <f>6717.1+(566.1-1802.9)+(-3.425721+(-0.288711--0.919479))+0-0-0</f>
        <v>5477.5050470000006</v>
      </c>
      <c r="P179" s="3">
        <f>7022.3+(774.9-1937.7)+(0+(0-0))+0-0-0</f>
        <v>5859.5</v>
      </c>
      <c r="Q179" s="3">
        <f>7183.3+(874.6-1900.8)+(3.663483+(0.446046-0.969408))+0-0-0</f>
        <v>6160.2401210000007</v>
      </c>
      <c r="R179" s="3">
        <f>7230.1+(891.6-1877)+(-3.687351+(-0.454716--0.95727))+0-0-0</f>
        <v>6241.5152030000008</v>
      </c>
      <c r="S179" s="3">
        <f>7192.8+(985.1-2029.1)+(-3.668328+(-0.502401--1.034841))+0-0-0</f>
        <v>6145.6641120000004</v>
      </c>
      <c r="T179" s="3">
        <f>7212.3+(1091.2-2066.2)+(-11.034819+(-1.669536--3.161286))+0-0-0</f>
        <v>6227.7569309999999</v>
      </c>
      <c r="U179" s="3">
        <f>7125.8+(1084.1-2010.7)+(7.268316+(1.105782-2.050914))+0-0-0</f>
        <v>6205.5231839999997</v>
      </c>
      <c r="V179" s="3">
        <f>7056.8+(1053.4-2028)+(0+(0-0))+0-0-0</f>
        <v>6082.2000000000007</v>
      </c>
      <c r="W179" s="3">
        <f>7021.5+(984.4-2060.4)+(-14.32386+(-2.008176--4.203216))+0-0-0</f>
        <v>5933.3711800000001</v>
      </c>
      <c r="X179" s="3">
        <f>6668.1+(870.4-1811)+(3.400731+(0.443904-0.92361))+0-0-0</f>
        <v>5730.4210249999996</v>
      </c>
      <c r="Y179" s="3">
        <f>6910+(765.6-1807.4)+(-3.5241+(-0.390456--0.921774))+0-0-0</f>
        <v>5865.2072179999996</v>
      </c>
      <c r="Z179" s="3">
        <f>7373.4+(561.2-1854.5)+(-18.80217+(-1.43106--4.728975))+0-0-0</f>
        <v>6064.5957449999996</v>
      </c>
      <c r="AA179" s="3">
        <f>7312.9+(747.6-2249.8)+(-18.647895+(-1.90638--5.73699))+0-0-0</f>
        <v>5795.8827149999988</v>
      </c>
      <c r="AB179" s="3">
        <f>6677.2+(856.9-2124.6)+(-13.621488+(-1.748076--4.334184))+0-0-0</f>
        <v>5398.4646199999997</v>
      </c>
      <c r="AC179" s="3">
        <f>6206+(902.7-2107.6)+(-3.16506+(-0.460377--1.074876))+0-0-0</f>
        <v>4998.5494390000003</v>
      </c>
      <c r="AD179">
        <f t="shared" si="2"/>
        <v>127389.333094</v>
      </c>
      <c r="AE179" s="3">
        <f>7385+(719.3-2065.9)+(0+(0-0))+0-0-0</f>
        <v>6038.4</v>
      </c>
    </row>
    <row r="180" spans="1:31" s="2" customFormat="1" x14ac:dyDescent="0.25">
      <c r="A180">
        <v>89</v>
      </c>
      <c r="B180">
        <v>6</v>
      </c>
      <c r="C180">
        <v>25</v>
      </c>
      <c r="D180">
        <v>6</v>
      </c>
      <c r="E180">
        <v>1</v>
      </c>
      <c r="F180" s="3">
        <f>5829.1+(683.5-1978.8)+(-14.864205+(-1.742925--5.04594))+0-0-0</f>
        <v>4522.2388099999998</v>
      </c>
      <c r="G180" s="3">
        <f>5575.6+(541.5-2000.8)+(-11.374224+(-1.10466--4.081632))+0-0-0</f>
        <v>4107.9027480000004</v>
      </c>
      <c r="H180" s="3">
        <f>5557.7+(342.5-2032.1)+(2.834427+(0.174675-1.036371))+0-0-0</f>
        <v>3870.0727309999997</v>
      </c>
      <c r="I180" s="3">
        <f>5404.8+(341.9-2004)+(-16.538688+(-1.046214--6.13224))+0-0-0</f>
        <v>3731.2473380000001</v>
      </c>
      <c r="J180" s="3">
        <f>5285.6+(366.7-1988.1)+(2.695656+(0.187017-1.013931))+0-0-0</f>
        <v>3666.0687420000008</v>
      </c>
      <c r="K180" s="3">
        <f>5277.1+(376.3-1963.2)+(0+(0-0))+0-0-0</f>
        <v>3690.2000000000003</v>
      </c>
      <c r="L180" s="3">
        <f>5141.4+(385.6-1787.7)+(-13.11057+(-0.98328--4.558635))+0-0-0</f>
        <v>3729.7647849999998</v>
      </c>
      <c r="M180" s="3">
        <f>5126.2+(390.5-1557.7)+(2.614362+(0.199155-0.794427))+0-0-0</f>
        <v>3961.0190899999998</v>
      </c>
      <c r="N180" s="3">
        <f>5480.3+(481.3-1505.2)+(-5.589906+(-0.490926--1.535304))+0-0-0</f>
        <v>4451.854472</v>
      </c>
      <c r="O180" s="3">
        <f>6059.5+(558.5-1662)+(-3.090345+(-0.284835--0.84762))+0-0-0</f>
        <v>4953.4724399999996</v>
      </c>
      <c r="P180" s="3">
        <f>6381.3+(736.9-1828.7)+(-9.763389+(-1.127457--2.797911))+0-0-0</f>
        <v>5281.4070650000003</v>
      </c>
      <c r="Q180" s="3">
        <f>6736.2+(848.1-2064.7)+(-17.17731+(-2.162655--5.264985))+0-0-0</f>
        <v>5505.52502</v>
      </c>
      <c r="R180" s="3">
        <f>6693+(964.6-2148.6)+(-37.54773+(-5.411406--12.053646))+5.4-0-0</f>
        <v>5483.4945099999995</v>
      </c>
      <c r="S180" s="3">
        <f>6460+(1131-2268.2)+(-6.5892+(-1.15362--2.313564))+0-0-0</f>
        <v>5317.3707439999998</v>
      </c>
      <c r="T180" s="3">
        <f>6233+(1311.3-2243)+(-6.35766+(-1.337526--2.28786))+0-0-0</f>
        <v>5295.8926740000006</v>
      </c>
      <c r="U180" s="3">
        <f>6160.7+(1144.3-2084.5)+(-3.141957+(-0.583593--1.063095))+0-0-0</f>
        <v>5217.8375450000003</v>
      </c>
      <c r="V180" s="3">
        <f>6000.8+(1027.6-1882.9)+(-6.120816+(-1.048152--1.920558))+0-0-0</f>
        <v>5140.2515899999999</v>
      </c>
      <c r="W180" s="3">
        <f>5936.3+(901.4-1761.8)+(-15.137565+(-2.29857--4.49259))+0-0-0</f>
        <v>5062.9564550000005</v>
      </c>
      <c r="X180" s="3">
        <f>5850.9+(811.4-1628.4)+(-2.983959+(-0.413814--0.830484))+0-0-0</f>
        <v>5031.332711</v>
      </c>
      <c r="Y180" s="3">
        <f>6197.9+(945.1-1768.2)+(0+(0-0))+0-0-0</f>
        <v>5374.7999999999993</v>
      </c>
      <c r="Z180" s="3">
        <f>6744.4+(861.4-2014.8)+(-3.439644+(-0.439314--1.027548))+0-0-0</f>
        <v>5588.1485899999998</v>
      </c>
      <c r="AA180" s="3">
        <f>6241.1+(939.4-1782.6)+(-9.548883+(-1.437282--2.727378))+0-0-0</f>
        <v>5389.6412130000008</v>
      </c>
      <c r="AB180" s="3">
        <f>5692+(1075.8-1650.4)+(-11.61168+(-2.194632--3.366816))+0-0-0</f>
        <v>5106.9605039999997</v>
      </c>
      <c r="AC180" s="3">
        <f>5708.8+(1194.6-2107.5)+(-8.734464+(-1.827738--3.224475))+0-0-0</f>
        <v>4788.5622729999995</v>
      </c>
      <c r="AD180">
        <f t="shared" si="2"/>
        <v>114268.02205</v>
      </c>
      <c r="AE180" s="3">
        <f>6910+(859.1-2246.6)+(0+(0-0))+0-0-0</f>
        <v>5522.5</v>
      </c>
    </row>
    <row r="181" spans="1:31" s="2" customFormat="1" x14ac:dyDescent="0.25">
      <c r="A181">
        <v>89</v>
      </c>
      <c r="B181">
        <v>6</v>
      </c>
      <c r="C181">
        <v>26</v>
      </c>
      <c r="D181">
        <v>7</v>
      </c>
      <c r="E181">
        <v>1</v>
      </c>
      <c r="F181" s="3">
        <f>5729.3+(637.6-1937.8)+(-11.687772+(-1.300704--3.953112))+0-0-0</f>
        <v>4420.0646360000001</v>
      </c>
      <c r="G181" s="3">
        <f>5656.5+(515.4-2114.6)+(-14.424075+(-1.31427--5.39223))+0-0-0</f>
        <v>4046.9538850000004</v>
      </c>
      <c r="H181" s="3">
        <f>5200+(446.4-1838.8)+(2.652+(0.227664-0.937788))+0-0-0</f>
        <v>3809.5418759999998</v>
      </c>
      <c r="I181" s="3">
        <f>4988.6+(339.3-1689.6)+(2.544186+(0.173043-0.861696))+0-0-0</f>
        <v>3640.1555330000001</v>
      </c>
      <c r="J181" s="3">
        <f>4935+(317.7-1714.1)+(0+(0-0))+0-0-0</f>
        <v>3538.6000000000004</v>
      </c>
      <c r="K181" s="3">
        <f>4931+(271.5-1694)+(2.51481+(0.138465-0.86394))+0-0-0</f>
        <v>3510.2893349999999</v>
      </c>
      <c r="L181" s="3">
        <f>4851.5+(278.8-1730.9)+(-12.371325+(-0.71094--4.413795))+0-0-0</f>
        <v>3390.7315299999996</v>
      </c>
      <c r="M181" s="3">
        <f>4756+(342.8-1841.5)+(-7.27668+(-0.524484--2.817495))+0-0-0</f>
        <v>3252.316331</v>
      </c>
      <c r="N181" s="3">
        <f>4844.4+(270.7-1704.2)+(0+(0-0))+0-0-0</f>
        <v>3410.8999999999996</v>
      </c>
      <c r="O181" s="3">
        <f>4995.9+(204.6-1477.8)+(-2.547909+(-0.104346--0.753678))+0-0-0</f>
        <v>3720.8014229999999</v>
      </c>
      <c r="P181" s="3">
        <f>5263.6+(263.7-1425.1)+(-5.368872+(-0.268974--1.453602))+0-0-0</f>
        <v>4098.0157560000007</v>
      </c>
      <c r="Q181" s="3">
        <f>5473.5+(334.3-1537.4)+(-8.374455+(-0.511479--2.352222))+0-0-0</f>
        <v>4263.8662879999993</v>
      </c>
      <c r="R181" s="3">
        <f>5523.4+(461.1-1676.8)+(0+(0-0))+0-0-0</f>
        <v>4307.7</v>
      </c>
      <c r="S181" s="3">
        <f>5526.7+(594-1816.6)+(-5.637234+(-0.60588--1.852932))+0-0-0</f>
        <v>4299.7098180000003</v>
      </c>
      <c r="T181" s="3">
        <f>5499+(629.9-1884.5)+(-11.21796+(-1.284996--3.84438))+0-0-0</f>
        <v>4235.7414239999998</v>
      </c>
      <c r="U181" s="3">
        <f>5475.3+(623.1-1888.5)+(-5.584806+(-0.635562--1.92627))+0-0-0</f>
        <v>4205.6059019999993</v>
      </c>
      <c r="V181" s="3">
        <f>5424.9+(593.1-1815)+(-5.533398+(-0.604962--1.8513))+0-0-0</f>
        <v>4198.7129400000003</v>
      </c>
      <c r="W181" s="3">
        <f>5304.3+(470.1-1593.8)+(-2.705193+(-0.239751--0.812838))+0-0-0</f>
        <v>4178.4678940000003</v>
      </c>
      <c r="X181" s="3">
        <f>5249.7+(370.3-1241.8)+(-8.032041+(-0.566559--1.899954))+0-0-0</f>
        <v>4371.501354</v>
      </c>
      <c r="Y181" s="3">
        <f>5766.2+(409.1-1220.4)+(-8.822286+(-0.625923--1.867212))+0-0-0</f>
        <v>4947.3190029999996</v>
      </c>
      <c r="Z181" s="3">
        <f>6156.2+(450.3-1554.4)+(0+(0-0))+0-0-0</f>
        <v>5052.0999999999995</v>
      </c>
      <c r="AA181" s="3">
        <f>6050.4+(493.7-1699.9)+(-21.599928+(-1.762509--6.068643))+0-0-0</f>
        <v>4826.9062059999997</v>
      </c>
      <c r="AB181" s="3">
        <f>5805.9+(674.3-1901.5)+(-11.844036+(-1.375572--3.87906))+0-0-0</f>
        <v>4569.3594519999997</v>
      </c>
      <c r="AC181" s="3">
        <f>5643.7+(591.2-1790.9)+(-5.756574+(-0.603024--1.826718))+0-0-0</f>
        <v>4439.4671200000003</v>
      </c>
      <c r="AD181">
        <f t="shared" si="2"/>
        <v>98734.827705999996</v>
      </c>
      <c r="AE181" s="3">
        <f>6143+(411.6-1595.1)+(0+(0-0))+0-0-0</f>
        <v>4959.5</v>
      </c>
    </row>
    <row r="182" spans="1:31" s="2" customFormat="1" x14ac:dyDescent="0.25">
      <c r="A182">
        <v>89</v>
      </c>
      <c r="B182">
        <v>6</v>
      </c>
      <c r="C182">
        <v>27</v>
      </c>
      <c r="D182">
        <v>1</v>
      </c>
      <c r="E182">
        <v>1</v>
      </c>
      <c r="F182" s="3">
        <f>5567.4+(524.5-2058.5)+(-8.518122+(-0.802485--3.149505))+0-0-0</f>
        <v>4027.2288979999998</v>
      </c>
      <c r="G182" s="3">
        <f>5268.3+(376.4-1919.3)+(-10.747332+(-0.767856--3.915372))+0-0-0</f>
        <v>3717.8001840000002</v>
      </c>
      <c r="H182" s="3">
        <f>4825.5+(370.2-1698.6)+(-9.84402+(-0.755208--3.465144))+0-0-0</f>
        <v>3489.9659160000006</v>
      </c>
      <c r="I182" s="3">
        <f>4786.6+(390.9-1788.7)+(-2.441166+(-0.199359--0.912237))+0-0-0</f>
        <v>3387.0717120000004</v>
      </c>
      <c r="J182" s="3">
        <f>4816.6+(251-1692)+(2.456466+(0.12801-0.86292))+0-0-0</f>
        <v>3377.3215560000003</v>
      </c>
      <c r="K182" s="3">
        <f>4829.1+(225.6-1631.6)+(2.462841+(0.115056-0.832116))+0-0-0</f>
        <v>3424.8457810000004</v>
      </c>
      <c r="L182" s="3">
        <f>4772.6+(215.9-1461.6)+(-12.17013+(-0.550545--3.72708))+0-0-0</f>
        <v>3517.9064050000006</v>
      </c>
      <c r="M182" s="3">
        <f>5009+(219-1327.3)+(-10.21836+(-0.44676--2.707692))+0-0-0</f>
        <v>3892.7425719999997</v>
      </c>
      <c r="N182" s="3">
        <f>5384.1+(549.9-1395.4)+(0+(0-0))+0-0-0</f>
        <v>4538.6000000000004</v>
      </c>
      <c r="O182" s="3">
        <f>5760.5+(843.6-1576.8)+(0+(0-0))+0-0-0</f>
        <v>5027.3</v>
      </c>
      <c r="P182" s="3">
        <f>6197.5+(782.1-1647.7)+(-3.160725+(-0.398871--0.840327))+0-0-0</f>
        <v>5329.1807309999995</v>
      </c>
      <c r="Q182" s="3">
        <f>6619.8+(810.9-1782.5)+(-13.504392+(-1.654236--3.6363))+0-0-0</f>
        <v>5636.6776719999998</v>
      </c>
      <c r="R182" s="3">
        <f>6784.4+(1012.5-2000.5)+(-6.920088+(-1.03275--2.04051))+0-0-0</f>
        <v>5790.4876719999993</v>
      </c>
      <c r="S182" s="3">
        <f>6741.3+(1100.5-2197.6)+(-20.628378+(-3.36753--6.724656))+0-0-0</f>
        <v>5626.9287480000012</v>
      </c>
      <c r="T182" s="3">
        <f>6646.5+(1219.9-2205.3)+(-6.77943+(-1.244298--2.249406))+0-0-0</f>
        <v>5655.3256780000002</v>
      </c>
      <c r="U182" s="3">
        <f>6596.5+(1190.5-2197.1)+(-10.092645+(-1.821465--3.361563))+0-0-0</f>
        <v>5581.3474529999994</v>
      </c>
      <c r="V182" s="3">
        <f>6508.8+(1153.4-2157.8)+(-6.638976+(-1.176468--2.200956))+0-0-0</f>
        <v>5498.7855119999995</v>
      </c>
      <c r="W182" s="3">
        <f>6225.1+(1071.5-1902.6)+(-12.699204+(-2.18586--3.881304))+0-0-0</f>
        <v>5382.9962400000004</v>
      </c>
      <c r="X182" s="3">
        <f>5800.6+(911.1-1455.6)+(-8.874918+(-1.393983--2.227068))+0-0-0</f>
        <v>5248.0581670000001</v>
      </c>
      <c r="Y182" s="3">
        <f>6423.3+(645.8-1547.8)+(-3.275883+(-0.329358--0.789378))+0-0-0</f>
        <v>5518.4841370000004</v>
      </c>
      <c r="Z182" s="3">
        <f>6866.6+(576.2-1780.4)+(-14.007864+(-1.175448--3.632016))+0-0-0</f>
        <v>5650.8487040000009</v>
      </c>
      <c r="AA182" s="3">
        <f>6538.2+(576.5-1660.7)+(3.334482+(0.294015-0.846957))+0-0-0</f>
        <v>5456.7815399999999</v>
      </c>
      <c r="AB182" s="3">
        <f>6332.2+(555.5-1554.3)+(-12.917688+(-1.13322--3.170772))+0-0-0</f>
        <v>5322.5198639999999</v>
      </c>
      <c r="AC182" s="3">
        <f>6192.5+(629.6-1697.7)+(-12.6327+(-1.284384--3.463308))+0-0-0</f>
        <v>5113.9462239999993</v>
      </c>
      <c r="AD182">
        <f t="shared" si="2"/>
        <v>115213.15136599999</v>
      </c>
      <c r="AE182" s="3">
        <f>6823+(614.8-1817.8)+(0+(0-0))+0-0-0</f>
        <v>5620</v>
      </c>
    </row>
    <row r="183" spans="1:31" s="2" customFormat="1" x14ac:dyDescent="0.25">
      <c r="A183">
        <v>89</v>
      </c>
      <c r="B183">
        <v>6</v>
      </c>
      <c r="C183">
        <v>28</v>
      </c>
      <c r="D183">
        <v>2</v>
      </c>
      <c r="E183">
        <v>1</v>
      </c>
      <c r="F183" s="3">
        <f>5427.9+(472-1659.1)+(0+(0-0))+0-0-0</f>
        <v>4240.7999999999993</v>
      </c>
      <c r="G183" s="3">
        <f>5393.7+(520.7-2032.4)+(-2.750787+(-0.265557--1.036524))+0-0-0</f>
        <v>3880.02018</v>
      </c>
      <c r="H183" s="3">
        <f>5104.6+(430.5-1871.9)+(-2.603346+(-0.219555--0.954669))+0-0-0</f>
        <v>3661.3317680000005</v>
      </c>
      <c r="I183" s="3">
        <f>5104.7+(403.7-1946.9)+(-5.206794+(-0.411774--1.985838))+0-0-0</f>
        <v>3557.8672700000002</v>
      </c>
      <c r="J183" s="3">
        <f>5105.3+(389.9-1989.4)+(-2.603703+(-0.198849--1.014594))+0-0-0</f>
        <v>3504.0120420000003</v>
      </c>
      <c r="K183" s="3">
        <f>5105.7+(380.5-1932.3)+(-5.207814+(-0.38811--1.970946))+0-0-0</f>
        <v>3550.2750219999998</v>
      </c>
      <c r="L183" s="3">
        <f>5194+(316.7-1843.3)+(-13.2447+(-0.807585--4.700415))+0-0-0</f>
        <v>3658.0481300000001</v>
      </c>
      <c r="M183" s="3">
        <f>5195.8+(289.6-1503.4)+(0+(0-0))+0-0-0</f>
        <v>3982</v>
      </c>
      <c r="N183" s="3">
        <f>5544.3+(484.4-1478.3)+(-5.655186+(-0.494088--1.507866))+0-0-0</f>
        <v>4545.7585920000001</v>
      </c>
      <c r="O183" s="3">
        <f>5788.2+(578.1-1333.5)+(-14.75991+(-1.474155--3.400425))+0-0-0</f>
        <v>5019.9663600000003</v>
      </c>
      <c r="P183" s="3">
        <f>6171.4+(818-1586)+(0+(0-0))+0-0-0</f>
        <v>5403.4</v>
      </c>
      <c r="Q183" s="3">
        <f>6462.2+(859-1635.6)+(-9.887166+(-1.31427--2.502468))+0-0-0</f>
        <v>5676.9010320000007</v>
      </c>
      <c r="R183" s="3">
        <f>6558.9+(880.5-1750.7)+(-10.035117+(-1.347165--2.678571))+0-0-0</f>
        <v>5679.9962889999997</v>
      </c>
      <c r="S183" s="3">
        <f>6617.8+(943.7-2062.8)+(-13.500312+(-1.925148--4.208112))+0-0-0</f>
        <v>5487.4826519999997</v>
      </c>
      <c r="T183" s="3">
        <f>6616.5+(1064-2125.7)+(3.374415+(0.54264-1.084107))+0-0-0</f>
        <v>5557.6329480000004</v>
      </c>
      <c r="U183" s="3">
        <f>6485.6+(1159.9-2149.7)+(-6.615312+(-1.183098--2.192694))+0-0-0</f>
        <v>5490.1942840000011</v>
      </c>
      <c r="V183" s="3">
        <f>6479.3+(1106.5-2157.5)+(-16.522215+(-2.821575--5.501625))+0-0-0</f>
        <v>5414.4578350000002</v>
      </c>
      <c r="W183" s="3">
        <f>6292.7+(934.2-1837.7)+(-12.837108+(-1.905768--3.748908))+0-0-0</f>
        <v>5378.2060320000001</v>
      </c>
      <c r="X183" s="3">
        <f>5932.6+(743.2-1324.6)+(3.025626+(0.379032-0.675546))+0-0-0</f>
        <v>5353.9291120000007</v>
      </c>
      <c r="Y183" s="3">
        <f>6294+(613.9-1269.9)+(-3.20994+(-0.313089--0.647649))+0-0-0</f>
        <v>5635.1246199999996</v>
      </c>
      <c r="Z183" s="3">
        <f>6804.9+(651.8-1792.1)+(-10.411497+(-0.997254--2.741913))+0-0-0</f>
        <v>5655.9331619999994</v>
      </c>
      <c r="AA183" s="3">
        <f>6570.5+(722.6-1762)+(-13.40382+(-1.474104--3.59448))+0-0-0</f>
        <v>5519.8165560000007</v>
      </c>
      <c r="AB183" s="3">
        <f>5979+(836-1715.9)+(-18.29574+(-2.55816--5.250654))+0-0-0</f>
        <v>5083.4967540000007</v>
      </c>
      <c r="AC183" s="3">
        <f>5754.5+(791.1-1752.6)+(-2.934795+(-0.403461--0.893826))+0-0-0</f>
        <v>4790.5555700000004</v>
      </c>
      <c r="AD183">
        <f t="shared" si="2"/>
        <v>115727.20621</v>
      </c>
      <c r="AE183" s="3">
        <f>6799+(651.1-1794.5)+(0+(0-0))+0-0-0</f>
        <v>5655.6</v>
      </c>
    </row>
    <row r="184" spans="1:31" s="2" customFormat="1" x14ac:dyDescent="0.25">
      <c r="A184">
        <v>89</v>
      </c>
      <c r="B184">
        <v>6</v>
      </c>
      <c r="C184">
        <v>29</v>
      </c>
      <c r="D184">
        <v>3</v>
      </c>
      <c r="E184">
        <v>1</v>
      </c>
      <c r="F184" s="3">
        <f>5384.7+(584.1-1669.4)+(-10.984788+(-1.191564--3.405576))+0-0-0</f>
        <v>4290.6292239999993</v>
      </c>
      <c r="G184" s="3">
        <f>5199.3+(453.1-1716.1)+(0+(0-0))+0-0-0</f>
        <v>3936.3</v>
      </c>
      <c r="H184" s="3">
        <f>5112+(395.1-1770.6)+(-7.82136+(-0.604503--2.709018))+0-0-0</f>
        <v>3730.7831550000001</v>
      </c>
      <c r="I184" s="3">
        <f>4974.6+(363.8-1707)+(-5.074092+(-0.371076--1.74114))+0-0-0</f>
        <v>3627.6959720000004</v>
      </c>
      <c r="J184" s="3">
        <f>4673+(400.7-1498.2)+(2.38323+(0.204357-0.764082))+0-0-0</f>
        <v>3577.3235049999998</v>
      </c>
      <c r="K184" s="3">
        <f>4631.3+(438.9-1450.4)+(0+(0-0))+0-0-0</f>
        <v>3619.8</v>
      </c>
      <c r="L184" s="3">
        <f>4599.5+(435.2-1292.7)+(-14.07447+(-1.331712--3.955662))+0-0-0</f>
        <v>3730.5494800000001</v>
      </c>
      <c r="M184" s="3">
        <f>4715.6+(485.2-1127.4)+(0+(0-0))+0-0-0</f>
        <v>4073.4000000000005</v>
      </c>
      <c r="N184" s="3">
        <f>5070+(605.5-981.2)+(-2.5857+(-0.308805--0.500412))+0-0-0</f>
        <v>4691.9059070000003</v>
      </c>
      <c r="O184" s="3">
        <f>5441.3+(782.5-1104.7)+(-2.775063+(-0.399075--0.563397))+0-0-0</f>
        <v>5116.4892589999999</v>
      </c>
      <c r="P184" s="3">
        <f>5950+(827.6-1259.9)+(0+(0-0))+0-0-0</f>
        <v>5517.7</v>
      </c>
      <c r="Q184" s="3">
        <f>6302.6+(1002-1572.3)+(-9.642978+(-1.53306--2.405619))+0-0-0</f>
        <v>5723.5295809999998</v>
      </c>
      <c r="R184" s="3">
        <f>6477.6+(1087.9-1764.7)+(-3.303576+(-0.554829--0.899997))+0-0-0</f>
        <v>5797.8415919999998</v>
      </c>
      <c r="S184" s="3">
        <f>6501.4+(1137.1-2020.2)+(-23.209998+(-4.059447--7.212114))+0-0-0</f>
        <v>5598.2426689999993</v>
      </c>
      <c r="T184" s="3">
        <f>6572.6+(1167.7-2005.6)+(3.352026+(0.595527-1.022856))+0-0-0</f>
        <v>5737.6246970000011</v>
      </c>
      <c r="U184" s="3">
        <f>6519.8+(1145.7-1944.4)+(-13.300392+(-2.337228--3.966576))+0-0-0</f>
        <v>5709.4289560000007</v>
      </c>
      <c r="V184" s="3">
        <f>6452.6+(1112.3-1935.9)+(-13.163304+(-2.269092--3.949236))+0-0-0</f>
        <v>5617.5168400000002</v>
      </c>
      <c r="W184" s="3">
        <f>6027.9+(1152.7-1671.4)+(-15.371145+(-2.939385--4.26207))+0-0-0</f>
        <v>5495.1515399999998</v>
      </c>
      <c r="X184" s="3">
        <f>5711.2+(1017.2-1329.2)+(-2.912712+(-0.518772--0.677892))+0-0-0</f>
        <v>5396.4464079999998</v>
      </c>
      <c r="Y184" s="3">
        <f>6181.5+(834.5-1292.6)+(3.152565+(0.425595-0.659226))+0-0-0</f>
        <v>5726.3189339999999</v>
      </c>
      <c r="Z184" s="3">
        <f>6661.7+(660.3-1540.8)+(-13.589868+(-1.347012--3.143232))+0-0-0</f>
        <v>5769.406352</v>
      </c>
      <c r="AA184" s="3">
        <f>6543.3+(761.8-1730.9)+(-20.022498+(-2.331108--5.296554))+0-0-0</f>
        <v>5557.1429479999997</v>
      </c>
      <c r="AB184" s="3">
        <f>6219.2+(908.5-1893.8)+(-12.687168+(-1.85334--3.863352))+0-0-0</f>
        <v>5223.2228439999999</v>
      </c>
      <c r="AC184" s="3">
        <f>5689.5+(1016.2-1836.5)+(-11.60658+(-2.073048--3.74646))+0-0-0</f>
        <v>4859.2668320000002</v>
      </c>
      <c r="AD184">
        <f t="shared" si="2"/>
        <v>118123.71669500001</v>
      </c>
      <c r="AE184" s="3">
        <f>6667+(631.7-1511.5)+(0+(0-0))+0-0-0</f>
        <v>5787.2</v>
      </c>
    </row>
    <row r="185" spans="1:31" s="2" customFormat="1" x14ac:dyDescent="0.25">
      <c r="A185">
        <v>89</v>
      </c>
      <c r="B185">
        <v>6</v>
      </c>
      <c r="C185">
        <v>30</v>
      </c>
      <c r="D185">
        <v>4</v>
      </c>
      <c r="E185">
        <v>1</v>
      </c>
      <c r="F185" s="3">
        <f>5533.6+(868.8-1999.2)+(-8.466408+(-1.329264--3.058776))+0-0-0</f>
        <v>4396.4631040000004</v>
      </c>
      <c r="G185" s="3">
        <f>5398.9+(611.1-1988.8)+(-8.260317+(-0.934983--3.042864))+0-0-0</f>
        <v>4015.047564</v>
      </c>
      <c r="H185" s="3">
        <f>5106.5+(395.9-1730.1)+(0+(0-0))+0-0-0</f>
        <v>3772.3</v>
      </c>
      <c r="I185" s="3">
        <f>4999+(326.9-1699.6)+(-2.54949+(-0.166719--0.866796))+0-0-0</f>
        <v>3624.4505870000003</v>
      </c>
      <c r="J185" s="3">
        <f>5007.2+(315.1-1737.6)+(-2.553672+(-0.160701--0.886176))+0-0-0</f>
        <v>3582.871803</v>
      </c>
      <c r="K185" s="3">
        <f>4952.5+(281.5-1608.1)+(2.525775+(0.143565-0.820131))+0-0-0</f>
        <v>3627.7492090000001</v>
      </c>
      <c r="L185" s="3">
        <f>4809.6+(288.7-1366.9)+(-4.905792+(-0.294474--1.394238))+0-0-0</f>
        <v>3727.5939720000006</v>
      </c>
      <c r="M185" s="3">
        <f>4803.9+(304.2-1060.4)+(-4.899978+(-0.310284--1.081608))+0-0-0</f>
        <v>4043.5713459999997</v>
      </c>
      <c r="N185" s="3">
        <f>5199.2+(448.7-1025.8)+(2.651592+(0.228837-0.523158))+0-0-0</f>
        <v>4624.4572710000002</v>
      </c>
      <c r="O185" s="3">
        <f>5717.5+(490.5-1076.2)+(-5.83185+(-0.50031--1.097724))+0-0-0</f>
        <v>5126.5655640000004</v>
      </c>
      <c r="P185" s="3">
        <f>6228.9+(575.9-1261.9)+(-3.176739+(-0.293709--0.643569))+0-0-0</f>
        <v>5540.0731209999994</v>
      </c>
      <c r="Q185" s="3">
        <f>6449.2+(657-1355.2)+(0+(0-0))+0-0-0</f>
        <v>5751</v>
      </c>
      <c r="R185" s="3">
        <f>6585.1+(647.6-1348.6)+(3.358401+(0.330276-0.687786))+0-0-0</f>
        <v>5887.100891</v>
      </c>
      <c r="S185" s="3">
        <f>6578.3+(727.4-1586.7)+(-16.774665+(-1.85487--4.046085))+0-0-0</f>
        <v>5704.4165499999999</v>
      </c>
      <c r="T185" s="3">
        <f>6646+(852-1690.7)+(6.77892+(0.86904-1.724514))+0-0-0</f>
        <v>5813.223446</v>
      </c>
      <c r="U185" s="3">
        <f>6597.7+(866.5-1678.3)+(-6.729654+(-0.88383--1.711866))+0-0-0</f>
        <v>5779.9983819999998</v>
      </c>
      <c r="V185" s="3">
        <f>6505.2+(822.8-1615.1)+(-13.270608+(-1.678512--3.294804))+0-0-0</f>
        <v>5701.2456839999995</v>
      </c>
      <c r="W185" s="3">
        <f>6159.3+(712.6-1266.3)+(-6.282486+(-0.726852--1.291626))+0-0-0</f>
        <v>5599.8822880000007</v>
      </c>
      <c r="X185" s="3">
        <f>5906.2+(605.1-1016.7)+(-6.024324+(-0.617202--1.037034))+0-0-0</f>
        <v>5488.9955079999991</v>
      </c>
      <c r="Y185" s="3">
        <f>6410.1+(473.6-1055)+(0+(0-0))+0-0-0</f>
        <v>5828.7000000000007</v>
      </c>
      <c r="Z185" s="3">
        <f>6750.7+(433.3-1250.8)+(-17.214285+(-1.104915--3.18954))+0-0-0</f>
        <v>5918.0703400000002</v>
      </c>
      <c r="AA185" s="3">
        <f>6667.5+(535.2-1494.1)+(-20.40255+(-1.637712--4.571946))+0-0-0</f>
        <v>5691.131684</v>
      </c>
      <c r="AB185" s="3">
        <f>6222.4+(737.2-1559)+(-6.346848+(-0.751944--1.59018))+0-0-0</f>
        <v>5395.0913879999998</v>
      </c>
      <c r="AC185" s="3">
        <f>5643+(725.3-1342.3)+(-5.75586+(-0.739806--1.369146))+0-0-0</f>
        <v>5020.8734800000002</v>
      </c>
      <c r="AD185">
        <f t="shared" si="2"/>
        <v>119660.873182</v>
      </c>
      <c r="AE185" s="3">
        <f>6738+(407.7-1239.7)+(0+(0-0))+0-0-0</f>
        <v>5906</v>
      </c>
    </row>
    <row r="186" spans="1:31" s="2" customFormat="1" x14ac:dyDescent="0.25">
      <c r="A186">
        <v>89</v>
      </c>
      <c r="B186">
        <v>6</v>
      </c>
      <c r="C186">
        <v>31</v>
      </c>
      <c r="D186">
        <v>5</v>
      </c>
      <c r="E186">
        <v>1</v>
      </c>
      <c r="F186" s="3">
        <f>5064.1+(553.5-1486.2)+(-5.165382+(-0.56457--1.515924))+0-0-0</f>
        <v>4127.1859720000002</v>
      </c>
      <c r="G186" s="3">
        <f>5066.5+(626.1-1726.9)+(-7.751745+(-0.957933--2.642157))+0-0-0</f>
        <v>3959.6324789999999</v>
      </c>
      <c r="H186" s="3">
        <f>5044.6+(585.4-1874.3)+(-7.718238+(-0.895662--2.867679))+0-0-0</f>
        <v>3749.9537790000004</v>
      </c>
      <c r="I186" s="3">
        <f>4934.3+(471.8-1743.7)+(5.032986+(0.481236-1.778574))+0-0-0</f>
        <v>3666.1356479999999</v>
      </c>
      <c r="J186" s="3">
        <f>4938.1+(418.4-1696.1)+(-2.518431+(-0.213384--0.865011))+0-0-0</f>
        <v>3658.5331960000008</v>
      </c>
      <c r="K186" s="3">
        <f>4923.4+(501.7-1757.9)+(-5.021868+(-0.511734--1.793058))+0-0-0</f>
        <v>3663.4594559999996</v>
      </c>
      <c r="L186" s="3">
        <f>4816.4+(461.6-1512.7)+(-4.912728+(-0.470832--1.542954))+0-0-0</f>
        <v>3761.4593939999995</v>
      </c>
      <c r="M186" s="3">
        <f>5195.8+(525.2-1379.1)+(0+(0-0))+0-0-0</f>
        <v>4341.9000000000005</v>
      </c>
      <c r="N186" s="3">
        <f>5645.1+(576.6-1197.8)+(2.879001+(0.294066-0.610878))+0-0-0</f>
        <v>5026.4621890000008</v>
      </c>
      <c r="O186" s="3">
        <f>6114.2+(604.4-1173.3)+(0+(0-0))+0-0-0</f>
        <v>5545.3</v>
      </c>
      <c r="P186" s="3">
        <f>6350.3+(666.4-1164)+(6.477306+(0.679728-1.18728))+0-0-0</f>
        <v>5858.6697539999996</v>
      </c>
      <c r="Q186" s="3">
        <f>6467.5+(687.5-1106.9)+(-3.298425+(-0.350625--0.564519))+0-0-0</f>
        <v>6045.0154689999999</v>
      </c>
      <c r="R186" s="3">
        <f>6474.6+(781.1-1273.9)+(-26.416368+(-3.186888--5.197512))+0-0-0</f>
        <v>5957.3942560000005</v>
      </c>
      <c r="S186" s="3">
        <f>6495.8+(847.8-1445.2)+(-3.312858+(-0.432378--0.737052))+0-0-0</f>
        <v>5895.3918159999994</v>
      </c>
      <c r="T186" s="3">
        <f>6532+(901.3-1450.1)+(-3.33132+(-0.459663--0.739551))+0-0-0</f>
        <v>5980.1485679999996</v>
      </c>
      <c r="U186" s="3">
        <f>6498.8+(868.7-1418.1)+(-9.943164+(-1.329111--2.169693))+0-0-0</f>
        <v>5940.2974180000001</v>
      </c>
      <c r="V186" s="3">
        <f>6476.7+(911.8-1531.5)+(0+(0-0))+0-0-0</f>
        <v>5857</v>
      </c>
      <c r="W186" s="3">
        <f>6501+(739.1-1484.7)+(-3.31551+(-0.376941--0.757197))+0-0-0</f>
        <v>5752.4647459999996</v>
      </c>
      <c r="X186" s="3">
        <f>6726.6+(737-1352.5)+(-3.430566+(-0.37587--0.689775))+0-0-0</f>
        <v>6107.9833390000003</v>
      </c>
      <c r="Y186" s="3">
        <f>6868.2+(828.3-1572)+(3.502782+(0.422433-0.80172))+0-0-0</f>
        <v>6127.6234949999998</v>
      </c>
      <c r="Z186" s="3">
        <f>6804.7+(925.6-1780.2)+(-6.940794+(-0.944112--1.815804))+0-0-0</f>
        <v>5944.0308979999991</v>
      </c>
      <c r="AA186" s="3">
        <f>6774.6+(1003.2-2167.2)+(-20.730276+(-3.069792--6.631632))+0-0-0</f>
        <v>5593.4315640000004</v>
      </c>
      <c r="AB186" s="3">
        <f>6589+(868.8-2194.7)+(-13.44156+(-1.772352--4.477188))+0-0-0</f>
        <v>5252.363276</v>
      </c>
      <c r="AC186" s="3">
        <f>6187.9+(896.6-2335.8)+(-12.623316+(-1.829064--4.765032))+0-0-0</f>
        <v>4739.0126519999985</v>
      </c>
      <c r="AD186">
        <f t="shared" si="2"/>
        <v>122550.84936400001</v>
      </c>
      <c r="AE186" s="3">
        <f>6824+(783.1-1532.3)+(0+(0-0))+0-0-0</f>
        <v>6074.8</v>
      </c>
    </row>
    <row r="187" spans="1:31" s="2" customFormat="1" x14ac:dyDescent="0.25">
      <c r="A187">
        <v>89</v>
      </c>
      <c r="B187">
        <v>7</v>
      </c>
      <c r="C187">
        <v>1</v>
      </c>
      <c r="D187">
        <v>6</v>
      </c>
      <c r="E187">
        <v>1</v>
      </c>
      <c r="F187" s="3">
        <f>5789.3+(814.1-2316.2)+(-5.905086+(-0.830382--2.362524))+0-0-0</f>
        <v>4282.827056000001</v>
      </c>
      <c r="G187" s="3">
        <f>5359.2+(700.8-2150.4)+(-8.199576+(-1.072224--3.290112))+0-0-0</f>
        <v>3903.6183119999996</v>
      </c>
      <c r="H187" s="3">
        <f>5348+(513.3-2096.4)+(-2.72748+(-0.261783--1.069164))+0-0-0</f>
        <v>3762.9799009999997</v>
      </c>
      <c r="I187" s="3">
        <f>5283.6+(421.4-2002.2)+(2.694636+(0.214914-1.021122))+0-0-0</f>
        <v>3704.6884280000004</v>
      </c>
      <c r="J187" s="3">
        <f>5123.4+(355-1863.4)+(-7.838802+(-0.54315--2.851002))+0-0-0</f>
        <v>3609.4690499999997</v>
      </c>
      <c r="K187" s="3">
        <f>5161.7+(402.2-1892.2)+(-5.264934+(-0.410244--1.930044))+0-0-0</f>
        <v>3667.954866</v>
      </c>
      <c r="L187" s="3">
        <f>5010.4+(335.8-1617.5)+(2.555304+(0.171258-0.824925))+0-0-0</f>
        <v>3730.6016369999998</v>
      </c>
      <c r="M187" s="3">
        <f>5307+(554-1715.2)+(0+(0-0))+0-0-0</f>
        <v>4145.8</v>
      </c>
      <c r="N187" s="3">
        <f>5951.5+(635.7-1892.8)+(3.035265+(0.324207-0.965328))+0-0-0</f>
        <v>4696.7941439999995</v>
      </c>
      <c r="O187" s="3">
        <f>6135.7+(752.7-1717.5)+(-3.129207+(-0.383877--0.875925))+0-0-0</f>
        <v>5168.2628409999998</v>
      </c>
      <c r="P187" s="3">
        <f>6233.7+(873.3-1500.1)+(-3.179187+(-0.445383--0.765051))+0-0-0</f>
        <v>5604.040481</v>
      </c>
      <c r="Q187" s="3">
        <f>6344.1+(913.7-1472.5)+(-3.235491+(-0.465987--0.750975))+0-0-0</f>
        <v>5782.3494970000002</v>
      </c>
      <c r="R187" s="3">
        <f>6198.4+(947.7-1460.4)+(-3.161184+(-0.483327--0.744804))+0-0-0</f>
        <v>5682.8002930000002</v>
      </c>
      <c r="S187" s="3">
        <f>6156+(1122.5-1768.5)+(-9.41868+(-1.717425--2.705805))+0-0-0</f>
        <v>5501.5697</v>
      </c>
      <c r="T187" s="3">
        <f>6095.6+(1140.2-1787.9)+(-9.326268+(-1.744506--2.735487))+0-0-0</f>
        <v>5439.5647130000007</v>
      </c>
      <c r="U187" s="3">
        <f>6060.6+(1033.9-1759)+(-18.545436+(-3.163734--5.38254))+0-0-0</f>
        <v>5319.1733700000004</v>
      </c>
      <c r="V187" s="3">
        <f>6048.7+(796.5-1574.9)+(-18.509022+(-2.43729--4.819194))+0-0-0</f>
        <v>5254.1728819999989</v>
      </c>
      <c r="W187" s="3">
        <f>5833+(668.3-1202.8)+(-5.94966+(-0.681666--1.226856))+0-0-0</f>
        <v>5293.0955299999996</v>
      </c>
      <c r="X187" s="3">
        <f>6313.1+(858.5-1449.8)+(0+(0-0))+0-0-0</f>
        <v>5721.8</v>
      </c>
      <c r="Y187" s="3">
        <f>6605.1+(1010.8-1800.3)+(-13.474404+(-2.062032--3.672612))+0-0-0</f>
        <v>5803.7361760000003</v>
      </c>
      <c r="Z187" s="3">
        <f>6546.5+(929.4-1820)+(-16.693575+(-2.36997--4.641))+0-0-0</f>
        <v>5641.4774549999993</v>
      </c>
      <c r="AA187" s="3">
        <f>6436.3+(667.1-1694)+(-13.130052+(-1.360884--3.45576))+0-0-0</f>
        <v>5398.3648239999993</v>
      </c>
      <c r="AB187" s="3">
        <f>6172.7+(489.2-1561.6)+(0+(0-0))+0-0-0</f>
        <v>5100.3</v>
      </c>
      <c r="AC187" s="3">
        <f>5691.9+(544.9-1555.3)+(-5.805738+(-0.555798--1.586406))+0-0-0</f>
        <v>4676.72487</v>
      </c>
      <c r="AD187">
        <f t="shared" si="2"/>
        <v>116892.16602600004</v>
      </c>
      <c r="AE187" s="3">
        <f>6701+(1000.6-1766.2)+(0+(0-0))+0-0-0</f>
        <v>5935.4</v>
      </c>
    </row>
    <row r="188" spans="1:31" s="2" customFormat="1" x14ac:dyDescent="0.25">
      <c r="A188">
        <v>89</v>
      </c>
      <c r="B188">
        <v>7</v>
      </c>
      <c r="C188">
        <v>2</v>
      </c>
      <c r="D188">
        <v>7</v>
      </c>
      <c r="E188">
        <v>1</v>
      </c>
      <c r="F188" s="3">
        <f>5432+(539.7-1632)+(-11.08128+(-1.100988--3.32928))+0-0-0</f>
        <v>4330.8470120000002</v>
      </c>
      <c r="G188" s="3">
        <f>5243.2+(490.2-1786.4)+(-10.696128+(-1.000008--3.644256))+0-0-0</f>
        <v>3938.94812</v>
      </c>
      <c r="H188" s="3">
        <f>5223.2+(306.3-1817.7)+(-2.663832+(-0.156213--0.927027))+0-0-0</f>
        <v>3709.9069819999995</v>
      </c>
      <c r="I188" s="3">
        <f>5157.5+(345.9-1894.2)+(-7.890975+(-0.529227--2.898126))+0-0-0</f>
        <v>3603.6779239999996</v>
      </c>
      <c r="J188" s="3">
        <f>5104.5+(280.5-1861.4)+(2.603295+(0.143055-0.949314))+0-0-0</f>
        <v>3525.3970359999998</v>
      </c>
      <c r="K188" s="3">
        <f>4907.5+(347.1-1777.8)+(-15.01695+(-1.062126--5.440068))+0-0-0</f>
        <v>3466.1609920000001</v>
      </c>
      <c r="L188" s="3">
        <f>4626.4+(430.5-1785.2)+(-4.718928+(-0.43911--1.820904))+0-0-0</f>
        <v>3268.3628659999999</v>
      </c>
      <c r="M188" s="3">
        <f>4461.6+(532.4-1643.2)+(-6.826248+(-0.814572--2.514096))+0-0-0</f>
        <v>3345.673276</v>
      </c>
      <c r="N188" s="3">
        <f>4798.9+(618.4-1770.2)+(-7.342317+(-0.946152--2.708406))+0-0-0</f>
        <v>3641.5199369999996</v>
      </c>
      <c r="O188" s="3">
        <f>5093.8+(678-1743.4)+(-10.391352+(-1.38312--3.556536))+0-0-0</f>
        <v>4020.1820640000001</v>
      </c>
      <c r="P188" s="3">
        <f>5459+(867.5-1910.9)+(-8.35227+(-1.327275--2.923677))+0-0-0</f>
        <v>4408.8441320000002</v>
      </c>
      <c r="Q188" s="3">
        <f>5556.3+(1004.1-1896.2)+(2.833713+(0.512091-0.967062))+0-0-0</f>
        <v>4666.5787419999997</v>
      </c>
      <c r="R188" s="3">
        <f>5484.3+(1162.6-1919.8)+(0+(0-0))+0-0-0</f>
        <v>4727.1000000000004</v>
      </c>
      <c r="S188" s="3">
        <f>5530.3+(1283.5-2100.8)+(-5.640906+(-1.30917--2.142816))+0-0-0</f>
        <v>4708.1927400000004</v>
      </c>
      <c r="T188" s="3">
        <f>5517.9+(1312.7-2185.2)+(2.814129+(0.669477-1.114452))+0-0-0</f>
        <v>4647.7691539999996</v>
      </c>
      <c r="U188" s="3">
        <f>5490.3+(1219.7-2143)+(-5.600106+(-1.244094--2.18586))+0-0-0</f>
        <v>4562.34166</v>
      </c>
      <c r="V188" s="3">
        <f>5465.7+(1121.9-2022.7)+(-8.362521+(-1.716507--3.094731))+0-0-0</f>
        <v>4557.9157029999997</v>
      </c>
      <c r="W188" s="3">
        <f>5473.6+(800.2-1604.1)+(-13.95768+(-2.04051--4.090455))+0-0-0</f>
        <v>4657.792265000001</v>
      </c>
      <c r="X188" s="3">
        <f>5903.2+(803.1-1457.4)+(-6.021264+(-0.819162--1.486548))+0-0-0</f>
        <v>5243.5461219999997</v>
      </c>
      <c r="Y188" s="3">
        <f>6123.5+(794.2-1511)+(-6.24597+(-0.810084--1.54122))+0-0-0</f>
        <v>5401.1851660000002</v>
      </c>
      <c r="Z188" s="3">
        <f>6086.3+(913.7-1662.6)+(-3.104013+(-0.465987--0.847926))+0-0-0</f>
        <v>5334.6779260000003</v>
      </c>
      <c r="AA188" s="3">
        <f>6013+(1016.1-1858.6)+(-3.06663+(-0.518211--0.947886))+0-0-0</f>
        <v>5167.8630450000001</v>
      </c>
      <c r="AB188" s="3">
        <f>5854.2+(862.3-1822.3)+(-14.92821+(-2.198865--4.646865))+0-0-0</f>
        <v>4881.7197900000001</v>
      </c>
      <c r="AC188" s="3">
        <f>5422.3+(733.4-1694.4)+(-5.530746+(-0.748068--1.728288))+0-0-0</f>
        <v>4456.7494740000002</v>
      </c>
      <c r="AD188">
        <f t="shared" si="2"/>
        <v>104272.95212799999</v>
      </c>
      <c r="AE188" s="3">
        <f>6115+(804.9-1539.5)+(0+(0-0))+0-0-0</f>
        <v>5380.4</v>
      </c>
    </row>
    <row r="189" spans="1:31" s="2" customFormat="1" x14ac:dyDescent="0.25">
      <c r="A189">
        <v>89</v>
      </c>
      <c r="B189">
        <v>7</v>
      </c>
      <c r="C189">
        <v>3</v>
      </c>
      <c r="D189">
        <v>1</v>
      </c>
      <c r="E189">
        <v>1</v>
      </c>
      <c r="F189" s="3">
        <f>5278.9+(655.5-1935.4)+(-8.076717+(-1.002915--2.961162))+0-0-0</f>
        <v>3992.8815299999997</v>
      </c>
      <c r="G189" s="3">
        <f>5279.7+(516.3-2094)+(-10.770588+(-1.053252--4.27176))+0-0-0</f>
        <v>3694.4479200000001</v>
      </c>
      <c r="H189" s="3">
        <f>5177.6+(413.8-2022.6)+(-5.281152+(-0.422076--2.063052))+0-0-0</f>
        <v>3565.1598240000003</v>
      </c>
      <c r="I189" s="3">
        <f>5170.8+(412.3-2162.2)+(5.274216+(0.420546-2.205444))+0-0-0</f>
        <v>3424.3893180000005</v>
      </c>
      <c r="J189" s="3">
        <f>5001.7+(440.5-2016)+(-10.203468+(-0.89862--4.11264))+0-0-0</f>
        <v>3419.210552</v>
      </c>
      <c r="K189" s="3">
        <f>4812.2+(441.1-1811.2)+(-7.362666+(-0.674883--2.771136))+0-0-0</f>
        <v>3436.8335870000001</v>
      </c>
      <c r="L189" s="3">
        <f>4463.5+(405.9-1296.5)+(-4.55277+(-0.414018--1.32243))+0-0-0</f>
        <v>3569.2556420000001</v>
      </c>
      <c r="M189" s="3">
        <f>4856.6+(643.5-1340.7)+(2.476866+(0.328185-0.683757))+0-0-0</f>
        <v>4161.5212940000001</v>
      </c>
      <c r="N189" s="3">
        <f>5548.5+(694.7-1318.7)+(0+(0-0))+0-0-0</f>
        <v>4924.5</v>
      </c>
      <c r="O189" s="3">
        <f>5906.1+(944.7-1367.1)+(-3.012111+(-0.481797--0.697221))+0-0-0</f>
        <v>5480.9033130000007</v>
      </c>
      <c r="P189" s="3">
        <f>5955+(1159-1292.9)+(-3.03705+(-0.59109--0.659379))+0-0-0</f>
        <v>5818.1312390000003</v>
      </c>
      <c r="Q189" s="3">
        <f>6130.3+(1191.3-1297.7)+(3.126453+(0.607563-0.661827))+0-0-0</f>
        <v>6026.9721890000001</v>
      </c>
      <c r="R189" s="3">
        <f>6187.6+(1335-1595.1)+(0+(0-0))+0-0-0</f>
        <v>5927.5</v>
      </c>
      <c r="S189" s="3">
        <f>6204.6+(1503.3-1775.9)+(0+(0-0))+0-0-0</f>
        <v>5932</v>
      </c>
      <c r="T189" s="3">
        <f>6218.7+(1524.5-1747.9)+(-6.343074+(-1.55499--1.782858))+0-0-0</f>
        <v>5989.1847939999989</v>
      </c>
      <c r="U189" s="3">
        <f>6207.5+(1473.4-1628.9)+(-9.497475+(-2.254302--2.492217))+0-0-0</f>
        <v>6042.7404399999996</v>
      </c>
      <c r="V189" s="3">
        <f>6197.7+(1445.4-1602.8)+(-9.482481+(-2.211462--2.452284))+0-0-0</f>
        <v>6031.0583409999999</v>
      </c>
      <c r="W189" s="3">
        <f>6073.2+(1205.7-1455.5)+(3.097332+(0.614907-0.742305))+0-0-0</f>
        <v>5826.3699339999994</v>
      </c>
      <c r="X189" s="3">
        <f>6413.1+(1173.6-1394.2)+(-13.082724+(-2.394144--2.844168))+0-0-0</f>
        <v>6179.8672999999999</v>
      </c>
      <c r="Y189" s="3">
        <f>6595.8+(1183.9-1613.7)+(0+(0-0))+0-0-0</f>
        <v>6166</v>
      </c>
      <c r="Z189" s="3">
        <f>6524+(1255.9-1813.8)+(6.65448+(1.281018-1.850076))+0-0-0</f>
        <v>5972.1854220000005</v>
      </c>
      <c r="AA189" s="3">
        <f>6453.2+(1358.5-2164.3)+(-9.873396+(-2.078505--3.311379))+0-0-0</f>
        <v>5638.7594779999999</v>
      </c>
      <c r="AB189" s="3">
        <f>6262.1+(1065.1-2083.3)+(-15.968355+(-2.716005--5.312415))+0-0-0</f>
        <v>5230.5280549999998</v>
      </c>
      <c r="AC189" s="3">
        <f>5829.4+(980-2043.8)+(-14.86497+(-2.499--5.21169))+0-0-0</f>
        <v>4753.4477199999992</v>
      </c>
      <c r="AD189">
        <f t="shared" si="2"/>
        <v>121203.84789199999</v>
      </c>
      <c r="AE189" s="3">
        <f>6547+(1177.7-1604.5)+(0+(0-0))+0-0-0</f>
        <v>6120.2</v>
      </c>
    </row>
    <row r="190" spans="1:31" s="2" customFormat="1" x14ac:dyDescent="0.25">
      <c r="A190">
        <v>89</v>
      </c>
      <c r="B190">
        <v>7</v>
      </c>
      <c r="C190">
        <v>4</v>
      </c>
      <c r="D190">
        <v>2</v>
      </c>
      <c r="E190">
        <v>1</v>
      </c>
      <c r="F190" s="3">
        <f>5474.1+(741.5-2020.9)+(-5.583582+(-0.75633--2.061318))+0-0-0</f>
        <v>4190.4214060000004</v>
      </c>
      <c r="G190" s="3">
        <f>5327.5+(531.4-1982.5)+(-13.585125+(-1.35507--5.055375))+0-0-0</f>
        <v>3866.5151799999999</v>
      </c>
      <c r="H190" s="3">
        <f>5042.5+(418.5-1758.5)+(-7.715025+(-0.640305--2.690505))+0-0-0</f>
        <v>3696.8351750000002</v>
      </c>
      <c r="I190" s="3">
        <f>4945.8+(428.8-1745.3)+(-2.522358+(-0.218688--0.890103))+0-0-0</f>
        <v>3627.4490570000003</v>
      </c>
      <c r="J190" s="3">
        <f>4835.8+(409.1-1627)+(0+(0-0))+0-0-0</f>
        <v>3617.9</v>
      </c>
      <c r="K190" s="3">
        <f>4807+(466.6-1636.2)+(0+(0-0))+0-0-0</f>
        <v>3637.4</v>
      </c>
      <c r="L190" s="3">
        <f>4814.6+(419.3-1514.1)+(-2.455446+(-0.213843--0.772191))+0-0-0</f>
        <v>3717.9029020000003</v>
      </c>
      <c r="M190" s="3">
        <f>5159.4+(689.3-1618.8)+(-5.262588+(-0.703086--1.651176))+3.2-0-0</f>
        <v>4228.7855019999997</v>
      </c>
      <c r="N190" s="3">
        <f>5513.7+(1000-1653.8)+(0+(0-0))+96-0-0</f>
        <v>4955.8999999999996</v>
      </c>
      <c r="O190" s="3">
        <f>5956.2+(1210-1775.3)+(-3.037662+(-0.6171--0.905403))+65.6-0-0</f>
        <v>5453.7506409999996</v>
      </c>
      <c r="P190" s="3">
        <f>6132.2+(1306.6-1671.6)+(0+(0-0))+0-0-0</f>
        <v>5767.2</v>
      </c>
      <c r="Q190" s="3">
        <f>6183.3+(1389-1516)+(3.153483+(0.70839-0.77316))+0-0-0</f>
        <v>6059.3887130000003</v>
      </c>
      <c r="R190" s="3">
        <f>6133.5+(1462.4-1658.8)+(-3.128085+(-0.745824--0.845988))+0-0-0</f>
        <v>5934.0720790000005</v>
      </c>
      <c r="S190" s="3">
        <f>6085.9+(1522.6-1671)+(3.103809+(0.776526-0.85221))+0-0-0</f>
        <v>5940.5281249999998</v>
      </c>
      <c r="T190" s="3">
        <f>6252.6+(1628.3-1877.8)+(-3.188826+(-0.830433--0.957678))+0-0-0</f>
        <v>6000.0384190000004</v>
      </c>
      <c r="U190" s="3">
        <f>6268.6+(1623.4-1867.8)+(-6.393972+(-1.655868--1.905156))+0-0-0</f>
        <v>6018.0553160000009</v>
      </c>
      <c r="V190" s="3">
        <f>6265.1+(1439-1805.3)+(-9.585603+(-2.20167--2.762109))+0-0-0</f>
        <v>5889.7748360000005</v>
      </c>
      <c r="W190" s="3">
        <f>6168.4+(1151.8-1399.5)+(0+(0-0))+0-0-0</f>
        <v>5920.7</v>
      </c>
      <c r="X190" s="3">
        <f>6323+(1079.6-1111.3)+(-6.44946+(-1.101192--1.133526))+0-0-0</f>
        <v>6284.8828739999999</v>
      </c>
      <c r="Y190" s="3">
        <f>6543.6+(1201-1525.1)+(-10.011708+(-1.83753--2.333403))+0-0-0</f>
        <v>6209.9841649999998</v>
      </c>
      <c r="Z190" s="3">
        <f>6503.7+(1320.8-1774.3)+(-6.633774+(-1.347216--1.809786))+0-0-0</f>
        <v>6044.0287959999996</v>
      </c>
      <c r="AA190" s="3">
        <f>6398+(1341.1-2015.2)+(3.26298+(0.683961-1.027752))+0-0-0</f>
        <v>5726.8191889999998</v>
      </c>
      <c r="AB190" s="3">
        <f>6188.3+(1017.5-1869)+(0+(0-0))+0-0-0</f>
        <v>5336.8</v>
      </c>
      <c r="AC190" s="3">
        <f>5921.8+(696.6-1802.9)+(-6.040236+(-0.710532--1.838958))+0-0-0</f>
        <v>4810.5881900000004</v>
      </c>
      <c r="AD190">
        <f t="shared" si="2"/>
        <v>122935.72056499998</v>
      </c>
      <c r="AE190" s="3">
        <f>6496+(1070.4-1357.7)+(0+(0-0))+0-0-0</f>
        <v>6208.7</v>
      </c>
    </row>
    <row r="191" spans="1:31" s="2" customFormat="1" x14ac:dyDescent="0.25">
      <c r="A191">
        <v>89</v>
      </c>
      <c r="B191">
        <v>7</v>
      </c>
      <c r="C191">
        <v>5</v>
      </c>
      <c r="D191">
        <v>3</v>
      </c>
      <c r="E191">
        <v>1</v>
      </c>
      <c r="F191" s="3">
        <f>5465.4+(682.1-1859.5)+(-8.362062+(-1.043613--2.845035))+0-0-0</f>
        <v>4281.4393600000003</v>
      </c>
      <c r="G191" s="3">
        <f>5220.5+(671.9-1901.6)+(0+(0-0))+0-0-0</f>
        <v>3990.8</v>
      </c>
      <c r="H191" s="3">
        <f>5163.2+(692.8-2044.1)+(-5.266464+(-0.706656--2.084982))+0-0-0</f>
        <v>3808.0118619999998</v>
      </c>
      <c r="I191" s="3">
        <f>5120.3+(681.4-2070.3)+(2.611353+(0.347514-1.055853))+0-0-0</f>
        <v>3733.3030140000001</v>
      </c>
      <c r="J191" s="3">
        <f>5116.4+(485.7-1896.6)+(2.609364+(0.247707-0.967266))+0-0-0</f>
        <v>3707.3898049999998</v>
      </c>
      <c r="K191" s="3">
        <f>4983.5+(352.4-1603.9)+(-17.791095+(-1.258068--5.725923))+0-0-0</f>
        <v>3718.6767599999998</v>
      </c>
      <c r="L191" s="3">
        <f>4833.8+(354.2-1394.2)+(2.465238+(0.180642-0.711042))+0-0-0</f>
        <v>3795.7348380000003</v>
      </c>
      <c r="M191" s="3">
        <f>5144.1+(504.6-1353.8)+(5.246982+(0.514692-1.380876))+0-0-0</f>
        <v>4299.2807980000007</v>
      </c>
      <c r="N191" s="3">
        <f>5635.9+(807.2-1427.4)+(0+(0-0))+0-0-0</f>
        <v>5015.7</v>
      </c>
      <c r="O191" s="3">
        <f>5750.6+(1213.3-1457.8)+(0+(0-0))+0-0-0</f>
        <v>5506.1</v>
      </c>
      <c r="P191" s="3">
        <f>6193.8+(1492.5-1825.3)+(6.317676+(1.52235-1.861806))+0-0-0</f>
        <v>5866.97822</v>
      </c>
      <c r="Q191" s="3">
        <f>6195.5+(1498.2-1573.1)+(9.479115+(2.292246-2.406843))+0-0-0</f>
        <v>6129.9645180000007</v>
      </c>
      <c r="R191" s="3">
        <f>6137.5+(1707.2-1793.2)+(-6.26025+(-1.741344--1.829064))+0-0-0</f>
        <v>6045.3274700000002</v>
      </c>
      <c r="S191" s="3">
        <f>6097.5+(1884.4-1940)+(-3.109725+(-0.961044--0.9894))+0-0-0</f>
        <v>6038.8186309999992</v>
      </c>
      <c r="T191" s="3">
        <f>6098.6+(1937.3-1928.4)+(-6.220572+(-1.976046--1.966968))+0-0-0</f>
        <v>6101.2703499999998</v>
      </c>
      <c r="U191" s="3">
        <f>6090.2+(1921.1-1956.5)+(-12.424008+(-3.919044--3.99126))+0-0-0</f>
        <v>6042.4482079999989</v>
      </c>
      <c r="V191" s="3">
        <f>6085.2+(1826.1-1822.2)+(-15.51726+(-4.656555--4.64661))+2.4-0-0</f>
        <v>6075.9727949999988</v>
      </c>
      <c r="W191" s="3">
        <f>5789.7+(1756.6-1548.3)+(-2.952747+(-0.895866--0.789633))+0-0-0</f>
        <v>5994.9410200000002</v>
      </c>
      <c r="X191" s="3">
        <f>6252.1+(1610.3-1534.9)+(3.188571+(0.821253-0.782799))+0-0-0</f>
        <v>6330.7270250000001</v>
      </c>
      <c r="Y191" s="3">
        <f>6413.5+(1581.1-1755)+(-19.62531+(-4.838166--5.3703))+0-0-0</f>
        <v>6220.5068240000001</v>
      </c>
      <c r="Z191" s="3">
        <f>6376.8+(1598.5-1912)+(-9.756504+(-2.445705--2.92536))+0-0-0</f>
        <v>6054.0231510000003</v>
      </c>
      <c r="AA191" s="3">
        <f>6268.6+(1658.4-2162.8)+(-12.787944+(-3.383136--4.412112))+0-0-0</f>
        <v>5752.4410320000006</v>
      </c>
      <c r="AB191" s="3">
        <f>5960.1+(1424.9-2053.4)+(-12.158604+(-2.906796--4.188936))+0-0-0</f>
        <v>5320.7235360000004</v>
      </c>
      <c r="AC191" s="3">
        <f>5779.1+(1171-1997.2)+(-14.736705+(-2.98605--5.09286))+0-0-0</f>
        <v>4940.2701050000005</v>
      </c>
      <c r="AD191">
        <f t="shared" si="2"/>
        <v>124770.84932200001</v>
      </c>
      <c r="AE191" s="3">
        <f>6433+(1542.5-1685.7)+(0+(0-0))+0-0-0</f>
        <v>6289.8</v>
      </c>
    </row>
    <row r="192" spans="1:31" s="2" customFormat="1" x14ac:dyDescent="0.25">
      <c r="A192">
        <v>89</v>
      </c>
      <c r="B192">
        <v>7</v>
      </c>
      <c r="C192">
        <v>6</v>
      </c>
      <c r="D192">
        <v>4</v>
      </c>
      <c r="E192">
        <v>1</v>
      </c>
      <c r="F192" s="3">
        <f>5371.6+(920.1-1872.9)+(-10.958064+(-1.877004--3.820716))+0-0-0</f>
        <v>4409.785648</v>
      </c>
      <c r="G192" s="3">
        <f>5113.2+(925.7-1982.3)+(-7.823196+(-1.416321--3.032919))+0-0-0</f>
        <v>4050.3934019999997</v>
      </c>
      <c r="H192" s="3">
        <f>4991.2+(838.8-1994.4)+(-5.091024+(-0.855576--2.034288))+0-0-0</f>
        <v>3831.6876879999995</v>
      </c>
      <c r="I192" s="3">
        <f>4965+(749.3-1978.5)+(-5.0643+(-0.764286--2.01807))+0-0-0</f>
        <v>3731.9894840000002</v>
      </c>
      <c r="J192" s="3">
        <f>5006.5+(589.7-1890.8)+(10.21326+(1.202988-3.857232))+0-0-0</f>
        <v>3712.9590160000002</v>
      </c>
      <c r="K192" s="3">
        <f>4946.7+(539.5-1736.7)+(-10.091268+(-1.10058--3.542868))+0-0-0</f>
        <v>3741.8510200000001</v>
      </c>
      <c r="L192" s="3">
        <f>4785+(545.8-1527.2)+(2.44035+(0.278358-0.778872))+0-0-0</f>
        <v>3805.5398359999999</v>
      </c>
      <c r="M192" s="3">
        <f>5323.6+(706.4-1735.2)+(-2.715036+(-0.360264--0.884952))+0-0-0</f>
        <v>4292.6096520000001</v>
      </c>
      <c r="N192" s="3">
        <f>5842.7+(835.4-1658.7)+(0+(0-0))+0-0-0</f>
        <v>5019.3999999999996</v>
      </c>
      <c r="O192" s="3">
        <f>6085.9+(1024.4-1563)+(-12.415236+(-2.089776--3.18852))+0-0-0</f>
        <v>5535.9835079999993</v>
      </c>
      <c r="P192" s="3">
        <f>6256.8+(1409.8-1835.4)+(-3.190968+(-0.718998--0.936054))+0-0-0</f>
        <v>5828.2260879999994</v>
      </c>
      <c r="Q192" s="3">
        <f>6087.9+(1647.1-1650.8)+(12.419316+(3.360084-3.367632))+0-0-0</f>
        <v>6096.6117679999998</v>
      </c>
      <c r="R192" s="3">
        <f>6101.5+(1675.9-1637.6)+(-6.22353+(-1.709418--1.670352))+0-0-0</f>
        <v>6133.5374040000006</v>
      </c>
      <c r="S192" s="3">
        <f>6160.5+(1744.2-1907)+(3.141855+(0.889542-0.97257))+0-0-0</f>
        <v>6000.7588269999997</v>
      </c>
      <c r="T192" s="3">
        <f>6250.5+(1817-1997.1)+(-12.75102+(-3.70668--4.074084))+0-0-0</f>
        <v>6058.0163839999996</v>
      </c>
      <c r="U192" s="3">
        <f>6307.6+(1732.4-2027.2)+(-16.08438+(-4.41762--5.16936))+0-0-0</f>
        <v>5997.4673600000006</v>
      </c>
      <c r="V192" s="3">
        <f>6278.5+(1551.6-1895.3)+(-16.010175+(-3.95658--4.833015))+0-0-0</f>
        <v>5919.66626</v>
      </c>
      <c r="W192" s="3">
        <f>5927.5+(1492.4-1579.1)+(-9.069075+(-2.283372--2.416023))+0-0-0</f>
        <v>5831.8635759999997</v>
      </c>
      <c r="X192" s="3">
        <f>6620.2+(1350.5-1764.1)+(0+(0-0))+0-0-0</f>
        <v>6206.6</v>
      </c>
      <c r="Y192" s="3">
        <f>6720.1+(1333.4-1901)+(-10.281753+(-2.040102--2.90853))+0-0-0</f>
        <v>6143.0866749999996</v>
      </c>
      <c r="Z192" s="3">
        <f>6714.7+(1373-2190.8)+(-10.273491+(-2.10069--3.351924))+0-0-0</f>
        <v>5887.877743</v>
      </c>
      <c r="AA192" s="3">
        <f>6371.5+(1302.1-2144.4)+(-6.49893+(-1.328142--2.187288))+0-0-0</f>
        <v>5523.5602159999999</v>
      </c>
      <c r="AB192" s="3">
        <f>6024.9+(1105.1-1970)+(-6.145398+(-1.127202--2.0094))+0-0-0</f>
        <v>5154.7367999999997</v>
      </c>
      <c r="AC192" s="3">
        <f>5565.3+(874.5-1760.2)+(-5.676606+(-0.89199--1.795404))+0-0-0</f>
        <v>4674.8268080000007</v>
      </c>
      <c r="AD192">
        <f t="shared" si="2"/>
        <v>123589.03516299999</v>
      </c>
      <c r="AE192" s="3">
        <f>6755+(1345.5-1902.2)+(0+(0-0))+0-0-0</f>
        <v>6198.3</v>
      </c>
    </row>
    <row r="193" spans="1:31" s="2" customFormat="1" x14ac:dyDescent="0.25">
      <c r="A193">
        <v>89</v>
      </c>
      <c r="B193">
        <v>7</v>
      </c>
      <c r="C193">
        <v>7</v>
      </c>
      <c r="D193">
        <v>5</v>
      </c>
      <c r="E193">
        <v>1</v>
      </c>
      <c r="F193" s="3">
        <f>5418.7+(741.4-1954.4)+(-16.581222+(-2.268684--5.980464))+0-0-0</f>
        <v>4192.8305579999997</v>
      </c>
      <c r="G193" s="3">
        <f>5260.9+(663.5-2038.8)+(-16.098354+(-2.03031--6.238728))+0-0-0</f>
        <v>3873.7100639999994</v>
      </c>
      <c r="H193" s="3">
        <f>5239.8+(491.4-1997.8)+(0+(0-0))+0-0-0</f>
        <v>3733.4</v>
      </c>
      <c r="I193" s="3">
        <f>5119.5+(442.2-1908.6)+(-5.22189+(-0.451044--1.946772))+0-0-0</f>
        <v>3649.3738380000004</v>
      </c>
      <c r="J193" s="3">
        <f>4972.8+(454.1-1794.2)+(7.608384+(0.694773-2.745126))+0-0-0</f>
        <v>3638.2580310000003</v>
      </c>
      <c r="K193" s="3">
        <f>4922.4+(477.7-1726.2)+(-7.531272+(-0.730881--2.641086))+0-0-0</f>
        <v>3668.2789329999996</v>
      </c>
      <c r="L193" s="3">
        <f>4879.6+(487.5-1617.8)+(-4.977192+(-0.49725--1.650156))+0-0-0</f>
        <v>3745.4757140000002</v>
      </c>
      <c r="M193" s="3">
        <f>4981.5+(659.1-1411.3)+(0+(0-0))+0-0-0</f>
        <v>4229.3</v>
      </c>
      <c r="N193" s="3">
        <f>5601.9+(670.9-1312.8)+(0+(0-0))+0-0-0</f>
        <v>4960</v>
      </c>
      <c r="O193" s="3">
        <f>5866.8+(866.4-1330.2)+(-5.984136+(-0.883728--1.356804))+0-0-0</f>
        <v>5397.4889400000002</v>
      </c>
      <c r="P193" s="3">
        <f>6215+(925.4-1396.9)+(-9.50895+(-1.415862--2.137257))+0-0-0</f>
        <v>5734.7124450000001</v>
      </c>
      <c r="Q193" s="3">
        <f>6335.3+(1493.5-1739.7)+(-6.462006+(-1.52337--1.774494))+0-0-0</f>
        <v>6082.8891180000001</v>
      </c>
      <c r="R193" s="3">
        <f>6374.6+(1486.2-1974.8)+(-6.502092+(-1.515924--2.014296))+0-0-0</f>
        <v>5879.9962800000003</v>
      </c>
      <c r="S193" s="3">
        <f>6375+(1510.6-2038)+(0+(0-0))+0-0-0</f>
        <v>5847.6</v>
      </c>
      <c r="T193" s="3">
        <f>6461.9+(1464.2-1999.6)+(-6.591138+(-1.493484--2.039592))+0-0-0</f>
        <v>5920.4549699999998</v>
      </c>
      <c r="U193" s="3">
        <f>6258.4+(1257.2-1731.4)+(-6.383568+(-1.282344--1.766028))+0-0-0</f>
        <v>5778.3001159999994</v>
      </c>
      <c r="V193" s="3">
        <f>5900.3+(1145.8-1332.2)+(-12.036612+(-2.337432--2.717688))+0-0-0</f>
        <v>5702.2436439999992</v>
      </c>
      <c r="W193" s="3">
        <f>5952.6+(1102.9-1038.1)+(3.035826+(0.562479-0.529431))+0-0-0</f>
        <v>6020.4688740000001</v>
      </c>
      <c r="X193" s="3">
        <f>6531.7+(1056.6-1387.5)+(3.331167+(0.538866-0.707625))+0-0-0</f>
        <v>6203.9624079999994</v>
      </c>
      <c r="Y193" s="3">
        <f>6717.6+(1147.5-1753.3)+(-13.703904+(-2.3409--3.576732))+0-0-0</f>
        <v>6099.3319280000005</v>
      </c>
      <c r="Z193" s="3">
        <f>6611.2+(996-1728)+(-3.371712+(-0.50796--0.88128))+0-0-0</f>
        <v>5876.2016079999994</v>
      </c>
      <c r="AA193" s="3">
        <f>6536.3+(978-1915.4)+(-10.000539+(-1.49634--2.930562))+0-0-0</f>
        <v>5590.3336829999998</v>
      </c>
      <c r="AB193" s="3">
        <f>6433.3+(828.6-2028.8)+(-13.123932+(-1.690344--4.138752))+0-0-0</f>
        <v>5222.4244760000001</v>
      </c>
      <c r="AC193" s="3">
        <f>6007.1+(752.9-1975.7)+(-12.254484+(-1.535916--4.030428))+0-0-0</f>
        <v>4774.5400280000003</v>
      </c>
      <c r="AD193">
        <f t="shared" ref="AD193:AD256" si="3">SUM(F193:AC193)</f>
        <v>121821.575656</v>
      </c>
      <c r="AE193" s="3">
        <f>6637+(1153.1-1624.7)+(0+(0-0))+0-0-0</f>
        <v>6165.4</v>
      </c>
    </row>
    <row r="194" spans="1:31" s="2" customFormat="1" x14ac:dyDescent="0.25">
      <c r="A194">
        <v>89</v>
      </c>
      <c r="B194">
        <v>7</v>
      </c>
      <c r="C194">
        <v>8</v>
      </c>
      <c r="D194">
        <v>6</v>
      </c>
      <c r="E194">
        <v>1</v>
      </c>
      <c r="F194" s="3">
        <f>5590.7+(535.6-1888.9)+(-8.553771+(-0.819468--2.890017))+0-0-0</f>
        <v>4230.9167779999998</v>
      </c>
      <c r="G194" s="3">
        <f>5309.7+(422.5-1833.2)+(-10.831788+(-0.8619--3.739728))+0-0-0</f>
        <v>3891.0460400000002</v>
      </c>
      <c r="H194" s="3">
        <f>4951.3+(386-1611)+(-5.050326+(-0.39372--1.64322))+0-0-0</f>
        <v>3722.499174</v>
      </c>
      <c r="I194" s="3">
        <f>4913.2+(408-1709.4)+(-2.505732+(-0.20808--0.871794))+0-0-0</f>
        <v>3609.9579819999999</v>
      </c>
      <c r="J194" s="3">
        <f>4929+(260-1586)+(-5.02758+(-0.2652--1.61772))+0-0-0</f>
        <v>3599.32494</v>
      </c>
      <c r="K194" s="3">
        <f>5021.5+(252.3-1669.6)+(-10.24386+(-0.514692--3.405984))+0-0-0</f>
        <v>3596.847432</v>
      </c>
      <c r="L194" s="3">
        <f>4701+(249.6-1312.6)+(0+(0-0))+0-0-0</f>
        <v>3638</v>
      </c>
      <c r="M194" s="3">
        <f>4924.5+(333.5-1382.6)+(-2.511495+(-0.170085--0.705126))+0-0-0</f>
        <v>3873.423546</v>
      </c>
      <c r="N194" s="3">
        <f>5456.6+(469.8-1218.8)+(-2.782866+(-0.239598--0.621588))+0-0-0</f>
        <v>4705.1991240000007</v>
      </c>
      <c r="O194" s="3">
        <f>5888.1+(593.4-1244.4)+(-9.008793+(-0.907902--1.903932))+0-0-0</f>
        <v>5229.0872370000006</v>
      </c>
      <c r="P194" s="3">
        <f>6146.1+(613.3-1214.2)+(-3.134511+(-0.312783--0.619242))+0-0-0</f>
        <v>5542.3719480000009</v>
      </c>
      <c r="Q194" s="3">
        <f>6104.9+(728.8-1100.2)+(-3.113499+(-0.371688--0.561102))+0-0-0</f>
        <v>5730.5759150000004</v>
      </c>
      <c r="R194" s="3">
        <f>6044.3+(950.8-1331.1)+(0+(0-0))+0-0-0</f>
        <v>5664</v>
      </c>
      <c r="S194" s="3">
        <f>6112.6+(999-1580.8)+(-3.117426+(-0.50949--0.806208))+0-0-0</f>
        <v>5527.979292</v>
      </c>
      <c r="T194" s="3">
        <f>6143.3+(1007.7-1690.9)+(-3.133083+(-0.513927--0.862359))+0-0-0</f>
        <v>5457.3153490000004</v>
      </c>
      <c r="U194" s="3">
        <f>6157.6+(837-1693)+(-3.140376+(-0.42687--0.86343))+0-0-0</f>
        <v>5298.8961840000002</v>
      </c>
      <c r="V194" s="3">
        <f>6062.8+(680.6-1500.7)+(-18.552168+(-2.082636--4.592142))+0-0-0</f>
        <v>5226.657338</v>
      </c>
      <c r="W194" s="3">
        <f>5800.5+(603.6-1107.1)+(2.958255+(0.307836-0.564621))+0-0-0</f>
        <v>5299.70147</v>
      </c>
      <c r="X194" s="3">
        <f>6437.7+(495.9-1159.3)+(0+(0-0))+0-0-0</f>
        <v>5774.3</v>
      </c>
      <c r="Y194" s="3">
        <f>6525.4+(639.8-1394.1)+(-13.311816+(-1.305192--2.843964))+0-0-0</f>
        <v>5759.3269559999999</v>
      </c>
      <c r="Z194" s="3">
        <f>6456.4+(544.6-1384)+(-13.171056+(-1.110984--2.82336))+0-0-0</f>
        <v>5605.5413200000003</v>
      </c>
      <c r="AA194" s="3">
        <f>6248.6+(385.3-1295.1)+(-6.373572+(-0.393006--1.321002))+0-0-0</f>
        <v>5333.3544240000001</v>
      </c>
      <c r="AB194" s="3">
        <f>5955.5+(370.2-1290.4)+(-9.111915+(-0.566406--1.974312))+0-0-0</f>
        <v>5027.5959910000001</v>
      </c>
      <c r="AC194" s="3">
        <f>5758.8+(414.2-1511.7)+(-14.68494+(-1.05621--3.854835))+0-0-0</f>
        <v>4649.4136850000004</v>
      </c>
      <c r="AD194">
        <f t="shared" si="3"/>
        <v>115993.33212500002</v>
      </c>
      <c r="AE194" s="3">
        <f>6552+(573.4-1289.6)+(0+(0-0))+0-0-0</f>
        <v>5835.8</v>
      </c>
    </row>
    <row r="195" spans="1:31" s="2" customFormat="1" x14ac:dyDescent="0.25">
      <c r="A195">
        <v>89</v>
      </c>
      <c r="B195">
        <v>7</v>
      </c>
      <c r="C195">
        <v>9</v>
      </c>
      <c r="D195">
        <v>7</v>
      </c>
      <c r="E195">
        <v>1</v>
      </c>
      <c r="F195" s="3">
        <f>5442.2+(420-1600.8)+(-2.775522+(-0.2142--0.816408))+0-0-0</f>
        <v>4259.226686</v>
      </c>
      <c r="G195" s="3">
        <f>5283.1+(305.7-1660.7)+(-13.471905+(-0.779535--4.234785))+0-0-0</f>
        <v>3918.0833450000005</v>
      </c>
      <c r="H195" s="3">
        <f>5214.7+(188.1-1699.4)+(0+(0-0))+0-0-0</f>
        <v>3703.3999999999996</v>
      </c>
      <c r="I195" s="3">
        <f>5172+(146.9-1754.6)+(-10.55088+(-0.299676--3.579384))+0-0-0</f>
        <v>3557.028828</v>
      </c>
      <c r="J195" s="3">
        <f>4954+(130.7-1615.6)+(-7.57962+(-0.199971--2.471868))+0-0-0</f>
        <v>3463.7922770000005</v>
      </c>
      <c r="K195" s="3">
        <f>4748.9+(157.5-1482.5)+(-12.109695+(-0.401625--3.780375))+0-0-0</f>
        <v>3415.1690549999998</v>
      </c>
      <c r="L195" s="3">
        <f>4681.3+(265.7-1680.5)+(-7.162389+(-0.406521--2.571165))+0-0-0</f>
        <v>3261.5022549999999</v>
      </c>
      <c r="M195" s="3">
        <f>4393.8+(364.7-1433.7)+(-6.722514+(-0.557991--2.193561))+0-0-0</f>
        <v>3319.7130560000001</v>
      </c>
      <c r="N195" s="3">
        <f>4658.7+(411.3-1510.8)+(-2.375937+(-0.209763--0.770508))+0-0-0</f>
        <v>3557.3848079999998</v>
      </c>
      <c r="O195" s="3">
        <f>4882.5+(259.5-1215.8)+(-4.98015+(-0.26469--1.240116))+30.3-0-0</f>
        <v>3952.4952760000001</v>
      </c>
      <c r="P195" s="3">
        <f>5240.6+(440.9-1407.2)+(-2.672706+(-0.224859--0.717672))+71-0-0</f>
        <v>4343.1201069999997</v>
      </c>
      <c r="Q195" s="3">
        <f>5606.3+(459.2-1495)+(-5.718426+(-0.468384--1.5249))+11.8-0-0</f>
        <v>4577.6380900000004</v>
      </c>
      <c r="R195" s="3">
        <f>5737+(454.8-1548)+(-8.77761+(-0.695844--2.36844))+0-0-0</f>
        <v>4636.6949860000004</v>
      </c>
      <c r="S195" s="3">
        <f>5838.5+(471.1-1712.6)+(-8.932905+(-0.720783--2.620278))+0-0-0</f>
        <v>4589.96659</v>
      </c>
      <c r="T195" s="3">
        <f>5727.6+(506.8-1688.3)+(-14.60538+(-1.29234--4.305165))+0-0-0</f>
        <v>4534.5074450000002</v>
      </c>
      <c r="U195" s="3">
        <f>5580.9+(444.8-1618.9)+(-8.538777+(-0.680544--2.476917))+0-0-0</f>
        <v>4400.0575959999996</v>
      </c>
      <c r="V195" s="3">
        <f>5345+(346.4-1245.3)+(-8.17785+(-0.529992--1.905309))+0-0-0</f>
        <v>4439.2974670000003</v>
      </c>
      <c r="W195" s="3">
        <f>5396.3+(281.8-1088)+(0+(0-0))+0-0-0</f>
        <v>4590.1000000000004</v>
      </c>
      <c r="X195" s="3">
        <f>6230.6+(254.9-1239.7)+(-3.177606+(-0.129999--0.632247))+0-0-0</f>
        <v>5243.1246419999998</v>
      </c>
      <c r="Y195" s="3">
        <f>6529.8+(381.4-1554.8)+(-6.660396+(-0.389028--1.585896))+0-0-0</f>
        <v>5350.9364719999994</v>
      </c>
      <c r="Z195" s="3">
        <f>6399.5+(400.9-1489)+(-13.05498+(-0.817836--3.03756))+0-0-0</f>
        <v>5300.5647439999993</v>
      </c>
      <c r="AA195" s="3">
        <f>6231.2+(535.4-1611.3)+(-9.533736+(-0.819162--2.465289))+0-0-0</f>
        <v>5147.4123909999989</v>
      </c>
      <c r="AB195" s="3">
        <f>6012.4+(511.1-1638)+(-15.33162+(-1.303305--4.1769))+0-0-0</f>
        <v>4873.0419750000001</v>
      </c>
      <c r="AC195" s="3">
        <f>5845.1+(410.3-1803.8)+(-14.905005+(-1.046265--4.59969))+0-0-0</f>
        <v>4440.2484200000008</v>
      </c>
      <c r="AD195">
        <f t="shared" si="3"/>
        <v>102874.50651100003</v>
      </c>
      <c r="AE195" s="3">
        <f>6542+(349.8-1580)+(0+(0-0))+0-0-0</f>
        <v>5311.8</v>
      </c>
    </row>
    <row r="196" spans="1:31" s="2" customFormat="1" x14ac:dyDescent="0.25">
      <c r="A196">
        <v>89</v>
      </c>
      <c r="B196">
        <v>7</v>
      </c>
      <c r="C196">
        <v>10</v>
      </c>
      <c r="D196">
        <v>1</v>
      </c>
      <c r="E196">
        <v>1</v>
      </c>
      <c r="F196" s="3">
        <f>5447.5+(271.8-1735.2)+(-16.66935+(-0.831708--5.309712))+0-0-0</f>
        <v>3971.9086539999998</v>
      </c>
      <c r="G196" s="3">
        <f>5156.6+(243.6-1724.8)+(-7.889598+(-0.372708--2.638944))+0-0-0</f>
        <v>3669.7766380000007</v>
      </c>
      <c r="H196" s="3">
        <f>4867.8+(308-1661.3)+(-12.41289+(-0.7854--4.236315))+0-0-0</f>
        <v>3505.5380249999998</v>
      </c>
      <c r="I196" s="3">
        <f>4859.6+(344.8-1775.6)+(-2.478396+(-0.175848--0.905556))+0-0-0</f>
        <v>3427.0513120000001</v>
      </c>
      <c r="J196" s="3">
        <f>4875.5+(291.7-1732.4)+(-4.97301+(-0.297534--1.767048))+0-0-0</f>
        <v>3431.2965040000004</v>
      </c>
      <c r="K196" s="3">
        <f>4860.5+(204.6-1579.2)+(-9.91542+(-0.417384--3.221568))+0-0-0</f>
        <v>3478.7887639999994</v>
      </c>
      <c r="L196" s="3">
        <f>4894.5+(192.3-1472.8)+(2.496195+(0.098073-0.751128))+0-0-0</f>
        <v>3615.8431399999999</v>
      </c>
      <c r="M196" s="3">
        <f>5391.8+(150.3-1384.7)+(-2.749818+(-0.076653--0.706197))+0-0-0</f>
        <v>4155.2797259999998</v>
      </c>
      <c r="N196" s="3">
        <f>6099.8+(180.5-1315.2)+(-3.110898+(-0.092055--0.670752))+0-0-0</f>
        <v>4962.5677990000004</v>
      </c>
      <c r="O196" s="3">
        <f>6320.8+(547.6-1383.3)+(-3.223608+(-0.279276--0.705483))+0-0-0</f>
        <v>5482.3025990000006</v>
      </c>
      <c r="P196" s="3">
        <f>6401.7+(767.6-1326)+(0+(0-0))+0-0-0</f>
        <v>5843.3</v>
      </c>
      <c r="Q196" s="3">
        <f>6420.5+(886-1198.4)+(3.274455+(0.45186-0.611184))+0-0-0</f>
        <v>6111.2151309999999</v>
      </c>
      <c r="R196" s="3">
        <f>6460+(1023-1420.1)+(0+(0-0))+0-0-0</f>
        <v>6062.9</v>
      </c>
      <c r="S196" s="3">
        <f>6423+(1088.6-1482.9)+(0+(0-0))+0-0-0</f>
        <v>6028.7</v>
      </c>
      <c r="T196" s="3">
        <f>6407.1+(1202.9-1518.2)+(-13.070484+(-2.453916--3.097128))+0-0-0</f>
        <v>6079.3727280000003</v>
      </c>
      <c r="U196" s="3">
        <f>6404.3+(1207-1575.1)+(-19.597158+(-3.69342--4.819806))+0-0-0</f>
        <v>6017.7292280000011</v>
      </c>
      <c r="V196" s="3">
        <f>6413.7+(1043.1-1479.8)+(-16.354935+(-2.659905--3.77349))+0-0-0</f>
        <v>5961.7586499999998</v>
      </c>
      <c r="W196" s="3">
        <f>6423.7+(653.2-1116.5)+(9.828261+(0.999396-1.708245))+0-0-0</f>
        <v>5969.5194119999996</v>
      </c>
      <c r="X196" s="3">
        <f>6725.5+(579-951.3)+(-3.430005+(-0.29529--0.485163))+0-0-0</f>
        <v>6349.9598679999999</v>
      </c>
      <c r="Y196" s="3">
        <f>6699.7+(693.7-1104.8)+(-17.084235+(-1.768935--2.81724))+0-0-0</f>
        <v>6272.5640700000004</v>
      </c>
      <c r="Z196" s="3">
        <f>6645.4+(781-1352.7)+(-10.167462+(-1.19493--2.069631))+0-0-0</f>
        <v>6064.4072390000001</v>
      </c>
      <c r="AA196" s="3">
        <f>6637.9+(820.2-1688.8)+(-13.541316+(-1.673208--3.445152))+0-0-0</f>
        <v>5757.5306279999995</v>
      </c>
      <c r="AB196" s="3">
        <f>6582.7+(506-1761.8)+(-13.428708+(-1.03224--3.594072))+0-0-0</f>
        <v>5316.0331239999996</v>
      </c>
      <c r="AC196" s="3">
        <f>6297.4+(360.7-1816.2)+(-19.270044+(-1.103742--5.557572))+0-0-0</f>
        <v>4827.0837859999992</v>
      </c>
      <c r="AD196">
        <f t="shared" si="3"/>
        <v>122362.42702499998</v>
      </c>
      <c r="AE196" s="3">
        <f>6690+(669-1085.1)+(0+(0-0))+0-0-0</f>
        <v>6273.9</v>
      </c>
    </row>
    <row r="197" spans="1:31" s="2" customFormat="1" x14ac:dyDescent="0.25">
      <c r="A197">
        <v>89</v>
      </c>
      <c r="B197">
        <v>7</v>
      </c>
      <c r="C197">
        <v>11</v>
      </c>
      <c r="D197">
        <v>2</v>
      </c>
      <c r="E197">
        <v>1</v>
      </c>
      <c r="F197" s="3">
        <f>5636.3+(271-1593.2)+(-5.749026+(-0.27642--1.625064))+0-0-0</f>
        <v>4309.6996180000006</v>
      </c>
      <c r="G197" s="3">
        <f>5166.4+(273.4-1475.4)+(-2.634864+(-0.139434--0.752454))+0-0-0</f>
        <v>3962.3781559999998</v>
      </c>
      <c r="H197" s="3">
        <f>5061.5+(304.1-1581.6)+(-12.906825+(-0.775455--4.03308))+0-0-0</f>
        <v>3774.3508000000002</v>
      </c>
      <c r="I197" s="3">
        <f>5024.7+(346.7-1663.2)+(-5.125194+(-0.353634--1.696464))+0-0-0</f>
        <v>3704.4176359999997</v>
      </c>
      <c r="J197" s="3">
        <f>4890.9+(225.6-1429.8)+(0+(0-0))+0-0-0</f>
        <v>3686.7</v>
      </c>
      <c r="K197" s="3">
        <f>4800.3+(178.8-1272.7)+(-2.448153+(-0.091188--0.649077))+0-0-0</f>
        <v>3704.509736</v>
      </c>
      <c r="L197" s="3">
        <f>4678.6+(192.1-1100.3)+(2.386086+(0.097971-0.561153))+0-0-0</f>
        <v>3772.3229040000006</v>
      </c>
      <c r="M197" s="3">
        <f>4945.4+(237.4-881)+(-2.522154+(-0.121074--0.44931))+0-0-0</f>
        <v>4299.6060819999993</v>
      </c>
      <c r="N197" s="3">
        <f>5372.2+(446.7-753.6)+(2.739822+(0.227817-0.384336))+0-0-0</f>
        <v>5067.8833030000005</v>
      </c>
      <c r="O197" s="3">
        <f>5809.3+(515.8-747.8)+(-5.925486+(-0.526116--0.762756))+0-0-0</f>
        <v>5571.6111540000002</v>
      </c>
      <c r="P197" s="3">
        <f>6176.7+(753.3-1000.4)+(-6.300234+(-0.768366--1.020408))+0-0-0</f>
        <v>5923.5518079999993</v>
      </c>
      <c r="Q197" s="3">
        <f>6247.9+(954.7-1022.6)+(3.186429+(0.486897-0.521526))+0-0-0</f>
        <v>6183.1517999999996</v>
      </c>
      <c r="R197" s="3">
        <f>6205.9+(1021.1-1089.3)+(-3.165009+(-0.520761--0.555543))+0-0-0</f>
        <v>6134.5697730000002</v>
      </c>
      <c r="S197" s="3">
        <f>6195.6+(1120.6-1241.3)+(3.159756+(0.571506-0.633063))+0-0-0</f>
        <v>6077.9981990000006</v>
      </c>
      <c r="T197" s="3">
        <f>6205.9+(1177.7-1233.6)+(-9.495027+(-1.801881--1.887408))+0-0-0</f>
        <v>6140.5905000000002</v>
      </c>
      <c r="U197" s="3">
        <f>6188.8+(1224.4-1304.5)+(-15.78144+(-3.12222--3.326475))+0-0-0</f>
        <v>6093.1228150000006</v>
      </c>
      <c r="V197" s="3">
        <f>6017.7+(1127-1125.2)+(-9.207081+(-1.72431--1.721556))+0-0-0</f>
        <v>6010.2901650000003</v>
      </c>
      <c r="W197" s="3">
        <f>5951.6+(787.4-712)+(-15.17658+(-2.00787--1.8156))+0-0-0</f>
        <v>6011.6311500000002</v>
      </c>
      <c r="X197" s="3">
        <f>6308+(818.1-785.4)+(-6.43416+(-0.834462--0.801108))+0-0-0</f>
        <v>6334.2324859999999</v>
      </c>
      <c r="Y197" s="3">
        <f>6315.2+(931.3-1020.1)+(-9.662256+(-1.424889--1.560753))+0-0-0</f>
        <v>6216.8736079999999</v>
      </c>
      <c r="Z197" s="3">
        <f>6250.3+(1052.2-1295.4)+(-12.750612+(-2.146488--2.642616))+0-0-0</f>
        <v>5994.8455160000003</v>
      </c>
      <c r="AA197" s="3">
        <f>6212.3+(932.7-1437.9)+(-12.673092+(-1.902708--2.933316))+0-0-0</f>
        <v>5695.4575160000004</v>
      </c>
      <c r="AB197" s="3">
        <f>6007.8+(698.7-1386.7)+(-15.31989+(-1.781685--3.536085))+0-0-0</f>
        <v>5306.2345100000002</v>
      </c>
      <c r="AC197" s="3">
        <f>5892.8+(418.9-1424.3)+(-9.015984+(-0.640917--2.179179))+0-0-0</f>
        <v>4879.9222780000009</v>
      </c>
      <c r="AD197">
        <f t="shared" si="3"/>
        <v>124855.95151299998</v>
      </c>
      <c r="AE197" s="3">
        <f>6330+(839.4-803.5)+(0+(0-0))+0-0-0</f>
        <v>6365.9</v>
      </c>
    </row>
    <row r="198" spans="1:31" s="2" customFormat="1" x14ac:dyDescent="0.25">
      <c r="A198">
        <v>89</v>
      </c>
      <c r="B198">
        <v>7</v>
      </c>
      <c r="C198">
        <v>12</v>
      </c>
      <c r="D198">
        <v>3</v>
      </c>
      <c r="E198">
        <v>5</v>
      </c>
      <c r="F198" s="3">
        <f>5530.6+(471.3-1640.5)+(-5.641212+(-0.480726--1.67331))+0-0-0</f>
        <v>4356.9513720000004</v>
      </c>
      <c r="G198" s="3">
        <f>5035.8+(395.2-1407.1)+(-5.136516+(-0.403104--1.435242))+0-0-0</f>
        <v>4019.7956220000005</v>
      </c>
      <c r="H198" s="3">
        <f>4896.1+(335.2-1407.9)+(-12.485055+(-0.85476--3.590145))+0-0-0</f>
        <v>3813.6503300000004</v>
      </c>
      <c r="I198" s="3">
        <f>4761.8+(294.8-1337.9)+(4.857036+(0.300696-1.364658))+0-0-0</f>
        <v>3722.493074</v>
      </c>
      <c r="J198" s="3">
        <f>4670.4+(342.3-1342.8)+(-2.381904+(-0.174573--0.684828))+0-0-0</f>
        <v>3668.0283509999995</v>
      </c>
      <c r="K198" s="3">
        <f>4552.4+(397.7-1319.1)+(-4.643448+(-0.405654--1.345482))+0-0-0</f>
        <v>3627.2963800000002</v>
      </c>
      <c r="L198" s="3">
        <f>4211+(335.7-1084)+(-8.59044+(-0.684828--2.21136))+0-0-0</f>
        <v>3455.6360919999997</v>
      </c>
      <c r="M198" s="3">
        <f>4476.4+(197.9-1075.7)+(4.565928+(0.201858-1.097214))+0-0-0</f>
        <v>3602.2705719999994</v>
      </c>
      <c r="N198" s="3">
        <f>4750+(241.6-1008.5)+(0+(0-0))+0-0-0</f>
        <v>3983.1</v>
      </c>
      <c r="O198" s="3">
        <f>5019.1+(233.2-845.7)+(-7.679223+(-0.356796--1.293921))+0-0-0</f>
        <v>4399.8579020000006</v>
      </c>
      <c r="P198" s="3">
        <f>5134.2+(500.6-806.7)+(0+(0-0))+0-0-0</f>
        <v>4828.0999999999995</v>
      </c>
      <c r="Q198" s="3">
        <f>5370.9+(743.7-1027.1)+(0+(0-0))+0-0-0</f>
        <v>5087.5</v>
      </c>
      <c r="R198" s="3">
        <f>5551.4+(975.8-1403.8)+(-5.662428+(-0.995316--1.431876))+0-0-0</f>
        <v>5118.1741319999992</v>
      </c>
      <c r="S198" s="3">
        <f>5605+(1005.1-1557.8)+(5.7171+(1.025202-1.588956))+0-0-0</f>
        <v>5057.4533460000002</v>
      </c>
      <c r="T198" s="3">
        <f>5675.8+(1020-1679.7)+(-8.683974+(-1.5606--2.569941))+0-0-0</f>
        <v>5008.4253670000007</v>
      </c>
      <c r="U198" s="3">
        <f>5546.6+(977.3-1598.1)+(-16.972596+(-2.990538--4.890186))+0-0-0</f>
        <v>4910.7270520000002</v>
      </c>
      <c r="V198" s="3">
        <f>5239.1+(757.5-1083.7)+(-13.359705+(-1.931625--2.763435))+0-0-0</f>
        <v>4900.3721050000004</v>
      </c>
      <c r="W198" s="3">
        <f>5498.5+(613.2-871.7)+(0+(0-0))+0-0-0</f>
        <v>5240</v>
      </c>
      <c r="X198" s="3">
        <f>6216.6+(488.2-1087.2)+(-9.511398+(-0.746946--1.663416))+0-0-0</f>
        <v>5609.0050719999999</v>
      </c>
      <c r="Y198" s="3">
        <f>6338.7+(470.2-1137.9)+(-9.698211+(-0.719406--1.740987))+0-0-0</f>
        <v>5662.3233700000001</v>
      </c>
      <c r="Z198" s="3">
        <f>6209+(551.2-1204)+(-9.49977+(-0.843336--1.84212))+0-0-0</f>
        <v>5547.6990139999998</v>
      </c>
      <c r="AA198" s="3">
        <f>5955.7+(779-1398)+(-15.187035+(-1.98645--3.5649))+0-0-0</f>
        <v>5323.0914149999999</v>
      </c>
      <c r="AB198" s="3">
        <f>5618.2+(671.2-1206)+(-8.595846+(-1.026936--1.84518))+0-0-0</f>
        <v>5075.6223979999995</v>
      </c>
      <c r="AC198" s="3">
        <f>5367.3+(642.5-1075.5)+(-8.211969+(-0.983025--1.645515))+0-0-0</f>
        <v>4926.7505209999999</v>
      </c>
      <c r="AD198">
        <f t="shared" si="3"/>
        <v>110944.323487</v>
      </c>
      <c r="AE198" s="3">
        <f>6397+(481.4-1190.3)+(0+(0-0))+0-0-0</f>
        <v>5688.1</v>
      </c>
    </row>
    <row r="199" spans="1:31" s="2" customFormat="1" x14ac:dyDescent="0.25">
      <c r="A199">
        <v>89</v>
      </c>
      <c r="B199">
        <v>7</v>
      </c>
      <c r="C199">
        <v>13</v>
      </c>
      <c r="D199">
        <v>4</v>
      </c>
      <c r="E199">
        <v>1</v>
      </c>
      <c r="F199" s="3">
        <f>4963.5+(548.2-1353)+(0+(0-0))+0-0-0</f>
        <v>4158.7</v>
      </c>
      <c r="G199" s="3">
        <f>4709.3+(492.7-1377.3)+(-2.401743+(-0.251277--0.702423))+0-0-0</f>
        <v>3822.7494030000003</v>
      </c>
      <c r="H199" s="3">
        <f>4572.8+(429.8-1348.3)+(2.332128+(0.219198-0.687633))+0-0-0</f>
        <v>3656.163693</v>
      </c>
      <c r="I199" s="3">
        <f>4546.2+(436.4-1320.8)+(9.274248+(0.890256-2.694432))+0-0-0</f>
        <v>3669.2700719999998</v>
      </c>
      <c r="J199" s="3">
        <f>4354.7+(387.4-1184.8)+(-6.662691+(-0.592722--1.812744))+0-0-0</f>
        <v>3551.8573309999997</v>
      </c>
      <c r="K199" s="3">
        <f>4327.5+(352.8-1084.6)+(-6.621075+(-0.539784--1.659438))+0-0-0</f>
        <v>3590.1985789999999</v>
      </c>
      <c r="L199" s="3">
        <f>4248.5+(318.5-859.8)+(0+(0-0))+0-0-0</f>
        <v>3707.2</v>
      </c>
      <c r="M199" s="3">
        <f>4647+(467.3-854.6)+(2.36997+(0.238323-0.435846))+0-0-0</f>
        <v>4261.8724469999997</v>
      </c>
      <c r="N199" s="3">
        <f>5301.5+(634.6-861.1)+(0+(0-0))+0-0-0</f>
        <v>5075</v>
      </c>
      <c r="O199" s="3">
        <f>5740.4+(677-913.3)+(-8.782812+(-1.03581--1.397349))+0-0-0</f>
        <v>5495.6787269999995</v>
      </c>
      <c r="P199" s="3">
        <f>5978.7+(723.8-843.8)+(3.049137+(0.369138-0.430338))+0-0-0</f>
        <v>5861.6879369999997</v>
      </c>
      <c r="Q199" s="3">
        <f>6078.5+(939.5-934.4)+(0+(0-0))+0-0-0</f>
        <v>6083.6</v>
      </c>
      <c r="R199" s="3">
        <f>6210.1+(1122.3-1235.4)+(-3.167151+(-0.572373--0.630054))+0-0-0</f>
        <v>6093.8905299999997</v>
      </c>
      <c r="S199" s="3">
        <f>6217+(1341.9-1492.9)+(9.51201+(2.053107-2.284137))+0-0-0</f>
        <v>6075.2809799999995</v>
      </c>
      <c r="T199" s="3">
        <f>6175.3+(1427.4-1531.9)+(-3.149403+(-0.727974--0.781269))+0-0-0</f>
        <v>6067.7038920000005</v>
      </c>
      <c r="U199" s="3">
        <f>6154.7+(1511.6-1612.2)+(-12.555588+(-3.083664--3.288888))+0-0-0</f>
        <v>6041.7496359999996</v>
      </c>
      <c r="V199" s="3">
        <f>6164.8+(1170.3-1334.4)+(-9.432144+(-1.790559--2.041632))+0-0-0</f>
        <v>5991.5189289999998</v>
      </c>
      <c r="W199" s="3">
        <f>6079.9+(999.5-1030.4)+(-9.302247+(-1.529235--1.576512))+0-0-0</f>
        <v>6039.74503</v>
      </c>
      <c r="X199" s="3">
        <f>6669.7+(1169.4-1461.7)+(3.401547+(0.596394-0.745467))+0-0-0</f>
        <v>6380.6524739999995</v>
      </c>
      <c r="Y199" s="3">
        <f>6703.1+(1189.8-1632)+(-13.674324+(-2.427192--3.32928))+0-0-0</f>
        <v>6248.1277640000008</v>
      </c>
      <c r="Z199" s="3">
        <f>6675.7+(1075.5-1704.4)+(3.404607+(0.548505-0.869244))+0-0-0</f>
        <v>6049.883867999999</v>
      </c>
      <c r="AA199" s="3">
        <f>6477.5+(1056.7-1809.4)+(-9.910575+(-1.616751--2.768382))+0-0-0</f>
        <v>5716.041056</v>
      </c>
      <c r="AB199" s="3">
        <f>5956.2+(818.8-1481.2)+(-12.150648+(-1.670352--3.021648))+0-0-0</f>
        <v>5283.0006479999993</v>
      </c>
      <c r="AC199" s="3">
        <f>5707.9+(677.2-1567.8)+(-5.822058+(-0.690744--1.599156))+0-0-0</f>
        <v>4812.3863539999993</v>
      </c>
      <c r="AD199">
        <f t="shared" si="3"/>
        <v>123733.95935000002</v>
      </c>
      <c r="AE199" s="3">
        <f>6701+(1185.4-1538.3)+(0+(0-0))+0-0-0</f>
        <v>6348.1</v>
      </c>
    </row>
    <row r="200" spans="1:31" s="2" customFormat="1" x14ac:dyDescent="0.25">
      <c r="A200">
        <v>89</v>
      </c>
      <c r="B200">
        <v>7</v>
      </c>
      <c r="C200">
        <v>14</v>
      </c>
      <c r="D200">
        <v>5</v>
      </c>
      <c r="E200">
        <v>1</v>
      </c>
      <c r="F200" s="3">
        <f>5432.9+(514.9-1624.9)+(-5.541558+(-0.525198--1.657398))+0-0-0</f>
        <v>4318.4906419999998</v>
      </c>
      <c r="G200" s="3">
        <f>5023.8+(544.3-1610.2)+(-2.562138+(-0.277593--0.821202))+0-0-0</f>
        <v>3955.8814710000001</v>
      </c>
      <c r="H200" s="3">
        <f>5011.2+(563.9-1789.3)+(-7.667136+(-0.862767--2.737629))+0-0-0</f>
        <v>3780.0077259999998</v>
      </c>
      <c r="I200" s="3">
        <f>5016.7+(585.9-1898)+(-5.117034+(-0.597618--1.93596))+0-0-0</f>
        <v>3700.821308</v>
      </c>
      <c r="J200" s="3">
        <f>4907.7+(437.9-1640.9)+(-2.502927+(-0.223329--0.836859))+0-0-0</f>
        <v>3702.8106029999999</v>
      </c>
      <c r="K200" s="3">
        <f>4843.7+(406.2-1525.9)+(-9.881148+(-0.828648--3.112836))+0-0-0</f>
        <v>3716.4030400000001</v>
      </c>
      <c r="L200" s="3">
        <f>4782.6+(322.4-1312.5)+(-2.439126+(-0.164424--0.669375))+0-0-0</f>
        <v>3790.5658250000006</v>
      </c>
      <c r="M200" s="3">
        <f>4706.1+(497.9-913.3)+(2.400111+(0.253929-0.465783))+0-0-0</f>
        <v>4292.8882570000005</v>
      </c>
      <c r="N200" s="3">
        <f>5065.9+(733.5-805.6)+(5.167218+(0.74817-0.821712))+0-0-0</f>
        <v>4998.8936759999997</v>
      </c>
      <c r="O200" s="3">
        <f>5563.9+(862-940)+(-2.837589+(-0.43962--0.4794))+0-0-0</f>
        <v>5483.1021909999999</v>
      </c>
      <c r="P200" s="3">
        <f>6324.6+(887.9-1271)+(-9.676638+(-1.358487--1.94463))+0-0-0</f>
        <v>5932.4095049999996</v>
      </c>
      <c r="Q200" s="3">
        <f>6451.5+(959.7-1412.9)+(0+(0-0))+0-0-0</f>
        <v>5998.3</v>
      </c>
      <c r="R200" s="3">
        <f>6444.9+(1070.9-1588.7)+(3.286899+(0.546159-0.810237))+0-0-0</f>
        <v>5930.122820999999</v>
      </c>
      <c r="S200" s="3">
        <f>6408.6+(1185.6-1762.6)+(3.268386+(0.604656-0.898926))+0-0-0</f>
        <v>5834.5741160000007</v>
      </c>
      <c r="T200" s="3">
        <f>6303.2+(1190.1-1599.8)+(-16.07316+(-3.034755--4.07949))+0-0-0</f>
        <v>5878.4715749999996</v>
      </c>
      <c r="U200" s="3">
        <f>6298.8+(1177.5-1627.2)+(-6.424776+(-1.20105--1.659744))+0-0-0</f>
        <v>5843.1339180000004</v>
      </c>
      <c r="V200" s="3">
        <f>6265.4+(1023.3-1460.8)+(-12.781416+(-2.087532--2.980032))+0-0-0</f>
        <v>5816.0110839999998</v>
      </c>
      <c r="W200" s="3">
        <f>6294.4+(832.5-1194.5)+(-3.210144+(-0.424575--0.609195))+0-0-0</f>
        <v>5929.374476</v>
      </c>
      <c r="X200" s="3">
        <f>6802.8+(690.4-1245)+(-6.938856+(-0.704208--1.2699))+0-0-0</f>
        <v>6241.8268360000002</v>
      </c>
      <c r="Y200" s="3">
        <f>6833.5+(661-1396.2)+(-13.94034+(-1.34844--2.848248))+0-0-0</f>
        <v>6085.8594680000006</v>
      </c>
      <c r="Z200" s="3">
        <f>6547.2+(510.7-1163.4)+(-6.678144+(-0.520914--1.186668))+0-0-0</f>
        <v>5888.4876100000001</v>
      </c>
      <c r="AA200" s="3">
        <f>6415.4+(675.2-1521.5)+(-22.902978+(-2.410464--5.431755))+0-0-0</f>
        <v>5549.2183129999994</v>
      </c>
      <c r="AB200" s="3">
        <f>5929.4+(838.6-1576.4)+(-6.047988+(-0.855372--1.607928))+0-0-0</f>
        <v>5186.3045679999996</v>
      </c>
      <c r="AC200" s="3">
        <f>5537.2+(732.8-1518.1)+(-11.295888+(-1.494912--3.096924))+0-0-0</f>
        <v>4742.2061239999994</v>
      </c>
      <c r="AD200">
        <f t="shared" si="3"/>
        <v>122596.16515300002</v>
      </c>
      <c r="AE200" s="3">
        <f>6831+(658.9-1279)+(0+(0-0))+0-0-0</f>
        <v>6210.9</v>
      </c>
    </row>
    <row r="201" spans="1:31" s="2" customFormat="1" x14ac:dyDescent="0.25">
      <c r="A201">
        <v>89</v>
      </c>
      <c r="B201">
        <v>7</v>
      </c>
      <c r="C201">
        <v>15</v>
      </c>
      <c r="D201">
        <v>6</v>
      </c>
      <c r="E201">
        <v>1</v>
      </c>
      <c r="F201" s="3">
        <f>5458.2+(528.3-1747.5)+(-8.351046+(-0.808299--2.673675))+0-0-0</f>
        <v>4232.51433</v>
      </c>
      <c r="G201" s="3">
        <f>5185.7+(594.6-1862.6)+(-2.644707+(-0.303246--0.949926))+0-0-0</f>
        <v>3915.7019729999997</v>
      </c>
      <c r="H201" s="3">
        <f>5025.7+(476.4-1749.2)+(-7.689321+(-0.728892--2.676276))+0-0-0</f>
        <v>3747.1580629999999</v>
      </c>
      <c r="I201" s="3">
        <f>4893.5+(412.6-1633.3)+(-12.478425+(-1.05213--4.164915))+0-0-0</f>
        <v>3663.4343600000002</v>
      </c>
      <c r="J201" s="3">
        <f>4932.9+(435.7-1723.6)+(-2.515779+(-0.222207--0.879036))+0-0-0</f>
        <v>3643.1410500000002</v>
      </c>
      <c r="K201" s="3">
        <f>4820.4+(423.7-1578.1)+(-7.375212+(-0.648261--2.414493))+0-0-0</f>
        <v>3660.39102</v>
      </c>
      <c r="L201" s="3">
        <f>4689.7+(329.8-1305.4)+(4.783494+(0.336396-1.331508))+0-0-0</f>
        <v>3717.8883819999996</v>
      </c>
      <c r="M201" s="3">
        <f>5082.6+(361.2-1279.6)+(2.592126+(0.184212-0.652596))+0-0-0</f>
        <v>4166.3237420000005</v>
      </c>
      <c r="N201" s="3">
        <f>5439.8+(709.1-1448.8)+(-2.774298+(-0.361641--0.738888))+0-0-0</f>
        <v>4697.7029490000004</v>
      </c>
      <c r="O201" s="3">
        <f>5636.7+(880.3-1441.3)+(0+(0-0))+0-0-0</f>
        <v>5075.7</v>
      </c>
      <c r="P201" s="3">
        <f>5744.3+(869.8-1265.1)+(-2.929593+(-0.443598--0.645201))+0-0-0</f>
        <v>5346.2720099999997</v>
      </c>
      <c r="Q201" s="3">
        <f>5839.1+(1065.2-1439.8)+(-2.977941+(-0.543252--0.734298))+0-0-0</f>
        <v>5461.7131049999998</v>
      </c>
      <c r="R201" s="3">
        <f>6106+(1207.6-1710.8)+(-9.34218+(-1.847628--2.617524))+0-0-0</f>
        <v>5594.2277160000003</v>
      </c>
      <c r="S201" s="3">
        <f>6071.6+(1235-1853.4)+(-6.193032+(-1.2597--1.890468))+0-0-0</f>
        <v>5447.6377360000006</v>
      </c>
      <c r="T201" s="3">
        <f>6043.8+(1260.4-1934.8)+(-12.329352+(-2.571216--3.946992))+0-0-0</f>
        <v>5358.4464240000007</v>
      </c>
      <c r="U201" s="3">
        <f>5901+(1073.7-1720.6)+(-21.06657+(-3.833109--6.142542))+0-0-0</f>
        <v>5235.3428630000008</v>
      </c>
      <c r="V201" s="3">
        <f>5755.4+(937.7-1500.3)+(-5.870508+(-0.956454--1.530306))+0-0-0</f>
        <v>5187.5033439999988</v>
      </c>
      <c r="W201" s="3">
        <f>5843.9+(671.2-1165)+(-5.960778+(-0.684624--1.1883))+0-0-0</f>
        <v>5344.6428979999991</v>
      </c>
      <c r="X201" s="3">
        <f>6204.4+(806.3-1325.8)+(-9.492732+(-1.233639--2.028474))+0-0-0</f>
        <v>5676.2021029999996</v>
      </c>
      <c r="Y201" s="3">
        <f>6254.8+(841.3-1464.1)+(-9.569844+(-1.287189--2.240073))+0-0-0</f>
        <v>5623.3830399999997</v>
      </c>
      <c r="Z201" s="3">
        <f>6119.7+(711.7-1273.3)+(3.121047+(0.362967-0.649383))+0-0-0</f>
        <v>5560.9346310000001</v>
      </c>
      <c r="AA201" s="3">
        <f>5839.4+(723.1-1279.1)+(-11.912376+(-1.475124--2.609364))+0-0-0</f>
        <v>5272.6218639999997</v>
      </c>
      <c r="AB201" s="3">
        <f>5762.2+(692.1-1459.5)+(-5.877444+(-0.705942--1.48869))+0-0-0</f>
        <v>4989.7053040000001</v>
      </c>
      <c r="AC201" s="3">
        <f>5491.3+(568.3-1435.6)+(-11.202252+(-1.159332--2.928624))+0-0-0</f>
        <v>4614.5670399999999</v>
      </c>
      <c r="AD201">
        <f t="shared" si="3"/>
        <v>115233.15594699999</v>
      </c>
      <c r="AE201" s="3">
        <f>6352+(773.2-1368.3)+(0+(0-0))+0-0-0</f>
        <v>5756.9</v>
      </c>
    </row>
    <row r="202" spans="1:31" s="2" customFormat="1" x14ac:dyDescent="0.25">
      <c r="A202">
        <v>89</v>
      </c>
      <c r="B202">
        <v>7</v>
      </c>
      <c r="C202">
        <v>16</v>
      </c>
      <c r="D202">
        <v>7</v>
      </c>
      <c r="E202">
        <v>1</v>
      </c>
      <c r="F202" s="3">
        <f>5373+(466-1638.3)+(-8.22069+(-0.71298--2.506599))+0-0-0</f>
        <v>4194.2729289999997</v>
      </c>
      <c r="G202" s="3">
        <f>5245.6+(421.6-1819.2)+(-2.675256+(-0.215016--0.927792))+0-0-0</f>
        <v>3846.0375200000003</v>
      </c>
      <c r="H202" s="3">
        <f>5090.3+(359.4-1797.2)+(0+(0-0))+0-0-0</f>
        <v>3652.5</v>
      </c>
      <c r="I202" s="3">
        <f>4937+(365.6-1766)+(2.51787+(0.186456-0.90066))+0-0-0</f>
        <v>3538.4036659999997</v>
      </c>
      <c r="J202" s="3">
        <f>4667.4+(334.6-1505.2)+(0+(0-0))+0-0-0</f>
        <v>3496.7999999999997</v>
      </c>
      <c r="K202" s="3">
        <f>4624.4+(293.2-1447.4)+(-11.79222+(-0.74766--3.69087))+0-0-0</f>
        <v>3461.3509899999999</v>
      </c>
      <c r="L202" s="3">
        <f>4544+(292.7-1560.1)+(-11.5872+(-0.746385--3.978255))+0-0-0</f>
        <v>3268.2446700000005</v>
      </c>
      <c r="M202" s="3">
        <f>4299.3+(355.5-1359)+(6.577929+(0.543915-2.07927))+0-0-0</f>
        <v>3300.8425740000002</v>
      </c>
      <c r="N202" s="3">
        <f>5058.1+(344.1-1837.1)+(-5.159262+(-0.350982--1.873842))+0-0-0</f>
        <v>3561.4635980000003</v>
      </c>
      <c r="O202" s="3">
        <f>5318.8+(348-1738)+(-5.425176+(-0.35496--1.77276))+0-0-0</f>
        <v>3924.7926240000002</v>
      </c>
      <c r="P202" s="3">
        <f>5249.1+(493.5-1447.5)+(-8.031123+(-0.755055--2.214675))+0-0-0</f>
        <v>4288.5284970000002</v>
      </c>
      <c r="Q202" s="3">
        <f>5275.8+(803.7-1643.4)+(-2.690658+(-0.409887--0.838134))+0-0-0</f>
        <v>4433.8375890000007</v>
      </c>
      <c r="R202" s="3">
        <f>5284+(950.3-1755.9)+(-8.08452+(-1.453959--2.686527))+0-0-0</f>
        <v>4471.5480479999997</v>
      </c>
      <c r="S202" s="3">
        <f>5412.1+(1093.7-2055.5)+(0+(0-0))+0-0-0</f>
        <v>4450.3</v>
      </c>
      <c r="T202" s="3">
        <f>5355.9+(1077.9-2029)+(-8.194527+(-1.649187--3.10437))+0-0-0</f>
        <v>4398.0606559999997</v>
      </c>
      <c r="U202" s="3">
        <f>5165.1+(1002.9-1847.8)+(-10.536804+(-2.045916--3.769512))+0-0-0</f>
        <v>4311.3867920000012</v>
      </c>
      <c r="V202" s="3">
        <f>4960.6+(904.4-1607.9)+(-10.119624+(-1.844976--3.280116))+0-0-0</f>
        <v>4248.415516</v>
      </c>
      <c r="W202" s="3">
        <f>5083+(638.1-1120.2)+(-12.96165+(-1.627155--2.85651))+0-0-0</f>
        <v>4589.1677049999998</v>
      </c>
      <c r="X202" s="3">
        <f>5650.2+(647.6-1163.8)+(-11.526408+(-1.321104--2.374152))+0-0-0</f>
        <v>5123.52664</v>
      </c>
      <c r="Y202" s="3">
        <f>5720.7+(710.7-1273.5)+(-5.835114+(-0.724914--1.29897))+0-0-0</f>
        <v>5152.6389419999996</v>
      </c>
      <c r="Z202" s="3">
        <f>5658.7+(772.5-1373.7)+(-8.657811+(-1.181925--2.101761))+0-0-0</f>
        <v>5049.762025</v>
      </c>
      <c r="AA202" s="3">
        <f>5674.1+(797-1555.6)+(-8.681373+(-1.21941--2.380068))+0-0-0</f>
        <v>4907.9792850000003</v>
      </c>
      <c r="AB202" s="3">
        <f>5612.5+(704.1-1664.7)+(-14.311875+(-1.795455--4.244985))+0-0-0</f>
        <v>4640.0376550000001</v>
      </c>
      <c r="AC202" s="3">
        <f>5490.2+(679-1866.3)+(-5.600004+(-0.69258--1.903626))+0-0-0</f>
        <v>4298.5110420000001</v>
      </c>
      <c r="AD202">
        <f t="shared" si="3"/>
        <v>100608.40896299999</v>
      </c>
      <c r="AE202" s="3">
        <f>5711+(672.4-1221.3)+(0+(0-0))+0-0-0</f>
        <v>5162.1000000000004</v>
      </c>
    </row>
    <row r="203" spans="1:31" s="2" customFormat="1" x14ac:dyDescent="0.25">
      <c r="A203">
        <v>89</v>
      </c>
      <c r="B203">
        <v>7</v>
      </c>
      <c r="C203">
        <v>17</v>
      </c>
      <c r="D203">
        <v>1</v>
      </c>
      <c r="E203">
        <v>1</v>
      </c>
      <c r="F203" s="3">
        <f>5325.3+(638.7-2106)+(-13.579515+(-1.628685--5.3703))+0-0-0</f>
        <v>3848.1621</v>
      </c>
      <c r="G203" s="3">
        <f>5153.6+(609.3-2214.6)+(-13.14168+(-1.553715--5.64723))+0-0-0</f>
        <v>3539.251835</v>
      </c>
      <c r="H203" s="3">
        <f>4913.6+(589.6-2102.7)+(-2.505936+(-0.300696--1.072377))+0-0-0</f>
        <v>3398.7657450000006</v>
      </c>
      <c r="I203" s="3">
        <f>4831.1+(391.7-1869.3)+(-9.855444+(-0.799068--3.813372))+0-0-0</f>
        <v>3346.6588600000005</v>
      </c>
      <c r="J203" s="3">
        <f>4658.9+(285.5-1626.8)+(-2.376039+(-0.145605--0.829668))+0-0-0</f>
        <v>3315.9080239999994</v>
      </c>
      <c r="K203" s="3">
        <f>4618.3+(255.7-1471.9)+(0+(0-0))+0-0-0</f>
        <v>3402.1000000000004</v>
      </c>
      <c r="L203" s="3">
        <f>4529.3+(263.1-1288.9)+(2.309943+(0.134181-0.657339))+0-0-0</f>
        <v>3505.2867849999998</v>
      </c>
      <c r="M203" s="3">
        <f>4893.2+(508.9-1285)+(-2.495532+(-0.259539--0.65535))+0-0-0</f>
        <v>4115.0002789999999</v>
      </c>
      <c r="N203" s="3">
        <f>5402.6+(475.5-1119.2)+(-2.755326+(-0.242505--0.570792))+0-0-0</f>
        <v>4756.4729610000004</v>
      </c>
      <c r="O203" s="3">
        <f>5809.3+(820.4-1279.6)+(-5.925486+(-0.836808--1.305192))+0-0-0</f>
        <v>5344.6428980000001</v>
      </c>
      <c r="P203" s="3">
        <f>5842.1+(997.9-1187.6)+(-2.979471+(-0.508929--0.605676))+0-0-0</f>
        <v>5649.5172760000005</v>
      </c>
      <c r="Q203" s="3">
        <f>5907.7+(1095.1-1180.5)+(-6.025854+(-1.117002--1.20411))+0-0-0</f>
        <v>5816.3612539999995</v>
      </c>
      <c r="R203" s="3">
        <f>5995.4+(1182.6-1393.8)+(-3.057654+(-0.603126--0.710838))+0-0-0</f>
        <v>5781.2500579999996</v>
      </c>
      <c r="S203" s="3">
        <f>6037.9+(1254.8-1596.8)+(-6.158658+(-1.279896--1.628736))+0-0-0</f>
        <v>5690.0901819999999</v>
      </c>
      <c r="T203" s="3">
        <f>6249.3+(1316.9-1774.9)+(-6.374286+(-1.343238--1.810398))+0-0-0</f>
        <v>5785.3928740000001</v>
      </c>
      <c r="U203" s="3">
        <f>6271.8+(1310.2-1838.3)+(-12.794472+(-2.672808--3.750132))+0-0-0</f>
        <v>5731.982852000001</v>
      </c>
      <c r="V203" s="3">
        <f>6207.7+(1094.5-1568.1)+(-18.995562+(-3.34917--4.798386))+0-0-0</f>
        <v>5716.5536540000003</v>
      </c>
      <c r="W203" s="3">
        <f>6122.6+(811.8-1040.9)+(-6.245052+(-0.828036--1.061718))+0-0-0</f>
        <v>5887.4886299999998</v>
      </c>
      <c r="X203" s="3">
        <f>6498.9+(729.3-1077.1)+(-9.943317+(-1.115829--1.647963))+0-0-0</f>
        <v>6141.6888169999993</v>
      </c>
      <c r="Y203" s="3">
        <f>6514.1+(875.6-1386.7)+(-16.610955+(-2.23278--3.536085))+0-0-0</f>
        <v>5987.6923500000003</v>
      </c>
      <c r="Z203" s="3">
        <f>6369.2+(996.7-1654.3)+(-9.744876+(-1.524951--2.531079))+0-0-0</f>
        <v>5702.8612520000006</v>
      </c>
      <c r="AA203" s="3">
        <f>6263.1+(1031.9-1898.1)+(-15.970905+(-2.631345--4.840155))+0-0-0</f>
        <v>5383.1379050000005</v>
      </c>
      <c r="AB203" s="3">
        <f>5750.1+(1100.1-1767.7)+(-14.662755+(-2.805255--4.507635))+0-0-0</f>
        <v>5069.5396250000003</v>
      </c>
      <c r="AC203" s="3">
        <f>5341.4+(666-1409.8)+(0+(0-0))+0-0-0</f>
        <v>4597.5999999999995</v>
      </c>
      <c r="AD203">
        <f t="shared" si="3"/>
        <v>117513.406216</v>
      </c>
      <c r="AE203" s="3">
        <f>6541+(873-1276.8)+(0+(0-0))+0-0-0</f>
        <v>6137.2</v>
      </c>
    </row>
    <row r="204" spans="1:31" s="2" customFormat="1" x14ac:dyDescent="0.25">
      <c r="A204">
        <v>89</v>
      </c>
      <c r="B204">
        <v>7</v>
      </c>
      <c r="C204">
        <v>18</v>
      </c>
      <c r="D204">
        <v>2</v>
      </c>
      <c r="E204">
        <v>1</v>
      </c>
      <c r="F204" s="3">
        <f>5265.6+(592.2-1695.2)+(0+(0-0))+0-0-0</f>
        <v>4162.6000000000004</v>
      </c>
      <c r="G204" s="3">
        <f>5011.1+(502.8-1625.5)+(0+(0-0))+0-0-0</f>
        <v>3888.4000000000005</v>
      </c>
      <c r="H204" s="3">
        <f>4931.7+(455-1601.4)+(0+(0-0))+0-0-0</f>
        <v>3785.2999999999997</v>
      </c>
      <c r="I204" s="3">
        <f>4677.5+(402.2-1425)+(0+(0-0))+0-0-0</f>
        <v>3654.7</v>
      </c>
      <c r="J204" s="3">
        <f>4389.2+(488.7-1260.7)+(0+(0-0))+0-0-0</f>
        <v>3617.2</v>
      </c>
      <c r="K204" s="3">
        <f>4416.8+(526-1225.4)+(0+(0-0))+0-0-0</f>
        <v>3717.4</v>
      </c>
      <c r="L204" s="3">
        <f>4383.2+(393.4-963.2)+(0+(0-0))+0-0-0</f>
        <v>3813.3999999999996</v>
      </c>
      <c r="M204" s="3">
        <f>4718+(406.6-923)+(0+(0-0))+0-0-0</f>
        <v>4201.6000000000004</v>
      </c>
      <c r="N204" s="3">
        <f>5003.4+(778.2-835.8)+(0+(0-0))+0-0-0</f>
        <v>4945.7999999999993</v>
      </c>
      <c r="O204" s="3">
        <f>5215.1+(1198.6-1026.9)+(0+(0-0))+0-0-0</f>
        <v>5386.8</v>
      </c>
      <c r="P204" s="3">
        <f>5468.1+(1197.8-936.2)+(0+(0-0))+0-0-0</f>
        <v>5729.7000000000007</v>
      </c>
      <c r="Q204" s="3">
        <f>5575.8+(1336.6-1061.4)+(0+(0-0))+0-0-0</f>
        <v>5851</v>
      </c>
      <c r="R204" s="3">
        <f>5805.9+(1334.9-1412.1)+(-2.961009+(-0.680799--0.720171))+0-0-0</f>
        <v>5725.7783629999994</v>
      </c>
      <c r="S204" s="3">
        <f>5786.6+(1408.8-1527.3)+(-5.902332+(-1.436976--1.557846))+0-0-0</f>
        <v>5662.3185380000004</v>
      </c>
      <c r="T204" s="3">
        <f>5840.2+(1461.3-1604.8)+(-5.957004+(-1.490526--1.636896))+0-0-0</f>
        <v>5690.8893659999994</v>
      </c>
      <c r="U204" s="3">
        <f>5897.2+(1357.5-1565.3)+(-12.030288+(-2.7693--3.193212))+0-0-0</f>
        <v>5677.7936239999999</v>
      </c>
      <c r="V204" s="3">
        <f>5842.1+(1331.9-1423.1)+(-8.938413+(-2.037807--2.177343))+0-0-0</f>
        <v>5742.1011230000004</v>
      </c>
      <c r="W204" s="3">
        <f>5841.5+(1162.6-1098)+(0+(0-0))+0-0-0</f>
        <v>5906.1</v>
      </c>
      <c r="X204" s="3">
        <f>6197.3+(1154.5-1253.2)+(-3.160623+(-0.588795--0.639132))+0-0-0</f>
        <v>6095.4897140000003</v>
      </c>
      <c r="Y204" s="3">
        <f>6306.4+(1285.5-1602.2)+(-9.648792+(-1.966815--2.451366))+0-0-0</f>
        <v>5980.5357589999994</v>
      </c>
      <c r="Z204" s="3">
        <f>6134.9+(1390.2-1713.1)+(-18.772794+(-4.254012--5.242086))+0-0-0</f>
        <v>5794.2152800000003</v>
      </c>
      <c r="AA204" s="3">
        <f>5885.8+(1391.3-1800.6)+(-6.003516+(-1.419126--1.836612))+0-0-0</f>
        <v>5470.9139699999996</v>
      </c>
      <c r="AB204" s="3">
        <f>5770+(1108-1726.4)+(-17.6562+(-3.39048--5.282784))+0-0-0</f>
        <v>5135.836104</v>
      </c>
      <c r="AC204" s="3">
        <f>5390.7+(1094.7-1826)+(-13.746285+(-2.791485--4.6563))+0-0-0</f>
        <v>4647.5185299999994</v>
      </c>
      <c r="AD204">
        <f t="shared" si="3"/>
        <v>120283.390371</v>
      </c>
      <c r="AE204" s="3">
        <f>6258+(1242.8-1413.2)+(0+(0-0))+0-0-0</f>
        <v>6087.6</v>
      </c>
    </row>
    <row r="205" spans="1:31" s="2" customFormat="1" x14ac:dyDescent="0.25">
      <c r="A205">
        <v>89</v>
      </c>
      <c r="B205">
        <v>7</v>
      </c>
      <c r="C205">
        <v>19</v>
      </c>
      <c r="D205">
        <v>3</v>
      </c>
      <c r="E205">
        <v>1</v>
      </c>
      <c r="F205" s="3">
        <f>4762.1+(1087-1769.2)+(2.428671+(0.55437-0.902292))+0-0-0</f>
        <v>4081.9807490000007</v>
      </c>
      <c r="G205" s="3">
        <f>4739.1+(853-1833.5)+(-9.667764+(-1.74012--3.74034))+0-0-0</f>
        <v>3750.9324560000005</v>
      </c>
      <c r="H205" s="3">
        <f>4675.4+(653.4-1725.3)+(-9.537816+(-1.332936--3.519612))+0-0-0</f>
        <v>3596.1488599999993</v>
      </c>
      <c r="I205" s="3">
        <f>4504.3+(596.1-1583.3)+(-4.594386+(-0.608022--1.614966))+0-0-0</f>
        <v>3513.5125580000004</v>
      </c>
      <c r="J205" s="3">
        <f>4346.5+(591.6-1414.1)+(-4.43343+(-0.603432--1.442382))+0-0-0</f>
        <v>3520.4055199999998</v>
      </c>
      <c r="K205" s="3">
        <f>4317.7+(684.5-1442.8)+(2.202027+(0.349095-0.735828))+0-0-0</f>
        <v>3561.2152939999996</v>
      </c>
      <c r="L205" s="3">
        <f>4307.8+(622-1272.2)+(-4.393956+(-0.63444--1.297644))+0-0-0</f>
        <v>3653.8692480000004</v>
      </c>
      <c r="M205" s="3">
        <f>4521.3+(772.2-1133.4)+(2.305863+(0.393822-0.578034))+0-0-0</f>
        <v>4162.2216510000007</v>
      </c>
      <c r="N205" s="3">
        <f>4852.7+(1041.6-1042.7)+(-2.474877+(-0.531216--0.531777))+0-0-0</f>
        <v>4849.1256839999996</v>
      </c>
      <c r="O205" s="3">
        <f>5320.1+(1171.5-1216.6)+(0+(0-0))+0-0-0</f>
        <v>5275</v>
      </c>
      <c r="P205" s="3">
        <f>5475.9+(1247.2-1182)+(0+(0-0))+0-0-0</f>
        <v>5541.0999999999995</v>
      </c>
      <c r="Q205" s="3">
        <f>5500.6+(1433.7-1203.5)+(0+(0-0))+0-0-0</f>
        <v>5730.8</v>
      </c>
      <c r="R205" s="3">
        <f>5593+(1638.4-1613.5)+(-5.70486+(-1.671168--1.64577))+0-0-0</f>
        <v>5612.169742</v>
      </c>
      <c r="S205" s="3">
        <f>5650.5+(1804.3-1939.8)+(0+(0-0))+0-0-0</f>
        <v>5515</v>
      </c>
      <c r="T205" s="3">
        <f>5696.8+(1841.8-1935)+(-5.810736+(-1.878636--1.9737))+0-0-0</f>
        <v>5597.8843280000001</v>
      </c>
      <c r="U205" s="3">
        <f>5688.8+(1892.7-2050.2)+(-11.605152+(-3.861108--4.182408))+0-0-0</f>
        <v>5520.0161480000006</v>
      </c>
      <c r="V205" s="3">
        <f>5666.8+(1736.9-1878.1)+(-11.560272+(-3.543276--3.831324))+0-0-0</f>
        <v>5514.3277760000001</v>
      </c>
      <c r="W205" s="3">
        <f>5666.5+(1482.9-1456.4)+(5.77983+(1.512558-1.485528))+0-0-0</f>
        <v>5698.8068599999997</v>
      </c>
      <c r="X205" s="3">
        <f>5919.5+(1484.1-1418.7)+(-9.056835+(-2.270673--2.170611))+0-0-0</f>
        <v>5975.7431029999998</v>
      </c>
      <c r="Y205" s="3">
        <f>5890.2+(1518.8-1573.2)+(-12.016008+(-3.098352--3.209328))+0-0-0</f>
        <v>5823.8949679999996</v>
      </c>
      <c r="Z205" s="3">
        <f>5872.9+(1556-1820.4)+(-8.985537+(-2.38068--2.785212))+0-0-0</f>
        <v>5599.918995</v>
      </c>
      <c r="AA205" s="3">
        <f>5822.2+(1620.7-2142.3)+(-5.938644+(-1.653114--2.185146))+0-0-0</f>
        <v>5295.1933879999997</v>
      </c>
      <c r="AB205" s="3">
        <f>5647.3+(1549.6-2242.7)+(-5.760246+(-1.580592--2.287554))+0-0-0</f>
        <v>4949.1467160000011</v>
      </c>
      <c r="AC205" s="3">
        <f>5341.3+(1243.1-2089.4)+(-2.724063+(-0.633981--1.065594))+0-0-0</f>
        <v>4492.7075500000001</v>
      </c>
      <c r="AD205">
        <f t="shared" si="3"/>
        <v>116831.121594</v>
      </c>
      <c r="AE205" s="3">
        <f>5898+(1513.9-1425.7)+(0+(0-0))+0-0-0</f>
        <v>5986.2</v>
      </c>
    </row>
    <row r="206" spans="1:31" s="2" customFormat="1" x14ac:dyDescent="0.25">
      <c r="A206">
        <v>89</v>
      </c>
      <c r="B206">
        <v>7</v>
      </c>
      <c r="C206">
        <v>20</v>
      </c>
      <c r="D206">
        <v>4</v>
      </c>
      <c r="E206">
        <v>1</v>
      </c>
      <c r="F206" s="3">
        <f>4918.4+(1017.9-1838.6)+(-10.033536+(-2.076516--3.750744))+0-0-0</f>
        <v>4089.3406919999998</v>
      </c>
      <c r="G206" s="3">
        <f>4787.9+(777.9-1824.5)+(-2.441829+(-0.396729--0.930495))+0-0-0</f>
        <v>3739.3919369999999</v>
      </c>
      <c r="H206" s="3">
        <f>4533.6+(798.6-1733.1)+(-6.936408+(-1.221858--2.651643))+0-0-0</f>
        <v>3593.5933770000001</v>
      </c>
      <c r="I206" s="3">
        <f>4430.5+(744.2-1630.4)+(-6.778665+(-1.138626--2.494512))+0-0-0</f>
        <v>3538.8772210000002</v>
      </c>
      <c r="J206" s="3">
        <f>4502+(607.4-1588.1)+(-4.59204+(-0.619548--1.619862))+0-0-0</f>
        <v>3517.7082740000001</v>
      </c>
      <c r="K206" s="3">
        <f>4564.6+(645-1604.1)+(0+(0-0))+0-0-0</f>
        <v>3605.5000000000005</v>
      </c>
      <c r="L206" s="3">
        <f>4568.2+(558.4-1372.7)+(0+(0-0))+0-0-0</f>
        <v>3753.8999999999996</v>
      </c>
      <c r="M206" s="3">
        <f>4883.1+(703.5-1297.3)+(2.490381+(0.358785-0.661623))+0-0-0</f>
        <v>4291.4875430000002</v>
      </c>
      <c r="N206" s="3">
        <f>5022.9+(689-1040)+(0+(0-0))+0-0-0</f>
        <v>4671.8999999999996</v>
      </c>
      <c r="O206" s="3">
        <f>5121.9+(1131-1125)+(0+(0-0))+0-0-0</f>
        <v>5127.8999999999996</v>
      </c>
      <c r="P206" s="3">
        <f>5274.9+(1479-1349)+(-13.450995+(-3.77145--3.43995))+0-0-0</f>
        <v>5391.1175049999993</v>
      </c>
      <c r="Q206" s="3">
        <f>5363.9+(1518.3-1503.1)+(0+(0-0))+0-0-0</f>
        <v>5379.0999999999995</v>
      </c>
      <c r="R206" s="3">
        <f>5488.4+(1671.9-1848.9)+(0+(0-0))+0-0-0</f>
        <v>5311.4</v>
      </c>
      <c r="S206" s="3">
        <f>5540.1+(1860.2-2157.3)+(0+(0-0))+0-0-0</f>
        <v>5243</v>
      </c>
      <c r="T206" s="3">
        <f>5476.6+(1834.7-2030.5)+(-13.96533+(-4.678485--5.177775))+0-0-0</f>
        <v>5267.3339599999999</v>
      </c>
      <c r="U206" s="3">
        <f>5459.2+(1795-2007.4)+(-5.568384+(-1.8309--2.047548))+0-0-0</f>
        <v>5241.4482639999997</v>
      </c>
      <c r="V206" s="3">
        <f>5423.1+(1602.4-1784.9)+(-16.594686+(-4.903344--5.461794))+0-0-0</f>
        <v>5224.5637640000004</v>
      </c>
      <c r="W206" s="3">
        <f>5572.2+(1244.7-1343.2)+(-11.367288+(-2.539188--2.740128))+0-0-0</f>
        <v>5462.5336520000001</v>
      </c>
      <c r="X206" s="3">
        <f>6071.5+(1266.3-1552.4)+(-12.38586+(-2.583252--3.166896))+0-0-0</f>
        <v>5773.5977839999996</v>
      </c>
      <c r="Y206" s="3">
        <f>5950+(1371.4-1654.7)+(-9.1035+(-2.098242--2.531691))+0-0-0</f>
        <v>5658.0299489999998</v>
      </c>
      <c r="Z206" s="3">
        <f>5742.8+(1303.2-1568.2)+(-8.786484+(-1.993896--2.399346))+0-0-0</f>
        <v>5469.4189660000002</v>
      </c>
      <c r="AA206" s="3">
        <f>5614+(1188.1-1625.6)+(-17.17884+(-3.635586--4.974336))+0-0-0</f>
        <v>5160.6599100000003</v>
      </c>
      <c r="AB206" s="3">
        <f>5499.3+(791-1510.5)+(-11.218572+(-1.61364--3.08142))+0-0-0</f>
        <v>4770.0492080000004</v>
      </c>
      <c r="AC206" s="3">
        <f>5297.1+(654.6-1615.6)+(-13.507605+(-1.66923--4.11978))+0-0-0</f>
        <v>4325.0429450000001</v>
      </c>
      <c r="AD206">
        <f t="shared" si="3"/>
        <v>113606.89495099999</v>
      </c>
      <c r="AE206" s="3">
        <f>6113+(1329.6-1734.9)+(0+(0-0))+0-0-0</f>
        <v>5707.7</v>
      </c>
    </row>
    <row r="207" spans="1:31" s="2" customFormat="1" x14ac:dyDescent="0.25">
      <c r="A207">
        <v>89</v>
      </c>
      <c r="B207">
        <v>7</v>
      </c>
      <c r="C207">
        <v>21</v>
      </c>
      <c r="D207">
        <v>5</v>
      </c>
      <c r="E207">
        <v>1</v>
      </c>
      <c r="F207" s="3">
        <f>5033.3+(603.8-1713.1)+(-2.566983+(-0.307938--0.873681))+0-0-0</f>
        <v>3921.9987599999999</v>
      </c>
      <c r="G207" s="3">
        <f>4820.6+(579.2-1725.5)+(-7.375518+(-0.886176--2.640015))+0-0-0</f>
        <v>3668.6783210000003</v>
      </c>
      <c r="H207" s="3">
        <f>4665.5+(540.1-1702.2)+(-7.138215+(-0.826353--2.604366))+0-0-0</f>
        <v>3498.0397980000002</v>
      </c>
      <c r="I207" s="3">
        <f>4679.8+(504.3-1725.3)+(-7.160094+(-0.771579--2.639709))+0-0-0</f>
        <v>3453.5080360000002</v>
      </c>
      <c r="J207" s="3">
        <f>4644.9+(502.3-1633.9)+(0+(0-0))+0-0-0</f>
        <v>3513.2999999999993</v>
      </c>
      <c r="K207" s="3">
        <f>4424.9+(490.3-1362.2)+(-9.026796+(-1.000212--2.778888))+0-0-0</f>
        <v>3545.7518799999993</v>
      </c>
      <c r="L207" s="3">
        <f>4393.3+(562.1-1300.5)+(-6.721749+(-0.860013--1.989765))+0-0-0</f>
        <v>3649.3080030000001</v>
      </c>
      <c r="M207" s="3">
        <f>4725.4+(547.3-1253.6)+(4.819908+(0.558246-1.278672))+0-0-0</f>
        <v>4023.1994819999995</v>
      </c>
      <c r="N207" s="3">
        <f>5219.7+(587.6-1197.4)+(-5.324094+(-0.599352--1.221348))+0-0-0</f>
        <v>4605.1979019999999</v>
      </c>
      <c r="O207" s="3">
        <f>5325.6+(950-1264.2)+(-8.148168+(-1.4535--1.934226))+0-0-0</f>
        <v>5003.7325580000006</v>
      </c>
      <c r="P207" s="3">
        <f>5390.7+(1026.6-1182.4)+(-8.247771+(-1.570698--1.809072))+0-0-0</f>
        <v>5226.8906029999998</v>
      </c>
      <c r="Q207" s="3">
        <f>5303.4+(1326.1-1257)+(2.704734+(0.676311-0.64107))+0-0-0</f>
        <v>5375.2399750000004</v>
      </c>
      <c r="R207" s="3">
        <f>5299.2+(1365.2-1399.7)+(-16.215552+(-4.177512--4.283082))+0-0-0</f>
        <v>5248.5900179999999</v>
      </c>
      <c r="S207" s="3">
        <f>5278.5+(1403.5-1534.1)+(-2.692035+(-0.715785--0.782391))+0-0-0</f>
        <v>5145.2745709999999</v>
      </c>
      <c r="T207" s="3">
        <f>5368.3+(1457.4-1604)+(-5.475666+(-1.486548--1.63608))+0-0-0</f>
        <v>5216.3738660000008</v>
      </c>
      <c r="U207" s="3">
        <f>5222.3+(1420-1422.5)+(-5.326746+(-1.4484--1.45095))+0-0-0</f>
        <v>5214.4758040000006</v>
      </c>
      <c r="V207" s="3">
        <f>5015.5+(1217.3-976.2)+(-10.23162+(-2.483292--1.991448))+0-0-0</f>
        <v>5245.8765360000007</v>
      </c>
      <c r="W207" s="3">
        <f>5139+(972.6-635)+(-2.62089+(-0.496026--0.32385))+0-0-0</f>
        <v>5473.8069340000002</v>
      </c>
      <c r="X207" s="3">
        <f>5696.8+(879.4-743.7)+(-11.621472+(-1.793976--1.517148))+0-0-0</f>
        <v>5820.6017000000002</v>
      </c>
      <c r="Y207" s="3">
        <f>5551.3+(902.3-767)+(-11.324652+(-1.840692--1.56468))+0-0-0</f>
        <v>5674.9993360000008</v>
      </c>
      <c r="Z207" s="3">
        <f>5467.3+(973.5-965.7)+(-13.941615+(-2.482425--2.462535))+0-0-0</f>
        <v>5461.1384950000001</v>
      </c>
      <c r="AA207" s="3">
        <f>5183+(855.1-844)+(-7.92999+(-1.308303--1.29132))+0-0-0</f>
        <v>5186.1530270000003</v>
      </c>
      <c r="AB207" s="3">
        <f>4996.5+(828.9-967.8)+(-7.644645+(-1.268217--1.480734))+0-0-0</f>
        <v>4850.167872</v>
      </c>
      <c r="AC207" s="3">
        <f>4718.4+(741.2-1104.7)+(-12.03192+(-1.89006--2.816985))+0-0-0</f>
        <v>4343.7950049999999</v>
      </c>
      <c r="AD207">
        <f t="shared" si="3"/>
        <v>112366.09848200003</v>
      </c>
      <c r="AE207" s="3">
        <f>5729+(754.1-737.6)+(0+(0-0))+0-0-0</f>
        <v>5745.5</v>
      </c>
    </row>
    <row r="208" spans="1:31" s="2" customFormat="1" x14ac:dyDescent="0.25">
      <c r="A208">
        <v>89</v>
      </c>
      <c r="B208">
        <v>7</v>
      </c>
      <c r="C208">
        <v>22</v>
      </c>
      <c r="D208">
        <v>6</v>
      </c>
      <c r="E208">
        <v>1</v>
      </c>
      <c r="F208" s="3">
        <f>4532.9+(620.1-1337.4)+(-16.182453+(-2.213757--4.774518))+0-0-0</f>
        <v>3801.9783079999993</v>
      </c>
      <c r="G208" s="3">
        <f>4448.3+(579.5-1508.5)+(-4.537266+(-0.59109--1.53867))+0-0-0</f>
        <v>3515.7103140000004</v>
      </c>
      <c r="H208" s="3">
        <f>4403.4+(473.4-1503.6)+(-6.737202+(-0.724302--2.300508))+0-0-0</f>
        <v>3368.0390039999997</v>
      </c>
      <c r="I208" s="3">
        <f>4204.5+(394.7-1306)+(-4.28859+(-0.402594--1.33212))+0-0-0</f>
        <v>3289.8409359999996</v>
      </c>
      <c r="J208" s="3">
        <f>4061.8+(347-1302.4)+(2.071518+(0.17697-0.664224))+0-0-0</f>
        <v>3107.9842640000002</v>
      </c>
      <c r="K208" s="3">
        <f>4359.8+(311.2-1315.8)+(-6.670494+(-0.476136--2.013174))+0-0-0</f>
        <v>3350.0665440000002</v>
      </c>
      <c r="L208" s="3">
        <f>4245.6+(359-1190.5)+(-4.330512+(-0.36618--1.21431))+0-0-0</f>
        <v>3410.6176180000002</v>
      </c>
      <c r="M208" s="3">
        <f>4317.5+(473.4-1000.9)+(4.40385+(0.482868-1.020918))+0-0-0</f>
        <v>3793.8658</v>
      </c>
      <c r="N208" s="3">
        <f>5070.3+(570.2-1333)+(-2.585853+(-0.290802--0.67983))+0-0-0</f>
        <v>4305.303175</v>
      </c>
      <c r="O208" s="3">
        <f>5088.6+(870.9-1192.6)+(2.595186+(0.444159-0.608226))+0-0-0</f>
        <v>4769.3311190000004</v>
      </c>
      <c r="P208" s="3">
        <f>5064.9+(830.1-866.4)+(-5.166198+(-0.846702--0.883728))+0-0-0</f>
        <v>5023.4708279999995</v>
      </c>
      <c r="Q208" s="3">
        <f>5097.4+(1032.5-975.8)+(5.199348+(1.05315-0.995316))+0-0-0</f>
        <v>5159.3571819999997</v>
      </c>
      <c r="R208" s="3">
        <f>5073.6+(1086.3-1008.8)+(-18.112752+(-3.878091--3.601416))+0-0-0</f>
        <v>5132.7105730000003</v>
      </c>
      <c r="S208" s="3">
        <f>5078.5+(1092.7-1222.7)+(-15.54021+(-3.343662--3.741462))+0-0-0</f>
        <v>4933.3575899999996</v>
      </c>
      <c r="T208" s="3">
        <f>5095+(1168.2-1375.8)+(-5.1969+(-1.191564--1.403316))+0-0-0</f>
        <v>4882.4148519999999</v>
      </c>
      <c r="U208" s="3">
        <f>5080.2+(1062.8-1288.5)+(-12.95451+(-2.71014--3.285675))+0-0-0</f>
        <v>4842.1210250000004</v>
      </c>
      <c r="V208" s="3">
        <f>5132.8+(919.2-1216.1)+(2.617728+(0.468792-0.620211))+0-0-0</f>
        <v>4838.3663090000009</v>
      </c>
      <c r="W208" s="3">
        <f>5171+(716.1-790.2)+(-5.27442+(-0.730422--0.806004))+0-0-0</f>
        <v>5091.7011619999994</v>
      </c>
      <c r="X208" s="3">
        <f>5306.7+(683.1-528.2)+(-5.412834+(-0.696762--0.538764))+0-0-0</f>
        <v>5456.0291679999991</v>
      </c>
      <c r="Y208" s="3">
        <f>5278.7+(741-653.4)+(-10.768548+(-1.51164--1.332936))+0-0-0</f>
        <v>5355.3527480000002</v>
      </c>
      <c r="Z208" s="3">
        <f>5104.1+(727.3-643.4)+(-5.206182+(-0.741846--0.656268))+0-0-0</f>
        <v>5182.7082399999999</v>
      </c>
      <c r="AA208" s="3">
        <f>5075+(770.3-882.7)+(-12.94125+(-1.964265--2.250885))+0-0-0</f>
        <v>4949.9453700000004</v>
      </c>
      <c r="AB208" s="3">
        <f>5042.6+(708.7-1088.9)+(-2.571726+(-0.361437--0.555339))+0-0-0</f>
        <v>4660.0221760000004</v>
      </c>
      <c r="AC208" s="3">
        <f>4780+(835.5-1326.7)+(-14.6268+(-2.55663--4.059702))+0-0-0</f>
        <v>4275.6762720000006</v>
      </c>
      <c r="AD208">
        <f t="shared" si="3"/>
        <v>106495.97057699999</v>
      </c>
      <c r="AE208" s="3">
        <f>5314+(699.3-572)+(0+(0-0))+0-0-0</f>
        <v>5441.3</v>
      </c>
    </row>
    <row r="209" spans="1:31" s="2" customFormat="1" x14ac:dyDescent="0.25">
      <c r="A209">
        <v>89</v>
      </c>
      <c r="B209">
        <v>7</v>
      </c>
      <c r="C209">
        <v>23</v>
      </c>
      <c r="D209">
        <v>7</v>
      </c>
      <c r="E209">
        <v>1</v>
      </c>
      <c r="F209" s="3">
        <f>4717.2+(744.7-1553.9)+(-4.811544+(-0.759594--1.584978))+0-0-0</f>
        <v>3904.0138400000001</v>
      </c>
      <c r="G209" s="3">
        <f>4633.2+(511-1574.4)+(-7.088796+(-0.78183--2.408832))+0-0-0</f>
        <v>3564.3382059999999</v>
      </c>
      <c r="H209" s="3">
        <f>4390+(463.7-1463.5)+(0+(0-0))+0-0-0</f>
        <v>3390.2</v>
      </c>
      <c r="I209" s="3">
        <f>4135.5+(433.5-1285.1)+(-2.109105+(-0.221085--0.655401))+0-0-0</f>
        <v>3282.2252109999999</v>
      </c>
      <c r="J209" s="3">
        <f>4053.6+(404.1-1189.5)+(2.067336+(0.206091-0.606645))+0-0-0</f>
        <v>3269.8667819999996</v>
      </c>
      <c r="K209" s="3">
        <f>4046.9+(335.8-1131.6)+(-6.191757+(-0.513774--1.731348))+0-0-0</f>
        <v>3246.1258170000006</v>
      </c>
      <c r="L209" s="3">
        <f>3888.1+(299.7-1070.3)+(-5.948793+(-0.458541--1.637559))+0-0-0</f>
        <v>3112.7302249999998</v>
      </c>
      <c r="M209" s="3">
        <f>3841.5+(445.5-1153.4)+(0+(0-0))+0-0-0</f>
        <v>3133.6</v>
      </c>
      <c r="N209" s="3">
        <f>4082.3+(601.8-1381.4)+(0+(0-0))+0-0-0</f>
        <v>3302.7</v>
      </c>
      <c r="O209" s="3">
        <f>4588.5+(794.8-1638.6)+(-11.700675+(-2.02674--4.17843))+0-0-0</f>
        <v>3735.1510149999999</v>
      </c>
      <c r="P209" s="3">
        <f>4635.1+(968.6-1561.3)+(-9.455604+(-1.975944--3.185052))+0-0-0</f>
        <v>4034.1535040000003</v>
      </c>
      <c r="Q209" s="3">
        <f>4701.4+(1087.9-1613.6)+(-4.795428+(-1.109658--1.645872))+0-0-0</f>
        <v>4171.4407860000001</v>
      </c>
      <c r="R209" s="3">
        <f>4661.1+(1243.8-1717.9)+(-4.754322+(-1.268676--1.752258))+0-0-0</f>
        <v>4182.7292600000001</v>
      </c>
      <c r="S209" s="3">
        <f>4630.2+(1339.4-1832.4)+(0+(0-0))+0-0-0</f>
        <v>4137.2</v>
      </c>
      <c r="T209" s="3">
        <f>4643.7+(1357.1-1954.7)+(-2.368287+(-0.692121--0.996897))+0-0-0</f>
        <v>4044.0364889999996</v>
      </c>
      <c r="U209" s="3">
        <f>4580.8+(1245.5-1799.6)+(-9.344832+(-2.54082--3.671184))+0-0-0</f>
        <v>4018.4855320000001</v>
      </c>
      <c r="V209" s="3">
        <f>4566.8+(1135.8-1653)+(-4.658136+(-1.158516--1.68606))+0-0-0</f>
        <v>4045.4694080000004</v>
      </c>
      <c r="W209" s="3">
        <f>4856.9+(771.9-1149.9)+(-9.908076+(-1.574676--2.345796))+0-0-0</f>
        <v>4469.7630439999994</v>
      </c>
      <c r="X209" s="3">
        <f>5369.1+(627.5-1032.7)+(-5.476482+(-0.64005--1.053354))+0-0-0</f>
        <v>4958.8368220000002</v>
      </c>
      <c r="Y209" s="3">
        <f>5278.5+(607.2-972)+(-10.76814+(-1.238688--1.98288))+0-0-0</f>
        <v>4903.6760519999998</v>
      </c>
      <c r="Z209" s="3">
        <f>5151.9+(559.8-841.4)+(0+(0-0))+0-0-0</f>
        <v>4870.2999999999993</v>
      </c>
      <c r="AA209" s="3">
        <f>5178.9+(715.7-1190.4)+(-7.923717+(-1.095021--1.821312))+0-0-0</f>
        <v>4697.0025740000001</v>
      </c>
      <c r="AB209" s="3">
        <f>5084.8+(690-1303.2)+(0+(0-0))+0-0-0</f>
        <v>4471.6000000000004</v>
      </c>
      <c r="AC209" s="3">
        <f>5012.9+(618.4-1480.2)+(-15.339474+(-1.892304--4.529412))+0-0-0</f>
        <v>4138.397633999999</v>
      </c>
      <c r="AD209">
        <f t="shared" si="3"/>
        <v>95084.042200999989</v>
      </c>
      <c r="AE209" s="3">
        <f>5386+(595.7-1014.9)+(0+(0-0))+0-0-0</f>
        <v>4966.8</v>
      </c>
    </row>
    <row r="210" spans="1:31" s="2" customFormat="1" x14ac:dyDescent="0.25">
      <c r="A210">
        <v>89</v>
      </c>
      <c r="B210">
        <v>7</v>
      </c>
      <c r="C210">
        <v>24</v>
      </c>
      <c r="D210">
        <v>1</v>
      </c>
      <c r="E210">
        <v>1</v>
      </c>
      <c r="F210" s="3">
        <f>4883.6+(579.3-1881.9)+(-12.45318+(-1.477215--4.798845))+0-0-0</f>
        <v>3571.8684499999999</v>
      </c>
      <c r="G210" s="3">
        <f>4589+(457.3-1774.9)+(-11.70195+(-1.166115--4.525995))+0-0-0</f>
        <v>3263.0579299999995</v>
      </c>
      <c r="H210" s="3">
        <f>4536.4+(450.7-1842.9)+(-2.313564+(-0.229857--0.939879))+0-0-0</f>
        <v>3142.596458</v>
      </c>
      <c r="I210" s="3">
        <f>4323.4+(576.9-1898.9)+(2.204934+(0.294219-0.968439))+0-0-0</f>
        <v>3002.9307139999996</v>
      </c>
      <c r="J210" s="3">
        <f>4474.3+(623.5-1913.1)+(-4.563786+(-0.63597--1.951362))+0-0-0</f>
        <v>3181.4516060000001</v>
      </c>
      <c r="K210" s="3">
        <f>4346.3+(525.5-1566.4)+(-2.216613+(-0.268005--0.798864))+0-0-0</f>
        <v>3303.714246</v>
      </c>
      <c r="L210" s="3">
        <f>4121.7+(647.6-1432.1)+(2.102067+(0.330276-0.730371))+0-0-0</f>
        <v>3338.9019719999997</v>
      </c>
      <c r="M210" s="3">
        <f>4224.5+(919.3-1322.6)+(4.30899+(0.937686-1.349052))+0-0-0</f>
        <v>3825.097624</v>
      </c>
      <c r="N210" s="3">
        <f>4710.8+(1148.7-1357.7)+(-2.402508+(-0.585837--0.692427))+0-0-0</f>
        <v>4499.5040820000004</v>
      </c>
      <c r="O210" s="3">
        <f>5154.9+(1294.4-1483.1)+(0+(0-0))+0-0-0</f>
        <v>4966.2</v>
      </c>
      <c r="P210" s="3">
        <f>5186.7+(1456.8-1328.7)+(0+(0-0))+0-0-0</f>
        <v>5314.7999999999993</v>
      </c>
      <c r="Q210" s="3">
        <f>5367.2+(1612.3-1474)+(-5.474544+(-1.644546--1.50348))+0-0-0</f>
        <v>5499.8843900000002</v>
      </c>
      <c r="R210" s="3">
        <f>5330.3+(1666.9-1571.8)+(-2.718453+(-0.850119--0.801618))+0-0-0</f>
        <v>5422.6330460000008</v>
      </c>
      <c r="S210" s="3">
        <f>5331.9+(1677-1689)+(2.719269+(0.85527-0.86139))+0-0-0</f>
        <v>5322.6131489999998</v>
      </c>
      <c r="T210" s="3">
        <f>5385.6+(1755.4-1728.1)+(0+(0-0))+0-0-0</f>
        <v>5412.9000000000005</v>
      </c>
      <c r="U210" s="3">
        <f>5336.2+(1697.5-1676.9)+(-5.442924+(-1.73145--1.710438))+0-0-0</f>
        <v>5351.3360639999992</v>
      </c>
      <c r="V210" s="3">
        <f>5316.8+(1502.9-1475)+(2.711568+(0.766479-0.75225))+0-0-0</f>
        <v>5347.4257970000008</v>
      </c>
      <c r="W210" s="3">
        <f>5421.9+(1346.3-1149.8)+(-2.765169+(-0.686613--0.586398))+0-0-0</f>
        <v>5615.5346159999999</v>
      </c>
      <c r="X210" s="3">
        <f>5715.8+(1263.2-1066)+(-14.57529+(-3.22116--2.7183))+0-0-0</f>
        <v>5897.9218499999997</v>
      </c>
      <c r="Y210" s="3">
        <f>5721.5+(1261.9-1234.5)+(2.917965+(0.643569-0.629595))+0-0-0</f>
        <v>5751.8319389999997</v>
      </c>
      <c r="Z210" s="3">
        <f>5605.8+(1344-1406)+(0+(0-0))+0-0-0</f>
        <v>5543.8</v>
      </c>
      <c r="AA210" s="3">
        <f>5623.8+(1390.3-1787.9)+(0+(0-0))+0-0-0</f>
        <v>5226.2</v>
      </c>
      <c r="AB210" s="3">
        <f>5457.9+(1263.2-1843.1)+(-11.134116+(-2.576928--3.759924))+0-0-0</f>
        <v>4868.0488800000003</v>
      </c>
      <c r="AC210" s="3">
        <f>5077.5+(1040-1686.7)+(-12.947625+(-2.652--4.301085))+0-0-0</f>
        <v>4419.5014600000004</v>
      </c>
      <c r="AD210">
        <f t="shared" si="3"/>
        <v>111089.754273</v>
      </c>
      <c r="AE210" s="3">
        <f>5751+(1280.1-1084.8)+(0+(0-0))+0-0-0</f>
        <v>5946.3</v>
      </c>
    </row>
    <row r="211" spans="1:31" s="2" customFormat="1" x14ac:dyDescent="0.25">
      <c r="A211">
        <v>89</v>
      </c>
      <c r="B211">
        <v>7</v>
      </c>
      <c r="C211">
        <v>25</v>
      </c>
      <c r="D211">
        <v>2</v>
      </c>
      <c r="E211">
        <v>1</v>
      </c>
      <c r="F211" s="3">
        <f>4719.7+(729.3-1536.1)+(-7.221141+(-1.115829--2.350233))+0-0-0</f>
        <v>3906.9132629999995</v>
      </c>
      <c r="G211" s="3">
        <f>4616.5+(680.8-1700.8)+(-7.063245+(-1.041624--2.602224))+0-0-0</f>
        <v>3590.997355</v>
      </c>
      <c r="H211" s="3">
        <f>4553.3+(675.1-1790.1)+(-6.966549+(-1.032903--2.738853))+0-0-0</f>
        <v>3433.039401</v>
      </c>
      <c r="I211" s="3">
        <f>4540.1+(509.4-1674.1)+(-2.315451+(-0.259794--0.853791))+0-0-0</f>
        <v>3373.6785460000006</v>
      </c>
      <c r="J211" s="3">
        <f>4521.7+(475.1-1618.1)+(2.306067+(0.242301-0.825231))+0-0-0</f>
        <v>3380.4231369999998</v>
      </c>
      <c r="K211" s="3">
        <f>4512.1+(397.5-1465.6)+(-2.301171+(-0.202725--0.747456))+0-0-0</f>
        <v>3442.2435600000003</v>
      </c>
      <c r="L211" s="3">
        <f>4496.8+(434.4-1355.1)+(-2.293368+(-0.221544--0.691101))+0-0-0</f>
        <v>3574.2761890000002</v>
      </c>
      <c r="M211" s="3">
        <f>4838.5+(675-1461.9)+(2.467635+(0.34425-0.745569))+0-0-0</f>
        <v>4053.6663159999998</v>
      </c>
      <c r="N211" s="3">
        <f>5316.1+(948.5-1582)+(8.133633+(1.451205-2.42046))+0-0-0</f>
        <v>4689.7643780000008</v>
      </c>
      <c r="O211" s="3">
        <f>5452.1+(1313.2-1601.7)+(0+(0-0))+0-0-0</f>
        <v>5163.6000000000004</v>
      </c>
      <c r="P211" s="3">
        <f>5619.3+(1447.9-1587)+(-2.865843+(-0.738429--0.80937))+0-0-0</f>
        <v>5477.4050980000011</v>
      </c>
      <c r="Q211" s="3">
        <f>5642.6+(1561.2-1611.1)+(-2.877726+(-0.796212--0.821661))+0-0-0</f>
        <v>5589.8477230000008</v>
      </c>
      <c r="R211" s="3">
        <f>5671.3+(1679.9-1794.5)+(0+(0-0))+0-0-0</f>
        <v>5556.7000000000007</v>
      </c>
      <c r="S211" s="3">
        <f>5656.9+(1731.6-1853)+(-2.885019+(-0.883116--0.94503))+0-0-0</f>
        <v>5532.6768949999996</v>
      </c>
      <c r="T211" s="3">
        <f>5640.1+(1782.6-1840.4)+(0+(0-0))+0-0-0</f>
        <v>5582.3</v>
      </c>
      <c r="U211" s="3">
        <f>5631.7+(1742.9-1756.6)+(-8.616501+(-2.666637--2.687598))+0-0-0</f>
        <v>5609.4044599999997</v>
      </c>
      <c r="V211" s="3">
        <f>5666.6+(1334.3-1409.5)+(-5.779932+(-1.360986--1.43769))+0-0-0</f>
        <v>5585.6967720000002</v>
      </c>
      <c r="W211" s="3">
        <f>5745.3+(1258.4-1157.3)+(-2.930103+(-0.641784--0.590223))+0-0-0</f>
        <v>5843.4183360000006</v>
      </c>
      <c r="X211" s="3">
        <f>5885.7+(1326.1-1273.8)+(-9.005121+(-2.028933--1.948914))+0-0-0</f>
        <v>5928.9148599999999</v>
      </c>
      <c r="Y211" s="3">
        <f>5894+(1362.1-1386.1)+(-12.02376+(-2.778684--2.827644))+0-0-0</f>
        <v>5858.0252</v>
      </c>
      <c r="Z211" s="3">
        <f>5676.6+(1248.8-1353.1)+(-8.685198+(-1.910664--2.070243))+0-0-0</f>
        <v>5563.7743810000002</v>
      </c>
      <c r="AA211" s="3">
        <f>5651.2+(1345-1754.8)+(-2.882112+(-0.68595--0.894948))+0-0-0</f>
        <v>5238.7268859999995</v>
      </c>
      <c r="AB211" s="3">
        <f>5486.7+(1169.1-1744.6)+(-8.394651+(-1.788723--2.669238))+0-0-0</f>
        <v>4903.685864</v>
      </c>
      <c r="AC211" s="3">
        <f>5204.3+(1020.2-1524.7)+(-2.654193+(-0.520302--0.777597))+0-0-0</f>
        <v>4697.4031020000002</v>
      </c>
      <c r="AD211">
        <f t="shared" si="3"/>
        <v>115576.581722</v>
      </c>
      <c r="AE211" s="3">
        <f>5928+(1395.1-1326.5)+(0+(0-0))+0-0-0</f>
        <v>5996.6</v>
      </c>
    </row>
    <row r="212" spans="1:31" s="2" customFormat="1" x14ac:dyDescent="0.25">
      <c r="A212">
        <v>89</v>
      </c>
      <c r="B212">
        <v>7</v>
      </c>
      <c r="C212">
        <v>26</v>
      </c>
      <c r="D212">
        <v>3</v>
      </c>
      <c r="E212">
        <v>1</v>
      </c>
      <c r="F212" s="3">
        <f>4716.9+(760-1442.8)+(-9.622476+(-1.5504--2.943312))+0-0-0</f>
        <v>4025.8704359999992</v>
      </c>
      <c r="G212" s="3">
        <f>4543.7+(500.7-1340.4)+(2.317287+(0.255357-0.683604))+0-0-0</f>
        <v>3705.88904</v>
      </c>
      <c r="H212" s="3">
        <f>4516.5+(476.6-1442.7)+(-4.60683+(-0.486132--1.471554))+0-0-0</f>
        <v>3546.7785920000001</v>
      </c>
      <c r="I212" s="3">
        <f>4438.9+(416.4-1371)+(-9.055356+(-0.849456--2.79684))+0-0-0</f>
        <v>3477.1920279999999</v>
      </c>
      <c r="J212" s="3">
        <f>4397.7+(410.3-1330)+(6.728481+(0.627759-2.0349))+0-0-0</f>
        <v>3483.32134</v>
      </c>
      <c r="K212" s="3">
        <f>4397.6+(334.5-1223.3)+(-6.728328+(-0.511785--1.871649))+0-0-0</f>
        <v>3503.4315360000001</v>
      </c>
      <c r="L212" s="3">
        <f>4403.5+(308.2-1067.1)+(4.49157+(0.314364-1.088442))+0-0-0</f>
        <v>3648.3174920000006</v>
      </c>
      <c r="M212" s="3">
        <f>4672.2+(638.3-1218.4)+(2.382822+(0.325533-0.621384))+0-0-0</f>
        <v>4094.1869709999996</v>
      </c>
      <c r="N212" s="3">
        <f>5025.2+(774-1240)+(5.125704+(0.78948-1.2648))+0-0-0</f>
        <v>4563.8503839999994</v>
      </c>
      <c r="O212" s="3">
        <f>5340.4+(980.2-1064.7)+(0+(0-0))+0-0-0</f>
        <v>5255.9</v>
      </c>
      <c r="P212" s="3">
        <f>5550.9+(1050.8-1039)+(0+(0-0))+0-0-0</f>
        <v>5562.7</v>
      </c>
      <c r="Q212" s="3">
        <f>5640.7+(1260.1-1162.6)+(0+(0-0))+0-0-0</f>
        <v>5738.2</v>
      </c>
      <c r="R212" s="3">
        <f>5648.9+(1468.2-1485.6)+(5.761878+(1.497564-1.515312))+0-0-0</f>
        <v>5637.24413</v>
      </c>
      <c r="S212" s="3">
        <f>5672.8+(1549.4-1651.3)+(2.893128+(0.790194-0.842163))+0-0-0</f>
        <v>5573.7411590000002</v>
      </c>
      <c r="T212" s="3">
        <f>5720.6+(1548-1670.7)+(-8.752518+(-2.36844--2.556171))+0-0-0</f>
        <v>5589.3352130000003</v>
      </c>
      <c r="U212" s="3">
        <f>5744.6+(1472.7-1561.5)+(-2.929746+(-0.751077--0.796365))+0-0-0</f>
        <v>5652.9155419999997</v>
      </c>
      <c r="V212" s="3">
        <f>5770+(1271.1-1406.3)+(-5.8854+(-1.296522--1.434426))+0-0-0</f>
        <v>5629.0525040000002</v>
      </c>
      <c r="W212" s="3">
        <f>5843+(1218.6-1215.7)+(2.97993+(0.621486-0.620007))+0-0-0</f>
        <v>5848.8814089999996</v>
      </c>
      <c r="X212" s="3">
        <f>5997.5+(1392.9-1359)+(-9.176175+(-2.131137--2.07927))+0-0-0</f>
        <v>6022.1719579999999</v>
      </c>
      <c r="Y212" s="3">
        <f>6021+(1375.4-1526.1)+(0+(0-0))+0-0-0</f>
        <v>5870.3</v>
      </c>
      <c r="Z212" s="3">
        <f>6011.9+(1400.1-1785.1)+(0+(0-0))+0-0-0</f>
        <v>5626.9</v>
      </c>
      <c r="AA212" s="3">
        <f>5978+(1419.2-2008.2)+(-15.2439+(-3.61896--5.12091))+0-0-0</f>
        <v>5375.2580500000004</v>
      </c>
      <c r="AB212" s="3">
        <f>5987.1+(1112.9-2041.9)+(-6.106842+(-1.135158--2.082738))+0-0-0</f>
        <v>5052.9407380000002</v>
      </c>
      <c r="AC212" s="3">
        <f>5544.5+(1065.6-1824.8)+(-16.96617+(-3.260736--5.583888))+0-0-0</f>
        <v>4770.6569820000004</v>
      </c>
      <c r="AD212">
        <f t="shared" si="3"/>
        <v>117255.03550400001</v>
      </c>
      <c r="AE212" s="3">
        <f>5969+(1415.6-1303.8)+(0+(0-0))+0-0-0</f>
        <v>6080.8</v>
      </c>
    </row>
    <row r="213" spans="1:31" s="2" customFormat="1" x14ac:dyDescent="0.25">
      <c r="A213">
        <v>89</v>
      </c>
      <c r="B213">
        <v>7</v>
      </c>
      <c r="C213">
        <v>27</v>
      </c>
      <c r="D213">
        <v>4</v>
      </c>
      <c r="E213">
        <v>1</v>
      </c>
      <c r="F213" s="3">
        <f>4997.9+(969.3-1861.4)+(-5.097858+(-0.988686--1.898628))+0-0-0</f>
        <v>4101.6120839999994</v>
      </c>
      <c r="G213" s="3">
        <f>4793.6+(731.8-1715.9)+(-2.444736+(-0.373218--0.875109))+0-0-0</f>
        <v>3807.557155</v>
      </c>
      <c r="H213" s="3">
        <f>4631.2+(756.9-1794.6)+(-7.085736+(-1.158057--2.745738))+0-0-0</f>
        <v>3588.001945</v>
      </c>
      <c r="I213" s="3">
        <f>4597.9+(739.8-1861.1)+(-2.344929+(-0.377298--0.949161))+0-0-0</f>
        <v>3474.8269339999993</v>
      </c>
      <c r="J213" s="3">
        <f>4570.5+(711.8-1780.9)+(4.66191+(0.726036-1.816518))+0-0-0</f>
        <v>3504.9714279999998</v>
      </c>
      <c r="K213" s="3">
        <f>4565.3+(652.4-1694)+(4.656606+(0.665448-1.72788))+0-0-0</f>
        <v>3527.2941740000001</v>
      </c>
      <c r="L213" s="3">
        <f>4437.9+(682.4-1511.2)+(0+(0-0))+0-0-0</f>
        <v>3609.0999999999995</v>
      </c>
      <c r="M213" s="3">
        <f>4562.8+(819.1-1306.9)+(4.654056+(0.835482-1.333038))+0-0-0</f>
        <v>4079.1565000000001</v>
      </c>
      <c r="N213" s="3">
        <f>4826+(1043.3-1168.3)+(2.46126+(0.532083-0.595833))+0-0-0</f>
        <v>4703.3975099999998</v>
      </c>
      <c r="O213" s="3">
        <f>5164.3+(1132.2-1129.7)+(10.535172+(2.309688-2.304588))+0-0-0</f>
        <v>5177.3402720000004</v>
      </c>
      <c r="P213" s="3">
        <f>5504.5+(1211.4-1259.4)+(-2.807295+(-0.617814--0.642294))+0-0-0</f>
        <v>5453.7171850000004</v>
      </c>
      <c r="Q213" s="3">
        <f>5694.7+(1400.4-1464)+(2.904297+(0.714204-0.74664))+0-0-0</f>
        <v>5633.971861</v>
      </c>
      <c r="R213" s="3">
        <f>5658.9+(1496.7-1549.2)+(-14.430195+(-3.816585--3.95046))+0-0-0</f>
        <v>5592.1036799999993</v>
      </c>
      <c r="S213" s="3">
        <f>5480.7+(1607.6-1583.8)+(0+(0-0))+0-0-0</f>
        <v>5504.5</v>
      </c>
      <c r="T213" s="3">
        <f>5548.9+(1706.1-1648.9)+(-2.829939+(-0.870111--0.840939))+0-0-0</f>
        <v>5603.2408889999997</v>
      </c>
      <c r="U213" s="3">
        <f>5575.4+(1486.8-1483.3)+(-8.530362+(-2.274804--2.269449))+0-0-0</f>
        <v>5570.3642829999999</v>
      </c>
      <c r="V213" s="3">
        <f>5618+(1242.7-1250.9)+(0+(0-0))+0-0-0</f>
        <v>5609.8</v>
      </c>
      <c r="W213" s="3">
        <f>5878.4+(954.4-1109.4)+(5.995968+(0.973488-1.131588))+0-0-0</f>
        <v>5729.2378679999993</v>
      </c>
      <c r="X213" s="3">
        <f>6200.2+(1237.4-1446.2)+(0+(0-0))+0-0-0</f>
        <v>5991.4</v>
      </c>
      <c r="Y213" s="3">
        <f>6146.7+(1363.4-1725.5)+(-3.134817+(-0.695334--0.880005))+0-0-0</f>
        <v>5781.6498540000002</v>
      </c>
      <c r="Z213" s="3">
        <f>6122.6+(1396.3-1965.8)+(-6.245052+(-1.424226--2.005116))+0-0-0</f>
        <v>5547.4358380000003</v>
      </c>
      <c r="AA213" s="3">
        <f>6149.9+(1344.6-2168)+(-6.272898+(-1.371492--2.21136))+0-0-0</f>
        <v>5321.0669699999999</v>
      </c>
      <c r="AB213" s="3">
        <f>6065.7+(1141.7-2260.1)+(-12.374028+(-2.329068--4.610604))+0-0-0</f>
        <v>4937.2075080000004</v>
      </c>
      <c r="AC213" s="3">
        <f>5579.3+(1074.9-2113.5)+(-8.536329+(-1.644597--3.233655))+0-0-0</f>
        <v>4533.7527290000007</v>
      </c>
      <c r="AD213">
        <f t="shared" si="3"/>
        <v>116382.70666700001</v>
      </c>
      <c r="AE213" s="3">
        <f>6197+(1260.6-1477.1)+(0+(0-0))+0-0-0</f>
        <v>5980.5</v>
      </c>
    </row>
    <row r="214" spans="1:31" s="2" customFormat="1" x14ac:dyDescent="0.25">
      <c r="A214">
        <v>89</v>
      </c>
      <c r="B214">
        <v>7</v>
      </c>
      <c r="C214">
        <v>28</v>
      </c>
      <c r="D214">
        <v>5</v>
      </c>
      <c r="E214">
        <v>1</v>
      </c>
      <c r="F214" s="3">
        <f>5079.7+(755.9-1762.9)+(-15.543882+(-2.313054--5.394474))+0-0-0</f>
        <v>4060.2375379999999</v>
      </c>
      <c r="G214" s="3">
        <f>4799.4+(469.5-1547.4)+(-4.895388+(-0.47889--1.578348))+0-0-0</f>
        <v>3717.7040699999993</v>
      </c>
      <c r="H214" s="3">
        <f>4564.9+(434.2-1460.4)+(-6.984297+(-0.664326--2.234412))+0-0-0</f>
        <v>3533.285789</v>
      </c>
      <c r="I214" s="3">
        <f>4542.3+(415.9-1503.5)+(-4.633146+(-0.424218--1.53357))+0-0-0</f>
        <v>3451.1762060000001</v>
      </c>
      <c r="J214" s="3">
        <f>4562.5+(418.3-1560.2)+(2.326875+(0.213333-0.795702))+0-0-0</f>
        <v>3422.3445059999999</v>
      </c>
      <c r="K214" s="3">
        <f>4598.8+(512.7-1599.6)+(-2.345388+(-0.261477--0.815796))+0-0-0</f>
        <v>3510.1089310000007</v>
      </c>
      <c r="L214" s="3">
        <f>4114.3+(516-987.3)+(-10.491465+(-1.3158--2.517615))+0-0-0</f>
        <v>3633.7103499999998</v>
      </c>
      <c r="M214" s="3">
        <f>4295.1+(739.3-1065.4)+(4.381002+(0.754086-1.086708))+0-0-0</f>
        <v>3973.0483800000002</v>
      </c>
      <c r="N214" s="3">
        <f>5043.8+(1054.3-1365.6)+(2.572338+(0.537693-0.696456))+0-0-0</f>
        <v>4734.9135749999996</v>
      </c>
      <c r="O214" s="3">
        <f>5149.8+(1159.9-1134.9)+(0+(0-0))+0-0-0</f>
        <v>5174.8</v>
      </c>
      <c r="P214" s="3">
        <f>5440.1+(1183.5-1210.2)+(8.323353+(1.810755-1.851606))+0-0-0</f>
        <v>5421.6825020000006</v>
      </c>
      <c r="Q214" s="3">
        <f>5742.5+(1256.5-1405.1)+(-2.928675+(-0.640815--0.716601))+0-0-0</f>
        <v>5591.0471109999999</v>
      </c>
      <c r="R214" s="3">
        <f>5851.9+(1345.5-1624.2)+(-8.953407+(-2.058615--2.485026))+0-0-0</f>
        <v>5564.6730040000002</v>
      </c>
      <c r="S214" s="3">
        <f>5821.8+(1419.4-1753.6)+(0+(0-0))+0-0-0</f>
        <v>5487.6</v>
      </c>
      <c r="T214" s="3">
        <f>5851.7+(1461.3-1746.5)+(-2.984367+(-0.745263--0.890715))+0-0-0</f>
        <v>5563.6610849999997</v>
      </c>
      <c r="U214" s="3">
        <f>5849+(1447.2-1751.2)+(-5.96598+(-1.476144--1.786224))+0-0-0</f>
        <v>5539.3441000000003</v>
      </c>
      <c r="V214" s="3">
        <f>5922.6+(1243.9-1557.8)+(-3.020526+(-0.634389--0.794478))+0-0-0</f>
        <v>5605.8395630000005</v>
      </c>
      <c r="W214" s="3">
        <f>5985.6+(1061.8-1189.9)+(-9.157968+(-1.624554--1.820547))+0-0-0</f>
        <v>5848.5380249999998</v>
      </c>
      <c r="X214" s="3">
        <f>6161.3+(1069.1-1283.4)+(-3.142263+(-0.545241--0.654534))+0-0-0</f>
        <v>5943.9670299999998</v>
      </c>
      <c r="Y214" s="3">
        <f>6148.3+(1168.6-1483.5)+(-6.271266+(-1.191972--1.51317))+0-0-0</f>
        <v>5827.4499319999995</v>
      </c>
      <c r="Z214" s="3">
        <f>6085.8+(1022-1534.7)+(-9.311274+(-1.56366--2.348091))+0-0-0</f>
        <v>5564.5731570000007</v>
      </c>
      <c r="AA214" s="3">
        <f>6095.9+(982.7-1799.4)+(-3.108909+(-0.501177--0.917694))+0-0-0</f>
        <v>5276.5076079999999</v>
      </c>
      <c r="AB214" s="3">
        <f>5952.3+(902.4-1773.6)+(-24.285384+(-3.681792--7.236288))+0-0-0</f>
        <v>5060.3691120000003</v>
      </c>
      <c r="AC214" s="3">
        <f>5183.2+(892.2-1563.5)+(-7.930296+(-1.365066--2.392155))+0-0-0</f>
        <v>4504.9967929999993</v>
      </c>
      <c r="AD214">
        <f t="shared" si="3"/>
        <v>116011.57836700001</v>
      </c>
      <c r="AE214" s="3">
        <f>6136+(1076.5-1177.4)+(0+(0-0))+0-0-0</f>
        <v>6035.1</v>
      </c>
    </row>
    <row r="215" spans="1:31" s="2" customFormat="1" x14ac:dyDescent="0.25">
      <c r="A215">
        <v>89</v>
      </c>
      <c r="B215">
        <v>7</v>
      </c>
      <c r="C215">
        <v>29</v>
      </c>
      <c r="D215">
        <v>6</v>
      </c>
      <c r="E215">
        <v>1</v>
      </c>
      <c r="F215" s="3">
        <f>4792.8+(710.9-1473.6)+(-9.777312+(-1.450236--3.006144))+0-0-0</f>
        <v>4021.8785960000005</v>
      </c>
      <c r="G215" s="3">
        <f>4704.4+(437.4-1407.9)+(-7.197732+(-0.669222--2.154087))+0-0-0</f>
        <v>3728.1871329999994</v>
      </c>
      <c r="H215" s="3">
        <f>4442.5+(408-1299.6)+(-4.53135+(-0.41616--1.325592))+0-0-0</f>
        <v>3547.2780820000003</v>
      </c>
      <c r="I215" s="3">
        <f>4305.4+(416.8-1281.2)+(0+(0-0))+0-0-0</f>
        <v>3440.9999999999995</v>
      </c>
      <c r="J215" s="3">
        <f>4314.8+(383.9-1241.9)+(0+(0-0))+0-0-0</f>
        <v>3456.8</v>
      </c>
      <c r="K215" s="3">
        <f>4333.9+(323.3-1147.3)+(-8.841156+(-0.659532--2.340492))+0-0-0</f>
        <v>3502.7398039999998</v>
      </c>
      <c r="L215" s="3">
        <f>4404.1+(377.7-1104.8)+(-2.246091+(-0.192627--0.563448))+0-0-0</f>
        <v>3675.1247300000005</v>
      </c>
      <c r="M215" s="3">
        <f>4448.1+(428.3-948.8)+(-2.268531+(-0.218433--0.483888))+0-0-0</f>
        <v>3925.5969240000004</v>
      </c>
      <c r="N215" s="3">
        <f>4789.8+(777.6-1107.5)+(-4.885596+(-0.793152--1.12965))+0-0-0</f>
        <v>4455.3509020000001</v>
      </c>
      <c r="O215" s="3">
        <f>5277.9+(821.5-1129.5)+(2.691729+(0.418965-0.576045))+0-0-0</f>
        <v>4972.4346489999998</v>
      </c>
      <c r="P215" s="3">
        <f>5491.5+(956.3-1193.7)+(2.800665+(0.487713-0.608787))+0-0-0</f>
        <v>5256.7795910000004</v>
      </c>
      <c r="Q215" s="3">
        <f>5580.5+(936.1-1114.1)+(-2.846055+(-0.477411--0.568191))+0-0-0</f>
        <v>5399.7447249999996</v>
      </c>
      <c r="R215" s="3">
        <f>5639.6+(963.1-1236.6)+(-14.38098+(-2.455905--3.15333))+0-0-0</f>
        <v>5352.4164450000007</v>
      </c>
      <c r="S215" s="3">
        <f>5603.6+(1011.9-1470.8)+(0+(0-0))+0-0-0</f>
        <v>5144.7000000000007</v>
      </c>
      <c r="T215" s="3">
        <f>5617.9+(1090.4-1530.9)+(2.865129+(0.556104-0.780759))+0-0-0</f>
        <v>5180.0404739999994</v>
      </c>
      <c r="U215" s="3">
        <f>5550.3+(980.1-1465.3)+(-14.153265+(-2.499255--3.736515))+0-0-0</f>
        <v>5052.1839950000003</v>
      </c>
      <c r="V215" s="3">
        <f>5360.4+(834.7-1156.6)+(-10.935216+(-1.702788--2.359464))+0-0-0</f>
        <v>5028.2214599999998</v>
      </c>
      <c r="W215" s="3">
        <f>5625+(592.7-856.4)+(2.86875+(0.302277-0.436764))+0-0-0</f>
        <v>5364.0342630000005</v>
      </c>
      <c r="X215" s="3">
        <f>5929.9+(690.6-1016.3)+(6.048498+(0.704412-1.036626))+0-0-0</f>
        <v>5609.9162839999999</v>
      </c>
      <c r="Y215" s="3">
        <f>5899.8+(801.2-1240)+(-15.04449+(-2.04306--3.162))+0-0-0</f>
        <v>5447.0744500000001</v>
      </c>
      <c r="Z215" s="3">
        <f>5822.6+(952.7-1477.5)+(-11.878104+(-1.943508--3.0141))+0-0-0</f>
        <v>5286.9924879999999</v>
      </c>
      <c r="AA215" s="3">
        <f>5777.7+(1043.3-1804)+(-5.893254+(-1.064166--1.84008))+0-0-0</f>
        <v>5011.8826600000002</v>
      </c>
      <c r="AB215" s="3">
        <f>5619.4+(1014.7-1814.4)+(-8.597682+(-1.552491--2.776032))+0-0-0</f>
        <v>4812.3258589999996</v>
      </c>
      <c r="AC215" s="3">
        <f>5172.3+(958.6-1700.1)+(0+(0-0))+0-0-0</f>
        <v>4430.8</v>
      </c>
      <c r="AD215">
        <f t="shared" si="3"/>
        <v>111103.50351400003</v>
      </c>
      <c r="AE215" s="3">
        <f>5914+(717.4-1027.2)+(0+(0-0))+0-0-0</f>
        <v>5604.2</v>
      </c>
    </row>
    <row r="216" spans="1:31" s="2" customFormat="1" x14ac:dyDescent="0.25">
      <c r="A216">
        <v>89</v>
      </c>
      <c r="B216">
        <v>7</v>
      </c>
      <c r="C216">
        <v>30</v>
      </c>
      <c r="D216">
        <v>7</v>
      </c>
      <c r="E216">
        <v>1</v>
      </c>
      <c r="F216" s="3">
        <f>4940.9+(700.1-1699.3)+(2.519859+(0.357051-0.866643))+0-0-0</f>
        <v>3943.7102669999999</v>
      </c>
      <c r="G216" s="3">
        <f>4695.1+(526.6-1717.8)+(-9.578004+(-1.074264--3.504312))+0-0-0</f>
        <v>3496.7520440000008</v>
      </c>
      <c r="H216" s="3">
        <f>4537.5+(356.3-1518.1)+(-11.570625+(-0.908565--3.871155))+0-0-0</f>
        <v>3367.0919649999996</v>
      </c>
      <c r="I216" s="3">
        <f>4550.3+(356.7-1621.2)+(-6.961959+(-0.545751--2.480436))+0-0-0</f>
        <v>3280.7727260000001</v>
      </c>
      <c r="J216" s="3">
        <f>4533.8+(329.5-1643.8)+(0+(0-0))+0-0-0</f>
        <v>3219.5</v>
      </c>
      <c r="K216" s="3">
        <f>4550+(345.1-1671.5)+(0+(0-0))+0-0-0</f>
        <v>3223.6</v>
      </c>
      <c r="L216" s="3">
        <f>4271.1+(557.9-1759.5)+(-6.534783+(-0.853587--2.692035))+0-0-0</f>
        <v>3064.8036650000004</v>
      </c>
      <c r="M216" s="3">
        <f>4175.7+(605.9-1682.8)+(2.129607+(0.309009-0.858228))+0-0-0</f>
        <v>3100.3803879999996</v>
      </c>
      <c r="N216" s="3">
        <f>4262.3+(526-1424.5)+(0+(0-0))+0-0-0</f>
        <v>3363.8</v>
      </c>
      <c r="O216" s="3">
        <f>4542.2+(734.9-1562.5)+(0+(0-0))+0-0-0</f>
        <v>3714.6</v>
      </c>
      <c r="P216" s="3">
        <f>4784.6+(1075.7-1805.4)+(-7.320438+(-1.645821--2.762262))+0-0-0</f>
        <v>4048.6960030000005</v>
      </c>
      <c r="Q216" s="3">
        <f>4877.4+(1077.1-1721.3)+(0+(0-0))+0-0-0</f>
        <v>4233.2</v>
      </c>
      <c r="R216" s="3">
        <f>4969.6+(1103.9-1759.9)+(-2.534496+(-0.562989--0.897549))+0-0-0</f>
        <v>4311.4000640000004</v>
      </c>
      <c r="S216" s="3">
        <f>4997.3+(1105.8-1925.7)+(-10.194492+(-2.255832--3.928428))+0-0-0</f>
        <v>4168.8781039999994</v>
      </c>
      <c r="T216" s="3">
        <f>5025.4+(1016.6-1880.1)+(-7.688862+(-1.555398--2.876553))+0-0-0</f>
        <v>4155.5322929999993</v>
      </c>
      <c r="U216" s="3">
        <f>4978.3+(938.9-1775.5)+(-12.694665+(-2.394195--4.527525))+0-0-0</f>
        <v>4131.1386649999995</v>
      </c>
      <c r="V216" s="3">
        <f>4871.5+(770.9-1439.8)+(-4.96893+(-0.786318--1.468596))+0-0-0</f>
        <v>4198.3133480000006</v>
      </c>
      <c r="W216" s="3">
        <f>5188.4+(549.6-1103.3)+(5.292168+(0.560592-1.125366))+0-0-0</f>
        <v>4639.4273939999994</v>
      </c>
      <c r="X216" s="3">
        <f>5479.2+(715.7-1221)+(8.383176+(1.095021-1.86813))+0-0-0</f>
        <v>4981.5100669999993</v>
      </c>
      <c r="Y216" s="3">
        <f>5490.3+(804.3-1367.1)+(2.800053+(0.410193-0.697221))+0-0-0</f>
        <v>4930.0130250000002</v>
      </c>
      <c r="Z216" s="3">
        <f>5462.6+(824.9-1416.3)+(2.785926+(0.420699-0.722313))+0-0-0</f>
        <v>4873.6843120000003</v>
      </c>
      <c r="AA216" s="3">
        <f>5466.5+(808.2-1574.5)+(-5.57583+(-0.824364--1.60599))+0-0-0</f>
        <v>4695.405796</v>
      </c>
      <c r="AB216" s="3">
        <f>5411.5+(750.8-1715.2)+(-8.279595+(-1.148724--2.624256))+0-0-0</f>
        <v>4440.2959370000008</v>
      </c>
      <c r="AC216" s="3">
        <f>5321.8+(646.2-1870.7)+(-5.428236+(-0.659124--1.908114))+0-0-0</f>
        <v>4093.120754</v>
      </c>
      <c r="AD216">
        <f t="shared" si="3"/>
        <v>95675.626816999997</v>
      </c>
      <c r="AE216" s="3">
        <f>5465+(776.7-1278.7)+(0+(0-0))+0-0-0</f>
        <v>4963</v>
      </c>
    </row>
    <row r="217" spans="1:31" s="2" customFormat="1" x14ac:dyDescent="0.25">
      <c r="A217">
        <v>89</v>
      </c>
      <c r="B217">
        <v>8</v>
      </c>
      <c r="C217">
        <v>1</v>
      </c>
      <c r="D217">
        <v>1</v>
      </c>
      <c r="E217">
        <v>1</v>
      </c>
      <c r="F217" s="3">
        <f>4960.8+(408.2-1755.8)+(-5.060016+(-0.416364--1.790916))+0-0-0</f>
        <v>3609.5145360000001</v>
      </c>
      <c r="G217" s="3">
        <f>4705.2+(393.4-1794.8)+(-7.198956+(-0.601902--2.746044))+0-0-0</f>
        <v>3298.7451859999996</v>
      </c>
      <c r="H217" s="3">
        <f>4686.7+(420.9-1959.9)+(-7.170651+(-0.643977--2.998647))+0-0-0</f>
        <v>3142.8840189999996</v>
      </c>
      <c r="I217" s="3">
        <f>4674.2+(410.6-2005.4)+(-7.151526+(-0.628218--3.068262))+0-0-0</f>
        <v>3074.6885179999995</v>
      </c>
      <c r="J217" s="3">
        <f>4669.3+(373.6-1944)+(-9.525372+(-0.762144--3.96576))+0-0-0</f>
        <v>3092.5782440000003</v>
      </c>
      <c r="K217" s="3">
        <f>4644.2+(307.3-1748.9)+(0+(0-0))+0-0-0</f>
        <v>3202.5999999999995</v>
      </c>
      <c r="L217" s="3">
        <f>4632.4+(367.3-1531.1)+(-2.362524+(-0.187323--0.780861))+0-0-0</f>
        <v>3466.8310139999994</v>
      </c>
      <c r="M217" s="3">
        <f>4956.7+(350.3-1417.1)+(7.583751+(0.535959-2.168163))+0-0-0</f>
        <v>3895.8515469999998</v>
      </c>
      <c r="N217" s="3">
        <f>5113.1+(629.3-1177)+(0+(0-0))+0-0-0</f>
        <v>4565.4000000000005</v>
      </c>
      <c r="O217" s="3">
        <f>5570.1+(791.7-1193.6)+(-2.840751+(-0.403767--0.608736))+0-0-0</f>
        <v>5165.5642180000004</v>
      </c>
      <c r="P217" s="3">
        <f>5688.7+(937.9-1312.2)+(8.703711+(1.434987-2.007666))+0-0-0</f>
        <v>5322.5310319999999</v>
      </c>
      <c r="Q217" s="3">
        <f>5895.3+(969.7-1406.4)+(0+(0-0))+0-0-0</f>
        <v>5458.6</v>
      </c>
      <c r="R217" s="3">
        <f>5864.4+(1138.6-1593)+(-8.972532+(-1.742058--2.43729))+0-0-0</f>
        <v>5401.7227000000003</v>
      </c>
      <c r="S217" s="3">
        <f>5873.6+(1202.7-1735.9)+(-17.973216+(-3.680262--5.311854))+0-0-0</f>
        <v>5324.0583760000009</v>
      </c>
      <c r="T217" s="3">
        <f>5909.7+(1300.7-1690.1)+(0+(0-0))+0-0-0</f>
        <v>5520.3</v>
      </c>
      <c r="U217" s="3">
        <f>5856.3+(1206.7-1644.1)+(-5.973426+(-1.230834--1.676982))+0-0-0</f>
        <v>5413.372722000001</v>
      </c>
      <c r="V217" s="3">
        <f>5888.7+(919.4-1371.2)+(-9.009711+(-1.406682--2.097936))+0-0-0</f>
        <v>5428.5815429999993</v>
      </c>
      <c r="W217" s="3">
        <f>5951+(829-1001.6)+(3.03501+(0.42279-0.510816))+0-0-0</f>
        <v>5781.3469839999998</v>
      </c>
      <c r="X217" s="3">
        <f>6159.6+(757.2-1096.4)+(-9.424188+(-1.158516--1.677492))+0-0-0</f>
        <v>5811.4947880000009</v>
      </c>
      <c r="Y217" s="3">
        <f>6164.4+(885.1-1416.3)+(-6.287688+(-0.902802--1.444626))+0-0-0</f>
        <v>5627.4541359999994</v>
      </c>
      <c r="Z217" s="3">
        <f>6134.5+(1010.4-1707.1)+(-9.385785+(-1.545912--2.611863))+0-0-0</f>
        <v>5429.4801660000003</v>
      </c>
      <c r="AA217" s="3">
        <f>6119.3+(1073.7-2032)+(-6.241686+(-1.095174--2.07264))+0-0-0</f>
        <v>5155.73578</v>
      </c>
      <c r="AB217" s="3">
        <f>6096.8+(955.9-2167.4)+(-15.54684+(-2.437545--5.52687))+0-0-0</f>
        <v>4872.8424850000001</v>
      </c>
      <c r="AC217" s="3">
        <f>5654.6+(825.2-2001.1)+(-14.41923+(-2.10426--5.102805))+0-0-0</f>
        <v>4467.2793150000007</v>
      </c>
      <c r="AD217">
        <f t="shared" si="3"/>
        <v>111529.457309</v>
      </c>
      <c r="AE217" s="3">
        <f>6180+(774.1-1065.1)+(0+(0-0))+0-0-0</f>
        <v>5889</v>
      </c>
    </row>
    <row r="218" spans="1:31" s="2" customFormat="1" x14ac:dyDescent="0.25">
      <c r="A218">
        <v>89</v>
      </c>
      <c r="B218">
        <v>8</v>
      </c>
      <c r="C218">
        <v>2</v>
      </c>
      <c r="D218">
        <v>2</v>
      </c>
      <c r="E218">
        <v>1</v>
      </c>
      <c r="F218" s="3">
        <f>5124.1+(564.9-1731)+(-10.453164+(-1.152396--3.53124))+0-0-0</f>
        <v>3949.9256800000003</v>
      </c>
      <c r="G218" s="3">
        <f>4911.7+(329.2-1666.9)+(-2.504967+(-0.167892--0.850119))+0-0-0</f>
        <v>3572.1772599999999</v>
      </c>
      <c r="H218" s="3">
        <f>4927.7+(327.9-1811.2)+(-12.565635+(-0.836145--4.61856))+0-0-0</f>
        <v>3435.6167799999998</v>
      </c>
      <c r="I218" s="3">
        <f>4980.7+(386.5-1937.2)+(12.700785+(0.985575-4.93986))+0-0-0</f>
        <v>3438.7465000000002</v>
      </c>
      <c r="J218" s="3">
        <f>4941.1+(332.4-1863.1)+(5.039922+(0.339048-1.900362))+0-0-0</f>
        <v>3413.8786080000004</v>
      </c>
      <c r="K218" s="3">
        <f>4927.9+(278.2-1723.6)+(-5.026458+(-0.283764--1.758072))+0-0-0</f>
        <v>3478.94785</v>
      </c>
      <c r="L218" s="3">
        <f>4877.5+(310-1643.3)+(-4.97505+(-0.3162--1.676166))+0-0-0</f>
        <v>3540.5849159999998</v>
      </c>
      <c r="M218" s="3">
        <f>4959.1+(490.6-1492.8)+(5.058282+(0.500412-1.522656))+0-0-0</f>
        <v>3960.9360380000007</v>
      </c>
      <c r="N218" s="3">
        <f>5280.2+(685.3-1416.8)+(-8.078706+(-1.048509--2.167704))+0-0-0</f>
        <v>4541.7404889999998</v>
      </c>
      <c r="O218" s="3">
        <f>5464+(791.7-1294.7)+(-8.35992+(-1.211301--1.980891))+0-0-0</f>
        <v>4953.40967</v>
      </c>
      <c r="P218" s="3">
        <f>5730.7+(1004.5-1496.4)+(-8.767971+(-1.536885--2.289492))+0-0-0</f>
        <v>5230.7846359999994</v>
      </c>
      <c r="Q218" s="3">
        <f>5849.8+(1199.4-1580.7)+(-14.91699+(-3.05847--4.030785))+0-0-0</f>
        <v>5454.5553250000003</v>
      </c>
      <c r="R218" s="3">
        <f>5833.6+(1191.1-1626.1)+(-14.87568+(-3.037305--4.146555))+0-0-0</f>
        <v>5384.8335700000007</v>
      </c>
      <c r="S218" s="3">
        <f>5864.9+(1421.7-1983.2)+(-5.982198+(-1.450134--2.022864))+0-0-0</f>
        <v>5297.9905319999998</v>
      </c>
      <c r="T218" s="3">
        <f>5861.6+(1497.5-2002.3)+(-11.957664+(-3.0549--4.084692))+0-0-0</f>
        <v>5345.872128</v>
      </c>
      <c r="U218" s="3">
        <f>5892+(1364.1-1912.3)+(-12.01968+(-2.782764--3.901092))+0-0-0</f>
        <v>5332.8986480000003</v>
      </c>
      <c r="V218" s="3">
        <f>5775.3+(1001.5-1444.6)+(2.945403+(0.510765-0.736746))+0-0-0</f>
        <v>5334.9194220000008</v>
      </c>
      <c r="W218" s="3">
        <f>5921.7+(778.1-1024)+(0+(0-0))+0-0-0</f>
        <v>5675.8</v>
      </c>
      <c r="X218" s="3">
        <f>6237.6+(1050.3-1412.7)+(-12.724704+(-2.142612--2.881908))+0-0-0</f>
        <v>5863.2145920000012</v>
      </c>
      <c r="Y218" s="3">
        <f>6097+(887.7-1271.9)+(-12.43788+(-1.810908--2.594676))+0-0-0</f>
        <v>5701.145888</v>
      </c>
      <c r="Z218" s="3">
        <f>5805.8+(890.1-1174.6)+(-5.921916+(-0.907902--1.198092))+0-0-0</f>
        <v>5515.6682740000006</v>
      </c>
      <c r="AA218" s="3">
        <f>5471+(813.4-1119)+(-5.58042+(-0.829668--1.14138))+0-0-0</f>
        <v>5160.131292</v>
      </c>
      <c r="AB218" s="3">
        <f>5334.9+(748.3-1252.1)+(-13.603995+(-1.908165--3.192855))+0-0-0</f>
        <v>4818.7806949999995</v>
      </c>
      <c r="AC218" s="3">
        <f>5007.6+(585.8-1242.2)+(-12.76938+(-1.49379--3.16761))+0-0-0</f>
        <v>4340.104440000001</v>
      </c>
      <c r="AD218">
        <f t="shared" si="3"/>
        <v>112742.66323300001</v>
      </c>
      <c r="AE218" s="3">
        <f>6237+(1090.2-1417.8)+(0+(0-0))+0-0-0</f>
        <v>5909.4</v>
      </c>
    </row>
    <row r="219" spans="1:31" s="2" customFormat="1" x14ac:dyDescent="0.25">
      <c r="A219">
        <v>89</v>
      </c>
      <c r="B219">
        <v>8</v>
      </c>
      <c r="C219">
        <v>3</v>
      </c>
      <c r="D219">
        <v>3</v>
      </c>
      <c r="E219">
        <v>1</v>
      </c>
      <c r="F219" s="3">
        <f>4886.9+(296.2-1343.1)+(-7.476957+(-0.453186--2.054943))+0-0-0</f>
        <v>3834.1248000000001</v>
      </c>
      <c r="G219" s="3">
        <f>4836.4+(309.2-1582.8)+(-12.33282+(-0.78846--4.03614))+0-0-0</f>
        <v>3553.7148599999996</v>
      </c>
      <c r="H219" s="3">
        <f>4773.5+(324.9-1665.2)+(-4.86897+(-0.331398--1.698504))+0-0-0</f>
        <v>3429.698136</v>
      </c>
      <c r="I219" s="3">
        <f>4733.8+(297.7-1681.2)+(0+(0-0))+0-0-0</f>
        <v>3350.3</v>
      </c>
      <c r="J219" s="3">
        <f>4703.7+(259.4-1595.9)+(2.398887+(0.132294-0.813909))+0-0-0</f>
        <v>3368.9172719999997</v>
      </c>
      <c r="K219" s="3">
        <f>4711.1+(259.5-1511.7)+(-4.805322+(-0.26469--1.541934))+0-0-0</f>
        <v>3455.3719220000007</v>
      </c>
      <c r="L219" s="3">
        <f>4661.3+(302.4-1381.4)+(-2.377263+(-0.154224--0.704514))+0-0-0</f>
        <v>3580.473027</v>
      </c>
      <c r="M219" s="3">
        <f>4777.6+(412.2-1196.2)+(7.309728+(0.630666-1.830186))+0-0-0</f>
        <v>3999.7102080000004</v>
      </c>
      <c r="N219" s="3">
        <f>4949+(656.5-981.6)+(-2.52399+(-0.334815--0.500616))+0-0-0</f>
        <v>4621.5418110000001</v>
      </c>
      <c r="O219" s="3">
        <f>5137.4+(846.7-981.1)+(-2.620074+(-0.431817--0.500361))+0-0-0</f>
        <v>5000.4484700000003</v>
      </c>
      <c r="P219" s="3">
        <f>5484.6+(935.6-1136.5)+(0+(0-0))+0-0-0</f>
        <v>5283.7000000000007</v>
      </c>
      <c r="Q219" s="3">
        <f>5724.3+(1015.8-1298.1)+(-5.838786+(-1.036116--1.324062))+0-0-0</f>
        <v>5436.4491600000001</v>
      </c>
      <c r="R219" s="3">
        <f>5795.3+(1222-1574.9)+(-17.733618+(-3.73932--4.819194))+0-0-0</f>
        <v>5425.7462559999994</v>
      </c>
      <c r="S219" s="3">
        <f>5794.2+(1281.8-1697.7)+(-11.820168+(-2.614872--3.463308))+0-0-0</f>
        <v>5367.3282679999993</v>
      </c>
      <c r="T219" s="3">
        <f>5882.8+(1116.5-1744.8)+(-9.000684+(-1.708245--2.669544))+0-0-0</f>
        <v>5246.460615</v>
      </c>
      <c r="U219" s="3">
        <f>5957.1+(944.7-1737.2)+(6.076242+(0.963594-1.771944))+0-0-0</f>
        <v>5169.8678920000002</v>
      </c>
      <c r="V219" s="3">
        <f>6026.1+(901.3-1646.9)+(0+(0-0))+0-0-0</f>
        <v>5280.5</v>
      </c>
      <c r="W219" s="3">
        <f>6113.8+(701.7-1147.2)+(3.118038+(0.357867-0.585072))+0-0-0</f>
        <v>5671.1908330000006</v>
      </c>
      <c r="X219" s="3">
        <f>6217.6+(966.3-1351.5)+(-3.170976+(-0.492813--0.689265))+0-0-0</f>
        <v>5829.4254760000003</v>
      </c>
      <c r="Y219" s="3">
        <f>6183.9+(1048.2-1571.2)+(-12.615156+(-2.138328--3.205248))+0-0-0</f>
        <v>5649.351764</v>
      </c>
      <c r="Z219" s="3">
        <f>6154.3+(920.3-1622.1)+(-6.277386+(-0.938706--1.654542))+0-0-0</f>
        <v>5446.9384499999996</v>
      </c>
      <c r="AA219" s="3">
        <f>6171.3+(809.6-1830.9)+(-3.147363+(-0.412896--0.933759))+0-0-0</f>
        <v>5147.3734999999997</v>
      </c>
      <c r="AB219" s="3">
        <f>5892.8+(763-1819.6)+(-9.015984+(-1.16739--2.783988))+0-0-0</f>
        <v>4828.8006140000007</v>
      </c>
      <c r="AC219" s="3">
        <f>5464.7+(739-1823.7)+(-13.934985+(-1.88445--4.650435))+0-0-0</f>
        <v>4368.8310000000001</v>
      </c>
      <c r="AD219">
        <f t="shared" si="3"/>
        <v>112346.26433400004</v>
      </c>
      <c r="AE219" s="3">
        <f>6187+(1008-1405.2)+(0+(0-0))+0-0-0</f>
        <v>5789.8</v>
      </c>
    </row>
    <row r="220" spans="1:31" s="2" customFormat="1" x14ac:dyDescent="0.25">
      <c r="A220">
        <v>89</v>
      </c>
      <c r="B220">
        <v>8</v>
      </c>
      <c r="C220">
        <v>4</v>
      </c>
      <c r="D220">
        <v>4</v>
      </c>
      <c r="E220">
        <v>1</v>
      </c>
      <c r="F220" s="3">
        <f>5040.2+(519.5-1651.5)+(-10.282008+(-1.05978--3.36906))+0-0-0</f>
        <v>3900.2272719999996</v>
      </c>
      <c r="G220" s="3">
        <f>4941.5+(264.2-1598.5)+(0+(0-0))+0-0-0</f>
        <v>3607.2</v>
      </c>
      <c r="H220" s="3">
        <f>4726.3+(333.8-1606)+(2.410413+(0.170238-0.81906))+0-0-0</f>
        <v>3455.8615910000003</v>
      </c>
      <c r="I220" s="3">
        <f>4579+(282.4-1484.7)+(4.67058+(0.288048-1.514394))+0-0-0</f>
        <v>3380.1442339999999</v>
      </c>
      <c r="J220" s="3">
        <f>4560.9+(212.9-1393.1)+(-4.652118+(-0.217158--1.420962))+0-0-0</f>
        <v>3377.2516859999996</v>
      </c>
      <c r="K220" s="3">
        <f>4485.7+(127.5-1163.8)+(-4.575414+(-0.13005--1.187076))+0-0-0</f>
        <v>3445.8816119999997</v>
      </c>
      <c r="L220" s="3">
        <f>4392.9+(115.7-927.4)+(-6.721137+(-0.177021--1.418922))+0-0-0</f>
        <v>3575.7207639999997</v>
      </c>
      <c r="M220" s="3">
        <f>4630.2+(267.2-910.6)+(-2.361402+(-0.136272--0.464406))+0-0-0</f>
        <v>3984.7667319999996</v>
      </c>
      <c r="N220" s="3">
        <f>5106.2+(447-955.7)+(0+(0-0))+0-0-0</f>
        <v>4597.5</v>
      </c>
      <c r="O220" s="3">
        <f>5521.4+(670.7-1204.3)+(2.815914+(0.342057-0.614193))+0-0-0</f>
        <v>4990.3437779999995</v>
      </c>
      <c r="P220" s="3">
        <f>5855.6+(576.2-1193)+(0+(0-0))+0-0-0</f>
        <v>5238.8</v>
      </c>
      <c r="Q220" s="3">
        <f>5942.5+(897.2-1437)+(-3.030675+(-0.457572--0.73287))+0-0-0</f>
        <v>5399.9446229999994</v>
      </c>
      <c r="R220" s="3">
        <f>5921.5+(1159.4-1770.6)+(-9.059895+(-1.773882--2.709018))+0-0-0</f>
        <v>5302.1752409999999</v>
      </c>
      <c r="S220" s="3">
        <f>5931.2+(1141.7-1862.3)+(-12.099648+(-2.329068--3.799092))+0-0-0</f>
        <v>5199.9703760000002</v>
      </c>
      <c r="T220" s="3">
        <f>5961.6+(1091.2-1769.6)+(-15.20208+(-2.78256--4.51248))+0-0-0</f>
        <v>5269.7278400000005</v>
      </c>
      <c r="U220" s="3">
        <f>5849.5+(1118.2-1709.7)+(-11.93298+(-2.281128--3.487788))+0-0-0</f>
        <v>5247.2736800000002</v>
      </c>
      <c r="V220" s="3">
        <f>5871.9+(947.4-1531.6)+(-2.994669+(-0.483174--0.781116))+0-0-0</f>
        <v>5285.0032730000003</v>
      </c>
      <c r="W220" s="3">
        <f>6014.2+(700.8-1019.8)+(0+(0-0))+0-0-0</f>
        <v>5695.2</v>
      </c>
      <c r="X220" s="3">
        <f>6111.1+(870.7-1217.3)+(-9.349983+(-1.332171--1.862469))+0-0-0</f>
        <v>5755.6803149999996</v>
      </c>
      <c r="Y220" s="3">
        <f>6072.7+(925.3-1422.4)+(-18.582462+(-2.831418--4.352544))+0-0-0</f>
        <v>5558.5386639999997</v>
      </c>
      <c r="Z220" s="3">
        <f>5852.6+(889.9-1391.7)+(-8.954478+(-1.361547--2.129301))+0-0-0</f>
        <v>5342.613276</v>
      </c>
      <c r="AA220" s="3">
        <f>5752.1+(818.3-1536.3)+(2.933571+(0.417333-0.783513))+0-0-0</f>
        <v>5036.667391</v>
      </c>
      <c r="AB220" s="3">
        <f>5660.6+(770.3-1641.1)+(-5.773812+(-0.785706--1.673922))+0-0-0</f>
        <v>4784.9144040000001</v>
      </c>
      <c r="AC220" s="3">
        <f>5288.1+(598.4-1481.6)+(-10.787724+(-1.220736--3.022464))+0-0-0</f>
        <v>4395.9140040000002</v>
      </c>
      <c r="AD220">
        <f t="shared" si="3"/>
        <v>111827.32075599999</v>
      </c>
      <c r="AE220" s="3">
        <f>6147+(905.2-1276.2)+(0+(0-0))+0-0-0</f>
        <v>5776</v>
      </c>
    </row>
    <row r="221" spans="1:31" s="2" customFormat="1" x14ac:dyDescent="0.25">
      <c r="A221">
        <v>89</v>
      </c>
      <c r="B221">
        <v>8</v>
      </c>
      <c r="C221">
        <v>5</v>
      </c>
      <c r="D221">
        <v>5</v>
      </c>
      <c r="E221">
        <v>1</v>
      </c>
      <c r="F221" s="3">
        <f>4826.3+(472.1-1464.8)+(-4.922826+(-0.481542--1.494096))+0-0-0</f>
        <v>3829.6897280000003</v>
      </c>
      <c r="G221" s="3">
        <f>4688+(210.6-1353.5)+(-11.9544+(-0.53703--3.451425))+0-0-0</f>
        <v>3536.0599950000001</v>
      </c>
      <c r="H221" s="3">
        <f>4629.6+(250.8-1426.6)+(-2.361096+(-0.127908--0.727566))+0-0-0</f>
        <v>3452.0385620000002</v>
      </c>
      <c r="I221" s="3">
        <f>4487.1+(248-1358.5)+(-2.288421+(-0.12648--0.692835))+0-0-0</f>
        <v>3374.8779340000006</v>
      </c>
      <c r="J221" s="3">
        <f>4464.2+(234.3-1350.6)+(11.38371+(0.597465-3.44403))+0-0-0</f>
        <v>3356.4371449999994</v>
      </c>
      <c r="K221" s="3">
        <f>4419.6+(182.9-1191.3)+(2.253996+(0.093279-0.607563))+0-0-0</f>
        <v>3412.9397120000003</v>
      </c>
      <c r="L221" s="3">
        <f>4336.8+(160.9-983.8)+(-6.635304+(-0.246177--1.505214))+0-0-0</f>
        <v>3508.523733</v>
      </c>
      <c r="M221" s="3">
        <f>4606.6+(364.3-1021.2)+(4.698732+(0.371586-1.041624))+0-0-0</f>
        <v>3953.7286940000004</v>
      </c>
      <c r="N221" s="3">
        <f>5101.6+(537.2-1114.7)+(-7.805448+(-0.821916--1.705491))+0-0-0</f>
        <v>4517.1781270000001</v>
      </c>
      <c r="O221" s="3">
        <f>5341.2+(696.2-1213.8)+(0+(0-0))+0-0-0</f>
        <v>4823.6000000000004</v>
      </c>
      <c r="P221" s="3">
        <f>5688.7+(879.3-1395.5)+(0+(0-0))+0-0-0</f>
        <v>5172.5</v>
      </c>
      <c r="Q221" s="3">
        <f>5749.9+(1001.7-1462.7)+(-2.932449+(-0.510867--0.745977))+0-0-0</f>
        <v>5286.2026609999994</v>
      </c>
      <c r="R221" s="3">
        <f>5729.2+(998.1-1553.4)+(-14.60946+(-2.545155--3.96117))+0-0-0</f>
        <v>5160.7065549999998</v>
      </c>
      <c r="S221" s="3">
        <f>5793.1+(1077.6-1795)+(-8.863443+(-1.648728--2.74635))+0-0-0</f>
        <v>5067.9341790000008</v>
      </c>
      <c r="T221" s="3">
        <f>5807.7+(1164.6-1845.3)+(-8.885781+(-1.781838--2.823309))+0-0-0</f>
        <v>5119.1556899999996</v>
      </c>
      <c r="U221" s="3">
        <f>5831.9+(1136.5-1819.1)+(-14.871345+(-2.898075--4.638705))+0-0-0</f>
        <v>5136.169284999999</v>
      </c>
      <c r="V221" s="3">
        <f>5808.8+(987.1-1541.4)+(-14.81244+(-2.517105--3.93057))+0-0-0</f>
        <v>5241.1010249999999</v>
      </c>
      <c r="W221" s="3">
        <f>5950.4+(755.7-1182.3)+(-6.069408+(-0.770814--1.205946))+4-0-0</f>
        <v>5522.1657239999995</v>
      </c>
      <c r="X221" s="3">
        <f>6223.9+(762.9-1343.8)+(-6.348378+(-0.778158--1.370676))+0-0-0</f>
        <v>5637.2441399999998</v>
      </c>
      <c r="Y221" s="3">
        <f>6219.4+(834.7-1593.1)+(-9.515682+(-1.277091--2.437443))+0-0-0</f>
        <v>5452.6446699999997</v>
      </c>
      <c r="Z221" s="3">
        <f>6179.5+(689-1606.1)+(-6.30309+(-0.70278--1.638222))+0-0-0</f>
        <v>5257.0323519999993</v>
      </c>
      <c r="AA221" s="3">
        <f>5781.6+(487.9-1294.1)+(-14.74308+(-1.244145--3.299955))+0-0-0</f>
        <v>4962.7127300000002</v>
      </c>
      <c r="AB221" s="3">
        <f>5336.1+(473-1152)+(2.721411+(0.24123-0.58752))+0-0-0</f>
        <v>4659.4751210000004</v>
      </c>
      <c r="AC221" s="3">
        <f>5013.1+(300.4-1121.2)+(-12.783405+(-0.76602--2.85906))+1-0-0</f>
        <v>4182.6096349999998</v>
      </c>
      <c r="AD221">
        <f t="shared" si="3"/>
        <v>109622.72739699998</v>
      </c>
      <c r="AE221" s="3">
        <f>6188+(794.1-1370.9)+(0+(0-0))+0-0-0</f>
        <v>5611.2</v>
      </c>
    </row>
    <row r="222" spans="1:31" s="2" customFormat="1" x14ac:dyDescent="0.25">
      <c r="A222">
        <v>89</v>
      </c>
      <c r="B222">
        <v>8</v>
      </c>
      <c r="C222">
        <v>6</v>
      </c>
      <c r="D222">
        <v>6</v>
      </c>
      <c r="E222">
        <v>1</v>
      </c>
      <c r="F222" s="3">
        <f>4885.9+(173.3-1322.6)+(-9.967236+(-0.353532--2.698104))+0-0-0</f>
        <v>3728.9773359999995</v>
      </c>
      <c r="G222" s="3">
        <f>4778.8+(236.4-1554.5)+(2.437188+(0.120564-0.792795))+0-0-0</f>
        <v>3462.4649570000001</v>
      </c>
      <c r="H222" s="3">
        <f>4772.3+(109.7-1551.9)+(2.433873+(0.055947-0.791469))+0-0-0</f>
        <v>3331.7983510000004</v>
      </c>
      <c r="I222" s="3">
        <f>4646.2+(101.8-1476.7)+(-4.739124+(-0.103836--1.506234))+0-0-0</f>
        <v>3267.9632739999997</v>
      </c>
      <c r="J222" s="3">
        <f>4561.1+(110-1383.6)+(-2.326161+(-0.0561--0.705636))+0-0-0</f>
        <v>3285.8233750000004</v>
      </c>
      <c r="K222" s="3">
        <f>4564.5+(106.9-1322.9)+(-4.65579+(-0.109038--1.349358))+0-0-0</f>
        <v>3345.0845300000001</v>
      </c>
      <c r="L222" s="3">
        <f>4542.8+(126.2-1259.3)+(-4.633656+(-0.128724--1.284486))+0-0-0</f>
        <v>3406.2221060000002</v>
      </c>
      <c r="M222" s="3">
        <f>4606.8+(200-1117.3)+(-2.349468+(-0.102--0.569823))+0-0-0</f>
        <v>3687.6183550000001</v>
      </c>
      <c r="N222" s="3">
        <f>5128.5+(403.5-1540.6)+(7.846605+(0.617355-2.357118))+0-0-0</f>
        <v>3997.5068420000002</v>
      </c>
      <c r="O222" s="3">
        <f>5376.2+(377.9-1317.6)+(5.483724+(0.385458-1.343952))+0-0-0</f>
        <v>4441.0252300000002</v>
      </c>
      <c r="P222" s="3">
        <f>5764.6+(390-1513.2)+(-11.759784+(-0.7956--3.086928))+0-0-0</f>
        <v>4631.9315440000009</v>
      </c>
      <c r="Q222" s="3">
        <f>6033.9+(402.4-1541.4)+(-6.154578+(-0.410448--1.572228))+0-0-0</f>
        <v>4889.9072019999994</v>
      </c>
      <c r="R222" s="3">
        <f>5894+(477.9-1528.8)+(-24.04752+(-1.949832--6.237504))+0-0-0</f>
        <v>4823.3401520000007</v>
      </c>
      <c r="S222" s="3">
        <f>5727.8+(591.2-1634.1)+(0+(0-0))+0-0-0</f>
        <v>4684.9000000000005</v>
      </c>
      <c r="T222" s="3">
        <f>5630.1+(684.1-1683.2)+(0+(0-0))+0-0-0</f>
        <v>4631</v>
      </c>
      <c r="U222" s="3">
        <f>5573.6+(644-1702.9)+(-8.527608+(-0.98532--2.605437))+0-0-0</f>
        <v>4507.7925090000008</v>
      </c>
      <c r="V222" s="3">
        <f>5528.8+(447.8-1470.5)+(0+(0-0))+0-0-0</f>
        <v>4506.1000000000004</v>
      </c>
      <c r="W222" s="3">
        <f>5786.6+(413.7-1201.4)+(-8.853498+(-0.632961--1.838142))+0-0-0</f>
        <v>4991.2516830000004</v>
      </c>
      <c r="X222" s="3">
        <f>6084.7+(419.6-1289.6)+(-15.515985+(-1.06998--3.28848))+0-0-0</f>
        <v>5201.4025149999998</v>
      </c>
      <c r="Y222" s="3">
        <f>5855.1+(527.4-1263)+(-23.888808+(-2.151792--5.15304))+0-0-0</f>
        <v>5098.6124399999999</v>
      </c>
      <c r="Z222" s="3">
        <f>5381.2+(559.2-1019.6)+(-5.488824+(-0.570384--1.039992))+0-0-0</f>
        <v>4915.7807840000005</v>
      </c>
      <c r="AA222" s="3">
        <f>5329.3+(498.1-1145.8)+(-10.871772+(-1.016124--2.337432))+0-0-0</f>
        <v>4672.0495360000004</v>
      </c>
      <c r="AB222" s="3">
        <f>5143.1+(387.2-1082)+(-15.737886+(-1.184832--3.31092))+0-0-0</f>
        <v>4434.6882020000003</v>
      </c>
      <c r="AC222" s="3">
        <f>4891.3+(437.2-1200.9)+(-2.494563+(-0.222972--0.612459))+0-0-0</f>
        <v>4125.4949240000005</v>
      </c>
      <c r="AD222">
        <f t="shared" si="3"/>
        <v>102068.735847</v>
      </c>
      <c r="AE222" s="3">
        <f>6055+(496.5-1391.7)+(0+(0-0))+0-0-0</f>
        <v>5159.8</v>
      </c>
    </row>
    <row r="223" spans="1:31" s="2" customFormat="1" x14ac:dyDescent="0.25">
      <c r="A223">
        <v>89</v>
      </c>
      <c r="B223">
        <v>8</v>
      </c>
      <c r="C223">
        <v>7</v>
      </c>
      <c r="D223">
        <v>7</v>
      </c>
      <c r="E223">
        <v>1</v>
      </c>
      <c r="F223" s="3">
        <f>4511.8+(362.1-1149.6)+(-11.50509+(-0.923355--2.93148))+0-0-0</f>
        <v>3714.8030350000004</v>
      </c>
      <c r="G223" s="3">
        <f>4318.6+(324.2-1195.1)+(-13.214916+(-0.992052--3.657006))+0-0-0</f>
        <v>3437.1500380000007</v>
      </c>
      <c r="H223" s="3">
        <f>4244.4+(351.8-1335.2)+(-6.493932+(-0.538254--2.042856))+0-0-0</f>
        <v>3256.0106699999997</v>
      </c>
      <c r="I223" s="3">
        <f>4241.7+(317.8-1400.7)+(-2.163267+(-0.162078--0.714357))+0-0-0</f>
        <v>3157.1890119999998</v>
      </c>
      <c r="J223" s="3">
        <f>4282.2+(325.9-1485)+(0+(0-0))+0-0-0</f>
        <v>3123.1</v>
      </c>
      <c r="K223" s="3">
        <f>4298.3+(277.9-1441.7)+(-2.192133+(-0.141729--0.735267))+0-0-0</f>
        <v>3132.9014050000001</v>
      </c>
      <c r="L223" s="3">
        <f>4039+(322.3-1330.4)+(-2.05989+(-0.164373--0.678504))+0-0-0</f>
        <v>3029.3542409999995</v>
      </c>
      <c r="M223" s="3">
        <f>3840.2+(368.1-1175.7)+(-1.958502+(-0.187731--0.599607))+0-0-0</f>
        <v>3031.0533740000001</v>
      </c>
      <c r="N223" s="3">
        <f>3941.4+(664.9-1350.7)+(-6.030342+(-1.017297--2.066571))+0-0-0</f>
        <v>3250.6189319999999</v>
      </c>
      <c r="O223" s="3">
        <f>4104.3+(978-1499.6)+(-4.186386+(-0.99756--1.529592))+0-0-0</f>
        <v>3579.0456460000005</v>
      </c>
      <c r="P223" s="3">
        <f>4286.6+(1053.2-1465.5)+(-4.372332+(-1.074264--1.49481))+0-0-0</f>
        <v>3870.3482140000001</v>
      </c>
      <c r="Q223" s="3">
        <f>4416.6+(1104.6-1525.3)+(-4.504932+(-1.126692--1.555806))+0-0-0</f>
        <v>3991.8241820000007</v>
      </c>
      <c r="R223" s="3">
        <f>4545.9+(955.7-1536)+(-4.636818+(-0.974814--1.56672))+0-0-0</f>
        <v>3961.5550879999996</v>
      </c>
      <c r="S223" s="3">
        <f>4602.2+(941.5-1644.2)+(-4.694244+(-0.96033--1.677084))+0-0-0</f>
        <v>3895.5225099999998</v>
      </c>
      <c r="T223" s="3">
        <f>4485.3+(903.3-1573)+(-9.150012+(-1.842732--3.20892))+0-0-0</f>
        <v>3807.8161760000003</v>
      </c>
      <c r="U223" s="3">
        <f>4350.6+(880.1-1450.1)+(-2.218806+(-0.448851--0.739551))+0-0-0</f>
        <v>3778.6718940000005</v>
      </c>
      <c r="V223" s="3">
        <f>4579.4+(755-1459.6)+(2.335494+(0.38505-0.744396))+0-0-0</f>
        <v>3876.7761479999999</v>
      </c>
      <c r="W223" s="3">
        <f>4973.1+(791-1396.9)+(-2.536281+(-0.40341--0.712419))+0-0-0</f>
        <v>4364.9727280000006</v>
      </c>
      <c r="X223" s="3">
        <f>5341.6+(856.5-1431.1)+(-10.896864+(-1.74726--2.919444))+0-0-0</f>
        <v>4757.2753199999997</v>
      </c>
      <c r="Y223" s="3">
        <f>5146.3+(872-1276.5)+(5.249226+(0.88944-1.30203))+0-0-0</f>
        <v>4746.6366360000002</v>
      </c>
      <c r="Z223" s="3">
        <f>5127.7+(913.8-1358.1)+(-7.845381+(-1.398114--2.077893))+0-0-0</f>
        <v>4676.2343979999996</v>
      </c>
      <c r="AA223" s="3">
        <f>5140.5+(875.6-1479)+(-5.24331+(-0.893112--1.50858))+0-0-0</f>
        <v>4532.4721580000005</v>
      </c>
      <c r="AB223" s="3">
        <f>5109.8+(573.7-1398.3)+(-5.211996+(-0.585174--1.426266))+0-0-0</f>
        <v>4280.8290960000004</v>
      </c>
      <c r="AC223" s="3">
        <f>4838.5+(707.8-1611.9)+(-12.338175+(-1.80489--4.110345))+0-0-0</f>
        <v>3924.3672799999995</v>
      </c>
      <c r="AD223">
        <f t="shared" si="3"/>
        <v>91176.528181000001</v>
      </c>
      <c r="AE223" s="3">
        <f>5444+(865.9-1527.7)+(0+(0-0))+0-0-0</f>
        <v>4782.2</v>
      </c>
    </row>
    <row r="224" spans="1:31" s="2" customFormat="1" x14ac:dyDescent="0.25">
      <c r="A224">
        <v>89</v>
      </c>
      <c r="B224">
        <v>8</v>
      </c>
      <c r="C224">
        <v>8</v>
      </c>
      <c r="D224">
        <v>1</v>
      </c>
      <c r="E224">
        <v>1</v>
      </c>
      <c r="F224" s="3">
        <f>4512.2+(557.4-1573.2)+(-2.301222+(-0.284274--0.802332))+0-0-0</f>
        <v>3494.6168359999997</v>
      </c>
      <c r="G224" s="3">
        <f>4343+(280.8-1386.4)+(-2.21493+(-0.143208--0.707064))+0-0-0</f>
        <v>3235.7489259999998</v>
      </c>
      <c r="H224" s="3">
        <f>4329.3+(208.5-1443.9)+(-6.623829+(-0.319005--2.209167))+0-0-0</f>
        <v>3089.1663330000001</v>
      </c>
      <c r="I224" s="3">
        <f>4097.4+(370.1-1434.1)+(2.089674+(0.188751-0.731391))+0-0-0</f>
        <v>3034.9470339999998</v>
      </c>
      <c r="J224" s="3">
        <f>4066.5+(437.1-1426.9)+(-8.29566+(-0.891684--2.910876))+0-0-0</f>
        <v>3070.4235319999998</v>
      </c>
      <c r="K224" s="3">
        <f>4136+(381.1-1346.9)+(0+(0-0))+0-0-0</f>
        <v>3170.2</v>
      </c>
      <c r="L224" s="3">
        <f>4193.3+(398.7-1131)+(0+(0-0))+0-0-0</f>
        <v>3461</v>
      </c>
      <c r="M224" s="3">
        <f>4444.1+(475.7-1122.7)+(-2.266491+(-0.242607--0.572577))+0-0-0</f>
        <v>3795.1634790000003</v>
      </c>
      <c r="N224" s="3">
        <f>4839.3+(813-1219.6)+(-7.404129+(-1.24389--1.865988))+0-0-0</f>
        <v>4425.917969000001</v>
      </c>
      <c r="O224" s="3">
        <f>4931.1+(673.9-754.8)+(-5.029722+(-0.687378--0.769896))+0-0-0</f>
        <v>4845.2527960000007</v>
      </c>
      <c r="P224" s="3">
        <f>4947+(783.3-628.1)+(-10.09188+(-1.597932--1.281324))+0-0-0</f>
        <v>5091.7915119999998</v>
      </c>
      <c r="Q224" s="3">
        <f>4960.4+(802.6-529.5)+(-2.529804+(-0.409326--0.270045))+0-0-0</f>
        <v>5230.8309149999995</v>
      </c>
      <c r="R224" s="3">
        <f>4888.3+(746.3-539.2)+(-4.986066+(-0.761226--0.549984))+0-0-0</f>
        <v>5090.2026919999998</v>
      </c>
      <c r="S224" s="3">
        <f>4894.6+(821.2-706.5)+(-9.984984+(-1.675248--1.44126))+0-0-0</f>
        <v>4999.0810280000005</v>
      </c>
      <c r="T224" s="3">
        <f>4899.3+(857.3-699.6)+(0+(0-0))+0-0-0</f>
        <v>5057</v>
      </c>
      <c r="U224" s="3">
        <f>4666.4+(862.7-510.9)+(-9.519456+(-1.759908--1.042236))+0-0-0</f>
        <v>5007.9628720000001</v>
      </c>
      <c r="V224" s="3">
        <f>4676.5+(828.8-461.1)+(-7.155045+(-1.268064--0.705483))+0-0-0</f>
        <v>5036.4823740000002</v>
      </c>
      <c r="W224" s="3">
        <f>5277.8+(756.2-488.9)+(0+(0-0))+0-0-0</f>
        <v>5545.1</v>
      </c>
      <c r="X224" s="3">
        <f>5638.2+(784.6-703.5)+(-8.626446+(-1.200438--1.076355))+0-0-0</f>
        <v>5710.5494710000003</v>
      </c>
      <c r="Y224" s="3">
        <f>5577.4+(770.8-805.9)+(-14.22237+(-1.96554--2.055045))+0-0-0</f>
        <v>5528.1671349999997</v>
      </c>
      <c r="Z224" s="3">
        <f>5447.3+(662.7-759)+(-11.112492+(-1.351908--1.54836))+0-0-0</f>
        <v>5340.0839599999999</v>
      </c>
      <c r="AA224" s="3">
        <f>5399.8+(728.7-1078.1)+(-8.261694+(-1.114911--1.649493))+0-0-0</f>
        <v>5042.672888000001</v>
      </c>
      <c r="AB224" s="3">
        <f>5204.3+(732.4-1221.1)+(-13.270965+(-1.86762--3.113805))+0-0-0</f>
        <v>4703.5752200000006</v>
      </c>
      <c r="AC224" s="3">
        <f>4707.4+(656.6-1105.2)+(-14.404644+(-2.009196--3.381912))+0-0-0</f>
        <v>4245.7680719999989</v>
      </c>
      <c r="AD224">
        <f t="shared" si="3"/>
        <v>107251.705044</v>
      </c>
      <c r="AE224" s="3">
        <f>5624+(813.2-792.3)+(0+(0-0))+0-0-0</f>
        <v>5644.9</v>
      </c>
    </row>
    <row r="225" spans="1:31" s="2" customFormat="1" x14ac:dyDescent="0.25">
      <c r="A225">
        <v>89</v>
      </c>
      <c r="B225">
        <v>8</v>
      </c>
      <c r="C225">
        <v>9</v>
      </c>
      <c r="D225">
        <v>2</v>
      </c>
      <c r="E225">
        <v>1</v>
      </c>
      <c r="F225" s="3">
        <f>4487+(630.8-1330.9)+(-6.86511+(-0.965124--2.036277))+0-0-0</f>
        <v>3781.1060429999998</v>
      </c>
      <c r="G225" s="3">
        <f>4196.5+(398.4-1076.9)+(-4.28043+(-0.406368--1.098438))+0-0-0</f>
        <v>3514.4116399999998</v>
      </c>
      <c r="H225" s="3">
        <f>3918.3+(311.7-866.1)+(-7.993332+(-0.635868--1.766844))+0-0-0</f>
        <v>3357.037644</v>
      </c>
      <c r="I225" s="3">
        <f>3908.7+(282.4-897.6)+(-5.980311+(-0.432072--1.373328))+0-0-0</f>
        <v>3288.4609449999998</v>
      </c>
      <c r="J225" s="3">
        <f>3839.3+(306.4-847.3)+(0+(0-0))+0-0-0</f>
        <v>3298.4</v>
      </c>
      <c r="K225" s="3">
        <f>3860.5+(295-778.3)+(0+(0-0))+0-0-0</f>
        <v>3377.2</v>
      </c>
      <c r="L225" s="3">
        <f>3896.8+(309.5-687.6)+(-3.974736+(-0.31569--0.701352))+0-0-0</f>
        <v>3515.1109260000003</v>
      </c>
      <c r="M225" s="3">
        <f>4199.2+(356.2-629.6)+(0+(0-0))+0-0-0</f>
        <v>3925.7999999999997</v>
      </c>
      <c r="N225" s="3">
        <f>4770.4+(471-696.9)+(-4.865808+(-0.48042--0.710838))+0-0-0</f>
        <v>4539.8646099999996</v>
      </c>
      <c r="O225" s="3">
        <f>4899+(744.1-702.5)+(-2.49849+(-0.379491--0.358275))+0-0-0</f>
        <v>4938.0802940000003</v>
      </c>
      <c r="P225" s="3">
        <f>4940.5+(811.7-660.8)+(-5.03931+(-0.827934--0.674016))+0-0-0</f>
        <v>5086.2067719999995</v>
      </c>
      <c r="Q225" s="3">
        <f>4958.6+(814.3-592.3)+(-10.115544+(-1.661172--1.208292))+0-0-0</f>
        <v>5170.0315760000003</v>
      </c>
      <c r="R225" s="3">
        <f>4952.9+(772.2-841.2)+(-2.525979+(-0.393822--0.429012))+0-0-0</f>
        <v>4881.4092109999992</v>
      </c>
      <c r="S225" s="3">
        <f>4979.4+(873.3-1017.6)+(-5.078988+(-0.890766--1.037952))+0-0-0</f>
        <v>4830.1681979999994</v>
      </c>
      <c r="T225" s="3">
        <f>5027.3+(895-1037.3)+(-2.563923+(-0.45645--0.529023))+0-0-0</f>
        <v>4882.5086499999998</v>
      </c>
      <c r="U225" s="3">
        <f>5013.2+(887.2-936.3)+(-12.78366+(-2.26236--2.387565))+0-0-0</f>
        <v>4951.4415450000006</v>
      </c>
      <c r="V225" s="3">
        <f>5130.6+(850.4-827.5)+(0+(0-0))+0-0-0</f>
        <v>5153.5</v>
      </c>
      <c r="W225" s="3">
        <f>5316.9+(677.3-406.9)+(-5.423238+(-0.690846--0.415038))+0-0-0</f>
        <v>5581.6009539999995</v>
      </c>
      <c r="X225" s="3">
        <f>5415+(728.5-439.1)+(-11.0466+(-1.48614--0.895764))+0-0-0</f>
        <v>5692.7630239999999</v>
      </c>
      <c r="Y225" s="3">
        <f>5383.5+(623.5-442)+(-10.98234+(-1.27194--0.90168))+0-0-0</f>
        <v>5553.6473999999998</v>
      </c>
      <c r="Z225" s="3">
        <f>5349.4+(727.3-725)+(-5.456388+(-0.741846--0.7395))+0-0-0</f>
        <v>5346.241266</v>
      </c>
      <c r="AA225" s="3">
        <f>5306.8+(732.6-988.6)+(-8.119404+(-1.120878--1.512558))+0-0-0</f>
        <v>5043.0722759999999</v>
      </c>
      <c r="AB225" s="3">
        <f>5246.1+(715.5-1208.5)+(-10.702044+(-1.45962--2.46534))+0-0-0</f>
        <v>4743.4036760000008</v>
      </c>
      <c r="AC225" s="3">
        <f>4735.6+(586.1-1109.5)+(-9.660624+(-1.195644--2.26338))+0-0-0</f>
        <v>4203.6071120000006</v>
      </c>
      <c r="AD225">
        <f t="shared" si="3"/>
        <v>108655.073762</v>
      </c>
      <c r="AE225" s="3">
        <f>5365+(715.8-433.8)+(0+(0-0))+0-0-0</f>
        <v>5647</v>
      </c>
    </row>
    <row r="226" spans="1:31" s="2" customFormat="1" x14ac:dyDescent="0.25">
      <c r="A226">
        <v>89</v>
      </c>
      <c r="B226">
        <v>8</v>
      </c>
      <c r="C226">
        <v>10</v>
      </c>
      <c r="D226">
        <v>3</v>
      </c>
      <c r="E226">
        <v>1</v>
      </c>
      <c r="F226" s="3">
        <f>4292.5+(372.2-858.4)+(-2.189175+(-0.189822--0.437784))+0-0-0</f>
        <v>3804.3587870000001</v>
      </c>
      <c r="G226" s="3">
        <f>4193.7+(338.9-991.3)+(-10.693935+(-0.864195--2.527815))+0-0-0</f>
        <v>3532.2696849999998</v>
      </c>
      <c r="H226" s="3">
        <f>4053.2+(361.6-1011.8)+(-4.134264+(-0.368832--1.032036))+0-0-0</f>
        <v>3399.5289400000001</v>
      </c>
      <c r="I226" s="3">
        <f>4019.2+(259.3-954.5)+(4.099584+(0.264486-0.97359))+0-0-0</f>
        <v>3327.39048</v>
      </c>
      <c r="J226" s="3">
        <f>3996.2+(234.3-924.2)+(-8.152248+(-0.477972--1.885368))+0-0-0</f>
        <v>3299.5551479999999</v>
      </c>
      <c r="K226" s="3">
        <f>3930.2+(240.3-786.1)+(6.013206+(0.367659-1.202733))+0-0-0</f>
        <v>3389.5781319999996</v>
      </c>
      <c r="L226" s="3">
        <f>3968.7+(201.1-552.9)+(-6.072111+(-0.307683--0.845937))+0-0-0</f>
        <v>3611.3661429999997</v>
      </c>
      <c r="M226" s="3">
        <f>4354.6+(279.3-760.4)+(0+(0-0))+0-0-0</f>
        <v>3873.5000000000005</v>
      </c>
      <c r="N226" s="3">
        <f>4750.5+(404.7-651.6)+(-4.84551+(-0.412794--0.664632))+0-0-0</f>
        <v>4499.0063280000004</v>
      </c>
      <c r="O226" s="3">
        <f>5084.2+(473.2-713.4)+(-12.96471+(-1.20666--1.81917))+0-0-0</f>
        <v>4831.6477999999997</v>
      </c>
      <c r="P226" s="3">
        <f>5255.3+(437-606.8)+(-8.040609+(-0.66861--0.928404))+0-0-0</f>
        <v>5077.7191849999999</v>
      </c>
      <c r="Q226" s="3">
        <f>5312.1+(499.8-591.9)+(0+(0-0))+0-0-0</f>
        <v>5220</v>
      </c>
      <c r="R226" s="3">
        <f>5236.3+(542.9-631.7)+(-18.693591+(-1.938153--2.255169))+0-0-0</f>
        <v>5129.1234249999998</v>
      </c>
      <c r="S226" s="3">
        <f>5335.6+(588.3-967.6)+(0+(0-0))+0-0-0</f>
        <v>4956.3</v>
      </c>
      <c r="T226" s="3">
        <f>5331+(582.8-805.9)+(-8.15643+(-0.891684--1.233027))+0-0-0</f>
        <v>5100.0849129999997</v>
      </c>
      <c r="U226" s="3">
        <f>5336.3+(569.1-738.7)+(-16.329078+(-1.741446--2.260422))+0-0-0</f>
        <v>5150.8898979999994</v>
      </c>
      <c r="V226" s="3">
        <f>5462.1+(393.8-533.1)+(0+(0-0))+0-0-0</f>
        <v>5322.8</v>
      </c>
      <c r="W226" s="3">
        <f>5614.3+(589.7-610.5)+(2.863293+(0.300747-0.311355))+0-0-0</f>
        <v>5596.3526849999998</v>
      </c>
      <c r="X226" s="3">
        <f>5637.3+(616.5-613.3)+(-11.500092+(-1.25766--1.251132))+0-0-0</f>
        <v>5628.9933799999999</v>
      </c>
      <c r="Y226" s="3">
        <f>5597.1+(413.7-557.1)+(-14.272605+(-1.054935--1.420605))+0-0-0</f>
        <v>5439.7930650000008</v>
      </c>
      <c r="Z226" s="3">
        <f>5274+(445.2-452.9)+(0+(0-0))+0-0-0</f>
        <v>5266.3</v>
      </c>
      <c r="AA226" s="3">
        <f>5191.2+(330.8-479.7)+(-5.295024+(-0.337416--0.489294))+0-0-0</f>
        <v>5037.1568539999998</v>
      </c>
      <c r="AB226" s="3">
        <f>4837.2+(352.7-471.4)+(-12.33486+(-0.899385--1.20207))+0-0-0</f>
        <v>4706.4678249999997</v>
      </c>
      <c r="AC226" s="3">
        <f>4629+(301.7-622.8)+(-2.36079+(-0.153867--0.317628))+0-0-0</f>
        <v>4305.7029709999997</v>
      </c>
      <c r="AD226">
        <f t="shared" si="3"/>
        <v>109505.88564400002</v>
      </c>
      <c r="AE226" s="3">
        <f>5632+(633.9-656.1)+(0+(0-0))+0-0-0</f>
        <v>5609.8</v>
      </c>
    </row>
    <row r="227" spans="1:31" s="2" customFormat="1" x14ac:dyDescent="0.25">
      <c r="A227">
        <v>89</v>
      </c>
      <c r="B227">
        <v>8</v>
      </c>
      <c r="C227">
        <v>11</v>
      </c>
      <c r="D227">
        <v>4</v>
      </c>
      <c r="E227">
        <v>1</v>
      </c>
      <c r="F227" s="3">
        <f>4543.4+(361.4-1074.9)+(2.317134+(0.184314-0.548199))+0-0-0</f>
        <v>3831.8532489999998</v>
      </c>
      <c r="G227" s="3">
        <f>4507.3+(258.5-1208.5)+(-6.896169+(-0.395505--1.849005))+0-0-0</f>
        <v>3551.8573310000002</v>
      </c>
      <c r="H227" s="3">
        <f>4497.6+(178-1240.7)+(-6.881328+(-0.27234--1.898271))+0-0-0</f>
        <v>3429.6446030000006</v>
      </c>
      <c r="I227" s="3">
        <f>4435.2+(203.4-1243)+(4.523904+(0.207468-1.26786))+0-0-0</f>
        <v>3399.0635119999997</v>
      </c>
      <c r="J227" s="3">
        <f>4354.7+(169.7-1140.8)+(2.220897+(0.086547-0.581808))+0-0-0</f>
        <v>3385.325636</v>
      </c>
      <c r="K227" s="3">
        <f>4299.2+(156.3-1025.3)+(0+(0-0))+0-0-0</f>
        <v>3430.2</v>
      </c>
      <c r="L227" s="3">
        <f>4244.9+(151-809.7)+(2.164899+(0.07701-0.412947))+0-0-0</f>
        <v>3588.0289619999999</v>
      </c>
      <c r="M227" s="3">
        <f>4418.4+(364.6-809.1)+(-2.253384+(-0.185946--0.412641))+0-0-0</f>
        <v>3971.8733109999998</v>
      </c>
      <c r="N227" s="3">
        <f>4619.7+(631.5-783.8)+(-7.068141+(-0.966195--1.199214))+0-0-0</f>
        <v>4460.5648779999992</v>
      </c>
      <c r="O227" s="3">
        <f>4881.2+(654.5-644.9)+(-4.978824+(-0.66759--0.657798))+0-0-0</f>
        <v>4885.8113840000005</v>
      </c>
      <c r="P227" s="3">
        <f>5366.1+(760.5-896.8)+(0+(0-0))+0-0-0</f>
        <v>5229.8</v>
      </c>
      <c r="Q227" s="3">
        <f>5602.1+(905.4-1084.7)+(-11.428284+(-1.847016--2.212788))+0-0-0</f>
        <v>5411.7374879999998</v>
      </c>
      <c r="R227" s="3">
        <f>5513.3+(1012.6-1172.3)+(5.623566+(1.032852-1.195746))+0-0-0</f>
        <v>5359.0606720000005</v>
      </c>
      <c r="S227" s="3">
        <f>5432.4+(1060.1-1222.6)+(-11.082096+(-2.162604--2.494104))+0-0-0</f>
        <v>5259.1494039999998</v>
      </c>
      <c r="T227" s="3">
        <f>5391.2+(1117.5-1153.4)+(-5.499024+(-1.13985--1.176468))+0-0-0</f>
        <v>5349.8375939999996</v>
      </c>
      <c r="U227" s="3">
        <f>5399.5+(1097.7-1176.7)+(-13.768725+(-2.799135--3.000585))+0-0-0</f>
        <v>5306.9327249999997</v>
      </c>
      <c r="V227" s="3">
        <f>5417.5+(933.6-953.2)+(8.288775+(1.428408-1.458396))+0-0-0</f>
        <v>5406.1587869999994</v>
      </c>
      <c r="W227" s="3">
        <f>5645.2+(623.5-594.6)+(-8.637156+(-0.953955--0.909738))+0-0-0</f>
        <v>5665.4186269999991</v>
      </c>
      <c r="X227" s="3">
        <f>5853.9+(677.8-884.4)+(-14.927445+(-1.72839--2.25522))+0-0-0</f>
        <v>5632.8993849999997</v>
      </c>
      <c r="Y227" s="3">
        <f>5590.5+(632.3-754.2)+(-5.70231+(-0.644946--0.769284))+0-0-0</f>
        <v>5463.0220280000003</v>
      </c>
      <c r="Z227" s="3">
        <f>5368.5+(603.1-597)+(-2.737935+(-0.307581--0.30447))+0-0-0</f>
        <v>5371.8589540000003</v>
      </c>
      <c r="AA227" s="3">
        <f>5159.1+(643.9-724.7)+(-7.893423+(-0.985167--1.108791))+0-0-0</f>
        <v>5070.5302010000005</v>
      </c>
      <c r="AB227" s="3">
        <f>5039.8+(346-642.4)+(-5.140596+(-0.35292--0.655248))+0-0-0</f>
        <v>4738.5617320000001</v>
      </c>
      <c r="AC227" s="3">
        <f>4703.2+(243.4-636.2)+(-4.797264+(-0.248268--0.648924))+0-0-0</f>
        <v>4306.0033919999996</v>
      </c>
      <c r="AD227">
        <f t="shared" si="3"/>
        <v>111505.19385499999</v>
      </c>
      <c r="AE227" s="3">
        <f>5987+(646.3-854.6)+(0+(0-0))+0-0-0</f>
        <v>5778.7</v>
      </c>
    </row>
    <row r="228" spans="1:31" s="2" customFormat="1" x14ac:dyDescent="0.25">
      <c r="A228">
        <v>89</v>
      </c>
      <c r="B228">
        <v>8</v>
      </c>
      <c r="C228">
        <v>12</v>
      </c>
      <c r="D228">
        <v>5</v>
      </c>
      <c r="E228">
        <v>1</v>
      </c>
      <c r="F228" s="3">
        <f>4548.4+(145.4-814.6)+(-2.319684+(-0.074154--0.415446))+0-0-0</f>
        <v>3877.2216079999998</v>
      </c>
      <c r="G228" s="3">
        <f>4456.2+(151.6-985)+(-11.36331+(-0.38658--2.51175))+0-0-0</f>
        <v>3613.5618599999998</v>
      </c>
      <c r="H228" s="3">
        <f>4315.6+(179.9-978)+(-4.401912+(-0.183498--0.99756))+0-0-0</f>
        <v>3513.9121500000006</v>
      </c>
      <c r="I228" s="3">
        <f>4318.9+(189.4-1055.5)+(0+(0-0))+0-0-0</f>
        <v>3452.7999999999997</v>
      </c>
      <c r="J228" s="3">
        <f>4299.7+(198.5-1062.3)+(-8.771388+(-0.40494--2.167092))+0-0-0</f>
        <v>3428.8907639999998</v>
      </c>
      <c r="K228" s="3">
        <f>4383.2+(134.1-1003.1)+(-4.470864+(-0.136782--1.023162))+0-0-0</f>
        <v>3510.6155159999998</v>
      </c>
      <c r="L228" s="3">
        <f>4508+(124.9-938.8)+(4.59816+(0.127398-0.957576))+0-0-0</f>
        <v>3697.8679819999998</v>
      </c>
      <c r="M228" s="3">
        <f>4760.9+(215.4-859.4)+(-2.428059+(-0.109854--0.438294))+0-0-0</f>
        <v>4114.800381</v>
      </c>
      <c r="N228" s="3">
        <f>4858.5+(529.6-686.7)+(-4.95567+(-0.540192--0.700434))+0-0-0</f>
        <v>4696.6045719999993</v>
      </c>
      <c r="O228" s="3">
        <f>4997.2+(731.4-646.3)+(-2.548572+(-0.373014--0.329613))+0-0-0</f>
        <v>5079.7080270000006</v>
      </c>
      <c r="P228" s="3">
        <f>5026.2+(881.8-517.5)+(-10.253448+(-1.798872--1.0557))+0-0-0</f>
        <v>5379.5033800000001</v>
      </c>
      <c r="Q228" s="3">
        <f>5214.8+(941.1-546.7)+(5.319096+(0.959922-0.557634))+0-0-0</f>
        <v>5614.9213840000002</v>
      </c>
      <c r="R228" s="3">
        <f>5056.6+(981.6-476.8)+(-5.157732+(-1.001232--0.486336))+0-0-0</f>
        <v>5555.7273720000003</v>
      </c>
      <c r="S228" s="3">
        <f>5013.6+(916.7-449.6)+(5.113872+(0.935034-0.458592))+0-0-0</f>
        <v>5486.2903140000008</v>
      </c>
      <c r="T228" s="3">
        <f>5056.7+(912.8-455.2)+(5.157834+(0.931056-0.464304))+0-0-0</f>
        <v>5519.9245860000001</v>
      </c>
      <c r="U228" s="3">
        <f>4828.4+(1042.7-421.8)+(4.924968+(1.063554-0.430236))+0-0-0</f>
        <v>5454.8582859999997</v>
      </c>
      <c r="V228" s="3">
        <f>4997.5+(983.7-435.1)+(0+(0-0))+0-0-0</f>
        <v>5546.1</v>
      </c>
      <c r="W228" s="3">
        <f>5303.2+(922.9-419.7)+(-5.409264+(-0.941358--0.428094))+0-0-0</f>
        <v>5800.4774719999996</v>
      </c>
      <c r="X228" s="3">
        <f>5386+(1008.3-635.1)+(-8.24058+(-1.542699--0.971703))+0-0-0</f>
        <v>5750.3884239999998</v>
      </c>
      <c r="Y228" s="3">
        <f>5404+(825.6-653.8)+(-13.7802+(-2.10528--1.66719))+0-0-0</f>
        <v>5561.5817100000004</v>
      </c>
      <c r="Z228" s="3">
        <f>5259+(753-729.6)+(-13.41045+(-1.92015--1.86048))+0-0-0</f>
        <v>5268.9298799999997</v>
      </c>
      <c r="AA228" s="3">
        <f>5262+(641.6-690.3)+(-16.10172+(-1.963296--2.112318))+0-0-0</f>
        <v>5197.3473020000001</v>
      </c>
      <c r="AB228" s="3">
        <f>5030+(530.7-688.5)+(-5.1306+(-0.541314--0.70227))+0-0-0</f>
        <v>4867.230356</v>
      </c>
      <c r="AC228" s="3">
        <f>4443+(527-587.9)+(-6.79779+(-0.80631--0.899487))+0-0-0</f>
        <v>4375.3953870000005</v>
      </c>
      <c r="AD228">
        <f t="shared" si="3"/>
        <v>114364.658713</v>
      </c>
      <c r="AE228" s="3">
        <f>5444+(953.9-683.7)+(0+(0-0))+0-0-0</f>
        <v>5714.2</v>
      </c>
    </row>
    <row r="229" spans="1:31" s="2" customFormat="1" x14ac:dyDescent="0.25">
      <c r="A229">
        <v>89</v>
      </c>
      <c r="B229">
        <v>8</v>
      </c>
      <c r="C229">
        <v>13</v>
      </c>
      <c r="D229">
        <v>6</v>
      </c>
      <c r="E229">
        <v>1</v>
      </c>
      <c r="F229" s="3">
        <f>4226.1+(619.1-958.2)+(-2.155311+(-0.315741--0.488682))+0-0-0</f>
        <v>3885.0176300000003</v>
      </c>
      <c r="G229" s="3">
        <f>4155.1+(452.1-962)+(-4.238202+(-0.461142--0.98124))+0-0-0</f>
        <v>3641.4818960000002</v>
      </c>
      <c r="H229" s="3">
        <f>3965.2+(316.7-777.6)+(-2.022252+(-0.161517--0.396576))+0-0-0</f>
        <v>3502.5128069999996</v>
      </c>
      <c r="I229" s="3">
        <f>3944.1+(195.1-709.1)+(0+(0-0))+0-0-0</f>
        <v>3430.1</v>
      </c>
      <c r="J229" s="3">
        <f>3804+(292.6-724)+(7.76016+(0.596904-1.47696))+0-0-0</f>
        <v>3379.4801039999998</v>
      </c>
      <c r="K229" s="3">
        <f>3454.1+(459.1-520.7)+(-1.761591+(-0.234141--0.265557))+0-0-0</f>
        <v>3390.7698249999999</v>
      </c>
      <c r="L229" s="3">
        <f>3572.3+(550.2-536.1)+(-7.287492+(-1.122408--1.093644))+0-0-0</f>
        <v>3579.083744</v>
      </c>
      <c r="M229" s="3">
        <f>3945.6+(554.7-603.8)+(-4.024512+(-0.565794--0.615876))+0-0-0</f>
        <v>3892.5255699999998</v>
      </c>
      <c r="N229" s="3">
        <f>4439+(832-852.2)+(-2.26389+(-0.42432--0.434622))+0-0-0</f>
        <v>4416.5464120000006</v>
      </c>
      <c r="O229" s="3">
        <f>4782.5+(999.5-1012.2)+(-7.317225+(-1.529235--1.548666))+0-0-0</f>
        <v>4762.5022060000001</v>
      </c>
      <c r="P229" s="3">
        <f>4849+(1065.9-942.7)+(0+(0-0))+0-0-0</f>
        <v>4972.2</v>
      </c>
      <c r="Q229" s="3">
        <f>4967.3+(1052.9-946.4)+(0+(0-0))+0-0-0</f>
        <v>5073.8</v>
      </c>
      <c r="R229" s="3">
        <f>4837+(1040.5-913.3)+(-7.40061+(-1.591965--1.397349))+0-0-0</f>
        <v>4956.6047739999995</v>
      </c>
      <c r="S229" s="3">
        <f>4693.3+(1188.7-1120.2)+(-9.574332+(-2.424948--2.285208))+0-0-0</f>
        <v>4752.0859280000004</v>
      </c>
      <c r="T229" s="3">
        <f>4737.3+(1167.3-1176)+(2.416023+(0.595323-0.59976))+0-0-0</f>
        <v>4731.0115860000005</v>
      </c>
      <c r="U229" s="3">
        <f>4794.6+(1039.8-1129.3)+(-12.22623+(-2.65149--2.879715))+0-0-0</f>
        <v>4693.101995</v>
      </c>
      <c r="V229" s="3">
        <f>5073.5+(899-1129)+(-7.762455+(-1.37547--1.72737))+0-0-0</f>
        <v>4836.0894449999996</v>
      </c>
      <c r="W229" s="3">
        <f>5390.5+(651.3-766.3)+(-5.49831+(-0.664326--0.781626))+0-0-0</f>
        <v>5270.1189899999999</v>
      </c>
      <c r="X229" s="3">
        <f>5669.3+(719.1-984.8)+(-11.565372+(-1.466964--2.008992))+0-0-0</f>
        <v>5392.5766560000002</v>
      </c>
      <c r="Y229" s="3">
        <f>5679+(724.2-1088.6)+(-14.48145+(-1.84671--2.77593))+0-0-0</f>
        <v>5301.0477700000001</v>
      </c>
      <c r="Z229" s="3">
        <f>5614.8+(740.2-1180)+(-8.590644+(-1.132506--1.8054))+0-0-0</f>
        <v>5167.0822500000004</v>
      </c>
      <c r="AA229" s="3">
        <f>5446.6+(725.5-1202.1)+(-2.777766+(-0.370005--0.613071))+0-0-0</f>
        <v>4967.4652999999998</v>
      </c>
      <c r="AB229" s="3">
        <f>5113.8+(600.9-1014.3)+(-10.432152+(-1.225836--2.069172))+0-0-0</f>
        <v>4690.8111840000001</v>
      </c>
      <c r="AC229" s="3">
        <f>4620.3+(526.5-766.2)+(-11.781765+(-1.342575--1.95381))+0-0-0</f>
        <v>4369.42947</v>
      </c>
      <c r="AD229">
        <f t="shared" si="3"/>
        <v>107053.44554200003</v>
      </c>
      <c r="AE229" s="3">
        <f>5695+(724.1-952.8)+(0+(0-0))+0-0-0</f>
        <v>5466.3</v>
      </c>
    </row>
    <row r="230" spans="1:31" s="2" customFormat="1" x14ac:dyDescent="0.25">
      <c r="A230">
        <v>89</v>
      </c>
      <c r="B230">
        <v>8</v>
      </c>
      <c r="C230">
        <v>14</v>
      </c>
      <c r="D230">
        <v>7</v>
      </c>
      <c r="E230">
        <v>1</v>
      </c>
      <c r="F230" s="3">
        <f>4387.4+(534.5-943.2)+(-4.475148+(-0.54519--0.962064))+0-0-0</f>
        <v>3974.6417259999998</v>
      </c>
      <c r="G230" s="3">
        <f>4322.8+(464.7-1109.9)+(-2.204628+(-0.236997--0.566049))+0-0-0</f>
        <v>3675.7244240000005</v>
      </c>
      <c r="H230" s="3">
        <f>4060.6+(282-871.3)+(-2.070906+(-0.14382--0.444363))+0-0-0</f>
        <v>3469.5296370000001</v>
      </c>
      <c r="I230" s="3">
        <f>4040.9+(224.9-907.2)+(-4.121718+(-0.229398--0.925344))+0-0-0</f>
        <v>3355.1742279999999</v>
      </c>
      <c r="J230" s="3">
        <f>4006.7+(207.8-891.1)+(-6.130251+(-0.317934--1.363383))+0-0-0</f>
        <v>3318.3151979999998</v>
      </c>
      <c r="K230" s="3">
        <f>4062.1+(198.1-936.3)+(4.143342+(0.202062-0.955026))+0-0-0</f>
        <v>3327.2903780000001</v>
      </c>
      <c r="L230" s="3">
        <f>4073.9+(187.2-1026)+(-10.388445+(-0.47736--2.6163))+0-0-0</f>
        <v>3226.8504950000001</v>
      </c>
      <c r="M230" s="3">
        <f>4033+(248.1-1107.9)+(0+(0-0))+0-0-0</f>
        <v>3173.2</v>
      </c>
      <c r="N230" s="3">
        <f>4348.6+(374.7-1337.8)+(-2.217786+(-0.191097--0.682278))+0-0-0</f>
        <v>3383.7733950000006</v>
      </c>
      <c r="O230" s="3">
        <f>4325.3+(560.5-1199.3)+(2.205903+(0.285855-0.611643))+0-0-0</f>
        <v>3688.3801149999999</v>
      </c>
      <c r="P230" s="3">
        <f>4278+(765.1-1063.8)+(-4.36356+(-0.780402--1.085076))+0-0-0</f>
        <v>3975.2411140000004</v>
      </c>
      <c r="Q230" s="3">
        <f>4366.3+(852.2-1263)+(-11.134065+(-2.17311--3.22065))+0-0-0</f>
        <v>3945.4134749999998</v>
      </c>
      <c r="R230" s="3">
        <f>4595.7+(862.8-1359.5)+(-4.687614+(-0.880056--1.38669))+0-0-0</f>
        <v>4094.8190199999999</v>
      </c>
      <c r="S230" s="3">
        <f>4673.3+(893.1-1559.7)+(-7.150149+(-1.366443--2.386341))+0-0-0</f>
        <v>4000.5697490000002</v>
      </c>
      <c r="T230" s="3">
        <f>4799.1+(856.8-1723.7)+(-4.895082+(-0.873936--1.758174))+0-0-0</f>
        <v>3928.1891560000004</v>
      </c>
      <c r="U230" s="3">
        <f>4673.6+(849.3-1639.3)+(-7.150608+(-1.299429--2.508129))+0-0-0</f>
        <v>3877.6580920000006</v>
      </c>
      <c r="V230" s="3">
        <f>4686.7+(737.4-1415.3)+(-4.780434+(-0.752148--1.443606))+0-0-0</f>
        <v>4004.7110239999997</v>
      </c>
      <c r="W230" s="3">
        <f>5067.8+(481.2-931.2)+(-2.584578+(-0.245412--0.474912))+0-0-0</f>
        <v>4615.4449220000006</v>
      </c>
      <c r="X230" s="3">
        <f>5177.2+(607-889)+(-5.280744+(-0.61914--0.90678))+0-0-0</f>
        <v>4890.2068959999997</v>
      </c>
      <c r="Y230" s="3">
        <f>5142.5+(639-925)+(-5.24535+(-0.65178--0.9435))+0-0-0</f>
        <v>4851.54637</v>
      </c>
      <c r="Z230" s="3">
        <f>5124.8+(672.2-991.8)+(-7.840944+(-1.028466--1.517454))+0-0-0</f>
        <v>4797.8480440000003</v>
      </c>
      <c r="AA230" s="3">
        <f>5054.7+(775.8-1151.7)+(-5.155794+(-0.791316--1.174734))+0-0-0</f>
        <v>4674.0276239999994</v>
      </c>
      <c r="AB230" s="3">
        <f>4750.4+(706.7-970.3)+(-2.422704+(-0.360417--0.494853))+0-0-0</f>
        <v>4484.511731999999</v>
      </c>
      <c r="AC230" s="3">
        <f>4525.4+(399.9-811.3)+(-11.53977+(-1.019745--2.068815))+0-0-0</f>
        <v>4103.5092999999997</v>
      </c>
      <c r="AD230">
        <f t="shared" si="3"/>
        <v>94836.576113999996</v>
      </c>
      <c r="AE230" s="3">
        <f>5251+(591.6-949.2)+(0+(0-0))+0-0-0</f>
        <v>4893.3999999999996</v>
      </c>
    </row>
    <row r="231" spans="1:31" s="2" customFormat="1" x14ac:dyDescent="0.25">
      <c r="A231">
        <v>89</v>
      </c>
      <c r="B231">
        <v>8</v>
      </c>
      <c r="C231">
        <v>15</v>
      </c>
      <c r="D231">
        <v>1</v>
      </c>
      <c r="E231">
        <v>1</v>
      </c>
      <c r="F231" s="3">
        <f>4139+(341.9-775.6)+(-10.55445+(-0.871845--1.97778))+0-0-0</f>
        <v>3695.8514850000001</v>
      </c>
      <c r="G231" s="3">
        <f>3892.3+(380.8-866.1)+(-15.880584+(-1.553664--3.533688))+0-0-0</f>
        <v>3393.09944</v>
      </c>
      <c r="H231" s="3">
        <f>3722.5+(427-883.5)+(-7.5939+(-0.87108--1.80234))+0-0-0</f>
        <v>3259.33736</v>
      </c>
      <c r="I231" s="3">
        <f>3643+(372.7-819.3)+(3.71586+(0.380154-0.835686))+0-0-0</f>
        <v>3199.6603279999999</v>
      </c>
      <c r="J231" s="3">
        <f>3631.4+(359.2-781.6)+(-1.852014+(-0.183192--0.398616))+0-0-0</f>
        <v>3207.3634099999999</v>
      </c>
      <c r="K231" s="3">
        <f>3609.2+(375.5-659.3)+(-5.522076+(-0.574515--1.008729))+0-0-0</f>
        <v>3320.3121379999998</v>
      </c>
      <c r="L231" s="3">
        <f>3597.2+(389.7-474.1)+(0+(0-0))+0-0-0</f>
        <v>3512.7999999999997</v>
      </c>
      <c r="M231" s="3">
        <f>3925.3+(378-377.3)+(-2.001903+(-0.19278--0.192423))+0-0-0</f>
        <v>3923.9977399999998</v>
      </c>
      <c r="N231" s="3">
        <f>4602.2+(614.4-613.9)+(2.347122+(0.313344-0.313089))+0-0-0</f>
        <v>4605.0473769999999</v>
      </c>
      <c r="O231" s="3">
        <f>4855.5+(840.4-706.6)+(4.95261+(0.857208-0.720732))+0-0-0</f>
        <v>4994.3890860000001</v>
      </c>
      <c r="P231" s="3">
        <f>4826.7+(842.2-596.5)+(0+(0-0))+0-0-0</f>
        <v>5072.3999999999996</v>
      </c>
      <c r="Q231" s="3">
        <f>4991.2+(832.2-592.4)+(-7.636536+(-1.273266--0.906372))+0-0-0</f>
        <v>5222.9965700000002</v>
      </c>
      <c r="R231" s="3">
        <f>4895.5+(960.2-705.7)+(-17.476935+(-3.427914--2.519349))+0-0-0</f>
        <v>5131.6144999999997</v>
      </c>
      <c r="S231" s="3">
        <f>4748.1+(970.2-665.6)+(-2.421531+(-0.494802--0.339456))+0-0-0</f>
        <v>5050.1231230000003</v>
      </c>
      <c r="T231" s="3">
        <f>4641+(1084.3-613.4)+(-9.46764+(-2.211972--1.251336))+0-0-0</f>
        <v>5101.471724</v>
      </c>
      <c r="U231" s="3">
        <f>4696.1+(1005.9-626.8)+(0+(0-0))+0-0-0</f>
        <v>5075.2000000000007</v>
      </c>
      <c r="V231" s="3">
        <f>4928.6+(866.4-656.2)+(-2.513586+(-0.441864--0.334662))+0-0-0</f>
        <v>5136.179212</v>
      </c>
      <c r="W231" s="3">
        <f>5391.7+(874.7-538.6)+(-2.749767+(-0.446097--0.274686))+0-0-0</f>
        <v>5724.8788220000006</v>
      </c>
      <c r="X231" s="3">
        <f>5519.8+(992.2-766.4)+(-14.07549+(-2.53011--1.95432))+0-0-0</f>
        <v>5730.9487200000003</v>
      </c>
      <c r="Y231" s="3">
        <f>5533.2+(801.2-797.8)+(-16.931592+(-2.451672--2.441268))+0-0-0</f>
        <v>5519.6580040000008</v>
      </c>
      <c r="Z231" s="3">
        <f>5568.9+(750.7-888.2)+(-8.520417+(-1.148571--1.358946))+0-0-0</f>
        <v>5423.0899579999996</v>
      </c>
      <c r="AA231" s="3">
        <f>5509.4+(737.5-982.8)+(-8.429382+(-1.128375--1.503684))+0-0-0</f>
        <v>5256.0459269999992</v>
      </c>
      <c r="AB231" s="3">
        <f>5114.9+(541-765.4)+(-7.825797+(-0.82773--1.171062))+0-0-0</f>
        <v>4883.017535</v>
      </c>
      <c r="AC231" s="3">
        <f>4685.7+(388-554.7)+(-9.558828+(-0.79152--1.131588))+0-0-0</f>
        <v>4509.7812400000003</v>
      </c>
      <c r="AD231">
        <f t="shared" si="3"/>
        <v>109949.263699</v>
      </c>
      <c r="AE231" s="3">
        <f>5472+(1011.2-649.3)+(0+(0-0))+0-0-0</f>
        <v>5833.9</v>
      </c>
    </row>
    <row r="232" spans="1:31" s="2" customFormat="1" x14ac:dyDescent="0.25">
      <c r="A232">
        <v>89</v>
      </c>
      <c r="B232">
        <v>8</v>
      </c>
      <c r="C232">
        <v>16</v>
      </c>
      <c r="D232">
        <v>2</v>
      </c>
      <c r="E232">
        <v>1</v>
      </c>
      <c r="F232" s="3">
        <f>4373.7+(298.8-744.1)+(-4.461174+(-0.304776--0.758982))+0-0-0</f>
        <v>3924.3930319999995</v>
      </c>
      <c r="G232" s="3">
        <f>4188.2+(214.9-699.4)+(-2.135982+(-0.109599--0.356694))+0-0-0</f>
        <v>3701.8111129999998</v>
      </c>
      <c r="H232" s="3">
        <f>4020.1+(201.1-686.8)+(-6.150753+(-0.307683--1.050804))+0-0-0</f>
        <v>3528.9923680000002</v>
      </c>
      <c r="I232" s="3">
        <f>4012.7+(169.7-695.1)+(-4.092954+(-0.173094--0.709002))+0-0-0</f>
        <v>3483.7429539999998</v>
      </c>
      <c r="J232" s="3">
        <f>4059.7+(174.1-699.9)+(4.140894+(0.177582-0.713898))+0-0-0</f>
        <v>3537.5045779999996</v>
      </c>
      <c r="K232" s="3">
        <f>4077.8+(189.1-681.5)+(10.39839+(0.482205-1.737825))+0-0-0</f>
        <v>3594.54277</v>
      </c>
      <c r="L232" s="3">
        <f>4185+(352-858)+(-6.40305+(-0.53856--1.31274))+0-0-0</f>
        <v>3673.37113</v>
      </c>
      <c r="M232" s="3">
        <f>4595.8+(595-963.6)+(-11.71929+(-1.51725--2.45718))+0-0-0</f>
        <v>4216.4206399999994</v>
      </c>
      <c r="N232" s="3">
        <f>4861+(766.3-978.4)+(7.43733+(1.172439-1.496952))+0-0-0</f>
        <v>4656.0128169999998</v>
      </c>
      <c r="O232" s="3">
        <f>5212.9+(891.4-1055.4)+(-7.975737+(-1.363842--1.614762))+0-0-0</f>
        <v>5041.1751829999994</v>
      </c>
      <c r="P232" s="3">
        <f>5308.5+(958.4-932.6)+(-2.707335+(-0.488784--0.475626))+0-0-0</f>
        <v>5331.5795070000004</v>
      </c>
      <c r="Q232" s="3">
        <f>5180+(982.2-884.4)+(-2.6418+(-0.500922--0.451044))+0-0-0</f>
        <v>5275.108322</v>
      </c>
      <c r="R232" s="3">
        <f>4974.9+(1013.9-844.5)+(-10.148796+(-2.068356--1.72278))+0-0-0</f>
        <v>5133.8056279999992</v>
      </c>
      <c r="S232" s="3">
        <f>4874.1+(911.2-731.1)+(0+(0-0))+0-0-0</f>
        <v>5054.2000000000007</v>
      </c>
      <c r="T232" s="3">
        <f>4778.6+(1013.3-696.4)+(4.874172+(1.033566-0.710328))+0-0-0</f>
        <v>5100.6974099999998</v>
      </c>
      <c r="U232" s="3">
        <f>4844.5+(980-700.9)+(-4.94139+(-0.9996--0.714918))+0-0-0</f>
        <v>5118.373928</v>
      </c>
      <c r="V232" s="3">
        <f>5071.9+(811.4-617)+(-2.586669+(-0.413814--0.31467))+0-0-0</f>
        <v>5263.6141869999992</v>
      </c>
      <c r="W232" s="3">
        <f>5520.7+(949.7-729.1)+(-2.815557+(-0.484347--0.371841))+0-0-0</f>
        <v>5738.3719369999999</v>
      </c>
      <c r="X232" s="3">
        <f>5605+(1070-956.3)+(-2.85855+(-0.5457--0.487713))+0-0-0</f>
        <v>5715.7834629999998</v>
      </c>
      <c r="Y232" s="3">
        <f>5619.3+(921.5-970.9)+(-14.329215+(-2.349825--2.475795))+0-0-0</f>
        <v>5555.6967550000008</v>
      </c>
      <c r="Z232" s="3">
        <f>5626.8+(898-1096.5)+(-14.34834+(-2.2899--2.796075))+0-0-0</f>
        <v>5414.4578350000002</v>
      </c>
      <c r="AA232" s="3">
        <f>5572.6+(936.8-1223)+(-5.684052+(-0.955536--1.24746))+0-0-0</f>
        <v>5281.0078720000001</v>
      </c>
      <c r="AB232" s="3">
        <f>5361.1+(696.2-1188.9)+(-5.468322+(-0.710124--1.212678))+0-0-0</f>
        <v>4863.4342320000005</v>
      </c>
      <c r="AC232" s="3">
        <f>5073.5+(532.4-984.7)+(-12.937425+(-1.35762--2.510985))+0-0-0</f>
        <v>4609.4159399999999</v>
      </c>
      <c r="AD232">
        <f t="shared" si="3"/>
        <v>112813.513601</v>
      </c>
      <c r="AE232" s="3">
        <f>5580+(1162.6-941.3)+(0+(0-0))+0-0-0</f>
        <v>5801.3</v>
      </c>
    </row>
    <row r="233" spans="1:31" s="2" customFormat="1" x14ac:dyDescent="0.25">
      <c r="A233">
        <v>89</v>
      </c>
      <c r="B233">
        <v>8</v>
      </c>
      <c r="C233">
        <v>17</v>
      </c>
      <c r="D233">
        <v>3</v>
      </c>
      <c r="E233">
        <v>1</v>
      </c>
      <c r="F233" s="3">
        <f>4546.1+(216.7-790.7)+(-6.955533+(-0.331551--1.209771))+0-0-0</f>
        <v>3966.0226870000006</v>
      </c>
      <c r="G233" s="3">
        <f>4476.2+(136.5-866.6)+(-9.131448+(-0.27846--1.767864))+0-0-0</f>
        <v>3738.4579559999997</v>
      </c>
      <c r="H233" s="3">
        <f>4159.1+(136.2-706.7)+(-6.363423+(-0.208386--1.081251))+0-0-0</f>
        <v>3583.1094420000004</v>
      </c>
      <c r="I233" s="3">
        <f>3915.6+(142.4-552.7)+(-1.996956+(-0.072624--0.281877))+0-0-0</f>
        <v>3503.5122969999998</v>
      </c>
      <c r="J233" s="3">
        <f>3908+(158.4-543.5)+(-1.99308+(-0.080784--0.277185))+0-0-0</f>
        <v>3521.1033210000001</v>
      </c>
      <c r="K233" s="3">
        <f>3906.9+(191.9-535.3)+(0+(0-0))+0-0-0</f>
        <v>3563.5</v>
      </c>
      <c r="L233" s="3">
        <f>3978.6+(314.8-594.8)+(-4.058172+(-0.321096--0.606696))+0-0-0</f>
        <v>3694.8274280000001</v>
      </c>
      <c r="M233" s="3">
        <f>4377.8+(569-845.9)+(-6.698034+(-0.87057--1.294227))+0-0-0</f>
        <v>4094.6256230000004</v>
      </c>
      <c r="N233" s="3">
        <f>4976.5+(745.5-971.1)+(-5.07603+(-0.76041--0.990522))+0-0-0</f>
        <v>4746.0540819999997</v>
      </c>
      <c r="O233" s="3">
        <f>5235.9+(819.4-1077.7)+(0+(0-0))+0-0-0</f>
        <v>4977.5999999999995</v>
      </c>
      <c r="P233" s="3">
        <f>5378.8+(904.6-1092.7)+(0+(0-0))+0-0-0</f>
        <v>5190.7</v>
      </c>
      <c r="Q233" s="3">
        <f>5613.8+(835-1137.1)+(-8.589114+(-1.27755--1.739763))+0-0-0</f>
        <v>5303.5730990000011</v>
      </c>
      <c r="R233" s="3">
        <f>5459.9+(806.2-1109.4)+(-13.922745+(-2.05581--2.82897))+0-0-0</f>
        <v>5143.5504149999997</v>
      </c>
      <c r="S233" s="3">
        <f>5356.2+(818.2-1073.4)+(2.731662+(0.417282-0.547434))+0-0-0</f>
        <v>5103.6015100000004</v>
      </c>
      <c r="T233" s="3">
        <f>5337+(837.6-1010.1)+(-5.44374+(-0.854352--1.030302))+0-0-0</f>
        <v>5159.2322100000001</v>
      </c>
      <c r="U233" s="3">
        <f>5292.6+(856.8-958.4)+(0+(0-0))+0-0-0</f>
        <v>5191</v>
      </c>
      <c r="V233" s="3">
        <f>5515.1+(710-787.6)+(-2.812701+(-0.3621--0.401676))+0-0-0</f>
        <v>5434.7268750000003</v>
      </c>
      <c r="W233" s="3">
        <f>5813.5+(606.1-758.2)+(0+(0-0))+0-0-0</f>
        <v>5661.4</v>
      </c>
      <c r="X233" s="3">
        <f>5975.1+(769.5-944.6)+(-6.094602+(-0.78489--0.963492))+0-0-0</f>
        <v>5794.0839999999998</v>
      </c>
      <c r="Y233" s="3">
        <f>5829.9+(763.3-943.9)+(-14.866245+(-1.946415--2.406945))+0-0-0</f>
        <v>5634.8942849999994</v>
      </c>
      <c r="Z233" s="3">
        <f>5700.9+(765.1-997.9)+(-8.722377+(-1.170603--1.526787))+0-0-0</f>
        <v>5459.7338069999996</v>
      </c>
      <c r="AA233" s="3">
        <f>5472.7+(739.8-978.9)+(-5.582154+(-0.754596--0.998478))+0-0-0</f>
        <v>5228.2617279999995</v>
      </c>
      <c r="AB233" s="3">
        <f>5148.1+(741.4-866.2)+(-13.127655+(-1.89057--2.20881))+0-0-0</f>
        <v>5010.4905850000005</v>
      </c>
      <c r="AC233" s="3">
        <f>4684.5+(675.2-876.8)+(-9.55638+(-1.377408--1.788672))+0-0-0</f>
        <v>4473.7548839999999</v>
      </c>
      <c r="AD233">
        <f t="shared" si="3"/>
        <v>113177.816234</v>
      </c>
      <c r="AE233" s="3">
        <f>5903+(844.3-913.6)+(0+(0-0))+0-0-0</f>
        <v>5833.7</v>
      </c>
    </row>
    <row r="234" spans="1:31" s="2" customFormat="1" x14ac:dyDescent="0.25">
      <c r="A234">
        <v>89</v>
      </c>
      <c r="B234">
        <v>8</v>
      </c>
      <c r="C234">
        <v>18</v>
      </c>
      <c r="D234">
        <v>4</v>
      </c>
      <c r="E234">
        <v>1</v>
      </c>
      <c r="F234" s="3">
        <f>4446.9+(429.6-820.7)+(-9.071676+(-0.876384--1.674228))+0-0-0</f>
        <v>4047.5261679999999</v>
      </c>
      <c r="G234" s="3">
        <f>4171.6+(364-753)+(0+(0-0))+0-0-0</f>
        <v>3782.6000000000004</v>
      </c>
      <c r="H234" s="3">
        <f>3796.1+(438.6-661.5)+(-1.936011+(-0.223686--0.337365))+0-0-0</f>
        <v>3571.3776679999996</v>
      </c>
      <c r="I234" s="3">
        <f>3731.6+(439-669.4)+(3.806232+(0.44778-0.682788))+0-0-0</f>
        <v>3504.7712239999996</v>
      </c>
      <c r="J234" s="3">
        <f>3729.8+(425.2-637.6)+(1.902198+(0.216852-0.325176))+0-0-0</f>
        <v>3519.1938740000001</v>
      </c>
      <c r="K234" s="3">
        <f>3699.1+(474.4-624.2)+(0+(0-0))+0-0-0</f>
        <v>3549.2999999999997</v>
      </c>
      <c r="L234" s="3">
        <f>4025.3+(544.1-715.4)+(2.052903+(0.277491-0.364854))+0-0-0</f>
        <v>3855.9655400000001</v>
      </c>
      <c r="M234" s="3">
        <f>4218.2+(668.9-802.1)+(0+(0-0))+0-0-0</f>
        <v>4085</v>
      </c>
      <c r="N234" s="3">
        <f>4529.1+(994.5-939.4)+(2.309841+(0.507195-0.479094))+0-0-0</f>
        <v>4586.5379420000008</v>
      </c>
      <c r="O234" s="3">
        <f>4977+(1088.7-1029.7)+(-7.61481+(-1.665711--1.575441))+0-0-0</f>
        <v>5028.2949200000003</v>
      </c>
      <c r="P234" s="3">
        <f>5168.7+(1024.2-1037.8)+(0+(0-0))+0-0-0</f>
        <v>5155.1000000000004</v>
      </c>
      <c r="Q234" s="3">
        <f>5315.5+(977.8-930.5)+(-13.554525+(-2.49339--2.372775))+0-0-0</f>
        <v>5349.1248599999999</v>
      </c>
      <c r="R234" s="3">
        <f>5153.1+(940.1-923.6)+(0+(0-0))+0-0-0</f>
        <v>5169.6000000000004</v>
      </c>
      <c r="S234" s="3">
        <f>5168.6+(732.5-823.9)+(0+(0-0))+0-0-0</f>
        <v>5077.2000000000007</v>
      </c>
      <c r="T234" s="3">
        <f>5134.2+(794.3-797.1)+(2.618442+(0.405093-0.406521))+0-0-0</f>
        <v>5134.017014</v>
      </c>
      <c r="U234" s="3">
        <f>5138.9+(744.4-763.9)+(0+(0-0))+0-0-0</f>
        <v>5119.3999999999996</v>
      </c>
      <c r="V234" s="3">
        <f>5201.9+(613-631.4)+(5.305938+(0.62526-0.644028))+0-0-0</f>
        <v>5188.7871699999996</v>
      </c>
      <c r="W234" s="3">
        <f>5509.7+(710.9-512.6)+(2.809947+(0.362559-0.261426))+0-0-0</f>
        <v>5710.9110799999999</v>
      </c>
      <c r="X234" s="3">
        <f>5643+(734.9-571.4)+(-8.63379+(-1.124397--0.874242))+0-0-0</f>
        <v>5797.6160550000004</v>
      </c>
      <c r="Y234" s="3">
        <f>5621.2+(621.2-585.7)+(-14.33406+(-1.58406--1.493535))+0-0-0</f>
        <v>5642.2754150000001</v>
      </c>
      <c r="Z234" s="3">
        <f>5477.1+(647.6-641.9)+(-2.793321+(-0.330276--0.327369))+0-0-0</f>
        <v>5480.003772</v>
      </c>
      <c r="AA234" s="3">
        <f>5360.5+(771.4-925.5)+(-5.46771+(-0.786828--0.94401))+0-0-0</f>
        <v>5201.0894719999997</v>
      </c>
      <c r="AB234" s="3">
        <f>5206.4+(707.2-1013.3)+(-15.931584+(-2.164032--3.100698))+0-0-0</f>
        <v>4885.3050819999989</v>
      </c>
      <c r="AC234" s="3">
        <f>4805.5+(720.5-1051.1)+(-12.254025+(-1.837275--2.680305))+0-0-0</f>
        <v>4463.4890049999995</v>
      </c>
      <c r="AD234">
        <f t="shared" si="3"/>
        <v>112904.486261</v>
      </c>
      <c r="AE234" s="3">
        <f>5634+(802.9-560)+(0+(0-0))+0-0-0</f>
        <v>5876.9</v>
      </c>
    </row>
    <row r="235" spans="1:31" s="2" customFormat="1" x14ac:dyDescent="0.25">
      <c r="A235">
        <v>89</v>
      </c>
      <c r="B235">
        <v>8</v>
      </c>
      <c r="C235">
        <v>19</v>
      </c>
      <c r="D235">
        <v>5</v>
      </c>
      <c r="E235">
        <v>1</v>
      </c>
      <c r="F235" s="3">
        <f>4233.7+(474.5-950.7)+(-6.477561+(-0.725985--1.454571))+0-0-0</f>
        <v>3751.751025</v>
      </c>
      <c r="G235" s="3">
        <f>4057.8+(349.2-950.1)+(-4.138956+(-0.356184--0.969102))+0-0-0</f>
        <v>3453.3739620000001</v>
      </c>
      <c r="H235" s="3">
        <f>3958.2+(292.2-877.1)+(0+(0-0))+0-0-0</f>
        <v>3373.2999999999997</v>
      </c>
      <c r="I235" s="3">
        <f>3948.5+(221.7-797.2)+(-8.05494+(-0.452268--1.626288))+0-0-0</f>
        <v>3366.1190799999999</v>
      </c>
      <c r="J235" s="3">
        <f>3809.9+(373.8-817.4)+(9.715245+(0.95319-2.08437))+0-0-0</f>
        <v>3374.8840650000002</v>
      </c>
      <c r="K235" s="3">
        <f>3767.6+(525.5-842.2)+(-5.764428+(-0.804015--1.288566))+0-0-0</f>
        <v>3445.6201229999997</v>
      </c>
      <c r="L235" s="3">
        <f>3963.9+(660.9-868.2)+(-10.107945+(-1.685295--2.21391))+0-0-0</f>
        <v>3747.0206699999999</v>
      </c>
      <c r="M235" s="3">
        <f>4207.2+(921.8-1051.7)+(-2.145672+(-0.470118--0.536367))+0-0-0</f>
        <v>4075.2205769999996</v>
      </c>
      <c r="N235" s="3">
        <f>4862.1+(1067.4-1235.4)+(0+(0-0))+0-0-0</f>
        <v>4694.1000000000004</v>
      </c>
      <c r="O235" s="3">
        <f>5095.9+(1005.3-1066.3)+(0+(0-0))+0-0-0</f>
        <v>5034.8999999999996</v>
      </c>
      <c r="P235" s="3">
        <f>4904.6+(1092-801.3)+(2.501346+(0.55692-0.408663))+0-0-0</f>
        <v>5197.949603</v>
      </c>
      <c r="Q235" s="3">
        <f>5047.2+(999.5-755.6)+(-15.444432+(-3.05847--2.312136))+0-0-0</f>
        <v>5274.9092339999997</v>
      </c>
      <c r="R235" s="3">
        <f>5004.2+(1010.7-768.1)+(-5.104284+(-1.030914--0.783462))+0-0-0</f>
        <v>5241.4482640000006</v>
      </c>
      <c r="S235" s="3">
        <f>4977.6+(1067.8-962.9)+(0+(0-0))+0-0-0</f>
        <v>5082.5</v>
      </c>
      <c r="T235" s="3">
        <f>5012.6+(1162.7-998.3)+(-5.112852+(-1.185954--1.018266))+0-0-0</f>
        <v>5171.7194600000003</v>
      </c>
      <c r="U235" s="3">
        <f>4994.4+(1099.4-937.5)+(-7.641432+(-1.682082--1.434375))+0-0-0</f>
        <v>5148.4108609999994</v>
      </c>
      <c r="V235" s="3">
        <f>4964.2+(993.9-745)+(2.531742+(0.506889-0.37995))+0-0-0</f>
        <v>5215.7586809999993</v>
      </c>
      <c r="W235" s="3">
        <f>5115+(1344.8-708.3)+(2.60865+(0.685848-0.361233))+0-0-0</f>
        <v>5754.4332649999997</v>
      </c>
      <c r="X235" s="3">
        <f>5213.6+(1501.1-892.9)+(0+(0-0))+0-0-0</f>
        <v>5821.8</v>
      </c>
      <c r="Y235" s="3">
        <f>5206.6+(1265.8-852.4)+(-15.932196+(-3.873348--2.608344))+0-0-0</f>
        <v>5602.8028000000004</v>
      </c>
      <c r="Z235" s="3">
        <f>5223.6+(1091.3-847)+(-5.328072+(-1.113126--0.86394))+0-0-0</f>
        <v>5462.3227420000003</v>
      </c>
      <c r="AA235" s="3">
        <f>4989.6+(1098.9-906)+(2.544696+(0.560439-0.46206))+0-0-0</f>
        <v>5185.143075</v>
      </c>
      <c r="AB235" s="3">
        <f>4781.5+(973.3-841.2)+(-9.75426+(-1.985532--1.716048))+0-0-0</f>
        <v>4903.5762560000003</v>
      </c>
      <c r="AC235" s="3">
        <f>4587.8+(913.6-844.2)+(-7.019334+(-1.397808--1.291626))+0-0-0</f>
        <v>4650.0744839999998</v>
      </c>
      <c r="AD235">
        <f t="shared" si="3"/>
        <v>112029.138227</v>
      </c>
      <c r="AE235" s="3">
        <f>5196+(1523.5-935.4)+(0+(0-0))+0-0-0</f>
        <v>5784.1</v>
      </c>
    </row>
    <row r="236" spans="1:31" s="2" customFormat="1" x14ac:dyDescent="0.25">
      <c r="A236">
        <v>89</v>
      </c>
      <c r="B236">
        <v>8</v>
      </c>
      <c r="C236">
        <v>20</v>
      </c>
      <c r="D236">
        <v>6</v>
      </c>
      <c r="E236">
        <v>1</v>
      </c>
      <c r="F236" s="3">
        <f>4095.3+(630.6-692.8)+(-4.177206+(-0.643212--0.706656))+0-0-0</f>
        <v>4028.9862380000004</v>
      </c>
      <c r="G236" s="3">
        <f>3793.3+(560-618)+(-5.803749+(-0.8568--0.94554))+0-0-0</f>
        <v>3729.5849910000002</v>
      </c>
      <c r="H236" s="3">
        <f>3720.6+(553.4-705)+(-5.692518+(-0.846702--1.07865))+0-0-0</f>
        <v>3563.5394299999998</v>
      </c>
      <c r="I236" s="3">
        <f>3741.3+(523.6-756.6)+(1.908063+(0.267036-0.385866))+0-0-0</f>
        <v>3510.0892330000001</v>
      </c>
      <c r="J236" s="3">
        <f>3751.4+(501-755.6)+(5.739642+(0.76653-1.156068))+0-0-0</f>
        <v>3502.1501040000003</v>
      </c>
      <c r="K236" s="3">
        <f>3796.2+(554.7-831.9)+(3.872124+(0.565794-0.848538))+0-0-0</f>
        <v>3522.5893799999999</v>
      </c>
      <c r="L236" s="3">
        <f>4054.7+(704.2-1093)+(-2.067897+(-0.359142--0.55743))+0-0-0</f>
        <v>3664.0303909999998</v>
      </c>
      <c r="M236" s="3">
        <f>4266.6+(845.6-1186.7)+(6.527898+(1.293768-1.815651))+0-0-0</f>
        <v>3931.5060150000004</v>
      </c>
      <c r="N236" s="3">
        <f>4481.8+(938.9-925.3)+(6.857154+(1.436517-1.415709))+0-0-0</f>
        <v>4502.2779620000001</v>
      </c>
      <c r="O236" s="3">
        <f>4742.7+(869.8-808)+(4.837554+(0.887196-0.82416))+0-0-0</f>
        <v>4809.4005900000002</v>
      </c>
      <c r="P236" s="3">
        <f>4992.3+(863-760.3)+(7.638219+(1.32039-1.163259))+0-0-0</f>
        <v>5102.7953500000003</v>
      </c>
      <c r="Q236" s="3">
        <f>5111.8+(762.2-750)+(-5.214036+(-0.777444--0.765))+0-0-0</f>
        <v>5118.7735199999997</v>
      </c>
      <c r="R236" s="3">
        <f>5016.5+(786.9-858.3)+(-5.11683+(-0.802638--0.875466))+0-0-0</f>
        <v>4940.0559980000007</v>
      </c>
      <c r="S236" s="3">
        <f>4844.7+(837.5-904.2)+(-9.883188+(-1.7085--1.844568))+0-0-0</f>
        <v>4768.25288</v>
      </c>
      <c r="T236" s="3">
        <f>4773.5+(818-848.1)+(-9.73794+(-1.66872--1.730124))+0-0-0</f>
        <v>4733.7234639999997</v>
      </c>
      <c r="U236" s="3">
        <f>4703.5+(842.7-892.5)+(-7.196355+(-1.289331--1.365525))+0-0-0</f>
        <v>4646.579839</v>
      </c>
      <c r="V236" s="3">
        <f>4664.7+(786.3-734.1)+(4.757994+(0.802026-0.748782))+0-0-0</f>
        <v>4721.7112379999999</v>
      </c>
      <c r="W236" s="3">
        <f>5114.1+(833.5-605.6)+(-2.608191+(-0.425085--0.308856))+0-0-0</f>
        <v>5339.2755800000004</v>
      </c>
      <c r="X236" s="3">
        <f>5283.2+(860.3-689.3)+(-13.47216+(-2.193765--1.757715))+0-0-0</f>
        <v>5440.2917900000002</v>
      </c>
      <c r="Y236" s="3">
        <f>5178+(762.7-621.8)+(-7.92234+(-1.166931--0.951354))+0-0-0</f>
        <v>5310.7620829999996</v>
      </c>
      <c r="Z236" s="3">
        <f>5041.2+(750.6-622.8)+(-2.571012+(-0.382806--0.317628))+0-0-0</f>
        <v>5166.3638099999998</v>
      </c>
      <c r="AA236" s="3">
        <f>5023.4+(709.8-755.3)+(-7.685802+(-1.085994--1.155609))+0-0-0</f>
        <v>4970.283813</v>
      </c>
      <c r="AB236" s="3">
        <f>4866+(676.4-820.2)+(-7.44498+(-1.034892--1.254906))+0-0-0</f>
        <v>4714.9750340000001</v>
      </c>
      <c r="AC236" s="3">
        <f>4412.1+(793.1-787.2)+(-9.000684+(-1.617924--1.605888))+0-0-0</f>
        <v>4408.9872800000003</v>
      </c>
      <c r="AD236">
        <f t="shared" si="3"/>
        <v>108146.98601300002</v>
      </c>
      <c r="AE236" s="3">
        <f>5243+(914.9-692.3)+(0+(0-0))+0-0-0</f>
        <v>5465.6</v>
      </c>
    </row>
    <row r="237" spans="1:31" s="2" customFormat="1" x14ac:dyDescent="0.25">
      <c r="A237">
        <v>89</v>
      </c>
      <c r="B237">
        <v>8</v>
      </c>
      <c r="C237">
        <v>21</v>
      </c>
      <c r="D237">
        <v>7</v>
      </c>
      <c r="E237">
        <v>1</v>
      </c>
      <c r="F237" s="3">
        <f>4101.9+(530.7-646.6)+(-6.275907+(-0.811971--0.989298))+0-0-0</f>
        <v>3979.9014199999997</v>
      </c>
      <c r="G237" s="3">
        <f>3983.2+(356.1-662.9)+(-6.094296+(-0.544833--1.014237))+0-0-0</f>
        <v>3670.7751079999998</v>
      </c>
      <c r="H237" s="3">
        <f>3940.5+(348.5-804.9)+(-4.01931+(-0.35547--0.820998))+0-0-0</f>
        <v>3480.546218</v>
      </c>
      <c r="I237" s="3">
        <f>3688.4+(305.3-697.2)+(-5.643252+(-0.467109--1.066716))+0-0-0</f>
        <v>3291.4563549999998</v>
      </c>
      <c r="J237" s="3">
        <f>3796.2+(340.4-789.9)+(-1.936062+(-0.173604--0.402849))+0-0-0</f>
        <v>3344.993183</v>
      </c>
      <c r="K237" s="3">
        <f>3830.5+(321.5-800.4)+(-1.953555+(-0.163965--0.408204))+0-0-0</f>
        <v>3349.890684</v>
      </c>
      <c r="L237" s="3">
        <f>3789+(394.2-910.5)+(-13.52673+(-1.407294--3.250485))+0-0-0</f>
        <v>3261.0164609999997</v>
      </c>
      <c r="M237" s="3">
        <f>3646.7+(479.6-946.3)+(1.859817+(0.244596-0.482613))+0-0-0</f>
        <v>3181.6217999999999</v>
      </c>
      <c r="N237" s="3">
        <f>3932+(811.7-1360.1)+(-6.01596+(-1.241901--2.080953))+0-0-0</f>
        <v>3378.4230920000005</v>
      </c>
      <c r="O237" s="3">
        <f>4149.1+(841.8-1376.8)+(-4.232082+(-0.858636--1.404336))+0-0-0</f>
        <v>3610.4136180000005</v>
      </c>
      <c r="P237" s="3">
        <f>4425.7+(854.3-1309.6)+(-2.257107+(-0.435693--0.667896))+0-0-0</f>
        <v>3968.3750959999998</v>
      </c>
      <c r="Q237" s="3">
        <f>4315.7+(848.3-1053.4)+(-2.201007+(-0.432633--0.537234))+0-0-0</f>
        <v>4108.5035939999998</v>
      </c>
      <c r="R237" s="3">
        <f>4339.9+(724.7-1015.9)+(-8.853396+(-1.478388--2.072436))+0-0-0</f>
        <v>4040.4406519999998</v>
      </c>
      <c r="S237" s="3">
        <f>4347.3+(680.6-980.1)+(8.868492+(1.388424-1.999404))+0-0-0</f>
        <v>4056.0575120000003</v>
      </c>
      <c r="T237" s="3">
        <f>4120.3+(652.8-877)+(-6.304059+(-0.998784--1.34181))+0-0-0</f>
        <v>3890.1389670000003</v>
      </c>
      <c r="U237" s="3">
        <f>4119.5+(644.4-859.1)+(-2.100945+(-0.328644--0.438141))+0-0-0</f>
        <v>3902.808552</v>
      </c>
      <c r="V237" s="3">
        <f>4346.1+(609.7-898.6)+(-2.216511+(-0.310947--0.458286))+0-0-0</f>
        <v>4055.1308280000003</v>
      </c>
      <c r="W237" s="3">
        <f>4706.2+(563-604.6)+(-7.200486+(-0.86139--0.925038))+0-0-0</f>
        <v>4657.4631619999991</v>
      </c>
      <c r="X237" s="3">
        <f>4840.7+(724.3-674.8)+(-17.281299+(-2.585751--2.409036))+0-0-0</f>
        <v>4872.741986</v>
      </c>
      <c r="Y237" s="3">
        <f>4566.3+(870.5-611.4)+(-6.986439+(-1.331865--0.935442))+0-0-0</f>
        <v>4818.0171380000002</v>
      </c>
      <c r="Z237" s="3">
        <f>4509.6+(848.1-594.4)+(-9.199584+(-1.730124--1.212576))+0-0-0</f>
        <v>4753.5828680000004</v>
      </c>
      <c r="AA237" s="3">
        <f>4369.2+(857.7-590.4)+(-4.456584+(-0.874854--0.602208))+0-0-0</f>
        <v>4631.7707700000001</v>
      </c>
      <c r="AB237" s="3">
        <f>4245.6+(788.1-565.5)+(-6.495768+(-1.205793--0.865215))+0-0-0</f>
        <v>4461.3636540000007</v>
      </c>
      <c r="AC237" s="3">
        <f>3938.3+(679.6-462.3)+(-6.025599+(-1.039788--0.707319))+0-0-0</f>
        <v>4149.2419320000008</v>
      </c>
      <c r="AD237">
        <f t="shared" si="3"/>
        <v>94914.674650000001</v>
      </c>
      <c r="AE237" s="3">
        <f>4855+(706.1-686.8)+(0+(0-0))+0-0-0</f>
        <v>4874.3</v>
      </c>
    </row>
    <row r="238" spans="1:31" s="2" customFormat="1" x14ac:dyDescent="0.25">
      <c r="A238">
        <v>89</v>
      </c>
      <c r="B238">
        <v>8</v>
      </c>
      <c r="C238">
        <v>22</v>
      </c>
      <c r="D238">
        <v>1</v>
      </c>
      <c r="E238">
        <v>1</v>
      </c>
      <c r="F238" s="3">
        <f>3823.7+(436.7-524.3)+(3.900174+(0.445434-0.534786))+0-0-0</f>
        <v>3739.9108219999998</v>
      </c>
      <c r="G238" s="3">
        <f>3498.3+(470-514.4)+(0+(0-0))+0-0-0</f>
        <v>3453.9</v>
      </c>
      <c r="H238" s="3">
        <f>3488+(410.1-600.6)+(1.77888+(0.209151-0.306306))+0-0-0</f>
        <v>3299.1817249999999</v>
      </c>
      <c r="I238" s="3">
        <f>3500.6+(345-614.8)+(3.570612+(0.3519-0.627096))+0-0-0</f>
        <v>3234.0954160000001</v>
      </c>
      <c r="J238" s="3">
        <f>3497.6+(332.9-591.4)+(3.567552+(0.339558-0.603228))+0-0-0</f>
        <v>3242.4038820000001</v>
      </c>
      <c r="K238" s="3">
        <f>3554.1+(439.6-662.1)+(-1.812591+(-0.224196--0.337671))+0-0-0</f>
        <v>3329.9008840000001</v>
      </c>
      <c r="L238" s="3">
        <f>3679.4+(688.6-738.2)+(-5.629482+(-1.053558--1.129446))+0-0-0</f>
        <v>3624.2464060000002</v>
      </c>
      <c r="M238" s="3">
        <f>4007.3+(736.9-767.1)+(-2.043723+(-0.375819--0.391221))+0-0-0</f>
        <v>3975.0716790000006</v>
      </c>
      <c r="N238" s="3">
        <f>4294.4+(858.9-580.4)+(-4.380288+(-0.876078--0.592008))+0-0-0</f>
        <v>4568.2356419999996</v>
      </c>
      <c r="O238" s="3">
        <f>4231.2+(1209.6-539.5)+(-6.473736+(-1.850688--0.825435))+0-0-0</f>
        <v>4893.8010109999996</v>
      </c>
      <c r="P238" s="3">
        <f>4302.3+(1266.9-435.3)+(0+(0-0))+0-0-0</f>
        <v>5133.9000000000005</v>
      </c>
      <c r="Q238" s="3">
        <f>4311+(1393.7-427.7)+(-2.19861+(-0.710787--0.218127))+0-0-0</f>
        <v>5274.3087299999997</v>
      </c>
      <c r="R238" s="3">
        <f>4270.1+(1299.6-417.8)+(-8.711004+(-2.651184--0.852312))+0-0-0</f>
        <v>5141.3901240000005</v>
      </c>
      <c r="S238" s="3">
        <f>4150.8+(1379.4-464.7)+(-4.233816+(-1.406988--0.473994))+0-0-0</f>
        <v>5060.3331900000003</v>
      </c>
      <c r="T238" s="3">
        <f>4142.4+(1427.9-428.7)+(-2.112624+(-0.728229--0.218637))+0-0-0</f>
        <v>5138.9777839999997</v>
      </c>
      <c r="U238" s="3">
        <f>4205.5+(1331.8-432.3)+(2.144805+(0.679218-0.220473))+0-0-0</f>
        <v>5107.6035499999998</v>
      </c>
      <c r="V238" s="3">
        <f>4290.3+(1216.3-407.9)+(4.376106+(1.240626-0.416058))+0-0-0</f>
        <v>5103.9006739999995</v>
      </c>
      <c r="W238" s="3">
        <f>4804+(1475.4-550.3)+(0+(0-0))+0-0-0</f>
        <v>5729.1</v>
      </c>
      <c r="X238" s="3">
        <f>5064.5+(1448.7-726.3)+(-2.582895+(-0.738837--0.370413))+0-0-0</f>
        <v>5783.9486809999999</v>
      </c>
      <c r="Y238" s="3">
        <f>5077.6+(1212.6-689.4)+(-10.358304+(-2.473704--1.406376))+0-0-0</f>
        <v>5589.3743679999998</v>
      </c>
      <c r="Z238" s="3">
        <f>4967.9+(1164.2-708.7)+(-2.533629+(-0.593742--0.361437))+0-0-0</f>
        <v>5420.6340659999996</v>
      </c>
      <c r="AA238" s="3">
        <f>4803.8+(1135.8-772.5)+(-7.349814+(-1.737774--1.181925))+0-0-0</f>
        <v>5159.1943370000008</v>
      </c>
      <c r="AB238" s="3">
        <f>4547.5+(1029.3-732.8)+(-11.596125+(-2.624715--1.86864))+0-0-0</f>
        <v>4831.6477999999997</v>
      </c>
      <c r="AC238" s="3">
        <f>4380.9+(694.7-670.6)+(-11.171295+(-1.771485--1.71003))+0-0-0</f>
        <v>4393.7672499999999</v>
      </c>
      <c r="AD238">
        <f t="shared" si="3"/>
        <v>110228.82802099999</v>
      </c>
      <c r="AE238" s="3">
        <f>5049+(1557.4-684.4)+(0+(0-0))+0-0-0</f>
        <v>5922</v>
      </c>
    </row>
    <row r="239" spans="1:31" s="2" customFormat="1" x14ac:dyDescent="0.25">
      <c r="A239">
        <v>89</v>
      </c>
      <c r="B239">
        <v>8</v>
      </c>
      <c r="C239">
        <v>23</v>
      </c>
      <c r="D239">
        <v>2</v>
      </c>
      <c r="E239">
        <v>1</v>
      </c>
      <c r="F239" s="3">
        <f>4188.3+(490.7-731.8)+(-8.544132+(-1.001028--1.492872))+0-0-0</f>
        <v>3939.1477120000004</v>
      </c>
      <c r="G239" s="3">
        <f>4073+(363.2-765.5)+(-10.38615+(-0.92616--1.952025))+0-0-0</f>
        <v>3661.3397149999996</v>
      </c>
      <c r="H239" s="3">
        <f>3889.1+(281.4-643.3)+(-1.983441+(-0.143514--0.328083))+0-0-0</f>
        <v>3525.401128</v>
      </c>
      <c r="I239" s="3">
        <f>3891.6+(261.4-698.9)+(-3.969432+(-0.266628--0.712878))+0-0-0</f>
        <v>3450.576818</v>
      </c>
      <c r="J239" s="3">
        <f>3902.4+(299.9-745.8)+(-3.980448+(-0.305898--0.760716))+0-0-0</f>
        <v>3452.9743699999999</v>
      </c>
      <c r="K239" s="3">
        <f>3962.2+(328.3-757.5)+(6.062166+(0.502299-1.158975))+0-0-0</f>
        <v>3538.4054900000001</v>
      </c>
      <c r="L239" s="3">
        <f>4033.1+(607.9-936.4)+(0+(0-0))+0-0-0</f>
        <v>3704.6</v>
      </c>
      <c r="M239" s="3">
        <f>4175.8+(737-822.2)+(2.129658+(0.37587-0.419322))+0-0-0</f>
        <v>4092.6862060000003</v>
      </c>
      <c r="N239" s="3">
        <f>4593.4+(851.3-802.2)+(-9.370536+(-1.736652--1.636488))+0-0-0</f>
        <v>4633.0293000000001</v>
      </c>
      <c r="O239" s="3">
        <f>4735.7+(971.3-665.2)+(0+(0-0))+0-0-0</f>
        <v>5041.7999999999993</v>
      </c>
      <c r="P239" s="3">
        <f>4867.2+(1032.6-661.7)+(-2.482272+(-0.526626--0.337467))+0-0-0</f>
        <v>5235.4285689999997</v>
      </c>
      <c r="Q239" s="3">
        <f>5004.1+(1064.7-784.9)+(-7.656273+(-1.628991--1.200897))+0-0-0</f>
        <v>5275.8156330000002</v>
      </c>
      <c r="R239" s="3">
        <f>4852.7+(980.3-660.8)+(-9.899508+(-1.999812--1.348032))+0-0-0</f>
        <v>5161.6487120000002</v>
      </c>
      <c r="S239" s="3">
        <f>4902.4+(860.1-707)+(-5.000448+(-0.877302--0.72114))+0-0-0</f>
        <v>5050.34339</v>
      </c>
      <c r="T239" s="3">
        <f>4978.2+(943.4-826.9)+(-2.538882+(-0.481134--0.421719))+0-0-0</f>
        <v>5092.1017030000003</v>
      </c>
      <c r="U239" s="3">
        <f>4879.3+(993.5-783.7)+(-4.976886+(-1.01337--0.799374))+0-0-0</f>
        <v>5083.9091180000005</v>
      </c>
      <c r="V239" s="3">
        <f>4879.6+(895-634.7)+(0+(0-0))+0-0-0</f>
        <v>5139.9000000000005</v>
      </c>
      <c r="W239" s="3">
        <f>5125.4+(1134.9-752.2)+(7.841862+(1.736397-1.150866))+0-0-0</f>
        <v>5516.5273929999994</v>
      </c>
      <c r="X239" s="3">
        <f>5175.3+(1235.5-879.7)+(-10.557612+(-2.52042--1.794588))+0-0-0</f>
        <v>5519.8165560000007</v>
      </c>
      <c r="Y239" s="3">
        <f>5177+(1114.6-861.8)+(-13.20135+(-2.84223--2.19759))+0-0-0</f>
        <v>5415.9540100000004</v>
      </c>
      <c r="Z239" s="3">
        <f>5193.2+(947.1-837.7)+(-5.297064+(-0.966042--0.854454))+0-0-0</f>
        <v>5297.1913479999994</v>
      </c>
      <c r="AA239" s="3">
        <f>5160+(820.2-848.8)+(-7.8948+(-1.254906--1.298664))+0-0-0</f>
        <v>5123.5489579999994</v>
      </c>
      <c r="AB239" s="3">
        <f>4955.1+(676.7-836.4)+(-10.108404+(-1.380468--1.706256))+0-0-0</f>
        <v>4785.6173840000001</v>
      </c>
      <c r="AC239" s="3">
        <f>4605.9+(476.3-679.4)+(-11.745045+(-1.214565--1.73247))+0-0-0</f>
        <v>4391.5728599999993</v>
      </c>
      <c r="AD239">
        <f t="shared" si="3"/>
        <v>111129.33637299998</v>
      </c>
      <c r="AE239" s="3">
        <f>5175+(1447.4-800.7)+(0+(0-0))+0-0-0</f>
        <v>5821.7</v>
      </c>
    </row>
    <row r="240" spans="1:31" s="2" customFormat="1" x14ac:dyDescent="0.25">
      <c r="A240">
        <v>89</v>
      </c>
      <c r="B240">
        <v>8</v>
      </c>
      <c r="C240">
        <v>24</v>
      </c>
      <c r="D240">
        <v>3</v>
      </c>
      <c r="E240">
        <v>1</v>
      </c>
      <c r="F240" s="3">
        <f>4363.7+(248.7-682.4)+(-11.127435+(-0.634185--1.74012))+0-0-0</f>
        <v>3919.9785000000002</v>
      </c>
      <c r="G240" s="3">
        <f>4200.9+(227.1-779.8)+(-8.569836+(-0.463284--1.590792))+0-0-0</f>
        <v>3640.7576719999997</v>
      </c>
      <c r="H240" s="3">
        <f>4029+(192.8-740.5)+(-6.16437+(-0.294984--1.132965))+0-0-0</f>
        <v>3475.9736110000003</v>
      </c>
      <c r="I240" s="3">
        <f>4020.7+(275.9-805)+(0+(0-0))+0-0-0</f>
        <v>3491.6</v>
      </c>
      <c r="J240" s="3">
        <f>3941.1+(224.3-689.1)+(-2.009961+(-0.114393--0.351441))+0-0-0</f>
        <v>3474.5270869999999</v>
      </c>
      <c r="K240" s="3">
        <f>3909.6+(227.7-597.1)+(5.981688+(0.348381-0.913563))+0-0-0</f>
        <v>3545.6165059999998</v>
      </c>
      <c r="L240" s="3">
        <f>3906.1+(427.8-598.2)+(-1.992111+(-0.218178--0.305082))+0-0-0</f>
        <v>3733.794793</v>
      </c>
      <c r="M240" s="3">
        <f>4124.7+(510.6-510.5)+(-4.207194+(-0.520812--0.52071))+0-0-0</f>
        <v>4120.5927040000006</v>
      </c>
      <c r="N240" s="3">
        <f>4643.6+(587.8-664)+(-2.368236+(-0.299778--0.33864))+0-0-0</f>
        <v>4565.0706260000006</v>
      </c>
      <c r="O240" s="3">
        <f>5061.8+(810.6-870.9)+(-2.581518+(-0.413406--0.444159))+0-0-0</f>
        <v>4998.949235</v>
      </c>
      <c r="P240" s="3">
        <f>5056.5+(834.6-677.8)+(-5.15763+(-0.851292--0.691356))+0-0-0</f>
        <v>5207.9824340000005</v>
      </c>
      <c r="Q240" s="3">
        <f>5186.6+(775.9-654.1)+(-10.580664+(-1.582836--1.334364))+0-0-0</f>
        <v>5297.5708640000003</v>
      </c>
      <c r="R240" s="3">
        <f>5117.2+(744.6-672.5)+(-13.04886+(-1.89873--1.714875))+0-0-0</f>
        <v>5176.0672850000001</v>
      </c>
      <c r="S240" s="3">
        <f>5018.4+(857.9-755.8)+(-2.559384+(-0.437529--0.385458))+0-0-0</f>
        <v>5117.8885449999998</v>
      </c>
      <c r="T240" s="3">
        <f>5069.8+(849.7-726.1)+(-5.171196+(-0.866694--0.740622))+0-0-0</f>
        <v>5188.1027320000003</v>
      </c>
      <c r="U240" s="3">
        <f>5054.6+(851.1-765.3)+(-2.577846+(-0.434061--0.390303))+0-0-0</f>
        <v>5137.7783960000006</v>
      </c>
      <c r="V240" s="3">
        <f>5215.2+(686-654.3)+(0+(0-0))+0-0-0</f>
        <v>5246.9</v>
      </c>
      <c r="W240" s="3">
        <f>5381.4+(929.9-662.2)+(-8.233542+(-1.422747--1.013166))+0-0-0</f>
        <v>5640.4568769999996</v>
      </c>
      <c r="X240" s="3">
        <f>5412.7+(1024.6-778.4)+(-13.802385+(-2.61273--1.98492))+0-0-0</f>
        <v>5644.4698049999997</v>
      </c>
      <c r="Y240" s="3">
        <f>5376.2+(873.9-751.3)+(-16.451172+(-2.674134--2.298978))+0-0-0</f>
        <v>5481.9736720000001</v>
      </c>
      <c r="Z240" s="3">
        <f>5171.2+(854.6-703.7)+(-7.911936+(-1.307538--1.076661))+0-0-0</f>
        <v>5313.9571869999991</v>
      </c>
      <c r="AA240" s="3">
        <f>4949.1+(901.6-758.1)+(-12.620205+(-2.29908--1.933155))+0-0-0</f>
        <v>5079.6138700000001</v>
      </c>
      <c r="AB240" s="3">
        <f>4695.6+(822.5-775.2)+(-9.579024+(-1.6779--1.581408))+0-0-0</f>
        <v>4733.2244840000003</v>
      </c>
      <c r="AC240" s="3">
        <f>4534.5+(668.9-739.8)+(-11.562975+(-1.705695--1.88649))+0-0-0</f>
        <v>4452.2178200000008</v>
      </c>
      <c r="AD240">
        <f t="shared" si="3"/>
        <v>111685.06470500001</v>
      </c>
      <c r="AE240" s="3">
        <f>5418+(1036.9-739.8)+(0+(0-0))+0-0-0</f>
        <v>5715.1</v>
      </c>
    </row>
    <row r="241" spans="1:31" s="2" customFormat="1" x14ac:dyDescent="0.25">
      <c r="A241">
        <v>89</v>
      </c>
      <c r="B241">
        <v>8</v>
      </c>
      <c r="C241">
        <v>25</v>
      </c>
      <c r="D241">
        <v>4</v>
      </c>
      <c r="E241">
        <v>1</v>
      </c>
      <c r="F241" s="3">
        <f>4423.3+(455.5-877.5)+(-11.279415+(-1.161525--2.237625))+0-0-0</f>
        <v>3991.096685</v>
      </c>
      <c r="G241" s="3">
        <f>4388.2+(309.7-983.3)+(-2.237982+(-0.157947--0.501483))+0-0-0</f>
        <v>3712.7055540000001</v>
      </c>
      <c r="H241" s="3">
        <f>4110.8+(336.5-884.2)+(-10.48254+(-0.858075--2.25471))+0-0-0</f>
        <v>3554.0140950000005</v>
      </c>
      <c r="I241" s="3">
        <f>3952.6+(389.2-830.6)+(4.031652+(0.396984-0.847212))+0-0-0</f>
        <v>3514.7814239999998</v>
      </c>
      <c r="J241" s="3">
        <f>3927.5+(394-811.5)+(0+(0-0))+0-0-0</f>
        <v>3510</v>
      </c>
      <c r="K241" s="3">
        <f>3915.8+(412.6-737.1)+(-1.997058+(-0.210426--0.375921))+0-0-0</f>
        <v>3589.468437</v>
      </c>
      <c r="L241" s="3">
        <f>3979.7+(513.8-732.2)+(2.029647+(0.262038-0.373422))+0-0-0</f>
        <v>3763.2182629999998</v>
      </c>
      <c r="M241" s="3">
        <f>4205.2+(497.3-607.3)+(2.144652+(0.253623-0.309723))+0-0-0</f>
        <v>4097.288552</v>
      </c>
      <c r="N241" s="3">
        <f>4417.7+(866.6-615.5)+(6.759081+(1.325898-0.941715))+0-0-0</f>
        <v>4675.9432640000005</v>
      </c>
      <c r="O241" s="3">
        <f>4492.4+(1021.2-534.6)+(-6.873372+(-1.562436--0.817938))+0-0-0</f>
        <v>4971.38213</v>
      </c>
      <c r="P241" s="3">
        <f>4819.2+(1107.7-720.5)+(0+(0-0))+0-0-0</f>
        <v>5206.3999999999996</v>
      </c>
      <c r="Q241" s="3">
        <f>4870.7+(1103-666.7)+(-7.452171+(-1.68759--1.020051))+0-0-0</f>
        <v>5298.8802900000001</v>
      </c>
      <c r="R241" s="3">
        <f>4780.6+(1002.5-589.5)+(-9.752424+(-2.0451--1.20258))+0-0-0</f>
        <v>5183.005056</v>
      </c>
      <c r="S241" s="3">
        <f>4834.4+(880.9-631.7)+(-2.465544+(-0.449259--0.322167))+0-0-0</f>
        <v>5081.0073639999991</v>
      </c>
      <c r="T241" s="3">
        <f>4877.6+(900.4-653.1)+(-7.462728+(-1.377612--0.999243))+0-0-0</f>
        <v>5117.0589030000001</v>
      </c>
      <c r="U241" s="3">
        <f>4854.1+(878.4-651.9)+(-12.377955+(-2.23992--1.662345))+0-0-0</f>
        <v>5067.6444700000002</v>
      </c>
      <c r="V241" s="3">
        <f>5030.9+(828.6-701)+(-10.263036+(-1.690344--1.43004))+0-0-0</f>
        <v>5147.9766600000003</v>
      </c>
      <c r="W241" s="3">
        <f>5300.8+(894.8-559.5)+(0+(0-0))+0-0-0</f>
        <v>5636.1</v>
      </c>
      <c r="X241" s="3">
        <f>5336.5+(964.1-662.5)+(-10.88646+(-1.966764--1.3515))+0-0-0</f>
        <v>5626.5982760000006</v>
      </c>
      <c r="Y241" s="3">
        <f>5146.8+(1019-732.8)+(-15.749208+(-3.11814--2.242368))+0-0-0</f>
        <v>5416.3750200000004</v>
      </c>
      <c r="Z241" s="3">
        <f>5135.6+(945.8-830.7)+(-5.238312+(-0.964716--0.847314))+0-0-0</f>
        <v>5245.3442860000005</v>
      </c>
      <c r="AA241" s="3">
        <f>5132.4+(838.5-951.5)+(-7.852572+(-1.282905--1.455795))+0-0-0</f>
        <v>5011.7203179999997</v>
      </c>
      <c r="AB241" s="3">
        <f>4962.2+(744.2-893.4)+(-12.65361+(-1.89771--2.27817))+0-0-0</f>
        <v>4800.72685</v>
      </c>
      <c r="AC241" s="3">
        <f>4787+(613.2-982.9)+(0+(0-0))+0-0-0</f>
        <v>4417.3</v>
      </c>
      <c r="AD241">
        <f t="shared" si="3"/>
        <v>111636.03589700004</v>
      </c>
      <c r="AE241" s="3">
        <f>5384+(981-617)+(0+(0-0))+0-0-0</f>
        <v>5748</v>
      </c>
    </row>
    <row r="242" spans="1:31" s="2" customFormat="1" x14ac:dyDescent="0.25">
      <c r="A242">
        <v>89</v>
      </c>
      <c r="B242">
        <v>8</v>
      </c>
      <c r="C242">
        <v>26</v>
      </c>
      <c r="D242">
        <v>5</v>
      </c>
      <c r="E242">
        <v>3</v>
      </c>
      <c r="F242" s="3">
        <f>4648.2+(379-901.9)+(-9.482328+(-0.77316--1.839876))+0-0-0</f>
        <v>4116.8843880000004</v>
      </c>
      <c r="G242" s="3">
        <f>4354.2+(237-815.2)+(0+(0-0))+0-0-0</f>
        <v>3776</v>
      </c>
      <c r="H242" s="3">
        <f>4056.4+(255.4-734.4)+(-10.34382+(-0.65127--1.87272))+0-0-0</f>
        <v>3568.27763</v>
      </c>
      <c r="I242" s="3">
        <f>3850.3+(282.4-671.9)+(-7.854612+(-0.576096--1.370676))+0-0-0</f>
        <v>3453.7399680000003</v>
      </c>
      <c r="J242" s="3">
        <f>3819.8+(311.6-756)+(5.844294+(0.476748-1.15668))+0-0-0</f>
        <v>3380.5643620000001</v>
      </c>
      <c r="K242" s="3">
        <f>3923.6+(329.9-850.2)+(-2.001036+(-0.168249--0.433602))+0-0-0</f>
        <v>3401.5643169999998</v>
      </c>
      <c r="L242" s="3">
        <f>3932.7+(399.1-1001.7)+(2.005677+(0.203541-0.510867))+0-0-0</f>
        <v>3331.7983509999999</v>
      </c>
      <c r="M242" s="3">
        <f>3902+(367.9-967.5)+(-3.98004+(-0.375258--0.98685))+0-0-0</f>
        <v>3299.0315519999999</v>
      </c>
      <c r="N242" s="3">
        <f>4031.9+(560.2-1080.8)+(0+(0-0))+0-0-0</f>
        <v>3511.3</v>
      </c>
      <c r="O242" s="3">
        <f>4294.1+(555.9-1070.6)+(-8.759964+(-1.134036--2.184024))+0-0-0</f>
        <v>3771.6900240000004</v>
      </c>
      <c r="P242" s="3">
        <f>4594.1+(626.8-1121.5)+(-7.028973+(-0.959004--1.715895))+0-0-0</f>
        <v>4093.1279180000006</v>
      </c>
      <c r="Q242" s="3">
        <f>4499.7+(579.2-903.7)+(-9.179388+(-1.181568--1.843548))+0-0-0</f>
        <v>4166.6825920000001</v>
      </c>
      <c r="R242" s="3">
        <f>4402.9+(623.6-901.7)+(-4.490958+(-0.636072--0.919734))+0-0-0</f>
        <v>4120.5927039999997</v>
      </c>
      <c r="S242" s="3">
        <f>4362.6+(590.6-919.9)+(-4.449852+(-0.602412--0.938298))+0-0-0</f>
        <v>4029.1860340000003</v>
      </c>
      <c r="T242" s="3">
        <f>4285.9+(558.7-861.5)+(-2.185809+(-0.284937--0.439365))+0-0-0</f>
        <v>3981.0686189999997</v>
      </c>
      <c r="U242" s="3">
        <f>4375+(507.8-936.3)+(-2.23125+(-0.258978--0.477513))+0-0-0</f>
        <v>3944.4872850000002</v>
      </c>
      <c r="V242" s="3">
        <f>4403.4+(599.2-859.9)+(-8.982936+(-1.222368--1.754196))+0-0-0</f>
        <v>4134.2488919999996</v>
      </c>
      <c r="W242" s="3">
        <f>4841.3+(636.2-767.8)+(-7.407189+(-0.973386--1.174734))+0-0-0</f>
        <v>4702.4941590000008</v>
      </c>
      <c r="X242" s="3">
        <f>4927.7+(654.4-801.4)+(-12.565635+(-1.66872--2.04357))+0-0-0</f>
        <v>4768.509215</v>
      </c>
      <c r="Y242" s="3">
        <f>4836.5+(654.3-776.6)+(-4.93323+(-0.667386--0.792132))+0-0-0</f>
        <v>4709.3915159999997</v>
      </c>
      <c r="Z242" s="3">
        <f>4844.1+(657-880.2)+(-4.940982+(-0.67014--0.897804))+0-0-0</f>
        <v>4616.1866820000005</v>
      </c>
      <c r="AA242" s="3">
        <f>4839.9+(703.7-1002.6)+(-9.873396+(-1.435548--2.045304))+0-0-0</f>
        <v>4531.7363599999999</v>
      </c>
      <c r="AB242" s="3">
        <f>4736+(692.2-1072.5)+(-12.0768+(-1.76511--2.734875))+0-0-0</f>
        <v>4344.5929649999998</v>
      </c>
      <c r="AC242" s="3">
        <f>4579.3+(723.7-1206.2)+(-9.341772+(-1.476348--2.460648))+0-0-0</f>
        <v>4088.442528</v>
      </c>
      <c r="AD242">
        <f t="shared" si="3"/>
        <v>95841.598060999997</v>
      </c>
      <c r="AE242" s="3">
        <f>4910+(635.7-798.9)+(0+(0-0))+0-0-0</f>
        <v>4746.8</v>
      </c>
    </row>
    <row r="243" spans="1:31" s="2" customFormat="1" x14ac:dyDescent="0.25">
      <c r="A243">
        <v>89</v>
      </c>
      <c r="B243">
        <v>8</v>
      </c>
      <c r="C243">
        <v>27</v>
      </c>
      <c r="D243">
        <v>6</v>
      </c>
      <c r="E243">
        <v>6</v>
      </c>
      <c r="F243" s="3">
        <f>4273+(634.7-1153.7)+(-10.89615+(-1.618485--2.941935))+0-0-0</f>
        <v>3744.4272999999998</v>
      </c>
      <c r="G243" s="3">
        <f>4164.3+(367.7-1067.7)+(-8.495172+(-0.750108--2.178108))+0-0-0</f>
        <v>3457.2328280000002</v>
      </c>
      <c r="H243" s="3">
        <f>3980.1+(243.8-901.9)+(-8.119404+(-0.497352--1.839876))+0-0-0</f>
        <v>3315.2231200000001</v>
      </c>
      <c r="I243" s="3">
        <f>3736.4+(297.8-824.4)+(3.811128+(0.303756-0.840888))+0-0-0</f>
        <v>3213.0739960000001</v>
      </c>
      <c r="J243" s="3">
        <f>3659.8+(362.1-842.9)+(-5.599494+(-0.554013--1.289637))+0-0-0</f>
        <v>3174.1361299999999</v>
      </c>
      <c r="K243" s="3">
        <f>3726.3+(354.6-861.5)+(-1.900413+(-0.180846--0.439365))+0-0-0</f>
        <v>3217.7581060000002</v>
      </c>
      <c r="L243" s="3">
        <f>3826.5+(554-1065.7)+(-11.70909+(-1.69524--3.261042))+0-0-0</f>
        <v>3304.656712</v>
      </c>
      <c r="M243" s="3">
        <f>3931.2+(623.8-1094.8)+(0+(0-0))+0-0-0</f>
        <v>3460.2</v>
      </c>
      <c r="N243" s="3">
        <f>4789.5+(750-1617.4)+(-4.88529+(-0.765--1.649748))+3.8-0-0</f>
        <v>3921.8994579999999</v>
      </c>
      <c r="O243" s="3">
        <f>5004.8+(831.8-1439.4)+(5.104896+(0.848436-1.468188))+0-0-0</f>
        <v>4401.685144</v>
      </c>
      <c r="P243" s="3">
        <f>5233.8+(783.6-1440.7)+(-10.676952+(-1.598544--2.939028))+0-0-0</f>
        <v>4567.3635319999994</v>
      </c>
      <c r="Q243" s="3">
        <f>5355.4+(831.6-1418.9)+(-10.925016+(-1.696464--2.894556))+0-0-0</f>
        <v>4758.3730759999999</v>
      </c>
      <c r="R243" s="3">
        <f>5180.1+(865.4-1381.3)+(-7.925553+(-1.324062--2.113389))+0-0-0</f>
        <v>4657.0637740000011</v>
      </c>
      <c r="S243" s="3">
        <f>4850.2+(890.6-1277.9)+(-7.420806+(-1.362618--1.955187))+0-0-0</f>
        <v>4456.0717629999999</v>
      </c>
      <c r="T243" s="3">
        <f>4831.2+(894.5-1298.9)+(2.463912+(0.456195-0.662439))+0-0-0</f>
        <v>4429.0576679999995</v>
      </c>
      <c r="U243" s="3">
        <f>4910.1+(883.6-1443.5)+(2.504151+(0.450636-0.736185))+0-0-0</f>
        <v>4352.4186020000006</v>
      </c>
      <c r="V243" s="3">
        <f>4993.4+(802.7-1350.9)+(0+(0-0))+0-0-0</f>
        <v>4445.2</v>
      </c>
      <c r="W243" s="3">
        <f>5429.3+(664.6-1059.6)+(0+(0-0))+0-0-0</f>
        <v>5034.3</v>
      </c>
      <c r="X243" s="3">
        <f>5524.2+(653.4-1079.1)+(-8.452026+(-0.999702--1.651023))+0-0-0</f>
        <v>5090.6992950000003</v>
      </c>
      <c r="Y243" s="3">
        <f>5465.6+(672.4-1187.7)+(-5.574912+(-0.685848--1.211454))+0-0-0</f>
        <v>4945.2506940000003</v>
      </c>
      <c r="Z243" s="3">
        <f>5474+(634.2-1251.4)+(-2.79174+(-0.323442--0.638214))+0-0-0</f>
        <v>4854.3230320000002</v>
      </c>
      <c r="AA243" s="3">
        <f>5360.9+(627.6-1259.1)+(-2.734059+(-0.320076--0.642141))+0-0-0</f>
        <v>4726.9880059999996</v>
      </c>
      <c r="AB243" s="3">
        <f>4788.4+(511.8-850.3)+(-7.326252+(-0.783054--1.300959))+0-0-0</f>
        <v>4443.0916529999995</v>
      </c>
      <c r="AC243" s="3">
        <f>4505.5+(482.6-806)+(-4.59561+(-0.492252--0.82212))+0-0-0</f>
        <v>4177.8342580000008</v>
      </c>
      <c r="AD243">
        <f t="shared" si="3"/>
        <v>100148.32814700001</v>
      </c>
      <c r="AE243" s="3">
        <f>5533+(649.9-1088.3)+(0+(0-0))+0-0-0</f>
        <v>5094.6000000000004</v>
      </c>
    </row>
    <row r="244" spans="1:31" s="2" customFormat="1" x14ac:dyDescent="0.25">
      <c r="A244">
        <v>89</v>
      </c>
      <c r="B244">
        <v>8</v>
      </c>
      <c r="C244">
        <v>28</v>
      </c>
      <c r="D244">
        <v>7</v>
      </c>
      <c r="E244">
        <v>1</v>
      </c>
      <c r="F244" s="3">
        <f>4189+(411-745.5)+(-8.54556+(-0.83844--1.52082))+0-0-0</f>
        <v>3846.6368200000002</v>
      </c>
      <c r="G244" s="3">
        <f>3786+(458.2-693.8)+(-9.6543+(-1.16841--1.76919))+0-0-0</f>
        <v>3541.3464800000002</v>
      </c>
      <c r="H244" s="3">
        <f>3525.4+(415.4-591.6)+(-8.98977+(-1.05927--1.50858))+0-0-0</f>
        <v>3340.6595399999997</v>
      </c>
      <c r="I244" s="3">
        <f>3483.2+(399.7-638.6)+(-1.776432+(-0.203847--0.325686))+0-0-0</f>
        <v>3242.6454069999995</v>
      </c>
      <c r="J244" s="3">
        <f>3507.7+(395.5-684.9)+(3.577854+(0.40341-0.698598))+0-0-0</f>
        <v>3221.5826659999998</v>
      </c>
      <c r="K244" s="3">
        <f>3565.3+(422.9-776.5)+(-1.818303+(-0.215679--0.396015))+0-0-0</f>
        <v>3210.0620330000002</v>
      </c>
      <c r="L244" s="3">
        <f>3516.6+(444.7-814)+(-7.173864+(-0.907188--1.66056))+0-0-0</f>
        <v>3140.8795079999995</v>
      </c>
      <c r="M244" s="3">
        <f>3522.1+(509.6-971.4)+(5.388813+(0.779688-1.486242))+0-0-0</f>
        <v>3064.9822590000003</v>
      </c>
      <c r="N244" s="3">
        <f>3792.1+(737.9-1354)+(0+(0-0))+0-0-0</f>
        <v>3176</v>
      </c>
      <c r="O244" s="3">
        <f>4017.9+(1040.3-1473)+(-2.049129+(-0.530553--0.75123))+0-0-0</f>
        <v>3583.3715479999996</v>
      </c>
      <c r="P244" s="3">
        <f>4018.4+(1051-1231.8)+(2.049384+(0.53601-0.628218))+0-0-0</f>
        <v>3839.5571760000003</v>
      </c>
      <c r="Q244" s="3">
        <f>4017.5+(1064.4-1153.4)+(2.048925+(0.542844-0.588234))+0-0-0</f>
        <v>3930.5035349999998</v>
      </c>
      <c r="R244" s="3">
        <f>4007.7+(1078.9-1188.5)+(-10.219635+(-2.751195--3.030675))+0-0-0</f>
        <v>3888.1598450000001</v>
      </c>
      <c r="S244" s="3">
        <f>4004.7+(1052.3-1175.6)+(-6.127191+(-1.610019--1.798668))+0-0-0</f>
        <v>3875.4614579999998</v>
      </c>
      <c r="T244" s="3">
        <f>3989.1+(982.7-1170.9)+(2.034441+(0.501177-0.597159))+0-0-0</f>
        <v>3802.8384589999996</v>
      </c>
      <c r="U244" s="3">
        <f>3984.4+(935.4-1091.9)+(-8.128176+(-1.908216--2.227476))+0-0-0</f>
        <v>3820.0910840000001</v>
      </c>
      <c r="V244" s="3">
        <f>4068.7+(738.5-797.2)+(2.075037+(0.376635-0.406572))+0-0-0</f>
        <v>4012.0450999999998</v>
      </c>
      <c r="W244" s="3">
        <f>4373.8+(720.5-471.7)+(0+(0-0))+0-0-0</f>
        <v>4622.6000000000004</v>
      </c>
      <c r="X244" s="3">
        <f>4412+(918.1-569.3)+(-9.00048+(-1.872924--1.161372))+0-0-0</f>
        <v>4751.0879679999998</v>
      </c>
      <c r="Y244" s="3">
        <f>4111.7+(1132.3-513.8)+(-4.193934+(-1.154946--0.524076))+0-0-0</f>
        <v>4725.375196</v>
      </c>
      <c r="Z244" s="3">
        <f>3985.1+(1141-475.4)+(-4.064802+(-1.16382--0.484908))+0-0-0</f>
        <v>4645.9562859999996</v>
      </c>
      <c r="AA244" s="3">
        <f>3917.3+(1112.8-499.6)+(-1.997823+(-0.567528--0.254796))+0-0-0</f>
        <v>4528.189445</v>
      </c>
      <c r="AB244" s="3">
        <f>3768.4+(1016.5-463.6)+(-5.765652+(-1.555245--0.709308))+0-0-0</f>
        <v>4314.6884110000001</v>
      </c>
      <c r="AC244" s="3">
        <f>3580.1+(833.1-473)+(0+(0-0))+0-0-0</f>
        <v>3940.2</v>
      </c>
      <c r="AD244">
        <f t="shared" si="3"/>
        <v>92064.920223999987</v>
      </c>
      <c r="AE244" s="3">
        <f>4404+(878.1-570.2)+(0+(0-0))+0-0-0</f>
        <v>4711.8999999999996</v>
      </c>
    </row>
    <row r="245" spans="1:31" s="2" customFormat="1" x14ac:dyDescent="0.25">
      <c r="A245">
        <v>89</v>
      </c>
      <c r="B245">
        <v>8</v>
      </c>
      <c r="C245">
        <v>29</v>
      </c>
      <c r="D245">
        <v>1</v>
      </c>
      <c r="E245">
        <v>1</v>
      </c>
      <c r="F245" s="3">
        <f>3379.7+(565.1-446.3)+(-6.894588+(-1.152804--0.910452))+0-0-0</f>
        <v>3491.3630600000001</v>
      </c>
      <c r="G245" s="3">
        <f>3160.3+(508.4-418.8)+(-4.835259+(-0.777852--0.640764))+0-0-0</f>
        <v>3244.9276530000002</v>
      </c>
      <c r="H245" s="3">
        <f>3054.5+(460.6-397.3)+(-4.673385+(-0.704718--0.607869))+0-0-0</f>
        <v>3113.0297660000001</v>
      </c>
      <c r="I245" s="3">
        <f>2933.2+(531.3-375.8)+(4.487796+(0.812889-0.574974))+0-0-0</f>
        <v>3093.4257109999999</v>
      </c>
      <c r="J245" s="3">
        <f>3052.5+(496.8-401.8)+(-4.670325+(-0.760104--0.614754))+0-0-0</f>
        <v>3142.6843250000002</v>
      </c>
      <c r="K245" s="3">
        <f>3077.4+(563.6-369.6)+(-1.569474+(-0.287436--0.188496))+0-0-0</f>
        <v>3269.7315859999999</v>
      </c>
      <c r="L245" s="3">
        <f>3281.6+(706.5-342.9)+(-6.694464+(-1.44126--0.699516))+0-0-0</f>
        <v>3637.7637919999997</v>
      </c>
      <c r="M245" s="3">
        <f>3558.3+(915.3-409.9)+(5.444199+(1.400409-0.627147))+0-0-0</f>
        <v>4069.9174610000005</v>
      </c>
      <c r="N245" s="3">
        <f>3882.4+(1278.6-545.2)+(1.980024+(0.652086-0.278052))+0-0-0</f>
        <v>4618.1540580000001</v>
      </c>
      <c r="O245" s="3">
        <f>4061.7+(1423.2-575.5)+(-4.142934+(-1.451664--0.58701))+0-0-0</f>
        <v>4904.3924119999992</v>
      </c>
      <c r="P245" s="3">
        <f>4122.4+(1615-545.4)+(0+(0-0))+1-0-0</f>
        <v>5193</v>
      </c>
      <c r="Q245" s="3">
        <f>4167.8+(1696.6-573.1)+(0+(0-0))+0.3-0-0</f>
        <v>5291.6</v>
      </c>
      <c r="R245" s="3">
        <f>4088.2+(1612.3-514.2)+(-8.339928+(-3.289092--1.048968))+0-0-0</f>
        <v>5175.719947999999</v>
      </c>
      <c r="S245" s="3">
        <f>3984.6+(1581.6-501.5)+(6.096438+(2.419848-0.767295))+0-0-0</f>
        <v>5072.4489910000002</v>
      </c>
      <c r="T245" s="3">
        <f>4077.5+(1530.4-505.5)+(0+(0-0))+0-0-0</f>
        <v>5102.3999999999996</v>
      </c>
      <c r="U245" s="3">
        <f>4087.7+(1499.8-508.3)+(-4.169454+(-1.529796--0.518466))+0-0-0</f>
        <v>5074.0192159999997</v>
      </c>
      <c r="V245" s="3">
        <f>4237.6+(1468.9-480.8)+(2.161176+(0.749139-0.245208))+0-0-0</f>
        <v>5228.3651070000005</v>
      </c>
      <c r="W245" s="3">
        <f>4577.4+(1811.3-593.7)+(-4.668948+(-1.847526--0.605574))+0-0-0</f>
        <v>5789.0891000000001</v>
      </c>
      <c r="X245" s="3">
        <f>4797.5+(1690.6-654.8)+(-7.340175+(-2.586618--1.001844))+0-0-0</f>
        <v>5824.375051</v>
      </c>
      <c r="Y245" s="3">
        <f>4660.5+(1732.3-745.6)+(-2.376855+(-0.883473--0.380256))+0-0-0</f>
        <v>5644.3199279999999</v>
      </c>
      <c r="Z245" s="3">
        <f>4658.4+(1598.6-803.5)+(-2.375784+(-0.815286--0.409785))+0-0-0</f>
        <v>5450.718715</v>
      </c>
      <c r="AA245" s="3">
        <f>4403.1+(1590-814.5)+(-4.491162+(-1.6218--0.83079))+0-0-0</f>
        <v>5173.3178280000002</v>
      </c>
      <c r="AB245" s="3">
        <f>4229.1+(1279.8-631.2)+(-2.156841+(-0.652698--0.321912))+0-0-0</f>
        <v>4875.2123730000003</v>
      </c>
      <c r="AC245" s="3">
        <f>3638.2+(1278-489)+(-7.421928+(-2.60712--0.99756))+0-0-0</f>
        <v>4418.1685120000002</v>
      </c>
      <c r="AD245">
        <f t="shared" si="3"/>
        <v>109898.14459299999</v>
      </c>
      <c r="AE245" s="3">
        <f>4659+(1847.3-641.4)+(0+(0-0))+0-0-0</f>
        <v>5864.9</v>
      </c>
    </row>
    <row r="246" spans="1:31" s="2" customFormat="1" x14ac:dyDescent="0.25">
      <c r="A246">
        <v>89</v>
      </c>
      <c r="B246">
        <v>8</v>
      </c>
      <c r="C246">
        <v>30</v>
      </c>
      <c r="D246">
        <v>2</v>
      </c>
      <c r="E246">
        <v>1</v>
      </c>
      <c r="F246" s="3">
        <f>3538.1+(934.5-468.3)+(-1.804431+(-0.476595--0.238833))+0-0-0</f>
        <v>4002.2578069999995</v>
      </c>
      <c r="G246" s="3">
        <f>3254.4+(858.5-477.5)+(-4.979232+(-1.313505--0.730575))+0-0-0</f>
        <v>3629.8378379999999</v>
      </c>
      <c r="H246" s="3">
        <f>3259.8+(713.6-450)+(-1.662498+(-0.363936--0.2295))+0-0-0</f>
        <v>3521.6030660000001</v>
      </c>
      <c r="I246" s="3">
        <f>3262.3+(622.5-424.6)+(-1.663773+(-0.317475--0.216546))+0-0-0</f>
        <v>3458.4352980000003</v>
      </c>
      <c r="J246" s="3">
        <f>3272.9+(624.5-451.6)+(6.676716+(1.27398-0.921264))+0-0-0</f>
        <v>3452.829432</v>
      </c>
      <c r="K246" s="3">
        <f>3271+(782.2-457.9)+(1.66821+(0.398922-0.233529))+0-0-0</f>
        <v>3597.1336030000002</v>
      </c>
      <c r="L246" s="3">
        <f>3359.2+(961.7-495.2)+(0+(0-0))+0-0-0</f>
        <v>3825.7</v>
      </c>
      <c r="M246" s="3">
        <f>3541.2+(1015-436.2)+(-5.418036+(-1.55295--0.667386))+0-0-0</f>
        <v>4113.6963999999998</v>
      </c>
      <c r="N246" s="3">
        <f>3814.9+(1191-347)+(3.891198+(1.21482-0.35394))+0-0-0</f>
        <v>4663.6520780000001</v>
      </c>
      <c r="O246" s="3">
        <f>3976.6+(1425-422.9)+(-6.084198+(-2.18025--0.647037))+0-0-0</f>
        <v>4971.0825889999996</v>
      </c>
      <c r="P246" s="3">
        <f>4044+(1769.5-553.5)+(2.06244+(0.902445-0.282285))+0-0-0</f>
        <v>5262.6826000000001</v>
      </c>
      <c r="Q246" s="3">
        <f>4124.4+(1762.5-519.1)+(-4.206888+(-1.79775--0.529482))+0-0-0</f>
        <v>5362.3248439999988</v>
      </c>
      <c r="R246" s="3">
        <f>4095.5+(1631.6-466.4)+(-10.443525+(-4.16058--1.18932))+0-0-0</f>
        <v>5247.2852149999999</v>
      </c>
      <c r="S246" s="3">
        <f>4025.1+(1498.5-380.7)+(-2.052801+(-0.764235--0.194157))+0-0-0</f>
        <v>5140.2771210000001</v>
      </c>
      <c r="T246" s="3">
        <f>4010.5+(1578.8-370.2)+(-6.136065+(-2.415564--0.566406))+0-0-0</f>
        <v>5211.1147770000007</v>
      </c>
      <c r="U246" s="3">
        <f>4017.1+(1591.1-434.5)+(2.048721+(0.811461-0.221595))+0-0-0</f>
        <v>5176.3385870000002</v>
      </c>
      <c r="V246" s="3">
        <f>4206.4+(1472.6-365.7)+(-2.145264+(-0.751026--0.186507))+0-0-0</f>
        <v>5310.590216999999</v>
      </c>
      <c r="W246" s="3">
        <f>4569.5+(1748-489.4)+(0+(0-0))+0-0-0</f>
        <v>5828.1</v>
      </c>
      <c r="X246" s="3">
        <f>4774.2+(1660.9-578)+(-9.739368+(-3.388236--1.17912))+0-0-0</f>
        <v>5845.1515160000008</v>
      </c>
      <c r="Y246" s="3">
        <f>4712.6+(1483-552.4)+(-9.613704+(-3.02532--1.126896))+0-0-0</f>
        <v>5631.6878720000004</v>
      </c>
      <c r="Z246" s="3">
        <f>4525.2+(1438.2-529.7)+(-11.53926+(-3.66741--1.350735))+0-0-0</f>
        <v>5419.8440650000002</v>
      </c>
      <c r="AA246" s="3">
        <f>4492.3+(1297.7-614.4)+(-6.873219+(-1.985481--0.940032))+0-0-0</f>
        <v>5167.6813320000001</v>
      </c>
      <c r="AB246" s="3">
        <f>4355.1+(1052.3-561.5)+(-6.663303+(-1.610019--0.859095))+0-0-0</f>
        <v>4838.4857730000003</v>
      </c>
      <c r="AC246" s="3">
        <f>4180.4+(793-535.3)+(-6.396012+(-1.21329--0.819009))+0-0-0</f>
        <v>4431.3097069999994</v>
      </c>
      <c r="AD246">
        <f t="shared" si="3"/>
        <v>113109.101737</v>
      </c>
      <c r="AE246" s="3">
        <f>4738+(1720.2-578.7)+(0+(0-0))+0-0-0</f>
        <v>5879.5</v>
      </c>
    </row>
    <row r="247" spans="1:31" s="2" customFormat="1" x14ac:dyDescent="0.25">
      <c r="A247">
        <v>89</v>
      </c>
      <c r="B247">
        <v>9</v>
      </c>
      <c r="C247">
        <v>1</v>
      </c>
      <c r="D247">
        <v>3</v>
      </c>
      <c r="E247">
        <v>1</v>
      </c>
      <c r="F247" s="3">
        <f>4135.4+(550.1-682.6)+(-10.54527+(-1.402755--1.74063))+0-0-0</f>
        <v>3992.6926049999997</v>
      </c>
      <c r="G247" s="3">
        <f>3842.4+(539.4-672.1)+(-1.959624+(-0.275094--0.342771))+0-0-0</f>
        <v>3707.8080529999997</v>
      </c>
      <c r="H247" s="3">
        <f>3663+(497.5-613.5)+(-5.60439+(-0.761175--0.938655))+0-0-0</f>
        <v>3541.5730899999999</v>
      </c>
      <c r="I247" s="3">
        <f>3532.9+(565.9-601.5)+(-1.801779+(-0.288609--0.306765))+0-0-0</f>
        <v>3495.5163770000004</v>
      </c>
      <c r="J247" s="3">
        <f>3512.1+(548.5-584.1)+(1.791171+(0.279735-0.297891))+0-0-0</f>
        <v>3478.2730150000002</v>
      </c>
      <c r="K247" s="3">
        <f>3722.2+(463.8-622.7)+(-5.694966+(-0.709614--0.952731))+0-0-0</f>
        <v>3557.8481509999997</v>
      </c>
      <c r="L247" s="3">
        <f>4026.5+(535.7-761.1)+(0+(0-0))+0-0-0</f>
        <v>3801.1</v>
      </c>
      <c r="M247" s="3">
        <f>4182.4+(763.2-786.6)+(-2.133024+(-0.389232--0.401166))+0-0-0</f>
        <v>4156.8789100000004</v>
      </c>
      <c r="N247" s="3">
        <f>4399.3+(975-715.2)+(-8.974572+(-1.989--1.459008))+0-0-0</f>
        <v>4649.5954360000005</v>
      </c>
      <c r="O247" s="3">
        <f>4490.4+(1269-728.7)+(-6.870312+(-1.94157--1.114911))+0-0-0</f>
        <v>5023.0030289999995</v>
      </c>
      <c r="P247" s="3">
        <f>4571.5+(1385.8-712.9)+(-4.66293+(-1.413516--0.727158))+0-0-0</f>
        <v>5239.0507119999993</v>
      </c>
      <c r="Q247" s="3">
        <f>4404.5+(1481.4-648.5)+(-4.49259+(-1.511028--0.66147))+136.7-0-0</f>
        <v>5368.7578519999997</v>
      </c>
      <c r="R247" s="3">
        <f>4283.9+(1607.9-652.9)+(-2.184789+(-0.820029--0.332979))+0-0-0</f>
        <v>5236.228161</v>
      </c>
      <c r="S247" s="3">
        <f>4157.9+(1549.1-585.1)+(-6.361587+(-2.370123--0.895203))+0-0-0</f>
        <v>5114.0634929999997</v>
      </c>
      <c r="T247" s="3">
        <f>4207.5+(1544.5-568.9)+(0+(0-0))+0-0-0</f>
        <v>5183.1000000000004</v>
      </c>
      <c r="U247" s="3">
        <f>4258.2+(1444.1-556)+(2.171682+(0.736491-0.28356))+0-0-0</f>
        <v>5148.9246129999992</v>
      </c>
      <c r="V247" s="3">
        <f>4548.8+(1359.1-614.1)+(0+(0-0))+0-0-0</f>
        <v>5293.8</v>
      </c>
      <c r="W247" s="3">
        <f>5042.5+(1493.8-708.9)+(-2.571675+(-0.761838--0.361539))+0-0-0</f>
        <v>5824.4280259999996</v>
      </c>
      <c r="X247" s="3">
        <f>5124.3+(1443.7-856.4)+(-13.066965+(-3.681435--2.18382))+0-0-0</f>
        <v>5697.0354200000002</v>
      </c>
      <c r="Y247" s="3">
        <f>4978.5+(1320.1-770.8)+(-2.539035+(-0.673251--0.393108))+0-0-0</f>
        <v>5524.9808220000004</v>
      </c>
      <c r="Z247" s="3">
        <f>4928+(1248.9-795.7)+(-7.53984+(-1.910817--1.217421))+0-0-0</f>
        <v>5372.9667639999998</v>
      </c>
      <c r="AA247" s="3">
        <f>4745.6+(1272.4-791.2)+(-9.681024+(-2.595696--1.614048))+0-0-0</f>
        <v>5216.1373279999998</v>
      </c>
      <c r="AB247" s="3">
        <f>4685.2+(1009.5-746.4)+(-9.557808+(-2.05938--1.522656))+0-0-0</f>
        <v>4938.2054680000001</v>
      </c>
      <c r="AC247" s="3">
        <f>4263.3+(954.5-708.1)+(-15.219981+(-3.407565--2.527917))+0-0-0</f>
        <v>4493.6003709999995</v>
      </c>
      <c r="AD247">
        <f t="shared" si="3"/>
        <v>113055.56769599997</v>
      </c>
      <c r="AE247" s="3">
        <f>5166+(1622.6-783.8)+(0+(0-0))+0-0-0</f>
        <v>6004.8</v>
      </c>
    </row>
    <row r="248" spans="1:31" s="2" customFormat="1" x14ac:dyDescent="0.25">
      <c r="A248">
        <v>89</v>
      </c>
      <c r="B248">
        <v>9</v>
      </c>
      <c r="C248">
        <v>2</v>
      </c>
      <c r="D248">
        <v>4</v>
      </c>
      <c r="E248">
        <v>1</v>
      </c>
      <c r="F248" s="3">
        <f>4030.8+(610.7-626.7)+(-6.167124+(-0.934371--0.958851))+0-0-0</f>
        <v>4008.6573560000002</v>
      </c>
      <c r="G248" s="3">
        <f>3728.7+(484.1-515.8)+(-3.803274+(-0.493782--0.526116))+0-0-0</f>
        <v>3693.2290600000001</v>
      </c>
      <c r="H248" s="3">
        <f>3672.2+(384.7-516.7)+(-5.618466+(-0.588591--0.790551))+83.6-0-0</f>
        <v>3618.3834939999997</v>
      </c>
      <c r="I248" s="3">
        <f>3624.8+(385.1-566.3)+(-5.545944+(-0.589203--0.866439))+19-0-0</f>
        <v>3457.3312920000003</v>
      </c>
      <c r="J248" s="3">
        <f>3613.7+(440.7-585.5)+(0+(0-0))+0-0-0</f>
        <v>3468.8999999999996</v>
      </c>
      <c r="K248" s="3">
        <f>3714.6+(393.6-534.8)+(-7.577784+(-0.802944--1.090992))+0-0-0</f>
        <v>3566.1102639999999</v>
      </c>
      <c r="L248" s="3">
        <f>3956+(430.4-590.1)+(-2.01756+(-0.219504--0.300951))+0-0-0</f>
        <v>3794.363887</v>
      </c>
      <c r="M248" s="3">
        <f>4254+(596.1-697.7)+(-2.16954+(-0.304011--0.355827))+0-0-0</f>
        <v>4150.2822759999999</v>
      </c>
      <c r="N248" s="3">
        <f>4746.6+(796.6-798.4)+(2.420766+(0.406266-0.407184))+0-0-0</f>
        <v>4747.2198479999997</v>
      </c>
      <c r="O248" s="3">
        <f>4796.1+(1072.9-780.8)+(-7.338033+(-1.641537--1.194624))+0-0-0</f>
        <v>5080.415054000001</v>
      </c>
      <c r="P248" s="3">
        <f>4871.6+(1087.8-696.9)+(2.484516+(0.554778-0.355419))+0-0-0</f>
        <v>5265.1838749999997</v>
      </c>
      <c r="Q248" s="3">
        <f>4774.6+(1185.7-658)+(-9.740184+(-2.418828--1.34232))+0-0-0</f>
        <v>5291.4833079999999</v>
      </c>
      <c r="R248" s="3">
        <f>4636.8+(1248.1-698.6)+(-2.364768+(-0.636531--0.356286))+0-0-0</f>
        <v>5183.6549869999999</v>
      </c>
      <c r="S248" s="3">
        <f>4673.4+(1222.9-721.3)+(4.766868+(1.247358-0.735726))+0-0-0</f>
        <v>5180.2785000000003</v>
      </c>
      <c r="T248" s="3">
        <f>4667.6+(1221.3-662.5)+(4.760952+(1.245726-0.67575))+0-0-0</f>
        <v>5231.7309280000009</v>
      </c>
      <c r="U248" s="3">
        <f>4788.2+(1113.6-714.2)+(2.441982+(0.567936-0.364242))+0-0-0</f>
        <v>5190.2456759999995</v>
      </c>
      <c r="V248" s="3">
        <f>4969+(1036-728)+(-5.06838+(-1.05672--0.74256))+0-0-0</f>
        <v>5271.6174600000004</v>
      </c>
      <c r="W248" s="3">
        <f>5339.1+(1394.7-827.7)+(2.722941+(0.711297-0.422127))+0-0-0</f>
        <v>5909.1121110000004</v>
      </c>
      <c r="X248" s="3">
        <f>5441.4+(1372.5-966)+(-8.325342+(-2.099925--1.47798))+0-0-0</f>
        <v>5838.9527129999997</v>
      </c>
      <c r="Y248" s="3">
        <f>5359.1+(1257-979.8)+(-8.199423+(-1.92321--1.499094))+0-0-0</f>
        <v>5627.676461</v>
      </c>
      <c r="Z248" s="3">
        <f>5332.9+(1076.7-936.3)+(-5.439558+(-1.098234--0.955026))+0-0-0</f>
        <v>5467.7172339999988</v>
      </c>
      <c r="AA248" s="3">
        <f>5260.3+(892.5-953)+(-8.048259+(-1.365525--1.45809))+14.7-0-0</f>
        <v>5206.5443059999998</v>
      </c>
      <c r="AB248" s="3">
        <f>4766.9+(1078.5-937.9)+(-9.724476+(-2.20014--1.913316))+0-0-0</f>
        <v>4897.4886999999999</v>
      </c>
      <c r="AC248" s="3">
        <f>4042.6+(1233.5-754.4)+(-4.123452+(-1.25817--0.769488))+0-0-0</f>
        <v>4517.0878659999998</v>
      </c>
      <c r="AD248">
        <f t="shared" si="3"/>
        <v>113663.666656</v>
      </c>
      <c r="AE248" s="3">
        <f>5474+(1376.7-978.4)+(0+(0-0))+0-0-0</f>
        <v>5872.3</v>
      </c>
    </row>
    <row r="249" spans="1:31" s="2" customFormat="1" x14ac:dyDescent="0.25">
      <c r="A249">
        <v>89</v>
      </c>
      <c r="B249">
        <v>9</v>
      </c>
      <c r="C249">
        <v>3</v>
      </c>
      <c r="D249">
        <v>5</v>
      </c>
      <c r="E249">
        <v>1</v>
      </c>
      <c r="F249" s="3">
        <f>3871.6+(880.8-645.6)+(-7.898064+(-1.796832--1.317024))+0-0-0</f>
        <v>4098.4221280000002</v>
      </c>
      <c r="G249" s="3">
        <f>3684+(698.4-611.3)+(-5.63652+(-1.068552--0.935289))+0-0-0</f>
        <v>3765.3302169999997</v>
      </c>
      <c r="H249" s="3">
        <f>3661.3+(550.6-623.6)+(-9.336315+(-1.40403--1.59018))+0-0-0</f>
        <v>3579.1498350000002</v>
      </c>
      <c r="I249" s="3">
        <f>3620.2+(521.4-618.6)+(-1.846302+(-0.265914--0.315486))+0-0-0</f>
        <v>3521.20327</v>
      </c>
      <c r="J249" s="3">
        <f>3686.6+(483.3-650.8)+(0+(0-0))+0-0-0</f>
        <v>3519.1</v>
      </c>
      <c r="K249" s="3">
        <f>3684.3+(510.5-612.3)+(-5.636979+(-0.781065--0.936819))+0-0-0</f>
        <v>3577.018775</v>
      </c>
      <c r="L249" s="3">
        <f>3881+(684.7-889.9)+(-5.93793+(-1.047591--1.361547))+0-0-0</f>
        <v>3670.1760260000001</v>
      </c>
      <c r="M249" s="3">
        <f>4138.3+(711.1-911.7)+(-6.331599+(-1.087983--1.394901))+0-0-0</f>
        <v>3931.6753190000004</v>
      </c>
      <c r="N249" s="3">
        <f>4303.8+(930.1-833.2)+(-4.389876+(-0.948702--0.849864))+0-0-0</f>
        <v>4396.2112859999997</v>
      </c>
      <c r="O249" s="3">
        <f>4628.2+(864.3-656.7)+(0+(0-0))+0-0-0</f>
        <v>4835.7999999999993</v>
      </c>
      <c r="P249" s="3">
        <f>4665.7+(988.6-597.2)+(-4.759014+(-1.008372--0.609144))+0-0-0</f>
        <v>5051.941757999999</v>
      </c>
      <c r="Q249" s="3">
        <f>4536+(1137.4-586.1)+(-4.62672+(-1.160148--0.597822))+0-0-0</f>
        <v>5082.1109539999998</v>
      </c>
      <c r="R249" s="3">
        <f>4461.1+(1113.5-558.2)+(-2.275161+(-0.567885--0.284682))+0-0-0</f>
        <v>5013.8416360000001</v>
      </c>
      <c r="S249" s="3">
        <f>4463+(983.4-536.1)+(-4.55226+(-1.003068--0.546822))+0-0-0</f>
        <v>4905.2914940000001</v>
      </c>
      <c r="T249" s="3">
        <f>4498.6+(1012.6-588.4)+(-4.588572+(-1.032852--0.600168))+0-0-0</f>
        <v>4917.7787440000002</v>
      </c>
      <c r="U249" s="3">
        <f>4448.2+(985.7-540.4)+(2.268582+(0.502707-0.275604))+0-0-0</f>
        <v>4895.9956849999999</v>
      </c>
      <c r="V249" s="3">
        <f>4662.2+(921.6-544.3)+(0+(0-0))+0-0-0</f>
        <v>5039.5</v>
      </c>
      <c r="W249" s="3">
        <f>4981.5+(1468.7-865.4)+(0+(0-0))+0-0-0</f>
        <v>5584.8</v>
      </c>
      <c r="X249" s="3">
        <f>4997+(1545.6-923.4)+(-7.64541+(-2.364768--1.412802))+0-0-0</f>
        <v>5610.6026240000001</v>
      </c>
      <c r="Y249" s="3">
        <f>4855.1+(1434.2-836.5)+(-9.904404+(-2.925768--1.70646))+0-0-0</f>
        <v>5441.6762880000006</v>
      </c>
      <c r="Z249" s="3">
        <f>4839.3+(1220.2-782.7)+(-14.808258+(-3.733812--2.395062))+0-0-0</f>
        <v>5260.6529920000003</v>
      </c>
      <c r="AA249" s="3">
        <f>4620.9+(1150.8-748.1)+(-9.426636+(-2.347632--1.526124))+0-0-0</f>
        <v>5013.3518559999993</v>
      </c>
      <c r="AB249" s="3">
        <f>4424.4+(1026.8-696.2)+(-4.512888+(-1.047336--0.710124))+0-0-0</f>
        <v>4750.1499000000003</v>
      </c>
      <c r="AC249" s="3">
        <f>4226.7+(892.3-605.1)+(-8.622468+(-1.820292--1.234404))+0-0-0</f>
        <v>4504.6916439999995</v>
      </c>
      <c r="AD249">
        <f t="shared" si="3"/>
        <v>109966.47243100003</v>
      </c>
      <c r="AE249" s="3">
        <f>5009+(1624.4-968.8)+(0+(0-0))+0-0-0</f>
        <v>5664.6</v>
      </c>
    </row>
    <row r="250" spans="1:31" s="2" customFormat="1" x14ac:dyDescent="0.25">
      <c r="A250">
        <v>89</v>
      </c>
      <c r="B250">
        <v>9</v>
      </c>
      <c r="C250">
        <v>4</v>
      </c>
      <c r="D250">
        <v>6</v>
      </c>
      <c r="E250">
        <v>3</v>
      </c>
      <c r="F250" s="3">
        <f>3988.3+(665-509.3)+(0+(0-0))+0-0-0</f>
        <v>4144</v>
      </c>
      <c r="G250" s="3">
        <f>3808.1+(621.9-624.7)+(0+(0-0))+0-0-0</f>
        <v>3805.2999999999997</v>
      </c>
      <c r="H250" s="3">
        <f>3630.6+(528.5-574.9)+(0+(0-0))+0-0-0</f>
        <v>3584.2</v>
      </c>
      <c r="I250" s="3">
        <f>3605.4+(490.8-610.4)+(0+(0-0))+0-0-0</f>
        <v>3485.8</v>
      </c>
      <c r="J250" s="3">
        <f>3454.7+(465.5-477.1)+(-1.761897+(-0.237405--0.243321))+0-0-0</f>
        <v>3441.3440190000001</v>
      </c>
      <c r="K250" s="3">
        <f>3461.4+(513-513.3)+(5.295942+(0.78489-0.785349))+0-0-0</f>
        <v>3466.3954830000002</v>
      </c>
      <c r="L250" s="3">
        <f>3453.6+(717.3-611.8)+(0+(0-0))+0-0-0</f>
        <v>3559.1</v>
      </c>
      <c r="M250" s="3">
        <f>3493.1+(757.2-723.6)+(-3.562962+(-0.772344--0.738072))+0-0-0</f>
        <v>3523.102766</v>
      </c>
      <c r="N250" s="3">
        <f>3793.2+(835.5-840.4)+(-3.869064+(-0.85221--0.857208))+0-0-0</f>
        <v>3784.4359339999996</v>
      </c>
      <c r="O250" s="3">
        <f>3813.8+(1184.6-902.7)+(-5.835114+(-1.812438--1.381131))+0-0-0</f>
        <v>4089.433579</v>
      </c>
      <c r="P250" s="3">
        <f>3857.8+(1270.3-769)+(-3.934956+(-1.295706--0.78438))+0-0-0</f>
        <v>4354.6537180000005</v>
      </c>
      <c r="Q250" s="3">
        <f>3858.2+(1270.2-695.2)+(-3.935364+(-1.295604--0.709104))+0-0-0</f>
        <v>4428.6781359999995</v>
      </c>
      <c r="R250" s="3">
        <f>3824+(1188.6-698.8)+(-9.7512+(-3.03093--1.78194))+0-0-0</f>
        <v>4302.7998100000004</v>
      </c>
      <c r="S250" s="3">
        <f>3836.1+(1228-855.7)+(3.912822+(1.25256-0.872814))+0-0-0</f>
        <v>4212.6925679999995</v>
      </c>
      <c r="T250" s="3">
        <f>3818.5+(1224-847.3)+(-9.737175+(-3.1212--2.160615))+0-0-0</f>
        <v>4184.5022399999998</v>
      </c>
      <c r="U250" s="3">
        <f>3783+(1159.9-758.9)+(0+(0-0))+0-0-0</f>
        <v>4184</v>
      </c>
      <c r="V250" s="3">
        <f>3884.2+(1026.8-583)+(-5.942826+(-1.571004--0.89199))+0-0-0</f>
        <v>4321.3781600000002</v>
      </c>
      <c r="W250" s="3">
        <f>4088.2+(1319.8-537.7)+(2.084982+(0.673098-0.274227))+0-0-0</f>
        <v>4872.783852999999</v>
      </c>
      <c r="X250" s="3">
        <f>4172.9+(1337-562.3)+(0+(0-0))+0-0-0</f>
        <v>4947.5999999999995</v>
      </c>
      <c r="Y250" s="3">
        <f>4062.1+(1288.5-528)+(-10.358355+(-3.285675--1.3464))+0-0-0</f>
        <v>4810.3023700000003</v>
      </c>
      <c r="Z250" s="3">
        <f>4026.5+(1201.5-485.7)+(-2.053515+(-0.612765--0.247707))+0-0-0</f>
        <v>4739.8814270000003</v>
      </c>
      <c r="AA250" s="3">
        <f>3954+(1200.2-546.9)+(-2.01654+(-0.612102--0.278919))+0-0-0</f>
        <v>4604.9502769999999</v>
      </c>
      <c r="AB250" s="3">
        <f>3852.8+(1152.6-576.2)+(-3.929856+(-1.175652--0.587724))+0-0-0</f>
        <v>4424.6822160000002</v>
      </c>
      <c r="AC250" s="3">
        <f>3712.7+(1231.8-679.3)+(-7.573908+(-2.512872--1.385772))+0-0-0</f>
        <v>4256.4989919999998</v>
      </c>
      <c r="AD250">
        <f t="shared" si="3"/>
        <v>99528.515547999996</v>
      </c>
      <c r="AE250" s="3">
        <f>4163+(1373.8-591.2)+(0+(0-0))+0-0-0</f>
        <v>4945.6000000000004</v>
      </c>
    </row>
    <row r="251" spans="1:31" s="2" customFormat="1" x14ac:dyDescent="0.25">
      <c r="A251">
        <v>89</v>
      </c>
      <c r="B251">
        <v>9</v>
      </c>
      <c r="C251">
        <v>5</v>
      </c>
      <c r="D251">
        <v>7</v>
      </c>
      <c r="E251">
        <v>1</v>
      </c>
      <c r="F251" s="3">
        <f>3438.8+(1076.2-629.7)+(-5.261364+(-1.646586--0.963441))+0-0-0</f>
        <v>3879.3554910000003</v>
      </c>
      <c r="G251" s="3">
        <f>3332+(1030-752.3)+(-5.09796+(-1.5759--1.151019))+0-0-0</f>
        <v>3604.1771589999998</v>
      </c>
      <c r="H251" s="3">
        <f>3303.8+(768.4-632.2)+(-5.054814+(-1.175652--0.967266))+0-0-0</f>
        <v>3434.7368000000001</v>
      </c>
      <c r="I251" s="3">
        <f>3298.7+(658.4-626.4)+(-3.364674+(-0.671568--0.638928))+0-0-0</f>
        <v>3327.302686</v>
      </c>
      <c r="J251" s="3">
        <f>3232.6+(650.1-593.1)+(3.297252+(0.663102-0.604962))+0-0-0</f>
        <v>3292.9553919999998</v>
      </c>
      <c r="K251" s="3">
        <f>3168.6+(664.1-568.7)+(1.615986+(0.338691-0.290037))+0-0-0</f>
        <v>3265.66464</v>
      </c>
      <c r="L251" s="3">
        <f>3140.6+(797.1-666.1)+(-6.406824+(-1.626084--1.358844))+0-0-0</f>
        <v>3264.9259360000001</v>
      </c>
      <c r="M251" s="3">
        <f>3151.9+(864.5-789.2)+(-3.214938+(-0.88179--0.804984))+0-0-0</f>
        <v>3223.9082559999997</v>
      </c>
      <c r="N251" s="3">
        <f>3212.9+(908.7-806.3)+(1.638579+(0.463437-0.411213))+0-0-0</f>
        <v>3316.9908030000001</v>
      </c>
      <c r="O251" s="3">
        <f>3435.9+(1024.3-836.2)+(0+(0-0))+0-0-0</f>
        <v>3624</v>
      </c>
      <c r="P251" s="3">
        <f>3504+(1189.1-799.8)+(-1.78704+(-0.606441--0.407898))+0-0-0</f>
        <v>3891.314417</v>
      </c>
      <c r="Q251" s="3">
        <f>3487+(1300.8-739.1)+(-14.22696+(-5.307264--3.015528))+0-0-0</f>
        <v>4032.1813039999997</v>
      </c>
      <c r="R251" s="3">
        <f>3595.6+(1243.6-748.7)+(-5.501268+(-1.902708--1.145511))+0-0-0</f>
        <v>4084.2415350000001</v>
      </c>
      <c r="S251" s="3">
        <f>3609.6+(1214.6-799.6)+(-3.681792+(-1.238892--0.815592))+0-0-0</f>
        <v>4020.4949080000001</v>
      </c>
      <c r="T251" s="3">
        <f>3585.1+(1234.8-864.3)+(-1.828401+(-0.629748--0.440793))+0-0-0</f>
        <v>3953.5826440000001</v>
      </c>
      <c r="U251" s="3">
        <f>3606.9+(1192.5-869.9)+(-3.679038+(-1.21635--0.887298))+0-0-0</f>
        <v>3925.4919100000002</v>
      </c>
      <c r="V251" s="3">
        <f>3784.7+(1179.1-789.6)+(0+(0-0))+0-0-0</f>
        <v>4174.2</v>
      </c>
      <c r="W251" s="3">
        <f>4116.2+(1253.2-658)+(-2.099262+(-0.639132--0.33558))+0-0-0</f>
        <v>4708.9971859999996</v>
      </c>
      <c r="X251" s="3">
        <f>4303.2+(1243-684.5)+(-2.194632+(-0.63393--0.349095))+0-0-0</f>
        <v>4859.2205329999997</v>
      </c>
      <c r="Y251" s="3">
        <f>4204.8+(1230.1-617.1)+(-6.433344+(-1.882053--0.944163))+0-0-0</f>
        <v>4810.428766</v>
      </c>
      <c r="Z251" s="3">
        <f>4136.6+(1196-596.2)+(-4.219332+(-1.21992--0.608124))+0-0-0</f>
        <v>4731.5688720000007</v>
      </c>
      <c r="AA251" s="3">
        <f>4143.2+(1191.1-689)+(-8.452128+(-2.429844--1.40556))+0-0-0</f>
        <v>4635.8235879999993</v>
      </c>
      <c r="AB251" s="3">
        <f>4140.5+(1056.6-711.9)+(-6.334965+(-1.616598--1.089207))+0-0-0</f>
        <v>4478.3376440000002</v>
      </c>
      <c r="AC251" s="3">
        <f>3846+(962.5-605.1)+(-11.76876+(-2.94525--1.851606))+0-0-0</f>
        <v>4190.5375959999992</v>
      </c>
      <c r="AD251">
        <f t="shared" si="3"/>
        <v>94730.438065999988</v>
      </c>
      <c r="AE251" s="3">
        <f>4280+(1229.1-622.7)+(0+(0-0))+0-0-0</f>
        <v>4886.3999999999996</v>
      </c>
    </row>
    <row r="252" spans="1:31" s="2" customFormat="1" x14ac:dyDescent="0.25">
      <c r="A252">
        <v>89</v>
      </c>
      <c r="B252">
        <v>9</v>
      </c>
      <c r="C252">
        <v>6</v>
      </c>
      <c r="D252">
        <v>1</v>
      </c>
      <c r="E252">
        <v>1</v>
      </c>
      <c r="F252" s="3">
        <f>3726.8+(541.1-572.3)+(0+(0-0))+0-0-0</f>
        <v>3695.6000000000004</v>
      </c>
      <c r="G252" s="3">
        <f>3457.6+(536.1-610.4)+(0+(0-0))+0-0-0</f>
        <v>3383.3</v>
      </c>
      <c r="H252" s="3">
        <f>3425+(545.2-689.5)+(1.74675+(0.278052-0.351645))+0-0-0</f>
        <v>3282.373157</v>
      </c>
      <c r="I252" s="3">
        <f>3402.3+(568.9-777.3)+(3.470346+(0.580278-0.792846))+0-0-0</f>
        <v>3197.1577780000002</v>
      </c>
      <c r="J252" s="3">
        <f>3420.1+(611.9-794.4)+(0+(0-0))+0-0-0</f>
        <v>3237.6</v>
      </c>
      <c r="K252" s="3">
        <f>3420+(744.5-904.6)+(-3.4884+(-0.75939--0.922692))+0-0-0</f>
        <v>3256.5749020000003</v>
      </c>
      <c r="L252" s="3">
        <f>3794.6+(940.9-1126.2)+(-9.67623+(-2.399295--2.87181))+0-0-0</f>
        <v>3600.0962849999996</v>
      </c>
      <c r="M252" s="3">
        <f>4009+(1023-997.4)+(2.04459+(0.52173-0.508674))+0-0-0</f>
        <v>4036.6576460000001</v>
      </c>
      <c r="N252" s="3">
        <f>4423.7+(1109-1005)+(0+(0-0))+0-0-0</f>
        <v>4527.7</v>
      </c>
      <c r="O252" s="3">
        <f>4723.6+(1320.4-1087.9)+(7.227108+(2.020212-1.664487))+0-0-0</f>
        <v>4963.6828330000008</v>
      </c>
      <c r="P252" s="3">
        <f>4843.8+(1276.6-892.8)+(0+(0-0))+0-0-0</f>
        <v>5227.6000000000004</v>
      </c>
      <c r="Q252" s="3">
        <f>4846.2+(1210.9-796.5)+(-2.471562+(-0.617559--0.406215))+0-0-0</f>
        <v>5257.9170940000004</v>
      </c>
      <c r="R252" s="3">
        <f>4703+(1221.7-691.9)+(-2.39853+(-0.623067--0.352869))+0-0-0</f>
        <v>5230.1312720000005</v>
      </c>
      <c r="S252" s="3">
        <f>4482.9+(1260.3-734)+(-2.286279+(-0.642753--0.37434))+0-0-0</f>
        <v>5006.6453080000001</v>
      </c>
      <c r="T252" s="3">
        <f>4529.2+(1268.6-746.9)+(-4.619784+(-1.293972--0.761838))+0-0-0</f>
        <v>5045.7480820000001</v>
      </c>
      <c r="U252" s="3">
        <f>4740.6+(1151-815.7)+(-2.417706+(-0.58701--0.416007))+0-0-0</f>
        <v>5073.3112910000009</v>
      </c>
      <c r="V252" s="3">
        <f>4988.5+(942.3-679.4)+(-5.08827+(-0.961146--0.692988))+0-0-0</f>
        <v>5246.0435719999996</v>
      </c>
      <c r="W252" s="3">
        <f>5235.9+(1138.9-539.4)+(5.340618+(1.161678-0.550188))+0-0-0</f>
        <v>5841.352108</v>
      </c>
      <c r="X252" s="3">
        <f>5229.6+(1213.7-647.6)+(-5.334192+(-1.237974--0.660552))+0-0-0</f>
        <v>5789.7883860000011</v>
      </c>
      <c r="Y252" s="3">
        <f>5076.8+(1129.7-674.8)+(-10.356672+(-2.304588--1.376592))+0-0-0</f>
        <v>5520.4153320000005</v>
      </c>
      <c r="Z252" s="3">
        <f>4989.5+(1167.9-823.2)+(-12.723225+(-2.978145--2.09916))+0-0-0</f>
        <v>5320.5977899999998</v>
      </c>
      <c r="AA252" s="3">
        <f>4887.8+(1220.6-962.8)+(2.492778+(0.622506-0.491028))+0-0-0</f>
        <v>5148.2242560000004</v>
      </c>
      <c r="AB252" s="3">
        <f>4765.2+(1131.9-1025.2)+(-9.721008+(-2.309076--2.091408))+0-0-0</f>
        <v>4861.9613239999999</v>
      </c>
      <c r="AC252" s="3">
        <f>4595.7+(979.9-1125.6)+(-7.031421+(-1.499247--1.722168))+0-0-0</f>
        <v>4443.1914999999999</v>
      </c>
      <c r="AD252">
        <f t="shared" si="3"/>
        <v>110193.66991600001</v>
      </c>
      <c r="AE252" s="3">
        <f>5283+(1287-632.1)+(0+(0-0))+0-0-0</f>
        <v>5937.9</v>
      </c>
    </row>
    <row r="253" spans="1:31" s="2" customFormat="1" x14ac:dyDescent="0.25">
      <c r="A253">
        <v>89</v>
      </c>
      <c r="B253">
        <v>9</v>
      </c>
      <c r="C253">
        <v>7</v>
      </c>
      <c r="D253">
        <v>2</v>
      </c>
      <c r="E253">
        <v>1</v>
      </c>
      <c r="F253" s="3">
        <f>4046.9+(840-728)+(-2.063919+(-0.4284--0.37128))+0-0-0</f>
        <v>4156.778961</v>
      </c>
      <c r="G253" s="3">
        <f>3824.9+(573.6-569)+(-9.753495+(-1.46268--1.45095))+0-0-0</f>
        <v>3819.7347749999999</v>
      </c>
      <c r="H253" s="3">
        <f>3800.3+(489.4-557.5)+(-1.938153+(-0.249594--0.284325))+0-0-0</f>
        <v>3730.2965780000004</v>
      </c>
      <c r="I253" s="3">
        <f>3565.1+(561.6-507.6)+(-1.818201+(-0.286416--0.258876))+0-0-0</f>
        <v>3617.2542589999998</v>
      </c>
      <c r="J253" s="3">
        <f>3508.9+(552.7-470.3)+(-3.579078+(-0.563754--0.479706))+0-0-0</f>
        <v>3587.6368740000003</v>
      </c>
      <c r="K253" s="3">
        <f>3601.7+(644.7-584.6)+(0+(0-0))+0-0-0</f>
        <v>3661.7999999999997</v>
      </c>
      <c r="L253" s="3">
        <f>3889.1+(721.8-687.1)+(-7.933764+(-1.472472--1.401684))+0-0-0</f>
        <v>3915.7954479999999</v>
      </c>
      <c r="M253" s="3">
        <f>4162.4+(829-726.5)+(-2.122824+(-0.42279--0.370515))+0-0-0</f>
        <v>4262.7249009999996</v>
      </c>
      <c r="N253" s="3">
        <f>4292.4+(1114-590.9)+(0+(0-0))+0-0-0</f>
        <v>4815.5</v>
      </c>
      <c r="O253" s="3">
        <f>4564.5+(1057-523.9)+(2.327895+(0.53907-0.267189))+0-0-0</f>
        <v>5100.1997760000004</v>
      </c>
      <c r="P253" s="3">
        <f>4679.7+(1073.8-495.4)+(4.773294+(1.095276-0.505308))+0-0-0</f>
        <v>5263.4632619999993</v>
      </c>
      <c r="Q253" s="3">
        <f>4624.9+(1166.4-510.2)+(0+(0-0))+0-0-0</f>
        <v>5281.0999999999995</v>
      </c>
      <c r="R253" s="3">
        <f>4565.8+(1185.8-460.7)+(-11.64279+(-3.02379--1.174785))+0-0-0</f>
        <v>5277.4082049999997</v>
      </c>
      <c r="S253" s="3">
        <f>4554.5+(1021.8-472.3)+(-6.968385+(-1.563354--0.722619))+0-0-0</f>
        <v>5096.1908800000001</v>
      </c>
      <c r="T253" s="3">
        <f>4544.3+(1049-431.2)+(2.317593+(0.53499-0.219912))+0-0-0</f>
        <v>5164.7326710000007</v>
      </c>
      <c r="U253" s="3">
        <f>4562.1+(1048-505.9)+(4.653342+(1.06896-0.516018))+0-0-0</f>
        <v>5109.4062840000006</v>
      </c>
      <c r="V253" s="3">
        <f>4658.8+(1053.4-324.9)+(-2.375988+(-0.537234--0.165699))+0-0-0</f>
        <v>5384.5524770000002</v>
      </c>
      <c r="W253" s="3">
        <f>4935.9+(1321.7-399.4)+(2.517309+(0.674067-0.203694))+0-0-0</f>
        <v>5861.1876819999998</v>
      </c>
      <c r="X253" s="3">
        <f>5077.5+(1272.5-498.3)+(-18.126675+(-4.542825--1.778931))+0-0-0</f>
        <v>5830.8094309999997</v>
      </c>
      <c r="Y253" s="3">
        <f>4864.8+(1309.2-550.6)+(-9.924192+(-2.670768--1.123224))+0-0-0</f>
        <v>5611.9282640000001</v>
      </c>
      <c r="Z253" s="3">
        <f>4514.9+(1395.4-455.3)+(-2.302599+(-0.711654--0.232203))+0-0-0</f>
        <v>5452.2179500000002</v>
      </c>
      <c r="AA253" s="3">
        <f>4219.3+(1300.5-383.9)+(-6.455529+(-1.989765--0.587367))+0-0-0</f>
        <v>5128.0420730000005</v>
      </c>
      <c r="AB253" s="3">
        <f>4112.6+(1183.2-487.4)+(-4.194852+(-1.206864--0.497148))+0-0-0</f>
        <v>4803.4954320000006</v>
      </c>
      <c r="AC253" s="3">
        <f>3974.5+(1095.8-484.1)+(-8.10798+(-2.235432--0.987564))+0-0-0</f>
        <v>4576.8441519999997</v>
      </c>
      <c r="AD253">
        <f t="shared" si="3"/>
        <v>114509.10033500002</v>
      </c>
      <c r="AE253" s="3">
        <f>5116+(1376.3-498.5)+(0+(0-0))+0-0-0</f>
        <v>5993.8</v>
      </c>
    </row>
    <row r="254" spans="1:31" s="2" customFormat="1" x14ac:dyDescent="0.25">
      <c r="A254">
        <v>89</v>
      </c>
      <c r="B254">
        <v>9</v>
      </c>
      <c r="C254">
        <v>8</v>
      </c>
      <c r="D254">
        <v>3</v>
      </c>
      <c r="E254">
        <v>1</v>
      </c>
      <c r="F254" s="3">
        <f>3601.9+(974.9-460.3)+(-7.347876+(-1.988796--0.939012))+0-0-0</f>
        <v>4108.1023400000004</v>
      </c>
      <c r="G254" s="3">
        <f>3462+(762.4-462.9)+(-1.76562+(-0.388824--0.236079))+0-0-0</f>
        <v>3759.581635</v>
      </c>
      <c r="H254" s="3">
        <f>3461.8+(650.5-457.5)+(1.765518+(0.331755-0.233325))+0-0-0</f>
        <v>3656.6639480000003</v>
      </c>
      <c r="I254" s="3">
        <f>3418.3+(616.3-470.5)+(-3.486666+(-0.628626--0.47991))+0-0-0</f>
        <v>3560.4646180000004</v>
      </c>
      <c r="J254" s="3">
        <f>3384.3+(665.1-485.6)+(1.725993+(0.339201-0.247656))+0-0-0</f>
        <v>3565.617538</v>
      </c>
      <c r="K254" s="3">
        <f>3388.3+(771.4-499.2)+(1.728033+(0.393414-0.254592))+0-0-0</f>
        <v>3662.3668550000002</v>
      </c>
      <c r="L254" s="3">
        <f>3404.9+(1039.6-609.9)+(0+(0-0))+0-0-0</f>
        <v>3834.6</v>
      </c>
      <c r="M254" s="3">
        <f>3642.4+(1077.9-579.4)+(-9.28812+(-2.748645--1.47747))+0-0-0</f>
        <v>4130.3407050000005</v>
      </c>
      <c r="N254" s="3">
        <f>4169.1+(1273-739.5)+(6.378723+(1.94769-1.131435))+0-0-0</f>
        <v>4709.7949780000008</v>
      </c>
      <c r="O254" s="3">
        <f>4440.3+(1225.3-645.2)+(-6.793659+(-1.874709--0.987156))+0-0-0</f>
        <v>5012.7187879999992</v>
      </c>
      <c r="P254" s="3">
        <f>4455.8+(1335.6-539.7)+(2.272458+(0.681156-0.275247))+0-0-0</f>
        <v>5254.3783670000003</v>
      </c>
      <c r="Q254" s="3">
        <f>4353.7+(1401.6-503.5)+(-11.101935+(-3.57408--1.283925))+0-0-0</f>
        <v>5238.407909999999</v>
      </c>
      <c r="R254" s="3">
        <f>4220.5+(1464.2-484.6)+(-4.30491+(-1.493484--0.494292))+0-0-0</f>
        <v>5194.7958980000003</v>
      </c>
      <c r="S254" s="3">
        <f>4108.9+(1476.9-477.9)+(0+(0-0))+0-0-0</f>
        <v>5107.8999999999996</v>
      </c>
      <c r="T254" s="3">
        <f>4158+(1580.9-594.2)+(0+(0-0))+0-0-0</f>
        <v>5144.7</v>
      </c>
      <c r="U254" s="3">
        <f>4212.5+(1540-572.7)+(2.148375+(0.7854-0.292077))+0-0-0</f>
        <v>5182.4416980000005</v>
      </c>
      <c r="V254" s="3">
        <f>4412.2+(1309.9-395.1)+(6.750666+(2.004147-0.604503))+0-0-0</f>
        <v>5335.15031</v>
      </c>
      <c r="W254" s="3">
        <f>4848.8+(1514.9-424.4)+(7.418664+(2.317797-0.649332))+0-0-0</f>
        <v>5948.3871289999997</v>
      </c>
      <c r="X254" s="3">
        <f>4972.5+(1376.2-463.6)+(-10.1439+(-2.807448--0.945744))+0-0-0</f>
        <v>5873.0943960000004</v>
      </c>
      <c r="Y254" s="3">
        <f>4819.4+(1325.6-435.1)+(-7.373682+(-2.028168--0.665703))+0-0-0</f>
        <v>5701.163853</v>
      </c>
      <c r="Z254" s="3">
        <f>4778.3+(1176.5-444.3)+(-7.310799+(-1.800045--0.679779))+0-0-0</f>
        <v>5502.0689350000002</v>
      </c>
      <c r="AA254" s="3">
        <f>4678+(1143.3-539.3)+(-4.77156+(-1.166166--0.550086))+0-0-0</f>
        <v>5276.6123600000001</v>
      </c>
      <c r="AB254" s="3">
        <f>4195.2+(1201.7-448.6)+(0+(0-0))+0-0-0</f>
        <v>4948.3</v>
      </c>
      <c r="AC254" s="3">
        <f>3975+(1098.3-493.3)+(-10.13625+(-2.800665--1.257915))+0-0-0</f>
        <v>4568.3209999999999</v>
      </c>
      <c r="AD254">
        <f t="shared" si="3"/>
        <v>114275.97326099999</v>
      </c>
      <c r="AE254" s="3">
        <f>4947+(1442.2-494.4)+(0+(0-0))+0-0-0</f>
        <v>5894.8</v>
      </c>
    </row>
    <row r="255" spans="1:31" s="2" customFormat="1" x14ac:dyDescent="0.25">
      <c r="A255">
        <v>89</v>
      </c>
      <c r="B255">
        <v>9</v>
      </c>
      <c r="C255">
        <v>9</v>
      </c>
      <c r="D255">
        <v>4</v>
      </c>
      <c r="E255">
        <v>1</v>
      </c>
      <c r="F255" s="3">
        <f>3702.9+(1032.8-638.7)+(-7.553916+(-2.106912--1.302948))+0-0-0</f>
        <v>4088.64212</v>
      </c>
      <c r="G255" s="3">
        <f>3308.4+(963.5-506.3)+(-3.374568+(-0.98277--0.516426))+0-0-0</f>
        <v>3761.7590879999998</v>
      </c>
      <c r="H255" s="3">
        <f>3226.8+(801.3-426.2)+(-4.937004+(-1.225989--0.652086))+0-0-0</f>
        <v>3596.3890930000002</v>
      </c>
      <c r="I255" s="3">
        <f>3064.5+(805.1-382.9)+(-3.12579+(-0.821202--0.390558))+0-0-0</f>
        <v>3483.1435659999997</v>
      </c>
      <c r="J255" s="3">
        <f>3055.8+(872.5-413.8)+(-3.116916+(-0.88995--0.422076))+0-0-0</f>
        <v>3510.9152100000001</v>
      </c>
      <c r="K255" s="3">
        <f>3194.7+(850.8-444.6)+(0+(0-0))+0-0-0</f>
        <v>3600.8999999999996</v>
      </c>
      <c r="L255" s="3">
        <f>3346.1+(1096.1-617.9)+(-3.413022+(-1.118022--0.630258))+0-0-0</f>
        <v>3820.3992139999996</v>
      </c>
      <c r="M255" s="3">
        <f>3635.4+(1277.3-802.8)+(-1.854054+(-0.651423--0.409428))+0-0-0</f>
        <v>4107.8039509999999</v>
      </c>
      <c r="N255" s="3">
        <f>4169+(1346.8-858.2)+(2.12619+(0.686868-0.437682))+0-0-0</f>
        <v>4659.9753760000003</v>
      </c>
      <c r="O255" s="3">
        <f>4258+(1418.1-689.1)+(0+(0-0))+0-0-0</f>
        <v>4987</v>
      </c>
      <c r="P255" s="3">
        <f>4267.6+(1565.7-627.7)+(-2.176476+(-0.798507--0.320127))+0-0-0</f>
        <v>5202.9451440000003</v>
      </c>
      <c r="Q255" s="3">
        <f>4136.4+(1726.2-593.5)+(-4.219128+(-1.760724--0.60537))+0-0-0</f>
        <v>5263.7255179999993</v>
      </c>
      <c r="R255" s="3">
        <f>3882.6+(1721-476.2)+(-1.980126+(-0.87771--0.242862))+0-0-0</f>
        <v>5124.7850259999996</v>
      </c>
      <c r="S255" s="3">
        <f>3782.5+(1722.5-387.9)+(0+(0-0))+0-0-0</f>
        <v>5117.1000000000004</v>
      </c>
      <c r="T255" s="3">
        <f>3948.4+(1751.3-372.5)+(-6.041052+(-2.679489--0.569925))+0-0-0</f>
        <v>5319.0493839999999</v>
      </c>
      <c r="U255" s="3">
        <f>4041.6+(1470.2-415.2)+(-6.183648+(-2.249406--0.635256))+0-0-0</f>
        <v>5088.8022020000008</v>
      </c>
      <c r="V255" s="3">
        <f>4341+(1331.5-425.2)+(-6.64173+(-2.037195--0.650556))+0-0-0</f>
        <v>5239.2716310000005</v>
      </c>
      <c r="W255" s="3">
        <f>5184.9+(1228.3-600.8)+(-5.288598+(-1.252866--0.612816))+0-0-0</f>
        <v>5806.4713519999996</v>
      </c>
      <c r="X255" s="3">
        <f>5427.2+(1129.7-697.6)+(-11.071488+(-2.304588--1.423104))+0-0-0</f>
        <v>5847.3470280000001</v>
      </c>
      <c r="Y255" s="3">
        <f>5384.2+(987.6-664.4)+(-10.983768+(-2.014704--1.355376))+0-0-0</f>
        <v>5695.7569039999998</v>
      </c>
      <c r="Z255" s="3">
        <f>5299.9+(1010.9-831.4)+(-5.405898+(-1.031118--0.848028))+0-0-0</f>
        <v>5473.8110119999992</v>
      </c>
      <c r="AA255" s="3">
        <f>4822.3+(1105.1-746.6)+(-7.378119+(-1.690803--1.142298))+0-0-0</f>
        <v>5172.8733760000005</v>
      </c>
      <c r="AB255" s="3">
        <f>4488+(1125.1-633.2)+(-6.86664+(-1.721403--0.968796))+0-0-0</f>
        <v>4972.280753</v>
      </c>
      <c r="AC255" s="3">
        <f>4211.8+(1103.6-706.6)+(-10.74009+(-2.81418--1.80183))+0-0-0</f>
        <v>4597.04756</v>
      </c>
      <c r="AD255">
        <f t="shared" si="3"/>
        <v>113538.194508</v>
      </c>
      <c r="AE255" s="3">
        <f>5360+(1223.8-648)+(0+(0-0))+0-0-0</f>
        <v>5935.8</v>
      </c>
    </row>
    <row r="256" spans="1:31" s="2" customFormat="1" x14ac:dyDescent="0.25">
      <c r="A256">
        <v>89</v>
      </c>
      <c r="B256">
        <v>9</v>
      </c>
      <c r="C256">
        <v>10</v>
      </c>
      <c r="D256">
        <v>5</v>
      </c>
      <c r="E256">
        <v>1</v>
      </c>
      <c r="F256" s="3">
        <f>4026+(697.2-623.8)+(-10.2663+(-1.77786--1.59069))+0-0-0</f>
        <v>4088.9465299999997</v>
      </c>
      <c r="G256" s="3">
        <f>3655+(629.4-498.5)+(0+(0-0))+0-0-0</f>
        <v>3785.9</v>
      </c>
      <c r="H256" s="3">
        <f>3614.8+(493.5-452)+(-1.843548+(-0.251685--0.23052))+0-0-0</f>
        <v>3654.4352870000002</v>
      </c>
      <c r="I256" s="3">
        <f>3618.8+(426.7-450.5)+(-1.845588+(-0.217617--0.229755))+0-0-0</f>
        <v>3593.1665499999999</v>
      </c>
      <c r="J256" s="3">
        <f>3625.8+(433.4-462.8)+(3.698316+(0.442068-0.472056))+0-0-0</f>
        <v>3600.0683280000003</v>
      </c>
      <c r="K256" s="3">
        <f>3734.9+(444.6-576.2)+(-3.809598+(-0.453492--0.587724))+0-0-0</f>
        <v>3599.6246340000002</v>
      </c>
      <c r="L256" s="3">
        <f>3858.7+(623-798.1)+(-1.967937+(-0.31773--0.407031))+0-0-0</f>
        <v>3681.721364</v>
      </c>
      <c r="M256" s="3">
        <f>4141.5+(732.6-955.3)+(0+(0-0))+0-0-0</f>
        <v>3918.8</v>
      </c>
      <c r="N256" s="3">
        <f>4464.5+(858-919.8)+(-2.276895+(-0.43758--0.469098))+0-0-0</f>
        <v>4400.4546229999996</v>
      </c>
      <c r="O256" s="3">
        <f>4715.9+(927.9-883.2)+(-9.620436+(-1.892916--1.801728))+0-0-0</f>
        <v>4750.8883759999999</v>
      </c>
      <c r="P256" s="3">
        <f>4719.6+(1025.4-738.8)+(2.406996+(0.522954-0.376788))+0-0-0</f>
        <v>5008.7531620000009</v>
      </c>
      <c r="Q256" s="3">
        <f>4567.5+(1157.8-564.8)+(-2.329425+(-0.590478--0.288048))+0-0-0</f>
        <v>5157.8681450000004</v>
      </c>
      <c r="R256" s="3">
        <f>4531.7+(1161.9-608.5)+(-11.555835+(-2.962845--1.551675))+0-0-0</f>
        <v>5072.1329949999999</v>
      </c>
      <c r="S256" s="3">
        <f>4406.8+(1134.5-664.4)+(0+(0-0))+0-0-0</f>
        <v>4876.9000000000005</v>
      </c>
      <c r="T256" s="3">
        <f>4357.6+(1227.7-641.6)+(0+(0-0))+0-0-0</f>
        <v>4943.7000000000007</v>
      </c>
      <c r="U256" s="3">
        <f>4389.8+(1222.5-593.9)+(-2.238798+(-0.623475--0.302889))+0-0-0</f>
        <v>5015.8406160000004</v>
      </c>
      <c r="V256" s="3">
        <f>4358.9+(1283.3-422.5)+(4.446078+(1.308966-0.43095))+0-0-0</f>
        <v>5225.0240939999994</v>
      </c>
      <c r="W256" s="3">
        <f>4890.6+(1338.7-641.9)+(0+(0-0))+0-0-0</f>
        <v>5587.4000000000005</v>
      </c>
      <c r="X256" s="3">
        <f>5184.2+(1169.1-628.1)+(-10.575768+(-2.384964--1.281324))+0-0-0</f>
        <v>5713.5205919999999</v>
      </c>
      <c r="Y256" s="3">
        <f>4816.5+(1286.7-557.2)+(-7.369245+(-1.968651--0.852516))+0-0-0</f>
        <v>5537.5146199999999</v>
      </c>
      <c r="Z256" s="3">
        <f>4574.9+(1433.6-639.9)+(-2.333199+(-0.731136--0.326349))+0-0-0</f>
        <v>5365.8620139999994</v>
      </c>
      <c r="AA256" s="3">
        <f>4517.2+(1301.5-707.5)+(0+(0-0))+0-0-0</f>
        <v>5111.2</v>
      </c>
      <c r="AB256" s="3">
        <f>4419.4+(1159.7-750.3)+(-9.015576+(-2.365788--1.530612))+0-0-0</f>
        <v>4818.949247999999</v>
      </c>
      <c r="AC256" s="3">
        <f>4285.7+(1036.4-840.9)+(-6.557121+(-1.585692--1.286577))+0-0-0</f>
        <v>4474.3437640000002</v>
      </c>
      <c r="AD256">
        <f t="shared" si="3"/>
        <v>110983.01494199999</v>
      </c>
      <c r="AE256" s="3">
        <f>5229+(1265.6-651.3)+(0+(0-0))+0-0-0</f>
        <v>5843.3</v>
      </c>
    </row>
    <row r="257" spans="1:31" s="2" customFormat="1" x14ac:dyDescent="0.25">
      <c r="A257">
        <v>89</v>
      </c>
      <c r="B257">
        <v>9</v>
      </c>
      <c r="C257">
        <v>11</v>
      </c>
      <c r="D257">
        <v>6</v>
      </c>
      <c r="E257">
        <v>1</v>
      </c>
      <c r="F257" s="3">
        <f>4067.1+(976.1-881.3)+(-4.148442+(-0.995622--0.898926))+0-0-0</f>
        <v>4157.6548619999994</v>
      </c>
      <c r="G257" s="3">
        <f>3757.4+(701.9-695.8)+(3.832548+(0.715938-0.709716))+0-0-0</f>
        <v>3767.3387699999998</v>
      </c>
      <c r="H257" s="3">
        <f>3730.6+(611.2-757.9)+(5.707818+(0.935136-1.159587))+0-0-0</f>
        <v>3589.3833669999999</v>
      </c>
      <c r="I257" s="3">
        <f>3726.2+(573.6-732.7)+(-1.900362+(-0.292536--0.373677))+0-0-0</f>
        <v>3565.2807789999997</v>
      </c>
      <c r="J257" s="3">
        <f>3636.4+(601.2-772.6)+(1.854564+(0.306612-0.394026))+0-0-0</f>
        <v>3466.7671500000001</v>
      </c>
      <c r="K257" s="3">
        <f>3829.7+(706.4-1055.5)+(0+(0-0))+0-0-0</f>
        <v>3480.6</v>
      </c>
      <c r="L257" s="3">
        <f>4063.9+(776.9-1220.9)+(-4.145178+(-0.792438--1.245318))+0-0-0</f>
        <v>3616.2077020000002</v>
      </c>
      <c r="M257" s="3">
        <f>4121.4+(850.7-1103.7)+(2.101914+(0.433857-0.562887))+0-0-0</f>
        <v>3870.3728839999994</v>
      </c>
      <c r="N257" s="3">
        <f>4285.2+(848.1-931.2)+(0+(0-0))+0-0-0</f>
        <v>4202.0999999999995</v>
      </c>
      <c r="O257" s="3">
        <f>4333.6+(1068.4-814.5)+(-8.840544+(-2.179536--1.66158))+0-0-0</f>
        <v>4578.1414999999997</v>
      </c>
      <c r="P257" s="3">
        <f>4354.1+(1158.9-622.2)+(-6.661773+(-1.773117--0.951966))+0-0-0</f>
        <v>4883.3170760000003</v>
      </c>
      <c r="Q257" s="3">
        <f>4342.8+(1234.5-545.4)+(-2.214828+(-0.629595--0.278154))+0-0-0</f>
        <v>5029.3337310000006</v>
      </c>
      <c r="R257" s="3">
        <f>4317+(1202-651.1)+(-8.80668+(-2.45208--1.328244))+0-0-0</f>
        <v>4857.9694839999993</v>
      </c>
      <c r="S257" s="3">
        <f>4328.4+(1248.9-817.2)+(-4.414968+(-1.273878--0.833544))+0-0-0</f>
        <v>4755.2446979999995</v>
      </c>
      <c r="T257" s="3">
        <f>4316.3+(1127.3-699.5)+(-4.402626+(-1.149846--0.71349))+0-0-0</f>
        <v>4739.2610180000001</v>
      </c>
      <c r="U257" s="3">
        <f>4293.6+(1048.2-693.5)+(-2.189736+(-0.534582--0.353685))+0-0-0</f>
        <v>4645.9293669999997</v>
      </c>
      <c r="V257" s="3">
        <f>4296.8+(1194.8-577)+(-10.95684+(-3.04674--1.47135))+0-0-0</f>
        <v>4902.0677700000006</v>
      </c>
      <c r="W257" s="3">
        <f>4493.6+(1495.6-581.4)+(0+(0-0))+0-0-0</f>
        <v>5407.8</v>
      </c>
      <c r="X257" s="3">
        <f>4553.5+(1461.8-662.2)+(-16.255995+(-5.218626--2.364054))+0-0-0</f>
        <v>5333.9894330000006</v>
      </c>
      <c r="Y257" s="3">
        <f>4482.6+(1372.3-639.2)+(-6.858378+(-2.099619--0.977976))+0-0-0</f>
        <v>5207.7199790000004</v>
      </c>
      <c r="Z257" s="3">
        <f>4492.5+(1189.5-650.2)+(-6.873525+(-1.819935--0.994806))+0-0-0</f>
        <v>5024.1013460000004</v>
      </c>
      <c r="AA257" s="3">
        <f>4493.4+(1103.7-744.1)+(-11.45817+(-2.814435--1.897455))+0-0-0</f>
        <v>4840.6248500000002</v>
      </c>
      <c r="AB257" s="3">
        <f>4296.8+(861.4-437.5)+(0+(0-0))+0-0-0</f>
        <v>4720.7</v>
      </c>
      <c r="AC257" s="3">
        <f>3854.9+(899.8-401.2)+(-5.897997+(-1.376694--0.613836))+0-0-0</f>
        <v>4346.8391449999999</v>
      </c>
      <c r="AD257">
        <f t="shared" ref="AD257:AD320" si="4">SUM(F257:AC257)</f>
        <v>106988.744911</v>
      </c>
      <c r="AE257" s="3">
        <f>4545+(1549.4-678.4)+(0+(0-0))+0-0-0</f>
        <v>5416</v>
      </c>
    </row>
    <row r="258" spans="1:31" s="2" customFormat="1" x14ac:dyDescent="0.25">
      <c r="A258">
        <v>89</v>
      </c>
      <c r="B258">
        <v>9</v>
      </c>
      <c r="C258">
        <v>12</v>
      </c>
      <c r="D258">
        <v>7</v>
      </c>
      <c r="E258">
        <v>1</v>
      </c>
      <c r="F258" s="3">
        <f>3836.1+(789.5-434.3)+(-11.738466+(-2.41587--1.328958))+0-0-0</f>
        <v>4178.4746219999997</v>
      </c>
      <c r="G258" s="3">
        <f>3755.7+(608.7-513.3)+(0+(0-0))+0-0-0</f>
        <v>3851.1</v>
      </c>
      <c r="H258" s="3">
        <f>3692.8+(629.8-564.4)+(-1.883328+(-0.321198--0.287844))+0-0-0</f>
        <v>3756.2833180000002</v>
      </c>
      <c r="I258" s="3">
        <f>3550.9+(716.4-624.5)+(1.810959+(0.365364-0.318495))+0-0-0</f>
        <v>3644.6578280000003</v>
      </c>
      <c r="J258" s="3">
        <f>3452.7+(712.6-596.5)+(0+(0-0))+0-0-0</f>
        <v>3568.7999999999997</v>
      </c>
      <c r="K258" s="3">
        <f>3462.6+(823.5-653)+(5.297778+(1.259955-0.99909))+0-0-0</f>
        <v>3638.6586429999998</v>
      </c>
      <c r="L258" s="3">
        <f>3513.7+(1050.3-844.1)+(-3.583974+(-1.071306--0.860982))+0-0-0</f>
        <v>3716.1057019999998</v>
      </c>
      <c r="M258" s="3">
        <f>3510.9+(891.5-868.4)+(-8.952795+(-2.273325--2.21442))+0-0-0</f>
        <v>3524.9883</v>
      </c>
      <c r="N258" s="3">
        <f>3927.9+(931.4-1061.5)+(2.003229+(0.475014-0.541365))+0-0-0</f>
        <v>3799.7368780000002</v>
      </c>
      <c r="O258" s="3">
        <f>4168.7+(934.1-1054.6)+(2.126037+(0.476391-0.537846))+0-0-0</f>
        <v>4050.2645819999998</v>
      </c>
      <c r="P258" s="3">
        <f>4270.3+(1049.3-951.9)+(-8.711412+(-2.140572--1.941876))+0-0-0</f>
        <v>4358.7898919999998</v>
      </c>
      <c r="Q258" s="3">
        <f>4176.9+(1138.5-836.8)+(-2.130219+(-0.580635--0.426768))+0-0-0</f>
        <v>4476.3159139999998</v>
      </c>
      <c r="R258" s="3">
        <f>4289.6+(1113.4-894.8)+(-6.563088+(-1.703502--1.369044))+0-0-0</f>
        <v>4501.3024540000006</v>
      </c>
      <c r="S258" s="3">
        <f>4127.1+(1049.4-816.3)+(-6.314463+(-1.605582--1.248939))+0-0-0</f>
        <v>4353.5288940000009</v>
      </c>
      <c r="T258" s="3">
        <f>3900.6+(1016.1-687.9)+(1.989306+(0.518211-0.350829))+0-0-0</f>
        <v>4230.9566880000002</v>
      </c>
      <c r="U258" s="3">
        <f>3788.4+(1003-615.5)+(-3.864168+(-1.02306--0.62781))+0-0-0</f>
        <v>4171.640582</v>
      </c>
      <c r="V258" s="3">
        <f>4007.1+(1055.7-669.5)+(-4.087242+(-1.076814--0.68289))+0-0-0</f>
        <v>4388.8188340000006</v>
      </c>
      <c r="W258" s="3">
        <f>4512.9+(1180.7-712.7)+(0+(0-0))+0-0-0</f>
        <v>4980.8999999999996</v>
      </c>
      <c r="X258" s="3">
        <f>4626.3+(1186.1-797.4)+(-4.718826+(-1.209822--0.813348))+0-0-0</f>
        <v>5009.8846999999996</v>
      </c>
      <c r="Y258" s="3">
        <f>4486.3+(1234.1-882.5)+(-2.288013+(-0.629391--0.450075))+0-0-0</f>
        <v>4835.4326709999996</v>
      </c>
      <c r="Z258" s="3">
        <f>4479+(1199.7-831.6)+(-4.56858+(-1.223694--0.848232))+0-0-0</f>
        <v>4842.1559580000003</v>
      </c>
      <c r="AA258" s="3">
        <f>4423.1+(1186.3-888)+(-4.511562+(-1.210026--0.90576))+0-0-0</f>
        <v>4716.5841720000008</v>
      </c>
      <c r="AB258" s="3">
        <f>4375.1+(1043.5-909.4)+(0+(0-0))+0-0-0</f>
        <v>4509.2000000000007</v>
      </c>
      <c r="AC258" s="3">
        <f>4286.4+(827.3-891.3)+(-10.93032+(-2.109615--2.272815))+0-0-0</f>
        <v>4211.6328799999992</v>
      </c>
      <c r="AD258">
        <f t="shared" si="4"/>
        <v>101316.213512</v>
      </c>
      <c r="AE258" s="3">
        <f>4616+(1143.8-810.9)+(0+(0-0))+0-0-0</f>
        <v>4948.8999999999996</v>
      </c>
    </row>
    <row r="259" spans="1:31" s="2" customFormat="1" x14ac:dyDescent="0.25">
      <c r="A259">
        <v>89</v>
      </c>
      <c r="B259">
        <v>9</v>
      </c>
      <c r="C259">
        <v>13</v>
      </c>
      <c r="D259">
        <v>1</v>
      </c>
      <c r="E259">
        <v>1</v>
      </c>
      <c r="F259" s="3">
        <f>4138.3+(605.5-874.2)+(-12.663198+(-1.85283--2.675052))+0-0-0</f>
        <v>3857.7590240000004</v>
      </c>
      <c r="G259" s="3">
        <f>3962.8+(538.4-926.7)+(-8.084112+(-1.098336--1.890468))+0-0-0</f>
        <v>3567.20802</v>
      </c>
      <c r="H259" s="3">
        <f>3892.1+(445.5-929.9)+(-7.939884+(-0.90882--1.896996))+0-0-0</f>
        <v>3400.7482919999998</v>
      </c>
      <c r="I259" s="3">
        <f>3685+(441.5-820.9)+(-3.7587+(-0.45033--0.837318))+0-0-0</f>
        <v>3302.2282879999998</v>
      </c>
      <c r="J259" s="3">
        <f>3594.4+(447.3-767.7)+(0+(0-0))+0-0-0</f>
        <v>3274</v>
      </c>
      <c r="K259" s="3">
        <f>3754+(540.1-975.7)+(1.91454+(0.275451-0.497607))+0-0-0</f>
        <v>3320.092384</v>
      </c>
      <c r="L259" s="3">
        <f>4160.2+(689.6-1173.3)+(-8.486808+(-1.406784--2.393532))+0-0-0</f>
        <v>3668.9999400000002</v>
      </c>
      <c r="M259" s="3">
        <f>4373.1+(809.7-1184.1)+(-4.460562+(-0.825894--1.207782))+0-0-0</f>
        <v>3994.6213260000009</v>
      </c>
      <c r="N259" s="3">
        <f>4706.4+(1146-1218.4)+(0+(0-0))+0-0-0</f>
        <v>4634</v>
      </c>
      <c r="O259" s="3">
        <f>4700.6+(1204.5-886.2)+(7.191918+(1.842885-1.355886))+0-0-0</f>
        <v>5026.5789170000007</v>
      </c>
      <c r="P259" s="3">
        <f>4865.8+(1224.3-810.2)+(-7.444674+(-1.873179--1.239606))+0-0-0</f>
        <v>5271.8217529999993</v>
      </c>
      <c r="Q259" s="3">
        <f>4875+(1238.7-696.9)+(0+(0-0))+0-0-0</f>
        <v>5416.8</v>
      </c>
      <c r="R259" s="3">
        <f>4900.8+(1144.8-749.4)+(-14.996448+(-3.503088--2.293164))+0-0-0</f>
        <v>5279.9936280000002</v>
      </c>
      <c r="S259" s="3">
        <f>4919.4+(1150.2-883.5)+(-7.526682+(-1.759806--1.351755))+0-0-0</f>
        <v>5178.1652669999994</v>
      </c>
      <c r="T259" s="3">
        <f>4931.6+(1091.5-748.1)+(0+(0-0))+0-0-0</f>
        <v>5275</v>
      </c>
      <c r="U259" s="3">
        <f>4968.2+(1046.8-798.7)+(0+(0-0))+0-0-0</f>
        <v>5216.2999999999993</v>
      </c>
      <c r="V259" s="3">
        <f>5077.1+(974.6-563.3)+(-2.589321+(-0.497046--0.287283))+0-0-0</f>
        <v>5485.6009160000003</v>
      </c>
      <c r="W259" s="3">
        <f>5259.5+(1239.7-560.6)+(8.047035+(1.896741-0.857718))+0-0-0</f>
        <v>5947.6860580000002</v>
      </c>
      <c r="X259" s="3">
        <f>5304.2+(1201.1-644.5)+(-10.820568+(-2.450244--1.31478))+0-0-0</f>
        <v>5848.8439679999992</v>
      </c>
      <c r="Y259" s="3">
        <f>5256.6+(1041.9-655.4)+(-13.40433+(-2.656845--1.67127))+0-0-0</f>
        <v>5628.7100950000004</v>
      </c>
      <c r="Z259" s="3">
        <f>5268.6+(896.7-653.2)+(0+(0-0))+0-0-0</f>
        <v>5512.1</v>
      </c>
      <c r="AA259" s="3">
        <f>5177.2+(902.1-865.6)+(-13.20186+(-2.300355--2.20728))+0-0-0</f>
        <v>5200.4050649999999</v>
      </c>
      <c r="AB259" s="3">
        <f>4795.7+(911.7-716)+(-4.891614+(-0.929934--0.73032))+0-0-0</f>
        <v>4986.3087719999994</v>
      </c>
      <c r="AC259" s="3">
        <f>4406.3+(780.7-635.6)+(-11.236065+(-1.990785--1.62078))+0-0-0</f>
        <v>4539.7939300000007</v>
      </c>
      <c r="AD259">
        <f t="shared" si="4"/>
        <v>112833.76564300001</v>
      </c>
      <c r="AE259" s="3">
        <f>5293+(1347.8-632.6)+(0+(0-0))+0-0-0</f>
        <v>6008.2</v>
      </c>
    </row>
    <row r="260" spans="1:31" s="2" customFormat="1" x14ac:dyDescent="0.25">
      <c r="A260">
        <v>89</v>
      </c>
      <c r="B260">
        <v>9</v>
      </c>
      <c r="C260">
        <v>14</v>
      </c>
      <c r="D260">
        <v>2</v>
      </c>
      <c r="E260">
        <v>1</v>
      </c>
      <c r="F260" s="3">
        <f>4226.8+(473.3-617.2)+(-8.622672+(-0.965532--1.259088))+0-0-0</f>
        <v>4074.5708840000002</v>
      </c>
      <c r="G260" s="3">
        <f>4041.4+(394.6-685)+(0+(0-0))+0-0-0</f>
        <v>3751</v>
      </c>
      <c r="H260" s="3">
        <f>3959.6+(380.5-671.9)+(-2.019396+(-0.194055--0.342669))+0-0-0</f>
        <v>3666.3292179999999</v>
      </c>
      <c r="I260" s="3">
        <f>3720.9+(398.6-574.1)+(0+(0-0))+0-0-0</f>
        <v>3545.4</v>
      </c>
      <c r="J260" s="3">
        <f>3658.2+(503.9-631.8)+(-3.731364+(-0.513978--0.644436))+0-0-0</f>
        <v>3526.6990939999996</v>
      </c>
      <c r="K260" s="3">
        <f>3678.3+(606.9-687.8)+(0+(0-0))+0-0-0</f>
        <v>3597.4</v>
      </c>
      <c r="L260" s="3">
        <f>3866.4+(715.9-751.7)+(-3.943728+(-0.730218--0.766734))+0-0-0</f>
        <v>3826.6927879999998</v>
      </c>
      <c r="M260" s="3">
        <f>4187+(642.2-651)+(-4.27074+(-0.655044--0.66402))+0-0-0</f>
        <v>4173.938236</v>
      </c>
      <c r="N260" s="3">
        <f>4379.2+(894.2-560)+(2.233392+(0.456042-0.2856))+0-0-0</f>
        <v>4715.8038339999994</v>
      </c>
      <c r="O260" s="3">
        <f>4376.8+(1256.5-568.6)+(2.232168+(0.640815-0.289986))+0-0-0</f>
        <v>5067.2829970000003</v>
      </c>
      <c r="P260" s="3">
        <f>4617.4+(1282.6-602.9)+(-2.354874+(-0.654126--0.307479))+0-0-0</f>
        <v>5294.3984789999995</v>
      </c>
      <c r="Q260" s="3">
        <f>4745.6+(1290.5-611.6)+(-7.260768+(-1.974465--0.935748))+0-0-0</f>
        <v>5416.2005150000005</v>
      </c>
      <c r="R260" s="3">
        <f>4727+(1200.5-574.3)+(-7.23231+(-1.836765--0.878679))+0-0-0</f>
        <v>5345.0096039999999</v>
      </c>
      <c r="S260" s="3">
        <f>4711+(962.6-506.5)+(-2.40261+(-0.490926--0.258315))+0-0-0</f>
        <v>5164.4647790000008</v>
      </c>
      <c r="T260" s="3">
        <f>4657+(1081.5-503.5)+(-2.37507+(-0.551565--0.256785))+0-0-0</f>
        <v>5232.3301499999998</v>
      </c>
      <c r="U260" s="3">
        <f>4569.7+(1076.3-416.2)+(0+(0-0))+0-0-0</f>
        <v>5229.7999999999993</v>
      </c>
      <c r="V260" s="3">
        <f>4658.2+(1002.1-285.2)+(-11.87841+(-2.555355--0.72726))+0-0-0</f>
        <v>5361.3934950000003</v>
      </c>
      <c r="W260" s="3">
        <f>5039.8+(1342.6-441.1)+(0+(0-0))+0-0-0</f>
        <v>5941.3</v>
      </c>
      <c r="X260" s="3">
        <f>5182.8+(1368.9-632.5)+(-13.21614+(-3.490695--1.612875))+0-0-0</f>
        <v>5904.1060400000006</v>
      </c>
      <c r="Y260" s="3">
        <f>5073.5+(1257.1-584.2)+(-5.17497+(-1.282242--0.595884))+0-0-0</f>
        <v>5740.5386719999997</v>
      </c>
      <c r="Z260" s="3">
        <f>4916.6+(1291.3-589.9)+(-12.53733+(-3.292815--1.504245))+0-0-0</f>
        <v>5603.6741000000002</v>
      </c>
      <c r="AA260" s="3">
        <f>4491.5+(1412.2-626.7)+(-4.58133+(-1.440444--0.639234))+0-0-0</f>
        <v>5271.6174600000004</v>
      </c>
      <c r="AB260" s="3">
        <f>4490+(1021.9-564.2)+(-11.4495+(-2.605845--1.43871))+0-0-0</f>
        <v>4935.0833649999995</v>
      </c>
      <c r="AC260" s="3">
        <f>4408.3+(789.6-612.8)+(-4.496466+(-0.805392--0.625056))+0-0-0</f>
        <v>4580.4231980000004</v>
      </c>
      <c r="AD260">
        <f t="shared" si="4"/>
        <v>114965.45690800001</v>
      </c>
      <c r="AE260" s="3">
        <f>5152+(1362.5-525.3)+(0+(0-0))+0-0-0</f>
        <v>5989.2</v>
      </c>
    </row>
    <row r="261" spans="1:31" s="2" customFormat="1" x14ac:dyDescent="0.25">
      <c r="A261">
        <v>89</v>
      </c>
      <c r="B261">
        <v>9</v>
      </c>
      <c r="C261">
        <v>15</v>
      </c>
      <c r="D261">
        <v>3</v>
      </c>
      <c r="E261">
        <v>1</v>
      </c>
      <c r="F261" s="3">
        <f>4164.9+(571.9-625.6)+(-6.372297+(-0.875007--0.957168))+0-0-0</f>
        <v>4104.9098640000002</v>
      </c>
      <c r="G261" s="3">
        <f>3971.5+(453.4-662.5)+(-4.05093+(-0.462468--0.67575))+0-0-0</f>
        <v>3758.5623519999999</v>
      </c>
      <c r="H261" s="3">
        <f>3833.4+(415.1-658.3)+(-5.865102+(-0.635103--1.007199))+0-0-0</f>
        <v>3584.7069940000001</v>
      </c>
      <c r="I261" s="3">
        <f>3853.7+(346.7-637.2)+(-5.896161+(-0.530451--0.974916))+0-0-0</f>
        <v>3557.7483039999997</v>
      </c>
      <c r="J261" s="3">
        <f>3813.6+(363-580.7)+(-1.944936+(-0.18513--0.296157))+0-0-0</f>
        <v>3594.0660909999997</v>
      </c>
      <c r="K261" s="3">
        <f>3829.9+(445.5-690.8)+(0+(0-0))+0-0-0</f>
        <v>3584.6000000000004</v>
      </c>
      <c r="L261" s="3">
        <f>3893.3+(764.1-814.5)+(-1.985583+(-0.389691--0.415395))+0-0-0</f>
        <v>3840.9401210000001</v>
      </c>
      <c r="M261" s="3">
        <f>3874.3+(926.6-604.6)+(0+(0-0))+0-0-0</f>
        <v>4196.3</v>
      </c>
      <c r="N261" s="3">
        <f>4181.6+(1041.9-475.2)+(0+(0-0))+0-0-0</f>
        <v>4748.3</v>
      </c>
      <c r="O261" s="3">
        <f>4367.7+(1262.5-376.3)+(6.682581+(1.931625-0.575739))+0-0-0</f>
        <v>5261.9384669999999</v>
      </c>
      <c r="P261" s="3">
        <f>4220.8+(1423.1-355)+(-4.305216+(-1.451562--0.3621))+0-0-0</f>
        <v>5283.505322</v>
      </c>
      <c r="Q261" s="3">
        <f>4254.1+(1531.1-384.1)+(-6.508773+(-2.342583--0.587673))+0-0-0</f>
        <v>5392.8363170000002</v>
      </c>
      <c r="R261" s="3">
        <f>4322.2+(1292.6-326.4)+(-15.430254+(-4.614582--1.165248))+0-0-0</f>
        <v>5269.5204119999999</v>
      </c>
      <c r="S261" s="3">
        <f>4259.3+(1295.1-378.1)+(-2.172243+(-0.660501--0.192831))+0-0-0</f>
        <v>5173.6600870000002</v>
      </c>
      <c r="T261" s="3">
        <f>4130.5+(1451.4-357.4)+(-6.319665+(-2.220642--0.546822))+0-0-0</f>
        <v>5216.506515</v>
      </c>
      <c r="U261" s="3">
        <f>4172.3+(1393.4-334.2)+(-6.383619+(-2.131902--0.511326))+0-0-0</f>
        <v>5223.4958049999996</v>
      </c>
      <c r="V261" s="3">
        <f>4400.4+(1435.9-400.2)+(-6.732612+(-2.196927--0.612306))+0-0-0</f>
        <v>5427.7827669999997</v>
      </c>
      <c r="W261" s="3">
        <f>4671.6+(1666-400)+(2.382516+(0.84966-0.204))+0-0-0</f>
        <v>5940.6281760000002</v>
      </c>
      <c r="X261" s="3">
        <f>4709.8+(1680.3-449.1)+(-4.803996+(-1.713906--0.458082))+0-0-0</f>
        <v>5934.9401799999996</v>
      </c>
      <c r="Y261" s="3">
        <f>4519.4+(1635.1-464.9)+(-16.134258+(-5.837307--1.659693))+0-0-0</f>
        <v>5669.2881279999992</v>
      </c>
      <c r="Z261" s="3">
        <f>4491.3+(1594.3-505.8)+(-6.871689+(-2.439279--0.773874))+0-0-0</f>
        <v>5571.2629059999999</v>
      </c>
      <c r="AA261" s="3">
        <f>4379.3+(1506.4-619)+(-6.700329+(-2.304792--0.94707))+0-0-0</f>
        <v>5258.6419490000007</v>
      </c>
      <c r="AB261" s="3">
        <f>4298.9+(1259-583.4)+(-8.769756+(-2.56836--1.190136))+0-0-0</f>
        <v>4964.3520200000003</v>
      </c>
      <c r="AC261" s="3">
        <f>4164+(1010.1-583.3)+(-12.74184+(-3.090906--1.784898))+0-0-0</f>
        <v>4576.752152</v>
      </c>
      <c r="AD261">
        <f t="shared" si="4"/>
        <v>115135.24492900001</v>
      </c>
      <c r="AE261" s="3">
        <f>4695+(1754.4-465.9)+(0+(0-0))+0-0-0</f>
        <v>5983.5</v>
      </c>
    </row>
    <row r="262" spans="1:31" s="2" customFormat="1" x14ac:dyDescent="0.25">
      <c r="A262">
        <v>89</v>
      </c>
      <c r="B262">
        <v>9</v>
      </c>
      <c r="C262">
        <v>16</v>
      </c>
      <c r="D262">
        <v>4</v>
      </c>
      <c r="E262">
        <v>1</v>
      </c>
      <c r="F262" s="3">
        <f>3964.1+(655.8-480.8)+(-6.065073+(-1.003374--0.735624))+0-0-0</f>
        <v>4132.7671769999997</v>
      </c>
      <c r="G262" s="3">
        <f>3704.7+(516.2-378)+(-3.778794+(-0.526524--0.38556))+0-0-0</f>
        <v>3838.9802419999996</v>
      </c>
      <c r="H262" s="3">
        <f>3669.5+(420.4-461)+(0+(0-0))+0-0-0</f>
        <v>3628.9</v>
      </c>
      <c r="I262" s="3">
        <f>3553.1+(450.5-445.7)+(-3.624162+(-0.45951--0.454614))+0-0-0</f>
        <v>3554.2709420000001</v>
      </c>
      <c r="J262" s="3">
        <f>3429.9+(499.9-378.6)+(-3.498498+(-0.509898--0.386172))+0-0-0</f>
        <v>3547.5777759999996</v>
      </c>
      <c r="K262" s="3">
        <f>3523.2+(643.3-493.3)+(-1.796832+(-0.328083--0.251583))+0-0-0</f>
        <v>3671.3266679999997</v>
      </c>
      <c r="L262" s="3">
        <f>3613.8+(695.6-457.8)+(-5.529114+(-1.064268--0.700434))+0-0-0</f>
        <v>3845.7070520000002</v>
      </c>
      <c r="M262" s="3">
        <f>3913.2+(750-475.1)+(0+(0-0))+0-0-0</f>
        <v>4188.0999999999995</v>
      </c>
      <c r="N262" s="3">
        <f>4293+(868.6-432.8)+(-6.56829+(-1.328958--0.662184))+0-0-0</f>
        <v>4721.5649359999998</v>
      </c>
      <c r="O262" s="3">
        <f>4400.8+(1063.8-373.9)+(6.733224+(1.627614-0.572067))+0-0-0</f>
        <v>5098.4887710000003</v>
      </c>
      <c r="P262" s="3">
        <f>4420.7+(1198.3-311.2)+(-6.763671+(-1.833399--0.476136))+0-0-0</f>
        <v>5299.6790659999997</v>
      </c>
      <c r="Q262" s="3">
        <f>4474+(1196-303.9)+(-4.56348+(-1.21992--0.309978))+0-0-0</f>
        <v>5360.6265780000003</v>
      </c>
      <c r="R262" s="3">
        <f>4268.1+(1069.2-295)+(-4.353462+(-1.090584--0.3009))+0-0-0</f>
        <v>5037.1568539999998</v>
      </c>
      <c r="S262" s="3">
        <f>4430.9+(1026.5-341.6)+(-2.259759+(-0.523515--0.174216))+0-0-0</f>
        <v>5113.1909419999993</v>
      </c>
      <c r="T262" s="3">
        <f>4368.5+(1170.8-260.5)+(2.227935+(0.597108-0.132855))+0-0-0</f>
        <v>5281.4921880000002</v>
      </c>
      <c r="U262" s="3">
        <f>4262.7+(1242.2-309.8)+(2.173977+(0.633522-0.157998))+0-0-0</f>
        <v>5197.7495010000002</v>
      </c>
      <c r="V262" s="3">
        <f>4552.2+(1101.1-290.8)+(-11.60811+(-2.807805--0.74154))+0-0-0</f>
        <v>5348.8256250000004</v>
      </c>
      <c r="W262" s="3">
        <f>4790.3+(1405.7-246.9)+(0+(0-0))+0-0-0</f>
        <v>5949.1</v>
      </c>
      <c r="X262" s="3">
        <f>4824.6+(1332.8-273.6)+(-14.763276+(-4.078368--0.837216))+0-0-0</f>
        <v>5865.795572</v>
      </c>
      <c r="Y262" s="3">
        <f>4739.9+(1363.7-398.8)+(-9.669396+(-2.781948--0.813552))+0-0-0</f>
        <v>5693.1622079999988</v>
      </c>
      <c r="Z262" s="3">
        <f>4544.4+(1325.7-376.3)+(-6.952932+(-2.028321--0.575739))+0-0-0</f>
        <v>5485.3944859999992</v>
      </c>
      <c r="AA262" s="3">
        <f>4415.7+(1244.4-470.8)+(-6.756021+(-1.903932--0.720324))+0-0-0</f>
        <v>5181.3603709999998</v>
      </c>
      <c r="AB262" s="3">
        <f>4306.5+(1094.6-377.7)+(-8.78526+(-2.232984--0.770508))+0-0-0</f>
        <v>5013.1522639999994</v>
      </c>
      <c r="AC262" s="3">
        <f>4161.4+(821.1-503.5)+(-10.61157+(-2.093805--1.283925))+0-0-0</f>
        <v>4467.5785500000002</v>
      </c>
      <c r="AD262">
        <f t="shared" si="4"/>
        <v>114521.94776900001</v>
      </c>
      <c r="AE262" s="3">
        <f>4806+(1447.4-269.8)+(0+(0-0))+0-0-0</f>
        <v>5983.6</v>
      </c>
    </row>
    <row r="263" spans="1:31" s="2" customFormat="1" x14ac:dyDescent="0.25">
      <c r="A263">
        <v>89</v>
      </c>
      <c r="B263">
        <v>9</v>
      </c>
      <c r="C263">
        <v>17</v>
      </c>
      <c r="D263">
        <v>5</v>
      </c>
      <c r="E263">
        <v>1</v>
      </c>
      <c r="F263" s="3">
        <f>4196.4+(573.3-641.3)+(-12.840984+(-1.754298--1.962378))+0-0-0</f>
        <v>4115.7670959999996</v>
      </c>
      <c r="G263" s="3">
        <f>3760.3+(512.1-497.2)+(-7.671012+(-1.044684--1.014288))+0-0-0</f>
        <v>3767.4985920000004</v>
      </c>
      <c r="H263" s="3">
        <f>3661.8+(444.4-512.3)+(-9.33759+(-1.13322--1.306365))+0-0-0</f>
        <v>3584.7355550000002</v>
      </c>
      <c r="I263" s="3">
        <f>3516.6+(462.1-502.2)+(0+(0-0))+0-0-0</f>
        <v>3476.5</v>
      </c>
      <c r="J263" s="3">
        <f>3569.8+(357.9-400.3)+(1.820598+(0.182529-0.204153))+0-0-0</f>
        <v>3529.1989739999999</v>
      </c>
      <c r="K263" s="3">
        <f>3758.3+(454.3-680.3)+(-3.833466+(-0.463386--0.693906))+0-0-0</f>
        <v>3528.6970540000002</v>
      </c>
      <c r="L263" s="3">
        <f>4178.3+(762.7-1135.1)+(0+(0-0))+0-0-0</f>
        <v>3805.9000000000005</v>
      </c>
      <c r="M263" s="3">
        <f>4323.6+(964-1063.3)+(-4.410072+(-0.98328--1.084566))+0-0-0</f>
        <v>4219.9912140000006</v>
      </c>
      <c r="N263" s="3">
        <f>4484.1+(1070.7-789)+(-6.860673+(-1.638171--1.20717))+0-0-0</f>
        <v>4758.5083260000001</v>
      </c>
      <c r="O263" s="3">
        <f>4485.3+(1099.6-565.8)+(-4.575006+(-1.121592--0.577116))+0-0-0</f>
        <v>5013.9805180000003</v>
      </c>
      <c r="P263" s="3">
        <f>4560+(1186.9-469.4)+(-6.9768+(-1.815957--0.718182))+0-0-0</f>
        <v>5269.4254250000004</v>
      </c>
      <c r="Q263" s="3">
        <f>4584.6+(1201.3-383.4)+(-7.014438+(-1.837989--0.586602))+0-0-0</f>
        <v>5394.2341749999996</v>
      </c>
      <c r="R263" s="3">
        <f>4494.9+(1205.2-392.8)+(-11.461995+(-3.07326--1.00164))+0-0-0</f>
        <v>5293.766384999999</v>
      </c>
      <c r="S263" s="3">
        <f>4473.2+(1210.1-503.5)+(-4.562664+(-1.234302--0.51357))+0-0-0</f>
        <v>5174.5166039999995</v>
      </c>
      <c r="T263" s="3">
        <f>4471.1+(1185.5-412.9)+(-4.560522+(-1.20921--0.421158))+0-0-0</f>
        <v>5238.3514260000011</v>
      </c>
      <c r="U263" s="3">
        <f>4480.6+(1082.4-310.5)+(-4.570212+(-1.104048--0.31671))+0-0-0</f>
        <v>5247.1424500000003</v>
      </c>
      <c r="V263" s="3">
        <f>4582.1+(1112.3-238.8)+(-9.347484+(-2.269092--0.487152))+0-0-0</f>
        <v>5444.4705760000006</v>
      </c>
      <c r="W263" s="3">
        <f>4814.7+(1433.3-284.1)+(-2.455497+(-0.730983--0.144891))+0-0-0</f>
        <v>5960.8584109999993</v>
      </c>
      <c r="X263" s="3">
        <f>4848.5+(1427.2-353.4)+(-7.418205+(-2.183616--0.540702))+0-0-0</f>
        <v>5913.2388810000002</v>
      </c>
      <c r="Y263" s="3">
        <f>4689.4+(1496.9-428.2)+(-9.566376+(-3.053676--0.873528))+0-0-0</f>
        <v>5746.3534759999993</v>
      </c>
      <c r="Z263" s="3">
        <f>4637+(1531.9-646.7)+(2.36487+(0.781269-0.329817))+0-0-0</f>
        <v>5525.0163219999995</v>
      </c>
      <c r="AA263" s="3">
        <f>4563.9+(1428.1-734.4)+(-4.655178+(-1.456662--0.749088))+0-0-0</f>
        <v>5252.2372479999995</v>
      </c>
      <c r="AB263" s="3">
        <f>4677.2+(1108.1-886.8)+(-11.92686+(-2.825655--2.26134))+0-0-0</f>
        <v>4886.0088249999999</v>
      </c>
      <c r="AC263" s="3">
        <f>4422.7+(890.1-745.4)+(-4.511154+(-0.907902--0.760308))+0-0-0</f>
        <v>4562.7412519999998</v>
      </c>
      <c r="AD263">
        <f t="shared" si="4"/>
        <v>114709.13878499999</v>
      </c>
      <c r="AE263" s="3">
        <f>4864+(1549.8-344.6)+(0+(0-0))+0-0-0</f>
        <v>6069.2</v>
      </c>
    </row>
    <row r="264" spans="1:31" s="2" customFormat="1" x14ac:dyDescent="0.25">
      <c r="A264">
        <v>89</v>
      </c>
      <c r="B264">
        <v>9</v>
      </c>
      <c r="C264">
        <v>18</v>
      </c>
      <c r="D264">
        <v>6</v>
      </c>
      <c r="E264">
        <v>1</v>
      </c>
      <c r="F264" s="3">
        <f>4287.3+(665.6-878.2)+(2.186523+(0.339456-0.447882))+0-0-0</f>
        <v>4076.7780970000003</v>
      </c>
      <c r="G264" s="3">
        <f>4281.4+(450.4-942.6)+(-2.183514+(-0.229704--0.480726))+0-0-0</f>
        <v>3787.2675079999999</v>
      </c>
      <c r="H264" s="3">
        <f>3862.8+(382-597.7)+(-1.970028+(-0.19482--0.304827))+0-0-0</f>
        <v>3645.2399790000004</v>
      </c>
      <c r="I264" s="3">
        <f>3697.9+(389.7-545.1)+(0+(0-0))+32-0-0</f>
        <v>3574.5</v>
      </c>
      <c r="J264" s="3">
        <f>3724.1+(395.6-621.4)+(5.697873+(0.605268-0.950742))+0-0-0</f>
        <v>3503.6523990000001</v>
      </c>
      <c r="K264" s="3">
        <f>3824.8+(402.2-647.4)+(1.950648+(0.205122-0.330174))+0-0-0</f>
        <v>3581.4255960000005</v>
      </c>
      <c r="L264" s="3">
        <f>3968.7+(580.9-722.3)+(-8.096148+(-1.185036--1.473492))+0-0-0</f>
        <v>3819.4923079999999</v>
      </c>
      <c r="M264" s="3">
        <f>4053.3+(695.6-669.1)+(-4.134366+(-0.709512--0.682482))+0-0-0</f>
        <v>4075.6386040000002</v>
      </c>
      <c r="N264" s="3">
        <f>4392+(726.7-582.4)+(8.95968+(1.482468-1.188096))+0-0-0</f>
        <v>4545.5540520000004</v>
      </c>
      <c r="O264" s="3">
        <f>4826.3+(726.1-680.6)+(-2.461413+(-0.370311--0.347106))+0-0-0</f>
        <v>4869.3153819999998</v>
      </c>
      <c r="P264" s="3">
        <f>5093.5+(675.4-665.4)+(2.597685+(0.344454-0.339354))+0-0-0</f>
        <v>5106.102785</v>
      </c>
      <c r="Q264" s="3">
        <f>5154.1+(732-669.8)+(-2.628591+(-0.37332--0.341598))+0-0-0</f>
        <v>5213.6396869999999</v>
      </c>
      <c r="R264" s="3">
        <f>5086.8+(752.6-704.4)+(-12.97134+(-1.91913--1.79622))+0-0-0</f>
        <v>5121.9057499999999</v>
      </c>
      <c r="S264" s="3">
        <f>4925.4+(790.7-765.2)+(-5.023908+(-0.806514--0.780504))+0-0-0</f>
        <v>4945.8500819999999</v>
      </c>
      <c r="T264" s="3">
        <f>4867.7+(804.1-740.7)+(-2.482527+(-0.410091--0.377757))+0-0-0</f>
        <v>4928.5851389999998</v>
      </c>
      <c r="U264" s="3">
        <f>4699.2+(690.6-540.6)+(-4.793184+(-0.704412--0.551412))+0-0-0</f>
        <v>4844.2538159999995</v>
      </c>
      <c r="V264" s="3">
        <f>4666.1+(757.4-412.9)+(0+(0-0))+0-0-0</f>
        <v>5010.6000000000004</v>
      </c>
      <c r="W264" s="3">
        <f>5017.5+(1202.2-646.9)+(2.558925+(0.613122-0.329919))+0-0-0</f>
        <v>5575.6421280000004</v>
      </c>
      <c r="X264" s="3">
        <f>5127.2+(1259.8-761.3)+(0+(0-0))+0-0-0</f>
        <v>5625.7</v>
      </c>
      <c r="Y264" s="3">
        <f>4929.4+(1169.2-723.2)+(-7.541982+(-1.788876--1.106496))+0-0-0</f>
        <v>5367.1756379999997</v>
      </c>
      <c r="Z264" s="3">
        <f>4886.8+(1029.8-748.7)+(-4.984536+(-1.050396--0.763674))+0-0-0</f>
        <v>5162.6287419999999</v>
      </c>
      <c r="AA264" s="3">
        <f>4653.7+(971.6-694.2)+(2.373387+(0.495516-0.354042))+0-0-0</f>
        <v>4933.6148609999991</v>
      </c>
      <c r="AB264" s="3">
        <f>4585.2+(921.9-740.2)+(-11.69226+(-2.350845--1.88751))+0-0-0</f>
        <v>4754.7444049999995</v>
      </c>
      <c r="AC264" s="3">
        <f>4349.9+(863.1-673.8)+(-17.747592+(-3.521448--2.749104))+0-0-0</f>
        <v>4520.6800640000001</v>
      </c>
      <c r="AD264">
        <f t="shared" si="4"/>
        <v>110589.98702200002</v>
      </c>
      <c r="AE264" s="3">
        <f>5261+(1187.3-740.2)+(0+(0-0))+0-0-0</f>
        <v>5708.1</v>
      </c>
    </row>
    <row r="265" spans="1:31" s="2" customFormat="1" x14ac:dyDescent="0.25">
      <c r="A265">
        <v>89</v>
      </c>
      <c r="B265">
        <v>9</v>
      </c>
      <c r="C265">
        <v>19</v>
      </c>
      <c r="D265">
        <v>7</v>
      </c>
      <c r="E265">
        <v>1</v>
      </c>
      <c r="F265" s="3">
        <f>3960.3+(789.9-641.6)+(0+(0-0))+0-0-0</f>
        <v>4108.6000000000004</v>
      </c>
      <c r="G265" s="3">
        <f>3797.1+(488.5-465.2)+(-5.809563+(-0.747405--0.711756))+0-0-0</f>
        <v>3814.5547879999999</v>
      </c>
      <c r="H265" s="3">
        <f>3798.1+(407.6-610.7)+(-3.874062+(-0.415752--0.622914))+0-0-0</f>
        <v>3591.3330999999998</v>
      </c>
      <c r="I265" s="3">
        <f>3462.1+(500.2-505.6)+(1.765671+(0.255102-0.257856))+0-0-0</f>
        <v>3458.4629169999998</v>
      </c>
      <c r="J265" s="3">
        <f>3580.5+(390.2-525.8)+(-9.130275+(-0.99501--1.34079))+0-0-0</f>
        <v>3436.1155050000002</v>
      </c>
      <c r="K265" s="3">
        <f>3684.4+(334.2-635.4)+(1.879044+(0.170442-0.324054))+0-0-0</f>
        <v>3384.9254320000005</v>
      </c>
      <c r="L265" s="3">
        <f>3686.4+(380.6-613.1)+(-3.760128+(-0.388212--0.625362))+0-0-0</f>
        <v>3450.3770220000001</v>
      </c>
      <c r="M265" s="3">
        <f>3529.5+(411.2-595.1)+(-5.400135+(-0.629136--0.910503))+0-0-0</f>
        <v>3340.4812320000001</v>
      </c>
      <c r="N265" s="3">
        <f>3652.4+(462.5-625.8)+(-3.725448+(-0.47175--0.638316))+0-0-0</f>
        <v>3485.5411180000006</v>
      </c>
      <c r="O265" s="3">
        <f>3888.7+(582-659.6)+(-5.949711+(-0.89046--1.009188))+0-0-0</f>
        <v>3805.2690170000001</v>
      </c>
      <c r="P265" s="3">
        <f>4025.8+(638.6-558.9)+(-8.212632+(-1.302744--1.140156))+0-0-0</f>
        <v>4097.1247800000001</v>
      </c>
      <c r="Q265" s="3">
        <f>4140.3+(647.9-525.3)+(-4.223106+(-0.660858--0.535806))+0-0-0</f>
        <v>4258.5518420000008</v>
      </c>
      <c r="R265" s="3">
        <f>4188.7+(681.2-635)+(-6.408711+(-1.042236--0.97155))+0-0-0</f>
        <v>4228.4206029999996</v>
      </c>
      <c r="S265" s="3">
        <f>4279.7+(695.7-848.2)+(-8.730588+(-1.419228--1.730328))+0-0-0</f>
        <v>4118.7805120000003</v>
      </c>
      <c r="T265" s="3">
        <f>4388.2+(659.1-975.9)+(-4.475964+(-0.672282--0.995418))+0-0-0</f>
        <v>4067.2471719999994</v>
      </c>
      <c r="U265" s="3">
        <f>4379.9+(547.1-875.6)+(0+(0-0))+0-0-0</f>
        <v>4051.3999999999996</v>
      </c>
      <c r="V265" s="3">
        <f>4413.8+(679-878.2)+(-11.25519+(-1.73145--2.23941))+0-0-0</f>
        <v>4203.8527700000004</v>
      </c>
      <c r="W265" s="3">
        <f>4600.5+(928.4-701.9)+(2.346255+(0.473484-0.357969))+0-0-0</f>
        <v>4829.4617699999999</v>
      </c>
      <c r="X265" s="3">
        <f>4661.8+(1029.9-798.2)+(-2.377518+(-0.525249--0.407082))+0-0-0</f>
        <v>4891.0043150000001</v>
      </c>
      <c r="Y265" s="3">
        <f>4605.6+(1047.2-815.5)+(-7.046568+(-1.602216--1.247715))+0-0-0</f>
        <v>4829.8989310000006</v>
      </c>
      <c r="Z265" s="3">
        <f>4565.8+(1031.6-755.2)+(-2.328558+(-0.526116--0.385152))+0-0-0</f>
        <v>4839.7304779999995</v>
      </c>
      <c r="AA265" s="3">
        <f>4499.8+(1016.9-789.2)+(0+(0-0))+0-0-0</f>
        <v>4727.5</v>
      </c>
      <c r="AB265" s="3">
        <f>4422.6+(935.3-767.7)+(-4.511052+(-0.954006--0.783054))+0-0-0</f>
        <v>4585.5179960000005</v>
      </c>
      <c r="AC265" s="3">
        <f>4300.9+(866.9-782.3)+(-13.160754+(-2.652714--2.393838))+0-0-0</f>
        <v>4372.0803699999997</v>
      </c>
      <c r="AD265">
        <f t="shared" si="4"/>
        <v>97976.231669999994</v>
      </c>
      <c r="AE265" s="3">
        <f>4786+(1044.1-806.9)+(0+(0-0))+0-0-0</f>
        <v>5023.2</v>
      </c>
    </row>
    <row r="266" spans="1:31" s="2" customFormat="1" x14ac:dyDescent="0.25">
      <c r="A266">
        <v>89</v>
      </c>
      <c r="B266">
        <v>9</v>
      </c>
      <c r="C266">
        <v>20</v>
      </c>
      <c r="D266">
        <v>1</v>
      </c>
      <c r="E266">
        <v>1</v>
      </c>
      <c r="F266" s="3">
        <f>3825.1+(633.9-520.4)+(-5.852403+(-0.969867--0.796212))+0-0-0</f>
        <v>3932.573942</v>
      </c>
      <c r="G266" s="3">
        <f>3403.4+(568.5-410)+(5.207202+(0.869805-0.6273))+0-0-0</f>
        <v>3567.3497070000003</v>
      </c>
      <c r="H266" s="3">
        <f>3310.7+(526-495.8)+(-3.376914+(-0.53652--0.505716))+0-0-0</f>
        <v>3337.4922819999997</v>
      </c>
      <c r="I266" s="3">
        <f>3419.7+(425.6-513.9)+(0+(0-0))+0-0-0</f>
        <v>3331.3999999999996</v>
      </c>
      <c r="J266" s="3">
        <f>3333.8+(487.6-503.4)+(-1.700238+(-0.248676--0.256734))+0-0-0</f>
        <v>3316.30782</v>
      </c>
      <c r="K266" s="3">
        <f>3488.2+(491.8-605.6)+(8.89491+(1.25409-1.54428))+0-0-0</f>
        <v>3383.0047199999995</v>
      </c>
      <c r="L266" s="3">
        <f>3686.2+(626.8-545.6)+(-1.879962+(-0.319668--0.278256))+0-0-0</f>
        <v>3765.4786259999996</v>
      </c>
      <c r="M266" s="3">
        <f>4078.2+(677.6-629.4)+(-2.079882+(-0.345576--0.320994))+0-0-0</f>
        <v>4124.2955359999996</v>
      </c>
      <c r="N266" s="3">
        <f>4728+(632.2-615.1)+(0+(0-0))+0-0-0</f>
        <v>4745.1000000000004</v>
      </c>
      <c r="O266" s="3">
        <f>4892+(790.4-542.2)+(-4.98984+(-0.806208--0.553044))+0-0-0</f>
        <v>5134.9569959999999</v>
      </c>
      <c r="P266" s="3">
        <f>4890.5+(1011.6-552.3)+(2.494155+(0.515916-0.281673))+0-0-0</f>
        <v>5352.5283980000004</v>
      </c>
      <c r="Q266" s="3">
        <f>4885+(1132-571.7)+(-12.45675+(-2.8866--1.457835))+0-0-0</f>
        <v>5431.4144850000002</v>
      </c>
      <c r="R266" s="3">
        <f>4949.4+(986.7-528.6)+(-10.096776+(-2.012868--1.078344))+0-0-0</f>
        <v>5396.4687000000004</v>
      </c>
      <c r="S266" s="3">
        <f>4968.5+(844.2-497.7)+(-10.13574+(-1.722168--1.015308))+0-0-0</f>
        <v>5304.1574000000001</v>
      </c>
      <c r="T266" s="3">
        <f>5003.1+(790.6-479.4)+(10.206324+(1.612824-0.977976))+0-0-0</f>
        <v>5325.1411720000006</v>
      </c>
      <c r="U266" s="3">
        <f>5050.9+(791.6-475.3)+(-12.879795+(-2.01858--1.212015))+0-0-0</f>
        <v>5353.5136400000001</v>
      </c>
      <c r="V266" s="3">
        <f>5146.3+(953-495)+(-7.873839+(-1.45809--0.75735))+0-0-0</f>
        <v>5595.7254210000001</v>
      </c>
      <c r="W266" s="3">
        <f>5356.3+(1544.8-825.8)+(-8.195139+(-2.363544--1.263474))+0-0-0</f>
        <v>6066.0047910000003</v>
      </c>
      <c r="X266" s="3">
        <f>5447.7+(1355.6-842.5)+(-11.113308+(-2.765424--1.7187))+0-0-0</f>
        <v>5948.6399679999995</v>
      </c>
      <c r="Y266" s="3">
        <f>5399.8+(1084.8-754.6)+(-8.261694+(-1.659744--1.154538))+0-0-0</f>
        <v>5721.2331000000004</v>
      </c>
      <c r="Z266" s="3">
        <f>5337.3+(956.9-837.7)+(-10.888092+(-1.952076--1.708908))+0-0-0</f>
        <v>5445.3687399999999</v>
      </c>
      <c r="AA266" s="3">
        <f>5216.5+(940.2-954.2)+(-7.981245+(-1.438506--1.459926))+0-0-0</f>
        <v>5194.5401750000001</v>
      </c>
      <c r="AB266" s="3">
        <f>4817.5+(891.9-733.5)+(-9.8277+(-1.819476--1.49634))+0-0-0</f>
        <v>4965.7491639999998</v>
      </c>
      <c r="AC266" s="3">
        <f>4403.2+(954.8-772.5)+(-6.736896+(-1.460844--1.181925))+0-0-0</f>
        <v>4578.4841850000003</v>
      </c>
      <c r="AD266">
        <f t="shared" si="4"/>
        <v>114316.92896799999</v>
      </c>
      <c r="AE266" s="3">
        <f>5414+(1544.3-937.1)+(0+(0-0))+0-0-0</f>
        <v>6021.2</v>
      </c>
    </row>
    <row r="267" spans="1:31" s="2" customFormat="1" x14ac:dyDescent="0.25">
      <c r="A267">
        <v>89</v>
      </c>
      <c r="B267">
        <v>9</v>
      </c>
      <c r="C267">
        <v>21</v>
      </c>
      <c r="D267">
        <v>2</v>
      </c>
      <c r="E267">
        <v>1</v>
      </c>
      <c r="F267" s="3">
        <f>4011.2+(805.8-708.4)+(-10.22856+(-2.05479--1.80642))+0-0-0</f>
        <v>4098.1230699999996</v>
      </c>
      <c r="G267" s="3">
        <f>3797.4+(591.7-600.9)+(-1.936674+(-0.301767--0.306459))+0-0-0</f>
        <v>3786.2680180000002</v>
      </c>
      <c r="H267" s="3">
        <f>3694.4+(516.6-510.8)+(-7.536576+(-1.053864--1.042032))+0-0-0</f>
        <v>3692.6515920000002</v>
      </c>
      <c r="I267" s="3">
        <f>3321.4+(692.2-457.4)+(5.081742+(1.059066-0.699822))+5.9-0-0</f>
        <v>3567.5409860000004</v>
      </c>
      <c r="J267" s="3">
        <f>3333.3+(645.8-447.7)+(8.499915+(1.64679-1.141635))+0-0-0</f>
        <v>3540.4050700000003</v>
      </c>
      <c r="K267" s="3">
        <f>3378.3+(729.1-467.8)+(5.168799+(1.115523-0.715734))+0-0-0</f>
        <v>3645.1685880000005</v>
      </c>
      <c r="L267" s="3">
        <f>3360.2+(960.5-480.7)+(-1.713702+(-0.489855--0.245157))+0-0-0</f>
        <v>3838.0416</v>
      </c>
      <c r="M267" s="3">
        <f>3678.9+(1040.5-483.6)+(-1.876239+(-0.530655--0.246636))+0-0-0</f>
        <v>4233.6397420000003</v>
      </c>
      <c r="N267" s="3">
        <f>4045.8+(1146.8-416.5)+(0+(0-0))+0-0-0</f>
        <v>4776.1000000000004</v>
      </c>
      <c r="O267" s="3">
        <f>4219.9+(1335.3-407.3)+(-6.456447+(-2.043009--0.623169))+0-0-0</f>
        <v>5140.0237129999996</v>
      </c>
      <c r="P267" s="3">
        <f>4256.5+(1401.8-368.7)+(-2.170815+(-0.714918--0.188037))+0-0-0</f>
        <v>5286.9023040000002</v>
      </c>
      <c r="Q267" s="3">
        <f>4480.5+(1303.3-392.3)+(-6.855165+(-1.994049--0.600219))+0-0-0</f>
        <v>5383.2510050000001</v>
      </c>
      <c r="R267" s="3">
        <f>4548.8+(1196.7-456.7)+(-18.559104+(-4.882536--1.863336))+0-0-0</f>
        <v>5267.2216960000005</v>
      </c>
      <c r="S267" s="3">
        <f>4524.4+(1104.3-450.7)+(-2.307444+(-0.563193--0.229857))+0-0-0</f>
        <v>5175.3592200000003</v>
      </c>
      <c r="T267" s="3">
        <f>4530+(1184.5-321.1)+(-6.9309+(-1.812285--0.491283))+0-0-0</f>
        <v>5385.1480979999997</v>
      </c>
      <c r="U267" s="3">
        <f>4446.9+(1287.8-316.8)+(6.803757+(1.970334-0.484704))+0-0-0</f>
        <v>5426.1893869999994</v>
      </c>
      <c r="V267" s="3">
        <f>4544.7+(1448.8-311.4)+(-11.588985+(-3.69444--0.79407))+0-0-0</f>
        <v>5667.6106450000007</v>
      </c>
      <c r="W267" s="3">
        <f>4953.5+(1510.5-492.3)+(2.526285+(0.770355-0.251073))+0-0-0</f>
        <v>5974.7455669999999</v>
      </c>
      <c r="X267" s="3">
        <f>5034.4+(1436.5-562.5)+(-7.702632+(-2.197845--0.860625))+0-0-0</f>
        <v>5899.3601479999998</v>
      </c>
      <c r="Y267" s="3">
        <f>4861.5+(1355.3-533.5)+(-7.438095+(-2.073609--0.816255))+0-0-0</f>
        <v>5674.6045510000004</v>
      </c>
      <c r="Z267" s="3">
        <f>4597+(1324.3-474.6)+(-4.68894+(-1.350786--0.484092))+0-0-0</f>
        <v>5441.1443659999995</v>
      </c>
      <c r="AA267" s="3">
        <f>4471.5+(1374.6-637.1)+(0+(0-0))+0-0-0</f>
        <v>5209</v>
      </c>
      <c r="AB267" s="3">
        <f>4295.6+(1238.7-631.7)+(-6.572268+(-1.895211--0.966501))+0-0-0</f>
        <v>4895.0990220000003</v>
      </c>
      <c r="AC267" s="3">
        <f>4116.8+(1022.4-483)+(-4.199136+(-1.042848--0.49266))+0-0-0</f>
        <v>4651.4506759999995</v>
      </c>
      <c r="AD267">
        <f t="shared" si="4"/>
        <v>115655.04906399999</v>
      </c>
      <c r="AE267" s="3">
        <f>4972+(1565-578.1)+(0+(0-0))+0-0-0</f>
        <v>5958.9</v>
      </c>
    </row>
    <row r="268" spans="1:31" s="2" customFormat="1" x14ac:dyDescent="0.25">
      <c r="A268">
        <v>89</v>
      </c>
      <c r="B268">
        <v>9</v>
      </c>
      <c r="C268">
        <v>22</v>
      </c>
      <c r="D268">
        <v>3</v>
      </c>
      <c r="E268">
        <v>1</v>
      </c>
      <c r="F268" s="3">
        <f>3891.9+(775.6-476.5)+(-11.909214+(-2.373336--1.45809))+0-0-0</f>
        <v>4178.1755400000002</v>
      </c>
      <c r="G268" s="3">
        <f>3779.1+(532-425.6)+(-13.491387+(-1.89924--1.519392))+0-0-0</f>
        <v>3871.6287649999999</v>
      </c>
      <c r="H268" s="3">
        <f>3440.8+(580.6-377.1)+(-5.264424+(-0.888318--0.576963))+0-0-0</f>
        <v>3638.7242210000004</v>
      </c>
      <c r="I268" s="3">
        <f>3429.8+(521.5-369.9)+(0+(0-0))+0-0-0</f>
        <v>3581.4</v>
      </c>
      <c r="J268" s="3">
        <f>3370.3+(553.6-326.8)+(-1.718853+(-0.282336--0.166668))+0-0-0</f>
        <v>3595.2654790000001</v>
      </c>
      <c r="K268" s="3">
        <f>3373.7+(614-326.7)+(3.441174+(0.62628-0.333234))+0-0-0</f>
        <v>3664.7342199999998</v>
      </c>
      <c r="L268" s="3">
        <f>3599.3+(665.1-416.8)+(-3.671286+(-0.678402--0.425136))+0-0-0</f>
        <v>3843.6754480000004</v>
      </c>
      <c r="M268" s="3">
        <f>4037.6+(716.9-495.3)+(2.059176+(0.365619-0.252603))+0-0-0</f>
        <v>4261.3721919999998</v>
      </c>
      <c r="N268" s="3">
        <f>4315.3+(799.9-315.7)+(-4.401606+(-0.815898--0.322014))+0-0-0</f>
        <v>4794.6045100000001</v>
      </c>
      <c r="O268" s="3">
        <f>4633.7+(1030.4-414.2)+(0+(0-0))+0-0-0</f>
        <v>5249.9</v>
      </c>
      <c r="P268" s="3">
        <f>4705.1+(1129.7-430.6)+(0+(0-0))+0-0-0</f>
        <v>5404.2000000000007</v>
      </c>
      <c r="Q268" s="3">
        <f>4709.8+(1192-345.1)+(0+(0-0))+0-0-0</f>
        <v>5556.7</v>
      </c>
      <c r="R268" s="3">
        <f>4707.2+(1106.4-318.8)+(0+(0-0))+0-0-0</f>
        <v>5494.8</v>
      </c>
      <c r="S268" s="3">
        <f>4595.9+(1098.6-242.6)+(0+(0-0))+0-0-0</f>
        <v>5451.9</v>
      </c>
      <c r="T268" s="3">
        <f>4518.6+(1175.1-218.5)+(0+(0-0))+0-0-0</f>
        <v>5475.2000000000007</v>
      </c>
      <c r="U268" s="3">
        <f>4556.7+(1123-223.5)+(0+(0-0))+0-0-0</f>
        <v>5456.2</v>
      </c>
      <c r="V268" s="3">
        <f>4855.4+(1147.4-244.1)+(0+(0-0))+0-0-0</f>
        <v>5758.7</v>
      </c>
      <c r="W268" s="3">
        <f>5091.1+(1244.5-449.8)+(0+(0-0))+0-0-0</f>
        <v>5885.8</v>
      </c>
      <c r="X268" s="3">
        <f>5146+(1141.7-559.3)+(0+(0-0))+0-0-0</f>
        <v>5728.4</v>
      </c>
      <c r="Y268" s="3">
        <f>5031.6+(1049.4-526)+(0+(0-0))+0-0-0</f>
        <v>5555</v>
      </c>
      <c r="Z268" s="3">
        <f>4710.6+(1142.3-485.5)+(0+(0-0))+0-0-0</f>
        <v>5367.4000000000005</v>
      </c>
      <c r="AA268" s="3">
        <f>4525.2+(1090.3-570.9)+(0+(0-0))+0-0-0</f>
        <v>5044.5999999999995</v>
      </c>
      <c r="AB268" s="3">
        <f>4409.7+(926-441.6)+(0+(0-0))+0-0-0</f>
        <v>4894.0999999999995</v>
      </c>
      <c r="AC268" s="3">
        <f>4284.2+(734.4-515.2)+(0+(0-0))+0-0-0</f>
        <v>4503.3999999999996</v>
      </c>
      <c r="AD268">
        <f t="shared" si="4"/>
        <v>116255.88037499999</v>
      </c>
      <c r="AE268" s="3">
        <f>5059+(1322.9-570.1)+(0+(0-0))+0-0-0</f>
        <v>5811.8</v>
      </c>
    </row>
    <row r="269" spans="1:31" s="2" customFormat="1" x14ac:dyDescent="0.25">
      <c r="A269">
        <v>89</v>
      </c>
      <c r="B269">
        <v>9</v>
      </c>
      <c r="C269">
        <v>23</v>
      </c>
      <c r="D269">
        <v>4</v>
      </c>
      <c r="E269">
        <v>1</v>
      </c>
      <c r="F269" s="3">
        <f>4056+(602.9-439.4)+(0+(0-0))+0-0-0</f>
        <v>4219.5</v>
      </c>
      <c r="G269" s="3">
        <f>3814.7+(489.5-456.8)+(0+(0-0))+0-0-0</f>
        <v>3847.3999999999996</v>
      </c>
      <c r="H269" s="3">
        <f>3736.2+(366-411.7)+(0+(0-0))+0-0-0</f>
        <v>3690.5</v>
      </c>
      <c r="I269" s="3">
        <f>3642.6+(391.6-459)+(0+(0-0))+0-0-0</f>
        <v>3575.2</v>
      </c>
      <c r="J269" s="3">
        <f>3703.8+(381.7-514.2)+(0+(0-0))+0-0-0</f>
        <v>3571.3</v>
      </c>
      <c r="K269" s="3">
        <f>3788.8+(412.2-584.5)+(0+(0-0))+0-0-0</f>
        <v>3616.5</v>
      </c>
      <c r="L269" s="3">
        <f>3745.4+(574.2-400.9)+(0+(0-0))+0-0-0</f>
        <v>3918.7000000000003</v>
      </c>
      <c r="M269" s="3">
        <f>3954.7+(611.7-444.2)+(0+(0-0))+0-0-0</f>
        <v>4122.2</v>
      </c>
      <c r="N269" s="3">
        <f>4432.8+(666.7-419.2)+(0+(0-0))+0-0-0</f>
        <v>4680.3</v>
      </c>
      <c r="O269" s="3">
        <f>4612+(871-446.9)+(0+(0-0))+0-0-0</f>
        <v>5036.1000000000004</v>
      </c>
      <c r="P269" s="3">
        <f>4896.2+(927.7-584.6)+(0+(0-0))+0-0-0</f>
        <v>5239.3</v>
      </c>
      <c r="Q269" s="3">
        <f>4854.2+(956-506.6)+(0+(0-0))+0-0-0</f>
        <v>5303.5999999999995</v>
      </c>
      <c r="R269" s="3">
        <f>4708.5+(1081.1-561.2)+(-12.006675+(-2.756805--1.43106))+0-0-0</f>
        <v>5215.0675799999999</v>
      </c>
      <c r="S269" s="3">
        <f>4610.5+(976.2-434.8)+(-2.351355+(-0.497862--0.221748))+0-0-0</f>
        <v>5149.2725309999996</v>
      </c>
      <c r="T269" s="3">
        <f>4522+(951.9-426.1)+(-6.91866+(-1.456407--0.651933))+0-0-0</f>
        <v>5040.0768660000003</v>
      </c>
      <c r="U269" s="3">
        <f>4596.5+(829.2-447.7)+(-11.721075+(-2.11446--1.141635))+0-0-0</f>
        <v>4965.3060999999998</v>
      </c>
      <c r="V269" s="3">
        <f>4581.6+(787.7-369.6)+(-11.68308+(-2.008635--0.94248))+0-0-0</f>
        <v>4986.9507650000005</v>
      </c>
      <c r="W269" s="3">
        <f>5019.3+(876.1-545.2)+(-5.119686+(-0.893622--0.556104))+0-0-0</f>
        <v>5344.7427959999995</v>
      </c>
      <c r="X269" s="3">
        <f>4961.9+(1031.2-610)+(-12.652845+(-2.62956--1.5555))+0-0-0</f>
        <v>5369.373094999999</v>
      </c>
      <c r="Y269" s="3">
        <f>4704.9+(1012.7-600.6)+(-2.399499+(-0.516477--0.306306))+0-0-0</f>
        <v>5114.3903300000002</v>
      </c>
      <c r="Z269" s="3">
        <f>4675.9+(864-598.8)+(-9.538836+(-1.76256--1.221552))+0-0-0</f>
        <v>4931.0201559999996</v>
      </c>
      <c r="AA269" s="3">
        <f>4636.9+(718.9-725.7)+(0+(0-0))+0-0-0</f>
        <v>4630.0999999999995</v>
      </c>
      <c r="AB269" s="3">
        <f>4527.9+(567.7-696)+(-9.236916+(-1.158108--1.41984))+0-0-0</f>
        <v>4390.6248159999996</v>
      </c>
      <c r="AC269" s="3">
        <f>4455.7+(409.8-637.8)+(-2.272407+(-0.208998--0.325278))+0-0-0</f>
        <v>4225.5438729999996</v>
      </c>
      <c r="AD269">
        <f t="shared" si="4"/>
        <v>110183.06890800002</v>
      </c>
      <c r="AE269" s="3">
        <f>5091+(942.3-614.7)+(0+(0-0))+0-0-0</f>
        <v>5418.6</v>
      </c>
    </row>
    <row r="270" spans="1:31" s="2" customFormat="1" x14ac:dyDescent="0.25">
      <c r="A270">
        <v>89</v>
      </c>
      <c r="B270">
        <v>9</v>
      </c>
      <c r="C270">
        <v>24</v>
      </c>
      <c r="D270">
        <v>5</v>
      </c>
      <c r="E270">
        <v>5</v>
      </c>
      <c r="F270" s="3">
        <f>4247.7+(319.7-612.4)+(-4.332654+(-0.326094--0.624648))+0-0-0</f>
        <v>3950.9659000000001</v>
      </c>
      <c r="G270" s="3">
        <f>3977.7+(312.1-577.3)+(4.057254+(0.318342-0.588846))+0-0-0</f>
        <v>3716.2867500000002</v>
      </c>
      <c r="H270" s="3">
        <f>3769.9+(288.1-557.6)+(0+(0-0))+0-0-0</f>
        <v>3500.4</v>
      </c>
      <c r="I270" s="3">
        <f>3647.6+(303.3-601.4)+(1.860276+(0.154683-0.306714))+0-0-0</f>
        <v>3351.2082449999998</v>
      </c>
      <c r="J270" s="3">
        <f>3648.3+(269.4-620.1)+(1.860633+(0.137394-0.316251))+0-0-0</f>
        <v>3299.2817760000003</v>
      </c>
      <c r="K270" s="3">
        <f>3657.4+(342.1-700.2)+(-1.865274+(-0.174471--0.357102))+0-0-0</f>
        <v>3297.6173570000001</v>
      </c>
      <c r="L270" s="3">
        <f>3559.1+(570.6-911.5)+(-1.815141+(-0.291006--0.464865))+0-0-0</f>
        <v>3216.5587179999998</v>
      </c>
      <c r="M270" s="3">
        <f>3529+(677.7-1119.3)+(-3.59958+(-0.691254--1.141686))+0-0-0</f>
        <v>3084.2508520000001</v>
      </c>
      <c r="N270" s="3">
        <f>3751.2+(655.1-1314.7)+(3.826224+(0.668202-1.340994))+0-0-0</f>
        <v>3094.753432</v>
      </c>
      <c r="O270" s="3">
        <f>3944.9+(671-1285.8)+(2.011899+(0.34221-0.655758))+0-0-0</f>
        <v>3331.7983510000004</v>
      </c>
      <c r="P270" s="3">
        <f>3931.3+(703.6-1129.9)+(-8.019852+(-1.435344--2.304996))+0-0-0</f>
        <v>3497.8498</v>
      </c>
      <c r="Q270" s="3">
        <f>3916.6+(671.6-1088.9)+(-9.98733+(-1.71258--2.776695))+0-0-0</f>
        <v>3490.3767849999999</v>
      </c>
      <c r="R270" s="3">
        <f>3860.5+(631.3-1026.2)+(-3.93771+(-0.643926--1.046724))+0-0-0</f>
        <v>3462.0650879999998</v>
      </c>
      <c r="S270" s="3">
        <f>3695.8+(677.5-1016.4)+(-5.654574+(-1.036575--1.555092))+0-0-0</f>
        <v>3351.7639429999999</v>
      </c>
      <c r="T270" s="3">
        <f>3821+(707.2-1164.2)+(-7.79484+(-1.442688--2.374968))+0-0-0</f>
        <v>3357.13744</v>
      </c>
      <c r="U270" s="3">
        <f>4010.2+(733.2-1348.1)+(-6.135606+(-1.121796--2.062593))+0-0-0</f>
        <v>3390.1051910000001</v>
      </c>
      <c r="V270" s="3">
        <f>4072.3+(595.7-1109.8)+(4.153746+(0.607614-1.131996))+0-0-0</f>
        <v>3561.8293640000002</v>
      </c>
      <c r="W270" s="3">
        <f>4409.3+(810-1131.4)+(-2.248743+(-0.4131--0.577014))+0-0-0</f>
        <v>4085.8151710000002</v>
      </c>
      <c r="X270" s="3">
        <f>4530.9+(899.9-1162.8)+(-13.864554+(-2.753694--3.558168))+0-0-0</f>
        <v>4254.9399199999998</v>
      </c>
      <c r="Y270" s="3">
        <f>4439.8+(694.3-917.7)+(-9.057192+(-1.416372--1.872108))+0-0-0</f>
        <v>4207.7985439999993</v>
      </c>
      <c r="Z270" s="3">
        <f>4260.5+(607-759.5)+(2.172855+(0.30957-0.387345))+0-0-0</f>
        <v>4110.0950800000001</v>
      </c>
      <c r="AA270" s="3">
        <f>4263.9+(531.3-859.9)+(-2.174589+(-0.270963--0.438549))+0-0-0</f>
        <v>3933.2929969999996</v>
      </c>
      <c r="AB270" s="3">
        <f>4261.7+(391.8-773.6)+(-4.346934+(-0.399636--0.789072))+0-0-0</f>
        <v>3875.9425019999994</v>
      </c>
      <c r="AC270" s="3">
        <f>4147.4+(411.2-842.2)+(-6.345522+(-0.629136--1.288566))+0-0-0</f>
        <v>3710.7139079999997</v>
      </c>
      <c r="AD270">
        <f t="shared" si="4"/>
        <v>86132.847114000018</v>
      </c>
      <c r="AE270" s="3">
        <f>4619+(866.3-1233.8)+(0+(0-0))+0-0-0</f>
        <v>4251.5</v>
      </c>
    </row>
    <row r="271" spans="1:31" s="2" customFormat="1" x14ac:dyDescent="0.25">
      <c r="A271">
        <v>89</v>
      </c>
      <c r="B271">
        <v>9</v>
      </c>
      <c r="C271">
        <v>25</v>
      </c>
      <c r="D271">
        <v>6</v>
      </c>
      <c r="E271">
        <v>5</v>
      </c>
      <c r="F271" s="3">
        <f>4058.6+(446.8-922.2)+(-8.279544+(-0.911472--1.881288))+0-0-0</f>
        <v>3575.8902719999996</v>
      </c>
      <c r="G271" s="3">
        <f>3733+(433.1-863.6)+(-5.71149+(-0.662643--1.321308))+0-0-0</f>
        <v>3297.4471749999998</v>
      </c>
      <c r="H271" s="3">
        <f>3651.6+(441.4-945.2)+(-3.724632+(-0.450228--0.964104))+0-0-0</f>
        <v>3144.5892439999998</v>
      </c>
      <c r="I271" s="3">
        <f>3554.2+(352.8-815.1)+(-9.06321+(-0.89964--2.078505))+0-0-0</f>
        <v>3084.0156549999997</v>
      </c>
      <c r="J271" s="3">
        <f>3421.3+(314.2-728.5)+(-3.489726+(-0.320484--0.74307))+0-0-0</f>
        <v>3003.9328599999999</v>
      </c>
      <c r="K271" s="3">
        <f>3289+(367.4-628.7)+(0+(0-0))+0-0-0</f>
        <v>3027.7</v>
      </c>
      <c r="L271" s="3">
        <f>3280.5+(600.9-887.6)+(-6.69222+(-1.225836--1.810704))+0-0-0</f>
        <v>2987.6926480000002</v>
      </c>
      <c r="M271" s="3">
        <f>3270.2+(599.8-1086.8)+(-3.335604+(-0.611796--1.108536))+0-0-0</f>
        <v>2780.361136</v>
      </c>
      <c r="N271" s="3">
        <f>3441.1+(611.9-1174)+(-1.754961+(-0.312069--0.59874))+0-0-0</f>
        <v>2877.5317100000002</v>
      </c>
      <c r="O271" s="3">
        <f>3450.5+(690.8-1128.5)+(3.51951+(0.704616-1.15107))+0-0-0</f>
        <v>3015.8730560000004</v>
      </c>
      <c r="P271" s="3">
        <f>3461+(706.1-1048.3)+(-12.35577+(-2.520777--3.742431))+0-0-0</f>
        <v>3107.665884</v>
      </c>
      <c r="Q271" s="3">
        <f>3282.7+(599.6-902.5)+(-3.348354+(-0.611592--0.92055))+0-0-0</f>
        <v>2976.7606039999996</v>
      </c>
      <c r="R271" s="3">
        <f>3311.5+(601.7-975.7)+(1.688865+(0.306867-0.497607))+0-0-0</f>
        <v>2938.9981250000001</v>
      </c>
      <c r="S271" s="3">
        <f>3395.8+(667.2-1110.1)+(-3.463716+(-0.680544--1.132302))+0-0-0</f>
        <v>2949.8880420000005</v>
      </c>
      <c r="T271" s="3">
        <f>3505.6+(707.4-1104.3)+(-8.93928+(-1.80387--2.815965))+0-0-0</f>
        <v>3100.7728149999998</v>
      </c>
      <c r="U271" s="3">
        <f>3629.2+(636.3-1086.7)+(0+(0-0))+0-0-0</f>
        <v>3178.7999999999997</v>
      </c>
      <c r="V271" s="3">
        <f>3832.2+(431.5-963.1)+(-5.863266+(-0.660195--1.473543))+0-0-0</f>
        <v>3295.5500819999997</v>
      </c>
      <c r="W271" s="3">
        <f>4433.5+(537-1166.7)+(-11.305425+(-1.36935--2.975085))+0-0-0</f>
        <v>3794.1003100000003</v>
      </c>
      <c r="X271" s="3">
        <f>4559+(764.2-1319)+(-4.65018+(-0.779484--1.34538))+0-0-0</f>
        <v>4000.1157159999998</v>
      </c>
      <c r="Y271" s="3">
        <f>4350.3+(756.6-1105.6)+(0+(0-0))+0-0-0</f>
        <v>4001.3</v>
      </c>
      <c r="Z271" s="3">
        <f>4300.2+(705.9-935)+(-6.579306+(-1.080027--1.43055))+0-0-0</f>
        <v>4064.8712169999999</v>
      </c>
      <c r="AA271" s="3">
        <f>4287.7+(646-958.2)+(2.186727+(0.32946-0.488682))+0-0-0</f>
        <v>3977.527505</v>
      </c>
      <c r="AB271" s="3">
        <f>4224.4+(590.7-918.9)+(-4.308888+(-0.602514--0.937278))+0-0-0</f>
        <v>3892.225876</v>
      </c>
      <c r="AC271" s="3">
        <f>4070.1+(534.4-816.5)+(-4.151502+(-0.545088--0.83283))+0-0-0</f>
        <v>3784.1362399999998</v>
      </c>
      <c r="AD271">
        <f t="shared" si="4"/>
        <v>79857.746172000014</v>
      </c>
      <c r="AE271" s="3">
        <f>4722+(803.7-1428.6)+(0+(0-0))+0-0-0</f>
        <v>4097.1000000000004</v>
      </c>
    </row>
    <row r="272" spans="1:31" s="2" customFormat="1" x14ac:dyDescent="0.25">
      <c r="A272">
        <v>89</v>
      </c>
      <c r="B272">
        <v>9</v>
      </c>
      <c r="C272">
        <v>26</v>
      </c>
      <c r="D272">
        <v>7</v>
      </c>
      <c r="E272">
        <v>1</v>
      </c>
      <c r="F272" s="3">
        <f>3866+(551.4-946.8)+(-5.91498+(-0.843642--1.448604))+0-0-0</f>
        <v>3465.2899819999998</v>
      </c>
      <c r="G272" s="3">
        <f>3707.5+(424.1-906.9)+(0+(0-0))+0-0-0</f>
        <v>3224.7</v>
      </c>
      <c r="H272" s="3">
        <f>3538.9+(367.6-815.5)+(-12.633873+(-1.312332--2.911335))+0-0-0</f>
        <v>3079.96513</v>
      </c>
      <c r="I272" s="3">
        <f>3407.1+(339.1-784.6)+(0+(0-0))+0-0-0</f>
        <v>2961.6</v>
      </c>
      <c r="J272" s="3">
        <f>3426.1+(341.7-826.2)+(0+(0-0))+0-0-0</f>
        <v>2941.6</v>
      </c>
      <c r="K272" s="3">
        <f>3488.6+(363.4-885.6)+(5.337558+(0.556002-1.354968))+0-0-0</f>
        <v>2970.9385919999995</v>
      </c>
      <c r="L272" s="3">
        <f>3588.8+(566.2-1148.7)+(-5.490864+(-0.866286--1.757511))+0-0-0</f>
        <v>3001.7003610000002</v>
      </c>
      <c r="M272" s="3">
        <f>3675.8+(567-1306.6)+(-5.623974+(-0.86751--1.999098))+0-0-0</f>
        <v>2931.7076140000004</v>
      </c>
      <c r="N272" s="3">
        <f>3887.4+(668.3-1373.8)+(0+(0-0))+0-0-0</f>
        <v>3181.9</v>
      </c>
      <c r="O272" s="3">
        <f>4088.4+(656.4-1310.3)+(2.085084+(0.334764-0.668253))+0-0-0</f>
        <v>3436.2515950000002</v>
      </c>
      <c r="P272" s="3">
        <f>4221.9+(723.5-1184.5)+(-10.765845+(-1.844925--3.020475))+0-0-0</f>
        <v>3751.3097049999997</v>
      </c>
      <c r="Q272" s="3">
        <f>4377.6+(751.2-1190.6)+(-4.465152+(-0.766224--1.214412))+0-0-0</f>
        <v>3934.1830360000008</v>
      </c>
      <c r="R272" s="3">
        <f>4361.8+(707.4-1029.5)+(-2.224518+(-0.360774--0.525045))+0-0-0</f>
        <v>4037.6397530000004</v>
      </c>
      <c r="S272" s="3">
        <f>4208.8+(671.4-943.6)+(-6.439464+(-1.027242--1.443708))+0-0-0</f>
        <v>3930.5770020000004</v>
      </c>
      <c r="T272" s="3">
        <f>4224.7+(679.5-991.1)+(-6.463791+(-1.039635--1.516383))+0-0-0</f>
        <v>3907.1129569999998</v>
      </c>
      <c r="U272" s="3">
        <f>4132.7+(701.6-998.9)+(-6.323031+(-1.073448--1.528317))+0-0-0</f>
        <v>3829.5318379999994</v>
      </c>
      <c r="V272" s="3">
        <f>4364.7+(625.2-980.1)+(-6.677991+(-0.956556--1.499553))+0-0-0</f>
        <v>4003.6650059999997</v>
      </c>
      <c r="W272" s="3">
        <f>5045.8+(579.1-915.2)+(-2.573358+(-0.295341--0.466752))+0-0-0</f>
        <v>4707.2980529999995</v>
      </c>
      <c r="X272" s="3">
        <f>5112.3+(594.8-930.2)+(-10.429092+(-1.213392--1.897608))+0-0-0</f>
        <v>4767.1551239999999</v>
      </c>
      <c r="Y272" s="3">
        <f>5108.1+(646.5-954.8)+(-7.815393+(-0.989145--1.460844))+0-0-0</f>
        <v>4792.456306</v>
      </c>
      <c r="Z272" s="3">
        <f>5103.9+(665.5-971.7)+(-10.411956+(-1.35762--1.982268))+0-0-0</f>
        <v>4787.9126919999999</v>
      </c>
      <c r="AA272" s="3">
        <f>4873.4+(775.4-1019.4)+(-4.970868+(-0.790908--1.039788))+0-0-0</f>
        <v>4624.6780119999994</v>
      </c>
      <c r="AB272" s="3">
        <f>4825.1+(594.1-1009.4)+(-12.304005+(-1.514955--2.57397))+0-0-0</f>
        <v>4398.55501</v>
      </c>
      <c r="AC272" s="3">
        <f>4628.1+(582.2-1007.7)+(-7.080993+(-0.890766--1.541781))+0-0-0</f>
        <v>4196.1700220000002</v>
      </c>
      <c r="AD272">
        <f t="shared" si="4"/>
        <v>90863.897790000003</v>
      </c>
      <c r="AE272" s="3">
        <f>5153+(579.2-917.5)+(0+(0-0))+0-0-0</f>
        <v>4814.7</v>
      </c>
    </row>
    <row r="273" spans="1:31" s="2" customFormat="1" x14ac:dyDescent="0.25">
      <c r="A273">
        <v>89</v>
      </c>
      <c r="B273">
        <v>9</v>
      </c>
      <c r="C273">
        <v>27</v>
      </c>
      <c r="D273">
        <v>1</v>
      </c>
      <c r="E273">
        <v>1</v>
      </c>
      <c r="F273" s="3">
        <f>4299.9+(297.5-879.8)+(-6.578847+(-0.455175--1.346094))+0-0-0</f>
        <v>3711.9120719999996</v>
      </c>
      <c r="G273" s="3">
        <f>4144.8+(263.9-1037.4)+(-10.56924+(-0.672945--2.64537))+0-0-0</f>
        <v>3362.7031850000003</v>
      </c>
      <c r="H273" s="3">
        <f>4092.6+(296.6-1035.7)+(-4.174452+(-0.302532--1.056414))+0-0-0</f>
        <v>3350.0794299999998</v>
      </c>
      <c r="I273" s="3">
        <f>3890.9+(233.3-908.7)+(-3.968718+(-0.237966--0.926874))+0-0-0</f>
        <v>3212.22019</v>
      </c>
      <c r="J273" s="3">
        <f>3858.9+(272.6-883.9)+(0+(0-0))+0-0-0</f>
        <v>3247.6000000000004</v>
      </c>
      <c r="K273" s="3">
        <f>3990.2+(290.7-950.6)+(-4.070004+(-0.296514--0.969612))+0-0-0</f>
        <v>3326.9030939999998</v>
      </c>
      <c r="L273" s="3">
        <f>4176.4+(592.6-1107)+(0+(0-0))+0-0-0</f>
        <v>3661.9999999999995</v>
      </c>
      <c r="M273" s="3">
        <f>4390.1+(882-1247.8)+(0+(0-0))+0-0-0</f>
        <v>4024.3</v>
      </c>
      <c r="N273" s="3">
        <f>5016.3+(702.2-1013.5)+(0+(0-0))+0-0-0</f>
        <v>4705</v>
      </c>
      <c r="O273" s="3">
        <f>5006.3+(768.6-677)+(0+(0-0))+0-0-0</f>
        <v>5097.9000000000005</v>
      </c>
      <c r="P273" s="3">
        <f>4937.9+(969.5-584.7)+(0+(0-0))+0-0-0</f>
        <v>5322.7</v>
      </c>
      <c r="Q273" s="3">
        <f>5049.4+(984.9-513)+(0+(0-0))+0-0-0</f>
        <v>5521.2999999999993</v>
      </c>
      <c r="R273" s="3">
        <f>5008.2+(1033.8-652.7)+(-2.554182+(-0.527238--0.332877))+0-0-0</f>
        <v>5386.5514569999996</v>
      </c>
      <c r="S273" s="3">
        <f>5072.1+(1059.3-795.5)+(-2.586771+(-0.540243--0.405705))+0-0-0</f>
        <v>5333.178691000001</v>
      </c>
      <c r="T273" s="3">
        <f>5049.7+(1072.5-710.2)+(0+(0-0))+0-0-0</f>
        <v>5412</v>
      </c>
      <c r="U273" s="3">
        <f>4914.7+(1125.9-606.8)+(7.519491+(1.722627-0.928404))+0-0-0</f>
        <v>5442.1137140000001</v>
      </c>
      <c r="V273" s="3">
        <f>5064.3+(927.9-362.9)+(5.165586+(0.946458-0.370158))+0-0-0</f>
        <v>5635.041886</v>
      </c>
      <c r="W273" s="3">
        <f>5366.6+(1026.3-483.1)+(0+(0-0))+0-0-0</f>
        <v>5909.8</v>
      </c>
      <c r="X273" s="3">
        <f>5365.7+(1025.6-554.7)+(-2.736507+(-0.523056--0.282897))+0-0-0</f>
        <v>5833.6233339999999</v>
      </c>
      <c r="Y273" s="3">
        <f>5209+(977.2-599.5)+(-13.28295+(-2.49186--1.528725))+0-0-0</f>
        <v>5572.4539150000001</v>
      </c>
      <c r="Z273" s="3">
        <f>5133.8+(912.6-638.7)+(2.618238+(0.465426-0.325737))+0-0-0</f>
        <v>5410.4579269999995</v>
      </c>
      <c r="AA273" s="3">
        <f>5054.7+(985.8-818.8)+(-2.577897+(-0.502758--0.417588))+0-0-0</f>
        <v>5219.0369329999994</v>
      </c>
      <c r="AB273" s="3">
        <f>4978.7+(870.5-825.4)+(-5.078274+(-0.88791--0.841908))+0-0-0</f>
        <v>5018.6757240000006</v>
      </c>
      <c r="AC273" s="3">
        <f>4664.4+(740.9-789.2)+(-2.378844+(-0.377859--0.402492))+0-0-0</f>
        <v>4613.7457889999996</v>
      </c>
      <c r="AD273">
        <f t="shared" si="4"/>
        <v>113331.29734100001</v>
      </c>
      <c r="AE273" s="3">
        <f>5394+(1099.4-548.3)+(0+(0-0))+0-0-0</f>
        <v>5945.1</v>
      </c>
    </row>
    <row r="274" spans="1:31" s="2" customFormat="1" x14ac:dyDescent="0.25">
      <c r="A274">
        <v>89</v>
      </c>
      <c r="B274">
        <v>9</v>
      </c>
      <c r="C274">
        <v>28</v>
      </c>
      <c r="D274">
        <v>2</v>
      </c>
      <c r="E274">
        <v>1</v>
      </c>
      <c r="F274" s="3">
        <f>4304.2+(578.5-749.2)+(0+(0-0))+0-0-0</f>
        <v>4133.5</v>
      </c>
      <c r="G274" s="3">
        <f>4014.6+(356.5-526)+(-6.142338+(-0.545445--0.80478))+0-0-0</f>
        <v>3839.216997</v>
      </c>
      <c r="H274" s="3">
        <f>3820.2+(312.3-498.8)+(-5.844906+(-0.477819--0.763164))+0-0-0</f>
        <v>3628.1404389999998</v>
      </c>
      <c r="I274" s="3">
        <f>3807+(279.1-524.4)+(0+(0-0))+0-0-0</f>
        <v>3561.7</v>
      </c>
      <c r="J274" s="3">
        <f>3830.4+(300-552.8)+(0+(0-0))+0-0-0</f>
        <v>3577.6000000000004</v>
      </c>
      <c r="K274" s="3">
        <f>3899.9+(317.7-620.3)+(-5.966847+(-0.486081--0.949059))+0-0-0</f>
        <v>3591.7961310000001</v>
      </c>
      <c r="L274" s="3">
        <f>4309.7+(454.2-878.9)+(0+(0-0))+0-0-0</f>
        <v>3885</v>
      </c>
      <c r="M274" s="3">
        <f>4557.9+(611.4-839.7)+(0+(0-0))+0-0-0</f>
        <v>4329.5999999999995</v>
      </c>
      <c r="N274" s="3">
        <f>4671.8+(720.4-636.3)+(-2.382618+(-0.367404--0.324513))+0-0-0</f>
        <v>4753.4744910000009</v>
      </c>
      <c r="O274" s="3">
        <f>4826.6+(973.4-643.2)+(0+(0-0))+0-0-0</f>
        <v>5156.8</v>
      </c>
      <c r="P274" s="3">
        <f>4757.5+(1004-370.8)+(0+(0-0))+0-0-0</f>
        <v>5390.7</v>
      </c>
      <c r="Q274" s="3">
        <f>4720.4+(1103.8-384)+(-9.629616+(-2.251752--0.78336))+0-0-0</f>
        <v>5429.1019919999999</v>
      </c>
      <c r="R274" s="3">
        <f>4667.7+(1103.3-456.5)+(-7.141581+(-1.688049--0.698445))+0-0-0</f>
        <v>5306.3688149999998</v>
      </c>
      <c r="S274" s="3">
        <f>4657.8+(1006.5-413.1)+(-4.750956+(-1.02663--0.421362))+0-0-0</f>
        <v>5245.8437759999997</v>
      </c>
      <c r="T274" s="3">
        <f>4589.1+(1073.9-387.1)+(-4.680882+(-1.095378--0.394842))+0-0-0</f>
        <v>5270.5185820000006</v>
      </c>
      <c r="U274" s="3">
        <f>4570.2+(1052.2-435.4)+(-4.661604+(-1.073244--0.444108))+0-0-0</f>
        <v>5181.7092599999996</v>
      </c>
      <c r="V274" s="3">
        <f>4712.7+(1019-254.1)+(0+(0-0))+0-0-0</f>
        <v>5477.5999999999995</v>
      </c>
      <c r="W274" s="3">
        <f>5081.6+(1094.5-286.9)+(-2.591616+(-0.558195--0.146319))+0-0-0</f>
        <v>5886.1965080000009</v>
      </c>
      <c r="X274" s="3">
        <f>5154+(1234.1-483.1)+(-7.88562+(-1.888173--0.739143))+0-0-0</f>
        <v>5895.9653500000004</v>
      </c>
      <c r="Y274" s="3">
        <f>4920.6+(1282.1-476)+(-7.528518+(-1.961613--0.72828))+0-0-0</f>
        <v>5717.9381490000005</v>
      </c>
      <c r="Z274" s="3">
        <f>4815.6+(1110.9-438.2)+(-2.455956+(-0.566559--0.223482))+0-0-0</f>
        <v>5485.5009669999999</v>
      </c>
      <c r="AA274" s="3">
        <f>4685.4+(1095.2-582.2)+(-7.168662+(-1.675656--0.890766))+0-0-0</f>
        <v>5190.4464479999997</v>
      </c>
      <c r="AB274" s="3">
        <f>4632.7+(921.4-579.3)+(-7.088031+(-1.409742--0.886329))+0-0-0</f>
        <v>4967.1885560000001</v>
      </c>
      <c r="AC274" s="3">
        <f>4441.5+(800-704.9)+(-4.53033+(-0.816--0.718998))+0-0-0</f>
        <v>4531.9726680000003</v>
      </c>
      <c r="AD274">
        <f t="shared" si="4"/>
        <v>115433.87912900001</v>
      </c>
      <c r="AE274" s="3">
        <f>5162+(1189.2-396.6)+(0+(0-0))+0-0-0</f>
        <v>5954.6</v>
      </c>
    </row>
    <row r="275" spans="1:31" s="2" customFormat="1" x14ac:dyDescent="0.25">
      <c r="A275">
        <v>89</v>
      </c>
      <c r="B275">
        <v>9</v>
      </c>
      <c r="C275">
        <v>29</v>
      </c>
      <c r="D275">
        <v>3</v>
      </c>
      <c r="E275">
        <v>1</v>
      </c>
      <c r="F275" s="3">
        <f>4104.8+(599.7-595.2)+(-10.46724+(-1.529235--1.51776))+0-0-0</f>
        <v>4098.821285</v>
      </c>
      <c r="G275" s="3">
        <f>3856.6+(411.3-547.7)+(1.966866+(0.209763-0.279327))+0-0-0</f>
        <v>3722.0973019999997</v>
      </c>
      <c r="H275" s="3">
        <f>3833.8+(328.2-494.5)+(-3.910476+(-0.334764--0.50439))+0-0-0</f>
        <v>3663.7591499999999</v>
      </c>
      <c r="I275" s="3">
        <f>3724.3+(321.6-506.3)+(-1.899393+(-0.164016--0.258213))+0-0-0</f>
        <v>3537.7948040000006</v>
      </c>
      <c r="J275" s="3">
        <f>3681.4+(400.4-569.9)+(3.755028+(0.408408-0.581298))+0-0-0</f>
        <v>3515.4821380000003</v>
      </c>
      <c r="K275" s="3">
        <f>3804.4+(520.8-682.6)+(-7.760976+(-1.062432--1.392504))+0-0-0</f>
        <v>3635.1690960000001</v>
      </c>
      <c r="L275" s="3">
        <f>3935.3+(664-739)+(-4.014006+(-0.67728--0.75378))+0-0-0</f>
        <v>3856.362494</v>
      </c>
      <c r="M275" s="3">
        <f>4361.3+(853-969.7)+(-2.224263+(-0.43503--0.494547))+0-0-0</f>
        <v>4242.435254</v>
      </c>
      <c r="N275" s="3">
        <f>4748.5+(859.3-804.8)+(-7.265205+(-1.314729--1.231344))+0-0-0</f>
        <v>4795.6514100000004</v>
      </c>
      <c r="O275" s="3">
        <f>4894.5+(877.7-673.4)+(-4.99239+(-0.895254--0.686868))+0-0-0</f>
        <v>5093.5992240000005</v>
      </c>
      <c r="P275" s="3">
        <f>4876.5+(1044.9-605.4)+(-7.461045+(-1.598697--0.926262))+0-0-0</f>
        <v>5307.8665199999996</v>
      </c>
      <c r="Q275" s="3">
        <f>4850.8+(1099.5-507.4)+(-7.421724+(-1.682235--0.776322))+0-0-0</f>
        <v>5434.5723630000002</v>
      </c>
      <c r="R275" s="3">
        <f>4834.8+(988-474.4)+(-4.931496+(-1.00776--0.483888))+0-0-0</f>
        <v>5342.9446320000006</v>
      </c>
      <c r="S275" s="3">
        <f>4795.7+(995.4-522.7)+(-9.783228+(-2.030616--1.066308))+0-0-0</f>
        <v>5257.6524639999998</v>
      </c>
      <c r="T275" s="3">
        <f>4794+(952.6-458.6)+(-7.33482+(-1.457478--0.701658))+0-0-0</f>
        <v>5279.9093599999997</v>
      </c>
      <c r="U275" s="3">
        <f>4792.8+(850.4-368.2)+(-7.332984+(-1.301112--0.563346))+0-0-0</f>
        <v>5266.9292500000001</v>
      </c>
      <c r="V275" s="3">
        <f>4876+(807.6-262.9)+(-7.46028+(-1.235628--0.402237))+0-0-0</f>
        <v>5412.4063289999995</v>
      </c>
      <c r="W275" s="3">
        <f>5116.6+(1055.3-273.4)+(2.609466+(0.538203-0.139434))+0-0-0</f>
        <v>5901.5082350000002</v>
      </c>
      <c r="X275" s="3">
        <f>5183.5+(1003.1-368.8)+(-15.86151+(-3.069486--1.128528))+0-0-0</f>
        <v>5799.9975320000003</v>
      </c>
      <c r="Y275" s="3">
        <f>5127.4+(986.2-397.4)+(-5.229948+(-1.005924--0.405348))+0-0-0</f>
        <v>5710.3694759999998</v>
      </c>
      <c r="Z275" s="3">
        <f>4995.1+(940.3-444.8)+(-5.095002+(-0.959106--0.453696))+0-0-0</f>
        <v>5484.9995880000006</v>
      </c>
      <c r="AA275" s="3">
        <f>4872.6+(916.7-583.7)+(-9.940104+(-1.870068--1.190748))+0-0-0</f>
        <v>5194.9805759999999</v>
      </c>
      <c r="AB275" s="3">
        <f>4791.8+(776.3-582.1)+(-9.775272+(-1.583652--1.187484))+0-0-0</f>
        <v>4975.8285599999999</v>
      </c>
      <c r="AC275" s="3">
        <f>4661.2+(485.3-617.3)+(-7.131636+(-0.742509--0.944469))+0-0-0</f>
        <v>4522.2703240000001</v>
      </c>
      <c r="AD275">
        <f t="shared" si="4"/>
        <v>115053.40736600001</v>
      </c>
      <c r="AE275" s="3">
        <f>5154+(1139.3-341)+(0+(0-0))+0-0-0</f>
        <v>5952.3</v>
      </c>
    </row>
    <row r="276" spans="1:31" s="2" customFormat="1" x14ac:dyDescent="0.25">
      <c r="A276">
        <v>89</v>
      </c>
      <c r="B276">
        <v>9</v>
      </c>
      <c r="C276">
        <v>30</v>
      </c>
      <c r="D276">
        <v>4</v>
      </c>
      <c r="E276">
        <v>1</v>
      </c>
      <c r="F276" s="3">
        <f>4252.5+(403.8-538.5)+(-4.33755+(-0.411876--0.54927))+0-0-0</f>
        <v>4113.5998440000003</v>
      </c>
      <c r="G276" s="3">
        <f>4132+(295.8-617.1)+(4.21464+(0.301716-0.629442))+0-0-0</f>
        <v>3814.586914</v>
      </c>
      <c r="H276" s="3">
        <f>3945.7+(275.9-543.9)+(-4.024614+(-0.281418--0.554778))+0-0-0</f>
        <v>3673.948746</v>
      </c>
      <c r="I276" s="3">
        <f>3871.8+(279.5-557)+(-9.87309+(-0.712725--1.42035))+0-0-0</f>
        <v>3585.1345350000001</v>
      </c>
      <c r="J276" s="3">
        <f>3929.2+(271.7-614)+(-4.007784+(-0.277134--0.62628))+0-0-0</f>
        <v>3583.2413619999998</v>
      </c>
      <c r="K276" s="3">
        <f>4109.7+(266.5-785.1)+(-2.095947+(-0.135915--0.400401))+0-0-0</f>
        <v>3589.2685389999997</v>
      </c>
      <c r="L276" s="3">
        <f>4520.8+(403.5-969.2)+(-9.222432+(-0.82314--1.977168))+0-0-0</f>
        <v>3947.0315960000003</v>
      </c>
      <c r="M276" s="3">
        <f>4658.2+(625.9-1015.2)+(-9.502728+(-1.276836--2.071008))+0-0-0</f>
        <v>4260.191444</v>
      </c>
      <c r="N276" s="3">
        <f>4764.7+(695.2-719.1)+(-2.429997+(-0.354552--0.366741))+0-0-0</f>
        <v>4738.382192</v>
      </c>
      <c r="O276" s="3">
        <f>4920.3+(752.2-531)+(-12.546765+(-1.91811--1.35405))+0-0-0</f>
        <v>5128.3891750000003</v>
      </c>
      <c r="P276" s="3">
        <f>4968+(849.8-464.6)+(-2.53368+(-0.433398--0.236946))+0-0-0</f>
        <v>5350.4698680000001</v>
      </c>
      <c r="Q276" s="3">
        <f>5093.1+(932.9-520.3)+(-7.792443+(-1.427337--0.796059))+0-0-0</f>
        <v>5497.2762790000006</v>
      </c>
      <c r="R276" s="3">
        <f>5024.1+(891-609.1)+(-10.249164+(-1.81764--1.242564))+0-0-0</f>
        <v>5295.1757600000001</v>
      </c>
      <c r="S276" s="3">
        <f>5113.2+(855.3-707.5)+(-2.607732+(-0.436203--0.360825))+0-0-0</f>
        <v>5258.3168900000001</v>
      </c>
      <c r="T276" s="3">
        <f>4968.6+(941.8-623.3)+(-10.135944+(-1.921272--1.271532))+0-0-0</f>
        <v>5276.314316</v>
      </c>
      <c r="U276" s="3">
        <f>4984.7+(818-542.8)+(-7.626591+(-1.25154--0.830484))+0-0-0</f>
        <v>5251.8523529999993</v>
      </c>
      <c r="V276" s="3">
        <f>5151.4+(734.6-470.4)+(0+(0-0))+0-0-0</f>
        <v>5415.5999999999995</v>
      </c>
      <c r="W276" s="3">
        <f>5266+(1035.1-559.6)+(5.37132+(1.055802-0.570792))+0-0-0</f>
        <v>5747.3563299999996</v>
      </c>
      <c r="X276" s="3">
        <f>5263.1+(974.1-532.9)+(-16.105086+(-2.980746--1.630674))+0-0-0</f>
        <v>5686.8448420000004</v>
      </c>
      <c r="Y276" s="3">
        <f>5204.8+(765.8-540.9)+(-18.581136+(-2.733906--1.931013))+0-0-0</f>
        <v>5410.315971</v>
      </c>
      <c r="Z276" s="3">
        <f>5198.2+(742.8-766.1)+(-13.25541+(-1.89414--1.953555))+0-0-0</f>
        <v>5161.7040049999996</v>
      </c>
      <c r="AA276" s="3">
        <f>5164+(744.6-977)+(2.63364+(0.379746-0.49827))+0-0-0</f>
        <v>4934.1151159999999</v>
      </c>
      <c r="AB276" s="3">
        <f>4959.1+(675.4-818.6)+(-7.587423+(-1.033362--1.252458))+0-0-0</f>
        <v>4808.5316730000004</v>
      </c>
      <c r="AC276" s="3">
        <f>4844.8+(611.1-919.2)+(-9.883392+(-1.246644--1.875168))+0-0-0</f>
        <v>4527.4451319999998</v>
      </c>
      <c r="AD276">
        <f t="shared" si="4"/>
        <v>114055.09288200001</v>
      </c>
      <c r="AE276" s="3">
        <f>5264+(1105.4-561.9)+(0+(0-0))+0-0-0</f>
        <v>5807.5</v>
      </c>
    </row>
    <row r="277" spans="1:31" s="2" customFormat="1" x14ac:dyDescent="0.25">
      <c r="A277">
        <v>89</v>
      </c>
      <c r="B277">
        <v>10</v>
      </c>
      <c r="C277">
        <v>1</v>
      </c>
      <c r="D277">
        <v>5</v>
      </c>
      <c r="E277">
        <v>1</v>
      </c>
      <c r="F277" s="3">
        <f>4565.2+(446.8-858.7)+(2.328252+(0.227868-0.437937))+0-0-0</f>
        <v>4155.4181829999998</v>
      </c>
      <c r="G277" s="3">
        <f>4399.7+(329.9-818)+(-6.731541+(-0.504747--1.25154))+0-0-0</f>
        <v>3905.6152520000001</v>
      </c>
      <c r="H277" s="3">
        <f>3991.7+(403.2-726.4)+(-4.071534+(-0.411264--0.740928))+0-0-0</f>
        <v>3664.7581300000002</v>
      </c>
      <c r="I277" s="3">
        <f>3775.9+(453.2-708.1)+(-1.925709+(-0.231132--0.361131))+0-0-0</f>
        <v>3519.2042900000001</v>
      </c>
      <c r="J277" s="3">
        <f>3776.1+(426.8-675.4)+(-1.925811+(-0.217668--0.344454))+0-0-0</f>
        <v>3525.7009750000002</v>
      </c>
      <c r="K277" s="3">
        <f>3986.3+(358.8-786.6)+(0+(0-0))+0-0-0</f>
        <v>3558.5</v>
      </c>
      <c r="L277" s="3">
        <f>4465.1+(411.4-1051.6)+(-11.386005+(-1.04907--2.68158))+0-0-0</f>
        <v>3815.1465050000006</v>
      </c>
      <c r="M277" s="3">
        <f>4806.4+(445.9-1063.9)+(-2.451264+(-0.227409--0.542589))+0-0-0</f>
        <v>4186.2639159999999</v>
      </c>
      <c r="N277" s="3">
        <f>4938.5+(554.1-751.1)+(2.518635+(0.282591-0.383061))+0-0-0</f>
        <v>4743.918165</v>
      </c>
      <c r="O277" s="3">
        <f>4980.5+(654.2-609.8)+(2.540055+(0.333642-0.310998))+0-0-0</f>
        <v>5027.4626989999997</v>
      </c>
      <c r="P277" s="3">
        <f>4922.9+(826.2-540.3)+(-7.532037+(-1.264086--0.826659))+0-0-0</f>
        <v>5200.8305359999995</v>
      </c>
      <c r="Q277" s="3">
        <f>4960+(897.2-464.3)+(-5.0592+(-0.915144--0.473586))+0-0-0</f>
        <v>5387.3992419999995</v>
      </c>
      <c r="R277" s="3">
        <f>5010.9+(774.2-495.6)+(-5.111118+(-0.789684--0.505512))+0-0-0</f>
        <v>5284.1047099999996</v>
      </c>
      <c r="S277" s="3">
        <f>4924.6+(713.3-507.9)+(-5.023092+(-0.727566--0.518058))+0-0-0</f>
        <v>5124.7673999999997</v>
      </c>
      <c r="T277" s="3">
        <f>4936.4+(769.2-484.6)+(12.58782+(1.96146-1.23573))+0-0-0</f>
        <v>5234.3135499999999</v>
      </c>
      <c r="U277" s="3">
        <f>4913.6+(783.4-469.4)+(2.505936+(0.399534-0.239394))+0-0-0</f>
        <v>5230.2660760000008</v>
      </c>
      <c r="V277" s="3">
        <f>4943.8+(985.8-573.6)+(-7.564014+(-1.508274--0.877608))+0-0-0</f>
        <v>5347.8053200000004</v>
      </c>
      <c r="W277" s="3">
        <f>5154.6+(1257-625.8)+(-2.628846+(-0.64107--0.319158))+0-0-0</f>
        <v>5782.8492420000002</v>
      </c>
      <c r="X277" s="3">
        <f>5167.2+(1204.9-600.2)+(-10.541088+(-2.457996--1.224408))+0-0-0</f>
        <v>5760.1253239999996</v>
      </c>
      <c r="Y277" s="3">
        <f>5128.6+(1122.7-652.3)+(-13.07793+(-2.862885--1.663365))+0-0-0</f>
        <v>5584.7225500000004</v>
      </c>
      <c r="Z277" s="3">
        <f>4984.3+(1057.7-670.3)+(-7.625979+(-1.618281--1.025559))+0-0-0</f>
        <v>5363.4812990000009</v>
      </c>
      <c r="AA277" s="3">
        <f>4945.8+(905.5-738)+(0+(0-0))+0-0-0</f>
        <v>5113.3</v>
      </c>
      <c r="AB277" s="3">
        <f>4895.9+(674.1-713.8)+(-12.484545+(-1.718955--1.82019))+0-0-0</f>
        <v>4843.8166899999997</v>
      </c>
      <c r="AC277" s="3">
        <f>4635.3+(555.7-709.3)+(-7.092009+(-0.850221--1.085229))+0-0-0</f>
        <v>4474.8429990000004</v>
      </c>
      <c r="AD277">
        <f t="shared" si="4"/>
        <v>113834.61305299999</v>
      </c>
      <c r="AE277" s="3">
        <f>5148+(1319.3-607.2)+(0+(0-0))+0-0-0</f>
        <v>5860.1</v>
      </c>
    </row>
    <row r="278" spans="1:31" s="2" customFormat="1" x14ac:dyDescent="0.25">
      <c r="A278">
        <v>89</v>
      </c>
      <c r="B278">
        <v>10</v>
      </c>
      <c r="C278">
        <v>2</v>
      </c>
      <c r="D278">
        <v>6</v>
      </c>
      <c r="E278">
        <v>1</v>
      </c>
      <c r="F278" s="3">
        <f>4381.9+(390.8-727.2)+(-11.173845+(-0.99654--1.85436))+0-0-0</f>
        <v>4035.1839749999995</v>
      </c>
      <c r="G278" s="3">
        <f>4179.7+(280.5-713.5)+(0+(0-0))+0-0-0</f>
        <v>3746.7</v>
      </c>
      <c r="H278" s="3">
        <f>4003.2+(279.8-678.6)+(-10.20816+(-0.71349--1.73043))+0-0-0</f>
        <v>3595.2087799999995</v>
      </c>
      <c r="I278" s="3">
        <f>3943.2+(308.8-694.9)+(2.011032+(0.157488-0.354399))+0-0-0</f>
        <v>3558.9141209999998</v>
      </c>
      <c r="J278" s="3">
        <f>3933.3+(314.9-737.5)+(6.017949+(0.481797-1.128375))+0-0-0</f>
        <v>3516.0713710000005</v>
      </c>
      <c r="K278" s="3">
        <f>4081.3+(249-809.5)+(8.325852+(0.50796-1.65138))+0-0-0</f>
        <v>3527.9824320000002</v>
      </c>
      <c r="L278" s="3">
        <f>4442.7+(326.2-987.2)+(11.328885+(0.83181-2.51736))+0-0-0</f>
        <v>3791.343335</v>
      </c>
      <c r="M278" s="3">
        <f>4628.5+(432.3-997.3)+(-2.360535+(-0.220473--0.508623))+0-0-0</f>
        <v>4061.4276150000001</v>
      </c>
      <c r="N278" s="3">
        <f>4793.7+(512.4-826.9)+(-4.889574+(-0.522648--0.843438))+0-0-0</f>
        <v>4474.6312159999998</v>
      </c>
      <c r="O278" s="3">
        <f>4971.8+(652.7-739.5)+(-2.535618+(-0.332877--0.377145))+0-0-0</f>
        <v>4882.5086499999998</v>
      </c>
      <c r="P278" s="3">
        <f>4928.4+(773.9-607.6)+(5.026968+(0.789378-0.619752))+0-0-0</f>
        <v>5099.8965939999998</v>
      </c>
      <c r="Q278" s="3">
        <f>4897.3+(880-615.6)+(-2.497623+(-0.4488--0.313956))+0-0-0</f>
        <v>5159.0675329999995</v>
      </c>
      <c r="R278" s="3">
        <f>4790.2+(916.6-674.8)+(-7.329006+(-1.402398--1.032444))+0-0-0</f>
        <v>5024.3010400000003</v>
      </c>
      <c r="S278" s="3">
        <f>4728.3+(916-789.7)+(-4.822866+(-0.93432--0.805494))+0-0-0</f>
        <v>4849.6483080000007</v>
      </c>
      <c r="T278" s="3">
        <f>4734.4+(967.3-865.5)+(-2.414544+(-0.493323--0.441405))+0-0-0</f>
        <v>4833.7335379999995</v>
      </c>
      <c r="U278" s="3">
        <f>4685.3+(966.4-829.7)+(4.779006+(0.985728-0.846294))+0-0-0</f>
        <v>4826.9184400000004</v>
      </c>
      <c r="V278" s="3">
        <f>4770.9+(788-503.2)+(-7.299477+(-1.20564--0.769896))+0-0-0</f>
        <v>5047.9647789999999</v>
      </c>
      <c r="W278" s="3">
        <f>5108.5+(798.3-483.6)+(-7.816005+(-1.221399--0.739908))+0-0-0</f>
        <v>5414.9025039999997</v>
      </c>
      <c r="X278" s="3">
        <f>5109.9+(841.5-576.1)+(-5.212098+(-0.85833--0.587622))+0-0-0</f>
        <v>5369.8171939999993</v>
      </c>
      <c r="Y278" s="3">
        <f>5076.2+(738.1-577.7)+(-2.588862+(-0.376431--0.294627))+0-0-0</f>
        <v>5233.9293339999995</v>
      </c>
      <c r="Z278" s="3">
        <f>4973.9+(693.5-605)+(-2.536689+(-0.353685--0.30855))+0-0-0</f>
        <v>5059.8181759999998</v>
      </c>
      <c r="AA278" s="3">
        <f>4782.3+(715.4-736.8)+(-14.633838+(-2.189124--2.254608))+0-0-0</f>
        <v>4746.3316460000005</v>
      </c>
      <c r="AB278" s="3">
        <f>4699.6+(676.7-595.1)+(-7.190388+(-1.035351--0.910503))+0-0-0</f>
        <v>4773.8847640000004</v>
      </c>
      <c r="AC278" s="3">
        <f>4471.4+(578-670.2)+(-6.841242+(-0.88434--1.025406))+0-0-0</f>
        <v>4372.4998239999995</v>
      </c>
      <c r="AD278">
        <f t="shared" si="4"/>
        <v>109002.68516900002</v>
      </c>
      <c r="AE278" s="3">
        <f>5114+(881.7-551.9)+(0+(0-0))+0-0-0</f>
        <v>5443.8</v>
      </c>
    </row>
    <row r="279" spans="1:31" s="2" customFormat="1" x14ac:dyDescent="0.25">
      <c r="A279">
        <v>89</v>
      </c>
      <c r="B279">
        <v>10</v>
      </c>
      <c r="C279">
        <v>3</v>
      </c>
      <c r="D279">
        <v>7</v>
      </c>
      <c r="E279">
        <v>1</v>
      </c>
      <c r="F279" s="3">
        <f>4026.4+(541.5-512.9)+(0+(0-0))+0-0-0</f>
        <v>4055</v>
      </c>
      <c r="G279" s="3">
        <f>3846.7+(414.8-636.2)+(-9.809085+(-1.05774--1.62231))+0-0-0</f>
        <v>3616.0554849999999</v>
      </c>
      <c r="H279" s="3">
        <f>3957.8+(214.1-646.3)+(4.036956+(0.218382-0.659226))+0-0-0</f>
        <v>3529.1961120000005</v>
      </c>
      <c r="I279" s="3">
        <f>3944.2+(193-732.5)+(0+(0-0))+0-0-0</f>
        <v>3404.7</v>
      </c>
      <c r="J279" s="3">
        <f>3945.2+(190.2-732.5)+(0+(0-0))+0-0-0</f>
        <v>3402.8999999999996</v>
      </c>
      <c r="K279" s="3">
        <f>3941.7+(208.3-781.7)+(-2.010267+(-0.106233--0.398667))+0-0-0</f>
        <v>3366.5821669999996</v>
      </c>
      <c r="L279" s="3">
        <f>3946.5+(325.9-880)+(-2.012715+(-0.166209--0.4488))+0-0-0</f>
        <v>3390.6698759999999</v>
      </c>
      <c r="M279" s="3">
        <f>3812.6+(427.4-909.4)+(-9.72213+(-1.08987--2.31897))+0-0-0</f>
        <v>3322.1069699999998</v>
      </c>
      <c r="N279" s="3">
        <f>3911.1+(267.2-759.2)+(3.989322+(0.272544-0.774384))+0-0-0</f>
        <v>3422.5874819999999</v>
      </c>
      <c r="O279" s="3">
        <f>4458.5+(292.2-1052)+(2.273835+(0.149022-0.53652))+0-0-0</f>
        <v>3700.5863369999997</v>
      </c>
      <c r="P279" s="3">
        <f>4587.3+(373.5-961.4)+(-14.037138+(-1.14291--2.941884))+0-0-0</f>
        <v>3987.1618360000002</v>
      </c>
      <c r="Q279" s="3">
        <f>4631.5+(403.4-840.7)+(-4.72413+(-0.411468--0.857514))+0-0-0</f>
        <v>4189.9219160000002</v>
      </c>
      <c r="R279" s="3">
        <f>4595.1+(381.9-757.9)+(-4.687002+(-0.389538--0.773058))+0-0-0</f>
        <v>4214.7965180000001</v>
      </c>
      <c r="S279" s="3">
        <f>4458.5+(364.8-731.8)+(-9.09534+(-0.744192--1.492872))+0-0-0</f>
        <v>4083.1533399999998</v>
      </c>
      <c r="T279" s="3">
        <f>4325.7+(381.1-688.3)+(-11.030535+(-0.971805--1.755165))+0-0-0</f>
        <v>4008.252825</v>
      </c>
      <c r="U279" s="3">
        <f>4249.3+(378.8-599.9)+(0+(0-0))+0-0-0</f>
        <v>4028.2000000000003</v>
      </c>
      <c r="V279" s="3">
        <f>4433.5+(324.6-616.8)+(-2.261085+(-0.165546--0.314568))+0-0-0</f>
        <v>4139.1879370000006</v>
      </c>
      <c r="W279" s="3">
        <f>5059.5+(399.1-733.2)+(-2.580345+(-0.203541--0.373932))+0-0-0</f>
        <v>4722.9900459999999</v>
      </c>
      <c r="X279" s="3">
        <f>5133.8+(484.4-688.2)+(-13.09119+(-1.23522--1.75491))+0-0-0</f>
        <v>4917.4285</v>
      </c>
      <c r="Y279" s="3">
        <f>4859.4+(565.8-571.6)+(2.478294+(0.288558-0.291516))+0-0-0</f>
        <v>4856.0753359999999</v>
      </c>
      <c r="Z279" s="3">
        <f>4816.5+(613.1-633.9)+(2.456415+(0.312681-0.323289))+0-0-0</f>
        <v>4798.1458069999999</v>
      </c>
      <c r="AA279" s="3">
        <f>4776.5+(652.8-796.4)+(0+(0-0))+0-0-0</f>
        <v>4632.8999999999996</v>
      </c>
      <c r="AB279" s="3">
        <f>4763.6+(515.3-863.2)+(-7.288308+(-0.788409--1.320696))+0-0-0</f>
        <v>4408.9439790000006</v>
      </c>
      <c r="AC279" s="3">
        <f>4633.8+(388.5-909.2)+(-4.726476+(-0.39627--0.927384))+0-0-0</f>
        <v>4108.904638</v>
      </c>
      <c r="AD279">
        <f t="shared" si="4"/>
        <v>96306.447106999985</v>
      </c>
      <c r="AE279" s="3">
        <f>5195+(460.8-792.1)+(0+(0-0))+0-0-0</f>
        <v>4863.7</v>
      </c>
    </row>
    <row r="280" spans="1:31" s="2" customFormat="1" x14ac:dyDescent="0.25">
      <c r="A280">
        <v>89</v>
      </c>
      <c r="B280">
        <v>10</v>
      </c>
      <c r="C280">
        <v>4</v>
      </c>
      <c r="D280">
        <v>1</v>
      </c>
      <c r="E280">
        <v>1</v>
      </c>
      <c r="F280" s="3">
        <f>4425.4+(237.9-936.2)+(-9.027816+(-0.485316--1.909848))+0-0-0</f>
        <v>3719.4967159999997</v>
      </c>
      <c r="G280" s="3">
        <f>4269+(202.3-998.6)+(0+(0-0))+0-0-0</f>
        <v>3472.7</v>
      </c>
      <c r="H280" s="3">
        <f>4257.9+(179.1-1116.3)+(-6.514587+(-0.274023--1.707939))+0-0-0</f>
        <v>3315.6193289999997</v>
      </c>
      <c r="I280" s="3">
        <f>4218.2+(182.2-1113.3)+(6.453846+(0.278766-1.703349))+0-0-0</f>
        <v>3292.1292629999998</v>
      </c>
      <c r="J280" s="3">
        <f>4282.8+(175.5-1168.3)+(-2.184228+(-0.089505--0.595833))+0-0-0</f>
        <v>3288.3220999999999</v>
      </c>
      <c r="K280" s="3">
        <f>4431.4+(161.2-1263.7)+(9.040056+(0.328848-2.577948))+0-0-0</f>
        <v>3335.6909559999995</v>
      </c>
      <c r="L280" s="3">
        <f>4660.6+(245.9-1271.6)+(2.376906+(0.125409-0.648516))+0-0-0</f>
        <v>3636.7537990000005</v>
      </c>
      <c r="M280" s="3">
        <f>4895.6+(454.9-1142.8)+(-7.490268+(-0.695997--1.748484))+0-0-0</f>
        <v>4201.2622190000011</v>
      </c>
      <c r="N280" s="3">
        <f>5064.9+(644-983.5)+(-7.749297+(-0.98532--1.504755))+0-0-0</f>
        <v>4718.1701379999995</v>
      </c>
      <c r="O280" s="3">
        <f>5209.4+(848.6-957.3)+(2.656794+(0.432786-0.488223))+0-0-0</f>
        <v>5103.3013569999994</v>
      </c>
      <c r="P280" s="3">
        <f>5400.9+(947-1026.8)+(-8.263377+(-1.44891--1.571004))+0-0-0</f>
        <v>5312.9587169999995</v>
      </c>
      <c r="Q280" s="3">
        <f>5528.7+(961-1006.6)+(-11.278548+(-1.96044--2.053464))+0-0-0</f>
        <v>5471.914475999999</v>
      </c>
      <c r="R280" s="3">
        <f>5401.4+(868.6-971.7)+(-16.528284+(-2.657916--2.973402))+0-0-0</f>
        <v>5282.0872019999997</v>
      </c>
      <c r="S280" s="3">
        <f>5294.9+(809.3-910.9)+(-8.101197+(-1.238229--1.393677))+0-0-0</f>
        <v>5185.3542509999988</v>
      </c>
      <c r="T280" s="3">
        <f>5235.5+(812.3-829.4)+(-10.68042+(-1.657092--1.691976))+0-0-0</f>
        <v>5207.7544639999996</v>
      </c>
      <c r="U280" s="3">
        <f>5293.8+(674.5-701.5)+(0+(0-0))+0-0-0</f>
        <v>5266.8</v>
      </c>
      <c r="V280" s="3">
        <f>5292.1+(715.7-684.4)+(-16.193826+(-2.190042--2.094264))+0-0-0</f>
        <v>5307.1103960000009</v>
      </c>
      <c r="W280" s="3">
        <f>5585.4+(671.8-497.8)+(-5.697108+(-0.685236--0.507756))+0-0-0</f>
        <v>5753.525412</v>
      </c>
      <c r="X280" s="3">
        <f>5609.9+(656.1-559.5)+(-11.444196+(-1.338444--1.14138))+0-0-0</f>
        <v>5694.8587399999997</v>
      </c>
      <c r="Y280" s="3">
        <f>5276.9+(751.7-436.6)+(-2.691219+(-0.383367--0.222666))+0-0-0</f>
        <v>5589.1480799999999</v>
      </c>
      <c r="Z280" s="3">
        <f>4967.3+(784.5-412.6)+(-7.599969+(-1.200285--0.631278))+0-0-0</f>
        <v>5331.0310239999999</v>
      </c>
      <c r="AA280" s="3">
        <f>4914.1+(675.4-494.6)+(-10.024764+(-1.377816--1.008984))+0-0-0</f>
        <v>5084.5064040000007</v>
      </c>
      <c r="AB280" s="3">
        <f>4852.5+(521.2-558.4)+(-7.424325+(-0.797436--0.854352))+0-0-0</f>
        <v>4807.9325909999998</v>
      </c>
      <c r="AC280" s="3">
        <f>4805.4+(350.2-719.9)+(-4.901508+(-0.357204--0.734298))+0-0-0</f>
        <v>4431.1755859999994</v>
      </c>
      <c r="AD280">
        <f t="shared" si="4"/>
        <v>111809.60321999999</v>
      </c>
      <c r="AE280" s="3">
        <f>5670+(688.7-558.9)+(0+(0-0))+0-0-0</f>
        <v>5799.8</v>
      </c>
    </row>
    <row r="281" spans="1:31" s="2" customFormat="1" x14ac:dyDescent="0.25">
      <c r="A281">
        <v>89</v>
      </c>
      <c r="B281">
        <v>10</v>
      </c>
      <c r="C281">
        <v>5</v>
      </c>
      <c r="D281">
        <v>2</v>
      </c>
      <c r="E281">
        <v>1</v>
      </c>
      <c r="F281" s="3">
        <f>4667.5+(212.4-777.2)+(-2.380425+(-0.108324--0.396372))+0-0-0</f>
        <v>4100.6076229999999</v>
      </c>
      <c r="G281" s="3">
        <f>4422.3+(237.5-874.6)+(-2.255373+(-0.121125--0.446046))+0-0-0</f>
        <v>3783.2695480000002</v>
      </c>
      <c r="H281" s="3">
        <f>4261.1+(226.8-825)+(-6.519483+(-0.347004--1.26225))+0-0-0</f>
        <v>3657.2957630000005</v>
      </c>
      <c r="I281" s="3">
        <f>4260.4+(212.3-856.7)+(-4.345608+(-0.216546--0.873834))+0-0-0</f>
        <v>3612.3116799999993</v>
      </c>
      <c r="J281" s="3">
        <f>4290.5+(163.2-864.3)+(6.564465+(0.249696-1.322379))+0-0-0</f>
        <v>3594.8917820000001</v>
      </c>
      <c r="K281" s="3">
        <f>4434.5+(126.6-921.7)+(4.52319+(0.129132-0.940134))+0-0-0</f>
        <v>3643.1121880000001</v>
      </c>
      <c r="L281" s="3">
        <f>4520.9+(240.5-928.8)+(-2.305659+(-0.122655--0.473688))+0-0-0</f>
        <v>3830.6453739999993</v>
      </c>
      <c r="M281" s="3">
        <f>4721.7+(518.5-969.9)+(-4.816134+(-0.52887--0.989298))+0-0-0</f>
        <v>4265.9442939999999</v>
      </c>
      <c r="N281" s="3">
        <f>5084+(607.4-936.2)+(-12.9642+(-1.54887--2.38731))+0-0-0</f>
        <v>4743.0742399999999</v>
      </c>
      <c r="O281" s="3">
        <f>5144+(843.6-823.2)+(-7.87032+(-1.290708--1.259496))+0-0-0</f>
        <v>5156.4984679999998</v>
      </c>
      <c r="P281" s="3">
        <f>5173.5+(890.5-701.7)+(2.638485+(0.454155-0.357867))+0-0-0</f>
        <v>5365.0347730000003</v>
      </c>
      <c r="Q281" s="3">
        <f>5164.2+(899.9-658.5)+(-7.901226+(-1.376847--1.007505))+0-0-0</f>
        <v>5397.3294319999995</v>
      </c>
      <c r="R281" s="3">
        <f>5139.1+(912-724)+(-7.862823+(-1.39536--1.10772))+0-0-0</f>
        <v>5318.9495370000004</v>
      </c>
      <c r="S281" s="3">
        <f>5126.5+(908.3-826.7)+(7.843545+(1.389699-1.264851))+0-0-0</f>
        <v>5216.0683930000005</v>
      </c>
      <c r="T281" s="3">
        <f>5073.2+(918.9-713.4)+(-10.349328+(-1.874556--1.455336))+0-0-0</f>
        <v>5267.9314519999998</v>
      </c>
      <c r="U281" s="3">
        <f>5107.9+(938.2-804.3)+(0+(0-0))+0-0-0</f>
        <v>5241.7999999999993</v>
      </c>
      <c r="V281" s="3">
        <f>5154+(810.8-513.2)+(-5.25708+(-0.827016--0.523464))+0-0-0</f>
        <v>5446.0393680000006</v>
      </c>
      <c r="W281" s="3">
        <f>5303.3+(906.5-399.6)+(-5.409366+(-0.92463--0.407592))+0-0-0</f>
        <v>5804.273596</v>
      </c>
      <c r="X281" s="3">
        <f>5381+(915.2-571.9)+(-16.46586+(-2.800512--1.750014))+0-0-0</f>
        <v>5706.7836420000003</v>
      </c>
      <c r="Y281" s="3">
        <f>5353.4+(830.5-656.6)+(2.730234+(0.423555-0.334866))+0-0-0</f>
        <v>5530.1189229999991</v>
      </c>
      <c r="Z281" s="3">
        <f>5259.5+(858.1-734.1)+(-8.047035+(-1.312893--1.123173))+0-0-0</f>
        <v>5375.2632450000001</v>
      </c>
      <c r="AA281" s="3">
        <f>5092.9+(838.6-638.2)+(-10.389516+(-1.710744--1.301928))+0-0-0</f>
        <v>5282.501667999999</v>
      </c>
      <c r="AB281" s="3">
        <f>4947.5+(754.5-709.1)+(-2.523225+(-0.384795--0.361641))+0-0-0</f>
        <v>4990.3536209999993</v>
      </c>
      <c r="AC281" s="3">
        <f>4585+(595.9-647.6)+(-21.04515+(-2.735181--2.972484))+0-0-0</f>
        <v>4512.4921530000001</v>
      </c>
      <c r="AD281">
        <f t="shared" si="4"/>
        <v>114842.59076299999</v>
      </c>
      <c r="AE281" s="3">
        <f>5374+(985.1-514.4)+(0+(0-0))+0-0-0</f>
        <v>5844.7</v>
      </c>
    </row>
    <row r="282" spans="1:31" s="2" customFormat="1" x14ac:dyDescent="0.25">
      <c r="A282">
        <v>89</v>
      </c>
      <c r="B282">
        <v>10</v>
      </c>
      <c r="C282">
        <v>6</v>
      </c>
      <c r="D282">
        <v>3</v>
      </c>
      <c r="E282">
        <v>1</v>
      </c>
      <c r="F282" s="3">
        <f>4418.5+(405-863)+(-9.01374+(-0.8262--1.76052))+6.8-0-0</f>
        <v>3959.2205800000002</v>
      </c>
      <c r="G282" s="3">
        <f>4047.1+(376.3-755.4)+(-2.064021+(-0.191913--0.385254))+12-0-0</f>
        <v>3678.12932</v>
      </c>
      <c r="H282" s="3">
        <f>3916+(332-637.1)+(-3.99432+(-0.33864--0.649842))+0-0-0</f>
        <v>3607.2168820000002</v>
      </c>
      <c r="I282" s="3">
        <f>3887.2+(405.7-775.3)+(1.982472+(0.206907-0.395403))+0-0-0</f>
        <v>3519.3939759999998</v>
      </c>
      <c r="J282" s="3">
        <f>3973.2+(447.9-876.2)+(-6.078996+(-0.685287--1.340586))+0-0-0</f>
        <v>3539.4763029999995</v>
      </c>
      <c r="K282" s="3">
        <f>4163.5+(434.3-1026.4)+(6.370155+(0.664479-1.570392))+0-0-0</f>
        <v>3576.8642419999996</v>
      </c>
      <c r="L282" s="3">
        <f>4364.5+(614.1-1141.5)+(-2.225895+(-0.313191--0.582165))+0-0-0</f>
        <v>3835.1430789999999</v>
      </c>
      <c r="M282" s="3">
        <f>4471.5+(821.3-989.7)+(4.56093+(0.837726-1.009494))+0-0-0</f>
        <v>4307.4891620000008</v>
      </c>
      <c r="N282" s="3">
        <f>4803.9+(820-854.1)+(0+(0-0))+0-0-0</f>
        <v>4769.7999999999993</v>
      </c>
      <c r="O282" s="3">
        <f>5041.9+(814-732.7)+(-7.714107+(-1.24542--1.121031))+0-0-0</f>
        <v>5115.3615039999995</v>
      </c>
      <c r="P282" s="3">
        <f>5073.4+(848.9-500)+(-7.762302+(-1.298817--0.765))+0-0-0</f>
        <v>5414.0038809999996</v>
      </c>
      <c r="Q282" s="3">
        <f>4969.7+(853.6-390.4)+(-2.534547+(-0.435336--0.199104))+0-0-0</f>
        <v>5430.1292209999992</v>
      </c>
      <c r="R282" s="3">
        <f>4952.5+(857-448.5)+(-7.577325+(-1.31121--0.686205))+0-0-0</f>
        <v>5352.7976699999999</v>
      </c>
      <c r="S282" s="3">
        <f>4868+(872.4-529.6)+(-7.44804+(-1.334772--0.810288))+0-0-0</f>
        <v>5202.8274760000004</v>
      </c>
      <c r="T282" s="3">
        <f>4866.5+(871.1-474)+(-2.481915+(-0.444261--0.24174))+0-0-0</f>
        <v>5260.9155640000008</v>
      </c>
      <c r="U282" s="3">
        <f>4773.6+(813.4-360.5)+(7.303608+(1.244502-0.551565))+0-0-0</f>
        <v>5234.496545</v>
      </c>
      <c r="V282" s="3">
        <f>4857.1+(767.4-284)+(-9.908484+(-1.565496--0.57936))+0-0-0</f>
        <v>5329.60538</v>
      </c>
      <c r="W282" s="3">
        <f>5122.3+(932.8-280.9)+(-7.837119+(-1.427184--0.429777))+0-0-0</f>
        <v>5765.3654740000002</v>
      </c>
      <c r="X282" s="3">
        <f>5080.3+(1011.5-308.7)+(-2.590953+(-0.515865--0.157437))+0-0-0</f>
        <v>5780.150619</v>
      </c>
      <c r="Y282" s="3">
        <f>4958+(907.6-322.7)+(-2.52858+(-0.462876--0.164577))+0-0-0</f>
        <v>5540.0731209999994</v>
      </c>
      <c r="Z282" s="3">
        <f>4900.1+(828.7-316)+(-4.998102+(-0.845274--0.32232))+0-0-0</f>
        <v>5407.2789440000006</v>
      </c>
      <c r="AA282" s="3">
        <f>4839.1+(793.5-555.3)+(-2.467941+(-0.404685--0.283203))+0-0-0</f>
        <v>5074.7105769999998</v>
      </c>
      <c r="AB282" s="3">
        <f>4782+(841.1-785.8)+(-4.87764+(-0.857922--0.801516))+0-0-0</f>
        <v>4832.3659539999999</v>
      </c>
      <c r="AC282" s="3">
        <f>4342.8+(890.1-711)+(-4.429656+(-0.907902--0.72522))+0-0-0</f>
        <v>4517.2876620000006</v>
      </c>
      <c r="AD282">
        <f t="shared" si="4"/>
        <v>114050.10313599999</v>
      </c>
      <c r="AE282" s="3">
        <f>5176+(1006.3-294.9)+(0+(0-0))+0-0-0</f>
        <v>5887.4</v>
      </c>
    </row>
    <row r="283" spans="1:31" s="2" customFormat="1" x14ac:dyDescent="0.25">
      <c r="A283">
        <v>89</v>
      </c>
      <c r="B283">
        <v>10</v>
      </c>
      <c r="C283">
        <v>7</v>
      </c>
      <c r="D283">
        <v>4</v>
      </c>
      <c r="E283">
        <v>1</v>
      </c>
      <c r="F283" s="3">
        <f>3782.3+(839.5-604.4)+(-9.644865+(-2.140725--1.54122))+0-0-0</f>
        <v>4007.1556300000002</v>
      </c>
      <c r="G283" s="3">
        <f>3508.4+(686.4-463.3)+(0+(0-0))+0-0-0</f>
        <v>3731.5</v>
      </c>
      <c r="H283" s="3">
        <f>3505.6+(567.7-410.1)+(-3.575712+(-0.579054--0.418302))+0-0-0</f>
        <v>3659.4635359999997</v>
      </c>
      <c r="I283" s="3">
        <f>3398.7+(444-304.3)+(0+(0-0))+0-0-0</f>
        <v>3538.3999999999996</v>
      </c>
      <c r="J283" s="3">
        <f>3420.2+(461-324.7)+(1.744302+(0.23511-0.165597))+0-0-0</f>
        <v>3558.313815</v>
      </c>
      <c r="K283" s="3">
        <f>3521.2+(512.4-433.7)+(0+(0-0))+0-0-0</f>
        <v>3599.8999999999996</v>
      </c>
      <c r="L283" s="3">
        <f>3879.1+(746.6-749)+(-3.956682+(-0.761532--0.76398))+0-0-0</f>
        <v>3872.745766</v>
      </c>
      <c r="M283" s="3">
        <f>4237.3+(876.8-685.7)+(-2.161023+(-0.447168--0.349707))+0-0-0</f>
        <v>4426.1415159999997</v>
      </c>
      <c r="N283" s="3">
        <f>4331.5+(832.4-314.6)+(15.463455+(2.971668-1.123122))+0-0-0</f>
        <v>4866.6120010000004</v>
      </c>
      <c r="O283" s="3">
        <f>4348.9+(1010-274.5)+(0+(0-0))+0-0-0</f>
        <v>5084.3999999999996</v>
      </c>
      <c r="P283" s="3">
        <f>4457.1+(1104.8-267.7)+(-4.546242+(-1.126896--0.273054))+0-0-0</f>
        <v>5288.7999160000008</v>
      </c>
      <c r="Q283" s="3">
        <f>4385.9+(1269.1-272)+(-4.473618+(-1.294482--0.27744))+0-0-0</f>
        <v>5377.5093399999996</v>
      </c>
      <c r="R283" s="3">
        <f>4358.9+(1181.5-282.1)+(-6.669117+(-1.807695--0.431613))+0-0-0</f>
        <v>5250.2548009999991</v>
      </c>
      <c r="S283" s="3">
        <f>4418.9+(1057.2-246.9)+(-9.014556+(-2.156688--0.503676))+0-0-0</f>
        <v>5218.532432</v>
      </c>
      <c r="T283" s="3">
        <f>4401.9+(1117.9-234.1)+(6.734907+(1.710387-0.358173))+0-0-0</f>
        <v>5293.7871209999994</v>
      </c>
      <c r="U283" s="3">
        <f>4534+(933.4-256)+(-9.24936+(-1.904136--0.52224))+0-0-0</f>
        <v>5200.768744</v>
      </c>
      <c r="V283" s="3">
        <f>4732.9+(884.4-251.3)+(-4.827558+(-0.902088--0.256326))+0-0-0</f>
        <v>5360.5266799999999</v>
      </c>
      <c r="W283" s="3">
        <f>4916.2+(1185.9-254.4)+(-2.507262+(-0.604809--0.129744))+0-0-0</f>
        <v>5844.7176730000001</v>
      </c>
      <c r="X283" s="3">
        <f>4848.1+(1130.8-251.2)+(-7.417593+(-1.730124--0.384336))+0-0-0</f>
        <v>5718.936619000001</v>
      </c>
      <c r="Y283" s="3">
        <f>4884.3+(1003-253.5)+(-12.454965+(-2.55765--0.646425))+0-0-0</f>
        <v>5619.4338100000004</v>
      </c>
      <c r="Z283" s="3">
        <f>4616.7+(984.9-239.1)+(0+(0-0))+0-0-0</f>
        <v>5362.5</v>
      </c>
      <c r="AA283" s="3">
        <f>4563.4+(816.6-312.6)+(-6.982002+(-1.249398--0.478278))+0-0-0</f>
        <v>5059.6468779999996</v>
      </c>
      <c r="AB283" s="3">
        <f>4497.5+(637.5-316.2)+(-6.881175+(-0.975375--0.483786))+0-0-0</f>
        <v>4811.4272360000004</v>
      </c>
      <c r="AC283" s="3">
        <f>4316.5+(498.8-323.8)+(-13.20849+(-1.526328--0.990828))+0-0-0</f>
        <v>4477.7560100000001</v>
      </c>
      <c r="AD283">
        <f t="shared" si="4"/>
        <v>114229.22952399999</v>
      </c>
      <c r="AE283" s="3">
        <f>4868+(1292.3-259.3)+(0+(0-0))+0-0-0</f>
        <v>5901</v>
      </c>
    </row>
    <row r="284" spans="1:31" s="2" customFormat="1" x14ac:dyDescent="0.25">
      <c r="A284">
        <v>89</v>
      </c>
      <c r="B284">
        <v>10</v>
      </c>
      <c r="C284">
        <v>8</v>
      </c>
      <c r="D284">
        <v>5</v>
      </c>
      <c r="E284">
        <v>1</v>
      </c>
      <c r="F284" s="3">
        <f>3941.2+(486-318.8)+(0+(0-0))+0-0-0</f>
        <v>4108.3999999999996</v>
      </c>
      <c r="G284" s="3">
        <f>3680.2+(464.2-417.6)+(-3.753804+(-0.473484--0.425952))+0-0-0</f>
        <v>3722.9986639999997</v>
      </c>
      <c r="H284" s="3">
        <f>3616+(430.2-438.9)+(-3.68832+(-0.438804--0.447678))+0-0-0</f>
        <v>3603.6205540000001</v>
      </c>
      <c r="I284" s="3">
        <f>3539.1+(437.2-468.4)+(-3.609882+(-0.445944--0.477768))+0-0-0</f>
        <v>3504.321942</v>
      </c>
      <c r="J284" s="3">
        <f>3529.6+(423.2-448.4)+(-1.800096+(-0.215832--0.228684))+0-0-0</f>
        <v>3502.612756</v>
      </c>
      <c r="K284" s="3">
        <f>3650.6+(323.3-419.2)+(-3.723612+(-0.329766--0.427584))+0-0-0</f>
        <v>3551.0742059999998</v>
      </c>
      <c r="L284" s="3">
        <f>4025.7+(287-478.3)+(-2.053107+(-0.14637--0.243933))+0-0-0</f>
        <v>3832.4444559999997</v>
      </c>
      <c r="M284" s="3">
        <f>4231.4+(490.7-413.2)+(-4.316028+(-0.500514--0.421464))+0-0-0</f>
        <v>4304.5049220000001</v>
      </c>
      <c r="N284" s="3">
        <f>4665.3+(561.9-434.2)+(0+(0-0))+0-0-0</f>
        <v>4793</v>
      </c>
      <c r="O284" s="3">
        <f>4731.3+(756.2-295.2)+(4.825926+(0.771324-0.301104))+0-0-0</f>
        <v>5197.5961459999999</v>
      </c>
      <c r="P284" s="3">
        <f>4833.1+(768.9-276.8)+(-2.464881+(-0.392139--0.141168))+0-0-0</f>
        <v>5322.4841480000005</v>
      </c>
      <c r="Q284" s="3">
        <f>4846+(908.9-270.9)+(0+(0-0))+0-0-0</f>
        <v>5484</v>
      </c>
      <c r="R284" s="3">
        <f>4826.9+(827.5-273.3)+(-7.385157+(-1.266075--0.418149))+0-0-0</f>
        <v>5372.8669169999994</v>
      </c>
      <c r="S284" s="3">
        <f>4834.5+(667.9-278.8)+(0+(0-0))+0-0-0</f>
        <v>5223.6000000000004</v>
      </c>
      <c r="T284" s="3">
        <f>4830.3+(684.9-321.3)+(0+(0-0))+0-0-0</f>
        <v>5193.9000000000005</v>
      </c>
      <c r="U284" s="3">
        <f>4739.8+(735.4-334.3)+(0+(0-0))+0-0-0</f>
        <v>5140.9000000000005</v>
      </c>
      <c r="V284" s="3">
        <f>4774.1+(812.8-336.2)+(-9.739164+(-1.658112--0.685848))+0-0-0</f>
        <v>5239.9885720000011</v>
      </c>
      <c r="W284" s="3">
        <f>5006.1+(1091.5-358.7)+(0+(0-0))+0-0-0</f>
        <v>5738.9000000000005</v>
      </c>
      <c r="X284" s="3">
        <f>5038.9+(1066.1-365.6)+(-12.849195+(-2.718555--0.93228))+0-0-0</f>
        <v>5724.7645299999995</v>
      </c>
      <c r="Y284" s="3">
        <f>4962.5+(905.8-316.3)+(-20.247+(-3.695664--1.290504))+0-0-0</f>
        <v>5529.3478400000004</v>
      </c>
      <c r="Z284" s="3">
        <f>4767.1+(951.9-336.1)+(0+(0-0))+0-0-0</f>
        <v>5382.9000000000005</v>
      </c>
      <c r="AA284" s="3">
        <f>4611.7+(952.2-390.9)+(-4.703934+(-0.971244--0.398718))+0-0-0</f>
        <v>5167.72354</v>
      </c>
      <c r="AB284" s="3">
        <f>4629.9+(683.2-396.7)+(-4.722498+(-0.696864--0.404634))+0-0-0</f>
        <v>4911.3852719999995</v>
      </c>
      <c r="AC284" s="3">
        <f>4507.6+(612.2-603.4)+(-11.49438+(-1.56111--1.53867))+0-0-0</f>
        <v>4504.8831800000007</v>
      </c>
      <c r="AD284">
        <f t="shared" si="4"/>
        <v>114058.217645</v>
      </c>
      <c r="AE284" s="3">
        <f>5073+(1131.3-300.4)+(0+(0-0))+0-0-0</f>
        <v>5903.9</v>
      </c>
    </row>
    <row r="285" spans="1:31" s="2" customFormat="1" x14ac:dyDescent="0.25">
      <c r="A285">
        <v>89</v>
      </c>
      <c r="B285">
        <v>10</v>
      </c>
      <c r="C285">
        <v>9</v>
      </c>
      <c r="D285">
        <v>6</v>
      </c>
      <c r="E285">
        <v>1</v>
      </c>
      <c r="F285" s="3">
        <f>4306.3+(392.7-638.8)+(-6.588639+(-0.600831--0.977364))+0-0-0</f>
        <v>4053.9878940000003</v>
      </c>
      <c r="G285" s="3">
        <f>3913+(331-478.2)+(1.99563+(0.16881-0.243882))+0-0-0</f>
        <v>3767.720558</v>
      </c>
      <c r="H285" s="3">
        <f>3813.3+(385.8-552.3)+(-7.779132+(-0.787032--1.126692))+0-0-0</f>
        <v>3639.3605280000002</v>
      </c>
      <c r="I285" s="3">
        <f>3844.9+(256-495.5)+(-3.921798+(-0.26112--0.50541))+0-0-0</f>
        <v>3601.7224919999999</v>
      </c>
      <c r="J285" s="3">
        <f>3849.4+(235.1-503.9)+(-5.889582+(-0.359703--0.770967))+0-0-0</f>
        <v>3575.1216820000004</v>
      </c>
      <c r="K285" s="3">
        <f>3867.3+(220.2-487.5)+(0+(0-0))+0-0-0</f>
        <v>3600</v>
      </c>
      <c r="L285" s="3">
        <f>3963+(278.8-462.6)+(-6.06339+(-0.426564--0.707778))+0-0-0</f>
        <v>3773.4178239999997</v>
      </c>
      <c r="M285" s="3">
        <f>4237.9+(321.7-505.5)+(4.322658+(0.328134-0.51561))+0-0-0</f>
        <v>4058.2351819999994</v>
      </c>
      <c r="N285" s="3">
        <f>4447.3+(466.1-453.1)+(2.268123+(0.237711-0.231081))+0-0-0</f>
        <v>4462.5747529999999</v>
      </c>
      <c r="O285" s="3">
        <f>4565.9+(721.1-454)+(-11.643045+(-1.838805--1.1577))+0-0-0</f>
        <v>4820.6758499999996</v>
      </c>
      <c r="P285" s="3">
        <f>4586.6+(782.6-304.5)+(0+(0-0))+0-0-0</f>
        <v>5064.7000000000007</v>
      </c>
      <c r="Q285" s="3">
        <f>4585.6+(870.9-332.5)+(-4.677312+(-0.888318--0.33915))+0-0-0</f>
        <v>5118.7735199999997</v>
      </c>
      <c r="R285" s="3">
        <f>4499.5+(951.9-339.4)+(-9.17898+(-1.941876--0.692376))+0-0-0</f>
        <v>5101.5715200000004</v>
      </c>
      <c r="S285" s="3">
        <f>4480.1+(940.1-521.5)+(-6.854553+(-1.438353--0.797895))+0-0-0</f>
        <v>4891.2049890000008</v>
      </c>
      <c r="T285" s="3">
        <f>4395.3+(964-542.7)+(-2.241603+(-0.49164--0.276777))+0-0-0</f>
        <v>4814.1435340000007</v>
      </c>
      <c r="U285" s="3">
        <f>4362.5+(930.5-570.5)+(-2.224875+(-0.474555--0.290955))+0-0-0</f>
        <v>4720.0915249999998</v>
      </c>
      <c r="V285" s="3">
        <f>4481.5+(735.3-408.7)+(-9.14226+(-1.500012--0.833748))+0-0-0</f>
        <v>4798.2914760000003</v>
      </c>
      <c r="W285" s="3">
        <f>4683.6+(929.1-274.2)+(-7.165908+(-1.421523--0.419526))+0-0-0</f>
        <v>5330.3320949999998</v>
      </c>
      <c r="X285" s="3">
        <f>4856.3+(873.3-316.5)+(-14.860278+(-2.672298--0.96849))+0-0-0</f>
        <v>5396.535914</v>
      </c>
      <c r="Y285" s="3">
        <f>4938.1+(669.4-354.2)+(0+(0-0))+0-0-0</f>
        <v>5253.3</v>
      </c>
      <c r="Z285" s="3">
        <f>4789.5+(684.8-351.8)+(-7.327935+(-1.047744--0.538254))+0-0-0</f>
        <v>5114.6625750000003</v>
      </c>
      <c r="AA285" s="3">
        <f>4702.1+(621.1-500.8)+(-2.398071+(-0.316761--0.255408))+0-0-0</f>
        <v>4819.9405760000009</v>
      </c>
      <c r="AB285" s="3">
        <f>4716.3+(667.8-749.3)+(-9.621252+(-1.362312--1.528572))+0-0-0</f>
        <v>4625.3450080000002</v>
      </c>
      <c r="AC285" s="3">
        <f>4510+(773.8-852.4)+(-13.8006+(-2.367828--2.608344))+0-0-0</f>
        <v>4417.8399159999999</v>
      </c>
      <c r="AD285">
        <f t="shared" si="4"/>
        <v>108819.54941100001</v>
      </c>
      <c r="AE285" s="3">
        <f>4738+(895.5-357)+(0+(0-0))+0-0-0</f>
        <v>5276.5</v>
      </c>
    </row>
    <row r="286" spans="1:31" s="2" customFormat="1" x14ac:dyDescent="0.25">
      <c r="A286">
        <v>89</v>
      </c>
      <c r="B286">
        <v>10</v>
      </c>
      <c r="C286">
        <v>10</v>
      </c>
      <c r="D286">
        <v>7</v>
      </c>
      <c r="E286">
        <v>1</v>
      </c>
      <c r="F286" s="3">
        <f>4447.4+(434.1-886.3)+(0+(0-0))+0-0-0</f>
        <v>3995.2</v>
      </c>
      <c r="G286" s="3">
        <f>4398.8+(243.9-987.5)+(-4.486776+(-0.248778--1.00725))+0-0-0</f>
        <v>3651.4716960000001</v>
      </c>
      <c r="H286" s="3">
        <f>4288.7+(203.2-997)+(0+(0-0))+0-0-0</f>
        <v>3494.8999999999996</v>
      </c>
      <c r="I286" s="3">
        <f>4185.1+(285.2-977.9)+(-6.403203+(-0.436356--1.496187))+0-0-0</f>
        <v>3487.0566280000007</v>
      </c>
      <c r="J286" s="3">
        <f>3869.5+(313-705)+(-3.94689+(-0.31926--0.7191))+0-0-0</f>
        <v>3473.9529499999999</v>
      </c>
      <c r="K286" s="3">
        <f>3739.1+(343.4-689.8)+(1.906941+(0.175134-0.351798))+0-0-0</f>
        <v>3394.4302769999999</v>
      </c>
      <c r="L286" s="3">
        <f>3729.1+(326.1-687.7)+(0+(0-0))+0-0-0</f>
        <v>3367.5</v>
      </c>
      <c r="M286" s="3">
        <f>3757.9+(368.1-852.5)+(-3.833058+(-0.375462--0.86955))+0-0-0</f>
        <v>3270.1610300000002</v>
      </c>
      <c r="N286" s="3">
        <f>3896.8+(416.6-862)+(-5.962104+(-0.637398--1.31886))+0-0-0</f>
        <v>3446.1193579999999</v>
      </c>
      <c r="O286" s="3">
        <f>4227.9+(409.9-842.4)+(-2.156229+(-0.209049--0.429624))+0-0-0</f>
        <v>3793.4643459999998</v>
      </c>
      <c r="P286" s="3">
        <f>4304.6+(431.7-636.8)+(-10.97673+(-1.100835--1.62384))+0-0-0</f>
        <v>4089.0462750000002</v>
      </c>
      <c r="Q286" s="3">
        <f>4280.1+(463.4-554.1)+(2.182851+(0.236334-0.282591))+0-0-0</f>
        <v>4191.5365940000002</v>
      </c>
      <c r="R286" s="3">
        <f>4324.1+(575.7-628.4)+(-4.410582+(-0.587214--0.640968))+0-0-0</f>
        <v>4267.0431720000006</v>
      </c>
      <c r="S286" s="3">
        <f>4322.9+(519-591.6)+(-13.228074+(-1.58814--1.810296))+0-0-0</f>
        <v>4237.2940819999994</v>
      </c>
      <c r="T286" s="3">
        <f>4280.5+(481.6-610.1)+(4.36611+(0.491232-0.622302))+0-0-0</f>
        <v>4156.2350399999996</v>
      </c>
      <c r="U286" s="3">
        <f>4208.7+(445-550.4)+(-2.146437+(-0.22695--0.280704))+0-0-0</f>
        <v>4101.2073170000003</v>
      </c>
      <c r="V286" s="3">
        <f>4405.2+(422.5-577.9)+(-2.246652+(-0.215475--0.294729))+0-0-0</f>
        <v>4247.6326020000006</v>
      </c>
      <c r="W286" s="3">
        <f>4883.4+(676.1-747)+(2.490534+(0.344811-0.38097))+0-0-0</f>
        <v>4814.9543750000003</v>
      </c>
      <c r="X286" s="3">
        <f>5033+(826.4-881.9)+(-7.70049+(-1.264392--1.349307))+0-0-0</f>
        <v>4969.8844250000002</v>
      </c>
      <c r="Y286" s="3">
        <f>5060.7+(781.1-860.7)+(-2.580957+(-0.398361--0.438957))+0-0-0</f>
        <v>4978.5596389999992</v>
      </c>
      <c r="Z286" s="3">
        <f>5077.6+(566.8-735.7)+(2.589576+(0.289068-0.375207))+0-0-0</f>
        <v>4911.203437000001</v>
      </c>
      <c r="AA286" s="3">
        <f>4980.1+(592.5-752.8)+(-7.619553+(-0.906525--1.151784))+0-0-0</f>
        <v>4812.425706</v>
      </c>
      <c r="AB286" s="3">
        <f>4895.3+(610.9-730.3)+(-12.483015+(-1.557795--1.862265))+0-0-0</f>
        <v>4763.7214550000008</v>
      </c>
      <c r="AC286" s="3">
        <f>4371.6+(515.7-570.9)+(-2.229516+(-0.263007--0.291159))+0-0-0</f>
        <v>4314.198636000001</v>
      </c>
      <c r="AD286">
        <f t="shared" si="4"/>
        <v>98229.199039999992</v>
      </c>
      <c r="AE286" s="3">
        <f>4958+(709.1-776.8)+(0+(0-0))+0-0-0</f>
        <v>4890.3</v>
      </c>
    </row>
    <row r="287" spans="1:31" s="2" customFormat="1" x14ac:dyDescent="0.25">
      <c r="A287">
        <v>89</v>
      </c>
      <c r="B287">
        <v>10</v>
      </c>
      <c r="C287">
        <v>11</v>
      </c>
      <c r="D287">
        <v>1</v>
      </c>
      <c r="E287">
        <v>1</v>
      </c>
      <c r="F287" s="3">
        <f>4345.5+(432-1009.6)+(-11.081025+(-1.1016--2.57448))+0-0-0</f>
        <v>3758.2918549999999</v>
      </c>
      <c r="G287" s="3">
        <f>4191.9+(366.4-1035.5)+(-10.689345+(-0.93432--2.640525))+0-0-0</f>
        <v>3513.8168599999999</v>
      </c>
      <c r="H287" s="3">
        <f>4092.3+(325.1-1021.6)+(-8.348292+(-0.663204--2.084064))+0-0-0</f>
        <v>3388.8725680000002</v>
      </c>
      <c r="I287" s="3">
        <f>3987.6+(315.3-981.6)+(-4.067352+(-0.321606--1.001232))+0-0-0</f>
        <v>3317.9122740000003</v>
      </c>
      <c r="J287" s="3">
        <f>3990.3+(288.5-957.2)+(0+(0-0))+0-0-0</f>
        <v>3321.6000000000004</v>
      </c>
      <c r="K287" s="3">
        <f>4023.4+(276.2-944.1)+(6.155802+(0.422586-1.444473))+0-0-0</f>
        <v>3360.6339149999999</v>
      </c>
      <c r="L287" s="3">
        <f>4303.2+(360.2-1020.7)+(-4.389264+(-0.367404--1.041114))+0-0-0</f>
        <v>3638.9844459999999</v>
      </c>
      <c r="M287" s="3">
        <f>4627.2+(598.2-1013.8)+(2.359872+(0.305082-0.517038))+0-0-0</f>
        <v>4213.7479160000003</v>
      </c>
      <c r="N287" s="3">
        <f>4802.3+(770.3-935.7)+(-4.898346+(-0.785706--0.954414))+0-0-0</f>
        <v>4632.1703619999998</v>
      </c>
      <c r="O287" s="3">
        <f>4880.2+(1035.3-698.1)+(0+(0-0))+0-0-0</f>
        <v>5217.3999999999996</v>
      </c>
      <c r="P287" s="3">
        <f>4907.7+(1266.5-765)+(2.502927+(0.645915-0.39015))+0-0-0</f>
        <v>5411.9586920000002</v>
      </c>
      <c r="Q287" s="3">
        <f>4949.7+(1293.3-649.9)+(-10.097388+(-2.638332--1.325796))+0-0-0</f>
        <v>5581.6900759999999</v>
      </c>
      <c r="R287" s="3">
        <f>4514.9+(1344.7-675.7)+(-6.907797+(-2.057391--1.033821))+0-0-0</f>
        <v>5175.9686329999995</v>
      </c>
      <c r="S287" s="3">
        <f>4642.5+(1190.7-788.9)+(-4.73535+(-1.214514--0.804678))+0-0-0</f>
        <v>5039.1548140000004</v>
      </c>
      <c r="T287" s="3">
        <f>4609.1+(1166.7-804.7)+(-7.051923+(-1.785051--1.231191))+0-0-0</f>
        <v>4963.4942170000004</v>
      </c>
      <c r="U287" s="3">
        <f>4669.4+(1174.5-802.8)+(4.762788+(1.19799-0.818856))+0-0-0</f>
        <v>5046.2419219999992</v>
      </c>
      <c r="V287" s="3">
        <f>4827.3+(968.6-771.4)+(0+(0-0))+0-0-0</f>
        <v>5024.5</v>
      </c>
      <c r="W287" s="3">
        <f>5223.9+(1059.3-640.3)+(-13.320945+(-2.701215--1.632765))+0-0-0</f>
        <v>5628.5106049999995</v>
      </c>
      <c r="X287" s="3">
        <f>5210.3+(1039.5-672.1)+(-13.286265+(-2.650725--1.713855))+0-0-0</f>
        <v>5563.4768649999996</v>
      </c>
      <c r="Y287" s="3">
        <f>4978.4+(1036.4-665.4)+(-5.077968+(-1.057128--0.678708))+0-0-0</f>
        <v>5343.943612</v>
      </c>
      <c r="Z287" s="3">
        <f>5062.9+(1005.9-831.6)+(-5.164158+(-1.026018--0.848232))+0-0-0</f>
        <v>5231.858056</v>
      </c>
      <c r="AA287" s="3">
        <f>4894.5+(986.7-979.5)+(-7.488585+(-1.509651--1.498635))+0-0-0</f>
        <v>4894.2003989999994</v>
      </c>
      <c r="AB287" s="3">
        <f>4769.6+(833.8-831.3)+(-2.432496+(-0.425238--0.423963))+0-0-0</f>
        <v>4769.6662290000004</v>
      </c>
      <c r="AC287" s="3">
        <f>4446.1+(626.1-782.3)+(-11.337555+(-1.596555--1.994865))+0-0-0</f>
        <v>4278.960755000001</v>
      </c>
      <c r="AD287">
        <f t="shared" si="4"/>
        <v>110317.055071</v>
      </c>
      <c r="AE287" s="3">
        <f>5386+(1103.7-698.2)+(0+(0-0))+0-0-0</f>
        <v>5791.5</v>
      </c>
    </row>
    <row r="288" spans="1:31" s="2" customFormat="1" x14ac:dyDescent="0.25">
      <c r="A288">
        <v>89</v>
      </c>
      <c r="B288">
        <v>10</v>
      </c>
      <c r="C288">
        <v>12</v>
      </c>
      <c r="D288">
        <v>2</v>
      </c>
      <c r="E288">
        <v>1</v>
      </c>
      <c r="F288" s="3">
        <f>4347.9+(511.4-749.9)+(-6.652287+(-0.782442--1.147347))+0-0-0</f>
        <v>4103.1126179999992</v>
      </c>
      <c r="G288" s="3">
        <f>4081.5+(459.8-719.5)+(0+(0-0))+0-0-0</f>
        <v>3821.8</v>
      </c>
      <c r="H288" s="3">
        <f>4023.1+(400-735.9)+(-10.258905+(-1.02--1.876545))+0-0-0</f>
        <v>3677.7976399999998</v>
      </c>
      <c r="I288" s="3">
        <f>3814+(355.4-594.5)+(5.83542+(0.543762-0.909585))+0-0-0</f>
        <v>3580.3695969999999</v>
      </c>
      <c r="J288" s="3">
        <f>3783.6+(397.6-661.8)+(-7.718544+(-0.811104--1.350072))+0-0-0</f>
        <v>3512.2204240000001</v>
      </c>
      <c r="K288" s="3">
        <f>3835.3+(408.6-679.3)+(-1.956003+(-0.208386--0.346443))+0-0-0</f>
        <v>3562.7820540000002</v>
      </c>
      <c r="L288" s="3">
        <f>4251.4+(525-927.6)+(-4.336428+(-0.5355--0.946152))+0-0-0</f>
        <v>3844.8742239999997</v>
      </c>
      <c r="M288" s="3">
        <f>4454.7+(743.3-864.2)+(-2.271897+(-0.379083--0.440742))+0-0-0</f>
        <v>4331.5897619999996</v>
      </c>
      <c r="N288" s="3">
        <f>4504.8+(969-705.9)+(-2.297448+(-0.49419--0.360009))+0-0-0</f>
        <v>4765.4683710000008</v>
      </c>
      <c r="O288" s="3">
        <f>4627.1+(1102.5-552.9)+(-7.079463+(-1.686825--0.845937))+0-0-0</f>
        <v>5168.779649000001</v>
      </c>
      <c r="P288" s="3">
        <f>4631+(1132.4-439.1)+(7.08543+(1.732572-0.671823))+0-0-0</f>
        <v>5332.4461790000005</v>
      </c>
      <c r="Q288" s="3">
        <f>4634.3+(1173.6-377)+(-11.817465+(-2.99268--0.96135))+0-0-0</f>
        <v>5417.0512049999998</v>
      </c>
      <c r="R288" s="3">
        <f>4572+(1240.5-494.9)+(-11.6586+(-3.163275--1.261995))+0-0-0</f>
        <v>5304.0401200000006</v>
      </c>
      <c r="S288" s="3">
        <f>4521+(1242.7-564.6)+(0+(0-0))+0-0-0</f>
        <v>5199.1000000000004</v>
      </c>
      <c r="T288" s="3">
        <f>4525.2+(1289.2-533.4)+(-2.307852+(-0.657492--0.272034))+0-0-0</f>
        <v>5278.3066900000003</v>
      </c>
      <c r="U288" s="3">
        <f>4477.5+(1196.1-464.5)+(-11.417625+(-3.050055--1.184475))+0-0-0</f>
        <v>5195.8167950000006</v>
      </c>
      <c r="V288" s="3">
        <f>4546.6+(1199.6-490.2)+(-11.59383+(-3.05898--1.25001))+0-0-0</f>
        <v>5242.5972000000002</v>
      </c>
      <c r="W288" s="3">
        <f>5033.8+(1078.1-484.2)+(-12.83619+(-2.749155--1.23471))+0-0-0</f>
        <v>5613.349365</v>
      </c>
      <c r="X288" s="3">
        <f>5164.6+(963.2-379.9)+(-15.803676+(-2.947392--1.162494))+0-0-0</f>
        <v>5730.3114260000002</v>
      </c>
      <c r="Y288" s="3">
        <f>4959.4+(954.1-345.1)+(-12.64647+(-2.432955--0.880005))+0-0-0</f>
        <v>5554.2005799999997</v>
      </c>
      <c r="Z288" s="3">
        <f>4812.1+(937.9-329.7)+(-7.362513+(-1.434987--0.504441))+0-0-0</f>
        <v>5412.0069410000006</v>
      </c>
      <c r="AA288" s="3">
        <f>4697.5+(946.8-473.4)+(0+(0-0))+0-0-0</f>
        <v>5170.8999999999996</v>
      </c>
      <c r="AB288" s="3">
        <f>4572.7+(798.1-512.3)+(-6.996231+(-1.221093--0.783819))+0-0-0</f>
        <v>4851.066495</v>
      </c>
      <c r="AC288" s="3">
        <f>4424.8+(838.4-781.6)+(-9.026592+(-1.710336--1.594464))+0-0-0</f>
        <v>4472.4575360000008</v>
      </c>
      <c r="AD288">
        <f t="shared" si="4"/>
        <v>114142.44487100001</v>
      </c>
      <c r="AE288" s="3">
        <f>5300+(988.5-507.5)+(0+(0-0))+0-0-0</f>
        <v>5781</v>
      </c>
    </row>
    <row r="289" spans="1:31" s="2" customFormat="1" x14ac:dyDescent="0.25">
      <c r="A289">
        <v>89</v>
      </c>
      <c r="B289">
        <v>10</v>
      </c>
      <c r="C289">
        <v>13</v>
      </c>
      <c r="D289">
        <v>3</v>
      </c>
      <c r="E289">
        <v>1</v>
      </c>
      <c r="F289" s="3">
        <f>4143.5+(616.8-736.4)+(-8.45274+(-1.258272--1.502256))+0-0-0</f>
        <v>4015.6912440000001</v>
      </c>
      <c r="G289" s="3">
        <f>4103.8+(446.7-802)+(-4.185876+(-0.455634--0.81804))+0-0-0</f>
        <v>3744.6765300000002</v>
      </c>
      <c r="H289" s="3">
        <f>3856.9+(449.8-683.5)+(-3.934038+(-0.458796--0.69717))+0-0-0</f>
        <v>3619.5043360000004</v>
      </c>
      <c r="I289" s="3">
        <f>3528.4+(509.5-484.5)+(-5.398452+(-0.779535--0.741285))+0-0-0</f>
        <v>3547.9632980000001</v>
      </c>
      <c r="J289" s="3">
        <f>3480.7+(586-518.1)+(5.325471+(0.89658-0.792693))+0-0-0</f>
        <v>3554.0293579999998</v>
      </c>
      <c r="K289" s="3">
        <f>3636+(655.2-667.5)+(0+(0-0))+0-0-0</f>
        <v>3623.7</v>
      </c>
      <c r="L289" s="3">
        <f>3637+(655.2-667.5)+(0+(0-0))+0-0-0</f>
        <v>3624.7</v>
      </c>
      <c r="M289" s="3">
        <f>4056.9+(799.3-891.5)+(-4.138038+(-0.815286--0.90933))+0-0-0</f>
        <v>3960.6560059999997</v>
      </c>
      <c r="N289" s="3">
        <f>4330.3+(1006-884.8)+(-2.208453+(-0.51306--0.451248))+0-0-0</f>
        <v>4449.2297349999999</v>
      </c>
      <c r="O289" s="3">
        <f>4501.7+(1236.2-591.3)+(-4.591734+(-1.260924--0.603126))+0-0-0</f>
        <v>5141.3504680000005</v>
      </c>
      <c r="P289" s="3">
        <f>4390.2+(1354.2-288.3)+(-8.956008+(-2.762568--0.588132))+0-0-0</f>
        <v>5444.969556</v>
      </c>
      <c r="Q289" s="3">
        <f>4317.5+(1375.6-217.6)+(-6.605775+(-2.104668--0.332928))+0-0-0</f>
        <v>5467.1224849999999</v>
      </c>
      <c r="R289" s="3">
        <f>4304+(1294.1-211.5)+(-8.78016+(-2.639964--0.43146))+0-0-0</f>
        <v>5375.6113359999999</v>
      </c>
      <c r="S289" s="3">
        <f>4312.9+(1276-350.6)+(-4.399158+(-1.30152--0.357612))+0-0-0</f>
        <v>5232.9569339999989</v>
      </c>
      <c r="T289" s="3">
        <f>4371.8+(1283.4-404.1)+(-2.229618+(-0.654534--0.206091))+0-0-0</f>
        <v>5248.4219390000007</v>
      </c>
      <c r="U289" s="3">
        <f>4388.5+(1299.7-444.7)+(-4.47627+(-1.325694--0.453594))+0-0-0</f>
        <v>5238.1516300000003</v>
      </c>
      <c r="V289" s="3">
        <f>4460.5+(1251.3-386.2)+(-11.374275+(-3.190815--0.98481))+0-0-0</f>
        <v>5312.0197200000002</v>
      </c>
      <c r="W289" s="3">
        <f>4694.9+(1326.3-252.5)+(-11.971995+(-3.382065--0.643875))+0-0-0</f>
        <v>5753.9898149999999</v>
      </c>
      <c r="X289" s="3">
        <f>4814.2+(1265.4-262.9)+(-9.820968+(-2.581416--0.536316))+0-0-0</f>
        <v>5804.8339319999995</v>
      </c>
      <c r="Y289" s="3">
        <f>4783.1+(1145.6-318.3)+(-4.878762+(-1.168512--0.324666))+0-0-0</f>
        <v>5604.6773920000005</v>
      </c>
      <c r="Z289" s="3">
        <f>4647.4+(1116.2-346)+(-4.740348+(-1.138524--0.35292))+0-0-0</f>
        <v>5412.0740479999995</v>
      </c>
      <c r="AA289" s="3">
        <f>4419.2+(1174.7-488.7)+(2.253792+(0.599097-0.249237))+0-0-0</f>
        <v>5107.8036519999996</v>
      </c>
      <c r="AB289" s="3">
        <f>4340.3+(1065.3-561.9)+(-6.640659+(-1.629909--0.859707))+0-0-0</f>
        <v>4836.2891389999995</v>
      </c>
      <c r="AC289" s="3">
        <f>4202.6+(938.6-599.8)+(-10.71663+(-2.39343--1.52949))+0-0-0</f>
        <v>4529.8194300000005</v>
      </c>
      <c r="AD289">
        <f t="shared" si="4"/>
        <v>113650.241983</v>
      </c>
      <c r="AE289" s="3">
        <f>4793+(1375.2-270.4)+(0+(0-0))+0-0-0</f>
        <v>5897.8</v>
      </c>
    </row>
    <row r="290" spans="1:31" s="2" customFormat="1" x14ac:dyDescent="0.25">
      <c r="A290">
        <v>89</v>
      </c>
      <c r="B290">
        <v>10</v>
      </c>
      <c r="C290">
        <v>14</v>
      </c>
      <c r="D290">
        <v>4</v>
      </c>
      <c r="E290">
        <v>1</v>
      </c>
      <c r="F290" s="3">
        <f>3829.5+(668-503)+(-7.81218+(-1.36272--1.02612))+0-0-0</f>
        <v>3986.35122</v>
      </c>
      <c r="G290" s="3">
        <f>3720.4+(546.7-483.6)+(-3.794808+(-0.557634--0.493272))+0-0-0</f>
        <v>3779.6408299999998</v>
      </c>
      <c r="H290" s="3">
        <f>3718.1+(530.7-570.9)+(0+(0-0))+0-0-0</f>
        <v>3677.9</v>
      </c>
      <c r="I290" s="3">
        <f>3671.2+(485.1-572.6)+(-3.744624+(-0.494802--0.584052))+0-0-0</f>
        <v>3580.0446259999999</v>
      </c>
      <c r="J290" s="3">
        <f>3680.1+(501.7-650.8)+(7.507404+(1.023468-1.327632))+0-0-0</f>
        <v>3538.2032399999998</v>
      </c>
      <c r="K290" s="3">
        <f>3692+(667.1-737.9)+(1.88292+(0.340221-0.376329))+0-0-0</f>
        <v>3623.0468119999996</v>
      </c>
      <c r="L290" s="3">
        <f>3917.7+(725.3-729.4)+(-3.996054+(-0.739806--0.743988))+0-0-0</f>
        <v>3909.6081279999999</v>
      </c>
      <c r="M290" s="3">
        <f>4262.1+(865.9-814.4)+(-6.521013+(-1.324827--1.246032))+0-0-0</f>
        <v>4307.0001920000004</v>
      </c>
      <c r="N290" s="3">
        <f>4393.1+(980.6-548.8)+(-4.480962+(-1.000212--0.559776))+0-0-0</f>
        <v>4819.9786020000001</v>
      </c>
      <c r="O290" s="3">
        <f>4627.6+(1168.2-520.4)+(-4.720152+(-1.191564--0.530808))+0-0-0</f>
        <v>5270.0190920000005</v>
      </c>
      <c r="P290" s="3">
        <f>4650.5+(1128-322.6)+(-2.371755+(-0.57528--0.164526))+0-0-0</f>
        <v>5453.117491</v>
      </c>
      <c r="Q290" s="3">
        <f>4611+(1168.6-224)+(-9.40644+(-2.383944--0.45696))+0-0-0</f>
        <v>5544.266576</v>
      </c>
      <c r="R290" s="3">
        <f>4541.4+(1162.3-260.3)+(-4.632228+(-1.185546--0.265506))+0-0-0</f>
        <v>5437.8477319999993</v>
      </c>
      <c r="S290" s="3">
        <f>4506.1+(1148.7-343.4)+(-4.596222+(-1.171674--0.350268))+0-0-0</f>
        <v>5305.9823720000004</v>
      </c>
      <c r="T290" s="3">
        <f>4515.5+(1195.4-378.1)+(-2.302905+(-0.609654--0.192831))+0-0-0</f>
        <v>5330.0802720000002</v>
      </c>
      <c r="U290" s="3">
        <f>4569.4+(1155.8-343.8)+(0+(0-0))+0-0-0</f>
        <v>5381.4</v>
      </c>
      <c r="V290" s="3">
        <f>4543.6+(1292.3-269.6)+(-9.268944+(-2.636292--0.549984))+0-0-0</f>
        <v>5554.9447479999999</v>
      </c>
      <c r="W290" s="3">
        <f>4711.5+(1432-320.7)+(0+(0-0))+0-0-0</f>
        <v>5822.8</v>
      </c>
      <c r="X290" s="3">
        <f>4943.4+(1188.5-402.5)+(-5.042268+(-1.21227--0.41055))+0-0-0</f>
        <v>5723.556012</v>
      </c>
      <c r="Y290" s="3">
        <f>4906.3+(1116.8-489.1)+(-2.502213+(-0.569568--0.249441))+0-0-0</f>
        <v>5531.1776600000003</v>
      </c>
      <c r="Z290" s="3">
        <f>4819.9+(1086.2-523.4)+(-12.290745+(-2.76981--1.33467))+0-0-0</f>
        <v>5368.974115</v>
      </c>
      <c r="AA290" s="3">
        <f>4722.2+(971-605.1)+(0+(0-0))+0-0-0</f>
        <v>5088.0999999999995</v>
      </c>
      <c r="AB290" s="3">
        <f>4481.7+(927-575.1)+(-2.285667+(-0.47277--0.293301))+0-0-0</f>
        <v>4831.1348639999997</v>
      </c>
      <c r="AC290" s="3">
        <f>4317.9+(845.5-658.6)+(-6.606387+(-1.293615--1.007658))+0-0-0</f>
        <v>4497.9076559999994</v>
      </c>
      <c r="AD290">
        <f t="shared" si="4"/>
        <v>115363.08224000002</v>
      </c>
      <c r="AE290" s="3">
        <f>4930+(1389.4-396.9)+(0+(0-0))+0-0-0</f>
        <v>5922.5</v>
      </c>
    </row>
    <row r="291" spans="1:31" s="2" customFormat="1" x14ac:dyDescent="0.25">
      <c r="A291">
        <v>89</v>
      </c>
      <c r="B291">
        <v>10</v>
      </c>
      <c r="C291">
        <v>15</v>
      </c>
      <c r="D291">
        <v>5</v>
      </c>
      <c r="E291">
        <v>1</v>
      </c>
      <c r="F291" s="3">
        <f>4068.3+(672.6-705.1)+(-8.299332+(-1.372104--1.438404))+0-0-0</f>
        <v>4027.5669680000001</v>
      </c>
      <c r="G291" s="3">
        <f>4075.3+(389.3-727.2)+(-4.156806+(-0.397086--0.741744))+0-0-0</f>
        <v>3733.5878520000001</v>
      </c>
      <c r="H291" s="3">
        <f>4103.2+(316.9-791.6)+(-2.092632+(-0.161619--0.403716))+0-0-0</f>
        <v>3626.649465</v>
      </c>
      <c r="I291" s="3">
        <f>3826.3+(333.6-699.4)+(-1.951413+(-0.170136--0.356694))+0-0-0</f>
        <v>3458.7351450000001</v>
      </c>
      <c r="J291" s="3">
        <f>3553.9+(538.7-543.4)+(-1.812489+(-0.274737--0.277134))+0-0-0</f>
        <v>3547.3899080000001</v>
      </c>
      <c r="K291" s="3">
        <f>3520.6+(521-473.8)+(-3.591012+(-0.53142--0.483276))+0-0-0</f>
        <v>3564.1608439999995</v>
      </c>
      <c r="L291" s="3">
        <f>3907.6+(578.7-663.5)+(-3.985752+(-0.590274--0.67677))+0-0-0</f>
        <v>3818.900744</v>
      </c>
      <c r="M291" s="3">
        <f>4383.9+(631.5-688.3)+(-4.471578+(-0.64413--0.702066))+0-0-0</f>
        <v>4322.686357999999</v>
      </c>
      <c r="N291" s="3">
        <f>4426.3+(911-489.7)+(-9.029652+(-1.85844--0.998988))+0-0-0</f>
        <v>4837.7108960000005</v>
      </c>
      <c r="O291" s="3">
        <f>4431.8+(1199.2-409.5)+(-2.260218+(-0.611592--0.208845))+0-0-0</f>
        <v>5218.8370349999996</v>
      </c>
      <c r="P291" s="3">
        <f>4428.9+(1372.4-382.8)+(-2.258739+(-0.699924--0.195228))+0-0-0</f>
        <v>5415.7365650000002</v>
      </c>
      <c r="Q291" s="3">
        <f>4406.6+(1450.5-378.2)+(-2.247366+(-0.739755--0.192882))+0-0-0</f>
        <v>5476.1057610000007</v>
      </c>
      <c r="R291" s="3">
        <f>4427+(1369.5-386.9)+(-4.51554+(-1.39689--0.394638))+0-0-0</f>
        <v>5404.0822080000007</v>
      </c>
      <c r="S291" s="3">
        <f>4482.1+(1219.3-390.6)+(-6.857613+(-1.865529--0.597618))+0-0-0</f>
        <v>5302.6744760000001</v>
      </c>
      <c r="T291" s="3">
        <f>4504.2+(1220.4-372.1)+(-4.594284+(-1.244808--0.379542))+0-0-0</f>
        <v>5347.0404500000004</v>
      </c>
      <c r="U291" s="3">
        <f>4561.2+(1201.4-448.2)+(11.63106+(3.06357-1.14291))+0-0-0</f>
        <v>5327.95172</v>
      </c>
      <c r="V291" s="3">
        <f>4591.7+(1127.9-285.6)+(-7.025301+(-1.725687--0.436968))+0-0-0</f>
        <v>5425.6859800000002</v>
      </c>
      <c r="W291" s="3">
        <f>4870.1+(1246.9-344.3)+(2.483751+(0.635919-0.175593))+0-0-0</f>
        <v>5775.6440770000008</v>
      </c>
      <c r="X291" s="3">
        <f>4874+(1328.5-419.1)+(-9.94296+(-2.71014--0.854964))+0-0-0</f>
        <v>5771.6018639999993</v>
      </c>
      <c r="Y291" s="3">
        <f>4686.1+(1395-541.6)+(-7.169733+(-2.13435--0.828648))+0-0-0</f>
        <v>5531.0245649999997</v>
      </c>
      <c r="Z291" s="3">
        <f>4557.5+(1335.4-551.3)+(-2.324325+(-0.681054--0.281163))+0-0-0</f>
        <v>5338.8757840000007</v>
      </c>
      <c r="AA291" s="3">
        <f>4471.5+(1239.7-601.5)+(-6.841395+(-1.896741--0.920295))+0-0-0</f>
        <v>5101.8821589999998</v>
      </c>
      <c r="AB291" s="3">
        <f>4344.6+(1096.5-604.4)+(-11.07873+(-2.796075--1.54122))+0-0-0</f>
        <v>4824.3664150000004</v>
      </c>
      <c r="AC291" s="3">
        <f>4238.4+(844.1-611.1)+(-10.80792+(-2.152455--1.558305))+0-0-0</f>
        <v>4459.9979299999995</v>
      </c>
      <c r="AD291">
        <f t="shared" si="4"/>
        <v>114658.89516899998</v>
      </c>
      <c r="AE291" s="3">
        <f>4906+(1367.1-415.6)+(0+(0-0))+0-0-0</f>
        <v>5857.5</v>
      </c>
    </row>
    <row r="292" spans="1:31" s="2" customFormat="1" x14ac:dyDescent="0.25">
      <c r="A292">
        <v>89</v>
      </c>
      <c r="B292">
        <v>10</v>
      </c>
      <c r="C292">
        <v>16</v>
      </c>
      <c r="D292">
        <v>6</v>
      </c>
      <c r="E292">
        <v>1</v>
      </c>
      <c r="F292" s="3">
        <f>4013.6+(607.3-589.1)+(-4.093872+(-0.619446--0.600882))+0-0-0</f>
        <v>4027.6875639999998</v>
      </c>
      <c r="G292" s="3">
        <f>3827.6+(471.6-539.2)+(-5.856228+(-0.721548--0.824976))+0-0-0</f>
        <v>3754.2471999999998</v>
      </c>
      <c r="H292" s="3">
        <f>3731.6+(376.1-491.6)+(-7.612464+(-0.767244--1.002864))+0-0-0</f>
        <v>3608.723156</v>
      </c>
      <c r="I292" s="3">
        <f>3586.8+(400.1-433)+(-5.487804+(-0.612153--0.66249))+0-0-0</f>
        <v>3548.4625329999999</v>
      </c>
      <c r="J292" s="3">
        <f>3575.5+(386.7-457.2)+(-1.823505+(-0.197217--0.233172))+0-0-0</f>
        <v>3503.21245</v>
      </c>
      <c r="K292" s="3">
        <f>3581.9+(388.7-366)+(0+(0-0))+0-0-0</f>
        <v>3604.6</v>
      </c>
      <c r="L292" s="3">
        <f>3640.3+(487.8-384)+(-1.856553+(-0.248778--0.19584))+0-0-0</f>
        <v>3742.1905090000005</v>
      </c>
      <c r="M292" s="3">
        <f>4053.1+(436.3-488.3)+(0+(0-0))+0-0-0</f>
        <v>4001.1</v>
      </c>
      <c r="N292" s="3">
        <f>4526.6+(501.3-454.3)+(-2.308566+(-0.255663--0.231693))+0-0-0</f>
        <v>4571.2674640000005</v>
      </c>
      <c r="O292" s="3">
        <f>4669.6+(620.8-413.6)+(-4.762992+(-0.633216--0.421872))+0-0-0</f>
        <v>4871.825664</v>
      </c>
      <c r="P292" s="3">
        <f>4730.6+(703.3-299.9)+(0+(0-0))+0-0-0</f>
        <v>5134</v>
      </c>
      <c r="Q292" s="3">
        <f>4711+(808-289.5)+(-4.80522+(-0.82416--0.29529))+0-0-0</f>
        <v>5224.1659099999997</v>
      </c>
      <c r="R292" s="3">
        <f>4565.2+(756.8-308)+(-13.969512+(-2.315808--0.94248))+0-0-0</f>
        <v>4998.6571599999997</v>
      </c>
      <c r="S292" s="3">
        <f>4320.2+(934.1-337.9)+(-6.609906+(-1.429173--0.516987))+0-0-0</f>
        <v>4908.8779079999995</v>
      </c>
      <c r="T292" s="3">
        <f>4220.2+(1010.8-308.9)+(-4.304604+(-1.031016--0.315078))+0-0-0</f>
        <v>4917.0794579999992</v>
      </c>
      <c r="U292" s="3">
        <f>4111.8+(1043.1-433.7)+(0+(0-0))+0-0-0</f>
        <v>4721.2</v>
      </c>
      <c r="V292" s="3">
        <f>4428.4+(824.5-407.3)+(-4.516968+(-0.84099--0.415446))+0-0-0</f>
        <v>4840.6574879999998</v>
      </c>
      <c r="W292" s="3">
        <f>4700.3+(866.5-296.8)+(0+(0-0))+0-0-0</f>
        <v>5270</v>
      </c>
      <c r="X292" s="3">
        <f>4769.4+(1008.9-393.4)+(-12.16197+(-2.572695--1.00317))+0-0-0</f>
        <v>5371.1685049999996</v>
      </c>
      <c r="Y292" s="3">
        <f>4641.9+(1148.7-461)+(-7.102107+(-1.757511--0.70533))+0-0-0</f>
        <v>5321.4457119999997</v>
      </c>
      <c r="Z292" s="3">
        <f>4479.8+(1120.3-468.1)+(-2.284698+(-0.571353--0.238731))+0-0-0</f>
        <v>5129.3826799999997</v>
      </c>
      <c r="AA292" s="3">
        <f>4415.2+(1015.1-599.6)+(-4.503504+(-1.035402--0.611592))+0-0-0</f>
        <v>4825.7726860000002</v>
      </c>
      <c r="AB292" s="3">
        <f>4493.9+(891.2-719.2)+(-2.291889+(-0.454512--0.366792))+0-0-0</f>
        <v>4663.520391</v>
      </c>
      <c r="AC292" s="3">
        <f>4345.9+(830.1-817.7)+(-6.649227+(-1.270053--1.251081))+0-0-0</f>
        <v>4351.6318009999995</v>
      </c>
      <c r="AD292">
        <f t="shared" si="4"/>
        <v>108910.87623899998</v>
      </c>
      <c r="AE292" s="3">
        <f>4754+(980-387.4)+(0+(0-0))+0-0-0</f>
        <v>5346.6</v>
      </c>
    </row>
    <row r="293" spans="1:31" s="2" customFormat="1" x14ac:dyDescent="0.25">
      <c r="A293">
        <v>89</v>
      </c>
      <c r="B293">
        <v>10</v>
      </c>
      <c r="C293">
        <v>17</v>
      </c>
      <c r="D293">
        <v>7</v>
      </c>
      <c r="E293">
        <v>1</v>
      </c>
      <c r="F293" s="3">
        <f>4191.9+(832.3-978.7)+(-2.137869+(-0.424473--0.499137))+0-0-0</f>
        <v>4043.4367949999996</v>
      </c>
      <c r="G293" s="3">
        <f>3948.5+(843.7-1028.2)+(-6.041205+(-1.290861--1.573146))+0-0-0</f>
        <v>3758.2410799999998</v>
      </c>
      <c r="H293" s="3">
        <f>3864+(644.5-941)+(0+(0-0))+0-0-0</f>
        <v>3567.5</v>
      </c>
      <c r="I293" s="3">
        <f>3852.9+(521.2-901.3)+(1.964979+(0.265812-0.459663))+0-0-0</f>
        <v>3474.571128</v>
      </c>
      <c r="J293" s="3">
        <f>3840+(503.2-887.5)+(-3.9168+(-0.513264--0.90525))+0-0-0</f>
        <v>3452.1751859999999</v>
      </c>
      <c r="K293" s="3">
        <f>3822.6+(528.6-915.4)+(1.949526+(0.269586-0.466854))+0-0-0</f>
        <v>3437.5522580000002</v>
      </c>
      <c r="L293" s="3">
        <f>3726.5+(687.9-1017.5)+(-9.502575+(-1.754145--2.594625))+0-0-0</f>
        <v>3388.237905</v>
      </c>
      <c r="M293" s="3">
        <f>3559.4+(766.6-1014.5)+(0+(0-0))+0-0-0</f>
        <v>3311.5</v>
      </c>
      <c r="N293" s="3">
        <f>3726.5+(753.4-1067.1)+(0+(0-0))+0-0-0</f>
        <v>3412.8</v>
      </c>
      <c r="O293" s="3">
        <f>3967+(810.7-1054)+(8.09268+(1.653828-2.15016))+0-0-0</f>
        <v>3731.2963479999999</v>
      </c>
      <c r="P293" s="3">
        <f>4053.9+(897.3-856.3)+(-6.202467+(-1.372869--1.310139))+0-0-0</f>
        <v>4088.6348029999999</v>
      </c>
      <c r="Q293" s="3">
        <f>4025.1+(860.4-720.2)+(-2.052801+(-0.438804--0.367302))+0-0-0</f>
        <v>4163.1756970000006</v>
      </c>
      <c r="R293" s="3">
        <f>4117.9+(802.8-690.4)+(-6.300387+(-1.228284--1.056312))+0-0-0</f>
        <v>4223.8276409999989</v>
      </c>
      <c r="S293" s="3">
        <f>4149.1+(729-778.8)+(-4.232082+(-0.74358--0.794376))+0-0-0</f>
        <v>4095.1187140000002</v>
      </c>
      <c r="T293" s="3">
        <f>4205.1+(560.6-679.1)+(4.289202+(0.571812-0.692682))+0-0-0</f>
        <v>4090.7683320000006</v>
      </c>
      <c r="U293" s="3">
        <f>4177.5+(458.5-652.6)+(0+(0-0))+0-0-0</f>
        <v>3983.4</v>
      </c>
      <c r="V293" s="3">
        <f>4318.7+(412.4-624.2)+(-13.215222+(-1.261944--1.910052))+0-0-0</f>
        <v>4094.3328859999997</v>
      </c>
      <c r="W293" s="3">
        <f>4731.6+(553.9-648.2)+(-2.413116+(-0.282489--0.330582))+0-0-0</f>
        <v>4634.9349769999999</v>
      </c>
      <c r="X293" s="3">
        <f>4759.2+(759.3-691.3)+(-7.281576+(-1.161729--1.057689))+0-0-0</f>
        <v>4819.8143840000002</v>
      </c>
      <c r="Y293" s="3">
        <f>4690.6+(787.9-702)+(0+(0-0))+0-0-0</f>
        <v>4776.5</v>
      </c>
      <c r="Z293" s="3">
        <f>4620.7+(938.8-789)+(-9.426228+(-1.915152--1.60956))+0-0-0</f>
        <v>4760.76818</v>
      </c>
      <c r="AA293" s="3">
        <f>4511.2+(962-819)+(-2.300712+(-0.49062--0.41769))+0-0-0</f>
        <v>4651.8263580000003</v>
      </c>
      <c r="AB293" s="3">
        <f>4406.4+(839.5-777.3)+(-2.247264+(-0.428145--0.396423))+0-0-0</f>
        <v>4466.3210139999992</v>
      </c>
      <c r="AC293" s="3">
        <f>4221.7+(752.4-785.5)+(-6.459201+(-1.151172--1.201815))+0-0-0</f>
        <v>4182.1914419999994</v>
      </c>
      <c r="AD293">
        <f t="shared" si="4"/>
        <v>96608.925127999988</v>
      </c>
      <c r="AE293" s="3">
        <f>4829+(675.2-721.1)+(0+(0-0))+0-0-0</f>
        <v>4783.1000000000004</v>
      </c>
    </row>
    <row r="294" spans="1:31" s="2" customFormat="1" x14ac:dyDescent="0.25">
      <c r="A294">
        <v>89</v>
      </c>
      <c r="B294">
        <v>10</v>
      </c>
      <c r="C294">
        <v>18</v>
      </c>
      <c r="D294">
        <v>1</v>
      </c>
      <c r="E294">
        <v>1</v>
      </c>
      <c r="F294" s="3">
        <f>3909.4+(588.9-713.8)+(-9.96897+(-1.501695--1.82019))+0-0-0</f>
        <v>3774.8495250000001</v>
      </c>
      <c r="G294" s="3">
        <f>3658.3+(506.3-674.4)+(-3.731466+(-0.516426--0.687888))+0-0-0</f>
        <v>3486.6399960000003</v>
      </c>
      <c r="H294" s="3">
        <f>3549.3+(451.5-640.8)+(-9.050715+(-1.151325--1.63404))+0-0-0</f>
        <v>3351.4319999999998</v>
      </c>
      <c r="I294" s="3">
        <f>3351.2+(492.5-534.1)+(-3.418224+(-0.50235--0.544782))+0-0-0</f>
        <v>3306.2242080000001</v>
      </c>
      <c r="J294" s="3">
        <f>3388.3+(497-539.9)+(-1.728033+(-0.25347--0.275349))+0-0-0</f>
        <v>3343.6938460000001</v>
      </c>
      <c r="K294" s="3">
        <f>3346.8+(507.3-455.9)+(-3.413736+(-0.517446--0.465018))+0-0-0</f>
        <v>3394.7338360000003</v>
      </c>
      <c r="L294" s="3">
        <f>3743.6+(563.1-645.3)+(-1.909236+(-0.287181--0.329103))+0-0-0</f>
        <v>3659.532686</v>
      </c>
      <c r="M294" s="3">
        <f>4181.8+(583.3-656.6)+(2.132718+(0.297483-0.334866))+0-0-0</f>
        <v>4110.595335</v>
      </c>
      <c r="N294" s="3">
        <f>4438.4+(843.2-543.5)+(0+(0-0))+0-0-0</f>
        <v>4738.0999999999995</v>
      </c>
      <c r="O294" s="3">
        <f>4461.5+(1254.8-568.4)+(-2.275365+(-0.639948--0.289884))+0-0-0</f>
        <v>5145.2745709999999</v>
      </c>
      <c r="P294" s="3">
        <f>4463.9+(1416.9-479.7)+(-4.553178+(-1.445238--0.489294))+0-0-0</f>
        <v>5395.5908779999991</v>
      </c>
      <c r="Q294" s="3">
        <f>4480.2+(1477.8-426.1)+(-2.284902+(-0.753678--0.217311))+0-0-0</f>
        <v>5529.0787309999996</v>
      </c>
      <c r="R294" s="3">
        <f>4479.2+(1421.9-400)+(-2.284392+(-0.725169--0.204))+0-0-0</f>
        <v>5498.2944390000002</v>
      </c>
      <c r="S294" s="3">
        <f>4445.3+(1272.6-393)+(-4.534206+(-1.298052--0.40086))+0-0-0</f>
        <v>5319.4686019999999</v>
      </c>
      <c r="T294" s="3">
        <f>4394.1+(1262.4-355.1)+(-4.481982+(-1.287648--0.362202))+0-0-0</f>
        <v>5295.9925720000001</v>
      </c>
      <c r="U294" s="3">
        <f>4478.6+(1199.3-362.9)+(0+(0-0))+0-0-0</f>
        <v>5315</v>
      </c>
      <c r="V294" s="3">
        <f>4570.8+(1154.7-314.7)+(0+(0-0))+0-0-0</f>
        <v>5410.8</v>
      </c>
      <c r="W294" s="3">
        <f>4846+(1153.4-249.9)+(4.94292+(1.176468-0.254898))+0-0-0</f>
        <v>5755.3644899999999</v>
      </c>
      <c r="X294" s="3">
        <f>4925.4+(1200.9-348.1)+(-7.535862+(-1.837377--0.532593))+0-0-0</f>
        <v>5769.3593540000002</v>
      </c>
      <c r="Y294" s="3">
        <f>4786.3+(1215.4-422.7)+(-9.764052+(-2.479416--0.862308))+0-0-0</f>
        <v>5567.6188400000001</v>
      </c>
      <c r="Z294" s="3">
        <f>4784+(1111.1-517.9)+(-4.87968+(-1.133322--0.528258))+0-0-0</f>
        <v>5371.7152559999995</v>
      </c>
      <c r="AA294" s="3">
        <f>4699.2+(924.3-613.1)+(-4.793184+(-0.942786--0.625362))+0-0-0</f>
        <v>5005.2893919999997</v>
      </c>
      <c r="AB294" s="3">
        <f>4837.8+(767.5-760.6)+(-2.467278+(-0.391425--0.387906))+0-0-0</f>
        <v>4842.2292029999999</v>
      </c>
      <c r="AC294" s="3">
        <f>4548+(732.5-876.4)+(-9.27792+(-1.4943--1.787856))+0-0-0</f>
        <v>4395.1156360000004</v>
      </c>
      <c r="AD294">
        <f t="shared" si="4"/>
        <v>112781.99339600001</v>
      </c>
      <c r="AE294" s="3">
        <f>4939+(1204.1-323.8)+(0+(0-0))+0-0-0</f>
        <v>5819.3</v>
      </c>
    </row>
    <row r="295" spans="1:31" s="2" customFormat="1" x14ac:dyDescent="0.25">
      <c r="A295">
        <v>89</v>
      </c>
      <c r="B295">
        <v>10</v>
      </c>
      <c r="C295">
        <v>19</v>
      </c>
      <c r="D295">
        <v>2</v>
      </c>
      <c r="E295">
        <v>1</v>
      </c>
      <c r="F295" s="3">
        <f>4356.4+(484.9-748.3)+(-6.665292+(-0.741897--1.144899))+0-0-0</f>
        <v>4086.7377099999994</v>
      </c>
      <c r="G295" s="3">
        <f>4026.2+(447.6-693.2)+(-12.320172+(-1.369656--2.121192))+0-0-0</f>
        <v>3769.0313639999999</v>
      </c>
      <c r="H295" s="3">
        <f>3808.7+(442.4-671.1)+(1.942437+(0.225624-0.342261))+0-0-0</f>
        <v>3581.8258000000001</v>
      </c>
      <c r="I295" s="3">
        <f>3776.2+(402.2-625.7)+(-5.777586+(-0.615366--0.957321))+0-0-0</f>
        <v>3547.264369</v>
      </c>
      <c r="J295" s="3">
        <f>3777.8+(398.7-613)+(3.853356+(0.406674-0.62526))+0-0-0</f>
        <v>3567.1347700000001</v>
      </c>
      <c r="K295" s="3">
        <f>3892.8+(350.8-621.6)+(-3.970656+(-0.357816--0.634032))+0-0-0</f>
        <v>3618.3055599999998</v>
      </c>
      <c r="L295" s="3">
        <f>4238.3+(362-757.9)+(-8.646132+(-0.73848--1.546116))+0-0-0</f>
        <v>3834.5615040000002</v>
      </c>
      <c r="M295" s="3">
        <f>4438.7+(555-716.8)+(-6.791211+(-0.84915--1.096704))+0-0-0</f>
        <v>4270.3563429999995</v>
      </c>
      <c r="N295" s="3">
        <f>4629.3+(871.8-641.7)+(2.360943+(0.444618-0.327267))+0-0-0</f>
        <v>4861.8782939999992</v>
      </c>
      <c r="O295" s="3">
        <f>4621.5+(949-353.7)+(-2.356965+(-0.48399--0.180387))+0-0-0</f>
        <v>5214.1394319999999</v>
      </c>
      <c r="P295" s="3">
        <f>4798.6+(1118.9-286.4)+(0+(0-0))+0-0-0</f>
        <v>5631.1</v>
      </c>
      <c r="Q295" s="3">
        <f>4804+(1236.1-307)+(0+(0-0))+0-0-0</f>
        <v>5733.1</v>
      </c>
      <c r="R295" s="3">
        <f>4813.2+(1155.5-306.3)+(-9.818928+(-2.35722--0.624852))+0-0-0</f>
        <v>5650.848704</v>
      </c>
      <c r="S295" s="3">
        <f>4856+(1056.7-390.7)+(-4.95312+(-1.077834--0.398514))+0-0-0</f>
        <v>5516.3675599999997</v>
      </c>
      <c r="T295" s="3">
        <f>4879.2+(1118-374.6)+(-9.953568+(-2.28072--0.764184))+0-0-0</f>
        <v>5611.1298959999995</v>
      </c>
      <c r="U295" s="3">
        <f>4920.7+(1085.3-442.4)+(0+(0-0))+0-0-0</f>
        <v>5563.5999999999995</v>
      </c>
      <c r="V295" s="3">
        <f>4968.2+(1049.2-350.5)+(0+(0-0))+0-0-0</f>
        <v>5666.9</v>
      </c>
      <c r="W295" s="3">
        <f>5143.9+(1124.2-339.8)+(0+(0-0))+0-0-0</f>
        <v>5928.2999999999993</v>
      </c>
      <c r="X295" s="3">
        <f>5112.7+(1106.1-454.7)+(-7.822431+(-1.692333--0.695691))+0-0-0</f>
        <v>5755.2809269999998</v>
      </c>
      <c r="Y295" s="3">
        <f>5106.1+(920-462.3)+(-7.812333+(-1.4076--0.707319))+0-0-0</f>
        <v>5555.287386</v>
      </c>
      <c r="Z295" s="3">
        <f>5014.5+(959.8-543.9)+(-5.11479+(-0.978996--0.554778))+0-0-0</f>
        <v>5424.8609919999999</v>
      </c>
      <c r="AA295" s="3">
        <f>4821.9+(982.9-686.3)+(-4.918338+(-1.002558--0.700026))+0-0-0</f>
        <v>5113.2791299999999</v>
      </c>
      <c r="AB295" s="3">
        <f>4741.5+(900-684.7)+(-9.67266+(-1.836--1.396788))+0-0-0</f>
        <v>4946.6881279999998</v>
      </c>
      <c r="AC295" s="3">
        <f>4357.8+(891.1-723.9)+(-2.222478+(-0.454461--0.369189))+0-0-0</f>
        <v>4522.6922500000001</v>
      </c>
      <c r="AD295">
        <f t="shared" si="4"/>
        <v>116970.67011899999</v>
      </c>
      <c r="AE295" s="3">
        <f>5080+(1232.2-431)+(0+(0-0))+0-0-0</f>
        <v>5881.2</v>
      </c>
    </row>
    <row r="296" spans="1:31" s="2" customFormat="1" x14ac:dyDescent="0.25">
      <c r="A296">
        <v>89</v>
      </c>
      <c r="B296">
        <v>10</v>
      </c>
      <c r="C296">
        <v>20</v>
      </c>
      <c r="D296">
        <v>3</v>
      </c>
      <c r="E296">
        <v>1</v>
      </c>
      <c r="F296" s="3">
        <f>4208.6+(570.4-701.3)+(-6.439158+(-0.872712--1.072989))+0-0-0</f>
        <v>4071.4611190000001</v>
      </c>
      <c r="G296" s="3">
        <f>3995.6+(445.3-651.9)+(-6.113268+(-0.681309--0.997407))+0-0-0</f>
        <v>3783.2028300000002</v>
      </c>
      <c r="H296" s="3">
        <f>3978.5+(328.2-673.4)+(6.087105+(0.502146-1.030302))+0-0-0</f>
        <v>3638.8589490000004</v>
      </c>
      <c r="I296" s="3">
        <f>3947.5+(334.7-684.2)+(-4.02645+(-0.341394--0.697884))+0-0-0</f>
        <v>3594.3300399999998</v>
      </c>
      <c r="J296" s="3">
        <f>4009.7+(329.6-824.5)+(-4.089894+(-0.336192--0.84099))+0-0-0</f>
        <v>3511.2149039999999</v>
      </c>
      <c r="K296" s="3">
        <f>4067.3+(429.5-987.1)+(0+(0-0))+0-0-0</f>
        <v>3509.7000000000003</v>
      </c>
      <c r="L296" s="3">
        <f>4370.6+(540.5-1053.3)+(-2.229006+(-0.275655--0.537183))+0-0-0</f>
        <v>3855.8325220000002</v>
      </c>
      <c r="M296" s="3">
        <f>4541.4+(705.4-980)+(4.632228+(0.719508-0.9996))+0-0-0</f>
        <v>4271.1521359999997</v>
      </c>
      <c r="N296" s="3">
        <f>4685+(742.8-601.5)+(0+(0-0))+0-0-0</f>
        <v>4826.3</v>
      </c>
      <c r="O296" s="3">
        <f>4742+(844-427.1)+(0+(0-0))+0-0-0</f>
        <v>5158.8999999999996</v>
      </c>
      <c r="P296" s="3">
        <f>4796.6+(922.7-332.3)+(-4.892532+(-0.941154--0.338946))+44.8-0-0</f>
        <v>5426.3052600000001</v>
      </c>
      <c r="Q296" s="3">
        <f>4830.5+(1027-309.9)+(-2.463555+(-0.52377--0.158049))+0-0-0</f>
        <v>5544.770724</v>
      </c>
      <c r="R296" s="3">
        <f>4718.7+(1055.2-410.7)+(-16.845759+(-3.767064--1.466199))+0-0-0</f>
        <v>5344.0533759999998</v>
      </c>
      <c r="S296" s="3">
        <f>4734.8+(983.5-429.6)+(-2.414748+(-0.501585--0.219096))+0-0-0</f>
        <v>5286.0027629999995</v>
      </c>
      <c r="T296" s="3">
        <f>4741.5+(973.6-394.2)+(0+(0-0))+26.1-0-0</f>
        <v>5347</v>
      </c>
      <c r="U296" s="3">
        <f>4749.8+(886-407.2)+(0+(0-0))+10.8-0-0</f>
        <v>5239.4000000000005</v>
      </c>
      <c r="V296" s="3">
        <f>4889.5+(830-431.8)+(-12.468225+(-2.1165--1.10109))+0-0-0</f>
        <v>5274.2163650000002</v>
      </c>
      <c r="W296" s="3">
        <f>5165.8+(941.7-464)+(0+(0-0))+0-0-0</f>
        <v>5643.5</v>
      </c>
      <c r="X296" s="3">
        <f>5238.9+(994.4-550.9)+(-10.687356+(-2.028576--1.123836))+0-0-0</f>
        <v>5670.8079039999993</v>
      </c>
      <c r="Y296" s="3">
        <f>5218.6+(918.9-597.1)+(-7.984458+(-1.405917--0.913563))+0-0-0</f>
        <v>5531.9231880000007</v>
      </c>
      <c r="Z296" s="3">
        <f>5159.7+(880.3-676.8)+(-2.631447+(-0.448953--0.345168))+0-0-0</f>
        <v>5360.4647679999998</v>
      </c>
      <c r="AA296" s="3">
        <f>5074+(813.9-823.4)+(5.17548+(0.830178-0.839868))+0-0-0</f>
        <v>5069.66579</v>
      </c>
      <c r="AB296" s="3">
        <f>4973.5+(712.4-812.6)+(-5.07297+(-0.726648--0.828852))+0-0-0</f>
        <v>4868.3292339999998</v>
      </c>
      <c r="AC296" s="3">
        <f>4647.3+(742.5-935.1)+(-4.740246+(-0.75735--0.953802))+0-0-0</f>
        <v>4450.1562059999997</v>
      </c>
      <c r="AD296">
        <f t="shared" si="4"/>
        <v>114277.54807800001</v>
      </c>
      <c r="AE296" s="3">
        <f>5242+(1068-559)+(0+(0-0))+0-0-0</f>
        <v>5751</v>
      </c>
    </row>
    <row r="297" spans="1:31" s="2" customFormat="1" x14ac:dyDescent="0.25">
      <c r="A297">
        <v>89</v>
      </c>
      <c r="B297">
        <v>10</v>
      </c>
      <c r="C297">
        <v>21</v>
      </c>
      <c r="D297">
        <v>4</v>
      </c>
      <c r="E297">
        <v>1</v>
      </c>
      <c r="F297" s="3">
        <f>4527.8+(666.8-1126.5)+(-4.618356+(-0.680136--1.14903))+0-0-0</f>
        <v>4063.9505380000005</v>
      </c>
      <c r="G297" s="3">
        <f>4384.2+(315-919.8)+(-4.471884+(-0.3213--0.938196))+0-0-0</f>
        <v>3775.5450119999996</v>
      </c>
      <c r="H297" s="3">
        <f>4341.8+(297.7-1040.3)+(2.214318+(0.151827-0.530553))+0-0-0</f>
        <v>3601.0355920000002</v>
      </c>
      <c r="I297" s="3">
        <f>4295.2+(341.8-1112.1)+(2.190552+(0.174318-0.567171))+13.3-0-0</f>
        <v>3539.997699</v>
      </c>
      <c r="J297" s="3">
        <f>4294.9+(379.7-1084.7)+(4.380798+(0.387294-1.106394))+0-0-0</f>
        <v>3593.5616979999995</v>
      </c>
      <c r="K297" s="3">
        <f>4020.4+(453.4-930)+(-2.050404+(-0.231234--0.4743))+12.6-0-0</f>
        <v>3554.592662</v>
      </c>
      <c r="L297" s="3">
        <f>4489.7+(533.1-1069)+(-13.738482+(-1.631286--3.27114))+0-0-0</f>
        <v>3941.7013719999995</v>
      </c>
      <c r="M297" s="3">
        <f>4503.4+(700.6-938.4)+(0+(0-0))+0-0-0</f>
        <v>4265.5999999999995</v>
      </c>
      <c r="N297" s="3">
        <f>4667.9+(783.9-751)+(-4.761258+(-0.799578--0.76602))+0-0-0</f>
        <v>4696.0051839999996</v>
      </c>
      <c r="O297" s="3">
        <f>4775.8+(1030.3-596.5)+(-2.435658+(-0.525453--0.304215))+0-0-0</f>
        <v>5206.9431039999999</v>
      </c>
      <c r="P297" s="3">
        <f>4862.5+(1172.9-616.9)+(2.479875+(0.598179-0.314619))+0-0-0</f>
        <v>5421.2634349999998</v>
      </c>
      <c r="Q297" s="3">
        <f>4945.4+(1199.2-640.1)+(-7.566462+(-1.834776--0.979353))+0-0-0</f>
        <v>5496.0781150000003</v>
      </c>
      <c r="R297" s="3">
        <f>5019.4+(1087.5-719.2)+(-12.79947+(-2.773125--1.83396))+0-0-0</f>
        <v>5373.9613650000001</v>
      </c>
      <c r="S297" s="3">
        <f>5045.2+(973-742.2)+(0+(0-0))+0-0-0</f>
        <v>5276</v>
      </c>
      <c r="T297" s="3">
        <f>5008.6+(1021.6-705.8)+(2.554386+(0.521016-0.359958))+0-0-0</f>
        <v>5327.1154440000009</v>
      </c>
      <c r="U297" s="3">
        <f>4986.4+(973.2-603.7)+(0+(0-0))+0-0-0</f>
        <v>5355.9</v>
      </c>
      <c r="V297" s="3">
        <f>5064.3+(929.4-539.5)+(-2.582793+(-0.473994--0.275145))+0-0-0</f>
        <v>5451.4183579999999</v>
      </c>
      <c r="W297" s="3">
        <f>5297.6+(1008-538.7)+(2.701776+(0.51408-0.274737))+0-0-0</f>
        <v>5769.8411190000006</v>
      </c>
      <c r="X297" s="3">
        <f>5365.8+(1073.7-713)+(-8.209674+(-1.642761--1.09089))+0-0-0</f>
        <v>5717.7384549999997</v>
      </c>
      <c r="Y297" s="3">
        <f>5323.4+(943.5-738)+(-10.859736+(-1.92474--1.50552))+0-0-0</f>
        <v>5517.6210439999995</v>
      </c>
      <c r="Z297" s="3">
        <f>5283.8+(817.9-734.5)+(-10.778952+(-1.668516--1.49838))+0-0-0</f>
        <v>5356.2509119999995</v>
      </c>
      <c r="AA297" s="3">
        <f>5206.2+(722-838.7)+(-10.620648+(-1.47288--1.710948))+0-0-0</f>
        <v>5079.1174199999996</v>
      </c>
      <c r="AB297" s="3">
        <f>5100.7+(722.4-911.3)+(-7.804071+(-1.105272--1.394289))+0-0-0</f>
        <v>4904.2849459999998</v>
      </c>
      <c r="AC297" s="3">
        <f>4712.7+(719.9-857.1)+(-16.824339+(-2.570043--3.059847))+0-0-0</f>
        <v>4559.165465</v>
      </c>
      <c r="AD297">
        <f t="shared" si="4"/>
        <v>114844.68893899999</v>
      </c>
      <c r="AE297" s="3">
        <f>5375+(1113.3-689.4)+(0+(0-0))+0-0-0</f>
        <v>5798.9</v>
      </c>
    </row>
    <row r="298" spans="1:31" s="2" customFormat="1" x14ac:dyDescent="0.25">
      <c r="A298">
        <v>89</v>
      </c>
      <c r="B298">
        <v>10</v>
      </c>
      <c r="C298">
        <v>22</v>
      </c>
      <c r="D298">
        <v>5</v>
      </c>
      <c r="E298">
        <v>1</v>
      </c>
      <c r="F298" s="3">
        <f>4336.5+(527.3-826.5)+(4.42323+(0.537846-0.84303))+0-0-0</f>
        <v>4041.4180460000002</v>
      </c>
      <c r="G298" s="3">
        <f>4187.8+(400.4-810.6)+(0+(0-0))+0-0-0</f>
        <v>3777.6000000000004</v>
      </c>
      <c r="H298" s="3">
        <f>4171.7+(398.4-932.5)+(0+(0-0))+0-0-0</f>
        <v>3637.6</v>
      </c>
      <c r="I298" s="3">
        <f>4055.1+(388.7-876)+(0+(0-0))+0-0-0</f>
        <v>3567.7999999999997</v>
      </c>
      <c r="J298" s="3">
        <f>4003.2+(365.4-778.4)+(10.20816+(0.93177-1.98492))+0-0-0</f>
        <v>3599.3550099999998</v>
      </c>
      <c r="K298" s="3">
        <f>4126.4+(351.2-892.9)+(0+(0-0))+0-0-0</f>
        <v>3584.7</v>
      </c>
      <c r="L298" s="3">
        <f>4448.2+(407.1-1056.8)+(-2.268582+(-0.207621--0.538968))+0-0-0</f>
        <v>3796.5627650000001</v>
      </c>
      <c r="M298" s="3">
        <f>4755.1+(509.3-896.7)+(2.425101+(0.259743-0.457317))+0-0-0</f>
        <v>4369.9275270000007</v>
      </c>
      <c r="N298" s="3">
        <f>5014.4+(545.4-722.4)+(10.229376+(1.112616-1.473696))+0-0-0</f>
        <v>4847.2682959999993</v>
      </c>
      <c r="O298" s="3">
        <f>5010.7+(852.9-708.7)+(5.110914+(0.869958-0.722874))+0-0-0</f>
        <v>5160.1579979999997</v>
      </c>
      <c r="P298" s="3">
        <f>5023.7+(1191-706)+(10.248348+(2.42964-1.44024))+0-0-0</f>
        <v>5519.9377479999994</v>
      </c>
      <c r="Q298" s="3">
        <f>4984.5+(1278.9-674.8)+(0+(0-0))+0-0-0</f>
        <v>5588.6</v>
      </c>
      <c r="R298" s="3">
        <f>4996.2+(1098.9-656.8)+(-7.644186+(-1.681317--1.004904))+0-0-0</f>
        <v>5429.9794010000005</v>
      </c>
      <c r="S298" s="3">
        <f>5073.8+(956.6-564.7)+(-10.350552+(-1.951464--1.151988))+0-0-0</f>
        <v>5454.5499719999998</v>
      </c>
      <c r="T298" s="3">
        <f>4951.8+(928.1-539.9)+(0+(0-0))+0-0-0</f>
        <v>5340</v>
      </c>
      <c r="U298" s="3">
        <f>5047.6+(848.3-574.2)+(-5.148552+(-0.865266--0.585684))+0.9-0-0</f>
        <v>5317.1718660000006</v>
      </c>
      <c r="V298" s="3">
        <f>4850+(837.5-541.8)+(-14.841+(-2.56275--1.657908))+0-0-0</f>
        <v>5129.9541579999996</v>
      </c>
      <c r="W298" s="3">
        <f>5289.6+(727.6-416)+(-2.697696+(-0.371076--0.21216))+0-0-0</f>
        <v>5598.3433880000011</v>
      </c>
      <c r="X298" s="3">
        <f>5500.3+(658.2-513)+(-8.415459+(-1.007046--0.78489))+0-0-0</f>
        <v>5636.8623850000004</v>
      </c>
      <c r="Y298" s="3">
        <f>5432.6+(609.3-541.8)+(-5.541252+(-0.621486--0.552636))+0-0-0</f>
        <v>5494.4898980000007</v>
      </c>
      <c r="Z298" s="3">
        <f>5213.4+(678.9-648.4)+(-2.658834+(-0.346239--0.330684))+0-0-0</f>
        <v>5241.2256109999998</v>
      </c>
      <c r="AA298" s="3">
        <f>5076+(610.6-705.9)+(-2.58876+(-0.311406--0.360009))+0-0-0</f>
        <v>4978.1598429999995</v>
      </c>
      <c r="AB298" s="3">
        <f>4914.9+(431.4-691.5)+(-2.506599+(-0.220014--0.352665))+0-0-0</f>
        <v>4652.4260519999989</v>
      </c>
      <c r="AC298" s="3">
        <f>4611.4+(416.5-789.8)+(-4.703628+(-0.42483--0.805596))+0-0-0</f>
        <v>4233.7771379999995</v>
      </c>
      <c r="AD298">
        <f t="shared" si="4"/>
        <v>113997.867102</v>
      </c>
      <c r="AE298" s="3">
        <f>5579+(710.5-491.2)+(0+(0-0))+0-0-0</f>
        <v>5798.3</v>
      </c>
    </row>
    <row r="299" spans="1:31" s="2" customFormat="1" x14ac:dyDescent="0.25">
      <c r="A299">
        <v>89</v>
      </c>
      <c r="B299">
        <v>10</v>
      </c>
      <c r="C299">
        <v>23</v>
      </c>
      <c r="D299">
        <v>6</v>
      </c>
      <c r="E299">
        <v>1</v>
      </c>
      <c r="F299" s="3">
        <f>4378.7+(256.4-886.6)+(-6.699411+(-0.392292--1.356498))+0-0-0</f>
        <v>3742.764795</v>
      </c>
      <c r="G299" s="3">
        <f>4269.7+(196.7-790.2)+(0+(0-0))+0-0-0</f>
        <v>3676.2</v>
      </c>
      <c r="H299" s="3">
        <f>4201.7+(189.2-792.4)+(2.142867+(0.096492-0.404124))+0-0-0</f>
        <v>3600.335235</v>
      </c>
      <c r="I299" s="3">
        <f>4184.3+(182.1-825.2)+(2.133993+(0.092871-0.420852))+0-0-0</f>
        <v>3543.0060120000003</v>
      </c>
      <c r="J299" s="3">
        <f>4182.5+(175.3-851.8)+(4.26615+(0.178806-0.868836))+0-0-0</f>
        <v>3509.5761200000002</v>
      </c>
      <c r="K299" s="3">
        <f>4192.1+(153.5-797.8)+(4.275942+(0.15657-0.813756))+0-0-0</f>
        <v>3551.418756</v>
      </c>
      <c r="L299" s="3">
        <f>4375.4+(153.5-808.9)+(0+(0-0))+0-0-0</f>
        <v>3719.9999999999995</v>
      </c>
      <c r="M299" s="3">
        <f>4610.7+(200.4-757.6)+(-2.351457+(-0.102204--0.386376))+0-0-0</f>
        <v>4051.4327149999999</v>
      </c>
      <c r="N299" s="3">
        <f>4793.2+(309.5-560)+(-4.889064+(-0.31569--0.5712))+0-0-0</f>
        <v>4538.0664459999998</v>
      </c>
      <c r="O299" s="3">
        <f>4929.7+(402.2-437.4)+(2.514147+(0.205122-0.223074))+0-0-0</f>
        <v>4896.9961949999997</v>
      </c>
      <c r="P299" s="3">
        <f>4955.1+(654.2-411)+(5.054202+(0.667284-0.41922))+0-0-0</f>
        <v>5203.6022659999999</v>
      </c>
      <c r="Q299" s="3">
        <f>5093+(606.9-392.4)+(-2.59743+(-0.309519--0.200124))+0-0-0</f>
        <v>5304.7931749999998</v>
      </c>
      <c r="R299" s="3">
        <f>5050.6+(611.8-457.2)+(-2.575806+(-0.312018--0.233172))+0-0-0</f>
        <v>5202.5453480000006</v>
      </c>
      <c r="S299" s="3">
        <f>4882.7+(539.5-473.5)+(0+(0-0))+0-0-0</f>
        <v>4948.7</v>
      </c>
      <c r="T299" s="3">
        <f>4943.3+(419.5-496.7)+(-10.084332+(-0.85578--1.013268))+0-0-0</f>
        <v>4856.1731560000007</v>
      </c>
      <c r="U299" s="3">
        <f>4809.9+(490.5-553.5)+(0+(0-0))+0-0-0</f>
        <v>4746.8999999999996</v>
      </c>
      <c r="V299" s="3">
        <f>4939.8+(390.1-524.4)+(-2.519298+(-0.198951--0.267444))+0-0-0</f>
        <v>4803.0491949999996</v>
      </c>
      <c r="W299" s="3">
        <f>5283.2+(562-550.4)+(0+(0-0))+0-0-0</f>
        <v>5294.8</v>
      </c>
      <c r="X299" s="3">
        <f>5349.6+(656.4-638.6)+(-5.456592+(-0.669528--0.651372))+0-0-0</f>
        <v>5361.9252520000009</v>
      </c>
      <c r="Y299" s="3">
        <f>5319.8+(451.4-562.4)+(-5.426196+(-0.460428--0.573648))+0-0-0</f>
        <v>5203.487024</v>
      </c>
      <c r="Z299" s="3">
        <f>5226.7+(373.8-561.9)+(-5.331234+(-0.381276--0.573138))+0-0-0</f>
        <v>5033.4606279999998</v>
      </c>
      <c r="AA299" s="3">
        <f>5217.8+(405.1-723.9)+(5.322156+(0.413202-0.738378))+0-0-0</f>
        <v>4903.9969799999999</v>
      </c>
      <c r="AB299" s="3">
        <f>4967.2+(502.1-780.7)+(-5.066544+(-0.512142--0.796314))+0-0-0</f>
        <v>4683.8176279999998</v>
      </c>
      <c r="AC299" s="3">
        <f>4769+(422.9-812.1)+(-7.29657+(-0.647037--1.242513))+0-0-0</f>
        <v>4373.0989060000002</v>
      </c>
      <c r="AD299">
        <f t="shared" si="4"/>
        <v>108750.14583199999</v>
      </c>
      <c r="AE299" s="3">
        <f>5346+(722.8-639.3)+(0+(0-0))+0-0-0</f>
        <v>5429.5</v>
      </c>
    </row>
    <row r="300" spans="1:31" s="2" customFormat="1" x14ac:dyDescent="0.25">
      <c r="A300">
        <v>89</v>
      </c>
      <c r="B300">
        <v>10</v>
      </c>
      <c r="C300">
        <v>24</v>
      </c>
      <c r="D300">
        <v>7</v>
      </c>
      <c r="E300">
        <v>1</v>
      </c>
      <c r="F300" s="3">
        <f>4571.6+(482.8-1009.2)+(0+(0-0))+0-0-0</f>
        <v>4045.2000000000003</v>
      </c>
      <c r="G300" s="3">
        <f>4407.5+(339.7-970.1)+(-6.743475+(-0.519741--1.484253))+0-0-0</f>
        <v>3771.3210369999997</v>
      </c>
      <c r="H300" s="3">
        <f>4357.3+(132.8-942.1)+(-2.222223+(-0.067728--0.480471))+0-0-0</f>
        <v>3546.1905200000001</v>
      </c>
      <c r="I300" s="3">
        <f>4424.8+(117.3-1064.4)+(2.256648+(0.059823-0.542844))+0-0-0</f>
        <v>3479.4736269999999</v>
      </c>
      <c r="J300" s="3">
        <f>4423.1+(111.8-1112.1)+(2.255781+(0.057018-0.567171))+0-0-0</f>
        <v>3424.5456280000003</v>
      </c>
      <c r="K300" s="3">
        <f>4468.6+(132.2-1209.7)+(9.115944+(0.269688-2.467788))+0-0-0</f>
        <v>3398.0178440000004</v>
      </c>
      <c r="L300" s="3">
        <f>4351.4+(166.6-1144.3)+(-6.657642+(-0.254898--1.750779))+0-0-0</f>
        <v>3368.538239</v>
      </c>
      <c r="M300" s="3">
        <f>4341.4+(293.5-1203.7)+(-8.856456+(-0.59874--2.455548))+0-0-0</f>
        <v>3424.2003519999998</v>
      </c>
      <c r="N300" s="3">
        <f>4345.2+(286.9-1211.2)+(6.648156+(0.438957-1.853136))+0-0-0</f>
        <v>3426.1339769999995</v>
      </c>
      <c r="O300" s="3">
        <f>4446.7+(424.7-1150.7)+(-4.535634+(-0.433194--1.173714))+0-0-0</f>
        <v>3716.9048859999998</v>
      </c>
      <c r="P300" s="3">
        <f>4557.2+(529.7-1098.7)+(-4.648344+(-0.540294--1.120674))+0-0-0</f>
        <v>3984.132036</v>
      </c>
      <c r="Q300" s="3">
        <f>4828+(559.3-1184.1)+(-7.38684+(-0.855729--1.811673))+0-0-0</f>
        <v>4196.769104</v>
      </c>
      <c r="R300" s="3">
        <f>4815.6+(496.4-1097.7)+(-9.823824+(-1.012656--2.239308))+0-0-0</f>
        <v>4205.7028280000004</v>
      </c>
      <c r="S300" s="3">
        <f>4626.6+(541.1-1026)+(-7.078698+(-0.827883--1.56978))+0-0-0</f>
        <v>4135.3631990000003</v>
      </c>
      <c r="T300" s="3">
        <f>4474.5+(582-951.3)+(-2.281995+(-0.29682--0.485163))+0-0-0</f>
        <v>4103.1063480000003</v>
      </c>
      <c r="U300" s="3">
        <f>4331.8+(658.9-978.6)+(-11.04609+(-1.680195--2.49543))+0-0-0</f>
        <v>4001.8691450000006</v>
      </c>
      <c r="V300" s="3">
        <f>4551.3+(578.5-1078)+(-11.605815+(-1.475175--2.7489))+0-0-0</f>
        <v>4041.4679100000003</v>
      </c>
      <c r="W300" s="3">
        <f>4984.6+(575.8-909)+(-7.626438+(-0.880974--1.39077))+0-0-0</f>
        <v>4644.2833580000006</v>
      </c>
      <c r="X300" s="3">
        <f>5235+(596.8-942)+(-2.66985+(-0.304368--0.48042))+0-0-0</f>
        <v>4887.3062019999998</v>
      </c>
      <c r="Y300" s="3">
        <f>5213.3+(584.7-927.8)+(-7.976349+(-0.894591--1.419534))+0-0-0</f>
        <v>4862.7485940000006</v>
      </c>
      <c r="Z300" s="3">
        <f>5191.2+(654.7-1081.9)+(2.647512+(0.333897-0.551769))+0-0-0</f>
        <v>4766.4296400000003</v>
      </c>
      <c r="AA300" s="3">
        <f>5139.6+(726.8-1195)+(-2.621196+(-0.370668--0.60945))+0-0-0</f>
        <v>4669.0175860000008</v>
      </c>
      <c r="AB300" s="3">
        <f>5111.3+(577.1-1175.1)+(-7.820289+(-0.882963--1.797903))+0-0-0</f>
        <v>4506.3946510000005</v>
      </c>
      <c r="AC300" s="3">
        <f>5069.4+(329.6-1200.2)+(5.170788+(0.336192-1.224204))+0-0-0</f>
        <v>4203.0827759999993</v>
      </c>
      <c r="AD300">
        <f t="shared" si="4"/>
        <v>96808.199487000005</v>
      </c>
      <c r="AE300" s="3">
        <f>5222+(619.3-935.1)+(0+(0-0))+0-0-0</f>
        <v>4906.2</v>
      </c>
    </row>
    <row r="301" spans="1:31" s="2" customFormat="1" x14ac:dyDescent="0.25">
      <c r="A301">
        <v>89</v>
      </c>
      <c r="B301">
        <v>10</v>
      </c>
      <c r="C301">
        <v>25</v>
      </c>
      <c r="D301">
        <v>1</v>
      </c>
      <c r="E301">
        <v>1</v>
      </c>
      <c r="F301" s="3">
        <f>4524.6+(286.4-1021.2)+(-6.922638+(-0.438192--1.562436))+0-0-0</f>
        <v>3784.0016060000003</v>
      </c>
      <c r="G301" s="3">
        <f>4279+(225.3-999.1)+(0+(0-0))+0-0-0</f>
        <v>3505.2</v>
      </c>
      <c r="H301" s="3">
        <f>4105.8+(281.6-1002.1)+(-4.187916+(-0.287232--1.022142))+0-0-0</f>
        <v>3381.846994</v>
      </c>
      <c r="I301" s="3">
        <f>4054.3+(293.6-1044.2)+(4.135386+(0.299472-1.065084))+0-0-0</f>
        <v>3307.0697740000001</v>
      </c>
      <c r="J301" s="3">
        <f>4148.3+(296.6-971.6)+(4.231266+(0.302532-0.991032))+0-0-0</f>
        <v>3476.8427660000002</v>
      </c>
      <c r="K301" s="3">
        <f>4075.6+(399-944.7)+(-4.157112+(-0.40698--0.963594))+0-0-0</f>
        <v>3526.2995019999998</v>
      </c>
      <c r="L301" s="3">
        <f>4163+(529.2-1038.2)+(-6.36939+(-0.809676--1.588446))+0-0-0</f>
        <v>3648.4093800000001</v>
      </c>
      <c r="M301" s="3">
        <f>4641+(745.3-1162.5)+(-2.36691+(-0.380103--0.592875))+0-0-0</f>
        <v>4221.6458620000003</v>
      </c>
      <c r="N301" s="3">
        <f>4896.4+(705.3-1016.4)+(2.497164+(0.359703-0.518364))+0-0-0</f>
        <v>4587.6385029999992</v>
      </c>
      <c r="O301" s="3">
        <f>5362.2+(636.2-817.5)+(2.734722+(0.324462-0.416925))+0-0-0</f>
        <v>5183.5422589999998</v>
      </c>
      <c r="P301" s="3">
        <f>5213.8+(824.9-538.9)+(0+(0-0))+0-0-0</f>
        <v>5499.8</v>
      </c>
      <c r="Q301" s="3">
        <f>5197+(919.3-483.7)+(0+(0-0))+0-0-0</f>
        <v>5632.6</v>
      </c>
      <c r="R301" s="3">
        <f>5244.7+(796.6-512.4)+(-2.674797+(-0.406266--0.261324))+0-0-0</f>
        <v>5526.0802610000001</v>
      </c>
      <c r="S301" s="3">
        <f>5303+(803.7-585.9)+(0+(0-0))+0-0-0</f>
        <v>5520.8</v>
      </c>
      <c r="T301" s="3">
        <f>5368.2+(836.7-665.5)+(2.737782+(0.426717-0.339405))+0-0-0</f>
        <v>5542.2250939999994</v>
      </c>
      <c r="U301" s="3">
        <f>5426.2+(698.1-588.3)+(2.767362+(0.356031-0.300033))+0-0-0</f>
        <v>5538.8233600000003</v>
      </c>
      <c r="V301" s="3">
        <f>5447.9+(649.7-413.4)+(-2.778429+(-0.331347--0.210834))+0-0-0</f>
        <v>5681.301058</v>
      </c>
      <c r="W301" s="3">
        <f>5460.6+(772.1-293)+(2.784906+(0.393771-0.14943))+0-0-0</f>
        <v>5942.7292470000011</v>
      </c>
      <c r="X301" s="3">
        <f>5398+(776.9-287.5)+(-11.01192+(-1.584876--0.5865))+0-0-0</f>
        <v>5875.3897039999993</v>
      </c>
      <c r="Y301" s="3">
        <f>5528.7+(667.7-280.3)+(-2.819637+(-0.340527--0.142953))+0-0-0</f>
        <v>5913.0827889999991</v>
      </c>
      <c r="Z301" s="3">
        <f>5513.1+(550.3-417)+(-14.058405+(-1.403265--1.06335))+0-0-0</f>
        <v>5632.0016800000003</v>
      </c>
      <c r="AA301" s="3">
        <f>5534.5+(520.5-676)+(-8.467785+(-0.796365--1.03428))+0-0-0</f>
        <v>5370.7701299999999</v>
      </c>
      <c r="AB301" s="3">
        <f>5508.1+(510.8-849.8)+(-5.618262+(-0.521016--0.866796))+0-0-0</f>
        <v>5163.8275180000001</v>
      </c>
      <c r="AC301" s="3">
        <f>5371.1+(402.7-906.1)+(-13.696305+(-1.026885--2.310555))+0-0-0</f>
        <v>4855.287365000001</v>
      </c>
      <c r="AD301">
        <f t="shared" si="4"/>
        <v>116317.214852</v>
      </c>
      <c r="AE301" s="3">
        <f>5416+(874.4-303)+(0+(0-0))+0-0-0</f>
        <v>5987.4</v>
      </c>
    </row>
    <row r="302" spans="1:31" s="2" customFormat="1" x14ac:dyDescent="0.25">
      <c r="A302">
        <v>89</v>
      </c>
      <c r="B302">
        <v>10</v>
      </c>
      <c r="C302">
        <v>26</v>
      </c>
      <c r="D302">
        <v>2</v>
      </c>
      <c r="E302">
        <v>1</v>
      </c>
      <c r="F302" s="3">
        <f>4669.6+(237.1-774.7)+(-2.381496+(-0.120921--0.395097))+0-0-0</f>
        <v>4129.8926799999999</v>
      </c>
      <c r="G302" s="3">
        <f>4434.1+(253.6-888.5)+(-4.522782+(-0.258672--0.90627))+2.8-0-0</f>
        <v>3798.1248160000005</v>
      </c>
      <c r="H302" s="3">
        <f>4328.9+(150.5-812.9)+(-6.623217+(-0.230265--1.243737))+37.8-0-0</f>
        <v>3698.6902549999995</v>
      </c>
      <c r="I302" s="3">
        <f>4238.1+(144.5-800.6)+(-4.322862+(-0.14739--0.816612))+0-0-0</f>
        <v>3578.3463600000005</v>
      </c>
      <c r="J302" s="3">
        <f>4098.3+(220.4-754.3)+(-10.450665+(-0.56202--1.923465))+0-0-0</f>
        <v>3555.3107800000002</v>
      </c>
      <c r="K302" s="3">
        <f>4009.5+(303.6-713.9)+(4.08969+(0.309672-0.728178))+0-0-0</f>
        <v>3602.8711839999996</v>
      </c>
      <c r="L302" s="3">
        <f>4232+(427.7-869.6)+(-12.94992+(-1.308762--2.660976))+0-0-0</f>
        <v>3778.5022939999999</v>
      </c>
      <c r="M302" s="3">
        <f>4424.3+(635.8-883.2)+(-2.256393+(-0.324258--0.450432))+0-0-0</f>
        <v>4174.769781</v>
      </c>
      <c r="N302" s="3">
        <f>4909.7+(610.7-797.2)+(-10.015788+(-1.245828--1.626288))+0-0-0</f>
        <v>4713.5646719999995</v>
      </c>
      <c r="O302" s="3">
        <f>5285.1+(513.9-718.8)+(0+(0-0))+0-0-0</f>
        <v>5080.2000000000007</v>
      </c>
      <c r="P302" s="3">
        <f>5479+(512.6-602.6)+(-5.58858+(-0.522852--0.614652))+0-0-0</f>
        <v>5383.5032199999996</v>
      </c>
      <c r="Q302" s="3">
        <f>5438.2+(559.9-500.5)+(-5.546964+(-0.571098--0.51051))+0-0-0</f>
        <v>5491.9924479999991</v>
      </c>
      <c r="R302" s="3">
        <f>5408.9+(607.9-546.8)+(0+(0-0))+0-0-0</f>
        <v>5470</v>
      </c>
      <c r="S302" s="3">
        <f>5367.7+(573-602.1)+(-2.737527+(-0.29223--0.307071))+0-0-0</f>
        <v>5335.8773139999994</v>
      </c>
      <c r="T302" s="3">
        <f>5493.4+(596.1-715)+(-5.603268+(-0.608022--0.7293))+0-0-0</f>
        <v>5369.0180099999998</v>
      </c>
      <c r="U302" s="3">
        <f>5537.8+(619.2-803.9)+(-5.648556+(-0.631584--0.819978))+0-0-0</f>
        <v>5347.6398380000001</v>
      </c>
      <c r="V302" s="3">
        <f>5504.1+(530-536.1)+(-11.228364+(-1.0812--1.093644))+0-0-0</f>
        <v>5486.7840800000004</v>
      </c>
      <c r="W302" s="3">
        <f>5602.8+(531.8-437.7)+(0+(0-0))+0-0-0</f>
        <v>5696.9000000000005</v>
      </c>
      <c r="X302" s="3">
        <f>5852.1+(371.4-522.9)+(-2.984571+(-0.189414--0.266679))+0-0-0</f>
        <v>5697.6926940000003</v>
      </c>
      <c r="Y302" s="3">
        <f>5891+(292.9-627.4)+(-15.02205+(-0.746895--1.59987))+0-0-0</f>
        <v>5542.3309250000002</v>
      </c>
      <c r="Z302" s="3">
        <f>5782+(319.5-680.9)+(-8.84646+(-0.488835--1.041777))+0-0-0</f>
        <v>5412.306482</v>
      </c>
      <c r="AA302" s="3">
        <f>5530.5+(484.3-897.3)+(-11.28222+(-0.987972--1.830492))+0-0-0</f>
        <v>5107.0603000000001</v>
      </c>
      <c r="AB302" s="3">
        <f>5370.2+(592.1-1135.2)+(0+(0-0))+0-0-0</f>
        <v>4827.0999999999995</v>
      </c>
      <c r="AC302" s="3">
        <f>5301.5+(646.3-1433.2)+(-18.926355+(-2.307291--5.116524))+0-0-0</f>
        <v>4498.4828780000007</v>
      </c>
      <c r="AD302">
        <f t="shared" si="4"/>
        <v>114776.96101099999</v>
      </c>
      <c r="AE302" s="3">
        <f>5890+(374-479.2)+(0+(0-0))+0-0-0</f>
        <v>5784.8</v>
      </c>
    </row>
    <row r="303" spans="1:31" s="2" customFormat="1" x14ac:dyDescent="0.25">
      <c r="A303">
        <v>89</v>
      </c>
      <c r="B303">
        <v>10</v>
      </c>
      <c r="C303">
        <v>27</v>
      </c>
      <c r="D303">
        <v>3</v>
      </c>
      <c r="E303">
        <v>1</v>
      </c>
      <c r="F303" s="3">
        <f>5000.5+(462.7-1286.9)+(-5.10051+(-0.471954--1.312638))+0-0-0</f>
        <v>4172.0401739999998</v>
      </c>
      <c r="G303" s="3">
        <f>4513.9+(278.3-925.3)+(-11.510445+(-0.709665--2.359515))+0-0-0</f>
        <v>3857.0394049999995</v>
      </c>
      <c r="H303" s="3">
        <f>4329.1+(282.6-946.2)+(4.415682+(0.288252-0.965124))+0-0-0</f>
        <v>3669.2388100000003</v>
      </c>
      <c r="I303" s="3">
        <f>4329.5+(249-961.4)+(0+(0-0))+0-0-0</f>
        <v>3617.1</v>
      </c>
      <c r="J303" s="3">
        <f>4232+(248.6-918.2)+(2.15832+(0.126786-0.468282))+0-0-0</f>
        <v>3564.2168240000001</v>
      </c>
      <c r="K303" s="3">
        <f>4184+(325.9-830.8)+(-10.6692+(-0.831045--2.11854))+0-0-0</f>
        <v>3669.7182950000001</v>
      </c>
      <c r="L303" s="3">
        <f>4514.8+(406.1-1119)+(0+(0-0))+2.9-0-0</f>
        <v>3804.8</v>
      </c>
      <c r="M303" s="3">
        <f>4859+(610.7-1149.7)+(-7.43427+(-0.934371--1.759041))+22-0-0</f>
        <v>4335.3904000000002</v>
      </c>
      <c r="N303" s="3">
        <f>4964+(585.5-800.8)+(-7.59492+(-0.895815--1.225224))+0-0-0</f>
        <v>4741.4344890000002</v>
      </c>
      <c r="O303" s="3">
        <f>5286.6+(658.1-799.1)+(2.696166+(0.335631-0.407541))+0-0-0</f>
        <v>5148.2242560000004</v>
      </c>
      <c r="P303" s="3">
        <f>5442.1+(783.6-823.7)+(-13.877355+(-1.99818--2.100435))+0-0-0</f>
        <v>5388.2249000000002</v>
      </c>
      <c r="Q303" s="3">
        <f>5525.2+(833.3-827)+(2.817852+(0.424983-0.42177))+0-0-0</f>
        <v>5534.3210650000001</v>
      </c>
      <c r="R303" s="3">
        <f>5505.6+(849.3-881.1)+(-14.03928+(-2.165715--2.246805))+0-0-0</f>
        <v>5459.8418099999999</v>
      </c>
      <c r="S303" s="3">
        <f>5445.9+(754.4-865.3)+(0+(0-0))+0-0-0</f>
        <v>5335</v>
      </c>
      <c r="T303" s="3">
        <f>5383.4+(703.5-716)+(-8.236602+(-1.076355--1.09548))+0-0-0</f>
        <v>5362.6825229999995</v>
      </c>
      <c r="U303" s="3">
        <f>5269.6+(601-592.9)+(-5.374992+(-0.61302--0.604758))+0-0-0</f>
        <v>5272.3167460000004</v>
      </c>
      <c r="V303" s="3">
        <f>5310.7+(576.1-551.2)+(-2.708457+(-0.293811--0.281112))+0-0-0</f>
        <v>5332.8788439999998</v>
      </c>
      <c r="W303" s="3">
        <f>5619.9+(543.3-527)+(-2.866149+(-0.277083--0.26877))+0-0-0</f>
        <v>5633.3255380000001</v>
      </c>
      <c r="X303" s="3">
        <f>5842.5+(511.4-630)+(-8.939025+(-0.782442--0.9639))+0-0-0</f>
        <v>5715.142433</v>
      </c>
      <c r="Y303" s="3">
        <f>5734.7+(561.1-672.2)+(-8.774091+(-0.858483--1.028466))+0-0-0</f>
        <v>5614.995891999999</v>
      </c>
      <c r="Z303" s="3">
        <f>5465.9+(602.9-629.9)+(0+(0-0))+0-0-0</f>
        <v>5438.9</v>
      </c>
      <c r="AA303" s="3">
        <f>5288.4+(645.8-706.8)+(2.697084+(0.329358-0.360468))+0-0-0</f>
        <v>5230.0659739999992</v>
      </c>
      <c r="AB303" s="3">
        <f>5114.4+(566.5-703)+(-5.216688+(-0.57783--0.71706))+0-0-0</f>
        <v>4972.8225419999999</v>
      </c>
      <c r="AC303" s="3">
        <f>4964.1+(495.8-794.7)+(-5.063382+(-0.505716--0.810594))+0-0-0</f>
        <v>4660.4414960000004</v>
      </c>
      <c r="AD303">
        <f t="shared" si="4"/>
        <v>115530.16241599998</v>
      </c>
      <c r="AE303" s="3">
        <f>5931+(569.9-561.2)+(0+(0-0))+0-0-0</f>
        <v>5939.7</v>
      </c>
    </row>
    <row r="304" spans="1:31" s="2" customFormat="1" x14ac:dyDescent="0.25">
      <c r="A304">
        <v>89</v>
      </c>
      <c r="B304">
        <v>10</v>
      </c>
      <c r="C304">
        <v>28</v>
      </c>
      <c r="D304">
        <v>4</v>
      </c>
      <c r="E304">
        <v>1</v>
      </c>
      <c r="F304" s="3">
        <f>4737.1+(338.9-936.5)+(-14.495526+(-1.037034--2.86569))+0-0-0</f>
        <v>4126.83313</v>
      </c>
      <c r="G304" s="3">
        <f>4331.7+(253.4-787.6)+(-2.209167+(-0.129234--0.401676))+0-0-0</f>
        <v>3795.563275</v>
      </c>
      <c r="H304" s="3">
        <f>4300.4+(156.2-741.4)+(-2.193204+(-0.079662--0.378114))+0-0-0</f>
        <v>3713.3052479999997</v>
      </c>
      <c r="I304" s="3">
        <f>4205.2+(158.8-752.4)+(-6.433956+(-0.242964--1.151172))+0-0-0</f>
        <v>3606.0742519999999</v>
      </c>
      <c r="J304" s="3">
        <f>4195.3+(161.7-793.7)+(0+(0-0))+0-0-0</f>
        <v>3563.3</v>
      </c>
      <c r="K304" s="3">
        <f>4079.5+(222.7-657.1)+(0+(0-0))+0-0-0</f>
        <v>3645.1</v>
      </c>
      <c r="L304" s="3">
        <f>4266.5+(281.5-724.9)+(-10.879575+(-0.717825--1.848495))+0-0-0</f>
        <v>3813.351095</v>
      </c>
      <c r="M304" s="3">
        <f>4582.9+(425.6-774.8)+(4.674558+(0.434112-0.790296))+0-0-0</f>
        <v>4238.0183740000002</v>
      </c>
      <c r="N304" s="3">
        <f>4814.3+(543.9-494.5)+(2.455293+(0.277389-0.252195))+0-0-0</f>
        <v>4866.1804869999996</v>
      </c>
      <c r="O304" s="3">
        <f>4859.4+(667.6-320.3)+(-7.434882+(-1.021428--0.490059))+0-0-0</f>
        <v>5198.733749</v>
      </c>
      <c r="P304" s="3">
        <f>4900.5+(864-322.5)+(-2.499255+(-0.44064--0.164475))+0-0-0</f>
        <v>5439.2245800000001</v>
      </c>
      <c r="Q304" s="3">
        <f>4956.3+(1024.8-344.5)+(-5.055426+(-1.045296--0.35139))+0-0-0</f>
        <v>5630.850668</v>
      </c>
      <c r="R304" s="3">
        <f>4983.3+(870.2-432.8)+(-10.165932+(-1.775208--0.882912))+0-0-0</f>
        <v>5409.6417719999999</v>
      </c>
      <c r="S304" s="3">
        <f>4934.4+(846.8-454.6)+(0+(0-0))+0-0-0</f>
        <v>5326.5999999999995</v>
      </c>
      <c r="T304" s="3">
        <f>4985.9+(712.3-357.8)+(0+(0-0))+0-0-0</f>
        <v>5340.4</v>
      </c>
      <c r="U304" s="3">
        <f>4997.5+(583.4-272.2)+(-5.09745+(-0.595068--0.277644))+0-0-0</f>
        <v>5303.2851259999998</v>
      </c>
      <c r="V304" s="3">
        <f>4953.8+(715.1-207.2)+(-15.158628+(-2.188206--0.634032))+0-0-0</f>
        <v>5444.9871979999998</v>
      </c>
      <c r="W304" s="3">
        <f>5254.2+(733.2-431.6)+(-5.359284+(-0.747864--0.440232))+0-0-0</f>
        <v>5550.1330840000001</v>
      </c>
      <c r="X304" s="3">
        <f>5669.4+(603.7-476)+(-8.674182+(-0.923661--0.72828))+0-0-0</f>
        <v>5788.2304369999993</v>
      </c>
      <c r="Y304" s="3">
        <f>5362.2+(808.8-638.5)+(-5.469444+(-0.824976--0.65127))+0-0-0</f>
        <v>5526.8568500000001</v>
      </c>
      <c r="Z304" s="3">
        <f>5285.9+(845.5-806.4)+(-8.087427+(-1.293615--1.233792))+0-0-0</f>
        <v>5316.85275</v>
      </c>
      <c r="AA304" s="3">
        <f>5268.3+(714.9-884.2)+(-2.686833+(-0.364599--0.450942))+0-0-0</f>
        <v>5096.3995100000002</v>
      </c>
      <c r="AB304" s="3">
        <f>5201.5+(594.8-946.8)+(-2.652765+(-0.303348--0.482868))+0-0-0</f>
        <v>4847.0267549999999</v>
      </c>
      <c r="AC304" s="3">
        <f>5017.6+(500.5-999.2)+(-7.676928+(-0.765765--1.528776))+0-0-0</f>
        <v>4511.9860830000007</v>
      </c>
      <c r="AD304">
        <f t="shared" si="4"/>
        <v>115098.93442300001</v>
      </c>
      <c r="AE304" s="3">
        <f>5726+(550.6-444.2)+(0+(0-0))+0-0-0</f>
        <v>5832.4</v>
      </c>
    </row>
    <row r="305" spans="1:31" s="2" customFormat="1" x14ac:dyDescent="0.25">
      <c r="A305">
        <v>89</v>
      </c>
      <c r="B305">
        <v>10</v>
      </c>
      <c r="C305">
        <v>29</v>
      </c>
      <c r="D305">
        <v>5</v>
      </c>
      <c r="E305">
        <v>1</v>
      </c>
      <c r="F305" s="3">
        <f>4678.1+(355.4-950)+(-11.929155+(-0.90627--2.4225))+0-0-0</f>
        <v>4073.0870750000004</v>
      </c>
      <c r="G305" s="3">
        <f>4422.9+(273.3-900.5)+(6.767037+(0.418149-1.377765))+0-0-0</f>
        <v>3801.5074209999998</v>
      </c>
      <c r="H305" s="3">
        <f>4347.2+(218.3-847)+(-6.651216+(-0.333999--1.29591))+0-0-0</f>
        <v>3712.8106950000001</v>
      </c>
      <c r="I305" s="3">
        <f>4078.6+(304.9-766)+(2.080086+(0.155499-0.39066))+0-0-0</f>
        <v>3619.3449249999999</v>
      </c>
      <c r="J305" s="3">
        <f>4088.2+(350.2-806.8)+(-10.42491+(-0.89301--2.05734))+0-0-0</f>
        <v>3622.3394199999998</v>
      </c>
      <c r="K305" s="3">
        <f>3819+(471.5-612)+(1.94769+(0.240465-0.31212))+0-0-0</f>
        <v>3680.3760349999998</v>
      </c>
      <c r="L305" s="3">
        <f>3972.4+(435.8-555.2)+(2.025924+(0.222258-0.283152))+0-0-0</f>
        <v>3854.9650299999998</v>
      </c>
      <c r="M305" s="3">
        <f>4362.6+(364.2-476.4)+(0+(0-0))+0-0-0</f>
        <v>4250.4000000000005</v>
      </c>
      <c r="N305" s="3">
        <f>4738.7+(576.6-506.2)+(7.250211+(0.882198-0.774486))+0-0-0</f>
        <v>4816.457922999999</v>
      </c>
      <c r="O305" s="3">
        <f>4759.9+(812.3-450.1)+(0+(0-0))+0-0-0</f>
        <v>5122.0999999999995</v>
      </c>
      <c r="P305" s="3">
        <f>4865.3+(938.5-402.6)+(-9.925212+(-1.91454--0.821304))+0-0-0</f>
        <v>5390.181552</v>
      </c>
      <c r="Q305" s="3">
        <f>4870+(1131.2-492)+(-2.4837+(-0.576912--0.25092))+0-0-0</f>
        <v>5506.390308</v>
      </c>
      <c r="R305" s="3">
        <f>4843.9+(1066.9-527.9)+(-7.411167+(-1.632357--0.807687))+0-0-0</f>
        <v>5374.6641629999995</v>
      </c>
      <c r="S305" s="3">
        <f>4899.8+(885.8-490.4)+(-4.997796+(-0.903516--0.500208))+0-0-0</f>
        <v>5289.7988960000002</v>
      </c>
      <c r="T305" s="3">
        <f>4932.1+(850.8-474.4)+(0+(0-0))+0-0-0</f>
        <v>5308.5</v>
      </c>
      <c r="U305" s="3">
        <f>5006.5+(824.8-553.7)+(0+(0-0))+0-0-0</f>
        <v>5277.6</v>
      </c>
      <c r="V305" s="3">
        <f>5096.3+(787.8-564.7)+(0+(0-0))+0-0-0</f>
        <v>5319.4</v>
      </c>
      <c r="W305" s="3">
        <f>5317+(780.2-420.7)+(-10.84668+(-1.591608--0.858228))+0-0-0</f>
        <v>5664.9199399999998</v>
      </c>
      <c r="X305" s="3">
        <f>5576.1+(797.3-632.7)+(-5.687622+(-0.813246--0.645354))+0-0-0</f>
        <v>5734.8444860000009</v>
      </c>
      <c r="Y305" s="3">
        <f>5367.7+(846-615.2)+(-13.687635+(-2.1573--1.56876))+0-0-0</f>
        <v>5584.223825</v>
      </c>
      <c r="Z305" s="3">
        <f>5272.6+(838.2-774.9)+(0+(0-0))+0-0-0</f>
        <v>5335.9000000000005</v>
      </c>
      <c r="AA305" s="3">
        <f>5197.7+(845.4-915.9)+(5.301654+(0.862308-0.934218))+0-0-0</f>
        <v>5132.429744</v>
      </c>
      <c r="AB305" s="3">
        <f>5156.9+(672.6-1017.4)+(5.260038+(0.686052-1.037748))+0-0-0</f>
        <v>4817.0083419999992</v>
      </c>
      <c r="AC305" s="3">
        <f>5016.6+(529.8-1105.3)+(-10.233864+(-1.080792--2.254812))+0-0-0</f>
        <v>4432.040156</v>
      </c>
      <c r="AD305">
        <f t="shared" si="4"/>
        <v>114721.28993599999</v>
      </c>
      <c r="AE305" s="3">
        <f>5628+(855.4-631.7)+(0+(0-0))+0-0-0</f>
        <v>5851.7</v>
      </c>
    </row>
    <row r="306" spans="1:31" s="2" customFormat="1" x14ac:dyDescent="0.25">
      <c r="A306">
        <v>89</v>
      </c>
      <c r="B306">
        <v>10</v>
      </c>
      <c r="C306">
        <v>30</v>
      </c>
      <c r="D306">
        <v>6</v>
      </c>
      <c r="E306">
        <v>1</v>
      </c>
      <c r="F306" s="3">
        <f>4659.2+(320.2-998.4)+(-4.752384+(-0.326604--1.018368))+0-0-0</f>
        <v>3976.9393799999998</v>
      </c>
      <c r="G306" s="3">
        <f>4374.3+(274.5-957.6)+(0+(0-0))+0-0-0</f>
        <v>3691.2000000000003</v>
      </c>
      <c r="H306" s="3">
        <f>4313.4+(251-1050.8)+(0+(0-0))+0-0-0</f>
        <v>3513.5999999999995</v>
      </c>
      <c r="I306" s="3">
        <f>4318+(297.1-1066.4)+(-2.20218+(-0.151521--0.543864))+0-0-0</f>
        <v>3546.890163</v>
      </c>
      <c r="J306" s="3">
        <f>4312.9+(220.7-1022.5)+(-4.399158+(-0.225114--1.04295))+0-0-0</f>
        <v>3507.5186779999995</v>
      </c>
      <c r="K306" s="3">
        <f>4291.8+(239.4-1012.3)+(8.755272+(0.488376-2.065092))+0-0-0</f>
        <v>3526.0785559999999</v>
      </c>
      <c r="L306" s="3">
        <f>4680.9+(201.3-1140.5)+(2.387259+(0.102663-0.581655))+0-0-0</f>
        <v>3743.6082669999996</v>
      </c>
      <c r="M306" s="3">
        <f>4967.7+(276.8-1176.8)+(-7.600581+(-0.423504--1.800504))+0-0-0</f>
        <v>4061.4764189999996</v>
      </c>
      <c r="N306" s="3">
        <f>5261.1+(436-1103.7)+(0+(0-0))+0-0-0</f>
        <v>4593.4000000000005</v>
      </c>
      <c r="O306" s="3">
        <f>5302.4+(710.5-1008.3)+(10.816896+(1.44942-2.056932))+0-0-0</f>
        <v>5014.8093839999992</v>
      </c>
      <c r="P306" s="3">
        <f>5355.9+(744.1-903.1)+(2.731509+(0.379491-0.460581))+0-0-0</f>
        <v>5199.5504189999992</v>
      </c>
      <c r="Q306" s="3">
        <f>5549.8+(732.3-1002.8)+(-11.321592+(-1.493892--2.045712))+0-0-0</f>
        <v>5268.5302280000005</v>
      </c>
      <c r="R306" s="3">
        <f>5490.6+(747.7-1168)+(5.600412+(0.762654-1.19136))+0-0-0</f>
        <v>5075.4717060000003</v>
      </c>
      <c r="S306" s="3">
        <f>5471.1+(750.5-1267.3)+(-5.580522+(-0.76551--1.292646))+0-0-0</f>
        <v>4949.2466140000006</v>
      </c>
      <c r="T306" s="3">
        <f>5324.2+(616.4-1001.6)+(-2.715342+(-0.314364--0.510816))+0-0-0</f>
        <v>4936.4811099999997</v>
      </c>
      <c r="U306" s="3">
        <f>5272.4+(545.1-961.9)+(-2.688924+(-0.278001--0.490569))+0-0-0</f>
        <v>4853.1236439999993</v>
      </c>
      <c r="V306" s="3">
        <f>5306.1+(436-953.6)+(2.706111+(0.22236-0.486336))+0-0-0</f>
        <v>4790.9421350000002</v>
      </c>
      <c r="W306" s="3">
        <f>5491.8+(504.7-787.7)+(-2.800818+(-0.257397--0.401727))+0-0-0</f>
        <v>5206.1435120000006</v>
      </c>
      <c r="X306" s="3">
        <f>5696.5+(508.4-834.4)+(-11.62086+(-1.037136--1.702176))+0-0-0</f>
        <v>5359.5441799999999</v>
      </c>
      <c r="Y306" s="3">
        <f>5666.6+(554.6-975.3)+(-8.669898+(-0.848538--1.492209))+0-0-0</f>
        <v>5237.8737730000003</v>
      </c>
      <c r="Z306" s="3">
        <f>5562.3+(616.3-1042.6)+(-14.183865+(-1.571565--2.65863))+0-0-0</f>
        <v>5122.9031999999997</v>
      </c>
      <c r="AA306" s="3">
        <f>5417.3+(673.7-1186.5)+(5.525646+(0.687174-1.21023))+0-0-0</f>
        <v>4909.5025900000001</v>
      </c>
      <c r="AB306" s="3">
        <f>5347.4+(665.4-1343.2)+(8.181522+(1.018062-2.055096))+0-0-0</f>
        <v>4676.7444879999994</v>
      </c>
      <c r="AC306" s="3">
        <f>5092.6+(602.5-1247.5)+(-7.791678+(-0.921825--1.908675))+0-0-0</f>
        <v>4440.7951720000001</v>
      </c>
      <c r="AD306">
        <f t="shared" si="4"/>
        <v>109202.373618</v>
      </c>
      <c r="AE306" s="3">
        <f>5687+(513.8-794.8)+(0+(0-0))+0-0-0</f>
        <v>5406</v>
      </c>
    </row>
    <row r="307" spans="1:31" s="2" customFormat="1" x14ac:dyDescent="0.25">
      <c r="A307">
        <v>89</v>
      </c>
      <c r="B307">
        <v>11</v>
      </c>
      <c r="C307">
        <v>1</v>
      </c>
      <c r="D307">
        <v>7</v>
      </c>
      <c r="E307">
        <v>1</v>
      </c>
      <c r="F307" s="3">
        <f>4628.2+(499.2-1074.3)+(-11.80191+(-1.27296--2.739465))+0-0-0</f>
        <v>4042.7645950000001</v>
      </c>
      <c r="G307" s="3">
        <f>4480.4+(262.7-985.3)+(-4.570008+(-0.267954--1.005006))+0-0-0</f>
        <v>3753.9670439999995</v>
      </c>
      <c r="H307" s="3">
        <f>4461.5+(178.7-998.9)+(-13.65219+(-0.546822--3.056634))+0-0-0</f>
        <v>3630.1576220000002</v>
      </c>
      <c r="I307" s="3">
        <f>4229.2+(282.6-1037.8)+(0+(0-0))+0-0-0</f>
        <v>3474</v>
      </c>
      <c r="J307" s="3">
        <f>4207.1+(271.9-1020.3)+(-2.145621+(-0.138669--0.520353))+0-0-0</f>
        <v>3456.9360630000001</v>
      </c>
      <c r="K307" s="3">
        <f>4122.9+(288.5-1003.5)+(0+(0-0))+0-0-0</f>
        <v>3407.8999999999996</v>
      </c>
      <c r="L307" s="3">
        <f>4096.8+(405.6-1055.3)+(-20.89368+(-2.06856--5.38203))+0-0-0</f>
        <v>3429.5197900000003</v>
      </c>
      <c r="M307" s="3">
        <f>3958.2+(507.1-1112)+(4.037364+(0.517242-1.13424))+0-0-0</f>
        <v>3356.7203659999996</v>
      </c>
      <c r="N307" s="3">
        <f>4205.2+(504.4-1257.2)+(-10.72326+(-1.28622--3.20586))+0-0-0</f>
        <v>3443.5963799999995</v>
      </c>
      <c r="O307" s="3">
        <f>4520.1+(528.1-1287.9)+(-2.305251+(-0.269331--0.656829))+0-0-0</f>
        <v>3758.382247</v>
      </c>
      <c r="P307" s="3">
        <f>4646.4+(559.3-1152.5)+(-9.478656+(-1.140972--2.3511))+0-0-0</f>
        <v>4044.9314719999998</v>
      </c>
      <c r="Q307" s="3">
        <f>4709.8+(627.9-1081.8)+(-7.205994+(-0.960687--1.655154))+0-0-0</f>
        <v>4249.3884730000009</v>
      </c>
      <c r="R307" s="3">
        <f>4655+(709.3-1176.9)+(2.37405+(0.361743-0.600219))+0-0-0</f>
        <v>4189.5355739999995</v>
      </c>
      <c r="S307" s="3">
        <f>4702.2+(643.5-1230.1)+(-9.592488+(-1.31274--2.509404))+0-0-0</f>
        <v>4107.2041760000002</v>
      </c>
      <c r="T307" s="3">
        <f>4722.2+(498-1155.8)+(-2.408322+(-0.25398--0.589458))+0-0-0</f>
        <v>4062.3271559999998</v>
      </c>
      <c r="U307" s="3">
        <f>4500.8+(542.8-1085.8)+(-6.886224+(-0.830484--1.661274))+0-0-0</f>
        <v>3951.7445660000003</v>
      </c>
      <c r="V307" s="3">
        <f>4697.1+(529.3-1132.4)+(-9.582084+(-1.079772--2.310096))+0-0-0</f>
        <v>4085.64824</v>
      </c>
      <c r="W307" s="3">
        <f>5034.7+(421-1039.6)+(2.567697+(0.21471-0.530196))+0-0-0</f>
        <v>4418.3522110000004</v>
      </c>
      <c r="X307" s="3">
        <f>5250.6+(860.6-1232.7)+(-8.033418+(-1.316718--1.886031))+0-0-0</f>
        <v>4871.035895</v>
      </c>
      <c r="Y307" s="3">
        <f>5090.8+(872.6-1107.2)+(-2.596308+(-0.445026--0.564672))+0-0-0</f>
        <v>4853.7233379999998</v>
      </c>
      <c r="Z307" s="3">
        <f>5003.9+(822.8-1001.7)+(-10.207956+(-1.678512--2.043468))+0-0-0</f>
        <v>4815.1570000000002</v>
      </c>
      <c r="AA307" s="3">
        <f>5000+(679.7-1101.3)+(7.65+(1.039941-1.684989))+0-0-0</f>
        <v>4585.4049519999999</v>
      </c>
      <c r="AB307" s="3">
        <f>4975.3+(586.4-1041.4)+(-10.149612+(-1.196256--2.124456))+0-0-0</f>
        <v>4511.0785880000003</v>
      </c>
      <c r="AC307" s="3">
        <f>4797.9+(422.9-1034.7)+(-4.893858+(-0.431358--1.055394))+0-0-0</f>
        <v>4181.8301779999993</v>
      </c>
      <c r="AD307">
        <f t="shared" si="4"/>
        <v>96681.305926000001</v>
      </c>
      <c r="AE307" s="3">
        <f>5225+(890-1305.5)+(0+(0-0))+0-0-0</f>
        <v>4809.5</v>
      </c>
    </row>
    <row r="308" spans="1:31" s="2" customFormat="1" x14ac:dyDescent="0.25">
      <c r="A308">
        <v>89</v>
      </c>
      <c r="B308">
        <v>11</v>
      </c>
      <c r="C308">
        <v>2</v>
      </c>
      <c r="D308">
        <v>1</v>
      </c>
      <c r="E308">
        <v>1</v>
      </c>
      <c r="F308" s="3">
        <f>4355.4+(378.1-905.4)+(-15.548778+(-1.349817--3.232278))+0-0-0</f>
        <v>3814.4336829999993</v>
      </c>
      <c r="G308" s="3">
        <f>3946.6+(341.4-756.4)+(-8.051064+(-0.696456--1.543056))+0-0-0</f>
        <v>3524.395536</v>
      </c>
      <c r="H308" s="3">
        <f>3935.9+(334.2-845)+(2.007309+(0.170442-0.43095))+0-0-0</f>
        <v>3426.8468009999997</v>
      </c>
      <c r="I308" s="3">
        <f>3932.6+(309.9-878.7)+(0+(0-0))+0-0-0</f>
        <v>3363.7999999999997</v>
      </c>
      <c r="J308" s="3">
        <f>4080.6+(318.4-1026.6)+(-6.243318+(-0.487152--1.570698))+0-0-0</f>
        <v>3367.2402280000001</v>
      </c>
      <c r="K308" s="3">
        <f>4245.7+(256.7-1042.4)+(2.165307+(0.130917-0.531624))+0-0-0</f>
        <v>3461.7646</v>
      </c>
      <c r="L308" s="3">
        <f>4873.5+(219.3-1379.1)+(2.485485+(0.111843-0.703341))+0-0-0</f>
        <v>3715.5939869999997</v>
      </c>
      <c r="M308" s="3">
        <f>4990.7+(536.5-1362.9)+(-5.090514+(-0.54723--1.390158))+0-0-0</f>
        <v>4160.0524139999989</v>
      </c>
      <c r="N308" s="3">
        <f>5135.7+(1033.1-1464.9)+(-5.238414+(-1.053762--1.494198))+0-0-0</f>
        <v>4699.102022</v>
      </c>
      <c r="O308" s="3">
        <f>5410.7+(1097.8-1325.8)+(-2.759457+(-0.559878--0.676158))+0-0-0</f>
        <v>5180.0568229999999</v>
      </c>
      <c r="P308" s="3">
        <f>5429.6+(1064.1-1053.4)+(-11.076384+(-2.170764--2.148936))+0-0-0</f>
        <v>5429.2017880000003</v>
      </c>
      <c r="Q308" s="3">
        <f>5409.5+(1068-951.1)+(-8.276535+(-1.63404--1.455183))+0-0-0</f>
        <v>5517.9446079999998</v>
      </c>
      <c r="R308" s="3">
        <f>5403.6+(1053.2-1080.5)+(-13.77918+(-2.68566--2.755275))+0-0-0</f>
        <v>5362.5904350000001</v>
      </c>
      <c r="S308" s="3">
        <f>5431.1+(1015.5-1069.6)+(5.539722+(1.03581-1.090992))+0-0-0</f>
        <v>5382.4845400000004</v>
      </c>
      <c r="T308" s="3">
        <f>5417.3+(939.8-914.9)+(-2.762823+(-0.479298--0.466599))+0-0-0</f>
        <v>5439.4244779999999</v>
      </c>
      <c r="U308" s="3">
        <f>5306.7+(840.7-857.8)+(2.706417+(0.428757-0.437478))+0-0-0</f>
        <v>5292.2976960000005</v>
      </c>
      <c r="V308" s="3">
        <f>5314.8+(853.8-765)+(0+(0-0))+0-0-0</f>
        <v>5403.6</v>
      </c>
      <c r="W308" s="3">
        <f>5367.3+(756.1-453.7)+(8.211969+(1.156833-0.694161))+0-0-0</f>
        <v>5678.3746409999994</v>
      </c>
      <c r="X308" s="3">
        <f>5568.2+(824.1-643.3)+(-8.519346+(-1.260873--0.984249))+0-0-0</f>
        <v>5740.2040299999999</v>
      </c>
      <c r="Y308" s="3">
        <f>5555.6+(838.3-814.8)+(-8.500068+(-1.282599--1.246644))+0-0-0</f>
        <v>5570.5639770000007</v>
      </c>
      <c r="Z308" s="3">
        <f>5426.6+(843.7-860.4)+(-11.070264+(-1.721148--1.755216))+0-0-0</f>
        <v>5398.8638040000005</v>
      </c>
      <c r="AA308" s="3">
        <f>5313+(821-978.5)+(-2.70963+(-0.41871--0.499035))+0-0-0</f>
        <v>5152.8706949999996</v>
      </c>
      <c r="AB308" s="3">
        <f>5183.2+(641.5-860.9)+(-10.573728+(-1.30866--1.756236))+0-0-0</f>
        <v>4953.6738480000004</v>
      </c>
      <c r="AC308" s="3">
        <f>5064.9+(337-817.7)+(-20.664792+(-1.37496--3.336216))+0-0-0</f>
        <v>4565.4964639999998</v>
      </c>
      <c r="AD308">
        <f t="shared" si="4"/>
        <v>113600.87709799998</v>
      </c>
      <c r="AE308" s="3">
        <f>5588+(910.4-556.6)+(0+(0-0))+0-0-0</f>
        <v>5941.8</v>
      </c>
    </row>
    <row r="309" spans="1:31" s="2" customFormat="1" x14ac:dyDescent="0.25">
      <c r="A309">
        <v>89</v>
      </c>
      <c r="B309">
        <v>11</v>
      </c>
      <c r="C309">
        <v>3</v>
      </c>
      <c r="D309">
        <v>2</v>
      </c>
      <c r="E309">
        <v>1</v>
      </c>
      <c r="F309" s="3">
        <f>4675.7+(212.2-792.1)+(-7.153821+(-0.324666--1.211913))+0-0-0</f>
        <v>4089.5334259999995</v>
      </c>
      <c r="G309" s="3">
        <f>4449.3+(147.9-788.4)+(-9.076572+(-0.301716--1.608336))+0-0-0</f>
        <v>3801.0300480000001</v>
      </c>
      <c r="H309" s="3">
        <f>4412.1+(118.3-774.1)+(-11.250855+(-0.301665--1.973955))+0-0-0</f>
        <v>3746.7214350000004</v>
      </c>
      <c r="I309" s="3">
        <f>4201+(166.8-797.1)+(2.14251+(0.085068-0.406521))+0-0-0</f>
        <v>3572.5210569999999</v>
      </c>
      <c r="J309" s="3">
        <f>4188.9+(287.7-843.5)+(4.272678+(0.293454-0.86037))+0-0-0</f>
        <v>3636.8057619999995</v>
      </c>
      <c r="K309" s="3">
        <f>4287.8+(342.9-980.4)+(0+(0-0))+0-0-0</f>
        <v>3650.3</v>
      </c>
      <c r="L309" s="3">
        <f>4550.7+(335.7-967.8)+(-9.283428+(-0.684828--1.974312))+0-0-0</f>
        <v>3910.6060560000001</v>
      </c>
      <c r="M309" s="3">
        <f>4821.8+(323.1-905.2)+(-4.918236+(-0.329562--0.923304))+0-0-0</f>
        <v>4235.3755059999994</v>
      </c>
      <c r="N309" s="3">
        <f>5258.4+(377.1-811.3)+(0+(0-0))+0-0-0</f>
        <v>4824.2</v>
      </c>
      <c r="O309" s="3">
        <f>5316+(555.8-637.7)+(-2.71116+(-0.283458--0.325227))+0-0-0</f>
        <v>5231.430609</v>
      </c>
      <c r="P309" s="3">
        <f>5240.4+(757.6-564.9)+(-2.672604+(-0.386376--0.288099))+0-0-0</f>
        <v>5430.3291189999991</v>
      </c>
      <c r="Q309" s="3">
        <f>5236.3+(841.5-655.4)+(-5.341026+(-0.85833--0.668508))+0-0-0</f>
        <v>5416.8691520000002</v>
      </c>
      <c r="R309" s="3">
        <f>5238.7+(826.8-618.3)+(-2.671737+(-0.421668--0.315333))+0-0-0</f>
        <v>5444.4219279999998</v>
      </c>
      <c r="S309" s="3">
        <f>5179.7+(768.5-640.7)+(-2.641647+(-0.391935--0.326757))+0-0-0</f>
        <v>5304.7931749999998</v>
      </c>
      <c r="T309" s="3">
        <f>5173.3+(818.2-597.1)+(-13.191915+(-2.08641--1.522605))+0-0-0</f>
        <v>5380.6442800000004</v>
      </c>
      <c r="U309" s="3">
        <f>5112.9+(879.4-683.9)+(2.607579+(0.448494-0.348789))+0-0-0</f>
        <v>5311.1072839999997</v>
      </c>
      <c r="V309" s="3">
        <f>5032.1+(830.9-519.5)+(-7.699113+(-1.271277--0.794835))+0-0-0</f>
        <v>5335.3244450000002</v>
      </c>
      <c r="W309" s="3">
        <f>5352.5+(685.9-373.1)+(-5.45955+(-0.699618--0.380562))+0-0-0</f>
        <v>5659.5213940000003</v>
      </c>
      <c r="X309" s="3">
        <f>5679.9+(704-589.8)+(-11.586996+(-1.43616--1.203192))+0-0-0</f>
        <v>5782.2800359999992</v>
      </c>
      <c r="Y309" s="3">
        <f>5597.5+(698.8-666.7)+(-11.4189+(-1.425552--1.360068))+0-0-0</f>
        <v>5618.115616</v>
      </c>
      <c r="Z309" s="3">
        <f>5452.1+(745-735)+(-2.780571+(-0.37995--0.37485))+0-0-0</f>
        <v>5459.3143290000007</v>
      </c>
      <c r="AA309" s="3">
        <f>5321.3+(668.9-783.8)+(-2.713863+(-0.341139--0.399738))+0-0-0</f>
        <v>5203.7447360000006</v>
      </c>
      <c r="AB309" s="3">
        <f>5296.3+(547.6-910.9)+(0+(0-0))+0-0-0</f>
        <v>4933</v>
      </c>
      <c r="AC309" s="3">
        <f>5043.2+(447.8-936.3)+(-12.86016+(-1.14189--2.387565))+0-0-0</f>
        <v>4543.0855149999998</v>
      </c>
      <c r="AD309">
        <f t="shared" si="4"/>
        <v>115521.074908</v>
      </c>
      <c r="AE309" s="3">
        <f>5689+(709.3-596.8)+(0+(0-0))+0-0-0</f>
        <v>5801.5</v>
      </c>
    </row>
    <row r="310" spans="1:31" s="2" customFormat="1" x14ac:dyDescent="0.25">
      <c r="A310">
        <v>89</v>
      </c>
      <c r="B310">
        <v>11</v>
      </c>
      <c r="C310">
        <v>4</v>
      </c>
      <c r="D310">
        <v>3</v>
      </c>
      <c r="E310">
        <v>1</v>
      </c>
      <c r="F310" s="3">
        <f>4517.7+(389.6-805.4)+(-4.608054+(-0.397392--0.821508))+0-0-0</f>
        <v>4097.7160619999995</v>
      </c>
      <c r="G310" s="3">
        <f>4312.4+(338.8-827.6)+(-2.199324+(-0.172788--0.422076))+0-0-0</f>
        <v>3821.6499639999993</v>
      </c>
      <c r="H310" s="3">
        <f>4168+(312.2-791.1)+(-4.25136+(-0.318444--0.806922))+0-0-0</f>
        <v>3685.3371179999999</v>
      </c>
      <c r="I310" s="3">
        <f>4104.6+(289.9-771.9)+(4.186692+(0.295698-0.787338))+0-0-0</f>
        <v>3626.2950520000004</v>
      </c>
      <c r="J310" s="3">
        <f>4131.4+(346-868.8)+(4.214028+(0.35292-0.886176))+0-0-0</f>
        <v>3612.2807719999996</v>
      </c>
      <c r="K310" s="3">
        <f>4215.5+(407.3-943.5)+(8.59962+(0.830892-1.92474))+0-0-0</f>
        <v>3686.8057720000002</v>
      </c>
      <c r="L310" s="3">
        <f>4423.7+(454.7-912.4)+(-6.768261+(-0.695691--1.395972))+0-0-0</f>
        <v>3959.9320200000002</v>
      </c>
      <c r="M310" s="3">
        <f>4563.8+(499.1-769)+(-11.63769+(-1.272705--1.96095))+0-0-0</f>
        <v>4282.9505550000003</v>
      </c>
      <c r="N310" s="3">
        <f>5076+(757-999)+(0+(0-0))+0-0-0</f>
        <v>4834</v>
      </c>
      <c r="O310" s="3">
        <f>5496.9+(848.7-1192.8)+(0+(0-0))+0-0-0</f>
        <v>5152.7999999999993</v>
      </c>
      <c r="P310" s="3">
        <f>5368.1+(998.4-905.3)+(-10.950924+(-2.036736--1.846812))+0-0-0</f>
        <v>5450.0591520000007</v>
      </c>
      <c r="Q310" s="3">
        <f>5385.6+(967.3-819.2)+(-13.73328+(-2.466615--2.08896))+0-0-0</f>
        <v>5519.589065000001</v>
      </c>
      <c r="R310" s="3">
        <f>5393.5+(906.8-856.7)+(-11.00274+(-1.849872--1.747668))+0-0-0</f>
        <v>5432.4950560000007</v>
      </c>
      <c r="S310" s="3">
        <f>5377.1+(836.8-928.1)+(-2.742321+(-0.426768--0.473331))+0-0-0</f>
        <v>5283.1042420000003</v>
      </c>
      <c r="T310" s="3">
        <f>5368.7+(914.2-958.2)+(0+(0-0))+0-0-0</f>
        <v>5324.7</v>
      </c>
      <c r="U310" s="3">
        <f>5378.7+(828.8-951.8)+(8.229411+(1.268064-1.456254))+0-0-0</f>
        <v>5263.7412210000002</v>
      </c>
      <c r="V310" s="3">
        <f>5381+(787.4-929.3)+(0+(0-0))+0-0-0</f>
        <v>5239.1000000000004</v>
      </c>
      <c r="W310" s="3">
        <f>5434.2+(778.8-640.4)+(0+(0-0))+0-0-0</f>
        <v>5572.5999999999995</v>
      </c>
      <c r="X310" s="3">
        <f>5579.1+(849.1-834.2)+(-8.536023+(-1.299123--1.276326))+0-0-0</f>
        <v>5585.4411799999998</v>
      </c>
      <c r="Y310" s="3">
        <f>5481+(777.2-839.2)+(-8.38593+(-1.189116--1.283976))+0-0-0</f>
        <v>5410.7089299999998</v>
      </c>
      <c r="Z310" s="3">
        <f>5425.2+(844.4-1025.1)+(-8.300556+(-1.291932--1.568403))+0-0-0</f>
        <v>5236.475915</v>
      </c>
      <c r="AA310" s="3">
        <f>5336.5+(890.2-1260.3)+(-2.721615+(-0.454002--0.642753))+0-0-0</f>
        <v>4963.8671359999998</v>
      </c>
      <c r="AB310" s="3">
        <f>5291.6+(801.5-1277.5)+(-5.397432+(-0.81753--1.30305))+0-0-0</f>
        <v>4810.6880880000008</v>
      </c>
      <c r="AC310" s="3">
        <f>4981.6+(646.5-1125.3)+(0+(0-0))+0-0-0</f>
        <v>4502.8</v>
      </c>
      <c r="AD310">
        <f t="shared" si="4"/>
        <v>114355.13730000002</v>
      </c>
      <c r="AE310" s="3">
        <f>5557+(856.1-811.2)+(0+(0-0))+0-0-0</f>
        <v>5601.9</v>
      </c>
    </row>
    <row r="311" spans="1:31" s="2" customFormat="1" x14ac:dyDescent="0.25">
      <c r="A311">
        <v>89</v>
      </c>
      <c r="B311">
        <v>11</v>
      </c>
      <c r="C311">
        <v>5</v>
      </c>
      <c r="D311">
        <v>4</v>
      </c>
      <c r="E311">
        <v>5</v>
      </c>
      <c r="F311" s="3">
        <f>4651.2+(466.4-1012.7)+(-2.372112+(-0.237864--0.516477))+0-0-0</f>
        <v>4102.806501</v>
      </c>
      <c r="G311" s="3">
        <f>4441.4+(353.9-972.9)+(-6.795342+(-0.541467--1.488537))+0-0-0</f>
        <v>3816.5517279999995</v>
      </c>
      <c r="H311" s="3">
        <f>4250.3+(331.3-951.1)+(4.335306+(0.337926-0.970122))+0-0-0</f>
        <v>3634.2031099999999</v>
      </c>
      <c r="I311" s="3">
        <f>4246.1+(321-1005.1)+(-2.165511+(-0.16371--0.512601))+0-0-0</f>
        <v>3560.1833800000004</v>
      </c>
      <c r="J311" s="3">
        <f>4319.8+(283.1-1065.6)+(-2.203098+(-0.144381--0.543456))+0-0-0</f>
        <v>3535.495977</v>
      </c>
      <c r="K311" s="3">
        <f>4424.1+(264.1-1175.1)+(2.256291+(0.134691-0.599301))+0-0-0</f>
        <v>3514.8916810000005</v>
      </c>
      <c r="L311" s="3">
        <f>4450.8+(230.4-1153.2)+(-13.619448+(-0.705024--3.528792))+0-0-0</f>
        <v>3517.2043199999998</v>
      </c>
      <c r="M311" s="3">
        <f>4328.2+(213-1204.7)+(-11.03691+(-0.54315--3.071985))+15.8-0-0</f>
        <v>3343.791925</v>
      </c>
      <c r="N311" s="3">
        <f>4471.2+(354-1249.3)+(-4.560624+(-0.36108--1.274286))+0-0-0</f>
        <v>3572.2525819999996</v>
      </c>
      <c r="O311" s="3">
        <f>4633.7+(376.4-1212.5)+(-9.452748+(-0.767856--2.4735))+0-0-0</f>
        <v>3789.8528959999999</v>
      </c>
      <c r="P311" s="3">
        <f>4828.4+(443.5-1199.7)+(-7.387452+(-0.678555--1.835541))+0-0-0</f>
        <v>4065.9695339999998</v>
      </c>
      <c r="Q311" s="3">
        <f>4921+(496.9-1231.1)+(-12.54855+(-1.267095--3.139305))+0-0-0</f>
        <v>4176.1236600000002</v>
      </c>
      <c r="R311" s="3">
        <f>4856.9+(525.3-1229.7)+(-14.862114+(-1.607418--3.762882))+0-0-0</f>
        <v>4139.7933499999999</v>
      </c>
      <c r="S311" s="3">
        <f>4763.2+(502.7-1205)+(-4.858464+(-0.512754--1.2291))+0-0-0</f>
        <v>4056.7578819999994</v>
      </c>
      <c r="T311" s="3">
        <f>4811.9+(508.2-1264.7)+(-12.270345+(-1.29591--3.224985))+0-0-0</f>
        <v>4045.0587299999997</v>
      </c>
      <c r="U311" s="3">
        <f>4755.2+(483.3-1238)+(4.850304+(0.492966-1.26276))+0-0-0</f>
        <v>4004.5805099999998</v>
      </c>
      <c r="V311" s="3">
        <f>4815.5+(529.1-1269.4)+(4.91181+(0.539682-1.294788))+0-0-0</f>
        <v>4079.3567039999998</v>
      </c>
      <c r="W311" s="3">
        <f>5191.5+(322.5-907.6)+(0+(0-0))+0-0-0</f>
        <v>4606.3999999999996</v>
      </c>
      <c r="X311" s="3">
        <f>5401.3+(329.9-865.8)+(-2.754663+(-0.168249--0.441558))+0-0-0</f>
        <v>4862.918646000001</v>
      </c>
      <c r="Y311" s="3">
        <f>5365.2+(366.9-843.7)+(-10.945008+(-0.748476--1.721148))+0-0-0</f>
        <v>4878.4276639999998</v>
      </c>
      <c r="Z311" s="3">
        <f>5293.1+(488.2-962.4)+(0+(0-0))+0-0-0</f>
        <v>4818.9000000000005</v>
      </c>
      <c r="AA311" s="3">
        <f>5209.1+(588.4-1041.4)+(0+(0-0))+0-0-0</f>
        <v>4756.1000000000004</v>
      </c>
      <c r="AB311" s="3">
        <f>5114.6+(618.5-1202.6)+(-15.650676+(-1.89261--3.679956))+0-0-0</f>
        <v>4516.6366699999999</v>
      </c>
      <c r="AC311" s="3">
        <f>5117.8+(598.2-1481.7)+(-5.220156+(-0.610164--1.511334))+0-0-0</f>
        <v>4229.981014</v>
      </c>
      <c r="AD311">
        <f t="shared" si="4"/>
        <v>97624.238464000009</v>
      </c>
      <c r="AE311" s="3">
        <f>5375+(370.9-834.9)+(0+(0-0))+0-0-0</f>
        <v>4911</v>
      </c>
    </row>
    <row r="312" spans="1:31" s="2" customFormat="1" x14ac:dyDescent="0.25">
      <c r="A312">
        <v>89</v>
      </c>
      <c r="B312">
        <v>11</v>
      </c>
      <c r="C312">
        <v>6</v>
      </c>
      <c r="D312">
        <v>5</v>
      </c>
      <c r="E312">
        <v>1</v>
      </c>
      <c r="F312" s="3">
        <f>4877.6+(493.4-1536.4)+(-7.462728+(-0.754902--2.350692))+0-0-0</f>
        <v>3828.7330620000002</v>
      </c>
      <c r="G312" s="3">
        <f>4643.1+(400.1-1440.6)+(-2.367981+(-0.204051--0.734706))+0-0-0</f>
        <v>3600.7626740000005</v>
      </c>
      <c r="H312" s="3">
        <f>4496.9+(393.3-1445.4)+(2.293419+(0.200583-0.737154))+0-0-0</f>
        <v>3446.5568479999993</v>
      </c>
      <c r="I312" s="3">
        <f>4310.1+(417.8-1323.2)+(0+(0-0))+0-0-0</f>
        <v>3404.7000000000003</v>
      </c>
      <c r="J312" s="3">
        <f>4315.4+(420.6-1337.6)+(8.803416+(0.858024-2.728704))+0-0-0</f>
        <v>3405.3327359999998</v>
      </c>
      <c r="K312" s="3">
        <f>4409.2+(365.3-1331)+(2.248692+(0.186303-0.67881))+0-0-0</f>
        <v>3445.2561850000002</v>
      </c>
      <c r="L312" s="3">
        <f>4781.4+(412.2-1424.7)+(-4.877028+(-0.420444--1.453194))+0-0-0</f>
        <v>3765.0557219999996</v>
      </c>
      <c r="M312" s="3">
        <f>5006.9+(576.5-1448.8)+(5.107038+(0.58803-1.477776))+0-0-0</f>
        <v>4138.8172919999997</v>
      </c>
      <c r="N312" s="3">
        <f>5419.2+(809.3-1481.5)+(-2.763792+(-0.412743--0.755565))+0-0-0</f>
        <v>4744.5790299999999</v>
      </c>
      <c r="O312" s="3">
        <f>5526.9+(951.2-1411.8)+(-5.637438+(-0.970224--1.440036))+0-0-0</f>
        <v>5061.1323739999989</v>
      </c>
      <c r="P312" s="3">
        <f>5637.9+(1066.7-1417.7)+(5.750658+(1.088034-1.446054))+0-0-0</f>
        <v>5292.2926379999999</v>
      </c>
      <c r="Q312" s="3">
        <f>5650.9+(1104.7-1347.8)+(2.881959+(0.563397-0.687378))+0-0-0</f>
        <v>5410.5579779999989</v>
      </c>
      <c r="R312" s="3">
        <f>5649.3+(1009.2-1321.4)+(-14.405715+(-2.57346--3.36957))+0-0-0</f>
        <v>5323.4903950000007</v>
      </c>
      <c r="S312" s="3">
        <f>5620.6+(956.5-1380.3)+(0+(0-0))+0-0-0</f>
        <v>5196.8</v>
      </c>
      <c r="T312" s="3">
        <f>5504.6+(1055.1-1281.4)+(0+(0-0))+0-0-0</f>
        <v>5278.3</v>
      </c>
      <c r="U312" s="3">
        <f>5435.4+(1139.1-1280.7)+(-2.772054+(-0.580941--0.653157))+0-0-0</f>
        <v>5291.1001619999988</v>
      </c>
      <c r="V312" s="3">
        <f>5602.2+(974.5-1084.5)+(-11.428488+(-1.98798--2.21238))+0-0-0</f>
        <v>5480.9959119999994</v>
      </c>
      <c r="W312" s="3">
        <f>5746.3+(780.2-811.6)+(-11.722452+(-1.591608--1.655664))+0-0-0</f>
        <v>5703.2416040000007</v>
      </c>
      <c r="X312" s="3">
        <f>5572.7+(904.6-764)+(2.842077+(0.461346-0.38964))+0-0-0</f>
        <v>5716.2137830000001</v>
      </c>
      <c r="Y312" s="3">
        <f>5526.5+(938.5-917.8)+(2.818515+(0.478635-0.468078))+0-0-0</f>
        <v>5550.0290720000003</v>
      </c>
      <c r="Z312" s="3">
        <f>5456.1+(858.9-969.5)+(-13.913055+(-2.190195--2.472225))+0-0-0</f>
        <v>5331.8689750000003</v>
      </c>
      <c r="AA312" s="3">
        <f>5426.7+(827.8-1142.8)+(0+(0-0))+0-0-0</f>
        <v>5111.7</v>
      </c>
      <c r="AB312" s="3">
        <f>5382.5+(763.5-1292.1)+(-13.725375+(-1.946925--3.294855))+0-0-0</f>
        <v>4841.5225549999996</v>
      </c>
      <c r="AC312" s="3">
        <f>5302.7+(486.4-1282.5)+(-16.226262+(-1.488384--3.92445))+0-0-0</f>
        <v>4492.8098039999995</v>
      </c>
      <c r="AD312">
        <f t="shared" si="4"/>
        <v>112861.84880100001</v>
      </c>
      <c r="AE312" s="3">
        <f>5632+(929.7-797.8)+(0+(0-0))+0-0-0</f>
        <v>5763.9</v>
      </c>
    </row>
    <row r="313" spans="1:31" s="2" customFormat="1" x14ac:dyDescent="0.25">
      <c r="A313">
        <v>89</v>
      </c>
      <c r="B313">
        <v>11</v>
      </c>
      <c r="C313">
        <v>7</v>
      </c>
      <c r="D313">
        <v>6</v>
      </c>
      <c r="E313">
        <v>1</v>
      </c>
      <c r="F313" s="3">
        <f>4836.1+(552.5-1338.3)+(-7.399233+(-0.845325--2.047599))+0-0-0</f>
        <v>4044.1030410000003</v>
      </c>
      <c r="G313" s="3">
        <f>4578+(482.3-1289.6)+(9.33912+(0.983892-2.630784))+0-0-0</f>
        <v>3778.3922279999997</v>
      </c>
      <c r="H313" s="3">
        <f>4467.3+(489.9-1341.6)+(6.834969+(0.749547-2.052648))+0-0-0</f>
        <v>3621.1318680000004</v>
      </c>
      <c r="I313" s="3">
        <f>4463.6+(519.7-1427.9)+(2.276436+(0.265047-0.728229))+0-0-0</f>
        <v>3557.2132540000007</v>
      </c>
      <c r="J313" s="3">
        <f>4420.8+(543.4-1421.7)+(0+(0-0))+0-0-0</f>
        <v>3542.5</v>
      </c>
      <c r="K313" s="3">
        <f>4427.2+(688.4-1504)+(0+(0-0))+0-0-0</f>
        <v>3611.6</v>
      </c>
      <c r="L313" s="3">
        <f>4745+(748.7-1660)+(4.8399+(0.763674-1.6932))+0-0-0</f>
        <v>3837.6103739999999</v>
      </c>
      <c r="M313" s="3">
        <f>4914.4+(859-1679.1)+(-2.506344+(-0.43809--0.856341))+0-0-0</f>
        <v>4092.2119069999999</v>
      </c>
      <c r="N313" s="3">
        <f>4941.2+(850.7-1188.3)+(-5.040024+(-0.867714--1.212066))+0-0-0</f>
        <v>4598.9043280000005</v>
      </c>
      <c r="O313" s="3">
        <f>5024.5+(1061.9-1113.4)+(-10.24998+(-2.166276--2.271336))+0-0-0</f>
        <v>4962.8550800000003</v>
      </c>
      <c r="P313" s="3">
        <f>5168.4+(1109.5-1091.5)+(-2.635884+(-0.565845--0.556665))+0-0-0</f>
        <v>5183.7549359999994</v>
      </c>
      <c r="Q313" s="3">
        <f>5276.2+(1151.2-1148.8)+(0+(0-0))+0-0-0</f>
        <v>5278.6</v>
      </c>
      <c r="R313" s="3">
        <f>5277.6+(1187.1-1315.4)+(-10.766304+(-2.421684--2.683416))+0-0-0</f>
        <v>5138.7954280000004</v>
      </c>
      <c r="S313" s="3">
        <f>5298.5+(992.6-1305)+(-18.915645+(-3.543582--4.65885))+0-0-0</f>
        <v>4968.2996230000008</v>
      </c>
      <c r="T313" s="3">
        <f>5217.1+(1061-1351.4)+(-13.303605+(-2.70555--3.44607))+0-0-0</f>
        <v>4914.136915000001</v>
      </c>
      <c r="U313" s="3">
        <f>5125.1+(1047.5-1379.9)+(-5.227602+(-1.06845--1.407498))+0-0-0</f>
        <v>4787.8114460000006</v>
      </c>
      <c r="V313" s="3">
        <f>5113.3+(976.4-1302.2)+(-10.431132+(-1.991856--2.656488))+0-0-0</f>
        <v>4777.7335000000003</v>
      </c>
      <c r="W313" s="3">
        <f>5344.5+(1046.5-1296.2)+(2.725695+(0.533715-0.661062))+0-0-0</f>
        <v>5097.3983480000006</v>
      </c>
      <c r="X313" s="3">
        <f>5598.2+(989.9-1206.4)+(-14.27541+(-2.524245--3.07632))+0-0-0</f>
        <v>5367.9766650000001</v>
      </c>
      <c r="Y313" s="3">
        <f>5521.9+(1017.6-1291.9)+(-8.448507+(-1.556928--1.976607))+0-0-0</f>
        <v>5239.571171999999</v>
      </c>
      <c r="Z313" s="3">
        <f>5540.5+(995.2-1435.1)+(-2.825655+(-0.507552--0.731901))+0-0-0</f>
        <v>5097.9986940000008</v>
      </c>
      <c r="AA313" s="3">
        <f>5603.5+(899.6-1609)+(-5.71557+(-0.917592--1.64118))+0-0-0</f>
        <v>4889.1080180000008</v>
      </c>
      <c r="AB313" s="3">
        <f>5522.7+(857.6-1667.7)+(-11.266308+(-1.749504--3.402108))+0-0-0</f>
        <v>4702.9862959999991</v>
      </c>
      <c r="AC313" s="3">
        <f>5314.2+(611.1-1510.1)+(0+(0-0))+0-0-0</f>
        <v>4415.2</v>
      </c>
      <c r="AD313">
        <f t="shared" si="4"/>
        <v>109505.89312099999</v>
      </c>
      <c r="AE313" s="3">
        <f>5582+(979.7-1217)+(0+(0-0))+0-0-0</f>
        <v>5344.7</v>
      </c>
    </row>
    <row r="314" spans="1:31" s="2" customFormat="1" x14ac:dyDescent="0.25">
      <c r="A314">
        <v>89</v>
      </c>
      <c r="B314">
        <v>11</v>
      </c>
      <c r="C314">
        <v>8</v>
      </c>
      <c r="D314">
        <v>7</v>
      </c>
      <c r="E314">
        <v>1</v>
      </c>
      <c r="F314" s="3">
        <f>4926.2+(552.7-1422.9)+(-12.56181+(-1.409385--3.628395))+0-0-0</f>
        <v>4045.6572000000001</v>
      </c>
      <c r="G314" s="3">
        <f>4417+(411.9-1060.4)+(-6.75801+(-0.630207--1.622412))+0-0-0</f>
        <v>3762.734195</v>
      </c>
      <c r="H314" s="3">
        <f>4350.7+(360.5-1132.7)+(-2.218857+(-0.183855--0.577677))+0-0-0</f>
        <v>3576.6749650000002</v>
      </c>
      <c r="I314" s="3">
        <f>4334.1+(359-1233.5)+(-2.210391+(-0.18309--0.629085))+0-0-0</f>
        <v>3457.8356040000003</v>
      </c>
      <c r="J314" s="3">
        <f>4144.3+(422.6-1144.5)+(2.113593+(0.215526-0.583695))+0-0-0</f>
        <v>3424.1454240000003</v>
      </c>
      <c r="K314" s="3">
        <f>4101.3+(421.9-1101.5)+(-6.274989+(-0.645507--1.685295))+0-0-0</f>
        <v>3416.4647990000003</v>
      </c>
      <c r="L314" s="3">
        <f>4102.4+(453.6-1120.5)+(-4.184448+(-0.462672--1.14291))+0-0-0</f>
        <v>3431.9957899999995</v>
      </c>
      <c r="M314" s="3">
        <f>4056.2+(429.6-1141)+(0+(0-0))+0-0-0</f>
        <v>3344.7999999999997</v>
      </c>
      <c r="N314" s="3">
        <f>4112.3+(511.3-1139.3)+(-4.194546+(-0.521526--1.162086))+0-0-0</f>
        <v>3480.7460140000003</v>
      </c>
      <c r="O314" s="3">
        <f>4330.7+(529.4-1103.6)+(6.625971+(0.809982-1.688508))+0-0-0</f>
        <v>3762.247445</v>
      </c>
      <c r="P314" s="3">
        <f>4621.5+(547.8-1115.5)+(-7.070895+(-0.838134--1.706715))+0-0-0</f>
        <v>4047.5976860000001</v>
      </c>
      <c r="Q314" s="3">
        <f>4829.3+(579.9-1174.7)+(-4.925886+(-0.591498--1.198194))+0-0-0</f>
        <v>4230.1808099999998</v>
      </c>
      <c r="R314" s="3">
        <f>4702.7+(527.1-1031.9)+(-21.585393+(-2.419389--4.736421))+0-0-0</f>
        <v>4178.6316389999993</v>
      </c>
      <c r="S314" s="3">
        <f>4606.9+(521.5-1027.6)+(0+(0-0))+0-0-0</f>
        <v>4100.7999999999993</v>
      </c>
      <c r="T314" s="3">
        <f>4488.1+(470.9-941.2)+(-2.288931+(-0.240159--0.480012))+0-0-0</f>
        <v>4015.7509220000002</v>
      </c>
      <c r="U314" s="3">
        <f>4459+(399.4-919.7)+(-2.27409+(-0.203694--0.469047))+0-0-0</f>
        <v>3936.6912629999997</v>
      </c>
      <c r="V314" s="3">
        <f>4529.6+(401.7-947.8)+(-6.930288+(-0.614601--1.450134))+0-0-0</f>
        <v>3977.4052450000004</v>
      </c>
      <c r="W314" s="3">
        <f>5093.7+(565.4-1264.1)+(-10.391148+(-1.153416--2.578764))+0-0-0</f>
        <v>4386.0342000000001</v>
      </c>
      <c r="X314" s="3">
        <f>5583.6+(867.9-1656.9)+(-11.390544+(-1.770516--3.380076))+0-0-0</f>
        <v>4784.8190160000004</v>
      </c>
      <c r="Y314" s="3">
        <f>5536.4+(778-1498.5)+(-8.470692+(-1.19034--2.292705))+0-0-0</f>
        <v>4808.5316729999995</v>
      </c>
      <c r="Z314" s="3">
        <f>5470+(717.7-1392.8)+(-5.5794+(-0.732054--1.420656))+0-0-0</f>
        <v>4790.0092019999993</v>
      </c>
      <c r="AA314" s="3">
        <f>5435.2+(603.2-1371)+(-2.771952+(-0.307632--0.69921))+0-0-0</f>
        <v>4665.0196259999993</v>
      </c>
      <c r="AB314" s="3">
        <f>5385.6+(570.8-1450.4)+(-5.493312+(-0.582216--1.479408))+0-0-0</f>
        <v>4501.4038799999998</v>
      </c>
      <c r="AC314" s="3">
        <f>5018.3+(553.3-1356.9)+(-17.915331+(-1.975281--4.844133))+0-0-0</f>
        <v>4199.6535210000002</v>
      </c>
      <c r="AD314">
        <f t="shared" si="4"/>
        <v>96325.830118999991</v>
      </c>
      <c r="AE314" s="3">
        <f>5589+(925.7-1737.9)+(0+(0-0))+0-0-0</f>
        <v>4776.8</v>
      </c>
    </row>
    <row r="315" spans="1:31" s="2" customFormat="1" x14ac:dyDescent="0.25">
      <c r="A315">
        <v>89</v>
      </c>
      <c r="B315">
        <v>11</v>
      </c>
      <c r="C315">
        <v>9</v>
      </c>
      <c r="D315">
        <v>1</v>
      </c>
      <c r="E315">
        <v>1</v>
      </c>
      <c r="F315" s="3">
        <f>4609.5+(355.1-1171.9)+(0+(0-0))+0-0-0</f>
        <v>3792.7</v>
      </c>
      <c r="G315" s="3">
        <f>4218.6+(336.3-1039.6)+(-15.060402+(-1.200591--3.711372))+0-0-0</f>
        <v>3502.7503790000001</v>
      </c>
      <c r="H315" s="3">
        <f>3945.9+(483.7-1074.4)+(-2.012409+(-0.246687--0.547944))+0-0-0</f>
        <v>3353.488848</v>
      </c>
      <c r="I315" s="3">
        <f>3918.2+(472.2-1095.7)+(-5.994846+(-0.722466--1.676421))+0-0-0</f>
        <v>3289.6591089999997</v>
      </c>
      <c r="J315" s="3">
        <f>3929+(399.4-1023.3)+(0+(0-0))+0-0-0</f>
        <v>3305.1</v>
      </c>
      <c r="K315" s="3">
        <f>3970.4+(356.2-938)+(0+(0-0))+0-0-0</f>
        <v>3388.6000000000004</v>
      </c>
      <c r="L315" s="3">
        <f>4504.4+(529.9-1374.1)+(0+(0-0))+0-0-0</f>
        <v>3660.2</v>
      </c>
      <c r="M315" s="3">
        <f>4945.9+(603.1-1408.7)+(-12.612045+(-1.537905--3.592185))+0-0-0</f>
        <v>4129.7422349999997</v>
      </c>
      <c r="N315" s="3">
        <f>5074.2+(832.2-1208.4)+(2.587842+(0.424422-0.616284))+0-0-0</f>
        <v>4700.3959800000002</v>
      </c>
      <c r="O315" s="3">
        <f>5312.7+(999.7-1180.7)+(-2.709477+(-0.509847--0.602157))+0-0-0</f>
        <v>5129.0828329999995</v>
      </c>
      <c r="P315" s="3">
        <f>5302.7+(1112.9-1043.4)+(-5.408754+(-1.135158--1.064268))+0-0-0</f>
        <v>5366.7203559999998</v>
      </c>
      <c r="Q315" s="3">
        <f>5399.1+(1291.5-1191.4)+(-13.767705+(-3.293325--3.03807))+0-0-0</f>
        <v>5485.1770400000005</v>
      </c>
      <c r="R315" s="3">
        <f>5273.1+(1348.6-1146.4)+(0+(0-0))+0-0-0</f>
        <v>5475.3</v>
      </c>
      <c r="S315" s="3">
        <f>5158.5+(1240.6-972.6)+(-10.52334+(-2.530824--1.984104))+0-0-0</f>
        <v>5415.42994</v>
      </c>
      <c r="T315" s="3">
        <f>5060+(1277.2-882.3)+(7.7418+(1.954116-1.349919))+0-0-0</f>
        <v>5463.245997</v>
      </c>
      <c r="U315" s="3">
        <f>5044.5+(1247.5-917.1)+(-7.718085+(-1.908675--1.403163))+0-0-0</f>
        <v>5366.6764029999995</v>
      </c>
      <c r="V315" s="3">
        <f>5201.7+(1177.3-968.3)+(7.958601+(1.801269-1.481499))+0-0-0</f>
        <v>5418.9783710000002</v>
      </c>
      <c r="W315" s="3">
        <f>5490.5+(1047.7-902.7)+(-8.400465+(-1.602981--1.381131))+0-0-0</f>
        <v>5626.8776850000004</v>
      </c>
      <c r="X315" s="3">
        <f>5710+(1108.5-1073.5)+(-17.4726+(-3.39201--3.28491))+0-0-0</f>
        <v>5727.4202999999998</v>
      </c>
      <c r="Y315" s="3">
        <f>5617.3+(1086.4-1091.5)+(-20.053761+(-3.878448--3.896655))+0-0-0</f>
        <v>5592.1644460000007</v>
      </c>
      <c r="Z315" s="3">
        <f>5401+(1036.4-1019.7)+(2.75451+(0.528564-0.520047))+0-0-0</f>
        <v>5420.4630269999998</v>
      </c>
      <c r="AA315" s="3">
        <f>5361.4+(873.8-1053.8)+(-2.734314+(-0.445638--0.537438))+0-0-0</f>
        <v>5178.7574859999995</v>
      </c>
      <c r="AB315" s="3">
        <f>5180.4+(656.7-937.1)+(-2.642004+(-0.334917--0.477921))+0-0-0</f>
        <v>4897.5010000000002</v>
      </c>
      <c r="AC315" s="3">
        <f>4923.7+(551.4-954.8)+(-2.511087+(-0.281214--0.486948))+0-0-0</f>
        <v>4517.9946470000004</v>
      </c>
      <c r="AD315">
        <f t="shared" si="4"/>
        <v>113204.42608200002</v>
      </c>
      <c r="AE315" s="3">
        <f>5743+(1139.8-1091.8)+(0+(0-0))+0-0-0</f>
        <v>5791</v>
      </c>
    </row>
    <row r="316" spans="1:31" s="2" customFormat="1" x14ac:dyDescent="0.25">
      <c r="A316">
        <v>89</v>
      </c>
      <c r="B316">
        <v>11</v>
      </c>
      <c r="C316">
        <v>10</v>
      </c>
      <c r="D316">
        <v>2</v>
      </c>
      <c r="E316">
        <v>1</v>
      </c>
      <c r="F316" s="3">
        <f>4648.7+(395.3-975.7)+(2.370837+(0.201603-0.497607))+0-0-0</f>
        <v>4070.3748329999999</v>
      </c>
      <c r="G316" s="3">
        <f>4454.4+(314.4-932.5)+(0+(0-0))+0-0-0</f>
        <v>3836.2999999999997</v>
      </c>
      <c r="H316" s="3">
        <f>4254.7+(239.7-808.8)+(-6.509691+(-0.366741--1.237464))+0-0-0</f>
        <v>3679.9610319999997</v>
      </c>
      <c r="I316" s="3">
        <f>4252+(235.9-876.7)+(-10.8426+(-0.601545--2.235585))+0-0-0</f>
        <v>3601.9914399999998</v>
      </c>
      <c r="J316" s="3">
        <f>4123.3+(244.4-774.8)+(4.205766+(0.249288-0.790296))+0-0-0</f>
        <v>3596.564758</v>
      </c>
      <c r="K316" s="3">
        <f>4299.5+(255.1-937.4)+(-8.77098+(-0.520404--1.912296))+0-0-0</f>
        <v>3609.8209119999997</v>
      </c>
      <c r="L316" s="3">
        <f>4898.2+(229.9-1319.9)+(9.992328+(0.468996-2.692596))+0-0-0</f>
        <v>3815.9687279999998</v>
      </c>
      <c r="M316" s="3">
        <f>5203.4+(261.3-1216.2)+(2.653734+(0.133263-0.620262))+0-0-0</f>
        <v>4250.6667349999998</v>
      </c>
      <c r="N316" s="3">
        <f>5286.6+(377.7-913.3)+(-13.48083+(-0.963135--2.328915))+0-0-0</f>
        <v>4738.8849499999997</v>
      </c>
      <c r="O316" s="3">
        <f>5414.8+(495.6-797.3)+(2.761548+(0.252756-0.406623))+0-0-0</f>
        <v>5115.7076810000008</v>
      </c>
      <c r="P316" s="3">
        <f>5476.7+(651.5-760)+(-5.586234+(-0.66453--0.7752))+0-0-0</f>
        <v>5362.7244359999995</v>
      </c>
      <c r="Q316" s="3">
        <f>5505.6+(712.5-775.6)+(0+(0-0))+0-0-0</f>
        <v>5442.5</v>
      </c>
      <c r="R316" s="3">
        <f>5542.7+(591.2-783.1)+(-8.480331+(-0.904536--1.198143))+0-0-0</f>
        <v>5342.613276</v>
      </c>
      <c r="S316" s="3">
        <f>5559+(481.3-813.4)+(-5.67018+(-0.490926--0.829668))+0-0-0</f>
        <v>5221.5685619999995</v>
      </c>
      <c r="T316" s="3">
        <f>5476.7+(531.8-803.3)+(-5.586234+(-0.542436--0.819366))+0-0-0</f>
        <v>5199.8906959999995</v>
      </c>
      <c r="U316" s="3">
        <f>5542.7+(478.6-813.7)+(2.826777+(0.244086-0.414987))+0-0-0</f>
        <v>5210.2558759999993</v>
      </c>
      <c r="V316" s="3">
        <f>5662.5+(422-859.2)+(-5.77575+(-0.43044--0.876384))+0-0-0</f>
        <v>5219.9701940000004</v>
      </c>
      <c r="W316" s="3">
        <f>5827.9+(538.2-883)+(0+(0-0))+0-0-0</f>
        <v>5483.0999999999995</v>
      </c>
      <c r="X316" s="3">
        <f>5929.9+(616.6-902.4)+(-6.048498+(-0.628932--0.920448))+0-0-0</f>
        <v>5638.3430179999996</v>
      </c>
      <c r="Y316" s="3">
        <f>5795.7+(689.7-978.7)+(-8.867421+(-1.055241--1.497411))+0-0-0</f>
        <v>5498.2747490000002</v>
      </c>
      <c r="Z316" s="3">
        <f>5644.7+(692.4-987.3)+(-11.515188+(-1.412496--2.014092))+0-0-0</f>
        <v>5338.8864080000003</v>
      </c>
      <c r="AA316" s="3">
        <f>5623.8+(807.7-1316.4)+(-2.868138+(-0.411927--0.671364))+0-0-0</f>
        <v>5112.4912990000003</v>
      </c>
      <c r="AB316" s="3">
        <f>5567.5+(798.8-1506.4)+(-11.3577+(-1.629552--3.073056))+0-0-0</f>
        <v>4849.9858039999999</v>
      </c>
      <c r="AC316" s="3">
        <f>5251.5+(557.8-1099.2)+(-5.35653+(-0.568956--1.121184))+0-0-0</f>
        <v>4705.2956980000008</v>
      </c>
      <c r="AD316">
        <f t="shared" si="4"/>
        <v>113942.141085</v>
      </c>
      <c r="AE316" s="3">
        <f>6000+(625.4-841.5)+(0+(0-0))+0-0-0</f>
        <v>5783.9</v>
      </c>
    </row>
    <row r="317" spans="1:31" s="2" customFormat="1" x14ac:dyDescent="0.25">
      <c r="A317">
        <v>89</v>
      </c>
      <c r="B317">
        <v>11</v>
      </c>
      <c r="C317">
        <v>11</v>
      </c>
      <c r="D317">
        <v>3</v>
      </c>
      <c r="E317">
        <v>1</v>
      </c>
      <c r="F317" s="3">
        <f>4870.6+(463-1271.1)+(-12.42003+(-1.18065--3.241305))+0-0-0</f>
        <v>4052.1406250000005</v>
      </c>
      <c r="G317" s="3">
        <f>4509.3+(432.5-1168.9)+(-9.198972+(-0.8823--2.384556))+0-0-0</f>
        <v>3765.2032840000002</v>
      </c>
      <c r="H317" s="3">
        <f>4280+(521.9-1163.5)+(-8.7312+(-1.064676--2.37354))+0-0-0</f>
        <v>3630.977664</v>
      </c>
      <c r="I317" s="3">
        <f>4151.6+(494.4-1042.6)+(-10.58658+(-1.26072--2.65863))+0-0-0</f>
        <v>3594.2113300000005</v>
      </c>
      <c r="J317" s="3">
        <f>4195.8+(514.6-1114.2)+(8.559432+(1.049784-2.272968))+0-0-0</f>
        <v>3603.5362480000003</v>
      </c>
      <c r="K317" s="3">
        <f>4298.9+(468.7-1115.9)+(10.962195+(1.195185-2.845545))+0-0-0</f>
        <v>3661.0118349999998</v>
      </c>
      <c r="L317" s="3">
        <f>4718.1+(590.9-1449.9)+(7.218693+(0.904077-2.218347))+0-0-0</f>
        <v>3865.0044230000003</v>
      </c>
      <c r="M317" s="3">
        <f>4934.4+(553-1280.3)+(7.549632+(0.84609-1.958859))+0-0-0</f>
        <v>4213.5368629999994</v>
      </c>
      <c r="N317" s="3">
        <f>5317+(542-1097.2)+(5.42334+(0.55284-1.119144))+0-0-0</f>
        <v>4766.6570360000005</v>
      </c>
      <c r="O317" s="3">
        <f>5374.3+(493.8-738.7)+(-10.963572+(-1.007352--1.506948))+0-0-0</f>
        <v>5118.9360240000005</v>
      </c>
      <c r="P317" s="3">
        <f>5535.3+(748-867.2)+(8.469009+(1.14444-1.326816))+0-0-0</f>
        <v>5424.3866330000001</v>
      </c>
      <c r="Q317" s="3">
        <f>5492.9+(854.3-796.7)+(-8.404137+(-1.307079--1.218951))+0-0-0</f>
        <v>5542.0077350000001</v>
      </c>
      <c r="R317" s="3">
        <f>5463.2+(838.5-847.6)+(-19.503624+(-2.993445--3.025932))+0-0-0</f>
        <v>5434.6288629999999</v>
      </c>
      <c r="S317" s="3">
        <f>5232.1+(735.1-665)+(-2.668371+(-0.374901--0.33915))+0-0-0</f>
        <v>5299.4958780000006</v>
      </c>
      <c r="T317" s="3">
        <f>5229.8+(789.6-641.3)+(-8.001594+(-1.208088--0.981189))+0-0-0</f>
        <v>5369.8715070000007</v>
      </c>
      <c r="U317" s="3">
        <f>5394.2+(818.1-809.1)+(-8.253126+(-1.251693--1.237923))+0-0-0</f>
        <v>5394.9331039999997</v>
      </c>
      <c r="V317" s="3">
        <f>5434+(777.2-835.2)+(-16.62804+(-2.378232--2.555712))+0-0-0</f>
        <v>5359.5494399999998</v>
      </c>
      <c r="W317" s="3">
        <f>5464.4+(692.1-656.1)+(-19.507908+(-2.470797--2.342277))+0-0-0</f>
        <v>5480.7635719999998</v>
      </c>
      <c r="X317" s="3">
        <f>5876.5+(808.7-976)+(-17.98209+(-2.474622--2.98656))+0-0-0</f>
        <v>5691.7298479999999</v>
      </c>
      <c r="Y317" s="3">
        <f>5609.5+(720.8-794.9)+(5.72169+(0.735216-0.810798))+0-0-0</f>
        <v>5541.0461079999995</v>
      </c>
      <c r="Z317" s="3">
        <f>5393.1+(687.1-677)+(-5.500962+(-0.700842--0.69054))+0-0-0</f>
        <v>5397.688736000001</v>
      </c>
      <c r="AA317" s="3">
        <f>5173.3+(605.2-683)+(-10.553532+(-1.234608--1.39332))+0-0-0</f>
        <v>5085.1051799999996</v>
      </c>
      <c r="AB317" s="3">
        <f>5058.1+(563.3-691.8)+(-15.477786+(-1.723698--2.116908))+0-0-0</f>
        <v>4914.5154240000002</v>
      </c>
      <c r="AC317" s="3">
        <f>4693.8+(563-699.4)+(-19.150704+(-2.29704--2.853552))+0-0-0</f>
        <v>4538.805808000001</v>
      </c>
      <c r="AD317">
        <f t="shared" si="4"/>
        <v>114745.743168</v>
      </c>
      <c r="AE317" s="3">
        <f>5942+(773.4-982.6)+(0+(0-0))+0-0-0</f>
        <v>5732.8</v>
      </c>
    </row>
    <row r="318" spans="1:31" s="2" customFormat="1" x14ac:dyDescent="0.25">
      <c r="A318">
        <v>89</v>
      </c>
      <c r="B318">
        <v>11</v>
      </c>
      <c r="C318">
        <v>12</v>
      </c>
      <c r="D318">
        <v>4</v>
      </c>
      <c r="E318">
        <v>1</v>
      </c>
      <c r="F318" s="3">
        <f>4409.6+(421-780.2)+(-4.497792+(-0.42942--0.795804))+0-0-0</f>
        <v>4046.2685920000004</v>
      </c>
      <c r="G318" s="3">
        <f>4294.4+(313.2-850.2)+(-13.140864+(-0.958392--2.601612))+0-0-0</f>
        <v>3745.9023559999996</v>
      </c>
      <c r="H318" s="3">
        <f>4115.3+(261.8-706.6)+(-6.296409+(-0.400554--1.081098))+0-0-0</f>
        <v>3664.8841349999998</v>
      </c>
      <c r="I318" s="3">
        <f>4025.2+(256.7-700.5)+(0+(0-0))+0-0-0</f>
        <v>3581.3999999999996</v>
      </c>
      <c r="J318" s="3">
        <f>4029.3+(276.3-775.4)+(-10.274715+(-0.704565--1.97727))+0-0-0</f>
        <v>3521.1979900000001</v>
      </c>
      <c r="K318" s="3">
        <f>4146.4+(416.4-923.5)+(-8.458656+(-0.849456--1.88394))+0-0-0</f>
        <v>3631.8758279999997</v>
      </c>
      <c r="L318" s="3">
        <f>4307.2+(464.4-993.2)+(-10.98336+(-1.18422--2.53266))+0-0-0</f>
        <v>3768.7650799999997</v>
      </c>
      <c r="M318" s="3">
        <f>4608.6+(455.2-726.4)+(7.051158+(0.696456-1.111392))+0-0-0</f>
        <v>4344.0362220000006</v>
      </c>
      <c r="N318" s="3">
        <f>4874.2+(574.7-675.6)+(-2.485842+(-0.293097--0.344556))+0-0-0</f>
        <v>4770.8656170000004</v>
      </c>
      <c r="O318" s="3">
        <f>5255.6+(602.2-718.2)+(2.680356+(0.307122-0.366282))+0-0-0</f>
        <v>5142.2211960000004</v>
      </c>
      <c r="P318" s="3">
        <f>5401.6+(914.5-781.6)+(-8.264448+(-1.399185--1.195848))+0-0-0</f>
        <v>5526.0322150000002</v>
      </c>
      <c r="Q318" s="3">
        <f>5277.3+(1101-858.9)+(-10.765692+(-2.24604--1.752156))+0-0-0</f>
        <v>5508.1404240000002</v>
      </c>
      <c r="R318" s="3">
        <f>5436.1+(964-973.2)+(-8.317233+(-1.47492--1.488996))+0-0-0</f>
        <v>5418.5968430000003</v>
      </c>
      <c r="S318" s="3">
        <f>5332.6+(894-864.7)+(-2.719626+(-0.45594--0.440997))+0-0-0</f>
        <v>5359.1654310000004</v>
      </c>
      <c r="T318" s="3">
        <f>5288.7+(767.1-736)+(2.697237+(0.391221-0.37536))+0-0-0</f>
        <v>5322.5130980000004</v>
      </c>
      <c r="U318" s="3">
        <f>5291.8+(708.8-760.3)+(-8.096454+(-1.084464--1.163259))+0-0-0</f>
        <v>5232.2823410000001</v>
      </c>
      <c r="V318" s="3">
        <f>5343.2+(741.9-813.6)+(0+(0-0))+0-0-0</f>
        <v>5271.5</v>
      </c>
      <c r="W318" s="3">
        <f>5658.5+(635.2-830.9)+(-5.77167+(-0.647904--0.847518))+0-0-0</f>
        <v>5457.2279440000002</v>
      </c>
      <c r="X318" s="3">
        <f>5782.9+(761.6-1013.4)+(-17.695674+(-2.330496--3.101004))+0-0-0</f>
        <v>5514.1748339999995</v>
      </c>
      <c r="Y318" s="3">
        <f>5586.1+(860.2-1026)+(-8.546733+(-1.316106--1.56978))+0-0-0</f>
        <v>5412.0069410000006</v>
      </c>
      <c r="Z318" s="3">
        <f>5425.9+(774.7-984.1)+(-5.534418+(-0.790194--1.003782))+0-0-0</f>
        <v>5211.1791700000003</v>
      </c>
      <c r="AA318" s="3">
        <f>5311+(643.5-973.3)+(-5.41722+(-0.65637--0.992766))+0-0-0</f>
        <v>4976.1191760000002</v>
      </c>
      <c r="AB318" s="3">
        <f>5163.2+(558.5-962.7)+(-7.899696+(-0.854505--1.472931))+0-0-0</f>
        <v>4751.7187299999996</v>
      </c>
      <c r="AC318" s="3">
        <f>4939.8+(505.2-945.2)+(-5.038596+(-0.515304--0.964104))+0-0-0</f>
        <v>4495.210204</v>
      </c>
      <c r="AD318">
        <f t="shared" si="4"/>
        <v>113673.28436699999</v>
      </c>
      <c r="AE318" s="3">
        <f>5794+(695.3-1097.1)+(0+(0-0))+0-0-0</f>
        <v>5392.2</v>
      </c>
    </row>
    <row r="319" spans="1:31" s="2" customFormat="1" x14ac:dyDescent="0.25">
      <c r="A319">
        <v>89</v>
      </c>
      <c r="B319">
        <v>11</v>
      </c>
      <c r="C319">
        <v>13</v>
      </c>
      <c r="D319">
        <v>5</v>
      </c>
      <c r="E319">
        <v>5</v>
      </c>
      <c r="F319" s="3">
        <f>4501.2+(409.3-859.7)+(-6.886836+(-0.626229--1.315341))+0-0-0</f>
        <v>4044.6022759999996</v>
      </c>
      <c r="G319" s="3">
        <f>4158.9+(415.4-862.6)+(2.121039+(0.211854-0.439926))+0-0-0</f>
        <v>3713.592967</v>
      </c>
      <c r="H319" s="3">
        <f>3982.8+(383-760.2)+(-4.062456+(-0.39066--0.775404))+0-0-0</f>
        <v>3601.9222880000002</v>
      </c>
      <c r="I319" s="3">
        <f>3860.8+(379.8-770.2)+(3.938016+(0.387396-0.785604))+0-0-0</f>
        <v>3473.9398080000001</v>
      </c>
      <c r="J319" s="3">
        <f>3854.2+(366.5-812.3)+(3.931284+(0.37383-0.828546))+0-0-0</f>
        <v>3411.8765679999997</v>
      </c>
      <c r="K319" s="3">
        <f>3867.3+(307.1-752.6)+(5.916969+(0.469863-1.151478))+0-0-0</f>
        <v>3427.0353540000001</v>
      </c>
      <c r="L319" s="3">
        <f>3824.9+(389.5-875.9)+(0+(0-0))+0-0-0</f>
        <v>3338.5</v>
      </c>
      <c r="M319" s="3">
        <f>3634.6+(603-961.8)+(-9.26823+(-1.53765--2.45259))+0-0-0</f>
        <v>3267.4467100000002</v>
      </c>
      <c r="N319" s="3">
        <f>3609.5+(536.5-754.8)+(-1.840845+(-0.273615--0.384948))+0-0-0</f>
        <v>3389.4704879999999</v>
      </c>
      <c r="O319" s="3">
        <f>3687.8+(512.6-549.8)+(5.642334+(0.784278-0.841194))+0-0-0</f>
        <v>3656.1854180000005</v>
      </c>
      <c r="P319" s="3">
        <f>3994.3+(468.9-628.6)+(-12.222558+(-1.434834--1.923516))+0-0-0</f>
        <v>3822.8661240000006</v>
      </c>
      <c r="Q319" s="3">
        <f>4484.6+(367.6-847.6)+(-6.861438+(-0.562428--1.296828))+0-0-0</f>
        <v>3998.4729620000003</v>
      </c>
      <c r="R319" s="3">
        <f>4432.4+(406.1-906.8)+(0+(0-0))+0-0-0</f>
        <v>3931.7</v>
      </c>
      <c r="S319" s="3">
        <f>4334.6+(434.1-833.2)+(-4.421292+(-0.442782--0.849864))+0-0-0</f>
        <v>3931.4857900000006</v>
      </c>
      <c r="T319" s="3">
        <f>4279.7+(453.2-719.9)+(-6.547941+(-0.693396--1.101447))+0-0-0</f>
        <v>4006.8601100000001</v>
      </c>
      <c r="U319" s="3">
        <f>4189.6+(446.7-712.5)+(-8.546784+(-0.911268--1.4535))+0-0-0</f>
        <v>3915.7954480000003</v>
      </c>
      <c r="V319" s="3">
        <f>4233.1+(489.5-731.1)+(0+(0-0))+0-0-0</f>
        <v>3991.5000000000005</v>
      </c>
      <c r="W319" s="3">
        <f>4470.6+(706.6-891.7)+(0+(0-0))+0-0-0</f>
        <v>4285.5</v>
      </c>
      <c r="X319" s="3">
        <f>4931.6+(894.4-1103)+(-10.060464+(-1.824576--2.25012))+0-0-0</f>
        <v>4713.3650799999996</v>
      </c>
      <c r="Y319" s="3">
        <f>4798.1+(852.9-935.6)+(-4.894062+(-0.869958--0.954312))+0-0-0</f>
        <v>4710.5902920000008</v>
      </c>
      <c r="Z319" s="3">
        <f>4653+(888.2-927.9)+(0+(0-0))+0-0-0</f>
        <v>4613.3</v>
      </c>
      <c r="AA319" s="3">
        <f>4614.6+(888.4-972.1)+(2.353446+(0.453084-0.495771))+0-0-0</f>
        <v>4533.2107590000005</v>
      </c>
      <c r="AB319" s="3">
        <f>4517.2+(923.7-1063.3)+(-2.303772+(-0.471087--0.542283))+0-0-0</f>
        <v>4375.367424</v>
      </c>
      <c r="AC319" s="3">
        <f>4380.5+(901.4-1118.7)+(-13.40433+(-2.758284--3.423222))+0-0-0</f>
        <v>4150.4606079999994</v>
      </c>
      <c r="AD319">
        <f t="shared" si="4"/>
        <v>94305.046473999973</v>
      </c>
      <c r="AE319" s="3">
        <f>4951+(880.9-1091.1)+(0+(0-0))+0-0-0</f>
        <v>4740.8</v>
      </c>
    </row>
    <row r="320" spans="1:31" s="2" customFormat="1" x14ac:dyDescent="0.25">
      <c r="A320">
        <v>89</v>
      </c>
      <c r="B320">
        <v>11</v>
      </c>
      <c r="C320">
        <v>14</v>
      </c>
      <c r="D320">
        <v>6</v>
      </c>
      <c r="E320">
        <v>6</v>
      </c>
      <c r="F320" s="3">
        <f>4101.5+(682.5-982.1)+(-2.091765+(-0.348075--0.500871))+0-0-0</f>
        <v>3799.9610310000003</v>
      </c>
      <c r="G320" s="3">
        <f>3945.2+(497.3-929.9)+(0+(0-0))+0-0-0</f>
        <v>3512.6</v>
      </c>
      <c r="H320" s="3">
        <f>3787+(430.7-845.9)+(-11.58822+(-1.317942--2.588454))+0-0-0</f>
        <v>3361.4822920000001</v>
      </c>
      <c r="I320" s="3">
        <f>3716.9+(386.2-856.6)+(7.582476+(0.787848-1.747464))+0-0-0</f>
        <v>3253.1228599999999</v>
      </c>
      <c r="J320" s="3">
        <f>3702.3+(385.2-829.9)+(1.888173+(0.196452-0.423249))+0-0-0</f>
        <v>3259.2613760000004</v>
      </c>
      <c r="K320" s="3">
        <f>3757.6+(399.5-860.7)+(7.665504+(0.81498-1.755828))+0-0-0</f>
        <v>3303.1246559999995</v>
      </c>
      <c r="L320" s="3">
        <f>3971.7+(387.3-878.8)+(2.025567+(0.197523-0.448188))+0-0-0</f>
        <v>3481.9749019999999</v>
      </c>
      <c r="M320" s="3">
        <f>4048.1+(413.2-769.8)+(-2.064531+(-0.210732--0.392598))+0-0-0</f>
        <v>3689.6173349999999</v>
      </c>
      <c r="N320" s="3">
        <f>4297.3+(441.3-615.2)+(-2.191623+(-0.225063--0.313752))+0-0-0</f>
        <v>4121.297066000001</v>
      </c>
      <c r="O320" s="3">
        <f>4398.2+(666.1-468)+(4.486164+(0.679422-0.47736))+0-0-0</f>
        <v>4600.9882260000004</v>
      </c>
      <c r="P320" s="3">
        <f>4589.6+(776.9-548)+(-2.340696+(-0.396219--0.27948))+0-0-0</f>
        <v>4816.0425649999997</v>
      </c>
      <c r="Q320" s="3">
        <f>4555.9+(1029-659.2)+(0+(0-0))+0-0-0</f>
        <v>4925.7</v>
      </c>
      <c r="R320" s="3">
        <f>4314.1+(1163.2-495)+(-6.600573+(-1.779696--0.75735))+0-0-0</f>
        <v>4974.6770809999998</v>
      </c>
      <c r="S320" s="3">
        <f>4390.6+(876.4-464.7)+(-11.19603+(-2.23482--1.184985))+0-0-0</f>
        <v>4790.0541350000003</v>
      </c>
      <c r="T320" s="3">
        <f>4464.9+(786.3-498.4)+(-6.831297+(-1.203039--0.762552))+0-0-0</f>
        <v>4745.5282159999997</v>
      </c>
      <c r="U320" s="3">
        <f>4464.8+(708.8-539.2)+(-20.493432+(-3.253392--2.474928))+0-0-0</f>
        <v>4613.1281039999994</v>
      </c>
      <c r="V320" s="3">
        <f>4496.7+(614.3-570.6)+(-4.586634+(-0.626586--0.582012))+0-0-0</f>
        <v>4535.7687919999998</v>
      </c>
      <c r="W320" s="3">
        <f>4627.3+(605.8-482.8)+(2.359923+(0.308958-0.246228))+0-0-0</f>
        <v>4752.7226529999998</v>
      </c>
      <c r="X320" s="3">
        <f>4932.5+(761.7-685)+(-7.546725+(-1.165401--1.04805))+0-0-0</f>
        <v>5001.5359239999998</v>
      </c>
      <c r="Y320" s="3">
        <f>4847.6+(794.8-714.4)+(-12.36138+(-2.02674--1.82172))+0-0-0</f>
        <v>4915.4336000000003</v>
      </c>
      <c r="Z320" s="3">
        <f>4666.8+(784.6-577)+(-7.140204+(-1.200438--0.88281))+0-0-0</f>
        <v>4866.9421680000005</v>
      </c>
      <c r="AA320" s="3">
        <f>4513.3+(831.4-661.6)+(-6.905349+(-1.272042--1.012248))+0-0-0</f>
        <v>4675.9348570000002</v>
      </c>
      <c r="AB320" s="3">
        <f>4400.9+(826.1-801.9)+(-2.244459+(-0.421311--0.408969))+0-0-0</f>
        <v>4422.843198999999</v>
      </c>
      <c r="AC320" s="3">
        <f>4322.5+(700.8-810.2)+(-4.40895+(-0.714816--0.826404))+0-0-0</f>
        <v>4208.8026380000001</v>
      </c>
      <c r="AD320">
        <f t="shared" si="4"/>
        <v>102628.54367599999</v>
      </c>
      <c r="AE320" s="3">
        <f>4884+(751.2-713.3)+(0+(0-0))+0-0-0</f>
        <v>4921.8999999999996</v>
      </c>
    </row>
    <row r="321" spans="1:31" s="2" customFormat="1" x14ac:dyDescent="0.25">
      <c r="A321">
        <v>89</v>
      </c>
      <c r="B321">
        <v>11</v>
      </c>
      <c r="C321">
        <v>15</v>
      </c>
      <c r="D321">
        <v>7</v>
      </c>
      <c r="E321">
        <v>5</v>
      </c>
      <c r="F321" s="3">
        <f>4212.6+(536.5-881.4)+(-2.148426+(-0.273615--0.449514))+0-0-0</f>
        <v>3865.7274730000004</v>
      </c>
      <c r="G321" s="3">
        <f>4133.7+(432.9-958.7)+(-2.108187+(-0.220779--0.488937))+0-0-0</f>
        <v>3606.0599709999997</v>
      </c>
      <c r="H321" s="3">
        <f>3940.6+(308.9-817)+(-8.038824+(-0.630156--1.66668))+0-0-0</f>
        <v>3425.4976999999999</v>
      </c>
      <c r="I321" s="3">
        <f>3776.9+(370-811.1)+(-7.704876+(-0.7548--1.654644))+0-0-0</f>
        <v>3328.994968</v>
      </c>
      <c r="J321" s="3">
        <f>3748.9+(480.1-967.6)+(0+(0-0))+0-0-0</f>
        <v>3261.4</v>
      </c>
      <c r="K321" s="3">
        <f>3781.3+(449-980.5)+(9.642315+(1.14495-2.500275))+0-0-0</f>
        <v>3258.0869900000002</v>
      </c>
      <c r="L321" s="3">
        <f>3830.5+(497.1-1029.8)+(-3.90711+(-0.507042--1.050396))+0-0-0</f>
        <v>3294.436244</v>
      </c>
      <c r="M321" s="3">
        <f>3693.3+(521.5-1107.9)+(-1.883583+(-0.265965--0.565029))+0-0-0</f>
        <v>3105.3154810000001</v>
      </c>
      <c r="N321" s="3">
        <f>3924.5+(525.4-1085)+(-2.001495+(-0.267954--0.55335))+0-0-0</f>
        <v>3363.1839009999999</v>
      </c>
      <c r="O321" s="3">
        <f>4055.7+(607-1125)+(-4.136814+(-0.61914--1.1475))+0-0-0</f>
        <v>3534.0915459999997</v>
      </c>
      <c r="P321" s="3">
        <f>4514.1+(534.1-1120.2)+(-16.115337+(-1.906737--3.999114))+0-0-0</f>
        <v>3913.9770400000007</v>
      </c>
      <c r="Q321" s="3">
        <f>4502.4+(513.7-983.2)+(0+(0-0))+0-0-0</f>
        <v>4032.8999999999996</v>
      </c>
      <c r="R321" s="3">
        <f>4453.3+(535.9-901.9)+(0+(0-0))+0-0-0</f>
        <v>4087.3</v>
      </c>
      <c r="S321" s="3">
        <f>4334.7+(483.1-830.8)+(-2.210697+(-0.246381--0.423708))+0-0-0</f>
        <v>3984.9666299999999</v>
      </c>
      <c r="T321" s="3">
        <f>4186.6+(512.3-768.1)+(-4.270332+(-0.522546--0.783462))+0-0-0</f>
        <v>3926.7905840000003</v>
      </c>
      <c r="U321" s="3">
        <f>4192.8+(558.1-854.3)+(-4.276656+(-0.569262--0.871386))+0-0-0</f>
        <v>3892.6254680000002</v>
      </c>
      <c r="V321" s="3">
        <f>4361.9+(455.3-822.6)+(-2.224569+(-0.232203--0.419526))+0-0-0</f>
        <v>3992.5627539999996</v>
      </c>
      <c r="W321" s="3">
        <f>4852+(412-941.8)+(-4.94904+(-0.42024--0.960636))+0-0-0</f>
        <v>4317.7913559999997</v>
      </c>
      <c r="X321" s="3">
        <f>5252.1+(686.8-1223.1)+(-5.357142+(-0.700536--1.247562))+0-0-0</f>
        <v>4710.9898840000005</v>
      </c>
      <c r="Y321" s="3">
        <f>5241.9+(725.8-1207.7)+(-2.673369+(-0.370158--0.615927))+0-0-0</f>
        <v>4757.5724</v>
      </c>
      <c r="Z321" s="3">
        <f>5216.3+(757-1215)+(-7.980939+(-1.15821--1.85895))+0-0-0</f>
        <v>4751.0198010000004</v>
      </c>
      <c r="AA321" s="3">
        <f>5184.7+(835.6-1370.4)+(0+(0-0))+0-0-0</f>
        <v>4649.8999999999996</v>
      </c>
      <c r="AB321" s="3">
        <f>5055.4+(704.3-1205)+(-12.89127+(-1.795965--3.07275))+0-0-0</f>
        <v>4543.0855149999998</v>
      </c>
      <c r="AC321" s="3">
        <f>4485.7+(750.4-1021.3)+(-11.438535+(-1.91352--2.604315))+0-0-0</f>
        <v>4204.0522600000004</v>
      </c>
      <c r="AD321">
        <f t="shared" ref="AD321:AD365" si="5">SUM(F321:AC321)</f>
        <v>93808.327965999997</v>
      </c>
      <c r="AE321" s="3">
        <f>5253+(702.8-1238.3)+(0+(0-0))+0-0-0</f>
        <v>4717.5</v>
      </c>
    </row>
    <row r="322" spans="1:31" s="2" customFormat="1" x14ac:dyDescent="0.25">
      <c r="A322">
        <v>89</v>
      </c>
      <c r="B322">
        <v>11</v>
      </c>
      <c r="C322">
        <v>16</v>
      </c>
      <c r="D322">
        <v>1</v>
      </c>
      <c r="E322">
        <v>1</v>
      </c>
      <c r="F322" s="3">
        <f>4049.1+(494.6-761.1)+(-2.065041+(-0.252246--0.388161))+0-0-0</f>
        <v>3780.6708739999999</v>
      </c>
      <c r="G322" s="3">
        <f>3720.2+(489.5-728.4)+(5.691906+(0.748935-1.114452))+0-0-0</f>
        <v>3486.6263889999996</v>
      </c>
      <c r="H322" s="3">
        <f>3568.6+(450.3-650.5)+(-7.279944+(-0.918612--1.32702))+0-0-0</f>
        <v>3361.528464</v>
      </c>
      <c r="I322" s="3">
        <f>3476.4+(474.6-637.5)+(-5.318892+(-0.726138--0.975375))+0-0-0</f>
        <v>3308.4303450000002</v>
      </c>
      <c r="J322" s="3">
        <f>3455.1+(454.9-636)+(-5.286303+(-0.695997--0.97308))+0-0-0</f>
        <v>3268.9907800000001</v>
      </c>
      <c r="K322" s="3">
        <f>3627.3+(476.5-715)+(0+(0-0))+0-0-0</f>
        <v>3388.8</v>
      </c>
      <c r="L322" s="3">
        <f>3932.7+(633.5-836.1)+(2.005677+(0.323085-0.426411))+0-0-0</f>
        <v>3732.0023510000001</v>
      </c>
      <c r="M322" s="3">
        <f>4238.5+(685.6-818.8)+(-2.161635+(-0.349656--0.417588))+0-0-0</f>
        <v>4103.2062970000006</v>
      </c>
      <c r="N322" s="3">
        <f>4519+(915.4-652.1)+(4.60938+(0.933708-0.665142))+0-0-0</f>
        <v>4787.1779459999998</v>
      </c>
      <c r="O322" s="3">
        <f>4561.3+(1199.3-593.4)+(4.652526+(1.223286-0.605268))+0-0-0</f>
        <v>5172.4705439999998</v>
      </c>
      <c r="P322" s="3">
        <f>4667.9+(1334.2-565.2)+(9.522516+(2.721768-1.153008))+0-0-0</f>
        <v>5447.9912759999997</v>
      </c>
      <c r="Q322" s="3">
        <f>4737+(1375-540.8)+(-12.07935+(-3.50625--1.37904))+0-0-0</f>
        <v>5556.9934400000002</v>
      </c>
      <c r="R322" s="3">
        <f>4798.8+(1170.6-540.6)+(-7.342164+(-1.791018--0.827118))+0-0-0</f>
        <v>5420.4939359999998</v>
      </c>
      <c r="S322" s="3">
        <f>4801.1+(1084.7-548.1)+(-9.794244+(-2.212788--1.118124))+0-0-0</f>
        <v>5326.8110920000008</v>
      </c>
      <c r="T322" s="3">
        <f>4742.9+(1125.2-533.7)+(-4.837758+(-1.147704--0.544374))+0-0-0</f>
        <v>5328.9589120000001</v>
      </c>
      <c r="U322" s="3">
        <f>4828.1+(1039.3-516.2)+(7.386993+(1.590129-0.789786))+0-0-0</f>
        <v>5359.3873360000007</v>
      </c>
      <c r="V322" s="3">
        <f>4813.8+(990.5-450.2)+(-7.365114+(-1.515465--0.688806))+0-0-0</f>
        <v>5345.9082270000008</v>
      </c>
      <c r="W322" s="3">
        <f>5044.1+(967.1-378)+(0+(0-0))+0-0-0</f>
        <v>5633.2000000000007</v>
      </c>
      <c r="X322" s="3">
        <f>5253.5+(1067.9-608.1)+(-8.037855+(-1.633887--0.930393))+0-0-0</f>
        <v>5704.5586510000003</v>
      </c>
      <c r="Y322" s="3">
        <f>5294.1+(908.7-619.6)+(-2.699991+(-0.463437--0.315996))+0-0-0</f>
        <v>5580.3525680000012</v>
      </c>
      <c r="Z322" s="3">
        <f>5109.6+(890.5-589.8)+(-10.423584+(-1.81662--1.203192))+0-0-0</f>
        <v>5399.2629880000004</v>
      </c>
      <c r="AA322" s="3">
        <f>5026.4+(838.3-765.3)+(-2.563464+(-0.427533--0.390303))+0-0-0</f>
        <v>5096.7993059999999</v>
      </c>
      <c r="AB322" s="3">
        <f>4996.9+(710.4-852.9)+(-12.742095+(-1.81152--2.174895))+0-0-0</f>
        <v>4842.0212799999999</v>
      </c>
      <c r="AC322" s="3">
        <f>4886.5+(663.8-1024)+(-9.96846+(-1.354152--2.08896))+0-0-0</f>
        <v>4517.0663480000003</v>
      </c>
      <c r="AD322">
        <f t="shared" si="5"/>
        <v>112949.70935000002</v>
      </c>
      <c r="AE322" s="3">
        <f>5264+(1112.6-619.6)+(0+(0-0))+0-0-0</f>
        <v>5757</v>
      </c>
    </row>
    <row r="323" spans="1:31" s="2" customFormat="1" x14ac:dyDescent="0.25">
      <c r="A323">
        <v>89</v>
      </c>
      <c r="B323">
        <v>11</v>
      </c>
      <c r="C323">
        <v>17</v>
      </c>
      <c r="D323">
        <v>2</v>
      </c>
      <c r="E323">
        <v>1</v>
      </c>
      <c r="F323" s="3">
        <f>4309.6+(617.8-732)+(-4.395792+(-0.630156--0.74664))+0-0-0</f>
        <v>4191.1206920000004</v>
      </c>
      <c r="G323" s="3">
        <f>3773.3+(510.3-411.8)+(-3.848766+(-0.520506--0.420036))+0-0-0</f>
        <v>3867.8507640000003</v>
      </c>
      <c r="H323" s="3">
        <f>3466.8+(516.4-344.1)+(-1.768068+(-0.263364--0.175491))+0-0-0</f>
        <v>3637.2440590000006</v>
      </c>
      <c r="I323" s="3">
        <f>3579.6+(393-453.4)+(9.12798+(1.00215-1.15617))+0-0-0</f>
        <v>3528.1739599999996</v>
      </c>
      <c r="J323" s="3">
        <f>3651.6+(327.6-465)+(-5.586948+(-0.501228--0.71145))+0-0-0</f>
        <v>3508.8232739999999</v>
      </c>
      <c r="K323" s="3">
        <f>3748+(320.9-489.8)+(0+(0-0))+0-0-0</f>
        <v>3579.1</v>
      </c>
      <c r="L323" s="3">
        <f>3991+(451.7-492.3)+(-4.07082+(-0.460734--0.502146))+0-0-0</f>
        <v>3946.3705920000002</v>
      </c>
      <c r="M323" s="3">
        <f>4235.1+(647.2-517)+(-4.319802+(-0.660144--0.52734))+0-0-0</f>
        <v>4360.8473940000003</v>
      </c>
      <c r="N323" s="3">
        <f>4857.2+(594.5-632.3)+(-2.477172+(-0.303195--0.322473))+0-0-0</f>
        <v>4816.9421059999995</v>
      </c>
      <c r="O323" s="3">
        <f>5022.5+(718.5-569)+(2.561475+(0.366435-0.29019))+0-0-0</f>
        <v>5174.6377199999997</v>
      </c>
      <c r="P323" s="3">
        <f>4963.4+(1006.4-575.9)+(-10.125336+(-2.053056--1.174836))+0-0-0</f>
        <v>5382.896444</v>
      </c>
      <c r="Q323" s="3">
        <f>4925.6+(1191.3-565.1)+(-10.048224+(-2.430252--1.152804))+0-0-0</f>
        <v>5540.4743280000002</v>
      </c>
      <c r="R323" s="3">
        <f>4818.8+(1149.5-541.4)+(-9.830352+(-2.34498--1.104456))+0-0-0</f>
        <v>5415.8291240000008</v>
      </c>
      <c r="S323" s="3">
        <f>4792.9+(1071.8-592)+(-7.333137+(-1.639854--0.90576))+0-0-0</f>
        <v>5264.6327689999998</v>
      </c>
      <c r="T323" s="3">
        <f>4854.4+(1058.1-598.9)+(-4.951488+(-1.079262--0.610878))+0-0-0</f>
        <v>5308.1801279999991</v>
      </c>
      <c r="U323" s="3">
        <f>4849.1+(1024.9-609.5)+(-14.838246+(-3.136194--1.86507))+0-0-0</f>
        <v>5248.3906299999999</v>
      </c>
      <c r="V323" s="3">
        <f>4895+(918.2-531.2)+(0+(0-0))+0-0-0</f>
        <v>5282</v>
      </c>
      <c r="W323" s="3">
        <f>5012.8+(939.6-429.2)+(-7.669584+(-1.437588--0.656676))+0-0-0</f>
        <v>5514.7495039999994</v>
      </c>
      <c r="X323" s="3">
        <f>5420.8+(1094-614.1)+(0+(0-0))+0-0-0</f>
        <v>5900.7</v>
      </c>
      <c r="Y323" s="3">
        <f>5474.8+(955.2-788.3)+(-19.545036+(-3.410064--2.814231))+0-0-0</f>
        <v>5621.5591310000009</v>
      </c>
      <c r="Z323" s="3">
        <f>5376.1+(861-761.3)+(-2.741811+(-0.43911--0.388263))+0-0-0</f>
        <v>5473.0073419999999</v>
      </c>
      <c r="AA323" s="3">
        <f>5314.8+(763.4-794.8)+(-13.55274+(-1.94667--2.02674))+0-0-0</f>
        <v>5269.9273300000004</v>
      </c>
      <c r="AB323" s="3">
        <f>5228.7+(596.6-822.1)+(-5.333274+(-0.608532--0.838542))+0-0-0</f>
        <v>4998.0967359999995</v>
      </c>
      <c r="AC323" s="3">
        <f>4911.9+(551.2-721.1)+(-10.020276+(-1.124448--1.471044))+0-0-0</f>
        <v>4732.3263200000001</v>
      </c>
      <c r="AD323">
        <f t="shared" si="5"/>
        <v>115563.880347</v>
      </c>
      <c r="AE323" s="3">
        <f>5496+(1063.4-750.4)+(0+(0-0))+0-0-0</f>
        <v>5809</v>
      </c>
    </row>
    <row r="324" spans="1:31" s="2" customFormat="1" x14ac:dyDescent="0.25">
      <c r="A324">
        <v>89</v>
      </c>
      <c r="B324">
        <v>11</v>
      </c>
      <c r="C324">
        <v>18</v>
      </c>
      <c r="D324">
        <v>3</v>
      </c>
      <c r="E324">
        <v>1</v>
      </c>
      <c r="F324" s="3">
        <f>4253.2+(497.8-581)+(-8.676528+(-1.015512--1.18524))+0-0-0</f>
        <v>4161.4931999999999</v>
      </c>
      <c r="G324" s="3">
        <f>4107.7+(299.6-481.9)+(-2.094927+(-0.152796--0.245769))+0-0-0</f>
        <v>3923.3980459999998</v>
      </c>
      <c r="H324" s="3">
        <f>3940.9+(264-456.7)+(2.009859+(0.13464-0.232917))+0-0-0</f>
        <v>3750.1115820000005</v>
      </c>
      <c r="I324" s="3">
        <f>3890.4+(248.7-471.7)+(-9.92052+(-0.634185--1.202835))+0-0-0</f>
        <v>3658.0481300000001</v>
      </c>
      <c r="J324" s="3">
        <f>3941.5+(237.8-521.5)+(-4.02033+(-0.242556--0.53193))+0-0-0</f>
        <v>3654.0690440000003</v>
      </c>
      <c r="K324" s="3">
        <f>4010.1+(255.5-524.4)+(-2.045151+(-0.130305--0.267444))+0-0-0</f>
        <v>3739.2919879999999</v>
      </c>
      <c r="L324" s="3">
        <f>4078.8+(341.3-494.1)+(-12.481128+(-1.044378--1.511946))+0-0-0</f>
        <v>3913.9864400000001</v>
      </c>
      <c r="M324" s="3">
        <f>4369.1+(378.5-572.1)+(0+(0-0))+0-0-0</f>
        <v>4175.5</v>
      </c>
      <c r="N324" s="3">
        <f>4714+(586.9-531.3)+(7.21242+(0.897957-0.812889))+0-0-0</f>
        <v>4776.8974880000005</v>
      </c>
      <c r="O324" s="3">
        <f>4658+(954.7-472.8)+(0+(0-0))+0-0-0</f>
        <v>5139.8999999999996</v>
      </c>
      <c r="P324" s="3">
        <f>4864.1+(915.3-448.2)+(0+(0-0))+0-0-0</f>
        <v>5331.2000000000007</v>
      </c>
      <c r="Q324" s="3">
        <f>4892.2+(956.3-407.1)+(0+(0-0))+0-0-0</f>
        <v>5441.4</v>
      </c>
      <c r="R324" s="3">
        <f>4945.8+(841.4-470.1)+(-12.61179+(-2.14557--1.198755))+0-0-0</f>
        <v>5303.5413950000002</v>
      </c>
      <c r="S324" s="3">
        <f>4965.7+(658-398.6)+(-5.065014+(-0.67116--0.406572))+0-0-0</f>
        <v>5219.7703979999997</v>
      </c>
      <c r="T324" s="3">
        <f>4882+(787.3-401.1)+(-2.48982+(-0.401523--0.204561))+0-0-0</f>
        <v>5265.5132180000001</v>
      </c>
      <c r="U324" s="3">
        <f>4734.3+(820-402.6)+(-4.828986+(-0.8364--0.410652))+0-0-0</f>
        <v>5146.4452659999997</v>
      </c>
      <c r="V324" s="3">
        <f>4781.9+(855.5-428.4)+(2.438769+(0.436305-0.218484))+0-0-0</f>
        <v>5211.6565899999996</v>
      </c>
      <c r="W324" s="3">
        <f>4955+(839.8-435.7)+(-2.52705+(-0.428298--0.222207))+0-0-0</f>
        <v>5356.3668590000007</v>
      </c>
      <c r="X324" s="3">
        <f>5257.2+(1007.7-634.2)+(-10.724688+(-2.055708--1.293768))+0-0-0</f>
        <v>5619.2133720000002</v>
      </c>
      <c r="Y324" s="3">
        <f>5231.3+(947.1-651.7)+(-10.671852+(-1.932084--1.329468))+0-0-0</f>
        <v>5515.4255320000002</v>
      </c>
      <c r="Z324" s="3">
        <f>5226.2+(899.7-744.4)+(-7.996086+(-1.376541--1.138932))+0-0-0</f>
        <v>5373.2663050000001</v>
      </c>
      <c r="AA324" s="3">
        <f>5195.4+(817.1-913.6)+(-13.24827+(-2.083605--2.32968))+0-0-0</f>
        <v>5085.8978049999996</v>
      </c>
      <c r="AB324" s="3">
        <f>5084.2+(786.2-934.2)+(-10.371768+(-1.603848--1.905768))+0-0-0</f>
        <v>4926.1301519999997</v>
      </c>
      <c r="AC324" s="3">
        <f>4682.2+(779.1-907.9)+(-21.491298+(-3.576069--4.167261))+0-0-0</f>
        <v>4532.4998939999996</v>
      </c>
      <c r="AD324">
        <f t="shared" si="5"/>
        <v>114221.02270399999</v>
      </c>
      <c r="AE324" s="3">
        <f>5284+(1083.6-642.4)+(0+(0-0))+0-0-0</f>
        <v>5725.2</v>
      </c>
    </row>
    <row r="325" spans="1:31" s="2" customFormat="1" x14ac:dyDescent="0.25">
      <c r="A325">
        <v>89</v>
      </c>
      <c r="B325">
        <v>11</v>
      </c>
      <c r="C325">
        <v>19</v>
      </c>
      <c r="D325">
        <v>4</v>
      </c>
      <c r="E325">
        <v>1</v>
      </c>
      <c r="F325" s="3">
        <f>4384.3+(526.1-758)+(8.943972+(1.073244-1.54632))+0-0-0</f>
        <v>4160.8708960000004</v>
      </c>
      <c r="G325" s="3">
        <f>4164.9+(376.3-758.3)+(4.248198+(0.383826-0.773466))+0-0-0</f>
        <v>3786.7585579999995</v>
      </c>
      <c r="H325" s="3">
        <f>3936.7+(403.6-680.4)+(-4.015434+(-0.411672--0.694008))+0-0-0</f>
        <v>3656.1669019999995</v>
      </c>
      <c r="I325" s="3">
        <f>3892.7+(369.3-642.6)+(-9.926385+(-0.941715--1.63863))+0-0-0</f>
        <v>3610.1705299999994</v>
      </c>
      <c r="J325" s="3">
        <f>3816.9+(349.6-590.6)+(1.946619+(0.178296-0.301206))+0-0-0</f>
        <v>3577.7237089999999</v>
      </c>
      <c r="K325" s="3">
        <f>3897+(286.7-571.4)+(7.94988+(0.584868-1.165656))+0-0-0</f>
        <v>3619.6690920000001</v>
      </c>
      <c r="L325" s="3">
        <f>4267.6+(252.7-638.2)+(-8.705904+(-0.515508--1.301928))+0-0-0</f>
        <v>3874.1805160000004</v>
      </c>
      <c r="M325" s="3">
        <f>4351.6+(444.2-551.4)+(-2.219316+(-0.226542--0.281214))+0-0-0</f>
        <v>4242.2353560000001</v>
      </c>
      <c r="N325" s="3">
        <f>4350.5+(974.6-559.5)+(4.43751+(0.994092-0.57069))+0-0-0</f>
        <v>4770.4609120000005</v>
      </c>
      <c r="O325" s="3">
        <f>4513.9+(1223.6-536)+(2.302089+(0.624036-0.27336))+0-0-0</f>
        <v>5204.1527649999998</v>
      </c>
      <c r="P325" s="3">
        <f>4948.8+(869.1-546.9)+(-10.095552+(-1.772964--1.115676))+0-0-0</f>
        <v>5260.2471599999999</v>
      </c>
      <c r="Q325" s="3">
        <f>5292.4+(890.7-644.2)+(-10.796496+(-1.817028--1.314168))+0-0-0</f>
        <v>5527.6006439999992</v>
      </c>
      <c r="R325" s="3">
        <f>4926.3+(1005.7-572.3)+(-7.537239+(-1.538721--0.875619))+0-0-0</f>
        <v>5351.499659000001</v>
      </c>
      <c r="S325" s="3">
        <f>4841.1+(951.5-552.5)+(0+(0-0))+0-0-0</f>
        <v>5240.1000000000004</v>
      </c>
      <c r="T325" s="3">
        <f>4919.8+(854-613.5)+(0+(0-0))+0-0-0</f>
        <v>5160.3</v>
      </c>
      <c r="U325" s="3">
        <f>5050.4+(743.8-593.3)+(-5.151408+(-0.758676--0.605166))+0-0-0</f>
        <v>5195.5950819999998</v>
      </c>
      <c r="V325" s="3">
        <f>5111.6+(688-627.4)+(-7.820748+(-1.05264--0.959922))+0-0-0</f>
        <v>5164.2865340000008</v>
      </c>
      <c r="W325" s="3">
        <f>5369.2+(651-644.1)+(2.738292+(0.33201-0.328491))+0-0-0</f>
        <v>5378.8418109999993</v>
      </c>
      <c r="X325" s="3">
        <f>5844+(557.9-717.7)+(-5.96088+(-0.569058--0.732054))+0-0-0</f>
        <v>5678.4021160000002</v>
      </c>
      <c r="Y325" s="3">
        <f>5577.5+(688.8-709)+(-8.533575+(-1.053864--1.08477))+0-0-0</f>
        <v>5548.7973309999998</v>
      </c>
      <c r="Z325" s="3">
        <f>5308+(801.9-685.9)+(-13.5354+(-2.044845--1.749045))+0-0-0</f>
        <v>5410.1688000000004</v>
      </c>
      <c r="AA325" s="3">
        <f>5138.2+(870.9-862.2)+(0+(0-0))+0-0-0</f>
        <v>5146.8999999999996</v>
      </c>
      <c r="AB325" s="3">
        <f>4885.6+(863.4-937.8)+(-2.491656+(-0.440334--0.478278))+0-0-0</f>
        <v>4808.7462880000003</v>
      </c>
      <c r="AC325" s="3">
        <f>4690.2+(634-827.1)+(-14.352012+(-1.94004--2.530926))+0-0-0</f>
        <v>4483.3388739999991</v>
      </c>
      <c r="AD325">
        <f t="shared" si="5"/>
        <v>113857.21353499997</v>
      </c>
      <c r="AE325" s="3">
        <f>5851+(627.6-774.4)+(0+(0-0))+0-0-0</f>
        <v>5704.2</v>
      </c>
    </row>
    <row r="326" spans="1:31" s="2" customFormat="1" x14ac:dyDescent="0.25">
      <c r="A326">
        <v>89</v>
      </c>
      <c r="B326">
        <v>11</v>
      </c>
      <c r="C326">
        <v>20</v>
      </c>
      <c r="D326">
        <v>5</v>
      </c>
      <c r="E326">
        <v>1</v>
      </c>
      <c r="F326" s="3">
        <f>4542.2+(424.4-891)+(-4.633044+(-0.432888--0.90882))+0-0-0</f>
        <v>4071.442888</v>
      </c>
      <c r="G326" s="3">
        <f>4388.3+(341.8-956.7)+(-13.428198+(-1.045908--2.927502))+0-0-0</f>
        <v>3761.853396</v>
      </c>
      <c r="H326" s="3">
        <f>4275.1+(311.1-953.9)+(2.180301+(0.158661-0.486489))+0-0-0</f>
        <v>3634.1524730000001</v>
      </c>
      <c r="I326" s="3">
        <f>4256.6+(314.5-986.2)+(-10.85433+(-0.801975--2.51481))+0-0-0</f>
        <v>3575.7585050000007</v>
      </c>
      <c r="J326" s="3">
        <f>4136.1+(307.1-878.8)+(-2.109411+(-0.156621--0.448188))+0-0-0</f>
        <v>3562.5821560000004</v>
      </c>
      <c r="K326" s="3">
        <f>4239.1+(293.3-893.1)+(-2.161941+(-0.149583--0.455481))+0-0-0</f>
        <v>3637.443957</v>
      </c>
      <c r="L326" s="3">
        <f>4470.6+(375.5-909.4)+(-2.280006+(-0.191505--0.463794))+0-0-0</f>
        <v>3934.6922830000003</v>
      </c>
      <c r="M326" s="3">
        <f>4661.9+(475.4-834.8)+(7.132707+(0.727362-1.277244))+0-0-0</f>
        <v>4309.0828250000004</v>
      </c>
      <c r="N326" s="3">
        <f>4862.5+(683.7-775.8)+(4.95975+(0.697374-0.791316))+0-0-0</f>
        <v>4775.2658079999992</v>
      </c>
      <c r="O326" s="3">
        <f>4909.3+(885.1-575.2)+(-2.503743+(-0.451401--0.293352))+0-0-0</f>
        <v>5216.5382079999999</v>
      </c>
      <c r="P326" s="3">
        <f>4995+(928.4-516.2)+(-5.0949+(-0.946968--0.526524))+0-0-0</f>
        <v>5401.6846559999994</v>
      </c>
      <c r="Q326" s="3">
        <f>5121.9+(875.4-496.7)+(-10.448676+(-1.785816--1.013268))+0-0-0</f>
        <v>5489.3787759999996</v>
      </c>
      <c r="R326" s="3">
        <f>5124.3+(784.3-503.8)+(-15.680358+(-2.399958--1.541628))+0-0-0</f>
        <v>5388.2613120000005</v>
      </c>
      <c r="S326" s="3">
        <f>5072.2+(716.2-519.5)+(-2.586822+(-0.365262--0.264945))+0-0-0</f>
        <v>5266.212861</v>
      </c>
      <c r="T326" s="3">
        <f>5129.9+(656.8-483.9)+(0+(0-0))+0-0-0</f>
        <v>5302.7999999999993</v>
      </c>
      <c r="U326" s="3">
        <f>5136.6+(747.1-629.1)+(-10.478664+(-1.524084--1.283364))+0-0-0</f>
        <v>5243.8806160000004</v>
      </c>
      <c r="V326" s="3">
        <f>5034.2+(872.3-657)+(-15.404652+(-2.669238--2.01042))+0-0-0</f>
        <v>5233.4365299999999</v>
      </c>
      <c r="W326" s="3">
        <f>5145.4+(757.8-539.7)+(-5.248308+(-0.772956--0.550494))+0-0-0</f>
        <v>5358.0292300000001</v>
      </c>
      <c r="X326" s="3">
        <f>5392.3+(922.9-638.7)+(-19.250511+(-3.294753--2.280159))+0-0-0</f>
        <v>5656.2348949999996</v>
      </c>
      <c r="Y326" s="3">
        <f>5292.7+(850.6-574)+(-8.097831+(-1.301418--0.87822))+0-0-0</f>
        <v>5560.7789709999997</v>
      </c>
      <c r="Z326" s="3">
        <f>5189.4+(832.6-647.2)+(-15.879564+(-2.547756--1.980432))+0-0-0</f>
        <v>5358.3531119999989</v>
      </c>
      <c r="AA326" s="3">
        <f>5145.9+(627.6-608.8)+(-7.873227+(-0.960228--0.931464))+0-0-0</f>
        <v>5156.7980090000001</v>
      </c>
      <c r="AB326" s="3">
        <f>4986.2+(564.9-621.8)+(-12.71481+(-1.440495--1.58559))+0-0-0</f>
        <v>4916.7302850000005</v>
      </c>
      <c r="AC326" s="3">
        <f>4733.8+(557.8-749.8)+(-2.414238+(-0.284478--0.382398))+0-0-0</f>
        <v>4539.483682</v>
      </c>
      <c r="AD326">
        <f t="shared" si="5"/>
        <v>114350.875434</v>
      </c>
      <c r="AE326" s="3">
        <f>5456+(935.2-713.5)+(0+(0-0))+0-0-0</f>
        <v>5677.7</v>
      </c>
    </row>
    <row r="327" spans="1:31" s="2" customFormat="1" x14ac:dyDescent="0.25">
      <c r="A327">
        <v>89</v>
      </c>
      <c r="B327">
        <v>11</v>
      </c>
      <c r="C327">
        <v>21</v>
      </c>
      <c r="D327">
        <v>6</v>
      </c>
      <c r="E327">
        <v>1</v>
      </c>
      <c r="F327" s="3">
        <f>4442.2+(449.8-791.4)+(-13.593132+(-1.376388--2.421684))+0-0-0</f>
        <v>4088.0521639999993</v>
      </c>
      <c r="G327" s="3">
        <f>4210.8+(296.6-703.2)+(4.295016+(0.302532-0.717264))+0-0-0</f>
        <v>3808.0802840000001</v>
      </c>
      <c r="H327" s="3">
        <f>4081.5+(293.4-707.1)+(-4.16313+(-0.299268--0.721242))+0-0-0</f>
        <v>3664.0588440000001</v>
      </c>
      <c r="I327" s="3">
        <f>4039.6+(337.9-822)+(8.240784+(0.689316-1.67688))+0-0-0</f>
        <v>3562.7532200000001</v>
      </c>
      <c r="J327" s="3">
        <f>4049.4+(353.1-856.9)+(10.32597+(0.900405-2.185095))+0-0-0</f>
        <v>3554.6412800000003</v>
      </c>
      <c r="K327" s="3">
        <f>4195.6+(411.3-920.2)+(-4.279512+(-0.419526--0.938604))+0-0-0</f>
        <v>3682.9395660000005</v>
      </c>
      <c r="L327" s="3">
        <f>4432.1+(340.2-994.3)+(-11.301855+(-0.86751--2.535465))+0-0-0</f>
        <v>3768.3661000000006</v>
      </c>
      <c r="M327" s="3">
        <f>4677.9+(387.2-979.9)+(-4.771458+(-0.394944--0.999498))+0-0-0</f>
        <v>4081.0330959999997</v>
      </c>
      <c r="N327" s="3">
        <f>4925.9+(461.2-793.3)+(-5.024418+(-0.470424--0.809166))+0-0-0</f>
        <v>4589.1143239999992</v>
      </c>
      <c r="O327" s="3">
        <f>5008.3+(486.5-540.5)+(0+(0-0))+0-0-0</f>
        <v>4954.3</v>
      </c>
      <c r="P327" s="3">
        <f>4905.2+(658.4-446.9)+(-10.006608+(-1.343136--0.911676))+0-0-0</f>
        <v>5106.2619319999994</v>
      </c>
      <c r="Q327" s="3">
        <f>4998.3+(631.9-379.6)+(-17.843931+(-2.255883--1.355172))+0-0-0</f>
        <v>5231.8553580000007</v>
      </c>
      <c r="R327" s="3">
        <f>5050.7+(577.7-486.7)+(-5.151714+(-0.589254--0.496434))+0-0-0</f>
        <v>5136.4554659999994</v>
      </c>
      <c r="S327" s="3">
        <f>5053.4+(581.1-693.3)+(2.577234+(0.296361-0.353583))+0-0-0</f>
        <v>4943.7200119999998</v>
      </c>
      <c r="T327" s="3">
        <f>5042.3+(581.8-742.4)+(-2.571573+(-0.296718--0.378624))+0-0-0</f>
        <v>4879.210333</v>
      </c>
      <c r="U327" s="3">
        <f>4858.7+(506.5-567.5)+(-14.867622+(-1.54989--1.73655))+0-0-0</f>
        <v>4783.0190379999995</v>
      </c>
      <c r="V327" s="3">
        <f>4802.8+(533.8-568.9)+(12.24714+(1.36119-1.450695))+0-0-0</f>
        <v>4779.8576349999994</v>
      </c>
      <c r="W327" s="3">
        <f>4959.8+(496.4-537.8)+(-2.529498+(-0.253164--0.274278))+0-0-0</f>
        <v>4915.8916160000008</v>
      </c>
      <c r="X327" s="3">
        <f>5587.6+(592-911.2)+(-8.549028+(-0.90576--1.394136))+0-0-0</f>
        <v>5260.3393480000004</v>
      </c>
      <c r="Y327" s="3">
        <f>5613.4+(530.5-924.8)+(-5.725668+(-0.54111--0.943296))+0-0-0</f>
        <v>5213.7765179999997</v>
      </c>
      <c r="Z327" s="3">
        <f>5404.3+(478-798.8)+(-22.049544+(-1.95024--3.259104))+0-0-0</f>
        <v>5062.7593200000001</v>
      </c>
      <c r="AA327" s="3">
        <f>5129.1+(587-815.4)+(-2.615841+(-0.29937--0.415854))+0-0-0</f>
        <v>4898.200643000001</v>
      </c>
      <c r="AB327" s="3">
        <f>5046.4+(597.6-907.6)+(-12.86832+(-1.52388--2.31438))+0-0-0</f>
        <v>4724.3221799999992</v>
      </c>
      <c r="AC327" s="3">
        <f>4924.7+(716.8-1207.6)+(0+(0-0))+0-0-0</f>
        <v>4433.8999999999996</v>
      </c>
      <c r="AD327">
        <f t="shared" si="5"/>
        <v>109122.90827699998</v>
      </c>
      <c r="AE327" s="3">
        <f>5667+(627.1-977.3)+(0+(0-0))+0-0-0</f>
        <v>5316.8</v>
      </c>
    </row>
    <row r="328" spans="1:31" s="2" customFormat="1" x14ac:dyDescent="0.25">
      <c r="A328">
        <v>89</v>
      </c>
      <c r="B328">
        <v>11</v>
      </c>
      <c r="C328">
        <v>22</v>
      </c>
      <c r="D328">
        <v>7</v>
      </c>
      <c r="E328">
        <v>2</v>
      </c>
      <c r="F328" s="3">
        <f>4661.2+(419.3-1028.4)+(-2.377212+(-0.213843--0.524484))+0-0-0</f>
        <v>4050.0334289999996</v>
      </c>
      <c r="G328" s="3">
        <f>4422+(255.9-892.6)+(-2.25522+(-0.130509--0.455226))+0-0-0</f>
        <v>3783.3694970000001</v>
      </c>
      <c r="H328" s="3">
        <f>4285.6+(192.2-875.3)+(0+(0-0))+0-0-0</f>
        <v>3602.5000000000005</v>
      </c>
      <c r="I328" s="3">
        <f>4118+(194.1-834.7)+(-6.30054+(-0.296973--1.277091))+0-0-0</f>
        <v>3472.0795780000003</v>
      </c>
      <c r="J328" s="3">
        <f>4208.2+(263.7-1011.3)+(-8.584728+(-0.537948--2.063052))+0-0-0</f>
        <v>3453.5403759999999</v>
      </c>
      <c r="K328" s="3">
        <f>4038.1+(316.6-960)+(2.059431+(0.161466-0.4896))+0-0-0</f>
        <v>3396.4312969999996</v>
      </c>
      <c r="L328" s="3">
        <f>3872.9+(351.5-876.5)+(-13.826253+(-1.254855--3.129105))+0-0-0</f>
        <v>3335.9479970000002</v>
      </c>
      <c r="M328" s="3">
        <f>3682.6+(502.4-788.5)+(0+(0-0))+0-0-0</f>
        <v>3396.5</v>
      </c>
      <c r="N328" s="3">
        <f>3783.3+(605.2-887.5)+(5.788449+(0.925956-1.357875))+0-0-0</f>
        <v>3506.35653</v>
      </c>
      <c r="O328" s="3">
        <f>4257.6+(484.4-874.3)+(4.342752+(0.494088-0.891786))+0-0-0</f>
        <v>3871.6450540000001</v>
      </c>
      <c r="P328" s="3">
        <f>4352.7+(392.4-592.5)+(2.219877+(0.200124-0.302175))+0-0-0</f>
        <v>4154.7178259999991</v>
      </c>
      <c r="Q328" s="3">
        <f>4391.8+(544.1-527.1)+(2.239818+(0.277491-0.268821))+0-0-0</f>
        <v>4411.0484880000004</v>
      </c>
      <c r="R328" s="3">
        <f>4399.3+(548-547.5)+(-6.730929+(-0.83844--0.837675))+0-0-0</f>
        <v>4393.0683060000001</v>
      </c>
      <c r="S328" s="3">
        <f>4352.9+(491.8-559.4)+(-13.319874+(-1.504908--1.711764))+0-0-0</f>
        <v>4272.1869819999993</v>
      </c>
      <c r="T328" s="3">
        <f>4301.4+(487.2-587.8)+(-8.774856+(-0.993888--1.199112))+0-0-0</f>
        <v>4192.2303679999995</v>
      </c>
      <c r="U328" s="3">
        <f>4443.9+(428.1-760.8)+(-2.266389+(-0.218331--0.388008))+0-0-0</f>
        <v>4109.1032880000002</v>
      </c>
      <c r="V328" s="3">
        <f>4624.2+(280.4-773.1)+(-2.358342+(-0.143004--0.394281))+0-0-0</f>
        <v>4129.3929349999999</v>
      </c>
      <c r="W328" s="3">
        <f>4836.9+(292-935.9)+(-7.400457+(-0.44676--1.431927))+0-0-0</f>
        <v>4186.5847100000001</v>
      </c>
      <c r="X328" s="3">
        <f>5375.9+(569.7-1146.4)+(-5.483418+(-0.581094--1.169328))+0-0-0</f>
        <v>4794.3048159999998</v>
      </c>
      <c r="Y328" s="3">
        <f>5400.3+(615.3-1151.1)+(-5.508306+(-0.627606--1.174122))+0-0-0</f>
        <v>4859.5382099999997</v>
      </c>
      <c r="Z328" s="3">
        <f>5127.9+(593.9-924.7)+(-7.845687+(-0.908667--1.414791))+0-0-0</f>
        <v>4789.760436999999</v>
      </c>
      <c r="AA328" s="3">
        <f>5029.9+(596.2-960.7)+(7.695747+(0.912186-1.469871))+0-0-0</f>
        <v>4672.5380619999996</v>
      </c>
      <c r="AB328" s="3">
        <f>4989.5+(507.1-963.2)+(-7.633935+(-0.775863--1.473696))+0-0-0</f>
        <v>4526.463898</v>
      </c>
      <c r="AC328" s="3">
        <f>4940.5+(297.5-984.6)+(-12.598275+(-0.758625--2.51073))+0-0-0</f>
        <v>4242.5538299999998</v>
      </c>
      <c r="AD328">
        <f t="shared" si="5"/>
        <v>97601.895913999993</v>
      </c>
      <c r="AE328" s="3">
        <f>5420+(575.3-1165.4)+(0+(0-0))+0-0-0</f>
        <v>4829.8999999999996</v>
      </c>
    </row>
    <row r="329" spans="1:31" s="2" customFormat="1" x14ac:dyDescent="0.25">
      <c r="A329">
        <v>89</v>
      </c>
      <c r="B329">
        <v>11</v>
      </c>
      <c r="C329">
        <v>23</v>
      </c>
      <c r="D329">
        <v>1</v>
      </c>
      <c r="E329">
        <v>1</v>
      </c>
      <c r="F329" s="3">
        <f>4538.5+(180.5-886.9)+(-13.88781+(-0.55233--2.713914))+0-0-0</f>
        <v>3820.3737739999997</v>
      </c>
      <c r="G329" s="3">
        <f>4160.8+(199.4-775)+(-8.488032+(-0.406776--1.581))+0-0-0</f>
        <v>3577.8861920000004</v>
      </c>
      <c r="H329" s="3">
        <f>4074.2+(235.6-890.7)+(-8.311368+(-0.480624--1.817028))+0-0-0</f>
        <v>3412.1250359999999</v>
      </c>
      <c r="I329" s="3">
        <f>4087.6+(241.5-915.6)+(0+(0-0))+0-0-0</f>
        <v>3413.5</v>
      </c>
      <c r="J329" s="3">
        <f>4104.5+(259.9-951.3)+(6.279885+(0.397647-1.455489))+0-0-0</f>
        <v>3418.3220430000001</v>
      </c>
      <c r="K329" s="3">
        <f>4271.6+(305.3-1105)+(13.071096+(0.934218-3.3813))+0-0-0</f>
        <v>3482.5240140000005</v>
      </c>
      <c r="L329" s="3">
        <f>4460.3+(349.1-1052.6)+(-15.923271+(-1.246287--3.757782))+0-0-0</f>
        <v>3743.3882240000003</v>
      </c>
      <c r="M329" s="3">
        <f>4795.5+(447.6-1046.8)+(4.89141+(0.456552-1.067736))+0-0-0</f>
        <v>4200.580226</v>
      </c>
      <c r="N329" s="3">
        <f>5041.8+(722.3-1018.4)+(-12.85659+(-1.841865--2.59692))+0-0-0</f>
        <v>4733.598465</v>
      </c>
      <c r="O329" s="3">
        <f>4983.7+(1023.9-771.4)+(7.625061+(1.566567-1.180242))+0-0-0</f>
        <v>5244.2113859999999</v>
      </c>
      <c r="P329" s="3">
        <f>4802.7+(1271.4-594.6)+(2.449377+(0.648414-0.303246))+0-0-0</f>
        <v>5482.2945449999997</v>
      </c>
      <c r="Q329" s="3">
        <f>4821.4+(1438.5-651.9)+(-4.917828+(-1.46727--0.664938))+0-0-0</f>
        <v>5602.2798400000001</v>
      </c>
      <c r="R329" s="3">
        <f>4769.2+(1290-647.4)+(-12.16146+(-3.2895--1.65087))+0-0-0</f>
        <v>5397.9999100000005</v>
      </c>
      <c r="S329" s="3">
        <f>4750.7+(1182.4-597.8)+(-4.845714+(-1.206048--0.609756))+0-0-0</f>
        <v>5329.857994</v>
      </c>
      <c r="T329" s="3">
        <f>4820.4+(1125-594.6)+(0+(0-0))+0-0-0</f>
        <v>5350.7999999999993</v>
      </c>
      <c r="U329" s="3">
        <f>4809.8+(1069.9-607.3)+(-7.358994+(-1.636947--0.929169))+0-0-0</f>
        <v>5264.3332280000004</v>
      </c>
      <c r="V329" s="3">
        <f>4948.2+(952.5-553.8)+(-10.094328+(-1.9431--1.129752))+0-0-0</f>
        <v>5335.9923239999998</v>
      </c>
      <c r="W329" s="3">
        <f>4924.4+(1009.3-606.9)+(-2.511444+(-0.514743--0.309519))+0-0-0</f>
        <v>5324.0833319999992</v>
      </c>
      <c r="X329" s="3">
        <f>5449.6+(967.7-745.5)+(-5.558592+(-0.987054--0.76041))+0-0-0</f>
        <v>5666.0147640000005</v>
      </c>
      <c r="Y329" s="3">
        <f>5450.6+(1007.5-907.5)+(-2.779806+(-0.513825--0.462825))+0-0-0</f>
        <v>5547.7691940000004</v>
      </c>
      <c r="Z329" s="3">
        <f>5361.8+(980.2-943)+(-10.938072+(-1.999608--1.92372))+0-0-0</f>
        <v>5387.9860399999998</v>
      </c>
      <c r="AA329" s="3">
        <f>5193.6+(936-979.8)+(2.648736+(0.47736-0.499698))+0-0-0</f>
        <v>5152.4263980000005</v>
      </c>
      <c r="AB329" s="3">
        <f>5161.2+(674.4-882.2)+(-10.528848+(-1.375776--1.799688))+0-0-0</f>
        <v>4943.2950639999999</v>
      </c>
      <c r="AC329" s="3">
        <f>4903.5+(530.3-833.3)+(-12.503925+(-1.352265--2.124915))+0-0-0</f>
        <v>4588.7687249999999</v>
      </c>
      <c r="AD329">
        <f t="shared" si="5"/>
        <v>113420.41071800003</v>
      </c>
      <c r="AE329" s="3">
        <f>5521+(1073.5-855.6)+(0+(0-0))+0-0-0</f>
        <v>5738.9</v>
      </c>
    </row>
    <row r="330" spans="1:31" s="2" customFormat="1" x14ac:dyDescent="0.25">
      <c r="A330">
        <v>89</v>
      </c>
      <c r="B330">
        <v>11</v>
      </c>
      <c r="C330">
        <v>24</v>
      </c>
      <c r="D330">
        <v>2</v>
      </c>
      <c r="E330">
        <v>1</v>
      </c>
      <c r="F330" s="3">
        <f>4416+(538.9-830.5)+(-4.50432+(-0.549678--0.84711))+0-0-0</f>
        <v>4120.1931119999999</v>
      </c>
      <c r="G330" s="3">
        <f>3966.4+(518.7-736.8)+(-10.11432+(-1.322685--1.87884))+0-0-0</f>
        <v>3738.7418350000003</v>
      </c>
      <c r="H330" s="3">
        <f>3913.6+(402.4-646.5)+(0+(0-0))+0-0-0</f>
        <v>3669.5</v>
      </c>
      <c r="I330" s="3">
        <f>3922+(348.3-597.6)+(-6.00066+(-0.532899--0.914328))+0-0-0</f>
        <v>3667.0807689999997</v>
      </c>
      <c r="J330" s="3">
        <f>3877.4+(378.4-646.5)+(7.909896+(0.771936-1.31886))+0-0-0</f>
        <v>3616.6629720000001</v>
      </c>
      <c r="K330" s="3">
        <f>4152.8+(253.8-816.7)+(0+(0-0))+0-0-0</f>
        <v>3589.9</v>
      </c>
      <c r="L330" s="3">
        <f>4381.6+(312.7-779.9)+(2.234616+(0.159477-0.397749))+0-0-0</f>
        <v>3916.3963440000007</v>
      </c>
      <c r="M330" s="3">
        <f>4359.6+(591.3-771.9)+(0+(0-0))+0-0-0</f>
        <v>4179</v>
      </c>
      <c r="N330" s="3">
        <f>4707.9+(798.1-708.2)+(0+(0-0))+0-0-0</f>
        <v>4797.7999999999993</v>
      </c>
      <c r="O330" s="3">
        <f>4944.9+(906.7-740.3)+(-2.521899+(-0.462417--0.377553))+0-0-0</f>
        <v>5108.6932369999995</v>
      </c>
      <c r="P330" s="3">
        <f>5056+(1084.4-767.3)+(-7.73568+(-1.659132--1.173969))+0-0-0</f>
        <v>5364.8791570000003</v>
      </c>
      <c r="Q330" s="3">
        <f>5124.7+(1158.7-752.9)+(-7.840791+(-1.772811--1.151937))+0-0-0</f>
        <v>5522.0383350000002</v>
      </c>
      <c r="R330" s="3">
        <f>5126.9+(991.6-767.9)+(-15.688314+(-3.034296--2.349774))+0-0-0</f>
        <v>5334.2271639999999</v>
      </c>
      <c r="S330" s="3">
        <f>5135.3+(921.9-812.7)+(2.619003+(0.470169-0.414477))+0-0-0</f>
        <v>5247.1746949999997</v>
      </c>
      <c r="T330" s="3">
        <f>5193.1+(894.3-728.4)+(-15.890886+(-2.736558--2.228904))+0-0-0</f>
        <v>5342.6014599999999</v>
      </c>
      <c r="U330" s="3">
        <f>5231.5+(936.3-945.5)+(-2.668065+(-0.477513--0.482205))+0-0-0</f>
        <v>5219.6366269999999</v>
      </c>
      <c r="V330" s="3">
        <f>5426.9+(872.6-1060.9)+(-11.070876+(-1.780104--2.164236))+0-0-0</f>
        <v>5227.9132559999998</v>
      </c>
      <c r="W330" s="3">
        <f>5679+(610.8-853)+(2.89629+(0.311508-0.43503))+0-0-0</f>
        <v>5439.572768</v>
      </c>
      <c r="X330" s="3">
        <f>5738.5+(757.7-834.9)+(0+(0-0))+0-0-0</f>
        <v>5661.3</v>
      </c>
      <c r="Y330" s="3">
        <f>5737.5+(736.9-957)+(-17.55675+(-2.254914--2.92842))+0-0-0</f>
        <v>5500.516756</v>
      </c>
      <c r="Z330" s="3">
        <f>5693.4+(762.5-1088.9)+(-8.710902+(-1.166625--1.666017))+0-0-0</f>
        <v>5358.7884899999999</v>
      </c>
      <c r="AA330" s="3">
        <f>5614.6+(659.3-1116)+(-11.453784+(-1.344972--2.27664))+0-0-0</f>
        <v>5147.3778840000004</v>
      </c>
      <c r="AB330" s="3">
        <f>5421.8+(590.9-1094.8)+(-5.530236+(-0.602718--1.116696))+0-0-0</f>
        <v>4912.8837420000009</v>
      </c>
      <c r="AC330" s="3">
        <f>5084.5+(475.2-932)+(-15.55857+(-1.454112--2.85192))+0-0-0</f>
        <v>4613.5392379999994</v>
      </c>
      <c r="AD330">
        <f t="shared" si="5"/>
        <v>114296.41784100002</v>
      </c>
      <c r="AE330" s="3">
        <f>5809+(812.4-858.6)+(0+(0-0))+0-0-0</f>
        <v>5762.8</v>
      </c>
    </row>
    <row r="331" spans="1:31" s="2" customFormat="1" x14ac:dyDescent="0.25">
      <c r="A331">
        <v>89</v>
      </c>
      <c r="B331">
        <v>11</v>
      </c>
      <c r="C331">
        <v>25</v>
      </c>
      <c r="D331">
        <v>3</v>
      </c>
      <c r="E331">
        <v>1</v>
      </c>
      <c r="F331" s="3">
        <f>4535.5+(325.7-770.3)+(-13.87863+(-0.996642--2.357118))+0-0-0</f>
        <v>4078.3818460000002</v>
      </c>
      <c r="G331" s="3">
        <f>4405.7+(225.5-813.7)+(2.246907+(0.115005-0.414987))+0-0-0</f>
        <v>3819.4469250000002</v>
      </c>
      <c r="H331" s="3">
        <f>4135.9+(262-699.6)+(-2.109309+(-0.13362--0.356796))+0-0-0</f>
        <v>3696.4138669999998</v>
      </c>
      <c r="I331" s="3">
        <f>4116.2+(272.7-834.3)+(0+(0-0))+0-0-0</f>
        <v>3554.6</v>
      </c>
      <c r="J331" s="3">
        <f>4200+(210.1-802.9)+(-2.142+(-0.107151--0.409479))+0-0-0</f>
        <v>3605.3603279999998</v>
      </c>
      <c r="K331" s="3">
        <f>4320+(193.5-860.1)+(0+(0-0))+0-0-0</f>
        <v>3653.4</v>
      </c>
      <c r="L331" s="3">
        <f>4552.3+(243.4-895.8)+(-2.321673+(-0.124134--0.456858))+0-0-0</f>
        <v>3897.911051</v>
      </c>
      <c r="M331" s="3">
        <f>4639.4+(405.5-754.8)+(-2.366094+(-0.206805--0.384948))+0-0-0</f>
        <v>4287.9120489999996</v>
      </c>
      <c r="N331" s="3">
        <f>4949.1+(540.2-633.5)+(2.524041+(0.275502-0.323085))+0-0-0</f>
        <v>4858.2764580000003</v>
      </c>
      <c r="O331" s="3">
        <f>4957.1+(850.9-559.9)+(-10.112484+(-1.735836--1.142196))+0-0-0</f>
        <v>5237.3938760000001</v>
      </c>
      <c r="P331" s="3">
        <f>4925.1+(1064.4-600)+(-5.023602+(-1.085688--0.612))+0-0-0</f>
        <v>5384.0027099999998</v>
      </c>
      <c r="Q331" s="3">
        <f>4956.3+(1186.3-653.1)+(5.055426+(1.210026-0.666162))+0-0-0</f>
        <v>5495.0992900000001</v>
      </c>
      <c r="R331" s="3">
        <f>4905.9+(1055.7-567.9)+(-12.510045+(-2.692035--1.448145))+0-0-0</f>
        <v>5379.9460650000001</v>
      </c>
      <c r="S331" s="3">
        <f>4984.8+(780.2-544)+(-5.084496+(-0.795804--0.55488))+0-0-0</f>
        <v>5215.6745799999999</v>
      </c>
      <c r="T331" s="3">
        <f>4918.7+(802.2-468.5)+(-2.508537+(-0.409122--0.238935))+0-0-0</f>
        <v>5249.7212759999993</v>
      </c>
      <c r="U331" s="3">
        <f>4827.7+(831.3-426.8)+(2.462127+(0.423963-0.217668))+0-0-0</f>
        <v>5234.8684219999996</v>
      </c>
      <c r="V331" s="3">
        <f>4953.2+(758.8-505.4)+(0+(0-0))+0-0-0</f>
        <v>5206.5999999999995</v>
      </c>
      <c r="W331" s="3">
        <f>5075.6+(664.4-510.9)+(-7.765668+(-1.016532--0.781677))+0-0-0</f>
        <v>5221.0994770000007</v>
      </c>
      <c r="X331" s="3">
        <f>5470.4+(700.3-576.3)+(-8.369712+(-1.071459--0.881739))+0-0-0</f>
        <v>5585.8405679999996</v>
      </c>
      <c r="Y331" s="3">
        <f>5513.6+(583.9-575.7)+(-8.435808+(-0.893367--0.880821))+0-0-0</f>
        <v>5513.3516460000001</v>
      </c>
      <c r="Z331" s="3">
        <f>5327.7+(625.5-588.4)+(-10.868508+(-1.27602--1.200336))+0-0-0</f>
        <v>5353.8558080000003</v>
      </c>
      <c r="AA331" s="3">
        <f>5281.5+(593.5-732.1)+(-10.77426+(-1.21074--1.493484))+0-0-0</f>
        <v>5132.4084839999996</v>
      </c>
      <c r="AB331" s="3">
        <f>5280.4+(445.2-732.5)+(-2.693004+(-0.227052--0.373575))+0-0-0</f>
        <v>4990.5535189999991</v>
      </c>
      <c r="AC331" s="3">
        <f>4899.4+(382.8-655.5)+(-22.488246+(-1.757052--3.008745))+0-0-0</f>
        <v>4605.4634470000001</v>
      </c>
      <c r="AD331">
        <f t="shared" si="5"/>
        <v>114257.58169199999</v>
      </c>
      <c r="AE331" s="3">
        <f>5609+(727.4-679.5)+(0+(0-0))+0-0-0</f>
        <v>5656.9</v>
      </c>
    </row>
    <row r="332" spans="1:31" s="2" customFormat="1" x14ac:dyDescent="0.25">
      <c r="A332">
        <v>89</v>
      </c>
      <c r="B332">
        <v>11</v>
      </c>
      <c r="C332">
        <v>26</v>
      </c>
      <c r="D332">
        <v>4</v>
      </c>
      <c r="E332">
        <v>1</v>
      </c>
      <c r="F332" s="3">
        <f>4303.1+(476-605.3)+(-6.583743+(-0.72828--0.926109))+0-0-0</f>
        <v>4167.4140859999998</v>
      </c>
      <c r="G332" s="3">
        <f>4043.7+(430.8-692)+(-6.186861+(-0.659124--1.05876))+0-0-0</f>
        <v>3776.712775</v>
      </c>
      <c r="H332" s="3">
        <f>4056.8+(314.7-719.4)+(2.068968+(0.160497-0.366894))+0-0-0</f>
        <v>3653.9625710000005</v>
      </c>
      <c r="I332" s="3">
        <f>4036.9+(258.6-681.9)+(-6.176457+(-0.395658--1.043307))+0-0-0</f>
        <v>3608.0711920000003</v>
      </c>
      <c r="J332" s="3">
        <f>3987+(278.7-696.5)+(2.03337+(0.142137-0.355215))+0-0-0</f>
        <v>3571.0202919999997</v>
      </c>
      <c r="K332" s="3">
        <f>4061.9+(312.1-785)+(-2.071569+(-0.159171--0.40035))+0-0-0</f>
        <v>3587.1696099999999</v>
      </c>
      <c r="L332" s="3">
        <f>4440.8+(330-880.3)+(-4.529616+(-0.3366--0.897906))+0-0-0</f>
        <v>3886.5316899999998</v>
      </c>
      <c r="M332" s="3">
        <f>4532.2+(468.1-800.4)+(-2.311422+(-0.238731--0.408204))+0-0-0</f>
        <v>4197.7580509999998</v>
      </c>
      <c r="N332" s="3">
        <f>4741.2+(704.7-655)+(9.672048+(1.437588-1.3362))+0-0-0</f>
        <v>4800.673436</v>
      </c>
      <c r="O332" s="3">
        <f>4817.7+(858-547.5)+(-4.914054+(-0.87516--0.55845))+0-0-0</f>
        <v>5122.9692359999999</v>
      </c>
      <c r="P332" s="3">
        <f>4863.8+(994.9-495.8)+(-2.480538+(-0.507399--0.252858))+0-0-0</f>
        <v>5360.1649210000005</v>
      </c>
      <c r="Q332" s="3">
        <f>5026.8+(961.5-493.4)+(-10.254672+(-1.96146--1.006536))+0-0-0</f>
        <v>5483.6904040000009</v>
      </c>
      <c r="R332" s="3">
        <f>5045.1+(862.5-562.3)+(-15.438006+(-2.63925--1.720638))+0-0-0</f>
        <v>5328.9433820000004</v>
      </c>
      <c r="S332" s="3">
        <f>5062.3+(777.7-596.8)+(-5.163546+(-0.793254--0.608736))+0-0-0</f>
        <v>5237.8519360000009</v>
      </c>
      <c r="T332" s="3">
        <f>5069.1+(830.1-573.1)+(0+(0-0))+0-0-0</f>
        <v>5326.1</v>
      </c>
      <c r="U332" s="3">
        <f>5078.1+(762.1-607.4)+(-5.179662+(-0.777342--0.619548))+0-0-0</f>
        <v>5227.462544</v>
      </c>
      <c r="V332" s="3">
        <f>5283.6+(596.7-601.2)+(0+(0-0))+0-0-0</f>
        <v>5279.1</v>
      </c>
      <c r="W332" s="3">
        <f>5245.9+(593.2-430.6)+(0+(0-0))+0-0-0</f>
        <v>5408.5</v>
      </c>
      <c r="X332" s="3">
        <f>5495.3+(675.8-484.4)+(-5.605206+(-0.689316--0.494088))+0-0-0</f>
        <v>5680.899566</v>
      </c>
      <c r="Y332" s="3">
        <f>5504.5+(648.5-629.4)+(-16.84377+(-1.98441--1.925964))+0-0-0</f>
        <v>5506.697784</v>
      </c>
      <c r="Z332" s="3">
        <f>5420.1+(690.2-675.4)+(-13.821255+(-1.76001--1.72227))+0-0-0</f>
        <v>5421.041005000001</v>
      </c>
      <c r="AA332" s="3">
        <f>5090.1+(837.7-728.9)+(-10.383804+(-1.708908--1.486956))+0-0-0</f>
        <v>5188.2942440000006</v>
      </c>
      <c r="AB332" s="3">
        <f>4813.3+(872-766.4)+(-4.909566+(-0.88944--0.781728))+0-0-0</f>
        <v>4913.8827220000003</v>
      </c>
      <c r="AC332" s="3">
        <f>4464.1+(803.8-737.1)+(-11.383455+(-2.04969--1.879605))+0-0-0</f>
        <v>4519.2464600000003</v>
      </c>
      <c r="AD332">
        <f t="shared" si="5"/>
        <v>114254.157907</v>
      </c>
      <c r="AE332" s="3">
        <f>5534+(693-504.5)+(0+(0-0))+0-0-0</f>
        <v>5722.5</v>
      </c>
    </row>
    <row r="333" spans="1:31" s="2" customFormat="1" x14ac:dyDescent="0.25">
      <c r="A333">
        <v>89</v>
      </c>
      <c r="B333">
        <v>11</v>
      </c>
      <c r="C333">
        <v>27</v>
      </c>
      <c r="D333">
        <v>5</v>
      </c>
      <c r="E333">
        <v>3</v>
      </c>
      <c r="F333" s="3">
        <f>4275.7+(639.2-752.5)+(-10.903035+(-1.62996--1.918875))+0-0-0</f>
        <v>4151.7858799999995</v>
      </c>
      <c r="G333" s="3">
        <f>4177+(389.6-747.6)+(-6.39081+(-0.596088--1.143828))+0-0-0</f>
        <v>3813.1569300000001</v>
      </c>
      <c r="H333" s="3">
        <f>4089.2+(355.5-737)+(-12.512952+(-1.08783--2.25522))+0-0-0</f>
        <v>3696.3544379999998</v>
      </c>
      <c r="I333" s="3">
        <f>3848.5+(366.7-704.6)+(1.962735+(0.187017-0.359346))+0-0-0</f>
        <v>3512.390406</v>
      </c>
      <c r="J333" s="3">
        <f>3915.7+(390.1-704.2)+(7.988028+(0.795804-1.436568))+0-0-0</f>
        <v>3608.9472639999999</v>
      </c>
      <c r="K333" s="3">
        <f>3947.4+(404.4-747.7)+(12.079044+(1.237464-2.287962))+0-0-0</f>
        <v>3615.1285459999999</v>
      </c>
      <c r="L333" s="3">
        <f>4047.4+(484.7-641)+(-10.32087+(-1.235985--1.63455))+0-0-0</f>
        <v>3881.1776949999999</v>
      </c>
      <c r="M333" s="3">
        <f>4528.4+(495.7-759.5)+(4.618968+(0.505614-0.77469))+0-0-0</f>
        <v>4268.9498919999996</v>
      </c>
      <c r="N333" s="3">
        <f>4932.3+(527.9-535.3)+(7.546419+(0.807687-0.819009))+0-0-0</f>
        <v>4932.4350970000005</v>
      </c>
      <c r="O333" s="3">
        <f>4942.6+(753.4-582.2)+(7.562178+(1.152702-0.890766))+0-0-0</f>
        <v>5121.6241140000002</v>
      </c>
      <c r="P333" s="3">
        <f>4900+(989.3-592.6)+(-9.996+(-2.018172--1.208904))+0-0-0</f>
        <v>5285.8947319999997</v>
      </c>
      <c r="Q333" s="3">
        <f>4922.8+(996-550)+(-10.042512+(-2.03184--1.122))+0-0-0</f>
        <v>5357.8476479999999</v>
      </c>
      <c r="R333" s="3">
        <f>5032+(882.4-515.8)+(-12.8316+(-2.25012--1.31529))+0-0-0</f>
        <v>5384.8335700000007</v>
      </c>
      <c r="S333" s="3">
        <f>4987.5+(808.9-506.9)+(-7.630875+(-1.237617--0.775557))+0-0-0</f>
        <v>5281.4070650000003</v>
      </c>
      <c r="T333" s="3">
        <f>4976.4+(818.4-485.3)+(-2.537964+(-0.417384--0.247503))+0-0-0</f>
        <v>5306.7921550000001</v>
      </c>
      <c r="U333" s="3">
        <f>4929+(853.5-479.4)+(-12.56895+(-2.176425--1.22247))+0-0-0</f>
        <v>5289.5770950000006</v>
      </c>
      <c r="V333" s="3">
        <f>4934.4+(839.2-551.4)+(0+(0-0))+0-0-0</f>
        <v>5222.2</v>
      </c>
      <c r="W333" s="3">
        <f>5029.5+(777.5-487.6)+(-10.26018+(-1.5861--0.994704))+0-0-0</f>
        <v>5308.5484239999996</v>
      </c>
      <c r="X333" s="3">
        <f>5327.9+(813.8-545.3)+(-24.455061+(-3.735342--2.502927))+0-0-0</f>
        <v>5570.7125239999996</v>
      </c>
      <c r="Y333" s="3">
        <f>5357.5+(798.3-618.8)+(-2.732325+(-0.407133--0.315588))+0-0-0</f>
        <v>5534.1761299999998</v>
      </c>
      <c r="Z333" s="3">
        <f>5271+(718.1-567)+(-24.19389+(-3.296079--2.60253))+0-0-0</f>
        <v>5397.2125610000003</v>
      </c>
      <c r="AA333" s="3">
        <f>5196.7+(628.2-733.7)+(-2.650317+(-0.320382--0.374187))+0-0-0</f>
        <v>5088.6034879999997</v>
      </c>
      <c r="AB333" s="3">
        <f>5092.1+(639.2-767.7)+(-12.984855+(-1.62996--1.957635))+0-0-0</f>
        <v>4950.9428200000002</v>
      </c>
      <c r="AC333" s="3">
        <f>4767.1+(594.5-802.5)+(-12.156105+(-1.515975--2.046375))+0-0-0</f>
        <v>4547.474295</v>
      </c>
      <c r="AD333">
        <f t="shared" si="5"/>
        <v>114128.17276899997</v>
      </c>
      <c r="AE333" s="3">
        <f>5396+(874-702.1)+(0+(0-0))+0-0-0</f>
        <v>5567.9</v>
      </c>
    </row>
    <row r="334" spans="1:31" s="2" customFormat="1" x14ac:dyDescent="0.25">
      <c r="A334">
        <v>89</v>
      </c>
      <c r="B334">
        <v>11</v>
      </c>
      <c r="C334">
        <v>28</v>
      </c>
      <c r="D334">
        <v>6</v>
      </c>
      <c r="E334">
        <v>6</v>
      </c>
      <c r="F334" s="3">
        <f>4550.3+(335.8-791.6)+(-2.320653+(-0.171258--0.403716))+0-0-0</f>
        <v>4092.4118050000002</v>
      </c>
      <c r="G334" s="3">
        <f>4173.6+(343.4-702.8)+(0+(0-0))+0-0-0</f>
        <v>3814.2000000000003</v>
      </c>
      <c r="H334" s="3">
        <f>3950+(361.1-671.3)+(-8.058+(-0.736644--1.369452))+0-0-0</f>
        <v>3632.374808</v>
      </c>
      <c r="I334" s="3">
        <f>3970.4+(321.1-735.4)+(10.12452+(0.818805-1.87527))+0-0-0</f>
        <v>3565.1680550000005</v>
      </c>
      <c r="J334" s="3">
        <f>3928.7+(302-681.9)+(-4.007274+(-0.30804--0.695538))+0-0-0</f>
        <v>3545.1802239999997</v>
      </c>
      <c r="K334" s="3">
        <f>4062.4+(267-679.3)+(2.071824+(0.13617-0.346443))+0-0-0</f>
        <v>3651.9615510000003</v>
      </c>
      <c r="L334" s="3">
        <f>4271.4+(255.8-729.7)+(-6.535242+(-0.391374--1.116441))+0-0-0</f>
        <v>3791.6898249999995</v>
      </c>
      <c r="M334" s="3">
        <f>4543+(386.4-838.4)+(0+(0-0))+0-0-0</f>
        <v>4091</v>
      </c>
      <c r="N334" s="3">
        <f>4901.6+(497.4-733)+(2.499816+(0.253674-0.37383))+0-0-0</f>
        <v>4668.3796599999996</v>
      </c>
      <c r="O334" s="3">
        <f>4938.1+(647.7-562.4)+(7.555293+(0.990981-0.860472))+0-0-0</f>
        <v>5031.0858020000005</v>
      </c>
      <c r="P334" s="3">
        <f>4881.8+(805-508)+(-12.44859+(-2.05275--1.2954))+0-0-0</f>
        <v>5165.5940600000004</v>
      </c>
      <c r="Q334" s="3">
        <f>4865+(850.6-482.6)+(-12.40575+(-2.16903--1.23063))+0-0-0</f>
        <v>5219.6558500000001</v>
      </c>
      <c r="R334" s="3">
        <f>4846.5+(768.8-508.6)+(-17.302005+(-2.744616--1.815702))+0-0-0</f>
        <v>5088.4690810000002</v>
      </c>
      <c r="S334" s="3">
        <f>4885.3+(567.5-521)+(-2.491503+(-0.289425--0.26571))+0-0-0</f>
        <v>4929.2847820000006</v>
      </c>
      <c r="T334" s="3">
        <f>4754.4+(584.8-468.5)+(-7.274232+(-0.894744--0.716805))+0-0-0</f>
        <v>4863.2478289999999</v>
      </c>
      <c r="U334" s="3">
        <f>4710.6+(559.5-529.5)+(-12.01203+(-1.426725--1.350225))+0-0-0</f>
        <v>4728.5114700000004</v>
      </c>
      <c r="V334" s="3">
        <f>4827.4+(470.7-606.4)+(0+(0-0))+0-0-0</f>
        <v>4691.7</v>
      </c>
      <c r="W334" s="3">
        <f>5065.5+(415.1-678.6)+(-5.16681+(-0.423402--0.692172))+0-0-0</f>
        <v>4797.10196</v>
      </c>
      <c r="X334" s="3">
        <f>5243.3+(669.3-670.5)+(-10.696332+(-1.365372--1.36782))+0-0-0</f>
        <v>5231.4061160000001</v>
      </c>
      <c r="Y334" s="3">
        <f>5126.7+(773.9-651.1)+(-7.843851+(-1.184067--0.996183))+0-0-0</f>
        <v>5241.4682650000004</v>
      </c>
      <c r="Z334" s="3">
        <f>5049.4+(724.2-678.8)+(-2.575194+(-0.369342--0.346188))+0-0-0</f>
        <v>5092.2016519999988</v>
      </c>
      <c r="AA334" s="3">
        <f>4936+(736.1-796.6)+(-7.55208+(-1.126233--1.218798))+0-0-0</f>
        <v>4868.0404850000004</v>
      </c>
      <c r="AB334" s="3">
        <f>4855.8+(670.5-804.8)+(-14.858748+(-2.05173--2.462688))+0-0-0</f>
        <v>4707.0522099999998</v>
      </c>
      <c r="AC334" s="3">
        <f>4561.7+(657.9-814.6)+(-11.632335+(-1.677645--2.07723))+0-0-0</f>
        <v>4393.7672499999999</v>
      </c>
      <c r="AD334">
        <f t="shared" si="5"/>
        <v>108900.95274000002</v>
      </c>
      <c r="AE334" s="3">
        <f>5257+(669.4-703.2)+(0+(0-0))+0-0-0</f>
        <v>5223.2</v>
      </c>
    </row>
    <row r="335" spans="1:31" s="2" customFormat="1" x14ac:dyDescent="0.25">
      <c r="A335">
        <v>89</v>
      </c>
      <c r="B335">
        <v>11</v>
      </c>
      <c r="C335">
        <v>29</v>
      </c>
      <c r="D335">
        <v>7</v>
      </c>
      <c r="E335">
        <v>1</v>
      </c>
      <c r="F335" s="3">
        <f>4234.8+(491-641.8)+(-10.79874+(-1.25205--1.63659))+0-0-0</f>
        <v>4073.5857999999998</v>
      </c>
      <c r="G335" s="3">
        <f>4001.8+(382.6-629.9)+(-8.163672+(-0.780504--1.284996))+0-0-0</f>
        <v>3746.8408199999999</v>
      </c>
      <c r="H335" s="3">
        <f>3949.6+(324.4-689.3)+(-6.042888+(-0.496332--1.054629))+0-0-0</f>
        <v>3579.2154089999999</v>
      </c>
      <c r="I335" s="3">
        <f>3920.8+(269.6-733.4)+(-7.998432+(-0.549984--1.496136))+0-0-0</f>
        <v>3449.9477200000001</v>
      </c>
      <c r="J335" s="3">
        <f>3963.2+(231.3-796.4)+(2.021232+(0.117963-0.406164))+0-0-0</f>
        <v>3399.8330310000001</v>
      </c>
      <c r="K335" s="3">
        <f>4025.7+(215-934.1)+(2.053107+(0.10965-0.476391))+0-0-0</f>
        <v>3308.2863659999998</v>
      </c>
      <c r="L335" s="3">
        <f>3858.4+(388.7-881.3)+(-9.83892+(-0.991185--2.247315))+0-0-0</f>
        <v>3357.2172100000003</v>
      </c>
      <c r="M335" s="3">
        <f>3994.9+(340.5-986.4)+(-6.112197+(-0.520965--1.509192))+0-0-0</f>
        <v>3343.8760299999999</v>
      </c>
      <c r="N335" s="3">
        <f>4361.8+(349.1-1126.7)+(-6.673554+(-0.534123--1.723851))+0-0-0</f>
        <v>3578.7161740000001</v>
      </c>
      <c r="O335" s="3">
        <f>4536.1+(299.2-959.2)+(2.313411+(0.152592-0.489192))+0-0-0</f>
        <v>3878.0768110000004</v>
      </c>
      <c r="P335" s="3">
        <f>4595.6+(384.3-826.7)+(-2.343756+(-0.195993--0.421617))+0-0-0</f>
        <v>4151.0818680000011</v>
      </c>
      <c r="Q335" s="3">
        <f>4522.6+(531.5-806.3)+(-9.226104+(-1.08426--1.644852))+0-0-0</f>
        <v>4239.1344880000006</v>
      </c>
      <c r="R335" s="3">
        <f>4482.7+(515.1-779.8)+(-9.144708+(-1.050804--1.590792))+0-0-0</f>
        <v>4209.3952799999997</v>
      </c>
      <c r="S335" s="3">
        <f>4402.9+(457-743.6)+(-11.227395+(-1.16535--1.89618))+0-0-0</f>
        <v>4105.8034349999989</v>
      </c>
      <c r="T335" s="3">
        <f>4389.8+(400-735.3)+(-6.716394+(-0.612--1.125009))+0-0-0</f>
        <v>4048.2966150000002</v>
      </c>
      <c r="U335" s="3">
        <f>4346.3+(355.3-764)+(-8.866452+(-0.724812--1.55856))+0-0-0</f>
        <v>3929.5672960000002</v>
      </c>
      <c r="V335" s="3">
        <f>4449.6+(383.8-853.7)+(-4.538592+(-0.391476--0.870774))+0-0-0</f>
        <v>3975.6407060000001</v>
      </c>
      <c r="W335" s="3">
        <f>4487.8+(379.5-588.6)+(-6.866334+(-0.580635--0.900558))+0-0-0</f>
        <v>4272.1535889999996</v>
      </c>
      <c r="X335" s="3">
        <f>5038.6+(475.2-757.7)+(-10.278744+(-0.969408--1.545708))+0-0-0</f>
        <v>4746.3975560000008</v>
      </c>
      <c r="Y335" s="3">
        <f>5070.2+(544.4-784)+(-12.92901+(-1.38822--1.9992))+0-0-0</f>
        <v>4818.2819699999991</v>
      </c>
      <c r="Z335" s="3">
        <f>5041.3+(459.9-758.9)+(-5.142126+(-0.469098--0.774078))+0-0-0</f>
        <v>4737.4628540000003</v>
      </c>
      <c r="AA335" s="3">
        <f>4900.1+(506.5-771.2)+(2.499051+(0.258315-0.393312))+0-0-0</f>
        <v>4637.7640540000002</v>
      </c>
      <c r="AB335" s="3">
        <f>4837.8+(460.5-808.6)+(-9.869112+(-0.93942--1.649544))+0-0-0</f>
        <v>4480.5410119999997</v>
      </c>
      <c r="AC335" s="3">
        <f>4588.2+(455.1-814.6)+(-11.69991+(-1.160505--2.07723))+0-0-0</f>
        <v>4217.9168149999996</v>
      </c>
      <c r="AD335">
        <f t="shared" si="5"/>
        <v>96285.032909000001</v>
      </c>
      <c r="AE335" s="3">
        <f>5049+(510.2-741.5)+(0+(0-0))+0-0-0</f>
        <v>4817.7</v>
      </c>
    </row>
    <row r="336" spans="1:31" s="2" customFormat="1" x14ac:dyDescent="0.25">
      <c r="A336">
        <v>89</v>
      </c>
      <c r="B336">
        <v>11</v>
      </c>
      <c r="C336">
        <v>30</v>
      </c>
      <c r="D336">
        <v>1</v>
      </c>
      <c r="E336">
        <v>1</v>
      </c>
      <c r="F336" s="3">
        <f>4471.4+(275.7-950.3)+(-6.841242+(-0.421821--1.453959))+0-0-0</f>
        <v>3790.9908959999998</v>
      </c>
      <c r="G336" s="3">
        <f>4132.1+(265.3-899.2)+(-10.536855+(-0.676515--2.29296))+0-0-0</f>
        <v>3489.2795900000001</v>
      </c>
      <c r="H336" s="3">
        <f>3959.1+(269.1-893.4)+(2.019141+(0.137241-0.455634))+0-0-0</f>
        <v>3336.5007480000004</v>
      </c>
      <c r="I336" s="3">
        <f>3906.4+(276-907.4)+(-1.992264+(-0.14076--0.462774))+0-0-0</f>
        <v>3273.3297499999999</v>
      </c>
      <c r="J336" s="3">
        <f>3904.6+(283.2-919.1)+(7.965384+(0.577728-1.874964))+0-0-0</f>
        <v>3275.368148</v>
      </c>
      <c r="K336" s="3">
        <f>4152.7+(227.5-1014.8)+(4.235754+(0.23205-1.035096))+0-0-0</f>
        <v>3368.8327079999995</v>
      </c>
      <c r="L336" s="3">
        <f>4477.3+(323.3-1071.5)+(0+(0-0))+0-0-0</f>
        <v>3729.1000000000004</v>
      </c>
      <c r="M336" s="3">
        <f>4592.1+(514.6-1000.7)+(0+(0-0))+0-0-0</f>
        <v>4106</v>
      </c>
      <c r="N336" s="3">
        <f>4759.8+(818.7-810.6)+(9.709992+(1.670148-1.653624))+0-0-0</f>
        <v>4777.6265160000003</v>
      </c>
      <c r="O336" s="3">
        <f>4855+(991.1-745.9)+(-2.47605+(-0.505461--0.380409))+0-0-0</f>
        <v>5097.5988980000002</v>
      </c>
      <c r="P336" s="3">
        <f>4948.3+(1054.9-789.4)+(-7.570899+(-1.613997--1.207782))+0-0-0</f>
        <v>5205.8228859999999</v>
      </c>
      <c r="Q336" s="3">
        <f>5020.1+(1212-804.3)+(-2.560251+(-0.61812--0.410193))+0-0-0</f>
        <v>5425.0318219999999</v>
      </c>
      <c r="R336" s="3">
        <f>4799.1+(1251.6-765.2)+(-2.447541+(-0.638316--0.390252))+0-0-0</f>
        <v>5282.8043950000001</v>
      </c>
      <c r="S336" s="3">
        <f>4692.1+(1195.9-741.4)+(-11.964855+(-3.049545--1.89057))+0-0-0</f>
        <v>5133.4761699999999</v>
      </c>
      <c r="T336" s="3">
        <f>4773.2+(1100.2-687.5)+(-2.434332+(-0.561102--0.350625))+0-0-0</f>
        <v>5183.2551909999993</v>
      </c>
      <c r="U336" s="3">
        <f>4749.7+(1114.1-690)+(-7.267041+(-1.704573--1.0557))+33.3-0-0</f>
        <v>5199.1840859999993</v>
      </c>
      <c r="V336" s="3">
        <f>4979.7+(960.9-885.6)+(-10.158588+(-1.960236--1.806624))+28.7-0-0</f>
        <v>5073.3877999999995</v>
      </c>
      <c r="W336" s="3">
        <f>5208.3+(838.8-781)+(-10.624932+(-1.711152--1.59324))+0-0-0</f>
        <v>5255.357156</v>
      </c>
      <c r="X336" s="3">
        <f>5477.6+(1049.7-949.5)+(-8.380728+(-1.606041--1.452735))+0-0-0</f>
        <v>5569.2659659999999</v>
      </c>
      <c r="Y336" s="3">
        <f>5471.1+(959.1-980.1)+(-13.951305+(-2.445705--2.499255))+0-0-0</f>
        <v>5436.2022450000004</v>
      </c>
      <c r="Z336" s="3">
        <f>5461.6+(792.8-920.4)+(-8.356248+(-1.212984--1.408212))+0-0-0</f>
        <v>5325.8389800000004</v>
      </c>
      <c r="AA336" s="3">
        <f>5396.8+(577.5-937.3)+(-8.257104+(-0.883575--1.434069))+0-0-0</f>
        <v>5029.2933899999998</v>
      </c>
      <c r="AB336" s="3">
        <f>5233.9+(548.9-898.4)+(-13.346445+(-1.399695--2.29092))+0-0-0</f>
        <v>4871.9447799999998</v>
      </c>
      <c r="AC336" s="3">
        <f>4651.9+(622.9-796.4)+(-11.862345+(-1.588395--2.03082))+0-0-0</f>
        <v>4466.9800799999994</v>
      </c>
      <c r="AD336">
        <f t="shared" si="5"/>
        <v>110702.472201</v>
      </c>
      <c r="AE336" s="3">
        <f>5564+(1051.4-1005.2)+(0+(0-0))+0-0-0</f>
        <v>5610.2</v>
      </c>
    </row>
    <row r="337" spans="1:31" s="2" customFormat="1" x14ac:dyDescent="0.25">
      <c r="A337">
        <v>89</v>
      </c>
      <c r="B337">
        <v>12</v>
      </c>
      <c r="C337">
        <v>1</v>
      </c>
      <c r="D337">
        <v>2</v>
      </c>
      <c r="E337">
        <v>1</v>
      </c>
      <c r="F337" s="3">
        <f>4149.8+(519.3-669.4)+(-14.814786+(-1.853901--2.389758))+0-0-0</f>
        <v>3985.4210710000002</v>
      </c>
      <c r="G337" s="3">
        <f>3848+(489.9-607.3)+(0+(0-0))+0-0-0</f>
        <v>3730.6</v>
      </c>
      <c r="H337" s="3">
        <f>3698.9+(532.6-608.8)+(-7.545756+(-1.086504--1.241952))+0-0-0</f>
        <v>3615.3096920000003</v>
      </c>
      <c r="I337" s="3">
        <f>3656.9+(569.2-704.6)+(9.325095+(1.45146-1.79673))+0-0-0</f>
        <v>3530.4798249999999</v>
      </c>
      <c r="J337" s="3">
        <f>3698.4+(541.3-727.9)+(0+(0-0))+0-0-0</f>
        <v>3511.8</v>
      </c>
      <c r="K337" s="3">
        <f>3794.8+(454.4-705.2)+(3.870696+(0.463488-0.719304))+0-0-0</f>
        <v>3547.6148800000001</v>
      </c>
      <c r="L337" s="3">
        <f>3911.1+(496.3-646.9)+(3.989322+(0.506226-0.659838))+0-0-0</f>
        <v>3764.3357099999998</v>
      </c>
      <c r="M337" s="3">
        <f>4040.5+(711.7-551.5)+(4.12131+(0.725934-0.56253))+0-0-0</f>
        <v>4204.9847140000002</v>
      </c>
      <c r="N337" s="3">
        <f>4304.5+(888.8-531.5)+(6.585885+(1.359864-0.813195))+0-0-0</f>
        <v>4668.932554</v>
      </c>
      <c r="O337" s="3">
        <f>4337.4+(1301.3-586.2)+(-4.424148+(-1.327326--0.597924))+0-0-0</f>
        <v>5047.34645</v>
      </c>
      <c r="P337" s="3">
        <f>4349+(1399-546.9)+(-6.65397+(-2.14047--0.836757))+0-0-0</f>
        <v>5193.1423170000007</v>
      </c>
      <c r="Q337" s="3">
        <f>4471.9+(1316.6-433.9)+(-15.964683+(-4.700262--1.549023))+0-0-0</f>
        <v>5335.4840779999995</v>
      </c>
      <c r="R337" s="3">
        <f>4551.7+(1183.6-489.5)+(-9.285468+(-2.414544--0.99858))+0-0-0</f>
        <v>5235.0985679999994</v>
      </c>
      <c r="S337" s="3">
        <f>4606.5+(1120.4-507.2)+(-9.39726+(-2.285616--1.034688))+0-0-0</f>
        <v>5209.0518119999997</v>
      </c>
      <c r="T337" s="3">
        <f>4680.6+(1138.4-517.9)+(-2.387106+(-0.580584--0.264129))+1.6-0-0</f>
        <v>5299.9964390000005</v>
      </c>
      <c r="U337" s="3">
        <f>4770.6+(1116.6-573.9)+(7.299018+(1.708398-0.878067))+0-0-0</f>
        <v>5321.429349</v>
      </c>
      <c r="V337" s="3">
        <f>4801.5+(1151.2-578.9)+(0+(0-0))+0-0-0</f>
        <v>5373.8</v>
      </c>
      <c r="W337" s="3">
        <f>4938.5+(1076.8-528)+(0+(0-0))+0-0-0</f>
        <v>5487.3</v>
      </c>
      <c r="X337" s="3">
        <f>5156.7+(1094.2-726)+(-7.889751+(-1.674126--1.11078))+0-0-0</f>
        <v>5516.446903</v>
      </c>
      <c r="Y337" s="3">
        <f>5232.9+(898.8-736.8)+(-10.675116+(-1.833552--1.503072))+0-0-0</f>
        <v>5383.8944039999997</v>
      </c>
      <c r="Z337" s="3">
        <f>5109.4+(930.6-780.2)+(-5.211588+(-0.949212--0.795804))+0-0-0</f>
        <v>5254.435003999999</v>
      </c>
      <c r="AA337" s="3">
        <f>5033.4+(867-883.7)+(2.567034+(0.44217-0.450687))+0-0-0</f>
        <v>5019.2585170000002</v>
      </c>
      <c r="AB337" s="3">
        <f>4969.2+(709.2-862.4)+(-12.67146+(-1.80846--2.19912))+0-0-0</f>
        <v>4803.7191999999995</v>
      </c>
      <c r="AC337" s="3">
        <f>4811.9+(701.4-958)+(2.454069+(0.357714-0.48858))+0-0-0</f>
        <v>4557.6232029999992</v>
      </c>
      <c r="AD337">
        <f t="shared" si="5"/>
        <v>112597.50469</v>
      </c>
      <c r="AE337" s="3">
        <f>5217+(1077.9-779)+(0+(0-0))+0-0-0</f>
        <v>5515.9</v>
      </c>
    </row>
    <row r="338" spans="1:31" s="2" customFormat="1" x14ac:dyDescent="0.25">
      <c r="A338">
        <v>89</v>
      </c>
      <c r="B338">
        <v>12</v>
      </c>
      <c r="C338">
        <v>2</v>
      </c>
      <c r="D338">
        <v>3</v>
      </c>
      <c r="E338">
        <v>1</v>
      </c>
      <c r="F338" s="3">
        <f>4367.4+(656.3-940.3)+(-8.909496+(-1.338852--1.918212))+0-0-0</f>
        <v>4075.0698639999996</v>
      </c>
      <c r="G338" s="3">
        <f>3977.2+(643.6-803.3)+(-8.113488+(-1.312944--1.638732))+0-0-0</f>
        <v>3809.7123000000001</v>
      </c>
      <c r="H338" s="3">
        <f>3830.9+(557.3-844.9)+(1.953759+(0.284223-0.430899))+0-0-0</f>
        <v>3545.1070830000003</v>
      </c>
      <c r="I338" s="3">
        <f>3738.4+(564-811.6)+(7.626336+(1.15056-1.655664))+0-0-0</f>
        <v>3497.9212320000001</v>
      </c>
      <c r="J338" s="3">
        <f>3711.4+(543-807.4)+(-1.892814+(-0.27693--0.411774))+0-0-0</f>
        <v>3445.2420299999999</v>
      </c>
      <c r="K338" s="3">
        <f>3799.5+(494-822.9)+(0+(0-0))+0-0-0</f>
        <v>3470.6</v>
      </c>
      <c r="L338" s="3">
        <f>3775.6+(486.8-769.1)+(-7.702224+(-0.993072--1.568964))+0-0-0</f>
        <v>3486.1736679999999</v>
      </c>
      <c r="M338" s="3">
        <f>3828.2+(466.8-861.2)+(-5.857146+(-0.714204--1.317636))+0-0-0</f>
        <v>3428.5462859999998</v>
      </c>
      <c r="N338" s="3">
        <f>4218.2+(436.1-757)+(6.453846+(0.667233-1.15821))+0-0-0</f>
        <v>3903.2628689999997</v>
      </c>
      <c r="O338" s="3">
        <f>4305.5+(603.4-695)+(2.195805+(0.307734-0.35445))+0-0-0</f>
        <v>4216.0490889999992</v>
      </c>
      <c r="P338" s="3">
        <f>4314.3+(805.7-593.6)+(-4.400586+(-0.821814--0.605472))+0-0-0</f>
        <v>4521.7830720000002</v>
      </c>
      <c r="Q338" s="3">
        <f>4345.2+(843.1-543.8)+(-4.432104+(-0.859962--0.554676))+9.6-0-0</f>
        <v>4649.3626100000001</v>
      </c>
      <c r="R338" s="3">
        <f>4330.3+(815.9-600.3)+(-13.250718+(-2.496654--1.836918))+0-0-0</f>
        <v>4531.9895460000007</v>
      </c>
      <c r="S338" s="3">
        <f>4341.7+(892.5-693.7)+(-4.428534+(-0.91035--0.707574))+0-0-0</f>
        <v>4535.8686900000002</v>
      </c>
      <c r="T338" s="3">
        <f>4345.7+(833.6-727.4)+(4.432614+(0.850272-0.741948))+0-0-0</f>
        <v>4456.4409379999997</v>
      </c>
      <c r="U338" s="3">
        <f>4372.7+(768.2-772.2)+(-8.920308+(-1.567128--1.575288))+0-0-0</f>
        <v>4359.7878519999995</v>
      </c>
      <c r="V338" s="3">
        <f>4433.3+(722.2-766.6)+(4.521966+(0.736644-0.781932))+0-0-0</f>
        <v>4393.3766780000005</v>
      </c>
      <c r="W338" s="3">
        <f>4495.8+(767.1-699.5)+(-4.585716+(-0.782442--0.71349))+0-0-0</f>
        <v>4558.7453320000004</v>
      </c>
      <c r="X338" s="3">
        <f>4945.8+(836.1-844.9)+(-2.522358+(-0.426411--0.430899))+0-0-0</f>
        <v>4934.4821300000003</v>
      </c>
      <c r="Y338" s="3">
        <f>5050.3+(729.3-846.3)+(-5.151306+(-0.743886--0.863226))+0-0-0</f>
        <v>4928.2680340000006</v>
      </c>
      <c r="Z338" s="3">
        <f>5034.8+(667-786.5)+(-2.567748+(-0.34017--0.401115))+0-0-0</f>
        <v>4912.793197</v>
      </c>
      <c r="AA338" s="3">
        <f>4993.4+(650.9-849.5)+(-2.546634+(-0.331959--0.433245))+0-0-0</f>
        <v>4792.3546519999991</v>
      </c>
      <c r="AB338" s="3">
        <f>4905+(661.6-953.2)+(-10.0062+(-1.349664--1.944528))+0-0-0</f>
        <v>4603.9886639999995</v>
      </c>
      <c r="AC338" s="3">
        <f>4772+(533.1-925.2)+(0+(0-0))+0-0-0</f>
        <v>4379.8999999999996</v>
      </c>
      <c r="AD338">
        <f t="shared" si="5"/>
        <v>101436.82581600003</v>
      </c>
      <c r="AE338" s="3">
        <f>5030+(811.4-872.2)+(0+(0-0))+0-0-0</f>
        <v>4969.2</v>
      </c>
    </row>
    <row r="339" spans="1:31" s="2" customFormat="1" x14ac:dyDescent="0.25">
      <c r="A339">
        <v>89</v>
      </c>
      <c r="B339">
        <v>12</v>
      </c>
      <c r="C339">
        <v>3</v>
      </c>
      <c r="D339">
        <v>4</v>
      </c>
      <c r="E339">
        <v>1</v>
      </c>
      <c r="F339" s="3">
        <f>4403.1+(352.3-864.3)+(-4.491162+(-0.359346--0.881586))+0-0-0</f>
        <v>3887.1310780000003</v>
      </c>
      <c r="G339" s="3">
        <f>4038.1+(284.7-651.4)+(0+(0-0))+0-0-0</f>
        <v>3671.4</v>
      </c>
      <c r="H339" s="3">
        <f>3617.1+(405.9-566.4)+(0+(0-0))+0-0-0</f>
        <v>3456.6</v>
      </c>
      <c r="I339" s="3">
        <f>3568.4+(413.3-603.1)+(-5.459652+(-0.632349--0.922743))+0-0-0</f>
        <v>3373.430742</v>
      </c>
      <c r="J339" s="3">
        <f>3600.6+(402.2-621.8)+(-7.345224+(-0.820488--1.268472))+0-0-0</f>
        <v>3374.1027600000002</v>
      </c>
      <c r="K339" s="3">
        <f>3789.8+(319.1-643.3)+(3.865596+(0.325482-0.656166))+0-0-0</f>
        <v>3469.1349120000004</v>
      </c>
      <c r="L339" s="3">
        <f>3948.3+(446.2-682.9)+(-4.027266+(-0.455124--0.696558))+0-0-0</f>
        <v>3707.8141680000003</v>
      </c>
      <c r="M339" s="3">
        <f>4182+(538.2-660.1)+(-6.39846+(-0.823446--1.009953))+0-0-0</f>
        <v>4053.8880469999999</v>
      </c>
      <c r="N339" s="3">
        <f>4612.5+(837.8-723.4)+(0+(0-0))+0-0-0</f>
        <v>4726.8999999999996</v>
      </c>
      <c r="O339" s="3">
        <f>4731.9+(1204.7-807.6)+(-4.826538+(-1.228794--0.823752))+0-0-0</f>
        <v>5123.7684200000003</v>
      </c>
      <c r="P339" s="3">
        <f>4695.5+(1351.7-770.7)+(-11.973525+(-3.446835--1.965285))+0-0-0</f>
        <v>5263.0449250000001</v>
      </c>
      <c r="Q339" s="3">
        <f>4696.3+(1357.3-681.7)+(-4.790226+(-1.384446--0.695334))+0-0-0</f>
        <v>5366.4206619999995</v>
      </c>
      <c r="R339" s="3">
        <f>4680.9+(1191.5-665.9)+(-11.936295+(-3.038325--1.698045))+0-0-0</f>
        <v>5193.2234250000001</v>
      </c>
      <c r="S339" s="3">
        <f>4697.4+(1115.2-715.1)+(0+(0-0))+0-0-0</f>
        <v>5097.5</v>
      </c>
      <c r="T339" s="3">
        <f>4744.1+(1118.4-692.9)+(2.419491+(0.570384-0.353379))+0-0-0</f>
        <v>5172.2364960000004</v>
      </c>
      <c r="U339" s="3">
        <f>4784.6+(1061.5-725.4)+(0+(0-0))+0-0-0</f>
        <v>5120.7000000000007</v>
      </c>
      <c r="V339" s="3">
        <f>4855.5+(992.8-732.3)+(0+(0-0))+0-0-0</f>
        <v>5116</v>
      </c>
      <c r="W339" s="3">
        <f>4918.3+(941.2-472.9)+(-2.508333+(-0.480012--0.241179))+0-0-0</f>
        <v>5383.8528340000003</v>
      </c>
      <c r="X339" s="3">
        <f>5027.3+(1158.8-663.8)+(-2.563923+(-0.590988--0.338538))+0-0-0</f>
        <v>5519.4836270000005</v>
      </c>
      <c r="Y339" s="3">
        <f>5060.8+(1188.9-793.8)+(-7.743024+(-1.819017--1.214514))+0-0-0</f>
        <v>5447.5524730000006</v>
      </c>
      <c r="Z339" s="3">
        <f>4904.3+(1177.4-771.1)+(-5.002386+(-1.200948--0.786522))+0-0-0</f>
        <v>5305.183188</v>
      </c>
      <c r="AA339" s="3">
        <f>4826.1+(1141.1-856.8)+(-14.767866+(-3.491766--2.621808))+0-0-0</f>
        <v>5094.7621760000002</v>
      </c>
      <c r="AB339" s="3">
        <f>4705.2+(1002.1-857.4)+(-9.598608+(-2.044284--1.749096))+0-0-0</f>
        <v>4840.0062039999993</v>
      </c>
      <c r="AC339" s="3">
        <f>4586.5+(754.4-856.1)+(-14.03469+(-2.308464--2.619666))+0-0-0</f>
        <v>4471.0765120000005</v>
      </c>
      <c r="AD339">
        <f t="shared" si="5"/>
        <v>111235.21264900001</v>
      </c>
      <c r="AE339" s="3">
        <f>5103+(1229.4-736.3)+(0+(0-0))+0-0-0</f>
        <v>5596.1</v>
      </c>
    </row>
    <row r="340" spans="1:31" s="2" customFormat="1" x14ac:dyDescent="0.25">
      <c r="A340">
        <v>89</v>
      </c>
      <c r="B340">
        <v>12</v>
      </c>
      <c r="C340">
        <v>4</v>
      </c>
      <c r="D340">
        <v>5</v>
      </c>
      <c r="E340">
        <v>1</v>
      </c>
      <c r="F340" s="3">
        <f>4278.8+(654.2-895.5)+(4.364376+(0.667284-0.91341))+0-0-0</f>
        <v>4041.61825</v>
      </c>
      <c r="G340" s="3">
        <f>4108.5+(530.8-843.4)+(-8.38134+(-1.082832--1.720536))+0-0-0</f>
        <v>3788.1563639999999</v>
      </c>
      <c r="H340" s="3">
        <f>4115.6+(359.4-889.5)+(2.098956+(0.183294-0.453645))+0-0-0</f>
        <v>3587.3286050000006</v>
      </c>
      <c r="I340" s="3">
        <f>4072.7+(336.5-840.2)+(-8.308308+(-0.68646--1.714008))+0-0-0</f>
        <v>3561.7192399999999</v>
      </c>
      <c r="J340" s="3">
        <f>3946.2+(366.7-806.5)+(-6.037686+(-0.561051--1.233945))+0-0-0</f>
        <v>3501.0352079999998</v>
      </c>
      <c r="K340" s="3">
        <f>4098.8+(333.9-836.3)+(2.090388+(0.170289-0.426513))+0-0-0</f>
        <v>3598.234164</v>
      </c>
      <c r="L340" s="3">
        <f>4432.1+(270.9-924.6)+(-9.041484+(-0.552636--1.886184))+0-0-0</f>
        <v>3770.6920640000008</v>
      </c>
      <c r="M340" s="3">
        <f>4599.4+(319.9-776.2)+(-4.691388+(-0.326298--0.791724))+0-0-0</f>
        <v>4138.874037999999</v>
      </c>
      <c r="N340" s="3">
        <f>4836.6+(604.5-739.6)+(0+(0-0))+0-0-0</f>
        <v>4701.5</v>
      </c>
      <c r="O340" s="3">
        <f>4878.3+(909.2-701)+(-2.487933+(-0.463692--0.35751))+0-0-0</f>
        <v>5083.9058850000001</v>
      </c>
      <c r="P340" s="3">
        <f>4844.8+(1110.3-652)+(-2.470848+(-0.566253--0.33252))+0-0-0</f>
        <v>5300.3954190000004</v>
      </c>
      <c r="Q340" s="3">
        <f>4790.7+(1247.9-637.3)+(-2.443257+(-0.636429--0.325023))+0-0-0</f>
        <v>5398.5453370000005</v>
      </c>
      <c r="R340" s="3">
        <f>4755.2+(1256.5-685.5)+(-12.12576+(-3.204075--1.748025))+0-0-0</f>
        <v>5312.6181900000001</v>
      </c>
      <c r="S340" s="3">
        <f>4767.3+(1161.1-740.7)+(-2.431323+(-0.592161--0.377757))+0-0-0</f>
        <v>5185.0542729999997</v>
      </c>
      <c r="T340" s="3">
        <f>4690.5+(1296.7-712.2)+(-11.960775+(-3.306585--1.81611))+0-0-0</f>
        <v>5261.5487499999999</v>
      </c>
      <c r="U340" s="3">
        <f>4665.6+(1192.6-690.7)+(-7.138368+(-1.824678--1.056771))+0-0-0</f>
        <v>5159.5937249999997</v>
      </c>
      <c r="V340" s="3">
        <f>4680.3+(1137.3-680.9)+(-21.482577+(-5.220207--3.125331))+0-0-0</f>
        <v>5113.1225469999999</v>
      </c>
      <c r="W340" s="3">
        <f>4762.1+(1062.4-569)+(0+(0-0))+0-0-0</f>
        <v>5255.5</v>
      </c>
      <c r="X340" s="3">
        <f>4818.7+(1353.1-612.4)+(-9.830148+(-2.760324--1.249296))+0-0-0</f>
        <v>5548.0588239999997</v>
      </c>
      <c r="Y340" s="3">
        <f>4850.7+(1296-650.9)+(0+(0-0))+0-0-0</f>
        <v>5495.8</v>
      </c>
      <c r="Z340" s="3">
        <f>4802.5+(1246.3-744.8)+(0+(0-0))+0-0-0</f>
        <v>5304</v>
      </c>
      <c r="AA340" s="3">
        <f>4771.3+(1133.8-827.3)+(-4.866726+(-1.156476--0.843846))+0-0-0</f>
        <v>5072.6206440000005</v>
      </c>
      <c r="AB340" s="3">
        <f>4761.2+(987.8-904.7)+(-9.712848+(-2.015112--1.845588))+0-0-0</f>
        <v>4834.4176279999992</v>
      </c>
      <c r="AC340" s="3">
        <f>4642.4+(719.6-957)+(-18.940992+(-2.935968--3.90456))+0-0-0</f>
        <v>4387.0276000000003</v>
      </c>
      <c r="AD340">
        <f t="shared" si="5"/>
        <v>112401.366755</v>
      </c>
      <c r="AE340" s="3">
        <f>4842+(1340.4-673.2)+(0+(0-0))+0-0-0</f>
        <v>5509.2</v>
      </c>
    </row>
    <row r="341" spans="1:31" s="2" customFormat="1" x14ac:dyDescent="0.25">
      <c r="A341">
        <v>89</v>
      </c>
      <c r="B341">
        <v>12</v>
      </c>
      <c r="C341">
        <v>5</v>
      </c>
      <c r="D341">
        <v>6</v>
      </c>
      <c r="E341">
        <v>1</v>
      </c>
      <c r="F341" s="3">
        <f>4352.6+(509.1-851.7)+(-6.659478+(-0.778923--1.303101))+0-0-0</f>
        <v>4003.8647000000005</v>
      </c>
      <c r="G341" s="3">
        <f>4155.1+(390.3-858.9)+(4.238202+(0.398106-0.876078))+0-0-0</f>
        <v>3690.2602300000003</v>
      </c>
      <c r="H341" s="3">
        <f>4041.4+(329.3-782.3)+(-12.366684+(-1.007658--2.393838))+0-0-0</f>
        <v>3577.419496</v>
      </c>
      <c r="I341" s="3">
        <f>4032.5+(273.5-828.5)+(4.11315+(0.27897-0.84507))+0-0-0</f>
        <v>3481.0470500000001</v>
      </c>
      <c r="J341" s="3">
        <f>4029.6+(254.1-820.1)+(2.055096+(0.129591-0.418251))+0-0-0</f>
        <v>3465.3664359999998</v>
      </c>
      <c r="K341" s="3">
        <f>4074.8+(235.8-844.8)+(12.468888+(0.721548-2.585088))+0-0-0</f>
        <v>3476.4053480000002</v>
      </c>
      <c r="L341" s="3">
        <f>4486+(192.3-945.7)+(0+(0-0))+0-0-0</f>
        <v>3732.6</v>
      </c>
      <c r="M341" s="3">
        <f>4671.6+(362.9-995.5)+(7.147548+(0.555237-1.523115))+0-0-0</f>
        <v>4045.1796700000004</v>
      </c>
      <c r="N341" s="3">
        <f>4697.6+(661.7-757.3)+(0+(0-0))+0-0-0</f>
        <v>4602</v>
      </c>
      <c r="O341" s="3">
        <f>4735.6+(983.9-776.5)+(0+(0-0))+0-0-0</f>
        <v>4943</v>
      </c>
      <c r="P341" s="3">
        <f>4733.7+(1132.6-739.9)+(0+(0-0))+0-0-0</f>
        <v>5126.3999999999996</v>
      </c>
      <c r="Q341" s="3">
        <f>4681.7+(1179.4-682.8)+(2.387667+(0.601494-0.348228))+0-0-0</f>
        <v>5180.9409329999999</v>
      </c>
      <c r="R341" s="3">
        <f>4623+(1124.2-705.2)+(-4.71546+(-1.146684--0.719304))+0-0-0</f>
        <v>5036.8571599999996</v>
      </c>
      <c r="S341" s="3">
        <f>4684.7+(981.3-747.2)+(-4.778394+(-1.000926--0.762144))+0-0-0</f>
        <v>4913.782823999999</v>
      </c>
      <c r="T341" s="3">
        <f>4732.1+(911-778.4)+(-2.413371+(-0.46461--0.396984))+0-0-0</f>
        <v>4862.2190030000011</v>
      </c>
      <c r="U341" s="3">
        <f>4760+(773.6-790.5)+(-4.8552+(-0.789072--0.80631))+0-0-0</f>
        <v>4738.2620380000008</v>
      </c>
      <c r="V341" s="3">
        <f>4787.2+(651.4-758.2)+(-17.090304+(-2.325498--2.706774))+0-0-0</f>
        <v>4663.6909719999994</v>
      </c>
      <c r="W341" s="3">
        <f>4884.6+(640-678.8)+(-2.491146+(-0.3264--0.346188))+0-0-0</f>
        <v>4843.3286420000004</v>
      </c>
      <c r="X341" s="3">
        <f>5040.2+(908.2-823.6)+(-7.711506+(-1.389546--1.260108))+0-0-0</f>
        <v>5116.9590560000006</v>
      </c>
      <c r="Y341" s="3">
        <f>5119.7+(1044.1-963.1)+(-5.222094+(-1.064982--0.982362))+0-0-0</f>
        <v>5195.3952859999999</v>
      </c>
      <c r="Z341" s="3">
        <f>5075.5+(968.1-980.8)+(-7.765515+(-1.481193--1.500624))+0-0-0</f>
        <v>5055.0539159999998</v>
      </c>
      <c r="AA341" s="3">
        <f>4970+(955.4-1038.8)+(0+(0-0))+0-0-0</f>
        <v>4886.6000000000004</v>
      </c>
      <c r="AB341" s="3">
        <f>4921.3+(688.1-998.1)+(-10.039452+(-1.403724--2.036124))+0-0-0</f>
        <v>4601.8929480000006</v>
      </c>
      <c r="AC341" s="3">
        <f>4873.1+(417.2-985)+(-12.426405+(-1.06386--2.51175))+0-0-0</f>
        <v>4294.3214850000004</v>
      </c>
      <c r="AD341">
        <f t="shared" si="5"/>
        <v>107532.84719299999</v>
      </c>
      <c r="AE341" s="3">
        <f>5156+(961.8-856.4)+(0+(0-0))+0-0-0</f>
        <v>5261.4</v>
      </c>
    </row>
    <row r="342" spans="1:31" s="2" customFormat="1" x14ac:dyDescent="0.25">
      <c r="A342">
        <v>89</v>
      </c>
      <c r="B342">
        <v>12</v>
      </c>
      <c r="C342">
        <v>6</v>
      </c>
      <c r="D342">
        <v>7</v>
      </c>
      <c r="E342">
        <v>1</v>
      </c>
      <c r="F342" s="3">
        <f>4806.1+(293.6-1190.8)+(-4.902222+(-0.299472--1.214616))+0-0-0</f>
        <v>3904.9129220000004</v>
      </c>
      <c r="G342" s="3">
        <f>4784.9+(255.6-1370.1)+(-2.440299+(-0.130356--0.698751))+0-0-0</f>
        <v>3668.5280959999996</v>
      </c>
      <c r="H342" s="3">
        <f>4642+(93.9-1242.5)+(0+(0-0))+0-0-0</f>
        <v>3493.4</v>
      </c>
      <c r="I342" s="3">
        <f>4534.3+(80.4-1243.5)+(6.937479+(0.123012-1.902555))+0-0-0</f>
        <v>3376.3579360000003</v>
      </c>
      <c r="J342" s="3">
        <f>4422.6+(72.7-1154.2)+(-11.27763+(-0.185385--2.94321))+0-0-0</f>
        <v>3332.5801950000005</v>
      </c>
      <c r="K342" s="3">
        <f>4441.6+(71.7-1203.4)+(6.795648+(0.109701-1.841202))+0-0-0</f>
        <v>3314.9641470000006</v>
      </c>
      <c r="L342" s="3">
        <f>4422.9+(82.7-1208.6)+(-4.511358+(-0.084354--1.232772))+0-0-0</f>
        <v>3293.63706</v>
      </c>
      <c r="M342" s="3">
        <f>4434.3+(93.7-1303.5)+(2.261493+(0.047787-0.664785))+0-0-0</f>
        <v>3226.144495</v>
      </c>
      <c r="N342" s="3">
        <f>4653.4+(150-1318.2)+(-4.746468+(-0.153--1.344564))+0-0-0</f>
        <v>3481.6450959999997</v>
      </c>
      <c r="O342" s="3">
        <f>4789.8+(142.1-1094.8)+(2.442798+(0.072471-0.558348))+0-0-0</f>
        <v>3839.0569210000003</v>
      </c>
      <c r="P342" s="3">
        <f>4850.4+(234.7-956.3)+(4.947408+(0.239394-0.975426))+0-0-0</f>
        <v>4133.0113759999995</v>
      </c>
      <c r="Q342" s="3">
        <f>4759.8+(345.3-952.4)+(-9.709992+(-0.704412--1.942896))+0-0-0</f>
        <v>4144.2284920000011</v>
      </c>
      <c r="R342" s="3">
        <f>4753.2+(369.1-924.2)+(-2.424132+(-0.188241--0.471342))+0-0-0</f>
        <v>4195.9589689999993</v>
      </c>
      <c r="S342" s="3">
        <f>4773.5+(380.9-1061.4)+(-14.60691+(-1.165554--3.247884))+0-0-0</f>
        <v>4080.4754200000002</v>
      </c>
      <c r="T342" s="3">
        <f>4794.5+(307.5-1141.6)+(-4.89039+(-0.31365--1.164432))+0-0-0</f>
        <v>3956.360392</v>
      </c>
      <c r="U342" s="3">
        <f>4723.6+(285.7-1027.9)+(-14.454216+(-0.874242--3.145374))+0-0-0</f>
        <v>3969.2169160000008</v>
      </c>
      <c r="V342" s="3">
        <f>4754.8+(234.2-1012.6)+(-4.849896+(-0.238884--1.032852))+0-0-0</f>
        <v>3972.3440719999999</v>
      </c>
      <c r="W342" s="3">
        <f>4841.7+(168.5-762.5)+(-2.469267+(-0.085935--0.388875))+0-0-0</f>
        <v>4245.5336729999999</v>
      </c>
      <c r="X342" s="3">
        <f>5143.7+(422.5-831.1)+(-7.869861+(-0.646425--1.271583))+0-0-0</f>
        <v>4727.8552969999992</v>
      </c>
      <c r="Y342" s="3">
        <f>5194.5+(493.3-909.3)+(2.649195+(0.251583-0.463743))+0-0-0</f>
        <v>4780.9370349999999</v>
      </c>
      <c r="Z342" s="3">
        <f>5168.1+(407-837)+(-7.907193+(-0.62271--1.28061))+0-0-0</f>
        <v>4730.8507070000005</v>
      </c>
      <c r="AA342" s="3">
        <f>5141.1+(350.4-893.9)+(2.621961+(0.178704-0.455889))+0-0-0</f>
        <v>4599.9447760000003</v>
      </c>
      <c r="AB342" s="3">
        <f>5131.1+(247.9-981.6)+(-5.233722+(-0.252858--1.001232))+0-0-0</f>
        <v>4392.9146520000004</v>
      </c>
      <c r="AC342" s="3">
        <f>5058.3+(246.5-1081.9)+(-10.318932+(-0.50286--2.207076))+0-0-0</f>
        <v>4214.2852839999996</v>
      </c>
      <c r="AD342">
        <f t="shared" si="5"/>
        <v>95075.143929000027</v>
      </c>
      <c r="AE342" s="3">
        <f>5177+(507.3-927.7)+(0+(0-0))+0-0-0</f>
        <v>4756.6000000000004</v>
      </c>
    </row>
    <row r="343" spans="1:31" s="2" customFormat="1" x14ac:dyDescent="0.25">
      <c r="A343">
        <v>89</v>
      </c>
      <c r="B343">
        <v>12</v>
      </c>
      <c r="C343">
        <v>7</v>
      </c>
      <c r="D343">
        <v>1</v>
      </c>
      <c r="E343">
        <v>1</v>
      </c>
      <c r="F343" s="3">
        <f>4665+(133.8-1047.1)+(-4.7583+(-0.136476--1.068042))+0-0-0</f>
        <v>3747.8732659999996</v>
      </c>
      <c r="G343" s="3">
        <f>4359.1+(136-1049)+(-4.446282+(-0.13872--1.06998))+0-0-0</f>
        <v>3442.5849780000003</v>
      </c>
      <c r="H343" s="3">
        <f>4277.5+(167.8-1099.8)+(8.7261+(0.342312-2.243592))+0-0-0</f>
        <v>3352.3248199999998</v>
      </c>
      <c r="I343" s="3">
        <f>4236.3+(151.5-1174.4)+(-4.321026+(-0.15453--1.197888))+0-0-0</f>
        <v>3210.1223319999999</v>
      </c>
      <c r="J343" s="3">
        <f>4327.4+(150.6-1232.4)+(13.241844+(0.460836-3.771144))+0-0-0</f>
        <v>3255.5315359999995</v>
      </c>
      <c r="K343" s="3">
        <f>4488.2+(148.8-1317.1)+(2.288982+(0.075888-0.671721))+0-0-0</f>
        <v>3321.5931489999998</v>
      </c>
      <c r="L343" s="3">
        <f>4927.9+(225.2-1386)+(7.539687+(0.344556-2.12058))+0-0-0</f>
        <v>3772.8636629999996</v>
      </c>
      <c r="M343" s="3">
        <f>5181.8+(444.7-1287.4)+(13.21359+(1.133985-3.28287))+0-0-0</f>
        <v>4350.1647050000001</v>
      </c>
      <c r="N343" s="3">
        <f>5121.4+(589.9-839.7)+(2.611914+(0.300849-0.428247))+0-0-0</f>
        <v>4874.0845159999999</v>
      </c>
      <c r="O343" s="3">
        <f>5079.3+(842.6-758.7)+(2.590443+(0.429726-0.386937))+0-0-0</f>
        <v>5165.833232</v>
      </c>
      <c r="P343" s="3">
        <f>5280.1+(813.3-688.7)+(8.078553+(1.244349-1.053711))+0-0-0</f>
        <v>5412.969191000001</v>
      </c>
      <c r="Q343" s="3">
        <f>5280.1+(835-584.8)+(-2.692851+(-0.42585--0.298248))+0-0-0</f>
        <v>5527.4795469999999</v>
      </c>
      <c r="R343" s="3">
        <f>5056.6+(900.3-628.4)+(-2.578866+(-0.459153--0.320484))+0-0-0</f>
        <v>5325.7824650000002</v>
      </c>
      <c r="S343" s="3">
        <f>5082.8+(923.6-812)+(-7.776684+(-1.413108--1.24236))+0-0-0</f>
        <v>5186.4525680000006</v>
      </c>
      <c r="T343" s="3">
        <f>5178.8+(935-805)+(0+(0-0))+0-0-0</f>
        <v>5308.8</v>
      </c>
      <c r="U343" s="3">
        <f>5253.6+(824.1-762.2)+(-5.358672+(-0.840582--0.777444))+0-0-0</f>
        <v>5310.0781900000002</v>
      </c>
      <c r="V343" s="3">
        <f>5287.7+(783.3-674.2)+(0+(0-0))+0-0-0</f>
        <v>5396.7999999999993</v>
      </c>
      <c r="W343" s="3">
        <f>5230.4+(757-504.5)+(-10.670016+(-1.54428--1.02918))+0-0-0</f>
        <v>5471.714884</v>
      </c>
      <c r="X343" s="3">
        <f>5333.6+(860.7-572.5)+(-13.60068+(-2.194785--1.459875))+0-0-0</f>
        <v>5607.4644100000005</v>
      </c>
      <c r="Y343" s="3">
        <f>5326.5+(831.6-636.5)+(-8.149545+(-1.272348--0.973845))+0-0-0</f>
        <v>5513.1519520000002</v>
      </c>
      <c r="Z343" s="3">
        <f>5291.4+(748.2-657)+(-2.698614+(-0.381582--0.33507))+0-0-0</f>
        <v>5379.8548739999997</v>
      </c>
      <c r="AA343" s="3">
        <f>5228.3+(684.9-727.9)+(-5.332866+(-0.698598--0.742458))+0-0-0</f>
        <v>5180.0109940000002</v>
      </c>
      <c r="AB343" s="3">
        <f>5078.4+(612.3-791.9)+(-12.94992+(-1.561365--2.019345))+0-0-0</f>
        <v>4886.3080599999994</v>
      </c>
      <c r="AC343" s="3">
        <f>4927.7+(374.8-812.4)+(-10.052508+(-0.764592--1.657296))+0-0-0</f>
        <v>4480.9401959999996</v>
      </c>
      <c r="AD343">
        <f t="shared" si="5"/>
        <v>112480.783528</v>
      </c>
      <c r="AE343" s="3">
        <f>5398+(872.1-612.6)+(0+(0-0))+0-0-0</f>
        <v>5657.5</v>
      </c>
    </row>
    <row r="344" spans="1:31" s="2" customFormat="1" x14ac:dyDescent="0.25">
      <c r="A344">
        <v>89</v>
      </c>
      <c r="B344">
        <v>12</v>
      </c>
      <c r="C344">
        <v>8</v>
      </c>
      <c r="D344">
        <v>2</v>
      </c>
      <c r="E344">
        <v>1</v>
      </c>
      <c r="F344" s="3">
        <f>4619.1+(209.8-724.1)+(-2.355741+(-0.106998--0.369291))+0-0-0</f>
        <v>4102.7065520000006</v>
      </c>
      <c r="G344" s="3">
        <f>4418.2+(166.9-741.7)+(0+(0-0))+0-0-0</f>
        <v>3843.3999999999996</v>
      </c>
      <c r="H344" s="3">
        <f>4340.7+(159.7-818.1)+(-6.641271+(-0.244341--1.251693))+0-0-0</f>
        <v>3676.6660809999998</v>
      </c>
      <c r="I344" s="3">
        <f>4388.6+(144.7-918.5)+(-6.714558+(-0.221391--1.405305))+0-0-0</f>
        <v>3609.2693560000002</v>
      </c>
      <c r="J344" s="3">
        <f>4295.2+(151.8-909.6)+(-2.190552+(-0.077418--0.463896))+0-0-0</f>
        <v>3535.5959259999995</v>
      </c>
      <c r="K344" s="3">
        <f>4398.6+(169.8-890.7)+(2.243286+(0.086598-0.454257))+0-0-0</f>
        <v>3679.5756270000002</v>
      </c>
      <c r="L344" s="3">
        <f>4383.5+(249-805.1)+(-4.47117+(-0.25398--0.821202))+0-0-0</f>
        <v>3823.496052</v>
      </c>
      <c r="M344" s="3">
        <f>4573.4+(314.9-888.2)+(-2.332434+(-0.160599--0.452982))+0-0-0</f>
        <v>3998.0599489999995</v>
      </c>
      <c r="N344" s="3">
        <f>4888.9+(450.9-575.3)+(-4.986678+(-0.459918--0.586806))+0-0-0</f>
        <v>4759.6402099999996</v>
      </c>
      <c r="O344" s="3">
        <f>4961.5+(612.2-481.7)+(5.06073+(0.624444-0.491334))+0-0-0</f>
        <v>5097.1938399999999</v>
      </c>
      <c r="P344" s="3">
        <f>5125.9+(673.8-489)+(-10.456836+(-1.374552--0.99756))+0-0-0</f>
        <v>5299.866172</v>
      </c>
      <c r="Q344" s="3">
        <f>5192.4+(738.3-527.3)+(-7.944372+(-1.129599--0.806769))+0-0-0</f>
        <v>5395.1327979999996</v>
      </c>
      <c r="R344" s="3">
        <f>5337.8+(597.1-582.2)+(-16.333668+(-1.827126--1.781532))+0-0-0</f>
        <v>5336.3207379999994</v>
      </c>
      <c r="S344" s="3">
        <f>5397.2+(448.3-610.5)+(-8.257716+(-0.685899--0.934065))+0-0-0</f>
        <v>5226.9904500000002</v>
      </c>
      <c r="T344" s="3">
        <f>5377.2+(484.6-598.2)+(-8.227116+(-0.741438--0.915246))+0-0-0</f>
        <v>5255.5466919999999</v>
      </c>
      <c r="U344" s="3">
        <f>5449.1+(498-718.1)+(-5.558082+(-0.50796--0.732462))+0-0-0</f>
        <v>5223.6664199999996</v>
      </c>
      <c r="V344" s="3">
        <f>5518.7+(440.5-742.5)+(-16.887222+(-1.34793--2.27205))+0-0-0</f>
        <v>5200.7368980000001</v>
      </c>
      <c r="W344" s="3">
        <f>5592.8+(365.2-720.8)+(-8.556984+(-0.558756--1.102824))+0-0-0</f>
        <v>5229.1870840000001</v>
      </c>
      <c r="X344" s="3">
        <f>5620.9+(768.1-835.1)+(-5.733318+(-0.783462--0.851802))+0-0-0</f>
        <v>5548.2350219999998</v>
      </c>
      <c r="Y344" s="3">
        <f>5563+(948.1-1001.1)+(-17.02278+(-2.901186--3.063366))+0-0-0</f>
        <v>5493.1394</v>
      </c>
      <c r="Z344" s="3">
        <f>5389+(947-1003.5)+(-5.49678+(-0.96594--1.02357))+0-0-0</f>
        <v>5327.0608499999998</v>
      </c>
      <c r="AA344" s="3">
        <f>5317.7+(802.9-1032.3)+(-8.136081+(-1.228437--1.579419))+0-0-0</f>
        <v>5080.5149010000005</v>
      </c>
      <c r="AB344" s="3">
        <f>5291+(610.3-1019.3)+(-13.49205+(-1.556265--2.599215))+0-0-0</f>
        <v>4869.5509000000002</v>
      </c>
      <c r="AC344" s="3">
        <f>5098.7+(426.7-992.6)+(-13.001685+(-1.088085--2.53113))+0-0-0</f>
        <v>4521.2413599999991</v>
      </c>
      <c r="AD344">
        <f t="shared" si="5"/>
        <v>113132.79327799998</v>
      </c>
      <c r="AE344" s="3">
        <f>5654+(832.7-856)+(0+(0-0))+0-0-0</f>
        <v>5630.7</v>
      </c>
    </row>
    <row r="345" spans="1:31" s="2" customFormat="1" x14ac:dyDescent="0.25">
      <c r="A345">
        <v>89</v>
      </c>
      <c r="B345">
        <v>12</v>
      </c>
      <c r="C345">
        <v>9</v>
      </c>
      <c r="D345">
        <v>3</v>
      </c>
      <c r="E345">
        <v>1</v>
      </c>
      <c r="F345" s="3">
        <f>4659.6+(253.8-860.2)+(0+(0-0))+0-0-0</f>
        <v>4053.2000000000003</v>
      </c>
      <c r="G345" s="3">
        <f>4406.1+(227.1-867.9)+(0+(0-0))+0-0-0</f>
        <v>3765.3</v>
      </c>
      <c r="H345" s="3">
        <f>4267.5+(206.6-869.7)+(0+(0-0))+0-0-0</f>
        <v>3604.4</v>
      </c>
      <c r="I345" s="3">
        <f>4307.8+(205.6-1001.9)+(0+(0-0))+0-0-0</f>
        <v>3511.5</v>
      </c>
      <c r="J345" s="3">
        <f>4322.3+(176-985.8)+(0+(0-0))+0-0-0</f>
        <v>3512.5</v>
      </c>
      <c r="K345" s="3">
        <f>4433.8+(291.2-1158.8)+(0+(0-0))+0-0-0</f>
        <v>3566.2000000000003</v>
      </c>
      <c r="L345" s="3">
        <f>4760.5+(347.8-1245.7)+(0+(0-0))+0-0-0</f>
        <v>3862.6</v>
      </c>
      <c r="M345" s="3">
        <f>5124.7+(418.7-1348.4)+(0+(0-0))+0-0-0</f>
        <v>4195</v>
      </c>
      <c r="N345" s="3">
        <f>5231.7+(484-886.1)+(0+(0-0))+0-0-0</f>
        <v>4829.5999999999995</v>
      </c>
      <c r="O345" s="3">
        <f>5215.4+(535.6-583)+(0+(0-0))+0-0-0</f>
        <v>5168</v>
      </c>
      <c r="P345" s="3">
        <f>5296.5+(591.8-505.1)+(-5.40243+(-0.603636--0.515202))+0-0-0</f>
        <v>5377.7091359999995</v>
      </c>
      <c r="Q345" s="3">
        <f>5288.3+(627.5-466)+(-8.091099+(-0.960075--0.71298))+0-0-0</f>
        <v>5441.4618060000003</v>
      </c>
      <c r="R345" s="3">
        <f>5224.6+(592.1-441.4)+(-10.658184+(-1.207884--0.900456))+0-0-0</f>
        <v>5364.3343880000002</v>
      </c>
      <c r="S345" s="3">
        <f>5141.1+(526.6-468.1)+(-10.487844+(-1.074264--0.954924))+0-0-0</f>
        <v>5188.9928159999999</v>
      </c>
      <c r="T345" s="3">
        <f>5167.9+(581.5-464.6)+(-2.635629+(-0.296565--0.236946))+0-0-0</f>
        <v>5282.1047519999993</v>
      </c>
      <c r="U345" s="3">
        <f>5195.6+(553.7-490.9)+(0+(0-0))+0-0-0</f>
        <v>5258.4000000000005</v>
      </c>
      <c r="V345" s="3">
        <f>5168+(580.7-418.1)+(-15.81408+(-1.776942--1.279386))+0-0-0</f>
        <v>5314.288364</v>
      </c>
      <c r="W345" s="3">
        <f>5206.2+(554.1-379.7)+(-13.27581+(-1.412955--0.968235))+0-0-0</f>
        <v>5366.8794699999999</v>
      </c>
      <c r="X345" s="3">
        <f>5419.7+(714.4-539.6)+(-11.056188+(-1.457376--1.100784))+0-0-0</f>
        <v>5583.0872200000003</v>
      </c>
      <c r="Y345" s="3">
        <f>5482.7+(768.9-665.3)+(-8.388531+(-1.176417--1.017909))+0-0-0</f>
        <v>5577.7529610000001</v>
      </c>
      <c r="Z345" s="3">
        <f>5169.1+(1008.6-800.2)+(-15.817446+(-3.086316--2.448612))+0-0-0</f>
        <v>5361.0448500000002</v>
      </c>
      <c r="AA345" s="3">
        <f>5182.7+(867.3-890.1)+(-2.643177+(-0.442323--0.453951))+0-0-0</f>
        <v>5157.2684509999999</v>
      </c>
      <c r="AB345" s="3">
        <f>5111.8+(682.5-847.4)+(-10.428072+(-1.3923--1.728696))+0-0-0</f>
        <v>4936.8083240000005</v>
      </c>
      <c r="AC345" s="3">
        <f>4747.3+(625.4-833.8)+(-16.947861+(-2.232678--2.976666))+0-0-0</f>
        <v>4522.6961270000002</v>
      </c>
      <c r="AD345">
        <f t="shared" si="5"/>
        <v>113801.12866500001</v>
      </c>
      <c r="AE345" s="3">
        <f>5499+(758.6-613.1)+(0+(0-0))+0-0-0</f>
        <v>5644.5</v>
      </c>
    </row>
    <row r="346" spans="1:31" s="2" customFormat="1" x14ac:dyDescent="0.25">
      <c r="A346">
        <v>89</v>
      </c>
      <c r="B346">
        <v>12</v>
      </c>
      <c r="C346">
        <v>10</v>
      </c>
      <c r="D346">
        <v>4</v>
      </c>
      <c r="E346">
        <v>1</v>
      </c>
      <c r="F346" s="3">
        <f>4453.8+(503.8-889.9)+(-9.085752+(-1.027752--1.815396))+0-0-0</f>
        <v>4059.4018920000003</v>
      </c>
      <c r="G346" s="3">
        <f>4393.6+(229.9-834.3)+(-6.722208+(-0.351747--1.276479))+0-0-0</f>
        <v>3783.4025240000001</v>
      </c>
      <c r="H346" s="3">
        <f>4226.8+(238.2-817.4)+(-8.622672+(-0.485928--1.667496))+0-0-0</f>
        <v>3640.1588960000004</v>
      </c>
      <c r="I346" s="3">
        <f>4192.7+(198.7-810.4)+(-10.691385+(-0.506685--2.06652))+0-0-0</f>
        <v>3571.8684499999999</v>
      </c>
      <c r="J346" s="3">
        <f>4253.3+(160-862.1)+(0+(0-0))+0-0-0</f>
        <v>3551.2000000000003</v>
      </c>
      <c r="K346" s="3">
        <f>4346.3+(231.1-976.8)+(-6.649839+(-0.353583--1.494504))+0-0-0</f>
        <v>3595.0910820000004</v>
      </c>
      <c r="L346" s="3">
        <f>4582.7+(211.7-994.1)+(-7.011531+(-0.323901--1.520973))+0-0-0</f>
        <v>3794.4855409999996</v>
      </c>
      <c r="M346" s="3">
        <f>4750.6+(241-818.7)+(0+(0-0))+0-0-0</f>
        <v>4172.9000000000005</v>
      </c>
      <c r="N346" s="3">
        <f>4743.1+(506.3-492.4)+(2.418981+(0.258213-0.251124))+0-0-0</f>
        <v>4759.4260700000004</v>
      </c>
      <c r="O346" s="3">
        <f>4929.8+(751.8-439.5)+(-2.514198+(-0.383418--0.224145))+0-0-0</f>
        <v>5239.4265290000003</v>
      </c>
      <c r="P346" s="3">
        <f>5141.6+(770.5-420.9)+(0+(0-0))+0-0-0</f>
        <v>5491.2000000000007</v>
      </c>
      <c r="Q346" s="3">
        <f>5134.2+(924.1-423.3)+(-5.236884+(-0.942582--0.431766))+0-0-0</f>
        <v>5629.2523000000001</v>
      </c>
      <c r="R346" s="3">
        <f>5073.9+(956.5-440.1)+(-12.938445+(-2.439075--1.122255))+0-0-0</f>
        <v>5576.0447349999995</v>
      </c>
      <c r="S346" s="3">
        <f>5071.9+(862.2-481.5)+(2.586669+(0.439722-0.245565))+0-0-0</f>
        <v>5455.3808259999996</v>
      </c>
      <c r="T346" s="3">
        <f>5056.4+(874.7-429.4)+(-5.157528+(-0.892194--0.437988))+0-0-0</f>
        <v>5496.0882659999997</v>
      </c>
      <c r="U346" s="3">
        <f>5086.9+(752.2-447.5)+(0+(0-0))+0-0-0</f>
        <v>5391.5999999999995</v>
      </c>
      <c r="V346" s="3">
        <f>5115.4+(695.7-464.1)+(-5.217708+(-0.709614--0.473382))+0-0-0</f>
        <v>5341.5460599999997</v>
      </c>
      <c r="W346" s="3">
        <f>5178.9+(677.6-460.3)+(-5.282478+(-0.691152--0.469506))+0-0-0</f>
        <v>5390.6958759999998</v>
      </c>
      <c r="X346" s="3">
        <f>5296.2+(936.6-578.2)+(-8.103186+(-1.432998--0.884646))+0-0-0</f>
        <v>5645.9484619999994</v>
      </c>
      <c r="Y346" s="3">
        <f>5254.1+(934.5-603.3)+(-8.038773+(-1.429785--0.923049))+0-0-0</f>
        <v>5576.7544910000006</v>
      </c>
      <c r="Z346" s="3">
        <f>5227.9+(689-529.8)+(-5.332458+(-0.70278--0.540396))+0-0-0</f>
        <v>5381.6051579999994</v>
      </c>
      <c r="AA346" s="3">
        <f>5168.9+(553.6-556.9)+(-10.544556+(-1.129344--1.136076))+0-0-0</f>
        <v>5155.0621759999995</v>
      </c>
      <c r="AB346" s="3">
        <f>5146.3+(457.3-688.8)+(-15.747678+(-1.399338--2.107728))+0-0-0</f>
        <v>4899.7607120000002</v>
      </c>
      <c r="AC346" s="3">
        <f>4865+(406.7-705.9)+(-4.9623+(-0.414834--0.720018))+0-0-0</f>
        <v>4561.1428839999999</v>
      </c>
      <c r="AD346">
        <f t="shared" si="5"/>
        <v>115159.44293</v>
      </c>
      <c r="AE346" s="3">
        <f>5271+(963-642.6)+(0+(0-0))+0-0-0</f>
        <v>5591.4</v>
      </c>
    </row>
    <row r="347" spans="1:31" s="2" customFormat="1" x14ac:dyDescent="0.25">
      <c r="A347">
        <v>89</v>
      </c>
      <c r="B347">
        <v>12</v>
      </c>
      <c r="C347">
        <v>11</v>
      </c>
      <c r="D347">
        <v>5</v>
      </c>
      <c r="E347">
        <v>1</v>
      </c>
      <c r="F347" s="3">
        <f>4334.4+(350.4-518.5)+(-8.842176+(-0.714816--1.05774))+0-0-0</f>
        <v>4157.8007479999997</v>
      </c>
      <c r="G347" s="3">
        <f>4081.7+(338.1-570.4)+(-8.326668+(-0.689724--1.163616))+0-0-0</f>
        <v>3841.5472239999995</v>
      </c>
      <c r="H347" s="3">
        <f>4014+(292.2-619)+(-4.09428+(-0.298044--0.63138))+0-0-0</f>
        <v>3683.4390559999997</v>
      </c>
      <c r="I347" s="3">
        <f>3963.5+(265.4-611.7)+(-4.04277+(-0.270708--0.623934))+0-0-0</f>
        <v>3613.510456</v>
      </c>
      <c r="J347" s="3">
        <f>4045.6+(188.6-617.2)+(6.189768+(0.288558-0.944316))+0-0-0</f>
        <v>3622.5340099999999</v>
      </c>
      <c r="K347" s="3">
        <f>4134.5+(183.9-630.6)+(-4.21719+(-0.187578--0.643212))+0-0-0</f>
        <v>3684.0384440000003</v>
      </c>
      <c r="L347" s="3">
        <f>4385.9+(198.6-745.2)+(0+(0-0))+0-0-0</f>
        <v>3839.2999999999997</v>
      </c>
      <c r="M347" s="3">
        <f>4646.9+(272.3-688)+(2.369919+(0.138873-0.35088))+0-0-0</f>
        <v>4233.3579119999995</v>
      </c>
      <c r="N347" s="3">
        <f>5019.8+(484.8-630.8)+(-2.560098+(-0.247248--0.321708))+0-0-0</f>
        <v>4871.3143620000001</v>
      </c>
      <c r="O347" s="3">
        <f>5094.4+(633.4-520)+(5.196288+(0.646068-0.5304))+0-0-0</f>
        <v>5213.1119559999988</v>
      </c>
      <c r="P347" s="3">
        <f>5005+(934.7-492.6)+(-2.55255+(-0.476697--0.251226))+0-0-0</f>
        <v>5444.3219790000003</v>
      </c>
      <c r="Q347" s="3">
        <f>5098.7+(1001.7-491)+(-5.200674+(-1.021734--0.50082))+0-0-0</f>
        <v>5603.6784119999993</v>
      </c>
      <c r="R347" s="3">
        <f>5045+(892.6-453)+(-5.1459+(-0.910452--0.46206))+0-0-0</f>
        <v>5479.0057080000006</v>
      </c>
      <c r="S347" s="3">
        <f>5040.9+(819.1-474.6)+(-2.570859+(-0.417741--0.242046))+0-0-0</f>
        <v>5382.6534459999993</v>
      </c>
      <c r="T347" s="3">
        <f>5106.6+(802.7-428.2)+(-5.208732+(-0.818754--0.436764))+0-0-0</f>
        <v>5475.5092780000004</v>
      </c>
      <c r="U347" s="3">
        <f>5178.4+(723.2-452.9)+(5.281968+(0.737664-0.461958))+0-0-0</f>
        <v>5454.2576739999995</v>
      </c>
      <c r="V347" s="3">
        <f>5148.4+(706.4-424.4)+(-10.502736+(-1.441056--0.865776))+0-0-0</f>
        <v>5419.3219839999992</v>
      </c>
      <c r="W347" s="3">
        <f>5202.2+(623-369.6)+(-10.612488+(-1.27092--0.753984))+0-0-0</f>
        <v>5444.4705759999997</v>
      </c>
      <c r="X347" s="3">
        <f>5381.5+(634.2-409.9)+(-10.97826+(-1.293768--0.836196))+0-0-0</f>
        <v>5594.3641680000001</v>
      </c>
      <c r="Y347" s="3">
        <f>5381.3+(638.3-465.9)+(-13.722315+(-1.627665--1.188045))+0-0-0</f>
        <v>5539.5380649999997</v>
      </c>
      <c r="Z347" s="3">
        <f>5277+(596.4-446)+(-16.14762+(-1.824984--1.36476))+0-0-0</f>
        <v>5410.7921559999995</v>
      </c>
      <c r="AA347" s="3">
        <f>5187.2+(487.9-517.2)+(-2.645472+(-0.248829--0.263772))+0-0-0</f>
        <v>5155.2694709999996</v>
      </c>
      <c r="AB347" s="3">
        <f>4964.8+(543.3-667.1)+(-10.128192+(-1.108332--1.360884))+0-0-0</f>
        <v>4831.1243599999998</v>
      </c>
      <c r="AC347" s="3">
        <f>4573.3+(512.4-599.4)+(-11.661915+(-1.30662--1.52847))+0-0-0</f>
        <v>4474.8599350000004</v>
      </c>
      <c r="AD347">
        <f t="shared" si="5"/>
        <v>115469.12137999997</v>
      </c>
      <c r="AE347" s="3">
        <f>5464+(668.9-422.9)+(0+(0-0))+0-0-0</f>
        <v>5710</v>
      </c>
    </row>
    <row r="348" spans="1:31" s="2" customFormat="1" x14ac:dyDescent="0.25">
      <c r="A348">
        <v>89</v>
      </c>
      <c r="B348">
        <v>12</v>
      </c>
      <c r="C348">
        <v>12</v>
      </c>
      <c r="D348">
        <v>6</v>
      </c>
      <c r="E348">
        <v>1</v>
      </c>
      <c r="F348" s="3">
        <f>4199.5+(352.1-614.4)+(-10.708725+(-0.897855--1.56672))+0-0-0</f>
        <v>3927.16014</v>
      </c>
      <c r="G348" s="3">
        <f>3839.2+(308.1-537.3)+(-5.873976+(-0.471393--0.822069))+0-0-0</f>
        <v>3604.4767000000002</v>
      </c>
      <c r="H348" s="3">
        <f>3833.2+(238.8-634.3)+(-1.954932+(-0.121788--0.323493))+0-0-0</f>
        <v>3435.9467729999997</v>
      </c>
      <c r="I348" s="3">
        <f>3735.8+(217.6-662.1)+(-9.52629+(-0.55488--1.688355))+0-0-0</f>
        <v>3282.907185</v>
      </c>
      <c r="J348" s="3">
        <f>3862.1+(188-727.8)+(9.848355+(0.4794-1.85589))+0-0-0</f>
        <v>3330.7718650000002</v>
      </c>
      <c r="K348" s="3">
        <f>3875+(206.7-646.1)+(3.9525+(0.210834-0.659022))+0-0-0</f>
        <v>3439.1043119999999</v>
      </c>
      <c r="L348" s="3">
        <f>4117.5+(255.1-610.3)+(-2.099925+(-0.130101--0.311253))+0-0-0</f>
        <v>3760.3812270000003</v>
      </c>
      <c r="M348" s="3">
        <f>4218.2+(454.7-601.8)+(2.151282+(0.231897-0.306918))+13.3-0-0</f>
        <v>4086.4762610000002</v>
      </c>
      <c r="N348" s="3">
        <f>4468+(775.6-640.2)+(4.55736+(0.791112-0.653004))+0-0-0</f>
        <v>4608.0954679999995</v>
      </c>
      <c r="O348" s="3">
        <f>4818.8+(779.3-558.4)+(0+(0-0))+0.8-0-0</f>
        <v>5040.5</v>
      </c>
      <c r="P348" s="3">
        <f>4925.1+(793.2-489.9)+(5.023602+(0.809064-0.499698))+0.5-0-0</f>
        <v>5234.2329680000003</v>
      </c>
      <c r="Q348" s="3">
        <f>5069.5+(783.6-490.1)+(2.585445+(0.399636-0.249951))+0-0-0</f>
        <v>5365.73513</v>
      </c>
      <c r="R348" s="3">
        <f>4965.2+(730.8-494.6)+(-5.064504+(-0.745416--0.504492))+0-0-0</f>
        <v>5196.094572</v>
      </c>
      <c r="S348" s="3">
        <f>4812.9+(679.8-428.4)+(-14.727474+(-2.080188--1.310904))+0-0-0</f>
        <v>5048.803241999999</v>
      </c>
      <c r="T348" s="3">
        <f>4781.3+(682.3-406.8)+(-9.753852+(-1.391892--0.829872))+0-0-0</f>
        <v>5046.4841280000001</v>
      </c>
      <c r="U348" s="3">
        <f>4652+(682.5-425)+(0+(0-0))+0-0-0</f>
        <v>4909.5</v>
      </c>
      <c r="V348" s="3">
        <f>4737.3+(587.5-468.5)+(-4.832046+(-0.59925--0.47787))+0-0-0</f>
        <v>4851.3465740000001</v>
      </c>
      <c r="W348" s="3">
        <f>4780.2+(561-413.5)+(2.437902+(0.28611-0.210885))+0-0-0</f>
        <v>4930.213127</v>
      </c>
      <c r="X348" s="3">
        <f>5068+(531.9-465.8)+(-2.58468+(-0.271269--0.237558))+0-0-0</f>
        <v>5131.4816090000004</v>
      </c>
      <c r="Y348" s="3">
        <f>4990.2+(732.2-582)+(-15.270012+(-2.240532--1.78092))+0-0-0</f>
        <v>5124.670376</v>
      </c>
      <c r="Z348" s="3">
        <f>4880.3+(774.3-585.3)+(-4.977906+(-0.789786--0.597006))+0-0-0</f>
        <v>5064.1293139999998</v>
      </c>
      <c r="AA348" s="3">
        <f>4775.8+(853.6-664.1)+(-7.306974+(-1.306008--1.016073))+0-0-0</f>
        <v>4957.7030910000003</v>
      </c>
      <c r="AB348" s="3">
        <f>4576.7+(868.8-684.7)+(-11.670585+(-2.21544--1.745985))+0-0-0</f>
        <v>4748.659959999999</v>
      </c>
      <c r="AC348" s="3">
        <f>4456.9+(683.2-665.6)+(-11.365095+(-1.74216--1.69728))+0-0-0</f>
        <v>4463.0900250000004</v>
      </c>
      <c r="AD348">
        <f t="shared" si="5"/>
        <v>108587.964047</v>
      </c>
      <c r="AE348" s="3">
        <f>5303+(570.2-550.4)+(0+(0-0))+0-0-0</f>
        <v>5322.8</v>
      </c>
    </row>
    <row r="349" spans="1:31" s="2" customFormat="1" x14ac:dyDescent="0.25">
      <c r="A349">
        <v>89</v>
      </c>
      <c r="B349">
        <v>12</v>
      </c>
      <c r="C349">
        <v>13</v>
      </c>
      <c r="D349">
        <v>7</v>
      </c>
      <c r="E349">
        <v>1</v>
      </c>
      <c r="F349" s="3">
        <f>4293.7+(431.9-659.1)+(-10.948935+(-1.101345--1.680705))+0-0-0</f>
        <v>4056.1304249999998</v>
      </c>
      <c r="G349" s="3">
        <f>3813.5+(487.1-554.1)+(-5.834655+(-0.745263--0.847773))+0-0-0</f>
        <v>3740.7678550000001</v>
      </c>
      <c r="H349" s="3">
        <f>3661.9+(485.2-556.2)+(-7.470276+(-0.989808--1.134648))+0-0-0</f>
        <v>3583.574564</v>
      </c>
      <c r="I349" s="3">
        <f>3621.6+(449-615.2)+(5.541048+(0.68697-0.941256))+0-0-0</f>
        <v>3460.6867619999998</v>
      </c>
      <c r="J349" s="3">
        <f>3617.7+(388-612.2)+(1.845027+(0.19788-0.312222))+0-0-0</f>
        <v>3395.230685</v>
      </c>
      <c r="K349" s="3">
        <f>3636.4+(369.8-617.6)+(3.709128+(0.377196-0.629952))+0-0-0</f>
        <v>3392.056372</v>
      </c>
      <c r="L349" s="3">
        <f>3697.8+(309.9-568)+(-7.543512+(-0.632196--1.15872))+0-0-0</f>
        <v>3432.6830120000004</v>
      </c>
      <c r="M349" s="3">
        <f>3789.6+(226.7-583.5)+(1.932696+(0.115617-0.297585))+0-0-0</f>
        <v>3434.5507279999997</v>
      </c>
      <c r="N349" s="3">
        <f>3825.7+(313.1-564.9)+(0+(0-0))+0-0-0</f>
        <v>3573.8999999999996</v>
      </c>
      <c r="O349" s="3">
        <f>4079.6+(405.8-594.8)+(0+(0-0))+0-0-0</f>
        <v>3890.6</v>
      </c>
      <c r="P349" s="3">
        <f>4159+(637.1-533.6)+(2.12109+(0.324921-0.272136))+0-0-0</f>
        <v>4264.6738750000004</v>
      </c>
      <c r="Q349" s="3">
        <f>4229.9+(575.8-416.4)+(0+(0-0))+0-0-0</f>
        <v>4389.2999999999993</v>
      </c>
      <c r="R349" s="3">
        <f>4240.9+(611.2-417.8)+(0+(0-0))+0-0-0</f>
        <v>4434.2999999999993</v>
      </c>
      <c r="S349" s="3">
        <f>4222.5+(565.1-403.9)+(0+(0-0))+0-0-0</f>
        <v>4383.7</v>
      </c>
      <c r="T349" s="3">
        <f>4152.5+(647.9-376.7)+(0+(0-0))+0-0-0</f>
        <v>4423.7</v>
      </c>
      <c r="U349" s="3">
        <f>4169.8+(596.8-413.5)+(0+(0-0))+0-0-0</f>
        <v>4353.1000000000004</v>
      </c>
      <c r="V349" s="3">
        <f>4161.5+(574.4-406.5)+(0+(0-0))+0-0-0</f>
        <v>4329.3999999999996</v>
      </c>
      <c r="W349" s="3">
        <f>4346.1+(544.5-386.1)+(0+(0-0))+0-0-0</f>
        <v>4504.5</v>
      </c>
      <c r="X349" s="3">
        <f>4471.3+(820.1-427.3)+(0+(0-0))+0-0-0</f>
        <v>4864.1000000000004</v>
      </c>
      <c r="Y349" s="3">
        <f>4489+(978-513.3)+(0+(0-0))+0-0-0</f>
        <v>4953.7</v>
      </c>
      <c r="Z349" s="3">
        <f>4413.8+(1141.7-589.9)+(0+(0-0))+0-0-0</f>
        <v>4965.6000000000004</v>
      </c>
      <c r="AA349" s="3">
        <f>4312.5+(1137.2-624)+(0+(0-0))+0-0-0</f>
        <v>4825.7</v>
      </c>
      <c r="AB349" s="3">
        <f>4337.1+(684.6-422)+(0+(0-0))+0-0-0</f>
        <v>4599.7000000000007</v>
      </c>
      <c r="AC349" s="3">
        <f>4153.5+(563.4-408.1)+(0+(0-0))+0-0-0</f>
        <v>4308.8</v>
      </c>
      <c r="AD349">
        <f t="shared" si="5"/>
        <v>99560.454278000005</v>
      </c>
      <c r="AE349" s="3">
        <f>4581+(876.1-516.7)+(0+(0-0))+0-0-0</f>
        <v>4940.3999999999996</v>
      </c>
    </row>
    <row r="350" spans="1:31" s="2" customFormat="1" x14ac:dyDescent="0.25">
      <c r="A350">
        <v>89</v>
      </c>
      <c r="B350">
        <v>12</v>
      </c>
      <c r="C350">
        <v>14</v>
      </c>
      <c r="D350">
        <v>1</v>
      </c>
      <c r="E350">
        <v>1</v>
      </c>
      <c r="F350" s="3">
        <f>4016.1+(417.1-561.5)+(-6.144633+(-0.638163--0.859095))+0-0-0</f>
        <v>3865.7762989999997</v>
      </c>
      <c r="G350" s="3">
        <f>4014.1+(211.5-682.1)+(6.141573+(0.323595-1.043613))+0-0-0</f>
        <v>3548.9215549999999</v>
      </c>
      <c r="H350" s="3">
        <f>3898.5+(200.3-708.9)+(0+(0-0))+0-0-0</f>
        <v>3389.9</v>
      </c>
      <c r="I350" s="3">
        <f>3876.6+(188.5-701.1)+(9.88533+(0.480675-1.787805))+0-0-0</f>
        <v>3372.5781999999999</v>
      </c>
      <c r="J350" s="3">
        <f>3840+(188.1-680.6)+(11.7504+(0.575586-2.082636))+0-0-0</f>
        <v>3357.7433500000002</v>
      </c>
      <c r="K350" s="3">
        <f>3897.2+(293.8-755.3)+(0+(0-0))+0-0-0</f>
        <v>3435.7</v>
      </c>
      <c r="L350" s="3">
        <f>4272.8+(396.1-967)+(0+(0-0))+0-0-0</f>
        <v>3701.9</v>
      </c>
      <c r="M350" s="3">
        <f>4460.2+(503.7-896.5)+(0+(0-0))+0-0-0</f>
        <v>4067.3999999999996</v>
      </c>
      <c r="N350" s="3">
        <f>4615.9+(710.4-613.8)+(0+(0-0))+0-0-0</f>
        <v>4712.5</v>
      </c>
      <c r="O350" s="3">
        <f>4678.8+(809.9-383.8)+(0+(0-0))+0-0-0</f>
        <v>5104.9000000000005</v>
      </c>
      <c r="P350" s="3">
        <f>4803.1+(1031.3-399.7)+(0+(0-0))+0-0-0</f>
        <v>5434.7000000000007</v>
      </c>
      <c r="Q350" s="3">
        <f>4749.6+(1182.3-403.2)+(0+(0-0))+0-0-0</f>
        <v>5528.7000000000007</v>
      </c>
      <c r="R350" s="3">
        <f>4728.1+(1138.7-410)+(0+(0-0))+0-0-0</f>
        <v>5456.8</v>
      </c>
      <c r="S350" s="3">
        <f>4686.8+(990.2-405.9)+(0+(0-0))+0-0-0</f>
        <v>5271.1</v>
      </c>
      <c r="T350" s="3">
        <f>4806+(1012.9-437.2)+(0+(0-0))+0-0-0</f>
        <v>5381.7</v>
      </c>
      <c r="U350" s="3">
        <f>4890.6+(1003.6-576.5)+(0+(0-0))+0-0-0</f>
        <v>5317.7000000000007</v>
      </c>
      <c r="V350" s="3">
        <f>4928.3+(917.7-599.5)+(0+(0-0))+0-0-0</f>
        <v>5246.5</v>
      </c>
      <c r="W350" s="3">
        <f>4981.3+(744.1-437.4)+(0+(0-0))+0-0-0</f>
        <v>5288</v>
      </c>
      <c r="X350" s="3">
        <f>5160+(841.7-371.1)+(0+(0-0))+0-0-0</f>
        <v>5630.6</v>
      </c>
      <c r="Y350" s="3">
        <f>5158.9+(908.4-460.1)+(0+(0-0))+0-0-0</f>
        <v>5607.2</v>
      </c>
      <c r="Z350" s="3">
        <f>5067.9+(860.2-542.6)+(0+(0-0))+0-0-0</f>
        <v>5385.5</v>
      </c>
      <c r="AA350" s="3">
        <f>5053.2+(743.1-639.6)+(0+(0-0))+0-0-0</f>
        <v>5156.7</v>
      </c>
      <c r="AB350" s="3">
        <f>4995.8+(676.2-735.2)+(0+(0-0))+0-0-0</f>
        <v>4936.8</v>
      </c>
      <c r="AC350" s="3">
        <f>4841.5+(595.3-829.6)+(0+(0-0))+0-0-0</f>
        <v>4607.2</v>
      </c>
      <c r="AD350">
        <f t="shared" si="5"/>
        <v>112806.51940400001</v>
      </c>
      <c r="AE350" s="3">
        <f>5185+(904.2-439.3)+(0+(0-0))+0-0-0</f>
        <v>5649.9</v>
      </c>
    </row>
    <row r="351" spans="1:31" s="2" customFormat="1" x14ac:dyDescent="0.25">
      <c r="A351">
        <v>89</v>
      </c>
      <c r="B351">
        <v>12</v>
      </c>
      <c r="C351">
        <v>15</v>
      </c>
      <c r="D351">
        <v>2</v>
      </c>
      <c r="E351">
        <v>1</v>
      </c>
      <c r="F351" s="3">
        <f>4132+(521.4-549.4)+(0+(0-0))+0-0-0</f>
        <v>4104</v>
      </c>
      <c r="G351" s="3">
        <f>3789.3+(541.7-568.1)+(0+(0-0))+0-0-0</f>
        <v>3762.9</v>
      </c>
      <c r="H351" s="3">
        <f>3770.1+(479.4-630.8)+(0+(0-0))+0-0-0</f>
        <v>3618.7</v>
      </c>
      <c r="I351" s="3">
        <f>3731.9+(466.9-639.3)+(0+(0-0))+0-0-0</f>
        <v>3559.5</v>
      </c>
      <c r="J351" s="3">
        <f>3749.5+(436.2-630)+(0+(0-0))+0-0-0</f>
        <v>3555.7</v>
      </c>
      <c r="K351" s="3">
        <f>3815+(440.4-692.6)+(0+(0-0))+0-0-0</f>
        <v>3562.8</v>
      </c>
      <c r="L351" s="3">
        <f>4156.8+(433.9-753.5)+(0+(0-0))+0-0-0</f>
        <v>3837.2000000000003</v>
      </c>
      <c r="M351" s="3">
        <f>4255.5+(549.4-503.5)+(0+(0-0))+0-0-0</f>
        <v>4301.3999999999996</v>
      </c>
      <c r="N351" s="3">
        <f>4307.3+(973.6-379.7)+(0+(0-0))+0-0-0</f>
        <v>4901.2000000000007</v>
      </c>
      <c r="O351" s="3">
        <f>4454.2+(1246-380.2)+(0+(0-0))+0-0-0</f>
        <v>5320</v>
      </c>
      <c r="P351" s="3">
        <f>4497.8+(1348.9-335.5)+(0+(0-0))+0-0-0</f>
        <v>5511.2000000000007</v>
      </c>
      <c r="Q351" s="3">
        <f>4423.9+(1421.4-331.5)+(0+(0-0))+0-0-0</f>
        <v>5513.7999999999993</v>
      </c>
      <c r="R351" s="3">
        <f>4327.1+(1386.5-321.6)+(-8.827284+(-2.82846--0.656064))+0-0-0</f>
        <v>5381.0003200000001</v>
      </c>
      <c r="S351" s="3">
        <f>4123.4+(1426.5-293)+(-2.102934+(-0.727515--0.14943))+0-0-0</f>
        <v>5254.218981</v>
      </c>
      <c r="T351" s="3">
        <f>4198.1+(1294.8-268.9)+(-6.423093+(-1.981044--0.411417))+0-0-0</f>
        <v>5216.0072799999998</v>
      </c>
      <c r="U351" s="3">
        <f>4307.9+(1205.4-288.9)+(-4.394058+(-1.229508--0.294678))+0-0-0</f>
        <v>5219.0711119999996</v>
      </c>
      <c r="V351" s="3">
        <f>4315.1+(1107.5-289.5)+(-4.401402+(-1.12965--0.29529))+0-0-0</f>
        <v>5127.8642380000001</v>
      </c>
      <c r="W351" s="3">
        <f>4376.8+(1079.4-252.9)+(-13.393008+(-3.302964--0.773874))+0-0-0</f>
        <v>5187.3779020000002</v>
      </c>
      <c r="X351" s="3">
        <f>4574.3+(1216.1-266.4)+(-4.665786+(-1.240422--0.271728))+0-0-0</f>
        <v>5518.3655200000003</v>
      </c>
      <c r="Y351" s="3">
        <f>4622.7+(1239.2-342.2)+(-11.787885+(-3.15996--0.87261))+0-0-0</f>
        <v>5505.6247649999996</v>
      </c>
      <c r="Z351" s="3">
        <f>4495.3+(1279.1-411.5)+(-11.463015+(-3.261705--1.049325))+0-0-0</f>
        <v>5349.2246049999994</v>
      </c>
      <c r="AA351" s="3">
        <f>4430.9+(1223.5-532.6)+(-6.779277+(-1.871955--0.814878))+0-0-0</f>
        <v>5113.9636459999992</v>
      </c>
      <c r="AB351" s="3">
        <f>4407.7+(1007.2-478.7)+(-2.247927+(-0.513672--0.244137))+0-0-0</f>
        <v>4933.682538</v>
      </c>
      <c r="AC351" s="3">
        <f>4189.7+(835.7-487.9)+(-10.683735+(-2.131035--1.244145))+0-0-0</f>
        <v>4525.9293749999997</v>
      </c>
      <c r="AD351">
        <f t="shared" si="5"/>
        <v>113880.73028199997</v>
      </c>
      <c r="AE351" s="3">
        <f>4628+(1229.5-319.7)+(0+(0-0))+0-0-0</f>
        <v>5537.8</v>
      </c>
    </row>
    <row r="352" spans="1:31" s="2" customFormat="1" x14ac:dyDescent="0.25">
      <c r="A352">
        <v>89</v>
      </c>
      <c r="B352">
        <v>12</v>
      </c>
      <c r="C352">
        <v>16</v>
      </c>
      <c r="D352">
        <v>3</v>
      </c>
      <c r="E352">
        <v>1</v>
      </c>
      <c r="F352" s="3">
        <f>4021.1+(518.9-455.8)+(-6.152283+(-0.793917--0.697374))+0-0-0</f>
        <v>4077.9511739999998</v>
      </c>
      <c r="G352" s="3">
        <f>3773.9+(476.6-417.1)+(-7.698756+(-0.972264--0.850884))+0-0-0</f>
        <v>3825.5798640000003</v>
      </c>
      <c r="H352" s="3">
        <f>3516.7+(503.6-403)+(1.793517+(0.256836-0.20553))+0-0-0</f>
        <v>3619.1448229999996</v>
      </c>
      <c r="I352" s="3">
        <f>3549.8+(441-424.3)+(1.810398+(0.22491-0.216393))+0-0-0</f>
        <v>3568.3189149999998</v>
      </c>
      <c r="J352" s="3">
        <f>3580.6+(411.9-434.8)+(-3.652212+(-0.420138--0.443496))+0-0-0</f>
        <v>3554.0711459999998</v>
      </c>
      <c r="K352" s="3">
        <f>3650.6+(431.9-463.5)+(9.30903+(1.101345-1.181925))+0-0-0</f>
        <v>3628.2284500000001</v>
      </c>
      <c r="L352" s="3">
        <f>3780.8+(559.9-541.6)+(0+(0-0))+0-0-0</f>
        <v>3799.1000000000004</v>
      </c>
      <c r="M352" s="3">
        <f>4177.8+(677.2-553.8)+(0+(0-0))+0-0-0</f>
        <v>4301.2000000000007</v>
      </c>
      <c r="N352" s="3">
        <f>4493.1+(754.5-369.5)+(0+(0-0))+0-0-0</f>
        <v>4878.1000000000004</v>
      </c>
      <c r="O352" s="3">
        <f>4552.6+(894.2-336.2)+(0+(0-0))+0-0-0</f>
        <v>5110.6000000000004</v>
      </c>
      <c r="P352" s="3">
        <f>4602.4+(876.3-349)+(0+(0-0))+0-0-0</f>
        <v>5129.7</v>
      </c>
      <c r="Q352" s="3">
        <f>4590.9+(948.8-327)+(0+(0-0))+0-0-0</f>
        <v>5212.7</v>
      </c>
      <c r="R352" s="3">
        <f>4562.9+(1024.5-360.6)+(0+(0-0))+0-0-0</f>
        <v>5226.7999999999993</v>
      </c>
      <c r="S352" s="3">
        <f>4584.7+(951.7-357.6)+(-2.338197+(-0.485367--0.182376))+0-0-0</f>
        <v>5176.1588120000006</v>
      </c>
      <c r="T352" s="3">
        <f>4648.2+(879.7-373.4)+(-4.741164+(-0.897294--0.380868))+0-0-0</f>
        <v>5149.2424099999998</v>
      </c>
      <c r="U352" s="3">
        <f>4630.8+(890.3-387.9)+(7.085124+(1.362159-0.593487))+0-0-0</f>
        <v>5141.0537960000001</v>
      </c>
      <c r="V352" s="3">
        <f>4517.8+(1052.6-387)+(-9.216312+(-2.147304--0.78948))+0-0-0</f>
        <v>5172.8258639999995</v>
      </c>
      <c r="W352" s="3">
        <f>4651.4+(849.5-385.1)+(-14.233284+(-2.59947--1.178406))+0-0-0</f>
        <v>5100.1456519999992</v>
      </c>
      <c r="X352" s="3">
        <f>5044.4+(1007.3-439.8)+(-5.145288+(-1.027446--0.448596))+0-0-0</f>
        <v>5606.1758620000001</v>
      </c>
      <c r="Y352" s="3">
        <f>4880.1+(1163.1-593.2)+(-7.466553+(-1.779543--0.907596))+0-0-0</f>
        <v>5441.6615000000002</v>
      </c>
      <c r="Z352" s="3">
        <f>4869.2+(1062.6-553.4)+(-17.383044+(-3.793482--1.975638))+0-0-0</f>
        <v>5359.1991119999993</v>
      </c>
      <c r="AA352" s="3">
        <f>4618.1+(1141.3-541.8)+(-9.420924+(-2.328252--1.105272))+0-0-0</f>
        <v>5206.9560960000008</v>
      </c>
      <c r="AB352" s="3">
        <f>4391.4+(1008.7-507.2)+(-6.718842+(-1.543311--0.776016))+0-0-0</f>
        <v>4885.4138629999998</v>
      </c>
      <c r="AC352" s="3">
        <f>4335.4+(792.7-565.2)+(-11.05527+(-2.021385--1.44126))+0-0-0</f>
        <v>4551.2646049999994</v>
      </c>
      <c r="AD352">
        <f t="shared" si="5"/>
        <v>112721.59194399999</v>
      </c>
      <c r="AE352" s="3">
        <f>5044+(1118.3-570.8)+(0+(0-0))+0-0-0</f>
        <v>5591.5</v>
      </c>
    </row>
    <row r="353" spans="1:31" s="2" customFormat="1" x14ac:dyDescent="0.25">
      <c r="A353">
        <v>89</v>
      </c>
      <c r="B353">
        <v>12</v>
      </c>
      <c r="C353">
        <v>17</v>
      </c>
      <c r="D353">
        <v>4</v>
      </c>
      <c r="E353">
        <v>1</v>
      </c>
      <c r="F353" s="3">
        <f>4017.4+(541.8-515.7)+(-10.24437+(-1.38159--1.315035))+0-0-0</f>
        <v>4033.1890749999998</v>
      </c>
      <c r="G353" s="3">
        <f>3659.6+(567-408.3)+(-11.198376+(-1.73502--1.249398))+0-0-0</f>
        <v>3806.6160019999998</v>
      </c>
      <c r="H353" s="3">
        <f>3668.8+(351.7-470.3)+(-3.742176+(-0.358734--0.479706))+0-0-0</f>
        <v>3546.5787960000002</v>
      </c>
      <c r="I353" s="3">
        <f>3721.9+(291.5-480.3)+(1.898169+(0.148665-0.244953))+0-0-0</f>
        <v>3534.9018809999998</v>
      </c>
      <c r="J353" s="3">
        <f>3696.4+(334.7-459)+(-1.885164+(-0.170697--0.23409))+0-0-0</f>
        <v>3570.278229</v>
      </c>
      <c r="K353" s="3">
        <f>3746.5+(292.1-492.7)+(3.82143+(0.297942-0.502554))+0-0-0</f>
        <v>3549.5168180000001</v>
      </c>
      <c r="L353" s="3">
        <f>3909+(478.2-673.8)+(-3.98718+(-0.487764--0.687276))+0-0-0</f>
        <v>3709.6123320000002</v>
      </c>
      <c r="M353" s="3">
        <f>4313.2+(535.7-732.2)+(-2.199732+(-0.273207--0.373422))+0-0-0</f>
        <v>4114.6004830000002</v>
      </c>
      <c r="N353" s="3">
        <f>4704.9+(501.2-485.2)+(-2.399499+(-0.255612--0.247452))+0-0-0</f>
        <v>4718.4923409999992</v>
      </c>
      <c r="O353" s="3">
        <f>4964.1+(549.8-409.1)+(-5.063382+(-0.560796--0.417282))+0-0-0</f>
        <v>5099.5931040000005</v>
      </c>
      <c r="P353" s="3">
        <f>4996.5+(714.9-383.8)+(-7.644645+(-1.093797--0.587214))+0-0-0</f>
        <v>5319.4487720000006</v>
      </c>
      <c r="Q353" s="3">
        <f>4991.4+(728.6-355.8)+(-2.545614+(-0.371586--0.181458))+0-0-0</f>
        <v>5361.464258</v>
      </c>
      <c r="R353" s="3">
        <f>4978.5+(664.2-347.6)+(-5.07807+(-0.677484--0.354552))+0-0-0</f>
        <v>5289.6989980000008</v>
      </c>
      <c r="S353" s="3">
        <f>4989.4+(542.4-393.1)+(-5.089188+(-0.553248--0.400962))+0-0-0</f>
        <v>5133.4585259999994</v>
      </c>
      <c r="T353" s="3">
        <f>5030.2+(649.2-422.8)+(-5.130804+(-0.662184--0.431256))+0-0-0</f>
        <v>5251.2382679999992</v>
      </c>
      <c r="U353" s="3">
        <f>4969.9+(645.7-418.3)+(-2.534649+(-0.329307--0.213333))+0-0-0</f>
        <v>5194.6493769999988</v>
      </c>
      <c r="V353" s="3">
        <f>4933.6+(624.5-420.8)+(0+(0-0))+0-0-0</f>
        <v>5137.3</v>
      </c>
      <c r="W353" s="3">
        <f>4994.7+(582-410.4)+(-12.736485+(-1.4841--1.04652))+0-0-0</f>
        <v>5153.125935</v>
      </c>
      <c r="X353" s="3">
        <f>5202.7+(850.3-550.2)+(-2.653377+(-0.433653--0.280602))+0-0-0</f>
        <v>5499.9935719999994</v>
      </c>
      <c r="Y353" s="3">
        <f>5268.2+(850.7-630.3)+(-10.747128+(-1.735428--1.285812))+0-0-0</f>
        <v>5477.4032560000005</v>
      </c>
      <c r="Z353" s="3">
        <f>5244.1+(733.5-618.7)+(8.023473+(1.122255-0.946611))+0-0-0</f>
        <v>5367.0991170000007</v>
      </c>
      <c r="AA353" s="3">
        <f>5094.2+(638.1-600.2)+(2.598042+(0.325431-0.306102))+0-0-0</f>
        <v>5134.7173709999997</v>
      </c>
      <c r="AB353" s="3">
        <f>5037.8+(402-539)+(-10.277112+(-0.82008--1.09956))+0-0-0</f>
        <v>4890.8023680000006</v>
      </c>
      <c r="AC353" s="3">
        <f>4763.4+(312-524.8)+(-9.717336+(-0.63648--1.070592))+0-0-0</f>
        <v>4541.3167759999997</v>
      </c>
      <c r="AD353">
        <f t="shared" si="5"/>
        <v>112435.09565500004</v>
      </c>
      <c r="AE353" s="3">
        <f>5217+(978.2-576.8)+(0+(0-0))+0-0-0</f>
        <v>5618.4</v>
      </c>
    </row>
    <row r="354" spans="1:31" s="2" customFormat="1" x14ac:dyDescent="0.25">
      <c r="A354">
        <v>89</v>
      </c>
      <c r="B354">
        <v>12</v>
      </c>
      <c r="C354">
        <v>18</v>
      </c>
      <c r="D354">
        <v>5</v>
      </c>
      <c r="E354">
        <v>1</v>
      </c>
      <c r="F354" s="3">
        <f>4326.9+(308.4-563.4)+(-6.620157+(-0.471852--0.862002))+0-0-0</f>
        <v>4065.6699929999995</v>
      </c>
      <c r="G354" s="3">
        <f>4088.1+(222.1-551.3)+(-10.424655+(-0.566355--1.405815))+0-0-0</f>
        <v>3749.314805</v>
      </c>
      <c r="H354" s="3">
        <f>3947.4+(157.9-525)+(-2.013174+(-0.080529--0.26775))+0-0-0</f>
        <v>3578.4740470000002</v>
      </c>
      <c r="I354" s="3">
        <f>3797.8+(211.8-497.6)+(-7.747512+(-0.432072--1.015104))+0-0-0</f>
        <v>3504.8355200000001</v>
      </c>
      <c r="J354" s="3">
        <f>3812.9+(179.4-513.3)+(-3.889158+(-0.182988--0.523566))+17-0-0</f>
        <v>3492.4514199999999</v>
      </c>
      <c r="K354" s="3">
        <f>3817.4+(192.9-493.9)+(-3.893748+(-0.196758--0.503778))+0-0-0</f>
        <v>3512.8132719999999</v>
      </c>
      <c r="L354" s="3">
        <f>3970.1+(203.7-491.7)+(0+(0-0))+0-0-0</f>
        <v>3682.1</v>
      </c>
      <c r="M354" s="3">
        <f>4290.4+(283.7-532.8)+(-2.188104+(-0.144687--0.271728))+0-0-0</f>
        <v>4039.2389369999996</v>
      </c>
      <c r="N354" s="3">
        <f>4489.5+(574.1-459.6)+(4.57929+(0.585582-0.468792))+0-0-0</f>
        <v>4608.6960799999997</v>
      </c>
      <c r="O354" s="3">
        <f>4560.6+(827.9-470.7)+(-2.325906+(-0.422229--0.240057))+0-0-0</f>
        <v>4915.2919220000003</v>
      </c>
      <c r="P354" s="3">
        <f>4544.4+(1122.1-482.6)+(-6.952932+(-1.716813--0.738378))+0-0-0</f>
        <v>5175.9686329999995</v>
      </c>
      <c r="Q354" s="3">
        <f>4583.5+(1192.8-404.5)+(-7.012755+(-1.824984--0.618885))+0-0-0</f>
        <v>5363.5811460000004</v>
      </c>
      <c r="R354" s="3">
        <f>4829.1+(1157.1-526.7)+(-12.314205+(-2.950605--1.343085))+0-0-0</f>
        <v>5445.5782749999998</v>
      </c>
      <c r="S354" s="3">
        <f>4838.3+(1011.2-539.1)+(-9.870132+(-2.062848--1.099764))+0-0-0</f>
        <v>5299.5667840000006</v>
      </c>
      <c r="T354" s="3">
        <f>4906.9+(954.8-486.6)+(-5.005038+(-0.973896--0.496332))+0-0-0</f>
        <v>5369.6173979999994</v>
      </c>
      <c r="U354" s="3">
        <f>5242.8+(675.3-552.2)+(-10.695312+(-1.377612--1.126488))+0-0-0</f>
        <v>5354.9535639999995</v>
      </c>
      <c r="V354" s="3">
        <f>5375.1+(506.9-541.8)+(2.741301+(0.258519-0.276318))+0-0-0</f>
        <v>5342.9235020000006</v>
      </c>
      <c r="W354" s="3">
        <f>5404.6+(491.8-595.6)+(-11.025384+(-1.003272--1.215024))+0-0-0</f>
        <v>5289.9863679999999</v>
      </c>
      <c r="X354" s="3">
        <f>5799.8+(441.8-753.9)+(-5.915796+(-0.450636--0.768978))+0-0-0</f>
        <v>5482.1025460000001</v>
      </c>
      <c r="Y354" s="3">
        <f>5597.6+(685-751.3)+(-14.27388+(-1.74675--1.915815))+0-0-0</f>
        <v>5517.1951850000005</v>
      </c>
      <c r="Z354" s="3">
        <f>5346.3+(831.8-761.9)+(0+(0-0))+0-0-0</f>
        <v>5416.2</v>
      </c>
      <c r="AA354" s="3">
        <f>5267.7+(655.2-726.6)+(-5.373054+(-0.668304--0.741132))+0-0-0</f>
        <v>5190.9997739999999</v>
      </c>
      <c r="AB354" s="3">
        <f>5163.2+(459.4-725.6)+(-13.16616+(-1.17147--1.85028))+0-0-0</f>
        <v>4884.5126499999997</v>
      </c>
      <c r="AC354" s="3">
        <f>4891.7+(403.7-802.8)+(-4.989534+(-0.411774--0.818856))+0-0-0</f>
        <v>4488.0175479999998</v>
      </c>
      <c r="AD354">
        <f t="shared" si="5"/>
        <v>112770.08936899999</v>
      </c>
      <c r="AE354" s="3">
        <f>5808+(536.6-752.9)+(0+(0-0))+0-0-0</f>
        <v>5591.7</v>
      </c>
    </row>
    <row r="355" spans="1:31" s="2" customFormat="1" x14ac:dyDescent="0.25">
      <c r="A355">
        <v>89</v>
      </c>
      <c r="B355">
        <v>12</v>
      </c>
      <c r="C355">
        <v>19</v>
      </c>
      <c r="D355">
        <v>6</v>
      </c>
      <c r="E355">
        <v>1</v>
      </c>
      <c r="F355" s="3">
        <f>4431.7+(267.7-623.9)+(0+(0-0))+0-0-0</f>
        <v>4075.5</v>
      </c>
      <c r="G355" s="3">
        <f>3874.3+(400.2-517.8)+(0+(0-0))+0-0-0</f>
        <v>3756.7000000000003</v>
      </c>
      <c r="H355" s="3">
        <f>3905.8+(260.9-573.6)+(0+(0-0))+0-0-0</f>
        <v>3593.1000000000004</v>
      </c>
      <c r="I355" s="3">
        <f>3908.4+(223.1-607.7)+(0+(0-0))+0-0-0</f>
        <v>3523.8</v>
      </c>
      <c r="J355" s="3">
        <f>3944.3+(185.3-627.4)+(0+(0-0))+0-0-0</f>
        <v>3502.2000000000003</v>
      </c>
      <c r="K355" s="3">
        <f>4041+(165.5-659.5)+(0+(0-0))+0-0-0</f>
        <v>3547</v>
      </c>
      <c r="L355" s="3">
        <f>4179.5+(179.6-697.5)+(0+(0-0))+0-0-0</f>
        <v>3661.6</v>
      </c>
      <c r="M355" s="3">
        <f>4488.9+(194.1-700.8)+(0+(0-0))+0-0-0</f>
        <v>3982.2</v>
      </c>
      <c r="N355" s="3">
        <f>4638.1+(430.3-550)+(0+(0-0))+0-0-0</f>
        <v>4518.4000000000005</v>
      </c>
      <c r="O355" s="3">
        <f>4840.8+(488-452.8)+(0+(0-0))+0-0-0</f>
        <v>4876</v>
      </c>
      <c r="P355" s="3">
        <f>5051.4+(468.2-456.5)+(0+(0-0))+0-0-0</f>
        <v>5063.0999999999995</v>
      </c>
      <c r="Q355" s="3">
        <f>5066.9+(507.9-467.6)+(0+(0-0))+0-0-0</f>
        <v>5107.2</v>
      </c>
      <c r="R355" s="3">
        <f>5009.7+(424.6-459.8)+(-12.774735+(-1.08273--1.17249))+0-0-0</f>
        <v>4961.8150249999999</v>
      </c>
      <c r="S355" s="3">
        <f>5000.7+(297-468.9)+(7.651071+(0.45441-0.717417))+0-0-0</f>
        <v>4836.1880639999999</v>
      </c>
      <c r="T355" s="3">
        <f>4954.5+(398.4-407.9)+(-7.580385+(-0.609552--0.624087))+0-0-0</f>
        <v>4937.43415</v>
      </c>
      <c r="U355" s="3">
        <f>4962.8+(405.2-482.8)+(-7.593084+(-0.619956--0.738684))+0-0-0</f>
        <v>4877.7256440000001</v>
      </c>
      <c r="V355" s="3">
        <f>4984.5+(353.2-491.7)+(-7.626285+(-0.540396--0.752301))+0-0-0</f>
        <v>4838.5856199999998</v>
      </c>
      <c r="W355" s="3">
        <f>5041.3+(325.1-456.5)+(0+(0-0))+0-0-0</f>
        <v>4909.9000000000005</v>
      </c>
      <c r="X355" s="3">
        <f>5179.3+(596-631.6)+(-5.282886+(-0.60792--0.644232))+0-0-0</f>
        <v>5138.453426</v>
      </c>
      <c r="Y355" s="3">
        <f>5242.9+(662-730.3)+(-18.717153+(-2.36334--2.607171))+0-0-0</f>
        <v>5156.1266779999996</v>
      </c>
      <c r="Z355" s="3">
        <f>5260.6+(434.3-635)+(-10.731624+(-0.885972--1.2954))+0-0-0</f>
        <v>5049.5778040000005</v>
      </c>
      <c r="AA355" s="3">
        <f>5252.7+(272.6-631.3)+(-10.715508+(-0.556104--1.287852))+0-0-0</f>
        <v>4884.0162399999999</v>
      </c>
      <c r="AB355" s="3">
        <f>5121.9+(309.8-728.7)+(-13.060845+(-0.78999--1.858185))+0-0-0</f>
        <v>4691.0073499999999</v>
      </c>
      <c r="AC355" s="3">
        <f>5108.2+(270.6-934.9)+(-10.420728+(-0.552024--1.907196))+0-0-0</f>
        <v>4434.8344440000001</v>
      </c>
      <c r="AD355">
        <f t="shared" si="5"/>
        <v>107922.46444499999</v>
      </c>
      <c r="AE355" s="3">
        <f>5238+(715.8-741.7)+(0+(0-0))+0-0-0</f>
        <v>5212.1000000000004</v>
      </c>
    </row>
    <row r="356" spans="1:31" s="2" customFormat="1" x14ac:dyDescent="0.25">
      <c r="A356">
        <v>89</v>
      </c>
      <c r="B356">
        <v>12</v>
      </c>
      <c r="C356">
        <v>20</v>
      </c>
      <c r="D356">
        <v>7</v>
      </c>
      <c r="E356">
        <v>1</v>
      </c>
      <c r="F356" s="3">
        <f>4692.1+(186.5-819)+(0+(0-0))+0-0-0</f>
        <v>4059.6000000000004</v>
      </c>
      <c r="G356" s="3">
        <f>4475.2+(158.9-900)+(0+(0-0))+0-0-0</f>
        <v>3734.1</v>
      </c>
      <c r="H356" s="3">
        <f>4372.4+(141.2-996.3)+(0+(0-0))+0-0-0</f>
        <v>3517.2999999999997</v>
      </c>
      <c r="I356" s="3">
        <f>4269.2+(156.8-980.1)+(0+(0-0))+0-0-0</f>
        <v>3445.8999999999996</v>
      </c>
      <c r="J356" s="3">
        <f>4271.2+(121.1-999.8)+(0+(0-0))+0-0-0</f>
        <v>3392.5</v>
      </c>
      <c r="K356" s="3">
        <f>4237.9+(136.1-971.6)+(0+(0-0))+0-0-0</f>
        <v>3402.3999999999996</v>
      </c>
      <c r="L356" s="3">
        <f>4209.1+(100.5-1009.2)+(0+(0-0))+0-0-0</f>
        <v>3300.4000000000005</v>
      </c>
      <c r="M356" s="3">
        <f>4219.6+(96.4-1014.3)+(0+(0-0))+0-0-0</f>
        <v>3301.7000000000003</v>
      </c>
      <c r="N356" s="3">
        <f>4385.5+(143.9-982.9)+(0+(0-0))+0-0-0</f>
        <v>3546.5</v>
      </c>
      <c r="O356" s="3">
        <f>4459.4+(333.8-871.5)+(0+(0-0))+0-0-0</f>
        <v>3921.7</v>
      </c>
      <c r="P356" s="3">
        <f>4709.2+(381.5-874.4)+(0+(0-0))+0-0-0</f>
        <v>4216.3</v>
      </c>
      <c r="Q356" s="3">
        <f>4774.1+(393.3-798.9)+(0+(0-0))+0-0-0</f>
        <v>4368.5</v>
      </c>
      <c r="R356" s="3">
        <f>4767.4+(379.3-804.5)+(-12.15687+(-0.967215--2.051475))+0-0-0</f>
        <v>4331.1273899999997</v>
      </c>
      <c r="S356" s="3">
        <f>4799.3+(308-881.3)+(-9.790572+(-0.62832--1.797852))+0-0-0</f>
        <v>4217.37896</v>
      </c>
      <c r="T356" s="3">
        <f>4807+(384.1-1050.3)+(-4.90314+(-0.391782--1.071306))+0-0-0</f>
        <v>4136.576384</v>
      </c>
      <c r="U356" s="3">
        <f>4740.7+(405.4-1055.5)+(-9.671028+(-0.827016--2.15322))+0-0-0</f>
        <v>4082.2551760000001</v>
      </c>
      <c r="V356" s="3">
        <f>4797.1+(314.3-1025)+(4.893042+(0.320586-1.0455))+0-0-0</f>
        <v>4090.5681280000003</v>
      </c>
      <c r="W356" s="3">
        <f>4872.8+(242.4-898.3)+(-4.970256+(-0.247248--0.916266))+0-0-0</f>
        <v>4212.5987620000005</v>
      </c>
      <c r="X356" s="3">
        <f>5185.5+(408.6-906.2)+(0+(0-0))+0-0-0</f>
        <v>4687.8999999999996</v>
      </c>
      <c r="Y356" s="3">
        <f>5222.7+(662.4-1042.3)+(-15.981462+(-2.026944--3.189438))+0-0-0</f>
        <v>4827.9810320000006</v>
      </c>
      <c r="Z356" s="3">
        <f>5184.6+(629-1023.9)+(-5.288292+(-0.64158--1.044378))+0-0-0</f>
        <v>4784.8145060000006</v>
      </c>
      <c r="AA356" s="3">
        <f>5140.5+(490.8-977.8)+(-2.621655+(-0.250308--0.498678))+0-0-0</f>
        <v>4651.1267150000003</v>
      </c>
      <c r="AB356" s="3">
        <f>5007.9+(505.1-1003.9)+(-5.108058+(-0.515202--1.023978))+0-0-0</f>
        <v>4504.5007179999993</v>
      </c>
      <c r="AC356" s="3">
        <f>4642.6+(526.7-963.8)+(-9.470904+(-1.074468--1.966152))+0-0-0</f>
        <v>4196.9207800000004</v>
      </c>
      <c r="AD356">
        <f t="shared" si="5"/>
        <v>96930.648550999991</v>
      </c>
      <c r="AE356" s="3">
        <f>5198+(633.5-1055.2)+(0+(0-0))+0-0-0</f>
        <v>4776.3</v>
      </c>
    </row>
    <row r="357" spans="1:31" s="2" customFormat="1" x14ac:dyDescent="0.25">
      <c r="A357">
        <v>89</v>
      </c>
      <c r="B357">
        <v>12</v>
      </c>
      <c r="C357">
        <v>21</v>
      </c>
      <c r="D357">
        <v>1</v>
      </c>
      <c r="E357">
        <v>1</v>
      </c>
      <c r="F357" s="3">
        <f>4506.8+(261.6-984.3)+(-11.49234+(-0.66708--2.509965))+0-0-0</f>
        <v>3774.4505450000001</v>
      </c>
      <c r="G357" s="3">
        <f>4345.5+(176.1-1067)+(-4.43241+(-0.179622--1.08834))+0-0-0</f>
        <v>3451.0763079999997</v>
      </c>
      <c r="H357" s="3">
        <f>4152.5+(192.6-1030.1)+(-6.353325+(-0.294678--1.576053))+0-0-0</f>
        <v>3309.92805</v>
      </c>
      <c r="I357" s="3">
        <f>4144.4+(145.9-1037.2)+(6.340932+(0.223227-1.586916))+0-0-0</f>
        <v>3258.0772429999993</v>
      </c>
      <c r="J357" s="3">
        <f>4115.9+(181.2-1040.3)+(-2.099109+(-0.092412--0.530553))+0-0-0</f>
        <v>3255.1390319999996</v>
      </c>
      <c r="K357" s="3">
        <f>4195.3+(166.9-1028.5)+(0+(0-0))+0-0-0</f>
        <v>3333.7000000000003</v>
      </c>
      <c r="L357" s="3">
        <f>4441.5+(236.3-1184.5)+(-2.265165+(-0.120513--0.604095))+0-0-0</f>
        <v>3491.5184170000002</v>
      </c>
      <c r="M357" s="3">
        <f>4800+(373.6-1207.6)+(0+(0-0))+0-0-0</f>
        <v>3966</v>
      </c>
      <c r="N357" s="3">
        <f>5254.8+(492-1165.7)+(0+(0-0))+0-0-0</f>
        <v>4581.1000000000004</v>
      </c>
      <c r="O357" s="3">
        <f>5398.6+(620.2-1055.3)+(0+(0-0))+0-0-0</f>
        <v>4963.5</v>
      </c>
      <c r="P357" s="3">
        <f>5524.3+(744.5-1080.6)+(5.634786+(0.75939-1.102212))+0-0-0</f>
        <v>5193.4919640000007</v>
      </c>
      <c r="Q357" s="3">
        <f>5489.1+(832.7-1084.8)+(-5.598882+(-0.849354--1.106496))+0-0-0</f>
        <v>5231.6582600000002</v>
      </c>
      <c r="R357" s="3">
        <f>5471.3+(770.9-1073.5)+(-13.951815+(-1.965795--2.737425))+0-0-0</f>
        <v>5155.5198149999997</v>
      </c>
      <c r="S357" s="3">
        <f>5502.9+(666.3-1132.8)+(-11.225916+(-1.359252--2.310912))+0-0-0</f>
        <v>5026.1257439999999</v>
      </c>
      <c r="T357" s="3">
        <f>5422.5+(795.9-1055.8)+(0+(0-0))+0-0-0</f>
        <v>5162.6000000000004</v>
      </c>
      <c r="U357" s="3">
        <f>5417.3+(784.7-1012)+(-2.762823+(-0.400197--0.51612))+0-0-0</f>
        <v>5187.3531000000003</v>
      </c>
      <c r="V357" s="3">
        <f>5452.9+(767.1-1047)+(2.780979+(0.391221-0.53397))+0-0-0</f>
        <v>5175.6382299999996</v>
      </c>
      <c r="W357" s="3">
        <f>5494.9+(692.7-958.8)+(-2.802399+(-0.353277--0.488988))+0-0-0</f>
        <v>5226.133311999999</v>
      </c>
      <c r="X357" s="3">
        <f>5788.6+(718.7-1049.5)+(-5.904372+(-0.733074--1.07049))+10-0-0</f>
        <v>5462.2330440000005</v>
      </c>
      <c r="Y357" s="3">
        <f>5896.6+(770.3-1229)+(-3.007266+(-0.392853--0.62679))+0-0-0</f>
        <v>5435.1266710000009</v>
      </c>
      <c r="Z357" s="3">
        <f>5830.9+(768.7-1273.6)+(-5.947518+(-0.784074--1.299072))+0-0-0</f>
        <v>5320.5674799999997</v>
      </c>
      <c r="AA357" s="3">
        <f>5758.2+(682.7-1332.3)+(-8.810046+(-1.044531--2.038419))+0-0-0</f>
        <v>5100.7838420000007</v>
      </c>
      <c r="AB357" s="3">
        <f>5621.4+(475.2-1257.7)+(-20.068398+(-1.696464--4.489989))+0-0-0</f>
        <v>4821.6251269999993</v>
      </c>
      <c r="AC357" s="3">
        <f>4937+(512.9-999.2)+(-10.07148+(-1.046316--2.038368))+0-0-0</f>
        <v>4441.6205719999998</v>
      </c>
      <c r="AD357">
        <f t="shared" si="5"/>
        <v>109324.96675600002</v>
      </c>
      <c r="AE357" s="3">
        <f>5890+(755.9-1202.4)+(0+(0-0))+0-0-0</f>
        <v>5443.5</v>
      </c>
    </row>
    <row r="358" spans="1:31" s="2" customFormat="1" x14ac:dyDescent="0.25">
      <c r="A358">
        <v>89</v>
      </c>
      <c r="B358">
        <v>12</v>
      </c>
      <c r="C358">
        <v>22</v>
      </c>
      <c r="D358">
        <v>2</v>
      </c>
      <c r="E358">
        <v>1</v>
      </c>
      <c r="F358" s="3">
        <f>4627.5+(293.5-918.6)+(-11.800125+(-0.748425--2.34243))+0-0-0</f>
        <v>3992.1938800000003</v>
      </c>
      <c r="G358" s="3">
        <f>4589.6+(133.6-1038.1)+(-14.044176+(-0.408816--3.176586))+0-0-0</f>
        <v>3673.8235940000004</v>
      </c>
      <c r="H358" s="3">
        <f>4596.6+(125.5-1194.6)+(-9.377064+(-0.25602--2.436984))+0-0-0</f>
        <v>3520.3039000000003</v>
      </c>
      <c r="I358" s="3">
        <f>4694.6+(105.7-1290.2)+(7.182738+(0.161721-1.974006))+0-0-0</f>
        <v>3515.4704530000004</v>
      </c>
      <c r="J358" s="3">
        <f>4549.1+(102.9-1171.8)+(-6.960123+(-0.157437--1.792854))+0-0-0</f>
        <v>3474.8752940000008</v>
      </c>
      <c r="K358" s="3">
        <f>4660.4+(114.6-1249.8)+(9.507216+(0.233784-2.549592))+0-0-0</f>
        <v>3532.391408</v>
      </c>
      <c r="L358" s="3">
        <f>4775.2+(198.8-1289.8)+(-14.612112+(-0.608328--3.946788))+0-0-0</f>
        <v>3672.926348</v>
      </c>
      <c r="M358" s="3">
        <f>5037.7+(281.3-1249)+(5.138454+(0.286926-1.27398))+0-0-0</f>
        <v>4074.1514000000002</v>
      </c>
      <c r="N358" s="3">
        <f>5315.3+(379.3-1046.5)+(5.421606+(0.386886-1.06743))+0-0-0</f>
        <v>4652.8410620000004</v>
      </c>
      <c r="O358" s="3">
        <f>5394.7+(582-874.2)+(2.751297+(0.29682-0.445842))+0-0-0</f>
        <v>5105.1022750000002</v>
      </c>
      <c r="P358" s="3">
        <f>5531.7+(828.8-947.8)+(2.821167+(0.422688-0.483378))+0-0-0</f>
        <v>5415.4604769999996</v>
      </c>
      <c r="Q358" s="3">
        <f>5653.1+(741.1-932.4)+(-8.649243+(-1.133883--1.426572))+0-0-0</f>
        <v>5453.4434460000002</v>
      </c>
      <c r="R358" s="3">
        <f>5678.3+(624.6-872.2)+(0+(0-0))+0-0-0</f>
        <v>5430.7</v>
      </c>
      <c r="S358" s="3">
        <f>5650.1+(424.9-824.9)+(2.881551+(0.216699-0.420699))+0-0-0</f>
        <v>5252.7775510000001</v>
      </c>
      <c r="T358" s="3">
        <f>5592.8+(564.2-803.2)+(-5.704656+(-0.575484--0.819264))+0-0-0</f>
        <v>5348.3391240000001</v>
      </c>
      <c r="U358" s="3">
        <f>5606.2+(492.8-772.1)+(0+(0-0))+0-0-0</f>
        <v>5326.9</v>
      </c>
      <c r="V358" s="3">
        <f>5654.6+(470.6-789.1)+(-14.41923+(-1.20003--2.012205))+0-0-0</f>
        <v>5322.492945</v>
      </c>
      <c r="W358" s="3">
        <f>5719.4+(384.5-744.2)+(0+(0-0))+0-0-0</f>
        <v>5359.7</v>
      </c>
      <c r="X358" s="3">
        <f>5892.4+(388.2-826.5)+(-3.005124+(-0.197982--0.421515))+0-0-0</f>
        <v>5451.3184089999995</v>
      </c>
      <c r="Y358" s="3">
        <f>6022.6+(357.4-958)+(-9.214578+(-0.546822--1.46574))+0-0-0</f>
        <v>5413.7043400000002</v>
      </c>
      <c r="Z358" s="3">
        <f>6024.5+(312.4-1054.5)+(-6.14499+(-0.318648--1.07559))+0-0-0</f>
        <v>5277.0119519999998</v>
      </c>
      <c r="AA358" s="3">
        <f>5972.8+(368.7-1258.9)+(-9.138384+(-0.564111--1.926117))+0-0-0</f>
        <v>5074.8236220000008</v>
      </c>
      <c r="AB358" s="3">
        <f>5696.1+(458-1249.4)+(-5.810022+(-0.46716--1.274388))+0-0-0</f>
        <v>4899.6972060000007</v>
      </c>
      <c r="AC358" s="3">
        <f>5213.9+(339.9-1023.9)+(-7.977267+(-0.520047--1.566567))+0-0-0</f>
        <v>4522.9692529999993</v>
      </c>
      <c r="AD358">
        <f t="shared" si="5"/>
        <v>112763.41793899999</v>
      </c>
      <c r="AE358" s="3">
        <f>5869+(513.9-809.6)+(0+(0-0))+0-0-0</f>
        <v>5573.3</v>
      </c>
    </row>
    <row r="359" spans="1:31" s="2" customFormat="1" x14ac:dyDescent="0.25">
      <c r="A359">
        <v>89</v>
      </c>
      <c r="B359">
        <v>12</v>
      </c>
      <c r="C359">
        <v>23</v>
      </c>
      <c r="D359">
        <v>3</v>
      </c>
      <c r="E359">
        <v>1</v>
      </c>
      <c r="F359" s="3">
        <f>4590.5+(233.8-818.3)+(-23.41155+(-1.19238--4.17333))+0-0-0</f>
        <v>3985.5693999999999</v>
      </c>
      <c r="G359" s="3">
        <f>4446.5+(138.8-855.2)+(-13.60629+(-0.424728--2.616912))+0-0-0</f>
        <v>3718.6858939999997</v>
      </c>
      <c r="H359" s="3">
        <f>4503.7+(88-1021.2)+(-6.890661+(-0.13464--1.562436))+0-0-0</f>
        <v>3565.037135</v>
      </c>
      <c r="I359" s="3">
        <f>4254.1+(124.4-954.5)+(-6.508773+(-0.190332--1.460385))+0-0-0</f>
        <v>3418.7612800000006</v>
      </c>
      <c r="J359" s="3">
        <f>4178.6+(119.8-832.7)+(4.262172+(0.122196-0.849354))+0-0-0</f>
        <v>3469.2350140000003</v>
      </c>
      <c r="K359" s="3">
        <f>4200.8+(103.7-843.9)+(-2.142408+(-0.052887--0.430389))+0-0-0</f>
        <v>3458.8350940000005</v>
      </c>
      <c r="L359" s="3">
        <f>4382.8+(116.6-838.2)+(-2.235228+(-0.059466--0.427482))+0-0-0</f>
        <v>3659.3327880000002</v>
      </c>
      <c r="M359" s="3">
        <f>4625.3+(173.4-765.4)+(9.435612+(0.353736-1.561416))+0-0-0</f>
        <v>4041.527932</v>
      </c>
      <c r="N359" s="3">
        <f>5089.4+(294.8-779.1)+(0+(0-0))+0-0-0</f>
        <v>4605.0999999999995</v>
      </c>
      <c r="O359" s="3">
        <f>5493+(379.5-886.5)+(-11.20572+(-0.77418--1.80846))+0-0-0</f>
        <v>4975.8285599999999</v>
      </c>
      <c r="P359" s="3">
        <f>5551.2+(511.2-886.5)+(-11.324448+(-1.042848--1.80846))+0-0-0</f>
        <v>5165.3411639999995</v>
      </c>
      <c r="Q359" s="3">
        <f>5606.7+(681.7-830.7)+(-8.578251+(-1.043001--1.270971))+0-0-0</f>
        <v>5449.3497189999998</v>
      </c>
      <c r="R359" s="3">
        <f>5524.9+(637.6-778.5)+(-11.270796+(-1.300704--1.58814))+0-0-0</f>
        <v>5373.0166399999998</v>
      </c>
      <c r="S359" s="3">
        <f>5562.4+(528.3-910.9)+(5.673648+(0.538866-0.929118))+0-0-0</f>
        <v>5185.0833959999991</v>
      </c>
      <c r="T359" s="3">
        <f>5562.3+(523.6-863.5)+(-5.673546+(-0.534072--0.88077))+8.1-0-0</f>
        <v>5225.1731520000012</v>
      </c>
      <c r="U359" s="3">
        <f>5375.9+(560-823.7)+(0+(0-0))+0-0-0</f>
        <v>5112.2</v>
      </c>
      <c r="V359" s="3">
        <f>5347.6+(492-756.7)+(-10.909104+(-1.00368--1.543668))+0-0-0</f>
        <v>5072.5308840000007</v>
      </c>
      <c r="W359" s="3">
        <f>5342.2+(545.8-716.1)+(-2.724522+(-0.278358--0.365211))+0-0-0</f>
        <v>5169.2623309999999</v>
      </c>
      <c r="X359" s="3">
        <f>5561.7+(541-831.6)+(-2.836467+(-0.27591--0.424116))+0-0-0</f>
        <v>5268.4117389999992</v>
      </c>
      <c r="Y359" s="3">
        <f>5898+(558.9-1064.8)+(-18.04788+(-1.710234--3.258288))+0-0-0</f>
        <v>5375.6001740000002</v>
      </c>
      <c r="Z359" s="3">
        <f>5754.5+(487.4-873.1)+(-8.804385+(-0.745722--1.335843))+0-0-0</f>
        <v>5360.585736</v>
      </c>
      <c r="AA359" s="3">
        <f>5496.7+(511.2-868)+(-8.409951+(-0.782136--1.32804))+3.7-0-0</f>
        <v>5135.7359529999994</v>
      </c>
      <c r="AB359" s="3">
        <f>5204.4+(564.1-893.2)+(-10.616976+(-1.150764--1.822128))+0-0-0</f>
        <v>4865.3543879999988</v>
      </c>
      <c r="AC359" s="3">
        <f>5021.3+(378.7-901.1)+(-12.804315+(-0.965685--2.297805))+0-0-0</f>
        <v>4487.4278049999994</v>
      </c>
      <c r="AD359">
        <f t="shared" si="5"/>
        <v>111142.98617800001</v>
      </c>
      <c r="AE359" s="3">
        <f>5851+(516.7-969.3)+(0+(0-0))+0-0-0</f>
        <v>5398.4</v>
      </c>
    </row>
    <row r="360" spans="1:31" s="2" customFormat="1" x14ac:dyDescent="0.25">
      <c r="A360">
        <v>89</v>
      </c>
      <c r="B360">
        <v>12</v>
      </c>
      <c r="C360">
        <v>24</v>
      </c>
      <c r="D360">
        <v>4</v>
      </c>
      <c r="E360">
        <v>1</v>
      </c>
      <c r="F360" s="3">
        <f>4667+(201.7-841.2)+(-14.28102+(-0.617202--2.574072))+0-0-0</f>
        <v>4015.1758500000001</v>
      </c>
      <c r="G360" s="3">
        <f>4546.4+(58.8-841.2)+(-11.59332+(-0.14994--2.14506))+0-0-0</f>
        <v>3754.4017999999996</v>
      </c>
      <c r="H360" s="3">
        <f>4397+(98.5-912)+(0+(0-0))+0-0-0</f>
        <v>3583.5</v>
      </c>
      <c r="I360" s="3">
        <f>4253.2+(127-914.8)+(-13.014792+(-0.38862--2.799288))+0-0-0</f>
        <v>3454.7958759999997</v>
      </c>
      <c r="J360" s="3">
        <f>4252.9+(89.8-899.4)+(6.506937+(0.137394-1.376082))+0-0-0</f>
        <v>3448.5682489999999</v>
      </c>
      <c r="K360" s="3">
        <f>4253.7+(133.8-901.3)+(-10.846935+(-0.34119--2.298315))+0-0-0</f>
        <v>3477.3101899999997</v>
      </c>
      <c r="L360" s="3">
        <f>4414.1+(114.4-896.9)+(-6.753573+(-0.175032--1.372257))+0-0-0</f>
        <v>3626.0436520000003</v>
      </c>
      <c r="M360" s="3">
        <f>4727.5+(183.7-889.5)+(-4.82205+(-0.187374--0.90729))+0-0-0</f>
        <v>4017.5978659999996</v>
      </c>
      <c r="N360" s="3">
        <f>5103.4+(380.9-845.7)+(0+(0-0))+0-0-0</f>
        <v>4638.5999999999995</v>
      </c>
      <c r="O360" s="3">
        <f>5179.7+(750-855.3)+(-5.283294+(-0.765--0.872406))+0-0-0</f>
        <v>5069.2241119999999</v>
      </c>
      <c r="P360" s="3">
        <f>5123.5+(905-800.5)+(-2.612985+(-0.46155--0.408255))+0-0-0</f>
        <v>5225.3337199999996</v>
      </c>
      <c r="Q360" s="3">
        <f>5130.4+(984-766.8)+(-7.849512+(-1.50552--1.173204))+0-0-0</f>
        <v>5339.4181719999997</v>
      </c>
      <c r="R360" s="3">
        <f>5101.1+(876.4-683.4)+(-5.203122+(-0.893928--0.697068))+0-0-0</f>
        <v>5288.7000180000005</v>
      </c>
      <c r="S360" s="3">
        <f>5053.4+(700.8-655.4)+(-2.577234+(-0.357408--0.334254))+0-0-0</f>
        <v>5096.1996119999994</v>
      </c>
      <c r="T360" s="3">
        <f>5061+(604.4-568.6)+(-2.58111+(-0.308244--0.289986))+0-0-0</f>
        <v>5094.200632</v>
      </c>
      <c r="U360" s="3">
        <f>4998.8+(483.8-518.9)+(-7.648164+(-0.740214--0.793917))+0-0-0</f>
        <v>4956.1055390000001</v>
      </c>
      <c r="V360" s="3">
        <f>4990+(416.6-560.8)+(-20.3592+(-1.699728--2.288064))+0-0-0</f>
        <v>4826.0291360000001</v>
      </c>
      <c r="W360" s="3">
        <f>4971.3+(464.3-630.9)+(2.535363+(0.236793-0.321759))+0-0-0</f>
        <v>4807.1503969999994</v>
      </c>
      <c r="X360" s="3">
        <f>5209.4+(745.2-810.8)+(2.656794+(0.380052-0.413508))+0-0-0</f>
        <v>5146.4233379999996</v>
      </c>
      <c r="Y360" s="3">
        <f>5489.6+(685.4-1014.4)+(-11.198784+(-1.398216--2.069376))+0-0-0</f>
        <v>5150.0723760000001</v>
      </c>
      <c r="Z360" s="3">
        <f>5359.5+(630.5-949.3)+(-5.46669+(-0.64311--0.968286))+0-0-0</f>
        <v>5035.5584859999999</v>
      </c>
      <c r="AA360" s="3">
        <f>5272.7+(461.4-899.1)+(-5.378154+(-0.470628--0.917082))+0-0-0</f>
        <v>4830.0682999999999</v>
      </c>
      <c r="AB360" s="3">
        <f>5241.8+(316.8-909.3)+(-2.673318+(-0.161568--0.463743))+0-0-0</f>
        <v>4646.9288569999999</v>
      </c>
      <c r="AC360" s="3">
        <f>5150+(238.3-982.1)+(-2.6265+(-0.121533--0.500871))+0-0-0</f>
        <v>4403.9528380000002</v>
      </c>
      <c r="AD360">
        <f t="shared" si="5"/>
        <v>108931.35901599999</v>
      </c>
      <c r="AE360" s="3">
        <f>5480+(698.8-1004.6)+(0+(0-0))+0-0-0</f>
        <v>5174.2</v>
      </c>
    </row>
    <row r="361" spans="1:31" s="2" customFormat="1" x14ac:dyDescent="0.25">
      <c r="A361">
        <v>89</v>
      </c>
      <c r="B361">
        <v>12</v>
      </c>
      <c r="C361">
        <v>25</v>
      </c>
      <c r="D361">
        <v>5</v>
      </c>
      <c r="E361">
        <v>1</v>
      </c>
      <c r="F361" s="3">
        <f>4769.6+(111.9-900.8)+(-2.432496+(-0.057069--0.459408))+0-0-0</f>
        <v>3978.6698430000001</v>
      </c>
      <c r="G361" s="3">
        <f>4588.7+(63.5-987.4)+(-4.680474+(-0.06477--1.007148))+0-0-0</f>
        <v>3661.0619039999997</v>
      </c>
      <c r="H361" s="3">
        <f>4478.8+(49.8-994.1)+(-9.136752+(-0.101592--2.027964))+0-0-0</f>
        <v>3527.28962</v>
      </c>
      <c r="I361" s="3">
        <f>4423.2+(58.3-1023)+(4.511664+(0.059466-1.04346))+0-0-0</f>
        <v>3462.0276699999999</v>
      </c>
      <c r="J361" s="3">
        <f>4496.1+(39.7-1075.9)+(0+(0-0))+0-0-0</f>
        <v>3459.9000000000005</v>
      </c>
      <c r="K361" s="3">
        <f>4712.2+(2-1230.3)+(4.806444+(0.00204-1.254906))+0-0-0</f>
        <v>3487.4535779999997</v>
      </c>
      <c r="L361" s="3">
        <f>5041.2+(3-1164.4)+(-12.85506+(-0.00765--2.96922))+0-0-0</f>
        <v>3869.9065099999998</v>
      </c>
      <c r="M361" s="3">
        <f>5014.2+(23.7-1050.1)+(5.114484+(0.024174-1.071102))+0-0-0</f>
        <v>3991.8675560000001</v>
      </c>
      <c r="N361" s="3">
        <f>5162.3+(352.5-984.6)+(2.632773+(0.179775-0.502146))+0-0-0</f>
        <v>4532.5104019999999</v>
      </c>
      <c r="O361" s="3">
        <f>5169.2+(588.1-804.9)+(-5.272584+(-0.599862--0.820998))+0-0-0</f>
        <v>4947.3485519999995</v>
      </c>
      <c r="P361" s="3">
        <f>5210.1+(694.8-784.7)+(5.314302+(0.708696-0.800394))+0-0-0</f>
        <v>5125.4226040000003</v>
      </c>
      <c r="Q361" s="3">
        <f>5350.6+(922.3-1092.5)+(8.186418+(1.411119-1.671525))+18.6-0-0</f>
        <v>5206.9260120000008</v>
      </c>
      <c r="R361" s="3">
        <f>5591.4+(731.4-1160.2)+(-8.554842+(-1.119042--1.775106))+0-0-0</f>
        <v>5154.7012219999997</v>
      </c>
      <c r="S361" s="3">
        <f>5564.6+(451.2-1070.9)+(-2.837946+(-0.230112--0.546159))+0-0-0</f>
        <v>4942.3781010000002</v>
      </c>
      <c r="T361" s="3">
        <f>5541.6+(460.3-992.8)+(-8.478648+(-0.704259--1.518984))+0-0-0</f>
        <v>5001.4360770000003</v>
      </c>
      <c r="U361" s="3">
        <f>5638.4+(301.3-1041.4)+(-11.502336+(-0.614652--2.124456))+0-0-0</f>
        <v>4888.3074679999991</v>
      </c>
      <c r="V361" s="3">
        <f>5515.1+(265.4-931)+(-5.625402+(-0.270708--0.94962))+0-0-0</f>
        <v>4844.5535099999997</v>
      </c>
      <c r="W361" s="3">
        <f>5629.4+(91.6-899.1)+(-17.225964+(-0.280296--2.751246))+0-0-0</f>
        <v>4807.1449859999993</v>
      </c>
      <c r="X361" s="3">
        <f>5836.4+(373.9-1026.8)+(2.976564+(0.190689-0.523668))+0-0-0</f>
        <v>5186.1435849999998</v>
      </c>
      <c r="Y361" s="3">
        <f>5882.3+(590.6-1209.4)+(-14.999865+(-1.50603--3.08397))+0-0-0</f>
        <v>5250.0780750000004</v>
      </c>
      <c r="Z361" s="3">
        <f>5864.6+(373.7-1091.7)+(-5.981892+(-0.381174--1.113534))+0-0-0</f>
        <v>5141.3504680000005</v>
      </c>
      <c r="AA361" s="3">
        <f>5807.2+(257.5-1100.4)+(-14.80836+(-0.656625--2.80602))+0-0-0</f>
        <v>4951.6410349999996</v>
      </c>
      <c r="AB361" s="3">
        <f>5685+(154.1-1058.9)+(-14.49675+(-0.392955--2.700195))+0-0-0</f>
        <v>4768.0104899999997</v>
      </c>
      <c r="AC361" s="3">
        <f>5378.6+(113.4-933)+(-10.972344+(-0.231336--1.90332))+0-0-0</f>
        <v>4549.6996399999998</v>
      </c>
      <c r="AD361">
        <f t="shared" si="5"/>
        <v>108735.828908</v>
      </c>
      <c r="AE361" s="3">
        <f>5904+(660.2-1222.6)+(0+(0-0))+0-0-0</f>
        <v>5341.6</v>
      </c>
    </row>
    <row r="362" spans="1:31" s="2" customFormat="1" x14ac:dyDescent="0.25">
      <c r="A362">
        <v>89</v>
      </c>
      <c r="B362">
        <v>12</v>
      </c>
      <c r="C362">
        <v>26</v>
      </c>
      <c r="D362">
        <v>6</v>
      </c>
      <c r="E362">
        <v>1</v>
      </c>
      <c r="F362" s="3">
        <f>4556.8+(143-759.4)+(-6.971904+(-0.21879--1.161882))+0-0-0</f>
        <v>3934.3711880000001</v>
      </c>
      <c r="G362" s="3">
        <f>4291.1+(97.1-735.5)+(-4.376922+(-0.099042--0.75021))+0-0-0</f>
        <v>3648.9742460000002</v>
      </c>
      <c r="H362" s="3">
        <f>4203.9+(68.1-760.9)+(-6.431967+(-0.104193--1.164177))+0-0-0</f>
        <v>3505.7280169999995</v>
      </c>
      <c r="I362" s="3">
        <f>4118.1+(77.3-776.6)+(2.100231+(0.039423-0.396066))+0-0-0</f>
        <v>3420.543588</v>
      </c>
      <c r="J362" s="3">
        <f>4032.5+(89-773.7)+(-6.169725+(-0.13617--1.183761))+0-0-0</f>
        <v>3342.677866</v>
      </c>
      <c r="K362" s="3">
        <f>4046.6+(88.4-790.5)+(-2.063766+(-0.045084--0.403155))+0.7-0-0</f>
        <v>3343.4943049999997</v>
      </c>
      <c r="L362" s="3">
        <f>4031.5+(86.3-734.1)+(-8.22426+(-0.176052--1.497564))+0-0-0</f>
        <v>3376.7972519999998</v>
      </c>
      <c r="M362" s="3">
        <f>4254.7+(117.9-644.9)+(2.169897+(0.060129-0.328899))+0-0-0</f>
        <v>3729.6011269999999</v>
      </c>
      <c r="N362" s="3">
        <f>4604+(319.5-711.3)+(2.34804+(0.162945-0.362763))+0-0-0</f>
        <v>4214.3482219999996</v>
      </c>
      <c r="O362" s="3">
        <f>4660.4+(561.9-702.2)+(-7.130412+(-0.859707--1.074366))+0-0-0</f>
        <v>4513.1842469999992</v>
      </c>
      <c r="P362" s="3">
        <f>4667.2+(581.3-568.3)+(-7.140816+(-0.889389--0.869499))+0-0-0</f>
        <v>4673.0392940000002</v>
      </c>
      <c r="Q362" s="3">
        <f>4691.9+(520-481.9)+(-2.392869+(-0.2652--0.245769))+0-0-0</f>
        <v>4727.5877</v>
      </c>
      <c r="R362" s="3">
        <f>4597.5+(490.3-487.6)+(-7.034175+(-0.750159--0.746028))+0-0-0</f>
        <v>4593.1616939999994</v>
      </c>
      <c r="S362" s="3">
        <f>4465+(493.5-483.6)+(0+(0-0))+0-0-0</f>
        <v>4474.8999999999996</v>
      </c>
      <c r="T362" s="3">
        <f>4418+(482-590.4)+(-6.75954+(-0.73746--0.903312))+0-0-0</f>
        <v>4303.0063120000004</v>
      </c>
      <c r="U362" s="3">
        <f>4484.2+(395.6-582.2)+(-16.008594+(-1.412292--2.078454))+0-0-0</f>
        <v>4282.2575679999991</v>
      </c>
      <c r="V362" s="3">
        <f>4395.6+(348.4-489.9)+(-4.483512+(-0.355368--0.499698))+0-0-0</f>
        <v>4249.7608180000007</v>
      </c>
      <c r="W362" s="3">
        <f>4363.3+(399.6-548.3)+(-8.901132+(-0.815184--1.118532))+0-0-0</f>
        <v>4206.0022160000008</v>
      </c>
      <c r="X362" s="3">
        <f>4731.1+(496.3-619.6)+(0+(0-0))+0-0-0</f>
        <v>4607.8</v>
      </c>
      <c r="Y362" s="3">
        <f>5031+(480.7-713)+(-10.26324+(-0.980628--1.45452))+0-0-0</f>
        <v>4788.9106519999996</v>
      </c>
      <c r="Z362" s="3">
        <f>5034.7+(474-726.5)+(-7.703091+(-0.72522--1.111545))+0-0-0</f>
        <v>4774.8832339999999</v>
      </c>
      <c r="AA362" s="3">
        <f>5018+(445.3-831.2)+(-2.55918+(-0.227103--0.423912))+0-0-0</f>
        <v>4629.7376290000002</v>
      </c>
      <c r="AB362" s="3">
        <f>5021.8+(338.1-938.1)+(7.683354+(0.517293-1.435293))+0-0-0</f>
        <v>4428.5653540000003</v>
      </c>
      <c r="AC362" s="3">
        <f>4775+(279.5-885.4)+(-12.17625+(-0.712725--2.25777))+0-0-0</f>
        <v>4158.4687950000007</v>
      </c>
      <c r="AD362">
        <f t="shared" si="5"/>
        <v>99927.801324</v>
      </c>
      <c r="AE362" s="3">
        <f>4997+(506.6-667.4)+(0+(0-0))+0-0-0</f>
        <v>4836.2</v>
      </c>
    </row>
    <row r="363" spans="1:31" s="2" customFormat="1" x14ac:dyDescent="0.25">
      <c r="A363">
        <v>89</v>
      </c>
      <c r="B363">
        <v>12</v>
      </c>
      <c r="C363">
        <v>27</v>
      </c>
      <c r="D363">
        <v>7</v>
      </c>
      <c r="E363">
        <v>1</v>
      </c>
      <c r="F363" s="3">
        <f>4548.4+(182.5-963.6)+(-9.278736+(-0.3723--1.965744))+0-0-0</f>
        <v>3759.6147079999996</v>
      </c>
      <c r="G363" s="3">
        <f>4448.7+(195.7-1153.5)+(-6.806511+(-0.299421--1.764855))+0-0-0</f>
        <v>3485.5589229999996</v>
      </c>
      <c r="H363" s="3">
        <f>4271.4+(198.5-1124.6)+(-2.178414+(-0.101235--0.573546))+0-0-0</f>
        <v>3343.5938969999997</v>
      </c>
      <c r="I363" s="3">
        <f>3987.5+(98.1-918.9)+(-6.100875+(-0.150093--1.405917))+0-0-0</f>
        <v>3161.854949</v>
      </c>
      <c r="J363" s="3">
        <f>3963.9+(87.7-934.7)+(2.021589+(0.044727-0.476697))+0-0-0</f>
        <v>3118.4896189999999</v>
      </c>
      <c r="K363" s="3">
        <f>4036.1+(134-1023.4)+(-6.175233+(-0.20502--1.565802))+0-0-0</f>
        <v>3141.8855489999996</v>
      </c>
      <c r="L363" s="3">
        <f>3877.2+(98.3-938.5)+(-3.954744+(-0.100266--0.95727))+0-0-0</f>
        <v>3033.9022599999998</v>
      </c>
      <c r="M363" s="3">
        <f>3932+(77.1-1068.6)+(0+(0-0))+0-0-0</f>
        <v>2940.5</v>
      </c>
      <c r="N363" s="3">
        <f>4241.2+(139.5-1118)+(2.163012+(0.071145-0.57018))+0-0-0</f>
        <v>3264.363977</v>
      </c>
      <c r="O363" s="3">
        <f>4428.9+(153.9-983.5)+(-2.258739+(-0.078489--0.501585))+0-0-0</f>
        <v>3597.4643569999998</v>
      </c>
      <c r="P363" s="3">
        <f>4771.4+(181.1-1005.2)+(-9.733656+(-0.369444--2.050608))+0-0-0</f>
        <v>3939.2475079999999</v>
      </c>
      <c r="Q363" s="3">
        <f>4774.2+(220.6-1004.9)+(-9.739368+(-0.450024--2.049996))+0-0-0</f>
        <v>3981.7606039999996</v>
      </c>
      <c r="R363" s="3">
        <f>4723.7+(248.1-1024)+(-2.409087+(-0.126531--0.52224))+0-0-0</f>
        <v>3945.7866219999996</v>
      </c>
      <c r="S363" s="3">
        <f>4693.2+(246.3-1054.5)+(2.393532+(0.125613-0.537795))+0-0-0</f>
        <v>3886.98135</v>
      </c>
      <c r="T363" s="3">
        <f>4588.8+(207.4-955.2)+(-11.70144+(-0.52887--2.43576))+0-0-0</f>
        <v>3831.2054499999999</v>
      </c>
      <c r="U363" s="3">
        <f>4435.1+(241.6-915.2)+(-11.309505+(-0.61608--2.33376))+0-0-0</f>
        <v>3751.9081750000005</v>
      </c>
      <c r="V363" s="3">
        <f>4382.2+(196.3-820.5)+(-6.704766+(-0.300339--1.255365))+0-0-0</f>
        <v>3752.2502599999998</v>
      </c>
      <c r="W363" s="3">
        <f>4410+(148-658.3)+(-4.4982+(-0.15096--0.671466))+0-0-0</f>
        <v>3895.7223059999997</v>
      </c>
      <c r="X363" s="3">
        <f>4619.6+(332.5-730.8)+(0+(0-0))+0-0-0</f>
        <v>4221.3</v>
      </c>
      <c r="Y363" s="3">
        <f>4846.3+(478.2-845.5)+(-7.414839+(-0.731646--1.293615))+0-0-0</f>
        <v>4472.1471300000003</v>
      </c>
      <c r="Z363" s="3">
        <f>4608.9+(481.3-786.2)+(-4.701078+(-0.490926--0.801924))+0-0-0</f>
        <v>4299.6099199999999</v>
      </c>
      <c r="AA363" s="3">
        <f>4704.5+(601.2-849.2)+(-4.79859+(-0.613224--0.866184))+0-0-0</f>
        <v>4451.9543700000004</v>
      </c>
      <c r="AB363" s="3">
        <f>4433.7+(556.9-833.6)+(-9.044748+(-1.136076--1.700544))+0-0-0</f>
        <v>4148.5197200000002</v>
      </c>
      <c r="AC363" s="3">
        <f>4315.4+(335.5-667)+(-8.803416+(-0.68442--1.36068))+0-0-0</f>
        <v>3975.7728439999996</v>
      </c>
      <c r="AD363">
        <f t="shared" si="5"/>
        <v>89401.394498000009</v>
      </c>
      <c r="AE363" s="3">
        <f>4849+(511.3-851.4)+(0+(0-0))+0-0-0</f>
        <v>4508.8999999999996</v>
      </c>
    </row>
    <row r="364" spans="1:31" s="2" customFormat="1" x14ac:dyDescent="0.25">
      <c r="A364">
        <v>89</v>
      </c>
      <c r="B364">
        <v>12</v>
      </c>
      <c r="C364">
        <v>28</v>
      </c>
      <c r="D364">
        <v>1</v>
      </c>
      <c r="E364">
        <v>6</v>
      </c>
      <c r="F364" s="3">
        <f>4153.3+(180.9-776.9)+(-8.472732+(-0.369036--1.584876))+0-0-0</f>
        <v>3550.0431080000003</v>
      </c>
      <c r="G364" s="3">
        <f>3920.3+(180.5-823.3)+(-9.996765+(-0.460275--2.099415))+0-0-0</f>
        <v>3269.1423749999999</v>
      </c>
      <c r="H364" s="3">
        <f>3673.4+(120.3-719.4)+(1.873434+(0.061353-0.366894))+0-0-0</f>
        <v>3075.8678930000001</v>
      </c>
      <c r="I364" s="3">
        <f>3580.1+(125-724.9)+(-9.129255+(-0.31875--1.848495))+0-0-0</f>
        <v>2972.6004899999998</v>
      </c>
      <c r="J364" s="3">
        <f>3520.5+(168.1-717.6)+(3.59091+(0.171462-0.731952))+0-0-0</f>
        <v>2974.03042</v>
      </c>
      <c r="K364" s="3">
        <f>3704.9+(126.8-845)+(0+(0-0))+0-0-0</f>
        <v>2986.7</v>
      </c>
      <c r="L364" s="3">
        <f>3727.1+(149.1-877.5)+(-5.702463+(-0.228123--1.342575))+0-0-0</f>
        <v>2994.111989</v>
      </c>
      <c r="M364" s="3">
        <f>3815.3+(233.8-831.7)+(-1.945803+(-0.119238--0.424167))+0-0-0</f>
        <v>3215.7591259999999</v>
      </c>
      <c r="N364" s="3">
        <f>4005.6+(355.4-761.4)+(-2.042856+(-0.181254--0.388314))+0-0-0</f>
        <v>3597.7642040000001</v>
      </c>
      <c r="O364" s="3">
        <f>4316.1+(355.5-727.3)+(-6.603633+(-0.543915--1.112769))+0-0-0</f>
        <v>3938.2652210000001</v>
      </c>
      <c r="P364" s="3">
        <f>4375.4+(414.3-670.7)+(-2.231454+(-0.211293--0.342057))+0-0-0</f>
        <v>4116.8993099999998</v>
      </c>
      <c r="Q364" s="3">
        <f>4169.1+(564.2-605)+(-8.504964+(-1.150968--1.2342))+0-0-0</f>
        <v>4119.8782680000004</v>
      </c>
      <c r="R364" s="3">
        <f>4060.5+(656.4-559.1)+(-4.14171+(-0.669528--0.570282))+0-0-0</f>
        <v>4153.5590440000005</v>
      </c>
      <c r="S364" s="3">
        <f>3799.7+(697.3-490.4)+(0+(0-0))+0-0-0</f>
        <v>4006.6</v>
      </c>
      <c r="T364" s="3">
        <f>3761.2+(651.3-462.6)+(1.918212+(0.332163-0.235926))+0-0-0</f>
        <v>3951.9144489999994</v>
      </c>
      <c r="U364" s="3">
        <f>3767.9+(758.3-549.9)+(-1.921629+(-0.386733--0.280449))+0-0-0</f>
        <v>3974.2720870000003</v>
      </c>
      <c r="V364" s="3">
        <f>3704.8+(868.6-678.2)+(-9.44724+(-2.21493--1.72941))+0-0-0</f>
        <v>3885.2672400000001</v>
      </c>
      <c r="W364" s="3">
        <f>3646.2+(944.4-689)+(-7.438248+(-1.926576--1.40556))+0-0-0</f>
        <v>3893.6407359999998</v>
      </c>
      <c r="X364" s="3">
        <f>4026.5+(991.6-748.8)+(-2.053515+(-0.505716--0.381888))+0-0-0</f>
        <v>4267.1226569999999</v>
      </c>
      <c r="Y364" s="3">
        <f>4237.8+(1022.6-672.1)+(-4.322556+(-1.043052--0.685542))+0-0-0</f>
        <v>4583.6199340000003</v>
      </c>
      <c r="Z364" s="3">
        <f>4132.1+(1073-757.6)+(-2.107371+(-0.54723--0.386376))+0-0-0</f>
        <v>4445.2317750000002</v>
      </c>
      <c r="AA364" s="3">
        <f>4126.9+(984.5-831.7)+(-6.314157+(-1.506285--1.272501))+0-0-0</f>
        <v>4273.152059</v>
      </c>
      <c r="AB364" s="3">
        <f>4144.2+(821-820.7)+(-6.340626+(-1.25613--1.255671))+0-0-0</f>
        <v>4138.158915</v>
      </c>
      <c r="AC364" s="3">
        <f>4093.8+(598.9-750.9)+(-6.263514+(-0.916317--1.148877))+0-0-0</f>
        <v>3935.7690460000003</v>
      </c>
      <c r="AD364">
        <f t="shared" si="5"/>
        <v>90319.370346000011</v>
      </c>
      <c r="AE364" s="3">
        <f>4236+(936.3-692.2)+(0+(0-0))+0-0-0</f>
        <v>4480.1000000000004</v>
      </c>
    </row>
    <row r="365" spans="1:31" s="2" customFormat="1" x14ac:dyDescent="0.25">
      <c r="A365">
        <v>89</v>
      </c>
      <c r="B365">
        <v>12</v>
      </c>
      <c r="C365">
        <v>29</v>
      </c>
      <c r="D365">
        <v>2</v>
      </c>
      <c r="E365">
        <v>2</v>
      </c>
      <c r="F365" s="3">
        <f>3936.9+(310.7-658.1)+(-6.023457+(-0.475371--1.006893))+0-0-0</f>
        <v>3584.008065</v>
      </c>
      <c r="G365" s="3">
        <f>3763.5+(175.8-677.4)+(-5.758155+(-0.268974--1.036422))+0-0-0</f>
        <v>3256.9092930000002</v>
      </c>
      <c r="H365" s="3">
        <f>3688.8+(107.2-707.3)+(-7.525152+(-0.218688--1.442892))+0-0-0</f>
        <v>3082.3990520000002</v>
      </c>
      <c r="I365" s="3">
        <f>3601.6+(119.9-793.8)+(1.836816+(0.061149-0.404838))+0-0-0</f>
        <v>2929.193127</v>
      </c>
      <c r="J365" s="3">
        <f>3609.1+(95.8-758.7)+(5.521923+(0.146574-1.160811))+0-0-0</f>
        <v>2950.7076859999997</v>
      </c>
      <c r="K365" s="3">
        <f>3591.5+(120.5-832.1)+(-3.66333+(-0.12291--0.848742))+0-0-0</f>
        <v>2876.9625020000003</v>
      </c>
      <c r="L365" s="3">
        <f>3488+(115.5-748.7)+(-5.33664+(-0.176715--1.145511))+0-0-0</f>
        <v>2850.4321560000003</v>
      </c>
      <c r="M365" s="3">
        <f>3506.5+(162.2-812.3)+(7.15326+(0.330888-1.657092))+0-0-0</f>
        <v>2862.2270560000002</v>
      </c>
      <c r="N365" s="3">
        <f>3850.6+(103.4-860.7)+(0+(0-0))+0-0-0</f>
        <v>3093.2999999999997</v>
      </c>
      <c r="O365" s="3">
        <f>4014.1+(199.3-679.7)+(-4.094382+(-0.203286--0.693294))+0-0-0</f>
        <v>3530.0956259999998</v>
      </c>
      <c r="P365" s="3">
        <f>4016.4+(269.3-675.9)+(-8.193456+(-0.549372--1.378836))+0-0-0</f>
        <v>3602.4360080000001</v>
      </c>
      <c r="Q365" s="3">
        <f>4148.1+(235.2-681)+(-6.346593+(-0.359856--1.04193))+0-0-0</f>
        <v>3696.6354810000003</v>
      </c>
      <c r="R365" s="3">
        <f>4037.4+(244.7-623)+(-6.177222+(-0.374391--0.95319))+0-0-0</f>
        <v>3653.501577</v>
      </c>
      <c r="S365" s="3">
        <f>3980.5+(243.2-607.7)+(-10.150275+(-0.62016--1.549635))+0-0-0</f>
        <v>3606.7791999999999</v>
      </c>
      <c r="T365" s="3">
        <f>3921.9+(243.1-553.7)+(-8.000676+(-0.495924--1.129548))+0-0-0</f>
        <v>3603.9329480000001</v>
      </c>
      <c r="U365" s="3">
        <f>3795.6+(253.9-493.2)+(-5.807268+(-0.388467--0.754596))+0-0-0</f>
        <v>3550.8588609999997</v>
      </c>
      <c r="V365" s="3">
        <f>3794.3+(312.2-567)+(1.935093+(0.159222-0.28917))+0-0-0</f>
        <v>3541.3051449999998</v>
      </c>
      <c r="W365" s="3">
        <f>3812.4+(366.2-531.2)+(0+(0-0))+0-0-0</f>
        <v>3647.4</v>
      </c>
      <c r="X365" s="3">
        <f>4046.9+(645-684.2)+(2.063919+(0.32895-0.348942))+115.5-0-0</f>
        <v>4125.2439269999995</v>
      </c>
      <c r="Y365" s="3">
        <f>4197.3+(851.5-744.9)+(-10.703115+(-2.171325--1.899495))+87.5-0-0</f>
        <v>4380.4250550000006</v>
      </c>
      <c r="Z365" s="3">
        <f>4192.5+(758.1-652.9)+(-6.414525+(-1.159893--0.998937))+0-0-0</f>
        <v>4291.124519</v>
      </c>
      <c r="AA365" s="3">
        <f>4133.4+(711-622.2)+(-4.216068+(-0.72522--0.634644))+0-0-0</f>
        <v>4217.8933559999996</v>
      </c>
      <c r="AB365" s="3">
        <f>4140.9+(572.6-566.6)+(-2.111859+(-0.292026--0.288966))+0-0-0</f>
        <v>4144.785081</v>
      </c>
      <c r="AC365" s="3">
        <f>4066.3+(450.2-544.5)+(-8.295252+(-0.918408--1.11078))+0-0-0</f>
        <v>3963.8971200000001</v>
      </c>
      <c r="AD365">
        <f t="shared" si="5"/>
        <v>85042.452840999991</v>
      </c>
      <c r="AE365" s="3">
        <f>4222+(898.2-745.9)+(0+(0-0))+0-0-0</f>
        <v>4374.3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89</v>
      </c>
      <c r="B1">
        <v>1</v>
      </c>
      <c r="C1">
        <v>1</v>
      </c>
      <c r="D1">
        <v>2</v>
      </c>
      <c r="E1">
        <v>2</v>
      </c>
      <c r="F1" s="3">
        <f>699.9+(296.5-112.1)+(0+(0-0))+0-0-0</f>
        <v>884.3</v>
      </c>
      <c r="G1" s="3">
        <f>537.8+(343.2-81.9)+(0+(0-0))+0-0-0</f>
        <v>799.09999999999991</v>
      </c>
      <c r="H1" s="3">
        <f>459.5+(339.5-74.4)+(0+(0-0))+0-0-0</f>
        <v>724.6</v>
      </c>
      <c r="I1" s="3">
        <f>459.6+(319.7-81.2)+(-0.234396+(-0.163047--0.041412))+0-0-0</f>
        <v>697.74396899999999</v>
      </c>
      <c r="J1" s="3">
        <f>459.4+(331.1-91.9)+(-1.17147+(-0.844305--0.234345))+0-0-0</f>
        <v>696.81857000000002</v>
      </c>
      <c r="K1" s="3">
        <f>459.5+(322.7-81.3)+(-0.234345+(-0.164577--0.041463))+0-0-0</f>
        <v>700.54254100000003</v>
      </c>
      <c r="L1" s="3">
        <f>459.5+(290.5-101.6)+(-1.171725+(-0.740775--0.25908))+0-0-0</f>
        <v>646.74657999999999</v>
      </c>
      <c r="M1" s="3">
        <f>459.5+(299.3-89.2)+(0.703035+(0.457929-0.136476))+0-0-0</f>
        <v>670.62448800000004</v>
      </c>
      <c r="N1" s="3">
        <f>469.2+(290.2-36.3)+(0+(0-0))+0-0-0</f>
        <v>723.09999999999991</v>
      </c>
      <c r="O1" s="3">
        <f>605.1+(279.6-130)+(-1.234404+(-0.570384--0.2652))+0-0-0</f>
        <v>753.16041200000006</v>
      </c>
      <c r="P1" s="3">
        <f>656.9+(282.1-171.7)+(-1.675095+(-0.719355--0.437835))+0-0-0</f>
        <v>765.3433849999999</v>
      </c>
      <c r="Q1" s="3">
        <f>656.9+(286.9-179.6)+(-0.670038+(-0.292638--0.183192))+0-0-0</f>
        <v>763.42051599999991</v>
      </c>
      <c r="R1" s="3">
        <f>656.8+(291.8-189.1)+(-0.669936+(-0.297636--0.192882))+0-0-0</f>
        <v>758.72531000000004</v>
      </c>
      <c r="S1" s="3">
        <f>656.7+(281.4-173.7)+(0+(0-0))+0-0-0</f>
        <v>764.40000000000009</v>
      </c>
      <c r="T1" s="3">
        <f>656.9+(285.9-182.6)+(-1.005057+(-0.437427--0.279378))+0-0-0</f>
        <v>759.03689399999996</v>
      </c>
      <c r="U1" s="3">
        <f>656.6+(262.7-151.9)+(-1.004598+(-0.401931--0.232407))+0-0-0</f>
        <v>766.22587799999997</v>
      </c>
      <c r="V1" s="3">
        <f>656.7+(302.6-172.6)+(-1.004751+(-0.462978--0.264078))+0-0-0</f>
        <v>785.49634900000001</v>
      </c>
      <c r="W1" s="3">
        <f>657+(406.1-218.7)+(-0.67014+(-0.414222--0.223074))+0-0-0</f>
        <v>843.53871200000015</v>
      </c>
      <c r="X1" s="3">
        <f>787.1+(383.6-153.1)+(-0.401421+(-0.195636--0.078081))+0-0-0</f>
        <v>1017.0810240000001</v>
      </c>
      <c r="Y1" s="3">
        <f>863.4+(327-129.7)+(0+(0-0))+0-0-0</f>
        <v>1060.7</v>
      </c>
      <c r="Z1" s="3">
        <f>798.7+(332.3-87.4)+(-0.407337+(-0.169473--0.044574))+0-0-0</f>
        <v>1043.0677640000001</v>
      </c>
      <c r="AA1" s="3">
        <f>749+(321-61.1)+(-1.90995+(-0.81855--0.155805))+0-0-0</f>
        <v>1006.327305</v>
      </c>
      <c r="AB1" s="3">
        <f>749+(363.8-128.4)+(-0.76398+(-0.371076--0.130968))+0-0-0</f>
        <v>983.39591199999995</v>
      </c>
      <c r="AC1" s="3">
        <f>710.3+(339.6-144.9)+(-2.535771+(-1.212372--0.517293))+0-0-0</f>
        <v>901.76914999999997</v>
      </c>
      <c r="AD1">
        <f t="shared" ref="AD1:AD64" si="0">SUM(F1:AC1)</f>
        <v>19515.264758999998</v>
      </c>
      <c r="AE1" s="3">
        <f>864+(337-118)+(0+(0-0))+0-0-0</f>
        <v>1083</v>
      </c>
    </row>
    <row r="2" spans="1:31" s="2" customFormat="1" x14ac:dyDescent="0.25">
      <c r="A2">
        <v>89</v>
      </c>
      <c r="B2">
        <v>1</v>
      </c>
      <c r="C2">
        <v>2</v>
      </c>
      <c r="D2">
        <v>3</v>
      </c>
      <c r="E2">
        <v>2</v>
      </c>
      <c r="F2" s="3">
        <f>(G2+AC1)/2</f>
        <v>816.05101999999999</v>
      </c>
      <c r="G2" s="3">
        <f>455+(364.2-87)+(-1.16025+(-0.92871--0.22185))+0-0-0</f>
        <v>730.33289000000002</v>
      </c>
      <c r="H2" s="3">
        <f>454.3+(360.4-59.6)+(-1.390158+(-1.102824--0.182376))+0-0-0</f>
        <v>752.7893939999999</v>
      </c>
      <c r="I2" s="3">
        <f>455.2+(394.5-126)+(-0.464304+(-0.40239--0.12852))+0-0-0</f>
        <v>722.96182600000009</v>
      </c>
      <c r="J2" s="3">
        <f>455.1+(428.2-170.8)+(0+(0-0))+0-0-0</f>
        <v>712.5</v>
      </c>
      <c r="K2" s="3">
        <f>455+(438.1-180.7)+(0.4641+(0.446862-0.184314))+0-0-0</f>
        <v>713.12664800000005</v>
      </c>
      <c r="L2" s="3">
        <f>455.1+(416.7-167.1)+(0.232101+(0.212517-0.085221))+0-0-0</f>
        <v>705.05939699999999</v>
      </c>
      <c r="M2" s="3">
        <f>455.3+(320.3-126.6)+(-1.161015+(-0.816765--0.32283))+0-0-0</f>
        <v>647.34505000000001</v>
      </c>
      <c r="N2" s="3">
        <f>490.8+(318.3-129.2)+(-0.500616+(-0.324666--0.131784))+0-0-0</f>
        <v>679.20650200000011</v>
      </c>
      <c r="O2" s="3">
        <f>557+(332.6-143.3)+(-0.56814+(-0.339252--0.146166))+0-0-0</f>
        <v>745.53877399999999</v>
      </c>
      <c r="P2" s="3">
        <f>574.1+(374.2-159.7)+(-0.585582+(-0.381684--0.162894))+0-0-0</f>
        <v>787.79562800000008</v>
      </c>
      <c r="Q2" s="3">
        <f>606.2+(368.9-178.5)+(-0.927486+(-0.564417--0.273105))+0-0-0</f>
        <v>795.38120200000003</v>
      </c>
      <c r="R2" s="3">
        <f>466.7+(500.1-191.6)+(0+(0-0))+0-0-0</f>
        <v>775.2</v>
      </c>
      <c r="S2" s="3">
        <f>468.8+(473.1-176.7)+(-1.19544+(-1.206405--0.450585))+0-0-0</f>
        <v>763.24874</v>
      </c>
      <c r="T2" s="3">
        <f>464.9+(442.8-153.5)+(-0.237099+(-0.225828--0.078285))+0-0-0</f>
        <v>753.81535800000006</v>
      </c>
      <c r="U2" s="3">
        <f>479.7+(368.5-111.6)+(-0.244647+(-0.187935--0.056916))+0-0-0</f>
        <v>736.22433399999989</v>
      </c>
      <c r="V2" s="3">
        <f>480.1+(384.3-133.8)+(-0.734553+(-0.587979--0.204714))+0-0-0</f>
        <v>729.48218199999997</v>
      </c>
      <c r="W2" s="3">
        <f>459.5+(436.5-148.8)+(-0.46869+(-0.44523--0.151776))+0-0-0</f>
        <v>746.43785600000001</v>
      </c>
      <c r="X2" s="3">
        <f>450.9+(517.3-178.8)+(0+(0-0))+0-0-0</f>
        <v>789.39999999999986</v>
      </c>
      <c r="Y2" s="3">
        <f>659.3+(434.2-93)+(-0.336243+(-0.221442--0.04743))+0-0-0</f>
        <v>999.98974499999997</v>
      </c>
      <c r="Z2" s="3">
        <f>863.2+(352.8-110.4)+(-1.760928+(-0.719712--0.225216))+0-0-0</f>
        <v>1103.3445760000002</v>
      </c>
      <c r="AA2" s="3">
        <f>862.6+(331.5-110.4)+(-0.879852+(-0.33813--0.112608))+0-0-0</f>
        <v>1082.5946260000001</v>
      </c>
      <c r="AB2" s="3">
        <f>849+(330.5-125)+(-1.29897+(-0.505665--0.19125))+0-0-0</f>
        <v>1052.8866149999999</v>
      </c>
      <c r="AC2" s="3">
        <f>760.6+(335.8-91.5)+(-1.163718+(-0.513774--0.139995))+0-0-0</f>
        <v>1003.3625030000001</v>
      </c>
      <c r="AD2">
        <f t="shared" si="0"/>
        <v>19344.074865999999</v>
      </c>
      <c r="AE2" s="3">
        <f>862+(389-112)+(0+(0-0))+0-0-0</f>
        <v>1139</v>
      </c>
    </row>
    <row r="3" spans="1:31" s="2" customFormat="1" x14ac:dyDescent="0.25">
      <c r="A3">
        <v>89</v>
      </c>
      <c r="B3">
        <v>1</v>
      </c>
      <c r="C3">
        <v>3</v>
      </c>
      <c r="D3">
        <v>4</v>
      </c>
      <c r="E3">
        <v>2</v>
      </c>
      <c r="F3" s="3">
        <f>516.7+(471.3-53.3)+(-1.054068+(-0.961452--0.108732))+0-0-0</f>
        <v>932.79321200000004</v>
      </c>
      <c r="G3" s="3">
        <f>472.5+(483.9-115.3)+(-0.722925+(-0.740367--0.176409))+0-0-0</f>
        <v>839.81311699999992</v>
      </c>
      <c r="H3" s="3">
        <f>472.4+(451.9-151.7)+(-1.445544+(-1.382814--0.464202))+0-0-0</f>
        <v>770.23584399999993</v>
      </c>
      <c r="I3" s="3">
        <f>472.4+(386.3-123.5)+(-0.481848+(-0.394026--0.12597))+0-0-0</f>
        <v>734.45009600000003</v>
      </c>
      <c r="J3" s="3">
        <f>472.3+(370.3-118)+(-0.722619+(-0.566559--0.18054))+0-0-0</f>
        <v>723.49136199999998</v>
      </c>
      <c r="K3" s="3">
        <f>472.5+(381.9-129.1)+(-0.240975+(-0.194769--0.065841))+0-0-0</f>
        <v>724.93009699999993</v>
      </c>
      <c r="L3" s="3">
        <f>472.4+(387.3-137.4)+(-0.963696+(-0.790092--0.280296))+0-0-0</f>
        <v>720.82650799999999</v>
      </c>
      <c r="M3" s="3">
        <f>472.7+(316.7-130.9)+(-0.723231+(-0.484551--0.200277))+0-0-0</f>
        <v>657.49249499999996</v>
      </c>
      <c r="N3" s="3">
        <f>472.5+(352.1-132.4)+(0.240975+(0.179571-0.067524))+0-0-0</f>
        <v>692.55302200000006</v>
      </c>
      <c r="O3" s="3">
        <f>472.8+(408.7-132.5)+(0+(0-0))+0-0-0</f>
        <v>749</v>
      </c>
      <c r="P3" s="3">
        <f>472.6+(468-154.1)+(0.241026+(0.23868-0.078591))+0-0-0</f>
        <v>786.901115</v>
      </c>
      <c r="Q3" s="3">
        <f>536.8+(409.2-148.6)+(-0.273768+(-0.208692--0.075786))+0-0-0</f>
        <v>796.99332600000002</v>
      </c>
      <c r="R3" s="3">
        <f>562.5+(337.6-114.7)+(-0.57375+(-0.344352--0.116994))+0-0-0</f>
        <v>784.59889200000009</v>
      </c>
      <c r="S3" s="3">
        <f>562.6+(293.3-77.3)+(-0.286926+(-0.149583--0.039423))+0-0-0</f>
        <v>778.20291400000008</v>
      </c>
      <c r="T3" s="3">
        <f>579.4+(265.5-85)+(0+(0-0))+0-0-0</f>
        <v>759.9</v>
      </c>
      <c r="U3" s="3">
        <f>646.9+(262.9-158.3)+(-0.989757+(-0.402237--0.242199))+0-0-0</f>
        <v>750.35020499999996</v>
      </c>
      <c r="V3" s="3">
        <f>746.8+(231.6-238.1)+(-0.761736+(-0.236232--0.242862))+0-0-0</f>
        <v>739.544894</v>
      </c>
      <c r="W3" s="3">
        <f>775.8+(247.5-266.5)+(-0.791316+(-0.25245--0.27183))+0-0-0</f>
        <v>756.02806399999997</v>
      </c>
      <c r="X3" s="3">
        <f>775.9+(320-290.3)+(0+(0-0))+0-0-0</f>
        <v>805.59999999999991</v>
      </c>
      <c r="Y3" s="3">
        <f>958.6+(338.8-271.5)+(0+(0-0))+0-0-0</f>
        <v>1025.9000000000001</v>
      </c>
      <c r="Z3" s="3">
        <f>1073.3+(265.9-218.2)+(-2.189532+(-0.542436--0.445128))+0-0-0</f>
        <v>1118.71316</v>
      </c>
      <c r="AA3" s="3">
        <f>1085.7+(260.2-227.1)+(0+(0-0))+0-0-0</f>
        <v>1118.8</v>
      </c>
      <c r="AB3" s="3">
        <f>1092.8+(242.5-267.2)+(-0.557328+(-0.123675--0.136272))+0-0-0</f>
        <v>1067.555269</v>
      </c>
      <c r="AC3" s="3">
        <f>1091.6+(236.4-293.4)+(-1.113432+(-0.241128--0.299268))+0-0-0</f>
        <v>1033.5447079999999</v>
      </c>
      <c r="AD3">
        <f t="shared" si="0"/>
        <v>19868.218300000004</v>
      </c>
      <c r="AE3" s="3">
        <f>1076+(294-269)+(0+(0-0))+0-0-0</f>
        <v>1101</v>
      </c>
    </row>
    <row r="4" spans="1:31" s="2" customFormat="1" x14ac:dyDescent="0.25">
      <c r="A4">
        <v>89</v>
      </c>
      <c r="B4">
        <v>1</v>
      </c>
      <c r="C4">
        <v>4</v>
      </c>
      <c r="D4">
        <v>5</v>
      </c>
      <c r="E4">
        <v>2</v>
      </c>
      <c r="F4" s="3">
        <f>937.1+(248.8-230.5)+(-0.955842+(-0.253776--0.23511))+0-0-0</f>
        <v>954.42549200000008</v>
      </c>
      <c r="G4" s="3">
        <f>702.1+(393.6-255.2)+(-1.432284+(-0.802944--0.520608))+0-0-0</f>
        <v>838.78538000000003</v>
      </c>
      <c r="H4" s="3">
        <f>696.4+(318-245)+(-1.065492+(-0.48654--0.37485))+0-0-0</f>
        <v>768.22281799999996</v>
      </c>
      <c r="I4" s="3">
        <f>695.7+(269.5-222.6)+(0.709614+(0.27489-0.227052))+0-0-0</f>
        <v>743.35745199999997</v>
      </c>
      <c r="J4" s="3">
        <f>696.7+(260-223.2)+(-0.355317+(-0.1326--0.113832))+0-0-0</f>
        <v>733.12591499999996</v>
      </c>
      <c r="K4" s="3">
        <f>696.3+(273.3-241)+(0.355113+(0.139383-0.12291))+0-0-0</f>
        <v>728.97158599999989</v>
      </c>
      <c r="L4" s="3">
        <f>695.6+(268.6-234)+(-0.354756+(-0.136986--0.11934))+0-0-0</f>
        <v>729.82759800000008</v>
      </c>
      <c r="M4" s="3">
        <f>696.7+(234.6-249.7)+(-0.710634+(-0.239292--0.254694))+0-0-0</f>
        <v>680.90476799999999</v>
      </c>
      <c r="N4" s="3">
        <f>696.3+(246.5-241.9)+(0+(0-0))+0-0-0</f>
        <v>700.9</v>
      </c>
      <c r="O4" s="3">
        <f>695.5+(278.6-220.1)+(0.354705+(0.142086-0.112251))+0-0-0</f>
        <v>754.38454000000002</v>
      </c>
      <c r="P4" s="3">
        <f>732.9+(296.3-219.7)+(-1.495116+(-0.604452--0.448188))+0-0-0</f>
        <v>807.84861999999998</v>
      </c>
      <c r="Q4" s="3">
        <f>845.2+(263-271.6)+(-0.862104+(-0.26826--0.277032))+0-0-0</f>
        <v>835.746668</v>
      </c>
      <c r="R4" s="3">
        <f>864.2+(231.8-260.3)+(0+(0-0))+0-0-0</f>
        <v>835.7</v>
      </c>
      <c r="S4" s="3">
        <f>864+(241.3-286.2)+(0.44064+(0.123063-0.145962))+0-0-0</f>
        <v>819.517741</v>
      </c>
      <c r="T4" s="3">
        <f>864+(234.1-289.6)+(-0.88128+(-0.238782--0.295392))+0-0-0</f>
        <v>807.67533000000003</v>
      </c>
      <c r="U4" s="3">
        <f>863.7+(238.4-305.4)+(-1.321461+(-0.364752--0.467262))+0-0-0</f>
        <v>795.4810490000001</v>
      </c>
      <c r="V4" s="3">
        <f>863.9+(287-340.9)+(0+(0-0))+0-0-0</f>
        <v>810</v>
      </c>
      <c r="W4" s="3">
        <f>864+(316-332.7)+(-0.44064+(-0.16116--0.169677))+0-0-0</f>
        <v>846.86787699999991</v>
      </c>
      <c r="X4" s="3">
        <f>946.5+(306.8-339.4)+(-0.482715+(-0.156468--0.173094))+0-0-0</f>
        <v>913.43391100000008</v>
      </c>
      <c r="Y4" s="3">
        <f>1191.4+(252.7-329.5)+(-0.607614+(-0.128877--0.168045))+0-0-0</f>
        <v>1114.0315540000001</v>
      </c>
      <c r="Z4" s="3">
        <f>1293+(282.6-402.1)+(-2.63772+(-0.576504--0.820284))+0-0-0</f>
        <v>1171.1060600000001</v>
      </c>
      <c r="AA4" s="3">
        <f>1291.1+(263.1-414.1)+(-1.316922+(-0.268362--0.422382))+0-0-0</f>
        <v>1138.9370979999999</v>
      </c>
      <c r="AB4" s="3">
        <f>1272.9+(232-397.6)+(0+(0-0))+0-0-0</f>
        <v>1107.3000000000002</v>
      </c>
      <c r="AC4" s="3">
        <f>1269.8+(221.4-430.3)+(-1.295196+(-0.225828--0.438906))+0-0-0</f>
        <v>1059.8178819999998</v>
      </c>
      <c r="AD4">
        <f t="shared" si="0"/>
        <v>20696.369339000001</v>
      </c>
      <c r="AE4" s="3">
        <f>1293+(298-386)+(0+(0-0))+0-0-0</f>
        <v>1205</v>
      </c>
    </row>
    <row r="5" spans="1:31" s="2" customFormat="1" x14ac:dyDescent="0.25">
      <c r="A5">
        <v>89</v>
      </c>
      <c r="B5">
        <v>1</v>
      </c>
      <c r="C5">
        <v>5</v>
      </c>
      <c r="D5">
        <v>6</v>
      </c>
      <c r="E5">
        <v>6</v>
      </c>
      <c r="F5" s="3">
        <f>1269.4+(246.1-539.4)+(-3.23697+(-0.627555--1.37547))+0-0-0</f>
        <v>973.61094500000013</v>
      </c>
      <c r="G5" s="3">
        <f>1015.7+(242.9-387.8)+(-1.554021+(-0.371637--0.593334))+0-0-0</f>
        <v>869.4676760000001</v>
      </c>
      <c r="H5" s="3">
        <f>699+(320.5-225.6)+(-0.71298+(-0.32691--0.230112))+0-0-0</f>
        <v>793.09022199999993</v>
      </c>
      <c r="I5" s="3">
        <f>695.2+(291.8-225.9)+(-0.354552+(-0.148818--0.115209))+0-0-0</f>
        <v>760.71183900000005</v>
      </c>
      <c r="J5" s="3">
        <f>695.4+(285.4-232.2)+(-0.354654+(-0.145554--0.118422))+0-0-0</f>
        <v>748.21821399999988</v>
      </c>
      <c r="K5" s="3">
        <f>695.5+(266-215.4)+(-0.354705+(-0.13566--0.109854))+0-0-0</f>
        <v>745.71948900000007</v>
      </c>
      <c r="L5" s="3">
        <f>695.3+(244.5-176.7)+(-1.418412+(-0.49878--0.360468))+0-0-0</f>
        <v>761.54327599999988</v>
      </c>
      <c r="M5" s="3">
        <f>695.4+(255.6-219.6)+(0.354654+(0.130356-0.111996))+0-0-0</f>
        <v>731.77301399999999</v>
      </c>
      <c r="N5" s="3">
        <f>695.3+(254.8-197.8)+(0.354603+(0.129948-0.100878))+0-0-0</f>
        <v>752.683673</v>
      </c>
      <c r="O5" s="3">
        <f>695.4+(313.6-198.4)+(0.354654+(0.159936-0.101184))+0-0-0</f>
        <v>811.01340600000003</v>
      </c>
      <c r="P5" s="3">
        <f>756.2+(356-238.8)+(0+(0-0))+0-0-0</f>
        <v>873.40000000000009</v>
      </c>
      <c r="Q5" s="3">
        <f>793.2+(336.4-259.3)+(0.809064+(0.343128-0.264486))+0-0-0</f>
        <v>871.18770599999993</v>
      </c>
      <c r="R5" s="3">
        <f>794.9+(299.4-229.5)+(-0.405399+(-0.152694--0.117045))+0-0-0</f>
        <v>864.35895199999993</v>
      </c>
      <c r="S5" s="3">
        <f>796.7+(247-195.6)+(-0.812634+(-0.25194--0.199512))+0-0-0</f>
        <v>847.23493800000006</v>
      </c>
      <c r="T5" s="3">
        <f>794.7+(244.6-214)+(0.405297+(0.124746-0.10914))+0-0-0</f>
        <v>825.72090300000002</v>
      </c>
      <c r="U5" s="3">
        <f>793.3+(220.8-201.9)+(-0.809166+(-0.225216--0.205938))+0-0-0</f>
        <v>811.37155599999994</v>
      </c>
      <c r="V5" s="3">
        <f>793.2+(247.9-227.3)+(0+(0-0))+0-0-0</f>
        <v>813.80000000000007</v>
      </c>
      <c r="W5" s="3">
        <f>793.5+(254.3-213.7)+(-1.214055+(-0.389079--0.326961))+0-0-0</f>
        <v>832.82382700000005</v>
      </c>
      <c r="X5" s="3">
        <f>793.4+(272.6-181.5)+(-1.618536+(-0.556104--0.37026))+0-0-0</f>
        <v>882.69561999999996</v>
      </c>
      <c r="Y5" s="3">
        <f>1148.5+(246.2-298.4)+(-1.17147+(-0.251124--0.304368))+0-0-0</f>
        <v>1095.1817739999999</v>
      </c>
      <c r="Z5" s="3">
        <f>1296.6+(214.2-333)+(-1.983798+(-0.327726--0.50949))+0-0-0</f>
        <v>1175.9979659999999</v>
      </c>
      <c r="AA5" s="3">
        <f>1291.2+(207.8-351)+(0+(0-0))+0-0-0</f>
        <v>1148</v>
      </c>
      <c r="AB5" s="3">
        <f>1280.3+(211.5-379.6)+(-0.652953+(-0.107865--0.193596))+0-0-0</f>
        <v>1111.6327779999999</v>
      </c>
      <c r="AC5" s="3">
        <f>1279.6+(175-408.3)+(-1.305192+(-0.1785--0.416466))+0-0-0</f>
        <v>1045.2327740000001</v>
      </c>
      <c r="AD5">
        <f t="shared" si="0"/>
        <v>21146.470547999998</v>
      </c>
      <c r="AE5" s="3">
        <f>1292+(223-321)+(0+(0-0))+0-0-0</f>
        <v>1194</v>
      </c>
    </row>
    <row r="6" spans="1:31" s="2" customFormat="1" x14ac:dyDescent="0.25">
      <c r="A6">
        <v>89</v>
      </c>
      <c r="B6">
        <v>1</v>
      </c>
      <c r="C6">
        <v>6</v>
      </c>
      <c r="D6">
        <v>7</v>
      </c>
      <c r="E6">
        <v>1</v>
      </c>
      <c r="F6" s="3">
        <f>1102+(216.3-350.4)+(-0.56202+(-0.110313--0.178704))+0-0-0</f>
        <v>967.40637100000004</v>
      </c>
      <c r="G6" s="3">
        <f>854.6+(280-273.3)+(-0.871692+(-0.2856--0.278766))+0-0-0</f>
        <v>860.42147399999999</v>
      </c>
      <c r="H6" s="3">
        <f>714.8+(286.5-214.5)+(-1.093644+(-0.438345--0.328185))+0-0-0</f>
        <v>785.59619599999996</v>
      </c>
      <c r="I6" s="3">
        <f>483.6+(317.4-60.8)+(0+(0-0))+0-0-0</f>
        <v>740.2</v>
      </c>
      <c r="J6" s="3">
        <f>462.1+(342.5-84.3)+(-0.707013+(-0.524025--0.128979))+0-0-0</f>
        <v>719.1979409999999</v>
      </c>
      <c r="K6" s="3">
        <f>462.6+(362.8-103)+(0+(0-0))+0-0-0</f>
        <v>722.40000000000009</v>
      </c>
      <c r="L6" s="3">
        <f>462.5+(335.3-81.2)+(0.707625+(0.513009-0.124236))+0-0-0</f>
        <v>717.69639800000004</v>
      </c>
      <c r="M6" s="3">
        <f>462.5+(308.7-105.3)+(-1.41525+(-0.944622--0.322218))+0-0-0</f>
        <v>663.862346</v>
      </c>
      <c r="N6" s="3">
        <f>462.4+(312.9-84.3)+(0.471648+(0.319158-0.085986))+0-0-0</f>
        <v>691.70482000000004</v>
      </c>
      <c r="O6" s="3">
        <f>628.7+(329-207.3)+(0+(0-0))+0-0-0</f>
        <v>750.40000000000009</v>
      </c>
      <c r="P6" s="3">
        <f>657.5+(326.4-185.4)+(0+(0-0))+0-0-0</f>
        <v>798.5</v>
      </c>
      <c r="Q6" s="3">
        <f>657.5+(314.4-156.8)+(0.67065+(0.320688-0.159936))+0-0-0</f>
        <v>815.93140199999993</v>
      </c>
      <c r="R6" s="3">
        <f>657.4+(333.1-171.3)+(0+(0-0))+0-0-0</f>
        <v>819.2</v>
      </c>
      <c r="S6" s="3">
        <f>657.6+(335.7-190)+(-1.006128+(-0.513621--0.2907))+0-0-0</f>
        <v>802.07095099999992</v>
      </c>
      <c r="T6" s="3">
        <f>657.3+(322.6-187.8)+(-1.005669+(-0.493578--0.287334))+0-0-0</f>
        <v>790.88808699999993</v>
      </c>
      <c r="U6" s="3">
        <f>657.4+(307.1-180.5)+(-1.005822+(-0.469863--0.276165))+0-0-0</f>
        <v>782.80047999999999</v>
      </c>
      <c r="V6" s="3">
        <f>707.6+(278.5-189.5)+(-1.082628+(-0.426105--0.289935))+0-0-0</f>
        <v>795.38120200000003</v>
      </c>
      <c r="W6" s="3">
        <f>865.9+(232.2-267.9)+(0+(0-0))+0-0-0</f>
        <v>830.2</v>
      </c>
      <c r="X6" s="3">
        <f>868.8+(235.3-211.8)+(-1.329264+(-0.360009--0.324054))+0-0-0</f>
        <v>890.93478099999993</v>
      </c>
      <c r="Y6" s="3">
        <f>869.4+(363.6-159.8)+(-1.330182+(-0.556308--0.244494))+0-0-0</f>
        <v>1071.558004</v>
      </c>
      <c r="Z6" s="3">
        <f>869.5+(431-159)+(-1.77378+(-0.87924--0.32436))+0-0-0</f>
        <v>1139.1713400000001</v>
      </c>
      <c r="AA6" s="3">
        <f>868.4+(352.4-110.5)+(-0.885768+(-0.359448--0.11271))+0-0-0</f>
        <v>1109.167494</v>
      </c>
      <c r="AB6" s="3">
        <f>865.9+(311.8-106.3)+(-0.441609+(-0.159018--0.054213))+0-0-0</f>
        <v>1070.8535860000002</v>
      </c>
      <c r="AC6" s="3">
        <f>856.5+(315.3-149.2)+(0+(0-0))+0-0-0</f>
        <v>1022.6</v>
      </c>
      <c r="AD6">
        <f t="shared" si="0"/>
        <v>20358.142873000001</v>
      </c>
      <c r="AE6" s="3">
        <f>870+(461-168)+(0+(0-0))+0-0-0</f>
        <v>1163</v>
      </c>
    </row>
    <row r="7" spans="1:31" s="2" customFormat="1" x14ac:dyDescent="0.25">
      <c r="A7">
        <v>89</v>
      </c>
      <c r="B7">
        <v>1</v>
      </c>
      <c r="C7">
        <v>7</v>
      </c>
      <c r="D7">
        <v>1</v>
      </c>
      <c r="E7">
        <v>1</v>
      </c>
      <c r="F7" s="3">
        <f>851.4+(264.3-167.2)+(-0.434214+(-0.134793--0.085272))+0-0-0</f>
        <v>948.01626499999998</v>
      </c>
      <c r="G7" s="3">
        <f>848.4+(287.6-288.4)+(-1.298052+(-0.440028--0.441252))+0-0-0</f>
        <v>846.30317200000002</v>
      </c>
      <c r="H7" s="3">
        <f>839.5+(269.2-314.5)+(0+(0-0))+0-0-0</f>
        <v>794.2</v>
      </c>
      <c r="I7" s="3">
        <f>791.7+(281.7-306.5)+(-1.615068+(-0.574668--0.62526))+0-0-0</f>
        <v>765.33552400000008</v>
      </c>
      <c r="J7" s="3">
        <f>791.4+(260.6-300.8)+(0.403614+(0.132906-0.153408))+0-0-0</f>
        <v>751.58311200000003</v>
      </c>
      <c r="K7" s="3">
        <f>791.5+(264.1-292.2)+(-0.403665+(-0.134691--0.149022))+0-0-0</f>
        <v>763.01066600000013</v>
      </c>
      <c r="L7" s="3">
        <f>791.5+(256.1-272.9)+(-0.80733+(-0.261222--0.278358))+0-0-0</f>
        <v>773.909806</v>
      </c>
      <c r="M7" s="3">
        <f>820.9+(220.9-281.1)+(-1.674636+(-0.450636--0.573444))+0-0-0</f>
        <v>759.14817199999993</v>
      </c>
      <c r="N7" s="3">
        <f>843.6+(277.6-302.4)+(0.860472+(0.283152-0.308448))+0-0-0</f>
        <v>819.63517600000011</v>
      </c>
      <c r="O7" s="3">
        <f>843.8+(346-292.2)+(-0.430338+(-0.17646--0.149022))+0-0-0</f>
        <v>897.14222399999994</v>
      </c>
      <c r="P7" s="3">
        <f>843.9+(401.4-270.7)+(0+(0-0))+0-0-0</f>
        <v>974.59999999999991</v>
      </c>
      <c r="Q7" s="3">
        <f>843.7+(405.4-231.5)+(-0.860574+(-0.413508--0.23613))+0-0-0</f>
        <v>1016.562048</v>
      </c>
      <c r="R7" s="3">
        <f>844.3+(433-242.5)+(-0.430593+(-0.22083--0.123675))+0-0-0</f>
        <v>1034.272252</v>
      </c>
      <c r="S7" s="3">
        <f>844.1+(419.1-255.6)+(-1.291473+(-0.641223--0.391068))+0-0-0</f>
        <v>1006.0583720000001</v>
      </c>
      <c r="T7" s="3">
        <f>843.8+(380.2-243.7)+(-1.721352+(-0.775608--0.497148))+0-0-0</f>
        <v>978.30018799999993</v>
      </c>
      <c r="U7" s="3">
        <f>843.7+(358.3-217.7)+(-0.860574+(-0.365466--0.222054))+0-0-0</f>
        <v>983.29601400000001</v>
      </c>
      <c r="V7" s="3">
        <f>843.7+(352.4-194)+(-2.151435+(-0.89862--0.4947))+0-0-0</f>
        <v>999.54464500000006</v>
      </c>
      <c r="W7" s="3">
        <f>843.8+(368.3-171.7)+(0+(0-0))+0-0-0</f>
        <v>1040.4000000000001</v>
      </c>
      <c r="X7" s="3">
        <f>843.7+(358.2-109.2)+(-1.290861+(-0.548046--0.167076))+0-0-0</f>
        <v>1091.0281689999999</v>
      </c>
      <c r="Y7" s="3">
        <f>856.1+(482.2-112.9)+(0+(0-0))+0-0-0</f>
        <v>1225.4000000000001</v>
      </c>
      <c r="Z7" s="3">
        <f>864.1+(479.5-109.1)+(-0.881382+(-0.48909--0.111282))+0-0-0</f>
        <v>1233.24081</v>
      </c>
      <c r="AA7" s="3">
        <f>864.2+(418.8-91.8)+(-0.881484+(-0.427176--0.093636))+0-0-0</f>
        <v>1189.984976</v>
      </c>
      <c r="AB7" s="3">
        <f>863.8+(364.7-87.4)+(-0.440538+(-0.185997--0.044574))+0-0-0</f>
        <v>1140.5180389999998</v>
      </c>
      <c r="AC7" s="3">
        <f>863.6+(313.1-96.8)+(-0.440436+(-0.159681--0.049368))+0-0-0</f>
        <v>1079.3492510000001</v>
      </c>
      <c r="AD7">
        <f t="shared" si="0"/>
        <v>23110.838880999996</v>
      </c>
      <c r="AE7" s="3">
        <f>864+(476-98)+(0+(0-0))+0-0-0</f>
        <v>1242</v>
      </c>
    </row>
    <row r="8" spans="1:31" s="2" customFormat="1" x14ac:dyDescent="0.25">
      <c r="A8">
        <v>89</v>
      </c>
      <c r="B8">
        <v>1</v>
      </c>
      <c r="C8">
        <v>8</v>
      </c>
      <c r="D8">
        <v>2</v>
      </c>
      <c r="E8">
        <v>1</v>
      </c>
      <c r="F8" s="3">
        <f>799.5+(361.7-121.6)+(-1.63098+(-0.737868--0.248064))+0-0-0</f>
        <v>1037.479216</v>
      </c>
      <c r="G8" s="3">
        <f>543.9+(422.3-48.6)+(-0.832167+(-0.646119--0.074358))+0-0-0</f>
        <v>916.19607199999996</v>
      </c>
      <c r="H8" s="3">
        <f>468.7+(427.1-49.4)+(-0.956148+(-0.871284--0.100776))+0-0-0</f>
        <v>844.67334400000004</v>
      </c>
      <c r="I8" s="3">
        <f>469.1+(372.9-59.6)+(-0.478482+(-0.380358--0.060792))+0-0-0</f>
        <v>781.60195199999998</v>
      </c>
      <c r="J8" s="3">
        <f>468.9+(372.4-65)+(0+(0-0))+0-0-0</f>
        <v>776.3</v>
      </c>
      <c r="K8" s="3">
        <f>469+(396-69.2)+(0.23919+(0.20196-0.035292))+0-0-0</f>
        <v>796.20585799999992</v>
      </c>
      <c r="L8" s="3">
        <f>468.8+(401.5-58.1)+(0.478176+(0.40953-0.059262))+0-0-0</f>
        <v>813.02844400000004</v>
      </c>
      <c r="M8" s="3">
        <f>469.2+(429-86)+(-0.239292+(-0.21879--0.04386))+0-0-0</f>
        <v>811.78577800000005</v>
      </c>
      <c r="N8" s="3">
        <f>555.5+(395.4-84.1)+(-0.283305+(-0.201654--0.042891))+0-0-0</f>
        <v>866.35793200000001</v>
      </c>
      <c r="O8" s="3">
        <f>692.1+(378-128.9)+(-0.705942+(-0.38556--0.131478))+0-0-0</f>
        <v>940.23997600000007</v>
      </c>
      <c r="P8" s="3">
        <f>782.7+(381.9-163.2)+(0+(0-0))+0-0-0</f>
        <v>1001.4000000000001</v>
      </c>
      <c r="Q8" s="3">
        <f>793.3+(379.6-144.1)+(-0.809166+(-0.387192--0.146982))+0-0-0</f>
        <v>1027.750624</v>
      </c>
      <c r="R8" s="3">
        <f>832.8+(355.3-159.5)+(-1.274184+(-0.543609--0.244035))+0-0-0</f>
        <v>1027.0262419999999</v>
      </c>
      <c r="S8" s="3">
        <f>832.5+(310-150.2)+(0+(0-0))+0-0-0</f>
        <v>992.3</v>
      </c>
      <c r="T8" s="3">
        <f>829.6+(296.6-159.4)+(-1.692384+(-0.605064--0.325176))+0-0-0</f>
        <v>964.82772800000009</v>
      </c>
      <c r="U8" s="3">
        <f>825.9+(296.1-155.5)+(-1.263627+(-0.453033--0.237915))+0-0-0</f>
        <v>965.021255</v>
      </c>
      <c r="V8" s="3">
        <f>826.1+(302.4-147.1)+(-0.421311+(-0.154224--0.075021))+0-0-0</f>
        <v>980.89948600000002</v>
      </c>
      <c r="W8" s="3">
        <f>826.1+(330.6-150)+(-1.263933+(-0.505818--0.2295))+0-0-0</f>
        <v>1005.159749</v>
      </c>
      <c r="X8" s="3">
        <f>826.3+(341.1-110.6)+(-0.421413+(-0.173961--0.056406))+0-0-0</f>
        <v>1056.2610319999999</v>
      </c>
      <c r="Y8" s="3">
        <f>854.9+(452.5-86.8)+(-0.871998+(-0.46155--0.088536))+0-0-0</f>
        <v>1219.3549879999998</v>
      </c>
      <c r="Z8" s="3">
        <f>793.3+(520.9-43.7)+(-1.618332+(-1.062636--0.089148))+0-0-0</f>
        <v>1267.9081799999999</v>
      </c>
      <c r="AA8" s="3">
        <f>489.8+(729.6-0)+(-0.249798+(-0.372096-0))+0-0-0</f>
        <v>1218.778106</v>
      </c>
      <c r="AB8" s="3">
        <f>432+(722.7-0)+(-0.66096+(-1.105731-0))+0-0-0</f>
        <v>1152.933309</v>
      </c>
      <c r="AC8" s="3">
        <f>431.7+(666.8-0)+(0.220167+(0.340068-0))+0-0-0</f>
        <v>1099.0602349999999</v>
      </c>
      <c r="AD8">
        <f t="shared" si="0"/>
        <v>23562.549505999999</v>
      </c>
      <c r="AE8" s="3">
        <f>865+(505-58)+(0+(0-0))+0-0-0</f>
        <v>1312</v>
      </c>
    </row>
    <row r="9" spans="1:31" s="2" customFormat="1" x14ac:dyDescent="0.25">
      <c r="A9">
        <v>89</v>
      </c>
      <c r="B9">
        <v>1</v>
      </c>
      <c r="C9">
        <v>9</v>
      </c>
      <c r="D9">
        <v>3</v>
      </c>
      <c r="E9">
        <v>1</v>
      </c>
      <c r="F9" s="3">
        <f>461.1+(540.8-0)+(-1.175805+(-1.37904-0))+0-0-0</f>
        <v>999.34515499999998</v>
      </c>
      <c r="G9" s="3">
        <f>493.7+(421.4-17.6)+(-1.258935+(-1.07457--0.04488))+0-0-0</f>
        <v>895.21137499999998</v>
      </c>
      <c r="H9" s="3">
        <f>490.1+(378.8-29.8)+(0+(0-0))+0-0-0</f>
        <v>839.1</v>
      </c>
      <c r="I9" s="3">
        <f>455+(386.5-31.8)+(-0.4641+(-0.39423--0.032436))+0-0-0</f>
        <v>808.8741060000001</v>
      </c>
      <c r="J9" s="3">
        <f>436.3+(380.9-25.8)+(-1.112565+(-0.971295--0.06579))+0-0-0</f>
        <v>789.38193000000001</v>
      </c>
      <c r="K9" s="3">
        <f>455.1+(367.1-30.7)+(-0.464202+(-0.374442--0.031314))+0-0-0</f>
        <v>790.69267000000002</v>
      </c>
      <c r="L9" s="3">
        <f>456.4+(360.4-25.4)+(0+(0-0))+0-0-0</f>
        <v>791.4</v>
      </c>
      <c r="M9" s="3">
        <f>454.9+(350.8-22.8)+(-0.231999+(-0.178908--0.011628))+0-0-0</f>
        <v>782.500721</v>
      </c>
      <c r="N9" s="3">
        <f>450.4+(394.7-3.5)+(-0.459408+(-0.402594--0.00357))+0-0-0</f>
        <v>840.74156799999992</v>
      </c>
      <c r="O9" s="3">
        <f>442.2+(471.2-0)+(-0.225522+(-0.240312-0))+0-0-0</f>
        <v>912.934166</v>
      </c>
      <c r="P9" s="3">
        <f>452+(507.4-0)+(0+(0-0))+0-0-0</f>
        <v>959.4</v>
      </c>
      <c r="Q9" s="3">
        <f>497.1+(476.5-0)+(0+(0-0))+0-0-0</f>
        <v>973.6</v>
      </c>
      <c r="R9" s="3">
        <f>515.7+(463.8-0)+(0+(0-0))+0-0-0</f>
        <v>979.5</v>
      </c>
      <c r="S9" s="3">
        <f>549.8+(395.4-1.6)+(-1.121592+(-0.806616--0.003264))+0-0-0</f>
        <v>941.67505599999993</v>
      </c>
      <c r="T9" s="3">
        <f>549.7+(392.9-23.4)+(-0.841041+(-0.601137--0.035802))+0-0-0</f>
        <v>917.79362400000002</v>
      </c>
      <c r="U9" s="3">
        <f>549.7+(412.7-53.9)+(-0.280347+(-0.210477--0.027489))+0-0-0</f>
        <v>908.03666499999997</v>
      </c>
      <c r="V9" s="3">
        <f>549.3+(407.2-51.7)+(-1.120572+(-0.830688--0.105468))+0-0-0</f>
        <v>902.95420799999999</v>
      </c>
      <c r="W9" s="3">
        <f>544.3+(405.6-46.7)+(0.277593+(0.206856-0.023817))+0-0-0</f>
        <v>903.66063200000008</v>
      </c>
      <c r="X9" s="3">
        <f>499.9+(450.1-30.1)+(-1.019796+(-0.918204--0.061404))+0-0-0</f>
        <v>918.02340400000003</v>
      </c>
      <c r="Y9" s="3">
        <f>548.3+(588.2-5.6)+(0.279633+(0.299982-0.002856))+0-0-0</f>
        <v>1131.4767590000001</v>
      </c>
      <c r="Z9" s="3">
        <f>564.9+(679.2-0)+(-1.152396+(-1.385568-0))+0-0-0</f>
        <v>1241.5620359999998</v>
      </c>
      <c r="AA9" s="3">
        <f>515.6+(687.8-0)+(-0.262956+(-0.350778-0))+0-0-0</f>
        <v>1202.7862660000001</v>
      </c>
      <c r="AB9" s="3">
        <f>550.3+(630.4-0)+(-0.561306+(-0.643008-0))+0-0-0</f>
        <v>1179.4956859999998</v>
      </c>
      <c r="AC9" s="3">
        <f>590.9+(544.9-3.4)+(-0.904077+(-0.833697--0.005202))+0-0-0</f>
        <v>1130.6674280000002</v>
      </c>
      <c r="AD9">
        <f t="shared" si="0"/>
        <v>22740.813455</v>
      </c>
      <c r="AE9" s="3">
        <f>565+(706.3-0)+(0+(0-0))+0-0-0</f>
        <v>1271.3</v>
      </c>
    </row>
    <row r="10" spans="1:31" s="2" customFormat="1" x14ac:dyDescent="0.25">
      <c r="A10">
        <v>89</v>
      </c>
      <c r="B10">
        <v>1</v>
      </c>
      <c r="C10">
        <v>10</v>
      </c>
      <c r="D10">
        <v>4</v>
      </c>
      <c r="E10">
        <v>1</v>
      </c>
      <c r="F10" s="3">
        <f>604.7+(498.1-53.8)+(-1.233588+(-1.016124--0.109752))+0-0-0</f>
        <v>1046.86004</v>
      </c>
      <c r="G10" s="3">
        <f>616.1+(379-54.4)+(-1.571055+(-0.96645--0.13872))+0-0-0</f>
        <v>938.30121500000007</v>
      </c>
      <c r="H10" s="3">
        <f>565+(353-56.5)+(-1.1526+(-0.72012--0.11526))+0-0-0</f>
        <v>859.74253999999996</v>
      </c>
      <c r="I10" s="3">
        <f>519+(356.4-52.9)+(-0.52938+(-0.363528--0.053958))+0-0-0</f>
        <v>821.66105000000005</v>
      </c>
      <c r="J10" s="3">
        <f>519.3+(349.6-54.4)+(0+(0-0))+0-0-0</f>
        <v>814.5</v>
      </c>
      <c r="K10" s="3">
        <f>519.3+(343.9-53.2)+(-0.529686+(-0.350778--0.054264))+0-0-0</f>
        <v>809.17380000000003</v>
      </c>
      <c r="L10" s="3">
        <f>522.7+(344-57.5)+(-0.533154+(-0.35088--0.05865))+0-0-0</f>
        <v>808.37461600000006</v>
      </c>
      <c r="M10" s="3">
        <f>584.5+(302.8-88.1)+(-0.59619+(-0.308856--0.089862))+0-0-0</f>
        <v>798.384816</v>
      </c>
      <c r="N10" s="3">
        <f>700.6+(293.3-125.3)+(0.714612+(0.299166-0.127806))+0-0-0</f>
        <v>869.48597200000006</v>
      </c>
      <c r="O10" s="3">
        <f>720.3+(332.9-136.4)+(0.367353+(0.169779-0.069564))+0-0-0</f>
        <v>917.26756799999998</v>
      </c>
      <c r="P10" s="3">
        <f>845.4+(269.3-139.9)+(-0.431154+(-0.137343--0.071349))+0-0-0</f>
        <v>974.30285199999992</v>
      </c>
      <c r="Q10" s="3">
        <f>963.3+(227.3-199)+(0.491283+(0.115923-0.10149))+0-0-0</f>
        <v>992.10571599999992</v>
      </c>
      <c r="R10" s="3">
        <f>1011.1+(213.2-242.1)+(-1.031322+(-0.217464--0.246942))+0-0-0</f>
        <v>981.19815600000004</v>
      </c>
      <c r="S10" s="3">
        <f>1024.8+(208.9-277.7)+(-2.090592+(-0.426156--0.566508))+0-0-0</f>
        <v>954.04975999999999</v>
      </c>
      <c r="T10" s="3">
        <f>1026+(214-305.5)+(1.04652+(0.21828-0.31161))+0-0-0</f>
        <v>935.45318999999995</v>
      </c>
      <c r="U10" s="3">
        <f>1027.8+(241.5-350.8)+(0+(0-0))+0-0-0</f>
        <v>918.5</v>
      </c>
      <c r="V10" s="3">
        <f>1034.6+(257.8-382.6)+(-1.055292+(-0.262956--0.390252))+0-0-0</f>
        <v>908.87200399999995</v>
      </c>
      <c r="W10" s="3">
        <f>1049.2+(227.8-361.6)+(-0.535092+(-0.116178--0.184416))+0-0-0</f>
        <v>914.93314600000008</v>
      </c>
      <c r="X10" s="3">
        <f>1053.6+(236.2-343.3)+(-1.074672+(-0.240924--0.350166))+0-0-0</f>
        <v>945.53456999999992</v>
      </c>
      <c r="Y10" s="3">
        <f>1072.6+(280.3-211.2)+(-1.641078+(-0.428859--0.323136))+0-0-0</f>
        <v>1139.9531989999998</v>
      </c>
      <c r="Z10" s="3">
        <f>1077.1+(328.4-157.4)+(-1.098642+(-0.334968--0.160548))+0-0-0</f>
        <v>1246.8269379999999</v>
      </c>
      <c r="AA10" s="3">
        <f>1075.2+(294-169.6)+(-2.193408+(-0.59976--0.345984))+0-0-0</f>
        <v>1197.152816</v>
      </c>
      <c r="AB10" s="3">
        <f>1060.9+(282.7-175.9)+(-2.164236+(-0.576708--0.358836))+0-0-0</f>
        <v>1165.317892</v>
      </c>
      <c r="AC10" s="3">
        <f>1049.8+(263.2-202)+(-1.606194+(-0.402696--0.30906))+0-0-0</f>
        <v>1109.30017</v>
      </c>
      <c r="AD10">
        <f t="shared" si="0"/>
        <v>23067.252026000002</v>
      </c>
      <c r="AE10" s="3">
        <f>1078+(365.1-160.1)+(0+(0-0))+0-0-0</f>
        <v>1283</v>
      </c>
    </row>
    <row r="11" spans="1:31" s="2" customFormat="1" x14ac:dyDescent="0.25">
      <c r="A11">
        <v>89</v>
      </c>
      <c r="B11">
        <v>1</v>
      </c>
      <c r="C11">
        <v>11</v>
      </c>
      <c r="D11">
        <v>5</v>
      </c>
      <c r="E11">
        <v>1</v>
      </c>
      <c r="F11" s="3">
        <f>1001.8+(256.1-196.5)+(-2.55459+(-0.653055--0.501075))+0-0-0</f>
        <v>1058.69343</v>
      </c>
      <c r="G11" s="3">
        <f>832.5+(266.3-143.8)+(-1.273725+(-0.407439--0.220014))+0-0-0</f>
        <v>953.53885000000002</v>
      </c>
      <c r="H11" s="3">
        <f>688.6+(308-122.5)+(-1.404744+(-0.62832--0.2499))+0-0-0</f>
        <v>872.31683599999997</v>
      </c>
      <c r="I11" s="3">
        <f>671.9+(311.6-147)+(-1.370676+(-0.635664--0.29988))+0-0-0</f>
        <v>834.79354000000001</v>
      </c>
      <c r="J11" s="3">
        <f>672.4+(294.7-145.9)+(-1.028772+(-0.450891--0.223227))+0-0-0</f>
        <v>819.94356399999992</v>
      </c>
      <c r="K11" s="3">
        <f>673.4+(298.2-146.9)+(0+(0-0))+0-0-0</f>
        <v>824.69999999999993</v>
      </c>
      <c r="L11" s="3">
        <f>673.7+(307.7-154.1)+(-1.030761+(-0.470781--0.235773))+0-0-0</f>
        <v>826.03423100000009</v>
      </c>
      <c r="M11" s="3">
        <f>706+(296-199.4)+(0+(0-0))+0-0-0</f>
        <v>802.6</v>
      </c>
      <c r="N11" s="3">
        <f>925.3+(275.5-321.3)+(-0.471903+(-0.140505--0.163863))+0-0-0</f>
        <v>879.05145500000003</v>
      </c>
      <c r="O11" s="3">
        <f>1036+(286.5-374.2)+(-0.52836+(-0.146115--0.190842))+0-0-0</f>
        <v>947.8163669999999</v>
      </c>
      <c r="P11" s="3">
        <f>1050.7+(301.1-351.5)+(-3.215142+(-0.921366--1.07559))+0-0-0</f>
        <v>997.23908200000005</v>
      </c>
      <c r="Q11" s="3">
        <f>1051.6+(340.7-364)+(0+(0-0))+0-0-0</f>
        <v>1028.3</v>
      </c>
      <c r="R11" s="3">
        <f>1051.5+(335.1-353.2)+(-1.07253+(-0.341802--0.360264))+0-0-0</f>
        <v>1032.3459320000002</v>
      </c>
      <c r="S11" s="3">
        <f>1051.4+(352.3-399)+(0+(0-0))+0-0-0</f>
        <v>1004.7</v>
      </c>
      <c r="T11" s="3">
        <f>1051.3+(363.9-442.3)+(-0.536163+(-0.185589--0.225573))+0-0-0</f>
        <v>972.40382099999988</v>
      </c>
      <c r="U11" s="3">
        <f>1051.5+(364.1-453.8)+(-2.14506+(-0.742764--0.925752))+0-0-0</f>
        <v>959.83792799999992</v>
      </c>
      <c r="V11" s="3">
        <f>1051.6+(334.4-415.3)+(-1.072632+(-0.341088--0.423606))+0-0-0</f>
        <v>969.70988599999987</v>
      </c>
      <c r="W11" s="3">
        <f>1051.4+(327.2-389.8)+(-1.608642+(-0.500616--0.596394))+0-0-0</f>
        <v>987.28713600000003</v>
      </c>
      <c r="X11" s="3">
        <f>1051.6+(339.6-361.4)+(-1.072632+(-0.346392--0.368628))+0-0-0</f>
        <v>1028.7496039999999</v>
      </c>
      <c r="Y11" s="3">
        <f>1068.7+(382.8-245.8)+(-0.545037+(-0.195228--0.125358))+0-0-0</f>
        <v>1205.0850930000001</v>
      </c>
      <c r="Z11" s="3">
        <f>1081.6+(398.5-192.6)+(-1.654848+(-0.609705--0.294678))+0-0-0</f>
        <v>1285.530125</v>
      </c>
      <c r="AA11" s="3">
        <f>1081.4+(336.9-175.4)+(-1.654542+(-0.515457--0.268362))+0-0-0</f>
        <v>1240.9983630000002</v>
      </c>
      <c r="AB11" s="3">
        <f>1077+(301.5-188.9)+(-1.64781+(-0.461295--0.289017))+0-0-0</f>
        <v>1187.779912</v>
      </c>
      <c r="AC11" s="3">
        <f>1067.2+(274.8-219.1)+(-1.632816+(-0.420444--0.335223))+0-0-0</f>
        <v>1121.181963</v>
      </c>
      <c r="AD11">
        <f t="shared" si="0"/>
        <v>23840.637118000002</v>
      </c>
      <c r="AE11" s="3">
        <f>1082+(392.1-194.7)+(0+(0-0))+0-0-0</f>
        <v>1279.4000000000001</v>
      </c>
    </row>
    <row r="12" spans="1:31" s="2" customFormat="1" x14ac:dyDescent="0.25">
      <c r="A12">
        <v>89</v>
      </c>
      <c r="B12">
        <v>1</v>
      </c>
      <c r="C12">
        <v>12</v>
      </c>
      <c r="D12">
        <v>6</v>
      </c>
      <c r="E12">
        <v>2</v>
      </c>
      <c r="F12" s="3">
        <f>1065.9+(259.7-271.8)+(-2.174436+(-0.529788--0.554472))+0-0-0</f>
        <v>1051.6502480000001</v>
      </c>
      <c r="G12" s="3">
        <f>1059.7+(239.4-348.3)+(-0.540447+(-0.122094--0.177633))+0-0-0</f>
        <v>950.31509200000005</v>
      </c>
      <c r="H12" s="3">
        <f>982.3+(190.1-292.5)+(-1.502919+(-0.290853--0.447525))+0-0-0</f>
        <v>878.55375300000003</v>
      </c>
      <c r="I12" s="3">
        <f>804+(229.5-191.9)+(-1.64016+(-0.46818--0.391476))+0-0-0</f>
        <v>839.88313600000004</v>
      </c>
      <c r="J12" s="3">
        <f>674+(259.6-104.4)+(-0.68748+(-0.264792--0.106488))+0-0-0</f>
        <v>828.35421600000006</v>
      </c>
      <c r="K12" s="3">
        <f>674.3+(266.8-114.7)+(0+(0-0))+0-0-0</f>
        <v>826.4</v>
      </c>
      <c r="L12" s="3">
        <f>673.1+(263.4-126.9)+(-1.716405+(-0.67167--0.323595))+0-0-0</f>
        <v>807.53552000000002</v>
      </c>
      <c r="M12" s="3">
        <f>673.9+(242.1-163.2)+(0.687378+(0.246942-0.166464))+0-0-0</f>
        <v>753.56785600000001</v>
      </c>
      <c r="N12" s="3">
        <f>752.4+(242.1-204.8)+(0.383724+(0.123471-0.104448))+0-0-0</f>
        <v>790.10274699999991</v>
      </c>
      <c r="O12" s="3">
        <f>1021.2+(176.3-330.9)+(0+(0-0))+0-0-0</f>
        <v>866.60000000000014</v>
      </c>
      <c r="P12" s="3">
        <f>1048.1+(222.8-340.8)+(-0.534531+(-0.113628--0.173808))+0-0-0</f>
        <v>929.62564899999995</v>
      </c>
      <c r="Q12" s="3">
        <f>1048.3+(250-346.7)+(0+(0-0))+0-0-0</f>
        <v>951.59999999999991</v>
      </c>
      <c r="R12" s="3">
        <f>1048.4+(228.4-335.6)+(-1.069368+(-0.232968--0.342312))+0-0-0</f>
        <v>940.23997600000007</v>
      </c>
      <c r="S12" s="3">
        <f>1048.3+(180.7-315.3)+(-2.138532+(-0.368628--0.643212))+0-0-0</f>
        <v>911.83605199999988</v>
      </c>
      <c r="T12" s="3">
        <f>1048.5+(197.4-355)+(1.604205+(0.302022-0.54315))+0-0-0</f>
        <v>892.26307699999995</v>
      </c>
      <c r="U12" s="3">
        <f>991.6+(227.2-342.1)+(-1.517148+(-0.347616--0.523413))+0-0-0</f>
        <v>875.35864900000001</v>
      </c>
      <c r="V12" s="3">
        <f>1039.8+(194.9-353.1)+(-1.060596+(-0.198798--0.360162))+0-0-0</f>
        <v>880.70076799999993</v>
      </c>
      <c r="W12" s="3">
        <f>1049.6+(187.3-334.9)+(-1.605888+(-0.286569--0.512397))+0-0-0</f>
        <v>900.61994000000004</v>
      </c>
      <c r="X12" s="3">
        <f>1049.6+(226.2-327.2)+(-2.141184+(-0.461448--0.667488))+0-0-0</f>
        <v>946.66485599999987</v>
      </c>
      <c r="Y12" s="3">
        <f>1064+(293.7-240.4)+(0+(0-0))+0-0-0</f>
        <v>1117.3</v>
      </c>
      <c r="Z12" s="3">
        <f>1076.6+(390.8-285)+(-2.196264+(-0.797232--0.5814))+0-0-0</f>
        <v>1179.9879039999998</v>
      </c>
      <c r="AA12" s="3">
        <f>1073.2+(324-240.9)+(-0.547332+(-0.16524--0.122859))+0-0-0</f>
        <v>1155.7102869999999</v>
      </c>
      <c r="AB12" s="3">
        <f>1072.1+(301.4-265.4)+(-1.093542+(-0.307428--0.270708))+0-0-0</f>
        <v>1106.969738</v>
      </c>
      <c r="AC12" s="3">
        <f>1071.6+(265-283.9)+(-2.186064+(-0.5406--0.579156))+0-0-0</f>
        <v>1050.5524919999998</v>
      </c>
      <c r="AD12">
        <f t="shared" si="0"/>
        <v>22432.391956000003</v>
      </c>
      <c r="AE12" s="3">
        <f>1086+(431.1-305.3)+(0+(0-0))+0-0-0</f>
        <v>1211.8</v>
      </c>
    </row>
    <row r="13" spans="1:31" s="2" customFormat="1" x14ac:dyDescent="0.25">
      <c r="A13">
        <v>89</v>
      </c>
      <c r="B13">
        <v>1</v>
      </c>
      <c r="C13">
        <v>13</v>
      </c>
      <c r="D13">
        <v>7</v>
      </c>
      <c r="E13">
        <v>2</v>
      </c>
      <c r="F13" s="3">
        <f>1067.2+(258.2-316.3)+(-1.088544+(-0.263364--0.322626))+0-0-0</f>
        <v>1008.0707180000001</v>
      </c>
      <c r="G13" s="3">
        <f>859.2+(294-264.5)+(-0.876384+(-0.29988--0.26979))+0-0-0</f>
        <v>887.79352600000004</v>
      </c>
      <c r="H13" s="3">
        <f>763.1+(349.6-290.4)+(-0.778362+(-0.356592--0.296208))+0-0-0</f>
        <v>821.46125400000005</v>
      </c>
      <c r="I13" s="3">
        <f>682.2+(326.8-215)+(-1.043766+(-0.500004--0.32895))+0-0-0</f>
        <v>792.78517999999997</v>
      </c>
      <c r="J13" s="3">
        <f>680.5+(272.6-161.8)+(-0.69411+(-0.278052--0.165036))+0-0-0</f>
        <v>790.49287399999992</v>
      </c>
      <c r="K13" s="3">
        <f>681.3+(271.2-162.9)+(0.347463+(0.138312-0.083079))+0-0-0</f>
        <v>790.0026959999999</v>
      </c>
      <c r="L13" s="3">
        <f>722.6+(258.4-231.3)+(-1.105578+(-0.395352--0.353889))+0-0-0</f>
        <v>748.5529590000001</v>
      </c>
      <c r="M13" s="3">
        <f>786.6+(238.2-326.1)+(0+(0-0))+0-0-0</f>
        <v>698.7</v>
      </c>
      <c r="N13" s="3">
        <f>788.1+(215-294.4)+(0.803862+(0.2193-0.300288))+0-0-0</f>
        <v>709.42287400000009</v>
      </c>
      <c r="O13" s="3">
        <f>785.7+(210.6-280.6)+(-0.400707+(-0.107406--0.143106))+0-0-0</f>
        <v>715.33499300000005</v>
      </c>
      <c r="P13" s="3">
        <f>783.8+(209.6-288.2)+(-0.399738+(-0.106896--0.146982))+0-0-0</f>
        <v>704.84034799999995</v>
      </c>
      <c r="Q13" s="3">
        <f>783.6+(225.9-317.7)+(-0.799272+(-0.230418--0.324054))+0-0-0</f>
        <v>691.09436400000004</v>
      </c>
      <c r="R13" s="3">
        <f>783.2+(221.1-325.8)+(-0.798864+(-0.225522--0.332316))+0-0-0</f>
        <v>677.80793000000006</v>
      </c>
      <c r="S13" s="3">
        <f>782.8+(201.1-321.3)+(-0.399228+(-0.102561--0.163863))+0-0-0</f>
        <v>662.26207399999987</v>
      </c>
      <c r="T13" s="3">
        <f>782.6+(187.4-323.7)+(0+(0-0))+0-0-0</f>
        <v>646.30000000000007</v>
      </c>
      <c r="U13" s="3">
        <f>780.9+(205.1-336.8)+(0+(0-0))+0-0-0</f>
        <v>649.19999999999993</v>
      </c>
      <c r="V13" s="3">
        <f>781.6+(197-326.6)+(0+(0-0))+0-0-0</f>
        <v>652</v>
      </c>
      <c r="W13" s="3">
        <f>782.9+(217-325)+(-1.197837+(-0.33201--0.49725))+0-0-0</f>
        <v>673.86740299999997</v>
      </c>
      <c r="X13" s="3">
        <f>783+(246.5-303.9)+(-0.79866+(-0.25143--0.309978))+0-0-0</f>
        <v>724.85988800000007</v>
      </c>
      <c r="Y13" s="3">
        <f>930.4+(293.3-294.2)+(-0.949008+(-0.299166--0.300084))+0-0-0</f>
        <v>928.55191000000002</v>
      </c>
      <c r="Z13" s="3">
        <f>1077.2+(374.3-335.8)+(-2.74686+(-0.954465--0.85629))+0-0-0</f>
        <v>1112.854965</v>
      </c>
      <c r="AA13" s="3">
        <f>1073.6+(342.1-305.4)+(-1.642608+(-0.523413--0.467262))+0-0-0</f>
        <v>1108.6012409999998</v>
      </c>
      <c r="AB13" s="3">
        <f>1072+(316.1-318.6)+(-1.09344+(-0.322422--0.324972))+0-0-0</f>
        <v>1068.4091100000001</v>
      </c>
      <c r="AC13" s="3">
        <f>1071.1+(259.4-342.9)+(-1.638783+(-0.396882--0.524637))+0-0-0</f>
        <v>986.0889719999999</v>
      </c>
      <c r="AD13">
        <f t="shared" si="0"/>
        <v>19249.355279000003</v>
      </c>
      <c r="AE13" s="3">
        <f>1073+(326.1-298.3)+(0+(0-0))+0-0-0</f>
        <v>1100.8</v>
      </c>
    </row>
    <row r="14" spans="1:31" s="2" customFormat="1" x14ac:dyDescent="0.25">
      <c r="A14">
        <v>89</v>
      </c>
      <c r="B14">
        <v>1</v>
      </c>
      <c r="C14">
        <v>14</v>
      </c>
      <c r="D14">
        <v>1</v>
      </c>
      <c r="E14">
        <v>1</v>
      </c>
      <c r="F14" s="3">
        <f>931.6+(228.2-284.8)+(-0.950232+(-0.232764--0.290496))+0-0-0</f>
        <v>874.10749999999996</v>
      </c>
      <c r="G14" s="3">
        <f>693.3+(261.4-175.5)+(-1.414332+(-0.533256--0.35802))+0-0-0</f>
        <v>777.61043199999995</v>
      </c>
      <c r="H14" s="3">
        <f>665.4+(241.2-168.4)+(-0.339354+(-0.123012--0.085884))+0-0-0</f>
        <v>737.82351799999992</v>
      </c>
      <c r="I14" s="3">
        <f>665.5+(236.9-178.8)+(-0.339405+(-0.120819--0.091188))+0-0-0</f>
        <v>723.23096399999997</v>
      </c>
      <c r="J14" s="3">
        <f>665.5+(219.5-167.2)+(0.339405+(0.111945-0.085272))+0-0-0</f>
        <v>718.16607799999997</v>
      </c>
      <c r="K14" s="3">
        <f>669.4+(234.6-169.1)+(0.682788+(0.239292-0.172482))+0-0-0</f>
        <v>735.64959799999997</v>
      </c>
      <c r="L14" s="3">
        <f>833.3+(246.8-322.1)+(-1.699932+(-0.503472--0.657084))+0-0-0</f>
        <v>756.45367999999996</v>
      </c>
      <c r="M14" s="3">
        <f>878.3+(227.7-339.3)+(0.447933+(0.116127-0.173043))+0-0-0</f>
        <v>767.09101699999997</v>
      </c>
      <c r="N14" s="3">
        <f>1021.1+(258.1-416.8)+(0+(0-0))+0-0-0</f>
        <v>862.40000000000009</v>
      </c>
      <c r="O14" s="3">
        <f>1046.1+(306.5-421.4)+(-0.533511+(-0.156315--0.214914))+0-0-0</f>
        <v>930.72508799999991</v>
      </c>
      <c r="P14" s="3">
        <f>1045.5+(303-387.2)+(0+(0-0))+0-0-0</f>
        <v>961.3</v>
      </c>
      <c r="Q14" s="3">
        <f>1045.6+(341.7-401.6)+(0+(0-0))+0-0-0</f>
        <v>985.69999999999982</v>
      </c>
      <c r="R14" s="3">
        <f>1045.8+(423.1-483.2)+(0+(0-0))+0-0-0</f>
        <v>985.7</v>
      </c>
      <c r="S14" s="3">
        <f>1045.5+(417.9-519)+(-2.13282+(-0.852516--1.05876))+0-0-0</f>
        <v>942.47342400000002</v>
      </c>
      <c r="T14" s="3">
        <f>1044.3+(388.7-525.8)+(0.532593+(0.198237-0.268158))+0-0-0</f>
        <v>907.66267200000004</v>
      </c>
      <c r="U14" s="3">
        <f>1043.8+(326.7-481.2)+(1.064676+(0.333234-0.490824))+0-0-0</f>
        <v>890.207086</v>
      </c>
      <c r="V14" s="3">
        <f>1042.7+(301.3-443)+(-0.531777+(-0.153663--0.22593))+0-0-0</f>
        <v>900.54048999999998</v>
      </c>
      <c r="W14" s="3">
        <f>1042.4+(320.2-445.8)+(-1.594872+(-0.489906--0.682074))+0-0-0</f>
        <v>915.3972960000001</v>
      </c>
      <c r="X14" s="3">
        <f>1045.5+(288.9-400.6)+(-3.19923+(-0.884034--1.225836))+0-0-0</f>
        <v>930.94257199999993</v>
      </c>
      <c r="Y14" s="3">
        <f>1067.7+(353.9-297.8)+(0.544527+(0.180489-0.151878))+0-0-0</f>
        <v>1124.3731379999999</v>
      </c>
      <c r="Z14" s="3">
        <f>908.5+(503.1-166)+(-0.92667+(-0.513162--0.16932))+0-0-0</f>
        <v>1244.3294879999999</v>
      </c>
      <c r="AA14" s="3">
        <f>1056.5+(447.3-298.5)+(-2.15526+(-0.912492--0.60894))+0-0-0</f>
        <v>1202.8411879999999</v>
      </c>
      <c r="AB14" s="3">
        <f>1064.1+(384.9-312)+(-2.170764+(-0.785196--0.63648))+0-0-0</f>
        <v>1134.6805199999999</v>
      </c>
      <c r="AC14" s="3">
        <f>1059.8+(279.1-287.5)+(-1.080996+(-0.284682--0.29325))+0-0-0</f>
        <v>1050.3275720000001</v>
      </c>
      <c r="AD14">
        <f t="shared" si="0"/>
        <v>22059.733321</v>
      </c>
      <c r="AE14" s="3">
        <f>877+(545-150)+(0+(0-0))+0-0-0</f>
        <v>1272</v>
      </c>
    </row>
    <row r="15" spans="1:31" s="2" customFormat="1" x14ac:dyDescent="0.25">
      <c r="A15">
        <v>89</v>
      </c>
      <c r="B15">
        <v>1</v>
      </c>
      <c r="C15">
        <v>15</v>
      </c>
      <c r="D15">
        <v>2</v>
      </c>
      <c r="E15">
        <v>1</v>
      </c>
      <c r="F15" s="3">
        <f>1034.5+(230-287.2)+(-3.16557+(-0.7038--0.878832))+0-0-0</f>
        <v>974.30946199999994</v>
      </c>
      <c r="G15" s="3">
        <f>848.8+(213.5-202.2)+(-0.865776+(-0.21777--0.206244))+0-0-0</f>
        <v>859.22269799999992</v>
      </c>
      <c r="H15" s="3">
        <f>838.2+(217.6-247.4)+(-0.427482+(-0.110976--0.126174))+0-0-0</f>
        <v>807.98771600000009</v>
      </c>
      <c r="I15" s="3">
        <f>820.7+(201.9-234.6)+(-1.674228+(-0.411876--0.478584))+0-0-0</f>
        <v>786.39247999999998</v>
      </c>
      <c r="J15" s="3">
        <f>735+(226.8-175.5)+(-0.7497+(-0.231336--0.17901))+0-0-0</f>
        <v>785.497974</v>
      </c>
      <c r="K15" s="3">
        <f>734.4+(231.2-164.2)+(-1.123632+(-0.353736--0.251226))+0-0-0</f>
        <v>800.173858</v>
      </c>
      <c r="L15" s="3">
        <f>735.3+(243.3-170.6)+(-0.375003+(-0.124083--0.087006))+0-0-0</f>
        <v>807.58792000000005</v>
      </c>
      <c r="M15" s="3">
        <f>845+(248.9-276)+(-1.7238+(-0.507756--0.56304))+0-0-0</f>
        <v>816.23148400000002</v>
      </c>
      <c r="N15" s="3">
        <f>1045.5+(294.2-441.1)+(0+(0-0))+0-0-0</f>
        <v>898.59999999999991</v>
      </c>
      <c r="O15" s="3">
        <f>1068.9+(326-423.4)+(0+(0-0))+0-0-0</f>
        <v>971.50000000000011</v>
      </c>
      <c r="P15" s="3">
        <f>1061.4+(353.1-413.4)+(-0.541314+(-0.180081--0.210834))+0-0-0</f>
        <v>1000.5894390000001</v>
      </c>
      <c r="Q15" s="3">
        <f>1059.6+(396.1-441.7)+(-1.080792+(-0.404022--0.450534))+0-0-0</f>
        <v>1012.96572</v>
      </c>
      <c r="R15" s="3">
        <f>1048.9+(415.6-462.4)+(-2.139756+(-0.847824--0.943296))+0-0-0</f>
        <v>1000.0557160000002</v>
      </c>
      <c r="S15" s="3">
        <f>1048.5+(393.2-476.9)+(-1.06947+(-0.401064--0.486438))+0-0-0</f>
        <v>963.81590399999993</v>
      </c>
      <c r="T15" s="3">
        <f>1048.7+(396.8-498)+(-1.604511+(-0.607104--0.76194))+0-0-0</f>
        <v>946.05032500000004</v>
      </c>
      <c r="U15" s="3">
        <f>1048.6+(393.4-520.9)+(0+(0-0))+0-0-0</f>
        <v>921.09999999999991</v>
      </c>
      <c r="V15" s="3">
        <f>1048.9+(363.5-484.4)+(-1.604817+(-0.556155--0.741132))+0-0-0</f>
        <v>926.58016000000009</v>
      </c>
      <c r="W15" s="3">
        <f>1050.2+(329.2-443.3)+(0.535602+(0.167892-0.226083))+0-0-0</f>
        <v>936.57741099999998</v>
      </c>
      <c r="X15" s="3">
        <f>1052.6+(307.8-356.8)+(-2.68413+(-0.78489--0.90984))+0-0-0</f>
        <v>1001.0408199999999</v>
      </c>
      <c r="Y15" s="3">
        <f>1065.2+(408.9-289.9)+(1.086504+(0.417078-0.295698))+0-0-0</f>
        <v>1185.407884</v>
      </c>
      <c r="Z15" s="3">
        <f>1076.9+(468.8-268.2)+(-1.098438+(-0.478176--0.273564))+0-0-0</f>
        <v>1276.19695</v>
      </c>
      <c r="AA15" s="3">
        <f>1071.4+(457.6-300.8)+(-2.73207+(-1.16688--0.76704))+0-0-0</f>
        <v>1225.06809</v>
      </c>
      <c r="AB15" s="3">
        <f>1069.3+(393-327.9)+(-1.090686+(-0.40086--0.334458))+0-0-0</f>
        <v>1133.2429120000002</v>
      </c>
      <c r="AC15" s="3">
        <f>1069.1+(305.3-329.3)+(-1.635723+(-0.467109--0.503829))+0-0-0</f>
        <v>1043.5009969999999</v>
      </c>
      <c r="AD15">
        <f t="shared" si="0"/>
        <v>23079.695920000002</v>
      </c>
      <c r="AE15" s="3">
        <f>1078+(475.6-250.7)+(0+(0-0))+0-0-0</f>
        <v>1302.9000000000001</v>
      </c>
    </row>
    <row r="16" spans="1:31" s="2" customFormat="1" x14ac:dyDescent="0.25">
      <c r="A16">
        <v>89</v>
      </c>
      <c r="B16">
        <v>1</v>
      </c>
      <c r="C16">
        <v>16</v>
      </c>
      <c r="D16">
        <v>3</v>
      </c>
      <c r="E16">
        <v>1</v>
      </c>
      <c r="F16" s="3">
        <f>1055.7+(242.2-367)+(-2.153628+(-0.494088--0.74868))+0-0-0</f>
        <v>929.00096400000007</v>
      </c>
      <c r="G16" s="3">
        <f>944.7+(235-328)+(0+(0-0))+0-0-0</f>
        <v>851.7</v>
      </c>
      <c r="H16" s="3">
        <f>929.5+(223.9-338.5)+(-0.94809+(-0.228378--0.34527))+0-0-0</f>
        <v>814.06880200000001</v>
      </c>
      <c r="I16" s="3">
        <f>929.4+(204.5-333.1)+(-1.895976+(-0.41718--0.679524))+0-0-0</f>
        <v>799.16636799999992</v>
      </c>
      <c r="J16" s="3">
        <f>929.4+(196.7-328.1)+(0.473994+(0.100317-0.167331))+0-0-0</f>
        <v>798.40697999999998</v>
      </c>
      <c r="K16" s="3">
        <f>929.6+(187.4-306.9)+(0+(0-0))+0-0-0</f>
        <v>810.1</v>
      </c>
      <c r="L16" s="3">
        <f>929.2+(239.6-334.1)+(-0.473892+(-0.122196--0.170391))+0-0-0</f>
        <v>834.27430300000003</v>
      </c>
      <c r="M16" s="3">
        <f>995+(235.3-352.5)+(-0.50745+(-0.120003--0.179775))+0-0-0</f>
        <v>877.35232199999996</v>
      </c>
      <c r="N16" s="3">
        <f>1053.8+(313-404.1)+(0.537438+(0.15963-0.206091))+0-0-0</f>
        <v>963.19097699999998</v>
      </c>
      <c r="O16" s="3">
        <f>1053.7+(334.8-359.8)+(0.537387+(0.170748-0.183498))+0-0-0</f>
        <v>1029.224637</v>
      </c>
      <c r="P16" s="3">
        <f>1054.5+(358.7-327.6)+(0.537795+(0.182937-0.167076))+0-0-0</f>
        <v>1086.153656</v>
      </c>
      <c r="Q16" s="3">
        <f>1053.8+(413.6-355.5)+(-0.537438+(-0.210936--0.181305))+0-0-0</f>
        <v>1111.3329310000001</v>
      </c>
      <c r="R16" s="3">
        <f>1053.9+(400.8-335.3)+(0+(0-0))+0-0-0</f>
        <v>1119.4000000000001</v>
      </c>
      <c r="S16" s="3">
        <f>1053.9+(400.4-380.4)+(-2.149956+(-0.816816--0.776016))+0-0-0</f>
        <v>1071.7092440000001</v>
      </c>
      <c r="T16" s="3">
        <f>1055.7+(408.4-447.6)+(-0.538407+(-0.208284--0.228276))+0-0-0</f>
        <v>1015.981585</v>
      </c>
      <c r="U16" s="3">
        <f>1055.9+(404.8-461.6)+(-1.077018+(-0.412896--0.470832))+0-0-0</f>
        <v>998.08091800000011</v>
      </c>
      <c r="V16" s="3">
        <f>1055.9+(367.9-402)+(-0.538509+(-0.187629--0.20502))+0-0-0</f>
        <v>1021.2788820000001</v>
      </c>
      <c r="W16" s="3">
        <f>1055.8+(345.2-344.3)+(-1.076916+(-0.352104--0.351186))+0-0-0</f>
        <v>1055.6221659999999</v>
      </c>
      <c r="X16" s="3">
        <f>1057.2+(332.2-303.4)+(-2.69586+(-0.84711--0.77367))+0-0-0</f>
        <v>1083.2307000000001</v>
      </c>
      <c r="Y16" s="3">
        <f>1084.8+(419.7-285.8)+(-0.553248+(-0.214047--0.145758))+0-0-0</f>
        <v>1218.0784629999998</v>
      </c>
      <c r="Z16" s="3">
        <f>1151.9+(431.2-293.4)+(-1.762407+(-0.659736--0.448902))+0-0-0</f>
        <v>1287.7267590000001</v>
      </c>
      <c r="AA16" s="3">
        <f>1270.8+(400.4-440.5)+(-2.592432+(-0.816816--0.89862))+0-0-0</f>
        <v>1228.1893719999998</v>
      </c>
      <c r="AB16" s="3">
        <f>1297.2+(292.8-434.4)+(-1.323144+(-0.298656--0.443088))+0-0-0</f>
        <v>1154.4212880000002</v>
      </c>
      <c r="AC16" s="3">
        <f>1292.5+(209.7-440.7)+(-2.6367+(-0.427788--0.899028))+0-0-0</f>
        <v>1059.3345400000001</v>
      </c>
      <c r="AD16">
        <f t="shared" si="0"/>
        <v>24217.025857000004</v>
      </c>
      <c r="AE16" s="3">
        <f>1121+(473.2-245.7)+(0+(0-0))+0-0-0</f>
        <v>1348.5</v>
      </c>
    </row>
    <row r="17" spans="1:31" s="2" customFormat="1" x14ac:dyDescent="0.25">
      <c r="A17">
        <v>89</v>
      </c>
      <c r="B17">
        <v>1</v>
      </c>
      <c r="C17">
        <v>17</v>
      </c>
      <c r="D17">
        <v>4</v>
      </c>
      <c r="E17">
        <v>1</v>
      </c>
      <c r="F17" s="3">
        <f>1235.6+(238.5-523.6)+(-1.890468+(-0.364905--0.801108))+0-0-0</f>
        <v>949.04573499999992</v>
      </c>
      <c r="G17" s="3">
        <f>960.2+(245.5-342)+(-2.44851+(-0.626025--0.8721))+0-0-0</f>
        <v>861.49756500000001</v>
      </c>
      <c r="H17" s="3">
        <f>902+(235.5-317)+(-1.38006+(-0.360315--0.48501))+0-0-0</f>
        <v>819.24463500000002</v>
      </c>
      <c r="I17" s="3">
        <f>904+(216.1-315.2)+(-2.3052+(-0.551055--0.80376))+0-0-0</f>
        <v>802.84750499999996</v>
      </c>
      <c r="J17" s="3">
        <f>903+(171.8-276)+(0+(0-0))+0-0-0</f>
        <v>798.8</v>
      </c>
      <c r="K17" s="3">
        <f>904+(200.2-288.4)+(0.92208+(0.204204-0.294168))+0-0-0</f>
        <v>816.632116</v>
      </c>
      <c r="L17" s="3">
        <f>901.6+(233.2-311.6)+(0+(0-0))+0-0-0</f>
        <v>823.2</v>
      </c>
      <c r="M17" s="3">
        <f>1005.5+(241.2-403.6)+(-2.05122+(-0.492048--0.823344))+0-0-0</f>
        <v>841.38007599999992</v>
      </c>
      <c r="N17" s="3">
        <f>1288.5+(262.1-611.3)+(0+(0-0))+0-0-0</f>
        <v>939.30000000000007</v>
      </c>
      <c r="O17" s="3">
        <f>1446.4+(252.8-690.9)+(2.212992+(0.386784-1.057077))+0-0-0</f>
        <v>1009.8426990000002</v>
      </c>
      <c r="P17" s="3">
        <f>1467.7+(228.9-690.3)+(0.748527+(0.116739-0.352053))+0-0-0</f>
        <v>1006.813213</v>
      </c>
      <c r="Q17" s="3">
        <f>1475.1+(350.3-799.2)+(-2.256903+(-0.535959--1.222776))+0-0-0</f>
        <v>1024.6299139999999</v>
      </c>
      <c r="R17" s="3">
        <f>1477.5+(321.4-780.8)+(-0.753525+(-0.163914--0.398208))+0-0-0</f>
        <v>1017.580769</v>
      </c>
      <c r="S17" s="3">
        <f>1477+(322.6-810.7)+(-1.50654+(-0.329052--0.826914))+0-0-0</f>
        <v>987.89132199999995</v>
      </c>
      <c r="T17" s="3">
        <f>1476.9+(336.2-859.3)+(-0.753219+(-0.171462--0.438243))+0-0-0</f>
        <v>953.31356200000016</v>
      </c>
      <c r="U17" s="3">
        <f>1476.4+(294.9-837.6)+(1.505928+(0.300798-0.854352))+0-0-0</f>
        <v>934.65237400000001</v>
      </c>
      <c r="V17" s="3">
        <f>1475.4+(292.9-823.2)+(1.504908+(0.298758-0.839664))+0-0-0</f>
        <v>946.06400200000007</v>
      </c>
      <c r="W17" s="3">
        <f>1474.4+(267.9-777.3)+(-2.255832+(-0.409887--1.189269))+0-0-0</f>
        <v>963.52355000000011</v>
      </c>
      <c r="X17" s="3">
        <f>1477.7+(283-757.2)+(-1.507254+(-0.28866--0.772344))+0-0-0</f>
        <v>1002.4764300000001</v>
      </c>
      <c r="Y17" s="3">
        <f>1495.7+(323.2-647.8)+(-1.525614+(-0.329664--0.660756))+0-0-0</f>
        <v>1169.9054780000001</v>
      </c>
      <c r="Z17" s="3">
        <f>1509.5+(383.5-625.4)+(-1.53969+(-0.39117--0.637908))+0-0-0</f>
        <v>1266.3070479999999</v>
      </c>
      <c r="AA17" s="3">
        <f>1504.5+(392.9-681.9)+(-1.53459+(-0.400758--0.695538))+0-0-0</f>
        <v>1214.26019</v>
      </c>
      <c r="AB17" s="3">
        <f>1500.8+(329.5-692.6)+(0+(0-0))+0-0-0</f>
        <v>1137.6999999999998</v>
      </c>
      <c r="AC17" s="3">
        <f>1497.3+(239.4-669.4)+(-0.763623+(-0.122094--0.341394))+0-0-0</f>
        <v>1066.7556769999999</v>
      </c>
      <c r="AD17">
        <f t="shared" si="0"/>
        <v>23353.663860000001</v>
      </c>
      <c r="AE17" s="3">
        <f>1507+(431.9-624.7)+(0+(0-0))+0-0-0</f>
        <v>1314.1999999999998</v>
      </c>
    </row>
    <row r="18" spans="1:31" s="2" customFormat="1" x14ac:dyDescent="0.25">
      <c r="A18">
        <v>89</v>
      </c>
      <c r="B18">
        <v>1</v>
      </c>
      <c r="C18">
        <v>18</v>
      </c>
      <c r="D18">
        <v>5</v>
      </c>
      <c r="E18">
        <v>1</v>
      </c>
      <c r="F18" s="3">
        <f>1442.8+(206-682.2)+(-2.207484+(-0.31518--1.043766))+0-0-0</f>
        <v>965.12110199999995</v>
      </c>
      <c r="G18" s="3">
        <f>1298.1+(204.8-633.9)+(0.662031+(0.104448-0.323289))+0-0-0</f>
        <v>869.44318999999996</v>
      </c>
      <c r="H18" s="3">
        <f>1234.6+(240.1-653.8)+(-0.629646+(-0.122451--0.333438))+0-0-0</f>
        <v>820.48134099999993</v>
      </c>
      <c r="I18" s="3">
        <f>1235.9+(245.1-670.9)+(-0.630309+(-0.125001--0.342159))+0-0-0</f>
        <v>809.68684900000017</v>
      </c>
      <c r="J18" s="3">
        <f>1238.5+(152.7-586.8)+(-3.78981+(-0.467262--1.795608))+0-0-0</f>
        <v>801.93853600000011</v>
      </c>
      <c r="K18" s="3">
        <f>1237.6+(158.6-579.3)+(0+(0-0))+0-0-0</f>
        <v>816.9</v>
      </c>
      <c r="L18" s="3">
        <f>1237.5+(157.4-567)+(-1.26225+(-0.160548--0.57834))+0-0-0</f>
        <v>827.05554199999995</v>
      </c>
      <c r="M18" s="3">
        <f>1238.9+(175.2-567.1)+(-0.631839+(-0.089352--0.289221))+0-0-0</f>
        <v>846.56803000000002</v>
      </c>
      <c r="N18" s="3">
        <f>1344.7+(234.6-659.4)+(0.685797+(0.119646-0.336294))+0-0-0</f>
        <v>920.36914900000011</v>
      </c>
      <c r="O18" s="3">
        <f>1465.1+(241.9-733.5)+(0+(0-0))+0-0-0</f>
        <v>973.49999999999989</v>
      </c>
      <c r="P18" s="3">
        <f>1461.7+(237.6-689)+(0+(0-0))+0-0-0</f>
        <v>1010.3000000000001</v>
      </c>
      <c r="Q18" s="3">
        <f>1459.4+(271.9-714.7)+(-1.488588+(-0.277338--0.728994))+0-0-0</f>
        <v>1015.563068</v>
      </c>
      <c r="R18" s="3">
        <f>1425.9+(307.1-718.5)+(-2.181627+(-0.469863--1.099305))+0-0-0</f>
        <v>1012.9478150000001</v>
      </c>
      <c r="S18" s="3">
        <f>1390.8+(295.8-698.7)+(-2.127924+(-0.452574--1.069011))+0-0-0</f>
        <v>986.38851299999988</v>
      </c>
      <c r="T18" s="3">
        <f>1395.6+(296-730.5)+(-2.135268+(-0.45288--1.117665))+0-0-0</f>
        <v>959.62951699999996</v>
      </c>
      <c r="U18" s="3">
        <f>1395.3+(285-742.3)+(-2.134809+(-0.43605--1.135719))+0-0-0</f>
        <v>936.56485999999995</v>
      </c>
      <c r="V18" s="3">
        <f>1395.1+(259.9-708.5)+(-0.711501+(-0.132549--0.361335))+0-0-0</f>
        <v>946.0172849999999</v>
      </c>
      <c r="W18" s="3">
        <f>1395.5+(255.5-684.2)+(-3.558525+(-0.651525--1.74471))+0-0-0</f>
        <v>964.33465999999999</v>
      </c>
      <c r="X18" s="3">
        <f>1397.5+(206.8-607.7)+(-2.138175+(-0.316404--0.929781))+0-0-0</f>
        <v>995.07520199999988</v>
      </c>
      <c r="Y18" s="3">
        <f>1417.6+(238.3-496.9)+(-1.445952+(-0.243066--0.506838))+0-0-0</f>
        <v>1157.81782</v>
      </c>
      <c r="Z18" s="3">
        <f>1428.3+(309.5-471.1)+(-5.099031+(-1.104915--1.681827))+0-0-0</f>
        <v>1262.1778809999998</v>
      </c>
      <c r="AA18" s="3">
        <f>1426.9+(351.2-558.1)+(-2.183157+(-0.537336--0.853893))+0-0-0</f>
        <v>1218.1333999999999</v>
      </c>
      <c r="AB18" s="3">
        <f>1423.9+(326-599.2)+(-2.178567+(-0.49878--0.916776))+0-0-0</f>
        <v>1148.939429</v>
      </c>
      <c r="AC18" s="3">
        <f>1423.6+(228.8-601.1)+(0.726036+(0.116688-0.306561))+0-0-0</f>
        <v>1051.8361629999999</v>
      </c>
      <c r="AD18">
        <f t="shared" si="0"/>
        <v>23316.789351999993</v>
      </c>
      <c r="AE18" s="3">
        <f>1428+(330.9-454.8)+(0+(0-0))+0-0-0</f>
        <v>1304.0999999999999</v>
      </c>
    </row>
    <row r="19" spans="1:31" s="2" customFormat="1" x14ac:dyDescent="0.25">
      <c r="A19">
        <v>89</v>
      </c>
      <c r="B19">
        <v>1</v>
      </c>
      <c r="C19">
        <v>19</v>
      </c>
      <c r="D19">
        <v>6</v>
      </c>
      <c r="E19">
        <v>1</v>
      </c>
      <c r="F19" s="3">
        <f>1423.3+(236.8-683.4)+(-2.903532+(-0.483072--1.394136))+0-0-0</f>
        <v>974.70753200000001</v>
      </c>
      <c r="G19" s="3">
        <f>1369.5+(277.6-752.6)+(-2.095335+(-0.424728--1.151478))+0-0-0</f>
        <v>893.13141499999995</v>
      </c>
      <c r="H19" s="3">
        <f>1288.1+(293.3-735.6)+(-1.313862+(-0.299166--0.750312))+0-0-0</f>
        <v>844.93728399999998</v>
      </c>
      <c r="I19" s="3">
        <f>1291.1+(248.4-711.4)+(-1.975383+(-0.380052--1.088442))+0-0-0</f>
        <v>826.83300699999995</v>
      </c>
      <c r="J19" s="3">
        <f>1291.3+(193.6-655.5)+(0+(0-0))+0-0-0</f>
        <v>829.4</v>
      </c>
      <c r="K19" s="3">
        <f>1291.4+(161-612.1)+(0.658614+(0.08211-0.312171))+0-0-0</f>
        <v>840.72855300000003</v>
      </c>
      <c r="L19" s="3">
        <f>1291.6+(201.4-645.5)+(-1.317432+(-0.205428--0.65841))+0-0-0</f>
        <v>846.63554999999985</v>
      </c>
      <c r="M19" s="3">
        <f>1313.5+(209.4-655.4)+(-0.669885+(-0.106794--0.334254))+0-0-0</f>
        <v>867.05757500000004</v>
      </c>
      <c r="N19" s="3">
        <f>1397.5+(275.5-727)+(-0.712725+(-0.140505--0.37077))+0-0-0</f>
        <v>945.51754000000005</v>
      </c>
      <c r="O19" s="3">
        <f>1397.1+(301.9-723.1)+(2.137563+(0.461907-1.106343))+0-0-0</f>
        <v>977.39312699999982</v>
      </c>
      <c r="P19" s="3">
        <f>1405.6+(272.4-683.4)+(1.433712+(0.277848-0.697068))+0-0-0</f>
        <v>995.61449199999993</v>
      </c>
      <c r="Q19" s="3">
        <f>1405.7+(296-685.7)+(0.716907+(0.15096-0.349707))+0-0-0</f>
        <v>1016.51816</v>
      </c>
      <c r="R19" s="3">
        <f>1404.4+(302.9-682)+(0+(0-0))+0-0-0</f>
        <v>1025.3000000000002</v>
      </c>
      <c r="S19" s="3">
        <f>1402.4+(282.4-713.7)+(-2.860896+(-0.576096--1.455948))+0-0-0</f>
        <v>969.11895600000003</v>
      </c>
      <c r="T19" s="3">
        <f>1319.4+(327-707.5)+(2.018682+(0.50031-1.082475))+0-0-0</f>
        <v>940.33651700000007</v>
      </c>
      <c r="U19" s="3">
        <f>1322+(323.9-738)+(-0.67422+(-0.165189--0.37638))+0-0-0</f>
        <v>907.43697099999997</v>
      </c>
      <c r="V19" s="3">
        <f>1377.5+(321-772.6)+(-0.702525+(-0.16371--0.394026))+0-0-0</f>
        <v>925.42779099999996</v>
      </c>
      <c r="W19" s="3">
        <f>1396.8+(319.6-765.5)+(-1.424736+(-0.325992--0.78081))+0-0-0</f>
        <v>949.93008199999997</v>
      </c>
      <c r="X19" s="3">
        <f>1449.8+(383.5-827.7)+(-0.739398+(-0.195585--0.422127))+0-0-0</f>
        <v>1005.0871439999999</v>
      </c>
      <c r="Y19" s="3">
        <f>1499.5+(302.8-653.5)+(1.52949+(0.308856-0.66657))+0-0-0</f>
        <v>1149.9717759999999</v>
      </c>
      <c r="Z19" s="3">
        <f>1506.4+(376.7-640.7)+(0.768264+(0.192117-0.326757))+0-0-0</f>
        <v>1243.0336240000001</v>
      </c>
      <c r="AA19" s="3">
        <f>1504.8+(407-703.3)+(0+(0-0))+0-0-0</f>
        <v>1208.5</v>
      </c>
      <c r="AB19" s="3">
        <f>1500.8+(403.8-760.1)+(-2.296224+(-0.617814--1.162953))+0-0-0</f>
        <v>1142.7489149999999</v>
      </c>
      <c r="AC19" s="3">
        <f>1498.9+(310-744)+(0+(0-0))+0-0-0</f>
        <v>1064.9000000000001</v>
      </c>
      <c r="AD19">
        <f t="shared" si="0"/>
        <v>23390.266011</v>
      </c>
      <c r="AE19" s="3">
        <f>1500+(384.8-626.9)+(0+(0-0))+0-0-0</f>
        <v>1257.9000000000001</v>
      </c>
    </row>
    <row r="20" spans="1:31" s="2" customFormat="1" x14ac:dyDescent="0.25">
      <c r="A20">
        <v>89</v>
      </c>
      <c r="B20">
        <v>1</v>
      </c>
      <c r="C20">
        <v>20</v>
      </c>
      <c r="D20">
        <v>7</v>
      </c>
      <c r="E20">
        <v>1</v>
      </c>
      <c r="F20" s="3">
        <f>1491.7+(138.4-680.5)+(-1.521534+(-0.141168--0.69411))+0-0-0</f>
        <v>948.63140800000008</v>
      </c>
      <c r="G20" s="3">
        <f>1469.1+(154.1-710.2)+(-2.996964+(-0.314364--1.448808))+0-0-0</f>
        <v>911.13747999999987</v>
      </c>
      <c r="H20" s="3">
        <f>1380.3+(155.4-716.5)+(-1.407906+(-0.158508--0.73083))+0-0-0</f>
        <v>818.36441599999989</v>
      </c>
      <c r="I20" s="3">
        <f>1381+(111.7-717.6)+(-0.70431+(-0.056967--0.365976))+0-0-0</f>
        <v>774.70469900000001</v>
      </c>
      <c r="J20" s="3">
        <f>1466.3+(137.6-780.7)+(-1.495626+(-0.140352--0.796314))+0-0-0</f>
        <v>822.36033599999996</v>
      </c>
      <c r="K20" s="3">
        <f>1478.2+(123.5-774.8)+(-0.753882+(-0.062985--0.395148))+0-0-0</f>
        <v>826.47828100000004</v>
      </c>
      <c r="L20" s="3">
        <f>1483.1+(166.3-822.5)+(-3.025524+(-0.339252--1.6779))+0-0-0</f>
        <v>825.21312399999988</v>
      </c>
      <c r="M20" s="3">
        <f>1485.2+(170.8-918.2)+(0+(0-0))+0-0-0</f>
        <v>737.8</v>
      </c>
      <c r="N20" s="3">
        <f>1482.7+(160-850)+(-1.512354+(-0.1632--0.867))+0-0-0</f>
        <v>791.89144600000009</v>
      </c>
      <c r="O20" s="3">
        <f>1483.1+(181.5-827.3)+(2.269143+(0.277695-1.265769))+0-0-0</f>
        <v>838.58106899999996</v>
      </c>
      <c r="P20" s="3">
        <f>1482+(139.8-749.2)+(1.51164+(0.142596-0.764184))+0-0-0</f>
        <v>873.49005199999988</v>
      </c>
      <c r="Q20" s="3">
        <f>1482.2+(151.7-717.6)+(0.755922+(0.077367-0.365976))+0-0-0</f>
        <v>916.76731299999994</v>
      </c>
      <c r="R20" s="3">
        <f>1481.8+(127.2-705.8)+(0+(0-0))+0-0-0</f>
        <v>903.2</v>
      </c>
      <c r="S20" s="3">
        <f>1480+(118.2-727.7)+(-0.7548+(-0.060282--0.371127))+0-0-0</f>
        <v>870.05604500000004</v>
      </c>
      <c r="T20" s="3">
        <f>1478.4+(140.9-761.3)+(-1.507968+(-0.143718--0.776526))+0-0-0</f>
        <v>857.12484000000006</v>
      </c>
      <c r="U20" s="3">
        <f>1475.3+(106-756.6)+(0.752403+(0.05406-0.385866))+0-0-0</f>
        <v>825.12059699999998</v>
      </c>
      <c r="V20" s="3">
        <f>1473.5+(123.6-751.7)+(-3.00594+(-0.252144--1.533468))+0-0-0</f>
        <v>843.67538400000001</v>
      </c>
      <c r="W20" s="3">
        <f>1473.5+(113.1-712.5)+(-1.50297+(-0.115362--0.72675))+0-0-0</f>
        <v>873.20841800000005</v>
      </c>
      <c r="X20" s="3">
        <f>1473.4+(173.5-689.6)+(-4.508604+(-0.53091--2.110176))+0-0-0</f>
        <v>954.37066200000004</v>
      </c>
      <c r="Y20" s="3">
        <f>1493.3+(202.8-584.9)+(0+(0-0))+0-0-0</f>
        <v>1111.2</v>
      </c>
      <c r="Z20" s="3">
        <f>1501.2+(261.5-592.2)+(-0.765612+(-0.133365--0.302022))+0-0-0</f>
        <v>1169.903045</v>
      </c>
      <c r="AA20" s="3">
        <f>1501.2+(306.5-673.3)+(-2.296836+(-0.468945--1.030149))+0-0-0</f>
        <v>1132.6643680000002</v>
      </c>
      <c r="AB20" s="3">
        <f>1499.4+(321-726.7)+(-2.294082+(-0.49113--1.111851))+0-0-0</f>
        <v>1092.0266389999999</v>
      </c>
      <c r="AC20" s="3">
        <f>1476.6+(214.4-680.6)+(-3.012264+(-0.437376--1.388424))+0-0-0</f>
        <v>1008.3387839999999</v>
      </c>
      <c r="AD20">
        <f t="shared" si="0"/>
        <v>21726.308405999996</v>
      </c>
      <c r="AE20" s="3">
        <f>1502+(280.9-575.2)+(0+(0-0))+0-0-0</f>
        <v>1207.6999999999998</v>
      </c>
    </row>
    <row r="21" spans="1:31" s="2" customFormat="1" x14ac:dyDescent="0.25">
      <c r="A21">
        <v>89</v>
      </c>
      <c r="B21">
        <v>1</v>
      </c>
      <c r="C21">
        <v>21</v>
      </c>
      <c r="D21">
        <v>1</v>
      </c>
      <c r="E21">
        <v>1</v>
      </c>
      <c r="F21" s="3">
        <f>1395.2+(224.4-698.1)+(-3.55776+(-0.57222--1.780155))+0-0-0</f>
        <v>919.15017499999999</v>
      </c>
      <c r="G21" s="3">
        <f>1199.6+(314.8-659.4)+(-3.05898+(-0.80274--1.68147))+0-0-0</f>
        <v>852.81975</v>
      </c>
      <c r="H21" s="3">
        <f>1170.3+(281.1-629.8)+(-3.581118+(-0.860166--1.927188))+0-0-0</f>
        <v>819.08590400000003</v>
      </c>
      <c r="I21" s="3">
        <f>1169.1+(256.5-623.5)+(-0.596241+(-0.130815--0.317985))+0-0-0</f>
        <v>801.69092899999987</v>
      </c>
      <c r="J21" s="3">
        <f>1169.2+(234.8-614.6)+(-1.788876+(-0.359244--0.940338))+0-0-0</f>
        <v>788.19221800000014</v>
      </c>
      <c r="K21" s="3">
        <f>1169.1+(205.9-552.5)+(-1.192482+(-0.210018--0.56355))+0-0-0</f>
        <v>821.66104999999993</v>
      </c>
      <c r="L21" s="3">
        <f>1169.7+(159.1-507)+(-3.579282+(-0.486846--1.55142))+0-0-0</f>
        <v>819.28529200000003</v>
      </c>
      <c r="M21" s="3">
        <f>1173.3+(198.4-516.5)+(0.598383+(0.101184-0.263415))+0-0-0</f>
        <v>855.63615199999992</v>
      </c>
      <c r="N21" s="3">
        <f>1408.2+(227.7-677.4)+(0+(0-0))+0-0-0</f>
        <v>958.5</v>
      </c>
      <c r="O21" s="3">
        <f>1474.2+(270.8-698.2)+(-1.503684+(-0.276216--0.712164))+0-0-0</f>
        <v>1045.732264</v>
      </c>
      <c r="P21" s="3">
        <f>1473+(295.8-680.4)+(0.75123+(0.150858-0.347004))+0-0-0</f>
        <v>1088.9550840000002</v>
      </c>
      <c r="Q21" s="3">
        <f>1478.4+(315.3-683)+(0.753984+(0.160803-0.34833))+0-0-0</f>
        <v>1111.2664569999999</v>
      </c>
      <c r="R21" s="3">
        <f>1478+(320.9-701.7)+(-1.50756+(-0.327318--0.715734))+0-0-0</f>
        <v>1096.0808559999998</v>
      </c>
      <c r="S21" s="3">
        <f>1477.2+(347.6-775)+(-3.76686+(-0.88638--1.97625))+0-0-0</f>
        <v>1047.1230100000002</v>
      </c>
      <c r="T21" s="3">
        <f>1477.1+(345.7-799)+(0.753321+(0.176307-0.40749))+0-0-0</f>
        <v>1024.322138</v>
      </c>
      <c r="U21" s="3">
        <f>1476.5+(300.2-781.6)+(-3.01206+(-0.612408--1.594464))+0-0-0</f>
        <v>993.06999599999995</v>
      </c>
      <c r="V21" s="3">
        <f>1476.4+(262.2-757.6)+(0+(0-0))+0-0-0</f>
        <v>981</v>
      </c>
      <c r="W21" s="3">
        <f>1476.7+(239.3-674.6)+(-3.012468+(-0.488172--1.376184))+0-0-0</f>
        <v>1039.2755440000001</v>
      </c>
      <c r="X21" s="3">
        <f>1476.5+(233-587)+(-1.50603+(-0.23766--0.59874))+0-0-0</f>
        <v>1121.3550499999999</v>
      </c>
      <c r="Y21" s="3">
        <f>1496.7+(227.9-494.9)+(-3.053268+(-0.464916--1.009596))+0-0-0</f>
        <v>1227.1914120000001</v>
      </c>
      <c r="Z21" s="3">
        <f>1508.2+(272.7-503.9)+(-2.307546+(-0.417231--0.770967))+0-0-0</f>
        <v>1275.04619</v>
      </c>
      <c r="AA21" s="3">
        <f>1508.1+(351.6-609.9)+(-2.307393+(-0.537948--0.933147))+0-0-0</f>
        <v>1247.887806</v>
      </c>
      <c r="AB21" s="3">
        <f>1499.2+(284.8-619.2)+(-2.293776+(-0.435744--0.947376))+0-0-0</f>
        <v>1163.0178559999999</v>
      </c>
      <c r="AC21" s="3">
        <f>1471.9+(162.9-561.9)+(-3.002676+(-0.332316--1.146276))+0-0-0</f>
        <v>1070.711284</v>
      </c>
      <c r="AD21">
        <f t="shared" si="0"/>
        <v>24168.056416999996</v>
      </c>
      <c r="AE21" s="3">
        <f>1506+(252-472.2)+(0+(0-0))+0-0-0</f>
        <v>1285.8</v>
      </c>
    </row>
    <row r="22" spans="1:31" s="2" customFormat="1" x14ac:dyDescent="0.25">
      <c r="A22">
        <v>89</v>
      </c>
      <c r="B22">
        <v>1</v>
      </c>
      <c r="C22">
        <v>22</v>
      </c>
      <c r="D22">
        <v>2</v>
      </c>
      <c r="E22">
        <v>1</v>
      </c>
      <c r="F22" s="3">
        <f>1470.2+(183.4-684.8)+(-1.499604+(-0.187068--0.698496))+0-0-0</f>
        <v>967.81182400000012</v>
      </c>
      <c r="G22" s="3">
        <f>1216.2+(222.6-485.5)+(-3.10131+(-0.56763--1.238025))+0-0-0</f>
        <v>950.86908500000004</v>
      </c>
      <c r="H22" s="3">
        <f>904.1+(249.8-318.5)+(-1.383273+(-0.382194--0.487305))+0-0-0</f>
        <v>834.12183800000014</v>
      </c>
      <c r="I22" s="3">
        <f>904.6+(220.6-298.4)+(-1.384038+(-0.337518--0.456552))+0-0-0</f>
        <v>825.53499600000009</v>
      </c>
      <c r="J22" s="3">
        <f>906.1+(192.3-280)+(-2.310555+(-0.490365--0.714))+0-0-0</f>
        <v>816.31308000000013</v>
      </c>
      <c r="K22" s="3">
        <f>905+(206.8-290.6)+(0.9231+(0.210936-0.296412))+0-0-0</f>
        <v>822.03762400000005</v>
      </c>
      <c r="L22" s="3">
        <f>905.2+(200.1-275.6)+(-2.30826+(-0.510255--0.70278))+0-0-0</f>
        <v>827.58426500000007</v>
      </c>
      <c r="M22" s="3">
        <f>960.2+(192.7-303.2)+(-0.489702+(-0.098277--0.154632))+0-0-0</f>
        <v>849.26665300000002</v>
      </c>
      <c r="N22" s="3">
        <f>1176.3+(264.6-483.4)+(0.599913+(0.134946-0.246534))+0-0-0</f>
        <v>957.98832500000003</v>
      </c>
      <c r="O22" s="3">
        <f>1323.9+(300.6-624.4)+(-0.675189+(-0.153306--0.318444))+0-0-0</f>
        <v>999.58994900000016</v>
      </c>
      <c r="P22" s="3">
        <f>1472.7+(295.7-692.1)+(-0.751077+(-0.150807--0.352971))+0-0-0</f>
        <v>1075.7510869999999</v>
      </c>
      <c r="Q22" s="3">
        <f>1474.9+(307.7-704.8)+(0.752199+(0.156927-0.359448))+0-0-0</f>
        <v>1078.3496780000003</v>
      </c>
      <c r="R22" s="3">
        <f>1474.8+(361.6-755)+(-2.256444+(-0.553248--1.15515))+0-0-0</f>
        <v>1079.7454580000001</v>
      </c>
      <c r="S22" s="3">
        <f>1473.7+(339.7-811.3)+(-2.254761+(-0.519741--1.241289))+0-0-0</f>
        <v>1000.5667870000001</v>
      </c>
      <c r="T22" s="3">
        <f>1473.2+(333.7-809.6)+(0+(0-0))+0-0-0</f>
        <v>997.3</v>
      </c>
      <c r="U22" s="3">
        <f>1472+(328.7-809.1)+(0+(0-0))+0-0-0</f>
        <v>991.59999999999991</v>
      </c>
      <c r="V22" s="3">
        <f>1472.1+(326.7-775)+(-0.750771+(-0.166617--0.39525))+0-0-0</f>
        <v>1023.2778619999999</v>
      </c>
      <c r="W22" s="3">
        <f>1472.1+(247.8-707.6)+(-4.504626+(-0.758268--2.165256))+0-0-0</f>
        <v>1009.202362</v>
      </c>
      <c r="X22" s="3">
        <f>1473.1+(233.8-677.4)+(-0.751281+(-0.119238--0.345474))+0-0-0</f>
        <v>1028.9749549999999</v>
      </c>
      <c r="Y22" s="3">
        <f>1493.2+(233.2-564.6)+(-1.523064+(-0.237864--0.575892))+0-0-0</f>
        <v>1160.6149639999999</v>
      </c>
      <c r="Z22" s="3">
        <f>1500.1+(323.1-526.8)+(-4.590306+(-0.988686--1.612008))+0-0-0</f>
        <v>1292.4330160000002</v>
      </c>
      <c r="AA22" s="3">
        <f>1391.2+(368.4-482.7)+(-2.838048+(-0.751536--0.984708))+0-0-0</f>
        <v>1274.295124</v>
      </c>
      <c r="AB22" s="3">
        <f>1280+(326.4-407.8)+(0+(0-0))+0-0-0</f>
        <v>1198.5999999999999</v>
      </c>
      <c r="AC22" s="3">
        <f>1162.5+(293.3-341.9)+(-0.592875+(-0.149583--0.174369))+0-0-0</f>
        <v>1113.331911</v>
      </c>
      <c r="AD22">
        <f t="shared" si="0"/>
        <v>24175.160843000001</v>
      </c>
      <c r="AE22" s="3">
        <f>1504+(346.7-562.7)+(0+(0-0))+0-0-0</f>
        <v>1288</v>
      </c>
    </row>
    <row r="23" spans="1:31" s="2" customFormat="1" x14ac:dyDescent="0.25">
      <c r="A23">
        <v>89</v>
      </c>
      <c r="B23">
        <v>1</v>
      </c>
      <c r="C23">
        <v>23</v>
      </c>
      <c r="D23">
        <v>3</v>
      </c>
      <c r="E23">
        <v>1</v>
      </c>
      <c r="F23" s="3">
        <f>1047.3+(238.6-317)+(-1.602369+(-0.365058--0.48501))+0-0-0</f>
        <v>967.41758299999992</v>
      </c>
      <c r="G23" s="3">
        <f>961.6+(223.5-306.4)+(0+(0-0))+0-0-0</f>
        <v>878.7</v>
      </c>
      <c r="H23" s="3">
        <f>788.5+(263.1-202.8)+(-0.80427+(-0.268362--0.206856))+0-0-0</f>
        <v>847.93422399999997</v>
      </c>
      <c r="I23" s="3">
        <f>731.9+(241.5-153.2)+(-0.373269+(-0.123165--0.078132))+0-0-0</f>
        <v>819.78169800000001</v>
      </c>
      <c r="J23" s="3">
        <f>731.8+(232.6-141.5)+(-1.492872+(-0.474504--0.28866))+0-0-0</f>
        <v>821.22128399999997</v>
      </c>
      <c r="K23" s="3">
        <f>731.8+(238.8-131.6)+(-0.373218+(-0.121788--0.067116))+0-0-0</f>
        <v>838.57210999999995</v>
      </c>
      <c r="L23" s="3">
        <f>731.4+(235.7-131.9)+(-0.373014+(-0.120207--0.067269))+0-0-0</f>
        <v>834.77404799999988</v>
      </c>
      <c r="M23" s="3">
        <f>817+(205.2-173.4)+(-0.83334+(-0.209304--0.176868))+0-0-0</f>
        <v>847.93422399999997</v>
      </c>
      <c r="N23" s="3">
        <f>923.7+(274.5-249.8)+(-1.884348+(-0.55998--0.509592))+0-0-0</f>
        <v>946.46526400000005</v>
      </c>
      <c r="O23" s="3">
        <f>955.3+(312.1-264.3)+(-1.461609+(-0.477513--0.404379))+0-0-0</f>
        <v>1001.5652569999999</v>
      </c>
      <c r="P23" s="3">
        <f>1021+(287-293.5)+(-1.56213+(-0.43911--0.449055))+0-0-0</f>
        <v>1012.947815</v>
      </c>
      <c r="Q23" s="3">
        <f>1051.5+(347.9-363)+(-1.07253+(-0.354858--0.37026))+0-0-0</f>
        <v>1035.3428720000002</v>
      </c>
      <c r="R23" s="3">
        <f>1051.4+(375.5-394)+(0+(0-0))+0-0-0</f>
        <v>1032.9000000000001</v>
      </c>
      <c r="S23" s="3">
        <f>1050.4+(368-428.1)+(-0.535704+(-0.18768--0.218331))+0-0-0</f>
        <v>989.79494700000009</v>
      </c>
      <c r="T23" s="3">
        <f>1049.8+(373.8-457)+(-1.070796+(-0.381276--0.46614))+0-0-0</f>
        <v>965.61406799999986</v>
      </c>
      <c r="U23" s="3">
        <f>1049.5+(346.4-449.9)+(-1.07049+(-0.353328--0.458898))+0-0-0</f>
        <v>945.03507999999999</v>
      </c>
      <c r="V23" s="3">
        <f>1047.5+(295.8-386.9)+(-1.06845+(-0.301716--0.394638))+0-0-0</f>
        <v>955.42447200000004</v>
      </c>
      <c r="W23" s="3">
        <f>1047.6+(234.3-309.3)+(-0.534276+(-0.119493--0.157743))+0-0-0</f>
        <v>972.10397399999988</v>
      </c>
      <c r="X23" s="3">
        <f>1047.4+(201.4-263)+(-0.534174+(-0.102714--0.13413))+0-0-0</f>
        <v>985.2972420000001</v>
      </c>
      <c r="Y23" s="3">
        <f>1066.3+(246.9-175.9)+(0+(0-0))+0-0-0</f>
        <v>1137.3</v>
      </c>
      <c r="Z23" s="3">
        <f>1071.8+(365.8-165.1)+(-1.093236+(-0.373116--0.168402))+0-0-0</f>
        <v>1271.2020500000001</v>
      </c>
      <c r="AA23" s="3">
        <f>1071.3+(344.2-183.6)+(-1.092726+(-0.351084--0.187272))+0-0-0</f>
        <v>1230.6434619999998</v>
      </c>
      <c r="AB23" s="3">
        <f>1068.9+(360.7-262.7)+(-2.180556+(-0.735828--0.535908))+0-0-0</f>
        <v>1164.519524</v>
      </c>
      <c r="AC23" s="3">
        <f>1066.8+(363.9-330.3)+(-1.088136+(-0.371178--0.336906))+0-0-0</f>
        <v>1099.2775919999999</v>
      </c>
      <c r="AD23">
        <f t="shared" si="0"/>
        <v>23601.768789999998</v>
      </c>
      <c r="AE23" s="3">
        <f>1070+(315.6-172)+(0+(0-0))+0-0-0</f>
        <v>1213.5999999999999</v>
      </c>
    </row>
    <row r="24" spans="1:31" s="2" customFormat="1" x14ac:dyDescent="0.25">
      <c r="A24">
        <v>89</v>
      </c>
      <c r="B24">
        <v>1</v>
      </c>
      <c r="C24">
        <v>24</v>
      </c>
      <c r="D24">
        <v>4</v>
      </c>
      <c r="E24">
        <v>1</v>
      </c>
      <c r="F24" s="3">
        <f>1065.9+(333.8-422.9)+(-1.630827+(-0.510714--0.647037))+0-0-0</f>
        <v>975.30549600000018</v>
      </c>
      <c r="G24" s="3">
        <f>1066.1+(282.8-444.5)+(-1.631133+(-0.432684--0.680085))+0-0-0</f>
        <v>903.01626799999985</v>
      </c>
      <c r="H24" s="3">
        <f>1066+(255-461.3)+(0.54366+(0.13005-0.235263))+0-0-0</f>
        <v>860.13844700000004</v>
      </c>
      <c r="I24" s="3">
        <f>1063.4+(206.3-429.3)+(-1.627002+(-0.315639--0.656829))+0-0-0</f>
        <v>839.11418800000013</v>
      </c>
      <c r="J24" s="3">
        <f>1055.7+(219.7-435.5)+(-2.692035+(-0.560235--1.110525))+0-0-0</f>
        <v>837.75825500000008</v>
      </c>
      <c r="K24" s="3">
        <f>1056+(216.7-417.1)+(-1.61568+(-0.331551--0.638163))+0-0-0</f>
        <v>854.29093199999988</v>
      </c>
      <c r="L24" s="3">
        <f>1056.8+(255.2-440)+(-0.538968+(-0.130152--0.2244))+0-0-0</f>
        <v>871.55528000000004</v>
      </c>
      <c r="M24" s="3">
        <f>1058.3+(243.7-404.3)+(0+(0-0))+0-0-0</f>
        <v>897.69999999999993</v>
      </c>
      <c r="N24" s="3">
        <f>1052.1+(343.3-414.2)+(0+(0-0))+0-0-0</f>
        <v>981.19999999999993</v>
      </c>
      <c r="O24" s="3">
        <f>1105.3+(338.2-425)+(-0.563703+(-0.172482--0.21675))+0-0-0</f>
        <v>1017.980565</v>
      </c>
      <c r="P24" s="3">
        <f>1226.2+(302.4-461.3)+(0+(0-0))+0-0-0</f>
        <v>1067.3</v>
      </c>
      <c r="Q24" s="3">
        <f>1231.9+(334.7-477.2)+(0+(0-0))+0-0-0</f>
        <v>1089.4000000000001</v>
      </c>
      <c r="R24" s="3">
        <f>1229.1+(316.1-465.1)+(-1.880523+(-0.483633--0.711603))+0-0-0</f>
        <v>1078.447447</v>
      </c>
      <c r="S24" s="3">
        <f>1372.2+(301.2-637)+(-1.399644+(-0.307224--0.64974))+0-0-0</f>
        <v>1035.3428720000002</v>
      </c>
      <c r="T24" s="3">
        <f>1451.1+(291-738.5)+(-0.740061+(-0.14841--0.376635))+0-0-0</f>
        <v>1003.0881639999999</v>
      </c>
      <c r="U24" s="3">
        <f>1470.5+(242.9-726.1)+(0.749955+(0.123879-0.370311))+0-0-0</f>
        <v>987.80352299999993</v>
      </c>
      <c r="V24" s="3">
        <f>1473.9+(225.9-706.2)+(-0.751689+(-0.115209--0.360162))+0-0-0</f>
        <v>993.09326399999998</v>
      </c>
      <c r="W24" s="3">
        <f>1472.3+(217.8-678.7)+(-2.252619+(-0.333234--1.038411))+0-0-0</f>
        <v>1009.8525579999998</v>
      </c>
      <c r="X24" s="3">
        <f>1473.9+(195.7-628.2)+(-3.758445+(-0.499035--1.60191))+0-0-0</f>
        <v>1038.7444300000002</v>
      </c>
      <c r="Y24" s="3">
        <f>1490.6+(200.8-491.4)+(-1.520412+(-0.204816--0.501228))+0-0-0</f>
        <v>1198.7760000000001</v>
      </c>
      <c r="Z24" s="3">
        <f>1504.2+(220.2-414.9)+(-3.068568+(-0.449208--0.846396))+0-0-0</f>
        <v>1306.82862</v>
      </c>
      <c r="AA24" s="3">
        <f>1504.1+(206.9-441.2)+(-3.835455+(-0.527595--1.12506))+0-0-0</f>
        <v>1266.5620099999999</v>
      </c>
      <c r="AB24" s="3">
        <f>1488.6+(142.6-452.5)+(-3.036744+(-0.290904--0.9231))+0-0-0</f>
        <v>1176.2954519999998</v>
      </c>
      <c r="AC24" s="3">
        <f>1406.1+(167.7-491.8)+(-2.868444+(-0.342108--1.003272))+0-0-0</f>
        <v>1079.7927199999999</v>
      </c>
      <c r="AD24">
        <f t="shared" si="0"/>
        <v>24369.386491000001</v>
      </c>
      <c r="AE24" s="3">
        <f>1507+(239-398)+(0+(0-0))+0-0-0</f>
        <v>1348</v>
      </c>
    </row>
    <row r="25" spans="1:31" s="2" customFormat="1" x14ac:dyDescent="0.25">
      <c r="A25">
        <v>89</v>
      </c>
      <c r="B25">
        <v>1</v>
      </c>
      <c r="C25">
        <v>25</v>
      </c>
      <c r="D25">
        <v>5</v>
      </c>
      <c r="E25">
        <v>1</v>
      </c>
      <c r="F25" s="3">
        <f>1273.7+(190.5-449)+(-1.948761+(-0.291465--0.68697))+0-0-0</f>
        <v>1013.646744</v>
      </c>
      <c r="G25" s="3">
        <f>1030.3+(257.4-335.9)+(-1.576359+(-0.393822--0.513927))+0-0-0</f>
        <v>950.34374600000001</v>
      </c>
      <c r="H25" s="3">
        <f>841.9+(308.7-263.5)+(-0.858738+(-0.314874--0.26877))+0-0-0</f>
        <v>886.19515799999988</v>
      </c>
      <c r="I25" s="3">
        <f>838.2+(318.2-284.4)+(-0.854964+(-0.324564--0.290088))+0-0-0</f>
        <v>871.11055999999996</v>
      </c>
      <c r="J25" s="3">
        <f>838.2+(293.2-278.1)+(-0.854964+(-0.299064--0.283662))+0-0-0</f>
        <v>852.42963399999996</v>
      </c>
      <c r="K25" s="3">
        <f>837.2+(297.8-261.4)+(0.426972+(0.151878-0.133314))+0-0-0</f>
        <v>874.04553600000008</v>
      </c>
      <c r="L25" s="3">
        <f>838.6+(295.2-251.8)+(-0.427686+(-0.150552--0.128418))+0-0-0</f>
        <v>881.55017999999995</v>
      </c>
      <c r="M25" s="3">
        <f>963.1+(281.1-327.8)+(0.491181+(0.143361-0.167178))+0-0-0</f>
        <v>916.86736400000007</v>
      </c>
      <c r="N25" s="3">
        <f>1046.5+(310.5-338)+(0+(0-0))+0-0-0</f>
        <v>1019</v>
      </c>
      <c r="O25" s="3">
        <f>1044.8+(299.4-287.9)+(-0.532848+(-0.152694--0.146829))+0-0-0</f>
        <v>1055.761287</v>
      </c>
      <c r="P25" s="3">
        <f>1045+(266.6-243)+(1.0659+(0.271932-0.24786))+0-0-0</f>
        <v>1069.6899719999999</v>
      </c>
      <c r="Q25" s="3">
        <f>1045.1+(372.6-318.2)+(-1.599003+(-0.570078--0.486846))+0-0-0</f>
        <v>1097.817765</v>
      </c>
      <c r="R25" s="3">
        <f>1045+(388.2-317.7)+(0.53295+(0.197982-0.162027))+0-0-0</f>
        <v>1116.0689050000001</v>
      </c>
      <c r="S25" s="3">
        <f>1044.6+(367-326.9)+(-0.532746+(-0.18717--0.166719))+0-0-0</f>
        <v>1084.1468029999999</v>
      </c>
      <c r="T25" s="3">
        <f>1044.9+(346.2-365.8)+(0.532899+(0.176562-0.186558))+0-0-0</f>
        <v>1025.8229030000002</v>
      </c>
      <c r="U25" s="3">
        <f>1044.5+(344-384.2)+(-1.598085+(-0.52632--0.587826))+0-0-0</f>
        <v>1002.763421</v>
      </c>
      <c r="V25" s="3">
        <f>1044.4+(340.9-340.3)+(0+(0-0))+0-0-0</f>
        <v>1045</v>
      </c>
      <c r="W25" s="3">
        <f>1044.6+(298.1-277.2)+(-1.598238+(-0.456093--0.424116))+0-0-0</f>
        <v>1063.8697850000001</v>
      </c>
      <c r="X25" s="3">
        <f>1047.2+(251.1-212.4)+(-3.204432+(-0.768366--0.649944))+0-0-0</f>
        <v>1082.5771460000001</v>
      </c>
      <c r="Y25" s="3">
        <f>1064+(334.2-178.3)+(-1.08528+(-0.340884--0.181866))+0-0-0</f>
        <v>1218.655702</v>
      </c>
      <c r="Z25" s="3">
        <f>1078.2+(427.3-188.6)+(-2.199528+(-0.871692--0.384744))+0-0-0</f>
        <v>1314.213524</v>
      </c>
      <c r="AA25" s="3">
        <f>1069.5+(458.1-238.5)+(-1.636335+(-0.700893--0.364905))+0-0-0</f>
        <v>1287.1276769999999</v>
      </c>
      <c r="AB25" s="3">
        <f>1050.7+(406.4-239.8)+(-2.143428+(-0.829056--0.489192))+0-0-0</f>
        <v>1214.8167080000001</v>
      </c>
      <c r="AC25" s="3">
        <f>1048.8+(295.4-249.9)+(0+(0-0))+0-0-0</f>
        <v>1094.3</v>
      </c>
      <c r="AD25">
        <f t="shared" si="0"/>
        <v>25037.820519999994</v>
      </c>
      <c r="AE25" s="3">
        <f>1084+(459-204)+(0+(0-0))+0-0-0</f>
        <v>1339</v>
      </c>
    </row>
    <row r="26" spans="1:31" s="2" customFormat="1" x14ac:dyDescent="0.25">
      <c r="A26">
        <v>89</v>
      </c>
      <c r="B26">
        <v>1</v>
      </c>
      <c r="C26">
        <v>26</v>
      </c>
      <c r="D26">
        <v>6</v>
      </c>
      <c r="E26">
        <v>1</v>
      </c>
      <c r="F26" s="3">
        <f>1048.5+(279.6-329.3)+(-1.604205+(-0.427788--0.503829))+0-0-0</f>
        <v>997.27183600000001</v>
      </c>
      <c r="G26" s="3">
        <f>1036.9+(257.7-362.8)+(-0.528819+(-0.131427--0.185028))+0-0-0</f>
        <v>931.32478200000003</v>
      </c>
      <c r="H26" s="3">
        <f>955.1+(244.1-333)+(0+(0-0))+0-0-0</f>
        <v>866.2</v>
      </c>
      <c r="I26" s="3">
        <f>886.5+(293-317.4)+(-1.80846+(-0.59772--0.647496))+0-0-0</f>
        <v>860.34131600000001</v>
      </c>
      <c r="J26" s="3">
        <f>850.8+(292.5-291.1)+(-1.301724+(-0.447525--0.445383))+0-0-0</f>
        <v>850.89613399999996</v>
      </c>
      <c r="K26" s="3">
        <f>850.3+(280.4-272.9)+(0+(0-0))+0-0-0</f>
        <v>857.8</v>
      </c>
      <c r="L26" s="3">
        <f>852.3+(250.6-255.3)+(-2.608038+(-0.766836--0.781218))+0-0-0</f>
        <v>845.0063439999999</v>
      </c>
      <c r="M26" s="3">
        <f>891+(217.7-267.9)+(0.45441+(0.111027-0.136629))+0-0-0</f>
        <v>841.22880799999996</v>
      </c>
      <c r="N26" s="3">
        <f>1049+(259.4-320.2)+(0+(0-0))+0-0-0</f>
        <v>988.2</v>
      </c>
      <c r="O26" s="3">
        <f>1052.3+(134.6-171.1)+(1.073346+(0.137292-0.174522))+0-0-0</f>
        <v>1016.8361159999999</v>
      </c>
      <c r="P26" s="3">
        <f>1052.2+(151.3-149.7)+(-1.609866+(-0.231489--0.229041))+0-0-0</f>
        <v>1052.1876860000002</v>
      </c>
      <c r="Q26" s="3">
        <f>1052.1+(158.1-159.2)+(-1.609713+(-0.241893--0.243576))+0-0-0</f>
        <v>1049.3919699999999</v>
      </c>
      <c r="R26" s="3">
        <f>1053.1+(144-154.7)+(0+(0-0))+0-0-0</f>
        <v>1042.3999999999999</v>
      </c>
      <c r="S26" s="3">
        <f>1052.4+(143-197.1)+(-1.610172+(-0.21879--0.301563))+0-0-0</f>
        <v>996.77260100000012</v>
      </c>
      <c r="T26" s="3">
        <f>1052+(154.3-251)+(-0.53652+(-0.078693--0.12801))+0-0-0</f>
        <v>954.81279699999993</v>
      </c>
      <c r="U26" s="3">
        <f>1052.8+(286.6-409.9)+(-0.536928+(-0.146166--0.209049))+0-0-0</f>
        <v>929.02595499999995</v>
      </c>
      <c r="V26" s="3">
        <f>1052.7+(330.5-396.4)+(-1.610631+(-0.505665--0.606492))+0-0-0</f>
        <v>985.29019600000004</v>
      </c>
      <c r="W26" s="3">
        <f>1052.6+(280.6-348.7)+(-1.610478+(-0.429318--0.533511))+0-0-0</f>
        <v>982.99371499999995</v>
      </c>
      <c r="X26" s="3">
        <f>1052.3+(282.2-314.7)+(-1.610019+(-0.431766--0.481491))+0-0-0</f>
        <v>1018.239706</v>
      </c>
      <c r="Y26" s="3">
        <f>1067.9+(389.1-294.3)+(0.544629+(0.198441-0.150093))+0-0-0</f>
        <v>1163.2929770000001</v>
      </c>
      <c r="Z26" s="3">
        <f>1075.8+(421.1-233.8)+(-1.097316+(-0.429522--0.238476))+0-0-0</f>
        <v>1261.8116379999999</v>
      </c>
      <c r="AA26" s="3">
        <f>1074.5+(397.1-262.5)+(-0.547995+(-0.202521--0.133875))+0-0-0</f>
        <v>1208.4833589999998</v>
      </c>
      <c r="AB26" s="3">
        <f>1072.9+(412.8-308.7)+(-1.094358+(-0.421056--0.314874))+0-0-0</f>
        <v>1175.79946</v>
      </c>
      <c r="AC26" s="3">
        <f>1062.9+(345.7-316.9)+(-3.252474+(-1.057842--0.969714))+0-0-0</f>
        <v>1088.3593980000001</v>
      </c>
      <c r="AD26">
        <f t="shared" si="0"/>
        <v>23963.966793999996</v>
      </c>
      <c r="AE26" s="3">
        <f>1070+(430.6-229.6)+(0+(0-0))+0-0-0</f>
        <v>1271</v>
      </c>
    </row>
    <row r="27" spans="1:31" s="2" customFormat="1" x14ac:dyDescent="0.25">
      <c r="A27">
        <v>89</v>
      </c>
      <c r="B27">
        <v>1</v>
      </c>
      <c r="C27">
        <v>27</v>
      </c>
      <c r="D27">
        <v>7</v>
      </c>
      <c r="E27">
        <v>1</v>
      </c>
      <c r="F27" s="3">
        <f>1054.4+(269.1-319.2)+(-1.075488+(-0.274482--0.325584))+0-0-0</f>
        <v>1003.2756140000001</v>
      </c>
      <c r="G27" s="3">
        <f>1038.5+(290.7-378.5)+(-2.648175+(-0.741285--0.965175))+0-0-0</f>
        <v>948.27571499999999</v>
      </c>
      <c r="H27" s="3">
        <f>949.1+(288.8-358.4)+(-2.420205+(-0.73644--0.91392))+0-0-0</f>
        <v>877.25727500000005</v>
      </c>
      <c r="I27" s="3">
        <f>948.3+(285-385.6)+(-0.967266+(-0.2907--0.393312))+0-0-0</f>
        <v>846.83534599999996</v>
      </c>
      <c r="J27" s="3">
        <f>947.9+(247.6-349.7)+(0+(0-0))+0-0-0</f>
        <v>845.8</v>
      </c>
      <c r="K27" s="3">
        <f>947.8+(229.4-319.7)+(-1.933512+(-0.467976--0.652188))+0-0-0</f>
        <v>855.75070000000005</v>
      </c>
      <c r="L27" s="3">
        <f>947.7+(227.6-341.3)+(-3.383289+(-0.812532--1.218441))+0-0-0</f>
        <v>831.02261999999996</v>
      </c>
      <c r="M27" s="3">
        <f>947.8+(167.6-323.4)+(-1.933512+(-0.341904--0.659736))+0-0-0</f>
        <v>790.38432</v>
      </c>
      <c r="N27" s="3">
        <f>987.7+(107.2-277.5)+(0+(0-0))+0-0-0</f>
        <v>817.40000000000009</v>
      </c>
      <c r="O27" s="3">
        <f>1049.4+(118.7-296.9)+(1.070388+(0.121074-0.302838))+0-0-0</f>
        <v>872.0886240000001</v>
      </c>
      <c r="P27" s="3">
        <f>1048.5+(137.9-254.8)+(0+(0-0))+0-0-0</f>
        <v>931.6</v>
      </c>
      <c r="Q27" s="3">
        <f>1048.8+(142.8-250.3)+(-1.069776+(-0.145656--0.255306))+0-0-0</f>
        <v>940.33987400000001</v>
      </c>
      <c r="R27" s="3">
        <f>1051.5+(151.8-270.1)+(-1.07253+(-0.154836--0.275502))+0-0-0</f>
        <v>932.24813600000004</v>
      </c>
      <c r="S27" s="3">
        <f>1051.6+(173.1-342.3)+(0+(0-0))+0-0-0</f>
        <v>882.39999999999986</v>
      </c>
      <c r="T27" s="3">
        <f>1051.6+(250.1-437.2)+(-2.145264+(-0.510204--0.891888))+0-0-0</f>
        <v>862.73641999999984</v>
      </c>
      <c r="U27" s="3">
        <f>1051.7+(254.9-420.1)+(-3.754569+(-0.909993--1.499757))+0-0-0</f>
        <v>883.335195</v>
      </c>
      <c r="V27" s="3">
        <f>1051.5+(213.8-385.4)+(-3.21759+(-0.654228--1.179324))+0-0-0</f>
        <v>877.20750600000008</v>
      </c>
      <c r="W27" s="3">
        <f>1051.7+(192.4-326.3)+(-0.536367+(-0.098124--0.166413))+0-0-0</f>
        <v>917.33192200000008</v>
      </c>
      <c r="X27" s="3">
        <f>1052.2+(211.4-281)+(-2.68311+(-0.53907--0.71655))+0-0-0</f>
        <v>980.09437000000003</v>
      </c>
      <c r="Y27" s="3">
        <f>1066.5+(253.3-246.9)+(-1.08783+(-0.258366--0.251838))+0-0-0</f>
        <v>1071.805642</v>
      </c>
      <c r="Z27" s="3">
        <f>1075.3+(403.2-280.2)+(-1.096806+(-0.411264--0.285804))+0-0-0</f>
        <v>1197.077734</v>
      </c>
      <c r="AA27" s="3">
        <f>1073.1+(416.1-307.6)+(0+(0-0))+0-0-0</f>
        <v>1181.5999999999999</v>
      </c>
      <c r="AB27" s="3">
        <f>1072.5+(361-327)+(-1.640925+(-0.55233--0.50031))+0-0-0</f>
        <v>1104.807055</v>
      </c>
      <c r="AC27" s="3">
        <f>1072.3+(342-374.2)+(-1.640619+(-0.52326--0.572526))+0-0-0</f>
        <v>1038.5086469999999</v>
      </c>
      <c r="AD27">
        <f t="shared" si="0"/>
        <v>22489.182714999995</v>
      </c>
      <c r="AE27" s="3">
        <f>1070+(450.8-310.5)+(0+(0-0))+0-0-0</f>
        <v>1210.3</v>
      </c>
    </row>
    <row r="28" spans="1:31" s="2" customFormat="1" x14ac:dyDescent="0.25">
      <c r="A28">
        <v>89</v>
      </c>
      <c r="B28">
        <v>1</v>
      </c>
      <c r="C28">
        <v>28</v>
      </c>
      <c r="D28">
        <v>1</v>
      </c>
      <c r="E28">
        <v>1</v>
      </c>
      <c r="F28" s="3">
        <f>1036.2+(317.7-427.7)+(-2.64231+(-0.810135--1.090635))+0-0-0</f>
        <v>923.83819000000005</v>
      </c>
      <c r="G28" s="3">
        <f>961.7+(341.9-422.7)+(-2.942802+(-1.046214--1.293462))+0-0-0</f>
        <v>878.20444600000008</v>
      </c>
      <c r="H28" s="3">
        <f>962.1+(330.7-449.9)+(-1.962684+(-0.674628--0.917796))+0-0-0</f>
        <v>841.18048400000009</v>
      </c>
      <c r="I28" s="3">
        <f>962+(350.9-469.6)+(-0.98124+(-0.357918--0.478992))+0-0-0</f>
        <v>842.43983399999991</v>
      </c>
      <c r="J28" s="3">
        <f>962.1+(330.2-452)+(-1.472013+(-0.505206--0.69156))+0-0-0</f>
        <v>839.01434099999994</v>
      </c>
      <c r="K28" s="3">
        <f>961.8+(299.2-422.4)+(-0.981036+(-0.305184--0.430848))+0-0-0</f>
        <v>837.74462799999992</v>
      </c>
      <c r="L28" s="3">
        <f>955.8+(250-379.2)+(-0.487458+(-0.1275--0.193392))+0-0-0</f>
        <v>826.17843399999992</v>
      </c>
      <c r="M28" s="3">
        <f>993.9+(248.5-388.2)+(0.506889+(0.126735-0.197982))+0-0-0</f>
        <v>854.63564200000008</v>
      </c>
      <c r="N28" s="3">
        <f>1054.7+(410.1-437.7)+(-0.537897+(-0.209151--0.223227))+0-0-0</f>
        <v>1026.5761790000001</v>
      </c>
      <c r="O28" s="3">
        <f>1051.1+(292.8-361)+(0+(0-0))+0-0-0</f>
        <v>982.89999999999986</v>
      </c>
      <c r="P28" s="3">
        <f>1050.5+(287.5-317.3)+(-1.607265+(-0.439875--0.485469))+0-0-0</f>
        <v>1019.138329</v>
      </c>
      <c r="Q28" s="3">
        <f>1049.5+(231.8-279.1)+(-1.605735+(-0.354654--0.427023))+0-0-0</f>
        <v>1000.666634</v>
      </c>
      <c r="R28" s="3">
        <f>1052.3+(277.7-284.8)+(-1.610019+(-0.424881--0.435744))+0-0-0</f>
        <v>1043.6008439999998</v>
      </c>
      <c r="S28" s="3">
        <f>1052.4+(279.6-320.9)+(-2.68362+(-0.71298--0.818295))+0-0-0</f>
        <v>1008.5216950000001</v>
      </c>
      <c r="T28" s="3">
        <f>1052.2+(279.8-377.4)+(-1.609866+(-0.428094--0.577422))+0-0-0</f>
        <v>953.13946200000009</v>
      </c>
      <c r="U28" s="3">
        <f>1051.1+(308.5-420.7)+(-0.536061+(-0.157335--0.214557))+0-0-0</f>
        <v>938.42116099999987</v>
      </c>
      <c r="V28" s="3">
        <f>1051.3+(283.3-369.3)+(-1.072326+(-0.288966--0.376686))+0-0-0</f>
        <v>964.31539399999997</v>
      </c>
      <c r="W28" s="3">
        <f>1051.6+(300.4-371.7)+(-0.536316+(-0.153204--0.189567))+0-0-0</f>
        <v>979.80004699999995</v>
      </c>
      <c r="X28" s="3">
        <f>1052.8+(254.3-308.9)+(-1.610784+(-0.389079--0.472617))+0-0-0</f>
        <v>996.67275400000005</v>
      </c>
      <c r="Y28" s="3">
        <f>1062.4+(328-234.7)+(-0.541824+(-0.16728--0.119697))+0-0-0</f>
        <v>1155.1105930000001</v>
      </c>
      <c r="Z28" s="3">
        <f>1077+(408.4-189.3)+(-2.19708+(-0.833136--0.386172))+0-0-0</f>
        <v>1293.455956</v>
      </c>
      <c r="AA28" s="3">
        <f>1075.5+(415.6-241.9)+(-1.645515+(-0.635868--0.370107))+0-0-0</f>
        <v>1247.288724</v>
      </c>
      <c r="AB28" s="3">
        <f>1074+(323.7-223.2)+(-1.09548+(-0.330174--0.227664))+0-0-0</f>
        <v>1173.3020100000001</v>
      </c>
      <c r="AC28" s="3">
        <f>1007.3+(319.8-267.8)+(-1.027446+(-0.326196--0.273156))+0-0-0</f>
        <v>1058.2195139999999</v>
      </c>
      <c r="AD28">
        <f t="shared" si="0"/>
        <v>23684.365295</v>
      </c>
      <c r="AE28" s="3">
        <f>1074+(411.6-182.7)+(0+(0-0))+0-0-0</f>
        <v>1302.9000000000001</v>
      </c>
    </row>
    <row r="29" spans="1:31" s="2" customFormat="1" x14ac:dyDescent="0.25">
      <c r="A29">
        <v>89</v>
      </c>
      <c r="B29">
        <v>1</v>
      </c>
      <c r="C29">
        <v>29</v>
      </c>
      <c r="D29">
        <v>2</v>
      </c>
      <c r="E29">
        <v>1</v>
      </c>
      <c r="F29" s="3">
        <f>917.8+(363.8-282)+(-1.404234+(-0.556614--0.43146))+0-0-0</f>
        <v>998.07061199999987</v>
      </c>
      <c r="G29" s="3">
        <f>867.4+(270.7-229.4)+(-1.769496+(-0.552228--0.467976))+0-0-0</f>
        <v>906.84625199999994</v>
      </c>
      <c r="H29" s="3">
        <f>867.5+(261.2-254.6)+(-0.442425+(-0.133212--0.129846))+0-0-0</f>
        <v>873.65420900000004</v>
      </c>
      <c r="I29" s="3">
        <f>866.9+(211-226.5)+(-0.442119+(-0.10761--0.115515))+0-0-0</f>
        <v>850.96578599999998</v>
      </c>
      <c r="J29" s="3">
        <f>865.4+(221.4-233.2)+(-0.882708+(-0.225828--0.237864))+0-0-0</f>
        <v>852.72932800000001</v>
      </c>
      <c r="K29" s="3">
        <f>865.8+(201.4-205.5)+(-2.20779+(-0.51357--0.524025))+0-0-0</f>
        <v>859.50266499999998</v>
      </c>
      <c r="L29" s="3">
        <f>870.1+(183.1-212.1)+(-0.443751+(-0.093381--0.108171))+0-0-0</f>
        <v>840.67103900000006</v>
      </c>
      <c r="M29" s="3">
        <f>925.1+(170.1-229)+(-0.943602+(-0.173502--0.23358))+0-0-0</f>
        <v>865.31647600000008</v>
      </c>
      <c r="N29" s="3">
        <f>1011.7+(178-247)+(-1.547901+(-0.27234--0.37791))+0-0-0</f>
        <v>941.25766900000008</v>
      </c>
      <c r="O29" s="3">
        <f>1052.3+(251.5-295)+(0+(0-0))+0-0-0</f>
        <v>1008.8</v>
      </c>
      <c r="P29" s="3">
        <f>1050.5+(249.1-275.8)+(0+(0-0))+0-0-0</f>
        <v>1023.8</v>
      </c>
      <c r="Q29" s="3">
        <f>1049.9+(241.7-259.6)+(-1.070898+(-0.246534--0.264792))+0-0-0</f>
        <v>1030.9473599999999</v>
      </c>
      <c r="R29" s="3">
        <f>1048.7+(271.2-260.2)+(-1.604511+(-0.414936--0.398106))+0-0-0</f>
        <v>1058.078659</v>
      </c>
      <c r="S29" s="3">
        <f>1048.2+(284.9-293.9)+(-0.534582+(-0.145299--0.149889))+0-0-0</f>
        <v>1038.6700080000001</v>
      </c>
      <c r="T29" s="3">
        <f>1048.2+(188.6-258.9)+(0.534582+(0.096186-0.132039))+0-0-0</f>
        <v>978.39872900000012</v>
      </c>
      <c r="U29" s="3">
        <f>1048.3+(172.4-242.7)+(-2.138532+(-0.351696--0.495108))+0-0-0</f>
        <v>976.00487999999996</v>
      </c>
      <c r="V29" s="3">
        <f>1048.1+(192-247.8)+(-0.534531+(-0.09792--0.126378))+0-0-0</f>
        <v>991.79392699999994</v>
      </c>
      <c r="W29" s="3">
        <f>1047.8+(206.8-236.9)+(-1.603134+(-0.316404--0.362457))+0-0-0</f>
        <v>1016.1429189999999</v>
      </c>
      <c r="X29" s="3">
        <f>1048.7+(219.2-245.4)+(-1.604511+(-0.335376--0.375462))+0-0-0</f>
        <v>1020.935575</v>
      </c>
      <c r="Y29" s="3">
        <f>1065.4+(341-231.1)+(-1.086708+(-0.34782--0.235722))+0-0-0</f>
        <v>1174.1011940000001</v>
      </c>
      <c r="Z29" s="3">
        <f>1072.7+(393.2-180)+(-2.188308+(-0.802128--0.3672))+0-0-0</f>
        <v>1283.2767640000002</v>
      </c>
      <c r="AA29" s="3">
        <f>1071.2+(370.9-209.2)+(-2.73156+(-0.945795--0.53346))+0-0-0</f>
        <v>1229.7561050000002</v>
      </c>
      <c r="AB29" s="3">
        <f>1069.1+(301.8-220.2)+(-0.545241+(-0.153918--0.112302))+0-0-0</f>
        <v>1150.1131429999998</v>
      </c>
      <c r="AC29" s="3">
        <f>1061.4+(224.8-244.5)+(-1.082628+(-0.229296--0.24939))+0-0-0</f>
        <v>1040.6374660000001</v>
      </c>
      <c r="AD29">
        <f t="shared" si="0"/>
        <v>24010.470765000002</v>
      </c>
      <c r="AE29" s="3">
        <f>1071+(401.6-184.8)+(0+(0-0))+0-0-0</f>
        <v>1287.8</v>
      </c>
    </row>
    <row r="30" spans="1:31" s="2" customFormat="1" x14ac:dyDescent="0.25">
      <c r="A30">
        <v>89</v>
      </c>
      <c r="B30">
        <v>1</v>
      </c>
      <c r="C30">
        <v>30</v>
      </c>
      <c r="D30">
        <v>3</v>
      </c>
      <c r="E30">
        <v>1</v>
      </c>
      <c r="F30" s="3">
        <f>873.1+(321-216.5)+(-1.335843+(-0.49113--0.331245))+0-0-0</f>
        <v>976.10427200000004</v>
      </c>
      <c r="G30" s="3">
        <f>670.4+(312.7-118.2)+(-1.367616+(-0.637908--0.241128))+0-0-0</f>
        <v>863.13560399999994</v>
      </c>
      <c r="H30" s="3">
        <f>668.1+(350.8-170.8)+(0+(0-0))+0-0-0</f>
        <v>848.1</v>
      </c>
      <c r="I30" s="3">
        <f>667.9+(307.2-162.9)+(-1.362516+(-0.626688--0.332316))+0-0-0</f>
        <v>810.54311199999995</v>
      </c>
      <c r="J30" s="3">
        <f>667.7+(264.3-131.2)+(-0.681054+(-0.269586--0.133824))+0-0-0</f>
        <v>799.98318400000005</v>
      </c>
      <c r="K30" s="3">
        <f>667.6+(251.9-105.2)+(-1.021428+(-0.385407--0.160956))+0-0-0</f>
        <v>813.05412100000001</v>
      </c>
      <c r="L30" s="3">
        <f>669.5+(278.2-103.1)+(-0.68289+(-0.283764--0.105162))+0-0-0</f>
        <v>843.73850800000002</v>
      </c>
      <c r="M30" s="3">
        <f>721.6+(303.4-114.5)+(-0.368016+(-0.154734--0.058395))+0-0-0</f>
        <v>910.03564500000005</v>
      </c>
      <c r="N30" s="3">
        <f>964.9+(208.9-214.1)+(0+(0-0))+0-0-0</f>
        <v>959.7</v>
      </c>
      <c r="O30" s="3">
        <f>1057.8+(219.9-231.1)+(0.539478+(0.112149-0.117861))+0-0-0</f>
        <v>1047.1337659999999</v>
      </c>
      <c r="P30" s="3">
        <f>1056.6+(262.7-198.4)+(0+(0-0))+0-0-0</f>
        <v>1120.8999999999999</v>
      </c>
      <c r="Q30" s="3">
        <f>1055.8+(227.4-162.9)+(-0.538458+(-0.115974--0.083079))+0-0-0</f>
        <v>1119.7286469999999</v>
      </c>
      <c r="R30" s="3">
        <f>1057.8+(258.7-185.4)+(1.078956+(0.263874-0.189108))+0-0-0</f>
        <v>1132.2537219999999</v>
      </c>
      <c r="S30" s="3">
        <f>1057.5+(177.3-178)+(0.539325+(0.090423-0.09078))+0-0-0</f>
        <v>1057.338968</v>
      </c>
      <c r="T30" s="3">
        <f>1057.4+(180.9-243.6)+(-0.539274+(-0.092259--0.124236))+0-0-0</f>
        <v>994.19270300000005</v>
      </c>
      <c r="U30" s="3">
        <f>1056.9+(213.1-270.4)+(-2.695095+(-0.543405--0.68952))+0-0-0</f>
        <v>997.05102000000011</v>
      </c>
      <c r="V30" s="3">
        <f>1058.6+(207-255.8)+(-1.079772+(-0.21114--0.260916))+0-0-0</f>
        <v>1008.770004</v>
      </c>
      <c r="W30" s="3">
        <f>1059.3+(232.1-240.2)+(-2.701215+(-0.591855--0.61251))+0-0-0</f>
        <v>1048.51944</v>
      </c>
      <c r="X30" s="3">
        <f>1060.4+(240.8-193.6)+(-2.70402+(-0.61404--0.49368))+0-0-0</f>
        <v>1104.7756200000001</v>
      </c>
      <c r="Y30" s="3">
        <f>1066.7+(188-121.2)+(-1.632051+(-0.28764--0.185436))+0-0-0</f>
        <v>1131.7657449999999</v>
      </c>
      <c r="Z30" s="3">
        <f>1076.6+(380.9-187)+(-2.196264+(-0.777036--0.38148))+0-0-0</f>
        <v>1267.9081799999999</v>
      </c>
      <c r="AA30" s="3">
        <f>1076.2+(332.2-210.6)+(-3.293172+(-1.016532--0.644436))+0-0-0</f>
        <v>1194.134732</v>
      </c>
      <c r="AB30" s="3">
        <f>1063.3+(269.9-175.1)+(-2.711415+(-0.688245--0.446505))+0-0-0</f>
        <v>1155.146845</v>
      </c>
      <c r="AC30" s="3">
        <f>1030.3+(243.2-213)+(-3.152718+(-0.744192--0.65178))+0-0-0</f>
        <v>1057.25487</v>
      </c>
      <c r="AD30">
        <f t="shared" si="0"/>
        <v>24261.268708</v>
      </c>
      <c r="AE30" s="3">
        <f>1068+(412.6-187)+(0+(0-0))+0-0-0</f>
        <v>1293.5999999999999</v>
      </c>
    </row>
    <row r="31" spans="1:31" s="2" customFormat="1" x14ac:dyDescent="0.25">
      <c r="A31">
        <v>89</v>
      </c>
      <c r="B31">
        <v>1</v>
      </c>
      <c r="C31">
        <v>31</v>
      </c>
      <c r="D31">
        <v>4</v>
      </c>
      <c r="E31">
        <v>1</v>
      </c>
      <c r="F31" s="3">
        <f>689.9+(350.1-103)+(-2.111094+(-1.071306--0.31518))+0-0-0</f>
        <v>934.13278000000003</v>
      </c>
      <c r="G31" s="3">
        <f>659+(364.6-140.7)+(-2.01654+(-1.115676--0.430542))+0-0-0</f>
        <v>880.19832600000007</v>
      </c>
      <c r="H31" s="3">
        <f>658.8+(299.2-150.1)+(-0.335988+(-0.152592--0.076551))+0-0-0</f>
        <v>807.48797100000002</v>
      </c>
      <c r="I31" s="3">
        <f>658.8+(306.4-141.2)+(-0.671976+(-0.312528--0.144024))+0-0-0</f>
        <v>823.15952000000004</v>
      </c>
      <c r="J31" s="3">
        <f>658.7+(301.4-132.8)+(0+(0-0))+0-0-0</f>
        <v>827.3</v>
      </c>
      <c r="K31" s="3">
        <f>659+(285.2-108.2)+(-0.33609+(-0.145452--0.055182))+0-0-0</f>
        <v>835.57363999999995</v>
      </c>
      <c r="L31" s="3">
        <f>658.8+(260.4-96.6)+(-0.671976+(-0.265608--0.098532))+0-0-0</f>
        <v>821.76094799999987</v>
      </c>
      <c r="M31" s="3">
        <f>659+(328.9-89.4)+(-0.67218+(-0.335478--0.091188))+0-0-0</f>
        <v>897.58353</v>
      </c>
      <c r="N31" s="3">
        <f>863.7+(224.2-144.9)+(-1.321461+(-0.343026--0.221697))+0-0-0</f>
        <v>941.55721000000005</v>
      </c>
      <c r="O31" s="3">
        <f>1051.3+(203.4-219)+(-1.608489+(-0.311202--0.33507))+0-0-0</f>
        <v>1034.1153790000001</v>
      </c>
      <c r="P31" s="3">
        <f>1053.2+(212.2-212.8)+(0+(0-0))+0-0-0</f>
        <v>1052.5999999999999</v>
      </c>
      <c r="Q31" s="3">
        <f>1052.8+(257.1-236.8)+(0.536928+(0.131121-0.120768))+0-0-0</f>
        <v>1073.647281</v>
      </c>
      <c r="R31" s="3">
        <f>1046.9+(307.4-284.4)+(-0.533919+(-0.156774--0.145044))+0-0-0</f>
        <v>1069.3543510000002</v>
      </c>
      <c r="S31" s="3">
        <f>1048.3+(303.1-331.4)+(-0.534633+(-0.154581--0.169014))+0-0-0</f>
        <v>1019.4798</v>
      </c>
      <c r="T31" s="3">
        <f>1048.1+(295.2-348.5)+(0+(0-0))+0-0-0</f>
        <v>994.8</v>
      </c>
      <c r="U31" s="3">
        <f>1048.2+(264.3-327.5)+(-1.603746+(-0.404379--0.501075))+0-0-0</f>
        <v>983.49294999999995</v>
      </c>
      <c r="V31" s="3">
        <f>1048.1+(253.1-312.5)+(-1.603593+(-0.387243--0.478125))+0-0-0</f>
        <v>987.18728899999996</v>
      </c>
      <c r="W31" s="3">
        <f>1048+(236.7-276.8)+(-2.6724+(-0.603585--0.70584))+0-0-0</f>
        <v>1005.329855</v>
      </c>
      <c r="X31" s="3">
        <f>1047.4+(237.7-268.8)+(-2.136696+(-0.484908--0.548352))+0-0-0</f>
        <v>1014.226748</v>
      </c>
      <c r="Y31" s="3">
        <f>1059.6+(207.5-202.7)+(-1.080792+(-0.21165--0.206754))+0-0-0</f>
        <v>1063.314312</v>
      </c>
      <c r="Z31" s="3">
        <f>1077+(412-221)+(-1.64781+(-0.63036--0.33813))+0-0-0</f>
        <v>1266.05996</v>
      </c>
      <c r="AA31" s="3">
        <f>1074.4+(456.6-272.4)+(-0.547944+(-0.232866--0.138924))+0-0-0</f>
        <v>1257.958114</v>
      </c>
      <c r="AB31" s="3">
        <f>1074.3+(365-266.3)+(-2.739465+(-0.93075--0.679065))+0-0-0</f>
        <v>1170.0088499999999</v>
      </c>
      <c r="AC31" s="3">
        <f>1051.8+(273.8-263.7)+(-2.145672+(-0.558552--0.537948))+0-0-0</f>
        <v>1059.7337240000002</v>
      </c>
      <c r="AD31">
        <f t="shared" si="0"/>
        <v>23820.062537999998</v>
      </c>
      <c r="AE31" s="3">
        <f>1074+(442.2-235.5)+(0+(0-0))+0-0-0</f>
        <v>1280.7</v>
      </c>
    </row>
    <row r="32" spans="1:31" s="2" customFormat="1" x14ac:dyDescent="0.25">
      <c r="A32">
        <v>89</v>
      </c>
      <c r="B32">
        <v>2</v>
      </c>
      <c r="C32">
        <v>1</v>
      </c>
      <c r="D32">
        <v>5</v>
      </c>
      <c r="E32">
        <v>1</v>
      </c>
      <c r="F32" s="3">
        <f>911.9+(406.2-333.8)+(-0.930138+(-0.414324--0.340476))+0-0-0</f>
        <v>983.2960139999999</v>
      </c>
      <c r="G32" s="3">
        <f>907.1+(437-380.4)+(-2.313105+(-1.11435--0.97002))+0-0-0</f>
        <v>961.24256500000001</v>
      </c>
      <c r="H32" s="3">
        <f>788.6+(438.3-327.5)+(0+(0-0))+0-0-0</f>
        <v>899.40000000000009</v>
      </c>
      <c r="I32" s="3">
        <f>698+(395.4-265.4)+(-1.06794+(-0.604962--0.406062))+0-0-0</f>
        <v>826.73316</v>
      </c>
      <c r="J32" s="3">
        <f>696.8+(393.5-242.7)+(-1.066104+(-0.602055--0.371331))+0-0-0</f>
        <v>846.3031719999999</v>
      </c>
      <c r="K32" s="3">
        <f>697+(314.7-171.3)+(-1.42188+(-0.641988--0.349452))+0-0-0</f>
        <v>838.68558399999995</v>
      </c>
      <c r="L32" s="3">
        <f>697+(286.3-166.4)+(-1.06641+(-0.438039--0.254592))+0-0-0</f>
        <v>815.65014299999996</v>
      </c>
      <c r="M32" s="3">
        <f>885+(189.2-258.9)+(0+(0-0))+0-0-0</f>
        <v>815.3</v>
      </c>
      <c r="N32" s="3">
        <f>1049.6+(212.9-314.7)+(1.070592+(0.217158-0.320994))+0-0-0</f>
        <v>948.76675599999999</v>
      </c>
      <c r="O32" s="3">
        <f>1047.6+(257.7-295.6)+(2.137104+(0.525708-0.603024))+0-0-0</f>
        <v>1011.7597879999998</v>
      </c>
      <c r="P32" s="3">
        <f>1046.2+(262.1-277.4)+(-0.533562+(-0.133671--0.141474))+0-0-0</f>
        <v>1030.374241</v>
      </c>
      <c r="Q32" s="3">
        <f>1045.3+(287.6-296.7)+(1.599309+(0.440028-0.453951))+0-0-0</f>
        <v>1037.785386</v>
      </c>
      <c r="R32" s="3">
        <f>1043.6+(304.6-340.2)+(0.532236+(0.155346-0.173502))+0-0-0</f>
        <v>1008.51408</v>
      </c>
      <c r="S32" s="3">
        <f>1043+(324.5-394.8)+(-2.12772+(-0.66198--0.805392))+0-0-0</f>
        <v>970.71569199999999</v>
      </c>
      <c r="T32" s="3">
        <f>1042.4+(374.3-460.9)+(-0.531624+(-0.190893--0.235059))+0-0-0</f>
        <v>955.31254200000024</v>
      </c>
      <c r="U32" s="3">
        <f>1041+(334.9-409.4)+(-0.53091+(-0.170799--0.208794))+0-0-0</f>
        <v>966.00708499999996</v>
      </c>
      <c r="V32" s="3">
        <f>1041+(292.2-351)+(-2.65455+(-0.74511--0.89505))+0-0-0</f>
        <v>979.69539000000009</v>
      </c>
      <c r="W32" s="3">
        <f>1041+(283.9-324.8)+(-1.59273+(-0.434367--0.496944))+0-0-0</f>
        <v>998.56984699999987</v>
      </c>
      <c r="X32" s="3">
        <f>1043.9+(267.6-300.2)+(-3.194334+(-0.818856--0.918612))+0-0-0</f>
        <v>1008.2054220000002</v>
      </c>
      <c r="Y32" s="3">
        <f>1058.2+(330.7-259.3)+(-0.539682+(-0.168657--0.132243))+0-0-0</f>
        <v>1129.0239039999999</v>
      </c>
      <c r="Z32" s="3">
        <f>1069.5+(418.5-206.9)+(-2.18178+(-0.85374--0.422076))+0-0-0</f>
        <v>1278.4865559999998</v>
      </c>
      <c r="AA32" s="3">
        <f>1067+(367.1-220.4)+(-3.26502+(-1.123326--0.674424))+0-0-0</f>
        <v>1209.9860780000001</v>
      </c>
      <c r="AB32" s="3">
        <f>1065.1+(394.7-287.4)+(-1.629603+(-0.603891--0.439722))+0-0-0</f>
        <v>1170.6062279999999</v>
      </c>
      <c r="AC32" s="3">
        <f>1064.3+(293.6-277.8)+(-1.085586+(-0.299472--0.283356))+0-0-0</f>
        <v>1078.998298</v>
      </c>
      <c r="AD32">
        <f t="shared" si="0"/>
        <v>23769.417931</v>
      </c>
      <c r="AE32" s="3">
        <f>1073+(486.8-210.3)+(0+(0-0))+0-0-0</f>
        <v>1349.5</v>
      </c>
    </row>
    <row r="33" spans="1:31" s="2" customFormat="1" x14ac:dyDescent="0.25">
      <c r="A33">
        <v>89</v>
      </c>
      <c r="B33">
        <v>2</v>
      </c>
      <c r="C33">
        <v>2</v>
      </c>
      <c r="D33">
        <v>6</v>
      </c>
      <c r="E33">
        <v>1</v>
      </c>
      <c r="F33" s="3">
        <f>1058.3+(274.2-382.1)+(-1.079466+(-0.279684--0.389742))+0-0-0</f>
        <v>949.43059199999982</v>
      </c>
      <c r="G33" s="3">
        <f>1031+(305-445.4)+(0+(0-0))+0-0-0</f>
        <v>890.6</v>
      </c>
      <c r="H33" s="3">
        <f>1047.5+(259.4-438.5)+(-1.602675+(-0.396882--0.670905))+0-0-0</f>
        <v>867.07134799999994</v>
      </c>
      <c r="I33" s="3">
        <f>1013.8+(242.6-421.4)+(-2.58519+(-0.61863--1.07457))+0-0-0</f>
        <v>832.87075000000004</v>
      </c>
      <c r="J33" s="3">
        <f>944.7+(249.6-380.1)+(0.481797+(0.127296-0.193851))+0-0-0</f>
        <v>814.61524200000008</v>
      </c>
      <c r="K33" s="3">
        <f>946.7+(212.4-351.1)+(0+(0-0))+0-0-0</f>
        <v>808</v>
      </c>
      <c r="L33" s="3">
        <f>902.7+(263.7-331.3)+(-1.381131+(-0.403461--0.506889))+0-0-0</f>
        <v>833.82229700000005</v>
      </c>
      <c r="M33" s="3">
        <f>836+(238.7-230.5)+(-0.42636+(-0.121737--0.117555))+0-0-0</f>
        <v>843.7694580000001</v>
      </c>
      <c r="N33" s="3">
        <f>837.3+(215.4-126.1)+(0+(0-0))+0-0-0</f>
        <v>926.59999999999991</v>
      </c>
      <c r="O33" s="3">
        <f>900.9+(259.2-194.8)+(-0.918918+(-0.264384--0.198696))+0-0-0</f>
        <v>964.31539399999997</v>
      </c>
      <c r="P33" s="3">
        <f>987.1+(294-263.8)+(-1.006842+(-0.29988--0.269076))+0-0-0</f>
        <v>1016.262354</v>
      </c>
      <c r="Q33" s="3">
        <f>1040+(266.8-273.9)+(-0.5304+(-0.136068--0.139689))+0-0-0</f>
        <v>1032.3732210000001</v>
      </c>
      <c r="R33" s="3">
        <f>1038.8+(272.5-272.8)+(-0.529788+(-0.138975--0.139128))+0-0-0</f>
        <v>1037.9703649999999</v>
      </c>
      <c r="S33" s="3">
        <f>1038.5+(244.9-287.2)+(-0.529635+(-0.124899--0.146472))+0-0-0</f>
        <v>995.69193800000005</v>
      </c>
      <c r="T33" s="3">
        <f>1038+(300-360.2)+(-0.52938+(-0.153--0.183702))+0-0-0</f>
        <v>977.30132199999991</v>
      </c>
      <c r="U33" s="3">
        <f>1040.6+(301.7-386.8)+(-0.530706+(-0.153867--0.197268))+0-0-0</f>
        <v>955.01269499999989</v>
      </c>
      <c r="V33" s="3">
        <f>1040.9+(301.3-390.7)+(-2.123436+(-0.614652--0.797028))+0-0-0</f>
        <v>949.55894000000012</v>
      </c>
      <c r="W33" s="3">
        <f>1040.3+(254.2-354.8)+(-3.183318+(-0.777852--1.085688))+0-0-0</f>
        <v>936.8245179999999</v>
      </c>
      <c r="X33" s="3">
        <f>1041.5+(263.8-331.6)+(-1.06233+(-0.269076--0.338232))+0-0-0</f>
        <v>972.70682600000009</v>
      </c>
      <c r="Y33" s="3">
        <f>1056.7+(365.1-303.8)+(-0.538917+(-0.186201--0.154938))+0-0-0</f>
        <v>1117.4298200000001</v>
      </c>
      <c r="Z33" s="3">
        <f>1072.7+(420.5-245.8)+(-1.094154+(-0.42891--0.250716))+0-0-0</f>
        <v>1246.1276520000001</v>
      </c>
      <c r="AA33" s="3">
        <f>1068.5+(403.6-260.6)+(-0.544935+(-0.205836--0.132906))+0-0-0</f>
        <v>1210.8821350000001</v>
      </c>
      <c r="AB33" s="3">
        <f>1067.1+(372.2-323.2)+(0.544221+(0.189822-0.164832))+0-0-0</f>
        <v>1116.6692109999999</v>
      </c>
      <c r="AC33" s="3">
        <f>1068+(363.5-355)+(0+(0-0))+0-0-0</f>
        <v>1076.5</v>
      </c>
      <c r="AD33">
        <f t="shared" si="0"/>
        <v>23372.406078</v>
      </c>
      <c r="AE33" s="3">
        <f>1073+(445.5-231.9)+(0+(0-0))+0-0-0</f>
        <v>1286.5999999999999</v>
      </c>
    </row>
    <row r="34" spans="1:31" s="2" customFormat="1" x14ac:dyDescent="0.25">
      <c r="A34">
        <v>89</v>
      </c>
      <c r="B34">
        <v>2</v>
      </c>
      <c r="C34">
        <v>3</v>
      </c>
      <c r="D34">
        <v>7</v>
      </c>
      <c r="E34">
        <v>1</v>
      </c>
      <c r="F34" s="3">
        <f>1068.4+(287.5-378.4)+(0.544884+(0.146625-0.192984))+0-0-0</f>
        <v>977.99852500000009</v>
      </c>
      <c r="G34" s="3">
        <f>1059+(255.5-387.7)+(-0.54009+(-0.130305--0.197727))+0-0-0</f>
        <v>926.32733199999996</v>
      </c>
      <c r="H34" s="3">
        <f>872.9+(292-310.2)+(-0.445179+(-0.14892--0.158202))+0-0-0</f>
        <v>854.26410300000009</v>
      </c>
      <c r="I34" s="3">
        <f>868.1+(277.8-312.4)+(0+(0-0))+0-0-0</f>
        <v>833.5</v>
      </c>
      <c r="J34" s="3">
        <f>867.6+(249.1-291.7)+(-1.769904+(-0.508164--0.595068))+0-0-0</f>
        <v>823.31700000000001</v>
      </c>
      <c r="K34" s="3">
        <f>867.9+(254.3-292.9)+(-1.327887+(-0.389079--0.448137))+0-0-0</f>
        <v>828.03117099999997</v>
      </c>
      <c r="L34" s="3">
        <f>866.9+(169.8-274.2)+(-2.652714+(-0.519588--0.839052))+0-0-0</f>
        <v>760.16674999999998</v>
      </c>
      <c r="M34" s="3">
        <f>864.5+(143.7-254.9)+(-1.322685+(-0.219861--0.389997))+0-0-0</f>
        <v>752.14745099999993</v>
      </c>
      <c r="N34" s="3">
        <f>863.7+(129.9-211.5)+(-0.440487+(-0.066249--0.107865))+0-0-0</f>
        <v>781.70112900000004</v>
      </c>
      <c r="O34" s="3">
        <f>900.8+(135.6-211)+(0.918816+(0.138312-0.21522))+0-0-0</f>
        <v>826.24190799999997</v>
      </c>
      <c r="P34" s="3">
        <f>1039.5+(61.8-206.9)+(-1.590435+(-0.094554--0.316557))+0-0-0</f>
        <v>893.03156799999999</v>
      </c>
      <c r="Q34" s="3">
        <f>1038.9+(59.6-208.6)+(-1.059678+(-0.060792--0.212772))+0-0-0</f>
        <v>888.99230200000011</v>
      </c>
      <c r="R34" s="3">
        <f>1038.8+(79.6-221.3)+(-1.059576+(-0.081192--0.225726))+0-0-0</f>
        <v>896.18495799999994</v>
      </c>
      <c r="S34" s="3">
        <f>1038.7+(49.1-234.6)+(0.529737+(0.025041-0.119646))+0-0-0</f>
        <v>853.635132</v>
      </c>
      <c r="T34" s="3">
        <f>1043.2+(70.9-270.1)+(-2.66016+(-0.180795--0.688755))+0-0-0</f>
        <v>841.84780000000001</v>
      </c>
      <c r="U34" s="3">
        <f>1043+(80.3-292.4)+(-2.12772+(-0.163812--0.596496))+0-0-0</f>
        <v>829.20496400000013</v>
      </c>
      <c r="V34" s="3">
        <f>1042.9+(88.4-289.3)+(-1.063758+(-0.090168--0.295086))+0-0-0</f>
        <v>841.14116000000013</v>
      </c>
      <c r="W34" s="3">
        <f>1042.9+(113.5-286.4)+(-2.659395+(-0.289425--0.73032))+0-0-0</f>
        <v>867.78150000000016</v>
      </c>
      <c r="X34" s="3">
        <f>1044+(120.5-280)+(-0.53244+(-0.061455--0.1428))+0-0-0</f>
        <v>884.04890499999999</v>
      </c>
      <c r="Y34" s="3">
        <f>1064.1+(192-227)+(-2.170764+(-0.39168--0.46308))+0-0-0</f>
        <v>1027.000636</v>
      </c>
      <c r="Z34" s="3">
        <f>1072.5+(307-200)+(-2.734875+(-0.78285--0.51))+0-0-0</f>
        <v>1176.4922750000001</v>
      </c>
      <c r="AA34" s="3">
        <f>1070.3+(297.2-208.4)+(-1.091706+(-0.303144--0.212568))+0-0-0</f>
        <v>1157.9177179999999</v>
      </c>
      <c r="AB34" s="3">
        <f>1068.7+(167.5-156.6)+(-1.090074+(-0.17085--0.159732))+0-0-0</f>
        <v>1078.4988080000001</v>
      </c>
      <c r="AC34" s="3">
        <f>1064.7+(189.8-235.1)+(-1.085994+(-0.193596--0.239802))+0-0-0</f>
        <v>1018.360212</v>
      </c>
      <c r="AD34">
        <f t="shared" si="0"/>
        <v>21617.833307000004</v>
      </c>
      <c r="AE34" s="3">
        <f>1072+(338.5-206.8)+(0+(0-0))+0-0-0</f>
        <v>1203.7</v>
      </c>
    </row>
    <row r="35" spans="1:31" s="2" customFormat="1" x14ac:dyDescent="0.25">
      <c r="A35">
        <v>89</v>
      </c>
      <c r="B35">
        <v>2</v>
      </c>
      <c r="C35">
        <v>4</v>
      </c>
      <c r="D35">
        <v>1</v>
      </c>
      <c r="E35">
        <v>1</v>
      </c>
      <c r="F35" s="3">
        <f>966.5+(223.5-251)+(-1.97166+(-0.45594--0.51204))+0-0-0</f>
        <v>937.08443999999997</v>
      </c>
      <c r="G35" s="3">
        <f>801.9+(268.5-211.6)+(0.408969+(0.136935-0.107916))+0-0-0</f>
        <v>859.23798799999997</v>
      </c>
      <c r="H35" s="3">
        <f>798.9+(284.8-247.6)+(0+(0-0))+0-0-0</f>
        <v>836.1</v>
      </c>
      <c r="I35" s="3">
        <f>797.8+(259.7-240.8)+(-1.627512+(-0.529788--0.491232))+0-0-0</f>
        <v>815.03393199999994</v>
      </c>
      <c r="J35" s="3">
        <f>797.9+(233.2-227.7)+(0.406929+(0.118932-0.116127))+0-0-0</f>
        <v>803.80973399999993</v>
      </c>
      <c r="K35" s="3">
        <f>798+(273.4-246.1)+(0+(0-0))+0-0-0</f>
        <v>825.3</v>
      </c>
      <c r="L35" s="3">
        <f>799+(237.9-219.6)+(-2.03745+(-0.606645--0.55998))+0-0-0</f>
        <v>815.21588499999996</v>
      </c>
      <c r="M35" s="3">
        <f>959.6+(166.7-258.4)+(-0.489396+(-0.085017--0.131784))+0-0-0</f>
        <v>867.45737100000008</v>
      </c>
      <c r="N35" s="3">
        <f>1052.2+(215.6-280.3)+(1.073244+(0.219912-0.285906))+0-0-0</f>
        <v>988.50725</v>
      </c>
      <c r="O35" s="3">
        <f>1052.4+(237.7-254.5)+(-1.610172+(-0.363681--0.389385))+0-0-0</f>
        <v>1034.0155320000001</v>
      </c>
      <c r="P35" s="3">
        <f>1052.9+(302.1-253.6)+(-1.073958+(-0.308142--0.258672))+0-0-0</f>
        <v>1100.276572</v>
      </c>
      <c r="Q35" s="3">
        <f>1052.7+(281.4-254.9)+(0.536877+(0.143514-0.129999))+0-0-0</f>
        <v>1079.7503920000001</v>
      </c>
      <c r="R35" s="3">
        <f>1053+(313.6-255.6)+(-1.07406+(-0.319872--0.260712))+0-0-0</f>
        <v>1109.8667800000001</v>
      </c>
      <c r="S35" s="3">
        <f>1052.4+(304.7-287.8)+(-2.146896+(-0.621588--0.587112))+0-0-0</f>
        <v>1067.1186280000002</v>
      </c>
      <c r="T35" s="3">
        <f>1052.8+(307.6-335.8)+(-1.073856+(-0.313752--0.342516))+0-0-0</f>
        <v>1023.554908</v>
      </c>
      <c r="U35" s="3">
        <f>1052.3+(323.5-353.2)+(-1.610019+(-0.494955--0.540396))+0-0-0</f>
        <v>1021.0354219999999</v>
      </c>
      <c r="V35" s="3">
        <f>1052.4+(333.5-339.2)+(-0.536724+(-0.170085--0.172992))+0-0-0</f>
        <v>1046.166183</v>
      </c>
      <c r="W35" s="3">
        <f>1054.8+(355.2-309.4)+(-2.151792+(-0.724608--0.631176))+0-0-0</f>
        <v>1098.3547759999999</v>
      </c>
      <c r="X35" s="3">
        <f>1055.7+(353.8-277.7)+(-1.615221+(-0.541314--0.424881))+0-0-0</f>
        <v>1130.0683460000002</v>
      </c>
      <c r="Y35" s="3">
        <f>1063.8+(330.7-181.9)+(-2.170152+(-0.674628--0.371076))+0-0-0</f>
        <v>1210.1262959999999</v>
      </c>
      <c r="Z35" s="3">
        <f>1073.8+(401-173.8)+(-1.642914+(-0.61353--0.265914))+0-0-0</f>
        <v>1299.00947</v>
      </c>
      <c r="AA35" s="3">
        <f>1070.9+(431.8-224.3)+(-1.638477+(-0.660654--0.343179))+0-0-0</f>
        <v>1276.4440480000001</v>
      </c>
      <c r="AB35" s="3">
        <f>1055.7+(350-227)+(-2.692035+(-0.8925--0.57885))+0-0-0</f>
        <v>1175.694315</v>
      </c>
      <c r="AC35" s="3">
        <f>1046.2+(306.9-271.1)+(-2.66781+(-0.782595--0.691305))+0-0-0</f>
        <v>1079.2409</v>
      </c>
      <c r="AD35">
        <f t="shared" si="0"/>
        <v>24498.469168</v>
      </c>
      <c r="AE35" s="3">
        <f>1082+(419.6-193.5)+(0+(0-0))+0-0-0</f>
        <v>1308.0999999999999</v>
      </c>
    </row>
    <row r="36" spans="1:31" s="2" customFormat="1" x14ac:dyDescent="0.25">
      <c r="A36">
        <v>89</v>
      </c>
      <c r="B36">
        <v>2</v>
      </c>
      <c r="C36">
        <v>5</v>
      </c>
      <c r="D36">
        <v>2</v>
      </c>
      <c r="E36">
        <v>1</v>
      </c>
      <c r="F36" s="3">
        <f>914.8+(305-234.8)+(-0.933096+(-0.3111--0.239496))+0-0-0</f>
        <v>983.99530000000004</v>
      </c>
      <c r="G36" s="3">
        <f>761.4+(253.2-129.9)+(-1.164942+(-0.387396--0.198747))+0-0-0</f>
        <v>883.34640899999988</v>
      </c>
      <c r="H36" s="3">
        <f>673.1+(264.6-94.4)+(-1.029843+(-0.404838--0.144432))+0-0-0</f>
        <v>842.00975100000005</v>
      </c>
      <c r="I36" s="3">
        <f>671.8+(259-94.2)+(-1.027854+(-0.39627--0.144126))+0-0-0</f>
        <v>835.32000199999993</v>
      </c>
      <c r="J36" s="3">
        <f>672+(279-106.7)+(1.02816+(0.42687-0.163251))+0-0-0</f>
        <v>845.59177899999997</v>
      </c>
      <c r="K36" s="3">
        <f>671.6+(277.7-101.4)+(-1.71258+(-0.708135--0.25857))+0-0-0</f>
        <v>845.73785499999997</v>
      </c>
      <c r="L36" s="3">
        <f>674.9+(273.3-88.8)+(-1.720995+(-0.696915--0.22644))+0-0-0</f>
        <v>857.20853</v>
      </c>
      <c r="M36" s="3">
        <f>890.6+(225.1-239.9)+(-0.908412+(-0.229602--0.244698))+0-0-0</f>
        <v>874.90668399999993</v>
      </c>
      <c r="N36" s="3">
        <f>1051.9+(292-334.6)+(1.072938+(0.29784-0.341292))+0-0-0</f>
        <v>1010.3294860000001</v>
      </c>
      <c r="O36" s="3">
        <f>1051.5+(269.1-288.2)+(-0.536265+(-0.137241--0.146982))+0-0-0</f>
        <v>1031.873476</v>
      </c>
      <c r="P36" s="3">
        <f>1051.7+(284.8-239.1)+(-1.609101+(-0.435744--0.365823))+0-0-0</f>
        <v>1095.7209780000001</v>
      </c>
      <c r="Q36" s="3">
        <f>1052.5+(288.9-230.5)+(-1.610325+(-0.442017--0.352665))+0-0-0</f>
        <v>1109.200323</v>
      </c>
      <c r="R36" s="3">
        <f>1049.4+(293-249.8)+(0+(0-0))+0-0-0</f>
        <v>1092.6000000000001</v>
      </c>
      <c r="S36" s="3">
        <f>1049.2+(272.9-273)+(-2.140368+(-0.556716--0.55692))+0-0-0</f>
        <v>1046.959836</v>
      </c>
      <c r="T36" s="3">
        <f>1048.4+(273.5-317.7)+(0+(0-0))+0-0-0</f>
        <v>1004.2</v>
      </c>
      <c r="U36" s="3">
        <f>1048.1+(253.9-301.7)+(-2.138124+(-0.517956--0.615468))+0-0-0</f>
        <v>998.25938799999994</v>
      </c>
      <c r="V36" s="3">
        <f>1047.9+(211.2-238.9)+(-1.068858+(-0.215424--0.243678))+0-0-0</f>
        <v>1019.159396</v>
      </c>
      <c r="W36" s="3">
        <f>1047.7+(206.7-207.8)+(-2.671635+(-0.527085--0.52989))+0-0-0</f>
        <v>1043.9311699999998</v>
      </c>
      <c r="X36" s="3">
        <f>1047.8+(204.3-179.8)+(-3.206268+(-0.625158--0.550188))+0-0-0</f>
        <v>1069.0187619999999</v>
      </c>
      <c r="Y36" s="3">
        <f>1055.9+(253.2-146.5)+(-0.538509+(-0.129132--0.074715))+0-0-0</f>
        <v>1162.0070740000001</v>
      </c>
      <c r="Z36" s="3">
        <f>1075.4+(325-118.7)+(-3.290724+(-0.9945--0.363222))+0-0-0</f>
        <v>1277.777998</v>
      </c>
      <c r="AA36" s="3">
        <f>1075.9+(288.8-125.1)+(-4.389672+(-1.178304--0.510408))+0-0-0</f>
        <v>1234.5424320000002</v>
      </c>
      <c r="AB36" s="3">
        <f>1070.8+(259.6-181.8)+(-3.822756+(-0.926772--0.649026))+0-0-0</f>
        <v>1144.4994979999999</v>
      </c>
      <c r="AC36" s="3">
        <f>1048.8+(209.1-193.9)+(-2.139552+(-0.426564--0.395556))+0-0-0</f>
        <v>1061.82944</v>
      </c>
      <c r="AD36">
        <f t="shared" si="0"/>
        <v>24370.025567000008</v>
      </c>
      <c r="AE36" s="3">
        <f>1075+(308.4-124.1)+(0+(0-0))+0-0-0</f>
        <v>1259.3</v>
      </c>
    </row>
    <row r="37" spans="1:31" s="2" customFormat="1" x14ac:dyDescent="0.25">
      <c r="A37">
        <v>89</v>
      </c>
      <c r="B37">
        <v>2</v>
      </c>
      <c r="C37">
        <v>6</v>
      </c>
      <c r="D37">
        <v>3</v>
      </c>
      <c r="E37">
        <v>1</v>
      </c>
      <c r="F37" s="3">
        <f>964.1+(202.6-299.9)+(-2.458455+(-0.51663--0.764745))+0-0-0</f>
        <v>864.58966000000009</v>
      </c>
      <c r="G37" s="3">
        <f>964+(203.5-327.3)+(-1.96656+(-0.41514--0.667692))+0-0-0</f>
        <v>838.48599200000001</v>
      </c>
      <c r="H37" s="3">
        <f>964.2+(191.8-354.7)+(-3.442194+(-0.684726--1.266279))+0-0-0</f>
        <v>798.43935900000008</v>
      </c>
      <c r="I37" s="3">
        <f>844.1+(225.5-302.6)+(-0.860982+(-0.23001--0.308652))+0-0-0</f>
        <v>766.21766000000002</v>
      </c>
      <c r="J37" s="3">
        <f>672.4+(243.2-148.7)+(-1.371696+(-0.496128--0.303348))+0-0-0</f>
        <v>765.33552399999996</v>
      </c>
      <c r="K37" s="3">
        <f>672.8+(253.7-183.2)+(0.343128+(0.129387-0.093432))+0-0-0</f>
        <v>743.67908299999999</v>
      </c>
      <c r="L37" s="3">
        <f>672.3+(264.1-110.6)+(-2.057238+(-0.808146--0.338436))+0-0-0</f>
        <v>823.27305200000001</v>
      </c>
      <c r="M37" s="3">
        <f>732.3+(225.4-128.4)+(-0.373473+(-0.114954--0.065484))+0-0-0</f>
        <v>828.87705699999992</v>
      </c>
      <c r="N37" s="3">
        <f>909.2+(252.4-211.9)+(-0.927384+(-0.257448--0.216138))+0-0-0</f>
        <v>948.73130600000002</v>
      </c>
      <c r="O37" s="3">
        <f>1041.3+(249.7-254.3)+(-2.124252+(-0.509388--0.518772))+0-0-0</f>
        <v>1034.5851319999999</v>
      </c>
      <c r="P37" s="3">
        <f>1044.7+(223.4-212.2)+(0+(0-0))+0-0-0</f>
        <v>1055.9000000000001</v>
      </c>
      <c r="Q37" s="3">
        <f>1047.7+(238.4-240.8)+(-1.068654+(-0.243168--0.245616))+0-0-0</f>
        <v>1044.233794</v>
      </c>
      <c r="R37" s="3">
        <f>1048.4+(302-306.7)+(-1.069368+(-0.30804--0.312834))+0-0-0</f>
        <v>1042.6354260000001</v>
      </c>
      <c r="S37" s="3">
        <f>1047.9+(301.2-338.5)+(-1.603287+(-0.460836--0.517905))+0-0-0</f>
        <v>1009.0537820000002</v>
      </c>
      <c r="T37" s="3">
        <f>1047.9+(372.4-394.5)+(-2.137716+(-0.759696--0.80478))+0-0-0</f>
        <v>1023.7073680000002</v>
      </c>
      <c r="U37" s="3">
        <f>1047.7+(351.1-403.1)+(-1.602981+(-0.537183--0.616743))+0-0-0</f>
        <v>994.17657900000006</v>
      </c>
      <c r="V37" s="3">
        <f>1047.7+(315.6-372.1)+(-1.602981+(-0.482868--0.569313))+0-0-0</f>
        <v>989.68346400000007</v>
      </c>
      <c r="W37" s="3">
        <f>1047.7+(269.2-298.3)+(-1.068654+(-0.274584--0.304266))+0-0-0</f>
        <v>1017.5610280000001</v>
      </c>
      <c r="X37" s="3">
        <f>1049.2+(230.6-268.5)+(-2.140368+(-0.470424--0.54774))+0-0-0</f>
        <v>1009.2369480000001</v>
      </c>
      <c r="Y37" s="3">
        <f>1061.8+(211.6-203.5)+(-1.083036+(-0.215832--0.20757))+0-0-0</f>
        <v>1068.8087019999998</v>
      </c>
      <c r="Z37" s="3">
        <f>1071.5+(439.8-235.6)+(-1.639395+(-0.672894--0.360468))+0-0-0</f>
        <v>1273.7481789999999</v>
      </c>
      <c r="AA37" s="3">
        <f>1070.6+(423-239.8)+(0+(0-0))+0-0-0</f>
        <v>1253.8</v>
      </c>
      <c r="AB37" s="3">
        <f>1069.6+(304.1-214.4)+(-1.636488+(-0.465273--0.328032))+0-0-0</f>
        <v>1157.526271</v>
      </c>
      <c r="AC37" s="3">
        <f>1029.4+(311.8-262.4)+(-1.049988+(-0.318036--0.267648))+0-0-0</f>
        <v>1077.6996240000001</v>
      </c>
      <c r="AD37">
        <f t="shared" si="0"/>
        <v>23429.984989999997</v>
      </c>
      <c r="AE37" s="3">
        <f>1068+(492.6-267.6)+(0+(0-0))+0-0-0</f>
        <v>1293</v>
      </c>
    </row>
    <row r="38" spans="1:31" s="2" customFormat="1" x14ac:dyDescent="0.25">
      <c r="A38">
        <v>89</v>
      </c>
      <c r="B38">
        <v>2</v>
      </c>
      <c r="C38">
        <v>7</v>
      </c>
      <c r="D38">
        <v>4</v>
      </c>
      <c r="E38">
        <v>1</v>
      </c>
      <c r="F38" s="3">
        <f>821.4+(350.4-187.9)+(-1.675656+(-0.714816--0.383316))+0-0-0</f>
        <v>981.89284399999997</v>
      </c>
      <c r="G38" s="3">
        <f>660.9+(352.9-109.9)+(-2.359413+(-1.259853--0.392343))+0-0-0</f>
        <v>900.67307699999992</v>
      </c>
      <c r="H38" s="3">
        <f>659+(287.4-97)+(-1.00827+(-0.439722--0.14841))+0-0-0</f>
        <v>848.10041799999999</v>
      </c>
      <c r="I38" s="3">
        <f>659+(273.9-104.1)+(-0.67218+(-0.279378--0.106182))+0-0-0</f>
        <v>827.95462399999997</v>
      </c>
      <c r="J38" s="3">
        <f>662.2+(227.2-83.4)+(-2.026332+(-0.695232--0.255204))+0-0-0</f>
        <v>803.53363999999999</v>
      </c>
      <c r="K38" s="3">
        <f>662.9+(281.5-99.6)+(-0.676158+(-0.28713--0.101592))+0-0-0</f>
        <v>843.9383039999999</v>
      </c>
      <c r="L38" s="3">
        <f>661.6+(241.5-100)+(-2.024496+(-0.73899--0.306))+0-0-0</f>
        <v>800.64251400000001</v>
      </c>
      <c r="M38" s="3">
        <f>835.4+(185.9-179.7)+(-1.278162+(-0.284427--0.274941))+0-0-0</f>
        <v>840.31235200000003</v>
      </c>
      <c r="N38" s="3">
        <f>1050.2+(251.5-317.3)+(-0.535602+(-0.128265--0.161823))+0-0-0</f>
        <v>983.89795600000014</v>
      </c>
      <c r="O38" s="3">
        <f>1050.3+(352.5-364.5)+(-1.606959+(-0.539325--0.557685))+0-0-0</f>
        <v>1036.711401</v>
      </c>
      <c r="P38" s="3">
        <f>1050.4+(334-327.4)+(-1.607112+(-0.51102--0.500922))+0-0-0</f>
        <v>1055.3827900000001</v>
      </c>
      <c r="Q38" s="3">
        <f>1049.6+(344.5-332.3)+(0+(0-0))+0-0-0</f>
        <v>1061.8</v>
      </c>
      <c r="R38" s="3">
        <f>1049.1+(384-362.6)+(-1.605123+(-0.58752--0.554778))+0-0-0</f>
        <v>1068.8621350000001</v>
      </c>
      <c r="S38" s="3">
        <f>1051.2+(394.2-395.5)+(0+(0-0))+0-0-0</f>
        <v>1049.9000000000001</v>
      </c>
      <c r="T38" s="3">
        <f>1046.6+(399.8-446.7)+(-1.067532+(-0.407796--0.455634))+0-0-0</f>
        <v>998.68030599999997</v>
      </c>
      <c r="U38" s="3">
        <f>1046+(391.3-445.5)+(-2.13384+(-0.798252--0.90882))+0-0-0</f>
        <v>989.77672799999993</v>
      </c>
      <c r="V38" s="3">
        <f>1046+(378-440.4)+(-1.60038+(-0.57834--0.673812))+0-0-0</f>
        <v>982.09509200000002</v>
      </c>
      <c r="W38" s="3">
        <f>1046.5+(311.6-348)+(-2.13486+(-0.635664--0.70992))+0-0-0</f>
        <v>1008.039396</v>
      </c>
      <c r="X38" s="3">
        <f>1047.5+(285.2-307.8)+(-1.602675+(-0.436356--0.470934))+0-0-0</f>
        <v>1023.3319030000001</v>
      </c>
      <c r="Y38" s="3">
        <f>1061.3+(323.6-240.2)+(-2.165052+(-0.660144--0.490008))+0-0-0</f>
        <v>1142.364812</v>
      </c>
      <c r="Z38" s="3">
        <f>1076.2+(416.1-199.2)+(-1.097724+(-0.424422--0.203184))+0-0-0</f>
        <v>1291.7810380000001</v>
      </c>
      <c r="AA38" s="3">
        <f>1073.8+(409.7-240.7)+(-2.190552+(-0.835788--0.491028))+0-0-0</f>
        <v>1240.264688</v>
      </c>
      <c r="AB38" s="3">
        <f>1071.2+(392.1-292.5)+(-1.092624+(-0.399942--0.29835))+0-0-0</f>
        <v>1169.6057840000001</v>
      </c>
      <c r="AC38" s="3">
        <f>1068.2+(358.2-343.6)+(-1.089564+(-0.365364--0.350472))+0-0-0</f>
        <v>1081.6955439999999</v>
      </c>
      <c r="AD38">
        <f t="shared" si="0"/>
        <v>24031.237345999994</v>
      </c>
      <c r="AE38" s="3">
        <f>1076+(454-184.1)+(0+(0-0))+0-0-0</f>
        <v>1345.9</v>
      </c>
    </row>
    <row r="39" spans="1:31" s="2" customFormat="1" x14ac:dyDescent="0.25">
      <c r="A39">
        <v>89</v>
      </c>
      <c r="B39">
        <v>2</v>
      </c>
      <c r="C39">
        <v>8</v>
      </c>
      <c r="D39">
        <v>5</v>
      </c>
      <c r="E39">
        <v>1</v>
      </c>
      <c r="F39" s="3">
        <f>1063.2+(330.6-398.6)+(-0.542232+(-0.168606--0.203286))+0-0-0</f>
        <v>994.69244800000001</v>
      </c>
      <c r="G39" s="3">
        <f>861.9+(280.6-225.5)+(-0.439569+(-0.143106--0.115005))+0-0-0</f>
        <v>916.53233</v>
      </c>
      <c r="H39" s="3">
        <f>674.9+(305-89.9)+(-0.688398+(-0.3111--0.091698))+0-0-0</f>
        <v>889.09220000000005</v>
      </c>
      <c r="I39" s="3">
        <f>660.6+(295.1-87.2)+(0+(0-0))+0-0-0</f>
        <v>868.5</v>
      </c>
      <c r="J39" s="3">
        <f>660.9+(310.5-101.6)+(-0.674118+(-0.31671--0.103632))+0-0-0</f>
        <v>868.91280399999994</v>
      </c>
      <c r="K39" s="3">
        <f>660.8+(368.8-155.1)+(-1.68504+(-0.94044--0.395505))+0-0-0</f>
        <v>872.27002500000003</v>
      </c>
      <c r="L39" s="3">
        <f>661.3+(352.3-130.2)+(-1.011789+(-0.539019--0.199206))+0-0-0</f>
        <v>882.04839800000002</v>
      </c>
      <c r="M39" s="3">
        <f>724.9+(305.3-112.9)+(0+(0-0))+0-0-0</f>
        <v>917.3</v>
      </c>
      <c r="N39" s="3">
        <f>966+(335.9-293.1)+(-0.98532+(-0.342618--0.298962))+0-0-0</f>
        <v>1007.771024</v>
      </c>
      <c r="O39" s="3">
        <f>1048.2+(321.7-301)+(-0.534582+(-0.164067--0.15351))+0-0-0</f>
        <v>1068.354861</v>
      </c>
      <c r="P39" s="3">
        <f>1046.4+(363.8-295.4)+(-1.600992+(-0.556614--0.451962))+0-0-0</f>
        <v>1113.0943560000003</v>
      </c>
      <c r="Q39" s="3">
        <f>1034.9+(396.2-301)+(-1.583397+(-0.606186--0.46053))+0-0-0</f>
        <v>1128.3709470000001</v>
      </c>
      <c r="R39" s="3">
        <f>1035.5+(406-305.7)+(-1.584315+(-0.62118--0.467721))+0-0-0</f>
        <v>1134.062226</v>
      </c>
      <c r="S39" s="3">
        <f>1035.2+(392.4-327.8)+(-2.111808+(-0.800496--0.668712))+0-0-0</f>
        <v>1097.5564079999999</v>
      </c>
      <c r="T39" s="3">
        <f>1035.2+(397.7-367.3)+(-0.527952+(-0.202827--0.187323))+0-0-0</f>
        <v>1065.0565439999998</v>
      </c>
      <c r="U39" s="3">
        <f>1035.3+(417-402.9)+(-0.528003+(-0.21267--0.205479))+0-0-0</f>
        <v>1048.864806</v>
      </c>
      <c r="V39" s="3">
        <f>1036.5+(381.4-363.1)+(-2.643075+(-0.97257--0.925905))+0-0-0</f>
        <v>1052.1102599999999</v>
      </c>
      <c r="W39" s="3">
        <f>1037+(353.3-288.3)+(-2.11548+(-0.720732--0.588132))+0-0-0</f>
        <v>1099.7519199999999</v>
      </c>
      <c r="X39" s="3">
        <f>1037.7+(360.4-239.9)+(-2.116908+(-0.735216--0.489396))+0-0-0</f>
        <v>1155.837272</v>
      </c>
      <c r="Y39" s="3">
        <f>1052.7+(362.7-170.7)+(-1.610631+(-0.554931--0.261171))+0-0-0</f>
        <v>1242.795609</v>
      </c>
      <c r="Z39" s="3">
        <f>1074.7+(452.4-180)+(-1.644291+(-0.692172--0.2754))+0-0-0</f>
        <v>1345.0389369999998</v>
      </c>
      <c r="AA39" s="3">
        <f>1097.8+(416.1-224.6)+(-1.119756+(-0.424422--0.229092))+0-0-0</f>
        <v>1287.9849139999999</v>
      </c>
      <c r="AB39" s="3">
        <f>1179.4+(333.8-301.6)+(-2.405976+(-0.680952--0.615264))+0-0-0</f>
        <v>1209.1283360000002</v>
      </c>
      <c r="AC39" s="3">
        <f>1231.9+(246.2-368.5)+(-2.513076+(-0.502248--0.75174))+0-0-0</f>
        <v>1107.3364160000001</v>
      </c>
      <c r="AD39">
        <f t="shared" si="0"/>
        <v>25372.463041000003</v>
      </c>
      <c r="AE39" s="3">
        <f>1075+(441.5-183.6)+(0+(0-0))+0-0-0</f>
        <v>1332.9</v>
      </c>
    </row>
    <row r="40" spans="1:31" s="2" customFormat="1" x14ac:dyDescent="0.25">
      <c r="A40">
        <v>89</v>
      </c>
      <c r="B40">
        <v>2</v>
      </c>
      <c r="C40">
        <v>9</v>
      </c>
      <c r="D40">
        <v>6</v>
      </c>
      <c r="E40">
        <v>1</v>
      </c>
      <c r="F40" s="3">
        <f>1304.9+(153.8-450.3)+(-0.665499+(-0.078438--0.229653))+0-0-0</f>
        <v>1007.8857160000001</v>
      </c>
      <c r="G40" s="3">
        <f>1155.8+(161.9-389.8)+(-1.768374+(-0.247707--0.596394))+0-0-0</f>
        <v>926.48031300000002</v>
      </c>
      <c r="H40" s="3">
        <f>902.8+(265.5-290.5)+(1.381284+(0.406215-0.444465))+0-0-0</f>
        <v>879.14303399999994</v>
      </c>
      <c r="I40" s="3">
        <f>901.8+(239.1-287.6)+(-1.379754+(-0.365823--0.440028))+0-0-0</f>
        <v>851.99445099999991</v>
      </c>
      <c r="J40" s="3">
        <f>902.1+(196.4-245.3)+(0.460071+(0.100164-0.125103))+0-0-0</f>
        <v>853.635132</v>
      </c>
      <c r="K40" s="3">
        <f>901.9+(214-255)+(-1.379907+(-0.32742--0.39015))+0-0-0</f>
        <v>859.58282299999996</v>
      </c>
      <c r="L40" s="3">
        <f>899+(200.3-253.5)+(-1.83396+(-0.408612--0.51714))+0-0-0</f>
        <v>844.074568</v>
      </c>
      <c r="M40" s="3">
        <f>916.9+(194.5-216.5)+(-1.402857+(-0.297585--0.331245))+0-0-0</f>
        <v>893.53080299999999</v>
      </c>
      <c r="N40" s="3">
        <f>1050+(255.2-342.7)+(0+(0-0))+0-0-0</f>
        <v>962.5</v>
      </c>
      <c r="O40" s="3">
        <f>1242.7+(276-463.4)+(-0.633777+(-0.14076--0.236334))+0-0-0</f>
        <v>1054.7617970000001</v>
      </c>
      <c r="P40" s="3">
        <f>1401.4+(244.7-538.6)+(-1.429428+(-0.249594--0.549372))+0-0-0</f>
        <v>1106.3703499999999</v>
      </c>
      <c r="Q40" s="3">
        <f>1434.7+(292.3-596.2)+(0+(0-0))+0-0-0</f>
        <v>1130.8</v>
      </c>
      <c r="R40" s="3">
        <f>1486.3+(332.1-683.4)+(-2.274039+(-0.508113--1.045602))+0-0-0</f>
        <v>1133.2634499999999</v>
      </c>
      <c r="S40" s="3">
        <f>1483.1+(323.1-725.9)+(-1.512762+(-0.329562--0.740418))+0-0-0</f>
        <v>1079.1980939999999</v>
      </c>
      <c r="T40" s="3">
        <f>1477.8+(316.2-769.7)+(-0.753678+(-0.161262--0.392547))+0-0-0</f>
        <v>1023.777607</v>
      </c>
      <c r="U40" s="3">
        <f>1477.2+(250.7-717.2)+(-2.260116+(-0.383571--1.097316))+0-0-0</f>
        <v>1009.153629</v>
      </c>
      <c r="V40" s="3">
        <f>1477.2+(245-679.6)+(-1.506744+(-0.2499--0.693192))+0-0-0</f>
        <v>1041.5365479999998</v>
      </c>
      <c r="W40" s="3">
        <f>1477.5+(123.8-550.1)+(-5.274675+(-0.441966--1.963857))+0-0-0</f>
        <v>1047.447216</v>
      </c>
      <c r="X40" s="3">
        <f>1480.8+(132.8-520.3)+(0+(0-0))+0-0-0</f>
        <v>1093.3</v>
      </c>
      <c r="Y40" s="3">
        <f>1484.2+(198.8-496.2)+(-1.513884+(-0.202776--0.506124))+0-0-0</f>
        <v>1185.5894640000001</v>
      </c>
      <c r="Z40" s="3">
        <f>1505.1+(256-479.5)+(-3.838005+(-0.6528--1.222725))+0-0-0</f>
        <v>1278.3319199999999</v>
      </c>
      <c r="AA40" s="3">
        <f>1503.9+(255.7-521.5)+(-1.533978+(-0.260814--0.53193))+0-0-0</f>
        <v>1236.8371380000001</v>
      </c>
      <c r="AB40" s="3">
        <f>1494.1+(227.3-539.9)+(-3.047964+(-0.463692--1.101396))+0-0-0</f>
        <v>1179.0897399999999</v>
      </c>
      <c r="AC40" s="3">
        <f>1475.4+(202.7-561.6)+(-0.752454+(-0.103377--0.286416))+0-0-0</f>
        <v>1115.9305850000001</v>
      </c>
      <c r="AD40">
        <f t="shared" si="0"/>
        <v>24794.214377999997</v>
      </c>
      <c r="AE40" s="3">
        <f>1503+(288.5-493)+(0+(0-0))+0-0-0</f>
        <v>1298.5</v>
      </c>
    </row>
    <row r="41" spans="1:31" s="2" customFormat="1" x14ac:dyDescent="0.25">
      <c r="A41">
        <v>89</v>
      </c>
      <c r="B41">
        <v>2</v>
      </c>
      <c r="C41">
        <v>10</v>
      </c>
      <c r="D41">
        <v>7</v>
      </c>
      <c r="E41">
        <v>1</v>
      </c>
      <c r="F41" s="3">
        <f>1458.6+(174.7-609.9)+(0+(0-0))+0-0-0</f>
        <v>1023.3999999999999</v>
      </c>
      <c r="G41" s="3">
        <f>1429.4+(188.8-626.7)+(0+(0-0))+0-0-0</f>
        <v>991.5</v>
      </c>
      <c r="H41" s="3">
        <f>1068.3+(228.5-379)+(1.089666+(0.23307-0.38658))+0-0-0</f>
        <v>918.73615599999994</v>
      </c>
      <c r="I41" s="3">
        <f>852+(255.1-248.3)+(-0.43452+(-0.130101--0.126633))+0-0-0</f>
        <v>858.36201199999994</v>
      </c>
      <c r="J41" s="3">
        <f>852.4+(237.7-243.7)+(0.869448+(0.242454-0.248574))+0-0-0</f>
        <v>847.263328</v>
      </c>
      <c r="K41" s="3">
        <f>857.5+(227.4-236.7)+(-2.186625+(-0.57987--0.603585))+0-0-0</f>
        <v>846.03709000000003</v>
      </c>
      <c r="L41" s="3">
        <f>868.6+(179.1-256.3)+(-2.21493+(-0.456705--0.653565))+0-0-0</f>
        <v>789.38193000000001</v>
      </c>
      <c r="M41" s="3">
        <f>868.4+(168.3-267.2)+(-0.885768+(-0.171666--0.272544))+0-0-0</f>
        <v>768.71510999999998</v>
      </c>
      <c r="N41" s="3">
        <f>883+(162.6-265.9)+(0.45033+(0.082926-0.135609))+0-0-0</f>
        <v>780.09764700000005</v>
      </c>
      <c r="O41" s="3">
        <f>1040.2+(196.3-366.8)+(-0.530502+(-0.100113--0.187068))+0-0-0</f>
        <v>869.25645300000008</v>
      </c>
      <c r="P41" s="3">
        <f>1084.9+(238.2-400.7)+(-1.106598+(-0.242964--0.408714))+0-0-0</f>
        <v>921.45915200000013</v>
      </c>
      <c r="Q41" s="3">
        <f>1220.4+(291-545.9)+(-1.867212+(-0.44523--0.835227))+0-0-0</f>
        <v>964.02278500000011</v>
      </c>
      <c r="R41" s="3">
        <f>1157.2+(278.4-486.4)+(0.590172+(0.141984-0.248064))+0-0-0</f>
        <v>949.68409200000008</v>
      </c>
      <c r="S41" s="3">
        <f>1241.4+(295-615.7)+(-1.266228+(-0.3009--0.628014))+0-0-0</f>
        <v>919.76088600000003</v>
      </c>
      <c r="T41" s="3">
        <f>1278.9+(296.7-682.7)+(1.956717+(0.453951-1.044531))+0-0-0</f>
        <v>894.26613700000007</v>
      </c>
      <c r="U41" s="3">
        <f>1296.7+(195.4-618.4)+(-1.983951+(-0.298962--0.946152))+0-0-0</f>
        <v>872.36323900000002</v>
      </c>
      <c r="V41" s="3">
        <f>1346+(153.8-611.2)+(-2.05938+(-0.235314--0.935136))+0-0-0</f>
        <v>887.24044199999992</v>
      </c>
      <c r="W41" s="3">
        <f>1364.8+(206-654.9)+(-3.48024+(-0.5253--1.669995))+0-0-0</f>
        <v>913.56445499999995</v>
      </c>
      <c r="X41" s="3">
        <f>1393.7+(153.8-613.6)+(-3.553935+(-0.39219--1.56468))+0-0-0</f>
        <v>931.51855500000011</v>
      </c>
      <c r="Y41" s="3">
        <f>1442.1+(144.3-528.7)+(-0.735471+(-0.073593--0.269637))+0-0-0</f>
        <v>1057.1605729999999</v>
      </c>
      <c r="Z41" s="3">
        <f>1493.8+(218.6-496.5)+(-3.047352+(-0.445944--1.01286))+0-0-0</f>
        <v>1213.419564</v>
      </c>
      <c r="AA41" s="3">
        <f>1497.1+(218.6-519.8)+(-1.527042+(-0.222972--0.530196))+0-0-0</f>
        <v>1194.6801820000001</v>
      </c>
      <c r="AB41" s="3">
        <f>1485.1+(203.7-550.5)+(-4.544406+(-0.623322--1.68453))+0-0-0</f>
        <v>1134.8168020000001</v>
      </c>
      <c r="AC41" s="3">
        <f>1469.9+(230.9-665.3)+(-1.499298+(-0.235518--0.678606))+0-0-0</f>
        <v>1034.44379</v>
      </c>
      <c r="AD41">
        <f t="shared" si="0"/>
        <v>22581.150380000003</v>
      </c>
      <c r="AE41" s="3">
        <f>1496+(205.4-513.3)+(0+(0-0))+0-0-0</f>
        <v>1188.0999999999999</v>
      </c>
    </row>
    <row r="42" spans="1:31" s="2" customFormat="1" x14ac:dyDescent="0.25">
      <c r="A42">
        <v>89</v>
      </c>
      <c r="B42">
        <v>2</v>
      </c>
      <c r="C42">
        <v>11</v>
      </c>
      <c r="D42">
        <v>1</v>
      </c>
      <c r="E42">
        <v>1</v>
      </c>
      <c r="F42" s="3">
        <f>1463.4+(307.5-831.3)+(-2.985336+(-0.6273--1.695852))+0-0-0</f>
        <v>937.68321600000013</v>
      </c>
      <c r="G42" s="3">
        <f>1400.6+(337.5-878.7)+(-3.57153+(-0.860625--2.240685))+0-0-0</f>
        <v>857.20852999999988</v>
      </c>
      <c r="H42" s="3">
        <f>1181.6+(373-746.5)+(-1.205232+(-0.38046--0.76143))+0-0-0</f>
        <v>807.27573799999993</v>
      </c>
      <c r="I42" s="3">
        <f>989.1+(343.8-545.8)+(-2.017764+(-0.701352--1.113432))+0-0-0</f>
        <v>785.49431600000014</v>
      </c>
      <c r="J42" s="3">
        <f>910+(305-427.2)+(0+(0-0))+0-0-0</f>
        <v>787.8</v>
      </c>
      <c r="K42" s="3">
        <f>910.7+(297-411.7)+(-0.464457+(-0.15147--0.209967))+0-0-0</f>
        <v>795.59403999999995</v>
      </c>
      <c r="L42" s="3">
        <f>904.2+(279.9-388)+(-1.844568+(-0.570996--0.79152))+0-0-0</f>
        <v>794.475956</v>
      </c>
      <c r="M42" s="3">
        <f>959.4+(306.6-413.8)+(-0.978588+(-0.312732--0.422076))+0-0-0</f>
        <v>851.33075600000006</v>
      </c>
      <c r="N42" s="3">
        <f>1133.8+(242.4-417.9)+(-1.156476+(-0.247248--0.426258))+0-0-0</f>
        <v>957.32253399999991</v>
      </c>
      <c r="O42" s="3">
        <f>1199.7+(205.6-381.2)+(-1.835541+(-0.314568--0.583236))+0-0-0</f>
        <v>1022.5331270000001</v>
      </c>
      <c r="P42" s="3">
        <f>1199+(303.6-406)+(-1.22298+(-0.309672--0.41412))+0-0-0</f>
        <v>1095.4814679999999</v>
      </c>
      <c r="Q42" s="3">
        <f>1195.5+(265.7-375)+(-0.609705+(-0.135507--0.19125))+0-0-0</f>
        <v>1085.6460380000001</v>
      </c>
      <c r="R42" s="3">
        <f>1419.2+(296.3-616.6)+(-3.61896+(-0.755565--1.57233))+0-0-0</f>
        <v>1096.0978050000001</v>
      </c>
      <c r="S42" s="3">
        <f>1463+(274.7-669.8)+(-1.49226+(-0.280194--0.683196))+0-0-0</f>
        <v>1066.8107420000001</v>
      </c>
      <c r="T42" s="3">
        <f>1462.7+(234.3-684.6)+(-0.745977+(-0.119493--0.349146))+0-0-0</f>
        <v>1011.883676</v>
      </c>
      <c r="U42" s="3">
        <f>1458.1+(188.9-641.8)+(-3.718155+(-0.481695--1.63659))+0-0-0</f>
        <v>1002.6367399999999</v>
      </c>
      <c r="V42" s="3">
        <f>1457.9+(216.6-676.5)+(-3.717645+(-0.55233--1.725075))+0-0-0</f>
        <v>995.45510000000013</v>
      </c>
      <c r="W42" s="3">
        <f>1456.2+(267.1-708.3)+(-2.227986+(-0.408663--1.083699))+0-0-0</f>
        <v>1013.4470500000001</v>
      </c>
      <c r="X42" s="3">
        <f>1455.7+(246.5-660.8)+(-2.227221+(-0.377145--1.011024))+0-0-0</f>
        <v>1039.8066580000002</v>
      </c>
      <c r="Y42" s="3">
        <f>1462.9+(274.8-611.7)+(-0.746079+(-0.140148--0.311967))+0-0-0</f>
        <v>1125.4257399999999</v>
      </c>
      <c r="Z42" s="3">
        <f>1498.9+(394-599.8)+(-3.057756+(-0.80376--1.223592))+0-0-0</f>
        <v>1290.462076</v>
      </c>
      <c r="AA42" s="3">
        <f>1495.5+(403.2-646.7)+(-1.52541+(-0.411264--0.659634))+0-0-0</f>
        <v>1250.7229600000001</v>
      </c>
      <c r="AB42" s="3">
        <f>1493.4+(298.6-609.5)+(-1.523268+(-0.304572--0.62169))+0-0-0</f>
        <v>1181.29385</v>
      </c>
      <c r="AC42" s="3">
        <f>1485+(201.1-586.6)+(-2.27205+(-0.307683--0.897498))+0-0-0</f>
        <v>1097.817765</v>
      </c>
      <c r="AD42">
        <f t="shared" si="0"/>
        <v>23949.705880999994</v>
      </c>
      <c r="AE42" s="3">
        <f>1496+(412.3-576.8)+(0+(0-0))+0-0-0</f>
        <v>1331.5</v>
      </c>
    </row>
    <row r="43" spans="1:31" s="2" customFormat="1" x14ac:dyDescent="0.25">
      <c r="A43">
        <v>89</v>
      </c>
      <c r="B43">
        <v>2</v>
      </c>
      <c r="C43">
        <v>12</v>
      </c>
      <c r="D43">
        <v>2</v>
      </c>
      <c r="E43">
        <v>1</v>
      </c>
      <c r="F43" s="3">
        <f>1433.5+(266.9-723.4)+(0+(0-0))+0-0-0</f>
        <v>977</v>
      </c>
      <c r="G43" s="3">
        <f>1351.7+(259.9-709.1)+(-0.689367+(-0.132549--0.361641))+0-0-0</f>
        <v>902.03972499999998</v>
      </c>
      <c r="H43" s="3">
        <f>1124.8+(302-572.1)+(0+(0-0))+0-0-0</f>
        <v>854.69999999999993</v>
      </c>
      <c r="I43" s="3">
        <f>910.1+(305.5-388.3)+(-0.928302+(-0.31161--0.396066))+0-0-0</f>
        <v>826.45615399999997</v>
      </c>
      <c r="J43" s="3">
        <f>908.6+(300.5-369.3)+(-0.463386+(-0.153255--0.188343))+0-0-0</f>
        <v>839.37170199999991</v>
      </c>
      <c r="K43" s="3">
        <f>908.2+(282.2-345.1)+(-2.31591+(-0.71961--0.880005))+0-0-0</f>
        <v>843.14448499999992</v>
      </c>
      <c r="L43" s="3">
        <f>908.4+(260.7-330.6)+(-0.926568+(-0.265914--0.337212))+0-0-0</f>
        <v>837.64472999999998</v>
      </c>
      <c r="M43" s="3">
        <f>962.9+(314.8-382)+(0+(0-0))+0-0-0</f>
        <v>895.7</v>
      </c>
      <c r="N43" s="3">
        <f>1325.1+(298.3-627.8)+(-0.675801+(-0.152133--0.320178))+0-0-0</f>
        <v>995.09224399999994</v>
      </c>
      <c r="O43" s="3">
        <f>1476.8+(250.4-674.1)+(0+(0-0))+0-0-0</f>
        <v>1053.0999999999999</v>
      </c>
      <c r="P43" s="3">
        <f>1476.7+(242.7-634.5)+(1.506234+(0.247554-0.64719))+0-0-0</f>
        <v>1086.0065980000002</v>
      </c>
      <c r="Q43" s="3">
        <f>1477.2+(236-619.2)+(-0.753372+(-0.12036--0.315792))+0-0-0</f>
        <v>1093.4420600000001</v>
      </c>
      <c r="R43" s="3">
        <f>1476.7+(198.5-549.9)+(-2.259351+(-0.303705--0.841347))+0-0-0</f>
        <v>1123.5782910000003</v>
      </c>
      <c r="S43" s="3">
        <f>1476.2+(170.9-559.7)+(-3.011448+(-0.348636--1.141788))+0-0-0</f>
        <v>1085.1817040000001</v>
      </c>
      <c r="T43" s="3">
        <f>1472.9+(232.8-649)+(0.751179+(0.118728-0.33099))+0-0-0</f>
        <v>1057.2389170000001</v>
      </c>
      <c r="U43" s="3">
        <f>1476+(144.5-589.1)+(-2.25828+(-0.221085--0.901323))+0-0-0</f>
        <v>1029.821958</v>
      </c>
      <c r="V43" s="3">
        <f>1476.2+(253-620.6)+(-4.517172+(-0.77418--1.899036))+0-0-0</f>
        <v>1105.207684</v>
      </c>
      <c r="W43" s="3">
        <f>1476+(313.2-702.8)+(-0.75276+(-0.159732--0.358428))+0-0-0</f>
        <v>1085.8459360000002</v>
      </c>
      <c r="X43" s="3">
        <f>1476.7+(302.9-662.9)+(-2.259351+(-0.463437--1.014237))+0-0-0</f>
        <v>1114.9914490000001</v>
      </c>
      <c r="Y43" s="3">
        <f>1488.5+(335-600.9)+(-1.51827+(-0.3417--0.612918))+0-0-0</f>
        <v>1221.352948</v>
      </c>
      <c r="Z43" s="3">
        <f>1511+(360.9-548.7)+(-5.39427+(-1.288413--1.958859))+0-0-0</f>
        <v>1318.4761759999999</v>
      </c>
      <c r="AA43" s="3">
        <f>1509.3+(388.3-621.9)+(-3.078972+(-0.792132--1.268676))+0-0-0</f>
        <v>1273.0975720000001</v>
      </c>
      <c r="AB43" s="3">
        <f>1507.4+(310.5-627.7)+(-3.84387+(-0.791775--1.600635))+0-0-0</f>
        <v>1187.16499</v>
      </c>
      <c r="AC43" s="3">
        <f>1500.6+(255-658.3)+(-3.82653+(-0.65025--1.678665))+0-0-0</f>
        <v>1094.5018849999999</v>
      </c>
      <c r="AD43">
        <f t="shared" si="0"/>
        <v>24900.157208000004</v>
      </c>
      <c r="AE43" s="3">
        <f>1495+(349.9-538.1)+(0+(0-0))+0-0-0</f>
        <v>1306.8</v>
      </c>
    </row>
    <row r="44" spans="1:31" s="2" customFormat="1" x14ac:dyDescent="0.25">
      <c r="A44">
        <v>89</v>
      </c>
      <c r="B44">
        <v>2</v>
      </c>
      <c r="C44">
        <v>13</v>
      </c>
      <c r="D44">
        <v>3</v>
      </c>
      <c r="E44">
        <v>1</v>
      </c>
      <c r="F44" s="3">
        <f>1232.7+(252.2-521.5)+(-3.772062+(-0.771732--1.59579))+0-0-0</f>
        <v>960.45199600000012</v>
      </c>
      <c r="G44" s="3">
        <f>896.2+(263.7-277.4)+(-3.199434+(-0.941409--0.990318))+0-0-0</f>
        <v>879.34947499999998</v>
      </c>
      <c r="H44" s="3">
        <f>896.5+(221.6-268)+(-0.457215+(-0.113016--0.13668))+0-0-0</f>
        <v>849.66644900000006</v>
      </c>
      <c r="I44" s="3">
        <f>897.7+(193.6-257)+(-0.457827+(-0.098736--0.13107))+0-0-0</f>
        <v>833.87450700000011</v>
      </c>
      <c r="J44" s="3">
        <f>896.6+(192.4-260.4)+(-0.914532+(-0.196248--0.265608))+0-0-0</f>
        <v>827.75482799999997</v>
      </c>
      <c r="K44" s="3">
        <f>898.2+(186.8-253.3)+(-2.29041+(-0.47634--0.645915))+0-0-0</f>
        <v>829.57916499999999</v>
      </c>
      <c r="L44" s="3">
        <f>899.1+(217.1-313.7)+(-2.751246+(-0.664326--0.959922))+0-0-0</f>
        <v>800.04435000000001</v>
      </c>
      <c r="M44" s="3">
        <f>970.1+(255.2-364)+(0.494751+(0.130152-0.18564))+0-0-0</f>
        <v>861.73926299999994</v>
      </c>
      <c r="N44" s="3">
        <f>1232.4+(213.4-479.5)+(0+(0-0))+0-0-0</f>
        <v>966.30000000000007</v>
      </c>
      <c r="O44" s="3">
        <f>1413.1+(222.1-601.5)+(-2.162043+(-0.339813--0.920295))+0-0-0</f>
        <v>1032.1184389999999</v>
      </c>
      <c r="P44" s="3">
        <f>1441.6+(203.5-578.3)+(0+(0-0))+0-0-0</f>
        <v>1066.8</v>
      </c>
      <c r="Q44" s="3">
        <f>1455.7+(198.3-568.5)+(-2.969628+(-0.404532--1.15974))+0-0-0</f>
        <v>1083.28558</v>
      </c>
      <c r="R44" s="3">
        <f>1379.9+(201.4-477.6)+(-0.703749+(-0.102714--0.243576))+0-0-0</f>
        <v>1103.137113</v>
      </c>
      <c r="S44" s="3">
        <f>1364.5+(184.2-492.9)+(-2.78358+(-0.375768--1.005516))+0-0-0</f>
        <v>1053.646168</v>
      </c>
      <c r="T44" s="3">
        <f>1269.9+(208.3-455.2)+(-2.590596+(-0.424932--0.928608))+0-0-0</f>
        <v>1020.9130800000001</v>
      </c>
      <c r="U44" s="3">
        <f>1268.5+(198.4-469.2)+(-1.940805+(-0.303552--0.717876))+0-0-0</f>
        <v>996.17351900000006</v>
      </c>
      <c r="V44" s="3">
        <f>1268.4+(186.1-447.8)+(-1.940652+(-0.284733--0.685134))+0-0-0</f>
        <v>1005.159749</v>
      </c>
      <c r="W44" s="3">
        <f>1268.4+(295.2-528.7)+(0+(0-0))+0-0-0</f>
        <v>1034.9000000000001</v>
      </c>
      <c r="X44" s="3">
        <f>1268.5+(304-519.6)+(-2.58774+(-0.62016--1.059984))+0-0-0</f>
        <v>1050.7520840000002</v>
      </c>
      <c r="Y44" s="3">
        <f>1318.4+(331.8-516.9)+(0.672384+(0.169218-0.263619))+0-0-0</f>
        <v>1133.8779830000001</v>
      </c>
      <c r="Z44" s="3">
        <f>1505.8+(327.5-527.9)+(-3.83979+(-0.835125--1.346145))+0-0-0</f>
        <v>1302.07123</v>
      </c>
      <c r="AA44" s="3">
        <f>1505.1+(331.8-567.3)+(-3.838005+(-0.84609--1.446615))+0-0-0</f>
        <v>1266.3625199999999</v>
      </c>
      <c r="AB44" s="3">
        <f>1340.3+(207.4-364)+(-0.683553+(-0.105774--0.18564))+0-0-0</f>
        <v>1183.096313</v>
      </c>
      <c r="AC44" s="3">
        <f>1300+(184.8-383)+(-0.663+(-0.094248--0.19533))+0-0-0</f>
        <v>1101.2380819999998</v>
      </c>
      <c r="AD44">
        <f t="shared" si="0"/>
        <v>24242.291892999998</v>
      </c>
      <c r="AE44" s="3">
        <f>1509+(336.3-529.8)+(0+(0-0))+0-0-0</f>
        <v>1315.5</v>
      </c>
    </row>
    <row r="45" spans="1:31" s="2" customFormat="1" x14ac:dyDescent="0.25">
      <c r="A45">
        <v>89</v>
      </c>
      <c r="B45">
        <v>2</v>
      </c>
      <c r="C45">
        <v>14</v>
      </c>
      <c r="D45">
        <v>4</v>
      </c>
      <c r="E45">
        <v>1</v>
      </c>
      <c r="F45" s="3">
        <f>1219.9+(147.7-389.6)+(-2.488596+(-0.301308--0.794784))+0-0-0</f>
        <v>976.00487999999996</v>
      </c>
      <c r="G45" s="3">
        <f>1200.7+(141.2-430.7)+(-2.449428+(-0.288048--0.878628))+0-0-0</f>
        <v>909.34115200000008</v>
      </c>
      <c r="H45" s="3">
        <f>1200.5+(131-461.3)+(-1.836765+(-0.20043--0.705789))+0-0-0</f>
        <v>868.86859400000003</v>
      </c>
      <c r="I45" s="3">
        <f>1200.9+(138.3-492.8)+(0.612459+(0.070533-0.251328))+0-0-0</f>
        <v>846.83166400000005</v>
      </c>
      <c r="J45" s="3">
        <f>1125.9+(151.6-432.6)+(2.296836+(0.309264-0.882504))+0-0-0</f>
        <v>846.62359600000013</v>
      </c>
      <c r="K45" s="3">
        <f>1090.9+(187.2-428.7)+(-0.556359+(-0.095472--0.218637))+0-0-0</f>
        <v>848.96680600000013</v>
      </c>
      <c r="L45" s="3">
        <f>1091+(207.5-452.8)+(-2.78205+(-0.529125--1.15464))+0-0-0</f>
        <v>843.54346500000008</v>
      </c>
      <c r="M45" s="3">
        <f>1240.1+(286.2-628)+(0+(0-0))+0-0-0</f>
        <v>898.3</v>
      </c>
      <c r="N45" s="3">
        <f>1382.6+(272.2-665.4)+(-1.410252+(-0.277644--0.678708))+0-0-0</f>
        <v>988.39081199999987</v>
      </c>
      <c r="O45" s="3">
        <f>1456.1+(270.7-678.3)+(1.485222+(0.276114-0.691866))+0-0-0</f>
        <v>1049.5694699999999</v>
      </c>
      <c r="P45" s="3">
        <f>1462.1+(164-551)+(-2.237013+(-0.25092--0.84303))+0-0-0</f>
        <v>1073.4550969999998</v>
      </c>
      <c r="Q45" s="3">
        <f>1388.9+(238.3-538.8)+(-1.416678+(-0.243066--0.549576))+0-0-0</f>
        <v>1087.2898320000002</v>
      </c>
      <c r="R45" s="3">
        <f>1372.7+(282.4-568.7)+(-2.800308+(-0.576096--1.160148))+0-0-0</f>
        <v>1084.1837440000002</v>
      </c>
      <c r="S45" s="3">
        <f>1372.8+(284-621.1)+(0+(0-0))+0-0-0</f>
        <v>1035.6999999999998</v>
      </c>
      <c r="T45" s="3">
        <f>1372.2+(289.1-652.9)+(1.399644+(0.294882-0.665958))+0-0-0</f>
        <v>1009.428568</v>
      </c>
      <c r="U45" s="3">
        <f>1372.9+(300.6-705.1)+(-0.700179+(-0.153306--0.359601))+0-0-0</f>
        <v>967.90611600000011</v>
      </c>
      <c r="V45" s="3">
        <f>1372.9+(380-732.3)+(-1.400358+(-0.3876--0.746946))+0-0-0</f>
        <v>1019.5589880000001</v>
      </c>
      <c r="W45" s="3">
        <f>1373+(473.2-797.1)+(-2.80092+(-0.965328--1.626084))+0-0-0</f>
        <v>1046.959836</v>
      </c>
      <c r="X45" s="3">
        <f>1373.7+(334.9-625.2)+(-3.502935+(-0.853995--1.59426))+0-0-0</f>
        <v>1080.63733</v>
      </c>
      <c r="Y45" s="3">
        <f>1390.5+(464.7-698.2)+(-1.41831+(-0.473994--0.712164))+0-0-0</f>
        <v>1155.8198600000001</v>
      </c>
      <c r="Z45" s="3">
        <f>1500+(434.1-625.6)+(-3.06+(-0.885564--1.276224))+0-0-0</f>
        <v>1305.8306600000001</v>
      </c>
      <c r="AA45" s="3">
        <f>1489+(467-684)+(-1.51878+(-0.47634--0.69768))+0-0-0</f>
        <v>1270.7025599999999</v>
      </c>
      <c r="AB45" s="3">
        <f>1362.7+(274.6-460.6)+(-2.084931+(-0.420138--0.704718))+0-0-0</f>
        <v>1174.899649</v>
      </c>
      <c r="AC45" s="3">
        <f>1226.8+(245.5-414.7)+(-1.251336+(-0.25041--0.422994))+0-0-0</f>
        <v>1056.521248</v>
      </c>
      <c r="AD45">
        <f t="shared" si="0"/>
        <v>24445.333927000003</v>
      </c>
      <c r="AE45" s="3">
        <f>1502+(504-658)+(0+(0-0))+0-0-0</f>
        <v>1348</v>
      </c>
    </row>
    <row r="46" spans="1:31" s="2" customFormat="1" x14ac:dyDescent="0.25">
      <c r="A46">
        <v>89</v>
      </c>
      <c r="B46">
        <v>2</v>
      </c>
      <c r="C46">
        <v>15</v>
      </c>
      <c r="D46">
        <v>5</v>
      </c>
      <c r="E46">
        <v>1</v>
      </c>
      <c r="F46" s="3">
        <f>1222.4+(312.9-552.8)+(-0.623424+(-0.159579--0.281928))+0-0-0</f>
        <v>981.9989250000001</v>
      </c>
      <c r="G46" s="3">
        <f>1219.1+(254-554)+(-1.865223+(-0.38862--0.84762))+0-0-0</f>
        <v>917.69377699999995</v>
      </c>
      <c r="H46" s="3">
        <f>1078.2+(230.6-434.8)+(-1.099764+(-0.235212--0.443496))+0-0-0</f>
        <v>873.10852</v>
      </c>
      <c r="I46" s="3">
        <f>975.2+(233.1-367.8)+(-1.989408+(-0.475524--0.750312))+0-0-0</f>
        <v>838.78538000000003</v>
      </c>
      <c r="J46" s="3">
        <f>904.4+(290.2-354.3)+(0.461244+(0.148002-0.180693))+0-0-0</f>
        <v>840.72855299999992</v>
      </c>
      <c r="K46" s="3">
        <f>904.8+(330.3-388.6)+(0.461448+(0.168453-0.198186))+0-0-0</f>
        <v>846.93171500000005</v>
      </c>
      <c r="L46" s="3">
        <f>905.5+(322.8-392.9)+(-1.84722+(-0.658512--0.801516))+0-0-0</f>
        <v>833.69578400000012</v>
      </c>
      <c r="M46" s="3">
        <f>1073.9+(306.1-486.1)+(0+(0-0))+0-0-0</f>
        <v>893.90000000000009</v>
      </c>
      <c r="N46" s="3">
        <f>1282.7+(327.2-615.5)+(-0.654177+(-0.166872--0.313905))+0-0-0</f>
        <v>993.89285600000005</v>
      </c>
      <c r="O46" s="3">
        <f>1319.1+(251.1-532.5)+(0+(0-0))+0-0-0</f>
        <v>1037.6999999999998</v>
      </c>
      <c r="P46" s="3">
        <f>1383.9+(299.2-624.2)+(-1.411578+(-0.305184--0.636684))+0-0-0</f>
        <v>1057.8199220000001</v>
      </c>
      <c r="Q46" s="3">
        <f>1384.2+(309.1-615.2)+(-1.411884+(-0.315282--0.627504))+0-0-0</f>
        <v>1077.0003379999998</v>
      </c>
      <c r="R46" s="3">
        <f>1316.4+(340.9-578.5)+(-1.342728+(-0.347718--0.59007))+0-0-0</f>
        <v>1077.6996240000001</v>
      </c>
      <c r="S46" s="3">
        <f>1360.9+(331.1-650.5)+(0.694059+(0.168861-0.331755))+0-0-0</f>
        <v>1042.0311650000001</v>
      </c>
      <c r="T46" s="3">
        <f>1309.6+(362.4-660)+(2.003688+(0.554472-1.0098))+0-0-0</f>
        <v>1013.5483599999999</v>
      </c>
      <c r="U46" s="3">
        <f>1270.9+(347.9-621.6)+(-1.296318+(-0.354858--0.634032))+0-0-0</f>
        <v>996.18285600000002</v>
      </c>
      <c r="V46" s="3">
        <f>1270.8+(263.9-523.7)+(-1.944324+(-0.403767--0.801261))+0-0-0</f>
        <v>1009.4531699999999</v>
      </c>
      <c r="W46" s="3">
        <f>1283.3+(353.3-562.1)+(-1.963449+(-0.540549--0.860013))+0-0-0</f>
        <v>1072.8560150000001</v>
      </c>
      <c r="X46" s="3">
        <f>1343.2+(295.6-563.4)+(-3.42516+(-0.75378--1.43667))+0-0-0</f>
        <v>1072.6577300000001</v>
      </c>
      <c r="Y46" s="3">
        <f>1403.3+(284.3-542.6)+(-1.431366+(-0.289986--0.553452))+0-0-0</f>
        <v>1143.8321000000001</v>
      </c>
      <c r="Z46" s="3">
        <f>1508.6+(330.6-555.5)+(-0.769386+(-0.168606--0.283305))+0-0-0</f>
        <v>1283.0453129999999</v>
      </c>
      <c r="AA46" s="3">
        <f>1505.2+(329.2-564.3)+(-3.83826+(-0.83946--1.438965))+0-0-0</f>
        <v>1266.8612450000001</v>
      </c>
      <c r="AB46" s="3">
        <f>1500.6+(167.2-477.8)+(-1.530612+(-0.170544--0.487356))+0-0-0</f>
        <v>1188.7862</v>
      </c>
      <c r="AC46" s="3">
        <f>1408.2+(159.8-477.6)+(-2.154546+(-0.244494--0.730728))+0-0-0</f>
        <v>1088.7316880000001</v>
      </c>
      <c r="AD46">
        <f t="shared" si="0"/>
        <v>24448.941235999999</v>
      </c>
      <c r="AE46" s="3">
        <f>1510+(357.4-542)+(0+(0-0))+0-0-0</f>
        <v>1325.4</v>
      </c>
    </row>
    <row r="47" spans="1:31" s="2" customFormat="1" x14ac:dyDescent="0.25">
      <c r="A47">
        <v>89</v>
      </c>
      <c r="B47">
        <v>2</v>
      </c>
      <c r="C47">
        <v>16</v>
      </c>
      <c r="D47">
        <v>6</v>
      </c>
      <c r="E47">
        <v>1</v>
      </c>
      <c r="F47" s="3">
        <f>1228.2+(217.5-461.2)+(0+(0-0))+0-0-0</f>
        <v>984.5</v>
      </c>
      <c r="G47" s="3">
        <f>1093.4+(231.8-411.1)+(0+(0-0))+0-0-0</f>
        <v>914.10000000000014</v>
      </c>
      <c r="H47" s="3">
        <f>899.1+(320.2-346.5)+(0+(0-0))+0-0-0</f>
        <v>872.8</v>
      </c>
      <c r="I47" s="3">
        <f>897.8+(307.2-356.1)+(0+(0-0))+0-0-0</f>
        <v>848.89999999999986</v>
      </c>
      <c r="J47" s="3">
        <f>898.4+(316.6-365.9)+(0+(0-0))+0-0-0</f>
        <v>849.1</v>
      </c>
      <c r="K47" s="3">
        <f>898+(286.5-335.7)+(0+(0-0))+0-0-0</f>
        <v>848.8</v>
      </c>
      <c r="L47" s="3">
        <f>897+(314.5-381.3)+(0+(0-0))+0-0-0</f>
        <v>830.2</v>
      </c>
      <c r="M47" s="3">
        <f>965.3+(389.4-486.8)+(0+(0-0))+0-0-0</f>
        <v>867.89999999999986</v>
      </c>
      <c r="N47" s="3">
        <f>1210.7+(333.2-579)+(0+(0-0))+0-0-0</f>
        <v>964.90000000000009</v>
      </c>
      <c r="O47" s="3">
        <f>1298.5+(171.7-447.5)+(0+(0-0))+0-0-0</f>
        <v>1022.7</v>
      </c>
      <c r="P47" s="3">
        <f>1405.6+(165.4-520.3)+(0+(0-0))+0-0-0</f>
        <v>1050.6999999999998</v>
      </c>
      <c r="Q47" s="3">
        <f>1463+(162.4-565.2)+(0+(0-0))+0-0-0</f>
        <v>1060.1999999999998</v>
      </c>
      <c r="R47" s="3">
        <f>1476.7+(161.4-578.8)+(0.753117+(0.082314-0.295188))+0-0-0</f>
        <v>1059.8402430000001</v>
      </c>
      <c r="S47" s="3">
        <f>1472+(118.8-578.7)+(0+(0-0))+0-0-0</f>
        <v>1012.0999999999999</v>
      </c>
      <c r="T47" s="3">
        <f>1456.4+(131.3-613.7)+(-1.485528+(-0.133926--0.625974))+0-0-0</f>
        <v>973.00652000000002</v>
      </c>
      <c r="U47" s="3">
        <f>1438.8+(136.9-615.7)+(-2.201364+(-0.209457--0.942021))+0-0-0</f>
        <v>958.5311999999999</v>
      </c>
      <c r="V47" s="3">
        <f>1465.4+(192.2-678.4)+(-3.73677+(-0.49011--1.72992))+0-0-0</f>
        <v>976.7030400000001</v>
      </c>
      <c r="W47" s="3">
        <f>1477.3+(272.7-763.7)+(-2.260269+(-0.417231--1.168461))+0-0-0</f>
        <v>984.79096099999992</v>
      </c>
      <c r="X47" s="3">
        <f>1487.6+(282.6-759.1)+(-1.517352+(-0.288252--0.774282))+0-0-0</f>
        <v>1010.0686779999999</v>
      </c>
      <c r="Y47" s="3">
        <f>1490.6+(270.1-689.7)+(-1.520412+(-0.275502--0.703494))+0-0-0</f>
        <v>1069.9075800000001</v>
      </c>
      <c r="Z47" s="3">
        <f>1494+(372.1-609.7)+(-2.28582+(-0.569313--0.932841))+0-0-0</f>
        <v>1254.4777080000001</v>
      </c>
      <c r="AA47" s="3">
        <f>1491.6+(309.9-568.8)+(-3.042864+(-0.632196--1.160352))+0-0-0</f>
        <v>1230.1852919999999</v>
      </c>
      <c r="AB47" s="3">
        <f>1489.8+(271.4-596.8)+(0.759798+(0.138414-0.304368))+0-0-0</f>
        <v>1164.9938440000001</v>
      </c>
      <c r="AC47" s="3">
        <f>1480.8+(257-655)+(-1.510416+(-0.26214--0.6681))+0-0-0</f>
        <v>1081.6955439999999</v>
      </c>
      <c r="AD47">
        <f t="shared" si="0"/>
        <v>23891.100609999998</v>
      </c>
      <c r="AE47" s="3">
        <f>1491+(399.7-591.9)+(0+(0-0))+0-0-0</f>
        <v>1298.8</v>
      </c>
    </row>
    <row r="48" spans="1:31" s="2" customFormat="1" x14ac:dyDescent="0.25">
      <c r="A48">
        <v>89</v>
      </c>
      <c r="B48">
        <v>2</v>
      </c>
      <c r="C48">
        <v>17</v>
      </c>
      <c r="D48">
        <v>7</v>
      </c>
      <c r="E48">
        <v>1</v>
      </c>
      <c r="F48" s="3">
        <f>1462.2+(258.1-717.6)+(-1.491444+(-0.263262--0.731952))+0-0-0</f>
        <v>1001.6772460000001</v>
      </c>
      <c r="G48" s="3">
        <f>1330.8+(260.6-674.6)+(-2.036124+(-0.398718--1.032138))+0-0-0</f>
        <v>915.39729599999998</v>
      </c>
      <c r="H48" s="3">
        <f>1271.5+(264.3-665.2)+(-2.59386+(-0.539172--1.357008))+0-0-0</f>
        <v>868.8239759999999</v>
      </c>
      <c r="I48" s="3">
        <f>1245.7+(286.4-684.7)+(-0.635307+(-0.146064--0.349197))+0-0-0</f>
        <v>846.96782599999995</v>
      </c>
      <c r="J48" s="3">
        <f>1148.6+(237.9-547)+(-1.757358+(-0.363987--0.83691))+0-0-0</f>
        <v>838.21556499999986</v>
      </c>
      <c r="K48" s="3">
        <f>1088.7+(278.1-530.7)+(0+(0-0))+0-0-0</f>
        <v>836.1</v>
      </c>
      <c r="L48" s="3">
        <f>1085.1+(229.9-552.1)+(-2.213604+(-0.468996--1.126284))+0-0-0</f>
        <v>761.34368399999983</v>
      </c>
      <c r="M48" s="3">
        <f>1138.7+(198.6-587.9)+(-1.161474+(-0.202572--0.599658))+0-0-0</f>
        <v>748.63561200000004</v>
      </c>
      <c r="N48" s="3">
        <f>1251.4+(127.2-577.9)+(-1.914642+(-0.194616--0.884187))+0-0-0</f>
        <v>799.47492900000009</v>
      </c>
      <c r="O48" s="3">
        <f>1302.8+(135.9-573.6)+(0+(0-0))+0-0-0</f>
        <v>865.09999999999991</v>
      </c>
      <c r="P48" s="3">
        <f>1376.6+(161.4-625.7)+(-0.702066+(-0.082314--0.319107))+0-0-0</f>
        <v>911.83472699999982</v>
      </c>
      <c r="Q48" s="3">
        <f>1376.2+(197-649.8)+(0+(0-0))+0-0-0</f>
        <v>923.40000000000009</v>
      </c>
      <c r="R48" s="3">
        <f>1377.2+(229-696.9)+(0+(0-0))+0-0-0</f>
        <v>909.30000000000007</v>
      </c>
      <c r="S48" s="3">
        <f>1377.1+(208.4-693.3)+(0+(0-0))+0-0-0</f>
        <v>892.19999999999993</v>
      </c>
      <c r="T48" s="3">
        <f>1377.5+(257.3-765.1)+(0+(0-0))+0-0-0</f>
        <v>869.7</v>
      </c>
      <c r="U48" s="3">
        <f>1376.3+(288.5-806.5)+(0+(0-0))+0-0-0</f>
        <v>858.3</v>
      </c>
      <c r="V48" s="3">
        <f>1348.6+(282.7-781)+(-3.43893+(-0.720885--1.99155))+0-0-0</f>
        <v>848.13173499999994</v>
      </c>
      <c r="W48" s="3">
        <f>1376.1+(377.8-885.6)+(-2.105433+(-0.578034--1.354968))+0-0-0</f>
        <v>866.97150099999999</v>
      </c>
      <c r="X48" s="3">
        <f>1377+(329.7-827.6)+(-1.40454+(-0.336294--0.844152))+0-0-0</f>
        <v>878.20331799999985</v>
      </c>
      <c r="Y48" s="3">
        <f>1415.3+(256.4-754.2)+(-1.443606+(-0.261528--0.769284))+0-0-0</f>
        <v>916.56414999999993</v>
      </c>
      <c r="Z48" s="3">
        <f>1507.2+(384.9-744.7)+(-3.84336+(-0.981495--1.898985))+0-0-0</f>
        <v>1144.4741300000001</v>
      </c>
      <c r="AA48" s="3">
        <f>1506.9+(423.1-765.8)+(-1.537038+(-0.431562--0.781116))+0-0-0</f>
        <v>1163.0125160000002</v>
      </c>
      <c r="AB48" s="3">
        <f>1504.8+(285.6-702)+(-2.302344+(-0.436968--1.07406))+0-0-0</f>
        <v>1086.7347480000001</v>
      </c>
      <c r="AC48" s="3">
        <f>1412.9+(248.1-659)+(-0.720579+(-0.126531--0.33609))+0-0-0</f>
        <v>1001.4889800000001</v>
      </c>
      <c r="AD48">
        <f t="shared" si="0"/>
        <v>21752.05193899999</v>
      </c>
      <c r="AE48" s="3">
        <f>1506+(436.5-718.4)+(0+(0-0))+0-0-0</f>
        <v>1224.0999999999999</v>
      </c>
    </row>
    <row r="49" spans="1:31" s="2" customFormat="1" x14ac:dyDescent="0.25">
      <c r="A49">
        <v>89</v>
      </c>
      <c r="B49">
        <v>2</v>
      </c>
      <c r="C49">
        <v>18</v>
      </c>
      <c r="D49">
        <v>1</v>
      </c>
      <c r="E49">
        <v>1</v>
      </c>
      <c r="F49" s="3">
        <f>1085.5+(237.6-404.9)+(-1.660815+(-0.363528--0.619497))+0-0-0</f>
        <v>916.79515400000003</v>
      </c>
      <c r="G49" s="3">
        <f>895.4+(279.8-332.5)+(-0.456654+(-0.142698--0.169575))+0-0-0</f>
        <v>842.2702230000001</v>
      </c>
      <c r="H49" s="3">
        <f>895.9+(271.9-356)+(-0.913818+(-0.277338--0.36312))+0-0-0</f>
        <v>810.97196399999996</v>
      </c>
      <c r="I49" s="3">
        <f>895.5+(247.3-356.5)+(-0.456705+(-0.126123--0.181815))+0-0-0</f>
        <v>785.89898699999992</v>
      </c>
      <c r="J49" s="3">
        <f>895.8+(252.1-358.1)+(0.456858+(0.128571-0.182631))+0-0-0</f>
        <v>790.20279799999992</v>
      </c>
      <c r="K49" s="3">
        <f>895.8+(287.3-385.5)+(-0.913716+(-0.293046--0.39321))+0-0-0</f>
        <v>796.78644799999995</v>
      </c>
      <c r="L49" s="3">
        <f>895.7+(240.8-371.1)+(-0.456807+(-0.122808--0.189261))+0-0-0</f>
        <v>765.00964600000009</v>
      </c>
      <c r="M49" s="3">
        <f>896.1+(341.8-408.4)+(0+(0-0))+0-0-0</f>
        <v>829.5</v>
      </c>
      <c r="N49" s="3">
        <f>1194+(412-661.6)+(-1.82682+(-0.63036--1.012248))+0-0-0</f>
        <v>942.95506799999998</v>
      </c>
      <c r="O49" s="3">
        <f>1462.3+(336-759.4)+(0+(0-0))+0-0-0</f>
        <v>1038.9000000000001</v>
      </c>
      <c r="P49" s="3">
        <f>1474.5+(329.1-769.8)+(-1.50399+(-0.335682--0.785196))+0-0-0</f>
        <v>1032.7455240000002</v>
      </c>
      <c r="Q49" s="3">
        <f>1473.2+(369.4-772.1)+(-1.502664+(-0.376788--0.787542))+0-0-0</f>
        <v>1069.4080899999999</v>
      </c>
      <c r="R49" s="3">
        <f>1474.3+(382.1-804)+(-0.751893+(-0.194871--0.41004))+0-0-0</f>
        <v>1051.863276</v>
      </c>
      <c r="S49" s="3">
        <f>1474.1+(328.4-783)+(-2.255373+(-0.502452--1.19799))+0-0-0</f>
        <v>1017.9401649999999</v>
      </c>
      <c r="T49" s="3">
        <f>1474.4+(318.9-825.4)+(-2.255832+(-0.487917--1.262862))+0-0-0</f>
        <v>966.41911300000004</v>
      </c>
      <c r="U49" s="3">
        <f>1474+(333.2-827.6)+(-3.00696+(-0.679728--1.688304))+0-0-0</f>
        <v>977.60161599999992</v>
      </c>
      <c r="V49" s="3">
        <f>1474.2+(395.2-883.6)+(-1.503684+(-0.403104--0.901272))+0-0-0</f>
        <v>984.79448400000001</v>
      </c>
      <c r="W49" s="3">
        <f>1468.2+(420.4-906.7)+(-4.492692+(-1.286424--2.774502))+0-0-0</f>
        <v>978.89538600000003</v>
      </c>
      <c r="X49" s="3">
        <f>1362.7+(314.2-708.4)+(-4.864839+(-1.121694--2.528988))+0-0-0</f>
        <v>965.04245500000002</v>
      </c>
      <c r="Y49" s="3">
        <f>1480.1+(257.1-690.9)+(-3.019404+(-0.524484--1.409436))+0-0-0</f>
        <v>1044.1655479999999</v>
      </c>
      <c r="Z49" s="3">
        <f>1504.3+(355.1-569.1)+(-1.534386+(-0.362202--0.580482))+0-0-0</f>
        <v>1288.983894</v>
      </c>
      <c r="AA49" s="3">
        <f>1440.5+(380.2-548.3)+(-2.203965+(-0.581706--0.838899))+0-0-0</f>
        <v>1270.4532280000001</v>
      </c>
      <c r="AB49" s="3">
        <f>1398.3+(269.9-474.7)+(-2.852532+(-0.550596--0.968388))+0-0-0</f>
        <v>1191.0652600000001</v>
      </c>
      <c r="AC49" s="3">
        <f>1398.1+(291.7-578.2)+(-1.426062+(-0.297534--0.589764))+0-0-0</f>
        <v>1110.4661679999999</v>
      </c>
      <c r="AD49">
        <f t="shared" si="0"/>
        <v>23469.134494999995</v>
      </c>
      <c r="AE49" s="3">
        <f>1503+(379.5-549.1)+(0+(0-0))+0-0-0</f>
        <v>1333.4</v>
      </c>
    </row>
    <row r="50" spans="1:31" s="2" customFormat="1" x14ac:dyDescent="0.25">
      <c r="A50">
        <v>89</v>
      </c>
      <c r="B50">
        <v>2</v>
      </c>
      <c r="C50">
        <v>19</v>
      </c>
      <c r="D50">
        <v>2</v>
      </c>
      <c r="E50">
        <v>1</v>
      </c>
      <c r="F50" s="3">
        <f>1268.1+(300-575.9)+(-1.293462+(-0.306--0.587418))+0-0-0</f>
        <v>991.18795599999999</v>
      </c>
      <c r="G50" s="3">
        <f>1032.3+(299-425.2)+(-0.526473+(-0.15249--0.216852))+0-0-0</f>
        <v>905.63788899999986</v>
      </c>
      <c r="H50" s="3">
        <f>896.6+(319.9-355.8)+(0+(0-0))+0-0-0</f>
        <v>860.7</v>
      </c>
      <c r="I50" s="3">
        <f>896.7+(300.8-354)+(-0.457317+(-0.153408--0.18054))+0-0-0</f>
        <v>843.06981499999995</v>
      </c>
      <c r="J50" s="3">
        <f>895.6+(242.8-296.3)+(-0.913512+(-0.247656--0.302226))+0-0-0</f>
        <v>841.24105800000007</v>
      </c>
      <c r="K50" s="3">
        <f>894.6+(252.2-303.7)+(-2.28123+(-0.64311--0.774435))+0-0-0</f>
        <v>840.95009500000003</v>
      </c>
      <c r="L50" s="3">
        <f>894.4+(233.8-321)+(-2.28072+(-0.59619--0.81855))+0-0-0</f>
        <v>805.14164000000005</v>
      </c>
      <c r="M50" s="3">
        <f>897.5+(269.8-312.2)+(-0.91545+(-0.275196--0.318444))+0-0-0</f>
        <v>854.22779800000001</v>
      </c>
      <c r="N50" s="3">
        <f>953.4+(414.1-421.9)+(-1.458702+(-0.633573--0.645507))+0-0-0</f>
        <v>944.153232</v>
      </c>
      <c r="O50" s="3">
        <f>1120.7+(465.2-579.4)+(-0.571557+(-0.237252--0.295494))+0-0-0</f>
        <v>1005.986685</v>
      </c>
      <c r="P50" s="3">
        <f>1321.9+(441.6-723.2)+(0+(0-0))+0-0-0</f>
        <v>1040.3000000000002</v>
      </c>
      <c r="Q50" s="3">
        <f>1453.6+(424.3-802.6)+(-0.741336+(-0.216393--0.409326))+0-0-0</f>
        <v>1074.7515969999999</v>
      </c>
      <c r="R50" s="3">
        <f>1485.4+(412.5-809.8)+(-1.515108+(-0.42075--0.825996))+0-0-0</f>
        <v>1086.9901380000001</v>
      </c>
      <c r="S50" s="3">
        <f>1445+(445.9-843.9)+(-2.21085+(-0.682227--1.291167))+0-0-0</f>
        <v>1045.3980899999999</v>
      </c>
      <c r="T50" s="3">
        <f>1426.7+(452.2-858.3)+(-1.455234+(-0.461244--0.875466))+0-0-0</f>
        <v>1019.5589880000001</v>
      </c>
      <c r="U50" s="3">
        <f>1417.3+(431.2-861.1)+(-3.614115+(-1.09956--2.195805))+0-0-0</f>
        <v>984.88212999999985</v>
      </c>
      <c r="V50" s="3">
        <f>1402.8+(435.4-845)+(-1.430856+(-0.444108--0.8619))+0-0-0</f>
        <v>992.18693599999995</v>
      </c>
      <c r="W50" s="3">
        <f>1348.8+(428.2-759.2)+(-4.127328+(-1.310292--2.323152))+0-0-0</f>
        <v>1014.685532</v>
      </c>
      <c r="X50" s="3">
        <f>1442+(324.1-754)+(-2.94168+(-0.661164--1.53816))+0-0-0</f>
        <v>1010.035316</v>
      </c>
      <c r="Y50" s="3">
        <f>1450.9+(320.9-709)+(0+(0-0))+0-0-0</f>
        <v>1062.8000000000002</v>
      </c>
      <c r="Z50" s="3">
        <f>1499.4+(459-666.1)+(-3.058776+(-0.93636--1.358844))+0-0-0</f>
        <v>1289.6637080000003</v>
      </c>
      <c r="AA50" s="3">
        <f>1506.4+(433.9-653.3)+(-3.84132+(-1.106445--1.665915))+0-0-0</f>
        <v>1283.7181499999999</v>
      </c>
      <c r="AB50" s="3">
        <f>1486.1+(325.6-612)+(-2.273733+(-0.498168--0.93636))+0-0-0</f>
        <v>1197.8644589999999</v>
      </c>
      <c r="AC50" s="3">
        <f>1403.6+(256.7-570.1)+(-3.57918+(-0.654585--1.453755))+0-0-0</f>
        <v>1087.4199899999999</v>
      </c>
      <c r="AD50">
        <f t="shared" si="0"/>
        <v>24082.551202000002</v>
      </c>
      <c r="AE50" s="3">
        <f>1506+(420.5-624.8)+(0+(0-0))+0-0-0</f>
        <v>1301.7</v>
      </c>
    </row>
    <row r="51" spans="1:31" s="2" customFormat="1" x14ac:dyDescent="0.25">
      <c r="A51">
        <v>89</v>
      </c>
      <c r="B51">
        <v>2</v>
      </c>
      <c r="C51">
        <v>20</v>
      </c>
      <c r="D51">
        <v>3</v>
      </c>
      <c r="E51">
        <v>1</v>
      </c>
      <c r="F51" s="3">
        <f>1190.3+(272-506.8)+(-5.463477+(-1.24848--2.326212))+0-0-0</f>
        <v>951.11425499999996</v>
      </c>
      <c r="G51" s="3">
        <f>995.4+(311-426.9)+(-4.568886+(-1.42749--1.959471))+0-0-0</f>
        <v>875.46309499999995</v>
      </c>
      <c r="H51" s="3">
        <f>969+(317.6-443.5)+(0.49419+(0.161976-0.226185))+0-0-0</f>
        <v>843.52998100000002</v>
      </c>
      <c r="I51" s="3">
        <f>968.8+(298.4-439.6)+(-3.458616+(-1.065288--1.569372))+0-0-0</f>
        <v>824.64546799999994</v>
      </c>
      <c r="J51" s="3">
        <f>976.4+(267.8-410.6)+(-0.497964+(-0.136578--0.209406))+0-0-0</f>
        <v>833.17486399999996</v>
      </c>
      <c r="K51" s="3">
        <f>980.5+(330-460.2)+(-2.500275+(-0.8415--1.17351))+0-0-0</f>
        <v>848.13173499999994</v>
      </c>
      <c r="L51" s="3">
        <f>982.9+(300-512.5)+(-1.503837+(-0.459--0.784125))+0-0-0</f>
        <v>769.22128799999996</v>
      </c>
      <c r="M51" s="3">
        <f>1236+(286.4-684.2)+(1.26072+(0.292128-0.697884))+0-0-0</f>
        <v>839.05496399999993</v>
      </c>
      <c r="N51" s="3">
        <f>1388.2+(305.2-742.4)+(1.415964+(0.311304-0.757248))+0-0-0</f>
        <v>951.97001999999998</v>
      </c>
      <c r="O51" s="3">
        <f>1471+(301.8-768.5)+(-2.25063+(-0.461754--1.175805))+0-0-0</f>
        <v>1002.763421</v>
      </c>
      <c r="P51" s="3">
        <f>1472.2+(284.9-723.5)+(-1.501644+(-0.290598--0.73797))+0-0-0</f>
        <v>1032.5457279999998</v>
      </c>
      <c r="Q51" s="3">
        <f>1473.3+(300.3-720.6)+(-0.751383+(-0.153153--0.367506))+0-0-0</f>
        <v>1052.46297</v>
      </c>
      <c r="R51" s="3">
        <f>1476.6+(351.3-751.2)+(-2.259198+(-0.537489--1.149336))+0-0-0</f>
        <v>1075.0526489999997</v>
      </c>
      <c r="S51" s="3">
        <f>1475.8+(379.2-801.1)+(-1.505316+(-0.386784--0.817122))+0-0-0</f>
        <v>1052.8250219999998</v>
      </c>
      <c r="T51" s="3">
        <f>1480.3+(327.3-774.5)+(-1.509906+(-0.333846--0.78999))+0-0-0</f>
        <v>1032.0462379999999</v>
      </c>
      <c r="U51" s="3">
        <f>1482.8+(294.3-811.4)+(0+(0-0))+0-0-0</f>
        <v>965.7</v>
      </c>
      <c r="V51" s="3">
        <f>1481.1+(318.1-765.7)+(-3.776805+(-0.811155--1.952535))+0-0-0</f>
        <v>1030.8645750000001</v>
      </c>
      <c r="W51" s="3">
        <f>1528.8+(349.5-842.5)+(-3.89844+(-0.891225--2.148375))+0-0-0</f>
        <v>1033.1587099999999</v>
      </c>
      <c r="X51" s="3">
        <f>1537.9+(353.2-766.2)+(-4.705974+(-1.080792--2.344572))+0-0-0</f>
        <v>1121.4578060000001</v>
      </c>
      <c r="Y51" s="3">
        <f>1495.1+(327.4-671.3)+(-0.762501+(-0.166974--0.342363))+0-0-0</f>
        <v>1150.6128879999999</v>
      </c>
      <c r="Z51" s="3">
        <f>1505.1+(442.1-627.7)+(-3.070404+(-0.901884--1.280508))+0-0-0</f>
        <v>1316.8082199999999</v>
      </c>
      <c r="AA51" s="3">
        <f>1500.9+(446.1-664.1)+(-4.592754+(-1.365066--2.032146))+0-0-0</f>
        <v>1278.974326</v>
      </c>
      <c r="AB51" s="3">
        <f>1505.3+(267.2-570.5)+(-3.070812+(-0.545088--1.16382))+0-0-0</f>
        <v>1199.54792</v>
      </c>
      <c r="AC51" s="3">
        <f>1437.4+(263.7-607.7)+(-2.199222+(-0.403461--0.929781))+0-0-0</f>
        <v>1091.7270980000001</v>
      </c>
      <c r="AD51">
        <f t="shared" si="0"/>
        <v>24172.853240999993</v>
      </c>
      <c r="AE51" s="3">
        <f>1507.6+(479.2-641.3)+(0+(0-0))+0-0-0</f>
        <v>1345.5</v>
      </c>
    </row>
    <row r="52" spans="1:31" s="2" customFormat="1" x14ac:dyDescent="0.25">
      <c r="A52">
        <v>89</v>
      </c>
      <c r="B52">
        <v>2</v>
      </c>
      <c r="C52">
        <v>21</v>
      </c>
      <c r="D52">
        <v>4</v>
      </c>
      <c r="E52">
        <v>1</v>
      </c>
      <c r="F52" s="3">
        <f>1247.6+(259.9-530.5)+(-0.636276+(-0.132549--0.270555))+0-0-0</f>
        <v>976.50172999999984</v>
      </c>
      <c r="G52" s="3">
        <f>1018.5+(342.5-463.5)+(-1.03887+(-0.34935--0.47277))+0-0-0</f>
        <v>896.58455000000004</v>
      </c>
      <c r="H52" s="3">
        <f>898+(294.2-355.4)+(-2.2899+(-0.75021--0.90627))+0-0-0</f>
        <v>834.66615999999999</v>
      </c>
      <c r="I52" s="3">
        <f>898.1+(271.9-350.5)+(-0.916062+(-0.277338--0.35751))+0-0-0</f>
        <v>818.66411000000005</v>
      </c>
      <c r="J52" s="3">
        <f>898.1+(261.9-343.7)+(0+(0-0))+0-0-0</f>
        <v>816.3</v>
      </c>
      <c r="K52" s="3">
        <f>895.3+(305.5-373.6)+(-1.826412+(-0.62322--0.762144))+0-0-0</f>
        <v>825.5125119999999</v>
      </c>
      <c r="L52" s="3">
        <f>897+(293.5-394.4)+(-1.37241+(-0.449055--0.603432))+0-0-0</f>
        <v>794.88196700000003</v>
      </c>
      <c r="M52" s="3">
        <f>910.7+(402.4-451.1)+(0+(0-0))+0-0-0</f>
        <v>862</v>
      </c>
      <c r="N52" s="3">
        <f>1175.9+(323.3-547.1)+(1.199418+(0.329766-0.558042))+0-0-0</f>
        <v>953.07114200000012</v>
      </c>
      <c r="O52" s="3">
        <f>1446.2+(333.5-717.5)+(-0.737562+(-0.170085--0.365925))+0-0-0</f>
        <v>1061.6582780000001</v>
      </c>
      <c r="P52" s="3">
        <f>1465.3+(297.1-690.7)+(1.494606+(0.303042-0.704514))+0-0-0</f>
        <v>1072.7931339999998</v>
      </c>
      <c r="Q52" s="3">
        <f>1467.4+(361.8-728.6)+(1.496748+(0.369036-0.743172))+0-0-0</f>
        <v>1101.722612</v>
      </c>
      <c r="R52" s="3">
        <f>1472.3+(354-726.4)+(-2.252619+(-0.54162--1.111392))+0-0-0</f>
        <v>1098.2171530000001</v>
      </c>
      <c r="S52" s="3">
        <f>1471.9+(357.9-723.7)+(-0.750669+(-0.182529--0.369087))+0-0-0</f>
        <v>1105.535889</v>
      </c>
      <c r="T52" s="3">
        <f>1471.7+(351.2-763.9)+(-2.251701+(-0.537336--1.168767))+0-0-0</f>
        <v>1057.3797300000001</v>
      </c>
      <c r="U52" s="3">
        <f>1471.9+(308.3-744)+(-3.002676+(-0.628932--1.51776))+0-0-0</f>
        <v>1034.0861520000001</v>
      </c>
      <c r="V52" s="3">
        <f>1471.3+(380.9-771.8)+(-3.001452+(-0.777036--1.574472))+0-0-0</f>
        <v>1078.1959840000002</v>
      </c>
      <c r="W52" s="3">
        <f>1471.4+(370.4-784.1)+(-4.502484+(-1.133424--2.399346))+0-0-0</f>
        <v>1054.463438</v>
      </c>
      <c r="X52" s="3">
        <f>1472.9+(322.5-730.4)+(-3.004716+(-0.6579--1.490016))+0-0-0</f>
        <v>1062.8273999999999</v>
      </c>
      <c r="Y52" s="3">
        <f>1476.6+(282.9-666.1)+(-1.506132+(-0.288558--0.679422))+0-0-0</f>
        <v>1092.2847319999998</v>
      </c>
      <c r="Z52" s="3">
        <f>1504.8+(368.9-554.6)+(-0.767448+(-0.188139--0.282846))+0-0-0</f>
        <v>1318.4272589999998</v>
      </c>
      <c r="AA52" s="3">
        <f>1502.4+(373.5-559.5)+(-2.298672+(-0.571455--0.856035))+0-0-0</f>
        <v>1314.3859080000002</v>
      </c>
      <c r="AB52" s="3">
        <f>1505.4+(318.2-581.7)+(-2.303262+(-0.486846--0.890001))+0-0-0</f>
        <v>1239.9998930000002</v>
      </c>
      <c r="AC52" s="3">
        <f>1500.6+(241.7-597.5)+(-3.061224+(-0.493068--1.2189))+0-0-0</f>
        <v>1142.464608</v>
      </c>
      <c r="AD52">
        <f t="shared" si="0"/>
        <v>24612.624340999999</v>
      </c>
      <c r="AE52" s="3">
        <f>1503+(425.4-569.2)+(0+(0-0))+0-0-0</f>
        <v>1359.1999999999998</v>
      </c>
    </row>
    <row r="53" spans="1:31" s="2" customFormat="1" x14ac:dyDescent="0.25">
      <c r="A53">
        <v>89</v>
      </c>
      <c r="B53">
        <v>2</v>
      </c>
      <c r="C53">
        <v>22</v>
      </c>
      <c r="D53">
        <v>5</v>
      </c>
      <c r="E53">
        <v>1</v>
      </c>
      <c r="F53" s="3">
        <f>1449.6+(247.5-668.5)+(-0.739296+(-0.126225--0.340935))+0-0-0</f>
        <v>1028.0754139999999</v>
      </c>
      <c r="G53" s="3">
        <f>1262.8+(240.5-567.5)+(-2.576112+(-0.49062--1.1577))+0-0-0</f>
        <v>933.89096799999993</v>
      </c>
      <c r="H53" s="3">
        <f>976.5+(278.9-370)+(-2.490075+(-0.711195--0.9435))+0-0-0</f>
        <v>883.14222999999993</v>
      </c>
      <c r="I53" s="3">
        <f>914.3+(262.6-314.6)+(-1.398879+(-0.401778--0.481338))+0-0-0</f>
        <v>860.980681</v>
      </c>
      <c r="J53" s="3">
        <f>915.6+(258-320)+(-0.933912+(-0.26316--0.3264))+0-0-0</f>
        <v>852.72932800000001</v>
      </c>
      <c r="K53" s="3">
        <f>915.5+(267.4-335.9)+(-0.466905+(-0.136374--0.171309))+0-0-0</f>
        <v>846.56803000000002</v>
      </c>
      <c r="L53" s="3">
        <f>915.6+(261-368.3)+(-1.867824+(-0.53244--0.751332))+0-0-0</f>
        <v>806.65106800000001</v>
      </c>
      <c r="M53" s="3">
        <f>994.5+(247.7-373)+(-1.521585+(-0.378981--0.57069))+0-0-0</f>
        <v>867.87012400000003</v>
      </c>
      <c r="N53" s="3">
        <f>1272.6+(190-454.4)+(0+(0-0))+0-0-0</f>
        <v>1008.1999999999999</v>
      </c>
      <c r="O53" s="3">
        <f>1470.6+(212.6-633.4)+(-1.500012+(-0.216852--0.646068))+0-0-0</f>
        <v>1048.729204</v>
      </c>
      <c r="P53" s="3">
        <f>1475.3+(211.7-603)+(-1.504806+(-0.215934--0.61506))+0-0-0</f>
        <v>1082.8943200000001</v>
      </c>
      <c r="Q53" s="3">
        <f>1474.6+(193.4-558.6)+(0+(0-0))+0-0-0</f>
        <v>1109.3999999999999</v>
      </c>
      <c r="R53" s="3">
        <f>1472.1+(270-589.8)+(-1.501542+(-0.2754--0.601596))+0-0-0</f>
        <v>1151.124654</v>
      </c>
      <c r="S53" s="3">
        <f>1471.7+(301.5-673.1)+(-1.501134+(-0.30753--0.686562))+0-0-0</f>
        <v>1098.9778979999999</v>
      </c>
      <c r="T53" s="3">
        <f>1453.8+(276.6-665.4)+(-0.741438+(-0.141066--0.339354))+0-0-0</f>
        <v>1064.45685</v>
      </c>
      <c r="U53" s="3">
        <f>1453.8+(225.9-620.8)+(-2.224314+(-0.345627--0.949824))+0-0-0</f>
        <v>1057.2798830000002</v>
      </c>
      <c r="V53" s="3">
        <f>1456.1+(277.1-662.5)+(-0.742611+(-0.141321--0.337875))+0-0-0</f>
        <v>1070.1539429999998</v>
      </c>
      <c r="W53" s="3">
        <f>1456.4+(345.5-720.7)+(-4.456584+(-1.05723--2.205342))+0-0-0</f>
        <v>1077.8915280000001</v>
      </c>
      <c r="X53" s="3">
        <f>1458.6+(284-652.3)+(-2.975544+(-0.57936--1.330692))+0-0-0</f>
        <v>1088.0757879999999</v>
      </c>
      <c r="Y53" s="3">
        <f>1467.9+(268.1-590.8)+(-2.245887+(-0.410193--0.903924))+0-0-0</f>
        <v>1143.4478440000003</v>
      </c>
      <c r="Z53" s="3">
        <f>1509.8+(330.5-507.1)+(-3.079992+(-0.67422--1.034484))+0-0-0</f>
        <v>1330.4802719999998</v>
      </c>
      <c r="AA53" s="3">
        <f>1505.3+(342.6-547.9)+(-3.070812+(-0.698904--1.117716))+0-0-0</f>
        <v>1297.348</v>
      </c>
      <c r="AB53" s="3">
        <f>1505.9+(239.8-531.8)+(-1.536018+(-0.244596--0.542436))+0-0-0</f>
        <v>1212.661822</v>
      </c>
      <c r="AC53" s="3">
        <f>1502.1+(164.8-559.4)+(-3.830355+(-0.42024--1.42647))+0-0-0</f>
        <v>1104.6758749999999</v>
      </c>
      <c r="AD53">
        <f t="shared" si="0"/>
        <v>25025.705723999999</v>
      </c>
      <c r="AE53" s="3">
        <f>1507+(347.7-502.8)+(0+(0-0))+0-0-0</f>
        <v>1351.9</v>
      </c>
    </row>
    <row r="54" spans="1:31" s="2" customFormat="1" x14ac:dyDescent="0.25">
      <c r="A54">
        <v>89</v>
      </c>
      <c r="B54">
        <v>2</v>
      </c>
      <c r="C54">
        <v>23</v>
      </c>
      <c r="D54">
        <v>6</v>
      </c>
      <c r="E54">
        <v>1</v>
      </c>
      <c r="F54" s="3">
        <f>1474.2+(187.6-650)+(-6.014736+(-0.765408--2.652))+0-0-0</f>
        <v>1007.671856</v>
      </c>
      <c r="G54" s="3">
        <f>1235.6+(182.5-494.7)+(-3.15078+(-0.465375--1.261485))+0-0-0</f>
        <v>921.04532999999981</v>
      </c>
      <c r="H54" s="3">
        <f>1129.9+(200.8-450)+(-0.576249+(-0.102408--0.2295))+0-0-0</f>
        <v>880.25084300000003</v>
      </c>
      <c r="I54" s="3">
        <f>1055.1+(175.7-381.8)+(-2.690505+(-0.448035--0.97359))+0-0-0</f>
        <v>846.83504999999991</v>
      </c>
      <c r="J54" s="3">
        <f>977.3+(179-305.5)+(0+(0-0))+0-0-0</f>
        <v>850.8</v>
      </c>
      <c r="K54" s="3">
        <f>977.5+(188.4-314.8)+(-2.492625+(-0.48042--0.80274))+0-0-0</f>
        <v>848.92969500000004</v>
      </c>
      <c r="L54" s="3">
        <f>982.4+(194.9-358.9)+(-1.002048+(-0.198798--0.366078))+0-0-0</f>
        <v>817.56523199999992</v>
      </c>
      <c r="M54" s="3">
        <f>1002.1+(232.8-360.2)+(0+(0-0))+0-0-0</f>
        <v>874.7</v>
      </c>
      <c r="N54" s="3">
        <f>1158.1+(268.9-443.5)+(-0.590631+(-0.137139--0.226185))+0-0-0</f>
        <v>982.99841499999991</v>
      </c>
      <c r="O54" s="3">
        <f>1348+(272.1-555.7)+(0+(0-0))+0-0-0</f>
        <v>1064.4000000000001</v>
      </c>
      <c r="P54" s="3">
        <f>1482.7+(252.9-638.3)+(-1.512354+(-0.257958--0.651066))+0-0-0</f>
        <v>1096.1807540000002</v>
      </c>
      <c r="Q54" s="3">
        <f>1482.8+(300.2-664)+(0+(0-0))+0-0-0</f>
        <v>1119</v>
      </c>
      <c r="R54" s="3">
        <f>1469.5+(328.2-671.1)+(-2.99778+(-0.669528--1.369044))+0-0-0</f>
        <v>1124.3017359999999</v>
      </c>
      <c r="S54" s="3">
        <f>1465.2+(258.3-620.5)+(-0.747252+(-0.131733--0.316455))+0-0-0</f>
        <v>1102.4374700000001</v>
      </c>
      <c r="T54" s="3">
        <f>1460.8+(228.3-607.5)+(-2.235024+(-0.349299--0.929475))+0-0-0</f>
        <v>1079.945152</v>
      </c>
      <c r="U54" s="3">
        <f>1461.2+(225.6-640.9)+(-1.490424+(-0.230112--0.653718))+0-0-0</f>
        <v>1044.8331820000001</v>
      </c>
      <c r="V54" s="3">
        <f>1460.6+(202.6-608.3)+(-3.72453+(-0.51663--1.551165))+0-0-0</f>
        <v>1052.2100050000001</v>
      </c>
      <c r="W54" s="3">
        <f>1459.4+(273.4-673.1)+(-2.232882+(-0.418302--1.029843))+0-0-0</f>
        <v>1058.078659</v>
      </c>
      <c r="X54" s="3">
        <f>1458.8+(270.6-655.5)+(-2.975952+(-0.552024--1.33722))+0-0-0</f>
        <v>1071.7092440000001</v>
      </c>
      <c r="Y54" s="3">
        <f>1501.1+(266.2-604.9)+(-3.062244+(-0.543048--1.233996))+0-0-0</f>
        <v>1160.0287039999998</v>
      </c>
      <c r="Z54" s="3">
        <f>1507.4+(294.9-522.8)+(-3.075096+(-0.601596--1.066512))+0-0-0</f>
        <v>1276.8898200000001</v>
      </c>
      <c r="AA54" s="3">
        <f>1509.2+(345.5-568.5)+(-3.078768+(-0.70482--1.15974))+0-0-0</f>
        <v>1283.5761520000001</v>
      </c>
      <c r="AB54" s="3">
        <f>1506.3+(206.1-506.4)+(-3.841065+(-0.525555--1.29132))+0-0-0</f>
        <v>1202.9247</v>
      </c>
      <c r="AC54" s="3">
        <f>1420.2+(160.4-474.1)+(-2.172906+(-0.245412--0.725373))+0-0-0</f>
        <v>1104.807055</v>
      </c>
      <c r="AD54">
        <f t="shared" si="0"/>
        <v>24872.119054000003</v>
      </c>
      <c r="AE54" s="3">
        <f>1511+(342.6-520.1)+(0+(0-0))+0-0-0</f>
        <v>1333.5</v>
      </c>
    </row>
    <row r="55" spans="1:31" s="2" customFormat="1" x14ac:dyDescent="0.25">
      <c r="A55">
        <v>89</v>
      </c>
      <c r="B55">
        <v>2</v>
      </c>
      <c r="C55">
        <v>24</v>
      </c>
      <c r="D55">
        <v>7</v>
      </c>
      <c r="E55">
        <v>1</v>
      </c>
      <c r="F55" s="3">
        <f>1291+(260.4-539.1)+(-0.65841+(-0.132804--0.274941))+0-0-0</f>
        <v>1011.783727</v>
      </c>
      <c r="G55" s="3">
        <f>1099.1+(260.5-421.1)+(-1.681623+(-0.398565--0.644283))+0-0-0</f>
        <v>937.06409499999984</v>
      </c>
      <c r="H55" s="3">
        <f>896.5+(252.2-263)+(0+(0-0))+0-0-0</f>
        <v>885.7</v>
      </c>
      <c r="I55" s="3">
        <f>891.9+(218.3-256.4)+(-0.909738+(-0.222666--0.261528))+0-0-0</f>
        <v>852.929124</v>
      </c>
      <c r="J55" s="3">
        <f>892+(227.9-268)+(-0.45492+(-0.116229--0.13668))+0-0-0</f>
        <v>851.46553099999994</v>
      </c>
      <c r="K55" s="3">
        <f>891.7+(223.4-277.5)+(-5.457204+(-1.367208--1.6983))+0-0-0</f>
        <v>832.47388799999999</v>
      </c>
      <c r="L55" s="3">
        <f>767.3+(247.5-238.3)+(-3.130584+(-1.0098--0.972264))+0-0-0</f>
        <v>773.33187999999996</v>
      </c>
      <c r="M55" s="3">
        <f>669.1+(283-223.2)+(-0.341241+(-0.14433--0.113832))+0-0-0</f>
        <v>728.52826100000004</v>
      </c>
      <c r="N55" s="3">
        <f>692.4+(263-210.9)+(-0.706248+(-0.26826--0.215118))+0-0-0</f>
        <v>743.74060999999995</v>
      </c>
      <c r="O55" s="3">
        <f>1011.2+(235-351.8)+(-1.547136+(-0.35955--0.538254))+0-0-0</f>
        <v>893.03156800000011</v>
      </c>
      <c r="P55" s="3">
        <f>1055.1+(258-385.6)+(-0.538101+(-0.13158--0.196656))+0-0-0</f>
        <v>927.02697499999988</v>
      </c>
      <c r="Q55" s="3">
        <f>1090.6+(287.3-426.7)+(-2.224824+(-0.586092--0.870468))+0-0-0</f>
        <v>949.25955199999999</v>
      </c>
      <c r="R55" s="3">
        <f>1286.5+(273.7-595.8)+(-1.31223+(-0.279174--0.607716))+0-0-0</f>
        <v>963.41631200000006</v>
      </c>
      <c r="S55" s="3">
        <f>1292+(263.8-619)+(-2.63568+(-0.538152--1.26276))+0-0-0</f>
        <v>934.88892799999996</v>
      </c>
      <c r="T55" s="3">
        <f>1291.6+(226.9-611.1)+(0+(0-0))+0-0-0</f>
        <v>907.39999999999986</v>
      </c>
      <c r="U55" s="3">
        <f>1338.6+(287.1-715.7)+(-1.365372+(-0.292842--0.730014))+0-0-0</f>
        <v>909.07179999999994</v>
      </c>
      <c r="V55" s="3">
        <f>1475.6+(237.4-791.8)+(-3.76278+(-0.60537--2.01909))+0-0-0</f>
        <v>918.85093999999992</v>
      </c>
      <c r="W55" s="3">
        <f>1477.5+(257.7-799.9)+(-4.52115+(-0.788562--2.447694))+0-0-0</f>
        <v>932.43798199999992</v>
      </c>
      <c r="X55" s="3">
        <f>1477.1+(260-790)+(-1.506642+(-0.2652--0.8058))+0-0-0</f>
        <v>946.13395799999989</v>
      </c>
      <c r="Y55" s="3">
        <f>1487.2+(246.7-741.5)+(-3.033888+(-0.503268--1.51266))+0-0-0</f>
        <v>990.37550400000009</v>
      </c>
      <c r="Z55" s="3">
        <f>1509.2+(367.2-672.8)+(-1.539384+(-0.374544--0.686256))+0-0-0</f>
        <v>1202.3723280000002</v>
      </c>
      <c r="AA55" s="3">
        <f>1509.2+(331.2-605.5)+(-2.309076+(-0.506736--0.926415))+0-0-0</f>
        <v>1233.0106030000002</v>
      </c>
      <c r="AB55" s="3">
        <f>1490.4+(168.2-495.8)+(-3.80052+(-0.42891--1.26429))+0-0-0</f>
        <v>1159.8348600000002</v>
      </c>
      <c r="AC55" s="3">
        <f>1485+(103.8-506.3)+(-0.75735+(-0.052938--0.258213))+0-0-0</f>
        <v>1081.9479249999999</v>
      </c>
      <c r="AD55">
        <f t="shared" si="0"/>
        <v>22566.076350999996</v>
      </c>
      <c r="AE55" s="3">
        <f>1507.3+(380.6-622.7)+(0+(0-0))+0-0-0</f>
        <v>1265.1999999999998</v>
      </c>
    </row>
    <row r="56" spans="1:31" s="2" customFormat="1" x14ac:dyDescent="0.25">
      <c r="A56">
        <v>89</v>
      </c>
      <c r="B56">
        <v>2</v>
      </c>
      <c r="C56">
        <v>25</v>
      </c>
      <c r="D56">
        <v>1</v>
      </c>
      <c r="E56">
        <v>1</v>
      </c>
      <c r="F56" s="3">
        <f>1480.9+(96.3-592.1)+(-0.755259+(-0.049113--0.301971))+0-0-0</f>
        <v>984.59759900000017</v>
      </c>
      <c r="G56" s="3">
        <f>1241.2+(135.6-489.8)+(-0.633012+(-0.069156--0.249798))+0-0-0</f>
        <v>886.54763000000003</v>
      </c>
      <c r="H56" s="3">
        <f>911.1+(217.3-288.8)+(0.464661+(0.110823-0.147288))+0-0-0</f>
        <v>840.02819599999998</v>
      </c>
      <c r="I56" s="3">
        <f>897.4+(213.7-283.3)+(-1.830696+(-0.435948--0.577932))+0-0-0</f>
        <v>826.11128799999994</v>
      </c>
      <c r="J56" s="3">
        <f>897.6+(193.9-263.1)+(1.373328+(0.296667-0.402543))+0-0-0</f>
        <v>829.66745200000003</v>
      </c>
      <c r="K56" s="3">
        <f>897.6+(258.6-325.5)+(-0.915552+(-0.263772--0.33201))+0-0-0</f>
        <v>829.85268600000006</v>
      </c>
      <c r="L56" s="3">
        <f>896.3+(259.7-348.5)+(0.457113+(0.132447-0.177735))+0-0-0</f>
        <v>807.91182500000002</v>
      </c>
      <c r="M56" s="3">
        <f>1276.2+(150.4-542)+(-1.301724+(-0.153408--0.55284))+0-0-0</f>
        <v>883.69770800000003</v>
      </c>
      <c r="N56" s="3">
        <f>1463.9+(210.4-676.7)+(-0.746589+(-0.107304--0.345117))+0-0-0</f>
        <v>997.09122400000001</v>
      </c>
      <c r="O56" s="3">
        <f>1464.6+(225.8-628.8)+(-1.493892+(-0.230316--0.641376))+0-0-0</f>
        <v>1060.5171679999999</v>
      </c>
      <c r="P56" s="3">
        <f>1464.6+(282.8-651.9)+(-1.493892+(-0.288456--0.664938))+0-0-0</f>
        <v>1094.3825899999999</v>
      </c>
      <c r="Q56" s="3">
        <f>1464.2+(312-646.9)+(0+(0-0))+0-0-0</f>
        <v>1129.3000000000002</v>
      </c>
      <c r="R56" s="3">
        <f>1464.7+(335.9-655.8)+(-2.240991+(-0.513927--1.003374))+0-0-0</f>
        <v>1143.0484560000002</v>
      </c>
      <c r="S56" s="3">
        <f>1465+(339.4-666.8)+(-2.24145+(-0.519282--1.020204))+0-0-0</f>
        <v>1135.8594719999999</v>
      </c>
      <c r="T56" s="3">
        <f>1464.7+(315.9-669.8)+(-2.987988+(-0.644436--1.366392))+0-0-0</f>
        <v>1108.5339680000002</v>
      </c>
      <c r="U56" s="3">
        <f>1464.3+(305.5-702.3)+(0+(0-0))+0-0-0</f>
        <v>1067.5</v>
      </c>
      <c r="V56" s="3">
        <f>1465+(301.2-688.4)+(-0.74715+(-0.153612--0.351084))+0-0-0</f>
        <v>1077.2503219999999</v>
      </c>
      <c r="W56" s="3">
        <f>1464.8+(317.7-699.4)+(-4.482288+(-0.972162--2.140164))+0-0-0</f>
        <v>1079.7857139999999</v>
      </c>
      <c r="X56" s="3">
        <f>1464.3+(242-621)+(-1.493586+(-0.24684--0.63342))+0-0-0</f>
        <v>1084.192994</v>
      </c>
      <c r="Y56" s="3">
        <f>1467.7+(243.3-615.8)+(-2.994108+(-0.496332--1.256232))+0-0-0</f>
        <v>1092.965792</v>
      </c>
      <c r="Z56" s="3">
        <f>1551.3+(328.3-561.6)+(-2.373489+(-0.502299--0.859248))+0-0-0</f>
        <v>1315.9834599999999</v>
      </c>
      <c r="AA56" s="3">
        <f>1556.2+(419.3-637.4)+(-2.380986+(-0.641529--0.975222))+0-0-0</f>
        <v>1336.0527070000001</v>
      </c>
      <c r="AB56" s="3">
        <f>1502.4+(335.5-587.2)+(-2.298672+(-0.513315--0.898416))+0-0-0</f>
        <v>1248.786429</v>
      </c>
      <c r="AC56" s="3">
        <f>1480.5+(275.2-592.5)+(-1.51011+(-0.280704--0.60435))+0-0-0</f>
        <v>1162.0135360000002</v>
      </c>
      <c r="AD56">
        <f t="shared" si="0"/>
        <v>25021.678215999997</v>
      </c>
      <c r="AE56" s="3">
        <f>1608+(372.6-619.7)+(0+(0-0))+0-0-0</f>
        <v>1360.9</v>
      </c>
    </row>
    <row r="57" spans="1:31" s="2" customFormat="1" x14ac:dyDescent="0.25">
      <c r="A57">
        <v>89</v>
      </c>
      <c r="B57">
        <v>2</v>
      </c>
      <c r="C57">
        <v>26</v>
      </c>
      <c r="D57">
        <v>2</v>
      </c>
      <c r="E57">
        <v>1</v>
      </c>
      <c r="F57" s="3">
        <f>1378.7+(217.8-565.7)+(-2.109411+(-0.333234--0.865521))+0-0-0</f>
        <v>1029.222876</v>
      </c>
      <c r="G57" s="3">
        <f>1099.6+(186.9-358.7)+(-1.682388+(-0.285957--0.548811))+0-0-0</f>
        <v>926.38046599999996</v>
      </c>
      <c r="H57" s="3">
        <f>910.4+(223.6-251.6)+(-2.32152+(-0.57018--0.64158))+0-0-0</f>
        <v>880.14987999999994</v>
      </c>
      <c r="I57" s="3">
        <f>905+(210.3-252.4)+(-1.38465+(-0.321759--0.386172))+0-0-0</f>
        <v>861.57976299999996</v>
      </c>
      <c r="J57" s="3">
        <f>905.1+(204.9-253.6)+(-1.846404+(-0.417996--0.517344))+0-0-0</f>
        <v>854.65294400000005</v>
      </c>
      <c r="K57" s="3">
        <f>905.3+(267.9-313.6)+(-1.385109+(-0.409887--0.479808))+0-0-0</f>
        <v>858.28481199999987</v>
      </c>
      <c r="L57" s="3">
        <f>905+(173.4-250.7)+(-1.38465+(-0.265302--0.383571))+0-0-0</f>
        <v>826.43361900000002</v>
      </c>
      <c r="M57" s="3">
        <f>1000.6+(160.9-280.6)+(-0.510306+(-0.082059--0.143106))+0-0-0</f>
        <v>880.45074099999999</v>
      </c>
      <c r="N57" s="3">
        <f>1130+(178.7-326.1)+(-1.7289+(-0.273411--0.498933))+0-0-0</f>
        <v>981.09662199999991</v>
      </c>
      <c r="O57" s="3">
        <f>1257+(232.2-437.2)+(-1.92321+(-0.355266--0.668916))+0-0-0</f>
        <v>1050.3904399999999</v>
      </c>
      <c r="P57" s="3">
        <f>1287.7+(206.6-406.1)+(-1.313454+(-0.210732--0.414222))+0-0-0</f>
        <v>1087.0900360000001</v>
      </c>
      <c r="Q57" s="3">
        <f>1289.2+(281.4-455.2)+(0+(0-0))+0-0-0</f>
        <v>1115.4000000000001</v>
      </c>
      <c r="R57" s="3">
        <f>1291.1+(280.7-430.8)+(-1.975383+(-0.429471--0.659124))+0-0-0</f>
        <v>1139.2542699999999</v>
      </c>
      <c r="S57" s="3">
        <f>1329.3+(308.4-537.4)+(0+(0-0))+0-0-0</f>
        <v>1100.3</v>
      </c>
      <c r="T57" s="3">
        <f>1474.4+(254.6-615.8)+(0+(0-0))+0-0-0</f>
        <v>1113.2000000000003</v>
      </c>
      <c r="U57" s="3">
        <f>1476.5+(238.4-654)+(-2.259045+(-0.364752--1.00062))+0-0-0</f>
        <v>1059.2768230000001</v>
      </c>
      <c r="V57" s="3">
        <f>1529.2+(177.9-643.9)+(-3.89946+(-0.453645--1.641945))+0-0-0</f>
        <v>1060.48884</v>
      </c>
      <c r="W57" s="3">
        <f>1597.6+(229.1-749.6)+(-4.07388+(-0.584205--1.91148))+0-0-0</f>
        <v>1074.3533949999999</v>
      </c>
      <c r="X57" s="3">
        <f>1599.2+(245.9-759.5)+(-4.07796+(-0.627045--1.936725))+0-0-0</f>
        <v>1082.8317199999999</v>
      </c>
      <c r="Y57" s="3">
        <f>1603.2+(263.1-759.1)+(-2.452896+(-0.402543--1.161423))+0-0-0</f>
        <v>1105.5059840000001</v>
      </c>
      <c r="Z57" s="3">
        <f>1631.6+(307.7-637)+(-3.328464+(-0.627708--1.29948))+0-0-0</f>
        <v>1299.6433079999999</v>
      </c>
      <c r="AA57" s="3">
        <f>1587.4+(343.2-618.7)+(-3.238296+(-0.700128--1.262148))+0-0-0</f>
        <v>1309.2237240000002</v>
      </c>
      <c r="AB57" s="3">
        <f>1486.9+(235.4-489.8)+(0+(0-0))+0-0-0</f>
        <v>1232.5</v>
      </c>
      <c r="AC57" s="3">
        <f>1414.4+(246.3-526.9)+(0+(0-0))+0-0-0</f>
        <v>1133.8000000000002</v>
      </c>
      <c r="AD57">
        <f t="shared" si="0"/>
        <v>25061.510262999993</v>
      </c>
      <c r="AE57" s="3">
        <f>1632.8+(358-637.3)+(0+(0-0))+0-0-0</f>
        <v>1353.5</v>
      </c>
    </row>
    <row r="58" spans="1:31" s="2" customFormat="1" x14ac:dyDescent="0.25">
      <c r="A58">
        <v>89</v>
      </c>
      <c r="B58">
        <v>2</v>
      </c>
      <c r="C58">
        <v>27</v>
      </c>
      <c r="D58">
        <v>3</v>
      </c>
      <c r="E58">
        <v>5</v>
      </c>
      <c r="F58" s="3">
        <f>1364.5+(249.3-577.3)+(-0.695895+(-0.127143--0.294423))+0-0-0</f>
        <v>1035.9713850000001</v>
      </c>
      <c r="G58" s="3">
        <f>1115.7+(255-419.6)+(-0.569007+(-0.13005--0.213996))+0-0-0</f>
        <v>950.61493900000005</v>
      </c>
      <c r="H58" s="3">
        <f>975.9+(277.3-357.7)+(-0.497709+(-0.141423--0.182427))+0-0-0</f>
        <v>895.04329499999994</v>
      </c>
      <c r="I58" s="3">
        <f>988.9+(209.6-329.7)+(-2.017356+(-0.427584--0.672588))+0-0-0</f>
        <v>867.027648</v>
      </c>
      <c r="J58" s="3">
        <f>1081.6+(177.2-386.9)+(0+(0-0))+0-0-0</f>
        <v>871.89999999999986</v>
      </c>
      <c r="K58" s="3">
        <f>1098.6+(224.2-462.8)+(-2.80143+(-0.57171--1.18014))+0-0-0</f>
        <v>857.8069999999999</v>
      </c>
      <c r="L58" s="3">
        <f>1094.1+(207.9-524.1)+(-0.557991+(-0.106029--0.267291))+0-0-0</f>
        <v>777.50327099999981</v>
      </c>
      <c r="M58" s="3">
        <f>1125.3+(210-491.3)+(1.147806+(0.2142-0.501126))+0-0-0</f>
        <v>844.86087999999995</v>
      </c>
      <c r="N58" s="3">
        <f>1256+(173.2-546.5)+(-1.92168+(-0.264996--0.836145))+0-0-0</f>
        <v>881.349469</v>
      </c>
      <c r="O58" s="3">
        <f>1363.2+(184-586.8)+(0+(0-0))+0-0-0</f>
        <v>960.40000000000009</v>
      </c>
      <c r="P58" s="3">
        <f>1462.9+(186-655.5)+(-2.984316+(-0.37944--1.33722))+0-0-0</f>
        <v>991.37346400000013</v>
      </c>
      <c r="Q58" s="3">
        <f>1468.9+(206.5-648.8)+(-2.996556+(-0.42126--1.323552))+0-0-0</f>
        <v>1024.5057360000001</v>
      </c>
      <c r="R58" s="3">
        <f>1564.7+(201.2-720.6)+(-3.191988+(-0.410448--1.470024))+0-0-0</f>
        <v>1043.167588</v>
      </c>
      <c r="S58" s="3">
        <f>1566.2+(201.1-732.5)+(0+(0-0))+0-0-0</f>
        <v>1034.8000000000002</v>
      </c>
      <c r="T58" s="3">
        <f>1566.2+(164.3-704)+(-2.396286+(-0.251379--1.07712))+0-0-0</f>
        <v>1024.929455</v>
      </c>
      <c r="U58" s="3">
        <f>1554.3+(165.1-690.9)+(-1.585386+(-0.168402--0.704718))+0-0-0</f>
        <v>1027.45093</v>
      </c>
      <c r="V58" s="3">
        <f>1476.4+(204.6-632.9)+(-2.258892+(-0.313038--0.968337))+0-0-0</f>
        <v>1046.4964070000001</v>
      </c>
      <c r="W58" s="3">
        <f>1478.4+(304.3-721.2)+(-1.507968+(-0.310386--0.735624))+0-0-0</f>
        <v>1060.4172699999999</v>
      </c>
      <c r="X58" s="3">
        <f>1481.3+(288.2-712.5)+(-3.021852+(-0.587928--1.4535))+0-0-0</f>
        <v>1054.8437200000001</v>
      </c>
      <c r="Y58" s="3">
        <f>1532.7+(275-740.2)+(0+(0-0))+0-0-0</f>
        <v>1067.5</v>
      </c>
      <c r="Z58" s="3">
        <f>1703.9+(308.5-734)+(-0.868989+(-0.157335--0.37434))+0-0-0</f>
        <v>1277.748016</v>
      </c>
      <c r="AA58" s="3">
        <f>1701.9+(380.6-746.3)+(-3.471876+(-0.776424--1.522452))+0-0-0</f>
        <v>1333.4741520000002</v>
      </c>
      <c r="AB58" s="3">
        <f>1697.9+(287.9-703.9)+(-1.731858+(-0.293658--0.717978))+0-0-0</f>
        <v>1280.5924620000001</v>
      </c>
      <c r="AC58" s="3">
        <f>1692.7+(271-782.5)+(-0.863277+(-0.13821--0.399075))+0-0-0</f>
        <v>1180.5975880000001</v>
      </c>
      <c r="AD58">
        <f t="shared" si="0"/>
        <v>24390.374675000003</v>
      </c>
      <c r="AE58" s="3">
        <f>1700+(427.7-766)+(0+(0-0))+0-0-0</f>
        <v>1361.7</v>
      </c>
    </row>
    <row r="59" spans="1:31" s="2" customFormat="1" x14ac:dyDescent="0.25">
      <c r="A59">
        <v>89</v>
      </c>
      <c r="B59">
        <v>2</v>
      </c>
      <c r="C59">
        <v>28</v>
      </c>
      <c r="D59">
        <v>4</v>
      </c>
      <c r="E59">
        <v>1</v>
      </c>
      <c r="F59" s="3">
        <f>1669.7+(146.8-771.2)+(0+(0-0))+0-0-0</f>
        <v>1045.3</v>
      </c>
      <c r="G59" s="3">
        <f>1470+(105.6-641.4)+(-2.2491+(-0.161568--0.981342))+0-0-0</f>
        <v>932.7706740000001</v>
      </c>
      <c r="H59" s="3">
        <f>1221.9+(184-503.7)+(0.623169+(0.09384-0.256887))+0-0-0</f>
        <v>902.660122</v>
      </c>
      <c r="I59" s="3">
        <f>1100.9+(168.5-410.2)+(-1.122918+(-0.17187--0.418404))+0-0-0</f>
        <v>858.32361600000002</v>
      </c>
      <c r="J59" s="3">
        <f>1102+(138.4-379.9)+(0.56202+(0.070584-0.193749))+0-0-0</f>
        <v>860.93885499999999</v>
      </c>
      <c r="K59" s="3">
        <f>1102.4+(130.1-396.9)+(-2.248896+(-0.265404--0.809676))+0-0-0</f>
        <v>833.89537600000017</v>
      </c>
      <c r="L59" s="3">
        <f>1101.8+(152.6-433)+(-2.247672+(-0.311304--0.88332))+0-0-0</f>
        <v>819.72434399999997</v>
      </c>
      <c r="M59" s="3">
        <f>1102.6+(196.9-418.7)+(-1.124652+(-0.200838--0.427074))+0-0-0</f>
        <v>879.90158399999996</v>
      </c>
      <c r="N59" s="3">
        <f>1103.3+(232.2-343.7)+(-1.688049+(-0.355266--0.525861))+0-0-0</f>
        <v>990.28254599999991</v>
      </c>
      <c r="O59" s="3">
        <f>1305.6+(193.3-436.9)+(0.665856+(0.098583-0.222819))+0-0-0</f>
        <v>1062.54162</v>
      </c>
      <c r="P59" s="3">
        <f>1574.2+(164.5-598.8)+(-0.802842+(-0.083895--0.305388))+0-0-0</f>
        <v>1139.318651</v>
      </c>
      <c r="Q59" s="3">
        <f>1631+(180.1-624.1)+(0+(0-0))+0-0-0</f>
        <v>1187</v>
      </c>
      <c r="R59" s="3">
        <f>1665+(226.4-651.7)+(-2.54745+(-0.346392--0.997101))+0-0-0</f>
        <v>1237.8032589999998</v>
      </c>
      <c r="S59" s="3">
        <f>1668.6+(233.8-670.4)+(-1.701972+(-0.238476--0.683808))+0-0-0</f>
        <v>1230.7433599999999</v>
      </c>
      <c r="T59" s="3">
        <f>1662.7+(266.3-714.7)+(0.847977+(0.135813-0.364497))+0-0-0</f>
        <v>1214.9192929999999</v>
      </c>
      <c r="U59" s="3">
        <f>1660.7+(262.1-743.4)+(-0.846957+(-0.133671--0.379134))+0-0-0</f>
        <v>1178.7985060000001</v>
      </c>
      <c r="V59" s="3">
        <f>1661.4+(283.5-747.8)+(-2.541942+(-0.433755--1.144134))+0-0-0</f>
        <v>1195.2684370000002</v>
      </c>
      <c r="W59" s="3">
        <f>1661.6+(281.7-754.5)+(-5.084496+(-0.862002--2.30877))+0-0-0</f>
        <v>1185.162272</v>
      </c>
      <c r="X59" s="3">
        <f>1661+(294.9-793.4)+(-4.23555+(-0.751995--2.02317))+0-0-0</f>
        <v>1159.535625</v>
      </c>
      <c r="Y59" s="3">
        <f>1688.3+(273.5-781.6)+(-1.722066+(-0.27897--0.797232))+0-0-0</f>
        <v>1178.9961959999998</v>
      </c>
      <c r="Z59" s="3">
        <f>1708.3+(296.9-626.8)+(-1.742466+(-0.302838--0.639336))+0-0-0</f>
        <v>1376.9940320000001</v>
      </c>
      <c r="AA59" s="3">
        <f>1706+(363.2-665.4)+(-4.3503+(-0.92616--1.69677))+0-0-0</f>
        <v>1400.2203099999999</v>
      </c>
      <c r="AB59" s="3">
        <f>1701+(253.5-635.4)+(-2.60253+(-0.387855--0.972162))+0-0-0</f>
        <v>1317.0817769999999</v>
      </c>
      <c r="AC59" s="3">
        <f>1698.7+(180.3-659.4)+(-1.732674+(-0.183906--0.672588))+0-0-0</f>
        <v>1218.3560080000002</v>
      </c>
      <c r="AD59">
        <f t="shared" si="0"/>
        <v>26406.536462999997</v>
      </c>
      <c r="AE59" s="3">
        <f>1709.6+(376.4-655.8)+(0+(0-0))+0-0-0</f>
        <v>1430.1999999999998</v>
      </c>
    </row>
    <row r="60" spans="1:31" s="2" customFormat="1" x14ac:dyDescent="0.25">
      <c r="A60">
        <v>89</v>
      </c>
      <c r="B60">
        <v>2</v>
      </c>
      <c r="C60">
        <v>29</v>
      </c>
      <c r="D60">
        <v>5</v>
      </c>
      <c r="E60">
        <v>1</v>
      </c>
      <c r="F60" s="3">
        <f>1690+(191.5-767.3)+(-2.5857+(-0.292995--1.173969))+0-0-0</f>
        <v>1112.4952740000001</v>
      </c>
      <c r="G60" s="3">
        <f>1436.8+(205.6-631.9)+(0.732768+(0.104856-0.322269))+0-0-0</f>
        <v>1011.015355</v>
      </c>
      <c r="H60" s="3">
        <f>1173.6+(230.5-468.1)+(-1.795608+(-0.352665--0.716193))+0-0-0</f>
        <v>934.56791999999984</v>
      </c>
      <c r="I60" s="3">
        <f>1163.6+(125.7-414.1)+(-1.780308+(-0.192321--0.633573))+0-0-0</f>
        <v>873.86094399999979</v>
      </c>
      <c r="J60" s="3">
        <f>1144.2+(111.1-373.1)+(0.583542+(0.056661-0.190281))+0-0-0</f>
        <v>882.64992200000006</v>
      </c>
      <c r="K60" s="3">
        <f>1138.6+(111.8-387)+(-2.90343+(-0.28509--0.98685))+0-0-0</f>
        <v>861.19832999999983</v>
      </c>
      <c r="L60" s="3">
        <f>1060.9+(119.8-435.2)+(0+(0-0))+0-0-0</f>
        <v>745.50000000000011</v>
      </c>
      <c r="M60" s="3">
        <f>1338.3+(112.8-546.6)+(-2.047599+(-0.172584--0.836298))+0-0-0</f>
        <v>903.11611500000004</v>
      </c>
      <c r="N60" s="3">
        <f>1512.1+(102.6-568.8)+(-1.542342+(-0.104652--0.580176))+0-0-0</f>
        <v>1044.8331820000001</v>
      </c>
      <c r="O60" s="3">
        <f>1573.6+(157.2-585.7)+(-0.802536+(-0.080172--0.298707))+0-0-0</f>
        <v>1144.515999</v>
      </c>
      <c r="P60" s="3">
        <f>1643.1+(196.8-650.1)+(-1.675962+(-0.200736--0.663102))+0-0-0</f>
        <v>1188.5864039999999</v>
      </c>
      <c r="Q60" s="3">
        <f>1644.6+(218.3-620.4)+(-1.677492+(-0.222666--0.632808))+0-0-0</f>
        <v>1241.2326499999999</v>
      </c>
      <c r="R60" s="3">
        <f>1644.6+(350.2-700.8)+(0+(0-0))+0-0-0</f>
        <v>1294</v>
      </c>
      <c r="S60" s="3">
        <f>1643.2+(297.7-629.9)+(-3.352128+(-0.607308--1.284996))+0-0-0</f>
        <v>1308.32556</v>
      </c>
      <c r="T60" s="3">
        <f>1644.6+(344-683.2)+(0+(0-0))+0-0-0</f>
        <v>1305.3999999999999</v>
      </c>
      <c r="U60" s="3">
        <f>1644.2+(350.9-698.1)+(-2.515626+(-0.536877--1.068093))+0-0-0</f>
        <v>1295.01559</v>
      </c>
      <c r="V60" s="3">
        <f>1644.4+(370.9-722.2)+(-3.354576+(-0.756636--1.473288))+0-0-0</f>
        <v>1290.4620759999998</v>
      </c>
      <c r="W60" s="3">
        <f>1647.4+(422.8-775)+(-3.360696+(-0.862512--1.581))+0-0-0</f>
        <v>1292.5577920000001</v>
      </c>
      <c r="X60" s="3">
        <f>1652.3+(414.8-777.4)+(-4.213365+(-1.05774--1.98237))+0-0-0</f>
        <v>1286.411265</v>
      </c>
      <c r="Y60" s="3">
        <f>1667.4+(413-756.1)+(-1.700748+(-0.42126--0.771222))+0-0-0</f>
        <v>1322.9492140000002</v>
      </c>
      <c r="Z60" s="3">
        <f>1697.6+(378.2-638.3)+(-0.865776+(-0.192882--0.325533))+0-0-0</f>
        <v>1436.766875</v>
      </c>
      <c r="AA60" s="3">
        <f>1696.5+(432.2-715)+(-2.595645+(-0.661266--1.09395))+0-0-0</f>
        <v>1411.537039</v>
      </c>
      <c r="AB60" s="3">
        <f>1679.5+(329.8-644.5)+(-4.282725+(-0.84099--1.643475))+0-0-0</f>
        <v>1361.3197599999999</v>
      </c>
      <c r="AC60" s="3">
        <f>1676.1+(287.2-692.3)+(-3.419244+(-0.585888--1.412292))+0-0-0</f>
        <v>1268.40716</v>
      </c>
      <c r="AD60">
        <f t="shared" si="0"/>
        <v>27816.724425999993</v>
      </c>
      <c r="AE60" s="3">
        <f>1696.5+(472.8-748.7)+(0+(0-0))+0-0-0</f>
        <v>1420.6</v>
      </c>
    </row>
    <row r="61" spans="1:31" s="2" customFormat="1" x14ac:dyDescent="0.25">
      <c r="A61">
        <v>89</v>
      </c>
      <c r="B61">
        <v>2</v>
      </c>
      <c r="C61">
        <v>30</v>
      </c>
      <c r="D61">
        <v>6</v>
      </c>
      <c r="E61">
        <v>1</v>
      </c>
      <c r="F61" s="3">
        <f>1598+(206.6-651.9)+(-6.51984+(-0.842928--2.659752))+0-0-0</f>
        <v>1147.9969840000001</v>
      </c>
      <c r="G61" s="3">
        <f>1380+(188.7-502.6)+(-2.1114+(-0.288711--0.768978))+0-0-0</f>
        <v>1064.4688669999998</v>
      </c>
      <c r="H61" s="3">
        <f>1178.6+(175.7-384.7)+(-1.202172+(-0.179214--0.392394))+0-0-0</f>
        <v>968.61100799999986</v>
      </c>
      <c r="I61" s="3">
        <f>1154.8+(138.2-376.3)+(-2.355792+(-0.281928--0.767652))+0-0-0</f>
        <v>914.82993199999999</v>
      </c>
      <c r="J61" s="3">
        <f>1153+(196.5-408.8)+(1.17606+(0.20043-0.416976))+0-0-0</f>
        <v>941.65951400000006</v>
      </c>
      <c r="K61" s="3">
        <f>1153.5+(159.5-420.1)+(-2.941425+(-0.406725--1.071255))+0-0-0</f>
        <v>890.62310500000001</v>
      </c>
      <c r="L61" s="3">
        <f>1152.9+(183.5-471.4)+(-2.351916+(-0.37434--0.961656))+0-0-0</f>
        <v>863.23540000000014</v>
      </c>
      <c r="M61" s="3">
        <f>1154.1+(249-467.6)+(1.177182+(0.25398-0.476952))+0-0-0</f>
        <v>936.45420999999988</v>
      </c>
      <c r="N61" s="3">
        <f>1163.2+(334.2-444.7)+(-1.186464+(-0.340884--0.453594))+0-0-0</f>
        <v>1051.626246</v>
      </c>
      <c r="O61" s="3">
        <f>1312.7+(395.7-550.2)+(-0.669477+(-0.201807--0.280602))+0-0-0</f>
        <v>1157.609318</v>
      </c>
      <c r="P61" s="3">
        <f>1345.1+(339.2-494.4)+(0+(0-0))+0-0-0</f>
        <v>1189.8999999999999</v>
      </c>
      <c r="Q61" s="3">
        <f>1367.2+(328.5-494.1)+(1.394544+(0.33507-0.503982))+0-0-0</f>
        <v>1202.8256319999998</v>
      </c>
      <c r="R61" s="3">
        <f>1398.2+(359-533.9)+(-2.852328+(-0.73236--1.089156))+0-0-0</f>
        <v>1220.8044680000003</v>
      </c>
      <c r="S61" s="3">
        <f>1398.3+(343.5-544)+(-2.139399+(-0.525555--0.83232))+0-0-0</f>
        <v>1195.9673659999999</v>
      </c>
      <c r="T61" s="3">
        <f>1398.8+(389.3-604.9)+(-1.426776+(-0.397086--0.616998))+0-0-0</f>
        <v>1181.993136</v>
      </c>
      <c r="U61" s="3">
        <f>1397.9+(395.8-684.4)+(-0.712929+(-0.201858--0.349044))+0-0-0</f>
        <v>1108.7342570000001</v>
      </c>
      <c r="V61" s="3">
        <f>1417.9+(412.3-707.3)+(-2.169387+(-0.630819--1.082169))+0-0-0</f>
        <v>1121.181963</v>
      </c>
      <c r="W61" s="3">
        <f>1445.1+(438.6-754.9)+(-2.948004+(-0.894744--1.539996))+0-0-0</f>
        <v>1126.4972479999999</v>
      </c>
      <c r="X61" s="3">
        <f>1447.5+(385.1-698.7)+(-4.42935+(-1.178406--2.138022))+0-0-0</f>
        <v>1130.4302660000001</v>
      </c>
      <c r="Y61" s="3">
        <f>1453.3+(310.3-570.3)+(-2.223549+(-0.474759--0.872559))+0-0-0</f>
        <v>1191.4742509999999</v>
      </c>
      <c r="Z61" s="3">
        <f>1469.3+(425-562.4)+(-0.749343+(-0.21675--0.286824))+0-0-0</f>
        <v>1331.2207310000001</v>
      </c>
      <c r="AA61" s="3">
        <f>1503+(389-556.6)+(-1.53306+(-0.39678--0.567732))+0-0-0</f>
        <v>1334.0378920000001</v>
      </c>
      <c r="AB61" s="3">
        <f>1500.2+(253.8-502)+(-2.295306+(-0.388314--0.76806))+0-0-0</f>
        <v>1250.0844400000001</v>
      </c>
      <c r="AC61" s="3">
        <f>1424.6+(247.5-503.4)+(-0.726546+(-0.126225--0.256734))+0-0-0</f>
        <v>1168.1039629999998</v>
      </c>
      <c r="AD61">
        <f t="shared" si="0"/>
        <v>26690.370197</v>
      </c>
      <c r="AE61" s="3">
        <f>1501+(412.8-558.3)+(0+(0-0))+0-0-0</f>
        <v>1355.5</v>
      </c>
    </row>
    <row r="62" spans="1:31" s="2" customFormat="1" x14ac:dyDescent="0.25">
      <c r="A62">
        <v>89</v>
      </c>
      <c r="B62">
        <v>2</v>
      </c>
      <c r="C62">
        <v>31</v>
      </c>
      <c r="D62">
        <v>7</v>
      </c>
      <c r="E62">
        <v>1</v>
      </c>
      <c r="F62" s="3">
        <f>1367.6+(239.2-541.8)+(-0.697476+(-0.121992--0.276318))+0-0-0</f>
        <v>1064.45685</v>
      </c>
      <c r="G62" s="3">
        <f>1259.9+(294.5-561.7)+(0.642549+(0.150195-0.286467))+0-0-0</f>
        <v>993.206277</v>
      </c>
      <c r="H62" s="3">
        <f>1100.9+(285.5-452.4)+(-2.245836+(-0.58242--0.922896))+0-0-0</f>
        <v>932.09464000000014</v>
      </c>
      <c r="I62" s="3">
        <f>1060.3+(289.6-440)+(1.081506+(0.295392-0.4488))+0-0-0</f>
        <v>910.82809799999995</v>
      </c>
      <c r="J62" s="3">
        <f>1060.2+(236.3-403.2)+(-0.540702+(-0.120513--0.205632))+0-0-0</f>
        <v>892.84441700000002</v>
      </c>
      <c r="K62" s="3">
        <f>1059.8+(215.4-406)+(-2.161992+(-0.439416--0.82824))+0-0-0</f>
        <v>867.42683199999988</v>
      </c>
      <c r="L62" s="3">
        <f>1059.1+(193.4-451.3)+(-2.160564+(-0.394536--0.920652))+0-0-0</f>
        <v>799.56555199999991</v>
      </c>
      <c r="M62" s="3">
        <f>1059.9+(161.6-440.5)+(-1.081098+(-0.164832--0.44931))+0-0-0</f>
        <v>780.20338000000015</v>
      </c>
      <c r="N62" s="3">
        <f>1060.3+(182.4-429.8)+(-1.081506+(-0.186048--0.438396))+0-0-0</f>
        <v>812.07084199999997</v>
      </c>
      <c r="O62" s="3">
        <f>1060.6+(210.1-393.6)+(-2.163624+(-0.428604--0.802944))+0-0-0</f>
        <v>875.31071599999996</v>
      </c>
      <c r="P62" s="3">
        <f>1090.7+(220-447.8)+(-1.112514+(-0.2244--0.456756))+0-0-0</f>
        <v>862.01984200000004</v>
      </c>
      <c r="Q62" s="3">
        <f>1320.8+(240.5-581.9)+(-1.347216+(-0.24531--0.593538))+0-0-0</f>
        <v>978.40101199999992</v>
      </c>
      <c r="R62" s="3">
        <f>1502.6+(233.8-742.9)+(-3.065304+(-0.476952--1.515516))+0-0-0</f>
        <v>991.47325999999998</v>
      </c>
      <c r="S62" s="3">
        <f>1545.4+(280.1-841)+(-0.788154+(-0.142851--0.42891))+0-0-0</f>
        <v>983.99790500000006</v>
      </c>
      <c r="T62" s="3">
        <f>1545.7+(249.7-840.5)+(-1.576614+(-0.254694--0.85731))+0-0-0</f>
        <v>953.92600200000004</v>
      </c>
      <c r="U62" s="3">
        <f>1546+(234.7-850.4)+(-4.73076+(-0.718182--2.602224))+0-0-0</f>
        <v>927.45328199999994</v>
      </c>
      <c r="V62" s="3">
        <f>1545.9+(271.5-884.2)+(-3.153636+(-0.55386--1.803768))+0-0-0</f>
        <v>931.29627200000004</v>
      </c>
      <c r="W62" s="3">
        <f>1545.3+(274.7-855.6)+(-2.364309+(-0.420291--1.309068))+0-0-0</f>
        <v>962.92446799999982</v>
      </c>
      <c r="X62" s="3">
        <f>1535.5+(259-812.5)+(-5.481735+(-0.92463--2.900625))+0-0-0</f>
        <v>978.49426000000005</v>
      </c>
      <c r="Y62" s="3">
        <f>1468.1+(205.7-681.2)+(-1.497462+(-0.209814--0.694824))+0-0-0</f>
        <v>991.58754799999986</v>
      </c>
      <c r="Z62" s="3">
        <f>1500.1+(301.5-624.9)+(-2.295153+(-0.461295--0.956097))+0-0-0</f>
        <v>1174.8996489999997</v>
      </c>
      <c r="AA62" s="3">
        <f>1505.9+(328.7-610.8)+(-2.304027+(-0.502911--0.934524))+0-0-0</f>
        <v>1221.9275860000002</v>
      </c>
      <c r="AB62" s="3">
        <f>1502.5+(187.4-526.4)+(-3.0651+(-0.382296--1.073856))+0-0-0</f>
        <v>1161.12646</v>
      </c>
      <c r="AC62" s="3">
        <f>1500.9+(168.1-588.2)+(-2.296377+(-0.257193--0.899946))+0-0-0</f>
        <v>1079.1463760000001</v>
      </c>
      <c r="AD62">
        <f t="shared" si="0"/>
        <v>23126.681526</v>
      </c>
      <c r="AE62" s="3">
        <f>1505.8+(363.7-606.2)+(0+(0-0))+0-0-0</f>
        <v>1263.3</v>
      </c>
    </row>
    <row r="63" spans="1:31" s="2" customFormat="1" x14ac:dyDescent="0.25">
      <c r="A63">
        <v>89</v>
      </c>
      <c r="B63">
        <v>3</v>
      </c>
      <c r="C63">
        <v>1</v>
      </c>
      <c r="D63">
        <v>1</v>
      </c>
      <c r="E63">
        <v>1</v>
      </c>
      <c r="F63" s="3">
        <f>1355.3+(147.5-524.1)+(-1.382406+(-0.15045--0.534582))+0-0-0</f>
        <v>977.70172599999989</v>
      </c>
      <c r="G63" s="3">
        <f>1139.6+(132.4-386.1)+(1.743588+(0.202572-0.590733))+0-0-0</f>
        <v>887.25542699999983</v>
      </c>
      <c r="H63" s="3">
        <f>1095.4+(158.6-410.6)+(-2.79327+(-0.40443--1.04703))+0-0-0</f>
        <v>841.2493300000001</v>
      </c>
      <c r="I63" s="3">
        <f>1074.3+(152.3-397.6)+(-0.547893+(-0.077673--0.202776))+0-0-0</f>
        <v>828.57721000000004</v>
      </c>
      <c r="J63" s="3">
        <f>1063.3+(126-361.7)+(0.542283+(0.06426-0.184467))+0-0-0</f>
        <v>828.02207599999986</v>
      </c>
      <c r="K63" s="3">
        <f>1063+(143.4-391)+(-2.71065+(-0.36567--0.99705))+0-0-0</f>
        <v>813.32073000000003</v>
      </c>
      <c r="L63" s="3">
        <f>1145.2+(123.5-394.1)+(0+(0-0))+0-0-0</f>
        <v>874.6</v>
      </c>
      <c r="M63" s="3">
        <f>1457.3+(132-526.5)+(0.743223+(0.06732-0.268515))+0-0-0</f>
        <v>1063.342028</v>
      </c>
      <c r="N63" s="3">
        <f>1581.5+(163.1-662.4)+(0+(0-0))+0-0-0</f>
        <v>1082.2</v>
      </c>
      <c r="O63" s="3">
        <f>1603+(194.8-635.1)+(-1.63506+(-0.198696--0.647802))+0-0-0</f>
        <v>1161.514046</v>
      </c>
      <c r="P63" s="3">
        <f>1599.7+(194.8-620.1)+(-4.079235+(-0.49674--1.581255))+0-0-0</f>
        <v>1171.4052800000002</v>
      </c>
      <c r="Q63" s="3">
        <f>1583.7+(194.8-631.1)+(-0.807687+(-0.099348--0.321861))+0-0-0</f>
        <v>1146.814826</v>
      </c>
      <c r="R63" s="3">
        <f>1554.9+(235.5-611.2)+(-1.585998+(-0.24021--0.623424))+0-0-0</f>
        <v>1177.997216</v>
      </c>
      <c r="S63" s="3">
        <f>1591+(257.2-707)+(-2.43423+(-0.393516--1.08171))+0-0-0</f>
        <v>1139.453964</v>
      </c>
      <c r="T63" s="3">
        <f>1647.3+(311.7-843.3)+(0.840123+(0.158967-0.430083))+0-0-0</f>
        <v>1116.2690070000001</v>
      </c>
      <c r="U63" s="3">
        <f>1644.7+(263.9-806.7)+(-4.193985+(-0.672945--2.057085))+0-0-0</f>
        <v>1099.0901550000001</v>
      </c>
      <c r="V63" s="3">
        <f>1574.1+(248.1-719)+(-1.605582+(-0.253062--0.73338))+0-0-0</f>
        <v>1102.0747359999998</v>
      </c>
      <c r="W63" s="3">
        <f>1557.3+(243.3-697.8)+(-3.971115+(-0.620415--1.77939))+0-0-0</f>
        <v>1099.98786</v>
      </c>
      <c r="X63" s="3">
        <f>1558.2+(348.2-809.5)+(-3.178728+(-0.710328--1.65138))+0-0-0</f>
        <v>1094.6623240000001</v>
      </c>
      <c r="Y63" s="3">
        <f>1563.2+(294.6-757.1)+(-3.188928+(-0.600984--1.544484))+0-0-0</f>
        <v>1098.4545720000001</v>
      </c>
      <c r="Z63" s="3">
        <f>1566+(340.1-612.1)+(-3.9933+(-0.867255--1.560855))+0-0-0</f>
        <v>1290.7003</v>
      </c>
      <c r="AA63" s="3">
        <f>1557.6+(402.4-634.5)+(-5.560632+(-1.436568--2.265165))+0-0-0</f>
        <v>1320.767965</v>
      </c>
      <c r="AB63" s="3">
        <f>1553.3+(418.1-707)+(-3.168732+(-0.852924--1.44228))+0-0-0</f>
        <v>1261.8206240000002</v>
      </c>
      <c r="AC63" s="3">
        <f>1501.5+(315.6-653.2)+(-1.53153+(-0.321912--0.666264))+0-0-0</f>
        <v>1162.7128220000002</v>
      </c>
      <c r="AD63">
        <f t="shared" si="0"/>
        <v>25639.994224000002</v>
      </c>
      <c r="AE63" s="3">
        <f>1547+(468.8-674.1)+(0+(0-0))+0-0-0</f>
        <v>1341.7</v>
      </c>
    </row>
    <row r="64" spans="1:31" s="2" customFormat="1" x14ac:dyDescent="0.25">
      <c r="A64">
        <v>89</v>
      </c>
      <c r="B64">
        <v>3</v>
      </c>
      <c r="C64">
        <v>2</v>
      </c>
      <c r="D64">
        <v>2</v>
      </c>
      <c r="E64">
        <v>1</v>
      </c>
      <c r="F64" s="3">
        <f>1378.8+(304.9-638.4)+(-1.406376+(-0.310998--0.651168))+0-0-0</f>
        <v>1044.233794</v>
      </c>
      <c r="G64" s="3">
        <f>1146+(324.7-513.9)+(-2.9223+(-0.827985--1.310445))+0-0-0</f>
        <v>954.36015999999995</v>
      </c>
      <c r="H64" s="3">
        <f>1096.5+(315.6-505.2)+(-1.677645+(-0.482868--0.772956))+0-0-0</f>
        <v>905.51244300000008</v>
      </c>
      <c r="I64" s="3">
        <f>1097.1+(189-400.4)+(-1.678563+(-0.28917--0.612612))+0-0-0</f>
        <v>884.34487899999988</v>
      </c>
      <c r="J64" s="3">
        <f>1099.4+(183.8-401.7)+(-1.121388+(-0.187476--0.409734))+0-0-0</f>
        <v>880.6008700000001</v>
      </c>
      <c r="K64" s="3">
        <f>1105.5+(198.1-443.8)+(-1.691415+(-0.303093--0.679014))+0-0-0</f>
        <v>858.48450600000001</v>
      </c>
      <c r="L64" s="3">
        <f>1103.9+(152.9-436.5)+(-0.562989+(-0.077979--0.222615))+0-0-0</f>
        <v>819.88164700000004</v>
      </c>
      <c r="M64" s="3">
        <f>1243.1+(143.1-495.1)+(-0.633981+(-0.072981--0.252501))+0-0-0</f>
        <v>890.64553899999987</v>
      </c>
      <c r="N64" s="3">
        <f>1555.7+(120.7-660.1)+(-0.793407+(-0.061557--0.336651))+0-0-0</f>
        <v>1015.781687</v>
      </c>
      <c r="O64" s="3">
        <f>1667.3+(220-808)+(-1.700646+(-0.2244--0.82416))+0-0-0</f>
        <v>1078.199114</v>
      </c>
      <c r="P64" s="3">
        <f>1667.4+(267.5-796.9)+(-5.102244+(-0.81855--2.438514))+0-0-0</f>
        <v>1134.5177200000001</v>
      </c>
      <c r="Q64" s="3">
        <f>1666+(355.9-836.4)+(-0.84966+(-0.181509--0.426564))+0-0-0</f>
        <v>1184.895395</v>
      </c>
      <c r="R64" s="3">
        <f>1664.7+(371-829.7)+(-1.697994+(-0.37842--0.846294))+0-0-0</f>
        <v>1204.7698800000001</v>
      </c>
      <c r="S64" s="3">
        <f>1663.8+(429.5-902.3)+(-4.24269+(-1.095225--2.300865))+0-0-0</f>
        <v>1187.9629500000001</v>
      </c>
      <c r="T64" s="3">
        <f>1690.4+(422.7-914)+(0+(0-0))+0-0-0</f>
        <v>1199.1000000000001</v>
      </c>
      <c r="U64" s="3">
        <f>1694+(369.7-892.3)+(-2.59182+(-0.565641--1.365219))+0-0-0</f>
        <v>1169.6077580000001</v>
      </c>
      <c r="V64" s="3">
        <f>1697.2+(406-925.3)+(-3.462288+(-0.82824--1.887612))+0-0-0</f>
        <v>1175.4970840000001</v>
      </c>
      <c r="W64" s="3">
        <f>1693.5+(360.1-873.2)+(-5.18211+(-1.101906--2.671992))+0-0-0</f>
        <v>1176.7879760000001</v>
      </c>
      <c r="X64" s="3">
        <f>1692.5+(299.8-835.4)+(-4.315875+(-0.76449--2.13027))+0-0-0</f>
        <v>1153.9499050000002</v>
      </c>
      <c r="Y64" s="3">
        <f>1720.8+(311.6-883.4)+(-0.877608+(-0.158916--0.450534))+0-0-0</f>
        <v>1148.41401</v>
      </c>
      <c r="Z64" s="3">
        <f>1739.7+(401.9-803.7)+(-0.887247+(-0.204969--0.409887))+0-0-0</f>
        <v>1337.2176710000001</v>
      </c>
      <c r="AA64" s="3">
        <f>1738.4+(395.5-740.2)+(-2.659752+(-0.605115--1.132506))+0-0-0</f>
        <v>1391.5676390000001</v>
      </c>
      <c r="AB64" s="3">
        <f>1730.4+(444.4-852.2)+(-4.41252+(-1.13322--2.17311))+0-0-0</f>
        <v>1319.2273699999998</v>
      </c>
      <c r="AC64" s="3">
        <f>1726.4+(375.2-887.4)+(-1.760928+(-0.382704--0.905148))+0-0-0</f>
        <v>1212.9615160000001</v>
      </c>
      <c r="AD64">
        <f t="shared" si="0"/>
        <v>26328.521513</v>
      </c>
      <c r="AE64" s="3">
        <f>1737.3+(466.8-767)+(0+(0-0))+0-0-0</f>
        <v>1437.1</v>
      </c>
    </row>
    <row r="65" spans="1:31" s="2" customFormat="1" x14ac:dyDescent="0.25">
      <c r="A65">
        <v>89</v>
      </c>
      <c r="B65">
        <v>3</v>
      </c>
      <c r="C65">
        <v>3</v>
      </c>
      <c r="D65">
        <v>3</v>
      </c>
      <c r="E65">
        <v>1</v>
      </c>
      <c r="F65" s="3">
        <f>1540+(300.3-756.9)+(-2.3562+(-0.459459--1.158057))+0-0-0</f>
        <v>1081.7423980000001</v>
      </c>
      <c r="G65" s="3">
        <f>1305.5+(285.5-596.3)+(-0.665805+(-0.145605--0.304113))+0-0-0</f>
        <v>994.19270300000005</v>
      </c>
      <c r="H65" s="3">
        <f>1149.1+(190.9-397.2)+(-0.586041+(-0.097359--0.202572))+0-0-0</f>
        <v>942.31917199999998</v>
      </c>
      <c r="I65" s="3">
        <f>1127.9+(172.5-379.8)+(-1.150458+(-0.17595--0.387396))+0-0-0</f>
        <v>919.66098800000009</v>
      </c>
      <c r="J65" s="3">
        <f>1127.8+(170.5-381.8)+(-2.87589+(-0.434775--0.97359))+0-0-0</f>
        <v>914.16292499999997</v>
      </c>
      <c r="K65" s="3">
        <f>1126.5+(168.1-405.5)+(-1.723545+(-0.257193--0.620415))+0-0-0</f>
        <v>887.73967700000003</v>
      </c>
      <c r="L65" s="3">
        <f>1130.1+(188.5-488.8)+(-0.576351+(-0.096135--0.249288))+0-0-0</f>
        <v>829.376802</v>
      </c>
      <c r="M65" s="3">
        <f>1216.1+(154.4-456.3)+(0+(0-0))+0-0-0</f>
        <v>914.19999999999993</v>
      </c>
      <c r="N65" s="3">
        <f>1539+(195.2-676.5)+(-0.78489+(-0.099552--0.345015))+0-0-0</f>
        <v>1057.1605730000001</v>
      </c>
      <c r="O65" s="3">
        <f>1683.5+(335.9-874)+(-0.858585+(-0.171309--0.44574))+0-0-0</f>
        <v>1144.8158460000002</v>
      </c>
      <c r="P65" s="3">
        <f>1680.4+(305.4-854.1)+(-0.857004+(-0.155754--0.435591))+0-0-0</f>
        <v>1131.1228330000001</v>
      </c>
      <c r="Q65" s="3">
        <f>1686.5+(298-805.6)+(-1.72023+(-0.30396--0.821712))+0-0-0</f>
        <v>1177.6975220000002</v>
      </c>
      <c r="R65" s="3">
        <f>1692.1+(366.2-875.5)+(-1.725942+(-0.373524--0.89301))+0-0-0</f>
        <v>1181.5935440000001</v>
      </c>
      <c r="S65" s="3">
        <f>1693.5+(386.3-914.7)+(-1.72737+(-0.394026--0.932994))+0-0-0</f>
        <v>1163.9115979999999</v>
      </c>
      <c r="T65" s="3">
        <f>1696.2+(436.7-966)+(0+(0-0))+0-0-0</f>
        <v>1166.9000000000001</v>
      </c>
      <c r="U65" s="3">
        <f>1695.7+(385.4-933)+(-1.729614+(-0.393108--0.95166))+0-0-0</f>
        <v>1146.928938</v>
      </c>
      <c r="V65" s="3">
        <f>1696+(420.4-954.7)+(-5.18976+(-1.286424--2.921382))+0-0-0</f>
        <v>1158.1451979999997</v>
      </c>
      <c r="W65" s="3">
        <f>1698.2+(434.5-976.9)+(-3.464328+(-0.88638--1.992876))+0-0-0</f>
        <v>1153.4421680000003</v>
      </c>
      <c r="X65" s="3">
        <f>1698.8+(409.3-943)+(-5.198328+(-1.252458--2.88558))+0-0-0</f>
        <v>1161.5347939999999</v>
      </c>
      <c r="Y65" s="3">
        <f>1709+(404.2-924.9)+(-4.35795+(-1.03071--2.358495))+0-0-0</f>
        <v>1185.2698350000001</v>
      </c>
      <c r="Z65" s="3">
        <f>1743.2+(356.6-739.7)+(-2.667096+(-0.545598--1.131741))+0-0-0</f>
        <v>1358.019047</v>
      </c>
      <c r="AA65" s="3">
        <f>1738.5+(386.9-734.5)+(-6.206445+(-1.381233--2.622165))+0-0-0</f>
        <v>1385.934487</v>
      </c>
      <c r="AB65" s="3">
        <f>1714.7+(484.2-881.3)+(-3.497988+(-0.987768--1.797852))+0-0-0</f>
        <v>1314.9120960000002</v>
      </c>
      <c r="AC65" s="3">
        <f>1688.6+(292.8-785.7)+(-4.30593+(-0.74664--2.003535))+0-0-0</f>
        <v>1192.6509649999998</v>
      </c>
      <c r="AD65">
        <f t="shared" ref="AD65:AD128" si="1">SUM(F65:AC65)</f>
        <v>26563.434108999998</v>
      </c>
      <c r="AE65" s="3">
        <f>1741+(354.2-651.7)+(0+(0-0))+0-0-0</f>
        <v>1443.5</v>
      </c>
    </row>
    <row r="66" spans="1:31" s="2" customFormat="1" x14ac:dyDescent="0.25">
      <c r="A66">
        <v>89</v>
      </c>
      <c r="B66">
        <v>3</v>
      </c>
      <c r="C66">
        <v>4</v>
      </c>
      <c r="D66">
        <v>4</v>
      </c>
      <c r="E66">
        <v>1</v>
      </c>
      <c r="F66" s="3">
        <f>1512.8+(193.5-641.6)+(-2.314584+(-0.296055--0.981648))+0-0-0</f>
        <v>1063.0710089999998</v>
      </c>
      <c r="G66" s="3">
        <f>1195.2+(188.8-398.4)+(-1.828656+(-0.288864--0.609552))+0-0-0</f>
        <v>984.09203200000013</v>
      </c>
      <c r="H66" s="3">
        <f>1099.8+(217.3-383.8)+(-1.121796+(-0.221646--0.391476))+0-0-0</f>
        <v>932.34803399999998</v>
      </c>
      <c r="I66" s="3">
        <f>1098.7+(191.7-376.9)+(-3.362022+(-0.586602--1.153314))+0-0-0</f>
        <v>910.70469000000003</v>
      </c>
      <c r="J66" s="3">
        <f>1098.8+(204.6-400.5)+(-1.120776+(-0.208692--0.40851))+0-0-0</f>
        <v>901.97904199999994</v>
      </c>
      <c r="K66" s="3">
        <f>1101.1+(152.9-372.3)+(-2.807805+(-0.389895--0.949365))+0-0-0</f>
        <v>879.45166499999993</v>
      </c>
      <c r="L66" s="3">
        <f>1101.8+(115.7-391.4)+(-2.80959+(-0.295035--0.99807))+0-0-0</f>
        <v>823.99344499999995</v>
      </c>
      <c r="M66" s="3">
        <f>1181.1+(127.5-394.7)+(-2.409444+(-0.2601--0.805188))+0-0-0</f>
        <v>912.03564399999982</v>
      </c>
      <c r="N66" s="3">
        <f>1330.5+(149.2-457.1)+(-1.35711+(-0.152184--0.466242))+0-0-0</f>
        <v>1021.5569479999999</v>
      </c>
      <c r="O66" s="3">
        <f>1550.6+(102.1-548.7)+(-2.372418+(-0.156213--0.839511))+0-0-0</f>
        <v>1102.31088</v>
      </c>
      <c r="P66" s="3">
        <f>1649.3+(43.7-546.7)+(-0.841143+(-0.022287--0.278817))+0-0-0</f>
        <v>1145.715387</v>
      </c>
      <c r="Q66" s="3">
        <f>1651.6+(48.6-552.4)+(-0.842316+(-0.024786--0.281724))+0-0-0</f>
        <v>1147.214622</v>
      </c>
      <c r="R66" s="3">
        <f>1649.4+(191.1-675.3)+(-1.682388+(-0.194922--0.688806))+0-0-0</f>
        <v>1164.0114960000003</v>
      </c>
      <c r="S66" s="3">
        <f>1649.2+(163.5-682)+(-1.682184+(-0.16677--0.69564))+0-0-0</f>
        <v>1129.5466860000001</v>
      </c>
      <c r="T66" s="3">
        <f>1649.6+(270-818.8)+(-2.523888+(-0.4131--1.252764))+0-0-0</f>
        <v>1099.1157759999999</v>
      </c>
      <c r="U66" s="3">
        <f>1649.6+(386.5-953.9)+(0.841296+(0.197115-0.486489))+0-0-0</f>
        <v>1082.7519219999999</v>
      </c>
      <c r="V66" s="3">
        <f>1649.6+(401.2-963.7)+(0.841296+(0.204612-0.491487))+0-0-0</f>
        <v>1087.654421</v>
      </c>
      <c r="W66" s="3">
        <f>1649.8+(330.7-871.2)+(-3.365592+(-0.674628--1.777248))+0-0-0</f>
        <v>1107.037028</v>
      </c>
      <c r="X66" s="3">
        <f>1651.1+(174.3-723.7)+(-5.052366+(-0.533358--2.214522))+0-0-0</f>
        <v>1098.3287979999998</v>
      </c>
      <c r="Y66" s="3">
        <f>1648.4+(216.4-760)+(-4.20342+(-0.55182--1.938))+0-0-0</f>
        <v>1101.9827600000001</v>
      </c>
      <c r="Z66" s="3">
        <f>1705.5+(439.8-849.8)+(-5.21883+(-1.345788--2.600388))+0-0-0</f>
        <v>1291.53577</v>
      </c>
      <c r="AA66" s="3">
        <f>1704.2+(462.2-814.2)+(-6.953136+(-1.885776--3.321936))+0-0-0</f>
        <v>1346.6830239999999</v>
      </c>
      <c r="AB66" s="3">
        <f>1702.4+(398.7-823.6)+(-0.868224+(-0.203337--0.420036))+0-0-0</f>
        <v>1276.848475</v>
      </c>
      <c r="AC66" s="3">
        <f>1684.5+(478.5-986.5)+(-4.295475+(-1.220175--2.515575))+0-0-0</f>
        <v>1173.4999250000001</v>
      </c>
      <c r="AD66">
        <f t="shared" si="1"/>
        <v>25783.469478999996</v>
      </c>
      <c r="AE66" s="3">
        <f>1703+(499-801.1)+(0+(0-0))+0-0-0</f>
        <v>1400.9</v>
      </c>
    </row>
    <row r="67" spans="1:31" s="2" customFormat="1" x14ac:dyDescent="0.25">
      <c r="A67">
        <v>89</v>
      </c>
      <c r="B67">
        <v>3</v>
      </c>
      <c r="C67">
        <v>5</v>
      </c>
      <c r="D67">
        <v>5</v>
      </c>
      <c r="E67">
        <v>1</v>
      </c>
      <c r="F67" s="3">
        <f>1547.5+(348.6-850.7)+(-3.1569+(-0.711144--1.735428))+0-0-0</f>
        <v>1043.267384</v>
      </c>
      <c r="G67" s="3">
        <f>1113.5+(302.3-463.2)+(0.567885+(0.154173-0.236232))+0-0-0</f>
        <v>953.085826</v>
      </c>
      <c r="H67" s="3">
        <f>1096.2+(291.2-469.8)+(-2.79531+(-0.74256--1.19799))+0-0-0</f>
        <v>915.26012000000003</v>
      </c>
      <c r="I67" s="3">
        <f>1097.3+(206.1-407.4)+(-1.678869+(-0.315333--0.623322))+0-0-0</f>
        <v>894.62911999999994</v>
      </c>
      <c r="J67" s="3">
        <f>1098.7+(194.8-407)+(-0.560337+(-0.099348--0.20757))+0-0-0</f>
        <v>886.04788499999995</v>
      </c>
      <c r="K67" s="3">
        <f>1098.6+(194.4-425.7)+(-3.361716+(-0.594864--1.302642))+0-0-0</f>
        <v>864.64606199999992</v>
      </c>
      <c r="L67" s="3">
        <f>1099.1+(178.9-461.1)+(-2.242164+(-0.364956--0.940644))+0-0-0</f>
        <v>815.23352399999987</v>
      </c>
      <c r="M67" s="3">
        <f>1100.7+(210.8-410.6)+(-1.122714+(-0.215016--0.418812))+0-0-0</f>
        <v>899.98108200000013</v>
      </c>
      <c r="N67" s="3">
        <f>1206.8+(313.7-509.9)+(0.615468+(0.159987-0.260049))+0-0-0</f>
        <v>1011.1154059999999</v>
      </c>
      <c r="O67" s="3">
        <f>1470.6+(208.7-586.2)+(-3.000024+(-0.425748--1.195848))+0-0-0</f>
        <v>1090.8700759999999</v>
      </c>
      <c r="P67" s="3">
        <f>1668.7+(106.6-620.4)+(0+(0-0))+0-0-0</f>
        <v>1154.9000000000001</v>
      </c>
      <c r="Q67" s="3">
        <f>1668.4+(149.1-627.4)+(-0.850884+(-0.076041--0.319974))+0-0-0</f>
        <v>1189.4930490000002</v>
      </c>
      <c r="R67" s="3">
        <f>1668.6+(208.3-662.7)+(-0.850986+(-0.106233--0.337977))+0-0-0</f>
        <v>1213.5807579999998</v>
      </c>
      <c r="S67" s="3">
        <f>1667.5+(229.1-710.8)+(-0.850425+(-0.116841--0.362508))+0-0-0</f>
        <v>1185.1952420000002</v>
      </c>
      <c r="T67" s="3">
        <f>1665.5+(162.6-662)+(-1.69881+(-0.165852--0.67524))+0-0-0</f>
        <v>1164.910578</v>
      </c>
      <c r="U67" s="3">
        <f>1669.6+(262.5-769.4)+(-0.851496+(-0.133875--0.392394))+0-0-0</f>
        <v>1162.1070229999998</v>
      </c>
      <c r="V67" s="3">
        <f>1669.4+(313.3-812.1)+(-2.554182+(-0.479349--1.242513))+0-0-0</f>
        <v>1168.8089820000002</v>
      </c>
      <c r="W67" s="3">
        <f>1670.3+(231-731.2)+(-5.962971+(-0.82467--2.610384))+0-0-0</f>
        <v>1165.9227429999999</v>
      </c>
      <c r="X67" s="3">
        <f>1670.2+(230.8-750.4)+(-5.962614+(-0.823956--2.678928))+0-0-0</f>
        <v>1146.4923580000002</v>
      </c>
      <c r="Y67" s="3">
        <f>1670+(112.4-652.3)+(-3.4068+(-0.229296--1.330692))+0-0-0</f>
        <v>1127.794596</v>
      </c>
      <c r="Z67" s="3">
        <f>1730.8+(144.1-555.5)+(-1.765416+(-0.146982--0.56661))+0-0-0</f>
        <v>1318.054212</v>
      </c>
      <c r="AA67" s="3">
        <f>1739.3+(500.6-851.7)+(-5.322258+(-1.531836--2.606202))+0-0-0</f>
        <v>1383.9521079999997</v>
      </c>
      <c r="AB67" s="3">
        <f>1736.8+(553.2-978.9)+(0.885768+(0.282132-0.499239))+0-0-0</f>
        <v>1311.7686609999998</v>
      </c>
      <c r="AC67" s="3">
        <f>1644.3+(532.5-969.3)+(-0.838593+(-0.271575--0.494343))+0-0-0</f>
        <v>1206.8841749999999</v>
      </c>
      <c r="AD67">
        <f t="shared" si="1"/>
        <v>26274.000969999994</v>
      </c>
      <c r="AE67" s="3">
        <f>1732+(540-859.9)+(0+(0-0))+0-0-0</f>
        <v>1412.1</v>
      </c>
    </row>
    <row r="68" spans="1:31" s="2" customFormat="1" x14ac:dyDescent="0.25">
      <c r="A68">
        <v>89</v>
      </c>
      <c r="B68">
        <v>3</v>
      </c>
      <c r="C68">
        <v>6</v>
      </c>
      <c r="D68">
        <v>6</v>
      </c>
      <c r="E68">
        <v>1</v>
      </c>
      <c r="F68" s="3">
        <f>1474.1+(402.8-790.1)+(-3.007164+(-0.821712--1.611804))+0-0-0</f>
        <v>1084.582928</v>
      </c>
      <c r="G68" s="3">
        <f>1028+(318.8-359.8)+(-0.52428+(-0.162588--0.183498))+0-0-0</f>
        <v>986.49662999999998</v>
      </c>
      <c r="H68" s="3">
        <f>909+(349.5-322.7)+(-0.92718+(-0.35649--0.329154))+0-0-0</f>
        <v>934.84548399999994</v>
      </c>
      <c r="I68" s="3">
        <f>909.5+(308.1-300.6)+(-2.78307+(-0.942786--0.919836))+0-0-0</f>
        <v>914.19398000000001</v>
      </c>
      <c r="J68" s="3">
        <f>909.2+(287.6-283.4)+(-1.391076+(-0.440028--0.433602))+0-0-0</f>
        <v>912.00249800000006</v>
      </c>
      <c r="K68" s="3">
        <f>908+(312.5-338.9)+(-3.70464+(-1.275--1.382712))+0-0-0</f>
        <v>878.00307199999997</v>
      </c>
      <c r="L68" s="3">
        <f>909+(253.4-334.2)+(-0.92718+(-0.258468--0.340884))+0-0-0</f>
        <v>827.35523599999999</v>
      </c>
      <c r="M68" s="3">
        <f>951.7+(297.1-344.7)+(0+(0-0))+0-0-0</f>
        <v>904.10000000000014</v>
      </c>
      <c r="N68" s="3">
        <f>1199.8+(387.8-551.8)+(1.223796+(0.395556-0.562836))+0-0-0</f>
        <v>1036.8565160000001</v>
      </c>
      <c r="O68" s="3">
        <f>1208.5+(435.4-512.8)+(-1.23267+(-0.444108--0.523056))+0-0-0</f>
        <v>1129.9462779999999</v>
      </c>
      <c r="P68" s="3">
        <f>1046.6+(468.8-334)+(-0.533766+(-0.239088--0.17034))+0-0-0</f>
        <v>1180.7974859999999</v>
      </c>
      <c r="Q68" s="3">
        <f>1204.1+(435.3-430)+(0+(0-0))+0-0-0</f>
        <v>1209.3999999999999</v>
      </c>
      <c r="R68" s="3">
        <f>1376.1+(451.5-605.3)+(-2.105433+(-0.690795--0.926109))+0-0-0</f>
        <v>1220.429881</v>
      </c>
      <c r="S68" s="3">
        <f>1460.6+(492-754.8)+(-1.489812+(-0.50184--0.769896))+0-0-0</f>
        <v>1196.578244</v>
      </c>
      <c r="T68" s="3">
        <f>1460.7+(413.6-701.2)+(-1.489914+(-0.421872--0.715224))+0-0-0</f>
        <v>1171.9034379999998</v>
      </c>
      <c r="U68" s="3">
        <f>1465.2+(411.3-719.4)+(-1.494504+(-0.419526--0.733788))+0-0-0</f>
        <v>1155.9197580000002</v>
      </c>
      <c r="V68" s="3">
        <f>1463.8+(361.3-656.7)+(-0.746538+(-0.184263--0.334917))+0-0-0</f>
        <v>1167.8041159999998</v>
      </c>
      <c r="W68" s="3">
        <f>1467.7+(418-713.2)+(-3.742635+(-1.0659--1.81866))+0-0-0</f>
        <v>1169.510125</v>
      </c>
      <c r="X68" s="3">
        <f>1469.9+(440.1-765.1)+(-3.748245+(-1.122255--1.951005))+0-0-0</f>
        <v>1141.980505</v>
      </c>
      <c r="Y68" s="3">
        <f>1488.3+(377-738.8)+(-1.518066+(-0.38454--0.753576))+0-0-0</f>
        <v>1125.35097</v>
      </c>
      <c r="Z68" s="3">
        <f>1611+(478.1-774.9)+(-2.46483+(-0.731493--1.185597))+0-0-0</f>
        <v>1312.1892740000001</v>
      </c>
      <c r="AA68" s="3">
        <f>1627.3+(507.5-757.3)+(-2.489769+(-0.776475--1.158669))+0-0-0</f>
        <v>1375.392425</v>
      </c>
      <c r="AB68" s="3">
        <f>1622.2+(505.2-816)+(-3.309288+(-1.030608--1.66464))+0-0-0</f>
        <v>1308.7247440000001</v>
      </c>
      <c r="AC68" s="3">
        <f>1548.9+(553.1-880)+(-3.159756+(-1.128324--1.7952))+0-0-0</f>
        <v>1219.50712</v>
      </c>
      <c r="AD68">
        <f t="shared" si="1"/>
        <v>26563.870707999999</v>
      </c>
      <c r="AE68" s="3">
        <f>1632+(563.8-766.9)+(0+(0-0))+0-0-0</f>
        <v>1428.9</v>
      </c>
    </row>
    <row r="69" spans="1:31" s="2" customFormat="1" x14ac:dyDescent="0.25">
      <c r="A69">
        <v>89</v>
      </c>
      <c r="B69">
        <v>3</v>
      </c>
      <c r="C69">
        <v>7</v>
      </c>
      <c r="D69">
        <v>7</v>
      </c>
      <c r="E69">
        <v>1</v>
      </c>
      <c r="F69" s="3">
        <f>1422.1+(340.7-655.7)+(2.901084+(0.695028-1.337628))+0-0-0</f>
        <v>1109.3584839999999</v>
      </c>
      <c r="G69" s="3">
        <f>1280.5+(326.4-581.1)+(1.30611+(0.332928-0.592722))+0-0-0</f>
        <v>1026.8463159999999</v>
      </c>
      <c r="H69" s="3">
        <f>1071.8+(313.7-428.4)+(1.093236+(0.319974-0.436968))+0-0-0</f>
        <v>958.07624199999987</v>
      </c>
      <c r="I69" s="3">
        <f>903+(300.1-279.1)+(0+(0-0))+0-0-0</f>
        <v>924</v>
      </c>
      <c r="J69" s="3">
        <f>902+(334.6-326.9)+(0.92004+(0.341292-0.333438))+0-0-0</f>
        <v>910.62789400000008</v>
      </c>
      <c r="K69" s="3">
        <f>902.4+(377.5-397)+(-1.380672+(-0.577575--0.60741))+0-0-0</f>
        <v>881.54916300000002</v>
      </c>
      <c r="L69" s="3">
        <f>904.2+(273.6-376.6)+(-1.383426+(-0.418608--0.576198))+0-0-0</f>
        <v>799.97416400000009</v>
      </c>
      <c r="M69" s="3">
        <f>933.3+(309.1-416.7)+(-0.951966+(-0.315282--0.425034))+0-0-0</f>
        <v>824.85778600000003</v>
      </c>
      <c r="N69" s="3">
        <f>1118.4+(288.5-520.7)+(-1.711152+(-0.441405--0.796671))+0-0-0</f>
        <v>884.84411399999999</v>
      </c>
      <c r="O69" s="3">
        <f>1433.1+(316.8-776.5)+(-2.192643+(-0.484704--1.188045))+0-0-0</f>
        <v>971.91069799999991</v>
      </c>
      <c r="P69" s="3">
        <f>1455.8+(370.2-796.1)+(0+(0-0))+0-0-0</f>
        <v>1029.8999999999999</v>
      </c>
      <c r="Q69" s="3">
        <f>1455.9+(340.6-721.3)+(-0.742509+(-0.173706--0.367863))+0-0-0</f>
        <v>1074.6516480000003</v>
      </c>
      <c r="R69" s="3">
        <f>1456.6+(387.1-743.8)+(0+(0-0))+0-0-0</f>
        <v>1099.9000000000001</v>
      </c>
      <c r="S69" s="3">
        <f>1456.1+(379.3-735.6)+(-0.742611+(-0.193443--0.375156))+0-0-0</f>
        <v>1099.239102</v>
      </c>
      <c r="T69" s="3">
        <f>1457+(392.1-745.8)+(0+(0-0))+0-0-0</f>
        <v>1103.3000000000002</v>
      </c>
      <c r="U69" s="3">
        <f>1471.7+(386.1-753.4)+(0.750567+(0.196911-0.384234))+0-0-0</f>
        <v>1104.963244</v>
      </c>
      <c r="V69" s="3">
        <f>1509.7+(367.4-762.2)+(-4.619682+(-1.124244--2.332332))+0-0-0</f>
        <v>1111.4884060000002</v>
      </c>
      <c r="W69" s="3">
        <f>1546+(290.1-723.4)+(-4.73076+(-0.887706--2.213604))+0-0-0</f>
        <v>1109.295138</v>
      </c>
      <c r="X69" s="3">
        <f>1652.4+(284.2-820.5)+(-3.370896+(-0.579768--1.67382))+0-0-0</f>
        <v>1113.8231560000002</v>
      </c>
      <c r="Y69" s="3">
        <f>1655.4+(303.4-865)+(-2.532762+(-0.464202--1.32345))+0-0-0</f>
        <v>1092.1264860000001</v>
      </c>
      <c r="Z69" s="3">
        <f>1687.7+(323.6-732.1)+(-2.582181+(-0.495108--1.120113))+0-0-0</f>
        <v>1277.2428240000002</v>
      </c>
      <c r="AA69" s="3">
        <f>1702.8+(338-661.7)+(-1.736856+(-0.34476--0.674934))+0-0-0</f>
        <v>1377.6933179999999</v>
      </c>
      <c r="AB69" s="3">
        <f>1683.4+(437.1-784.9)+(-1.717068+(-0.445842--0.800598))+0-0-0</f>
        <v>1334.2376880000002</v>
      </c>
      <c r="AC69" s="3">
        <f>1674.6+(529.6-950.1)+(-3.416184+(-1.080384--1.938204))+0-0-0</f>
        <v>1251.5416359999999</v>
      </c>
      <c r="AD69">
        <f t="shared" si="1"/>
        <v>25471.447507000004</v>
      </c>
      <c r="AE69" s="3">
        <f>1701.6+(491.7-793.9)+(0+(0-0))+0-0-0</f>
        <v>1399.3999999999999</v>
      </c>
    </row>
    <row r="70" spans="1:31" s="2" customFormat="1" x14ac:dyDescent="0.25">
      <c r="A70">
        <v>89</v>
      </c>
      <c r="B70">
        <v>3</v>
      </c>
      <c r="C70">
        <v>8</v>
      </c>
      <c r="D70">
        <v>1</v>
      </c>
      <c r="E70">
        <v>1</v>
      </c>
      <c r="F70" s="3">
        <f>1673.8+(317.1-866.4)+(-2.560914+(-0.485163--1.325592))+0-0-0</f>
        <v>1122.7795149999999</v>
      </c>
      <c r="G70" s="3">
        <f>1604.4+(348.8-923.6)+(-5.727708+(-1.245216--3.297252))+0-0-0</f>
        <v>1025.9243280000001</v>
      </c>
      <c r="H70" s="3">
        <f>1439.7+(385.1-855)+(-2.936988+(-0.785604--1.7442))+0-0-0</f>
        <v>967.82160800000008</v>
      </c>
      <c r="I70" s="3">
        <f>1336.7+(332.2-725.3)+(-0.681717+(-0.169422--0.369903))+0-0-0</f>
        <v>943.11876400000017</v>
      </c>
      <c r="J70" s="3">
        <f>1232.7+(282.8-588.6)+(0+(0-0))+0-0-0</f>
        <v>926.90000000000009</v>
      </c>
      <c r="K70" s="3">
        <f>1233.7+(237.7-580.1)+(-3.145935+(-0.606135--1.479255))+0-0-0</f>
        <v>889.02718499999992</v>
      </c>
      <c r="L70" s="3">
        <f>1232.5+(151.1-539.3)+(-0.628575+(-0.077061--0.275043))+0-0-0</f>
        <v>843.86940700000002</v>
      </c>
      <c r="M70" s="3">
        <f>1276.8+(165.9-495.9)+(0+(0-0))+0-0-0</f>
        <v>946.8</v>
      </c>
      <c r="N70" s="3">
        <f>1568.1+(326.9-795.6)+(-2.399193+(-0.500157--1.217268))+0-0-0</f>
        <v>1097.7179179999998</v>
      </c>
      <c r="O70" s="3">
        <f>1663+(352.9-819.1)+(-0.84813+(-0.179979--0.417741))+0-0-0</f>
        <v>1196.1896319999998</v>
      </c>
      <c r="P70" s="3">
        <f>1660.2+(362-755.9)+(0+(0-0))+0-0-0</f>
        <v>1266.3000000000002</v>
      </c>
      <c r="Q70" s="3">
        <f>1660.4+(412.1-753.5)+(-0.846804+(-0.210171--0.384285))+0-0-0</f>
        <v>1318.3273099999999</v>
      </c>
      <c r="R70" s="3">
        <f>1659+(453.1-760.2)+(0+(0-0))+0-0-0</f>
        <v>1351.9</v>
      </c>
      <c r="S70" s="3">
        <f>1660.8+(430.2-751.8)+(0.847008+(0.219402-0.383418))+0-0-0</f>
        <v>1339.8829920000001</v>
      </c>
      <c r="T70" s="3">
        <f>1660.7+(463.1-807.3)+(0+(0-0))+0-0-0</f>
        <v>1316.5</v>
      </c>
      <c r="U70" s="3">
        <f>1658.3+(422.8-783.2)+(-0.845733+(-0.215628--0.399432))+0-0-0</f>
        <v>1297.2380709999998</v>
      </c>
      <c r="V70" s="3">
        <f>1656.5+(462.9-823.7)+(-2.534445+(-0.708237--1.260261))+0-0-0</f>
        <v>1293.7175789999999</v>
      </c>
      <c r="W70" s="3">
        <f>1649.3+(463.6-827.9)+(-5.888001+(-1.655052--2.955603))+0-0-0</f>
        <v>1280.41255</v>
      </c>
      <c r="X70" s="3">
        <f>1645+(436.4-848.3)+(-4.19475+(-1.11282--2.163165))+0-0-0</f>
        <v>1229.9555949999999</v>
      </c>
      <c r="Y70" s="3">
        <f>1690.5+(415.6-847.8)+(-0.862155+(-0.211956--0.432378))+0-0-0</f>
        <v>1257.6582670000003</v>
      </c>
      <c r="Z70" s="3">
        <f>1710.1+(446.5-758.3)+(-0.872151+(-0.227715--0.386733))+0-0-0</f>
        <v>1397.586867</v>
      </c>
      <c r="AA70" s="3">
        <f>1734.3+(460.2-778.8)+(-1.768986+(-0.469404--0.794376))+0-0-0</f>
        <v>1414.2559860000001</v>
      </c>
      <c r="AB70" s="3">
        <f>1700.7+(484.6-846.3)+(-4.336785+(-1.23573--2.158065))+0-0-0</f>
        <v>1335.58555</v>
      </c>
      <c r="AC70" s="3">
        <f>1692.5+(424.6-858.2)+(-3.4527+(-0.866184--1.750728))+0-0-0</f>
        <v>1256.331844</v>
      </c>
      <c r="AD70">
        <f t="shared" si="1"/>
        <v>28315.800968000003</v>
      </c>
      <c r="AE70" s="3">
        <f>1735.8+(399.4-685.9)+(0+(0-0))+0-0-0</f>
        <v>1449.3</v>
      </c>
    </row>
    <row r="71" spans="1:31" s="2" customFormat="1" x14ac:dyDescent="0.25">
      <c r="A71">
        <v>89</v>
      </c>
      <c r="B71">
        <v>3</v>
      </c>
      <c r="C71">
        <v>9</v>
      </c>
      <c r="D71">
        <v>2</v>
      </c>
      <c r="E71">
        <v>1</v>
      </c>
      <c r="F71" s="3">
        <f>1665.8+(255.2-780)+(-2.548674+(-0.390456--1.1934))+0-0-0</f>
        <v>1139.2542699999999</v>
      </c>
      <c r="G71" s="3">
        <f>1525.2+(149-625.6)+(-1.555704+(-0.15198--0.638112))+0-0-0</f>
        <v>1047.5304279999998</v>
      </c>
      <c r="H71" s="3">
        <f>1448.3+(270.5-724.1)+(-0.738633+(-0.137955--0.369291))+0-0-0</f>
        <v>994.19270299999994</v>
      </c>
      <c r="I71" s="3">
        <f>1246+(225.6-510.6)+(-2.54184+(-0.460224--1.041624))+0-0-0</f>
        <v>959.03956000000005</v>
      </c>
      <c r="J71" s="3">
        <f>1098.6+(290.3-439.8)+(-0.560286+(-0.148053--0.224298))+0-0-0</f>
        <v>948.61595899999986</v>
      </c>
      <c r="K71" s="3">
        <f>1102.2+(372.1-542.9)+(-1.686366+(-0.569313--0.830637))+0-0-0</f>
        <v>929.97495800000013</v>
      </c>
      <c r="L71" s="3">
        <f>1101.5+(224.4-448.4)+(-2.24706+(-0.457776--0.914736))+0-0-0</f>
        <v>875.70989999999995</v>
      </c>
      <c r="M71" s="3">
        <f>1128.2+(204.3-375)+(0+(0-0))+0-0-0</f>
        <v>957.5</v>
      </c>
      <c r="N71" s="3">
        <f>1352.9+(155.2-424.4)+(0.689979+(0.079152-0.216444))+0-0-0</f>
        <v>1084.2526870000002</v>
      </c>
      <c r="O71" s="3">
        <f>1632.2+(199.4-658.9)+(-0.832422+(-0.101694--0.336039))+0-0-0</f>
        <v>1172.1019229999999</v>
      </c>
      <c r="P71" s="3">
        <f>1665.8+(380.5-809.5)+(0.849558+(0.194055-0.412845))+0-0-0</f>
        <v>1237.4307679999999</v>
      </c>
      <c r="Q71" s="3">
        <f>1677.9+(393.8-802.5)+(0+(0-0))+0-0-0</f>
        <v>1269.2</v>
      </c>
      <c r="R71" s="3">
        <f>1701.9+(363.7-788.2)+(-1.735938+(-0.370974--0.803964))+0-0-0</f>
        <v>1276.0970520000001</v>
      </c>
      <c r="S71" s="3">
        <f>1701+(433.7-876.6)+(-1.73502+(-0.442374--0.894132))+0-0-0</f>
        <v>1256.816738</v>
      </c>
      <c r="T71" s="3">
        <f>1701.4+(467-935.2)+(0+(0-0))+0-0-0</f>
        <v>1233.2</v>
      </c>
      <c r="U71" s="3">
        <f>1702.3+(438.5-941.2)+(0.868173+(0.223635-0.480012))+0-0-0</f>
        <v>1200.2117959999998</v>
      </c>
      <c r="V71" s="3">
        <f>1702.5+(394.5-912.7)+(-2.604825+(-0.603585--1.396431))+0-0-0</f>
        <v>1182.4880209999999</v>
      </c>
      <c r="W71" s="3">
        <f>1696.4+(483.9-1005.6)+(-2.595492+(-0.740367--1.538568))+0-0-0</f>
        <v>1172.902709</v>
      </c>
      <c r="X71" s="3">
        <f>1684+(399.3-916.3)+(-6.87072+(-1.629144--3.738504))+0-0-0</f>
        <v>1162.23864</v>
      </c>
      <c r="Y71" s="3">
        <f>1692.8+(325.2-831.2)+(-0.863328+(-0.165852--0.423912))+0-0-0</f>
        <v>1186.1947319999999</v>
      </c>
      <c r="Z71" s="3">
        <f>1742+(427.5-832.5)+(0+(0-0))+0-0-0</f>
        <v>1337</v>
      </c>
      <c r="AA71" s="3">
        <f>1741.7+(489.7-865)+(-2.664801+(-0.749241--1.32345))+0-0-0</f>
        <v>1364.3094080000001</v>
      </c>
      <c r="AB71" s="3">
        <f>1708.6+(525.5-946.4)+(-2.614158+(-0.804015--1.447992))+0-0-0</f>
        <v>1285.7298189999999</v>
      </c>
      <c r="AC71" s="3">
        <f>1679.5+(467.1-957.7)+(-4.282725+(-1.191105--2.442135))+0-0-0</f>
        <v>1185.8683050000002</v>
      </c>
      <c r="AD71">
        <f t="shared" si="1"/>
        <v>27457.860376000001</v>
      </c>
      <c r="AE71" s="3">
        <f>1740.8+(523.6-826.9)+(0+(0-0))+0-0-0</f>
        <v>1437.5</v>
      </c>
    </row>
    <row r="72" spans="1:31" s="2" customFormat="1" x14ac:dyDescent="0.25">
      <c r="A72">
        <v>89</v>
      </c>
      <c r="B72">
        <v>3</v>
      </c>
      <c r="C72">
        <v>10</v>
      </c>
      <c r="D72">
        <v>3</v>
      </c>
      <c r="E72">
        <v>1</v>
      </c>
      <c r="F72" s="3">
        <f>1587.2+(298.5-812.3)+(-0.809472+(-0.152235--0.414273))+0-0-0</f>
        <v>1072.852566</v>
      </c>
      <c r="G72" s="3">
        <f>1221.3+(274.4-511.9)+(-1.245726+(-0.279888--0.522138))+0-0-0</f>
        <v>982.79652399999998</v>
      </c>
      <c r="H72" s="3">
        <f>975.2+(337.7-375.7)+(0+(0-0))+0-0-0</f>
        <v>937.2</v>
      </c>
      <c r="I72" s="3">
        <f>918.1+(353.8-355.6)+(-1.404693+(-0.541314--0.544068))+0-0-0</f>
        <v>914.89806099999998</v>
      </c>
      <c r="J72" s="3">
        <f>918+(354.1-360.6)+(-1.40454+(-0.541773--0.551718))+0-0-0</f>
        <v>910.10540500000002</v>
      </c>
      <c r="K72" s="3">
        <f>918.3+(367.5-397.1)+(-0.936666+(-0.37485--0.405042))+0-0-0</f>
        <v>887.79352599999993</v>
      </c>
      <c r="L72" s="3">
        <f>918.2+(336-408.8)+(0+(0-0))+0-0-0</f>
        <v>845.40000000000009</v>
      </c>
      <c r="M72" s="3">
        <f>1004.1+(295.8-374.1)+(0.512091+(0.150858-0.190791))+0-0-0</f>
        <v>926.27215799999999</v>
      </c>
      <c r="N72" s="3">
        <f>1249.6+(334.7-529.3)+(1.274592+(0.341394-0.539886))+0-0-0</f>
        <v>1056.0761</v>
      </c>
      <c r="O72" s="3">
        <f>1463.6+(324.4-654.1)+(0+(0-0))+0-0-0</f>
        <v>1133.8999999999999</v>
      </c>
      <c r="P72" s="3">
        <f>1565.2+(371.1-698.2)+(0.798252+(0.189261-0.356082))+0-0-0</f>
        <v>1238.7314309999999</v>
      </c>
      <c r="Q72" s="3">
        <f>1626.3+(378-738.4)+(0.829413+(0.19278-0.376584))+0-0-0</f>
        <v>1266.545609</v>
      </c>
      <c r="R72" s="3">
        <f>1705.6+(341.6-781.2)+(-1.739712+(-0.348432--0.796824))+0-0-0</f>
        <v>1264.70868</v>
      </c>
      <c r="S72" s="3">
        <f>1706.8+(452.2-940.8)+(-1.740936+(-0.461244--0.959616))+0-0-0</f>
        <v>1216.9574360000001</v>
      </c>
      <c r="T72" s="3">
        <f>1706.8+(436-947.6)+(-0.870468+(-0.22236--0.483276))+0-0-0</f>
        <v>1194.5904479999999</v>
      </c>
      <c r="U72" s="3">
        <f>1710.4+(451.8-983.9)+(-1.744608+(-0.460836--1.003578))+0-0-0</f>
        <v>1177.0981340000001</v>
      </c>
      <c r="V72" s="3">
        <f>1711.3+(477.7-1002.7)+(-3.491052+(-0.974508--2.045508))+0-0-0</f>
        <v>1183.879948</v>
      </c>
      <c r="W72" s="3">
        <f>1712.6+(438.6-960.6)+(-5.240556+(-1.342116--2.939436))+0-0-0</f>
        <v>1186.956764</v>
      </c>
      <c r="X72" s="3">
        <f>1712+(402.9-944.5)+(-4.3656+(-1.027395--2.408475))+0-0-0</f>
        <v>1167.4154800000001</v>
      </c>
      <c r="Y72" s="3">
        <f>1609+(422.2-872.6)+(-1.64118+(-0.430644--0.890052))+0-0-0</f>
        <v>1157.418228</v>
      </c>
      <c r="Z72" s="3">
        <f>1673.3+(438.6-784.3)+(-1.706766+(-0.447372--0.799986))+0-0-0</f>
        <v>1326.2458479999998</v>
      </c>
      <c r="AA72" s="3">
        <f>1740.9+(453.2-789.7)+(-0.887859+(-0.231132--0.402747))+0-0-0</f>
        <v>1403.6837560000001</v>
      </c>
      <c r="AB72" s="3">
        <f>1737+(466.3-868.4)+(-1.77174+(-0.475626--0.885768))+0-0-0</f>
        <v>1333.5384020000001</v>
      </c>
      <c r="AC72" s="3">
        <f>1691.5+(455.1-912.1)+(-2.587995+(-0.696303--1.395513))+0-0-0</f>
        <v>1232.6112149999999</v>
      </c>
      <c r="AD72">
        <f t="shared" si="1"/>
        <v>27017.675718999995</v>
      </c>
      <c r="AE72" s="3">
        <f>1742.8+(495.7-813.3)+(0+(0-0))+0-0-0</f>
        <v>1425.2</v>
      </c>
    </row>
    <row r="73" spans="1:31" s="2" customFormat="1" x14ac:dyDescent="0.25">
      <c r="A73">
        <v>89</v>
      </c>
      <c r="B73">
        <v>3</v>
      </c>
      <c r="C73">
        <v>11</v>
      </c>
      <c r="D73">
        <v>4</v>
      </c>
      <c r="E73">
        <v>1</v>
      </c>
      <c r="F73" s="3">
        <f>1531.3+(407.5-823.5)+(-3.904815+(-1.039125--2.099925))+0-0-0</f>
        <v>1112.4559850000001</v>
      </c>
      <c r="G73" s="3">
        <f>1189.8+(329.6-498.2)+(-1.820394+(-0.504288--0.762246))+0-0-0</f>
        <v>1019.637564</v>
      </c>
      <c r="H73" s="3">
        <f>1150.4+(238.7-416.9)+(-1.760112+(-0.365211--0.637857))+0-0-0</f>
        <v>970.71253400000001</v>
      </c>
      <c r="I73" s="3">
        <f>1148.6+(210-409.7)+(0+(0-0))+0-0-0</f>
        <v>948.89999999999986</v>
      </c>
      <c r="J73" s="3">
        <f>1110.4+(217.6-370.8)+(0.566304+(0.110976-0.189108))+0-0-0</f>
        <v>957.68817200000001</v>
      </c>
      <c r="K73" s="3">
        <f>1110.7+(207.4-415.4)+(-3.398742+(-0.634644--1.271124))+0-0-0</f>
        <v>899.93773800000008</v>
      </c>
      <c r="L73" s="3">
        <f>1110.5+(156.9-404.5)+(-0.566355+(-0.080019--0.206295))+0-0-0</f>
        <v>862.45992100000001</v>
      </c>
      <c r="M73" s="3">
        <f>1313.2+(213.3-574.2)+(-2.678928+(-0.435132--1.171368))+0-0-0</f>
        <v>950.35730799999999</v>
      </c>
      <c r="N73" s="3">
        <f>1427.8+(295.7-638.6)+(0.728178+(0.150807-0.325686))+11.5-0-0</f>
        <v>1096.9532989999998</v>
      </c>
      <c r="O73" s="3">
        <f>1595.7+(326.7-726.1)+(0.813807+(0.166617-0.370311))+1-0-0</f>
        <v>1197.9101129999999</v>
      </c>
      <c r="P73" s="3">
        <f>1676.1+(356.5-775.2)+(-1.709622+(-0.36363--0.790704))+0-0-0</f>
        <v>1256.117452</v>
      </c>
      <c r="Q73" s="3">
        <f>1673.6+(377.6-762.6)+(-0.853536+(-0.192576--0.388926))+0-0-0</f>
        <v>1287.942814</v>
      </c>
      <c r="R73" s="3">
        <f>1673.4+(436.7-788.4)+(0.853434+(0.222717-0.402084))+0-0-0</f>
        <v>1322.374067</v>
      </c>
      <c r="S73" s="3">
        <f>1670.9+(477.2-835.2)+(-0.852159+(-0.243372--0.425952))+0-0-0</f>
        <v>1312.230421</v>
      </c>
      <c r="T73" s="3">
        <f>1669.5+(460.3-829.7)+(1.70289+(0.469506-0.846294))+0-0-0</f>
        <v>1301.4261019999999</v>
      </c>
      <c r="U73" s="3">
        <f>1670.3+(409.6-797.4)+(-2.555559+(-0.626688--1.220022))+0-0-0</f>
        <v>1280.537775</v>
      </c>
      <c r="V73" s="3">
        <f>1669.4+(397.7-779.8)+(-1.702788+(-0.405654--0.795396))+0-0-0</f>
        <v>1285.9869540000002</v>
      </c>
      <c r="W73" s="3">
        <f>1670+(392.7-772.5)+(-4.2585+(-1.001385--1.969875))+0-0-0</f>
        <v>1286.9099900000001</v>
      </c>
      <c r="X73" s="3">
        <f>1670.5+(421-844)+(-4.259775+(-1.07355--2.1522))+0-0-0</f>
        <v>1244.3188749999999</v>
      </c>
      <c r="Y73" s="3">
        <f>1689.5+(447.6-921.5)+(-0.861645+(-0.228276--0.469965))+0-0-0</f>
        <v>1214.9800439999999</v>
      </c>
      <c r="Z73" s="3">
        <f>1738.7+(562.3-918.8)+(-1.773474+(-0.573546--0.937176))+0-0-0</f>
        <v>1380.790156</v>
      </c>
      <c r="AA73" s="3">
        <f>1745.7+(539.9-815.8)+(-0.890307+(-0.275349--0.416058))+0-0-0</f>
        <v>1469.0504020000001</v>
      </c>
      <c r="AB73" s="3">
        <f>1735.8+(524.1-873.4)+(-0.885258+(-0.267291--0.445434))+0-0-0</f>
        <v>1385.7928850000001</v>
      </c>
      <c r="AC73" s="3">
        <f>1733.4+(461.1-902.4)+(-3.536136+(-0.940644--1.840896))+0-0-0</f>
        <v>1289.4641160000001</v>
      </c>
      <c r="AD73">
        <f t="shared" si="1"/>
        <v>28334.934687000001</v>
      </c>
      <c r="AE73" s="3">
        <f>1737.8+(543.9-784.1)+(0+(0-0))+0-0-0</f>
        <v>1497.6</v>
      </c>
    </row>
    <row r="74" spans="1:31" s="2" customFormat="1" x14ac:dyDescent="0.25">
      <c r="A74">
        <v>89</v>
      </c>
      <c r="B74">
        <v>3</v>
      </c>
      <c r="C74">
        <v>12</v>
      </c>
      <c r="D74">
        <v>5</v>
      </c>
      <c r="E74">
        <v>1</v>
      </c>
      <c r="F74" s="3">
        <f>1614.1+(287.6-742)+(-0.823191+(-0.146676--0.37842))+0-0-0</f>
        <v>1159.1085529999998</v>
      </c>
      <c r="G74" s="3">
        <f>1490.6+(298.5-727.3)+(-1.520412+(-0.30447--0.741846))+0-0-0</f>
        <v>1060.716964</v>
      </c>
      <c r="H74" s="3">
        <f>1261.7+(301.7-557.8)+(-0.643467+(-0.153867--0.284478))+0-0-0</f>
        <v>1005.0871440000001</v>
      </c>
      <c r="I74" s="3">
        <f>1133.6+(308.7-468.6)+(-2.312544+(-0.629748--0.955944))+0-0-0</f>
        <v>971.7136519999998</v>
      </c>
      <c r="J74" s="3">
        <f>1137.1+(325.2-499.6)+(0.579921+(0.165852-0.254796))+0-0-0</f>
        <v>963.19097699999986</v>
      </c>
      <c r="K74" s="3">
        <f>1138.1+(283.5-497.9)+(-2.321724+(-0.57834--1.015716))+0-0-0</f>
        <v>921.81565199999989</v>
      </c>
      <c r="L74" s="3">
        <f>1141.8+(162.9-429.8)+(-2.329272+(-0.332316--0.876792))+0-0-0</f>
        <v>873.11520399999995</v>
      </c>
      <c r="M74" s="3">
        <f>1327.7+(220-578.3)+(0.677127+(0.1122-0.294933))+0-0-0</f>
        <v>969.89439400000015</v>
      </c>
      <c r="N74" s="3">
        <f>1697.7+(361.4-911.7)+(-2.597481+(-0.552942--1.394901))+0-0-0</f>
        <v>1145.6444780000002</v>
      </c>
      <c r="O74" s="3">
        <f>1677.6+(261.3-748.2)+(-1.711152+(-0.266526--0.763164))+0-0-0</f>
        <v>1189.4854859999998</v>
      </c>
      <c r="P74" s="3">
        <f>1674.3+(354.8-774.3)+(0+(0-0))+0-0-0</f>
        <v>1254.8</v>
      </c>
      <c r="Q74" s="3">
        <f>1673.6+(400.9-762)+(0.853536+(0.204459-0.38862))+0-0-0</f>
        <v>1313.1693749999999</v>
      </c>
      <c r="R74" s="3">
        <f>1672.9+(417.2-742.1)+(1.706358+(0.425544-0.756942))+0-0-0</f>
        <v>1349.3749600000001</v>
      </c>
      <c r="S74" s="3">
        <f>1672.5+(386-697.8)+(-0.852975+(-0.19686--0.355878))+0-0-0</f>
        <v>1360.0060430000001</v>
      </c>
      <c r="T74" s="3">
        <f>1672.3+(414.1-726.1)+(-2.558619+(-0.633573--1.110933))+0-0-0</f>
        <v>1358.2187409999999</v>
      </c>
      <c r="U74" s="3">
        <f>1673+(437.8-761.9)+(0+(0-0))+0-0-0</f>
        <v>1348.9</v>
      </c>
      <c r="V74" s="3">
        <f>1673+(447.8-767.2)+(-0.85323+(-0.228378--0.391272))+0-0-0</f>
        <v>1352.909664</v>
      </c>
      <c r="W74" s="3">
        <f>1688+(419.5-756.1)+(-1.72176+(-0.42789--0.771222))+0-0-0</f>
        <v>1350.0215720000001</v>
      </c>
      <c r="X74" s="3">
        <f>1687.7+(363.3-741.9)+(-2.582181+(-0.555849--1.135107))+0-0-0</f>
        <v>1307.0970770000001</v>
      </c>
      <c r="Y74" s="3">
        <f>1701.8+(414.9-865.9)+(0+(0-0))+0-0-0</f>
        <v>1250.8</v>
      </c>
      <c r="Z74" s="3">
        <f>1740.1+(405.5-765.3)+(0+(0-0))+0-0-0</f>
        <v>1380.3</v>
      </c>
      <c r="AA74" s="3">
        <f>1743.6+(471.8-698.5)+(-1.778472+(-0.481236--0.71247))+0-0-0</f>
        <v>1515.3527619999998</v>
      </c>
      <c r="AB74" s="3">
        <f>1736.9+(501.5-778.2)+(-1.771638+(-0.51153--0.793764))+0-0-0</f>
        <v>1458.7105960000001</v>
      </c>
      <c r="AC74" s="3">
        <f>1732.9+(472.4-827.9)+(-2.651337+(-0.722772--1.266687))+0-0-0</f>
        <v>1375.292578</v>
      </c>
      <c r="AD74">
        <f t="shared" si="1"/>
        <v>29234.725871999995</v>
      </c>
      <c r="AE74" s="3">
        <f>1742.6+(520.9-729.6)+(0+(0-0))+0-0-0</f>
        <v>1533.8999999999999</v>
      </c>
    </row>
    <row r="75" spans="1:31" s="2" customFormat="1" x14ac:dyDescent="0.25">
      <c r="A75">
        <v>89</v>
      </c>
      <c r="B75">
        <v>3</v>
      </c>
      <c r="C75">
        <v>13</v>
      </c>
      <c r="D75">
        <v>6</v>
      </c>
      <c r="E75">
        <v>1</v>
      </c>
      <c r="F75" s="3">
        <f>1712.3+(321.7-781.2)+(0+(0-0))+0-0-0</f>
        <v>1252.8</v>
      </c>
      <c r="G75" s="3">
        <f>1646+(341.6-845.8)+(-0.83946+(-0.174216--0.431358))+0-0-0</f>
        <v>1141.2176820000002</v>
      </c>
      <c r="H75" s="3">
        <f>1644+(334.5-900.6)+(-1.67688+(-0.34119--0.918612))+0-0-0</f>
        <v>1076.8005420000002</v>
      </c>
      <c r="I75" s="3">
        <f>1464.8+(244.9-685.5)+(-1.494096+(-0.249798--0.69921))+0-0-0</f>
        <v>1023.1553159999999</v>
      </c>
      <c r="J75" s="3">
        <f>1382.5+(221.7-598.2)+(-1.41015+(-0.226134--0.610164))+0-0-0</f>
        <v>1004.97388</v>
      </c>
      <c r="K75" s="3">
        <f>1348.8+(271.3-656.6)+(-1.375776+(-0.276726--0.669732))+0-0-0</f>
        <v>962.51723000000004</v>
      </c>
      <c r="L75" s="3">
        <f>1347+(109.9-553.4)+(-0.68697+(-0.056049--0.282234))+0-0-0</f>
        <v>903.03921500000001</v>
      </c>
      <c r="M75" s="3">
        <f>1409.5+(161.3-582.3)+(0+(0-0))+0-0-0</f>
        <v>988.5</v>
      </c>
      <c r="N75" s="3">
        <f>1607.2+(311.3-783.3)+(1.639344+(0.317526-0.798966))+0-0-0</f>
        <v>1136.357904</v>
      </c>
      <c r="O75" s="3">
        <f>1701.5+(288.6-738.8)+(-0.867765+(-0.147186--0.376788))+0-0-0</f>
        <v>1250.6618370000001</v>
      </c>
      <c r="P75" s="3">
        <f>1704.3+(334.2-718.4)+(0+(0-0))+0-0-0</f>
        <v>1320.1</v>
      </c>
      <c r="Q75" s="3">
        <f>1704.3+(417-741.4)+(1.738386+(0.42534-0.756228))+0-0-0</f>
        <v>1381.3074980000001</v>
      </c>
      <c r="R75" s="3">
        <f>1704.2+(453.2-723.8)+(0+(0-0))+0-0-0</f>
        <v>1433.6000000000001</v>
      </c>
      <c r="S75" s="3">
        <f>1703.9+(419.3-673.7)+(-1.737978+(-0.427686--0.687174))+0-0-0</f>
        <v>1448.02151</v>
      </c>
      <c r="T75" s="3">
        <f>1703.2+(354.3-597.8)+(-1.737264+(-0.361386--0.609756))+0-0-0</f>
        <v>1458.211106</v>
      </c>
      <c r="U75" s="3">
        <f>1697.5+(400.1-646.6)+(-0.865725+(-0.204051--0.329766))+0-0-0</f>
        <v>1450.25999</v>
      </c>
      <c r="V75" s="3">
        <f>1696.3+(378-622.6)+(-4.325565+(-0.9639--1.58763))+0-0-0</f>
        <v>1447.9981649999997</v>
      </c>
      <c r="W75" s="3">
        <f>1694.5+(400.8-668.9)+(-4.320975+(-1.02204--1.705695))+0-0-0</f>
        <v>1422.76268</v>
      </c>
      <c r="X75" s="3">
        <f>1675.9+(381.9-690.3)+(-3.418836+(-0.779076--1.408212))+0-0-0</f>
        <v>1364.7103</v>
      </c>
      <c r="Y75" s="3">
        <f>1681.3+(400.1-766.1)+(0+(0-0))+0-0-0</f>
        <v>1315.3</v>
      </c>
      <c r="Z75" s="3">
        <f>1735.4+(400.6-682.1)+(-2.655162+(-0.612918--1.043613))+0-0-0</f>
        <v>1451.6755330000001</v>
      </c>
      <c r="AA75" s="3">
        <f>1742.4+(438.4-599.3)+(-2.665872+(-0.670752--0.916929))+0-0-0</f>
        <v>1579.080305</v>
      </c>
      <c r="AB75" s="3">
        <f>1719.8+(496.4-685.6)+(-0.877098+(-0.253164--0.349656))+0-0-0</f>
        <v>1529.8193939999999</v>
      </c>
      <c r="AC75" s="3">
        <f>1695.9+(515-768.1)+(-2.594727+(-0.78795--1.175193))+0-0-0</f>
        <v>1440.5925160000002</v>
      </c>
      <c r="AD75">
        <f t="shared" si="1"/>
        <v>30783.462603</v>
      </c>
      <c r="AE75" s="3">
        <f>1741.7+(380-590)+(0+(0-0))+0-0-0</f>
        <v>1531.7</v>
      </c>
    </row>
    <row r="76" spans="1:31" s="2" customFormat="1" x14ac:dyDescent="0.25">
      <c r="A76">
        <v>89</v>
      </c>
      <c r="B76">
        <v>3</v>
      </c>
      <c r="C76">
        <v>14</v>
      </c>
      <c r="D76">
        <v>7</v>
      </c>
      <c r="E76">
        <v>4</v>
      </c>
      <c r="F76" s="3">
        <f>1663.3+(356.6-678.4)+(0+(0-0))+0-0-0</f>
        <v>1341.5</v>
      </c>
      <c r="G76" s="3">
        <f>1612.8+(336.6-700.7)+(-0.822528+(-0.171666--0.357357))+0-0-0</f>
        <v>1248.0631629999998</v>
      </c>
      <c r="H76" s="3">
        <f>1408+(326.2-580.4)+(1.43616+(0.332724-0.592008))+0-0-0</f>
        <v>1154.9768759999999</v>
      </c>
      <c r="I76" s="3">
        <f>1336.6+(306.5-546.1)+(-1.363332+(-0.31263--0.557022))+0-0-0</f>
        <v>1095.8810599999999</v>
      </c>
      <c r="J76" s="3">
        <f>1100.4+(368.2-414)+(0+(0-0))+0-0-0</f>
        <v>1054.6000000000001</v>
      </c>
      <c r="K76" s="3">
        <f>1099.4+(390.6-502)+(0+(0-0))+0-0-0</f>
        <v>988.00000000000011</v>
      </c>
      <c r="L76" s="3">
        <f>1099.3+(320.6-517.5)+(0+(0-0))+0-0-0</f>
        <v>902.4</v>
      </c>
      <c r="M76" s="3">
        <f>1099.3+(270.2-451.6)+(-1.681929+(-0.413406--0.690948))+0-0-0</f>
        <v>916.49561299999982</v>
      </c>
      <c r="N76" s="3">
        <f>1179.1+(296.8-490.5)+(-1.202682+(-0.302736--0.50031))+0-0-0</f>
        <v>984.39489199999991</v>
      </c>
      <c r="O76" s="3">
        <f>1426+(245.5-595.8)+(-0.72726+(-0.125205--0.303858))+0-0-0</f>
        <v>1075.1513930000001</v>
      </c>
      <c r="P76" s="3">
        <f>1651.7+(287.2-767.2)+(0.842367+(0.146472-0.391272))+0-0-0</f>
        <v>1172.2975670000001</v>
      </c>
      <c r="Q76" s="3">
        <f>1662.7+(418.1-830.3)+(0+(0-0))+0-0-0</f>
        <v>1250.5</v>
      </c>
      <c r="R76" s="3">
        <f>1663.8+(391.4-730.3)+(-1.697076+(-0.399228--0.744906))+0-0-0</f>
        <v>1323.5486020000001</v>
      </c>
      <c r="S76" s="3">
        <f>1693.6+(403-694.1)+(-1.727472+(-0.41106--0.707982))+0-0-0</f>
        <v>1401.06945</v>
      </c>
      <c r="T76" s="3">
        <f>1693.2+(410-657.8)+(-1.727064+(-0.4182--0.670956))+0-0-0</f>
        <v>1443.925692</v>
      </c>
      <c r="U76" s="3">
        <f>1690.2+(424.7-645.7)+(-1.724004+(-0.433194--0.658614))+0-0-0</f>
        <v>1467.7014160000001</v>
      </c>
      <c r="V76" s="3">
        <f>1688.7+(385.1-601.8)+(-1.722474+(-0.392802--0.613836))+0-0-0</f>
        <v>1470.49856</v>
      </c>
      <c r="W76" s="3">
        <f>1681.3+(384.9-620.1)+(-2.572389+(-0.588897--0.948753))+0-0-0</f>
        <v>1443.887467</v>
      </c>
      <c r="X76" s="3">
        <f>1681.2+(372-675.8)+(-1.714824+(-0.37944--0.689316))+0-0-0</f>
        <v>1375.995052</v>
      </c>
      <c r="Y76" s="3">
        <f>1681.9+(398.7-788.4)+(-0.857769+(-0.203337--0.402084))+0-0-0</f>
        <v>1291.540978</v>
      </c>
      <c r="Z76" s="3">
        <f>1694.2+(462.7-749.1)+(-0.864042+(-0.235977--0.382041))+0-0-0</f>
        <v>1407.0820220000001</v>
      </c>
      <c r="AA76" s="3">
        <f>1702.4+(496.3-622.5)+(-0.868224+(-0.253113--0.317475))+0-0-0</f>
        <v>1575.3961380000001</v>
      </c>
      <c r="AB76" s="3">
        <f>1692.5+(530.2-645.4)+(-2.589525+(-0.811206--0.987462))+0-0-0</f>
        <v>1574.8867310000003</v>
      </c>
      <c r="AC76" s="3">
        <f>1677.8+(520.9-661)+(-1.711356+(-0.531318--0.67422))+0-0-0</f>
        <v>1536.1315459999998</v>
      </c>
      <c r="AD76">
        <f t="shared" si="1"/>
        <v>30495.924217999996</v>
      </c>
      <c r="AE76" s="3">
        <f>1702+(530.1-615)+(0+(0-0))+0-0-0</f>
        <v>1617.1</v>
      </c>
    </row>
    <row r="77" spans="1:31" s="2" customFormat="1" x14ac:dyDescent="0.25">
      <c r="A77">
        <v>89</v>
      </c>
      <c r="B77">
        <v>3</v>
      </c>
      <c r="C77">
        <v>15</v>
      </c>
      <c r="D77">
        <v>1</v>
      </c>
      <c r="E77">
        <v>4</v>
      </c>
      <c r="F77" s="3">
        <f>1643.4+(294.4-512.8)+(-2.514402+(-0.450432--0.784584))+0-0-0</f>
        <v>1422.8197500000001</v>
      </c>
      <c r="G77" s="3">
        <f>1465.4+(299-458.7)+(0+(0-0))+0-0-0</f>
        <v>1305.7</v>
      </c>
      <c r="H77" s="3">
        <f>1297.4+(366.7-453)+(1.323348+(0.374034-0.46206))+0-0-0</f>
        <v>1212.3353220000001</v>
      </c>
      <c r="I77" s="3">
        <f>1248+(357-461.3)+(-1.27296+(-0.36414--0.470526))+0-0-0</f>
        <v>1142.533426</v>
      </c>
      <c r="J77" s="3">
        <f>1198+(384.3-474.3)+(0+(0-0))+0-0-0</f>
        <v>1108</v>
      </c>
      <c r="K77" s="3">
        <f>1168.8+(366.3-500.1)+(-2.384352+(-0.747252--1.020204))+0-0-0</f>
        <v>1032.8886</v>
      </c>
      <c r="L77" s="3">
        <f>1168.9+(328.1-561.6)+(-1.192278+(-0.334662--0.572832))+0-0-0</f>
        <v>934.44589200000007</v>
      </c>
      <c r="M77" s="3">
        <f>1219.4+(319.6-575.9)+(0+(0-0))+0-0-0</f>
        <v>963.10000000000014</v>
      </c>
      <c r="N77" s="3">
        <f>1464.1+(356.8-756)+(0.746691+(0.181968-0.38556))+0-0-0</f>
        <v>1065.4430989999998</v>
      </c>
      <c r="O77" s="3">
        <f>1645.8+(416.7-874.7)+(0.839358+(0.212517-0.446097))+0-0-0</f>
        <v>1188.4057780000001</v>
      </c>
      <c r="P77" s="3">
        <f>1668+(390.9-767.1)+(2.55204+(0.598077-1.173663))+0-0-0</f>
        <v>1293.7764540000001</v>
      </c>
      <c r="Q77" s="3">
        <f>1675.5+(395.3-682.9)+(1.70901+(0.403206-0.696558))+0-0-0</f>
        <v>1389.315658</v>
      </c>
      <c r="R77" s="3">
        <f>1719.4+(434.8-662.2)+(0+(0-0))+0-0-0</f>
        <v>1492</v>
      </c>
      <c r="S77" s="3">
        <f>1719.8+(418.5-570.2)+(-0.877098+(-0.213435--0.290802))+0-0-0</f>
        <v>1567.3002689999998</v>
      </c>
      <c r="T77" s="3">
        <f>1718+(422-531.8)+(0+(0-0))+0-0-0</f>
        <v>1608.2</v>
      </c>
      <c r="U77" s="3">
        <f>1715.3+(406.4-506.6)+(-1.749606+(-0.414528--0.516732))+0-0-0</f>
        <v>1613.4525979999999</v>
      </c>
      <c r="V77" s="3">
        <f>1712.9+(438-561.1)+(-0.873579+(-0.22338--0.286161))+0-0-0</f>
        <v>1588.9892020000002</v>
      </c>
      <c r="W77" s="3">
        <f>1713.1+(366.2-545.4)+(-4.368405+(-0.93381--1.39077))+0-0-0</f>
        <v>1529.9885549999999</v>
      </c>
      <c r="X77" s="3">
        <f>1713.9+(407.8-681.2)+(-2.622267+(-0.623934--1.042236))+0-0-0</f>
        <v>1438.2960350000001</v>
      </c>
      <c r="Y77" s="3">
        <f>1717.6+(476.3-833.3)+(-5.255856+(-1.457478--2.549898))+0-0-0</f>
        <v>1356.4365639999999</v>
      </c>
      <c r="Z77" s="3">
        <f>1726.7+(402.9-636.3)+(-0.880617+(-0.205479--0.324513))+0-0-0</f>
        <v>1492.5384170000002</v>
      </c>
      <c r="AA77" s="3">
        <f>1729.4+(459.7-544.5)+(-4.40997+(-1.172235--1.388475))+0-0-0</f>
        <v>1640.4062700000002</v>
      </c>
      <c r="AB77" s="3">
        <f>1725.8+(548.6-641.6)+(-1.760316+(-0.559572--0.654432))+0-0-0</f>
        <v>1631.134544</v>
      </c>
      <c r="AC77" s="3">
        <f>1726+(570-732.7)+(-3.52104+(-1.1628--1.494708))+0-0-0</f>
        <v>1560.110868</v>
      </c>
      <c r="AD77">
        <f t="shared" si="1"/>
        <v>32577.617301000002</v>
      </c>
      <c r="AE77" s="3">
        <f>1729+(416.7-465.7)+(0+(0-0))+0-0-0</f>
        <v>1680</v>
      </c>
    </row>
    <row r="78" spans="1:31" s="2" customFormat="1" x14ac:dyDescent="0.25">
      <c r="A78">
        <v>89</v>
      </c>
      <c r="B78">
        <v>3</v>
      </c>
      <c r="C78">
        <v>16</v>
      </c>
      <c r="D78">
        <v>2</v>
      </c>
      <c r="E78">
        <v>1</v>
      </c>
      <c r="F78" s="3">
        <f>1713.5+(331.5-603)+(-4.369425+(-0.845325--1.53765))+0-0-0</f>
        <v>1438.3228999999999</v>
      </c>
      <c r="G78" s="3">
        <f>1583.6+(326.7-588.4)+(-2.422908+(-0.499851--0.900252))+0-0-0</f>
        <v>1319.877493</v>
      </c>
      <c r="H78" s="3">
        <f>1456.1+(275.7-495.1)+(0.742611+(0.140607-0.252501))+0-0-0</f>
        <v>1237.3307169999998</v>
      </c>
      <c r="I78" s="3">
        <f>1340.6+(284-448.7)+(-3.41853+(-0.7242--1.144185))+0-0-0</f>
        <v>1172.9014549999999</v>
      </c>
      <c r="J78" s="3">
        <f>1203.4+(332.6-409.2)+(0+(0-0))+0-0-0</f>
        <v>1126.8000000000002</v>
      </c>
      <c r="K78" s="3">
        <f>1187.3+(338.5-488.5)+(-3.027615+(-0.863175--1.245675))+0-0-0</f>
        <v>1034.6548849999999</v>
      </c>
      <c r="L78" s="3">
        <f>1130.3+(271.9-434.1)+(0.576453+(0.138669-0.221391))+0-0-0</f>
        <v>968.59373099999993</v>
      </c>
      <c r="M78" s="3">
        <f>1300.7+(290.2-519.4)+(-0.663357+(-0.148002--0.264894))+0-0-0</f>
        <v>1070.9535350000001</v>
      </c>
      <c r="N78" s="3">
        <f>1657.4+(363.3-794.2)+(0+(0-0))+0-0-0</f>
        <v>1226.5</v>
      </c>
      <c r="O78" s="3">
        <f>1693.1+(396-742.7)+(0.863481+(0.20196-0.378777))+0-0-0</f>
        <v>1347.0866639999999</v>
      </c>
      <c r="P78" s="3">
        <f>1677+(447.9-662.5)+(0+(0-0))+0-0-0</f>
        <v>1462.4</v>
      </c>
      <c r="Q78" s="3">
        <f>1678.5+(457.7-584.7)+(0.856035+(0.233427-0.298197))+0-0-0</f>
        <v>1552.2912650000001</v>
      </c>
      <c r="R78" s="3">
        <f>1673.5+(492.4-533.4)+(-0.853485+(-0.251124--0.272034))+0-0-0</f>
        <v>1631.6674250000001</v>
      </c>
      <c r="S78" s="3">
        <f>1671.7+(512.6-485.3)+(-1.705134+(-0.522852--0.495006))+0-0-0</f>
        <v>1697.26702</v>
      </c>
      <c r="T78" s="3">
        <f>1672.1+(450.8-399.3)+(-1.705542+(-0.459816--0.407286))+0-0-0</f>
        <v>1721.8419279999998</v>
      </c>
      <c r="U78" s="3">
        <f>1677.2+(476.9-445.1)+(-1.710744+(-0.486438--0.454002))+0-0-0</f>
        <v>1707.2568200000001</v>
      </c>
      <c r="V78" s="3">
        <f>1678.1+(464.2-447.6)+(-3.423324+(-0.946968--0.913104))+0-0-0</f>
        <v>1691.2428119999997</v>
      </c>
      <c r="W78" s="3">
        <f>1680.3+(431.4-490.7)+(-4.284765+(-1.10007--1.251285))+0-0-0</f>
        <v>1616.86645</v>
      </c>
      <c r="X78" s="3">
        <f>1681.5+(431-602.1)+(-5.14539+(-1.31886--1.842426))+0-0-0</f>
        <v>1505.778176</v>
      </c>
      <c r="Y78" s="3">
        <f>1681.7+(374.9-644)+(-3.430668+(-0.764796--1.31376))+0-0-0</f>
        <v>1409.718296</v>
      </c>
      <c r="Z78" s="3">
        <f>1710+(492.2-669.4)+(0+(0-0))+0-0-0</f>
        <v>1532.8</v>
      </c>
      <c r="AA78" s="3">
        <f>1724+(547.5-582.6)+(-4.3962+(-1.396125--1.48563))+0-0-0</f>
        <v>1684.5933050000001</v>
      </c>
      <c r="AB78" s="3">
        <f>1713.6+(552.8-599.3)+(-3.495744+(-1.127712--1.222572))+0-0-0</f>
        <v>1663.699116</v>
      </c>
      <c r="AC78" s="3">
        <f>1709+(449.5-580.9)+(-5.22954+(-1.37547--1.777554))+0-0-0</f>
        <v>1572.7725439999999</v>
      </c>
      <c r="AD78">
        <f t="shared" si="1"/>
        <v>34393.216537</v>
      </c>
      <c r="AE78" s="3">
        <f>1717+(547.3-577.2)+(0+(0-0))+0-0-0</f>
        <v>1687.1</v>
      </c>
    </row>
    <row r="79" spans="1:31" s="2" customFormat="1" x14ac:dyDescent="0.25">
      <c r="A79">
        <v>89</v>
      </c>
      <c r="B79">
        <v>3</v>
      </c>
      <c r="C79">
        <v>17</v>
      </c>
      <c r="D79">
        <v>3</v>
      </c>
      <c r="E79">
        <v>1</v>
      </c>
      <c r="F79" s="3">
        <f>1599.4+(300.2-465.5)+(0+(0-0))+0-0-0</f>
        <v>1434.1000000000001</v>
      </c>
      <c r="G79" s="3">
        <f>1345.7+(278.8-311.2)+(-1.372614+(-0.284376--0.317424))+0-0-0</f>
        <v>1311.9604340000001</v>
      </c>
      <c r="H79" s="3">
        <f>1159.6+(360.8-290.3)+(0+(0-0))+0-0-0</f>
        <v>1230.0999999999999</v>
      </c>
      <c r="I79" s="3">
        <f>1120.5+(357.3-304.2)+(-1.714365+(-0.546669--0.465426))+0-0-0</f>
        <v>1171.804392</v>
      </c>
      <c r="J79" s="3">
        <f>1122.3+(307.6-295.5)+(-0.572373+(-0.156876--0.150705))+0-0-0</f>
        <v>1133.8214560000001</v>
      </c>
      <c r="K79" s="3">
        <f>1123.6+(328.4-405.1)+(-2.292144+(-0.669936--0.826404))+0-0-0</f>
        <v>1044.7643239999998</v>
      </c>
      <c r="L79" s="3">
        <f>1131.9+(282.1-440.4)+(-1.154538+(-0.287742--0.449208))+0-0-0</f>
        <v>972.60692800000015</v>
      </c>
      <c r="M79" s="3">
        <f>1342.2+(188.9-464)+(0+(0-0))+0-0-0</f>
        <v>1067.0999999999999</v>
      </c>
      <c r="N79" s="3">
        <f>1548.9+(225.5-549.8)+(-0.789939+(-0.115005--0.280398))+0-0-0</f>
        <v>1223.9754540000001</v>
      </c>
      <c r="O79" s="3">
        <f>1680.4+(266.8-600)+(-1.714008+(-0.272136--0.612))+0-0-0</f>
        <v>1345.8258560000002</v>
      </c>
      <c r="P79" s="3">
        <f>1655.4+(290.9-525.2)+(-0.844254+(-0.148359--0.267852))+0-0-0</f>
        <v>1420.375239</v>
      </c>
      <c r="Q79" s="3">
        <f>1655.3+(312.7-473.3)+(0+(0-0))+0-0-0</f>
        <v>1494.6999999999998</v>
      </c>
      <c r="R79" s="3">
        <f>1657.4+(319.1-412.9)+(-1.690548+(-0.325482--0.421158))+0-0-0</f>
        <v>1562.0051280000002</v>
      </c>
      <c r="S79" s="3">
        <f>1675.8+(410.1-418.7)+(-2.563974+(-0.627453--0.640611))+0-0-0</f>
        <v>1664.6491840000001</v>
      </c>
      <c r="T79" s="3">
        <f>1679.5+(423.3-371.5)+(-1.71309+(-0.431766--0.37893))+0-0-0</f>
        <v>1729.5340739999999</v>
      </c>
      <c r="U79" s="3">
        <f>1687.5+(491.5-428.1)+(-0.860625+(-0.250665--0.218331))+0-0-0</f>
        <v>1750.0070410000001</v>
      </c>
      <c r="V79" s="3">
        <f>1701.9+(490.9-482.4)+(-1.735938+(-0.500718--0.492048))+0-0-0</f>
        <v>1708.6553920000001</v>
      </c>
      <c r="W79" s="3">
        <f>1702+(440.3-476.5)+(-3.47208+(-0.898212--0.97206))+0-0-0</f>
        <v>1662.4017679999999</v>
      </c>
      <c r="X79" s="3">
        <f>1693.9+(452.9-580.7)+(-3.455556+(-0.923916--1.184628))+0-0-0</f>
        <v>1562.9051559999998</v>
      </c>
      <c r="Y79" s="3">
        <f>1678.6+(428.4-651.1)+(-2.568258+(-0.655452--0.996183))+0-0-0</f>
        <v>1453.6724729999999</v>
      </c>
      <c r="Z79" s="3">
        <f>1707.6+(457.6-592.2)+(-2.612628+(-0.700128--0.906066))+0-0-0</f>
        <v>1570.59331</v>
      </c>
      <c r="AA79" s="3">
        <f>1737.4+(556.9-552.2)+(-1.772148+(-0.568038--0.563244))+0-0-0</f>
        <v>1740.3230579999999</v>
      </c>
      <c r="AB79" s="3">
        <f>1726+(590.6-599)+(-2.64078+(-0.903618--0.91647))+0-0-0</f>
        <v>1714.9720719999998</v>
      </c>
      <c r="AC79" s="3">
        <f>1715.6+(505.6-578.1)+(-2.624868+(-0.773568--0.884493))+0-0-0</f>
        <v>1640.586057</v>
      </c>
      <c r="AD79">
        <f t="shared" si="1"/>
        <v>34611.438795999995</v>
      </c>
      <c r="AE79" s="3">
        <f>1721.1+(605.8-577.1)+(0+(0-0))+0-0-0</f>
        <v>1749.7999999999997</v>
      </c>
    </row>
    <row r="80" spans="1:31" s="2" customFormat="1" x14ac:dyDescent="0.25">
      <c r="A80">
        <v>89</v>
      </c>
      <c r="B80">
        <v>3</v>
      </c>
      <c r="C80">
        <v>18</v>
      </c>
      <c r="D80">
        <v>4</v>
      </c>
      <c r="E80">
        <v>1</v>
      </c>
      <c r="F80" s="3">
        <f>1689+(325.2-501.8)+(-2.58417+(-0.497556--0.767754))+0-0-0</f>
        <v>1510.0860280000002</v>
      </c>
      <c r="G80" s="3">
        <f>1631.7+(137-368.9)+(-4.160835+(-0.34935--0.940695))+0-0-0</f>
        <v>1396.2305100000001</v>
      </c>
      <c r="H80" s="3">
        <f>1399.2+(211.7-297.2)+(0+(0-0))+0-0-0</f>
        <v>1313.7</v>
      </c>
      <c r="I80" s="3">
        <f>1119.3+(302.9-171)+(-2.283372+(-0.617916--0.34884))+0-0-0</f>
        <v>1248.6475519999999</v>
      </c>
      <c r="J80" s="3">
        <f>937.7+(355.6-87.5)+(-0.478227+(-0.181356--0.044625))+0-0-0</f>
        <v>1205.1850420000003</v>
      </c>
      <c r="K80" s="3">
        <f>1040.1+(295.5-218)+(-3.182706+(-0.90423--0.66708))+0-0-0</f>
        <v>1114.1801439999999</v>
      </c>
      <c r="L80" s="3">
        <f>1130+(220.7-315.4)+(-1.1526+(-0.225114--0.321708))+0-0-0</f>
        <v>1034.2439939999999</v>
      </c>
      <c r="M80" s="3">
        <f>1268.4+(174.3-336.8)+(0+(0-0))+0-0-0</f>
        <v>1105.9000000000001</v>
      </c>
      <c r="N80" s="3">
        <f>1560+(331-624.5)+(-1.5912+(-0.33762--0.63699))+0-0-0</f>
        <v>1265.2081700000001</v>
      </c>
      <c r="O80" s="3">
        <f>1675.6+(292.1-591.8)+(2.563668+(0.446913-0.905454))+0-0-0</f>
        <v>1378.0051270000001</v>
      </c>
      <c r="P80" s="3">
        <f>1692.4+(321.7-542.4)+(-1.726248+(-0.328134--0.553248))+0-0-0</f>
        <v>1470.198866</v>
      </c>
      <c r="Q80" s="3">
        <f>1687.7+(389.1-522)+(1.721454+(0.396882-0.53244))+0-0-0</f>
        <v>1556.3858960000002</v>
      </c>
      <c r="R80" s="3">
        <f>1685.6+(401.5-457.2)+(-2.578968+(-0.614295--0.699516))+0-0-0</f>
        <v>1627.4062529999999</v>
      </c>
      <c r="S80" s="3">
        <f>1618.2+(510.9-427.8)+(-1.650564+(-0.521118--0.436356))+0-0-0</f>
        <v>1699.564674</v>
      </c>
      <c r="T80" s="3">
        <f>1655.6+(528.8-348.3)+(0.844356+(0.269688-0.177633))+0-0-0</f>
        <v>1837.0364109999998</v>
      </c>
      <c r="U80" s="3">
        <f>1679.2+(561.4-368.5)+(0+(0-0))+0-0-0</f>
        <v>1872.1</v>
      </c>
      <c r="V80" s="3">
        <f>1694.4+(500.4-377.9)+(0+(0-0))+0-0-0</f>
        <v>1816.9</v>
      </c>
      <c r="W80" s="3">
        <f>1688.7+(454.6-434.8)+(-3.444948+(-0.927384--0.886992))+0-0-0</f>
        <v>1705.01466</v>
      </c>
      <c r="X80" s="3">
        <f>1682.4+(494.6-611.5)+(-3.432096+(-1.008984--1.24746))+0-0-0</f>
        <v>1562.30638</v>
      </c>
      <c r="Y80" s="3">
        <f>1660.1+(540.8-724.9)+(-6.773208+(-2.206464--2.957592))+0-0-0</f>
        <v>1469.97792</v>
      </c>
      <c r="Z80" s="3">
        <f>1707.7+(400-513.3)+(-3.483708+(-0.816--1.047132))+0-0-0</f>
        <v>1591.147424</v>
      </c>
      <c r="AA80" s="3">
        <f>1728.6+(409.5-393.7)+(-1.763172+(-0.41769--0.401574))+0-0-0</f>
        <v>1742.6207119999999</v>
      </c>
      <c r="AB80" s="3">
        <f>1711.7+(360.9-347)+(-2.618901+(-0.552177--0.53091))+0-0-0</f>
        <v>1722.959832</v>
      </c>
      <c r="AC80" s="3">
        <f>1700.3+(344.8-383.8)+(-3.468612+(-0.703392--0.782952))+0-0-0</f>
        <v>1657.910948</v>
      </c>
      <c r="AD80">
        <f t="shared" si="1"/>
        <v>35902.916542999999</v>
      </c>
      <c r="AE80" s="3">
        <f>1723.8+(426.1-385.9)+(0+(0-0))+0-0-0</f>
        <v>1764</v>
      </c>
    </row>
    <row r="81" spans="1:31" s="2" customFormat="1" x14ac:dyDescent="0.25">
      <c r="A81">
        <v>89</v>
      </c>
      <c r="B81">
        <v>3</v>
      </c>
      <c r="C81">
        <v>19</v>
      </c>
      <c r="D81">
        <v>5</v>
      </c>
      <c r="E81">
        <v>1</v>
      </c>
      <c r="F81" s="3">
        <f>1701.1+(303.2-440.2)+(-2.602683+(-0.463896--0.673506))+0-0-0</f>
        <v>1561.706927</v>
      </c>
      <c r="G81" s="3">
        <f>1680.7+(278.1-503.1)+(-3.428628+(-0.567324--1.026324))+0-0-0</f>
        <v>1452.730372</v>
      </c>
      <c r="H81" s="3">
        <f>1472.2+(336.3-433.9)+(-1.501644+(-0.343026--0.442578))+0-0-0</f>
        <v>1373.1979080000001</v>
      </c>
      <c r="I81" s="3">
        <f>1317+(280.6-298.3)+(-3.35835+(-0.71553--0.760665))+0-0-0</f>
        <v>1295.9867850000001</v>
      </c>
      <c r="J81" s="3">
        <f>1245+(276.4-273.2)+(1.2699+(0.281928-0.278664))+0-0-0</f>
        <v>1249.473164</v>
      </c>
      <c r="K81" s="3">
        <f>1244.2+(264.3-338.7)+(-3.17271+(-0.673965--0.863685))+0-0-0</f>
        <v>1166.8170100000002</v>
      </c>
      <c r="L81" s="3">
        <f>1243.8+(188.6-363.8)+(-0.634338+(-0.096186--0.185538))+0-0-0</f>
        <v>1068.0550139999998</v>
      </c>
      <c r="M81" s="3">
        <f>1263.4+(186.3-315.4)+(1.288668+(0.190026-0.321708))+0-0-0</f>
        <v>1135.4569860000001</v>
      </c>
      <c r="N81" s="3">
        <f>1445.9+(272.9-444.1)+(0+(0-0))+0-0-0</f>
        <v>1274.7</v>
      </c>
      <c r="O81" s="3">
        <f>1821.9+(261.4-650.2)+(0+(0-0))+0-0-0</f>
        <v>1433.1</v>
      </c>
      <c r="P81" s="3">
        <f>1833.7+(290.2-604.1)+(-1.870374+(-0.296004--0.616182))+0-0-0</f>
        <v>1518.249804</v>
      </c>
      <c r="Q81" s="3">
        <f>1698.7+(395.8-510.3)+(1.732674+(0.403716-0.520506))+0-0-0</f>
        <v>1585.8158840000001</v>
      </c>
      <c r="R81" s="3">
        <f>1700.1+(358.2-498)+(-2.601153+(-0.548046--0.76194))+0-0-0</f>
        <v>1557.9127409999999</v>
      </c>
      <c r="S81" s="3">
        <f>1701.2+(410.8-490.2)+(-0.867612+(-0.209508--0.250002))+0-0-0</f>
        <v>1620.9728820000003</v>
      </c>
      <c r="T81" s="3">
        <f>1698.7+(389.8-437.6)+(-0.866337+(-0.198798--0.223176))+0-0-0</f>
        <v>1650.058041</v>
      </c>
      <c r="U81" s="3">
        <f>1701.3+(379.4-418.8)+(-1.735326+(-0.386988--0.427176))+0-0-0</f>
        <v>1660.2048619999998</v>
      </c>
      <c r="V81" s="3">
        <f>1701.1+(402.5-454.6)+(-2.602683+(-0.615825--0.695538))+0-0-0</f>
        <v>1646.47703</v>
      </c>
      <c r="W81" s="3">
        <f>1702.2+(510.6-453.1)+(-2.604366+(-0.781218--0.693243))+0-0-0</f>
        <v>1757.0076590000001</v>
      </c>
      <c r="X81" s="3">
        <f>1701.8+(508-576)+(-4.33959+(-1.2954--1.4688))+0-0-0</f>
        <v>1629.63381</v>
      </c>
      <c r="Y81" s="3">
        <f>1701.4+(420.5-603.7)+(-4.33857+(-1.072275--1.539435))+0-0-0</f>
        <v>1514.3285900000001</v>
      </c>
      <c r="Z81" s="3">
        <f>1731.5+(412.4-505.3)+(-1.76613+(-0.420648--0.515406))+0-0-0</f>
        <v>1636.9286279999999</v>
      </c>
      <c r="AA81" s="3">
        <f>1736.9+(603-504.5)+(-2.657457+(-0.92259--0.771885))+0-0-0</f>
        <v>1832.5918380000001</v>
      </c>
      <c r="AB81" s="3">
        <f>1727+(597.3-484.9)+(-4.40385+(-1.523115--1.236495))+0-0-0</f>
        <v>1834.7095300000001</v>
      </c>
      <c r="AC81" s="3">
        <f>1713.1+(527.4-453.4)+(0+(0-0))+0-0-0</f>
        <v>1787.1</v>
      </c>
      <c r="AD81">
        <f t="shared" si="1"/>
        <v>36243.215465000001</v>
      </c>
      <c r="AE81" s="3">
        <f>1738.8+(613.4-476.3)+(0+(0-0))+0-0-0</f>
        <v>1875.8999999999999</v>
      </c>
    </row>
    <row r="82" spans="1:31" s="2" customFormat="1" x14ac:dyDescent="0.25">
      <c r="A82">
        <v>89</v>
      </c>
      <c r="B82">
        <v>3</v>
      </c>
      <c r="C82">
        <v>20</v>
      </c>
      <c r="D82">
        <v>6</v>
      </c>
      <c r="E82">
        <v>1</v>
      </c>
      <c r="F82" s="3">
        <f>1646.3+(290.8-276.4)+(-1.679226+(-0.296616--0.281928))+0-0-0</f>
        <v>1659.0060860000001</v>
      </c>
      <c r="G82" s="3">
        <f>1416.1+(273.5-167.9)+(2.166633+(0.418455-0.256887))+0-0-0</f>
        <v>1524.0282009999999</v>
      </c>
      <c r="H82" s="3">
        <f>1370.8+(274.2-221.8)+(0+(0-0))+0-0-0</f>
        <v>1423.1999999999998</v>
      </c>
      <c r="I82" s="3">
        <f>1273+(301.8-225.4)+(0.64923+(0.153918-0.114954))+0-0-0</f>
        <v>1350.0881940000002</v>
      </c>
      <c r="J82" s="3">
        <f>1207.2+(268.2-186.7)+(-1.231344+(-0.273564--0.190434))+0-0-0</f>
        <v>1287.385526</v>
      </c>
      <c r="K82" s="3">
        <f>1206.9+(289.6-310.7)+(-1.846557+(-0.443088--0.475371))+0-0-0</f>
        <v>1183.9857260000001</v>
      </c>
      <c r="L82" s="3">
        <f>1154.8+(226.7-309.6)+(-0.588948+(-0.115617--0.157896))+0-0-0</f>
        <v>1071.3533309999998</v>
      </c>
      <c r="M82" s="3">
        <f>1199.3+(203.2-266.5)+(0.611643+(0.103632-0.135915))+0-0-0</f>
        <v>1136.57936</v>
      </c>
      <c r="N82" s="3">
        <f>1472+(201.8-392.5)+(1.50144+(0.205836-0.40035))+0-0-0</f>
        <v>1282.6069259999999</v>
      </c>
      <c r="O82" s="3">
        <f>1673.1+(292-563.6)+(3.413124+(0.59568-1.149744))+0-0-0</f>
        <v>1404.35906</v>
      </c>
      <c r="P82" s="3">
        <f>1705.8+(284.2-493.9)+(1.739916+(0.289884-0.503778))+0-0-0</f>
        <v>1497.6260219999999</v>
      </c>
      <c r="Q82" s="3">
        <f>1706.2+(286.2-409.6)+(1.740324+(0.291924-0.417792))+0-0-0</f>
        <v>1584.414456</v>
      </c>
      <c r="R82" s="3">
        <f>1707.5+(329.7-331.7)+(0.870825+(0.168147-0.169167))+0-0-0</f>
        <v>1706.369805</v>
      </c>
      <c r="S82" s="3">
        <f>1706.8+(344.2-241.9)+(0+(0-0))+0-0-0</f>
        <v>1809.1</v>
      </c>
      <c r="T82" s="3">
        <f>1706.3+(366.7-195.8)+(0+(0-0))+0-0-0</f>
        <v>1877.1999999999998</v>
      </c>
      <c r="U82" s="3">
        <f>1708.3+(386.9-236.9)+(-0.871233+(-0.197319--0.120819))+0-0-0</f>
        <v>1857.352267</v>
      </c>
      <c r="V82" s="3">
        <f>1708.7+(341-244.5)+(-1.742874+(-0.34782--0.24939))+0-0-0</f>
        <v>1803.358696</v>
      </c>
      <c r="W82" s="3">
        <f>1709.4+(477.9-491.9)+(-2.615382+(-0.731187--0.752607))+0-0-0</f>
        <v>1692.8060380000002</v>
      </c>
      <c r="X82" s="3">
        <f>1708.3+(417-571.9)+(-4.356165+(-1.06335--1.458345))+0-0-0</f>
        <v>1549.4388300000001</v>
      </c>
      <c r="Y82" s="3">
        <f>1719.9+(418.4-678.6)+(-2.631447+(-0.640152--1.038258))+0-0-0</f>
        <v>1457.4666589999999</v>
      </c>
      <c r="Z82" s="3">
        <f>1730+(437.9-573.9)+(-0.8823+(-0.223329--0.292689))+0-0-0</f>
        <v>1593.18706</v>
      </c>
      <c r="AA82" s="3">
        <f>1731.3+(528.3-487.5)+(-1.765926+(-0.538866--0.49725))+0-0-0</f>
        <v>1770.2924579999999</v>
      </c>
      <c r="AB82" s="3">
        <f>1726.9+(530.4-484.6)+(-1.761438+(-0.541008--0.494292))+0-0-0</f>
        <v>1770.891846</v>
      </c>
      <c r="AC82" s="3">
        <f>1725.6+(559.8-539.4)+(-0.880056+(-0.285498--0.275094))+0-0-0</f>
        <v>1745.1095399999999</v>
      </c>
      <c r="AD82">
        <f t="shared" si="1"/>
        <v>37037.206086999991</v>
      </c>
      <c r="AE82" s="3">
        <f>1726.8+(584.9-490)+(0+(0-0))+0-0-0</f>
        <v>1821.6999999999998</v>
      </c>
    </row>
    <row r="83" spans="1:31" s="2" customFormat="1" x14ac:dyDescent="0.25">
      <c r="A83">
        <v>89</v>
      </c>
      <c r="B83">
        <v>3</v>
      </c>
      <c r="C83">
        <v>21</v>
      </c>
      <c r="D83">
        <v>7</v>
      </c>
      <c r="E83">
        <v>1</v>
      </c>
      <c r="F83" s="3">
        <f>1690.6+(334.9-373.3)+(0+(0-0))+0-0-0</f>
        <v>1652.1999999999998</v>
      </c>
      <c r="G83" s="3">
        <f>1689.8+(284.2-414.8)+(-2.585394+(-0.434826--0.634644))+0-0-0</f>
        <v>1556.8144239999999</v>
      </c>
      <c r="H83" s="3">
        <f>1598.4+(299.6-423.6)+(0+(0-0))+0-0-0</f>
        <v>1474.4</v>
      </c>
      <c r="I83" s="3">
        <f>1548.6+(252.1-393.8)+(0+(0-0))+0-0-0</f>
        <v>1406.8999999999999</v>
      </c>
      <c r="J83" s="3">
        <f>1375.4+(222.4-276.5)+(1.402908+(0.226848-0.28203))+0-0-0</f>
        <v>1322.6477260000001</v>
      </c>
      <c r="K83" s="3">
        <f>1307.6+(257.1-337.5)+(-2.667504+(-0.524484--0.6885))+0-0-0</f>
        <v>1224.6965119999998</v>
      </c>
      <c r="L83" s="3">
        <f>1303.3+(225.1-432.9)+(0+(0-0))+0-0-0</f>
        <v>1095.5</v>
      </c>
      <c r="M83" s="3">
        <f>1341.1+(193.4-418.4)+(-2.051883+(-0.295902--0.640152))+0-0-0</f>
        <v>1114.3923669999999</v>
      </c>
      <c r="N83" s="3">
        <f>1405.4+(111.8-394)+(0+(0-0))+0-0-0</f>
        <v>1123.2</v>
      </c>
      <c r="O83" s="3">
        <f>1496.8+(112-398.5)+(0+(0-0))+0-0-0</f>
        <v>1210.3</v>
      </c>
      <c r="P83" s="3">
        <f>1690+(85.3-478.3)+(-0.8619+(-0.043503--0.243933))+0-0-0</f>
        <v>1296.33853</v>
      </c>
      <c r="Q83" s="3">
        <f>1600.5+(117-422.1)+(2.448765+(0.17901-0.645813))+0-0-0</f>
        <v>1297.3819620000002</v>
      </c>
      <c r="R83" s="3">
        <f>1685.6+(149.3-397.6)+(0+(0-0))+0-0-0</f>
        <v>1437.3</v>
      </c>
      <c r="S83" s="3">
        <f>1685.5+(154.5-430)+(0+(0-0))+0-0-0</f>
        <v>1410</v>
      </c>
      <c r="T83" s="3">
        <f>1676+(216.5-382.4)+(-1.70952+(-0.22083--0.390048))+0-0-0</f>
        <v>1508.5596979999998</v>
      </c>
      <c r="U83" s="3">
        <f>1665.2+(239.6-425.7)+(0+(0-0))+0-0-0</f>
        <v>1479.1000000000001</v>
      </c>
      <c r="V83" s="3">
        <f>1678.4+(193.3-425.9)+(0+(0-0))+0-0-0</f>
        <v>1445.8000000000002</v>
      </c>
      <c r="W83" s="3">
        <f>1683.3+(230.8-518.4)+(0.858483+(0.117708-0.264384))+0-0-0</f>
        <v>1396.411807</v>
      </c>
      <c r="X83" s="3">
        <f>1682.6+(256.6-579.7)+(-0.858126+(-0.130866--0.295647))+0-0-0</f>
        <v>1358.8066550000001</v>
      </c>
      <c r="Y83" s="3">
        <f>1687.9+(265.1-634.2)+(0+(0-0))+0-0-0</f>
        <v>1318.8000000000002</v>
      </c>
      <c r="Z83" s="3">
        <f>1735.5+(334.3-596.3)+(-0.885105+(-0.170493--0.304113))+0-0-0</f>
        <v>1472.748515</v>
      </c>
      <c r="AA83" s="3">
        <f>1736.2+(360.2-437.2)+(0.885462+(0.183702-0.222972))+0-0-0</f>
        <v>1660.046192</v>
      </c>
      <c r="AB83" s="3">
        <f>1727.2+(376.8-423.6)+(-1.761744+(-0.384336--0.432072))+0-0-0</f>
        <v>1678.6859920000002</v>
      </c>
      <c r="AC83" s="3">
        <f>1724.8+(397.3-474.9)+(-2.638944+(-0.607869--0.726597))+0-0-0</f>
        <v>1644.6797840000002</v>
      </c>
      <c r="AD83">
        <f t="shared" si="1"/>
        <v>33585.710163999996</v>
      </c>
      <c r="AE83" s="3">
        <f>1732.8+(448.2-429.1)+(0+(0-0))+0-0-0</f>
        <v>1751.8999999999999</v>
      </c>
    </row>
    <row r="84" spans="1:31" s="2" customFormat="1" x14ac:dyDescent="0.25">
      <c r="A84">
        <v>89</v>
      </c>
      <c r="B84">
        <v>3</v>
      </c>
      <c r="C84">
        <v>22</v>
      </c>
      <c r="D84">
        <v>1</v>
      </c>
      <c r="E84">
        <v>1</v>
      </c>
      <c r="F84" s="3">
        <f>1724.3+(242.8-409.3)+(-1.758786+(-0.247656--0.417486))+0-0-0</f>
        <v>1556.2110439999999</v>
      </c>
      <c r="G84" s="3">
        <f>1600.6+(176-335.8)+(-2.448918+(-0.26928--0.513774))+0-0-0</f>
        <v>1438.5955759999999</v>
      </c>
      <c r="H84" s="3">
        <f>1323.1+(248.5-228.3)+(-0.674781+(-0.126735--0.116433))+0-0-0</f>
        <v>1342.6149169999999</v>
      </c>
      <c r="I84" s="3">
        <f>1123.7+(251.6-93.4)+(-1.146174+(-0.256632--0.095268))+0-0-0</f>
        <v>1280.5924620000001</v>
      </c>
      <c r="J84" s="3">
        <f>1122.7+(199.9-91.4)+(-2.862885+(-0.509745--0.23307))+0-0-0</f>
        <v>1228.06044</v>
      </c>
      <c r="K84" s="3">
        <f>1123.6+(176-166.4)+(-2.292144+(-0.35904--0.339456))+0-0-0</f>
        <v>1130.8882719999999</v>
      </c>
      <c r="L84" s="3">
        <f>1126.2+(150.5-235.4)+(-1.723086+(-0.230265--0.360162))+0-0-0</f>
        <v>1039.706811</v>
      </c>
      <c r="M84" s="3">
        <f>1402.9+(136.1-386)+(0+(0-0))+0-0-0</f>
        <v>1153</v>
      </c>
      <c r="N84" s="3">
        <f>1687.7+(158.8-450.2)+(0+(0-0))+0-0-0</f>
        <v>1396.3000000000002</v>
      </c>
      <c r="O84" s="3">
        <f>1679.7+(250.7-402.5)+(0.856647+(0.127857-0.205275))+0-0-0</f>
        <v>1528.6792290000001</v>
      </c>
      <c r="P84" s="3">
        <f>1687.2+(195.4-330)+(1.720944+(0.199308-0.3366))+0-0-0</f>
        <v>1554.1836520000002</v>
      </c>
      <c r="Q84" s="3">
        <f>1685.8+(358.8-388.6)+(-0.859758+(-0.182988--0.198186))+0-0-0</f>
        <v>1655.15544</v>
      </c>
      <c r="R84" s="3">
        <f>1694.1+(453.5-365)+(2.591973+(0.693855-0.55845))+0-0-0</f>
        <v>1785.327378</v>
      </c>
      <c r="S84" s="3">
        <f>1701.6+(536.9-319.9)+(-0.867816+(-0.273819--0.163149))+0-0-0</f>
        <v>1917.6215139999999</v>
      </c>
      <c r="T84" s="3">
        <f>1702.2+(542.6-262.2)+(2.604366+(0.830178-0.401166))+0-0-0</f>
        <v>1985.6333780000002</v>
      </c>
      <c r="U84" s="3">
        <f>1702+(581.9-288.8)+(0+(0-0))+0-0-0</f>
        <v>1995.1</v>
      </c>
      <c r="V84" s="3">
        <f>1702.4+(570.5-304.7)+(0.868224+(0.290955-0.155397))+0-0-0</f>
        <v>1969.203782</v>
      </c>
      <c r="W84" s="3">
        <f>1686.9+(531.9-345.4)+(-0.860319+(-0.271269--0.176154))+0-0-0</f>
        <v>1872.4445660000001</v>
      </c>
      <c r="X84" s="3">
        <f>1691.4+(508.8-494.3)+(-1.725228+(-0.518976--0.504186))+0-0-0</f>
        <v>1704.1599820000001</v>
      </c>
      <c r="Y84" s="3">
        <f>1701.3+(443.9-572.4)+(-0.867663+(-0.226389--0.291924))+0-0-0</f>
        <v>1571.9978719999999</v>
      </c>
      <c r="Z84" s="3">
        <f>1724.7+(518.8-576.3)+(-1.759194+(-0.529176--0.587826))+0-0-0</f>
        <v>1665.499456</v>
      </c>
      <c r="AA84" s="3">
        <f>1734.7+(585.4-466.3)+(-0.884697+(-0.298554--0.237813))+0-0-0</f>
        <v>1852.854562</v>
      </c>
      <c r="AB84" s="3">
        <f>1728.2+(581.9-448.8)+(-0.881382+(-0.296769--0.228888))+0-0-0</f>
        <v>1860.350737</v>
      </c>
      <c r="AC84" s="3">
        <f>1718.9+(502.7-393.8)+(-0.876639+(-0.256377--0.200838))+0-0-0</f>
        <v>1826.8678220000002</v>
      </c>
      <c r="AD84">
        <f t="shared" si="1"/>
        <v>38311.048891999999</v>
      </c>
      <c r="AE84" s="3">
        <f>1728.6+(600.9-447.1)+(0+(0-0))+0-0-0</f>
        <v>1882.3999999999999</v>
      </c>
    </row>
    <row r="85" spans="1:31" s="2" customFormat="1" x14ac:dyDescent="0.25">
      <c r="A85">
        <v>89</v>
      </c>
      <c r="B85">
        <v>3</v>
      </c>
      <c r="C85">
        <v>23</v>
      </c>
      <c r="D85">
        <v>2</v>
      </c>
      <c r="E85">
        <v>1</v>
      </c>
      <c r="F85" s="3">
        <f>1695.4+(354.6-338.6)+(-0.864654+(-0.180846--0.172686))+0-0-0</f>
        <v>1710.527186</v>
      </c>
      <c r="G85" s="3">
        <f>1662.8+(251.4-343.6)+(-3.392112+(-0.512856--0.700944))+0-0-0</f>
        <v>1567.395976</v>
      </c>
      <c r="H85" s="3">
        <f>1479.8+(312.8-319.4)+(-2.264094+(-0.478584--0.488682))+0-0-0</f>
        <v>1470.9460040000001</v>
      </c>
      <c r="I85" s="3">
        <f>1271.1+(327.4-196.8)+(0+(0-0))+0-0-0</f>
        <v>1401.6999999999998</v>
      </c>
      <c r="J85" s="3">
        <f>1206+(320-178)+(0.61506+(0.1632-0.09078))+0-0-0</f>
        <v>1348.6874800000001</v>
      </c>
      <c r="K85" s="3">
        <f>1193.8+(317.4-282.8)+(-2.435352+(-0.647496--0.576912))+0-0-0</f>
        <v>1225.8940639999998</v>
      </c>
      <c r="L85" s="3">
        <f>1196.6+(231.9-309.8)+(1.830798+(0.354807-0.473994))+0-0-0</f>
        <v>1120.4116109999998</v>
      </c>
      <c r="M85" s="3">
        <f>1290.7+(210.5-299.5)+(0.658257+(0.107355-0.152745))+0-0-0</f>
        <v>1202.3128670000001</v>
      </c>
      <c r="N85" s="3">
        <f>1615+(277.6-520)+(-2.47095+(-0.424728--0.7956))+0-0-0</f>
        <v>1370.499922</v>
      </c>
      <c r="O85" s="3">
        <f>1694+(383.4-578.6)+(-1.72788+(-0.391068--0.590172))+0-0-0</f>
        <v>1497.2712239999998</v>
      </c>
      <c r="P85" s="3">
        <f>1696.6+(403.4-508.2)+(-0.865266+(-0.205734--0.259182))+0-0-0</f>
        <v>1590.9881820000001</v>
      </c>
      <c r="Q85" s="3">
        <f>1695.2+(446.9-446.1)+(0+(0-0))+0-0-0</f>
        <v>1696</v>
      </c>
      <c r="R85" s="3">
        <f>1693.7+(534.4-397.1)+(-1.727574+(-0.545088--0.405042))+0-0-0</f>
        <v>1829.13238</v>
      </c>
      <c r="S85" s="3">
        <f>1695.8+(544.3-305.6)+(-2.594574+(-0.832779--0.467568))+0-0-0</f>
        <v>1931.540215</v>
      </c>
      <c r="T85" s="3">
        <f>1687.6+(613.3-290.4)+(-0.860676+(-0.312783--0.148104))+0-0-0</f>
        <v>2009.474645</v>
      </c>
      <c r="U85" s="3">
        <f>1697.5+(609.2-299.9)+(0.865725+(0.310692-0.152949))+0-0-0</f>
        <v>2007.8234680000003</v>
      </c>
      <c r="V85" s="3">
        <f>1698.2+(577.2-313)+(-0.866082+(-0.294372--0.15963))+0-0-0</f>
        <v>1961.3991760000001</v>
      </c>
      <c r="W85" s="3">
        <f>1698.2+(547.9-393)+(-0.866082+(-0.279429--0.20043))+0-0-0</f>
        <v>1852.1549189999998</v>
      </c>
      <c r="X85" s="3">
        <f>1697.8+(418.4-418.2)+(-2.597634+(-0.640152--0.639846))+0-0-0</f>
        <v>1695.4020599999999</v>
      </c>
      <c r="Y85" s="3">
        <f>1700+(352.6-472.6)+(-1.734+(-0.359652--0.482052))+0-0-0</f>
        <v>1578.3884</v>
      </c>
      <c r="Z85" s="3">
        <f>1717.5+(369.5-401.6)+(-0.875925+(-0.188445--0.204816))+0-0-0</f>
        <v>1684.5404460000002</v>
      </c>
      <c r="AA85" s="3">
        <f>1728.4+(443.7-277.6)+(0+(0-0))+0-0-0</f>
        <v>1894.5</v>
      </c>
      <c r="AB85" s="3">
        <f>1725.7+(471.2-268.2)+(-0.880107+(-0.240312--0.136782))+0-0-0</f>
        <v>1927.716363</v>
      </c>
      <c r="AC85" s="3">
        <f>1716.7+(461.4-287.5)+(-2.626551+(-0.705942--0.439875))+0-0-0</f>
        <v>1887.7073819999998</v>
      </c>
      <c r="AD85">
        <f t="shared" si="1"/>
        <v>39462.413970000001</v>
      </c>
      <c r="AE85" s="3">
        <f>1728.9+(472.2-274.4)+(0+(0-0))+0-0-0</f>
        <v>1926.7</v>
      </c>
    </row>
    <row r="86" spans="1:31" s="2" customFormat="1" x14ac:dyDescent="0.25">
      <c r="A86">
        <v>89</v>
      </c>
      <c r="B86">
        <v>3</v>
      </c>
      <c r="C86">
        <v>24</v>
      </c>
      <c r="D86">
        <v>3</v>
      </c>
      <c r="E86">
        <v>1</v>
      </c>
      <c r="F86" s="3">
        <f>1705.1+(339.4-265.2)+(-1.739202+(-0.346188--0.270504))+0-0-0</f>
        <v>1777.4851140000001</v>
      </c>
      <c r="G86" s="3">
        <f>1647.6+(287.7-288.9)+(0+(0-0))+0-0-0</f>
        <v>1646.3999999999999</v>
      </c>
      <c r="H86" s="3">
        <f>1354.9+(360.6-180.5)+(-1.381998+(-0.367812--0.18411))+0-0-0</f>
        <v>1533.4342999999999</v>
      </c>
      <c r="I86" s="3">
        <f>1326.4+(349.6-218.6)+(1.352928+(0.356592-0.222972))+0-0-0</f>
        <v>1458.8865480000002</v>
      </c>
      <c r="J86" s="3">
        <f>1317.4+(327.2-252)+(-0.671874+(-0.166872--0.12852))+0-0-0</f>
        <v>1391.8897740000002</v>
      </c>
      <c r="K86" s="3">
        <f>1318+(245.7-295.7)+(-1.34436+(-0.250614--0.301614))+0-0-0</f>
        <v>1266.7066400000001</v>
      </c>
      <c r="L86" s="3">
        <f>1314.6+(139.4-305.7)+(0.670446+(0.071094-0.155907))+0-0-0</f>
        <v>1148.8856329999999</v>
      </c>
      <c r="M86" s="3">
        <f>1319.4+(166.6-252.4)+(0.672894+(0.084966-0.128724))+0-0-0</f>
        <v>1234.2291360000002</v>
      </c>
      <c r="N86" s="3">
        <f>1469.5+(217.1-297)+(-1.49889+(-0.221442--0.30294))+0-0-0</f>
        <v>1388.1826079999998</v>
      </c>
      <c r="O86" s="3">
        <f>1692.9+(281-450.2)+(0+(0-0))+0-0-0</f>
        <v>1523.7</v>
      </c>
      <c r="P86" s="3">
        <f>1690.6+(341.9-397.8)+(1.724412+(0.348738-0.405756))+0-0-0</f>
        <v>1636.3673939999999</v>
      </c>
      <c r="Q86" s="3">
        <f>1695.4+(370.1-376.1)+(0.864654+(0.188751-0.191811))+0-0-0</f>
        <v>1690.2615940000001</v>
      </c>
      <c r="R86" s="3">
        <f>1692.7+(471.1-263.7)+(0.863277+(0.240261-0.134487))+0-0-0</f>
        <v>1901.0690510000002</v>
      </c>
      <c r="S86" s="3">
        <f>1694.3+(552.5-197.9)+(-1.728186+(-0.56355--0.201858))+0-0-0</f>
        <v>2046.8101220000001</v>
      </c>
      <c r="T86" s="3">
        <f>1691.9+(578.8-156.5)+(1.725738+(0.590376-0.15963))+0-0-0</f>
        <v>2116.3564839999999</v>
      </c>
      <c r="U86" s="3">
        <f>1696.2+(585.4-174.8)+(3.460248+(1.194216-0.356592))+19.3-0-0</f>
        <v>2130.3978720000005</v>
      </c>
      <c r="V86" s="3">
        <f>1703.6+(578.9-207.9)+(-0.868836+(-0.295239--0.106029))+12.8-0-0</f>
        <v>2086.341954</v>
      </c>
      <c r="W86" s="3">
        <f>1706.2+(519.8-244.2)+(-1.740324+(-0.530196--0.249084))+0-0-0</f>
        <v>1979.778564</v>
      </c>
      <c r="X86" s="3">
        <f>1704.7+(423.7-330.1)+(-3.477588+(-0.864348--0.673404))+0-0-0</f>
        <v>1794.631468</v>
      </c>
      <c r="Y86" s="3">
        <f>1696.5+(365.9-397.9)+(0+(0-0))+0-0-0</f>
        <v>1664.5</v>
      </c>
      <c r="Z86" s="3">
        <f>1713.2+(379.1-328.3)+(0.873732+(0.193341-0.167433))+0-0-0</f>
        <v>1764.8996400000001</v>
      </c>
      <c r="AA86" s="3">
        <f>1730.4+(486.2-230.4)+(-0.882504+(-0.247962--0.117504))+0-0-0</f>
        <v>1985.187038</v>
      </c>
      <c r="AB86" s="3">
        <f>1730.4+(484.5-206.5)+(-2.647512+(-0.741285--0.315945))+0-0-0</f>
        <v>2005.3271480000001</v>
      </c>
      <c r="AC86" s="3">
        <f>1716.4+(481-220.5)+(-1.750728+(-0.49062--0.22491))+0-0-0</f>
        <v>1974.883562</v>
      </c>
      <c r="AD86">
        <f t="shared" si="1"/>
        <v>41146.611644000004</v>
      </c>
      <c r="AE86" s="3">
        <f>1724+(539.9-238.2)+(0+(0-0))+0-0-0</f>
        <v>2025.7</v>
      </c>
    </row>
    <row r="87" spans="1:31" s="2" customFormat="1" x14ac:dyDescent="0.25">
      <c r="A87">
        <v>89</v>
      </c>
      <c r="B87">
        <v>3</v>
      </c>
      <c r="C87">
        <v>25</v>
      </c>
      <c r="D87">
        <v>4</v>
      </c>
      <c r="E87">
        <v>1</v>
      </c>
      <c r="F87" s="3">
        <f>1694.2+(416.8-232.1)+(-2.592126+(-0.637704--0.355113))+0-0-0</f>
        <v>1876.0252830000002</v>
      </c>
      <c r="G87" s="3">
        <f>1413.2+(416.2-94.8)+(0+(0-0))+0-0-0</f>
        <v>1734.6</v>
      </c>
      <c r="H87" s="3">
        <f>1270.4+(424.3-73.9)+(-1.295808+(-0.432786--0.075378))+0-0-0</f>
        <v>1619.1467840000003</v>
      </c>
      <c r="I87" s="3">
        <f>1243.3+(356.5-58.6)+(-0.634083+(-0.181815--0.029886))+0-0-0</f>
        <v>1540.4139879999998</v>
      </c>
      <c r="J87" s="3">
        <f>1235.3+(318.8-95)+(-1.260006+(-0.325176--0.0969))+0-0-0</f>
        <v>1457.6117179999999</v>
      </c>
      <c r="K87" s="3">
        <f>1280+(261.4-207.9)+(-3.264+(-0.66657--0.530145))+0-0-0</f>
        <v>1330.099575</v>
      </c>
      <c r="L87" s="3">
        <f>1292.4+(183.4-285.1)+(-3.29562+(-0.46767--0.727005))+0-0-0</f>
        <v>1187.6637150000001</v>
      </c>
      <c r="M87" s="3">
        <f>1492.7+(159.8-379.5)+(1.522554+(0.162996-0.38709))+0-0-0</f>
        <v>1274.29846</v>
      </c>
      <c r="N87" s="3">
        <f>1684.9+(225.8-469.3)+(0.859299+(0.115158-0.239343))+0-0-0</f>
        <v>1442.1351140000002</v>
      </c>
      <c r="O87" s="3">
        <f>1684.2+(385.6-497.5)+(0.858942+(0.196656-0.253725))+0-0-0</f>
        <v>1573.1018730000001</v>
      </c>
      <c r="P87" s="3">
        <f>1677.7+(484.5-468.2)+(-0.855627+(-0.247095--0.238782))+0-0-0</f>
        <v>1693.13606</v>
      </c>
      <c r="Q87" s="3">
        <f>1682.8+(542.6-407.9)+(0+(0-0))+0-0-0</f>
        <v>1817.5</v>
      </c>
      <c r="R87" s="3">
        <f>1693.6+(599.4-310.6)+(-1.727472+(-0.611388--0.316812))+0-0-0</f>
        <v>1980.3779519999998</v>
      </c>
      <c r="S87" s="3">
        <f>1693.4+(674.7-210.9)+(-1.727268+(-0.688194--0.215118))+0-0-0</f>
        <v>2154.9996560000004</v>
      </c>
      <c r="T87" s="3">
        <f>1693+(690.5-196)+(0+(0-0))+0-0-0</f>
        <v>2187.5</v>
      </c>
      <c r="U87" s="3">
        <f>1690.5+(683.2-198.8)+(1.72431+(0.696864-0.202776))+0-0-0</f>
        <v>2177.1183980000001</v>
      </c>
      <c r="V87" s="3">
        <f>1690.1+(667.6-206)+(-1.723902+(-0.680952--0.21012))+0-0-0</f>
        <v>2149.5052659999997</v>
      </c>
      <c r="W87" s="3">
        <f>1682.5+(617.6-255.7)+(-2.574225+(-0.944928--0.391221))+0-0-0</f>
        <v>2041.272068</v>
      </c>
      <c r="X87" s="3">
        <f>1672.1+(535.2-347)+(-2.558313+(-0.818856--0.53091))+0-0-0</f>
        <v>1857.453741</v>
      </c>
      <c r="Y87" s="3">
        <f>1673.5+(467.7-412.1)+(-1.70697+(-0.477054--0.420342))+0-0-0</f>
        <v>1727.3363179999999</v>
      </c>
      <c r="Z87" s="3">
        <f>1704.2+(503-377.8)+(-0.869142+(-0.25653--0.192678))+0-0-0</f>
        <v>1828.4670060000001</v>
      </c>
      <c r="AA87" s="3">
        <f>1723+(619.6-288.8)+(-2.63619+(-0.947988--0.441864))+0-0-0</f>
        <v>2050.657686</v>
      </c>
      <c r="AB87" s="3">
        <f>1717.5+(659.9-290.7)+(-2.627775+(-1.009647--0.444771))+0-0-0</f>
        <v>2083.507349</v>
      </c>
      <c r="AC87" s="3">
        <f>1711.1+(612.6-271.2)+(-1.745322+(-0.624852--0.276624))+0-0-0</f>
        <v>2050.4064499999999</v>
      </c>
      <c r="AD87">
        <f t="shared" si="1"/>
        <v>42834.334459999998</v>
      </c>
      <c r="AE87" s="3">
        <f>1716+(688.6-286.7)+(0+(0-0))+0-0-0</f>
        <v>2117.9</v>
      </c>
    </row>
    <row r="88" spans="1:31" s="2" customFormat="1" x14ac:dyDescent="0.25">
      <c r="A88">
        <v>89</v>
      </c>
      <c r="B88">
        <v>3</v>
      </c>
      <c r="C88">
        <v>26</v>
      </c>
      <c r="D88">
        <v>5</v>
      </c>
      <c r="E88">
        <v>1</v>
      </c>
      <c r="F88" s="3">
        <f>1682+(519.2-241.8)+(-1.71564+(-0.529584--0.246636))+0-0-0</f>
        <v>1957.4014120000002</v>
      </c>
      <c r="G88" s="3">
        <f>1442.4+(495.7-157.2)+(-0.735624+(-0.252807--0.080172))+0-0-0</f>
        <v>1779.991741</v>
      </c>
      <c r="H88" s="3">
        <f>1338.6+(475.4-122.1)+(-1.365372+(-0.484908--0.124542))+0-0-0</f>
        <v>1690.1742619999998</v>
      </c>
      <c r="I88" s="3">
        <f>1220.3+(490-104.8)+(-1.867059+(-0.7497--0.160344))+0-0-0</f>
        <v>1603.0435849999999</v>
      </c>
      <c r="J88" s="3">
        <f>1127.3+(464.5-71.4)+(-0.574923+(-0.236895--0.036414))+0-0-0</f>
        <v>1519.6245960000001</v>
      </c>
      <c r="K88" s="3">
        <f>1131.4+(402-156.3)+(-2.88507+(-1.0251--0.398565))+0-0-0</f>
        <v>1373.5883950000002</v>
      </c>
      <c r="L88" s="3">
        <f>1133.2+(254.2-127.2)+(-0.577932+(-0.129642--0.064872))+0-0-0</f>
        <v>1259.5572979999999</v>
      </c>
      <c r="M88" s="3">
        <f>1238.8+(215.4-164)+(-0.631788+(-0.109854--0.08364))+0-0-0</f>
        <v>1289.5419980000001</v>
      </c>
      <c r="N88" s="3">
        <f>1623.9+(292.1-398.3)+(-1.656378+(-0.297942--0.406266))+0-0-0</f>
        <v>1516.151946</v>
      </c>
      <c r="O88" s="3">
        <f>1670.5+(393.9-423.4)+(-0.851955+(-0.200889--0.215934))+0-0-0</f>
        <v>1640.16309</v>
      </c>
      <c r="P88" s="3">
        <f>1669.3+(468.3-416.2)+(0+(0-0))+0-0-0</f>
        <v>1721.4</v>
      </c>
      <c r="Q88" s="3">
        <f>1675.8+(523.3-307.2)+(-1.709316+(-0.533766--0.313344))+0-0-0</f>
        <v>1889.9702619999998</v>
      </c>
      <c r="R88" s="3">
        <f>1674.9+(580.9-245.1)+(0+(0-0))+0-0-0</f>
        <v>2010.7</v>
      </c>
      <c r="S88" s="3">
        <f>1676.8+(667.5-143.3)+(0+(0-0))+0-0-0</f>
        <v>2201</v>
      </c>
      <c r="T88" s="3">
        <f>1677.8+(670.2-123)+(0+(0-0))+0-0-0</f>
        <v>2225</v>
      </c>
      <c r="U88" s="3">
        <f>1677.6+(693.8-175.4)+(-0.855576+(-0.353838--0.089454))+0-0-0</f>
        <v>2194.88004</v>
      </c>
      <c r="V88" s="3">
        <f>1677.2+(679.3-186)+(1.710744+(0.692886-0.18972))+0-0-0</f>
        <v>2172.7139099999999</v>
      </c>
      <c r="W88" s="3">
        <f>1694+(619.4-270.9)+(-4.3197+(-1.57947--0.690795))+0-0-0</f>
        <v>2037.2916250000001</v>
      </c>
      <c r="X88" s="3">
        <f>1693.8+(532-396.8)+(-4.31919+(-1.3566--1.01184))+0-0-0</f>
        <v>1824.3360499999999</v>
      </c>
      <c r="Y88" s="3">
        <f>1688.7+(463.1-439.2)+(-1.722474+(-0.472362--0.447984))+0-0-0</f>
        <v>1710.8531480000001</v>
      </c>
      <c r="Z88" s="3">
        <f>1706.1+(480.2-366.8)+(0+(0-0))+0-0-0</f>
        <v>1819.5</v>
      </c>
      <c r="AA88" s="3">
        <f>1709+(604.9-267.5)+(-2.61477+(-0.925497--0.409275))+0-0-0</f>
        <v>2043.269008</v>
      </c>
      <c r="AB88" s="3">
        <f>1705.4+(617.4-251.8)+(-0.869754+(-0.314874--0.128418))+0-0-0</f>
        <v>2069.9437899999998</v>
      </c>
      <c r="AC88" s="3">
        <f>1701.4+(615.6-256.3)+(-0.867714+(-0.313956--0.130713))+0-0-0</f>
        <v>2059.6490430000003</v>
      </c>
      <c r="AD88">
        <f t="shared" si="1"/>
        <v>43609.745198999997</v>
      </c>
      <c r="AE88" s="3">
        <f>1709.7+(627.7-262)+(0+(0-0))+0-0-0</f>
        <v>2075.4</v>
      </c>
    </row>
    <row r="89" spans="1:31" s="2" customFormat="1" x14ac:dyDescent="0.25">
      <c r="A89">
        <v>89</v>
      </c>
      <c r="B89">
        <v>3</v>
      </c>
      <c r="C89">
        <v>27</v>
      </c>
      <c r="D89">
        <v>6</v>
      </c>
      <c r="E89">
        <v>1</v>
      </c>
      <c r="F89" s="3">
        <f>1655+(543.4-218.1)+(-1.6881+(-0.554268--0.222462))+0-0-0</f>
        <v>1978.280094</v>
      </c>
      <c r="G89" s="3">
        <f>1407.4+(548-117.2)+(0+(0-0))+0-0-0</f>
        <v>1838.2</v>
      </c>
      <c r="H89" s="3">
        <f>1305.1+(565.9-125)+(-1.996803+(-0.865827--0.19125))+0-0-0</f>
        <v>1743.32862</v>
      </c>
      <c r="I89" s="3">
        <f>1433.7+(486-253.9)+(-1.462374+(-0.49572--0.258978))+0-0-0</f>
        <v>1664.100884</v>
      </c>
      <c r="J89" s="3">
        <f>1520.1+(412.1-351.3)+(-1.550502+(-0.420342--0.358326))+0-0-0</f>
        <v>1579.287482</v>
      </c>
      <c r="K89" s="3">
        <f>1527.8+(326.2-425.7)+(-3.89589+(-0.83181--1.085535))+0-0-0</f>
        <v>1424.657835</v>
      </c>
      <c r="L89" s="3">
        <f>1528.2+(205.4-454.5)+(-3.89691+(-0.52377--1.158975))+0-0-0</f>
        <v>1275.8382950000002</v>
      </c>
      <c r="M89" s="3">
        <f>1614.4+(193.2-463.4)+(2.470032+(0.295596-0.709002))+0-0-0</f>
        <v>1346.2566260000001</v>
      </c>
      <c r="N89" s="3">
        <f>1944.9+(281.8-703)+(0+(0-0))+0-0-0</f>
        <v>1523.7</v>
      </c>
      <c r="O89" s="3">
        <f>2034.5+(270.6-638.8)+(3.112785+(0.414018-0.977364))+0-0-0</f>
        <v>1668.8494390000001</v>
      </c>
      <c r="P89" s="3">
        <f>2082+(304.1-601)+(0+(0-0))+0-0-0</f>
        <v>1785.1</v>
      </c>
      <c r="Q89" s="3">
        <f>2081.2+(351.6-545.4)+(2.122824+(0.358632-0.556308))+0-0-0</f>
        <v>1889.3251479999999</v>
      </c>
      <c r="R89" s="3">
        <f>2076.4+(438.3-498)+(0+(0-0))+0-0-0</f>
        <v>2016.7</v>
      </c>
      <c r="S89" s="3">
        <f>2076.2+(579.7-481.2)+(0+(0-0))+0-0-0</f>
        <v>2174.6999999999998</v>
      </c>
      <c r="T89" s="3">
        <f>2129.1+(574.5-459.6)+(0+(0-0))+0-0-0</f>
        <v>2244</v>
      </c>
      <c r="U89" s="3">
        <f>2140.1+(548.7-520.5)+(-2.182902+(-0.559674--0.53091))+0-0-0</f>
        <v>2166.088334</v>
      </c>
      <c r="V89" s="3">
        <f>2140.1+(521-551.4)+(0+(0-0))+0-0-0</f>
        <v>2109.6999999999998</v>
      </c>
      <c r="W89" s="3">
        <f>2140.4+(457.9-640)+(-5.45802+(-1.167645--1.632))+0-0-0</f>
        <v>1953.3063350000002</v>
      </c>
      <c r="X89" s="3">
        <f>2113+(375.6-834.2)+(-4.31052+(-0.766224--1.701768))+0-0-0</f>
        <v>1651.025024</v>
      </c>
      <c r="Y89" s="3">
        <f>2221.7+(270.6-865.4)+(-1.133067+(-0.138006--0.441354))+0-0-0</f>
        <v>1626.0702809999998</v>
      </c>
      <c r="Z89" s="3">
        <f>2237.6+(409.7-851.8)+(-1.141176+(-0.208947--0.434418))+0-0-0</f>
        <v>1794.5842950000001</v>
      </c>
      <c r="AA89" s="3">
        <f>2255.7+(493-827)+(-5.752035+(-1.25715--2.10885))+0-0-0</f>
        <v>1916.7996649999998</v>
      </c>
      <c r="AB89" s="3">
        <f>2200.9+(497.4-688.2)+(-1.122459+(-0.253674--0.350982))+0-0-0</f>
        <v>2009.0748489999999</v>
      </c>
      <c r="AC89" s="3">
        <f>2089.6+(471.9-605.9)+(-4.262784+(-0.962676--1.236036))+0-0-0</f>
        <v>1951.6105759999998</v>
      </c>
      <c r="AD89">
        <f t="shared" si="1"/>
        <v>43330.583782000002</v>
      </c>
      <c r="AE89" s="3">
        <f>2273+(585.4-772)+(0+(0-0))+0-0-0</f>
        <v>2086.4</v>
      </c>
    </row>
    <row r="90" spans="1:31" s="2" customFormat="1" x14ac:dyDescent="0.25">
      <c r="A90">
        <v>89</v>
      </c>
      <c r="B90">
        <v>3</v>
      </c>
      <c r="C90">
        <v>28</v>
      </c>
      <c r="D90">
        <v>7</v>
      </c>
      <c r="E90">
        <v>1</v>
      </c>
      <c r="F90" s="3">
        <f>1948.7+(387.3-424.6)+(-2.981511+(-0.592569--0.649638))+0-0-0</f>
        <v>1908.4755580000001</v>
      </c>
      <c r="G90" s="3">
        <f>1645.8+(415.3-194)+(-1.678716+(-0.423606--0.19788))+0-0-0</f>
        <v>1865.1955579999999</v>
      </c>
      <c r="H90" s="3">
        <f>1455.2+(391-146.6)+(-2.226456+(-0.59823--0.224298))+0-0-0</f>
        <v>1696.9996120000001</v>
      </c>
      <c r="I90" s="3">
        <f>1380.4+(417-178.8)+(-2.112012+(-0.63801--0.273564))+0-0-0</f>
        <v>1616.123542</v>
      </c>
      <c r="J90" s="3">
        <f>1282.9+(421.7-146.8)+(-1.962837+(-0.645201--0.224604))+0-0-0</f>
        <v>1555.4165660000001</v>
      </c>
      <c r="K90" s="3">
        <f>1342.4+(284.1-216.5)+(-2.053872+(-0.434673--0.331245))+0-0-0</f>
        <v>1407.8426999999999</v>
      </c>
      <c r="L90" s="3">
        <f>1531.1+(147.7-431.6)+(0+(0-0))+0-0-0</f>
        <v>1247.1999999999998</v>
      </c>
      <c r="M90" s="3">
        <f>1621.4+(120.1-514.2)+(0+(0-0))+0-0-0</f>
        <v>1227.3000000000002</v>
      </c>
      <c r="N90" s="3">
        <f>1724.3+(208.6-651.2)+(-3.517572+(-0.425544--1.328448))+0-0-0</f>
        <v>1279.0853319999999</v>
      </c>
      <c r="O90" s="3">
        <f>1961.1+(266.6-717.2)+(-3.000483+(-0.407898--1.097316))+0-0-0</f>
        <v>1508.1889349999999</v>
      </c>
      <c r="P90" s="3">
        <f>2056.3+(240.7-813.2)+(0+(0-0))+0-0-0</f>
        <v>1483.8000000000002</v>
      </c>
      <c r="Q90" s="3">
        <f>2096.1+(289-818.5)+(0+(0-0))+0-0-0</f>
        <v>1566.6</v>
      </c>
      <c r="R90" s="3">
        <f>2147.4+(340.6-769.6)+(-1.095174+(-0.173706--0.392496))+0-0-0</f>
        <v>1717.5236160000002</v>
      </c>
      <c r="S90" s="3">
        <f>2178.8+(352.9-732.2)+(-1.111188+(-0.179979--0.373422))+0-0-0</f>
        <v>1798.582255</v>
      </c>
      <c r="T90" s="3">
        <f>2193.5+(415.9-735.2)+(-1.118685+(-0.212109--0.374952))+0-0-0</f>
        <v>1873.2441579999997</v>
      </c>
      <c r="U90" s="3">
        <f>2212.4+(401.3-742)+(-2.256648+(-0.409326--0.75684))+0-0-0</f>
        <v>1869.7908660000001</v>
      </c>
      <c r="V90" s="3">
        <f>2085.7+(405.2-750.3)+(-1.063707+(-0.206652--0.382653))+0-0-0</f>
        <v>1739.7122939999999</v>
      </c>
      <c r="W90" s="3">
        <f>2091.9+(408.4-822.5)+(-3.200607+(-0.624852--1.258425))+0-0-0</f>
        <v>1675.2329660000003</v>
      </c>
      <c r="X90" s="3">
        <f>2078.1+(323.8-859.7)+(-5.299155+(-0.82569--2.192235))+0-0-0</f>
        <v>1538.2673899999998</v>
      </c>
      <c r="Y90" s="3">
        <f>2074.4+(271.1-868)+(-2.115888+(-0.276522--0.88536))+0-0-0</f>
        <v>1475.9929500000001</v>
      </c>
      <c r="Z90" s="3">
        <f>2098.6+(373.9-849.6)+(-1.070286+(-0.190689--0.433296))+0-0-0</f>
        <v>1622.0723209999999</v>
      </c>
      <c r="AA90" s="3">
        <f>2143.8+(439.9-749.6)+(-3.280014+(-0.673047--1.146888))+0-0-0</f>
        <v>1831.2938270000002</v>
      </c>
      <c r="AB90" s="3">
        <f>2132.3+(416.2-687.7)+(-2.174946+(-0.424524--0.701454))+0-0-0</f>
        <v>1858.9019840000001</v>
      </c>
      <c r="AC90" s="3">
        <f>2080+(381.6-585.9)+(-4.2432+(-0.778464--1.195236))+0-0-0</f>
        <v>1871.873572</v>
      </c>
      <c r="AD90">
        <f t="shared" si="1"/>
        <v>39234.716002000001</v>
      </c>
      <c r="AE90" s="3">
        <f>2143.8+(443.1-727.6)+(0+(0-0))+0-0-0</f>
        <v>1859.3000000000002</v>
      </c>
    </row>
    <row r="91" spans="1:31" s="2" customFormat="1" x14ac:dyDescent="0.25">
      <c r="A91">
        <v>89</v>
      </c>
      <c r="B91">
        <v>3</v>
      </c>
      <c r="C91">
        <v>29</v>
      </c>
      <c r="D91">
        <v>1</v>
      </c>
      <c r="E91">
        <v>1</v>
      </c>
      <c r="F91" s="3">
        <f>2026.5+(225.3-419.6)+(-2.06703+(-0.229806--0.427992))+0-0-0</f>
        <v>1830.331156</v>
      </c>
      <c r="G91" s="3">
        <f>1904.5+(196.9-373.7)+(-3.88518+(-0.401676--0.762348))+0-0-0</f>
        <v>1724.1754920000001</v>
      </c>
      <c r="H91" s="3">
        <f>1648.5+(216.7-243.5)+(-2.522205+(-0.331551--0.372555))+0-0-0</f>
        <v>1619.218799</v>
      </c>
      <c r="I91" s="3">
        <f>1606+(197.4-261.3)+(-4.91436+(-0.604044--0.799578))+0-0-0</f>
        <v>1537.3811739999999</v>
      </c>
      <c r="J91" s="3">
        <f>1584+(193.7-296.9)+(0+(0-0))+0-0-0</f>
        <v>1480.8</v>
      </c>
      <c r="K91" s="3">
        <f>1590+(167.8-406)+(-0.8109+(-0.085578--0.20706))+0-0-0</f>
        <v>1351.110582</v>
      </c>
      <c r="L91" s="3">
        <f>1572.7+(139.2-500.6)+(-0.802077+(-0.070992--0.255306))+0-0-0</f>
        <v>1210.682237</v>
      </c>
      <c r="M91" s="3">
        <f>1622.4+(160.6-487.2)+(-1.654848+(-0.163812--0.496944))+0-0-0</f>
        <v>1294.4782840000003</v>
      </c>
      <c r="N91" s="3">
        <f>1941.7+(309.4-794.6)+(0.990267+(0.157794-0.405246))+0-0-0</f>
        <v>1457.2428150000001</v>
      </c>
      <c r="O91" s="3">
        <f>2111.4+(356.7-887.9)+(1.076814+(0.181917-0.452829))+0-0-0</f>
        <v>1581.0059020000001</v>
      </c>
      <c r="P91" s="3">
        <f>2115.4+(429-851.1)+(-2.157708+(-0.43758--0.868122))+0-0-0</f>
        <v>1691.5728340000003</v>
      </c>
      <c r="Q91" s="3">
        <f>2110.7+(455.2-768.4)+(2.152914+(0.464304-0.783768))+0-0-0</f>
        <v>1799.3334499999999</v>
      </c>
      <c r="R91" s="3">
        <f>2107.4+(452.1-626.4)+(-2.149548+(-0.461142--0.638928))+0-0-0</f>
        <v>1931.1282380000002</v>
      </c>
      <c r="S91" s="3">
        <f>2104.4+(497.9-557.2)+(0+(0-0))+0-0-0</f>
        <v>2045.1</v>
      </c>
      <c r="T91" s="3">
        <f>2091.5+(510.7-522.1)+(-1.066665+(-0.260457--0.266271))+0-0-0</f>
        <v>2079.0391489999997</v>
      </c>
      <c r="U91" s="3">
        <f>2077.2+(495.8-584.5)+(-2.118744+(-0.505716--0.59619))+0-0-0</f>
        <v>1986.4717299999998</v>
      </c>
      <c r="V91" s="3">
        <f>2019.2+(519-669.2)+(1.029792+(0.26469-0.341292))+0-0-0</f>
        <v>1869.9531899999999</v>
      </c>
      <c r="W91" s="3">
        <f>2217.1+(504.6-905.9)+(-4.522884+(-1.029384--1.848036))+0-0-0</f>
        <v>1812.0957679999999</v>
      </c>
      <c r="X91" s="3">
        <f>2204.4+(506.7-998.3)+(-6.745464+(-1.550502--3.054798))+0-0-0</f>
        <v>1707.5588320000002</v>
      </c>
      <c r="Y91" s="3">
        <f>2207.1+(442.8-995.7)+(-1.125621+(-0.225828--0.507807))+0-0-0</f>
        <v>1653.3563579999998</v>
      </c>
      <c r="Z91" s="3">
        <f>2215.4+(467.9-889)+(0+(0-0))+0-0-0</f>
        <v>1794.3000000000002</v>
      </c>
      <c r="AA91" s="3">
        <f>2261.5+(426-674.1)+(0+(0-0))+0-0-0</f>
        <v>2013.4</v>
      </c>
      <c r="AB91" s="3">
        <f>2223.1+(478.5-643.6)+(-3.401343+(-0.732105--0.984708))+0-0-0</f>
        <v>2054.8512599999999</v>
      </c>
      <c r="AC91" s="3">
        <f>2219.1+(437.5-613.5)+(-2.263482+(-0.44625--0.62577))+0-0-0</f>
        <v>2041.016038</v>
      </c>
      <c r="AD91">
        <f t="shared" si="1"/>
        <v>41565.603288000006</v>
      </c>
      <c r="AE91" s="3">
        <f>2281.8+(452.2-663.6)+(0+(0-0))+0-0-0</f>
        <v>2070.4</v>
      </c>
    </row>
    <row r="92" spans="1:31" s="2" customFormat="1" x14ac:dyDescent="0.25">
      <c r="A92">
        <v>89</v>
      </c>
      <c r="B92">
        <v>3</v>
      </c>
      <c r="C92">
        <v>30</v>
      </c>
      <c r="D92">
        <v>2</v>
      </c>
      <c r="E92">
        <v>1</v>
      </c>
      <c r="F92" s="3">
        <f>2208.4+(345.1-592.1)+(-4.505136+(-0.704004--1.207884))+0-0-0</f>
        <v>1957.3987440000001</v>
      </c>
      <c r="G92" s="3">
        <f>1932.3+(318.7-431.2)+(-0.985473+(-0.162537--0.219912))+0-0-0</f>
        <v>1818.8719019999999</v>
      </c>
      <c r="H92" s="3">
        <f>1511.1+(408.9-207.1)+(0.770661+(0.208539-0.105621))+0-0-0</f>
        <v>1713.7735789999999</v>
      </c>
      <c r="I92" s="3">
        <f>1511.1+(372-230.6)+(-2.311983+(-0.56916--0.352818))+0-0-0</f>
        <v>1649.971675</v>
      </c>
      <c r="J92" s="3">
        <f>1492.2+(352.5-269.8)+(-2.283066+(-0.539325--0.412794))+0-0-0</f>
        <v>1572.490403</v>
      </c>
      <c r="K92" s="3">
        <f>1492.2+(262.5-318.2)+(-3.044088+(-0.5355--0.649128))+0-0-0</f>
        <v>1433.56954</v>
      </c>
      <c r="L92" s="3">
        <f>1481.6+(170.6-366.5)+(0.755616+(0.087006-0.186915))+0-0-0</f>
        <v>1286.3557069999997</v>
      </c>
      <c r="M92" s="3">
        <f>1708.9+(147.2-469.8)+(0+(0-0))+0-0-0</f>
        <v>1386.3000000000002</v>
      </c>
      <c r="N92" s="3">
        <f>1987.8+(337.2-718.2)+(2.027556+(0.343944-0.732564))+0-0-0</f>
        <v>1608.438936</v>
      </c>
      <c r="O92" s="3">
        <f>2159.8+(407-928.4)+(2.202996+(0.41514-0.946968))+0-0-0</f>
        <v>1640.0711680000002</v>
      </c>
      <c r="P92" s="3">
        <f>2213.2+(437.5-887.9)+(1.128732+(0.223125-0.452829))+0-0-0</f>
        <v>1763.6990279999998</v>
      </c>
      <c r="Q92" s="3">
        <f>2216.8+(438.6-805.2)+(1.130568+(0.223686-0.410652))+0-0-0</f>
        <v>1851.1436020000003</v>
      </c>
      <c r="R92" s="3">
        <f>2233.5+(467.3-753.1)+(1.139085+(0.238323-0.384081))+0-0-0</f>
        <v>1948.693327</v>
      </c>
      <c r="S92" s="3">
        <f>2247.5+(473.6-680.5)+(0+(0-0))+0-0-0</f>
        <v>2040.6</v>
      </c>
      <c r="T92" s="3">
        <f>2217.2+(497-655.8)+(1.130772+(0.25347-0.334458))+0-0-0</f>
        <v>2059.4497839999995</v>
      </c>
      <c r="U92" s="3">
        <f>2207.8+(499.7-671.9)+(-2.251956+(-0.509694--0.685338))+0-0-0</f>
        <v>2033.5236880000002</v>
      </c>
      <c r="V92" s="3">
        <f>2207.2+(486.3-734.2)+(-2.251344+(-0.496026--0.748884))+0-0-0</f>
        <v>1957.3015139999998</v>
      </c>
      <c r="W92" s="3">
        <f>2207+(486.3-852.6)+(-2.25114+(-0.496026--0.869652))+0-0-0</f>
        <v>1838.822486</v>
      </c>
      <c r="X92" s="3">
        <f>2119.6+(470.5-867)+(-3.242988+(-0.719865--1.32651))+0-0-0</f>
        <v>1720.463657</v>
      </c>
      <c r="Y92" s="3">
        <f>1779.2+(503.5-629.2)+(-0.907392+(-0.256785--0.320892))+0-0-0</f>
        <v>1652.6567150000001</v>
      </c>
      <c r="Z92" s="3">
        <f>1832.3+(509.7-579.8)+(0+(0-0))+0-0-0</f>
        <v>1762.2</v>
      </c>
      <c r="AA92" s="3">
        <f>1847.6+(562.9-511.2)+(-1.884552+(-0.574158--0.521424))+0-0-0</f>
        <v>1897.3627139999999</v>
      </c>
      <c r="AB92" s="3">
        <f>1841.8+(563.2-511.9)+(-0.939318+(-0.287232--0.261069))+0-0-0</f>
        <v>1892.134519</v>
      </c>
      <c r="AC92" s="3">
        <f>1839.7+(504.3-459.5)+(0+(0-0))+0-0-0</f>
        <v>1884.5</v>
      </c>
      <c r="AD92">
        <f t="shared" si="1"/>
        <v>42369.792687999994</v>
      </c>
      <c r="AE92" s="3">
        <f>1848.8+(591.6-496)+(0+(0-0))+0-0-0</f>
        <v>1944.4</v>
      </c>
    </row>
    <row r="93" spans="1:31" s="2" customFormat="1" x14ac:dyDescent="0.25">
      <c r="A93">
        <v>89</v>
      </c>
      <c r="B93">
        <v>3</v>
      </c>
      <c r="C93">
        <v>31</v>
      </c>
      <c r="D93">
        <v>3</v>
      </c>
      <c r="E93">
        <v>1</v>
      </c>
      <c r="F93" s="3">
        <f>1831.6+(381.1-405.7)+(-0.934116+(-0.194361--0.206907))+0-0-0</f>
        <v>1806.07843</v>
      </c>
      <c r="G93" s="3">
        <f>1681.8+(390.4-382.2)+(0.857718+(0.199104-0.194922))+0-0-0</f>
        <v>1690.8619000000001</v>
      </c>
      <c r="H93" s="3">
        <f>1319.4+(447.7-166.6)+(0.672894+(0.228327-0.084966))+0-0-0</f>
        <v>1601.316255</v>
      </c>
      <c r="I93" s="3">
        <f>1265.2+(430.5-157.8)+(1.290504+(0.43911-0.160956))+0-0-0</f>
        <v>1539.468658</v>
      </c>
      <c r="J93" s="3">
        <f>1268.4+(386.4-218.5)+(2.587536+(0.788256-0.44574))+0-0-0</f>
        <v>1439.2300520000001</v>
      </c>
      <c r="K93" s="3">
        <f>1306.6+(381.7-292)+(0+(0-0))+0-0-0</f>
        <v>1396.3</v>
      </c>
      <c r="L93" s="3">
        <f>1482.9+(260-410.3)+(-0.756279+(-0.1326--0.209253))+0-0-0</f>
        <v>1331.920374</v>
      </c>
      <c r="M93" s="3">
        <f>1572.8+(188.8-474.7)+(0+(0-0))+0-0-0</f>
        <v>1286.9000000000001</v>
      </c>
      <c r="N93" s="3">
        <f>1810.6+(324.4-697.4)+(1.846812+(0.330888-0.711348))+0-0-0</f>
        <v>1439.0663519999998</v>
      </c>
      <c r="O93" s="3">
        <f>2234.9+(327.9-970)+(2.279598+(0.334458-0.9894))+0-0-0</f>
        <v>1594.4246560000001</v>
      </c>
      <c r="P93" s="3">
        <f>2236.8+(286.8-819.2)+(0+(0-0))+0-0-0</f>
        <v>1704.4</v>
      </c>
      <c r="Q93" s="3">
        <f>2247.5+(341.6-752)+(0+(0-0))+0-0-0</f>
        <v>1837.1</v>
      </c>
      <c r="R93" s="3">
        <f>2246.1+(410.8-658.1)+(1.145511+(0.209508-0.335631))+0-0-0</f>
        <v>1999.8193879999999</v>
      </c>
      <c r="S93" s="3">
        <f>2243.8+(500.6-575.2)+(0+(0-0))+0-0-0</f>
        <v>2169.2000000000003</v>
      </c>
      <c r="T93" s="3">
        <f>2219.9+(519.9-489.5)+(1.132149+(0.265149-0.249645))+0-0-0</f>
        <v>2251.4476530000002</v>
      </c>
      <c r="U93" s="3">
        <f>2203.2+(506.5-469.2)+(-1.123632+(-0.258315--0.239292))+0-0-0</f>
        <v>2239.3573449999999</v>
      </c>
      <c r="V93" s="3">
        <f>2207.6+(542.8-551.6)+(2.251752+(0.553656-0.562632))+0-0-0</f>
        <v>2201.0427759999998</v>
      </c>
      <c r="W93" s="3">
        <f>2223.4+(513.9-646.5)+(1.133934+(0.262089-0.329715))+0-0-0</f>
        <v>2091.8663080000001</v>
      </c>
      <c r="X93" s="3">
        <f>2208.6+(481.7-789.6)+(0+(0-0))+0-0-0</f>
        <v>1900.6999999999998</v>
      </c>
      <c r="Y93" s="3">
        <f>2152+(426.6-803.9)+(2.19504+(0.435132-0.819978))+0-0-0</f>
        <v>1776.510194</v>
      </c>
      <c r="Z93" s="3">
        <f>2238.2+(454.6-800.6)+(0+(0-0))+0-0-0</f>
        <v>1892.1999999999998</v>
      </c>
      <c r="AA93" s="3">
        <f>2277.6+(459.1-623.3)+(-1.161576+(-0.234141--0.317883))+0-0-0</f>
        <v>2112.3221659999999</v>
      </c>
      <c r="AB93" s="3">
        <f>2272.2+(440.5-576.9)+(0+(0-0))+0-0-0</f>
        <v>2135.7999999999997</v>
      </c>
      <c r="AC93" s="3">
        <f>2265.5+(443.1-572.8)+(-3.466215+(-0.677943--0.876384))+0-0-0</f>
        <v>2132.5322260000003</v>
      </c>
      <c r="AD93">
        <f t="shared" si="1"/>
        <v>43569.864733000002</v>
      </c>
      <c r="AE93" s="3">
        <f>2273+(429.8-611.3)+(0+(0-0))+0-0-0</f>
        <v>2091.5</v>
      </c>
    </row>
    <row r="94" spans="1:31" s="2" customFormat="1" x14ac:dyDescent="0.25">
      <c r="A94">
        <v>89</v>
      </c>
      <c r="B94">
        <v>4</v>
      </c>
      <c r="C94">
        <v>1</v>
      </c>
      <c r="D94">
        <v>4</v>
      </c>
      <c r="E94">
        <v>1</v>
      </c>
      <c r="F94" s="3">
        <f>2257.3+(371.6-575.6)+(-5.756115+(-0.94758--1.46778))+0-0-0</f>
        <v>2048.064085</v>
      </c>
      <c r="G94" s="3">
        <f>1941.3+(333.3-357.3)+(-2.970189+(-0.509949--0.546669))+0-0-0</f>
        <v>1914.3665309999999</v>
      </c>
      <c r="H94" s="3">
        <f>1636.2+(374.2-198.5)+(-3.337848+(-0.763368--0.40494))+0-0-0</f>
        <v>1808.2037240000002</v>
      </c>
      <c r="I94" s="3">
        <f>1489.3+(373.6-147)+(-2.278629+(-0.571608--0.22491))+0-0-0</f>
        <v>1713.2746730000001</v>
      </c>
      <c r="J94" s="3">
        <f>1488.8+(363.1-225.2)+(-0.759288+(-0.185181--0.114852))+0-0-0</f>
        <v>1625.8703829999999</v>
      </c>
      <c r="K94" s="3">
        <f>1489.3+(279.8-295)+(-3.038172+(-0.570792--0.6018))+0-0-0</f>
        <v>1471.0928359999998</v>
      </c>
      <c r="L94" s="3">
        <f>1485.7+(211.7-371.3)+(0.757707+(0.107967-0.189363))+0-0-0</f>
        <v>1326.7763109999999</v>
      </c>
      <c r="M94" s="3">
        <f>1563.6+(192.5-381.3)+(1.594872+(0.19635-0.388926))+0-0-0</f>
        <v>1376.2022959999999</v>
      </c>
      <c r="N94" s="3">
        <f>1997+(183.7-653.4)+(-1.01847+(-0.093687--0.333234))+0-0-0</f>
        <v>1526.5210769999999</v>
      </c>
      <c r="O94" s="3">
        <f>2338.9+(218.8-909.8)+(2.385678+(0.223176-0.927996))+0-0-0</f>
        <v>1649.580858</v>
      </c>
      <c r="P94" s="3">
        <f>2284.1+(373.7-895.9)+(1.164891+(0.190587-0.456909))+0-0-0</f>
        <v>1762.7985689999998</v>
      </c>
      <c r="Q94" s="3">
        <f>2239+(404.7-818)+(0+(0-0))+0-0-0</f>
        <v>1825.7</v>
      </c>
      <c r="R94" s="3">
        <f>2229.5+(403-722)+(-1.137045+(-0.20553--0.36822))+0-0-0</f>
        <v>1909.5256449999999</v>
      </c>
      <c r="S94" s="3">
        <f>2227.8+(452.8-747.4)+(-2.272356+(-0.461856--0.762348))+0-0-0</f>
        <v>1931.2281360000002</v>
      </c>
      <c r="T94" s="3">
        <f>2235.5+(444-874.1)+(1.140105+(0.22644-0.445791))+0-0-0</f>
        <v>1806.3207540000001</v>
      </c>
      <c r="U94" s="3">
        <f>2239.9+(413-996.6)+(3.427047+(0.63189-1.524798))+0-0-0</f>
        <v>1658.8341390000003</v>
      </c>
      <c r="V94" s="3">
        <f>2234.9+(385.5-1168.3)+(-2.279598+(-0.39321--1.191666))+0-0-0</f>
        <v>1450.618858</v>
      </c>
      <c r="W94" s="3">
        <f>2236+(314.6-1209.2)+(-2.28072+(-0.320892--1.233384))+0-0-0</f>
        <v>1340.031772</v>
      </c>
      <c r="X94" s="3">
        <f>2236.4+(153.5-1124.7)+(-3.421692+(-0.234855--1.720791))+0-0-0</f>
        <v>1263.264244</v>
      </c>
      <c r="Y94" s="3">
        <f>2237.5+(162.6-1092.5)+(1.141125+(0.082926-0.557175))+0-0-0</f>
        <v>1308.2668759999999</v>
      </c>
      <c r="Z94" s="3">
        <f>2264.1+(117.4-962.3)+(-3.464073+(-0.179622--1.472319))+0-0-0</f>
        <v>1417.0286239999998</v>
      </c>
      <c r="AA94" s="3">
        <f>2285.5+(108.7-827.9)+(-1.165605+(-0.055437--0.422229))+0-0-0</f>
        <v>1565.5011870000001</v>
      </c>
      <c r="AB94" s="3">
        <f>2285.6+(144.2-876.5)+(0+(0-0))+0-0-0</f>
        <v>1553.3</v>
      </c>
      <c r="AC94" s="3">
        <f>2268.3+(166.4-944)+(-1.156833+(-0.084864--0.48144))+0-0-0</f>
        <v>1489.9397430000004</v>
      </c>
      <c r="AD94">
        <f t="shared" si="1"/>
        <v>38742.311321000008</v>
      </c>
      <c r="AE94" s="3">
        <f>2295+(235-818.3)+(0+(0-0))+0-0-0</f>
        <v>1711.7</v>
      </c>
    </row>
    <row r="95" spans="1:31" s="2" customFormat="1" x14ac:dyDescent="0.25">
      <c r="A95">
        <v>89</v>
      </c>
      <c r="B95">
        <v>4</v>
      </c>
      <c r="C95">
        <v>2</v>
      </c>
      <c r="D95">
        <v>5</v>
      </c>
      <c r="E95">
        <v>1</v>
      </c>
      <c r="F95" s="3">
        <f>2218.6+(106.2-918.2)+(0+(0-0))+0-0-0</f>
        <v>1406.6</v>
      </c>
      <c r="G95" s="3">
        <f>1678.6+(113.7-523)+(-1.712172+(-0.115974--0.53346))+0-0-0</f>
        <v>1268.005314</v>
      </c>
      <c r="H95" s="3">
        <f>1501.9+(149-459.4)+(0+(0-0))+0-0-0</f>
        <v>1191.5</v>
      </c>
      <c r="I95" s="3">
        <f>1501.8+(105.1-475)+(-1.531836+(-0.107202--0.4845))+0-0-0</f>
        <v>1130.7454620000001</v>
      </c>
      <c r="J95" s="3">
        <f>1504.4+(109.5-506.9)+(-0.767244+(-0.055845--0.258519))+0-0-0</f>
        <v>1106.43543</v>
      </c>
      <c r="K95" s="3">
        <f>1501.4+(99.1-573.7)+(-1.531428+(-0.101082--0.585174))+0-0-0</f>
        <v>1025.7526640000001</v>
      </c>
      <c r="L95" s="3">
        <f>1473+(87.4-626.4)+(-0.75123+(-0.044574--0.319464))+0-0-0</f>
        <v>933.52365999999995</v>
      </c>
      <c r="M95" s="3">
        <f>1620.8+(88-634.7)+(-0.826608+(-0.04488--0.323697))+0-0-0</f>
        <v>1073.5522089999999</v>
      </c>
      <c r="N95" s="3">
        <f>1826.2+(66.7-661.6)+(0+(0-0))+0-0-0</f>
        <v>1231.3000000000002</v>
      </c>
      <c r="O95" s="3">
        <f>2220.6+(53.3-776.9)+(-3.397518+(-0.081549--1.188657))+0-0-0</f>
        <v>1494.7095899999999</v>
      </c>
      <c r="P95" s="3">
        <f>2189.7+(60.3-751.4)+(1.116747+(0.030753-0.383214))+0-0-0</f>
        <v>1499.364286</v>
      </c>
      <c r="Q95" s="3">
        <f>1907.3+(96.9-439.8)+(-0.972723+(-0.049419--0.224298))+0-0-0</f>
        <v>1563.6021560000002</v>
      </c>
      <c r="R95" s="3">
        <f>1943.3+(130.6-384.5)+(0.991083+(0.066606-0.196095))+0-0-0</f>
        <v>1690.2615939999998</v>
      </c>
      <c r="S95" s="3">
        <f>2157.1+(105.4-462.5)+(-1.100121+(-0.053754--0.235875))+0-0-0</f>
        <v>1799.0820000000001</v>
      </c>
      <c r="T95" s="3">
        <f>2354.7+(170.6-642.9)+(2.401794+(0.174012-0.655758))+0-0-0</f>
        <v>1884.3200479999998</v>
      </c>
      <c r="U95" s="3">
        <f>2350.7+(197.6-658.1)+(1.198857+(0.100776-0.335631))+0-0-0</f>
        <v>1891.1640019999998</v>
      </c>
      <c r="V95" s="3">
        <f>2198.2+(227.8-568.7)+(0+(0-0))+0-0-0</f>
        <v>1857.2999999999997</v>
      </c>
      <c r="W95" s="3">
        <f>2212.7+(222.6-607.6)+(-1.128477+(-0.113526--0.309876))+0-0-0</f>
        <v>1826.7678729999998</v>
      </c>
      <c r="X95" s="3">
        <f>2148+(229.9-661.8)+(-3.28644+(-0.351747--1.012554))+0-0-0</f>
        <v>1713.4743669999998</v>
      </c>
      <c r="Y95" s="3">
        <f>2125.9+(213.1-717.8)+(-2.168418+(-0.217362--0.732156))+0-0-0</f>
        <v>1619.5463760000002</v>
      </c>
      <c r="Z95" s="3">
        <f>2215.8+(219.9-708.7)+(0+(0-0))+0-0-0</f>
        <v>1727</v>
      </c>
      <c r="AA95" s="3">
        <f>2267.3+(233.7-567.2)+(-3.468969+(-0.357561--0.867816))+0-0-0</f>
        <v>1930.8412860000001</v>
      </c>
      <c r="AB95" s="3">
        <f>2255.4+(264.9-556.5)+(-2.300508+(-0.270198--0.56763))+0-0-0</f>
        <v>1961.7969240000002</v>
      </c>
      <c r="AC95" s="3">
        <f>2241.2+(274.9-565.7)+(-1.143012+(-0.140199--0.288507))+0-0-0</f>
        <v>1949.4052959999997</v>
      </c>
      <c r="AD95">
        <f t="shared" si="1"/>
        <v>36776.050537000003</v>
      </c>
      <c r="AE95" s="3">
        <f>2271.8+(291-511.3)+(0+(0-0))+0-0-0</f>
        <v>2051.5</v>
      </c>
    </row>
    <row r="96" spans="1:31" s="2" customFormat="1" x14ac:dyDescent="0.25">
      <c r="A96">
        <v>89</v>
      </c>
      <c r="B96">
        <v>4</v>
      </c>
      <c r="C96">
        <v>3</v>
      </c>
      <c r="D96">
        <v>6</v>
      </c>
      <c r="E96">
        <v>1</v>
      </c>
      <c r="F96" s="3">
        <f>2217.4+(176.6-529.9)+(-4.523496+(-0.360264--1.080996))+0-0-0</f>
        <v>1860.2972360000001</v>
      </c>
      <c r="G96" s="3">
        <f>2060.6+(167.7-492.3)+(-5.25453+(-0.427635--1.255365))+0-0-0</f>
        <v>1731.5732</v>
      </c>
      <c r="H96" s="3">
        <f>1916.8+(168.7-454.6)+(-0.977568+(-0.086037--0.231846))+0-0-0</f>
        <v>1630.0682409999999</v>
      </c>
      <c r="I96" s="3">
        <f>1880.7+(153.6-481.9)+(-1.918314+(-0.156672--0.491538))+0-0-0</f>
        <v>1550.816552</v>
      </c>
      <c r="J96" s="3">
        <f>1881.2+(122.6-528.9)+(-0.959412+(-0.062526--0.269739))+0-0-0</f>
        <v>1474.1478010000001</v>
      </c>
      <c r="K96" s="3">
        <f>1845.9+(113.2-613.9)+(-2.824227+(-0.173196--0.939267))+0-0-0</f>
        <v>1343.141844</v>
      </c>
      <c r="L96" s="3">
        <f>1686.6+(91.6-580.2)+(0+(0-0))+0-0-0</f>
        <v>1198</v>
      </c>
      <c r="M96" s="3">
        <f>1732.1+(107.4-572.4)+(-0.883371+(-0.054774--0.291924))+0-0-0</f>
        <v>1266.4537789999999</v>
      </c>
      <c r="N96" s="3">
        <f>2020.8+(242.8-830.8)+(0+(0-0))+0-0-0</f>
        <v>1432.8</v>
      </c>
      <c r="O96" s="3">
        <f>2236.5+(224.4-883.3)+(1.140615+(0.114444-0.450483))+0-0-0</f>
        <v>1578.4045759999999</v>
      </c>
      <c r="P96" s="3">
        <f>2235.5+(231.5-777.7)+(2.28021+(0.23613-0.793254))+0-0-0</f>
        <v>1691.0230859999999</v>
      </c>
      <c r="Q96" s="3">
        <f>2243.4+(266.7-703.3)+(3.432402+(0.408051-1.076049))+0-0-0</f>
        <v>1809.5644040000002</v>
      </c>
      <c r="R96" s="3">
        <f>2234.6+(274.8-594)+(1.139646+(0.140148-0.30294))+0-0-0</f>
        <v>1916.3768539999999</v>
      </c>
      <c r="S96" s="3">
        <f>2217.3+(323.2-501.1)+(2.261646+(0.329664-0.511122))+0-0-0</f>
        <v>2041.480188</v>
      </c>
      <c r="T96" s="3">
        <f>2194.4+(351-408.1)+(-3.357432+(-0.53703--0.624393))+0-0-0</f>
        <v>2134.029931</v>
      </c>
      <c r="U96" s="3">
        <f>2151.1+(367.4-398.3)+(-1.097061+(-0.187374--0.203133))+0-0-0</f>
        <v>2119.1186979999998</v>
      </c>
      <c r="V96" s="3">
        <f>2104.9+(363-407.8)+(-4.293996+(-0.74052--0.831912))+0-0-0</f>
        <v>2055.8973959999998</v>
      </c>
      <c r="W96" s="3">
        <f>2107+(326.7-490.3)+(-4.29828+(-0.666468--1.000212))+0-0-0</f>
        <v>1939.4354640000001</v>
      </c>
      <c r="X96" s="3">
        <f>2105.9+(273.3-591.5)+(-3.222027+(-0.418149--0.904995))+0-0-0</f>
        <v>1784.964819</v>
      </c>
      <c r="Y96" s="3">
        <f>2100.7+(208-648.1)+(-1.071357+(-0.10608--0.330531))+0-0-0</f>
        <v>1659.7530939999999</v>
      </c>
      <c r="Z96" s="3">
        <f>2193.9+(232.2-658.1)+(-1.118889+(-0.118422--0.335631))+0-0-0</f>
        <v>1767.0983200000001</v>
      </c>
      <c r="AA96" s="3">
        <f>2260.4+(276.7-548.7)+(-4.611216+(-0.564468--1.119348))+0-0-0</f>
        <v>1984.343664</v>
      </c>
      <c r="AB96" s="3">
        <f>2257.3+(301.5-542.3)+(-1.151223+(-0.153765--0.276573))+0-0-0</f>
        <v>2015.4715850000002</v>
      </c>
      <c r="AC96" s="3">
        <f>2187.5+(324.4-500.8)+(1.115625+(0.165444-0.255408))+0-0-0</f>
        <v>2012.1256609999998</v>
      </c>
      <c r="AD96">
        <f t="shared" si="1"/>
        <v>41996.386392999993</v>
      </c>
      <c r="AE96" s="3">
        <f>2265+(314.5-539.9)+(0+(0-0))+0-0-0</f>
        <v>2039.6</v>
      </c>
    </row>
    <row r="97" spans="1:31" s="2" customFormat="1" x14ac:dyDescent="0.25">
      <c r="A97">
        <v>89</v>
      </c>
      <c r="B97">
        <v>4</v>
      </c>
      <c r="C97">
        <v>4</v>
      </c>
      <c r="D97">
        <v>7</v>
      </c>
      <c r="E97">
        <v>1</v>
      </c>
      <c r="F97" s="3">
        <f>2147+(212.1-394)+(1.09497+(0.108171-0.20094))+0-0-0</f>
        <v>1966.1022009999999</v>
      </c>
      <c r="G97" s="3">
        <f>1864.3+(221.7-244.6)+(-0.950793+(-0.113067--0.124746))+0-0-0</f>
        <v>1840.4608859999998</v>
      </c>
      <c r="H97" s="3">
        <f>1374.8+(384.9-26)+(-1.402296+(-0.392598--0.02652))+0-0-0</f>
        <v>1731.9316259999998</v>
      </c>
      <c r="I97" s="3">
        <f>1134.7+(513-0)+(0.578697+(0.26163-0))+0-0-0</f>
        <v>1648.5403269999999</v>
      </c>
      <c r="J97" s="3">
        <f>1051.1+(514.2-0)+(-1.072122+(-0.524484-0))+0-0-0</f>
        <v>1563.7033939999999</v>
      </c>
      <c r="K97" s="3">
        <f>1052.3+(378.9-3.9)+(-1.610019+(-0.579717--0.005967))+0-0-0</f>
        <v>1425.116231</v>
      </c>
      <c r="L97" s="3">
        <f>1035.3+(284.4-57.1)+(-1.056006+(-0.290088--0.058242))+0-0-0</f>
        <v>1261.312148</v>
      </c>
      <c r="M97" s="3">
        <f>1179.9+(210.1-171.7)+(-2.406996+(-0.428604--0.350268))+0-0-0</f>
        <v>1215.8146680000002</v>
      </c>
      <c r="N97" s="3">
        <f>1327.4+(273.7-356.9)+(-0.676974+(-0.139587--0.182019))+0-0-0</f>
        <v>1243.565458</v>
      </c>
      <c r="O97" s="3">
        <f>1399.4+(295.3-379.6)+(0.713694+(0.150603-0.193596))+0-0-0</f>
        <v>1315.7707010000001</v>
      </c>
      <c r="P97" s="3">
        <f>1682.5+(245.8-541.1)+(-4.290375+(-0.62679--1.379805))+0-0-0</f>
        <v>1383.66264</v>
      </c>
      <c r="Q97" s="3">
        <f>1594.6+(262.4-469)+(0.813246+(0.133824-0.23919))+0-0-0</f>
        <v>1388.7078799999999</v>
      </c>
      <c r="R97" s="3">
        <f>1553.3+(296.8-378.7)+(-0.792183+(-0.151368--0.193137))+0-0-0</f>
        <v>1470.649586</v>
      </c>
      <c r="S97" s="3">
        <f>1552.8+(332.5-352.1)+(0+(0-0))+0-0-0</f>
        <v>1533.1999999999998</v>
      </c>
      <c r="T97" s="3">
        <f>1585.6+(322.9-365.2)+(-2.425968+(-0.494037--0.558756))+0-0-0</f>
        <v>1540.9387509999999</v>
      </c>
      <c r="U97" s="3">
        <f>1584.5+(327-388.9)+(2.424285+(0.50031-0.595017))+0-0-0</f>
        <v>1524.929578</v>
      </c>
      <c r="V97" s="3">
        <f>1584.6+(320.8-411)+(-1.616292+(-0.327216--0.41922))+0-0-0</f>
        <v>1492.8757119999998</v>
      </c>
      <c r="W97" s="3">
        <f>1585.5+(296.5-442.5)+(-3.23442+(-0.60486--0.9027))+0-0-0</f>
        <v>1436.56342</v>
      </c>
      <c r="X97" s="3">
        <f>1588.5+(261.7-458.7)+(-0.810135+(-0.133467--0.233937))+0-0-0</f>
        <v>1390.7903349999999</v>
      </c>
      <c r="Y97" s="3">
        <f>1588.2+(269.3-490.1)+(-1.619964+(-0.274686--0.499902))+0-0-0</f>
        <v>1366.0052520000002</v>
      </c>
      <c r="Z97" s="3">
        <f>1623.2+(320.7-439.9)+(-1.655664+(-0.327114--0.448698))+0-0-0</f>
        <v>1502.4659200000001</v>
      </c>
      <c r="AA97" s="3">
        <f>1656.3+(354.9-323.6)+(-2.534139+(-0.542997--0.495108))+0-0-0</f>
        <v>1685.0179719999999</v>
      </c>
      <c r="AB97" s="3">
        <f>1655.3+(339.2-296.8)+(-1.688406+(-0.345984--0.302736))+0-0-0</f>
        <v>1695.9683459999999</v>
      </c>
      <c r="AC97" s="3">
        <f>1614.5+(354.3-286.8)+(-1.64679+(-0.361386--0.292536))+0-0-0</f>
        <v>1680.2843600000001</v>
      </c>
      <c r="AD97">
        <f t="shared" si="1"/>
        <v>36304.377391999995</v>
      </c>
      <c r="AE97" s="3">
        <f>1661.4+(395-308.4)+(0+(0-0))+0-0-0</f>
        <v>1748</v>
      </c>
    </row>
    <row r="98" spans="1:31" s="2" customFormat="1" x14ac:dyDescent="0.25">
      <c r="A98">
        <v>89</v>
      </c>
      <c r="B98">
        <v>4</v>
      </c>
      <c r="C98">
        <v>5</v>
      </c>
      <c r="D98">
        <v>1</v>
      </c>
      <c r="E98">
        <v>3</v>
      </c>
      <c r="F98" s="3">
        <f>1596.4+(252.5-192.3)+(-2.442492+(-0.386325--0.294219))+0-0-0</f>
        <v>1654.0654020000002</v>
      </c>
      <c r="G98" s="3">
        <f>1343.6+(254.6-64.6)+(-2.740944+(-0.519384--0.131784))+0-0-0</f>
        <v>1530.471456</v>
      </c>
      <c r="H98" s="3">
        <f>1135.9+(299.6-13.6)+(-0.579309+(-0.152796--0.006936))+0-0-0</f>
        <v>1421.174831</v>
      </c>
      <c r="I98" s="3">
        <f>1043.2+(312.7-4)+(-1.596096+(-0.478431--0.00612))+0-0-0</f>
        <v>1349.8315930000001</v>
      </c>
      <c r="J98" s="3">
        <f>1040.4+(284.6-37.3)+(-1.061208+(-0.290292--0.038046))+0-0-0</f>
        <v>1286.386546</v>
      </c>
      <c r="K98" s="3">
        <f>1041.6+(223-72.2)+(-3.718512+(-0.79611--0.257754))+0-0-0</f>
        <v>1188.1431319999999</v>
      </c>
      <c r="L98" s="3">
        <f>1041.8+(179.5-149.9)+(-1.062636+(-0.18309--0.152898))+0-0-0</f>
        <v>1070.3071719999998</v>
      </c>
      <c r="M98" s="3">
        <f>1158+(166.9-236)+(-2.36232+(-0.340476--0.48144))+0-0-0</f>
        <v>1086.6786440000001</v>
      </c>
      <c r="N98" s="3">
        <f>1305.7+(265.4-377.5)+(-1.331814+(-0.270708--0.38505))+0-0-0</f>
        <v>1192.3825279999999</v>
      </c>
      <c r="O98" s="3">
        <f>1516.4+(258.9-473.6)+(-1.546728+(-0.264078--0.483072))+0-0-0</f>
        <v>1300.3722660000001</v>
      </c>
      <c r="P98" s="3">
        <f>1611.9+(273.5-479.2)+(-2.466207+(-0.418455--0.733176))+0-0-0</f>
        <v>1404.0485140000001</v>
      </c>
      <c r="Q98" s="3">
        <f>1612.3+(288.5-407.5)+(-1.644546+(-0.29427--0.41565))+0-0-0</f>
        <v>1491.776834</v>
      </c>
      <c r="R98" s="3">
        <f>1593.9+(315-333.7)+(-1.625778+(-0.3213--0.340374))+0-0-0</f>
        <v>1573.593296</v>
      </c>
      <c r="S98" s="3">
        <f>1600.8+(343.3-257.1)+(-2.449224+(-0.525249--0.393363))+0-0-0</f>
        <v>1684.4188899999999</v>
      </c>
      <c r="T98" s="3">
        <f>1573.7+(385.4-191.9)+(0+(0-0))+0-0-0</f>
        <v>1767.2</v>
      </c>
      <c r="U98" s="3">
        <f>1605.6+(373.8-197)+(-0.818856+(-0.190638--0.10047))+0-0-0</f>
        <v>1781.4909759999998</v>
      </c>
      <c r="V98" s="3">
        <f>1731.1+(340.3-274.8)+(-4.414305+(-0.867765--0.70074))+0-0-0</f>
        <v>1792.0186699999999</v>
      </c>
      <c r="W98" s="3">
        <f>1724.1+(321.1-349.3)+(-2.637873+(-0.491283--0.534429))+0-0-0</f>
        <v>1693.3052729999999</v>
      </c>
      <c r="X98" s="3">
        <f>1723+(332.1-453.7)+(-2.63619+(-0.508113--0.694161))+0-0-0</f>
        <v>1598.9498580000002</v>
      </c>
      <c r="Y98" s="3">
        <f>1726.4+(343-549.7)+(0+(0-0))+0-0-0</f>
        <v>1519.7</v>
      </c>
      <c r="Z98" s="3">
        <f>1779.2+(339.9-506.5)+(0+(0-0))+0-0-0</f>
        <v>1612.6</v>
      </c>
      <c r="AA98" s="3">
        <f>1819+(354.4-353.5)+(-1.85538+(-0.361488--0.36057))+0-0-0</f>
        <v>1818.0437020000002</v>
      </c>
      <c r="AB98" s="3">
        <f>1818.5+(361.1-343.5)+(0+(0-0))+0-0-0</f>
        <v>1836.1</v>
      </c>
      <c r="AC98" s="3">
        <f>1817.1+(361.6-349.2)+(1.853442+(0.368832-0.356184))+0-0-0</f>
        <v>1831.36609</v>
      </c>
      <c r="AD98">
        <f t="shared" si="1"/>
        <v>36484.425673000005</v>
      </c>
      <c r="AE98" s="3">
        <f>1829+(393.4-343.2)+(0+(0-0))+0-0-0</f>
        <v>1879.2</v>
      </c>
    </row>
    <row r="99" spans="1:31" s="2" customFormat="1" x14ac:dyDescent="0.25">
      <c r="A99">
        <v>89</v>
      </c>
      <c r="B99">
        <v>4</v>
      </c>
      <c r="C99">
        <v>6</v>
      </c>
      <c r="D99">
        <v>2</v>
      </c>
      <c r="E99">
        <v>1</v>
      </c>
      <c r="F99" s="3">
        <f>1909.7+(238.4-355.2)+(0+(0-0))+0-0-0</f>
        <v>1792.9</v>
      </c>
      <c r="G99" s="3">
        <f>1674.6+(216.6-224.2)+(-2.562138+(-0.331398--0.343026))+0-0-0</f>
        <v>1664.44949</v>
      </c>
      <c r="H99" s="3">
        <f>1459.1+(248-154.4)+(-3.720705+(-0.6324--0.39372))+0-0-0</f>
        <v>1548.7406149999997</v>
      </c>
      <c r="I99" s="3">
        <f>1460.6+(218.1-221.9)+(-3.72453+(-0.556155--0.565845))+0-0-0</f>
        <v>1453.0851599999999</v>
      </c>
      <c r="J99" s="3">
        <f>1465.2+(202.3-285.7)+(-0.747252+(-0.103173--0.145707))+0-0-0</f>
        <v>1381.0952820000002</v>
      </c>
      <c r="K99" s="3">
        <f>1466.7+(170.2-372.2)+(-2.992068+(-0.347208--0.759288))+0-0-0</f>
        <v>1262.1200120000001</v>
      </c>
      <c r="L99" s="3">
        <f>1385.8+(133-377.9)+(-0.706758+(-0.06783--0.192729))+0-0-0</f>
        <v>1140.3181410000002</v>
      </c>
      <c r="M99" s="3">
        <f>1534.8+(148.1-436.4)+(0.782748+(0.075531-0.222564))+0-0-0</f>
        <v>1247.1357149999999</v>
      </c>
      <c r="N99" s="3">
        <f>1691+(267-541.8)+(-1.72482+(-0.27234--0.552636))+0-0-0</f>
        <v>1414.755476</v>
      </c>
      <c r="O99" s="3">
        <f>1889.6+(288.5-693.5)+(0.963696+(0.147135-0.353685))+0-0-0</f>
        <v>1485.3571459999998</v>
      </c>
      <c r="P99" s="3">
        <f>2184.7+(287-797)+(0+(0-0))+0-0-0</f>
        <v>1674.6999999999998</v>
      </c>
      <c r="Q99" s="3">
        <f>2176.7+(300.4-591.2)+(2.220234+(0.306408-0.603024))+0-0-0</f>
        <v>1887.8236179999997</v>
      </c>
      <c r="R99" s="3">
        <f>1994.3+(348.9-468.1)+(0+(0-0))+0-0-0</f>
        <v>1875.1</v>
      </c>
      <c r="S99" s="3">
        <f>2218.7+(366.4-438.9)+(-1.131537+(-0.186864--0.223839))+0-0-0</f>
        <v>2145.1054379999996</v>
      </c>
      <c r="T99" s="3">
        <f>2268.7+(346.1-543.8)+(0+(0-0))+0-0-0</f>
        <v>2071</v>
      </c>
      <c r="U99" s="3">
        <f>2235.3+(344.8-515.9)+(-2.280006+(-0.351696--0.526218))+0-0-0</f>
        <v>2062.0945160000001</v>
      </c>
      <c r="V99" s="3">
        <f>2296+(325.7-619.6)+(0+(0-0))+0-0-0</f>
        <v>2002.1</v>
      </c>
      <c r="W99" s="3">
        <f>2165+(396-728.6)+(-2.2083+(-0.40392--0.743172))+0-0-0</f>
        <v>1830.5309520000001</v>
      </c>
      <c r="X99" s="3">
        <f>2158.3+(415.9-810.2)+(-4.402932+(-0.848436--1.652808))+0-0-0</f>
        <v>1760.4014400000001</v>
      </c>
      <c r="Y99" s="3">
        <f>2164.2+(317.4-837.7)+(-1.103742+(-0.161874--0.427227))+0-0-0</f>
        <v>1643.0616109999996</v>
      </c>
      <c r="Z99" s="3">
        <f>2210.5+(401.8-877.5)+(-1.127355+(-0.204918--0.447525))+0-0-0</f>
        <v>1733.915252</v>
      </c>
      <c r="AA99" s="3">
        <f>2246.5+(458.7-766.7)+(0+(0-0))+0-0-0</f>
        <v>1938.5</v>
      </c>
      <c r="AB99" s="3">
        <f>2156.2+(477.1-724)+(-1.099662+(-0.243321--0.36924))+0-0-0</f>
        <v>1908.3262569999997</v>
      </c>
      <c r="AC99" s="3">
        <f>2063.2+(537.9-631.9)+(-1.052232+(-0.274329--0.322269))+0-0-0</f>
        <v>1968.1957079999997</v>
      </c>
      <c r="AD99">
        <f t="shared" si="1"/>
        <v>40890.811828999998</v>
      </c>
      <c r="AE99" s="3">
        <f>2270.6+(443.7-742.2)+(0+(0-0))+0-0-0</f>
        <v>1972.1</v>
      </c>
    </row>
    <row r="100" spans="1:31" s="2" customFormat="1" x14ac:dyDescent="0.25">
      <c r="A100">
        <v>89</v>
      </c>
      <c r="B100">
        <v>4</v>
      </c>
      <c r="C100">
        <v>7</v>
      </c>
      <c r="D100">
        <v>3</v>
      </c>
      <c r="E100">
        <v>1</v>
      </c>
      <c r="F100" s="3">
        <f>2063.3+(359.2-561.1)+(-2.104566+(-0.366384--0.572322))+0-0-0</f>
        <v>1859.5013720000002</v>
      </c>
      <c r="G100" s="3">
        <f>1684.4+(347.9-327.1)+(-0.859044+(-0.177429--0.166821))+0-0-0</f>
        <v>1704.330348</v>
      </c>
      <c r="H100" s="3">
        <f>1225.9+(458.9-55.9)+(-1.875627+(-0.702117--0.085527))+0-0-0</f>
        <v>1626.4077830000001</v>
      </c>
      <c r="I100" s="3">
        <f>1203.2+(432.7-90.2)+(-1.227264+(-0.441354--0.092004))+0-0-0</f>
        <v>1544.123386</v>
      </c>
      <c r="J100" s="3">
        <f>1197.8+(337.4-90.7)+(-3.05439+(-0.86037--0.231285))+0-0-0</f>
        <v>1440.816525</v>
      </c>
      <c r="K100" s="3">
        <f>1206.1+(243.5-140.3)+(-2.460444+(-0.49674--0.286212))+0-0-0</f>
        <v>1306.6290280000001</v>
      </c>
      <c r="L100" s="3">
        <f>1211.7+(213.9-232)+(-2.471868+(-0.436356--0.47328))+0-0-0</f>
        <v>1191.165056</v>
      </c>
      <c r="M100" s="3">
        <f>1304.1+(204.5-229.1)+(-0.665091+(-0.104295--0.116841))+0-0-0</f>
        <v>1278.8474550000001</v>
      </c>
      <c r="N100" s="3">
        <f>1472+(361.5-413.8)+(0+(0-0))+0-0-0</f>
        <v>1419.7</v>
      </c>
      <c r="O100" s="3">
        <f>1745.8+(416.7-617.4)+(-1.780716+(-0.425034--0.629748))+0-0-0</f>
        <v>1543.5239979999999</v>
      </c>
      <c r="P100" s="3">
        <f>2119.3+(373.2-827.6)+(-3.242529+(-0.570996--1.266228))+0-0-0</f>
        <v>1662.352703</v>
      </c>
      <c r="Q100" s="3">
        <f>2352.7+(364.3-942.2)+(-1.199877+(-0.185793--0.480522))+0-0-0</f>
        <v>1773.8948519999997</v>
      </c>
      <c r="R100" s="3">
        <f>2251.6+(371.2-705.5)+(0+(0-0))+0-0-0</f>
        <v>1917.3</v>
      </c>
      <c r="S100" s="3">
        <f>2248.5+(405.7-585.9)+(0+(0-0))+0-0-0</f>
        <v>2068.3000000000002</v>
      </c>
      <c r="T100" s="3">
        <f>2303.6+(422.5-590.7)+(-2.349672+(-0.43095--0.602514))+0-0-0</f>
        <v>2133.2218919999996</v>
      </c>
      <c r="U100" s="3">
        <f>2197.2+(407.4-563.8)+(3.361716+(0.623322-0.862614))+0-0-0</f>
        <v>2043.9224239999996</v>
      </c>
      <c r="V100" s="3">
        <f>2195.7+(417.1-558.2)+(1.119807+(0.212721-0.284682))+0-0-0</f>
        <v>2055.6478459999998</v>
      </c>
      <c r="W100" s="3">
        <f>2168.6+(397.7-619)+(-2.211972+(-0.405654--0.63138))+0-0-0</f>
        <v>1945.313754</v>
      </c>
      <c r="X100" s="3">
        <f>2167.6+(421-791.5)+(-5.52738+(-1.07355--2.018325))+0-0-0</f>
        <v>1792.5173949999999</v>
      </c>
      <c r="Y100" s="3">
        <f>2166.6+(377.1-861.9)+(-2.209932+(-0.384642--0.879138))+0-0-0</f>
        <v>1680.084564</v>
      </c>
      <c r="Z100" s="3">
        <f>2216.2+(386-828.8)+(-1.130262+(-0.19686--0.422688))+0-0-0</f>
        <v>1772.4955659999998</v>
      </c>
      <c r="AA100" s="3">
        <f>2265.3+(411.8-675.1)+(-3.465909+(-0.630054--1.032903))+0-0-0</f>
        <v>1998.9369400000003</v>
      </c>
      <c r="AB100" s="3">
        <f>2213.7+(463.8-632.1)+(-4.515948+(-0.946152--1.289484))+0-0-0</f>
        <v>2041.2273839999998</v>
      </c>
      <c r="AC100" s="3">
        <f>2218.6+(456.4-632.9)+(-4.525944+(-0.931056--1.291116))+0-0-0</f>
        <v>2037.9341159999999</v>
      </c>
      <c r="AD100">
        <f t="shared" si="1"/>
        <v>41838.194386999996</v>
      </c>
      <c r="AE100" s="3">
        <f>2258.8+(463.6-679.4)+(0+(0-0))+0-0-0</f>
        <v>2043.0000000000002</v>
      </c>
    </row>
    <row r="101" spans="1:31" s="2" customFormat="1" x14ac:dyDescent="0.25">
      <c r="A101">
        <v>89</v>
      </c>
      <c r="B101">
        <v>4</v>
      </c>
      <c r="C101">
        <v>8</v>
      </c>
      <c r="D101">
        <v>4</v>
      </c>
      <c r="E101">
        <v>1</v>
      </c>
      <c r="F101" s="3">
        <f>2209.9+(338.3-593.3)+(-5.635245+(-0.862665--1.512915))+0-0-0</f>
        <v>1949.9150050000001</v>
      </c>
      <c r="G101" s="3">
        <f>1921.4+(333.4-448.4)+(-0.979914+(-0.170034--0.228684))+0-0-0</f>
        <v>1805.478736</v>
      </c>
      <c r="H101" s="3">
        <f>1679+(367.1-357)+(-1.71258+(-0.374442--0.36414))+0-0-0</f>
        <v>1687.3771179999999</v>
      </c>
      <c r="I101" s="3">
        <f>1408.8+(403.7-217.5)+(-3.59244+(-1.029435--0.554625))+0-0-0</f>
        <v>1590.9327499999999</v>
      </c>
      <c r="J101" s="3">
        <f>1410.9+(351.5-249.2)+(-2.878236+(-0.71706--0.508368))+0-0-0</f>
        <v>1510.1130720000001</v>
      </c>
      <c r="K101" s="3">
        <f>1390.5+(326.6-351.3)+(-3.545775+(-0.83283--0.895815))+0-0-0</f>
        <v>1362.3172099999999</v>
      </c>
      <c r="L101" s="3">
        <f>1391.6+(170.6-326.6)+(-2.129148+(-0.261018--0.499698))+0-0-0</f>
        <v>1233.7095319999999</v>
      </c>
      <c r="M101" s="3">
        <f>1562.2+(123.3-376.3)+(0+(0-0))+0-0-0</f>
        <v>1309.2</v>
      </c>
      <c r="N101" s="3">
        <f>1967.4+(279.7-750.1)+(-3.010122+(-0.427941--1.147653))+0-0-0</f>
        <v>1494.7095899999999</v>
      </c>
      <c r="O101" s="3">
        <f>2217.3+(374.1-942.2)+(1.130823+(0.190791-0.480522))+0-0-0</f>
        <v>1650.0410920000002</v>
      </c>
      <c r="P101" s="3">
        <f>2215.7+(380.7-825.2)+(1.130007+(0.194157-0.420852))+0-0-0</f>
        <v>1772.1033119999997</v>
      </c>
      <c r="Q101" s="3">
        <f>2227.3+(422-764.2)+(2.271846+(0.43044-0.779484))+0-0-0</f>
        <v>1887.0228020000002</v>
      </c>
      <c r="R101" s="3">
        <f>2201.5+(450-620)+(1.122765+(0.2295-0.3162))+0-0-0</f>
        <v>2032.536065</v>
      </c>
      <c r="S101" s="3">
        <f>2173.3+(498.5-476.8)+(-1.108383+(-0.254235--0.243168))+0-0-0</f>
        <v>2193.8805499999999</v>
      </c>
      <c r="T101" s="3">
        <f>2170.8+(547.9-437.6)+(2.214216+(0.558858-0.446352))+0-0-0</f>
        <v>2283.4267220000002</v>
      </c>
      <c r="U101" s="3">
        <f>2204.7+(542.5-456)+(-2.248794+(-0.55335--0.46512))+0-0-0</f>
        <v>2288.8629759999999</v>
      </c>
      <c r="V101" s="3">
        <f>2205.7+(539.8-485)+(0+(0-0))+0-0-0</f>
        <v>2260.5</v>
      </c>
      <c r="W101" s="3">
        <f>2209.2+(506.6-577.9)+(-4.506768+(-1.033464--1.178916))+0-0-0</f>
        <v>2133.5386839999996</v>
      </c>
      <c r="X101" s="3">
        <f>2209.8+(469.1-736.1)+(-4.507992+(-0.956964--1.501644))+0-0-0</f>
        <v>1938.8366880000001</v>
      </c>
      <c r="Y101" s="3">
        <f>2214.5+(414.3-816.3)+(-1.129395+(-0.211293--0.416313))+0-0-0</f>
        <v>1811.5756249999999</v>
      </c>
      <c r="Z101" s="3">
        <f>2250.9+(371.3-731.1)+(1.147959+(0.189363-0.372861))+0-0-0</f>
        <v>1892.0644610000002</v>
      </c>
      <c r="AA101" s="3">
        <f>2262.2+(463.9-595)+(-2.307444+(-0.473178--0.6069))+0-0-0</f>
        <v>2128.9262779999999</v>
      </c>
      <c r="AB101" s="3">
        <f>2259.1+(453.6-535.9)+(1.152141+(0.231336-0.273309))+0-0-0</f>
        <v>2177.9101680000003</v>
      </c>
      <c r="AC101" s="3">
        <f>2255.1+(412.9-480.6)+(-1.150101+(-0.210579--0.245106))+0-0-0</f>
        <v>2186.2844259999997</v>
      </c>
      <c r="AD101">
        <f t="shared" si="1"/>
        <v>44581.262862000003</v>
      </c>
      <c r="AE101" s="3">
        <f>2257.6+(503.1-570)+(0+(0-0))+0-0-0</f>
        <v>2190.6999999999998</v>
      </c>
    </row>
    <row r="102" spans="1:31" s="2" customFormat="1" x14ac:dyDescent="0.25">
      <c r="A102">
        <v>89</v>
      </c>
      <c r="B102">
        <v>4</v>
      </c>
      <c r="C102">
        <v>9</v>
      </c>
      <c r="D102">
        <v>5</v>
      </c>
      <c r="E102">
        <v>1</v>
      </c>
      <c r="F102" s="3">
        <f>2243.1+(372.6-499.5)+(-6.863886+(-1.140156--1.52847))+0-0-0</f>
        <v>2109.724428</v>
      </c>
      <c r="G102" s="3">
        <f>1971.8+(378.1-389.5)+(1.005618+(0.192831-0.198645))+0-0-0</f>
        <v>1961.3998040000001</v>
      </c>
      <c r="H102" s="3">
        <f>1842.9+(349.2-353.6)+(-3.759516+(-0.712368--0.721344))+0-0-0</f>
        <v>1834.74946</v>
      </c>
      <c r="I102" s="3">
        <f>1721.5+(357-337.1)+(-1.75593+(-0.36414--0.343842))+0-0-0</f>
        <v>1739.6237720000001</v>
      </c>
      <c r="J102" s="3">
        <f>1575.2+(364.4-291.4)+(-0.803352+(-0.185844--0.148614))+0-0-0</f>
        <v>1647.359418</v>
      </c>
      <c r="K102" s="3">
        <f>1557.9+(300.3-365.6)+(-3.178116+(-0.612612--0.745824))+0-0-0</f>
        <v>1489.555096</v>
      </c>
      <c r="L102" s="3">
        <f>1554.3+(159.2-396.6)+(0+(0-0))+0-0-0</f>
        <v>1316.8999999999999</v>
      </c>
      <c r="M102" s="3">
        <f>1553.1+(193.1-364.3)+(0.792081+(0.098481-0.185793))+0-0-0</f>
        <v>1382.6047689999998</v>
      </c>
      <c r="N102" s="3">
        <f>1814.7+(298-560.6)+(-1.850994+(-0.30396--0.571812))+0-0-0</f>
        <v>1550.516858</v>
      </c>
      <c r="O102" s="3">
        <f>2078.2+(371.1-754.7)+(2.119764+(0.378522-0.769794))+0-0-0</f>
        <v>1696.3284919999999</v>
      </c>
      <c r="P102" s="3">
        <f>2238.2+(400.3-808.4)+(0+(0-0))+0-0-0</f>
        <v>1830.1</v>
      </c>
      <c r="Q102" s="3">
        <f>2231.9+(456.3-699)+(2.276538+(0.465426-0.71298))+0-0-0</f>
        <v>1991.2289840000001</v>
      </c>
      <c r="R102" s="3">
        <f>2225.2+(451.8-553.2)+(-1.134852+(-0.230418--0.282132))+40-0-0</f>
        <v>2162.7168619999998</v>
      </c>
      <c r="S102" s="3">
        <f>2223+(528.3-424)+(2.26746+(0.538866-0.43248))+40-0-0</f>
        <v>2369.6738460000001</v>
      </c>
      <c r="T102" s="3">
        <f>2222.3+(544.9-348.9)+(1.133373+(0.277899-0.177939))+33.3-0-0</f>
        <v>2452.8333330000005</v>
      </c>
      <c r="U102" s="3">
        <f>2224.3+(525.9-337)+(1.134393+(0.268209-0.17187))+0-0-0</f>
        <v>2414.4307320000003</v>
      </c>
      <c r="V102" s="3">
        <f>2224.6+(512.9-372.3)+(-3.403638+(-0.784737--0.569619))+0-0-0</f>
        <v>2361.581244</v>
      </c>
      <c r="W102" s="3">
        <f>2190.4+(511.2-463.7)+(-4.468416+(-1.042848--0.945948))+0-0-0</f>
        <v>2233.3346839999999</v>
      </c>
      <c r="X102" s="3">
        <f>2193.4+(493.9-631.5)+(-4.474536+(-1.007556--1.28826))+0-0-0</f>
        <v>2051.6061680000003</v>
      </c>
      <c r="Y102" s="3">
        <f>2189.8+(473.5-779.5)+(-4.467192+(-0.96594--1.59018))+0-0-0</f>
        <v>1879.9570480000002</v>
      </c>
      <c r="Z102" s="3">
        <f>2232.1+(448.1-715)+(1.138371+(0.228531-0.36465))+0-0-0</f>
        <v>1966.2022519999998</v>
      </c>
      <c r="AA102" s="3">
        <f>2248.2+(508.3-523.1)+(0+(0-0))+0-0-0</f>
        <v>2233.3999999999996</v>
      </c>
      <c r="AB102" s="3">
        <f>2245.7+(526.8-500.3)+(-1.145307+(-0.268668--0.255153))+0-0-0</f>
        <v>2271.0411779999999</v>
      </c>
      <c r="AC102" s="3">
        <f>2247.6+(544.1-509.5)+(-1.146276+(-0.277491--0.259845))+0-0-0</f>
        <v>2281.0360779999996</v>
      </c>
      <c r="AD102">
        <f t="shared" si="1"/>
        <v>47227.904506000006</v>
      </c>
      <c r="AE102" s="3">
        <f>2252.8+(540.1-493.5)+(0+(0-0))+0-0-0</f>
        <v>2299.4</v>
      </c>
    </row>
    <row r="103" spans="1:31" s="2" customFormat="1" x14ac:dyDescent="0.25">
      <c r="A103">
        <v>89</v>
      </c>
      <c r="B103">
        <v>4</v>
      </c>
      <c r="C103">
        <v>10</v>
      </c>
      <c r="D103">
        <v>6</v>
      </c>
      <c r="E103">
        <v>1</v>
      </c>
      <c r="F103" s="3">
        <f>2247.2+(371.7-406.3)+(-3.438216+(-0.568701--0.621639))+0-0-0</f>
        <v>2209.2147219999997</v>
      </c>
      <c r="G103" s="3">
        <f>2203.6+(334.5-449.3)+(-1.123836+(-0.170595--0.229143))+0-0-0</f>
        <v>2087.7347119999999</v>
      </c>
      <c r="H103" s="3">
        <f>2090.7+(329.3-441.5)+(-3.198771+(-0.503829--0.675495))+0-0-0</f>
        <v>1975.4728949999999</v>
      </c>
      <c r="I103" s="3">
        <f>1931.8+(327.4-391.4)+(0+(0-0))+0-0-0</f>
        <v>1867.8</v>
      </c>
      <c r="J103" s="3">
        <f>1900.3+(234.8-369.7)+(1.938306+(0.239496-0.377094))+0-0-0</f>
        <v>1767.2007080000001</v>
      </c>
      <c r="K103" s="3">
        <f>1899.1+(195.2-484.7)+(-3.874164+(-0.398208--0.988788))+0-0-0</f>
        <v>1606.3164159999999</v>
      </c>
      <c r="L103" s="3">
        <f>1900.3+(173.9-646.9)+(-1.938306+(-0.177378--0.659838))+0-0-0</f>
        <v>1425.8441539999999</v>
      </c>
      <c r="M103" s="3">
        <f>1908.7+(185.2-623.9)+(2.920311+(0.283356-0.954567))+0-0-0</f>
        <v>1472.2491</v>
      </c>
      <c r="N103" s="3">
        <f>1997.9+(304.2-692.1)+(-1.018929+(-0.155142--0.352971))+0-0-0</f>
        <v>1609.1789000000001</v>
      </c>
      <c r="O103" s="3">
        <f>2072.1+(385-719.5)+(0+(0-0))+0-0-0</f>
        <v>1737.6</v>
      </c>
      <c r="P103" s="3">
        <f>2214.7+(412.1-772.7)+(5.647485+(1.050855-1.970385))+0-0-0</f>
        <v>1858.827955</v>
      </c>
      <c r="Q103" s="3">
        <f>2229.7+(427.3-705.4)+(1.137147+(0.217923-0.359754))+0-0-0</f>
        <v>1952.5953159999999</v>
      </c>
      <c r="R103" s="3">
        <f>2231.4+(454.8-605.1)+(1.138014+(0.231948-0.308601))+0-0-0</f>
        <v>2082.1613609999999</v>
      </c>
      <c r="S103" s="3">
        <f>2232.4+(483.2-518.5)+(0+(0-0))+0-0-0</f>
        <v>2197.1</v>
      </c>
      <c r="T103" s="3">
        <f>2233.4+(506.3-463)+(0+(0-0))+0-0-0</f>
        <v>2276.7000000000003</v>
      </c>
      <c r="U103" s="3">
        <f>2232.7+(505-493.1)+(-3.416031+(-0.77265--0.754443))+0-0-0</f>
        <v>2241.1657620000001</v>
      </c>
      <c r="V103" s="3">
        <f>2234.7+(494.8-545.9)+(0+(0-0))+0-0-0</f>
        <v>2183.6</v>
      </c>
      <c r="W103" s="3">
        <f>2224.5+(470-672.3)+(-5.672475+(-1.1985--1.714365))+0-0-0</f>
        <v>2017.04339</v>
      </c>
      <c r="X103" s="3">
        <f>2233.3+(469.2-865.3)+(-4.555932+(-0.957168--1.765212))+0-0-0</f>
        <v>1833.4521120000002</v>
      </c>
      <c r="Y103" s="3">
        <f>2233.8+(431.3-960.3)+(-4.556952+(-0.879852--1.959012))+0-0-0</f>
        <v>1701.3222080000003</v>
      </c>
      <c r="Z103" s="3">
        <f>2272.6+(415.7-883)+(-1.159026+(-0.212007--0.45033))+0-0-0</f>
        <v>1804.379297</v>
      </c>
      <c r="AA103" s="3">
        <f>2308.7+(475.4-751.3)+(-2.354874+(-0.484908--0.766326))+0-0-0</f>
        <v>2030.7265439999996</v>
      </c>
      <c r="AB103" s="3">
        <f>2311.9+(422.2-669.5)+(-2.358138+(-0.430644--0.68289))+0-0-0</f>
        <v>2062.4941079999999</v>
      </c>
      <c r="AC103" s="3">
        <f>2312.6+(428.2-648.2)+(-1.179426+(-0.218382--0.330582))+0-0-0</f>
        <v>2091.5327739999998</v>
      </c>
      <c r="AD103">
        <f t="shared" si="1"/>
        <v>46091.712433999994</v>
      </c>
      <c r="AE103" s="3">
        <f>2308.9+(455.6-702.6)+(0+(0-0))+0-0-0</f>
        <v>2061.9</v>
      </c>
    </row>
    <row r="104" spans="1:31" s="2" customFormat="1" x14ac:dyDescent="0.25">
      <c r="A104">
        <v>89</v>
      </c>
      <c r="B104">
        <v>4</v>
      </c>
      <c r="C104">
        <v>11</v>
      </c>
      <c r="D104">
        <v>7</v>
      </c>
      <c r="E104">
        <v>1</v>
      </c>
      <c r="F104" s="3">
        <f>2205.7+(358.2-521.4)+(0+(0-0))+0-0-0</f>
        <v>2042.4999999999998</v>
      </c>
      <c r="G104" s="3">
        <f>1983.8+(341.5-395.3)+(-2.023476+(-0.34833--0.403206))+0-0-0</f>
        <v>1928.0314000000001</v>
      </c>
      <c r="H104" s="3">
        <f>1748.5+(328.2-247.9)+(0+(0-0))+0-0-0</f>
        <v>1828.8</v>
      </c>
      <c r="I104" s="3">
        <f>1618.6+(330.6-208.4)+(-3.301944+(-0.674424--0.425136))+0-0-0</f>
        <v>1737.2487679999999</v>
      </c>
      <c r="J104" s="3">
        <f>1499+(358-199.4)+(-1.52898+(-0.36516--0.203388))+0-0-0</f>
        <v>1655.9092479999999</v>
      </c>
      <c r="K104" s="3">
        <f>1493.2+(293.1-280.8)+(-3.80766+(-0.747405--0.71604))+0-0-0</f>
        <v>1501.660975</v>
      </c>
      <c r="L104" s="3">
        <f>1492.4+(203-374.1)+(-1.522248+(-0.20706--0.381582))+0-0-0</f>
        <v>1319.9522740000002</v>
      </c>
      <c r="M104" s="3">
        <f>1488.5+(208.8-391.6)+(0+(0-0))+0-0-0</f>
        <v>1305.7</v>
      </c>
      <c r="N104" s="3">
        <f>1570.9+(281.6-504.8)+(0+(0-0))+0-0-0</f>
        <v>1347.7</v>
      </c>
      <c r="O104" s="3">
        <f>2043.6+(235.7-894.6)+(-2.084472+(-0.240414--0.912492))+0-0-0</f>
        <v>1383.2876059999999</v>
      </c>
      <c r="P104" s="3">
        <f>2238.2+(233.7-1052.3)+(0+(0-0))+0-0-0</f>
        <v>1419.6</v>
      </c>
      <c r="Q104" s="3">
        <f>2221.6+(232.6-940.1)+(-1.133016+(-0.118626--0.479451))+0-0-0</f>
        <v>1513.3278089999999</v>
      </c>
      <c r="R104" s="3">
        <f>2228.8+(286.1-846.6)+(-1.136688+(-0.145911--0.431766))+0-0-0</f>
        <v>1667.4491670000002</v>
      </c>
      <c r="S104" s="3">
        <f>2229.1+(364.7-827.1)+(2.273682+(0.371994-0.843642))+0-0-0</f>
        <v>1768.5020339999999</v>
      </c>
      <c r="T104" s="3">
        <f>2231.4+(376.1-760)+(-1.138014+(-0.191811--0.3876))+0-0-0</f>
        <v>1846.557775</v>
      </c>
      <c r="U104" s="3">
        <f>2233+(393.4-769)+(-1.13883+(-0.200634--0.39219))+0-0-0</f>
        <v>1856.452726</v>
      </c>
      <c r="V104" s="3">
        <f>2231.9+(372.2-790.5)+(1.138269+(0.189822-0.403155))+0-0-0</f>
        <v>1814.524936</v>
      </c>
      <c r="W104" s="3">
        <f>2237.2+(376-885.1)+(-4.563888+(-0.76704--1.805604))+0-0-0</f>
        <v>1724.574676</v>
      </c>
      <c r="X104" s="3">
        <f>2240.6+(317.8-932.4)+(-1.142706+(-0.162078--0.475524))+0-0-0</f>
        <v>1625.17074</v>
      </c>
      <c r="Y104" s="3">
        <f>2242.3+(280-976.7)+(-3.430719+(-0.4284--1.494351))+0-0-0</f>
        <v>1543.2352320000002</v>
      </c>
      <c r="Z104" s="3">
        <f>2263.7+(301.3-926.9)+(0+(0-0))+0-0-0</f>
        <v>1638.1</v>
      </c>
      <c r="AA104" s="3">
        <f>2270.6+(409.6-833.4)+(-1.158006+(-0.208896--0.425034))+0-0-0</f>
        <v>1845.8581319999998</v>
      </c>
      <c r="AB104" s="3">
        <f>2269.8+(427.1-786)+(-2.315196+(-0.435642--0.80172))+0-0-0</f>
        <v>1908.9508820000001</v>
      </c>
      <c r="AC104" s="3">
        <f>2224.3+(440.2-711)+(1.134393+(0.224502-0.36261))+0-0-0</f>
        <v>1954.4962850000002</v>
      </c>
      <c r="AD104">
        <f t="shared" si="1"/>
        <v>40177.590665000003</v>
      </c>
      <c r="AE104" s="3">
        <f>2274+(419.8-782.9)+(0+(0-0))+0-0-0</f>
        <v>1910.9</v>
      </c>
    </row>
    <row r="105" spans="1:31" s="2" customFormat="1" x14ac:dyDescent="0.25">
      <c r="A105">
        <v>89</v>
      </c>
      <c r="B105">
        <v>4</v>
      </c>
      <c r="C105">
        <v>12</v>
      </c>
      <c r="D105">
        <v>1</v>
      </c>
      <c r="E105">
        <v>1</v>
      </c>
      <c r="F105" s="3">
        <f>1942.7+(372.4-404.9)+(1.981554+(0.379848-0.412998))+0-0-0</f>
        <v>1912.148404</v>
      </c>
      <c r="G105" s="3">
        <f>1667.7+(358.1-219.9)+(-0.850527+(-0.182631--0.112149))+0-0-0</f>
        <v>1804.9789910000002</v>
      </c>
      <c r="H105" s="3">
        <f>1442.8+(385.9-150.1)+(-0.735828+(-0.196809--0.076551))+0-0-0</f>
        <v>1677.7439139999999</v>
      </c>
      <c r="I105" s="3">
        <f>1434.5+(349.9-171.7)+(0+(0-0))+0-0-0</f>
        <v>1612.7</v>
      </c>
      <c r="J105" s="3">
        <f>1462.6+(331.9-252.9)+(-2.237778+(-0.507807--0.386937))+0-0-0</f>
        <v>1539.241352</v>
      </c>
      <c r="K105" s="3">
        <f>1487.9+(315.9-392)+(-3.794145+(-0.805545--0.9996))+0-0-0</f>
        <v>1408.1999100000003</v>
      </c>
      <c r="L105" s="3">
        <f>1493.9+(173.4-405.1)+(0+(0-0))+0-0-0</f>
        <v>1262.2</v>
      </c>
      <c r="M105" s="3">
        <f>1551.4+(189.4-407.3)+(1.582428+(0.193188-0.415446))+0-0-0</f>
        <v>1334.8601699999999</v>
      </c>
      <c r="N105" s="3">
        <f>1848.8+(268-627.5)+(0.942888+(0.13668-0.320025))+0-0-0</f>
        <v>1490.0595429999998</v>
      </c>
      <c r="O105" s="3">
        <f>2215.4+(364-952.8)+(3.389562+(0.55692-1.457784))+0-0-0</f>
        <v>1629.0886980000002</v>
      </c>
      <c r="P105" s="3">
        <f>2180.6+(374.7-838.6)+(4.448424+(0.764388-1.710744))+0-0-0</f>
        <v>1720.2020679999998</v>
      </c>
      <c r="Q105" s="3">
        <f>2136.2+(421.3-747.5)+(-1.089462+(-0.214863--0.381225))+0-0-0</f>
        <v>1809.0768999999998</v>
      </c>
      <c r="R105" s="3">
        <f>2135+(441.9-649)+(0+(0-0))+0-0-0</f>
        <v>1927.9</v>
      </c>
      <c r="S105" s="3">
        <f>2163.9+(505.6-580.3)+(0+(0-0))+0-0-0</f>
        <v>2089.2000000000003</v>
      </c>
      <c r="T105" s="3">
        <f>2201.3+(547.6-553)+(1.122663+(0.279276-0.28203))+0-0-0</f>
        <v>2197.0199090000001</v>
      </c>
      <c r="U105" s="3">
        <f>2356+(494.3-635.7)+(1.20156+(0.252093-0.324207))+0-0-0</f>
        <v>2215.7294459999998</v>
      </c>
      <c r="V105" s="3">
        <f>2359.8+(498.3-688.7)+(2.406996+(0.508266-0.702474))+0-0-0</f>
        <v>2171.6127879999999</v>
      </c>
      <c r="W105" s="3">
        <f>2358.8+(465.3-804.3)+(0+(0-0))+0-0-0</f>
        <v>2019.8000000000002</v>
      </c>
      <c r="X105" s="3">
        <f>2363.6+(456.5-954.2)+(-2.410872+(-0.46563--0.973284))+0-0-0</f>
        <v>1863.9967819999999</v>
      </c>
      <c r="Y105" s="3">
        <f>2366+(408.1-1025.1)+(0+(0-0))+0-0-0</f>
        <v>1749</v>
      </c>
      <c r="Z105" s="3">
        <f>2398.6+(438.4-1006)+(-1.223286+(-0.223584--0.51306))+0-0-0</f>
        <v>1830.06619</v>
      </c>
      <c r="AA105" s="3">
        <f>2403.8+(503.2-860.5)+(-2.451876+(-0.513264--0.87771))+0-0-0</f>
        <v>2044.4125700000002</v>
      </c>
      <c r="AB105" s="3">
        <f>2399.3+(484-798.2)+(0+(0-0))+0-0-0</f>
        <v>2085.1000000000004</v>
      </c>
      <c r="AC105" s="3">
        <f>2395.3+(432.6-727.7)+(-1.221603+(-0.220626--0.371127))+0-0-0</f>
        <v>2099.1288980000004</v>
      </c>
      <c r="AD105">
        <f t="shared" si="1"/>
        <v>43493.466532999999</v>
      </c>
      <c r="AE105" s="3">
        <f>2398.5+(529.8-833.5)+(0+(0-0))+0-0-0</f>
        <v>2094.8000000000002</v>
      </c>
    </row>
    <row r="106" spans="1:31" s="2" customFormat="1" x14ac:dyDescent="0.25">
      <c r="A106">
        <v>89</v>
      </c>
      <c r="B106">
        <v>4</v>
      </c>
      <c r="C106">
        <v>13</v>
      </c>
      <c r="D106">
        <v>2</v>
      </c>
      <c r="E106">
        <v>1</v>
      </c>
      <c r="F106" s="3">
        <f>2316.8+(276-600.9)+(-2.363136+(-0.28152--0.612918))+0-0-0</f>
        <v>1989.8682620000002</v>
      </c>
      <c r="G106" s="3">
        <f>1938.4+(320.5-401.4)+(-1.977168+(-0.32691--0.409428))+0-0-0</f>
        <v>1855.60535</v>
      </c>
      <c r="H106" s="3">
        <f>1638.3+(360.3-261)+(0+(0-0))+0-0-0</f>
        <v>1737.6</v>
      </c>
      <c r="I106" s="3">
        <f>1567+(358.3-264.5)+(0+(0-0))+0-0-0</f>
        <v>1660.8</v>
      </c>
      <c r="J106" s="3">
        <f>1566.6+(296.5-274)+(2.396898+(0.453645-0.41922))+0-0-0</f>
        <v>1591.5313229999999</v>
      </c>
      <c r="K106" s="3">
        <f>1567.2+(219.4-325.6)+(-0.799272+(-0.111894--0.166056))+0-0-0</f>
        <v>1460.2548899999999</v>
      </c>
      <c r="L106" s="3">
        <f>1567.4+(148.5-427.6)+(0+(0-0))+0-0-0</f>
        <v>1288.3000000000002</v>
      </c>
      <c r="M106" s="3">
        <f>1591.4+(184.9-431.5)+(-2.434842+(-0.282897--0.660195))+0-0-0</f>
        <v>1342.7424560000002</v>
      </c>
      <c r="N106" s="3">
        <f>1877.7+(363-740.1)+(-1.915254+(-0.37026--0.754902))+0-0-0</f>
        <v>1499.0693879999999</v>
      </c>
      <c r="O106" s="3">
        <f>2100.7+(347.9-813.2)+(-3.214071+(-0.532287--1.244196))+0-0-0</f>
        <v>1632.8978379999996</v>
      </c>
      <c r="P106" s="3">
        <f>2177.5+(439.2-852.6)+(-1.110525+(-0.223992--0.434826))+0-0-0</f>
        <v>1763.2003089999998</v>
      </c>
      <c r="Q106" s="3">
        <f>2174.5+(471.2-780.7)+(-1.108995+(-0.240312--0.398157))+0-0-0</f>
        <v>1864.0488499999999</v>
      </c>
      <c r="R106" s="3">
        <f>2188.5+(501.5-681.3)+(2.23227+(0.51153-0.694926))+0-0-0</f>
        <v>2010.7488740000001</v>
      </c>
      <c r="S106" s="3">
        <f>2262.4+(520.9-595.1)+(1.153824+(0.265659-0.303501))+0-0-0</f>
        <v>2189.3159819999996</v>
      </c>
      <c r="T106" s="3">
        <f>2296+(542.2-593.4)+(1.17096+(0.276522-0.302634))+0-0-0</f>
        <v>2245.9448480000001</v>
      </c>
      <c r="U106" s="3">
        <f>2223.6+(550.2-605.1)+(1.134036+(0.280602-0.308601))+0-0-0</f>
        <v>2169.8060369999998</v>
      </c>
      <c r="V106" s="3">
        <f>2203+(527.6-621.4)+(-1.12353+(-0.269076--0.316914))+0-0-0</f>
        <v>2108.1243079999999</v>
      </c>
      <c r="W106" s="3">
        <f>2280.7+(525.9-743.9)+(-3.489471+(-0.804627--1.138167))+0-0-0</f>
        <v>2059.544069</v>
      </c>
      <c r="X106" s="3">
        <f>2281.8+(508.7-883.1)+(-2.327436+(-0.518874--0.900762))+0-0-0</f>
        <v>1905.4544520000002</v>
      </c>
      <c r="Y106" s="3">
        <f>2341.5+(462.3-1012.7)+(-1.194165+(-0.235773--0.516477))+0-0-0</f>
        <v>1790.1865389999998</v>
      </c>
      <c r="Z106" s="3">
        <f>2371.3+(453.3-913.7)+(2.418726+(0.462366-0.931974))+0-0-0</f>
        <v>1912.8491180000001</v>
      </c>
      <c r="AA106" s="3">
        <f>2319.3+(519.4-809.2)+(0+(0-0))+0-0-0</f>
        <v>2029.5</v>
      </c>
      <c r="AB106" s="3">
        <f>2311.7+(521.7-683.8)+(-1.178967+(-0.266067--0.348738))+0-0-0</f>
        <v>2148.5037039999997</v>
      </c>
      <c r="AC106" s="3">
        <f>2257.4+(497.7-644.1)+(1.151274+(0.253827-0.328491))+0-0-0</f>
        <v>2112.0766100000001</v>
      </c>
      <c r="AD106">
        <f t="shared" si="1"/>
        <v>44367.973207000003</v>
      </c>
      <c r="AE106" s="3">
        <f>2318+(580-813.4)+(0+(0-0))+0-0-0</f>
        <v>2084.6</v>
      </c>
    </row>
    <row r="107" spans="1:31" s="2" customFormat="1" x14ac:dyDescent="0.25">
      <c r="A107">
        <v>89</v>
      </c>
      <c r="B107">
        <v>4</v>
      </c>
      <c r="C107">
        <v>14</v>
      </c>
      <c r="D107">
        <v>3</v>
      </c>
      <c r="E107">
        <v>1</v>
      </c>
      <c r="F107" s="3">
        <f>2235.4+(364.9-518.8)+(1.140054+(0.186099-0.264588))+0-0-0</f>
        <v>2082.561565</v>
      </c>
      <c r="G107" s="3">
        <f>1991.6+(384-422.2)+(-1.015716+(-0.19584--0.215322))+0-0-0</f>
        <v>1952.4037659999999</v>
      </c>
      <c r="H107" s="3">
        <f>1778.2+(414.3-359.1)+(-1.813764+(-0.422586--0.366282))+0-0-0</f>
        <v>1831.5299320000001</v>
      </c>
      <c r="I107" s="3">
        <f>1688.3+(405.2-356.4)+(-0.861033+(-0.206652--0.181764))+0-0-0</f>
        <v>1736.2140789999999</v>
      </c>
      <c r="J107" s="3">
        <f>1587.6+(408.4-354.8)+(-1.619352+(-0.416568--0.361896))+0-0-0</f>
        <v>1639.5259759999999</v>
      </c>
      <c r="K107" s="3">
        <f>1600.8+(300.3-402.6)+(-4.08204+(-0.765765--1.02663))+0-0-0</f>
        <v>1494.678825</v>
      </c>
      <c r="L107" s="3">
        <f>1611+(196.6-472.2)+(-3.28644+(-0.401064--0.963288))+0-0-0</f>
        <v>1332.675784</v>
      </c>
      <c r="M107" s="3">
        <f>1717.6+(270.8-585.3)+(0+(0-0))+0-0-0</f>
        <v>1403.1</v>
      </c>
      <c r="N107" s="3">
        <f>1948.4+(413.2-796.7)+(0+(0-0))+0-0-0</f>
        <v>1564.9</v>
      </c>
      <c r="O107" s="3">
        <f>2248+(438-972.5)+(1.14648+(0.22338-0.495975))+0-0-0</f>
        <v>1714.373885</v>
      </c>
      <c r="P107" s="3">
        <f>2347.3+(429.1-943.3)+(1.197123+(0.218841-0.481083))+0-0-0</f>
        <v>1834.0348810000003</v>
      </c>
      <c r="Q107" s="3">
        <f>2351.7+(437.7-851.3)+(2.398734+(0.446454-0.868326))+0-0-0</f>
        <v>1940.0768619999999</v>
      </c>
      <c r="R107" s="3">
        <f>2351.3+(463.4-700.4)+(3.597489+(0.709002-1.071612))+0-0-0</f>
        <v>2117.5348790000003</v>
      </c>
      <c r="S107" s="3">
        <f>2345.3+(545.5-568.3)+(2.392206+(0.55641-0.579666))+0-0-0</f>
        <v>2324.86895</v>
      </c>
      <c r="T107" s="3">
        <f>2274.8+(603.4-462.1)+(3.480444+(0.923202-0.707013))+15.6-0-0</f>
        <v>2435.3966330000003</v>
      </c>
      <c r="U107" s="3">
        <f>2274.5+(606.5-448.6)+(3.479985+(0.927945-0.686358))+9.9-0-0</f>
        <v>2446.0215720000001</v>
      </c>
      <c r="V107" s="3">
        <f>2266.9+(613.3-506.8)+(0+(0-0))+0-0-0</f>
        <v>2373.4</v>
      </c>
      <c r="W107" s="3">
        <f>2268.9+(556.7-587.6)+(-2.314278+(-0.567834--0.599352))+0-0-0</f>
        <v>2235.7172399999999</v>
      </c>
      <c r="X107" s="3">
        <f>2272.3+(514-736.6)+(-2.317746+(-0.52428--0.751332))+0-0-0</f>
        <v>2047.6093060000003</v>
      </c>
      <c r="Y107" s="3">
        <f>2282.8+(479-866.4)+(-1.164228+(-0.24429--0.441864))+0-0-0</f>
        <v>1894.433346</v>
      </c>
      <c r="Z107" s="3">
        <f>2266.3+(457-822.8)+(2.311626+(0.46614-0.839256))+0-0-0</f>
        <v>1902.4385100000002</v>
      </c>
      <c r="AA107" s="3">
        <f>2332.9+(495.3-668.5)+(-1.189779+(-0.252603--0.340935))+0-0-0</f>
        <v>2158.5985530000003</v>
      </c>
      <c r="AB107" s="3">
        <f>2331.1+(526.4-620.2)+(0+(0-0))+0-0-0</f>
        <v>2237.2999999999997</v>
      </c>
      <c r="AC107" s="3">
        <f>2296.2+(394.3-481)+(-2.342124+(-0.402186--0.49062))+0-0-0</f>
        <v>2207.24631</v>
      </c>
      <c r="AD107">
        <f t="shared" si="1"/>
        <v>46906.640854000005</v>
      </c>
      <c r="AE107" s="3">
        <f>2387.4+(484.3-663.5)+(0+(0-0))+0-0-0</f>
        <v>2208.2000000000003</v>
      </c>
    </row>
    <row r="108" spans="1:31" s="2" customFormat="1" x14ac:dyDescent="0.25">
      <c r="A108">
        <v>89</v>
      </c>
      <c r="B108">
        <v>4</v>
      </c>
      <c r="C108">
        <v>15</v>
      </c>
      <c r="D108">
        <v>4</v>
      </c>
      <c r="E108">
        <v>1</v>
      </c>
      <c r="F108" s="3">
        <f>2291.7+(395.9-487.7)+(-4.675068+(-0.807636--0.994908))+0-0-0</f>
        <v>2195.4122039999997</v>
      </c>
      <c r="G108" s="3">
        <f>2175.5+(414.6-511.4)+(3.328515+(0.634338-0.782442))+0-0-0</f>
        <v>2081.8804109999996</v>
      </c>
      <c r="H108" s="3">
        <f>1917.6+(404-360.9)+(0+(0-0))+0-0-0</f>
        <v>1960.6999999999998</v>
      </c>
      <c r="I108" s="3">
        <f>1688.6+(448.2-274.5)+(-0.861186+(-0.228582--0.139995))+0-0-0</f>
        <v>1861.3502269999999</v>
      </c>
      <c r="J108" s="3">
        <f>1657.4+(365.8-306.7)+(-3.381096+(-0.746232--0.625668))+0-0-0</f>
        <v>1712.9983400000001</v>
      </c>
      <c r="K108" s="3">
        <f>1613.7+(357.3-362.4)+(-2.468961+(-0.546669--0.554472))+0-0-0</f>
        <v>1606.1388420000001</v>
      </c>
      <c r="L108" s="3">
        <f>1577.4+(271.6-461.6)+(-1.608948+(-0.277032--0.470832))+0-0-0</f>
        <v>1385.984852</v>
      </c>
      <c r="M108" s="3">
        <f>1772.7+(311.4-624.2)+(0+(0-0))+0-0-0</f>
        <v>1459.9</v>
      </c>
      <c r="N108" s="3">
        <f>2260.7+(318.6-939.4)+(1.152957+(0.162486-0.479094))+0-0-0</f>
        <v>1640.7363489999998</v>
      </c>
      <c r="O108" s="3">
        <f>2310.6+(385.6-916.1)+(4.713624+(0.786624-1.868844))+0-0-0</f>
        <v>1783.7314039999999</v>
      </c>
      <c r="P108" s="3">
        <f>2345.8+(413.1-850.8)+(2.392716+(0.421362-0.867816))+0-0-0</f>
        <v>1910.0462620000003</v>
      </c>
      <c r="Q108" s="3">
        <f>2296.5+(432.1-689.5)+(1.171215+(0.220371-0.351645))+0-0-0</f>
        <v>2040.1399409999999</v>
      </c>
      <c r="R108" s="3">
        <f>2278.1+(514.2-552.7)+(1.161831+(0.262242-0.281877))+1.3-0-0</f>
        <v>2242.0421959999999</v>
      </c>
      <c r="S108" s="3">
        <f>2215+(599.9-400.6)+(1.12965+(0.305949-0.204306))+16-0-0</f>
        <v>2431.531293</v>
      </c>
      <c r="T108" s="3">
        <f>2213+(642.1-356.8)+(2.25726+(0.654942-0.363936))+16-0-0</f>
        <v>2516.848266</v>
      </c>
      <c r="U108" s="3">
        <f>2195.5+(630.3-346.2)+(3.359115+(0.964359-0.529686))+3.2-0-0</f>
        <v>2486.5937879999997</v>
      </c>
      <c r="V108" s="3">
        <f>2181.2+(623.3-396.8)+(2.224824+(0.635766-0.404736))+0-0-0</f>
        <v>2410.1558539999996</v>
      </c>
      <c r="W108" s="3">
        <f>2158.8+(569.6-476.5)+(1.100988+(0.290496-0.243015))+0-0-0</f>
        <v>2253.0484690000003</v>
      </c>
      <c r="X108" s="3">
        <f>2153.2+(497-604.7)+(-1.098132+(-0.25347--0.308397))+0-0-0</f>
        <v>2044.4567949999998</v>
      </c>
      <c r="Y108" s="3">
        <f>2149.5+(410.4-699.4)+(0+(0-0))+0-0-0</f>
        <v>1860.5</v>
      </c>
      <c r="Z108" s="3">
        <f>2226.7+(394.8-650.7)+(2.271234+(0.402696-0.663714))+0-0-0</f>
        <v>1972.8102159999996</v>
      </c>
      <c r="AA108" s="3">
        <f>2211.2+(516.3-506.7)+(0+(0-0))+0-0-0</f>
        <v>2220.7999999999997</v>
      </c>
      <c r="AB108" s="3">
        <f>2256+(526.1-494.4)+(1.15056+(0.268311-0.252144))+0-0-0</f>
        <v>2288.8667269999996</v>
      </c>
      <c r="AC108" s="3">
        <f>2247.1+(559.2-466.6)+(-3.438063+(-0.855576--0.713898))+0-0-0</f>
        <v>2336.1202589999998</v>
      </c>
      <c r="AD108">
        <f t="shared" si="1"/>
        <v>48702.792694999996</v>
      </c>
      <c r="AE108" s="3">
        <f>2235.6+(572.5-454.7)+(0+(0-0))+0-0-0</f>
        <v>2353.4</v>
      </c>
    </row>
    <row r="109" spans="1:31" s="2" customFormat="1" x14ac:dyDescent="0.25">
      <c r="A109">
        <v>89</v>
      </c>
      <c r="B109">
        <v>4</v>
      </c>
      <c r="C109">
        <v>16</v>
      </c>
      <c r="D109">
        <v>5</v>
      </c>
      <c r="E109">
        <v>1</v>
      </c>
      <c r="F109" s="3">
        <f>2235+(455.3-406.5)+(-2.2797+(-0.464406--0.41463))+0-0-0</f>
        <v>2281.4705240000003</v>
      </c>
      <c r="G109" s="3">
        <f>2100.6+(400.6-346)+(-1.071306+(-0.204306--0.17646))+0-0-0</f>
        <v>2154.100848</v>
      </c>
      <c r="H109" s="3">
        <f>1694.7+(483.2-151)+(0+(0-0))+0-0-0</f>
        <v>2026.9</v>
      </c>
      <c r="I109" s="3">
        <f>1553+(488.1-107.2)+(-0.79203+(-0.248931--0.054672))+0-0-0</f>
        <v>1932.9137110000001</v>
      </c>
      <c r="J109" s="3">
        <f>1541.3+(440.1-133.2)+(0+(0-0))+0-0-0</f>
        <v>1848.2</v>
      </c>
      <c r="K109" s="3">
        <f>1540.9+(401.1-247.8)+(-3.929295+(-1.022805--0.63189))+0-0-0</f>
        <v>1689.87979</v>
      </c>
      <c r="L109" s="3">
        <f>1540.7+(294.7-344.6)+(-1.571514+(-0.300594--0.351492))+0-0-0</f>
        <v>1489.2793839999999</v>
      </c>
      <c r="M109" s="3">
        <f>1738.8+(238.6-469)+(0.886788+(0.121686-0.23919))+0-0-0</f>
        <v>1509.1692839999998</v>
      </c>
      <c r="N109" s="3">
        <f>2187.8+(394.2-911.6)+(1.115778+(0.201042-0.464916))+0-0-0</f>
        <v>1671.2519040000002</v>
      </c>
      <c r="O109" s="3">
        <f>2240+(463.6-896.8)+(1.1424+(0.236436-0.457368))+0-0-0</f>
        <v>1807.7214680000002</v>
      </c>
      <c r="P109" s="3">
        <f>2234.4+(468.1-791.1)+(2.279088+(0.477462-0.806922))+0-0-0</f>
        <v>1913.3496280000002</v>
      </c>
      <c r="Q109" s="3">
        <f>2233.9+(426.9-642.7)+(0+(0-0))+0-0-0</f>
        <v>2018.1</v>
      </c>
      <c r="R109" s="3">
        <f>2231.1+(470.8-520.4)+(3.413583+(0.720324-0.796212))+0-0-0</f>
        <v>2184.8376950000002</v>
      </c>
      <c r="S109" s="3">
        <f>2229.6+(522.3-398.9)+(1.137096+(0.266373-0.203439))+0-0-0</f>
        <v>2354.20003</v>
      </c>
      <c r="T109" s="3">
        <f>2228.1+(548.3-331.2)+(0+(0-0))+0-0-0</f>
        <v>2445.1999999999998</v>
      </c>
      <c r="U109" s="3">
        <f>2228.2+(544.5-338.7)+(-2.272764+(-0.55539--0.345474))+0-0-0</f>
        <v>2431.5173199999999</v>
      </c>
      <c r="V109" s="3">
        <f>2220.8+(548-391)+(-1.132608+(-0.27948--0.19941))+0-0-0</f>
        <v>2376.5873220000003</v>
      </c>
      <c r="W109" s="3">
        <f>2220.8+(547.1-532.1)+(2.265216+(0.558042-0.542742))+0-0-0</f>
        <v>2238.080516</v>
      </c>
      <c r="X109" s="3">
        <f>2224.6+(514.6-710.6)+(-1.134546+(-0.262446--0.362406))+0-0-0</f>
        <v>2027.5654139999999</v>
      </c>
      <c r="Y109" s="3">
        <f>2228.4+(465.3-827.7)+(0+(0-0))+0-0-0</f>
        <v>1866</v>
      </c>
      <c r="Z109" s="3">
        <f>2238.9+(495.8-752.1)+(1.141839+(0.252858-0.383571))+0-0-0</f>
        <v>1983.6111260000002</v>
      </c>
      <c r="AA109" s="3">
        <f>2205.9+(543.3-537.5)+(0+(0-0))+0-0-0</f>
        <v>2211.6999999999998</v>
      </c>
      <c r="AB109" s="3">
        <f>2185.6+(556.5-463.6)+(1.114656+(0.283815-0.236436))+0-0-0</f>
        <v>2279.6620349999998</v>
      </c>
      <c r="AC109" s="3">
        <f>2183.1+(562-426.4)+(0+(0-0))+0-0-0</f>
        <v>2318.6999999999998</v>
      </c>
      <c r="AD109">
        <f t="shared" si="1"/>
        <v>49059.997998999999</v>
      </c>
      <c r="AE109" s="3">
        <f>2189+(620.6-512.3)+(0+(0-0))+0-0-0</f>
        <v>2297.3000000000002</v>
      </c>
    </row>
    <row r="110" spans="1:31" s="2" customFormat="1" x14ac:dyDescent="0.25">
      <c r="A110">
        <v>89</v>
      </c>
      <c r="B110">
        <v>4</v>
      </c>
      <c r="C110">
        <v>17</v>
      </c>
      <c r="D110">
        <v>6</v>
      </c>
      <c r="E110">
        <v>1</v>
      </c>
      <c r="F110" s="3">
        <f>2106.8+(465.5-325.9)+(1.074468+(0.237405-0.166209))+0-0-0</f>
        <v>2247.5456640000002</v>
      </c>
      <c r="G110" s="3">
        <f>1979.2+(414.4-272.1)+(0+(0-0))+0-0-0</f>
        <v>2121.5</v>
      </c>
      <c r="H110" s="3">
        <f>1664.8+(499.5-169.5)+(0.849048+(0.254745-0.086445))+0-0-0</f>
        <v>1995.817348</v>
      </c>
      <c r="I110" s="3">
        <f>1483.7+(546.7-128)+(1.513374+(0.557634-0.13056))+0-0-0</f>
        <v>1904.3404480000002</v>
      </c>
      <c r="J110" s="3">
        <f>1484.2+(443.9-101.9)+(0.756942+(0.226389-0.051969))+0-0-0</f>
        <v>1827.1313620000001</v>
      </c>
      <c r="K110" s="3">
        <f>1484+(334.3-160.1)+(0+(0-0))+0-0-0</f>
        <v>1658.2</v>
      </c>
      <c r="L110" s="3">
        <f>1487.5+(184.9-216.5)+(-2.275875+(-0.282897--0.331245))+0-0-0</f>
        <v>1453.6724730000001</v>
      </c>
      <c r="M110" s="3">
        <f>1585.5+(179.3-284.7)+(-2.425815+(-0.274329--0.435591))+0-0-0</f>
        <v>1477.8354469999999</v>
      </c>
      <c r="N110" s="3">
        <f>1998.8+(253.9-649.9)+(-4.077552+(-0.517956--1.325796))+0-0-0</f>
        <v>1599.5302879999999</v>
      </c>
      <c r="O110" s="3">
        <f>2238.7+(424.9-894.6)+(-1.141737+(-0.216699--0.456246))+0-0-0</f>
        <v>1768.0978099999998</v>
      </c>
      <c r="P110" s="3">
        <f>2306.5+(423.6-849.9)+(1.176315+(0.216036-0.433449))+0-0-0</f>
        <v>1881.1589020000001</v>
      </c>
      <c r="Q110" s="3">
        <f>2267.1+(449.2-732.9)+(2.312442+(0.458184-0.747558))+4.3-0-0</f>
        <v>1989.7230679999998</v>
      </c>
      <c r="R110" s="3">
        <f>2245.1+(482.4-608.1)+(2.290002+(0.492048-0.620262))+17-0-0</f>
        <v>2138.5617879999995</v>
      </c>
      <c r="S110" s="3">
        <f>2209.6+(556.5-506.5)+(0+(0-0))+17-0-0</f>
        <v>2276.6</v>
      </c>
      <c r="T110" s="3">
        <f>2182.7+(568-419.4)+(1.113177+(0.28968-0.213894))+27-0-0</f>
        <v>2359.4889629999998</v>
      </c>
      <c r="U110" s="3">
        <f>2186.4+(573.8-416.5)+(1.115064+(0.292638-0.212415))+9-0-0</f>
        <v>2353.8952869999998</v>
      </c>
      <c r="V110" s="3">
        <f>2180.6+(564.2-476.9)+(0+(0-0))+0-0-0</f>
        <v>2267.9</v>
      </c>
      <c r="W110" s="3">
        <f>2176.5+(512.9-568.8)+(-1.110015+(-0.261579--0.290088))+0-0-0</f>
        <v>2119.5184939999999</v>
      </c>
      <c r="X110" s="3">
        <f>2207.5+(380.3-689.6)+(-3.377475+(-0.581859--1.055088))+0-0-0</f>
        <v>1895.295754</v>
      </c>
      <c r="Y110" s="3">
        <f>2212.6+(329.1-806.1)+(-1.128426+(-0.167841--0.411111))+0-0-0</f>
        <v>1734.7148439999999</v>
      </c>
      <c r="Z110" s="3">
        <f>2254+(378.7-802.6)+(0+(0-0))+0-0-0</f>
        <v>1830.1</v>
      </c>
      <c r="AA110" s="3">
        <f>2386.3+(401.9-718.6)+(-4.868052+(-0.819876--1.465944))+0-0-0</f>
        <v>2065.3780160000006</v>
      </c>
      <c r="AB110" s="3">
        <f>2353.6+(448.7-695.5)+(-1.200336+(-0.228837--0.354705))+0-0-0</f>
        <v>2105.7255319999999</v>
      </c>
      <c r="AC110" s="3">
        <f>2317.3+(424-632.9)+(1.181823+(0.21624-0.322779))+0-0-0</f>
        <v>2109.4752840000001</v>
      </c>
      <c r="AD110">
        <f t="shared" si="1"/>
        <v>47181.20677199999</v>
      </c>
      <c r="AE110" s="3">
        <f>2374+(417.7-664.2)+(0+(0-0))+0-0-0</f>
        <v>2127.5</v>
      </c>
    </row>
    <row r="111" spans="1:31" s="2" customFormat="1" x14ac:dyDescent="0.25">
      <c r="A111">
        <v>89</v>
      </c>
      <c r="B111">
        <v>4</v>
      </c>
      <c r="C111">
        <v>18</v>
      </c>
      <c r="D111">
        <v>7</v>
      </c>
      <c r="E111">
        <v>1</v>
      </c>
      <c r="F111" s="3">
        <f>2169.9+(357.7-456.4)+(0+(0-0))+0-0-0</f>
        <v>2071.2000000000003</v>
      </c>
      <c r="G111" s="3">
        <f>1891.3+(405-318.1)+(-0.964563+(-0.20655--0.162231))+0-0-0</f>
        <v>1977.1911179999997</v>
      </c>
      <c r="H111" s="3">
        <f>1534.6+(455.6-149.1)+(0.782646+(0.232356-0.076041))+0-0-0</f>
        <v>1842.038961</v>
      </c>
      <c r="I111" s="3">
        <f>1466.1+(429.3-140.4)+(0.747711+(0.218943-0.071604))+0-0-0</f>
        <v>1755.8950500000001</v>
      </c>
      <c r="J111" s="3">
        <f>1464.8+(405-199.5)+(0.747048+(0.20655-0.101745))+0-0-0</f>
        <v>1671.1518529999998</v>
      </c>
      <c r="K111" s="3">
        <f>1465.8+(351.8-294.6)+(-2.242674+(-0.538254--0.450738))+0-0-0</f>
        <v>1520.6698100000001</v>
      </c>
      <c r="L111" s="3">
        <f>1465.5+(244.1-378.9)+(0+(0-0))+0-0-0</f>
        <v>1330.7</v>
      </c>
      <c r="M111" s="3">
        <f>1470.3+(219.9-377.6)+(0+(0-0))+0-0-0</f>
        <v>1312.6</v>
      </c>
      <c r="N111" s="3">
        <f>1623.8+(265.1-501.3)+(-1.656276+(-0.270402--0.511326))+0-0-0</f>
        <v>1386.1846479999999</v>
      </c>
      <c r="O111" s="3">
        <f>1826.6+(280.2-614.3)+(0+(0-0))+0-0-0</f>
        <v>1492.5</v>
      </c>
      <c r="P111" s="3">
        <f>2170.8+(311-862.9)+(2.214216+(0.31722-0.880158))+0-0-0</f>
        <v>1620.5512780000001</v>
      </c>
      <c r="Q111" s="3">
        <f>2209.2+(370-871.7)+(0+(0-0))+0-0-0</f>
        <v>1707.4999999999998</v>
      </c>
      <c r="R111" s="3">
        <f>2206.8+(424.7-814.1)+(1.125468+(0.216597-0.415191))+38-0-0</f>
        <v>1856.3268740000001</v>
      </c>
      <c r="S111" s="3">
        <f>2207.7+(416.2-675.2)+(2.251854+(0.424524-0.688704))+38-0-0</f>
        <v>1988.6876739999998</v>
      </c>
      <c r="T111" s="3">
        <f>2204.2+(457.3-616.5)+(1.124142+(0.233223-0.314415))+38-0-0</f>
        <v>2084.04295</v>
      </c>
      <c r="U111" s="3">
        <f>2207.7+(464.1-605.3)+(-2.251854+(-0.473382--0.617406))+38-0-0</f>
        <v>2102.3921700000001</v>
      </c>
      <c r="V111" s="3">
        <f>2258.6+(474.1-689)+(-1.151886+(-0.241791--0.35139))+38-0-0</f>
        <v>2080.6577129999996</v>
      </c>
      <c r="W111" s="3">
        <f>2293+(447.8-779.8)+(-1.16943+(-0.228378--0.397698))+6.3-0-0</f>
        <v>1966.29989</v>
      </c>
      <c r="X111" s="3">
        <f>2308.9+(429.1-924)+(-2.355078+(-0.437682--0.94248))+0-0-0</f>
        <v>1812.1497199999999</v>
      </c>
      <c r="Y111" s="3">
        <f>2313.1+(356.9-986.1)+(-3.539043+(-0.546057--1.508733))+0-0-0</f>
        <v>1681.323633</v>
      </c>
      <c r="Z111" s="3">
        <f>2340.6+(363.4-932.5)+(1.193706+(0.185334-0.475575))+0-0-0</f>
        <v>1772.4034650000001</v>
      </c>
      <c r="AA111" s="3">
        <f>2385+(413.8-798.5)+(-1.21635+(-0.211038--0.407235))+0-0-0</f>
        <v>1999.279847</v>
      </c>
      <c r="AB111" s="3">
        <f>2360.4+(444.1-733.4)+(0+(0-0))+0-0-0</f>
        <v>2071.1000000000004</v>
      </c>
      <c r="AC111" s="3">
        <f>2266.5+(477.5-643.2)+(1.155915+(0.243525-0.328032))+0-0-0</f>
        <v>2101.871408</v>
      </c>
      <c r="AD111">
        <f t="shared" si="1"/>
        <v>43204.718061999993</v>
      </c>
      <c r="AE111" s="3">
        <f>2383.4+(429.9-771.9)+(0+(0-0))+0-0-0</f>
        <v>2041.4</v>
      </c>
    </row>
    <row r="112" spans="1:31" s="2" customFormat="1" x14ac:dyDescent="0.25">
      <c r="A112">
        <v>89</v>
      </c>
      <c r="B112">
        <v>4</v>
      </c>
      <c r="C112">
        <v>19</v>
      </c>
      <c r="D112">
        <v>1</v>
      </c>
      <c r="E112">
        <v>3</v>
      </c>
      <c r="F112" s="3">
        <f>2260.5+(429-603.6)+(-4.61142+(-0.87516--1.231344))+0-0-0</f>
        <v>2081.6447640000001</v>
      </c>
      <c r="G112" s="3">
        <f>2208+(377.3-573)+(-3.37824+(-0.577269--0.87669))+0-0-0</f>
        <v>2009.2211809999999</v>
      </c>
      <c r="H112" s="3">
        <f>1955.7+(383.3-434.5)+(-1.994814+(-0.390966--0.44319))+0-0-0</f>
        <v>1902.5574099999999</v>
      </c>
      <c r="I112" s="3">
        <f>1828.9+(425.5-427.2)+(-1.865478+(-0.43401--0.435744))+0-0-0</f>
        <v>1825.336256</v>
      </c>
      <c r="J112" s="3">
        <f>1541.3+(488-296.7)+(-1.572126+(-0.49776--0.302634))+0-0-0</f>
        <v>1730.8327479999998</v>
      </c>
      <c r="K112" s="3">
        <f>1543.3+(456.6-426.3)+(0+(0-0))+0-0-0</f>
        <v>1573.6</v>
      </c>
      <c r="L112" s="3">
        <f>1543.4+(290.2-445.3)+(0+(0-0))+0-0-0</f>
        <v>1388.3000000000002</v>
      </c>
      <c r="M112" s="3">
        <f>1547.8+(299.1-461)+(-2.368134+(-0.457623--0.70533))+0-0-0</f>
        <v>1383.779573</v>
      </c>
      <c r="N112" s="3">
        <f>1759.4+(302.9-589.2)+(-0.897294+(-0.154479--0.300492))+0-0-0</f>
        <v>1472.3487189999998</v>
      </c>
      <c r="O112" s="3">
        <f>2048.3+(330.5-777.1)+(2.089266+(0.33711-0.792642))+0-0-0</f>
        <v>1603.3337340000003</v>
      </c>
      <c r="P112" s="3">
        <f>2259.3+(390.1-911)+(2.304486+(0.397902-0.92922))+0-0-0</f>
        <v>1740.173168</v>
      </c>
      <c r="Q112" s="3">
        <f>2286.1+(404.1-887.4)+(2.331822+(0.412182-0.905148))+0-0-0</f>
        <v>1804.638856</v>
      </c>
      <c r="R112" s="3">
        <f>2356.4+(537.8-896.8)+(0+(0-0))+45-0-0</f>
        <v>2042.4</v>
      </c>
      <c r="S112" s="3">
        <f>2351.6+(597-778.9)+(0+(0-0))+45-0-0</f>
        <v>2214.6999999999998</v>
      </c>
      <c r="T112" s="3">
        <f>2348.9+(621-708.1)+(1.197939+(0.31671-0.361131))+45-0-0</f>
        <v>2307.9535180000003</v>
      </c>
      <c r="U112" s="3">
        <f>2342.3+(555.8-578.6)+(0+(0-0))+45-0-0</f>
        <v>2364.5</v>
      </c>
      <c r="V112" s="3">
        <f>2273.4+(568.9-511.4)+(0+(0-0))+45-0-0</f>
        <v>2375.9</v>
      </c>
      <c r="W112" s="3">
        <f>2233.8+(584-545)+(-2.278476+(-0.59568--0.5559))+7.5-0-0</f>
        <v>2277.9817440000002</v>
      </c>
      <c r="X112" s="3">
        <f>2217.1+(526.6-641.8)+(0+(0-0))+0-0-0</f>
        <v>2101.9</v>
      </c>
      <c r="Y112" s="3">
        <f>2248.1+(440.5-753.7)+(1.146531+(0.224655-0.384387))+0-0-0</f>
        <v>1935.8867989999999</v>
      </c>
      <c r="Z112" s="3">
        <f>2368.4+(412.1-805.3)+(0+(0-0))+0-0-0</f>
        <v>1975.2000000000003</v>
      </c>
      <c r="AA112" s="3">
        <f>2385.3+(503.6-666.7)+(-1.216503+(-0.256836--0.340017))+0-0-0</f>
        <v>2221.0666780000001</v>
      </c>
      <c r="AB112" s="3">
        <f>2385.5+(536.2-614.3)+(0+(0-0))+0-0-0</f>
        <v>2307.4</v>
      </c>
      <c r="AC112" s="3">
        <f>2376.1+(550.8-557.9)+(0+(0-0))+0-0-0</f>
        <v>2369</v>
      </c>
      <c r="AD112">
        <f t="shared" si="1"/>
        <v>47009.655148000005</v>
      </c>
      <c r="AE112" s="3">
        <f>2377+(553.7-630.3)+(0+(0-0))+0-0-0</f>
        <v>2300.4</v>
      </c>
    </row>
    <row r="113" spans="1:31" s="2" customFormat="1" x14ac:dyDescent="0.25">
      <c r="A113">
        <v>89</v>
      </c>
      <c r="B113">
        <v>4</v>
      </c>
      <c r="C113">
        <v>20</v>
      </c>
      <c r="D113">
        <v>2</v>
      </c>
      <c r="E113">
        <v>1</v>
      </c>
      <c r="F113" s="3">
        <f>2337.2+(491.3-507.8)+(0+(0-0))+0-0-0</f>
        <v>2320.6999999999998</v>
      </c>
      <c r="G113" s="3">
        <f>2267.8+(457.1-522.1)+(-3.469734+(-0.699363--0.798813))+0-0-0</f>
        <v>2199.4297160000001</v>
      </c>
      <c r="H113" s="3">
        <f>2187.8+(448.6-539.1)+(-2.231556+(-0.457572--0.549882))+0-0-0</f>
        <v>2095.160754</v>
      </c>
      <c r="I113" s="3">
        <f>2047.3+(424.3-387.3)+(-3.132369+(-0.649179--0.592569))+0-0-0</f>
        <v>2081.1110210000002</v>
      </c>
      <c r="J113" s="3">
        <f>1591.5+(520.9-228.8)+(0+(0-0))+0-0-0</f>
        <v>1883.6</v>
      </c>
      <c r="K113" s="3">
        <f>1467.5+(511-249)+(0+(0-0))+0-0-0</f>
        <v>1729.5</v>
      </c>
      <c r="L113" s="3">
        <f>1320+(428.6-228.6)+(-1.3464+(-0.437172--0.233172))+0-0-0</f>
        <v>1518.4495999999999</v>
      </c>
      <c r="M113" s="3">
        <f>1384.2+(438.5-253.7)+(-0.705942+(-0.223635--0.129387))+0-0-0</f>
        <v>1568.1998100000001</v>
      </c>
      <c r="N113" s="3">
        <f>1717.1+(490.2-484.5)+(0.875721+(0.250002-0.247095))+0-0-0</f>
        <v>1723.6786279999999</v>
      </c>
      <c r="O113" s="3">
        <f>2053.3+(522.4-686)+(1.047183+(0.266424-0.34986))+0-0-0</f>
        <v>1890.6637470000003</v>
      </c>
      <c r="P113" s="3">
        <f>2057.3+(531.2-561.5)+(2.098446+(0.541824-0.57273))+0-0-0</f>
        <v>2029.0675400000002</v>
      </c>
      <c r="Q113" s="3">
        <f>2064.2+(584.9-487.5)+(2.105484+(0.596598-0.49725))+15-0-0</f>
        <v>2178.8048319999998</v>
      </c>
      <c r="R113" s="3">
        <f>2092.4+(642.3-412.5)+(1.067124+(0.327573-0.210375))+45-0-0</f>
        <v>2368.3843219999999</v>
      </c>
      <c r="S113" s="3">
        <f>2091.2+(695.6-314.8)+(1.066512+(0.354756-0.160548))+45-0-0</f>
        <v>2518.2607200000002</v>
      </c>
      <c r="T113" s="3">
        <f>2156.4+(705.6-307.5)+(1.099764+(0.359856-0.156825))+45-0-0</f>
        <v>2600.8027950000001</v>
      </c>
      <c r="U113" s="3">
        <f>2148.6+(698.6-311.2)+(2.191572+(0.712572-0.317424))+45-0-0</f>
        <v>2583.5867199999998</v>
      </c>
      <c r="V113" s="3">
        <f>2079.5+(718.3-306.9)+(0+(0-0))+45-0-0</f>
        <v>2535.9</v>
      </c>
      <c r="W113" s="3">
        <f>2084.1+(626.8-340.2)+(-4.251564+(-1.278672--0.694008))+45-0-0</f>
        <v>2410.8637719999997</v>
      </c>
      <c r="X113" s="3">
        <f>2180.6+(535.2-551.4)+(0+(0-0))+18.8-0-0</f>
        <v>2183.2000000000003</v>
      </c>
      <c r="Y113" s="3">
        <f>2210.2+(506.4-715)+(-1.127202+(-0.258264--0.36465))+0-0-0</f>
        <v>2000.5791839999999</v>
      </c>
      <c r="Z113" s="3">
        <f>2216.2+(462.5-605.2)+(1.130262+(0.235875-0.308652))+0-0-0</f>
        <v>2074.5574849999998</v>
      </c>
      <c r="AA113" s="3">
        <f>2216.8+(589.9-483.5)+(-2.261136+(-0.601698--0.49317))+0-0-0</f>
        <v>2320.8303360000004</v>
      </c>
      <c r="AB113" s="3">
        <f>2216.5+(632.8-444.8)+(-1.130415+(-0.322728--0.226848))+0-0-0</f>
        <v>2403.2737050000001</v>
      </c>
      <c r="AC113" s="3">
        <f>2172.8+(634.3-366.9)+(-1.108128+(-0.323493--0.187119))+0-0-0</f>
        <v>2438.9554980000003</v>
      </c>
      <c r="AD113">
        <f t="shared" si="1"/>
        <v>51657.560184999995</v>
      </c>
      <c r="AE113" s="3">
        <f>2158+(667.9-463.5)+(0+(0-0))+0-0-0</f>
        <v>2362.4</v>
      </c>
    </row>
    <row r="114" spans="1:31" s="2" customFormat="1" x14ac:dyDescent="0.25">
      <c r="A114">
        <v>89</v>
      </c>
      <c r="B114">
        <v>4</v>
      </c>
      <c r="C114">
        <v>21</v>
      </c>
      <c r="D114">
        <v>3</v>
      </c>
      <c r="E114">
        <v>1</v>
      </c>
      <c r="F114" s="3">
        <f>2160.6+(556-355.7)+(-2.203812+(-0.56712--0.362814))+0-0-0</f>
        <v>2358.4918820000003</v>
      </c>
      <c r="G114" s="3">
        <f>2137.3+(543.4-388.4)+(-1.090023+(-0.277134--0.198084))+0-0-0</f>
        <v>2291.1309270000002</v>
      </c>
      <c r="H114" s="3">
        <f>1972.7+(495.3-348.3)+(-4.024308+(-1.010412--0.710532))+0-0-0</f>
        <v>2115.3758119999998</v>
      </c>
      <c r="I114" s="3">
        <f>1778.2+(519.3-282.4)+(1.813764+(0.529686-0.288048))+0-0-0</f>
        <v>2017.1554019999999</v>
      </c>
      <c r="J114" s="3">
        <f>1750.2+(486.3-313.4)+(-1.785204+(-0.496026--0.319668))+0-0-0</f>
        <v>1921.1384380000002</v>
      </c>
      <c r="K114" s="3">
        <f>1749.7+(436.8-427)+(-1.784694+(-0.445536--0.43554))+0-0-0</f>
        <v>1757.7053100000001</v>
      </c>
      <c r="L114" s="3">
        <f>1751.3+(346.7-546.5)+(0+(0-0))+0-0-0</f>
        <v>1551.5</v>
      </c>
      <c r="M114" s="3">
        <f>1832.8+(342-584.4)+(0+(0-0))+0-0-0</f>
        <v>1590.4</v>
      </c>
      <c r="N114" s="3">
        <f>2122.4+(438.1-738.8)+(0+(0-0))+0-0-0</f>
        <v>1821.7000000000003</v>
      </c>
      <c r="O114" s="3">
        <f>2201.9+(445.4-727.4)+(0+(0-0))+0-0-0</f>
        <v>1919.9</v>
      </c>
      <c r="P114" s="3">
        <f>2215+(480.5-706.6)+(0+(0-0))+0-0-0</f>
        <v>1988.9</v>
      </c>
      <c r="Q114" s="3">
        <f>2199.8+(527.4-588.1)+(4.487592+(1.075896-1.199724))+0-0-0</f>
        <v>2143.4637640000005</v>
      </c>
      <c r="R114" s="3">
        <f>2200.7+(542.6-571.3)+(-2.244714+(-0.553452--0.582726))+54.8-0-0</f>
        <v>2224.5845600000002</v>
      </c>
      <c r="S114" s="3">
        <f>2192+(607.8-471.8)+(1.11792+(0.309978-0.240618))+88-0-0</f>
        <v>2417.1872800000001</v>
      </c>
      <c r="T114" s="3">
        <f>2253.1+(645.7-320.5)+(1.149081+(0.329307-0.163455))+88-0-0</f>
        <v>2667.6149330000003</v>
      </c>
      <c r="U114" s="3">
        <f>2245.7+(630.7-318)+(2.290614+(0.643314-0.32436))+88-0-0</f>
        <v>2649.0095679999995</v>
      </c>
      <c r="V114" s="3">
        <f>2244.3+(604.3-358.5)+(-1.144593+(-0.308193--0.182835))+88-0-0</f>
        <v>2576.8300490000001</v>
      </c>
      <c r="W114" s="3">
        <f>2279+(576.5-458.6)+(-3.48687+(-0.882045--0.701658))+88-0-0</f>
        <v>2481.232743</v>
      </c>
      <c r="X114" s="3">
        <f>2315.3+(533.7-632.3)+(-3.542409+(-0.816561--0.967419))+20.5-0-0</f>
        <v>2233.8084490000001</v>
      </c>
      <c r="Y114" s="3">
        <f>2317.2+(491.9-740.8)+(-1.181772+(-0.250869--0.377808))+0-0-0</f>
        <v>2067.2451669999996</v>
      </c>
      <c r="Z114" s="3">
        <f>2332.2+(495.9-739.7)+(1.189422+(0.252909-0.377247))+6.6-0-0</f>
        <v>2096.0650839999994</v>
      </c>
      <c r="AA114" s="3">
        <f>2376.8+(560.5-603.1)+(-1.212168+(-0.285855--0.307581))+33.3-0-0</f>
        <v>2366.3095580000004</v>
      </c>
      <c r="AB114" s="3">
        <f>2354.4+(614-541.9)+(-1.200744+(-0.31314--0.276369))+20-0-0</f>
        <v>2445.2624850000002</v>
      </c>
      <c r="AC114" s="3">
        <f>2347.2+(579.6-482.5)+(0+(0-0))+20-0-0</f>
        <v>2464.2999999999997</v>
      </c>
      <c r="AD114">
        <f t="shared" si="1"/>
        <v>52166.31141100001</v>
      </c>
      <c r="AE114" s="3">
        <f>2375.1+(611.2-564.8)+(0+(0-0))+20-0-0</f>
        <v>2441.5</v>
      </c>
    </row>
    <row r="115" spans="1:31" s="2" customFormat="1" x14ac:dyDescent="0.25">
      <c r="A115">
        <v>89</v>
      </c>
      <c r="B115">
        <v>4</v>
      </c>
      <c r="C115">
        <v>22</v>
      </c>
      <c r="D115">
        <v>4</v>
      </c>
      <c r="E115">
        <v>1</v>
      </c>
      <c r="F115" s="3">
        <f>2345.4+(514.1-457.4)+(0+(0-0))+8.7-0-0</f>
        <v>2410.8000000000002</v>
      </c>
      <c r="G115" s="3">
        <f>2183.5+(492.3-403.3)+(-2.22717+(-0.502146--0.411366))+0-0-0</f>
        <v>2270.1820499999999</v>
      </c>
      <c r="H115" s="3">
        <f>1608+(649.4-135.8)+(0.82008+(0.331194-0.069258))+0-0-0</f>
        <v>2122.6820159999997</v>
      </c>
      <c r="I115" s="3">
        <f>1588.4+(599.5-158)+(0+(0-0))+0-0-0</f>
        <v>2029.9</v>
      </c>
      <c r="J115" s="3">
        <f>1579.2+(511.5-165.5)+(2.416176+(0.782595-0.253215))+0-0-0</f>
        <v>1928.1455559999999</v>
      </c>
      <c r="K115" s="3">
        <f>1505.2+(462.6-216.5)+(0+(0-0))+0-0-0</f>
        <v>1751.3000000000002</v>
      </c>
      <c r="L115" s="3">
        <f>1503.8+(342.6-288.9)+(-0.766938+(-0.174726--0.147339))+0-0-0</f>
        <v>1556.7056749999999</v>
      </c>
      <c r="M115" s="3">
        <f>1638.4+(378.5-366.5)+(0+(0-0))+0-0-0</f>
        <v>1650.4</v>
      </c>
      <c r="N115" s="3">
        <f>1818.3+(450.3-528.9)+(3.709332+(0.918612-1.078956))+0-0-0</f>
        <v>1743.2489880000001</v>
      </c>
      <c r="O115" s="3">
        <f>2263+(377.5-732.8)+(0+(0-0))+0-0-0</f>
        <v>1907.7</v>
      </c>
      <c r="P115" s="3">
        <f>2300.6+(420.4-679.2)+(3.519918+(0.643212-1.039176))+0-0-0</f>
        <v>2044.9239539999996</v>
      </c>
      <c r="Q115" s="3">
        <f>2271.9+(459-557.1)+(1.158669+(0.23409-0.284121))+0-0-0</f>
        <v>2174.9086380000003</v>
      </c>
      <c r="R115" s="3">
        <f>2305.9+(560.6-502.4)+(-2.352018+(-0.571812--0.512448))+38.7-0-0</f>
        <v>2400.3886180000004</v>
      </c>
      <c r="S115" s="3">
        <f>2331.4+(580.6-385.4)+(0+(0-0))+58-0-0</f>
        <v>2584.6000000000004</v>
      </c>
      <c r="T115" s="3">
        <f>2311.7+(623-342)+(3.536901+(0.95319-0.52326))+58-0-0</f>
        <v>2654.666831</v>
      </c>
      <c r="U115" s="3">
        <f>2306.3+(614.8-348)+(-1.176213+(-0.313548--0.17748))+58-0-0</f>
        <v>2629.7877190000004</v>
      </c>
      <c r="V115" s="3">
        <f>2329.5+(615.2-402.5)+(-1.188045+(-0.313752--0.205275))+58-0-0</f>
        <v>2598.9034779999997</v>
      </c>
      <c r="W115" s="3">
        <f>2329.2+(569.8-481.5)+(-7.127352+(-1.743588--1.47339))+58-0-0</f>
        <v>2468.1024499999999</v>
      </c>
      <c r="X115" s="3">
        <f>2318.7+(540-626.1)+(-4.730148+(-1.1016--1.277244))+0-0-0</f>
        <v>2228.0454959999997</v>
      </c>
      <c r="Y115" s="3">
        <f>2328.6+(459.5-749)+(-3.562758+(-0.703035--1.14597))+0-0-0</f>
        <v>2035.9801769999999</v>
      </c>
      <c r="Z115" s="3">
        <f>2352.6+(449.6-687.4)+(1.199826+(0.229296-0.350574))+0-0-0</f>
        <v>2115.8785480000001</v>
      </c>
      <c r="AA115" s="3">
        <f>2380.7+(583.7-567)+(-4.856628+(-1.190748--1.15668))+0-0-0</f>
        <v>2392.5093039999997</v>
      </c>
      <c r="AB115" s="3">
        <f>2362.5+(608.2-500.2)+(-4.8195+(-1.240728--1.020408))+0-0-0</f>
        <v>2465.46018</v>
      </c>
      <c r="AC115" s="3">
        <f>2355.4+(625.8-484.1)+(2.402508+(0.638316-0.493782))+0-0-0</f>
        <v>2499.6470420000001</v>
      </c>
      <c r="AD115">
        <f t="shared" si="1"/>
        <v>52664.866719999998</v>
      </c>
      <c r="AE115" s="3">
        <f>2391.7+(614-543)+(0+(0-0))+0-0-0</f>
        <v>2462.6999999999998</v>
      </c>
    </row>
    <row r="116" spans="1:31" s="2" customFormat="1" x14ac:dyDescent="0.25">
      <c r="A116">
        <v>89</v>
      </c>
      <c r="B116">
        <v>4</v>
      </c>
      <c r="C116">
        <v>23</v>
      </c>
      <c r="D116">
        <v>5</v>
      </c>
      <c r="E116">
        <v>1</v>
      </c>
      <c r="F116" s="3">
        <f>2315.6+(522.9-404.4)+(-2.361912+(-0.533358--0.412488))+0-0-0</f>
        <v>2431.6172179999999</v>
      </c>
      <c r="G116" s="3">
        <f>2111+(549.9-341.6)+(-1.07661+(-0.280449--0.174216))+0-0-0</f>
        <v>2318.1171570000001</v>
      </c>
      <c r="H116" s="3">
        <f>1695.3+(595.9-116.3)+(-1.729206+(-0.607818--0.118626))+0-0-0</f>
        <v>2172.6816020000001</v>
      </c>
      <c r="I116" s="3">
        <f>1604.8+(631.8-129.8)+(-1.636896+(-0.644436--0.132396))+0-0-0</f>
        <v>2104.6510639999997</v>
      </c>
      <c r="J116" s="3">
        <f>1607+(551.3-149.2)+(2.45871+(0.843489-0.228276))+0-0-0</f>
        <v>2012.1739229999998</v>
      </c>
      <c r="K116" s="3">
        <f>1557.6+(500.1-225)+(-1.588752+(-0.510102--0.2295))+0-0-0</f>
        <v>1830.8306459999999</v>
      </c>
      <c r="L116" s="3">
        <f>1526.3+(369.2-333)+(-0.778413+(-0.188292--0.16983))+0-0-0</f>
        <v>1561.703125</v>
      </c>
      <c r="M116" s="3">
        <f>1653.9+(359.6-409.6)+(2.530467+(0.550188-0.626688))+0-0-0</f>
        <v>1606.353967</v>
      </c>
      <c r="N116" s="3">
        <f>1866.6+(420.1-550.5)+(-0.951966+(-0.214251--0.280755))+0-0-0</f>
        <v>1735.3145379999999</v>
      </c>
      <c r="O116" s="3">
        <f>2352.8+(454.9-943.2)+(2.399856+(0.463998-0.962064))+0-0-0</f>
        <v>1866.4017899999999</v>
      </c>
      <c r="P116" s="3">
        <f>2411.2+(465.1-892.2)+(1.229712+(0.237201-0.455022))+37.5-0-0</f>
        <v>2022.611891</v>
      </c>
      <c r="Q116" s="3">
        <f>2403.1+(461-861)+(-1.225581+(-0.23511--0.43911))+90-0-0</f>
        <v>2092.0784189999999</v>
      </c>
      <c r="R116" s="3">
        <f>2394.7+(487.9-734.9)+(-2.442594+(-0.497658--0.749598))+180-0-0</f>
        <v>2325.5093459999998</v>
      </c>
      <c r="S116" s="3">
        <f>2389.4+(497.7-646.2)+(0+(0-0))+180-0-0</f>
        <v>2420.9</v>
      </c>
      <c r="T116" s="3">
        <f>2385.6+(542-595)+(1.216656+(0.27642-0.30345))+180-0-0</f>
        <v>2513.7896259999998</v>
      </c>
      <c r="U116" s="3">
        <f>2376.8+(530.2-600.4)+(-1.212168+(-0.270402--0.306204))+180-0-0</f>
        <v>2485.4236340000002</v>
      </c>
      <c r="V116" s="3">
        <f>2374.6+(468.9-654.2)+(-2.422092+(-0.478278--0.667284))+180-0-0</f>
        <v>2367.0669139999995</v>
      </c>
      <c r="W116" s="3">
        <f>2378.7+(480.6-828.4)+(3.639411+(0.735318-1.267452))+165-0-0</f>
        <v>2199.0072769999997</v>
      </c>
      <c r="X116" s="3">
        <f>2381.9+(467.8-946.3)+(-2.429538+(-0.477156--0.965226))+0-0-0</f>
        <v>1901.4585320000001</v>
      </c>
      <c r="Y116" s="3">
        <f>2385.7+(384.4-938.5)+(1.216707+(0.196044-0.478635))+0-0-0</f>
        <v>1832.5341159999998</v>
      </c>
      <c r="Z116" s="3">
        <f>2404.1+(445-863.1)+(2.452182+(0.4539-0.880362))+0-0-0</f>
        <v>1988.0257200000001</v>
      </c>
      <c r="AA116" s="3">
        <f>2427.5+(465.3-709.4)+(-3.714075+(-0.711909--1.085382))+0-0-0</f>
        <v>2180.0593979999999</v>
      </c>
      <c r="AB116" s="3">
        <f>2416.8+(473.8-670.2)+(-1.232568+(-0.241638--0.341802))+0-0-0</f>
        <v>2219.2675960000001</v>
      </c>
      <c r="AC116" s="3">
        <f>2402.2+(494.4-644.4)+(-1.225122+(-0.252144--0.328644))+0-0-0</f>
        <v>2251.0513779999997</v>
      </c>
      <c r="AD116">
        <f t="shared" si="1"/>
        <v>50438.628876999988</v>
      </c>
      <c r="AE116" s="3">
        <f>2418+(522.2-685)+(0+(0-0))+0-0-0</f>
        <v>2255.1999999999998</v>
      </c>
    </row>
    <row r="117" spans="1:31" s="2" customFormat="1" x14ac:dyDescent="0.25">
      <c r="A117">
        <v>89</v>
      </c>
      <c r="B117">
        <v>4</v>
      </c>
      <c r="C117">
        <v>24</v>
      </c>
      <c r="D117">
        <v>6</v>
      </c>
      <c r="E117">
        <v>1</v>
      </c>
      <c r="F117" s="3">
        <f>2399.5+(392.6-573.1)+(-1.223745+(-0.200226--0.292281))+0-0-0</f>
        <v>2217.8683099999998</v>
      </c>
      <c r="G117" s="3">
        <f>2220.1+(413.4-510.7)+(-1.132251+(-0.210834--0.260457))+0-0-0</f>
        <v>2121.7173719999996</v>
      </c>
      <c r="H117" s="3">
        <f>1741.2+(578.7-445.6)+(3.552048+(1.180548-0.909024))+76.5-0-0</f>
        <v>1954.6235720000002</v>
      </c>
      <c r="I117" s="3">
        <f>1567+(661.3-322.2)+(-1.59834+(-0.674526--0.328644))+0-0-0</f>
        <v>1904.1557779999998</v>
      </c>
      <c r="J117" s="3">
        <f>1567.2+(595.6-329.4)+(-0.799272+(-0.303756--0.167994))+0-0-0</f>
        <v>1832.464966</v>
      </c>
      <c r="K117" s="3">
        <f>1568+(582.5-450.2)+(-1.59936+(-0.59415--0.459204))+0-0-0</f>
        <v>1698.5656939999999</v>
      </c>
      <c r="L117" s="3">
        <f>1567.5+(400.8-488.7)+(-1.59885+(-0.408816--0.498474))+0-0-0</f>
        <v>1478.0908079999999</v>
      </c>
      <c r="M117" s="3">
        <f>1617.2+(408.8-527.3)+(-0.824772+(-0.208488--0.268923))+0-0-0</f>
        <v>1497.935663</v>
      </c>
      <c r="N117" s="3">
        <f>1653+(588.5-637.2)+(0.84303+(0.300135-0.324972))+0-0-0</f>
        <v>1605.118193</v>
      </c>
      <c r="O117" s="3">
        <f>2043.2+(381.8-711.7)+(5.21016+(0.97359-1.814835))+0-0-0</f>
        <v>1717.668915</v>
      </c>
      <c r="P117" s="3">
        <f>2161.2+(455.6-815.8)+(1.102212+(0.232356-0.416058))+81.3-0-0</f>
        <v>1883.2185099999999</v>
      </c>
      <c r="Q117" s="3">
        <f>2228.8+(475.6-866.3)+(1.136688+(0.242556-0.441813))+130-0-0</f>
        <v>1969.0374310000004</v>
      </c>
      <c r="R117" s="3">
        <f>2340.9+(443-828.5)+(-1.193859+(-0.22593--0.422535))+130-0-0</f>
        <v>2084.4027459999998</v>
      </c>
      <c r="S117" s="3">
        <f>2339.8+(504.7-786.6)+(-2.386596+(-0.514794--0.802332))+130-0-0</f>
        <v>2185.8009420000003</v>
      </c>
      <c r="T117" s="3">
        <f>2337.3+(495.8-748.1)+(-1.192023+(-0.252858--0.381531))+130-0-0</f>
        <v>2213.9366500000001</v>
      </c>
      <c r="U117" s="3">
        <f>2321.5+(489.4-739.4)+(-1.183965+(-0.249594--0.377094))+130-0-0</f>
        <v>2200.4435349999999</v>
      </c>
      <c r="V117" s="3">
        <f>2340.3+(519.4-811.1)+(0+(0-0))+108.4-0-0</f>
        <v>2157.0000000000005</v>
      </c>
      <c r="W117" s="3">
        <f>2391.5+(487.5-875.4)+(-2.43933+(-0.49725--0.892908))+0-0-0</f>
        <v>2001.5563279999999</v>
      </c>
      <c r="X117" s="3">
        <f>2333.8+(488.1-967.1)+(-5.95119+(-1.244655--2.466105))+0-0-0</f>
        <v>1850.0702600000002</v>
      </c>
      <c r="Y117" s="3">
        <f>2326.7+(276.2-858.5)+(-1.186617+(-0.140862--0.437835))+0-0-0</f>
        <v>1743.5103559999998</v>
      </c>
      <c r="Z117" s="3">
        <f>2443+(365.8-920.6)+(-2.49186+(-0.373116--0.939012))+0-0-0</f>
        <v>1886.274036</v>
      </c>
      <c r="AA117" s="3">
        <f>2515.9+(433.1-860)+(-3.849327+(-0.662643--1.3158))+0-0-0</f>
        <v>2085.8038299999998</v>
      </c>
      <c r="AB117" s="3">
        <f>2513.7+(478-868.5)+(-1.281987+(-0.24378--0.442935))+0-0-0</f>
        <v>2122.1171679999998</v>
      </c>
      <c r="AC117" s="3">
        <f>2513.5+(409.9-785.9)+(-3.845655+(-0.627147--1.202427))+0-0-0</f>
        <v>2134.2296249999999</v>
      </c>
      <c r="AD117">
        <f t="shared" si="1"/>
        <v>46545.610687999993</v>
      </c>
      <c r="AE117" s="3">
        <f>2513+(420.3-833.7)+(0+(0-0))+0-0-0</f>
        <v>2099.6</v>
      </c>
    </row>
    <row r="118" spans="1:31" s="2" customFormat="1" x14ac:dyDescent="0.25">
      <c r="A118">
        <v>89</v>
      </c>
      <c r="B118">
        <v>4</v>
      </c>
      <c r="C118">
        <v>25</v>
      </c>
      <c r="D118">
        <v>7</v>
      </c>
      <c r="E118">
        <v>1</v>
      </c>
      <c r="F118" s="3">
        <f>2387.7+(432.9-695.9)+(3.653181+(0.662337-1.064727))+0-0-0</f>
        <v>2127.9507909999998</v>
      </c>
      <c r="G118" s="3">
        <f>2018.3+(511.9-483.6)+(-1.029333+(-0.261069--0.246636))+0-0-0</f>
        <v>2045.5562339999999</v>
      </c>
      <c r="H118" s="3">
        <f>1594.8+(603.2-238.1)+(0.813348+(0.307632-0.121431))+0-0-0</f>
        <v>1960.899549</v>
      </c>
      <c r="I118" s="3">
        <f>1238.9+(713-99.2)+(0.631839+(0.36363-0.050592))+0-0-0</f>
        <v>1853.644877</v>
      </c>
      <c r="J118" s="3">
        <f>1189.2+(660.3-80.5)+(-1.819476+(-1.010259--0.123165))+0-0-0</f>
        <v>1766.2934299999999</v>
      </c>
      <c r="K118" s="3">
        <f>1190.9+(498.5-42.4)+(-3.644154+(-1.52541--0.129744))+0-0-0</f>
        <v>1641.96018</v>
      </c>
      <c r="L118" s="3">
        <f>1178.4+(395.9-141.3)+(-3.00492+(-1.009545--0.360315))+0-0-0</f>
        <v>1429.3458499999999</v>
      </c>
      <c r="M118" s="3">
        <f>1107.9+(386.8-120)+(0+(0-0))+0-0-0</f>
        <v>1374.7</v>
      </c>
      <c r="N118" s="3">
        <f>1162+(427.8-171.7)+(-1.18524+(-0.436356--0.175134))+0-0-0</f>
        <v>1416.6535379999998</v>
      </c>
      <c r="O118" s="3">
        <f>1385.8+(420.9-307.7)+(-1.413516+(-0.429318--0.313854))+0-0-0</f>
        <v>1497.47102</v>
      </c>
      <c r="P118" s="3">
        <f>1659.6+(494.1-562.1)+(-0.846396+(-0.251991--0.286671))+0-0-0</f>
        <v>1590.788284</v>
      </c>
      <c r="Q118" s="3">
        <f>1951.1+(465.1-741.4)+(-1.990122+(-0.474402--0.756228))+0-0-0</f>
        <v>1673.0917039999999</v>
      </c>
      <c r="R118" s="3">
        <f>2034+(325-648.3)+(-1.03734+(-0.16575--0.330633))+66-0-0</f>
        <v>1775.8275430000001</v>
      </c>
      <c r="S118" s="3">
        <f>2014.5+(396.3-604.4)+(-1.027395+(-0.202113--0.308244))+66-0-0</f>
        <v>1871.478736</v>
      </c>
      <c r="T118" s="3">
        <f>2017.8+(477-640.8)+(2.058156+(0.48654-0.653616))+66-0-0</f>
        <v>1921.8910800000001</v>
      </c>
      <c r="U118" s="3">
        <f>2150.8+(434.1-746.1)+(-2.193816+(-0.442782--0.761022))+66-0-0</f>
        <v>1902.9244240000003</v>
      </c>
      <c r="V118" s="3">
        <f>2155.5+(415.2-797.5)+(2.19861+(0.423504-0.81345))+49.5-0-0</f>
        <v>1824.508664</v>
      </c>
      <c r="W118" s="3">
        <f>2157.5+(387.2-843.8)+(-2.20065+(-0.394944--0.860676))+0-0-0</f>
        <v>1699.165082</v>
      </c>
      <c r="X118" s="3">
        <f>2147.6+(312-869.8)+(-7.666932+(-1.11384--3.105186))+0-0-0</f>
        <v>1584.1244139999999</v>
      </c>
      <c r="Y118" s="3">
        <f>2118.3+(296.2-892.7)+(2.160666+(0.302124-0.910554))+0-0-0</f>
        <v>1523.3522360000002</v>
      </c>
      <c r="Z118" s="3">
        <f>2174+(366.6-852.8)+(-3.32622+(-0.560898--1.304784))+0-0-0</f>
        <v>1685.2176660000002</v>
      </c>
      <c r="AA118" s="3">
        <f>2189.6+(486.7-791.9)+(-2.233392+(-0.496434--0.807738))+0-0-0</f>
        <v>1882.4779119999998</v>
      </c>
      <c r="AB118" s="3">
        <f>2188.4+(487-729.2)+(0+(0-0))+0-0-0</f>
        <v>1946.2</v>
      </c>
      <c r="AC118" s="3">
        <f>2185.7+(490.5-678.9)+(-2.229414+(-0.50031--0.692478))+0-0-0</f>
        <v>1995.2627539999996</v>
      </c>
      <c r="AD118">
        <f t="shared" si="1"/>
        <v>41990.785967999997</v>
      </c>
      <c r="AE118" s="3">
        <f>2192+(561.8-800)+(0+(0-0))+0-0-0</f>
        <v>1953.8</v>
      </c>
    </row>
    <row r="119" spans="1:31" s="2" customFormat="1" x14ac:dyDescent="0.25">
      <c r="A119">
        <v>89</v>
      </c>
      <c r="B119">
        <v>4</v>
      </c>
      <c r="C119">
        <v>26</v>
      </c>
      <c r="D119">
        <v>1</v>
      </c>
      <c r="E119">
        <v>1</v>
      </c>
      <c r="F119" s="3">
        <f>2079+(438.3-531.6)+(-3.18087+(-0.670599--0.813348))+0-0-0</f>
        <v>1982.661879</v>
      </c>
      <c r="G119" s="3">
        <f>1672.7+(442.3-214)+(-2.559231+(-0.676719--0.32742))+0-0-0</f>
        <v>1898.0914700000001</v>
      </c>
      <c r="H119" s="3">
        <f>1424.8+(427.7-46)+(-0.726648+(-0.218127--0.02346))+0-0-0</f>
        <v>1805.578685</v>
      </c>
      <c r="I119" s="3">
        <f>1446.8+(378.8-113.2)+(-4.427208+(-1.159128--0.346392))+0-0-0</f>
        <v>1707.1600560000002</v>
      </c>
      <c r="J119" s="3">
        <f>1422.4+(291-81.5)+(-1.450848+(-0.29682--0.08313))+0-0-0</f>
        <v>1630.2354620000001</v>
      </c>
      <c r="K119" s="3">
        <f>1437.9+(302.3-209)+(-2.933316+(-0.616692--0.42636))+0-0-0</f>
        <v>1528.076352</v>
      </c>
      <c r="L119" s="3">
        <f>1453.7+(260.3-343.7)+(-3.706935+(-0.663765--0.876435))+0-0-0</f>
        <v>1366.8057350000001</v>
      </c>
      <c r="M119" s="3">
        <f>1548.5+(196.1-379)+(0.789735+(0.100011-0.19329))+0-0-0</f>
        <v>1366.2964559999998</v>
      </c>
      <c r="N119" s="3">
        <f>2006.2+(381-915.7)+(0+(0-0))+0-0-0</f>
        <v>1471.5</v>
      </c>
      <c r="O119" s="3">
        <f>2303.9+(412.3-1158.4)+(1.174989+(0.210273-0.590784))+0-0-0</f>
        <v>1558.594478</v>
      </c>
      <c r="P119" s="3">
        <f>2317.4+(389.9-1186.6)+(1.181874+(0.198849-0.605166))+135-0-0</f>
        <v>1656.4755570000002</v>
      </c>
      <c r="Q119" s="3">
        <f>2315.7+(428-1183.2)+(0+(0-0))+135-0-0</f>
        <v>1695.4999999999998</v>
      </c>
      <c r="R119" s="3">
        <f>2353.8+(447.3-1167.6)+(0+(0-0))+135-0-0</f>
        <v>1768.5000000000002</v>
      </c>
      <c r="S119" s="3">
        <f>2332.1+(458.6-1076.9)+(0+(0-0))+135-0-0</f>
        <v>1848.7999999999997</v>
      </c>
      <c r="T119" s="3">
        <f>2298.1+(486.4-1026.6)+(1.172031+(0.248064-0.523566))+135-0-0</f>
        <v>1893.7965290000002</v>
      </c>
      <c r="U119" s="3">
        <f>2293.5+(493.8-1046.9)+(2.33937+(0.503676-1.067838))+135-0-0</f>
        <v>1877.1752079999999</v>
      </c>
      <c r="V119" s="3">
        <f>2291.9+(499.8-1093)+(-1.168869+(-0.254898--0.55743))+135-0-0</f>
        <v>1832.8336630000001</v>
      </c>
      <c r="W119" s="3">
        <f>2316.8+(500.8-1110.4)+(0+(0-0))+0-0-0</f>
        <v>1707.2</v>
      </c>
      <c r="X119" s="3">
        <f>2287.1+(491.3-1167.4)+(-3.499263+(-0.751689--1.786122))+0-0-0</f>
        <v>1608.5351699999999</v>
      </c>
      <c r="Y119" s="3">
        <f>2287.2+(377.2-1111.5)+(0+(0-0))+0-0-0</f>
        <v>1552.8999999999999</v>
      </c>
      <c r="Z119" s="3">
        <f>2330.7+(390.6-1049.3)+(0+(0-0))+0-0-0</f>
        <v>1672</v>
      </c>
      <c r="AA119" s="3">
        <f>2338.2+(489.6-1019.3)+(-3.577446+(-0.749088--1.559529))+0-0-0</f>
        <v>1805.7329950000001</v>
      </c>
      <c r="AB119" s="3">
        <f>2339+(481.1-1015.4)+(-4.77156+(-0.981444--2.071416))+0-0-0</f>
        <v>1801.0184120000001</v>
      </c>
      <c r="AC119" s="3">
        <f>2318.8+(452.5-980.5)+(-4.730352+(-0.9231--2.00022))+0-0-0</f>
        <v>1787.1467680000003</v>
      </c>
      <c r="AD119">
        <f t="shared" si="1"/>
        <v>40822.614874999999</v>
      </c>
      <c r="AE119" s="3">
        <f>2370+(490.1-1013.5)+(0+(0-0))+0-0-0</f>
        <v>1846.6</v>
      </c>
    </row>
    <row r="120" spans="1:31" s="2" customFormat="1" x14ac:dyDescent="0.25">
      <c r="A120">
        <v>89</v>
      </c>
      <c r="B120">
        <v>4</v>
      </c>
      <c r="C120">
        <v>27</v>
      </c>
      <c r="D120">
        <v>2</v>
      </c>
      <c r="E120">
        <v>1</v>
      </c>
      <c r="F120" s="3">
        <f>2312.1+(353.8-931.4)+(-4.716684+(-0.721752--1.900056))+0-0-0</f>
        <v>1730.96162</v>
      </c>
      <c r="G120" s="3">
        <f>2072.2+(340.3-779.1)+(-1.056822+(-0.173553--0.397341))+0-0-0</f>
        <v>1632.5669659999999</v>
      </c>
      <c r="H120" s="3">
        <f>1720+(362.1-541.1)+(0+(0-0))+0-0-0</f>
        <v>1541</v>
      </c>
      <c r="I120" s="3">
        <f>1497.5+(386.8-415.6)+(-2.291175+(-0.591804--0.635868))+0-0-0</f>
        <v>1466.4528890000001</v>
      </c>
      <c r="J120" s="3">
        <f>1433+(352.5-370)+(-1.46166+(-0.35955--0.3774))+0-0-0</f>
        <v>1414.05619</v>
      </c>
      <c r="K120" s="3">
        <f>1450.2+(314.1-433.4)+(-3.69801+(-0.800955--1.10517))+0-0-0</f>
        <v>1327.5062050000001</v>
      </c>
      <c r="L120" s="3">
        <f>1510.9+(259.2-567.2)+(-3.082236+(-0.528768--1.157088))+0-0-0</f>
        <v>1200.4460840000002</v>
      </c>
      <c r="M120" s="3">
        <f>1544.1+(256.6-540.2)+(-0.787491+(-0.130866--0.275502))+0-0-0</f>
        <v>1259.8571449999999</v>
      </c>
      <c r="N120" s="3">
        <f>1663.3+(364-631.2)+(-1.696566+(-0.37128--0.643824))+0-0-0</f>
        <v>1394.675978</v>
      </c>
      <c r="O120" s="3">
        <f>2089.1+(354.2-917.3)+(1.065441+(0.180642-0.467823))+0-0-0</f>
        <v>1526.77826</v>
      </c>
      <c r="P120" s="3">
        <f>2345.8+(469.2-1188.4)+(1.196358+(0.239292-0.606084))+43.3-0-0</f>
        <v>1670.7295660000002</v>
      </c>
      <c r="Q120" s="3">
        <f>2363.3+(469.8-1187.6)+(2.410566+(0.479196-1.211352))+130-0-0</f>
        <v>1777.1784100000002</v>
      </c>
      <c r="R120" s="3">
        <f>2361+(458.4-1070.5)+(1.20411+(0.233784-0.545955))+130-0-0</f>
        <v>1879.7919390000002</v>
      </c>
      <c r="S120" s="3">
        <f>2423.7+(508.6-1063.7)+(1.236087+(0.259386-0.542487))+130-0-0</f>
        <v>1999.5529859999999</v>
      </c>
      <c r="T120" s="3">
        <f>2493.2+(513.7-1057.6)+(2.543064+(0.523974-1.078752))+130-0-0</f>
        <v>2081.288286</v>
      </c>
      <c r="U120" s="3">
        <f>2490.5+(530.4-1077.4)+(2.54031+(0.541008-1.098948))+130-0-0</f>
        <v>2075.4823699999997</v>
      </c>
      <c r="V120" s="3">
        <f>2509.9+(526.9-1144)+(1.280049+(0.268719-0.58344))+130-0-0</f>
        <v>2023.7653280000002</v>
      </c>
      <c r="W120" s="3">
        <f>2547.6+(501.2-1179.4)+(0+(0-0))+21.7-0-0</f>
        <v>1891.1</v>
      </c>
      <c r="X120" s="3">
        <f>2516.6+(464.4-1232.9)+(-3.850398+(-0.710532--1.886337))+0-0-0</f>
        <v>1745.425407</v>
      </c>
      <c r="Y120" s="3">
        <f>2492.8+(319.4-1196.7)+(-1.271328+(-0.162894--0.610317))+0-0-0</f>
        <v>1614.676095</v>
      </c>
      <c r="Z120" s="3">
        <f>2512.8+(444.6-1212.9)+(1.281528+(0.226746-0.618579))+0-0-0</f>
        <v>1745.3896950000001</v>
      </c>
      <c r="AA120" s="3">
        <f>2516.6+(504.9-1100.9)+(0+(0-0))+0-0-0</f>
        <v>1920.6</v>
      </c>
      <c r="AB120" s="3">
        <f>2512.5+(510.2-1083.9)+(-5.1255+(-1.040808--2.211156))+0-0-0</f>
        <v>1934.844848</v>
      </c>
      <c r="AC120" s="3">
        <f>2507.4+(439.3-1005.5)+(-2.557548+(-0.448086--1.02561))+0-0-0</f>
        <v>1939.2199760000001</v>
      </c>
      <c r="AD120">
        <f t="shared" si="1"/>
        <v>40793.346242999993</v>
      </c>
      <c r="AE120" s="3">
        <f>2515+(540.3-1092)+(0+(0-0))+0-0-0</f>
        <v>1963.3</v>
      </c>
    </row>
    <row r="121" spans="1:31" s="2" customFormat="1" x14ac:dyDescent="0.25">
      <c r="A121">
        <v>89</v>
      </c>
      <c r="B121">
        <v>4</v>
      </c>
      <c r="C121">
        <v>28</v>
      </c>
      <c r="D121">
        <v>3</v>
      </c>
      <c r="E121">
        <v>1</v>
      </c>
      <c r="F121" s="3">
        <f>2498.7+(376.1-980.8)+(-3.823011+(-0.575433--1.500624))+0-0-0</f>
        <v>1891.1021800000001</v>
      </c>
      <c r="G121" s="3">
        <f>2164.1+(396-782.5)+(-2.207382+(-0.40392--0.79815))+0-0-0</f>
        <v>1775.786848</v>
      </c>
      <c r="H121" s="3">
        <f>1849.3+(366.8-535.2)+(-3.772572+(-0.748272--1.091808))+0-0-0</f>
        <v>1677.4709639999999</v>
      </c>
      <c r="I121" s="3">
        <f>1722.5+(329.7-450.6)+(-2.635425+(-0.504441--0.689418))+0-0-0</f>
        <v>1599.1495519999999</v>
      </c>
      <c r="J121" s="3">
        <f>1711.7+(283.1-461.8)+(-1.745934+(-0.288762--0.471036))+0-0-0</f>
        <v>1531.43634</v>
      </c>
      <c r="K121" s="3">
        <f>1703.7+(292.8-576.6)+(-3.475548+(-0.597312--1.176264))+0-0-0</f>
        <v>1417.003404</v>
      </c>
      <c r="L121" s="3">
        <f>1704.4+(204.9-622.4)+(-3.476976+(-0.417996--1.269696))+0-0-0</f>
        <v>1284.2747240000001</v>
      </c>
      <c r="M121" s="3">
        <f>1803.8+(242.6-699.9)+(-2.759814+(-0.371178--1.070847))+0-0-0</f>
        <v>1344.4398550000001</v>
      </c>
      <c r="N121" s="3">
        <f>2141.8+(345.4-981.8)+(1.092318+(0.176154-0.500718))+0-0-0</f>
        <v>1506.1677540000001</v>
      </c>
      <c r="O121" s="3">
        <f>2387.3+(313.2-1064.3)+(1.217523+(0.159732-0.542793))+0-0-0</f>
        <v>1637.0344620000003</v>
      </c>
      <c r="P121" s="3">
        <f>2508.3+(359.8-1128.3)+(0+(0-0))+0-0-0</f>
        <v>1739.8000000000002</v>
      </c>
      <c r="Q121" s="3">
        <f>2496.2+(349.1-1018.3)+(1.273062+(0.178041-0.519333))+0-0-0</f>
        <v>1827.9317699999999</v>
      </c>
      <c r="R121" s="3">
        <f>2494.8+(371.2-905.2)+(-1.272348+(-0.189312--0.461652))+0-0-0</f>
        <v>1959.7999920000002</v>
      </c>
      <c r="S121" s="3">
        <f>2491.2+(374-775.8)+(-1.270512+(-0.19074--0.395658))+0-0-0</f>
        <v>2088.3344059999995</v>
      </c>
      <c r="T121" s="3">
        <f>2469.5+(392.4-732.1)+(2.51889+(0.400248-0.746742))+0-0-0</f>
        <v>2131.9723960000001</v>
      </c>
      <c r="U121" s="3">
        <f>2391.3+(377.4-682.4)+(1.219563+(0.192474-0.348024))+0-0-0</f>
        <v>2087.3640130000003</v>
      </c>
      <c r="V121" s="3">
        <f>2477.4+(350.3-815.7)+(-2.526948+(-0.357306--0.832014))+0-0-0</f>
        <v>2009.94776</v>
      </c>
      <c r="W121" s="3">
        <f>2487.8+(366.3-955.6)+(-5.075112+(-0.747252--1.949424))+0-0-0</f>
        <v>1894.6270600000003</v>
      </c>
      <c r="X121" s="3">
        <f>2478.8+(346.6-1074)+(-5.056752+(-0.707064--2.19096))+0-0-0</f>
        <v>1747.8271440000001</v>
      </c>
      <c r="Y121" s="3">
        <f>2491.1+(266.3-1106.1)+(0+(0-0))+0-0-0</f>
        <v>1651.3</v>
      </c>
      <c r="Z121" s="3">
        <f>2515.4+(268.9-985.9)+(1.282854+(0.137139-0.502809))+0-0-0</f>
        <v>1799.317184</v>
      </c>
      <c r="AA121" s="3">
        <f>2528.1+(317.2-877.3)+(-2.578662+(-0.323544--0.894846))+0-0-0</f>
        <v>1965.9926399999999</v>
      </c>
      <c r="AB121" s="3">
        <f>2523.7+(369.5-887.9)+(-1.287087+(-0.188445--0.452829))+0-0-0</f>
        <v>2004.2772969999996</v>
      </c>
      <c r="AC121" s="3">
        <f>2465.5+(381.2-852.9)+(0+(0-0))+0-0-0</f>
        <v>1993.8</v>
      </c>
      <c r="AD121">
        <f t="shared" si="1"/>
        <v>42566.157744999997</v>
      </c>
      <c r="AE121" s="3">
        <f>2527+(360.5-859.8)+(0+(0-0))+0-0-0</f>
        <v>2027.7</v>
      </c>
    </row>
    <row r="122" spans="1:31" s="2" customFormat="1" x14ac:dyDescent="0.25">
      <c r="A122">
        <v>89</v>
      </c>
      <c r="B122">
        <v>4</v>
      </c>
      <c r="C122">
        <v>29</v>
      </c>
      <c r="D122">
        <v>4</v>
      </c>
      <c r="E122">
        <v>1</v>
      </c>
      <c r="F122" s="3">
        <f>2324.5+(417-785.2)+(-4.74198+(-0.85068--1.601808))+0-0-0</f>
        <v>1952.3091480000001</v>
      </c>
      <c r="G122" s="3">
        <f>1952.6+(389.8-515.5)+(-5.974956+(-1.192788--1.57743))+0-0-0</f>
        <v>1821.3096859999998</v>
      </c>
      <c r="H122" s="3">
        <f>1612.1+(460-353.2)+(-2.466513+(-0.7038--0.540396))+0-0-0</f>
        <v>1716.2700829999999</v>
      </c>
      <c r="I122" s="3">
        <f>1614.3+(409.2-359)+(-2.469879+(-0.626076--0.54927))+0-0-0</f>
        <v>1661.953315</v>
      </c>
      <c r="J122" s="3">
        <f>1614.2+(407.9-431.8)+(1.646484+(0.416058-0.440436))+0-0-0</f>
        <v>1591.922106</v>
      </c>
      <c r="K122" s="3">
        <f>1612+(409.9-542.1)+(-1.64424+(-0.418098--0.552942))+0-0-0</f>
        <v>1478.290604</v>
      </c>
      <c r="L122" s="3">
        <f>1601.3+(336.8-615.2)+(-4.899978+(-1.030608--1.882512))+0-0-0</f>
        <v>1318.8519259999998</v>
      </c>
      <c r="M122" s="3">
        <f>1712.4+(337.7-681.5)+(0.873324+(0.172227-0.347565))+0-0-0</f>
        <v>1369.297986</v>
      </c>
      <c r="N122" s="3">
        <f>1984.7+(365.2-887.3)+(1.012197+(0.186252-0.452523))+0-0-0</f>
        <v>1463.3459260000002</v>
      </c>
      <c r="O122" s="3">
        <f>2320.1+(394.6-1107)+(2.366502+(0.402492-1.12914))+0-0-0</f>
        <v>1609.3398539999998</v>
      </c>
      <c r="P122" s="3">
        <f>2342.1+(405.4-1048.1)+(2.388942+(0.413508-1.069062))+0-0-0</f>
        <v>1701.1333880000002</v>
      </c>
      <c r="Q122" s="3">
        <f>2366.6+(427.4-1005.9)+(1.206966+(0.217974-0.513009))+0-0-0</f>
        <v>1789.011931</v>
      </c>
      <c r="R122" s="3">
        <f>2363.4+(447.9-907.1)+(3.616002+(0.685287-1.387863))+0-0-0</f>
        <v>1907.1134260000001</v>
      </c>
      <c r="S122" s="3">
        <f>2362+(450.1-762.4)+(1.20462+(0.229551-0.388824))+0-0-0</f>
        <v>2050.745347</v>
      </c>
      <c r="T122" s="3">
        <f>2360.7+(469.7-683.6)+(4.815828+(0.958188-1.394544))+0-0-0</f>
        <v>2151.1794719999998</v>
      </c>
      <c r="U122" s="3">
        <f>2434.1+(451.8-732.8)+(1.241391+(0.230418-0.373728))+0-0-0</f>
        <v>2154.198081</v>
      </c>
      <c r="V122" s="3">
        <f>2481+(427.7-803.4)+(-1.26531+(-0.218127--0.409734))+0-0-0</f>
        <v>2104.2262970000002</v>
      </c>
      <c r="W122" s="3">
        <f>2482.8+(433.4-909.9)+(-3.798684+(-0.663102--1.392147))+0-0-0</f>
        <v>2003.2303610000001</v>
      </c>
      <c r="X122" s="3">
        <f>2485.2+(409.3-1044.5)+(-3.802356+(-0.626229--1.598085))+0-0-0</f>
        <v>1847.1694999999997</v>
      </c>
      <c r="Y122" s="3">
        <f>2491.8+(426.2-1186.6)+(-3.812454+(-0.652086--1.815498))+0-0-0</f>
        <v>1728.7509580000003</v>
      </c>
      <c r="Z122" s="3">
        <f>2516.4+(454-1092.6)+(0+(0-0))+0-0-0</f>
        <v>1877.8000000000002</v>
      </c>
      <c r="AA122" s="3">
        <f>2521.6+(486.1-913.5)+(-1.286016+(-0.247911--0.465885))+0-0-0</f>
        <v>2093.1319579999999</v>
      </c>
      <c r="AB122" s="3">
        <f>2523.9+(483-881)+(-2.574378+(-0.49266--0.89862))+0-0-0</f>
        <v>2123.7315819999999</v>
      </c>
      <c r="AC122" s="3">
        <f>2513.4+(489.6-883.3)+(2.563668+(0.499392-0.900966))+0-0-0</f>
        <v>2121.8620940000001</v>
      </c>
      <c r="AD122">
        <f t="shared" si="1"/>
        <v>43636.175028999991</v>
      </c>
      <c r="AE122" s="3">
        <f>2517+(518.4-902.3)+(0+(0-0))+0-0-0</f>
        <v>2133.1</v>
      </c>
    </row>
    <row r="123" spans="1:31" s="2" customFormat="1" x14ac:dyDescent="0.25">
      <c r="A123">
        <v>89</v>
      </c>
      <c r="B123">
        <v>4</v>
      </c>
      <c r="C123">
        <v>30</v>
      </c>
      <c r="D123">
        <v>5</v>
      </c>
      <c r="E123">
        <v>1</v>
      </c>
      <c r="F123" s="3">
        <f>2459.2+(415-806.2)+(0+(0-0))+0-0-0</f>
        <v>2068</v>
      </c>
      <c r="G123" s="3">
        <f>2062.8+(416.7-552.3)+(-1.052028+(-0.212517--0.281673))+0-0-0</f>
        <v>1926.2171280000002</v>
      </c>
      <c r="H123" s="3">
        <f>1687.2+(450.9-325.7)+(0.860472+(0.229959-0.166107))+0-0-0</f>
        <v>1813.3243240000002</v>
      </c>
      <c r="I123" s="3">
        <f>1605.4+(448.3-338.3)+(-0.818754+(-0.228633--0.172533))+0-0-0</f>
        <v>1714.5251460000002</v>
      </c>
      <c r="J123" s="3">
        <f>1605.5+(417-390.3)+(-1.63761+(-0.42534--0.398106))+0-0-0</f>
        <v>1630.5351560000001</v>
      </c>
      <c r="K123" s="3">
        <f>1605+(400.8-504)+(-0.81855+(-0.204408--0.25704))+0-0-0</f>
        <v>1501.0340819999999</v>
      </c>
      <c r="L123" s="3">
        <f>1608.6+(308.6-580.6)+(-0.820386+(-0.157386--0.296106))+0-0-0</f>
        <v>1335.918334</v>
      </c>
      <c r="M123" s="3">
        <f>1831.4+(218.3-651.8)+(-0.934014+(-0.111333--0.332418))+0-0-0</f>
        <v>1397.1870710000001</v>
      </c>
      <c r="N123" s="3">
        <f>2174.2+(299.3-910.6)+(-1.108842+(-0.152643--0.464406))+0-0-0</f>
        <v>1562.1029209999999</v>
      </c>
      <c r="O123" s="3">
        <f>2330.4+(413.6-1034.6)+(0+(0-0))+0-0-0</f>
        <v>1709.4</v>
      </c>
      <c r="P123" s="3">
        <f>2458.2+(477-1112.6)+(-1.253682+(-0.24327--0.567426))+0-0-0</f>
        <v>1821.670474</v>
      </c>
      <c r="Q123" s="3">
        <f>2472.1+(481.1-1025)+(1.260771+(0.245361-0.52275))+0-0-0</f>
        <v>1929.1833819999997</v>
      </c>
      <c r="R123" s="3">
        <f>2468.4+(491.7-916.6)+(-1.258884+(-0.250767--0.467466))+16.3-0-0</f>
        <v>2058.7578149999999</v>
      </c>
      <c r="S123" s="3">
        <f>2491.5+(490-803.2)+(-1.270665+(-0.2499--0.409632))+65-0-0</f>
        <v>2242.1890670000003</v>
      </c>
      <c r="T123" s="3">
        <f>2514.8+(517.5-731.6)+(3.847644+(0.791775-1.119348))+65-0-0</f>
        <v>2369.2200710000002</v>
      </c>
      <c r="U123" s="3">
        <f>2463+(511.6-661.9)+(0+(0-0))+65-0-0</f>
        <v>2377.6999999999998</v>
      </c>
      <c r="V123" s="3">
        <f>2461.8+(484.8-681.1)+(-1.255518+(-0.247248--0.347361))+65-0-0</f>
        <v>2329.344595</v>
      </c>
      <c r="W123" s="3">
        <f>2457+(472-777.1)+(-3.75921+(-0.72216--1.188963))+43.3-0-0</f>
        <v>2191.9075930000004</v>
      </c>
      <c r="X123" s="3">
        <f>2458.2+(462-929.2)+(-3.761046+(-0.70686--1.421676))+0-0-0</f>
        <v>1987.9537699999998</v>
      </c>
      <c r="Y123" s="3">
        <f>2466.8+(416.6-1063.1)+(1.258068+(0.212466-0.542181))+0-0-0</f>
        <v>1821.2283530000002</v>
      </c>
      <c r="Z123" s="3">
        <f>2503.6+(457.4-1023.9)+(2.553672+(0.466548-1.044378))+0-0-0</f>
        <v>1939.075842</v>
      </c>
      <c r="AA123" s="3">
        <f>2515.1+(528.4-852.5)+(-1.282701+(-0.269484--0.434775))+0-0-0</f>
        <v>2189.8825900000002</v>
      </c>
      <c r="AB123" s="3">
        <f>2515.4+(453.8-802.2)+(-1.282854+(-0.231438--0.409122))+0-0-0</f>
        <v>2165.8948300000002</v>
      </c>
      <c r="AC123" s="3">
        <f>2514+(499.9-756.8)+(-2.56428+(-0.509898--0.771936))+0-0-0</f>
        <v>2254.7977579999997</v>
      </c>
      <c r="AD123">
        <f t="shared" si="1"/>
        <v>46337.050301999996</v>
      </c>
      <c r="AE123" s="3">
        <f>2512+(536.9-850.6)+(0+(0-0))+0-0-0</f>
        <v>2198.3000000000002</v>
      </c>
    </row>
    <row r="124" spans="1:31" s="2" customFormat="1" x14ac:dyDescent="0.25">
      <c r="A124">
        <v>89</v>
      </c>
      <c r="B124">
        <v>4</v>
      </c>
      <c r="C124">
        <v>31</v>
      </c>
      <c r="D124">
        <v>6</v>
      </c>
      <c r="E124">
        <v>1</v>
      </c>
      <c r="F124" s="3">
        <f>2500.5+(423.7-733.8)+(-2.55051+(-0.432174--0.748476))+0-0-0</f>
        <v>2188.1657920000002</v>
      </c>
      <c r="G124" s="3">
        <f>2254+(382.3-608.9)+(2.29908+(0.389946-0.621078))+0-0-0</f>
        <v>2029.467948</v>
      </c>
      <c r="H124" s="3">
        <f>2036.9+(387.3-526.4)+(-4.155276+(-0.790092--1.073856))+0-0-0</f>
        <v>1893.9284880000002</v>
      </c>
      <c r="I124" s="3">
        <f>1908.4+(401.2-451.6)+(-4.86642+(-1.02306--1.15158))+0-0-0</f>
        <v>1853.2620999999999</v>
      </c>
      <c r="J124" s="3">
        <f>1855.1+(287-424.5)+(0.946101+(0.14637-0.216495))+0-0-0</f>
        <v>1718.4759759999999</v>
      </c>
      <c r="K124" s="3">
        <f>1820.3+(294.6-526.5)+(-4.641765+(-0.75123--1.342575))+0-0-0</f>
        <v>1584.3495800000001</v>
      </c>
      <c r="L124" s="3">
        <f>1767.4+(308.5-653.1)+(-1.802748+(-0.31467--0.666162))+0-0-0</f>
        <v>1421.3487440000001</v>
      </c>
      <c r="M124" s="3">
        <f>1795.2+(248.3-591)+(-0.915552+(-0.126633--0.30141))+0-0-0</f>
        <v>1451.759225</v>
      </c>
      <c r="N124" s="3">
        <f>1976.2+(304.7-701.1)+(1.007862+(0.155397-0.357561))+0-0-0</f>
        <v>1580.6056979999998</v>
      </c>
      <c r="O124" s="3">
        <f>2343.5+(437.9-1026.5)+(0+(0-0))+0-0-0</f>
        <v>1754.9</v>
      </c>
      <c r="P124" s="3">
        <f>2467+(426.8-1029.1)+(0+(0-0))+0-0-0</f>
        <v>1864.7</v>
      </c>
      <c r="Q124" s="3">
        <f>2471.4+(473.2-964.1)+(0+(0-0))+0-0-0</f>
        <v>1980.5</v>
      </c>
      <c r="R124" s="3">
        <f>2467.7+(547.3-849)+(1.258527+(0.279123-0.43299))+0-0-0</f>
        <v>2167.10466</v>
      </c>
      <c r="S124" s="3">
        <f>2464.7+(534.4-737.7)+(1.256997+(0.272544-0.376227))+0-0-0</f>
        <v>2262.5533139999998</v>
      </c>
      <c r="T124" s="3">
        <f>2455+(537.8-648.2)+(2.5041+(0.548556-0.661164))+0-0-0</f>
        <v>2346.9914920000001</v>
      </c>
      <c r="U124" s="3">
        <f>2457.9+(533.8-647.4)+(0+(0-0))+0-0-0</f>
        <v>2344.3000000000002</v>
      </c>
      <c r="V124" s="3">
        <f>2458.2+(480.7-701.2)+(0+(0-0))+0-0-0</f>
        <v>2237.6999999999998</v>
      </c>
      <c r="W124" s="3">
        <f>2454.3+(478.6-849.9)+(-2.503386+(-0.488172--0.866898))+0-0-0</f>
        <v>2080.8753400000001</v>
      </c>
      <c r="X124" s="3">
        <f>2463.1+(476.5-1014.8)+(-7.537086+(-1.45809--3.105288))+0-0-0</f>
        <v>1918.910112</v>
      </c>
      <c r="Y124" s="3">
        <f>2470.3+(429.4-1135.1)+(-1.259853+(-0.218994--0.578901))+0-0-0</f>
        <v>1763.7000540000004</v>
      </c>
      <c r="Z124" s="3">
        <f>2496.8+(438-1023)+(-5.093472+(-0.89352--2.08692))+0-0-0</f>
        <v>1907.8999280000003</v>
      </c>
      <c r="AA124" s="3">
        <f>2510.5+(489.8-898)+(-5.12142+(-0.999192--1.83192))+0-0-0</f>
        <v>2098.0113080000001</v>
      </c>
      <c r="AB124" s="3">
        <f>2495+(472-839.8)+(0+(0-0))+0-0-0</f>
        <v>2127.1999999999998</v>
      </c>
      <c r="AC124" s="3">
        <f>2482.4+(414.9-752.4)+(-2.532048+(-0.423198--0.767448))+0-0-0</f>
        <v>2142.7122020000002</v>
      </c>
      <c r="AD124">
        <f t="shared" si="1"/>
        <v>46719.421961</v>
      </c>
      <c r="AE124" s="3">
        <f>2510+(485.3-867)+(0+(0-0))+0-0-0</f>
        <v>2128.3000000000002</v>
      </c>
    </row>
    <row r="125" spans="1:31" s="2" customFormat="1" x14ac:dyDescent="0.25">
      <c r="A125">
        <v>89</v>
      </c>
      <c r="B125">
        <v>5</v>
      </c>
      <c r="C125">
        <v>1</v>
      </c>
      <c r="D125">
        <v>7</v>
      </c>
      <c r="E125">
        <v>1</v>
      </c>
      <c r="F125" s="3">
        <f>2462+(404-738.8)+(-1.25562+(-0.20604--0.376788))+0-0-0</f>
        <v>2126.1151279999999</v>
      </c>
      <c r="G125" s="3">
        <f>2213.9+(424.6-582.9)+(-6.774534+(-1.299276--1.783674))+0-0-0</f>
        <v>2049.3098640000003</v>
      </c>
      <c r="H125" s="3">
        <f>1889.6+(469.5-405.1)+(-4.81848+(-1.197225--1.033005))+0-0-0</f>
        <v>1949.0173</v>
      </c>
      <c r="I125" s="3">
        <f>1746.1+(487-374.8)+(0.890511+(0.24837-0.191148))+0-0-0</f>
        <v>1859.2477329999999</v>
      </c>
      <c r="J125" s="3">
        <f>1574.3+(499.5-315.4)+(-0.802893+(-0.254745--0.160854))+0-0-0</f>
        <v>1757.5032160000001</v>
      </c>
      <c r="K125" s="3">
        <f>1501.7+(445.4-349.2)+(-1.531734+(-0.454308--0.356184))+0-0-0</f>
        <v>1596.2701420000001</v>
      </c>
      <c r="L125" s="3">
        <f>1503.6+(385.1-457.4)+(-0.766836+(-0.196401--0.233274))+0-0-0</f>
        <v>1430.570037</v>
      </c>
      <c r="M125" s="3">
        <f>1497.8+(361.3-476.5)+(-0.763878+(-0.184263--0.243015))+0-0-0</f>
        <v>1381.8948739999998</v>
      </c>
      <c r="N125" s="3">
        <f>1496.1+(415.4-486.7)+(0+(0-0))+0-0-0</f>
        <v>1424.8</v>
      </c>
      <c r="O125" s="3">
        <f>1597+(455.3-547)+(0.81447+(0.232203-0.27897))+0-0-0</f>
        <v>1506.0677029999999</v>
      </c>
      <c r="P125" s="3">
        <f>1861.4+(415.3-611.3)+(-1.898628+(-0.423606--0.623526))+0-0-0</f>
        <v>1663.7012920000002</v>
      </c>
      <c r="Q125" s="3">
        <f>2341.6+(429.6-1006.5)+(1.194216+(0.219096-0.513315))+0-0-0</f>
        <v>1765.5999969999998</v>
      </c>
      <c r="R125" s="3">
        <f>2451.9+(428.4-1080)+(-2.500938+(-0.436968--1.1016))+0-0-0</f>
        <v>1798.4636940000003</v>
      </c>
      <c r="S125" s="3">
        <f>2444.2+(445.7-967.7)+(-1.246542+(-0.227307--0.493527))+0-0-0</f>
        <v>1921.2196779999999</v>
      </c>
      <c r="T125" s="3">
        <f>2395.4+(400.2-861.7)+(-2.443308+(-0.408204--0.878934))+0-0-0</f>
        <v>1931.927422</v>
      </c>
      <c r="U125" s="3">
        <f>2419.8+(456.4-889.3)+(0+(0-0))+0-0-0</f>
        <v>1986.9</v>
      </c>
      <c r="V125" s="3">
        <f>2449.7+(447.5-928.7)+(0+(0-0))+0-0-0</f>
        <v>1968.4999999999998</v>
      </c>
      <c r="W125" s="3">
        <f>2451.5+(405.4-1014.7)+(-5.00106+(-0.827016--2.069988))+0-0-0</f>
        <v>1838.4419119999998</v>
      </c>
      <c r="X125" s="3">
        <f>2455.9+(354.3-1122.7)+(-2.505018+(-0.361386--1.145154))+0-0-0</f>
        <v>1685.7787499999999</v>
      </c>
      <c r="Y125" s="3">
        <f>2460.8+(327.3-1196.2)+(0+(0-0))+0-0-0</f>
        <v>1591.9</v>
      </c>
      <c r="Z125" s="3">
        <f>2500.1+(396.5-1132.1)+(-2.550102+(-0.40443--1.154742))+0-0-0</f>
        <v>1762.70021</v>
      </c>
      <c r="AA125" s="3">
        <f>2512.2+(488.6-1020.9)+(0+(0-0))+0-0-0</f>
        <v>1979.8999999999999</v>
      </c>
      <c r="AB125" s="3">
        <f>2499.9+(474.3-939.8)+(-2.549898+(-0.483786--0.958596))+0-0-0</f>
        <v>2032.324912</v>
      </c>
      <c r="AC125" s="3">
        <f>2452.8+(498-874.7)+(-1.250928+(-0.25398--0.446097))+0-0-0</f>
        <v>2075.0411890000005</v>
      </c>
      <c r="AD125">
        <f t="shared" si="1"/>
        <v>43083.19505300001</v>
      </c>
      <c r="AE125" s="3">
        <f>2517+(536.8-999.1)+(0+(0-0))+0-0-0</f>
        <v>2054.6999999999998</v>
      </c>
    </row>
    <row r="126" spans="1:31" s="2" customFormat="1" x14ac:dyDescent="0.25">
      <c r="A126">
        <v>89</v>
      </c>
      <c r="B126">
        <v>5</v>
      </c>
      <c r="C126">
        <v>2</v>
      </c>
      <c r="D126">
        <v>1</v>
      </c>
      <c r="E126">
        <v>1</v>
      </c>
      <c r="F126" s="3">
        <f>2238.3+(450.3-625.4)+(-1.141533+(-0.229653--0.318954))+0-0-0</f>
        <v>2062.1477680000003</v>
      </c>
      <c r="G126" s="3">
        <f>1954.1+(470.3-449.2)+(0.996591+(0.239853-0.229092))+0-0-0</f>
        <v>1976.2073519999999</v>
      </c>
      <c r="H126" s="3">
        <f>1730.8+(496.2-350)+(0.882708+(0.253062-0.1785))+0-0-0</f>
        <v>1877.9572700000001</v>
      </c>
      <c r="I126" s="3">
        <f>1666.4+(508.3-378)+(-1.699728+(-0.518466--0.38556))+0-0-0</f>
        <v>1794.8673659999999</v>
      </c>
      <c r="J126" s="3">
        <f>1591.1+(483.7-351.8)+(0+(0-0))+0-0-0</f>
        <v>1723</v>
      </c>
      <c r="K126" s="3">
        <f>1590.4+(443.6-427.7)+(-1.622208+(-0.452472--0.436254))+0-0-0</f>
        <v>1604.6615740000002</v>
      </c>
      <c r="L126" s="3">
        <f>1588.3+(327.2-492.1)+(0+(0-0))+0-0-0</f>
        <v>1423.3999999999999</v>
      </c>
      <c r="M126" s="3">
        <f>1589.5+(369-496.5)+(1.62129+(0.37638-0.50643))+0-0-0</f>
        <v>1463.4912400000001</v>
      </c>
      <c r="N126" s="3">
        <f>1777.7+(389.3-588.3)+(-1.813254+(-0.397086--0.600066))+0-0-0</f>
        <v>1577.0897260000002</v>
      </c>
      <c r="O126" s="3">
        <f>2253.8+(412.7-944.1)+(0+(0-0))+0-0-0</f>
        <v>1722.4</v>
      </c>
      <c r="P126" s="3">
        <f>2461.2+(452-982.1)+(1.255212+(0.23052-0.500871))+0-0-0</f>
        <v>1932.0848609999998</v>
      </c>
      <c r="Q126" s="3">
        <f>2607.1+(451.7-1069.8)+(0+(0-0))+75-0-0</f>
        <v>2064</v>
      </c>
      <c r="R126" s="3">
        <f>2599.9+(468.6-1052)+(1.325949+(0.238986-0.53652))+100-0-0</f>
        <v>2117.5284149999998</v>
      </c>
      <c r="S126" s="3">
        <f>2600.4+(508.9-938)+(1.326204+(0.259539-0.47838))+100-0-0</f>
        <v>2272.4073630000003</v>
      </c>
      <c r="T126" s="3">
        <f>2599+(520.3-840.2)+(1.32549+(0.265353-0.428502))+100-0-0</f>
        <v>2380.2623410000001</v>
      </c>
      <c r="U126" s="3">
        <f>2556+(497.1-743.7)+(1.30356+(0.253521-0.379287))+100-0-0</f>
        <v>2410.5777940000003</v>
      </c>
      <c r="V126" s="3">
        <f>2475.8+(502-720.9)+(-5.050632+(-1.02408--1.470636))+100-0-0</f>
        <v>2352.295924</v>
      </c>
      <c r="W126" s="3">
        <f>2472.8+(482.7-822.1)+(-2.522256+(-0.492354--0.838542))+58.3-0-0</f>
        <v>2189.5239320000001</v>
      </c>
      <c r="X126" s="3">
        <f>2461.7+(416.1-916.7)+(-5.021868+(-0.848844--1.870068))+0-0-0</f>
        <v>1957.0993559999999</v>
      </c>
      <c r="Y126" s="3">
        <f>2473.1+(305.4-979.3)+(-2.522562+(-0.311508--0.998886))+0-0-0</f>
        <v>1797.3648159999998</v>
      </c>
      <c r="Z126" s="3">
        <f>2502.6+(405.2-973.7)+(-2.552652+(-0.413304--0.993174))+0-0-0</f>
        <v>1932.1272179999999</v>
      </c>
      <c r="AA126" s="3">
        <f>2519.7+(482.1-850.8)+(-1.285047+(-0.245871--0.433908))+0-0-0</f>
        <v>2149.90299</v>
      </c>
      <c r="AB126" s="3">
        <f>2522.7+(484.9-821.7)+(0+(0-0))+0-0-0</f>
        <v>2185.8999999999996</v>
      </c>
      <c r="AC126" s="3">
        <f>2511.3+(427.3-737.4)+(-1.280763+(-0.217923--0.376074))+0-0-0</f>
        <v>2200.0773880000002</v>
      </c>
      <c r="AD126">
        <f t="shared" si="1"/>
        <v>47166.374694000013</v>
      </c>
      <c r="AE126" s="3">
        <f>2516+(518.3-869.7)+(0+(0-0))+0-0-0</f>
        <v>2164.6</v>
      </c>
    </row>
    <row r="127" spans="1:31" s="2" customFormat="1" x14ac:dyDescent="0.25">
      <c r="A127">
        <v>89</v>
      </c>
      <c r="B127">
        <v>5</v>
      </c>
      <c r="C127">
        <v>3</v>
      </c>
      <c r="D127">
        <v>2</v>
      </c>
      <c r="E127">
        <v>1</v>
      </c>
      <c r="F127" s="3">
        <f>2499.1+(410.4-742.6)+(-3.823623+(-0.627912--1.136178))+0-0-0</f>
        <v>2163.5846429999997</v>
      </c>
      <c r="G127" s="3">
        <f>2251.5+(361.6-563)+(-4.59306+(-0.737664--1.14852))+0-0-0</f>
        <v>2045.917796</v>
      </c>
      <c r="H127" s="3">
        <f>1932+(403-406.8)+(-1.97064+(-0.41106--0.414936))+0-0-0</f>
        <v>1926.233236</v>
      </c>
      <c r="I127" s="3">
        <f>1728.2+(402.5-297.2)+(0+(0-0))+0-0-0</f>
        <v>1833.5</v>
      </c>
      <c r="J127" s="3">
        <f>1722.8+(322.5-294.7)+(0+(0-0))+0-0-0</f>
        <v>1750.6</v>
      </c>
      <c r="K127" s="3">
        <f>1723.6+(270.9-367.1)+(-2.637108+(-0.414477--0.561663))+0-0-0</f>
        <v>1624.9100779999999</v>
      </c>
      <c r="L127" s="3">
        <f>1660.6+(233-392.7)+(0.846906+(0.11883-0.200277))+0-0-0</f>
        <v>1501.6654589999998</v>
      </c>
      <c r="M127" s="3">
        <f>1824.4+(311.2-653.1)+(1.860888+(0.317424-0.666162))+0-0-0</f>
        <v>1484.01215</v>
      </c>
      <c r="N127" s="3">
        <f>1927.4+(311.2-653.1)+(1.965948+(0.317424-0.666162))+0-0-0</f>
        <v>1587.1172099999999</v>
      </c>
      <c r="O127" s="3">
        <f>2080.1+(466.4-860.1)+(2.121702+(0.475728-0.877302))+0-0-0</f>
        <v>1688.1201279999998</v>
      </c>
      <c r="P127" s="3">
        <f>2319+(442.2-958.3)+(3.54807+(0.676566-1.466199))+0-0-0</f>
        <v>1805.658437</v>
      </c>
      <c r="Q127" s="3">
        <f>2396.6+(490.5-967.8)+(0+(0-0))+0-0-0</f>
        <v>1919.3</v>
      </c>
      <c r="R127" s="3">
        <f>2439.9+(493.2-898.1)+(-2.488698+(-0.503064--0.916062))+0-0-0</f>
        <v>2032.9242999999999</v>
      </c>
      <c r="S127" s="3">
        <f>2441.8+(510.6-748.8)+(-1.245318+(-0.260406--0.381888))+0-0-0</f>
        <v>2202.4761640000002</v>
      </c>
      <c r="T127" s="3">
        <f>2438.1+(538.1-666.3)+(1.243431+(0.274431-0.339813))+0-0-0</f>
        <v>2311.0780490000002</v>
      </c>
      <c r="U127" s="3">
        <f>2441+(544.8-653.3)+(2.48982+(0.555696-0.666366))+0-0-0</f>
        <v>2334.8791500000002</v>
      </c>
      <c r="V127" s="3">
        <f>2435.7+(524.9-701.8)+(-1.242207+(-0.267699--0.357918))+0-0-0</f>
        <v>2257.6480119999997</v>
      </c>
      <c r="W127" s="3">
        <f>2443.5+(501.5-833.1)+(-6.230925+(-1.278825--2.124405))+0-0-0</f>
        <v>2106.5146549999999</v>
      </c>
      <c r="X127" s="3">
        <f>2449.4+(342.2-878)+(-6.24597+(-0.87261--2.2389))+0-0-0</f>
        <v>1908.7203200000001</v>
      </c>
      <c r="Y127" s="3">
        <f>2453.9+(317-975.4)+(-2.502978+(-0.32334--0.994908))+0-0-0</f>
        <v>1793.66859</v>
      </c>
      <c r="Z127" s="3">
        <f>2477+(468.8-973.4)+(-3.78981+(-0.717264--1.489302))+0-0-0</f>
        <v>1969.3822280000002</v>
      </c>
      <c r="AA127" s="3">
        <f>2482.5+(519.7-804.2)+(-2.53215+(-0.530094--0.820284))+0-0-0</f>
        <v>2195.7580400000002</v>
      </c>
      <c r="AB127" s="3">
        <f>2479.4+(495-750.7)+(-1.264494+(-0.25245--0.382857))+0-0-0</f>
        <v>2222.5659129999999</v>
      </c>
      <c r="AC127" s="3">
        <f>2486.4+(360.5-607.8)+(0+(0-0))+0-0-0</f>
        <v>2239.1000000000004</v>
      </c>
      <c r="AD127">
        <f t="shared" si="1"/>
        <v>46905.334557999995</v>
      </c>
      <c r="AE127" s="3">
        <f>2477+(565.5-819.5)+(0+(0-0))+0-0-0</f>
        <v>2223</v>
      </c>
    </row>
    <row r="128" spans="1:31" s="2" customFormat="1" x14ac:dyDescent="0.25">
      <c r="A128">
        <v>89</v>
      </c>
      <c r="B128">
        <v>5</v>
      </c>
      <c r="C128">
        <v>4</v>
      </c>
      <c r="D128">
        <v>3</v>
      </c>
      <c r="E128">
        <v>1</v>
      </c>
      <c r="F128" s="3">
        <f>2396.5+(385.3-598.2)+(1.222215+(0.196503-0.305082))+0-0-0</f>
        <v>2184.713636</v>
      </c>
      <c r="G128" s="3">
        <f>2139.9+(422.8-497.4)+(1.091349+(0.215628-0.253674))+0-0-0</f>
        <v>2066.3533030000003</v>
      </c>
      <c r="H128" s="3">
        <f>1679+(518.7-253.3)+(-0.85629+(-0.264537--0.129183))+0-0-0</f>
        <v>1943.4083560000001</v>
      </c>
      <c r="I128" s="3">
        <f>1572+(465.2-188.7)+(-2.40516+(-0.711756--0.288711))+0-0-0</f>
        <v>1845.671795</v>
      </c>
      <c r="J128" s="3">
        <f>1572.4+(379-194.3)+(-2.405772+(-0.57987--0.297279))+0-0-0</f>
        <v>1754.4116370000002</v>
      </c>
      <c r="K128" s="3">
        <f>1572.3+(291.7-234.3)+(-1.603746+(-0.297534--0.238986))+0-0-0</f>
        <v>1628.0377059999998</v>
      </c>
      <c r="L128" s="3">
        <f>1572.7+(238.3-365)+(-2.406231+(-0.364599--0.55845))+0-0-0</f>
        <v>1443.7876200000001</v>
      </c>
      <c r="M128" s="3">
        <f>1749.4+(208-488.4)+(0+(0-0))+0-0-0</f>
        <v>1469</v>
      </c>
      <c r="N128" s="3">
        <f>2122.5+(233.8-743.7)+(1.082475+(0.119238-0.379287))+0-0-0</f>
        <v>1613.4224259999999</v>
      </c>
      <c r="O128" s="3">
        <f>2342+(354-950.2)+(0+(0-0))+0-0-0</f>
        <v>1745.8</v>
      </c>
      <c r="P128" s="3">
        <f>2375.7+(418-968.7)+(0+(0-0))+0-0-0</f>
        <v>1824.9999999999998</v>
      </c>
      <c r="Q128" s="3">
        <f>2445+(470.1-932.3)+(0+(0-0))+0-0-0</f>
        <v>1982.8000000000002</v>
      </c>
      <c r="R128" s="3">
        <f>2437.2+(500.3-792.4)+(0+(0-0))+0-0-0</f>
        <v>2145.1</v>
      </c>
      <c r="S128" s="3">
        <f>2437.7+(548.3-685.2)+(0+(0-0))+0-0-0</f>
        <v>2300.7999999999997</v>
      </c>
      <c r="T128" s="3">
        <f>2436.6+(573.5-623)+(1.242666+(0.292485-0.31773))+0-0-0</f>
        <v>2388.3174209999997</v>
      </c>
      <c r="U128" s="3">
        <f>2438.3+(587-613.7)+(-1.243533+(-0.29937--0.312987))+0-0-0</f>
        <v>2410.3700840000006</v>
      </c>
      <c r="V128" s="3">
        <f>2341.4+(593-586.7)+(-2.388228+(-0.60486--0.598434))+0-0-0</f>
        <v>2345.3053459999996</v>
      </c>
      <c r="W128" s="3">
        <f>2347.1+(530.2-693.5)+(-2.394042+(-0.540804--0.70737))+0-0-0</f>
        <v>2181.5725240000002</v>
      </c>
      <c r="X128" s="3">
        <f>2450.3+(427.2-896)+(-4.998612+(-0.871488--1.82784))+0-0-0</f>
        <v>1977.4577400000003</v>
      </c>
      <c r="Y128" s="3">
        <f>2456.5+(286.8-917.4)+(-1.252815+(-0.146268--0.467874))+0-0-0</f>
        <v>1824.968791</v>
      </c>
      <c r="Z128" s="3">
        <f>2474.2+(368.2-895.7)+(-1.261842+(-0.187782--0.456807))+0-0-0</f>
        <v>1945.7071829999998</v>
      </c>
      <c r="AA128" s="3">
        <f>2463.6+(465.2-825.7)+(-2.512872+(-0.474504--0.842214))+0-0-0</f>
        <v>2100.9548380000001</v>
      </c>
      <c r="AB128" s="3">
        <f>2475.6+(473.7-816.8)+(-1.262556+(-0.241587--0.416568))+0-0-0</f>
        <v>2131.412425</v>
      </c>
      <c r="AC128" s="3">
        <f>2474.5+(430.3-729.6)+(0+(0-0))+0-0-0</f>
        <v>2175.1999999999998</v>
      </c>
      <c r="AD128">
        <f t="shared" si="1"/>
        <v>47429.57283099999</v>
      </c>
      <c r="AE128" s="3">
        <f>2463+(483.9-806.2)+(0+(0-0))+0-0-0</f>
        <v>2140.6999999999998</v>
      </c>
    </row>
    <row r="129" spans="1:31" s="2" customFormat="1" x14ac:dyDescent="0.25">
      <c r="A129">
        <v>89</v>
      </c>
      <c r="B129">
        <v>5</v>
      </c>
      <c r="C129">
        <v>5</v>
      </c>
      <c r="D129">
        <v>4</v>
      </c>
      <c r="E129">
        <v>3</v>
      </c>
      <c r="F129" s="3">
        <f>2405.4+(402.2-652.6)+(-2.453508+(-0.410244--0.665652))+0-0-0</f>
        <v>2152.8018999999999</v>
      </c>
      <c r="G129" s="3">
        <f>2246.4+(396.9-587.6)+(-5.72832+(-1.012095--1.49838))+0-0-0</f>
        <v>2050.4579649999996</v>
      </c>
      <c r="H129" s="3">
        <f>1897.2+(384.2-347.4)+(-1.935144+(-0.391884--0.354348))+0-0-0</f>
        <v>1932.0273199999999</v>
      </c>
      <c r="I129" s="3">
        <f>1722.5+(390.2-277.2)+(0+(0-0))+0-0-0</f>
        <v>1835.5</v>
      </c>
      <c r="J129" s="3">
        <f>1720.8+(328.8-303.8)+(1.755216+(0.335376-0.309876))+0-0-0</f>
        <v>1747.5807159999999</v>
      </c>
      <c r="K129" s="3">
        <f>1724.8+(312.7-421.5)+(-2.638944+(-0.478431--0.644895))+0-0-0</f>
        <v>1613.5275200000001</v>
      </c>
      <c r="L129" s="3">
        <f>1724.5+(219.5-532.1)+(-2.638485+(-0.335835--0.814113))+0-0-0</f>
        <v>1409.7397930000002</v>
      </c>
      <c r="M129" s="3">
        <f>1753.2+(231.5-601.9)+(1.788264+(0.23613-0.613938))+0-0-0</f>
        <v>1384.2104560000002</v>
      </c>
      <c r="N129" s="3">
        <f>1842.9+(285.2-670.4)+(-1.879758+(-0.290904--0.683808))+0-0-0</f>
        <v>1456.2131460000001</v>
      </c>
      <c r="O129" s="3">
        <f>2022.5+(279.1-730.5)+(1.031475+(0.142341-0.372555))+0-0-0</f>
        <v>1571.901261</v>
      </c>
      <c r="P129" s="3">
        <f>2348.6+(374.5-928.7)+(3.593358+(0.572985-1.420911))+0-0-0</f>
        <v>1797.1454319999998</v>
      </c>
      <c r="Q129" s="3">
        <f>2485.1+(379.9-1059.2)+(1.267401+(0.193749-0.540192))+0-0-0</f>
        <v>1806.7209579999997</v>
      </c>
      <c r="R129" s="3">
        <f>2477.7+(421.4-960.9)+(0+(0-0))+0-0-0</f>
        <v>1938.1999999999998</v>
      </c>
      <c r="S129" s="3">
        <f>2446.4+(458.9-785.1)+(1.247664+(0.234039-0.400401))+0-0-0</f>
        <v>2121.2813019999999</v>
      </c>
      <c r="T129" s="3">
        <f>2454.9+(469.9-695.7)+(1.251999+(0.239649-0.354807))+0-0-0</f>
        <v>2230.2368409999999</v>
      </c>
      <c r="U129" s="3">
        <f>2446.4+(488-686.3)+(-2.495328+(-0.49776--0.700026))+0-0-0</f>
        <v>2245.8069380000002</v>
      </c>
      <c r="V129" s="3">
        <f>2432.8+(479.1-697.2)+(-2.481456+(-0.488682--0.711144))+0-0-0</f>
        <v>2212.4410060000005</v>
      </c>
      <c r="W129" s="3">
        <f>2434.5+(420.2-751.9)+(-6.207975+(-1.07151--1.917345))+0-0-0</f>
        <v>2097.43786</v>
      </c>
      <c r="X129" s="3">
        <f>2438.5+(424.4-923.4)+(-6.218175+(-1.08222--2.35467))+0-0-0</f>
        <v>1934.554275</v>
      </c>
      <c r="Y129" s="3">
        <f>2446.4+(354.6-1018.6)+(0+(0-0))+0-0-0</f>
        <v>1782.4</v>
      </c>
      <c r="Z129" s="3">
        <f>2479.4+(325.4-868.6)+(1.264494+(0.165954-0.442986))+0-0-0</f>
        <v>1937.1874620000001</v>
      </c>
      <c r="AA129" s="3">
        <f>2482.8+(407-752.2)+(0+(0-0))+0-0-0</f>
        <v>2137.6000000000004</v>
      </c>
      <c r="AB129" s="3">
        <f>2481+(459.5-769.6)+(-1.26531+(-0.234345--0.392496))+0-0-0</f>
        <v>2169.792841</v>
      </c>
      <c r="AC129" s="3">
        <f>2480.2+(438.9-735.6)+(0+(0-0))+0-0-0</f>
        <v>2183.5</v>
      </c>
      <c r="AD129">
        <f t="shared" ref="AD129:AD192" si="2">SUM(F129:AC129)</f>
        <v>45748.264992000004</v>
      </c>
      <c r="AE129" s="3">
        <f>2481+(460.9-750.8)+(0+(0-0))+0-0-0</f>
        <v>2191.1</v>
      </c>
    </row>
    <row r="130" spans="1:31" s="2" customFormat="1" x14ac:dyDescent="0.25">
      <c r="A130">
        <v>89</v>
      </c>
      <c r="B130">
        <v>5</v>
      </c>
      <c r="C130">
        <v>6</v>
      </c>
      <c r="D130">
        <v>5</v>
      </c>
      <c r="E130">
        <v>1</v>
      </c>
      <c r="F130" s="3">
        <f>2393.9+(405.9-658)+(0+(0-0))+0-0-0</f>
        <v>2141.8000000000002</v>
      </c>
      <c r="G130" s="3">
        <f>2135.2+(407.7-513.1)+(-2.177904+(-0.415854--0.523362))+0-0-0</f>
        <v>2027.7296039999997</v>
      </c>
      <c r="H130" s="3">
        <f>1736.1+(465.1-293)+(0+(0-0))+0-0-0</f>
        <v>1908.1999999999998</v>
      </c>
      <c r="I130" s="3">
        <f>1712.8+(386.7-286.2)+(0.873528+(0.197217-0.145962))+0-0-0</f>
        <v>1814.2247829999999</v>
      </c>
      <c r="J130" s="3">
        <f>1611.2+(310.4-201.2)+(0+(0-0))+0-0-0</f>
        <v>1720.4</v>
      </c>
      <c r="K130" s="3">
        <f>1560.4+(310.6-279.9)+(0+(0-0))+0-0-0</f>
        <v>1591.1000000000001</v>
      </c>
      <c r="L130" s="3">
        <f>1480.9+(286.7-360.8)+(0+(0-0))+0-0-0</f>
        <v>1406.8000000000002</v>
      </c>
      <c r="M130" s="3">
        <f>1473.7+(261.9-287.2)+(1.503174+(0.267138-0.292944))+0-0-0</f>
        <v>1449.8773680000002</v>
      </c>
      <c r="N130" s="3">
        <f>1479.8+(379.5-267.9)+(0.754698+(0.193545-0.136629))+0-0-0</f>
        <v>1592.2116140000001</v>
      </c>
      <c r="O130" s="3">
        <f>1682+(449.7-400.2)+(0.85782+(0.229347-0.204102))+0-0-0</f>
        <v>1732.383065</v>
      </c>
      <c r="P130" s="3">
        <f>2430.9+(383.1-926.4)+(-1.239759+(-0.195381--0.472464))+0-0-0</f>
        <v>1886.637324</v>
      </c>
      <c r="Q130" s="3">
        <f>2505.3+(462.2-1021.4)+(1.277703+(0.235722-0.520914))+83.3-0-0</f>
        <v>2030.392511</v>
      </c>
      <c r="R130" s="3">
        <f>2494.6+(447.4-834.8)+(1.272246+(0.228174-0.425748))+100-0-0</f>
        <v>2208.274672</v>
      </c>
      <c r="S130" s="3">
        <f>2555.5+(456.9-737.1)+(1.303305+(0.233019-0.375921))+100-0-0</f>
        <v>2376.460403</v>
      </c>
      <c r="T130" s="3">
        <f>2597.2+(505.8-720.3)+(2.649144+(0.515916-0.734706))+100-0-0</f>
        <v>2485.1303539999999</v>
      </c>
      <c r="U130" s="3">
        <f>2597.9+(496.2-700.8)+(1.324929+(0.253062-0.357408))+100-0-0</f>
        <v>2494.520583</v>
      </c>
      <c r="V130" s="3">
        <f>2596.7+(492.1-747.3)+(0+(0-0))+100-0-0</f>
        <v>2441.5</v>
      </c>
      <c r="W130" s="3">
        <f>2601.4+(472.3-817)+(-1.326714+(-0.240873--0.41667))+33.3-0-0</f>
        <v>2288.8490830000005</v>
      </c>
      <c r="X130" s="3">
        <f>2605.8+(431.7-955.1)+(-2.657916+(-0.440334--0.974202))+0-0-0</f>
        <v>2080.275952</v>
      </c>
      <c r="Y130" s="3">
        <f>2613.9+(351.1-1070.5)+(-1.333089+(-0.179061--0.545955))+0-0-0</f>
        <v>1893.533805</v>
      </c>
      <c r="Z130" s="3">
        <f>2649.3+(404.1-1035)+(-1.351143+(-0.206091--0.52785))+0-0-0</f>
        <v>2017.3706160000002</v>
      </c>
      <c r="AA130" s="3">
        <f>2654.5+(446.4-872)+(-4.061385+(-0.682992--1.33416))+0-0-0</f>
        <v>2225.489783</v>
      </c>
      <c r="AB130" s="3">
        <f>2646+(466.7-862.6)+(-1.34946+(-0.238017--0.439926))+0-0-0</f>
        <v>2248.9524489999999</v>
      </c>
      <c r="AC130" s="3">
        <f>2633.5+(439.1-828.7)+(0+(0-0))+0-0-0</f>
        <v>2243.9</v>
      </c>
      <c r="AD130">
        <f t="shared" si="2"/>
        <v>48306.013968999992</v>
      </c>
      <c r="AE130" s="3">
        <f>2659+(506-867)+(0+(0-0))+0-0-0</f>
        <v>2298</v>
      </c>
    </row>
    <row r="131" spans="1:31" s="2" customFormat="1" x14ac:dyDescent="0.25">
      <c r="A131">
        <v>89</v>
      </c>
      <c r="B131">
        <v>5</v>
      </c>
      <c r="C131">
        <v>7</v>
      </c>
      <c r="D131">
        <v>6</v>
      </c>
      <c r="E131">
        <v>1</v>
      </c>
      <c r="F131" s="3">
        <f>2418.9+(412.7-665.9)+(-1.233639+(-0.210477--0.339609))+0-0-0</f>
        <v>2164.5954930000003</v>
      </c>
      <c r="G131" s="3">
        <f>1960.5+(489.7-426.1)+(-3.99942+(-0.998988--0.869244))+0-0-0</f>
        <v>2019.970836</v>
      </c>
      <c r="H131" s="3">
        <f>1720.4+(462.3-280.9)+(-1.754808+(-0.471546--0.286518))+0-0-0</f>
        <v>1899.8601640000002</v>
      </c>
      <c r="I131" s="3">
        <f>1659.4+(464.8-328.9)+(0+(0-0))+0-0-0</f>
        <v>1795.3000000000002</v>
      </c>
      <c r="J131" s="3">
        <f>1552.3+(452.5-308.9)+(0+(0-0))+0-0-0</f>
        <v>1695.9</v>
      </c>
      <c r="K131" s="3">
        <f>1554+(401.3-377.1)+(-1.58508+(-0.409326--0.384642))+0-0-0</f>
        <v>1576.590236</v>
      </c>
      <c r="L131" s="3">
        <f>1554.2+(288.5-455.8)+(-4.755852+(-0.88281--1.394748))+0-0-0</f>
        <v>1382.6560860000002</v>
      </c>
      <c r="M131" s="3">
        <f>1720.6+(271.9-581.6)+(0.877506+(0.138669-0.296616))+0-0-0</f>
        <v>1411.6195589999998</v>
      </c>
      <c r="N131" s="3">
        <f>1906.3+(275.3-630.1)+(2.916639+(0.421209-0.964053))+0-0-0</f>
        <v>1553.873795</v>
      </c>
      <c r="O131" s="3">
        <f>2038.2+(342.8-687.6)+(1.039482+(0.174828-0.350676))+0-0-0</f>
        <v>1694.2636340000001</v>
      </c>
      <c r="P131" s="3">
        <f>2295.7+(386.8-861.2)+(-1.170807+(-0.197268--0.439212))+0-0-0</f>
        <v>1820.3711369999996</v>
      </c>
      <c r="Q131" s="3">
        <f>2420.6+(448.2-929.3)+(1.234506+(0.228582-0.473943))+0-0-0</f>
        <v>1940.489145</v>
      </c>
      <c r="R131" s="3">
        <f>2415.7+(494.6-836.8)+(0+(0-0))+0-0-0</f>
        <v>2073.5</v>
      </c>
      <c r="S131" s="3">
        <f>2498.6+(503.5-762.3)+(-1.274286+(-0.256785--0.388773))+0-0-0</f>
        <v>2238.657702</v>
      </c>
      <c r="T131" s="3">
        <f>2572.3+(515.1-725.9)+(0+(0-0))+0-0-0</f>
        <v>2361.5</v>
      </c>
      <c r="U131" s="3">
        <f>2525.5+(540.8-680)+(-1.288005+(-0.275808--0.3468))+0-0-0</f>
        <v>2385.0829870000002</v>
      </c>
      <c r="V131" s="3">
        <f>2573+(501.8-749.3)+(-3.93669+(-0.767754--1.146429))+0-0-0</f>
        <v>2321.9419849999999</v>
      </c>
      <c r="W131" s="3">
        <f>2609.1+(477.8-911.3)+(-2.661282+(-0.487356--0.929526))+0-0-0</f>
        <v>2173.3808879999997</v>
      </c>
      <c r="X131" s="3">
        <f>2538.9+(425.7-1010.3)+(-6.474195+(-1.085535--2.576265))+0-0-0</f>
        <v>1949.3165350000002</v>
      </c>
      <c r="Y131" s="3">
        <f>2437.2+(359.6-991.7)+(-3.728916+(-0.550188--1.517301))+0-0-0</f>
        <v>1802.3381969999998</v>
      </c>
      <c r="Z131" s="3">
        <f>2490.8+(386.3-937.4)+(0+(0-0))+0-0-0</f>
        <v>1939.7000000000003</v>
      </c>
      <c r="AA131" s="3">
        <f>2652+(445.2-968.4)+(-2.70504+(-0.454104--0.987768))+0-0-0</f>
        <v>2126.6286240000004</v>
      </c>
      <c r="AB131" s="3">
        <f>2651.3+(460.4-963.4)+(0+(0-0))+0-0-0</f>
        <v>2148.3000000000002</v>
      </c>
      <c r="AC131" s="3">
        <f>2637.3+(379.8-878.2)+(-4.035069+(-0.581094--1.343646))+0-0-0</f>
        <v>2135.6274830000002</v>
      </c>
      <c r="AD131">
        <f t="shared" si="2"/>
        <v>46611.464485999997</v>
      </c>
      <c r="AE131" s="3">
        <f>2644+(487.5-982.9)+(0+(0-0))+0-0-0</f>
        <v>2148.6</v>
      </c>
    </row>
    <row r="132" spans="1:31" s="2" customFormat="1" x14ac:dyDescent="0.25">
      <c r="A132">
        <v>89</v>
      </c>
      <c r="B132">
        <v>5</v>
      </c>
      <c r="C132">
        <v>8</v>
      </c>
      <c r="D132">
        <v>7</v>
      </c>
      <c r="E132">
        <v>1</v>
      </c>
      <c r="F132" s="3">
        <f>2322+(333.4-591.8)+(-5.9211+(-0.85017--1.50909))+0-0-0</f>
        <v>2058.3378199999997</v>
      </c>
      <c r="G132" s="3">
        <f>1538.4+(561.6-146.9)+(0.784584+(0.286416-0.074919))+0-0-0</f>
        <v>1954.0960810000001</v>
      </c>
      <c r="H132" s="3">
        <f>1263.4+(618.8-38.1)+(0+(0-0))+0-0-0</f>
        <v>1844.1</v>
      </c>
      <c r="I132" s="3">
        <f>1260.1+(554.5-62.6)+(-3.213255+(-1.413975--0.15963))+0-0-0</f>
        <v>1747.5324000000001</v>
      </c>
      <c r="J132" s="3">
        <f>1261.7+(488.3-91.4)+(-1.930401+(-0.747099--0.139842))+0-0-0</f>
        <v>1656.0623419999999</v>
      </c>
      <c r="K132" s="3">
        <f>1262.9+(429.3-156.4)+(-4.508553+(-1.532601--0.558348))+0-0-0</f>
        <v>1530.3171940000002</v>
      </c>
      <c r="L132" s="3">
        <f>1253+(313.1-217.4)+(-2.55612+(-0.638724--0.443496))+0-0-0</f>
        <v>1345.948652</v>
      </c>
      <c r="M132" s="3">
        <f>1229.4+(308.1-231.5)+(0.626994+(0.157131-0.118065))+0-0-0</f>
        <v>1306.66606</v>
      </c>
      <c r="N132" s="3">
        <f>1240.3+(396.8-274.7)+(0+(0-0))+0-0-0</f>
        <v>1362.4</v>
      </c>
      <c r="O132" s="3">
        <f>1353.1+(489-383.5)+(0+(0-0))+0-0-0</f>
        <v>1458.6</v>
      </c>
      <c r="P132" s="3">
        <f>1642.5+(455.6-529)+(0.837675+(0.232356-0.26979))+0-0-0</f>
        <v>1569.9002409999998</v>
      </c>
      <c r="Q132" s="3">
        <f>1982.6+(433-764.7)+(1.011126+(0.22083-0.389997))+0-0-0</f>
        <v>1651.741959</v>
      </c>
      <c r="R132" s="3">
        <f>2296.7+(409.1-898)+(0+(0-0))+0-0-0</f>
        <v>1807.7999999999997</v>
      </c>
      <c r="S132" s="3">
        <f>2477.2+(386.6-935.8)+(-2.526744+(-0.394332--0.954516))+0-0-0</f>
        <v>1926.0334399999999</v>
      </c>
      <c r="T132" s="3">
        <f>2475.9+(402.1-861.6)+(1.262709+(0.205071-0.439416))+0-0-0</f>
        <v>2017.4283640000001</v>
      </c>
      <c r="U132" s="3">
        <f>2391+(380.5-729.1)+(-3.65823+(-0.582165--1.115523))+0-0-0</f>
        <v>2039.275128</v>
      </c>
      <c r="V132" s="3">
        <f>2390+(346.2-725.7)+(-1.2189+(-0.176562--0.370107))+0-0-0</f>
        <v>2009.474645</v>
      </c>
      <c r="W132" s="3">
        <f>2390.7+(308.3-795.4)+(-1.219257+(-0.157233--0.405654))+0-0-0</f>
        <v>1902.6291639999999</v>
      </c>
      <c r="X132" s="3">
        <f>2393.9+(276-916.1)+(-6.104445+(-0.7038--2.336055))+0-0-0</f>
        <v>1749.3278100000002</v>
      </c>
      <c r="Y132" s="3">
        <f>2395.6+(201.4-988.5)+(-2.443512+(-0.205428--1.00827))+0-0-0</f>
        <v>1606.85933</v>
      </c>
      <c r="Z132" s="3">
        <f>2411.9+(285.2-931.2)+(-3.690207+(-0.436356--1.424736))+0-0-0</f>
        <v>1763.198173</v>
      </c>
      <c r="AA132" s="3">
        <f>2418+(350.6-810)+(-7.39908+(-1.072836--2.4786))+0-0-0</f>
        <v>1952.6066839999999</v>
      </c>
      <c r="AB132" s="3">
        <f>2417.8+(360.3-777.3)+(-2.466156+(-0.367506--0.792846))+0-0-0</f>
        <v>1998.7591840000002</v>
      </c>
      <c r="AC132" s="3">
        <f>2356.1+(380.7-723.8)+(-1.201611+(-0.194157--0.369138))+0-0-0</f>
        <v>2011.9733699999999</v>
      </c>
      <c r="AD132">
        <f t="shared" si="2"/>
        <v>42271.068040999991</v>
      </c>
      <c r="AE132" s="3">
        <f>2414+(389.6-786)+(0+(0-0))+0-0-0</f>
        <v>2017.6</v>
      </c>
    </row>
    <row r="133" spans="1:31" s="2" customFormat="1" x14ac:dyDescent="0.25">
      <c r="A133">
        <v>89</v>
      </c>
      <c r="B133">
        <v>5</v>
      </c>
      <c r="C133">
        <v>9</v>
      </c>
      <c r="D133">
        <v>1</v>
      </c>
      <c r="E133">
        <v>1</v>
      </c>
      <c r="F133" s="3">
        <f>2167.2+(333.2-547.1)+(-4.421088+(-0.679728--1.116084))+0-0-0</f>
        <v>1949.3152679999998</v>
      </c>
      <c r="G133" s="3">
        <f>1715.4+(359.6-225.3)+(-5.249124+(-1.100376--0.689418))+0-0-0</f>
        <v>1844.0399179999999</v>
      </c>
      <c r="H133" s="3">
        <f>1654.5+(355-252.3)+(-3.37518+(-0.7242--0.514692))+0-0-0</f>
        <v>1753.6153120000001</v>
      </c>
      <c r="I133" s="3">
        <f>1655.3+(331.5-316.1)+(-1.688406+(-0.33813--0.322422))+0-0-0</f>
        <v>1668.9958859999999</v>
      </c>
      <c r="J133" s="3">
        <f>1657+(297.8-374.4)+(1.69014+(0.303756-0.381888))+0-0-0</f>
        <v>1582.0120080000002</v>
      </c>
      <c r="K133" s="3">
        <f>1658.3+(266.9-454.4)+(0.845733+(0.136119-0.231744))+0-0-0</f>
        <v>1471.5501079999999</v>
      </c>
      <c r="L133" s="3">
        <f>1657.9+(214.5-569.1)+(0+(0-0))+0-0-0</f>
        <v>1303.3000000000002</v>
      </c>
      <c r="M133" s="3">
        <f>1755.3+(170.7-567.4)+(0+(0-0))+0-0-0</f>
        <v>1358.6</v>
      </c>
      <c r="N133" s="3">
        <f>1851.2+(220.8-567.5)+(-1.888224+(-0.225216--0.57885))+0-0-0</f>
        <v>1502.96541</v>
      </c>
      <c r="O133" s="3">
        <f>2062+(248.6-670.7)+(-2.10324+(-0.253572--0.684114))+0-0-0</f>
        <v>1638.227302</v>
      </c>
      <c r="P133" s="3">
        <f>2241.6+(378.6-847.6)+(3.429648+(0.579258-1.296828))+0-0-0</f>
        <v>1775.3120779999999</v>
      </c>
      <c r="Q133" s="3">
        <f>2458.5+(430-994)+(2.50767+(0.4386-1.01388))+0-0-0</f>
        <v>1896.4323899999999</v>
      </c>
      <c r="R133" s="3">
        <f>2615.1+(384.7-971.1)+(0+(0-0))+0-0-0</f>
        <v>2028.6999999999998</v>
      </c>
      <c r="S133" s="3">
        <f>2611.6+(457.6-895.8)+(-3.995748+(-0.700128--1.370574))+0-0-0</f>
        <v>2170.0746979999999</v>
      </c>
      <c r="T133" s="3">
        <f>2637.1+(461.9-784.1)+(-1.344921+(-0.235569--0.399891))+0-0-0</f>
        <v>2313.7194009999998</v>
      </c>
      <c r="U133" s="3">
        <f>2605.7+(517.6-754.4)+(-1.328907+(-0.263976--0.384744))+0-0-0</f>
        <v>2367.6918609999998</v>
      </c>
      <c r="V133" s="3">
        <f>2610.4+(526.6-793.3)+(-1.331304+(-0.268566--0.404583))+0-0-0</f>
        <v>2342.5047130000003</v>
      </c>
      <c r="W133" s="3">
        <f>2616.3+(532.8-893.8)+(-2.668626+(-0.543456--0.911676))+0-0-0</f>
        <v>2252.9995940000003</v>
      </c>
      <c r="X133" s="3">
        <f>2534.6+(465.7-931.1)+(-5.170584+(-0.950028--1.899444))+0-0-0</f>
        <v>2064.9788319999998</v>
      </c>
      <c r="Y133" s="3">
        <f>2385.9+(460-928)+(0+(0-0))+0-0-0</f>
        <v>1917.9</v>
      </c>
      <c r="Z133" s="3">
        <f>2469+(525.7-934.1)+(-1.25919+(-0.268107--0.476391))+0-0-0</f>
        <v>2059.549094</v>
      </c>
      <c r="AA133" s="3">
        <f>2656.7+(516.7-946.5)+(-4.064751+(-0.790551--1.448145))+0-0-0</f>
        <v>2223.4928429999995</v>
      </c>
      <c r="AB133" s="3">
        <f>2435.5+(488.3-729.2)+(-2.48421+(-0.498066--0.743784))+0-0-0</f>
        <v>2192.361508</v>
      </c>
      <c r="AC133" s="3">
        <f>2324.5+(425.4-620.1)+(-2.37099+(-0.433908--0.632502))+0-0-0</f>
        <v>2127.6276040000002</v>
      </c>
      <c r="AD133">
        <f t="shared" si="2"/>
        <v>45805.965828000008</v>
      </c>
      <c r="AE133" s="3">
        <f>2652+(536.9-1011.1)+(0+(0-0))+0-0-0</f>
        <v>2177.8000000000002</v>
      </c>
    </row>
    <row r="134" spans="1:31" s="2" customFormat="1" x14ac:dyDescent="0.25">
      <c r="A134">
        <v>89</v>
      </c>
      <c r="B134">
        <v>5</v>
      </c>
      <c r="C134">
        <v>10</v>
      </c>
      <c r="D134">
        <v>2</v>
      </c>
      <c r="E134">
        <v>1</v>
      </c>
      <c r="F134" s="3">
        <f>2051.1+(362.7-415.9)+(-4.184244+(-0.739908--0.848436))+0-0-0</f>
        <v>1993.8242839999998</v>
      </c>
      <c r="G134" s="3">
        <f>1684.5+(427.5-284.7)+(-4.295475+(-1.090125--0.725985))+0-0-0</f>
        <v>1822.6403849999999</v>
      </c>
      <c r="H134" s="3">
        <f>1663.3+(428-367.7)+(0.848283+(0.21828-0.187527))+0-0-0</f>
        <v>1724.479036</v>
      </c>
      <c r="I134" s="3">
        <f>1664.6+(392.9-418.6)+(-2.546838+(-0.601137--0.640458))+0-0-0</f>
        <v>1636.3924829999999</v>
      </c>
      <c r="J134" s="3">
        <f>1666.5+(306.8-432.7)+(-1.69983+(-0.312936--0.441354))+0-0-0</f>
        <v>1539.0285879999999</v>
      </c>
      <c r="K134" s="3">
        <f>1667.9+(300.6-528.4)+(-0.850629+(-0.153306--0.269484))+0-0-0</f>
        <v>1439.3655490000001</v>
      </c>
      <c r="L134" s="3">
        <f>1669.3+(269.9-648.7)+(-1.702686+(-0.275298--0.661674))+0-0-0</f>
        <v>1289.1836900000001</v>
      </c>
      <c r="M134" s="3">
        <f>1703.2+(280.1-662.7)+(0+(0-0))+0-0-0</f>
        <v>1320.6</v>
      </c>
      <c r="N134" s="3">
        <f>1896.5+(319.5-752.6)+(-1.93443+(-0.32589--0.767652))+0-0-0</f>
        <v>1461.907332</v>
      </c>
      <c r="O134" s="3">
        <f>2111.3+(345.1-846.9)+(-2.153526+(-0.352002--0.863838))+0-0-0</f>
        <v>1607.8583100000003</v>
      </c>
      <c r="P134" s="3">
        <f>2264.5+(320.9-881)+(-1.154895+(-0.163659--0.44931))+0-0-0</f>
        <v>1703.5307560000001</v>
      </c>
      <c r="Q134" s="3">
        <f>2605.1+(363.4-1116.4)+(-2.657202+(-0.370668--1.138728))+0-0-0</f>
        <v>1850.2108579999999</v>
      </c>
      <c r="R134" s="3">
        <f>2628.2+(383.4-1039.3)+(-1.340382+(-0.195534--0.530043))+0-0-0</f>
        <v>1971.2941269999997</v>
      </c>
      <c r="S134" s="3">
        <f>2622.3+(391.8-897.7)+(-2.674746+(-0.399636--0.915654))+0-0-0</f>
        <v>2114.2412720000002</v>
      </c>
      <c r="T134" s="3">
        <f>2609.9+(333.8-748.6)+(-2.662098+(-0.340476--0.763572))+0-0-0</f>
        <v>2192.8609980000001</v>
      </c>
      <c r="U134" s="3">
        <f>2611.3+(431.3-821.9)+(-1.331763+(-0.219963--0.419169))+0-0-0</f>
        <v>2219.5674430000004</v>
      </c>
      <c r="V134" s="3">
        <f>2542.6+(279.5-678.6)+(-3.890178+(-0.427635--1.038258))+0-0-0</f>
        <v>2140.2204449999999</v>
      </c>
      <c r="W134" s="3">
        <f>2458+(264.1-698.9)+(-5.01432+(-0.538764--1.425756))+0-0-0</f>
        <v>2019.072672</v>
      </c>
      <c r="X134" s="3">
        <f>2375.1+(247.2-785)+(-7.267806+(-0.756432--2.4021))+0-0-0</f>
        <v>1831.677862</v>
      </c>
      <c r="Y134" s="3">
        <f>2390.4+(204.1-879.2)+(-4.876416+(-0.416364--1.793568))+0-0-0</f>
        <v>1711.8007880000002</v>
      </c>
      <c r="Z134" s="3">
        <f>2417.9+(152.4-667.6)+(0+(0-0))+0-0-0</f>
        <v>1902.7</v>
      </c>
      <c r="AA134" s="3">
        <f>2419.6+(203.1-577.4)+(-4.935984+(-0.414324--1.177896))+0-0-0</f>
        <v>2041.1275880000001</v>
      </c>
      <c r="AB134" s="3">
        <f>2382.5+(210-551.2)+(-3.645225+(-0.3213--0.843336))+0-0-0</f>
        <v>2038.176811</v>
      </c>
      <c r="AC134" s="3">
        <f>2227.8+(223.3-459.5)+(-3.408534+(-0.341649--0.703035))+0-0-0</f>
        <v>1988.552852</v>
      </c>
      <c r="AD134">
        <f t="shared" si="2"/>
        <v>43560.314128999991</v>
      </c>
      <c r="AE134" s="3">
        <f>2418+(253-554.6)+(0+(0-0))+0-0-0</f>
        <v>2116.4</v>
      </c>
    </row>
    <row r="135" spans="1:31" s="2" customFormat="1" x14ac:dyDescent="0.25">
      <c r="A135">
        <v>89</v>
      </c>
      <c r="B135">
        <v>5</v>
      </c>
      <c r="C135">
        <v>11</v>
      </c>
      <c r="D135">
        <v>3</v>
      </c>
      <c r="E135">
        <v>1</v>
      </c>
      <c r="F135" s="3">
        <f>2101.2+(321-440.9)+(-5.35806+(-0.81855--1.124295))+0-0-0</f>
        <v>1976.2476849999998</v>
      </c>
      <c r="G135" s="3">
        <f>1723.1+(411-316.5)+(-3.515124+(-0.83844--0.64566))+0-0-0</f>
        <v>1813.8920959999998</v>
      </c>
      <c r="H135" s="3">
        <f>1634+(435.5-350.8)+(-2.50002+(-0.666315--0.536724))+0-0-0</f>
        <v>1716.070389</v>
      </c>
      <c r="I135" s="3">
        <f>1636.8+(403.9-389.3)+(-2.504304+(-0.617967--0.595629))+0-0-0</f>
        <v>1648.8733579999998</v>
      </c>
      <c r="J135" s="3">
        <f>1635.8+(341.8-391.9)+(2.502774+(0.522954-0.599607))+0-0-0</f>
        <v>1588.126121</v>
      </c>
      <c r="K135" s="3">
        <f>1636.9+(328.4-458.6)+(-2.504457+(-0.502452--0.701658))+0-0-0</f>
        <v>1504.394749</v>
      </c>
      <c r="L135" s="3">
        <f>1637.3+(312.4-572.8)+(-4.175115+(-0.79662--1.46064))+0-0-0</f>
        <v>1373.388905</v>
      </c>
      <c r="M135" s="3">
        <f>1700.7+(245-536.6)+(0+(0-0))+0-0-0</f>
        <v>1409.1</v>
      </c>
      <c r="N135" s="3">
        <f>1854.4+(307.6-592.1)+(0.945744+(0.156876-0.301971))+0-0-0</f>
        <v>1570.7006490000001</v>
      </c>
      <c r="O135" s="3">
        <f>2323.5+(280.4-881.7)+(-2.36997+(-0.286008--0.899334))+0-0-0</f>
        <v>1720.4433559999998</v>
      </c>
      <c r="P135" s="3">
        <f>2378.4+(278.7-810.2)+(0+(0-0))+0-0-0</f>
        <v>1846.9</v>
      </c>
      <c r="Q135" s="3">
        <f>2376+(331.6-785.2)+(0+(0-0))+0-0-0</f>
        <v>1922.4</v>
      </c>
      <c r="R135" s="3">
        <f>2419+(283.2-689.3)+(-1.23369+(-0.144432--0.351543))+0-0-0</f>
        <v>2011.873421</v>
      </c>
      <c r="S135" s="3">
        <f>2542.1+(273.1-680.9)+(0+(0-0))+0-0-0</f>
        <v>2134.3000000000002</v>
      </c>
      <c r="T135" s="3">
        <f>2519.4+(299.1-598.5)+(-2.569788+(-0.305082--0.61047))+0-0-0</f>
        <v>2217.7356</v>
      </c>
      <c r="U135" s="3">
        <f>2518.2+(290.3-578.4)+(-1.284282+(-0.148053--0.294984))+0-0-0</f>
        <v>2228.9626490000001</v>
      </c>
      <c r="V135" s="3">
        <f>2520.3+(308.6-630.7)+(-2.570706+(-0.314772--0.643314))+0-0-0</f>
        <v>2195.9578360000005</v>
      </c>
      <c r="W135" s="3">
        <f>2342.5+(309.6-585.1)+(-8.362725+(-1.105272--2.088807))+0-0-0</f>
        <v>2059.6208099999999</v>
      </c>
      <c r="X135" s="3">
        <f>2211.7+(290-625.3)+(-5.639835+(-0.7395--1.594515))+0-0-0</f>
        <v>1871.6151799999998</v>
      </c>
      <c r="Y135" s="3">
        <f>2164.5+(246.1-690)+(-2.20779+(-0.251022--0.7038))+0-0-0</f>
        <v>1718.8449879999998</v>
      </c>
      <c r="Z135" s="3">
        <f>2202.3+(240-637.3)+(-2.246346+(-0.2448--0.650046))+0-0-0</f>
        <v>1803.1589000000001</v>
      </c>
      <c r="AA135" s="3">
        <f>2242.8+(213.3-655)+(-4.575312+(-0.435132--1.3362))+0-0-0</f>
        <v>1797.4257560000001</v>
      </c>
      <c r="AB135" s="3">
        <f>2190.5+(221.5-662.3)+(-4.46862+(-0.45186--1.351092))+0-0-0</f>
        <v>1746.1306120000002</v>
      </c>
      <c r="AC135" s="3">
        <f>2179.5+(229.1-644.6)+(0+(0-0))+0-0-0</f>
        <v>1764</v>
      </c>
      <c r="AD135">
        <f t="shared" si="2"/>
        <v>43640.163059999999</v>
      </c>
      <c r="AE135" s="3">
        <f>2236.4+(212-665.9)+(0+(0-0))+0-0-0</f>
        <v>1782.5</v>
      </c>
    </row>
    <row r="136" spans="1:31" s="2" customFormat="1" x14ac:dyDescent="0.25">
      <c r="A136">
        <v>89</v>
      </c>
      <c r="B136">
        <v>5</v>
      </c>
      <c r="C136">
        <v>12</v>
      </c>
      <c r="D136">
        <v>4</v>
      </c>
      <c r="E136">
        <v>1</v>
      </c>
      <c r="F136" s="3">
        <f>2087+(181-602.5)+(-1.06437+(-0.09231--0.307275))+0-0-0</f>
        <v>1664.6505950000001</v>
      </c>
      <c r="G136" s="3">
        <f>1767.3+(241.2-443.3)+(-1.802646+(-0.246024--0.452166))+0-0-0</f>
        <v>1563.6034959999997</v>
      </c>
      <c r="H136" s="3">
        <f>1430.2+(299.7-281.4)+(0.729402+(0.152847-0.143514))+0-0-0</f>
        <v>1449.2387349999999</v>
      </c>
      <c r="I136" s="3">
        <f>1412+(304.8-328.3)+(0+(0-0))+0-0-0</f>
        <v>1388.5</v>
      </c>
      <c r="J136" s="3">
        <f>1416.7+(255.8-339.9)+(-0.722517+(-0.130458--0.173349))+0-0-0</f>
        <v>1331.920374</v>
      </c>
      <c r="K136" s="3">
        <f>1419.3+(226.3-403)+(1.447686+(0.230826-0.41106))+0-0-0</f>
        <v>1243.867452</v>
      </c>
      <c r="L136" s="3">
        <f>1417.1+(177.7-460.4)+(-2.168163+(-0.271881--0.704412))+0-0-0</f>
        <v>1132.664368</v>
      </c>
      <c r="M136" s="3">
        <f>1437.5+(142.1-377.5)+(-0.733125+(-0.072471--0.192525))+0-0-0</f>
        <v>1201.4869289999999</v>
      </c>
      <c r="N136" s="3">
        <f>1561.1+(197.1-405)+(0+(0-0))+0-0-0</f>
        <v>1353.1999999999998</v>
      </c>
      <c r="O136" s="3">
        <f>1744.9+(235.7-497.3)+(0.889899+(0.120207-0.253623))+0-0-0</f>
        <v>1484.0564830000001</v>
      </c>
      <c r="P136" s="3">
        <f>2209.5+(174.1-738.1)+(-2.25369+(-0.177582--0.752862))+0-0-0</f>
        <v>1643.82159</v>
      </c>
      <c r="Q136" s="3">
        <f>2234.6+(198.2-661.5)+(-1.139646+(-0.101082--0.337365))+0-0-0</f>
        <v>1770.3966370000001</v>
      </c>
      <c r="R136" s="3">
        <f>2233.1+(228.6-594.7)+(0+(0-0))+0-0-0</f>
        <v>1867</v>
      </c>
      <c r="S136" s="3">
        <f>2201.8+(274-471.1)+(0+(0-0))+0-0-0</f>
        <v>2004.7000000000003</v>
      </c>
      <c r="T136" s="3">
        <f>2181.6+(311.4-387)+(1.112616+(0.158814-0.19737))+0-0-0</f>
        <v>2107.0740599999999</v>
      </c>
      <c r="U136" s="3">
        <f>2175+(327.7-373.9)+(1.10925+(0.167127-0.190689))+0-0-0</f>
        <v>2129.8856880000003</v>
      </c>
      <c r="V136" s="3">
        <f>2174.5+(325-394.5)+(1.108995+(0.16575-0.201195))+0-0-0</f>
        <v>2106.0735500000001</v>
      </c>
      <c r="W136" s="3">
        <f>2170+(298.6-475.8)+(0+(0-0))+0-0-0</f>
        <v>1992.8</v>
      </c>
      <c r="X136" s="3">
        <f>2163.8+(244.3-588.1)+(-1.103538+(-0.124593--0.299931))+0-0-0</f>
        <v>1819.0718000000002</v>
      </c>
      <c r="Y136" s="3">
        <f>2191+(198.5-686)+(3.35223+(0.303705-1.04958))+0-0-0</f>
        <v>1706.1063549999999</v>
      </c>
      <c r="Z136" s="3">
        <f>2260.2+(308.4-685.4)+(1.152702+(0.157284-0.349554))+0-0-0</f>
        <v>1884.1604319999999</v>
      </c>
      <c r="AA136" s="3">
        <f>2265.7+(391-619.4)+(-3.466521+(-0.59823--0.947682))+0-0-0</f>
        <v>2034.1829309999998</v>
      </c>
      <c r="AB136" s="3">
        <f>2257.3+(373.6-607.8)+(-2.302446+(-0.381072--0.619956))+0-0-0</f>
        <v>2021.0364380000003</v>
      </c>
      <c r="AC136" s="3">
        <f>2253.9+(326.9-592.1)+(-5.747445+(-0.833595--1.509855))+0-0-0</f>
        <v>1983.628815</v>
      </c>
      <c r="AD136">
        <f t="shared" si="2"/>
        <v>40883.126728000003</v>
      </c>
      <c r="AE136" s="3">
        <f>2262+(435.3-622.5)+(0+(0-0))+0-0-0</f>
        <v>2074.8000000000002</v>
      </c>
    </row>
    <row r="137" spans="1:31" s="2" customFormat="1" x14ac:dyDescent="0.25">
      <c r="A137">
        <v>89</v>
      </c>
      <c r="B137">
        <v>5</v>
      </c>
      <c r="C137">
        <v>13</v>
      </c>
      <c r="D137">
        <v>5</v>
      </c>
      <c r="E137">
        <v>1</v>
      </c>
      <c r="F137" s="3">
        <f>2108.9+(306.2-528.1)+(-2.151078+(-0.312324--0.538662))+0-0-0</f>
        <v>1885.0752600000001</v>
      </c>
      <c r="G137" s="3">
        <f>1519.3+(433.1-202.1)+(-1.549686+(-0.441762--0.206142))+0-0-0</f>
        <v>1748.514694</v>
      </c>
      <c r="H137" s="3">
        <f>1484.9+(375.3-222)+(-0.757299+(-0.191403--0.11322))+0-0-0</f>
        <v>1637.3645180000001</v>
      </c>
      <c r="I137" s="3">
        <f>1485.1+(331.1-260.3)+(-3.029604+(-0.675444--0.531012))+0-0-0</f>
        <v>1552.725964</v>
      </c>
      <c r="J137" s="3">
        <f>1485.6+(277.7-278.1)+(-3.78828+(-0.708135--0.709155))+0-0-0</f>
        <v>1481.4127399999998</v>
      </c>
      <c r="K137" s="3">
        <f>1486.2+(237.5-341.4)+(-3.031848+(-0.4845--0.696456))+0-0-0</f>
        <v>1379.4801080000002</v>
      </c>
      <c r="L137" s="3">
        <f>1487.4+(135.3-462)+(-3.034296+(-0.276012--0.94248))+0-0-0</f>
        <v>1158.3321720000001</v>
      </c>
      <c r="M137" s="3">
        <f>1591.4+(118-470.2)+(1.623228+(0.12036-0.479604))+0-0-0</f>
        <v>1240.463984</v>
      </c>
      <c r="N137" s="3">
        <f>1812.9+(119.6-502.8)+(-0.924579+(-0.060996--0.256428))+0-0-0</f>
        <v>1428.970853</v>
      </c>
      <c r="O137" s="3">
        <f>2118.2+(250.3-781.7)+(-1.080282+(-0.127653--0.398667))+0-0-0</f>
        <v>1585.9907319999998</v>
      </c>
      <c r="P137" s="3">
        <f>2233.6+(282.9-805.5)+(5.69568+(0.721395-2.054025))+0-0-0</f>
        <v>1715.3630499999999</v>
      </c>
      <c r="Q137" s="3">
        <f>2230.3+(302.7-703.3)+(0+(0-0))+0-0-0</f>
        <v>1829.7000000000003</v>
      </c>
      <c r="R137" s="3">
        <f>2224.5+(357-608.6)+(2.26899+(0.36414-0.620772))+0-0-0</f>
        <v>1974.912358</v>
      </c>
      <c r="S137" s="3">
        <f>2229+(435.3-532.9)+(-2.27358+(-0.444006--0.543558))+0-0-0</f>
        <v>2129.2259720000002</v>
      </c>
      <c r="T137" s="3">
        <f>2226.9+(479.6-448.4)+(0+(0-0))+0-0-0</f>
        <v>2258.1000000000004</v>
      </c>
      <c r="U137" s="3">
        <f>2209.2+(499.5-429.3)+(0+(0-0))+0-0-0</f>
        <v>2279.3999999999996</v>
      </c>
      <c r="V137" s="3">
        <f>2175.8+(478.6-446.4)+(-1.109658+(-0.244086--0.227664))+0-0-0</f>
        <v>2206.87392</v>
      </c>
      <c r="W137" s="3">
        <f>2171.1+(441-546)+(-2.214522+(-0.44982--0.55692))+0-0-0</f>
        <v>2063.9925779999999</v>
      </c>
      <c r="X137" s="3">
        <f>2168.3+(344.4-628.5)+(-4.423332+(-0.702576--1.28214))+0-0-0</f>
        <v>1880.3562320000003</v>
      </c>
      <c r="Y137" s="3">
        <f>2175.5+(317.7-761.6)+(-1.109505+(-0.162027--0.388416))+0-0-0</f>
        <v>1730.7168839999999</v>
      </c>
      <c r="Z137" s="3">
        <f>2295.6+(334.4-711.8)+(-3.512268+(-0.511632--1.089054))+0-0-0</f>
        <v>1915.2651539999997</v>
      </c>
      <c r="AA137" s="3">
        <f>2478.7+(393.9-784.2)+(-3.792411+(-0.602667--1.199826))+0-0-0</f>
        <v>2085.2047479999997</v>
      </c>
      <c r="AB137" s="3">
        <f>2457.3+(406.2-770)+(1.253223+(0.207162-0.3927))+0-0-0</f>
        <v>2094.567685</v>
      </c>
      <c r="AC137" s="3">
        <f>2316.2+(406.1-646.5)+(-3.543786+(-0.621333--0.989145))+0-0-0</f>
        <v>2072.6240259999995</v>
      </c>
      <c r="AD137">
        <f t="shared" si="2"/>
        <v>43334.633632000005</v>
      </c>
      <c r="AE137" s="3">
        <f>2494+(403.7-771.8)+(0+(0-0))+0-0-0</f>
        <v>2125.9</v>
      </c>
    </row>
    <row r="138" spans="1:31" s="2" customFormat="1" x14ac:dyDescent="0.25">
      <c r="A138">
        <v>89</v>
      </c>
      <c r="B138">
        <v>5</v>
      </c>
      <c r="C138">
        <v>14</v>
      </c>
      <c r="D138">
        <v>6</v>
      </c>
      <c r="E138">
        <v>1</v>
      </c>
      <c r="F138" s="3">
        <f>2094+(393.2-500.7)+(-1.06794+(-0.200532--0.255357))+0-0-0</f>
        <v>1985.486885</v>
      </c>
      <c r="G138" s="3">
        <f>1748.5+(420.4-320.8)+(-0.891735+(-0.214404--0.163608))+0-0-0</f>
        <v>1847.157469</v>
      </c>
      <c r="H138" s="3">
        <f>1541.7+(431.1-232.5)+(-1.572534+(-0.439722--0.23715))+0-0-0</f>
        <v>1738.5248940000001</v>
      </c>
      <c r="I138" s="3">
        <f>1476.4+(395.8-226)+(-1.505928+(-0.403716--0.23052))+0-0-0</f>
        <v>1644.520876</v>
      </c>
      <c r="J138" s="3">
        <f>1477.6+(351.7-255.7)+(-3.014304+(-0.717468--0.521628))+0-0-0</f>
        <v>1570.389856</v>
      </c>
      <c r="K138" s="3">
        <f>1476.7+(291.9-292.7)+(-3.765585+(-0.744345--0.746385))+0-0-0</f>
        <v>1472.1364550000001</v>
      </c>
      <c r="L138" s="3">
        <f>1477.5+(218.8-414.6)+(-2.260575+(-0.334764--0.634338))+0-0-0</f>
        <v>1279.7389990000001</v>
      </c>
      <c r="M138" s="3">
        <f>1576+(214.2-472.3)+(-0.80376+(-0.109242--0.240873))+0-0-0</f>
        <v>1317.2278710000001</v>
      </c>
      <c r="N138" s="3">
        <f>1800.3+(179.3-520)+(0.918153+(0.091443-0.2652))+0-0-0</f>
        <v>1460.344396</v>
      </c>
      <c r="O138" s="3">
        <f>1998.6+(171.6-568.9)+(-1.019286+(-0.087516--0.290139))+0-0-0</f>
        <v>1600.4833369999999</v>
      </c>
      <c r="P138" s="3">
        <f>2021.7+(209-504.9)+(1.031067+(0.10659-0.257499))+0-0-0</f>
        <v>1726.6801580000001</v>
      </c>
      <c r="Q138" s="3">
        <f>2018.6+(290.1-467)+(-1.029486+(-0.147951--0.23817))+0-0-0</f>
        <v>1840.7607329999998</v>
      </c>
      <c r="R138" s="3">
        <f>2018.6+(349.6-389.7)+(0+(0-0))+0-0-0</f>
        <v>1978.5</v>
      </c>
      <c r="S138" s="3">
        <f>2021.5+(415.7-309.3)+(-3.092895+(-0.636021--0.473229))+0-0-0</f>
        <v>2124.6443130000002</v>
      </c>
      <c r="T138" s="3">
        <f>2037.2+(419.2-225.5)+(0+(0-0))+0-0-0</f>
        <v>2230.9</v>
      </c>
      <c r="U138" s="3">
        <f>2031.1+(402.6-195.8)+(-5.179305+(-1.02663--0.49929))+0-0-0</f>
        <v>2232.1933549999999</v>
      </c>
      <c r="V138" s="3">
        <f>1965.7+(440.5-234)+(1.002507+(0.224655-0.11934))+0-0-0</f>
        <v>2173.3078219999998</v>
      </c>
      <c r="W138" s="3">
        <f>1966+(427.7-369.4)+(-3.00798+(-0.654381--0.565182))+0-0-0</f>
        <v>2021.2028209999999</v>
      </c>
      <c r="X138" s="3">
        <f>1966.3+(369.6-516.8)+(-4.011252+(-0.753984--1.054272))+0-0-0</f>
        <v>1815.3890359999998</v>
      </c>
      <c r="Y138" s="3">
        <f>1999.9+(271.3-554.8)+(-1.019949+(-0.138363--0.282948))+0-0-0</f>
        <v>1715.5246360000001</v>
      </c>
      <c r="Z138" s="3">
        <f>2218.4+(275.3-564.2)+(-3.394152+(-0.421209--0.863226))+0-0-0</f>
        <v>1926.547865</v>
      </c>
      <c r="AA138" s="3">
        <f>2347.3+(337.4-621.4)+(-3.591369+(-0.516222--0.950742))+0-0-0</f>
        <v>2060.1431510000002</v>
      </c>
      <c r="AB138" s="3">
        <f>2327+(336.4-596.3)+(-4.74708+(-0.686256--1.216452))+0-0-0</f>
        <v>2062.883116</v>
      </c>
      <c r="AC138" s="3">
        <f>2264+(353-556.4)+(-1.15464+(-0.18003--0.283764))+0-0-0</f>
        <v>2059.549094</v>
      </c>
      <c r="AD138">
        <f t="shared" si="2"/>
        <v>43884.237137999997</v>
      </c>
      <c r="AE138" s="3">
        <f>2263+(407-562.1)+(0+(0-0))+0-0-0</f>
        <v>2107.9</v>
      </c>
    </row>
    <row r="139" spans="1:31" s="2" customFormat="1" x14ac:dyDescent="0.25">
      <c r="A139">
        <v>89</v>
      </c>
      <c r="B139">
        <v>5</v>
      </c>
      <c r="C139">
        <v>15</v>
      </c>
      <c r="D139">
        <v>7</v>
      </c>
      <c r="E139">
        <v>1</v>
      </c>
      <c r="F139" s="3">
        <f>2136.5+(336.7-469.6)+(-3.268845+(-0.515151--0.718488))+0-0-0</f>
        <v>2000.534492</v>
      </c>
      <c r="G139" s="3">
        <f>1899.8+(286-273.5)+(-2.906694+(-0.43758--0.418455))+0-0-0</f>
        <v>1909.3741809999999</v>
      </c>
      <c r="H139" s="3">
        <f>1807.7+(309.5-327)+(0+(0-0))+0-0-0</f>
        <v>1790.2</v>
      </c>
      <c r="I139" s="3">
        <f>1585.4+(354.8-247)+(-2.425662+(-0.542844--0.37791))+0-0-0</f>
        <v>1690.609404</v>
      </c>
      <c r="J139" s="3">
        <f>1456.9+(346.7-195.3)+(-0.743019+(-0.176817--0.099603))+0-0-0</f>
        <v>1607.4797670000003</v>
      </c>
      <c r="K139" s="3">
        <f>1457.2+(313-275.7)+(-3.71586+(-0.79815--0.703035))+0-0-0</f>
        <v>1490.6890249999999</v>
      </c>
      <c r="L139" s="3">
        <f>1445.2+(218.1-374.4)+(-3.68526+(-0.556155--0.95472))+0-0-0</f>
        <v>1285.6133050000001</v>
      </c>
      <c r="M139" s="3">
        <f>1372.9+(215.3-352.9)+(0+(0-0))+0-0-0</f>
        <v>1235.3000000000002</v>
      </c>
      <c r="N139" s="3">
        <f>1384.5+(269.6-329.5)+(-2.82438+(-0.549984--0.67218))+0-0-0</f>
        <v>1321.8978159999999</v>
      </c>
      <c r="O139" s="3">
        <f>1568.4+(255.2-392.9)+(1.599768+(0.260304-0.400758))+0-0-0</f>
        <v>1432.159314</v>
      </c>
      <c r="P139" s="3">
        <f>1802.3+(251.2-502.4)+(0+(0-0))+0-0-0</f>
        <v>1551.1</v>
      </c>
      <c r="Q139" s="3">
        <f>1897.4+(241-473.5)+(-0.967674+(-0.12291--0.241485))+0-0-0</f>
        <v>1664.0509010000001</v>
      </c>
      <c r="R139" s="3">
        <f>2010.7+(221.4-421.2)+(-3.076371+(-0.338742--0.644436))+0-0-0</f>
        <v>1808.1293230000001</v>
      </c>
      <c r="S139" s="3">
        <f>2087.2+(272.7-399.6)+(-1.064472+(-0.139077--0.203796))+0-0-0</f>
        <v>1959.3002469999997</v>
      </c>
      <c r="T139" s="3">
        <f>2129.9+(323.2-389.6)+(-3.258747+(-0.494496--0.596088))+0-0-0</f>
        <v>2060.3428450000001</v>
      </c>
      <c r="U139" s="3">
        <f>2101.7+(372.1-421.8)+(-1.071867+(-0.189771--0.215118))+0-0-0</f>
        <v>2050.9534800000001</v>
      </c>
      <c r="V139" s="3">
        <f>2133.4+(381.6-452.3)+(-5.44017+(-0.97308--1.153365))+0-0-0</f>
        <v>2057.4401150000003</v>
      </c>
      <c r="W139" s="3">
        <f>2133.2+(317.7-504.8)+(-5.43966+(-0.810135--1.28724))+0-0-0</f>
        <v>1941.1374449999998</v>
      </c>
      <c r="X139" s="3">
        <f>2064.5+(284.6-557.2)+(-3.158685+(-0.435438--0.852516))+0-0-0</f>
        <v>1789.1583930000002</v>
      </c>
      <c r="Y139" s="3">
        <f>2035.6+(246.2-617.2)+(0+(0-0))+0-0-0</f>
        <v>1664.6</v>
      </c>
      <c r="Z139" s="3">
        <f>2185+(221.4-540.3)+(1.11435+(0.112914-0.275553))+0-0-0</f>
        <v>1867.0517109999998</v>
      </c>
      <c r="AA139" s="3">
        <f>2234.6+(326.2-503.4)+(-1.139646+(-0.166362--0.256734))+0-0-0</f>
        <v>2056.3507260000001</v>
      </c>
      <c r="AB139" s="3">
        <f>2227.3+(413.3-540)+(0+(0-0))+0-0-0</f>
        <v>2100.6000000000004</v>
      </c>
      <c r="AC139" s="3">
        <f>2226.6+(426.8-529.3)+(-3.406698+(-0.653004--0.809829))+0-0-0</f>
        <v>2120.8501269999997</v>
      </c>
      <c r="AD139">
        <f t="shared" si="2"/>
        <v>42454.922616999997</v>
      </c>
      <c r="AE139" s="3">
        <f>2237+(436.6-539.9)+(0+(0-0))+0-0-0</f>
        <v>2133.6999999999998</v>
      </c>
    </row>
    <row r="140" spans="1:31" s="2" customFormat="1" x14ac:dyDescent="0.25">
      <c r="A140">
        <v>89</v>
      </c>
      <c r="B140">
        <v>5</v>
      </c>
      <c r="C140">
        <v>16</v>
      </c>
      <c r="D140">
        <v>1</v>
      </c>
      <c r="E140">
        <v>1</v>
      </c>
      <c r="F140" s="3">
        <f>2190.1+(354.5-450.9)+(-1.116951+(-0.180795--0.229959))+0-0-0</f>
        <v>2092.6322129999999</v>
      </c>
      <c r="G140" s="3">
        <f>2025.8+(339.9-380.2)+(-1.033158+(-0.173349--0.193902))+0-0-0</f>
        <v>1984.4873950000001</v>
      </c>
      <c r="H140" s="3">
        <f>1590.4+(457.3-200.7)+(-0.811104+(-0.233223--0.102357))+0-0-0</f>
        <v>1846.0580299999999</v>
      </c>
      <c r="I140" s="3">
        <f>1399.9+(464.2-136.3)+(-1.427898+(-0.473484--0.139026))+0-0-0</f>
        <v>1726.0376440000002</v>
      </c>
      <c r="J140" s="3">
        <f>1402.4+(395.1-151.3)+(-2.145672+(-0.604503--0.231489))+0-0-0</f>
        <v>1643.6813140000002</v>
      </c>
      <c r="K140" s="3">
        <f>1401.4+(359.2-220.4)+(-2.144142+(-0.549576--0.337212))+0-0-0</f>
        <v>1537.843494</v>
      </c>
      <c r="L140" s="3">
        <f>1401.2+(296-334.2)+(-3.57306+(-0.7548--0.85221))+0-0-0</f>
        <v>1359.5243499999999</v>
      </c>
      <c r="M140" s="3">
        <f>1442.7+(270-321.3)+(0+(0-0))+0-0-0</f>
        <v>1391.4</v>
      </c>
      <c r="N140" s="3">
        <f>1706+(293.2-427.3)+(-0.87006+(-0.149532--0.217923))+0-0-0</f>
        <v>1571.0983310000001</v>
      </c>
      <c r="O140" s="3">
        <f>2005.9+(297.7-566.3)+(0+(0-0))+0-0-0</f>
        <v>1737.3000000000002</v>
      </c>
      <c r="P140" s="3">
        <f>2258.5+(341.2-718.8)+(1.151835+(0.174012-0.366588))+0-0-0</f>
        <v>1881.8592590000001</v>
      </c>
      <c r="Q140" s="3">
        <f>2480.9+(319.2-796)+(-1.265259+(-0.162792--0.40596))+0-0-0</f>
        <v>2003.0779090000001</v>
      </c>
      <c r="R140" s="3">
        <f>2479.3+(430.7-687.5)+(1.264443+(0.219657-0.350625))+0-0-0</f>
        <v>2223.6334750000001</v>
      </c>
      <c r="S140" s="3">
        <f>2475.1+(522.1-567.2)+(-3.786903+(-0.798813--0.867816))+0-0-0</f>
        <v>2426.2820999999999</v>
      </c>
      <c r="T140" s="3">
        <f>2472.4+(545.5-483)+(0+(0-0))+0-0-0</f>
        <v>2534.9</v>
      </c>
      <c r="U140" s="3">
        <f>2435.6+(558.3-454.8)+(0+(0-0))+0-0-0</f>
        <v>2539.1</v>
      </c>
      <c r="V140" s="3">
        <f>2373.1+(531.4-435.3)+(-4.841124+(-1.084056--0.888012))+0-0-0</f>
        <v>2464.162832</v>
      </c>
      <c r="W140" s="3">
        <f>2409.8+(505.3-570.4)+(-2.457996+(-0.515406--0.581808))+0-0-0</f>
        <v>2342.3084060000001</v>
      </c>
      <c r="X140" s="3">
        <f>2453+(412.7-758.1)+(-3.75309+(-0.631431--1.159893))+0-0-0</f>
        <v>2104.375372</v>
      </c>
      <c r="Y140" s="3">
        <f>2305.5+(311.6-707.3)+(0+(0-0))+0-0-0</f>
        <v>1909.8000000000002</v>
      </c>
      <c r="Z140" s="3">
        <f>2419+(370.9-698.9)+(0+(0-0))+0-0-0</f>
        <v>2091</v>
      </c>
      <c r="AA140" s="3">
        <f>2519.5+(421.7-667.8)+(0+(0-0))+0-0-0</f>
        <v>2273.4</v>
      </c>
      <c r="AB140" s="3">
        <f>2507.4+(443-657.6)+(2.557548+(0.45186-0.670752))+0-0-0</f>
        <v>2295.1386560000001</v>
      </c>
      <c r="AC140" s="3">
        <f>2477.7+(397.8-615.9)+(-1.263627+(-0.202878--0.314109))+0-0-0</f>
        <v>2258.447604</v>
      </c>
      <c r="AD140">
        <f t="shared" si="2"/>
        <v>48237.548384000016</v>
      </c>
      <c r="AE140" s="3">
        <f>2521+(451.5-660.8)+(0+(0-0))+0-0-0</f>
        <v>2311.6999999999998</v>
      </c>
    </row>
    <row r="141" spans="1:31" s="2" customFormat="1" x14ac:dyDescent="0.25">
      <c r="A141">
        <v>89</v>
      </c>
      <c r="B141">
        <v>5</v>
      </c>
      <c r="C141">
        <v>17</v>
      </c>
      <c r="D141">
        <v>2</v>
      </c>
      <c r="E141">
        <v>1</v>
      </c>
      <c r="F141" s="3">
        <f>2164.5+(454.1-450.4)+(-4.41558+(-0.926364--0.918816))+0-0-0</f>
        <v>2163.7768719999999</v>
      </c>
      <c r="G141" s="3">
        <f>1643.4+(537.9-176.9)+(-0.838134+(-0.274329--0.090219))+0-0-0</f>
        <v>2003.3777560000001</v>
      </c>
      <c r="H141" s="3">
        <f>1539.8+(546-196.4)+(0+(0-0))+0-0-0</f>
        <v>1889.4</v>
      </c>
      <c r="I141" s="3">
        <f>1507.4+(444-170.3)+(-2.306322+(-0.67932--0.260559))+0-0-0</f>
        <v>1778.3749170000001</v>
      </c>
      <c r="J141" s="3">
        <f>1509+(382.6-196.2)+(-1.53918+(-0.390252--0.200124))+0-0-0</f>
        <v>1693.6706920000001</v>
      </c>
      <c r="K141" s="3">
        <f>1508.1+(340-281)+(-1.538262+(-0.3468--0.28662))+0-0-0</f>
        <v>1565.5015579999999</v>
      </c>
      <c r="L141" s="3">
        <f>1511.3+(235.7-391.3)+(-3.083052+(-0.480828--0.798252))+0-0-0</f>
        <v>1352.9343719999997</v>
      </c>
      <c r="M141" s="3">
        <f>1575.2+(258.6-421.7)+(0+(0-0))+0-0-0</f>
        <v>1412.1000000000001</v>
      </c>
      <c r="N141" s="3">
        <f>1691.4+(314.9-457.6)+(-0.862614+(-0.160599--0.233376))+0-0-0</f>
        <v>1547.910163</v>
      </c>
      <c r="O141" s="3">
        <f>1846.2+(309.8-465.9)+(-2.824686+(-0.473994--0.712827))+0-0-0</f>
        <v>1687.5141470000001</v>
      </c>
      <c r="P141" s="3">
        <f>2273.5+(404.9-820.7)+(0+(0-0))+0-0-0</f>
        <v>1857.6999999999998</v>
      </c>
      <c r="Q141" s="3">
        <f>2355.2+(374-749.6)+(0+(0-0))+0-0-0</f>
        <v>1979.6</v>
      </c>
      <c r="R141" s="3">
        <f>2353.5+(408-597.2)+(1.200285+(0.20808-0.304572))+0-0-0</f>
        <v>2165.4037930000004</v>
      </c>
      <c r="S141" s="3">
        <f>2291.4+(428.5-467)+(-1.168614+(-0.218535--0.23817))+0-0-0</f>
        <v>2251.751021</v>
      </c>
      <c r="T141" s="3">
        <f>2293.8+(480.5-436.4)+(1.169838+(0.245055-0.222564))+0-0-0</f>
        <v>2339.0923290000001</v>
      </c>
      <c r="U141" s="3">
        <f>2392.6+(511.6-398)+(-1.220226+(-0.260916--0.20298))+0-0-0</f>
        <v>2504.9218379999998</v>
      </c>
      <c r="V141" s="3">
        <f>2376.1+(502.1-417.8)+(-1.211811+(-0.256071--0.213078))+0-0-0</f>
        <v>2459.1451959999999</v>
      </c>
      <c r="W141" s="3">
        <f>2459.2+(455.4-597.1)+(-3.762576+(-0.696762--0.913563))+0-0-0</f>
        <v>2313.954225</v>
      </c>
      <c r="X141" s="3">
        <f>2445.7+(352.9-714.9)+(-6.236535+(-0.899895--1.822995))+0-0-0</f>
        <v>2078.3865649999998</v>
      </c>
      <c r="Y141" s="3">
        <f>2288.5+(239.1-650.4)+(-2.33427+(-0.243882--0.663408))+0-0-0</f>
        <v>1875.2852560000001</v>
      </c>
      <c r="Z141" s="3">
        <f>2488.7+(316.9-728.9)+(-1.269237+(-0.161619--0.371739))+0-0-0</f>
        <v>2075.640883</v>
      </c>
      <c r="AA141" s="3">
        <f>2528.7+(394-688.2)+(-3.868911+(-0.60282--1.052946))+0-0-0</f>
        <v>2231.0812150000002</v>
      </c>
      <c r="AB141" s="3">
        <f>2525.1+(402.8-685.6)+(0+(0-0))+0-0-0</f>
        <v>2242.2999999999997</v>
      </c>
      <c r="AC141" s="3">
        <f>2520.3+(360.6-663.9)+(-2.570706+(-0.367812--0.677178))+0-0-0</f>
        <v>2214.73866</v>
      </c>
      <c r="AD141">
        <f t="shared" si="2"/>
        <v>47683.561458000011</v>
      </c>
      <c r="AE141" s="3">
        <f>2509+(412.9-669.4)+(0+(0-0))+0-0-0</f>
        <v>2252.5</v>
      </c>
    </row>
    <row r="142" spans="1:31" s="2" customFormat="1" x14ac:dyDescent="0.25">
      <c r="A142">
        <v>89</v>
      </c>
      <c r="B142">
        <v>5</v>
      </c>
      <c r="C142">
        <v>18</v>
      </c>
      <c r="D142">
        <v>3</v>
      </c>
      <c r="E142">
        <v>1</v>
      </c>
      <c r="F142" s="3">
        <f>2211.8+(369.7-468.9)+(-5.64009+(-0.942735--1.195695))+0-0-0</f>
        <v>2107.2128700000003</v>
      </c>
      <c r="G142" s="3">
        <f>1542.9+(527.7-142.5)+(-1.573758+(-0.538254--0.14535))+0-0-0</f>
        <v>1926.1333380000001</v>
      </c>
      <c r="H142" s="3">
        <f>1505.8+(492.3-148.5)+(-0.767958+(-0.251073--0.075735))+0-0-0</f>
        <v>1848.656704</v>
      </c>
      <c r="I142" s="3">
        <f>1521.3+(453.9-220.2)+(0.775863+(0.231489-0.112302))+0-0-0</f>
        <v>1755.8950500000001</v>
      </c>
      <c r="J142" s="3">
        <f>1522.3+(409.4-280.6)+(2.329119+(0.626382-0.429318))+0-0-0</f>
        <v>1653.6261829999999</v>
      </c>
      <c r="K142" s="3">
        <f>1522.2+(416.8-395.5)+(-0.776322+(-0.212568--0.201705))+0-0-0</f>
        <v>1542.7128150000001</v>
      </c>
      <c r="L142" s="3">
        <f>1522.8+(297-460.2)+(-2.329884+(-0.45441--0.704106))+0-0-0</f>
        <v>1357.519812</v>
      </c>
      <c r="M142" s="3">
        <f>1598.1+(194-469.4)+(0+(0-0))+0-0-0</f>
        <v>1322.6999999999998</v>
      </c>
      <c r="N142" s="3">
        <f>1836.9+(413-609.4)+(1.873638+(0.42126-0.621588))+0-0-0</f>
        <v>1642.1733099999999</v>
      </c>
      <c r="O142" s="3">
        <f>2069.9+(390.8-753.7)+(-2.111298+(-0.398616--0.768774))+0-0-0</f>
        <v>1705.2588599999999</v>
      </c>
      <c r="P142" s="3">
        <f>2354.2+(395.1-902.2)+(3.601926+(0.604503-1.380366))+0-0-0</f>
        <v>1849.9260629999999</v>
      </c>
      <c r="Q142" s="3">
        <f>2393+(365.1-786.4)+(1.22043+(0.186201-0.401064))+0-0-0</f>
        <v>1972.705567</v>
      </c>
      <c r="R142" s="3">
        <f>2467.8+(389-690.2)+(-2.517156+(-0.39678--0.704004))+0-0-0</f>
        <v>2164.3900680000002</v>
      </c>
      <c r="S142" s="3">
        <f>2480.8+(415-571.6)+(1.265208+(0.21165-0.291516))+0-0-0</f>
        <v>2325.3853420000005</v>
      </c>
      <c r="T142" s="3">
        <f>2470.4+(491-491)+(0+(0-0))+0-0-0</f>
        <v>2470.4</v>
      </c>
      <c r="U142" s="3">
        <f>2446.3+(499.3-450.7)+(0+(0-0))+0-0-0</f>
        <v>2494.9</v>
      </c>
      <c r="V142" s="3">
        <f>2445+(479.3-478.7)+(-1.24695+(-0.244443--0.244137))+0-0-0</f>
        <v>2444.3527439999998</v>
      </c>
      <c r="W142" s="3">
        <f>2452.1+(424.5-580.6)+(-2.501142+(-0.43299--0.592212))+0-0-0</f>
        <v>2293.6580800000002</v>
      </c>
      <c r="X142" s="3">
        <f>2360.5+(383.2-698.4)+(-6.019275+(-0.97716--1.78092))+0-0-0</f>
        <v>2040.0844849999999</v>
      </c>
      <c r="Y142" s="3">
        <f>2173.7+(290-615.5)+(-2.217174+(-0.2958--0.62781))+0-0-0</f>
        <v>1846.3148359999998</v>
      </c>
      <c r="Z142" s="3">
        <f>2458.2+(330.7-718.6)+(-1.253682+(-0.168657--0.366486))+0-0-0</f>
        <v>2069.2441469999999</v>
      </c>
      <c r="AA142" s="3">
        <f>2528.2+(385.9-690.1)+(-5.157528+(-0.787236--1.407804))+0-0-0</f>
        <v>2219.4630400000001</v>
      </c>
      <c r="AB142" s="3">
        <f>2525+(392.2-698.9)+(-2.5755+(-0.400044--0.712878))+0-0-0</f>
        <v>2216.0373340000001</v>
      </c>
      <c r="AC142" s="3">
        <f>2519.3+(373.7-706.9)+(-2.569686+(-0.381174--0.721038))+0-0-0</f>
        <v>2183.8701780000006</v>
      </c>
      <c r="AD142">
        <f t="shared" si="2"/>
        <v>47452.620825999998</v>
      </c>
      <c r="AE142" s="3">
        <f>2521+(414.7-678.7)+(0+(0-0))+0-0-0</f>
        <v>2257</v>
      </c>
    </row>
    <row r="143" spans="1:31" s="2" customFormat="1" x14ac:dyDescent="0.25">
      <c r="A143">
        <v>89</v>
      </c>
      <c r="B143">
        <v>5</v>
      </c>
      <c r="C143">
        <v>19</v>
      </c>
      <c r="D143">
        <v>4</v>
      </c>
      <c r="E143">
        <v>1</v>
      </c>
      <c r="F143" s="3">
        <f>2423.8+(364.5-679.1)+(-2.472276+(-0.37179--0.692682))+0-0-0</f>
        <v>2107.0486160000005</v>
      </c>
      <c r="G143" s="3">
        <f>2188.4+(361.4-574.4)+(-2.232168+(-0.368628--0.585888))+0-0-0</f>
        <v>1973.385092</v>
      </c>
      <c r="H143" s="3">
        <f>1699.2+(455.3-321.9)+(-3.466368+(-0.928812--0.656676))+0-0-0</f>
        <v>1828.8614960000002</v>
      </c>
      <c r="I143" s="3">
        <f>1517.9+(464-239.3)+(0.774129+(0.23664-0.122043))+0-0-0</f>
        <v>1743.488726</v>
      </c>
      <c r="J143" s="3">
        <f>1519.4+(446.7-310.6)+(3.099576+(0.911268-0.633624))+0-0-0</f>
        <v>1658.8772200000001</v>
      </c>
      <c r="K143" s="3">
        <f>1519.6+(398.3-377.1)+(1.549992+(0.406266-0.384642))+0-0-0</f>
        <v>1542.3716159999999</v>
      </c>
      <c r="L143" s="3">
        <f>1519.1+(303-456.5)+(-1.549482+(-0.30906--0.46563))+0-0-0</f>
        <v>1364.2070879999999</v>
      </c>
      <c r="M143" s="3">
        <f>1546.5+(277.3-426.8)+(1.57743+(0.282846-0.435336))+0-0-0</f>
        <v>1398.4249400000001</v>
      </c>
      <c r="N143" s="3">
        <f>1785.8+(343.1-573.8)+(2.732274+(0.524943-0.877914))+0-0-0</f>
        <v>1557.4793029999998</v>
      </c>
      <c r="O143" s="3">
        <f>2194.2+(338.6-816.8)+(4.476168+(0.690744-1.666272))+0-0-0</f>
        <v>1719.50064</v>
      </c>
      <c r="P143" s="3">
        <f>2336.1+(363.7-844.7)+(2.382822+(0.370974-0.861594))+0-0-0</f>
        <v>1856.9922019999999</v>
      </c>
      <c r="Q143" s="3">
        <f>2436.4+(354.5-798.2)+(0+(0-0))+0-0-0</f>
        <v>1992.7</v>
      </c>
      <c r="R143" s="3">
        <f>2467.7+(375.4-688.4)+(1.258527+(0.191454-0.351084))+0-0-0</f>
        <v>2155.7988969999997</v>
      </c>
      <c r="S143" s="3">
        <f>2467.9+(443.2-560.9)+(0+(0-0))+0-0-0</f>
        <v>2350.2000000000003</v>
      </c>
      <c r="T143" s="3">
        <f>2467.5+(485.7-469.6)+(0+(0-0))+0-0-0</f>
        <v>2483.6</v>
      </c>
      <c r="U143" s="3">
        <f>2464.5+(505.8-451.1)+(1.256895+(0.257958-0.230061))+0-0-0</f>
        <v>2520.4847919999997</v>
      </c>
      <c r="V143" s="3">
        <f>2463.5+(490.2-477.2)+(2.51277+(0.500004-0.486744))+0-0-0</f>
        <v>2479.02603</v>
      </c>
      <c r="W143" s="3">
        <f>2463.7+(438.4-568.7)+(-5.025948+(-0.894336--1.160148))+0-0-0</f>
        <v>2328.6398639999998</v>
      </c>
      <c r="X143" s="3">
        <f>2461.9+(375-736.8)+(-6.277845+(-0.95625--1.87884))+0-0-0</f>
        <v>2094.7447450000004</v>
      </c>
      <c r="Y143" s="3">
        <f>2334.4+(334.4-755.8)+(2.381088+(0.341088-0.770916))+0-0-0</f>
        <v>1914.95126</v>
      </c>
      <c r="Z143" s="3">
        <f>2452.4+(358.7-673.9)+(0+(0-0))+0-0-0</f>
        <v>2137.2000000000003</v>
      </c>
      <c r="AA143" s="3">
        <f>2517+(406.8-635.7)+(-2.56734+(-0.414936--0.648414))+0-0-0</f>
        <v>2285.766138</v>
      </c>
      <c r="AB143" s="3">
        <f>2517.9+(426.4-626.8)+(-1.284129+(-0.217464--0.319668))+0-0-0</f>
        <v>2316.3180750000001</v>
      </c>
      <c r="AC143" s="3">
        <f>2515.6+(416.1-622.7)+(-5.131824+(-0.848844--1.270308))+0-0-0</f>
        <v>2304.28964</v>
      </c>
      <c r="AD143">
        <f t="shared" si="2"/>
        <v>48114.356380000012</v>
      </c>
      <c r="AE143" s="3">
        <f>2512+(445.2-633.2)+(0+(0-0))+0-0-0</f>
        <v>2324</v>
      </c>
    </row>
    <row r="144" spans="1:31" s="2" customFormat="1" x14ac:dyDescent="0.25">
      <c r="A144">
        <v>89</v>
      </c>
      <c r="B144">
        <v>5</v>
      </c>
      <c r="C144">
        <v>20</v>
      </c>
      <c r="D144">
        <v>5</v>
      </c>
      <c r="E144">
        <v>1</v>
      </c>
      <c r="F144" s="3">
        <f>2489.6+(395.3-628.2)+(-5.078784+(-0.806412--1.281528))+0-0-0</f>
        <v>2252.0963319999996</v>
      </c>
      <c r="G144" s="3">
        <f>2204.5+(419.5-503.4)+(-3.372885+(-0.641835--0.770202))+0-0-0</f>
        <v>2117.3554819999999</v>
      </c>
      <c r="H144" s="3">
        <f>1794.8+(489.2-303.4)+(-3.661392+(-0.997968--0.618936))+0-0-0</f>
        <v>1976.5595759999999</v>
      </c>
      <c r="I144" s="3">
        <f>1536.6+(515.6-169.7)+(-3.91833+(-1.31478--0.432735))+0-0-0</f>
        <v>1877.699625</v>
      </c>
      <c r="J144" s="3">
        <f>1526.1+(468-199)+(-4.669866+(-1.43208--0.60894))+0-0-0</f>
        <v>1789.606994</v>
      </c>
      <c r="K144" s="3">
        <f>1524+(401.5-278)+(-3.10896+(-0.81906--0.56712))+0-0-0</f>
        <v>1644.1391000000001</v>
      </c>
      <c r="L144" s="3">
        <f>1508.2+(308.7-383)+(-4.615092+(-0.944622--1.17198))+0-0-0</f>
        <v>1429.5122660000002</v>
      </c>
      <c r="M144" s="3">
        <f>1690.6+(185-431)+(-2.586618+(-0.28305--0.65943))+0-0-0</f>
        <v>1442.389762</v>
      </c>
      <c r="N144" s="3">
        <f>2105.1+(138.1-605.5)+(0+(0-0))+0-0-0</f>
        <v>1637.6999999999998</v>
      </c>
      <c r="O144" s="3">
        <f>2286.5+(329.2-840.6)+(-1.166115+(-0.167892--0.428706))+0-0-0</f>
        <v>1774.1946989999999</v>
      </c>
      <c r="P144" s="3">
        <f>2544.5+(325.9-957.9)+(3.893085+(0.498627-1.465587))+0-0-0</f>
        <v>1915.426125</v>
      </c>
      <c r="Q144" s="3">
        <f>2614.7+(341.9-899)+(-1.333497+(-0.174369--0.45849))+0-0-0</f>
        <v>2056.550624</v>
      </c>
      <c r="R144" s="3">
        <f>2614.9+(338.2-705.2)+(1.333599+(0.172482-0.359652))+0-0-0</f>
        <v>2249.046429</v>
      </c>
      <c r="S144" s="3">
        <f>2611.6+(411.5-548.1)+(0+(0-0))+0-0-0</f>
        <v>2475</v>
      </c>
      <c r="T144" s="3">
        <f>2611.6+(448.5-474.6)+(1.331916+(0.228735-0.242046))+0-0-0</f>
        <v>2586.8186049999999</v>
      </c>
      <c r="U144" s="3">
        <f>2586.1+(468.6-438.7)+(0+(0-0))+0-0-0</f>
        <v>2616</v>
      </c>
      <c r="V144" s="3">
        <f>2316.7+(534.3-294.6)+(-4.726068+(-1.089972--0.600984))+0-0-0</f>
        <v>2551.1849439999996</v>
      </c>
      <c r="W144" s="3">
        <f>2173.2+(528.2-317.5)+(-4.433328+(-1.077528--0.6477))+0-0-0</f>
        <v>2379.0368439999997</v>
      </c>
      <c r="X144" s="3">
        <f>2176.5+(486.4-506.3)+(-6.66009+(-1.488384--1.549278))+0-0-0</f>
        <v>2150.0008039999998</v>
      </c>
      <c r="Y144" s="3">
        <f>2184.5+(410-587.4)+(1.114095+(0.2091-0.299574))+0-0-0</f>
        <v>2008.123621</v>
      </c>
      <c r="Z144" s="3">
        <f>2108.6+(505.2-325.5)+(2.150772+(0.515304-0.33201))+0-0-0</f>
        <v>2290.6340659999996</v>
      </c>
      <c r="AA144" s="3">
        <f>2089.9+(598.5-269.7)+(-3.197547+(-0.915705--0.412641))+0-0-0</f>
        <v>2414.9993890000001</v>
      </c>
      <c r="AB144" s="3">
        <f>2145.9+(602.2-309.3)+(0+(0-0))+0-0-0</f>
        <v>2438.8000000000002</v>
      </c>
      <c r="AC144" s="3">
        <f>2213.4+(579.8-390.1)+(-3.386502+(-0.887094--0.596853))+0-0-0</f>
        <v>2399.4232569999999</v>
      </c>
      <c r="AD144">
        <f t="shared" si="2"/>
        <v>50472.298544000005</v>
      </c>
      <c r="AE144" s="3">
        <f>2092.4+(649.8-268.5)+(0+(0-0))+0-0-0</f>
        <v>2473.6999999999998</v>
      </c>
    </row>
    <row r="145" spans="1:31" s="2" customFormat="1" x14ac:dyDescent="0.25">
      <c r="A145">
        <v>89</v>
      </c>
      <c r="B145">
        <v>5</v>
      </c>
      <c r="C145">
        <v>21</v>
      </c>
      <c r="D145">
        <v>6</v>
      </c>
      <c r="E145">
        <v>8</v>
      </c>
      <c r="F145" s="3">
        <f>2202.9+(544.4-438.5)+(-4.493916+(-1.110576--0.89454))+0-0-0</f>
        <v>2304.090048</v>
      </c>
      <c r="G145" s="3">
        <f>2084.3+(474.3-380.9)+(-4.251972+(-0.967572--0.777036))+0-0-0</f>
        <v>2173.2574920000002</v>
      </c>
      <c r="H145" s="3">
        <f>1761+(550.2-262.6)+(0+(0-0))+0-0-0</f>
        <v>2048.6</v>
      </c>
      <c r="I145" s="3">
        <f>1629.7+(554.2-200.9)+(1.662294+(0.565284-0.204918))+0-0-0</f>
        <v>1985.0226600000001</v>
      </c>
      <c r="J145" s="3">
        <f>1691.5+(560.3-324.1)+(-2.587995+(-0.857259--0.495873))+0-0-0</f>
        <v>1924.7506189999999</v>
      </c>
      <c r="K145" s="3">
        <f>1540.2+(543.9-371.9)+(-3.92751+(-1.386945--0.948345))+0-0-0</f>
        <v>1707.8338900000001</v>
      </c>
      <c r="L145" s="3">
        <f>1457.5+(477.2-417.9)+(-5.9466+(-1.946976--1.705032))+0-0-0</f>
        <v>1510.6114559999999</v>
      </c>
      <c r="M145" s="3">
        <f>1489.1+(412.1-414.9)+(1.518882+(0.420342-0.423198))+0-0-0</f>
        <v>1487.816026</v>
      </c>
      <c r="N145" s="3">
        <f>1698.9+(436.6-504)+(1.732878+(0.445332-0.51408))+0-0-0</f>
        <v>1633.1641299999999</v>
      </c>
      <c r="O145" s="3">
        <f>2079.8+(392.1-711.1)+(4.242792+(0.799884-1.450644))+0-0-0</f>
        <v>1764.3920320000002</v>
      </c>
      <c r="P145" s="3">
        <f>2242.5+(401.6-736.5)+(2.28735+(0.409632-0.75123))+0-0-0</f>
        <v>1909.545752</v>
      </c>
      <c r="Q145" s="3">
        <f>2250.3+(420.6-631.1)+(0+(0-0))+0-0-0</f>
        <v>2039.8000000000002</v>
      </c>
      <c r="R145" s="3">
        <f>2373.1+(428.4-633.5)+(2.420562+(0.436968-0.64617))+0-0-0</f>
        <v>2170.2113599999998</v>
      </c>
      <c r="S145" s="3">
        <f>2344.1+(494.1-461.1)+(0+(0-0))+0-0-0</f>
        <v>2377.1</v>
      </c>
      <c r="T145" s="3">
        <f>2253.3+(582.5-332)+(0+(0-0))+0-0-0</f>
        <v>2503.8000000000002</v>
      </c>
      <c r="U145" s="3">
        <f>2226.6+(595.7-343.3)+(-1.135566+(-0.303807--0.175083))+0-0-0</f>
        <v>2477.7357099999999</v>
      </c>
      <c r="V145" s="3">
        <f>2231.7+(577.5-393.6)+(-1.138167+(-0.294525--0.200736))+0-0-0</f>
        <v>2414.3680439999998</v>
      </c>
      <c r="W145" s="3">
        <f>2214.7+(533.1-453.3)+(-3.388491+(-0.815643--0.693549))+0-0-0</f>
        <v>2290.989415</v>
      </c>
      <c r="X145" s="3">
        <f>2214.7+(454.8-579.5)+(-4.517988+(-0.927792--1.18218))+0-0-0</f>
        <v>2085.7363999999998</v>
      </c>
      <c r="Y145" s="3">
        <f>2245.1+(406-636.4)+(1.145001+(0.20706-0.324564))+0-0-0</f>
        <v>2015.7274969999999</v>
      </c>
      <c r="Z145" s="3">
        <f>2441.2+(488.6-579.4)+(2.490024+(0.498372-0.590988))+0-0-0</f>
        <v>2352.7974079999995</v>
      </c>
      <c r="AA145" s="3">
        <f>2452.7+(482.7-562.8)+(-1.250877+(-0.246177--0.287028))+0-0-0</f>
        <v>2371.3899739999997</v>
      </c>
      <c r="AB145" s="3">
        <f>2442.9+(474.3-597.9)+(-1.245879+(-0.241893--0.304929))+0-0-0</f>
        <v>2318.1171570000001</v>
      </c>
      <c r="AC145" s="3">
        <f>2433+(499.7-636.9)+(1.24083+(0.254847-0.324819))+0-0-0</f>
        <v>2296.9708580000001</v>
      </c>
      <c r="AD145">
        <f t="shared" si="2"/>
        <v>50163.827927999999</v>
      </c>
      <c r="AE145" s="3">
        <f>2454.4+(530.1-556.6)+(0+(0-0))+0-0-0</f>
        <v>2427.9</v>
      </c>
    </row>
    <row r="146" spans="1:31" s="2" customFormat="1" x14ac:dyDescent="0.25">
      <c r="A146">
        <v>89</v>
      </c>
      <c r="B146">
        <v>5</v>
      </c>
      <c r="C146">
        <v>22</v>
      </c>
      <c r="D146">
        <v>7</v>
      </c>
      <c r="E146">
        <v>1</v>
      </c>
      <c r="F146" s="3">
        <f>2221.1+(489.5-524.7)+(1.132761+(0.249645-0.267597))+0-0-0</f>
        <v>2187.0148089999998</v>
      </c>
      <c r="G146" s="3">
        <f>1637.4+(603.8-213.4)+(-1.670148+(-0.615876--0.217668))+0-0-0</f>
        <v>2025.7316440000002</v>
      </c>
      <c r="H146" s="3">
        <f>1455.3+(596.8-163)+(-0.742203+(-0.304368--0.08313))+0-0-0</f>
        <v>1888.1365589999998</v>
      </c>
      <c r="I146" s="3">
        <f>1457.5+(549.4-182.9)+(0+(0-0))+0-0-0</f>
        <v>1824</v>
      </c>
      <c r="J146" s="3">
        <f>1460+(577.5-273.9)+(-0.7446+(-0.294525--0.139689))+0-0-0</f>
        <v>1762.700564</v>
      </c>
      <c r="K146" s="3">
        <f>1462.4+(496.2-401)+(-1.491648+(-0.506124--0.40902))+0-0-0</f>
        <v>1556.011248</v>
      </c>
      <c r="L146" s="3">
        <f>1375.5+(446.8-448.8)+(-2.80602+(-0.911472--0.915552))+0-0-0</f>
        <v>1370.6980599999999</v>
      </c>
      <c r="M146" s="3">
        <f>1132+(504.4-315)+(-0.57732+(-0.257244--0.16065))+0-0-0</f>
        <v>1320.7260860000001</v>
      </c>
      <c r="N146" s="3">
        <f>1127.6+(488.9-246.5)+(-1.725228+(-0.748017--0.377145))+0-0-0</f>
        <v>1367.9039</v>
      </c>
      <c r="O146" s="3">
        <f>1174.2+(495.8-197.5)+(0.598842+(0.252858-0.100725))+0-0-0</f>
        <v>1473.2509749999999</v>
      </c>
      <c r="P146" s="3">
        <f>1335.5+(510.8-252.6)+(-1.36221+(-0.521016--0.257652))+0-0-0</f>
        <v>1592.0744260000001</v>
      </c>
      <c r="Q146" s="3">
        <f>1750.6+(450.2-474.2)+(0+(0-0))+0-0-0</f>
        <v>1726.6</v>
      </c>
      <c r="R146" s="3">
        <f>1805.8+(514.9-442.2)+(0.920958+(0.262599-0.225522))+0-0-0</f>
        <v>1879.4580350000001</v>
      </c>
      <c r="S146" s="3">
        <f>1907.7+(564.3-407.5)+(0+(0-0))+0-0-0</f>
        <v>2064.5</v>
      </c>
      <c r="T146" s="3">
        <f>1980.6+(591.4-354.1)+(1.010106+(0.301614-0.180591))+0-0-0</f>
        <v>2219.0311289999995</v>
      </c>
      <c r="U146" s="3">
        <f>1981.7+(592.7-322)+(0+(0-0))+0-0-0</f>
        <v>2252.4</v>
      </c>
      <c r="V146" s="3">
        <f>1953.8+(569.4-327.8)+(-2.989314+(-0.871182--0.501534))+0-0-0</f>
        <v>2192.0410380000003</v>
      </c>
      <c r="W146" s="3">
        <f>1951.9+(526.5-432.3)+(-2.986407+(-0.805545--0.661419))+0-0-0</f>
        <v>2042.9694670000001</v>
      </c>
      <c r="X146" s="3">
        <f>1652.8+(570.4-359.6)+(-3.371712+(-1.163616--0.733584))+0-0-0</f>
        <v>1859.7982559999998</v>
      </c>
      <c r="Y146" s="3">
        <f>1622.6+(519.7-358.7)+(-1.655052+(-0.530094--0.365874))+0-0-0</f>
        <v>1781.780728</v>
      </c>
      <c r="Z146" s="3">
        <f>2052.6+(485.6-453.7)+(-1.046826+(-0.247656--0.231387))+0-0-0</f>
        <v>2083.436905</v>
      </c>
      <c r="AA146" s="3">
        <f>2371.7+(409.5-669.4)+(-6.047835+(-1.044225--1.70697))+0-0-0</f>
        <v>2106.4149099999995</v>
      </c>
      <c r="AB146" s="3">
        <f>2422.2+(398.7-741.6)+(-2.470644+(-0.406674--0.756432))+0-0-0</f>
        <v>2077.1791139999996</v>
      </c>
      <c r="AC146" s="3">
        <f>2188.4+(501.2-586.8)+(1.116084+(0.255612-0.299268))+0-0-0</f>
        <v>2103.8724280000001</v>
      </c>
      <c r="AD146">
        <f t="shared" si="2"/>
        <v>44757.730280999996</v>
      </c>
      <c r="AE146" s="3">
        <f>2309+(475.4-546.5)+(0+(0-0))+0-0-0</f>
        <v>2237.9</v>
      </c>
    </row>
    <row r="147" spans="1:31" s="2" customFormat="1" x14ac:dyDescent="0.25">
      <c r="A147">
        <v>89</v>
      </c>
      <c r="B147">
        <v>5</v>
      </c>
      <c r="C147">
        <v>23</v>
      </c>
      <c r="D147">
        <v>1</v>
      </c>
      <c r="E147">
        <v>1</v>
      </c>
      <c r="F147" s="3">
        <f>2069.1+(446.4-482.2)+(-4.220964+(-0.910656--0.983688))+0-0-0</f>
        <v>2029.1520679999999</v>
      </c>
      <c r="G147" s="3">
        <f>1462.1+(586.3-172.6)+(0.745671+(0.299013-0.088026))+0-0-0</f>
        <v>1876.7566579999998</v>
      </c>
      <c r="H147" s="3">
        <f>1326.6+(552.9-123.3)+(-1.353132+(-0.563958--0.125766))+0-0-0</f>
        <v>1754.4086759999998</v>
      </c>
      <c r="I147" s="3">
        <f>1266.5+(521.7-91.9)+(-2.58366+(-1.064268--0.187476))+0-0-0</f>
        <v>1692.8395480000001</v>
      </c>
      <c r="J147" s="3">
        <f>1270.5+(529.5-147.1)+(-0.647955+(-0.270045--0.075021))+0-0-0</f>
        <v>1652.0570210000001</v>
      </c>
      <c r="K147" s="3">
        <f>1270.1+(481.6-258.3)+(-1.295502+(-0.491232--0.263466))+0-0-0</f>
        <v>1491.8767319999999</v>
      </c>
      <c r="L147" s="3">
        <f>1271.5+(408.6-327.5)+(-1.29693+(-0.416772--0.33405))+0-0-0</f>
        <v>1351.2203479999998</v>
      </c>
      <c r="M147" s="3">
        <f>1290.1+(362.6-281.9)+(-0.657951+(-0.184926--0.143769))+0-0-0</f>
        <v>1370.1008919999999</v>
      </c>
      <c r="N147" s="3">
        <f>1472.6+(392.6-341.4)+(0.751026+(0.200226-0.174114))+0-0-0</f>
        <v>1524.5771379999999</v>
      </c>
      <c r="O147" s="3">
        <f>1724.4+(463.3-507.2)+(-2.638332+(-0.708849--0.776016))+0-0-0</f>
        <v>1677.9288349999999</v>
      </c>
      <c r="P147" s="3">
        <f>2183.6+(408.8-780.2)+(1.113636+(0.208488-0.397902))+0-0-0</f>
        <v>1813.1242219999999</v>
      </c>
      <c r="Q147" s="3">
        <f>2385.8+(407-863.4)+(3.650274+(0.62271-1.321002))+0-0-0</f>
        <v>1932.3519820000001</v>
      </c>
      <c r="R147" s="3">
        <f>2440.4+(390.6-766.3)+(1.244604+(0.199206-0.390813))+0-0-0</f>
        <v>2065.7529970000001</v>
      </c>
      <c r="S147" s="3">
        <f>2499.5+(402.8-672.9)+(1.274745+(0.205428-0.343179))+0-0-0</f>
        <v>2230.536994</v>
      </c>
      <c r="T147" s="3">
        <f>2574+(456.4-602.5)+(1.31274+(0.232764-0.307275))+0-0-0</f>
        <v>2429.1382290000001</v>
      </c>
      <c r="U147" s="3">
        <f>2565+(431.1-536.1)+(-1.30815+(-0.219861--0.273411))+0-0-0</f>
        <v>2458.7453999999998</v>
      </c>
      <c r="V147" s="3">
        <f>2562.8+(468.6-642.6)+(0+(0-0))+0-0-0</f>
        <v>2388.8000000000002</v>
      </c>
      <c r="W147" s="3">
        <f>2522.1+(405.2-709)+(-6.431355+(-1.03326--1.80795))+0-0-0</f>
        <v>2212.6433349999998</v>
      </c>
      <c r="X147" s="3">
        <f>2469.1+(344.6-806)+(-2.518482+(-0.351492--0.82212))+0-0-0</f>
        <v>2005.6521459999999</v>
      </c>
      <c r="Y147" s="3">
        <f>2330.7+(296.6-680.6)+(-2.377314+(-0.302532--0.694212))+0-0-0</f>
        <v>1944.7143659999999</v>
      </c>
      <c r="Z147" s="3">
        <f>2466.2+(372.6-613.4)+(-1.257762+(-0.190026--0.312834))+0-0-0</f>
        <v>2224.2650459999995</v>
      </c>
      <c r="AA147" s="3">
        <f>2637.7+(354.3-769.6)+(-5.380908+(-0.722772--1.569984))+0-0-0</f>
        <v>2217.8663039999997</v>
      </c>
      <c r="AB147" s="3">
        <f>2517.3+(377.2-730.9)+(-2.567646+(-0.384744--0.745518))+0-0-0</f>
        <v>2161.3931280000002</v>
      </c>
      <c r="AC147" s="3">
        <f>2410.9+(414-685.3)+(-2.459118+(-0.42228--0.699006))+0-0-0</f>
        <v>2137.4176080000002</v>
      </c>
      <c r="AD147">
        <f t="shared" si="2"/>
        <v>46643.319673000013</v>
      </c>
      <c r="AE147" s="3">
        <f>2578.4+(384.5-720.6)+(0+(0-0))+0-0-0</f>
        <v>2242.3000000000002</v>
      </c>
    </row>
    <row r="148" spans="1:31" s="2" customFormat="1" x14ac:dyDescent="0.25">
      <c r="A148">
        <v>89</v>
      </c>
      <c r="B148">
        <v>5</v>
      </c>
      <c r="C148">
        <v>24</v>
      </c>
      <c r="D148">
        <v>2</v>
      </c>
      <c r="E148">
        <v>1</v>
      </c>
      <c r="F148" s="3">
        <f>2287.3+(381.1-620.9)+(-3.499569+(-0.583083--0.949977))+0-0-0</f>
        <v>2044.3673250000002</v>
      </c>
      <c r="G148" s="3">
        <f>1584.4+(565.7-252.3)+(-0.808044+(-0.288507--0.128673))+0-0-0</f>
        <v>1896.8321220000003</v>
      </c>
      <c r="H148" s="3">
        <f>1282.7+(626-126.5)+(0.654177+(0.31926-0.064515))+0-0-0</f>
        <v>1783.1089220000001</v>
      </c>
      <c r="I148" s="3">
        <f>1274.4+(524.9-80.8)+(-2.599776+(-1.070796--0.164832))+0-0-0</f>
        <v>1714.9942599999999</v>
      </c>
      <c r="J148" s="3">
        <f>1276.1+(566.9-163)+(0.650811+(0.289119-0.08313))+0-0-0</f>
        <v>1680.8568</v>
      </c>
      <c r="K148" s="3">
        <f>1271.9+(498.8-262.3)+(-1.946007+(-0.763164--0.401319))+0-0-0</f>
        <v>1506.0921480000002</v>
      </c>
      <c r="L148" s="3">
        <f>1271.2+(416.8-337.4)+(-2.593248+(-0.850272--0.688296))+0-0-0</f>
        <v>1347.8447760000001</v>
      </c>
      <c r="M148" s="3">
        <f>1375.9+(348.2-372.1)+(-1.403418+(-0.355164--0.379542))+0-0-0</f>
        <v>1350.62096</v>
      </c>
      <c r="N148" s="3">
        <f>1634.7+(382.2-502.3)+(1.667394+(0.389844-0.512346))+0-0-0</f>
        <v>1516.1448919999998</v>
      </c>
      <c r="O148" s="3">
        <f>2022.2+(341-760)+(-4.125288+(-0.69564--1.5504))+0-0-0</f>
        <v>1599.929472</v>
      </c>
      <c r="P148" s="3">
        <f>2315.1+(414.1-937.4)+(3.542103+(0.633573-1.434222))+0-0-0</f>
        <v>1794.5414539999999</v>
      </c>
      <c r="Q148" s="3">
        <f>2484.9+(395.9-961.5)+(-2.534598+(-0.403818--0.98073))+0-0-0</f>
        <v>1917.3423140000002</v>
      </c>
      <c r="R148" s="3">
        <f>2605.3+(422-943.4)+(0+(0-0))+0-0-0</f>
        <v>2083.9</v>
      </c>
      <c r="S148" s="3">
        <f>2614.2+(424.7-773.7)+(-2.666484+(-0.433194--0.789174))+0-0-0</f>
        <v>2262.8894959999998</v>
      </c>
      <c r="T148" s="3">
        <f>2608.5+(467-639.7)+(1.330335+(0.23817-0.326247))+0-0-0</f>
        <v>2437.0422580000004</v>
      </c>
      <c r="U148" s="3">
        <f>2570.6+(494.3-593.2)+(-1.311006+(-0.252093--0.302532))+0-0-0</f>
        <v>2470.439433</v>
      </c>
      <c r="V148" s="3">
        <f>2520.2+(465.9-578.1)+(-2.570604+(-0.475218--0.589662))+0-0-0</f>
        <v>2405.5438399999998</v>
      </c>
      <c r="W148" s="3">
        <f>2568.1+(406.1-720.3)+(0+(0-0))+0-0-0</f>
        <v>2253.9</v>
      </c>
      <c r="X148" s="3">
        <f>2512.7+(258.3-719.3)+(-2.562954+(-0.263466--0.733686))+0-0-0</f>
        <v>2049.607266</v>
      </c>
      <c r="Y148" s="3">
        <f>2497.3+(236-745.7)+(0+(0-0))+0-0-0</f>
        <v>1987.6000000000001</v>
      </c>
      <c r="Z148" s="3">
        <f>2636.1+(382.3-744.6)+(-2.688822+(-0.389946--0.759492))+0-0-0</f>
        <v>2271.4807239999996</v>
      </c>
      <c r="AA148" s="3">
        <f>2647.2+(365.6-741.3)+(-2.700144+(-0.372912--0.756126))+0-0-0</f>
        <v>2269.18307</v>
      </c>
      <c r="AB148" s="3">
        <f>2652.2+(381.5-801.7)+(-2.705244+(-0.38913--0.817734))+0-0-0</f>
        <v>2229.72336</v>
      </c>
      <c r="AC148" s="3">
        <f>2641.4+(411.9-820.5)+(-2.694228+(-0.420138--0.83691))+0-0-0</f>
        <v>2230.5225440000004</v>
      </c>
      <c r="AD148">
        <f t="shared" si="2"/>
        <v>47104.507435999993</v>
      </c>
      <c r="AE148" s="3">
        <f>2656+(353.4-693)+(0+(0-0))+0-0-0</f>
        <v>2316.4</v>
      </c>
    </row>
    <row r="149" spans="1:31" s="2" customFormat="1" x14ac:dyDescent="0.25">
      <c r="A149">
        <v>89</v>
      </c>
      <c r="B149">
        <v>5</v>
      </c>
      <c r="C149">
        <v>25</v>
      </c>
      <c r="D149">
        <v>3</v>
      </c>
      <c r="E149">
        <v>1</v>
      </c>
      <c r="F149" s="3">
        <f>2340.7+(400.7-591.4)+(-8.356299+(-1.430499--2.111298))+0-0-0</f>
        <v>2142.3245000000002</v>
      </c>
      <c r="G149" s="3">
        <f>1721+(525.9-257.4)+(-4.38855+(-1.341045--0.65637))+0-0-0</f>
        <v>1984.4267749999999</v>
      </c>
      <c r="H149" s="3">
        <f>1378.6+(633.2-153.3)+(-0.703086+(-0.322932--0.078183))+0-0-0</f>
        <v>1857.5521650000001</v>
      </c>
      <c r="I149" s="3">
        <f>1148.2+(654.9-28.8)+(0.585582+(0.333999-0.014688))+0-0-0</f>
        <v>1775.2048930000001</v>
      </c>
      <c r="J149" s="3">
        <f>1124.5+(675.1-70.5)+(0.573495+(0.344301-0.035955))+0-0-0</f>
        <v>1729.9818409999998</v>
      </c>
      <c r="K149" s="3">
        <f>1124.2+(588.6-158.8)+(-2.293368+(-1.200744--0.323952))+0-0-0</f>
        <v>1550.8298400000001</v>
      </c>
      <c r="L149" s="3">
        <f>1174.5+(478.1-262.8)+(-2.39598+(-0.975324--0.536112))+0-0-0</f>
        <v>1386.9648079999999</v>
      </c>
      <c r="M149" s="3">
        <f>1369.1+(382.9-359.8)+(0+(0-0))+0-0-0</f>
        <v>1392.1999999999998</v>
      </c>
      <c r="N149" s="3">
        <f>1758.2+(337.8-538.7)+(0+(0-0))+0-0-0</f>
        <v>1557.3</v>
      </c>
      <c r="O149" s="3">
        <f>2091.4+(359.5-734.5)+(0+(0-0))+0-0-0</f>
        <v>1716.4</v>
      </c>
      <c r="P149" s="3">
        <f>2314.4+(414.3-872.3)+(3.541032+(0.633879-1.334619))+0-0-0</f>
        <v>1859.2402920000002</v>
      </c>
      <c r="Q149" s="3">
        <f>2479.1+(450.3-924.5)+(2.528682+(0.459306-0.94299))+0-0-0</f>
        <v>2006.9449979999999</v>
      </c>
      <c r="R149" s="3">
        <f>2486.3+(438.6-771)+(5.072052+(0.894744-1.57284))+0-0-0</f>
        <v>2158.293956</v>
      </c>
      <c r="S149" s="3">
        <f>2605+(448.7-693.8)+(-2.6571+(-0.457674--0.707676))+0-0-0</f>
        <v>2357.492902</v>
      </c>
      <c r="T149" s="3">
        <f>2600.7+(518.9-575.8)+(2.652714+(0.529278-0.587316))+0-0-0</f>
        <v>2546.3946759999999</v>
      </c>
      <c r="U149" s="3">
        <f>2599.2+(503.5-525.9)+(2.651184+(0.51357-0.536418))+0-0-0</f>
        <v>2579.4283359999999</v>
      </c>
      <c r="V149" s="3">
        <f>2601.8+(497.9-588.1)+(-5.307672+(-1.015716--1.199724))+0-0-0</f>
        <v>2506.4763360000002</v>
      </c>
      <c r="W149" s="3">
        <f>2549.7+(468.6-690.6)+(-2.600694+(-0.477972--0.704412))+0-0-0</f>
        <v>2325.325746</v>
      </c>
      <c r="X149" s="3">
        <f>2534.1+(400.6-834.9)+(-2.584782+(-0.408612--0.851598))+0-0-0</f>
        <v>2097.6582040000003</v>
      </c>
      <c r="Y149" s="3">
        <f>2522.4+(382.9-848.8)+(1.286424+(0.195279-0.432888))+0-0-0</f>
        <v>2057.5488150000001</v>
      </c>
      <c r="Z149" s="3">
        <f>2642.3+(369.3-671.3)+(-1.347573+(-0.188343--0.342363))+0-0-0</f>
        <v>2339.1064470000001</v>
      </c>
      <c r="AA149" s="3">
        <f>2647.9+(372.6-707.1)+(0+(0-0))+0-0-0</f>
        <v>2313.4</v>
      </c>
      <c r="AB149" s="3">
        <f>2635.2+(409.9-753.8)+(-2.687904+(-0.418098--0.768876))+0-0-0</f>
        <v>2288.9628739999998</v>
      </c>
      <c r="AC149" s="3">
        <f>2624.1+(414.9-727.4)+(-2.676582+(-0.423198--0.741948))+0-0-0</f>
        <v>2309.2421679999998</v>
      </c>
      <c r="AD149">
        <f t="shared" si="2"/>
        <v>48838.700572000002</v>
      </c>
      <c r="AE149" s="3">
        <f>2644+(359-648.3)+(0+(0-0))+0-0-0</f>
        <v>2354.6999999999998</v>
      </c>
    </row>
    <row r="150" spans="1:31" s="2" customFormat="1" x14ac:dyDescent="0.25">
      <c r="A150">
        <v>89</v>
      </c>
      <c r="B150">
        <v>5</v>
      </c>
      <c r="C150">
        <v>26</v>
      </c>
      <c r="D150">
        <v>4</v>
      </c>
      <c r="E150">
        <v>1</v>
      </c>
      <c r="F150" s="3">
        <f>2496.5+(421.3-678.1)+(-5.09286+(-0.859452--1.383324))+0-0-0</f>
        <v>2235.1310119999998</v>
      </c>
      <c r="G150" s="3">
        <f>2249.8+(410.4-582.1)+(-2.294796+(-0.418608--0.593742))+0-0-0</f>
        <v>2075.9803380000003</v>
      </c>
      <c r="H150" s="3">
        <f>1894.2+(458.7-423.3)+(-0.966042+(-0.233937--0.215883))+0-0-0</f>
        <v>1928.615904</v>
      </c>
      <c r="I150" s="3">
        <f>1731.5+(453.5-324.4)+(-3.53226+(-0.92514--0.661776))+0-0-0</f>
        <v>1856.8043759999998</v>
      </c>
      <c r="J150" s="3">
        <f>1683.6+(468.5-367)+(1.717272+(0.47787-0.37434))+0-0-0</f>
        <v>1786.9208019999999</v>
      </c>
      <c r="K150" s="3">
        <f>1544.6+(417.3-362)+(-1.575492+(-0.425646--0.36924))+0-0-0</f>
        <v>1598.2681019999998</v>
      </c>
      <c r="L150" s="3">
        <f>1523+(323.8-404.9)+(-3.10692+(-0.660552--0.825996))+0-0-0</f>
        <v>1438.9585240000001</v>
      </c>
      <c r="M150" s="3">
        <f>1545.6+(311.8-421.7)+(0.788256+(0.159018-0.215067))+0-0-0</f>
        <v>1436.4322069999998</v>
      </c>
      <c r="N150" s="3">
        <f>1836.5+(353-590.1)+(0+(0-0))+0-0-0</f>
        <v>1599.4</v>
      </c>
      <c r="O150" s="3">
        <f>2137.7+(411.3-785.2)+(0+(0-0))+0-0-0</f>
        <v>1763.7999999999997</v>
      </c>
      <c r="P150" s="3">
        <f>2362.9+(449.4-912.1)+(2.410158+(0.458388-0.930342))+0-0-0</f>
        <v>1902.1382040000001</v>
      </c>
      <c r="Q150" s="3">
        <f>2414.8+(434.5-823)+(2.463096+(0.44319-0.83946))+0-0-0</f>
        <v>2028.3668260000002</v>
      </c>
      <c r="R150" s="3">
        <f>2439.4+(466.1-694.4)+(0+(0-0))+0-0-0</f>
        <v>2211.1000000000004</v>
      </c>
      <c r="S150" s="3">
        <f>2473.4+(531.8-578.3)+(0+(0-0))+0-0-0</f>
        <v>2426.9</v>
      </c>
      <c r="T150" s="3">
        <f>2461.6+(570.3-444.2)+(0+(0-0))+0-0-0</f>
        <v>2587.6999999999998</v>
      </c>
      <c r="U150" s="3">
        <f>2447+(575.2-416.1)+(-1.24797+(-0.293352--0.212211))+0-0-0</f>
        <v>2604.7708889999999</v>
      </c>
      <c r="V150" s="3">
        <f>2440.4+(551.2-439.7)+(-1.244604+(-0.281112--0.224247))+0-0-0</f>
        <v>2550.5985310000001</v>
      </c>
      <c r="W150" s="3">
        <f>2446.9+(498.5-556.4)+(-4.991676+(-1.01694--1.135056))+0-0-0</f>
        <v>2384.12644</v>
      </c>
      <c r="X150" s="3">
        <f>2389.9+(438-659.3)+(-3.656547+(-0.67014--1.008729))+0-0-0</f>
        <v>2165.2820420000003</v>
      </c>
      <c r="Y150" s="3">
        <f>2426.8+(357.1-682.6)+(1.237668+(0.182121-0.348126))+0-0-0</f>
        <v>2102.3716630000004</v>
      </c>
      <c r="Z150" s="3">
        <f>2500.9+(424.7-530.2)+(-1.275459+(-0.216597--0.270402))+0-0-0</f>
        <v>2394.1783460000001</v>
      </c>
      <c r="AA150" s="3">
        <f>2501.7+(374.6-542.3)+(-3.827601+(-0.573138--0.829719))+0-0-0</f>
        <v>2330.4289800000001</v>
      </c>
      <c r="AB150" s="3">
        <f>2497.2+(399.8-573.7)+(1.273572+(0.203898-0.292587))+0-0-0</f>
        <v>2324.4848829999996</v>
      </c>
      <c r="AC150" s="3">
        <f>2479.7+(364.2-559.1)+(0+(0-0))+0-0-0</f>
        <v>2284.7999999999997</v>
      </c>
      <c r="AD150">
        <f t="shared" si="2"/>
        <v>50017.558068999999</v>
      </c>
      <c r="AE150" s="3">
        <f>2496+(466.5-529.2)+(0+(0-0))+0-0-0</f>
        <v>2433.3000000000002</v>
      </c>
    </row>
    <row r="151" spans="1:31" s="2" customFormat="1" x14ac:dyDescent="0.25">
      <c r="A151">
        <v>89</v>
      </c>
      <c r="B151">
        <v>5</v>
      </c>
      <c r="C151">
        <v>27</v>
      </c>
      <c r="D151">
        <v>5</v>
      </c>
      <c r="E151">
        <v>1</v>
      </c>
      <c r="F151" s="3">
        <f>2467.2+(373.3-554.5)+(-3.774816+(-0.571149--0.848385))+0-0-0</f>
        <v>2282.5024199999998</v>
      </c>
      <c r="G151" s="3">
        <f>2285.5+(333.4-498.4)+(-1.165605+(-0.170034--0.254184))+0-0-0</f>
        <v>2119.418545</v>
      </c>
      <c r="H151" s="3">
        <f>1877.8+(342.6-285)+(-0.957678+(-0.174726--0.14535))+0-0-0</f>
        <v>1934.4129460000001</v>
      </c>
      <c r="I151" s="3">
        <f>1670.4+(450.1-243)+(0+(0-0))+0-0-0</f>
        <v>1877.5</v>
      </c>
      <c r="J151" s="3">
        <f>1538.2+(447.7-319)+(-2.353446+(-0.684981--0.48807))+0-0-0</f>
        <v>1664.349643</v>
      </c>
      <c r="K151" s="3">
        <f>1512.4+(475.1-351.7)+(-2.313972+(-0.726903--0.538101))+0-0-0</f>
        <v>1633.2972260000001</v>
      </c>
      <c r="L151" s="3">
        <f>1515.4+(332.6-417.5)+(-1.545708+(-0.339252--0.42585))+0-0-0</f>
        <v>1429.04089</v>
      </c>
      <c r="M151" s="3">
        <f>1612.9+(259.4-479)+(0.822579+(0.132294-0.24429))+0-0-0</f>
        <v>1394.0105830000002</v>
      </c>
      <c r="N151" s="3">
        <f>2039.3+(305.5-697.3)+(-2.080086+(-0.31161--0.711246))+0-0-0</f>
        <v>1645.8195499999999</v>
      </c>
      <c r="O151" s="3">
        <f>2381+(436-992)+(0+(0-0))+0-0-0</f>
        <v>1825</v>
      </c>
      <c r="P151" s="3">
        <f>2452.4+(414.2-940.3)+(2.501448+(0.422484-0.959106))+0-0-0</f>
        <v>1928.2648260000001</v>
      </c>
      <c r="Q151" s="3">
        <f>2469.6+(463.7-827.8)+(0+(0-0))+0-0-0</f>
        <v>2105.5</v>
      </c>
      <c r="R151" s="3">
        <f>2464.2+(513-696.4)+(1.256742+(0.26163-0.355164))+0-0-0</f>
        <v>2281.9632079999997</v>
      </c>
      <c r="S151" s="3">
        <f>2471.7+(499-533.4)+(0+(0-0))+0-0-0</f>
        <v>2437.2999999999997</v>
      </c>
      <c r="T151" s="3">
        <f>2467.5+(613.4-459.5)+(1.258425+(0.312834-0.234345))+0-0-0</f>
        <v>2622.7369140000001</v>
      </c>
      <c r="U151" s="3">
        <f>2457.5+(652-469.9)+(0+(0-0))+0-0-0</f>
        <v>2639.6</v>
      </c>
      <c r="V151" s="3">
        <f>2458.1+(639.1-510.5)+(-1.253631+(-0.325941--0.260355))+0-0-0</f>
        <v>2585.3807829999996</v>
      </c>
      <c r="W151" s="3">
        <f>2457.9+(555.4-595.2)+(-2.507058+(-0.566508--0.607104))+0-0-0</f>
        <v>2415.633538</v>
      </c>
      <c r="X151" s="3">
        <f>2457+(495.1-749)+(-1.25307+(-0.252501--0.38199))+0-0-0</f>
        <v>2201.9764190000001</v>
      </c>
      <c r="Y151" s="3">
        <f>2480.8+(444.9-739.4)+(0+(0-0))+0-0-0</f>
        <v>2186.3000000000002</v>
      </c>
      <c r="Z151" s="3">
        <f>2487.5+(538-554.7)+(0+(0-0))+0-0-0</f>
        <v>2470.8000000000002</v>
      </c>
      <c r="AA151" s="3">
        <f>2498.9+(552.7-597.4)+(-3.823317+(-0.845631--0.914022))+0-0-0</f>
        <v>2450.4450740000002</v>
      </c>
      <c r="AB151" s="3">
        <f>2494.8+(551.1-623.8)+(-1.272348+(-0.281061--0.318138))+0-0-0</f>
        <v>2420.8647290000004</v>
      </c>
      <c r="AC151" s="3">
        <f>2477.7+(538.1-595)+(-2.527254+(-0.548862--0.6069))+0-0-0</f>
        <v>2418.3307839999998</v>
      </c>
      <c r="AD151">
        <f t="shared" si="2"/>
        <v>50970.448078000009</v>
      </c>
      <c r="AE151" s="3">
        <f>2490.2+(567.4-540.5)+(0+(0-0))+0-0-0</f>
        <v>2517.1</v>
      </c>
    </row>
    <row r="152" spans="1:31" s="2" customFormat="1" x14ac:dyDescent="0.25">
      <c r="A152">
        <v>89</v>
      </c>
      <c r="B152">
        <v>5</v>
      </c>
      <c r="C152">
        <v>28</v>
      </c>
      <c r="D152">
        <v>6</v>
      </c>
      <c r="E152">
        <v>1</v>
      </c>
      <c r="F152" s="3">
        <f>2390.7+(496.2-549.5)+(-2.438514+(-0.506124--0.56049))+0-0-0</f>
        <v>2335.0158519999995</v>
      </c>
      <c r="G152" s="3">
        <f>2084.5+(482.8-390.2)+(-3.189285+(-0.738684--0.597006))+0-0-0</f>
        <v>2173.769037</v>
      </c>
      <c r="H152" s="3">
        <f>1796.7+(515.8-274.1)+(0.916317+(0.263058-0.139791))+0-0-0</f>
        <v>2039.4395840000002</v>
      </c>
      <c r="I152" s="3">
        <f>1589.6+(497.3-196.7)+(0+(0-0))+0-0-0</f>
        <v>1890.1999999999998</v>
      </c>
      <c r="J152" s="3">
        <f>1583.4+(516.6-204.7)+(0+(0-0))+0-0-0</f>
        <v>1895.3000000000002</v>
      </c>
      <c r="K152" s="3">
        <f>1504+(471.7-271.4)+(-3.06816+(-0.962268--0.553656))+0-0-0</f>
        <v>1700.823228</v>
      </c>
      <c r="L152" s="3">
        <f>1507+(403.6-355.3)+(-3.07428+(-0.823344--0.724812))+0-0-0</f>
        <v>1552.1271879999999</v>
      </c>
      <c r="M152" s="3">
        <f>1540.7+(317.6-338.7)+(-1.571514+(-0.323952--0.345474))+0-0-0</f>
        <v>1518.0500080000002</v>
      </c>
      <c r="N152" s="3">
        <f>1919.4+(283.4-534.5)+(-0.978894+(-0.144534--0.272595))+0-0-0</f>
        <v>1667.4491670000002</v>
      </c>
      <c r="O152" s="3">
        <f>2242.3+(410.3-804.8)+(2.287146+(0.418506-0.820896))+0-0-0</f>
        <v>1849.6847560000001</v>
      </c>
      <c r="P152" s="3">
        <f>2408.3+(401.3-822.7)+(2.456466+(0.409326-0.839154))+0-0-0</f>
        <v>1988.9266380000001</v>
      </c>
      <c r="Q152" s="3">
        <f>2470.6+(405-766.1)+(0+(0-0))+0-0-0</f>
        <v>2109.5</v>
      </c>
      <c r="R152" s="3">
        <f>2467.7+(464.8-633.1)+(0+(0-0))+0-0-0</f>
        <v>2299.3999999999996</v>
      </c>
      <c r="S152" s="3">
        <f>2465.6+(569-527.3)+(-1.257456+(-0.29019--0.268923))+0-0-0</f>
        <v>2506.0212770000003</v>
      </c>
      <c r="T152" s="3">
        <f>2461.1+(619.3-461.1)+(1.255161+(0.315843-0.235161))+0-0-0</f>
        <v>2620.6358429999996</v>
      </c>
      <c r="U152" s="3">
        <f>2439.1+(605-435.5)+(2.487882+(0.6171-0.44421))+0-0-0</f>
        <v>2611.2607720000001</v>
      </c>
      <c r="V152" s="3">
        <f>2383.1+(587.6-434.6)+(-1.215381+(-0.299676--0.221646))+0-0-0</f>
        <v>2534.8065889999998</v>
      </c>
      <c r="W152" s="3">
        <f>2382.5+(544.6-581.6)+(-3.645225+(-0.833238--0.889848))+0-0-0</f>
        <v>2341.9113849999999</v>
      </c>
      <c r="X152" s="3">
        <f>2389.1+(462-705.9)+(-3.655323+(-0.70686--1.080027))+0-0-0</f>
        <v>2141.9178439999996</v>
      </c>
      <c r="Y152" s="3">
        <f>2261.2+(462.4-566.2)+(-1.153212+(-0.235824--0.288762))+0-0-0</f>
        <v>2156.2997259999997</v>
      </c>
      <c r="Z152" s="3">
        <f>2076.5+(559.8-230.4)+(1.059015+(0.285498-0.117504))+0-0-0</f>
        <v>2407.1270090000003</v>
      </c>
      <c r="AA152" s="3">
        <f>2200.5+(495.2-287.6)+(-3.366765+(-0.757656--0.440028))+0-0-0</f>
        <v>2404.4156069999999</v>
      </c>
      <c r="AB152" s="3">
        <f>2317.7+(446.8-364.9)+(-2.364054+(-0.455736--0.372198))+0-0-0</f>
        <v>2397.1524079999999</v>
      </c>
      <c r="AC152" s="3">
        <f>2318.2+(467.9-333.8)+(0+(0-0))+0-0-0</f>
        <v>2452.2999999999997</v>
      </c>
      <c r="AD152">
        <f t="shared" si="2"/>
        <v>51593.533918000008</v>
      </c>
      <c r="AE152" s="3">
        <f>2085.2+(579.1-182.5)+(0+(0-0))+0-0-0</f>
        <v>2481.7999999999997</v>
      </c>
    </row>
    <row r="153" spans="1:31" s="2" customFormat="1" x14ac:dyDescent="0.25">
      <c r="A153">
        <v>89</v>
      </c>
      <c r="B153">
        <v>5</v>
      </c>
      <c r="C153">
        <v>29</v>
      </c>
      <c r="D153">
        <v>7</v>
      </c>
      <c r="E153">
        <v>1</v>
      </c>
      <c r="F153" s="3">
        <f>2307.9+(464.6-327.2)+(-2.354058+(-0.473892--0.333744))+0-0-0</f>
        <v>2442.8057940000003</v>
      </c>
      <c r="G153" s="3">
        <f>2300.6+(409.7-351)+(2.346612+(0.417894-0.35802))+0-0-0</f>
        <v>2361.7064859999996</v>
      </c>
      <c r="H153" s="3">
        <f>2132.5+(368.7-252.8)+(-1.087575+(-0.188037--0.128928))+0-0-0</f>
        <v>2247.2533160000003</v>
      </c>
      <c r="I153" s="3">
        <f>2001.4+(356.7-179.5)+(-5.10357+(-0.909585--0.457725))+0-0-0</f>
        <v>2173.04457</v>
      </c>
      <c r="J153" s="3">
        <f>1993.7+(342.7-209.3)+(1.016787+(0.174777-0.106743))+0-0-0</f>
        <v>2128.1848209999998</v>
      </c>
      <c r="K153" s="3">
        <f>1933.4+(283.5-222.4)+(-6.902238+(-1.012095--0.793968))+0-0-0</f>
        <v>1987.379635</v>
      </c>
      <c r="L153" s="3">
        <f>1652.5+(295.3-184.4)+(-3.3711+(-0.602412--0.376176))+0-0-0</f>
        <v>1759.802664</v>
      </c>
      <c r="M153" s="3">
        <f>1486.5+(265.7-167.9)+(-0.758115+(-0.135507--0.085629))+0-0-0</f>
        <v>1583.4920070000001</v>
      </c>
      <c r="N153" s="3">
        <f>1554.6+(254.5-141.8)+(-0.792846+(-0.129795--0.072318))+0-0-0</f>
        <v>1666.4496770000001</v>
      </c>
      <c r="O153" s="3">
        <f>1688.2+(246.9-216)+(0+(0-0))+0-0-0</f>
        <v>1719.1000000000001</v>
      </c>
      <c r="P153" s="3">
        <f>1954.8+(251.5-413.9)+(0.996948+(0.128265-0.211089))+0-0-0</f>
        <v>1793.314124</v>
      </c>
      <c r="Q153" s="3">
        <f>2217.7+(303.2-564.2)+(-2.262054+(-0.309264--0.575484))+0-0-0</f>
        <v>1954.7041659999998</v>
      </c>
      <c r="R153" s="3">
        <f>2338.6+(304.2-583.8)+(-1.192686+(-0.155142--0.297738))+0-0-0</f>
        <v>2057.9499099999998</v>
      </c>
      <c r="S153" s="3">
        <f>2335.8+(356.2-485.3)+(0+(0-0))+0-0-0</f>
        <v>2206.7000000000003</v>
      </c>
      <c r="T153" s="3">
        <f>2336.1+(394.4-397.6)+(0+(0-0))+0-0-0</f>
        <v>2332.8999999999996</v>
      </c>
      <c r="U153" s="3">
        <f>2334.4+(430.3-412.5)+(-1.190544+(-0.219453--0.210375))+0-0-0</f>
        <v>2351.0003780000002</v>
      </c>
      <c r="V153" s="3">
        <f>2337.9+(421.8-475.3)+(-3.576987+(-0.645354--0.727209))+0-0-0</f>
        <v>2280.9048680000001</v>
      </c>
      <c r="W153" s="3">
        <f>2336.4+(355.7-546.4)+(-1.191564+(-0.181407--0.278664))+0-0-0</f>
        <v>2144.6056930000004</v>
      </c>
      <c r="X153" s="3">
        <f>2192.2+(377.7-608)+(-7.826154+(-1.348389--2.17056))+0-0-0</f>
        <v>1954.8960169999998</v>
      </c>
      <c r="Y153" s="3">
        <f>2155.7+(393.9-534.2)+(-1.099407+(-0.200889--0.272442))+0-0-0</f>
        <v>2014.3721459999997</v>
      </c>
      <c r="Z153" s="3">
        <f>2366.6+(442.3-520.6)+(0+(0-0))+0-0-0</f>
        <v>2288.2999999999997</v>
      </c>
      <c r="AA153" s="3">
        <f>2372.9+(474.1-561.3)+(0+(0-0))+0-0-0</f>
        <v>2285.7000000000003</v>
      </c>
      <c r="AB153" s="3">
        <f>2361.7+(474.1-524.4)+(-2.408934+(-0.483582--0.534888))+0-0-0</f>
        <v>2309.0423719999994</v>
      </c>
      <c r="AC153" s="3">
        <f>2348.3+(561-502.5)+(-2.395266+(-0.57222--0.51255))+0-0-0</f>
        <v>2404.3450640000001</v>
      </c>
      <c r="AD153">
        <f t="shared" si="2"/>
        <v>50447.953707999994</v>
      </c>
      <c r="AE153" s="3">
        <f>2378.1+(472.6-509.5)+(0+(0-0))+0-0-0</f>
        <v>2341.1999999999998</v>
      </c>
    </row>
    <row r="154" spans="1:31" s="2" customFormat="1" x14ac:dyDescent="0.25">
      <c r="A154">
        <v>89</v>
      </c>
      <c r="B154">
        <v>5</v>
      </c>
      <c r="C154">
        <v>30</v>
      </c>
      <c r="D154">
        <v>1</v>
      </c>
      <c r="E154">
        <v>1</v>
      </c>
      <c r="F154" s="3">
        <f>2335.3+(510.7-448.4)+(-3.573009+(-0.781371--0.686052))+0-0-0</f>
        <v>2393.9316720000002</v>
      </c>
      <c r="G154" s="3">
        <f>2092.6+(497.3-321.8)+(-2.134452+(-0.507246--0.328236))+0-0-0</f>
        <v>2265.7865379999998</v>
      </c>
      <c r="H154" s="3">
        <f>1735.9+(563.5-159.3)+(-2.655927+(-0.862155--0.243729))+0-0-0</f>
        <v>2136.8256470000001</v>
      </c>
      <c r="I154" s="3">
        <f>1486.9+(601-12.5)+(-0.758319+(-0.30651--0.006375))+0-0-0</f>
        <v>2074.3415460000001</v>
      </c>
      <c r="J154" s="3">
        <f>1480.6+(559.8-12.7)+(-3.77553+(-1.42749--0.032385))+0-0-0</f>
        <v>2022.5293649999999</v>
      </c>
      <c r="K154" s="3">
        <f>1479.2+(444.4-81.4)+(-2.263176+(-0.679932--0.124542))+0-0-0</f>
        <v>1839.3814340000001</v>
      </c>
      <c r="L154" s="3">
        <f>1478.2+(374.3-174.2)+(-2.261646+(-0.572679--0.266526))+0-0-0</f>
        <v>1675.7322010000003</v>
      </c>
      <c r="M154" s="3">
        <f>1628.8+(330.7-320.7)+(3.322752+(0.674628-0.654228))+0-0-0</f>
        <v>1642.1431519999999</v>
      </c>
      <c r="N154" s="3">
        <f>2173.1+(374.5-738.4)+(2.216562+(0.38199-0.753168))+0-0-0</f>
        <v>1811.0453839999998</v>
      </c>
      <c r="O154" s="3">
        <f>2306.1+(470.7-875.6)+(1.176111+(0.240057-0.446556))+0-0-0</f>
        <v>1902.1696119999999</v>
      </c>
      <c r="P154" s="3">
        <f>2303.9+(535.8-832.5)+(3.524967+(0.819774-1.273725))+0-0-0</f>
        <v>2010.2710160000001</v>
      </c>
      <c r="Q154" s="3">
        <f>2432.4+(493.7-755)+(4.962096+(1.007148-1.5402))+0-0-0</f>
        <v>2175.5290439999999</v>
      </c>
      <c r="R154" s="3">
        <f>2440.3+(510.1-679)+(2.489106+(0.520302-0.69258))+0-0-0</f>
        <v>2273.7168280000001</v>
      </c>
      <c r="S154" s="3">
        <f>2446.4+(511.7-615)+(-1.247664+(-0.260967--0.31365))+0-0-0</f>
        <v>2341.9050189999998</v>
      </c>
      <c r="T154" s="3">
        <f>2440.5+(554.5-577.6)+(1.244655+(0.282795-0.294576))+0-0-0</f>
        <v>2418.6328739999999</v>
      </c>
      <c r="U154" s="3">
        <f>2443.3+(536.5-602.8)+(0+(0-0))+0-0-0</f>
        <v>2377</v>
      </c>
      <c r="V154" s="3">
        <f>2446.3+(480.9-672.9)+(0+(0-0))+0-0-0</f>
        <v>2254.3000000000002</v>
      </c>
      <c r="W154" s="3">
        <f>2446.3+(484.1-783.9)+(0+(0-0))+0-0-0</f>
        <v>2146.5</v>
      </c>
      <c r="X154" s="3">
        <f>2358.5+(449.3-812.5)+(0+(0-0))+0-0-0</f>
        <v>1995.3</v>
      </c>
      <c r="Y154" s="3">
        <f>2411.7+(433.2-732.6)+(1.229967+(0.220932-0.373626))+0-0-0</f>
        <v>2113.3772729999996</v>
      </c>
      <c r="Z154" s="3">
        <f>2498.9+(485.1-657.7)+(0+(0-0))+0-0-0</f>
        <v>2326.3000000000002</v>
      </c>
      <c r="AA154" s="3">
        <f>2507.5+(476.5-700)+(-2.55765+(-0.48603--0.714))+0-0-0</f>
        <v>2281.6703200000002</v>
      </c>
      <c r="AB154" s="3">
        <f>2503.6+(502.3-726.9)+(0+(0-0))+0-0-0</f>
        <v>2279</v>
      </c>
      <c r="AC154" s="3">
        <f>2484.6+(490.8-668.2)+(-3.801438+(-0.750924--1.022346))+0-0-0</f>
        <v>2303.6699839999997</v>
      </c>
      <c r="AD154">
        <f t="shared" si="2"/>
        <v>51061.058909000007</v>
      </c>
      <c r="AE154" s="3">
        <f>2510.2+(518.3-643.7)+(0+(0-0))+0-0-0</f>
        <v>2384.7999999999997</v>
      </c>
    </row>
    <row r="155" spans="1:31" s="2" customFormat="1" x14ac:dyDescent="0.25">
      <c r="A155">
        <v>89</v>
      </c>
      <c r="B155">
        <v>5</v>
      </c>
      <c r="C155">
        <v>31</v>
      </c>
      <c r="D155">
        <v>2</v>
      </c>
      <c r="E155">
        <v>1</v>
      </c>
      <c r="F155" s="3">
        <f>2429.9+(417.2-625.8)+(-2.478498+(-0.425544--0.638316))+0-0-0</f>
        <v>2219.0342740000001</v>
      </c>
      <c r="G155" s="3">
        <f>2192.8+(370.2-468.2)+(-2.236656+(-0.377604--0.477564))+0-0-0</f>
        <v>2092.6633040000002</v>
      </c>
      <c r="H155" s="3">
        <f>1862.7+(448.4-339.5)+(0.949977+(0.228684-0.173145))+0-0-0</f>
        <v>1972.6055159999999</v>
      </c>
      <c r="I155" s="3">
        <f>1790.3+(430.8-300.8)+(-0.913053+(-0.219708--0.153408))+0-0-0</f>
        <v>1919.320647</v>
      </c>
      <c r="J155" s="3">
        <f>1778+(396.6-295)+(-1.81356+(-0.404532--0.3009))+0-0-0</f>
        <v>1877.682808</v>
      </c>
      <c r="K155" s="3">
        <f>1738.8+(330.3-362.9)+(-0.886788+(-0.168453--0.185079))+0-0-0</f>
        <v>1705.3298380000001</v>
      </c>
      <c r="L155" s="3">
        <f>1772.4+(292.1-501.1)+(-5.423544+(-0.893826--1.533366))+0-0-0</f>
        <v>1558.615996</v>
      </c>
      <c r="M155" s="3">
        <f>1867.5+(275-771.5)+(0+(0-0))+0-0-0</f>
        <v>1371</v>
      </c>
      <c r="N155" s="3">
        <f>2141.8+(276-901)+(0+(0-0))+0-0-0</f>
        <v>1516.8000000000002</v>
      </c>
      <c r="O155" s="3">
        <f>2241.8+(297-1047)+(0+(0-0))+0-0-0</f>
        <v>1491.8000000000002</v>
      </c>
      <c r="P155" s="3">
        <f>2318.2+(395.5-1144.4)+(2.364564+(0.40341-1.167288))+0-0-0</f>
        <v>1570.9006859999997</v>
      </c>
      <c r="Q155" s="3">
        <f>2450.2+(454-1208.7)+(-2.499204+(-0.46308--1.232874))+0-0-0</f>
        <v>1693.7705899999999</v>
      </c>
      <c r="R155" s="3">
        <f>2461+(468.3-1201.4)+(2.51022+(0.477666-1.225428))+0-0-0</f>
        <v>1729.6624579999998</v>
      </c>
      <c r="S155" s="3">
        <f>2479.7+(460.8-1147.5)+(-3.793941+(-0.705024--1.755675))+0-0-0</f>
        <v>1790.2567099999999</v>
      </c>
      <c r="T155" s="3">
        <f>2479.1+(472.8-1098.7)+(-1.264341+(-0.241128--0.560337))+0-0-0</f>
        <v>1852.2548679999998</v>
      </c>
      <c r="U155" s="3">
        <f>2476+(498.4-1106.3)+(0+(0-0))+0-0-0</f>
        <v>1868.1</v>
      </c>
      <c r="V155" s="3">
        <f>2477+(522-1185)+(-2.52654+(-0.53244--1.2087))+0-0-0</f>
        <v>1812.1497199999999</v>
      </c>
      <c r="W155" s="3">
        <f>2442.9+(490-1249.3)+(-3.737637+(-0.7497--1.911429))+0-0-0</f>
        <v>1681.0240920000001</v>
      </c>
      <c r="X155" s="3">
        <f>2301.5+(460.3-1166.4)+(-2.34753+(-0.469506--1.189728))+0-0-0</f>
        <v>1593.7726919999998</v>
      </c>
      <c r="Y155" s="3">
        <f>2304.5+(425.7-1068.3)+(-2.35059+(-0.434214--1.089666))+0-0-0</f>
        <v>1660.204862</v>
      </c>
      <c r="Z155" s="3">
        <f>2505.9+(456.8-1175.9)+(-1.278009+(-0.232968--0.599709))+0-0-0</f>
        <v>1785.8887319999999</v>
      </c>
      <c r="AA155" s="3">
        <f>2357+(454.9-1048.9)+(-3.60621+(-0.695997--1.604817))+0-0-0</f>
        <v>1760.30261</v>
      </c>
      <c r="AB155" s="3">
        <f>2271.7+(477.8-1011)+(0+(0-0))+0-0-0</f>
        <v>1738.4999999999998</v>
      </c>
      <c r="AC155" s="3">
        <f>2213.1+(492.4-967.4)+(-1.128681+(-0.251124--0.493374))+0-0-0</f>
        <v>1737.213569</v>
      </c>
      <c r="AD155">
        <f t="shared" si="2"/>
        <v>41998.853971999997</v>
      </c>
      <c r="AE155" s="3">
        <f>2519+(496.6-1132.1)+(0+(0-0))+0-0-0</f>
        <v>1883.5</v>
      </c>
    </row>
    <row r="156" spans="1:31" s="2" customFormat="1" x14ac:dyDescent="0.25">
      <c r="A156">
        <v>89</v>
      </c>
      <c r="B156">
        <v>6</v>
      </c>
      <c r="C156">
        <v>1</v>
      </c>
      <c r="D156">
        <v>3</v>
      </c>
      <c r="E156">
        <v>1</v>
      </c>
      <c r="F156" s="3">
        <f>2031.6+(364.5-722.1)+(0+(0-0))+0-0-0</f>
        <v>1674</v>
      </c>
      <c r="G156" s="3">
        <f>1715.5+(349.3-488.7)+(-3.49962+(-0.712572--0.996948))+0-0-0</f>
        <v>1572.8847559999999</v>
      </c>
      <c r="H156" s="3">
        <f>1349.4+(444.9-306.2)+(2.064582+(0.680697-0.468486))+0-0-0</f>
        <v>1490.3767930000001</v>
      </c>
      <c r="I156" s="3">
        <f>1352.9+(417.7-319.9)+(-1.379958+(-0.426054--0.326298))+0-0-0</f>
        <v>1449.220286</v>
      </c>
      <c r="J156" s="3">
        <f>1355.5+(493.7-415.5)+(-0.691305+(-0.251787--0.211905))+0-0-0</f>
        <v>1432.968813</v>
      </c>
      <c r="K156" s="3">
        <f>1358.2+(434.6-480.8)+(-0.692682+(-0.221646--0.245208))+0-0-0</f>
        <v>1311.33088</v>
      </c>
      <c r="L156" s="3">
        <f>1358.3+(316-459.9)+(-1.385466+(-0.32232--0.469098))+0-0-0</f>
        <v>1213.1613120000002</v>
      </c>
      <c r="M156" s="3">
        <f>1430.1+(285.5-528.7)+(1.458702+(0.29121-0.539274))+0-0-0</f>
        <v>1188.1106379999999</v>
      </c>
      <c r="N156" s="3">
        <f>1983.6+(314-976)+(1.011636+(0.16014-0.49776))+0-0-0</f>
        <v>1322.2740159999998</v>
      </c>
      <c r="O156" s="3">
        <f>2114.1+(392.8-1105.4)+(1.078191+(0.200328-0.563754))+0-0-0</f>
        <v>1402.2147649999997</v>
      </c>
      <c r="P156" s="3">
        <f>2235.2+(416.9-1191.4)+(0+(0-0))+0-0-0</f>
        <v>1460.6999999999998</v>
      </c>
      <c r="Q156" s="3">
        <f>2442.4+(465.6-1367.5)+(1.245624+(0.237456-0.697425))+0-0-0</f>
        <v>1541.2856549999999</v>
      </c>
      <c r="R156" s="3">
        <f>2453.4+(438.2-1312.3)+(1.251234+(0.223482-0.669273))+0-0-0</f>
        <v>1580.1054430000002</v>
      </c>
      <c r="S156" s="3">
        <f>2464+(451.5-1256.6)+(0+(0-0))+0-0-0</f>
        <v>1658.9</v>
      </c>
      <c r="T156" s="3">
        <f>2458.1+(488.4-1236.9)+(0+(0-0))+0-0-0</f>
        <v>1709.6</v>
      </c>
      <c r="U156" s="3">
        <f>2473.5+(498.3-1215.6)+(1.261485+(0.254133-0.619956))+0-0-0</f>
        <v>1757.0956619999999</v>
      </c>
      <c r="V156" s="3">
        <f>2474.2+(506.1-1277.4)+(1.261842+(0.258111-0.651474))+0-0-0</f>
        <v>1703.7684789999996</v>
      </c>
      <c r="W156" s="3">
        <f>2474.8+(503.2-1347.8)+(-1.262148+(-0.256632--0.687378))+0-0-0</f>
        <v>1629.3685980000002</v>
      </c>
      <c r="X156" s="3">
        <f>2292.2+(513-1250.3)+(-3.507066+(-0.78489--1.912959))+0-0-0</f>
        <v>1552.5210029999998</v>
      </c>
      <c r="Y156" s="3">
        <f>2390.3+(449.5-1236.4)+(-3.657159+(-0.687735--1.891692))+0-0-0</f>
        <v>1600.9467980000002</v>
      </c>
      <c r="Z156" s="3">
        <f>2517.8+(485.5-1234.2)+(-1.284078+(-0.247605--0.629442))+0-0-0</f>
        <v>1768.1977590000001</v>
      </c>
      <c r="AA156" s="3">
        <f>2525.5+(482.8-1246)+(-2.57601+(-0.492456--1.27092))+0-0-0</f>
        <v>1760.5024539999999</v>
      </c>
      <c r="AB156" s="3">
        <f>2527.5+(481.8-1267.5)+(0+(0-0))+0-0-0</f>
        <v>1741.8</v>
      </c>
      <c r="AC156" s="3">
        <f>2493.4+(441.5-1210.2)+(-2.543268+(-0.45033--1.234404))+0-0-0</f>
        <v>1722.9408060000001</v>
      </c>
      <c r="AD156">
        <f t="shared" si="2"/>
        <v>37244.274916000002</v>
      </c>
      <c r="AE156" s="3">
        <f>2530+(457-1224.7)+(0+(0-0))+0-0-0</f>
        <v>1762.3</v>
      </c>
    </row>
    <row r="157" spans="1:31" s="2" customFormat="1" x14ac:dyDescent="0.25">
      <c r="A157">
        <v>89</v>
      </c>
      <c r="B157">
        <v>6</v>
      </c>
      <c r="C157">
        <v>2</v>
      </c>
      <c r="D157">
        <v>4</v>
      </c>
      <c r="E157">
        <v>1</v>
      </c>
      <c r="F157" s="3">
        <f>2255.8+(423.6-1034.9)+(-1.150458+(-0.216036--0.527799))+0-0-0</f>
        <v>1643.6613050000001</v>
      </c>
      <c r="G157" s="3">
        <f>1906.7+(424.3-798.3)+(-2.917251+(-0.649179--1.221399))+0-0-0</f>
        <v>1530.354969</v>
      </c>
      <c r="H157" s="3">
        <f>1523.1+(387.6-479.1)+(-0.776781+(-0.197676--0.244341))+0-0-0</f>
        <v>1430.869884</v>
      </c>
      <c r="I157" s="3">
        <f>1422.7+(384.8-405.8)+(0.725577+(0.196248-0.206958))+0-0-0</f>
        <v>1402.414867</v>
      </c>
      <c r="J157" s="3">
        <f>1402.4+(463.2-466)+(0+(0-0))+0-0-0</f>
        <v>1399.6000000000001</v>
      </c>
      <c r="K157" s="3">
        <f>1399.4+(408.6-517)+(-3.56847+(-1.04193--1.31835))+0-0-0</f>
        <v>1287.70795</v>
      </c>
      <c r="L157" s="3">
        <f>1398.4+(356.7-576.1)+(0+(0-0))+0-0-0</f>
        <v>1179</v>
      </c>
      <c r="M157" s="3">
        <f>1466.2+(391.3-675.9)+(-1.495524+(-0.399126--0.689418))+0-0-0</f>
        <v>1180.3947680000001</v>
      </c>
      <c r="N157" s="3">
        <f>1753.3+(485.2-912.7)+(0+(0-0))+0-0-0</f>
        <v>1325.8</v>
      </c>
      <c r="O157" s="3">
        <f>2151.6+(499.1-1189.6)+(1.097316+(0.254541-0.606696))+0-0-0</f>
        <v>1461.845161</v>
      </c>
      <c r="P157" s="3">
        <f>2224.2+(514.5-1189.8)+(1.134342+(0.262395-0.606798))+0-0-0</f>
        <v>1549.6899389999999</v>
      </c>
      <c r="Q157" s="3">
        <f>2386.8+(507.4-1245.2)+(0+(0-0))+0-0-0</f>
        <v>1649</v>
      </c>
      <c r="R157" s="3">
        <f>2452.2+(516.3-1257.9)+(-1.250622+(-0.263313--0.641529))+0-0-0</f>
        <v>1709.7275939999997</v>
      </c>
      <c r="S157" s="3">
        <f>2471.2+(498.8-1227.1)+(-1.260312+(-0.254388--0.625821))+0-0-0</f>
        <v>1742.0111209999998</v>
      </c>
      <c r="T157" s="3">
        <f>2479.2+(501.5-1180.1)+(1.264392+(0.255765-0.601851))+0-0-0</f>
        <v>1801.5183059999999</v>
      </c>
      <c r="U157" s="3">
        <f>2477.7+(520.7-1185.7)+(-2.527254+(-0.531114--1.209414))+0-0-0</f>
        <v>1810.8510459999998</v>
      </c>
      <c r="V157" s="3">
        <f>2475.6+(490.2-1198.2)+(0+(0-0))+0-0-0</f>
        <v>1767.6</v>
      </c>
      <c r="W157" s="3">
        <f>2585.1+(460.3-1260)+(-5.273604+(-0.939012--2.5704))+0-0-0</f>
        <v>1781.7577839999999</v>
      </c>
      <c r="X157" s="3">
        <f>2479.8+(402.8-1289.2)+(2.529396+(0.410856-1.314984))+0-0-0</f>
        <v>1595.0252680000001</v>
      </c>
      <c r="Y157" s="3">
        <f>2498.3+(412.3-1235.7)+(1.274133+(0.210273-0.630207))+0-0-0</f>
        <v>1675.7541990000002</v>
      </c>
      <c r="Z157" s="3">
        <f>2512.1+(492.8-1174.5)+(-2.562342+(-0.502656--1.19799))+0-0-0</f>
        <v>1828.5329919999999</v>
      </c>
      <c r="AA157" s="3">
        <f>2518.5+(481.4-1189.9)+(-3.853305+(-0.736542--1.820547))+0-0-0</f>
        <v>1807.2307000000001</v>
      </c>
      <c r="AB157" s="3">
        <f>2518.8+(472-1209.8)+(-3.853764+(-0.72216--1.850994))+0-0-0</f>
        <v>1778.2750700000001</v>
      </c>
      <c r="AC157" s="3">
        <f>2220.3+(448.3-1026)+(-2.264706+(-0.457266--1.04652))+0-0-0</f>
        <v>1640.9245480000002</v>
      </c>
      <c r="AD157">
        <f t="shared" si="2"/>
        <v>37979.547471000005</v>
      </c>
      <c r="AE157" s="3">
        <f>2523+(468.9-1152.1)+(0+(0-0))+0-0-0</f>
        <v>1839.8000000000002</v>
      </c>
    </row>
    <row r="158" spans="1:31" s="2" customFormat="1" x14ac:dyDescent="0.25">
      <c r="A158">
        <v>89</v>
      </c>
      <c r="B158">
        <v>6</v>
      </c>
      <c r="C158">
        <v>3</v>
      </c>
      <c r="D158">
        <v>5</v>
      </c>
      <c r="E158">
        <v>1</v>
      </c>
      <c r="F158" s="3">
        <f>1937.1+(422.5-633.2)+(-0.987921+(-0.215475--0.322932))+0-0-0</f>
        <v>1725.5195359999998</v>
      </c>
      <c r="G158" s="3">
        <f>1434.1+(548.3-383.7)+(-1.462782+(-0.559266--0.391374))+0-0-0</f>
        <v>1597.0693259999998</v>
      </c>
      <c r="H158" s="3">
        <f>1381.2+(513.7-384.6)+(0+(0-0))+0-0-0</f>
        <v>1510.3000000000002</v>
      </c>
      <c r="I158" s="3">
        <f>1382.2+(458.1-364.3)+(-2.819688+(-0.934524--0.743172))+0-0-0</f>
        <v>1472.9889599999999</v>
      </c>
      <c r="J158" s="3">
        <f>1380.2+(460.9-378.8)+(0+(0-0))+0-0-0</f>
        <v>1462.3</v>
      </c>
      <c r="K158" s="3">
        <f>1382.8+(425.9-462)+(-0.705228+(-0.217209--0.23562))+0-0-0</f>
        <v>1346.0131829999998</v>
      </c>
      <c r="L158" s="3">
        <f>1383+(430.3-574.7)+(-3.52665+(-1.097265--1.465485))+0-0-0</f>
        <v>1235.44157</v>
      </c>
      <c r="M158" s="3">
        <f>1446.4+(432.8-650.7)+(-2.212992+(-0.662184--0.995571))+0-0-0</f>
        <v>1226.6203949999999</v>
      </c>
      <c r="N158" s="3">
        <f>1667+(440.9-747.2)+(0.85017+(0.224859-0.381072))+0-0-0</f>
        <v>1361.3939569999998</v>
      </c>
      <c r="O158" s="3">
        <f>1694+(479.7-756.1)+(-0.86394+(-0.244647--0.385611))+0-0-0</f>
        <v>1416.8770239999999</v>
      </c>
      <c r="P158" s="3">
        <f>2125.1+(493.1-1088.9)+(0+(0-0))+0-0-0</f>
        <v>1529.2999999999997</v>
      </c>
      <c r="Q158" s="3">
        <f>2466.1+(477.2-1310.9)+(0+(0-0))+0-0-0</f>
        <v>1632.3999999999999</v>
      </c>
      <c r="R158" s="3">
        <f>2473+(478.6-1292.6)+(0+(0-0))+0-0-0</f>
        <v>1659</v>
      </c>
      <c r="S158" s="3">
        <f>2438.4+(478.4-1232.2)+(-2.487168+(-0.487968--1.256844))+0-0-0</f>
        <v>1682.8817079999999</v>
      </c>
      <c r="T158" s="3">
        <f>2440+(471.6-1207.6)+(0+(0-0))+0-0-0</f>
        <v>1704</v>
      </c>
      <c r="U158" s="3">
        <f>2473.7+(521.2-1317.4)+(-1.261587+(-0.265812--0.671874))+0-0-0</f>
        <v>1676.6444749999998</v>
      </c>
      <c r="V158" s="3">
        <f>2477.3+(516.5-1378.1)+(1.263423+(0.263415-0.702831))+0-0-0</f>
        <v>1616.5240070000002</v>
      </c>
      <c r="W158" s="3">
        <f>2480.4+(452.4-1370.9)+(-1.265004+(-0.230724--0.699159))+0-0-0</f>
        <v>1561.103431</v>
      </c>
      <c r="X158" s="3">
        <f>2515.6+(337.8-1185.7)+(-2.565912+(-0.344556--1.209414))+0-0-0</f>
        <v>1665.9989459999997</v>
      </c>
      <c r="Y158" s="3">
        <f>2507.1+(385.4-1150.9)+(-1.278621+(-0.196554--0.586959))+0-0-0</f>
        <v>1740.7117839999999</v>
      </c>
      <c r="Z158" s="3">
        <f>2525.8+(485.6-1233.6)+(-3.864474+(-0.742968--1.887408))+0-0-0</f>
        <v>1775.0799660000002</v>
      </c>
      <c r="AA158" s="3">
        <f>2527.5+(491.9-1248.5)+(-1.289025+(-0.250869--0.636735))+0-0-0</f>
        <v>1769.9968410000001</v>
      </c>
      <c r="AB158" s="3">
        <f>2529.5+(450.4-1199.3)+(-3.870135+(-0.689112--1.834929))+0-0-0</f>
        <v>1777.8756819999999</v>
      </c>
      <c r="AC158" s="3">
        <f>2221.7+(470.3-983.4)+(-1.133067+(-0.239853--0.501534))+0-0-0</f>
        <v>1707.7286139999999</v>
      </c>
      <c r="AD158">
        <f t="shared" si="2"/>
        <v>37853.769404999999</v>
      </c>
      <c r="AE158" s="3">
        <f>2538+(461.9-1204.3)+(0+(0-0))+0-0-0</f>
        <v>1795.6</v>
      </c>
    </row>
    <row r="159" spans="1:31" s="2" customFormat="1" x14ac:dyDescent="0.25">
      <c r="A159">
        <v>89</v>
      </c>
      <c r="B159">
        <v>6</v>
      </c>
      <c r="C159">
        <v>4</v>
      </c>
      <c r="D159">
        <v>6</v>
      </c>
      <c r="E159">
        <v>1</v>
      </c>
      <c r="F159" s="3">
        <f>1992.2+(327.7-706.9)+(-4.064088+(-0.668508--1.442076))+0-0-0</f>
        <v>1609.70948</v>
      </c>
      <c r="G159" s="3">
        <f>1811.4+(288.1-598.7)+(-5.542884+(-0.881586--1.832022))+0-0-0</f>
        <v>1496.2075520000001</v>
      </c>
      <c r="H159" s="3">
        <f>1612.9+(263.9-457.4)+(-1.645158+(-0.269178--0.466548))+0-0-0</f>
        <v>1417.9522120000001</v>
      </c>
      <c r="I159" s="3">
        <f>1364.4+(273.9-281.9)+(2.783376+(0.558756-0.575076))+0-0-0</f>
        <v>1359.167056</v>
      </c>
      <c r="J159" s="3">
        <f>1365.1+(275.8-304.3)+(0+(0-0))+0-0-0</f>
        <v>1336.6</v>
      </c>
      <c r="K159" s="3">
        <f>1365.9+(237.3-370.6)+(-3.483045+(-0.605115--0.94503))+0-0-0</f>
        <v>1229.4568700000002</v>
      </c>
      <c r="L159" s="3">
        <f>1402.1+(215.5-446.4)+(-3.575355+(-0.549525--1.13832))+0-0-0</f>
        <v>1168.2134399999998</v>
      </c>
      <c r="M159" s="3">
        <f>1400.5+(223.4-464.3)+(0+(0-0))+0-0-0</f>
        <v>1159.5999999999999</v>
      </c>
      <c r="N159" s="3">
        <f>1632.1+(322.9-677)+(-0.832371+(-0.164679--0.34527))+0-0-0</f>
        <v>1277.3482200000001</v>
      </c>
      <c r="O159" s="3">
        <f>2090.9+(402.6-1078.3)+(-1.066359+(-0.205326--0.549933))+0-0-0</f>
        <v>1414.4782480000003</v>
      </c>
      <c r="P159" s="3">
        <f>2313.4+(438.4-1238.7)+(-3.539502+(-0.670752--1.895211))+0-0-0</f>
        <v>1510.7849569999998</v>
      </c>
      <c r="Q159" s="3">
        <f>2368+(474.3-1275.4)+(0+(0-0))+0-0-0</f>
        <v>1566.8999999999999</v>
      </c>
      <c r="R159" s="3">
        <f>2483.2+(445.3-1325.9)+(2.532864+(0.454206-1.352418))+0-0-0</f>
        <v>1604.2346519999996</v>
      </c>
      <c r="S159" s="3">
        <f>2481.5+(442.8-1296.7)+(1.265565+(0.225828-0.661317))+0-0-0</f>
        <v>1628.4300759999999</v>
      </c>
      <c r="T159" s="3">
        <f>2488+(452.4-1260.5)+(-2.53776+(-0.461448--1.28571))+0-0-0</f>
        <v>1678.186502</v>
      </c>
      <c r="U159" s="3">
        <f>2473.5+(460.5-1253.2)+(-3.784455+(-0.704565--1.917396))+0-0-0</f>
        <v>1678.228376</v>
      </c>
      <c r="V159" s="3">
        <f>2527.4+(452.5-1265.4)+(-5.155896+(-0.9231--2.581416))+0-0-0</f>
        <v>1711.00242</v>
      </c>
      <c r="W159" s="3">
        <f>2582.4+(430.2-1313.1)+(-6.58512+(-1.09701--3.348405))+0-0-0</f>
        <v>1695.1662750000003</v>
      </c>
      <c r="X159" s="3">
        <f>2464+(391-1302.7)+(-2.51328+(-0.39882--1.328754))+0-0-0</f>
        <v>1550.7166540000001</v>
      </c>
      <c r="Y159" s="3">
        <f>2360.6+(382-1158.7)+(1.203906+(0.19482-0.590937))+0-0-0</f>
        <v>1584.7077889999998</v>
      </c>
      <c r="Z159" s="3">
        <f>2499.2+(417.4-1186.2)+(-3.823776+(-0.638622--1.814886))+0-0-0</f>
        <v>1727.7524879999996</v>
      </c>
      <c r="AA159" s="3">
        <f>2486.9+(452.3-1220.9)+(-6.341595+(-1.153365--3.113295))+0-0-0</f>
        <v>1713.9183349999998</v>
      </c>
      <c r="AB159" s="3">
        <f>2490+(394.1-1188.1)+(-1.2699+(-0.200991--0.605931))+0-0-0</f>
        <v>1695.1350399999999</v>
      </c>
      <c r="AC159" s="3">
        <f>2228.9+(379-925.2)+(-4.546956+(-0.77316--1.887408))+0-0-0</f>
        <v>1679.267292</v>
      </c>
      <c r="AD159">
        <f t="shared" si="2"/>
        <v>36493.163933999997</v>
      </c>
      <c r="AE159" s="3">
        <f>2481+(411.1-1175.5)+(0+(0-0))+0-0-0</f>
        <v>1716.6</v>
      </c>
    </row>
    <row r="160" spans="1:31" s="2" customFormat="1" x14ac:dyDescent="0.25">
      <c r="A160">
        <v>89</v>
      </c>
      <c r="B160">
        <v>6</v>
      </c>
      <c r="C160">
        <v>5</v>
      </c>
      <c r="D160">
        <v>7</v>
      </c>
      <c r="E160">
        <v>1</v>
      </c>
      <c r="F160" s="3">
        <f>2075.1+(307.4-765.2)+(-1.058301+(-0.156774--0.390252))+0-0-0</f>
        <v>1616.4751769999998</v>
      </c>
      <c r="G160" s="3">
        <f>2022+(332.8-830.8)+(-1.03122+(-0.169728--0.423708))+0-0-0</f>
        <v>1523.2227600000001</v>
      </c>
      <c r="H160" s="3">
        <f>1957.9+(287.5-791.1)+(-5.991174+(-0.87975--2.420766))+0-0-0</f>
        <v>1449.8498420000001</v>
      </c>
      <c r="I160" s="3">
        <f>1676.3+(312.6-574.5)+(2.564739+(0.478278-0.878985))+0-0-0</f>
        <v>1416.564032</v>
      </c>
      <c r="J160" s="3">
        <f>1533.9+(328.9-454.8)+(-3.129156+(-0.670956--0.927792))+0-0-0</f>
        <v>1405.1276800000001</v>
      </c>
      <c r="K160" s="3">
        <f>1402.5+(354.2-469.4)+(-0.715275+(-0.180642--0.239394))+0-0-0</f>
        <v>1286.6434769999998</v>
      </c>
      <c r="L160" s="3">
        <f>1294.1+(333.2-483.6)+(0+(0-0))+0-0-0</f>
        <v>1143.6999999999998</v>
      </c>
      <c r="M160" s="3">
        <f>1296.5+(323.5-528.6)+(0+(0-0))+0-0-0</f>
        <v>1091.4000000000001</v>
      </c>
      <c r="N160" s="3">
        <f>1471.8+(284.5-636.7)+(0+(0-0))+0-0-0</f>
        <v>1119.5999999999999</v>
      </c>
      <c r="O160" s="3">
        <f>1617.2+(311.7-747)+(-1.649544+(-0.317934--0.76194))+0-0-0</f>
        <v>1180.6944620000002</v>
      </c>
      <c r="P160" s="3">
        <f>1655.5+(362.9-772.7)+(-1.68861+(-0.370158--0.788154))+0-0-0</f>
        <v>1244.4293859999998</v>
      </c>
      <c r="Q160" s="3">
        <f>1880.1+(394.8-954.4)+(0+(0-0))+0-0-0</f>
        <v>1320.5</v>
      </c>
      <c r="R160" s="3">
        <f>1933.6+(363-899.7)+(-0.986136+(-0.18513--0.458847))+0-0-0</f>
        <v>1396.1875809999999</v>
      </c>
      <c r="S160" s="3">
        <f>2030.3+(339-908.8)+(-2.070906+(-0.34578--0.926976))+0-0-0</f>
        <v>1459.0102899999999</v>
      </c>
      <c r="T160" s="3">
        <f>2036.3+(351.2-884)+(-3.115539+(-0.537336--1.35252))+0-0-0</f>
        <v>1501.1996449999999</v>
      </c>
      <c r="U160" s="3">
        <f>2047.9+(366.5-917.9)+(-4.177716+(-0.74766--1.872516))+0-0-0</f>
        <v>1493.44714</v>
      </c>
      <c r="V160" s="3">
        <f>2051.4+(391.5-995.9)+(-2.092428+(-0.39933--1.015818))+0-0-0</f>
        <v>1445.52406</v>
      </c>
      <c r="W160" s="3">
        <f>2051.6+(349.8-1038.6)+(2.092632+(0.356796-1.059372))+0-0-0</f>
        <v>1364.1900559999999</v>
      </c>
      <c r="X160" s="3">
        <f>2053.1+(247.1-968.9)+(0+(0-0))+0-0-0</f>
        <v>1331.3</v>
      </c>
      <c r="Y160" s="3">
        <f>2066.4+(334.8-961.4)+(0+(0-0))+0-0-0</f>
        <v>1439.8000000000002</v>
      </c>
      <c r="Z160" s="3">
        <f>2080.3+(424.6-922.2)+(-1.060953+(-0.216546--0.470322))+0-0-0</f>
        <v>1581.8928230000004</v>
      </c>
      <c r="AA160" s="3">
        <f>2081.3+(446.1-934.8)+(-1.061463+(-0.227511--0.476748))+0-0-0</f>
        <v>1591.7877740000004</v>
      </c>
      <c r="AB160" s="3">
        <f>2074.8+(477.8-966.6)+(-2.116296+(-0.487356--0.985932))+0-0-0</f>
        <v>1584.3822800000003</v>
      </c>
      <c r="AC160" s="3">
        <f>2065.4+(421.8-910.6)+(0+(0-0))+0-0-0</f>
        <v>1576.6000000000001</v>
      </c>
      <c r="AD160">
        <f t="shared" si="2"/>
        <v>33563.528464999996</v>
      </c>
      <c r="AE160" s="3">
        <f>2077+(457.4-923.7)+(0+(0-0))+0-0-0</f>
        <v>1610.6999999999998</v>
      </c>
    </row>
    <row r="161" spans="1:31" s="2" customFormat="1" x14ac:dyDescent="0.25">
      <c r="A161">
        <v>89</v>
      </c>
      <c r="B161">
        <v>6</v>
      </c>
      <c r="C161">
        <v>6</v>
      </c>
      <c r="D161">
        <v>1</v>
      </c>
      <c r="E161">
        <v>1</v>
      </c>
      <c r="F161" s="3">
        <f>1898+(387.8-782.1)+(-0.96798+(-0.197778--0.398871))+0-0-0</f>
        <v>1502.933113</v>
      </c>
      <c r="G161" s="3">
        <f>1620.5+(361-585.9)+(0+(0-0))+0-0-0</f>
        <v>1395.6</v>
      </c>
      <c r="H161" s="3">
        <f>1351+(274.2-304.9)+(-2.75604+(-0.559368--0.621996))+0-0-0</f>
        <v>1317.6065879999999</v>
      </c>
      <c r="I161" s="3">
        <f>1307.3+(272-283.8)+(0+(0-0))+0-0-0</f>
        <v>1295.5</v>
      </c>
      <c r="J161" s="3">
        <f>1308.1+(271-271.4)+(-1.334262+(-0.27642--0.276828))+0-0-0</f>
        <v>1306.3661459999998</v>
      </c>
      <c r="K161" s="3">
        <f>1309.3+(207.2-323.6)+(-3.338715+(-0.52836--0.82518))+0-0-0</f>
        <v>1189.8581049999998</v>
      </c>
      <c r="L161" s="3">
        <f>1313.6+(209.4-402.2)+(-4.019616+(-0.640764--1.230732))+0-0-0</f>
        <v>1117.3703519999999</v>
      </c>
      <c r="M161" s="3">
        <f>1455+(212.1-528.2)+(0.74205+(0.108171-0.269382))+0-0-0</f>
        <v>1139.4808390000001</v>
      </c>
      <c r="N161" s="3">
        <f>1849.7+(246.1-861.6)+(0+(0-0))+0-0-0</f>
        <v>1234.2</v>
      </c>
      <c r="O161" s="3">
        <f>2045.4+(262.8-986.5)+(-1.043154+(-0.134028--0.503115))+0-0-0</f>
        <v>1321.0259330000001</v>
      </c>
      <c r="P161" s="3">
        <f>2072.3+(278.2-979.5)+(2.113746+(0.283764-0.99909))+0-0-0</f>
        <v>1372.3984200000002</v>
      </c>
      <c r="Q161" s="3">
        <f>2181.1+(253.2-1026.1)+(1.112361+(0.129132-0.523311))+0-0-0</f>
        <v>1408.9181820000001</v>
      </c>
      <c r="R161" s="3">
        <f>2221.5+(242.9-1159.3)+(1.132965+(0.123879-0.591243))+0-0-0</f>
        <v>1305.7656009999998</v>
      </c>
      <c r="S161" s="3">
        <f>2204.6+(267.8-1148.4)+(0+(0-0))+0-0-0</f>
        <v>1323.9999999999998</v>
      </c>
      <c r="T161" s="3">
        <f>2422.1+(376.7-1395)+(0+(0-0))+0-0-0</f>
        <v>1403.8</v>
      </c>
      <c r="U161" s="3">
        <f>2494.3+(374.5-1478.1)+(-5.088372+(-0.76398--3.015324))+0-0-0</f>
        <v>1387.8629720000004</v>
      </c>
      <c r="V161" s="3">
        <f>2372.9+(401.2-1412.6)+(-6.050895+(-1.02306--3.60213))+0-0-0</f>
        <v>1358.0281750000001</v>
      </c>
      <c r="W161" s="3">
        <f>2378+(391-1436.8)+(-4.85112+(-0.79764--2.931072))+0-0-0</f>
        <v>1329.4823120000001</v>
      </c>
      <c r="X161" s="3">
        <f>2314.3+(264.4-1242.1)+(-3.540879+(-0.404532--1.900413))+0-0-0</f>
        <v>1334.5550020000003</v>
      </c>
      <c r="Y161" s="3">
        <f>2307.3+(297-1160.1)+(1.176723+(0.15147-0.591651))+0-0-0</f>
        <v>1444.9365420000004</v>
      </c>
      <c r="Z161" s="3">
        <f>2566.9+(281.8-1295.9)+(-5.236476+(-0.574872--2.643636))+0-0-0</f>
        <v>1549.632288</v>
      </c>
      <c r="AA161" s="3">
        <f>2545.4+(295.3-1286)+(-7.788924+(-0.903618--3.93516))+0-0-0</f>
        <v>1549.942618</v>
      </c>
      <c r="AB161" s="3">
        <f>2192.6+(331.6-1008.9)+(-2.236452+(-0.338232--1.029078))+0-0-0</f>
        <v>1513.754394</v>
      </c>
      <c r="AC161" s="3">
        <f>2035.8+(220.5-785.9)+(-2.076516+(-0.22491--0.801618))+0-0-0</f>
        <v>1468.9001920000001</v>
      </c>
      <c r="AD161">
        <f t="shared" si="2"/>
        <v>32571.917774000001</v>
      </c>
      <c r="AE161" s="3">
        <f>2583+(312.7-1302.5)+(0+(0-0))+0-0-0</f>
        <v>1593.2</v>
      </c>
    </row>
    <row r="162" spans="1:31" s="2" customFormat="1" x14ac:dyDescent="0.25">
      <c r="A162">
        <v>89</v>
      </c>
      <c r="B162">
        <v>6</v>
      </c>
      <c r="C162">
        <v>7</v>
      </c>
      <c r="D162">
        <v>2</v>
      </c>
      <c r="E162">
        <v>1</v>
      </c>
      <c r="F162" s="3">
        <f>1632.2+(253.6-523.9)+(-1.664844+(-0.258672--0.534378))+0-0-0</f>
        <v>1360.5108620000001</v>
      </c>
      <c r="G162" s="3">
        <f>1483.9+(304.6-518.5)+(-3.027156+(-0.621384--1.05774))+0-0-0</f>
        <v>1267.4092000000001</v>
      </c>
      <c r="H162" s="3">
        <f>1315.9+(322.6-434.8)+(-3.355545+(-0.82263--1.10874))+0-0-0</f>
        <v>1200.6305649999999</v>
      </c>
      <c r="I162" s="3">
        <f>1315.9+(265.2-441.1)+(-1.342218+(-0.270504--0.449922))+0-0-0</f>
        <v>1138.8371999999999</v>
      </c>
      <c r="J162" s="3">
        <f>1316.2+(272.2-475.6)+(2.685048+(0.555288-0.970224))+0-0-0</f>
        <v>1115.0701119999999</v>
      </c>
      <c r="K162" s="3">
        <f>1314.7+(282.4-471.7)+(-2.011491+(-0.432072--0.721701))+0-0-0</f>
        <v>1123.678138</v>
      </c>
      <c r="L162" s="3">
        <f>1314.9+(292.3-562.6)+(0+(0-0))+0-0-0</f>
        <v>1044.6000000000001</v>
      </c>
      <c r="M162" s="3">
        <f>1349.9+(223.3-522.7)+(0+(0-0))+0-0-0</f>
        <v>1050.5</v>
      </c>
      <c r="N162" s="3">
        <f>1628.6+(334.3-763.4)+(1.661172+(0.340986-0.778668))+0-0-0</f>
        <v>1200.7234900000001</v>
      </c>
      <c r="O162" s="3">
        <f>2012.9+(366.1-1031.8)+(-1.026579+(-0.186711--0.526218))+0-0-0</f>
        <v>1346.5129280000003</v>
      </c>
      <c r="P162" s="3">
        <f>2162.6+(398.4-1118.9)+(0+(0-0))+0-0-0</f>
        <v>1442.1</v>
      </c>
      <c r="Q162" s="3">
        <f>2475.3+(405.8-1368.3)+(1.262403+(0.206958-0.697833))+0-0-0</f>
        <v>1513.5715280000002</v>
      </c>
      <c r="R162" s="3">
        <f>2604.3+(417.1-1326.2)+(-3.984579+(-0.638163--2.029086))+0-0-0</f>
        <v>1692.6063440000003</v>
      </c>
      <c r="S162" s="3">
        <f>2584.1+(420.7-1244.4)+(-3.953673+(-0.643671--1.903932))+0-0-0</f>
        <v>1757.7065879999998</v>
      </c>
      <c r="T162" s="3">
        <f>2592.2+(415-1270.1)+(-3.966066+(-0.63495--1.943253))+0-0-0</f>
        <v>1734.442237</v>
      </c>
      <c r="U162" s="3">
        <f>2591.1+(414.1-1300.5)+(-2.642922+(-0.422382--1.32651))+0-0-0</f>
        <v>1702.9612059999997</v>
      </c>
      <c r="V162" s="3">
        <f>2593.1+(358-1282.2)+(-10.579848+(-1.46064--5.231376))+0-0-0</f>
        <v>1662.0908879999999</v>
      </c>
      <c r="W162" s="3">
        <f>2353.2+(405.6-1145)+(-4.800528+(-0.827424--2.3358))+0-0-0</f>
        <v>1610.5078479999997</v>
      </c>
      <c r="X162" s="3">
        <f>2284+(362.9-1111.7)+(-2.32968+(-0.370158--1.133934))+0-0-0</f>
        <v>1533.6340959999998</v>
      </c>
      <c r="Y162" s="3">
        <f>2298.3+(292.4-995.1)+(1.172133+(0.149124-0.507501))+0-0-0</f>
        <v>1596.4137560000001</v>
      </c>
      <c r="Z162" s="3">
        <f>2462.3+(353.7-1090.4)+(-3.767319+(-0.541161--1.668312))+0-0-0</f>
        <v>1722.9598320000002</v>
      </c>
      <c r="AA162" s="3">
        <f>2407.9+(408.5-1095.5)+(-7.368174+(-1.25001--3.35223))+0-0-0</f>
        <v>1715.6340460000001</v>
      </c>
      <c r="AB162" s="3">
        <f>2231+(396.7-956)+(-3.41343+(-0.606951--1.46268))+0-0-0</f>
        <v>1669.1422990000001</v>
      </c>
      <c r="AC162" s="3">
        <f>2090.8+(345.6-766.9)+(-2.132616+(-0.352512--0.782238))+0-0-0</f>
        <v>1667.7971100000002</v>
      </c>
      <c r="AD162">
        <f t="shared" si="2"/>
        <v>34870.040272999999</v>
      </c>
      <c r="AE162" s="3">
        <f>2485+(436.6-1153.7)+(0+(0-0))+0-0-0</f>
        <v>1767.9</v>
      </c>
    </row>
    <row r="163" spans="1:31" s="2" customFormat="1" x14ac:dyDescent="0.25">
      <c r="A163">
        <v>89</v>
      </c>
      <c r="B163">
        <v>6</v>
      </c>
      <c r="C163">
        <v>8</v>
      </c>
      <c r="D163">
        <v>3</v>
      </c>
      <c r="E163">
        <v>1</v>
      </c>
      <c r="F163" s="3">
        <f>1962.2+(335.1-746.6)+(-2.001444+(-0.341802--0.761532))+0-0-0</f>
        <v>1549.1182860000001</v>
      </c>
      <c r="G163" s="3">
        <f>1653.8+(387.1-589.5)+(-0.843438+(-0.197421--0.300645))+0-0-0</f>
        <v>1450.6597860000002</v>
      </c>
      <c r="H163" s="3">
        <f>1405.9+(395.2-446.3)+(0+(0-0))+0-0-0</f>
        <v>1354.8000000000002</v>
      </c>
      <c r="I163" s="3">
        <f>1309.9+(372.6-371.1)+(-1.336098+(-0.380052--0.378522))+0-0-0</f>
        <v>1310.0623720000001</v>
      </c>
      <c r="J163" s="3">
        <f>1309.8+(395.1-402.3)+(0.667998+(0.201501-0.205173))+0-0-0</f>
        <v>1303.264326</v>
      </c>
      <c r="K163" s="3">
        <f>1309.9+(390.1-493.3)+(-2.672196+(-0.795804--1.006332))+0-0-0</f>
        <v>1204.2383320000001</v>
      </c>
      <c r="L163" s="3">
        <f>1313.3+(277.8-490.3)+(-4.018698+(-0.850068--1.500318))+0-0-0</f>
        <v>1097.431552</v>
      </c>
      <c r="M163" s="3">
        <f>1311.8+(294.7-511.1)+(1.338036+(0.300594-0.521322))+0-0-0</f>
        <v>1096.517308</v>
      </c>
      <c r="N163" s="3">
        <f>1390.1+(394.5-540.4)+(0.708951+(0.201195-0.275604))+0-0-0</f>
        <v>1244.8345419999998</v>
      </c>
      <c r="O163" s="3">
        <f>1711.2+(376.5-714.9)+(0+(0-0))+0-0-0</f>
        <v>1372.8000000000002</v>
      </c>
      <c r="P163" s="3">
        <f>1914.4+(412.9-792.5)+(3.905376+(0.842316-1.6167))+0-0-0</f>
        <v>1537.9309920000003</v>
      </c>
      <c r="Q163" s="3">
        <f>2007.6+(370-763.7)+(2.047752+(0.3774-0.778974))+0-0-0</f>
        <v>1615.5461779999998</v>
      </c>
      <c r="R163" s="3">
        <f>2074.7+(385.4-753.3)+(-1.058097+(-0.196554--0.384183))+0-0-0</f>
        <v>1705.9295319999997</v>
      </c>
      <c r="S163" s="3">
        <f>2073+(424.9-717)+(0+(0-0))+0-0-0</f>
        <v>1780.9</v>
      </c>
      <c r="T163" s="3">
        <f>2072.4+(447.9-681.1)+(1.056924+(0.228429-0.347361))+0-0-0</f>
        <v>1840.1379919999999</v>
      </c>
      <c r="U163" s="3">
        <f>2039.6+(461.2-653.8)+(1.040196+(0.235212-0.333438))+0-0-0</f>
        <v>1847.9419700000001</v>
      </c>
      <c r="V163" s="3">
        <f>2032.1+(473-699.3)+(-3.109113+(-0.72369--1.069929))+0-0-0</f>
        <v>1803.0371259999999</v>
      </c>
      <c r="W163" s="3">
        <f>2032.6+(451.8-764.1)+(-3.109878+(-0.691254--1.169073))+0-0-0</f>
        <v>1717.6679409999999</v>
      </c>
      <c r="X163" s="3">
        <f>2033.2+(442.9-849)+(-1.036932+(-0.225879--0.43299))+0-0-0</f>
        <v>1626.2701789999999</v>
      </c>
      <c r="Y163" s="3">
        <f>2133.5+(391.6-816.3)+(1.088085+(0.199716-0.416313))+0-0-0</f>
        <v>1709.6714880000002</v>
      </c>
      <c r="Z163" s="3">
        <f>2233.3+(447-842.2)+(-1.138983+(-0.22797--0.429522))+0-0-0</f>
        <v>1837.1625690000001</v>
      </c>
      <c r="AA163" s="3">
        <f>2236.7+(524.2-941.2)+(0+(0-0))+0-0-0</f>
        <v>1819.6999999999998</v>
      </c>
      <c r="AB163" s="3">
        <f>2235.4+(512.5-956.3)+(-2.280108+(-0.52275--0.975426))+0-0-0</f>
        <v>1789.7725680000001</v>
      </c>
      <c r="AC163" s="3">
        <f>2240+(406.1-906.4)+(0+(0-0))+0-0-0</f>
        <v>1739.7</v>
      </c>
      <c r="AD163">
        <f t="shared" si="2"/>
        <v>37355.095039</v>
      </c>
      <c r="AE163" s="3">
        <f>2237+(544.8-910)+(0+(0-0))+0-0-0</f>
        <v>1871.8</v>
      </c>
    </row>
    <row r="164" spans="1:31" s="2" customFormat="1" x14ac:dyDescent="0.25">
      <c r="A164">
        <v>89</v>
      </c>
      <c r="B164">
        <v>6</v>
      </c>
      <c r="C164">
        <v>9</v>
      </c>
      <c r="D164">
        <v>4</v>
      </c>
      <c r="E164">
        <v>1</v>
      </c>
      <c r="F164" s="3">
        <f>2000.9+(362.7-709.9)+(-5.102295+(-0.924885--1.810245))+0-0-0</f>
        <v>1649.4830650000001</v>
      </c>
      <c r="G164" s="3">
        <f>1702.7+(290.9-475.2)+(-3.473508+(-0.593436--0.969408))+0-0-0</f>
        <v>1515.3024640000001</v>
      </c>
      <c r="H164" s="3">
        <f>1451.9+(340.5-364.7)+(-2.221407+(-0.520965--0.557991))+0-0-0</f>
        <v>1425.515619</v>
      </c>
      <c r="I164" s="3">
        <f>1370.3+(318.5-317.3)+(-3.494265+(-0.812175--0.809115))+0-0-0</f>
        <v>1368.002675</v>
      </c>
      <c r="J164" s="3">
        <f>1370.8+(312.4-351.2)+(0+(0-0))+0-0-0</f>
        <v>1332</v>
      </c>
      <c r="K164" s="3">
        <f>1370.6+(268.3-403.7)+(-3.49503+(-0.684165--1.029435))+0-0-0</f>
        <v>1232.0502399999998</v>
      </c>
      <c r="L164" s="3">
        <f>1371.9+(320-566.3)+(-2.798676+(-0.6528--1.155252))+0-0-0</f>
        <v>1123.3037760000002</v>
      </c>
      <c r="M164" s="3">
        <f>1551.5+(245.9-684.3)+(0+(0-0))+0-0-0</f>
        <v>1113.0999999999999</v>
      </c>
      <c r="N164" s="3">
        <f>1913.5+(264.9-860)+(0.975885+(0.135099-0.4386))+0-0-0</f>
        <v>1319.0723840000001</v>
      </c>
      <c r="O164" s="3">
        <f>1945.5+(296.1-790.7)+(0+(0-0))+0-0-0</f>
        <v>1450.9</v>
      </c>
      <c r="P164" s="3">
        <f>2091.1+(324.9-857.3)+(1.066461+(0.165699-0.437223))+0-0-0</f>
        <v>1559.4949369999997</v>
      </c>
      <c r="Q164" s="3">
        <f>2268.2+(331-886)+(3.470346+(0.50643-1.35558))+0-0-0</f>
        <v>1715.8211959999999</v>
      </c>
      <c r="R164" s="3">
        <f>2325.2+(311.3-879)+(1.185852+(0.158763-0.44829))+0-0-0</f>
        <v>1758.3963249999997</v>
      </c>
      <c r="S164" s="3">
        <f>2333.5+(322.8-808.3)+(0+(0-0))+0-0-0</f>
        <v>1848</v>
      </c>
      <c r="T164" s="3">
        <f>2333.3+(341.3-718.7)+(1.189983+(0.174063-0.366537))+0-0-0</f>
        <v>1956.8975090000001</v>
      </c>
      <c r="U164" s="3">
        <f>2339.2+(359.1-740.7)+(-5.96496+(-0.915705--1.888785))+0-0-0</f>
        <v>1952.6081199999999</v>
      </c>
      <c r="V164" s="3">
        <f>2260.6+(410.9-762.7)+(-2.305812+(-0.419118--0.777954))+0-0-0</f>
        <v>1906.8530239999998</v>
      </c>
      <c r="W164" s="3">
        <f>2108.2+(410.8-742.9)+(-2.150364+(-0.419016--0.757758))+0-0-0</f>
        <v>1774.288378</v>
      </c>
      <c r="X164" s="3">
        <f>2277.2+(338.7-955.5)+(-2.322744+(-0.345474--0.97461))+0-0-0</f>
        <v>1658.7063919999998</v>
      </c>
      <c r="Y164" s="3">
        <f>2334.7+(398.1-1011.6)+(-2.381394+(-0.406062--1.031832))+0-0-0</f>
        <v>1719.4443759999999</v>
      </c>
      <c r="Z164" s="3">
        <f>2369.4+(516.3-1028.7)+(0+(0-0))+0-0-0</f>
        <v>1857</v>
      </c>
      <c r="AA164" s="3">
        <f>2374.2+(497.2-1076.3)+(-4.843368+(-1.014288--2.195652))+0-0-0</f>
        <v>1791.4379959999999</v>
      </c>
      <c r="AB164" s="3">
        <f>2374.8+(457.3-1064.4)+(0+(0-0))+0-0-0</f>
        <v>1767.7</v>
      </c>
      <c r="AC164" s="3">
        <f>2216+(353-836.4)+(-5.6508+(-0.90015--2.13282))+0-0-0</f>
        <v>1728.1818699999999</v>
      </c>
      <c r="AD164">
        <f t="shared" si="2"/>
        <v>38523.560345999998</v>
      </c>
      <c r="AE164" s="3">
        <f>2367+(456.4-1025.2)+(0+(0-0))+0-0-0</f>
        <v>1798.1999999999998</v>
      </c>
    </row>
    <row r="165" spans="1:31" s="2" customFormat="1" x14ac:dyDescent="0.25">
      <c r="A165">
        <v>89</v>
      </c>
      <c r="B165">
        <v>6</v>
      </c>
      <c r="C165">
        <v>10</v>
      </c>
      <c r="D165">
        <v>5</v>
      </c>
      <c r="E165">
        <v>5</v>
      </c>
      <c r="F165" s="3">
        <f>1900.5+(341.3-588.7)+(-2.907765+(-0.522189--0.900711))+0-0-0</f>
        <v>1650.570757</v>
      </c>
      <c r="G165" s="3">
        <f>1718.5+(313.5-454.3)+(-2.629305+(-0.479655--0.695079))+0-0-0</f>
        <v>1575.2861190000001</v>
      </c>
      <c r="H165" s="3">
        <f>1606.7+(395.6-464.5)+(-0.819417+(-0.201756--0.236895))+0-0-0</f>
        <v>1537.0157220000001</v>
      </c>
      <c r="I165" s="3">
        <f>1511+(253-341.7)+(-1.54122+(-0.25806--0.348534))+0-0-0</f>
        <v>1420.849254</v>
      </c>
      <c r="J165" s="3">
        <f>1505.4+(304.2-432.5)+(-3.071016+(-0.620568--0.8823))+0-0-0</f>
        <v>1374.2907160000002</v>
      </c>
      <c r="K165" s="3">
        <f>1423+(344-489.1)+(-3.62865+(-0.8772--1.247205))+0-0-0</f>
        <v>1274.6413550000002</v>
      </c>
      <c r="L165" s="3">
        <f>1286.8+(321.1-530.5)+(-3.28134+(-0.818805--1.352775))+0-0-0</f>
        <v>1074.65263</v>
      </c>
      <c r="M165" s="3">
        <f>1298+(319.6-598.9)+(0+(0-0))+0-0-0</f>
        <v>1018.7</v>
      </c>
      <c r="N165" s="3">
        <f>1407.1+(339.2-650.5)+(-1.435242+(-0.345984--0.66351))+0-0-0</f>
        <v>1094.682284</v>
      </c>
      <c r="O165" s="3">
        <f>1455.9+(265.8-567.4)+(-1.485018+(-0.271116--0.578748))+0-0-0</f>
        <v>1153.1226140000001</v>
      </c>
      <c r="P165" s="3">
        <f>1644.8+(278.6-648.2)+(-0.838848+(-0.142086--0.330582))+0-0-0</f>
        <v>1274.5496479999997</v>
      </c>
      <c r="Q165" s="3">
        <f>1661.7+(304.3-579.4)+(1.694934+(0.310386-0.590988))+0-0-0</f>
        <v>1388.0143320000002</v>
      </c>
      <c r="R165" s="3">
        <f>1659.2+(366.2-515.2)+(-0.846192+(-0.186762--0.262752))+0-0-0</f>
        <v>1509.4297980000001</v>
      </c>
      <c r="S165" s="3">
        <f>1659.8+(385.6-357.8)+(-0.846498+(-0.196656--0.182478))+0-0-0</f>
        <v>1686.7393239999999</v>
      </c>
      <c r="T165" s="3">
        <f>1658.9+(432.9-261.6)+(0+(0-0))+0-0-0</f>
        <v>1830.2</v>
      </c>
      <c r="U165" s="3">
        <f>1665.9+(417-224.1)+(-3.398436+(-0.85068--0.457164))+0-0-0</f>
        <v>1855.0080480000001</v>
      </c>
      <c r="V165" s="3">
        <f>1864.1+(337.8-394.9)+(-0.950691+(-0.172278--0.201399))+0-0-0</f>
        <v>1806.07843</v>
      </c>
      <c r="W165" s="3">
        <f>1972.1+(349.6-570.4)+(-2.011542+(-0.356592--0.581808))+0-0-0</f>
        <v>1749.513674</v>
      </c>
      <c r="X165" s="3">
        <f>1996.8+(300.9-671.9)+(-2.036736+(-0.306918--0.685338))+0-0-0</f>
        <v>1624.1416839999999</v>
      </c>
      <c r="Y165" s="3">
        <f>2079.3+(358.6-675.3)+(0+(0-0))+0-0-0</f>
        <v>1762.6000000000004</v>
      </c>
      <c r="Z165" s="3">
        <f>2119.8+(471-690.3)+(-1.081098+(-0.24021--0.352053))+0-0-0</f>
        <v>1899.5307450000003</v>
      </c>
      <c r="AA165" s="3">
        <f>2120+(504.8-739.8)+(-3.2436+(-0.772344--1.131894))+0-0-0</f>
        <v>1882.1159500000001</v>
      </c>
      <c r="AB165" s="3">
        <f>2110.3+(431.5-662.6)+(1.076253+(0.220065-0.337926))+0-0-0</f>
        <v>1880.1583920000003</v>
      </c>
      <c r="AC165" s="3">
        <f>2089.8+(476.9-676.4)+(-1.065798+(-0.243219--0.344964))+0-0-0</f>
        <v>1889.3359470000003</v>
      </c>
      <c r="AD165">
        <f t="shared" si="2"/>
        <v>37211.227423000004</v>
      </c>
      <c r="AE165" s="3">
        <f>2121+(613.2-748.3)+(0+(0-0))+0-0-0</f>
        <v>1985.9</v>
      </c>
    </row>
    <row r="166" spans="1:31" s="2" customFormat="1" x14ac:dyDescent="0.25">
      <c r="A166">
        <v>89</v>
      </c>
      <c r="B166">
        <v>6</v>
      </c>
      <c r="C166">
        <v>11</v>
      </c>
      <c r="D166">
        <v>6</v>
      </c>
      <c r="E166">
        <v>6</v>
      </c>
      <c r="F166" s="3">
        <f>1963.5+(366.8-524.6)+(0+(0-0))+0-0-0</f>
        <v>1805.7</v>
      </c>
      <c r="G166" s="3">
        <f>1716.5+(437.5-458.9)+(-0.875415+(-0.223125--0.234039))+0-0-0</f>
        <v>1694.2354989999999</v>
      </c>
      <c r="H166" s="3">
        <f>1433.5+(397.5-266.2)+(0.731085+(0.202725-0.135762))+0-0-0</f>
        <v>1565.5980480000001</v>
      </c>
      <c r="I166" s="3">
        <f>1427.1+(349.3-261.1)+(0+(0-0))+0-0-0</f>
        <v>1515.3</v>
      </c>
      <c r="J166" s="3">
        <f>1323.5+(332.6-209.6)+(0+(0-0))+0-0-0</f>
        <v>1446.5</v>
      </c>
      <c r="K166" s="3">
        <f>1316.4+(323.6-311.5)+(0+(0-0))+0-0-0</f>
        <v>1328.5</v>
      </c>
      <c r="L166" s="3">
        <f>1316.4+(305.5-398.2)+(-2.685456+(-0.62322--0.812328))+0-0-0</f>
        <v>1221.2036520000001</v>
      </c>
      <c r="M166" s="3">
        <f>1316.1+(304.8-400.1)+(0.671211+(0.155448-0.204051))+0-0-0</f>
        <v>1221.4226079999999</v>
      </c>
      <c r="N166" s="3">
        <f>1509.7+(269.3-447.3)+(-0.769947+(-0.137343--0.228123))+0-0-0</f>
        <v>1331.020833</v>
      </c>
      <c r="O166" s="3">
        <f>1953+(307.9-708.9)+(1.99206+(0.314058-0.723078))+0-0-0</f>
        <v>1553.58304</v>
      </c>
      <c r="P166" s="3">
        <f>2058.4+(305.6-696.5)+(2.099568+(0.311712-0.71043))+0-0-0</f>
        <v>1669.2008499999999</v>
      </c>
      <c r="Q166" s="3">
        <f>2221.6+(334.1-742.9)+(1.133016+(0.170391-0.378879))+0-0-0</f>
        <v>1813.724528</v>
      </c>
      <c r="R166" s="3">
        <f>2248.9+(361.5-663.2)+(1.146939+(0.184365-0.338232))+0-0-0</f>
        <v>1948.193072</v>
      </c>
      <c r="S166" s="3">
        <f>2283.3+(437.9-592.7)+(-1.164483+(-0.223329--0.302277))+0-0-0</f>
        <v>2127.4144649999998</v>
      </c>
      <c r="T166" s="3">
        <f>2248.8+(440.9-441.2)+(1.146888+(0.224859-0.225012))+0-0-0</f>
        <v>2249.6467349999998</v>
      </c>
      <c r="U166" s="3">
        <f>2252.7+(465.8-454.2)+(-1.148877+(-0.237558--0.231642))+0-0-0</f>
        <v>2263.1452069999996</v>
      </c>
      <c r="V166" s="3">
        <f>2362.5+(450.4-605.8)+(-3.614625+(-0.689112--0.926874))+0-0-0</f>
        <v>2203.723137</v>
      </c>
      <c r="W166" s="3">
        <f>2430.7+(340.1-725.5)+(0+(0-0))+0-0-0</f>
        <v>2045.2999999999997</v>
      </c>
      <c r="X166" s="3">
        <f>2423.5+(288.3-840.7)+(1.235985+(0.147033-0.428757))+0-0-0</f>
        <v>1872.054261</v>
      </c>
      <c r="Y166" s="3">
        <f>2563+(315-958.6)+(2.61426+(0.3213-0.977772))+0-0-0</f>
        <v>1921.357788</v>
      </c>
      <c r="Z166" s="3">
        <f>2606.6+(312.3-860.2)+(-1.329366+(-0.159273--0.438702))+0-0-0</f>
        <v>2057.6500629999996</v>
      </c>
      <c r="AA166" s="3">
        <f>2633+(336.5-960.5)+(1.34283+(0.171615-0.489855))+0-0-0</f>
        <v>2010.02459</v>
      </c>
      <c r="AB166" s="3">
        <f>2534.2+(443.9-993.5)+(-2.584884+(-0.452778--1.01337))+0-0-0</f>
        <v>1982.5757079999998</v>
      </c>
      <c r="AC166" s="3">
        <f>2439.4+(404-901.4)+(2.488188+(0.41208-0.919428))+0-0-0</f>
        <v>1943.9808399999999</v>
      </c>
      <c r="AD166">
        <f t="shared" si="2"/>
        <v>42791.054923999996</v>
      </c>
      <c r="AE166" s="3">
        <f>2615+(317.3-857.6)+(0+(0-0))+0-0-0</f>
        <v>2074.6999999999998</v>
      </c>
    </row>
    <row r="167" spans="1:31" s="2" customFormat="1" x14ac:dyDescent="0.25">
      <c r="A167">
        <v>89</v>
      </c>
      <c r="B167">
        <v>6</v>
      </c>
      <c r="C167">
        <v>12</v>
      </c>
      <c r="D167">
        <v>7</v>
      </c>
      <c r="E167">
        <v>1</v>
      </c>
      <c r="F167" s="3">
        <f>2350.5+(324.5-805.2)+(0+(0-0))+0-0-0</f>
        <v>1869.8</v>
      </c>
      <c r="G167" s="3">
        <f>2221.4+(332.5-753.6)+(1.132914+(0.169575-0.384336))+0-0-0</f>
        <v>1801.2181530000003</v>
      </c>
      <c r="H167" s="3">
        <f>1912.5+(354.5-577)+(0+(0-0))+0-0-0</f>
        <v>1690</v>
      </c>
      <c r="I167" s="3">
        <f>1581.8+(339.2-337.2)+(4.03359+(0.86496-0.85986))+0-0-0</f>
        <v>1587.83869</v>
      </c>
      <c r="J167" s="3">
        <f>1567.2+(409.5-447.5)+(-1.598544+(-0.41769--0.45645))+0-0-0</f>
        <v>1527.640216</v>
      </c>
      <c r="K167" s="3">
        <f>1568.8+(240.5-407.6)+(-4.00044+(-0.613275--1.03938))+0-0-0</f>
        <v>1398.1256649999998</v>
      </c>
      <c r="L167" s="3">
        <f>1408.5+(203.6-378.3)+(-3.591675+(-0.51918--0.964665))+0-0-0</f>
        <v>1230.65381</v>
      </c>
      <c r="M167" s="3">
        <f>1408+(158.1-380.6)+(-2.87232+(-0.322524--0.776424))+0-0-0</f>
        <v>1183.08158</v>
      </c>
      <c r="N167" s="3">
        <f>1429.7+(187.8-377.8)+(0.729147+(0.095778-0.192678))+0-0-0</f>
        <v>1240.3322470000001</v>
      </c>
      <c r="O167" s="3">
        <f>1670.7+(146.8-499.3)+(0+(0-0))+0-0-0</f>
        <v>1318.2</v>
      </c>
      <c r="P167" s="3">
        <f>1867.4+(131.4-573.7)+(-0.952374+(-0.067014--0.292587))+0-0-0</f>
        <v>1424.3731989999999</v>
      </c>
      <c r="Q167" s="3">
        <f>2225.2+(152.8-812.7)+(-1.134852+(-0.077928--0.414477))+0-0-0</f>
        <v>1564.5016969999997</v>
      </c>
      <c r="R167" s="3">
        <f>2412+(231.3-919.5)+(-1.23012+(-0.117963--0.468945))+0-0-0</f>
        <v>1722.9208619999999</v>
      </c>
      <c r="S167" s="3">
        <f>2576.7+(185.5-905.5)+(-2.628234+(-0.18921--0.92361))+0-0-0</f>
        <v>1854.8061659999998</v>
      </c>
      <c r="T167" s="3">
        <f>2601.8+(140.5-774.3)+(0+(0-0))+0-0-0</f>
        <v>1968.0000000000002</v>
      </c>
      <c r="U167" s="3">
        <f>2603.9+(150-777.5)+(-3.983967+(-0.2295--1.189575))+0-0-0</f>
        <v>1973.3761080000002</v>
      </c>
      <c r="V167" s="3">
        <f>2604.9+(116.5-823)+(-1.328499+(-0.059415--0.41973))+0-0-0</f>
        <v>1897.431816</v>
      </c>
      <c r="W167" s="3">
        <f>2557.6+(207.9-956.4)+(-3.913128+(-0.318087--1.463292))+0-0-0</f>
        <v>1806.3320769999998</v>
      </c>
      <c r="X167" s="3">
        <f>2301.8+(264.1-892.3)+(-5.86959+(-0.673455--2.275365))+0-0-0</f>
        <v>1669.3323200000004</v>
      </c>
      <c r="Y167" s="3">
        <f>2285.9+(344.5-860.3)+(0+(0-0))+0-0-0</f>
        <v>1770.1000000000001</v>
      </c>
      <c r="Z167" s="3">
        <f>2330.4+(435.8-808.7)+(-2.377008+(-0.444516--0.824874))+0-0-0</f>
        <v>1955.50335</v>
      </c>
      <c r="AA167" s="3">
        <f>2330.4+(444.9-834.5)+(-4.754016+(-0.907596--1.70238))+0-0-0</f>
        <v>1936.8407680000003</v>
      </c>
      <c r="AB167" s="3">
        <f>2320.6+(458.3-855.3)+(-1.183506+(-0.233733--0.436203))+0-0-0</f>
        <v>1922.618964</v>
      </c>
      <c r="AC167" s="3">
        <f>2245.3+(459.7-771.2)+(-1.145103+(-0.234447--0.393312))+0-0-0</f>
        <v>1932.8137620000002</v>
      </c>
      <c r="AD167">
        <f t="shared" si="2"/>
        <v>40245.84145</v>
      </c>
      <c r="AE167" s="3">
        <f>2338+(466.9-838.3)+(0+(0-0))+0-0-0</f>
        <v>1966.6</v>
      </c>
    </row>
    <row r="168" spans="1:31" s="2" customFormat="1" x14ac:dyDescent="0.25">
      <c r="A168">
        <v>89</v>
      </c>
      <c r="B168">
        <v>6</v>
      </c>
      <c r="C168">
        <v>13</v>
      </c>
      <c r="D168">
        <v>1</v>
      </c>
      <c r="E168">
        <v>1</v>
      </c>
      <c r="F168" s="3">
        <f>2174.2+(386.9-675.7)+(-3.326526+(-0.591957--1.033821))+0-0-0</f>
        <v>1882.5153379999997</v>
      </c>
      <c r="G168" s="3">
        <f>1954.9+(330.5-514.5)+(-2.990997+(-0.505665--0.787185))+0-0-0</f>
        <v>1768.190523</v>
      </c>
      <c r="H168" s="3">
        <f>1631.8+(367.7-328.9)+(-1.664436+(-0.375054--0.335478))+0-0-0</f>
        <v>1668.895988</v>
      </c>
      <c r="I168" s="3">
        <f>1467.2+(358.2-232.3)+(0.748272+(0.182682-0.118473))+0-0-0</f>
        <v>1593.9124809999998</v>
      </c>
      <c r="J168" s="3">
        <f>1468+(346-282.9)+(0.74868+(0.17646-0.144279))+0-0-0</f>
        <v>1531.8808609999999</v>
      </c>
      <c r="K168" s="3">
        <f>1469.1+(335-360)+(-3.746205+(-0.85425--0.918))+0-0-0</f>
        <v>1440.417545</v>
      </c>
      <c r="L168" s="3">
        <f>1468.9+(266.6-402.4)+(-5.243973+(-0.951762--1.436568))+0-0-0</f>
        <v>1328.3408330000002</v>
      </c>
      <c r="M168" s="3">
        <f>1623.2+(203.2-448.7)+(0+(0-0))+0-0-0</f>
        <v>1377.7</v>
      </c>
      <c r="N168" s="3">
        <f>2120.6+(159.4-839.8)+(0+(0-0))+0-0-0</f>
        <v>1440.1999999999998</v>
      </c>
      <c r="O168" s="3">
        <f>2225.3+(298.2-922.1)+(1.134903+(0.152082-0.470271))+0-0-0</f>
        <v>1602.2167140000001</v>
      </c>
      <c r="P168" s="3">
        <f>2256.1+(334-895.5)+(3.451833+(0.51102-1.370115))+0-0-0</f>
        <v>1697.192738</v>
      </c>
      <c r="Q168" s="3">
        <f>2255.9+(374.7-837.7)+(4.602036+(0.764388-1.708908))+0-0-0</f>
        <v>1796.5575160000001</v>
      </c>
      <c r="R168" s="3">
        <f>2253.2+(396.9-754.1)+(0+(0-0))+0-0-0</f>
        <v>1895.9999999999998</v>
      </c>
      <c r="S168" s="3">
        <f>2252.1+(433.4-678.2)+(-3.445713+(-0.663102--1.037646))+0-0-0</f>
        <v>2004.2288309999997</v>
      </c>
      <c r="T168" s="3">
        <f>2249.5+(430-590.6)+(0+(0-0))+0-0-0</f>
        <v>2088.9</v>
      </c>
      <c r="U168" s="3">
        <f>2252.2+(415.3-566.5)+(0+(0-0))+0-0-0</f>
        <v>2101</v>
      </c>
      <c r="V168" s="3">
        <f>2252.4+(383.3-660)+(-2.297448+(-0.390966--0.6732))+0-0-0</f>
        <v>1973.684786</v>
      </c>
      <c r="W168" s="3">
        <f>2252.9+(507.9-875.8)+(-3.446937+(-0.777087--1.339974))+0-0-0</f>
        <v>1882.1159500000001</v>
      </c>
      <c r="X168" s="3">
        <f>2253.2+(431.2-904.5)+(-6.894792+(-1.319472--2.76777))+0-0-0</f>
        <v>1774.4535059999998</v>
      </c>
      <c r="Y168" s="3">
        <f>2317.4+(531.7-934.2)+(-4.727496+(-1.084668--1.905768))+0-0-0</f>
        <v>1910.993604</v>
      </c>
      <c r="Z168" s="3">
        <f>2441.9+(590.1-975.5)+(-4.981476+(-1.203804--1.99002))+0-0-0</f>
        <v>2052.30474</v>
      </c>
      <c r="AA168" s="3">
        <f>2441.5+(546.4-987)+(-3.735495+(-0.835992--1.51011))+0-0-0</f>
        <v>1997.8386230000001</v>
      </c>
      <c r="AB168" s="3">
        <f>2441.7+(532.9-996.6)+(-2.490534+(-0.543558--1.016532))+0-0-0</f>
        <v>1975.9824399999998</v>
      </c>
      <c r="AC168" s="3">
        <f>2439.8+(494.7-969.6)+(-3.732894+(-0.756891--1.483488))+0-0-0</f>
        <v>1961.8937030000002</v>
      </c>
      <c r="AD168">
        <f t="shared" si="2"/>
        <v>42747.416720000008</v>
      </c>
      <c r="AE168" s="3">
        <f>2452+(599.7-948.3)+(0+(0-0))+0-0-0</f>
        <v>2103.4</v>
      </c>
    </row>
    <row r="169" spans="1:31" s="2" customFormat="1" x14ac:dyDescent="0.25">
      <c r="A169">
        <v>89</v>
      </c>
      <c r="B169">
        <v>6</v>
      </c>
      <c r="C169">
        <v>14</v>
      </c>
      <c r="D169">
        <v>2</v>
      </c>
      <c r="E169">
        <v>1</v>
      </c>
      <c r="F169" s="3">
        <f>2107.2+(384-601.3)+(-1.074672+(-0.19584--0.306663))+0-0-0</f>
        <v>1888.9361509999999</v>
      </c>
      <c r="G169" s="3">
        <f>1560.4+(457.9-298.3)+(-2.387412+(-0.700587--0.456399))+0-0-0</f>
        <v>1717.3684000000001</v>
      </c>
      <c r="H169" s="3">
        <f>1355.2+(423.6-185)+(0+(0-0))+0-0-0</f>
        <v>1593.8000000000002</v>
      </c>
      <c r="I169" s="3">
        <f>1356.2+(341.8-154.2)+(0+(0-0))+0-0-0</f>
        <v>1543.8000000000002</v>
      </c>
      <c r="J169" s="3">
        <f>1352.9+(359.8-196.1)+(2.759916+(0.733992-0.400044))+0-0-0</f>
        <v>1519.6938640000001</v>
      </c>
      <c r="K169" s="3">
        <f>1360+(273.1-240.2)+(-1.3872+(-0.278562--0.245004))+0-0-0</f>
        <v>1391.4792420000001</v>
      </c>
      <c r="L169" s="3">
        <f>1362.1+(131.5-250.4)+(-2.778684+(-0.26826--0.510816))+0-0-0</f>
        <v>1240.6638719999999</v>
      </c>
      <c r="M169" s="3">
        <f>1470.3+(127.1-355.5)+(2.249559+(0.194463-0.543915))+0-0-0</f>
        <v>1243.8001069999998</v>
      </c>
      <c r="N169" s="3">
        <f>1724.5+(104.9-462.2)+(-0.879495+(-0.053499--0.235722))+0-0-0</f>
        <v>1366.5027279999999</v>
      </c>
      <c r="O169" s="3">
        <f>2051.2+(120.8-629)+(0+(0-0))+0-0-0</f>
        <v>1542.9999999999998</v>
      </c>
      <c r="P169" s="3">
        <f>2298.2+(114.3-764.1)+(3.516246+(0.174879-1.169073))+0-0-0</f>
        <v>1650.9220519999997</v>
      </c>
      <c r="Q169" s="3">
        <f>2463.5+(119.7-811.6)+(1.256385+(0.061047-0.413916))+0-0-0</f>
        <v>1772.503516</v>
      </c>
      <c r="R169" s="3">
        <f>2473.9+(151.4-714.5)+(1.261689+(0.077214-0.364395))+0-0-0</f>
        <v>1911.7745080000002</v>
      </c>
      <c r="S169" s="3">
        <f>2472.6+(239.5-729.7)+(-1.261026+(-0.122145--0.372147))+0-0-0</f>
        <v>1981.388976</v>
      </c>
      <c r="T169" s="3">
        <f>2470+(381.7-736)+(1.2597+(0.194667-0.37536))+0-0-0</f>
        <v>2116.7790069999996</v>
      </c>
      <c r="U169" s="3">
        <f>2470.7+(390.9-709.4)+(-3.780171+(-0.598077--1.085382))+0-0-0</f>
        <v>2148.907134</v>
      </c>
      <c r="V169" s="3">
        <f>2469.1+(362.1-765.9)+(0+(0-0))+0-0-0</f>
        <v>2065.3000000000002</v>
      </c>
      <c r="W169" s="3">
        <f>2470.7+(464.1-999.1)+(-5.040228+(-0.946764--2.038164))+0-0-0</f>
        <v>1931.7511719999998</v>
      </c>
      <c r="X169" s="3">
        <f>2440.1+(448.4-1067.7)+(-3.733353+(-0.686052--1.633581))+0-0-0</f>
        <v>1818.0141759999997</v>
      </c>
      <c r="Y169" s="3">
        <f>2436.7+(488.9-972.4)+(-1.242717+(-0.249339--0.495924))+0-0-0</f>
        <v>1952.2038679999998</v>
      </c>
      <c r="Z169" s="3">
        <f>2519+(535.6-970.3)+(-2.56938+(-0.546312--0.989706))+0-0-0</f>
        <v>2082.1740140000002</v>
      </c>
      <c r="AA169" s="3">
        <f>2522+(524.6-1011)+(-2.57244+(-0.535092--1.03122))+0-0-0</f>
        <v>2033.523688</v>
      </c>
      <c r="AB169" s="3">
        <f>2488.4+(524.3-996.3)+(-1.269084+(-0.267393--0.508113))+0-0-0</f>
        <v>2015.3716360000001</v>
      </c>
      <c r="AC169" s="3">
        <f>2253.5+(458.8-740.8)+(-3.447855+(-0.701964--1.133424))+0-0-0</f>
        <v>1968.4836049999999</v>
      </c>
      <c r="AD169">
        <f t="shared" si="2"/>
        <v>42498.141716000006</v>
      </c>
      <c r="AE169" s="3">
        <f>2519+(514.4-929.4)+(0+(0-0))+0-0-0</f>
        <v>2104</v>
      </c>
    </row>
    <row r="170" spans="1:31" s="2" customFormat="1" x14ac:dyDescent="0.25">
      <c r="A170">
        <v>89</v>
      </c>
      <c r="B170">
        <v>6</v>
      </c>
      <c r="C170">
        <v>15</v>
      </c>
      <c r="D170">
        <v>3</v>
      </c>
      <c r="E170">
        <v>1</v>
      </c>
      <c r="F170" s="3">
        <f>2156.2+(312.3-594.8)+(-3.298986+(-0.477819--0.910044))+0-0-0</f>
        <v>1870.8332389999998</v>
      </c>
      <c r="G170" s="3">
        <f>1833.5+(342-444.3)+(-2.805255+(-0.52326--0.679779))+0-0-0</f>
        <v>1728.5512639999999</v>
      </c>
      <c r="H170" s="3">
        <f>1536.9+(398-322.6)+(-1.567638+(-0.40596--0.329052))+0-0-0</f>
        <v>1610.6554540000002</v>
      </c>
      <c r="I170" s="3">
        <f>1409.7+(340.5-201.3)+(-2.156841+(-0.520965--0.307989))+0-0-0</f>
        <v>1546.5301830000001</v>
      </c>
      <c r="J170" s="3">
        <f>1403.7+(207.8-120.2)+(-1.431774+(-0.211956--0.122604))+0-0-0</f>
        <v>1489.7788739999999</v>
      </c>
      <c r="K170" s="3">
        <f>1400.3+(167.3-179.4)+(-2.856612+(-0.341292--0.365976))+0-0-0</f>
        <v>1385.368072</v>
      </c>
      <c r="L170" s="3">
        <f>1397.1+(120.1-290.5)+(-6.412689+(-0.551259--1.333395))+0-0-0</f>
        <v>1221.0694469999999</v>
      </c>
      <c r="M170" s="3">
        <f>1583.1+(108.8-495.3)+(-2.422143+(-0.166464--0.757809))+0-0-0</f>
        <v>1194.769202</v>
      </c>
      <c r="N170" s="3">
        <f>2007.9+(181.6-820)+(-2.048058+(-0.185232--0.8364))+0-0-0</f>
        <v>1368.10311</v>
      </c>
      <c r="O170" s="3">
        <f>2239+(176.8-896.6)+(-3.42567+(-0.270504--1.371798))+0-0-0</f>
        <v>1516.875624</v>
      </c>
      <c r="P170" s="3">
        <f>2374+(222.7-928.2)+(-4.84296+(-0.454308--1.893528))+0-0-0</f>
        <v>1665.09626</v>
      </c>
      <c r="Q170" s="3">
        <f>2487.2+(326-1037.9)+(3.805416+(0.49878-1.587987))+0-0-0</f>
        <v>1778.0162089999997</v>
      </c>
      <c r="R170" s="3">
        <f>2481.3+(366.1-938)+(0+(0-0))+0-0-0</f>
        <v>1909.4</v>
      </c>
      <c r="S170" s="3">
        <f>2477.2+(365.8-829.9)+(0+(0-0))+0-0-0</f>
        <v>2013.1</v>
      </c>
      <c r="T170" s="3">
        <f>2463+(389.5-741.9)+(1.25613+(0.198645-0.378369))+0-0-0</f>
        <v>2111.676406</v>
      </c>
      <c r="U170" s="3">
        <f>2474.4+(407.8-735.3)+(-2.523888+(-0.415956--0.750006))+0-0-0</f>
        <v>2144.7101620000003</v>
      </c>
      <c r="V170" s="3">
        <f>2474.6+(443.2-807.2)+(-2.524092+(-0.452064--0.823344))+0-0-0</f>
        <v>2108.4471880000001</v>
      </c>
      <c r="W170" s="3">
        <f>2399.3+(488.3-956.1)+(-3.670929+(-0.747099--1.462833))+0-0-0</f>
        <v>1928.5448050000002</v>
      </c>
      <c r="X170" s="3">
        <f>2401.4+(410.5-998.8)+(-2.449428+(-0.41871--1.018776))+0-0-0</f>
        <v>1811.2506380000002</v>
      </c>
      <c r="Y170" s="3">
        <f>2517.3+(388.1-968.7)+(1.283823+(0.197931-0.494037))+0-0-0</f>
        <v>1937.6877170000002</v>
      </c>
      <c r="Z170" s="3">
        <f>2526.6+(537.4-1026.5)+(-1.288566+(-0.274074--0.523515))+0-0-0</f>
        <v>2036.460875</v>
      </c>
      <c r="AA170" s="3">
        <f>2530.1+(554.4-1074.8)+(-3.871053+(-0.848232--1.644444))+0-0-0</f>
        <v>2006.6251589999997</v>
      </c>
      <c r="AB170" s="3">
        <f>2387.6+(526.1-1029.6)+(0+(0-0))+0-0-0</f>
        <v>1884.1</v>
      </c>
      <c r="AC170" s="3">
        <f>2377.4+(506.7-915.5)+(-1.212474+(-0.258417--0.466905))+0-0-0</f>
        <v>1967.5960140000002</v>
      </c>
      <c r="AD170">
        <f t="shared" si="2"/>
        <v>42235.245902000002</v>
      </c>
      <c r="AE170" s="3">
        <f>2535+(529.1-1054.3)+(0+(0-0))+0-0-0</f>
        <v>2009.8000000000002</v>
      </c>
    </row>
    <row r="171" spans="1:31" s="2" customFormat="1" x14ac:dyDescent="0.25">
      <c r="A171">
        <v>89</v>
      </c>
      <c r="B171">
        <v>6</v>
      </c>
      <c r="C171">
        <v>16</v>
      </c>
      <c r="D171">
        <v>4</v>
      </c>
      <c r="E171">
        <v>1</v>
      </c>
      <c r="F171" s="3">
        <f>2115.5+(467.4-752)+(-2.15781+(-0.476748--0.76704))+0-0-0</f>
        <v>1829.0324820000001</v>
      </c>
      <c r="G171" s="3">
        <f>1848.7+(427.8-553.6)+(-4.714185+(-1.09089--1.41168))+0-0-0</f>
        <v>1718.506605</v>
      </c>
      <c r="H171" s="3">
        <f>1489.2+(472.2-368)+(0.759492+(0.240822-0.18768))+0-0-0</f>
        <v>1594.212634</v>
      </c>
      <c r="I171" s="3">
        <f>1469.8+(353.9-311.9)+(-3.74799+(-0.902445--0.795345))+0-0-0</f>
        <v>1507.9449099999999</v>
      </c>
      <c r="J171" s="3">
        <f>1470.8+(379.7-354.2)+(0.750108+(0.193647-0.180642))+0-0-0</f>
        <v>1497.0631129999999</v>
      </c>
      <c r="K171" s="3">
        <f>1470.5+(270.4-347)+(-3.749775+(-0.68952--0.88485))+0-0-0</f>
        <v>1390.3455550000001</v>
      </c>
      <c r="L171" s="3">
        <f>1469.2+(153.1-388.3)+(-3.74646+(-0.390405--0.990165))+0-0-0</f>
        <v>1230.8533</v>
      </c>
      <c r="M171" s="3">
        <f>1291.6+(248.5-300.5)+(0+(0-0))+0-0-0</f>
        <v>1239.5999999999999</v>
      </c>
      <c r="N171" s="3">
        <f>1516.9+(214.8-373.2)+(0.773619+(0.109548-0.190332))+0-0-0</f>
        <v>1359.1928350000001</v>
      </c>
      <c r="O171" s="3">
        <f>1779.8+(317.9-554.7)+(2.723094+(0.486387-0.848691))+0-0-0</f>
        <v>1545.36079</v>
      </c>
      <c r="P171" s="3">
        <f>1938.5+(307.6-635.6)+(-0.988635+(-0.156876--0.324156))+0-0-0</f>
        <v>1609.678645</v>
      </c>
      <c r="Q171" s="3">
        <f>2393.5+(312-932.1)+(1.220685+(0.15912-0.475371))+0-0-0</f>
        <v>1774.3044340000001</v>
      </c>
      <c r="R171" s="3">
        <f>2462.9+(343.8-924.3)+(1.256079+(0.175338-0.471393))+0-0-0</f>
        <v>1883.3600240000001</v>
      </c>
      <c r="S171" s="3">
        <f>2456+(374.9-825.5)+(-2.50512+(-0.382398--0.84201))+0-0-0</f>
        <v>2003.3544920000002</v>
      </c>
      <c r="T171" s="3">
        <f>2463.3+(402.4-753.9)+(0+(0-0))+0-0-0</f>
        <v>2111.8000000000002</v>
      </c>
      <c r="U171" s="3">
        <f>2461.8+(354.9-719.3)+(-1.255518+(-0.180999--0.366843))+0-0-0</f>
        <v>2096.3303260000002</v>
      </c>
      <c r="V171" s="3">
        <f>2462.9+(341.4-749.2)+(-2.512158+(-0.348228--0.764184))+0-0-0</f>
        <v>2053.0037979999997</v>
      </c>
      <c r="W171" s="3">
        <f>2463.4+(430.7-945.1)+(-1.256334+(-0.219657--0.482001))+0-0-0</f>
        <v>1948.0060100000001</v>
      </c>
      <c r="X171" s="3">
        <f>2245.6+(470.1-905.3)+(0+(0-0))+0-0-0</f>
        <v>1810.4</v>
      </c>
      <c r="Y171" s="3">
        <f>2349.9+(462.7-902.6)+(-2.396898+(-0.471954--0.920652))+0-0-0</f>
        <v>1908.0518</v>
      </c>
      <c r="Z171" s="3">
        <f>2491+(470.2-942.4)+(-3.81123+(-0.719406--1.441872))+0-0-0</f>
        <v>2015.7112359999999</v>
      </c>
      <c r="AA171" s="3">
        <f>2436.7+(476.3-971.2)+(-3.728151+(-0.728739--1.485936))+0-0-0</f>
        <v>1938.8290459999998</v>
      </c>
      <c r="AB171" s="3">
        <f>2434.1+(507.3-1031.4)+(-1.241391+(-0.258723--0.526014))+0-0-0</f>
        <v>1909.0258999999999</v>
      </c>
      <c r="AC171" s="3">
        <f>2276.5+(543.8-924.1)+(-2.32203+(-0.554676--0.942582))+0-0-0</f>
        <v>1894.2658759999997</v>
      </c>
      <c r="AD171">
        <f t="shared" si="2"/>
        <v>41868.233811000006</v>
      </c>
      <c r="AE171" s="3">
        <f>2513+(533-933.6)+(0+(0-0))+0-0-0</f>
        <v>2112.4</v>
      </c>
    </row>
    <row r="172" spans="1:31" s="2" customFormat="1" x14ac:dyDescent="0.25">
      <c r="A172">
        <v>89</v>
      </c>
      <c r="B172">
        <v>6</v>
      </c>
      <c r="C172">
        <v>17</v>
      </c>
      <c r="D172">
        <v>5</v>
      </c>
      <c r="E172">
        <v>1</v>
      </c>
      <c r="F172" s="3">
        <f>1819.9+(480.5-452.9)+(-0.928149+(-0.245055--0.230979))+0-0-0</f>
        <v>1846.557775</v>
      </c>
      <c r="G172" s="3">
        <f>1496.8+(531.5-385.3)+(-3.053472+(-1.08426--0.786012))+0-0-0</f>
        <v>1639.6482799999999</v>
      </c>
      <c r="H172" s="3">
        <f>1352.7+(453.1-316.5)+(-2.069631+(-0.693243--0.484245))+0-0-0</f>
        <v>1487.0213710000003</v>
      </c>
      <c r="I172" s="3">
        <f>1353.8+(404.8-328.8)+(-2.071314+(-0.619344--0.503064))+0-0-0</f>
        <v>1427.612406</v>
      </c>
      <c r="J172" s="3">
        <f>1354.4+(383.4-347.4)+(0.690744+(0.195534-0.177174))+0-0-0</f>
        <v>1391.1091040000001</v>
      </c>
      <c r="K172" s="3">
        <f>1355.6+(343-418.3)+(-2.074068+(-0.52479--0.639999))+0-0-0</f>
        <v>1278.3411409999999</v>
      </c>
      <c r="L172" s="3">
        <f>1353.3+(312.6-507.2)+(-0.690183+(-0.159426--0.258672))+0-0-0</f>
        <v>1158.1090630000001</v>
      </c>
      <c r="M172" s="3">
        <f>1489.7+(293.2-634.1)+(-0.759747+(-0.149532--0.323391))+0-0-0</f>
        <v>1148.2141119999999</v>
      </c>
      <c r="N172" s="3">
        <f>1869.3+(284.3-825.9)+(-2.860029+(-0.434979--1.263627))+0-0-0</f>
        <v>1325.668619</v>
      </c>
      <c r="O172" s="3">
        <f>2089.5+(370.4-917.2)+(-2.13129+(-0.377808--0.935544))+0-0-0</f>
        <v>1541.1264459999998</v>
      </c>
      <c r="P172" s="3">
        <f>2089.2+(365-894.9)+(-3.196476+(-0.55845--1.369197))+0-0-0</f>
        <v>1556.9142709999996</v>
      </c>
      <c r="Q172" s="3">
        <f>2086.9+(504.5-890.5)+(-1.064319+(-0.257295--0.454155))+0-0-0</f>
        <v>1700.032541</v>
      </c>
      <c r="R172" s="3">
        <f>2088.4+(539.2-825.6)+(-1.065084+(-0.274992--0.421056))+0-0-0</f>
        <v>1801.08098</v>
      </c>
      <c r="S172" s="3">
        <f>2204.5+(539.1-831.8)+(-2.24859+(-0.549882--0.848436))+0-0-0</f>
        <v>1909.8499640000002</v>
      </c>
      <c r="T172" s="3">
        <f>2209.5+(576.2-771.7)+(-1.126845+(-0.293862--0.393567))+0-0-0</f>
        <v>2012.9728600000001</v>
      </c>
      <c r="U172" s="3">
        <f>2208+(584.7-753.3)+(1.12608+(0.298197-0.384183))+0-0-0</f>
        <v>2040.440094</v>
      </c>
      <c r="V172" s="3">
        <f>2207.5+(571.8-804.8)+(-3.377475+(-0.874854--1.231344))+0-0-0</f>
        <v>1971.4790149999999</v>
      </c>
      <c r="W172" s="3">
        <f>2210.1+(563-908)+(-2.254302+(-0.57426--0.92616))+0-0-0</f>
        <v>1863.197598</v>
      </c>
      <c r="X172" s="3">
        <f>2192.6+(449.4-892)+(-4.472904+(-0.916776--1.81968))+0-0-0</f>
        <v>1746.43</v>
      </c>
      <c r="Y172" s="3">
        <f>2419+(467.4-989)+(-1.23369+(-0.238374--0.50439))+0-0-0</f>
        <v>1896.4323260000001</v>
      </c>
      <c r="Z172" s="3">
        <f>2510+(513.4-1048.1)+(-3.8403+(-0.785502--1.603593))+0-0-0</f>
        <v>1972.2777910000002</v>
      </c>
      <c r="AA172" s="3">
        <f>2465.8+(506.6-1078.5)+(-2.515116+(-0.516732--1.10007))+0-0-0</f>
        <v>1891.9682220000002</v>
      </c>
      <c r="AB172" s="3">
        <f>2381.9+(529.1-1097.3)+(1.214769+(0.269841-0.559623))+0-0-0</f>
        <v>1814.6249870000004</v>
      </c>
      <c r="AC172" s="3">
        <f>2309.5+(457.4-1037.5)+(-4.71138+(-0.933096--2.1165))+0-0-0</f>
        <v>1725.872024</v>
      </c>
      <c r="AD172">
        <f t="shared" si="2"/>
        <v>40146.980990000004</v>
      </c>
      <c r="AE172" s="3">
        <f>2503+(555.6-1039.7)+(0+(0-0))+0-0-0</f>
        <v>2018.9</v>
      </c>
    </row>
    <row r="173" spans="1:31" s="2" customFormat="1" x14ac:dyDescent="0.25">
      <c r="A173">
        <v>89</v>
      </c>
      <c r="B173">
        <v>6</v>
      </c>
      <c r="C173">
        <v>18</v>
      </c>
      <c r="D173">
        <v>6</v>
      </c>
      <c r="E173">
        <v>1</v>
      </c>
      <c r="F173" s="3">
        <f>2167.3+(420.2-852.3)+(0+(0-0))+0-0-0</f>
        <v>1735.2000000000003</v>
      </c>
      <c r="G173" s="3">
        <f>1879.4+(389.9-692.3)+(-1.916988+(-0.397698--0.706146))+0-0-0</f>
        <v>1575.3914600000001</v>
      </c>
      <c r="H173" s="3">
        <f>1543+(444.8-550.9)+(0+(0-0))+0-0-0</f>
        <v>1436.9</v>
      </c>
      <c r="I173" s="3">
        <f>1358.5+(430.6-422.2)+(-1.38567+(-0.439212--0.430644))+0-0-0</f>
        <v>1365.505762</v>
      </c>
      <c r="J173" s="3">
        <f>1365.5+(384.3-407.5)+(0.696405+(0.195993-0.207825))+0-0-0</f>
        <v>1342.984573</v>
      </c>
      <c r="K173" s="3">
        <f>1365.6+(337.3-455.7)+(0+(0-0))+0-0-0</f>
        <v>1247.1999999999998</v>
      </c>
      <c r="L173" s="3">
        <f>1365.8+(337.3-554.9)+(-1.393116+(-0.344046--0.565998))+0-0-0</f>
        <v>1147.028836</v>
      </c>
      <c r="M173" s="3">
        <f>1420.6+(283.8-578.7)+(0.724506+(0.144738-0.295137))+0-0-0</f>
        <v>1126.2741069999997</v>
      </c>
      <c r="N173" s="3">
        <f>2032.7+(325-990.1)+(-1.036677+(-0.16575--0.504951))+0-0-0</f>
        <v>1366.9025239999999</v>
      </c>
      <c r="O173" s="3">
        <f>2153.3+(322.6-987.4)+(0+(0-0))+0-0-0</f>
        <v>1488.5000000000002</v>
      </c>
      <c r="P173" s="3">
        <f>2192.5+(412.4-1011.7)+(1.118175+(0.210324-0.515967))+0-0-0</f>
        <v>1594.0125319999997</v>
      </c>
      <c r="Q173" s="3">
        <f>2399+(441.7-1141)+(1.22349+(0.225267-0.58191))+0-0-0</f>
        <v>1700.5668470000001</v>
      </c>
      <c r="R173" s="3">
        <f>2482.5+(450.8-1145.1)+(-2.53215+(-0.459816--1.168002))+0-0-0</f>
        <v>1786.3760360000001</v>
      </c>
      <c r="S173" s="3">
        <f>2482.2+(432.4-1057.7)+(-5.063688+(-0.882096--2.157708))+0-0-0</f>
        <v>1853.1119239999996</v>
      </c>
      <c r="T173" s="3">
        <f>2508.3+(467.9-1030.4)+(-2.558466+(-0.477258--1.051008))+0-0-0</f>
        <v>1943.8152840000002</v>
      </c>
      <c r="U173" s="3">
        <f>2445.8+(460.2-970)+(0+(0-0))+0-0-0</f>
        <v>1936.0000000000002</v>
      </c>
      <c r="V173" s="3">
        <f>2284.4+(483.1-897.6)+(-2.330088+(-0.492762--0.915552))+0-0-0</f>
        <v>1867.992702</v>
      </c>
      <c r="W173" s="3">
        <f>2285.8+(476-996.5)+(-4.663032+(-0.97104--2.03286))+0-0-0</f>
        <v>1761.6987880000001</v>
      </c>
      <c r="X173" s="3">
        <f>2289.1+(467.2-1064.2)+(2.334882+(0.476544-1.085484))+0-0-0</f>
        <v>1693.8259419999999</v>
      </c>
      <c r="Y173" s="3">
        <f>2409.2+(482.8-1029.5)+(1.228692+(0.246228-0.525045))+0-0-0</f>
        <v>1863.4498749999998</v>
      </c>
      <c r="Z173" s="3">
        <f>2659.1+(478.9-1137)+(-2.712282+(-0.488478--1.15974))+0-0-0</f>
        <v>1998.9589800000001</v>
      </c>
      <c r="AA173" s="3">
        <f>2532.5+(470-1092)+(-2.58315+(-0.4794--1.11384))+0-0-0</f>
        <v>1908.5512900000001</v>
      </c>
      <c r="AB173" s="3">
        <f>2336.2+(469.6-984.4)+(-2.382924+(-0.478992--1.004088))+0-0-0</f>
        <v>1819.5421719999999</v>
      </c>
      <c r="AC173" s="3">
        <f>2148.9+(433.5-780.6)+(0+(0-0))+0-0-0</f>
        <v>1801.8000000000002</v>
      </c>
      <c r="AD173">
        <f t="shared" si="2"/>
        <v>39361.589634000011</v>
      </c>
      <c r="AE173" s="3">
        <f>2679+(493.5-1117.5)+(0+(0-0))+0-0-0</f>
        <v>2055</v>
      </c>
    </row>
    <row r="174" spans="1:31" s="2" customFormat="1" x14ac:dyDescent="0.25">
      <c r="A174">
        <v>89</v>
      </c>
      <c r="B174">
        <v>6</v>
      </c>
      <c r="C174">
        <v>19</v>
      </c>
      <c r="D174">
        <v>7</v>
      </c>
      <c r="E174">
        <v>3</v>
      </c>
      <c r="F174" s="3">
        <f>2071.9+(366.7-698.5)+(-4.226676+(-0.748068--1.42494))+0-0-0</f>
        <v>1736.5501960000001</v>
      </c>
      <c r="G174" s="3">
        <f>1865.3+(374.6-617.4)+(-2.853909+(-0.573138--0.944622))+0-0-0</f>
        <v>1620.0175750000001</v>
      </c>
      <c r="H174" s="3">
        <f>1450.9+(419.1-378.6)+(-2.219877+(-0.641223--0.579258))+0-0-0</f>
        <v>1489.118158</v>
      </c>
      <c r="I174" s="3">
        <f>1322+(336.9-219.1)+(-0.67422+(-0.171819--0.111741))+0-0-0</f>
        <v>1439.0657019999999</v>
      </c>
      <c r="J174" s="3">
        <f>1321.5+(296.5-237.7)+(0+(0-0))+0-0-0</f>
        <v>1380.3</v>
      </c>
      <c r="K174" s="3">
        <f>1321.8+(294-279)+(0+(0-0))+0-0-0</f>
        <v>1336.8</v>
      </c>
      <c r="L174" s="3">
        <f>1323.6+(291.4-377.3)+(-4.725252+(-1.040298--1.346961))+0-0-0</f>
        <v>1233.2814109999997</v>
      </c>
      <c r="M174" s="3">
        <f>1307.8+(240.9-398.6)+(-0.666978+(-0.122859--0.203286))+0-0-0</f>
        <v>1149.5134489999998</v>
      </c>
      <c r="N174" s="3">
        <f>1291.3+(267.9-405.9)+(3.292815+(0.683145-1.035045))+0-0-0</f>
        <v>1156.2409149999999</v>
      </c>
      <c r="O174" s="3">
        <f>1388.1+(263.7-444.4)+(-0.707931+(-0.134487--0.226644))+0-0-0</f>
        <v>1206.7842259999998</v>
      </c>
      <c r="P174" s="3">
        <f>1616.6+(243-574)+(-1.648932+(-0.24786--0.58548))+0-0-0</f>
        <v>1284.2886879999999</v>
      </c>
      <c r="Q174" s="3">
        <f>1785.1+(230.1-666.1)+(-0.910401+(-0.117351--0.339711))+0-0-0</f>
        <v>1348.4119589999998</v>
      </c>
      <c r="R174" s="3">
        <f>2005.3+(219.7-805.1)+(-3.068109+(-0.336141--1.231803))+0-0-0</f>
        <v>1417.7275529999999</v>
      </c>
      <c r="S174" s="3">
        <f>2020+(275.6-824.1)+(-2.0604+(-0.281112--0.840582))+0-0-0</f>
        <v>1469.9990700000001</v>
      </c>
      <c r="T174" s="3">
        <f>2020.5+(276.5-796.8)+(-2.06091+(-0.28203--0.812736))+0-0-0</f>
        <v>1498.6697960000001</v>
      </c>
      <c r="U174" s="3">
        <f>2023.9+(235.8-771.9)+(-1.032189+(-0.120258--0.393669))+0-0-0</f>
        <v>1487.0412220000003</v>
      </c>
      <c r="V174" s="3">
        <f>2023.9+(212-793.8)+(-3.096567+(-0.32436--1.214514))+0-0-0</f>
        <v>1439.893587</v>
      </c>
      <c r="W174" s="3">
        <f>2024+(109.8-760.8)+(-6.19344+(-0.335988--2.328048))+0-0-0</f>
        <v>1368.79862</v>
      </c>
      <c r="X174" s="3">
        <f>2024.2+(191.8-869.8)+(-2.064684+(-0.195636--0.887196))+0-0-0</f>
        <v>1344.8268760000001</v>
      </c>
      <c r="Y174" s="3">
        <f>2041.2+(221-776.1)+(-2.082024+(-0.22542--0.791622))+0-0-0</f>
        <v>1484.5841779999998</v>
      </c>
      <c r="Z174" s="3">
        <f>2087.2+(217.5-661.3)+(-4.257888+(-0.4437--1.349052))+0-0-0</f>
        <v>1640.0474639999998</v>
      </c>
      <c r="AA174" s="3">
        <f>2087.6+(228.8-673.2)+(-4.258704+(-0.466752--1.373328))+0-0-0</f>
        <v>1639.8478719999998</v>
      </c>
      <c r="AB174" s="3">
        <f>2066.1+(231.4-683.7)+(-1.053711+(-0.118014--0.348687))+0-0-0</f>
        <v>1612.9769619999997</v>
      </c>
      <c r="AC174" s="3">
        <f>2042.4+(227-687.7)+(-3.124872+(-0.34731--1.052181))+0-0-0</f>
        <v>1579.2799990000001</v>
      </c>
      <c r="AD174">
        <f t="shared" si="2"/>
        <v>34364.065477999997</v>
      </c>
      <c r="AE174" s="3">
        <f>2085+(241.1-638.3)+(0+(0-0))+0-0-0</f>
        <v>1687.8000000000002</v>
      </c>
    </row>
    <row r="175" spans="1:31" s="2" customFormat="1" x14ac:dyDescent="0.25">
      <c r="A175">
        <v>89</v>
      </c>
      <c r="B175">
        <v>6</v>
      </c>
      <c r="C175">
        <v>20</v>
      </c>
      <c r="D175">
        <v>1</v>
      </c>
      <c r="E175">
        <v>1</v>
      </c>
      <c r="F175" s="3">
        <f>2030.9+(185-707.3)+(-4.143036+(-0.3774--1.442892))+0-0-0</f>
        <v>1505.5224560000001</v>
      </c>
      <c r="G175" s="3">
        <f>1878.5+(187.6-659.8)+(-2.874105+(-0.287028--1.009494))+0-0-0</f>
        <v>1404.1483610000002</v>
      </c>
      <c r="H175" s="3">
        <f>1336.5+(267.3-323.5)+(-4.08969+(-0.817938--0.98991))+0-0-0</f>
        <v>1276.382282</v>
      </c>
      <c r="I175" s="3">
        <f>1315.4+(268.7-322.9)+(-1.341708+(-0.274074--0.329358))+0-0-0</f>
        <v>1259.9135760000001</v>
      </c>
      <c r="J175" s="3">
        <f>1316.2+(287.6-373.5)+(-1.342524+(-0.293352--0.38097))+0-0-0</f>
        <v>1229.0450940000003</v>
      </c>
      <c r="K175" s="3">
        <f>1317.4+(270.5-387.9)+(0+(0-0))+0-0-0</f>
        <v>1200</v>
      </c>
      <c r="L175" s="3">
        <f>1317.8+(282.6-463.9)+(-4.704546+(-1.008882--1.656123))+0-0-0</f>
        <v>1132.442695</v>
      </c>
      <c r="M175" s="3">
        <f>1317.9+(294.9-531.7)+(-2.016387+(-0.451197--0.813501))+0-0-0</f>
        <v>1079.445917</v>
      </c>
      <c r="N175" s="3">
        <f>1397.6+(293.9-549.8)+(-2.138328+(-0.449667--0.841194))+0-0-0</f>
        <v>1139.9531989999998</v>
      </c>
      <c r="O175" s="3">
        <f>1645.7+(287.8-702.5)+(-0.839307+(-0.146778--0.358275))+0-0-0</f>
        <v>1230.37219</v>
      </c>
      <c r="P175" s="3">
        <f>1853.5+(259.2-796.7)+(-1.89057+(-0.264384--0.812634))+0-0-0</f>
        <v>1314.65768</v>
      </c>
      <c r="Q175" s="3">
        <f>2049.8+(239.5-900.7)+(-1.045398+(-0.122145--0.459357))+0-0-0</f>
        <v>1387.8918140000001</v>
      </c>
      <c r="R175" s="3">
        <f>2062.5+(259.3-903.4)+(-1.051875+(-0.132243--0.460734))+0-0-0</f>
        <v>1417.6766160000002</v>
      </c>
      <c r="S175" s="3">
        <f>2061.8+(256.2-907.5)+(-2.103036+(-0.261324--0.92565))+0-0-0</f>
        <v>1409.0612900000003</v>
      </c>
      <c r="T175" s="3">
        <f>2062.5+(280-956.1)+(1.051875+(0.1428-0.487611))+0-0-0</f>
        <v>1387.107064</v>
      </c>
      <c r="U175" s="3">
        <f>2063.7+(281.6-985.3)+(-2.104974+(-0.287232--1.005006))+0-0-0</f>
        <v>1358.6128000000001</v>
      </c>
      <c r="V175" s="3">
        <f>2063.9+(273.1-1007.7)+(0+(0-0))+0-0-0</f>
        <v>1329.3000000000002</v>
      </c>
      <c r="W175" s="3">
        <f>2043.8+(263.4-990.6)+(-5.21169+(-0.67167--2.52603))+0-0-0</f>
        <v>1313.2426699999999</v>
      </c>
      <c r="X175" s="3">
        <f>2014.3+(245.6-938.8)+(-6.163758+(-0.751536--2.872728))+0-0-0</f>
        <v>1317.0574339999998</v>
      </c>
      <c r="Y175" s="3">
        <f>2057+(275.5-870.2)+(-1.04907+(-0.140505--0.443802))+0-0-0</f>
        <v>1461.5542269999999</v>
      </c>
      <c r="Z175" s="3">
        <f>2091.4+(255-815.1)+(-2.133228+(-0.2601--0.831402))+0-0-0</f>
        <v>1529.7380740000001</v>
      </c>
      <c r="AA175" s="3">
        <f>2091.1+(261.5-864.4)+(-4.265844+(-0.53346--1.763376))+0-0-0</f>
        <v>1485.1640719999998</v>
      </c>
      <c r="AB175" s="3">
        <f>2081.6+(259.8-925.6)+(-3.184848+(-0.397494--1.416168))+0-0-0</f>
        <v>1413.633826</v>
      </c>
      <c r="AC175" s="3">
        <f>2052.8+(256.4-962.4)+(-5.23464+(-0.65382--2.45412))+0-0-0</f>
        <v>1343.3656600000002</v>
      </c>
      <c r="AD175">
        <f t="shared" si="2"/>
        <v>31925.288997</v>
      </c>
      <c r="AE175" s="3">
        <f>2095+(270.9-806.5)+(0+(0-0))+0-0-0</f>
        <v>1559.4</v>
      </c>
    </row>
    <row r="176" spans="1:31" s="2" customFormat="1" x14ac:dyDescent="0.25">
      <c r="A176">
        <v>89</v>
      </c>
      <c r="B176">
        <v>6</v>
      </c>
      <c r="C176">
        <v>21</v>
      </c>
      <c r="D176">
        <v>2</v>
      </c>
      <c r="E176">
        <v>1</v>
      </c>
      <c r="F176" s="3">
        <f>1697.2+(262-692.6)+(-2.596716+(-0.40086--1.059678))+0-0-0</f>
        <v>1264.662102</v>
      </c>
      <c r="G176" s="3">
        <f>1321.2+(235.6-419.4)+(-0.673812+(-0.120156--0.213894))+0-0-0</f>
        <v>1136.8199260000001</v>
      </c>
      <c r="H176" s="3">
        <f>1321.5+(236.4-455.4)+(-1.34793+(-0.241128--0.464508))+0-0-0</f>
        <v>1101.37545</v>
      </c>
      <c r="I176" s="3">
        <f>1322+(238.5-488.3)+(-2.02266+(-0.364905--0.747099))+0-0-0</f>
        <v>1070.559534</v>
      </c>
      <c r="J176" s="3">
        <f>1322.7+(225.8-499)+(-2.023731+(-0.345474--0.76347))+0-0-0</f>
        <v>1047.8942649999999</v>
      </c>
      <c r="K176" s="3">
        <f>1322.8+(206.6-495.1)+(0+(0-0))+0-0-0</f>
        <v>1034.3</v>
      </c>
      <c r="L176" s="3">
        <f>1321.9+(230.6-537.7)+(-3.370845+(-0.58803--1.371135))+0-0-0</f>
        <v>1012.21226</v>
      </c>
      <c r="M176" s="3">
        <f>1423.8+(252.1-634.3)+(0+(0-0))+0-0-0</f>
        <v>1041.5999999999999</v>
      </c>
      <c r="N176" s="3">
        <f>1609.5+(256.2-711.5)+(0.820845+(0.130662-0.362865))+0-0-0</f>
        <v>1154.788642</v>
      </c>
      <c r="O176" s="3">
        <f>1764.7+(136-687.2)+(-2.699991+(-0.20808--1.051416))+0-0-0</f>
        <v>1211.643345</v>
      </c>
      <c r="P176" s="3">
        <f>1907.4+(73-749.3)+(0+(0-0))+0-0-0</f>
        <v>1231.1000000000001</v>
      </c>
      <c r="Q176" s="3">
        <f>2082+(90-896.6)+(0+(0-0))+0-0-0</f>
        <v>1275.4000000000001</v>
      </c>
      <c r="R176" s="3">
        <f>2214.1+(97.7-1040.6)+(-3.387573+(-0.149481--1.592118))+0-0-0</f>
        <v>1269.2550639999999</v>
      </c>
      <c r="S176" s="3">
        <f>2369+(234.1-1342.4)+(-6.04095+(-0.596955--3.42312))+0-0-0</f>
        <v>1257.4852149999999</v>
      </c>
      <c r="T176" s="3">
        <f>2379.2+(254.3-1373.8)+(0+(0-0))+0-0-0</f>
        <v>1259.6999999999998</v>
      </c>
      <c r="U176" s="3">
        <f>2244.8+(267.5-1297.3)+(2.289696+(0.27285-1.323246))+0-0-0</f>
        <v>1216.2393000000002</v>
      </c>
      <c r="V176" s="3">
        <f>2206.5+(253.3-1232.3)+(-4.50126+(-0.516732--2.513892))+0-0-0</f>
        <v>1224.9958999999999</v>
      </c>
      <c r="W176" s="3">
        <f>2206.5+(257.6-1233.3)+(-4.50126+(-0.525504--2.515932))+0-0-0</f>
        <v>1228.2891680000002</v>
      </c>
      <c r="X176" s="3">
        <f>2204.5+(235.7-1244.1)+(-1.124295+(-0.120207--0.634491))+0-0-0</f>
        <v>1195.4899890000002</v>
      </c>
      <c r="Y176" s="3">
        <f>2228.9+(259.2-1111.1)+(-1.136739+(-0.132192--0.566661))+0-0-0</f>
        <v>1376.2977300000002</v>
      </c>
      <c r="Z176" s="3">
        <f>2324.9+(263.4-1132.1)+(-3.557097+(-0.403002--1.732113))+0-0-0</f>
        <v>1453.9720140000002</v>
      </c>
      <c r="AA176" s="3">
        <f>2374.7+(264.1-1224.3)+(-8.477679+(-0.942837--4.370751))+0-0-0</f>
        <v>1409.450235</v>
      </c>
      <c r="AB176" s="3">
        <f>2046.1+(276-981)+(-1.043511+(-0.14076--0.50031))+0-0-0</f>
        <v>1340.416039</v>
      </c>
      <c r="AC176" s="3">
        <f>2022+(285.1-1037.1)+(-2.06244+(-0.290802--1.057842))+0-0-0</f>
        <v>1268.7046</v>
      </c>
      <c r="AD176">
        <f t="shared" si="2"/>
        <v>29082.650778000007</v>
      </c>
      <c r="AE176" s="3">
        <f>2334+(302.6-1134.7)+(0+(0-0))+0-0-0</f>
        <v>1501.9</v>
      </c>
    </row>
    <row r="177" spans="1:31" s="2" customFormat="1" x14ac:dyDescent="0.25">
      <c r="A177">
        <v>89</v>
      </c>
      <c r="B177">
        <v>6</v>
      </c>
      <c r="C177">
        <v>22</v>
      </c>
      <c r="D177">
        <v>3</v>
      </c>
      <c r="E177">
        <v>1</v>
      </c>
      <c r="F177" s="3">
        <f>1818.2+(231.4-911.4)+(-3.709128+(-0.472056--1.859256))+0-0-0</f>
        <v>1135.878072</v>
      </c>
      <c r="G177" s="3">
        <f>1380.8+(259.2-587.4)+(-0.704208+(-0.132192--0.299574))+0-0-0</f>
        <v>1052.0631739999999</v>
      </c>
      <c r="H177" s="3">
        <f>1329.3+(219.9-540.2)+(-1.355886+(-0.224298--0.551004))+0-0-0</f>
        <v>1007.9708199999999</v>
      </c>
      <c r="I177" s="3">
        <f>1329.9+(234.7-589)+(-2.034747+(-0.359091--0.90117))+0-0-0</f>
        <v>974.10733200000016</v>
      </c>
      <c r="J177" s="3">
        <f>1331.1+(212.3-583.5)+(-1.357722+(-0.216546--0.59517))+0-0-0</f>
        <v>958.92090199999984</v>
      </c>
      <c r="K177" s="3">
        <f>1331+(236.1-609.6)+(2.71524+(0.481644-1.243584))+0-0-0</f>
        <v>959.45330000000001</v>
      </c>
      <c r="L177" s="3">
        <f>1332.5+(254.8-650)+(-2.7183+(-0.519792--1.326))+0-0-0</f>
        <v>935.38790799999992</v>
      </c>
      <c r="M177" s="3">
        <f>1333.4+(267-661.2)+(2.040102+(0.40851-1.011636))+0-0-0</f>
        <v>940.636976</v>
      </c>
      <c r="N177" s="3">
        <f>1593+(294.4-814.1)+(-0.81243+(-0.150144--0.415191))+0-0-0</f>
        <v>1072.7526169999999</v>
      </c>
      <c r="O177" s="3">
        <f>1749.5+(353.1-878.2)+(0.892245+(0.180081-0.447882))+0-0-0</f>
        <v>1225.0244440000001</v>
      </c>
      <c r="P177" s="3">
        <f>1682.6+(380.5-851.6)+(1.716252+(0.38811-0.868632))+0-0-0</f>
        <v>1212.7357300000001</v>
      </c>
      <c r="Q177" s="3">
        <f>1843.1+(443.5-1001.6)+(-0.939981+(-0.226185--0.510816))+0-0-0</f>
        <v>1284.34465</v>
      </c>
      <c r="R177" s="3">
        <f>1929.8+(474.4-1076.4)+(0+(0-0))+0-0-0</f>
        <v>1327.7999999999997</v>
      </c>
      <c r="S177" s="3">
        <f>2007+(466.3-1142.6)+(-2.04714+(-0.475626--1.165452))+0-0-0</f>
        <v>1329.342686</v>
      </c>
      <c r="T177" s="3">
        <f>2141.1+(375-1194.5)+(0+(0-0))+0-0-0</f>
        <v>1321.6</v>
      </c>
      <c r="U177" s="3">
        <f>2270.3+(345.3-1286.6)+(0+(0-0))+0-0-0</f>
        <v>1329.0000000000002</v>
      </c>
      <c r="V177" s="3">
        <f>2269.5+(417.7-1343.4)+(-5.787225+(-1.065135--3.42567))+0-0-0</f>
        <v>1340.3733099999999</v>
      </c>
      <c r="W177" s="3">
        <f>2157.8+(420.8-1250.1)+(-6.602868+(-1.287648--3.825306))+0-0-0</f>
        <v>1324.4347900000002</v>
      </c>
      <c r="X177" s="3">
        <f>2157.5+(236.4-1110.2)+(-3.300975+(-0.361692--1.698606))+0-0-0</f>
        <v>1281.7359389999999</v>
      </c>
      <c r="Y177" s="3">
        <f>2220.2+(307.3-1103.2)+(-2.264604+(-0.313446--1.125264))+0-0-0</f>
        <v>1422.8472139999997</v>
      </c>
      <c r="Z177" s="3">
        <f>2354.1+(349.2-1181.4)+(-3.601773+(-0.534276--1.807542))+0-0-0</f>
        <v>1519.5714929999999</v>
      </c>
      <c r="AA177" s="3">
        <f>2245.1+(343.2-1120.2)+(-3.435003+(-0.525096--1.713906))+0-0-0</f>
        <v>1465.853807</v>
      </c>
      <c r="AB177" s="3">
        <f>2086.9+(332.8-1031.4)+(-4.257276+(-0.678912--2.104056))+0-0-0</f>
        <v>1385.467868</v>
      </c>
      <c r="AC177" s="3">
        <f>2064.7+(344.4-1103.4)+(-2.105994+(-0.351288--1.125468))+0-0-0</f>
        <v>1304.3681859999999</v>
      </c>
      <c r="AD177">
        <f t="shared" si="2"/>
        <v>29111.671217999996</v>
      </c>
      <c r="AE177" s="3">
        <f>2365+(358.9-1171.4)+(0+(0-0))+0-0-0</f>
        <v>1552.5</v>
      </c>
    </row>
    <row r="178" spans="1:31" s="2" customFormat="1" x14ac:dyDescent="0.25">
      <c r="A178">
        <v>89</v>
      </c>
      <c r="B178">
        <v>6</v>
      </c>
      <c r="C178">
        <v>23</v>
      </c>
      <c r="D178">
        <v>4</v>
      </c>
      <c r="E178">
        <v>1</v>
      </c>
      <c r="F178" s="3">
        <f>1832+(250.7-890)+(-2.80296+(-0.383571--1.3617))+0-0-0</f>
        <v>1190.8751690000001</v>
      </c>
      <c r="G178" s="3">
        <f>1494.4+(255.6-655.3)+(-2.286432+(-0.391068--1.002609))+0-0-0</f>
        <v>1093.0251090000004</v>
      </c>
      <c r="H178" s="3">
        <f>1334.6+(259.6-559.3)+(-0.680646+(-0.132396--0.285243))+0-0-0</f>
        <v>1034.3722010000001</v>
      </c>
      <c r="I178" s="3">
        <f>1335.9+(231.6-568.7)+(-2.043927+(-0.354348--0.870111))+0-0-0</f>
        <v>997.27183600000012</v>
      </c>
      <c r="J178" s="3">
        <f>1334.6+(223.8-572.8)+(-3.40323+(-0.57069--1.46064))+0-0-0</f>
        <v>983.0867199999999</v>
      </c>
      <c r="K178" s="3">
        <f>1335+(123.8-479.9)+(-0.68085+(-0.063138--0.244749))+0-0-0</f>
        <v>978.4007610000001</v>
      </c>
      <c r="L178" s="3">
        <f>1336+(88.7-464.2)+(-2.72544+(-0.180948--0.946968))+0-0-0</f>
        <v>958.54057999999998</v>
      </c>
      <c r="M178" s="3">
        <f>1436.1+(81.7-533)+(0+(0-0))+0-0-0</f>
        <v>984.8</v>
      </c>
      <c r="N178" s="3">
        <f>1607+(72.3-569.3)+(-1.63914+(-0.073746--0.580686))+0-0-0</f>
        <v>1108.8678</v>
      </c>
      <c r="O178" s="3">
        <f>1897.7+(65.2-736.2)+(-2.903481+(-0.099756--1.126386))+0-0-0</f>
        <v>1224.8231490000001</v>
      </c>
      <c r="P178" s="3">
        <f>2063.9+(72.2-814.1)+(-1.052589+(-0.036822--0.415191))+0-0-0</f>
        <v>1321.3257799999999</v>
      </c>
      <c r="Q178" s="3">
        <f>2093.1+(81.6-798.1)+(-2.134962+(-0.083232--0.814062))+0-0-0</f>
        <v>1375.195868</v>
      </c>
      <c r="R178" s="3">
        <f>2246.3+(79.4-917.4)+(-5.728065+(-0.20247--2.33937))+0-0-0</f>
        <v>1404.7088350000001</v>
      </c>
      <c r="S178" s="3">
        <f>2504.4+(73-1186.1)+(-5.108976+(-0.14892--2.419644))+0-0-0</f>
        <v>1388.4617480000002</v>
      </c>
      <c r="T178" s="3">
        <f>2503.1+(73-1254.4)+(-1.276581+(-0.03723--0.639744))+0-0-0</f>
        <v>1321.0259329999999</v>
      </c>
      <c r="U178" s="3">
        <f>2590.1+(74.3-1304.3)+(-5.283804+(-0.151572--2.660772))+0-0-0</f>
        <v>1357.325396</v>
      </c>
      <c r="V178" s="3">
        <f>2597.4+(82.4-1310.5)+(-2.649348+(-0.084048--1.33671))+0-0-0</f>
        <v>1367.9033140000001</v>
      </c>
      <c r="W178" s="3">
        <f>2498.2+(92-1232.9)+(-2.548164+(-0.09384--1.257558))+0-0-0</f>
        <v>1355.9155539999997</v>
      </c>
      <c r="X178" s="3">
        <f>2322.9+(87.8-1059.3)+(-2.369358+(-0.089556--1.080486))+0-0-0</f>
        <v>1350.0215720000001</v>
      </c>
      <c r="Y178" s="3">
        <f>2374.2+(99.8-973.6)+(-3.632526+(-0.152694--1.489608))+0-0-0</f>
        <v>1498.1043879999997</v>
      </c>
      <c r="Z178" s="3">
        <f>2638.5+(213.2-1274.5)+(-4.036905+(-0.326196--1.949985))+0-0-0</f>
        <v>1574.7868840000001</v>
      </c>
      <c r="AA178" s="3">
        <f>2536.8+(203.2-1206.7)+(-6.46884+(-0.51816--3.077085))+0-0-0</f>
        <v>1529.3900850000002</v>
      </c>
      <c r="AB178" s="3">
        <f>2339.2+(190.1-1067.9)+(-2.385984+(-0.193902--1.089258))+0-0-0</f>
        <v>1459.9093719999996</v>
      </c>
      <c r="AC178" s="3">
        <f>2093.5+(174.2-885.3)+(-2.13537+(-0.177684--0.903006))+0-0-0</f>
        <v>1380.9899520000001</v>
      </c>
      <c r="AD178">
        <f t="shared" si="2"/>
        <v>30239.128005999999</v>
      </c>
      <c r="AE178" s="3">
        <f>2631+(241.8-1275.5)+(0+(0-0))+0-0-0</f>
        <v>1597.3</v>
      </c>
    </row>
    <row r="179" spans="1:31" s="2" customFormat="1" x14ac:dyDescent="0.25">
      <c r="A179">
        <v>89</v>
      </c>
      <c r="B179">
        <v>6</v>
      </c>
      <c r="C179">
        <v>24</v>
      </c>
      <c r="D179">
        <v>5</v>
      </c>
      <c r="E179">
        <v>1</v>
      </c>
      <c r="F179" s="3">
        <f>1804+(158-686.8)+(-1.84008+(-0.16116--0.700536))+0-0-0</f>
        <v>1273.899296</v>
      </c>
      <c r="G179" s="3">
        <f>1328.4+(222.5-381.8)+(-0.677484+(-0.113475--0.194718))+0-0-0</f>
        <v>1168.5037590000002</v>
      </c>
      <c r="H179" s="3">
        <f>1320.2+(165.1-361.8)+(2.019906+(0.252603-0.553554))+0-0-0</f>
        <v>1125.2189550000001</v>
      </c>
      <c r="I179" s="3">
        <f>1320.6+(134.2-371.1)+(0+(0-0))+0-0-0</f>
        <v>1083.6999999999998</v>
      </c>
      <c r="J179" s="3">
        <f>1321.2+(122.1-380.1)+(-1.347624+(-0.124542--0.387702))+0-0-0</f>
        <v>1062.115536</v>
      </c>
      <c r="K179" s="3">
        <f>1323.4+(119.5-393.2)+(0+(0-0))+0-0-0</f>
        <v>1049.7</v>
      </c>
      <c r="L179" s="3">
        <f>1327+(104.3-389.8)+(-2.03031+(-0.159579--0.596394))+0-0-0</f>
        <v>1039.9065049999999</v>
      </c>
      <c r="M179" s="3">
        <f>1351.2+(98.4-402.5)+(-1.378224+(-0.100368--0.41055))+0-0-0</f>
        <v>1046.0319579999998</v>
      </c>
      <c r="N179" s="3">
        <f>1607.8+(95.1-567.1)+(0.819978+(0.048501-0.289221))+0-0-0</f>
        <v>1136.3792579999999</v>
      </c>
      <c r="O179" s="3">
        <f>1807.5+(88.5-687.8)+(-0.921825+(-0.045135--0.350778))+0-0-0</f>
        <v>1207.5838180000001</v>
      </c>
      <c r="P179" s="3">
        <f>2025+(76.9-836.4)+(0+(0-0))+0-0-0</f>
        <v>1265.5</v>
      </c>
      <c r="Q179" s="3">
        <f>2039.8+(94.2-844.4)+(1.040298+(0.048042-0.430644))+0-0-0</f>
        <v>1290.2576959999999</v>
      </c>
      <c r="R179" s="3">
        <f>2073.1+(96.1-849.7)+(-1.057281+(-0.049011--0.433347))+0-0-0</f>
        <v>1318.827055</v>
      </c>
      <c r="S179" s="3">
        <f>2076+(92.2-885.8)+(-1.05876+(-0.047022--0.451758))+0-0-0</f>
        <v>1281.7459760000002</v>
      </c>
      <c r="T179" s="3">
        <f>2076.2+(101.5-931.3)+(-3.176586+(-0.155295--1.424889))+0-0-0</f>
        <v>1244.4930079999999</v>
      </c>
      <c r="U179" s="3">
        <f>2077+(103.6-947.8)+(2.11854+(0.105672-0.966756))+0-0-0</f>
        <v>1234.0574560000002</v>
      </c>
      <c r="V179" s="3">
        <f>2010.3+(97.3-921.8)+(0+(0-0))+0-0-0</f>
        <v>1185.8</v>
      </c>
      <c r="W179" s="3">
        <f>1988.5+(99.6-915.9)+(-4.05654+(-0.203184--1.868436))+0-0-0</f>
        <v>1169.808712</v>
      </c>
      <c r="X179" s="3">
        <f>2007.5+(101-914.2)+(1.023825+(0.05151-0.466242))+0-0-0</f>
        <v>1194.909093</v>
      </c>
      <c r="Y179" s="3">
        <f>2035.1+(131.7-821.6)+(-1.037901+(-0.067167--0.419016))+0-0-0</f>
        <v>1344.5139479999998</v>
      </c>
      <c r="Z179" s="3">
        <f>1618.6+(331.1-577.2)+(-4.12743+(-0.844305--1.47186))+0-0-0</f>
        <v>1369.000125</v>
      </c>
      <c r="AA179" s="3">
        <f>1590.4+(445.5-713)+(-4.05552+(-1.136025--1.81815))+0-0-0</f>
        <v>1319.526605</v>
      </c>
      <c r="AB179" s="3">
        <f>1478.9+(504.5-728.3)+(-3.016956+(-1.02918--1.485732))+0-0-0</f>
        <v>1252.5395960000001</v>
      </c>
      <c r="AC179" s="3">
        <f>1340.9+(499.7-668.7)+(-0.683859+(-0.254847--0.341037))+0-0-0</f>
        <v>1171.3023310000001</v>
      </c>
      <c r="AD179">
        <f t="shared" si="2"/>
        <v>28835.320685999992</v>
      </c>
      <c r="AE179" s="3">
        <f>1744+(376.5-694.3)+(0+(0-0))+0-0-0</f>
        <v>1426.2</v>
      </c>
    </row>
    <row r="180" spans="1:31" s="2" customFormat="1" x14ac:dyDescent="0.25">
      <c r="A180">
        <v>89</v>
      </c>
      <c r="B180">
        <v>6</v>
      </c>
      <c r="C180">
        <v>25</v>
      </c>
      <c r="D180">
        <v>6</v>
      </c>
      <c r="E180">
        <v>1</v>
      </c>
      <c r="F180" s="3">
        <f>1121.2+(413-451.5)+(-2.85906+(-1.05315--1.151325))+0-0-0</f>
        <v>1079.9391150000001</v>
      </c>
      <c r="G180" s="3">
        <f>995.8+(337.2-330.7)+(-2.031432+(-0.687888--0.674628))+0-0-0</f>
        <v>1000.2553079999999</v>
      </c>
      <c r="H180" s="3">
        <f>862.6+(368.5-274.1)+(0.439926+(0.187935-0.139791))+0-0-0</f>
        <v>957.48806999999999</v>
      </c>
      <c r="I180" s="3">
        <f>862.7+(357.4-285.1)+(-2.639862+(-1.093644--0.872406))+0-0-0</f>
        <v>932.13890000000004</v>
      </c>
      <c r="J180" s="3">
        <f>886.8+(325.3-295.5)+(0.452268+(0.165903-0.150705))+0-0-0</f>
        <v>917.06746599999985</v>
      </c>
      <c r="K180" s="3">
        <f>966.9+(301.4-339.2)+(0+(0-0))+0-0-0</f>
        <v>929.09999999999991</v>
      </c>
      <c r="L180" s="3">
        <f>1061.1+(291.2-411.8)+(-2.705805+(-0.74256--1.05009))+0-0-0</f>
        <v>938.10172499999987</v>
      </c>
      <c r="M180" s="3">
        <f>1075.8+(299-438.1)+(0.548658+(0.15249-0.223431))+0-0-0</f>
        <v>937.17771699999992</v>
      </c>
      <c r="N180" s="3">
        <f>1245.6+(292.5-501.8)+(-1.270512+(-0.29835--0.511836))+0-0-0</f>
        <v>1035.242974</v>
      </c>
      <c r="O180" s="3">
        <f>1457.9+(315.5-654.2)+(-0.743529+(-0.160905--0.333642))+0-0-0</f>
        <v>1118.6292080000001</v>
      </c>
      <c r="P180" s="3">
        <f>1654.1+(310.4-755.1)+(-2.530773+(-0.474912--1.155303))+0-0-0</f>
        <v>1207.5496179999998</v>
      </c>
      <c r="Q180" s="3">
        <f>1721.3+(320.2-813.6)+(-4.389315+(-0.81651--2.07468))+0-0-0</f>
        <v>1224.7688549999998</v>
      </c>
      <c r="R180" s="3">
        <f>1838.4+(325.7-932.6)+(-10.313424+(-1.827177--5.231886))+0-0-0</f>
        <v>1224.591285</v>
      </c>
      <c r="S180" s="3">
        <f>2006.3+(294.4-1103.5)+(-2.046426+(-0.300288--1.12557))+0-0-0</f>
        <v>1195.9788559999997</v>
      </c>
      <c r="T180" s="3">
        <f>2065.9+(311.2-1209.1)+(-2.107218+(-0.317424--1.233282))+0-0-0</f>
        <v>1166.8086400000002</v>
      </c>
      <c r="U180" s="3">
        <f>2091.4+(287.8-1227.7)+(-1.066614+(-0.146778--0.626127))+0-0-0</f>
        <v>1150.9127350000001</v>
      </c>
      <c r="V180" s="3">
        <f>1960.7+(272.5-1082.5)+(-1.999914+(-0.27795--1.10415))+0-0-0</f>
        <v>1149.526286</v>
      </c>
      <c r="W180" s="3">
        <f>1961+(271.7-1082.7)+(-5.00055+(-0.692835--2.760885))+0-0-0</f>
        <v>1147.0675000000001</v>
      </c>
      <c r="X180" s="3">
        <f>1929.3+(257.4-1043.5)+(-0.983943+(-0.131274--0.532185))+0-0-0</f>
        <v>1142.6169679999998</v>
      </c>
      <c r="Y180" s="3">
        <f>2033.1+(300.9-1006.8)+(0+(0-0))+0-0-0</f>
        <v>1327.1999999999998</v>
      </c>
      <c r="Z180" s="3">
        <f>2102.1+(275.7-994)+(-1.072071+(-0.140607--0.50694))+0-0-0</f>
        <v>1383.0942619999998</v>
      </c>
      <c r="AA180" s="3">
        <f>2016.9+(285.8-977.1)+(-3.085857+(-0.437274--1.494963))+0-0-0</f>
        <v>1323.5718320000001</v>
      </c>
      <c r="AB180" s="3">
        <f>2017.3+(311.6-1071.4)+(-4.115292+(-0.635664--2.185656))+0-0-0</f>
        <v>1254.9347</v>
      </c>
      <c r="AC180" s="3">
        <f>1941.3+(362.1-1110.6)+(-2.970189+(-0.554013--1.699218))+0-0-0</f>
        <v>1190.9750160000001</v>
      </c>
      <c r="AD180">
        <f t="shared" si="2"/>
        <v>26934.737036000002</v>
      </c>
      <c r="AE180" s="3">
        <f>2112+(286.6-972.5)+(0+(0-0))+0-0-0</f>
        <v>1426.1</v>
      </c>
    </row>
    <row r="181" spans="1:31" s="2" customFormat="1" x14ac:dyDescent="0.25">
      <c r="A181">
        <v>89</v>
      </c>
      <c r="B181">
        <v>6</v>
      </c>
      <c r="C181">
        <v>26</v>
      </c>
      <c r="D181">
        <v>7</v>
      </c>
      <c r="E181">
        <v>1</v>
      </c>
      <c r="F181" s="3">
        <f>1368+(288.6-619.4)+(-2.79072+(-0.588744--1.263576))+0-0-0</f>
        <v>1035.084112</v>
      </c>
      <c r="G181" s="3">
        <f>1134.7+(337.9-475.5)+(-2.893485+(-0.861645--1.212525))+0-0-0</f>
        <v>994.55739500000004</v>
      </c>
      <c r="H181" s="3">
        <f>1082.2+(306.4-446.5)+(0.551922+(0.156264-0.227715))+0-0-0</f>
        <v>942.58047099999999</v>
      </c>
      <c r="I181" s="3">
        <f>1083.1+(293-465.7)+(0.552381+(0.14943-0.237507))+0-0-0</f>
        <v>910.86430399999983</v>
      </c>
      <c r="J181" s="3">
        <f>1073+(282.5-468.5)+(0+(0-0))+0-0-0</f>
        <v>887</v>
      </c>
      <c r="K181" s="3">
        <f>1062.1+(231.8-415.3)+(0.541671+(0.118218-0.211803))+0-0-0</f>
        <v>879.0480859999999</v>
      </c>
      <c r="L181" s="3">
        <f>1049+(238.1-443.6)+(-2.67495+(-0.607155--1.13118))+0-0-0</f>
        <v>841.34907499999997</v>
      </c>
      <c r="M181" s="3">
        <f>1055.3+(258.8-498)+(-1.614609+(-0.395964--0.76194))+0-0-0</f>
        <v>814.85136699999987</v>
      </c>
      <c r="N181" s="3">
        <f>1079.1+(251.8-472.5)+(0+(0-0))+0-0-0</f>
        <v>858.39999999999986</v>
      </c>
      <c r="O181" s="3">
        <f>1077.5+(293.2-443.6)+(-0.549525+(-0.149532--0.226236))+0-0-0</f>
        <v>926.62717899999996</v>
      </c>
      <c r="P181" s="3">
        <f>1073.6+(316-400.7)+(-1.095072+(-0.32232--0.408714))+0-0-0</f>
        <v>987.89132199999983</v>
      </c>
      <c r="Q181" s="3">
        <f>1071.8+(360-407.7)+(-1.639854+(-0.5508--0.623781))+0-0-0</f>
        <v>1022.5331269999999</v>
      </c>
      <c r="R181" s="3">
        <f>1069.9+(409.6-450.8)+(0+(0-0))+0-0-0</f>
        <v>1028.7</v>
      </c>
      <c r="S181" s="3">
        <f>1069.3+(445.2-502.3)+(-1.090686+(-0.454104--0.512346))+0-0-0</f>
        <v>1011.1675559999999</v>
      </c>
      <c r="T181" s="3">
        <f>1068.8+(440.2-509.2)+(-2.180352+(-0.898008--1.038768))+0-0-0</f>
        <v>997.76040799999998</v>
      </c>
      <c r="U181" s="3">
        <f>1069+(464.7-534)+(-1.09038+(-0.473994--0.54468))+0-0-0</f>
        <v>998.68030600000009</v>
      </c>
      <c r="V181" s="3">
        <f>1069.1+(458.4-510)+(-1.090482+(-0.467568--0.5202))+0-0-0</f>
        <v>1016.4621499999998</v>
      </c>
      <c r="W181" s="3">
        <f>1069.7+(383.9-443.3)+(-0.545547+(-0.195789--0.226083))+0-0-0</f>
        <v>1009.7847469999999</v>
      </c>
      <c r="X181" s="3">
        <f>1073.8+(346-391.1)+(-1.642914+(-0.52938--0.598383))+0-0-0</f>
        <v>1027.1260889999999</v>
      </c>
      <c r="Y181" s="3">
        <f>1497.9+(310.8-564.7)+(-2.291787+(-0.475524--0.863991))+0-0-0</f>
        <v>1242.0966800000001</v>
      </c>
      <c r="Z181" s="3">
        <f>1681.4+(308.3-680.1)+(0+(0-0))+0-0-0</f>
        <v>1309.6000000000001</v>
      </c>
      <c r="AA181" s="3">
        <f>1682.4+(302.5-704.7)+(-6.006168+(-1.079925--2.515779))+0-0-0</f>
        <v>1275.629686</v>
      </c>
      <c r="AB181" s="3">
        <f>1684+(321.3-794.1)+(-3.43536+(-0.655452--1.619964))+0-0-0</f>
        <v>1208.7291520000001</v>
      </c>
      <c r="AC181" s="3">
        <f>1673.3+(252.3-780)+(-1.706766+(-0.257346--0.7956))+0-0-0</f>
        <v>1144.4314879999999</v>
      </c>
      <c r="AD181">
        <f t="shared" si="2"/>
        <v>24370.954699999998</v>
      </c>
      <c r="AE181" s="3">
        <f>1683+(315-667)+(0+(0-0))+0-0-0</f>
        <v>1331</v>
      </c>
    </row>
    <row r="182" spans="1:31" s="2" customFormat="1" x14ac:dyDescent="0.25">
      <c r="A182">
        <v>89</v>
      </c>
      <c r="B182">
        <v>6</v>
      </c>
      <c r="C182">
        <v>27</v>
      </c>
      <c r="D182">
        <v>1</v>
      </c>
      <c r="E182">
        <v>1</v>
      </c>
      <c r="F182" s="3">
        <f>1428.5+(257.3-641.3)+(-2.185605+(-0.393669--0.981189))+0-0-0</f>
        <v>1042.9019149999999</v>
      </c>
      <c r="G182" s="3">
        <f>1145.1+(253.8-446.7)+(-2.336004+(-0.517752--0.911268))+0-0-0</f>
        <v>950.25751199999991</v>
      </c>
      <c r="H182" s="3">
        <f>1107.3+(256.8-450.7)+(-2.258892+(-0.523872--0.919428))+0-0-0</f>
        <v>911.53666399999997</v>
      </c>
      <c r="I182" s="3">
        <f>1107.4+(250.2-467.8)+(-0.564774+(-0.127602--0.238578))+0-0-0</f>
        <v>889.34620200000006</v>
      </c>
      <c r="J182" s="3">
        <f>1110.5+(229.3-460.3)+(0.566355+(0.116943-0.234753))+0-0-0</f>
        <v>879.94854499999997</v>
      </c>
      <c r="K182" s="3">
        <f>1112+(241.5-464.4)+(0.56712+(0.123165-0.236844))+0-0-0</f>
        <v>889.55344100000002</v>
      </c>
      <c r="L182" s="3">
        <f>1118.2+(248.2-479.8)+(-2.85141+(-0.63291--1.22349))+0-0-0</f>
        <v>884.33916999999997</v>
      </c>
      <c r="M182" s="3">
        <f>1178.3+(261.5-527.2)+(-2.403732+(-0.53346--1.075488))+0-0-0</f>
        <v>910.73829599999988</v>
      </c>
      <c r="N182" s="3">
        <f>1427.7+(272.5-669.1)+(0+(0-0))+0-0-0</f>
        <v>1031.0999999999999</v>
      </c>
      <c r="O182" s="3">
        <f>1658.9+(315.2-843.4)+(0+(0-0))+0-0-0</f>
        <v>1130.7</v>
      </c>
      <c r="P182" s="3">
        <f>1658.3+(322.7-783.8)+(-0.845733+(-0.164577--0.399738))+0-0-0</f>
        <v>1196.589428</v>
      </c>
      <c r="Q182" s="3">
        <f>1657.4+(335.9-756.3)+(-3.381096+(-0.685236--1.542852))+0-0-0</f>
        <v>1234.4765199999999</v>
      </c>
      <c r="R182" s="3">
        <f>1655.2+(422.4-834.5)+(-1.688304+(-0.430848--0.85119))+0-0-0</f>
        <v>1241.832038</v>
      </c>
      <c r="S182" s="3">
        <f>1654.9+(448.9-862)+(-5.063994+(-1.373634--2.63772))+0-0-0</f>
        <v>1238.0000920000002</v>
      </c>
      <c r="T182" s="3">
        <f>1652.2+(473.6-899.6)+(-1.685244+(-0.483072--0.917592))+0-0-0</f>
        <v>1224.9492760000001</v>
      </c>
      <c r="U182" s="3">
        <f>1651+(469.3-895.5)+(-2.52603+(-0.718029--1.370115))+0-0-0</f>
        <v>1222.926056</v>
      </c>
      <c r="V182" s="3">
        <f>1651.1+(471.6-884.2)+(-1.684122+(-0.481032--0.901884))+0-0-0</f>
        <v>1237.2367300000001</v>
      </c>
      <c r="W182" s="3">
        <f>1652.7+(448.1-866.9)+(-3.371508+(-0.914124--1.768476))+0-0-0</f>
        <v>1231.3828440000002</v>
      </c>
      <c r="X182" s="3">
        <f>1652.1+(385.6-825.2)+(-2.527713+(-0.589968--1.262556))+0-0-0</f>
        <v>1210.644875</v>
      </c>
      <c r="Y182" s="3">
        <f>1665.9+(356.4-646.8)+(-0.849609+(-0.181764--0.329868))+0-0-0</f>
        <v>1374.798495</v>
      </c>
      <c r="Z182" s="3">
        <f>1678.4+(404.8-661.6)+(-3.423936+(-0.825792--1.349664))+0-0-0</f>
        <v>1418.6999360000002</v>
      </c>
      <c r="AA182" s="3">
        <f>1674.2+(385.5-702)+(0.853842+(0.196605-0.35802))+0-0-0</f>
        <v>1358.392427</v>
      </c>
      <c r="AB182" s="3">
        <f>1677.5+(296.4-684.3)+(-3.4221+(-0.604656--1.395972))+0-0-0</f>
        <v>1286.969216</v>
      </c>
      <c r="AC182" s="3">
        <f>1647.1+(291.8-728.6)+(-3.360084+(-0.595272--1.486344))+0-0-0</f>
        <v>1207.8309879999999</v>
      </c>
      <c r="AD182">
        <f t="shared" si="2"/>
        <v>27205.150665999998</v>
      </c>
      <c r="AE182" s="3">
        <f>1681+(436.3-664.4)+(0+(0-0))+0-0-0</f>
        <v>1452.9</v>
      </c>
    </row>
    <row r="183" spans="1:31" s="2" customFormat="1" x14ac:dyDescent="0.25">
      <c r="A183">
        <v>89</v>
      </c>
      <c r="B183">
        <v>6</v>
      </c>
      <c r="C183">
        <v>28</v>
      </c>
      <c r="D183">
        <v>2</v>
      </c>
      <c r="E183">
        <v>1</v>
      </c>
      <c r="F183" s="3">
        <f>1404.8+(226.7-536.9)+(0+(0-0))+0-0-0</f>
        <v>1094.5999999999999</v>
      </c>
      <c r="G183" s="3">
        <f>1159.3+(282.9-437.1)+(-0.591243+(-0.144279--0.222921))+0-0-0</f>
        <v>1004.5873989999999</v>
      </c>
      <c r="H183" s="3">
        <f>1107.1+(284.6-435)+(-0.564621+(-0.145146--0.22185))+0-0-0</f>
        <v>956.21208299999989</v>
      </c>
      <c r="I183" s="3">
        <f>1107.1+(262.7-436.5)+(-1.129242+(-0.267954--0.44523))+0-0-0</f>
        <v>932.34803399999998</v>
      </c>
      <c r="J183" s="3">
        <f>1107.4+(244.9-428.9)+(-0.564774+(-0.124899--0.218739))+0-0-0</f>
        <v>922.92906600000003</v>
      </c>
      <c r="K183" s="3">
        <f>1107.3+(235.9-415.9)+(-1.129446+(-0.240618--0.424218))+0-0-0</f>
        <v>926.35415399999999</v>
      </c>
      <c r="L183" s="3">
        <f>1107.2+(257.2-435.7)+(-2.82336+(-0.65586--1.111035))+0-0-0</f>
        <v>926.33181500000001</v>
      </c>
      <c r="M183" s="3">
        <f>1116.9+(261.3-432.3)+(0+(0-0))+0-0-0</f>
        <v>945.90000000000009</v>
      </c>
      <c r="N183" s="3">
        <f>1233.6+(340.3-504.7)+(-1.258272+(-0.347106--0.514794))+0-0-0</f>
        <v>1068.1094159999998</v>
      </c>
      <c r="O183" s="3">
        <f>1319.9+(399-593.6)+(-3.365745+(-1.01745--1.51368))+0-0-0</f>
        <v>1122.4304850000001</v>
      </c>
      <c r="P183" s="3">
        <f>1558.4+(429-751)+(0+(0-0))+0-0-0</f>
        <v>1236.4000000000001</v>
      </c>
      <c r="Q183" s="3">
        <f>1650.7+(430.9-785.9)+(-2.525571+(-0.659277--1.202427))+0-0-0</f>
        <v>1293.7175790000001</v>
      </c>
      <c r="R183" s="3">
        <f>1648.9+(428.7-762.6)+(-2.522817+(-0.655911--1.166778))+0-0-0</f>
        <v>1312.9880499999999</v>
      </c>
      <c r="S183" s="3">
        <f>1649.5+(412.4-781.9)+(-3.36498+(-0.841296--1.595076))+0-0-0</f>
        <v>1277.3887999999999</v>
      </c>
      <c r="T183" s="3">
        <f>1695.6+(415.4-864)+(0.864756+(0.211854-0.44064))+0-0-0</f>
        <v>1247.63597</v>
      </c>
      <c r="U183" s="3">
        <f>1783+(402.6-960.9)+(-1.81866+(-0.410652--0.980118))+0-0-0</f>
        <v>1223.4508060000001</v>
      </c>
      <c r="V183" s="3">
        <f>1786.9+(413.9-969.7)+(-4.556595+(-1.055445--2.472735))+0-0-0</f>
        <v>1227.960695</v>
      </c>
      <c r="W183" s="3">
        <f>1789.5+(327.7-889.2)+(-3.65058+(-0.668508--1.813968))+0-0-0</f>
        <v>1225.49488</v>
      </c>
      <c r="X183" s="3">
        <f>1713.1+(278-749.3)+(0.873681+(0.14178-0.382143))+0-0-0</f>
        <v>1242.4333179999999</v>
      </c>
      <c r="Y183" s="3">
        <f>1664.8+(373.1-627.5)+(-0.849048+(-0.190281--0.320025))+0-0-0</f>
        <v>1409.6806960000001</v>
      </c>
      <c r="Z183" s="3">
        <f>1676.8+(424.8-668.5)+(-2.565504+(-0.649944--1.022805))+0-0-0</f>
        <v>1430.9073569999998</v>
      </c>
      <c r="AA183" s="3">
        <f>1673.7+(417.4-715.4)+(-3.414348+(-0.851496--1.459416))+0-0-0</f>
        <v>1372.8935719999999</v>
      </c>
      <c r="AB183" s="3">
        <f>1672.2+(414.9-782.1)+(-5.116932+(-1.269594--2.393226))+0-0-0</f>
        <v>1301.0066999999999</v>
      </c>
      <c r="AC183" s="3">
        <f>1529.1+(404.5-713.9)+(-0.779841+(-0.206295--0.364089))+0-0-0</f>
        <v>1219.0779529999998</v>
      </c>
      <c r="AD183">
        <f t="shared" si="2"/>
        <v>27920.838828</v>
      </c>
      <c r="AE183" s="3">
        <f>1682+(450.6-671.1)+(0+(0-0))+0-0-0</f>
        <v>1461.5</v>
      </c>
    </row>
    <row r="184" spans="1:31" s="2" customFormat="1" x14ac:dyDescent="0.25">
      <c r="A184">
        <v>89</v>
      </c>
      <c r="B184">
        <v>6</v>
      </c>
      <c r="C184">
        <v>29</v>
      </c>
      <c r="D184">
        <v>3</v>
      </c>
      <c r="E184">
        <v>1</v>
      </c>
      <c r="F184" s="3">
        <f>1236.7+(355.3-480.6)+(-2.522868+(-0.724812--0.980424))+0-0-0</f>
        <v>1109.132744</v>
      </c>
      <c r="G184" s="3">
        <f>953.7+(373.6-305.1)+(0+(0-0))+0-0-0</f>
        <v>1022.2</v>
      </c>
      <c r="H184" s="3">
        <f>887.8+(375.5-298.4)+(-1.358334+(-0.574515--0.456552))+0-0-0</f>
        <v>963.42370299999993</v>
      </c>
      <c r="I184" s="3">
        <f>888.2+(334.4-284.5)+(-0.905964+(-0.341088--0.29019))+0-0-0</f>
        <v>937.14313800000002</v>
      </c>
      <c r="J184" s="3">
        <f>1018+(281-318.3)+(0.51918+(0.14331-0.162333))+0-0-0</f>
        <v>981.20015699999999</v>
      </c>
      <c r="K184" s="3">
        <f>1091.8+(242.3-385.5)+(0+(0-0))+0-0-0</f>
        <v>948.59999999999991</v>
      </c>
      <c r="L184" s="3">
        <f>1093.6+(253.5-403.5)+(-3.346416+(-0.77571--1.23471))+0-0-0</f>
        <v>940.71258399999988</v>
      </c>
      <c r="M184" s="3">
        <f>1096+(348.9-478.1)+(0+(0-0))+0-0-0</f>
        <v>966.8</v>
      </c>
      <c r="N184" s="3">
        <f>1395.8+(320.9-642.1)+(-0.711858+(-0.163659--0.327471))+0-0-0</f>
        <v>1074.0519539999998</v>
      </c>
      <c r="O184" s="3">
        <f>1642.9+(340.3-803.9)+(-0.837879+(-0.173553--0.409989))+0-0-0</f>
        <v>1178.6985570000002</v>
      </c>
      <c r="P184" s="3">
        <f>1801.2+(375.4-787.8)+(0+(0-0))+0-0-0</f>
        <v>1388.8000000000002</v>
      </c>
      <c r="Q184" s="3">
        <f>1798.2+(383.2-875.9)+(-2.751246+(-0.586296--1.340127))+0-0-0</f>
        <v>1303.502585</v>
      </c>
      <c r="R184" s="3">
        <f>1797.2+(409.5-891.4)+(-0.916572+(-0.208845--0.454614))+0-0-0</f>
        <v>1314.6291970000002</v>
      </c>
      <c r="S184" s="3">
        <f>1796.9+(406.6-916.9)+(-6.414933+(-1.451562--3.273333))+0-0-0</f>
        <v>1282.0068380000002</v>
      </c>
      <c r="T184" s="3">
        <f>1794.7+(393.6-933)+(0.915297+(0.200736-0.47583))+0-0-0</f>
        <v>1255.9402030000001</v>
      </c>
      <c r="U184" s="3">
        <f>1795.1+(388.2-932.3)+(-3.662004+(-0.791928--1.901892))+0-0-0</f>
        <v>1248.44796</v>
      </c>
      <c r="V184" s="3">
        <f>1795.1+(417.4-954)+(-3.662004+(-0.851496--1.94616))+0-0-0</f>
        <v>1255.9326599999999</v>
      </c>
      <c r="W184" s="3">
        <f>1795.2+(429.5-970.9)+(-4.57776+(-1.095225--2.475795))+0-0-0</f>
        <v>1250.6028100000001</v>
      </c>
      <c r="X184" s="3">
        <f>1797.2+(323.8-870.1)+(-0.916572+(-0.165138--0.443751))+0-0-0</f>
        <v>1250.2620410000002</v>
      </c>
      <c r="Y184" s="3">
        <f>1811.4+(392.6-771)+(0.923814+(0.200226-0.39321))+0-0-0</f>
        <v>1433.73083</v>
      </c>
      <c r="Z184" s="3">
        <f>1816.6+(379.6-730.7)+(-3.705864+(-0.774384--1.490628))+0-0-0</f>
        <v>1462.5103799999999</v>
      </c>
      <c r="AA184" s="3">
        <f>1818.6+(380.9-791.1)+(-5.564916+(-1.165554--2.420766))+0-0-0</f>
        <v>1404.0902959999999</v>
      </c>
      <c r="AB184" s="3">
        <f>1818.3+(405-879.4)+(-3.709332+(-0.8262--1.793976))+0-0-0</f>
        <v>1341.1584440000001</v>
      </c>
      <c r="AC184" s="3">
        <f>1778.3+(420.9-941)+(-3.627732+(-0.858636--1.91964))+0-0-0</f>
        <v>1255.6332719999998</v>
      </c>
      <c r="AD184">
        <f t="shared" si="2"/>
        <v>28569.210353000006</v>
      </c>
      <c r="AE184" s="3">
        <f>1816+(387.4-716.7)+(0+(0-0))+0-0-0</f>
        <v>1486.6999999999998</v>
      </c>
    </row>
    <row r="185" spans="1:31" s="2" customFormat="1" x14ac:dyDescent="0.25">
      <c r="A185">
        <v>89</v>
      </c>
      <c r="B185">
        <v>6</v>
      </c>
      <c r="C185">
        <v>30</v>
      </c>
      <c r="D185">
        <v>4</v>
      </c>
      <c r="E185">
        <v>1</v>
      </c>
      <c r="F185" s="3">
        <f>1661.3+(284.1-809)+(-2.541789+(-0.434673--1.23777))+0-0-0</f>
        <v>1134.6613080000002</v>
      </c>
      <c r="G185" s="3">
        <f>1365.4+(267.2-588.3)+(-2.089062+(-0.408816--0.900099))+0-0-0</f>
        <v>1042.7022210000002</v>
      </c>
      <c r="H185" s="3">
        <f>1189.6+(236.1-445.7)+(0+(0-0))+0-0-0</f>
        <v>979.99999999999989</v>
      </c>
      <c r="I185" s="3">
        <f>1038+(278.2-371.9)+(-0.52938+(-0.141882--0.189669))+0-0-0</f>
        <v>943.81840699999998</v>
      </c>
      <c r="J185" s="3">
        <f>1041.7+(255.8-371.8)+(-0.531267+(-0.130458--0.189618))+0-0-0</f>
        <v>925.22789299999999</v>
      </c>
      <c r="K185" s="3">
        <f>1041.9+(245.7-361.1)+(0.531369+(0.125307-0.184161))+0-0-0</f>
        <v>926.97251500000004</v>
      </c>
      <c r="L185" s="3">
        <f>1081.1+(246.6-397.7)+(-1.102722+(-0.251532--0.405654))+0-0-0</f>
        <v>929.05139999999983</v>
      </c>
      <c r="M185" s="3">
        <f>1149.7+(247.8-453.9)+(-1.172694+(-0.252756--0.462978))+0-0-0</f>
        <v>942.63752800000009</v>
      </c>
      <c r="N185" s="3">
        <f>1461.4+(232.9-593.7)+(0.745314+(0.118779-0.302787))+0-0-0</f>
        <v>1101.161306</v>
      </c>
      <c r="O185" s="3">
        <f>1592.1+(242-651.8)+(-1.623942+(-0.24684--0.664836))+0-0-0</f>
        <v>1181.0940539999999</v>
      </c>
      <c r="P185" s="3">
        <f>1591.8+(323.5-658.2)+(-0.811818+(-0.164985--0.335682))+0-0-0</f>
        <v>1256.4588789999998</v>
      </c>
      <c r="Q185" s="3">
        <f>1612.8+(367.8-668.9)+(0+(0-0))+0-0-0</f>
        <v>1311.7</v>
      </c>
      <c r="R185" s="3">
        <f>1635.2+(376.4-658.8)+(0.833952+(0.191964-0.335988))+0-0-0</f>
        <v>1353.4899280000002</v>
      </c>
      <c r="S185" s="3">
        <f>1705.5+(356.2-723.7)+(-4.349025+(-0.90831--1.845435))+0-0-0</f>
        <v>1334.5880999999999</v>
      </c>
      <c r="T185" s="3">
        <f>1777.6+(361.4-818.9)+(1.813152+(0.368628-0.835278))+0-0-0</f>
        <v>1321.446502</v>
      </c>
      <c r="U185" s="3">
        <f>1781.9+(352.3-829.2)+(-1.817538+(-0.359346--0.845784))+0-0-0</f>
        <v>1303.6688999999999</v>
      </c>
      <c r="V185" s="3">
        <f>1781.9+(342.9-814.9)+(-3.635076+(-0.699516--1.662396))+0-0-0</f>
        <v>1307.2278040000001</v>
      </c>
      <c r="W185" s="3">
        <f>1783.3+(278.4-763.4)+(-1.818966+(-0.283968--0.778668))+0-0-0</f>
        <v>1296.9757339999999</v>
      </c>
      <c r="X185" s="3">
        <f>1786.8+(241-740.1)+(-1.822536+(-0.24582--0.754902))+0-0-0</f>
        <v>1286.3865459999997</v>
      </c>
      <c r="Y185" s="3">
        <f>1807.7+(261.5-591.9)+(0+(0-0))+0-0-0</f>
        <v>1477.3000000000002</v>
      </c>
      <c r="Z185" s="3">
        <f>1813.6+(275.2-581.6)+(-4.62468+(-0.70176--1.48308))+0-0-0</f>
        <v>1503.3566399999997</v>
      </c>
      <c r="AA185" s="3">
        <f>1816.9+(285.8-651.5)+(-5.559714+(-0.874548--1.99359))+0-0-0</f>
        <v>1446.7593280000001</v>
      </c>
      <c r="AB185" s="3">
        <f>1817+(338.7-790.4)+(-1.85334+(-0.345474--0.806208))+0-0-0</f>
        <v>1363.9073940000001</v>
      </c>
      <c r="AC185" s="3">
        <f>1814+(294.8-824.3)+(-1.85028+(-0.300696--0.840786))+0-0-0</f>
        <v>1283.1898100000001</v>
      </c>
      <c r="AD185">
        <f t="shared" si="2"/>
        <v>28953.782197</v>
      </c>
      <c r="AE185" s="3">
        <f>1811+(279.9-568)+(0+(0-0))+0-0-0</f>
        <v>1522.9</v>
      </c>
    </row>
    <row r="186" spans="1:31" s="2" customFormat="1" x14ac:dyDescent="0.25">
      <c r="A186">
        <v>89</v>
      </c>
      <c r="B186">
        <v>6</v>
      </c>
      <c r="C186">
        <v>31</v>
      </c>
      <c r="D186">
        <v>5</v>
      </c>
      <c r="E186">
        <v>1</v>
      </c>
      <c r="F186" s="3">
        <f>1240.9+(352-522.6)+(-1.265718+(-0.35904--0.533052))+0-0-0</f>
        <v>1069.2082940000003</v>
      </c>
      <c r="G186" s="3">
        <f>1242+(362-582.2)+(-1.90026+(-0.55386--0.890766))+0-0-0</f>
        <v>1020.236646</v>
      </c>
      <c r="H186" s="3">
        <f>1243.7+(306.1-565.5)+(-1.902861+(-0.468333--0.865215))+0-0-0</f>
        <v>982.79402100000004</v>
      </c>
      <c r="I186" s="3">
        <f>1244.5+(214-496.2)+(1.26939+(0.21828-0.506124))+0-0-0</f>
        <v>963.28154599999993</v>
      </c>
      <c r="J186" s="3">
        <f>1246.8+(183.3-469.1)+(-0.635868+(-0.093483--0.239241))+0-0-0</f>
        <v>960.50989000000004</v>
      </c>
      <c r="K186" s="3">
        <f>1248+(241.1-533.3)+(-1.27296+(-0.245922--0.543966))+0-0-0</f>
        <v>954.82508400000006</v>
      </c>
      <c r="L186" s="3">
        <f>1247+(248.4-562.1)+(-1.27194+(-0.253368--0.573342))+0-0-0</f>
        <v>932.34803399999998</v>
      </c>
      <c r="M186" s="3">
        <f>1453.8+(278.3-659.7)+(0+(0-0))+0-0-0</f>
        <v>1072.3999999999999</v>
      </c>
      <c r="N186" s="3">
        <f>1617+(316.1-723.3)+(0.82467+(0.161211-0.368883))+0-0-0</f>
        <v>1210.4169980000001</v>
      </c>
      <c r="O186" s="3">
        <f>1731.4+(287.6-719.6)+(0+(0-0))+0-0-0</f>
        <v>1299.4000000000001</v>
      </c>
      <c r="P186" s="3">
        <f>1792.3+(308.5-733.5)+(1.828146+(0.31467-0.74817))+0-0-0</f>
        <v>1368.6946459999999</v>
      </c>
      <c r="Q186" s="3">
        <f>1790.6+(360.4-742.3)+(-0.913206+(-0.183804--0.378573))+0-0-0</f>
        <v>1407.9815629999998</v>
      </c>
      <c r="R186" s="3">
        <f>1788.7+(400.5-789)+(-7.297896+(-1.63404--3.21912))+0-0-0</f>
        <v>1394.4871840000001</v>
      </c>
      <c r="S186" s="3">
        <f>1786.4+(420.9-816)+(-0.911064+(-0.214659--0.41616))+0-0-0</f>
        <v>1390.5904370000003</v>
      </c>
      <c r="T186" s="3">
        <f>1783.8+(438.4-854.1)+(-0.909738+(-0.223584--0.435591))+0-0-0</f>
        <v>1367.4022689999999</v>
      </c>
      <c r="U186" s="3">
        <f>1784.4+(403-833)+(-2.730132+(-0.61659--1.27449))+0-0-0</f>
        <v>1352.3277680000001</v>
      </c>
      <c r="V186" s="3">
        <f>1790.3+(419.1-862.7)+(0+(0-0))+0-0-0</f>
        <v>1346.6999999999998</v>
      </c>
      <c r="W186" s="3">
        <f>1793.3+(350.2-773.3)+(-0.914583+(-0.178602--0.394383))+0-0-0</f>
        <v>1369.5011980000002</v>
      </c>
      <c r="X186" s="3">
        <f>1808.1+(418.3-782.9)+(-0.922131+(-0.213333--0.399279))+0-0-0</f>
        <v>1442.763815</v>
      </c>
      <c r="Y186" s="3">
        <f>1814.2+(451.5-862.7)+(0.925242+(0.230265-0.439977))+0-0-0</f>
        <v>1403.7155299999999</v>
      </c>
      <c r="Z186" s="3">
        <f>1815.8+(447.2-922.5)+(-1.852116+(-0.456144--0.94095))+0-0-0</f>
        <v>1339.1326899999999</v>
      </c>
      <c r="AA186" s="3">
        <f>1815.3+(449.8-962.5)+(-5.554818+(-1.376388--2.94525))+0-0-0</f>
        <v>1298.6140439999999</v>
      </c>
      <c r="AB186" s="3">
        <f>1816.8+(373-900.8)+(-3.706272+(-0.76092--1.837632))+0-0-0</f>
        <v>1286.3704399999999</v>
      </c>
      <c r="AC186" s="3">
        <f>1798.6+(358-916.5)+(-3.669144+(-0.73032--1.86966))+0-0-0</f>
        <v>1237.5701959999999</v>
      </c>
      <c r="AD186">
        <f t="shared" si="2"/>
        <v>29471.272292999995</v>
      </c>
      <c r="AE186" s="3">
        <f>1952+(459.3-830)+(0+(0-0))+0-0-0</f>
        <v>1581.3</v>
      </c>
    </row>
    <row r="187" spans="1:31" s="2" customFormat="1" x14ac:dyDescent="0.25">
      <c r="A187">
        <v>89</v>
      </c>
      <c r="B187">
        <v>7</v>
      </c>
      <c r="C187">
        <v>1</v>
      </c>
      <c r="D187">
        <v>6</v>
      </c>
      <c r="E187">
        <v>1</v>
      </c>
      <c r="F187" s="3">
        <f>1701+(219.3-816.9)+(-1.73502+(-0.223686--0.833238))+0-0-0</f>
        <v>1102.2745320000001</v>
      </c>
      <c r="G187" s="3">
        <f>1393+(257.2-615.9)+(-2.13129+(-0.393516--0.942327))+0-0-0</f>
        <v>1032.717521</v>
      </c>
      <c r="H187" s="3">
        <f>1242.6+(267.7-525.3)+(-0.633726+(-0.136527--0.267903))+0-0-0</f>
        <v>984.49765000000002</v>
      </c>
      <c r="I187" s="3">
        <f>1245.4+(210.5-504.5)+(0.635154+(0.107355-0.257295))+0-0-0</f>
        <v>951.88521400000013</v>
      </c>
      <c r="J187" s="3">
        <f>1244.2+(178.8-466)+(-1.903626+(-0.273564--0.71298))+0-0-0</f>
        <v>955.53579000000002</v>
      </c>
      <c r="K187" s="3">
        <f>1246.3+(213.8-536.8)+(-1.271226+(-0.218076--0.547536))+0-0-0</f>
        <v>922.35823399999992</v>
      </c>
      <c r="L187" s="3">
        <f>1247.4+(193.8-553.8)+(0.636174+(0.098838-0.282438))+0-0-0</f>
        <v>887.85257400000012</v>
      </c>
      <c r="M187" s="3">
        <f>1581.7+(223.3-774.7)+(0+(0-0))+0-0-0</f>
        <v>1030.3</v>
      </c>
      <c r="N187" s="3">
        <f>1772.7+(274.6-790)+(0.904077+(0.140046-0.4029))+0-0-0</f>
        <v>1257.9412230000003</v>
      </c>
      <c r="O187" s="3">
        <f>1787.4+(297.6-833.1)+(-0.911574+(-0.151776--0.424881))+0-0-0</f>
        <v>1251.2615310000001</v>
      </c>
      <c r="P187" s="3">
        <f>1851.4+(327.6-870.4)+(-0.944214+(-0.167076--0.443904))+0-0-0</f>
        <v>1307.9326140000001</v>
      </c>
      <c r="Q187" s="3">
        <f>1886.2+(396.6-920.6)+(-0.961962+(-0.202266--0.469506))+0-0-0</f>
        <v>1361.5052780000001</v>
      </c>
      <c r="R187" s="3">
        <f>1893.3+(400.6-926.7)+(-0.965583+(-0.204306--0.472617))+0-0-0</f>
        <v>1366.5027279999997</v>
      </c>
      <c r="S187" s="3">
        <f>1894.1+(429.5-977.6)+(-2.897973+(-0.657135--1.495728))+0-0-0</f>
        <v>1343.9406200000001</v>
      </c>
      <c r="T187" s="3">
        <f>1887.2+(403.1-959.5)+(-2.887416+(-0.616743--1.468035))+0-0-0</f>
        <v>1328.7638760000002</v>
      </c>
      <c r="U187" s="3">
        <f>1815.4+(389.7-886.9)+(-5.555124+(-1.192482--2.713914))+0-0-0</f>
        <v>1314.1663080000001</v>
      </c>
      <c r="V187" s="3">
        <f>1816.3+(292.2-798.6)+(-5.557878+(-0.894132--2.443716))+0-0-0</f>
        <v>1305.8917059999999</v>
      </c>
      <c r="W187" s="3">
        <f>1818.7+(239.6-759.3)+(-1.855074+(-0.244392--0.774486))+0-0-0</f>
        <v>1297.6750199999999</v>
      </c>
      <c r="X187" s="3">
        <f>1899.9+(395.6-817.4)+(0+(0-0))+0-0-0</f>
        <v>1478.1000000000001</v>
      </c>
      <c r="Y187" s="3">
        <f>1952.5+(472.8-919.4)+(-3.9831+(-0.964512--1.875576))+0-0-0</f>
        <v>1502.8279640000001</v>
      </c>
      <c r="Z187" s="3">
        <f>1813.4+(425.3-854.2)+(-4.62417+(-1.084515--2.17821))+0-0-0</f>
        <v>1380.969525</v>
      </c>
      <c r="AA187" s="3">
        <f>1817.7+(271.4-733)+(-3.708108+(-0.553656--1.49532))+0-0-0</f>
        <v>1353.3335559999998</v>
      </c>
      <c r="AB187" s="3">
        <f>1750.8+(191.7-664.3)+(0+(0-0))+0-0-0</f>
        <v>1278.2</v>
      </c>
      <c r="AC187" s="3">
        <f>1609.7+(220.6-636.5)+(-1.641894+(-0.225012--0.64923))+0-0-0</f>
        <v>1192.5823240000002</v>
      </c>
      <c r="AD187">
        <f t="shared" si="2"/>
        <v>29189.015787999997</v>
      </c>
      <c r="AE187" s="3">
        <f>1952+(497.2-901.2)+(0+(0-0))+0-0-0</f>
        <v>1548</v>
      </c>
    </row>
    <row r="188" spans="1:31" s="2" customFormat="1" x14ac:dyDescent="0.25">
      <c r="A188">
        <v>89</v>
      </c>
      <c r="B188">
        <v>7</v>
      </c>
      <c r="C188">
        <v>2</v>
      </c>
      <c r="D188">
        <v>7</v>
      </c>
      <c r="E188">
        <v>1</v>
      </c>
      <c r="F188" s="3">
        <f>1534.2+(205.1-625.2)+(-3.129768+(-0.418404--1.275408))+0-0-0</f>
        <v>1111.8272359999999</v>
      </c>
      <c r="G188" s="3">
        <f>1429.5+(197.2-587.1)+(-2.91618+(-0.402288--1.197684))+0-0-0</f>
        <v>1037.479216</v>
      </c>
      <c r="H188" s="3">
        <f>1251+(201.5-449.7)+(-0.63801+(-0.102765--0.229347))+0-0-0</f>
        <v>1002.2885719999999</v>
      </c>
      <c r="I188" s="3">
        <f>1245.3+(193.5-459)+(-1.905309+(-0.296055--0.70227))+0-0-0</f>
        <v>978.30090599999994</v>
      </c>
      <c r="J188" s="3">
        <f>1246.3+(187.9-467)+(0.635613+(0.095829-0.23817))+0-0-0</f>
        <v>967.69327199999998</v>
      </c>
      <c r="K188" s="3">
        <f>1246.5+(209.7-511.3)+(-3.81429+(-0.641682--1.564578))+0-0-0</f>
        <v>942.00860599999999</v>
      </c>
      <c r="L188" s="3">
        <f>1246.1+(217.8-581.1)+(-1.271022+(-0.222156--0.592722))+0-0-0</f>
        <v>881.89954399999999</v>
      </c>
      <c r="M188" s="3">
        <f>1279.5+(263.8-623.4)+(-1.957635+(-0.403614--0.953802))+0-0-0</f>
        <v>918.49255300000004</v>
      </c>
      <c r="N188" s="3">
        <f>1460.1+(267.1-726.9)+(-2.233953+(-0.408663--1.112157))+0-0-0</f>
        <v>998.769541</v>
      </c>
      <c r="O188" s="3">
        <f>1642.3+(233.9-788.6)+(-3.350292+(-0.477156--1.608744))+0-0-0</f>
        <v>1085.381296</v>
      </c>
      <c r="P188" s="3">
        <f>1778.5+(275.2-906.6)+(-2.721105+(-0.421056--1.387098))+0-0-0</f>
        <v>1145.3449369999998</v>
      </c>
      <c r="Q188" s="3">
        <f>1780.2+(321.4-925.8)+(0.907902+(0.163914-0.472158))+0-0-0</f>
        <v>1176.3996580000003</v>
      </c>
      <c r="R188" s="3">
        <f>1782.1+(397.9-1010.8)+(0+(0-0))+0-0-0</f>
        <v>1169.1999999999998</v>
      </c>
      <c r="S188" s="3">
        <f>1782.7+(411-1045.4)+(-1.818354+(-0.41922--1.066308))+0-0-0</f>
        <v>1147.1287339999999</v>
      </c>
      <c r="T188" s="3">
        <f>1783.3+(405.4-1065)+(0.909483+(0.206754-0.54315))+0-0-0</f>
        <v>1124.2730869999998</v>
      </c>
      <c r="U188" s="3">
        <f>1785+(352-1019.5)+(-1.8207+(-0.35904--1.03989))+0-0-0</f>
        <v>1116.36015</v>
      </c>
      <c r="V188" s="3">
        <f>1789.6+(287.7-961.9)+(-2.738088+(-0.440181--1.471707))+0-0-0</f>
        <v>1113.6934379999998</v>
      </c>
      <c r="W188" s="3">
        <f>1800.8+(202.8-831)+(-4.59204+(-0.51714--2.11905))+0-0-0</f>
        <v>1169.60987</v>
      </c>
      <c r="X188" s="3">
        <f>1820.3+(367.4-830)+(-1.856706+(-0.374748--0.8466))+0-0-0</f>
        <v>1356.3151459999999</v>
      </c>
      <c r="Y188" s="3">
        <f>1822.5+(396.2-841.4)+(-1.85895+(-0.404124--0.858228))+0-0-0</f>
        <v>1375.895154</v>
      </c>
      <c r="Z188" s="3">
        <f>1822.6+(432.8-906.4)+(-0.929526+(-0.220728--0.462264))+0-0-0</f>
        <v>1348.3120100000001</v>
      </c>
      <c r="AA188" s="3">
        <f>1823.7+(444.8-968.5)+(-0.930087+(-0.226848--0.493935))+0-0-0</f>
        <v>1299.337</v>
      </c>
      <c r="AB188" s="3">
        <f>1725.8+(331.9-827.2)+(-4.40079+(-0.846345--2.10936))+0-0-0</f>
        <v>1227.3622250000001</v>
      </c>
      <c r="AC188" s="3">
        <f>1545.4+(313.2-718.6)+(-1.576308+(-0.319464--0.732972))+0-0-0</f>
        <v>1138.8371999999999</v>
      </c>
      <c r="AD188">
        <f t="shared" si="2"/>
        <v>26832.209351000005</v>
      </c>
      <c r="AE188" s="3">
        <f>1821+(417.4-831.5)+(0+(0-0))+0-0-0</f>
        <v>1406.9</v>
      </c>
    </row>
    <row r="189" spans="1:31" s="2" customFormat="1" x14ac:dyDescent="0.25">
      <c r="A189">
        <v>89</v>
      </c>
      <c r="B189">
        <v>7</v>
      </c>
      <c r="C189">
        <v>3</v>
      </c>
      <c r="D189">
        <v>1</v>
      </c>
      <c r="E189">
        <v>1</v>
      </c>
      <c r="F189" s="3">
        <f>1351.4+(323.9-614.8)+(-2.067642+(-0.495567--0.940644))+0-0-0</f>
        <v>1058.8774350000001</v>
      </c>
      <c r="G189" s="3">
        <f>1193.5+(319-533.3)+(-2.43474+(-0.65076--1.087932))+0-0-0</f>
        <v>977.20243200000004</v>
      </c>
      <c r="H189" s="3">
        <f>1111.2+(319-484.3)+(-1.133424+(-0.32538--0.493986))+0-0-0</f>
        <v>944.93518200000005</v>
      </c>
      <c r="I189" s="3">
        <f>1116.2+(312-471.7)+(1.138524+(0.31824-0.481134))+0-0-0</f>
        <v>957.47563000000002</v>
      </c>
      <c r="J189" s="3">
        <f>1187+(273.3-514.1)+(-2.42148+(-0.557532--1.048764))+0-0-0</f>
        <v>944.26975200000004</v>
      </c>
      <c r="K189" s="3">
        <f>1325.3+(216.3-594.9)+(-2.027709+(-0.330939--0.910197))+0-0-0</f>
        <v>945.25154900000007</v>
      </c>
      <c r="L189" s="3">
        <f>1342.3+(213.6-616.1)+(-1.369146+(-0.217872--0.628422))+0-0-0</f>
        <v>938.84140400000001</v>
      </c>
      <c r="M189" s="3">
        <f>1485.4+(318.3-763.3)+(0.757554+(0.162333-0.389283))+0-0-0</f>
        <v>1040.9306040000001</v>
      </c>
      <c r="N189" s="3">
        <f>1742.4+(317.9-861.1)+(0+(0-0))+0-0-0</f>
        <v>1199.2</v>
      </c>
      <c r="O189" s="3">
        <f>1876.2+(404.7-996.6)+(-0.956862+(-0.206397--0.508266))+0-0-0</f>
        <v>1283.6450069999999</v>
      </c>
      <c r="P189" s="3">
        <f>2067.3+(426.3-1124.4)+(-1.054323+(-0.217413--0.573444))+0-0-0</f>
        <v>1368.501708</v>
      </c>
      <c r="Q189" s="3">
        <f>2069.4+(448-1116)+(1.055394+(0.22848-0.56916))+0-0-0</f>
        <v>1402.114714</v>
      </c>
      <c r="R189" s="3">
        <f>2067.3+(472.8-1148.6)+(0+(0-0))+0-0-0</f>
        <v>1391.5000000000002</v>
      </c>
      <c r="S189" s="3">
        <f>2161+(475.6-1243.2)+(0+(0-0))+0-0-0</f>
        <v>1393.4</v>
      </c>
      <c r="T189" s="3">
        <f>2189.8+(446.7-1269.6)+(-2.233596+(-0.455634--1.294992))+0-0-0</f>
        <v>1365.5057620000002</v>
      </c>
      <c r="U189" s="3">
        <f>2191.6+(407.9-1245.6)+(-3.353148+(-0.624087--1.905768))+0-0-0</f>
        <v>1351.8285330000001</v>
      </c>
      <c r="V189" s="3">
        <f>2192.8+(391.8-1244.5)+(-3.354984+(-0.599454--1.904085))+0-0-0</f>
        <v>1338.049647</v>
      </c>
      <c r="W189" s="3">
        <f>2196.7+(304.9-1152.8)+(1.120317+(0.155499-0.587928))+0-0-0</f>
        <v>1349.4878879999997</v>
      </c>
      <c r="X189" s="3">
        <f>2245+(429.6-1136.5)+(-4.5798+(-0.876384--2.31846))+0-0-0</f>
        <v>1534.962276</v>
      </c>
      <c r="Y189" s="3">
        <f>2247.4+(467-1162.5)+(0+(0-0))+0-0-0</f>
        <v>1551.9</v>
      </c>
      <c r="Z189" s="3">
        <f>2247.3+(461.5-1201.8)+(2.292246+(0.47073-1.225836))+0-0-0</f>
        <v>1508.5371400000001</v>
      </c>
      <c r="AA189" s="3">
        <f>2246.1+(433.6-1257.1)+(-3.436533+(-0.663408--1.923363))+0-0-0</f>
        <v>1420.4234219999998</v>
      </c>
      <c r="AB189" s="3">
        <f>2088.5+(260.6-1034.9)+(-5.325675+(-0.66453--2.638995))+0-0-0</f>
        <v>1310.8487899999998</v>
      </c>
      <c r="AC189" s="3">
        <f>1920.1+(232-936.7)+(-4.896255+(-0.5916--2.388585))+0-0-0</f>
        <v>1212.3007299999999</v>
      </c>
      <c r="AD189">
        <f t="shared" si="2"/>
        <v>29789.989604999995</v>
      </c>
      <c r="AE189" s="3">
        <f>2242+(499.4-1165.5)+(0+(0-0))+0-0-0</f>
        <v>1575.9</v>
      </c>
    </row>
    <row r="190" spans="1:31" s="2" customFormat="1" x14ac:dyDescent="0.25">
      <c r="A190">
        <v>89</v>
      </c>
      <c r="B190">
        <v>7</v>
      </c>
      <c r="C190">
        <v>4</v>
      </c>
      <c r="D190">
        <v>2</v>
      </c>
      <c r="E190">
        <v>1</v>
      </c>
      <c r="F190" s="3">
        <f>1545.6+(246.1-683.7)+(-1.576512+(-0.251022--0.697374))+0-0-0</f>
        <v>1106.8698400000001</v>
      </c>
      <c r="G190" s="3">
        <f>1339.5+(240.6-534.1)+(-3.415725+(-0.61353--1.361955))+0-0-0</f>
        <v>1043.3326999999999</v>
      </c>
      <c r="H190" s="3">
        <f>1341+(180.9-503.1)+(-2.05173+(-0.276777--0.769743))+0-0-0</f>
        <v>1017.241236</v>
      </c>
      <c r="I190" s="3">
        <f>1342.8+(178.5-533.2)+(-0.684828+(-0.091035--0.271932))+0-0-0</f>
        <v>987.59606899999994</v>
      </c>
      <c r="J190" s="3">
        <f>1344.6+(201.9-558.4)+(0+(0-0))+0-0-0</f>
        <v>988.09999999999991</v>
      </c>
      <c r="K190" s="3">
        <f>1345.2+(223.2-596)+(0+(0-0))+0-0-0</f>
        <v>972.40000000000009</v>
      </c>
      <c r="L190" s="3">
        <f>1359.7+(240.3-644.4)+(-0.693447+(-0.122553--0.328644))+0-0-0</f>
        <v>955.11264400000016</v>
      </c>
      <c r="M190" s="3">
        <f>1742.5+(225.2-890.9)+(-1.77735+(-0.229704--0.908718))+0-0-0</f>
        <v>1075.7016639999999</v>
      </c>
      <c r="N190" s="3">
        <f>2076.3+(257.9-1094.5)+(0+(0-0))+0-0-0</f>
        <v>1239.7000000000003</v>
      </c>
      <c r="O190" s="3">
        <f>2206.4+(325.1-1219.7)+(-1.125264+(-0.165801--0.622047))+0-0-0</f>
        <v>1311.1309820000001</v>
      </c>
      <c r="P190" s="3">
        <f>2216.5+(376.6-1228.1)+(0+(0-0))+0-0-0</f>
        <v>1365</v>
      </c>
      <c r="Q190" s="3">
        <f>2216.3+(417.7-1218.7)+(1.130313+(0.213027-0.621537))+0-0-0</f>
        <v>1416.0218030000001</v>
      </c>
      <c r="R190" s="3">
        <f>2214.1+(428-1239.2)+(-1.129191+(-0.21828--0.631992))+0-0-0</f>
        <v>1402.1845209999999</v>
      </c>
      <c r="S190" s="3">
        <f>2211.6+(443-1255)+(1.127916+(0.22593-0.64005))+0-0-0</f>
        <v>1400.3137959999999</v>
      </c>
      <c r="T190" s="3">
        <f>2211.1+(447.3-1291.1)+(-1.127661+(-0.228123--0.658461))+0-0-0</f>
        <v>1366.6026769999999</v>
      </c>
      <c r="U190" s="3">
        <f>2209.4+(439.1-1302.6)+(-2.253588+(-0.447882--1.328652))+0-0-0</f>
        <v>1344.527182</v>
      </c>
      <c r="V190" s="3">
        <f>2092.5+(454.7-1137.4)+(-3.201525+(-0.695691--1.740222))+0-0-0</f>
        <v>1407.643006</v>
      </c>
      <c r="W190" s="3">
        <f>2087.2+(319.3-974.1)+(0+(0-0))+0-0-0</f>
        <v>1432.3999999999999</v>
      </c>
      <c r="X190" s="3">
        <f>2040.8+(478.3-916.7)+(-2.081616+(-0.487866--0.935034))+0-0-0</f>
        <v>1600.7655519999998</v>
      </c>
      <c r="Y190" s="3">
        <f>2097.5+(508.1-1048.4)+(-3.209175+(-0.777393--1.604052))+0-0-0</f>
        <v>1554.8174839999999</v>
      </c>
      <c r="Z190" s="3">
        <f>2144.8+(482.7-1136.4)+(-2.187696+(-0.492354--1.159128))+0-0-0</f>
        <v>1489.5790780000002</v>
      </c>
      <c r="AA190" s="3">
        <f>1967.4+(479.9-1087.9)+(1.003374+(0.244749-0.554829))+0-0-0</f>
        <v>1360.093294</v>
      </c>
      <c r="AB190" s="3">
        <f>1685+(392.7-774)+(0+(0-0))+0-0-0</f>
        <v>1303.7</v>
      </c>
      <c r="AC190" s="3">
        <f>1339.5+(399.3-533)+(-1.36629+(-0.407286--0.54366))+0-0-0</f>
        <v>1204.570084</v>
      </c>
      <c r="AD190">
        <f t="shared" si="2"/>
        <v>30345.403611999998</v>
      </c>
      <c r="AE190" s="3">
        <f>2164+(553.8-928.2)+(0+(0-0))+0-0-0</f>
        <v>1789.6</v>
      </c>
    </row>
    <row r="191" spans="1:31" s="2" customFormat="1" x14ac:dyDescent="0.25">
      <c r="A191">
        <v>89</v>
      </c>
      <c r="B191">
        <v>7</v>
      </c>
      <c r="C191">
        <v>5</v>
      </c>
      <c r="D191">
        <v>3</v>
      </c>
      <c r="E191">
        <v>1</v>
      </c>
      <c r="F191" s="3">
        <f>1432.1+(288.6-609)+(-2.191113+(-0.441558--0.93177))+0-0-0</f>
        <v>1109.9990989999999</v>
      </c>
      <c r="G191" s="3">
        <f>1467+(246.9-652.2)+(0+(0-0))+0-0-0</f>
        <v>1061.6999999999998</v>
      </c>
      <c r="H191" s="3">
        <f>1464.4+(247.6-683.3)+(-1.493688+(-0.252552--0.696966))+0-0-0</f>
        <v>1027.6507260000003</v>
      </c>
      <c r="I191" s="3">
        <f>1464.1+(228.1-686)+(0.746691+(0.116331-0.34986))+0-0-0</f>
        <v>1006.7131619999999</v>
      </c>
      <c r="J191" s="3">
        <f>1311.2+(225.3-542.9)+(0.668712+(0.114903-0.276879))+0-0-0</f>
        <v>994.10673600000018</v>
      </c>
      <c r="K191" s="3">
        <f>1266.2+(223.1-504.5)+(-4.520334+(-0.796467--1.801065))+0-0-0</f>
        <v>981.28426400000012</v>
      </c>
      <c r="L191" s="3">
        <f>1269.7+(242.6-537)+(0.647547+(0.123726-0.27387))+0-0-0</f>
        <v>975.79740300000003</v>
      </c>
      <c r="M191" s="3">
        <f>1445.5+(288.1-670.7)+(1.47441+(0.293862-0.684114))+0-0-0</f>
        <v>1063.984158</v>
      </c>
      <c r="N191" s="3">
        <f>1738.1+(347.2-902.6)+(0+(0-0))+0-0-0</f>
        <v>1182.6999999999998</v>
      </c>
      <c r="O191" s="3">
        <f>1907.5+(427-1065.5)+(0+(0-0))+0-0-0</f>
        <v>1269</v>
      </c>
      <c r="P191" s="3">
        <f>2103.4+(457.7-1244.2)+(2.145468+(0.466854-1.269084))+0-0-0</f>
        <v>1318.243238</v>
      </c>
      <c r="Q191" s="3">
        <f>2100.8+(490.5-1153.6)+(3.214224+(0.750465-1.765008))+0-0-0</f>
        <v>1439.8996810000003</v>
      </c>
      <c r="R191" s="3">
        <f>2190.8+(481.1-1317.2)+(-2.234616+(-0.490722--1.343544))+0-0-0</f>
        <v>1353.3182060000004</v>
      </c>
      <c r="S191" s="3">
        <f>2327.4+(442.9-1458.7)+(-1.186974+(-0.225879--0.743937))+0-0-0</f>
        <v>1310.9310839999998</v>
      </c>
      <c r="T191" s="3">
        <f>2332.3+(451.2-1503.6)+(-2.378946+(-0.460224--1.533672))+0-0-0</f>
        <v>1278.5945020000004</v>
      </c>
      <c r="U191" s="3">
        <f>2351.8+(432.2-1512.6)+(-4.797672+(-0.881688--3.085704))+0-0-0</f>
        <v>1268.8063440000003</v>
      </c>
      <c r="V191" s="3">
        <f>2349.7+(408-1490.5)+(-5.991735+(-1.0404--3.800775))+0-0-0</f>
        <v>1263.9686399999998</v>
      </c>
      <c r="W191" s="3">
        <f>2377.2+(402.7-1478.6)+(-1.212372+(-0.205377--0.754086))+0-0-0</f>
        <v>1300.6363369999999</v>
      </c>
      <c r="X191" s="3">
        <f>2415.6+(481.3-1402.6)+(1.231956+(0.245463-0.715326))+0-0-0</f>
        <v>1495.062093</v>
      </c>
      <c r="Y191" s="3">
        <f>2393.2+(488.9-1384.3)+(-7.323192+(-1.496034--4.235958))+0-0-0</f>
        <v>1493.2167319999996</v>
      </c>
      <c r="Z191" s="3">
        <f>2325.6+(488.9-1369.6)+(-3.558168+(-0.748017--2.095488))+0-0-0</f>
        <v>1442.6893030000001</v>
      </c>
      <c r="AA191" s="3">
        <f>2292.6+(469.6-1388)+(-4.676904+(-0.957984--2.83152))+0-0-0</f>
        <v>1371.3966319999997</v>
      </c>
      <c r="AB191" s="3">
        <f>2182.9+(282.7-1189.3)+(-4.453116+(-0.576708--2.426172))+0-0-0</f>
        <v>1273.6963480000002</v>
      </c>
      <c r="AC191" s="3">
        <f>1788.8+(287-914.8)+(-4.56144+(-0.73185--2.33274))+0-0-0</f>
        <v>1158.03945</v>
      </c>
      <c r="AD191">
        <f t="shared" si="2"/>
        <v>29441.434138000001</v>
      </c>
      <c r="AE191" s="3">
        <f>2394+(527.4-1369.2)+(0+(0-0))+0-0-0</f>
        <v>1552.1999999999998</v>
      </c>
    </row>
    <row r="192" spans="1:31" s="2" customFormat="1" x14ac:dyDescent="0.25">
      <c r="A192">
        <v>89</v>
      </c>
      <c r="B192">
        <v>7</v>
      </c>
      <c r="C192">
        <v>6</v>
      </c>
      <c r="D192">
        <v>4</v>
      </c>
      <c r="E192">
        <v>1</v>
      </c>
      <c r="F192" s="3">
        <f>1332.8+(362.2-628.2)+(-2.718912+(-0.738888--1.281528))+0-0-0</f>
        <v>1064.623728</v>
      </c>
      <c r="G192" s="3">
        <f>1337.9+(357.3-693.5)+(-2.046987+(-0.546669--1.061055))+0-0-0</f>
        <v>1000.167399</v>
      </c>
      <c r="H192" s="3">
        <f>1337.4+(319.5-698.1)+(-1.364148+(-0.32589--0.712062))+0-0-0</f>
        <v>957.82202400000006</v>
      </c>
      <c r="I192" s="3">
        <f>1338.7+(296.5-688.8)+(-1.365474+(-0.30243--0.702576))+0-0-0</f>
        <v>945.43467200000009</v>
      </c>
      <c r="J192" s="3">
        <f>1338.8+(295.4-685.5)+(2.731152+(0.602616-1.39842))+0-0-0</f>
        <v>950.63534799999991</v>
      </c>
      <c r="K192" s="3">
        <f>1338.8+(281.5-676.7)+(-2.731152+(-0.57426--1.380468))+0-0-0</f>
        <v>941.67505599999993</v>
      </c>
      <c r="L192" s="3">
        <f>1333.8+(274.9-693.1)+(0.680238+(0.140199-0.353481))+0-0-0</f>
        <v>916.06695599999989</v>
      </c>
      <c r="M192" s="3">
        <f>1586+(288.7-852.9)+(-0.80886+(-0.147237--0.434979))+0-0-0</f>
        <v>1021.278882</v>
      </c>
      <c r="N192" s="3">
        <f>1872.5+(289.3-999.9)+(0+(0-0))+0-0-0</f>
        <v>1161.9000000000001</v>
      </c>
      <c r="O192" s="3">
        <f>2079.6+(313.3-1136.1)+(-4.242384+(-0.639132--2.317644))+0-0-0</f>
        <v>1254.236128</v>
      </c>
      <c r="P192" s="3">
        <f>2168+(465.5-1326.1)+(-1.10568+(-0.237405--0.676311))+0-0-0</f>
        <v>1306.7332260000001</v>
      </c>
      <c r="Q192" s="3">
        <f>2298.6+(490.5-1446.8)+(4.689144+(1.00062-2.951472))+0-0-0</f>
        <v>1345.038292</v>
      </c>
      <c r="R192" s="3">
        <f>2342.5+(451.6-1456.9)+(-2.38935+(-0.460632--1.486038))+0-0-0</f>
        <v>1335.8360559999999</v>
      </c>
      <c r="S192" s="3">
        <f>2343.2+(447.2-1461.8)+(1.195032+(0.228072-0.745518))+0-0-0</f>
        <v>1329.2775859999999</v>
      </c>
      <c r="T192" s="3">
        <f>2346.6+(453.3-1487.1)+(-4.787064+(-0.924732--3.033684))+0-0-0</f>
        <v>1310.1218879999999</v>
      </c>
      <c r="U192" s="3">
        <f>2249.1+(443.3-1400.8)+(-5.735205+(-1.130415--3.57204))+0-0-0</f>
        <v>1288.3064199999999</v>
      </c>
      <c r="V192" s="3">
        <f>2192.2+(397-1306.7)+(-5.59011+(-1.01235--3.332085))+0-0-0</f>
        <v>1279.2296249999997</v>
      </c>
      <c r="W192" s="3">
        <f>2206.6+(413.5-1310)+(-3.376098+(-0.632655--2.0043))+0-0-0</f>
        <v>1308.0955469999999</v>
      </c>
      <c r="X192" s="3">
        <f>2337+(461.7-1290.2)+(0+(0-0))+0-0-0</f>
        <v>1508.5</v>
      </c>
      <c r="Y192" s="3">
        <f>2362.1+(463-1320)+(-3.614013+(-0.70839--2.0196))+0-0-0</f>
        <v>1502.7971969999999</v>
      </c>
      <c r="Z192" s="3">
        <f>2396.1+(450.9-1302.2)+(-3.666033+(-0.689877--1.992366))+0-0-0</f>
        <v>1542.4364559999997</v>
      </c>
      <c r="AA192" s="3">
        <f>2219.3+(412.7-1265.6)+(-2.263686+(-0.420954--1.290912))+0-0-0</f>
        <v>1365.0062720000003</v>
      </c>
      <c r="AB192" s="3">
        <f>2197.6+(222-1158.4)+(-2.241552+(-0.22644--1.181568))+0-0-0</f>
        <v>1259.9135759999999</v>
      </c>
      <c r="AC192" s="3">
        <f>1758.2+(242.3-868)+(-1.793364+(-0.247146--0.88536))+0-0-0</f>
        <v>1131.34485</v>
      </c>
      <c r="AD192">
        <f t="shared" si="2"/>
        <v>29026.477183999999</v>
      </c>
      <c r="AE192" s="3">
        <f>2377+(505.8-1319.3)+(0+(0-0))+0-0-0</f>
        <v>1563.5</v>
      </c>
    </row>
    <row r="193" spans="1:31" s="2" customFormat="1" x14ac:dyDescent="0.25">
      <c r="A193">
        <v>89</v>
      </c>
      <c r="B193">
        <v>7</v>
      </c>
      <c r="C193">
        <v>7</v>
      </c>
      <c r="D193">
        <v>5</v>
      </c>
      <c r="E193">
        <v>1</v>
      </c>
      <c r="F193" s="3">
        <f>1381.9+(314.4-654.8)+(-4.228614+(-0.962064--2.003688))+0-0-0</f>
        <v>1038.3130100000001</v>
      </c>
      <c r="G193" s="3">
        <f>1349.4+(271.6-631.8)+(-4.129164+(-0.831096--1.933308))+0-0-0</f>
        <v>986.17304800000011</v>
      </c>
      <c r="H193" s="3">
        <f>1349.4+(225.1-619.6)+(0+(0-0))+0-0-0</f>
        <v>954.90000000000009</v>
      </c>
      <c r="I193" s="3">
        <f>1349.4+(206.8-615.9)+(-1.376388+(-0.210936--0.628218))+0-0-0</f>
        <v>939.34089400000016</v>
      </c>
      <c r="J193" s="3">
        <f>1348.2+(186-595.1)+(2.062746+(0.28458-0.910503))+0-0-0</f>
        <v>940.53682300000003</v>
      </c>
      <c r="K193" s="3">
        <f>1348.3+(220.6-634.2)+(-2.062899+(-0.337518--0.970326))+0-0-0</f>
        <v>933.26990899999998</v>
      </c>
      <c r="L193" s="3">
        <f>1348.2+(238.5-671)+(-1.375164+(-0.24327--0.68442))+0-0-0</f>
        <v>914.765986</v>
      </c>
      <c r="M193" s="3">
        <f>1510+(264.7-753.3)+(0+(0-0))+0-0-0</f>
        <v>1021.4000000000001</v>
      </c>
      <c r="N193" s="3">
        <f>1734.8+(272.5-858.2)+(0+(0-0))+0-0-0</f>
        <v>1149.0999999999999</v>
      </c>
      <c r="O193" s="3">
        <f>2024.8+(256.3-1058)+(-2.065296+(-0.261426--1.07916))+0-0-0</f>
        <v>1221.8524379999999</v>
      </c>
      <c r="P193" s="3">
        <f>2124+(262.1-1077.9)+(-3.24972+(-0.401013--1.649187))+0-0-0</f>
        <v>1306.1984539999999</v>
      </c>
      <c r="Q193" s="3">
        <f>2447.2+(243.4-1357.5)+(-2.496144+(-0.248268--1.38465))+0-0-0</f>
        <v>1331.7402379999999</v>
      </c>
      <c r="R193" s="3">
        <f>2482.8+(243.8-1407.3)+(-2.532456+(-0.248676--1.435446))+0-0-0</f>
        <v>1317.9543140000003</v>
      </c>
      <c r="S193" s="3">
        <f>2478.9+(241.3-1401.4)+(0+(0-0))+0-0-0</f>
        <v>1318.8</v>
      </c>
      <c r="T193" s="3">
        <f>2476.5+(254.8-1424.4)+(-2.52603+(-0.259896--1.452888))+0-0-0</f>
        <v>1305.5669619999999</v>
      </c>
      <c r="U193" s="3">
        <f>2335.1+(268.3-1310)+(-2.381802+(-0.273666--1.3362))+0-0-0</f>
        <v>1292.0807319999999</v>
      </c>
      <c r="V193" s="3">
        <f>2244.7+(256.2-1207.4)+(-4.579188+(-0.522648--2.463096))+0-0-0</f>
        <v>1290.8612599999997</v>
      </c>
      <c r="W193" s="3">
        <f>2251.8+(270.5-1195.8)+(1.148418+(0.137955-0.609858))+0-0-0</f>
        <v>1327.1765150000003</v>
      </c>
      <c r="X193" s="3">
        <f>2361.5+(310.2-1146.7)+(1.204365+(0.158202-0.584817))+0-0-0</f>
        <v>1525.77775</v>
      </c>
      <c r="Y193" s="3">
        <f>2522+(287.6-1294.4)+(-5.14488+(-0.586704--2.640576))+0-0-0</f>
        <v>1512.1089919999997</v>
      </c>
      <c r="Z193" s="3">
        <f>2166.2+(293-1085.9)+(-1.104762+(-0.14943--0.553809))+0-0-0</f>
        <v>1372.5996169999996</v>
      </c>
      <c r="AA193" s="3">
        <f>2098.6+(280.5-1042.4)+(-3.210858+(-0.429165--1.594872))+0-0-0</f>
        <v>1334.6548489999998</v>
      </c>
      <c r="AB193" s="3">
        <f>1917.3+(207.8-857.4)+(-3.911292+(-0.423912--1.749096))+0-0-0</f>
        <v>1265.1138920000001</v>
      </c>
      <c r="AC193" s="3">
        <f>1731.1+(223.1-782.2)+(-3.531444+(-0.455124--1.595688))+0-0-0</f>
        <v>1169.6091200000001</v>
      </c>
      <c r="AD193">
        <f t="shared" ref="AD193:AD256" si="3">SUM(F193:AC193)</f>
        <v>28769.894803000003</v>
      </c>
      <c r="AE193" s="3">
        <f>2527+(332-1288.2)+(0+(0-0))+0-0-0</f>
        <v>1570.8</v>
      </c>
    </row>
    <row r="194" spans="1:31" s="2" customFormat="1" x14ac:dyDescent="0.25">
      <c r="A194">
        <v>89</v>
      </c>
      <c r="B194">
        <v>7</v>
      </c>
      <c r="C194">
        <v>8</v>
      </c>
      <c r="D194">
        <v>6</v>
      </c>
      <c r="E194">
        <v>1</v>
      </c>
      <c r="F194" s="3">
        <f>1249.6+(299-493.5)+(-1.911888+(-0.45747--0.755055))+0-0-0</f>
        <v>1053.4856969999998</v>
      </c>
      <c r="G194" s="3">
        <f>940.2+(371.8-332.6)+(-1.918008+(-0.758472--0.678504))+0-0-0</f>
        <v>977.4020240000001</v>
      </c>
      <c r="H194" s="3">
        <f>906.3+(349.2-313.1)+(-0.924426+(-0.356184--0.319362))+0-0-0</f>
        <v>941.43875199999991</v>
      </c>
      <c r="I194" s="3">
        <f>904.8+(354.1-326.6)+(-0.461448+(-0.180591--0.166566))+0-0-0</f>
        <v>931.82452699999999</v>
      </c>
      <c r="J194" s="3">
        <f>904.9+(313.7-285.3)+(-0.922998+(-0.319974--0.291006))+0-0-0</f>
        <v>932.34803399999998</v>
      </c>
      <c r="K194" s="3">
        <f>904.9+(339.2-321.3)+(-1.845996+(-0.691968--0.655452))+0-0-0</f>
        <v>920.91748799999993</v>
      </c>
      <c r="L194" s="3">
        <f>910+(340.6-354.3)+(0+(0-0))+0-0-0</f>
        <v>896.3</v>
      </c>
      <c r="M194" s="3">
        <f>1055.3+(358.4-414.4)+(-0.538203+(-0.182784--0.211344))+0-0-0</f>
        <v>998.79035699999997</v>
      </c>
      <c r="N194" s="3">
        <f>1330.2+(362-563.4)+(-0.678402+(-0.18462--0.287334))+0-0-0</f>
        <v>1128.2243120000003</v>
      </c>
      <c r="O194" s="3">
        <f>1463.6+(522.2-770.7)+(-2.239308+(-0.798966--1.179171))+0-0-0</f>
        <v>1213.2408969999999</v>
      </c>
      <c r="P194" s="3">
        <f>1447.6+(532.1-713.3)+(-0.738276+(-0.271371--0.363783))+0-0-0</f>
        <v>1265.754136</v>
      </c>
      <c r="Q194" s="3">
        <f>1664.3+(463.3-817.3)+(-0.848793+(-0.236283--0.416823))+0-0-0</f>
        <v>1309.6317469999999</v>
      </c>
      <c r="R194" s="3">
        <f>1851.8+(478.9-1021.7)+(0+(0-0))+0-0-0</f>
        <v>1309</v>
      </c>
      <c r="S194" s="3">
        <f>1848.1+(501.3-1065.7)+(-0.942531+(-0.255663--0.543507))+0-0-0</f>
        <v>1283.0453129999999</v>
      </c>
      <c r="T194" s="3">
        <f>1827.6+(479.1-1044)+(-0.932076+(-0.244341--0.53244))+0-0-0</f>
        <v>1262.0560229999999</v>
      </c>
      <c r="U194" s="3">
        <f>1656.5+(421-839.3)+(-0.844815+(-0.21471--0.428043))+0-0-0</f>
        <v>1237.568518</v>
      </c>
      <c r="V194" s="3">
        <f>1562.7+(334.3-653.9)+(-4.781862+(-1.022958--2.000934))+0-0-0</f>
        <v>1239.2961140000002</v>
      </c>
      <c r="W194" s="3">
        <f>1607.8+(311.9-645.1)+(0.819978+(0.159069-0.329001))+0-0-0</f>
        <v>1275.2500459999999</v>
      </c>
      <c r="X194" s="3">
        <f>1786.7+(310.3-638)+(0+(0-0))+0-0-0</f>
        <v>1459</v>
      </c>
      <c r="Y194" s="3">
        <f>1888.7+(334.3-774.7)+(-3.852948+(-0.681972--1.580388))+0-0-0</f>
        <v>1445.345468</v>
      </c>
      <c r="Z194" s="3">
        <f>1607.3+(409.5-628.6)+(-3.278892+(-0.83538--1.282344))+0-0-0</f>
        <v>1385.3680719999998</v>
      </c>
      <c r="AA194" s="3">
        <f>1383.1+(410.8-486.4)+(-1.410762+(-0.419016--0.496128))+0-0-0</f>
        <v>1306.16635</v>
      </c>
      <c r="AB194" s="3">
        <f>1362.4+(316.1-455.6)+(-2.084472+(-0.483633--0.697068))+0-0-0</f>
        <v>1221.0289630000002</v>
      </c>
      <c r="AC194" s="3">
        <f>1277.1+(355.8-489.8)+(-3.256605+(-0.90729--1.24899))+0-0-0</f>
        <v>1140.1850949999998</v>
      </c>
      <c r="AD194">
        <f t="shared" si="3"/>
        <v>28132.667933000001</v>
      </c>
      <c r="AE194" s="3">
        <f>1897+(318.5-724.7)+(0+(0-0))+0-0-0</f>
        <v>1490.8</v>
      </c>
    </row>
    <row r="195" spans="1:31" s="2" customFormat="1" x14ac:dyDescent="0.25">
      <c r="A195">
        <v>89</v>
      </c>
      <c r="B195">
        <v>7</v>
      </c>
      <c r="C195">
        <v>9</v>
      </c>
      <c r="D195">
        <v>7</v>
      </c>
      <c r="E195">
        <v>1</v>
      </c>
      <c r="F195" s="3">
        <f>1147.5+(364-455.8)+(-0.585225+(-0.18564--0.232458))+0-0-0</f>
        <v>1055.161593</v>
      </c>
      <c r="G195" s="3">
        <f>967+(359.6-337.7)+(-2.46585+(-0.91698--0.861135))+0-0-0</f>
        <v>986.37830500000007</v>
      </c>
      <c r="H195" s="3">
        <f>892+(344.4-286.8)+(0+(0-0))+0-0-0</f>
        <v>949.59999999999991</v>
      </c>
      <c r="I195" s="3">
        <f>892+(298-264.7)+(-1.81968+(-0.60792--0.539988))+0-0-0</f>
        <v>923.41238799999996</v>
      </c>
      <c r="J195" s="3">
        <f>891+(292.7-260.6)+(-1.36323+(-0.447831--0.398718))+0-0-0</f>
        <v>921.68765699999994</v>
      </c>
      <c r="K195" s="3">
        <f>891+(319-310.7)+(-2.27205+(-0.81345--0.792285))+0-0-0</f>
        <v>897.00678499999992</v>
      </c>
      <c r="L195" s="3">
        <f>892+(314.9-376.5)+(-1.36476+(-0.481797--0.576045))+0-0-0</f>
        <v>829.12948799999992</v>
      </c>
      <c r="M195" s="3">
        <f>984+(336.4-449.3)+(-1.50552+(-0.514692--0.687429))+0-0-0</f>
        <v>869.76721699999996</v>
      </c>
      <c r="N195" s="3">
        <f>1096+(374.3-508.2)+(-0.55896+(-0.190893--0.259182))+0-0-0</f>
        <v>961.609329</v>
      </c>
      <c r="O195" s="3">
        <f>1216+(366.8-556.3)+(-1.24032+(-0.374136--0.567426))+0-0-0</f>
        <v>1025.4529700000001</v>
      </c>
      <c r="P195" s="3">
        <f>1437+(394.3-700.7)+(-0.73287+(-0.201093--0.357357))+0-0-0</f>
        <v>1130.0233939999998</v>
      </c>
      <c r="Q195" s="3">
        <f>1460+(456.3-753)+(-1.4892+(-0.465426--0.76806))+0-0-0</f>
        <v>1162.1134339999999</v>
      </c>
      <c r="R195" s="3">
        <f>1489+(469.1-765.7)+(-2.27817+(-0.717723--1.171521))+0-0-0</f>
        <v>1190.5756280000001</v>
      </c>
      <c r="S195" s="3">
        <f>1535+(447.8-770.4)+(-2.34855+(-0.685134--1.178712))+0-0-0</f>
        <v>1210.545028</v>
      </c>
      <c r="T195" s="3">
        <f>1548+(468.8-805.5)+(-3.9474+(-1.19544--2.054025))+0-0-0</f>
        <v>1208.2111849999999</v>
      </c>
      <c r="U195" s="3">
        <f>1499+(422-715.4)+(-2.29347+(-0.64566--1.094562))+0-0-0</f>
        <v>1203.7554319999999</v>
      </c>
      <c r="V195" s="3">
        <f>1490+(292.6-600)+(-2.2797+(-0.447678--0.918))+0-0-0</f>
        <v>1180.790622</v>
      </c>
      <c r="W195" s="3">
        <f>1506+(257.7-552)+(0+(0-0))+0-0-0</f>
        <v>1211.7</v>
      </c>
      <c r="X195" s="3">
        <f>1543+(422.7-543.3)+(-0.78693+(-0.215577--0.277083))+0-0-0</f>
        <v>1421.6745760000001</v>
      </c>
      <c r="Y195" s="3">
        <f>1599+(353.1-512.6)+(-1.63098+(-0.360162--0.522852))+0-0-0</f>
        <v>1438.03171</v>
      </c>
      <c r="Z195" s="3">
        <f>1530+(390.8-504.3)+(-3.1212+(-0.797232--1.028772))+0-0-0</f>
        <v>1413.61034</v>
      </c>
      <c r="AA195" s="3">
        <f>1518+(434.9-592.1)+(-2.32254+(-0.665397--0.905913))+0-0-0</f>
        <v>1358.7179759999999</v>
      </c>
      <c r="AB195" s="3">
        <f>1420+(409.4-554.2)+(-3.621+(-1.04397--1.41321))+0-0-0</f>
        <v>1271.9482399999997</v>
      </c>
      <c r="AC195" s="3">
        <f>1272+(347.1-458.1)+(-3.2436+(-0.885105--1.168155))+0-0-0</f>
        <v>1158.03945</v>
      </c>
      <c r="AD195">
        <f t="shared" si="3"/>
        <v>26978.942747000005</v>
      </c>
      <c r="AE195" s="3">
        <f>1619+(356.9-504.3)+(0+(0-0))+0-0-0</f>
        <v>1471.6</v>
      </c>
    </row>
    <row r="196" spans="1:31" s="2" customFormat="1" x14ac:dyDescent="0.25">
      <c r="A196">
        <v>89</v>
      </c>
      <c r="B196">
        <v>7</v>
      </c>
      <c r="C196">
        <v>10</v>
      </c>
      <c r="D196">
        <v>1</v>
      </c>
      <c r="E196">
        <v>1</v>
      </c>
      <c r="F196" s="3">
        <f>897+(399.2-233.2)+(-2.74482+(-1.221552--0.713592))+0-0-0</f>
        <v>1059.74722</v>
      </c>
      <c r="G196" s="3">
        <f>884+(362.5-254.4)+(-1.35252+(-0.554625--0.389232))+0-0-0</f>
        <v>990.582087</v>
      </c>
      <c r="H196" s="3">
        <f>884+(373.9-276.9)+(-2.2542+(-0.953445--0.706095))+0-0-0</f>
        <v>978.49845000000005</v>
      </c>
      <c r="I196" s="3">
        <f>884+(374.9-290.2)+(-0.45084+(-0.191199--0.148002))+0-0-0</f>
        <v>968.205963</v>
      </c>
      <c r="J196" s="3">
        <f>885+(365.3-280.3)+(-0.9027+(-0.372606--0.285906))+0-0-0</f>
        <v>969.01059999999995</v>
      </c>
      <c r="K196" s="3">
        <f>885+(364.7-287.2)+(-1.8054+(-0.743988--0.585888))+0-0-0</f>
        <v>960.53650000000005</v>
      </c>
      <c r="L196" s="3">
        <f>884+(379.9-302.7)+(0.45084+(0.193749-0.154377))+0-0-0</f>
        <v>961.69021200000009</v>
      </c>
      <c r="M196" s="3">
        <f>923+(377.5-246.1)+(-0.47073+(-0.192525--0.125511))+0-0-0</f>
        <v>1053.8622560000001</v>
      </c>
      <c r="N196" s="3">
        <f>1076+(362.2-239.9)+(-0.54876+(-0.184722--0.122349))+0-0-0</f>
        <v>1197.6888669999998</v>
      </c>
      <c r="O196" s="3">
        <f>1439+(373.7-526.3)+(-0.73389+(-0.190587--0.268413))+0-0-0</f>
        <v>1285.7439360000001</v>
      </c>
      <c r="P196" s="3">
        <f>1590+(404.5-649.2)+(0+(0-0))+0-0-0</f>
        <v>1345.3</v>
      </c>
      <c r="Q196" s="3">
        <f>1664+(378-685.8)+(0.84864+(0.19278-0.349758))+0-0-0</f>
        <v>1356.891662</v>
      </c>
      <c r="R196" s="3">
        <f>1728+(370.5-773.6)+(0+(0-0))+0-0-0</f>
        <v>1324.9</v>
      </c>
      <c r="S196" s="3">
        <f>1728+(376.9-805.1)+(0+(0-0))+0-0-0</f>
        <v>1299.8</v>
      </c>
      <c r="T196" s="3">
        <f>1732+(391.9-850.5)+(-3.53328+(-0.799476--1.73502))+0-0-0</f>
        <v>1270.8022640000002</v>
      </c>
      <c r="U196" s="3">
        <f>1733+(384.8-853.2)+(-5.30298+(-1.177488--2.610792))+0-0-0</f>
        <v>1260.7303239999999</v>
      </c>
      <c r="V196" s="3">
        <f>1692.8+(381.1-811.1)+(-4.31664+(-0.971805--2.068305))+0-0-0</f>
        <v>1259.5798600000001</v>
      </c>
      <c r="W196" s="3">
        <f>1626+(309.7-601.1)+(2.48778+(0.473841-0.919683))+0-0-0</f>
        <v>1336.641938</v>
      </c>
      <c r="X196" s="3">
        <f>1675.3+(441.2-589.8)+(-0.854403+(-0.225012--0.300798))+0-0-0</f>
        <v>1525.9213830000001</v>
      </c>
      <c r="Y196" s="3">
        <f>1687.6+(542-701.5)+(-4.30338+(-1.3821--1.788825))+0-0-0</f>
        <v>1524.2033449999999</v>
      </c>
      <c r="Z196" s="3">
        <f>1686.8+(527.5-735.5)+(-2.580804+(-0.807075--1.125315))+0-0-0</f>
        <v>1476.5374359999998</v>
      </c>
      <c r="AA196" s="3">
        <f>1650.8+(517-751)+(-3.367632+(-1.05468--1.53204))+0-0-0</f>
        <v>1413.9097279999999</v>
      </c>
      <c r="AB196" s="3">
        <f>1385.7+(408.3-506.4)+(-2.826828+(-0.832932--1.033056))+0-0-0</f>
        <v>1284.9732960000001</v>
      </c>
      <c r="AC196" s="3">
        <f>1236.5+(342.5-396.7)+(-3.78369+(-1.04805--1.213902))+0-0-0</f>
        <v>1178.6821620000001</v>
      </c>
      <c r="AD196">
        <f t="shared" si="3"/>
        <v>29284.439489000004</v>
      </c>
      <c r="AE196" s="3">
        <f>1685+(572.5-696.8)+(0+(0-0))+0-0-0</f>
        <v>1560.7</v>
      </c>
    </row>
    <row r="197" spans="1:31" s="2" customFormat="1" x14ac:dyDescent="0.25">
      <c r="A197">
        <v>89</v>
      </c>
      <c r="B197">
        <v>7</v>
      </c>
      <c r="C197">
        <v>11</v>
      </c>
      <c r="D197">
        <v>2</v>
      </c>
      <c r="E197">
        <v>1</v>
      </c>
      <c r="F197" s="3">
        <f>942+(390.6-224.7)+(-0.96084+(-0.398412--0.229194))+0-0-0</f>
        <v>1106.7699420000001</v>
      </c>
      <c r="G197" s="3">
        <f>808.3+(434.6-224.5)+(-0.412233+(-0.221646--0.114495))+0-0-0</f>
        <v>1017.880616</v>
      </c>
      <c r="H197" s="3">
        <f>809.2+(424.9-247.6)+(-2.06346+(-1.083495--0.63138))+0-0-0</f>
        <v>983.98442499999999</v>
      </c>
      <c r="I197" s="3">
        <f>808.3+(431.7-271.5)+(-0.824466+(-0.440334--0.27693))+0-0-0</f>
        <v>967.51212999999996</v>
      </c>
      <c r="J197" s="3">
        <f>808.1+(395.7-232.6)+(0+(0-0))+0-0-0</f>
        <v>971.2</v>
      </c>
      <c r="K197" s="3">
        <f>786.1+(416.7-239.6)+(-0.400911+(-0.212517--0.122196))+0-0-0</f>
        <v>962.70876800000008</v>
      </c>
      <c r="L197" s="3">
        <f>786.2+(418.6-242)+(0.400962+(0.213486-0.12342))+0-0-0</f>
        <v>963.2910280000001</v>
      </c>
      <c r="M197" s="3">
        <f>1050.9+(371.1-362.3)+(-0.535959+(-0.189261--0.184773))+0-0-0</f>
        <v>1059.159553</v>
      </c>
      <c r="N197" s="3">
        <f>1330.1+(388.3-495)+(0.678351+(0.198033-0.25245))+0-0-0</f>
        <v>1224.0239339999998</v>
      </c>
      <c r="O197" s="3">
        <f>1445.9+(383.4-505.8)+(-1.474818+(-0.391068--0.515916))+0-0-0</f>
        <v>1322.15003</v>
      </c>
      <c r="P197" s="3">
        <f>1588.5+(409.6-694.6)+(-1.62027+(-0.417792--0.708492))+0-0-0</f>
        <v>1302.1704299999999</v>
      </c>
      <c r="Q197" s="3">
        <f>1753.5+(364.9-873.1)+(0.894285+(0.186099-0.445281))+0-0-0</f>
        <v>1245.935103</v>
      </c>
      <c r="R197" s="3">
        <f>1745.9+(389-893.3)+(-0.890409+(-0.19839--0.455583))+0-0-0</f>
        <v>1240.9667840000002</v>
      </c>
      <c r="S197" s="3">
        <f>1754.5+(420.2-930.8)+(0.894795+(0.214302-0.474708))+0-0-0</f>
        <v>1244.5343890000001</v>
      </c>
      <c r="T197" s="3">
        <f>1755.9+(422.7-953.6)+(-2.686527+(-0.646731--1.459008))+0-0-0</f>
        <v>1223.1257499999999</v>
      </c>
      <c r="U197" s="3">
        <f>1756.5+(431.3-979)+(-4.479075+(-1.099815--2.49645))+0-0-0</f>
        <v>1205.71756</v>
      </c>
      <c r="V197" s="3">
        <f>1690.8+(392.8-895.5)+(-2.586924+(-0.600984--1.370115))+0-0-0</f>
        <v>1186.282207</v>
      </c>
      <c r="W197" s="3">
        <f>1763.5+(284.8-713.2)+(-4.496925+(-0.72624--1.81866))+0-0-0</f>
        <v>1331.6954949999999</v>
      </c>
      <c r="X197" s="3">
        <f>1996+(352.8-824.7)+(-2.03592+(-0.359856--0.841194))+0-0-0</f>
        <v>1522.5454179999999</v>
      </c>
      <c r="Y197" s="3">
        <f>2022.6+(397-914.8)+(-3.094578+(-0.60741--1.399644))+0-0-0</f>
        <v>1502.497656</v>
      </c>
      <c r="Z197" s="3">
        <f>1836.7+(420.9-961.4)+(-3.746868+(-0.858636--1.961256))+0-0-0</f>
        <v>1293.555752</v>
      </c>
      <c r="AA197" s="3">
        <f>1596.5+(449.6-807.2)+(-3.25686+(-0.917184--1.646688))+0-0-0</f>
        <v>1236.372644</v>
      </c>
      <c r="AB197" s="3">
        <f>1571.4+(347.3-647)+(-4.00707+(-0.885615--1.64985))+0-0-0</f>
        <v>1268.457165</v>
      </c>
      <c r="AC197" s="3">
        <f>1386+(253-459.8)+(-2.12058+(-0.38709--0.703494))+0-0-0</f>
        <v>1177.3958239999999</v>
      </c>
      <c r="AD197">
        <f t="shared" si="3"/>
        <v>28559.932603000005</v>
      </c>
      <c r="AE197" s="3">
        <f>2034+(399-855)+(0+(0-0))+0-0-0</f>
        <v>1578</v>
      </c>
    </row>
    <row r="198" spans="1:31" s="2" customFormat="1" x14ac:dyDescent="0.25">
      <c r="A198">
        <v>89</v>
      </c>
      <c r="B198">
        <v>7</v>
      </c>
      <c r="C198">
        <v>12</v>
      </c>
      <c r="D198">
        <v>3</v>
      </c>
      <c r="E198">
        <v>5</v>
      </c>
      <c r="F198" s="3">
        <f>1312.9+(272.2-492.5)+(-1.339158+(-0.277644--0.50235))+0-0-0</f>
        <v>1091.4855480000001</v>
      </c>
      <c r="G198" s="3">
        <f>1159.2+(257-389)+(-1.182384+(-0.26214--0.39678))+0-0-0</f>
        <v>1026.1522560000001</v>
      </c>
      <c r="H198" s="3">
        <f>1134.7+(248.4-389.1)+(-2.893485+(-0.63342--0.992205))+0-0-0</f>
        <v>991.46529999999996</v>
      </c>
      <c r="I198" s="3">
        <f>1135.9+(224.4-387.5)+(1.158618+(0.228888-0.39525))+0-0-0</f>
        <v>973.79225600000007</v>
      </c>
      <c r="J198" s="3">
        <f>1135.1+(241.7-410)+(-0.578901+(-0.123267--0.2091))+0-0-0</f>
        <v>966.30693199999996</v>
      </c>
      <c r="K198" s="3">
        <f>1135.8+(272.7-459.3)+(-1.158516+(-0.278154--0.468486))+0-0-0</f>
        <v>948.23181599999998</v>
      </c>
      <c r="L198" s="3">
        <f>1139.3+(258.7-496.9)+(-2.324172+(-0.527748--1.013676))+0-0-0</f>
        <v>899.26175599999988</v>
      </c>
      <c r="M198" s="3">
        <f>1151.5+(266.2-465)+(1.17453+(0.271524-0.4743))+0-0-0</f>
        <v>953.67175400000008</v>
      </c>
      <c r="N198" s="3">
        <f>1151+(320.4-406.8)+(0+(0-0))+0-0-0</f>
        <v>1064.5999999999999</v>
      </c>
      <c r="O198" s="3">
        <f>1181.1+(342.7-380)+(-1.807083+(-0.524331--0.5814))+0-0-0</f>
        <v>1142.049986</v>
      </c>
      <c r="P198" s="3">
        <f>1489.3+(316.6-585.5)+(0+(0-0))+0-0-0</f>
        <v>1220.4000000000001</v>
      </c>
      <c r="Q198" s="3">
        <f>1595.7+(378.5-705.7)+(0+(0-0))+0-0-0</f>
        <v>1268.5</v>
      </c>
      <c r="R198" s="3">
        <f>1597.6+(438.4-782.2)+(-1.629552+(-0.447168--0.797844))+0-0-0</f>
        <v>1252.5211239999996</v>
      </c>
      <c r="S198" s="3">
        <f>1597+(431.7-794.8)+(1.62894+(0.440334-0.810696))+0-0-0</f>
        <v>1235.158578</v>
      </c>
      <c r="T198" s="3">
        <f>1598+(429.9-810.2)+(-2.44494+(-0.657747--1.239606))+0-0-0</f>
        <v>1215.8369189999999</v>
      </c>
      <c r="U198" s="3">
        <f>1599.4+(378.3-802.7)+(-4.894164+(-1.157598--2.456262))+0-0-0</f>
        <v>1171.4045000000001</v>
      </c>
      <c r="V198" s="3">
        <f>1600.5+(285.4-681.5)+(-4.081275+(-0.72777--1.737825))+0-0-0</f>
        <v>1201.3287800000001</v>
      </c>
      <c r="W198" s="3">
        <f>1609.2+(286-610.5)+(0+(0-0))+0-0-0</f>
        <v>1284.7</v>
      </c>
      <c r="X198" s="3">
        <f>1625.8+(371-526)+(-2.487474+(-0.56763--0.80478))+0-0-0</f>
        <v>1468.5496759999999</v>
      </c>
      <c r="Y198" s="3">
        <f>1625.8+(381.5-546.9)+(-2.487474+(-0.583695--0.836757))+0-0-0</f>
        <v>1458.1655880000001</v>
      </c>
      <c r="Z198" s="3">
        <f>1626.9+(380.5-586.8)+(-2.489157+(-0.582165--0.897804))+0-0-0</f>
        <v>1418.4264820000001</v>
      </c>
      <c r="AA198" s="3">
        <f>1627+(471.8-739.4)+(-4.14885+(-1.20309--1.88547))+0-0-0</f>
        <v>1355.93353</v>
      </c>
      <c r="AB198" s="3">
        <f>1626.1+(321.5-675.7)+(-2.487933+(-0.491895--1.033821))+0-0-0</f>
        <v>1269.9539929999999</v>
      </c>
      <c r="AC198" s="3">
        <f>1344.3+(355.8-529.5)+(-2.056779+(-0.544374--0.810135))+0-0-0</f>
        <v>1168.808982</v>
      </c>
      <c r="AD198">
        <f t="shared" si="3"/>
        <v>28046.705755999992</v>
      </c>
      <c r="AE198" s="3">
        <f>1632+(423.3-569.4)+(0+(0-0))+0-0-0</f>
        <v>1485.9</v>
      </c>
    </row>
    <row r="199" spans="1:31" s="2" customFormat="1" x14ac:dyDescent="0.25">
      <c r="A199">
        <v>89</v>
      </c>
      <c r="B199">
        <v>7</v>
      </c>
      <c r="C199">
        <v>13</v>
      </c>
      <c r="D199">
        <v>4</v>
      </c>
      <c r="E199">
        <v>1</v>
      </c>
      <c r="F199" s="3">
        <f>1053.1+(379.9-365)+(0+(0-0))+0-0-0</f>
        <v>1068</v>
      </c>
      <c r="G199" s="3">
        <f>1048.6+(312-352.5)+(-0.534786+(-0.15912--0.179775))+0-0-0</f>
        <v>1007.5858689999999</v>
      </c>
      <c r="H199" s="3">
        <f>1048.8+(281.2-356.3)+(0.534888+(0.143412-0.181713))+0-0-0</f>
        <v>974.19658699999991</v>
      </c>
      <c r="I199" s="3">
        <f>1048.9+(273.9-368.9)+(2.139756+(0.558756-0.752556))+0-0-0</f>
        <v>955.84595600000011</v>
      </c>
      <c r="J199" s="3">
        <f>1049.6+(237.8-336.9)+(-1.605888+(-0.363834--0.515457))+0-0-0</f>
        <v>949.04573500000004</v>
      </c>
      <c r="K199" s="3">
        <f>1050.4+(241.2-340.1)+(-1.607112+(-0.369036--0.520353))+0-0-0</f>
        <v>950.04420500000003</v>
      </c>
      <c r="L199" s="3">
        <f>1050.5+(280.1-391.9)+(0+(0-0))+0-0-0</f>
        <v>938.7</v>
      </c>
      <c r="M199" s="3">
        <f>1100.7+(402.1-467.2)+(0.561357+(0.205071-0.238272))+0-0-0</f>
        <v>1036.1281560000002</v>
      </c>
      <c r="N199" s="3">
        <f>1395+(432.4-649.3)+(0+(0-0))+0-0-0</f>
        <v>1178.0999999999999</v>
      </c>
      <c r="O199" s="3">
        <f>1585.5+(399.7-743.1)+(-2.425815+(-0.611541--1.136943))+0-0-0</f>
        <v>1240.1995869999998</v>
      </c>
      <c r="P199" s="3">
        <f>1601.3+(398.5-716.8)+(0.816663+(0.203235-0.365568))+0-0-0</f>
        <v>1283.6543300000001</v>
      </c>
      <c r="Q199" s="3">
        <f>1675+(442.7-810.3)+(0+(0-0))+0-0-0</f>
        <v>1307.4000000000001</v>
      </c>
      <c r="R199" s="3">
        <f>1780.4+(437.7-944.3)+(-0.908004+(-0.223227--0.481593))+0-0-0</f>
        <v>1273.1503620000001</v>
      </c>
      <c r="S199" s="3">
        <f>1800.1+(456.7-1095.8)+(2.754153+(0.698751-1.676574))+0-0-0</f>
        <v>1162.7763299999999</v>
      </c>
      <c r="T199" s="3">
        <f>1838.4+(446-1167.7)+(-0.937584+(-0.22746--0.595527))+0-0-0</f>
        <v>1116.1304830000001</v>
      </c>
      <c r="U199" s="3">
        <f>1829.3+(445.9-1178.3)+(-3.731772+(-0.909636--2.403732))+0-0-0</f>
        <v>1094.6623240000001</v>
      </c>
      <c r="V199" s="3">
        <f>1703+(387.1-909.3)+(-2.60559+(-0.592263--1.391229))+0-0-0</f>
        <v>1178.9933760000001</v>
      </c>
      <c r="W199" s="3">
        <f>1711.2+(342-791.4)+(-2.618136+(-0.52326--1.210842))+0-0-0</f>
        <v>1259.8694460000002</v>
      </c>
      <c r="X199" s="3">
        <f>2106.8+(363.1-1080.1)+(1.074468+(0.185181-0.550851))+0-0-0</f>
        <v>1390.5087980000001</v>
      </c>
      <c r="Y199" s="3">
        <f>2234.6+(387.7-1151.7)+(-4.558584+(-0.790908--2.349468))+0-0-0</f>
        <v>1467.599976</v>
      </c>
      <c r="Z199" s="3">
        <f>1988.4+(419.3-973.3)+(1.014084+(0.213843-0.496383))+0-0-0</f>
        <v>1435.1315440000001</v>
      </c>
      <c r="AA199" s="3">
        <f>1799.9+(456.9-928.2)+(-2.753847+(-0.699057--1.420146))+0-0-0</f>
        <v>1326.5672419999999</v>
      </c>
      <c r="AB199" s="3">
        <f>1583.1+(322.4-653.2)+(-3.229524+(-0.657696--1.332528))+0-0-0</f>
        <v>1249.7453079999998</v>
      </c>
      <c r="AC199" s="3">
        <f>1407.9+(276.7-532.9)+(-1.436058+(-0.282234--0.543558))+0-0-0</f>
        <v>1150.5252660000001</v>
      </c>
      <c r="AD199">
        <f t="shared" si="3"/>
        <v>27994.560880000001</v>
      </c>
      <c r="AE199" s="3">
        <f>2254+(401.9-1141)+(0+(0-0))+0-0-0</f>
        <v>1514.9</v>
      </c>
    </row>
    <row r="200" spans="1:31" s="2" customFormat="1" x14ac:dyDescent="0.25">
      <c r="A200">
        <v>89</v>
      </c>
      <c r="B200">
        <v>7</v>
      </c>
      <c r="C200">
        <v>14</v>
      </c>
      <c r="D200">
        <v>5</v>
      </c>
      <c r="E200">
        <v>1</v>
      </c>
      <c r="F200" s="3">
        <f>1212.5+(265.1-428.6)+(-1.23675+(-0.270402--0.437172))+0-0-0</f>
        <v>1047.93002</v>
      </c>
      <c r="G200" s="3">
        <f>1106.7+(299.4-411)+(-0.564417+(-0.152694--0.20961))+0-0-0</f>
        <v>994.59249899999998</v>
      </c>
      <c r="H200" s="3">
        <f>1108.1+(300.9-441.8)+(-1.695393+(-0.460377--0.675954))+0-0-0</f>
        <v>965.72018399999979</v>
      </c>
      <c r="I200" s="3">
        <f>1107.8+(294.6-450.5)+(-1.129956+(-0.300492--0.45951))+0-0-0</f>
        <v>950.92906199999993</v>
      </c>
      <c r="J200" s="3">
        <f>1107.8+(234.6-389.7)+(-0.564978+(-0.119646--0.198747))+0-0-0</f>
        <v>952.21412299999997</v>
      </c>
      <c r="K200" s="3">
        <f>1108.2+(247.5-394.8)+(-2.260728+(-0.5049--0.805392))+0-0-0</f>
        <v>958.93976400000008</v>
      </c>
      <c r="L200" s="3">
        <f>1105.8+(272.6-422.4)+(-0.563958+(-0.139026--0.215424))+0-0-0</f>
        <v>955.51243999999997</v>
      </c>
      <c r="M200" s="3">
        <f>1288+(297.1-547.6)+(0.65688+(0.151521-0.279276))+0-0-0</f>
        <v>1038.029125</v>
      </c>
      <c r="N200" s="3">
        <f>1653.7+(297-790)+(1.686774+(0.30294-0.8058))+0-0-0</f>
        <v>1161.883914</v>
      </c>
      <c r="O200" s="3">
        <f>1734.1+(307.4-825.3)+(-0.884391+(-0.156774--0.420903))+0-0-0</f>
        <v>1215.5797379999999</v>
      </c>
      <c r="P200" s="3">
        <f>1772.8+(321.7-848.9)+(-2.712384+(-0.492201--1.298817))+0-0-0</f>
        <v>1243.6942319999998</v>
      </c>
      <c r="Q200" s="3">
        <f>1756.6+(351.9-855.4)+(0+(0-0))+0-0-0</f>
        <v>1253.0999999999999</v>
      </c>
      <c r="R200" s="3">
        <f>1756.7+(360.3-890)+(0.895917+(0.183753-0.4539))+0-0-0</f>
        <v>1227.6257700000001</v>
      </c>
      <c r="S200" s="3">
        <f>1778.7+(397.2-967.1)+(0.907137+(0.202572-0.493221))+0-0-0</f>
        <v>1209.4164879999998</v>
      </c>
      <c r="T200" s="3">
        <f>1661.3+(409.3-929.4)+(-4.236315+(-1.043715--2.36997))+0-0-0</f>
        <v>1138.2899400000001</v>
      </c>
      <c r="U200" s="3">
        <f>1660.7+(426.7-917.3)+(-1.693914+(-0.435234--0.935646))+0-0-0</f>
        <v>1168.9064980000001</v>
      </c>
      <c r="V200" s="3">
        <f>1657.7+(368.5-834.6)+(-3.381708+(-0.75174--1.702584))+0-0-0</f>
        <v>1189.169136</v>
      </c>
      <c r="W200" s="3">
        <f>1662.7+(328.8-686.4)+(-0.847977+(-0.167688--0.350064))+0-0-0</f>
        <v>1304.4343990000002</v>
      </c>
      <c r="X200" s="3">
        <f>1691.3+(407.1-655.6)+(-1.725126+(-0.415242--0.668712))+0-0-0</f>
        <v>1441.328344</v>
      </c>
      <c r="Y200" s="3">
        <f>1693.1+(401.1-675.8)+(-3.453924+(-0.818244--1.378632))+0-0-0</f>
        <v>1415.5064640000001</v>
      </c>
      <c r="Z200" s="3">
        <f>1694.2+(286.9-610.9)+(-1.728084+(-0.292638--0.623118))+0-0-0</f>
        <v>1368.802396</v>
      </c>
      <c r="AA200" s="3">
        <f>1690.3+(322.8-712.2)+(-6.034371+(-1.152396--2.542554))+0-0-0</f>
        <v>1296.2557869999998</v>
      </c>
      <c r="AB200" s="3">
        <f>1641.2+(321.3-757.6)+(-1.674024+(-0.327726--0.772752))+0-0-0</f>
        <v>1203.671002</v>
      </c>
      <c r="AC200" s="3">
        <f>1354.8+(358-609.4)+(-2.763792+(-0.73032--1.243176))+0-0-0</f>
        <v>1101.1490640000002</v>
      </c>
      <c r="AD200">
        <f t="shared" si="3"/>
        <v>27802.680389000005</v>
      </c>
      <c r="AE200" s="3">
        <f>1691+(408.9-637.8)+(0+(0-0))+0-0-0</f>
        <v>1462.1</v>
      </c>
    </row>
    <row r="201" spans="1:31" s="2" customFormat="1" x14ac:dyDescent="0.25">
      <c r="A201">
        <v>89</v>
      </c>
      <c r="B201">
        <v>7</v>
      </c>
      <c r="C201">
        <v>15</v>
      </c>
      <c r="D201">
        <v>6</v>
      </c>
      <c r="E201">
        <v>1</v>
      </c>
      <c r="F201" s="3">
        <f>1132.6+(362.7-479.8)+(-1.732878+(-0.554931--0.734094))+0-0-0</f>
        <v>1013.9462849999999</v>
      </c>
      <c r="G201" s="3">
        <f>1110.4+(355.2-502)+(-0.566304+(-0.181152--0.25602))+0-0-0</f>
        <v>963.10856400000011</v>
      </c>
      <c r="H201" s="3">
        <f>1110.4+(274.7-449.1)+(-1.698912+(-0.420291--0.687123))+0-0-0</f>
        <v>934.56791999999996</v>
      </c>
      <c r="I201" s="3">
        <f>1110.3+(221.9-412.9)+(-2.831265+(-0.565845--1.052895))+0-0-0</f>
        <v>916.95578499999999</v>
      </c>
      <c r="J201" s="3">
        <f>1110.5+(219.7-415.2)+(-0.566355+(-0.112047--0.211752))+0-0-0</f>
        <v>914.53335000000004</v>
      </c>
      <c r="K201" s="3">
        <f>1110.4+(247.4-429.1)+(-1.698912+(-0.378522--0.656523))+0-0-0</f>
        <v>927.279089</v>
      </c>
      <c r="L201" s="3">
        <f>1110.4+(266-444.6)+(1.132608+(0.27132-0.453492))+0-0-0</f>
        <v>932.75043600000004</v>
      </c>
      <c r="M201" s="3">
        <f>1217.9+(271.8-493)+(0.621129+(0.138618-0.25143))+0-0-0</f>
        <v>997.20831700000008</v>
      </c>
      <c r="N201" s="3">
        <f>1588+(203-684.4)+(-0.80988+(-0.10353--0.349044))+0-0-0</f>
        <v>1106.0356339999998</v>
      </c>
      <c r="O201" s="3">
        <f>1675+(217.8-741.5)+(0+(0-0))+0-0-0</f>
        <v>1151.3</v>
      </c>
      <c r="P201" s="3">
        <f>1659.8+(205.2-686.1)+(-0.846498+(-0.104652--0.349911))+0-0-0</f>
        <v>1178.2987609999998</v>
      </c>
      <c r="Q201" s="3">
        <f>1652.3+(288.2-759.4)+(-0.842673+(-0.146982--0.387294))+0-0-0</f>
        <v>1180.4976389999999</v>
      </c>
      <c r="R201" s="3">
        <f>1669.9+(321.1-839.1)+(-2.554947+(-0.491283--1.283823))+0-0-0</f>
        <v>1150.1375930000002</v>
      </c>
      <c r="S201" s="3">
        <f>1668.2+(340.2-884.8)+(-1.701564+(-0.347004--0.902496))+0-0-0</f>
        <v>1122.4539280000001</v>
      </c>
      <c r="T201" s="3">
        <f>1668.3+(345.4-917.3)+(-3.403332+(-0.704616--1.871292))+0-0-0</f>
        <v>1094.1633440000001</v>
      </c>
      <c r="U201" s="3">
        <f>1672+(236.5-813.7)+(-5.96904+(-0.844305--2.904909))+0-0-0</f>
        <v>1090.891564</v>
      </c>
      <c r="V201" s="3">
        <f>1677.3+(263.3-812.4)+(-1.710846+(-0.268566--0.828648))+0-0-0</f>
        <v>1127.0492360000001</v>
      </c>
      <c r="W201" s="3">
        <f>1689.7+(263.6-720.8)+(-1.723494+(-0.268872--0.735216))+0-0-0</f>
        <v>1231.2428500000001</v>
      </c>
      <c r="X201" s="3">
        <f>1744.3+(369-744.7)+(-2.668779+(-0.56457--1.139391))+0-0-0</f>
        <v>1366.506042</v>
      </c>
      <c r="Y201" s="3">
        <f>1801.8+(367-814.4)+(-2.756754+(-0.56151--1.246032))+0-0-0</f>
        <v>1352.3277680000001</v>
      </c>
      <c r="Z201" s="3">
        <f>1699.6+(317.1-723.6)+(0.866796+(0.161721-0.369036))+0-0-0</f>
        <v>1293.7594809999998</v>
      </c>
      <c r="AA201" s="3">
        <f>1690.5+(335.4-765.4)+(-3.44862+(-0.684216--1.561416))+0-0-0</f>
        <v>1257.92858</v>
      </c>
      <c r="AB201" s="3">
        <f>1667.3+(204-709.5)+(-1.700646+(-0.20808--0.72369))+0-0-0</f>
        <v>1160.6149639999999</v>
      </c>
      <c r="AC201" s="3">
        <f>1426.4+(212.4-579.4)+(-2.909856+(-0.433296--1.181976))+0-0-0</f>
        <v>1057.238824</v>
      </c>
      <c r="AD201">
        <f t="shared" si="3"/>
        <v>26520.795953999997</v>
      </c>
      <c r="AE201" s="3">
        <f>1745+(395.2-746.1)+(0+(0-0))+0-0-0</f>
        <v>1394.1</v>
      </c>
    </row>
    <row r="202" spans="1:31" s="2" customFormat="1" x14ac:dyDescent="0.25">
      <c r="A202">
        <v>89</v>
      </c>
      <c r="B202">
        <v>7</v>
      </c>
      <c r="C202">
        <v>16</v>
      </c>
      <c r="D202">
        <v>7</v>
      </c>
      <c r="E202">
        <v>1</v>
      </c>
      <c r="F202" s="3">
        <f>1217.6+(225.5-457.8)+(-1.862928+(-0.345015--0.700434))+0-0-0</f>
        <v>983.79249099999993</v>
      </c>
      <c r="G202" s="3">
        <f>1109.6+(218.6-404)+(-0.565896+(-0.111486--0.20604))+0-0-0</f>
        <v>923.72865799999988</v>
      </c>
      <c r="H202" s="3">
        <f>1110.3+(205.7-426.4)+(0+(0-0))+0-0-0</f>
        <v>889.59999999999991</v>
      </c>
      <c r="I202" s="3">
        <f>1109.9+(204.1-437.8)+(0.566049+(0.104091-0.223278))+0-0-0</f>
        <v>876.64686200000006</v>
      </c>
      <c r="J202" s="3">
        <f>1109.8+(199.2-436.4)+(0+(0-0))+0-0-0</f>
        <v>872.59999999999991</v>
      </c>
      <c r="K202" s="3">
        <f>1110.1+(218.1-463.8)+(-2.830755+(-0.556155--1.18269))+0-0-0</f>
        <v>862.1957799999999</v>
      </c>
      <c r="L202" s="3">
        <f>1110.3+(231.2-532)+(-2.831265+(-0.58956--1.3566))+0-0-0</f>
        <v>807.43577500000004</v>
      </c>
      <c r="M202" s="3">
        <f>1111.8+(235.6-518.6)+(1.701054+(0.360468-0.793458))+0-0-0</f>
        <v>830.06806399999994</v>
      </c>
      <c r="N202" s="3">
        <f>1206+(214.6-523.1)+(-1.23012+(-0.218892--0.533562))+0-0-0</f>
        <v>896.58455000000004</v>
      </c>
      <c r="O202" s="3">
        <f>1295.3+(192.8-532.1)+(-1.321206+(-0.196656--0.542742))+0-0-0</f>
        <v>955.02488000000005</v>
      </c>
      <c r="P202" s="3">
        <f>1485.1+(211.7-701.6)+(-2.272203+(-0.323901--1.073448))+0-0-0</f>
        <v>993.67734399999983</v>
      </c>
      <c r="Q202" s="3">
        <f>1593.9+(243.6-823.9)+(-0.812889+(-0.124236--0.420189))+0-0-0</f>
        <v>1013.0830640000001</v>
      </c>
      <c r="R202" s="3">
        <f>1603.7+(246.6-854.4)+(-2.453661+(-0.377298--1.307232))+0-0-0</f>
        <v>994.37627300000008</v>
      </c>
      <c r="S202" s="3">
        <f>1603.2+(246.5-876.7)+(0+(0-0))+0-0-0</f>
        <v>973</v>
      </c>
      <c r="T202" s="3">
        <f>1602.1+(234.5-877.2)+(-2.451213+(-0.358785--1.342116))+0-0-0</f>
        <v>957.93211799999983</v>
      </c>
      <c r="U202" s="3">
        <f>1585.3+(232.2-855.3)+(-3.234012+(-0.473688--1.744812))+0-0-0</f>
        <v>960.23711200000002</v>
      </c>
      <c r="V202" s="3">
        <f>1572.4+(210.1-796.6)+(-3.207696+(-0.428604--1.625064))+0-0-0</f>
        <v>983.88876400000004</v>
      </c>
      <c r="W202" s="3">
        <f>1605.2+(224.9-720)+(-4.09326+(-0.573495--1.836))+0-0-0</f>
        <v>1107.269245</v>
      </c>
      <c r="X202" s="3">
        <f>1690.8+(276.4-694.4)+(-3.449232+(-0.563856--1.416576))+0-0-0</f>
        <v>1270.2034879999999</v>
      </c>
      <c r="Y202" s="3">
        <f>1689.6+(302.5-732)+(-1.723392+(-0.30855--0.74664))+0-0-0</f>
        <v>1258.8146979999999</v>
      </c>
      <c r="Z202" s="3">
        <f>1692.5+(305-768.7)+(-2.589525+(-0.46665--1.176111))+0-0-0</f>
        <v>1226.919936</v>
      </c>
      <c r="AA202" s="3">
        <f>1692.8+(288.5-802.2)+(-2.589984+(-0.441405--1.227366))+0-0-0</f>
        <v>1177.295977</v>
      </c>
      <c r="AB202" s="3">
        <f>1536.1+(245.7-682.4)+(-3.917055+(-0.626535--1.74012))+0-0-0</f>
        <v>1096.5965299999998</v>
      </c>
      <c r="AC202" s="3">
        <f>1389.9+(279.5-656.9)+(-1.417698+(-0.28509--0.670038))+0-0-0</f>
        <v>1011.4672500000001</v>
      </c>
      <c r="AD202">
        <f t="shared" si="3"/>
        <v>23922.438858999998</v>
      </c>
      <c r="AE202" s="3">
        <f>1692+(301.7-712.2)+(0+(0-0))+0-0-0</f>
        <v>1281.5</v>
      </c>
    </row>
    <row r="203" spans="1:31" s="2" customFormat="1" x14ac:dyDescent="0.25">
      <c r="A203">
        <v>89</v>
      </c>
      <c r="B203">
        <v>7</v>
      </c>
      <c r="C203">
        <v>17</v>
      </c>
      <c r="D203">
        <v>1</v>
      </c>
      <c r="E203">
        <v>1</v>
      </c>
      <c r="F203" s="3">
        <f>1221.2+(289.6-580.4)+(-3.11406+(-0.73848--1.48002))+0-0-0</f>
        <v>928.02748000000008</v>
      </c>
      <c r="G203" s="3">
        <f>1116.1+(243-481.2)+(-2.846055+(-0.61965--1.22706))+0-0-0</f>
        <v>875.66135499999984</v>
      </c>
      <c r="H203" s="3">
        <f>1079+(236.7-458.9)+(-0.55029+(-0.120717--0.234039))+0-0-0</f>
        <v>856.36303199999998</v>
      </c>
      <c r="I203" s="3">
        <f>1062.1+(195.8-410.3)+(-2.166684+(-0.399432--0.837012))+0-0-0</f>
        <v>845.8708959999999</v>
      </c>
      <c r="J203" s="3">
        <f>1060.8+(208.4-421.3)+(-0.541008+(-0.106284--0.214863))+0-0-0</f>
        <v>847.46757100000002</v>
      </c>
      <c r="K203" s="3">
        <f>1060.7+(229.4-429.5)+(0+(0-0))+0-0-0</f>
        <v>860.6</v>
      </c>
      <c r="L203" s="3">
        <f>1065+(236-442.9)+(0.54315+(0.12036-0.225879))+0-0-0</f>
        <v>858.53763100000003</v>
      </c>
      <c r="M203" s="3">
        <f>1245.8+(238.1-533.5)+(-0.635358+(-0.121431--0.272085))+0-0-0</f>
        <v>949.91529600000001</v>
      </c>
      <c r="N203" s="3">
        <f>1343.7+(222.9-503.3)+(-0.685287+(-0.113679--0.256683))+0-0-0</f>
        <v>1062.7577170000002</v>
      </c>
      <c r="O203" s="3">
        <f>1346+(434.7-663.8)+(-1.37292+(-0.443394--0.677076))+0-0-0</f>
        <v>1115.7607620000001</v>
      </c>
      <c r="P203" s="3">
        <f>1446.7+(471.8-758.9)+(-0.737817+(-0.240618--0.387039))+0-0-0</f>
        <v>1159.0086040000001</v>
      </c>
      <c r="Q203" s="3">
        <f>1622.2+(439.7-871.5)+(-1.654644+(-0.448494--0.88893))+0-0-0</f>
        <v>1189.185792</v>
      </c>
      <c r="R203" s="3">
        <f>1615.5+(439.8-883.7)+(-0.823905+(-0.224298--0.450687))+0-0-0</f>
        <v>1171.0024839999999</v>
      </c>
      <c r="S203" s="3">
        <f>1590.2+(479.1-913)+(-1.622004+(-0.488682--0.93126))+0-0-0</f>
        <v>1155.1205740000003</v>
      </c>
      <c r="T203" s="3">
        <f>1591.1+(493-949.1)+(-1.622922+(-0.50286--0.968082))+0-0-0</f>
        <v>1133.8423</v>
      </c>
      <c r="U203" s="3">
        <f>1612.2+(473.9-948.8)+(-3.288888+(-0.966756--1.935552))+0-0-0</f>
        <v>1134.9799080000003</v>
      </c>
      <c r="V203" s="3">
        <f>1624.6+(361.4-831.9)+(-4.971276+(-1.105884--2.545614))+0-0-0</f>
        <v>1150.568454</v>
      </c>
      <c r="W203" s="3">
        <f>1692.5+(309.3-724.1)+(-1.72635+(-0.315486--0.738582))+0-0-0</f>
        <v>1276.3967460000001</v>
      </c>
      <c r="X203" s="3">
        <f>1768+(374.6-730.8)+(-2.70504+(-0.573138--1.118124))+0-0-0</f>
        <v>1409.6399460000002</v>
      </c>
      <c r="Y203" s="3">
        <f>1831.7+(426-860.9)+(-4.670835+(-1.0863--2.195295))+0-0-0</f>
        <v>1393.2381600000001</v>
      </c>
      <c r="Z203" s="3">
        <f>1752.5+(488.7-892.9)+(-2.681325+(-0.747711--1.366137))+0-0-0</f>
        <v>1346.2371009999999</v>
      </c>
      <c r="AA203" s="3">
        <f>1749.3+(464-930.6)+(-4.460715+(-1.1832--2.37303))+0-0-0</f>
        <v>1279.4291149999999</v>
      </c>
      <c r="AB203" s="3">
        <f>1722.3+(384.7-920.8)+(-4.391865+(-0.980985--2.34804))+0-0-0</f>
        <v>1183.1751900000002</v>
      </c>
      <c r="AC203" s="3">
        <f>1365.9+(318.9-607.7)+(0+(0-0))+0-0-0</f>
        <v>1077.0999999999999</v>
      </c>
      <c r="AD203">
        <f t="shared" si="3"/>
        <v>26259.886114000001</v>
      </c>
      <c r="AE203" s="3">
        <f>1830+(407.8-809.1)+(0+(0-0))+0-0-0</f>
        <v>1428.7</v>
      </c>
    </row>
    <row r="204" spans="1:31" s="2" customFormat="1" x14ac:dyDescent="0.25">
      <c r="A204">
        <v>89</v>
      </c>
      <c r="B204">
        <v>7</v>
      </c>
      <c r="C204">
        <v>18</v>
      </c>
      <c r="D204">
        <v>2</v>
      </c>
      <c r="E204">
        <v>1</v>
      </c>
      <c r="F204" s="3">
        <f>1116.8+(349.1-478.3)+(0+(0-0))+0-0-0</f>
        <v>987.59999999999991</v>
      </c>
      <c r="G204" s="3">
        <f>1116+(295.4-481.6)+(0+(0-0))+0-0-0</f>
        <v>929.8</v>
      </c>
      <c r="H204" s="3">
        <f>1115.2+(258.8-469.4)+(0+(0-0))+0-0-0</f>
        <v>904.60000000000014</v>
      </c>
      <c r="I204" s="3">
        <f>1113.8+(204.7-425.2)+(0+(0-0))+0-0-0</f>
        <v>893.3</v>
      </c>
      <c r="J204" s="3">
        <f>1113.8+(223.5-443.5)+(0+(0-0))+0-0-0</f>
        <v>893.8</v>
      </c>
      <c r="K204" s="3">
        <f>1114.1+(237.9-457.7)+(0+(0-0))+3.2-0-0</f>
        <v>897.5</v>
      </c>
      <c r="L204" s="3">
        <f>1114.5+(267.9-499.9)+(0+(0-0))+0-0-0</f>
        <v>882.5</v>
      </c>
      <c r="M204" s="3">
        <f>1287.4+(274.9-583.1)+(0+(0-0))+0-0-0</f>
        <v>979.2</v>
      </c>
      <c r="N204" s="3">
        <f>1430.1+(354.7-697.2)+(0+(0-0))+0-0-0</f>
        <v>1087.5999999999999</v>
      </c>
      <c r="O204" s="3">
        <f>1636.2+(454.4-935.7)+(0+(0-0))+0-0-0</f>
        <v>1154.9000000000001</v>
      </c>
      <c r="P204" s="3">
        <f>1662.4+(421.4-895.2)+(0+(0-0))+0-0-0</f>
        <v>1188.5999999999999</v>
      </c>
      <c r="Q204" s="3">
        <f>1661.7+(492.3-949.6)+(0+(0-0))+0-0-0</f>
        <v>1204.4000000000001</v>
      </c>
      <c r="R204" s="3">
        <f>1609.2+(510.8-946.6)+(-0.820692+(-0.260508--0.482766))+0-0-0</f>
        <v>1172.8015660000001</v>
      </c>
      <c r="S204" s="3">
        <f>1589.2+(506.2-937.8)+(-1.620984+(-0.516324--0.956556))+0-0-0</f>
        <v>1156.4192480000002</v>
      </c>
      <c r="T204" s="3">
        <f>1677.8+(475.3-1008.3)+(-1.711356+(-0.484806--1.028466))+0-0-0</f>
        <v>1143.632304</v>
      </c>
      <c r="U204" s="3">
        <f>1641.2+(465.3-970)+(-3.348048+(-0.949212--1.9788))+0-0-0</f>
        <v>1134.18154</v>
      </c>
      <c r="V204" s="3">
        <f>1658.5+(441.3-958.7)+(-2.537505+(-0.675189--1.466811))+0-0-0</f>
        <v>1139.3541169999999</v>
      </c>
      <c r="W204" s="3">
        <f>1670.2+(395.5-817.8)+(0+(0-0))+0-0-0</f>
        <v>1247.9000000000001</v>
      </c>
      <c r="X204" s="3">
        <f>1859.7+(470.3-929.8)+(-0.948447+(-0.239853--0.474198))+0-0-0</f>
        <v>1399.4858980000001</v>
      </c>
      <c r="Y204" s="3">
        <f>1972.7+(486.5-1074.2)+(-3.018231+(-0.744345--1.643526))+0-0-0</f>
        <v>1382.88095</v>
      </c>
      <c r="Z204" s="3">
        <f>1972.3+(491.8-1118.3)+(-6.035238+(-1.504908--3.421998))+0-0-0</f>
        <v>1341.6818519999999</v>
      </c>
      <c r="AA204" s="3">
        <f>1865.5+(481.8-1076.6)+(-1.90281+(-0.491436--1.098132))+0-0-0</f>
        <v>1269.4038860000001</v>
      </c>
      <c r="AB204" s="3">
        <f>1826.5+(260.7-908.1)+(-5.58909+(-0.797742--2.778786))+0-0-0</f>
        <v>1175.4919539999999</v>
      </c>
      <c r="AC204" s="3">
        <f>1818.5+(255.6-982.8)+(-4.637175+(-0.65178--2.50614))+0-0-0</f>
        <v>1088.5171850000002</v>
      </c>
      <c r="AD204">
        <f t="shared" si="3"/>
        <v>26655.550500000001</v>
      </c>
      <c r="AE204" s="3">
        <f>1979+(494.5-1048.7)+(0+(0-0))+0-0-0</f>
        <v>1424.8</v>
      </c>
    </row>
    <row r="205" spans="1:31" s="2" customFormat="1" x14ac:dyDescent="0.25">
      <c r="A205">
        <v>89</v>
      </c>
      <c r="B205">
        <v>7</v>
      </c>
      <c r="C205">
        <v>19</v>
      </c>
      <c r="D205">
        <v>3</v>
      </c>
      <c r="E205">
        <v>1</v>
      </c>
      <c r="F205" s="3">
        <f>1576.8+(270.5-860.9)+(0.804168+(0.137955-0.439059))+0-0-0</f>
        <v>986.90306399999997</v>
      </c>
      <c r="G205" s="3">
        <f>1358.5+(255.9-683.4)+(-2.77134+(-0.522036--1.394136))+0-0-0</f>
        <v>929.10076000000004</v>
      </c>
      <c r="H205" s="3">
        <f>1253.4+(236.4-605)+(-2.556936+(-0.482256--1.2342))+0-0-0</f>
        <v>882.9950080000001</v>
      </c>
      <c r="I205" s="3">
        <f>1246.5+(228.3-577)+(-1.27143+(-0.232866--0.58854))+0-0-0</f>
        <v>896.88424399999997</v>
      </c>
      <c r="J205" s="3">
        <f>1245.9+(220.9-572.3)+(-1.270818+(-0.225318--0.583746))+0-0-0</f>
        <v>893.58761000000015</v>
      </c>
      <c r="K205" s="3">
        <f>1246.5+(268.4-604.8)+(0.635715+(0.136884-0.308448))+0-0-0</f>
        <v>910.56415100000004</v>
      </c>
      <c r="L205" s="3">
        <f>1249.1+(244.7-613)+(-1.274082+(-0.249594--0.62526))+0-0-0</f>
        <v>879.90158399999996</v>
      </c>
      <c r="M205" s="3">
        <f>1372.3+(288.4-698.4)+(0.699873+(0.147084-0.356184))+0-0-0</f>
        <v>962.79077299999994</v>
      </c>
      <c r="N205" s="3">
        <f>1658.3+(353.2-918.9)+(-0.845733+(-0.180132--0.468639))+0-0-0</f>
        <v>1092.042774</v>
      </c>
      <c r="O205" s="3">
        <f>1782.6+(397-1030)+(0+(0-0))+0-0-0</f>
        <v>1149.5999999999999</v>
      </c>
      <c r="P205" s="3">
        <f>1828.2+(412.7-1043.4)+(0+(0-0))+0-0-0</f>
        <v>1197.5</v>
      </c>
      <c r="Q205" s="3">
        <f>1919.7+(420.6-1117.7)+(0+(0-0))+0-0-0</f>
        <v>1222.5999999999999</v>
      </c>
      <c r="R205" s="3">
        <f>2022.5+(410.9-1244.3)+(-2.06295+(-0.419118--1.269186))+0-0-0</f>
        <v>1187.8871179999999</v>
      </c>
      <c r="S205" s="3">
        <f>2119.1+(403.9-1360)+(0+(0-0))+0-0-0</f>
        <v>1163</v>
      </c>
      <c r="T205" s="3">
        <f>2118.2+(399.3-1375.6)+(-2.160564+(-0.407286--1.403112))+0-0-0</f>
        <v>1140.7352619999999</v>
      </c>
      <c r="U205" s="3">
        <f>2121.2+(404.2-1376.2)+(-4.327248+(-0.824568--2.807448))+0-0-0</f>
        <v>1146.8556319999998</v>
      </c>
      <c r="V205" s="3">
        <f>2016.6+(389.7-1246.6)+(-4.113864+(-0.794988--2.543064))+0-0-0</f>
        <v>1157.334212</v>
      </c>
      <c r="W205" s="3">
        <f>2069.6+(333.2-1125.8)+(2.110992+(0.339864-1.148316))+0-0-0</f>
        <v>1278.3025399999999</v>
      </c>
      <c r="X205" s="3">
        <f>2283+(388.2-1229.2)+(-3.49299+(-0.593946--1.880676))+0-0-0</f>
        <v>1439.7937400000001</v>
      </c>
      <c r="Y205" s="3">
        <f>2226.8+(417.6-1228.2)+(-4.542672+(-0.851904--2.505528))+0-0-0</f>
        <v>1413.3109520000003</v>
      </c>
      <c r="Z205" s="3">
        <f>2142.8+(421.5-1196.9)+(-3.278484+(-0.644895--1.831257))+0-0-0</f>
        <v>1365.3078780000001</v>
      </c>
      <c r="AA205" s="3">
        <f>2098.3+(435-1237.9)+(-2.140266+(-0.4437--1.262658))+0-0-0</f>
        <v>1294.078692</v>
      </c>
      <c r="AB205" s="3">
        <f>2005.1+(349.8-1161.4)+(-2.045202+(-0.356796--1.184628))+0-0-0</f>
        <v>1192.2826299999997</v>
      </c>
      <c r="AC205" s="3">
        <f>1654.6+(326.8-888.6)+(-0.843846+(-0.166668--0.453186))+0-0-0</f>
        <v>1092.2426719999999</v>
      </c>
      <c r="AD205">
        <f t="shared" si="3"/>
        <v>26875.601296000001</v>
      </c>
      <c r="AE205" s="3">
        <f>2281+(429.4-1233.8)+(0+(0-0))+0-0-0</f>
        <v>1476.6</v>
      </c>
    </row>
    <row r="206" spans="1:31" s="2" customFormat="1" x14ac:dyDescent="0.25">
      <c r="A206">
        <v>89</v>
      </c>
      <c r="B206">
        <v>7</v>
      </c>
      <c r="C206">
        <v>20</v>
      </c>
      <c r="D206">
        <v>4</v>
      </c>
      <c r="E206">
        <v>1</v>
      </c>
      <c r="F206" s="3">
        <f>1307.9+(335.6-647.6)+(-2.668116+(-0.684624--1.321104))+0-0-0</f>
        <v>993.86836400000004</v>
      </c>
      <c r="G206" s="3">
        <f>1140.1+(305-507.9)+(-0.581451+(-0.15555--0.259029))+0-0-0</f>
        <v>936.72202799999991</v>
      </c>
      <c r="H206" s="3">
        <f>1141.9+(301.3-534.8)+(-1.747107+(-0.460989--0.818244))+0-0-0</f>
        <v>907.01014800000007</v>
      </c>
      <c r="I206" s="3">
        <f>1141.8+(237.6-493.8)+(-1.746954+(-0.363528--0.755514))+0-0-0</f>
        <v>884.24503199999992</v>
      </c>
      <c r="J206" s="3">
        <f>1139.1+(172.6-422.3)+(-1.161882+(-0.176052--0.430746))+0-0-0</f>
        <v>888.49281199999984</v>
      </c>
      <c r="K206" s="3">
        <f>1129.1+(210.2-465.6)+(0+(0-0))+0-0-0</f>
        <v>873.69999999999982</v>
      </c>
      <c r="L206" s="3">
        <f>1111.4+(243.3-513.4)+(0+(0-0))+0-0-0</f>
        <v>841.30000000000018</v>
      </c>
      <c r="M206" s="3">
        <f>1114.4+(293.7-560.8)+(0.568344+(0.149787-0.286008))+0-0-0</f>
        <v>847.73212300000023</v>
      </c>
      <c r="N206" s="3">
        <f>1357+(248-612)+(0+(0-0))+0-0-0</f>
        <v>993</v>
      </c>
      <c r="O206" s="3">
        <f>1752+(306-962)+(0+(0-0))+0-0-0</f>
        <v>1096</v>
      </c>
      <c r="P206" s="3">
        <f>1972+(267-1169)+(-5.0286+(-0.68085--2.98095))+0-0-0</f>
        <v>1067.2715000000001</v>
      </c>
      <c r="Q206" s="3">
        <f>1971+(318-1213.5)+(0+(0-0))+0-0-0</f>
        <v>1075.5</v>
      </c>
      <c r="R206" s="3">
        <f>1969.2+(379.5-1280)+(0+(0-0))+0-0-0</f>
        <v>1068.7</v>
      </c>
      <c r="S206" s="3">
        <f>1981.6+(459.2-1383.3)+(0+(0-0))+0-0-0</f>
        <v>1057.5</v>
      </c>
      <c r="T206" s="3">
        <f>1982+(423.9-1356.9)+(-5.0541+(-1.080945--3.460095))+0-0-0</f>
        <v>1046.3250499999999</v>
      </c>
      <c r="U206" s="3">
        <f>1961.7+(411.3-1319.4)+(-2.000934+(-0.419526--1.345788))+0-0-0</f>
        <v>1052.5253279999999</v>
      </c>
      <c r="V206" s="3">
        <f>1888.4+(370.5-1201)+(-5.778504+(-1.13373--3.67506))+0-0-0</f>
        <v>1054.662826</v>
      </c>
      <c r="W206" s="3">
        <f>1901.4+(287.5-1012.8)+(-3.878856+(-0.5865--2.066112))+0-0-0</f>
        <v>1173.7007560000002</v>
      </c>
      <c r="X206" s="3">
        <f>2001.1+(374-1037.9)+(-4.082244+(-0.76296--2.117316))+0-0-0</f>
        <v>1334.4721119999999</v>
      </c>
      <c r="Y206" s="3">
        <f>1910.3+(426-1070.1)+(-2.922759+(-0.65178--1.637253))+0-0-0</f>
        <v>1264.262714</v>
      </c>
      <c r="Z206" s="3">
        <f>1737.9+(443.2-966.4)+(-2.658987+(-0.678096--1.478592))+0-0-0</f>
        <v>1212.8415090000001</v>
      </c>
      <c r="AA206" s="3">
        <f>1704+(353.7-928)+(-5.21424+(-1.082322--2.83968))+0-0-0</f>
        <v>1126.2431180000001</v>
      </c>
      <c r="AB206" s="3">
        <f>1521.2+(231.4-683.6)+(-3.103248+(-0.472056--1.394544))+0-0-0</f>
        <v>1066.81924</v>
      </c>
      <c r="AC206" s="3">
        <f>1212.8+(259.5-475.5)+(-3.09264+(-0.661725--1.212525))+0-0-0</f>
        <v>994.25815999999998</v>
      </c>
      <c r="AD206">
        <f t="shared" si="3"/>
        <v>24857.152820000007</v>
      </c>
      <c r="AE206" s="3">
        <f>2010+(407.3-1056.9)+(0+(0-0))+0-0-0</f>
        <v>1360.3999999999999</v>
      </c>
    </row>
    <row r="207" spans="1:31" s="2" customFormat="1" x14ac:dyDescent="0.25">
      <c r="A207">
        <v>89</v>
      </c>
      <c r="B207">
        <v>7</v>
      </c>
      <c r="C207">
        <v>21</v>
      </c>
      <c r="D207">
        <v>5</v>
      </c>
      <c r="E207">
        <v>1</v>
      </c>
      <c r="F207" s="3">
        <f>1105.4+(258.1-446.7)+(-0.563754+(-0.131631--0.227817))+0-0-0</f>
        <v>916.33243200000015</v>
      </c>
      <c r="G207" s="3">
        <f>1100.2+(235.6-468.3)+(-1.683306+(-0.360468--0.716499))+0-0-0</f>
        <v>866.17272500000001</v>
      </c>
      <c r="H207" s="3">
        <f>1096.3+(216.5-472.2)+(-1.677339+(-0.331245--0.722466))+0-0-0</f>
        <v>839.31388199999992</v>
      </c>
      <c r="I207" s="3">
        <f>1100.4+(204-471.4)+(-1.683612+(-0.31212--0.721242))+0-0-0</f>
        <v>831.7255100000001</v>
      </c>
      <c r="J207" s="3">
        <f>1102.7+(206.8-479)+(0+(0-0))+0-0-0</f>
        <v>830.5</v>
      </c>
      <c r="K207" s="3">
        <f>1102.1+(214.9-476.6)+(-2.248284+(-0.438396--0.972264))+0-0-0</f>
        <v>838.68558399999984</v>
      </c>
      <c r="L207" s="3">
        <f>1102.3+(257.8-527.2)+(-1.686519+(-0.394434--0.806616))+0-0-0</f>
        <v>831.62566299999992</v>
      </c>
      <c r="M207" s="3">
        <f>1149.8+(289.4-535.9)+(1.172796+(0.295188-0.546618))+0-0-0</f>
        <v>904.22136599999999</v>
      </c>
      <c r="N207" s="3">
        <f>1313.9+(284.1-601.7)+(-1.340178+(-0.289782--0.613734))+0-0-0</f>
        <v>995.28377400000011</v>
      </c>
      <c r="O207" s="3">
        <f>1548.4+(305.8-823.7)+(-2.369052+(-0.467874--1.260261))+0-0-0</f>
        <v>1028.923335</v>
      </c>
      <c r="P207" s="3">
        <f>1596.8+(283.4-841.1)+(-2.443104+(-0.433602--1.286883))+0-0-0</f>
        <v>1037.5101769999999</v>
      </c>
      <c r="Q207" s="3">
        <f>1798.4+(325.2-1048.1)+(0.917184+(0.165852-0.534531))+0-0-0</f>
        <v>1076.0485050000002</v>
      </c>
      <c r="R207" s="3">
        <f>1799.6+(314.2-1061.8)+(-5.506776+(-0.961452--3.249108))+0-0-0</f>
        <v>1048.78088</v>
      </c>
      <c r="S207" s="3">
        <f>1796.9+(320.6-1078)+(-0.916419+(-0.163506--0.54978))+0-0-0</f>
        <v>1038.9698550000001</v>
      </c>
      <c r="T207" s="3">
        <f>1796.3+(322.8-1096.9)+(-1.832226+(-0.329256--1.118838))+0-0-0</f>
        <v>1021.1573559999998</v>
      </c>
      <c r="U207" s="3">
        <f>1795+(301.4-1077.9)+(-1.8309+(-0.307428--1.099458))+0-0-0</f>
        <v>1017.4611299999999</v>
      </c>
      <c r="V207" s="3">
        <f>1728.7+(273.8-968.3)+(-3.526548+(-0.558552--1.975332))+0-0-0</f>
        <v>1032.090232</v>
      </c>
      <c r="W207" s="3">
        <f>1668.3+(302.3-786.5)+(-0.850833+(-0.154173--0.401115))+0-0-0</f>
        <v>1183.4961089999999</v>
      </c>
      <c r="X207" s="3">
        <f>1682.6+(346.4-690.2)+(-3.432504+(-0.706656--1.408008))+0-0-0</f>
        <v>1336.0688479999997</v>
      </c>
      <c r="Y207" s="3">
        <f>1685.9+(376.4-749.5)+(-3.439236+(-0.767856--1.52898))+0-0-0</f>
        <v>1310.1218880000001</v>
      </c>
      <c r="Z207" s="3">
        <f>1686.3+(400.7-811.5)+(-4.300065+(-1.021785--2.069325))+0-0-0</f>
        <v>1272.2474749999999</v>
      </c>
      <c r="AA207" s="3">
        <f>1687.9+(337.6-810.3)+(-2.582487+(-0.516528--1.239759))+0-0-0</f>
        <v>1213.3407440000003</v>
      </c>
      <c r="AB207" s="3">
        <f>1690.3+(235-802.2)+(-2.586159+(-0.35955--1.227366))+0-0-0</f>
        <v>1121.3816569999999</v>
      </c>
      <c r="AC207" s="3">
        <f>1592.8+(239.4-793.8)+(-4.06164+(-0.61047--2.02419))+0-0-0</f>
        <v>1035.75208</v>
      </c>
      <c r="AD207">
        <f t="shared" si="3"/>
        <v>24627.211207</v>
      </c>
      <c r="AE207" s="3">
        <f>1680+(338.3-655.6)+(0+(0-0))+0-0-0</f>
        <v>1362.7</v>
      </c>
    </row>
    <row r="208" spans="1:31" s="2" customFormat="1" x14ac:dyDescent="0.25">
      <c r="A208">
        <v>89</v>
      </c>
      <c r="B208">
        <v>7</v>
      </c>
      <c r="C208">
        <v>22</v>
      </c>
      <c r="D208">
        <v>6</v>
      </c>
      <c r="E208">
        <v>1</v>
      </c>
      <c r="F208" s="3">
        <f>1478.4+(216-744)+(-5.277888+(-0.77112--2.65608))+0-0-0</f>
        <v>947.00707200000011</v>
      </c>
      <c r="G208" s="3">
        <f>1157.9+(241.1-512.2)+(-1.181058+(-0.245922--0.522444))+0-0-0</f>
        <v>885.89546400000006</v>
      </c>
      <c r="H208" s="3">
        <f>1107.7+(235.4-484.9)+(-1.694781+(-0.360162--0.741897))+0-0-0</f>
        <v>856.88695400000006</v>
      </c>
      <c r="I208" s="3">
        <f>1107.4+(212.8-476.4)+(-1.129548+(-0.217056--0.485928))+0-0-0</f>
        <v>842.93932400000017</v>
      </c>
      <c r="J208" s="3">
        <f>1107.8+(203.2-462.2)+(0.564978+(0.103632-0.235722))+0-0-0</f>
        <v>849.232888</v>
      </c>
      <c r="K208" s="3">
        <f>1107.4+(215.5-466)+(-1.694322+(-0.329715--0.71298))+0-0-0</f>
        <v>855.58894300000009</v>
      </c>
      <c r="L208" s="3">
        <f>1111.8+(262.8-538.6)+(-1.134036+(-0.268056--0.549372))+0-0-0</f>
        <v>835.14728000000002</v>
      </c>
      <c r="M208" s="3">
        <f>1248.9+(264.2-614.7)+(1.273878+(0.269484-0.626994))+0-0-0</f>
        <v>899.31636800000012</v>
      </c>
      <c r="N208" s="3">
        <f>1420.5+(251.5-675.6)+(-0.724455+(-0.128265--0.344556))+0-0-0</f>
        <v>995.89183600000001</v>
      </c>
      <c r="O208" s="3">
        <f>1656.5+(278.1-880.6)+(0.844815+(0.141831-0.449106))+0-0-0</f>
        <v>1054.53754</v>
      </c>
      <c r="P208" s="3">
        <f>1655.6+(280.1-861.5)+(-1.688712+(-0.285702--0.87873))+0-0-0</f>
        <v>1073.1043159999999</v>
      </c>
      <c r="Q208" s="3">
        <f>1655.3+(303.9-877.7)+(1.688406+(0.309978-0.895254))+0-0-0</f>
        <v>1082.60313</v>
      </c>
      <c r="R208" s="3">
        <f>1655.9+(297.1-879)+(-5.911563+(-1.060647--3.13803))+0-0-0</f>
        <v>1070.1658199999999</v>
      </c>
      <c r="S208" s="3">
        <f>1655.4+(309.7-909)+(-5.065524+(-0.947682--2.78154))+0-0-0</f>
        <v>1052.8683340000002</v>
      </c>
      <c r="T208" s="3">
        <f>1654.5+(332.2-953.6)+(-1.68759+(-0.338844--0.972672))+0-0-0</f>
        <v>1032.0462379999999</v>
      </c>
      <c r="U208" s="3">
        <f>1655.3+(280.1-905.4)+(-4.221015+(-0.714255--2.30877))+0-0-0</f>
        <v>1027.3734999999999</v>
      </c>
      <c r="V208" s="3">
        <f>1654.8+(277.4-882.9)+(0.843948+(0.141474-0.450279))+0-0-0</f>
        <v>1049.835143</v>
      </c>
      <c r="W208" s="3">
        <f>1655.9+(285.8-762.8)+(-1.689018+(-0.291516--0.778056))+0-0-0</f>
        <v>1177.6975220000002</v>
      </c>
      <c r="X208" s="3">
        <f>1681.6+(353.9-703.1)+(-1.715232+(-0.360978--0.717162))+0-0-0</f>
        <v>1331.0409519999998</v>
      </c>
      <c r="Y208" s="3">
        <f>1686.4+(386.3-771.8)+(-3.440256+(-0.788052--1.574472))+0-0-0</f>
        <v>1298.2461640000001</v>
      </c>
      <c r="Z208" s="3">
        <f>1686.3+(379.8-813.8)+(-1.720026+(-0.387396--0.830076))+0-0-0</f>
        <v>1251.0226539999999</v>
      </c>
      <c r="AA208" s="3">
        <f>1686.1+(357.2-845)+(-4.299555+(-0.91086--2.15475))+0-0-0</f>
        <v>1195.2443349999999</v>
      </c>
      <c r="AB208" s="3">
        <f>1686.5+(230.5-793.8)+(-0.860115+(-0.117555--0.404838))+0-0-0</f>
        <v>1122.627168</v>
      </c>
      <c r="AC208" s="3">
        <f>1674.2+(229.6-792)+(-5.123052+(-0.702576--2.42352))+0-0-0</f>
        <v>1108.3978920000002</v>
      </c>
      <c r="AD208">
        <f t="shared" si="3"/>
        <v>24894.716836999996</v>
      </c>
      <c r="AE208" s="3">
        <f>1689+(371.9-722.3)+(0+(0-0))+0-0-0</f>
        <v>1338.6</v>
      </c>
    </row>
    <row r="209" spans="1:31" s="2" customFormat="1" x14ac:dyDescent="0.25">
      <c r="A209">
        <v>89</v>
      </c>
      <c r="B209">
        <v>7</v>
      </c>
      <c r="C209">
        <v>23</v>
      </c>
      <c r="D209">
        <v>7</v>
      </c>
      <c r="E209">
        <v>1</v>
      </c>
      <c r="F209" s="3">
        <f>1262.3+(258.1-575.5)+(-1.287546+(-0.263262--0.58701))+0-0-0</f>
        <v>943.93620199999998</v>
      </c>
      <c r="G209" s="3">
        <f>925.1+(298.5-347)+(-1.415403+(-0.456705--0.53091))+0-0-0</f>
        <v>875.25880200000006</v>
      </c>
      <c r="H209" s="3">
        <f>898.4+(281.4-337.8)+(0+(0-0))+0-0-0</f>
        <v>842</v>
      </c>
      <c r="I209" s="3">
        <f>896.5+(242.7-309.2)+(-0.457215+(-0.123777--0.157692))+0-0-0</f>
        <v>829.57669999999996</v>
      </c>
      <c r="J209" s="3">
        <f>896.8+(239.6-311)+(0.457368+(0.122196-0.15861))+0-0-0</f>
        <v>825.82095400000003</v>
      </c>
      <c r="K209" s="3">
        <f>896.2+(257.3-325.2)+(-1.371186+(-0.393669--0.497556))+0-0-0</f>
        <v>827.03270100000009</v>
      </c>
      <c r="L209" s="3">
        <f>901.4+(269.4-399.9)+(-1.379142+(-0.412182--0.611847))+0-0-0</f>
        <v>769.72052299999996</v>
      </c>
      <c r="M209" s="3">
        <f>911.8+(281.4-410.2)+(0+(0-0))+0-0-0</f>
        <v>783</v>
      </c>
      <c r="N209" s="3">
        <f>1034.8+(310.5-508.1)+(0+(0-0))+0-0-0</f>
        <v>837.19999999999993</v>
      </c>
      <c r="O209" s="3">
        <f>1360.3+(309.1-766.1)+(-3.468765+(-0.788205--1.953555))+0-0-0</f>
        <v>900.99658499999998</v>
      </c>
      <c r="P209" s="3">
        <f>1468.2+(306.6-829.4)+(-2.995128+(-0.625464--1.691976))+0-0-0</f>
        <v>943.47138400000006</v>
      </c>
      <c r="Q209" s="3">
        <f>1562.1+(309-909.3)+(-1.593342+(-0.31518--0.927486))+0-0-0</f>
        <v>960.81896399999994</v>
      </c>
      <c r="R209" s="3">
        <f>1653.1+(288.5-1001.4)+(-1.686162+(-0.29427--1.021428))+0-0-0</f>
        <v>939.24099599999988</v>
      </c>
      <c r="S209" s="3">
        <f>1663.1+(308.7-1045.6)+(0+(0-0))+0-0-0</f>
        <v>926.2</v>
      </c>
      <c r="T209" s="3">
        <f>1665+(305.1-1051.7)+(-0.84915+(-0.155601--0.536367))+0-0-0</f>
        <v>917.93161599999996</v>
      </c>
      <c r="U209" s="3">
        <f>1665.4+(254.2-990.9)+(-3.397416+(-0.518568--2.021436))+0-0-0</f>
        <v>926.80545200000006</v>
      </c>
      <c r="V209" s="3">
        <f>1666.9+(257.2-976.1)+(-1.700238+(-0.262344--0.995622))+0-0-0</f>
        <v>947.03304000000003</v>
      </c>
      <c r="W209" s="3">
        <f>1677.7+(267.2-855.6)+(-3.422508+(-0.545088--1.745424))+0-0-0</f>
        <v>1087.077828</v>
      </c>
      <c r="X209" s="3">
        <f>1690.5+(305.1-744.5)+(-1.72431+(-0.311202--0.75939))+0-0-0</f>
        <v>1249.8238779999999</v>
      </c>
      <c r="Y209" s="3">
        <f>1692.4+(308.4-764)+(-3.452496+(-0.629136--1.55856))+0-0-0</f>
        <v>1234.2769280000002</v>
      </c>
      <c r="Z209" s="3">
        <f>1691.7+(255.2-735.6)+(0+(0-0))+0-0-0</f>
        <v>1211.3</v>
      </c>
      <c r="AA209" s="3">
        <f>1690.7+(313-841.3)+(-2.586771+(-0.47889--1.287189))+0-0-0</f>
        <v>1160.6215280000001</v>
      </c>
      <c r="AB209" s="3">
        <f>1590.1+(256.3-775.7)+(0+(0-0))+0-0-0</f>
        <v>1070.6999999999998</v>
      </c>
      <c r="AC209" s="3">
        <f>1473.4+(202.4-688.4)+(-4.508604+(-0.619344--2.106504))+0-0-0</f>
        <v>984.37855600000012</v>
      </c>
      <c r="AD209">
        <f t="shared" si="3"/>
        <v>22994.222637000003</v>
      </c>
      <c r="AE209" s="3">
        <f>1698+(296-724.6)+(0+(0-0))+0-0-0</f>
        <v>1269.4000000000001</v>
      </c>
    </row>
    <row r="210" spans="1:31" s="2" customFormat="1" x14ac:dyDescent="0.25">
      <c r="A210">
        <v>89</v>
      </c>
      <c r="B210">
        <v>7</v>
      </c>
      <c r="C210">
        <v>24</v>
      </c>
      <c r="D210">
        <v>1</v>
      </c>
      <c r="E210">
        <v>1</v>
      </c>
      <c r="F210" s="3">
        <f>1261.9+(250.3-600.9)+(-3.217845+(-0.638265--1.532295))+0-0-0</f>
        <v>908.97618500000021</v>
      </c>
      <c r="G210" s="3">
        <f>1105.4+(209.2-457.2)+(-2.81877+(-0.53346--1.16586))+0-0-0</f>
        <v>855.21363000000008</v>
      </c>
      <c r="H210" s="3">
        <f>1105.1+(206.4-474.6)+(-0.563601+(-0.105264--0.242046))+0-0-0</f>
        <v>836.47318099999984</v>
      </c>
      <c r="I210" s="3">
        <f>1212.1+(193.1-577.9)+(0.618171+(0.098481-0.294729))+0-0-0</f>
        <v>827.72192299999995</v>
      </c>
      <c r="J210" s="3">
        <f>1322.3+(198.7-684.2)+(-1.348746+(-0.202674--0.697884))+0-0-0</f>
        <v>835.94646399999999</v>
      </c>
      <c r="K210" s="3">
        <f>1325.5+(183.2-661.4)+(-0.676005+(-0.093432--0.337314))+0-0-0</f>
        <v>846.86787699999991</v>
      </c>
      <c r="L210" s="3">
        <f>1327.7+(249.9-733.6)+(0.677127+(0.127449-0.374136))+0-0-0</f>
        <v>844.43043999999998</v>
      </c>
      <c r="M210" s="3">
        <f>1330.6+(367.5-785.1)+(1.357212+(0.37485-0.800802))+0-0-0</f>
        <v>913.93125999999984</v>
      </c>
      <c r="N210" s="3">
        <f>1618.5+(421.2-1015.2)+(-0.825435+(-0.214812--0.517752))+0-0-0</f>
        <v>1023.977505</v>
      </c>
      <c r="O210" s="3">
        <f>2028.9+(349.6-1228)+(0+(0-0))+0-0-0</f>
        <v>1150.5</v>
      </c>
      <c r="P210" s="3">
        <f>2078.9+(360.1-1283.5)+(0+(0-0))+0-0-0</f>
        <v>1155.5</v>
      </c>
      <c r="Q210" s="3">
        <f>2060.7+(468.7-1356.2)+(-2.101914+(-0.478074--1.383324))+0-0-0</f>
        <v>1172.0033359999998</v>
      </c>
      <c r="R210" s="3">
        <f>2085.1+(461.3-1389.5)+(-1.063401+(-0.235263--0.708645))+0-0-0</f>
        <v>1156.3099809999999</v>
      </c>
      <c r="S210" s="3">
        <f>2083.1+(450.3-1381.9)+(1.062381+(0.229653-0.704769))+0-0-0</f>
        <v>1152.0872649999997</v>
      </c>
      <c r="T210" s="3">
        <f>2083.5+(453.1-1402.7)+(0+(0-0))+0-0-0</f>
        <v>1133.9000000000001</v>
      </c>
      <c r="U210" s="3">
        <f>2083.1+(408.7-1360.4)+(-2.124762+(-0.416874--1.387608))+0-0-0</f>
        <v>1130.2459719999999</v>
      </c>
      <c r="V210" s="3">
        <f>1908.6+(384.1-1168.7)+(0.973386+(0.195891-0.596037))+0-0-0</f>
        <v>1124.5732399999999</v>
      </c>
      <c r="W210" s="3">
        <f>1948.9+(360.9-1038.2)+(-0.993939+(-0.184059--0.529482))+0-0-0</f>
        <v>1270.9514839999999</v>
      </c>
      <c r="X210" s="3">
        <f>2099.3+(440.5-1109.6)+(-5.353215+(-1.123275--2.82948))+0-0-0</f>
        <v>1426.5529900000004</v>
      </c>
      <c r="Y210" s="3">
        <f>2119.7+(414-1127.7)+(1.081047+(0.21114-0.575127))+0-0-0</f>
        <v>1406.7170599999997</v>
      </c>
      <c r="Z210" s="3">
        <f>2029.1+(460.1-1134.3)+(0+(0-0))+0-0-0</f>
        <v>1354.9</v>
      </c>
      <c r="AA210" s="3">
        <f>1947.3+(469.4-1143.3)+(0+(0-0))+0-0-0</f>
        <v>1273.4000000000001</v>
      </c>
      <c r="AB210" s="3">
        <f>1940.6+(327.5-1084.2)+(-3.958824+(-0.6681--2.211768))+0-0-0</f>
        <v>1181.4848439999998</v>
      </c>
      <c r="AC210" s="3">
        <f>1846.7+(260.5-1026.4)+(-4.709085+(-0.664275--2.61732))+0-0-0</f>
        <v>1078.04396</v>
      </c>
      <c r="AD210">
        <f t="shared" si="3"/>
        <v>26060.708597000001</v>
      </c>
      <c r="AE210" s="3">
        <f>2118+(460.6-1127.6)+(0+(0-0))+0-0-0</f>
        <v>1451</v>
      </c>
    </row>
    <row r="211" spans="1:31" s="2" customFormat="1" x14ac:dyDescent="0.25">
      <c r="A211">
        <v>89</v>
      </c>
      <c r="B211">
        <v>7</v>
      </c>
      <c r="C211">
        <v>25</v>
      </c>
      <c r="D211">
        <v>2</v>
      </c>
      <c r="E211">
        <v>1</v>
      </c>
      <c r="F211" s="3">
        <f>1507.9+(251.8-784)+(-2.307087+(-0.385254--1.19952))+0-0-0</f>
        <v>974.207179</v>
      </c>
      <c r="G211" s="3">
        <f>1332.3+(276.7-687.9)+(-2.038419+(-0.423351--1.052487))+0-0-0</f>
        <v>919.69071699999995</v>
      </c>
      <c r="H211" s="3">
        <f>1327.8+(248.2-683.1)+(-2.031534+(-0.379746--1.045143))+0-0-0</f>
        <v>891.53386299999988</v>
      </c>
      <c r="I211" s="3">
        <f>1325.2+(207.2-658.3)+(-0.675852+(-0.105672--0.335733))+0-0-0</f>
        <v>873.65420900000015</v>
      </c>
      <c r="J211" s="3">
        <f>1326.2+(199.5-641.9)+(0.676362+(0.101745-0.327369))+0-0-0</f>
        <v>884.25073800000007</v>
      </c>
      <c r="K211" s="3">
        <f>1327.8+(211.4-646.5)+(-0.677178+(-0.107814--0.329715))+0-0-0</f>
        <v>892.24472299999991</v>
      </c>
      <c r="L211" s="3">
        <f>1327.2+(217.1-669.3)+(-0.676872+(-0.110721--0.341343))+0-0-0</f>
        <v>874.55375000000015</v>
      </c>
      <c r="M211" s="3">
        <f>1534+(243.6-837.9)+(0.78234+(0.124236-0.427329))+0-0-0</f>
        <v>940.17924700000003</v>
      </c>
      <c r="N211" s="3">
        <f>1772.2+(322.1-1052.6)+(2.711466+(0.492813-1.610478))+0-0-0</f>
        <v>1043.2938010000003</v>
      </c>
      <c r="O211" s="3">
        <f>2035+(323-1248)+(0+(0-0))+0-0-0</f>
        <v>1110</v>
      </c>
      <c r="P211" s="3">
        <f>2088.5+(364.8-1300.7)+(-1.065135+(-0.186048--0.663357))+0-0-0</f>
        <v>1152.012174</v>
      </c>
      <c r="Q211" s="3">
        <f>2156.8+(399.1-1377.4)+(-1.099968+(-0.203541--0.702474))+0-0-0</f>
        <v>1177.8989650000001</v>
      </c>
      <c r="R211" s="3">
        <f>2187.6+(400.9-1466.5)+(0+(0-0))+0-0-0</f>
        <v>1122</v>
      </c>
      <c r="S211" s="3">
        <f>2223.4+(408.7-1484.2)+(-1.133934+(-0.208437--0.756942))+0-0-0</f>
        <v>1147.3145710000001</v>
      </c>
      <c r="T211" s="3">
        <f>2220.4+(414.8-1506.1)+(0+(0-0))+0-0-0</f>
        <v>1129.1000000000001</v>
      </c>
      <c r="U211" s="3">
        <f>2223+(395.5-1493.6)+(-3.40119+(-0.605115--2.285208))+0-0-0</f>
        <v>1123.178903</v>
      </c>
      <c r="V211" s="3">
        <f>2150+(273.7-1275.2)+(-2.193+(-0.279174--1.300704))+0-0-0</f>
        <v>1147.32853</v>
      </c>
      <c r="W211" s="3">
        <f>2212.8+(288.9-1189.9)+(-1.128528+(-0.147339--0.606849))+0-0-0</f>
        <v>1311.1309820000001</v>
      </c>
      <c r="X211" s="3">
        <f>2288.7+(418.7-1277.8)+(-3.501711+(-0.640611--1.955034))+0-0-0</f>
        <v>1427.4127119999998</v>
      </c>
      <c r="Y211" s="3">
        <f>2290+(427-1319.5)+(-4.6716+(-0.87108--2.69178))+0-0-0</f>
        <v>1394.6491000000001</v>
      </c>
      <c r="Z211" s="3">
        <f>2292+(363.4-1315.4)+(-3.50676+(-0.556002--2.012562))+0-0-0</f>
        <v>1337.9498000000001</v>
      </c>
      <c r="AA211" s="3">
        <f>2292.8+(364.6-1385.6)+(-1.169328+(-0.185946--0.706656))+0-0-0</f>
        <v>1271.1513820000002</v>
      </c>
      <c r="AB211" s="3">
        <f>2149.8+(263-1226.9)+(-3.289194+(-0.40239--1.877157))+0-0-0</f>
        <v>1184.0855730000001</v>
      </c>
      <c r="AC211" s="3">
        <f>1826.1+(268.9-1024.4)+(-0.931311+(-0.137139--0.522444))+0-0-0</f>
        <v>1070.0539939999999</v>
      </c>
      <c r="AD211">
        <f t="shared" si="3"/>
        <v>26398.874913</v>
      </c>
      <c r="AE211" s="3">
        <f>2293+(476.3-1307.3)+(0+(0-0))+0-0-0</f>
        <v>1462</v>
      </c>
    </row>
    <row r="212" spans="1:31" s="2" customFormat="1" x14ac:dyDescent="0.25">
      <c r="A212">
        <v>89</v>
      </c>
      <c r="B212">
        <v>7</v>
      </c>
      <c r="C212">
        <v>26</v>
      </c>
      <c r="D212">
        <v>3</v>
      </c>
      <c r="E212">
        <v>1</v>
      </c>
      <c r="F212" s="3">
        <f>1371.1+(331.8-721.9)+(-2.797044+(-0.676872--1.472676))+0-0-0</f>
        <v>978.99875999999995</v>
      </c>
      <c r="G212" s="3">
        <f>1134.6+(330-543.4)+(0.578646+(0.1683-0.277134))+0-0-0</f>
        <v>921.66981199999998</v>
      </c>
      <c r="H212" s="3">
        <f>1137.9+(314.8-562.6)+(-1.160658+(-0.321096--0.573852))+0-0-0</f>
        <v>889.1920980000001</v>
      </c>
      <c r="I212" s="3">
        <f>1138.2+(268.9-532.6)+(-2.321928+(-0.548556--1.086504))+0-0-0</f>
        <v>872.71601999999996</v>
      </c>
      <c r="J212" s="3">
        <f>1138.2+(254-520.2)+(1.741446+(0.38862-0.795906))+0-0-0</f>
        <v>873.33416</v>
      </c>
      <c r="K212" s="3">
        <f>1137.3+(239.4-490.9)+(-1.740069+(-0.366282--0.751077))+0-0-0</f>
        <v>884.44472599999995</v>
      </c>
      <c r="L212" s="3">
        <f>1134.4+(251.8-492)+(1.157088+(0.256836-0.50184))+0-0-0</f>
        <v>895.1120840000001</v>
      </c>
      <c r="M212" s="3">
        <f>1317.5+(336.1-682.8)+(0.671925+(0.171411-0.348228))+0-0-0</f>
        <v>971.29510800000003</v>
      </c>
      <c r="N212" s="3">
        <f>1554.9+(330.3-828.3)+(1.585998+(0.336906-0.844866))+0-0-0</f>
        <v>1057.9780380000002</v>
      </c>
      <c r="O212" s="3">
        <f>1699.2+(388.2-980.5)+(0+(0-0))+0-0-0</f>
        <v>1106.9000000000001</v>
      </c>
      <c r="P212" s="3">
        <f>1688+(415.4-977.6)+(0+(0-0))+0-0-0</f>
        <v>1125.8</v>
      </c>
      <c r="Q212" s="3">
        <f>1762.7+(469.5-1091.9)+(0+(0-0))+0-0-0</f>
        <v>1140.3</v>
      </c>
      <c r="R212" s="3">
        <f>1948.9+(449.8-1289.7)+(1.987878+(0.458796-1.315494))+0-0-0</f>
        <v>1110.1311800000001</v>
      </c>
      <c r="S212" s="3">
        <f>1982+(454-1335.1)+(1.01082+(0.23154-0.680901))+0-0-0</f>
        <v>1101.4614590000001</v>
      </c>
      <c r="T212" s="3">
        <f>1985+(451.4-1345.4)+(-3.03705+(-0.690642--2.058462))+0-0-0</f>
        <v>1089.33077</v>
      </c>
      <c r="U212" s="3">
        <f>1989.3+(428.8-1302.4)+(-1.014543+(-0.218688--0.664224))+0-0-0</f>
        <v>1115.1309929999998</v>
      </c>
      <c r="V212" s="3">
        <f>1887.2+(378.3-1137)+(-1.924944+(-0.385866--1.15974))+0-0-0</f>
        <v>1127.3489300000001</v>
      </c>
      <c r="W212" s="3">
        <f>1956.9+(358.3-1039.8)+(0.998019+(0.182733-0.530298))+0-0-0</f>
        <v>1276.0504540000002</v>
      </c>
      <c r="X212" s="3">
        <f>2298.8+(409.3-1336.4)+(-3.517164+(-0.626229--2.044692))+0-0-0</f>
        <v>1369.6012990000002</v>
      </c>
      <c r="Y212" s="3">
        <f>2279.2+(419.4-1343.1)+(0+(0-0))+0-0-0</f>
        <v>1355.5</v>
      </c>
      <c r="Z212" s="3">
        <f>2182.1+(427-1303.6)+(0+(0-0))+0-0-0</f>
        <v>1305.5</v>
      </c>
      <c r="AA212" s="3">
        <f>2086.7+(442.1-1288.6)+(-5.321085+(-1.127355--3.28593))+0-0-0</f>
        <v>1237.0374899999997</v>
      </c>
      <c r="AB212" s="3">
        <f>1889.2+(307.4-1047.5)+(-1.926984+(-0.313548--1.06845))+0-0-0</f>
        <v>1147.9279179999999</v>
      </c>
      <c r="AC212" s="3">
        <f>1696.2+(341.7-982.4)+(-5.190372+(-1.045602--3.006144))+0-0-0</f>
        <v>1052.27017</v>
      </c>
      <c r="AD212">
        <f t="shared" si="3"/>
        <v>26005.031469000001</v>
      </c>
      <c r="AE212" s="3">
        <f>2298+(450.3-1355.2)+(0+(0-0))+0-0-0</f>
        <v>1393.1</v>
      </c>
    </row>
    <row r="213" spans="1:31" s="2" customFormat="1" x14ac:dyDescent="0.25">
      <c r="A213">
        <v>89</v>
      </c>
      <c r="B213">
        <v>7</v>
      </c>
      <c r="C213">
        <v>27</v>
      </c>
      <c r="D213">
        <v>4</v>
      </c>
      <c r="E213">
        <v>1</v>
      </c>
      <c r="F213" s="3">
        <f>1332.9+(414-801.5)+(-1.359558+(-0.42228--0.81753))+0-0-0</f>
        <v>944.43569200000013</v>
      </c>
      <c r="G213" s="3">
        <f>1107+(401.3-602.8)+(-0.56457+(-0.204663--0.307428))+0-0-0</f>
        <v>905.03819499999997</v>
      </c>
      <c r="H213" s="3">
        <f>1103.4+(394.2-613.7)+(-1.688202+(-0.603126--0.938961))+0-0-0</f>
        <v>882.54763300000013</v>
      </c>
      <c r="I213" s="3">
        <f>1103.1+(376.2-611.2)+(-0.562581+(-0.191862--0.311712))+0-0-0</f>
        <v>867.65726899999993</v>
      </c>
      <c r="J213" s="3">
        <f>1103.3+(368.7-604.1)+(1.125366+(0.376074-0.616182))+0-0-0</f>
        <v>868.78525799999989</v>
      </c>
      <c r="K213" s="3">
        <f>1103.9+(366.5-591.2)+(1.125978+(0.37383-0.603024))+0-0-0</f>
        <v>880.09678400000007</v>
      </c>
      <c r="L213" s="3">
        <f>1103.7+(412.8-636.2)+(0+(0-0))+0-0-0</f>
        <v>880.3</v>
      </c>
      <c r="M213" s="3">
        <f>1261.6+(412.8-740.4)+(1.286832+(0.421056-0.755208))+0-0-0</f>
        <v>934.95267999999999</v>
      </c>
      <c r="N213" s="3">
        <f>1527.6+(426.2-915.2)+(0.779076+(0.217362-0.466752))+0-0-0</f>
        <v>1039.129686</v>
      </c>
      <c r="O213" s="3">
        <f>1668.8+(415-996.8)+(3.404352+(0.8466-2.033472))+0-0-0</f>
        <v>1089.21748</v>
      </c>
      <c r="P213" s="3">
        <f>1727.3+(449.6-1061.5)+(-0.880923+(-0.229296--0.541365))+0-0-0</f>
        <v>1114.831146</v>
      </c>
      <c r="Q213" s="3">
        <f>1880.1+(472.2-1216.6)+(0.958851+(0.240822-0.620466))+0-0-0</f>
        <v>1136.279207</v>
      </c>
      <c r="R213" s="3">
        <f>1981+(417.7-1289.8)+(-5.05155+(-1.065135--3.28899))+0-0-0</f>
        <v>1106.0723050000001</v>
      </c>
      <c r="S213" s="3">
        <f>2001.3+(428.1-1342.1)+(0+(0-0))+0-0-0</f>
        <v>1087.3000000000002</v>
      </c>
      <c r="T213" s="3">
        <f>2061.7+(433.1-1423.2)+(-1.051467+(-0.220881--0.725832))+0-0-0</f>
        <v>1071.0534839999998</v>
      </c>
      <c r="U213" s="3">
        <f>1928.4+(412.4-1275.6)+(-2.950452+(-0.630972--1.951668))+0-0-0</f>
        <v>1063.5702440000002</v>
      </c>
      <c r="V213" s="3">
        <f>1812.9+(377.5-1100.9)+(0+(0-0))+0-0-0</f>
        <v>1089.5</v>
      </c>
      <c r="W213" s="3">
        <f>1834.8+(334.5-911.5)+(1.871496+(0.34119-0.92973))+0-0-0</f>
        <v>1259.082956</v>
      </c>
      <c r="X213" s="3">
        <f>2108.6+(431.8-1165.9)+(0+(0-0))+0-0-0</f>
        <v>1374.4999999999998</v>
      </c>
      <c r="Y213" s="3">
        <f>2145.9+(445.2-1242.9)+(-1.094409+(-0.227052--0.633879))+0-0-0</f>
        <v>1347.512418</v>
      </c>
      <c r="Z213" s="3">
        <f>2107.2+(445.1-1253.2)+(-2.149344+(-0.454002--1.278264))+0-0-0</f>
        <v>1297.7749179999998</v>
      </c>
      <c r="AA213" s="3">
        <f>2034.6+(437.2-1225.2)+(-2.075292+(-0.445944--1.249704))+0-0-0</f>
        <v>1245.3284679999999</v>
      </c>
      <c r="AB213" s="3">
        <f>1930.9+(355.1-1130.8)+(-3.939036+(-0.724404--2.306832))+0-0-0</f>
        <v>1152.8433920000002</v>
      </c>
      <c r="AC213" s="3">
        <f>1723.5+(354.1-1029.4)+(-2.636955+(-0.541773--1.574982))+0-0-0</f>
        <v>1046.5962539999998</v>
      </c>
      <c r="AD213">
        <f t="shared" si="3"/>
        <v>25684.405468999994</v>
      </c>
      <c r="AE213" s="3">
        <f>2132+(457.1-1186.1)+(0+(0-0))+0-0-0</f>
        <v>1403</v>
      </c>
    </row>
    <row r="214" spans="1:31" s="2" customFormat="1" x14ac:dyDescent="0.25">
      <c r="A214">
        <v>89</v>
      </c>
      <c r="B214">
        <v>7</v>
      </c>
      <c r="C214">
        <v>28</v>
      </c>
      <c r="D214">
        <v>5</v>
      </c>
      <c r="E214">
        <v>1</v>
      </c>
      <c r="F214" s="3">
        <f>1451.6+(304.8-800.5)+(-4.441896+(-0.932688--2.44953))+0-0-0</f>
        <v>952.97494599999982</v>
      </c>
      <c r="G214" s="3">
        <f>1260.4+(232.7-596.8)+(-1.285608+(-0.237354--0.608736))+0-0-0</f>
        <v>895.3857740000002</v>
      </c>
      <c r="H214" s="3">
        <f>1252.5+(217-602.3)+(-1.916325+(-0.33201--0.921519))+0-0-0</f>
        <v>865.87318400000004</v>
      </c>
      <c r="I214" s="3">
        <f>1253.9+(196-597)+(-1.278978+(-0.19992--0.60894))+0-0-0</f>
        <v>852.03004200000009</v>
      </c>
      <c r="J214" s="3">
        <f>1253.3+(191.3-590.6)+(0.639183+(0.097563-0.301206))+0-0-0</f>
        <v>854.43553999999995</v>
      </c>
      <c r="K214" s="3">
        <f>1252.5+(254.3-640.3)+(-0.638775+(-0.129693--0.326553))+0-0-0</f>
        <v>866.05808500000001</v>
      </c>
      <c r="L214" s="3">
        <f>1254.6+(262.4-664.7)+(-3.19923+(-0.66912--1.694985))+0-0-0</f>
        <v>850.12663499999985</v>
      </c>
      <c r="M214" s="3">
        <f>1440.4+(312.4-840.3)+(1.469208+(0.318648-0.857106))+0-0-0</f>
        <v>913.4307500000001</v>
      </c>
      <c r="N214" s="3">
        <f>1734.5+(380.1-1095.1)+(0.884595+(0.193851-0.558501))+0-0-0</f>
        <v>1020.0199450000001</v>
      </c>
      <c r="O214" s="3">
        <f>1811.8+(414.4-1158.4)+(0+(0-0))+0-0-0</f>
        <v>1067.7999999999997</v>
      </c>
      <c r="P214" s="3">
        <f>1820.4+(443.9-1165.2)+(2.785212+(0.679167-1.782756))+0-0-0</f>
        <v>1100.7816229999999</v>
      </c>
      <c r="Q214" s="3">
        <f>1940.2+(410.2-1235.1)+(-0.989502+(-0.209202--0.629901))+0-0-0</f>
        <v>1114.7311970000003</v>
      </c>
      <c r="R214" s="3">
        <f>1926.2+(435.7-1258.6)+(-2.947086+(-0.666621--1.925658))+0-0-0</f>
        <v>1101.6119510000001</v>
      </c>
      <c r="S214" s="3">
        <f>1927.2+(443.2-1273)+(0+(0-0))+0-0-0</f>
        <v>1097.4000000000001</v>
      </c>
      <c r="T214" s="3">
        <f>1926.2+(454.3-1300.2)+(-0.982362+(-0.231693--0.663102))+0-0-0</f>
        <v>1079.749047</v>
      </c>
      <c r="U214" s="3">
        <f>1908+(434.3-1278)+(-1.94616+(-0.442986--1.30356))+0-0-0</f>
        <v>1063.214414</v>
      </c>
      <c r="V214" s="3">
        <f>1775.4+(427.5-1118.1)+(-0.905454+(-0.218025--0.570231))+0-0-0</f>
        <v>1084.2467520000002</v>
      </c>
      <c r="W214" s="3">
        <f>1876.4+(400.2-1022.1)+(-2.870892+(-0.612306--1.563813))+0-0-0</f>
        <v>1252.5806150000001</v>
      </c>
      <c r="X214" s="3">
        <f>2015.2+(452.6-1094.4)+(-1.027752+(-0.230826--0.558144))+0-0-0</f>
        <v>1372.699566</v>
      </c>
      <c r="Y214" s="3">
        <f>2006.1+(486.2-1154.9)+(-2.046222+(-0.495924--1.177998))+0-0-0</f>
        <v>1336.035852</v>
      </c>
      <c r="Z214" s="3">
        <f>1833+(474.3-1020.4)+(-2.80449+(-0.725679--1.561212))+0-0-0</f>
        <v>1284.931043</v>
      </c>
      <c r="AA214" s="3">
        <f>1772.5+(448.9-998.9)+(-0.903975+(-0.228939--0.509439))+0-0-0</f>
        <v>1221.8765249999999</v>
      </c>
      <c r="AB214" s="3">
        <f>1741.7+(340-944.9)+(-7.106136+(-1.3872--3.855192))+0-0-0</f>
        <v>1132.1618560000002</v>
      </c>
      <c r="AC214" s="3">
        <f>1670+(310.8-930.7)+(-2.5551+(-0.475524--1.423971))+0-0-0</f>
        <v>1048.4933469999999</v>
      </c>
      <c r="AD214">
        <f t="shared" si="3"/>
        <v>25428.648688999998</v>
      </c>
      <c r="AE214" s="3">
        <f>2014+(464.9-1087.3)+(0+(0-0))+0-0-0</f>
        <v>1391.6</v>
      </c>
    </row>
    <row r="215" spans="1:31" s="2" customFormat="1" x14ac:dyDescent="0.25">
      <c r="A215">
        <v>89</v>
      </c>
      <c r="B215">
        <v>7</v>
      </c>
      <c r="C215">
        <v>29</v>
      </c>
      <c r="D215">
        <v>6</v>
      </c>
      <c r="E215">
        <v>1</v>
      </c>
      <c r="F215" s="3">
        <f>1449.9+(294.3-771.2)+(-2.957796+(-0.600372--1.573248))+0-0-0</f>
        <v>971.01508000000001</v>
      </c>
      <c r="G215" s="3">
        <f>1119.1+(303.3-518.5)+(-1.712223+(-0.464049--0.793305))+0-0-0</f>
        <v>902.51703299999986</v>
      </c>
      <c r="H215" s="3">
        <f>1110.5+(301.6-532.7)+(-1.13271+(-0.307632--0.543354))+0-0-0</f>
        <v>878.50301200000001</v>
      </c>
      <c r="I215" s="3">
        <f>1110.7+(280.5-532.8)+(0+(0-0))+0-0-0</f>
        <v>858.40000000000009</v>
      </c>
      <c r="J215" s="3">
        <f>1110.8+(266.5-517.2)+(0+(0-0))+0-0-0</f>
        <v>860.09999999999991</v>
      </c>
      <c r="K215" s="3">
        <f>1109.9+(254.8-491.7)+(-2.264196+(-0.519792--1.003068))+0-0-0</f>
        <v>871.21908000000008</v>
      </c>
      <c r="L215" s="3">
        <f>1109.9+(278.3-534.2)+(-0.566049+(-0.141933--0.272442))+0-0-0</f>
        <v>853.56446000000005</v>
      </c>
      <c r="M215" s="3">
        <f>1284.1+(247.3-616.4)+(-0.654891+(-0.126123--0.314364))+0-0-0</f>
        <v>914.53335000000004</v>
      </c>
      <c r="N215" s="3">
        <f>1458.8+(381.8-833.4)+(-1.487976+(-0.389436--0.850068))+0-0-0</f>
        <v>1006.1726560000001</v>
      </c>
      <c r="O215" s="3">
        <f>1524.1+(391.7-848.4)+(0.777291+(0.199767-0.432684))+0-0-0</f>
        <v>1067.9443739999999</v>
      </c>
      <c r="P215" s="3">
        <f>1659.4+(425-973.9)+(0.846294+(0.21675-0.496689))+0-0-0</f>
        <v>1111.0663549999999</v>
      </c>
      <c r="Q215" s="3">
        <f>1672.9+(420.7-961.8)+(-0.853179+(-0.214557--0.490518))+0-0-0</f>
        <v>1131.2227820000003</v>
      </c>
      <c r="R215" s="3">
        <f>1671.9+(409.9-961.4)+(-4.263345+(-1.045245--2.45157))+0-0-0</f>
        <v>1117.5429800000002</v>
      </c>
      <c r="S215" s="3">
        <f>1669.3+(390.7-975.8)+(0+(0-0))+0-0-0</f>
        <v>1084.2</v>
      </c>
      <c r="T215" s="3">
        <f>1670.1+(402.3-1008.2)+(0.851751+(0.205173-0.514182))+0-0-0</f>
        <v>1064.7427419999999</v>
      </c>
      <c r="U215" s="3">
        <f>1669.6+(339.7-971.1)+(-4.25748+(-0.866235--2.476305))+0-0-0</f>
        <v>1035.5525899999998</v>
      </c>
      <c r="V215" s="3">
        <f>1722.4+(237.3-916.9)+(-3.513696+(-0.484092--1.870476))+0-0-0</f>
        <v>1040.6726880000001</v>
      </c>
      <c r="W215" s="3">
        <f>1818.9+(224.7-812.5)+(0.927639+(0.114597-0.414375))+0-0-0</f>
        <v>1231.7278610000001</v>
      </c>
      <c r="X215" s="3">
        <f>1852.6+(330.9-838.8)+(1.889652+(0.337518-0.855576))+0-0-0</f>
        <v>1346.0715939999998</v>
      </c>
      <c r="Y215" s="3">
        <f>1854.9+(382-914.4)+(-4.729995+(-0.9741--2.33172))+0-0-0</f>
        <v>1319.1276250000001</v>
      </c>
      <c r="Z215" s="3">
        <f>1855.6+(433.3-1014.8)+(-3.785424+(-0.883932--2.070192))+0-0-0</f>
        <v>1271.5008359999999</v>
      </c>
      <c r="AA215" s="3">
        <f>1857+(449.4-1082.4)+(-1.89414+(-0.458388--1.104048))+0-0-0</f>
        <v>1222.75152</v>
      </c>
      <c r="AB215" s="3">
        <f>1850.5+(366.7-1071.8)+(-2.831265+(-0.561051--1.639854))+0-0-0</f>
        <v>1143.6475380000002</v>
      </c>
      <c r="AC215" s="3">
        <f>1746.5+(320.1-1012.5)+(0+(0-0))+0-0-0</f>
        <v>1054.0999999999999</v>
      </c>
      <c r="AD215">
        <f t="shared" si="3"/>
        <v>25357.896156000003</v>
      </c>
      <c r="AE215" s="3">
        <f>1851+(349.4-855.8)+(0+(0-0))+0-0-0</f>
        <v>1344.6</v>
      </c>
    </row>
    <row r="216" spans="1:31" s="2" customFormat="1" x14ac:dyDescent="0.25">
      <c r="A216">
        <v>89</v>
      </c>
      <c r="B216">
        <v>7</v>
      </c>
      <c r="C216">
        <v>30</v>
      </c>
      <c r="D216">
        <v>7</v>
      </c>
      <c r="E216">
        <v>1</v>
      </c>
      <c r="F216" s="3">
        <f>1513.4+(248.7-814.2)+(0.771834+(0.126837-0.415242))+0-0-0</f>
        <v>948.38342900000009</v>
      </c>
      <c r="G216" s="3">
        <f>1297.4+(229.9-643.5)+(-2.646696+(-0.468996--1.31274))+0-0-0</f>
        <v>881.99704800000006</v>
      </c>
      <c r="H216" s="3">
        <f>1106.2+(221.7-477.1)+(-2.82081+(-0.565335--1.216605))+0-0-0</f>
        <v>848.63045999999997</v>
      </c>
      <c r="I216" s="3">
        <f>1105.5+(203.5-480)+(-1.691415+(-0.311355--0.7344))+0-0-0</f>
        <v>827.73163</v>
      </c>
      <c r="J216" s="3">
        <f>1105.8+(180.7-463.5)+(0+(0-0))+0-0-0</f>
        <v>823</v>
      </c>
      <c r="K216" s="3">
        <f>1105.6+(188.6-466.5)+(0+(0-0))+0-0-0</f>
        <v>827.69999999999993</v>
      </c>
      <c r="L216" s="3">
        <f>1106.5+(258.4-592.6)+(-1.692945+(-0.395352--0.906678))+0-0-0</f>
        <v>771.118381</v>
      </c>
      <c r="M216" s="3">
        <f>1107.3+(276.4-600.5)+(0.564723+(0.140964-0.306255))+0-0-0</f>
        <v>783.59943199999998</v>
      </c>
      <c r="N216" s="3">
        <f>1102.9+(249.1-516.6)+(0+(0-0))+0-0-0</f>
        <v>835.40000000000009</v>
      </c>
      <c r="O216" s="3">
        <f>1404.5+(256.5-689.6)+(0+(0-0))+0-0-0</f>
        <v>971.4</v>
      </c>
      <c r="P216" s="3">
        <f>1652.2+(331.3-1021.5)+(-2.527866+(-0.506889--1.562895))+0-0-0</f>
        <v>960.52814000000001</v>
      </c>
      <c r="Q216" s="3">
        <f>1664.9+(326.9-1016.5)+(0+(0-0))+0-0-0</f>
        <v>975.30000000000007</v>
      </c>
      <c r="R216" s="3">
        <f>1649.4+(337.6-1033.9)+(-0.841194+(-0.172176--0.527289))+0-0-0</f>
        <v>952.61391900000001</v>
      </c>
      <c r="S216" s="3">
        <f>1646.8+(320-1039.5)+(-3.359472+(-0.6528--2.12058))+0-0-0</f>
        <v>925.40830799999992</v>
      </c>
      <c r="T216" s="3">
        <f>1647+(249.2-984.6)+(-2.51991+(-0.381276--1.506438))+0-0-0</f>
        <v>910.20525199999986</v>
      </c>
      <c r="U216" s="3">
        <f>1650.9+(249.3-989.7)+(-4.209795+(-0.635715--2.523735))+0-0-0</f>
        <v>908.178225</v>
      </c>
      <c r="V216" s="3">
        <f>1652.9+(191.4-900.8)+(-1.685958+(-0.195228--0.918816))+0-0-0</f>
        <v>942.53763000000015</v>
      </c>
      <c r="W216" s="3">
        <f>1667+(193.3-752)+(1.70034+(0.197166-0.76704))+0-0-0</f>
        <v>1109.430466</v>
      </c>
      <c r="X216" s="3">
        <f>1684.9+(286.2-757.6)+(2.577897+(0.437886-1.159128))+0-0-0</f>
        <v>1215.356655</v>
      </c>
      <c r="Y216" s="3">
        <f>1686.3+(343.9-824.4)+(0.860013+(0.175389-0.420444))+0-0-0</f>
        <v>1206.4149579999998</v>
      </c>
      <c r="Z216" s="3">
        <f>1597.9+(379.8-800)+(0.814929+(0.193698-0.408))+0-0-0</f>
        <v>1178.3006270000001</v>
      </c>
      <c r="AA216" s="3">
        <f>1479.6+(420.8-758.8)+(-1.509192+(-0.429216--0.773976))+0-0-0</f>
        <v>1140.4355679999999</v>
      </c>
      <c r="AB216" s="3">
        <f>1481.1+(329.9-745.9)+(-2.266083+(-0.504747--1.141227))+0-0-0</f>
        <v>1063.4703969999998</v>
      </c>
      <c r="AC216" s="3">
        <f>1369.9+(288.7-673.6)+(-1.397298+(-0.294474--0.687072))+0-0-0</f>
        <v>983.99530000000004</v>
      </c>
      <c r="AD216">
        <f t="shared" si="3"/>
        <v>22991.135825000001</v>
      </c>
      <c r="AE216" s="3">
        <f>1685+(348.3-804.6)+(0+(0-0))+0-0-0</f>
        <v>1228.7</v>
      </c>
    </row>
    <row r="217" spans="1:31" s="2" customFormat="1" x14ac:dyDescent="0.25">
      <c r="A217">
        <v>89</v>
      </c>
      <c r="B217">
        <v>8</v>
      </c>
      <c r="C217">
        <v>1</v>
      </c>
      <c r="D217">
        <v>1</v>
      </c>
      <c r="E217">
        <v>1</v>
      </c>
      <c r="F217" s="3">
        <f>1099.7+(295.2-496)+(-1.121694+(-0.301104--0.50592))+0-0-0</f>
        <v>897.98312200000009</v>
      </c>
      <c r="G217" s="3">
        <f>1100.3+(250.8-496.5)+(-1.683459+(-0.383724--0.759645))+0-0-0</f>
        <v>853.29246199999989</v>
      </c>
      <c r="H217" s="3">
        <f>1100.2+(258-515.1)+(-1.683306+(-0.39474--0.788103))+0-0-0</f>
        <v>841.81005700000003</v>
      </c>
      <c r="I217" s="3">
        <f>1099.8+(231.8-508.7)+(-1.682694+(-0.354654--0.778311))+0-0-0</f>
        <v>821.64096299999994</v>
      </c>
      <c r="J217" s="3">
        <f>1098.2+(215.8-486.5)+(-2.240328+(-0.440232--0.99246))+0-0-0</f>
        <v>825.81190000000004</v>
      </c>
      <c r="K217" s="3">
        <f>1098.1+(195-454.4)+(0+(0-0))+0-0-0</f>
        <v>838.69999999999993</v>
      </c>
      <c r="L217" s="3">
        <f>1100.6+(260.1-491)+(-0.561306+(-0.132651--0.25041))+0-0-0</f>
        <v>869.25645299999996</v>
      </c>
      <c r="M217" s="3">
        <f>1163.4+(261.3-506.6)+(1.780002+(0.399789-0.775098))+0-0-0</f>
        <v>919.50469300000009</v>
      </c>
      <c r="N217" s="3">
        <f>1392.9+(364.3-740)+(0+(0-0))+0-0-0</f>
        <v>1017.2</v>
      </c>
      <c r="O217" s="3">
        <f>1472.4+(428.1-842.9)+(-0.750924+(-0.218331--0.429879))+0-0-0</f>
        <v>1057.0606240000002</v>
      </c>
      <c r="P217" s="3">
        <f>1567.4+(475.9-948)+(2.398122+(0.728127-1.45044))+0-0-0</f>
        <v>1096.9758090000003</v>
      </c>
      <c r="Q217" s="3">
        <f>1521.2+(510.9-934.8)+(0+(0-0))+0-0-0</f>
        <v>1097.3000000000002</v>
      </c>
      <c r="R217" s="3">
        <f>1616.3+(507.8-1047.7)+(-2.472939+(-0.776934--1.602981))+0-0-0</f>
        <v>1074.7531079999999</v>
      </c>
      <c r="S217" s="3">
        <f>1616.2+(521.7-1064.6)+(-4.945572+(-1.596402--3.257676))+0-0-0</f>
        <v>1070.0157020000001</v>
      </c>
      <c r="T217" s="3">
        <f>1615.5+(498.8-1134.3)+(0+(0-0))+0-0-0</f>
        <v>980</v>
      </c>
      <c r="U217" s="3">
        <f>1616.7+(515.3-1075.5)+(-1.649034+(-0.525606--1.09701))+0-0-0</f>
        <v>1055.42237</v>
      </c>
      <c r="V217" s="3">
        <f>1600.4+(421.4-916.4)+(-2.448612+(-0.644742--1.402092))+0-0-0</f>
        <v>1103.708738</v>
      </c>
      <c r="W217" s="3">
        <f>1770.2+(368.7-871.9)+(0.902802+(0.188037-0.444669))+0-0-0</f>
        <v>1267.64617</v>
      </c>
      <c r="X217" s="3">
        <f>1855.4+(369.3-892.8)+(-2.838762+(-0.565029--1.365984))+0-0-0</f>
        <v>1329.8621930000002</v>
      </c>
      <c r="Y217" s="3">
        <f>1858.1+(414.4-969.3)+(-1.895262+(-0.422688--0.988686))+0-0-0</f>
        <v>1301.8707359999999</v>
      </c>
      <c r="Z217" s="3">
        <f>1861.8+(439.7-1052)+(-2.848554+(-0.672741--1.60956))+0-0-0</f>
        <v>1247.5882650000001</v>
      </c>
      <c r="AA217" s="3">
        <f>1860.8+(432.2-1099.5)+(-1.898016+(-0.440844--1.12149))+0-0-0</f>
        <v>1192.2826299999999</v>
      </c>
      <c r="AB217" s="3">
        <f>1739.2+(373.3-1000.7)+(-4.43496+(-0.951915--2.551785))+0-0-0</f>
        <v>1108.9649099999999</v>
      </c>
      <c r="AC217" s="3">
        <f>1487.2+(391.7-856.9)+(-3.79236+(-0.998835--2.185095))+0-0-0</f>
        <v>1019.3939</v>
      </c>
      <c r="AD217">
        <f t="shared" si="3"/>
        <v>24888.044805000001</v>
      </c>
      <c r="AE217" s="3">
        <f>1867+(399-903)+(0+(0-0))+0-0-0</f>
        <v>1363</v>
      </c>
    </row>
    <row r="218" spans="1:31" s="2" customFormat="1" x14ac:dyDescent="0.25">
      <c r="A218">
        <v>89</v>
      </c>
      <c r="B218">
        <v>8</v>
      </c>
      <c r="C218">
        <v>2</v>
      </c>
      <c r="D218">
        <v>2</v>
      </c>
      <c r="E218">
        <v>1</v>
      </c>
      <c r="F218" s="3">
        <f>1387.7+(242.7-695.4)+(-2.830908+(-0.495108--1.418616))+0-0-0</f>
        <v>933.09259999999995</v>
      </c>
      <c r="G218" s="3">
        <f>1115.3+(236.3-469)+(-0.568803+(-0.120513--0.23919))+0-0-0</f>
        <v>882.14987399999995</v>
      </c>
      <c r="H218" s="3">
        <f>1112+(230.1-480)+(-2.8356+(-0.586755--1.224))+0-0-0</f>
        <v>859.90164500000003</v>
      </c>
      <c r="I218" s="3">
        <f>1112+(233.9-511.6)+(2.8356+(0.596445-1.30458))+0-0-0</f>
        <v>836.42746499999998</v>
      </c>
      <c r="J218" s="3">
        <f>1112.1+(211.7-476)+(1.134342+(0.215934-0.48552))+0-0-0</f>
        <v>848.66475600000001</v>
      </c>
      <c r="K218" s="3">
        <f>1113.1+(210.6-460.2)+(-1.135362+(-0.214812--0.469404))+0-0-0</f>
        <v>862.6192299999999</v>
      </c>
      <c r="L218" s="3">
        <f>1112.9+(251.2-496)+(-1.135158+(-0.256224--0.50592))+0-0-0</f>
        <v>867.21453800000018</v>
      </c>
      <c r="M218" s="3">
        <f>1381.6+(245.3-690.5)+(1.409232+(0.250206-0.70431))+0-0-0</f>
        <v>937.35512799999981</v>
      </c>
      <c r="N218" s="3">
        <f>1482.1+(345-805.3)+(-2.267613+(-0.52785--1.232109))+0-0-0</f>
        <v>1020.236646</v>
      </c>
      <c r="O218" s="3">
        <f>1486.2+(433.7-859.8)+(-2.273886+(-0.663561--1.315494))+0-0-0</f>
        <v>1058.4780470000001</v>
      </c>
      <c r="P218" s="3">
        <f>1680.2+(455-1053.3)+(-2.570706+(-0.69615--1.611549))+0-0-0</f>
        <v>1080.2446930000001</v>
      </c>
      <c r="Q218" s="3">
        <f>1926.6+(434.1-1244.7)+(-4.91283+(-1.106955--3.173985))+0-0-0</f>
        <v>1113.1541999999999</v>
      </c>
      <c r="R218" s="3">
        <f>1914.6+(422.6-1242.1)+(-4.88223+(-1.07763--3.167355))+0-0-0</f>
        <v>1092.307495</v>
      </c>
      <c r="S218" s="3">
        <f>2056.1+(426-1403.8)+(-2.097222+(-0.43452--1.431876))+0-0-0</f>
        <v>1077.2001339999999</v>
      </c>
      <c r="T218" s="3">
        <f>2116.4+(400.9-1465.6)+(-4.317456+(-0.817836--2.989824))+0-0-0</f>
        <v>1049.5545320000003</v>
      </c>
      <c r="U218" s="3">
        <f>1979.9+(420.8-1346.3)+(-4.038996+(-0.858432--2.746452))+0-0-0</f>
        <v>1052.2490240000002</v>
      </c>
      <c r="V218" s="3">
        <f>1839.2+(343.7-1079.2)+(0.937992+(0.175287-0.550392))+0-0-0</f>
        <v>1104.2628870000001</v>
      </c>
      <c r="W218" s="3">
        <f>1951.3+(258.7-969.6)+(0+(0-0))+0-0-0</f>
        <v>1240.3999999999999</v>
      </c>
      <c r="X218" s="3">
        <f>2136.7+(336.6-1181.7)+(-4.358868+(-0.686664--2.410668))+0-0-0</f>
        <v>1288.9651359999998</v>
      </c>
      <c r="Y218" s="3">
        <f>1879.3+(385-1006.9)+(-3.833772+(-0.7854--2.054076))+0-0-0</f>
        <v>1254.8349040000001</v>
      </c>
      <c r="Z218" s="3">
        <f>1745+(431.9-962.1)+(-1.7799+(-0.440538--0.981342))+0-0-0</f>
        <v>1213.5609039999999</v>
      </c>
      <c r="AA218" s="3">
        <f>1697.7+(360.3-885.6)+(-1.731654+(-0.367506--0.903312))+0-0-0</f>
        <v>1171.204152</v>
      </c>
      <c r="AB218" s="3">
        <f>1685.1+(328.1-810.3)+(-4.297005+(-0.836655--2.066265))+0-0-0</f>
        <v>1199.8326050000001</v>
      </c>
      <c r="AC218" s="3">
        <f>1396+(277.9-673.3)+(-3.5598+(-0.708645--1.716915))+0-0-0</f>
        <v>998.04847000000007</v>
      </c>
      <c r="AD218">
        <f t="shared" si="3"/>
        <v>25041.959065000006</v>
      </c>
      <c r="AE218" s="3">
        <f>2182+(376.4-1211.1)+(0+(0-0))+0-0-0</f>
        <v>1347.3000000000002</v>
      </c>
    </row>
    <row r="219" spans="1:31" s="2" customFormat="1" x14ac:dyDescent="0.25">
      <c r="A219">
        <v>89</v>
      </c>
      <c r="B219">
        <v>8</v>
      </c>
      <c r="C219">
        <v>3</v>
      </c>
      <c r="D219">
        <v>3</v>
      </c>
      <c r="E219">
        <v>1</v>
      </c>
      <c r="F219" s="3">
        <f>1120.9+(223.3-428.7)+(-1.714977+(-0.341649--0.655911))+0-0-0</f>
        <v>914.09928500000012</v>
      </c>
      <c r="G219" s="3">
        <f>1111.7+(208.9-449.4)+(-2.834835+(-0.532695--1.14597))+0-0-0</f>
        <v>868.97844000000009</v>
      </c>
      <c r="H219" s="3">
        <f>1109.1+(215.9-479)+(-1.131282+(-0.220218--0.48858))+0-0-0</f>
        <v>845.13707999999986</v>
      </c>
      <c r="I219" s="3">
        <f>1108.7+(182.2-460)+(0+(0-0))+0-0-0</f>
        <v>830.90000000000009</v>
      </c>
      <c r="J219" s="3">
        <f>1109.2+(163.5-442.3)+(0.565692+(0.083385-0.225573))+0-0-0</f>
        <v>830.82350400000007</v>
      </c>
      <c r="K219" s="3">
        <f>1109.6+(177.3-440.4)+(-1.131792+(-0.180846--0.449208))+0-0-0</f>
        <v>845.63657000000001</v>
      </c>
      <c r="L219" s="3">
        <f>1110.9+(226.2-473.5)+(-0.566559+(-0.115362--0.241485))+0-0-0</f>
        <v>863.15956400000016</v>
      </c>
      <c r="M219" s="3">
        <f>1341.4+(211.5-614.4)+(2.052342+(0.323595-0.940032))+0-0-0</f>
        <v>939.93590500000016</v>
      </c>
      <c r="N219" s="3">
        <f>1556.8+(274.6-805.6)+(-0.793968+(-0.140046--0.410856))+0-0-0</f>
        <v>1025.276842</v>
      </c>
      <c r="O219" s="3">
        <f>1632.7+(330.3-899.6)+(-0.832677+(-0.168453--0.458796))+0-0-0</f>
        <v>1062.8576660000001</v>
      </c>
      <c r="P219" s="3">
        <f>1678.7+(421.7-1017)+(0+(0-0))+0-0-0</f>
        <v>1083.4000000000001</v>
      </c>
      <c r="Q219" s="3">
        <f>1707.8+(458.5-1068.9)+(-1.741956+(-0.46767--1.090278))+0-0-0</f>
        <v>1096.2806519999999</v>
      </c>
      <c r="R219" s="3">
        <f>1862.7+(456.9-1247.8)+(-5.699862+(-1.398114--3.818268))+0-0-0</f>
        <v>1068.5202920000002</v>
      </c>
      <c r="S219" s="3">
        <f>1878.9+(451.1-1278.9)+(-3.832956+(-0.920244--2.608956))+0-0-0</f>
        <v>1048.9557559999998</v>
      </c>
      <c r="T219" s="3">
        <f>1879.2+(397.5-1194.3)+(-2.875176+(-0.608175--1.827279))+0-0-0</f>
        <v>1080.7439280000001</v>
      </c>
      <c r="U219" s="3">
        <f>1878.2+(251.2-1045.4)+(1.915764+(0.256224-1.066308))+0-0-0</f>
        <v>1085.1056799999999</v>
      </c>
      <c r="V219" s="3">
        <f>1880.3+(142.4-937.9)+(0+(0-0))+0-0-0</f>
        <v>1084.8</v>
      </c>
      <c r="W219" s="3">
        <f>1956.9+(145.7-840.1)+(0.998019+(0.074307-0.428451))+0-0-0</f>
        <v>1263.143875</v>
      </c>
      <c r="X219" s="3">
        <f>2019.5+(388.4-1081.1)+(-1.029945+(-0.198084--0.551361))+0-0-0</f>
        <v>1326.1233320000001</v>
      </c>
      <c r="Y219" s="3">
        <f>2030.8+(400.3-1130.7)+(-4.142832+(-0.816612--2.306628))+0-0-0</f>
        <v>1297.7471839999998</v>
      </c>
      <c r="Z219" s="3">
        <f>1817.4+(434.1-1004.5)+(-1.853748+(-0.442782--1.02459))+0-0-0</f>
        <v>1245.7280599999999</v>
      </c>
      <c r="AA219" s="3">
        <f>1648.2+(425.8-890.4)+(-0.840582+(-0.217158--0.454104))+0-0-0</f>
        <v>1182.9963640000001</v>
      </c>
      <c r="AB219" s="3">
        <f>1581.3+(373.7-841.5)+(-2.419389+(-0.571761--1.287495))+0-0-0</f>
        <v>1111.796345</v>
      </c>
      <c r="AC219" s="3">
        <f>1574.5+(296.1-839.2)+(-4.014975+(-0.755055--2.13996))+0-0-0</f>
        <v>1028.7699300000002</v>
      </c>
      <c r="AD219">
        <f t="shared" si="3"/>
        <v>25030.916253999996</v>
      </c>
      <c r="AE219" s="3">
        <f>2010+(441.1-1097.8)+(0+(0-0))+0-0-0</f>
        <v>1353.3000000000002</v>
      </c>
    </row>
    <row r="220" spans="1:31" s="2" customFormat="1" x14ac:dyDescent="0.25">
      <c r="A220">
        <v>89</v>
      </c>
      <c r="B220">
        <v>8</v>
      </c>
      <c r="C220">
        <v>4</v>
      </c>
      <c r="D220">
        <v>4</v>
      </c>
      <c r="E220">
        <v>1</v>
      </c>
      <c r="F220" s="3">
        <f>1262.8+(278.3-605.7)+(-2.576112+(-0.567732--1.235628))+0-0-0</f>
        <v>933.49178399999983</v>
      </c>
      <c r="G220" s="3">
        <f>898.8+(306.8-331.5)+(0+(0-0))+0-0-0</f>
        <v>874.09999999999991</v>
      </c>
      <c r="H220" s="3">
        <f>900+(324.7-378.9)+(0.459+(0.165597-0.193239))+0-0-0</f>
        <v>846.231358</v>
      </c>
      <c r="I220" s="3">
        <f>899.8+(293.1-364.9)+(0.917796+(0.298962-0.372198))+0-0-0</f>
        <v>828.84456</v>
      </c>
      <c r="J220" s="3">
        <f>898.9+(261.9-334.4)+(-0.916878+(-0.267138--0.341088))+0-0-0</f>
        <v>825.55707199999995</v>
      </c>
      <c r="K220" s="3">
        <f>899.9+(237.7-290.9)+(-0.917898+(-0.242454--0.296718))+0-0-0</f>
        <v>845.836366</v>
      </c>
      <c r="L220" s="3">
        <f>899.9+(219.8-265.2)+(-1.376847+(-0.336294--0.405756))+0-0-0</f>
        <v>853.19261500000005</v>
      </c>
      <c r="M220" s="3">
        <f>1185.3+(194-460.3)+(-0.604503+(-0.09894--0.234753))+0-0-0</f>
        <v>918.53130999999996</v>
      </c>
      <c r="N220" s="3">
        <f>1464+(191.7-626.1)+(0+(0-0))+0-0-0</f>
        <v>1029.5999999999999</v>
      </c>
      <c r="O220" s="3">
        <f>1500.8+(333.7-774)+(0.765408+(0.170187-0.39474))+0-0-0</f>
        <v>1061.040855</v>
      </c>
      <c r="P220" s="3">
        <f>1534.6+(239.8-714.4)+(0+(0-0))+0-0-0</f>
        <v>1060</v>
      </c>
      <c r="Q220" s="3">
        <f>1851.8+(214.6-992)+(-0.944418+(-0.109446--0.50592))+0-0-0</f>
        <v>1073.8520560000002</v>
      </c>
      <c r="R220" s="3">
        <f>2066.8+(189.9-1234.5)+(-3.162204+(-0.290547--1.888785))+0-0-0</f>
        <v>1020.6360340000002</v>
      </c>
      <c r="S220" s="3">
        <f>2033.5+(198.6-1205.4)+(-4.14834+(-0.405144--2.459016))+0-0-0</f>
        <v>1024.6055319999998</v>
      </c>
      <c r="T220" s="3">
        <f>1913.2+(308.6-1158.5)+(-4.87866+(-0.78693--2.954175))+0-0-0</f>
        <v>1060.5885850000002</v>
      </c>
      <c r="U220" s="3">
        <f>1837.6+(402.6-1167.1)+(-3.748704+(-0.821304--2.380884))+0-0-0</f>
        <v>1070.9108759999999</v>
      </c>
      <c r="V220" s="3">
        <f>1813.8+(357.2-1051.7)+(-0.925038+(-0.182172--0.536367))+0-0-0</f>
        <v>1118.729157</v>
      </c>
      <c r="W220" s="3">
        <f>1993+(235.8-922.3)+(0+(0-0))+0-0-0</f>
        <v>1306.5</v>
      </c>
      <c r="X220" s="3">
        <f>2123.1+(281.8-1065)+(-3.248343+(-0.431154--1.62945))+0-0-0</f>
        <v>1337.8499529999999</v>
      </c>
      <c r="Y220" s="3">
        <f>2136.9+(289.8-1111.6)+(-6.538914+(-0.886788--3.401496))+0-0-0</f>
        <v>1311.0757940000001</v>
      </c>
      <c r="Z220" s="3">
        <f>1870+(368.2-994.6)+(-2.8611+(-0.563346--1.521738))+0-0-0</f>
        <v>1241.6972919999998</v>
      </c>
      <c r="AA220" s="3">
        <f>1664.7+(449.9-898.9)+(0.848997+(0.229449-0.458439))+0-0-0</f>
        <v>1216.320007</v>
      </c>
      <c r="AB220" s="3">
        <f>1609.1+(369.5-844.6)+(-1.641282+(-0.37689--0.861492))+0-0-0</f>
        <v>1132.8433199999999</v>
      </c>
      <c r="AC220" s="3">
        <f>1472.6+(269.1-700.4)+(-3.004104+(-0.548964--1.428816))+0-0-0</f>
        <v>1039.1757479999999</v>
      </c>
      <c r="AD220">
        <f t="shared" si="3"/>
        <v>25031.210274000001</v>
      </c>
      <c r="AE220" s="3">
        <f>2148+(308.8-1083.6)+(0+(0-0))+0-0-0</f>
        <v>1373.2</v>
      </c>
    </row>
    <row r="221" spans="1:31" s="2" customFormat="1" x14ac:dyDescent="0.25">
      <c r="A221">
        <v>89</v>
      </c>
      <c r="B221">
        <v>8</v>
      </c>
      <c r="C221">
        <v>5</v>
      </c>
      <c r="D221">
        <v>5</v>
      </c>
      <c r="E221">
        <v>1</v>
      </c>
      <c r="F221" s="3">
        <f>1158.4+(310.6-538.4)+(-1.181568+(-0.316812--0.549168))+0-0-0</f>
        <v>929.65078800000015</v>
      </c>
      <c r="G221" s="3">
        <f>942.3+(282.8-347.2)+(-2.402865+(-0.72114--0.88536))+0-0-0</f>
        <v>875.66135499999996</v>
      </c>
      <c r="H221" s="3">
        <f>879.9+(323.3-352.5)+(-0.448749+(-0.164883--0.179775))+0-0-0</f>
        <v>850.26614300000006</v>
      </c>
      <c r="I221" s="3">
        <f>880.1+(305.5-348.5)+(-0.448851+(-0.155805--0.177735))+0-0-0</f>
        <v>836.67307900000003</v>
      </c>
      <c r="J221" s="3">
        <f>878.6+(300.8-339.2)+(2.24043+(0.76704-0.86496))+0-0-0</f>
        <v>842.34251000000006</v>
      </c>
      <c r="K221" s="3">
        <f>880.5+(289.9-311.2)+(0.449055+(0.147849-0.158712))+0-0-0</f>
        <v>859.638192</v>
      </c>
      <c r="L221" s="3">
        <f>883.2+(286.4-309.3)+(-1.351296+(-0.438192--0.473229))+0-0-0</f>
        <v>858.98374100000001</v>
      </c>
      <c r="M221" s="3">
        <f>1144.3+(281.5-506.3)+(1.167186+(0.28713-0.516426))+0-0-0</f>
        <v>920.43789000000004</v>
      </c>
      <c r="N221" s="3">
        <f>1310.7+(355-658.7)+(-2.005371+(-0.54315--1.007811))+0-0-0</f>
        <v>1005.45929</v>
      </c>
      <c r="O221" s="3">
        <f>1490.3+(358.4-809.7)+(0+(0-0))+0-0-0</f>
        <v>1039</v>
      </c>
      <c r="P221" s="3">
        <f>1666.3+(379.4-979.6)+(0+(0-0))+0-0-0</f>
        <v>1066.0999999999999</v>
      </c>
      <c r="Q221" s="3">
        <f>1702.9+(425.4-1054.2)+(-0.868479+(-0.216954--0.537642))+0-0-0</f>
        <v>1073.5522089999999</v>
      </c>
      <c r="R221" s="3">
        <f>1685.5+(407.8-1057.2)+(-4.298025+(-1.03989--2.69586))+0-0-0</f>
        <v>1033.4579449999999</v>
      </c>
      <c r="S221" s="3">
        <f>1686.1+(375.1-1130.1)+(-2.579733+(-0.573903--1.729053))+0-0-0</f>
        <v>929.67541700000004</v>
      </c>
      <c r="T221" s="3">
        <f>1827.5+(383.6-1191.1)+(-2.796075+(-0.586908--1.822383))+0-0-0</f>
        <v>1018.4394000000001</v>
      </c>
      <c r="U221" s="3">
        <f>1836.5+(369.5-1173)+(-4.683075+(-0.942225--2.99115))+0-0-0</f>
        <v>1030.3658499999999</v>
      </c>
      <c r="V221" s="3">
        <f>1838.8+(322.4-1082.4)+(-4.68894+(-0.82212--2.76012))+0-0-0</f>
        <v>1076.0490599999998</v>
      </c>
      <c r="W221" s="3">
        <f>1855.5+(327-911.8)+(-1.89261+(-0.33354--0.930036))+0-0-0</f>
        <v>1269.4038860000001</v>
      </c>
      <c r="X221" s="3">
        <f>1853.5+(374.1-904.8)+(-1.89057+(-0.381582--0.922896))+0-0-0</f>
        <v>1321.4507440000002</v>
      </c>
      <c r="Y221" s="3">
        <f>1855.9+(392.1-953.4)+(-2.839527+(-0.599913--1.458702))+0-0-0</f>
        <v>1292.6192620000002</v>
      </c>
      <c r="Z221" s="3">
        <f>1630.2+(421.6-799.5)+(-1.662804+(-0.430032--0.81549))+0-0-0</f>
        <v>1251.0226540000001</v>
      </c>
      <c r="AA221" s="3">
        <f>1289.5+(463.9-566.8)+(-3.288225+(-1.182945--1.44534))+0-0-0</f>
        <v>1183.5741699999999</v>
      </c>
      <c r="AB221" s="3">
        <f>1261.8+(404-553.7)+(0.643518+(0.20604-0.282387))+0-0-0</f>
        <v>1112.6671709999998</v>
      </c>
      <c r="AC221" s="3">
        <f>1149.9+(295.1-439.3)+(-2.932245+(-0.752505--1.120215))+0-0-0</f>
        <v>1003.1354650000001</v>
      </c>
      <c r="AD221">
        <f t="shared" si="3"/>
        <v>24679.626221000002</v>
      </c>
      <c r="AE221" s="3">
        <f>1856+(408.5-918.9)+(0+(0-0))+0-0-0</f>
        <v>1345.6</v>
      </c>
    </row>
    <row r="222" spans="1:31" s="2" customFormat="1" x14ac:dyDescent="0.25">
      <c r="A222">
        <v>89</v>
      </c>
      <c r="B222">
        <v>8</v>
      </c>
      <c r="C222">
        <v>6</v>
      </c>
      <c r="D222">
        <v>6</v>
      </c>
      <c r="E222">
        <v>1</v>
      </c>
      <c r="F222" s="3">
        <f>885.4+(333.6-305.3)+(-1.806216+(-0.680544--0.622812))+0-0-0</f>
        <v>911.836052</v>
      </c>
      <c r="G222" s="3">
        <f>882.8+(314.2-331.1)+(0.450228+(0.160242-0.168861))+0-0-0</f>
        <v>866.34160899999983</v>
      </c>
      <c r="H222" s="3">
        <f>883+(228.9-261.7)+(0.45033+(0.116739-0.133467))+0-0-0</f>
        <v>850.633602</v>
      </c>
      <c r="I222" s="3">
        <f>882.7+(215.2-256.3)+(-0.900354+(-0.219504--0.261426))+0-0-0</f>
        <v>840.74156800000003</v>
      </c>
      <c r="J222" s="3">
        <f>883.3+(235.4-271.5)+(-0.450483+(-0.120054--0.138465))+0-0-0</f>
        <v>846.76792799999998</v>
      </c>
      <c r="K222" s="3">
        <f>885.3+(245.2-266.2)+(-0.903006+(-0.250104--0.271524))+0-0-0</f>
        <v>863.41841399999998</v>
      </c>
      <c r="L222" s="3">
        <f>890.7+(272-300.1)+(-0.908514+(-0.27744--0.306102))+0-0-0</f>
        <v>861.72014799999999</v>
      </c>
      <c r="M222" s="3">
        <f>1003.8+(273.2-374.8)+(-0.511938+(-0.139332--0.191148))+0-0-0</f>
        <v>901.73987799999998</v>
      </c>
      <c r="N222" s="3">
        <f>1224.1+(321.3-535.8)+(1.872873+(0.491589-0.819774))+0-0-0</f>
        <v>1011.1446879999999</v>
      </c>
      <c r="O222" s="3">
        <f>1259.5+(314.8-528.7)+(1.28469+(0.321096-0.539274))+0-0-0</f>
        <v>1046.666512</v>
      </c>
      <c r="P222" s="3">
        <f>1261.1+(336.7-526.3)+(-2.572644+(-0.686868--1.073652))+0-0-0</f>
        <v>1069.31414</v>
      </c>
      <c r="Q222" s="3">
        <f>1287.5+(333.5-544.5)+(-1.31325+(-0.34017--0.55539))+0-0-0</f>
        <v>1075.4019699999999</v>
      </c>
      <c r="R222" s="3">
        <f>1425+(265.4-642.9)+(-5.814+(-1.082832--2.623032))+0-0-0</f>
        <v>1043.2262000000001</v>
      </c>
      <c r="S222" s="3">
        <f>1541.1+(246.7-758)+(0+(0-0))+0-0-0</f>
        <v>1029.8</v>
      </c>
      <c r="T222" s="3">
        <f>1651.3+(234.7-868.7)+(0+(0-0))+0-0-0</f>
        <v>1017.3</v>
      </c>
      <c r="U222" s="3">
        <f>1648.6+(201.6-841.3)+(-2.522358+(-0.308448--1.287189))+0-0-0</f>
        <v>1007.3563829999999</v>
      </c>
      <c r="V222" s="3">
        <f>1647.7+(182.3-802.5)+(0+(0-0))+0-0-0</f>
        <v>1027.5</v>
      </c>
      <c r="W222" s="3">
        <f>1677.8+(202.1-667.6)+(-2.567034+(-0.309213--1.021428))+0-0-0</f>
        <v>1210.445181</v>
      </c>
      <c r="X222" s="3">
        <f>1700.8+(237.4-648.8)+(-4.33704+(-0.60537--1.65444))+0-0-0</f>
        <v>1286.11203</v>
      </c>
      <c r="Y222" s="3">
        <f>1702+(275.1-724.5)+(-6.94416+(-1.122408--2.95596))+0-0-0</f>
        <v>1247.489392</v>
      </c>
      <c r="Z222" s="3">
        <f>1702.3+(257.9-753)+(-1.736346+(-0.263058--0.76806))+0-0-0</f>
        <v>1205.9686559999998</v>
      </c>
      <c r="AA222" s="3">
        <f>1592.3+(259.9-685)+(-3.248292+(-0.530196--1.3974))+0-0-0</f>
        <v>1164.8189119999997</v>
      </c>
      <c r="AB222" s="3">
        <f>1429.2+(225-562.6)+(-4.373352+(-0.6885--1.721556))+0-0-0</f>
        <v>1088.2597039999998</v>
      </c>
      <c r="AC222" s="3">
        <f>1327.1+(261.8-575.7)+(-0.676821+(-0.133518--0.293607))+0-0-0</f>
        <v>1012.6832679999998</v>
      </c>
      <c r="AD222">
        <f t="shared" si="3"/>
        <v>24486.686235000001</v>
      </c>
      <c r="AE222" s="3">
        <f>1701+(287-702.6)+(0+(0-0))+0-0-0</f>
        <v>1285.4000000000001</v>
      </c>
    </row>
    <row r="223" spans="1:31" s="2" customFormat="1" x14ac:dyDescent="0.25">
      <c r="A223">
        <v>89</v>
      </c>
      <c r="B223">
        <v>8</v>
      </c>
      <c r="C223">
        <v>7</v>
      </c>
      <c r="D223">
        <v>7</v>
      </c>
      <c r="E223">
        <v>1</v>
      </c>
      <c r="F223" s="3">
        <f>1164+(261.1-493.7)+(-2.9682+(-0.665805--1.258935))+0-0-0</f>
        <v>929.02493000000004</v>
      </c>
      <c r="G223" s="3">
        <f>1127.4+(232.5-475.8)+(-3.449844+(-0.71145--1.455948))+0-0-0</f>
        <v>881.39465400000017</v>
      </c>
      <c r="H223" s="3">
        <f>1127.7+(224.6-495.9)+(-1.725381+(-0.343638--0.758727))+0-0-0</f>
        <v>855.08970800000009</v>
      </c>
      <c r="I223" s="3">
        <f>1127.1+(179.1-471.1)+(-0.574821+(-0.091341--0.240261))+0-0-0</f>
        <v>834.67409899999996</v>
      </c>
      <c r="J223" s="3">
        <f>1127.8+(187.6-482)+(0+(0-0))+0-0-0</f>
        <v>833.4</v>
      </c>
      <c r="K223" s="3">
        <f>1127.7+(162.2-457.9)+(-0.575127+(-0.082722--0.233529))+0-0-0</f>
        <v>831.57568000000003</v>
      </c>
      <c r="L223" s="3">
        <f>1112.9+(197.8-520.5)+(-0.567579+(-0.100878--0.265455))+0-0-0</f>
        <v>789.79699800000003</v>
      </c>
      <c r="M223" s="3">
        <f>1093.2+(209-516.8)+(-0.557532+(-0.10659--0.263568))+0-0-0</f>
        <v>784.99944600000003</v>
      </c>
      <c r="N223" s="3">
        <f>1324.5+(258-744.4)+(-2.026485+(-0.39474--1.138932))+0-0-0</f>
        <v>836.81770700000004</v>
      </c>
      <c r="O223" s="3">
        <f>1670.4+(270.3-1048)+(-1.703808+(-0.275706--1.06896))+0-0-0</f>
        <v>891.789446</v>
      </c>
      <c r="P223" s="3">
        <f>1890.7+(197.2-1164.9)+(-1.928514+(-0.201144--1.188198))+0-0-0</f>
        <v>922.05853999999999</v>
      </c>
      <c r="Q223" s="3">
        <f>1862+(245.6-1178.2)+(-1.89924+(-0.250512--1.201764))+0-0-0</f>
        <v>928.45201199999997</v>
      </c>
      <c r="R223" s="3">
        <f>1767.9+(196.8-1059.9)+(-1.803258+(-0.200736--1.081098))+0-0-0</f>
        <v>903.87710399999992</v>
      </c>
      <c r="S223" s="3">
        <f>1773.3+(196.9-1088.3)+(-1.808766+(-0.200838--1.110066))+0-0-0</f>
        <v>881.00046199999997</v>
      </c>
      <c r="T223" s="3">
        <f>1776.5+(191.6-1099.5)+(-3.62406+(-0.390864--2.24298))+0-0-0</f>
        <v>866.82805600000006</v>
      </c>
      <c r="U223" s="3">
        <f>1777.1+(190.8-1099.6)+(-0.906321+(-0.097308--0.560796))+0-0-0</f>
        <v>867.857167</v>
      </c>
      <c r="V223" s="3">
        <f>1803.8+(176.4-1071.3)+(0.919938+(0.089964-0.546363))+0-0-0</f>
        <v>909.36353899999995</v>
      </c>
      <c r="W223" s="3">
        <f>2067.8+(173-1096)+(-1.054578+(-0.08823--0.55896))+0-0-0</f>
        <v>1144.2161520000002</v>
      </c>
      <c r="X223" s="3">
        <f>2114.4+(181.8-1070.9)+(-4.313376+(-0.370872--2.184636))+0-0-0</f>
        <v>1222.8003879999999</v>
      </c>
      <c r="Y223" s="3">
        <f>2070+(210.3-1066.3)+(2.1114+(0.214506-1.087626))+0-0-0</f>
        <v>1215.23828</v>
      </c>
      <c r="Z223" s="3">
        <f>2052+(210.8-1079.9)+(-3.13956+(-0.322524--1.652247))+0-0-0</f>
        <v>1181.0901629999998</v>
      </c>
      <c r="AA223" s="3">
        <f>1967.7+(204.5-1042.5)+(-2.007054+(-0.20859--1.06335))+0-0-0</f>
        <v>1128.5477060000001</v>
      </c>
      <c r="AB223" s="3">
        <f>1573.7+(213-750.4)+(-1.605174+(-0.21726--0.765408))+0-0-0</f>
        <v>1035.2429740000002</v>
      </c>
      <c r="AC223" s="3">
        <f>1664+(171.8-873)+(-4.2432+(-0.43809--2.22615))+0-0-0</f>
        <v>960.34485999999993</v>
      </c>
      <c r="AD223">
        <f t="shared" si="3"/>
        <v>22635.480071000005</v>
      </c>
      <c r="AE223" s="3">
        <f>2135+(203.5-1086.1)+(0+(0-0))+0-0-0</f>
        <v>1252.4000000000001</v>
      </c>
    </row>
    <row r="224" spans="1:31" s="2" customFormat="1" x14ac:dyDescent="0.25">
      <c r="A224">
        <v>89</v>
      </c>
      <c r="B224">
        <v>8</v>
      </c>
      <c r="C224">
        <v>8</v>
      </c>
      <c r="D224">
        <v>1</v>
      </c>
      <c r="E224">
        <v>1</v>
      </c>
      <c r="F224" s="3">
        <f>1470.5+(160.6-740.2)+(-0.749955+(-0.081906--0.377502))+0-0-0</f>
        <v>890.44564100000002</v>
      </c>
      <c r="G224" s="3">
        <f>1167.4+(137.2-470)+(-0.595374+(-0.069972--0.2397))+0-0-0</f>
        <v>834.17435400000011</v>
      </c>
      <c r="H224" s="3">
        <f>1113.6+(143.2-446.5)+(-1.703808+(-0.219096--0.683145))+0-0-0</f>
        <v>809.06024099999991</v>
      </c>
      <c r="I224" s="3">
        <f>1115+(185.3-499.5)+(0.56865+(0.094503-0.254745))+0-0-0</f>
        <v>801.20840799999996</v>
      </c>
      <c r="J224" s="3">
        <f>1113+(220.6-530.3)+(-2.27052+(-0.450024--1.081812))+0-0-0</f>
        <v>801.66126800000006</v>
      </c>
      <c r="K224" s="3">
        <f>1112+(221.4-506.5)+(0+(0-0))+0-0-0</f>
        <v>826.9</v>
      </c>
      <c r="L224" s="3">
        <f>1114.3+(248.3-524.9)+(0+(0-0))+0-0-0</f>
        <v>837.7</v>
      </c>
      <c r="M224" s="3">
        <f>1191.7+(276.8-579.9)+(-0.607767+(-0.141168--0.295749))+0-0-0</f>
        <v>888.14681400000018</v>
      </c>
      <c r="N224" s="3">
        <f>1633.6+(300.8-919.8)+(-2.499408+(-0.460224--1.407294))+0-0-0</f>
        <v>1013.0476619999999</v>
      </c>
      <c r="O224" s="3">
        <f>1501.3+(317.1-781.5)+(-1.531326+(-0.323442--0.79713))+0-0-0</f>
        <v>1035.8423620000001</v>
      </c>
      <c r="P224" s="3">
        <f>1636.2+(312.9-881.8)+(-3.337848+(-0.638316--1.798872))+0-0-0</f>
        <v>1065.1227080000001</v>
      </c>
      <c r="Q224" s="3">
        <f>1475.7+(360.4-763.1)+(-0.752607+(-0.183804--0.389181))+0-0-0</f>
        <v>1072.4527700000001</v>
      </c>
      <c r="R224" s="3">
        <f>1464.4+(361.7-780.3)+(-1.493688+(-0.368934--0.795906))+0-0-0</f>
        <v>1044.7332840000001</v>
      </c>
      <c r="S224" s="3">
        <f>1564.5+(323.3-853)+(-3.19158+(-0.659532--1.74012))+0-0-0</f>
        <v>1032.6890080000001</v>
      </c>
      <c r="T224" s="3">
        <f>1623+(296.6-897.6)+(0+(0-0))+0-0-0</f>
        <v>1022</v>
      </c>
      <c r="U224" s="3">
        <f>1616.6+(272.1-876.2)+(-3.297864+(-0.555084--1.787448))+0-0-0</f>
        <v>1010.4344999999998</v>
      </c>
      <c r="V224" s="3">
        <f>1642.6+(226.1-817.5)+(-2.513178+(-0.345933--1.250775))+0-0-0</f>
        <v>1049.5916639999998</v>
      </c>
      <c r="W224" s="3">
        <f>1800.1+(298.5-828.4)+(0+(0-0))+0-0-0</f>
        <v>1270.1999999999998</v>
      </c>
      <c r="X224" s="3">
        <f>1865.3+(357.1-879.9)+(-2.853909+(-0.546363--1.346247))+0-0-0</f>
        <v>1340.4459750000001</v>
      </c>
      <c r="Y224" s="3">
        <f>1775.5+(390.5-850.1)+(-4.527525+(-0.995775--2.167755))+0-0-0</f>
        <v>1312.5444550000002</v>
      </c>
      <c r="Z224" s="3">
        <f>1718.2+(333.8-777)+(-3.505128+(-0.680952--1.58508))+0-0-0</f>
        <v>1272.3989999999999</v>
      </c>
      <c r="AA224" s="3">
        <f>1693.6+(348.4-828.9)+(-2.591208+(-0.533052--1.268217))+0-0-0</f>
        <v>1211.2439569999999</v>
      </c>
      <c r="AB224" s="3">
        <f>1676+(278.2-835.2)+(-4.2738+(-0.70941--2.12976))+0-0-0</f>
        <v>1116.1465499999999</v>
      </c>
      <c r="AC224" s="3">
        <f>1637.5+(192.1-806.6)+(-5.01075+(-0.587826--2.468196))+0-0-0</f>
        <v>1019.8696200000001</v>
      </c>
      <c r="AD224">
        <f t="shared" si="3"/>
        <v>24578.060240999999</v>
      </c>
      <c r="AE224" s="3">
        <f>1888+(378.9-908.3)+(0+(0-0))+0-0-0</f>
        <v>1358.6</v>
      </c>
    </row>
    <row r="225" spans="1:31" s="2" customFormat="1" x14ac:dyDescent="0.25">
      <c r="A225">
        <v>89</v>
      </c>
      <c r="B225">
        <v>8</v>
      </c>
      <c r="C225">
        <v>9</v>
      </c>
      <c r="D225">
        <v>2</v>
      </c>
      <c r="E225">
        <v>1</v>
      </c>
      <c r="F225" s="3">
        <f>1493.5+(127.7-738.6)+(-2.285055+(-0.195381--1.130058))+0-0-0</f>
        <v>881.24962200000004</v>
      </c>
      <c r="G225" s="3">
        <f>1162.7+(208.9-528.6)+(-1.185954+(-0.213078--0.539172))+0-0-0</f>
        <v>842.14013999999997</v>
      </c>
      <c r="H225" s="3">
        <f>1100.4+(204.3-479.9)+(-2.244816+(-0.416772--0.978996))+0-0-0</f>
        <v>823.11740800000018</v>
      </c>
      <c r="I225" s="3">
        <f>1099.9+(179.9-456)+(-1.682847+(-0.275247--0.69768))+0-0-0</f>
        <v>822.5395860000001</v>
      </c>
      <c r="J225" s="3">
        <f>1099.3+(195.5-457)+(0+(0-0))+0-0-0</f>
        <v>837.8</v>
      </c>
      <c r="K225" s="3">
        <f>1114+(198.7-458)+(0+(0-0))+0-0-0</f>
        <v>854.7</v>
      </c>
      <c r="L225" s="3">
        <f>1202.4+(196.7-519.2)+(-1.226448+(-0.200634--0.529584))+0-0-0</f>
        <v>879.00250200000005</v>
      </c>
      <c r="M225" s="3">
        <f>1316+(179.2-546.8)+(0+(0-0))+0-0-0</f>
        <v>948.40000000000009</v>
      </c>
      <c r="N225" s="3">
        <f>1572.3+(161.6-668.7)+(-1.603746+(-0.164832--0.682074))+0-0-0</f>
        <v>1064.1134959999997</v>
      </c>
      <c r="O225" s="3">
        <f>1664.5+(248.8-789.9)+(-0.848895+(-0.126888--0.402849))+0-0-0</f>
        <v>1122.8270660000001</v>
      </c>
      <c r="P225" s="3">
        <f>1671.9+(286.1-811.4)+(-1.705338+(-0.291822--0.827628))+0-0-0</f>
        <v>1145.4304680000002</v>
      </c>
      <c r="Q225" s="3">
        <f>1672+(328.9-808.8)+(-3.41088+(-0.670956--1.649952))+0-0-0</f>
        <v>1189.6681159999998</v>
      </c>
      <c r="R225" s="3">
        <f>1672.2+(358.7-892.5)+(-0.852822+(-0.182937--0.455175))+0-0-0</f>
        <v>1137.819416</v>
      </c>
      <c r="S225" s="3">
        <f>1672.9+(310.6-906.1)+(-1.706358+(-0.316812--0.924222))+0-0-0</f>
        <v>1076.301052</v>
      </c>
      <c r="T225" s="3">
        <f>1675.5+(385.8-939.9)+(-0.854505+(-0.196758--0.479349))+0-0-0</f>
        <v>1120.828086</v>
      </c>
      <c r="U225" s="3">
        <f>1679.4+(328.5-919)+(-4.28247+(-0.837675--2.34345))+0-0-0</f>
        <v>1086.1233050000001</v>
      </c>
      <c r="V225" s="3">
        <f>1687.7+(272.9-809.1)+(0+(0-0))+0-0-0</f>
        <v>1151.5</v>
      </c>
      <c r="W225" s="3">
        <f>1710.7+(222.7-630.1)+(-1.744914+(-0.227154--0.642702))+0-0-0</f>
        <v>1301.970634</v>
      </c>
      <c r="X225" s="3">
        <f>1713.1+(236.4-616.1)+(-3.494724+(-0.482256--1.256844))+0-0-0</f>
        <v>1330.679864</v>
      </c>
      <c r="Y225" s="3">
        <f>1714.1+(303.7-703.7)+(-3.496764+(-0.619548--1.435548))+0-0-0</f>
        <v>1311.419236</v>
      </c>
      <c r="Z225" s="3">
        <f>1713.3+(344.9-801)+(-1.747566+(-0.351798--0.81702))+0-0-0</f>
        <v>1255.9176559999999</v>
      </c>
      <c r="AA225" s="3">
        <f>1707.6+(317.9-817.1)+(-2.612628+(-0.486387--1.250163))+0-0-0</f>
        <v>1206.5511479999998</v>
      </c>
      <c r="AB225" s="3">
        <f>1703.3+(254.5-827.2)+(-3.474732+(-0.51918--1.687488))+0-0-0</f>
        <v>1128.2935759999998</v>
      </c>
      <c r="AC225" s="3">
        <f>1507.8+(219-690)+(-3.075912+(-0.44676--1.4076))+0-0-0</f>
        <v>1034.6849279999999</v>
      </c>
      <c r="AD225">
        <f t="shared" si="3"/>
        <v>25553.077305000003</v>
      </c>
      <c r="AE225" s="3">
        <f>1710+(273.1-622.4)+(0+(0-0))+0-0-0</f>
        <v>1360.7</v>
      </c>
    </row>
    <row r="226" spans="1:31" s="2" customFormat="1" x14ac:dyDescent="0.25">
      <c r="A226">
        <v>89</v>
      </c>
      <c r="B226">
        <v>8</v>
      </c>
      <c r="C226">
        <v>10</v>
      </c>
      <c r="D226">
        <v>3</v>
      </c>
      <c r="E226">
        <v>1</v>
      </c>
      <c r="F226" s="3">
        <f>1114.7+(237.9-418.9)+(-0.568497+(-0.121329--0.213639))+0-0-0</f>
        <v>933.22381300000006</v>
      </c>
      <c r="G226" s="3">
        <f>1116.1+(186.2-410.2)+(-2.846055+(-0.47481--1.04601))+0-0-0</f>
        <v>889.82514499999991</v>
      </c>
      <c r="H226" s="3">
        <f>1116.3+(187.9-437.3)+(-1.138626+(-0.191658--0.446046))+0-0-0</f>
        <v>866.015762</v>
      </c>
      <c r="I226" s="3">
        <f>1117.7+(171.8-435.7)+(1.140054+(0.175236-0.444414))+0-0-0</f>
        <v>854.67087600000002</v>
      </c>
      <c r="J226" s="3">
        <f>1116.8+(185.2-438.4)+(-2.278272+(-0.377808--0.894336))+0-0-0</f>
        <v>861.83825599999989</v>
      </c>
      <c r="K226" s="3">
        <f>1117.3+(196.8-449.3)+(1.709469+(0.301104-0.687429))+0-0-0</f>
        <v>866.12314399999991</v>
      </c>
      <c r="L226" s="3">
        <f>1117.3+(232.7-472.2)+(-1.709469+(-0.356031--0.722466))+0-0-0</f>
        <v>876.45696599999997</v>
      </c>
      <c r="M226" s="3">
        <f>1253.9+(233.8-547.5)+(0+(0-0))+0-0-0</f>
        <v>940.2</v>
      </c>
      <c r="N226" s="3">
        <f>1438.1+(252.9-656.2)+(-1.466862+(-0.257958--0.669324))+0-0-0</f>
        <v>1033.7445039999998</v>
      </c>
      <c r="O226" s="3">
        <f>1501.8+(242.8-666.2)+(-3.82959+(-0.61914--1.69881))+0-0-0</f>
        <v>1075.6500799999999</v>
      </c>
      <c r="P226" s="3">
        <f>1502.8+(274.5-665.7)+(-2.299284+(-0.419985--1.018521))+0-0-0</f>
        <v>1109.8992519999999</v>
      </c>
      <c r="Q226" s="3">
        <f>1502.8+(283.6-666.3)+(0+(0-0))+0-0-0</f>
        <v>1120.0999999999999</v>
      </c>
      <c r="R226" s="3">
        <f>1503.5+(273.7-689.3)+(-5.367495+(-0.977109--2.460801))+0-0-0</f>
        <v>1084.0161970000001</v>
      </c>
      <c r="S226" s="3">
        <f>1502.2+(264.6-700.1)+(0+(0-0))+0-0-0</f>
        <v>1066.7</v>
      </c>
      <c r="T226" s="3">
        <f>1501.9+(209.5-667.7)+(-2.297907+(-0.320535--1.021581))+0-0-0</f>
        <v>1042.1031390000001</v>
      </c>
      <c r="U226" s="3">
        <f>1502.1+(227.8-677)+(-4.596426+(-0.697068--2.07162))+0-0-0</f>
        <v>1049.6781259999998</v>
      </c>
      <c r="V226" s="3">
        <f>1504.3+(227.6-614.1)+(0+(0-0))+0-0-0</f>
        <v>1117.8</v>
      </c>
      <c r="W226" s="3">
        <f>1511.4+(283.3-498.7)+(0.770814+(0.144483-0.254337))+0-0-0</f>
        <v>1296.6609599999999</v>
      </c>
      <c r="X226" s="3">
        <f>1512.6+(269.4-470)+(-3.085704+(-0.549576--0.9588))+0-0-0</f>
        <v>1309.3235199999999</v>
      </c>
      <c r="Y226" s="3">
        <f>1512.3+(246.9-471.8)+(-3.856365+(-0.629595--1.20309))+0-0-0</f>
        <v>1284.1171299999999</v>
      </c>
      <c r="Z226" s="3">
        <f>1505.5+(252.4-512.4)+(0+(0-0))+0-0-0</f>
        <v>1245.5</v>
      </c>
      <c r="AA226" s="3">
        <f>1497.2+(242.8-549.9)+(-1.527144+(-0.247656--0.560898))+0-0-0</f>
        <v>1188.8860980000002</v>
      </c>
      <c r="AB226" s="3">
        <f>1388.9+(225.5-497.2)+(-3.541695+(-0.575025--1.26786))+0-0-0</f>
        <v>1114.35114</v>
      </c>
      <c r="AC226" s="3">
        <f>1122.8+(291-397.6)+(-0.572628+(-0.14841--0.202776))+0-0-0</f>
        <v>1015.6817379999999</v>
      </c>
      <c r="AD226">
        <f t="shared" si="3"/>
        <v>25242.565845999994</v>
      </c>
      <c r="AE226" s="3">
        <f>1508+(311.2-488.8)+(0+(0-0))+0-0-0</f>
        <v>1330.4</v>
      </c>
    </row>
    <row r="227" spans="1:31" s="2" customFormat="1" x14ac:dyDescent="0.25">
      <c r="A227">
        <v>89</v>
      </c>
      <c r="B227">
        <v>8</v>
      </c>
      <c r="C227">
        <v>11</v>
      </c>
      <c r="D227">
        <v>4</v>
      </c>
      <c r="E227">
        <v>1</v>
      </c>
      <c r="F227" s="3">
        <f>1120.5+(303.9-472.1)+(0.571455+(0.154989-0.240771))+0-0-0</f>
        <v>952.78567299999997</v>
      </c>
      <c r="G227" s="3">
        <f>1124+(220.6-443.7)+(-1.71972+(-0.337518--0.678861))+0-0-0</f>
        <v>899.52162299999998</v>
      </c>
      <c r="H227" s="3">
        <f>1113.7+(188.9-426.5)+(-1.703961+(-0.289017--0.652545))+0-0-0</f>
        <v>874.75956700000006</v>
      </c>
      <c r="I227" s="3">
        <f>1115.6+(169.2-426.5)+(1.137912+(0.172584-0.43503))+0-0-0</f>
        <v>859.17546599999991</v>
      </c>
      <c r="J227" s="3">
        <f>1125.5+(201.4-478)+(0.574005+(0.102714-0.24378))+0-0-0</f>
        <v>849.33293900000001</v>
      </c>
      <c r="K227" s="3">
        <f>1126+(190.7-453.3)+(0+(0-0))+0-0-0</f>
        <v>863.4</v>
      </c>
      <c r="L227" s="3">
        <f>1127.9+(244.4-464.9)+(0.575229+(0.124644-0.237099))+0-0-0</f>
        <v>907.86277400000006</v>
      </c>
      <c r="M227" s="3">
        <f>1231.3+(320.4-554.2)+(-0.627963+(-0.163404--0.282642))+0-0-0</f>
        <v>996.99127499999986</v>
      </c>
      <c r="N227" s="3">
        <f>1490.2+(313.6-751.4)+(-2.280006+(-0.479808--1.149642))+0-0-0</f>
        <v>1050.7898280000002</v>
      </c>
      <c r="O227" s="3">
        <f>1613.4+(286-792.3)+(-1.645668+(-0.29172--0.808146))+0-0-0</f>
        <v>1105.9707580000002</v>
      </c>
      <c r="P227" s="3">
        <f>1668.9+(323.5-855.3)+(0+(0-0))+0-0-0</f>
        <v>1137.1000000000001</v>
      </c>
      <c r="Q227" s="3">
        <f>1695.9+(421-953.6)+(-3.459636+(-0.85884--1.945344))+0-0-0</f>
        <v>1160.9268680000002</v>
      </c>
      <c r="R227" s="3">
        <f>1720.1+(442-1014.2)+(1.754502+(0.45084-1.034484))+0-0-0</f>
        <v>1149.0708579999998</v>
      </c>
      <c r="S227" s="3">
        <f>1729.9+(424.8-1036.1)+(-3.528996+(-0.866592--2.113644))+0-0-0</f>
        <v>1116.3180560000001</v>
      </c>
      <c r="T227" s="3">
        <f>1728.8+(424.5-1069.6)+(-1.763376+(-0.43299--1.090992))+0-0-0</f>
        <v>1082.5946260000001</v>
      </c>
      <c r="U227" s="3">
        <f>1743.2+(438-1081)+(-4.44516+(-1.1169--2.75655))+0-0-0</f>
        <v>1097.3944900000001</v>
      </c>
      <c r="V227" s="3">
        <f>1747.9+(380.3-971.4)+(2.674287+(0.581859-1.486242))+0-0-0</f>
        <v>1158.5699040000002</v>
      </c>
      <c r="W227" s="3">
        <f>1864.6+(261.7-814.3)+(-2.852838+(-0.400401--1.245879))+0-0-0</f>
        <v>1309.9926399999999</v>
      </c>
      <c r="X227" s="3">
        <f>1871.9+(334.1-833)+(-4.773345+(-0.851955--2.12415))+0-0-0</f>
        <v>1369.4988499999999</v>
      </c>
      <c r="Y227" s="3">
        <f>1773.4+(342.3-791.7)+(-1.808868+(-0.349146--0.807534))+0-0-0</f>
        <v>1322.6495199999999</v>
      </c>
      <c r="Z227" s="3">
        <f>1714.2+(330.2-776.5)+(-0.874242+(-0.168402--0.396015))+0-0-0</f>
        <v>1267.253371</v>
      </c>
      <c r="AA227" s="3">
        <f>1706.1+(343.8-813.5)+(-2.610333+(-0.526014--1.244655))+0-0-0</f>
        <v>1234.5083079999999</v>
      </c>
      <c r="AB227" s="3">
        <f>1528.1+(185.4-588.5)+(-1.558662+(-0.189108--0.60027))+0-0-0</f>
        <v>1123.8525</v>
      </c>
      <c r="AC227" s="3">
        <f>1333.5+(219.9-511.2)+(-1.36017+(-0.224298--0.521424))+0-0-0</f>
        <v>1041.1369560000001</v>
      </c>
      <c r="AD227">
        <f t="shared" si="3"/>
        <v>25931.456849999999</v>
      </c>
      <c r="AE227" s="3">
        <f>1876+(308.4-814)+(0+(0-0))+0-0-0</f>
        <v>1370.4</v>
      </c>
    </row>
    <row r="228" spans="1:31" s="2" customFormat="1" x14ac:dyDescent="0.25">
      <c r="A228">
        <v>89</v>
      </c>
      <c r="B228">
        <v>8</v>
      </c>
      <c r="C228">
        <v>12</v>
      </c>
      <c r="D228">
        <v>5</v>
      </c>
      <c r="E228">
        <v>1</v>
      </c>
      <c r="F228" s="3">
        <f>1130.3+(196.2-401.3)+(-0.576453+(-0.100062--0.204663))+0-0-0</f>
        <v>924.72814799999992</v>
      </c>
      <c r="G228" s="3">
        <f>1126.1+(218.8-456.2)+(-2.871555+(-0.55794--1.16331))+0-0-0</f>
        <v>886.43381499999998</v>
      </c>
      <c r="H228" s="3">
        <f>1125.9+(206.9-472)+(-1.148418+(-0.211038--0.48144))+0-0-0</f>
        <v>859.92198400000007</v>
      </c>
      <c r="I228" s="3">
        <f>1127.2+(196.5-471.2)+(0+(0-0))+0-0-0</f>
        <v>852.5</v>
      </c>
      <c r="J228" s="3">
        <f>1127.9+(199.6-477.1)+(-2.300916+(-0.407184--0.973284))+0-0-0</f>
        <v>848.66518400000007</v>
      </c>
      <c r="K228" s="3">
        <f>1127.9+(222.3-511)+(-1.150458+(-0.226746--0.52122))+0-0-0</f>
        <v>838.34401600000001</v>
      </c>
      <c r="L228" s="3">
        <f>1151+(238.8-516.8)+(1.17402+(0.243576-0.527136))+0-0-0</f>
        <v>873.89045999999996</v>
      </c>
      <c r="M228" s="3">
        <f>1414.3+(211.2-696.3)+(-0.721293+(-0.107712--0.355113))+0-0-0</f>
        <v>928.72610800000007</v>
      </c>
      <c r="N228" s="3">
        <f>1686.2+(197.1-843.2)+(-1.719924+(-0.201042--0.860064))+0-0-0</f>
        <v>1039.039098</v>
      </c>
      <c r="O228" s="3">
        <f>1697.5+(256-884.9)+(-0.865725+(-0.13056--0.451299))+0-0-0</f>
        <v>1068.0550139999998</v>
      </c>
      <c r="P228" s="3">
        <f>1696.6+(304.3-921)+(-3.461064+(-0.620772--1.87884))+0-0-0</f>
        <v>1077.6970039999999</v>
      </c>
      <c r="Q228" s="3">
        <f>1694.7+(400.3-1011.9)+(1.728594+(0.408306-1.032138))+0-0-0</f>
        <v>1084.2047620000001</v>
      </c>
      <c r="R228" s="3">
        <f>1680.4+(285.9-939.8)+(-1.714008+(-0.291618--0.958596))+0-0-0</f>
        <v>1025.4529700000001</v>
      </c>
      <c r="S228" s="3">
        <f>1680.8+(266.5-931.3)+(1.714416+(0.27183-0.949926))+0-0-0</f>
        <v>1017.03632</v>
      </c>
      <c r="T228" s="3">
        <f>1638.9+(264.2-899.5)+(1.671678+(0.269484-0.91749))+0-0-0</f>
        <v>1004.6236720000002</v>
      </c>
      <c r="U228" s="3">
        <f>1585.4+(247.4-814.3)+(1.617108+(0.252348-0.830586))+0-0-0</f>
        <v>1019.5388700000001</v>
      </c>
      <c r="V228" s="3">
        <f>1586+(256.1-776.3)+(0+(0-0))+0-0-0</f>
        <v>1065.8000000000002</v>
      </c>
      <c r="W228" s="3">
        <f>1757.2+(199.2-680.5)+(-1.792344+(-0.203184--0.69411))+0-0-0</f>
        <v>1274.5985820000001</v>
      </c>
      <c r="X228" s="3">
        <f>1856+(206-740.1)+(-2.83968+(-0.31518--1.132353))+0-0-0</f>
        <v>1319.8774930000002</v>
      </c>
      <c r="Y228" s="3">
        <f>1858+(259.2-777)+(-4.7379+(-0.66096--1.98135))+0-0-0</f>
        <v>1336.7824900000001</v>
      </c>
      <c r="Z228" s="3">
        <f>1749+(303.5-775.9)+(-4.45995+(-0.773925--1.978545))+0-0-0</f>
        <v>1273.34467</v>
      </c>
      <c r="AA228" s="3">
        <f>1701+(227.9-749.1)+(-5.20506+(-0.697374--2.292246))+0-0-0</f>
        <v>1176.1898119999998</v>
      </c>
      <c r="AB228" s="3">
        <f>1647+(191.3-730.7)+(-1.67994+(-0.195126--0.745314))+0-0-0</f>
        <v>1106.4702479999999</v>
      </c>
      <c r="AC228" s="3">
        <f>1610+(159.2-731.5)+(-2.4633+(-0.243576--1.119195))+0-0-0</f>
        <v>1036.1123190000001</v>
      </c>
      <c r="AD228">
        <f t="shared" si="3"/>
        <v>24938.033038999998</v>
      </c>
      <c r="AE228" s="3">
        <f>1877+(212.2-725.3)+(0+(0-0))+0-0-0</f>
        <v>1363.9</v>
      </c>
    </row>
    <row r="229" spans="1:31" s="2" customFormat="1" x14ac:dyDescent="0.25">
      <c r="A229">
        <v>89</v>
      </c>
      <c r="B229">
        <v>8</v>
      </c>
      <c r="C229">
        <v>13</v>
      </c>
      <c r="D229">
        <v>6</v>
      </c>
      <c r="E229">
        <v>1</v>
      </c>
      <c r="F229" s="3">
        <f>1603.9+(170.8-803)+(-0.817989+(-0.087108--0.40953))+0-0-0</f>
        <v>971.20443299999999</v>
      </c>
      <c r="G229" s="3">
        <f>1347.7+(183.1-624.1)+(-1.374654+(-0.186762--0.636582))+0-0-0</f>
        <v>905.77516600000001</v>
      </c>
      <c r="H229" s="3">
        <f>1230.5+(149.2-506)+(-0.627555+(-0.076092--0.25806))+0-0-0</f>
        <v>873.254413</v>
      </c>
      <c r="I229" s="3">
        <f>1122.1+(132.8-407.6)+(0+(0-0))+0-0-0</f>
        <v>847.3</v>
      </c>
      <c r="J229" s="3">
        <f>1122.8+(190.2-464.1)+(2.290512+(0.388008-0.946764))+0-0-0</f>
        <v>850.63175599999988</v>
      </c>
      <c r="K229" s="3">
        <f>1123.5+(225.2-490.2)+(-0.572985+(-0.114852--0.250002))+0-0-0</f>
        <v>858.06216500000005</v>
      </c>
      <c r="L229" s="3">
        <f>1123.1+(266.6-523.8)+(-2.291124+(-0.543864--1.068552))+0-0-0</f>
        <v>864.13356399999998</v>
      </c>
      <c r="M229" s="3">
        <f>1234.7+(270.6-602.3)+(-1.259394+(-0.276012--0.614346))+0-0-0</f>
        <v>902.0789400000001</v>
      </c>
      <c r="N229" s="3">
        <f>1644.7+(346.8-984)+(-0.838797+(-0.176868--0.50184))+0-0-0</f>
        <v>1006.986175</v>
      </c>
      <c r="O229" s="3">
        <f>1719.1+(407-1036.1)+(-2.630223+(-0.62271--1.585233))+0-0-0</f>
        <v>1088.3323</v>
      </c>
      <c r="P229" s="3">
        <f>1809.2+(399.2-1118.9)+(0+(0-0))+0-0-0</f>
        <v>1089.5</v>
      </c>
      <c r="Q229" s="3">
        <f>1768.6+(342.5-1143.6)+(0+(0-0))+0-0-0</f>
        <v>967.5</v>
      </c>
      <c r="R229" s="3">
        <f>1825.9+(318.2-1153.7)+(-2.793627+(-0.486846--1.765161))+0-0-0</f>
        <v>988.8846880000001</v>
      </c>
      <c r="S229" s="3">
        <f>1880.6+(355.4-1234.6)+(-3.836424+(-0.725016--2.518584))+0-0-0</f>
        <v>999.35714399999995</v>
      </c>
      <c r="T229" s="3">
        <f>1757.8+(385.7-1179.8)+(0.896478+(0.196707-0.601698))+0-0-0</f>
        <v>964.19148700000005</v>
      </c>
      <c r="U229" s="3">
        <f>1768+(340.9-1143.6)+(-4.5084+(-0.869295--2.91618))+0-0-0</f>
        <v>962.83848500000011</v>
      </c>
      <c r="V229" s="3">
        <f>1805.5+(269.3-1054.1)+(-2.762415+(-0.412029--1.612773))+0-0-0</f>
        <v>1019.138329</v>
      </c>
      <c r="W229" s="3">
        <f>1927.8+(196.8-892)+(-1.966356+(-0.200736--0.90984))+0-0-0</f>
        <v>1231.3427479999998</v>
      </c>
      <c r="X229" s="3">
        <f>2025+(201.9-945.1)+(-4.131+(-0.411876--1.928004))+0-0-0</f>
        <v>1279.1851279999998</v>
      </c>
      <c r="Y229" s="3">
        <f>1973.3+(223-948.4)+(-5.031915+(-0.56865--2.41842))+0-0-0</f>
        <v>1244.7178550000001</v>
      </c>
      <c r="Z229" s="3">
        <f>1912.2+(247.2-940.1)+(-2.925666+(-0.378216--1.438353))+0-0-0</f>
        <v>1217.434471</v>
      </c>
      <c r="AA229" s="3">
        <f>1834.6+(250.3-922.7)+(-0.935646+(-0.127653--0.470577))+0-0-0</f>
        <v>1161.6072779999997</v>
      </c>
      <c r="AB229" s="3">
        <f>1754.5+(154.5-824.2)+(-3.57918+(-0.31518--1.681368))+0-0-0</f>
        <v>1082.587008</v>
      </c>
      <c r="AC229" s="3">
        <f>1703.4+(143.5-827.5)+(-4.34367+(-0.365925--2.110125))+0-0-0</f>
        <v>1016.8005300000001</v>
      </c>
      <c r="AD229">
        <f t="shared" si="3"/>
        <v>24392.844063</v>
      </c>
      <c r="AE229" s="3">
        <f>2022+(224.8-944.7)+(0+(0-0))+0-0-0</f>
        <v>1302.0999999999999</v>
      </c>
    </row>
    <row r="230" spans="1:31" s="2" customFormat="1" x14ac:dyDescent="0.25">
      <c r="A230">
        <v>89</v>
      </c>
      <c r="B230">
        <v>8</v>
      </c>
      <c r="C230">
        <v>14</v>
      </c>
      <c r="D230">
        <v>7</v>
      </c>
      <c r="E230">
        <v>1</v>
      </c>
      <c r="F230" s="3">
        <f>1501.9+(182.7-746.3)+(-1.531938+(-0.186354--0.761226))+0-0-0</f>
        <v>937.34293400000013</v>
      </c>
      <c r="G230" s="3">
        <f>1323.5+(208.2-645.8)+(-0.674985+(-0.106182--0.329358))+0-0-0</f>
        <v>885.44819100000007</v>
      </c>
      <c r="H230" s="3">
        <f>1133.9+(217.1-503.6)+(-0.578289+(-0.110721--0.256836))+0-0-0</f>
        <v>846.96782600000006</v>
      </c>
      <c r="I230" s="3">
        <f>1133.6+(193.7-488.2)+(-1.156272+(-0.197574--0.497964))+0-0-0</f>
        <v>838.24411799999996</v>
      </c>
      <c r="J230" s="3">
        <f>1132.6+(187.6-488.5)+(-1.732878+(-0.287028--0.747405))+0-0-0</f>
        <v>830.4274989999999</v>
      </c>
      <c r="K230" s="3">
        <f>1131.9+(194.6-484.5)+(1.154538+(0.198492-0.49419))+0-0-0</f>
        <v>842.8588400000001</v>
      </c>
      <c r="L230" s="3">
        <f>1135.9+(195.7-534.3)+(-2.896545+(-0.499035--1.362465))+0-0-0</f>
        <v>795.26688500000023</v>
      </c>
      <c r="M230" s="3">
        <f>1137.8+(214.2-584.2)+(0+(0-0))+0-0-0</f>
        <v>767.8</v>
      </c>
      <c r="N230" s="3">
        <f>1237.6+(214.8-632.5)+(-0.631176+(-0.109548--0.322575))+0-0-0</f>
        <v>819.48185099999989</v>
      </c>
      <c r="O230" s="3">
        <f>1503.2+(215.2-846.6)+(0.766632+(0.109752-0.431766))+0-0-0</f>
        <v>872.24461799999995</v>
      </c>
      <c r="P230" s="3">
        <f>1662.9+(212-961)+(-1.696158+(-0.21624--0.98022))+0-0-0</f>
        <v>912.96782200000007</v>
      </c>
      <c r="Q230" s="3">
        <f>1678+(231.8-991.3)+(-4.2789+(-0.59109--2.527815))+0-0-0</f>
        <v>916.157825</v>
      </c>
      <c r="R230" s="3">
        <f>1679.1+(234-1021)+(-1.712682+(-0.23868--1.04142))+0-0-0</f>
        <v>891.19005799999991</v>
      </c>
      <c r="S230" s="3">
        <f>1677.3+(230.5-1039.1)+(-2.566269+(-0.352665--1.589823))+0-0-0</f>
        <v>867.37088900000003</v>
      </c>
      <c r="T230" s="3">
        <f>1679.7+(195.5-1019.6)+(-1.713294+(-0.19941--1.039992))+0-0-0</f>
        <v>854.72728800000004</v>
      </c>
      <c r="U230" s="3">
        <f>1680.5+(178.7-1001.3)+(-2.571165+(-0.273411--1.531989))+0-0-0</f>
        <v>856.58741300000008</v>
      </c>
      <c r="V230" s="3">
        <f>1684.6+(174-951.9)+(-1.718292+(-0.17748--0.970938))+0-0-0</f>
        <v>905.7751659999999</v>
      </c>
      <c r="W230" s="3">
        <f>1705.8+(218.2-790.1)+(-0.869958+(-0.111282--0.402951))+0-0-0</f>
        <v>1133.3217109999998</v>
      </c>
      <c r="X230" s="3">
        <f>1706.1+(271.1-773.4)+(-1.740222+(-0.276522--0.788868))+0-0-0</f>
        <v>1202.572124</v>
      </c>
      <c r="Y230" s="3">
        <f>1707.6+(272.9-796.3)+(-1.741752+(-0.278358--0.812226))+0-0-0</f>
        <v>1182.9921159999999</v>
      </c>
      <c r="Z230" s="3">
        <f>1711.4+(268.1-821.9)+(-2.618442+(-0.410193--1.257507))+0-0-0</f>
        <v>1155.828872</v>
      </c>
      <c r="AA230" s="3">
        <f>1713.8+(303.2-885.3)+(-1.748076+(-0.309264--0.903006))+0-0-0</f>
        <v>1130.545666</v>
      </c>
      <c r="AB230" s="3">
        <f>1600.4+(259.5-809.8)+(-0.816204+(-0.132345--0.412998))+0-0-0</f>
        <v>1049.5644490000002</v>
      </c>
      <c r="AC230" s="3">
        <f>1380.4+(142.5-562)+(-3.52002+(-0.363375--1.4331))+0-0-0</f>
        <v>958.44970500000011</v>
      </c>
      <c r="AD230">
        <f t="shared" si="3"/>
        <v>22454.133866</v>
      </c>
      <c r="AE230" s="3">
        <f>1708+(293.7-773.1)+(0+(0-0))+0-0-0</f>
        <v>1228.5999999999999</v>
      </c>
    </row>
    <row r="231" spans="1:31" s="2" customFormat="1" x14ac:dyDescent="0.25">
      <c r="A231">
        <v>89</v>
      </c>
      <c r="B231">
        <v>8</v>
      </c>
      <c r="C231">
        <v>15</v>
      </c>
      <c r="D231">
        <v>1</v>
      </c>
      <c r="E231">
        <v>1</v>
      </c>
      <c r="F231" s="3">
        <f>1146.2+(198.9-468.8)+(-2.92281+(-0.507195--1.19544))+0-0-0</f>
        <v>874.06543500000009</v>
      </c>
      <c r="G231" s="3">
        <f>1129.5+(207.5-503.2)+(-4.60836+(-0.8466--2.053056))+0-0-0</f>
        <v>830.39809600000001</v>
      </c>
      <c r="H231" s="3">
        <f>1128.5+(227.8-538)+(-2.30214+(-0.464712--1.09752))+0-0-0</f>
        <v>816.6306679999999</v>
      </c>
      <c r="I231" s="3">
        <f>1129.4+(184.8-507.1)+(1.151988+(0.188496-0.517242))+0-0-0</f>
        <v>807.92324200000019</v>
      </c>
      <c r="J231" s="3">
        <f>1129.9+(189.4-507.5)+(-0.576249+(-0.096594--0.258825))+0-0-0</f>
        <v>811.38598200000001</v>
      </c>
      <c r="K231" s="3">
        <f>1129.1+(226.6-516.5)+(-1.727523+(-0.346698--0.790245))+0-0-0</f>
        <v>837.91602399999988</v>
      </c>
      <c r="L231" s="3">
        <f>1134.5+(192.3-485)+(0+(0-0))+0-0-0</f>
        <v>841.8</v>
      </c>
      <c r="M231" s="3">
        <f>1189.4+(102.6-390.4)+(-0.606594+(-0.052326--0.199104))+0-0-0</f>
        <v>901.14018400000009</v>
      </c>
      <c r="N231" s="3">
        <f>1583+(73.9-654)+(0.80733+(0.037689-0.33354))+0-0-0</f>
        <v>1003.411479</v>
      </c>
      <c r="O231" s="3">
        <f>1743+(187.4-880.2)+(1.77786+(0.191148-0.897804))+0-0-0</f>
        <v>1051.2712039999999</v>
      </c>
      <c r="P231" s="3">
        <f>1761.6+(178.9-864.8)+(0+(0-0))+0-0-0</f>
        <v>1075.6999999999998</v>
      </c>
      <c r="Q231" s="3">
        <f>1787.4+(146.6-864.3)+(-2.734722+(-0.224298--1.322379))+0-0-0</f>
        <v>1068.0633590000002</v>
      </c>
      <c r="R231" s="3">
        <f>1687.5+(328.7-993.5)+(-6.024375+(-1.173459--3.546795))+0-0-0</f>
        <v>1019.0489610000001</v>
      </c>
      <c r="S231" s="3">
        <f>1686.3+(349.9-1004.3)+(-0.860013+(-0.178449--0.512193))+0-0-0</f>
        <v>1031.3737310000001</v>
      </c>
      <c r="T231" s="3">
        <f>1686+(326.4-1000.9)+(-3.43944+(-0.665856--2.041836))+0-0-0</f>
        <v>1009.43654</v>
      </c>
      <c r="U231" s="3">
        <f>1683+(293.5-968.5)+(0+(0-0))+0-0-0</f>
        <v>1008</v>
      </c>
      <c r="V231" s="3">
        <f>1685.8+(201.8-834.1)+(-0.859758+(-0.102918--0.425391))+0-0-0</f>
        <v>1052.9627149999999</v>
      </c>
      <c r="W231" s="3">
        <f>1699.5+(287.5-719)+(-0.866745+(-0.146625--0.36669))+0-0-0</f>
        <v>1267.3533199999999</v>
      </c>
      <c r="X231" s="3">
        <f>1707.5+(336.6-709.9)+(-4.354125+(-0.85833--1.810245))+0-0-0</f>
        <v>1330.7977900000001</v>
      </c>
      <c r="Y231" s="3">
        <f>1712.9+(342-743.6)+(-5.241474+(-1.04652--2.275416))+0-0-0</f>
        <v>1307.2874220000001</v>
      </c>
      <c r="Z231" s="3">
        <f>1713.9+(377.1-811.1)+(-2.622267+(-0.576963--1.240983))+0-0-0</f>
        <v>1277.9417530000001</v>
      </c>
      <c r="AA231" s="3">
        <f>1711.9+(346.3-846.4)+(-2.619207+(-0.529839--1.294992))+0-0-0</f>
        <v>1209.9459460000003</v>
      </c>
      <c r="AB231" s="3">
        <f>1633.4+(217-728.6)+(-2.499102+(-0.33201--1.114758))+0-0-0</f>
        <v>1120.0836460000003</v>
      </c>
      <c r="AC231" s="3">
        <f>1298.5+(186.8-470.2)+(-2.64894+(-0.381072--0.959208))+0-0-0</f>
        <v>1013.0291960000001</v>
      </c>
      <c r="AD231">
        <f t="shared" si="3"/>
        <v>24566.966692999998</v>
      </c>
      <c r="AE231" s="3">
        <f>1698+(333.1-686.1)+(0+(0-0))+0-0-0</f>
        <v>1345</v>
      </c>
    </row>
    <row r="232" spans="1:31" s="2" customFormat="1" x14ac:dyDescent="0.25">
      <c r="A232">
        <v>89</v>
      </c>
      <c r="B232">
        <v>8</v>
      </c>
      <c r="C232">
        <v>16</v>
      </c>
      <c r="D232">
        <v>2</v>
      </c>
      <c r="E232">
        <v>1</v>
      </c>
      <c r="F232" s="3">
        <f>1120.1+(211.2-382.8)+(-1.142502+(-0.215424--0.390456))+0-0-0</f>
        <v>947.53252999999984</v>
      </c>
      <c r="G232" s="3">
        <f>1124.5+(174.7-392.2)+(-0.573495+(-0.089097--0.200022))+0-0-0</f>
        <v>906.53742999999997</v>
      </c>
      <c r="H232" s="3">
        <f>1125.2+(189.5-433.7)+(-1.721556+(-0.289935--0.663561))+0-0-0</f>
        <v>879.65206999999998</v>
      </c>
      <c r="I232" s="3">
        <f>1124.8+(171.8-428.6)+(-1.147296+(-0.175236--0.437172))+0-0-0</f>
        <v>867.11464000000001</v>
      </c>
      <c r="J232" s="3">
        <f>1125.1+(199.3-453.1)+(1.147602+(0.203286-0.462162))+0-0-0</f>
        <v>872.18872599999997</v>
      </c>
      <c r="K232" s="3">
        <f>1125+(211.5-449.1)+(2.86875+(0.539325-1.145205))+0-0-0</f>
        <v>889.66287</v>
      </c>
      <c r="L232" s="3">
        <f>1254.9+(218.2-575.9)+(-1.919997+(-0.333846--0.881127))+0-0-0</f>
        <v>895.82728400000008</v>
      </c>
      <c r="M232" s="3">
        <f>1517.7+(241.1-816.9)+(-3.870135+(-0.614805--2.083095))+0-0-0</f>
        <v>939.49815500000011</v>
      </c>
      <c r="N232" s="3">
        <f>1694.1+(313.3-965.5)+(2.591973+(0.479349-1.477215))+0-0-0</f>
        <v>1043.4941069999998</v>
      </c>
      <c r="O232" s="3">
        <f>1753.1+(369.1-1048.4)+(-2.682243+(-0.564723--1.604052))+0-0-0</f>
        <v>1072.1570859999997</v>
      </c>
      <c r="P232" s="3">
        <f>1828.8+(354.8-1102)+(-0.932688+(-0.180948--0.56202))+0-0-0</f>
        <v>1081.0483839999999</v>
      </c>
      <c r="Q232" s="3">
        <f>1843.3+(377.5-1125.6)+(-0.940083+(-0.192525--0.574056))+0-0-0</f>
        <v>1094.6414480000001</v>
      </c>
      <c r="R232" s="3">
        <f>1789.8+(365.3-1158.2)+(-3.651192+(-0.745212--2.362728))+0-0-0</f>
        <v>994.86632399999985</v>
      </c>
      <c r="S232" s="3">
        <f>1704.3+(360.6-1030.9)+(0+(0-0))+0-0-0</f>
        <v>1034</v>
      </c>
      <c r="T232" s="3">
        <f>1680.5+(363.6-1114.8)+(1.71411+(0.370872-1.137096))+0-0-0</f>
        <v>930.24788600000011</v>
      </c>
      <c r="U232" s="3">
        <f>1680.6+(346.9-1081)+(-1.714212+(-0.353838--1.10262))+0-0-0</f>
        <v>945.53456999999992</v>
      </c>
      <c r="V232" s="3">
        <f>1684.5+(300.8-920)+(-0.859095+(-0.153408--0.4692))+0-0-0</f>
        <v>1064.756697</v>
      </c>
      <c r="W232" s="3">
        <f>1792+(339.5-836.8)+(-0.91392+(-0.173145--0.426768))+0-0-0</f>
        <v>1294.0397030000001</v>
      </c>
      <c r="X232" s="3">
        <f>1859.7+(446.3-956.3)+(-0.948447+(-0.227613--0.487713))+0-0-0</f>
        <v>1349.011653</v>
      </c>
      <c r="Y232" s="3">
        <f>1864.5+(415.9-956.9)+(-4.754475+(-1.060545--2.440095))+0-0-0</f>
        <v>1320.1250749999999</v>
      </c>
      <c r="Z232" s="3">
        <f>1865.6+(419.5-1011.2)+(-4.75728+(-1.069725--2.57856))+0-0-0</f>
        <v>1270.6515549999999</v>
      </c>
      <c r="AA232" s="3">
        <f>1842.4+(422.1-1040.8)+(-1.879248+(-0.430542--1.061616))+0-0-0</f>
        <v>1222.4518260000002</v>
      </c>
      <c r="AB232" s="3">
        <f>1767+(253.7-879.1)+(-1.80234+(-0.258774--0.896682))+0-0-0</f>
        <v>1140.4355679999999</v>
      </c>
      <c r="AC232" s="3">
        <f>1656.1+(145.3-748.5)+(-4.223055+(-0.370515--1.908675))+0-0-0</f>
        <v>1050.2151049999998</v>
      </c>
      <c r="AD232">
        <f t="shared" si="3"/>
        <v>25105.690692</v>
      </c>
      <c r="AE232" s="3">
        <f>1853+(477.1-968.8)+(0+(0-0))+0-0-0</f>
        <v>1361.3000000000002</v>
      </c>
    </row>
    <row r="233" spans="1:31" s="2" customFormat="1" x14ac:dyDescent="0.25">
      <c r="A233">
        <v>89</v>
      </c>
      <c r="B233">
        <v>8</v>
      </c>
      <c r="C233">
        <v>17</v>
      </c>
      <c r="D233">
        <v>3</v>
      </c>
      <c r="E233">
        <v>1</v>
      </c>
      <c r="F233" s="3">
        <f>1360.7+(174.3-584.8)+(-2.081871+(-0.266679--0.894744))+0-0-0</f>
        <v>948.74619400000006</v>
      </c>
      <c r="G233" s="3">
        <f>1153+(178.3-434.5)+(-2.35212+(-0.363732--0.88638))+0-0-0</f>
        <v>894.97052799999994</v>
      </c>
      <c r="H233" s="3">
        <f>1130.2+(190.5-448)+(-1.729206+(-0.291465--0.68544))+0-0-0</f>
        <v>871.36476900000002</v>
      </c>
      <c r="I233" s="3">
        <f>1130.4+(178.5-443.1)+(-0.576504+(-0.091035--0.225981))+0-0-0</f>
        <v>865.35844200000008</v>
      </c>
      <c r="J233" s="3">
        <f>1130.5+(185.7-448.3)+(-0.576555+(-0.094707--0.228633))+0-0-0</f>
        <v>867.45737099999997</v>
      </c>
      <c r="K233" s="3">
        <f>1129+(189.9-436.1)+(0+(0-0))+0-0-0</f>
        <v>882.8</v>
      </c>
      <c r="L233" s="3">
        <f>1129.1+(192.1-439.1)+(-1.151682+(-0.195942--0.447882))+0-0-0</f>
        <v>881.20025799999996</v>
      </c>
      <c r="M233" s="3">
        <f>1373.6+(278.8-723.6)+(-2.101608+(-0.426564--1.107108))+0-0-0</f>
        <v>927.37893599999995</v>
      </c>
      <c r="N233" s="3">
        <f>1680.7+(260.4-909.3)+(-1.714314+(-0.265608--0.927486))+0-0-0</f>
        <v>1030.7475640000002</v>
      </c>
      <c r="O233" s="3">
        <f>1679+(343.6-967.5)+(0+(0-0))+0-0-0</f>
        <v>1055.0999999999999</v>
      </c>
      <c r="P233" s="3">
        <f>1676.4+(395.2-1005.4)+(0+(0-0))+0-0-0</f>
        <v>1066.2</v>
      </c>
      <c r="Q233" s="3">
        <f>1676.6+(341.4-941.5)+(-2.565198+(-0.522342--1.440495))+0-0-0</f>
        <v>1074.8529550000001</v>
      </c>
      <c r="R233" s="3">
        <f>1675.1+(306-927)+(-4.271505+(-0.7803--2.36385))+0-0-0</f>
        <v>1051.4120449999998</v>
      </c>
      <c r="S233" s="3">
        <f>1665.3+(308.4-929)+(0.849303+(0.157284-0.47379))+0-0-0</f>
        <v>1045.2327969999999</v>
      </c>
      <c r="T233" s="3">
        <f>1639.5+(307.9-918.6)+(-1.67229+(-0.314058--0.936972))+0-0-0</f>
        <v>1027.750624</v>
      </c>
      <c r="U233" s="3">
        <f>1651.4+(314.7-944.6)+(0+(0-0))+0-0-0</f>
        <v>1021.5</v>
      </c>
      <c r="V233" s="3">
        <f>1670.3+(257.4-865.5)+(-0.851853+(-0.131274--0.441405))+0-0-0</f>
        <v>1061.6582779999999</v>
      </c>
      <c r="W233" s="3">
        <f>1701.7+(229.5-636.4)+(0+(0-0))+0-0-0</f>
        <v>1294.8000000000002</v>
      </c>
      <c r="X233" s="3">
        <f>1705.3+(413.4-792.4)+(-1.739406+(-0.421668--0.808248))+0-0-0</f>
        <v>1324.9471739999999</v>
      </c>
      <c r="Y233" s="3">
        <f>1705.4+(403.2-797)+(-4.34877+(-1.02816--2.03235))+0-0-0</f>
        <v>1308.2554200000002</v>
      </c>
      <c r="Z233" s="3">
        <f>1708.7+(425.6-861.7)+(-2.614311+(-0.651168--1.318401))+0-0-0</f>
        <v>1270.652922</v>
      </c>
      <c r="AA233" s="3">
        <f>1709.7+(373.9-869)+(-1.743894+(-0.381378--0.88638))+0-0-0</f>
        <v>1213.3611079999998</v>
      </c>
      <c r="AB233" s="3">
        <f>1691.5+(211-772)+(-4.313325+(-0.53805--1.9686))+0-0-0</f>
        <v>1127.617225</v>
      </c>
      <c r="AC233" s="3">
        <f>1484+(149.5-605.5)+(-3.02736+(-0.30498--1.23522))+0-0-0</f>
        <v>1025.9028800000001</v>
      </c>
      <c r="AD233">
        <f t="shared" si="3"/>
        <v>25139.267490000006</v>
      </c>
      <c r="AE233" s="3">
        <f>1718+(362.5-722.8)+(0+(0-0))+0-0-0</f>
        <v>1357.7</v>
      </c>
    </row>
    <row r="234" spans="1:31" s="2" customFormat="1" x14ac:dyDescent="0.25">
      <c r="A234">
        <v>89</v>
      </c>
      <c r="B234">
        <v>8</v>
      </c>
      <c r="C234">
        <v>18</v>
      </c>
      <c r="D234">
        <v>4</v>
      </c>
      <c r="E234">
        <v>1</v>
      </c>
      <c r="F234" s="3">
        <f>1258+(143.9-447.1)+(-2.56632+(-0.293556--0.912084))+0-0-0</f>
        <v>952.85220799999991</v>
      </c>
      <c r="G234" s="3">
        <f>1121.3+(155.3-374.8)+(0+(0-0))+0-0-0</f>
        <v>901.8</v>
      </c>
      <c r="H234" s="3">
        <f>1121.4+(163.8-416.5)+(-0.571914+(-0.083538--0.212415))+0-0-0</f>
        <v>868.25696300000004</v>
      </c>
      <c r="I234" s="3">
        <f>1121.8+(152.1-415.5)+(1.144236+(0.155142-0.42381))+0-0-0</f>
        <v>859.27556800000002</v>
      </c>
      <c r="J234" s="3">
        <f>1121.3+(152.3-404)+(0.571863+(0.077673-0.20604))+0-0-0</f>
        <v>870.04349599999989</v>
      </c>
      <c r="K234" s="3">
        <f>1119.1+(163-400.3)+(0+(0-0))+0-0-0</f>
        <v>881.8</v>
      </c>
      <c r="L234" s="3">
        <f>1128.4+(259.8-498.8)+(0.575484+(0.132498-0.254388))+0-0-0</f>
        <v>889.85359400000004</v>
      </c>
      <c r="M234" s="3">
        <f>1432.3+(231.6-737.8)+(0+(0-0))+0-0-0</f>
        <v>926.1</v>
      </c>
      <c r="N234" s="3">
        <f>1824.9+(347.3-1147)+(0.930699+(0.177123-0.58497))+0-0-0</f>
        <v>1025.7228520000001</v>
      </c>
      <c r="O234" s="3">
        <f>1799.5+(447.4-1193.9)+(-2.753235+(-0.684522--1.826667))+0-0-0</f>
        <v>1051.3889099999999</v>
      </c>
      <c r="P234" s="3">
        <f>1792.3+(417.1-1157.3)+(0+(0-0))+0-0-0</f>
        <v>1052.0999999999999</v>
      </c>
      <c r="Q234" s="3">
        <f>1748.6+(402-1111.7)+(-4.45893+(-1.0251--2.834835))+0-0-0</f>
        <v>1036.2508049999999</v>
      </c>
      <c r="R234" s="3">
        <f>1645.9+(393.5-1059.2)+(0+(0-0))+0-0-0</f>
        <v>980.2</v>
      </c>
      <c r="S234" s="3">
        <f>1644.4+(292.3-908.1)+(0+(0-0))+0-0-0</f>
        <v>1028.6000000000001</v>
      </c>
      <c r="T234" s="3">
        <f>1643.9+(302.6-929.2)+(0.838389+(0.154326-0.473892))+0-0-0</f>
        <v>1017.8188230000001</v>
      </c>
      <c r="U234" s="3">
        <f>1620+(297.3-894.5)+(0+(0-0))+0-0-0</f>
        <v>1022.8</v>
      </c>
      <c r="V234" s="3">
        <f>1615.4+(260.9-806.2)+(1.647708+(0.266118-0.822324))+0-0-0</f>
        <v>1071.1915019999999</v>
      </c>
      <c r="W234" s="3">
        <f>1698+(291.2-680.5)+(0.86598+(0.148512-0.347055))+0-0-0</f>
        <v>1309.3674370000001</v>
      </c>
      <c r="X234" s="3">
        <f>1704.5+(364-711.5)+(-2.607885+(-0.55692--1.088595))+0-0-0</f>
        <v>1354.9237900000001</v>
      </c>
      <c r="Y234" s="3">
        <f>1704.9+(383.9-758.1)+(-4.347495+(-0.978945--1.933155))+0-0-0</f>
        <v>1327.3067149999999</v>
      </c>
      <c r="Z234" s="3">
        <f>1704.1+(385.9-803.1)+(-0.869091+(-0.196809--0.409581))+0-0-0</f>
        <v>1286.2436809999999</v>
      </c>
      <c r="AA234" s="3">
        <f>1671.3+(450.2-894.5)+(-1.704726+(-0.459204--0.91239))+0-0-0</f>
        <v>1225.74846</v>
      </c>
      <c r="AB234" s="3">
        <f>1617.8+(361.7-848.9)+(-4.950468+(-1.106802--2.597634))+0-0-0</f>
        <v>1127.1403639999999</v>
      </c>
      <c r="AC234" s="3">
        <f>1572.1+(326.3-853.5)+(-4.008855+(-0.832065--2.176425))+0-0-0</f>
        <v>1042.2355049999999</v>
      </c>
      <c r="AD234">
        <f t="shared" si="3"/>
        <v>25109.020672999999</v>
      </c>
      <c r="AE234" s="3">
        <f>1709+(361.3-688.5)+(0+(0-0))+0-0-0</f>
        <v>1381.8</v>
      </c>
    </row>
    <row r="235" spans="1:31" s="2" customFormat="1" x14ac:dyDescent="0.25">
      <c r="A235">
        <v>89</v>
      </c>
      <c r="B235">
        <v>8</v>
      </c>
      <c r="C235">
        <v>19</v>
      </c>
      <c r="D235">
        <v>5</v>
      </c>
      <c r="E235">
        <v>1</v>
      </c>
      <c r="F235" s="3">
        <f>1179+(351.4-573.8)+(-1.80387+(-0.537642--0.877914))+0-0-0</f>
        <v>955.13640199999998</v>
      </c>
      <c r="G235" s="3">
        <f>907.1+(402.7-413.5)+(-0.925242+(-0.410754--0.42177))+0-0-0</f>
        <v>895.38577399999997</v>
      </c>
      <c r="H235" s="3">
        <f>912.8+(347.1-391.4)+(0+(0-0))+0-0-0</f>
        <v>868.5</v>
      </c>
      <c r="I235" s="3">
        <f>1053.4+(203.3-395.4)+(-2.148936+(-0.414732--0.806616))+0-0-0</f>
        <v>859.54294800000014</v>
      </c>
      <c r="J235" s="3">
        <f>1301.2+(180.3-614.9)+(3.31806+(0.459765-1.567995))+0-0-0</f>
        <v>868.80983000000015</v>
      </c>
      <c r="K235" s="3">
        <f>1339.8+(269.5-716.4)+(-2.049894+(-0.412335--1.096092))+0-0-0</f>
        <v>891.533863</v>
      </c>
      <c r="L235" s="3">
        <f>1461.2+(291.2-849.8)+(-3.72606+(-0.74256--2.16699))+0-0-0</f>
        <v>900.29837000000009</v>
      </c>
      <c r="M235" s="3">
        <f>1701.9+(310.3-1072.6)+(-0.867969+(-0.158253--0.547026))+0-0-0</f>
        <v>939.12080400000013</v>
      </c>
      <c r="N235" s="3">
        <f>1832.1+(280.7-1219.1)+(0+(0-0))+0-0-0</f>
        <v>893.7</v>
      </c>
      <c r="O235" s="3">
        <f>1796.3+(298.5-1139.4)+(0+(0-0))+0-0-0</f>
        <v>955.39999999999986</v>
      </c>
      <c r="P235" s="3">
        <f>1791.2+(349-1160.2)+(0.913512+(0.17799-0.591702))+0-0-0</f>
        <v>980.49980000000005</v>
      </c>
      <c r="Q235" s="3">
        <f>1779+(364.5-1063.4)+(-5.44374+(-1.11537--3.254004))+0-0-0</f>
        <v>1076.7948939999999</v>
      </c>
      <c r="R235" s="3">
        <f>1776+(350-1069.2)+(-1.81152+(-0.357--1.090584))+0-0-0</f>
        <v>1055.722064</v>
      </c>
      <c r="S235" s="3">
        <f>1781.2+(376.9-1118)+(0+(0-0))+0-0-0</f>
        <v>1040.0999999999999</v>
      </c>
      <c r="T235" s="3">
        <f>1792.3+(419.5-1196)+(-1.828146+(-0.42789--1.21992))+0-0-0</f>
        <v>1014.763884</v>
      </c>
      <c r="U235" s="3">
        <f>1792.4+(350.8-1166.1)+(-2.742372+(-0.536724--1.784133))+0-0-0</f>
        <v>975.60503700000015</v>
      </c>
      <c r="V235" s="3">
        <f>1842+(309.2-1062)+(0.93942+(0.157692-0.54162))+0-0-0</f>
        <v>1089.755492</v>
      </c>
      <c r="W235" s="3">
        <f>2099+(307.2-1059.9)+(1.07049+(0.156672-0.540549))+0-0-0</f>
        <v>1346.986613</v>
      </c>
      <c r="X235" s="3">
        <f>2106.8+(356-1073.7)+(0+(0-0))+0-0-0</f>
        <v>1389.1000000000001</v>
      </c>
      <c r="Y235" s="3">
        <f>1987.4+(375.3-1022.6)+(-6.081444+(-1.148418--3.129156))+0-0-0</f>
        <v>1335.9992940000002</v>
      </c>
      <c r="Z235" s="3">
        <f>1846.6+(426.5-951.8)+(-1.883532+(-0.43503--0.970836))+0-0-0</f>
        <v>1319.952274</v>
      </c>
      <c r="AA235" s="3">
        <f>1772+(428.2-973.5)+(0.90372+(0.218382-0.496485))+0-0-0</f>
        <v>1227.325617</v>
      </c>
      <c r="AB235" s="3">
        <f>1772.2+(318-939.6)+(-3.615288+(-0.64872--1.916784))+0-0-0</f>
        <v>1148.2527759999998</v>
      </c>
      <c r="AC235" s="3">
        <f>1751.1+(292.4-982.4)+(-2.679183+(-0.447372--1.503072))+0-0-0</f>
        <v>1059.4765169999998</v>
      </c>
      <c r="AD235">
        <f t="shared" si="3"/>
        <v>25087.762252999997</v>
      </c>
      <c r="AE235" s="3">
        <f>2124+(364-1080.6)+(0+(0-0))+0-0-0</f>
        <v>1407.4</v>
      </c>
    </row>
    <row r="236" spans="1:31" s="2" customFormat="1" x14ac:dyDescent="0.25">
      <c r="A236">
        <v>89</v>
      </c>
      <c r="B236">
        <v>8</v>
      </c>
      <c r="C236">
        <v>20</v>
      </c>
      <c r="D236">
        <v>6</v>
      </c>
      <c r="E236">
        <v>1</v>
      </c>
      <c r="F236" s="3">
        <f>1425.4+(246.8-699.1)+(-1.453908+(-0.251736--0.713082))+0-0-0</f>
        <v>972.10743800000012</v>
      </c>
      <c r="G236" s="3">
        <f>1302.5+(197.6-583.1)+(-1.992825+(-0.302328--0.892143))+0-0-0</f>
        <v>915.59699000000001</v>
      </c>
      <c r="H236" s="3">
        <f>1301.9+(230.3-639.4)+(-1.991907+(-0.352359--0.978282))+0-0-0</f>
        <v>891.43401600000016</v>
      </c>
      <c r="I236" s="3">
        <f>1302.7+(209.4-634)+(0.664377+(0.106794-0.32334))+0-0-0</f>
        <v>878.54783099999997</v>
      </c>
      <c r="J236" s="3">
        <f>1303+(213.9-628.7)+(1.99359+(0.327267-0.961911))+0-0-0</f>
        <v>889.55894599999988</v>
      </c>
      <c r="K236" s="3">
        <f>1299.9+(281.5-677.4)+(1.325898+(0.28713-0.690948))+0-0-0</f>
        <v>904.92208000000016</v>
      </c>
      <c r="L236" s="3">
        <f>1365.3+(368.1-819.8)+(-0.696303+(-0.187731--0.418098))+0-0-0</f>
        <v>913.13406399999997</v>
      </c>
      <c r="M236" s="3">
        <f>1619.9+(336.6-1011.5)+(2.478447+(0.514998-1.547595))+0-0-0</f>
        <v>946.44585000000006</v>
      </c>
      <c r="N236" s="3">
        <f>1797.2+(329.4-1088.6)+(2.749716+(0.503982-1.665558))+0-0-0</f>
        <v>1039.5881400000001</v>
      </c>
      <c r="O236" s="3">
        <f>1852.7+(270.2-1055.2)+(1.889754+(0.275604-1.076304))+0-0-0</f>
        <v>1068.7890540000001</v>
      </c>
      <c r="P236" s="3">
        <f>1850.2+(272.7-1050.3)+(2.830806+(0.417231-1.606959))+0-0-0</f>
        <v>1074.2410780000002</v>
      </c>
      <c r="Q236" s="3">
        <f>1848+(228-1004.8)+(-1.88496+(-0.23256--1.024896))+0-0-0</f>
        <v>1070.1073760000002</v>
      </c>
      <c r="R236" s="3">
        <f>1847+(231.3-1024.8)+(-1.88394+(-0.235926--1.045296))+0-0-0</f>
        <v>1052.42543</v>
      </c>
      <c r="S236" s="3">
        <f>1846.2+(241.6-1060.3)+(-3.766248+(-0.492864--2.163012))+0-0-0</f>
        <v>1025.4039</v>
      </c>
      <c r="T236" s="3">
        <f>1851.8+(215.6-1056.5)+(-3.777672+(-0.439824--2.15526))+0-0-0</f>
        <v>1008.837764</v>
      </c>
      <c r="U236" s="3">
        <f>1851.5+(230.3-1071)+(-2.832795+(-0.352359--1.63863))+0-0-0</f>
        <v>1009.253476</v>
      </c>
      <c r="V236" s="3">
        <f>1988+(209.5-1102)+(2.02776+(0.21369-1.12404))+0-0-0</f>
        <v>1096.6174100000001</v>
      </c>
      <c r="W236" s="3">
        <f>2089.5+(273.2-1042)+(-1.065645+(-0.139332--0.53142))+0-0-0</f>
        <v>1320.026443</v>
      </c>
      <c r="X236" s="3">
        <f>2064.7+(283.4-1002.4)+(-5.264985+(-0.72267--2.55612))+0-0-0</f>
        <v>1342.2684649999999</v>
      </c>
      <c r="Y236" s="3">
        <f>1967.5+(271.6-926.5)+(-3.010275+(-0.415548--1.417545))+0-0-0</f>
        <v>1310.5917219999999</v>
      </c>
      <c r="Z236" s="3">
        <f>1901+(224.4-861.5)+(-0.96951+(-0.114444--0.439365))+0-0-0</f>
        <v>1263.2554110000001</v>
      </c>
      <c r="AA236" s="3">
        <f>1896.2+(225.4-901.9)+(-2.901186+(-0.344862--1.379907))+0-0-0</f>
        <v>1217.8338590000001</v>
      </c>
      <c r="AB236" s="3">
        <f>1808.4+(214.2-877.4)+(-2.766852+(-0.327726--1.342422))+0-0-0</f>
        <v>1143.447844</v>
      </c>
      <c r="AC236" s="3">
        <f>1766.9+(229.7-926.9)+(-3.604476+(-0.468588--1.890876))+0-0-0</f>
        <v>1067.517812</v>
      </c>
      <c r="AD236">
        <f t="shared" si="3"/>
        <v>25421.952399000002</v>
      </c>
      <c r="AE236" s="3">
        <f>2080+(314.9-1028.2)+(0+(0-0))+0-0-0</f>
        <v>1366.6999999999998</v>
      </c>
    </row>
    <row r="237" spans="1:31" s="2" customFormat="1" x14ac:dyDescent="0.25">
      <c r="A237">
        <v>89</v>
      </c>
      <c r="B237">
        <v>8</v>
      </c>
      <c r="C237">
        <v>21</v>
      </c>
      <c r="D237">
        <v>7</v>
      </c>
      <c r="E237">
        <v>1</v>
      </c>
      <c r="F237" s="3">
        <f>1546.8+(131.6-707.8)+(-2.366604+(-0.201348--1.082934))+0-0-0</f>
        <v>969.11498200000005</v>
      </c>
      <c r="G237" s="3">
        <f>1311.7+(143-548.1)+(-2.006901+(-0.21879--0.838593))+0-0-0</f>
        <v>905.21290199999999</v>
      </c>
      <c r="H237" s="3">
        <f>1304+(147.1-574.1)+(-1.33008+(-0.150042--0.585582))+0-0-0</f>
        <v>876.10545999999999</v>
      </c>
      <c r="I237" s="3">
        <f>1303.8+(137.5-581)+(-1.994814+(-0.210375--0.88893))+0-0-0</f>
        <v>858.98374100000001</v>
      </c>
      <c r="J237" s="3">
        <f>1303+(166.8-615)+(-0.66453+(-0.085068--0.31365))+0-0-0</f>
        <v>854.3640519999999</v>
      </c>
      <c r="K237" s="3">
        <f>1302+(185.7-624.2)+(-0.66402+(-0.094707--0.318342))+0-0-0</f>
        <v>863.05961500000001</v>
      </c>
      <c r="L237" s="3">
        <f>1308.5+(206-678.5)+(-4.671345+(-0.73542--2.422245))+0-0-0</f>
        <v>833.01548000000003</v>
      </c>
      <c r="M237" s="3">
        <f>1465.2+(200.7-855.4)+(0.747252+(0.102357-0.436254))+0-0-0</f>
        <v>810.91335500000002</v>
      </c>
      <c r="N237" s="3">
        <f>1622+(248.9-1016.7)+(-2.48166+(-0.380817--1.555551))+0-0-0</f>
        <v>852.89307399999996</v>
      </c>
      <c r="O237" s="3">
        <f>1626.7+(332.8-987.2)+(-1.659234+(-0.339456--1.006944))+0-0-0</f>
        <v>971.30825399999992</v>
      </c>
      <c r="P237" s="3">
        <f>1624.6+(321.9-1024.4)+(-0.828546+(-0.164169--0.522444))+0-0-0</f>
        <v>921.62972899999977</v>
      </c>
      <c r="Q237" s="3">
        <f>1622.4+(308.3-1005.9)+(-0.827424+(-0.157233--0.513009))+0-0-0</f>
        <v>924.32835200000022</v>
      </c>
      <c r="R237" s="3">
        <f>1623.8+(216.6-937.9)+(-3.312552+(-0.441864--1.913316))+0-0-0</f>
        <v>900.65890000000002</v>
      </c>
      <c r="S237" s="3">
        <f>1622.5+(200.8-943.9)+(3.3099+(0.409632-1.925556))+0-0-0</f>
        <v>881.19397600000013</v>
      </c>
      <c r="T237" s="3">
        <f>1624+(195.9-958.8)+(-2.48472+(-0.299727--1.466964))+0-0-0</f>
        <v>859.78251699999998</v>
      </c>
      <c r="U237" s="3">
        <f>1624+(186.6-937.8)+(-0.82824+(-0.095166--0.478278))+0-0-0</f>
        <v>872.35487200000011</v>
      </c>
      <c r="V237" s="3">
        <f>1664.7+(195.9-924.2)+(-0.848997+(-0.099909--0.471342))+0-0-0</f>
        <v>935.92243599999995</v>
      </c>
      <c r="W237" s="3">
        <f>1854.8+(201.5-870.9)+(-2.837844+(-0.308295--1.332477))+0-0-0</f>
        <v>1183.5863380000001</v>
      </c>
      <c r="X237" s="3">
        <f>1927+(203.5-895.1)+(-6.87939+(-0.726495--3.195507))+0-0-0</f>
        <v>1230.9896220000001</v>
      </c>
      <c r="Y237" s="3">
        <f>1927.2+(207.6-912.1)+(-2.948616+(-0.317628--1.395513))+0-0-0</f>
        <v>1220.8292690000001</v>
      </c>
      <c r="Z237" s="3">
        <f>1929.4+(203.6-944.3)+(-3.935976+(-0.415344--1.926372))+0-0-0</f>
        <v>1186.2750520000002</v>
      </c>
      <c r="AA237" s="3">
        <f>1928.1+(209.9-993.3)+(-1.966662+(-0.214098--1.013166))+0-0-0</f>
        <v>1143.5324059999998</v>
      </c>
      <c r="AB237" s="3">
        <f>1846+(187.3-957)+(-2.82438+(-0.286569--1.46421))+0-0-0</f>
        <v>1074.6532609999999</v>
      </c>
      <c r="AC237" s="3">
        <f>1598.9+(163.1-772.2)+(-2.446317+(-0.249543--1.181466))+0-0-0</f>
        <v>988.28560600000003</v>
      </c>
      <c r="AD237">
        <f t="shared" si="3"/>
        <v>23118.993251000004</v>
      </c>
      <c r="AE237" s="3">
        <f>1929+(231.9-880.9)+(0+(0-0))+0-0-0</f>
        <v>1280</v>
      </c>
    </row>
    <row r="238" spans="1:31" s="2" customFormat="1" x14ac:dyDescent="0.25">
      <c r="A238">
        <v>89</v>
      </c>
      <c r="B238">
        <v>8</v>
      </c>
      <c r="C238">
        <v>22</v>
      </c>
      <c r="D238">
        <v>1</v>
      </c>
      <c r="E238">
        <v>1</v>
      </c>
      <c r="F238" s="3">
        <f>1312.7+(147.2-568.7)+(1.338954+(0.150144-0.580074))+0-0-0</f>
        <v>892.10902400000009</v>
      </c>
      <c r="G238" s="3">
        <f>1310.5+(122.1-577.6)+(0+(0-0))+0-0-0</f>
        <v>855</v>
      </c>
      <c r="H238" s="3">
        <f>1310+(124.3-591.8)+(0.6681+(0.063393-0.301818))+0-0-0</f>
        <v>842.92967499999997</v>
      </c>
      <c r="I238" s="3">
        <f>1309.5+(146.1-624.7)+(1.33569+(0.149022-0.637194))+0-0-0</f>
        <v>831.74751800000001</v>
      </c>
      <c r="J238" s="3">
        <f>1314+(179.7-656.3)+(1.34028+(0.183294-0.669426))+0-0-0</f>
        <v>838.2541480000001</v>
      </c>
      <c r="K238" s="3">
        <f>1316.4+(176.5-635.2)+(-0.671364+(-0.090015--0.323952))+0-0-0</f>
        <v>857.26257300000009</v>
      </c>
      <c r="L238" s="3">
        <f>1477.9+(233.9-833.9)+(-2.261187+(-0.357867--1.275867))+0-0-0</f>
        <v>876.55681300000015</v>
      </c>
      <c r="M238" s="3">
        <f>1536.8+(252.5-877.5)+(-0.783768+(-0.128775--0.447525))+0-0-0</f>
        <v>911.33498199999997</v>
      </c>
      <c r="N238" s="3">
        <f>1664.6+(262.2-917.3)+(-1.697892+(-0.267444--0.935646))+0-0-0</f>
        <v>1008.47031</v>
      </c>
      <c r="O238" s="3">
        <f>1835.6+(350-1132.8)+(-2.808468+(-0.5355--1.733184))+0-0-0</f>
        <v>1051.189216</v>
      </c>
      <c r="P238" s="3">
        <f>1935.8+(316.5-1183.3)+(0+(0-0))+0-0-0</f>
        <v>1069</v>
      </c>
      <c r="Q238" s="3">
        <f>1944.5+(324.7-1183.5)+(-0.991695+(-0.165597--0.603585))+0-0-0</f>
        <v>1085.146293</v>
      </c>
      <c r="R238" s="3">
        <f>1814.8+(330.5-1088.5)+(-3.702192+(-0.67422--2.22054))+0-0-0</f>
        <v>1054.6441279999999</v>
      </c>
      <c r="S238" s="3">
        <f>1813.9+(349.9-1135.2)+(-1.850178+(-0.356898--1.157904))+0-0-0</f>
        <v>1027.5508279999999</v>
      </c>
      <c r="T238" s="3">
        <f>1813.7+(357.4-1157)+(-0.924987+(-0.182274--0.59007))+0-0-0</f>
        <v>1013.582809</v>
      </c>
      <c r="U238" s="3">
        <f>1814+(365.4-1205.1)+(0.92514+(0.186354-0.614601))+0-0-0</f>
        <v>974.79689300000007</v>
      </c>
      <c r="V238" s="3">
        <f>1817.3+(253.4-1015.7)+(1.853646+(0.258468-1.036014))+0-0-0</f>
        <v>1056.0761</v>
      </c>
      <c r="W238" s="3">
        <f>2014.4+(161-891.3)+(0+(0-0))+0-0-0</f>
        <v>1284.1000000000001</v>
      </c>
      <c r="X238" s="3">
        <f>2100.6+(211.7-967.7)+(-1.071306+(-0.107967--0.493527))+0-0-0</f>
        <v>1343.9142539999998</v>
      </c>
      <c r="Y238" s="3">
        <f>2103.5+(255.1-1026.7)+(-4.29114+(-0.520404--2.094468))+0-0-0</f>
        <v>1329.1829240000002</v>
      </c>
      <c r="Z238" s="3">
        <f>2102.6+(312.2-1111.5)+(-1.072326+(-0.159222--0.566865))+0-0-0</f>
        <v>1302.635317</v>
      </c>
      <c r="AA238" s="3">
        <f>1997.1+(336.7-1104.3)+(-3.055563+(-0.515151--1.689579))+0-0-0</f>
        <v>1227.6188649999999</v>
      </c>
      <c r="AB238" s="3">
        <f>1695.7+(257.4-890.7)+(-4.324035+(-0.65637--2.271285))+0-0-0</f>
        <v>1059.6908800000001</v>
      </c>
      <c r="AC238" s="3">
        <f>1350.5+(273.7-573.7)+(-3.443775+(-0.697935--1.462935))+0-0-0</f>
        <v>1047.8212249999999</v>
      </c>
      <c r="AD238">
        <f t="shared" si="3"/>
        <v>24840.614775000002</v>
      </c>
      <c r="AE238" s="3">
        <f>2105+(224-921.5)+(0+(0-0))+0-0-0</f>
        <v>1407.5</v>
      </c>
    </row>
    <row r="239" spans="1:31" s="2" customFormat="1" x14ac:dyDescent="0.25">
      <c r="A239">
        <v>89</v>
      </c>
      <c r="B239">
        <v>8</v>
      </c>
      <c r="C239">
        <v>23</v>
      </c>
      <c r="D239">
        <v>2</v>
      </c>
      <c r="E239">
        <v>1</v>
      </c>
      <c r="F239" s="3">
        <f>1336.5+(169.7-581.7)+(-2.72646+(-0.346188--1.186668))+0-0-0</f>
        <v>922.61401999999998</v>
      </c>
      <c r="G239" s="3">
        <f>1336.8+(159.6-585)+(-3.40884+(-0.40698--1.49175))+0-0-0</f>
        <v>909.07592999999997</v>
      </c>
      <c r="H239" s="3">
        <f>1334.4+(185.7-629.7)+(-0.680544+(-0.094707--0.321147))+0-0-0</f>
        <v>889.94589600000006</v>
      </c>
      <c r="I239" s="3">
        <f>1333.5+(171.6-617.9)+(-1.36017+(-0.175032--0.630258))+0-0-0</f>
        <v>886.29505600000005</v>
      </c>
      <c r="J239" s="3">
        <f>1333.1+(182.3-634)+(-1.359762+(-0.185946--0.64668))+0-0-0</f>
        <v>880.50097199999982</v>
      </c>
      <c r="K239" s="3">
        <f>1336.8+(194.5-628.3)+(2.045304+(0.297585-0.961299))+0-0-0</f>
        <v>904.38158999999996</v>
      </c>
      <c r="L239" s="3">
        <f>1486+(238.5-807.5)+(0+(0-0))+0-0-0</f>
        <v>917</v>
      </c>
      <c r="M239" s="3">
        <f>1569.7+(260.9-883.3)+(0.800547+(0.133059-0.450483))+0-0-0</f>
        <v>947.78312300000005</v>
      </c>
      <c r="N239" s="3">
        <f>1793.3+(254-1020.9)+(-3.658332+(-0.51816--2.082636))+0-0-0</f>
        <v>1024.3061440000001</v>
      </c>
      <c r="O239" s="3">
        <f>1924.8+(257-1112.3)+(0+(0-0))+0-0-0</f>
        <v>1069.5</v>
      </c>
      <c r="P239" s="3">
        <f>1995.9+(250-1157)+(-1.017909+(-0.1275--0.59007))+0-0-0</f>
        <v>1088.3446610000001</v>
      </c>
      <c r="Q239" s="3">
        <f>2049.5+(249.6-1215.7)+(-3.135735+(-0.381888--1.860021))+0-0-0</f>
        <v>1081.7423980000001</v>
      </c>
      <c r="R239" s="3">
        <f>2032.6+(200-1191.2)+(-4.146504+(-0.408--2.430048))+0-0-0</f>
        <v>1039.2755439999999</v>
      </c>
      <c r="S239" s="3">
        <f>1947.7+(193-1101.4)+(-1.986654+(-0.19686--1.123428))+0-0-0</f>
        <v>1038.239914</v>
      </c>
      <c r="T239" s="3">
        <f>2001.9+(207.2-1128.7)+(-1.020969+(-0.105672--0.575637))+0-0-0</f>
        <v>1079.8489960000002</v>
      </c>
      <c r="U239" s="3">
        <f>1948.5+(199.8-1180)+(-1.98747+(-0.203796--1.2036))+0-0-0</f>
        <v>967.31233399999996</v>
      </c>
      <c r="V239" s="3">
        <f>1950.4+(213.3-1065)+(0+(0-0))+0-0-0</f>
        <v>1098.7</v>
      </c>
      <c r="W239" s="3">
        <f>2086.8+(223.3-957.4)+(3.192804+(0.341649-1.464822))+0-0-0</f>
        <v>1354.7696310000003</v>
      </c>
      <c r="X239" s="3">
        <f>2104.6+(216.8-936)+(-4.293384+(-0.442272--1.90944))+0-0-0</f>
        <v>1382.5737839999999</v>
      </c>
      <c r="Y239" s="3">
        <f>2107.7+(215.6-962.6)+(-5.374635+(-0.54978--2.45463))+0-0-0</f>
        <v>1357.2302149999998</v>
      </c>
      <c r="Z239" s="3">
        <f>2085.1+(215.9-986.4)+(-2.126802+(-0.220218--1.006128))+0-0-0</f>
        <v>1313.259108</v>
      </c>
      <c r="AA239" s="3">
        <f>1975.6+(236.9-969.8)+(-3.022668+(-0.362457--1.483794))+0-0-0</f>
        <v>1240.7986689999998</v>
      </c>
      <c r="AB239" s="3">
        <f>1674.6+(194-720.6)+(-3.416184+(-0.39576--1.470024))+0-0-0</f>
        <v>1145.6580799999999</v>
      </c>
      <c r="AC239" s="3">
        <f>1455.9+(187.6-612.5)+(-3.712545+(-0.47838--1.561875))+0-0-0</f>
        <v>1028.37095</v>
      </c>
      <c r="AD239">
        <f t="shared" si="3"/>
        <v>25567.527015</v>
      </c>
      <c r="AE239" s="3">
        <f>2102+(197.8-919)+(0+(0-0))+0-0-0</f>
        <v>1380.8</v>
      </c>
    </row>
    <row r="240" spans="1:31" s="2" customFormat="1" x14ac:dyDescent="0.25">
      <c r="A240">
        <v>89</v>
      </c>
      <c r="B240">
        <v>8</v>
      </c>
      <c r="C240">
        <v>24</v>
      </c>
      <c r="D240">
        <v>3</v>
      </c>
      <c r="E240">
        <v>1</v>
      </c>
      <c r="F240" s="3">
        <f>1133+(148.2-413.7)+(-2.88915+(-0.37791--1.054935))+0-0-0</f>
        <v>865.28787499999999</v>
      </c>
      <c r="G240" s="3">
        <f>1133.9+(160.2-406.7)+(-2.313156+(-0.326808--0.829668))+0-0-0</f>
        <v>885.5897040000001</v>
      </c>
      <c r="H240" s="3">
        <f>1134.4+(144.8-421.8)+(-1.735632+(-0.221544--0.645354))+0-0-0</f>
        <v>856.08817800000008</v>
      </c>
      <c r="I240" s="3">
        <f>1135.4+(172.5-463.9)+(0+(0-0))+0-0-0</f>
        <v>844.00000000000011</v>
      </c>
      <c r="J240" s="3">
        <f>1134.5+(176-462.6)+(-0.578595+(-0.08976--0.235926))+0-0-0</f>
        <v>847.46757100000002</v>
      </c>
      <c r="K240" s="3">
        <f>1135+(178-444.1)+(1.73655+(0.27234-0.679473))+0-0-0</f>
        <v>870.22941700000001</v>
      </c>
      <c r="L240" s="3">
        <f>1134.9+(246.7-507.3)+(-0.578799+(-0.125817--0.258723))+0-0-0</f>
        <v>873.85410700000011</v>
      </c>
      <c r="M240" s="3">
        <f>1307.5+(242.6-631.2)+(-1.33365+(-0.247452--0.643824))+0-0-0</f>
        <v>917.96272199999999</v>
      </c>
      <c r="N240" s="3">
        <f>1491.7+(264.5-746.3)+(-0.760767+(-0.134895--0.380613))+0-0-0</f>
        <v>1009.3849510000001</v>
      </c>
      <c r="O240" s="3">
        <f>1811.4+(234.7-1008.3)+(-0.923814+(-0.119697--0.514233))+0-0-0</f>
        <v>1037.2707220000002</v>
      </c>
      <c r="P240" s="3">
        <f>1840.9+(232.2-1002.9)+(-1.877718+(-0.236844--1.022958))+0-0-0</f>
        <v>1069.1083960000001</v>
      </c>
      <c r="Q240" s="3">
        <f>1833.3+(203.8-960.2)+(-3.739932+(-0.415752--1.958808))+0-0-0</f>
        <v>1074.7031239999999</v>
      </c>
      <c r="R240" s="3">
        <f>1894.7+(194.8-1029.4)+(-4.831485+(-0.49674--2.62497))+0-0-0</f>
        <v>1057.396745</v>
      </c>
      <c r="S240" s="3">
        <f>1992+(202.4-1146.1)+(-1.01592+(-0.103224--0.584511))+0-0-0</f>
        <v>1047.7653670000002</v>
      </c>
      <c r="T240" s="3">
        <f>1999.3+(195.6-1157.9)+(-2.039286+(-0.199512--1.181058))+0-0-0</f>
        <v>1035.94226</v>
      </c>
      <c r="U240" s="3">
        <f>2000.4+(188.7-1144.3)+(-1.020204+(-0.096237--0.583593))+0-0-0</f>
        <v>1044.2671520000001</v>
      </c>
      <c r="V240" s="3">
        <f>2030.1+(186.7-1100.1)+(0+(0-0))+0-0-0</f>
        <v>1116.7</v>
      </c>
      <c r="W240" s="3">
        <f>2197.4+(192.4-1055.5)+(-3.362022+(-0.294372--1.614915))+0-0-0</f>
        <v>1332.2585210000002</v>
      </c>
      <c r="X240" s="3">
        <f>2283.9+(195.8-1118.2)+(-5.823945+(-0.49929--2.85141))+0-0-0</f>
        <v>1358.0281749999999</v>
      </c>
      <c r="Y240" s="3">
        <f>2265.1+(200.8-1127)+(-6.931206+(-0.614448--3.44862))+0-0-0</f>
        <v>1334.802966</v>
      </c>
      <c r="Z240" s="3">
        <f>2180.3+(203.9-1087)+(-3.335859+(-0.311967--1.66311))+0-0-0</f>
        <v>1295.2152840000003</v>
      </c>
      <c r="AA240" s="3">
        <f>2182.7+(199.6-1138.9)+(-5.565885+(-0.50898--2.904195))+0-0-0</f>
        <v>1240.2293299999997</v>
      </c>
      <c r="AB240" s="3">
        <f>2099.5+(151.7-1091.4)+(-4.28298+(-0.309468--2.226456))+0-0-0</f>
        <v>1157.4340079999999</v>
      </c>
      <c r="AC240" s="3">
        <f>1938.5+(133.8-1012)+(-4.943175+(-0.34119--2.5806))+0-0-0</f>
        <v>1057.596235</v>
      </c>
      <c r="AD240">
        <f t="shared" si="3"/>
        <v>25228.58281</v>
      </c>
      <c r="AE240" s="3">
        <f>2270+(200.3-1074.3)+(0+(0-0))+0-0-0</f>
        <v>1396</v>
      </c>
    </row>
    <row r="241" spans="1:31" s="2" customFormat="1" x14ac:dyDescent="0.25">
      <c r="A241">
        <v>89</v>
      </c>
      <c r="B241">
        <v>8</v>
      </c>
      <c r="C241">
        <v>25</v>
      </c>
      <c r="D241">
        <v>4</v>
      </c>
      <c r="E241">
        <v>1</v>
      </c>
      <c r="F241" s="3">
        <f>1657.7+(160.4-849.2)+(-4.227135+(-0.40902--2.16546))+0-0-0</f>
        <v>966.429305</v>
      </c>
      <c r="G241" s="3">
        <f>1513.9+(165.6-765.8)+(-0.772089+(-0.084456--0.390558))+0-0-0</f>
        <v>913.23401300000012</v>
      </c>
      <c r="H241" s="3">
        <f>1507.8+(172.3-790.4)+(-3.84489+(-0.439365--2.01552))+0-0-0</f>
        <v>887.43126500000005</v>
      </c>
      <c r="I241" s="3">
        <f>1506.3+(160.4-787.6)+(1.536426+(0.163608-0.803352))+0-0-0</f>
        <v>879.99668199999996</v>
      </c>
      <c r="J241" s="3">
        <f>1505.1+(186.4-809.3)+(0+(0-0))+0-0-0</f>
        <v>882.19999999999993</v>
      </c>
      <c r="K241" s="3">
        <f>1505.4+(173.2-776.6)+(-0.767754+(-0.088332--0.396066))+0-0-0</f>
        <v>901.53998000000001</v>
      </c>
      <c r="L241" s="3">
        <f>1506.9+(218.5-809.4)+(0.768519+(0.111435-0.412794))+0-0-0</f>
        <v>916.46716000000015</v>
      </c>
      <c r="M241" s="3">
        <f>1565.5+(232-853)+(0.798405+(0.11832-0.43503))+0-0-0</f>
        <v>944.98169499999995</v>
      </c>
      <c r="N241" s="3">
        <f>1885.4+(206.3-1063.5)+(2.884662+(0.315639-1.627155))+0-0-0</f>
        <v>1029.773146</v>
      </c>
      <c r="O241" s="3">
        <f>2004.3+(199.3-1140.1)+(-3.066579+(-0.304929--1.744353))+0-0-0</f>
        <v>1061.8728450000001</v>
      </c>
      <c r="P241" s="3">
        <f>2139.5+(207.5-1260.6)+(0+(0-0))+0-0-0</f>
        <v>1086.4000000000001</v>
      </c>
      <c r="Q241" s="3">
        <f>2167.4+(193.4-1264.2)+(-3.316122+(-0.295902--1.934226))+0-0-0</f>
        <v>1094.9222020000002</v>
      </c>
      <c r="R241" s="3">
        <f>2110.1+(183.7-1226.3)+(-4.304604+(-0.374748--2.501652))+0-0-0</f>
        <v>1065.3223</v>
      </c>
      <c r="S241" s="3">
        <f>1926.9+(206-1080.3)+(-0.982719+(-0.10506--0.550953))+0-0-0</f>
        <v>1052.0631740000001</v>
      </c>
      <c r="T241" s="3">
        <f>1924.3+(200.3-1080.8)+(-2.944179+(-0.306459--1.653624))+0-0-0</f>
        <v>1042.202986</v>
      </c>
      <c r="U241" s="3">
        <f>1924+(176.4-1065.2)+(-4.9062+(-0.44982--2.71626))+0-0-0</f>
        <v>1032.5602399999998</v>
      </c>
      <c r="V241" s="3">
        <f>2079.4+(180.8-1151.6)+(-4.241976+(-0.368832--2.349264))+0-0-0</f>
        <v>1106.3384560000002</v>
      </c>
      <c r="W241" s="3">
        <f>2281.6+(191.5-1141.6)+(0+(0-0))+0-0-0</f>
        <v>1331.5</v>
      </c>
      <c r="X241" s="3">
        <f>2284.7+(194.3-1118)+(-4.660788+(-0.396372--2.28072))+0-0-0</f>
        <v>1358.2235599999997</v>
      </c>
      <c r="Y241" s="3">
        <f>2288.5+(196-1147.1)+(-7.00281+(-0.59976--3.510126))+0-0-0</f>
        <v>1333.3075560000002</v>
      </c>
      <c r="Z241" s="3">
        <f>2206+(195.2-1116.5)+(-2.25012+(-0.199104--1.13883))+0-0-0</f>
        <v>1283.389606</v>
      </c>
      <c r="AA241" s="3">
        <f>2120.6+(188-1077.3)+(-3.244518+(-0.28764--1.648269))+0-0-0</f>
        <v>1229.416111</v>
      </c>
      <c r="AB241" s="3">
        <f>2078.9+(178.7-1085.3)+(-5.301195+(-0.455685--2.767515))+0-0-0</f>
        <v>1169.3106350000003</v>
      </c>
      <c r="AC241" s="3">
        <f>1901.4+(157.4-973.1)+(0+(0-0))+0-0-0</f>
        <v>1085.7</v>
      </c>
      <c r="AD241">
        <f t="shared" si="3"/>
        <v>25654.582917</v>
      </c>
      <c r="AE241" s="3">
        <f>2288+(216.7-1139.1)+(0+(0-0))+0-0-0</f>
        <v>1365.6000000000001</v>
      </c>
    </row>
    <row r="242" spans="1:31" s="2" customFormat="1" x14ac:dyDescent="0.25">
      <c r="A242">
        <v>89</v>
      </c>
      <c r="B242">
        <v>8</v>
      </c>
      <c r="C242">
        <v>26</v>
      </c>
      <c r="D242">
        <v>5</v>
      </c>
      <c r="E242">
        <v>3</v>
      </c>
      <c r="F242" s="3">
        <f>1619.7+(167-789.1)+(-3.304188+(-0.34068--1.609764))+0-0-0</f>
        <v>995.56489599999998</v>
      </c>
      <c r="G242" s="3">
        <f>1447.9+(154.4-670.5)+(0+(0-0))+0-0-0</f>
        <v>931.80000000000007</v>
      </c>
      <c r="H242" s="3">
        <f>1448.6+(122.7-672.4)+(-3.69393+(-0.312885--1.71462))+0-0-0</f>
        <v>896.60780499999998</v>
      </c>
      <c r="I242" s="3">
        <f>1448.2+(135-701.3)+(-2.954328+(-0.2754--1.430652))+0-0-0</f>
        <v>880.10092400000008</v>
      </c>
      <c r="J242" s="3">
        <f>1448.3+(173.7-739.8)+(2.215899+(0.265761-1.131894))+0-0-0</f>
        <v>883.54976600000009</v>
      </c>
      <c r="K242" s="3">
        <f>1447.3+(187.1-744.3)+(-0.738123+(-0.095421--0.379593))+0-0-0</f>
        <v>889.64604900000006</v>
      </c>
      <c r="L242" s="3">
        <f>1445.1+(204.3-784.5)+(0.737001+(0.104193-0.400095))+0-0-0</f>
        <v>865.34109899999987</v>
      </c>
      <c r="M242" s="3">
        <f>1485.6+(205.9-871.4)+(-1.515312+(-0.210018--0.888828))+0-0-0</f>
        <v>819.26349799999991</v>
      </c>
      <c r="N242" s="3">
        <f>1688.6+(210.1-1043.1)+(0+(0-0))+0-0-0</f>
        <v>855.6</v>
      </c>
      <c r="O242" s="3">
        <f>1772.5+(199-1096.6)+(-3.6159+(-0.40596--2.237064))+0-0-0</f>
        <v>873.11520400000006</v>
      </c>
      <c r="P242" s="3">
        <f>1802.9+(207.2-1129)+(-2.758437+(-0.317016--1.72737))+0-0-0</f>
        <v>879.75191700000016</v>
      </c>
      <c r="Q242" s="3">
        <f>1801.7+(200-1132.6)+(-3.675468+(-0.408--2.310504))+0-0-0</f>
        <v>867.32703600000013</v>
      </c>
      <c r="R242" s="3">
        <f>1803.2+(205.3-1150)+(-1.839264+(-0.209406--1.173))+0-0-0</f>
        <v>857.62432999999999</v>
      </c>
      <c r="S242" s="3">
        <f>1804.1+(208.9-1166.2)+(-1.840182+(-0.213078--1.189524))+0-0-0</f>
        <v>845.93626399999982</v>
      </c>
      <c r="T242" s="3">
        <f>1802.7+(203.5-1152.3)+(-0.919377+(-0.103785--0.587673))+0-0-0</f>
        <v>853.46451100000013</v>
      </c>
      <c r="U242" s="3">
        <f>1802.5+(188.7-1117.5)+(-0.919275+(-0.096237--0.569925))+0-0-0</f>
        <v>873.254413</v>
      </c>
      <c r="V242" s="3">
        <f>2000.2+(173.2-1208.3)+(-4.080408+(-0.353328--2.464932))+0-0-0</f>
        <v>963.13119600000016</v>
      </c>
      <c r="W242" s="3">
        <f>2237.5+(190.5-1222.5)+(-3.423375+(-0.291465--1.870425))+0-0-0</f>
        <v>1203.655585</v>
      </c>
      <c r="X242" s="3">
        <f>2236.9+(192.3-1186)+(-5.704095+(-0.490365--3.0243))+0-0-0</f>
        <v>1240.0298400000001</v>
      </c>
      <c r="Y242" s="3">
        <f>2200.4+(196.7-1167.8)+(-2.244408+(-0.200634--1.191156))+0-0-0</f>
        <v>1228.0461140000002</v>
      </c>
      <c r="Z242" s="3">
        <f>2121.6+(197.3-1116.7)+(-2.164032+(-0.201246--1.139034))+0-0-0</f>
        <v>1200.9737559999999</v>
      </c>
      <c r="AA242" s="3">
        <f>2120.6+(200.8-1142.5)+(-4.326024+(-0.409632--2.3307))+0-0-0</f>
        <v>1176.4950439999998</v>
      </c>
      <c r="AB242" s="3">
        <f>2119.9+(156-1143.7)+(-5.405745+(-0.3978--2.916435))+0-0-0</f>
        <v>1129.3128900000002</v>
      </c>
      <c r="AC242" s="3">
        <f>2062.3+(161.8-1140.3)+(-4.207092+(-0.330072--2.326212))+0-0-0</f>
        <v>1081.5890480000003</v>
      </c>
      <c r="AD242">
        <f t="shared" si="3"/>
        <v>23291.181185000005</v>
      </c>
      <c r="AE242" s="3">
        <f>2237+(220.2-1194.1)+(0+(0-0))+0-0-0</f>
        <v>1263.1000000000001</v>
      </c>
    </row>
    <row r="243" spans="1:31" s="2" customFormat="1" x14ac:dyDescent="0.25">
      <c r="A243">
        <v>89</v>
      </c>
      <c r="B243">
        <v>8</v>
      </c>
      <c r="C243">
        <v>27</v>
      </c>
      <c r="D243">
        <v>6</v>
      </c>
      <c r="E243">
        <v>6</v>
      </c>
      <c r="F243" s="3">
        <f>1855.7+(139.4-1010.5)+(-4.732035+(-0.35547--2.576775))+0-0-0</f>
        <v>982.08927000000006</v>
      </c>
      <c r="G243" s="3">
        <f>1528.7+(152.3-758)+(-3.118548+(-0.310692--1.54632))+0-0-0</f>
        <v>921.11707999999999</v>
      </c>
      <c r="H243" s="3">
        <f>1459.1+(149.6-716.5)+(-2.976564+(-0.305184--1.46166))+0-0-0</f>
        <v>890.37991199999988</v>
      </c>
      <c r="I243" s="3">
        <f>1461+(148.9-737.3)+(1.49022+(0.151878-0.752046))+0-0-0</f>
        <v>873.49005199999999</v>
      </c>
      <c r="J243" s="3">
        <f>1461+(150.1-735.6)+(-2.23533+(-0.229653--1.125468))+0-0-0</f>
        <v>874.16048499999999</v>
      </c>
      <c r="K243" s="3">
        <f>1460.9+(174.1-750.9)+(-0.745059+(-0.088791--0.382959))+3.8-0-0</f>
        <v>887.44910900000013</v>
      </c>
      <c r="L243" s="3">
        <f>1544.6+(209.2-865.3)+(-4.726476+(-0.640152--2.647818))+0-0-0</f>
        <v>885.78119000000004</v>
      </c>
      <c r="M243" s="3">
        <f>1787.3+(210.9-986.6)+(0+(0-0))+0-0-0</f>
        <v>1011.5999999999999</v>
      </c>
      <c r="N243" s="3">
        <f>2032.3+(216.5-1214.1)+(-2.072946+(-0.22083--1.238382))+0-0-0</f>
        <v>1033.6446060000001</v>
      </c>
      <c r="O243" s="3">
        <f>2205.8+(219.2-1336.1)+(2.249916+(0.223584-1.362822))+0-0-0</f>
        <v>1090.0106780000003</v>
      </c>
      <c r="P243" s="3">
        <f>2207.2+(214.8-1325.8)+(-4.502688+(-0.438192--2.704632))+0-0-0</f>
        <v>1093.9637519999999</v>
      </c>
      <c r="Q243" s="3">
        <f>2206.7+(213.8-1321.2)+(-4.501668+(-0.436152--2.695248))+0-0-0</f>
        <v>1097.0574279999996</v>
      </c>
      <c r="R243" s="3">
        <f>2207+(222.8-1363.5)+(-3.37671+(-0.340884--2.086155))+0-0-0</f>
        <v>1064.668561</v>
      </c>
      <c r="S243" s="3">
        <f>2206.9+(210.3-1382.9)+(-3.376557+(-0.321759--2.115837))+0-0-0</f>
        <v>1032.717521</v>
      </c>
      <c r="T243" s="3">
        <f>2176.1+(212.3-1369.7)+(1.109811+(0.108273-0.698547))+0-0-0</f>
        <v>1019.2195369999998</v>
      </c>
      <c r="U243" s="3">
        <f>2154.4+(195.9-1331.5)+(1.098744+(0.099909-0.679065))+0-0-0</f>
        <v>1019.3195880000002</v>
      </c>
      <c r="V243" s="3">
        <f>2156.6+(199.5-1265.6)+(0+(0-0))+0-0-0</f>
        <v>1090.5</v>
      </c>
      <c r="W243" s="3">
        <f>2159.7+(220.3-1072.9)+(0+(0-0))+0-0-0</f>
        <v>1307.0999999999997</v>
      </c>
      <c r="X243" s="3">
        <f>2148.8+(209-1025.7)+(-3.287664+(-0.31977--1.569321))+0-0-0</f>
        <v>1330.0618870000001</v>
      </c>
      <c r="Y243" s="3">
        <f>2108.6+(214.5-1020)+(-2.150772+(-0.21879--1.0404))+0-0-0</f>
        <v>1301.7708379999999</v>
      </c>
      <c r="Z243" s="3">
        <f>2110.4+(229-1075.6)+(-1.076304+(-0.11679--0.548556))+0-0-0</f>
        <v>1263.1554620000002</v>
      </c>
      <c r="AA243" s="3">
        <f>2099.8+(222.4-1100.6)+(-1.070898+(-0.113424--0.561306))+0-0-0</f>
        <v>1220.9769840000004</v>
      </c>
      <c r="AB243" s="3">
        <f>1901.5+(187.9-929.3)+(-2.909295+(-0.287487--1.421829))+0-0-0</f>
        <v>1158.3250469999998</v>
      </c>
      <c r="AC243" s="3">
        <f>1767.3+(176.5-851.8)+(-1.802646+(-0.18003--0.868836))+0-0-0</f>
        <v>1090.88616</v>
      </c>
      <c r="AD243">
        <f t="shared" si="3"/>
        <v>25539.445146999999</v>
      </c>
      <c r="AE243" s="3">
        <f>2158+(230.5-1055.2)+(0+(0-0))+0-0-0</f>
        <v>1333.3</v>
      </c>
    </row>
    <row r="244" spans="1:31" s="2" customFormat="1" x14ac:dyDescent="0.25">
      <c r="A244">
        <v>89</v>
      </c>
      <c r="B244">
        <v>8</v>
      </c>
      <c r="C244">
        <v>28</v>
      </c>
      <c r="D244">
        <v>7</v>
      </c>
      <c r="E244">
        <v>1</v>
      </c>
      <c r="F244" s="3">
        <f>1582+(158.6-753.8)+(-3.22728+(-0.323544--1.537752))+0-0-0</f>
        <v>984.7869280000001</v>
      </c>
      <c r="G244" s="3">
        <f>1535.2+(166.3-766.1)+(-3.91476+(-0.424065--1.953555))+0-0-0</f>
        <v>933.0147300000001</v>
      </c>
      <c r="H244" s="3">
        <f>1452.2+(161.5-725.8)+(-3.70311+(-0.411825--1.85079))+0-0-0</f>
        <v>885.63585500000011</v>
      </c>
      <c r="I244" s="3">
        <f>1453.6+(151.4-737.4)+(-0.741336+(-0.077214--0.376074))+0-0-0</f>
        <v>867.15752399999985</v>
      </c>
      <c r="J244" s="3">
        <f>1456.1+(153.5-746.4)+(1.485222+(0.15657-0.761328))+0-0-0</f>
        <v>864.08046399999989</v>
      </c>
      <c r="K244" s="3">
        <f>1456.2+(184.3-765.3)+(-0.742662+(-0.093993--0.390303))+0-0-0</f>
        <v>874.753648</v>
      </c>
      <c r="L244" s="3">
        <f>1458.2+(203.6-811.8)+(-2.974728+(-0.415344--1.656072))+0-0-0</f>
        <v>848.26600000000008</v>
      </c>
      <c r="M244" s="3">
        <f>1516.5+(199.1-909.6)+(2.320245+(0.304623-1.391688))+0-0-0</f>
        <v>807.23317999999995</v>
      </c>
      <c r="N244" s="3">
        <f>1760.8+(203.3-1094.1)+(0+(0-0))+0-0-0</f>
        <v>870</v>
      </c>
      <c r="O244" s="3">
        <f>2008.3+(208.6-1286.5)+(-1.024233+(-0.106386--0.656115))+0-0-0</f>
        <v>929.92549599999984</v>
      </c>
      <c r="P244" s="3">
        <f>2184.1+(190.6-1411.5)+(1.113891+(0.097206-0.719865))+0-0-0</f>
        <v>963.69123199999979</v>
      </c>
      <c r="Q244" s="3">
        <f>2203.3+(189.6-1419.5)+(1.123683+(0.096696-0.723945))+0-0-0</f>
        <v>973.89643400000011</v>
      </c>
      <c r="R244" s="3">
        <f>2206.1+(202.3-1460.3)+(-5.625555+(-0.515865--3.723765))+0-0-0</f>
        <v>945.68234499999994</v>
      </c>
      <c r="S244" s="3">
        <f>2186.6+(193.3-1454.3)+(-3.345498+(-0.295749--2.225079))+0-0-0</f>
        <v>924.18383199999994</v>
      </c>
      <c r="T244" s="3">
        <f>2116+(181.8-1381.2)+(1.07916+(0.092718-0.704412))+0-0-0</f>
        <v>917.06746599999985</v>
      </c>
      <c r="U244" s="3">
        <f>2079.4+(178-1331.2)+(-4.241976+(-0.36312--2.715648))+0-0-0</f>
        <v>924.31055200000003</v>
      </c>
      <c r="V244" s="3">
        <f>2059+(176-1231)+(1.05009+(0.08976-0.62781))+0-0-0</f>
        <v>1004.51204</v>
      </c>
      <c r="W244" s="3">
        <f>2084.8+(186.3-1074.5)+(0+(0-0))+0-0-0</f>
        <v>1196.6000000000001</v>
      </c>
      <c r="X244" s="3">
        <f>2089.3+(201-1049.5)+(-4.262172+(-0.41004--2.14098))+0-0-0</f>
        <v>1238.2687680000001</v>
      </c>
      <c r="Y244" s="3">
        <f>2088.9+(198.4-1059.9)+(-2.130678+(-0.202368--1.081098))+0-0-0</f>
        <v>1226.148052</v>
      </c>
      <c r="Z244" s="3">
        <f>2089+(197.6-1081.8)+(-2.13078+(-0.201552--1.103436))+0-0-0</f>
        <v>1203.5711040000001</v>
      </c>
      <c r="AA244" s="3">
        <f>2080+(213.6-1123.9)+(-1.0608+(-0.108936--0.573189))+0-0-0</f>
        <v>1169.1034529999997</v>
      </c>
      <c r="AB244" s="3">
        <f>1888.7+(174.5-972.2)+(-2.889711+(-0.266985--1.487466))+0-0-0</f>
        <v>1089.33077</v>
      </c>
      <c r="AC244" s="3">
        <f>1587.1+(157.2-748.7)+(0+(0-0))+0-0-0</f>
        <v>995.59999999999991</v>
      </c>
      <c r="AD244">
        <f t="shared" si="3"/>
        <v>23636.819872999997</v>
      </c>
      <c r="AE244" s="3">
        <f>2091+(220-1056)+(0+(0-0))+0-0-0</f>
        <v>1255</v>
      </c>
    </row>
    <row r="245" spans="1:31" s="2" customFormat="1" x14ac:dyDescent="0.25">
      <c r="A245">
        <v>89</v>
      </c>
      <c r="B245">
        <v>8</v>
      </c>
      <c r="C245">
        <v>29</v>
      </c>
      <c r="D245">
        <v>1</v>
      </c>
      <c r="E245">
        <v>1</v>
      </c>
      <c r="F245" s="3">
        <f>1297.5+(159.1-540.4)+(-2.6469+(-0.324564--1.102416))+0-0-0</f>
        <v>914.33095200000002</v>
      </c>
      <c r="G245" s="3">
        <f>1296.2+(174.8-593.2)+(-1.983186+(-0.267444--0.907596))+0-0-0</f>
        <v>876.45696599999997</v>
      </c>
      <c r="H245" s="3">
        <f>1296.6+(166.4-601.6)+(-1.983798+(-0.254592--0.920448))+0-0-0</f>
        <v>860.08205799999985</v>
      </c>
      <c r="I245" s="3">
        <f>1296.3+(153.6-595.8)+(1.983339+(0.235008-0.911574))+0-0-0</f>
        <v>855.40677300000004</v>
      </c>
      <c r="J245" s="3">
        <f>1295.4+(170.5-614)+(-1.981962+(-0.260865--0.93942))+0-0-0</f>
        <v>850.5965930000001</v>
      </c>
      <c r="K245" s="3">
        <f>1296.2+(175.2-596.5)+(-0.661062+(-0.089352--0.304215))+0-0-0</f>
        <v>874.45380100000011</v>
      </c>
      <c r="L245" s="3">
        <f>1500.1+(213.8-801.5)+(-3.060204+(-0.436152--1.63506))+0-0-0</f>
        <v>910.53870399999983</v>
      </c>
      <c r="M245" s="3">
        <f>1743.8+(206.5-980.6)+(2.668014+(0.315945-1.500318))+0-0-0</f>
        <v>971.18364099999997</v>
      </c>
      <c r="N245" s="3">
        <f>1956.3+(364.9-1244.7)+(0.997713+(0.186099-0.634797))+0-0-0</f>
        <v>1077.0490150000001</v>
      </c>
      <c r="O245" s="3">
        <f>2091.7+(335-1308.7)+(-2.133534+(-0.3417--1.334874))+0-0-0</f>
        <v>1116.8596399999997</v>
      </c>
      <c r="P245" s="3">
        <f>2095.4+(333.2-1329.7)+(0+(0-0))+0-0-0</f>
        <v>1098.9000000000001</v>
      </c>
      <c r="Q245" s="3">
        <f>2093+(375-1335.7)+(0+(0-0))+0-0-0</f>
        <v>1132.3</v>
      </c>
      <c r="R245" s="3">
        <f>2099.5+(257.1-1273.8)+(-4.28298+(-0.524484--2.598552))+0-0-0</f>
        <v>1080.5910880000001</v>
      </c>
      <c r="S245" s="3">
        <f>2020.6+(247-1204)+(3.091518+(0.37791-1.84212))+0-0-0</f>
        <v>1065.227308</v>
      </c>
      <c r="T245" s="3">
        <f>1934.1+(242.1-1130.1)+(0+(0-0))+0-0-0</f>
        <v>1046.0999999999999</v>
      </c>
      <c r="U245" s="3">
        <f>1955.5+(231-1132.1)+(-1.99461+(-0.23562--1.154742))+0-0-0</f>
        <v>1053.3245120000001</v>
      </c>
      <c r="V245" s="3">
        <f>1983.9+(233.4-1073.1)+(1.011789+(0.119034-0.547281))+0-0-0</f>
        <v>1144.7835420000004</v>
      </c>
      <c r="W245" s="3">
        <f>2053.5+(370.3-1080.3)+(-2.09457+(-0.377706--1.101906))+0-0-0</f>
        <v>1342.1296299999999</v>
      </c>
      <c r="X245" s="3">
        <f>1806.8+(383.7-853.9)+(-2.764404+(-0.587061--1.306467))+0-0-0</f>
        <v>1334.5550019999998</v>
      </c>
      <c r="Y245" s="3">
        <f>1740.3+(374-811.4)+(-0.887553+(-0.19074--0.413814))+0-0-0</f>
        <v>1302.2355210000001</v>
      </c>
      <c r="Z245" s="3">
        <f>1723+(330.6-789.4)+(-0.87873+(-0.168606--0.402594))+0-0-0</f>
        <v>1263.5552580000001</v>
      </c>
      <c r="AA245" s="3">
        <f>1639.4+(344.4-775.3)+(-1.672188+(-0.351288--0.790806))+0-0-0</f>
        <v>1207.2673299999999</v>
      </c>
      <c r="AB245" s="3">
        <f>1553.5+(199.2-620.7)+(-0.792285+(-0.101592--0.316557))+0-0-0</f>
        <v>1131.4226799999999</v>
      </c>
      <c r="AC245" s="3">
        <f>1551.8+(181.4-688.1)+(-3.165672+(-0.370056--1.403724))+0-0-0</f>
        <v>1042.9679959999999</v>
      </c>
      <c r="AD245">
        <f t="shared" si="3"/>
        <v>25552.318009999995</v>
      </c>
      <c r="AE245" s="3">
        <f>2106+(389.1-1081.1)+(0+(0-0))+0-0-0</f>
        <v>1414</v>
      </c>
    </row>
    <row r="246" spans="1:31" s="2" customFormat="1" x14ac:dyDescent="0.25">
      <c r="A246">
        <v>89</v>
      </c>
      <c r="B246">
        <v>8</v>
      </c>
      <c r="C246">
        <v>30</v>
      </c>
      <c r="D246">
        <v>2</v>
      </c>
      <c r="E246">
        <v>1</v>
      </c>
      <c r="F246" s="3">
        <f>1378.9+(153.8-576.6)+(-0.703239+(-0.078438--0.294066))+0-0-0</f>
        <v>955.61238900000012</v>
      </c>
      <c r="G246" s="3">
        <f>1350.9+(156.4-604.9)+(-2.066877+(-0.239292--0.925497))+0-0-0</f>
        <v>901.01932800000009</v>
      </c>
      <c r="H246" s="3">
        <f>1350.8+(148.7-615.6)+(-0.688908+(-0.075837--0.313956))+0-0-0</f>
        <v>883.44921099999988</v>
      </c>
      <c r="I246" s="3">
        <f>1350.7+(159.3-635.2)+(-0.688857+(-0.081243--0.323952))+0-0-0</f>
        <v>874.35385199999996</v>
      </c>
      <c r="J246" s="3">
        <f>1351.7+(180.8-651.4)+(2.757468+(0.368832-1.328856))+0-0-0</f>
        <v>882.89744400000018</v>
      </c>
      <c r="K246" s="3">
        <f>1351.2+(242.1-695.8)+(0.689112+(0.123471-0.354858))+0-0-0</f>
        <v>897.9577250000001</v>
      </c>
      <c r="L246" s="3">
        <f>1351.2+(294.3-730.8)+(0+(0-0))+0-0-0</f>
        <v>914.7</v>
      </c>
      <c r="M246" s="3">
        <f>1360.1+(252.6-672.4)+(-2.080953+(-0.386478--1.028772))+0-0-0</f>
        <v>938.86134099999992</v>
      </c>
      <c r="N246" s="3">
        <f>1625.4+(271.6-868.6)+(1.657908+(0.277032-0.885972))+0-0-0</f>
        <v>1029.4489680000001</v>
      </c>
      <c r="O246" s="3">
        <f>1991+(257.1-1171.4)+(-3.04623+(-0.393363--1.792242))+0-0-0</f>
        <v>1075.0526489999997</v>
      </c>
      <c r="P246" s="3">
        <f>2061.6+(262.8-1252)+(1.051416+(0.134028-0.63852))+0-0-0</f>
        <v>1072.9469239999999</v>
      </c>
      <c r="Q246" s="3">
        <f>2106.2+(245.4-1253.6)+(-2.148324+(-0.250308--1.278672))+0-0-0</f>
        <v>1096.88004</v>
      </c>
      <c r="R246" s="3">
        <f>2106.2+(246.4-1275.6)+(-5.37081+(-0.62832--3.25278))+0-0-0</f>
        <v>1074.2536500000001</v>
      </c>
      <c r="S246" s="3">
        <f>2099.9+(216.8-1248.9)+(-1.070949+(-0.110568--0.636939))+0-0-0</f>
        <v>1067.255422</v>
      </c>
      <c r="T246" s="3">
        <f>2097.4+(184.6-1219.9)+(-3.209022+(-0.282438--1.866447))+0-0-0</f>
        <v>1060.4749869999998</v>
      </c>
      <c r="U246" s="3">
        <f>2102+(191.9-1222.1)+(1.07202+(0.097869-0.623271))+0-0-0</f>
        <v>1072.3466180000003</v>
      </c>
      <c r="V246" s="3">
        <f>2103.4+(185.5-1137.8)+(-1.072734+(-0.094605--0.580278))+0-0-0</f>
        <v>1150.5129390000002</v>
      </c>
      <c r="W246" s="3">
        <f>2124.2+(198.8-970.7)+(0+(0-0))+0-0-0</f>
        <v>1352.2999999999997</v>
      </c>
      <c r="X246" s="3">
        <f>2120+(220.2-979.9)+(-4.3248+(-0.449208--1.998996))+0-0-0</f>
        <v>1357.5249879999999</v>
      </c>
      <c r="Y246" s="3">
        <f>2016.9+(237.8-930.4)+(-4.114476+(-0.485112--1.898016))+0-0-0</f>
        <v>1321.5984280000002</v>
      </c>
      <c r="Z246" s="3">
        <f>1971.6+(226.2-915.1)+(-5.02758+(-0.57681--2.333505))+0-0-0</f>
        <v>1279.4291149999999</v>
      </c>
      <c r="AA246" s="3">
        <f>1910.7+(244.5-928.5)+(-2.923371+(-0.374085--1.420605))+0-0-0</f>
        <v>1224.8231490000001</v>
      </c>
      <c r="AB246" s="3">
        <f>1856.7+(202.1-906)+(-2.840751+(-0.309213--1.38618))+0-0-0</f>
        <v>1151.0362160000002</v>
      </c>
      <c r="AC246" s="3">
        <f>1565+(153.6-674.9)+(-2.39445+(-0.235008--1.032597))+0-0-0</f>
        <v>1042.1031390000001</v>
      </c>
      <c r="AD246">
        <f t="shared" si="3"/>
        <v>25676.838521999998</v>
      </c>
      <c r="AE246" s="3">
        <f>2134+(221.2-968.5)+(0+(0-0))+0-0-0</f>
        <v>1386.7</v>
      </c>
    </row>
    <row r="247" spans="1:31" s="2" customFormat="1" x14ac:dyDescent="0.25">
      <c r="A247">
        <v>89</v>
      </c>
      <c r="B247">
        <v>9</v>
      </c>
      <c r="C247">
        <v>1</v>
      </c>
      <c r="D247">
        <v>3</v>
      </c>
      <c r="E247">
        <v>1</v>
      </c>
      <c r="F247" s="3">
        <f>1354.9+(158.5-542.7)+(-3.454995+(-0.404175--1.383885))+0-0-0</f>
        <v>968.22471500000006</v>
      </c>
      <c r="G247" s="3">
        <f>1355.9+(168.6-603.9)+(-0.691509+(-0.085986--0.307989))+0-0-0</f>
        <v>920.13049400000011</v>
      </c>
      <c r="H247" s="3">
        <f>1356.1+(173.3-625.7)+(-2.074833+(-0.265149--0.957321))+0-0-0</f>
        <v>902.31733899999983</v>
      </c>
      <c r="I247" s="3">
        <f>1355.4+(162.6-625.6)+(-0.691254+(-0.082926--0.319056))+0-0-0</f>
        <v>891.94487600000014</v>
      </c>
      <c r="J247" s="3">
        <f>1356.3+(201.5-663.1)+(0.691713+(0.102765-0.338181))+0-0-0</f>
        <v>895.15629699999988</v>
      </c>
      <c r="K247" s="3">
        <f>1356.1+(180.2-623.2)+(-2.074833+(-0.275706--0.953496))+0-0-0</f>
        <v>911.70295699999986</v>
      </c>
      <c r="L247" s="3">
        <f>1437.1+(245-731.5)+(0+(0-0))+0-0-0</f>
        <v>950.59999999999991</v>
      </c>
      <c r="M247" s="3">
        <f>1641.6+(243.5-902.8)+(-0.837216+(-0.124185--0.460428))+0-0-0</f>
        <v>981.79902699999991</v>
      </c>
      <c r="N247" s="3">
        <f>1789.8+(249.6-984)+(-3.651192+(-0.509184--2.00736))+0-0-0</f>
        <v>1053.2469840000001</v>
      </c>
      <c r="O247" s="3">
        <f>1929.9+(207.5-1039.3)+(-2.952747+(-0.317475--1.590129))+0-0-0</f>
        <v>1096.4199070000002</v>
      </c>
      <c r="P247" s="3">
        <f>1948.9+(210.8-1052.6)+(-1.987878+(-0.215016--1.073652))+0-0-0</f>
        <v>1105.9707580000002</v>
      </c>
      <c r="Q247" s="3">
        <f>2007.8+(207.9-1101.6)+(-2.047956+(-0.212058--1.123632))+0-0-0</f>
        <v>1112.963618</v>
      </c>
      <c r="R247" s="3">
        <f>2020.3+(201.9-1126.6)+(-1.030353+(-0.102969--0.574566))+0-0-0</f>
        <v>1095.041244</v>
      </c>
      <c r="S247" s="3">
        <f>2020.8+(201-1153.2)+(-3.091824+(-0.30753--1.764396))+0-0-0</f>
        <v>1066.9650419999998</v>
      </c>
      <c r="T247" s="3">
        <f>2020.4+(207-1160.4)+(0+(0-0))+0-0-0</f>
        <v>1067</v>
      </c>
      <c r="U247" s="3">
        <f>2020.8+(205.8-1156.4)+(1.030608+(0.104958-0.589764))+0-0-0</f>
        <v>1070.7458019999999</v>
      </c>
      <c r="V247" s="3">
        <f>2094.2+(217.7-1155.5)+(0+(0-0))+0-0-0</f>
        <v>1156.3999999999999</v>
      </c>
      <c r="W247" s="3">
        <f>2132+(241.8-1011.4)+(-1.08732+(-0.123318--0.515814))+0-0-0</f>
        <v>1361.7051760000002</v>
      </c>
      <c r="X247" s="3">
        <f>2135.6+(265.2-1023.2)+(-5.44578+(-0.67626--2.60916))+0-0-0</f>
        <v>1374.0871199999999</v>
      </c>
      <c r="Y247" s="3">
        <f>2116.8+(228.2-987.7)+(-1.079568+(-0.116382--0.503727))+0-0-0</f>
        <v>1356.6077770000002</v>
      </c>
      <c r="Z247" s="3">
        <f>2010.4+(223.1-925.7)+(-3.075912+(-0.341343--1.416321))+0-0-0</f>
        <v>1305.7990660000003</v>
      </c>
      <c r="AA247" s="3">
        <f>1812.1+(275.2-824.4)+(-3.696684+(-0.561408--1.681776))+0-0-0</f>
        <v>1260.323684</v>
      </c>
      <c r="AB247" s="3">
        <f>1671.3+(224.8-722.6)+(-3.409452+(-0.458592--1.474104))+0-0-0</f>
        <v>1171.1060600000001</v>
      </c>
      <c r="AC247" s="3">
        <f>1334.2+(165.3-437.3)+(-4.763094+(-0.590121--1.561161))+0-0-0</f>
        <v>1058.407946</v>
      </c>
      <c r="AD247">
        <f t="shared" si="3"/>
        <v>26134.665888999996</v>
      </c>
      <c r="AE247" s="3">
        <f>2138+(242.7-1011.9)+(0+(0-0))+0-0-0</f>
        <v>1368.8</v>
      </c>
    </row>
    <row r="248" spans="1:31" s="2" customFormat="1" x14ac:dyDescent="0.25">
      <c r="A248">
        <v>89</v>
      </c>
      <c r="B248">
        <v>9</v>
      </c>
      <c r="C248">
        <v>2</v>
      </c>
      <c r="D248">
        <v>4</v>
      </c>
      <c r="E248">
        <v>1</v>
      </c>
      <c r="F248" s="3">
        <f>1150.4+(198.7-368.2)+(-1.760112+(-0.304011--0.563346))+0-0-0</f>
        <v>979.39922300000012</v>
      </c>
      <c r="G248" s="3">
        <f>1130.2+(219.2-427.7)+(-1.152804+(-0.223584--0.436254))+0-0-0</f>
        <v>920.7598660000001</v>
      </c>
      <c r="H248" s="3">
        <f>1129.9+(174.5-416.4)+(-1.728747+(-0.266985--0.637092))+0-0-0</f>
        <v>886.64136000000008</v>
      </c>
      <c r="I248" s="3">
        <f>1129.1+(165.1-417.2)+(-1.727523+(-0.252603--0.638316))+0-0-0</f>
        <v>875.65818999999988</v>
      </c>
      <c r="J248" s="3">
        <f>1129.2+(143.3-392)+(0+(0-0))+0-0-0</f>
        <v>880.5</v>
      </c>
      <c r="K248" s="3">
        <f>1129+(186.9-410.6)+(-2.30316+(-0.381276--0.837624))+0-0-0</f>
        <v>903.45318799999995</v>
      </c>
      <c r="L248" s="3">
        <f>1129.2+(280.9-476.4)+(-0.575892+(-0.143259--0.242964))+0-0-0</f>
        <v>933.22381300000006</v>
      </c>
      <c r="M248" s="3">
        <f>1225+(290.6-555.7)+(-0.62475+(-0.148206--0.283407))+0-0-0</f>
        <v>959.41045099999997</v>
      </c>
      <c r="N248" s="3">
        <f>1547.2+(309.9-798)+(0.789072+(0.158049-0.40698))+0-0-0</f>
        <v>1059.6401409999999</v>
      </c>
      <c r="O248" s="3">
        <f>1679.6+(452.4-1047.8)+(-2.569788+(-0.692172--1.603134))+0-0-0</f>
        <v>1082.5411739999997</v>
      </c>
      <c r="P248" s="3">
        <f>1675.3+(345.9-937.1)+(0.854403+(0.176409-0.477921))+0-0-0</f>
        <v>1084.652891</v>
      </c>
      <c r="Q248" s="3">
        <f>1824.5+(233.8-964.3)+(-3.72198+(-0.476952--1.967172))+0-0-0</f>
        <v>1091.7682400000001</v>
      </c>
      <c r="R248" s="3">
        <f>1757+(207.9-914.4)+(-0.89607+(-0.106029--0.466344))+0-0-0</f>
        <v>1049.9642449999999</v>
      </c>
      <c r="S248" s="3">
        <f>1739.7+(231.8-937.1)+(1.774494+(0.236436-0.955842))+0-0-0</f>
        <v>1035.4550880000002</v>
      </c>
      <c r="T248" s="3">
        <f>1749.1+(242.3-956.2)+(1.784082+(0.247146-0.975324))+0-0-0</f>
        <v>1036.2559039999999</v>
      </c>
      <c r="U248" s="3">
        <f>1737+(232.3-924.5)+(0.88587+(0.118473-0.471495))+0-0-0</f>
        <v>1045.332848</v>
      </c>
      <c r="V248" s="3">
        <f>1741.2+(380-864.5)+(-1.776024+(-0.3876--0.88179))+0-0-0</f>
        <v>1255.4181660000002</v>
      </c>
      <c r="W248" s="3">
        <f>1768.2+(393.4-819)+(0.901782+(0.200634-0.41769))+0-0-0</f>
        <v>1343.2847259999999</v>
      </c>
      <c r="X248" s="3">
        <f>1769+(420.5-837.6)+(-2.70657+(-0.643365--1.281528))+0-0-0</f>
        <v>1349.8315930000001</v>
      </c>
      <c r="Y248" s="3">
        <f>1768.8+(427.5-876.2)+(-2.706264+(-0.654075--1.340586))+0-0-0</f>
        <v>1318.0802469999999</v>
      </c>
      <c r="Z248" s="3">
        <f>1719.1+(425.9-864.3)+(-1.753482+(-0.434418--0.881586))+0-0-0</f>
        <v>1279.3936859999999</v>
      </c>
      <c r="AA248" s="3">
        <f>1665.3+(385.3-822.5)+(-2.547909+(-0.589509--1.258425))+0-0-0</f>
        <v>1226.2210069999999</v>
      </c>
      <c r="AB248" s="3">
        <f>1660+(324.9-820.7)+(-3.3864+(-0.662796--1.674228))+0-0-0</f>
        <v>1161.8250319999997</v>
      </c>
      <c r="AC248" s="3">
        <f>1422.2+(354.7-710.8)+(-1.450644+(-0.361794--0.725016))+0-0-0</f>
        <v>1065.0125780000001</v>
      </c>
      <c r="AD248">
        <f t="shared" si="3"/>
        <v>25823.723656999999</v>
      </c>
      <c r="AE248" s="3">
        <f>1778+(434.6-830.1)+(0+(0-0))+0-0-0</f>
        <v>1382.5</v>
      </c>
    </row>
    <row r="249" spans="1:31" s="2" customFormat="1" x14ac:dyDescent="0.25">
      <c r="A249">
        <v>89</v>
      </c>
      <c r="B249">
        <v>9</v>
      </c>
      <c r="C249">
        <v>3</v>
      </c>
      <c r="D249">
        <v>5</v>
      </c>
      <c r="E249">
        <v>1</v>
      </c>
      <c r="F249" s="3">
        <f>1183.4+(196.9-400.2)+(-2.414136+(-0.401676--0.816408))+0-0-0</f>
        <v>978.10059600000011</v>
      </c>
      <c r="G249" s="3">
        <f>1126.9+(168.7-362.4)+(-1.724157+(-0.258111--0.554472))+0-0-0</f>
        <v>931.7722040000001</v>
      </c>
      <c r="H249" s="3">
        <f>1258.2+(163.5-517.6)+(-3.20841+(-0.416925--1.31988))+0-0-0</f>
        <v>901.79454499999997</v>
      </c>
      <c r="I249" s="3">
        <f>1350+(130.9-586.8)+(-0.6885+(-0.066759--0.299268))+0-0-0</f>
        <v>893.64400899999998</v>
      </c>
      <c r="J249" s="3">
        <f>1352.7+(144.1-599.7)+(0+(0-0))+0-0-0</f>
        <v>897.1</v>
      </c>
      <c r="K249" s="3">
        <f>1441.2+(159.5-679.4)+(-2.205036+(-0.244035--1.039482))+0-0-0</f>
        <v>919.89041100000009</v>
      </c>
      <c r="L249" s="3">
        <f>1536.5+(254.1-833.6)+(-2.350845+(-0.388773--1.275408))+0-0-0</f>
        <v>955.53579000000002</v>
      </c>
      <c r="M249" s="3">
        <f>1731.7+(204.7-947.8)+(-2.649501+(-0.313191--1.450134))+0-0-0</f>
        <v>987.08744200000012</v>
      </c>
      <c r="N249" s="3">
        <f>1769.7+(309.1-1011.3)+(-1.805094+(-0.315282--1.031526))+0-0-0</f>
        <v>1066.4111499999999</v>
      </c>
      <c r="O249" s="3">
        <f>1751.4+(274.2-927.8)+(0+(0-0))+0-0-0</f>
        <v>1097.8000000000002</v>
      </c>
      <c r="P249" s="3">
        <f>1857.9+(247.3-997.8)+(-1.895058+(-0.252246--1.017756))+0-0-0</f>
        <v>1106.2704520000002</v>
      </c>
      <c r="Q249" s="3">
        <f>1958+(240.1-1097.2)+(-1.99716+(-0.244902--1.119144))+0-0-0</f>
        <v>1099.7770820000001</v>
      </c>
      <c r="R249" s="3">
        <f>1976.4+(211.1-1115.9)+(-1.007964+(-0.107661--0.569109))+0-0-0</f>
        <v>1071.0534839999998</v>
      </c>
      <c r="S249" s="3">
        <f>1976.4+(200.2-1105.1)+(-2.015928+(-0.204204--1.127202))+0-0-0</f>
        <v>1070.4070700000002</v>
      </c>
      <c r="T249" s="3">
        <f>1978.1+(235.5-1146.2)+(-2.017662+(-0.24021--1.169124))+0-0-0</f>
        <v>1066.311252</v>
      </c>
      <c r="U249" s="3">
        <f>1979.1+(214.4-1112.8)+(1.009341+(0.109344-0.567528))+0-0-0</f>
        <v>1081.2511569999999</v>
      </c>
      <c r="V249" s="3">
        <f>1984.8+(219.1-1042.1)+(0+(0-0))+0-0-0</f>
        <v>1161.8000000000002</v>
      </c>
      <c r="W249" s="3">
        <f>2126.4+(284.5-1042.2)+(0+(0-0))+0-0-0</f>
        <v>1368.7</v>
      </c>
      <c r="X249" s="3">
        <f>2082.1+(325.7-1039.5)+(-3.185613+(-0.498321--1.590435))+0-0-0</f>
        <v>1366.2065009999999</v>
      </c>
      <c r="Y249" s="3">
        <f>2027.3+(281.9-973.5)+(-4.135692+(-0.575076--1.98594))+0-0-0</f>
        <v>1332.9751719999999</v>
      </c>
      <c r="Z249" s="3">
        <f>2026.5+(203.5-930.8)+(-6.20109+(-0.62271--2.848248))+0-0-0</f>
        <v>1295.2244479999999</v>
      </c>
      <c r="AA249" s="3">
        <f>2026.2+(196.7-967)+(-4.133448+(-0.401268--1.97268))+0-0-0</f>
        <v>1253.3379640000001</v>
      </c>
      <c r="AB249" s="3">
        <f>2026.5+(159.8-993.3)+(-2.06703+(-0.162996--1.013166))+0-0-0</f>
        <v>1191.78314</v>
      </c>
      <c r="AC249" s="3">
        <f>1979.3+(157.6-1018)+(-4.037772+(-0.321504--2.07672))+0-0-0</f>
        <v>1116.617444</v>
      </c>
      <c r="AD249">
        <f t="shared" si="3"/>
        <v>26210.851313000003</v>
      </c>
      <c r="AE249" s="3">
        <f>2087+(341.6-1060.1)+(0+(0-0))+0-0-0</f>
        <v>1368.5</v>
      </c>
    </row>
    <row r="250" spans="1:31" s="2" customFormat="1" x14ac:dyDescent="0.25">
      <c r="A250">
        <v>89</v>
      </c>
      <c r="B250">
        <v>9</v>
      </c>
      <c r="C250">
        <v>4</v>
      </c>
      <c r="D250">
        <v>6</v>
      </c>
      <c r="E250">
        <v>3</v>
      </c>
      <c r="F250" s="3">
        <f>1762.4+(161.3-887.6)+(0+(0-0))+0-0-0</f>
        <v>1036.1000000000001</v>
      </c>
      <c r="G250" s="3">
        <f>1526.5+(182-747)+(0+(0-0))+0-0-0</f>
        <v>961.5</v>
      </c>
      <c r="H250" s="3">
        <f>1326.8+(188.5-596.2)+(0+(0-0))+0-0-0</f>
        <v>919.09999999999991</v>
      </c>
      <c r="I250" s="3">
        <f>1308.1+(178.3-582.8)+(0+(0-0))+0-0-0</f>
        <v>903.59999999999991</v>
      </c>
      <c r="J250" s="3">
        <f>1310.6+(191.6-601.8)+(-0.668406+(-0.097716--0.306918))+0-0-0</f>
        <v>899.94079599999998</v>
      </c>
      <c r="K250" s="3">
        <f>1310.2+(225.2-625.2)+(2.004606+(0.344556-0.956556))+0-0-0</f>
        <v>911.59260600000005</v>
      </c>
      <c r="L250" s="3">
        <f>1308.1+(269-680.7)+(0+(0-0))+0-0-0</f>
        <v>896.39999999999986</v>
      </c>
      <c r="M250" s="3">
        <f>1307.7+(279.5-717.5)+(-1.333854+(-0.28509--0.73185))+0-0-0</f>
        <v>868.812906</v>
      </c>
      <c r="N250" s="3">
        <f>1377.7+(322.3-751.9)+(-1.405254+(-0.328746--0.766938))+0-0-0</f>
        <v>947.13293800000008</v>
      </c>
      <c r="O250" s="3">
        <f>1732.3+(374.6-1096.1)+(-2.650419+(-0.573138--1.677033))+0-0-0</f>
        <v>1009.2534760000001</v>
      </c>
      <c r="P250" s="3">
        <f>1906.1+(332.3-1220.7)+(-1.944222+(-0.338946--1.245114))+0-0-0</f>
        <v>1016.6619459999998</v>
      </c>
      <c r="Q250" s="3">
        <f>1911.5+(334.1-1212.1)+(-1.94973+(-0.340782--1.236342))+0-0-0</f>
        <v>1032.4458299999999</v>
      </c>
      <c r="R250" s="3">
        <f>1863.7+(285.8-1188.4)+(-4.752435+(-0.72879--3.03042))+0-0-0</f>
        <v>958.64919499999996</v>
      </c>
      <c r="S250" s="3">
        <f>1861.9+(332.9-1232.6)+(1.899138+(0.339558-1.257252))+0-0-0</f>
        <v>963.18144400000017</v>
      </c>
      <c r="T250" s="3">
        <f>1862.8+(302.2-1209.3)+(-4.75014+(-0.77061--3.083715))+0-0-0</f>
        <v>953.26296500000001</v>
      </c>
      <c r="U250" s="3">
        <f>1863.8+(243.8-1151.4)+(0+(0-0))+0-0-0</f>
        <v>956.19999999999982</v>
      </c>
      <c r="V250" s="3">
        <f>1868.5+(229.6-1068.5)+(-2.858805+(-0.351288--1.634805))+0-0-0</f>
        <v>1028.0247119999999</v>
      </c>
      <c r="W250" s="3">
        <f>1924.8+(361.3-1037.3)+(0.981648+(0.184263-0.529023))+0-0-0</f>
        <v>1249.436888</v>
      </c>
      <c r="X250" s="3">
        <f>1928.9+(382.8-1034.8)+(0+(0-0))+0-0-0</f>
        <v>1276.9000000000001</v>
      </c>
      <c r="Y250" s="3">
        <f>1930+(389.6-1064.5)+(-4.9215+(-0.99348--2.714475))+0-0-0</f>
        <v>1251.8994949999999</v>
      </c>
      <c r="Z250" s="3">
        <f>1931.6+(393.3-1109.2)+(-0.985116+(-0.200583--0.565692))+0-0-0</f>
        <v>1215.0799929999998</v>
      </c>
      <c r="AA250" s="3">
        <f>1931.9+(404.9-1132.4)+(-0.985269+(-0.206499--0.577524))+0-0-0</f>
        <v>1203.785756</v>
      </c>
      <c r="AB250" s="3">
        <f>1931.8+(324.1-1110.2)+(-1.970436+(-0.330582--1.132404))+0-0-0</f>
        <v>1144.5313859999999</v>
      </c>
      <c r="AC250" s="3">
        <f>1890.2+(324.6-1145.6)+(-3.856008+(-0.662184--2.337024))+0-0-0</f>
        <v>1067.0188320000002</v>
      </c>
      <c r="AD250">
        <f t="shared" si="3"/>
        <v>24670.511164000003</v>
      </c>
      <c r="AE250" s="3">
        <f>1923+(400-1045.5)+(0+(0-0))+0-0-0</f>
        <v>1277.5</v>
      </c>
    </row>
    <row r="251" spans="1:31" s="2" customFormat="1" x14ac:dyDescent="0.25">
      <c r="A251">
        <v>89</v>
      </c>
      <c r="B251">
        <v>9</v>
      </c>
      <c r="C251">
        <v>5</v>
      </c>
      <c r="D251">
        <v>7</v>
      </c>
      <c r="E251">
        <v>1</v>
      </c>
      <c r="F251" s="3">
        <f>1632+(343.5-984.7)+(-2.49696+(-0.525555--1.506591))+0-0-0</f>
        <v>989.28407599999991</v>
      </c>
      <c r="G251" s="3">
        <f>1513.6+(352.6-932.4)+(-2.315808+(-0.539478--1.426572))+0-0-0</f>
        <v>932.37128599999994</v>
      </c>
      <c r="H251" s="3">
        <f>1323.6+(288.5-737.3)+(-2.025108+(-0.441405--1.128069))+0-0-0</f>
        <v>873.46155599999997</v>
      </c>
      <c r="I251" s="3">
        <f>1310.3+(222-672.1)+(-1.336506+(-0.22644--0.685542))+0-0-0</f>
        <v>859.32259599999998</v>
      </c>
      <c r="J251" s="3">
        <f>1311.1+(236.1-692.8)+(1.337322+(0.240822-0.706656))+0-0-0</f>
        <v>855.27148799999998</v>
      </c>
      <c r="K251" s="3">
        <f>1307.6+(243.1-683.3)+(0.666876+(0.123981-0.348483))+0-0-0</f>
        <v>867.84237399999995</v>
      </c>
      <c r="L251" s="3">
        <f>1307.3+(325-775.4)+(-2.666892+(-0.663--1.581816))+0-0-0</f>
        <v>855.15192400000001</v>
      </c>
      <c r="M251" s="3">
        <f>1350.2+(293.8-831.4)+(-1.377204+(-0.299676--0.848028))+0-0-0</f>
        <v>811.77114800000015</v>
      </c>
      <c r="N251" s="3">
        <f>1512.6+(224.2-863.8)+(0.771426+(0.114342-0.440538))+0-0-0</f>
        <v>873.44523000000004</v>
      </c>
      <c r="O251" s="3">
        <f>1702.8+(220.4-975)+(0+(0-0))+0-0-0</f>
        <v>948.19999999999993</v>
      </c>
      <c r="P251" s="3">
        <f>1925.7+(211.7-1158.7)+(-0.982107+(-0.107967--0.590937))+0-0-0</f>
        <v>978.20086300000003</v>
      </c>
      <c r="Q251" s="3">
        <f>2057.8+(220.2-1299.9)+(-8.395824+(-0.898416--5.303592))+0-0-0</f>
        <v>974.10935200000017</v>
      </c>
      <c r="R251" s="3">
        <f>1964.9+(200.9-1233.6)+(-3.006297+(-0.307377--1.887408))+0-0-0</f>
        <v>930.77373400000022</v>
      </c>
      <c r="S251" s="3">
        <f>1955.2+(203.9-1234)+(-1.994304+(-0.207978--1.25868))+0-0-0</f>
        <v>924.15639800000008</v>
      </c>
      <c r="T251" s="3">
        <f>1954.8+(183.1-1224.9)+(-0.996948+(-0.093381--0.624699))+0-0-0</f>
        <v>912.53436999999974</v>
      </c>
      <c r="U251" s="3">
        <f>1955.8+(216.6-1262.6)+(-1.994916+(-0.220932--1.287852))+0-0-0</f>
        <v>908.87200399999995</v>
      </c>
      <c r="V251" s="3">
        <f>2055.3+(186-1245.5)+(0+(0-0))+0-0-0</f>
        <v>995.80000000000018</v>
      </c>
      <c r="W251" s="3">
        <f>2126.7+(306.6-1222.1)+(-1.084617+(-0.156366--0.623271))+0-0-0</f>
        <v>1210.5822879999998</v>
      </c>
      <c r="X251" s="3">
        <f>2129.7+(308.1-1197.4)+(-1.086147+(-0.157131--0.610674))+0-0-0</f>
        <v>1239.7673959999997</v>
      </c>
      <c r="Y251" s="3">
        <f>2053.2+(332.7-1170.2)+(-3.141396+(-0.509031--1.790406))+0-0-0</f>
        <v>1213.8399789999999</v>
      </c>
      <c r="Z251" s="3">
        <f>2052.4+(272.8-1134.5)+(-2.093448+(-0.278256--1.15719))+0-0-0</f>
        <v>1189.485486</v>
      </c>
      <c r="AA251" s="3">
        <f>2012.3+(300.2-1155.3)+(-4.105092+(-0.612408--2.356812))+0-0-0</f>
        <v>1154.8393120000001</v>
      </c>
      <c r="AB251" s="3">
        <f>1896.2+(234.3-1041.3)+(-2.901186+(-0.358479--1.593189))+0-0-0</f>
        <v>1087.5335239999999</v>
      </c>
      <c r="AC251" s="3">
        <f>1728.5+(205.2-927.6)+(-5.28921+(-0.627912--2.838456))+0-0-0</f>
        <v>1003.0213339999999</v>
      </c>
      <c r="AD251">
        <f t="shared" si="3"/>
        <v>23589.637718000002</v>
      </c>
      <c r="AE251" s="3">
        <f>2128+(345.8-1205.1)+(0+(0-0))+0-0-0</f>
        <v>1268.7</v>
      </c>
    </row>
    <row r="252" spans="1:31" s="2" customFormat="1" x14ac:dyDescent="0.25">
      <c r="A252">
        <v>89</v>
      </c>
      <c r="B252">
        <v>9</v>
      </c>
      <c r="C252">
        <v>6</v>
      </c>
      <c r="D252">
        <v>1</v>
      </c>
      <c r="E252">
        <v>1</v>
      </c>
      <c r="F252" s="3">
        <f>1395.2+(164.1-648.4)+(0+(0-0))+0-0-0</f>
        <v>910.90000000000009</v>
      </c>
      <c r="G252" s="3">
        <f>1350.1+(156.9-643.7)+(0+(0-0))+0-0-0</f>
        <v>863.29999999999984</v>
      </c>
      <c r="H252" s="3">
        <f>1350.1+(156.2-653.7)+(0.688551+(0.079662-0.333387))+0-0-0</f>
        <v>853.03482599999995</v>
      </c>
      <c r="I252" s="3">
        <f>1350.3+(157.8-675.4)+(1.377306+(0.160956-0.688908))+0-0-0</f>
        <v>833.54935399999999</v>
      </c>
      <c r="J252" s="3">
        <f>1349.1+(196.6-706.1)+(0+(0-0))+0-0-0</f>
        <v>839.59999999999991</v>
      </c>
      <c r="K252" s="3">
        <f>1531+(235.1-798.4)+(-1.56162+(-0.239802--0.814368))+0-0-0</f>
        <v>966.7129460000001</v>
      </c>
      <c r="L252" s="3">
        <f>1622.7+(292.6-1004.1)+(-4.137885+(-0.74613--2.560455))+0-0-0</f>
        <v>908.87644</v>
      </c>
      <c r="M252" s="3">
        <f>1682.8+(317-1062.3)+(0.858228+(0.16167-0.541773))+0-0-0</f>
        <v>937.97812499999998</v>
      </c>
      <c r="N252" s="3">
        <f>1849.9+(329.2-1145)+(0+(0-0))+0-0-0</f>
        <v>1034.1000000000001</v>
      </c>
      <c r="O252" s="3">
        <f>1956.1+(402.1-1283.2)+(2.992833+(0.615213-1.963296))+0-0-0</f>
        <v>1076.6447499999999</v>
      </c>
      <c r="P252" s="3">
        <f>1949.4+(378.7-1234.9)+(0+(0-0))+0-0-0</f>
        <v>1093.2</v>
      </c>
      <c r="Q252" s="3">
        <f>1947+(332.9-1182.6)+(-0.99297+(-0.169779--0.603126))+0-0-0</f>
        <v>1096.7403770000001</v>
      </c>
      <c r="R252" s="3">
        <f>1906.9+(355.4-1200.8)+(-0.972519+(-0.181254--0.612408))+0-0-0</f>
        <v>1060.958635</v>
      </c>
      <c r="S252" s="3">
        <f>1903.8+(364.6-1226.6)+(-0.970938+(-0.185946--0.625566))+0-0-0</f>
        <v>1041.2686820000001</v>
      </c>
      <c r="T252" s="3">
        <f>1901.3+(364-1236.7)+(-1.939326+(-0.37128--1.261434))+0-0-0</f>
        <v>1027.5508279999999</v>
      </c>
      <c r="U252" s="3">
        <f>1903.6+(319.6-1187.4)+(-0.970836+(-0.162996--0.605574))+0-0-0</f>
        <v>1035.2717419999997</v>
      </c>
      <c r="V252" s="3">
        <f>1906.3+(245.9-1026.8)+(-1.944426+(-0.250818--1.047336))+0-0-0</f>
        <v>1124.2520920000002</v>
      </c>
      <c r="W252" s="3">
        <f>2074.7+(302.2-1032.4)+(2.116194+(0.308244-1.053048))+0-0-0</f>
        <v>1345.8713899999998</v>
      </c>
      <c r="X252" s="3">
        <f>2134+(298.3-1069.9)+(-2.17668+(-0.304266--1.091298))+0-0-0</f>
        <v>1361.0103519999998</v>
      </c>
      <c r="Y252" s="3">
        <f>2132.3+(312.6-1105.5)+(-4.349892+(-0.637704--2.25522))+0-0-0</f>
        <v>1336.6676240000002</v>
      </c>
      <c r="Z252" s="3">
        <f>2133+(335.8-1172.9)+(-5.43915+(-0.85629--2.990895))+0-0-0</f>
        <v>1292.5954549999999</v>
      </c>
      <c r="AA252" s="3">
        <f>2131.6+(356.1-1235.2)+(1.087116+(0.181611-0.629952))+0-0-0</f>
        <v>1253.1387749999999</v>
      </c>
      <c r="AB252" s="3">
        <f>1968.8+(334.9-1139.8)+(-4.016352+(-0.683196--2.325192))+0-0-0</f>
        <v>1161.5256440000001</v>
      </c>
      <c r="AC252" s="3">
        <f>1751.5+(302-1001.5)+(-2.679795+(-0.46206--1.532295))+0-0-0</f>
        <v>1050.3904399999999</v>
      </c>
      <c r="AD252">
        <f t="shared" si="3"/>
        <v>25505.138476999997</v>
      </c>
      <c r="AE252" s="3">
        <f>2140+(320.6-1072.2)+(0+(0-0))+0-0-0</f>
        <v>1388.4</v>
      </c>
    </row>
    <row r="253" spans="1:31" s="2" customFormat="1" x14ac:dyDescent="0.25">
      <c r="A253">
        <v>89</v>
      </c>
      <c r="B253">
        <v>9</v>
      </c>
      <c r="C253">
        <v>7</v>
      </c>
      <c r="D253">
        <v>2</v>
      </c>
      <c r="E253">
        <v>1</v>
      </c>
      <c r="F253" s="3">
        <f>1671+(162.1-846.7)+(-0.85221+(-0.082671--0.431817))+0-0-0</f>
        <v>985.89693599999998</v>
      </c>
      <c r="G253" s="3">
        <f>1427+(149.9-653.4)+(-3.63885+(-0.382245--1.66617))+0-0-0</f>
        <v>921.14507500000002</v>
      </c>
      <c r="H253" s="3">
        <f>1350+(126-578.3)+(-0.6885+(-0.06426--0.294933))+0-0-0</f>
        <v>897.24217300000009</v>
      </c>
      <c r="I253" s="3">
        <f>1349.6+(171.1-627.2)+(-0.688296+(-0.087261--0.319872))+0-0-0</f>
        <v>893.04431499999987</v>
      </c>
      <c r="J253" s="3">
        <f>1350.8+(163.5-626.5)+(-1.377816+(-0.16677--0.63903))+0-0-0</f>
        <v>886.89444399999991</v>
      </c>
      <c r="K253" s="3">
        <f>1349.1+(205-648.2)+(0+(0-0))+0-0-0</f>
        <v>905.89999999999986</v>
      </c>
      <c r="L253" s="3">
        <f>1370.5+(248.6-693.1)+(-2.79582+(-0.507144--1.413924))+0-0-0</f>
        <v>924.11095999999998</v>
      </c>
      <c r="M253" s="3">
        <f>1505.3+(252.3-802.2)+(-0.767703+(-0.128673--0.409122))+0-0-0</f>
        <v>954.91274599999986</v>
      </c>
      <c r="N253" s="3">
        <f>1662.2+(323-1019)+(0+(0-0))+0-0-0</f>
        <v>966.2</v>
      </c>
      <c r="O253" s="3">
        <f>1846+(318-1017)+(0.94146+(0.16218-0.51867))+0-0-0</f>
        <v>1147.5849700000001</v>
      </c>
      <c r="P253" s="3">
        <f>1859+(258-1018)+(1.89618+(0.26316-1.03836))+0-0-0</f>
        <v>1100.1209799999999</v>
      </c>
      <c r="Q253" s="3">
        <f>1912.2+(265.8-1071.9)+(0+(0-0))+0-0-0</f>
        <v>1106.0999999999999</v>
      </c>
      <c r="R253" s="3">
        <f>1955.2+(223.4-1096.6)+(-4.98576+(-0.56967--2.79633))+0-0-0</f>
        <v>1079.2409</v>
      </c>
      <c r="S253" s="3">
        <f>1953.2+(214.5-1099.4)+(-2.988396+(-0.328185--1.682082))+0-0-0</f>
        <v>1066.6655009999999</v>
      </c>
      <c r="T253" s="3">
        <f>1952.9+(213-1121.3)+(0.995979+(0.10863-0.571863))+0-0-0</f>
        <v>1045.1327460000002</v>
      </c>
      <c r="U253" s="3">
        <f>1954.1+(206.5-1103.7)+(1.993182+(0.21063-1.125774))+0-0-0</f>
        <v>1057.978038</v>
      </c>
      <c r="V253" s="3">
        <f>1955.6+(218-1036.1)+(-0.997356+(-0.11118--0.528411))+0-0-0</f>
        <v>1136.919875</v>
      </c>
      <c r="W253" s="3">
        <f>2070.7+(308.8-1003.7)+(1.056057+(0.157488-0.511887))+0-0-0</f>
        <v>1376.5016579999997</v>
      </c>
      <c r="X253" s="3">
        <f>2126.8+(253.4-994.4)+(-7.592676+(-0.904638--3.550008))+0-0-0</f>
        <v>1380.8526940000002</v>
      </c>
      <c r="Y253" s="3">
        <f>2128.4+(287.3-1060.3)+(-4.341936+(-0.586092--2.163012))+0-0-0</f>
        <v>1352.634984</v>
      </c>
      <c r="Z253" s="3">
        <f>2126.3+(303-1117.4)+(-1.084413+(-0.15453--0.569874))+0-0-0</f>
        <v>1311.2309310000001</v>
      </c>
      <c r="AA253" s="3">
        <f>2126.5+(225.3-1089.4)+(-3.253545+(-0.344709--1.666782))+0-0-0</f>
        <v>1260.4685279999999</v>
      </c>
      <c r="AB253" s="3">
        <f>2047.2+(179.6-1036.9)+(-2.088144+(-0.183192--1.057638))+0-0-0</f>
        <v>1188.6863020000001</v>
      </c>
      <c r="AC253" s="3">
        <f>2006+(211.9-1118.2)+(-4.09224+(-0.432276--2.281128))+0-0-0</f>
        <v>1097.4566119999997</v>
      </c>
      <c r="AD253">
        <f t="shared" si="3"/>
        <v>26042.921367999999</v>
      </c>
      <c r="AE253" s="3">
        <f>2132+(286.4-1023.4)+(0+(0-0))+0-0-0</f>
        <v>1395</v>
      </c>
    </row>
    <row r="254" spans="1:31" s="2" customFormat="1" x14ac:dyDescent="0.25">
      <c r="A254">
        <v>89</v>
      </c>
      <c r="B254">
        <v>9</v>
      </c>
      <c r="C254">
        <v>8</v>
      </c>
      <c r="D254">
        <v>3</v>
      </c>
      <c r="E254">
        <v>1</v>
      </c>
      <c r="F254" s="3">
        <f>1739.2+(179.3-927.7)+(-3.547968+(-0.365772--1.892508))+0-0-0</f>
        <v>988.7787679999999</v>
      </c>
      <c r="G254" s="3">
        <f>1388.7+(173.1-623.6)+(-0.708237+(-0.088281--0.318036))+0-0-0</f>
        <v>937.72151800000006</v>
      </c>
      <c r="H254" s="3">
        <f>1345.7+(177.3-615.9)+(0.686307+(0.090423-0.314109))+0-0-0</f>
        <v>907.56262100000015</v>
      </c>
      <c r="I254" s="3">
        <f>1342.7+(170.9-621.9)+(-1.369554+(-0.174318--0.634338))+0-0-0</f>
        <v>890.79046600000004</v>
      </c>
      <c r="J254" s="3">
        <f>1343.6+(222-676.6)+(0.685236+(0.11322-0.345066))+0-0-0</f>
        <v>889.4533899999999</v>
      </c>
      <c r="K254" s="3">
        <f>1358.1+(268.5-717.2)+(0.692631+(0.136935-0.365772))+0-0-0</f>
        <v>909.86379399999987</v>
      </c>
      <c r="L254" s="3">
        <f>1586.7+(345.6-970)+(0+(0-0))+0-0-0</f>
        <v>962.30000000000007</v>
      </c>
      <c r="M254" s="3">
        <f>1705+(316.3-1018.8)+(-4.34775+(-0.806565--2.59794))+0-0-0</f>
        <v>999.943625</v>
      </c>
      <c r="N254" s="3">
        <f>1945.8+(345-1203.7)+(2.977074+(0.52785-1.841661))+0-0-0</f>
        <v>1088.7632629999998</v>
      </c>
      <c r="O254" s="3">
        <f>1998.2+(325.1-1192.6)+(-3.057246+(-0.497403--1.824678))+0-0-0</f>
        <v>1128.9700290000003</v>
      </c>
      <c r="P254" s="3">
        <f>2102+(345.4-1301.1)+(1.07202+(0.176154-0.663561))+0-0-0</f>
        <v>1146.8846130000002</v>
      </c>
      <c r="Q254" s="3">
        <f>2184.9+(320.1-1354.8)+(-5.571495+(-0.816255--3.45474))+0-0-0</f>
        <v>1147.2669900000003</v>
      </c>
      <c r="R254" s="3">
        <f>2109+(336.1-1321.5)+(-2.15118+(-0.342822--1.34793))+0-0-0</f>
        <v>1122.4539279999999</v>
      </c>
      <c r="S254" s="3">
        <f>2042+(376.4-1308.5)+(0+(0-0))+0-0-0</f>
        <v>1109.9000000000001</v>
      </c>
      <c r="T254" s="3">
        <f>2047.5+(362.7-1320.7)+(0+(0-0))+0-0-0</f>
        <v>1089.5</v>
      </c>
      <c r="U254" s="3">
        <f>2084+(348.9-1333.8)+(1.06284+(0.177939-0.680238))+0-0-0</f>
        <v>1099.660541</v>
      </c>
      <c r="V254" s="3">
        <f>2100.5+(262-1181.4)+(3.213765+(0.40086-1.807542))+0-0-0</f>
        <v>1182.9070829999998</v>
      </c>
      <c r="W254" s="3">
        <f>2134.8+(226.3-986.3)+(3.266244+(0.346239-1.509039))+0-0-0</f>
        <v>1376.9034440000003</v>
      </c>
      <c r="X254" s="3">
        <f>2125.8+(220-965)+(-4.336632+(-0.4488--1.9686))+0-0-0</f>
        <v>1377.9831680000002</v>
      </c>
      <c r="Y254" s="3">
        <f>2125.7+(256.6-1026.3)+(-3.252321+(-0.392598--1.570239))+0-0-0</f>
        <v>1353.9253200000001</v>
      </c>
      <c r="Z254" s="3">
        <f>2127.1+(268.6-1077.1)+(-3.254463+(-0.410958--1.647963))+0-0-0</f>
        <v>1316.5825419999999</v>
      </c>
      <c r="AA254" s="3">
        <f>2111.8+(291.6-1131.1)+(-2.154036+(-0.297432--1.153722))+0-0-0</f>
        <v>1271.0022540000002</v>
      </c>
      <c r="AB254" s="3">
        <f>2087.6+(223.2-1113.9)+(0+(0-0))+0-0-0</f>
        <v>1196.8999999999999</v>
      </c>
      <c r="AC254" s="3">
        <f>1838.5+(187.3-934.5)+(-4.688175+(-0.477615--2.382975))+0-0-0</f>
        <v>1088.5171849999999</v>
      </c>
      <c r="AD254">
        <f t="shared" si="3"/>
        <v>26584.534541999994</v>
      </c>
      <c r="AE254" s="3">
        <f>2130+(260.9-983.7)+(0+(0-0))+0-0-0</f>
        <v>1407.1999999999998</v>
      </c>
    </row>
    <row r="255" spans="1:31" s="2" customFormat="1" x14ac:dyDescent="0.25">
      <c r="A255">
        <v>89</v>
      </c>
      <c r="B255">
        <v>9</v>
      </c>
      <c r="C255">
        <v>9</v>
      </c>
      <c r="D255">
        <v>4</v>
      </c>
      <c r="E255">
        <v>1</v>
      </c>
      <c r="F255" s="3">
        <f>1400.7+(203.8-630.9)+(-2.857428+(-0.415752--1.287036))+0-0-0</f>
        <v>971.61385600000017</v>
      </c>
      <c r="G255" s="3">
        <f>1336.5+(225.6-646)+(-1.36323+(-0.230112--0.65892))+0-0-0</f>
        <v>915.16557799999998</v>
      </c>
      <c r="H255" s="3">
        <f>1337.7+(113.9-564.8)+(-2.046681+(-0.174267--0.864144))+0-0-0</f>
        <v>885.44319600000006</v>
      </c>
      <c r="I255" s="3">
        <f>1340.3+(92.8-556.7)+(-1.367106+(-0.094656--0.567834))+0-0-0</f>
        <v>875.5060719999999</v>
      </c>
      <c r="J255" s="3">
        <f>1339.6+(122.1-587.3)+(-1.366392+(-0.124542--0.599046))+0-0-0</f>
        <v>873.50811199999998</v>
      </c>
      <c r="K255" s="3">
        <f>1354.6+(156.4-615.7)+(0+(0-0))+0-0-0</f>
        <v>895.29999999999984</v>
      </c>
      <c r="L255" s="3">
        <f>1608+(339.8-998.3)+(-1.64016+(-0.346596--1.018266))+0-0-0</f>
        <v>948.53151000000003</v>
      </c>
      <c r="M255" s="3">
        <f>1704+(417.3-1151.8)+(-0.86904+(-0.212823--0.587418))+0-0-0</f>
        <v>969.00555499999996</v>
      </c>
      <c r="N255" s="3">
        <f>1887.6+(415.2-1255.9)+(0.962676+(0.211752-0.640509))+0-0-0</f>
        <v>1047.4339189999998</v>
      </c>
      <c r="O255" s="3">
        <f>2010.2+(397-1323.5)+(0+(0-0))+0-0-0</f>
        <v>1083.7</v>
      </c>
      <c r="P255" s="3">
        <f>2083.9+(391.5-1373.1)+(-1.062789+(-0.199665--0.700281))+0-0-0</f>
        <v>1101.7378270000002</v>
      </c>
      <c r="Q255" s="3">
        <f>2140.6+(379.4-1409.8)+(-2.183412+(-0.386988--1.437996))+0-0-0</f>
        <v>1109.0675959999999</v>
      </c>
      <c r="R255" s="3">
        <f>2020.2+(391.6-1340.7)+(-1.030302+(-0.199716--0.683757))+0-0-0</f>
        <v>1070.553739</v>
      </c>
      <c r="S255" s="3">
        <f>2028.8+(395.1-1369)+(0+(0-0))+0-0-0</f>
        <v>1054.9000000000001</v>
      </c>
      <c r="T255" s="3">
        <f>2090.7+(292.9-1349.4)+(-3.198771+(-0.448137--2.064582))+0-0-0</f>
        <v>1032.6176739999999</v>
      </c>
      <c r="U255" s="3">
        <f>1985.3+(211.2-1152.8)+(-3.037509+(-0.323136--1.763784))+0-0-0</f>
        <v>1042.1031390000001</v>
      </c>
      <c r="V255" s="3">
        <f>2096.4+(180.4-1135)+(-3.207492+(-0.276012--1.73655))+0-0-0</f>
        <v>1140.0530460000002</v>
      </c>
      <c r="W255" s="3">
        <f>2121.1+(240.7-1006.1)+(-2.163522+(-0.245514--1.026222))+0-0-0</f>
        <v>1354.3171859999998</v>
      </c>
      <c r="X255" s="3">
        <f>2121.6+(310.3-1062)+(-4.328064+(-0.633012--2.16648))+0-0-0</f>
        <v>1367.1054039999999</v>
      </c>
      <c r="Y255" s="3">
        <f>2036+(283.6-979.7)+(-4.15344+(-0.578544--1.998588))+0-0-0</f>
        <v>1337.166604</v>
      </c>
      <c r="Z255" s="3">
        <f>2007.1+(308.9-1012.4)+(-2.047242+(-0.315078--1.032648))+0-0-0</f>
        <v>1302.2703279999998</v>
      </c>
      <c r="AA255" s="3">
        <f>2003.2+(307-1056.6)+(-3.064896+(-0.46971--1.616598))+0-0-0</f>
        <v>1251.681992</v>
      </c>
      <c r="AB255" s="3">
        <f>1970.6+(226.4-1018.1)+(-3.015018+(-0.346392--1.557693))+0-0-0</f>
        <v>1177.0962829999999</v>
      </c>
      <c r="AC255" s="3">
        <f>1842+(211.2-974.1)+(-4.6971+(-0.53856--2.483955))+0-0-0</f>
        <v>1076.348295</v>
      </c>
      <c r="AD255">
        <f t="shared" si="3"/>
        <v>25882.226910999998</v>
      </c>
      <c r="AE255" s="3">
        <f>2117+(219.9-943.9)+(0+(0-0))+0-0-0</f>
        <v>1393</v>
      </c>
    </row>
    <row r="256" spans="1:31" s="2" customFormat="1" x14ac:dyDescent="0.25">
      <c r="A256">
        <v>89</v>
      </c>
      <c r="B256">
        <v>9</v>
      </c>
      <c r="C256">
        <v>10</v>
      </c>
      <c r="D256">
        <v>5</v>
      </c>
      <c r="E256">
        <v>1</v>
      </c>
      <c r="F256" s="3">
        <f>1371.6+(121.1-509.6)+(-3.49758+(-0.308805--1.29948))+0-0-0</f>
        <v>980.59309499999995</v>
      </c>
      <c r="G256" s="3">
        <f>1343+(92-497.9)+(0+(0-0))+0-0-0</f>
        <v>937.1</v>
      </c>
      <c r="H256" s="3">
        <f>1339.6+(94.4-522.1)+(-0.683196+(-0.048144--0.266271))+0-0-0</f>
        <v>911.43493099999989</v>
      </c>
      <c r="I256" s="3">
        <f>1337+(85-520.4)+(-0.68187+(-0.04335--0.265404))+0-0-0</f>
        <v>901.14018399999998</v>
      </c>
      <c r="J256" s="3">
        <f>1335+(82.3-515)+(1.3617+(0.083946-0.5253))+0-0-0</f>
        <v>903.22034599999995</v>
      </c>
      <c r="K256" s="3">
        <f>1334.8+(67.1-476.8)+(-1.361496+(-0.068442--0.486336))+0-0-0</f>
        <v>924.15639799999985</v>
      </c>
      <c r="L256" s="3">
        <f>1378.3+(261.4-676)+(-0.702933+(-0.133314--0.34476))+0-0-0</f>
        <v>963.20851299999993</v>
      </c>
      <c r="M256" s="3">
        <f>1538.8+(262.8-828.2)+(0+(0-0))+0-0-0</f>
        <v>973.39999999999986</v>
      </c>
      <c r="N256" s="3">
        <f>1652.7+(292.3-887.4)+(-0.842877+(-0.149073--0.452574))+0-0-0</f>
        <v>1057.0606240000002</v>
      </c>
      <c r="O256" s="3">
        <f>1774.1+(263.5-941.9)+(-3.619164+(-0.53754--1.921476))+0-0-0</f>
        <v>1093.4647719999998</v>
      </c>
      <c r="P256" s="3">
        <f>1860.4+(278.5-1016.5)+(0.948804+(0.142035-0.518415))+0-0-0</f>
        <v>1122.972424</v>
      </c>
      <c r="Q256" s="3">
        <f>1954.7+(290.6-1108.8)+(-0.996897+(-0.148206--0.565488))+0-0-0</f>
        <v>1135.9203849999999</v>
      </c>
      <c r="R256" s="3">
        <f>1958.5+(271.3-1125.8)+(-4.994175+(-0.691815--2.87079))+0-0-0</f>
        <v>1101.1848</v>
      </c>
      <c r="S256" s="3">
        <f>1980.2+(246.3-1142)+(0+(0-0))+0-0-0</f>
        <v>1084.5</v>
      </c>
      <c r="T256" s="3">
        <f>2011.8+(261.1-1190.7)+(0+(0-0))+0-0-0</f>
        <v>1082.1999999999998</v>
      </c>
      <c r="U256" s="3">
        <f>2013.1+(254.9-1180.7)+(-1.026681+(-0.129999--0.602157))+0-0-0</f>
        <v>1086.7454769999997</v>
      </c>
      <c r="V256" s="3">
        <f>2015.8+(209.3-1041.6)+(2.056116+(0.213486-1.062432))+0-0-0</f>
        <v>1184.7071699999999</v>
      </c>
      <c r="W256" s="3">
        <f>2095.9+(288.6-973.5)+(0+(0-0))+0-0-0</f>
        <v>1411</v>
      </c>
      <c r="X256" s="3">
        <f>2131.4+(268.4-983.9)+(-4.348056+(-0.547536--2.007156))+0-0-0</f>
        <v>1413.0115640000001</v>
      </c>
      <c r="Y256" s="3">
        <f>2134.3+(253.6-1005.7)+(-3.265479+(-0.388008--1.538721))+0-0-0</f>
        <v>1380.0852340000004</v>
      </c>
      <c r="Z256" s="3">
        <f>2130.3+(298.5-1077.6)+(-1.086453+(-0.152235--0.549576))+0-0-0</f>
        <v>1350.5108880000003</v>
      </c>
      <c r="AA256" s="3">
        <f>2016.9+(286.7-1013.6)+(0+(0-0))+0-0-0</f>
        <v>1290</v>
      </c>
      <c r="AB256" s="3">
        <f>1970.7+(206.8-972.9)+(-4.020228+(-0.421872--1.984716))+0-0-0</f>
        <v>1202.1426160000001</v>
      </c>
      <c r="AC256" s="3">
        <f>1787.7+(245.8-924.6)+(-2.735181+(-0.376074--1.414638))+0-0-0</f>
        <v>1107.203383</v>
      </c>
      <c r="AD256">
        <f t="shared" si="3"/>
        <v>26596.962804000003</v>
      </c>
      <c r="AE256" s="3">
        <f>2125+(280.8-990.9)+(0+(0-0))+0-0-0</f>
        <v>1414.9</v>
      </c>
    </row>
    <row r="257" spans="1:31" s="2" customFormat="1" x14ac:dyDescent="0.25">
      <c r="A257">
        <v>89</v>
      </c>
      <c r="B257">
        <v>9</v>
      </c>
      <c r="C257">
        <v>11</v>
      </c>
      <c r="D257">
        <v>6</v>
      </c>
      <c r="E257">
        <v>1</v>
      </c>
      <c r="F257" s="3">
        <f>1737.6+(222.2-960.2)+(-1.772352+(-0.226644--0.979404))+0-0-0</f>
        <v>998.58040799999992</v>
      </c>
      <c r="G257" s="3">
        <f>1376.8+(215.9-661.1)+(1.404336+(0.220218-0.674322))+0-0-0</f>
        <v>932.55023199999994</v>
      </c>
      <c r="H257" s="3">
        <f>1342.7+(209.5-641.5)+(2.054331+(0.320535-0.981495))+0-0-0</f>
        <v>912.09337100000005</v>
      </c>
      <c r="I257" s="3">
        <f>1342.8+(206.7-655.2)+(-0.684828+(-0.105417--0.334152))+0-0-0</f>
        <v>893.84390699999994</v>
      </c>
      <c r="J257" s="3">
        <f>1342.6+(167-620.3)+(0.684726+(0.08517-0.316353))+0-0-0</f>
        <v>889.75354299999992</v>
      </c>
      <c r="K257" s="3">
        <f>1340.3+(263-695)+(0+(0-0))+0-0-0</f>
        <v>908.3</v>
      </c>
      <c r="L257" s="3">
        <f>1343.1+(368.9-754.5)+(-1.369962+(-0.376278--0.76959))+0-0-0</f>
        <v>956.52334999999994</v>
      </c>
      <c r="M257" s="3">
        <f>1410.4+(363.3-806.1)+(0.719304+(0.185283-0.411111))+0-0-0</f>
        <v>968.09347600000012</v>
      </c>
      <c r="N257" s="3">
        <f>1633.3+(278.9-857.4)+(0+(0-0))+0-0-0</f>
        <v>1054.8</v>
      </c>
      <c r="O257" s="3">
        <f>1896+(280.5-1060.8)+(-3.86784+(-0.57222--2.164032))+0-0-0</f>
        <v>1113.423972</v>
      </c>
      <c r="P257" s="3">
        <f>1955.3+(305.7-1128.6)+(-2.991609+(-0.467721--1.726758))+0-0-0</f>
        <v>1130.6674280000002</v>
      </c>
      <c r="Q257" s="3">
        <f>1949+(313.7-1135.4)+(-0.99399+(-0.159987--0.579054))+0-0-0</f>
        <v>1126.7250770000001</v>
      </c>
      <c r="R257" s="3">
        <f>1951.6+(295.8-1158.9)+(-3.981264+(-0.603432--2.364156))+0-0-0</f>
        <v>1086.2794599999997</v>
      </c>
      <c r="S257" s="3">
        <f>1950.3+(325.8-1209.3)+(-1.989306+(-0.332316--1.233486))+0-0-0</f>
        <v>1065.7118639999999</v>
      </c>
      <c r="T257" s="3">
        <f>1929.3+(266.7-1160.2)+(-1.967886+(-0.272034--1.183404))+0-0-0</f>
        <v>1034.7434839999999</v>
      </c>
      <c r="U257" s="3">
        <f>1851+(239-1060.6)+(-0.94401+(-0.12189--0.540906))+0-0-0</f>
        <v>1028.875006</v>
      </c>
      <c r="V257" s="3">
        <f>1901.3+(291.5-1067.6)+(-4.848315+(-0.743325--2.72238))+0-0-0</f>
        <v>1122.3307400000001</v>
      </c>
      <c r="W257" s="3">
        <f>1993.5+(331.8-975.4)+(0+(0-0))+0-0-0</f>
        <v>1349.9</v>
      </c>
      <c r="X257" s="3">
        <f>1998+(340-975.3)+(-7.13286+(-1.2138--3.481821))+0-0-0</f>
        <v>1357.835161</v>
      </c>
      <c r="Y257" s="3">
        <f>1956.4+(362.9-989.5)+(-2.993292+(-0.555237--1.513935))+0-0-0</f>
        <v>1327.7654060000002</v>
      </c>
      <c r="Z257" s="3">
        <f>1930.8+(343.6-985.3)+(-2.954124+(-0.525708--1.507509))+0-0-0</f>
        <v>1287.1276769999999</v>
      </c>
      <c r="AA257" s="3">
        <f>1943.3+(312.2-1020.2)+(-4.955415+(-0.79611--2.60151))+0-0-0</f>
        <v>1232.149985</v>
      </c>
      <c r="AB257" s="3">
        <f>1783.3+(133.6-764.1)+(0+(0-0))+0-0-0</f>
        <v>1152.8</v>
      </c>
      <c r="AC257" s="3">
        <f>1622.7+(127.2-678.6)+(-2.482731+(-0.194616--1.038258))+0-0-0</f>
        <v>1069.6609110000002</v>
      </c>
      <c r="AD257">
        <f t="shared" ref="AD257:AD320" si="4">SUM(F257:AC257)</f>
        <v>26000.534457999998</v>
      </c>
      <c r="AE257" s="3">
        <f>2013+(340.5-964.9)+(0+(0-0))+0-0-0</f>
        <v>1388.6</v>
      </c>
    </row>
    <row r="258" spans="1:31" s="2" customFormat="1" x14ac:dyDescent="0.25">
      <c r="A258">
        <v>89</v>
      </c>
      <c r="B258">
        <v>9</v>
      </c>
      <c r="C258">
        <v>12</v>
      </c>
      <c r="D258">
        <v>7</v>
      </c>
      <c r="E258">
        <v>1</v>
      </c>
      <c r="F258" s="3">
        <f>1499.6+(150.3-658.6)+(-4.588776+(-0.459918--2.015316))+0-0-0</f>
        <v>988.26662199999998</v>
      </c>
      <c r="G258" s="3">
        <f>1370.7+(149.1-555)+(0+(0-0))+0-0-0</f>
        <v>964.80000000000007</v>
      </c>
      <c r="H258" s="3">
        <f>1351+(95.7-542.1)+(-0.68901+(-0.048807--0.276471))+0-0-0</f>
        <v>904.13865399999986</v>
      </c>
      <c r="I258" s="3">
        <f>1350.3+(178.1-642.8)+(0.688653+(0.090831-0.327828))+0-0-0</f>
        <v>886.05165599999998</v>
      </c>
      <c r="J258" s="3">
        <f>1349.4+(147.6-627.4)+(0+(0-0))+0-0-0</f>
        <v>869.60000000000014</v>
      </c>
      <c r="K258" s="3">
        <f>1348.4+(219.8-687.6)+(2.063052+(0.336294-1.052028))+0-0-0</f>
        <v>881.94731800000011</v>
      </c>
      <c r="L258" s="3">
        <f>1400.4+(350.4-831.6)+(-1.428408+(-0.357408--0.848232))+0-0-0</f>
        <v>918.26241600000003</v>
      </c>
      <c r="M258" s="3">
        <f>1443.6+(256.4-809.1)+(-3.68118+(-0.65382--2.063205))+0-0-0</f>
        <v>888.62820499999987</v>
      </c>
      <c r="N258" s="3">
        <f>1541.3+(222.7-830.4)+(0.786063+(0.113577-0.423504))+0-0-0</f>
        <v>934.07613599999991</v>
      </c>
      <c r="O258" s="3">
        <f>1567.4+(252.7-832.7)+(0.799374+(0.128877-0.424677))+0-0-0</f>
        <v>987.90357400000005</v>
      </c>
      <c r="P258" s="3">
        <f>1566.3+(260.7-804.2)+(-3.195252+(-0.531828--1.640568))+0-0-0</f>
        <v>1020.713488</v>
      </c>
      <c r="Q258" s="3">
        <f>1562.8+(296-841.6)+(-0.797028+(-0.15096--0.429216))+0-0-0</f>
        <v>1016.6812279999999</v>
      </c>
      <c r="R258" s="3">
        <f>1561.8+(309.2-905)+(-2.389554+(-0.473076--1.38465))+0-0-0</f>
        <v>964.52202</v>
      </c>
      <c r="S258" s="3">
        <f>1562+(294.4-916.9)+(-2.38986+(-0.450432--1.402857))+0-0-0</f>
        <v>938.06256499999995</v>
      </c>
      <c r="T258" s="3">
        <f>1561.4+(271.4-888.1)+(0.796314+(0.138414-0.452931))+0-0-0</f>
        <v>945.18179700000007</v>
      </c>
      <c r="U258" s="3">
        <f>1562+(269.4-886.9)+(-1.59324+(-0.274788--0.904638))+0-0-0</f>
        <v>943.53661</v>
      </c>
      <c r="V258" s="3">
        <f>1718.2+(256.2-929.9)+(-1.752564+(-0.261324--0.948498))+0-0-0</f>
        <v>1043.43461</v>
      </c>
      <c r="W258" s="3">
        <f>2070.6+(268.6-1072.6)+(0+(0-0))+0-0-0</f>
        <v>1266.5999999999999</v>
      </c>
      <c r="X258" s="3">
        <f>2111.6+(291.3-1119)+(-2.153832+(-0.297126--1.14138))+0-0-0</f>
        <v>1282.5904219999998</v>
      </c>
      <c r="Y258" s="3">
        <f>2045.5+(287.3-1072.7)+(-1.043205+(-0.146523--0.547077))+0-0-0</f>
        <v>1259.457349</v>
      </c>
      <c r="Z258" s="3">
        <f>1886.5+(307.1-966)+(-1.92423+(-0.313242--0.98532))+0-0-0</f>
        <v>1226.3478479999999</v>
      </c>
      <c r="AA258" s="3">
        <f>1799.7+(320.9-934.7)+(-1.835694+(-0.327318--0.953394))+0-0-0</f>
        <v>1184.690382</v>
      </c>
      <c r="AB258" s="3">
        <f>1695.5+(247-846.6)+(0+(0-0))+0-0-0</f>
        <v>1095.9000000000001</v>
      </c>
      <c r="AC258" s="3">
        <f>1476.9+(234.2-693.9)+(-3.766095+(-0.59721--1.769445))+0-0-0</f>
        <v>1014.6061400000001</v>
      </c>
      <c r="AD258">
        <f t="shared" si="4"/>
        <v>24425.999040000002</v>
      </c>
      <c r="AE258" s="3">
        <f>2134+(286.1-1125.2)+(0+(0-0))+0-0-0</f>
        <v>1294.9000000000001</v>
      </c>
    </row>
    <row r="259" spans="1:31" s="2" customFormat="1" x14ac:dyDescent="0.25">
      <c r="A259">
        <v>89</v>
      </c>
      <c r="B259">
        <v>9</v>
      </c>
      <c r="C259">
        <v>13</v>
      </c>
      <c r="D259">
        <v>1</v>
      </c>
      <c r="E259">
        <v>1</v>
      </c>
      <c r="F259" s="3">
        <f>1344.3+(151.4-579.1)+(-4.113558+(-0.463284--1.772046))+0-0-0</f>
        <v>913.7952039999999</v>
      </c>
      <c r="G259" s="3">
        <f>1344.8+(113.2-584.9)+(-2.743392+(-0.230928--1.193196))+0-0-0</f>
        <v>871.31887599999993</v>
      </c>
      <c r="H259" s="3">
        <f>1346.2+(82.1-581.7)+(-2.746248+(-0.167484--1.186668))+0-0-0</f>
        <v>844.87293599999998</v>
      </c>
      <c r="I259" s="3">
        <f>1345.9+(83.6-582.5)+(-1.372818+(-0.085272--0.59415))+0-0-0</f>
        <v>846.13606000000016</v>
      </c>
      <c r="J259" s="3">
        <f>1346.7+(92.3-593.5)+(0+(0-0))+0-0-0</f>
        <v>845.5</v>
      </c>
      <c r="K259" s="3">
        <f>1348.6+(133.6-617.5)+(0.687786+(0.068136-0.314925))+0-0-0</f>
        <v>865.14099699999997</v>
      </c>
      <c r="L259" s="3">
        <f>1508.9+(241.2-756.3)+(-3.078156+(-0.492048--1.542852))+0-0-0</f>
        <v>991.77264800000023</v>
      </c>
      <c r="M259" s="3">
        <f>1796.9+(209.3-901.1)+(-1.832838+(-0.213486--0.919122))+0-0-0</f>
        <v>1103.9727980000002</v>
      </c>
      <c r="N259" s="3">
        <f>2145.9+(244.9-1192.2)+(0+(0-0))+0-0-0</f>
        <v>1198.5999999999999</v>
      </c>
      <c r="O259" s="3">
        <f>2120.2+(276.7-1224)+(3.243906+(0.423351-1.87272))+0-0-0</f>
        <v>1174.6945369999999</v>
      </c>
      <c r="P259" s="3">
        <f>2067.7+(312.8-1229.1)+(-3.163581+(-0.478584--1.880523))+0-0-0</f>
        <v>1149.6383579999999</v>
      </c>
      <c r="Q259" s="3">
        <f>2112.4+(226.6-1260.2)+(0+(0-0))+0-0-0</f>
        <v>1078.8</v>
      </c>
      <c r="R259" s="3">
        <f>2230.7+(203.8-1382.6)+(-6.825942+(-0.623628--4.230756))+0-0-0</f>
        <v>1048.6811859999998</v>
      </c>
      <c r="S259" s="3">
        <f>2095.1+(206.8-1399.9)+(-3.205503+(-0.316404--2.141847))+0-0-0</f>
        <v>900.61993999999981</v>
      </c>
      <c r="T259" s="3">
        <f>2056+(197.7-1302.6)+(0+(0-0))+0-0-0</f>
        <v>951.10000000000014</v>
      </c>
      <c r="U259" s="3">
        <f>2042+(184.6-1238.5)+(0+(0-0))+0-0-0</f>
        <v>988.09999999999991</v>
      </c>
      <c r="V259" s="3">
        <f>2004.8+(189-1117.4)+(-1.022448+(-0.09639--0.569874))+0-0-0</f>
        <v>1075.8510359999998</v>
      </c>
      <c r="W259" s="3">
        <f>2117+(202.7-1102.5)+(3.23901+(0.310131-1.686825))+0-0-0</f>
        <v>1219.062316</v>
      </c>
      <c r="X259" s="3">
        <f>2073.4+(215.3-987.8)+(-4.229736+(-0.439212--2.015112))+0-0-0</f>
        <v>1298.2461640000001</v>
      </c>
      <c r="Y259" s="3">
        <f>2045.9+(235.9-949.1)+(-5.217045+(-0.601545--2.420205))+0-0-0</f>
        <v>1329.3016150000001</v>
      </c>
      <c r="Z259" s="3">
        <f>1986.4+(269-965.8)+(0+(0-0))+0-0-0</f>
        <v>1289.6000000000001</v>
      </c>
      <c r="AA259" s="3">
        <f>1984.3+(267-1015)+(-5.059965+(-0.68085--2.58825))+0-0-0</f>
        <v>1233.1474349999999</v>
      </c>
      <c r="AB259" s="3">
        <f>1885.8+(209.6-931.8)+(-1.923516+(-0.213792--0.950436))+0-0-0</f>
        <v>1162.4131279999999</v>
      </c>
      <c r="AC259" s="3">
        <f>1706.2+(152.8-798.4)+(-4.35081+(-0.38964--2.03592))+0-0-0</f>
        <v>1057.8954700000002</v>
      </c>
      <c r="AD259">
        <f t="shared" si="4"/>
        <v>25438.260703999997</v>
      </c>
      <c r="AE259" s="3">
        <f>2298+(239-1154.7)+(0+(0-0))+0-0-0</f>
        <v>1382.3</v>
      </c>
    </row>
    <row r="260" spans="1:31" s="2" customFormat="1" x14ac:dyDescent="0.25">
      <c r="A260">
        <v>89</v>
      </c>
      <c r="B260">
        <v>9</v>
      </c>
      <c r="C260">
        <v>14</v>
      </c>
      <c r="D260">
        <v>2</v>
      </c>
      <c r="E260">
        <v>1</v>
      </c>
      <c r="F260" s="3">
        <f>1413.8+(108.4-563.4)+(-2.884152+(-0.221136--1.149336))+0-0-0</f>
        <v>956.84404799999993</v>
      </c>
      <c r="G260" s="3">
        <f>1345.8+(76.8-510.1)+(0+(0-0))+0-0-0</f>
        <v>912.5</v>
      </c>
      <c r="H260" s="3">
        <f>1344.9+(76.5-530.4)+(-0.685899+(-0.039015--0.270504))+0-0-0</f>
        <v>890.54559000000006</v>
      </c>
      <c r="I260" s="3">
        <f>1344.5+(73-534.4)+(0+(0-0))+0-0-0</f>
        <v>883.1</v>
      </c>
      <c r="J260" s="3">
        <f>1344.3+(130.3-594.3)+(-1.371186+(-0.132906--0.606186))+0-0-0</f>
        <v>879.40209399999992</v>
      </c>
      <c r="K260" s="3">
        <f>1347.1+(211.1-656.4)+(0+(0-0))+0-0-0</f>
        <v>901.8</v>
      </c>
      <c r="L260" s="3">
        <f>1415.9+(277-752.1)+(-1.444218+(-0.28254--0.767142))+0-0-0</f>
        <v>939.84038400000009</v>
      </c>
      <c r="M260" s="3">
        <f>1551.9+(206.1-801.4)+(-1.582938+(-0.210222--0.817428))+0-0-0</f>
        <v>955.62426800000014</v>
      </c>
      <c r="N260" s="3">
        <f>1794.1+(204.8-963.5)+(0.914991+(0.104448-0.491385))+0-0-0</f>
        <v>1035.928054</v>
      </c>
      <c r="O260" s="3">
        <f>2063.1+(268.1-1243.2)+(1.052181+(0.136731-0.634032))+0-0-0</f>
        <v>1088.5548799999999</v>
      </c>
      <c r="P260" s="3">
        <f>2088.1+(277.4-1257.3)+(-1.064931+(-0.141474--0.641223))+0-0-0</f>
        <v>1107.6348179999998</v>
      </c>
      <c r="Q260" s="3">
        <f>2155.8+(262.4-1301.5)+(-3.298374+(-0.401472--1.991295))+0-0-0</f>
        <v>1114.9914490000003</v>
      </c>
      <c r="R260" s="3">
        <f>2118.9+(210.2-1251.8)+(-3.241917+(-0.321606--1.915254))+0-0-0</f>
        <v>1075.6517310000002</v>
      </c>
      <c r="S260" s="3">
        <f>1936.9+(196.9-1087.2)+(-0.987819+(-0.100419--0.554472))+0-0-0</f>
        <v>1046.0662339999999</v>
      </c>
      <c r="T260" s="3">
        <f>1909+(236.4-1109)+(-0.97359+(-0.120564--0.56559))+0-0-0</f>
        <v>1035.8714360000001</v>
      </c>
      <c r="U260" s="3">
        <f>1917.9+(194-1172.2)+(0+(0-0))+0-0-0</f>
        <v>939.7</v>
      </c>
      <c r="V260" s="3">
        <f>2048.7+(185-1059.9)+(-5.224185+(-0.47175--2.702745))+0-0-0</f>
        <v>1170.8068099999998</v>
      </c>
      <c r="W260" s="3">
        <f>2211.9+(189.1-1045.8)+(0+(0-0))+0-0-0</f>
        <v>1355.2000000000003</v>
      </c>
      <c r="X260" s="3">
        <f>2240+(200.7-1072.8)+(-5.712+(-0.511785--2.73564))+0-0-0</f>
        <v>1364.4118550000001</v>
      </c>
      <c r="Y260" s="3">
        <f>2185.6+(209.5-1051.6)+(-2.229312+(-0.21369--1.072632))+0-0-0</f>
        <v>1342.1296299999999</v>
      </c>
      <c r="Z260" s="3">
        <f>2171+(212.2-1083.3)+(-5.53605+(-0.54111--2.762415))+0-0-0</f>
        <v>1296.5852550000002</v>
      </c>
      <c r="AA260" s="3">
        <f>2025.1+(200.4-994.7)+(-2.065602+(-0.204408--1.014594))+0-0-0</f>
        <v>1229.5445839999998</v>
      </c>
      <c r="AB260" s="3">
        <f>1909.6+(92.1-838.2)+(-4.86948+(-0.234855--2.13741))+0-0-0</f>
        <v>1160.5330750000001</v>
      </c>
      <c r="AC260" s="3">
        <f>1733.9+(110.6-783.7)+(-1.768578+(-0.112812--0.799374))+0-0-0</f>
        <v>1059.7179840000001</v>
      </c>
      <c r="AD260">
        <f t="shared" si="4"/>
        <v>25742.984178999999</v>
      </c>
      <c r="AE260" s="3">
        <f>2272+(230.9-1069.7)+(0+(0-0))+0-0-0</f>
        <v>1433.1999999999998</v>
      </c>
    </row>
    <row r="261" spans="1:31" s="2" customFormat="1" x14ac:dyDescent="0.25">
      <c r="A261">
        <v>89</v>
      </c>
      <c r="B261">
        <v>9</v>
      </c>
      <c r="C261">
        <v>15</v>
      </c>
      <c r="D261">
        <v>3</v>
      </c>
      <c r="E261">
        <v>1</v>
      </c>
      <c r="F261" s="3">
        <f>1470+(66.1-576.2)+(-2.2491+(-0.101133--0.881586))+0-0-0</f>
        <v>958.43135299999994</v>
      </c>
      <c r="G261" s="3">
        <f>1400.3+(81.8-561.8)+(-1.428306+(-0.083436--0.573036))+0-0-0</f>
        <v>919.36129399999993</v>
      </c>
      <c r="H261" s="3">
        <f>1402.9+(73.7-593.1)+(-2.146437+(-0.112761--0.907443))+0-0-0</f>
        <v>882.14824500000009</v>
      </c>
      <c r="I261" s="3">
        <f>1404.3+(84.2-616.3)+(-2.148579+(-0.128826--0.942939))+0-0-0</f>
        <v>870.86553400000003</v>
      </c>
      <c r="J261" s="3">
        <f>1404+(76.8-611.9)+(-0.71604+(-0.039168--0.312069))+0-0-0</f>
        <v>868.456861</v>
      </c>
      <c r="K261" s="3">
        <f>1427.6+(98.7-636.2)+(0+(0-0))+0-0-0</f>
        <v>890.09999999999991</v>
      </c>
      <c r="L261" s="3">
        <f>1572.7+(231.9-856)+(-0.802077+(-0.118269--0.43656))+0-0-0</f>
        <v>948.11621400000001</v>
      </c>
      <c r="M261" s="3">
        <f>1596.9+(305.9-945.5)+(0+(0-0))+0-0-0</f>
        <v>957.30000000000007</v>
      </c>
      <c r="N261" s="3">
        <f>1617+(369.1-977.7)+(0+(0-0))+0-0-0</f>
        <v>1008.4</v>
      </c>
      <c r="O261" s="3">
        <f>1645+(329-972.4)+(2.51685+(0.50337-1.487772))+0-0-0</f>
        <v>1003.1324480000001</v>
      </c>
      <c r="P261" s="3">
        <f>1715+(259.6-918.7)+(-1.7493+(-0.264792--0.937074))+0-0-0</f>
        <v>1054.8229820000001</v>
      </c>
      <c r="Q261" s="3">
        <f>1767+(280.3-996.6)+(-2.70351+(-0.428859--1.524798))+0-0-0</f>
        <v>1049.092429</v>
      </c>
      <c r="R261" s="3">
        <f>1811+(248.1-1028.2)+(-6.46527+(-0.885717--3.670674))+0-0-0</f>
        <v>1027.219687</v>
      </c>
      <c r="S261" s="3">
        <f>1808+(241.8-1026.5)+(-0.92208+(-0.123318--0.523515))+0-0-0</f>
        <v>1022.778117</v>
      </c>
      <c r="T261" s="3">
        <f>1789+(244-1016)+(-2.73717+(-0.37332--1.55448))+0-0-0</f>
        <v>1015.44399</v>
      </c>
      <c r="U261" s="3">
        <f>1805+(267.4-1032.3)+(-2.76165+(-0.409122--1.579419))+0-0-0</f>
        <v>1038.5086469999999</v>
      </c>
      <c r="V261" s="3">
        <f>1883+(176.1-873.1)+(-2.88099+(-0.269433--1.335843))+0-0-0</f>
        <v>1184.18542</v>
      </c>
      <c r="W261" s="3">
        <f>2058+(137.9-878.8)+(1.04958+(0.070329-0.448188))+0-0-0</f>
        <v>1317.7717209999998</v>
      </c>
      <c r="X261" s="3">
        <f>2120+(101.5-906.1)+(-2.1624+(-0.10353--0.924222))+0-0-0</f>
        <v>1314.0582920000002</v>
      </c>
      <c r="Y261" s="3">
        <f>2156+(128-959.4)+(-7.69692+(-0.45696--3.425058))+0-0-0</f>
        <v>1319.8711779999999</v>
      </c>
      <c r="Z261" s="3">
        <f>2154.5+(130-909.8)+(-3.296385+(-0.1989--1.391994))+0-0-0</f>
        <v>1372.5967090000001</v>
      </c>
      <c r="AA261" s="3">
        <f>1985.2+(191.3-957.8)+(-3.037356+(-0.292689--1.465434))+0-0-0</f>
        <v>1216.8353890000001</v>
      </c>
      <c r="AB261" s="3">
        <f>1900.5+(126.8-896.9)+(-3.87702+(-0.258672--1.829676))+0-0-0</f>
        <v>1128.0939840000001</v>
      </c>
      <c r="AC261" s="3">
        <f>1717.2+(133.9-817.3)+(-5.254632+(-0.409734--2.500938))+0-0-0</f>
        <v>1030.6365720000001</v>
      </c>
      <c r="AD261">
        <f t="shared" si="4"/>
        <v>25398.227066000007</v>
      </c>
      <c r="AE261" s="3">
        <f>2158+(138.9-921.1)+(0+(0-0))+0-0-0</f>
        <v>1375.8</v>
      </c>
    </row>
    <row r="262" spans="1:31" s="2" customFormat="1" x14ac:dyDescent="0.25">
      <c r="A262">
        <v>89</v>
      </c>
      <c r="B262">
        <v>9</v>
      </c>
      <c r="C262">
        <v>16</v>
      </c>
      <c r="D262">
        <v>4</v>
      </c>
      <c r="E262">
        <v>1</v>
      </c>
      <c r="F262" s="3">
        <f>1419.3+(110.4-559.2)+(-2.171529+(-0.168912--0.855576))+0-0-0</f>
        <v>969.01513499999987</v>
      </c>
      <c r="G262" s="3">
        <f>1274.1+(132.2-483.5)+(-1.299582+(-0.134844--0.49317))+0-0-0</f>
        <v>921.858744</v>
      </c>
      <c r="H262" s="3">
        <f>1248.3+(117-474.3)+(0+(0-0))+0-0-0</f>
        <v>891</v>
      </c>
      <c r="I262" s="3">
        <f>1371.9+(99.7-583.1)+(-1.399338+(-0.101694--0.594762))+0-0-0</f>
        <v>887.59373000000005</v>
      </c>
      <c r="J262" s="3">
        <f>1385.9+(102.5-594.8)+(-1.413618+(-0.10455--0.606696))+0-0-0</f>
        <v>892.68852800000013</v>
      </c>
      <c r="K262" s="3">
        <f>1464.8+(118.5-672)+(-0.747048+(-0.060435--0.34272))+0-0-0</f>
        <v>910.83523700000001</v>
      </c>
      <c r="L262" s="3">
        <f>1571.3+(61.3-679.1)+(-2.404089+(-0.093789--1.039023))+0-0-0</f>
        <v>952.04114499999991</v>
      </c>
      <c r="M262" s="3">
        <f>1710.5+(63.9-788.2)+(0+(0-0))+0-0-0</f>
        <v>986.19999999999993</v>
      </c>
      <c r="N262" s="3">
        <f>1880+(41-846)+(-2.8764+(-0.06273--1.29438))+0-0-0</f>
        <v>1073.3552500000001</v>
      </c>
      <c r="O262" s="3">
        <f>1975+(69.7-934)+(3.02175+(0.106641-1.42902))+0-0-0</f>
        <v>1112.399371</v>
      </c>
      <c r="P262" s="3">
        <f>2148+(30.6-1038.1)+(-3.28644+(-0.046818--1.588293))+0-0-0</f>
        <v>1138.7550349999999</v>
      </c>
      <c r="Q262" s="3">
        <f>2162.5+(19.4-1045.2)+(-2.20575+(-0.019788--1.066104))+0-0-0</f>
        <v>1135.5405660000001</v>
      </c>
      <c r="R262" s="3">
        <f>2091.1+(17.5-998.7)+(-2.132922+(-0.01785--1.018674))+0-0-0</f>
        <v>1108.7679019999998</v>
      </c>
      <c r="S262" s="3">
        <f>2091.9+(18.6-1010.7)+(-1.066869+(-0.009486--0.515457))+0-0-0</f>
        <v>1099.2391020000002</v>
      </c>
      <c r="T262" s="3">
        <f>2092.4+(59.1-1061.5)+(1.067124+(0.030141-0.541365))+0-0-0</f>
        <v>1090.5559000000001</v>
      </c>
      <c r="U262" s="3">
        <f>2085.6+(221.1-1184.3)+(1.063656+(0.112761-0.603993))+0-0-0</f>
        <v>1122.972424</v>
      </c>
      <c r="V262" s="3">
        <f>2093.2+(39.2-911.8)+(-5.33766+(-0.09996--2.32509))+0-0-0</f>
        <v>1217.4874699999998</v>
      </c>
      <c r="W262" s="3">
        <f>2133.6+(200.9-941.6)+(0+(0-0))+0-0-0</f>
        <v>1392.8999999999999</v>
      </c>
      <c r="X262" s="3">
        <f>2134.1+(197.6-945.4)+(-6.530346+(-0.604656--2.892924))+0-0-0</f>
        <v>1382.057922</v>
      </c>
      <c r="Y262" s="3">
        <f>2132.7+(207.4-989.6)+(-4.350708+(-0.423096--2.018784))+0-0-0</f>
        <v>1347.7449799999997</v>
      </c>
      <c r="Z262" s="3">
        <f>2128+(226.2-1047.6)+(-3.25584+(-0.346086--1.602828))+0-0-0</f>
        <v>1304.6009020000001</v>
      </c>
      <c r="AA262" s="3">
        <f>2127.4+(219.6-1079.3)+(-3.254922+(-0.335988--1.651329))+0-0-0</f>
        <v>1265.7604190000002</v>
      </c>
      <c r="AB262" s="3">
        <f>1946.4+(147.1-920.8)+(-3.970656+(-0.300084--1.878432))+0-0-0</f>
        <v>1170.3076920000003</v>
      </c>
      <c r="AC262" s="3">
        <f>1719.1+(123.8-778.2)+(-4.383705+(-0.31569--1.98441))+0-0-0</f>
        <v>1061.9850149999997</v>
      </c>
      <c r="AD262">
        <f t="shared" si="4"/>
        <v>26435.662468999995</v>
      </c>
      <c r="AE262" s="3">
        <f>2134+(166.3-917.6)+(0+(0-0))+0-0-0</f>
        <v>1382.7</v>
      </c>
    </row>
    <row r="263" spans="1:31" s="2" customFormat="1" x14ac:dyDescent="0.25">
      <c r="A263">
        <v>89</v>
      </c>
      <c r="B263">
        <v>9</v>
      </c>
      <c r="C263">
        <v>17</v>
      </c>
      <c r="D263">
        <v>5</v>
      </c>
      <c r="E263">
        <v>1</v>
      </c>
      <c r="F263" s="3">
        <f>1542.7+(97.6-673.6)+(-4.720662+(-0.298656--2.061216))+0-0-0</f>
        <v>963.74189799999999</v>
      </c>
      <c r="G263" s="3">
        <f>1174.6+(120.3-384.2)+(-2.396184+(-0.245412--0.783768))+0-0-0</f>
        <v>908.84217199999989</v>
      </c>
      <c r="H263" s="3">
        <f>1116.8+(141-369.6)+(-2.84784+(-0.35955--0.94248))+0-0-0</f>
        <v>885.93508999999995</v>
      </c>
      <c r="I263" s="3">
        <f>1117.6+(156.3-391.6)+(0+(0-0))+0-0-0</f>
        <v>882.3</v>
      </c>
      <c r="J263" s="3">
        <f>1118.4+(137.1-374.8)+(0.570384+(0.069921-0.191148))+0-0-0</f>
        <v>881.14915700000006</v>
      </c>
      <c r="K263" s="3">
        <f>1325.4+(128.2-549.8)+(-1.351908+(-0.130764--0.560796))+0-0-0</f>
        <v>902.87812400000018</v>
      </c>
      <c r="L263" s="3">
        <f>1542+(256.1-838.8)+(0+(0-0))+0-0-0</f>
        <v>959.30000000000007</v>
      </c>
      <c r="M263" s="3">
        <f>1748.1+(257.5-1024.2)+(-1.783062+(-0.26265--1.044684))+0-0-0</f>
        <v>980.39897199999984</v>
      </c>
      <c r="N263" s="3">
        <f>1863.8+(290.9-1109)+(-2.851614+(-0.445077--1.69677))+0-0-0</f>
        <v>1044.1000789999998</v>
      </c>
      <c r="O263" s="3">
        <f>1955.2+(247.5-1136.2)+(-1.994304+(-0.25245--1.158924))+0-0-0</f>
        <v>1065.4121700000001</v>
      </c>
      <c r="P263" s="3">
        <f>1949.6+(281.4-1150.5)+(-2.982888+(-0.430542--1.760265))+0-0-0</f>
        <v>1078.8468350000001</v>
      </c>
      <c r="Q263" s="3">
        <f>1948.1+(255.2-1117.2)+(-2.980593+(-0.390456--1.709316))+0-0-0</f>
        <v>1084.438267</v>
      </c>
      <c r="R263" s="3">
        <f>1955.7+(233-1117.2)+(-4.987035+(-0.59415--2.84886))+0-0-0</f>
        <v>1068.7676750000001</v>
      </c>
      <c r="S263" s="3">
        <f>2007.3+(219.7-1171.5)+(-2.047446+(-0.224094--1.19493))+0-0-0</f>
        <v>1054.4233899999999</v>
      </c>
      <c r="T263" s="3">
        <f>2051.3+(214.1-1223.5)+(-2.092326+(-0.218382--1.24797))+0-0-0</f>
        <v>1040.837262</v>
      </c>
      <c r="U263" s="3">
        <f>1948.1+(200.6-1086.2)+(-1.987062+(-0.204612--1.107924))+0-0-0</f>
        <v>1061.41625</v>
      </c>
      <c r="V263" s="3">
        <f>2050.5+(189.9-1073.6)+(-4.18302+(-0.387396--2.190144))+0-0-0</f>
        <v>1164.4197280000001</v>
      </c>
      <c r="W263" s="3">
        <f>2129.3+(175.3-928.5)+(-1.085943+(-0.089403--0.473535))+0-0-0</f>
        <v>1375.3981890000002</v>
      </c>
      <c r="X263" s="3">
        <f>2133+(219.1-980.9)+(-3.26349+(-0.335223--1.500777))+0-0-0</f>
        <v>1369.1020640000002</v>
      </c>
      <c r="Y263" s="3">
        <f>2133.9+(244.6-1039.4)+(-4.353156+(-0.498984--2.120376))+0-0-0</f>
        <v>1336.3682359999998</v>
      </c>
      <c r="Z263" s="3">
        <f>2134+(192.7-1031.3)+(1.08834+(0.098277-0.525963))+0-0-0</f>
        <v>1296.0606540000001</v>
      </c>
      <c r="AA263" s="3">
        <f>2119.6+(207.7-1071.3)+(-2.161992+(-0.211854--1.092726))+0-0-0</f>
        <v>1254.7188799999999</v>
      </c>
      <c r="AB263" s="3">
        <f>1938.9+(194.6-954.1)+(-4.944195+(-0.49623--2.432955))+0-0-0</f>
        <v>1176.3925300000001</v>
      </c>
      <c r="AC263" s="3">
        <f>1881.2+(94.5-894.6)+(-1.918824+(-0.09639--0.912492))+0-0-0</f>
        <v>1079.9972779999998</v>
      </c>
      <c r="AD263">
        <f t="shared" si="4"/>
        <v>25915.244899999998</v>
      </c>
      <c r="AE263" s="3">
        <f>2139+(172.1-913.5)+(0+(0-0))+0-0-0</f>
        <v>1397.6</v>
      </c>
    </row>
    <row r="264" spans="1:31" s="2" customFormat="1" x14ac:dyDescent="0.25">
      <c r="A264">
        <v>89</v>
      </c>
      <c r="B264">
        <v>9</v>
      </c>
      <c r="C264">
        <v>18</v>
      </c>
      <c r="D264">
        <v>6</v>
      </c>
      <c r="E264">
        <v>1</v>
      </c>
      <c r="F264" s="3">
        <f>1719.2+(109.5-849.3)+(0.876792+(0.055845-0.433143))+0-0-0</f>
        <v>979.89949400000012</v>
      </c>
      <c r="G264" s="3">
        <f>1467.8+(127.8-675.9)+(-0.748578+(-0.065178--0.344709))+0-0-0</f>
        <v>919.23095299999989</v>
      </c>
      <c r="H264" s="3">
        <f>1407.9+(93.6-603.9)+(-0.718029+(-0.047736--0.307989))+0-0-0</f>
        <v>897.14222400000017</v>
      </c>
      <c r="I264" s="3">
        <f>1355.8+(84.3-556.1)+(0+(0-0))+0-0-0</f>
        <v>884</v>
      </c>
      <c r="J264" s="3">
        <f>1358.4+(90.4-556.4)+(2.078352+(0.138312-0.851292))+0-0-0</f>
        <v>893.76537200000007</v>
      </c>
      <c r="K264" s="3">
        <f>1358.9+(117.3-562.6)+(0.693039+(0.059823-0.286926))+0-0-0</f>
        <v>914.06593600000019</v>
      </c>
      <c r="L264" s="3">
        <f>1554.4+(184.7-787.2)+(-3.170976+(-0.376788--1.605888))+0-0-0</f>
        <v>949.95812400000011</v>
      </c>
      <c r="M264" s="3">
        <f>1694.6+(196.5-918.5)+(-1.728492+(-0.20043--0.93687))+0-0-0</f>
        <v>971.60794799999996</v>
      </c>
      <c r="N264" s="3">
        <f>1720.2+(176.6-851.6)+(3.509208+(0.360264-1.737264))+0-0-0</f>
        <v>1047.332208</v>
      </c>
      <c r="O264" s="3">
        <f>1793.4+(127.4-846.3)+(-0.914634+(-0.064974--0.431613))+0-0-0</f>
        <v>1073.9520050000001</v>
      </c>
      <c r="P264" s="3">
        <f>1810.5+(139.4-874.6)+(0.923355+(0.071094-0.446046))+0-0-0</f>
        <v>1075.848403</v>
      </c>
      <c r="Q264" s="3">
        <f>1882.1+(134.7-929.5)+(-0.959871+(-0.068697--0.474045))+0-0-0</f>
        <v>1086.7454769999999</v>
      </c>
      <c r="R264" s="3">
        <f>1880.1+(133.2-953.8)+(-4.794255+(-0.33966--2.43219))+0-0-0</f>
        <v>1056.7982750000001</v>
      </c>
      <c r="S264" s="3">
        <f>1877.9+(119.8-961.1)+(-1.915458+(-0.122196--0.980322))+0-0-0</f>
        <v>1035.5426679999998</v>
      </c>
      <c r="T264" s="3">
        <f>1852.6+(114.4-957.2)+(-0.944826+(-0.058344--0.488172))+0-0-0</f>
        <v>1009.2850019999998</v>
      </c>
      <c r="U264" s="3">
        <f>1691.4+(72-773.2)+(-1.725228+(-0.07344--0.788664))+0-0-0</f>
        <v>989.18999600000006</v>
      </c>
      <c r="V264" s="3">
        <f>1811.5+(74.8-791.8)+(0+(0-0))+0-0-0</f>
        <v>1094.5</v>
      </c>
      <c r="W264" s="3">
        <f>2127.9+(72-859.4)+(1.085229+(0.03672-0.438294))+0-0-0</f>
        <v>1341.183655</v>
      </c>
      <c r="X264" s="3">
        <f>2130.4+(107-873)+(0+(0-0))+0-0-0</f>
        <v>1364.4</v>
      </c>
      <c r="Y264" s="3">
        <f>2132.6+(151-938.2)+(-3.262878+(-0.23103--1.435446))+0-0-0</f>
        <v>1343.3415379999999</v>
      </c>
      <c r="Z264" s="3">
        <f>2132.2+(169.5-1032.4)+(-2.174844+(-0.17289--1.053048))+0-0-0</f>
        <v>1268.0053139999998</v>
      </c>
      <c r="AA264" s="3">
        <f>2116.6+(184.3-1062.6)+(1.079466+(0.093993-0.541926))+0-0-0</f>
        <v>1238.9315329999999</v>
      </c>
      <c r="AB264" s="3">
        <f>2034+(123.7-1004.6)+(-5.1867+(-0.315435--2.56173))+0-0-0</f>
        <v>1150.1595949999999</v>
      </c>
      <c r="AC264" s="3">
        <f>1919+(102-941.4)+(-7.82952+(-0.41616--3.840912))+0-0-0</f>
        <v>1075.1952319999998</v>
      </c>
      <c r="AD264">
        <f t="shared" si="4"/>
        <v>25660.080952</v>
      </c>
      <c r="AE264" s="3">
        <f>2139+(72-851.1)+(0+(0-0))+0-0-0</f>
        <v>1359.9</v>
      </c>
    </row>
    <row r="265" spans="1:31" s="2" customFormat="1" x14ac:dyDescent="0.25">
      <c r="A265">
        <v>89</v>
      </c>
      <c r="B265">
        <v>9</v>
      </c>
      <c r="C265">
        <v>19</v>
      </c>
      <c r="D265">
        <v>7</v>
      </c>
      <c r="E265">
        <v>1</v>
      </c>
      <c r="F265" s="3">
        <f>1704.3+(130.4-847.2)+(0+(0-0))+0-0-0</f>
        <v>987.49999999999989</v>
      </c>
      <c r="G265" s="3">
        <f>1363.2+(89.5-540.7)+(-2.085696+(-0.136935--0.827271))+0-0-0</f>
        <v>910.60464000000002</v>
      </c>
      <c r="H265" s="3">
        <f>1135.5+(102.2-363.3)+(-1.15821+(-0.104244--0.370566))+0-0-0</f>
        <v>873.50811199999998</v>
      </c>
      <c r="I265" s="3">
        <f>1136.3+(90.6-368.1)+(0.579513+(0.046206-0.187731))+0-0-0</f>
        <v>859.23798799999997</v>
      </c>
      <c r="J265" s="3">
        <f>1137.4+(97.4-375.6)+(-2.90037+(-0.24837--0.95778))+0-0-0</f>
        <v>857.00904000000003</v>
      </c>
      <c r="K265" s="3">
        <f>1136.6+(151.8-414.4)+(0.579666+(0.077418-0.211344))+0-0-0</f>
        <v>874.44574</v>
      </c>
      <c r="L265" s="3">
        <f>1137.3+(218.9-484.6)+(-1.160046+(-0.223278--0.494292))+0-0-0</f>
        <v>870.71096799999987</v>
      </c>
      <c r="M265" s="3">
        <f>1143.6+(217.6-540.8)+(-1.749708+(-0.332928--0.827424))+0-0-0</f>
        <v>819.14478799999995</v>
      </c>
      <c r="N265" s="3">
        <f>1306.5+(214.8-660.1)+(-1.33263+(-0.219096--0.673302))+0-0-0</f>
        <v>860.32157600000005</v>
      </c>
      <c r="O265" s="3">
        <f>1463.7+(188.7-732.6)+(-2.239461+(-0.288711--1.120878))+0-0-0</f>
        <v>918.39270599999998</v>
      </c>
      <c r="P265" s="3">
        <f>1492.7+(193-734.8)+(-3.045108+(-0.39372--1.498992))+0-0-0</f>
        <v>948.96016400000008</v>
      </c>
      <c r="Q265" s="3">
        <f>1494.6+(186.9-734.9)+(-1.524492+(-0.190638--0.749598))+0-0-0</f>
        <v>945.63446799999986</v>
      </c>
      <c r="R265" s="3">
        <f>1527.3+(183.1-779.4)+(-2.336769+(-0.280143--1.192482))+0-0-0</f>
        <v>929.57556999999997</v>
      </c>
      <c r="S265" s="3">
        <f>1529.2+(184.2-809.9)+(-3.119568+(-0.375768--1.652196))+0-0-0</f>
        <v>901.65686000000005</v>
      </c>
      <c r="T265" s="3">
        <f>1529+(172.6-819.3)+(-1.55958+(-0.176052--0.835686))+0-0-0</f>
        <v>881.40005400000007</v>
      </c>
      <c r="U265" s="3">
        <f>1474.6+(171.6-762.5)+(0+(0-0))+0-0-0</f>
        <v>883.69999999999993</v>
      </c>
      <c r="V265" s="3">
        <f>1680+(163.1-855.1)+(-4.284+(-0.415905--2.180505))+0-0-0</f>
        <v>985.48059999999998</v>
      </c>
      <c r="W265" s="3">
        <f>1917.8+(137.9-830.8)+(0.978078+(0.070329-0.423708))+0-0-0</f>
        <v>1225.5246990000001</v>
      </c>
      <c r="X265" s="3">
        <f>1922.1+(136.9-819.3)+(-0.980271+(-0.069819--0.417843))+0-0-0</f>
        <v>1239.0677529999998</v>
      </c>
      <c r="Y265" s="3">
        <f>2053+(146.4-981.7)+(-3.14109+(-0.223992--1.502001))+0-0-0</f>
        <v>1215.8369189999999</v>
      </c>
      <c r="Z265" s="3">
        <f>2048.3+(179.8-1036.9)+(-1.044633+(-0.091698--0.528819))+0-0-0</f>
        <v>1190.592488</v>
      </c>
      <c r="AA265" s="3">
        <f>2018.8+(216.2-1051.3)+(0+(0-0))+0-0-0</f>
        <v>1183.7</v>
      </c>
      <c r="AB265" s="3">
        <f>1970.5+(173.5-1016.3)+(-2.00991+(-0.17697--1.036626))+0-0-0</f>
        <v>1126.5497460000001</v>
      </c>
      <c r="AC265" s="3">
        <f>1875.7+(126.8-968.2)+(-5.739642+(-0.388008--2.962692))+0-0-0</f>
        <v>1031.1350419999999</v>
      </c>
      <c r="AD265">
        <f t="shared" si="4"/>
        <v>23519.689921000005</v>
      </c>
      <c r="AE265" s="3">
        <f>1916+(136.6-801.6)+(0+(0-0))+0-0-0</f>
        <v>1251</v>
      </c>
    </row>
    <row r="266" spans="1:31" s="2" customFormat="1" x14ac:dyDescent="0.25">
      <c r="A266">
        <v>89</v>
      </c>
      <c r="B266">
        <v>9</v>
      </c>
      <c r="C266">
        <v>20</v>
      </c>
      <c r="D266">
        <v>1</v>
      </c>
      <c r="E266">
        <v>1</v>
      </c>
      <c r="F266" s="3">
        <f>1626+(86.9-783.5)+(-2.48778+(-0.132957--1.198755))+0-0-0</f>
        <v>927.97801800000002</v>
      </c>
      <c r="G266" s="3">
        <f>1280.6+(79.3-492.4)+(1.959318+(0.121329-0.753372))+0-0-0</f>
        <v>868.82727499999999</v>
      </c>
      <c r="H266" s="3">
        <f>1272.6+(68.7-494.7)+(-1.298052+(-0.070074--0.504594))+0-0-0</f>
        <v>845.73646799999995</v>
      </c>
      <c r="I266" s="3">
        <f>1271.8+(77.2-509.8)+(0+(0-0))+0-0-0</f>
        <v>839.19999999999993</v>
      </c>
      <c r="J266" s="3">
        <f>1269.8+(133.8-564.1)+(-0.647598+(-0.068238--0.287691))+0-0-0</f>
        <v>839.07185500000003</v>
      </c>
      <c r="K266" s="3">
        <f>1301.9+(187.4-631.2)+(3.319845+(0.47787-1.60956))+0-0-0</f>
        <v>860.28815500000007</v>
      </c>
      <c r="L266" s="3">
        <f>1494+(222.1-776.2)+(-0.76194+(-0.113271--0.395862))+0-0-0</f>
        <v>939.42065100000002</v>
      </c>
      <c r="M266" s="3">
        <f>1558.7+(216-821.1)+(-0.794937+(-0.11016--0.418761))+0-0-0</f>
        <v>953.11366399999997</v>
      </c>
      <c r="N266" s="3">
        <f>1560.2+(211.2-740.1)+(0+(0-0))+0-0-0</f>
        <v>1031.3</v>
      </c>
      <c r="O266" s="3">
        <f>1503.7+(212.6-643.3)+(-1.533774+(-0.216852--0.656166))+0-0-0</f>
        <v>1071.90554</v>
      </c>
      <c r="P266" s="3">
        <f>1486.8+(206.2-611.2)+(0.758268+(0.105162-0.311712))+0-0-0</f>
        <v>1082.3517179999999</v>
      </c>
      <c r="Q266" s="3">
        <f>1563+(203.3-666.1)+(-3.98565+(-0.518415--1.698555))+0-0-0</f>
        <v>1097.3944900000001</v>
      </c>
      <c r="R266" s="3">
        <f>1606.6+(199.1-732.4)+(-3.277464+(-0.406164--1.494096))+0-0-0</f>
        <v>1071.1104679999999</v>
      </c>
      <c r="S266" s="3">
        <f>1607.4+(209.5-759.4)+(-3.279096+(-0.42738--1.549176))+0-0-0</f>
        <v>1055.3426999999999</v>
      </c>
      <c r="T266" s="3">
        <f>1608.1+(193.4-754.9)+(3.280524+(0.394536-1.539996))+0-0-0</f>
        <v>1048.735064</v>
      </c>
      <c r="U266" s="3">
        <f>1622.1+(197.3-751.4)+(-4.136355+(-0.503115--1.91607))+0-0-0</f>
        <v>1065.2765999999999</v>
      </c>
      <c r="V266" s="3">
        <f>1937.8+(182.3-945.8)+(-2.964834+(-0.278919--1.447074))+0-0-0</f>
        <v>1172.5033209999999</v>
      </c>
      <c r="W266" s="3">
        <f>2113.4+(266.4-1009.1)+(-3.233502+(-0.407592--1.543923))+0-0-0</f>
        <v>1368.6028290000002</v>
      </c>
      <c r="X266" s="3">
        <f>2007+(298.5-952.9)+(-4.09428+(-0.60894--1.943916))+0-0-0</f>
        <v>1349.840696</v>
      </c>
      <c r="Y266" s="3">
        <f>1984.8+(312-985.8)+(-3.036744+(-0.47736--1.508274))+0-0-0</f>
        <v>1308.9941699999999</v>
      </c>
      <c r="Z266" s="3">
        <f>1984.9+(254.9-974.8)+(-4.049196+(-0.519996--1.988592))+0-0-0</f>
        <v>1262.4194</v>
      </c>
      <c r="AA266" s="3">
        <f>1980.4+(262.5-1014.3)+(-3.030012+(-0.401625--1.551879))+0-0-0</f>
        <v>1226.7202420000001</v>
      </c>
      <c r="AB266" s="3">
        <f>1963.6+(99.5-892.6)+(-4.005744+(-0.20298--1.820904))+0-0-0</f>
        <v>1168.1121800000001</v>
      </c>
      <c r="AC266" s="3">
        <f>1847.2+(81.7-848.6)+(-2.826216+(-0.125001--1.298358))+0-0-0</f>
        <v>1078.6471410000001</v>
      </c>
      <c r="AD266">
        <f t="shared" si="4"/>
        <v>25532.892645</v>
      </c>
      <c r="AE266" s="3">
        <f>2041+(310.8-960.2)+(0+(0-0))+0-0-0</f>
        <v>1391.6</v>
      </c>
    </row>
    <row r="267" spans="1:31" s="2" customFormat="1" x14ac:dyDescent="0.25">
      <c r="A267">
        <v>89</v>
      </c>
      <c r="B267">
        <v>9</v>
      </c>
      <c r="C267">
        <v>21</v>
      </c>
      <c r="D267">
        <v>2</v>
      </c>
      <c r="E267">
        <v>1</v>
      </c>
      <c r="F267" s="3">
        <f>1678.6+(95.9-775.1)+(-4.28043+(-0.244545--1.976505))+0-0-0</f>
        <v>996.85152999999991</v>
      </c>
      <c r="G267" s="3">
        <f>1388.1+(95.8-546.7)+(-0.707931+(-0.048858--0.278817))+0-0-0</f>
        <v>936.7220279999998</v>
      </c>
      <c r="H267" s="3">
        <f>1349.7+(82.4-526.7)+(-2.753388+(-0.168096--1.074468))+0-0-0</f>
        <v>903.55298399999992</v>
      </c>
      <c r="I267" s="3">
        <f>1349.4+(97.1-551.9)+(2.064582+(0.148563-0.844407))+0-0-0</f>
        <v>895.96873800000014</v>
      </c>
      <c r="J267" s="3">
        <f>1349.7+(117.4-576.8)+(3.441735+(0.29937-1.47084))+0-0-0</f>
        <v>892.57026500000006</v>
      </c>
      <c r="K267" s="3">
        <f>1369.7+(126.6-588.4)+(2.095641+(0.193698-0.900252))+0-0-0</f>
        <v>909.28908700000011</v>
      </c>
      <c r="L267" s="3">
        <f>1445.3+(301.7-784.2)+(-0.737103+(-0.153867--0.399942))+0-0-0</f>
        <v>962.30897199999993</v>
      </c>
      <c r="M267" s="3">
        <f>1507.5+(339.8-873.7)+(-0.768825+(-0.173298--0.445587))+0-0-0</f>
        <v>973.10346399999992</v>
      </c>
      <c r="N267" s="3">
        <f>1601.7+(365.5-917.9)+(0+(0-0))+0-0-0</f>
        <v>1049.3000000000002</v>
      </c>
      <c r="O267" s="3">
        <f>1618.1+(367.1-861.7)+(-2.475693+(-0.561663--1.318401))+0-0-0</f>
        <v>1121.7810449999999</v>
      </c>
      <c r="P267" s="3">
        <f>1593+(330.4-846.4)+(-0.81243+(-0.168504--0.431664))+0-0-0</f>
        <v>1076.45073</v>
      </c>
      <c r="Q267" s="3">
        <f>1587.4+(334.2-845.7)+(-2.428722+(-0.511326--1.293921))+0-0-0</f>
        <v>1074.2538730000001</v>
      </c>
      <c r="R267" s="3">
        <f>1589.6+(309.7-847.5)+(-6.485568+(-1.263576--3.4578))+0-0-0</f>
        <v>1047.508656</v>
      </c>
      <c r="S267" s="3">
        <f>1586.9+(323.4-875.9)+(-0.809319+(-0.164934--0.446709))+0-0-0</f>
        <v>1033.8724560000001</v>
      </c>
      <c r="T267" s="3">
        <f>1587.1+(392.1-956.3)+(-2.428263+(-0.599913--1.463139))+0-0-0</f>
        <v>1021.334963</v>
      </c>
      <c r="U267" s="3">
        <f>1598.9+(360.8-935.8)+(2.446317+(0.552024-1.431774))+0-0-0</f>
        <v>1025.4665670000002</v>
      </c>
      <c r="V267" s="3">
        <f>1834.5+(251.7-958.1)+(-4.677975+(-0.641835--2.443155))+0-0-0</f>
        <v>1125.2233449999999</v>
      </c>
      <c r="W267" s="3">
        <f>2119.6+(228.5-996.5)+(1.080996+(0.116535-0.508215))+0-0-0</f>
        <v>1352.2893159999999</v>
      </c>
      <c r="X267" s="3">
        <f>2122+(291.6-1071.1)+(-3.24666+(-0.446148--1.638783))+0-0-0</f>
        <v>1340.4459750000001</v>
      </c>
      <c r="Y267" s="3">
        <f>2126.5+(249.7-1080)+(-3.253545+(-0.382041--1.6524))+0-0-0</f>
        <v>1294.2168140000001</v>
      </c>
      <c r="Z267" s="3">
        <f>2121.4+(261.9-1130.9)+(-2.163828+(-0.267138--1.153518))+0-0-0</f>
        <v>1251.122552</v>
      </c>
      <c r="AA267" s="3">
        <f>2073.5+(296.6-1152.7)+(0+(0-0))+0-0-0</f>
        <v>1217.4000000000001</v>
      </c>
      <c r="AB267" s="3">
        <f>1997.9+(176-1014.3)+(-3.056787+(-0.26928--1.551879))+0-0-0</f>
        <v>1157.825812</v>
      </c>
      <c r="AC267" s="3">
        <f>1742.1+(119.8-786.9)+(-1.776942+(-0.122196--0.802638))+0-0-0</f>
        <v>1073.9034999999999</v>
      </c>
      <c r="AD267">
        <f t="shared" si="4"/>
        <v>25732.762671999997</v>
      </c>
      <c r="AE267" s="3">
        <f>2122+(246.9-991.1)+(0+(0-0))+0-0-0</f>
        <v>1377.8</v>
      </c>
    </row>
    <row r="268" spans="1:31" s="2" customFormat="1" x14ac:dyDescent="0.25">
      <c r="A268">
        <v>89</v>
      </c>
      <c r="B268">
        <v>9</v>
      </c>
      <c r="C268">
        <v>22</v>
      </c>
      <c r="D268">
        <v>3</v>
      </c>
      <c r="E268">
        <v>1</v>
      </c>
      <c r="F268" s="3">
        <f>1335.9+(176.4-535)+(-4.087854+(-0.539784--1.6371))+0-0-0</f>
        <v>974.30946200000005</v>
      </c>
      <c r="G268" s="3">
        <f>1179.7+(140.6-403.4)+(-4.211529+(-0.501942--1.440138))+0-0-0</f>
        <v>913.62666700000011</v>
      </c>
      <c r="H268" s="3">
        <f>1140+(140.2-391.4)+(-1.7442+(-0.214506--0.598842))+0-0-0</f>
        <v>887.44013599999994</v>
      </c>
      <c r="I268" s="3">
        <f>1137.9+(145.3-399.4)+(0+(0-0))+0-0-0</f>
        <v>883.80000000000018</v>
      </c>
      <c r="J268" s="3">
        <f>1138.6+(159.9-418.1)+(-0.580686+(-0.081549--0.213231))+0-0-0</f>
        <v>879.95099599999992</v>
      </c>
      <c r="K268" s="3">
        <f>1147.5+(191.7-435.4)+(1.17045+(0.195534-0.444108))+0-0-0</f>
        <v>904.72187599999995</v>
      </c>
      <c r="L268" s="3">
        <f>1295+(249.2-592.4)+(-1.3209+(-0.254184--0.604248))+0-0-0</f>
        <v>950.82916399999999</v>
      </c>
      <c r="M268" s="3">
        <f>1398.6+(249.6-677.5)+(0.713286+(0.127296-0.345525))+0-0-0</f>
        <v>971.19505699999991</v>
      </c>
      <c r="N268" s="3">
        <f>1508.1+(257-727.1)+(-1.538262+(-0.26214--0.741642))+0-0-0</f>
        <v>1036.9412400000001</v>
      </c>
      <c r="O268" s="3">
        <f>1587.7+(232.8-755.1)+(0+(0-0))+0-0-0</f>
        <v>1065.4000000000001</v>
      </c>
      <c r="P268" s="3">
        <f>1586.9+(236.4-752.1)+(0+(0-0))+0-0-0</f>
        <v>1071.2</v>
      </c>
      <c r="Q268" s="3">
        <f>1586.7+(225.2-740.8)+(0+(0-0))+0-0-0</f>
        <v>1071.1000000000001</v>
      </c>
      <c r="R268" s="3">
        <f>1587+(204.7-754.5)+(0+(0-0))+0-0-0</f>
        <v>1037.2</v>
      </c>
      <c r="S268" s="3">
        <f>1587.5+(213-780)+(0+(0-0))+0-0-0</f>
        <v>1020.5</v>
      </c>
      <c r="T268" s="3">
        <f>1588+(218.5-794.2)+(0+(0-0))+0-0-0</f>
        <v>1012.3</v>
      </c>
      <c r="U268" s="3">
        <f>1589.5+(256.6-808.1)+(0+(0-0))+0-0-0</f>
        <v>1038</v>
      </c>
      <c r="V268" s="3">
        <f>1590.3+(242-680.7)+(0+(0-0))+0-0-0</f>
        <v>1151.5999999999999</v>
      </c>
      <c r="W268" s="3">
        <f>1638.3+(218.1-622.9)+(0+(0-0))+0-0-0</f>
        <v>1233.5</v>
      </c>
      <c r="X268" s="3">
        <f>1907.3+(207.8-786.7)+(0+(0-0))+0-0-0</f>
        <v>1328.3999999999999</v>
      </c>
      <c r="Y268" s="3">
        <f>1917.3+(239.1-858.9)+(0+(0-0))+0-0-0</f>
        <v>1297.5</v>
      </c>
      <c r="Z268" s="3">
        <f>1920.3+(253.3-926.2)+(0+(0-0))+0-0-0</f>
        <v>1247.3999999999999</v>
      </c>
      <c r="AA268" s="3">
        <f>1920.6+(248.6-961.3)+(0+(0-0))+0-0-0</f>
        <v>1207.9000000000001</v>
      </c>
      <c r="AB268" s="3">
        <f>1854.7+(134.2-821)+(0+(0-0))+0-0-0</f>
        <v>1167.9000000000001</v>
      </c>
      <c r="AC268" s="3">
        <f>1587.1+(82.1-599.2)+(0+(0-0))+0-0-0</f>
        <v>1070</v>
      </c>
      <c r="AD268">
        <f t="shared" si="4"/>
        <v>25422.714598000006</v>
      </c>
      <c r="AE268" s="3">
        <f>1930+(243-768.3)+(0+(0-0))+0-0-0</f>
        <v>1404.7</v>
      </c>
    </row>
    <row r="269" spans="1:31" s="2" customFormat="1" x14ac:dyDescent="0.25">
      <c r="A269">
        <v>89</v>
      </c>
      <c r="B269">
        <v>9</v>
      </c>
      <c r="C269">
        <v>23</v>
      </c>
      <c r="D269">
        <v>4</v>
      </c>
      <c r="E269">
        <v>1</v>
      </c>
      <c r="F269" s="3">
        <f>1257.1+(140.2-406.8)+(0+(0-0))+0-0-0</f>
        <v>990.49999999999989</v>
      </c>
      <c r="G269" s="3">
        <f>1121.5+(192.6-388.3)+(0+(0-0))+0-0-0</f>
        <v>925.8</v>
      </c>
      <c r="H269" s="3">
        <f>1121.7+(186.6-416.8)+(0+(0-0))+0-0-0</f>
        <v>891.5</v>
      </c>
      <c r="I269" s="3">
        <f>1107.5+(206.3-456.5)+(0+(0-0))+0-0-0</f>
        <v>857.3</v>
      </c>
      <c r="J269" s="3">
        <f>1091+(179.9-457.8)+(0+(0-0))+0-0-0</f>
        <v>813.1</v>
      </c>
      <c r="K269" s="3">
        <f>1118.8+(170.3-491.3)+(0+(0-0))+0-0-0</f>
        <v>797.8</v>
      </c>
      <c r="L269" s="3">
        <f>1208.4+(228.5-568.4)+(0+(0-0))+0-0-0</f>
        <v>868.50000000000011</v>
      </c>
      <c r="M269" s="3">
        <f>1309.6+(250.5-642.9)+(0+(0-0))+0-0-0</f>
        <v>917.19999999999993</v>
      </c>
      <c r="N269" s="3">
        <f>1519.5+(256.3-776)+(0+(0-0))+0-0-0</f>
        <v>999.8</v>
      </c>
      <c r="O269" s="3">
        <f>1825.9+(232.5-986.4)+(0+(0-0))+0-0-0</f>
        <v>1072</v>
      </c>
      <c r="P269" s="3">
        <f>1894.2+(229.9-1001.4)+(0+(0-0))+0-0-0</f>
        <v>1122.7</v>
      </c>
      <c r="Q269" s="3">
        <f>1893.6+(233-980.1)+(0+(0-0))+0-0-0</f>
        <v>1146.5</v>
      </c>
      <c r="R269" s="3">
        <f>1897+(230.9-1040.4)+(-4.83735+(-0.588795--2.65302))+0-0-0</f>
        <v>1084.7268750000001</v>
      </c>
      <c r="S269" s="3">
        <f>1893.3+(222.3-1051.3)+(-0.965583+(-0.113373--0.536163))+0-0-0</f>
        <v>1063.7572069999999</v>
      </c>
      <c r="T269" s="3">
        <f>1878.5+(204.6-1042.4)+(-2.874105+(-0.313038--1.594872))+0-0-0</f>
        <v>1039.1077289999998</v>
      </c>
      <c r="U269" s="3">
        <f>1815.8+(188.5-977.9)+(-4.63029+(-0.480675--2.493645))+0-0-0</f>
        <v>1023.7826800000001</v>
      </c>
      <c r="V269" s="3">
        <f>1845.4+(189.8-930.8)+(-4.70577+(-0.48399--2.37354))+0-0-0</f>
        <v>1101.5837800000002</v>
      </c>
      <c r="W269" s="3">
        <f>1928.5+(181.4-791.2)+(-1.96707+(-0.185028--0.807024))+0-0-0</f>
        <v>1317.3549259999998</v>
      </c>
      <c r="X269" s="3">
        <f>1927.2+(204.7-819.4)+(-4.91436+(-0.521985--2.08947))+0-0-0</f>
        <v>1309.153125</v>
      </c>
      <c r="Y269" s="3">
        <f>1861.8+(202.6-808.6)+(-0.949518+(-0.103326--0.412386))+0-0-0</f>
        <v>1255.1595419999999</v>
      </c>
      <c r="Z269" s="3">
        <f>1735.5+(227.3-761.7)+(-3.54042+(-0.463692--1.553868))+0-0-0</f>
        <v>1198.6497559999998</v>
      </c>
      <c r="AA269" s="3">
        <f>1160.7+(312.9-336.8)+(0+(0-0))+0-0-0</f>
        <v>1136.8</v>
      </c>
      <c r="AB269" s="3">
        <f>1143+(260.3-307.7)+(-2.33172+(-0.531012--0.627708))+0-0-0</f>
        <v>1093.3649759999998</v>
      </c>
      <c r="AC269" s="3">
        <f>1144.8+(198.3-305.1)+(-0.583848+(-0.101133--0.155601))+0-0-0</f>
        <v>1037.4706200000001</v>
      </c>
      <c r="AD269">
        <f t="shared" si="4"/>
        <v>25063.611216000001</v>
      </c>
      <c r="AE269" s="3">
        <f>1937+(178.4-757.1)+(0+(0-0))+0-0-0</f>
        <v>1358.3</v>
      </c>
    </row>
    <row r="270" spans="1:31" s="2" customFormat="1" x14ac:dyDescent="0.25">
      <c r="A270">
        <v>89</v>
      </c>
      <c r="B270">
        <v>9</v>
      </c>
      <c r="C270">
        <v>24</v>
      </c>
      <c r="D270">
        <v>5</v>
      </c>
      <c r="E270">
        <v>5</v>
      </c>
      <c r="F270" s="3">
        <f>1143.7+(164.9-345.1)+(-1.166574+(-0.168198--0.352002))+0-0-0</f>
        <v>962.51723000000004</v>
      </c>
      <c r="G270" s="3">
        <f>1141+(149-395.8)+(1.16382+(0.15198-0.403716))+0-0-0</f>
        <v>895.1120840000001</v>
      </c>
      <c r="H270" s="3">
        <f>1138+(109.9-399.5)+(0+(0-0))+0-0-0</f>
        <v>848.4</v>
      </c>
      <c r="I270" s="3">
        <f>1142+(96.4-406.1)+(0.58242+(0.049164-0.207111))+0-0-0</f>
        <v>832.72447299999999</v>
      </c>
      <c r="J270" s="3">
        <f>1144.1+(105.9-417.7)+(0.583491+(0.054009-0.213027))+0-0-0</f>
        <v>832.72447299999999</v>
      </c>
      <c r="K270" s="3">
        <f>1181.7+(128.3-470.4)+(-0.602667+(-0.065433--0.239904))+0-0-0</f>
        <v>839.17180400000018</v>
      </c>
      <c r="L270" s="3">
        <f>1264.1+(232.5-653.8)+(-0.644691+(-0.118575--0.333438))+0-0-0</f>
        <v>842.37017199999991</v>
      </c>
      <c r="M270" s="3">
        <f>1370.2+(200.9-786.9)+(-1.397604+(-0.204918--0.802638))+0-0-0</f>
        <v>783.40011600000003</v>
      </c>
      <c r="N270" s="3">
        <f>1385.9+(215.6-787.5)+(1.413618+(0.219912-0.80325))+0-0-0</f>
        <v>814.83028000000013</v>
      </c>
      <c r="O270" s="3">
        <f>1388.2+(206.2-755.8)+(0.707982+(0.105162-0.385458))+0-0-0</f>
        <v>839.02768600000013</v>
      </c>
      <c r="P270" s="3">
        <f>1386.2+(209.1-742.9)+(-2.827848+(-0.426564--1.515516))+0-0-0</f>
        <v>850.66110400000014</v>
      </c>
      <c r="Q270" s="3">
        <f>1383.2+(192.2-722.1)+(-3.52716+(-0.49011--1.841355))+0-0-0</f>
        <v>851.12408499999992</v>
      </c>
      <c r="R270" s="3">
        <f>1384.5+(190.8-741.8)+(-1.41219+(-0.194616--0.756636))+0-0-0</f>
        <v>832.64982999999995</v>
      </c>
      <c r="S270" s="3">
        <f>1383.6+(196.8-775.7)+(-2.116908+(-0.301104--1.186821))+0-0-0</f>
        <v>803.46880899999985</v>
      </c>
      <c r="T270" s="3">
        <f>1383.8+(215.1-800.9)+(-2.822952+(-0.438804--1.633836))+0-0-0</f>
        <v>796.37207999999998</v>
      </c>
      <c r="U270" s="3">
        <f>1383.9+(231.1-817.8)+(-2.117367+(-0.353583--1.251234))+0-0-0</f>
        <v>795.98028400000021</v>
      </c>
      <c r="V270" s="3">
        <f>1436.3+(211.3-770.5)+(1.465026+(0.215526-0.78591))+0-0-0</f>
        <v>877.99464199999989</v>
      </c>
      <c r="W270" s="3">
        <f>1871.8+(225.2-986.2)+(-0.954618+(-0.114852--0.502962))+0-0-0</f>
        <v>1110.2334919999998</v>
      </c>
      <c r="X270" s="3">
        <f>1926.6+(223.4-1034.7)+(-5.895396+(-0.683604--3.166182))+0-0-0</f>
        <v>1111.8871819999997</v>
      </c>
      <c r="Y270" s="3">
        <f>1696.6+(228.6-845.1)+(-3.461064+(-0.466344--1.724004))+0-0-0</f>
        <v>1077.8965959999998</v>
      </c>
      <c r="Z270" s="3">
        <f>1469+(226.6-655.2)+(0.74919+(0.115566-0.334152))+0-0-0</f>
        <v>1040.9306040000001</v>
      </c>
      <c r="AA270" s="3">
        <f>1311.3+(267.2-552.1)+(-0.668763+(-0.136272--0.281571))+0-0-0</f>
        <v>1025.8765359999998</v>
      </c>
      <c r="AB270" s="3">
        <f>1194+(199.6-394.5)+(-1.21788+(-0.203592--0.40239))+0-0-0</f>
        <v>998.080918</v>
      </c>
      <c r="AC270" s="3">
        <f>1137+(220.9-414)+(-1.73961+(-0.337977--0.63342))+0-0-0</f>
        <v>942.45583299999998</v>
      </c>
      <c r="AD270">
        <f t="shared" si="4"/>
        <v>21605.890313</v>
      </c>
      <c r="AE270" s="3">
        <f>1936+(208.8-1014.7)+(0+(0-0))+0-0-0</f>
        <v>1130.0999999999999</v>
      </c>
    </row>
    <row r="271" spans="1:31" s="2" customFormat="1" x14ac:dyDescent="0.25">
      <c r="A271">
        <v>89</v>
      </c>
      <c r="B271">
        <v>9</v>
      </c>
      <c r="C271">
        <v>25</v>
      </c>
      <c r="D271">
        <v>6</v>
      </c>
      <c r="E271">
        <v>5</v>
      </c>
      <c r="F271" s="3">
        <f>1141+(196.2-452.4)+(-2.32764+(-0.400248--0.922896))+0-0-0</f>
        <v>882.99500799999998</v>
      </c>
      <c r="G271" s="3">
        <f>1121.7+(161.7-444.4)+(-1.716201+(-0.247401--0.679932))+0-0-0</f>
        <v>837.71632999999997</v>
      </c>
      <c r="H271" s="3">
        <f>1115+(161-466.9)+(-1.1373+(-0.16422--0.476238))+0-0-0</f>
        <v>808.27471800000001</v>
      </c>
      <c r="I271" s="3">
        <f>1112.8+(106.2-431.3)+(-2.83764+(-0.27081--1.099815))+0-0-0</f>
        <v>785.69136499999991</v>
      </c>
      <c r="J271" s="3">
        <f>1112.2+(108.8-431.4)+(-1.134444+(-0.110976--0.440028))+0-0-0</f>
        <v>788.79460800000015</v>
      </c>
      <c r="K271" s="3">
        <f>1112.1+(124.8-442)+(0+(0-0))+0-0-0</f>
        <v>794.89999999999986</v>
      </c>
      <c r="L271" s="3">
        <f>1110.8+(285.9-605.6)+(-2.266032+(-0.583236--1.235424))+0-0-0</f>
        <v>789.48615599999994</v>
      </c>
      <c r="M271" s="3">
        <f>1109.7+(243.5-631)+(-1.131894+(-0.24837--0.64362))+0-0-0</f>
        <v>721.46335600000009</v>
      </c>
      <c r="N271" s="3">
        <f>1106.2+(268.5-641)+(-0.564162+(-0.136935--0.32691))+0-0-0</f>
        <v>733.32581300000004</v>
      </c>
      <c r="O271" s="3">
        <f>1107.8+(309.8-687.5)+(1.129956+(0.315996-0.70125))+0-0-0</f>
        <v>730.84470199999987</v>
      </c>
      <c r="P271" s="3">
        <f>1109.5+(305.6-708)+(-3.960915+(-1.090992--2.52756))+0-0-0</f>
        <v>704.57565299999999</v>
      </c>
      <c r="Q271" s="3">
        <f>1110.7+(227.9-647.6)+(-1.132914+(-0.232458--0.660552))+0-0-0</f>
        <v>690.29517999999996</v>
      </c>
      <c r="R271" s="3">
        <f>1111.2+(225.5-647.5)+(0.566712+(0.115005-0.330225))+0-0-0</f>
        <v>689.55149200000005</v>
      </c>
      <c r="S271" s="3">
        <f>1111.5+(270.4-685.5)+(-1.13373+(-0.275808--0.69921))+0-0-0</f>
        <v>695.68967199999997</v>
      </c>
      <c r="T271" s="3">
        <f>1110.8+(293-693.8)+(-2.83254+(-0.74715--1.76919))+0-0-0</f>
        <v>708.18949999999995</v>
      </c>
      <c r="U271" s="3">
        <f>1111.1+(254-648.4)+(0+(0-0))+0-0-0</f>
        <v>716.69999999999993</v>
      </c>
      <c r="V271" s="3">
        <f>1176.9+(181.4-561.5)+(-1.800657+(-0.277542--0.859095))+0-0-0</f>
        <v>795.58089600000005</v>
      </c>
      <c r="W271" s="3">
        <f>1546.6+(206.7-720.6)+(-3.94383+(-0.527085--1.83753))+0-0-0</f>
        <v>1030.0666149999997</v>
      </c>
      <c r="X271" s="3">
        <f>1748.1+(214.2-895.4)+(-1.783062+(-0.218484--0.913308))+0-0-0</f>
        <v>1065.8117619999998</v>
      </c>
      <c r="Y271" s="3">
        <f>1747.9+(221.2-906.5)+(0+(0-0))+0-0-0</f>
        <v>1062.6000000000001</v>
      </c>
      <c r="Z271" s="3">
        <f>1649.3+(226.6-815.7)+(-2.523429+(-0.346698--1.248021))+0-0-0</f>
        <v>1058.5778939999998</v>
      </c>
      <c r="AA271" s="3">
        <f>1546.5+(174.9-667.1)+(0.788715+(0.089199-0.340221))+0-0-0</f>
        <v>1054.8376929999999</v>
      </c>
      <c r="AB271" s="3">
        <f>1431.9+(187-608.4)+(-1.460538+(-0.19074--0.620568))+0-0-0</f>
        <v>1009.4692900000001</v>
      </c>
      <c r="AC271" s="3">
        <f>1342.5+(162.9-575.1)+(-1.36935+(-0.166158--0.586602))+0-0-0</f>
        <v>929.35109399999999</v>
      </c>
      <c r="AD271">
        <f t="shared" si="4"/>
        <v>20084.788797000005</v>
      </c>
      <c r="AE271" s="3">
        <f>1748+(217.2-906.5)+(0+(0-0))+0-0-0</f>
        <v>1058.7</v>
      </c>
    </row>
    <row r="272" spans="1:31" s="2" customFormat="1" x14ac:dyDescent="0.25">
      <c r="A272">
        <v>89</v>
      </c>
      <c r="B272">
        <v>9</v>
      </c>
      <c r="C272">
        <v>26</v>
      </c>
      <c r="D272">
        <v>7</v>
      </c>
      <c r="E272">
        <v>1</v>
      </c>
      <c r="F272" s="3">
        <f>1227.7+(181.3-552.3)+(-1.878381+(-0.277389--0.845019))+0-0-0</f>
        <v>855.38924900000006</v>
      </c>
      <c r="G272" s="3">
        <f>1151.7+(137.3-483.4)+(0+(0-0))+0-0-0</f>
        <v>805.60000000000014</v>
      </c>
      <c r="H272" s="3">
        <f>1134.9+(110.2-459.8)+(-4.051593+(-0.393414--1.641486))+0-0-0</f>
        <v>782.49647900000002</v>
      </c>
      <c r="I272" s="3">
        <f>1136.2+(106.2-461)+(0+(0-0))+0-0-0</f>
        <v>781.40000000000009</v>
      </c>
      <c r="J272" s="3">
        <f>1137+(108.3-465.6)+(0+(0-0))+0-0-0</f>
        <v>779.7</v>
      </c>
      <c r="K272" s="3">
        <f>1136.9+(113.2-461)+(1.739457+(0.173196-0.70533))+0-0-0</f>
        <v>790.30732300000011</v>
      </c>
      <c r="L272" s="3">
        <f>1137.3+(272.5-603.5)+(-1.740069+(-0.416925--0.923355))+0-0-0</f>
        <v>805.06636099999992</v>
      </c>
      <c r="M272" s="3">
        <f>1182.5+(236.6-646.1)+(-1.809225+(-0.361998--0.988533))+0-0-0</f>
        <v>771.81731000000002</v>
      </c>
      <c r="N272" s="3">
        <f>1311.5+(241.4-735.3)+(0+(0-0))+0-0-0</f>
        <v>817.6</v>
      </c>
      <c r="O272" s="3">
        <f>1232.3+(326.6-697.6)+(0.628473+(0.166566-0.355776))+0-0-0</f>
        <v>861.73926299999994</v>
      </c>
      <c r="P272" s="3">
        <f>1416.4+(310.5-815.1)+(-3.61182+(-0.791775--2.078505))+0-0-0</f>
        <v>909.47491000000002</v>
      </c>
      <c r="Q272" s="3">
        <f>1498.5+(295.1-861.9)+(-1.52847+(-0.301002--0.879138))+0-0-0</f>
        <v>930.74966600000005</v>
      </c>
      <c r="R272" s="3">
        <f>1536.6+(297.4-924.3)+(-0.783666+(-0.151674--0.471393))+0-0-0</f>
        <v>909.23605299999997</v>
      </c>
      <c r="S272" s="3">
        <f>1536.4+(303.8-952.9)+(-2.350692+(-0.464814--1.457937))+0-0-0</f>
        <v>885.94243100000017</v>
      </c>
      <c r="T272" s="3">
        <f>1536.5+(297.9-955.8)+(-2.350845+(-0.455787--1.462374))+0-0-0</f>
        <v>877.25574200000005</v>
      </c>
      <c r="U272" s="3">
        <f>1536.3+(197.6-845.4)+(-2.350539+(-0.302328--1.293462))+0-0-0</f>
        <v>887.14059499999996</v>
      </c>
      <c r="V272" s="3">
        <f>1723.8+(191.4-952.5)+(-2.637414+(-0.292842--1.457325))+0-0-0</f>
        <v>961.22706899999991</v>
      </c>
      <c r="W272" s="3">
        <f>1924.8+(207.2-921.2)+(-0.981648+(-0.105672--0.469812))+0-0-0</f>
        <v>1210.1824919999999</v>
      </c>
      <c r="X272" s="3">
        <f>1926.9+(207.9-893.3)+(-3.930876+(-0.424116--1.822332))+0-0-0</f>
        <v>1238.9673399999999</v>
      </c>
      <c r="Y272" s="3">
        <f>1927.9+(215.5-911)+(-2.949687+(-0.329715--1.39383))+0-0-0</f>
        <v>1230.5144280000002</v>
      </c>
      <c r="Z272" s="3">
        <f>1930.3+(205.7-931.3)+(-3.937812+(-0.419628--1.899852))+0-0-0</f>
        <v>1202.2424120000001</v>
      </c>
      <c r="AA272" s="3">
        <f>1929.5+(223.9-980.7)+(-1.96809+(-0.228378--1.000314))+0-0-0</f>
        <v>1171.5038459999998</v>
      </c>
      <c r="AB272" s="3">
        <f>1731.4+(136.3-775.2)+(-4.41507+(-0.347565--1.97676))+0-0-0</f>
        <v>1089.714125</v>
      </c>
      <c r="AC272" s="3">
        <f>1595.7+(98.3-698.4)+(-2.441421+(-0.150399--1.068552))+0-0-0</f>
        <v>994.07673199999999</v>
      </c>
      <c r="AD272">
        <f t="shared" si="4"/>
        <v>22549.343826</v>
      </c>
      <c r="AE272" s="3">
        <f>1925+(201.8-889)+(0+(0-0))+0-0-0</f>
        <v>1237.8</v>
      </c>
    </row>
    <row r="273" spans="1:31" s="2" customFormat="1" x14ac:dyDescent="0.25">
      <c r="A273">
        <v>89</v>
      </c>
      <c r="B273">
        <v>9</v>
      </c>
      <c r="C273">
        <v>27</v>
      </c>
      <c r="D273">
        <v>1</v>
      </c>
      <c r="E273">
        <v>1</v>
      </c>
      <c r="F273" s="3">
        <f>1282.7+(79.1-479.2)+(-1.962531+(-0.121023--0.733176))+0-0-0</f>
        <v>881.24962200000004</v>
      </c>
      <c r="G273" s="3">
        <f>1143.3+(89.4-404.5)+(-2.915415+(-0.22797--1.031475))+0-0-0</f>
        <v>826.08808999999997</v>
      </c>
      <c r="H273" s="3">
        <f>1137.9+(79.6-410.4)+(-1.160658+(-0.081192--0.418608))+0-0-0</f>
        <v>806.27675800000009</v>
      </c>
      <c r="I273" s="3">
        <f>1138.5+(100.9-438.3)+(-1.16127+(-0.102918--0.447066))+0-0-0</f>
        <v>800.28287799999998</v>
      </c>
      <c r="J273" s="3">
        <f>1138.8+(150.8-479.8)+(0+(0-0))+0-0-0</f>
        <v>809.8</v>
      </c>
      <c r="K273" s="3">
        <f>1177.9+(144.2-488.9)+(-1.201458+(-0.147084--0.498678))+0-0-0</f>
        <v>832.35013600000002</v>
      </c>
      <c r="L273" s="3">
        <f>1305.7+(257.6-666.6)+(0+(0-0))+0-0-0</f>
        <v>896.7</v>
      </c>
      <c r="M273" s="3">
        <f>1520.7+(310.9-900.3)+(0+(0-0))+0-0-0</f>
        <v>931.30000000000007</v>
      </c>
      <c r="N273" s="3">
        <f>1539+(249.1-780.6)+(0+(0-0))+0-0-0</f>
        <v>1007.5</v>
      </c>
      <c r="O273" s="3">
        <f>1646.6+(194.8-788)+(0+(0-0))+0-0-0</f>
        <v>1053.3999999999999</v>
      </c>
      <c r="P273" s="3">
        <f>1876.1+(183.4-969.5)+(0+(0-0))+0-0-0</f>
        <v>1090</v>
      </c>
      <c r="Q273" s="3">
        <f>1859.6+(196.2-966.8)+(0+(0-0))+0-0-0</f>
        <v>1089</v>
      </c>
      <c r="R273" s="3">
        <f>1853.5+(202.7-970.5)+(-0.945285+(-0.103377--0.494955))+0-0-0</f>
        <v>1085.146293</v>
      </c>
      <c r="S273" s="3">
        <f>1853.6+(221.3-1022.9)+(-0.945336+(-0.112863--0.521679))+0-0-0</f>
        <v>1051.4634799999999</v>
      </c>
      <c r="T273" s="3">
        <f>1853.7+(203-1021.9)+(0+(0-0))+0-0-0</f>
        <v>1034.8000000000002</v>
      </c>
      <c r="U273" s="3">
        <f>1852.6+(246.7-1058.4)+(2.834478+(0.377451-1.619352))+0-0-0</f>
        <v>1042.4925769999998</v>
      </c>
      <c r="V273" s="3">
        <f>1875.7+(209.1-938)+(1.913214+(0.213282-0.95676))+0-0-0</f>
        <v>1147.9697360000002</v>
      </c>
      <c r="W273" s="3">
        <f>1911.8+(219.4-781)+(0+(0-0))+0-0-0</f>
        <v>1350.1999999999998</v>
      </c>
      <c r="X273" s="3">
        <f>1924.2+(212-782.2)+(-0.981342+(-0.10812--0.398922))+0-0-0</f>
        <v>1353.3094599999999</v>
      </c>
      <c r="Y273" s="3">
        <f>1924.1+(240.8-832.6)+(-4.906455+(-0.61404--2.12313))+0-0-0</f>
        <v>1328.9026349999999</v>
      </c>
      <c r="Z273" s="3">
        <f>1923.8+(299.3-926.8)+(0.981138+(0.152643-0.472668))+0-0-0</f>
        <v>1296.9611129999998</v>
      </c>
      <c r="AA273" s="3">
        <f>1920.9+(327.3-990.5)+(-0.979659+(-0.166923--0.505155))+0-0-0</f>
        <v>1257.058573</v>
      </c>
      <c r="AB273" s="3">
        <f>1900.8+(192.2-920.9)+(-1.938816+(-0.196044--0.939318))+0-0-0</f>
        <v>1170.904458</v>
      </c>
      <c r="AC273" s="3">
        <f>1741.7+(124-812.7)+(-0.888267+(-0.06324--0.414477))+0-0-0</f>
        <v>1052.46297</v>
      </c>
      <c r="AD273">
        <f t="shared" si="4"/>
        <v>25195.618779</v>
      </c>
      <c r="AE273" s="3">
        <f>1920+(203.3-776.1)+(0+(0-0))+0-0-0</f>
        <v>1347.2</v>
      </c>
    </row>
    <row r="274" spans="1:31" s="2" customFormat="1" x14ac:dyDescent="0.25">
      <c r="A274">
        <v>89</v>
      </c>
      <c r="B274">
        <v>9</v>
      </c>
      <c r="C274">
        <v>28</v>
      </c>
      <c r="D274">
        <v>2</v>
      </c>
      <c r="E274">
        <v>1</v>
      </c>
      <c r="F274" s="3">
        <f>1420.1+(187-633.5)+(0+(0-0))+0-0-0</f>
        <v>973.59999999999991</v>
      </c>
      <c r="G274" s="3">
        <f>1132.5+(171-400)+(-1.732725+(-0.26163--0.612))+0-0-0</f>
        <v>902.11764500000004</v>
      </c>
      <c r="H274" s="3">
        <f>1132.4+(140-392.2)+(-1.732572+(-0.2142--0.600066))+0-0-0</f>
        <v>878.85329400000001</v>
      </c>
      <c r="I274" s="3">
        <f>1133.5+(131.5-396.2)+(0+(0-0))+0-0-0</f>
        <v>868.8</v>
      </c>
      <c r="J274" s="3">
        <f>1133.9+(134.6-398)+(0+(0-0))+0-0-0</f>
        <v>870.50000000000011</v>
      </c>
      <c r="K274" s="3">
        <f>1135+(161.9-413.9)+(-1.73655+(-0.247707--0.633267))+0-0-0</f>
        <v>881.64900999999998</v>
      </c>
      <c r="L274" s="3">
        <f>1250.7+(255.2-566.6)+(0+(0-0))+0-0-0</f>
        <v>939.3</v>
      </c>
      <c r="M274" s="3">
        <f>1435.8+(245.9-715.7)+(0+(0-0))+0-0-0</f>
        <v>965.99999999999989</v>
      </c>
      <c r="N274" s="3">
        <f>1450.6+(284.5-703.3)+(-0.739806+(-0.145095--0.358683))+0-0-0</f>
        <v>1031.273782</v>
      </c>
      <c r="O274" s="3">
        <f>1713.8+(272.4-922)+(0+(0-0))+0-0-0</f>
        <v>1064.1999999999998</v>
      </c>
      <c r="P274" s="3">
        <f>1756.9+(246.3-933.5)+(0+(0-0))+0-0-0</f>
        <v>1069.7</v>
      </c>
      <c r="Q274" s="3">
        <f>1836.9+(243.2-990.6)+(-3.747276+(-0.496128--2.020824))+0-0-0</f>
        <v>1087.2774199999999</v>
      </c>
      <c r="R274" s="3">
        <f>1842.1+(223.1-990)+(-2.818413+(-0.341343--1.5147))+0-0-0</f>
        <v>1073.5549439999998</v>
      </c>
      <c r="S274" s="3">
        <f>1842.7+(225.7-992.6)+(-1.879554+(-0.230214--1.012452))+0-0-0</f>
        <v>1074.7026839999999</v>
      </c>
      <c r="T274" s="3">
        <f>1846.4+(231.5-1008.3)+(-1.883328+(-0.23613--1.028466))+0-0-0</f>
        <v>1068.5090080000002</v>
      </c>
      <c r="U274" s="3">
        <f>1880.6+(226.7-1016.5)+(-1.918212+(-0.231234--1.03683))+0-0-0</f>
        <v>1089.6873840000001</v>
      </c>
      <c r="V274" s="3">
        <f>1982.9+(225.8-1026.2)+(0+(0-0))+0-0-0</f>
        <v>1182.5</v>
      </c>
      <c r="W274" s="3">
        <f>2115.5+(243.1-998.8)+(-1.078905+(-0.123981--0.509388))+0-0-0</f>
        <v>1359.1065020000001</v>
      </c>
      <c r="X274" s="3">
        <f>2227.1+(219.8-1077.3)+(-3.407463+(-0.336294--1.648269))+0-0-0</f>
        <v>1367.504512</v>
      </c>
      <c r="Y274" s="3">
        <f>2157.2+(219.6-1036.8)+(-3.300516+(-0.335988--1.586304))+0-0-0</f>
        <v>1337.9498000000001</v>
      </c>
      <c r="Z274" s="3">
        <f>1918.8+(225-848.6)+(-0.978588+(-0.11475--0.432786))+0-0-0</f>
        <v>1294.5394479999998</v>
      </c>
      <c r="AA274" s="3">
        <f>1917.4+(223.6-898.7)+(-2.933622+(-0.342108--1.375011))+0-0-0</f>
        <v>1240.3992810000002</v>
      </c>
      <c r="AB274" s="3">
        <f>1883+(157.1-883.7)+(-2.88099+(-0.240363--1.352061))+0-0-0</f>
        <v>1154.6307080000001</v>
      </c>
      <c r="AC274" s="3">
        <f>1673.4+(151.7-776.8)+(-1.706868+(-0.154734--0.792336))+0-0-0</f>
        <v>1047.2307340000002</v>
      </c>
      <c r="AD274">
        <f t="shared" si="4"/>
        <v>25823.586156000005</v>
      </c>
      <c r="AE274" s="3">
        <f>2238+(234-1043)+(0+(0-0))+0-0-0</f>
        <v>1429</v>
      </c>
    </row>
    <row r="275" spans="1:31" s="2" customFormat="1" x14ac:dyDescent="0.25">
      <c r="A275">
        <v>89</v>
      </c>
      <c r="B275">
        <v>9</v>
      </c>
      <c r="C275">
        <v>29</v>
      </c>
      <c r="D275">
        <v>3</v>
      </c>
      <c r="E275">
        <v>1</v>
      </c>
      <c r="F275" s="3">
        <f>1426.8+(147.3-613.7)+(-3.63834+(-0.375615--1.564935))+0-0-0</f>
        <v>957.95097999999984</v>
      </c>
      <c r="G275" s="3">
        <f>1180.3+(118.4-409.1)+(0.601953+(0.060384-0.208641))+0-0-0</f>
        <v>890.05369599999995</v>
      </c>
      <c r="H275" s="3">
        <f>1123.1+(123-378.7)+(-1.145562+(-0.12546--0.386274))+0-0-0</f>
        <v>866.51525199999992</v>
      </c>
      <c r="I275" s="3">
        <f>1123.4+(112.2-378.9)+(-0.572934+(-0.057222--0.193239))+0-0-0</f>
        <v>856.26308300000005</v>
      </c>
      <c r="J275" s="3">
        <f>1184+(147.3-470.9)+(1.20768+(0.150246-0.480318))+0-0-0</f>
        <v>861.2776080000001</v>
      </c>
      <c r="K275" s="3">
        <f>1374.9+(128.2-618.5)+(-2.804796+(-0.261528--1.26174))+0-0-0</f>
        <v>882.79541600000016</v>
      </c>
      <c r="L275" s="3">
        <f>1513.9+(198.2-767.4)+(-1.544178+(-0.202164--0.782748))+0-0-0</f>
        <v>943.7364060000001</v>
      </c>
      <c r="M275" s="3">
        <f>1717.6+(212.1-955.8)+(-0.875976+(-0.108171--0.487458))+0-0-0</f>
        <v>973.40331100000003</v>
      </c>
      <c r="N275" s="3">
        <f>1717.5+(248.2-939.8)+(-2.627775+(-0.379746--1.437894))+0-0-0</f>
        <v>1024.330373</v>
      </c>
      <c r="O275" s="3">
        <f>1794.1+(247.3-979)+(-1.829982+(-0.252246--0.99858))+0-0-0</f>
        <v>1061.3163519999998</v>
      </c>
      <c r="P275" s="3">
        <f>1937.8+(232-1083.4)+(-2.964834+(-0.35496--1.657602))+0-0-0</f>
        <v>1084.7378079999999</v>
      </c>
      <c r="Q275" s="3">
        <f>2012.7+(232.6-1172.9)+(-3.079431+(-0.355878--1.794537))+0-0-0</f>
        <v>1070.7592280000001</v>
      </c>
      <c r="R275" s="3">
        <f>1874.1+(228.3-1054)+(-1.911582+(-0.232866--1.07508))+0-0-0</f>
        <v>1047.3306319999999</v>
      </c>
      <c r="S275" s="3">
        <f>1874.3+(214.7-1047.5)+(-3.823572+(-0.437988--2.1369))+0-0-0</f>
        <v>1039.3753400000001</v>
      </c>
      <c r="T275" s="3">
        <f>1875.7+(214.9-1054.9)+(-2.869821+(-0.328797--1.613997))+0-0-0</f>
        <v>1034.1153789999998</v>
      </c>
      <c r="U275" s="3">
        <f>1875.7+(209.6-1021.5)+(-2.869821+(-0.320688--1.562895))+0-0-0</f>
        <v>1062.1723860000002</v>
      </c>
      <c r="V275" s="3">
        <f>1870.6+(212.5-935.4)+(-2.862018+(-0.325125--1.431162))+0-0-0</f>
        <v>1145.9440189999998</v>
      </c>
      <c r="W275" s="3">
        <f>1899.8+(209.7-759.8)+(0.968898+(0.106947-0.387498))+0-0-0</f>
        <v>1350.3883470000001</v>
      </c>
      <c r="X275" s="3">
        <f>1916.3+(201.8-760.7)+(-5.863878+(-0.617508--2.327742))+0-0-0</f>
        <v>1353.2463559999999</v>
      </c>
      <c r="Y275" s="3">
        <f>1842+(239.9-761.3)+(-1.87884+(-0.244698--0.776526))+0-0-0</f>
        <v>1319.252988</v>
      </c>
      <c r="Z275" s="3">
        <f>1709.1+(250.1-692)+(-1.743282+(-0.255102--0.70584))+0-0-0</f>
        <v>1265.9074559999999</v>
      </c>
      <c r="AA275" s="3">
        <f>1705.9+(244.3-736.9)+(-3.480036+(-0.498372--1.503276))+0-0-0</f>
        <v>1210.8248680000002</v>
      </c>
      <c r="AB275" s="3">
        <f>1575.5+(200.3-637.2)+(-3.21402+(-0.408612--1.299888))+0-0-0</f>
        <v>1136.2772559999999</v>
      </c>
      <c r="AC275" s="3">
        <f>1212.1+(217.7-403)+(-1.854513+(-0.333081--0.61659))+0-0-0</f>
        <v>1025.2289960000001</v>
      </c>
      <c r="AD275">
        <f t="shared" si="4"/>
        <v>25463.203536000005</v>
      </c>
      <c r="AE275" s="3">
        <f>1915+(202.3-752.9)+(0+(0-0))+0-0-0</f>
        <v>1364.4</v>
      </c>
    </row>
    <row r="276" spans="1:31" s="2" customFormat="1" x14ac:dyDescent="0.25">
      <c r="A276">
        <v>89</v>
      </c>
      <c r="B276">
        <v>9</v>
      </c>
      <c r="C276">
        <v>30</v>
      </c>
      <c r="D276">
        <v>4</v>
      </c>
      <c r="E276">
        <v>1</v>
      </c>
      <c r="F276" s="3">
        <f>1127.5+(166.2-350.3)+(-1.15005+(-0.169524--0.357306))+0-0-0</f>
        <v>942.43773199999998</v>
      </c>
      <c r="G276" s="3">
        <f>1127.8+(117.1-350.5)+(1.150356+(0.119442-0.35751))+0-0-0</f>
        <v>895.31228799999997</v>
      </c>
      <c r="H276" s="3">
        <f>1127.6+(118.4-374.6)+(-1.150152+(-0.120768--0.382092))+0-0-0</f>
        <v>870.51117199999987</v>
      </c>
      <c r="I276" s="3">
        <f>1127.5+(131.2-396.1)+(-2.875125+(-0.33456--1.010055))+0-0-0</f>
        <v>860.40036999999995</v>
      </c>
      <c r="J276" s="3">
        <f>1127.1+(127.6-392.6)+(-1.149642+(-0.130152--0.400452))+0-0-0</f>
        <v>861.22065799999996</v>
      </c>
      <c r="K276" s="3">
        <f>1127.9+(143.7-388.9)+(-0.575229+(-0.073287--0.198339))+0-0-0</f>
        <v>882.24982299999999</v>
      </c>
      <c r="L276" s="3">
        <f>1148.6+(255.9-484.3)+(-2.343144+(-0.522036--0.987972))+0-0-0</f>
        <v>918.32279199999994</v>
      </c>
      <c r="M276" s="3">
        <f>1327.6+(289.6-659.7)+(-2.708304+(-0.590784--1.345788))+0-0-0</f>
        <v>955.54669999999987</v>
      </c>
      <c r="N276" s="3">
        <f>1578.3+(215.8-763)+(-0.804933+(-0.110058--0.38913))+0-0-0</f>
        <v>1030.5741389999998</v>
      </c>
      <c r="O276" s="3">
        <f>1593.6+(212.2-748.2)+(-4.06368+(-0.54111--1.90791))+0-0-0</f>
        <v>1054.9031199999999</v>
      </c>
      <c r="P276" s="3">
        <f>1625.3+(206.5-762.3)+(-0.828903+(-0.105315--0.388773))+0-0-0</f>
        <v>1068.954555</v>
      </c>
      <c r="Q276" s="3">
        <f>1807.7+(243.9-965.7)+(-2.765781+(-0.373167--1.477521))+0-0-0</f>
        <v>1084.2385730000001</v>
      </c>
      <c r="R276" s="3">
        <f>1802.7+(185.2-965.3)+(-3.677508+(-0.377808--1.969212))+0-0-0</f>
        <v>1020.5138960000002</v>
      </c>
      <c r="S276" s="3">
        <f>1804.4+(199.7-1005.6)+(-0.920244+(-0.101847--0.512856))+0-0-0</f>
        <v>997.99076500000001</v>
      </c>
      <c r="T276" s="3">
        <f>1806+(189-993.7)+(-3.68424+(-0.38556--2.027148))+0-0-0</f>
        <v>999.25734799999998</v>
      </c>
      <c r="U276" s="3">
        <f>1801.1+(148-934.6)+(-2.755683+(-0.22644--1.429938))+0-0-0</f>
        <v>1012.9478149999999</v>
      </c>
      <c r="V276" s="3">
        <f>1594.2+(145-668.3)+(0+(0-0))+0-0-0</f>
        <v>1070.9000000000001</v>
      </c>
      <c r="W276" s="3">
        <f>1728.9+(161.4-624.9)+(1.763478+(0.164628-0.637398))+0-0-0</f>
        <v>1266.6907080000001</v>
      </c>
      <c r="X276" s="3">
        <f>1907.5+(105.1-736.3)+(-5.83695+(-0.321606--2.253078))+0-0-0</f>
        <v>1272.3945220000003</v>
      </c>
      <c r="Y276" s="3">
        <f>1812.7+(131.6-713.8)+(-6.471339+(-0.469812--2.548266))+0-0-0</f>
        <v>1226.107115</v>
      </c>
      <c r="Z276" s="3">
        <f>1783+(194.5-800)+(-4.54665+(-0.495975--2.04))+0-0-0</f>
        <v>1174.4973749999999</v>
      </c>
      <c r="AA276" s="3">
        <f>1709.4+(240.6-831.7)+(0.871794+(0.122706-0.424167))+0-0-0</f>
        <v>1118.8703330000001</v>
      </c>
      <c r="AB276" s="3">
        <f>1611.6+(204.4-731.7)+(-2.465748+(-0.312732--1.119501))+0-0-0</f>
        <v>1082.6410209999997</v>
      </c>
      <c r="AC276" s="3">
        <f>1492.8+(121.8-595.2)+(-3.045312+(-0.248472--1.214208))+0-0-0</f>
        <v>1017.3204239999999</v>
      </c>
      <c r="AD276">
        <f t="shared" si="4"/>
        <v>24684.803243999999</v>
      </c>
      <c r="AE276" s="3">
        <f>1921+(128.4-745.2)+(0+(0-0))+0-0-0</f>
        <v>1304.1999999999998</v>
      </c>
    </row>
    <row r="277" spans="1:31" s="2" customFormat="1" x14ac:dyDescent="0.25">
      <c r="A277">
        <v>89</v>
      </c>
      <c r="B277">
        <v>10</v>
      </c>
      <c r="C277">
        <v>1</v>
      </c>
      <c r="D277">
        <v>5</v>
      </c>
      <c r="E277">
        <v>1</v>
      </c>
      <c r="F277" s="3">
        <f>1153.5+(142.7-358)+(0.588285+(0.072777-0.18258))+0-0-0</f>
        <v>938.67848200000003</v>
      </c>
      <c r="G277" s="3">
        <f>1069.2+(133.8-318.5)+(-1.635876+(-0.204714--0.487305))+0-0-0</f>
        <v>883.14671499999997</v>
      </c>
      <c r="H277" s="3">
        <f>1068.8+(108.2-326)+(-1.090176+(-0.110364--0.33252))+0-0-0</f>
        <v>850.13198</v>
      </c>
      <c r="I277" s="3">
        <f>1068.3+(107.4-341.5)+(-0.544833+(-0.054774--0.174165))+0-0-0</f>
        <v>833.77455799999996</v>
      </c>
      <c r="J277" s="3">
        <f>1066.4+(120.2-356.4)+(-0.543864+(-0.061302--0.181764))+0-0-0</f>
        <v>829.77659800000004</v>
      </c>
      <c r="K277" s="3">
        <f>1066+(141.8-364)+(0+(0-0))+0-0-0</f>
        <v>843.8</v>
      </c>
      <c r="L277" s="3">
        <f>1104.5+(251.5-467.8)+(-2.816475+(-0.641325--1.19289))+0-0-0</f>
        <v>885.93509000000006</v>
      </c>
      <c r="M277" s="3">
        <f>1105.6+(260.8-468.3)+(-0.563856+(-0.133008--0.238833))+0-0-0</f>
        <v>897.6419689999999</v>
      </c>
      <c r="N277" s="3">
        <f>1208.9+(261.6-511.6)+(0.616539+(0.133416-0.260916))+0-0-0</f>
        <v>959.38903900000014</v>
      </c>
      <c r="O277" s="3">
        <f>1269.6+(235.9-528.2)+(0.647496+(0.120309-0.269382))+0-0-0</f>
        <v>977.79842299999984</v>
      </c>
      <c r="P277" s="3">
        <f>1503.4+(219.4-709.9)+(-2.300202+(-0.335682--1.086147))+0-0-0</f>
        <v>1011.350263</v>
      </c>
      <c r="Q277" s="3">
        <f>1577.9+(213.4-768)+(-1.609458+(-0.217668--0.78336))+0-0-0</f>
        <v>1022.2562340000001</v>
      </c>
      <c r="R277" s="3">
        <f>1459.3+(201.5-704.6)+(-1.488486+(-0.20553--0.718692))+0-0-0</f>
        <v>955.22467599999993</v>
      </c>
      <c r="S277" s="3">
        <f>1460+(191.6-674.8)+(-1.4892+(-0.195432--0.688296))+0-0-0</f>
        <v>975.80366400000003</v>
      </c>
      <c r="T277" s="3">
        <f>1459.6+(195.3-693)+(3.72198+(0.498015-1.76715))+0-0-0</f>
        <v>964.35284499999989</v>
      </c>
      <c r="U277" s="3">
        <f>1459.6+(157.8-664.4)+(0.744396+(0.080478-0.338844))+0-0-0</f>
        <v>953.48603000000003</v>
      </c>
      <c r="V277" s="3">
        <f>1479.8+(151.7-607.7)+(-2.264094+(-0.232101--0.929781))+0-0-0</f>
        <v>1022.2335859999999</v>
      </c>
      <c r="W277" s="3">
        <f>1749.9+(143.7-634.2)+(-0.892449+(-0.073287--0.323442))+0-0-0</f>
        <v>1258.7577060000001</v>
      </c>
      <c r="X277" s="3">
        <f>1721.5+(136-578.5)+(-3.51186+(-0.27744--1.18014))+0-0-0</f>
        <v>1276.39084</v>
      </c>
      <c r="Y277" s="3">
        <f>1552+(161.6-479.2)+(-3.9576+(-0.41208--1.22196))+0-0-0</f>
        <v>1231.2522800000002</v>
      </c>
      <c r="Z277" s="3">
        <f>1515.8+(218-534.5)+(-2.319174+(-0.33354--0.817785))+0-0-0</f>
        <v>1197.4650709999999</v>
      </c>
      <c r="AA277" s="3">
        <f>1473+(249.9-581.3)+(0+(0-0))+0-0-0</f>
        <v>1141.5999999999999</v>
      </c>
      <c r="AB277" s="3">
        <f>1464.7+(134.1-517.7)+(-3.734985+(-0.341955--1.320135))+0-0-0</f>
        <v>1078.3431949999999</v>
      </c>
      <c r="AC277" s="3">
        <f>1305.3+(137.6-451.7)+(-1.997109+(-0.210528--0.691101))+0-0-0</f>
        <v>989.68346399999996</v>
      </c>
      <c r="AD277">
        <f t="shared" si="4"/>
        <v>23978.272708000004</v>
      </c>
      <c r="AE277" s="3">
        <f>1850+(147-680.8)+(0+(0-0))+0-0-0</f>
        <v>1316.2</v>
      </c>
    </row>
    <row r="278" spans="1:31" s="2" customFormat="1" x14ac:dyDescent="0.25">
      <c r="A278">
        <v>89</v>
      </c>
      <c r="B278">
        <v>10</v>
      </c>
      <c r="C278">
        <v>2</v>
      </c>
      <c r="D278">
        <v>6</v>
      </c>
      <c r="E278">
        <v>1</v>
      </c>
      <c r="F278" s="3">
        <f>1073.5+(158.4-319.3)+(-2.737425+(-0.40392--0.814215))+0-0-0</f>
        <v>910.27287000000001</v>
      </c>
      <c r="G278" s="3">
        <f>1067.2+(148.1-339.4)+(0+(0-0))+0-0-0</f>
        <v>875.90000000000009</v>
      </c>
      <c r="H278" s="3">
        <f>1014.4+(171.6-332.9)+(-2.58672+(-0.43758--0.848895))+0-0-0</f>
        <v>850.92459500000007</v>
      </c>
      <c r="I278" s="3">
        <f>1000.3+(163.6-324.6)+(0.510153+(0.083436-0.165546))+0-0-0</f>
        <v>839.72804299999996</v>
      </c>
      <c r="J278" s="3">
        <f>1000.4+(161.8-325)+(1.530612+(0.247554-0.49725))+0-0-0</f>
        <v>838.48091600000009</v>
      </c>
      <c r="K278" s="3">
        <f>1000.5+(179.4-328.6)+(2.04102+(0.365976-0.670344))+0-0-0</f>
        <v>853.036652</v>
      </c>
      <c r="L278" s="3">
        <f>1072.3+(249.9-418.2)+(2.734365+(0.637245-1.06641))+0-0-0</f>
        <v>906.30520000000001</v>
      </c>
      <c r="M278" s="3">
        <f>1267.8+(213.2-560.9)+(-0.646578+(-0.108732--0.286059))+0-0-0</f>
        <v>919.63074899999992</v>
      </c>
      <c r="N278" s="3">
        <f>1447.5+(200.9-658.5)+(-1.47645+(-0.204918--0.67167))+0-0-0</f>
        <v>988.89030200000002</v>
      </c>
      <c r="O278" s="3">
        <f>1705.3+(209.3-868.8)+(-0.869703+(-0.106743--0.443088))+0-0-0</f>
        <v>1045.266642</v>
      </c>
      <c r="P278" s="3">
        <f>1802.1+(219.2-964.9)+(1.838142+(0.223584-0.984198))+0-0-0</f>
        <v>1057.4775279999999</v>
      </c>
      <c r="Q278" s="3">
        <f>1797.4+(212.6-961.9)+(-0.916674+(-0.108426--0.490569))+0-0-0</f>
        <v>1047.5654690000001</v>
      </c>
      <c r="R278" s="3">
        <f>1797+(209-993)+(-2.74941+(-0.31977--1.51929))+0-0-0</f>
        <v>1011.45011</v>
      </c>
      <c r="S278" s="3">
        <f>1796.7+(201.6-1006.3)+(-1.832634+(-0.205632--1.026426))+0-0-0</f>
        <v>990.98816000000011</v>
      </c>
      <c r="T278" s="3">
        <f>1796.5+(214.7-1039)+(-0.916215+(-0.109497--0.52989))+0-0-0</f>
        <v>971.70417800000007</v>
      </c>
      <c r="U278" s="3">
        <f>1796.6+(210.5-1025.1)+(1.832532+(0.21471-1.045602))+0-0-0</f>
        <v>983.00163999999995</v>
      </c>
      <c r="V278" s="3">
        <f>1802.5+(193-938.9)+(-2.757825+(-0.29529--1.436517))+0-0-0</f>
        <v>1054.9834019999998</v>
      </c>
      <c r="W278" s="3">
        <f>1849.4+(220.3-823.4)+(-2.829582+(-0.337059--1.259802))+0-0-0</f>
        <v>1244.3931610000002</v>
      </c>
      <c r="X278" s="3">
        <f>1850.8+(220.2-810.5)+(-1.887816+(-0.224604--0.82671))+0-0-0</f>
        <v>1259.2142899999999</v>
      </c>
      <c r="Y278" s="3">
        <f>1850.5+(202.3-826.4)+(-0.943755+(-0.103173--0.421464))+0-0-0</f>
        <v>1225.7745360000001</v>
      </c>
      <c r="Z278" s="3">
        <f>1780.6+(212.6-809.8)+(-0.908106+(-0.108426--0.412998))+0-0-0</f>
        <v>1182.796466</v>
      </c>
      <c r="AA278" s="3">
        <f>1740.5+(204.3-793.2)+(-5.32593+(-0.625158--2.427192))+0-0-0</f>
        <v>1148.076104</v>
      </c>
      <c r="AB278" s="3">
        <f>1669.6+(216.6-799.5)+(-2.554488+(-0.331398--1.223235))+0-0-0</f>
        <v>1085.0373489999997</v>
      </c>
      <c r="AC278" s="3">
        <f>1499.1+(212.5-711.7)+(-2.293623+(-0.325125--1.088901))+0-0-0</f>
        <v>998.37015299999985</v>
      </c>
      <c r="AD278">
        <f t="shared" si="4"/>
        <v>24289.268515</v>
      </c>
      <c r="AE278" s="3">
        <f>1854+(227.7-800.8)+(0+(0-0))+0-0-0</f>
        <v>1280.9000000000001</v>
      </c>
    </row>
    <row r="279" spans="1:31" s="2" customFormat="1" x14ac:dyDescent="0.25">
      <c r="A279">
        <v>89</v>
      </c>
      <c r="B279">
        <v>10</v>
      </c>
      <c r="C279">
        <v>3</v>
      </c>
      <c r="D279">
        <v>7</v>
      </c>
      <c r="E279">
        <v>1</v>
      </c>
      <c r="F279" s="3">
        <f>1229.3+(232.8-533.8)+(0+(0-0))+0-0-0</f>
        <v>928.3</v>
      </c>
      <c r="G279" s="3">
        <f>962.6+(262.4-353.5)+(-2.45463+(-0.66912--0.901425))+0-0-0</f>
        <v>869.27767500000004</v>
      </c>
      <c r="H279" s="3">
        <f>923.5+(270.4-355)+(0.94197+(0.275808-0.3621))+0-0-0</f>
        <v>839.75567799999999</v>
      </c>
      <c r="I279" s="3">
        <f>923.6+(281.7-379.9)+(0+(0-0))+0-0-0</f>
        <v>825.40000000000009</v>
      </c>
      <c r="J279" s="3">
        <f>923.4+(281-375.9)+(0+(0-0))+0-0-0</f>
        <v>828.5</v>
      </c>
      <c r="K279" s="3">
        <f>1008.7+(263.4-434.5)+(-0.514437+(-0.134334--0.221595))+0-0-0</f>
        <v>837.17282399999999</v>
      </c>
      <c r="L279" s="3">
        <f>1112.8+(229.2-503)+(-0.567528+(-0.116892--0.25653))+0-0-0</f>
        <v>838.57210999999995</v>
      </c>
      <c r="M279" s="3">
        <f>1113.8+(218.5-553.3)+(-2.84019+(-0.557175--1.410915))+0-0-0</f>
        <v>777.01355000000001</v>
      </c>
      <c r="N279" s="3">
        <f>1065+(226.3-513.2)+(1.0863+(0.230826-0.523464))+0-0-0</f>
        <v>778.89366199999995</v>
      </c>
      <c r="O279" s="3">
        <f>1144.5+(233.8-553.1)+(0.583695+(0.119238-0.282081))+0-0-0</f>
        <v>825.62085200000001</v>
      </c>
      <c r="P279" s="3">
        <f>1147+(235-518.8)+(-3.50982+(-0.7191--1.587528))+0-0-0</f>
        <v>860.55860800000005</v>
      </c>
      <c r="Q279" s="3">
        <f>1146.6+(239.8-526.9)+(-1.169532+(-0.244596--0.537438))+0-0-0</f>
        <v>858.62330999999995</v>
      </c>
      <c r="R279" s="3">
        <f>1147.2+(219.9-521.6)+(-1.170144+(-0.224298--0.532032))+0-0-0</f>
        <v>844.63759000000005</v>
      </c>
      <c r="S279" s="3">
        <f>1147+(222.1-528.7)+(-2.33988+(-0.453084--1.078548))+0-0-0</f>
        <v>838.68558399999995</v>
      </c>
      <c r="T279" s="3">
        <f>1146.8+(228-552.6)+(-2.92434+(-0.5814--1.40913))+0-0-0</f>
        <v>820.10338999999988</v>
      </c>
      <c r="U279" s="3">
        <f>1147+(196-530.8)+(0+(0-0))+0-0-0</f>
        <v>812.2</v>
      </c>
      <c r="V279" s="3">
        <f>1191.3+(224.9-506.8)+(-0.607563+(-0.114699--0.258468))+0-0-0</f>
        <v>908.93620599999997</v>
      </c>
      <c r="W279" s="3">
        <f>1548.4+(259-666)+(-0.789684+(-0.13209--0.33966))+0-0-0</f>
        <v>1140.817886</v>
      </c>
      <c r="X279" s="3">
        <f>1706+(229.4-738.9)+(-4.3503+(-0.58497--1.884195))+0-0-0</f>
        <v>1193.4489249999999</v>
      </c>
      <c r="Y279" s="3">
        <f>1664.2+(237.8-720)+(0.848742+(0.121278-0.3672))+0-0-0</f>
        <v>1182.6028200000001</v>
      </c>
      <c r="Z279" s="3">
        <f>1602.5+(234.1-684.2)+(0.817275+(0.119391-0.348942))+0-0-0</f>
        <v>1152.9877240000001</v>
      </c>
      <c r="AA279" s="3">
        <f>1602.7+(224.1-704.9)+(0+(0-0))+0-0-0</f>
        <v>1121.9000000000001</v>
      </c>
      <c r="AB279" s="3">
        <f>1500.3+(210.4-662.4)+(-2.295459+(-0.321912--1.013472))+0-0-0</f>
        <v>1046.696101</v>
      </c>
      <c r="AC279" s="3">
        <f>1278.4+(202.6-522.2)+(-1.303968+(-0.206652--0.532644))+0-0-0</f>
        <v>957.82202400000006</v>
      </c>
      <c r="AD279">
        <f t="shared" si="4"/>
        <v>22088.526519000003</v>
      </c>
      <c r="AE279" s="3">
        <f>1718+(226.6-752.8)+(0+(0-0))+0-0-0</f>
        <v>1191.8000000000002</v>
      </c>
    </row>
    <row r="280" spans="1:31" s="2" customFormat="1" x14ac:dyDescent="0.25">
      <c r="A280">
        <v>89</v>
      </c>
      <c r="B280">
        <v>10</v>
      </c>
      <c r="C280">
        <v>4</v>
      </c>
      <c r="D280">
        <v>1</v>
      </c>
      <c r="E280">
        <v>1</v>
      </c>
      <c r="F280" s="3">
        <f>1019.1+(245.9-392.9)+(-2.078964+(-0.501636--0.801516))+0-0-0</f>
        <v>870.32091600000001</v>
      </c>
      <c r="G280" s="3">
        <f>925.8+(281.3-374.1)+(0+(0-0))+0-0-0</f>
        <v>833</v>
      </c>
      <c r="H280" s="3">
        <f>926.3+(293.4-404.7)+(-1.417239+(-0.448902--0.619191))+0-0-0</f>
        <v>813.75305000000003</v>
      </c>
      <c r="I280" s="3">
        <f>926.7+(269.7-397.5)+(1.417851+(0.412641-0.608175))+0-0-0</f>
        <v>800.12231700000007</v>
      </c>
      <c r="J280" s="3">
        <f>925.1+(269.1-401.7)+(-0.471801+(-0.137241--0.204867))+0-0-0</f>
        <v>792.09582499999999</v>
      </c>
      <c r="K280" s="3">
        <f>925.1+(278.7-389.9)+(1.887204+(0.568548-0.795396))+0-0-0</f>
        <v>815.56035600000007</v>
      </c>
      <c r="L280" s="3">
        <f>1053.5+(254.8-424.8)+(0.537285+(0.129948-0.216648))+0-0-0</f>
        <v>883.95058500000005</v>
      </c>
      <c r="M280" s="3">
        <f>1318.6+(224.9-620.2)+(-2.017458+(-0.344097--0.948906))+0-0-0</f>
        <v>921.88735099999985</v>
      </c>
      <c r="N280" s="3">
        <f>1524.5+(230.9-749.3)+(-2.332485+(-0.353277--1.146429))+0-0-0</f>
        <v>1004.560667</v>
      </c>
      <c r="O280" s="3">
        <f>1759.5+(222.7-909.9)+(0.897345+(0.113577-0.464049))+0-0-0</f>
        <v>1072.846873</v>
      </c>
      <c r="P280" s="3">
        <f>1845.6+(238.8-996.1)+(-2.823768+(-0.365364--1.524033))+0-0-0</f>
        <v>1086.6349009999999</v>
      </c>
      <c r="Q280" s="3">
        <f>1837.6+(251.6-1024.7)+(-3.748704+(-0.513264--2.090388))+0-0-0</f>
        <v>1062.3284200000001</v>
      </c>
      <c r="R280" s="3">
        <f>1665.1+(226.6-942.3)+(-5.095206+(-0.693396--2.883438))+0-0-0</f>
        <v>946.49483599999996</v>
      </c>
      <c r="S280" s="3">
        <f>1641.6+(246.4-870)+(-2.511648+(-0.376992--1.3311))+0-0-0</f>
        <v>1016.4424599999999</v>
      </c>
      <c r="T280" s="3">
        <f>1644.2+(224.4-867)+(-3.354168+(-0.457776--1.76868))+0-0-0</f>
        <v>999.556736</v>
      </c>
      <c r="U280" s="3">
        <f>1644.3+(204.9-854)+(0+(0-0))+0-0-0</f>
        <v>995.19999999999993</v>
      </c>
      <c r="V280" s="3">
        <f>1647.4+(222.6-806.6)+(-5.041044+(-0.681156--2.468196))+0-0-0</f>
        <v>1060.1459960000002</v>
      </c>
      <c r="W280" s="3">
        <f>1688+(239.2-691.5)+(-1.72176+(-0.243984--0.70533))+0-0-0</f>
        <v>1234.439586</v>
      </c>
      <c r="X280" s="3">
        <f>1710.7+(246.8-671.8)+(-3.489828+(-0.503472--1.370472))+0-0-0</f>
        <v>1283.077172</v>
      </c>
      <c r="Y280" s="3">
        <f>1710+(233.9-690.1)+(-0.8721+(-0.119289--0.351951))+0-0-0</f>
        <v>1253.160562</v>
      </c>
      <c r="Z280" s="3">
        <f>1610.1+(254.2-660.9)+(-2.463453+(-0.388926--1.011177))+0-0-0</f>
        <v>1201.5587979999998</v>
      </c>
      <c r="AA280" s="3">
        <f>1544.6+(254-649.6)+(-3.150984+(-0.51816--1.325184))+0-0-0</f>
        <v>1146.6560400000001</v>
      </c>
      <c r="AB280" s="3">
        <f>1458.2+(155.3-534.1)+(-2.231046+(-0.237609--0.817173))+0-0-0</f>
        <v>1077.7485180000001</v>
      </c>
      <c r="AC280" s="3">
        <f>1180.6+(201.6-406)+(-1.204212+(-0.205632--0.41412))+0-0-0</f>
        <v>975.20427599999994</v>
      </c>
      <c r="AD280">
        <f t="shared" si="4"/>
        <v>24146.746241000004</v>
      </c>
      <c r="AE280" s="3">
        <f>1706+(248-671.9)+(0+(0-0))+0-0-0</f>
        <v>1282.0999999999999</v>
      </c>
    </row>
    <row r="281" spans="1:31" s="2" customFormat="1" x14ac:dyDescent="0.25">
      <c r="A281">
        <v>89</v>
      </c>
      <c r="B281">
        <v>10</v>
      </c>
      <c r="C281">
        <v>5</v>
      </c>
      <c r="D281">
        <v>2</v>
      </c>
      <c r="E281">
        <v>1</v>
      </c>
      <c r="F281" s="3">
        <f>924.5+(254.8-290.2)+(-0.471495+(-0.129948--0.148002))+0-0-0</f>
        <v>888.64655900000002</v>
      </c>
      <c r="G281" s="3">
        <f>922.4+(223.7-295.8)+(-0.470424+(-0.114087--0.150858))+0-0-0</f>
        <v>849.86634699999991</v>
      </c>
      <c r="H281" s="3">
        <f>922+(192.1-283.9)+(-1.41066+(-0.293913--0.434367))+0-0-0</f>
        <v>828.92979400000002</v>
      </c>
      <c r="I281" s="3">
        <f>922.1+(191-299.3)+(-0.940542+(-0.19482--0.305286))+0-0-0</f>
        <v>812.96992399999999</v>
      </c>
      <c r="J281" s="3">
        <f>922.7+(198.8-310.2)+(1.411731+(0.304164-0.474606))+0-0-0</f>
        <v>812.54128900000012</v>
      </c>
      <c r="K281" s="3">
        <f>922.4+(210.8-297.3)+(0.940848+(0.215016-0.303246))+0-0-0</f>
        <v>836.75261799999998</v>
      </c>
      <c r="L281" s="3">
        <f>1025.6+(281.7-437.4)+(-0.523056+(-0.143667--0.223074))+0-0-0</f>
        <v>869.45635099999981</v>
      </c>
      <c r="M281" s="3">
        <f>1332.9+(246.6-670.4)+(-1.359558+(-0.251532--0.683808))+0-0-0</f>
        <v>908.17271800000015</v>
      </c>
      <c r="N281" s="3">
        <f>1503.1+(239.5-763.2)+(-3.832905+(-0.610725--1.94616))+0-0-0</f>
        <v>976.90252999999984</v>
      </c>
      <c r="O281" s="3">
        <f>1666.2+(249.2-895.8)+(-2.549286+(-0.381276--1.370574))+0-0-0</f>
        <v>1018.0400120000002</v>
      </c>
      <c r="P281" s="3">
        <f>1683.5+(254.7-898.3)+(0.858585+(0.129897-0.458133))+0-0-0</f>
        <v>1040.430349</v>
      </c>
      <c r="Q281" s="3">
        <f>1686+(228.5-875.1)+(-2.57958+(-0.349605--1.338903))+0-0-0</f>
        <v>1037.8097180000002</v>
      </c>
      <c r="R281" s="3">
        <f>1685.8+(230.9-914.7)+(-2.579274+(-0.353277--1.399491))+0-0-0</f>
        <v>1000.4669399999999</v>
      </c>
      <c r="S281" s="3">
        <f>1685.7+(242.4-950.1)+(2.579121+(0.370872-1.453653))+0-0-0</f>
        <v>979.49634000000003</v>
      </c>
      <c r="T281" s="3">
        <f>1685.9+(226.5-953.7)+(-3.439236+(-0.46206--1.945548))+0-0-0</f>
        <v>956.74425200000007</v>
      </c>
      <c r="U281" s="3">
        <f>1685.6+(233.3-960.4)+(0+(0-0))+0-0-0</f>
        <v>958.5</v>
      </c>
      <c r="V281" s="3">
        <f>1686.9+(205.5-864.2)+(-1.720638+(-0.20961--0.881484))+0-0-0</f>
        <v>1027.1512360000002</v>
      </c>
      <c r="W281" s="3">
        <f>1701.8+(214.9-697.1)+(-1.735836+(-0.219198--0.711042))+0-0-0</f>
        <v>1218.356008</v>
      </c>
      <c r="X281" s="3">
        <f>1708.7+(196.6-661.7)+(-5.228622+(-0.601596--2.024802))+0-0-0</f>
        <v>1239.794584</v>
      </c>
      <c r="Y281" s="3">
        <f>1708.3+(248.2-745.6)+(0.871233+(0.126582-0.380256))+0-0-0</f>
        <v>1211.5175589999999</v>
      </c>
      <c r="Z281" s="3">
        <f>1707.5+(251.9-791.6)+(-2.612475+(-0.385407--1.211148))+0-0-0</f>
        <v>1166.0132659999999</v>
      </c>
      <c r="AA281" s="3">
        <f>1638.3+(234.9-754)+(-3.342132+(-0.479196--1.53816))+0-0-0</f>
        <v>1116.9168319999999</v>
      </c>
      <c r="AB281" s="3">
        <f>1533.4+(137.6-621.9)+(-0.782034+(-0.070176--0.317169))+0-0-0</f>
        <v>1048.564959</v>
      </c>
      <c r="AC281" s="3">
        <f>1391.7+(88.2-532.5)+(-6.387903+(-0.404838--2.444175))+0-0-0</f>
        <v>943.05143400000009</v>
      </c>
      <c r="AD281">
        <f t="shared" si="4"/>
        <v>23747.091618999999</v>
      </c>
      <c r="AE281" s="3">
        <f>1710+(239.3-690)+(0+(0-0))+0-0-0</f>
        <v>1259.3</v>
      </c>
    </row>
    <row r="282" spans="1:31" s="2" customFormat="1" x14ac:dyDescent="0.25">
      <c r="A282">
        <v>89</v>
      </c>
      <c r="B282">
        <v>10</v>
      </c>
      <c r="C282">
        <v>6</v>
      </c>
      <c r="D282">
        <v>3</v>
      </c>
      <c r="E282">
        <v>1</v>
      </c>
      <c r="F282" s="3">
        <f>1220.6+(113.2-455.2)+(-2.490024+(-0.230928--0.928608))+0-0-0</f>
        <v>876.80765599999995</v>
      </c>
      <c r="G282" s="3">
        <f>1125+(139.8-430.7)+(-0.57375+(-0.071298--0.219657))+0-0-0</f>
        <v>833.67460900000003</v>
      </c>
      <c r="H282" s="3">
        <f>1045+(166.7-399)+(-1.0659+(-0.170034--0.40698))+0-0-0</f>
        <v>811.87104600000009</v>
      </c>
      <c r="I282" s="3">
        <f>1021+(210.1-430.3)+(0.52071+(0.107151-0.219453))+0-0-0</f>
        <v>801.20840799999996</v>
      </c>
      <c r="J282" s="3">
        <f>1035.7+(208.8-442.1)+(-1.584621+(-0.319464--0.676413))+0-0-0</f>
        <v>801.17232800000011</v>
      </c>
      <c r="K282" s="3">
        <f>1036.1+(229.6-450.7)+(1.585233+(0.351288-0.689571))+0-0-0</f>
        <v>816.24694999999986</v>
      </c>
      <c r="L282" s="3">
        <f>1199+(291.3-623.8)+(-0.61149+(-0.148563--0.318138))+0-0-0</f>
        <v>866.05808500000001</v>
      </c>
      <c r="M282" s="3">
        <f>1418.3+(307.9-820.2)+(1.446666+(0.314058-0.836604))+0-0-0</f>
        <v>906.9241199999999</v>
      </c>
      <c r="N282" s="3">
        <f>1507.1+(314.1-846.5)+(0+(0-0))+0-0-0</f>
        <v>974.69999999999993</v>
      </c>
      <c r="O282" s="3">
        <f>1663.6+(247.7-888)+(-2.545308+(-0.378981--1.35864))+0-0-0</f>
        <v>1021.7343509999999</v>
      </c>
      <c r="P282" s="3">
        <f>1683.2+(241.1-877.9)+(-2.575296+(-0.368883--1.343187))+0-0-0</f>
        <v>1044.7990080000002</v>
      </c>
      <c r="Q282" s="3">
        <f>1688.6+(234.7-950.7)+(-0.861186+(-0.119697--0.484857))+0-0-0</f>
        <v>972.10397399999988</v>
      </c>
      <c r="R282" s="3">
        <f>1689.2+(189.3-1001.2)+(-2.584476+(-0.289629--1.531836))+0-0-0</f>
        <v>875.95773099999997</v>
      </c>
      <c r="S282" s="3">
        <f>1691.1+(193.7-1069.2)+(-2.587383+(-0.296361--1.635876))+0-0-0</f>
        <v>814.35213199999987</v>
      </c>
      <c r="T282" s="3">
        <f>1691.7+(186-1062.3)+(-0.862767+(-0.09486--0.541773))+0-0-0</f>
        <v>814.98414600000012</v>
      </c>
      <c r="U282" s="3">
        <f>1688.8+(151.5-1001.2)+(2.583864+(0.231795-1.531836))+0-0-0</f>
        <v>840.38382299999989</v>
      </c>
      <c r="V282" s="3">
        <f>1689.7+(137.5-871.9)+(-3.446988+(-0.2805--1.778676))+0-0-0</f>
        <v>953.35118800000009</v>
      </c>
      <c r="W282" s="3">
        <f>1710.9+(211.4-750.4)+(-2.617677+(-0.323442--1.148112))+0-0-0</f>
        <v>1170.1069930000001</v>
      </c>
      <c r="X282" s="3">
        <f>1712.3+(208.5-744.8)+(-0.873273+(-0.106335--0.379848))+0-0-0</f>
        <v>1175.4002399999999</v>
      </c>
      <c r="Y282" s="3">
        <f>1711.6+(145.8-760.7)+(-0.872916+(-0.074358--0.387957))+0-0-0</f>
        <v>1096.1406829999999</v>
      </c>
      <c r="Z282" s="3">
        <f>1711.4+(147.1-820.8)+(-1.745628+(-0.150042--0.837216))+0-0-0</f>
        <v>1036.6415460000003</v>
      </c>
      <c r="AA282" s="3">
        <f>1711+(171.1-909.2)+(-0.87261+(-0.087261--0.463692))+0-0-0</f>
        <v>972.40382099999999</v>
      </c>
      <c r="AB282" s="3">
        <f>1710.6+(148.4-994)+(-1.744812+(-0.151368--1.01388))+0-0-0</f>
        <v>864.1176999999999</v>
      </c>
      <c r="AC282" s="3">
        <f>1661.4+(89.2-1003.1)+(-1.694628+(-0.090984--1.023162))+0-0-0</f>
        <v>746.73755000000017</v>
      </c>
      <c r="AD282">
        <f t="shared" si="4"/>
        <v>22087.878088000001</v>
      </c>
      <c r="AE282" s="3">
        <f>1710+(230.3-758.8)+(0+(0-0))+0-0-0</f>
        <v>1181.5</v>
      </c>
    </row>
    <row r="283" spans="1:31" s="2" customFormat="1" x14ac:dyDescent="0.25">
      <c r="A283">
        <v>89</v>
      </c>
      <c r="B283">
        <v>10</v>
      </c>
      <c r="C283">
        <v>7</v>
      </c>
      <c r="D283">
        <v>4</v>
      </c>
      <c r="E283">
        <v>1</v>
      </c>
      <c r="F283" s="3">
        <f>1555.6+(109.5-948.4)+(-3.96678+(-0.279225--2.41842))+0-0-0</f>
        <v>714.87241499999993</v>
      </c>
      <c r="G283" s="3">
        <f>1330.6+(89.6-790.8)+(0+(0-0))+0-0-0</f>
        <v>629.4</v>
      </c>
      <c r="H283" s="3">
        <f>1271.7+(93.1-729.8)+(-1.297134+(-0.094962--0.744396))+0-0-0</f>
        <v>634.35230000000013</v>
      </c>
      <c r="I283" s="3">
        <f>1201.1+(116.3-621.3)+(0+(0-0))+0-0-0</f>
        <v>696.09999999999991</v>
      </c>
      <c r="J283" s="3">
        <f>1205.4+(155.6-661.7)+(0.614754+(0.079356-0.337467))+0-0-0</f>
        <v>699.65664300000003</v>
      </c>
      <c r="K283" s="3">
        <f>1307.2+(185.1-759.7)+(0+(0-0))+0-0-0</f>
        <v>732.6</v>
      </c>
      <c r="L283" s="3">
        <f>1441.8+(195.4-909.5)+(-1.470636+(-0.199308--0.92769))+0-0-0</f>
        <v>726.95774599999993</v>
      </c>
      <c r="M283" s="3">
        <f>1488.1+(222.2-972.6)+(-0.758931+(-0.113322--0.496026))+0-0-0</f>
        <v>737.32377299999985</v>
      </c>
      <c r="N283" s="3">
        <f>1493.3+(263-890.4)+(5.331081+(0.93891-3.178728))+0-0-0</f>
        <v>868.991263</v>
      </c>
      <c r="O283" s="3">
        <f>1493.3+(221.5-850.9)+(0+(0-0))+0-0-0</f>
        <v>863.9</v>
      </c>
      <c r="P283" s="3">
        <f>1494.7+(269.7-836.5)+(-1.524594+(-0.275094--0.85323))+0-0-0</f>
        <v>926.95354200000008</v>
      </c>
      <c r="Q283" s="3">
        <f>1494.4+(271.4-834.7)+(-1.524288+(-0.276828--0.851394))+0-0-0</f>
        <v>930.15027800000007</v>
      </c>
      <c r="R283" s="3">
        <f>1493.9+(269-813.5)+(-2.285667+(-0.41157--1.244655))+0-0-0</f>
        <v>947.94741800000008</v>
      </c>
      <c r="S283" s="3">
        <f>1493.4+(255-786)+(-3.046536+(-0.5202--1.60344))+0-0-0</f>
        <v>960.43670400000008</v>
      </c>
      <c r="T283" s="3">
        <f>1471.8+(267-798.8)+(2.251854+(0.40851-1.222164))+0-0-0</f>
        <v>941.43820000000005</v>
      </c>
      <c r="U283" s="3">
        <f>1469.3+(255.8-761.5)+(-2.997372+(-0.521832--1.55346))+0-0-0</f>
        <v>961.63425599999994</v>
      </c>
      <c r="V283" s="3">
        <f>1539.4+(242-744.2)+(-1.570188+(-0.24684--0.759084))+0-0-0</f>
        <v>1036.1420560000001</v>
      </c>
      <c r="W283" s="3">
        <f>1675+(262.3-681.8)+(-0.85425+(-0.133773--0.347718))+0-0-0</f>
        <v>1254.8596950000001</v>
      </c>
      <c r="X283" s="3">
        <f>1706.5+(231-657.3)+(-2.610945+(-0.35343--1.005669))+0-0-0</f>
        <v>1278.2412940000002</v>
      </c>
      <c r="Y283" s="3">
        <f>1609+(246.2-609.8)+(-4.10295+(-0.62781--1.55499))+0-0-0</f>
        <v>1242.22423</v>
      </c>
      <c r="Z283" s="3">
        <f>1513.7+(271.5-586.4)+(0+(0-0))+0-0-0</f>
        <v>1198.8000000000002</v>
      </c>
      <c r="AA283" s="3">
        <f>1511+(288-547)+(-2.31183+(-0.44064--0.83691))+0-0-0</f>
        <v>1250.0844400000001</v>
      </c>
      <c r="AB283" s="3">
        <f>1283.4+(302.1-518)+(-1.963602+(-0.462213--0.79254))+0-0-0</f>
        <v>1065.8667250000001</v>
      </c>
      <c r="AC283" s="3">
        <f>1077.3+(300.6-409.1)+(-3.296538+(-0.919836--1.251846))+0-0-0</f>
        <v>965.83547199999998</v>
      </c>
      <c r="AD283">
        <f t="shared" si="4"/>
        <v>22264.768449999996</v>
      </c>
      <c r="AE283" s="3">
        <f>1708+(248.3-663.8)+(0+(0-0))+0-0-0</f>
        <v>1292.5</v>
      </c>
    </row>
    <row r="284" spans="1:31" s="2" customFormat="1" x14ac:dyDescent="0.25">
      <c r="A284">
        <v>89</v>
      </c>
      <c r="B284">
        <v>10</v>
      </c>
      <c r="C284">
        <v>8</v>
      </c>
      <c r="D284">
        <v>5</v>
      </c>
      <c r="E284">
        <v>1</v>
      </c>
      <c r="F284" s="3">
        <f>853+(325.3-301.2)+(0+(0-0))+0-0-0</f>
        <v>877.1</v>
      </c>
      <c r="G284" s="3">
        <f>724.1+(299.4-179)+(-0.738582+(-0.305388--0.18258))+0-0-0</f>
        <v>843.63860999999997</v>
      </c>
      <c r="H284" s="3">
        <f>691.5+(281.5-150.5)+(-0.70533+(-0.28713--0.15351))+0-0-0</f>
        <v>821.66105000000005</v>
      </c>
      <c r="I284" s="3">
        <f>691.6+(289.4-168.8)+(-0.705432+(-0.295188--0.172176))+0-0-0</f>
        <v>811.37155600000006</v>
      </c>
      <c r="J284" s="3">
        <f>691.5+(290-164.2)+(-0.352665+(-0.1479--0.083742))+0-0-0</f>
        <v>816.88317699999993</v>
      </c>
      <c r="K284" s="3">
        <f>691.8+(302.2-163.9)+(-0.705636+(-0.308244--0.167178))+0-0-0</f>
        <v>829.25329799999986</v>
      </c>
      <c r="L284" s="3">
        <f>742.4+(398.1-270.6)+(-0.378624+(-0.203031--0.138006))+0-0-0</f>
        <v>869.45635099999993</v>
      </c>
      <c r="M284" s="3">
        <f>870.5+(428-411.8)+(-0.88791+(-0.43656--0.420036))+0-0-0</f>
        <v>885.79556600000001</v>
      </c>
      <c r="N284" s="3">
        <f>1037.4+(392.6-452.9)+(0+(0-0))+0-0-0</f>
        <v>977.10000000000014</v>
      </c>
      <c r="O284" s="3">
        <f>1182.3+(328.7-510.7)+(1.205946+(0.335274-0.520914))+0-0-0</f>
        <v>1001.320306</v>
      </c>
      <c r="P284" s="3">
        <f>1230.1+(310.8-511.5)+(-0.627351+(-0.158508--0.260865))+0-0-0</f>
        <v>1028.8750059999998</v>
      </c>
      <c r="Q284" s="3">
        <f>1232.8+(311.6-514.8)+(0+(0-0))+0-0-0</f>
        <v>1029.5999999999999</v>
      </c>
      <c r="R284" s="3">
        <f>1231.8+(289.8-524.9)+(-1.884654+(-0.443394--0.803097))+0-0-0</f>
        <v>995.17504900000006</v>
      </c>
      <c r="S284" s="3">
        <f>1231.9+(282.2-538.6)+(0+(0-0))+0-0-0</f>
        <v>975.5</v>
      </c>
      <c r="T284" s="3">
        <f>1236+(325.3-581.6)+(0+(0-0))+0-0-0</f>
        <v>979.7</v>
      </c>
      <c r="U284" s="3">
        <f>1245+(352-536.2)+(0+(0-0))+0-0-0</f>
        <v>1060.8</v>
      </c>
      <c r="V284" s="3">
        <f>1251.7+(308.2-485.9)+(-2.553468+(-0.628728--0.991236))+0-0-0</f>
        <v>1071.8090400000001</v>
      </c>
      <c r="W284" s="3">
        <f>1282.9+(283.1-382.7)+(0+(0-0))+0-0-0</f>
        <v>1183.3000000000002</v>
      </c>
      <c r="X284" s="3">
        <f>1282.9+(435.3-412.1)+(-3.271395+(-1.110015--1.050855))+0-0-0</f>
        <v>1302.7694450000001</v>
      </c>
      <c r="Y284" s="3">
        <f>1282.6+(388.1-425)+(-5.233008+(-1.583448--1.734))+0-0-0</f>
        <v>1240.6175439999997</v>
      </c>
      <c r="Z284" s="3">
        <f>1282.6+(272.5-446.5)+(0+(0-0))+0-0-0</f>
        <v>1108.5999999999999</v>
      </c>
      <c r="AA284" s="3">
        <f>1282.5+(266-458.1)+(-1.30815+(-0.27132--0.467262))+0-0-0</f>
        <v>1089.2877920000001</v>
      </c>
      <c r="AB284" s="3">
        <f>1282.7+(311.9-548.5)+(-1.308354+(-0.318138--0.55947))+0-0-0</f>
        <v>1045.032978</v>
      </c>
      <c r="AC284" s="3">
        <f>1242.4+(322.4-581.4)+(-3.16812+(-0.82212--1.48257))+0-0-0</f>
        <v>980.89233000000013</v>
      </c>
      <c r="AD284">
        <f t="shared" si="4"/>
        <v>23825.539097999997</v>
      </c>
      <c r="AE284" s="3">
        <f>1290+(319.8-459)+(0+(0-0))+0-0-0</f>
        <v>1150.8</v>
      </c>
    </row>
    <row r="285" spans="1:31" s="2" customFormat="1" x14ac:dyDescent="0.25">
      <c r="A285">
        <v>89</v>
      </c>
      <c r="B285">
        <v>10</v>
      </c>
      <c r="C285">
        <v>9</v>
      </c>
      <c r="D285">
        <v>6</v>
      </c>
      <c r="E285">
        <v>1</v>
      </c>
      <c r="F285" s="3">
        <f>956.1+(330.8-365.6)+(-1.462833+(-0.506124--0.559368))+0-0-0</f>
        <v>919.89041099999997</v>
      </c>
      <c r="G285" s="3">
        <f>757+(357.3-308.8)+(0.38607+(0.182223-0.157488))+0-0-0</f>
        <v>805.91080499999998</v>
      </c>
      <c r="H285" s="3">
        <f>713+(403.7-294.2)+(-1.45452+(-0.823548--0.600168))+0-0-0</f>
        <v>820.82209999999998</v>
      </c>
      <c r="I285" s="3">
        <f>693.5+(316.8-239)+(-0.70737+(-0.323136--0.24378))+0-0-0</f>
        <v>770.51327399999991</v>
      </c>
      <c r="J285" s="3">
        <f>696+(318.5-236.7)+(-1.06488+(-0.487305--0.362151))+0-0-0</f>
        <v>776.60996599999999</v>
      </c>
      <c r="K285" s="3">
        <f>693.4+(321.5-220.2)+(0+(0-0))+0-0-0</f>
        <v>794.7</v>
      </c>
      <c r="L285" s="3">
        <f>771.3+(310.4-246.8)+(-1.180089+(-0.474912--0.377604))+0-0-0</f>
        <v>833.62260299999991</v>
      </c>
      <c r="M285" s="3">
        <f>930+(305-374.9)+(0.9486+(0.3111-0.382398))+0-0-0</f>
        <v>860.97730200000001</v>
      </c>
      <c r="N285" s="3">
        <f>1058+(304.1-435.4)+(0.53958+(0.155091-0.222054))+0-0-0</f>
        <v>927.17261700000006</v>
      </c>
      <c r="O285" s="3">
        <f>1407.2+(256.2-651.9)+(-3.58836+(-0.65331--1.662345))+0-0-0</f>
        <v>1008.920675</v>
      </c>
      <c r="P285" s="3">
        <f>1482+(249.1-731.8)+(0+(0-0))+0-0-0</f>
        <v>999.30000000000007</v>
      </c>
      <c r="Q285" s="3">
        <f>1573.1+(237.5-822.6)+(-1.604562+(-0.24225--0.839052))+0-0-0</f>
        <v>986.99223999999992</v>
      </c>
      <c r="R285" s="3">
        <f>1611.1+(232.4-851.8)+(-3.286644+(-0.474096--1.737672))+0-0-0</f>
        <v>989.67693199999997</v>
      </c>
      <c r="S285" s="3">
        <f>1666.7+(214.8-950.5)+(-2.550051+(-0.328644--1.454265))+0-0-0</f>
        <v>929.57556999999997</v>
      </c>
      <c r="T285" s="3">
        <f>1675.2+(241-984.2)+(-0.854352+(-0.12291--0.501942))+0-0-0</f>
        <v>931.52467999999999</v>
      </c>
      <c r="U285" s="3">
        <f>1664.4+(208.4-940.4)+(-0.848844+(-0.106284--0.479604))+0-0-0</f>
        <v>931.92447600000014</v>
      </c>
      <c r="V285" s="3">
        <f>1676.6+(207.6-864.5)+(-3.420264+(-0.423504--1.76358))+0-0-0</f>
        <v>1017.6198119999999</v>
      </c>
      <c r="W285" s="3">
        <f>1708.3+(218.9-737.8)+(-2.613699+(-0.334917--1.128834))+0-0-0</f>
        <v>1187.5802180000001</v>
      </c>
      <c r="X285" s="3">
        <f>1707.6+(221-706.4)+(-5.225256+(-0.67626--2.161584))+0-0-0</f>
        <v>1218.4600679999999</v>
      </c>
      <c r="Y285" s="3">
        <f>1707.7+(222.5-753.4)+(0+(0-0))+0-0-0</f>
        <v>1176.8000000000002</v>
      </c>
      <c r="Z285" s="3">
        <f>1692.8+(228.5-791.7)+(-2.589984+(-0.349605--1.211301))+0-0-0</f>
        <v>1127.8717119999999</v>
      </c>
      <c r="AA285" s="3">
        <f>1600.9+(221.8-769.2)+(-0.816459+(-0.113118--0.392292))+0-0-0</f>
        <v>1052.9627149999999</v>
      </c>
      <c r="AB285" s="3">
        <f>1600.1+(231.8-840.6)+(-3.264204+(-0.472872--1.714824))+0-0-0</f>
        <v>989.27774799999997</v>
      </c>
      <c r="AC285" s="3">
        <f>1554.7+(209.2-849.5)+(-4.757382+(-0.640152--2.59947))+0-0-0</f>
        <v>911.60193600000014</v>
      </c>
      <c r="AD285">
        <f t="shared" si="4"/>
        <v>22970.307859999997</v>
      </c>
      <c r="AE285" s="3">
        <f>1720+(247.6-707.4)+(0+(0-0))+0-0-0</f>
        <v>1260.2</v>
      </c>
    </row>
    <row r="286" spans="1:31" s="2" customFormat="1" x14ac:dyDescent="0.25">
      <c r="A286">
        <v>89</v>
      </c>
      <c r="B286">
        <v>10</v>
      </c>
      <c r="C286">
        <v>10</v>
      </c>
      <c r="D286">
        <v>7</v>
      </c>
      <c r="E286">
        <v>1</v>
      </c>
      <c r="F286" s="3">
        <f>1264.4+(226.1-612.6)+(0+(0-0))+0-0-0</f>
        <v>877.90000000000009</v>
      </c>
      <c r="G286" s="3">
        <f>981.3+(291.6-447.1)+(-1.000926+(-0.297432--0.456042))+0-0-0</f>
        <v>824.95768399999997</v>
      </c>
      <c r="H286" s="3">
        <f>955+(299.5-421.5)+(0+(0-0))+0-0-0</f>
        <v>833</v>
      </c>
      <c r="I286" s="3">
        <f>918.7+(290.8-424.7)+(-1.405611+(-0.444924--0.649791))+0-0-0</f>
        <v>783.59925600000008</v>
      </c>
      <c r="J286" s="3">
        <f>918.8+(274.1-411.8)+(-0.937176+(-0.279582--0.420036))+0-0-0</f>
        <v>780.30327799999986</v>
      </c>
      <c r="K286" s="3">
        <f>918.7+(247.7-381)+(0.468537+(0.126327-0.19431))+0-0-0</f>
        <v>785.80055400000015</v>
      </c>
      <c r="L286" s="3">
        <f>918.5+(225.9-356.6)+(0+(0-0))+0-0-0</f>
        <v>787.8</v>
      </c>
      <c r="M286" s="3">
        <f>918.9+(228.1-394.7)+(-0.937278+(-0.232662--0.402594))+0-0-0</f>
        <v>751.53265399999998</v>
      </c>
      <c r="N286" s="3">
        <f>918.6+(284.1-439.7)+(-1.405458+(-0.434673--0.672741))+0-0-0</f>
        <v>761.83261000000005</v>
      </c>
      <c r="O286" s="3">
        <f>918.7+(301.9-404)+(-0.468537+(-0.153969--0.20604))+0-0-0</f>
        <v>816.18353400000001</v>
      </c>
      <c r="P286" s="3">
        <f>918.6+(329.4-382.9)+(-2.34243+(-0.83997--0.976395))+0-0-0</f>
        <v>862.89399500000002</v>
      </c>
      <c r="Q286" s="3">
        <f>921.5+(332-381.2)+(0.469965+(0.16932-0.194412))+0-0-0</f>
        <v>872.74487299999998</v>
      </c>
      <c r="R286" s="3">
        <f>1017.9+(305.6-481.5)+(-1.038258+(-0.311712--0.49113))+0-0-0</f>
        <v>841.14116000000001</v>
      </c>
      <c r="S286" s="3">
        <f>1021.2+(280.7-487.8)+(-3.124872+(-0.858942--1.492668))+0-0-0</f>
        <v>811.60885400000006</v>
      </c>
      <c r="T286" s="3">
        <f>1020.7+(244.5-467.7)+(1.041114+(0.24939-0.477054))+0-0-0</f>
        <v>798.31344999999999</v>
      </c>
      <c r="U286" s="3">
        <f>1020.7+(211.5-428.8)+(-0.520557+(-0.107865--0.218688))+0-0-0</f>
        <v>802.99026600000013</v>
      </c>
      <c r="V286" s="3">
        <f>1118.1+(218.6-458)+(-0.570231+(-0.111486--0.23358))+0-0-0</f>
        <v>878.25186299999996</v>
      </c>
      <c r="W286" s="3">
        <f>1676.6+(183.1-745.6)+(0.855066+(0.093381-0.380256))+0-0-0</f>
        <v>1114.668191</v>
      </c>
      <c r="X286" s="3">
        <f>1708+(235.4-802.1)+(-2.61324+(-0.360162--1.227213))+0-0-0</f>
        <v>1139.553811</v>
      </c>
      <c r="Y286" s="3">
        <f>1638.4+(231.1-753.4)+(-0.835584+(-0.117861--0.384234))+0-0-0</f>
        <v>1115.5307890000001</v>
      </c>
      <c r="Z286" s="3">
        <f>1487.7+(219.9-623.3)+(0.758727+(0.112149-0.317883))+0-0-0</f>
        <v>1084.8529930000002</v>
      </c>
      <c r="AA286" s="3">
        <f>1393.3+(214.2-550.5)+(-2.131749+(-0.327726--0.842265))+0-0-0</f>
        <v>1055.3827900000001</v>
      </c>
      <c r="AB286" s="3">
        <f>1373.1+(180.8-558.5)+(-3.501405+(-0.46104--1.424175))+0-0-0</f>
        <v>992.86172999999985</v>
      </c>
      <c r="AC286" s="3">
        <f>1090.4+(248.4-458.1)+(-0.556104+(-0.126684--0.233631))+0-0-0</f>
        <v>880.25084300000003</v>
      </c>
      <c r="AD286">
        <f t="shared" si="4"/>
        <v>21253.955178</v>
      </c>
      <c r="AE286" s="3">
        <f>1714+(207.3-751.5)+(0+(0-0))+0-0-0</f>
        <v>1169.8</v>
      </c>
    </row>
    <row r="287" spans="1:31" s="2" customFormat="1" x14ac:dyDescent="0.25">
      <c r="A287">
        <v>89</v>
      </c>
      <c r="B287">
        <v>10</v>
      </c>
      <c r="C287">
        <v>11</v>
      </c>
      <c r="D287">
        <v>1</v>
      </c>
      <c r="E287">
        <v>1</v>
      </c>
      <c r="F287" s="3">
        <f>935.9+(329.3-435.8)+(-2.386545+(-0.839715--1.11129))+0-0-0</f>
        <v>827.28503000000001</v>
      </c>
      <c r="G287" s="3">
        <f>917.1+(305.1-425.7)+(-2.338605+(-0.778005--1.085535))+0-0-0</f>
        <v>794.46892500000001</v>
      </c>
      <c r="H287" s="3">
        <f>906.8+(264.7-400.7)+(-1.849872+(-0.539988--0.817428))+0-0-0</f>
        <v>769.22756799999991</v>
      </c>
      <c r="I287" s="3">
        <f>909+(256.2-404.4)+(-0.92718+(-0.261324--0.412488))+0-0-0</f>
        <v>760.02398399999993</v>
      </c>
      <c r="J287" s="3">
        <f>908.9+(251.3-395.4)+(0+(0-0))+0-0-0</f>
        <v>764.8</v>
      </c>
      <c r="K287" s="3">
        <f>908.8+(254.9-385.9)+(1.390464+(0.389997-0.590427))+0-0-0</f>
        <v>778.99003399999992</v>
      </c>
      <c r="L287" s="3">
        <f>908.9+(346.8-419)+(-0.927078+(-0.353736--0.42738))+0-0-0</f>
        <v>835.84656600000005</v>
      </c>
      <c r="M287" s="3">
        <f>1027.2+(416.7-553.7)+(0.523872+(0.212517-0.282387))+0-0-0</f>
        <v>890.65400199999999</v>
      </c>
      <c r="N287" s="3">
        <f>1282.7+(407.9-719.3)+(-1.308354+(-0.416058--0.733686))+0-0-0</f>
        <v>970.30927400000007</v>
      </c>
      <c r="O287" s="3">
        <f>1530.5+(401.6-909.4)+(0+(0-0))+0-0-0</f>
        <v>1022.7</v>
      </c>
      <c r="P287" s="3">
        <f>1742.4+(424.5-1114.9)+(0.888624+(0.216495-0.568599))+0-0-0</f>
        <v>1052.5365200000001</v>
      </c>
      <c r="Q287" s="3">
        <f>1785.9+(399.9-1134.7)+(-3.643236+(-0.815796--2.314788))+0-0-0</f>
        <v>1048.9557559999998</v>
      </c>
      <c r="R287" s="3">
        <f>1758.5+(415-1151)+(-2.690505+(-0.63495--1.76103))+0-0-0</f>
        <v>1020.935575</v>
      </c>
      <c r="S287" s="3">
        <f>1710.4+(410.4-1111.5)+(-1.744608+(-0.418608--1.13373))+0-0-0</f>
        <v>1008.270514</v>
      </c>
      <c r="T287" s="3">
        <f>1688+(363.7-1056.8)+(-2.58264+(-0.556461--1.616904))+0-0-0</f>
        <v>993.37780300000009</v>
      </c>
      <c r="U287" s="3">
        <f>1734.5+(358.6-1080.7)+(1.76919+(0.365772-1.102314))+0-0-0</f>
        <v>1013.432648</v>
      </c>
      <c r="V287" s="3">
        <f>1764.6+(295.3-975.2)+(0+(0-0))+0-0-0</f>
        <v>1084.6999999999998</v>
      </c>
      <c r="W287" s="3">
        <f>1804.4+(284.5-843.9)+(-4.60122+(-0.725475--2.151945))+0-0-0</f>
        <v>1241.8252500000001</v>
      </c>
      <c r="X287" s="3">
        <f>1845.1+(263.8-836.5)+(-4.705005+(-0.67269--2.133075))+0-0-0</f>
        <v>1269.1553799999999</v>
      </c>
      <c r="Y287" s="3">
        <f>1841.5+(267.7-872)+(-1.87833+(-0.273054--0.88944))+0-0-0</f>
        <v>1235.938056</v>
      </c>
      <c r="Z287" s="3">
        <f>1807.2+(303.3-915.9)+(-1.843344+(-0.309366--0.934218))+0-0-0</f>
        <v>1193.3815080000002</v>
      </c>
      <c r="AA287" s="3">
        <f>1740.4+(328.8-916.4)+(-2.662812+(-0.503064--1.402092))+0-0-0</f>
        <v>1151.0362160000002</v>
      </c>
      <c r="AB287" s="3">
        <f>1602.5+(263.6-803.2)+(-0.817275+(-0.134436--0.409632))+0-0-0</f>
        <v>1062.357921</v>
      </c>
      <c r="AC287" s="3">
        <f>1388.5+(207.6-629.5)+(-3.540675+(-0.52938--1.605225))+0-0-0</f>
        <v>964.13517000000002</v>
      </c>
      <c r="AD287">
        <f t="shared" si="4"/>
        <v>23754.343699999998</v>
      </c>
      <c r="AE287" s="3">
        <f>1823+(311.8-830.8)+(0+(0-0))+0-0-0</f>
        <v>1304</v>
      </c>
    </row>
    <row r="288" spans="1:31" s="2" customFormat="1" x14ac:dyDescent="0.25">
      <c r="A288">
        <v>89</v>
      </c>
      <c r="B288">
        <v>10</v>
      </c>
      <c r="C288">
        <v>12</v>
      </c>
      <c r="D288">
        <v>2</v>
      </c>
      <c r="E288">
        <v>1</v>
      </c>
      <c r="F288" s="3">
        <f>1215+(219.4-536.1)+(-1.85895+(-0.335682--0.820233))+0-0-0</f>
        <v>896.92560099999992</v>
      </c>
      <c r="G288" s="3">
        <f>980.7+(292.5-424.2)+(0+(0-0))+0-0-0</f>
        <v>849</v>
      </c>
      <c r="H288" s="3">
        <f>931.8+(285.9-397.3)+(-2.37609+(-0.729045--1.013115))+0-0-0</f>
        <v>818.30797999999982</v>
      </c>
      <c r="I288" s="3">
        <f>931.4+(258.5-380.8)+(1.425042+(0.395505-0.582624))+0-0-0</f>
        <v>810.33792299999993</v>
      </c>
      <c r="J288" s="3">
        <f>931.5+(292.6-418.5)+(-1.90026+(-0.596904--0.85374))+0-0-0</f>
        <v>803.95657600000004</v>
      </c>
      <c r="K288" s="3">
        <f>933.5+(317.8-430.5)+(-0.476085+(-0.162078--0.219555))+0-0-0</f>
        <v>820.38139200000001</v>
      </c>
      <c r="L288" s="3">
        <f>1109.4+(371.2-604.8)+(-1.131588+(-0.378624--0.616896))+0-0-0</f>
        <v>874.90668400000015</v>
      </c>
      <c r="M288" s="3">
        <f>1279.8+(366-706)+(-0.652698+(-0.18666--0.36006))+0-0-0</f>
        <v>939.32070199999998</v>
      </c>
      <c r="N288" s="3">
        <f>1538.3+(363.4-874.9)+(-0.784533+(-0.185334--0.446199))+0-0-0</f>
        <v>1026.2763319999999</v>
      </c>
      <c r="O288" s="3">
        <f>1678.1+(380.2-958.4)+(-2.567493+(-0.581706--1.466352))+0-0-0</f>
        <v>1098.2171529999998</v>
      </c>
      <c r="P288" s="3">
        <f>1678.9+(393.8-949.8)+(2.568717+(0.602514-1.453194))+0-0-0</f>
        <v>1124.6180370000002</v>
      </c>
      <c r="Q288" s="3">
        <f>1726.5+(389.6-991.2)+(-4.402575+(-0.99348--2.52756))+0-0-0</f>
        <v>1122.0315050000002</v>
      </c>
      <c r="R288" s="3">
        <f>1774.7+(383.6-1066)+(-4.525485+(-0.97818--2.7183))+0-0-0</f>
        <v>1089.5146350000002</v>
      </c>
      <c r="S288" s="3">
        <f>1817+(344.8-1107.6)+(0+(0-0))+0-0-0</f>
        <v>1054.2</v>
      </c>
      <c r="T288" s="3">
        <f>1804.8+(306.4-1098)+(-0.920448+(-0.156264--0.55998))+0-0-0</f>
        <v>1012.6832679999999</v>
      </c>
      <c r="U288" s="3">
        <f>1817+(240.2-1012)+(-4.63335+(-0.61251--2.5806))+0-0-0</f>
        <v>1042.5347400000001</v>
      </c>
      <c r="V288" s="3">
        <f>1833+(254.3-971.1)+(-4.67415+(-0.648465--2.476305))+0-0-0</f>
        <v>1113.3536900000001</v>
      </c>
      <c r="W288" s="3">
        <f>1850.4+(298.7-872.2)+(-4.71852+(-0.761685--2.22411))+0-0-0</f>
        <v>1273.6439050000001</v>
      </c>
      <c r="X288" s="3">
        <f>1850.6+(268.1-830.9)+(-5.662836+(-0.820386--2.542554))+0-0-0</f>
        <v>1283.859332</v>
      </c>
      <c r="Y288" s="3">
        <f>1746.9+(294.7-781.8)+(-4.454595+(-0.751485--1.99359))+0-0-0</f>
        <v>1256.5875100000003</v>
      </c>
      <c r="Z288" s="3">
        <f>1580.3+(294.2-727.4)+(-2.417859+(-0.450126--1.112922))+0-0-0</f>
        <v>1145.3449369999998</v>
      </c>
      <c r="AA288" s="3">
        <f>1585.4+(322.3-755.1)+(0+(0-0))+0-0-0</f>
        <v>1152.6000000000001</v>
      </c>
      <c r="AB288" s="3">
        <f>1485.1+(311.4-698.6)+(-2.272203+(-0.476442--1.068858))+0-0-0</f>
        <v>1096.2202129999998</v>
      </c>
      <c r="AC288" s="3">
        <f>1492.5+(283.9-775.6)+(-3.0447+(-0.579156--1.582224))+0-0-0</f>
        <v>998.7583679999999</v>
      </c>
      <c r="AD288">
        <f t="shared" si="4"/>
        <v>24703.580483000002</v>
      </c>
      <c r="AE288" s="3">
        <f>1855+(324.3-860.1)+(0+(0-0))+0-0-0</f>
        <v>1319.2</v>
      </c>
    </row>
    <row r="289" spans="1:31" s="2" customFormat="1" x14ac:dyDescent="0.25">
      <c r="A289">
        <v>89</v>
      </c>
      <c r="B289">
        <v>10</v>
      </c>
      <c r="C289">
        <v>13</v>
      </c>
      <c r="D289">
        <v>3</v>
      </c>
      <c r="E289">
        <v>1</v>
      </c>
      <c r="F289" s="3">
        <f>1305.4+(231.5-647.2)+(-2.663016+(-0.47226--1.320288))+0-0-0</f>
        <v>887.88501200000007</v>
      </c>
      <c r="G289" s="3">
        <f>1096.5+(268.2-503)+(-1.11843+(-0.273564--0.51306))+0-0-0</f>
        <v>860.82106600000009</v>
      </c>
      <c r="H289" s="3">
        <f>1067.4+(250-493.9)+(-1.088748+(-0.255--0.503778))+0-0-0</f>
        <v>822.66003000000012</v>
      </c>
      <c r="I289" s="3">
        <f>1066.9+(253.4-510.4)+(-1.632357+(-0.387702--0.780912))+0-0-0</f>
        <v>808.66085300000009</v>
      </c>
      <c r="J289" s="3">
        <f>1067.4+(284.9-538.7)+(1.633122+(0.435897-0.824211))+0-0-0</f>
        <v>814.84480800000006</v>
      </c>
      <c r="K289" s="3">
        <f>1113+(308.4-609.3)+(0+(0-0))+0-0-0</f>
        <v>812.1</v>
      </c>
      <c r="L289" s="3">
        <f>1113+(321.4-609.3)+(0+(0-0))+0-0-0</f>
        <v>825.1</v>
      </c>
      <c r="M289" s="3">
        <f>1316.4+(328-759.1)+(-1.342728+(-0.33456--0.774282))+0-0-0</f>
        <v>884.39699400000006</v>
      </c>
      <c r="N289" s="3">
        <f>1467.2+(378.8-908.3)+(-0.748272+(-0.193188--0.463233))+0-0-0</f>
        <v>937.2217730000001</v>
      </c>
      <c r="O289" s="3">
        <f>1585.3+(420.4-948.5)+(-1.617006+(-0.428808--0.96747))+0-0-0</f>
        <v>1056.1216559999998</v>
      </c>
      <c r="P289" s="3">
        <f>1703.8+(333.1-977.2)+(-3.475752+(-0.679524--1.993488))+0-0-0</f>
        <v>1057.5382119999999</v>
      </c>
      <c r="Q289" s="3">
        <f>1703.6+(280.5-928.2)+(-2.606508+(-0.429165--1.420146))+0-0-0</f>
        <v>1054.2844729999999</v>
      </c>
      <c r="R289" s="3">
        <f>1703.7+(280.5-956.2)+(-3.475548+(-0.57222--1.950648))+0-0-0</f>
        <v>1025.9028800000001</v>
      </c>
      <c r="S289" s="3">
        <f>1698.5+(258.3-975.3)+(-1.73247+(-0.263466--0.994806))+0-0-0</f>
        <v>980.49887000000001</v>
      </c>
      <c r="T289" s="3">
        <f>1701.8+(256.2-942.5)+(-0.867918+(-0.130662--0.480675))+0-0-0</f>
        <v>1014.982095</v>
      </c>
      <c r="U289" s="3">
        <f>1704.2+(248.4-974.9)+(-1.738284+(-0.253368--0.994398))+0-0-0</f>
        <v>976.70274600000005</v>
      </c>
      <c r="V289" s="3">
        <f>1807.7+(224.2-972.4)+(-4.609635+(-0.57171--2.47962))+0-0-0</f>
        <v>1056.7982750000001</v>
      </c>
      <c r="W289" s="3">
        <f>1915+(295.6-933.6)+(-4.88325+(-0.75378--2.38068))+0-0-0</f>
        <v>1273.7436499999999</v>
      </c>
      <c r="X289" s="3">
        <f>1915.8+(331.4-930)+(-3.908232+(-0.676056--1.8972))+0-0-0</f>
        <v>1314.5129119999999</v>
      </c>
      <c r="Y289" s="3">
        <f>1916.7+(313.8-952.9)+(-1.955034+(-0.320076--0.971958))+0-0-0</f>
        <v>1276.2968480000002</v>
      </c>
      <c r="Z289" s="3">
        <f>1847.9+(312.4-933.7)+(-1.884858+(-0.318648--0.952374))+0-0-0</f>
        <v>1225.3488679999998</v>
      </c>
      <c r="AA289" s="3">
        <f>1702.3+(355.5-890.9)+(0.868173+(0.181305-0.454359))+0-0-0</f>
        <v>1167.4951190000002</v>
      </c>
      <c r="AB289" s="3">
        <f>1701.4+(334.5-952.2)+(-2.603142+(-0.511785--1.456866))+0-0-0</f>
        <v>1082.041939</v>
      </c>
      <c r="AC289" s="3">
        <f>1548.2+(330.1-877.4)+(-3.94791+(-0.841755--2.23737))+0-0-0</f>
        <v>998.34770500000013</v>
      </c>
      <c r="AD289">
        <f t="shared" si="4"/>
        <v>24214.306784</v>
      </c>
      <c r="AE289" s="3">
        <f>1914+(307.9-909.3)+(0+(0-0))+0-0-0</f>
        <v>1312.6</v>
      </c>
    </row>
    <row r="290" spans="1:31" s="2" customFormat="1" x14ac:dyDescent="0.25">
      <c r="A290">
        <v>89</v>
      </c>
      <c r="B290">
        <v>10</v>
      </c>
      <c r="C290">
        <v>14</v>
      </c>
      <c r="D290">
        <v>4</v>
      </c>
      <c r="E290">
        <v>1</v>
      </c>
      <c r="F290" s="3">
        <f>1289.1+(287.5-651.3)+(-2.629764+(-0.5865--1.328652))+0-0-0</f>
        <v>923.41238799999996</v>
      </c>
      <c r="G290" s="3">
        <f>1182+(282.1-566.9)+(-1.20564+(-0.287742--0.578238))+0-0-0</f>
        <v>896.28485599999999</v>
      </c>
      <c r="H290" s="3">
        <f>1123.6+(261-573.8)+(0+(0-0))+0-0-0</f>
        <v>810.8</v>
      </c>
      <c r="I290" s="3">
        <f>1122.6+(239.6-546.8)+(-1.145052+(-0.244392--0.557736))+0-0-0</f>
        <v>814.56829199999993</v>
      </c>
      <c r="J290" s="3">
        <f>1122.3+(223.8-554.4)+(2.289492+(0.456552-1.130976))+0-0-0</f>
        <v>793.315068</v>
      </c>
      <c r="K290" s="3">
        <f>1180.7+(329-668.3)+(0.602157+(0.16779-0.340833))+0-0-0</f>
        <v>841.82911400000012</v>
      </c>
      <c r="L290" s="3">
        <f>1312.3+(315.8-734.3)+(-1.338546+(-0.322116--0.748986))+0-0-0</f>
        <v>892.88832400000001</v>
      </c>
      <c r="M290" s="3">
        <f>1433+(319.5-839.1)+(-2.19249+(-0.488835--1.283823))+0-0-0</f>
        <v>912.00249799999995</v>
      </c>
      <c r="N290" s="3">
        <f>1587.7+(305.4-898.8)+(-1.619454+(-0.311508--0.916776))+0-0-0</f>
        <v>993.28581400000007</v>
      </c>
      <c r="O290" s="3">
        <f>1788+(312.7-1039.8)+(-1.82376+(-0.318954--1.060596))+0-0-0</f>
        <v>1059.8178820000001</v>
      </c>
      <c r="P290" s="3">
        <f>1742.2+(293.7-991.2)+(-0.888522+(-0.149787--0.505512))+0-0-0</f>
        <v>1044.167203</v>
      </c>
      <c r="Q290" s="3">
        <f>1687+(333.7-959.3)+(-3.44148+(-0.680748--1.956972))+0-0-0</f>
        <v>1059.2347440000001</v>
      </c>
      <c r="R290" s="3">
        <f>1687.2+(290.3-942.7)+(-1.720944+(-0.296106--0.961554))+0-0-0</f>
        <v>1033.744504</v>
      </c>
      <c r="S290" s="3">
        <f>1687.6+(327.5-996.8)+(-1.721352+(-0.33405--1.016736))+0-0-0</f>
        <v>1017.2613339999999</v>
      </c>
      <c r="T290" s="3">
        <f>1686.7+(350.5-1035.7)+(-0.860217+(-0.178755--0.528207))+0-0-0</f>
        <v>1000.989235</v>
      </c>
      <c r="U290" s="3">
        <f>1687.2+(324.6-1014.9)+(0+(0-0))+0-0-0</f>
        <v>996.90000000000009</v>
      </c>
      <c r="V290" s="3">
        <f>1696.3+(325.5-960.4)+(-3.460452+(-0.66402--1.959216))+0-0-0</f>
        <v>1059.2347440000001</v>
      </c>
      <c r="W290" s="3">
        <f>1706.2+(247.9-697)+(0+(0-0))+0-0-0</f>
        <v>1257.0999999999999</v>
      </c>
      <c r="X290" s="3">
        <f>1707.9+(276.1-705)+(-1.742058+(-0.281622--0.7191))+0-0-0</f>
        <v>1277.69542</v>
      </c>
      <c r="Y290" s="3">
        <f>1706.7+(322.4-774.7)+(-0.870417+(-0.164424--0.395097))+0-0-0</f>
        <v>1253.760256</v>
      </c>
      <c r="Z290" s="3">
        <f>1706.8+(283.8-771.7)+(-4.35234+(-0.72369--1.967835))+0-0-0</f>
        <v>1215.7918049999998</v>
      </c>
      <c r="AA290" s="3">
        <f>1692.9+(301.5-821.3)+(0+(0-0))+0-0-0</f>
        <v>1173.1000000000001</v>
      </c>
      <c r="AB290" s="3">
        <f>1549.4+(287.5-746.4)+(-0.790194+(-0.146625--0.380664))+0-0-0</f>
        <v>1089.943845</v>
      </c>
      <c r="AC290" s="3">
        <f>1385+(348.2-721.4)+(-2.11905+(-0.532746--1.103742))+0-0-0</f>
        <v>1010.251946</v>
      </c>
      <c r="AD290">
        <f t="shared" si="4"/>
        <v>24427.379271999998</v>
      </c>
      <c r="AE290" s="3">
        <f>1708+(334.4-721.8)+(0+(0-0))+0-0-0</f>
        <v>1320.6</v>
      </c>
    </row>
    <row r="291" spans="1:31" s="2" customFormat="1" x14ac:dyDescent="0.25">
      <c r="A291">
        <v>89</v>
      </c>
      <c r="B291">
        <v>10</v>
      </c>
      <c r="C291">
        <v>15</v>
      </c>
      <c r="D291">
        <v>5</v>
      </c>
      <c r="E291">
        <v>1</v>
      </c>
      <c r="F291" s="3">
        <f>1162.8+(360.9-598.7)+(-2.372112+(-0.736236--1.221348))+0-0-0</f>
        <v>923.11299999999994</v>
      </c>
      <c r="G291" s="3">
        <f>916.2+(357.9-403.4)+(-0.934524+(-0.365058--0.411468))+0-0-0</f>
        <v>869.81188600000007</v>
      </c>
      <c r="H291" s="3">
        <f>922.3+(318.8-388.8)+(-0.470373+(-0.162588--0.198288))+0-0-0</f>
        <v>851.86532699999998</v>
      </c>
      <c r="I291" s="3">
        <f>920.3+(297.8-389)+(-0.469353+(-0.151878--0.19839))+0-0-0</f>
        <v>828.67715899999996</v>
      </c>
      <c r="J291" s="3">
        <f>920.5+(361.1-458.8)+(-0.469455+(-0.184161--0.233988))+0-0-0</f>
        <v>822.38037199999997</v>
      </c>
      <c r="K291" s="3">
        <f>936.4+(335.1-432.4)+(-0.955128+(-0.341802--0.441048))+0-0-0</f>
        <v>838.24411800000007</v>
      </c>
      <c r="L291" s="3">
        <f>1147.2+(279.9-541.4)+(-1.170144+(-0.285498--0.552228))+0-0-0</f>
        <v>884.79658600000005</v>
      </c>
      <c r="M291" s="3">
        <f>1333.8+(211.5-660.1)+(-1.360476+(-0.21573--0.673302))+0-0-0</f>
        <v>884.2970959999999</v>
      </c>
      <c r="N291" s="3">
        <f>1591.1+(281.2-860.8)+(-3.245844+(-0.573648--1.756032))+0-0-0</f>
        <v>1009.43654</v>
      </c>
      <c r="O291" s="3">
        <f>1673.9+(338.4-949.7)+(-0.853689+(-0.172584--0.484347))+0-0-0</f>
        <v>1062.0580739999998</v>
      </c>
      <c r="P291" s="3">
        <f>1683.4+(345.2-953.8)+(-0.858534+(-0.176052--0.486438))+0-0-0</f>
        <v>1074.2518520000001</v>
      </c>
      <c r="Q291" s="3">
        <f>1683.5+(337.2-950.9)+(-0.858585+(-0.171972--0.484959))+0-0-0</f>
        <v>1069.254402</v>
      </c>
      <c r="R291" s="3">
        <f>1683.6+(350.3-998.5)+(-1.717272+(-0.357306--1.01847))+0-0-0</f>
        <v>1034.3438919999999</v>
      </c>
      <c r="S291" s="3">
        <f>1683.2+(367.5-993.4)+(-2.575296+(-0.562275--1.519902))+0-0-0</f>
        <v>1055.6823310000002</v>
      </c>
      <c r="T291" s="3">
        <f>1683.3+(365.9-1034)+(-1.716966+(-0.373218--1.05468))+0-0-0</f>
        <v>1014.164496</v>
      </c>
      <c r="U291" s="3">
        <f>1683.1+(349.2-1030.5)+(4.291905+(0.89046-2.627775))+0-0-0</f>
        <v>1004.3545899999999</v>
      </c>
      <c r="V291" s="3">
        <f>1690.5+(213-837.5)+(-2.586465+(-0.32589--1.281375))+0-0-0</f>
        <v>1064.3690200000001</v>
      </c>
      <c r="W291" s="3">
        <f>1709.9+(223.3-660.6)+(0.872049+(0.113883-0.336906))+0-0-0</f>
        <v>1273.2490260000002</v>
      </c>
      <c r="X291" s="3">
        <f>1710.1+(226.4-662.6)+(-3.488604+(-0.461856--1.351704))+0-0-0</f>
        <v>1271.3012439999998</v>
      </c>
      <c r="Y291" s="3">
        <f>1709.9+(247.9-707.3)+(-2.616147+(-0.379287--1.082169))+0-0-0</f>
        <v>1248.5867350000001</v>
      </c>
      <c r="Z291" s="3">
        <f>1709.8+(311.3-811)+(-0.871998+(-0.158763--0.41361))+0-0-0</f>
        <v>1209.482849</v>
      </c>
      <c r="AA291" s="3">
        <f>1704+(334.2-864.1)+(-2.60712+(-0.511326--1.322073))+0-0-0</f>
        <v>1172.303627</v>
      </c>
      <c r="AB291" s="3">
        <f>1527.4+(357.8-780.7)+(-3.89487+(-0.91239--1.990785))+0-0-0</f>
        <v>1101.6835249999999</v>
      </c>
      <c r="AC291" s="3">
        <f>1278.5+(326.2-591.8)+(-3.260175+(-0.83181--1.50909))+0-0-0</f>
        <v>1010.3171050000001</v>
      </c>
      <c r="AD291">
        <f t="shared" si="4"/>
        <v>24578.024852000002</v>
      </c>
      <c r="AE291" s="3">
        <f>1711+(255.4-662.3)+(0+(0-0))+0-0-0</f>
        <v>1304.0999999999999</v>
      </c>
    </row>
    <row r="292" spans="1:31" s="2" customFormat="1" x14ac:dyDescent="0.25">
      <c r="A292">
        <v>89</v>
      </c>
      <c r="B292">
        <v>10</v>
      </c>
      <c r="C292">
        <v>16</v>
      </c>
      <c r="D292">
        <v>6</v>
      </c>
      <c r="E292">
        <v>1</v>
      </c>
      <c r="F292" s="3">
        <f>1179+(313.8-539.8)+(-1.20258+(-0.320076--0.550596))+0-0-0</f>
        <v>952.02793999999994</v>
      </c>
      <c r="G292" s="3">
        <f>989.6+(286.8-388)+(-1.514088+(-0.438804--0.59364))+0-0-0</f>
        <v>887.04074800000012</v>
      </c>
      <c r="H292" s="3">
        <f>921.8+(292.7-351.1)+(-1.880472+(-0.597108--0.716244))+0-0-0</f>
        <v>861.63866399999984</v>
      </c>
      <c r="I292" s="3">
        <f>921.7+(276.8-355.9)+(-1.410201+(-0.423504--0.544527))+0-0-0</f>
        <v>841.31082200000014</v>
      </c>
      <c r="J292" s="3">
        <f>921.7+(268.3-360.9)+(-0.470067+(-0.136833--0.184059))+0-0-0</f>
        <v>828.67715900000019</v>
      </c>
      <c r="K292" s="3">
        <f>921.7+(279-350.2)+(0+(0-0))+0-0-0</f>
        <v>850.5</v>
      </c>
      <c r="L292" s="3">
        <f>1029+(244.1-377.9)+(-0.52479+(-0.124491--0.192729))+0-0-0</f>
        <v>894.74344800000006</v>
      </c>
      <c r="M292" s="3">
        <f>1182.4+(243.3-464.9)+(0+(0-0))+0-0-0</f>
        <v>960.80000000000018</v>
      </c>
      <c r="N292" s="3">
        <f>1339.2+(218-550.5)+(-0.682992+(-0.11118--0.280755))+0-0-0</f>
        <v>1006.186583</v>
      </c>
      <c r="O292" s="3">
        <f>1511.6+(225.9-663.5)+(-1.541832+(-0.230418--0.67677))+0-0-0</f>
        <v>1072.90452</v>
      </c>
      <c r="P292" s="3">
        <f>1654.2+(214.8-789.9)+(0+(0-0))+0-0-0</f>
        <v>1079.1000000000001</v>
      </c>
      <c r="Q292" s="3">
        <f>1654.2+(223.4-788)+(-1.687284+(-0.227868--0.80376))+0-0-0</f>
        <v>1088.4886079999999</v>
      </c>
      <c r="R292" s="3">
        <f>1595.3+(224.4-807.1)+(-4.881618+(-0.686664--2.469726))+0-0-0</f>
        <v>1009.5014439999999</v>
      </c>
      <c r="S292" s="3">
        <f>1595.2+(167.1-760)+(-2.440656+(-0.255663--1.1628))+0-0-0</f>
        <v>1000.7664810000001</v>
      </c>
      <c r="T292" s="3">
        <f>1595.1+(171.9-770.9)+(-1.627002+(-0.175338--0.786318))+0-0-0</f>
        <v>995.08397799999989</v>
      </c>
      <c r="U292" s="3">
        <f>1684.7+(170.2-841.9)+(0+(0-0))+0-0-0</f>
        <v>1013</v>
      </c>
      <c r="V292" s="3">
        <f>1788.8+(105.4-821)+(-1.824576+(-0.107508--0.83742))+0-0-0</f>
        <v>1072.1053359999999</v>
      </c>
      <c r="W292" s="3">
        <f>1846+(144.7-729.3)+(0+(0-0))+0-0-0</f>
        <v>1261.4000000000001</v>
      </c>
      <c r="X292" s="3">
        <f>1851.8+(146.6-706.9)+(-4.72209+(-0.37383--1.802595))+0-0-0</f>
        <v>1288.2066749999999</v>
      </c>
      <c r="Y292" s="3">
        <f>1847.5+(135.1-731)+(-2.826675+(-0.206703--1.11843))+0-0-0</f>
        <v>1249.6850519999998</v>
      </c>
      <c r="Z292" s="3">
        <f>1843.7+(176-792.5)+(-0.940287+(-0.08976--0.404175))+0-0-0</f>
        <v>1226.574128</v>
      </c>
      <c r="AA292" s="3">
        <f>1756.9+(220.1-799)+(-1.792038+(-0.224502--0.81498))+0-0-0</f>
        <v>1176.79844</v>
      </c>
      <c r="AB292" s="3">
        <f>1689.7+(205.5-808.1)+(-0.861747+(-0.104805--0.412131))+0-0-0</f>
        <v>1086.5455789999999</v>
      </c>
      <c r="AC292" s="3">
        <f>1609.8+(245.5-822.1)+(-2.462994+(-0.375615--1.257813))+0-0-0</f>
        <v>1031.6192039999999</v>
      </c>
      <c r="AD292">
        <f t="shared" si="4"/>
        <v>24734.704809000003</v>
      </c>
      <c r="AE292" s="3">
        <f>1848+(152.2-702)+(0+(0-0))+0-0-0</f>
        <v>1298.2</v>
      </c>
    </row>
    <row r="293" spans="1:31" s="2" customFormat="1" x14ac:dyDescent="0.25">
      <c r="A293">
        <v>89</v>
      </c>
      <c r="B293">
        <v>10</v>
      </c>
      <c r="C293">
        <v>17</v>
      </c>
      <c r="D293">
        <v>7</v>
      </c>
      <c r="E293">
        <v>1</v>
      </c>
      <c r="F293" s="3">
        <f>1535.8+(274.5-862)+(-0.783258+(-0.139995--0.43962))+0-0-0</f>
        <v>947.8163669999999</v>
      </c>
      <c r="G293" s="3">
        <f>1540.6+(260.8-895.6)+(-2.357118+(-0.399024--1.370268))+0-0-0</f>
        <v>904.41412600000001</v>
      </c>
      <c r="H293" s="3">
        <f>1435.4+(194-772.7)+(0+(0-0))+0-0-0</f>
        <v>856.7</v>
      </c>
      <c r="I293" s="3">
        <f>1311.9+(183-659.9)+(0.669069+(0.09333-0.336549))+0-0-0</f>
        <v>835.42585000000008</v>
      </c>
      <c r="J293" s="3">
        <f>1307.4+(209-654.9)+(-1.333548+(-0.21318--0.667998))+0-0-0</f>
        <v>860.6212700000001</v>
      </c>
      <c r="K293" s="3">
        <f>1326.1+(189-680.4)+(0.676311+(0.09639-0.347004))+0-0-0</f>
        <v>835.12569699999995</v>
      </c>
      <c r="L293" s="3">
        <f>1510.7+(197-853)+(-3.852285+(-0.50235--2.17515))+0-0-0</f>
        <v>852.52051500000005</v>
      </c>
      <c r="M293" s="3">
        <f>1517.8+(199-894.9)+(0+(0-0))+0-0-0</f>
        <v>821.9</v>
      </c>
      <c r="N293" s="3">
        <f>1525.6+(202-882.9)+(0+(0-0))+0-0-0</f>
        <v>844.69999999999993</v>
      </c>
      <c r="O293" s="3">
        <f>1525.4+(221.7-873.7)+(3.111816+(0.452268-1.782348))+0-0-0</f>
        <v>875.18173600000011</v>
      </c>
      <c r="P293" s="3">
        <f>1597+(254.2-909.1)+(-2.44341+(-0.388926--1.390923))+0-0-0</f>
        <v>940.6585869999999</v>
      </c>
      <c r="Q293" s="3">
        <f>1579.7+(250.5-874.6)+(-0.805647+(-0.127755--0.446046))+0-0-0</f>
        <v>955.11264400000005</v>
      </c>
      <c r="R293" s="3">
        <f>1492.6+(252.5-810.1)+(-2.283678+(-0.386325--1.239453))+0-0-0</f>
        <v>933.56944999999985</v>
      </c>
      <c r="S293" s="3">
        <f>1405.7+(239.9-745.4)+(-1.433814+(-0.244698--0.760308))+0-0-0</f>
        <v>899.2817960000001</v>
      </c>
      <c r="T293" s="3">
        <f>1188.9+(259.1-576.7)+(1.212678+(0.264282-0.588234))+0-0-0</f>
        <v>872.18872600000009</v>
      </c>
      <c r="U293" s="3">
        <f>1137.3+(226.8-501.1)+(0+(0-0))+0-0-0</f>
        <v>863</v>
      </c>
      <c r="V293" s="3">
        <f>1265.5+(229.8-528.2)+(-3.87243+(-0.703188--1.616292))+0-0-0</f>
        <v>964.14067399999988</v>
      </c>
      <c r="W293" s="3">
        <f>1422.5+(249.2-530.3)+(-0.725475+(-0.127092--0.270453))+0-0-0</f>
        <v>1140.817886</v>
      </c>
      <c r="X293" s="3">
        <f>1436.4+(249.1-522.6)+(-2.197692+(-0.381123--0.799578))+0-0-0</f>
        <v>1161.1207630000001</v>
      </c>
      <c r="Y293" s="3">
        <f>1436.1+(249.7-522.8)+(0+(0-0))+0-0-0</f>
        <v>1163</v>
      </c>
      <c r="Z293" s="3">
        <f>1436.1+(248.8-545.3)+(-2.929644+(-0.507552--1.112412))+0-0-0</f>
        <v>1137.275216</v>
      </c>
      <c r="AA293" s="3">
        <f>1329.4+(275.2-509.1)+(-0.677994+(-0.140352--0.259641))+0-0-0</f>
        <v>1094.9412950000001</v>
      </c>
      <c r="AB293" s="3">
        <f>1317+(284.1-566.4)+(-0.67167+(-0.144891--0.288864))+0-0-0</f>
        <v>1034.1723030000001</v>
      </c>
      <c r="AC293" s="3">
        <f>1193.1+(333.2-566.1)+(-1.825443+(-0.509796--0.866133))+0-0-0</f>
        <v>958.73089399999981</v>
      </c>
      <c r="AD293">
        <f t="shared" si="4"/>
        <v>22752.415794999997</v>
      </c>
      <c r="AE293" s="3">
        <f>1432+(259.8-522.7)+(0+(0-0))+0-0-0</f>
        <v>1169.0999999999999</v>
      </c>
    </row>
    <row r="294" spans="1:31" s="2" customFormat="1" x14ac:dyDescent="0.25">
      <c r="A294">
        <v>89</v>
      </c>
      <c r="B294">
        <v>10</v>
      </c>
      <c r="C294">
        <v>18</v>
      </c>
      <c r="D294">
        <v>1</v>
      </c>
      <c r="E294">
        <v>1</v>
      </c>
      <c r="F294" s="3">
        <f>1132.6+(248.3-508.9)+(-2.88813+(-0.633165--1.297695))+0-0-0</f>
        <v>869.77639999999997</v>
      </c>
      <c r="G294" s="3">
        <f>1132.2+(211-511.3)+(-1.154844+(-0.21522--0.521526))+0-0-0</f>
        <v>831.05146200000013</v>
      </c>
      <c r="H294" s="3">
        <f>1132.4+(196.4-518.3)+(-2.88762+(-0.50082--1.321665))+0-0-0</f>
        <v>808.43322500000011</v>
      </c>
      <c r="I294" s="3">
        <f>1132.7+(195.9-526.5)+(-1.155354+(-0.199818--0.53703))+0-0-0</f>
        <v>801.28185800000006</v>
      </c>
      <c r="J294" s="3">
        <f>1132.2+(192.8-525.8)+(-0.577422+(-0.098328--0.268158))+0-0-0</f>
        <v>798.79240800000002</v>
      </c>
      <c r="K294" s="3">
        <f>1132.5+(196.4-523.3)+(-1.15515+(-0.200328--0.533766))+0-0-0</f>
        <v>804.77828799999997</v>
      </c>
      <c r="L294" s="3">
        <f>1212.7+(239.9-587.5)+(-0.618477+(-0.122349--0.299625))+0-0-0</f>
        <v>864.65879900000004</v>
      </c>
      <c r="M294" s="3">
        <f>1332.5+(209.9-623.6)+(0.679575+(0.107049-0.318036))+0-0-0</f>
        <v>919.26858799999991</v>
      </c>
      <c r="N294" s="3">
        <f>1447.8+(286.7-739.5)+(0+(0-0))+0-0-0</f>
        <v>995</v>
      </c>
      <c r="O294" s="3">
        <f>1783.9+(214.4-937.5)+(-0.909789+(-0.109344--0.478125))+0-0-0</f>
        <v>1060.2589920000003</v>
      </c>
      <c r="P294" s="3">
        <f>1859.6+(226.5-1014.5)+(-1.896792+(-0.23103--1.03479))+0-0-0</f>
        <v>1070.5069679999999</v>
      </c>
      <c r="Q294" s="3">
        <f>1854.3+(227.6-1008.3)+(-0.945693+(-0.116076--0.514233))+0-0-0</f>
        <v>1073.0524639999999</v>
      </c>
      <c r="R294" s="3">
        <f>1849+(207.1-1007.7)+(-0.94299+(-0.105621--0.513927))+0-0-0</f>
        <v>1047.8653160000001</v>
      </c>
      <c r="S294" s="3">
        <f>1848.1+(220.5-1034.9)+(-1.885062+(-0.22491--1.055598))+0-0-0</f>
        <v>1032.6456259999998</v>
      </c>
      <c r="T294" s="3">
        <f>1848.7+(234.3-1068.4)+(-1.885674+(-0.238986--1.089768))+0-0-0</f>
        <v>1013.5651079999999</v>
      </c>
      <c r="U294" s="3">
        <f>1848.2+(222.1-1039)+(0+(0-0))+0-0-0</f>
        <v>1031.3000000000002</v>
      </c>
      <c r="V294" s="3">
        <f>1851.5+(215.8-982.7)+(0+(0-0))+0-0-0</f>
        <v>1084.5999999999999</v>
      </c>
      <c r="W294" s="3">
        <f>1919.4+(208.8-864.4)+(1.957788+(0.212976-0.881688))+0-0-0</f>
        <v>1265.0890760000002</v>
      </c>
      <c r="X294" s="3">
        <f>1922.4+(201.4-833.9)+(-2.941272+(-0.308142--1.275867))+0-0-0</f>
        <v>1287.926453</v>
      </c>
      <c r="Y294" s="3">
        <f>1922.1+(190.4-855.5)+(-3.921084+(-0.388416--1.74522))+0-0-0</f>
        <v>1254.4357199999999</v>
      </c>
      <c r="Z294" s="3">
        <f>1880.2+(200.1-862.4)+(-1.917804+(-0.204102--0.879648))+0-0-0</f>
        <v>1216.6577420000001</v>
      </c>
      <c r="AA294" s="3">
        <f>1709.8+(198.6-753.6)+(-1.743996+(-0.202572--0.768672))+0-0-0</f>
        <v>1153.622104</v>
      </c>
      <c r="AB294" s="3">
        <f>1531.8+(204.7-645)+(-0.781218+(-0.104397--0.32895))+0-0-0</f>
        <v>1090.9433349999999</v>
      </c>
      <c r="AC294" s="3">
        <f>1501.4+(226.4-716.1)+(-3.062856+(-0.461856--1.460844))+0-0-0</f>
        <v>1009.6361320000001</v>
      </c>
      <c r="AD294">
        <f t="shared" si="4"/>
        <v>24385.146063999997</v>
      </c>
      <c r="AE294" s="3">
        <f>1920+(224.3-828.3)+(0+(0-0))+0-0-0</f>
        <v>1316</v>
      </c>
    </row>
    <row r="295" spans="1:31" s="2" customFormat="1" x14ac:dyDescent="0.25">
      <c r="A295">
        <v>89</v>
      </c>
      <c r="B295">
        <v>10</v>
      </c>
      <c r="C295">
        <v>19</v>
      </c>
      <c r="D295">
        <v>2</v>
      </c>
      <c r="E295">
        <v>1</v>
      </c>
      <c r="F295" s="3">
        <f>1239.3+(249.4-553.8)+(-1.896129+(-0.381582--0.847314))+0-0-0</f>
        <v>933.46960300000001</v>
      </c>
      <c r="G295" s="3">
        <f>1126.4+(247.4-478.8)+(-3.446784+(-0.757044--1.465128))+0-0-0</f>
        <v>892.26130000000012</v>
      </c>
      <c r="H295" s="3">
        <f>1128+(234.7-500.2)+(0.57528+(0.119697-0.255102))+0-0-0</f>
        <v>862.93987500000003</v>
      </c>
      <c r="I295" s="3">
        <f>1127.9+(225.5-496.8)+(-1.725687+(-0.345015--0.760104))+0-0-0</f>
        <v>855.28940200000011</v>
      </c>
      <c r="J295" s="3">
        <f>1127.5+(225.1-491.6)+(1.15005+(0.229602-0.501432))+0-0-0</f>
        <v>861.87822000000006</v>
      </c>
      <c r="K295" s="3">
        <f>1128.1+(237.4-491.5)+(-1.150662+(-0.242148--0.50133))+0-0-0</f>
        <v>873.10851999999988</v>
      </c>
      <c r="L295" s="3">
        <f>1204.9+(260.2-545.8)+(-2.457996+(-0.530808--1.113432))+0-0-0</f>
        <v>917.42462800000021</v>
      </c>
      <c r="M295" s="3">
        <f>1525.8+(237.2-787.8)+(-2.334474+(-0.362916--1.205334))+0-0-0</f>
        <v>973.707944</v>
      </c>
      <c r="N295" s="3">
        <f>1839.2+(240.9-1009.4)+(0.937992+(0.122859-0.514794))+0-0-0</f>
        <v>1071.2460570000001</v>
      </c>
      <c r="O295" s="3">
        <f>2017.3+(242.1-1007.5)+(-1.028823+(-0.123471--0.513825))+0-0-0</f>
        <v>1251.2615310000001</v>
      </c>
      <c r="P295" s="3">
        <f>1882.5+(245.3-990.6)+(0+(0-0))+0-0-0</f>
        <v>1137.2</v>
      </c>
      <c r="Q295" s="3">
        <f>1882.2+(241.9-975.4)+(0+(0-0))+0-0-0</f>
        <v>1148.7</v>
      </c>
      <c r="R295" s="3">
        <f>1881.4+(230.8-1000.3)+(-3.838056+(-0.470832--2.040612))+0-0-0</f>
        <v>1109.6317240000001</v>
      </c>
      <c r="S295" s="3">
        <f>1881+(205-1004.4)+(-1.91862+(-0.2091--1.024488))+0-0-0</f>
        <v>1080.496768</v>
      </c>
      <c r="T295" s="3">
        <f>1877.5+(219.3-1031.5)+(-3.8301+(-0.447372--2.10426))+0-0-0</f>
        <v>1063.126788</v>
      </c>
      <c r="U295" s="3">
        <f>1878.7+(205.4-1002.1)+(0+(0-0))+0-0-0</f>
        <v>1082</v>
      </c>
      <c r="V295" s="3">
        <f>1877.3+(222.4-939.8)+(0+(0-0))+0-0-0</f>
        <v>1159.9000000000001</v>
      </c>
      <c r="W295" s="3">
        <f>1918.1+(230.2-842.8)+(0+(0-0))+0-0-0</f>
        <v>1305.5</v>
      </c>
      <c r="X295" s="3">
        <f>1918.3+(227.7-820.5)+(-2.934999+(-0.348381--1.255365))+0-0-0</f>
        <v>1323.4719849999999</v>
      </c>
      <c r="Y295" s="3">
        <f>1919.4+(203.8-831.9)+(-2.936682+(-0.311814--1.272807))+0-0-0</f>
        <v>1289.3243110000001</v>
      </c>
      <c r="Z295" s="3">
        <f>1919.5+(218.7-880.1)+(-1.95789+(-0.223074--0.897702))+0-0-0</f>
        <v>1256.816738</v>
      </c>
      <c r="AA295" s="3">
        <f>1885.9+(223.3-890.9)+(-1.923618+(-0.227766--0.908718))+0-0-0</f>
        <v>1217.0573340000001</v>
      </c>
      <c r="AB295" s="3">
        <f>1851.1+(212.2-917.7)+(-3.776244+(-0.432888--1.872108))+0-0-0</f>
        <v>1143.262976</v>
      </c>
      <c r="AC295" s="3">
        <f>1664.1+(215.6-824.3)+(-0.848691+(-0.109956--0.420393))+0-0-0</f>
        <v>1054.861746</v>
      </c>
      <c r="AD295">
        <f t="shared" si="4"/>
        <v>25863.937450000001</v>
      </c>
      <c r="AE295" s="3">
        <f>1930+(230.5-816.6)+(0+(0-0))+0-0-0</f>
        <v>1343.9</v>
      </c>
    </row>
    <row r="296" spans="1:31" s="2" customFormat="1" x14ac:dyDescent="0.25">
      <c r="A296">
        <v>89</v>
      </c>
      <c r="B296">
        <v>10</v>
      </c>
      <c r="C296">
        <v>20</v>
      </c>
      <c r="D296">
        <v>3</v>
      </c>
      <c r="E296">
        <v>1</v>
      </c>
      <c r="F296" s="3">
        <f>1532.2+(213.4-760.3)+(-2.344266+(-0.326502--1.163259))+0-0-0</f>
        <v>983.79249100000004</v>
      </c>
      <c r="G296" s="3">
        <f>1200.6+(253.2-530.9)+(-1.836918+(-0.387396--0.812277))+0-0-0</f>
        <v>921.48796299999981</v>
      </c>
      <c r="H296" s="3">
        <f>1126+(267.4-486.7)+(1.72278+(0.409122-0.744651))+0-0-0</f>
        <v>908.08725100000004</v>
      </c>
      <c r="I296" s="3">
        <f>1127.2+(255-462.2)+(-1.149744+(-0.2601--0.471444))+0-0-0</f>
        <v>919.0616</v>
      </c>
      <c r="J296" s="3">
        <f>1127.3+(232-470.2)+(-1.149846+(-0.23664--0.479604))+0-0-0</f>
        <v>888.19311799999991</v>
      </c>
      <c r="K296" s="3">
        <f>1256+(209.1-565.5)+(0+(0-0))+0-0-0</f>
        <v>899.6</v>
      </c>
      <c r="L296" s="3">
        <f>1448.6+(195.7-699.5)+(-0.738786+(-0.099807--0.356745))+0-0-0</f>
        <v>944.31815199999994</v>
      </c>
      <c r="M296" s="3">
        <f>1604.5+(214.7-810.4)+(1.63659+(0.218994-0.826608))+0-0-0</f>
        <v>1009.828976</v>
      </c>
      <c r="N296" s="3">
        <f>1717.3+(202.2-839)+(0+(0-0))+0-0-0</f>
        <v>1080.5</v>
      </c>
      <c r="O296" s="3">
        <f>1716.3+(226.8-793.4)+(0+(0-0))+0-0-0</f>
        <v>1149.7</v>
      </c>
      <c r="P296" s="3">
        <f>1698.6+(215.1-734.6)+(-1.732572+(-0.219402--0.749292))+0-0-0</f>
        <v>1177.8973179999998</v>
      </c>
      <c r="Q296" s="3">
        <f>1712.4+(201-729.5)+(-0.873324+(-0.10251--0.372045))+0-0-0</f>
        <v>1183.2962110000001</v>
      </c>
      <c r="R296" s="3">
        <f>1715.3+(165.3-744.8)+(-6.123621+(-0.590121--2.658936))+0-0-0</f>
        <v>1131.7451939999999</v>
      </c>
      <c r="S296" s="3">
        <f>1644.1+(175.3-731.1)+(-0.838491+(-0.089403--0.372861))+0-0-0</f>
        <v>1087.7449669999999</v>
      </c>
      <c r="T296" s="3">
        <f>1622.3+(185.8-743.5)+(0+(0-0))+0-0-0</f>
        <v>1064.5999999999999</v>
      </c>
      <c r="U296" s="3">
        <f>1635.6+(185.1-747.3)+(0+(0-0))+0-0-0</f>
        <v>1073.4000000000001</v>
      </c>
      <c r="V296" s="3">
        <f>1787.9+(150.8-782.5)+(-4.559145+(-0.38454--1.995375))+0-0-0</f>
        <v>1153.2516900000001</v>
      </c>
      <c r="W296" s="3">
        <f>1919.1+(111.3-745.6)+(0+(0-0))+0-0-0</f>
        <v>1284.7999999999997</v>
      </c>
      <c r="X296" s="3">
        <f>1918.6+(112.5-731)+(-3.913944+(-0.2295--1.49124))+0-0-0</f>
        <v>1297.4477959999999</v>
      </c>
      <c r="Y296" s="3">
        <f>1917.7+(153.2-811.1)+(-2.934081+(-0.234396--1.240983))+0-0-0</f>
        <v>1257.8725059999999</v>
      </c>
      <c r="Z296" s="3">
        <f>1760.9+(172.9-725.6)+(-0.898059+(-0.088179--0.370056))+0-0-0</f>
        <v>1207.5838180000001</v>
      </c>
      <c r="AA296" s="3">
        <f>1709.3+(200-760.4)+(1.743486+(0.204-0.775608))+0-0-0</f>
        <v>1150.0718780000002</v>
      </c>
      <c r="AB296" s="3">
        <f>1708.9+(214.4-831.4)+(-1.743078+(-0.218688--0.848028))+0-0-0</f>
        <v>1090.7862620000001</v>
      </c>
      <c r="AC296" s="3">
        <f>1684.9+(207.7-881.8)+(-1.718598+(-0.211854--0.899436))+0-0-0</f>
        <v>1009.7689840000002</v>
      </c>
      <c r="AD296">
        <f t="shared" si="4"/>
        <v>25874.836175</v>
      </c>
      <c r="AE296" s="3">
        <f>1933+(104-717)+(0+(0-0))+0-0-0</f>
        <v>1320</v>
      </c>
    </row>
    <row r="297" spans="1:31" s="2" customFormat="1" x14ac:dyDescent="0.25">
      <c r="A297">
        <v>89</v>
      </c>
      <c r="B297">
        <v>10</v>
      </c>
      <c r="C297">
        <v>21</v>
      </c>
      <c r="D297">
        <v>4</v>
      </c>
      <c r="E297">
        <v>1</v>
      </c>
      <c r="F297" s="3">
        <f>1591+(205.4-853.3)+(-1.62282+(-0.209508--0.870366))+0-0-0</f>
        <v>942.13803800000005</v>
      </c>
      <c r="G297" s="3">
        <f>1188.5+(218.1-537.9)+(-1.21227+(-0.222462--0.548658))+0-0-0</f>
        <v>867.81392600000004</v>
      </c>
      <c r="H297" s="3">
        <f>1132.6+(235.3-516.8)+(0.577626+(0.120003-0.263568))+0-0-0</f>
        <v>851.53406099999995</v>
      </c>
      <c r="I297" s="3">
        <f>1131.2+(217.8-507.2)+(0.576912+(0.111078-0.258672))+0-0-0</f>
        <v>842.22931800000003</v>
      </c>
      <c r="J297" s="3">
        <f>1131.2+(216.6-499.8)+(1.153824+(0.220932-0.509796))+0-0-0</f>
        <v>848.86496</v>
      </c>
      <c r="K297" s="3">
        <f>1190.2+(209.2-543.3)+(-0.607002+(-0.106692--0.277083))+0-0-0</f>
        <v>855.66338900000017</v>
      </c>
      <c r="L297" s="3">
        <f>1288.1+(195.3-575.3)+(-3.941586+(-0.597618--1.760418))+0-0-0</f>
        <v>905.32121399999994</v>
      </c>
      <c r="M297" s="3">
        <f>1426.4+(200.5-677.6)+(0+(0-0))+0-0-0</f>
        <v>949.30000000000007</v>
      </c>
      <c r="N297" s="3">
        <f>1641.4+(209-838.4)+(-1.674228+(-0.21318--0.855168))+0-0-0</f>
        <v>1010.9677600000001</v>
      </c>
      <c r="O297" s="3">
        <f>1869.4+(204.2-972.9)+(-0.953394+(-0.104142--0.496179))+0-0-0</f>
        <v>1100.138643</v>
      </c>
      <c r="P297" s="3">
        <f>1850.7+(211.3-935.4)+(0.943857+(0.107763-0.477054))+0-0-0</f>
        <v>1127.1745660000001</v>
      </c>
      <c r="Q297" s="3">
        <f>1864.4+(204.6-931.2)+(-2.852532+(-0.313038--1.424736))+0-0-0</f>
        <v>1136.0591660000002</v>
      </c>
      <c r="R297" s="3">
        <f>1874.9+(191.6-961.1)+(-4.780995+(-0.48858--2.450805))+0-0-0</f>
        <v>1102.58123</v>
      </c>
      <c r="S297" s="3">
        <f>1878.1+(190.7-983.2)+(0+(0-0))+0-0-0</f>
        <v>1085.5999999999999</v>
      </c>
      <c r="T297" s="3">
        <f>1877.8+(197-1011.1)+(0.957678+(0.10047-0.515661))+0-0-0</f>
        <v>1064.2424869999998</v>
      </c>
      <c r="U297" s="3">
        <f>1876.9+(163.5-961.6)+(0+(0-0))+0-0-0</f>
        <v>1078.8000000000002</v>
      </c>
      <c r="V297" s="3">
        <f>1878.3+(137.7-872.4)+(-0.957933+(-0.070227--0.444924))+0-0-0</f>
        <v>1143.016764</v>
      </c>
      <c r="W297" s="3">
        <f>1918.4+(136.7-773)+(0.978384+(0.069717-0.39423))+0-0-0</f>
        <v>1282.7538710000001</v>
      </c>
      <c r="X297" s="3">
        <f>1921.5+(159.8-760.6)+(-2.939895+(-0.244494--1.163718))+0-0-0</f>
        <v>1318.6793290000001</v>
      </c>
      <c r="Y297" s="3">
        <f>1921.5+(171.5-803)+(-3.91986+(-0.34986--1.63812))+0-0-0</f>
        <v>1287.3684000000001</v>
      </c>
      <c r="Z297" s="3">
        <f>1921.1+(190.1-870.3)+(-3.919044+(-0.387804--1.775412))+0-0-0</f>
        <v>1238.3685640000001</v>
      </c>
      <c r="AA297" s="3">
        <f>1861.5+(196.3-869.9)+(-3.79746+(-0.400452--1.774596))+0-0-0</f>
        <v>1185.4766840000002</v>
      </c>
      <c r="AB297" s="3">
        <f>1771.2+(213.1-855.6)+(-2.709936+(-0.326043--1.309068))+0-0-0</f>
        <v>1126.9730890000001</v>
      </c>
      <c r="AC297" s="3">
        <f>1649.1+(203.8-801.9)+(-5.887287+(-0.727566--2.862783))+0-0-0</f>
        <v>1047.24793</v>
      </c>
      <c r="AD297">
        <f t="shared" si="4"/>
        <v>25398.313389000003</v>
      </c>
      <c r="AE297" s="3">
        <f>1918+(149.6-748.9)+(0+(0-0))+0-0-0</f>
        <v>1318.7</v>
      </c>
    </row>
    <row r="298" spans="1:31" s="2" customFormat="1" x14ac:dyDescent="0.25">
      <c r="A298">
        <v>89</v>
      </c>
      <c r="B298">
        <v>10</v>
      </c>
      <c r="C298">
        <v>22</v>
      </c>
      <c r="D298">
        <v>5</v>
      </c>
      <c r="E298">
        <v>1</v>
      </c>
      <c r="F298" s="3">
        <f>1298.7+(192.5-549.1)+(1.324674+(0.19635-0.560082))+0-0-0</f>
        <v>943.06094200000007</v>
      </c>
      <c r="G298" s="3">
        <f>1131.8+(197.9-448.1)+(0+(0-0))+0-0-0</f>
        <v>881.59999999999991</v>
      </c>
      <c r="H298" s="3">
        <f>1131.8+(206.4-473.1)+(0+(0-0))+0-0-0</f>
        <v>865.09999999999991</v>
      </c>
      <c r="I298" s="3">
        <f>1131.5+(195.7-479.8)+(0+(0-0))+0-0-0</f>
        <v>847.4</v>
      </c>
      <c r="J298" s="3">
        <f>1131.1+(196.9-479.7)+(2.884305+(0.502095-1.223235))+0-0-0</f>
        <v>850.463165</v>
      </c>
      <c r="K298" s="3">
        <f>1136.5+(199.9-486.8)+(0+(0-0))+0-0-0</f>
        <v>849.6</v>
      </c>
      <c r="L298" s="3">
        <f>1286.6+(197.1-573.8)+(-0.656166+(-0.100521--0.292638))+0-0-0</f>
        <v>909.43595099999993</v>
      </c>
      <c r="M298" s="3">
        <f>1328.8+(198-563.4)+(0.677688+(0.10098-0.287334))+0-0-0</f>
        <v>963.89133400000003</v>
      </c>
      <c r="N298" s="3">
        <f>1431.6+(162-581.8)+(2.920464+(0.33048-1.186872))+0-0-0</f>
        <v>1013.864072</v>
      </c>
      <c r="O298" s="3">
        <f>1793.8+(153.9-854.4)+(1.829676+(0.156978-0.871488))+0-0-0</f>
        <v>1094.415166</v>
      </c>
      <c r="P298" s="3">
        <f>1879.1+(138.9-872.7)+(3.833364+(0.283356-1.780308))+0-0-0</f>
        <v>1147.6364119999998</v>
      </c>
      <c r="Q298" s="3">
        <f>1867.9+(142.3-849.2)+(0+(0-0))+0-0-0</f>
        <v>1161</v>
      </c>
      <c r="R298" s="3">
        <f>1867.2+(157.8-883)+(-2.856816+(-0.241434--1.35099))+0-0-0</f>
        <v>1140.2527399999999</v>
      </c>
      <c r="S298" s="3">
        <f>1866.7+(156.7-932.1)+(-3.808068+(-0.319668--1.901484))+0-0-0</f>
        <v>1089.073748</v>
      </c>
      <c r="T298" s="3">
        <f>1862.2+(136-932)+(0+(0-0))+0-0-0</f>
        <v>1066.2</v>
      </c>
      <c r="U298" s="3">
        <f>1867.1+(123.4-895.9)+(-1.904442+(-0.125868--0.913818))+0-0-0</f>
        <v>1093.4835079999998</v>
      </c>
      <c r="V298" s="3">
        <f>1864.8+(116.4-871.9)+(-5.706288+(-0.356184--2.668014))+0-0-0</f>
        <v>1105.905542</v>
      </c>
      <c r="W298" s="3">
        <f>1844.9+(124-693.2)+(-0.940899+(-0.06324--0.353532))+0-0-0</f>
        <v>1275.049393</v>
      </c>
      <c r="X298" s="3">
        <f>1707.5+(140.1-569.2)+(-2.612475+(-0.214353--0.870876))+0-0-0</f>
        <v>1276.4440480000001</v>
      </c>
      <c r="Y298" s="3">
        <f>1702.6+(118.9-585.8)+(-1.736652+(-0.121278--0.597516))+0-0-0</f>
        <v>1234.4395859999997</v>
      </c>
      <c r="Z298" s="3">
        <f>1701.3+(119.1-630.2)+(-0.867663+(-0.060741--0.321402))+0-0-0</f>
        <v>1189.5929979999999</v>
      </c>
      <c r="AA298" s="3">
        <f>1699.9+(148.5-611.7)+(-0.866949+(-0.075735--0.311967))+0-0-0</f>
        <v>1236.069283</v>
      </c>
      <c r="AB298" s="3">
        <f>1600+(117.5-506.9)+(-0.816+(-0.059925--0.258519))+0-0-0</f>
        <v>1209.9825939999998</v>
      </c>
      <c r="AC298" s="3">
        <f>1405.7+(78.6-483.6)+(-1.433814+(-0.080172--0.493272))+0-0-0</f>
        <v>999.67928600000005</v>
      </c>
      <c r="AD298">
        <f t="shared" si="4"/>
        <v>25443.639768000005</v>
      </c>
      <c r="AE298" s="3">
        <f>1706+(153.7-562.6)+(0+(0-0))+0-0-0</f>
        <v>1297.0999999999999</v>
      </c>
    </row>
    <row r="299" spans="1:31" s="2" customFormat="1" x14ac:dyDescent="0.25">
      <c r="A299">
        <v>89</v>
      </c>
      <c r="B299">
        <v>10</v>
      </c>
      <c r="C299">
        <v>23</v>
      </c>
      <c r="D299">
        <v>6</v>
      </c>
      <c r="E299">
        <v>1</v>
      </c>
      <c r="F299" s="3">
        <f>1173+(101.1-333.4)+(-1.79469+(-0.154683--0.510102))+0-0-0</f>
        <v>939.26072900000008</v>
      </c>
      <c r="G299" s="3">
        <f>1097.7+(124.9-300.2)+(0+(0-0))+0-0-0</f>
        <v>922.40000000000009</v>
      </c>
      <c r="H299" s="3">
        <f>922+(180.5-247.2)+(0.47022+(0.092055-0.126072))+0-0-0</f>
        <v>855.73620299999993</v>
      </c>
      <c r="I299" s="3">
        <f>877.6+(191.5-239.8)+(0.447576+(0.097665-0.122298))+0-0-0</f>
        <v>829.72294299999999</v>
      </c>
      <c r="J299" s="3">
        <f>877.4+(182.1-229.6)+(0.894948+(0.185742-0.234192))+0-0-0</f>
        <v>830.74649799999997</v>
      </c>
      <c r="K299" s="3">
        <f>877.4+(177.2-224.9)+(0.894948+(0.180744-0.229398))+0-0-0</f>
        <v>830.54629399999988</v>
      </c>
      <c r="L299" s="3">
        <f>881+(213.9-217.7)+(0+(0-0))+0-0-0</f>
        <v>877.2</v>
      </c>
      <c r="M299" s="3">
        <f>1006+(194.2-275.6)+(-0.51306+(-0.099042--0.140556))+0-0-0</f>
        <v>924.12845399999992</v>
      </c>
      <c r="N299" s="3">
        <f>1143+(153.1-356.2)+(-1.16586+(-0.156162--0.363324))+0-0-0</f>
        <v>938.94130199999995</v>
      </c>
      <c r="O299" s="3">
        <f>1267+(138.9-396.6)+(0.64617+(0.070839-0.202266))+0-0-0</f>
        <v>1009.8147429999999</v>
      </c>
      <c r="P299" s="3">
        <f>1261.8+(152.9-390.2)+(1.287036+(0.155958-0.398004))+0-0-0</f>
        <v>1025.5449900000001</v>
      </c>
      <c r="Q299" s="3">
        <f>1261.4+(148.4-385.7)+(-0.643314+(-0.075684--0.196707))+0-0-0</f>
        <v>1023.5777090000001</v>
      </c>
      <c r="R299" s="3">
        <f>1261.7+(130.9-397.1)+(-0.643467+(-0.066759--0.202521))+0-0-0</f>
        <v>994.99229500000001</v>
      </c>
      <c r="S299" s="3">
        <f>1261.8+(130.7-438.3)+(0+(0-0))+0-0-0</f>
        <v>954.19999999999993</v>
      </c>
      <c r="T299" s="3">
        <f>1261.5+(136.1-474.9)+(-2.57346+(-0.277644--0.968796))+0-0-0</f>
        <v>920.81769200000008</v>
      </c>
      <c r="U299" s="3">
        <f>1261.5+(157.7-521)+(0+(0-0))+0-0-0</f>
        <v>898.2</v>
      </c>
      <c r="V299" s="3">
        <f>1265.1+(148.5-470.4)+(-0.645201+(-0.075735--0.239904))+0-0-0</f>
        <v>942.7189679999999</v>
      </c>
      <c r="W299" s="3">
        <f>1281.8+(211.1-357.2)+(0+(0-0))+0-0-0</f>
        <v>1135.7</v>
      </c>
      <c r="X299" s="3">
        <f>1281.9+(238.7-319.1)+(-1.307538+(-0.243474--0.325482))+0-0-0</f>
        <v>1200.2744700000001</v>
      </c>
      <c r="Y299" s="3">
        <f>1281.3+(235.6-356)+(-1.306926+(-0.240312--0.36312))+0-0-0</f>
        <v>1159.715882</v>
      </c>
      <c r="Z299" s="3">
        <f>1281.4+(243-395.9)+(-1.307028+(-0.24786--0.403818))+0-0-0</f>
        <v>1127.3489300000001</v>
      </c>
      <c r="AA299" s="3">
        <f>1281.4+(249.8-435.3)+(1.307028+(0.254796-0.444006))+0-0-0</f>
        <v>1097.017818</v>
      </c>
      <c r="AB299" s="3">
        <f>1281.5+(240.5-458.9)+(-1.30713+(-0.24531--0.468078))+0-0-0</f>
        <v>1062.0156379999999</v>
      </c>
      <c r="AC299" s="3">
        <f>1281+(234.7-529.4)+(-1.95993+(-0.359091--0.809982))+0-0-0</f>
        <v>984.79096099999992</v>
      </c>
      <c r="AD299">
        <f t="shared" si="4"/>
        <v>23485.412519000001</v>
      </c>
      <c r="AE299" s="3">
        <f>1278+(236.4-319.9)+(0+(0-0))+0-0-0</f>
        <v>1194.5</v>
      </c>
    </row>
    <row r="300" spans="1:31" s="2" customFormat="1" x14ac:dyDescent="0.25">
      <c r="A300">
        <v>89</v>
      </c>
      <c r="B300">
        <v>10</v>
      </c>
      <c r="C300">
        <v>24</v>
      </c>
      <c r="D300">
        <v>7</v>
      </c>
      <c r="E300">
        <v>1</v>
      </c>
      <c r="F300" s="3">
        <f>1229.9+(226.6-535.9)+(0+(0-0))+0-0-0</f>
        <v>920.60000000000014</v>
      </c>
      <c r="G300" s="3">
        <f>967.1+(242.6-366.1)+(-1.479663+(-0.371178--0.560133))+0-0-0</f>
        <v>842.30929200000003</v>
      </c>
      <c r="H300" s="3">
        <f>699.1+(280.5-199.3)+(-0.356541+(-0.143055--0.101643))+0-0-0</f>
        <v>779.90204699999992</v>
      </c>
      <c r="I300" s="3">
        <f>692.1+(307-189.5)+(0.352971+(0.15657-0.096645))+0-0-0</f>
        <v>810.01289600000007</v>
      </c>
      <c r="J300" s="3">
        <f>692.3+(294.9-184.4)+(0.353073+(0.150399-0.094044))+0-0-0</f>
        <v>803.209428</v>
      </c>
      <c r="K300" s="3">
        <f>758.2+(257.6-210.8)+(1.546728+(0.525504-0.430032))+0-0-0</f>
        <v>806.6422</v>
      </c>
      <c r="L300" s="3">
        <f>877.7+(198.4-270.9)+(-1.342881+(-0.303552--0.414477))+0-0-0</f>
        <v>803.96804400000008</v>
      </c>
      <c r="M300" s="3">
        <f>877.2+(179.9-319.9)+(-1.789488+(-0.366996--0.652596))+0-0-0</f>
        <v>735.69611200000008</v>
      </c>
      <c r="N300" s="3">
        <f>923.9+(173.7-334.8)+(1.413567+(0.265761-0.512244))+0-0-0</f>
        <v>763.967084</v>
      </c>
      <c r="O300" s="3">
        <f>1210.5+(161.9-526)+(-1.23471+(-0.165138--0.53652))+0-0-0</f>
        <v>845.53667199999995</v>
      </c>
      <c r="P300" s="3">
        <f>1257.9+(174.1-562.5)+(-1.283058+(-0.177582--0.57375))+0-0-0</f>
        <v>868.61311000000012</v>
      </c>
      <c r="Q300" s="3">
        <f>1258.2+(171-545.1)+(-1.925046+(-0.26163--0.834003))+0-0-0</f>
        <v>882.74732700000004</v>
      </c>
      <c r="R300" s="3">
        <f>1255.2+(181.3-573.2)+(-2.560608+(-0.369852--1.169328))+0-0-0</f>
        <v>861.53886799999998</v>
      </c>
      <c r="S300" s="3">
        <f>1259+(177.1-595)+(-1.92627+(-0.270963--0.91035))+0-0-0</f>
        <v>839.81311700000003</v>
      </c>
      <c r="T300" s="3">
        <f>1291.3+(181-654.3)+(-0.658563+(-0.09231--0.333693))+0-0-0</f>
        <v>817.58281999999997</v>
      </c>
      <c r="U300" s="3">
        <f>1420.4+(173.2-769.8)+(-3.62202+(-0.44166--1.96299))+0-0-0</f>
        <v>821.6993100000002</v>
      </c>
      <c r="V300" s="3">
        <f>1452.7+(147.8-728.5)+(-3.704385+(-0.37689--1.857675))+0-0-0</f>
        <v>869.77639999999997</v>
      </c>
      <c r="W300" s="3">
        <f>1617.1+(123.8-673.9)+(-2.474163+(-0.189414--1.031067))+0-0-0</f>
        <v>1065.3674900000001</v>
      </c>
      <c r="X300" s="3">
        <f>1705.1+(110.4-655.9)+(-0.869601+(-0.056304--0.334509))+0-0-0</f>
        <v>1159.0086039999999</v>
      </c>
      <c r="Y300" s="3">
        <f>1705+(114-677.5)+(-2.60865+(-0.17442--1.036575))+0-0-0</f>
        <v>1139.7535049999999</v>
      </c>
      <c r="Z300" s="3">
        <f>1704.9+(145.2-725.5)+(0.869499+(0.074052-0.370005))+0-0-0</f>
        <v>1125.1735460000002</v>
      </c>
      <c r="AA300" s="3">
        <f>1684.6+(174.6-771.3)+(-0.859146+(-0.089046--0.393363))+0-0-0</f>
        <v>1087.3451710000002</v>
      </c>
      <c r="AB300" s="3">
        <f>1524.5+(194.1-687.6)+(-2.332485+(-0.296973--1.052028))+0-0-0</f>
        <v>1029.42257</v>
      </c>
      <c r="AC300" s="3">
        <f>1089.7+(247.3-402.3)+(1.111494+(0.252246-0.410346))+0-0-0</f>
        <v>935.65339400000005</v>
      </c>
      <c r="AD300">
        <f t="shared" si="4"/>
        <v>21615.339007000002</v>
      </c>
      <c r="AE300" s="3">
        <f>1710+(108.8-677.1)+(0+(0-0))+0-0-0</f>
        <v>1141.6999999999998</v>
      </c>
    </row>
    <row r="301" spans="1:31" s="2" customFormat="1" x14ac:dyDescent="0.25">
      <c r="A301">
        <v>89</v>
      </c>
      <c r="B301">
        <v>10</v>
      </c>
      <c r="C301">
        <v>25</v>
      </c>
      <c r="D301">
        <v>1</v>
      </c>
      <c r="E301">
        <v>1</v>
      </c>
      <c r="F301" s="3">
        <f>923.7+(263.2-318)+(-1.413261+(-0.402696--0.48654))+0-0-0</f>
        <v>867.57058300000006</v>
      </c>
      <c r="G301" s="3">
        <f>922.3+(252.4-346.3)+(0+(0-0))+0-0-0</f>
        <v>828.4</v>
      </c>
      <c r="H301" s="3">
        <f>920.6+(248.5-363.8)+(-0.939012+(-0.25347--0.371076))+0-0-0</f>
        <v>804.47859399999993</v>
      </c>
      <c r="I301" s="3">
        <f>920.8+(240.4-371.9)+(0.939216+(0.245208-0.379338))+0-0-0</f>
        <v>790.10508599999991</v>
      </c>
      <c r="J301" s="3">
        <f>945.8+(232.4-392.8)+(0.964716+(0.237048-0.400656))+0-0-0</f>
        <v>786.20110799999998</v>
      </c>
      <c r="K301" s="3">
        <f>1141.3+(180.1-510.8)+(-1.164126+(-0.183702--0.521016))+0-0-0</f>
        <v>809.77318799999989</v>
      </c>
      <c r="L301" s="3">
        <f>1399.9+(175-696)+(-2.141847+(-0.26775--1.06488))+0-0-0</f>
        <v>877.55528300000014</v>
      </c>
      <c r="M301" s="3">
        <f>1625.2+(193.2-881)+(-0.828852+(-0.098532--0.44931))+0-0-0</f>
        <v>936.9219260000001</v>
      </c>
      <c r="N301" s="3">
        <f>1684.6+(184.6-851.7)+(0.859146+(0.094146-0.434367))+0-0-0</f>
        <v>1018.0189249999999</v>
      </c>
      <c r="O301" s="3">
        <f>1685.7+(199.5-802.9)+(0.859707+(0.101745-0.409479))+0-0-0</f>
        <v>1082.8519730000003</v>
      </c>
      <c r="P301" s="3">
        <f>1686.1+(199.9-770.5)+(0+(0-0))+0-0-0</f>
        <v>1115.5</v>
      </c>
      <c r="Q301" s="3">
        <f>1672.7+(205.4-757.8)+(0+(0-0))+0-0-0</f>
        <v>1120.3000000000002</v>
      </c>
      <c r="R301" s="3">
        <f>1686.5+(184.2-803.6)+(-0.860115+(-0.093942--0.409836))+0-0-0</f>
        <v>1066.5557789999998</v>
      </c>
      <c r="S301" s="3">
        <f>1687.3+(192.6-839.7)+(0+(0-0))+0-0-0</f>
        <v>1040.1999999999998</v>
      </c>
      <c r="T301" s="3">
        <f>1680.1+(195.2-860.4)+(0.856851+(0.099552-0.438804))+0-0-0</f>
        <v>1015.4175989999999</v>
      </c>
      <c r="U301" s="3">
        <f>1678.9+(178.7-811.4)+(0.856239+(0.091137-0.413814))+0-0-0</f>
        <v>1046.7335620000001</v>
      </c>
      <c r="V301" s="3">
        <f>1679.2+(158.1-760.9)+(-0.856392+(-0.080631--0.388059))+0-0-0</f>
        <v>1075.851036</v>
      </c>
      <c r="W301" s="3">
        <f>1703+(160.3-623.8)+(0.86853+(0.081753-0.318138))+0-0-0</f>
        <v>1240.132145</v>
      </c>
      <c r="X301" s="3">
        <f>1710.9+(172.8-603.5)+(-3.490236+(-0.352512--1.23114))+0-0-0</f>
        <v>1277.5883920000001</v>
      </c>
      <c r="Y301" s="3">
        <f>1712.1+(158.7-621.6)+(-0.873171+(-0.080937--0.317016))+0-0-0</f>
        <v>1248.5629079999999</v>
      </c>
      <c r="Z301" s="3">
        <f>1704.7+(154.8-662.1)+(-4.346985+(-0.39474--1.688355))+0-0-0</f>
        <v>1194.34663</v>
      </c>
      <c r="AA301" s="3">
        <f>1688+(176.5-707.7)+(-2.58264+(-0.270045--1.082781))+0-0-0</f>
        <v>1155.030096</v>
      </c>
      <c r="AB301" s="3">
        <f>1584.2+(173.3-671.8)+(-1.615884+(-0.176766--0.685236))+0-0-0</f>
        <v>1084.592586</v>
      </c>
      <c r="AC301" s="3">
        <f>1327.3+(189.5-528.6)+(-3.384615+(-0.483225--1.34793))+0-0-0</f>
        <v>985.68008999999995</v>
      </c>
      <c r="AD301">
        <f t="shared" si="4"/>
        <v>24468.367489</v>
      </c>
      <c r="AE301" s="3">
        <f>1711+(179.5-587.2)+(0+(0-0))+0-0-0</f>
        <v>1303.3</v>
      </c>
    </row>
    <row r="302" spans="1:31" s="2" customFormat="1" x14ac:dyDescent="0.25">
      <c r="A302">
        <v>89</v>
      </c>
      <c r="B302">
        <v>10</v>
      </c>
      <c r="C302">
        <v>26</v>
      </c>
      <c r="D302">
        <v>2</v>
      </c>
      <c r="E302">
        <v>1</v>
      </c>
      <c r="F302" s="3">
        <f>965.7+(253.3-308.5)+(-0.492507+(-0.129183--0.157335))+0-0-0</f>
        <v>910.03564500000005</v>
      </c>
      <c r="G302" s="3">
        <f>924+(255.2-308.2)+(-0.94248+(-0.260304--0.314364))+0-0-0</f>
        <v>870.11158</v>
      </c>
      <c r="H302" s="3">
        <f>923.9+(271.5-346.1)+(-1.413567+(-0.415395--0.529533))+0-0-0</f>
        <v>848.00057099999992</v>
      </c>
      <c r="I302" s="3">
        <f>924+(271.9-358.7)+(-0.94248+(-0.277338--0.365874))+0-0-0</f>
        <v>836.34605600000009</v>
      </c>
      <c r="J302" s="3">
        <f>966.4+(260-390.1)+(-2.46432+(-0.663--0.994755))+0-0-0</f>
        <v>834.16743499999995</v>
      </c>
      <c r="K302" s="3">
        <f>1083.3+(236.2-448.1)+(1.104966+(0.240924-0.457062))+0-0-0</f>
        <v>872.28882799999985</v>
      </c>
      <c r="L302" s="3">
        <f>1274.3+(209.1-586.5)+(-3.899358+(-0.639846--1.79469))+0-0-0</f>
        <v>894.155486</v>
      </c>
      <c r="M302" s="3">
        <f>1536.5+(194-767.6)+(-0.783615+(-0.09894--0.391476))+0-0-0</f>
        <v>962.40892099999996</v>
      </c>
      <c r="N302" s="3">
        <f>1655.8+(185.7-794.6)+(-3.377832+(-0.378828--1.620984))+0-0-0</f>
        <v>1044.7643239999998</v>
      </c>
      <c r="O302" s="3">
        <f>1656.3+(172.5-737.5)+(0+(0-0))+0-0-0</f>
        <v>1091.3</v>
      </c>
      <c r="P302" s="3">
        <f>1647.3+(173.9-696.1)+(-1.680246+(-0.177378--0.710022))+0-0-0</f>
        <v>1123.9523979999999</v>
      </c>
      <c r="Q302" s="3">
        <f>1647.3+(185.3-700.6)+(-1.680246+(-0.189006--0.714612))+0-0-0</f>
        <v>1130.84536</v>
      </c>
      <c r="R302" s="3">
        <f>1677.7+(172.9-734.3)+(0+(0-0))+0-0-0</f>
        <v>1116.3000000000002</v>
      </c>
      <c r="S302" s="3">
        <f>1670.2+(174.1-750.2)+(-0.851802+(-0.088791--0.382602))+0-0-0</f>
        <v>1093.542009</v>
      </c>
      <c r="T302" s="3">
        <f>1671.8+(170.4-776.5)+(-1.705236+(-0.173808--0.79203))+0-0-0</f>
        <v>1064.6129859999999</v>
      </c>
      <c r="U302" s="3">
        <f>1677.5+(154.5-780.8)+(-1.71105+(-0.15759--0.796416))+0-0-0</f>
        <v>1050.127776</v>
      </c>
      <c r="V302" s="3">
        <f>1694.9+(179.6-727.8)+(-3.457596+(-0.366384--1.484712))+0-0-0</f>
        <v>1144.3607320000003</v>
      </c>
      <c r="W302" s="3">
        <f>1711.9+(158.1-630.8)+(0+(0-0))+0-0-0</f>
        <v>1239.2000000000003</v>
      </c>
      <c r="X302" s="3">
        <f>1711.8+(161.7-605.9)+(-0.873018+(-0.082467--0.309009))+0-0-0</f>
        <v>1266.953524</v>
      </c>
      <c r="Y302" s="3">
        <f>1711.9+(162.3-625)+(-4.365345+(-0.413865--1.59375))+0-0-0</f>
        <v>1246.0145400000001</v>
      </c>
      <c r="Z302" s="3">
        <f>1711.8+(166.1-673.8)+(-2.619054+(-0.254133--1.030914))+0-0-0</f>
        <v>1202.2577269999999</v>
      </c>
      <c r="AA302" s="3">
        <f>1693.3+(179.5-720.8)+(-3.454332+(-0.36618--1.470432))+0-0-0</f>
        <v>1149.6499200000001</v>
      </c>
      <c r="AB302" s="3">
        <f>1688.5+(191.7-790.5)+(0+(0-0))+0-0-0</f>
        <v>1089.7</v>
      </c>
      <c r="AC302" s="3">
        <f>1609.9+(190.3-791.9)+(-5.747343+(-0.679371--2.827083))+0-0-0</f>
        <v>1004.7003690000001</v>
      </c>
      <c r="AD302">
        <f t="shared" si="4"/>
        <v>25085.796187</v>
      </c>
      <c r="AE302" s="3">
        <f>1709+(173.3-606.2)+(0+(0-0))+0-0-0</f>
        <v>1276.0999999999999</v>
      </c>
    </row>
    <row r="303" spans="1:31" s="2" customFormat="1" x14ac:dyDescent="0.25">
      <c r="A303">
        <v>89</v>
      </c>
      <c r="B303">
        <v>10</v>
      </c>
      <c r="C303">
        <v>27</v>
      </c>
      <c r="D303">
        <v>3</v>
      </c>
      <c r="E303">
        <v>1</v>
      </c>
      <c r="F303" s="3">
        <f>1327.1+(225.4-599.5)+(-1.353642+(-0.229908--0.61149))+0-0-0</f>
        <v>952.02793999999983</v>
      </c>
      <c r="G303" s="3">
        <f>1059.7+(243.3-429)+(-2.702235+(-0.620415--1.09395))+0-0-0</f>
        <v>871.7713</v>
      </c>
      <c r="H303" s="3">
        <f>930.3+(267.8-345.2)+(0.948906+(0.273156-0.352104))+0-0-0</f>
        <v>853.76995799999997</v>
      </c>
      <c r="I303" s="3">
        <f>929.5+(269.8-361.3)+(0+(0-0))+0-0-0</f>
        <v>838</v>
      </c>
      <c r="J303" s="3">
        <f>929.6+(259.5-362)+(0.474096+(0.132345-0.18462))+0-0-0</f>
        <v>827.52182100000005</v>
      </c>
      <c r="K303" s="3">
        <f>1070.9+(226.5-448.8)+(-2.730795+(-0.577575--1.14444))+0-0-0</f>
        <v>846.43607000000009</v>
      </c>
      <c r="L303" s="3">
        <f>1243.6+(181.6-546)+(0+(0-0))+0-0-0</f>
        <v>879.19999999999993</v>
      </c>
      <c r="M303" s="3">
        <f>1444.4+(212.3-686.8)+(-2.209932+(-0.324819--1.050804))+0-0-0</f>
        <v>968.41605300000015</v>
      </c>
      <c r="N303" s="3">
        <f>1589.2+(233.6-796.6)+(-2.431476+(-0.357408--1.218798))+0-0-0</f>
        <v>1024.6299140000001</v>
      </c>
      <c r="O303" s="3">
        <f>1676.7+(227-826.1)+(0.855117+(0.11577-0.421311))+0-0-0</f>
        <v>1078.1495759999998</v>
      </c>
      <c r="P303" s="3">
        <f>1683.6+(212.7-796.3)+(-4.29318+(-0.542385--2.030565))+0-0-0</f>
        <v>1097.1949999999999</v>
      </c>
      <c r="Q303" s="3">
        <f>1684.6+(212-798.3)+(0.859146+(0.10812-0.407133))+0-0-0</f>
        <v>1098.8601329999999</v>
      </c>
      <c r="R303" s="3">
        <f>1684.1+(218.6-828.3)+(-4.294455+(-0.55743--2.112165))+0-0-0</f>
        <v>1071.6602800000001</v>
      </c>
      <c r="S303" s="3">
        <f>1634.8+(231.5-819.2)+(0+(0-0))+0-0-0</f>
        <v>1047.0999999999999</v>
      </c>
      <c r="T303" s="3">
        <f>1600.6+(222.7-833.2)+(-2.448918+(-0.340731--1.274796))+0-0-0</f>
        <v>988.58514699999989</v>
      </c>
      <c r="U303" s="3">
        <f>1440.7+(225.3-688.6)+(-1.469514+(-0.229806--0.702372))+0-0-0</f>
        <v>976.40305200000012</v>
      </c>
      <c r="V303" s="3">
        <f>1447+(206.6-651.4)+(-0.73797+(-0.105366--0.332214))+0-0-0</f>
        <v>1001.688878</v>
      </c>
      <c r="W303" s="3">
        <f>1658.3+(181.2-648.8)+(-0.845733+(-0.092412--0.330888))+0-0-0</f>
        <v>1190.0927430000002</v>
      </c>
      <c r="X303" s="3">
        <f>1712.1+(200.9-637.2)+(-2.619513+(-0.307377--0.974916))+0-0-0</f>
        <v>1273.8480259999997</v>
      </c>
      <c r="Y303" s="3">
        <f>1712.1+(183.2-639.6)+(-2.619513+(-0.280296--0.978588))+0-0-0</f>
        <v>1253.7787789999998</v>
      </c>
      <c r="Z303" s="3">
        <f>1704.4+(178.8-675.1)+(0+(0-0))+0-0-0</f>
        <v>1208.1000000000001</v>
      </c>
      <c r="AA303" s="3">
        <f>1604.3+(199.2-634)+(0.818193+(0.101592-0.32334))+0-0-0</f>
        <v>1170.0964449999999</v>
      </c>
      <c r="AB303" s="3">
        <f>1427.2+(219-541.2)+(-1.455744+(-0.22338--0.552024))+0-0-0</f>
        <v>1103.8729000000001</v>
      </c>
      <c r="AC303" s="3">
        <f>1280.5+(227.4-494.2)+(-1.30611+(-0.231948--0.504084))+0-0-0</f>
        <v>1012.6660260000001</v>
      </c>
      <c r="AD303">
        <f t="shared" si="4"/>
        <v>24633.870040999995</v>
      </c>
      <c r="AE303" s="3">
        <f>1720+(212.2-635.2)+(0+(0-0))+0-0-0</f>
        <v>1297</v>
      </c>
    </row>
    <row r="304" spans="1:31" s="2" customFormat="1" x14ac:dyDescent="0.25">
      <c r="A304">
        <v>89</v>
      </c>
      <c r="B304">
        <v>10</v>
      </c>
      <c r="C304">
        <v>28</v>
      </c>
      <c r="D304">
        <v>4</v>
      </c>
      <c r="E304">
        <v>1</v>
      </c>
      <c r="F304" s="3">
        <f>1101.8+(226-409.5)+(-3.371508+(-0.69156--1.25307))+0-0-0</f>
        <v>915.490002</v>
      </c>
      <c r="G304" s="3">
        <f>834.7+(277-250.6)+(-0.425697+(-0.14127--0.127806))+0-0-0</f>
        <v>860.66083900000001</v>
      </c>
      <c r="H304" s="3">
        <f>691.3+(312.8-171.2)+(-0.352563+(-0.159528--0.087312))+0-0-0</f>
        <v>832.47522100000003</v>
      </c>
      <c r="I304" s="3">
        <f>690.8+(305-171.9)+(-1.056924+(-0.46665--0.263007))+0-0-0</f>
        <v>822.63943299999994</v>
      </c>
      <c r="J304" s="3">
        <f>690.9+(302.8-192.2)+(0+(0-0))+0-0-0</f>
        <v>801.5</v>
      </c>
      <c r="K304" s="3">
        <f>754.8+(281.8-219.4)+(0+(0-0))+0-0-0</f>
        <v>817.19999999999993</v>
      </c>
      <c r="L304" s="3">
        <f>903.4+(258.9-298.8)+(-2.30367+(-0.660195--0.76194))+0-0-0</f>
        <v>861.29807500000004</v>
      </c>
      <c r="M304" s="3">
        <f>1088.3+(244.3-427.7)+(1.110066+(0.249186-0.436254))+0-0-0</f>
        <v>905.82299799999998</v>
      </c>
      <c r="N304" s="3">
        <f>1184.3+(229.1-436.2)+(0.603993+(0.116841-0.222462))+0-0-0</f>
        <v>977.69837199999995</v>
      </c>
      <c r="O304" s="3">
        <f>1256.6+(230.3-465.3)+(-1.922598+(-0.352359--0.711909))+0-0-0</f>
        <v>1020.0369519999999</v>
      </c>
      <c r="P304" s="3">
        <f>1259.2+(222-447.3)+(-0.642192+(-0.11322--0.228123))+0-0-0</f>
        <v>1033.372711</v>
      </c>
      <c r="Q304" s="3">
        <f>1229+(231.7-433.7)+(-1.25358+(-0.236334--0.442374))+0-0-0</f>
        <v>1025.95246</v>
      </c>
      <c r="R304" s="3">
        <f>1158.1+(233.4-406.9)+(-2.362524+(-0.476136--0.830076))+0-0-0</f>
        <v>982.59141599999987</v>
      </c>
      <c r="S304" s="3">
        <f>1158.5+(210.3-417.1)+(0+(0-0))+0-0-0</f>
        <v>951.7</v>
      </c>
      <c r="T304" s="3">
        <f>1177.9+(211.2-463.3)+(0+(0-0))+0-0-0</f>
        <v>925.80000000000007</v>
      </c>
      <c r="U304" s="3">
        <f>1184.5+(209.4-470.1)+(-1.20819+(-0.213588--0.479502))+0-0-0</f>
        <v>922.85772399999996</v>
      </c>
      <c r="V304" s="3">
        <f>1258.8+(199.3-500.1)+(-3.851928+(-0.609858--1.530306))+0-0-0</f>
        <v>955.06852000000003</v>
      </c>
      <c r="W304" s="3">
        <f>1352.6+(237.6-466.3)+(-1.379652+(-0.242352--0.475626))+0-0-0</f>
        <v>1122.753622</v>
      </c>
      <c r="X304" s="3">
        <f>1457.5+(218.9-477.5)+(-2.229975+(-0.334917--0.730575))+0-0-0</f>
        <v>1197.065683</v>
      </c>
      <c r="Y304" s="3">
        <f>1448.5+(207.1-467.6)+(-1.47747+(-0.211242--0.476952))+0-0-0</f>
        <v>1186.7882400000001</v>
      </c>
      <c r="Z304" s="3">
        <f>1507.5+(202.2-550.8)+(-2.306475+(-0.309366--0.842724))+0-0-0</f>
        <v>1157.1268830000001</v>
      </c>
      <c r="AA304" s="3">
        <f>1481.6+(225.4-579.6)+(-0.755616+(-0.114954--0.295596))+0-0-0</f>
        <v>1126.8250259999998</v>
      </c>
      <c r="AB304" s="3">
        <f>1294.5+(237.2-476.9)+(-0.660195+(-0.120972--0.243219))+0-0-0</f>
        <v>1054.262052</v>
      </c>
      <c r="AC304" s="3">
        <f>1146.6+(249-431.6)+(-1.754298+(-0.38097--0.660348))+0-0-0</f>
        <v>962.52507999999989</v>
      </c>
      <c r="AD304">
        <f t="shared" si="4"/>
        <v>23419.511309000001</v>
      </c>
      <c r="AE304" s="3">
        <f>1443+(256.9-452.8)+(0+(0-0))+0-0-0</f>
        <v>1247.0999999999999</v>
      </c>
    </row>
    <row r="305" spans="1:31" s="2" customFormat="1" x14ac:dyDescent="0.25">
      <c r="A305">
        <v>89</v>
      </c>
      <c r="B305">
        <v>10</v>
      </c>
      <c r="C305">
        <v>29</v>
      </c>
      <c r="D305">
        <v>5</v>
      </c>
      <c r="E305">
        <v>1</v>
      </c>
      <c r="F305" s="3">
        <f>967.9+(254.7-341.9)+(-2.468145+(-0.649485--0.871845))+0-0-0</f>
        <v>878.45421500000009</v>
      </c>
      <c r="G305" s="3">
        <f>694.2+(285.8-172.2)+(1.062126+(0.437274-0.263466))+0-0-0</f>
        <v>809.03593400000011</v>
      </c>
      <c r="H305" s="3">
        <f>692.1+(285.6-186.7)+(-1.058913+(-0.436968--0.285651))+0-0-0</f>
        <v>789.78976999999998</v>
      </c>
      <c r="I305" s="3">
        <f>691.8+(278-191.3)+(0.352818+(0.14178-0.097563))+0-0-0</f>
        <v>778.89703499999996</v>
      </c>
      <c r="J305" s="3">
        <f>692.3+(284.6-201.1)+(-1.765365+(-0.72573--0.512805))+0-0-0</f>
        <v>773.82170999999994</v>
      </c>
      <c r="K305" s="3">
        <f>719.3+(279.2-206.3)+(0.366843+(0.142392-0.105213))+0-0-0</f>
        <v>792.60402199999999</v>
      </c>
      <c r="L305" s="3">
        <f>867.7+(259.5-273.3)+(0.442527+(0.132345-0.139383))+0-0-0</f>
        <v>854.33548900000005</v>
      </c>
      <c r="M305" s="3">
        <f>1001.5+(275.9-371.8)+(0+(0-0))+0-0-0</f>
        <v>905.59999999999991</v>
      </c>
      <c r="N305" s="3">
        <f>1106+(271.7-407)+(1.69218+(0.415701-0.62271))+0-0-0</f>
        <v>972.18517100000008</v>
      </c>
      <c r="O305" s="3">
        <f>1344.8+(207.2-539.9)+(0+(0-0))+0-0-0</f>
        <v>1012.0999999999999</v>
      </c>
      <c r="P305" s="3">
        <f>1432.5+(196.7-608.6)+(-2.9223+(-0.401268--1.241544))+0-0-0</f>
        <v>1018.5179759999999</v>
      </c>
      <c r="Q305" s="3">
        <f>1428.7+(181.7-590.1)+(-0.728637+(-0.092667--0.300951))+0-0-0</f>
        <v>1019.779647</v>
      </c>
      <c r="R305" s="3">
        <f>1454.1+(177.9-634)+(-2.224773+(-0.272187--0.97002))+0-0-0</f>
        <v>996.47305999999992</v>
      </c>
      <c r="S305" s="3">
        <f>1463.7+(189.5-669.2)+(-1.492974+(-0.19329--0.682584))+0-0-0</f>
        <v>982.99631999999997</v>
      </c>
      <c r="T305" s="3">
        <f>1491.9+(185.3-717.7)+(0+(0-0))+0-0-0</f>
        <v>959.5</v>
      </c>
      <c r="U305" s="3">
        <f>1491.6+(180.1-709.3)+(0+(0-0))+0-0-0</f>
        <v>962.4</v>
      </c>
      <c r="V305" s="3">
        <f>1554.8+(155.9-708.6)+(0+(0-0))+0-0-0</f>
        <v>1002.0999999999999</v>
      </c>
      <c r="W305" s="3">
        <f>1698.7+(143-677.3)+(-3.465348+(-0.29172--1.381692))+0-0-0</f>
        <v>1162.0246240000001</v>
      </c>
      <c r="X305" s="3">
        <f>1712.4+(168.1-635.3)+(-1.746648+(-0.171462--0.648006))+0-0-0</f>
        <v>1243.9298960000003</v>
      </c>
      <c r="Y305" s="3">
        <f>1712.7+(164.6-658.5)+(-4.367385+(-0.41973--1.679175))+0-0-0</f>
        <v>1215.6920600000001</v>
      </c>
      <c r="Z305" s="3">
        <f>1712.1+(179.9-717.5)+(0+(0-0))+0-0-0</f>
        <v>1174.5</v>
      </c>
      <c r="AA305" s="3">
        <f>1709.9+(194.1-768.5)+(1.744098+(0.197982-0.78387))+0-0-0</f>
        <v>1136.6582100000001</v>
      </c>
      <c r="AB305" s="3">
        <f>1559+(201.6-689)+(1.59018+(0.205632-0.70278))+0-0-0</f>
        <v>1072.6930319999999</v>
      </c>
      <c r="AC305" s="3">
        <f>1387.4+(188.7-599)+(-2.830296+(-0.384948--1.22196))+0-0-0</f>
        <v>975.10671600000012</v>
      </c>
      <c r="AD305">
        <f t="shared" si="4"/>
        <v>23489.194887000001</v>
      </c>
      <c r="AE305" s="3">
        <f>1720+(192.4-638.4)+(0+(0-0))+0-0-0</f>
        <v>1274</v>
      </c>
    </row>
    <row r="306" spans="1:31" s="2" customFormat="1" x14ac:dyDescent="0.25">
      <c r="A306">
        <v>89</v>
      </c>
      <c r="B306">
        <v>10</v>
      </c>
      <c r="C306">
        <v>30</v>
      </c>
      <c r="D306">
        <v>6</v>
      </c>
      <c r="E306">
        <v>1</v>
      </c>
      <c r="F306" s="3">
        <f>995.6+(237.8-350.6)+(-1.015512+(-0.242556--0.357612))+0-0-0</f>
        <v>881.89954399999999</v>
      </c>
      <c r="G306" s="3">
        <f>923+(245.7-327.7)+(0+(0-0))+0-0-0</f>
        <v>841</v>
      </c>
      <c r="H306" s="3">
        <f>923.3+(233.8-332.6)+(0+(0-0))+0-0-0</f>
        <v>824.5</v>
      </c>
      <c r="I306" s="3">
        <f>922.8+(220.6-332)+(-0.470628+(-0.112506--0.16932))+0-0-0</f>
        <v>810.98618599999998</v>
      </c>
      <c r="J306" s="3">
        <f>923.1+(220.3-336.2)+(-0.941562+(-0.224706--0.342924))+0-0-0</f>
        <v>806.37665600000003</v>
      </c>
      <c r="K306" s="3">
        <f>923.2+(222.1-322.7)+(1.883328+(0.453084-0.658308))+0-0-0</f>
        <v>824.27810399999998</v>
      </c>
      <c r="L306" s="3">
        <f>923+(214.7-275.9)+(0.47073+(0.109497-0.140709))+0-0-0</f>
        <v>862.23951799999998</v>
      </c>
      <c r="M306" s="3">
        <f>1036.2+(205.9-363.9)+(-1.585386+(-0.315027--0.556767))+0-0-0</f>
        <v>876.85635400000001</v>
      </c>
      <c r="N306" s="3">
        <f>1304.3+(178-529.8)+(0+(0-0))+0-0-0</f>
        <v>952.5</v>
      </c>
      <c r="O306" s="3">
        <f>1666.7+(186.4-833.6)+(3.400068+(0.380256-1.700544))+0-0-0</f>
        <v>1021.57978</v>
      </c>
      <c r="P306" s="3">
        <f>1670.8+(187.4-834.1)+(0.852108+(0.095574-0.425391))+0-0-0</f>
        <v>1024.6222909999999</v>
      </c>
      <c r="Q306" s="3">
        <f>1671+(181.1-824.3)+(-3.40884+(-0.369444--1.681572))+0-0-0</f>
        <v>1025.7032880000002</v>
      </c>
      <c r="R306" s="3">
        <f>1671.2+(189.2-844.2)+(1.704624+(0.192984-0.861084))+0-0-0</f>
        <v>1017.236524</v>
      </c>
      <c r="S306" s="3">
        <f>1666.2+(188-868.8)+(-1.699524+(-0.19176--0.886176))+0-0-0</f>
        <v>984.39489200000014</v>
      </c>
      <c r="T306" s="3">
        <f>1444.3+(193.5-681.3)+(-0.736593+(-0.098685--0.347463))+0-0-0</f>
        <v>956.01218500000004</v>
      </c>
      <c r="U306" s="3">
        <f>1365.5+(192.5-607)+(-0.696405+(-0.098175--0.30957))+0-0-0</f>
        <v>950.51499000000001</v>
      </c>
      <c r="V306" s="3">
        <f>1379.5+(185.1-578)+(0.703545+(0.094401-0.29478))+0-0-0</f>
        <v>987.10316599999999</v>
      </c>
      <c r="W306" s="3">
        <f>1644.9+(174-654.3)+(-0.838899+(-0.08874--0.333693))+0-0-0</f>
        <v>1164.0060540000002</v>
      </c>
      <c r="X306" s="3">
        <f>1709.9+(180.2-661)+(-3.488196+(-0.367608--1.34844))+0-0-0</f>
        <v>1226.5926360000001</v>
      </c>
      <c r="Y306" s="3">
        <f>1709.9+(177.9-687.3)+(-2.616147+(-0.272187--1.051569))+0-0-0</f>
        <v>1198.663235</v>
      </c>
      <c r="Z306" s="3">
        <f>1709.8+(191.9-734.5)+(-4.35999+(-0.489345--1.872975))+0-0-0</f>
        <v>1164.2236399999997</v>
      </c>
      <c r="AA306" s="3">
        <f>1685.6+(220.5-762.7)+(1.719312+(0.22491-0.777954))+0-0-0</f>
        <v>1144.5662679999998</v>
      </c>
      <c r="AB306" s="3">
        <f>1673.6+(222.8-814.5)+(2.560608+(0.340884-1.246185))+0-0-0</f>
        <v>1083.5553069999999</v>
      </c>
      <c r="AC306" s="3">
        <f>1542.4+(210.6-744.6)+(-2.359872+(-0.322218--1.139238))+0-0-0</f>
        <v>1006.8571480000001</v>
      </c>
      <c r="AD306">
        <f t="shared" si="4"/>
        <v>23636.267766000001</v>
      </c>
      <c r="AE306" s="3">
        <f>1707+(187.9-651.8)+(0+(0-0))+0-0-0</f>
        <v>1243.0999999999999</v>
      </c>
    </row>
    <row r="307" spans="1:31" s="2" customFormat="1" x14ac:dyDescent="0.25">
      <c r="A307">
        <v>89</v>
      </c>
      <c r="B307">
        <v>11</v>
      </c>
      <c r="C307">
        <v>1</v>
      </c>
      <c r="D307">
        <v>7</v>
      </c>
      <c r="E307">
        <v>1</v>
      </c>
      <c r="F307" s="3">
        <f>1326.6+(201.9-615.6)+(-3.38283+(-0.514845--1.56978))+0-0-0</f>
        <v>910.57210499999985</v>
      </c>
      <c r="G307" s="3">
        <f>1019.2+(244-413.7)+(-1.039584+(-0.24888--0.421974))+0-0-0</f>
        <v>848.63351</v>
      </c>
      <c r="H307" s="3">
        <f>921.6+(257.4-364.7)+(-2.820096+(-0.787644--1.115982))+0-0-0</f>
        <v>811.80824199999995</v>
      </c>
      <c r="I307" s="3">
        <f>922+(231.3-348.3)+(0+(0-0))+0-0-0</f>
        <v>805</v>
      </c>
      <c r="J307" s="3">
        <f>921.6+(225.2-353.7)+(-0.470016+(-0.114852--0.180387))+0-0-0</f>
        <v>792.69551899999999</v>
      </c>
      <c r="K307" s="3">
        <f>987+(215.3-404.4)+(0+(0-0))+0-0-0</f>
        <v>797.90000000000009</v>
      </c>
      <c r="L307" s="3">
        <f>1132.2+(165.9-488.9)+(-5.77422+(-0.84609--2.49339))+0-0-0</f>
        <v>805.07308</v>
      </c>
      <c r="M307" s="3">
        <f>1160.7+(187.9-581.9)+(1.183914+(0.191658-0.593538))+0-0-0</f>
        <v>767.482034</v>
      </c>
      <c r="N307" s="3">
        <f>1297.7+(73.9-587.8)+(-3.309135+(-0.188445--1.49889))+0-0-0</f>
        <v>781.80131000000006</v>
      </c>
      <c r="O307" s="3">
        <f>1421.5+(1.1-613.7)+(-0.724965+(-0.000561--0.312987))+0-0-0</f>
        <v>808.48746099999994</v>
      </c>
      <c r="P307" s="3">
        <f>1463.2+(1.2-633.6)+(-2.984928+(-0.002448--1.292544))+0-0-0</f>
        <v>829.10516800000005</v>
      </c>
      <c r="Q307" s="3">
        <f>1487.7+(125.4-736.1)+(-2.276181+(-0.191862--1.126233))+0-0-0</f>
        <v>875.65818999999999</v>
      </c>
      <c r="R307" s="3">
        <f>1424.6+(171.5-767.3)+(0.726546+(0.087465-0.391323))+0-0-0</f>
        <v>829.22268799999995</v>
      </c>
      <c r="S307" s="3">
        <f>1387.2+(163.3-730.2)+(-2.829888+(-0.333132--1.489608))+0-0-0</f>
        <v>818.62658799999997</v>
      </c>
      <c r="T307" s="3">
        <f>1206+(168.6-566.1)+(-0.61506+(-0.085986--0.288711))+0-0-0</f>
        <v>808.08766500000002</v>
      </c>
      <c r="U307" s="3">
        <f>1203.9+(217-585.7)+(-1.841967+(-0.33201--0.896121))+0-0-0</f>
        <v>833.922144</v>
      </c>
      <c r="V307" s="3">
        <f>1300.4+(216.6-622.6)+(-2.652816+(-0.441864--1.270104))+0-0-0</f>
        <v>892.57542400000011</v>
      </c>
      <c r="W307" s="3">
        <f>1465+(156-605.8)+(0.74715+(0.07956-0.308958))+0-0-0</f>
        <v>1015.717752</v>
      </c>
      <c r="X307" s="3">
        <f>1855.4+(296.1-931.6)+(-2.838762+(-0.453033--1.425348))+0-0-0</f>
        <v>1218.033553</v>
      </c>
      <c r="Y307" s="3">
        <f>1823.7+(320.7-925.2)+(-0.930087+(-0.163557--0.471852))+0-0-0</f>
        <v>1218.5782080000001</v>
      </c>
      <c r="Z307" s="3">
        <f>1662.3+(392.2-847.8)+(-3.391092+(-0.800088--1.729512))+0-0-0</f>
        <v>1204.2383320000001</v>
      </c>
      <c r="AA307" s="3">
        <f>1401.8+(486.8-695.1)+(2.144754+(0.744804-1.063503))+0-0-0</f>
        <v>1195.326055</v>
      </c>
      <c r="AB307" s="3">
        <f>1318.2+(415.2-629.7)+(-2.689128+(-0.847008--1.284588))+0-0-0</f>
        <v>1101.4484520000001</v>
      </c>
      <c r="AC307" s="3">
        <f>1031.9+(465.1-444.7)+(-1.052538+(-0.474402--0.453594))+0-0-0</f>
        <v>1051.2266540000003</v>
      </c>
      <c r="AD307">
        <f t="shared" si="4"/>
        <v>22021.220134000003</v>
      </c>
      <c r="AE307" s="3">
        <f>1865+(316.1-947.8)+(0+(0-0))+0-0-0</f>
        <v>1233.3000000000002</v>
      </c>
    </row>
    <row r="308" spans="1:31" s="2" customFormat="1" x14ac:dyDescent="0.25">
      <c r="A308">
        <v>89</v>
      </c>
      <c r="B308">
        <v>11</v>
      </c>
      <c r="C308">
        <v>2</v>
      </c>
      <c r="D308">
        <v>1</v>
      </c>
      <c r="E308">
        <v>1</v>
      </c>
      <c r="F308" s="3">
        <f>937.9+(420.1-414.8)+(-3.348303+(-1.499757--1.480836))+0-0-0</f>
        <v>939.83277600000008</v>
      </c>
      <c r="G308" s="3">
        <f>930+(321.9-406.7)+(-1.8972+(-0.656676--0.829668))+0-0-0</f>
        <v>843.47579200000007</v>
      </c>
      <c r="H308" s="3">
        <f>929.8+(327.3-419.9)+(0.474198+(0.166923-0.214149))+0-0-0</f>
        <v>837.62697200000002</v>
      </c>
      <c r="I308" s="3">
        <f>929.3+(279.6-409.3)+(0+(0-0))+0-0-0</f>
        <v>799.59999999999991</v>
      </c>
      <c r="J308" s="3">
        <f>929.7+(278.2-418.9)+(-1.422441+(-0.425646--0.640917))+0-0-0</f>
        <v>787.79282999999998</v>
      </c>
      <c r="K308" s="3">
        <f>929.6+(220.1-379.8)+(0.474096+(0.112251-0.193698))+0-0-0</f>
        <v>770.29264899999998</v>
      </c>
      <c r="L308" s="3">
        <f>931+(253.9-330.1)+(0.47481+(0.129489-0.168351))+0-0-0</f>
        <v>855.23594800000001</v>
      </c>
      <c r="M308" s="3">
        <f>1215.8+(321.8-574.6)+(-1.240116+(-0.328236--0.586092))+0-0-0</f>
        <v>962.01774</v>
      </c>
      <c r="N308" s="3">
        <f>1849.1+(319.2-1094.1)+(-1.886082+(-0.325584--1.115982))+0-0-0</f>
        <v>1073.1043160000002</v>
      </c>
      <c r="O308" s="3">
        <f>1947.2+(331.5-1168.3)+(-0.993072+(-0.169065--0.595833))+0-0-0</f>
        <v>1109.8336960000001</v>
      </c>
      <c r="P308" s="3">
        <f>1996.3+(243.1-1145.1)+(-4.072452+(-0.495924--2.336004))+0-0-0</f>
        <v>1092.0676280000002</v>
      </c>
      <c r="Q308" s="3">
        <f>1990.8+(214.2-1124.7)+(-3.045924+(-0.327726--1.720791))+0-0-0</f>
        <v>1078.6471409999999</v>
      </c>
      <c r="R308" s="3">
        <f>1959.8+(229.4-1136.8)+(-4.99749+(-0.58497--2.89884))+0-0-0</f>
        <v>1049.7163800000001</v>
      </c>
      <c r="S308" s="3">
        <f>1800.6+(347.2-1055.2)+(1.836612+(0.354144-1.076304))+0-0-0</f>
        <v>1093.7144519999999</v>
      </c>
      <c r="T308" s="3">
        <f>1647.9+(383.3-949.5)+(-0.840429+(-0.195483--0.484245))+0-0-0</f>
        <v>1081.1483330000001</v>
      </c>
      <c r="U308" s="3">
        <f>1609.7+(292.6-866.7)+(0.820947+(0.149226-0.442017))+0-0-0</f>
        <v>1036.128156</v>
      </c>
      <c r="V308" s="3">
        <f>1673.9+(282.4-888.4)+(0+(0-0))+0-0-0</f>
        <v>1067.9000000000001</v>
      </c>
      <c r="W308" s="3">
        <f>1931.1+(112.8-921.4)+(2.954583+(0.172584-1.409742))+0-0-0</f>
        <v>1124.217425</v>
      </c>
      <c r="X308" s="3">
        <f>2029.9+(81.4-891.1)+(-3.105747+(-0.124542--1.363383))+0-0-0</f>
        <v>1218.3330940000001</v>
      </c>
      <c r="Y308" s="3">
        <f>2031.3+(106.8-911.9)+(-3.107889+(-0.163404--1.395207))+0-0-0</f>
        <v>1224.3239139999998</v>
      </c>
      <c r="Z308" s="3">
        <f>1919.9+(208.6-905.2)+(-3.916596+(-0.425544--1.846608))+0-0-0</f>
        <v>1220.8044680000003</v>
      </c>
      <c r="AA308" s="3">
        <f>1689.3+(260.9-828.4)+(-0.861543+(-0.133059--0.422484))+0-0-0</f>
        <v>1121.2278819999999</v>
      </c>
      <c r="AB308" s="3">
        <f>1523.9+(230.1-674.2)+(-3.108756+(-0.469404--1.375368))+0-0-0</f>
        <v>1077.5972080000001</v>
      </c>
      <c r="AC308" s="3">
        <f>1136.2+(244.3-401.6)+(-4.635696+(-0.996744--1.638528))+0-0-0</f>
        <v>974.90608800000007</v>
      </c>
      <c r="AD308">
        <f t="shared" si="4"/>
        <v>24439.544888</v>
      </c>
      <c r="AE308" s="3">
        <f>2037+(87.9-873)+(0+(0-0))+0-0-0</f>
        <v>1251.9000000000001</v>
      </c>
    </row>
    <row r="309" spans="1:31" s="2" customFormat="1" x14ac:dyDescent="0.25">
      <c r="A309">
        <v>89</v>
      </c>
      <c r="B309">
        <v>11</v>
      </c>
      <c r="C309">
        <v>3</v>
      </c>
      <c r="D309">
        <v>2</v>
      </c>
      <c r="E309">
        <v>1</v>
      </c>
      <c r="F309" s="3">
        <f>929+(255.8-302.1)+(-1.42137+(-0.391374--0.462213))+0-0-0</f>
        <v>881.349469</v>
      </c>
      <c r="G309" s="3">
        <f>926.2+(214.1-299.6)+(-1.889448+(-0.436764--0.611184))+0-0-0</f>
        <v>838.98497200000008</v>
      </c>
      <c r="H309" s="3">
        <f>926.4+(213.2-275.1)+(-2.36232+(-0.54366--0.701505))+0-0-0</f>
        <v>862.295525</v>
      </c>
      <c r="I309" s="3">
        <f>926.2+(190.3-358.4)+(0.472362+(0.097053-0.182784))+0-0-0</f>
        <v>758.4866310000001</v>
      </c>
      <c r="J309" s="3">
        <f>926.4+(250.4-364.2)+(0.944928+(0.255408-0.371484))+0-0-0</f>
        <v>813.42885200000001</v>
      </c>
      <c r="K309" s="3">
        <f>926.8+(286.9-386.1)+(0+(0-0))+0-0-0</f>
        <v>827.59999999999991</v>
      </c>
      <c r="L309" s="3">
        <f>926.4+(318.7-372.5)+(-1.889856+(-0.650148--0.7599))+0-0-0</f>
        <v>870.81989599999986</v>
      </c>
      <c r="M309" s="3">
        <f>953+(271.7-376.9)+(-0.97206+(-0.277134--0.384438))+0-0-0</f>
        <v>846.9352439999999</v>
      </c>
      <c r="N309" s="3">
        <f>1205+(245.8-482.1)+(0+(0-0))+0-0-0</f>
        <v>968.7</v>
      </c>
      <c r="O309" s="3">
        <f>1549.4+(151.7-694.9)+(-0.790194+(-0.077367--0.354399))+0-0-0</f>
        <v>1005.6868380000001</v>
      </c>
      <c r="P309" s="3">
        <f>1769.8+(167.3-892)+(-0.902598+(-0.085323--0.45492))+0-0-0</f>
        <v>1044.5669989999999</v>
      </c>
      <c r="Q309" s="3">
        <f>1812.4+(167.3-893)+(-1.848648+(-0.170646--0.91086))+0-0-0</f>
        <v>1085.5915660000001</v>
      </c>
      <c r="R309" s="3">
        <f>1658.4+(236.2-860.2)+(-0.845784+(-0.120462--0.438702))+0-0-0</f>
        <v>1033.8724560000001</v>
      </c>
      <c r="S309" s="3">
        <f>1519+(282.4-800.1)+(-0.77469+(-0.144024--0.408051))+0-0-0</f>
        <v>1000.7893369999999</v>
      </c>
      <c r="T309" s="3">
        <f>1564.5+(259.5-835.7)+(-3.989475+(-0.661725--2.131035))+0-0-0</f>
        <v>985.77983499999993</v>
      </c>
      <c r="U309" s="3">
        <f>1564.9+(284.7-868.1)+(0.798099+(0.145197-0.442731))+0-0-0</f>
        <v>982.00056500000005</v>
      </c>
      <c r="V309" s="3">
        <f>1578+(259.7-822.1)+(-2.41434+(-0.397341--1.257813))+0-0-0</f>
        <v>1014.0461319999999</v>
      </c>
      <c r="W309" s="3">
        <f>1738.3+(183.5-732.9)+(-1.773066+(-0.18717--0.747558))+0-0-0</f>
        <v>1187.687322</v>
      </c>
      <c r="X309" s="3">
        <f>1925.5+(152.3-807)+(-3.92802+(-0.310692--1.64628))+0-0-0</f>
        <v>1268.207568</v>
      </c>
      <c r="Y309" s="3">
        <f>1930.5+(153.5-825.9)+(-3.93822+(-0.31314--1.684836))+0-0-0</f>
        <v>1255.5334759999998</v>
      </c>
      <c r="Z309" s="3">
        <f>1824.4+(182.6-817.8)+(-0.930444+(-0.093126--0.417078))+0-0-0</f>
        <v>1188.5935080000004</v>
      </c>
      <c r="AA309" s="3">
        <f>1691.7+(218-742.6)+(-0.862767+(-0.11118--0.378726))+0-0-0</f>
        <v>1166.5047789999999</v>
      </c>
      <c r="AB309" s="3">
        <f>1468.7+(242.5-619.5)+(0+(0-0))+0-0-0</f>
        <v>1091.7</v>
      </c>
      <c r="AC309" s="3">
        <f>1246.2+(263.8-522.1)+(-3.17781+(-0.67269--1.331355))+0-0-0</f>
        <v>985.38085500000011</v>
      </c>
      <c r="AD309">
        <f t="shared" si="4"/>
        <v>23964.541825000004</v>
      </c>
      <c r="AE309" s="3">
        <f>1921+(151.8-780.7)+(0+(0-0))+0-0-0</f>
        <v>1292.0999999999999</v>
      </c>
    </row>
    <row r="310" spans="1:31" s="2" customFormat="1" x14ac:dyDescent="0.25">
      <c r="A310">
        <v>89</v>
      </c>
      <c r="B310">
        <v>11</v>
      </c>
      <c r="C310">
        <v>4</v>
      </c>
      <c r="D310">
        <v>3</v>
      </c>
      <c r="E310">
        <v>1</v>
      </c>
      <c r="F310" s="3">
        <f>1145.5+(251.6-490.3)+(-1.16841+(-0.256632--0.500106))+0-0-0</f>
        <v>905.87506399999995</v>
      </c>
      <c r="G310" s="3">
        <f>1145.2+(239.9-528.3)+(-0.584052+(-0.122349--0.269433))+0-0-0</f>
        <v>856.36303200000009</v>
      </c>
      <c r="H310" s="3">
        <f>1144.7+(243-525.8)+(-1.167594+(-0.24786--0.536316))+0-0-0</f>
        <v>861.02086200000008</v>
      </c>
      <c r="I310" s="3">
        <f>1145.2+(228.6-516.9)+(1.168104+(0.233172-0.527238))+0-0-0</f>
        <v>857.77403800000013</v>
      </c>
      <c r="J310" s="3">
        <f>1144.4+(217.5-537.8)+(1.167288+(0.22185-0.548556))+0-0-0</f>
        <v>824.94058200000018</v>
      </c>
      <c r="K310" s="3">
        <f>1144.7+(209.9-570.6)+(2.335188+(0.428196-1.164024))+0-0-0</f>
        <v>785.59936000000005</v>
      </c>
      <c r="L310" s="3">
        <f>1144.4+(190.2-587.7)+(-1.750932+(-0.291006--0.899181))+0-0-0</f>
        <v>745.75724300000013</v>
      </c>
      <c r="M310" s="3">
        <f>1148+(229.1-555.5)+(-2.9274+(-0.584205--1.416525))+0-0-0</f>
        <v>819.50491999999997</v>
      </c>
      <c r="N310" s="3">
        <f>1533+(222-854)+(0+(0-0))+0-0-0</f>
        <v>901</v>
      </c>
      <c r="O310" s="3">
        <f>1548.2+(234-921.9)+(0+(0-0))+0-0-0</f>
        <v>860.30000000000007</v>
      </c>
      <c r="P310" s="3">
        <f>1779.7+(246-993)+(-3.630588+(-0.50184--2.02572))+0-0-0</f>
        <v>1030.593292</v>
      </c>
      <c r="Q310" s="3">
        <f>1794.8+(257.6-897.9)+(-4.57674+(-0.65688--2.289645))+0-0-0</f>
        <v>1151.5560250000001</v>
      </c>
      <c r="R310" s="3">
        <f>1675+(217.3-873.2)+(-3.417+(-0.443292--1.781328))+0-0-0</f>
        <v>1017.0210359999999</v>
      </c>
      <c r="S310" s="3">
        <f>1674.5+(208-884.4)+(-0.853995+(-0.10608--0.451044))+0-0-0</f>
        <v>997.59096899999997</v>
      </c>
      <c r="T310" s="3">
        <f>1668.7+(212.9-902.4)+(0+(0-0))+0-0-0</f>
        <v>979.2</v>
      </c>
      <c r="U310" s="3">
        <f>1654.2+(196.9-872.8)+(2.530926+(0.301257-1.335384))+0-0-0</f>
        <v>979.79679900000008</v>
      </c>
      <c r="V310" s="3">
        <f>1674.7+(164.5-835.9)+(0+(0-0))+0-0-0</f>
        <v>1003.3000000000001</v>
      </c>
      <c r="W310" s="3">
        <f>1706.4+(123.4-666.7)+(0+(0-0))+0-0-0</f>
        <v>1163.0999999999999</v>
      </c>
      <c r="X310" s="3">
        <f>1707.8+(129.3-584.3)+(-2.612934+(-0.197829--0.893979))+0-0-0</f>
        <v>1250.8832159999999</v>
      </c>
      <c r="Y310" s="3">
        <f>1707.8+(139.1-632.6)+(-2.612934+(-0.212823--0.967878))+0-0-0</f>
        <v>1212.442121</v>
      </c>
      <c r="Z310" s="3">
        <f>1700.7+(205.2-736.7)+(-2.602071+(-0.313956--1.127151))+0-0-0</f>
        <v>1167.411124</v>
      </c>
      <c r="AA310" s="3">
        <f>1682.8+(254.6-813)+(-0.858228+(-0.129846--0.41463))+0-0-0</f>
        <v>1123.826556</v>
      </c>
      <c r="AB310" s="3">
        <f>1651+(226.7-807.8)+(-1.68402+(-0.231234--0.823956))+0-0-0</f>
        <v>1068.808702</v>
      </c>
      <c r="AC310" s="3">
        <f>1479.7+(212.6-708.7)+(0+(0-0))+0-0-0</f>
        <v>983.6</v>
      </c>
      <c r="AD310">
        <f t="shared" si="4"/>
        <v>23547.264940999994</v>
      </c>
      <c r="AE310" s="3">
        <f>1707+(134.1-595.1)+(0+(0-0))+0-0-0</f>
        <v>1246</v>
      </c>
    </row>
    <row r="311" spans="1:31" s="2" customFormat="1" x14ac:dyDescent="0.25">
      <c r="A311">
        <v>89</v>
      </c>
      <c r="B311">
        <v>11</v>
      </c>
      <c r="C311">
        <v>5</v>
      </c>
      <c r="D311">
        <v>4</v>
      </c>
      <c r="E311">
        <v>5</v>
      </c>
      <c r="F311" s="3">
        <f>1321.8+(205.7-616.4)+(-0.674118+(-0.104907--0.314364))+0-0-0</f>
        <v>910.63533899999993</v>
      </c>
      <c r="G311" s="3">
        <f>1161.3+(217.4-525.8)+(-1.776789+(-0.332622--0.804474))+0-0-0</f>
        <v>851.59506299999998</v>
      </c>
      <c r="H311" s="3">
        <f>1001.9+(248.6-422.6)+(1.021938+(0.253572-0.431052))+0-0-0</f>
        <v>828.74445800000001</v>
      </c>
      <c r="I311" s="3">
        <f>920+(256-389.8)+(-0.4692+(-0.13056--0.198798))+0-0-0</f>
        <v>785.799038</v>
      </c>
      <c r="J311" s="3">
        <f>919.6+(240.5-369.4)+(-0.468996+(-0.122655--0.188394))+0-0-0</f>
        <v>790.29674299999999</v>
      </c>
      <c r="K311" s="3">
        <f>919.6+(235.1-357.5)+(0.468996+(0.119901-0.182325))+0-0-0</f>
        <v>797.60657200000003</v>
      </c>
      <c r="L311" s="3">
        <f>919.7+(216.6-334.6)+(-2.814282+(-0.662796--1.023876))+0-0-0</f>
        <v>799.24679800000001</v>
      </c>
      <c r="M311" s="3">
        <f>919.2+(210.1-363.8)+(-2.34396+(-0.535755--0.92769))+0-0-0</f>
        <v>763.54797499999995</v>
      </c>
      <c r="N311" s="3">
        <f>919.1+(293.8-392.2)+(-0.937482+(-0.299676--0.400044))+0-0-0</f>
        <v>819.862886</v>
      </c>
      <c r="O311" s="3">
        <f>920.6+(297.7-378)+(-1.878024+(-0.607308--0.77112))+0-0-0</f>
        <v>838.58578799999998</v>
      </c>
      <c r="P311" s="3">
        <f>1007+(279.1-404.6)+(-1.54071+(-0.427023--0.619038))+0-0-0</f>
        <v>880.15130499999998</v>
      </c>
      <c r="Q311" s="3">
        <f>1012.9+(263.2-413.7)+(-2.582895+(-0.67116--1.054935))+0-0-0</f>
        <v>860.20087999999998</v>
      </c>
      <c r="R311" s="3">
        <f>986.6+(292.2-407.8)+(-3.018996+(-0.894132--1.247868))+0-0-0</f>
        <v>868.33474000000001</v>
      </c>
      <c r="S311" s="3">
        <f>917.2+(287.5-385.4)+(-0.935544+(-0.29325--0.393108))+0-0-0</f>
        <v>818.46431400000006</v>
      </c>
      <c r="T311" s="3">
        <f>917.1+(256.5-365)+(-2.338605+(-0.654075--0.93075))+0-0-0</f>
        <v>806.53807000000006</v>
      </c>
      <c r="U311" s="3">
        <f>917.1+(260.9-359.6)+(0.935442+(0.266118-0.366792))+0-0-0</f>
        <v>819.23476800000003</v>
      </c>
      <c r="V311" s="3">
        <f>917.6+(298.5-352)+(0.935952+(0.30447-0.35904))+0-0-0</f>
        <v>864.98138200000005</v>
      </c>
      <c r="W311" s="3">
        <f>930.1+(239-189)+(0+(0-0))+0-0-0</f>
        <v>980.1</v>
      </c>
      <c r="X311" s="3">
        <f>1178.3+(225.8-276.2)+(-0.600933+(-0.115158--0.140862))+0-0-0</f>
        <v>1127.3247710000001</v>
      </c>
      <c r="Y311" s="3">
        <f>1189.6+(243.3-332.8)+(-2.426784+(-0.496332--0.678912))+0-0-0</f>
        <v>1097.8557959999998</v>
      </c>
      <c r="Z311" s="3">
        <f>1189.1+(269.4-380.3)+(0+(0-0))+0-0-0</f>
        <v>1078.1999999999998</v>
      </c>
      <c r="AA311" s="3">
        <f>1159.8+(358.1-423.8)+(0+(0-0))+0-0-0</f>
        <v>1094.0999999999999</v>
      </c>
      <c r="AB311" s="3">
        <f>1083.3+(312.7-421.3)+(-3.314898+(-0.956862--1.289178))+0-0-0</f>
        <v>971.71741799999995</v>
      </c>
      <c r="AC311" s="3">
        <f>964.6+(363.6-398.9)+(-0.983892+(-0.370872--0.406878))+0-0-0</f>
        <v>928.35211400000003</v>
      </c>
      <c r="AD311">
        <f t="shared" si="4"/>
        <v>21381.476218000003</v>
      </c>
      <c r="AE311" s="3">
        <f>1186+(246.5-286.7)+(0+(0-0))+0-0-0</f>
        <v>1145.8</v>
      </c>
    </row>
    <row r="312" spans="1:31" s="2" customFormat="1" x14ac:dyDescent="0.25">
      <c r="A312">
        <v>89</v>
      </c>
      <c r="B312">
        <v>11</v>
      </c>
      <c r="C312">
        <v>6</v>
      </c>
      <c r="D312">
        <v>5</v>
      </c>
      <c r="E312">
        <v>1</v>
      </c>
      <c r="F312" s="3">
        <f>928.4+(309-372)+(-1.420452+(-0.47277--0.56916))+0-0-0</f>
        <v>864.07593799999995</v>
      </c>
      <c r="G312" s="3">
        <f>926+(228.6-348.6)+(-0.47226+(-0.116586--0.177786))+0-0-0</f>
        <v>805.58893999999998</v>
      </c>
      <c r="H312" s="3">
        <f>924.1+(227.2-360.8)+(0.471291+(0.115872-0.184008))+0-0-0</f>
        <v>790.90315499999997</v>
      </c>
      <c r="I312" s="3">
        <f>924.5+(249.5-376.4)+(0+(0-0))+0-0-0</f>
        <v>797.6</v>
      </c>
      <c r="J312" s="3">
        <f>924.7+(234.2-381.6)+(1.886388+(0.477768-0.778464))+0-0-0</f>
        <v>778.88569199999995</v>
      </c>
      <c r="K312" s="3">
        <f>937.8+(217.1-372.5)+(0.478278+(0.110721-0.189975))+0-0-0</f>
        <v>782.79902400000003</v>
      </c>
      <c r="L312" s="3">
        <f>1209.8+(171.5-539.3)+(-1.233996+(-0.17493--0.550086))+0-0-0</f>
        <v>841.14116000000001</v>
      </c>
      <c r="M312" s="3">
        <f>1350.2+(171.6-639.5)+(1.377204+(0.175032-0.65229))+0-0-0</f>
        <v>883.19994600000007</v>
      </c>
      <c r="N312" s="3">
        <f>1588.5+(201.3-830.7)+(-0.810135+(-0.102663--0.423657))+0-0-0</f>
        <v>958.61085899999989</v>
      </c>
      <c r="O312" s="3">
        <f>1678.1+(293-935.7)+(-1.711662+(-0.29886--0.954414))+0-0-0</f>
        <v>1034.3438919999999</v>
      </c>
      <c r="P312" s="3">
        <f>1681+(334.9-993.7)+(1.71462+(0.341598-1.013574))+0-0-0</f>
        <v>1023.2426439999999</v>
      </c>
      <c r="Q312" s="3">
        <f>1676.3+(332.4-1011.8)+(0.854913+(0.169524-0.516018))+0-0-0</f>
        <v>997.40841899999998</v>
      </c>
      <c r="R312" s="3">
        <f>1625.8+(316.1-953.6)+(-4.14579+(-0.806055--2.43168))+0-0-0</f>
        <v>985.77983499999993</v>
      </c>
      <c r="S312" s="3">
        <f>1490.7+(394.9-869.8)+(0+(0-0))+0-0-0</f>
        <v>1015.8000000000001</v>
      </c>
      <c r="T312" s="3">
        <f>1530.5+(321.9-941.1)+(0+(0-0))+0-0-0</f>
        <v>911.3</v>
      </c>
      <c r="U312" s="3">
        <f>1593.7+(332.8-978.5)+(-0.812787+(-0.169728--0.499035))+0-0-0</f>
        <v>947.51652000000001</v>
      </c>
      <c r="V312" s="3">
        <f>1594.1+(261.5-864.8)+(-3.251964+(-0.53346--1.764192))+0-0-0</f>
        <v>988.7787679999999</v>
      </c>
      <c r="W312" s="3">
        <f>1701.6+(151-707.2)+(-3.471264+(-0.30804--1.442688))+0-0-0</f>
        <v>1143.0633839999998</v>
      </c>
      <c r="X312" s="3">
        <f>1710.1+(251.1-709)+(0.872151+(0.128061-0.36159))+0-0-0</f>
        <v>1252.8386219999998</v>
      </c>
      <c r="Y312" s="3">
        <f>1710.1+(302.9-776.7)+(0.872151+(0.154479-0.396117))+0-0-0</f>
        <v>1236.9305129999998</v>
      </c>
      <c r="Z312" s="3">
        <f>1644.3+(278.6-765.4)+(-4.192965+(-0.71043--1.95177))+0-0-0</f>
        <v>1154.5483750000001</v>
      </c>
      <c r="AA312" s="3">
        <f>1601+(336.1-813)+(0+(0-0))+0-0-0</f>
        <v>1124.0999999999999</v>
      </c>
      <c r="AB312" s="3">
        <f>1562.2+(298.4-795.2)+(-3.98361+(-0.76092--2.02776))+0-0-0</f>
        <v>1062.6832300000001</v>
      </c>
      <c r="AC312" s="3">
        <f>1490.6+(160.4-680.4)+(-4.561236+(-0.490824--2.082024))+0-0-0</f>
        <v>967.62996399999986</v>
      </c>
      <c r="AD312">
        <f t="shared" si="4"/>
        <v>23348.768879999989</v>
      </c>
      <c r="AE312" s="3">
        <f>1716+(223.8-716.5)+(0+(0-0))+0-0-0</f>
        <v>1223.3</v>
      </c>
    </row>
    <row r="313" spans="1:31" s="2" customFormat="1" x14ac:dyDescent="0.25">
      <c r="A313">
        <v>89</v>
      </c>
      <c r="B313">
        <v>11</v>
      </c>
      <c r="C313">
        <v>7</v>
      </c>
      <c r="D313">
        <v>6</v>
      </c>
      <c r="E313">
        <v>1</v>
      </c>
      <c r="F313" s="3">
        <f>1337.3+(176.8-631.9)+(-2.046069+(-0.270504--0.966807))+0-0-0</f>
        <v>880.850234</v>
      </c>
      <c r="G313" s="3">
        <f>1112+(216.3-481.4)+(2.26848+(0.441252-0.982056))+0-0-0</f>
        <v>848.62767600000006</v>
      </c>
      <c r="H313" s="3">
        <f>1072.5+(209.9-476.6)+(1.640925+(0.321147-0.729198))+0-0-0</f>
        <v>807.03287399999999</v>
      </c>
      <c r="I313" s="3">
        <f>1072.2+(220.1-495.8)+(0.546822+(0.112251-0.252858))+0-0-0</f>
        <v>796.90621499999997</v>
      </c>
      <c r="J313" s="3">
        <f>1072.2+(233.3-507.8)+(0+(0-0))+0-0-0</f>
        <v>797.7</v>
      </c>
      <c r="K313" s="3">
        <f>1188+(242.3-634.8)+(0+(0-0))+0-0-0</f>
        <v>795.5</v>
      </c>
      <c r="L313" s="3">
        <f>1354+(251.6-711.3)+(1.38108+(0.256632-0.725526))+0-0-0</f>
        <v>895.21218600000009</v>
      </c>
      <c r="M313" s="3">
        <f>1369.1+(241.5-758.8)+(-0.698241+(-0.123165--0.386988))+0-0-0</f>
        <v>851.3655819999999</v>
      </c>
      <c r="N313" s="3">
        <f>1442.1+(206.4-700.2)+(-1.470942+(-0.210528--0.714204))+0-0-0</f>
        <v>947.33273399999985</v>
      </c>
      <c r="O313" s="3">
        <f>1682+(186.8-868.2)+(-3.43128+(-0.381072--1.771128))+0-0-0</f>
        <v>998.55877599999985</v>
      </c>
      <c r="P313" s="3">
        <f>1681.7+(183.9-863.3)+(-0.857667+(-0.093789--0.440283))+0-0-0</f>
        <v>1001.7888270000001</v>
      </c>
      <c r="Q313" s="3">
        <f>1682.2+(183.2-941.1)+(0+(0-0))+0-0-0</f>
        <v>924.3</v>
      </c>
      <c r="R313" s="3">
        <f>1631.5+(265.4-909.4)+(-3.32826+(-0.541416--1.855176))+0-0-0</f>
        <v>985.4855</v>
      </c>
      <c r="S313" s="3">
        <f>1501.4+(293.6-822.9)+(-5.359998+(-1.048152--2.937753))+0-0-0</f>
        <v>968.62960300000009</v>
      </c>
      <c r="T313" s="3">
        <f>1453.6+(300.9-824.4)+(-3.70668+(-0.767295--2.10222))+0-0-0</f>
        <v>927.7282449999999</v>
      </c>
      <c r="U313" s="3">
        <f>1399.9+(281.8-781.7)+(-1.427898+(-0.287436--0.797334))+0-0-0</f>
        <v>899.08199999999999</v>
      </c>
      <c r="V313" s="3">
        <f>1419.5+(198.5-726.9)+(-2.89578+(-0.40494--1.482876))+0-0-0</f>
        <v>889.28215599999999</v>
      </c>
      <c r="W313" s="3">
        <f>1705.2+(232.2-829.7)+(0.869652+(0.118422-0.423147))+0-0-0</f>
        <v>1108.2649269999999</v>
      </c>
      <c r="X313" s="3">
        <f>1712.1+(328.3-804.6)+(-4.365855+(-0.837165--2.05173))+0-0-0</f>
        <v>1232.6487099999999</v>
      </c>
      <c r="Y313" s="3">
        <f>1712.2+(291.4-829.9)+(-2.619666+(-0.445842--1.269747))+0-0-0</f>
        <v>1171.904239</v>
      </c>
      <c r="Z313" s="3">
        <f>1627.2+(329.2-812.5)+(-0.829872+(-0.167892--0.414375))+0-0-0</f>
        <v>1143.3166110000002</v>
      </c>
      <c r="AA313" s="3">
        <f>1601.3+(315.8-855.9)+(-1.633326+(-0.322116--0.873018))+0-0-0</f>
        <v>1060.1175760000001</v>
      </c>
      <c r="AB313" s="3">
        <f>1587.3+(266.2-834.2)+(-3.238092+(-0.543048--1.701768))+0-0-0</f>
        <v>1017.2206279999999</v>
      </c>
      <c r="AC313" s="3">
        <f>1408.8+(192.5-652.2)+(0+(0-0))+0-0-0</f>
        <v>949.09999999999991</v>
      </c>
      <c r="AD313">
        <f t="shared" si="4"/>
        <v>22897.955298999994</v>
      </c>
      <c r="AE313" s="3">
        <f>1716+(323.5-806)+(0+(0-0))+0-0-0</f>
        <v>1233.5</v>
      </c>
    </row>
    <row r="314" spans="1:31" s="2" customFormat="1" x14ac:dyDescent="0.25">
      <c r="A314">
        <v>89</v>
      </c>
      <c r="B314">
        <v>11</v>
      </c>
      <c r="C314">
        <v>8</v>
      </c>
      <c r="D314">
        <v>7</v>
      </c>
      <c r="E314">
        <v>1</v>
      </c>
      <c r="F314" s="3">
        <f>1287.3+(207.6-589.2)+(-3.282615+(-0.52938--1.50246))+0-0-0</f>
        <v>903.39046499999995</v>
      </c>
      <c r="G314" s="3">
        <f>953.3+(242.3-388.6)+(-1.458549+(-0.370719--0.594558))+0-0-0</f>
        <v>805.76529000000005</v>
      </c>
      <c r="H314" s="3">
        <f>919.7+(268.8-348.6)+(-0.469047+(-0.137088--0.177786))+0-0-0</f>
        <v>839.47165100000007</v>
      </c>
      <c r="I314" s="3">
        <f>919.8+(287.1-344.1)+(-0.469098+(-0.146421--0.175491))+0-0-0</f>
        <v>862.35997199999997</v>
      </c>
      <c r="J314" s="3">
        <f>920+(267.9-386.1)+(0.4692+(0.136629-0.196911))+0-0-0</f>
        <v>802.20891799999993</v>
      </c>
      <c r="K314" s="3">
        <f>920.4+(262.6-404.6)+(-1.408212+(-0.401778--0.619038))+0-0-0</f>
        <v>777.20904799999994</v>
      </c>
      <c r="L314" s="3">
        <f>920.1+(320.5-416.9)+(-0.938502+(-0.32691--0.425238))+0-0-0</f>
        <v>822.859826</v>
      </c>
      <c r="M314" s="3">
        <f>919.8+(228.3-389.3)+(0+(0-0))+0-0-0</f>
        <v>758.8</v>
      </c>
      <c r="N314" s="3">
        <f>951.2+(258.7-414.4)+(-0.970224+(-0.263874--0.422688))+0-0-0</f>
        <v>794.68858999999998</v>
      </c>
      <c r="O314" s="3">
        <f>976.9+(287.3-423.1)+(1.494657+(0.439569-0.647343))+0-0-0</f>
        <v>842.3868829999999</v>
      </c>
      <c r="P314" s="3">
        <f>976.1+(302-404.6)+(-1.493433+(-0.46206--0.619038))+0-0-0</f>
        <v>872.163545</v>
      </c>
      <c r="Q314" s="3">
        <f>995.2+(324.9-434.3)+(-1.015104+(-0.331398--0.442986))+0-0-0</f>
        <v>884.89648399999999</v>
      </c>
      <c r="R314" s="3">
        <f>1066.8+(286.9-469.1)+(-4.896612+(-1.316871--2.153169))+0-0-0</f>
        <v>880.53968599999996</v>
      </c>
      <c r="S314" s="3">
        <f>1027+(323.9-457.8)+(0+(0-0))+0-0-0</f>
        <v>893.09999999999991</v>
      </c>
      <c r="T314" s="3">
        <f>975.5+(237.9-402.6)+(-0.497505+(-0.121329--0.205326))+0-0-0</f>
        <v>810.38649199999998</v>
      </c>
      <c r="U314" s="3">
        <f>975.8+(259.5-357.7)+(-0.497658+(-0.132345--0.182427))+0-0-0</f>
        <v>877.15242399999988</v>
      </c>
      <c r="V314" s="3">
        <f>1026.9+(249-358.3)+(-1.571157+(-0.38097--0.548199))+0-0-0</f>
        <v>916.19607200000019</v>
      </c>
      <c r="W314" s="3">
        <f>1333+(203.9-479.8)+(-2.71932+(-0.415956--0.978792))+0-0-0</f>
        <v>1054.9435159999998</v>
      </c>
      <c r="X314" s="3">
        <f>1809.9+(164.3-822.8)+(-3.692196+(-0.335172--1.678512))+0-0-0</f>
        <v>1149.051144</v>
      </c>
      <c r="Y314" s="3">
        <f>1768+(149.9-790.9)+(-2.70504+(-0.229347--1.210077))+0-0-0</f>
        <v>1125.2756899999999</v>
      </c>
      <c r="Z314" s="3">
        <f>1663.7+(179.3-745.9)+(-1.696974+(-0.182886--0.760818))+0-0-0</f>
        <v>1095.9809580000001</v>
      </c>
      <c r="AA314" s="3">
        <f>1519+(268.8-671.5)+(-0.77469+(-0.137088--0.342465))+0-0-0</f>
        <v>1115.730687</v>
      </c>
      <c r="AB314" s="3">
        <f>1388.1+(265.3-632.2)+(-1.415862+(-0.270606--0.644844))+0-0-0</f>
        <v>1020.1583759999999</v>
      </c>
      <c r="AC314" s="3">
        <f>1210.6+(309.9-571.8)+(-4.321842+(-1.106343--2.041326))+0-0-0</f>
        <v>945.31314099999997</v>
      </c>
      <c r="AD314">
        <f t="shared" si="4"/>
        <v>21850.028857999994</v>
      </c>
      <c r="AE314" s="3">
        <f>1869+(156.5-901.5)+(0+(0-0))+0-0-0</f>
        <v>1124</v>
      </c>
    </row>
    <row r="315" spans="1:31" s="2" customFormat="1" x14ac:dyDescent="0.25">
      <c r="A315">
        <v>89</v>
      </c>
      <c r="B315">
        <v>11</v>
      </c>
      <c r="C315">
        <v>9</v>
      </c>
      <c r="D315">
        <v>1</v>
      </c>
      <c r="E315">
        <v>1</v>
      </c>
      <c r="F315" s="3">
        <f>965.2+(282.6-408.6)+(0+(0-0))+0-0-0</f>
        <v>839.2</v>
      </c>
      <c r="G315" s="3">
        <f>925.1+(274.1-382.6)+(-3.302607+(-0.978537--1.365882))+0-0-0</f>
        <v>813.68473800000004</v>
      </c>
      <c r="H315" s="3">
        <f>924.9+(265.6-427.1)+(-0.471699+(-0.135456--0.217821))+0-0-0</f>
        <v>763.01066600000001</v>
      </c>
      <c r="I315" s="3">
        <f>925+(245.3-408.1)+(-1.41525+(-0.375309--0.624393))+0-0-0</f>
        <v>761.03383400000007</v>
      </c>
      <c r="J315" s="3">
        <f>925+(209-362.1)+(0+(0-0))+0-0-0</f>
        <v>771.9</v>
      </c>
      <c r="K315" s="3">
        <f>938.4+(196.1-348.7)+(0+(0-0))+0-0-0</f>
        <v>785.8</v>
      </c>
      <c r="L315" s="3">
        <f>1088.3+(233.2-483.7)+(0+(0-0))+0-0-0</f>
        <v>837.8</v>
      </c>
      <c r="M315" s="3">
        <f>1166.3+(265.8-535.8)+(-2.974065+(-0.67779--1.36629))+0-0-0</f>
        <v>894.01443499999993</v>
      </c>
      <c r="N315" s="3">
        <f>1346.1+(289.4-676.1)+(0.686511+(0.147594-0.344811))+0-0-0</f>
        <v>959.88929399999984</v>
      </c>
      <c r="O315" s="3">
        <f>1600.7+(337.7-917.2)+(-0.816357+(-0.172227--0.467772))+0-0-0</f>
        <v>1020.6791880000001</v>
      </c>
      <c r="P315" s="3">
        <f>1723.2+(321-990.8)+(-1.757664+(-0.32742--1.010616))+0-0-0</f>
        <v>1052.3255320000001</v>
      </c>
      <c r="Q315" s="3">
        <f>1797.2+(327-1072.6)+(-4.58286+(-0.83385--2.73513))+0-0-0</f>
        <v>1048.9184200000002</v>
      </c>
      <c r="R315" s="3">
        <f>1734.3+(284.4-1017.5)+(0+(0-0))+0-0-0</f>
        <v>1001.1999999999999</v>
      </c>
      <c r="S315" s="3">
        <f>1643.1+(281.1-930.2)+(-3.351924+(-0.573444--1.897608))+0-0-0</f>
        <v>991.97223999999994</v>
      </c>
      <c r="T315" s="3">
        <f>1649.2+(264.5-917.5)+(2.523276+(0.404685-1.403775))+0-0-0</f>
        <v>997.72418600000003</v>
      </c>
      <c r="U315" s="3">
        <f>1707.6+(228.5-916.9)+(-2.612628+(-0.349605--1.402857))+0-0-0</f>
        <v>1017.6406239999999</v>
      </c>
      <c r="V315" s="3">
        <f>1738.4+(317.9-937.1)+(2.659752+(0.486387-1.433763))+0-0-0</f>
        <v>1120.912376</v>
      </c>
      <c r="W315" s="3">
        <f>1901.9+(80.1-924.7)+(-2.909907+(-0.122553--1.414791))+0-0-0</f>
        <v>1055.6823310000002</v>
      </c>
      <c r="X315" s="3">
        <f>2159.8+(205.1-1075.4)+(-6.608988+(-0.627606--3.290724))+0-0-0</f>
        <v>1285.55413</v>
      </c>
      <c r="Y315" s="3">
        <f>1998.9+(248.7-1016.7)+(-7.136073+(-0.887859--3.629619))+0-0-0</f>
        <v>1226.5056870000001</v>
      </c>
      <c r="Z315" s="3">
        <f>1762.4+(239.2-844.4)+(0.898824+(0.121992-0.430644))+0-0-0</f>
        <v>1157.790172</v>
      </c>
      <c r="AA315" s="3">
        <f>1679.4+(240.9-780.2)+(-0.856494+(-0.122859--0.397902))+0-0-0</f>
        <v>1139.5185489999999</v>
      </c>
      <c r="AB315" s="3">
        <f>1455.7+(196.8-631.5)+(-0.742407+(-0.100368--0.322065))+0-0-0</f>
        <v>1020.47929</v>
      </c>
      <c r="AC315" s="3">
        <f>1315+(214.4-540.8)+(-0.67065+(-0.109344--0.275808))+0-0-0</f>
        <v>988.09581400000002</v>
      </c>
      <c r="AD315">
        <f t="shared" si="4"/>
        <v>23551.331506000002</v>
      </c>
      <c r="AE315" s="3">
        <f>2160+(192.6-1086.3)+(0+(0-0))+0-0-0</f>
        <v>1266.3000000000002</v>
      </c>
    </row>
    <row r="316" spans="1:31" s="2" customFormat="1" x14ac:dyDescent="0.25">
      <c r="A316">
        <v>89</v>
      </c>
      <c r="B316">
        <v>11</v>
      </c>
      <c r="C316">
        <v>10</v>
      </c>
      <c r="D316">
        <v>2</v>
      </c>
      <c r="E316">
        <v>1</v>
      </c>
      <c r="F316" s="3">
        <f>1018.4+(279.5-387.6)+(0.519384+(0.142545-0.197676))+0-0-0</f>
        <v>910.76425299999994</v>
      </c>
      <c r="G316" s="3">
        <f>1016.3+(237-428.5)+(0+(0-0))+0-0-0</f>
        <v>824.8</v>
      </c>
      <c r="H316" s="3">
        <f>1009.1+(209.5-377)+(-1.543923+(-0.320535--0.57681))+0-0-0</f>
        <v>840.31235200000003</v>
      </c>
      <c r="I316" s="3">
        <f>996.8+(189.8-376.5)+(-2.54184+(-0.48399--0.960075))+0-0-0</f>
        <v>808.03424499999994</v>
      </c>
      <c r="J316" s="3">
        <f>996.6+(200.9-383.3)+(1.016532+(0.204918-0.390966))+0-0-0</f>
        <v>815.030484</v>
      </c>
      <c r="K316" s="3">
        <f>996.4+(236.1-393.7)+(-2.032656+(-0.481644--0.803148))+0-0-0</f>
        <v>837.08884799999998</v>
      </c>
      <c r="L316" s="3">
        <f>996.8+(271.6-388.7)+(2.033472+(0.554064-0.792948))+0-0-0</f>
        <v>881.49458800000002</v>
      </c>
      <c r="M316" s="3">
        <f>1003.1+(322.6-393.9)+(0.511581+(0.164526-0.200889))+0-0-0</f>
        <v>932.27521800000011</v>
      </c>
      <c r="N316" s="3">
        <f>1095.1+(334.6-422)+(-2.792505+(-0.85323--1.0761))+0-0-0</f>
        <v>1005.130365</v>
      </c>
      <c r="O316" s="3">
        <f>1235.4+(331.7-504.4)+(0.630054+(0.169167-0.257244))+0-0-0</f>
        <v>1063.2419770000001</v>
      </c>
      <c r="P316" s="3">
        <f>1494.2+(235-637.3)+(-1.524084+(-0.2397--0.650046))+0-0-0</f>
        <v>1090.7862620000001</v>
      </c>
      <c r="Q316" s="3">
        <f>1474.2+(284.7-673)+(0+(0-0))+0-0-0</f>
        <v>1085.9000000000001</v>
      </c>
      <c r="R316" s="3">
        <f>1264.7+(334.3-520.4)+(-1.934991+(-0.511479--0.796212))+0-0-0</f>
        <v>1076.9497420000002</v>
      </c>
      <c r="S316" s="3">
        <f>1065.3+(350.9-386.6)+(-1.086606+(-0.357918--0.394332))+0-0-0</f>
        <v>1028.549808</v>
      </c>
      <c r="T316" s="3">
        <f>1063.3+(354.3-401.3)+(-1.084566+(-0.361386--0.409326))+0-0-0</f>
        <v>1015.263374</v>
      </c>
      <c r="U316" s="3">
        <f>1065.1+(326.7-359.3)+(0.543201+(0.166617-0.183243))+0-0-0</f>
        <v>1033.0265750000001</v>
      </c>
      <c r="V316" s="3">
        <f>1204.8+(261-439.4)+(-1.228896+(-0.26622--0.448188))+0-0-0</f>
        <v>1025.3530720000001</v>
      </c>
      <c r="W316" s="3">
        <f>1599.8+(200.9-623.7)+(0+(0-0))+0-0-0</f>
        <v>1177</v>
      </c>
      <c r="X316" s="3">
        <f>1848.3+(119.5-709.9)+(-1.885266+(-0.12189--0.724098))+0-0-0</f>
        <v>1256.6169420000001</v>
      </c>
      <c r="Y316" s="3">
        <f>1847.6+(161.7-776.8)+(-2.826828+(-0.247401--1.188504))+0-0-0</f>
        <v>1230.6142749999999</v>
      </c>
      <c r="Z316" s="3">
        <f>1700+(212.4-728.1)+(-3.468+(-0.433296--1.485324))+0-0-0</f>
        <v>1181.8840279999999</v>
      </c>
      <c r="AA316" s="3">
        <f>1678.3+(371-882.2)+(-0.855933+(-0.18921--0.449922))+0-0-0</f>
        <v>1166.5047789999999</v>
      </c>
      <c r="AB316" s="3">
        <f>1698.1+(301.6-932.2)+(-3.464124+(-0.615264--1.901688))+0-0-0</f>
        <v>1065.3223</v>
      </c>
      <c r="AC316" s="3">
        <f>1510.5+(214.1-727.6)+(-1.54071+(-0.218382--0.742152))+0-0-0</f>
        <v>995.98306000000002</v>
      </c>
      <c r="AD316">
        <f t="shared" si="4"/>
        <v>24347.926546999999</v>
      </c>
      <c r="AE316" s="3">
        <f>1854+(144.7-724.7)+(0+(0-0))+0-0-0</f>
        <v>1274</v>
      </c>
    </row>
    <row r="317" spans="1:31" s="2" customFormat="1" x14ac:dyDescent="0.25">
      <c r="A317">
        <v>89</v>
      </c>
      <c r="B317">
        <v>11</v>
      </c>
      <c r="C317">
        <v>11</v>
      </c>
      <c r="D317">
        <v>3</v>
      </c>
      <c r="E317">
        <v>1</v>
      </c>
      <c r="F317" s="3">
        <f>1309+(249.6-633.7)+(-3.33795+(-0.63648--1.615935))+0-0-0</f>
        <v>922.54150500000003</v>
      </c>
      <c r="G317" s="3">
        <f>1130.6+(269.2-569.3)+(-2.306424+(-0.549168--1.161372))+0-0-0</f>
        <v>828.80578000000003</v>
      </c>
      <c r="H317" s="3">
        <f>1137.4+(295.1-623.8)+(-2.320296+(-0.602004--1.272552))+0-0-0</f>
        <v>807.05025200000011</v>
      </c>
      <c r="I317" s="3">
        <f>1138.8+(294-586.3)+(-2.90394+(-0.7497--1.495065))+0-0-0</f>
        <v>844.34142499999996</v>
      </c>
      <c r="J317" s="3">
        <f>1138.7+(293.3-575.5)+(2.322948+(0.598332-1.17402))+0-0-0</f>
        <v>858.24725999999998</v>
      </c>
      <c r="K317" s="3">
        <f>1138+(298.3-550.8)+(2.9019+(0.760665-1.40454))+0-0-0</f>
        <v>887.75802499999998</v>
      </c>
      <c r="L317" s="3">
        <f>1138.7+(403.2-623.1)+(1.742211+(0.616896-0.953343))+0-0-0</f>
        <v>920.20576399999993</v>
      </c>
      <c r="M317" s="3">
        <f>1157.4+(389.7-598.3)+(1.770822+(0.596241-0.915399))+0-0-0</f>
        <v>950.25166400000023</v>
      </c>
      <c r="N317" s="3">
        <f>1238.4+(393-606.5)+(1.263168+(0.40086-0.61863))+0-0-0</f>
        <v>1025.9453980000001</v>
      </c>
      <c r="O317" s="3">
        <f>1330.1+(319-587.1)+(-2.713404+(-0.65076--1.197684))+0-0-0</f>
        <v>1059.8335199999999</v>
      </c>
      <c r="P317" s="3">
        <f>1470.7+(416.2-790.2)+(2.250171+(0.636786-1.209006))+0-0-0</f>
        <v>1098.3779509999999</v>
      </c>
      <c r="Q317" s="3">
        <f>1600.3+(389-904.7)+(-2.448459+(-0.59517--1.384191))+0-0-0</f>
        <v>1082.940562</v>
      </c>
      <c r="R317" s="3">
        <f>1578.1+(379.9-884.3)+(-5.633817+(-1.356243--3.156951))+0-0-0</f>
        <v>1069.8668909999999</v>
      </c>
      <c r="S317" s="3">
        <f>1576.9+(271.5-816.8)+(-0.804219+(-0.138465--0.416568))+0-0-0</f>
        <v>1031.0738840000001</v>
      </c>
      <c r="T317" s="3">
        <f>1576.7+(283.5-839.2)+(-2.412351+(-0.433755--1.283976))+0-0-0</f>
        <v>1019.43787</v>
      </c>
      <c r="U317" s="3">
        <f>1576+(232.9-850.1)+(-2.41128+(-0.356337--1.300653))+0-0-0</f>
        <v>957.33303599999999</v>
      </c>
      <c r="V317" s="3">
        <f>1599.3+(166.6-816.5)+(-4.893858+(-0.509796--2.49849))+0-0-0</f>
        <v>946.49483599999996</v>
      </c>
      <c r="W317" s="3">
        <f>1854.9+(124.1-793.2)+(-6.621993+(-0.443037--2.831724))+0-0-0</f>
        <v>1181.5666940000001</v>
      </c>
      <c r="X317" s="3">
        <f>1916.8+(215.5-855.6)+(-5.865408+(-0.65943--2.618136))+0-0-0</f>
        <v>1272.7932979999998</v>
      </c>
      <c r="Y317" s="3">
        <f>1746.5+(215.7-726.2)+(1.78143+(0.220014-0.740724))+0-0-0</f>
        <v>1237.26072</v>
      </c>
      <c r="Z317" s="3">
        <f>1708.4+(195.9-709.3)+(-1.742568+(-0.199818--0.723486))+0-0-0</f>
        <v>1193.7810999999999</v>
      </c>
      <c r="AA317" s="3">
        <f>1533+(216.9-608.5)+(-3.12732+(-0.442476--1.24134))+0-0-0</f>
        <v>1139.0715440000001</v>
      </c>
      <c r="AB317" s="3">
        <f>1466.5+(264.8-642.4)+(-4.48749+(-0.810288--1.965744))+0-0-0</f>
        <v>1085.5679660000001</v>
      </c>
      <c r="AC317" s="3">
        <f>1451.3+(196.5-630.1)+(-5.921304+(-0.80172--2.570808))+0-0-0</f>
        <v>1013.547784</v>
      </c>
      <c r="AD317">
        <f t="shared" si="4"/>
        <v>24434.094728999993</v>
      </c>
      <c r="AE317" s="3">
        <f>1927+(266.9-836.9)+(0+(0-0))+0-0-0</f>
        <v>1357</v>
      </c>
    </row>
    <row r="318" spans="1:31" s="2" customFormat="1" x14ac:dyDescent="0.25">
      <c r="A318">
        <v>89</v>
      </c>
      <c r="B318">
        <v>11</v>
      </c>
      <c r="C318">
        <v>12</v>
      </c>
      <c r="D318">
        <v>4</v>
      </c>
      <c r="E318">
        <v>1</v>
      </c>
      <c r="F318" s="3">
        <f>1277.1+(183.5-550.1)+(-1.302642+(-0.18717--0.561102))+0-0-0</f>
        <v>909.57128999999986</v>
      </c>
      <c r="G318" s="3">
        <f>1149.5+(183-454.4)+(-3.51747+(-0.55998--1.390464))+0-0-0</f>
        <v>875.41301399999998</v>
      </c>
      <c r="H318" s="3">
        <f>1148.3+(194.5-506.8)+(-1.756899+(-0.297585--0.775404))+0-0-0</f>
        <v>834.72091999999998</v>
      </c>
      <c r="I318" s="3">
        <f>1147.6+(188.2-525.1)+(0+(0-0))+0-0-0</f>
        <v>810.69999999999982</v>
      </c>
      <c r="J318" s="3">
        <f>1147.4+(176.1-495.3)+(-2.92587+(-0.449055--1.263015))+0-0-0</f>
        <v>826.08809000000008</v>
      </c>
      <c r="K318" s="3">
        <f>1226.6+(160.9-535.7)+(-2.502264+(-0.328236--1.092828))+0-0-0</f>
        <v>850.06232799999987</v>
      </c>
      <c r="L318" s="3">
        <f>1329.8+(167-578.2)+(-3.39099+(-0.42585--1.47441))+0-0-0</f>
        <v>916.25756999999987</v>
      </c>
      <c r="M318" s="3">
        <f>1287.4+(208-555.9)+(1.969722+(0.31824-0.850527))+0-0-0</f>
        <v>940.93743500000016</v>
      </c>
      <c r="N318" s="3">
        <f>1468.2+(194.1-641.9)+(-0.748782+(-0.098991--0.327369))+0-0-0</f>
        <v>1019.8795960000001</v>
      </c>
      <c r="O318" s="3">
        <f>1591.2+(167.5-692.1)+(0.811512+(0.085425-0.352971))+0-0-0</f>
        <v>1067.1439659999999</v>
      </c>
      <c r="P318" s="3">
        <f>1819.3+(186.1-902.8)+(-2.783529+(-0.284733--1.381284))+0-0-0</f>
        <v>1100.913022</v>
      </c>
      <c r="Q318" s="3">
        <f>1892.7+(234.7-1011.6)+(-3.861108+(-0.478788--2.063664))+0-0-0</f>
        <v>1113.523768</v>
      </c>
      <c r="R318" s="3">
        <f>1886.2+(182.5-956.4)+(-2.885886+(-0.279225--1.463292))+0-0-0</f>
        <v>1110.5981810000003</v>
      </c>
      <c r="S318" s="3">
        <f>1809.6+(185-915.6)+(-0.922896+(-0.09435--0.466956))+0-0-0</f>
        <v>1078.4497100000001</v>
      </c>
      <c r="T318" s="3">
        <f>1635+(197.6-762.4)+(0.83385+(0.100776-0.388824))+0-0-0</f>
        <v>1070.7458020000001</v>
      </c>
      <c r="U318" s="3">
        <f>1613+(165-727.5)+(-2.46789+(-0.25245--1.113075))+0-0-0</f>
        <v>1048.8927349999999</v>
      </c>
      <c r="V318" s="3">
        <f>1612.4+(166.9-707.3)+(0+(0-0))+0-0-0</f>
        <v>1072</v>
      </c>
      <c r="W318" s="3">
        <f>1626.5+(178.5-624.6)+(-1.65903+(-0.18207--0.637092))+0-0-0</f>
        <v>1179.1959920000002</v>
      </c>
      <c r="X318" s="3">
        <f>1715.5+(242.3-713.4)+(-5.24943+(-0.741438--2.183004))+0-0-0</f>
        <v>1240.592136</v>
      </c>
      <c r="Y318" s="3">
        <f>1703.7+(289.3-780.8)+(-2.606661+(-0.442629--1.194624))+0-0-0</f>
        <v>1210.3453340000001</v>
      </c>
      <c r="Z318" s="3">
        <f>1539.8+(310.2-703.1)+(-1.570596+(-0.316404--0.717162))+0-0-0</f>
        <v>1145.7301619999998</v>
      </c>
      <c r="AA318" s="3">
        <f>1345+(363.4-591.6)+(-1.3719+(-0.370668--0.603432))+0-0-0</f>
        <v>1115.6608639999999</v>
      </c>
      <c r="AB318" s="3">
        <f>1314.5+(335.7-576.5)+(-2.011185+(-0.513621--0.882045))+0-0-0</f>
        <v>1072.057239</v>
      </c>
      <c r="AC318" s="3">
        <f>1204.8+(292.2-512.7)+(-1.228896+(-0.298044--0.522954))+0-0-0</f>
        <v>983.2960139999999</v>
      </c>
      <c r="AD318">
        <f t="shared" si="4"/>
        <v>24592.775168000004</v>
      </c>
      <c r="AE318" s="3">
        <f>1714+(334.8-655.6)+(0+(0-0))+0-0-0</f>
        <v>1393.2</v>
      </c>
    </row>
    <row r="319" spans="1:31" s="2" customFormat="1" x14ac:dyDescent="0.25">
      <c r="A319">
        <v>89</v>
      </c>
      <c r="B319">
        <v>11</v>
      </c>
      <c r="C319">
        <v>13</v>
      </c>
      <c r="D319">
        <v>5</v>
      </c>
      <c r="E319">
        <v>5</v>
      </c>
      <c r="F319" s="3">
        <f>995+(336.9-416.3)+(-1.52235+(-0.515457--0.636939))+0-0-0</f>
        <v>914.19913199999996</v>
      </c>
      <c r="G319" s="3">
        <f>912.6+(393.6-411.5)+(0.465426+(0.200736-0.209865))+0-0-0</f>
        <v>895.156297</v>
      </c>
      <c r="H319" s="3">
        <f>910.2+(283-402.1)+(-0.928404+(-0.28866--0.410142))+0-0-0</f>
        <v>790.29307800000004</v>
      </c>
      <c r="I319" s="3">
        <f>910.4+(298.6-396.4)+(0.928608+(0.304572-0.404328))+0-0-0</f>
        <v>813.42885200000001</v>
      </c>
      <c r="J319" s="3">
        <f>909.9+(313.5-394.6)+(0.928098+(0.31977-0.402492))+0-0-0</f>
        <v>829.64537599999994</v>
      </c>
      <c r="K319" s="3">
        <f>910.5+(253.4-361)+(1.393065+(0.387702-0.55233))+0-0-0</f>
        <v>804.12843699999996</v>
      </c>
      <c r="L319" s="3">
        <f>953.5+(292.2-439.8)+(0+(0-0))+0-0-0</f>
        <v>805.9</v>
      </c>
      <c r="M319" s="3">
        <f>1131.4+(284.1-640.1)+(-2.88507+(-0.724455--1.632255))+0-0-0</f>
        <v>773.42273000000012</v>
      </c>
      <c r="N319" s="3">
        <f>1138.3+(403.2-744.2)+(-0.580533+(-0.205632--0.379542))+0-0-0</f>
        <v>796.89337699999999</v>
      </c>
      <c r="O319" s="3">
        <f>1138.4+(369.9-720.8)+(1.741752+(0.565947-1.102824))+0-0-0</f>
        <v>788.70487500000013</v>
      </c>
      <c r="P319" s="3">
        <f>1139.3+(321-617.3)+(-3.486258+(-0.98226--1.888938))+0-0-0</f>
        <v>840.42042000000004</v>
      </c>
      <c r="Q319" s="3">
        <f>1138.7+(266-543.7)+(-1.742211+(-0.40698--0.831861))+0-0-0</f>
        <v>859.68267000000003</v>
      </c>
      <c r="R319" s="3">
        <f>1122.6+(330.4-583.3)+(0+(0-0))+0-0-0</f>
        <v>869.69999999999993</v>
      </c>
      <c r="S319" s="3">
        <f>1138.7+(349.3-614.5)+(-1.161474+(-0.356286--0.62679))+0-0-0</f>
        <v>872.60902999999996</v>
      </c>
      <c r="T319" s="3">
        <f>1139.4+(350.1-627.6)+(-1.743282+(-0.535653--0.960228))+0-0-0</f>
        <v>860.58129300000007</v>
      </c>
      <c r="U319" s="3">
        <f>1139.1+(339.6-608.9)+(-2.323764+(-0.692784--1.242156))+0-0-0</f>
        <v>868.02560799999992</v>
      </c>
      <c r="V319" s="3">
        <f>1307.8+(306.8-644.4)+(0+(0-0))+0-0-0</f>
        <v>970.2</v>
      </c>
      <c r="W319" s="3">
        <f>1611.5+(399.4-894.6)+(0+(0-0))+0-0-0</f>
        <v>1116.3</v>
      </c>
      <c r="X319" s="3">
        <f>1931.8+(380.9-1144.3)+(-3.940872+(-0.777036--2.334372))+0-0-0</f>
        <v>1166.016464</v>
      </c>
      <c r="Y319" s="3">
        <f>1930.8+(395.2-1080.5)+(-1.969416+(-0.403104--1.10211))+0-0-0</f>
        <v>1244.2295899999999</v>
      </c>
      <c r="Z319" s="3">
        <f>1930.2+(321.2-1119.9)+(0+(0-0))+0-0-0</f>
        <v>1131.5</v>
      </c>
      <c r="AA319" s="3">
        <f>1924.9+(379.8-1129.9)+(0.981699+(0.193698-0.576249))+0-0-0</f>
        <v>1175.399148</v>
      </c>
      <c r="AB319" s="3">
        <f>1916.6+(311.2-1166.2)+(-0.977466+(-0.158712--0.594762))+0-0-0</f>
        <v>1061.0585839999999</v>
      </c>
      <c r="AC319" s="3">
        <f>1837.2+(281.3-1109.3)+(-5.621832+(-0.860778--3.394458))+0-0-0</f>
        <v>1006.111848</v>
      </c>
      <c r="AD319">
        <f t="shared" si="4"/>
        <v>22253.606808999997</v>
      </c>
      <c r="AE319" s="3">
        <f>1943+(394.6-1114.4)+(0+(0-0))+0-0-0</f>
        <v>1223.1999999999998</v>
      </c>
    </row>
    <row r="320" spans="1:31" s="2" customFormat="1" x14ac:dyDescent="0.25">
      <c r="A320">
        <v>89</v>
      </c>
      <c r="B320">
        <v>11</v>
      </c>
      <c r="C320">
        <v>14</v>
      </c>
      <c r="D320">
        <v>6</v>
      </c>
      <c r="E320">
        <v>6</v>
      </c>
      <c r="F320" s="3">
        <f>1566.3+(284.2-876.5)+(-0.798813+(-0.144942--0.447015))+0-0-0</f>
        <v>973.50325999999995</v>
      </c>
      <c r="G320" s="3">
        <f>1216+(301.4-688.2)+(0+(0-0))+0-0-0</f>
        <v>829.19999999999993</v>
      </c>
      <c r="H320" s="3">
        <f>1147.2+(306-619.5)+(-3.510432+(-0.93636--1.89567))+0-0-0</f>
        <v>831.14887800000008</v>
      </c>
      <c r="I320" s="3">
        <f>1146.5+(261.7-580.3)+(2.33886+(0.533868-1.183812))+0-0-0</f>
        <v>829.58891600000004</v>
      </c>
      <c r="J320" s="3">
        <f>1146.5+(249.3-570.1)+(0.584715+(0.127143-0.290751))+0-0-0</f>
        <v>826.12110700000005</v>
      </c>
      <c r="K320" s="3">
        <f>1146.1+(241.3-575.5)+(2.338044+(0.492252-1.17402))+0-0-0</f>
        <v>813.55627599999991</v>
      </c>
      <c r="L320" s="3">
        <f>1147.4+(269.8-564.9)+(0.585174+(0.137598-0.288099))+0-0-0</f>
        <v>852.73467300000016</v>
      </c>
      <c r="M320" s="3">
        <f>1230.6+(224-568.7)+(-0.627606+(-0.11424--0.290037))+0-0-0</f>
        <v>885.44819099999984</v>
      </c>
      <c r="N320" s="3">
        <f>1328.6+(218.1-577.6)+(-0.677586+(-0.111231--0.294576))+0-0-0</f>
        <v>968.60575899999992</v>
      </c>
      <c r="O320" s="3">
        <f>1469.6+(280.8-719.9)+(1.498992+(0.286416-0.734298))+0-0-0</f>
        <v>1031.5511100000001</v>
      </c>
      <c r="P320" s="3">
        <f>1678.7+(182.3-793.5)+(-0.856137+(-0.092973--0.404685))+0-0-0</f>
        <v>1066.955575</v>
      </c>
      <c r="Q320" s="3">
        <f>1897.1+(211.4-1001.1)+(0+(0-0))+0-0-0</f>
        <v>1107.3999999999999</v>
      </c>
      <c r="R320" s="3">
        <f>1890.4+(156.7-968.5)+(-2.892312+(-0.239751--1.481805))+0-0-0</f>
        <v>1076.9497420000002</v>
      </c>
      <c r="S320" s="3">
        <f>1613.5+(257-891)+(-4.114425+(-0.65535--2.27205))+0-0-0</f>
        <v>977.00227500000005</v>
      </c>
      <c r="T320" s="3">
        <f>1422.7+(346.5-788.7)+(-2.176731+(-0.530145--1.206711))+0-0-0</f>
        <v>978.99983499999996</v>
      </c>
      <c r="U320" s="3">
        <f>1416.7+(188.9-632.3)+(-6.502653+(-0.867051--2.902257))+0-0-0</f>
        <v>968.83255300000008</v>
      </c>
      <c r="V320" s="3">
        <f>1417.9+(193.5-605.9)+(-1.446258+(-0.19737--0.618018))+0-0-0</f>
        <v>1004.4743900000001</v>
      </c>
      <c r="W320" s="3">
        <f>1437.2+(152.7-498.4)+(0.732972+(0.077877-0.254184))+0-0-0</f>
        <v>1092.0566650000001</v>
      </c>
      <c r="X320" s="3">
        <f>1892.7+(138-749.5)+(-2.895831+(-0.21114--1.146735))+0-0-0</f>
        <v>1279.2397640000002</v>
      </c>
      <c r="Y320" s="3">
        <f>1931.5+(144-917.3)+(-4.925325+(-0.3672--2.339115))+0-0-0</f>
        <v>1155.24659</v>
      </c>
      <c r="Z320" s="3">
        <f>1904.9+(200.6-915.7)+(-2.914497+(-0.306918--1.401021))+0-0-0</f>
        <v>1187.9796060000001</v>
      </c>
      <c r="AA320" s="3">
        <f>1723.2+(135.7-841.7)+(-2.636496+(-0.207621--1.287801))+0-0-0</f>
        <v>1015.643684</v>
      </c>
      <c r="AB320" s="3">
        <f>1661+(151-908.6)+(-0.84711+(-0.07701--0.463386))+0-0-0</f>
        <v>902.93926599999998</v>
      </c>
      <c r="AC320" s="3">
        <f>1531.2+(168.7-889.4)+(-1.561824+(-0.172074--0.907188))+0-0-0</f>
        <v>809.67328999999995</v>
      </c>
      <c r="AD320">
        <f t="shared" si="4"/>
        <v>23464.851405000001</v>
      </c>
      <c r="AE320" s="3">
        <f>1942+(165.5-837.2)+(0+(0-0))+0-0-0</f>
        <v>1270.3</v>
      </c>
    </row>
    <row r="321" spans="1:31" s="2" customFormat="1" x14ac:dyDescent="0.25">
      <c r="A321">
        <v>89</v>
      </c>
      <c r="B321">
        <v>11</v>
      </c>
      <c r="C321">
        <v>15</v>
      </c>
      <c r="D321">
        <v>7</v>
      </c>
      <c r="E321">
        <v>5</v>
      </c>
      <c r="F321" s="3">
        <f>1366.8+(234.3-744.7)+(-0.697068+(-0.119493--0.379797))+0-0-0</f>
        <v>855.96323599999982</v>
      </c>
      <c r="G321" s="3">
        <f>1188.5+(323.5-652.1)+(-0.606135+(-0.164985--0.332571))+0-0-0</f>
        <v>859.46145100000001</v>
      </c>
      <c r="H321" s="3">
        <f>967.8+(335.5-510.5)+(-1.974312+(-0.68442--1.04142))+0-0-0</f>
        <v>791.18268799999998</v>
      </c>
      <c r="I321" s="3">
        <f>1004.9+(281-567.1)+(-2.049996+(-0.57324--1.156884))+0-0-0</f>
        <v>717.33364799999993</v>
      </c>
      <c r="J321" s="3">
        <f>1147.2+(364.8-680.5)+(0+(0-0))+0-0-0</f>
        <v>831.5</v>
      </c>
      <c r="K321" s="3">
        <f>1147.6+(353.2-649.3)+(2.92638+(0.90066-1.655715))+0-0-0</f>
        <v>853.67132500000002</v>
      </c>
      <c r="L321" s="3">
        <f>1147.7+(358.6-688.3)+(-1.170654+(-0.365772--0.702066))+0-0-0</f>
        <v>817.16564000000017</v>
      </c>
      <c r="M321" s="3">
        <f>1147.4+(362.6-711.5)+(-0.585174+(-0.184926--0.362865))+0-0-0</f>
        <v>798.0927650000001</v>
      </c>
      <c r="N321" s="3">
        <f>1147.7+(440.7-730.7)+(-0.585327+(-0.224757--0.372657))+0-0-0</f>
        <v>857.26257300000009</v>
      </c>
      <c r="O321" s="3">
        <f>1231.3+(428.1-774.2)+(-1.255926+(-0.436662--0.789684))+0-0-0</f>
        <v>884.2970959999999</v>
      </c>
      <c r="P321" s="3">
        <f>1247.2+(344.5-695.2)+(-4.452504+(-1.229865--2.481864))+0-0-0</f>
        <v>893.29949499999998</v>
      </c>
      <c r="Q321" s="3">
        <f>1246.1+(283.3-636.7)+(0+(0-0))+0-0-0</f>
        <v>892.69999999999982</v>
      </c>
      <c r="R321" s="3">
        <f>1246.3+(271.8-661.1)+(0+(0-0))+0-0-0</f>
        <v>857</v>
      </c>
      <c r="S321" s="3">
        <f>1246.8+(249.5-673.2)+(-0.635868+(-0.127245--0.343332))+0-0-0</f>
        <v>822.68021899999997</v>
      </c>
      <c r="T321" s="3">
        <f>1245.5+(314-682.1)+(-1.27041+(-0.32028--0.695742))+0-0-0</f>
        <v>876.50505199999998</v>
      </c>
      <c r="U321" s="3">
        <f>1245.8+(238-726.1)+(-1.270716+(-0.24276--0.740622))+0-0-0</f>
        <v>756.92714599999988</v>
      </c>
      <c r="V321" s="3">
        <f>1248.7+(199.2-652)+(-0.636837+(-0.101592--0.33252))+0-0-0</f>
        <v>795.49409100000014</v>
      </c>
      <c r="W321" s="3">
        <f>1485.9+(135.2-641.7)+(-1.515618+(-0.137904--0.654534))+0-0-0</f>
        <v>978.40101200000004</v>
      </c>
      <c r="X321" s="3">
        <f>1907.6+(187-948.2)+(-1.945752+(-0.19074--0.967164))+0-0-0</f>
        <v>1145.2306719999999</v>
      </c>
      <c r="Y321" s="3">
        <f>1931.3+(171-1002.6)+(-0.984963+(-0.08721--0.511326))+0-0-0</f>
        <v>1099.1391529999999</v>
      </c>
      <c r="Z321" s="3">
        <f>1935.8+(207-1029.8)+(-2.961774+(-0.31671--1.575594))+0-0-0</f>
        <v>1111.29711</v>
      </c>
      <c r="AA321" s="3">
        <f>1905.7+(254-1128.3)+(0+(0-0))+0-0-0</f>
        <v>1031.4000000000001</v>
      </c>
      <c r="AB321" s="3">
        <f>1729.8+(266-973.5)+(-4.41099+(-0.6783--2.482425))+0-0-0</f>
        <v>1019.693135</v>
      </c>
      <c r="AC321" s="3">
        <f>1580.5+(318-971)+(-4.030275+(-0.8109--2.47605))+0-0-0</f>
        <v>925.13487499999997</v>
      </c>
      <c r="AD321">
        <f t="shared" ref="AD321:AD365" si="5">SUM(F321:AC321)</f>
        <v>21470.832382000001</v>
      </c>
      <c r="AE321" s="3">
        <f>1937+(161.5-992.8)+(0+(0-0))+0-0-0</f>
        <v>1105.7</v>
      </c>
    </row>
    <row r="322" spans="1:31" s="2" customFormat="1" x14ac:dyDescent="0.25">
      <c r="A322">
        <v>89</v>
      </c>
      <c r="B322">
        <v>11</v>
      </c>
      <c r="C322">
        <v>16</v>
      </c>
      <c r="D322">
        <v>1</v>
      </c>
      <c r="E322">
        <v>1</v>
      </c>
      <c r="F322" s="3">
        <f>1184.9+(331-668.3)+(-0.604299+(-0.16881--0.340833))+0-0-0</f>
        <v>847.16772400000013</v>
      </c>
      <c r="G322" s="3">
        <f>1135.8+(325.2-681.3)+(1.737774+(0.497556-1.042389))+0-0-0</f>
        <v>780.89294100000006</v>
      </c>
      <c r="H322" s="3">
        <f>1124+(276-639.5)+(-2.29296+(-0.56304--1.30458))+0-0-0</f>
        <v>758.94857999999999</v>
      </c>
      <c r="I322" s="3">
        <f>1124+(298.1-666.1)+(-1.71972+(-0.456093--1.019133))+0-0-0</f>
        <v>754.84331999999995</v>
      </c>
      <c r="J322" s="3">
        <f>1123.2+(280-636)+(-1.718496+(-0.4284--0.97308))+0-0-0</f>
        <v>766.02618400000006</v>
      </c>
      <c r="K322" s="3">
        <f>1142.8+(262.7-662)+(0+(0-0))+0-0-0</f>
        <v>743.5</v>
      </c>
      <c r="L322" s="3">
        <f>1332+(389-841.9)+(0.67932+(0.19839-0.429369))+0-0-0</f>
        <v>879.54834100000005</v>
      </c>
      <c r="M322" s="3">
        <f>1475.7+(297-879.5)+(-0.752607+(-0.15147--0.448545))+0-0-0</f>
        <v>892.7444680000001</v>
      </c>
      <c r="N322" s="3">
        <f>1841.1+(255.3-1101.7)+(1.877922+(0.260406-1.123734))+0-0-0</f>
        <v>995.71459399999981</v>
      </c>
      <c r="O322" s="3">
        <f>1881.1+(273.1-1092.4)+(1.918722+(0.278562-1.114248))+0-0-0</f>
        <v>1062.8830359999997</v>
      </c>
      <c r="P322" s="3">
        <f>1894.5+(343-1123.9)+(3.86478+(0.69972-2.292756))+0-0-0</f>
        <v>1115.8717439999998</v>
      </c>
      <c r="Q322" s="3">
        <f>1894.9+(256-1079.1)+(-4.831995+(-0.6528--2.751705))+0-0-0</f>
        <v>1069.0669100000002</v>
      </c>
      <c r="R322" s="3">
        <f>1894.9+(292-1108.8)+(-2.899197+(-0.44676--1.696464))+0-0-0</f>
        <v>1076.4505070000002</v>
      </c>
      <c r="S322" s="3">
        <f>1893.8+(232-1093.3)+(-3.863352+(-0.47328--2.230332))+0-0-0</f>
        <v>1030.3937000000001</v>
      </c>
      <c r="T322" s="3">
        <f>1884.8+(249-1143.5)+(-1.922496+(-0.25398--1.16637))+0-0-0</f>
        <v>989.289894</v>
      </c>
      <c r="U322" s="3">
        <f>1814.9+(341-1145.4)+(2.776797+(0.52173-1.752462))+0-0-0</f>
        <v>1012.046065</v>
      </c>
      <c r="V322" s="3">
        <f>1682.8+(286-943.5)+(-2.574684+(-0.43758--1.443555))+0-0-0</f>
        <v>1023.7312909999999</v>
      </c>
      <c r="W322" s="3">
        <f>1696.3+(92-659.4)+(0+(0-0))+0-0-0</f>
        <v>1128.9000000000001</v>
      </c>
      <c r="X322" s="3">
        <f>1712.2+(70-533.1)+(-2.619666+(-0.1071--0.815643))+0-0-0</f>
        <v>1247.1888769999998</v>
      </c>
      <c r="Y322" s="3">
        <f>1712+(83-558.4)+(-0.87312+(-0.04233--0.284784))+0-0-0</f>
        <v>1235.9693339999999</v>
      </c>
      <c r="Z322" s="3">
        <f>1711.8+(117.6-644.6)+(-3.492072+(-0.239904--1.314984))+0-0-0</f>
        <v>1182.383008</v>
      </c>
      <c r="AA322" s="3">
        <f>1708.7+(160-749.8)+(-0.871437+(-0.0816--0.382398))+0-0-0</f>
        <v>1118.3293610000001</v>
      </c>
      <c r="AB322" s="3">
        <f>1642.7+(212-789.4)+(-4.188885+(-0.5406--2.01297))+0-0-0</f>
        <v>1062.5834850000001</v>
      </c>
      <c r="AC322" s="3">
        <f>1505.3+(187-742.9)+(-3.070812+(-0.38148--1.515516))+0-0-0</f>
        <v>947.46322399999997</v>
      </c>
      <c r="AD322">
        <f t="shared" si="5"/>
        <v>23721.936588</v>
      </c>
      <c r="AE322" s="3">
        <f>1716+(86.3-548.7)+(0+(0-0))+0-0-0</f>
        <v>1253.5999999999999</v>
      </c>
    </row>
    <row r="323" spans="1:31" s="2" customFormat="1" x14ac:dyDescent="0.25">
      <c r="A323">
        <v>89</v>
      </c>
      <c r="B323">
        <v>11</v>
      </c>
      <c r="C323">
        <v>17</v>
      </c>
      <c r="D323">
        <v>2</v>
      </c>
      <c r="E323">
        <v>1</v>
      </c>
      <c r="F323" s="3">
        <f>1320.8+(229-663.1)+(-1.347216+(-0.23358--0.676362))+0-0-0</f>
        <v>885.79556599999989</v>
      </c>
      <c r="G323" s="3">
        <f>1128.6+(214-496.6)+(-1.151172+(-0.21828--0.506532))+0-0-0</f>
        <v>845.13707999999986</v>
      </c>
      <c r="H323" s="3">
        <f>1004.2+(209-390.6)+(-0.512142+(-0.10659--0.199206))+0-0-0</f>
        <v>822.180474</v>
      </c>
      <c r="I323" s="3">
        <f>994.9+(161.7-341.7)+(2.536995+(0.412335-0.871335))+0-0-0</f>
        <v>816.97799499999996</v>
      </c>
      <c r="J323" s="3">
        <f>990.3+(134.6-363.8)+(-1.515159+(-0.205938--0.556614))+0-0-0</f>
        <v>759.93551699999989</v>
      </c>
      <c r="K323" s="3">
        <f>982.3+(140.6-338)+(0+(0-0))+0-0-0</f>
        <v>784.9</v>
      </c>
      <c r="L323" s="3">
        <f>1124.1+(174-467.6)+(-1.146582+(-0.17748--0.476952))+0-0-0</f>
        <v>829.65288999999984</v>
      </c>
      <c r="M323" s="3">
        <f>1342.9+(178-649.9)+(-1.369758+(-0.18156--0.662898))+0-0-0</f>
        <v>870.11158000000012</v>
      </c>
      <c r="N323" s="3">
        <f>1414.6+(167-637.3)+(-0.721446+(-0.08517--0.325023))+0-0-0</f>
        <v>943.81840699999998</v>
      </c>
      <c r="O323" s="3">
        <f>1457.1+(186-630.2)+(0.743121+(0.09486-0.321402))+0-0-0</f>
        <v>1013.4165789999998</v>
      </c>
      <c r="P323" s="3">
        <f>1554.7+(148-729.3)+(-3.171588+(-0.30192--1.487772))+0-0-0</f>
        <v>971.41426400000012</v>
      </c>
      <c r="Q323" s="3">
        <f>1562.7+(235-731)+(-3.187908+(-0.4794--1.49124))+0-0-0</f>
        <v>1064.5239320000001</v>
      </c>
      <c r="R323" s="3">
        <f>1562.5+(205-786.3)+(-3.1875+(-0.4182--1.604052))+0-0-0</f>
        <v>979.198352</v>
      </c>
      <c r="S323" s="3">
        <f>1562.3+(247-816.4)+(-2.390319+(-0.37791--1.249092))+0-0-0</f>
        <v>991.38086299999998</v>
      </c>
      <c r="T323" s="3">
        <f>1562.3+(294-831.8)+(-1.593546+(-0.29988--0.848436))+0-0-0</f>
        <v>1023.45501</v>
      </c>
      <c r="U323" s="3">
        <f>1562.8+(202-808.7)+(-4.782168+(-0.61812--2.474622))+0-0-0</f>
        <v>953.17433399999993</v>
      </c>
      <c r="V323" s="3">
        <f>1608.8+(117-801.1)+(0+(0-0))+0-0-0</f>
        <v>924.69999999999993</v>
      </c>
      <c r="W323" s="3">
        <f>1710.1+(52.6-735.1)+(-2.616453+(-0.080478--1.124703))+0-0-0</f>
        <v>1026.0277719999999</v>
      </c>
      <c r="X323" s="3">
        <f>1709.5+(37-600.8)+(0+(0-0))+0-0-0</f>
        <v>1145.7</v>
      </c>
      <c r="Y323" s="3">
        <f>1710+(60.5-623.9)+(-6.1047+(-0.215985--2.227323))+0-0-0</f>
        <v>1142.5066379999998</v>
      </c>
      <c r="Z323" s="3">
        <f>1575.5+(192.2-650.2)+(-0.803505+(-0.098022--0.331602))+0-0-0</f>
        <v>1116.930075</v>
      </c>
      <c r="AA323" s="3">
        <f>1463.9+(286-642.1)+(-3.732945+(-0.7293--1.637355))+0-0-0</f>
        <v>1104.9751100000001</v>
      </c>
      <c r="AB323" s="3">
        <f>1281.3+(172-560)+(-1.306926+(-0.17544--0.5712))+0-0-0</f>
        <v>892.38883399999997</v>
      </c>
      <c r="AC323" s="3">
        <f>1178.1+(188-475.7)+(-2.403324+(-0.38352--0.970428))+0-0-0</f>
        <v>888.58358399999986</v>
      </c>
      <c r="AD323">
        <f t="shared" si="5"/>
        <v>22796.884856000001</v>
      </c>
      <c r="AE323" s="3">
        <f>1717+(40.2-571.8)+(0+(0-0))+0-0-0</f>
        <v>1185.4000000000001</v>
      </c>
    </row>
    <row r="324" spans="1:31" s="2" customFormat="1" x14ac:dyDescent="0.25">
      <c r="A324">
        <v>89</v>
      </c>
      <c r="B324">
        <v>11</v>
      </c>
      <c r="C324">
        <v>18</v>
      </c>
      <c r="D324">
        <v>3</v>
      </c>
      <c r="E324">
        <v>1</v>
      </c>
      <c r="F324" s="3">
        <f>874.6+(229-338.3)+(-1.784184+(-0.46716--0.690132))+0-0-0</f>
        <v>763.738788</v>
      </c>
      <c r="G324" s="3">
        <f>692.8+(255-265)+(-0.353328+(-0.13005--0.13515))+0-0-0</f>
        <v>682.45177200000001</v>
      </c>
      <c r="H324" s="3">
        <f>684.6+(249-261.8)+(0.349146+(0.12699-0.133518))+0-0-0</f>
        <v>672.14261799999997</v>
      </c>
      <c r="I324" s="3">
        <f>684.7+(264-288.8)+(-1.745985+(-0.6732--0.73644))+0-0-0</f>
        <v>658.21725500000014</v>
      </c>
      <c r="J324" s="3">
        <f>670+(172-254.2)+(-0.6834+(-0.17544--0.259284))+0-0-0</f>
        <v>587.20044399999995</v>
      </c>
      <c r="K324" s="3">
        <f>752+(138-264.7)+(-0.38352+(-0.07038--0.134997))+0-0-0</f>
        <v>624.98109699999998</v>
      </c>
      <c r="L324" s="3">
        <f>1012.7+(124-466.1)+(-3.098862+(-0.37944--1.426266))+0-0-0</f>
        <v>668.54796399999998</v>
      </c>
      <c r="M324" s="3">
        <f>1118.8+(128.5-380.9)+(0+(0-0))+0-0-0</f>
        <v>866.4</v>
      </c>
      <c r="N324" s="3">
        <f>1258.7+(208.3-479.4)+(1.925811+(0.318699-0.733482))+0-0-0</f>
        <v>989.11102800000015</v>
      </c>
      <c r="O324" s="3">
        <f>1251.4+(190.3-502.6)+(0+(0-0))+0-0-0</f>
        <v>939.10000000000014</v>
      </c>
      <c r="P324" s="3">
        <f>1251.3+(212.9-428)+(0+(0-0))+0-0-0</f>
        <v>1036.2</v>
      </c>
      <c r="Q324" s="3">
        <f>1251.3+(188.4-455)+(0+(0-0))+0-0-0</f>
        <v>984.69999999999993</v>
      </c>
      <c r="R324" s="3">
        <f>1251.4+(137-420.9)+(-3.19107+(-0.34935--1.073295))+0-0-0</f>
        <v>965.0328750000001</v>
      </c>
      <c r="S324" s="3">
        <f>1251.2+(191-437.6)+(-1.276224+(-0.19482--0.446352))+0-0-0</f>
        <v>1003.5753080000001</v>
      </c>
      <c r="T324" s="3">
        <f>1248.2+(283-511.9)+(-0.636582+(-0.14433--0.261069))+0-0-0</f>
        <v>1018.780157</v>
      </c>
      <c r="U324" s="3">
        <f>1246+(272-545.5)+(-1.27092+(-0.27744--0.55641))+0-0-0</f>
        <v>971.50805000000003</v>
      </c>
      <c r="V324" s="3">
        <f>1246.3+(199-497.3)+(0.635613+(0.10149-0.253623))+0-0-0</f>
        <v>948.48347999999999</v>
      </c>
      <c r="W324" s="3">
        <f>1264.8+(235-329.5)+(-0.645048+(-0.11985--0.168045))+0-0-0</f>
        <v>1169.7031469999999</v>
      </c>
      <c r="X324" s="3">
        <f>1284.9+(362.5-328.6)+(-2.621196+(-0.7395--0.670344))+0-0-0</f>
        <v>1316.1096480000001</v>
      </c>
      <c r="Y324" s="3">
        <f>1284.8+(318.6-395.4)+(-2.620992+(-0.649944--0.806616))+0-0-0</f>
        <v>1205.53568</v>
      </c>
      <c r="Z324" s="3">
        <f>1285+(360.1-449.1)+(-1.96605+(-0.550953--0.687123))+0-0-0</f>
        <v>1194.17012</v>
      </c>
      <c r="AA324" s="3">
        <f>1284.7+(339.1-502.2)+(-3.275985+(-0.864705--1.28061))+0-0-0</f>
        <v>1118.7399200000002</v>
      </c>
      <c r="AB324" s="3">
        <f>1284.6+(352-559.2)+(-2.620584+(-0.71808--1.140768))+0-0-0</f>
        <v>1075.202104</v>
      </c>
      <c r="AC324" s="3">
        <f>1218.5+(319-578.3)+(-5.592915+(-1.46421--2.654397))+0-0-0</f>
        <v>954.79727200000002</v>
      </c>
      <c r="AD324">
        <f t="shared" si="5"/>
        <v>22414.428727000002</v>
      </c>
      <c r="AE324" s="3">
        <f>1290+(307.9-345.6)+(0+(0-0))+0-0-0</f>
        <v>1252.3</v>
      </c>
    </row>
    <row r="325" spans="1:31" s="2" customFormat="1" x14ac:dyDescent="0.25">
      <c r="A325">
        <v>89</v>
      </c>
      <c r="B325">
        <v>11</v>
      </c>
      <c r="C325">
        <v>19</v>
      </c>
      <c r="D325">
        <v>4</v>
      </c>
      <c r="E325">
        <v>1</v>
      </c>
      <c r="F325" s="3">
        <f>968.4+(279.5-383.4)+(1.975536+(0.57018-0.782136))+0-0-0</f>
        <v>866.26358000000005</v>
      </c>
      <c r="G325" s="3">
        <f>707.3+(460.5-255.4)+(0.721446+(0.46971-0.260508))+0-0-0</f>
        <v>913.330648</v>
      </c>
      <c r="H325" s="3">
        <f>689.9+(356.8-262.6)+(-0.703698+(-0.363936--0.267852))+0-0-0</f>
        <v>783.30021799999986</v>
      </c>
      <c r="I325" s="3">
        <f>689.8+(342.7-260.1)+(-1.75899+(-0.873885--0.663255))+0-0-0</f>
        <v>770.4303799999999</v>
      </c>
      <c r="J325" s="3">
        <f>690.5+(402.2-236.8)+(0.352155+(0.205122-0.120768))+0-0-0</f>
        <v>856.33650899999998</v>
      </c>
      <c r="K325" s="3">
        <f>690.1+(405.1-240.8)+(1.407804+(0.826404-0.491232))+0-0-0</f>
        <v>856.14297600000009</v>
      </c>
      <c r="L325" s="3">
        <f>786.3+(367.7-287.5)+(-1.604052+(-0.750108--0.5865))+0-0-0</f>
        <v>864.73234000000002</v>
      </c>
      <c r="M325" s="3">
        <f>960.9+(313.4-388.8)+(-0.490059+(-0.159834--0.198288))+0-0-0</f>
        <v>885.04839500000003</v>
      </c>
      <c r="N325" s="3">
        <f>1152.2+(351.9-526.8)+(1.175244+(0.358938-0.537336))+0-0-0</f>
        <v>978.29684600000007</v>
      </c>
      <c r="O325" s="3">
        <f>1203.7+(321-463.5)+(0.613887+(0.16371-0.236385))+0-0-0</f>
        <v>1061.7412120000001</v>
      </c>
      <c r="P325" s="3">
        <f>1336.2+(342.9-623.7)+(-2.725848+(-0.699516--1.272348))+0-0-0</f>
        <v>1053.2469840000001</v>
      </c>
      <c r="Q325" s="3">
        <f>1482.8+(376-783.9)+(-3.024912+(-0.76704--1.599156))+0-0-0</f>
        <v>1072.707204</v>
      </c>
      <c r="R325" s="3">
        <f>1515.5+(320-811.3)+(-2.318715+(-0.4896--1.241289))+0-0-0</f>
        <v>1022.632974</v>
      </c>
      <c r="S325" s="3">
        <f>1583.9+(255-779.8)+(0+(0-0))+0-0-0</f>
        <v>1059.1000000000001</v>
      </c>
      <c r="T325" s="3">
        <f>1590+(214-783.5)+(0+(0-0))+0-0-0</f>
        <v>1020.5</v>
      </c>
      <c r="U325" s="3">
        <f>1587.4+(107-764.6)+(-1.619148+(-0.10914--0.779892))+0-0-0</f>
        <v>928.85160400000007</v>
      </c>
      <c r="V325" s="3">
        <f>1589.4+(117-674.2)+(-2.431782+(-0.17901--1.031526))+0-0-0</f>
        <v>1030.6207340000001</v>
      </c>
      <c r="W325" s="3">
        <f>1689.4+(82-676.4)+(0.861594+(0.04182-0.344964))+0-0-0</f>
        <v>1095.55845</v>
      </c>
      <c r="X325" s="3">
        <f>1707.6+(86.9-560.8)+(-1.741752+(-0.088638--0.572016))+0-0-0</f>
        <v>1232.4416259999998</v>
      </c>
      <c r="Y325" s="3">
        <f>1707.9+(82.6-553.3)+(-2.613087+(-0.126378--0.846549))+0-0-0</f>
        <v>1235.3070840000003</v>
      </c>
      <c r="Z325" s="3">
        <f>1707.2+(199-670.3)+(-4.35336+(-0.50745--1.709265))+0-0-0</f>
        <v>1232.7484550000001</v>
      </c>
      <c r="AA325" s="3">
        <f>1688.5+(269-777.2)+(0+(0-0))+0-0-0</f>
        <v>1180.3</v>
      </c>
      <c r="AB325" s="3">
        <f>1636.9+(316-849.4)+(-0.834819+(-0.16116--0.433194))+0-0-0</f>
        <v>1102.9372149999999</v>
      </c>
      <c r="AC325" s="3">
        <f>1414.7+(228-658.8)+(-4.328982+(-0.69768--2.015928))+0-0-0</f>
        <v>980.88926600000013</v>
      </c>
      <c r="AD325">
        <f t="shared" si="5"/>
        <v>24083.464699999997</v>
      </c>
      <c r="AE325" s="3">
        <f>1703+(74.2-589.7)+(0+(0-0))+0-0-0</f>
        <v>1187.5</v>
      </c>
    </row>
    <row r="326" spans="1:31" s="2" customFormat="1" x14ac:dyDescent="0.25">
      <c r="A326">
        <v>89</v>
      </c>
      <c r="B326">
        <v>11</v>
      </c>
      <c r="C326">
        <v>20</v>
      </c>
      <c r="D326">
        <v>5</v>
      </c>
      <c r="E326">
        <v>1</v>
      </c>
      <c r="F326" s="3">
        <f>1092.3+(310.6-477.5)+(-1.114146+(-0.316812--0.48705))+0-0-0</f>
        <v>924.45609200000001</v>
      </c>
      <c r="G326" s="3">
        <f>927.8+(322.9-399.9)+(-2.839068+(-0.988074--1.223694))+0-0-0</f>
        <v>848.196552</v>
      </c>
      <c r="H326" s="3">
        <f>925.2+(283.6-397.6)+(0.471852+(0.144636-0.202776))+0-0-0</f>
        <v>811.61371200000008</v>
      </c>
      <c r="I326" s="3">
        <f>925.2+(270.2-397.4)+(-2.35926+(-0.68901--1.01337))+0-0-0</f>
        <v>795.96510000000001</v>
      </c>
      <c r="J326" s="3">
        <f>925.1+(277.1-384.2)+(-0.471801+(-0.141321--0.195942))+0-0-0</f>
        <v>817.58281999999997</v>
      </c>
      <c r="K326" s="3">
        <f>925.1+(284.5-359.6)+(-0.471801+(-0.145095--0.183396))+0-0-0</f>
        <v>849.56650000000002</v>
      </c>
      <c r="L326" s="3">
        <f>925+(316.2-359)+(-0.47175+(-0.161262--0.18309))+0-0-0</f>
        <v>881.75007800000003</v>
      </c>
      <c r="M326" s="3">
        <f>1009.7+(292.3-412.5)+(1.544841+(0.447219-0.631125))+0-0-0</f>
        <v>890.86093500000004</v>
      </c>
      <c r="N326" s="3">
        <f>1292.6+(323.5-621.6)+(1.318452+(0.32997-0.634032))+0-0-0</f>
        <v>995.51438999999993</v>
      </c>
      <c r="O326" s="3">
        <f>1462+(166-735.3)+(-0.74562+(-0.08466--0.375003))+0-0-0</f>
        <v>892.24472300000002</v>
      </c>
      <c r="P326" s="3">
        <f>1516+(226.6-680)+(-1.54632+(-0.231132--0.6936))+0-0-0</f>
        <v>1061.5161479999999</v>
      </c>
      <c r="Q326" s="3">
        <f>1515.9+(164.8-685.2)+(-3.092436+(-0.336192--1.397808))+0-0-0</f>
        <v>993.46918000000005</v>
      </c>
      <c r="R326" s="3">
        <f>1516.1+(178.2-682.8)+(-4.639266+(-0.545292--2.089368))+0-0-0</f>
        <v>1008.40481</v>
      </c>
      <c r="S326" s="3">
        <f>1515.5+(111.2-645.7)+(-0.772905+(-0.056712--0.329307))+0-0-0</f>
        <v>980.49968999999999</v>
      </c>
      <c r="T326" s="3">
        <f>1515.3+(123.8-653.9)+(0+(0-0))+0-0-0</f>
        <v>985.19999999999993</v>
      </c>
      <c r="U326" s="3">
        <f>1504.9+(242.3-732.4)+(-3.069996+(-0.494292--1.494096))+0-0-0</f>
        <v>1012.7298080000002</v>
      </c>
      <c r="V326" s="3">
        <f>1576.3+(189.6-795.1)+(-4.823478+(-0.580176--2.433006))+0-0-0</f>
        <v>967.82935199999997</v>
      </c>
      <c r="W326" s="3">
        <f>1659.1+(158.2-748.8)+(-1.692282+(-0.161364--0.763776))+0-0-0</f>
        <v>1067.41013</v>
      </c>
      <c r="X326" s="3">
        <f>1804.2+(236.7-766.3)+(-6.440994+(-0.845019--2.735691))+0-0-0</f>
        <v>1270.0496780000001</v>
      </c>
      <c r="Y326" s="3">
        <f>1819.2+(219.6-798.2)+(-2.783376+(-0.335988--1.221246))+0-0-0</f>
        <v>1238.7018819999998</v>
      </c>
      <c r="Z326" s="3">
        <f>1626.7+(300.1-701.2)+(-4.977702+(-0.918306--2.145672))+0-0-0</f>
        <v>1221.8496639999998</v>
      </c>
      <c r="AA326" s="3">
        <f>1416+(271.5-533.1)+(-2.16648+(-0.415395--0.815643))+0-0-0</f>
        <v>1152.6337680000001</v>
      </c>
      <c r="AB326" s="3">
        <f>1365.9+(281.3-577)+(-3.483045+(-0.717315--1.47135))+0-0-0</f>
        <v>1067.47099</v>
      </c>
      <c r="AC326" s="3">
        <f>1233.5+(355.3-603.9)+(-0.629085+(-0.181203--0.307989))+0-0-0</f>
        <v>984.3977010000001</v>
      </c>
      <c r="AD326">
        <f t="shared" si="5"/>
        <v>23719.913703000006</v>
      </c>
      <c r="AE326" s="3">
        <f>1832+(231-752.8)+(0+(0-0))+0-0-0</f>
        <v>1310.2</v>
      </c>
    </row>
    <row r="327" spans="1:31" s="2" customFormat="1" x14ac:dyDescent="0.25">
      <c r="A327">
        <v>89</v>
      </c>
      <c r="B327">
        <v>11</v>
      </c>
      <c r="C327">
        <v>21</v>
      </c>
      <c r="D327">
        <v>6</v>
      </c>
      <c r="E327">
        <v>1</v>
      </c>
      <c r="F327" s="3">
        <f>1065.7+(357.3-500.5)+(-3.261042+(-1.093338--1.53153))+0-0-0</f>
        <v>919.67714999999998</v>
      </c>
      <c r="G327" s="3">
        <f>834.5+(331.5-338.7)+(0.85119+(0.33813-0.345474))+0-0-0</f>
        <v>828.14384599999994</v>
      </c>
      <c r="H327" s="3">
        <f>833.4+(324.9-346.1)+(-0.850068+(-0.331398--0.353022))+0-0-0</f>
        <v>811.37155599999994</v>
      </c>
      <c r="I327" s="3">
        <f>832.9+(349.6-364.8)+(1.699116+(0.713184-0.744192))+0-0-0</f>
        <v>819.36810800000001</v>
      </c>
      <c r="J327" s="3">
        <f>833.5+(370.5-378)+(2.125425+(0.944775-0.9639))+0-0-0</f>
        <v>828.10630000000003</v>
      </c>
      <c r="K327" s="3">
        <f>950+(294.4-420.9)+(-0.969+(-0.300288--0.429318))+0-0-0</f>
        <v>822.66003000000001</v>
      </c>
      <c r="L327" s="3">
        <f>997.2+(248.2-383.1)+(-2.54286+(-0.63291--0.976905))+0-0-0</f>
        <v>860.101135</v>
      </c>
      <c r="M327" s="3">
        <f>1043+(255.7-419.2)+(-1.06386+(-0.260814--0.427584))+0-0-0</f>
        <v>878.60290999999995</v>
      </c>
      <c r="N327" s="3">
        <f>1163.2+(245-456.8)+(-1.186464+(-0.2499--0.465936))+0-0-0</f>
        <v>950.42957200000012</v>
      </c>
      <c r="O327" s="3">
        <f>1228.9+(258.3-473.5)+(0+(0-0))+0-0-0</f>
        <v>1013.7</v>
      </c>
      <c r="P327" s="3">
        <f>1331.1+(263.3-563.7)+(-2.715444+(-0.537132--1.149948))+0-0-0</f>
        <v>1028.5973719999997</v>
      </c>
      <c r="Q327" s="3">
        <f>1285.3+(250.9-507)+(-4.588521+(-0.895713--1.80999))+0-0-0</f>
        <v>1025.5257559999998</v>
      </c>
      <c r="R327" s="3">
        <f>1307.7+(281-588.8)+(-1.333854+(-0.28662--0.600576))+0-0-0</f>
        <v>998.88010200000008</v>
      </c>
      <c r="S327" s="3">
        <f>1356.1+(301-666.7)+(0.691611+(0.15351-0.340017))+0-0-0</f>
        <v>990.90510399999982</v>
      </c>
      <c r="T327" s="3">
        <f>1345.6+(248.4-678.7)+(-0.686256+(-0.126684--0.346137))+0-0-0</f>
        <v>914.83319699999981</v>
      </c>
      <c r="U327" s="3">
        <f>1369.9+(228.7-638.8)+(-4.191894+(-0.699822--1.954728))+0-0-0</f>
        <v>956.86301200000014</v>
      </c>
      <c r="V327" s="3">
        <f>1417.1+(212.1-649.1)+(3.613605+(0.540855-1.655205))+0-0-0</f>
        <v>982.59925499999986</v>
      </c>
      <c r="W327" s="3">
        <f>1466.3+(329.1-576.1)+(-0.747813+(-0.167841--0.293811))+0-0-0</f>
        <v>1218.6781570000001</v>
      </c>
      <c r="X327" s="3">
        <f>1503.7+(293.8-561.1)+(-2.300661+(-0.449514--0.858483))+0-0-0</f>
        <v>1234.5083080000002</v>
      </c>
      <c r="Y327" s="3">
        <f>1504.4+(228.8-553.7)+(-1.534488+(-0.233376--0.564774))+0-0-0</f>
        <v>1178.29691</v>
      </c>
      <c r="Z327" s="3">
        <f>1504.6+(283.9-579.1)+(-6.138768+(-1.158312--2.362728))+0-0-0</f>
        <v>1204.4656479999999</v>
      </c>
      <c r="AA327" s="3">
        <f>1504.4+(282.8-652.4)+(-0.767244+(-0.144228--0.332724))+0-0-0</f>
        <v>1134.2212520000003</v>
      </c>
      <c r="AB327" s="3">
        <f>1502.6+(320.4-682.5)+(-3.83163+(-0.81702--1.740375))+0-0-0</f>
        <v>1137.591725</v>
      </c>
      <c r="AC327" s="3">
        <f>1415.9+(359.4-750.6)+(0+(0-0))+0-0-0</f>
        <v>1024.7</v>
      </c>
      <c r="AD327">
        <f t="shared" si="5"/>
        <v>23762.826405</v>
      </c>
      <c r="AE327" s="3">
        <f>1506+(293-568.7)+(0+(0-0))+0-0-0</f>
        <v>1230.3</v>
      </c>
    </row>
    <row r="328" spans="1:31" s="2" customFormat="1" x14ac:dyDescent="0.25">
      <c r="A328">
        <v>89</v>
      </c>
      <c r="B328">
        <v>11</v>
      </c>
      <c r="C328">
        <v>22</v>
      </c>
      <c r="D328">
        <v>7</v>
      </c>
      <c r="E328">
        <v>2</v>
      </c>
      <c r="F328" s="3">
        <f>1169.8+(286.5-522.8)+(-0.596598+(-0.146115--0.266628))+0-0-0</f>
        <v>933.02391499999999</v>
      </c>
      <c r="G328" s="3">
        <f>1003.8+(272.1-432.7)+(-0.511938+(-0.138771--0.220677))+0-0-0</f>
        <v>842.76996800000006</v>
      </c>
      <c r="H328" s="3">
        <f>913.8+(272.3-352.5)+(0+(0-0))+0-0-0</f>
        <v>833.59999999999991</v>
      </c>
      <c r="I328" s="3">
        <f>913.4+(295-312.6)+(-1.397502+(-0.45135--0.478278))+0-0-0</f>
        <v>894.42942599999992</v>
      </c>
      <c r="J328" s="3">
        <f>913.9+(288.7-354.9)+(-1.864356+(-0.588948--0.723996))+0-0-0</f>
        <v>845.9706920000001</v>
      </c>
      <c r="K328" s="3">
        <f>914.6+(293.2-371.8)+(0.466446+(0.149532-0.189618))+0-0-0</f>
        <v>836.42636000000005</v>
      </c>
      <c r="L328" s="3">
        <f>1041+(216.1-437)+(-3.71637+(-0.771477--1.56009))+0-0-0</f>
        <v>817.17224299999998</v>
      </c>
      <c r="M328" s="3">
        <f>1154.4+(203.4-565.2)+(0+(0-0))+0-0-0</f>
        <v>792.6</v>
      </c>
      <c r="N328" s="3">
        <f>1294.5+(211.1-696.7)+(1.980585+(0.322983-1.065951))+0-0-0</f>
        <v>810.13761699999998</v>
      </c>
      <c r="O328" s="3">
        <f>1313.7+(202.4-642.9)+(1.339974+(0.206448-0.655758))+0-0-0</f>
        <v>874.09066400000006</v>
      </c>
      <c r="P328" s="3">
        <f>1224.5+(216.5-492.5)+(0.624495+(0.110415-0.251175))+0-0-0</f>
        <v>948.98373500000002</v>
      </c>
      <c r="Q328" s="3">
        <f>1223.5+(240-535.2)+(0.623985+(0.1224-0.272952))+0-0-0</f>
        <v>928.77343299999995</v>
      </c>
      <c r="R328" s="3">
        <f>1204.6+(243.5-544.6)+(-1.843038+(-0.372555--0.833238))+0-0-0</f>
        <v>902.11764499999992</v>
      </c>
      <c r="S328" s="3">
        <f>1162.5+(143.3-511)+(-3.55725+(-0.438498--1.56366))+0-0-0</f>
        <v>792.36791199999993</v>
      </c>
      <c r="T328" s="3">
        <f>1163.1+(229.4-524.1)+(-2.372724+(-0.467976--1.069164))+0-0-0</f>
        <v>866.62846399999989</v>
      </c>
      <c r="U328" s="3">
        <f>1093.3+(236.4-493.3)+(-0.557583+(-0.120564--0.251583))+0-0-0</f>
        <v>835.97343599999999</v>
      </c>
      <c r="V328" s="3">
        <f>1097.3+(242.2-441.2)+(-0.559623+(-0.123522--0.225012))+0-0-0</f>
        <v>897.84186699999998</v>
      </c>
      <c r="W328" s="3">
        <f>1309.8+(204.1-500.7)+(-2.003994+(-0.312273--0.766071))+0-0-0</f>
        <v>1011.6498039999999</v>
      </c>
      <c r="X328" s="3">
        <f>1705.7+(143-699.4)+(-1.739814+(-0.14586--0.713388))+0-0-0</f>
        <v>1148.1277140000002</v>
      </c>
      <c r="Y328" s="3">
        <f>1711.8+(158-713.8)+(-1.746036+(-0.16116--0.728076))+0-0-0</f>
        <v>1154.82088</v>
      </c>
      <c r="Z328" s="3">
        <f>1624+(189-676.6)+(-2.48472+(-0.28917--1.035198))+0-0-0</f>
        <v>1134.6613080000002</v>
      </c>
      <c r="AA328" s="3">
        <f>1496.7+(247-649.7)+(2.289951+(0.37791-0.994041))+0-0-0</f>
        <v>1095.67382</v>
      </c>
      <c r="AB328" s="3">
        <f>1418.7+(257-614.1)+(-2.170611+(-0.39321--0.939573))+0-0-0</f>
        <v>1059.9757519999998</v>
      </c>
      <c r="AC328" s="3">
        <f>1176.5+(284.6-488.1)+(-3.000075+(-0.72573--1.244655))+0-0-0</f>
        <v>970.51885000000004</v>
      </c>
      <c r="AD328">
        <f t="shared" si="5"/>
        <v>22228.335504999995</v>
      </c>
      <c r="AE328" s="3">
        <f>1711+(157-675.4)+(0+(0-0))+0-0-0</f>
        <v>1192.5999999999999</v>
      </c>
    </row>
    <row r="329" spans="1:31" s="2" customFormat="1" x14ac:dyDescent="0.25">
      <c r="A329">
        <v>89</v>
      </c>
      <c r="B329">
        <v>11</v>
      </c>
      <c r="C329">
        <v>23</v>
      </c>
      <c r="D329">
        <v>1</v>
      </c>
      <c r="E329">
        <v>1</v>
      </c>
      <c r="F329" s="3">
        <f>921.9+(311.9-361.2)+(-2.821014+(-0.954414--1.105272))+0-0-0</f>
        <v>869.92984399999989</v>
      </c>
      <c r="G329" s="3">
        <f>917.1+(268.1-363.7)+(-1.870884+(-0.546924--0.741948))+0-0-0</f>
        <v>819.82414000000006</v>
      </c>
      <c r="H329" s="3">
        <f>917.2+(244.5-350.1)+(-1.871088+(-0.49878--0.714204))+0-0-0</f>
        <v>809.94433600000002</v>
      </c>
      <c r="I329" s="3">
        <f>917.7+(246.8-334.8)+(0+(0-0))+0-0-0</f>
        <v>829.7</v>
      </c>
      <c r="J329" s="3">
        <f>917.6+(285-343.5)+(1.403928+(0.43605-0.525555))+0-0-0</f>
        <v>860.41442300000006</v>
      </c>
      <c r="K329" s="3">
        <f>954.8+(214.9-381.2)+(2.921688+(0.657594-1.166472))+0-0-0</f>
        <v>790.91281000000004</v>
      </c>
      <c r="L329" s="3">
        <f>1030+(300-414)+(-3.6771+(-1.071--1.47798))+0-0-0</f>
        <v>912.72987999999998</v>
      </c>
      <c r="M329" s="3">
        <f>1125+(268-481.9)+(1.1475+(0.27336-0.491538))+0-0-0</f>
        <v>912.02932199999998</v>
      </c>
      <c r="N329" s="3">
        <f>1439.9+(301-718.7)+(-3.671745+(-0.76755--1.832685))+0-0-0</f>
        <v>1019.59339</v>
      </c>
      <c r="O329" s="3">
        <f>1659.3+(358-923.1)+(2.538729+(0.54774-1.412343))+0-0-0</f>
        <v>1095.8741259999997</v>
      </c>
      <c r="P329" s="3">
        <f>1658.9+(332-859.8)+(0.846039+(0.16932-0.438498))+0-0-0</f>
        <v>1131.6768610000001</v>
      </c>
      <c r="Q329" s="3">
        <f>1659+(331-841.7)+(-1.69218+(-0.33762--0.858534))+0-0-0</f>
        <v>1147.1287339999999</v>
      </c>
      <c r="R329" s="3">
        <f>1658.3+(304-837)+(-4.228665+(-0.7752--2.13435))+0-0-0</f>
        <v>1122.4304849999999</v>
      </c>
      <c r="S329" s="3">
        <f>1651.5+(332-898.6)+(-1.68453+(-0.33864--0.916572))+0-0-0</f>
        <v>1083.793402</v>
      </c>
      <c r="T329" s="3">
        <f>1655.4+(344-932)+(0+(0-0))+0-0-0</f>
        <v>1067.4000000000001</v>
      </c>
      <c r="U329" s="3">
        <f>1655.7+(291-900)+(-2.533221+(-0.44523--1.377))+0-0-0</f>
        <v>1045.098549</v>
      </c>
      <c r="V329" s="3">
        <f>1655.8+(110.9-746.5)+(-3.377832+(-0.226236--1.52286))+0-0-0</f>
        <v>1018.118792</v>
      </c>
      <c r="W329" s="3">
        <f>1687.6+(45.4-571.5)+(-0.860676+(-0.023154--0.291465))+0-0-0</f>
        <v>1160.907635</v>
      </c>
      <c r="X329" s="3">
        <f>1713.4+(113.2-534.7)+(-1.747668+(-0.115464--0.545394))+0-0-0</f>
        <v>1290.5822620000001</v>
      </c>
      <c r="Y329" s="3">
        <f>1713.6+(198-642.1)+(-0.873936+(-0.10098--0.327471))+0-0-0</f>
        <v>1268.8525549999999</v>
      </c>
      <c r="Z329" s="3">
        <f>1705.5+(292-727.9)+(-3.47922+(-0.59568--1.484916))+0-0-0</f>
        <v>1267.010016</v>
      </c>
      <c r="AA329" s="3">
        <f>1583.2+(265-703.4)+(0.807432+(0.13515-0.358734))+0-0-0</f>
        <v>1145.3838480000002</v>
      </c>
      <c r="AB329" s="3">
        <f>1432.2+(238-574.2)+(-2.921688+(-0.48552--1.171368))+0-0-0</f>
        <v>1093.7641599999999</v>
      </c>
      <c r="AC329" s="3">
        <f>1105.7+(287.9-409.2)+(-2.819535+(-0.734145--1.04346))+0-0-0</f>
        <v>981.88978000000009</v>
      </c>
      <c r="AD329">
        <f t="shared" si="5"/>
        <v>24744.989350000003</v>
      </c>
      <c r="AE329" s="3">
        <f>1720+(168-587.7)+(0+(0-0))+0-0-0</f>
        <v>1300.3</v>
      </c>
    </row>
    <row r="330" spans="1:31" s="2" customFormat="1" x14ac:dyDescent="0.25">
      <c r="A330">
        <v>89</v>
      </c>
      <c r="B330">
        <v>11</v>
      </c>
      <c r="C330">
        <v>24</v>
      </c>
      <c r="D330">
        <v>2</v>
      </c>
      <c r="E330">
        <v>1</v>
      </c>
      <c r="F330" s="3">
        <f>925.2+(306.5-332.2)+(-0.943704+(-0.31263--0.338844))+0-0-0</f>
        <v>898.58250999999996</v>
      </c>
      <c r="G330" s="3">
        <f>924.1+(242.7-319.1)+(-2.356455+(-0.618885--0.813705))+0-0-0</f>
        <v>845.538365</v>
      </c>
      <c r="H330" s="3">
        <f>924.2+(219.1-331.7)+(0+(0-0))+0-0-0</f>
        <v>811.6</v>
      </c>
      <c r="I330" s="3">
        <f>924.3+(243.7-337.8)+(-1.414179+(-0.372861--0.516834))+0-0-0</f>
        <v>828.9297939999999</v>
      </c>
      <c r="J330" s="3">
        <f>919.5+(256.6-348.8)+(1.87578+(0.523464-0.711552))+0-0-0</f>
        <v>828.98769199999992</v>
      </c>
      <c r="K330" s="3">
        <f>915.6+(229.7-307.3)+(0+(0-0))+0-0-0</f>
        <v>838</v>
      </c>
      <c r="L330" s="3">
        <f>983.1+(275.1-366.5)+(0.501381+(0.140301-0.186915))+0-0-0</f>
        <v>892.15476699999999</v>
      </c>
      <c r="M330" s="3">
        <f>1074.2+(369.7-539.1)+(0+(0-0))+0-0-0</f>
        <v>904.8</v>
      </c>
      <c r="N330" s="3">
        <f>1344.2+(328.8-696)+(0+(0-0))+0-0-0</f>
        <v>977</v>
      </c>
      <c r="O330" s="3">
        <f>1429.1+(268.6-673.4)+(-0.728841+(-0.136986--0.343434))+0-0-0</f>
        <v>1023.777607</v>
      </c>
      <c r="P330" s="3">
        <f>1620.4+(298-864.3)+(-2.479212+(-0.45594--1.322379))+0-0-0</f>
        <v>1052.4872270000001</v>
      </c>
      <c r="Q330" s="3">
        <f>1465.6+(336.2-748.4)+(-2.242368+(-0.514386--1.145052))+0-0-0</f>
        <v>1051.7882979999999</v>
      </c>
      <c r="R330" s="3">
        <f>1433+(338.4-709.4)+(-4.38498+(-1.035504--2.170764))+0-0-0</f>
        <v>1058.75028</v>
      </c>
      <c r="S330" s="3">
        <f>1440.1+(324.9-768.3)+(0.734451+(0.165699-0.391833))+0-0-0</f>
        <v>997.20831699999997</v>
      </c>
      <c r="T330" s="3">
        <f>1440.3+(319-784.1)+(-4.407318+(-0.97614--2.399346))+0-0-0</f>
        <v>972.21588799999995</v>
      </c>
      <c r="U330" s="3">
        <f>1440.8+(347.5-822)+(-0.734808+(-0.177225--0.41922))+0-0-0</f>
        <v>965.807187</v>
      </c>
      <c r="V330" s="3">
        <f>1440.3+(272.4-771.9)+(-2.938212+(-0.555696--1.574676))+0-0-0</f>
        <v>938.88076799999999</v>
      </c>
      <c r="W330" s="3">
        <f>1460.1+(157.7-557.5)+(0.744651+(0.080427-0.284325))+0-0-0</f>
        <v>1060.8407529999999</v>
      </c>
      <c r="X330" s="3">
        <f>1503.2+(205.8-456.6)+(0+(0-0))+0-0-0</f>
        <v>1252.4000000000001</v>
      </c>
      <c r="Y330" s="3">
        <f>1507.3+(246.7-503.6)+(-4.612338+(-0.754902--1.541016))+0-0-0</f>
        <v>1246.573776</v>
      </c>
      <c r="Z330" s="3">
        <f>1498.7+(293.2-582.1)+(-2.293011+(-0.448596--0.890613))+0-0-0</f>
        <v>1207.9490060000001</v>
      </c>
      <c r="AA330" s="3">
        <f>1285.5+(347-473.1)+(-2.62242+(-0.70788--0.965124))+0-0-0</f>
        <v>1157.0348240000001</v>
      </c>
      <c r="AB330" s="3">
        <f>1192.3+(304.7-435.6)+(-1.216146+(-0.310794--0.444312))+0-0-0</f>
        <v>1060.3173719999998</v>
      </c>
      <c r="AC330" s="3">
        <f>1113.5+(294.5-428.2)+(-3.40731+(-0.90117--1.310292))+0-0-0</f>
        <v>976.80181199999993</v>
      </c>
      <c r="AD330">
        <f t="shared" si="5"/>
        <v>23848.426243000005</v>
      </c>
      <c r="AE330" s="3">
        <f>1523+(204.7-493.7)+(0+(0-0))+0-0-0</f>
        <v>1234</v>
      </c>
    </row>
    <row r="331" spans="1:31" s="2" customFormat="1" x14ac:dyDescent="0.25">
      <c r="A331">
        <v>89</v>
      </c>
      <c r="B331">
        <v>11</v>
      </c>
      <c r="C331">
        <v>25</v>
      </c>
      <c r="D331">
        <v>3</v>
      </c>
      <c r="E331">
        <v>1</v>
      </c>
      <c r="F331" s="3">
        <f>850.2+(291.2-266.4)+(-2.601612+(-0.891072--0.815184))+0-0-0</f>
        <v>872.32249999999999</v>
      </c>
      <c r="G331" s="3">
        <f>691.5+(359-214.8)+(0.352665+(0.18309-0.109548))+0-0-0</f>
        <v>836.12620700000002</v>
      </c>
      <c r="H331" s="3">
        <f>691.8+(358.9-235.7)+(-0.352818+(-0.183039--0.120207))+0-0-0</f>
        <v>814.58434999999997</v>
      </c>
      <c r="I331" s="3">
        <f>691.7+(364.3-245.9)+(0+(0-0))+0-0-0</f>
        <v>810.1</v>
      </c>
      <c r="J331" s="3">
        <f>692.3+(348.3-225)+(-0.353073+(-0.177633--0.11475))+0-0-0</f>
        <v>815.18404399999986</v>
      </c>
      <c r="K331" s="3">
        <f>753+(315.6-236)+(0+(0-0))+0-0-0</f>
        <v>832.6</v>
      </c>
      <c r="L331" s="3">
        <f>875.7+(318.3-293.9)+(-0.446607+(-0.162333--0.149889))+0-0-0</f>
        <v>899.64094900000009</v>
      </c>
      <c r="M331" s="3">
        <f>1039+(299.7-420.9)+(-0.52989+(-0.152847--0.214659))+0-0-0</f>
        <v>917.33192199999996</v>
      </c>
      <c r="N331" s="3">
        <f>1223+(304.1-519)+(0.62373+(0.155091-0.26469))+0-0-0</f>
        <v>1008.614131</v>
      </c>
      <c r="O331" s="3">
        <f>1340+(348-639.1)+(-2.7336+(-0.70992--1.303764))+0-0-0</f>
        <v>1046.7602440000001</v>
      </c>
      <c r="P331" s="3">
        <f>1335.2+(360.9-639.4)+(-1.361904+(-0.368118--0.652188))+0-0-0</f>
        <v>1055.6221660000001</v>
      </c>
      <c r="Q331" s="3">
        <f>1335.3+(359.8-626.8)+(1.362006+(0.366996-0.639336))+0-0-0</f>
        <v>1069.389666</v>
      </c>
      <c r="R331" s="3">
        <f>1279.1+(338.8-585.1)+(-3.261705+(-0.86394--1.492005))+0-0-0</f>
        <v>1030.1663599999999</v>
      </c>
      <c r="S331" s="3">
        <f>1238.8+(296.7-509.6)+(-1.263576+(-0.302634--0.519792))+0-0-0</f>
        <v>1024.853582</v>
      </c>
      <c r="T331" s="3">
        <f>1238.9+(314.3-541.5)+(-0.631839+(-0.160293--0.276165))+0-0-0</f>
        <v>1011.184033</v>
      </c>
      <c r="U331" s="3">
        <f>1239.7+(340.1-585.8)+(0.632247+(0.173451-0.298758))+0-0-0</f>
        <v>994.5069400000001</v>
      </c>
      <c r="V331" s="3">
        <f>1336.8+(286.9-600.7)+(0+(0-0))+0-0-0</f>
        <v>1022.9999999999999</v>
      </c>
      <c r="W331" s="3">
        <f>1654.9+(138.6-669.4)+(-2.531997+(-0.212058--1.024182))+0-0-0</f>
        <v>1122.3801270000001</v>
      </c>
      <c r="X331" s="3">
        <f>1709.7+(198.1-644.6)+(-2.615841+(-0.303093--0.986238))+0-0-0</f>
        <v>1261.267304</v>
      </c>
      <c r="Y331" s="3">
        <f>1616.2+(189.8-546.5)+(-2.472786+(-0.290394--0.836145))+0-0-0</f>
        <v>1257.5729650000001</v>
      </c>
      <c r="Z331" s="3">
        <f>1526.6+(256.3-550.1)+(-3.114264+(-0.522852--1.122204))+0-0-0</f>
        <v>1230.2850879999999</v>
      </c>
      <c r="AA331" s="3">
        <f>1430.4+(305.6-582.3)+(-2.918016+(-0.623424--1.187892))+0-0-0</f>
        <v>1151.3464520000002</v>
      </c>
      <c r="AB331" s="3">
        <f>1100.3+(380.7-410.4)+(-0.561153+(-0.194157--0.209304))+0-0-0</f>
        <v>1070.0539939999999</v>
      </c>
      <c r="AC331" s="3">
        <f>942+(389.4-334.9)+(-4.32378+(-1.787346--1.537191))+0-0-0</f>
        <v>991.92606499999999</v>
      </c>
      <c r="AD331">
        <f t="shared" si="5"/>
        <v>24146.819088999997</v>
      </c>
      <c r="AE331" s="3">
        <f>1709+(231.9-669.9)+(0+(0-0))+0-0-0</f>
        <v>1271</v>
      </c>
    </row>
    <row r="332" spans="1:31" s="2" customFormat="1" x14ac:dyDescent="0.25">
      <c r="A332">
        <v>89</v>
      </c>
      <c r="B332">
        <v>11</v>
      </c>
      <c r="C332">
        <v>26</v>
      </c>
      <c r="D332">
        <v>4</v>
      </c>
      <c r="E332">
        <v>1</v>
      </c>
      <c r="F332" s="3">
        <f>917.6+(339.3-359.9)+(-1.403928+(-0.519129--0.550647))+0-0-0</f>
        <v>895.62759000000005</v>
      </c>
      <c r="G332" s="3">
        <f>912.4+(270.2-330.9)+(-1.395972+(-0.413406--0.506277))+0-0-0</f>
        <v>850.39689900000008</v>
      </c>
      <c r="H332" s="3">
        <f>912.7+(254.1-338.4)+(0.465477+(0.129591-0.172584))+0-0-0</f>
        <v>828.82248400000014</v>
      </c>
      <c r="I332" s="3">
        <f>913.3+(227.4-330.6)+(-1.397349+(-0.347922--0.505818))+0-0-0</f>
        <v>808.86054699999988</v>
      </c>
      <c r="J332" s="3">
        <f>913+(230-329.2)+(0.46563+(0.1173-0.167892))+0-0-0</f>
        <v>814.21503799999994</v>
      </c>
      <c r="K332" s="3">
        <f>913.1+(265.7-353.1)+(-0.465681+(-0.135507--0.180081))+0-0-0</f>
        <v>825.27889300000004</v>
      </c>
      <c r="L332" s="3">
        <f>913.1+(298.4-366)+(-0.931362+(-0.304368--0.37332))+0-0-0</f>
        <v>844.63759000000005</v>
      </c>
      <c r="M332" s="3">
        <f>1070.7+(267.8-472.7)+(-0.546057+(-0.136578--0.241077))+0-0-0</f>
        <v>865.35844200000008</v>
      </c>
      <c r="N332" s="3">
        <f>1341.6+(295.5-679.6)+(2.736864+(0.60282-1.386384))+0-0-0</f>
        <v>959.4532999999999</v>
      </c>
      <c r="O332" s="3">
        <f>1485.5+(287-776.5)+(-1.51521+(-0.29274--0.79203))+0-0-0</f>
        <v>994.98407999999995</v>
      </c>
      <c r="P332" s="3">
        <f>1595+(264.6-845.9)+(-0.81345+(-0.134946--0.431409))+0-0-0</f>
        <v>1013.1830130000001</v>
      </c>
      <c r="Q332" s="3">
        <f>1626.7+(234.8-846.1)+(-3.318468+(-0.478992--1.726044))+0-0-0</f>
        <v>1013.3285840000001</v>
      </c>
      <c r="R332" s="3">
        <f>1554.8+(267.4-816.5)+(-4.757688+(-0.818244--2.49849))+0-0-0</f>
        <v>1002.6225579999999</v>
      </c>
      <c r="S332" s="3">
        <f>1454.3+(283.3-765.3)+(-1.483386+(-0.288966--0.780606))+0-0-0</f>
        <v>971.30825399999992</v>
      </c>
      <c r="T332" s="3">
        <f>1432+(293.2-778.9)+(0+(0-0))+0-0-0</f>
        <v>946.3</v>
      </c>
      <c r="U332" s="3">
        <f>1432.8+(248.1-747.4)+(-1.461456+(-0.253062--0.762348))+0-0-0</f>
        <v>932.54782999999998</v>
      </c>
      <c r="V332" s="3">
        <f>1389.4+(222.1-651.2)+(0+(0-0))+0-0-0</f>
        <v>960.30000000000007</v>
      </c>
      <c r="W332" s="3">
        <f>1497.1+(221.2-655.6)+(0+(0-0))+0-0-0</f>
        <v>1062.6999999999998</v>
      </c>
      <c r="X332" s="3">
        <f>1846+(196.4-787.2)+(-1.88292+(-0.200328--0.802944))+0-0-0</f>
        <v>1253.9196959999999</v>
      </c>
      <c r="Y332" s="3">
        <f>1838+(236.2-809.2)+(-5.62428+(-0.722772--2.476152))+0-0-0</f>
        <v>1261.1291000000001</v>
      </c>
      <c r="Z332" s="3">
        <f>1805+(148.9-843.8)+(-4.60275+(-0.379695--2.15169))+0-0-0</f>
        <v>1107.269245</v>
      </c>
      <c r="AA332" s="3">
        <f>1797+(233.8-879.6)+(-3.66588+(-0.476952--1.794384))+0-0-0</f>
        <v>1148.8515520000001</v>
      </c>
      <c r="AB332" s="3">
        <f>1822+(196.2-952.2)+(-1.85844+(-0.200124--0.971244))+0-0-0</f>
        <v>1064.9126799999999</v>
      </c>
      <c r="AC332" s="3">
        <f>1561+(244.3-817.3)+(-3.98055+(-0.622965--2.084115))+0-0-0</f>
        <v>985.48059999999998</v>
      </c>
      <c r="AD332">
        <f t="shared" si="5"/>
        <v>23411.487974999996</v>
      </c>
      <c r="AE332" s="3">
        <f>1847+(202-779.6)+(0+(0-0))+0-0-0</f>
        <v>1269.4000000000001</v>
      </c>
    </row>
    <row r="333" spans="1:31" s="2" customFormat="1" x14ac:dyDescent="0.25">
      <c r="A333">
        <v>89</v>
      </c>
      <c r="B333">
        <v>11</v>
      </c>
      <c r="C333">
        <v>27</v>
      </c>
      <c r="D333">
        <v>5</v>
      </c>
      <c r="E333">
        <v>3</v>
      </c>
      <c r="F333" s="3">
        <f>1353+(290.5-682)+(-3.45015+(-0.740775--1.7391))+0-0-0</f>
        <v>959.04817500000001</v>
      </c>
      <c r="G333" s="3">
        <f>1138+(258.9-491.8)+(-1.74114+(-0.396117--0.752454))+0-0-0</f>
        <v>903.71519699999988</v>
      </c>
      <c r="H333" s="3">
        <f>1128+(233.9-509.2)+(-3.45168+(-0.715734--1.558152))+0-0-0</f>
        <v>850.0907380000001</v>
      </c>
      <c r="I333" s="3">
        <f>1131+(249.4-518.2)+(0.57681+(0.127194-0.264282))+0-0-0</f>
        <v>862.63972199999989</v>
      </c>
      <c r="J333" s="3">
        <f>1137+(248.7-524.7)+(2.31948+(0.507348-1.070388))+0-0-0</f>
        <v>862.75644</v>
      </c>
      <c r="K333" s="3">
        <f>1139+(243.7-511.9)+(3.48534+(0.745722-1.566414))+0-0-0</f>
        <v>873.4646479999999</v>
      </c>
      <c r="L333" s="3">
        <f>1138+(265.2-512)+(-2.9019+(-0.67626--1.3056))+0-0-0</f>
        <v>888.92744000000005</v>
      </c>
      <c r="M333" s="3">
        <f>1193+(279.4-550)+(1.21686+(0.284988-0.561))+0-0-0</f>
        <v>923.34084799999994</v>
      </c>
      <c r="N333" s="3">
        <f>1223+(312.7-534.8)+(1.87119+(0.478431-0.818244))+0-0-0</f>
        <v>1002.4313770000001</v>
      </c>
      <c r="O333" s="3">
        <f>1273+(307.7-550.9)+(1.94769+(0.470781-0.842877))+0-0-0</f>
        <v>1031.3755939999999</v>
      </c>
      <c r="P333" s="3">
        <f>1499+(266.3-755.6)+(-3.05796+(-0.543252--1.541424))+0-0-0</f>
        <v>1007.640212</v>
      </c>
      <c r="Q333" s="3">
        <f>1668+(236.1-831.3)+(-3.40272+(-0.481644--1.695852))+0-0-0</f>
        <v>1070.6114880000002</v>
      </c>
      <c r="R333" s="3">
        <f>1676+(196.5-815.5)+(-4.2738+(-0.501075--2.079525))+0-0-0</f>
        <v>1054.30465</v>
      </c>
      <c r="S333" s="3">
        <f>1688+(171-817.7)+(-2.58264+(-0.26163--1.251081))+0-0-0</f>
        <v>1039.706811</v>
      </c>
      <c r="T333" s="3">
        <f>1677+(133.1-822.7)+(-0.85527+(-0.067881--0.419577))+0-0-0</f>
        <v>986.89642600000002</v>
      </c>
      <c r="U333" s="3">
        <f>1676+(237.6-798.9)+(-4.2738+(-0.60588--2.037195))+0-0-0</f>
        <v>1111.8575150000001</v>
      </c>
      <c r="V333" s="3">
        <f>1668+(181.5-772.8)+(0+(0-0))+0-0-0</f>
        <v>1076.7</v>
      </c>
      <c r="W333" s="3">
        <f>1804+(223.4-806.5)+(-3.68016+(-0.455736--1.64526))+0-0-0</f>
        <v>1218.4093640000001</v>
      </c>
      <c r="X333" s="3">
        <f>1865+(215.9-828.4)+(-8.56035+(-0.990981--3.802356))+0-0-0</f>
        <v>1246.751025</v>
      </c>
      <c r="Y333" s="3">
        <f>1865+(190.3-860.8)+(-0.95115+(-0.097053--0.439008))+0-0-0</f>
        <v>1193.890805</v>
      </c>
      <c r="Z333" s="3">
        <f>1765+(221-730.2)+(-8.10135+(-1.01439--3.351618))+0-0-0</f>
        <v>1250.0358779999999</v>
      </c>
      <c r="AA333" s="3">
        <f>1525+(230.3-607.5)+(-0.77775+(-0.117453--0.309825))+0-0-0</f>
        <v>1147.214622</v>
      </c>
      <c r="AB333" s="3">
        <f>1525+(246-649.7)+(-3.88875+(-0.6273--1.656735))+0-0-0</f>
        <v>1118.440685</v>
      </c>
      <c r="AC333" s="3">
        <f>1385+(229-639.3)+(-3.53175+(-0.58395--1.630215))+0-0-0</f>
        <v>972.21451500000001</v>
      </c>
      <c r="AD333">
        <f t="shared" si="5"/>
        <v>24652.464174999997</v>
      </c>
      <c r="AE333" s="3">
        <f>1934+(204-865.5)+(0+(0-0))+0-0-0</f>
        <v>1272.5</v>
      </c>
    </row>
    <row r="334" spans="1:31" s="2" customFormat="1" x14ac:dyDescent="0.25">
      <c r="A334">
        <v>89</v>
      </c>
      <c r="B334">
        <v>11</v>
      </c>
      <c r="C334">
        <v>28</v>
      </c>
      <c r="D334">
        <v>6</v>
      </c>
      <c r="E334">
        <v>6</v>
      </c>
      <c r="F334" s="3">
        <f>931+(279.7-349.1)+(-0.47481+(-0.142647--0.178041))+0-0-0</f>
        <v>861.16058399999986</v>
      </c>
      <c r="G334" s="3">
        <f>932+(292-361.8)+(0+(0-0))+0-0-0</f>
        <v>862.2</v>
      </c>
      <c r="H334" s="3">
        <f>891+(300.5-353.7)+(-1.81764+(-0.61302--0.721548))+0-0-0</f>
        <v>836.09088799999995</v>
      </c>
      <c r="I334" s="3">
        <f>896+(285.7-352.7)+(2.2848+(0.728535-0.899385))+0-0-0</f>
        <v>831.11395000000005</v>
      </c>
      <c r="J334" s="3">
        <f>896+(271.5-334.2)+(-0.91392+(-0.27693--0.340884))+0-0-0</f>
        <v>832.45003399999996</v>
      </c>
      <c r="K334" s="3">
        <f>860+(269.6-336.2)+(0.4386+(0.137496-0.171462))+0-0-0</f>
        <v>793.80463400000008</v>
      </c>
      <c r="L334" s="3">
        <f>927+(285.7-347.7)+(-1.41831+(-0.437121--0.531981))+0-0-0</f>
        <v>863.67655000000002</v>
      </c>
      <c r="M334" s="3">
        <f>971+(307.6-440.9)+(0+(0-0))+0-0-0</f>
        <v>837.7</v>
      </c>
      <c r="N334" s="3">
        <f>1193+(283-541)+(0.60843+(0.14433-0.27591))+0-0-0</f>
        <v>935.47685000000001</v>
      </c>
      <c r="O334" s="3">
        <f>1330+(277.3-589.6)+(2.0349+(0.424269-0.902088))+0-0-0</f>
        <v>1019.2570810000001</v>
      </c>
      <c r="P334" s="3">
        <f>1365+(243.3-562.5)+(-3.48075+(-0.620415--1.434375))+0-0-0</f>
        <v>1043.13321</v>
      </c>
      <c r="Q334" s="3">
        <f>1385+(219.2-544.4)+(-3.53175+(-0.55896--1.38822))+0-0-0</f>
        <v>1057.0975100000001</v>
      </c>
      <c r="R334" s="3">
        <f>1393+(239-594.1)+(-4.97301+(-0.85323--2.120937))+0-0-0</f>
        <v>1034.1946970000001</v>
      </c>
      <c r="S334" s="3">
        <f>1355+(249.8-526.7)+(-0.69105+(-0.127398--0.268617))+0-0-0</f>
        <v>1077.5501689999999</v>
      </c>
      <c r="T334" s="3">
        <f>1118+(289-470.1)+(-1.71054+(-0.44217--0.719253))+0-0-0</f>
        <v>935.466543</v>
      </c>
      <c r="U334" s="3">
        <f>1124+(266.1-468.4)+(-2.8662+(-0.678555--1.19442))+0-0-0</f>
        <v>919.34966500000007</v>
      </c>
      <c r="V334" s="3">
        <f>1158+(279.4-444.6)+(0+(0-0))+0-0-0</f>
        <v>992.8</v>
      </c>
      <c r="W334" s="3">
        <f>1267.9+(282-444.2)+(-1.293258+(-0.28764--0.453084))+0-0-0</f>
        <v>1104.5721860000001</v>
      </c>
      <c r="X334" s="3">
        <f>1437.8+(247.5-442.6)+(-2.933112+(-0.5049--0.902904))+0-0-0</f>
        <v>1240.1648919999998</v>
      </c>
      <c r="Y334" s="3">
        <f>1507.6+(223.6-506.9)+(-2.306628+(-0.342108--0.775557))+0-0-0</f>
        <v>1222.426821</v>
      </c>
      <c r="Z334" s="3">
        <f>1479.9+(275.5-556.3)+(-0.754749+(-0.140505--0.283713))+0-0-0</f>
        <v>1198.4884590000001</v>
      </c>
      <c r="AA334" s="3">
        <f>1410.2+(257.1-528.3)+(-2.157606+(-0.393363--0.808299))+0-0-0</f>
        <v>1137.2573299999999</v>
      </c>
      <c r="AB334" s="3">
        <f>1410.9+(250.8-564.8)+(-4.317354+(-0.767448--1.728288))+0-0-0</f>
        <v>1093.543486</v>
      </c>
      <c r="AC334" s="3">
        <f>1393.4+(245.9-613.3)+(-3.55317+(-0.627045--1.563915))+0-0-0</f>
        <v>1023.3837</v>
      </c>
      <c r="AD334">
        <f t="shared" si="5"/>
        <v>23752.359238999998</v>
      </c>
      <c r="AE334" s="3">
        <f>1432+(252.8-414)+(0+(0-0))+0-0-0</f>
        <v>1270.8</v>
      </c>
    </row>
    <row r="335" spans="1:31" s="2" customFormat="1" x14ac:dyDescent="0.25">
      <c r="A335">
        <v>89</v>
      </c>
      <c r="B335">
        <v>11</v>
      </c>
      <c r="C335">
        <v>29</v>
      </c>
      <c r="D335">
        <v>7</v>
      </c>
      <c r="E335">
        <v>1</v>
      </c>
      <c r="F335" s="3">
        <f>1199.1+(234.3-507.4)+(-3.057705+(-0.597465--1.29387))+0-0-0</f>
        <v>923.63869999999997</v>
      </c>
      <c r="G335" s="3">
        <f>982.9+(267-393.4)+(-2.005116+(-0.54468--0.802536))+0-0-0</f>
        <v>854.75274000000002</v>
      </c>
      <c r="H335" s="3">
        <f>895.2+(270.8-343.8)+(-1.369656+(-0.414324--0.526014))+0-0-0</f>
        <v>820.94203400000004</v>
      </c>
      <c r="I335" s="3">
        <f>897.7+(289.4-347.1)+(-1.831308+(-0.590376--0.708084))+0-0-0</f>
        <v>838.28639999999996</v>
      </c>
      <c r="J335" s="3">
        <f>895.8+(265.2-363.8)+(0.456858+(0.135252-0.185538))+0-0-0</f>
        <v>797.60657199999991</v>
      </c>
      <c r="K335" s="3">
        <f>916+(269.9-371.4)+(0.46716+(0.137649-0.189414))+0-0-0</f>
        <v>814.91539499999999</v>
      </c>
      <c r="L335" s="3">
        <f>1004.4+(226.4-447.4)+(-2.56122+(-0.57732--1.14087))+0-0-0</f>
        <v>781.40233000000001</v>
      </c>
      <c r="M335" s="3">
        <f>1053.8+(84.9-412.2)+(-1.612314+(-0.129897--0.630666))+0-0-0</f>
        <v>725.38845500000002</v>
      </c>
      <c r="N335" s="3">
        <f>1102.9+(114.2-399.8)+(-1.687437+(-0.174726--0.611694))+0-0-0</f>
        <v>816.04953100000012</v>
      </c>
      <c r="O335" s="3">
        <f>1110.2+(119.7-357.1)+(0.566202+(0.061047-0.182121))+0-0-0</f>
        <v>873.24512799999991</v>
      </c>
      <c r="P335" s="3">
        <f>1207.4+(112-404.2)+(-0.615774+(-0.05712--0.206142))+0-0-0</f>
        <v>914.733248</v>
      </c>
      <c r="Q335" s="3">
        <f>1215+(109.1-396.5)+(-2.4786+(-0.222564--0.80886))+0-0-0</f>
        <v>925.70769600000006</v>
      </c>
      <c r="R335" s="3">
        <f>1237.5+(92.7-413.4)+(-2.5245+(-0.189108--0.843336))+0-0-0</f>
        <v>914.92972799999995</v>
      </c>
      <c r="S335" s="3">
        <f>1236.8+(77.4-411.2)+(-3.15384+(-0.19737--1.04856))+0-0-0</f>
        <v>900.69735000000003</v>
      </c>
      <c r="T335" s="3">
        <f>1246.6+(72.2-435.9)+(-1.907298+(-0.110466--0.666927))+0-0-0</f>
        <v>881.54916299999991</v>
      </c>
      <c r="U335" s="3">
        <f>1276.1+(94.3-475)+(-2.603244+(-0.192372--0.969))+0-0-0</f>
        <v>893.57338399999992</v>
      </c>
      <c r="V335" s="3">
        <f>1351.1+(100.2-522)+(-1.378122+(-0.102204--0.53244))+0-0-0</f>
        <v>928.35211399999991</v>
      </c>
      <c r="W335" s="3">
        <f>1352.1+(188-492)+(-2.068713+(-0.28764--0.75276))+0-0-0</f>
        <v>1046.4964069999999</v>
      </c>
      <c r="X335" s="3">
        <f>1465.8+(166.3-478.3)+(-2.990232+(-0.339252--0.975732))+0-0-0</f>
        <v>1151.446248</v>
      </c>
      <c r="Y335" s="3">
        <f>1485.3+(163.1-488.4)+(-3.787515+(-0.415905--1.24542))+0-0-0</f>
        <v>1157.0419999999999</v>
      </c>
      <c r="Z335" s="3">
        <f>1387.1+(225.8-469.4)+(-1.414842+(-0.230316--0.478788))+0-0-0</f>
        <v>1142.3336300000001</v>
      </c>
      <c r="AA335" s="3">
        <f>1387.9+(205.7-517.7)+(0.707829+(0.104907-0.264027))+0-0-0</f>
        <v>1076.448709</v>
      </c>
      <c r="AB335" s="3">
        <f>1359.4+(218.2-529.6)+(-2.773176+(-0.445128--1.080384))+0-0-0</f>
        <v>1045.8620800000001</v>
      </c>
      <c r="AC335" s="3">
        <f>1097.5+(234.2-390.6)+(-2.798625+(-0.59721--0.99603))+0-0-0</f>
        <v>938.70019499999989</v>
      </c>
      <c r="AD335">
        <f t="shared" si="5"/>
        <v>22164.099237000002</v>
      </c>
      <c r="AE335" s="3">
        <f>1507+(153.3-488.6)+(0+(0-0))+0-0-0</f>
        <v>1171.7</v>
      </c>
    </row>
    <row r="336" spans="1:31" s="2" customFormat="1" x14ac:dyDescent="0.25">
      <c r="A336">
        <v>89</v>
      </c>
      <c r="B336">
        <v>11</v>
      </c>
      <c r="C336">
        <v>30</v>
      </c>
      <c r="D336">
        <v>1</v>
      </c>
      <c r="E336">
        <v>1</v>
      </c>
      <c r="F336" s="3">
        <f>916.8+(258.4-309.2)+(-1.402704+(-0.395352--0.473076))+0-0-0</f>
        <v>864.67502000000002</v>
      </c>
      <c r="G336" s="3">
        <f>917.5+(247.8-329)+(-2.339625+(-0.63189--0.83895))+0-0-0</f>
        <v>834.16743499999995</v>
      </c>
      <c r="H336" s="3">
        <f>916.2+(252.8-342.4)+(0.467262+(0.128928-0.174624))+0-0-0</f>
        <v>827.02156600000012</v>
      </c>
      <c r="I336" s="3">
        <f>917.1+(249-350.6)+(-0.467721+(-0.12699--0.178806))+0-0-0</f>
        <v>815.08409500000005</v>
      </c>
      <c r="J336" s="3">
        <f>917+(229.9-352.2)+(1.87068+(0.468996-0.718488))+0-0-0</f>
        <v>796.32118800000001</v>
      </c>
      <c r="K336" s="3">
        <f>917.4+(252.7-336.3)+(0.935748+(0.257754-0.343026))+0-0-0</f>
        <v>834.65047599999991</v>
      </c>
      <c r="L336" s="3">
        <f>917.7+(277.1-368.9)+(0+(0-0))+0-0-0</f>
        <v>825.90000000000009</v>
      </c>
      <c r="M336" s="3">
        <f>1124+(307.2-533.3)+(0+(0-0))+0-0-0</f>
        <v>897.90000000000009</v>
      </c>
      <c r="N336" s="3">
        <f>1391.1+(336-736.2)+(2.837844+(0.68544-1.501848))+0-0-0</f>
        <v>992.92143599999986</v>
      </c>
      <c r="O336" s="3">
        <f>1434.8+(350.3-744.8)+(-0.731748+(-0.178653--0.379848))+0-0-0</f>
        <v>1039.7694469999999</v>
      </c>
      <c r="P336" s="3">
        <f>1427.5+(365.5-718.4)+(-2.184075+(-0.559215--1.099152))+0-0-0</f>
        <v>1072.9558619999998</v>
      </c>
      <c r="Q336" s="3">
        <f>1443.8+(355.3-745.4)+(-0.736338+(-0.181203--0.380154))+0-0-0</f>
        <v>1053.162613</v>
      </c>
      <c r="R336" s="3">
        <f>1461.8+(362.6-796.1)+(-0.745518+(-0.184926--0.406011))+0-0-0</f>
        <v>1027.7755669999999</v>
      </c>
      <c r="S336" s="3">
        <f>1462.5+(369.4-814.2)+(-3.729375+(-0.94197--2.07621))+0-0-0</f>
        <v>1015.1048649999999</v>
      </c>
      <c r="T336" s="3">
        <f>1462+(330.3-803.9)+(-0.74562+(-0.168453--0.409989))+0-0-0</f>
        <v>987.89591600000006</v>
      </c>
      <c r="U336" s="3">
        <f>1463.9+(267.1-748.7)+(-2.239767+(-0.408663--1.145511))+0-0-0</f>
        <v>980.79708100000005</v>
      </c>
      <c r="V336" s="3">
        <f>1463.7+(256.3-713.8)+(-2.985948+(-0.522852--1.456152))+0-0-0</f>
        <v>1004.1473520000001</v>
      </c>
      <c r="W336" s="3">
        <f>1473+(136.2-535.3)+(-3.00492+(-0.277848--1.092012))+0-0-0</f>
        <v>1071.7092440000001</v>
      </c>
      <c r="X336" s="3">
        <f>1499.5+(191.3-453.4)+(-2.294235+(-0.292689--0.693702))+0-0-0</f>
        <v>1235.5067780000002</v>
      </c>
      <c r="Y336" s="3">
        <f>1499.4+(245.8-487.9)+(-3.82347+(-0.62679--1.244145))+0-0-0</f>
        <v>1254.0938850000002</v>
      </c>
      <c r="Z336" s="3">
        <f>1467.1+(235.1-474.5)+(-2.244663+(-0.359703--0.725985))+0-0-0</f>
        <v>1225.8216189999998</v>
      </c>
      <c r="AA336" s="3">
        <f>1381+(264-462.7)+(-2.11293+(-0.40392--0.707931))+0-0-0</f>
        <v>1180.4910809999999</v>
      </c>
      <c r="AB336" s="3">
        <f>1276.9+(279.1-463.2)+(-3.256095+(-0.711705--1.18116))+0-0-0</f>
        <v>1090.0133600000001</v>
      </c>
      <c r="AC336" s="3">
        <f>1004.6+(312.3-315.7)+(-2.56173+(-0.796365--0.805035))+0-0-0</f>
        <v>998.64694000000009</v>
      </c>
      <c r="AD336">
        <f t="shared" si="5"/>
        <v>23926.532825999995</v>
      </c>
      <c r="AE336" s="3">
        <f>1500+(212.3-445)+(0+(0-0))+0-0-0</f>
        <v>1267.3</v>
      </c>
    </row>
    <row r="337" spans="1:31" s="2" customFormat="1" x14ac:dyDescent="0.25">
      <c r="A337">
        <v>89</v>
      </c>
      <c r="B337">
        <v>12</v>
      </c>
      <c r="C337">
        <v>1</v>
      </c>
      <c r="D337">
        <v>2</v>
      </c>
      <c r="E337">
        <v>1</v>
      </c>
      <c r="F337" s="3">
        <f>917.3+(303.9-300.1)+(-3.274761+(-1.084923--1.071357))+0-0-0</f>
        <v>917.81167299999993</v>
      </c>
      <c r="G337" s="3">
        <f>912.6+(304.4-351.3)+(0+(0-0))+0-0-0</f>
        <v>865.7</v>
      </c>
      <c r="H337" s="3">
        <f>911.3+(281.4-352.6)+(-1.859052+(-0.574056--0.719304))+0-0-0</f>
        <v>838.38619599999993</v>
      </c>
      <c r="I337" s="3">
        <f>910.6+(245.8-340.9)+(2.32203+(0.62679-0.869295))+0-0-0</f>
        <v>817.57952499999999</v>
      </c>
      <c r="J337" s="3">
        <f>910.4+(246.8-337.6)+(0+(0-0))+0-0-0</f>
        <v>819.59999999999991</v>
      </c>
      <c r="K337" s="3">
        <f>911.3+(234.6-313.7)+(0.929526+(0.239292-0.319974))+0-0-0</f>
        <v>833.04884399999992</v>
      </c>
      <c r="L337" s="3">
        <f>910.8+(300.8-357.5)+(0.929016+(0.306816-0.36465))+0-0-0</f>
        <v>854.97118199999989</v>
      </c>
      <c r="M337" s="3">
        <f>1021.6+(291.1-420.6)+(1.042032+(0.296922-0.429012))+0-0-0</f>
        <v>893.00994200000002</v>
      </c>
      <c r="N337" s="3">
        <f>1270.2+(180.4-474.2)+(1.943406+(0.276012-0.725526))+0-0-0</f>
        <v>977.89389200000005</v>
      </c>
      <c r="O337" s="3">
        <f>1464.3+(175-597)+(-1.493586+(-0.1785--0.60894))+0-0-0</f>
        <v>1041.236854</v>
      </c>
      <c r="P337" s="3">
        <f>1475.9+(170-600.5)+(-2.258127+(-0.2601--0.918765))+0-0-0</f>
        <v>1043.8005380000002</v>
      </c>
      <c r="Q337" s="3">
        <f>1477.5+(171-623.2)+(-5.274675+(-0.61047--2.224824))+0-0-0</f>
        <v>1021.639679</v>
      </c>
      <c r="R337" s="3">
        <f>1475.4+(195.9-643.7)+(-3.009816+(-0.399636--1.313148))+0-0-0</f>
        <v>1025.503696</v>
      </c>
      <c r="S337" s="3">
        <f>1475.3+(204.4-664.9)+(-3.009612+(-0.416976--1.356396))+0-0-0</f>
        <v>1012.7298079999999</v>
      </c>
      <c r="T337" s="3">
        <f>1475.2+(192.2-670.9)+(-0.752352+(-0.098022--0.342159))+0-0-0</f>
        <v>995.99178500000005</v>
      </c>
      <c r="U337" s="3">
        <f>1463.8+(229.2-676)+(2.239614+(0.350676-1.03428))+0-0-0</f>
        <v>1018.55601</v>
      </c>
      <c r="V337" s="3">
        <f>1469.6+(189.8-654.2)+(0+(0-0))+0-0-0</f>
        <v>1005.1999999999998</v>
      </c>
      <c r="W337" s="3">
        <f>1487.9+(118.7-548.1)+(0+(0-0))+0-0-0</f>
        <v>1058.5</v>
      </c>
      <c r="X337" s="3">
        <f>1497.8+(167.8-409.6)+(-2.291634+(-0.256734--0.626688))+0-0-0</f>
        <v>1254.0783200000001</v>
      </c>
      <c r="Y337" s="3">
        <f>1498.5+(182.4-436)+(-3.05694+(-0.372096--0.88944))+0-0-0</f>
        <v>1242.360404</v>
      </c>
      <c r="Z337" s="3">
        <f>1499.9+(206.3-510.8)+(-1.529898+(-0.210426--0.521016))+0-0-0</f>
        <v>1194.1806920000001</v>
      </c>
      <c r="AA337" s="3">
        <f>1499.3+(186-534.1)+(0.764643+(0.09486-0.272391))+0-0-0</f>
        <v>1151.7871119999998</v>
      </c>
      <c r="AB337" s="3">
        <f>1496+(137.4-549.8)+(-3.8148+(-0.35037--1.40199))+0-0-0</f>
        <v>1080.83682</v>
      </c>
      <c r="AC337" s="3">
        <f>1372.1+(156.8-505.3)+(0.699771+(0.079968-0.257703))+0-0-0</f>
        <v>1024.122036</v>
      </c>
      <c r="AD337">
        <f t="shared" si="5"/>
        <v>23988.525008000001</v>
      </c>
      <c r="AE337" s="3">
        <f>1501+(177.7-400.5)+(0+(0-0))+0-0-0</f>
        <v>1278.2</v>
      </c>
    </row>
    <row r="338" spans="1:31" s="2" customFormat="1" x14ac:dyDescent="0.25">
      <c r="A338">
        <v>89</v>
      </c>
      <c r="B338">
        <v>12</v>
      </c>
      <c r="C338">
        <v>2</v>
      </c>
      <c r="D338">
        <v>3</v>
      </c>
      <c r="E338">
        <v>1</v>
      </c>
      <c r="F338" s="3">
        <f>1226.7+(160.8-447.5)+(-2.502468+(-0.328032--0.9129))+0-0-0</f>
        <v>938.08240000000001</v>
      </c>
      <c r="G338" s="3">
        <f>1095.5+(180.3-389.1)+(-2.23482+(-0.367812--0.793764))+0-0-0</f>
        <v>884.89113200000008</v>
      </c>
      <c r="H338" s="3">
        <f>920.7+(212.7-301.8)+(0.469557+(0.108477-0.153918))+0-0-0</f>
        <v>832.02411600000005</v>
      </c>
      <c r="I338" s="3">
        <f>916.9+(230-323.2)+(1.870476+(0.4692-0.659328))+0-0-0</f>
        <v>825.38034800000003</v>
      </c>
      <c r="J338" s="3">
        <f>917+(210-311.8)+(-0.46767+(-0.1071--0.159018))+0-0-0</f>
        <v>814.78424800000005</v>
      </c>
      <c r="K338" s="3">
        <f>917.7+(201.3-298.6)+(0+(0-0))+0-0-0</f>
        <v>820.40000000000009</v>
      </c>
      <c r="L338" s="3">
        <f>919.8+(232.5-326.2)+(-1.876392+(-0.4743--0.665448))+0-0-0</f>
        <v>824.4147559999999</v>
      </c>
      <c r="M338" s="3">
        <f>933.8+(183.3-330.2)+(-1.428714+(-0.280449--0.505206))+0-0-0</f>
        <v>785.69604300000003</v>
      </c>
      <c r="N338" s="3">
        <f>1136.9+(170.5-420.5)+(1.739457+(0.260865-0.643365))+0-0-0</f>
        <v>888.25695700000006</v>
      </c>
      <c r="O338" s="3">
        <f>1347+(122.9-508.2)+(0.68697+(0.062679-0.259182))+0-0-0</f>
        <v>962.19046700000001</v>
      </c>
      <c r="P338" s="3">
        <f>1463.2+(130-569.5)+(-1.492464+(-0.1326--0.58089))+0-0-0</f>
        <v>1022.655826</v>
      </c>
      <c r="Q338" s="3">
        <f>1463.6+(116.3-550.2)+(-1.492872+(-0.118626--0.561204))+0-0-0</f>
        <v>1028.6497059999999</v>
      </c>
      <c r="R338" s="3">
        <f>1463.9+(135-580.2)+(-4.479534+(-0.4131--1.775412))+0-0-0</f>
        <v>1015.5827780000001</v>
      </c>
      <c r="S338" s="3">
        <f>1462.3+(147.5-614.8)+(-1.491546+(-0.15045--0.627096))+0-0-0</f>
        <v>993.98509999999999</v>
      </c>
      <c r="T338" s="3">
        <f>1372.4+(138.5-537.3)+(1.399848+(0.14127-0.548046))+0-0-0</f>
        <v>974.59307200000012</v>
      </c>
      <c r="U338" s="3">
        <f>1377.9+(140.6-529.8)+(-2.810916+(-0.286824--1.080792))+0-0-0</f>
        <v>986.6830520000002</v>
      </c>
      <c r="V338" s="3">
        <f>1380.4+(143.9-505.9)+(1.408008+(0.146778-0.516018))+0-0-0</f>
        <v>1019.4387680000001</v>
      </c>
      <c r="W338" s="3">
        <f>1500+(140.8-556.3)+(-1.53+(-0.143616--0.567426))+0-0-0</f>
        <v>1083.39381</v>
      </c>
      <c r="X338" s="3">
        <f>1656.5+(164.6-593.6)+(-0.844815+(-0.083946--0.302736))+0-0-0</f>
        <v>1226.873975</v>
      </c>
      <c r="Y338" s="3">
        <f>1658.1+(169.7-599.1)+(-1.691262+(-0.173094--0.611082))+0-0-0</f>
        <v>1227.4467259999999</v>
      </c>
      <c r="Z338" s="3">
        <f>1658.2+(175.7-651.2)+(-0.845682+(-0.089607--0.332112))+0-0-0</f>
        <v>1182.0968230000001</v>
      </c>
      <c r="AA338" s="3">
        <f>1624.1+(212.4-676)+(-0.828291+(-0.108324--0.34476))+0-0-0</f>
        <v>1159.9081450000001</v>
      </c>
      <c r="AB338" s="3">
        <f>1511.4+(189-634.3)+(-3.083256+(-0.38556--1.293972))+0-0-0</f>
        <v>1063.9251560000002</v>
      </c>
      <c r="AC338" s="3">
        <f>1279.5+(225.3-520)+(0+(0-0))+0-0-0</f>
        <v>984.8</v>
      </c>
      <c r="AD338">
        <f t="shared" si="5"/>
        <v>23546.153404000001</v>
      </c>
      <c r="AE338" s="3">
        <f>1654+(158.7-598.4)+(0+(0-0))+0-0-0</f>
        <v>1214.3</v>
      </c>
    </row>
    <row r="339" spans="1:31" s="2" customFormat="1" x14ac:dyDescent="0.25">
      <c r="A339">
        <v>89</v>
      </c>
      <c r="B339">
        <v>12</v>
      </c>
      <c r="C339">
        <v>3</v>
      </c>
      <c r="D339">
        <v>4</v>
      </c>
      <c r="E339">
        <v>1</v>
      </c>
      <c r="F339" s="3">
        <f>1101.6+(271.4-459.1)+(-1.123632+(-0.276828--0.468282))+0-0-0</f>
        <v>912.96782199999984</v>
      </c>
      <c r="G339" s="3">
        <f>995+(280.1-415.7)+(0+(0-0))+0-0-0</f>
        <v>859.40000000000009</v>
      </c>
      <c r="H339" s="3">
        <f>967.2+(279.2-420.8)+(0+(0-0))+0-0-0</f>
        <v>825.6</v>
      </c>
      <c r="I339" s="3">
        <f>951.8+(281.9-400.1)+(-1.456254+(-0.431307--0.612153))+0-0-0</f>
        <v>832.32459199999994</v>
      </c>
      <c r="J339" s="3">
        <f>950.1+(275.8-407.7)+(-1.938204+(-0.562632--0.831708))+0-0-0</f>
        <v>816.53087200000004</v>
      </c>
      <c r="K339" s="3">
        <f>950.1+(272.6-379.9)+(0.969102+(0.278052-0.387498))+0-0-0</f>
        <v>843.65965600000004</v>
      </c>
      <c r="L339" s="3">
        <f>949.9+(297.8-361.5)+(-0.968898+(-0.303756--0.36873))+0-0-0</f>
        <v>885.29607600000008</v>
      </c>
      <c r="M339" s="3">
        <f>1052.1+(260.5-401.3)+(-1.609713+(-0.398565--0.613989))+0-0-0</f>
        <v>909.905711</v>
      </c>
      <c r="N339" s="3">
        <f>1269.5+(272.4-555.3)+(0+(0-0))+0-0-0</f>
        <v>986.6</v>
      </c>
      <c r="O339" s="3">
        <f>1469.2+(284.5-677.6)+(-1.498584+(-0.29019--0.691152))+0-0-0</f>
        <v>1075.0023779999999</v>
      </c>
      <c r="P339" s="3">
        <f>1483.2+(275-648.2)+(-3.78216+(-0.70125--1.65291))+0-0-0</f>
        <v>1107.1695</v>
      </c>
      <c r="Q339" s="3">
        <f>1483.7+(188.4-599.7)+(-1.513374+(-0.192168--0.611694))+0-0-0</f>
        <v>1071.3061520000001</v>
      </c>
      <c r="R339" s="3">
        <f>1487.3+(241.7-566.5)+(-3.792615+(-0.616335--1.444575))+0-0-0</f>
        <v>1159.535625</v>
      </c>
      <c r="S339" s="3">
        <f>1486.5+(242.1-642)+(0+(0-0))+0-0-0</f>
        <v>1086.5999999999999</v>
      </c>
      <c r="T339" s="3">
        <f>1520.4+(267.2-724.8)+(0.775404+(0.136272-0.369648))+0-0-0</f>
        <v>1063.3420280000003</v>
      </c>
      <c r="U339" s="3">
        <f>1551.2+(267-747.4)+(0+(0-0))+0-0-0</f>
        <v>1070.8000000000002</v>
      </c>
      <c r="V339" s="3">
        <f>1551.9+(245.7-713)+(0+(0-0))+0-0-0</f>
        <v>1084.6000000000001</v>
      </c>
      <c r="W339" s="3">
        <f>1572+(145.8-589.1)+(-0.80172+(-0.074358--0.300441))+0-0-0</f>
        <v>1128.1243630000001</v>
      </c>
      <c r="X339" s="3">
        <f>1670.6+(159.8-569.2)+(-0.852006+(-0.081498--0.290292))+0-0-0</f>
        <v>1260.5567879999999</v>
      </c>
      <c r="Y339" s="3">
        <f>1664.5+(262.6-645.4)+(-2.546685+(-0.401778--0.987462))+0-0-0</f>
        <v>1279.7389990000001</v>
      </c>
      <c r="Z339" s="3">
        <f>1651+(325.9-760.1)+(-1.68402+(-0.332418--0.775302))+0-0-0</f>
        <v>1215.5588639999999</v>
      </c>
      <c r="AA339" s="3">
        <f>1649.3+(315.3-800.4)+(-5.046858+(-0.964818--2.449224))+0-0-0</f>
        <v>1160.6375480000002</v>
      </c>
      <c r="AB339" s="3">
        <f>1563.1+(285.4-736.2)+(-3.188724+(-0.582216--1.501848))+0-0-0</f>
        <v>1110.0309079999997</v>
      </c>
      <c r="AC339" s="3">
        <f>1286.9+(296.3-581)+(-3.937914+(-0.906678--1.77786))+0-0-0</f>
        <v>999.13326800000004</v>
      </c>
      <c r="AD339">
        <f t="shared" si="5"/>
        <v>24744.421149999998</v>
      </c>
      <c r="AE339" s="3">
        <f>1674+(189.3-580)+(0+(0-0))+0-0-0</f>
        <v>1283.3</v>
      </c>
    </row>
    <row r="340" spans="1:31" s="2" customFormat="1" x14ac:dyDescent="0.25">
      <c r="A340">
        <v>89</v>
      </c>
      <c r="B340">
        <v>12</v>
      </c>
      <c r="C340">
        <v>4</v>
      </c>
      <c r="D340">
        <v>5</v>
      </c>
      <c r="E340">
        <v>1</v>
      </c>
      <c r="F340" s="3">
        <f>1083.5+(322.6-499.8)+(1.10517+(0.329052-0.509796))+0-0-0</f>
        <v>907.22442599999999</v>
      </c>
      <c r="G340" s="3">
        <f>1039.1+(274.6-444.6)+(-2.119764+(-0.560184--0.906984))+0-0-0</f>
        <v>867.32703599999991</v>
      </c>
      <c r="H340" s="3">
        <f>975.4+(254.9-371.1)+(0.497454+(0.129999-0.189261))+0-0-0</f>
        <v>859.63819199999989</v>
      </c>
      <c r="I340" s="3">
        <f>975.1+(227-364.1)+(-1.989204+(-0.46308--0.742764))+0-0-0</f>
        <v>836.29048</v>
      </c>
      <c r="J340" s="3">
        <f>976.9+(189.7-340.8)+(-1.494657+(-0.290241--0.521424))+0-0-0</f>
        <v>824.53652599999998</v>
      </c>
      <c r="K340" s="3">
        <f>978.3+(160.5-334.5)+(0.498933+(0.081855-0.170595))+0-0-0</f>
        <v>804.710193</v>
      </c>
      <c r="L340" s="3">
        <f>977.8+(153.7-245.1)+(-1.994712+(-0.313548--0.500004))+0-0-0</f>
        <v>884.59174399999995</v>
      </c>
      <c r="M340" s="3">
        <f>1013+(207.1-304.6)+(-1.03326+(-0.211242--0.310692))+0-0-0</f>
        <v>914.56619000000001</v>
      </c>
      <c r="N340" s="3">
        <f>1171.6+(272.2-439.9)+(0+(0-0))+0-0-0</f>
        <v>1003.8999999999999</v>
      </c>
      <c r="O340" s="3">
        <f>1533.4+(233.3-725.4)+(-0.782034+(-0.118983--0.369954))+0-0-0</f>
        <v>1040.7689370000003</v>
      </c>
      <c r="P340" s="3">
        <f>1557.7+(204.4-690.3)+(-0.794427+(-0.104244--0.352053))+0-0-0</f>
        <v>1071.2533820000001</v>
      </c>
      <c r="Q340" s="3">
        <f>1559.8+(220.3-696.9)+(-0.795498+(-0.112353--0.355419))+0-0-0</f>
        <v>1082.6475680000001</v>
      </c>
      <c r="R340" s="3">
        <f>1617.4+(230.8-782.3)+(-4.12437+(-0.58854--1.994865))+0-0-0</f>
        <v>1063.181955</v>
      </c>
      <c r="S340" s="3">
        <f>1617.4+(274.7-829.5)+(-0.824874+(-0.140097--0.423045))+0-0-0</f>
        <v>1062.058074</v>
      </c>
      <c r="T340" s="3">
        <f>1617.8+(274-855.7)+(-4.12539+(-0.6987--2.182035))+0-0-0</f>
        <v>1033.4579449999999</v>
      </c>
      <c r="U340" s="3">
        <f>1616.4+(162.4-753.6)+(-2.473092+(-0.248472--1.153008))+0-0-0</f>
        <v>1023.6314440000001</v>
      </c>
      <c r="V340" s="3">
        <f>1617.7+(105.5-676.7)+(-7.425243+(-0.484245--3.106053))+0-0-0</f>
        <v>1041.696565</v>
      </c>
      <c r="W340" s="3">
        <f>1606.8+(65.8-564.1)+(0+(0-0))+0-0-0</f>
        <v>1108.5</v>
      </c>
      <c r="X340" s="3">
        <f>1664.7+(140.9-554.9)+(-3.395988+(-0.287436--1.131996))+0-0-0</f>
        <v>1248.1485720000001</v>
      </c>
      <c r="Y340" s="3">
        <f>1664.3+(194.2-617.4)+(0+(0-0))+0-0-0</f>
        <v>1241.0999999999999</v>
      </c>
      <c r="Z340" s="3">
        <f>1658.9+(104.5-538.1)+(0+(0-0))+0-0-0</f>
        <v>1225.3000000000002</v>
      </c>
      <c r="AA340" s="3">
        <f>1644.3+(93.3-559.5)+(-1.677186+(-0.095166--0.57069))+0-0-0</f>
        <v>1176.898338</v>
      </c>
      <c r="AB340" s="3">
        <f>1573.4+(148.3-610.3)+(-3.209736+(-0.302532--1.245012))+0-0-0</f>
        <v>1109.132744</v>
      </c>
      <c r="AC340" s="3">
        <f>1343.4+(194.5-540.9)+(-5.481072+(-0.79356--2.206872))+0-0-0</f>
        <v>992.93224000000009</v>
      </c>
      <c r="AD340">
        <f t="shared" si="5"/>
        <v>24423.492551000003</v>
      </c>
      <c r="AE340" s="3">
        <f>1662+(173-564.3)+(0+(0-0))+0-0-0</f>
        <v>1270.7</v>
      </c>
    </row>
    <row r="341" spans="1:31" s="2" customFormat="1" x14ac:dyDescent="0.25">
      <c r="A341">
        <v>89</v>
      </c>
      <c r="B341">
        <v>12</v>
      </c>
      <c r="C341">
        <v>5</v>
      </c>
      <c r="D341">
        <v>6</v>
      </c>
      <c r="E341">
        <v>1</v>
      </c>
      <c r="F341" s="3">
        <f>1108.1+(221.8-435.7)+(-1.695393+(-0.339354--0.666621))+0-0-0</f>
        <v>892.83187399999997</v>
      </c>
      <c r="G341" s="3">
        <f>1076.6+(160.3-385.4)+(1.098132+(0.163506-0.393108))+0-0-0</f>
        <v>852.36852999999996</v>
      </c>
      <c r="H341" s="3">
        <f>1045.9+(164.2-367.1)+(-3.200454+(-0.502452--1.123326))+0-0-0</f>
        <v>840.42042000000004</v>
      </c>
      <c r="I341" s="3">
        <f>973.1+(157.2-322.4)+(0.992562+(0.160344-0.328848))+0-0-0</f>
        <v>808.72405800000013</v>
      </c>
      <c r="J341" s="3">
        <f>973.3+(152.1-314.1)+(0.496383+(0.077571-0.160191))+0-0-0</f>
        <v>811.71376299999997</v>
      </c>
      <c r="K341" s="3">
        <f>972.9+(168-307.6)+(2.977074+(0.51408-0.941256))+0-0-0</f>
        <v>835.84989799999994</v>
      </c>
      <c r="L341" s="3">
        <f>1017.1+(186-330)+(0+(0-0))+0-0-0</f>
        <v>873.1</v>
      </c>
      <c r="M341" s="3">
        <f>1190.7+(130.3-413.7)+(1.821771+(0.199359-0.632961))+0-0-0</f>
        <v>908.68816900000002</v>
      </c>
      <c r="N341" s="3">
        <f>1434.9+(117.8-523.6)+(0+(0-0))+0-0-0</f>
        <v>1029.1000000000001</v>
      </c>
      <c r="O341" s="3">
        <f>1481.6+(82-509.2)+(0+(0-0))+0-0-0</f>
        <v>1054.3999999999999</v>
      </c>
      <c r="P341" s="3">
        <f>1501.4+(96.6-502.7)+(0+(0-0))+0-0-0</f>
        <v>1095.3000000000002</v>
      </c>
      <c r="Q341" s="3">
        <f>1580.8+(86.9-587.1)+(0.806208+(0.044319-0.299421))+0-0-0</f>
        <v>1081.1511059999998</v>
      </c>
      <c r="R341" s="3">
        <f>1605.3+(87-620.5)+(-1.637406+(-0.08874--0.63291))+0-0-0</f>
        <v>1070.706764</v>
      </c>
      <c r="S341" s="3">
        <f>1606.1+(86-650.3)+(-1.638222+(-0.08772--0.663306))+0-0-0</f>
        <v>1040.7373639999998</v>
      </c>
      <c r="T341" s="3">
        <f>1588.9+(86-639.3)+(-0.810339+(-0.04386--0.326043))+0-0-0</f>
        <v>1035.0718440000001</v>
      </c>
      <c r="U341" s="3">
        <f>1585+(79-631.3)+(-1.6167+(-0.08058--0.643926))+0-0-0</f>
        <v>1031.6466460000001</v>
      </c>
      <c r="V341" s="3">
        <f>1585.1+(92-613.3)+(-5.658807+(-0.32844--2.189481))+0-0-0</f>
        <v>1060.002234</v>
      </c>
      <c r="W341" s="3">
        <f>1585.3+(98.1-597.5)+(-0.808503+(-0.050031--0.304725))+0-0-0</f>
        <v>1085.3461910000001</v>
      </c>
      <c r="X341" s="3">
        <f>1659.4+(90.6-512.9)+(-2.538882+(-0.138618--0.784737))+0-0-0</f>
        <v>1235.2072370000001</v>
      </c>
      <c r="Y341" s="3">
        <f>1575.5+(114.6-460.5)+(-1.60701+(-0.116892--0.46971))+0-0-0</f>
        <v>1228.3458079999998</v>
      </c>
      <c r="Z341" s="3">
        <f>1516.1+(118.8-453.9)+(-2.319633+(-0.181764--0.694467))+0-0-0</f>
        <v>1179.19307</v>
      </c>
      <c r="AA341" s="3">
        <f>1409.9+(182.3-412.4)+(0+(0-0))+0-0-0</f>
        <v>1179.8000000000002</v>
      </c>
      <c r="AB341" s="3">
        <f>1152.7+(185-279.2)+(-2.351508+(-0.3774--0.569568))+0-0-0</f>
        <v>1056.3406600000001</v>
      </c>
      <c r="AC341" s="3">
        <f>1108+(224.3-308.1)+(-2.8254+(-0.571965--0.785655))+0-0-0</f>
        <v>1021.58829</v>
      </c>
      <c r="AD341">
        <f t="shared" si="5"/>
        <v>24307.633925999999</v>
      </c>
      <c r="AE341" s="3">
        <f>1665+(81.7-513.2)+(0+(0-0))+0-0-0</f>
        <v>1233.5</v>
      </c>
    </row>
    <row r="342" spans="1:31" s="2" customFormat="1" x14ac:dyDescent="0.25">
      <c r="A342">
        <v>89</v>
      </c>
      <c r="B342">
        <v>12</v>
      </c>
      <c r="C342">
        <v>6</v>
      </c>
      <c r="D342">
        <v>7</v>
      </c>
      <c r="E342">
        <v>1</v>
      </c>
      <c r="F342" s="3">
        <f>1104.3+(203.5-399.7)+(-1.126386+(-0.20757--0.407694))+0-0-0</f>
        <v>907.17373799999996</v>
      </c>
      <c r="G342" s="3">
        <f>951+(279.5-357.8)+(-0.48501+(-0.142545--0.182478))+0-0-0</f>
        <v>872.25492300000008</v>
      </c>
      <c r="H342" s="3">
        <f>782.5+(275-233.4)+(0+(0-0))+0-0-0</f>
        <v>824.1</v>
      </c>
      <c r="I342" s="3">
        <f>748.9+(268.9-220.7)+(1.145817+(0.411417-0.337671))+0-0-0</f>
        <v>798.3195629999999</v>
      </c>
      <c r="J342" s="3">
        <f>748.8+(236.9-202.2)+(-1.90944+(-0.604095--0.51561))+0-0-0</f>
        <v>781.50207499999999</v>
      </c>
      <c r="K342" s="3">
        <f>749.3+(241.9-197.5)+(1.146429+(0.370107-0.302175))+0-0-0</f>
        <v>794.91436099999999</v>
      </c>
      <c r="L342" s="3">
        <f>749.2+(191.5-207.3)+(-0.764184+(-0.19533--0.211446))+0-0-0</f>
        <v>732.6519320000001</v>
      </c>
      <c r="M342" s="3">
        <f>793.6+(180.9-225.8)+(0.404736+(0.092259-0.115158))+0-0-0</f>
        <v>749.08183700000006</v>
      </c>
      <c r="N342" s="3">
        <f>934.2+(143.4-286.2)+(-0.952884+(-0.146268--0.291924))+0-0-0</f>
        <v>790.59277200000008</v>
      </c>
      <c r="O342" s="3">
        <f>935.8+(179-263)+(0.477258+(0.09129-0.13413))+0-0-0</f>
        <v>852.23441800000001</v>
      </c>
      <c r="P342" s="3">
        <f>1058.6+(172.6-339.8)+(1.079772+(0.176052-0.346596))+0-0-0</f>
        <v>892.30922799999985</v>
      </c>
      <c r="Q342" s="3">
        <f>1220.5+(131.7-442)+(-2.48982+(-0.268668--0.90168))+0-0-0</f>
        <v>908.34319200000004</v>
      </c>
      <c r="R342" s="3">
        <f>1222.8+(131.3-466.5)+(-0.623628+(-0.066963--0.237915))+0-0-0</f>
        <v>887.14732399999991</v>
      </c>
      <c r="S342" s="3">
        <f>1198.9+(142.8-466.4)+(-3.668634+(-0.436968--1.427184))+0-0-0</f>
        <v>872.62158200000022</v>
      </c>
      <c r="T342" s="3">
        <f>1125.7+(128.2-397.2)+(-1.148214+(-0.130764--0.405144))+0-0-0</f>
        <v>855.82616600000006</v>
      </c>
      <c r="U342" s="3">
        <f>1125.4+(126.6-387.3)+(-3.443724+(-0.387396--1.185138))+0-0-0</f>
        <v>862.05401800000004</v>
      </c>
      <c r="V342" s="3">
        <f>1125.2+(107.2-364.2)+(-1.147704+(-0.109344--0.371484))+0-0-0</f>
        <v>867.314436</v>
      </c>
      <c r="W342" s="3">
        <f>1126.9+(164.1-304.7)+(-0.574719+(-0.083691--0.155397))+0-0-0</f>
        <v>985.79698700000006</v>
      </c>
      <c r="X342" s="3">
        <f>1235.5+(181.3-269.5)+(-1.890315+(-0.277389--0.412335))+0-0-0</f>
        <v>1145.544631</v>
      </c>
      <c r="Y342" s="3">
        <f>1237.7+(156.3-273.8)+(0.631227+(0.079713-0.139638))+0-0-0</f>
        <v>1120.7713020000001</v>
      </c>
      <c r="Z342" s="3">
        <f>1237.4+(180.8-291.3)+(-1.893222+(-0.276624--0.445689))+0-0-0</f>
        <v>1125.175843</v>
      </c>
      <c r="AA342" s="3">
        <f>1237.5+(163.2-344.9)+(0.631125+(0.083232-0.175899))+0-0-0</f>
        <v>1056.3384579999999</v>
      </c>
      <c r="AB342" s="3">
        <f>1235.4+(176.5-377)+(-1.260108+(-0.18003--0.38454))+0-0-0</f>
        <v>1033.8444020000002</v>
      </c>
      <c r="AC342" s="3">
        <f>1169.3+(167.8-392.7)+(-2.385372+(-0.342312--0.801108))+0-0-0</f>
        <v>942.47342400000002</v>
      </c>
      <c r="AD342">
        <f t="shared" si="5"/>
        <v>21658.386611999998</v>
      </c>
      <c r="AE342" s="3">
        <f>1235+(176.2-270.3)+(0+(0-0))+0-0-0</f>
        <v>1140.9000000000001</v>
      </c>
    </row>
    <row r="343" spans="1:31" s="2" customFormat="1" x14ac:dyDescent="0.25">
      <c r="A343">
        <v>89</v>
      </c>
      <c r="B343">
        <v>12</v>
      </c>
      <c r="C343">
        <v>7</v>
      </c>
      <c r="D343">
        <v>1</v>
      </c>
      <c r="E343">
        <v>1</v>
      </c>
      <c r="F343" s="3">
        <f>1013.5+(163.6-323.4)+(-1.03377+(-0.166872--0.329868))+0-0-0</f>
        <v>852.82922600000006</v>
      </c>
      <c r="G343" s="3">
        <f>966.8+(146.9-303.3)+(-0.986136+(-0.149838--0.309366))+0-0-0</f>
        <v>809.57339200000001</v>
      </c>
      <c r="H343" s="3">
        <f>968.6+(140.3-324)+(1.975944+(0.286212-0.66096))+0-0-0</f>
        <v>786.50119600000005</v>
      </c>
      <c r="I343" s="3">
        <f>919.4+(146.7-286.6)+(-0.937788+(-0.149634--0.292332))+0-0-0</f>
        <v>778.70491000000004</v>
      </c>
      <c r="J343" s="3">
        <f>873.3+(162.3-253.6)+(2.672298+(0.496638-0.776016))+0-0-0</f>
        <v>784.39292</v>
      </c>
      <c r="K343" s="3">
        <f>873.1+(166.9-246.4)+(0.445281+(0.085119-0.125664))+0-0-0</f>
        <v>794.00473599999998</v>
      </c>
      <c r="L343" s="3">
        <f>873.2+(231.6-289.7)+(1.335996+(0.354348-0.443241))+0-0-0</f>
        <v>816.34710300000006</v>
      </c>
      <c r="M343" s="3">
        <f>1029.2+(243.1-412.1)+(2.62446+(0.619905-1.050855))+0-0-0</f>
        <v>862.39350999999999</v>
      </c>
      <c r="N343" s="3">
        <f>1222.1+(235.5-492.1)+(0.623271+(0.120105-0.250971))+0-0-0</f>
        <v>965.99240499999985</v>
      </c>
      <c r="O343" s="3">
        <f>1219.9+(190-453.7)+(0.622149+(0.0969-0.231387))+0-0-0</f>
        <v>956.68766200000005</v>
      </c>
      <c r="P343" s="3">
        <f>1218.9+(221.4-409.4)+(1.864917+(0.338742-0.626382))+0-0-0</f>
        <v>1032.4772770000002</v>
      </c>
      <c r="Q343" s="3">
        <f>1220.4+(238.8-433.2)+(-0.622404+(-0.121788--0.220932))+0-0-0</f>
        <v>1025.4767400000001</v>
      </c>
      <c r="R343" s="3">
        <f>1296.4+(309.5-606.1)+(-0.661164+(-0.157845--0.309111))+0-0-0</f>
        <v>999.29010200000005</v>
      </c>
      <c r="S343" s="3">
        <f>1400.2+(293.3-706)+(-2.142306+(-0.448749--1.08018))+0-0-0</f>
        <v>985.98912499999994</v>
      </c>
      <c r="T343" s="3">
        <f>1509.5+(272.3-807.4)+(0+(0-0))+0-0-0</f>
        <v>974.40000000000009</v>
      </c>
      <c r="U343" s="3">
        <f>1542.1+(206-750.8)+(-1.572942+(-0.21012--0.765816))+0-0-0</f>
        <v>996.28275399999995</v>
      </c>
      <c r="V343" s="3">
        <f>1598.2+(203.9-779.1)+(0+(0-0))+0-0-0</f>
        <v>1023</v>
      </c>
      <c r="W343" s="3">
        <f>1660.8+(174.8-740.7)+(-3.388032+(-0.356592--1.511028))+0-0-0</f>
        <v>1092.6664039999998</v>
      </c>
      <c r="X343" s="3">
        <f>1663.1+(183.4-619.8)+(-4.240905+(-0.46767--1.58049))+0-0-0</f>
        <v>1223.5719149999998</v>
      </c>
      <c r="Y343" s="3">
        <f>1663+(196.3-639.5)+(-2.54439+(-0.300339--0.978435))+0-0-0</f>
        <v>1217.933706</v>
      </c>
      <c r="Z343" s="3">
        <f>1662.6+(135.2-601.4)+(-0.847926+(-0.068952--0.306714))+0-0-0</f>
        <v>1195.7898359999999</v>
      </c>
      <c r="AA343" s="3">
        <f>1661.1+(154-668.4)+(-1.694322+(-0.15708--0.681768))+0-0-0</f>
        <v>1145.5303659999997</v>
      </c>
      <c r="AB343" s="3">
        <f>1623.9+(118.4-666.7)+(-4.140945+(-0.30192--1.700085))+0-0-0</f>
        <v>1072.8572199999999</v>
      </c>
      <c r="AC343" s="3">
        <f>1367.8+(84.7-459.9)+(-2.790312+(-0.172788--0.938196))+0-0-0</f>
        <v>990.57509599999992</v>
      </c>
      <c r="AD343">
        <f t="shared" si="5"/>
        <v>23383.267601</v>
      </c>
      <c r="AE343" s="3">
        <f>1664+(217.3-618.8)+(0+(0-0))+0-0-0</f>
        <v>1262.5</v>
      </c>
    </row>
    <row r="344" spans="1:31" s="2" customFormat="1" x14ac:dyDescent="0.25">
      <c r="A344">
        <v>89</v>
      </c>
      <c r="B344">
        <v>12</v>
      </c>
      <c r="C344">
        <v>8</v>
      </c>
      <c r="D344">
        <v>2</v>
      </c>
      <c r="E344">
        <v>1</v>
      </c>
      <c r="F344" s="3">
        <f>1112.9+(91.9-294)+(-0.567579+(-0.046869--0.14994))+0-0-0</f>
        <v>910.33549200000004</v>
      </c>
      <c r="G344" s="3">
        <f>1071.6+(99.7-303.9)+(0+(0-0))+0-0-0</f>
        <v>867.39999999999986</v>
      </c>
      <c r="H344" s="3">
        <f>1074+(83.6-317.3)+(-1.64322+(-0.127908--0.485469))+0-0-0</f>
        <v>839.01434099999994</v>
      </c>
      <c r="I344" s="3">
        <f>1074.9+(87.1-333.6)+(-1.644597+(-0.133263--0.510408))+0-0-0</f>
        <v>827.13254800000004</v>
      </c>
      <c r="J344" s="3">
        <f>1075.9+(120.4-366.9)+(-0.548709+(-0.061404--0.187119))+0-0-0</f>
        <v>828.97700600000007</v>
      </c>
      <c r="K344" s="3">
        <f>1076.7+(97.9-345.7)+(0.549117+(0.049929-0.176307))+0-0-0</f>
        <v>829.32273900000007</v>
      </c>
      <c r="L344" s="3">
        <f>1084.6+(123.5-348.7)+(-1.106292+(-0.12597--0.355674))+0-0-0</f>
        <v>858.52341199999989</v>
      </c>
      <c r="M344" s="3">
        <f>1223.6+(107-428.6)+(-0.624036+(-0.05457--0.218586))+0-0-0</f>
        <v>901.5399799999999</v>
      </c>
      <c r="N344" s="3">
        <f>1358.1+(102.7-473.4)+(-1.385262+(-0.104754--0.482868))+0-0-0</f>
        <v>986.39285199999983</v>
      </c>
      <c r="O344" s="3">
        <f>1531.4+(81.5-559.5)+(1.562028+(0.08313-0.57069))+0-0-0</f>
        <v>1054.4744680000001</v>
      </c>
      <c r="P344" s="3">
        <f>1620.9+(92.2-626.6)+(-3.306636+(-0.188088--1.278264))+0-0-0</f>
        <v>1084.2835399999999</v>
      </c>
      <c r="Q344" s="3">
        <f>1625.6+(113.9-644.8)+(-2.487168+(-0.174267--0.986544))+0-0-0</f>
        <v>1093.0251089999999</v>
      </c>
      <c r="R344" s="3">
        <f>1624.7+(90-625.9)+(-4.971582+(-0.2754--1.915254))+0-0-0</f>
        <v>1085.4682720000001</v>
      </c>
      <c r="S344" s="3">
        <f>1621.2+(55-604.4)+(-2.480436+(-0.08415--0.924732))+0-0-0</f>
        <v>1070.1601460000002</v>
      </c>
      <c r="T344" s="3">
        <f>1622.7+(66.9-631.9)+(-2.482731+(-0.102357--0.966807))+0-0-0</f>
        <v>1056.081719</v>
      </c>
      <c r="U344" s="3">
        <f>1625.2+(117.1-686.2)+(-1.657704+(-0.119442--0.699924))+0-0-0</f>
        <v>1055.022778</v>
      </c>
      <c r="V344" s="3">
        <f>1625.6+(109.5-644.7)+(-4.974336+(-0.33507--1.972782))+0-0-0</f>
        <v>1087.0633759999998</v>
      </c>
      <c r="W344" s="3">
        <f>1638.3+(86.9-584.2)+(-2.506599+(-0.132957--0.893826))+0-0-0</f>
        <v>1139.2542699999999</v>
      </c>
      <c r="X344" s="3">
        <f>1663.2+(72.7-491.5)+(-1.696464+(-0.074154--0.50133))+0-0-0</f>
        <v>1243.1307120000001</v>
      </c>
      <c r="Y344" s="3">
        <f>1662.9+(81.3-510.4)+(-5.088474+(-0.248778--1.561824))+0-0-0</f>
        <v>1230.0245720000003</v>
      </c>
      <c r="Z344" s="3">
        <f>1664.5+(138.5-606.2)+(-1.69779+(-0.14127--0.618324))+0-0-0</f>
        <v>1195.579264</v>
      </c>
      <c r="AA344" s="3">
        <f>1605.7+(186.5-634.1)+(-2.456721+(-0.285345--0.970173))+0-0-0</f>
        <v>1156.3281069999998</v>
      </c>
      <c r="AB344" s="3">
        <f>1427.4+(207.1-540.5)+(-3.63987+(-0.528105--1.378275))+0-0-0</f>
        <v>1091.2103</v>
      </c>
      <c r="AC344" s="3">
        <f>1016.7+(295.6-302)+(-2.592585+(-0.75378--0.7701))+0-0-0</f>
        <v>1007.723735</v>
      </c>
      <c r="AD344">
        <f t="shared" si="5"/>
        <v>24497.468738000003</v>
      </c>
      <c r="AE344" s="3">
        <f>1669+(105.2-489.9)+(0+(0-0))+0-0-0</f>
        <v>1284.3</v>
      </c>
    </row>
    <row r="345" spans="1:31" s="2" customFormat="1" x14ac:dyDescent="0.25">
      <c r="A345">
        <v>89</v>
      </c>
      <c r="B345">
        <v>12</v>
      </c>
      <c r="C345">
        <v>9</v>
      </c>
      <c r="D345">
        <v>3</v>
      </c>
      <c r="E345">
        <v>1</v>
      </c>
      <c r="F345" s="3">
        <f>974.3+(280.5-330.7)+(0+(0-0))+0-0-0</f>
        <v>924.09999999999991</v>
      </c>
      <c r="G345" s="3">
        <f>974.2+(248.1-343.6)+(0+(0-0))+0-0-0</f>
        <v>878.7</v>
      </c>
      <c r="H345" s="3">
        <f>974.8+(234.4-354.4)+(0+(0-0))+0-0-0</f>
        <v>854.8</v>
      </c>
      <c r="I345" s="3">
        <f>974.2+(227.6-360.1)+(0+(0-0))+0-0-0</f>
        <v>841.7</v>
      </c>
      <c r="J345" s="3">
        <f>974.7+(193.4-343.6)+(0+(0-0))+0-0-0</f>
        <v>824.5</v>
      </c>
      <c r="K345" s="3">
        <f>975.2+(237.5-378.9)+(0+(0-0))+0-0-0</f>
        <v>833.80000000000007</v>
      </c>
      <c r="L345" s="3">
        <f>980.7+(272.5-399)+(0+(0-0))+0-0-0</f>
        <v>854.2</v>
      </c>
      <c r="M345" s="3">
        <f>1265+(181.8-526.5)+(0+(0-0))+0-0-0</f>
        <v>920.3</v>
      </c>
      <c r="N345" s="3">
        <f>1571.3+(103.3-648.5)+(0+(0-0))+0-0-0</f>
        <v>1026.0999999999999</v>
      </c>
      <c r="O345" s="3">
        <f>1639.3+(99.8-655)+(0+(0-0))+0-0-0</f>
        <v>1084.0999999999999</v>
      </c>
      <c r="P345" s="3">
        <f>1627.3+(110.6-628.6)+(-1.659846+(-0.112812--0.641172))+0-0-0</f>
        <v>1108.168514</v>
      </c>
      <c r="Q345" s="3">
        <f>1627.9+(118.1-628.2)+(-2.490687+(-0.180693--0.961146))+0-0-0</f>
        <v>1116.0897660000003</v>
      </c>
      <c r="R345" s="3">
        <f>1636.3+(134.7-665)+(-3.338052+(-0.274788--1.3566))+0-0-0</f>
        <v>1103.7437600000001</v>
      </c>
      <c r="S345" s="3">
        <f>1641.5+(135.1-690.7)+(-3.34866+(-0.275604--1.409028))+0-0-0</f>
        <v>1083.6847640000001</v>
      </c>
      <c r="T345" s="3">
        <f>1640.3+(133.2-704.7)+(-0.836553+(-0.067932--0.359397))+0-0-0</f>
        <v>1068.2549119999999</v>
      </c>
      <c r="U345" s="3">
        <f>1638.3+(133-703.9)+(0+(0-0))+0-0-0</f>
        <v>1067.4000000000001</v>
      </c>
      <c r="V345" s="3">
        <f>1638.5+(105.3-661.2)+(-5.01381+(-0.322218--2.023272))+0-0-0</f>
        <v>1079.2872439999999</v>
      </c>
      <c r="W345" s="3">
        <f>1650+(106.1-599.2)+(-4.2075+(-0.270555--1.52796))+0-0-0</f>
        <v>1153.9499050000002</v>
      </c>
      <c r="X345" s="3">
        <f>1664.6+(129.7-520.8)+(-3.395784+(-0.264588--1.062432))+0-0-0</f>
        <v>1270.9020599999999</v>
      </c>
      <c r="Y345" s="3">
        <f>1649+(117.3-500.1)+(-2.52297+(-0.179469--0.765153))+0-0-0</f>
        <v>1264.262714</v>
      </c>
      <c r="Z345" s="3">
        <f>1520.9+(144.6-439.4)+(-4.653954+(-0.442476--1.344564))+0-0-0</f>
        <v>1222.3481340000001</v>
      </c>
      <c r="AA345" s="3">
        <f>1392.2+(151.7-372)+(-0.710022+(-0.077367--0.18972))+0-0-0</f>
        <v>1171.3023310000001</v>
      </c>
      <c r="AB345" s="3">
        <f>1338.1+(172.7-407.3)+(-2.729724+(-0.352308--0.830892))+0-0-0</f>
        <v>1101.2488599999999</v>
      </c>
      <c r="AC345" s="3">
        <f>1122.3+(217-319.6)+(-4.006611+(-0.77469--1.140972))+0-0-0</f>
        <v>1016.059671</v>
      </c>
      <c r="AD345">
        <f t="shared" si="5"/>
        <v>24869.002635000001</v>
      </c>
      <c r="AE345" s="3">
        <f>1665+(125.5-514.2)+(0+(0-0))+0-0-0</f>
        <v>1276.3</v>
      </c>
    </row>
    <row r="346" spans="1:31" s="2" customFormat="1" x14ac:dyDescent="0.25">
      <c r="A346">
        <v>89</v>
      </c>
      <c r="B346">
        <v>12</v>
      </c>
      <c r="C346">
        <v>10</v>
      </c>
      <c r="D346">
        <v>4</v>
      </c>
      <c r="E346">
        <v>1</v>
      </c>
      <c r="F346" s="3">
        <f>1079.9+(177.1-320)+(-2.202996+(-0.361284--0.6528))+0-0-0</f>
        <v>935.08852000000013</v>
      </c>
      <c r="G346" s="3">
        <f>1079.4+(162-345)+(-1.651482+(-0.24786--0.52785))+0-0-0</f>
        <v>895.0285080000001</v>
      </c>
      <c r="H346" s="3">
        <f>1079.7+(182.4-393.2)+(-2.202588+(-0.372096--0.802128))+0-0-0</f>
        <v>867.12744400000008</v>
      </c>
      <c r="I346" s="3">
        <f>1080+(178.9-397.5)+(-2.754+(-0.456195--1.013625))+0-0-0</f>
        <v>859.20343000000003</v>
      </c>
      <c r="J346" s="3">
        <f>1080.4+(203.7-421.8)+(0+(0-0))+0-0-0</f>
        <v>862.30000000000007</v>
      </c>
      <c r="K346" s="3">
        <f>1080.1+(165.8-390.8)+(-1.652553+(-0.253674--0.597924))+0-0-0</f>
        <v>853.79169699999989</v>
      </c>
      <c r="L346" s="3">
        <f>1080.5+(153.2-357.8)+(-1.653165+(-0.234396--0.547434))+0-0-0</f>
        <v>874.55987299999993</v>
      </c>
      <c r="M346" s="3">
        <f>1089.7+(180-352.6)+(0+(0-0))+0-0-0</f>
        <v>917.1</v>
      </c>
      <c r="N346" s="3">
        <f>1297.4+(190.9-474.1)+(0.661674+(0.097359-0.241791))+0-0-0</f>
        <v>1014.7172420000001</v>
      </c>
      <c r="O346" s="3">
        <f>1524.7+(159.6-603.2)+(-0.777597+(-0.081396--0.307632))+0-0-0</f>
        <v>1080.5486389999999</v>
      </c>
      <c r="P346" s="3">
        <f>1570.8+(146.3-615.3)+(0+(0-0))+0-0-0</f>
        <v>1101.8</v>
      </c>
      <c r="Q346" s="3">
        <f>1653.6+(154.7-673.5)+(-1.686672+(-0.157794--0.68697))+0-0-0</f>
        <v>1133.6425039999999</v>
      </c>
      <c r="R346" s="3">
        <f>1653.2+(119.9-671)+(-4.21566+(-0.305745--1.71105))+0-0-0</f>
        <v>1099.2896449999998</v>
      </c>
      <c r="S346" s="3">
        <f>1652.6+(127-679.5)+(0.842826+(0.06477-0.346545))+0-0-0</f>
        <v>1100.6610509999998</v>
      </c>
      <c r="T346" s="3">
        <f>1652.5+(141-716.7)+(-1.68555+(-0.14382--0.731034))+0-0-0</f>
        <v>1075.7016639999999</v>
      </c>
      <c r="U346" s="3">
        <f>1652.4+(161-726.5)+(0+(0-0))+0-0-0</f>
        <v>1086.9000000000001</v>
      </c>
      <c r="V346" s="3">
        <f>1652.7+(135-708.4)+(-1.685754+(-0.1377--0.722568))+0-0-0</f>
        <v>1078.1991140000002</v>
      </c>
      <c r="W346" s="3">
        <f>1654.2+(148.2-639.1)+(-1.687284+(-0.151164--0.651882))+0-0-0</f>
        <v>1162.1134339999999</v>
      </c>
      <c r="X346" s="3">
        <f>1663.2+(162.2-543.5)+(-2.544696+(-0.248166--0.831555))+0-0-0</f>
        <v>1279.9386930000001</v>
      </c>
      <c r="Y346" s="3">
        <f>1666.9+(172.4-545.5)+(-2.550357+(-0.263772--0.834615))+0-0-0</f>
        <v>1291.8204860000001</v>
      </c>
      <c r="Z346" s="3">
        <f>1666.6+(149.1-580)+(-1.699932+(-0.152082--0.5916))+0-0-0</f>
        <v>1234.4395859999997</v>
      </c>
      <c r="AA346" s="3">
        <f>1656.2+(143.4-602.7)+(-3.378648+(-0.292536--1.229508))+0-0-0</f>
        <v>1194.4583240000002</v>
      </c>
      <c r="AB346" s="3">
        <f>1642.7+(142.6-658.1)+(-5.026662+(-0.436356--2.013786))+0-0-0</f>
        <v>1123.7507680000001</v>
      </c>
      <c r="AC346" s="3">
        <f>1392.3+(200.4-530.6)+(-1.420146+(-0.204408--0.541212))+0-0-0</f>
        <v>1061.016658</v>
      </c>
      <c r="AD346">
        <f t="shared" si="5"/>
        <v>25183.19728</v>
      </c>
      <c r="AE346" s="3">
        <f>1674+(159.6-525.5)+(0+(0-0))+0-0-0</f>
        <v>1308.0999999999999</v>
      </c>
    </row>
    <row r="347" spans="1:31" s="2" customFormat="1" x14ac:dyDescent="0.25">
      <c r="A347">
        <v>89</v>
      </c>
      <c r="B347">
        <v>12</v>
      </c>
      <c r="C347">
        <v>11</v>
      </c>
      <c r="D347">
        <v>5</v>
      </c>
      <c r="E347">
        <v>1</v>
      </c>
      <c r="F347" s="3">
        <f>891+(269.4-230.9)+(-1.81764+(-0.549576--0.471036))+0-0-0</f>
        <v>927.60382000000004</v>
      </c>
      <c r="G347" s="3">
        <f>778.7+(241.8-156.9)+(-1.588548+(-0.493272--0.320076))+0-0-0</f>
        <v>861.838256</v>
      </c>
      <c r="H347" s="3">
        <f>813.2+(247.9-196.4)+(-0.829464+(-0.252858--0.200328))+0-0-0</f>
        <v>863.81800600000008</v>
      </c>
      <c r="I347" s="3">
        <f>821.9+(237.6-210.9)+(-0.838338+(-0.242352--0.215118))+0-0-0</f>
        <v>847.73442799999987</v>
      </c>
      <c r="J347" s="3">
        <f>821.8+(225.4-207.4)+(1.257354+(0.344862-0.317322))+0-0-0</f>
        <v>841.08489399999996</v>
      </c>
      <c r="K347" s="3">
        <f>897.4+(185.1-238.3)+(-0.915348+(-0.188802--0.243066))+0-0-0</f>
        <v>843.33891599999993</v>
      </c>
      <c r="L347" s="3">
        <f>1062.4+(153.5-350)+(0+(0-0))+0-0-0</f>
        <v>865.90000000000009</v>
      </c>
      <c r="M347" s="3">
        <f>1216.7+(128.2-431.2)+(0.620517+(0.065382-0.219912))+0-0-0</f>
        <v>914.16598700000009</v>
      </c>
      <c r="N347" s="3">
        <f>1368.2+(211.6-562.1)+(-0.697782+(-0.107916--0.286671))+0-0-0</f>
        <v>1017.180973</v>
      </c>
      <c r="O347" s="3">
        <f>1587.7+(157.6-672)+(1.619454+(0.160752-0.68544))+0-0-0</f>
        <v>1074.3947660000001</v>
      </c>
      <c r="P347" s="3">
        <f>1641.2+(181.7-719)+(-0.837012+(-0.092667--0.36669))+0-0-0</f>
        <v>1103.3370110000001</v>
      </c>
      <c r="Q347" s="3">
        <f>1653.8+(125-685.1)+(-1.686876+(-0.1275--0.698802))+0-0-0</f>
        <v>1092.5844259999999</v>
      </c>
      <c r="R347" s="3">
        <f>1640.9+(152.6-677.7)+(-1.673718+(-0.155652--0.691254))+0-0-0</f>
        <v>1114.6618840000001</v>
      </c>
      <c r="S347" s="3">
        <f>1641.1+(122.4-664)+(-0.836961+(-0.062424--0.33864))+0-0-0</f>
        <v>1098.939255</v>
      </c>
      <c r="T347" s="3">
        <f>1641.1+(130.1-689.9)+(-1.673922+(-0.132702--0.703698))+0-0-0</f>
        <v>1080.1970739999999</v>
      </c>
      <c r="U347" s="3">
        <f>1641.1+(154.5-718.3)+(1.673922+(0.15759-0.732666))+0-0-0</f>
        <v>1078.398846</v>
      </c>
      <c r="V347" s="3">
        <f>1640.5+(174.2-695.5)+(-3.34662+(-0.355368--1.41882))+0-0-0</f>
        <v>1116.9168320000001</v>
      </c>
      <c r="W347" s="3">
        <f>1644+(116-611.2)+(-3.35376+(-0.23664--1.246848))+0-0-0</f>
        <v>1146.4564479999999</v>
      </c>
      <c r="X347" s="3">
        <f>1661.5+(148.7-527.5)+(-3.38946+(-0.303348--1.0761))+0-0-0</f>
        <v>1280.083292</v>
      </c>
      <c r="Y347" s="3">
        <f>1662.9+(172.1-558.1)+(-4.240395+(-0.438855--1.423155))+0-0-0</f>
        <v>1273.6439050000001</v>
      </c>
      <c r="Z347" s="3">
        <f>1659.7+(163.3-581.6)+(-5.078682+(-0.499698--1.779696))+0-0-0</f>
        <v>1237.601316</v>
      </c>
      <c r="AA347" s="3">
        <f>1575.7+(161.4-543.1)+(-0.803607+(-0.082314--0.276981))+0-0-0</f>
        <v>1193.3910599999999</v>
      </c>
      <c r="AB347" s="3">
        <f>1571.7+(152.5-579.4)+(-3.206268+(-0.3111--1.181976))+0-0-0</f>
        <v>1142.4646080000002</v>
      </c>
      <c r="AC347" s="3">
        <f>1494.9+(172-598.5)+(-3.811995+(-0.4386--1.526175))+0-0-0</f>
        <v>1065.6755800000001</v>
      </c>
      <c r="AD347">
        <f t="shared" si="5"/>
        <v>25081.411583000005</v>
      </c>
      <c r="AE347" s="3">
        <f>1659+(166.6-530.6)+(0+(0-0))+0-0-0</f>
        <v>1295</v>
      </c>
    </row>
    <row r="348" spans="1:31" s="2" customFormat="1" x14ac:dyDescent="0.25">
      <c r="A348">
        <v>89</v>
      </c>
      <c r="B348">
        <v>12</v>
      </c>
      <c r="C348">
        <v>12</v>
      </c>
      <c r="D348">
        <v>6</v>
      </c>
      <c r="E348">
        <v>1</v>
      </c>
      <c r="F348" s="3">
        <f>1118.4+(192.4-359.4)+(-2.85192+(-0.49062--0.91647))+0-0-0</f>
        <v>948.97393000000011</v>
      </c>
      <c r="G348" s="3">
        <f>1078.3+(177.2-353.7)+(-1.649799+(-0.271116--0.541161))+0-0-0</f>
        <v>900.42024599999991</v>
      </c>
      <c r="H348" s="3">
        <f>1078+(177.9-385)+(-0.54978+(-0.090729--0.19635))+0-0-0</f>
        <v>870.45584099999996</v>
      </c>
      <c r="I348" s="3">
        <f>1077.9+(183-403.3)+(-2.748645+(-0.46665--1.028415))+0-0-0</f>
        <v>855.41312000000016</v>
      </c>
      <c r="J348" s="3">
        <f>1000.5+(207.2-349.1)+(2.551275+(0.52836-0.890205))+0-0-0</f>
        <v>860.78942999999992</v>
      </c>
      <c r="K348" s="3">
        <f>983.7+(209.4-328.8)+(1.003374+(0.213588-0.335376))+0-0-0</f>
        <v>865.18158600000004</v>
      </c>
      <c r="L348" s="3">
        <f>1042.2+(199.6-360.1)+(-0.531522+(-0.101796--0.183651))+0-0-0</f>
        <v>881.25033300000007</v>
      </c>
      <c r="M348" s="3">
        <f>1299.5+(145.8-539.5)+(0.662745+(0.074358-0.275145))+0-0-0</f>
        <v>906.26195799999994</v>
      </c>
      <c r="N348" s="3">
        <f>1642.3+(195.5-833.3)+(1.675146+(0.19941-0.849966))+0-0-0</f>
        <v>1005.52459</v>
      </c>
      <c r="O348" s="3">
        <f>1641.5+(215.4-781)+(0+(0-0))+0-0-0</f>
        <v>1075.9000000000001</v>
      </c>
      <c r="P348" s="3">
        <f>1496.5+(239.1-568.2)+(1.52643+(0.243882-0.579564))+0-0-0</f>
        <v>1168.5907480000001</v>
      </c>
      <c r="Q348" s="3">
        <f>1320.4+(274.4-509.2)+(0.673404+(0.139944-0.259692))+0-0-0</f>
        <v>1086.1536560000002</v>
      </c>
      <c r="R348" s="3">
        <f>1316.8+(254.9-526.6)+(-1.343136+(-0.259998--0.537132))+0-0-0</f>
        <v>1044.0339979999999</v>
      </c>
      <c r="S348" s="3">
        <f>1316.6+(235.7-535.3)+(-4.028796+(-0.721242--1.638018))+0-0-0</f>
        <v>1013.88798</v>
      </c>
      <c r="T348" s="3">
        <f>1316.8+(257.2-573)+(-2.686272+(-0.524688--1.16892))+0-0-0</f>
        <v>998.95795999999996</v>
      </c>
      <c r="U348" s="3">
        <f>1317.1+(206.4-537.8)+(0+(0-0))+0-0-0</f>
        <v>985.69999999999993</v>
      </c>
      <c r="V348" s="3">
        <f>1316.5+(188.8-502.2)+(-1.34283+(-0.192576--0.512244))+0-0-0</f>
        <v>1002.0768380000001</v>
      </c>
      <c r="W348" s="3">
        <f>1317+(154.6-437.8)+(0.67167+(0.078846-0.223278))+0-0-0</f>
        <v>1034.3272379999999</v>
      </c>
      <c r="X348" s="3">
        <f>1581+(126.6-526.5)+(-0.80631+(-0.064566--0.268515))+0-0-0</f>
        <v>1180.4976389999999</v>
      </c>
      <c r="Y348" s="3">
        <f>1662.8+(122.5-572.4)+(-5.088168+(-0.37485--1.751544))+0-0-0</f>
        <v>1209.1885260000001</v>
      </c>
      <c r="Z348" s="3">
        <f>1664.6+(82.2-586.7)+(-1.697892+(-0.083844--0.598434))+0-0-0</f>
        <v>1158.916698</v>
      </c>
      <c r="AA348" s="3">
        <f>1660.3+(88.5-612.6)+(-2.540259+(-0.135405--0.937278))+0-0-0</f>
        <v>1134.4616139999998</v>
      </c>
      <c r="AB348" s="3">
        <f>1651.3+(87.3-638.1)+(-4.210815+(-0.222615--1.627155))+0-0-0</f>
        <v>1097.6937250000001</v>
      </c>
      <c r="AC348" s="3">
        <f>1559.9+(104.7-633.2)+(-3.977745+(-0.266985--1.61466))+0-0-0</f>
        <v>1028.7699300000002</v>
      </c>
      <c r="AD348">
        <f t="shared" si="5"/>
        <v>24313.427584000001</v>
      </c>
      <c r="AE348" s="3">
        <f>1667+(146.3-560.7)+(0+(0-0))+0-0-0</f>
        <v>1252.5999999999999</v>
      </c>
    </row>
    <row r="349" spans="1:31" s="2" customFormat="1" x14ac:dyDescent="0.25">
      <c r="A349">
        <v>89</v>
      </c>
      <c r="B349">
        <v>12</v>
      </c>
      <c r="C349">
        <v>13</v>
      </c>
      <c r="D349">
        <v>7</v>
      </c>
      <c r="E349">
        <v>1</v>
      </c>
      <c r="F349" s="3">
        <f>1330.2+(159.4-515.3)+(-3.39201+(-0.40647--1.314015))+0-0-0</f>
        <v>971.81553500000007</v>
      </c>
      <c r="G349" s="3">
        <f>1076.4+(192.3-372.5)+(-1.646892+(-0.294219--0.569925))+0-0-0</f>
        <v>894.82881400000008</v>
      </c>
      <c r="H349" s="3">
        <f>881.1+(222.7-254.7)+(-1.797444+(-0.454308--0.519588))+0-0-0</f>
        <v>847.36783600000001</v>
      </c>
      <c r="I349" s="3">
        <f>840.2+(264-270.7)+(1.285506+(0.40392-0.414171))+0-0-0</f>
        <v>834.77525500000002</v>
      </c>
      <c r="J349" s="3">
        <f>839.7+(259.8-270.2)+(0.428247+(0.132498-0.137802))+0-0-0</f>
        <v>829.7229430000001</v>
      </c>
      <c r="K349" s="3">
        <f>839.3+(243.9-260.2)+(0.856086+(0.248778-0.265404))+0-0-0</f>
        <v>823.83946000000003</v>
      </c>
      <c r="L349" s="3">
        <f>792.7+(215.5-233.4)+(-1.617108+(-0.43962--0.476136))+0-0-0</f>
        <v>773.21940800000004</v>
      </c>
      <c r="M349" s="3">
        <f>742.8+(226.4-223.6)+(0.378828+(0.115464-0.114036))+0-0-0</f>
        <v>745.98025599999994</v>
      </c>
      <c r="N349" s="3">
        <f>836.5+(267.1-278.6)+(0+(0-0))+0-0-0</f>
        <v>825</v>
      </c>
      <c r="O349" s="3">
        <f>939.8+(235.4-299.8)+(0+(0-0))+0-0-0</f>
        <v>875.4</v>
      </c>
      <c r="P349" s="3">
        <f>1044.2+(224.3-350.2)+(0.532542+(0.114393-0.178602))+0-0-0</f>
        <v>918.7683330000001</v>
      </c>
      <c r="Q349" s="3">
        <f>1121.8+(240-445.3)+(0+(0-0))+0-0-0</f>
        <v>916.5</v>
      </c>
      <c r="R349" s="3">
        <f>1145.3+(246.9-499.7)+(0+(0-0))+0-0-0</f>
        <v>892.5</v>
      </c>
      <c r="S349" s="3">
        <f>1144.9+(239.8-508.3)+(0+(0-0))+0-0-0</f>
        <v>876.40000000000009</v>
      </c>
      <c r="T349" s="3">
        <f>1142.7+(225-507.8)+(0+(0-0))+0-0-0</f>
        <v>859.90000000000009</v>
      </c>
      <c r="U349" s="3">
        <f>1143.2+(219.5-499.3)+(0+(0-0))+0-0-0</f>
        <v>863.40000000000009</v>
      </c>
      <c r="V349" s="3">
        <f>1143.1+(207.6-453.7)+(0+(0-0))+0-0-0</f>
        <v>896.99999999999989</v>
      </c>
      <c r="W349" s="3">
        <f>1193.5+(204.8-433.6)+(0+(0-0))+0-0-0</f>
        <v>964.7</v>
      </c>
      <c r="X349" s="3">
        <f>1235.1+(244.9-339)+(0+(0-0))+0-0-0</f>
        <v>1141</v>
      </c>
      <c r="Y349" s="3">
        <f>1235.5+(227-314.6)+(0+(0-0))+0-0-0</f>
        <v>1147.9000000000001</v>
      </c>
      <c r="Z349" s="3">
        <f>1225.9+(219.5-309.4)+(0+(0-0))+0-0-0</f>
        <v>1136</v>
      </c>
      <c r="AA349" s="3">
        <f>1140.4+(247.7-289.4)+(0+(0-0))+0-0-0</f>
        <v>1098.7</v>
      </c>
      <c r="AB349" s="3">
        <f>1208.9+(218.3-386.7)+(0+(0-0))+0-0-0</f>
        <v>1040.5</v>
      </c>
      <c r="AC349" s="3">
        <f>964.8+(280.8-270.1)+(0+(0-0))+0-0-0</f>
        <v>975.5</v>
      </c>
      <c r="AD349">
        <f t="shared" si="5"/>
        <v>22150.717840000001</v>
      </c>
      <c r="AE349" s="3">
        <f>1237+(252.5-325)+(0+(0-0))+0-0-0</f>
        <v>1164.5</v>
      </c>
    </row>
    <row r="350" spans="1:31" s="2" customFormat="1" x14ac:dyDescent="0.25">
      <c r="A350">
        <v>89</v>
      </c>
      <c r="B350">
        <v>12</v>
      </c>
      <c r="C350">
        <v>14</v>
      </c>
      <c r="D350">
        <v>1</v>
      </c>
      <c r="E350">
        <v>1</v>
      </c>
      <c r="F350" s="3">
        <f>741.9+(292-166)+(-1.135107+(-0.44676--0.25398))+0-0-0</f>
        <v>866.57211299999994</v>
      </c>
      <c r="G350" s="3">
        <f>741.8+(280.8-194.1)+(1.134954+(0.429624-0.296973))+0-0-0</f>
        <v>829.767605</v>
      </c>
      <c r="H350" s="3">
        <f>741.3+(258.6-210.8)+(0+(0-0))+0-0-0</f>
        <v>789.09999999999991</v>
      </c>
      <c r="I350" s="3">
        <f>741.3+(265.9-215.4)+(1.890315+(0.678045-0.54927))+0-0-0</f>
        <v>793.81908999999996</v>
      </c>
      <c r="J350" s="3">
        <f>741+(260.6-212.4)+(2.26746+(0.797436-0.649944))+0-0-0</f>
        <v>791.61495200000002</v>
      </c>
      <c r="K350" s="3">
        <f>864.8+(261.5-327.8)+(0+(0-0))+0-0-0</f>
        <v>798.5</v>
      </c>
      <c r="L350" s="3">
        <f>951.7+(293.9-420.2)+(0+(0-0))+0-0-0</f>
        <v>825.40000000000009</v>
      </c>
      <c r="M350" s="3">
        <f>1100.3+(306.2-528.1)+(0+(0-0))+0-0-0</f>
        <v>878.39999999999986</v>
      </c>
      <c r="N350" s="3">
        <f>1224.7+(367-613.3)+(0+(0-0))+0-0-0</f>
        <v>978.40000000000009</v>
      </c>
      <c r="O350" s="3">
        <f>1295.4+(310.7-590.9)+(0+(0-0))+0-0-0</f>
        <v>1015.2</v>
      </c>
      <c r="P350" s="3">
        <f>1381.2+(326.6-653.7)+(0+(0-0))+0-0-0</f>
        <v>1054.0999999999999</v>
      </c>
      <c r="Q350" s="3">
        <f>1509.7+(272.1-710.7)+(0+(0-0))+0-0-0</f>
        <v>1071.0999999999999</v>
      </c>
      <c r="R350" s="3">
        <f>1539.4+(271.4-762.4)+(0+(0-0))+0-0-0</f>
        <v>1048.4000000000001</v>
      </c>
      <c r="S350" s="3">
        <f>1539.6+(314.8-815.6)+(0+(0-0))+0-0-0</f>
        <v>1038.8</v>
      </c>
      <c r="T350" s="3">
        <f>1539.8+(339.8-863.2)+(0+(0-0))+0-0-0</f>
        <v>1016.3999999999999</v>
      </c>
      <c r="U350" s="3">
        <f>1602.9+(318.9-898.5)+(0+(0-0))+0-0-0</f>
        <v>1023.3000000000001</v>
      </c>
      <c r="V350" s="3">
        <f>1605.7+(284.5-845.4)+(0+(0-0))+0-0-0</f>
        <v>1044.8000000000002</v>
      </c>
      <c r="W350" s="3">
        <f>1619.7+(215.3-715.7)+(0+(0-0))+0-0-0</f>
        <v>1119.3</v>
      </c>
      <c r="X350" s="3">
        <f>1684.3+(196.7-626)+(0+(0-0))+0-0-0</f>
        <v>1255</v>
      </c>
      <c r="Y350" s="3">
        <f>1718.7+(182.5-644.8)+(0+(0-0))+0-0-0</f>
        <v>1256.4000000000001</v>
      </c>
      <c r="Z350" s="3">
        <f>1605.2+(194.3-587)+(0+(0-0))+0-0-0</f>
        <v>1212.5</v>
      </c>
      <c r="AA350" s="3">
        <f>1440.9+(273.7-540.2)+(0+(0-0))+0-0-0</f>
        <v>1174.4000000000001</v>
      </c>
      <c r="AB350" s="3">
        <f>1404.8+(332.3-636.4)+(0+(0-0))+0-0-0</f>
        <v>1100.7</v>
      </c>
      <c r="AC350" s="3">
        <f>1251.1+(344.1-591.3)+(0+(0-0))+0-0-0</f>
        <v>1003.9</v>
      </c>
      <c r="AD350">
        <f t="shared" si="5"/>
        <v>23985.873760000002</v>
      </c>
      <c r="AE350" s="3">
        <f>1719+(188-626.9)+(0+(0-0))+0-0-0</f>
        <v>1280.0999999999999</v>
      </c>
    </row>
    <row r="351" spans="1:31" s="2" customFormat="1" x14ac:dyDescent="0.25">
      <c r="A351">
        <v>89</v>
      </c>
      <c r="B351">
        <v>12</v>
      </c>
      <c r="C351">
        <v>15</v>
      </c>
      <c r="D351">
        <v>2</v>
      </c>
      <c r="E351">
        <v>1</v>
      </c>
      <c r="F351" s="3">
        <f>879.5+(360.6-378)+(0+(0-0))+0-0-0</f>
        <v>862.1</v>
      </c>
      <c r="G351" s="3">
        <f>843.7+(337.6-351.1)+(0+(0-0))+0-0-0</f>
        <v>830.2</v>
      </c>
      <c r="H351" s="3">
        <f>843.9+(350.3-393.7)+(0+(0-0))+0-0-0</f>
        <v>800.5</v>
      </c>
      <c r="I351" s="3">
        <f>843.5+(348-385.2)+(0+(0-0))+0-0-0</f>
        <v>806.3</v>
      </c>
      <c r="J351" s="3">
        <f>844.6+(314.2-383.4)+(0+(0-0))+0-0-0</f>
        <v>775.40000000000009</v>
      </c>
      <c r="K351" s="3">
        <f>845.3+(327.1-358.4)+(0+(0-0))+0-0-0</f>
        <v>814</v>
      </c>
      <c r="L351" s="3">
        <f>901.3+(315.5-387.8)+(0+(0-0))+0-0-0</f>
        <v>829</v>
      </c>
      <c r="M351" s="3">
        <f>962.9+(336.5-415)+(0+(0-0))+0-0-0</f>
        <v>884.4</v>
      </c>
      <c r="N351" s="3">
        <f>1255.5+(342.8-644.1)+(0+(0-0))+0-0-0</f>
        <v>954.2</v>
      </c>
      <c r="O351" s="3">
        <f>1379.9+(324.1-706.6)+(0+(0-0))+0-0-0</f>
        <v>997.40000000000009</v>
      </c>
      <c r="P351" s="3">
        <f>1438.6+(297.3-718.4)+(0+(0-0))+0-0-0</f>
        <v>1017.5</v>
      </c>
      <c r="Q351" s="3">
        <f>1531.7+(298.8-790.8)+(0+(0-0))+0-0-0</f>
        <v>1039.7</v>
      </c>
      <c r="R351" s="3">
        <f>1525.6+(302.7-836.9)+(-3.112224+(-0.617508--1.707276))+0-0-0</f>
        <v>989.37754399999983</v>
      </c>
      <c r="S351" s="3">
        <f>1520.4+(240.2-786.4)+(-0.775404+(-0.122502--0.401064))+0-0-0</f>
        <v>973.70315800000003</v>
      </c>
      <c r="T351" s="3">
        <f>1518.3+(217.8-783.9)+(-2.322999+(-0.333234--1.199367))+0-0-0</f>
        <v>950.74313400000005</v>
      </c>
      <c r="U351" s="3">
        <f>1516+(184.4-760.3)+(-1.54632+(-0.188088--0.775506))+0-0-0</f>
        <v>939.14109800000006</v>
      </c>
      <c r="V351" s="3">
        <f>1516.2+(245.3-793.4)+(-1.546524+(-0.250206--0.809268))+0-0-0</f>
        <v>967.11253800000009</v>
      </c>
      <c r="W351" s="3">
        <f>1612.3+(226.4-844)+(-4.933638+(-0.692784--2.58264))+0-0-0</f>
        <v>991.65621799999997</v>
      </c>
      <c r="X351" s="3">
        <f>1697.6+(163.5-679.3)+(-1.731552+(-0.16677--0.692886))+0-0-0</f>
        <v>1180.594564</v>
      </c>
      <c r="Y351" s="3">
        <f>1705.5+(172-657.6)+(-4.349025+(-0.4386--1.67688))+0-0-0</f>
        <v>1216.7892550000001</v>
      </c>
      <c r="Z351" s="3">
        <f>1705.8+(195.5-719.8)+(-4.34979+(-0.498525--1.83549))+0-0-0</f>
        <v>1178.487175</v>
      </c>
      <c r="AA351" s="3">
        <f>1707.6+(173.6-731.3)+(-2.612628+(-0.265608--1.118889))+0-0-0</f>
        <v>1148.1406530000002</v>
      </c>
      <c r="AB351" s="3">
        <f>1500.3+(159.3-573.4)+(-0.765153+(-0.081243--0.292434))+0-0-0</f>
        <v>1085.6460380000001</v>
      </c>
      <c r="AC351" s="3">
        <f>1166.1+(200.9-380.7)+(-2.973555+(-0.512295--0.970785))+0-0-0</f>
        <v>983.7849349999999</v>
      </c>
      <c r="AD351">
        <f t="shared" si="5"/>
        <v>23215.876309999992</v>
      </c>
      <c r="AE351" s="3">
        <f>1700+(203.6-661)+(0+(0-0))+0-0-0</f>
        <v>1242.5999999999999</v>
      </c>
    </row>
    <row r="352" spans="1:31" s="2" customFormat="1" x14ac:dyDescent="0.25">
      <c r="A352">
        <v>89</v>
      </c>
      <c r="B352">
        <v>12</v>
      </c>
      <c r="C352">
        <v>16</v>
      </c>
      <c r="D352">
        <v>3</v>
      </c>
      <c r="E352">
        <v>1</v>
      </c>
      <c r="F352" s="3">
        <f>1004+(224.9-323.7)+(-1.53612+(-0.344097--0.495261))+0-0-0</f>
        <v>903.81504400000006</v>
      </c>
      <c r="G352" s="3">
        <f>996.9+(190.8-327.5)+(-2.033676+(-0.389232--0.6681))+0-0-0</f>
        <v>858.44519200000002</v>
      </c>
      <c r="H352" s="3">
        <f>989.1+(235.1-392.7)+(0.504441+(0.119901-0.200277))+0-0-0</f>
        <v>831.92406500000004</v>
      </c>
      <c r="I352" s="3">
        <f>990.5+(254.9-427.3)+(0.505155+(0.129999-0.217923))+0-0-0</f>
        <v>818.51723100000004</v>
      </c>
      <c r="J352" s="3">
        <f>989.4+(224.8-397.5)+(-1.009188+(-0.229296--0.40545))+0-0-0</f>
        <v>815.86696600000005</v>
      </c>
      <c r="K352" s="3">
        <f>986.7+(242-417.3)+(2.516085+(0.6171-1.064115))+0-0-0</f>
        <v>813.4690700000001</v>
      </c>
      <c r="L352" s="3">
        <f>1036.9+(301-517.5)+(0+(0-0))+0-0-0</f>
        <v>820.40000000000009</v>
      </c>
      <c r="M352" s="3">
        <f>1226.8+(267.5-622.9)+(0+(0-0))+0-0-0</f>
        <v>871.4</v>
      </c>
      <c r="N352" s="3">
        <f>1344.5+(251.8-627.7)+(0+(0-0))+0-0-0</f>
        <v>968.59999999999991</v>
      </c>
      <c r="O352" s="3">
        <f>1349.2+(255.7-563.5)+(0+(0-0))+0-0-0</f>
        <v>1041.4000000000001</v>
      </c>
      <c r="P352" s="3">
        <f>1346.1+(259.9-556)+(0+(0-0))+0-0-0</f>
        <v>1050</v>
      </c>
      <c r="Q352" s="3">
        <f>1345.2+(274.4-590)+(0+(0-0))+0-0-0</f>
        <v>1029.5999999999999</v>
      </c>
      <c r="R352" s="3">
        <f>1340.9+(276.8-636.9)+(0+(0-0))+0-0-0</f>
        <v>980.80000000000018</v>
      </c>
      <c r="S352" s="3">
        <f>1332.5+(257.7-629.6)+(-0.679575+(-0.131427--0.321096))+0-0-0</f>
        <v>960.11009399999989</v>
      </c>
      <c r="T352" s="3">
        <f>1345.5+(218.7-615)+(-1.37241+(-0.223074--0.6273))+0-0-0</f>
        <v>948.23181600000009</v>
      </c>
      <c r="U352" s="3">
        <f>1357.9+(245.4-655.2)+(2.077587+(0.375462-1.002456))+0-0-0</f>
        <v>949.55059300000005</v>
      </c>
      <c r="V352" s="3">
        <f>1395.3+(256.6-690)+(-2.846412+(-0.523464--1.4076))+0-0-0</f>
        <v>959.937724</v>
      </c>
      <c r="W352" s="3">
        <f>1456.3+(247.5-709.4)+(-4.456278+(-0.75735--2.170764))+0-0-0</f>
        <v>991.35713599999997</v>
      </c>
      <c r="X352" s="3">
        <f>1542.4+(238.8-579.3)+(-1.573248+(-0.243576--0.590886))+0-0-0</f>
        <v>1200.674062</v>
      </c>
      <c r="Y352" s="3">
        <f>1564.6+(237-572.8)+(-2.393838+(-0.36261--0.876384))+0-0-0</f>
        <v>1226.919936</v>
      </c>
      <c r="Z352" s="3">
        <f>1541.2+(240.5-581)+(-5.502084+(-0.858585--2.07417))+0-0-0</f>
        <v>1196.413501</v>
      </c>
      <c r="AA352" s="3">
        <f>1428.2+(259.7-538.3)+(-2.913528+(-0.529788--1.098132))+0-0-0</f>
        <v>1147.2548160000001</v>
      </c>
      <c r="AB352" s="3">
        <f>1294.3+(275-499.6)+(-1.980279+(-0.42075--0.764388))+0-0-0</f>
        <v>1068.0633589999998</v>
      </c>
      <c r="AC352" s="3">
        <f>926.4+(358.6-318.7)+(-2.36232+(-0.91443--0.812685))+0-0-0</f>
        <v>963.83593499999995</v>
      </c>
      <c r="AD352">
        <f t="shared" si="5"/>
        <v>23416.586539999997</v>
      </c>
      <c r="AE352" s="3">
        <f>1559+(256.2-553.9)+(0+(0-0))+0-0-0</f>
        <v>1261.3</v>
      </c>
    </row>
    <row r="353" spans="1:31" s="2" customFormat="1" x14ac:dyDescent="0.25">
      <c r="A353">
        <v>89</v>
      </c>
      <c r="B353">
        <v>12</v>
      </c>
      <c r="C353">
        <v>17</v>
      </c>
      <c r="D353">
        <v>4</v>
      </c>
      <c r="E353">
        <v>1</v>
      </c>
      <c r="F353" s="3">
        <f>848.4+(374.5-339.4)+(-2.16342+(-0.954975--0.86547))+0-0-0</f>
        <v>881.247075</v>
      </c>
      <c r="G353" s="3">
        <f>887.7+(354.4-399.7)+(-2.716362+(-1.084464--1.223082))+0-0-0</f>
        <v>839.82225600000004</v>
      </c>
      <c r="H353" s="3">
        <f>908+(304.3-391.8)+(-0.92616+(-0.310386--0.399636))+0-0-0</f>
        <v>819.66309000000001</v>
      </c>
      <c r="I353" s="3">
        <f>894.1+(295.5-378.1)+(0.455991+(0.150705-0.192831))+0-0-0</f>
        <v>811.91386499999999</v>
      </c>
      <c r="J353" s="3">
        <f>821.4+(310.8-316)+(-0.418914+(-0.158508--0.16116))+0-0-0</f>
        <v>815.78373800000008</v>
      </c>
      <c r="K353" s="3">
        <f>868.6+(312.1-349.3)+(0.885972+(0.318342-0.356286))+0-0-0</f>
        <v>832.24802800000009</v>
      </c>
      <c r="L353" s="3">
        <f>1072.5+(305.1-548.6)+(-1.09395+(-0.311202--0.559572))+0-0-0</f>
        <v>828.15441999999996</v>
      </c>
      <c r="M353" s="3">
        <f>1199.9+(300.4-625.1)+(-0.611949+(-0.153204--0.318801))+0-0-0</f>
        <v>874.753648</v>
      </c>
      <c r="N353" s="3">
        <f>1197.8+(360.9-600.6)+(-0.610878+(-0.184059--0.306306))+0-0-0</f>
        <v>957.61136899999985</v>
      </c>
      <c r="O353" s="3">
        <f>1142.9+(367.8-527)+(-1.165758+(-0.375156--0.53754))+0-0-0</f>
        <v>982.69662600000004</v>
      </c>
      <c r="P353" s="3">
        <f>1155.5+(360.5-563.5)+(-1.767915+(-0.551565--0.862155))+0-0-0</f>
        <v>951.04267500000003</v>
      </c>
      <c r="Q353" s="3">
        <f>1196.3+(358.5-619.6)+(-0.610113+(-0.182835--0.315996))+0-0-0</f>
        <v>934.72304799999995</v>
      </c>
      <c r="R353" s="3">
        <f>1199.7+(375.3-536.8)+(-1.223694+(-0.382806--0.547536))+0-0-0</f>
        <v>1037.141036</v>
      </c>
      <c r="S353" s="3">
        <f>1203.2+(350.4-527.1)+(-1.227264+(-0.357408--0.537642))+0-0-0</f>
        <v>1025.4529700000001</v>
      </c>
      <c r="T353" s="3">
        <f>1205.8+(369-561)+(-1.229916+(-0.37638--0.57222))+0-0-0</f>
        <v>1012.7659239999999</v>
      </c>
      <c r="U353" s="3">
        <f>1207.4+(347.4-540.8)+(-0.615774+(-0.177174--0.275808))+0-0-0</f>
        <v>1013.4828600000001</v>
      </c>
      <c r="V353" s="3">
        <f>1211+(333.7-514)+(0+(0-0))+0-0-0</f>
        <v>1030.7</v>
      </c>
      <c r="W353" s="3">
        <f>1216.7+(314.3-437.5)+(-3.102585+(-0.801465--1.115625))+0-0-0</f>
        <v>1090.711575</v>
      </c>
      <c r="X353" s="3">
        <f>1231.8+(384-380.3)+(-0.628218+(-0.19584--0.193953))+0-0-0</f>
        <v>1234.869895</v>
      </c>
      <c r="Y353" s="3">
        <f>1231.1+(381.5-369.1)+(-2.511444+(-0.77826--0.752964))+0-0-0</f>
        <v>1240.96326</v>
      </c>
      <c r="Z353" s="3">
        <f>1229.4+(367.6-386.7)+(1.880982+(0.562428-0.591651))+0-0-0</f>
        <v>1212.1517590000001</v>
      </c>
      <c r="AA353" s="3">
        <f>1231+(363.1-433.6)+(0.62781+(0.185181-0.221136))+0-0-0</f>
        <v>1161.0918549999999</v>
      </c>
      <c r="AB353" s="3">
        <f>1231.1+(376.6-513.9)+(-2.511444+(-0.768264--1.048356))+0-0-0</f>
        <v>1091.5686479999999</v>
      </c>
      <c r="AC353" s="3">
        <f>1168.1+(308.6-462.3)+(-2.382924+(-0.629544--0.943092))+0-0-0</f>
        <v>1012.3306239999998</v>
      </c>
      <c r="AD353">
        <f t="shared" si="5"/>
        <v>23692.890243999998</v>
      </c>
      <c r="AE353" s="3">
        <f>1235+(367-354.1)+(0+(0-0))+0-0-0</f>
        <v>1247.9000000000001</v>
      </c>
    </row>
    <row r="354" spans="1:31" s="2" customFormat="1" x14ac:dyDescent="0.25">
      <c r="A354">
        <v>89</v>
      </c>
      <c r="B354">
        <v>12</v>
      </c>
      <c r="C354">
        <v>18</v>
      </c>
      <c r="D354">
        <v>5</v>
      </c>
      <c r="E354">
        <v>1</v>
      </c>
      <c r="F354" s="3">
        <f>905.4+(383.5-374.6)+(-1.385262+(-0.586755--0.573138))+0-0-0</f>
        <v>912.90112099999999</v>
      </c>
      <c r="G354" s="3">
        <f>838.1+(344.2-317.1)+(-2.137155+(-0.87771--0.808605))+0-0-0</f>
        <v>862.99374</v>
      </c>
      <c r="H354" s="3">
        <f>838.5+(330.3-326.5)+(-0.427635+(-0.168453--0.166515))+0-0-0</f>
        <v>841.87042699999995</v>
      </c>
      <c r="I354" s="3">
        <f>838.3+(303-302.9)+(-1.710132+(-0.61812--0.617916))+0-0-0</f>
        <v>836.68966399999999</v>
      </c>
      <c r="J354" s="3">
        <f>838.1+(337.9-323.5)+(-0.854862+(-0.344658--0.32997))+0-0-0</f>
        <v>851.63045</v>
      </c>
      <c r="K354" s="3">
        <f>837.9+(315.2-301.7)+(-0.854658+(-0.321504--0.307734))+0-0-0</f>
        <v>850.53157199999998</v>
      </c>
      <c r="L354" s="3">
        <f>838+(338.4-317.2)+(0+(0-0))+0-0-0</f>
        <v>859.2</v>
      </c>
      <c r="M354" s="3">
        <f>957.7+(323.2-358.3)+(-0.488427+(-0.164832--0.182733))+0-0-0</f>
        <v>922.12947400000007</v>
      </c>
      <c r="N354" s="3">
        <f>1215.6+(299.3-489)+(1.239912+(0.305286-0.49878))+0-0-0</f>
        <v>1026.9464179999998</v>
      </c>
      <c r="O354" s="3">
        <f>1214.3+(324.4-460.5)+(-0.619293+(-0.165444--0.234855))+0-0-0</f>
        <v>1077.6501179999998</v>
      </c>
      <c r="P354" s="3">
        <f>1217.5+(328.7-451.4)+(-1.862775+(-0.502911--0.690642))+0-0-0</f>
        <v>1093.1249559999999</v>
      </c>
      <c r="Q354" s="3">
        <f>1217.7+(318.3-439.9)+(-1.863081+(-0.486999--0.673047))+0-0-0</f>
        <v>1094.4229670000002</v>
      </c>
      <c r="R354" s="3">
        <f>1159.1+(346.5-415.8)+(-2.955705+(-0.883575--1.06029))+0-0-0</f>
        <v>1087.0210099999999</v>
      </c>
      <c r="S354" s="3">
        <f>1120.6+(329.3-390.2)+(-2.286024+(-0.671772--0.796008))+0-0-0</f>
        <v>1057.5382119999999</v>
      </c>
      <c r="T354" s="3">
        <f>1120+(399.1-481)+(-1.1424+(-0.407082--0.49062))+0-0-0</f>
        <v>1037.0411379999998</v>
      </c>
      <c r="U354" s="3">
        <f>1120.9+(384.4-454.2)+(-2.286636+(-0.784176--0.926568))+0-0-0</f>
        <v>1048.9557560000001</v>
      </c>
      <c r="V354" s="3">
        <f>1120.7+(387.4-437.3)+(0.571557+(0.197574-0.223023))+0-0-0</f>
        <v>1071.346108</v>
      </c>
      <c r="W354" s="3">
        <f>1120.2+(387.7-371.2)+(-2.285208+(-0.790908--0.757248))+0-0-0</f>
        <v>1134.381132</v>
      </c>
      <c r="X354" s="3">
        <f>1183.3+(384.6-309.4)+(-1.206966+(-0.392292--0.315588))+0-0-0</f>
        <v>1257.21633</v>
      </c>
      <c r="Y354" s="3">
        <f>1236.5+(368.3-354.9)+(-3.153075+(-0.939165--0.904995))+0-0-0</f>
        <v>1246.712755</v>
      </c>
      <c r="Z354" s="3">
        <f>1143.6+(390.8-322.3)+(0+(0-0))+0-0-0</f>
        <v>1212.0999999999999</v>
      </c>
      <c r="AA354" s="3">
        <f>1139.7+(371.5-349.4)+(-1.162494+(-0.37893--0.356388))+0-0-0</f>
        <v>1160.6149640000001</v>
      </c>
      <c r="AB354" s="3">
        <f>1134+(356.6-382.6)+(-2.8917+(-0.90933--0.97563))+0-0-0</f>
        <v>1105.1746000000001</v>
      </c>
      <c r="AC354" s="3">
        <f>889.7+(416.4-308.5)+(-0.907494+(-0.424728--0.31467))+0-0-0</f>
        <v>996.582448</v>
      </c>
      <c r="AD354">
        <f t="shared" si="5"/>
        <v>24644.775359999996</v>
      </c>
      <c r="AE354" s="3">
        <f>1234+(378.9-339.8)+(0+(0-0))+0-0-0</f>
        <v>1273.0999999999999</v>
      </c>
    </row>
    <row r="355" spans="1:31" s="2" customFormat="1" x14ac:dyDescent="0.25">
      <c r="A355">
        <v>89</v>
      </c>
      <c r="B355">
        <v>12</v>
      </c>
      <c r="C355">
        <v>19</v>
      </c>
      <c r="D355">
        <v>6</v>
      </c>
      <c r="E355">
        <v>1</v>
      </c>
      <c r="F355" s="3">
        <f>847.9+(390.6-336.1)+(0+(0-0))+0-0-0</f>
        <v>902.4</v>
      </c>
      <c r="G355" s="3">
        <f>848+(334-322.4)+(0+(0-0))+0-0-0</f>
        <v>859.6</v>
      </c>
      <c r="H355" s="3">
        <f>845.8+(322-332.1)+(0+(0-0))+0-0-0</f>
        <v>835.69999999999993</v>
      </c>
      <c r="I355" s="3">
        <f>787.6+(329.3-294.4)+(0+(0-0))+0-0-0</f>
        <v>822.5</v>
      </c>
      <c r="J355" s="3">
        <f>747.4+(335.1-263.3)+(0+(0-0))+0-0-0</f>
        <v>819.2</v>
      </c>
      <c r="K355" s="3">
        <f>747.6+(366.4-291.6)+(0+(0-0))+0-0-0</f>
        <v>822.4</v>
      </c>
      <c r="L355" s="3">
        <f>748.8+(391.3-321.1)+(0+(0-0))+0-0-0</f>
        <v>819</v>
      </c>
      <c r="M355" s="3">
        <f>823.3+(352.2-297.8)+(0+(0-0))+0-0-0</f>
        <v>877.69999999999993</v>
      </c>
      <c r="N355" s="3">
        <f>1030.1+(330-380.7)+(0+(0-0))+0-0-0</f>
        <v>979.39999999999986</v>
      </c>
      <c r="O355" s="3">
        <f>1214.4+(294.6-488.7)+(0+(0-0))+0-0-0</f>
        <v>1020.3000000000002</v>
      </c>
      <c r="P355" s="3">
        <f>1213.3+(308.8-483.1)+(0+(0-0))+0-0-0</f>
        <v>1039</v>
      </c>
      <c r="Q355" s="3">
        <f>1212.7+(317.5-480.6)+(0+(0-0))+0-0-0</f>
        <v>1049.5999999999999</v>
      </c>
      <c r="R355" s="3">
        <f>1211.9+(297.2-471.3)+(-3.090345+(-0.75786--1.201815))+0-0-0</f>
        <v>1035.1536100000001</v>
      </c>
      <c r="S355" s="3">
        <f>1210+(287.3-489)+(1.8513+(0.439569-0.74817))+0-0-0</f>
        <v>1009.8426989999999</v>
      </c>
      <c r="T355" s="3">
        <f>1210.1+(281.9-505.1)+(-1.851453+(-0.431307--0.772803))+0-0-0</f>
        <v>985.39004299999988</v>
      </c>
      <c r="U355" s="3">
        <f>1208.8+(289.4-533.7)+(-1.849464+(-0.442782--0.816561))+0-0-0</f>
        <v>963.02431499999989</v>
      </c>
      <c r="V355" s="3">
        <f>1208.6+(268-501.5)+(-1.849158+(-0.41004--0.767295))+0-0-0</f>
        <v>973.60809699999993</v>
      </c>
      <c r="W355" s="3">
        <f>1209.1+(287.5-468.1)+(0+(0-0))+0-0-0</f>
        <v>1028.5</v>
      </c>
      <c r="X355" s="3">
        <f>1222.4+(317-332.9)+(-1.246848+(-0.32334--0.339558))+0-0-0</f>
        <v>1205.26937</v>
      </c>
      <c r="Y355" s="3">
        <f>1229.2+(319.4-338.6)+(-4.388244+(-1.140258--1.208802))+0-0-0</f>
        <v>1205.6803</v>
      </c>
      <c r="Z355" s="3">
        <f>1229.6+(322.1-376.6)+(-2.508384+(-0.657084--0.768264))+0-0-0</f>
        <v>1172.7027959999998</v>
      </c>
      <c r="AA355" s="3">
        <f>1230.7+(364.7-467.8)+(-2.510628+(-0.743988--0.954312))+0-0-0</f>
        <v>1125.2996959999998</v>
      </c>
      <c r="AB355" s="3">
        <f>1231.4+(372.4-539.8)+(-3.14007+(-0.94962--1.37649))+0-0-0</f>
        <v>1061.2868000000001</v>
      </c>
      <c r="AC355" s="3">
        <f>1211.7+(305.4-514.6)+(-2.471868+(-0.623016--1.049784))+0-0-0</f>
        <v>1000.4549</v>
      </c>
      <c r="AD355">
        <f t="shared" si="5"/>
        <v>23613.012626</v>
      </c>
      <c r="AE355" s="3">
        <f>1226+(328.1-323)+(0+(0-0))+0-0-0</f>
        <v>1231.0999999999999</v>
      </c>
    </row>
    <row r="356" spans="1:31" s="2" customFormat="1" x14ac:dyDescent="0.25">
      <c r="A356">
        <v>89</v>
      </c>
      <c r="B356">
        <v>12</v>
      </c>
      <c r="C356">
        <v>20</v>
      </c>
      <c r="D356">
        <v>7</v>
      </c>
      <c r="E356">
        <v>1</v>
      </c>
      <c r="F356" s="3">
        <f>954.2+(319-322.6)+(0+(0-0))+0-0-0</f>
        <v>950.6</v>
      </c>
      <c r="G356" s="3">
        <f>761.3+(334.8-166.5)+(0+(0-0))+0-0-0</f>
        <v>929.59999999999991</v>
      </c>
      <c r="H356" s="3">
        <f>745.3+(310.9-168.1)+(0+(0-0))+0-0-0</f>
        <v>888.09999999999991</v>
      </c>
      <c r="I356" s="3">
        <f>746.2+(309.7-173.9)+(0+(0-0))+0-0-0</f>
        <v>882</v>
      </c>
      <c r="J356" s="3">
        <f>745.2+(307.5-172.6)+(0+(0-0))+0-0-0</f>
        <v>880.1</v>
      </c>
      <c r="K356" s="3">
        <f>743.9+(292.1-156.7)+(0+(0-0))+0-0-0</f>
        <v>879.3</v>
      </c>
      <c r="L356" s="3">
        <f>743.3+(269.4-175.7)+(0+(0-0))+0-0-0</f>
        <v>837</v>
      </c>
      <c r="M356" s="3">
        <f>742.9+(247-158.2)+(0+(0-0))+0-0-0</f>
        <v>831.7</v>
      </c>
      <c r="N356" s="3">
        <f>862.3+(264.6-221.7)+(0+(0-0))+0-0-0</f>
        <v>905.2</v>
      </c>
      <c r="O356" s="3">
        <f>1160.1+(209.1-371.2)+(0+(0-0))+0-0-0</f>
        <v>997.99999999999989</v>
      </c>
      <c r="P356" s="3">
        <f>1212.7+(227.8-389.9)+(0+(0-0))+0-0-0</f>
        <v>1050.6000000000001</v>
      </c>
      <c r="Q356" s="3">
        <f>1213.2+(234.7-363.4)+(0+(0-0))+0-0-0</f>
        <v>1084.5</v>
      </c>
      <c r="R356" s="3">
        <f>1214.5+(224.3-369.2)+(-3.096975+(-0.571965--0.94146))+0-0-0</f>
        <v>1066.8725199999999</v>
      </c>
      <c r="S356" s="3">
        <f>1131.5+(235.8-362.3)+(-2.30826+(-0.481032--0.739092))+0-0-0</f>
        <v>1002.9498</v>
      </c>
      <c r="T356" s="3">
        <f>1210.4+(220.9-435.2)+(-1.234608+(-0.225318--0.443904))+0-0-0</f>
        <v>995.08397800000012</v>
      </c>
      <c r="U356" s="3">
        <f>1216.3+(213.2-449)+(-2.481252+(-0.434928--0.91596))+0-0-0</f>
        <v>978.49977999999999</v>
      </c>
      <c r="V356" s="3">
        <f>1216.3+(227.7-407.4)+(1.240626+(0.232254-0.415548))+0-0-0</f>
        <v>1037.657332</v>
      </c>
      <c r="W356" s="3">
        <f>1219.6+(226.4-361.1)+(-1.243992+(-0.230928--0.368322))+0-0-0</f>
        <v>1083.7934019999998</v>
      </c>
      <c r="X356" s="3">
        <f>1233.3+(269.2-227.5)+(0+(0-0))+0-0-0</f>
        <v>1275</v>
      </c>
      <c r="Y356" s="3">
        <f>1232.6+(257.3-229.2)+(-3.771756+(-0.787338--0.701352))+0-0-0</f>
        <v>1256.8422579999999</v>
      </c>
      <c r="Z356" s="3">
        <f>1232.9+(226.7-233)+(-1.257558+(-0.231234--0.23766))+0-0-0</f>
        <v>1225.348868</v>
      </c>
      <c r="AA356" s="3">
        <f>1233+(269.4-309.9)+(-0.62883+(-0.137394--0.158049))+0-0-0</f>
        <v>1191.8918249999999</v>
      </c>
      <c r="AB356" s="3">
        <f>1155.9+(295.1-321.7)+(-1.179018+(-0.301002--0.328134))+0-0-0</f>
        <v>1128.1481140000001</v>
      </c>
      <c r="AC356" s="3">
        <f>988.3+(324.6-288.9)+(-2.016132+(-0.662184--0.589356))+0-0-0</f>
        <v>1021.91104</v>
      </c>
      <c r="AD356">
        <f t="shared" si="5"/>
        <v>24380.698916999998</v>
      </c>
      <c r="AE356" s="3">
        <f>1230+(251.2-225.3)+(0+(0-0))+0-0-0</f>
        <v>1255.9000000000001</v>
      </c>
    </row>
    <row r="357" spans="1:31" s="2" customFormat="1" x14ac:dyDescent="0.25">
      <c r="A357">
        <v>89</v>
      </c>
      <c r="B357">
        <v>12</v>
      </c>
      <c r="C357">
        <v>21</v>
      </c>
      <c r="D357">
        <v>1</v>
      </c>
      <c r="E357">
        <v>1</v>
      </c>
      <c r="F357" s="3">
        <f>839.8+(322.2-307.8)+(-2.14149+(-0.82161--0.78489))+0-0-0</f>
        <v>852.0217899999999</v>
      </c>
      <c r="G357" s="3">
        <f>825+(262.4-258.6)+(-0.8415+(-0.267648--0.263772))+0-0-0</f>
        <v>827.95462399999997</v>
      </c>
      <c r="H357" s="3">
        <f>739.7+(269.1-216.9)+(-1.131741+(-0.411723--0.331857))+0-0-0</f>
        <v>790.68839300000013</v>
      </c>
      <c r="I357" s="3">
        <f>740.1+(258.9-208.4)+(1.132353+(0.396117-0.318852))+0-0-0</f>
        <v>791.809618</v>
      </c>
      <c r="J357" s="3">
        <f>740+(250.7-190.5)+(-0.3774+(-0.127857--0.097155))+0-0-0</f>
        <v>799.79189800000006</v>
      </c>
      <c r="K357" s="3">
        <f>740.2+(284.2-219)+(0+(0-0))+0-0-0</f>
        <v>805.40000000000009</v>
      </c>
      <c r="L357" s="3">
        <f>818.7+(319.9-308.3)+(-0.417537+(-0.163149--0.157233))+0-0-0</f>
        <v>829.87654699999996</v>
      </c>
      <c r="M357" s="3">
        <f>965.2+(348-443)+(0+(0-0))+0-0-0</f>
        <v>870.2</v>
      </c>
      <c r="N357" s="3">
        <f>1194.4+(367.5-593.2)+(0+(0-0))+0-0-0</f>
        <v>968.7</v>
      </c>
      <c r="O357" s="3">
        <f>1376+(349.1-656.7)+(0+(0-0))+0-0-0</f>
        <v>1068.4000000000001</v>
      </c>
      <c r="P357" s="3">
        <f>1378.1+(352.8-637.8)+(1.405662+(0.359856-0.650556))+0-0-0</f>
        <v>1094.214962</v>
      </c>
      <c r="Q357" s="3">
        <f>1377.9+(363.6-639)+(-1.405458+(-0.370872--0.65178))+0-0-0</f>
        <v>1101.37545</v>
      </c>
      <c r="R357" s="3">
        <f>1377.6+(339.2-634.8)+(-3.51288+(-0.86496--1.61874))+0-0-0</f>
        <v>1079.2409</v>
      </c>
      <c r="S357" s="3">
        <f>1377.5+(338.7-628.3)+(-2.8101+(-0.690948--1.281732))+0-0-0</f>
        <v>1085.6806840000002</v>
      </c>
      <c r="T357" s="3">
        <f>1376.9+(310.6-639.6)+(0+(0-0))+0-0-0</f>
        <v>1047.9000000000001</v>
      </c>
      <c r="U357" s="3">
        <f>1377.4+(305.5-648.7)+(-0.702474+(-0.155805--0.330837))+0-0-0</f>
        <v>1033.672558</v>
      </c>
      <c r="V357" s="3">
        <f>1377.2+(302.9-613.2)+(0.702372+(0.154479-0.312732))+0-0-0</f>
        <v>1067.444119</v>
      </c>
      <c r="W357" s="3">
        <f>1380.2+(242.8-511.1)+(-0.703902+(-0.123828--0.260661))+0-0-0</f>
        <v>1111.3329310000001</v>
      </c>
      <c r="X357" s="3">
        <f>1394.5+(280.4-427.8)+(-1.42239+(-0.286008--0.436356))+0-0-0</f>
        <v>1245.8279579999999</v>
      </c>
      <c r="Y357" s="3">
        <f>1401.7+(328.4-467)+(-0.714867+(-0.167484--0.23817))+0-0-0</f>
        <v>1262.455819</v>
      </c>
      <c r="Z357" s="3">
        <f>1306+(310.7-388.2)+(-1.33212+(-0.316914--0.395964))+0-0-0</f>
        <v>1227.24693</v>
      </c>
      <c r="AA357" s="3">
        <f>1252.5+(333.1-421.6)+(-1.916325+(-0.509643--0.645048))+0-0-0</f>
        <v>1162.2190800000001</v>
      </c>
      <c r="AB357" s="3">
        <f>1252.1+(304-440.1)+(-4.469997+(-1.08528--1.571157))+0-0-0</f>
        <v>1112.0158799999999</v>
      </c>
      <c r="AC357" s="3">
        <f>1063.9+(307-363.2)+(-2.170356+(-0.62628--0.740928))+0-0-0</f>
        <v>1005.6442920000001</v>
      </c>
      <c r="AD357">
        <f t="shared" si="5"/>
        <v>24241.114432999999</v>
      </c>
      <c r="AE357" s="3">
        <f>1395+(321.4-435.3)+(0+(0-0))+0-0-0</f>
        <v>1281.0999999999999</v>
      </c>
    </row>
    <row r="358" spans="1:31" s="2" customFormat="1" x14ac:dyDescent="0.25">
      <c r="A358">
        <v>89</v>
      </c>
      <c r="B358">
        <v>12</v>
      </c>
      <c r="C358">
        <v>22</v>
      </c>
      <c r="D358">
        <v>2</v>
      </c>
      <c r="E358">
        <v>1</v>
      </c>
      <c r="F358" s="3">
        <f>875.8+(347.1-267.2)+(-2.23329+(-0.885105--0.68136))+0-0-0</f>
        <v>953.26296500000001</v>
      </c>
      <c r="G358" s="3">
        <f>844.2+(349-314.8)+(-2.583252+(-1.06794--0.963288))+0-0-0</f>
        <v>875.71209600000009</v>
      </c>
      <c r="H358" s="3">
        <f>842.9+(329.5-308.2)+(-1.719516+(-0.67218--0.628728))+0-0-0</f>
        <v>862.43703200000004</v>
      </c>
      <c r="I358" s="3">
        <f>842.5+(306.9-292.7)+(1.289025+(0.469557-0.447831))+0-0-0</f>
        <v>858.01075100000003</v>
      </c>
      <c r="J358" s="3">
        <f>843.1+(293.3-288.1)+(-1.289943+(-0.448749--0.440793))+0-0-0</f>
        <v>847.00210099999993</v>
      </c>
      <c r="K358" s="3">
        <f>843.1+(304-286.4)+(1.719924+(0.62016-0.584256))+0-0-0</f>
        <v>862.455828</v>
      </c>
      <c r="L358" s="3">
        <f>923.7+(309.8-354.7)+(-2.826522+(-0.947988--1.085382))+0-0-0</f>
        <v>876.11087200000009</v>
      </c>
      <c r="M358" s="3">
        <f>1085.7+(290.9-424)+(1.107414+(0.296718-0.43248))+0-0-0</f>
        <v>953.57165199999997</v>
      </c>
      <c r="N358" s="3">
        <f>1159.6+(336.8-462.3)+(1.182792+(0.343536-0.471546))+0-0-0</f>
        <v>1035.1547819999998</v>
      </c>
      <c r="O358" s="3">
        <f>1196.8+(326.3-434.7)+(0.610368+(0.166413-0.221697))+0-0-0</f>
        <v>1088.9550840000002</v>
      </c>
      <c r="P358" s="3">
        <f>1204+(322.1-401.4)+(0.61404+(0.164271-0.204714))+0-0-0</f>
        <v>1125.2735970000001</v>
      </c>
      <c r="Q358" s="3">
        <f>1202.3+(342.4-406.5)+(-1.839519+(-0.523872--0.621945))+0-0-0</f>
        <v>1136.4585539999998</v>
      </c>
      <c r="R358" s="3">
        <f>1218+(438.5-543.1)+(0+(0-0))+0-0-0</f>
        <v>1113.4000000000001</v>
      </c>
      <c r="S358" s="3">
        <f>1179.3+(437.3-533.2)+(0.601443+(0.223023-0.271932))+0-0-0</f>
        <v>1083.9525339999998</v>
      </c>
      <c r="T358" s="3">
        <f>1152.6+(396.3-443.2)+(-1.175652+(-0.404226--0.452064))+0-0-0</f>
        <v>1104.5721859999999</v>
      </c>
      <c r="U358" s="3">
        <f>1219.2+(359.7-495.7)+(0+(0-0))+0-0-0</f>
        <v>1083.2</v>
      </c>
      <c r="V358" s="3">
        <f>1219.2+(360.4-474.1)+(-3.10896+(-0.91902--1.208955))+0-0-0</f>
        <v>1102.680975</v>
      </c>
      <c r="W358" s="3">
        <f>1219.5+(343.2-412.2)+(0+(0-0))+0-0-0</f>
        <v>1150.5</v>
      </c>
      <c r="X358" s="3">
        <f>1240.6+(282.4-269.2)+(-0.632706+(-0.144024--0.137292))+0-0-0</f>
        <v>1253.160562</v>
      </c>
      <c r="Y358" s="3">
        <f>1243.9+(327.7-304)+(-1.903167+(-0.501381--0.46512))+0-0-0</f>
        <v>1265.6605720000002</v>
      </c>
      <c r="Z358" s="3">
        <f>1246.1+(329.3-359.6)+(-1.271022+(-0.335886--0.366792))+0-0-0</f>
        <v>1214.559884</v>
      </c>
      <c r="AA358" s="3">
        <f>1246.7+(374.6-450.3)+(-1.907451+(-0.573138--0.688959))+0-0-0</f>
        <v>1169.2083700000001</v>
      </c>
      <c r="AB358" s="3">
        <f>1246.9+(389.7-528.6)+(-1.271838+(-0.397494--0.539172))+0-0-0</f>
        <v>1106.8698400000001</v>
      </c>
      <c r="AC358" s="3">
        <f>1195.7+(320.2-474.7)+(-1.829421+(-0.489906--0.726291))+0-0-0</f>
        <v>1039.6069640000001</v>
      </c>
      <c r="AD358">
        <f t="shared" si="5"/>
        <v>25161.777200999997</v>
      </c>
      <c r="AE358" s="3">
        <f>1240+(259.7-232.5)+(0+(0-0))+0-0-0</f>
        <v>1267.2</v>
      </c>
    </row>
    <row r="359" spans="1:31" s="2" customFormat="1" x14ac:dyDescent="0.25">
      <c r="A359">
        <v>89</v>
      </c>
      <c r="B359">
        <v>12</v>
      </c>
      <c r="C359">
        <v>23</v>
      </c>
      <c r="D359">
        <v>3</v>
      </c>
      <c r="E359">
        <v>1</v>
      </c>
      <c r="F359" s="3">
        <f>1088+(297.9-393.5)+(-5.5488+(-1.51929--2.00685))+0-0-0</f>
        <v>987.33875999999998</v>
      </c>
      <c r="G359" s="3">
        <f>949.2+(262.3-316.7)+(-2.904552+(-0.802638--0.969102))+0-0-0</f>
        <v>892.06191200000012</v>
      </c>
      <c r="H359" s="3">
        <f>849.3+(280.9-254.3)+(-1.299429+(-0.429777--0.389079))+0-0-0</f>
        <v>874.55987299999981</v>
      </c>
      <c r="I359" s="3">
        <f>844.7+(273.7-262.2)+(-1.292391+(-0.418761--0.401166))+0-0-0</f>
        <v>854.89001400000006</v>
      </c>
      <c r="J359" s="3">
        <f>826.5+(291.8-227.3)+(0.84303+(0.297636-0.231846))+0-0-0</f>
        <v>891.90881999999999</v>
      </c>
      <c r="K359" s="3">
        <f>745.8+(299.7-132.8)+(-0.380358+(-0.152847--0.067728))+0-0-0</f>
        <v>912.23452299999997</v>
      </c>
      <c r="L359" s="3">
        <f>746.1+(275.7-148.8)+(-0.380511+(-0.140607--0.075888))+0-0-0</f>
        <v>872.55476999999996</v>
      </c>
      <c r="M359" s="3">
        <f>741.3+(385-208.1)+(1.512252+(0.7854-0.424524))+0-0-0</f>
        <v>920.07312799999988</v>
      </c>
      <c r="N359" s="3">
        <f>936.1+(397.8-310.9)+(0+(0-0))+0-0-0</f>
        <v>1023</v>
      </c>
      <c r="O359" s="3">
        <f>1273.4+(267.6-462.3)+(-2.597736+(-0.545904--0.943092))+0-0-0</f>
        <v>1076.499452</v>
      </c>
      <c r="P359" s="3">
        <f>1376.2+(309.9-657.4)+(-2.807448+(-0.632196--1.341096))+0-0-0</f>
        <v>1026.6014520000001</v>
      </c>
      <c r="Q359" s="3">
        <f>1470.4+(338.9-669.8)+(-2.249712+(-0.518517--1.024794))+0-0-0</f>
        <v>1137.7565649999999</v>
      </c>
      <c r="R359" s="3">
        <f>1449+(332.2-677.6)+(-2.95596+(-0.677688--1.382304))+0-0-0</f>
        <v>1101.3486559999999</v>
      </c>
      <c r="S359" s="3">
        <f>1449.7+(293.7-649.3)+(1.478694+(0.299574-0.662286))+0-0-0</f>
        <v>1095.2159820000002</v>
      </c>
      <c r="T359" s="3">
        <f>1386.9+(271.9-592.5)+(-1.414638+(-0.277338--0.60435))+0-0-0</f>
        <v>1065.2123740000002</v>
      </c>
      <c r="U359" s="3">
        <f>1368.1+(302.2-593.6)+(0+(0-0))+0-0-0</f>
        <v>1076.6999999999998</v>
      </c>
      <c r="V359" s="3">
        <f>1280.8+(309-502.2)+(-2.612832+(-0.63036--1.024488))+0-0-0</f>
        <v>1085.381296</v>
      </c>
      <c r="W359" s="3">
        <f>1170.5+(293.2-357.3)+(-0.596955+(-0.149532--0.182223))+0-0-0</f>
        <v>1105.835736</v>
      </c>
      <c r="X359" s="3">
        <f>1388.5+(304.9-498.6)+(-0.708135+(-0.155499--0.254286))+0-0-0</f>
        <v>1194.190652</v>
      </c>
      <c r="Y359" s="3">
        <f>1577.3+(313.9-634.3)+(-4.826538+(-0.960534--1.940958))+0-0-0</f>
        <v>1253.0538860000001</v>
      </c>
      <c r="Z359" s="3">
        <f>1411.3+(339.8-476.7)+(-2.159289+(-0.519894--0.729351))+0-0-0</f>
        <v>1272.4501680000001</v>
      </c>
      <c r="AA359" s="3">
        <f>1236.2+(261.6-298.5)+(-1.891386+(-0.400248--0.456705))+0-0-0</f>
        <v>1197.4650710000001</v>
      </c>
      <c r="AB359" s="3">
        <f>1162.6+(271.3-286.9)+(-2.371704+(-0.553452--0.585276))+0-0-0</f>
        <v>1144.66012</v>
      </c>
      <c r="AC359" s="3">
        <f>906.1+(316.4-195.6)+(-2.310555+(-0.80682--0.49878))+0-0-0</f>
        <v>1024.2814050000002</v>
      </c>
      <c r="AD359">
        <f t="shared" si="5"/>
        <v>25085.274615000006</v>
      </c>
      <c r="AE359" s="3">
        <f>1579+(291.6-598.9)+(0+(0-0))+0-0-0</f>
        <v>1271.7</v>
      </c>
    </row>
    <row r="360" spans="1:31" s="2" customFormat="1" x14ac:dyDescent="0.25">
      <c r="A360">
        <v>89</v>
      </c>
      <c r="B360">
        <v>12</v>
      </c>
      <c r="C360">
        <v>24</v>
      </c>
      <c r="D360">
        <v>4</v>
      </c>
      <c r="E360">
        <v>1</v>
      </c>
      <c r="F360" s="3">
        <f>856.4+(282.1-200.2)+(-2.620584+(-0.863226--0.612612))+0-0-0</f>
        <v>935.42880199999991</v>
      </c>
      <c r="G360" s="3">
        <f>788+(274.5-166.9)+(-2.0094+(-0.699975--0.425595))+0-0-0</f>
        <v>893.31622000000004</v>
      </c>
      <c r="H360" s="3">
        <f>751.3+(250.5-148.1)+(0+(0-0))+0-0-0</f>
        <v>853.69999999999993</v>
      </c>
      <c r="I360" s="3">
        <f>830.9+(217.4-205.7)+(-2.542554+(-0.665244--0.629442))+0-0-0</f>
        <v>840.02164400000004</v>
      </c>
      <c r="J360" s="3">
        <f>891.4+(202.7-244.3)+(1.363842+(0.310131-0.373779))+0-0-0</f>
        <v>851.10019399999999</v>
      </c>
      <c r="K360" s="3">
        <f>893.2+(181.3-221.6)+(-2.27766+(-0.462315--0.56508))+0-0-0</f>
        <v>850.7251050000001</v>
      </c>
      <c r="L360" s="3">
        <f>886.7+(169.6-224)+(-1.356651+(-0.259488--0.34272))+0-0-0</f>
        <v>831.02658100000008</v>
      </c>
      <c r="M360" s="3">
        <f>932.4+(233.7-268.6)+(-0.951048+(-0.238374--0.273972))+0-0-0</f>
        <v>896.58455000000004</v>
      </c>
      <c r="N360" s="3">
        <f>1251.3+(194.8-472.6)+(0+(0-0))+0-0-0</f>
        <v>973.5</v>
      </c>
      <c r="O360" s="3">
        <f>1397+(148.5-492.7)+(-1.42494+(-0.15147--0.502554))+0-0-0</f>
        <v>1051.726144</v>
      </c>
      <c r="P360" s="3">
        <f>1522+(141.9-572.7)+(-0.77622+(-0.072369--0.292077))+0-0-0</f>
        <v>1090.6434879999997</v>
      </c>
      <c r="Q360" s="3">
        <f>1553.3+(163.1-579.3)+(-2.376549+(-0.249543--0.886329))+0-0-0</f>
        <v>1135.3602369999999</v>
      </c>
      <c r="R360" s="3">
        <f>1355.1+(186-446.8)+(-1.382202+(-0.18972--0.455736))+0-0-0</f>
        <v>1093.183814</v>
      </c>
      <c r="S360" s="3">
        <f>1088+(220.2-240.7)+(-0.55488+(-0.112302--0.122757))+0-0-0</f>
        <v>1066.955575</v>
      </c>
      <c r="T360" s="3">
        <f>1056.1+(234.9-237)+(-0.538611+(-0.119799--0.12087))+0-0-0</f>
        <v>1053.46246</v>
      </c>
      <c r="U360" s="3">
        <f>1071+(256-273.3)+(-1.63863+(-0.39168--0.418149))+0-0-0</f>
        <v>1052.087839</v>
      </c>
      <c r="V360" s="3">
        <f>1082.6+(245.8-263.5)+(-4.417008+(-1.002864--1.07508))+0-0-0</f>
        <v>1060.5552079999998</v>
      </c>
      <c r="W360" s="3">
        <f>1050.1+(256.1-221.1)+(0.535551+(0.130611-0.112761))+0-0-0</f>
        <v>1085.6534009999998</v>
      </c>
      <c r="X360" s="3">
        <f>1169.1+(264.6-203)+(0.596241+(0.134946-0.10353))+0-0-0</f>
        <v>1231.3276569999998</v>
      </c>
      <c r="Y360" s="3">
        <f>1183.6+(270.5-189.4)+(-2.414544+(-0.55182--0.386376))+0-0-0</f>
        <v>1262.1200119999999</v>
      </c>
      <c r="Z360" s="3">
        <f>1184.2+(250.2-215.3)+(-1.207884+(-0.255204--0.219606))+0-0-0</f>
        <v>1217.8565179999998</v>
      </c>
      <c r="AA360" s="3">
        <f>1184.1+(257.6-270.5)+(-1.207782+(-0.262752--0.27591))+0-0-0</f>
        <v>1170.0053759999998</v>
      </c>
      <c r="AB360" s="3">
        <f>1181.2+(257.2-322.5)+(-0.602412+(-0.131172--0.164475))+0-0-0</f>
        <v>1115.3308910000001</v>
      </c>
      <c r="AC360" s="3">
        <f>1165.6+(249.8-373.2)+(-0.594456+(-0.127398--0.190332))+0-0-0</f>
        <v>1041.6684779999998</v>
      </c>
      <c r="AD360">
        <f t="shared" si="5"/>
        <v>24653.340194</v>
      </c>
      <c r="AE360" s="3">
        <f>1184+(287.5-188.4)+(0+(0-0))+0-0-0</f>
        <v>1283.0999999999999</v>
      </c>
    </row>
    <row r="361" spans="1:31" s="2" customFormat="1" x14ac:dyDescent="0.25">
      <c r="A361">
        <v>89</v>
      </c>
      <c r="B361">
        <v>12</v>
      </c>
      <c r="C361">
        <v>25</v>
      </c>
      <c r="D361">
        <v>5</v>
      </c>
      <c r="E361">
        <v>1</v>
      </c>
      <c r="F361" s="3">
        <f>899.4+(284.8-232.5)+(-0.458694+(-0.145248--0.118575))+0-0-0</f>
        <v>951.21463300000005</v>
      </c>
      <c r="G361" s="3">
        <f>691+(324.5-141.2)+(-0.70482+(-0.33099--0.144024))+0-0-0</f>
        <v>873.40821399999993</v>
      </c>
      <c r="H361" s="3">
        <f>690.9+(314.3-154.8)+(-1.409436+(-0.641172--0.315792))+0-0-0</f>
        <v>848.66518399999995</v>
      </c>
      <c r="I361" s="3">
        <f>691.1+(313-165.3)+(0.704922+(0.31926-0.168606))+0-0-0</f>
        <v>839.655576</v>
      </c>
      <c r="J361" s="3">
        <f>689.8+(290.4-133.8)+(0+(0-0))+0-0-0</f>
        <v>846.39999999999986</v>
      </c>
      <c r="K361" s="3">
        <f>691.6+(255.8-98.7)+(0.705432+(0.260916-0.100674))+0-0-0</f>
        <v>849.56567400000006</v>
      </c>
      <c r="L361" s="3">
        <f>690.9+(257.3-121)+(-1.761795+(-0.656115--0.30855))+0-0-0</f>
        <v>825.09064000000001</v>
      </c>
      <c r="M361" s="3">
        <f>807+(256.8-171.1)+(0.82314+(0.261936-0.174522))+0-0-0</f>
        <v>893.61055400000009</v>
      </c>
      <c r="N361" s="3">
        <f>1000+(243.5-248.4)+(0.51+(0.124185-0.126684))+0-0-0</f>
        <v>995.60750100000007</v>
      </c>
      <c r="O361" s="3">
        <f>1119.4+(229.3-295.8)+(-1.141788+(-0.233886--0.301716))+0-0-0</f>
        <v>1051.8260420000001</v>
      </c>
      <c r="P361" s="3">
        <f>1157.1+(237.7-327.4)+(1.180242+(0.242454-0.333948))+0-0-0</f>
        <v>1068.4887479999998</v>
      </c>
      <c r="Q361" s="3">
        <f>634.7+(452.5-39.7)+(0.971091+(0.692325-0.060741))+18.7-0-0</f>
        <v>1067.8026750000001</v>
      </c>
      <c r="R361" s="3">
        <f>215.8+(788.8-30.5)+(-0.330174+(-1.206864--0.046665))+0-0-0</f>
        <v>972.60962699999993</v>
      </c>
      <c r="S361" s="3">
        <f>311.8+(692.8-51.1)+(-0.159018+(-0.353328--0.026061))+0-0-0</f>
        <v>953.01371500000005</v>
      </c>
      <c r="T361" s="3">
        <f>313+(678.9-52.1)+(-0.47889+(-1.038717--0.079713))+0-0-0</f>
        <v>938.36210599999993</v>
      </c>
      <c r="U361" s="3">
        <f>423.5+(558.2-52.9)+(-0.86394+(-1.138728--0.107916))+0-0-0</f>
        <v>926.90524800000003</v>
      </c>
      <c r="V361" s="3">
        <f>640.6+(383.3-85.5)+(-0.653412+(-0.390966--0.08721))+0-0-0</f>
        <v>937.44283200000007</v>
      </c>
      <c r="W361" s="3">
        <f>877.2+(275.9-164.1)+(-2.684232+(-0.844254--0.502146))+0-0-0</f>
        <v>985.97366</v>
      </c>
      <c r="X361" s="3">
        <f>1039+(277.7-131.2)+(0.52989+(0.141627-0.066912))+0-0-0</f>
        <v>1186.104605</v>
      </c>
      <c r="Y361" s="3">
        <f>958.1+(369.6-82.5)+(-2.443155+(-0.94248--0.210375))+0-0-0</f>
        <v>1242.0247400000001</v>
      </c>
      <c r="Z361" s="3">
        <f>951.9+(372.2-108.1)+(-0.970938+(-0.379644--0.110262))+0-0-0</f>
        <v>1214.7596799999999</v>
      </c>
      <c r="AA361" s="3">
        <f>942.9+(374.2-143.1)+(-2.404395+(-0.95421--0.364905))+0-0-0</f>
        <v>1171.0063</v>
      </c>
      <c r="AB361" s="3">
        <f>1064.7+(311.2-273.7)+(-2.714985+(-0.79356--0.697935))+0-0-0</f>
        <v>1099.38939</v>
      </c>
      <c r="AC361" s="3">
        <f>1044.5+(281.2-286.7)+(-2.13078+(-0.573648--0.584868))+0-0-0</f>
        <v>1036.8804399999999</v>
      </c>
      <c r="AD361">
        <f t="shared" si="5"/>
        <v>23775.807784000004</v>
      </c>
      <c r="AE361" s="3">
        <f>962+(377.4-77.5)+(0+(0-0))+0-0-0</f>
        <v>1261.9000000000001</v>
      </c>
    </row>
    <row r="362" spans="1:31" s="2" customFormat="1" x14ac:dyDescent="0.25">
      <c r="A362">
        <v>89</v>
      </c>
      <c r="B362">
        <v>12</v>
      </c>
      <c r="C362">
        <v>26</v>
      </c>
      <c r="D362">
        <v>6</v>
      </c>
      <c r="E362">
        <v>1</v>
      </c>
      <c r="F362" s="3">
        <f>1043.8+(258.3-335)+(-1.597014+(-0.395199--0.51255))+0-0-0</f>
        <v>965.62033699999995</v>
      </c>
      <c r="G362" s="3">
        <f>906.1+(246-261.4)+(-0.924222+(-0.25092--0.266628))+0-0-0</f>
        <v>889.79148600000008</v>
      </c>
      <c r="H362" s="3">
        <f>792.2+(266.2-204)+(-1.212066+(-0.407286--0.31212))+0-0-0</f>
        <v>853.09276800000009</v>
      </c>
      <c r="I362" s="3">
        <f>759.7+(272.6-198.4)+(0.387447+(0.139026-0.101184))+0-0-0</f>
        <v>834.32528900000011</v>
      </c>
      <c r="J362" s="3">
        <f>758.9+(267.8-196.4)+(-1.161117+(-0.409734--0.300492))+0-0-0</f>
        <v>829.02964099999997</v>
      </c>
      <c r="K362" s="3">
        <f>758.9+(260.1-178.9)+(-0.387039+(-0.132651--0.091239))+0-0-0</f>
        <v>839.67154900000003</v>
      </c>
      <c r="L362" s="3">
        <f>759+(255.4-207.8)+(-1.54836+(-0.521016--0.423912))+0-0-0</f>
        <v>804.95453600000008</v>
      </c>
      <c r="M362" s="3">
        <f>842.9+(266-238.9)+(0.429879+(0.13566-0.121839))+0-0-0</f>
        <v>870.44370000000004</v>
      </c>
      <c r="N362" s="3">
        <f>1081.3+(222.7-333.5)+(0.551463+(0.113577-0.170085))+0-0-0</f>
        <v>970.994955</v>
      </c>
      <c r="O362" s="3">
        <f>1312.3+(186.4-465.3)+(-2.007819+(-0.285192--0.711909))+0-0-0</f>
        <v>1031.818898</v>
      </c>
      <c r="P362" s="3">
        <f>1322.8+(205-483.2)+(-2.023884+(-0.31365--0.739296))+0-0-0</f>
        <v>1043.0017619999999</v>
      </c>
      <c r="Q362" s="3">
        <f>1322.5+(202.4-488.9)+(-0.674475+(-0.103224--0.249339))+0-0-0</f>
        <v>1035.47164</v>
      </c>
      <c r="R362" s="3">
        <f>1322.7+(190.4-507.7)+(-2.023731+(-0.291312--0.776781))+0-0-0</f>
        <v>1003.8617380000001</v>
      </c>
      <c r="S362" s="3">
        <f>1322.8+(179.8-523.5)+(0+(0-0))+0-0-0</f>
        <v>979.09999999999991</v>
      </c>
      <c r="T362" s="3">
        <f>1334.7+(183.9-554.2)+(-2.042091+(-0.281367--0.847926))+0-0-0</f>
        <v>962.92446799999993</v>
      </c>
      <c r="U362" s="3">
        <f>1372.5+(189.9-606.5)+(-4.899825+(-0.677943--2.165205))+0-0-0</f>
        <v>952.487437</v>
      </c>
      <c r="V362" s="3">
        <f>1319.4+(176.7-529.8)+(-1.345788+(-0.180234--0.540396))+0-0-0</f>
        <v>965.31437400000016</v>
      </c>
      <c r="W362" s="3">
        <f>1326.7+(198.6-528.1)+(-2.706468+(-0.405144--1.077324))+0-0-0</f>
        <v>995.1657120000001</v>
      </c>
      <c r="X362" s="3">
        <f>1369.7+(234.7-433.7)+(0+(0-0))+0-0-0</f>
        <v>1170.7</v>
      </c>
      <c r="Y362" s="3">
        <f>1445+(221.9-414.9)+(-2.9478+(-0.452676--0.846396))+0-0-0</f>
        <v>1249.4459199999999</v>
      </c>
      <c r="Z362" s="3">
        <f>1423+(237.2-428.1)+(-2.17719+(-0.362916--0.654993))+0-0-0</f>
        <v>1230.2148869999999</v>
      </c>
      <c r="AA362" s="3">
        <f>1273.8+(255.4-345.8)+(-0.649638+(-0.130254--0.176358))+0-0-0</f>
        <v>1182.7964659999998</v>
      </c>
      <c r="AB362" s="3">
        <f>1131.9+(280.1-297.2)+(1.731807+(0.428553-0.454716))+0-0-0</f>
        <v>1116.5056440000001</v>
      </c>
      <c r="AC362" s="3">
        <f>1098+(275.8-349.8)+(-2.7999+(-0.70329--0.89199))+0-0-0</f>
        <v>1021.3887999999999</v>
      </c>
      <c r="AD362">
        <f t="shared" si="5"/>
        <v>23798.122006999998</v>
      </c>
      <c r="AE362" s="3">
        <f>1445+(255.1-432)+(0+(0-0))+0-0-0</f>
        <v>1268.0999999999999</v>
      </c>
    </row>
    <row r="363" spans="1:31" s="2" customFormat="1" x14ac:dyDescent="0.25">
      <c r="A363">
        <v>89</v>
      </c>
      <c r="B363">
        <v>12</v>
      </c>
      <c r="C363">
        <v>27</v>
      </c>
      <c r="D363">
        <v>7</v>
      </c>
      <c r="E363">
        <v>1</v>
      </c>
      <c r="F363" s="3">
        <f>976+(288.2-329.7)+(-1.99104+(-0.587928--0.672588))+0-0-0</f>
        <v>932.59361999999999</v>
      </c>
      <c r="G363" s="3">
        <f>861.7+(311.6-302.7)+(-1.318401+(-0.476748--0.463131))+0-0-0</f>
        <v>869.26798200000019</v>
      </c>
      <c r="H363" s="3">
        <f>864.3+(287.6-320.1)+(-0.440793+(-0.146676--0.163251))+0-0-0</f>
        <v>831.37578199999996</v>
      </c>
      <c r="I363" s="3">
        <f>863+(237-278.8)+(-1.32039+(-0.36261--0.426564))+0-0-0</f>
        <v>819.94356400000004</v>
      </c>
      <c r="J363" s="3">
        <f>868.5+(226.5-270.9)+(0.442935+(0.115515-0.138159))+0-0-0</f>
        <v>824.52029100000004</v>
      </c>
      <c r="K363" s="3">
        <f>961.2+(191.7-321.5)+(-1.470636+(-0.293301--0.491895))+0-0-0</f>
        <v>830.12795800000004</v>
      </c>
      <c r="L363" s="3">
        <f>897.8+(208.8-328)+(-0.915756+(-0.212976--0.33456))+0-0-0</f>
        <v>777.80582799999991</v>
      </c>
      <c r="M363" s="3">
        <f>874.9+(218.9-292.2)+(0+(0-0))+0-0-0</f>
        <v>801.6</v>
      </c>
      <c r="N363" s="3">
        <f>882.5+(239.5-282.5)+(0.450075+(0.122145-0.144075))+0-0-0</f>
        <v>839.92814499999997</v>
      </c>
      <c r="O363" s="3">
        <f>907.6+(271-286.8)+(-0.462876+(-0.13821--0.146268))+0-0-0</f>
        <v>891.34518199999991</v>
      </c>
      <c r="P363" s="3">
        <f>981.6+(282.1-336.2)+(-2.002464+(-0.575484--0.685848))+0-0-0</f>
        <v>925.60789999999997</v>
      </c>
      <c r="Q363" s="3">
        <f>1050.9+(277.9-388.5)+(-2.143836+(-0.566916--0.79254))+0-0-0</f>
        <v>938.38178800000003</v>
      </c>
      <c r="R363" s="3">
        <f>1101.2+(248-429)+(-0.561612+(-0.12648--0.21879))+0-0-0</f>
        <v>919.73069800000007</v>
      </c>
      <c r="S363" s="3">
        <f>1001.5+(286.3-394.1)+(0.510765+(0.146013-0.200991))+0-0-0</f>
        <v>894.15578700000003</v>
      </c>
      <c r="T363" s="3">
        <f>1001.6+(259.4-373.3)+(-2.55408+(-0.66147--0.951915))+0-0-0</f>
        <v>885.43636500000002</v>
      </c>
      <c r="U363" s="3">
        <f>1001.5+(274.3-388.5)+(-2.553825+(-0.699465--0.990675))+0-0-0</f>
        <v>885.03738499999997</v>
      </c>
      <c r="V363" s="3">
        <f>1001.6+(252.1-357.6)+(-1.532448+(-0.385713--0.547128))+0-0-0</f>
        <v>894.72896700000001</v>
      </c>
      <c r="W363" s="3">
        <f>1001.9+(249.2-326.9)+(-1.021938+(-0.254184--0.333438))+0-0-0</f>
        <v>923.25731600000006</v>
      </c>
      <c r="X363" s="3">
        <f>1198.6+(235.4-326.1)+(0+(0-0))+0-0-0</f>
        <v>1107.8999999999999</v>
      </c>
      <c r="Y363" s="3">
        <f>1438.6+(186.3-412.3)+(-2.201058+(-0.285039--0.630819))+0-0-0</f>
        <v>1210.7447219999999</v>
      </c>
      <c r="Z363" s="3">
        <f>1411.7+(201.9-421.9)+(-1.439934+(-0.205938--0.430338))+0-0-0</f>
        <v>1190.4844660000001</v>
      </c>
      <c r="AA363" s="3">
        <f>1169.1+(282.7-309.4)+(-1.192482+(-0.288354--0.315588))+0-0-0</f>
        <v>1141.2347519999998</v>
      </c>
      <c r="AB363" s="3">
        <f>1147.7+(303.4-358.6)+(-2.341308+(-0.618936--0.731544))+0-0-0</f>
        <v>1090.2713000000001</v>
      </c>
      <c r="AC363" s="3">
        <f>1129.2+(264.7-391.4)+(-2.303568+(-0.539988--0.798456))+0-0-0</f>
        <v>1000.4549</v>
      </c>
      <c r="AD363">
        <f t="shared" si="5"/>
        <v>22425.934698000001</v>
      </c>
      <c r="AE363" s="3">
        <f>1444+(209.8-415.5)+(0+(0-0))+0-0-0</f>
        <v>1238.3</v>
      </c>
    </row>
    <row r="364" spans="1:31" s="2" customFormat="1" x14ac:dyDescent="0.25">
      <c r="A364">
        <v>89</v>
      </c>
      <c r="B364">
        <v>12</v>
      </c>
      <c r="C364">
        <v>28</v>
      </c>
      <c r="D364">
        <v>1</v>
      </c>
      <c r="E364">
        <v>6</v>
      </c>
      <c r="F364" s="3">
        <f>1050.8+(246.4-384.9)+(-2.143632+(-0.502656--0.785196))+0-0-0</f>
        <v>910.43890799999997</v>
      </c>
      <c r="G364" s="3">
        <f>1045+(216.6-415.6)+(-2.66475+(-0.55233--1.05978))+0-0-0</f>
        <v>843.84270000000004</v>
      </c>
      <c r="H364" s="3">
        <f>1025.9+(230.2-435.7)+(0.523209+(0.117402-0.222207))+0-0-0</f>
        <v>820.8184040000001</v>
      </c>
      <c r="I364" s="3">
        <f>961.6+(223.9-380.6)+(-2.45208+(-0.570945--0.97053))+0-0-0</f>
        <v>802.84750499999996</v>
      </c>
      <c r="J364" s="3">
        <f>969.2+(214.3-388.3)+(0.988584+(0.218586-0.396066))+0-0-0</f>
        <v>796.01110400000005</v>
      </c>
      <c r="K364" s="3">
        <f>969.5+(217.5-383.5)+(0+(0-0))+0-0-0</f>
        <v>803.5</v>
      </c>
      <c r="L364" s="3">
        <f>968.2+(210.9-420.5)+(-1.481346+(-0.322677--0.643365))+0-0-0</f>
        <v>757.43934200000001</v>
      </c>
      <c r="M364" s="3">
        <f>1068.4+(203.2-463.2)+(-0.544884+(-0.103632--0.236232))+0-0-0</f>
        <v>807.98771600000009</v>
      </c>
      <c r="N364" s="3">
        <f>1253.7+(202.9-556.8)+(-0.639387+(-0.103479--0.283968))+0-0-0</f>
        <v>899.34110200000009</v>
      </c>
      <c r="O364" s="3">
        <f>1312+(217.1-593.9)+(-2.00736+(-0.332163--0.908667))+0-0-0</f>
        <v>933.7691440000001</v>
      </c>
      <c r="P364" s="3">
        <f>1389.4+(206.9-635.9)+(-0.708594+(-0.105519--0.324309))+0-0-0</f>
        <v>959.91019600000004</v>
      </c>
      <c r="Q364" s="3">
        <f>1309.5+(211.3-566.9)+(-2.67138+(-0.431052--1.156476))+0-0-0</f>
        <v>951.95404400000007</v>
      </c>
      <c r="R364" s="3">
        <f>1284+(220.6-573.5)+(-1.30968+(-0.225012--0.58497))+0-0-0</f>
        <v>930.15027800000007</v>
      </c>
      <c r="S364" s="3">
        <f>1289.7+(222.6-599.9)+(0+(0-0))+0-0-0</f>
        <v>912.40000000000009</v>
      </c>
      <c r="T364" s="3">
        <f>1290+(245-630.1)+(0.6579+(0.12495-0.321351))+0-0-0</f>
        <v>905.36149899999998</v>
      </c>
      <c r="U364" s="3">
        <f>1179.7+(256.7-527.7)+(-0.601647+(-0.130917--0.269127))+0-0-0</f>
        <v>908.23656300000005</v>
      </c>
      <c r="V364" s="3">
        <f>1115.9+(256.1-448.2)+(-2.845545+(-0.653055--1.14291))+0-0-0</f>
        <v>921.4443100000002</v>
      </c>
      <c r="W364" s="3">
        <f>1116.1+(252.7-439)+(-2.276844+(-0.515508--0.89556))+0-0-0</f>
        <v>927.90320799999995</v>
      </c>
      <c r="X364" s="3">
        <f>1425.9+(226.3-531.7)+(-0.727209+(-0.115413--0.271167))+0-0-0</f>
        <v>1119.928545</v>
      </c>
      <c r="Y364" s="3">
        <f>1713.2+(173-675.1)+(-1.747464+(-0.17646--0.688602))+0-0-0</f>
        <v>1209.8646779999999</v>
      </c>
      <c r="Z364" s="3">
        <f>1619.7+(184.9-613.3)+(-0.826047+(-0.094299--0.312783))+0-0-0</f>
        <v>1190.6924370000002</v>
      </c>
      <c r="AA364" s="3">
        <f>1594.3+(194.8-635.5)+(-2.439279+(-0.298044--0.972315))+0-0-0</f>
        <v>1151.8349919999998</v>
      </c>
      <c r="AB364" s="3">
        <f>1594.1+(186-678.8)+(-2.438973+(-0.28458--1.038564))+0-0-0</f>
        <v>1099.6150109999999</v>
      </c>
      <c r="AC364" s="3">
        <f>1544.6+(155.5-682.2)+(-2.363238+(-0.237915--1.043766))+0-0-0</f>
        <v>1016.3426129999999</v>
      </c>
      <c r="AD364">
        <f t="shared" si="5"/>
        <v>22581.634299000005</v>
      </c>
      <c r="AE364" s="3">
        <f>1715+(201.7-675)+(0+(0-0))+0-0-0</f>
        <v>1241.7</v>
      </c>
    </row>
    <row r="365" spans="1:31" s="2" customFormat="1" x14ac:dyDescent="0.25">
      <c r="A365">
        <v>89</v>
      </c>
      <c r="B365">
        <v>12</v>
      </c>
      <c r="C365">
        <v>29</v>
      </c>
      <c r="D365">
        <v>2</v>
      </c>
      <c r="E365">
        <v>2</v>
      </c>
      <c r="F365" s="3">
        <f>1271.9+(220.2-568.2)+(-1.946007+(-0.336906--0.869346))+0-0-0</f>
        <v>922.48643300000015</v>
      </c>
      <c r="G365" s="3">
        <f>929.1+(311.9-386.2)+(-1.421523+(-0.477207--0.590886))+0-0-0</f>
        <v>853.49215599999991</v>
      </c>
      <c r="H365" s="3">
        <f>696.3+(337-244.7)+(-1.420452+(-0.68748--0.499188))+0-0-0</f>
        <v>786.99125599999991</v>
      </c>
      <c r="I365" s="3">
        <f>697.8+(319.6-245.9)+(0.355878+(0.162996-0.125409))+0-0-0</f>
        <v>771.89346499999999</v>
      </c>
      <c r="J365" s="3">
        <f>697.2+(308-248.9)+(1.066716+(0.47124-0.380817))+0-0-0</f>
        <v>757.4571390000001</v>
      </c>
      <c r="K365" s="3">
        <f>697.3+(315.4-250.4)+(-0.711246+(-0.321708--0.255408))+0-0-0</f>
        <v>761.52245399999993</v>
      </c>
      <c r="L365" s="3">
        <f>697.5+(292.7-266.4)+(-1.067175+(-0.447831--0.407592))+0-0-0</f>
        <v>722.69258600000001</v>
      </c>
      <c r="M365" s="3">
        <f>696+(317.6-273.7)+(1.41984+(0.647904-0.558348))+0-0-0</f>
        <v>741.40939600000013</v>
      </c>
      <c r="N365" s="3">
        <f>1006.3+(290.3-463)+(0+(0-0))+0-0-0</f>
        <v>833.59999999999991</v>
      </c>
      <c r="O365" s="3">
        <f>1245+(246.1-596.6)+(-1.2699+(-0.251022--0.608532))+0-0-0</f>
        <v>893.58761000000004</v>
      </c>
      <c r="P365" s="3">
        <f>1264.8+(257.1-597.7)+(-2.580192+(-0.524484--1.219308))+0-0-0</f>
        <v>922.31463199999996</v>
      </c>
      <c r="Q365" s="3">
        <f>1265.2+(269.2-616.2)+(-1.935756+(-0.411876--0.942786))+0-0-0</f>
        <v>916.79515400000003</v>
      </c>
      <c r="R365" s="3">
        <f>1265.2+(250.3-623.8)+(-1.935756+(-0.382959--0.954414))+0-0-0</f>
        <v>890.33569900000009</v>
      </c>
      <c r="S365" s="3">
        <f>1265.1+(248.1-636.3)+(-3.226005+(-0.632655--1.622565))+0-0-0</f>
        <v>874.663905</v>
      </c>
      <c r="T365" s="3">
        <f>1222.4+(255.1-615.6)+(-2.493696+(-0.520404--1.255824))+0-0-0</f>
        <v>860.14172400000007</v>
      </c>
      <c r="U365" s="3">
        <f>1138.7+(309.8-589.2)+(-1.742211+(-0.473994--0.901476))+0-0-0</f>
        <v>857.98527100000001</v>
      </c>
      <c r="V365" s="3">
        <f>1138.9+(283.9-550.5)+(0.580839+(0.144789-0.280755))+0-0-0</f>
        <v>872.7448730000001</v>
      </c>
      <c r="W365" s="3">
        <f>1174.5+(261.4-531.2)+(0+(0-0))+0-0-0</f>
        <v>904.69999999999993</v>
      </c>
      <c r="X365" s="3">
        <f>1284.6+(323.7-501.2)+(0.655146+(0.165087-0.255612))+0-0-0</f>
        <v>1107.6646209999999</v>
      </c>
      <c r="Y365" s="3">
        <f>1285.3+(345.2-450.5)+(-3.277515+(-0.88026--1.148775))+0-0-0</f>
        <v>1176.991</v>
      </c>
      <c r="Z365" s="3">
        <f>1285.6+(352.8-469.1)+(-1.966968+(-0.539784--0.717723))+0-0-0</f>
        <v>1167.5109709999999</v>
      </c>
      <c r="AA365" s="3">
        <f>1285+(357.4-481.5)+(-1.3107+(-0.364548--0.49113))+0-0-0</f>
        <v>1159.7158820000002</v>
      </c>
      <c r="AB365" s="3">
        <f>1281.6+(347.4-500)+(-0.653616+(-0.177174--0.255))+0-0-0</f>
        <v>1128.4242099999999</v>
      </c>
      <c r="AC365" s="3">
        <f>1272.1+(324.7-524.2)+(-2.595084+(-0.662388--1.069368))+0-0-0</f>
        <v>1070.4118959999998</v>
      </c>
      <c r="AD365">
        <f t="shared" si="5"/>
        <v>21955.532333000003</v>
      </c>
      <c r="AE365" s="3">
        <f>1288+(358.5-446.5)+(0+(0-0))+0-0-0</f>
        <v>1200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89</v>
      </c>
      <c r="B1">
        <v>1</v>
      </c>
      <c r="C1">
        <v>1</v>
      </c>
      <c r="D1">
        <v>2</v>
      </c>
      <c r="E1">
        <v>2</v>
      </c>
      <c r="F1" s="3">
        <f>847.3+(18.7-385.9)+(0+(0-0))+0-0-0</f>
        <v>480.09999999999997</v>
      </c>
      <c r="G1" s="3">
        <f>787.4+(0-363.6)+(0+(0-0))+0-0-0</f>
        <v>423.79999999999995</v>
      </c>
      <c r="H1" s="3">
        <f>727.6+(0-355.2)+(0+(0-0))+0-0-0</f>
        <v>372.40000000000003</v>
      </c>
      <c r="I1" s="3">
        <f>727.6+(0-382.3)+(-0.371076+(0--0.194973))+0-0-0</f>
        <v>345.123897</v>
      </c>
      <c r="J1" s="3">
        <f>720.3+(0-381.2)+(-1.836765+(0--0.97206))+0-0-0</f>
        <v>338.23529499999995</v>
      </c>
      <c r="K1" s="3">
        <f>726.4+(0-379.3)+(-0.370464+(0--0.193443))+0-0-0</f>
        <v>346.92297899999994</v>
      </c>
      <c r="L1" s="3">
        <f>713.8+(0-397.1)+(-1.82019+(0--1.012605))+0-0-0</f>
        <v>315.89241499999991</v>
      </c>
      <c r="M1" s="3">
        <f>617.5+(0-291.6)+(0.944775+(0-0.446148))+0-0-0</f>
        <v>326.39862699999998</v>
      </c>
      <c r="N1" s="3">
        <f>659.7+(0-295.3)+(0+(0-0))+0-0-0</f>
        <v>364.40000000000003</v>
      </c>
      <c r="O1" s="3">
        <f>863+(0-434.5)+(-1.76052+(0--0.88638))+0-0-0</f>
        <v>427.62585999999999</v>
      </c>
      <c r="P1" s="3">
        <f>861.7+(0-398.7)+(-2.197335+(0--1.016685))+0-0-0</f>
        <v>461.81935000000004</v>
      </c>
      <c r="Q1" s="3">
        <f>865.4+(0-405.8)+(-0.882708+(0--0.413916))+0-0-0</f>
        <v>459.13120799999996</v>
      </c>
      <c r="R1" s="3">
        <f>863.5+(0-422.6)+(-0.88077+(0--0.431052))+0-0-0</f>
        <v>440.45028199999996</v>
      </c>
      <c r="S1" s="3">
        <f>722.5+(10.8-318.4)+(0+(0-0))+0-0-0</f>
        <v>414.90000000000003</v>
      </c>
      <c r="T1" s="3">
        <f>792.6+(0-382.4)+(-1.212678+(0--0.585072))+0-0-0</f>
        <v>409.57239400000003</v>
      </c>
      <c r="U1" s="3">
        <f>654.8+(22.4-282)+(-1.001844+(-0.034272--0.43146))+0-0-0</f>
        <v>394.59534399999995</v>
      </c>
      <c r="V1" s="3">
        <f>651.4+(54.6-293.2)+(-0.996642+(-0.083538--0.448596))+0-0-0</f>
        <v>412.16841599999998</v>
      </c>
      <c r="W1" s="3">
        <f>654.1+(62.8-292.9)+(-0.667182+(-0.064056--0.298758))+0-0-0</f>
        <v>423.56752000000006</v>
      </c>
      <c r="X1" s="3">
        <f>837.6+(86.6-413)+(-0.427176+(-0.044166--0.21063))+0-0-0</f>
        <v>510.93928800000003</v>
      </c>
      <c r="Y1" s="3">
        <f>892.6+(165.3-464.6)+(0+(0-0))+0-0-0</f>
        <v>593.29999999999995</v>
      </c>
      <c r="Z1" s="3">
        <f>890.1+(170.8-462.3)+(-0.453951+(-0.087108--0.235773))+0-0-0</f>
        <v>598.294714</v>
      </c>
      <c r="AA1" s="3">
        <f>883.2+(168.4-457.9)+(-2.25216+(-0.42942--1.167645))+0-0-0</f>
        <v>592.1860650000001</v>
      </c>
      <c r="AB1" s="3">
        <f>884.5+(95.2-412.3)+(-0.90219+(-0.097104--0.420546))+0-0-0</f>
        <v>566.82125199999996</v>
      </c>
      <c r="AC1" s="3">
        <f>878.6+(90.4-448.6)+(-3.136602+(-0.322728--1.601502))+0-0-0</f>
        <v>518.54217199999994</v>
      </c>
      <c r="AD1">
        <f t="shared" ref="AD1:AD64" si="0">SUM(F1:AC1)</f>
        <v>10537.187077999997</v>
      </c>
      <c r="AE1" s="3">
        <f>896+(168-504)+(0+(0-0))+0-0-0</f>
        <v>560</v>
      </c>
    </row>
    <row r="2" spans="1:31" s="2" customFormat="1" x14ac:dyDescent="0.25">
      <c r="A2">
        <v>89</v>
      </c>
      <c r="B2">
        <v>1</v>
      </c>
      <c r="C2">
        <v>2</v>
      </c>
      <c r="D2">
        <v>3</v>
      </c>
      <c r="E2">
        <v>2</v>
      </c>
      <c r="F2" s="3">
        <f>(G2+AC1)/2</f>
        <v>520.10426099999995</v>
      </c>
      <c r="G2" s="3">
        <f>880+(58-415)+(-2.244+(-0.1479--1.05825))+0-0-0</f>
        <v>521.66634999999997</v>
      </c>
      <c r="H2" s="3">
        <f>879+(0-485.9)+(-2.68974+(0--1.486854))+0-0-0</f>
        <v>391.89711400000004</v>
      </c>
      <c r="I2" s="3">
        <f>797.5+(0-435.3)+(-0.81345+(0--0.444006))+0-0-0</f>
        <v>361.830556</v>
      </c>
      <c r="J2" s="3">
        <f>799.6+(0-454.2)+(0+(0-0))+0-0-0</f>
        <v>345.40000000000003</v>
      </c>
      <c r="K2" s="3">
        <f>806.4+(0-462.4)+(0.822528+(0-0.471648))+0-0-0</f>
        <v>344.35088000000002</v>
      </c>
      <c r="L2" s="3">
        <f>804.4+(1.3-459.8)+(0.410244+(0.000663-0.234498))+0-0-0</f>
        <v>346.07640899999996</v>
      </c>
      <c r="M2" s="3">
        <f>771.9+(2.5-459.4)+(-1.968345+(-0.006375--1.17147))+0-0-0</f>
        <v>314.19675000000001</v>
      </c>
      <c r="N2" s="3">
        <f>772+(0-447.4)+(-0.78744+(0--0.456348))+0-0-0</f>
        <v>324.26890800000001</v>
      </c>
      <c r="O2" s="3">
        <f>773.7+(0-417.7)+(-0.789174+(0--0.426054))+0-0-0</f>
        <v>355.63688000000008</v>
      </c>
      <c r="P2" s="3">
        <f>777.3+(0-379.9)+(-0.792846+(0--0.387498))+0-0-0</f>
        <v>396.99465199999997</v>
      </c>
      <c r="Q2" s="3">
        <f>773+(0-345.6)+(-1.18269+(0--0.528768))+0-0-0</f>
        <v>426.74607799999995</v>
      </c>
      <c r="R2" s="3">
        <f>754.6+(0-309)+(0+(0-0))+0-0-0</f>
        <v>445.6</v>
      </c>
      <c r="S2" s="3">
        <f>748.9+(0-305.1)+(-1.909695+(0--0.778005))+0-0-0</f>
        <v>442.66830999999996</v>
      </c>
      <c r="T2" s="3">
        <f>718.4+(1.3-289.2)+(-0.366384+(-0.000663--0.147492))+0-0-0</f>
        <v>430.28044499999999</v>
      </c>
      <c r="U2" s="3">
        <f>670.6+(77.6-343.9)+(-0.342006+(-0.039576--0.175389))+0-0-0</f>
        <v>404.09380700000008</v>
      </c>
      <c r="V2" s="3">
        <f>694.9+(70-358.8)+(-1.063197+(-0.1071--0.548964))+0-0-0</f>
        <v>405.47866699999997</v>
      </c>
      <c r="W2" s="3">
        <f>801.9+(39.2-424.3)+(-0.817938+(-0.039984--0.432786))+0-0-0</f>
        <v>416.37486399999995</v>
      </c>
      <c r="X2" s="3">
        <f>898.1+(45.6-509.5)+(0+(0-0))+0-0-0</f>
        <v>434.20000000000005</v>
      </c>
      <c r="Y2" s="3">
        <f>894.7+(93.4-464)+(-0.456297+(-0.047634--0.23664))+0-0-0</f>
        <v>523.83270900000002</v>
      </c>
      <c r="Z2" s="3">
        <f>889.6+(211-470.9)+(-1.814784+(-0.43044--0.960636))+0-0-0</f>
        <v>628.41541200000006</v>
      </c>
      <c r="AA2" s="3">
        <f>892.2+(195.9-457.2)+(-0.910044+(-0.199818--0.466344))+0-0-0</f>
        <v>630.25648200000012</v>
      </c>
      <c r="AB2" s="3">
        <f>889.1+(178.8-457)+(-1.360323+(-0.273564--0.69921))+0-0-0</f>
        <v>609.96532300000013</v>
      </c>
      <c r="AC2" s="3">
        <f>886.1+(151.7-468.9)+(-1.355733+(-0.232101--0.717417))+0-0-0</f>
        <v>568.02958300000012</v>
      </c>
      <c r="AD2">
        <f t="shared" si="0"/>
        <v>10588.364440000003</v>
      </c>
      <c r="AE2" s="3">
        <f>901+(218-500)+(0+(0-0))+0-0-0</f>
        <v>619</v>
      </c>
    </row>
    <row r="3" spans="1:31" s="2" customFormat="1" x14ac:dyDescent="0.25">
      <c r="A3">
        <v>89</v>
      </c>
      <c r="B3">
        <v>1</v>
      </c>
      <c r="C3">
        <v>3</v>
      </c>
      <c r="D3">
        <v>4</v>
      </c>
      <c r="E3">
        <v>2</v>
      </c>
      <c r="F3" s="3">
        <f>878.8+(89.6-448.1)+(-1.792752+(-0.182784--0.914124))+0-0-0</f>
        <v>519.23858799999994</v>
      </c>
      <c r="G3" s="3">
        <f>878.9+(22-445.4)+(-1.344717+(-0.03366--0.681462))+0-0-0</f>
        <v>454.80308500000001</v>
      </c>
      <c r="H3" s="3">
        <f>873.3+(2.2-475.7)+(-2.672298+(-0.006732--1.455642))+0-0-0</f>
        <v>398.57661199999995</v>
      </c>
      <c r="I3" s="3">
        <f>702.5+(44.2-374.8)+(-0.71655+(-0.045084--0.382296))+0-0-0</f>
        <v>371.52066199999996</v>
      </c>
      <c r="J3" s="3">
        <f>614.3+(64.7-323.1)+(-0.939879+(-0.098991--0.494343))+0-0-0</f>
        <v>355.3554729999999</v>
      </c>
      <c r="K3" s="3">
        <f>617.2+(50-308.4)+(-0.314772+(-0.0255--0.157284))+0-0-0</f>
        <v>358.61701200000005</v>
      </c>
      <c r="L3" s="3">
        <f>614.9+(49-304.4)+(-1.254396+(-0.09996--0.620976))+0-0-0</f>
        <v>358.76661999999999</v>
      </c>
      <c r="M3" s="3">
        <f>612.7+(41.3-331.7)+(-0.937431+(-0.063189--0.507501))+0-0-0</f>
        <v>321.80688100000009</v>
      </c>
      <c r="N3" s="3">
        <f>619.9+(42.7-324.5)+(0.316149+(0.021777-0.165495))+0-0-0</f>
        <v>338.27243099999998</v>
      </c>
      <c r="O3" s="3">
        <f>646.2+(56.5-328)+(0+(0-0))+0-0-0</f>
        <v>374.70000000000005</v>
      </c>
      <c r="P3" s="3">
        <f>827.3+(41.1-437.5)+(0.421923+(0.020961-0.223125))+0-0-0</f>
        <v>431.11975899999999</v>
      </c>
      <c r="Q3" s="3">
        <f>889.8+(54-496.4)+(-0.453798+(-0.02754--0.253164))+0-0-0</f>
        <v>447.17182599999995</v>
      </c>
      <c r="R3" s="3">
        <f>882.8+(47.9-480.5)+(-0.900456+(-0.048858--0.49011))+0-0-0</f>
        <v>449.74079599999993</v>
      </c>
      <c r="S3" s="3">
        <f>872.5+(35.6-464.7)+(-0.444975+(-0.018156--0.236997))+0-0-0</f>
        <v>443.17386600000003</v>
      </c>
      <c r="T3" s="3">
        <f>853+(33.9-457.7)+(0+(0-0))+0-0-0</f>
        <v>429.2</v>
      </c>
      <c r="U3" s="3">
        <f>781.9+(46.7-418.9)+(-1.196307+(-0.071451--0.640917))+0-0-0</f>
        <v>409.07315899999998</v>
      </c>
      <c r="V3" s="3">
        <f>750.3+(59.4-426.6)+(-0.765306+(-0.060588--0.435132))+0-0-0</f>
        <v>382.70923799999991</v>
      </c>
      <c r="W3" s="3">
        <f>639.8+(98.6-362.9)+(-0.652596+(-0.100572--0.370158))+0-0-0</f>
        <v>375.11698999999999</v>
      </c>
      <c r="X3" s="3">
        <f>639.4+(98.4-342.9)+(0+(0-0))+0-0-0</f>
        <v>394.9</v>
      </c>
      <c r="Y3" s="3">
        <f>828.3+(78.2-404.5)+(0+(0-0))+0-0-0</f>
        <v>501.99999999999994</v>
      </c>
      <c r="Z3" s="3">
        <f>880.3+(174.4-454.3)+(-1.795812+(-0.355776--0.926772))+0-0-0</f>
        <v>599.17518399999994</v>
      </c>
      <c r="AA3" s="3">
        <f>884.4+(168.4-461.1)+(0+(0-0))+0-0-0</f>
        <v>591.69999999999993</v>
      </c>
      <c r="AB3" s="3">
        <f>880.5+(149.7-455.7)+(-0.449055+(-0.076347--0.232407))+0-0-0</f>
        <v>574.20700499999998</v>
      </c>
      <c r="AC3" s="3">
        <f>907+(136.3-492)+(-0.92514+(-0.139026--0.50184))+0-0-0</f>
        <v>550.73767399999997</v>
      </c>
      <c r="AD3">
        <f t="shared" si="0"/>
        <v>10431.682860999999</v>
      </c>
      <c r="AE3" s="3">
        <f>877+(183-489)+(0+(0-0))+0-0-0</f>
        <v>571</v>
      </c>
    </row>
    <row r="4" spans="1:31" s="2" customFormat="1" x14ac:dyDescent="0.25">
      <c r="A4">
        <v>89</v>
      </c>
      <c r="B4">
        <v>1</v>
      </c>
      <c r="C4">
        <v>4</v>
      </c>
      <c r="D4">
        <v>5</v>
      </c>
      <c r="E4">
        <v>2</v>
      </c>
      <c r="F4" s="3">
        <f>940.2+(69.7-499.8)+(-0.959004+(-0.071094--0.509796))+0-0-0</f>
        <v>509.57969800000001</v>
      </c>
      <c r="G4" s="3">
        <f>886.4+(9.3-455.8)+(-1.808256+(-0.018972--0.929832))+0-0-0</f>
        <v>439.00260399999996</v>
      </c>
      <c r="H4" s="3">
        <f>739.6+(17.9-384.2)+(-1.131588+(-0.027387--0.587826))+0-0-0</f>
        <v>372.72885100000002</v>
      </c>
      <c r="I4" s="3">
        <f>638.5+(25.9-323.6)+(0.65127+(0.026418-0.330072))+0-0-0</f>
        <v>341.14761599999997</v>
      </c>
      <c r="J4" s="3">
        <f>710.1+(3.2-385.1)+(-0.362151+(-0.001632--0.196401))+0-0-0</f>
        <v>328.03261800000001</v>
      </c>
      <c r="K4" s="3">
        <f>628.1+(17.1-322.2)+(0.320331+(0.008721-0.164322))+0-0-0</f>
        <v>323.16473000000008</v>
      </c>
      <c r="L4" s="3">
        <f>626.4+(22.5-323.4)+(-0.319464+(-0.011475--0.164934))+0-0-0</f>
        <v>325.33399500000002</v>
      </c>
      <c r="M4" s="3">
        <f>625.8+(19-343.9)+(-0.638316+(-0.01938--0.350778))+0-0-0</f>
        <v>300.59308199999998</v>
      </c>
      <c r="N4" s="3">
        <f>628.3+(23.1-337.6)+(0+(0-0))+0-0-0</f>
        <v>313.79999999999995</v>
      </c>
      <c r="O4" s="3">
        <f>638.7+(45.2-328.1)+(0.325737+(0.023052-0.167331))+0-0-0</f>
        <v>355.98145800000003</v>
      </c>
      <c r="P4" s="3">
        <f>769.3+(33.5-408.6)+(-1.569372+(-0.06834--0.833544))+0-0-0</f>
        <v>393.39583199999993</v>
      </c>
      <c r="Q4" s="3">
        <f>812.5+(30.2-425.1)+(-0.82875+(-0.030804--0.433602))+0-0-0</f>
        <v>417.17404799999997</v>
      </c>
      <c r="R4" s="3">
        <f>887.3+(17.4-476.1)+(0+(0-0))+0-0-0</f>
        <v>428.59999999999991</v>
      </c>
      <c r="S4" s="3">
        <f>829.6+(25-435.5)+(0.423096+(0.01275-0.222105))+0-0-0</f>
        <v>419.31374100000005</v>
      </c>
      <c r="T4" s="3">
        <f>756.9+(45.8-407.4)+(-0.772038+(-0.046716--0.415548))+0-0-0</f>
        <v>394.896794</v>
      </c>
      <c r="U4" s="3">
        <f>753.8+(32.6-398.6)+(-1.153314+(-0.049878--0.609858))+0-0-0</f>
        <v>387.20666599999993</v>
      </c>
      <c r="V4" s="3">
        <f>759.8+(30.7-397)+(0+(0-0))+0-0-0</f>
        <v>393.49999999999994</v>
      </c>
      <c r="W4" s="3">
        <f>755.5+(44.6-384)+(-0.385305+(-0.022746--0.19584))+0-0-0</f>
        <v>415.887789</v>
      </c>
      <c r="X4" s="3">
        <f>825.1+(51.5-420.6)+(-0.420801+(-0.026265--0.214506))+0-0-0</f>
        <v>455.76744000000002</v>
      </c>
      <c r="Y4" s="3">
        <f>893.4+(104.3-435.2)+(-0.455634+(-0.053193--0.221952))+0-0-0</f>
        <v>562.21312499999999</v>
      </c>
      <c r="Z4" s="3">
        <f>889.9+(204.3-440.2)+(-1.815396+(-0.416772--0.898008))+0-0-0</f>
        <v>652.66584</v>
      </c>
      <c r="AA4" s="3">
        <f>890.6+(187.6-442.2)+(-0.908412+(-0.191352--0.451044))+0-0-0</f>
        <v>635.35127999999997</v>
      </c>
      <c r="AB4" s="3">
        <f>891.9+(156.6-445.2)+(0+(0-0))+0-0-0</f>
        <v>603.29999999999995</v>
      </c>
      <c r="AC4" s="3">
        <f>889.4+(132.2-452.4)+(-0.907188+(-0.134844--0.461448))+0-0-0</f>
        <v>568.619416</v>
      </c>
      <c r="AD4">
        <f t="shared" si="0"/>
        <v>10337.256622999999</v>
      </c>
      <c r="AE4" s="3">
        <f>893+(203-470)+(0+(0-0))+0-0-0</f>
        <v>626</v>
      </c>
    </row>
    <row r="5" spans="1:31" s="2" customFormat="1" x14ac:dyDescent="0.25">
      <c r="A5">
        <v>89</v>
      </c>
      <c r="B5">
        <v>1</v>
      </c>
      <c r="C5">
        <v>5</v>
      </c>
      <c r="D5">
        <v>6</v>
      </c>
      <c r="E5">
        <v>6</v>
      </c>
      <c r="F5" s="3">
        <f>884+(97.8-464.6)+(-2.2542+(-0.24939--1.18473))+0-0-0</f>
        <v>515.88114000000007</v>
      </c>
      <c r="G5" s="3">
        <f>743+(85.8-384)+(-1.13679+(-0.131274--0.58752))+0-0-0</f>
        <v>444.11945600000001</v>
      </c>
      <c r="H5" s="3">
        <f>703.7+(45.1-352.6)+(-0.717774+(-0.046002--0.359652))+0-0-0</f>
        <v>395.79587600000002</v>
      </c>
      <c r="I5" s="3">
        <f>708+(35.9-373.2)+(-0.36108+(-0.018309--0.190332))+0-0-0</f>
        <v>370.510943</v>
      </c>
      <c r="J5" s="3">
        <f>710+(27.5-374.7)+(-0.3621+(-0.014025--0.191097))+0-0-0</f>
        <v>362.61497200000002</v>
      </c>
      <c r="K5" s="3">
        <f>708.6+(25.6-371.8)+(-0.361386+(-0.013056--0.189618))+0-0-0</f>
        <v>362.21517600000004</v>
      </c>
      <c r="L5" s="3">
        <f>706.3+(34.9-377.4)+(-1.440852+(-0.071196--0.769896))+0-0-0</f>
        <v>363.05784799999998</v>
      </c>
      <c r="M5" s="3">
        <f>711.1+(32.7-398)+(0.362661+(0.016677-0.20298))+0-0-0</f>
        <v>345.976358</v>
      </c>
      <c r="N5" s="3">
        <f>713.5+(42-393.6)+(0.363885+(0.02142-0.200736))+0-0-0</f>
        <v>362.08456899999999</v>
      </c>
      <c r="O5" s="3">
        <f>861.1+(21.4-479.7)+(0.439161+(0.010914-0.244647))+0-0-0</f>
        <v>403.00542799999999</v>
      </c>
      <c r="P5" s="3">
        <f>891.1+(30.7-475)+(0+(0-0))+0-0-0</f>
        <v>446.8</v>
      </c>
      <c r="Q5" s="3">
        <f>899.7+(37.6-468.6)+(0.917694+(0.038352-0.477972))+0-0-0</f>
        <v>469.17807400000004</v>
      </c>
      <c r="R5" s="3">
        <f>895.1+(39.1-468.6)+(-0.456501+(-0.019941--0.238986))+0-0-0</f>
        <v>465.36254400000001</v>
      </c>
      <c r="S5" s="3">
        <f>894.3+(29.3-468.8)+(-0.912186+(-0.029886--0.478176))+0-0-0</f>
        <v>454.33610399999998</v>
      </c>
      <c r="T5" s="3">
        <f>890.5+(7.7-463.9)+(0.454155+(0.003927-0.236589))+0-0-0</f>
        <v>434.52149300000002</v>
      </c>
      <c r="U5" s="3">
        <f>873.7+(9.2-473.6)+(-0.891174+(-0.009384--0.483072))+0-0-0</f>
        <v>408.88251400000001</v>
      </c>
      <c r="V5" s="3">
        <f>875.7+(3.3-498.2)+(0+(0-0))+0-0-0</f>
        <v>380.80000000000007</v>
      </c>
      <c r="W5" s="3">
        <f>868.9+(6.1-492.6)+(-1.329417+(-0.009333--0.753678))+0-0-0</f>
        <v>381.81492799999995</v>
      </c>
      <c r="X5" s="3">
        <f>873.7+(23.9-494.4)+(-1.782348+(-0.048756--1.008576))+0-0-0</f>
        <v>402.37747200000007</v>
      </c>
      <c r="Y5" s="3">
        <f>897.4+(88.1-485.8)+(-0.915348+(-0.089862--0.495516))+0-0-0</f>
        <v>499.19030599999991</v>
      </c>
      <c r="Z5" s="3">
        <f>902.3+(186.7-480.5)+(-1.380519+(-0.285651--0.735165))+0-0-0</f>
        <v>607.56899499999997</v>
      </c>
      <c r="AA5" s="3">
        <f>906.7+(175.5-478.1)+(0+(0-0))+0-0-0</f>
        <v>604.1</v>
      </c>
      <c r="AB5" s="3">
        <f>901.8+(144.2-471.3)+(-0.459918+(-0.073542--0.240363))+0-0-0</f>
        <v>574.40690299999994</v>
      </c>
      <c r="AC5" s="3">
        <f>897.2+(124.9-482.7)+(-0.915144+(-0.127398--0.492354))+0-0-0</f>
        <v>538.84981200000004</v>
      </c>
      <c r="AD5">
        <f t="shared" si="0"/>
        <v>10593.450911</v>
      </c>
      <c r="AE5" s="3">
        <f>898+(204-495)+(0+(0-0))+0-0-0</f>
        <v>607</v>
      </c>
    </row>
    <row r="6" spans="1:31" s="2" customFormat="1" x14ac:dyDescent="0.25">
      <c r="A6">
        <v>89</v>
      </c>
      <c r="B6">
        <v>1</v>
      </c>
      <c r="C6">
        <v>6</v>
      </c>
      <c r="D6">
        <v>7</v>
      </c>
      <c r="E6">
        <v>1</v>
      </c>
      <c r="F6" s="3">
        <f>897.2+(90.6-492.4)+(-0.457572+(-0.046206--0.251124))+0-0-0</f>
        <v>495.14734600000008</v>
      </c>
      <c r="G6" s="3">
        <f>892.4+(48-517.2)+(-0.910248+(-0.04896--0.527544))+0-0-0</f>
        <v>422.76833599999992</v>
      </c>
      <c r="H6" s="3">
        <f>889.3+(0-514.8)+(-1.360629+(0--0.787644))+0-0-0</f>
        <v>373.92701499999998</v>
      </c>
      <c r="I6" s="3">
        <f>893.8+(1.5-540)+(0+(0-0))+0-0-0</f>
        <v>355.29999999999995</v>
      </c>
      <c r="J6" s="3">
        <f>888.4+(2.8-547.1)+(-1.359252+(-0.004284--0.837063))+0-0-0</f>
        <v>343.5735269999999</v>
      </c>
      <c r="K6" s="3">
        <f>893.4+(0-554.1)+(0+(0-0))+0-0-0</f>
        <v>339.29999999999995</v>
      </c>
      <c r="L6" s="3">
        <f>900.9+(0-566)+(1.378377+(0-0.86598))+0-0-0</f>
        <v>335.412397</v>
      </c>
      <c r="M6" s="3">
        <f>882.7+(0-581.7)+(-2.701062+(0--1.780002))+0-0-0</f>
        <v>300.07893999999999</v>
      </c>
      <c r="N6" s="3">
        <f>894.5+(1.3-583)+(0.91239+(0.001326-0.59466))+0-0-0</f>
        <v>313.11905599999994</v>
      </c>
      <c r="O6" s="3">
        <f>900.4+(3.3-553.6)+(0+(0-0))+0-0-0</f>
        <v>350.09999999999991</v>
      </c>
      <c r="P6" s="3">
        <f>894.8+(10.2-522.5)+(0+(0-0))+0-0-0</f>
        <v>382.5</v>
      </c>
      <c r="Q6" s="3">
        <f>897.4+(11.3-504.4)+(0.915348+(0.011526-0.514488))+0-0-0</f>
        <v>404.71238600000004</v>
      </c>
      <c r="R6" s="3">
        <f>893.5+(12.6-497.1)+(0+(0-0))+0-0-0</f>
        <v>409</v>
      </c>
      <c r="S6" s="3">
        <f>887.1+(6.2-491.1)+(-1.357263+(-0.009486--0.751383))+0-0-0</f>
        <v>401.58463399999999</v>
      </c>
      <c r="T6" s="3">
        <f>886.1+(0-500.4)+(-1.355733+(0--0.765612))+0-0-0</f>
        <v>385.10987900000003</v>
      </c>
      <c r="U6" s="3">
        <f>884.1+(0-497.4)+(-1.352673+(0--0.761022))+0-0-0</f>
        <v>386.10834900000003</v>
      </c>
      <c r="V6" s="3">
        <f>885.1+(0-499.9)+(-1.354203+(0--0.764847))+0-0-0</f>
        <v>384.61064400000004</v>
      </c>
      <c r="W6" s="3">
        <f>891+(9.5-502.9)+(0+(0-0))+0-0-0</f>
        <v>397.6</v>
      </c>
      <c r="X6" s="3">
        <f>885.9+(43.2-492.6)+(-1.355427+(-0.066096--0.753678))+0-0-0</f>
        <v>435.83215499999994</v>
      </c>
      <c r="Y6" s="3">
        <f>880.9+(94.1-447.6)+(-1.347777+(-0.143973--0.684828))+0-0-0</f>
        <v>526.59307799999999</v>
      </c>
      <c r="Z6" s="3">
        <f>879.1+(194.3-469.4)+(-1.793364+(-0.396372--0.957576))+0-0-0</f>
        <v>602.76783999999998</v>
      </c>
      <c r="AA6" s="3">
        <f>884.5+(188.3-481.2)+(-0.90219+(-0.192066--0.490824))+0-0-0</f>
        <v>590.99656800000002</v>
      </c>
      <c r="AB6" s="3">
        <f>883.4+(153.1-472.2)+(-0.450534+(-0.078081--0.240822))+0-0-0</f>
        <v>564.01220699999999</v>
      </c>
      <c r="AC6" s="3">
        <f>882+(150-465.8)+(0+(0-0))+0-0-0</f>
        <v>566.20000000000005</v>
      </c>
      <c r="AD6">
        <f t="shared" si="0"/>
        <v>10066.354357</v>
      </c>
      <c r="AE6" s="3">
        <f>880+(177-485)+(0+(0-0))+0-0-0</f>
        <v>572</v>
      </c>
    </row>
    <row r="7" spans="1:31" s="2" customFormat="1" x14ac:dyDescent="0.25">
      <c r="A7">
        <v>89</v>
      </c>
      <c r="B7">
        <v>1</v>
      </c>
      <c r="C7">
        <v>7</v>
      </c>
      <c r="D7">
        <v>1</v>
      </c>
      <c r="E7">
        <v>1</v>
      </c>
      <c r="F7" s="3">
        <f>875.5+(112.9-507.5)+(-0.446505+(-0.057579--0.258825))+0-0-0</f>
        <v>480.654741</v>
      </c>
      <c r="G7" s="3">
        <f>870.2+(57.8-514.6)+(-1.331406+(-0.088434--0.787338))+0-0-0</f>
        <v>412.76749800000005</v>
      </c>
      <c r="H7" s="3">
        <f>872.3+(33.3-535.6)+(0+(0-0))+0-0-0</f>
        <v>369.99999999999994</v>
      </c>
      <c r="I7" s="3">
        <f>866.3+(24.7-536.4)+(-1.767252+(-0.050388--1.094256))+0-0-0</f>
        <v>353.87661599999996</v>
      </c>
      <c r="J7" s="3">
        <f>881.9+(8.3-542.8)+(0.449769+(0.004233-0.276828))+0-0-0</f>
        <v>347.57717399999996</v>
      </c>
      <c r="K7" s="3">
        <f>878.9+(0-531.1)+(-0.448239+(0--0.270861))+0-0-0</f>
        <v>347.62262199999998</v>
      </c>
      <c r="L7" s="3">
        <f>877.5+(11.3-534)+(-0.89505+(-0.011526--0.54468))+0-0-0</f>
        <v>354.43810399999995</v>
      </c>
      <c r="M7" s="3">
        <f>876+(23.9-546.9)+(-1.78704+(-0.048756--1.115676))+0-0-0</f>
        <v>352.27987999999999</v>
      </c>
      <c r="N7" s="3">
        <f>887.9+(31.1-534.9)+(0.905658+(0.031722-0.545598))+0-0-0</f>
        <v>384.491782</v>
      </c>
      <c r="O7" s="3">
        <f>953.1+(73.4-578.2)+(-0.486081+(-0.037434--0.294882))+0-0-0</f>
        <v>448.07136699999995</v>
      </c>
      <c r="P7" s="3">
        <f>1024.5+(103.4-613.9)+(0+(0-0))+0-0-0</f>
        <v>514</v>
      </c>
      <c r="Q7" s="3">
        <f>1079.4+(95.8-623.2)+(-1.100988+(-0.097716--0.635664))+0-0-0</f>
        <v>551.43696</v>
      </c>
      <c r="R7" s="3">
        <f>1082.5+(99-631.8)+(-0.552075+(-0.05049--0.322218))+0-0-0</f>
        <v>549.41965300000004</v>
      </c>
      <c r="S7" s="3">
        <f>1074.5+(96.3-632.7)+(-1.643985+(-0.147339--0.968031))+0-0-0</f>
        <v>537.27670699999987</v>
      </c>
      <c r="T7" s="3">
        <f>1070.6+(80.3-630.5)+(-2.184024+(-0.163812--1.28622))+0-0-0</f>
        <v>519.33838399999991</v>
      </c>
      <c r="U7" s="3">
        <f>1078.9+(74.3-649.2)+(-1.100478+(-0.075786--0.662184))+0-0-0</f>
        <v>503.48592000000002</v>
      </c>
      <c r="V7" s="3">
        <f>1073.1+(81.5-639.5)+(-2.736405+(-0.207825--1.630725))+0-0-0</f>
        <v>513.78649499999995</v>
      </c>
      <c r="W7" s="3">
        <f>1085.5+(84.7-624.7)+(0+(0-0))+0-0-0</f>
        <v>545.5</v>
      </c>
      <c r="X7" s="3">
        <f>1081.5+(98.6-595.6)+(-1.654695+(-0.150858--0.911268))+0-0-0</f>
        <v>583.60571500000003</v>
      </c>
      <c r="Y7" s="3">
        <f>1088.6+(132.4-561.3)+(0+(0-0))+0-0-0</f>
        <v>659.69999999999993</v>
      </c>
      <c r="Z7" s="3">
        <f>1085.5+(178.7-565)+(-1.10721+(-0.182274--0.5763))+0-0-0</f>
        <v>698.48681600000009</v>
      </c>
      <c r="AA7" s="3">
        <f>1086.4+(153.5-556.6)+(-1.108128+(-0.15657--0.567732))+0-0-0</f>
        <v>682.60303400000009</v>
      </c>
      <c r="AB7" s="3">
        <f>1086.2+(120.5-563.1)+(-0.553962+(-0.061455--0.287181))+0-0-0</f>
        <v>643.27176400000008</v>
      </c>
      <c r="AC7" s="3">
        <f>1085.2+(117.6-599.5)+(-0.553452+(-0.059976--0.305745))+0-0-0</f>
        <v>602.99231700000007</v>
      </c>
      <c r="AD7">
        <f t="shared" si="0"/>
        <v>11956.683549000001</v>
      </c>
      <c r="AE7" s="3">
        <f>1086+(173-584)+(0+(0-0))+0-0-0</f>
        <v>675</v>
      </c>
    </row>
    <row r="8" spans="1:31" s="2" customFormat="1" x14ac:dyDescent="0.25">
      <c r="A8">
        <v>89</v>
      </c>
      <c r="B8">
        <v>1</v>
      </c>
      <c r="C8">
        <v>8</v>
      </c>
      <c r="D8">
        <v>2</v>
      </c>
      <c r="E8">
        <v>1</v>
      </c>
      <c r="F8" s="3">
        <f>1078.2+(105.6-650.4)+(-2.199528+(-0.215424--1.326816))+0-0-0</f>
        <v>532.31186400000013</v>
      </c>
      <c r="G8" s="3">
        <f>1081.7+(41.2-656.7)+(-1.655001+(-0.063036--1.004751))+0-0-0</f>
        <v>465.48671400000006</v>
      </c>
      <c r="H8" s="3">
        <f>1091.1+(0-660.8)+(-2.225844+(0--1.348032))+0-0-0</f>
        <v>429.42218799999995</v>
      </c>
      <c r="I8" s="3">
        <f>940.9+(1.2-539.8)+(-0.959718+(-0.001224--0.550596))+0-0-0</f>
        <v>401.88965400000006</v>
      </c>
      <c r="J8" s="3">
        <f>818.4+(23.6-456.7)+(0+(0-0))+0-0-0</f>
        <v>385.3</v>
      </c>
      <c r="K8" s="3">
        <f>819.2+(22.6-453.2)+(0.417792+(0.011526-0.231132))+0-0-0</f>
        <v>388.7981860000001</v>
      </c>
      <c r="L8" s="3">
        <f>824.9+(21.1-455.9)+(0.841398+(0.021522-0.465018))+0-0-0</f>
        <v>390.49790200000001</v>
      </c>
      <c r="M8" s="3">
        <f>857.8+(2.6-480.6)+(-0.437478+(-0.001326--0.245106))+0-0-0</f>
        <v>379.60630199999997</v>
      </c>
      <c r="N8" s="3">
        <f>1080.4+(0-663.1)+(-0.551004+(0--0.338181))+0-0-0</f>
        <v>417.08717700000005</v>
      </c>
      <c r="O8" s="3">
        <f>1082.5+(18.3-636.2)+(-1.10415+(-0.018666--0.648924))+0-0-0</f>
        <v>464.12610799999993</v>
      </c>
      <c r="P8" s="3">
        <f>1090.5+(51-624.5)+(0+(0-0))+0-0-0</f>
        <v>517</v>
      </c>
      <c r="Q8" s="3">
        <f>1087.4+(65-606.5)+(-1.109148+(-0.0663--0.61863))+0-0-0</f>
        <v>545.34318200000007</v>
      </c>
      <c r="R8" s="3">
        <f>1085.4+(49.8-593.3)+(-1.660662+(-0.076194--0.907749))+0-0-0</f>
        <v>541.07089300000007</v>
      </c>
      <c r="S8" s="3">
        <f>1092.8+(31.5-592)+(0+(0-0))+0-0-0</f>
        <v>532.29999999999995</v>
      </c>
      <c r="T8" s="3">
        <f>1084.2+(12.9-578.1)+(-2.211768+(-0.026316--1.179324))+0-0-0</f>
        <v>517.94123999999999</v>
      </c>
      <c r="U8" s="3">
        <f>1084.4+(4.6-578.6)+(-1.659132+(-0.007038--0.885258))+0-0-0</f>
        <v>509.61908800000009</v>
      </c>
      <c r="V8" s="3">
        <f>1090.5+(7.5-584.9)+(-0.556155+(-0.003825--0.298299))+0-0-0</f>
        <v>512.83831900000007</v>
      </c>
      <c r="W8" s="3">
        <f>1087.9+(24.3-578.3)+(-1.664487+(-0.037179--0.884799))+0-0-0</f>
        <v>533.08313300000009</v>
      </c>
      <c r="X8" s="3">
        <f>1090.7+(40-576.2)+(-0.556257+(-0.0204--0.293862))+0-0-0</f>
        <v>554.21720500000004</v>
      </c>
      <c r="Y8" s="3">
        <f>1110.7+(83.7-564.6)+(-1.132914+(-0.085374--0.575892))+0-0-0</f>
        <v>629.15760399999999</v>
      </c>
      <c r="Z8" s="3">
        <f>1108.7+(146.1-567)+(-2.261748+(-0.298044--1.15668))+0-0-0</f>
        <v>686.3968880000001</v>
      </c>
      <c r="AA8" s="3">
        <f>1095.5+(147.9-576.3)+(-0.558705+(-0.075429--0.293913))+0-0-0</f>
        <v>666.75977899999998</v>
      </c>
      <c r="AB8" s="3">
        <f>1090.4+(136.8-593.2)+(-1.668312+(-0.209304--0.907596))+0-0-0</f>
        <v>633.02998000000002</v>
      </c>
      <c r="AC8" s="3">
        <f>1093.9+(120-607)+(0.557889+(0.0612-0.30957))+0-0-0</f>
        <v>607.20951900000011</v>
      </c>
      <c r="AD8">
        <f t="shared" si="0"/>
        <v>12240.492925</v>
      </c>
      <c r="AE8" s="3">
        <f>1093+(157-569)+(0+(0-0))+0-0-0</f>
        <v>681</v>
      </c>
    </row>
    <row r="9" spans="1:31" s="2" customFormat="1" x14ac:dyDescent="0.25">
      <c r="A9">
        <v>89</v>
      </c>
      <c r="B9">
        <v>1</v>
      </c>
      <c r="C9">
        <v>9</v>
      </c>
      <c r="D9">
        <v>3</v>
      </c>
      <c r="E9">
        <v>1</v>
      </c>
      <c r="F9" s="3">
        <f>1080.7+(88.9-600.6)+(-2.755785+(-0.226695--1.53153))+0-0-0</f>
        <v>567.54904999999997</v>
      </c>
      <c r="G9" s="3">
        <f>1078.9+(29.8-610.4)+(-2.751195+(-0.07599--1.55652))+0-0-0</f>
        <v>497.02933500000006</v>
      </c>
      <c r="H9" s="3">
        <f>1088.7+(0-627.5)+(0+(0-0))+0-0-0</f>
        <v>461.20000000000005</v>
      </c>
      <c r="I9" s="3">
        <f>1083.2+(0-655.8)+(-1.104864+(0--0.668916))+0-0-0</f>
        <v>426.96405200000009</v>
      </c>
      <c r="J9" s="3">
        <f>1045.6+(0-622.9)+(-2.66628+(0--1.588395))+0-0-0</f>
        <v>421.62211499999995</v>
      </c>
      <c r="K9" s="3">
        <f>882.4+(28.3-486.3)+(-0.900048+(-0.028866--0.496026))+0-0-0</f>
        <v>423.96711199999999</v>
      </c>
      <c r="L9" s="3">
        <f>884.4+(34.6-502.5)+(0+(0-0))+0-0-0</f>
        <v>416.5</v>
      </c>
      <c r="M9" s="3">
        <f>878.4+(42.7-513.7)+(-0.447984+(-0.021777--0.261987))+0-0-0</f>
        <v>407.19222599999995</v>
      </c>
      <c r="N9" s="3">
        <f>1042.1+(27.6-621.5)+(-1.062942+(-0.028152--0.63393))+0-0-0</f>
        <v>447.74283599999995</v>
      </c>
      <c r="O9" s="3">
        <f>1086+(48.7-641.3)+(-0.55386+(-0.024837--0.327063))+0-0-0</f>
        <v>493.14836600000007</v>
      </c>
      <c r="P9" s="3">
        <f>1094.9+(63.9-622.5)+(0+(0-0))+0-0-0</f>
        <v>536.30000000000007</v>
      </c>
      <c r="Q9" s="3">
        <f>1095.4+(72.5-605.3)+(0+(0-0))+0-0-0</f>
        <v>562.60000000000014</v>
      </c>
      <c r="R9" s="3">
        <f>1103.8+(67.5-614.8)+(0+(0-0))+0-0-0</f>
        <v>556.5</v>
      </c>
      <c r="S9" s="3">
        <f>1088.1+(58-617.7)+(-2.219724+(-0.11832--1.260108))+0-0-0</f>
        <v>527.32206399999984</v>
      </c>
      <c r="T9" s="3">
        <f>1085.1+(44.4-621.8)+(-1.660203+(-0.067932--0.951354))+0-0-0</f>
        <v>506.9232189999999</v>
      </c>
      <c r="U9" s="3">
        <f>1083.9+(41.4-631.8)+(-0.552789+(-0.021114--0.322218))+0-0-0</f>
        <v>493.2483150000001</v>
      </c>
      <c r="V9" s="3">
        <f>1071.4+(41.9-611.5)+(-2.185656+(-0.085476--1.24746))+0-0-0</f>
        <v>500.77632800000009</v>
      </c>
      <c r="W9" s="3">
        <f>1080.7+(34.2-612.1)+(0.551157+(0.017442-0.312171))+0-0-0</f>
        <v>503.0564280000001</v>
      </c>
      <c r="X9" s="3">
        <f>1066.1+(31.1-588.4)+(-2.174844+(-0.063444--1.200336))+0-0-0</f>
        <v>507.76204799999994</v>
      </c>
      <c r="Y9" s="3">
        <f>1077.2+(45.1-534.2)+(0.549372+(0.023001-0.272442))+0-0-0</f>
        <v>588.39993100000004</v>
      </c>
      <c r="Z9" s="3">
        <f>1067.8+(164.4-530.1)+(-2.178312+(-0.335376--1.081404))+0-0-0</f>
        <v>700.66771599999993</v>
      </c>
      <c r="AA9" s="3">
        <f>1074.6+(158.3-539.6)+(-0.548046+(-0.080733--0.275196))+0-0-0</f>
        <v>692.946417</v>
      </c>
      <c r="AB9" s="3">
        <f>1070.2+(148.1-554.6)+(-1.091604+(-0.151062--0.565692))+0-0-0</f>
        <v>663.02302600000007</v>
      </c>
      <c r="AC9" s="3">
        <f>1066.5+(126.9-556.1)+(-1.631745+(-0.194157--0.850833))+0-0-0</f>
        <v>636.32493099999999</v>
      </c>
      <c r="AD9">
        <f t="shared" si="0"/>
        <v>12538.765515000001</v>
      </c>
      <c r="AE9" s="3">
        <f>1080+(154.7-567.9)+(0+(0-0))+0-0-0</f>
        <v>666.8</v>
      </c>
    </row>
    <row r="10" spans="1:31" s="2" customFormat="1" x14ac:dyDescent="0.25">
      <c r="A10">
        <v>89</v>
      </c>
      <c r="B10">
        <v>1</v>
      </c>
      <c r="C10">
        <v>10</v>
      </c>
      <c r="D10">
        <v>4</v>
      </c>
      <c r="E10">
        <v>1</v>
      </c>
      <c r="F10" s="3">
        <f>1061.6+(70.8-551.3)+(-2.165664+(-0.144432--1.124652))+0-0-0</f>
        <v>579.91455599999995</v>
      </c>
      <c r="G10" s="3">
        <f>1050.9+(32.1-573.3)+(-2.679795+(-0.081855--1.461915))+0-0-0</f>
        <v>508.40026500000016</v>
      </c>
      <c r="H10" s="3">
        <f>1049.6+(12.3-601.6)+(-2.141184+(-0.025092--1.227264))+0-0-0</f>
        <v>459.36098799999985</v>
      </c>
      <c r="I10" s="3">
        <f>1057.9+(0-626.1)+(-1.079058+(0--0.638622))+0-0-0</f>
        <v>431.35956400000009</v>
      </c>
      <c r="J10" s="3">
        <f>1057+(0-635.9)+(0+(0-0))+0-0-0</f>
        <v>421.1</v>
      </c>
      <c r="K10" s="3">
        <f>1051.7+(0-631.1)+(-1.072734+(0--0.643722))+0-0-0</f>
        <v>420.17098800000002</v>
      </c>
      <c r="L10" s="3">
        <f>1074.9+(0-660.4)+(-1.096398+(0--0.673608))+0-0-0</f>
        <v>414.07721000000009</v>
      </c>
      <c r="M10" s="3">
        <f>1087+(0-680.3)+(-1.10874+(0--0.693906))+0-0-0</f>
        <v>406.28516600000006</v>
      </c>
      <c r="N10" s="3">
        <f>1101.7+(11.1-669.6)+(1.123734+(0.011322-0.682992))+0-0-0</f>
        <v>443.65206400000005</v>
      </c>
      <c r="O10" s="3">
        <f>1103.7+(51.8-668.4)+(0.562887+(0.026418-0.340884))+0-0-0</f>
        <v>487.34842100000003</v>
      </c>
      <c r="P10" s="3">
        <f>1085.3+(78.3-640.3)+(-0.553503+(-0.039933--0.326553))+0-0-0</f>
        <v>523.03311699999995</v>
      </c>
      <c r="Q10" s="3">
        <f>1063.5+(89.1-598.9)+(0.542385+(0.045441-0.305439))+0-0-0</f>
        <v>553.98238700000002</v>
      </c>
      <c r="R10" s="3">
        <f>1057+(76.9-574.9)+(-1.07814+(-0.078438--0.586398))+0-0-0</f>
        <v>558.42981999999995</v>
      </c>
      <c r="S10" s="3">
        <f>1056.3+(60.5-570.8)+(-2.154852+(-0.12342--1.164432))+0-0-0</f>
        <v>544.88616000000002</v>
      </c>
      <c r="T10" s="3">
        <f>1099.6+(36.2-606.3)+(1.121592+(0.036924-0.618426))+0-0-0</f>
        <v>530.04008999999996</v>
      </c>
      <c r="U10" s="3">
        <f>1115.6+(32.2-632.4)+(0+(0-0))+0-0-0</f>
        <v>515.4</v>
      </c>
      <c r="V10" s="3">
        <f>1131.9+(32.7-650.4)+(-1.154538+(-0.033354--0.663408))+0-0-0</f>
        <v>513.67551600000013</v>
      </c>
      <c r="W10" s="3">
        <f>1149.8+(31.6-655.2)+(-0.586398+(-0.016116--0.334152))+0-0-0</f>
        <v>525.93163799999991</v>
      </c>
      <c r="X10" s="3">
        <f>1149.4+(49.2-648.7)+(-1.172388+(-0.050184--0.661674))+0-0-0</f>
        <v>549.33910200000014</v>
      </c>
      <c r="Y10" s="3">
        <f>1147.8+(87.5-599.2)+(-1.756134+(-0.133875--0.916776))+0-0-0</f>
        <v>635.12676699999986</v>
      </c>
      <c r="Z10" s="3">
        <f>1186.7+(141.5-612.4)+(-1.210434+(-0.14433--0.624648))+0-0-0</f>
        <v>715.06988400000012</v>
      </c>
      <c r="AA10" s="3">
        <f>1181.9+(105.8-591.5)+(-2.411076+(-0.215832--1.20666))+0-0-0</f>
        <v>694.77975200000003</v>
      </c>
      <c r="AB10" s="3">
        <f>1178.2+(83.8-599.4)+(-2.403528+(-0.170952--1.222776))+0-0-0</f>
        <v>661.24829599999998</v>
      </c>
      <c r="AC10" s="3">
        <f>1179.2+(86.2-630.2)+(-1.804176+(-0.131886--0.964206))+0-0-0</f>
        <v>634.22814400000004</v>
      </c>
      <c r="AD10">
        <f t="shared" si="0"/>
        <v>12726.839894999999</v>
      </c>
      <c r="AE10" s="3">
        <f>1154+(142-666)+(0+(0-0))+0-0-0</f>
        <v>630</v>
      </c>
    </row>
    <row r="11" spans="1:31" s="2" customFormat="1" x14ac:dyDescent="0.25">
      <c r="A11">
        <v>89</v>
      </c>
      <c r="B11">
        <v>1</v>
      </c>
      <c r="C11">
        <v>11</v>
      </c>
      <c r="D11">
        <v>5</v>
      </c>
      <c r="E11">
        <v>1</v>
      </c>
      <c r="F11" s="3">
        <f>1173.6+(54.6-660)+(-2.99268+(-0.13923--1.683))+0-0-0</f>
        <v>566.75108999999998</v>
      </c>
      <c r="G11" s="3">
        <f>1175.1+(0-671.5)+(-1.797903+(0--1.027395))+0-0-0</f>
        <v>502.8294919999999</v>
      </c>
      <c r="H11" s="3">
        <f>1169.9+(0-721.9)+(-2.386596+(0--1.472676))+0-0-0</f>
        <v>447.08608000000009</v>
      </c>
      <c r="I11" s="3">
        <f>1166.8+(0-738.7)+(-2.380272+(0--1.506948))+0-0-0</f>
        <v>427.22667599999988</v>
      </c>
      <c r="J11" s="3">
        <f>1164.9+(0-746.4)+(-1.782297+(0--1.141992))+0-0-0</f>
        <v>417.8596950000001</v>
      </c>
      <c r="K11" s="3">
        <f>1171.8+(0-754.2)+(0+(0-0))+0-0-0</f>
        <v>417.59999999999991</v>
      </c>
      <c r="L11" s="3">
        <f>1166.3+(0-754.7)+(-1.784439+(0--1.154691))+0-0-0</f>
        <v>410.9702519999999</v>
      </c>
      <c r="M11" s="3">
        <f>1170.6+(0-768.8)+(0+(0-0))+0-0-0</f>
        <v>401.79999999999995</v>
      </c>
      <c r="N11" s="3">
        <f>1156.2+(0-731.9)+(-0.589662+(0--0.373269))+0-0-0</f>
        <v>424.08360700000009</v>
      </c>
      <c r="O11" s="3">
        <f>1157.3+(0-684.7)+(-0.590223+(0--0.349197))+0-0-0</f>
        <v>472.35897399999993</v>
      </c>
      <c r="P11" s="3">
        <f>1144.8+(43.6-674.5)+(-3.503088+(-0.133416--2.06397))+0-0-0</f>
        <v>512.32746599999996</v>
      </c>
      <c r="Q11" s="3">
        <f>1161.5+(51.3-675.6)+(0+(0-0))+0-0-0</f>
        <v>537.19999999999993</v>
      </c>
      <c r="R11" s="3">
        <f>1152.7+(40.3-654.7)+(-1.175754+(-0.041106--0.667794))+0-0-0</f>
        <v>537.75093399999992</v>
      </c>
      <c r="S11" s="3">
        <f>1155.3+(36.4-660.9)+(0+(0-0))+0-0-0</f>
        <v>530.79999999999995</v>
      </c>
      <c r="T11" s="3">
        <f>1155.9+(26.6-670.6)+(-0.589509+(-0.013566--0.342006))+0-0-0</f>
        <v>511.63893100000007</v>
      </c>
      <c r="U11" s="3">
        <f>1155.5+(30.2-697.7)+(-2.35722+(-0.061608--1.423308))+0-0-0</f>
        <v>487.00448</v>
      </c>
      <c r="V11" s="3">
        <f>1153.8+(47.3-722.7)+(-1.176876+(-0.048246--0.737154))+0-0-0</f>
        <v>477.91203199999984</v>
      </c>
      <c r="W11" s="3">
        <f>1148+(48.6-709.8)+(-1.75644+(-0.074358--1.085994))+0-0-0</f>
        <v>486.05519600000008</v>
      </c>
      <c r="X11" s="3">
        <f>1157.1+(57.1-706.9)+(-1.180242+(-0.058242--0.721038))+0-0-0</f>
        <v>506.78255399999995</v>
      </c>
      <c r="Y11" s="3">
        <f>1163+(59-639.4)+(-0.59313+(-0.03009--0.326094))+0-0-0</f>
        <v>582.30287399999997</v>
      </c>
      <c r="Z11" s="3">
        <f>1166.6+(117.1-643.5)+(-1.784898+(-0.179163--0.984555))+0-0-0</f>
        <v>639.22049399999992</v>
      </c>
      <c r="AA11" s="3">
        <f>1066.7+(140.5-585.2)+(-1.632051+(-0.214965--0.895356))+0-0-0</f>
        <v>621.04834000000005</v>
      </c>
      <c r="AB11" s="3">
        <f>993.7+(145-531.5)+(-1.520361+(-0.22185--0.813195))+0-0-0</f>
        <v>606.270984</v>
      </c>
      <c r="AC11" s="3">
        <f>989.6+(136.1-538.2)+(-1.514088+(-0.208233--0.823446))+0-0-0</f>
        <v>586.60112500000002</v>
      </c>
      <c r="AD11">
        <f t="shared" si="0"/>
        <v>12111.481275999999</v>
      </c>
      <c r="AE11" s="3">
        <f>1177+(114.9-663.5)+(0+(0-0))+0-0-0</f>
        <v>628.4</v>
      </c>
    </row>
    <row r="12" spans="1:31" s="2" customFormat="1" x14ac:dyDescent="0.25">
      <c r="A12">
        <v>89</v>
      </c>
      <c r="B12">
        <v>1</v>
      </c>
      <c r="C12">
        <v>12</v>
      </c>
      <c r="D12">
        <v>6</v>
      </c>
      <c r="E12">
        <v>2</v>
      </c>
      <c r="F12" s="3">
        <f>990.7+(67.5-520)+(-2.021028+(-0.1377--1.0608))+0-0-0</f>
        <v>537.10207200000002</v>
      </c>
      <c r="G12" s="3">
        <f>997.5+(29.8-551)+(-0.508725+(-0.015198--0.28101))+0-0-0</f>
        <v>476.05708699999997</v>
      </c>
      <c r="H12" s="3">
        <f>994.6+(5.4-562.6)+(-1.521738+(-0.008262--0.860778))+0-0-0</f>
        <v>436.73077799999999</v>
      </c>
      <c r="I12" s="3">
        <f>988.4+(0-569.6)+(-2.016336+(0--1.161984))+0-0-0</f>
        <v>417.94564799999995</v>
      </c>
      <c r="J12" s="3">
        <f>995+(0-585.3)+(-1.0149+(0--0.597006))+0-0-0</f>
        <v>409.28210600000006</v>
      </c>
      <c r="K12" s="3">
        <f>999.2+(6.6-602.3)+(0+(0-0))+0-0-0</f>
        <v>403.50000000000011</v>
      </c>
      <c r="L12" s="3">
        <f>986.4+(14.5-603.2)+(-2.51532+(-0.036975--1.53816))+0-0-0</f>
        <v>396.68586499999992</v>
      </c>
      <c r="M12" s="3">
        <f>1009.1+(0-637)+(1.029282+(0-0.64974))+0-0-0</f>
        <v>372.47954200000004</v>
      </c>
      <c r="N12" s="3">
        <f>1137.3+(0-739)+(0.580023+(0-0.37689))+0-0-0</f>
        <v>398.50313299999993</v>
      </c>
      <c r="O12" s="3">
        <f>1174.1+(0-735.6)+(0+(0-0))+0-0-0</f>
        <v>438.49999999999989</v>
      </c>
      <c r="P12" s="3">
        <f>1177+(0-692.7)+(-0.60027+(0--0.353277))+0-0-0</f>
        <v>484.05300699999998</v>
      </c>
      <c r="Q12" s="3">
        <f>1183.8+(0-678.3)+(0+(0-0))+0-0-0</f>
        <v>505.5</v>
      </c>
      <c r="R12" s="3">
        <f>1182.3+(0-663.3)+(-1.205946+(0--0.676566))+0-0-0</f>
        <v>518.47062000000005</v>
      </c>
      <c r="S12" s="3">
        <f>1177.5+(51-715.4)+(-2.4021+(-0.10404--1.459416))+0-0-0</f>
        <v>512.05327599999998</v>
      </c>
      <c r="T12" s="3">
        <f>1190.4+(26.6-741.1)+(1.821312+(0.040698-1.133883))+0-0-0</f>
        <v>476.62812700000006</v>
      </c>
      <c r="U12" s="3">
        <f>1176+(21-735.6)+(-1.79928+(-0.03213--1.125468))+0-0-0</f>
        <v>460.69405799999998</v>
      </c>
      <c r="V12" s="3">
        <f>1174.5+(23.9-738.1)+(-1.19799+(-0.024378--0.752862))+0-0-0</f>
        <v>459.83049399999993</v>
      </c>
      <c r="W12" s="3">
        <f>1178.4+(7.3-724.8)+(-1.802952+(-0.011169--1.108944))+0-0-0</f>
        <v>460.1948230000001</v>
      </c>
      <c r="X12" s="3">
        <f>1177.8+(0-717.5)+(-2.402712+(0--1.4637))+0-0-0</f>
        <v>459.36098799999996</v>
      </c>
      <c r="Y12" s="3">
        <f>1115.8+(29.3-614.4)+(0+(0-0))+0-0-0</f>
        <v>530.69999999999993</v>
      </c>
      <c r="Z12" s="3">
        <f>1088.8+(132.1-578.7)+(-2.221152+(-0.269484--1.180548))+0-0-0</f>
        <v>640.88991199999998</v>
      </c>
      <c r="AA12" s="3">
        <f>1090.4+(102.4-551.6)+(-0.556104+(-0.052224--0.281316))+0-0-0</f>
        <v>640.87298800000008</v>
      </c>
      <c r="AB12" s="3">
        <f>1082.4+(84.2-541.5)+(-1.104048+(-0.085884--0.55233))+0-0-0</f>
        <v>624.46239800000012</v>
      </c>
      <c r="AC12" s="3">
        <f>1075.3+(52.7-513.5)+(-2.193612+(-0.107508--1.04754))+0-0-0</f>
        <v>613.24641999999994</v>
      </c>
      <c r="AD12">
        <f t="shared" si="0"/>
        <v>11673.743342000002</v>
      </c>
      <c r="AE12" s="3">
        <f>1092+(133.5-611.4)+(0+(0-0))+0-0-0</f>
        <v>614.1</v>
      </c>
    </row>
    <row r="13" spans="1:31" s="2" customFormat="1" x14ac:dyDescent="0.25">
      <c r="A13">
        <v>89</v>
      </c>
      <c r="B13">
        <v>1</v>
      </c>
      <c r="C13">
        <v>13</v>
      </c>
      <c r="D13">
        <v>7</v>
      </c>
      <c r="E13">
        <v>2</v>
      </c>
      <c r="F13" s="3">
        <f>1078.3+(8.6-534)+(-1.099866+(-0.008772--0.54468))+0-0-0</f>
        <v>552.33604200000002</v>
      </c>
      <c r="G13" s="3">
        <f>1079.1+(0-599.4)+(-1.100682+(0--0.611388))+0-0-0</f>
        <v>479.21070599999996</v>
      </c>
      <c r="H13" s="3">
        <f>1076.7+(0-641)+(-1.098234+(0--0.65382))+0-0-0</f>
        <v>435.25558600000005</v>
      </c>
      <c r="I13" s="3">
        <f>1074.1+(1.6-667.1)+(-1.643373+(-0.002448--1.020663))+0-0-0</f>
        <v>407.97484199999991</v>
      </c>
      <c r="J13" s="3">
        <f>1072+(6.2-687.7)+(-1.09344+(-0.006324--0.701454))+0-0-0</f>
        <v>390.10169000000002</v>
      </c>
      <c r="K13" s="3">
        <f>1077.2+(9.3-696.3)+(0.549372+(0.004743-0.355113))+0-0-0</f>
        <v>390.39900200000005</v>
      </c>
      <c r="L13" s="3">
        <f>1060.1+(5.8-681.7)+(-1.621953+(-0.008874--1.043001))+0-0-0</f>
        <v>383.61217399999981</v>
      </c>
      <c r="M13" s="3">
        <f>897+(8.4-552.9)+(0+(0-0))+0-0-0</f>
        <v>352.5</v>
      </c>
      <c r="N13" s="3">
        <f>857.9+(7.7-509.1)+(0.875058+(0.007854-0.519282))+0-0-0</f>
        <v>356.86362999999994</v>
      </c>
      <c r="O13" s="3">
        <f>857.8+(7-487.6)+(-0.437478+(-0.00357--0.248676))+0-0-0</f>
        <v>377.00762799999995</v>
      </c>
      <c r="P13" s="3">
        <f>861.3+(7.3-483.3)+(-0.439263+(-0.003723--0.246483))+0-0-0</f>
        <v>385.10349699999995</v>
      </c>
      <c r="Q13" s="3">
        <f>855.5+(7.2-487.1)+(-0.87261+(-0.007344--0.496842))+0-0-0</f>
        <v>375.21688799999998</v>
      </c>
      <c r="R13" s="3">
        <f>856.3+(9-499.3)+(-0.873426+(-0.00918--0.509286))+0-0-0</f>
        <v>365.62667999999996</v>
      </c>
      <c r="S13" s="3">
        <f>859.3+(7.8-534.6)+(-0.438243+(-0.003978--0.272646))+0-0-0</f>
        <v>332.33042499999988</v>
      </c>
      <c r="T13" s="3">
        <f>861.1+(8.2-562.5)+(0+(0-0))+0-0-0</f>
        <v>306.80000000000007</v>
      </c>
      <c r="U13" s="3">
        <f>858.5+(7-572)+(0+(0-0))+0-0-0</f>
        <v>293.5</v>
      </c>
      <c r="V13" s="3">
        <f>860.5+(8.6-576.9)+(0+(0-0))+0-0-0</f>
        <v>292.20000000000005</v>
      </c>
      <c r="W13" s="3">
        <f>855.6+(12.1-570.8)+(-1.309068+(-0.018513--0.873324))+0-0-0</f>
        <v>296.44574300000011</v>
      </c>
      <c r="X13" s="3">
        <f>860.7+(8.8-560.3)+(-0.877914+(-0.008976--0.571506))+0-0-0</f>
        <v>308.88461600000005</v>
      </c>
      <c r="Y13" s="3">
        <f>987.3+(0-599.8)+(-1.007046+(0--0.611796))+0-0-0</f>
        <v>387.10475000000002</v>
      </c>
      <c r="Z13" s="3">
        <f>1062.6+(63.2-601.1)+(-2.70963+(-0.16116--1.532805))+0-0-0</f>
        <v>523.36201499999993</v>
      </c>
      <c r="AA13" s="3">
        <f>1070.2+(81.1-595.4)+(-1.637406+(-0.124083--0.910962))+0-0-0</f>
        <v>555.04947300000003</v>
      </c>
      <c r="AB13" s="3">
        <f>1065.8+(50.9-561.8)+(-1.087116+(-0.051918--0.573036))+0-0-0</f>
        <v>554.33400199999994</v>
      </c>
      <c r="AC13" s="3">
        <f>1062.8+(42.8-565.4)+(-1.626084+(-0.065484--0.865062))+0-0-0</f>
        <v>539.37349399999994</v>
      </c>
      <c r="AD13">
        <f t="shared" si="0"/>
        <v>9640.5928830000012</v>
      </c>
      <c r="AE13" s="3">
        <f>1068+(77.8-611.7)+(0+(0-0))+0-0-0</f>
        <v>534.09999999999991</v>
      </c>
    </row>
    <row r="14" spans="1:31" s="2" customFormat="1" x14ac:dyDescent="0.25">
      <c r="A14">
        <v>89</v>
      </c>
      <c r="B14">
        <v>1</v>
      </c>
      <c r="C14">
        <v>14</v>
      </c>
      <c r="D14">
        <v>1</v>
      </c>
      <c r="E14">
        <v>1</v>
      </c>
      <c r="F14" s="3">
        <f>1059.9+(0-566)+(-1.081098+(0--0.57732))+0-0-0</f>
        <v>493.39622200000008</v>
      </c>
      <c r="G14" s="3">
        <f>1055.3+(0-620.9)+(-2.152812+(0--1.266636))+0-0-0</f>
        <v>433.513824</v>
      </c>
      <c r="H14" s="3">
        <f>1059.8+(0-656.5)+(-0.540498+(0--0.334815))+0-0-0</f>
        <v>403.09431699999993</v>
      </c>
      <c r="I14" s="3">
        <f>975.7+(0-585.8)+(-0.497607+(0--0.298758))+0-0-0</f>
        <v>389.7011510000001</v>
      </c>
      <c r="J14" s="3">
        <f>872.9+(0-492.5)+(0.445179+(0-0.251175))+0-0-0</f>
        <v>380.59400399999998</v>
      </c>
      <c r="K14" s="3">
        <f>1047.1+(0-658.8)+(1.068042+(0-0.671976))+0-0-0</f>
        <v>388.69606599999997</v>
      </c>
      <c r="L14" s="3">
        <f>1050.4+(0-647.8)+(-2.142816+(0--1.321512))+0-0-0</f>
        <v>401.77869600000014</v>
      </c>
      <c r="M14" s="3">
        <f>1063+(0-650)+(0.54213+(0-0.3315))+0-0-0</f>
        <v>413.21062999999998</v>
      </c>
      <c r="N14" s="3">
        <f>1079.7+(0-621.6)+(0+(0-0))+0-0-0</f>
        <v>458.1</v>
      </c>
      <c r="O14" s="3">
        <f>1105.4+(0-608.7)+(-0.563754+(0--0.310437))+0-0-0</f>
        <v>496.44668300000006</v>
      </c>
      <c r="P14" s="3">
        <f>1116.9+(26.6-613.4)+(0+(0-0))+0-0-0</f>
        <v>530.10000000000014</v>
      </c>
      <c r="Q14" s="3">
        <f>1108.6+(54.2-613.2)+(0+(0-0))+0-0-0</f>
        <v>549.59999999999991</v>
      </c>
      <c r="R14" s="3">
        <f>1117.2+(48.9-612.4)+(0+(0-0))+0-0-0</f>
        <v>553.70000000000005</v>
      </c>
      <c r="S14" s="3">
        <f>1114.5+(49.7-617.1)+(-2.27358+(-0.101388--1.258884))+0-0-0</f>
        <v>545.98391600000002</v>
      </c>
      <c r="T14" s="3">
        <f>1130.7+(30.2-638.8)+(0.576657+(0.015402-0.325788))+0-0-0</f>
        <v>522.3662710000001</v>
      </c>
      <c r="U14" s="3">
        <f>1132.6+(17.2-638.8)+(1.155252+(0.017544-0.651576))+0-0-0</f>
        <v>511.52122000000003</v>
      </c>
      <c r="V14" s="3">
        <f>1133.1+(24.4-634.9)+(-0.577881+(-0.012444--0.323799))+0-0-0</f>
        <v>522.33347399999991</v>
      </c>
      <c r="W14" s="3">
        <f>1129+(38.2-641.3)+(-1.72737+(-0.058446--0.981189))+0-0-0</f>
        <v>525.09537300000011</v>
      </c>
      <c r="X14" s="3">
        <f>1117.9+(11.3-605.6)+(-3.420774+(-0.034578--1.853136))+0-0-0</f>
        <v>521.99778400000002</v>
      </c>
      <c r="Y14" s="3">
        <f>1150+(55.2-598.5)+(0.5865+(0.028152-0.305235))+0-0-0</f>
        <v>607.0094170000001</v>
      </c>
      <c r="Z14" s="3">
        <f>1207.2+(86.6-599)+(-1.231344+(-0.088332--0.61098))+0-0-0</f>
        <v>694.09130400000004</v>
      </c>
      <c r="AA14" s="3">
        <f>1208.7+(81.5-613)+(-2.465748+(-0.16626--1.25052))+0-0-0</f>
        <v>675.81851200000006</v>
      </c>
      <c r="AB14" s="3">
        <f>1208.5+(40.7-618.8)+(-2.46534+(-0.083028--1.262352))+0-0-0</f>
        <v>629.11398400000007</v>
      </c>
      <c r="AC14" s="3">
        <f>1196.7+(25.6-636.9)+(-1.220634+(-0.026112--0.649638))+0-0-0</f>
        <v>584.80289200000004</v>
      </c>
      <c r="AD14">
        <f t="shared" si="0"/>
        <v>12232.065739999996</v>
      </c>
      <c r="AE14" s="3">
        <f>1211+(84.1-628.9)+(0+(0-0))+0-0-0</f>
        <v>666.2</v>
      </c>
    </row>
    <row r="15" spans="1:31" s="2" customFormat="1" x14ac:dyDescent="0.25">
      <c r="A15">
        <v>89</v>
      </c>
      <c r="B15">
        <v>1</v>
      </c>
      <c r="C15">
        <v>15</v>
      </c>
      <c r="D15">
        <v>2</v>
      </c>
      <c r="E15">
        <v>1</v>
      </c>
      <c r="F15" s="3">
        <f>1196.2+(0-669.6)+(-3.660372+(0--2.048976))+0-0-0</f>
        <v>524.98860400000001</v>
      </c>
      <c r="G15" s="3">
        <f>1012.4+(0-555.1)+(-1.032648+(0--0.566202))+0-0-0</f>
        <v>456.83355399999994</v>
      </c>
      <c r="H15" s="3">
        <f>960.2+(0-536.5)+(-0.489702+(0--0.273615))+0-0-0</f>
        <v>423.48391300000003</v>
      </c>
      <c r="I15" s="3">
        <f>954+(0-536.6)+(-1.94616+(0--1.094664))+0-0-0</f>
        <v>416.54850399999998</v>
      </c>
      <c r="J15" s="3">
        <f>956.2+(0-534.7)+(-0.975324+(0--0.545394))+0-0-0</f>
        <v>421.07006999999999</v>
      </c>
      <c r="K15" s="3">
        <f>954.9+(0-533.9)+(-1.460997+(0--0.816867))+0-0-0</f>
        <v>420.35586999999998</v>
      </c>
      <c r="L15" s="3">
        <f>1005+(0-578.7)+(-0.51255+(0--0.295137))+0-0-0</f>
        <v>426.08258699999993</v>
      </c>
      <c r="M15" s="3">
        <f>1139.4+(0-705.4)+(-2.324376+(0--1.439016))+0-0-0</f>
        <v>433.11464000000012</v>
      </c>
      <c r="N15" s="3">
        <f>1185.6+(0-723.8)+(0+(0-0))+0-0-0</f>
        <v>461.79999999999995</v>
      </c>
      <c r="O15" s="3">
        <f>1098.6+(14.9-622.4)+(0+(0-0))+0-0-0</f>
        <v>491.09999999999991</v>
      </c>
      <c r="P15" s="3">
        <f>1064.4+(52.5-620.2)+(-0.542844+(-0.026775--0.316302))+0-0-0</f>
        <v>496.44668300000006</v>
      </c>
      <c r="Q15" s="3">
        <f>1064.9+(46.7-602.4)+(-1.086198+(-0.047634--0.614448))+0-0-0</f>
        <v>508.68061600000016</v>
      </c>
      <c r="R15" s="3">
        <f>1096.5+(21.5-611.9)+(-2.23686+(-0.04386--1.248276))+0-0-0</f>
        <v>505.06755600000002</v>
      </c>
      <c r="S15" s="3">
        <f>1118.5+(11.4-623.2)+(-1.14087+(-0.011628--0.635664))+0-0-0</f>
        <v>506.18316599999991</v>
      </c>
      <c r="T15" s="3">
        <f>1061.2+(5.3-606.1)+(-1.623636+(-0.008109--0.927333))+0-0-0</f>
        <v>459.69558799999999</v>
      </c>
      <c r="U15" s="3">
        <f>1066+(0-599.5)+(0+(0-0))+0-0-0</f>
        <v>466.5</v>
      </c>
      <c r="V15" s="3">
        <f>1058.7+(25.7-619.6)+(-1.619811+(-0.039321--0.947988))+0-0-0</f>
        <v>464.08885600000008</v>
      </c>
      <c r="W15" s="3">
        <f>1066.9+(36.1-611.6)+(0.544119+(0.018411-0.311916))+0-0-0</f>
        <v>491.65061400000008</v>
      </c>
      <c r="X15" s="3">
        <f>1052.7+(62.2-628.5)+(-2.684385+(-0.15861--1.602675))+0-0-0</f>
        <v>485.15968000000009</v>
      </c>
      <c r="Y15" s="3">
        <f>1094.7+(72.6-593.5)+(1.116594+(0.074052-0.60537))+0-0-0</f>
        <v>574.38527600000009</v>
      </c>
      <c r="Z15" s="3">
        <f>1085+(160.8-581)+(-1.1067+(-0.164016--0.59262))+0-0-0</f>
        <v>664.12190399999997</v>
      </c>
      <c r="AA15" s="3">
        <f>1082.2+(153.4-579.8)+(-2.75961+(-0.39117--1.47849))+0-0-0</f>
        <v>654.12771000000009</v>
      </c>
      <c r="AB15" s="3">
        <f>1088.7+(88.5-560.5)+(-1.110474+(-0.09027--0.57171))+0-0-0</f>
        <v>616.070966</v>
      </c>
      <c r="AC15" s="3">
        <f>1115.4+(53.3-632.4)+(-1.706562+(-0.081549--0.967572))+0-0-0</f>
        <v>535.47946100000001</v>
      </c>
      <c r="AD15">
        <f t="shared" si="0"/>
        <v>11903.035818000002</v>
      </c>
      <c r="AE15" s="3">
        <f>1082+(159.4-596.4)+(0+(0-0))+0-0-0</f>
        <v>645</v>
      </c>
    </row>
    <row r="16" spans="1:31" s="2" customFormat="1" x14ac:dyDescent="0.25">
      <c r="A16">
        <v>89</v>
      </c>
      <c r="B16">
        <v>1</v>
      </c>
      <c r="C16">
        <v>16</v>
      </c>
      <c r="D16">
        <v>3</v>
      </c>
      <c r="E16">
        <v>1</v>
      </c>
      <c r="F16" s="3">
        <f>1144.9+(18.6-676)+(-2.335596+(-0.037944--1.37904))+0-0-0</f>
        <v>486.5055000000001</v>
      </c>
      <c r="G16" s="3">
        <f>1170+(0-731.1)+(0+(0-0))+0-0-0</f>
        <v>438.9</v>
      </c>
      <c r="H16" s="3">
        <f>1165.3+(0-749.5)+(-1.188606+(0--0.76449))+0-0-0</f>
        <v>415.37588399999993</v>
      </c>
      <c r="I16" s="3">
        <f>1161.5+(0-755.2)+(-2.36946+(0--1.540608))+0-0-0</f>
        <v>405.47114799999997</v>
      </c>
      <c r="J16" s="3">
        <f>1170.3+(0-765.7)+(0.596853+(0-0.390507))+0-0-0</f>
        <v>404.80634599999991</v>
      </c>
      <c r="K16" s="3">
        <f>1164.9+(0-762.8)+(0+(0-0))+0-0-0</f>
        <v>402.10000000000014</v>
      </c>
      <c r="L16" s="3">
        <f>1163.6+(0-760.2)+(-0.593436+(0--0.387702))+0-0-0</f>
        <v>403.19426599999986</v>
      </c>
      <c r="M16" s="3">
        <f>1161.5+(0-743.4)+(-0.592365+(0--0.379134))+0-0-0</f>
        <v>417.88676900000002</v>
      </c>
      <c r="N16" s="3">
        <f>1170.3+(7.8-721.6)+(0.596853+(0.003978-0.368016))+0-0-0</f>
        <v>456.7328149999999</v>
      </c>
      <c r="O16" s="3">
        <f>1189.2+(11.3-697.1)+(0.606492+(0.005763-0.355521))+0-0-0</f>
        <v>503.65673399999997</v>
      </c>
      <c r="P16" s="3">
        <f>1205.1+(0-671)+(0.614601+(0-0.34221))+0-0-0</f>
        <v>534.37239099999988</v>
      </c>
      <c r="Q16" s="3">
        <f>1205.2+(2-659.1)+(-0.614652+(-0.00102--0.336141))+0-0-0</f>
        <v>547.820469</v>
      </c>
      <c r="R16" s="3">
        <f>1207.8+(33.9-703.3)+(0+(0-0))+0-0-0</f>
        <v>538.4</v>
      </c>
      <c r="S16" s="3">
        <f>1198.4+(65.1-747.4)+(-2.444736+(-0.132804--1.524696))+0-0-0</f>
        <v>515.04715600000009</v>
      </c>
      <c r="T16" s="3">
        <f>1202.8+(112.3-794.1)+(-0.613428+(-0.057273--0.404991))+0-0-0</f>
        <v>520.73428999999987</v>
      </c>
      <c r="U16" s="3">
        <f>1202.7+(105.5-804.8)+(-1.226754+(-0.10761--0.820896))+0-0-0</f>
        <v>502.8865320000001</v>
      </c>
      <c r="V16" s="3">
        <f>1204.8+(44.3-754.1)+(-0.614448+(-0.022593--0.384591))+0-0-0</f>
        <v>494.74754999999988</v>
      </c>
      <c r="W16" s="3">
        <f>1198.8+(14-704.1)+(-1.222776+(-0.01428--0.718182))+0-0-0</f>
        <v>508.18112599999995</v>
      </c>
      <c r="X16" s="3">
        <f>1205.9+(28.8-722)+(-3.075045+(-0.07344--1.8411))+0-0-0</f>
        <v>511.39261500000003</v>
      </c>
      <c r="Y16" s="3">
        <f>1238.9+(146.4-803.9)+(-0.631839+(-0.074664--0.409989))+0-0-0</f>
        <v>581.10348600000009</v>
      </c>
      <c r="Z16" s="3">
        <f>1261+(123.2-710.9)+(-1.92933+(-0.188496--1.087677))+0-0-0</f>
        <v>672.26985100000002</v>
      </c>
      <c r="AA16" s="3">
        <f>1260.3+(108.2-706.6)+(-2.571012+(-0.220728--1.441464))+0-0-0</f>
        <v>660.54972399999997</v>
      </c>
      <c r="AB16" s="3">
        <f>1259.7+(42.5-679.2)+(-1.284894+(-0.04335--0.692784))+0-0-0</f>
        <v>622.36454000000003</v>
      </c>
      <c r="AC16" s="3">
        <f>1253.9+(27.5-704.8)+(-2.557956+(-0.0561--1.437792))+0-0-0</f>
        <v>575.42373600000019</v>
      </c>
      <c r="AD16">
        <f t="shared" si="0"/>
        <v>12119.922928000002</v>
      </c>
      <c r="AE16" s="3">
        <f>1255+(120.7-743)+(0+(0-0))+0-0-0</f>
        <v>632.70000000000005</v>
      </c>
    </row>
    <row r="17" spans="1:31" s="2" customFormat="1" x14ac:dyDescent="0.25">
      <c r="A17">
        <v>89</v>
      </c>
      <c r="B17">
        <v>1</v>
      </c>
      <c r="C17">
        <v>17</v>
      </c>
      <c r="D17">
        <v>4</v>
      </c>
      <c r="E17">
        <v>1</v>
      </c>
      <c r="F17" s="3">
        <f>1256.5+(12.5-758.6)+(-1.922445+(-0.019125--1.160658))+0-0-0</f>
        <v>509.61908799999998</v>
      </c>
      <c r="G17" s="3">
        <f>1231.2+(0-759.8)+(-3.13956+(0--1.93749))+0-0-0</f>
        <v>470.1979300000001</v>
      </c>
      <c r="H17" s="3">
        <f>1210+(0-752.8)+(-1.8513+(0--1.151784))+0-0-0</f>
        <v>456.50048400000003</v>
      </c>
      <c r="I17" s="3">
        <f>1218+(0-742.3)+(-3.1059+(0--1.892865))+0-0-0</f>
        <v>474.48696500000005</v>
      </c>
      <c r="J17" s="3">
        <f>1217+(0-758.5)+(0+(0-0))+0-0-0</f>
        <v>458.5</v>
      </c>
      <c r="K17" s="3">
        <f>1218+(0-757.1)+(1.24236+(0-0.772242))+0-0-0</f>
        <v>461.37011799999999</v>
      </c>
      <c r="L17" s="3">
        <f>1216.1+(0-770.1)+(0+(0-0))+0-0-0</f>
        <v>445.99999999999989</v>
      </c>
      <c r="M17" s="3">
        <f>1216.1+(0-729.4)+(-2.480844+(0--1.487976))+0-0-0</f>
        <v>485.70713199999994</v>
      </c>
      <c r="N17" s="3">
        <f>1221.5+(0-727.9)+(0+(0-0))+0-0-0</f>
        <v>493.6</v>
      </c>
      <c r="O17" s="3">
        <f>1201.3+(30.4-698.6)+(1.837989+(0.046512-1.068858))+0-0-0</f>
        <v>533.91564299999993</v>
      </c>
      <c r="P17" s="3">
        <f>1187.1+(48.6-694.5)+(0.605421+(0.024786-0.354195))+0-0-0</f>
        <v>541.47601199999997</v>
      </c>
      <c r="Q17" s="3">
        <f>1233+(9.6-693.7)+(-1.88649+(-0.014688--1.061361))+0-0-0</f>
        <v>548.06018299999994</v>
      </c>
      <c r="R17" s="3">
        <f>1239.8+(0-693.9)+(-0.632298+(0--0.353889))+0-0-0</f>
        <v>545.62159099999997</v>
      </c>
      <c r="S17" s="3">
        <f>1213.6+(0-683.5)+(-1.237872+(0--0.69717))+0-0-0</f>
        <v>529.5592979999999</v>
      </c>
      <c r="T17" s="3">
        <f>1198.6+(0-700.6)+(-0.611286+(0--0.357306))+0-0-0</f>
        <v>497.74601999999987</v>
      </c>
      <c r="U17" s="3">
        <f>1224+(2.3-705.6)+(1.24848+(0.002346-0.719712))+0-0-0</f>
        <v>521.23111399999993</v>
      </c>
      <c r="V17" s="3">
        <f>1222.6+(5-723.2)+(1.247052+(0.0051-0.737664))+0-0-0</f>
        <v>504.91448799999989</v>
      </c>
      <c r="W17" s="3">
        <f>1221.8+(9-754.6)+(-1.869354+(-0.01377--1.154538))+0-0-0</f>
        <v>475.47141399999992</v>
      </c>
      <c r="X17" s="3">
        <f>1220.3+(11.4-754.7)+(-1.244706+(-0.011628--0.769794))+0-0-0</f>
        <v>476.5134599999999</v>
      </c>
      <c r="Y17" s="3">
        <f>1218.3+(87.2-739.7)+(-1.242666+(-0.088944--0.754494))+0-0-0</f>
        <v>565.22288399999991</v>
      </c>
      <c r="Z17" s="3">
        <f>1220.3+(158.7-698.3)+(-1.244706+(-0.161874--0.712266))+0-0-0</f>
        <v>680.00568600000008</v>
      </c>
      <c r="AA17" s="3">
        <f>1220.9+(107.9-658)+(-1.245318+(-0.110058--0.67116))+0-0-0</f>
        <v>670.11578400000008</v>
      </c>
      <c r="AB17" s="3">
        <f>1219.5+(61.2-630.8)+(0+(0-0))+0-0-0</f>
        <v>649.90000000000009</v>
      </c>
      <c r="AC17" s="3">
        <f>1218.4+(54.9-710.2)+(-0.621384+(-0.027999--0.362202))+0-0-0</f>
        <v>562.81281899999999</v>
      </c>
      <c r="AD17">
        <f t="shared" si="0"/>
        <v>12558.548113000001</v>
      </c>
      <c r="AE17" s="3">
        <f>1216+(147.2-726.2)+(0+(0-0))+0-0-0</f>
        <v>637</v>
      </c>
    </row>
    <row r="18" spans="1:31" s="2" customFormat="1" x14ac:dyDescent="0.25">
      <c r="A18">
        <v>89</v>
      </c>
      <c r="B18">
        <v>1</v>
      </c>
      <c r="C18">
        <v>18</v>
      </c>
      <c r="D18">
        <v>5</v>
      </c>
      <c r="E18">
        <v>1</v>
      </c>
      <c r="F18" s="3">
        <f>1215.2+(3.3-729.8)+(-1.859256+(-0.005049--1.116594))+0-0-0</f>
        <v>487.95228900000006</v>
      </c>
      <c r="G18" s="3">
        <f>1213.3+(0-750.1)+(0.618783+(0-0.382551))+0-0-0</f>
        <v>463.4362319999999</v>
      </c>
      <c r="H18" s="3">
        <f>1212.7+(0-764.8)+(-0.618477+(0--0.390048))+0-0-0</f>
        <v>447.67157100000009</v>
      </c>
      <c r="I18" s="3">
        <f>1211.4+(0-753.8)+(-0.617814+(0--0.384438))+0-0-0</f>
        <v>457.36662400000012</v>
      </c>
      <c r="J18" s="3">
        <f>1212.2+(0-750.4)+(-3.709332+(0--2.296224))+0-0-0</f>
        <v>460.38689200000005</v>
      </c>
      <c r="K18" s="3">
        <f>1211.8+(0-751.9)+(0+(0-0))+0-0-0</f>
        <v>459.9</v>
      </c>
      <c r="L18" s="3">
        <f>1213.1+(0-747.5)+(-1.237362+(0--0.76245))+0-0-0</f>
        <v>465.12508799999989</v>
      </c>
      <c r="M18" s="3">
        <f>1212.8+(0-736.4)+(-0.618528+(0--0.375564))+0-0-0</f>
        <v>476.15703600000001</v>
      </c>
      <c r="N18" s="3">
        <f>1214.6+(0-705.5)+(0.619446+(0-0.359805))+0-0-0</f>
        <v>509.3596409999999</v>
      </c>
      <c r="O18" s="3">
        <f>1216.4+(23.8-700)+(0+(0-0))+0-0-0</f>
        <v>540.20000000000005</v>
      </c>
      <c r="P18" s="3">
        <f>1215.9+(51.3-709)+(0+(0-0))+0-0-0</f>
        <v>558.20000000000005</v>
      </c>
      <c r="Q18" s="3">
        <f>1215.5+(14.7-644.4)+(-1.23981+(-0.014994--0.657288))+0-0-0</f>
        <v>585.20248400000003</v>
      </c>
      <c r="R18" s="3">
        <f>1217.6+(31-678.3)+(-1.862928+(-0.04743--1.037799))+0-0-0</f>
        <v>569.42744099999993</v>
      </c>
      <c r="S18" s="3">
        <f>1114.5+(11.2-584.4)+(-1.705185+(-0.017136--0.894132))+0-0-0</f>
        <v>540.47181100000012</v>
      </c>
      <c r="T18" s="3">
        <f>1103.3+(0-609.6)+(-1.688049+(0--0.932688))+0-0-0</f>
        <v>492.94463899999994</v>
      </c>
      <c r="U18" s="3">
        <f>1102.6+(0-624.1)+(-1.686978+(0--0.954873))+0-0-0</f>
        <v>477.7678949999999</v>
      </c>
      <c r="V18" s="3">
        <f>1103.3+(0-611.5)+(-0.562683+(0--0.311865))+0-0-0</f>
        <v>491.54918199999997</v>
      </c>
      <c r="W18" s="3">
        <f>1102.6+(3.5-603.9)+(-2.81163+(-0.008925--1.539945))+0-0-0</f>
        <v>500.91938999999991</v>
      </c>
      <c r="X18" s="3">
        <f>1102.4+(28.2-611)+(-1.686672+(-0.043146--0.93483))+0-0-0</f>
        <v>518.80501200000015</v>
      </c>
      <c r="Y18" s="3">
        <f>1099.7+(43.1-556.4)+(-1.121694+(-0.043962--0.567528))+0-0-0</f>
        <v>585.80187200000012</v>
      </c>
      <c r="Z18" s="3">
        <f>1092+(102.6-508.5)+(-3.89844+(-0.366282--1.815345))+0-0-0</f>
        <v>683.650623</v>
      </c>
      <c r="AA18" s="3">
        <f>1097.4+(92.5-512.1)+(-1.679022+(-0.141525--0.783513))+0-0-0</f>
        <v>676.76296600000012</v>
      </c>
      <c r="AB18" s="3">
        <f>1098.2+(77.6-526.2)+(-1.680246+(-0.118728--0.805086))+0-0-0</f>
        <v>648.60611200000005</v>
      </c>
      <c r="AC18" s="3">
        <f>1100.6+(93.7-597.8)+(0.561306+(0.047787-0.304878))+0-0-0</f>
        <v>596.804215</v>
      </c>
      <c r="AD18">
        <f t="shared" si="0"/>
        <v>12694.469015000001</v>
      </c>
      <c r="AE18" s="3">
        <f>1098+(106.6-548.3)+(0+(0-0))+0-0-0</f>
        <v>656.30000000000007</v>
      </c>
    </row>
    <row r="19" spans="1:31" s="2" customFormat="1" x14ac:dyDescent="0.25">
      <c r="A19">
        <v>89</v>
      </c>
      <c r="B19">
        <v>1</v>
      </c>
      <c r="C19">
        <v>19</v>
      </c>
      <c r="D19">
        <v>6</v>
      </c>
      <c r="E19">
        <v>1</v>
      </c>
      <c r="F19" s="3">
        <f>1082.9+(78.2-650.9)+(-2.209116+(-0.159528--1.327836))+0-0-0</f>
        <v>509.15919200000013</v>
      </c>
      <c r="G19" s="3">
        <f>1082.7+(53.3-673.3)+(-1.656531+(-0.081549--1.030149))+0-0-0</f>
        <v>461.99206900000007</v>
      </c>
      <c r="H19" s="3">
        <f>1079.6+(62.1-696.7)+(-1.101192+(-0.063342--0.710634))+0-0-0</f>
        <v>444.54609999999991</v>
      </c>
      <c r="I19" s="3">
        <f>1075.2+(35.4-676.2)+(-1.645056+(-0.054162--1.034586))+0-0-0</f>
        <v>433.73536799999999</v>
      </c>
      <c r="J19" s="3">
        <f>1081.3+(12.9-673)+(0+(0-0))+0-0-0</f>
        <v>421.19999999999993</v>
      </c>
      <c r="K19" s="3">
        <f>1082.2+(3.7-672.7)+(0.551922+(0.001887-0.343077))+0-0-0</f>
        <v>413.41073200000005</v>
      </c>
      <c r="L19" s="3">
        <f>1077.9+(10.5-673.7)+(-1.099458+(-0.01071--0.687174))+0-0-0</f>
        <v>414.27700600000003</v>
      </c>
      <c r="M19" s="3">
        <f>1084.4+(16.9-674.7)+(-0.553044+(-0.008619--0.344097))+0-0-0</f>
        <v>426.38243400000005</v>
      </c>
      <c r="N19" s="3">
        <f>1085.3+(0-614.4)+(-0.553503+(0--0.313344))+0-0-0</f>
        <v>470.65984099999997</v>
      </c>
      <c r="O19" s="3">
        <f>1095.7+(17.4-584.7)+(1.676421+(0.026622-0.894591))+0-0-0</f>
        <v>529.20845199999997</v>
      </c>
      <c r="P19" s="3">
        <f>1088+(26.6-570.2)+(1.10976+(0.027132-0.581604))+0-0-0</f>
        <v>544.955288</v>
      </c>
      <c r="Q19" s="3">
        <f>1082+(22.1-562.6)+(0.55182+(0.011271-0.286926))+0-0-0</f>
        <v>541.77616499999999</v>
      </c>
      <c r="R19" s="3">
        <f>1075.4+(38-580.7)+(0+(0-0))+0-0-0</f>
        <v>532.70000000000005</v>
      </c>
      <c r="S19" s="3">
        <f>1057.4+(42.1-589)+(-2.157096+(-0.085884--1.20156))+0-0-0</f>
        <v>509.4585800000001</v>
      </c>
      <c r="T19" s="3">
        <f>1069.6+(43.8-604.5)+(1.636488+(0.067014-0.924885))+0-0-0</f>
        <v>509.67861699999986</v>
      </c>
      <c r="U19" s="3">
        <f>1055.9+(48.2-592.3)+(-0.538509+(-0.024582--0.302073))+0-0-0</f>
        <v>511.5389820000002</v>
      </c>
      <c r="V19" s="3">
        <f>1053.5+(60.4-628.1)+(-0.537285+(-0.030804--0.320331))+0-0-0</f>
        <v>485.55224199999998</v>
      </c>
      <c r="W19" s="3">
        <f>1056.5+(71.5-627.5)+(-1.07763+(-0.07293--0.64005))+0-0-0</f>
        <v>499.98948999999999</v>
      </c>
      <c r="X19" s="3">
        <f>1081.8+(87.2-666.7)+(-0.551718+(-0.044472--0.340017))+0-0-0</f>
        <v>502.04382699999996</v>
      </c>
      <c r="Y19" s="3">
        <f>1125.4+(89.8-614.8)+(1.147908+(0.091596-0.627096))+0-0-0</f>
        <v>601.01240800000005</v>
      </c>
      <c r="Z19" s="3">
        <f>1179.8+(77.2-595.8)+(0.601698+(0.039372-0.303858))+0-0-0</f>
        <v>661.53721200000007</v>
      </c>
      <c r="AA19" s="3">
        <f>1180+(77.5-627.7)+(0+(0-0))+0-0-0</f>
        <v>629.79999999999995</v>
      </c>
      <c r="AB19" s="3">
        <f>1169.6+(68.8-634.2)+(-1.789488+(-0.105264--0.970326))+0-0-0</f>
        <v>603.27557399999978</v>
      </c>
      <c r="AC19" s="3">
        <f>1168.9+(39.7-645.9)+(0+(0-0))+0-0-0</f>
        <v>562.70000000000016</v>
      </c>
      <c r="AD19">
        <f t="shared" si="0"/>
        <v>12220.589579</v>
      </c>
      <c r="AE19" s="3">
        <f>1176+(84.2-615)+(0+(0-0))+0-0-0</f>
        <v>645.20000000000005</v>
      </c>
    </row>
    <row r="20" spans="1:31" s="2" customFormat="1" x14ac:dyDescent="0.25">
      <c r="A20">
        <v>89</v>
      </c>
      <c r="B20">
        <v>1</v>
      </c>
      <c r="C20">
        <v>20</v>
      </c>
      <c r="D20">
        <v>7</v>
      </c>
      <c r="E20">
        <v>1</v>
      </c>
      <c r="F20" s="3">
        <f>1140+(4.2-621.7)+(-1.1628+(-0.004284--0.634134))+0-0-0</f>
        <v>521.96704999999997</v>
      </c>
      <c r="G20" s="3">
        <f>1062.1+(15.4-638.6)+(-2.166684+(-0.031416--1.302744))+0-0-0</f>
        <v>438.00464399999987</v>
      </c>
      <c r="H20" s="3">
        <f>1082.2+(0-651.8)+(-1.103844+(0--0.664836))+0-0-0</f>
        <v>429.96099200000009</v>
      </c>
      <c r="I20" s="3">
        <f>1081.1+(0-647.2)+(-0.551361+(0--0.330072))+0-0-0</f>
        <v>433.67871099999985</v>
      </c>
      <c r="J20" s="3">
        <f>1081.8+(0-672.8)+(-1.103436+(0--0.686256))+0-0-0</f>
        <v>408.58282000000003</v>
      </c>
      <c r="K20" s="3">
        <f>1081.8+(0-688.6)+(-0.551718+(0--0.351186))+0-0-0</f>
        <v>392.99946799999992</v>
      </c>
      <c r="L20" s="3">
        <f>1068.8+(0-675.7)+(-2.180352+(0--1.378428))+0-0-0</f>
        <v>392.29807599999992</v>
      </c>
      <c r="M20" s="3">
        <f>1036.7+(0-650.5)+(0+(0-0))+0-0-0</f>
        <v>386.20000000000005</v>
      </c>
      <c r="N20" s="3">
        <f>1026.1+(13.5-661.2)+(-1.046622+(-0.01377--0.674424))+0-0-0</f>
        <v>378.01403199999987</v>
      </c>
      <c r="O20" s="3">
        <f>1010.1+(49.8-638.1)+(1.545453+(0.076194-0.976293))+0-0-0</f>
        <v>422.44535399999995</v>
      </c>
      <c r="P20" s="3">
        <f>996.1+(90.1-623.8)+(1.016022+(0.091902-0.636276))+0-0-0</f>
        <v>462.87164800000011</v>
      </c>
      <c r="Q20" s="3">
        <f>994.9+(125.7-658.8)+(0.507399+(0.064107-0.335988))+0-0-0</f>
        <v>462.03551800000008</v>
      </c>
      <c r="R20" s="3">
        <f>994.8+(125.3-657.7)+(0+(0-0))+0-0-0</f>
        <v>462.39999999999986</v>
      </c>
      <c r="S20" s="3">
        <f>990.6+(124.1-652.3)+(-0.505206+(-0.063291--0.332673))+0-0-0</f>
        <v>462.16417600000011</v>
      </c>
      <c r="T20" s="3">
        <f>991.5+(111-655)+(-1.01133+(-0.11322--0.6681))+0-0-0</f>
        <v>447.04354999999998</v>
      </c>
      <c r="U20" s="3">
        <f>1007.1+(81.2-656.7)+(0.513621+(0.041412-0.334917))+0-0-0</f>
        <v>431.82011600000004</v>
      </c>
      <c r="V20" s="3">
        <f>1019.2+(69.1-651.6)+(-2.079168+(-0.140964--1.329264))+0-0-0</f>
        <v>435.80913200000003</v>
      </c>
      <c r="W20" s="3">
        <f>1050.1+(58.7-646.4)+(-1.071102+(-0.059874--0.659328))+0-0-0</f>
        <v>461.92835199999996</v>
      </c>
      <c r="X20" s="3">
        <f>1065+(54.5-654.1)+(-3.2589+(-0.16677--2.001546))+0-0-0</f>
        <v>463.97587599999997</v>
      </c>
      <c r="Y20" s="3">
        <f>1083.4+(62.4-625.5)+(0+(0-0))+0-0-0</f>
        <v>520.30000000000007</v>
      </c>
      <c r="Z20" s="3">
        <f>1106.6+(162.7-668.1)+(-0.564366+(-0.082977--0.340731))+0-0-0</f>
        <v>600.89338799999985</v>
      </c>
      <c r="AA20" s="3">
        <f>1102.3+(172.1-688.9)+(-1.686519+(-0.263313--1.054017))+0-0-0</f>
        <v>584.60418500000003</v>
      </c>
      <c r="AB20" s="3">
        <f>1099.6+(174.2-714.5)+(-1.682388+(-0.266526--1.093185))+0-0-0</f>
        <v>558.44427099999996</v>
      </c>
      <c r="AC20" s="3">
        <f>1093.3+(106-688.6)+(-2.230332+(-0.21624--1.404744))+0-0-0</f>
        <v>509.65817199999992</v>
      </c>
      <c r="AD20">
        <f t="shared" si="0"/>
        <v>11068.099531</v>
      </c>
      <c r="AE20" s="3">
        <f>1098+(172.3-711.9)+(0+(0-0))+0-0-0</f>
        <v>558.40000000000009</v>
      </c>
    </row>
    <row r="21" spans="1:31" s="2" customFormat="1" x14ac:dyDescent="0.25">
      <c r="A21">
        <v>89</v>
      </c>
      <c r="B21">
        <v>1</v>
      </c>
      <c r="C21">
        <v>21</v>
      </c>
      <c r="D21">
        <v>1</v>
      </c>
      <c r="E21">
        <v>1</v>
      </c>
      <c r="F21" s="3">
        <f>1090.4+(46.9-708.4)+(-2.78052+(-0.119595--1.80642))+0-0-0</f>
        <v>427.80630500000007</v>
      </c>
      <c r="G21" s="3">
        <f>1090.1+(15.6-718.3)+(-2.779755+(-0.03978--1.831665))+0-0-0</f>
        <v>386.41212999999999</v>
      </c>
      <c r="H21" s="3">
        <f>1056.5+(3.6-690.8)+(-3.23289+(-0.011016--2.113848))+0-0-0</f>
        <v>368.16994200000005</v>
      </c>
      <c r="I21" s="3">
        <f>934.9+(29.7-606.8)+(-0.476799+(-0.015147--0.309468))+0-0-0</f>
        <v>357.61752200000006</v>
      </c>
      <c r="J21" s="3">
        <f>929.9+(26.9-596.5)+(-1.422747+(-0.041157--0.912645))+0-0-0</f>
        <v>359.74874099999994</v>
      </c>
      <c r="K21" s="3">
        <f>929.4+(25.7-589.6)+(-0.947988+(-0.026214--0.601392))+0-0-0</f>
        <v>365.12718999999998</v>
      </c>
      <c r="L21" s="3">
        <f>922.8+(30.3-565)+(-2.823768+(-0.092718--1.7289))+0-0-0</f>
        <v>386.9124139999999</v>
      </c>
      <c r="M21" s="3">
        <f>984.6+(11.6-570.7)+(0.502146+(0.005916-0.291057))+0-0-0</f>
        <v>425.71700499999997</v>
      </c>
      <c r="N21" s="3">
        <f>1061.7+(41.4-631)+(0+(0-0))+0-0-0</f>
        <v>472.1</v>
      </c>
      <c r="O21" s="3">
        <f>1081.6+(50-627.6)+(-1.103232+(-0.051--0.640152))+0-0-0</f>
        <v>503.48591999999991</v>
      </c>
      <c r="P21" s="3">
        <f>1111.7+(55.9-669.3)+(0.566967+(0.028509-0.341343))+0-0-0</f>
        <v>498.55413300000009</v>
      </c>
      <c r="Q21" s="3">
        <f>1115.1+(65-666.7)+(0.568701+(0.03315-0.340017))+0-0-0</f>
        <v>513.66183399999989</v>
      </c>
      <c r="R21" s="3">
        <f>1107.8+(133.2-677.2)+(-1.129956+(-0.135864--0.690744))+0-0-0</f>
        <v>563.22492399999999</v>
      </c>
      <c r="S21" s="3">
        <f>1101.2+(130.9-694.6)+(-2.80806+(-0.333795--1.77123))+0-0-0</f>
        <v>536.12937499999998</v>
      </c>
      <c r="T21" s="3">
        <f>1119.6+(95.1-709.6)+(0.570996+(0.048501-0.361896))+0-0-0</f>
        <v>505.35760099999993</v>
      </c>
      <c r="U21" s="3">
        <f>1109.9+(94.5-721.5)+(-2.264196+(-0.19278--1.47186))+0-0-0</f>
        <v>481.91488400000009</v>
      </c>
      <c r="V21" s="3">
        <f>1120.9+(94.9-730.4)+(0+(0-0))+0-0-0</f>
        <v>485.40000000000009</v>
      </c>
      <c r="W21" s="3">
        <f>1113.9+(100-680.4)+(-2.272356+(-0.204--1.388016))+0-0-0</f>
        <v>532.4116600000001</v>
      </c>
      <c r="X21" s="3">
        <f>1131.9+(81.1-667.1)+(-1.154538+(-0.082722--0.680442))+0-0-0</f>
        <v>545.34318200000007</v>
      </c>
      <c r="Y21" s="3">
        <f>1139.9+(93.6-617.8)+(-2.325396+(-0.190944--1.260312))+0-0-0</f>
        <v>614.44397200000014</v>
      </c>
      <c r="Z21" s="3">
        <f>1143.9+(125.6-556.9)+(-1.750167+(-0.192168--0.852057))+0-0-0</f>
        <v>711.50972200000012</v>
      </c>
      <c r="AA21" s="3">
        <f>1139.9+(100.9-606.2)+(-1.744047+(-0.154377--0.927486))+0-0-0</f>
        <v>633.62906199999998</v>
      </c>
      <c r="AB21" s="3">
        <f>1142.2+(88.9-647.8)+(-1.747566+(-0.136017--0.991134))+0-0-0</f>
        <v>582.40755100000001</v>
      </c>
      <c r="AC21" s="3">
        <f>1135.2+(78.7-613)+(-2.315808+(-0.160548--1.25052))+0-0-0</f>
        <v>599.67416400000013</v>
      </c>
      <c r="AD21">
        <f t="shared" si="0"/>
        <v>11856.759233000001</v>
      </c>
      <c r="AE21" s="3">
        <f>1136+(116-640.6)+(0+(0-0))+0-0-0</f>
        <v>611.4</v>
      </c>
    </row>
    <row r="22" spans="1:31" s="2" customFormat="1" x14ac:dyDescent="0.25">
      <c r="A22">
        <v>89</v>
      </c>
      <c r="B22">
        <v>1</v>
      </c>
      <c r="C22">
        <v>22</v>
      </c>
      <c r="D22">
        <v>2</v>
      </c>
      <c r="E22">
        <v>1</v>
      </c>
      <c r="F22" s="3">
        <f>1097.7+(35-665.2)+(-1.119654+(-0.0357--0.678504))+0-0-0</f>
        <v>467.02314999999999</v>
      </c>
      <c r="G22" s="3">
        <f>1078+(0-674.9)+(-2.7489+(0--1.720995))+0-0-0</f>
        <v>402.07209500000005</v>
      </c>
      <c r="H22" s="3">
        <f>1073+(0-720.3)+(-1.64169+(0--1.102059))+0-0-0</f>
        <v>352.16036900000006</v>
      </c>
      <c r="I22" s="3">
        <f>1087+(0-696.1)+(-1.66311+(0--1.065033))+0-0-0</f>
        <v>390.30192299999999</v>
      </c>
      <c r="J22" s="3">
        <f>1099+(0-688.8)+(-2.80245+(0--1.75644))+0-0-0</f>
        <v>409.15399000000002</v>
      </c>
      <c r="K22" s="3">
        <f>1094+(0-685.8)+(1.11588+(0-0.699516))+0-0-0</f>
        <v>408.61636400000003</v>
      </c>
      <c r="L22" s="3">
        <f>1087+(0-687.6)+(-2.77185+(0--1.75338))+0-0-0</f>
        <v>398.38153</v>
      </c>
      <c r="M22" s="3">
        <f>1092+(10-689.3)+(-0.55692+(-0.0051--0.351543))+0-0-0</f>
        <v>412.48952300000002</v>
      </c>
      <c r="N22" s="3">
        <f>1092+(29-670.3)+(0.55692+(0.01479-0.341853))+0-0-0</f>
        <v>450.92985700000003</v>
      </c>
      <c r="O22" s="3">
        <f>1098+(53.2-635.7)+(-0.55998+(-0.027132--0.324207))+0-0-0</f>
        <v>515.23709499999995</v>
      </c>
      <c r="P22" s="3">
        <f>1096+(48.2-610)+(-0.55896+(-0.024582--0.3111))+0-0-0</f>
        <v>533.92755800000009</v>
      </c>
      <c r="Q22" s="3">
        <f>1102+(34.6-587.3)+(0.56202+(0.017646-0.299523))+0-0-0</f>
        <v>549.58014300000002</v>
      </c>
      <c r="R22" s="3">
        <f>1101+(47.6-597.5)+(-1.68453+(-0.072828--0.914175))+0-0-0</f>
        <v>550.25681700000007</v>
      </c>
      <c r="S22" s="3">
        <f>1109+(25.2-601)+(-1.69677+(-0.038556--0.91953))+0-0-0</f>
        <v>532.38420400000007</v>
      </c>
      <c r="T22" s="3">
        <f>1081+(26.1-615.6)+(0+(0-0))+0-0-0</f>
        <v>491.5</v>
      </c>
      <c r="U22" s="3">
        <f>1087+(19-630.4)+(0+(0-0))+0-0-0</f>
        <v>475.6</v>
      </c>
      <c r="V22" s="3">
        <f>1090+(13-628.5)+(-0.5559+(-0.00663--0.320535))+0-0-0</f>
        <v>474.25800500000003</v>
      </c>
      <c r="W22" s="3">
        <f>1098+(18-619.6)+(-3.35988+(-0.05508--1.895976))+0-0-0</f>
        <v>494.88101599999999</v>
      </c>
      <c r="X22" s="3">
        <f>1098+(3-622.6)+(-0.55998+(-0.00153--0.317526))+0-0-0</f>
        <v>478.15601599999997</v>
      </c>
      <c r="Y22" s="3">
        <f>1139+(23.7-587.8)+(-1.16178+(-0.024174--0.599556))+0-0-0</f>
        <v>574.31360200000006</v>
      </c>
      <c r="Z22" s="3">
        <f>1120.9+(121.7-558.3)+(-3.429954+(-0.372402--1.708398))+0-0-0</f>
        <v>682.20604200000014</v>
      </c>
      <c r="AA22" s="3">
        <f>1125.7+(105.1-613.5)+(-2.296428+(-0.214404--1.25154))+0-0-0</f>
        <v>616.04070800000011</v>
      </c>
      <c r="AB22" s="3">
        <f>1133.6+(76.7-608.2)+(0+(0-0))+0-0-0</f>
        <v>602.09999999999991</v>
      </c>
      <c r="AC22" s="3">
        <f>1132.8+(73.5-647.7)+(-0.577728+(-0.037485--0.330327))+0-0-0</f>
        <v>558.31511399999988</v>
      </c>
      <c r="AD22">
        <f t="shared" si="0"/>
        <v>11819.885121000003</v>
      </c>
      <c r="AE22" s="3">
        <f>1116+(131.4-581.9)+(0+(0-0))+0-0-0</f>
        <v>665.5</v>
      </c>
    </row>
    <row r="23" spans="1:31" s="2" customFormat="1" x14ac:dyDescent="0.25">
      <c r="A23">
        <v>89</v>
      </c>
      <c r="B23">
        <v>1</v>
      </c>
      <c r="C23">
        <v>23</v>
      </c>
      <c r="D23">
        <v>3</v>
      </c>
      <c r="E23">
        <v>1</v>
      </c>
      <c r="F23" s="3">
        <f>1126.4+(15.4-636.7)+(-1.723392+(-0.023562--0.974151))+0-0-0</f>
        <v>504.32719700000001</v>
      </c>
      <c r="G23" s="3">
        <f>1131.8+(0-659.8)+(0+(0-0))+0-0-0</f>
        <v>472</v>
      </c>
      <c r="H23" s="3">
        <f>1127.9+(0-698.7)+(-1.150458+(0--0.712674))+0-0-0</f>
        <v>428.76221600000002</v>
      </c>
      <c r="I23" s="3">
        <f>1128.5+(0-692.4)+(-0.575535+(0--0.353124))+0-0-0</f>
        <v>435.877589</v>
      </c>
      <c r="J23" s="3">
        <f>1040+(0-614.9)+(-2.1216+(0--1.254396))+0-0-0</f>
        <v>424.23279600000001</v>
      </c>
      <c r="K23" s="3">
        <f>1003.1+(0-587.3)+(-0.511581+(0--0.299523))+0-0-0</f>
        <v>415.58794200000006</v>
      </c>
      <c r="L23" s="3">
        <f>999.2+(0-585.5)+(-0.509592+(0--0.298605))+0-0-0</f>
        <v>413.48901300000006</v>
      </c>
      <c r="M23" s="3">
        <f>998.2+(0-549)+(-1.018164+(0--0.55998))+0-0-0</f>
        <v>448.74181600000003</v>
      </c>
      <c r="N23" s="3">
        <f>1011.1+(7.4-525.4)+(-2.062644+(-0.015096--1.071816))+0-0-0</f>
        <v>492.09407600000003</v>
      </c>
      <c r="O23" s="3">
        <f>1011.1+(18.3-495)+(-1.546983+(-0.027999--0.75735))+0-0-0</f>
        <v>533.58236800000009</v>
      </c>
      <c r="P23" s="3">
        <f>1027+(29.7-486.8)+(-1.57131+(-0.045441--0.744804))+0-0-0</f>
        <v>569.028053</v>
      </c>
      <c r="Q23" s="3">
        <f>1014.1+(38.9-501)+(-1.034382+(-0.039678--0.51102))+0-0-0</f>
        <v>551.43696</v>
      </c>
      <c r="R23" s="3">
        <f>1007.2+(59.7-535.9)+(0+(0-0))+0-0-0</f>
        <v>531</v>
      </c>
      <c r="S23" s="3">
        <f>1032.1+(72.5-566.2)+(-0.526371+(-0.036975--0.288762))+0-0-0</f>
        <v>538.12541599999986</v>
      </c>
      <c r="T23" s="3">
        <f>994.8+(70.8-577.1)+(-1.014696+(-0.072216--0.588642))+0-0-0</f>
        <v>488.00172999999995</v>
      </c>
      <c r="U23" s="3">
        <f>995.8+(20.5-537.1)+(-1.015716+(-0.02091--0.547842))+0-0-0</f>
        <v>478.71121599999992</v>
      </c>
      <c r="V23" s="3">
        <f>1015.8+(14.9-545.1)+(-1.036116+(-0.015198--0.556002))+0-0-0</f>
        <v>485.1046879999999</v>
      </c>
      <c r="W23" s="3">
        <f>992.7+(24.7-528.4)+(-0.506277+(-0.012597--0.269484))+0-0-0</f>
        <v>488.75061000000005</v>
      </c>
      <c r="X23" s="3">
        <f>992.8+(37.7-524.4)+(-0.506328+(-0.019227--0.267444))+0-0-0</f>
        <v>505.84188899999998</v>
      </c>
      <c r="Y23" s="3">
        <f>1048.8+(65.8-508.1)+(0+(0-0))+0-0-0</f>
        <v>606.5</v>
      </c>
      <c r="Z23" s="3">
        <f>1000.8+(119.2-494.5)+(-1.020816+(-0.121584--0.50439))+0-0-0</f>
        <v>624.86198999999999</v>
      </c>
      <c r="AA23" s="3">
        <f>998.8+(128-484.6)+(-1.018776+(-0.13056--0.494292))+0-0-0</f>
        <v>641.54495599999996</v>
      </c>
      <c r="AB23" s="3">
        <f>1007.8+(112.9-508.8)+(-2.055912+(-0.230316--1.037952))+0-0-0</f>
        <v>610.65172399999994</v>
      </c>
      <c r="AC23" s="3">
        <f>1007.8+(87.9-522.6)+(-1.027956+(-0.089658--0.533052))+0-0-0</f>
        <v>572.5154379999999</v>
      </c>
      <c r="AD23">
        <f t="shared" si="0"/>
        <v>12260.769682999997</v>
      </c>
      <c r="AE23" s="3">
        <f>1064+(120.9-532.4)+(0+(0-0))+0-0-0</f>
        <v>652.5</v>
      </c>
    </row>
    <row r="24" spans="1:31" s="2" customFormat="1" x14ac:dyDescent="0.25">
      <c r="A24">
        <v>89</v>
      </c>
      <c r="B24">
        <v>1</v>
      </c>
      <c r="C24">
        <v>24</v>
      </c>
      <c r="D24">
        <v>4</v>
      </c>
      <c r="E24">
        <v>1</v>
      </c>
      <c r="F24" s="3">
        <f>993.8+(67.4-562.4)+(-1.520514+(-0.103122--0.860472))+0-0-0</f>
        <v>498.03683599999994</v>
      </c>
      <c r="G24" s="3">
        <f>949.3+(60-536.6)+(-1.452429+(-0.0918--0.820998))+0-0-0</f>
        <v>471.97676899999993</v>
      </c>
      <c r="H24" s="3">
        <f>809+(106.2-445.4)+(0.41259+(0.054162-0.227154))+0-0-0</f>
        <v>470.03959800000001</v>
      </c>
      <c r="I24" s="3">
        <f>807+(103.3-441.3)+(-1.23471+(-0.158049--0.675189))+0-0-0</f>
        <v>468.28242999999998</v>
      </c>
      <c r="J24" s="3">
        <f>770+(103.4-456.8)+(-1.9635+(-0.26367--1.16484))+0-0-0</f>
        <v>415.53767000000005</v>
      </c>
      <c r="K24" s="3">
        <f>822+(83.6-480.3)+(-1.25766+(-0.127908--0.734859))+0-0-0</f>
        <v>424.64929099999995</v>
      </c>
      <c r="L24" s="3">
        <f>889+(72.8-525.6)+(-0.45339+(-0.037128--0.268056))+0-0-0</f>
        <v>435.97753799999998</v>
      </c>
      <c r="M24" s="3">
        <f>914+(55.3-487.1)+(0+(0-0))+0-0-0</f>
        <v>482.2</v>
      </c>
      <c r="N24" s="3">
        <f>1061+(35.2-561)+(0+(0-0))+0-0-0</f>
        <v>535.20000000000005</v>
      </c>
      <c r="O24" s="3">
        <f>1083+(52.1-576.7)+(-0.55233+(-0.026571--0.294117))+0-0-0</f>
        <v>558.11521600000003</v>
      </c>
      <c r="P24" s="3">
        <f>1072+(54.3-570.1)+(0+(0-0))+0-0-0</f>
        <v>556.19999999999993</v>
      </c>
      <c r="Q24" s="3">
        <f>1077+(60.4-572.6)+(0+(0-0))+0-0-0</f>
        <v>564.79999999999995</v>
      </c>
      <c r="R24" s="3">
        <f>1031+(67-557.5)+(-1.57743+(-0.10251--0.852975))+0-0-0</f>
        <v>539.67303500000003</v>
      </c>
      <c r="S24" s="3">
        <f>1032+(58.4-572.1)+(-1.05264+(-0.059568--0.583542))+0-0-0</f>
        <v>517.77133399999991</v>
      </c>
      <c r="T24" s="3">
        <f>1048+(36.3-580.8)+(-0.53448+(-0.018513--0.296208))+0-0-0</f>
        <v>503.24321500000002</v>
      </c>
      <c r="U24" s="3">
        <f>1035+(32.5-572.4)+(0.52785+(0.016575-0.291924))+0-0-0</f>
        <v>495.35250100000002</v>
      </c>
      <c r="V24" s="3">
        <f>1044.6+(55.5-570.2)+(-0.532746+(-0.028305--0.290802))+0-0-0</f>
        <v>529.62975099999983</v>
      </c>
      <c r="W24" s="3">
        <f>1040+(56.9-570.8)+(-1.5912+(-0.087057--0.873324))+0-0-0</f>
        <v>525.29506700000002</v>
      </c>
      <c r="X24" s="3">
        <f>1033.3+(56.8-573.1)+(-2.634915+(-0.14484--1.461405))+0-0-0</f>
        <v>515.68164999999988</v>
      </c>
      <c r="Y24" s="3">
        <f>1050.7+(82.2-576.2)+(-1.071714+(-0.083844--0.587724))+0-0-0</f>
        <v>556.1321660000001</v>
      </c>
      <c r="Z24" s="3">
        <f>1060.3+(169.2-574.2)+(-2.163012+(-0.345168--1.171368))+0-0-0</f>
        <v>653.96318799999995</v>
      </c>
      <c r="AA24" s="3">
        <f>1034.4+(184.6-577.6)+(-2.63772+(-0.47073--1.47288))+0-0-0</f>
        <v>639.76443000000006</v>
      </c>
      <c r="AB24" s="3">
        <f>976.3+(152.8-526.3)+(-1.991652+(-0.311712--1.073652))+0-0-0</f>
        <v>601.57028800000001</v>
      </c>
      <c r="AC24" s="3">
        <f>942.2+(129.2-534.1)+(-1.922088+(-0.263568--1.089564))+0-0-0</f>
        <v>536.20390799999996</v>
      </c>
      <c r="AD24">
        <f t="shared" si="0"/>
        <v>12495.295881</v>
      </c>
      <c r="AE24" s="3">
        <f>1065+(180-616)+(0+(0-0))+0-0-0</f>
        <v>629</v>
      </c>
    </row>
    <row r="25" spans="1:31" s="2" customFormat="1" x14ac:dyDescent="0.25">
      <c r="A25">
        <v>89</v>
      </c>
      <c r="B25">
        <v>1</v>
      </c>
      <c r="C25">
        <v>25</v>
      </c>
      <c r="D25">
        <v>5</v>
      </c>
      <c r="E25">
        <v>1</v>
      </c>
      <c r="F25" s="3">
        <f>942.3+(102.9-605.3)+(-1.441719+(-0.157437--0.926109))+0-0-0</f>
        <v>439.22695299999998</v>
      </c>
      <c r="G25" s="3">
        <f>939.4+(56.7-608.4)+(-1.437282+(-0.086751--0.930852))+0-0-0</f>
        <v>387.10681900000003</v>
      </c>
      <c r="H25" s="3">
        <f>940.6+(27.6-596.7)+(-0.959412+(-0.028152--0.608634))+0-0-0</f>
        <v>371.12106999999997</v>
      </c>
      <c r="I25" s="3">
        <f>939.4+(20.5-598)+(-0.958188+(-0.02091--0.60996))+0-0-0</f>
        <v>361.53086199999996</v>
      </c>
      <c r="J25" s="3">
        <f>868.6+(48.8-530.4)+(-0.885972+(-0.049776--0.541008))+0-0-0</f>
        <v>386.60526000000004</v>
      </c>
      <c r="K25" s="3">
        <f>761.2+(74.5-459.8)+(0.388212+(0.037995-0.234498))+0-0-0</f>
        <v>376.09170900000004</v>
      </c>
      <c r="L25" s="3">
        <f>750.6+(69.3-438.1)+(-0.382806+(-0.035343--0.223431))+0-0-0</f>
        <v>381.60528199999999</v>
      </c>
      <c r="M25" s="3">
        <f>752.6+(82.9-424.4)+(0.383826+(0.042279-0.216444))+0-0-0</f>
        <v>411.30966100000001</v>
      </c>
      <c r="N25" s="3">
        <f>845.7+(116.5-525.8)+(0+(0-0))+0-0-0</f>
        <v>436.40000000000009</v>
      </c>
      <c r="O25" s="3">
        <f>945.8+(104.5-568.7)+(-0.482358+(-0.053295--0.290037))+0-0-0</f>
        <v>481.35438399999992</v>
      </c>
      <c r="P25" s="3">
        <f>952.5+(87.6-517.4)+(0.97155+(0.089352-0.527748))+0-0-0</f>
        <v>523.23315400000001</v>
      </c>
      <c r="Q25" s="3">
        <f>944.1+(78.2-500)+(-1.444473+(-0.119646--0.765))+0-0-0</f>
        <v>521.50088099999994</v>
      </c>
      <c r="R25" s="3">
        <f>953.5+(72.5-521.5)+(0.486285+(0.036975-0.265965))+0-0-0</f>
        <v>504.757295</v>
      </c>
      <c r="S25" s="3">
        <f>948+(63.7-528.4)+(-0.48348+(-0.032487--0.269484))+0-0-0</f>
        <v>483.053517</v>
      </c>
      <c r="T25" s="3">
        <f>954+(27.7-525.7)+(0.48654+(0.014127-0.268107))+0-0-0</f>
        <v>456.23255999999992</v>
      </c>
      <c r="U25" s="3">
        <f>972.2+(20.8-543.1)+(-1.487466+(-0.031824--0.830943))+0-0-0</f>
        <v>449.21165299999996</v>
      </c>
      <c r="V25" s="3">
        <f>1021.8+(7.7-568.6)+(0+(0-0))+0-0-0</f>
        <v>460.9</v>
      </c>
      <c r="W25" s="3">
        <f>1054.3+(4.5-583.9)+(-1.613079+(-0.006885--0.893367))+0-0-0</f>
        <v>474.17340299999995</v>
      </c>
      <c r="X25" s="3">
        <f>1072.6+(7.9-599.5)+(-3.282156+(-0.024174--1.83447))+0-0-0</f>
        <v>479.52813999999989</v>
      </c>
      <c r="Y25" s="3">
        <f>1093+(22.5-567.9)+(-1.11486+(-0.02295--0.579258))+0-0-0</f>
        <v>547.04144800000006</v>
      </c>
      <c r="Z25" s="3">
        <f>1097.7+(132.2-587.6)+(-2.239308+(-0.269688--1.198704))+0-0-0</f>
        <v>640.98970799999995</v>
      </c>
      <c r="AA25" s="3">
        <f>1101+(148-631.9)+(-1.68453+(-0.22644--0.966807))+0-0-0</f>
        <v>616.15583700000002</v>
      </c>
      <c r="AB25" s="3">
        <f>1091.5+(139.3-653.9)+(-2.22666+(-0.284172--1.333956))+0-0-0</f>
        <v>575.7231240000001</v>
      </c>
      <c r="AC25" s="3">
        <f>1098.7+(92-657.9)+(0+(0-0))+0-0-0</f>
        <v>532.80000000000007</v>
      </c>
      <c r="AD25">
        <f t="shared" si="0"/>
        <v>11297.652719999998</v>
      </c>
      <c r="AE25" s="3">
        <f>1124+(150-621)+(0+(0-0))+0-0-0</f>
        <v>653</v>
      </c>
    </row>
    <row r="26" spans="1:31" s="2" customFormat="1" x14ac:dyDescent="0.25">
      <c r="A26">
        <v>89</v>
      </c>
      <c r="B26">
        <v>1</v>
      </c>
      <c r="C26">
        <v>26</v>
      </c>
      <c r="D26">
        <v>6</v>
      </c>
      <c r="E26">
        <v>1</v>
      </c>
      <c r="F26" s="3">
        <f>1086.2+(32.3-645.1)+(-1.661886+(-0.049419--0.987003))+0-0-0</f>
        <v>472.67569799999995</v>
      </c>
      <c r="G26" s="3">
        <f>1087.7+(0-652.2)+(-0.554727+(0--0.332622))+0-0-0</f>
        <v>435.277895</v>
      </c>
      <c r="H26" s="3">
        <f>1091.2+(0-672.5)+(0+(0-0))+0-0-0</f>
        <v>418.70000000000005</v>
      </c>
      <c r="I26" s="3">
        <f>1079.9+(0-676.6)+(-2.202996+(0--1.380264))+0-0-0</f>
        <v>402.47726800000009</v>
      </c>
      <c r="J26" s="3">
        <f>1082.4+(0-677.2)+(-1.656072+(0--1.036116))+0-0-0</f>
        <v>404.58004400000004</v>
      </c>
      <c r="K26" s="3">
        <f>1088.7+(0-677.6)+(0+(0-0))+0-0-0</f>
        <v>411.1</v>
      </c>
      <c r="L26" s="3">
        <f>1073.1+(0-663.6)+(-3.283686+(0--2.030616))+0-0-0</f>
        <v>408.24692999999991</v>
      </c>
      <c r="M26" s="3">
        <f>1091.2+(0-647.4)+(0.556512+(0-0.330174))+0-0-0</f>
        <v>444.02633800000007</v>
      </c>
      <c r="N26" s="3">
        <f>1091.3+(8.9-639.3)+(0+(0-0))+0-0-0</f>
        <v>460.9</v>
      </c>
      <c r="O26" s="3">
        <f>1098.6+(13.9-615.2)+(1.120572+(0.014178-0.627504))+0-0-0</f>
        <v>497.80724599999985</v>
      </c>
      <c r="P26" s="3">
        <f>1076+(10.2-571.3)+(-1.64628+(-0.015606--0.874089))+0-0-0</f>
        <v>514.11220300000014</v>
      </c>
      <c r="Q26" s="3">
        <f>1083+(2.7-539.1)+(-1.65699+(-0.004131--0.824823))+0-0-0</f>
        <v>545.76370199999997</v>
      </c>
      <c r="R26" s="3">
        <f>1092.2+(2.7-551.7)+(0+(0-0))+0-0-0</f>
        <v>543.20000000000005</v>
      </c>
      <c r="S26" s="3">
        <f>1085.3+(2.7-583.7)+(-1.660509+(-0.004131--0.893061))+0-0-0</f>
        <v>503.52842099999998</v>
      </c>
      <c r="T26" s="3">
        <f>1090.3+(2.7-621)+(-0.556053+(-0.001377--0.31671))+0-0-0</f>
        <v>471.75927999999999</v>
      </c>
      <c r="U26" s="3">
        <f>1088.5+(2.7-640.1)+(-0.555135+(-0.001377--0.326451))+0-0-0</f>
        <v>450.86993900000004</v>
      </c>
      <c r="V26" s="3">
        <f>1137.3+(2.7-651.8)+(-1.740069+(-0.004131--0.997254))+0-0-0</f>
        <v>487.45305400000007</v>
      </c>
      <c r="W26" s="3">
        <f>1137.7+(2.7-641.7)+(-1.740681+(-0.004131--0.981801))+0-0-0</f>
        <v>497.93698900000004</v>
      </c>
      <c r="X26" s="3">
        <f>1130.4+(0-659.6)+(-1.729512+(0--1.009188))+0-0-0</f>
        <v>470.07967600000006</v>
      </c>
      <c r="Y26" s="3">
        <f>1144.4+(12.9-629.8)+(0.583644+(0.006579-0.321198))+0-0-0</f>
        <v>527.76902500000017</v>
      </c>
      <c r="Z26" s="3">
        <f>1137.1+(76.5-582.6)+(-1.159842+(-0.07803--0.594252))+0-0-0</f>
        <v>630.35637999999983</v>
      </c>
      <c r="AA26" s="3">
        <f>1140.3+(82.4-603.5)+(-0.581553+(-0.042024--0.307785))+0-0-0</f>
        <v>618.88420799999994</v>
      </c>
      <c r="AB26" s="3">
        <f>1137.4+(63-631.5)+(-1.160148+(-0.06426--0.64413))+0-0-0</f>
        <v>568.31972200000007</v>
      </c>
      <c r="AC26" s="3">
        <f>1130.3+(29.5-638.1)+(-3.458718+(-0.09027--1.952586))+0-0-0</f>
        <v>520.10359799999992</v>
      </c>
      <c r="AD26">
        <f t="shared" si="0"/>
        <v>11705.927615999997</v>
      </c>
      <c r="AE26" s="3">
        <f>1139+(88.8-623.5)+(0+(0-0))+0-0-0</f>
        <v>604.29999999999995</v>
      </c>
    </row>
    <row r="27" spans="1:31" s="2" customFormat="1" x14ac:dyDescent="0.25">
      <c r="A27">
        <v>89</v>
      </c>
      <c r="B27">
        <v>1</v>
      </c>
      <c r="C27">
        <v>27</v>
      </c>
      <c r="D27">
        <v>7</v>
      </c>
      <c r="E27">
        <v>1</v>
      </c>
      <c r="F27" s="3">
        <f>1140.2+(1.6-662.4)+(-1.163004+(-0.001632--0.675648))+0-0-0</f>
        <v>478.91101200000008</v>
      </c>
      <c r="G27" s="3">
        <f>1129.8+(0-714.7)+(-2.88099+(0--1.822485))+0-0-0</f>
        <v>414.04149499999988</v>
      </c>
      <c r="H27" s="3">
        <f>1126.4+(0-719.5)+(-2.87232+(0--1.834725))+0-0-0</f>
        <v>405.86240500000008</v>
      </c>
      <c r="I27" s="3">
        <f>1137.9+(0-739.1)+(-1.160658+(0--0.753882))+0-0-0</f>
        <v>398.39322400000009</v>
      </c>
      <c r="J27" s="3">
        <f>1143.3+(0-738.9)+(0+(0-0))+0-0-0</f>
        <v>404.4</v>
      </c>
      <c r="K27" s="3">
        <f>1134+(0-722)+(-2.31336+(0--1.47288))+0-0-0</f>
        <v>411.15951999999999</v>
      </c>
      <c r="L27" s="3">
        <f>1125.8+(0-748.1)+(-4.019106+(0--2.670717))+0-0-0</f>
        <v>376.35161099999993</v>
      </c>
      <c r="M27" s="3">
        <f>1134.2+(0-763.6)+(-2.313768+(0--1.557744))+0-0-0</f>
        <v>369.843976</v>
      </c>
      <c r="N27" s="3">
        <f>1143.6+(2.7-747.7)+(0+(0-0))+0-0-0</f>
        <v>398.59999999999991</v>
      </c>
      <c r="O27" s="3">
        <f>1152.7+(2.7-707.6)+(1.175754+(0.002754-0.721752))+0-0-0</f>
        <v>448.25675600000005</v>
      </c>
      <c r="P27" s="3">
        <f>1147+(6-685.7)+(0+(0-0))+0-0-0</f>
        <v>467.29999999999995</v>
      </c>
      <c r="Q27" s="3">
        <f>1128.7+(4.2-659.1)+(-1.151274+(-0.004284--0.672282))+0-0-0</f>
        <v>473.31672400000008</v>
      </c>
      <c r="R27" s="3">
        <f>1125.8+(2.7-657.3)+(-1.148316+(-0.002754--0.670446))+0-0-0</f>
        <v>470.71937600000007</v>
      </c>
      <c r="S27" s="3">
        <f>1122.7+(2.7-675.4)+(0+(0-0))+0-0-0</f>
        <v>450.00000000000011</v>
      </c>
      <c r="T27" s="3">
        <f>1107.6+(2.7-688.1)+(-2.259504+(-0.005508--1.403724))+0-0-0</f>
        <v>421.33871199999993</v>
      </c>
      <c r="U27" s="3">
        <f>1099.2+(2.7-732.1)+(-3.924144+(-0.009639--2.613597))+0-0-0</f>
        <v>368.47981400000009</v>
      </c>
      <c r="V27" s="3">
        <f>1101.1+(2.7-735.4)+(-3.369366+(-0.008262--2.250324))+0-0-0</f>
        <v>367.272696</v>
      </c>
      <c r="W27" s="3">
        <f>1077.8+(2.7-704.7)+(-0.549678+(-0.001377--0.359397))+0-0-0</f>
        <v>375.60834199999994</v>
      </c>
      <c r="X27" s="3">
        <f>1017.2+(0-645.7)+(-2.59386+(0--1.646535))+0-0-0</f>
        <v>370.55267500000002</v>
      </c>
      <c r="Y27" s="3">
        <f>1068.9+(13.7-660.6)+(-1.090278+(-0.013974--0.673812))+0-0-0</f>
        <v>421.56956000000014</v>
      </c>
      <c r="Z27" s="3">
        <f>1126.2+(93.1-655.2)+(-1.148724+(-0.094962--0.668304))+0-0-0</f>
        <v>563.52461800000003</v>
      </c>
      <c r="AA27" s="3">
        <f>1132.5+(106.9-662)+(0+(0-0))+0-0-0</f>
        <v>577.4</v>
      </c>
      <c r="AB27" s="3">
        <f>1125.4+(93.2-643.4)+(-1.721862+(-0.142596--0.984402))+0-0-0</f>
        <v>574.31994400000019</v>
      </c>
      <c r="AC27" s="3">
        <f>1110.5+(58.7-639.5)+(-1.699065+(-0.089811--0.978435))+0-0-0</f>
        <v>528.88955900000008</v>
      </c>
      <c r="AD27">
        <f t="shared" si="0"/>
        <v>10536.112019</v>
      </c>
      <c r="AE27" s="3">
        <f>1123+(105.9-696.6)+(0+(0-0))+0-0-0</f>
        <v>532.29999999999995</v>
      </c>
    </row>
    <row r="28" spans="1:31" s="2" customFormat="1" x14ac:dyDescent="0.25">
      <c r="A28">
        <v>89</v>
      </c>
      <c r="B28">
        <v>1</v>
      </c>
      <c r="C28">
        <v>28</v>
      </c>
      <c r="D28">
        <v>1</v>
      </c>
      <c r="E28">
        <v>1</v>
      </c>
      <c r="F28" s="3">
        <f>1061.6+(23-602.9)+(-2.70708+(-0.05865--1.537395))+0-0-0</f>
        <v>480.47166499999992</v>
      </c>
      <c r="G28" s="3">
        <f>1059.5+(10.3-639.9)+(-3.24207+(-0.031518--1.958094))+0-0-0</f>
        <v>428.58450599999998</v>
      </c>
      <c r="H28" s="3">
        <f>1061.6+(0-653.8)+(-2.165664+(0--1.333752))+0-0-0</f>
        <v>406.96808799999997</v>
      </c>
      <c r="I28" s="3">
        <f>1062.6+(0-662.2)+(-1.083852+(0--0.675444))+0-0-0</f>
        <v>399.99159199999986</v>
      </c>
      <c r="J28" s="3">
        <f>1062.3+(0-664.9)+(-1.625319+(0--1.017297))+0-0-0</f>
        <v>396.79197799999997</v>
      </c>
      <c r="K28" s="3">
        <f>1063.6+(0-659.8)+(-1.084872+(0--0.672996))+0-0-0</f>
        <v>403.38812399999995</v>
      </c>
      <c r="L28" s="3">
        <f>1069.7+(0-663.5)+(-0.545547+(0--0.338385))+0-0-0</f>
        <v>405.99283800000006</v>
      </c>
      <c r="M28" s="3">
        <f>1069.3+(0-636.5)+(0.545343+(0-0.324615))+0-0-0</f>
        <v>433.02072799999996</v>
      </c>
      <c r="N28" s="3">
        <f>1064.6+(15.3-620.9)+(-0.542946+(-0.007803--0.316659))+0-0-0</f>
        <v>458.76590999999991</v>
      </c>
      <c r="O28" s="3">
        <f>1068.4+(24.1-596.8)+(0+(0-0))+0-0-0</f>
        <v>495.70000000000016</v>
      </c>
      <c r="P28" s="3">
        <f>1060.4+(37.4-600.3)+(-1.622412+(-0.057222--0.918459))+0-0-0</f>
        <v>496.73882500000013</v>
      </c>
      <c r="Q28" s="3">
        <f>1103.8+(104-666.7)+(-1.688814+(-0.15912--1.020051))+0-0-0</f>
        <v>540.27211699999987</v>
      </c>
      <c r="R28" s="3">
        <f>1106.2+(116.7-693.8)+(-1.692486+(-0.178551--1.061514))+0-0-0</f>
        <v>528.29047700000012</v>
      </c>
      <c r="S28" s="3">
        <f>1101.4+(116.7-727.9)+(-2.80857+(-0.297585--1.856145))+0-0-0</f>
        <v>488.94999000000018</v>
      </c>
      <c r="T28" s="3">
        <f>1108+(94.9-736.3)+(-1.69524+(-0.145197--1.126539))+0-0-0</f>
        <v>465.88610200000005</v>
      </c>
      <c r="U28" s="3">
        <f>1121.1+(71.3-733.2)+(-0.571761+(-0.036363--0.373932))+0-0-0</f>
        <v>458.96580799999981</v>
      </c>
      <c r="V28" s="3">
        <f>1105.2+(77.4-709.3)+(-1.127304+(-0.078948--0.723486))+0-0-0</f>
        <v>472.81723400000004</v>
      </c>
      <c r="W28" s="3">
        <f>1104.5+(38.4-683.9)+(-0.563295+(-0.019584--0.348789))+0-0-0</f>
        <v>458.76591000000002</v>
      </c>
      <c r="X28" s="3">
        <f>1096.9+(41.4-666.4)+(-1.678257+(-0.063342--1.019592))+0-0-0</f>
        <v>471.17799300000007</v>
      </c>
      <c r="Y28" s="3">
        <f>1100.8+(28.8-593)+(-0.561408+(-0.014688--0.30243))+0-0-0</f>
        <v>536.32633399999986</v>
      </c>
      <c r="Z28" s="3">
        <f>1127.4+(87-560.2)+(-2.299896+(-0.17748--1.142808))+0-0-0</f>
        <v>652.86543200000006</v>
      </c>
      <c r="AA28" s="3">
        <f>1133.7+(94.1-560.6)+(-1.734561+(-0.143973--0.857718))+0-0-0</f>
        <v>666.17918400000008</v>
      </c>
      <c r="AB28" s="3">
        <f>1136+(110.6-647.8)+(-1.15872+(-0.112812--0.660756))+0-0-0</f>
        <v>598.18922400000008</v>
      </c>
      <c r="AC28" s="3">
        <f>1129.5+(55.5-660.4)+(-1.15209+(-0.05661--0.673608))+0-0-0</f>
        <v>524.06490800000006</v>
      </c>
      <c r="AD28">
        <f t="shared" si="0"/>
        <v>11669.164967000001</v>
      </c>
      <c r="AE28" s="3">
        <f>1137+(101-602.9)+(0+(0-0))+0-0-0</f>
        <v>635.1</v>
      </c>
    </row>
    <row r="29" spans="1:31" s="2" customFormat="1" x14ac:dyDescent="0.25">
      <c r="A29">
        <v>89</v>
      </c>
      <c r="B29">
        <v>1</v>
      </c>
      <c r="C29">
        <v>29</v>
      </c>
      <c r="D29">
        <v>2</v>
      </c>
      <c r="E29">
        <v>1</v>
      </c>
      <c r="F29" s="3">
        <f>1027.8+(47.5-601.4)+(-1.572534+(-0.072675--0.920142))+0-0-0</f>
        <v>473.17493299999995</v>
      </c>
      <c r="G29" s="3">
        <f>997.4+(3.1-553.8)+(-2.034696+(-0.006324--1.129752))+0-0-0</f>
        <v>445.78873200000004</v>
      </c>
      <c r="H29" s="3">
        <f>1003.6+(6.9-569.8)+(-0.511836+(-0.003519--0.290598))+0-0-0</f>
        <v>440.47524300000003</v>
      </c>
      <c r="I29" s="3">
        <f>1003.7+(8.2-579.1)+(-0.511887+(-0.004182--0.295341))+0-0-0</f>
        <v>432.57927200000006</v>
      </c>
      <c r="J29" s="3">
        <f>1008.4+(8.4-584.8)+(-1.028568+(-0.008568--0.596496))+0-0-0</f>
        <v>431.55936000000003</v>
      </c>
      <c r="K29" s="3">
        <f>1016.5+(7.5-580.3)+(-2.592075+(-0.019125--1.479765))+0-0-0</f>
        <v>442.56856500000004</v>
      </c>
      <c r="L29" s="3">
        <f>1003.1+(4.8-565.5)+(-0.511581+(-0.002448--0.288405))+0-0-0</f>
        <v>442.174376</v>
      </c>
      <c r="M29" s="3">
        <f>1003.1+(0-544.2)+(-1.023162+(0--0.555084))+0-0-0</f>
        <v>458.43192199999999</v>
      </c>
      <c r="N29" s="3">
        <f>1036.5+(2.7-532.4)+(-1.585845+(-0.004131--0.814572))+0-0-0</f>
        <v>506.02459600000009</v>
      </c>
      <c r="O29" s="3">
        <f>1064.6+(10.4-538.1)+(0+(0-0))+0-0-0</f>
        <v>536.89999999999986</v>
      </c>
      <c r="P29" s="3">
        <f>1080.3+(6.5-531.4)+(0+(0-0))+0-0-0</f>
        <v>555.4</v>
      </c>
      <c r="Q29" s="3">
        <f>1095.2+(15.4-531.2)+(-1.117104+(-0.015708--0.541824))+0-0-0</f>
        <v>578.80901199999994</v>
      </c>
      <c r="R29" s="3">
        <f>1096.3+(17.5-535.2)+(-1.677339+(-0.026775--0.818856))+0-0-0</f>
        <v>577.71474199999989</v>
      </c>
      <c r="S29" s="3">
        <f>1101.5+(15.1-567.9)+(-0.561765+(-0.007701--0.289629))+0-0-0</f>
        <v>548.420163</v>
      </c>
      <c r="T29" s="3">
        <f>1088.5+(25.4-577.1)+(0.555135+(0.012954-0.294321))+0-0-0</f>
        <v>537.07376799999997</v>
      </c>
      <c r="U29" s="3">
        <f>1075+(17.7-574.5)+(-2.193+(-0.036108--1.17198))+0-0-0</f>
        <v>517.14287200000001</v>
      </c>
      <c r="V29" s="3">
        <f>1087.3+(10.7-582.3)+(-0.554523+(-0.005457--0.296973))+0-0-0</f>
        <v>515.43699300000003</v>
      </c>
      <c r="W29" s="3">
        <f>1090.6+(2.7-560.3)+(-1.668618+(-0.004131--0.857259))+0-0-0</f>
        <v>532.18451000000005</v>
      </c>
      <c r="X29" s="3">
        <f>1145.1+(18-604.4)+(-1.752003+(-0.02754--0.924732))+0-0-0</f>
        <v>557.84518899999989</v>
      </c>
      <c r="Y29" s="3">
        <f>1157.4+(12.6-564.1)+(-1.180548+(-0.012852--0.575382))+0-0-0</f>
        <v>605.28198200000008</v>
      </c>
      <c r="Z29" s="3">
        <f>1159.2+(98.1-540.6)+(-2.364768+(-0.200124--1.102824))+0-0-0</f>
        <v>715.237932</v>
      </c>
      <c r="AA29" s="3">
        <f>1158.2+(115.5-585.8)+(-2.95341+(-0.294525--1.49379))+0-0-0</f>
        <v>686.1458550000001</v>
      </c>
      <c r="AB29" s="3">
        <f>1165.1+(111.4-624.9)+(-0.594201+(-0.056814--0.318699))+0-0-0</f>
        <v>651.26768399999992</v>
      </c>
      <c r="AC29" s="3">
        <f>1159.4+(62-628.7)+(-1.182588+(-0.06324--0.641274))+0-0-0</f>
        <v>592.09544600000004</v>
      </c>
      <c r="AD29">
        <f t="shared" si="0"/>
        <v>12779.733146999999</v>
      </c>
      <c r="AE29" s="3">
        <f>1161.2+(107.3-593.2)+(0+(0-0))+0-0-0</f>
        <v>675.3</v>
      </c>
    </row>
    <row r="30" spans="1:31" s="2" customFormat="1" x14ac:dyDescent="0.25">
      <c r="A30">
        <v>89</v>
      </c>
      <c r="B30">
        <v>1</v>
      </c>
      <c r="C30">
        <v>30</v>
      </c>
      <c r="D30">
        <v>3</v>
      </c>
      <c r="E30">
        <v>1</v>
      </c>
      <c r="F30" s="3">
        <f>1156.1+(0-655)+(-1.768833+(0--1.00215))+0-0-0</f>
        <v>500.33331699999991</v>
      </c>
      <c r="G30" s="3">
        <f>1150.3+(0-702.4)+(-2.346612+(0--1.432896))+0-0-0</f>
        <v>446.98628399999996</v>
      </c>
      <c r="H30" s="3">
        <f>1162.1+(1.2-751)+(0+(0-0))+0-0-0</f>
        <v>412.29999999999995</v>
      </c>
      <c r="I30" s="3">
        <f>1144.2+(6.8-725.9)+(-2.334168+(-0.013872--1.480836))+0-0-0</f>
        <v>424.23279600000001</v>
      </c>
      <c r="J30" s="3">
        <f>989.6+(6.5-596)+(-1.009392+(-0.00663--0.60792))+0-0-0</f>
        <v>399.69189800000004</v>
      </c>
      <c r="K30" s="3">
        <f>992.5+(1.7-584.2)+(-1.518525+(-0.002601--0.893826))+0-0-0</f>
        <v>409.37270000000001</v>
      </c>
      <c r="L30" s="3">
        <f>996.9+(9.5-610.4)+(-1.016838+(-0.00969--0.622608))+0-0-0</f>
        <v>395.59607999999997</v>
      </c>
      <c r="M30" s="3">
        <f>1027.2+(8.9-627)+(-0.523872+(-0.004539--0.31977))+0-0-0</f>
        <v>408.89135900000002</v>
      </c>
      <c r="N30" s="3">
        <f>1233.7+(0.4-750.1)+(0+(0-0))+0-0-0</f>
        <v>484</v>
      </c>
      <c r="O30" s="3">
        <f>1235+(2.7-720.7)+(0.62985+(0.001377-0.367557))+0-0-0</f>
        <v>517.26367000000005</v>
      </c>
      <c r="P30" s="3">
        <f>1234.1+(1.1-691.2)+(0+(0-0))+0-0-0</f>
        <v>543.99999999999989</v>
      </c>
      <c r="Q30" s="3">
        <f>1230.7+(1.8-667.6)+(-0.627657+(-0.000918--0.340476))+0-0-0</f>
        <v>564.61190099999999</v>
      </c>
      <c r="R30" s="3">
        <f>1237.9+(6.5-675.6)+(1.262658+(0.00663-0.689112))+0-0-0</f>
        <v>569.38017600000012</v>
      </c>
      <c r="S30" s="3">
        <f>1234.5+(6.9-691.7)+(0.629595+(0.003519-0.352767))+0-0-0</f>
        <v>549.98034699999994</v>
      </c>
      <c r="T30" s="3">
        <f>1226.9+(9.8-709.1)+(-0.625719+(-0.004998--0.361641))+0-0-0</f>
        <v>527.33092399999998</v>
      </c>
      <c r="U30" s="3">
        <f>1221.3+(8.1-729)+(-3.114315+(-0.020655--1.85895))+0-0-0</f>
        <v>499.12397999999996</v>
      </c>
      <c r="V30" s="3">
        <f>1237.9+(4-733.8)+(-1.262658+(-0.00408--0.748476))+0-0-0</f>
        <v>507.58173800000014</v>
      </c>
      <c r="W30" s="3">
        <f>1231.1+(9.6-726)+(-3.139305+(-0.02448--1.8513))+0-0-0</f>
        <v>513.38751499999989</v>
      </c>
      <c r="X30" s="3">
        <f>1241+(9.5-723.3)+(-3.16455+(-0.024225--1.844415))+0-0-0</f>
        <v>525.85563999999999</v>
      </c>
      <c r="Y30" s="3">
        <f>1246.8+(13-662.4)+(-1.907604+(-0.01989--1.013472))+0-0-0</f>
        <v>596.48597799999993</v>
      </c>
      <c r="Z30" s="3">
        <f>1256.3+(43.1-610.4)+(-2.562852+(-0.087924--1.245216))+0-0-0</f>
        <v>687.59443999999996</v>
      </c>
      <c r="AA30" s="3">
        <f>1253+(60.6-658.1)+(-3.83418+(-0.185436--2.013786))+0-0-0</f>
        <v>653.49417000000005</v>
      </c>
      <c r="AB30" s="3">
        <f>1248.1+(41.4-670)+(-3.182655+(-0.10557--1.7085))+0-0-0</f>
        <v>617.92027499999983</v>
      </c>
      <c r="AC30" s="3">
        <f>1234.8+(0-675.7)+(-3.778488+(0--2.067642))+0-0-0</f>
        <v>557.38915399999996</v>
      </c>
      <c r="AD30">
        <f t="shared" si="0"/>
        <v>12312.804342000001</v>
      </c>
      <c r="AE30" s="3">
        <f>1258+(56.1-657.6)+(0+(0-0))+0-0-0</f>
        <v>656.5</v>
      </c>
    </row>
    <row r="31" spans="1:31" s="2" customFormat="1" x14ac:dyDescent="0.25">
      <c r="A31">
        <v>89</v>
      </c>
      <c r="B31">
        <v>1</v>
      </c>
      <c r="C31">
        <v>31</v>
      </c>
      <c r="D31">
        <v>4</v>
      </c>
      <c r="E31">
        <v>1</v>
      </c>
      <c r="F31" s="3">
        <f>1235.1+(0-747.9)+(-3.779406+(0--2.288574))+0-0-0</f>
        <v>485.70916799999992</v>
      </c>
      <c r="G31" s="3">
        <f>1190.4+(3-740.4)+(-3.642624+(-0.00918--2.265624))+0-0-0</f>
        <v>451.61382000000009</v>
      </c>
      <c r="H31" s="3">
        <f>1113.1+(7-657.3)+(-0.567681+(-0.00357--0.335223))+0-0-0</f>
        <v>462.56397199999998</v>
      </c>
      <c r="I31" s="3">
        <f>867+(17-474.8)+(-0.88434+(-0.01734--0.484296))+0-0-0</f>
        <v>408.78261599999996</v>
      </c>
      <c r="J31" s="3">
        <f>877.7+(16.9-488.4)+(0+(0-0))+0-0-0</f>
        <v>406.20000000000005</v>
      </c>
      <c r="K31" s="3">
        <f>875+(15-476.9)+(-0.44625+(-0.00765--0.243219))+0-0-0</f>
        <v>412.889319</v>
      </c>
      <c r="L31" s="3">
        <f>860.3+(12.7-453.9)+(-0.877506+(-0.012954--0.462978))+0-0-0</f>
        <v>418.67251799999997</v>
      </c>
      <c r="M31" s="3">
        <f>973+(31.9-593)+(-0.99246+(-0.032538--0.60486))+0-0-0</f>
        <v>411.47986199999997</v>
      </c>
      <c r="N31" s="3">
        <f>1057.9+(34.1-606.9)+(-1.618587+(-0.052173--0.928557))+0-0-0</f>
        <v>484.35779700000012</v>
      </c>
      <c r="O31" s="3">
        <f>1058.4+(20.2-583.2)+(-1.619352+(-0.030906--0.892296))+0-0-0</f>
        <v>494.64203800000007</v>
      </c>
      <c r="P31" s="3">
        <f>1062.2+(23.9-559)+(0+(0-0))+0-0-0</f>
        <v>527.1</v>
      </c>
      <c r="Q31" s="3">
        <f>1064.5+(22.9-545.6)+(0.542895+(0.011679-0.278256))+0-0-0</f>
        <v>542.0763179999999</v>
      </c>
      <c r="R31" s="3">
        <f>1063+(22-548.4)+(-0.54213+(-0.01122--0.279684))+0-0-0</f>
        <v>536.32633399999997</v>
      </c>
      <c r="S31" s="3">
        <f>1062.7+(20.2-576.4)+(-0.541977+(-0.010302--0.293964))+0-0-0</f>
        <v>506.24168500000013</v>
      </c>
      <c r="T31" s="3">
        <f>1065.8+(26.6-606.3)+(0+(0-0))+0-0-0</f>
        <v>486.1</v>
      </c>
      <c r="U31" s="3">
        <f>1104.7+(25.4-665.4)+(-1.690191+(-0.038862--1.018062))+0-0-0</f>
        <v>463.98900900000007</v>
      </c>
      <c r="V31" s="3">
        <f>1117.8+(24.4-681.7)+(-1.710234+(-0.037332--1.043001))+0-0-0</f>
        <v>459.79543499999988</v>
      </c>
      <c r="W31" s="3">
        <f>1111.7+(26.1-682.9)+(-2.834835+(-0.066555--1.741395))+0-0-0</f>
        <v>453.74000500000011</v>
      </c>
      <c r="X31" s="3">
        <f>1114.5+(28.6-692.8)+(-2.27358+(-0.058344--1.413312))+0-0-0</f>
        <v>449.38138800000007</v>
      </c>
      <c r="Y31" s="3">
        <f>1116+(109.1-721.7)+(-1.13832+(-0.111282--0.736134))+0-0-0</f>
        <v>502.88653199999999</v>
      </c>
      <c r="Z31" s="3">
        <f>1133.2+(181.8-661)+(-1.733796+(-0.278154--1.01133))+0-0-0</f>
        <v>652.99937999999997</v>
      </c>
      <c r="AA31" s="3">
        <f>1144.5+(190.6-679.9)+(-0.583695+(-0.097206--0.346749))+0-0-0</f>
        <v>654.86584800000003</v>
      </c>
      <c r="AB31" s="3">
        <f>1131+(186-686)+(-2.88405+(-0.4743--1.7493))+0-0-0</f>
        <v>629.39094999999998</v>
      </c>
      <c r="AC31" s="3">
        <f>1144.4+(19.3-586.7)+(-2.334576+(-0.039372--1.196868))+0-0-0</f>
        <v>575.82291999999995</v>
      </c>
      <c r="AD31">
        <f t="shared" si="0"/>
        <v>11877.626914000002</v>
      </c>
      <c r="AE31" s="3">
        <f>1135+(183.3-675.2)+(0+(0-0))+0-0-0</f>
        <v>643.09999999999991</v>
      </c>
    </row>
    <row r="32" spans="1:31" s="2" customFormat="1" x14ac:dyDescent="0.25">
      <c r="A32">
        <v>89</v>
      </c>
      <c r="B32">
        <v>2</v>
      </c>
      <c r="C32">
        <v>1</v>
      </c>
      <c r="D32">
        <v>5</v>
      </c>
      <c r="E32">
        <v>1</v>
      </c>
      <c r="F32" s="3">
        <f>1114.8+(0-613.3)+(-1.137096+(0--0.625566))+0-0-0</f>
        <v>500.98847000000001</v>
      </c>
      <c r="G32" s="3">
        <f>1106.3+(2.1-660.1)+(-2.821065+(-0.005355--1.683255))+0-0-0</f>
        <v>447.15683499999994</v>
      </c>
      <c r="H32" s="3">
        <f>1101.1+(5.7-690.6)+(0+(0-0))+0-0-0</f>
        <v>416.19999999999993</v>
      </c>
      <c r="I32" s="3">
        <f>1093.4+(7.5-662.6)+(-1.672902+(-0.011475--1.013778))+0-0-0</f>
        <v>437.62940100000009</v>
      </c>
      <c r="J32" s="3">
        <f>815.6+(35.4-449.3)+(-1.247868+(-0.054162--0.687429))+0-0-0</f>
        <v>401.085399</v>
      </c>
      <c r="K32" s="3">
        <f>808.9+(48.4-461.7)+(-1.650156+(-0.098736--0.941868))+0-0-0</f>
        <v>394.79297599999995</v>
      </c>
      <c r="L32" s="3">
        <f>811.4+(38.2-458.2)+(-1.241442+(-0.058446--0.701046))+0-0-0</f>
        <v>390.80115799999999</v>
      </c>
      <c r="M32" s="3">
        <f>817.9+(51-424.4)+(0+(0-0))+0-0-0</f>
        <v>444.5</v>
      </c>
      <c r="N32" s="3">
        <f>1022.5+(15.7-582.5)+(1.04295+(0.016014-0.59415))+0-0-0</f>
        <v>456.16481400000004</v>
      </c>
      <c r="O32" s="3">
        <f>1162.4+(1.6-648.1)+(2.371296+(0.003264-1.322124))+0-0-0</f>
        <v>516.95243600000003</v>
      </c>
      <c r="P32" s="3">
        <f>1146.4+(21.3-635.3)+(-0.584664+(-0.010863--0.324003))+0-0-0</f>
        <v>532.12847600000009</v>
      </c>
      <c r="Q32" s="3">
        <f>1147.7+(30.2-636)+(1.755981+(0.046206-0.97308))+0-0-0</f>
        <v>542.72910700000011</v>
      </c>
      <c r="R32" s="3">
        <f>1131.4+(31.6-640.5)+(0.577014+(0.016116-0.326655))+0-0-0</f>
        <v>522.76647500000013</v>
      </c>
      <c r="S32" s="3">
        <f>1117.6+(16.2-653.9)+(-2.279904+(-0.033048--1.333956))+0-0-0</f>
        <v>478.92100399999998</v>
      </c>
      <c r="T32" s="3">
        <f>1126+(20.7-644.1)+(-0.57426+(-0.010557--0.328491))+0-0-0</f>
        <v>502.34367400000002</v>
      </c>
      <c r="U32" s="3">
        <f>1121.8+(16-639)+(-0.572118+(-0.00816--0.32589))+0-0-0</f>
        <v>498.54561199999995</v>
      </c>
      <c r="V32" s="3">
        <f>1103.8+(14.2-620.5)+(-2.81469+(-0.03621--1.582275))+0-0-0</f>
        <v>496.23137500000001</v>
      </c>
      <c r="W32" s="3">
        <f>1114.7+(13.4-627.9)+(-1.705491+(-0.020502--0.960687))+0-0-0</f>
        <v>499.43469400000004</v>
      </c>
      <c r="X32" s="3">
        <f>1109.5+(12.5-623.9)+(-3.39507+(-0.03825--1.909134))+0-0-0</f>
        <v>496.57581400000004</v>
      </c>
      <c r="Y32" s="3">
        <f>1128.7+(41.1-627.9)+(-0.575637+(-0.020961--0.320229))+0-0-0</f>
        <v>541.62363100000005</v>
      </c>
      <c r="Z32" s="3">
        <f>1186.4+(59.5-552.2)+(-2.420256+(-0.12138--1.126488))+0-0-0</f>
        <v>692.284852</v>
      </c>
      <c r="AA32" s="3">
        <f>1250+(108.1-653.1)+(-3.825+(-0.330786--1.998486))+0-0-0</f>
        <v>702.84270000000004</v>
      </c>
      <c r="AB32" s="3">
        <f>1261.5+(91.4-702.2)+(-1.930095+(-0.139842--1.074366))+0-0-0</f>
        <v>649.70442899999989</v>
      </c>
      <c r="AC32" s="3">
        <f>1265.9+(51.3-740.3)+(-1.291218+(-0.052326--0.755106))+0-0-0</f>
        <v>576.31156200000009</v>
      </c>
      <c r="AD32">
        <f t="shared" si="0"/>
        <v>12138.714894000001</v>
      </c>
      <c r="AE32" s="3">
        <f>1225+(49.1-595.8)+(0+(0-0))+0-0-0</f>
        <v>678.30000000000007</v>
      </c>
    </row>
    <row r="33" spans="1:31" s="2" customFormat="1" x14ac:dyDescent="0.25">
      <c r="A33">
        <v>89</v>
      </c>
      <c r="B33">
        <v>2</v>
      </c>
      <c r="C33">
        <v>2</v>
      </c>
      <c r="D33">
        <v>6</v>
      </c>
      <c r="E33">
        <v>1</v>
      </c>
      <c r="F33" s="3">
        <f>1167.7+(57.5-703.1)+(-1.191054+(-0.05865--0.717162))+0-0-0</f>
        <v>521.56745799999999</v>
      </c>
      <c r="G33" s="3">
        <f>1092.6+(62.3-674.8)+(0+(0-0))+0-0-0</f>
        <v>480.09999999999991</v>
      </c>
      <c r="H33" s="3">
        <f>1085.8+(61.4-703.1)+(-1.661274+(-0.093942--1.075743))+0-0-0</f>
        <v>443.42052699999994</v>
      </c>
      <c r="I33" s="3">
        <f>1078.1+(52-701.4)+(-2.749155+(-0.1326--1.78857))+0-0-0</f>
        <v>427.60681499999993</v>
      </c>
      <c r="J33" s="3">
        <f>1093.1+(35-693.4)+(0.557481+(0.01785-0.353634))+0-0-0</f>
        <v>434.92169699999994</v>
      </c>
      <c r="K33" s="3">
        <f>1090.6+(31.2-690)+(0+(0-0))+0-0-0</f>
        <v>431.79999999999995</v>
      </c>
      <c r="L33" s="3">
        <f>1081.7+(26.8-699.7)+(-1.655001+(-0.041004--1.070541))+0-0-0</f>
        <v>408.17453599999993</v>
      </c>
      <c r="M33" s="3">
        <f>1087.6+(19.7-669.4)+(-0.554676+(-0.010047--0.341394))+0-0-0</f>
        <v>437.676671</v>
      </c>
      <c r="N33" s="3">
        <f>1090.4+(22.2-632.4)+(0+(0-0))+0-0-0</f>
        <v>480.20000000000016</v>
      </c>
      <c r="O33" s="3">
        <f>1085.7+(35.6-604.1)+(-1.107414+(-0.036312--0.616182))+0-0-0</f>
        <v>516.67245600000001</v>
      </c>
      <c r="P33" s="3">
        <f>1083.6+(27.6-574.7)+(-1.105272+(-0.028152--0.586194))+0-0-0</f>
        <v>535.95276999999987</v>
      </c>
      <c r="Q33" s="3">
        <f>1078+(27.6-555.8)+(-0.54978+(-0.014076--0.283458))+0-0-0</f>
        <v>549.51960200000008</v>
      </c>
      <c r="R33" s="3">
        <f>1076.8+(70.9-599.7)+(-0.549168+(-0.036159--0.305847))+0-0-0</f>
        <v>547.72051999999985</v>
      </c>
      <c r="S33" s="3">
        <f>1075.8+(77.2-620.7)+(-0.548658+(-0.039372--0.316557))+0-0-0</f>
        <v>532.02852699999994</v>
      </c>
      <c r="T33" s="3">
        <f>1092+(102.8-682.2)+(-0.55692+(-0.052428--0.347922))+0-0-0</f>
        <v>512.33857399999988</v>
      </c>
      <c r="U33" s="3">
        <f>1111.8+(142.2-754.7)+(-0.567018+(-0.072522--0.384897))+0-0-0</f>
        <v>499.04535699999997</v>
      </c>
      <c r="V33" s="3">
        <f>1117.5+(143.6-794)+(-2.2797+(-0.292944--1.61976))+0-0-0</f>
        <v>466.14711600000004</v>
      </c>
      <c r="W33" s="3">
        <f>1155.8+(105.2-733.5)+(-3.536748+(-0.321912--2.24451))+0-0-0</f>
        <v>525.88585</v>
      </c>
      <c r="X33" s="3">
        <f>1144.9+(31.8-668.8)+(-1.167798+(-0.032436--0.682176))+0-0-0</f>
        <v>507.38194200000009</v>
      </c>
      <c r="Y33" s="3">
        <f>1146.7+(68.8-636.5)+(-0.584817+(-0.035088--0.324615))+0-0-0</f>
        <v>578.70470999999998</v>
      </c>
      <c r="Z33" s="3">
        <f>1166.5+(168.6-670.8)+(-1.18983+(-0.171972--0.684216))+0-0-0</f>
        <v>663.62241400000005</v>
      </c>
      <c r="AA33" s="3">
        <f>1144+(169-649)+(-0.58344+(-0.08619--0.33099))+0-0-0</f>
        <v>663.66135999999995</v>
      </c>
      <c r="AB33" s="3">
        <f>1135.9+(163.4-659.5)+(0.579309+(0.083334-0.336345))+0-0-0</f>
        <v>640.12629800000002</v>
      </c>
      <c r="AC33" s="3">
        <f>1140.6+(195.6-747.1)+(0+(0-0))+0-0-0</f>
        <v>589.09999999999991</v>
      </c>
      <c r="AD33">
        <f t="shared" si="0"/>
        <v>12393.375199999999</v>
      </c>
      <c r="AE33" s="3">
        <f>1172+(171.2-703.7)+(0+(0-0))+0-0-0</f>
        <v>639.5</v>
      </c>
    </row>
    <row r="34" spans="1:31" s="2" customFormat="1" x14ac:dyDescent="0.25">
      <c r="A34">
        <v>89</v>
      </c>
      <c r="B34">
        <v>2</v>
      </c>
      <c r="C34">
        <v>3</v>
      </c>
      <c r="D34">
        <v>7</v>
      </c>
      <c r="E34">
        <v>1</v>
      </c>
      <c r="F34" s="3">
        <f>1108.8+(55.7-702.3)+(0.565488+(0.028407-0.358173))+0-0-0</f>
        <v>462.43572200000006</v>
      </c>
      <c r="G34" s="3">
        <f>1053.1+(93.3-679.9)+(-0.537081+(-0.047583--0.346749))+0-0-0</f>
        <v>466.2620849999999</v>
      </c>
      <c r="H34" s="3">
        <f>1052.3+(118.3-724.7)+(-0.536673+(-0.060333--0.369597))+0-0-0</f>
        <v>445.67259099999984</v>
      </c>
      <c r="I34" s="3">
        <f>1056.7+(89.3-713.2)+(0+(0-0))+0-0-0</f>
        <v>432.79999999999995</v>
      </c>
      <c r="J34" s="3">
        <f>1047.7+(92.8-711)+(-2.137308+(-0.189312--1.45044))+0-0-0</f>
        <v>428.62382000000002</v>
      </c>
      <c r="K34" s="3">
        <f>1049.4+(93.3-712.6)+(-1.605582+(-0.142749--1.090278))+0-0-0</f>
        <v>429.44194700000003</v>
      </c>
      <c r="L34" s="3">
        <f>1039.6+(75.9-717.8)+(-3.181176+(-0.232254--2.196468))+0-0-0</f>
        <v>396.48303799999991</v>
      </c>
      <c r="M34" s="3">
        <f>1047.9+(50.3-700.5)+(-1.603287+(-0.076959--1.071765))+0-0-0</f>
        <v>397.09151900000006</v>
      </c>
      <c r="N34" s="3">
        <f>1053.7+(65.1-701.1)+(-0.537387+(-0.033201--0.357561))+0-0-0</f>
        <v>417.48697300000003</v>
      </c>
      <c r="O34" s="3">
        <f>1054+(106.6-701.1)+(1.07508+(0.108732-0.715122))+0-0-0</f>
        <v>459.96868999999998</v>
      </c>
      <c r="P34" s="3">
        <f>1046.9+(98.9-634.2)+(-1.601757+(-0.151317--0.970326))+0-0-0</f>
        <v>510.817252</v>
      </c>
      <c r="Q34" s="3">
        <f>1046.9+(98.9-637.3)+(-1.067838+(-0.100878--0.650046))+0-0-0</f>
        <v>507.98133000000013</v>
      </c>
      <c r="R34" s="3">
        <f>1062+(44-623.9)+(-1.08324+(-0.04488--0.636378))+0-0-0</f>
        <v>481.60825800000003</v>
      </c>
      <c r="S34" s="3">
        <f>1055+(60-660.6)+(0.53805+(0.0306-0.336906))+0-0-0</f>
        <v>454.63174399999997</v>
      </c>
      <c r="T34" s="3">
        <f>1043+(46-709.9)+(-2.65965+(-0.1173--1.810245))+0-0-0</f>
        <v>378.13329500000003</v>
      </c>
      <c r="U34" s="3">
        <f>1054+(56-746.5)+(-2.15016+(-0.11424--1.52286))+0-0-0</f>
        <v>362.75846000000001</v>
      </c>
      <c r="V34" s="3">
        <f>1046+(60-736.4)+(-1.06692+(-0.0612--0.751128))+0-0-0</f>
        <v>369.22300800000005</v>
      </c>
      <c r="W34" s="3">
        <f>1049+(78-711.7)+(-2.67495+(-0.1989--1.814835))+0-0-0</f>
        <v>414.24098499999997</v>
      </c>
      <c r="X34" s="3">
        <f>1053+(70-686)+(-0.53703+(-0.0357--0.34986))+0-0-0</f>
        <v>436.77713</v>
      </c>
      <c r="Y34" s="3">
        <f>1103+(79.5-635.6)+(-2.25012+(-0.16218--1.296624))+0-0-0</f>
        <v>545.78432399999997</v>
      </c>
      <c r="Z34" s="3">
        <f>1111.6+(134.6-629.6)+(-2.83458+(-0.34323--1.60548))+0-0-0</f>
        <v>615.02766999999994</v>
      </c>
      <c r="AA34" s="3">
        <f>1118.3+(149.7-650)+(-1.140666+(-0.152694--0.663))+0-0-0</f>
        <v>617.36964</v>
      </c>
      <c r="AB34" s="3">
        <f>1095.5+(135.6-635.9)+(-1.11741+(-0.138312--0.648618))+0-0-0</f>
        <v>594.592896</v>
      </c>
      <c r="AC34" s="3">
        <f>1066.7+(99.2-600.3)+(-1.088034+(-0.101184--0.612306))+0-0-0</f>
        <v>565.02308800000014</v>
      </c>
      <c r="AD34">
        <f t="shared" si="0"/>
        <v>11190.235465000002</v>
      </c>
      <c r="AE34" s="3">
        <f>1100+(152.1-666.7)+(0+(0-0))+0-0-0</f>
        <v>585.4</v>
      </c>
    </row>
    <row r="35" spans="1:31" s="2" customFormat="1" x14ac:dyDescent="0.25">
      <c r="A35">
        <v>89</v>
      </c>
      <c r="B35">
        <v>2</v>
      </c>
      <c r="C35">
        <v>4</v>
      </c>
      <c r="D35">
        <v>1</v>
      </c>
      <c r="E35">
        <v>1</v>
      </c>
      <c r="F35" s="3">
        <f>1035.1+(74.2-661)+(-2.111604+(-0.151368--1.34844))+0-0-0</f>
        <v>447.38546799999995</v>
      </c>
      <c r="G35" s="3">
        <f>941.8+(65.2-619.1)+(0.480318+(0.033252-0.315741))+0-0-0</f>
        <v>388.09782899999999</v>
      </c>
      <c r="H35" s="3">
        <f>940.1+(62.2-634.9)+(0+(0-0))+0-0-0</f>
        <v>367.40000000000009</v>
      </c>
      <c r="I35" s="3">
        <f>863.3+(76.4-593.5)+(-1.761132+(-0.155856--1.21074))+0-0-0</f>
        <v>345.49375199999992</v>
      </c>
      <c r="J35" s="3">
        <f>839.4+(78.1-580.1)+(0.428094+(0.039831-0.295851))+0-0-0</f>
        <v>337.57207399999999</v>
      </c>
      <c r="K35" s="3">
        <f>836.6+(89.4-581)+(0+(0-0))+0-0-0</f>
        <v>345</v>
      </c>
      <c r="L35" s="3">
        <f>824.6+(94.4-575)+(-2.10273+(-0.24072--1.46625))+0-0-0</f>
        <v>343.12279999999998</v>
      </c>
      <c r="M35" s="3">
        <f>839.8+(106.2-569)+(-0.428298+(-0.054162--0.29019))+0-0-0</f>
        <v>376.80772999999994</v>
      </c>
      <c r="N35" s="3">
        <f>1058.1+(73.7-703)+(1.079262+(0.075174-0.71706))+0-0-0</f>
        <v>429.23737599999993</v>
      </c>
      <c r="O35" s="3">
        <f>1047.7+(129.6-713.8)+(-1.602981+(-0.198288--1.092114))+0-0-0</f>
        <v>462.7908450000001</v>
      </c>
      <c r="P35" s="3">
        <f>1050.2+(127.3-671.3)+(-1.071204+(-0.129846--0.684726))+0-0-0</f>
        <v>505.68367600000005</v>
      </c>
      <c r="Q35" s="3">
        <f>1091.2+(127.3-664)+(0.556512+(0.064923-0.33864))+0-0-0</f>
        <v>554.78279499999996</v>
      </c>
      <c r="R35" s="3">
        <f>1195.6+(55.2-728.3)+(-1.219512+(-0.056304--0.742866))+0-0-0</f>
        <v>521.96704999999997</v>
      </c>
      <c r="S35" s="3">
        <f>1209.5+(37-732.9)+(-2.46738+(-0.07548--1.495116))+0-0-0</f>
        <v>512.55225600000006</v>
      </c>
      <c r="T35" s="3">
        <f>1170.2+(16-695.6)+(-1.193604+(-0.01632--0.709512))+0-0-0</f>
        <v>490.09958800000004</v>
      </c>
      <c r="U35" s="3">
        <f>1160.2+(12-687.7)+(-1.775106+(-0.01836--1.052181))+0-0-0</f>
        <v>483.758715</v>
      </c>
      <c r="V35" s="3">
        <f>1164.1+(15.7-682)+(-0.593691+(-0.008007--0.34782))+0-0-0</f>
        <v>497.54612199999997</v>
      </c>
      <c r="W35" s="3">
        <f>1180.6+(18.2-683.5)+(-2.408424+(-0.037128--1.39434))+0-0-0</f>
        <v>514.24878799999999</v>
      </c>
      <c r="X35" s="3">
        <f>1256.6+(19.7-749.4)+(-1.922598+(-0.030141--1.146582))+0-0-0</f>
        <v>526.09384299999999</v>
      </c>
      <c r="Y35" s="3">
        <f>1294.6+(42.4-766.9)+(-2.640984+(-0.086496--1.564476))+0-0-0</f>
        <v>568.93699599999991</v>
      </c>
      <c r="Z35" s="3">
        <f>1359.8+(50.1-759.3)+(-2.080494+(-0.076653--1.161729))+0-0-0</f>
        <v>649.60458200000005</v>
      </c>
      <c r="AA35" s="3">
        <f>1367.7+(51.8-778.9)+(-2.092581+(-0.079254--1.191717))+0-0-0</f>
        <v>639.61988200000008</v>
      </c>
      <c r="AB35" s="3">
        <f>1360.1+(26.6-788.6)+(-3.468255+(-0.06783--2.01093))+0-0-0</f>
        <v>596.57484499999987</v>
      </c>
      <c r="AC35" s="3">
        <f>1332.8+(3.5-777.8)+(-3.39864+(-0.008925--1.98339))+0-0-0</f>
        <v>557.07582500000001</v>
      </c>
      <c r="AD35">
        <f t="shared" si="0"/>
        <v>11461.452837000001</v>
      </c>
      <c r="AE35" s="3">
        <f>1361+(48.6-768.6)+(0+(0-0))+0-0-0</f>
        <v>641</v>
      </c>
    </row>
    <row r="36" spans="1:31" s="2" customFormat="1" x14ac:dyDescent="0.25">
      <c r="A36">
        <v>89</v>
      </c>
      <c r="B36">
        <v>2</v>
      </c>
      <c r="C36">
        <v>5</v>
      </c>
      <c r="D36">
        <v>2</v>
      </c>
      <c r="E36">
        <v>1</v>
      </c>
      <c r="F36" s="3">
        <f>1294.2+(0-800.9)+(-1.320084+(0--0.816918))+0-0-0</f>
        <v>492.79683400000005</v>
      </c>
      <c r="G36" s="3">
        <f>1223.1+(1-779.2)+(-1.871343+(-0.00153--1.192176))+0-0-0</f>
        <v>444.21930299999985</v>
      </c>
      <c r="H36" s="3">
        <f>1106.2+(6-694.4)+(-1.692486+(-0.00918--1.062432))+0-0-0</f>
        <v>417.16076600000008</v>
      </c>
      <c r="I36" s="3">
        <f>1088.1+(8-702.6)+(-1.664793+(-0.01224--1.074978))+0-0-0</f>
        <v>392.89794499999988</v>
      </c>
      <c r="J36" s="3">
        <f>1104.4+(9-720.3)+(1.689732+(0.01377-1.102059))+0-0-0</f>
        <v>393.70144300000015</v>
      </c>
      <c r="K36" s="3">
        <f>1087+(9-695.9)+(-2.77185+(-0.02295--1.774545))+0-0-0</f>
        <v>399.079745</v>
      </c>
      <c r="L36" s="3">
        <f>1085.2+(8-696)+(-2.76726+(-0.0204--1.7748))+0-0-0</f>
        <v>396.18714000000006</v>
      </c>
      <c r="M36" s="3">
        <f>1204.4+(8-784.1)+(-1.228488+(-0.00816--0.799782))+0-0-0</f>
        <v>427.86313400000006</v>
      </c>
      <c r="N36" s="3">
        <f>1267.6+(11.3-799.5)+(1.292952+(0.011526-0.81549))+0-0-0</f>
        <v>479.88898799999987</v>
      </c>
      <c r="O36" s="3">
        <f>1260.7+(5.1-749.6)+(-0.642957+(-0.002601--0.382296))+0-0-0</f>
        <v>515.93673799999999</v>
      </c>
      <c r="P36" s="3">
        <f>1258.7+(2.1-723.3)+(-1.925811+(-0.003213--1.106649))+0-0-0</f>
        <v>536.67762500000015</v>
      </c>
      <c r="Q36" s="3">
        <f>1259+(17.1-737.3)+(-1.92627+(-0.026163--1.128069))+0-0-0</f>
        <v>537.97563600000012</v>
      </c>
      <c r="R36" s="3">
        <f>1266.3+(23.6-771.2)+(0+(0-0))+0-0-0</f>
        <v>518.69999999999993</v>
      </c>
      <c r="S36" s="3">
        <f>1259+(9.1-760.4)+(-2.56836+(-0.018564--1.551216))+0-0-0</f>
        <v>506.66429200000005</v>
      </c>
      <c r="T36" s="3">
        <f>1266.5+(10.7-782.6)+(0+(0-0))+0-0-0</f>
        <v>494.6</v>
      </c>
      <c r="U36" s="3">
        <f>1261.4+(12.7-783)+(-2.573256+(-0.025908--1.59732))+0-0-0</f>
        <v>490.09815600000013</v>
      </c>
      <c r="V36" s="3">
        <f>1256.5+(11.6-777.9)+(-1.28163+(-0.011832--0.793458))+0-0-0</f>
        <v>489.69999600000006</v>
      </c>
      <c r="W36" s="3">
        <f>1221.4+(11-741)+(-3.11457+(-0.02805--1.88955))+0-0-0</f>
        <v>490.14693000000011</v>
      </c>
      <c r="X36" s="3">
        <f>1149.5+(14.4-658.3)+(-3.51747+(-0.044064--2.014398))+0-0-0</f>
        <v>504.052864</v>
      </c>
      <c r="Y36" s="3">
        <f>1153.8+(11.7-618.8)+(-0.588438+(-0.005967--0.315588))+0-0-0</f>
        <v>546.42118300000004</v>
      </c>
      <c r="Z36" s="3">
        <f>1278.7+(75.2-686.8)+(-3.912822+(-0.230112--2.101608))+0-0-0</f>
        <v>665.05867400000011</v>
      </c>
      <c r="AA36" s="3">
        <f>1273.3+(117.4-723.2)+(-5.195064+(-0.478992--2.950656))+0-0-0</f>
        <v>664.77659999999992</v>
      </c>
      <c r="AB36" s="3">
        <f>1274.7+(65.4-705)+(-4.550679+(-0.233478--2.51685))+0-0-0</f>
        <v>632.83269300000006</v>
      </c>
      <c r="AC36" s="3">
        <f>1277.3+(7.1-704.1)+(-2.605692+(-0.014484--1.436364))+0-0-0</f>
        <v>579.11618799999997</v>
      </c>
      <c r="AD36">
        <f t="shared" si="0"/>
        <v>12016.552873000001</v>
      </c>
      <c r="AE36" s="3">
        <f>1271.7+(116.6-742.1)+(0+(0-0))+0-0-0</f>
        <v>646.20000000000005</v>
      </c>
    </row>
    <row r="37" spans="1:31" s="2" customFormat="1" x14ac:dyDescent="0.25">
      <c r="A37">
        <v>89</v>
      </c>
      <c r="B37">
        <v>2</v>
      </c>
      <c r="C37">
        <v>6</v>
      </c>
      <c r="D37">
        <v>3</v>
      </c>
      <c r="E37">
        <v>1</v>
      </c>
      <c r="F37" s="3">
        <f>1273.4+(0-777.1)+(-3.24717+(0--1.981605))+0-0-0</f>
        <v>495.03443500000009</v>
      </c>
      <c r="G37" s="3">
        <f>1184.3+(4.1-735.8)+(-2.415972+(-0.008364--1.501032))+0-0-0</f>
        <v>451.67669600000005</v>
      </c>
      <c r="H37" s="3">
        <f>1165.7+(7.8-746.7)+(-4.161549+(-0.027846--2.665719))+0-0-0</f>
        <v>425.27632399999993</v>
      </c>
      <c r="I37" s="3">
        <f>1177+(9.6-764.5)+(-1.20054+(-0.009792--0.77979))+0-0-0</f>
        <v>421.66945800000002</v>
      </c>
      <c r="J37" s="3">
        <f>1172.8+(10.9-768.4)+(-2.392512+(-0.022236--1.567536))+0-0-0</f>
        <v>414.45278799999994</v>
      </c>
      <c r="K37" s="3">
        <f>1183.8+(10.9-778.8)+(0.603738+(0.005559-0.397188))+0-0-0</f>
        <v>416.11210899999998</v>
      </c>
      <c r="L37" s="3">
        <f>1132.2+(10.2-741.4)+(-3.464532+(-0.031212--2.268684))+0-0-0</f>
        <v>399.77294000000012</v>
      </c>
      <c r="M37" s="3">
        <f>1021.6+(12.9-616.9)+(-0.521016+(-0.006579--0.314619))+0-0-0</f>
        <v>417.387024</v>
      </c>
      <c r="N37" s="3">
        <f>1126.8+(4.6-673.3)+(-1.149336+(-0.004692--0.686766))+0-0-0</f>
        <v>457.63273800000002</v>
      </c>
      <c r="O37" s="3">
        <f>1255.6+(0-759.6)+(-2.561424+(0--1.549584))+0-0-0</f>
        <v>494.98815999999988</v>
      </c>
      <c r="P37" s="3">
        <f>1269.2+(0-754.7)+(0+(0-0))+0-0-0</f>
        <v>514.5</v>
      </c>
      <c r="Q37" s="3">
        <f>1265.3+(0-745.2)+(-1.290606+(0--0.760104))+0-0-0</f>
        <v>519.56949799999995</v>
      </c>
      <c r="R37" s="3">
        <f>1268.3+(0-727)+(-1.293666+(0--0.74154))+0-0-0</f>
        <v>540.74787399999991</v>
      </c>
      <c r="S37" s="3">
        <f>1261.3+(0-728.8)+(-1.929789+(0--1.115064))+0-0-0</f>
        <v>531.68527500000005</v>
      </c>
      <c r="T37" s="3">
        <f>1253.5+(0-758.6)+(-2.55714+(0--1.547544))+0-0-0</f>
        <v>493.89040399999999</v>
      </c>
      <c r="U37" s="3">
        <f>1255+(0-790.8)+(-1.92015+(0--1.209924))+0-0-0</f>
        <v>463.48977400000007</v>
      </c>
      <c r="V37" s="3">
        <f>1254.9+(0-790.1)+(-1.919997+(0--1.208853))+0-0-0</f>
        <v>464.08885600000008</v>
      </c>
      <c r="W37" s="3">
        <f>1257.6+(0-780.1)+(-1.282752+(0--0.795702))+0-0-0</f>
        <v>477.01294999999988</v>
      </c>
      <c r="X37" s="3">
        <f>1239.6+(0-760.8)+(-2.528784+(0--1.552032))+0-0-0</f>
        <v>477.82324799999998</v>
      </c>
      <c r="Y37" s="3">
        <f>1083.6+(0-576.7)+(-1.105272+(0--0.588234))+0-0-0</f>
        <v>506.38296199999985</v>
      </c>
      <c r="Z37" s="3">
        <f>1185.8+(88.1-622.5)+(-1.814274+(-0.134793--0.952425))+0-0-0</f>
        <v>650.40335800000003</v>
      </c>
      <c r="AA37" s="3">
        <f>1273.9+(85.9-690.6)+(0+(0-0))+0-0-0</f>
        <v>669.2</v>
      </c>
      <c r="AB37" s="3">
        <f>1269.1+(56-694.4)+(-1.941723+(-0.08568--1.062432))+0-0-0</f>
        <v>629.73502899999994</v>
      </c>
      <c r="AC37" s="3">
        <f>1269.7+(24.3-713)+(-1.295094+(-0.024786--0.72726))+0-0-0</f>
        <v>580.40737999999999</v>
      </c>
      <c r="AD37">
        <f t="shared" si="0"/>
        <v>11912.939280000001</v>
      </c>
      <c r="AE37" s="3">
        <f>1271+(82-703.8)+(0+(0-0))+0-0-0</f>
        <v>649.20000000000005</v>
      </c>
    </row>
    <row r="38" spans="1:31" s="2" customFormat="1" x14ac:dyDescent="0.25">
      <c r="A38">
        <v>89</v>
      </c>
      <c r="B38">
        <v>2</v>
      </c>
      <c r="C38">
        <v>7</v>
      </c>
      <c r="D38">
        <v>4</v>
      </c>
      <c r="E38">
        <v>1</v>
      </c>
      <c r="F38" s="3">
        <f>1219.3+(0-719.2)+(-2.487372+(0--1.467168))+0-0-0</f>
        <v>499.07979599999993</v>
      </c>
      <c r="G38" s="3">
        <f>1141.5+(1.7-695.1)+(-4.075155+(-0.006069--2.481507))+0-0-0</f>
        <v>446.50028300000002</v>
      </c>
      <c r="H38" s="3">
        <f>1056.3+(7.1-635.4)+(-1.616139+(-0.010863--0.972162))+0-0-0</f>
        <v>427.34516000000002</v>
      </c>
      <c r="I38" s="3">
        <f>1027.9+(9.7-614.3)+(-1.048458+(-0.009894--0.626586))+0-0-0</f>
        <v>422.8682340000002</v>
      </c>
      <c r="J38" s="3">
        <f>1018.4+(10.6-607)+(-3.116304+(-0.032436--1.85742))+0-0-0</f>
        <v>420.70868000000002</v>
      </c>
      <c r="K38" s="3">
        <f>1076+(9.2-650.8)+(-1.09752+(-0.009384--0.663816))+0-0-0</f>
        <v>433.9569120000001</v>
      </c>
      <c r="L38" s="3">
        <f>1139.9+(5.4-714.8)+(-3.488094+(-0.016524--2.187288))+0-0-0</f>
        <v>429.18267000000009</v>
      </c>
      <c r="M38" s="3">
        <f>1146.1+(1.3-688.5)+(-1.753533+(-0.001989--1.053405))+0-0-0</f>
        <v>458.19788299999988</v>
      </c>
      <c r="N38" s="3">
        <f>1152.5+(0-641.9)+(-0.587775+(0--0.327369))+0-0-0</f>
        <v>510.33959400000003</v>
      </c>
      <c r="O38" s="3">
        <f>1076.4+(20.1-556.9)+(-1.646892+(-0.030753--0.852057))+0-0-0</f>
        <v>538.7744120000001</v>
      </c>
      <c r="P38" s="3">
        <f>1084+(15.4-536.9)+(-1.65852+(-0.023562--0.821457))+0-0-0</f>
        <v>561.63937499999997</v>
      </c>
      <c r="Q38" s="3">
        <f>1121.6+(15.8-572.1)+(0+(0-0))+0-0-0</f>
        <v>565.29999999999984</v>
      </c>
      <c r="R38" s="3">
        <f>1134.3+(64.1-649.3)+(-1.735479+(-0.098073--0.993429))+0-0-0</f>
        <v>548.25987700000007</v>
      </c>
      <c r="S38" s="3">
        <f>1139.5+(29.9-655.5)+(0+(0-0))+0-0-0</f>
        <v>513.9</v>
      </c>
      <c r="T38" s="3">
        <f>1150.3+(91-726.1)+(-1.173306+(-0.09282--0.740622))+0-0-0</f>
        <v>514.67449599999998</v>
      </c>
      <c r="U38" s="3">
        <f>1162.2+(99.8-768.8)+(-2.370888+(-0.203592--1.568352))+0-0-0</f>
        <v>492.19387200000006</v>
      </c>
      <c r="V38" s="3">
        <f>1165.1+(71-730.1)+(-1.782603+(-0.10863--1.117053))+0-0-0</f>
        <v>505.22581999999989</v>
      </c>
      <c r="W38" s="3">
        <f>1163.8+(16.1-667)+(-2.374152+(-0.032844--1.36068))+0-0-0</f>
        <v>511.85368399999999</v>
      </c>
      <c r="X38" s="3">
        <f>1165.9+(11.8-646.3)+(-1.783827+(-0.018054--0.988839))+0-0-0</f>
        <v>530.5869580000001</v>
      </c>
      <c r="Y38" s="3">
        <f>1171.6+(19.9-630.5)+(-2.390064+(-0.040596--1.28622))+0-0-0</f>
        <v>559.85555999999985</v>
      </c>
      <c r="Z38" s="3">
        <f>1196.6+(91.6-594.2)+(-1.220532+(-0.093432--0.606084))+0-0-0</f>
        <v>693.29211999999984</v>
      </c>
      <c r="AA38" s="3">
        <f>1192.4+(110.4-607.9)+(-2.432496+(-0.225216--1.240116))+0-0-0</f>
        <v>693.48240400000009</v>
      </c>
      <c r="AB38" s="3">
        <f>1190.8+(93.8-655)+(-1.214616+(-0.095676--0.6681))+0-0-0</f>
        <v>628.95780799999989</v>
      </c>
      <c r="AC38" s="3">
        <f>1187.9+(65.8-680.5)+(-1.211658+(-0.067116--0.69411))+0-0-0</f>
        <v>572.61533600000007</v>
      </c>
      <c r="AD38">
        <f t="shared" si="0"/>
        <v>12478.790934000001</v>
      </c>
      <c r="AE38" s="3">
        <f>1191+(109.9-653.3)+(0+(0-0))+0-0-0</f>
        <v>647.6</v>
      </c>
    </row>
    <row r="39" spans="1:31" s="2" customFormat="1" x14ac:dyDescent="0.25">
      <c r="A39">
        <v>89</v>
      </c>
      <c r="B39">
        <v>2</v>
      </c>
      <c r="C39">
        <v>8</v>
      </c>
      <c r="D39">
        <v>5</v>
      </c>
      <c r="E39">
        <v>1</v>
      </c>
      <c r="F39" s="3">
        <f>1186.9+(19.1-715.8)+(-0.605319+(-0.009741--0.365058))+0-0-0</f>
        <v>489.94999800000016</v>
      </c>
      <c r="G39" s="3">
        <f>1098.5+(1.2-673)+(-0.560235+(-0.000612--0.34323))+0-0-0</f>
        <v>426.48238300000003</v>
      </c>
      <c r="H39" s="3">
        <f>893.8+(46.7-533.3)+(-0.911676+(-0.047634--0.543966))+0-0-0</f>
        <v>406.78465599999998</v>
      </c>
      <c r="I39" s="3">
        <f>909.5+(28.8-548.7)+(0+(0-0))+0-0-0</f>
        <v>389.59999999999991</v>
      </c>
      <c r="J39" s="3">
        <f>972+(10-594.6)+(-0.99144+(-0.0102--0.606492))+0-0-0</f>
        <v>387.00485199999997</v>
      </c>
      <c r="K39" s="3">
        <f>1001.5+(9.3-623.6)+(-2.553825+(-0.023715--1.59018))+0-0-0</f>
        <v>386.21263999999991</v>
      </c>
      <c r="L39" s="3">
        <f>1000.6+(3-640.4)+(-1.530918+(-0.00459--0.979812))+0-0-0</f>
        <v>362.64430400000003</v>
      </c>
      <c r="M39" s="3">
        <f>1159.7+(0.5-766.7)+(0+(0-0))+0-0-0</f>
        <v>393.5</v>
      </c>
      <c r="N39" s="3">
        <f>1199.6+(0-758.2)+(-1.223592+(0--0.773364))+0-0-0</f>
        <v>440.94977199999988</v>
      </c>
      <c r="O39" s="3">
        <f>1202.9+(0-719.7)+(-0.613479+(0--0.367047))+0-0-0</f>
        <v>482.95356800000002</v>
      </c>
      <c r="P39" s="3">
        <f>1197.7+(0-695.7)+(-1.832481+(0--1.064421))+0-0-0</f>
        <v>501.23194000000001</v>
      </c>
      <c r="Q39" s="3">
        <f>1209.3+(21.9-710.5)+(-1.850229+(-0.033507--1.087065))+0-0-0</f>
        <v>519.90332899999999</v>
      </c>
      <c r="R39" s="3">
        <f>1221.3+(128.5-827)+(-1.868589+(-0.196605--1.26531))+0-0-0</f>
        <v>522.00011599999993</v>
      </c>
      <c r="S39" s="3">
        <f>1219+(233.2-930.4)+(-2.48676+(-0.475728--1.898016))+0-0-0</f>
        <v>520.73552799999993</v>
      </c>
      <c r="T39" s="3">
        <f>1223.8+(246.7-973.2)+(-0.624138+(-0.125817--0.496332))+0-0-0</f>
        <v>497.04637699999995</v>
      </c>
      <c r="U39" s="3">
        <f>1221+(228.9-964.2)+(-0.62271+(-0.116739--0.491742))+0-0-0</f>
        <v>485.45229299999994</v>
      </c>
      <c r="V39" s="3">
        <f>1212.5+(174.3-887.3)+(-3.091875+(-0.444465--2.262615))+0-0-0</f>
        <v>498.22627499999999</v>
      </c>
      <c r="W39" s="3">
        <f>1216.2+(93.3-810.3)+(-2.481048+(-0.190332--1.653012))+0-0-0</f>
        <v>498.18163200000004</v>
      </c>
      <c r="X39" s="3">
        <f>1218.8+(105.8-807)+(-2.486352+(-0.215832--1.64628))+0-0-0</f>
        <v>516.54409599999985</v>
      </c>
      <c r="Y39" s="3">
        <f>1218.1+(104.4-772.3)+(-1.863693+(-0.159732--1.181619))+0-0-0</f>
        <v>549.35819399999991</v>
      </c>
      <c r="Z39" s="3">
        <f>1219.7+(70.6-667.1)+(-1.866141+(-0.108018--1.020663))+0-0-0</f>
        <v>622.24650400000007</v>
      </c>
      <c r="AA39" s="3">
        <f>1222.4+(49.8-658.1)+(-1.246848+(-0.050796--0.671262))+0-0-0</f>
        <v>613.47361799999999</v>
      </c>
      <c r="AB39" s="3">
        <f>1218.5+(48.6-687.4)+(-2.48574+(-0.099144--1.402296))+0-0-0</f>
        <v>578.51741200000004</v>
      </c>
      <c r="AC39" s="3">
        <f>1200.6+(15.2-693.1)+(-2.449224+(-0.031008--1.413924))+0-0-0</f>
        <v>521.63369199999988</v>
      </c>
      <c r="AD39">
        <f t="shared" si="0"/>
        <v>11610.633178999999</v>
      </c>
      <c r="AE39" s="3">
        <f>1212+(63-666.3)+(0+(0-0))+0-0-0</f>
        <v>608.70000000000005</v>
      </c>
    </row>
    <row r="40" spans="1:31" s="2" customFormat="1" x14ac:dyDescent="0.25">
      <c r="A40">
        <v>89</v>
      </c>
      <c r="B40">
        <v>2</v>
      </c>
      <c r="C40">
        <v>9</v>
      </c>
      <c r="D40">
        <v>6</v>
      </c>
      <c r="E40">
        <v>1</v>
      </c>
      <c r="F40" s="3">
        <f>1167.3+(2.8-687.1)+(-0.595323+(-0.001428--0.350421))+0-0-0</f>
        <v>482.75366999999989</v>
      </c>
      <c r="G40" s="3">
        <f>1164.1+(0-716.3)+(-1.781073+(0--1.095939))+0-0-0</f>
        <v>447.11486599999995</v>
      </c>
      <c r="H40" s="3">
        <f>1176.3+(2-748.5)+(1.799739+(0.00306-1.145205))+0-0-0</f>
        <v>430.45759399999997</v>
      </c>
      <c r="I40" s="3">
        <f>1164.8+(2.1-753.6)+(-1.782144+(-0.003213--1.153008))+0-0-0</f>
        <v>412.66765099999998</v>
      </c>
      <c r="J40" s="3">
        <f>1171.1+(1-779.6)+(0.597261+(0.00051-0.397596))+0-0-0</f>
        <v>392.70017499999989</v>
      </c>
      <c r="K40" s="3">
        <f>1162.3+(0.7-778.3)+(-1.778319+(-0.001071--1.190799))+0-0-0</f>
        <v>384.11140900000004</v>
      </c>
      <c r="L40" s="3">
        <f>1160.5+(1-779.3)+(-2.36742+(-0.00204--1.589772))+0-0-0</f>
        <v>381.42031200000002</v>
      </c>
      <c r="M40" s="3">
        <f>1164.3+(0.9-744.6)+(-1.781379+(-0.001377--1.139238))+0-0-0</f>
        <v>419.95648199999994</v>
      </c>
      <c r="N40" s="3">
        <f>1171+(0-702.4)+(0+(0-0))+0-0-0</f>
        <v>468.6</v>
      </c>
      <c r="O40" s="3">
        <f>1170.3+(39.2-690.5)+(-0.596853+(-0.019992--0.352155))+0-0-0</f>
        <v>518.73531000000003</v>
      </c>
      <c r="P40" s="3">
        <f>1169.2+(37.4-641.8)+(-1.192584+(-0.038148--0.654636))+0-0-0</f>
        <v>564.22390400000006</v>
      </c>
      <c r="Q40" s="3">
        <f>1195.7+(19.9-630)+(0+(0-0))+0-0-0</f>
        <v>585.6</v>
      </c>
      <c r="R40" s="3">
        <f>1220.3+(48.1-689.9)+(-1.867059+(-0.073593--1.055547))+0-0-0</f>
        <v>577.61489500000005</v>
      </c>
      <c r="S40" s="3">
        <f>1219.6+(85-777.5)+(-1.243992+(-0.0867--0.79305))+0-0-0</f>
        <v>526.5623579999999</v>
      </c>
      <c r="T40" s="3">
        <f>1224.7+(150.6-868.9)+(-0.624597+(-0.076806--0.443139))+0-0-0</f>
        <v>506.14173600000009</v>
      </c>
      <c r="U40" s="3">
        <f>1219+(158.4-876.8)+(-1.86507+(-0.242352--1.341504))+0-0-0</f>
        <v>499.83408200000002</v>
      </c>
      <c r="V40" s="3">
        <f>1222.8+(161.3-877.8)+(-1.247256+(-0.164526--0.895356))+0-0-0</f>
        <v>505.78357399999993</v>
      </c>
      <c r="W40" s="3">
        <f>1212.2+(75.1-764.9)+(-4.327554+(-0.268107--2.730693))+0-0-0</f>
        <v>520.53503200000011</v>
      </c>
      <c r="X40" s="3">
        <f>1138.2+(31.8-612.3)+(0+(0-0))+0-0-0</f>
        <v>557.70000000000005</v>
      </c>
      <c r="Y40" s="3">
        <f>1177.4+(28.1-623)+(-1.200948+(-0.028662--0.63546))+0-0-0</f>
        <v>581.9058500000001</v>
      </c>
      <c r="Z40" s="3">
        <f>1227.1+(96.6-651.1)+(-3.129105+(-0.24633--1.660305))+0-0-0</f>
        <v>670.88486999999986</v>
      </c>
      <c r="AA40" s="3">
        <f>1203+(98.2-641.3)+(-1.22706+(-0.100164--0.654126))+0-0-0</f>
        <v>659.22690200000011</v>
      </c>
      <c r="AB40" s="3">
        <f>1192.2+(75.8-654.6)+(-2.432088+(-0.154632--1.335384))+0-0-0</f>
        <v>612.14866399999994</v>
      </c>
      <c r="AC40" s="3">
        <f>1199+(69.2-697.5)+(-0.61149+(-0.035292--0.355725))+0-0-0</f>
        <v>570.40894300000002</v>
      </c>
      <c r="AD40">
        <f t="shared" si="0"/>
        <v>12277.088279000005</v>
      </c>
      <c r="AE40" s="3">
        <f>1228+(74.5-699.8)+(0+(0-0))+0-0-0</f>
        <v>602.70000000000005</v>
      </c>
    </row>
    <row r="41" spans="1:31" s="2" customFormat="1" x14ac:dyDescent="0.25">
      <c r="A41">
        <v>89</v>
      </c>
      <c r="B41">
        <v>2</v>
      </c>
      <c r="C41">
        <v>10</v>
      </c>
      <c r="D41">
        <v>7</v>
      </c>
      <c r="E41">
        <v>1</v>
      </c>
      <c r="F41" s="3">
        <f>1194.9+(7.3-714.5)+(0+(0-0))+0-0-0</f>
        <v>487.70000000000005</v>
      </c>
      <c r="G41" s="3">
        <f>1143.4+(0-697.1)+(0+(0-0))+0-0-0</f>
        <v>446.30000000000007</v>
      </c>
      <c r="H41" s="3">
        <f>1112+(1.7-678.9)+(1.13424+(0.001734-0.692478))+0-0-0</f>
        <v>435.24349600000005</v>
      </c>
      <c r="I41" s="3">
        <f>1021.1+(5.8-605.4)+(-0.520761+(-0.002958--0.308754))+0-0-0</f>
        <v>421.28503499999999</v>
      </c>
      <c r="J41" s="3">
        <f>1027.1+(5.1-617.2)+(1.047642+(0.005202-0.629544))+0-0-0</f>
        <v>415.42329999999987</v>
      </c>
      <c r="K41" s="3">
        <f>1012.7+(5.4-614.5)+(-2.582385+(-0.01377--1.566975))+0-0-0</f>
        <v>402.57082000000003</v>
      </c>
      <c r="L41" s="3">
        <f>1029+(4-664.6)+(-2.62395+(-0.0102--1.69473))+0-0-0</f>
        <v>367.46057999999999</v>
      </c>
      <c r="M41" s="3">
        <f>1046.6+(0.9-691.5)+(-1.067532+(-0.000918--0.70533))+0-0-0</f>
        <v>355.63687999999991</v>
      </c>
      <c r="N41" s="3">
        <f>1095.9+(0-685.1)+(0.558909+(0-0.349401))+0-0-0</f>
        <v>411.0095080000001</v>
      </c>
      <c r="O41" s="3">
        <f>1141.3+(0-725.9)+(-0.582063+(0--0.370209))+0-0-0</f>
        <v>415.18814599999996</v>
      </c>
      <c r="P41" s="3">
        <f>1242.8+(3.9-780.4)+(-1.267656+(-0.003978--0.796008))+0-0-0</f>
        <v>465.82437399999998</v>
      </c>
      <c r="Q41" s="3">
        <f>1261.8+(0-787.4)+(-1.930554+(0--1.204722))+0-0-0</f>
        <v>473.67416799999995</v>
      </c>
      <c r="R41" s="3">
        <f>1268.1+(0-806.7)+(0.646731+(0-0.411417))+0-0-0</f>
        <v>461.63531399999988</v>
      </c>
      <c r="S41" s="3">
        <f>1263.8+(0-814.5)+(-1.289076+(0--0.83079))+0-0-0</f>
        <v>448.84171399999997</v>
      </c>
      <c r="T41" s="3">
        <f>1274.9+(0-839.9)+(1.950597+(0-1.285047))+0-0-0</f>
        <v>435.66555000000011</v>
      </c>
      <c r="U41" s="3">
        <f>1263.9+(0-837.4)+(-1.933767+(0--1.281222))+0-0-0</f>
        <v>425.84745500000014</v>
      </c>
      <c r="V41" s="3">
        <f>1261.7+(0-850.5)+(-1.930401+(0--1.301265))+0-0-0</f>
        <v>410.57086400000003</v>
      </c>
      <c r="W41" s="3">
        <f>1261.7+(0-860.1)+(-3.217335+(0--2.193255))+0-0-0</f>
        <v>400.57592</v>
      </c>
      <c r="X41" s="3">
        <f>1129.8+(0-725.9)+(-2.88099+(0--1.851045))+0-0-0</f>
        <v>402.87005499999998</v>
      </c>
      <c r="Y41" s="3">
        <f>1078.4+(37.4-634.8)+(-0.549984+(-0.019074--0.323748))+0-0-0</f>
        <v>480.7546900000001</v>
      </c>
      <c r="Z41" s="3">
        <f>1315.6+(46-808.1)+(-2.683824+(-0.09384--1.648524))+0-0-0</f>
        <v>552.37085999999988</v>
      </c>
      <c r="AA41" s="3">
        <f>1351.9+(56.3-829.2)+(-1.378938+(-0.057426--0.845784))+0-0-0</f>
        <v>578.40941999999995</v>
      </c>
      <c r="AB41" s="3">
        <f>1315.1+(45.4-793)+(-4.024206+(-0.138924--2.42658))+0-0-0</f>
        <v>565.76344999999992</v>
      </c>
      <c r="AC41" s="3">
        <f>1094.9+(79.5-650.8)+(-1.116798+(-0.08109--0.663816))+0-0-0</f>
        <v>523.0659280000001</v>
      </c>
      <c r="AD41">
        <f t="shared" si="0"/>
        <v>10783.687527</v>
      </c>
      <c r="AE41" s="3">
        <f>1355+(64.3-846.6)+(0+(0-0))+0-0-0</f>
        <v>572.69999999999993</v>
      </c>
    </row>
    <row r="42" spans="1:31" s="2" customFormat="1" x14ac:dyDescent="0.25">
      <c r="A42">
        <v>89</v>
      </c>
      <c r="B42">
        <v>2</v>
      </c>
      <c r="C42">
        <v>11</v>
      </c>
      <c r="D42">
        <v>1</v>
      </c>
      <c r="E42">
        <v>1</v>
      </c>
      <c r="F42" s="3">
        <f>1086+(24.1-649)+(-2.21544+(-0.049164--1.32396))+0-0-0</f>
        <v>460.159356</v>
      </c>
      <c r="G42" s="3">
        <f>1084.2+(6.9-670.9)+(-2.76471+(-0.017595--1.710795))+0-0-0</f>
        <v>419.12849000000006</v>
      </c>
      <c r="H42" s="3">
        <f>1088.9+(9.7-690.8)+(-1.110678+(-0.009894--0.704616))+0-0-0</f>
        <v>407.38404400000019</v>
      </c>
      <c r="I42" s="3">
        <f>1082.4+(10-697.5)+(-2.208096+(-0.0204--1.4229))+0-0-0</f>
        <v>394.09440400000011</v>
      </c>
      <c r="J42" s="3">
        <f>1089.7+(9.7-706.2)+(0+(0-0))+0-0-0</f>
        <v>393.20000000000005</v>
      </c>
      <c r="K42" s="3">
        <f>1091.7+(9.7-699.4)+(-0.556767+(-0.004947--0.356694))+0-0-0</f>
        <v>401.79498000000012</v>
      </c>
      <c r="L42" s="3">
        <f>1002.9+(10.5-620.6)+(-2.045916+(-0.02142--1.266024))+0-0-0</f>
        <v>391.99868799999996</v>
      </c>
      <c r="M42" s="3">
        <f>1091.7+(6.2-683.2)+(-1.113534+(-0.006324--0.696864))+0-0-0</f>
        <v>414.27700600000003</v>
      </c>
      <c r="N42" s="3">
        <f>1260.6+(0-800.5)+(-1.285812+(0--0.81651))+0-0-0</f>
        <v>459.63069799999988</v>
      </c>
      <c r="O42" s="3">
        <f>1266.2+(0-761.7)+(-1.937286+(0--1.165401))+0-0-0</f>
        <v>503.728115</v>
      </c>
      <c r="P42" s="3">
        <f>1268.8+(0-750.6)+(-1.294176+(0--0.765612))+0-0-0</f>
        <v>517.67143599999997</v>
      </c>
      <c r="Q42" s="3">
        <f>1274.9+(0-718.8)+(-0.650199+(0--0.366588))+0-0-0</f>
        <v>555.81638900000019</v>
      </c>
      <c r="R42" s="3">
        <f>1263.9+(9.4-724.2)+(-3.222945+(-0.02397--1.84671))+0-0-0</f>
        <v>547.69979499999999</v>
      </c>
      <c r="S42" s="3">
        <f>1269.5+(8.1-735.5)+(-1.29489+(-0.008262--0.75021))+0-0-0</f>
        <v>541.54705799999999</v>
      </c>
      <c r="T42" s="3">
        <f>1275+(0-754.7)+(-0.65025+(0--0.384897))+0-0-0</f>
        <v>520.03464699999995</v>
      </c>
      <c r="U42" s="3">
        <f>1263.4+(0-755.6)+(-3.22167+(0--1.92678))+0-0-0</f>
        <v>506.50511000000006</v>
      </c>
      <c r="V42" s="3">
        <f>1268.8+(0-769.3)+(-3.23544+(0--1.961715))+0-0-0</f>
        <v>498.22627499999999</v>
      </c>
      <c r="W42" s="3">
        <f>1198.5+(0-698.5)+(-1.833705+(0--1.068705))+0-0-0</f>
        <v>499.23500000000001</v>
      </c>
      <c r="X42" s="3">
        <f>1083.1+(28.2-596.5)+(-1.657143+(-0.043146--0.912645))+0-0-0</f>
        <v>514.01235599999995</v>
      </c>
      <c r="Y42" s="3">
        <f>1084.9+(27.1-556.3)+(-0.553299+(-0.013821--0.283713))+0-0-0</f>
        <v>555.41659300000015</v>
      </c>
      <c r="Z42" s="3">
        <f>1281.5+(70.6-699.2)+(-2.61426+(-0.144024--1.426368))+0-0-0</f>
        <v>651.568084</v>
      </c>
      <c r="AA42" s="3">
        <f>1295.5+(98.1-741.1)+(-1.32141+(-0.100062--0.755922))+0-0-0</f>
        <v>651.83444999999995</v>
      </c>
      <c r="AB42" s="3">
        <f>1291.6+(73.4-752.2)+(-1.317432+(-0.074868--0.767244))+0-0-0</f>
        <v>612.17494399999987</v>
      </c>
      <c r="AC42" s="3">
        <f>1287+(27.1-760.3)+(-1.96911+(-0.041463--1.163259))+0-0-0</f>
        <v>552.95268600000009</v>
      </c>
      <c r="AD42">
        <f t="shared" si="0"/>
        <v>11970.090604000003</v>
      </c>
      <c r="AE42" s="3">
        <f>1285+(106.5-769.6)+(0+(0-0))+0-0-0</f>
        <v>621.9</v>
      </c>
    </row>
    <row r="43" spans="1:31" s="2" customFormat="1" x14ac:dyDescent="0.25">
      <c r="A43">
        <v>89</v>
      </c>
      <c r="B43">
        <v>2</v>
      </c>
      <c r="C43">
        <v>12</v>
      </c>
      <c r="D43">
        <v>2</v>
      </c>
      <c r="E43">
        <v>1</v>
      </c>
      <c r="F43" s="3">
        <f>1288.4+(0-806.1)+(0+(0-0))+0-0-0</f>
        <v>482.30000000000007</v>
      </c>
      <c r="G43" s="3">
        <f>1288.1+(0-843.2)+(-0.656931+(0--0.430032))+0-0-0</f>
        <v>444.67310099999986</v>
      </c>
      <c r="H43" s="3">
        <f>1290.1+(0-869.4)+(0+(0-0))+0-0-0</f>
        <v>420.69999999999993</v>
      </c>
      <c r="I43" s="3">
        <f>1286.2+(0-878.6)+(-1.311924+(0--0.896172))+0-0-0</f>
        <v>407.18424800000003</v>
      </c>
      <c r="J43" s="3">
        <f>1286.9+(0-875.3)+(-0.656319+(0--0.446403))+0-0-0</f>
        <v>411.39008400000012</v>
      </c>
      <c r="K43" s="3">
        <f>1276.9+(0-864.1)+(-3.256095+(0--2.203455))+0-0-0</f>
        <v>411.74736000000007</v>
      </c>
      <c r="L43" s="3">
        <f>1127.7+(0-730.2)+(-1.150254+(0--0.744804))+0-0-0</f>
        <v>397.09455000000003</v>
      </c>
      <c r="M43" s="3">
        <f>1095.4+(16.3-670.5)+(0+(0-0))+0-0-0</f>
        <v>441.20000000000005</v>
      </c>
      <c r="N43" s="3">
        <f>1211.5+(16.9-747.4)+(-0.617865+(-0.008619--0.381174))+0-0-0</f>
        <v>480.75468999999998</v>
      </c>
      <c r="O43" s="3">
        <f>1269.9+(25.7-775.9)+(0+(0-0))+0-0-0</f>
        <v>519.70000000000016</v>
      </c>
      <c r="P43" s="3">
        <f>1276.5+(57-780.5)+(1.30203+(0.05814-0.79611))+0-0-0</f>
        <v>553.56406000000004</v>
      </c>
      <c r="Q43" s="3">
        <f>1271+(74.7-766)+(-0.64821+(-0.038097--0.39066))+0-0-0</f>
        <v>579.40435300000001</v>
      </c>
      <c r="R43" s="3">
        <f>1265.9+(62.8-774.1)+(-1.936827+(-0.096084--1.184373))+0-0-0</f>
        <v>553.75146200000006</v>
      </c>
      <c r="S43" s="3">
        <f>1261.6+(29-750.4)+(-2.573664+(-0.05916--1.530816))+0-0-0</f>
        <v>539.09799199999998</v>
      </c>
      <c r="T43" s="3">
        <f>1275.8+(0-749.6)+(0.650658+(0-0.382296))+0-0-0</f>
        <v>526.46836199999996</v>
      </c>
      <c r="U43" s="3">
        <f>1267.8+(0-747)+(-1.939734+(0--1.14291))+0-0-0</f>
        <v>520.00317599999994</v>
      </c>
      <c r="V43" s="3">
        <f>1259.4+(0-749.3)+(-3.853764+(0--2.292858))+0-0-0</f>
        <v>508.53909400000015</v>
      </c>
      <c r="W43" s="3">
        <f>1271+(0-749.3)+(-0.64821+(0--0.382143))+0-0-0</f>
        <v>521.43393300000002</v>
      </c>
      <c r="X43" s="3">
        <f>1267.3+(0-731.5)+(-1.938969+(0--1.119195))+0-0-0</f>
        <v>534.9802259999999</v>
      </c>
      <c r="Y43" s="3">
        <f>1269.7+(30-737.8)+(-1.295094+(-0.0306--0.752556))+0-0-0</f>
        <v>561.32686200000012</v>
      </c>
      <c r="Z43" s="3">
        <f>1287.4+(94.6-726.5)+(-4.596018+(-0.337722--2.593605))+0-0-0</f>
        <v>653.15986500000008</v>
      </c>
      <c r="AA43" s="3">
        <f>1298.7+(121.6-747.7)+(-2.649348+(-0.248064--1.525308))+0-0-0</f>
        <v>671.22789599999999</v>
      </c>
      <c r="AB43" s="3">
        <f>1293.5+(92.1-764.2)+(-3.298425+(-0.234855--1.94871))+0-0-0</f>
        <v>619.81542999999999</v>
      </c>
      <c r="AC43" s="3">
        <f>1273.7+(73.9-796.7)+(-3.247935+(-0.188445--2.031585))+0-0-0</f>
        <v>549.49520499999994</v>
      </c>
      <c r="AD43">
        <f t="shared" si="0"/>
        <v>12309.011948999998</v>
      </c>
      <c r="AE43" s="3">
        <f>1280+(112.4-738.5)+(0+(0-0))+0-0-0</f>
        <v>653.9</v>
      </c>
    </row>
    <row r="44" spans="1:31" s="2" customFormat="1" x14ac:dyDescent="0.25">
      <c r="A44">
        <v>89</v>
      </c>
      <c r="B44">
        <v>2</v>
      </c>
      <c r="C44">
        <v>13</v>
      </c>
      <c r="D44">
        <v>3</v>
      </c>
      <c r="E44">
        <v>1</v>
      </c>
      <c r="F44" s="3">
        <f>1270.8+(27.9-801.6)+(-3.888648+(-0.085374--2.452896))+0-0-0</f>
        <v>495.57887399999993</v>
      </c>
      <c r="G44" s="3">
        <f>1267.3+(0-823.4)+(-4.524261+(0--2.939538))+0-0-0</f>
        <v>442.31527699999998</v>
      </c>
      <c r="H44" s="3">
        <f>1279.6+(3-832.7)+(-0.652596+(-0.00153--0.424677))+0-0-0</f>
        <v>449.67055099999988</v>
      </c>
      <c r="I44" s="3">
        <f>1281.4+(7-831.2)+(-0.653514+(-0.00357--0.423912))+0-0-0</f>
        <v>456.96682800000002</v>
      </c>
      <c r="J44" s="3">
        <f>1202.3+(0-759.4)+(-1.226346+(0--0.774588))+0-0-0</f>
        <v>442.44824199999999</v>
      </c>
      <c r="K44" s="3">
        <f>1141+(0-705.6)+(-2.90955+(0--1.79928))+0-0-0</f>
        <v>434.28972999999996</v>
      </c>
      <c r="L44" s="3">
        <f>1006+(5.2-600.7)+(-3.07836+(-0.015912--1.838142))+0-0-0</f>
        <v>409.24387000000002</v>
      </c>
      <c r="M44" s="3">
        <f>1161.9+(0-728.3)+(0.592569+(0-0.371433))+0-0-0</f>
        <v>433.82113600000014</v>
      </c>
      <c r="N44" s="3">
        <f>1298.5+(0-808.2)+(0+(0-0))+0-0-0</f>
        <v>490.29999999999995</v>
      </c>
      <c r="O44" s="3">
        <f>1291.6+(31-805.7)+(-1.976148+(-0.04743--1.232721))+0-0-0</f>
        <v>516.1091429999999</v>
      </c>
      <c r="P44" s="3">
        <f>1296.8+(34.8-792.6)+(0+(0-0))+0-0-0</f>
        <v>538.99999999999989</v>
      </c>
      <c r="Q44" s="3">
        <f>1291.1+(42.8-774.4)+(-2.633844+(-0.087312--1.579776))+0-0-0</f>
        <v>558.35861999999986</v>
      </c>
      <c r="R44" s="3">
        <f>1300.2+(21.5-766.8)+(-0.663102+(-0.010965--0.391068))+0-0-0</f>
        <v>554.61700100000007</v>
      </c>
      <c r="S44" s="3">
        <f>1288.2+(4.9-767.3)+(-2.627928+(-0.009996--1.565292))+0-0-0</f>
        <v>524.72736800000007</v>
      </c>
      <c r="T44" s="3">
        <f>1288.6+(0-777.9)+(-2.628744+(0--1.586916))+0-0-0</f>
        <v>509.65817199999992</v>
      </c>
      <c r="U44" s="3">
        <f>1289.7+(0-796.3)+(-1.973241+(0--1.218339))+0-0-0</f>
        <v>492.64509800000008</v>
      </c>
      <c r="V44" s="3">
        <f>1257.6+(0-766.3)+(-1.924128+(0--1.172439))+0-0-0</f>
        <v>490.54831099999996</v>
      </c>
      <c r="W44" s="3">
        <f>1100.5+(20.8-626.4)+(0+(0-0))+0-0-0</f>
        <v>494.9</v>
      </c>
      <c r="X44" s="3">
        <f>1091.4+(22.1-613.2)+(-2.226456+(-0.045084--1.250928))+0-0-0</f>
        <v>499.27938800000004</v>
      </c>
      <c r="Y44" s="3">
        <f>1106.5+(37.4-606.2)+(0.564315+(0.019074-0.309162))+0-0-0</f>
        <v>537.97422699999993</v>
      </c>
      <c r="Z44" s="3">
        <f>1254.3+(57.8-668.8)+(-3.198465+(-0.14739--1.70544))+0-0-0</f>
        <v>641.65958499999999</v>
      </c>
      <c r="AA44" s="3">
        <f>1266.2+(70.9-687.5)+(-3.22881+(-0.180795--1.753125))+0-0-0</f>
        <v>647.94352000000003</v>
      </c>
      <c r="AB44" s="3">
        <f>1275+(30.3-692.1)+(-0.65025+(-0.015453--0.352971))+0-0-0</f>
        <v>612.88726799999995</v>
      </c>
      <c r="AC44" s="3">
        <f>1271.9+(9.3-729.9)+(-0.648669+(-0.004743--0.372249))+0-0-0</f>
        <v>551.01883700000008</v>
      </c>
      <c r="AD44">
        <f t="shared" si="0"/>
        <v>12225.961046</v>
      </c>
      <c r="AE44" s="3">
        <f>1256+(76.9-678.3)+(0+(0-0))+0-0-0</f>
        <v>654.6</v>
      </c>
    </row>
    <row r="45" spans="1:31" s="2" customFormat="1" x14ac:dyDescent="0.25">
      <c r="A45">
        <v>89</v>
      </c>
      <c r="B45">
        <v>2</v>
      </c>
      <c r="C45">
        <v>14</v>
      </c>
      <c r="D45">
        <v>4</v>
      </c>
      <c r="E45">
        <v>1</v>
      </c>
      <c r="F45" s="3">
        <f>1265.5+(0-763.8)+(-2.58162+(0--1.558152))+0-0-0</f>
        <v>500.67653200000007</v>
      </c>
      <c r="G45" s="3">
        <f>1263.3+(0-797.3)+(-2.577132+(0--1.626492))+0-0-0</f>
        <v>465.04935999999998</v>
      </c>
      <c r="H45" s="3">
        <f>1266+(0-829.2)+(-1.93698+(0--1.268676))+0-0-0</f>
        <v>436.13169599999998</v>
      </c>
      <c r="I45" s="3">
        <f>1280.7+(0-854)+(0.653157+(0-0.43554))+0-0-0</f>
        <v>426.91761700000006</v>
      </c>
      <c r="J45" s="3">
        <f>1284.9+(0-867.9)+(2.621196+(0-1.770516))+0-0-0</f>
        <v>417.85068000000012</v>
      </c>
      <c r="K45" s="3">
        <f>1270.4+(0-843.3)+(-0.647904+(0--0.430083))+0-0-0</f>
        <v>426.88217900000012</v>
      </c>
      <c r="L45" s="3">
        <f>1101.9+(4.7-688.9)+(-2.809845+(-0.011985--1.756695))+0-0-0</f>
        <v>416.63486500000016</v>
      </c>
      <c r="M45" s="3">
        <f>1097.5+(2.7-652.1)+(0+(0-0))+0-0-0</f>
        <v>448.1</v>
      </c>
      <c r="N45" s="3">
        <f>1092.4+(0-601)+(-1.114248+(0--0.61302))+0-0-0</f>
        <v>490.89877200000006</v>
      </c>
      <c r="O45" s="3">
        <f>1100.9+(0-574.3)+(1.122918+(0-0.585786))+0-0-0</f>
        <v>527.13713200000018</v>
      </c>
      <c r="P45" s="3">
        <f>1092.1+(0-543.1)+(-1.670913+(0--0.830943))+0-0-0</f>
        <v>548.16002999999989</v>
      </c>
      <c r="Q45" s="3">
        <f>1142.4+(0-598)+(-1.165248+(0--0.60996))+0-0-0</f>
        <v>543.84471200000007</v>
      </c>
      <c r="R45" s="3">
        <f>1290.2+(0-726.3)+(-2.632008+(0--1.481652))+0-0-0</f>
        <v>562.7496440000001</v>
      </c>
      <c r="S45" s="3">
        <f>1287.9+(0-746.7)+(0+(0-0))+0-0-0</f>
        <v>541.20000000000005</v>
      </c>
      <c r="T45" s="3">
        <f>1282.5+(0-764.7)+(1.30815+(0-0.779994))+0-0-0</f>
        <v>518.32815599999992</v>
      </c>
      <c r="U45" s="3">
        <f>1281+(0-767.9)+(-0.65331+(0--0.391629))+0-0-0</f>
        <v>512.83831900000007</v>
      </c>
      <c r="V45" s="3">
        <f>1271.9+(0-765.9)+(-1.297338+(0--0.781218))+0-0-0</f>
        <v>505.48388000000011</v>
      </c>
      <c r="W45" s="3">
        <f>1271+(0-761.5)+(-2.59284+(0--1.55346))+0-0-0</f>
        <v>508.46062000000001</v>
      </c>
      <c r="X45" s="3">
        <f>1270.7+(0-756.4)+(-3.240285+(0--1.92882))+0-0-0</f>
        <v>512.98853500000007</v>
      </c>
      <c r="Y45" s="3">
        <f>1280.3+(0-721.3)+(-1.305906+(0--0.735726))+0-0-0</f>
        <v>558.42981999999995</v>
      </c>
      <c r="Z45" s="3">
        <f>1287.8+(0-612.3)+(-2.627112+(0--1.249092))+0-0-0</f>
        <v>674.12198000000001</v>
      </c>
      <c r="AA45" s="3">
        <f>1294.3+(0-606.9)+(-1.320186+(0--0.619038))+0-0-0</f>
        <v>686.69885199999999</v>
      </c>
      <c r="AB45" s="3">
        <f>1287.8+(0-642)+(-1.970334+(0--0.98226))+0-0-0</f>
        <v>644.81192599999997</v>
      </c>
      <c r="AC45" s="3">
        <f>1287.6+(0-694.4)+(-1.313352+(0--0.708288))+0-0-0</f>
        <v>592.59493599999996</v>
      </c>
      <c r="AD45">
        <f t="shared" si="0"/>
        <v>12466.990243</v>
      </c>
      <c r="AE45" s="3">
        <f>1303+(0-629)+(0+(0-0))+0-0-0</f>
        <v>674</v>
      </c>
    </row>
    <row r="46" spans="1:31" s="2" customFormat="1" x14ac:dyDescent="0.25">
      <c r="A46">
        <v>89</v>
      </c>
      <c r="B46">
        <v>2</v>
      </c>
      <c r="C46">
        <v>15</v>
      </c>
      <c r="D46">
        <v>5</v>
      </c>
      <c r="E46">
        <v>1</v>
      </c>
      <c r="F46" s="3">
        <f>1275.5+(0-759.8)+(-0.650505+(0--0.387498))+0-0-0</f>
        <v>515.43699300000003</v>
      </c>
      <c r="G46" s="3">
        <f>1248.3+(0-779.6)+(-1.909899+(0--1.192788))+0-0-0</f>
        <v>467.98288899999994</v>
      </c>
      <c r="H46" s="3">
        <f>1103.5+(0-654)+(-1.12557+(0--0.66708))+0-0-0</f>
        <v>449.04151000000002</v>
      </c>
      <c r="I46" s="3">
        <f>1059.4+(4.2-634.2)+(-2.161176+(-0.008568--1.293768))+0-0-0</f>
        <v>428.52402400000011</v>
      </c>
      <c r="J46" s="3">
        <f>1069.6+(4.8-650.4)+(0.545496+(0.002448-0.331704))+0-0-0</f>
        <v>424.21623999999991</v>
      </c>
      <c r="K46" s="3">
        <f>1071.2+(4.6-649.9)+(0.546312+(0.002346-0.331449))+0-0-0</f>
        <v>426.11720900000012</v>
      </c>
      <c r="L46" s="3">
        <f>1061.9+(4.5-650.6)+(-2.166276+(-0.00918--1.327224))+0-0-0</f>
        <v>414.95176800000007</v>
      </c>
      <c r="M46" s="3">
        <f>1071.4+(4.8-624.2)+(0+(0-0))+0-0-0</f>
        <v>452</v>
      </c>
      <c r="N46" s="3">
        <f>1067.1+(0-561.6)+(-0.544221+(0--0.286416))+0-0-0</f>
        <v>505.24219499999987</v>
      </c>
      <c r="O46" s="3">
        <f>1124.7+(2.9-589.4)+(0+(0-0))+0-0-0</f>
        <v>538.20000000000005</v>
      </c>
      <c r="P46" s="3">
        <f>1259.6+(2.9-692.2)+(-1.284792+(-0.002958--0.706044))+0-0-0</f>
        <v>569.71829399999979</v>
      </c>
      <c r="Q46" s="3">
        <f>1263.5+(4.7-708)+(-1.28877+(-0.004794--0.72216))+0-0-0</f>
        <v>559.62859600000002</v>
      </c>
      <c r="R46" s="3">
        <f>1264.8+(11.8-730.9)+(-1.290096+(-0.012036--0.745518))+0-0-0</f>
        <v>545.14338599999996</v>
      </c>
      <c r="S46" s="3">
        <f>1271.5+(9.9-761.2)+(0.648465+(0.005049-0.388212))+0-0-0</f>
        <v>520.46530199999995</v>
      </c>
      <c r="T46" s="3">
        <f>1280.8+(6.9-782.5)+(1.959624+(0.010557-1.197225))+0-0-0</f>
        <v>505.97295599999995</v>
      </c>
      <c r="U46" s="3">
        <f>1261.8+(4.6-760.3)+(-1.287036+(-0.004692--0.775506))+0-0-0</f>
        <v>505.583778</v>
      </c>
      <c r="V46" s="3">
        <f>1258.5+(0-746.7)+(-1.925505+(0--1.142451))+0-0-0</f>
        <v>511.01694599999996</v>
      </c>
      <c r="W46" s="3">
        <f>1262.8+(0-730.8)+(-1.932084+(0--1.118124))+0-0-0</f>
        <v>531.18604000000005</v>
      </c>
      <c r="X46" s="3">
        <f>1262.5+(0-724.5)+(-3.219375+(0--1.847475))+0-0-0</f>
        <v>536.62810000000002</v>
      </c>
      <c r="Y46" s="3">
        <f>1273.7+(11.4-708.4)+(-1.299174+(-0.011628--0.722568))+0-0-0</f>
        <v>576.11176599999999</v>
      </c>
      <c r="Z46" s="3">
        <f>1276.8+(38.9-622.7)+(-0.651168+(-0.019839--0.317577))+0-0-0</f>
        <v>692.64656999999988</v>
      </c>
      <c r="AA46" s="3">
        <f>1268.1+(88.1-675.8)+(-3.233655+(-0.224655--1.72329))+0-0-0</f>
        <v>678.66498000000001</v>
      </c>
      <c r="AB46" s="3">
        <f>1275.9+(75.5-702.9)+(-1.301418+(-0.07701--0.716958))+0-0-0</f>
        <v>647.83853000000011</v>
      </c>
      <c r="AC46" s="3">
        <f>1272.7+(27.8-717)+(-1.947231+(-0.042534--1.09701))+0-0-0</f>
        <v>582.60724500000003</v>
      </c>
      <c r="AD46">
        <f t="shared" si="0"/>
        <v>12584.925316999999</v>
      </c>
      <c r="AE46" s="3">
        <f>1269+(60.2-657.7)+(0+(0-0))+0-0-0</f>
        <v>671.5</v>
      </c>
    </row>
    <row r="47" spans="1:31" s="2" customFormat="1" x14ac:dyDescent="0.25">
      <c r="A47">
        <v>89</v>
      </c>
      <c r="B47">
        <v>2</v>
      </c>
      <c r="C47">
        <v>16</v>
      </c>
      <c r="D47">
        <v>6</v>
      </c>
      <c r="E47">
        <v>1</v>
      </c>
      <c r="F47" s="3">
        <f>1230.3+(22.9-740.7)+(0+(0-0))+0-0-0</f>
        <v>512.49999999999989</v>
      </c>
      <c r="G47" s="3">
        <f>1128.6+(42.8-693.9)+(0+(0-0))+0-0-0</f>
        <v>477.49999999999989</v>
      </c>
      <c r="H47" s="3">
        <f>991.6+(53.1-588.1)+(0+(0-0))+0-0-0</f>
        <v>456.6</v>
      </c>
      <c r="I47" s="3">
        <f>987.7+(46-590.2)+(0+(0-0))+0-0-0</f>
        <v>443.5</v>
      </c>
      <c r="J47" s="3">
        <f>994.9+(44.5-608.4)+(0+(0-0))+0-0-0</f>
        <v>431</v>
      </c>
      <c r="K47" s="3">
        <f>986.7+(44-597.2)+(0+(0-0))+0-0-0</f>
        <v>433.5</v>
      </c>
      <c r="L47" s="3">
        <f>992.9+(31.1-609.2)+(0+(0-0))+0-0-0</f>
        <v>414.79999999999995</v>
      </c>
      <c r="M47" s="3">
        <f>1225.8+(10.9-777.5)+(0+(0-0))+0-0-0</f>
        <v>459.19999999999993</v>
      </c>
      <c r="N47" s="3">
        <f>1288.5+(2.7-783.5)+(0+(0-0))+0-0-0</f>
        <v>507.70000000000005</v>
      </c>
      <c r="O47" s="3">
        <f>1284.3+(8.7-744.1)+(0+(0-0))+0-0-0</f>
        <v>548.9</v>
      </c>
      <c r="P47" s="3">
        <f>1276.2+(15.1-726.7)+(0+(0-0))+0-0-0</f>
        <v>564.6</v>
      </c>
      <c r="Q47" s="3">
        <f>1284.3+(14.9-719.1)+(0+(0-0))+0-0-0</f>
        <v>580.09999999999991</v>
      </c>
      <c r="R47" s="3">
        <f>1233.4+(12.6-681)+(0.629034+(0.006426-0.34731))+0-0-0</f>
        <v>565.28815000000009</v>
      </c>
      <c r="S47" s="3">
        <f>1089.4+(42.6-602)+(0+(0-0))+0-0-0</f>
        <v>530.00000000000011</v>
      </c>
      <c r="T47" s="3">
        <f>1095+(28-624.3)+(-1.1169+(-0.02856--0.636786))+0-0-0</f>
        <v>498.19132600000006</v>
      </c>
      <c r="U47" s="3">
        <f>1188.3+(9.7-706.5)+(-1.818099+(-0.014841--1.080945))+0-0-0</f>
        <v>490.74800499999998</v>
      </c>
      <c r="V47" s="3">
        <f>1257.5+(6.7-776.3)+(-3.206625+(-0.017085--1.979565))+0-0-0</f>
        <v>486.65585500000009</v>
      </c>
      <c r="W47" s="3">
        <f>1255.7+(0-762.5)+(-1.921221+(0--1.166625))+0-0-0</f>
        <v>492.44540400000005</v>
      </c>
      <c r="X47" s="3">
        <f>1248.7+(0-755.2)+(-1.273674+(0--0.770304))+0-0-0</f>
        <v>492.99662999999998</v>
      </c>
      <c r="Y47" s="3">
        <f>1184.6+(27.5-691.7)+(-1.208292+(-0.02805--0.705534))+0-0-0</f>
        <v>519.86919199999988</v>
      </c>
      <c r="Z47" s="3">
        <f>1278.4+(68.4-693)+(-1.955952+(-0.104652--1.06029))+0-0-0</f>
        <v>652.79968600000007</v>
      </c>
      <c r="AA47" s="3">
        <f>1173.1+(141.8-640.3)+(-2.393124+(-0.289272--1.306212))+0-0-0</f>
        <v>673.22381599999994</v>
      </c>
      <c r="AB47" s="3">
        <f>1098+(133.2-589.9)+(0.55998+(0.067932-0.300849))+0-0-0</f>
        <v>641.62706299999991</v>
      </c>
      <c r="AC47" s="3">
        <f>1089.8+(97.7-594.8)+(-1.111596+(-0.099654--0.606696))+0-0-0</f>
        <v>592.09544600000004</v>
      </c>
      <c r="AD47">
        <f t="shared" si="0"/>
        <v>12465.840572999999</v>
      </c>
      <c r="AE47" s="3">
        <f>1272+(99.7-724.9)+(0+(0-0))+0-0-0</f>
        <v>646.80000000000007</v>
      </c>
    </row>
    <row r="48" spans="1:31" s="2" customFormat="1" x14ac:dyDescent="0.25">
      <c r="A48">
        <v>89</v>
      </c>
      <c r="B48">
        <v>2</v>
      </c>
      <c r="C48">
        <v>17</v>
      </c>
      <c r="D48">
        <v>7</v>
      </c>
      <c r="E48">
        <v>1</v>
      </c>
      <c r="F48" s="3">
        <f>1087.9+(55.9-624.1)+(-1.109658+(-0.057018--0.636582))+0-0-0</f>
        <v>519.16990600000008</v>
      </c>
      <c r="G48" s="3">
        <f>1086.7+(70.9-680.3)+(-1.662651+(-0.108477--1.040859))+0-0-0</f>
        <v>476.56973100000005</v>
      </c>
      <c r="H48" s="3">
        <f>1085.2+(58.7-691.9)+(-2.213808+(-0.119748--1.411476))+0-0-0</f>
        <v>451.07792000000012</v>
      </c>
      <c r="I48" s="3">
        <f>1089.9+(37.3-698.4)+(-0.555849+(-0.019023--0.356184))+0-0-0</f>
        <v>428.58131200000008</v>
      </c>
      <c r="J48" s="3">
        <f>1086.2+(31.1-690.2)+(-1.661886+(-0.047583--1.056006))+0-0-0</f>
        <v>426.44653700000003</v>
      </c>
      <c r="K48" s="3">
        <f>1082+(52.9-704.2)+(0+(0-0))+0-0-0</f>
        <v>430.69999999999993</v>
      </c>
      <c r="L48" s="3">
        <f>844.5+(95.9-544.3)+(-1.72278+(-0.195636--1.110372))+0-0-0</f>
        <v>395.29195600000003</v>
      </c>
      <c r="M48" s="3">
        <f>843.3+(80.9-532.4)+(-0.860166+(-0.082518--0.543048))+0-0-0</f>
        <v>391.40036399999997</v>
      </c>
      <c r="N48" s="3">
        <f>1007.9+(53.4-647.9)+(-1.542087+(-0.081702--0.991287))+0-0-0</f>
        <v>412.76749799999999</v>
      </c>
      <c r="O48" s="3">
        <f>1032.6+(66.7-634.3)+(0+(0-0))+0-0-0</f>
        <v>465</v>
      </c>
      <c r="P48" s="3">
        <f>757.3+(177-456.9)+(-0.386223+(-0.09027--0.233019))+0-0-0</f>
        <v>477.15652599999999</v>
      </c>
      <c r="Q48" s="3">
        <f>920.5+(116.4-544.7)+(0+(0-0))+0-0-0</f>
        <v>492.19999999999993</v>
      </c>
      <c r="R48" s="3">
        <f>1074.4+(47.7-631.3)+(0+(0-0))+0-0-0</f>
        <v>490.80000000000018</v>
      </c>
      <c r="S48" s="3">
        <f>1079.7+(27.2-643.2)+(0+(0-0))+0-0-0</f>
        <v>463.70000000000005</v>
      </c>
      <c r="T48" s="3">
        <f>1067.4+(17.4-644.8)+(0+(0-0))+0-0-0</f>
        <v>440.00000000000011</v>
      </c>
      <c r="U48" s="3">
        <f>1068.6+(25.2-670.8)+(0+(0-0))+0-0-0</f>
        <v>423</v>
      </c>
      <c r="V48" s="3">
        <f>994.5+(59.5-629.6)+(-2.535975+(-0.151725--1.60548))+0-0-0</f>
        <v>423.31777999999997</v>
      </c>
      <c r="W48" s="3">
        <f>952.5+(81.8-610.9)+(-1.457325+(-0.125154--0.934677))+0-0-0</f>
        <v>422.75219799999996</v>
      </c>
      <c r="X48" s="3">
        <f>954.7+(89.9-621.9)+(-0.973794+(-0.091698--0.634338))+0-0-0</f>
        <v>422.26884600000005</v>
      </c>
      <c r="Y48" s="3">
        <f>1018.5+(60.1-614.2)+(-1.03887+(-0.061302--0.626484))+0-0-0</f>
        <v>463.926312</v>
      </c>
      <c r="Z48" s="3">
        <f>1202.3+(72.6-658.9)+(-3.065865+(-0.18513--1.680195))+0-0-0</f>
        <v>614.42920000000004</v>
      </c>
      <c r="AA48" s="3">
        <f>1232.3+(122.2-702.1)+(-1.256946+(-0.124644--0.716142))+0-0-0</f>
        <v>651.73455200000001</v>
      </c>
      <c r="AB48" s="3">
        <f>1213.3+(106.4-688.9)+(-1.856349+(-0.162792--1.054017))+0-0-0</f>
        <v>629.83487600000001</v>
      </c>
      <c r="AC48" s="3">
        <f>1169.4+(88.7-672.8)+(-0.596394+(-0.045237--0.343128))+0-0-0</f>
        <v>585.0014970000002</v>
      </c>
      <c r="AD48">
        <f t="shared" si="0"/>
        <v>11397.127011</v>
      </c>
      <c r="AE48" s="3">
        <f>1220+(118.3-730.3)+(0+(0-0))+0-0-0</f>
        <v>608</v>
      </c>
    </row>
    <row r="49" spans="1:31" s="2" customFormat="1" x14ac:dyDescent="0.25">
      <c r="A49">
        <v>89</v>
      </c>
      <c r="B49">
        <v>2</v>
      </c>
      <c r="C49">
        <v>18</v>
      </c>
      <c r="D49">
        <v>1</v>
      </c>
      <c r="E49">
        <v>1</v>
      </c>
      <c r="F49" s="3">
        <f>1219.5+(22.5-736.7)+(-1.865835+(-0.034425--1.127151))+0-0-0</f>
        <v>504.52689099999998</v>
      </c>
      <c r="G49" s="3">
        <f>1206.1+(0-749.3)+(-0.615111+(0--0.382143))+0-0-0</f>
        <v>456.56703199999993</v>
      </c>
      <c r="H49" s="3">
        <f>1107.2+(6.7-686.3)+(-1.129344+(-0.006834--0.700026))+0-0-0</f>
        <v>427.16384800000014</v>
      </c>
      <c r="I49" s="3">
        <f>981.5+(44.5-609.9)+(-0.500565+(-0.022695--0.311049))+0-0-0</f>
        <v>415.887789</v>
      </c>
      <c r="J49" s="3">
        <f>986.9+(50-627.6)+(0.503319+(0.0255-0.320076))+0-0-0</f>
        <v>409.50874299999998</v>
      </c>
      <c r="K49" s="3">
        <f>980.6+(65.3-630.1)+(-1.000212+(-0.066606--0.642702))+0-0-0</f>
        <v>415.37588399999993</v>
      </c>
      <c r="L49" s="3">
        <f>983.5+(52-629.6)+(-0.501585+(-0.02652--0.321096))+0-0-0</f>
        <v>405.69299099999995</v>
      </c>
      <c r="M49" s="3">
        <f>1058.8+(24.3-645.4)+(0+(0-0))+0-0-0</f>
        <v>437.69999999999993</v>
      </c>
      <c r="N49" s="3">
        <f>1268.3+(1.1-765.5)+(-1.940499+(-0.001683--1.171215))+0-0-0</f>
        <v>503.12903299999999</v>
      </c>
      <c r="O49" s="3">
        <f>1274.6+(21.9-766)+(0+(0-0))+0-0-0</f>
        <v>530.49999999999989</v>
      </c>
      <c r="P49" s="3">
        <f>1261.4+(41.1-743.3)+(-1.286628+(-0.041922--0.758166))+0-0-0</f>
        <v>558.62961600000017</v>
      </c>
      <c r="Q49" s="3">
        <f>1253.9+(70.3-747.4)+(-1.278978+(-0.071706--0.762348))+0-0-0</f>
        <v>576.21166400000004</v>
      </c>
      <c r="R49" s="3">
        <f>1255.2+(60.9-730.9)+(-0.640152+(-0.031059--0.372759))+0-0-0</f>
        <v>584.90154800000005</v>
      </c>
      <c r="S49" s="3">
        <f>1244.3+(47.9-722.8)+(-1.903779+(-0.073287--1.105884))+0-0-0</f>
        <v>568.528818</v>
      </c>
      <c r="T49" s="3">
        <f>1243+(35.4-731.8)+(-1.90179+(-0.054162--1.119654))+0-0-0</f>
        <v>545.76370199999997</v>
      </c>
      <c r="U49" s="3">
        <f>1233+(27.5-719.3)+(-2.51532+(-0.0561--1.467372))+0-0-0</f>
        <v>540.09595200000001</v>
      </c>
      <c r="V49" s="3">
        <f>1234.4+(23.6-731)+(-1.259088+(-0.024072--0.74562))+0-0-0</f>
        <v>526.46246000000008</v>
      </c>
      <c r="W49" s="3">
        <f>1218.5+(28.6-726.2)+(-3.72861+(-0.087516--2.222172))+0-0-0</f>
        <v>519.30604599999992</v>
      </c>
      <c r="X49" s="3">
        <f>1211+(10.4-693.8)+(-4.32327+(-0.037128--2.476866))+0-0-0</f>
        <v>525.71646800000008</v>
      </c>
      <c r="Y49" s="3">
        <f>1225.2+(21.7-693.3)+(-2.499408+(-0.044268--1.414332))+0-0-0</f>
        <v>552.47065600000019</v>
      </c>
      <c r="Z49" s="3">
        <f>1261.1+(65.3-643.7)+(-1.286322+(-0.066606--0.656574))+0-0-0</f>
        <v>682.00364599999978</v>
      </c>
      <c r="AA49" s="3">
        <f>1271+(97.6-657.6)+(-1.94463+(-0.149328--1.006128))+0-0-0</f>
        <v>709.91216999999995</v>
      </c>
      <c r="AB49" s="3">
        <f>1264.3+(84.7-669.9)+(-2.579172+(-0.172788--1.366596))+0-0-0</f>
        <v>677.71463600000004</v>
      </c>
      <c r="AC49" s="3">
        <f>1265.2+(79-722.9)+(-1.290504+(-0.08058--0.737358))+0-0-0</f>
        <v>620.66627400000004</v>
      </c>
      <c r="AD49">
        <f t="shared" si="0"/>
        <v>12694.435866999998</v>
      </c>
      <c r="AE49" s="3">
        <f>1266.1+(98.3-692.8)+(0+(0-0))+0-0-0</f>
        <v>671.59999999999991</v>
      </c>
    </row>
    <row r="50" spans="1:31" s="2" customFormat="1" x14ac:dyDescent="0.25">
      <c r="A50">
        <v>89</v>
      </c>
      <c r="B50">
        <v>2</v>
      </c>
      <c r="C50">
        <v>19</v>
      </c>
      <c r="D50">
        <v>2</v>
      </c>
      <c r="E50">
        <v>1</v>
      </c>
      <c r="F50" s="3">
        <f>1273.7+(22.8-749.7)+(-1.299174+(-0.023256--0.764694))+0-0-0</f>
        <v>546.24226399999998</v>
      </c>
      <c r="G50" s="3">
        <f>1245.7+(0-783.1)+(-0.635307+(0--0.399381))+0-0-0</f>
        <v>462.36407400000002</v>
      </c>
      <c r="H50" s="3">
        <f>1178.8+(1.8-713)+(0+(0-0))+0-0-0</f>
        <v>467.59999999999991</v>
      </c>
      <c r="I50" s="3">
        <f>1179.2+(2-730.3)+(-0.601392+(-0.00102--0.372453))+0-0-0</f>
        <v>450.67004100000008</v>
      </c>
      <c r="J50" s="3">
        <f>1162.2+(0-716.8)+(-1.185444+(0--0.731136))+0-0-0</f>
        <v>444.94569200000007</v>
      </c>
      <c r="K50" s="3">
        <f>1156.4+(10.6-706.2)+(-2.94882+(-0.02703--1.80081))+0-0-0</f>
        <v>459.62496000000004</v>
      </c>
      <c r="L50" s="3">
        <f>1168.2+(0-731.2)+(-2.97891+(0--1.86456))+0-0-0</f>
        <v>435.88565</v>
      </c>
      <c r="M50" s="3">
        <f>1174.8+(13.4-714.3)+(-1.198296+(-0.013668--0.728586))+0-0-0</f>
        <v>473.41662199999996</v>
      </c>
      <c r="N50" s="3">
        <f>1219.5+(8.8-732.8)+(-1.865835+(-0.013464--1.121184))+0-0-0</f>
        <v>494.74188500000002</v>
      </c>
      <c r="O50" s="3">
        <f>1273.4+(2.9-733.9)+(-0.649434+(-0.001479--0.374289))+0-0-0</f>
        <v>542.12337600000012</v>
      </c>
      <c r="P50" s="3">
        <f>1271.6+(3.9-714.1)+(0+(0-0))+0-0-0</f>
        <v>561.39999999999986</v>
      </c>
      <c r="Q50" s="3">
        <f>1269.5+(16.3-711.4)+(-0.647445+(-0.008313--0.362814))+0-0-0</f>
        <v>574.10705599999994</v>
      </c>
      <c r="R50" s="3">
        <f>1265.5+(23.6-701.4)+(-1.29081+(-0.024072--0.715428))+0-0-0</f>
        <v>587.10054600000001</v>
      </c>
      <c r="S50" s="3">
        <f>1240.5+(27-701)+(-1.897965+(-0.04131--1.07253))+0-0-0</f>
        <v>565.63325499999996</v>
      </c>
      <c r="T50" s="3">
        <f>1245.6+(26-687.6)+(-1.270512+(-0.02652--0.701352))+0-0-0</f>
        <v>583.40431999999987</v>
      </c>
      <c r="U50" s="3">
        <f>1228.5+(21.1-707.6)+(-3.132675+(-0.053805--1.80438))+0-0-0</f>
        <v>540.61789999999996</v>
      </c>
      <c r="V50" s="3">
        <f>1212.7+(21.3-727.3)+(-1.236954+(-0.021726--0.741846))+0-0-0</f>
        <v>506.18316600000003</v>
      </c>
      <c r="W50" s="3">
        <f>1219.7+(20.6-726.8)+(-3.732282+(-0.063036--2.224008))+0-0-0</f>
        <v>511.92869000000013</v>
      </c>
      <c r="X50" s="3">
        <f>1253.3+(8.7-732.6)+(-2.556732+(-0.017748--1.494504))+0-0-0</f>
        <v>528.32002399999999</v>
      </c>
      <c r="Y50" s="3">
        <f>1246.9+(6.9-717.2)+(0+(0-0))+0-0-0</f>
        <v>536.6</v>
      </c>
      <c r="Z50" s="3">
        <f>1254.5+(78.4-668.8)+(-2.55918+(-0.159936--1.364352))+0-0-0</f>
        <v>662.74523599999998</v>
      </c>
      <c r="AA50" s="3">
        <f>1259.3+(128.9-679.3)+(-3.211215+(-0.328695--1.732215))+0-0-0</f>
        <v>707.09230500000001</v>
      </c>
      <c r="AB50" s="3">
        <f>1265.7+(110.2-693.3)+(-1.936521+(-0.168606--1.060749))+0-0-0</f>
        <v>681.55562200000008</v>
      </c>
      <c r="AC50" s="3">
        <f>1229.5+(75.5-698.3)+(-3.135225+(-0.192525--1.780665))+0-0-0</f>
        <v>605.15291500000001</v>
      </c>
      <c r="AD50">
        <f t="shared" si="0"/>
        <v>12929.455599000003</v>
      </c>
      <c r="AE50" s="3">
        <f>1259.5+(126.8-705.4)+(0+(0-0))+0-0-0</f>
        <v>680.9</v>
      </c>
    </row>
    <row r="51" spans="1:31" s="2" customFormat="1" x14ac:dyDescent="0.25">
      <c r="A51">
        <v>89</v>
      </c>
      <c r="B51">
        <v>2</v>
      </c>
      <c r="C51">
        <v>20</v>
      </c>
      <c r="D51">
        <v>3</v>
      </c>
      <c r="E51">
        <v>1</v>
      </c>
      <c r="F51" s="3">
        <f>1083.4+(43.9-605.5)+(-4.972806+(-0.201501--2.779245))+0-0-0</f>
        <v>519.40493800000002</v>
      </c>
      <c r="G51" s="3">
        <f>986.6+(37.6-557.5)+(-4.528494+(-0.172584--2.558925))+0-0-0</f>
        <v>464.55784700000004</v>
      </c>
      <c r="H51" s="3">
        <f>944.2+(48.8-551.7)+(0.481542+(0.024888-0.281367))+0-0-0</f>
        <v>441.52506299999999</v>
      </c>
      <c r="I51" s="3">
        <f>930.9+(50.6-546.3)+(-3.323313+(-0.180642--1.950291))+0-0-0</f>
        <v>433.64633600000002</v>
      </c>
      <c r="J51" s="3">
        <f>908.1+(51.9-530.4)+(-0.463131+(-0.026469--0.270504))+0-0-0</f>
        <v>429.38090400000004</v>
      </c>
      <c r="K51" s="3">
        <f>833.5+(81.1-483.7)+(-2.125425+(-0.206805--1.233435))+0-0-0</f>
        <v>429.80120499999998</v>
      </c>
      <c r="L51" s="3">
        <f>834.8+(53.8-481.3)+(-1.277244+(-0.082314--0.736389))+0-0-0</f>
        <v>406.67683099999994</v>
      </c>
      <c r="M51" s="3">
        <f>848.3+(61.4-469.1)+(0.865266+(0.062628-0.478482))+0-0-0</f>
        <v>441.0494119999999</v>
      </c>
      <c r="N51" s="3">
        <f>860.4+(72.2-444.9)+(0.877608+(0.073644-0.453798))+0-0-0</f>
        <v>488.19745399999999</v>
      </c>
      <c r="O51" s="3">
        <f>1050.7+(38.7-553.6)+(-1.607571+(-0.059211--0.847008))+0-0-0</f>
        <v>534.98022600000002</v>
      </c>
      <c r="P51" s="3">
        <f>1062+(50.7-553.5)+(-1.08324+(-0.051714--0.56457))+0-0-0</f>
        <v>558.62961600000006</v>
      </c>
      <c r="Q51" s="3">
        <f>1061.8+(61.2-540)+(-0.541518+(-0.031212--0.2754))+0-0-0</f>
        <v>582.70267000000001</v>
      </c>
      <c r="R51" s="3">
        <f>1054.9+(78.4-552.1)+(-1.613997+(-0.119952--0.844713))+0-0-0</f>
        <v>580.31076400000006</v>
      </c>
      <c r="S51" s="3">
        <f>1054.9+(137.4-625.1)+(-1.075998+(-0.140148--0.637602))+0-0-0</f>
        <v>566.62145600000008</v>
      </c>
      <c r="T51" s="3">
        <f>1053.3+(144.1-663.3)+(-1.074366+(-0.146982--0.676566))+0-0-0</f>
        <v>533.55521799999997</v>
      </c>
      <c r="U51" s="3">
        <f>1054.5+(105.9-649.2)+(0+(0-0))+0-0-0</f>
        <v>511.19999999999993</v>
      </c>
      <c r="V51" s="3">
        <f>1047.9+(104.5-622.4)+(-2.672145+(-0.266475--1.58712))+0-0-0</f>
        <v>528.64850000000013</v>
      </c>
      <c r="W51" s="3">
        <f>1048.7+(128.9-616.5)+(-2.674185+(-0.328695--1.572075))+0-0-0</f>
        <v>559.66919500000006</v>
      </c>
      <c r="X51" s="3">
        <f>1042.5+(128.9-626.2)+(-3.19005+(-0.394434--1.916172))+0-0-0</f>
        <v>543.53168799999992</v>
      </c>
      <c r="Y51" s="3">
        <f>1051.4+(122.6-607.4)+(-0.536214+(-0.062526--0.309774))+0-0-0</f>
        <v>566.31103400000018</v>
      </c>
      <c r="Z51" s="3">
        <f>1059.7+(129.3-523.9)+(-2.161788+(-0.263772--1.068756))+0-0-0</f>
        <v>663.74319600000013</v>
      </c>
      <c r="AA51" s="3">
        <f>1060.2+(145.1-513.7)+(-3.244212+(-0.444006--1.571922))+0-0-0</f>
        <v>689.48370399999999</v>
      </c>
      <c r="AB51" s="3">
        <f>1062.1+(107.5-512.8)+(-2.166684+(-0.2193--1.046112))+0-0-0</f>
        <v>655.46012799999994</v>
      </c>
      <c r="AC51" s="3">
        <f>1064.3+(64.9-534)+(-1.628379+(-0.099297--0.81702))+0-0-0</f>
        <v>594.28934399999991</v>
      </c>
      <c r="AD51">
        <f t="shared" si="0"/>
        <v>12723.376729</v>
      </c>
      <c r="AE51" s="3">
        <f>1066+(151.8-557)+(0+(0-0))+0-0-0</f>
        <v>660.8</v>
      </c>
    </row>
    <row r="52" spans="1:31" s="2" customFormat="1" x14ac:dyDescent="0.25">
      <c r="A52">
        <v>89</v>
      </c>
      <c r="B52">
        <v>2</v>
      </c>
      <c r="C52">
        <v>21</v>
      </c>
      <c r="D52">
        <v>4</v>
      </c>
      <c r="E52">
        <v>1</v>
      </c>
      <c r="F52" s="3">
        <f>1061.4+(22.2-559)+(-0.541314+(-0.011322--0.28509))+0-0-0</f>
        <v>524.3324540000001</v>
      </c>
      <c r="G52" s="3">
        <f>1051.8+(0-578.3)+(-1.072836+(0--0.589866))+0-0-0</f>
        <v>473.01702999999998</v>
      </c>
      <c r="H52" s="3">
        <f>987.6+(3-539.6)+(-2.51838+(-0.00765--1.37598))+0-0-0</f>
        <v>449.84994999999998</v>
      </c>
      <c r="I52" s="3">
        <f>990.4+(6-556.4)+(-1.010208+(-0.00612--0.567528))+0-0-0</f>
        <v>439.55119999999999</v>
      </c>
      <c r="J52" s="3">
        <f>995.1+(6-568.6)+(0+(0-0))+0-0-0</f>
        <v>432.5</v>
      </c>
      <c r="K52" s="3">
        <f>987+(6-559.2)+(-2.01348+(-0.01224--1.140768))+0-0-0</f>
        <v>432.91504799999996</v>
      </c>
      <c r="L52" s="3">
        <f>967.5+(6-550.2)+(-1.480275+(-0.00918--0.841806))+0-0-0</f>
        <v>422.65235099999995</v>
      </c>
      <c r="M52" s="3">
        <f>942.9+(14.1-494.1)+(0+(0-0))+0-0-0</f>
        <v>462.9</v>
      </c>
      <c r="N52" s="3">
        <f>1035.4+(13.8-536.8)+(1.056108+(0.014076-0.547536))+0-0-0</f>
        <v>512.92264800000009</v>
      </c>
      <c r="O52" s="3">
        <f>1060+(31.1-550.6)+(-0.5406+(-0.015861--0.280806))+0-0-0</f>
        <v>540.22434499999997</v>
      </c>
      <c r="P52" s="3">
        <f>1064.1+(53.5-552.4)+(1.085382+(0.05457-0.563448))+0-0-0</f>
        <v>565.77650399999993</v>
      </c>
      <c r="Q52" s="3">
        <f>1046.4+(67.3-525.1)+(1.067328+(0.068646-0.535602))+0-0-0</f>
        <v>589.20037200000013</v>
      </c>
      <c r="R52" s="3">
        <f>1023.9+(146.1-584.3)+(-1.566567+(-0.223533--0.893979))+0-0-0</f>
        <v>584.80387900000005</v>
      </c>
      <c r="S52" s="3">
        <f>1027+(120.2-574.5)+(-0.52377+(-0.061302--0.292995))+0-0-0</f>
        <v>572.4079230000001</v>
      </c>
      <c r="T52" s="3">
        <f>1017.2+(151.6-614)+(-1.556316+(-0.231948--0.93942))+0-0-0</f>
        <v>553.95115600000008</v>
      </c>
      <c r="U52" s="3">
        <f>1015.2+(157.6-636.3)+(-2.071008+(-0.321504--1.298052))+0-0-0</f>
        <v>535.40554000000009</v>
      </c>
      <c r="V52" s="3">
        <f>1017.2+(156.2-653.2)+(-2.075088+(-0.318648--1.332528))+0-0-0</f>
        <v>519.13879200000008</v>
      </c>
      <c r="W52" s="3">
        <f>1011.6+(151.5-650.8)+(-3.095496+(-0.46359--1.991448))+0-0-0</f>
        <v>510.73236200000008</v>
      </c>
      <c r="X52" s="3">
        <f>1017.5+(154.2-652.7)+(-2.0757+(-0.314568--1.331508))+0-0-0</f>
        <v>517.94123999999999</v>
      </c>
      <c r="Y52" s="3">
        <f>1022.1+(125.7-606.7)+(-1.042542+(-0.128214--0.618834))+0-0-0</f>
        <v>540.54807799999992</v>
      </c>
      <c r="Z52" s="3">
        <f>1034+(158.6-532.5)+(-0.52734+(-0.080886--0.271575))+0-0-0</f>
        <v>659.76334900000006</v>
      </c>
      <c r="AA52" s="3">
        <f>1040.3+(173.9-520.7)+(-1.591659+(-0.266067--0.796671))+0-0-0</f>
        <v>692.43894499999988</v>
      </c>
      <c r="AB52" s="3">
        <f>1040.2+(139.5-509.1)+(-1.591506+(-0.213435--0.778923))+0-0-0</f>
        <v>669.573982</v>
      </c>
      <c r="AC52" s="3">
        <f>1027.6+(60.9-478.6)+(-2.096304+(-0.124236--0.976344))+0-0-0</f>
        <v>608.65580399999988</v>
      </c>
      <c r="AD52">
        <f t="shared" si="0"/>
        <v>12811.202952</v>
      </c>
      <c r="AE52" s="3">
        <f>1039+(180.9-555.2)+(0+(0-0))+0-0-0</f>
        <v>664.69999999999993</v>
      </c>
    </row>
    <row r="53" spans="1:31" s="2" customFormat="1" x14ac:dyDescent="0.25">
      <c r="A53">
        <v>89</v>
      </c>
      <c r="B53">
        <v>2</v>
      </c>
      <c r="C53">
        <v>22</v>
      </c>
      <c r="D53">
        <v>5</v>
      </c>
      <c r="E53">
        <v>1</v>
      </c>
      <c r="F53" s="3">
        <f>1039.4+(11.5-518.7)+(-0.530094+(-0.005865--0.264537))+0-0-0</f>
        <v>531.92857800000002</v>
      </c>
      <c r="G53" s="3">
        <f>1033.6+(8.1-555.9)+(-2.108544+(-0.016524--1.134036))+0-0-0</f>
        <v>484.80896799999994</v>
      </c>
      <c r="H53" s="3">
        <f>1036.5+(12.4-581.4)+(-2.643075+(-0.03162--1.48257))+0-0-0</f>
        <v>466.30787500000002</v>
      </c>
      <c r="I53" s="3">
        <f>1038.5+(13.9-594.4)+(-1.588905+(-0.021267--0.909432))+0-0-0</f>
        <v>457.29926</v>
      </c>
      <c r="J53" s="3">
        <f>1043.1+(14-603.8)+(-1.063962+(-0.01428--0.615876))+0-0-0</f>
        <v>452.83763399999998</v>
      </c>
      <c r="K53" s="3">
        <f>916.5+(17.5-485)+(-0.467415+(-0.008925--0.24735))+0-0-0</f>
        <v>448.77100999999999</v>
      </c>
      <c r="L53" s="3">
        <f>834.4+(17.3-423.2)+(-1.702176+(-0.035292--0.863328))+0-0-0</f>
        <v>427.62585999999999</v>
      </c>
      <c r="M53" s="3">
        <f>838.4+(41.4-426.2)+(-1.282752+(-0.063342--0.652086))+0-0-0</f>
        <v>452.90599199999997</v>
      </c>
      <c r="N53" s="3">
        <f>936.9+(14.8-491.3)+(0+(0-0))+0-0-0</f>
        <v>460.4</v>
      </c>
      <c r="O53" s="3">
        <f>1024.4+(51.5-530.6)+(-1.044888+(-0.05253--0.541212))+0-0-0</f>
        <v>544.74379400000009</v>
      </c>
      <c r="P53" s="3">
        <f>1063.5+(50.7-547.5)+(-1.08477+(-0.051714--0.55845))+0-0-0</f>
        <v>566.12196600000004</v>
      </c>
      <c r="Q53" s="3">
        <f>1053.9+(51.8-537.6)+(0+(0-0))+0-0-0</f>
        <v>568.10000000000014</v>
      </c>
      <c r="R53" s="3">
        <f>1066.1+(65-566.9)+(-1.087422+(-0.0663--0.578238))+0-0-0</f>
        <v>563.62451599999997</v>
      </c>
      <c r="S53" s="3">
        <f>1100.1+(90.7-618.8)+(-1.122102+(-0.092514--0.631176))+0-0-0</f>
        <v>571.41656</v>
      </c>
      <c r="T53" s="3">
        <f>1089+(111.9-660.6)+(-0.55539+(-0.057069--0.336906))+0-0-0</f>
        <v>540.02444700000001</v>
      </c>
      <c r="U53" s="3">
        <f>1049.1+(182.8-707)+(-1.605123+(-0.279684--1.08171))+0-0-0</f>
        <v>524.09690299999988</v>
      </c>
      <c r="V53" s="3">
        <f>1054.7+(187.3-712.6)+(-0.537897+(-0.095523--0.363426))+0-0-0</f>
        <v>529.13000600000009</v>
      </c>
      <c r="W53" s="3">
        <f>1043.3+(135.7-636.8)+(-3.192498+(-0.415242--1.948608))+0-0-0</f>
        <v>540.54086800000005</v>
      </c>
      <c r="X53" s="3">
        <f>1046.2+(82.9-543.7)+(-2.134248+(-0.169116--1.109148))+0-0-0</f>
        <v>584.20578399999999</v>
      </c>
      <c r="Y53" s="3">
        <f>1058.8+(83.6-483.1)+(-1.619964+(-0.127908--0.739143))+0-0-0</f>
        <v>658.29127099999994</v>
      </c>
      <c r="Z53" s="3">
        <f>1112.7+(128.4-531.9)+(-2.269908+(-0.261936--1.085076))+0-0-0</f>
        <v>707.75323200000003</v>
      </c>
      <c r="AA53" s="3">
        <f>1111.1+(131.4-569.7)+(-2.266644+(-0.268056--1.162188))+0-0-0</f>
        <v>671.42748799999981</v>
      </c>
      <c r="AB53" s="3">
        <f>1114.7+(95-564.2)+(-1.136994+(-0.0969--0.575484))+0-0-0</f>
        <v>644.84159</v>
      </c>
      <c r="AC53" s="3">
        <f>1064.8+(47.5-536.7)+(-2.71524+(-0.121125--1.368585))+0-0-0</f>
        <v>574.13221999999996</v>
      </c>
      <c r="AD53">
        <f t="shared" si="0"/>
        <v>12971.335821999999</v>
      </c>
      <c r="AE53" s="3">
        <f>1116+(151-608.8)+(0+(0-0))+0-0-0</f>
        <v>658.2</v>
      </c>
    </row>
    <row r="54" spans="1:31" s="2" customFormat="1" x14ac:dyDescent="0.25">
      <c r="A54">
        <v>89</v>
      </c>
      <c r="B54">
        <v>2</v>
      </c>
      <c r="C54">
        <v>23</v>
      </c>
      <c r="D54">
        <v>6</v>
      </c>
      <c r="E54">
        <v>1</v>
      </c>
      <c r="F54" s="3">
        <f>969+(23.5-503.1)+(-3.95352+(-0.09588--2.052648))+0-0-0</f>
        <v>487.40324799999996</v>
      </c>
      <c r="G54" s="3">
        <f>930.4+(9.7-475.1)+(-2.37252+(-0.024735--1.211505))+0-0-0</f>
        <v>463.81424999999996</v>
      </c>
      <c r="H54" s="3">
        <f>936.9+(14.2-497)+(-0.477819+(-0.007242--0.25347))+0-0-0</f>
        <v>453.86840899999999</v>
      </c>
      <c r="I54" s="3">
        <f>929.2+(21.4-510.9)+(-2.36946+(-0.05457--1.302795))+0-0-0</f>
        <v>438.57876500000003</v>
      </c>
      <c r="J54" s="3">
        <f>940.6+(28.3-534.4)+(0+(0-0))+0-0-0</f>
        <v>434.50000000000006</v>
      </c>
      <c r="K54" s="3">
        <f>929.9+(26.2-526.1)+(-2.371245+(-0.06681--1.341555))+0-0-0</f>
        <v>428.90349999999995</v>
      </c>
      <c r="L54" s="3">
        <f>873.4+(18.5-477.7)+(-0.890868+(-0.01887--0.487254))+0-0-0</f>
        <v>413.77751599999999</v>
      </c>
      <c r="M54" s="3">
        <f>880.3+(13.1-454.5)+(0+(0-0))+0-0-0</f>
        <v>438.9</v>
      </c>
      <c r="N54" s="3">
        <f>1065.7+(2.4-572.6)+(-0.543507+(-0.001224--0.292026))+0-0-0</f>
        <v>495.24729500000001</v>
      </c>
      <c r="O54" s="3">
        <f>1061.7+(31.9-558.5)+(0+(0-0))+0-0-0</f>
        <v>535.1</v>
      </c>
      <c r="P54" s="3">
        <f>1048.6+(42.8-534.5)+(-1.069572+(-0.043656--0.54519))+0-0-0</f>
        <v>556.33196199999986</v>
      </c>
      <c r="Q54" s="3">
        <f>1049.5+(119-580.2)+(0+(0-0))+0-0-0</f>
        <v>588.29999999999995</v>
      </c>
      <c r="R54" s="3">
        <f>1049.9+(234.9-715.6)+(-2.141796+(-0.479196--1.459824))+0-0-0</f>
        <v>568.03883200000007</v>
      </c>
      <c r="S54" s="3">
        <f>1093.7+(183-701)+(-0.557787+(-0.09333--0.35751))+0-0-0</f>
        <v>575.40639300000009</v>
      </c>
      <c r="T54" s="3">
        <f>1083.8+(84.6-614.7)+(-1.658214+(-0.129438--0.940491))+0-0-0</f>
        <v>552.8528389999999</v>
      </c>
      <c r="U54" s="3">
        <f>1096.1+(38.5-584.7)+(-1.118022+(-0.03927--0.596394))+0-0-0</f>
        <v>549.33910199999991</v>
      </c>
      <c r="V54" s="3">
        <f>1086.5+(26.3-566.1)+(-2.770575+(-0.067065--1.443555))+0-0-0</f>
        <v>545.30591499999991</v>
      </c>
      <c r="W54" s="3">
        <f>1090.9+(29.9-584.3)+(-1.669077+(-0.045747--0.893979))+0-0-0</f>
        <v>535.67915500000015</v>
      </c>
      <c r="X54" s="3">
        <f>1085.4+(27.9-553.5)+(-2.214216+(-0.056916--1.12914))+0-0-0</f>
        <v>558.65800800000011</v>
      </c>
      <c r="Y54" s="3">
        <f>1090.3+(29.2-549)+(-2.224212+(-0.059568--1.11996))+0-0-0</f>
        <v>569.33618000000001</v>
      </c>
      <c r="Z54" s="3">
        <f>1092.4+(109.1-506.2)+(-2.228496+(-0.222564--1.032648))+0-0-0</f>
        <v>693.88158800000008</v>
      </c>
      <c r="AA54" s="3">
        <f>1094.1+(162.7-563.7)+(-2.231964+(-0.331908--1.149948))+0-0-0</f>
        <v>691.68607599999996</v>
      </c>
      <c r="AB54" s="3">
        <f>1089.8+(151.7-581.5)+(-2.77899+(-0.386835--1.482825))+0-0-0</f>
        <v>658.31700000000001</v>
      </c>
      <c r="AC54" s="3">
        <f>1084.4+(85.8-562.5)+(-1.659132+(-0.131274--0.860625))+0-0-0</f>
        <v>606.770219</v>
      </c>
      <c r="AD54">
        <f t="shared" si="0"/>
        <v>12839.996252000003</v>
      </c>
      <c r="AE54" s="3">
        <f>1088+(153.1-557)+(0+(0-0))+0-0-0</f>
        <v>684.1</v>
      </c>
    </row>
    <row r="55" spans="1:31" s="2" customFormat="1" x14ac:dyDescent="0.25">
      <c r="A55">
        <v>89</v>
      </c>
      <c r="B55">
        <v>2</v>
      </c>
      <c r="C55">
        <v>24</v>
      </c>
      <c r="D55">
        <v>7</v>
      </c>
      <c r="E55">
        <v>1</v>
      </c>
      <c r="F55" s="3">
        <f>1019.2+(64.3-566.1)+(-0.519792+(-0.032793--0.288711))+0-0-0</f>
        <v>517.1361260000001</v>
      </c>
      <c r="G55" s="3">
        <f>840.8+(98.6-486.6)+(-1.286424+(-0.150858--0.744498))+0-0-0</f>
        <v>452.10721599999994</v>
      </c>
      <c r="H55" s="3">
        <f>841.4+(93.1-509.1)+(0+(0-0))+0-0-0</f>
        <v>425.4</v>
      </c>
      <c r="I55" s="3">
        <f>841+(87.5-497.8)+(-0.85782+(-0.08925--0.507756))+0-0-0</f>
        <v>430.26068599999996</v>
      </c>
      <c r="J55" s="3">
        <f>841.3+(85.7-498.9)+(-0.429063+(-0.043707--0.254439))+0-0-0</f>
        <v>427.88166899999999</v>
      </c>
      <c r="K55" s="3">
        <f>823.5+(89.8-490.7)+(-5.03982+(-0.549576--3.003084))+0-0-0</f>
        <v>420.013688</v>
      </c>
      <c r="L55" s="3">
        <f>830.8+(66.3-509.5)+(-3.389664+(-0.270504--2.07876))+0-0-0</f>
        <v>386.01859199999996</v>
      </c>
      <c r="M55" s="3">
        <f>875.4+(54.9-530.7)+(-0.446454+(-0.027999--0.270657))+0-0-0</f>
        <v>399.3962039999999</v>
      </c>
      <c r="N55" s="3">
        <f>956.6+(41.7-547.8)+(-0.975732+(-0.042534--0.558756))+0-0-0</f>
        <v>450.04049000000003</v>
      </c>
      <c r="O55" s="3">
        <f>1001.7+(32.2-567)+(-1.532601+(-0.049266--0.86751))+0-0-0</f>
        <v>466.18564300000008</v>
      </c>
      <c r="P55" s="3">
        <f>1046.9+(17.2-577.1)+(-0.533919+(-0.008772--0.294321))+0-0-0</f>
        <v>486.75163000000009</v>
      </c>
      <c r="Q55" s="3">
        <f>1037.7+(20-552.6)+(-2.116908+(-0.0408--1.127304))+0-0-0</f>
        <v>504.06959600000005</v>
      </c>
      <c r="R55" s="3">
        <f>1040.8+(29.2-560.7)+(-1.061616+(-0.029784--0.571914))+0-0-0</f>
        <v>508.78051399999998</v>
      </c>
      <c r="S55" s="3">
        <f>1033.7+(23.5-570.7)+(-2.108748+(-0.04794--1.164228))+0-0-0</f>
        <v>485.50754000000001</v>
      </c>
      <c r="T55" s="3">
        <f>1040.8+(16.6-596)+(0+(0-0))+0-0-0</f>
        <v>461.4</v>
      </c>
      <c r="U55" s="3">
        <f>1032+(17.1-614.8)+(-1.05264+(-0.017442--0.627096))+0-0-0</f>
        <v>433.85701400000005</v>
      </c>
      <c r="V55" s="3">
        <f>1023.7+(16.5-612.2)+(-2.610435+(-0.042075--1.56111))+0-0-0</f>
        <v>426.90859999999998</v>
      </c>
      <c r="W55" s="3">
        <f>942.5+(35.9-545.9)+(-2.88405+(-0.109854--1.670454))+0-0-0</f>
        <v>431.17655000000002</v>
      </c>
      <c r="X55" s="3">
        <f>936.3+(41.3-543.3)+(-0.955026+(-0.042126--0.554166))+0-0-0</f>
        <v>433.85701399999999</v>
      </c>
      <c r="Y55" s="3">
        <f>968.8+(49-541.2)+(-1.976352+(-0.09996--1.104048))+0-0-0</f>
        <v>475.62773599999991</v>
      </c>
      <c r="Z55" s="3">
        <f>1046.3+(103.2-547.7)+(-1.067226+(-0.105264--0.558654))+0-0-0</f>
        <v>601.18616399999996</v>
      </c>
      <c r="AA55" s="3">
        <f>1049.7+(164.8-543.4)+(-1.606041+(-0.252144--0.831402))+0-0-0</f>
        <v>670.07321700000011</v>
      </c>
      <c r="AB55" s="3">
        <f>1045.1+(135.8-522.7)+(-2.665005+(-0.34629--1.332885))+0-0-0</f>
        <v>656.52158999999983</v>
      </c>
      <c r="AC55" s="3">
        <f>1046.9+(92-551.1)+(-0.533919+(-0.04692--0.281061))+0-0-0</f>
        <v>587.50022200000012</v>
      </c>
      <c r="AD55">
        <f t="shared" si="0"/>
        <v>11537.657701000002</v>
      </c>
      <c r="AE55" s="3">
        <f>1038+(148.3-585.1)+(0+(0-0))+0-0-0</f>
        <v>601.20000000000005</v>
      </c>
    </row>
    <row r="56" spans="1:31" s="2" customFormat="1" x14ac:dyDescent="0.25">
      <c r="A56">
        <v>89</v>
      </c>
      <c r="B56">
        <v>2</v>
      </c>
      <c r="C56">
        <v>25</v>
      </c>
      <c r="D56">
        <v>1</v>
      </c>
      <c r="E56">
        <v>1</v>
      </c>
      <c r="F56" s="3">
        <f>1046.4+(67.2-599.8)+(-0.533664+(-0.034272--0.305898))+0-0-0</f>
        <v>513.53796200000022</v>
      </c>
      <c r="G56" s="3">
        <f>1015.4+(60.9-608.1)+(-0.517854+(-0.031059--0.310131))+0-0-0</f>
        <v>467.96121799999992</v>
      </c>
      <c r="H56" s="3">
        <f>998.7+(59.5-620.2)+(0.509337+(0.030345-0.316302))+0-0-0</f>
        <v>438.22338000000002</v>
      </c>
      <c r="I56" s="3">
        <f>858+(103-544.8)+(-1.75032+(-0.21012--1.111392))+0-0-0</f>
        <v>415.35095200000006</v>
      </c>
      <c r="J56" s="3">
        <f>854.1+(100.3-534)+(1.306773+(0.153459-0.81702))+0-0-0</f>
        <v>421.04321200000004</v>
      </c>
      <c r="K56" s="3">
        <f>844.1+(100.4-519.3)+(-0.860982+(-0.102408--0.529686))+0-0-0</f>
        <v>424.76629600000007</v>
      </c>
      <c r="L56" s="3">
        <f>849.6+(83.5-514)+(0.433296+(0.042585-0.26214))+0-0-0</f>
        <v>419.31374100000005</v>
      </c>
      <c r="M56" s="3">
        <f>848.4+(115.9-512.4)+(-0.865368+(-0.118218--0.522648))+0-0-0</f>
        <v>451.43906199999998</v>
      </c>
      <c r="N56" s="3">
        <f>946.8+(144.3-594)+(-0.482868+(-0.073593--0.30294))+0-0-0</f>
        <v>496.84647899999999</v>
      </c>
      <c r="O56" s="3">
        <f>1078.9+(92.8-622.9)+(-1.100478+(-0.094656--0.635358))+0-0-0</f>
        <v>548.24022400000001</v>
      </c>
      <c r="P56" s="3">
        <f>1073.9+(94.7-586.3)+(-1.095378+(-0.096594--0.598026))+0-0-0</f>
        <v>581.70605400000022</v>
      </c>
      <c r="Q56" s="3">
        <f>1052.2+(161.9-604.2)+(0+(0-0))+0-0-0</f>
        <v>609.9</v>
      </c>
      <c r="R56" s="3">
        <f>1085+(243.6-699.5)+(-1.66005+(-0.372708--1.070235))+0-0-0</f>
        <v>628.13747699999999</v>
      </c>
      <c r="S56" s="3">
        <f>1043+(223.2-684.6)+(-1.59579+(-0.341496--1.047438))+0-0-0</f>
        <v>580.71015199999988</v>
      </c>
      <c r="T56" s="3">
        <f>1029.5+(220.7-718)+(-2.10018+(-0.450228--1.46472))+0-0-0</f>
        <v>531.11431200000004</v>
      </c>
      <c r="U56" s="3">
        <f>1026.5+(222.4-713.2)+(0+(0-0))+0-0-0</f>
        <v>535.69999999999993</v>
      </c>
      <c r="V56" s="3">
        <f>1000.8+(230.8-691)+(-0.510408+(-0.117708--0.35241))+0-0-0</f>
        <v>540.3242939999999</v>
      </c>
      <c r="W56" s="3">
        <f>1063.7+(178.7-696.4)+(-3.254922+(-0.546822--2.130984))+0-0-0</f>
        <v>544.32924000000003</v>
      </c>
      <c r="X56" s="3">
        <f>1160.4+(62.6-688.9)+(-1.183608+(-0.063852--0.702678))+0-0-0</f>
        <v>533.55521800000008</v>
      </c>
      <c r="Y56" s="3">
        <f>1228+(53-727.6)+(-2.50512+(-0.10812--1.484304))+0-0-0</f>
        <v>552.27106400000002</v>
      </c>
      <c r="Z56" s="3">
        <f>1272.8+(158.8-750.5)+(-1.947384+(-0.242964--1.148265))+0-0-0</f>
        <v>680.05791699999986</v>
      </c>
      <c r="AA56" s="3">
        <f>1295.5+(175.9-750.5)+(-1.982115+(-0.269127--1.148265))+0-0-0</f>
        <v>719.79702299999997</v>
      </c>
      <c r="AB56" s="3">
        <f>1293+(147.8-747.9)+(-1.97829+(-0.226134--1.144287))+0-0-0</f>
        <v>691.83986300000004</v>
      </c>
      <c r="AC56" s="3">
        <f>1294+(97.9-771.4)+(-1.31988+(-0.099858--0.786828))+0-0-0</f>
        <v>619.86708999999996</v>
      </c>
      <c r="AD56">
        <f t="shared" si="0"/>
        <v>12946.032229999999</v>
      </c>
      <c r="AE56" s="3">
        <f>1294+(185.1-794.6)+(0+(0-0))+0-0-0</f>
        <v>684.5</v>
      </c>
    </row>
    <row r="57" spans="1:31" s="2" customFormat="1" x14ac:dyDescent="0.25">
      <c r="A57">
        <v>89</v>
      </c>
      <c r="B57">
        <v>2</v>
      </c>
      <c r="C57">
        <v>26</v>
      </c>
      <c r="D57">
        <v>2</v>
      </c>
      <c r="E57">
        <v>1</v>
      </c>
      <c r="F57" s="3">
        <f>1243.8+(66.4-772.7)+(-1.903014+(-0.101592--1.182231))+0-0-0</f>
        <v>536.67762499999992</v>
      </c>
      <c r="G57" s="3">
        <f>1237.7+(26.7-782.6)+(-1.893681+(-0.040851--1.197378))+0-0-0</f>
        <v>481.06284600000009</v>
      </c>
      <c r="H57" s="3">
        <f>1191.7+(35.5-775)+(-3.038835+(-0.090525--1.97625))+0-0-0</f>
        <v>451.04689000000002</v>
      </c>
      <c r="I57" s="3">
        <f>1133.3+(44.6-739.1)+(-1.733949+(-0.068238--1.130823))+0-0-0</f>
        <v>438.12863599999997</v>
      </c>
      <c r="J57" s="3">
        <f>1123.4+(40.1-711.3)+(-2.291736+(-0.081804--1.451052))+0-0-0</f>
        <v>451.27751200000017</v>
      </c>
      <c r="K57" s="3">
        <f>1126.1+(36.6-721)+(-1.722933+(-0.055998--1.10313))+0-0-0</f>
        <v>441.02419899999995</v>
      </c>
      <c r="L57" s="3">
        <f>973.2+(70.5-620.1)+(-1.488996+(-0.107865--0.948753))+0-0-0</f>
        <v>422.95189200000004</v>
      </c>
      <c r="M57" s="3">
        <f>971+(89.5-589.8)+(-0.49521+(-0.045645--0.300798))+0-0-0</f>
        <v>470.45994300000007</v>
      </c>
      <c r="N57" s="3">
        <f>1196.9+(0-662.6)+(-1.831257+(0--1.013778))+0-0-0</f>
        <v>533.48252100000002</v>
      </c>
      <c r="O57" s="3">
        <f>1251.5+(0-686.5)+(-1.914795+(0--1.050345))+0-0-0</f>
        <v>564.13554999999997</v>
      </c>
      <c r="P57" s="3">
        <f>1244.3+(0-655.4)+(-1.269186+(0--0.668508))+0-0-0</f>
        <v>588.29932199999996</v>
      </c>
      <c r="Q57" s="3">
        <f>1230.2+(0-652.5)+(0+(0-0))+0-0-0</f>
        <v>577.70000000000005</v>
      </c>
      <c r="R57" s="3">
        <f>1284+(0-670.8)+(-1.96452+(0--1.026324))+0-0-0</f>
        <v>612.2618040000001</v>
      </c>
      <c r="S57" s="3">
        <f>1309.1+(0-721.2)+(0+(0-0))+0-0-0</f>
        <v>587.89999999999986</v>
      </c>
      <c r="T57" s="3">
        <f>1313.9+(0-727.6)+(0+(0-0))+0-0-0</f>
        <v>586.30000000000007</v>
      </c>
      <c r="U57" s="3">
        <f>1278+(6-726)+(-1.95534+(-0.00918--1.11078))+0-0-0</f>
        <v>557.14625999999998</v>
      </c>
      <c r="V57" s="3">
        <f>1212.3+(34.8-696.6)+(-3.091365+(-0.08874--1.77633))+0-0-0</f>
        <v>549.09622499999989</v>
      </c>
      <c r="W57" s="3">
        <f>1174.9+(15.7-634.6)+(-2.995995+(-0.040035--1.61823))+0-0-0</f>
        <v>554.58220000000006</v>
      </c>
      <c r="X57" s="3">
        <f>1177.2+(37.6-670.9)+(-3.00186+(-0.09588--1.710795))+0-0-0</f>
        <v>542.51305500000012</v>
      </c>
      <c r="Y57" s="3">
        <f>1135.9+(80.9-662.7)+(-1.737927+(-0.123777--1.013931))+0-0-0</f>
        <v>553.25222700000006</v>
      </c>
      <c r="Z57" s="3">
        <f>1175.3+(137.2-639.2)+(-2.397612+(-0.279888--1.303968))+0-0-0</f>
        <v>671.926468</v>
      </c>
      <c r="AA57" s="3">
        <f>1254.7+(164.7-684.5)+(-2.559588+(-0.335988--1.39638))+0-0-0</f>
        <v>733.40080400000011</v>
      </c>
      <c r="AB57" s="3">
        <f>1259.8+(117.1-677.9)+(0+(0-0))+0-0-0</f>
        <v>699</v>
      </c>
      <c r="AC57" s="3">
        <f>1261+(73.7-696.7)+(0+(0-0))+0-0-0</f>
        <v>638</v>
      </c>
      <c r="AD57">
        <f t="shared" si="0"/>
        <v>13241.625979</v>
      </c>
      <c r="AE57" s="3">
        <f>1241.5+(170.2-725.9)+(0+(0-0))+0-0-0</f>
        <v>685.8</v>
      </c>
    </row>
    <row r="58" spans="1:31" s="2" customFormat="1" x14ac:dyDescent="0.25">
      <c r="A58">
        <v>89</v>
      </c>
      <c r="B58">
        <v>2</v>
      </c>
      <c r="C58">
        <v>27</v>
      </c>
      <c r="D58">
        <v>3</v>
      </c>
      <c r="E58">
        <v>5</v>
      </c>
      <c r="F58" s="3">
        <f>1113.6+(106.4-651.8)+(-0.567936+(-0.054264--0.332418))+0-0-0</f>
        <v>567.91021799999999</v>
      </c>
      <c r="G58" s="3">
        <f>939.6+(134.9-572.9)+(-0.479196+(-0.068799--0.292179))+0-0-0</f>
        <v>501.34418400000004</v>
      </c>
      <c r="H58" s="3">
        <f>867.8+(150.4-553.4)+(-0.442578+(-0.076704--0.282234))+0-0-0</f>
        <v>464.56295199999994</v>
      </c>
      <c r="I58" s="3">
        <f>865.1+(150.7-564.7)+(-1.764804+(-0.307428--1.151988))+0-0-0</f>
        <v>450.17975599999994</v>
      </c>
      <c r="J58" s="3">
        <f>869.9+(132.2-553.4)+(0+(0-0))+0-0-0</f>
        <v>448.7</v>
      </c>
      <c r="K58" s="3">
        <f>858.6+(153.5-568.9)+(-2.18943+(-0.391425--1.450695))+0-0-0</f>
        <v>442.06984000000006</v>
      </c>
      <c r="L58" s="3">
        <f>843.5+(112.9-563.2)+(-0.430185+(-0.057579--0.287232))+0-0-0</f>
        <v>392.99946799999992</v>
      </c>
      <c r="M58" s="3">
        <f>848.2+(112.2-558.6)+(0.865164+(0.114444-0.569772))+0-0-0</f>
        <v>402.209836</v>
      </c>
      <c r="N58" s="3">
        <f>842.6+(162.4-558)+(-1.289178+(-0.248472--0.85374))+0-0-0</f>
        <v>446.31608999999997</v>
      </c>
      <c r="O58" s="3">
        <f>846.9+(172-535.2)+(0+(0-0))+0-0-0</f>
        <v>483.69999999999993</v>
      </c>
      <c r="P58" s="3">
        <f>986.5+(152.4-609.1)+(-2.01246+(-0.310896--1.242564))+0-0-0</f>
        <v>528.71920799999998</v>
      </c>
      <c r="Q58" s="3">
        <f>1039.6+(130.4-608)+(-2.120784+(-0.266016--1.24032))+0-0-0</f>
        <v>560.85351999999989</v>
      </c>
      <c r="R58" s="3">
        <f>1034.8+(128-588.4)+(-2.110992+(-0.26112--1.200336))+0-0-0</f>
        <v>573.22822399999995</v>
      </c>
      <c r="S58" s="3">
        <f>1026.2+(200.6-645)+(0+(0-0))+0-0-0</f>
        <v>581.80000000000007</v>
      </c>
      <c r="T58" s="3">
        <f>1024.5+(144-590.2)+(-1.567485+(-0.22032--0.903006))+0-0-0</f>
        <v>577.41520099999991</v>
      </c>
      <c r="U58" s="3">
        <f>1022.7+(104.1-562.3)+(-1.043154+(-0.106182--0.573546))+0-0-0</f>
        <v>563.92421000000013</v>
      </c>
      <c r="V58" s="3">
        <f>979.5+(100.6-542.1)+(-1.498635+(-0.153918--0.829413))+0-0-0</f>
        <v>537.17686000000003</v>
      </c>
      <c r="W58" s="3">
        <f>981+(113.4-548.7)+(-1.00062+(-0.115668--0.559674))+0-0-0</f>
        <v>545.14338599999996</v>
      </c>
      <c r="X58" s="3">
        <f>977.5+(111.9-546.4)+(-1.9941+(-0.228276--1.114656))+0-0-0</f>
        <v>541.89228000000003</v>
      </c>
      <c r="Y58" s="3">
        <f>984.8+(110.8-541)+(0+(0-0))+0-0-0</f>
        <v>554.59999999999991</v>
      </c>
      <c r="Z58" s="3">
        <f>1061.3+(151.5-528.5)+(-0.541263+(-0.077265--0.269535))+0-0-0</f>
        <v>683.951007</v>
      </c>
      <c r="AA58" s="3">
        <f>1088.3+(202.6-543.8)+(-2.220132+(-0.413304--1.109352))+0-0-0</f>
        <v>745.57591600000001</v>
      </c>
      <c r="AB58" s="3">
        <f>1085.5+(176.4-552.2)+(-1.10721+(-0.179928--0.563244))+0-0-0</f>
        <v>708.97610599999996</v>
      </c>
      <c r="AC58" s="3">
        <f>1078.7+(153.6-581.2)+(-0.550137+(-0.078336--0.296412))+0-0-0</f>
        <v>650.76793900000007</v>
      </c>
      <c r="AD58">
        <f t="shared" si="0"/>
        <v>12954.016200999999</v>
      </c>
      <c r="AE58" s="3">
        <f>1083+(202-592.5)+(0+(0-0))+0-0-0</f>
        <v>692.5</v>
      </c>
    </row>
    <row r="59" spans="1:31" s="2" customFormat="1" x14ac:dyDescent="0.25">
      <c r="A59">
        <v>89</v>
      </c>
      <c r="B59">
        <v>2</v>
      </c>
      <c r="C59">
        <v>28</v>
      </c>
      <c r="D59">
        <v>4</v>
      </c>
      <c r="E59">
        <v>1</v>
      </c>
      <c r="F59" s="3">
        <f>1074.4+(107.3-616.5)+(0+(0-0))+0-0-0</f>
        <v>565.20000000000005</v>
      </c>
      <c r="G59" s="3">
        <f>968.7+(110-567.7)+(-1.482111+(-0.1683--0.868581))+0-0-0</f>
        <v>510.21816999999999</v>
      </c>
      <c r="H59" s="3">
        <f>849.1+(141.5-532.7)+(0.433041+(0.072165-0.271677))+0-0-0</f>
        <v>458.13352899999995</v>
      </c>
      <c r="I59" s="3">
        <f>844.5+(131.2-518)+(-0.86139+(-0.133824--0.52836))+0-0-0</f>
        <v>457.23314599999998</v>
      </c>
      <c r="J59" s="3">
        <f>847.9+(112.4-524.6)+(0.432429+(0.057324-0.267546))+0-0-0</f>
        <v>435.92220699999996</v>
      </c>
      <c r="K59" s="3">
        <f>836.6+(111.1-502.4)+(-1.706664+(-0.226644--1.024896))+0-0-0</f>
        <v>444.39158800000007</v>
      </c>
      <c r="L59" s="3">
        <f>848.6+(114-553.3)+(-1.731144+(-0.23256--1.128732))+0-0-0</f>
        <v>408.46502800000007</v>
      </c>
      <c r="M59" s="3">
        <f>1066.8+(82.9-654)+(-1.088136+(-0.084558--0.66708))+0-0-0</f>
        <v>495.19438599999995</v>
      </c>
      <c r="N59" s="3">
        <f>1062.4+(72.2-588.7)+(-1.625472+(-0.110466--0.900711))+0-0-0</f>
        <v>545.06477300000006</v>
      </c>
      <c r="O59" s="3">
        <f>1053.5+(131.7-582)+(0.537285+(0.067167-0.29682))+0-0-0</f>
        <v>603.50763200000006</v>
      </c>
      <c r="P59" s="3">
        <f>1033.1+(203.5-606.8)+(-0.526881+(-0.103785--0.309468))+0-0-0</f>
        <v>629.47880199999997</v>
      </c>
      <c r="Q59" s="3">
        <f>1034+(211.3-597.7)+(0+(0-0))+0-0-0</f>
        <v>647.59999999999991</v>
      </c>
      <c r="R59" s="3">
        <f>1055.9+(208.6-612.8)+(-1.615527+(-0.319158--0.937584))+0-0-0</f>
        <v>650.70289900000012</v>
      </c>
      <c r="S59" s="3">
        <f>1081.1+(223.7-663.4)+(-1.102722+(-0.228174--0.676668))+0-0-0</f>
        <v>640.74577199999987</v>
      </c>
      <c r="T59" s="3">
        <f>1078.8+(249.3-712.1)+(0.550188+(0.127143-0.363171))+0-0-0</f>
        <v>616.31416000000002</v>
      </c>
      <c r="U59" s="3">
        <f>1071.2+(251.9-717.9)+(-0.546312+(-0.128469--0.366129))+0-0-0</f>
        <v>604.89134799999999</v>
      </c>
      <c r="V59" s="3">
        <f>1068.7+(254.1-716.8)+(-1.635111+(-0.388773--1.096704))+0-0-0</f>
        <v>605.07282000000009</v>
      </c>
      <c r="W59" s="3">
        <f>1062.1+(219.6-676.3)+(-3.250026+(-0.671976--2.069478))+0-0-0</f>
        <v>603.54747599999996</v>
      </c>
      <c r="X59" s="3">
        <f>1064.7+(158.6-626.7)+(-2.714985+(-0.40443--1.598085))+0-0-0</f>
        <v>595.07866999999999</v>
      </c>
      <c r="Y59" s="3">
        <f>1073.7+(141.8-604.6)+(-1.095174+(-0.144636--0.616692))+0-0-0</f>
        <v>610.27688200000011</v>
      </c>
      <c r="Z59" s="3">
        <f>1112.9+(191.1-579.6)+(-1.135158+(-0.194922--0.591192))+0-0-0</f>
        <v>723.66111200000012</v>
      </c>
      <c r="AA59" s="3">
        <f>1132.2+(252-596.8)+(-2.88711+(-0.6426--1.52184))+0-0-0</f>
        <v>785.39213000000007</v>
      </c>
      <c r="AB59" s="3">
        <f>1126+(226.8-602.9)+(-1.72278+(-0.347004--0.922437))+0-0-0</f>
        <v>748.75265300000012</v>
      </c>
      <c r="AC59" s="3">
        <f>1085.2+(200.5-606.3)+(-1.106904+(-0.20451--0.618426))+0-0-0</f>
        <v>678.70701200000008</v>
      </c>
      <c r="AD59">
        <f t="shared" si="0"/>
        <v>14063.552194999998</v>
      </c>
      <c r="AE59" s="3">
        <f>1110.5+(267.8-639.1)+(0+(0-0))+0-0-0</f>
        <v>739.2</v>
      </c>
    </row>
    <row r="60" spans="1:31" s="2" customFormat="1" x14ac:dyDescent="0.25">
      <c r="A60">
        <v>89</v>
      </c>
      <c r="B60">
        <v>2</v>
      </c>
      <c r="C60">
        <v>29</v>
      </c>
      <c r="D60">
        <v>5</v>
      </c>
      <c r="E60">
        <v>1</v>
      </c>
      <c r="F60" s="3">
        <f>1067.6+(172.9-671.5)+(-1.633428+(-0.264537--1.027395))+0-0-0</f>
        <v>568.12942999999984</v>
      </c>
      <c r="G60" s="3">
        <f>1073.1+(148.2-686)+(0.547281+(0.075582-0.34986))+0-0-0</f>
        <v>535.57300299999997</v>
      </c>
      <c r="H60" s="3">
        <f>1065.5+(152.6-709.1)+(-1.630215+(-0.233478--1.084923))+0-0-0</f>
        <v>508.22122999999999</v>
      </c>
      <c r="I60" s="3">
        <f>1006.2+(134.5-610.4)+(-1.539486+(-0.205785--0.933912))+0-0-0</f>
        <v>529.48864100000003</v>
      </c>
      <c r="J60" s="3">
        <f>833+(164.5-516.9)+(0.42483+(0.083895-0.263619))+0-0-0</f>
        <v>480.84510600000004</v>
      </c>
      <c r="K60" s="3">
        <f>819.9+(171.3-516.2)+(-2.090745+(-0.436815--1.31631))+0-0-0</f>
        <v>473.78874999999994</v>
      </c>
      <c r="L60" s="3">
        <f>828.1+(161.1-534.4)+(0+(0-0))+0-0-0</f>
        <v>454.80000000000007</v>
      </c>
      <c r="M60" s="3">
        <f>824.4+(159.9-499.1)+(-1.261332+(-0.244647--0.763623))+0-0-0</f>
        <v>484.45764399999996</v>
      </c>
      <c r="N60" s="3">
        <f>824.3+(223.8-516.9)+(-0.840786+(-0.228276--0.527238))+0-0-0</f>
        <v>530.65817600000003</v>
      </c>
      <c r="O60" s="3">
        <f>896.2+(260.7-608.8)+(-0.457062+(-0.132957--0.310488))+0-0-0</f>
        <v>547.82046900000012</v>
      </c>
      <c r="P60" s="3">
        <f>1043.6+(254.5-678.9)+(-1.064472+(-0.25959--0.692478))+0-0-0</f>
        <v>618.56841599999996</v>
      </c>
      <c r="Q60" s="3">
        <f>1089.9+(239.4-659.9)+(-1.111698+(-0.244188--0.673098))+0-0-0</f>
        <v>668.71721200000013</v>
      </c>
      <c r="R60" s="3">
        <f>1088.5+(241.4-647.9)+(0+(0-0))+0-0-0</f>
        <v>682</v>
      </c>
      <c r="S60" s="3">
        <f>1068.1+(220.4-624.4)+(-2.178924+(-0.449616--1.273776))+0-0-0</f>
        <v>662.74523599999986</v>
      </c>
      <c r="T60" s="3">
        <f>1070+(206.2-644.1)+(0+(0-0))+0-0-0</f>
        <v>632.09999999999991</v>
      </c>
      <c r="U60" s="3">
        <f>1068.5+(205-657.2)+(-1.634805+(-0.31365--1.005516))+0-0-0</f>
        <v>615.35706099999993</v>
      </c>
      <c r="V60" s="3">
        <f>1091.9+(194.5-654.7)+(-2.227476+(-0.39678--1.335588))+0-0-0</f>
        <v>630.41133200000002</v>
      </c>
      <c r="W60" s="3">
        <f>1097.6+(174.5-665.8)+(-2.239104+(-0.35598--1.358232))+0-0-0</f>
        <v>605.06314799999996</v>
      </c>
      <c r="X60" s="3">
        <f>1099.7+(166.7-651.2)+(-2.804235+(-0.425085--1.66056))+0-0-0</f>
        <v>613.63124000000005</v>
      </c>
      <c r="Y60" s="3">
        <f>1114.3+(111-613.8)+(-1.136586+(-0.11322--0.626076))+0-0-0</f>
        <v>610.87626999999998</v>
      </c>
      <c r="Z60" s="3">
        <f>1126.7+(210.6-623)+(-0.574617+(-0.107406--0.31773))+0-0-0</f>
        <v>713.93570700000009</v>
      </c>
      <c r="AA60" s="3">
        <f>1123.4+(253.3-633.6)+(-1.718802+(-0.387549--0.969408))+0-0-0</f>
        <v>741.96305700000016</v>
      </c>
      <c r="AB60" s="3">
        <f>1117.9+(231.5-620)+(-2.850645+(-0.590325--1.581))+0-0-0</f>
        <v>727.54003000000012</v>
      </c>
      <c r="AC60" s="3">
        <f>1117.5+(167.1-638.2)+(-2.2797+(-0.340884--1.301928))+0-0-0</f>
        <v>645.08134399999994</v>
      </c>
      <c r="AD60">
        <f t="shared" si="0"/>
        <v>14281.772502000003</v>
      </c>
      <c r="AE60" s="3">
        <f>1120+(244.3-685.3)+(0+(0-0))+0-0-0</f>
        <v>679</v>
      </c>
    </row>
    <row r="61" spans="1:31" s="2" customFormat="1" x14ac:dyDescent="0.25">
      <c r="A61">
        <v>89</v>
      </c>
      <c r="B61">
        <v>2</v>
      </c>
      <c r="C61">
        <v>30</v>
      </c>
      <c r="D61">
        <v>6</v>
      </c>
      <c r="E61">
        <v>1</v>
      </c>
      <c r="F61" s="3">
        <f>1060.5+(116.1-625.8)+(-4.32684+(-0.473688--2.553264))+0-0-0</f>
        <v>548.5527360000001</v>
      </c>
      <c r="G61" s="3">
        <f>1064.4+(84.2-646.6)+(-1.628532+(-0.128826--0.989298))+0-0-0</f>
        <v>501.23194000000012</v>
      </c>
      <c r="H61" s="3">
        <f>1065.4+(60.6-650.9)+(-1.086708+(-0.061812--0.663918))+0-0-0</f>
        <v>474.61539800000014</v>
      </c>
      <c r="I61" s="3">
        <f>1060.6+(59.4-647.1)+(-2.163624+(-0.121176--1.320084))+0-0-0</f>
        <v>471.93528399999985</v>
      </c>
      <c r="J61" s="3">
        <f>1073.8+(72.2-671.6)+(1.095276+(0.073644-0.685032))+0-0-0</f>
        <v>474.88388799999996</v>
      </c>
      <c r="K61" s="3">
        <f>1012.8+(97.1-626.7)+(-2.58264+(-0.247605--1.598085))+0-0-0</f>
        <v>481.96783999999991</v>
      </c>
      <c r="L61" s="3">
        <f>886.2+(149.8-591.1)+(-1.807848+(-0.305592--1.205844))+0-0-0</f>
        <v>443.99240400000002</v>
      </c>
      <c r="M61" s="3">
        <f>854.6+(171.2-567.1)+(0.871692+(0.174624-0.578442))+0-0-0</f>
        <v>459.16787399999998</v>
      </c>
      <c r="N61" s="3">
        <f>993.1+(181.5-686)+(-1.012962+(-0.18513--0.69972))+0-0-0</f>
        <v>488.10162800000001</v>
      </c>
      <c r="O61" s="3">
        <f>1063.8+(193-726.1)+(-0.542538+(-0.09843--0.370311))+0-0-0</f>
        <v>530.4293429999999</v>
      </c>
      <c r="P61" s="3">
        <f>1060+(215.4-728.1)+(0+(0-0))+0-0-0</f>
        <v>547.29999999999995</v>
      </c>
      <c r="Q61" s="3">
        <f>1070+(220-726.4)+(1.0914+(0.2244-0.740928))+0-0-0</f>
        <v>564.17487200000005</v>
      </c>
      <c r="R61" s="3">
        <f>1058.8+(222-698.1)+(-2.159952+(-0.45288--1.424124))+0-0-0</f>
        <v>581.51129199999991</v>
      </c>
      <c r="S61" s="3">
        <f>1058.9+(227.4-715.9)+(-1.620117+(-0.347922--1.095327))+0-0-0</f>
        <v>569.52728800000011</v>
      </c>
      <c r="T61" s="3">
        <f>1061.9+(229.9-743)+(-1.083138+(-0.234498--0.75786))+0-0-0</f>
        <v>548.24022400000001</v>
      </c>
      <c r="U61" s="3">
        <f>1062.3+(229-752.6)+(-0.541773+(-0.11679--0.383826))+0-0-0</f>
        <v>538.42526299999997</v>
      </c>
      <c r="V61" s="3">
        <f>1060.6+(226.2-743.8)+(-1.622718+(-0.346086--1.138014))+0-0-0</f>
        <v>542.16921000000002</v>
      </c>
      <c r="W61" s="3">
        <f>1068+(208.7-725.1)+(-2.17872+(-0.425748--1.479204))+0-0-0</f>
        <v>550.47473599999989</v>
      </c>
      <c r="X61" s="3">
        <f>1069.2+(97.8-617.3)+(-3.271752+(-0.299268--1.888938))+0-0-0</f>
        <v>548.01791800000001</v>
      </c>
      <c r="Y61" s="3">
        <f>1073.2+(53-574.8)+(-1.641996+(-0.08109--0.879444))+0-0-0</f>
        <v>550.55635800000005</v>
      </c>
      <c r="Z61" s="3">
        <f>1085.5+(163.1-608.7)+(-0.553605+(-0.083181--0.310437))+0-0-0</f>
        <v>639.57365099999993</v>
      </c>
      <c r="AA61" s="3">
        <f>1087.6+(233.4-646.1)+(-1.109352+(-0.238068--0.659022))+0-0-0</f>
        <v>674.21160199999986</v>
      </c>
      <c r="AB61" s="3">
        <f>1084.9+(203.5-639.1)+(-1.659897+(-0.311355--0.977823))+0-0-0</f>
        <v>648.30657100000008</v>
      </c>
      <c r="AC61" s="3">
        <f>1087.8+(177.7-665.9)+(-0.554778+(-0.090627--0.339609))+0-0-0</f>
        <v>599.29420399999992</v>
      </c>
      <c r="AD61">
        <f t="shared" si="0"/>
        <v>12976.661524000001</v>
      </c>
      <c r="AE61" s="3">
        <f>1113.5+(232.6-671.4)+(0+(0-0))+0-0-0</f>
        <v>674.7</v>
      </c>
    </row>
    <row r="62" spans="1:31" s="2" customFormat="1" x14ac:dyDescent="0.25">
      <c r="A62">
        <v>89</v>
      </c>
      <c r="B62">
        <v>2</v>
      </c>
      <c r="C62">
        <v>31</v>
      </c>
      <c r="D62">
        <v>7</v>
      </c>
      <c r="E62">
        <v>1</v>
      </c>
      <c r="F62" s="3">
        <f>1083.8+(148.5-687)+(-0.552738+(-0.075735--0.35037))+0-0-0</f>
        <v>545.02189699999997</v>
      </c>
      <c r="G62" s="3">
        <f>1082.1+(162.4-754.7)+(0.551871+(0.082824-0.384897))+0-0-0</f>
        <v>490.04979799999984</v>
      </c>
      <c r="H62" s="3">
        <f>1035+(179.4-757.3)+(-2.1114+(-0.365976--1.544892))+0-0-0</f>
        <v>456.16751600000003</v>
      </c>
      <c r="I62" s="3">
        <f>842.3+(214.9-638.3)+(0.859146+(0.219198-0.651066))+0-0-0</f>
        <v>419.32727799999998</v>
      </c>
      <c r="J62" s="3">
        <f>842.8+(219.5-628.4)+(-0.429828+(-0.111945--0.320484))+0-0-0</f>
        <v>433.67871099999996</v>
      </c>
      <c r="K62" s="3">
        <f>834.8+(217.2-623.9)+(-1.702992+(-0.443088--1.272756))+0-0-0</f>
        <v>427.22667599999994</v>
      </c>
      <c r="L62" s="3">
        <f>830.6+(144.3-590.6)+(-1.694424+(-0.294372--1.204824))+0-0-0</f>
        <v>383.51602800000001</v>
      </c>
      <c r="M62" s="3">
        <f>849.4+(108.4-570.2)+(-0.866388+(-0.110568--0.581604))+0-0-0</f>
        <v>387.20464799999991</v>
      </c>
      <c r="N62" s="3">
        <f>1048.6+(51.9-670.3)+(-1.069572+(-0.052938--0.683706))+0-0-0</f>
        <v>429.76119599999993</v>
      </c>
      <c r="O62" s="3">
        <f>1044.8+(69.4-652)+(-2.131392+(-0.141576--1.33008))+0-0-0</f>
        <v>461.25711199999995</v>
      </c>
      <c r="P62" s="3">
        <f>1045.6+(13.6-578.1)+(-1.066512+(-0.013872--0.589662))+0-0-0</f>
        <v>480.6092779999999</v>
      </c>
      <c r="Q62" s="3">
        <f>1141.4+(17.6-625.1)+(-1.164228+(-0.017952--0.637602))+0-0-0</f>
        <v>533.35542200000009</v>
      </c>
      <c r="R62" s="3">
        <f>1094.7+(103.5-662.6)+(-2.233188+(-0.21114--1.351704))+0-0-0</f>
        <v>534.50737600000002</v>
      </c>
      <c r="S62" s="3">
        <f>1090.2+(126.6-700.6)+(-0.556002+(-0.064566--0.357306))+0-0-0</f>
        <v>515.93673799999999</v>
      </c>
      <c r="T62" s="3">
        <f>1008.3+(159.2-694.1)+(-1.028466+(-0.162384--0.707982))+0-0-0</f>
        <v>472.91713199999987</v>
      </c>
      <c r="U62" s="3">
        <f>852.1+(204.2-612.2)+(-2.607426+(-0.624852--1.873332))+0-0-0</f>
        <v>442.74105399999996</v>
      </c>
      <c r="V62" s="3">
        <f>812.6+(193.4-561.3)+(-1.657704+(-0.394536--1.145052))+0-0-0</f>
        <v>443.79281200000003</v>
      </c>
      <c r="W62" s="3">
        <f>813.5+(188.1-548.5)+(-1.244655+(-0.287793--0.839205))+0-0-0</f>
        <v>452.40675700000003</v>
      </c>
      <c r="X62" s="3">
        <f>738.6+(126.5-421.8)+(-2.636802+(-0.451605--1.505826))+0-0-0</f>
        <v>441.71741900000001</v>
      </c>
      <c r="Y62" s="3">
        <f>773+(104.2-411.3)+(-0.78846+(-0.106284--0.419526))+0-0-0</f>
        <v>465.42478199999999</v>
      </c>
      <c r="Z62" s="3">
        <f>945.6+(157.8-528.1)+(-1.446768+(-0.241434--0.807993))+0-0-0</f>
        <v>574.41979099999992</v>
      </c>
      <c r="AA62" s="3">
        <f>909.1+(205.8-495)+(-1.390923+(-0.314874--0.75735))+0-0-0</f>
        <v>618.9515530000001</v>
      </c>
      <c r="AB62" s="3">
        <f>830.8+(229.9-466.7)+(-1.694832+(-0.468996--0.952068))+0-0-0</f>
        <v>592.78823999999997</v>
      </c>
      <c r="AC62" s="3">
        <f>837.7+(193.8-493)+(-1.281681+(-0.296514--0.75429))+0-0-0</f>
        <v>537.67609500000003</v>
      </c>
      <c r="AD62">
        <f t="shared" si="0"/>
        <v>11540.455309000001</v>
      </c>
      <c r="AE62" s="3">
        <f>937+(182.4-541.8)+(0+(0-0))+0-0-0</f>
        <v>577.6</v>
      </c>
    </row>
    <row r="63" spans="1:31" s="2" customFormat="1" x14ac:dyDescent="0.25">
      <c r="A63">
        <v>89</v>
      </c>
      <c r="B63">
        <v>3</v>
      </c>
      <c r="C63">
        <v>1</v>
      </c>
      <c r="D63">
        <v>1</v>
      </c>
      <c r="E63">
        <v>1</v>
      </c>
      <c r="F63" s="3">
        <f>895+(92-513.3)+(-0.9129+(-0.09384--0.523566))+0-0-0</f>
        <v>473.21682600000003</v>
      </c>
      <c r="G63" s="3">
        <f>823.7+(122.5-527.7)+(1.260261+(0.187425-0.807381))+0-0-0</f>
        <v>419.14030500000001</v>
      </c>
      <c r="H63" s="3">
        <f>794.7+(114.4-509.5)+(-2.026485+(-0.29172--1.299225))+0-0-0</f>
        <v>398.58102000000002</v>
      </c>
      <c r="I63" s="3">
        <f>802.3+(98.2-516.8)+(-0.409173+(-0.050082--0.263568))+0-0-0</f>
        <v>383.50431299999997</v>
      </c>
      <c r="J63" s="3">
        <f>826.1+(86.4-531.8)+(0.421311+(0.044064-0.271218))+0-0-0</f>
        <v>380.89415700000006</v>
      </c>
      <c r="K63" s="3">
        <f>833.4+(84.7-535)+(-2.12517+(-0.215985--1.36425))+0-0-0</f>
        <v>382.12309499999998</v>
      </c>
      <c r="L63" s="3">
        <f>847.9+(83.2-501.6)+(0+(0-0))+0-0-0</f>
        <v>429.49999999999994</v>
      </c>
      <c r="M63" s="3">
        <f>967.8+(80.7-565.2)+(0.493578+(0.041157-0.288252))+0-0-0</f>
        <v>483.54648299999991</v>
      </c>
      <c r="N63" s="3">
        <f>1138.6+(45.9-646.9)+(0+(0-0))+0-0-0</f>
        <v>537.59999999999991</v>
      </c>
      <c r="O63" s="3">
        <f>1174.6+(141.9-745.8)+(-1.198092+(-0.144738--0.760716))+0-0-0</f>
        <v>570.11788599999988</v>
      </c>
      <c r="P63" s="3">
        <f>1179+(141.9-745.8)+(-3.00645+(-0.361845--1.90179))+0-0-0</f>
        <v>573.63349500000004</v>
      </c>
      <c r="Q63" s="3">
        <f>1204+(176.4-745.8)+(-0.61404+(-0.089964--0.380358))+0-0-0</f>
        <v>634.27635399999997</v>
      </c>
      <c r="R63" s="3">
        <f>1179.3+(240.2-815.3)+(-1.202886+(-0.245004--0.831606))+0-0-0</f>
        <v>603.58371600000009</v>
      </c>
      <c r="S63" s="3">
        <f>1192+(244.3-860.1)+(-1.82376+(-0.373779--1.315953))+0-0-0</f>
        <v>575.31841400000008</v>
      </c>
      <c r="T63" s="3">
        <f>1206.8+(241-905.5)+(0.615468+(0.12291-0.461805))+0-0-0</f>
        <v>542.57657299999994</v>
      </c>
      <c r="U63" s="3">
        <f>1228.1+(220.8-922.3)+(-3.131655+(-0.56304--2.351865))+0-0-0</f>
        <v>525.25716999999986</v>
      </c>
      <c r="V63" s="3">
        <f>1288.4+(220.8-979.5)+(-1.314168+(-0.225216--0.99909))+0-0-0</f>
        <v>529.15970600000003</v>
      </c>
      <c r="W63" s="3">
        <f>1277.5+(220.6-956.8)+(-3.257625+(-0.56253--2.43984))+0-0-0</f>
        <v>539.91968500000007</v>
      </c>
      <c r="X63" s="3">
        <f>1282.8+(119.6-866.9)+(-2.616912+(-0.243984--1.768476))+0-0-0</f>
        <v>534.40758000000005</v>
      </c>
      <c r="Y63" s="3">
        <f>1163.4+(93.3-700.3)+(-2.373336+(-0.190332--1.428612))+0-0-0</f>
        <v>555.26494400000013</v>
      </c>
      <c r="Z63" s="3">
        <f>1269.8+(171.9-791.7)+(-3.23799+(-0.438345--2.018835))+0-0-0</f>
        <v>648.34249999999986</v>
      </c>
      <c r="AA63" s="3">
        <f>1321+(128.9-756.5)+(-4.71597+(-0.460173--2.700705))+0-0-0</f>
        <v>690.92456199999992</v>
      </c>
      <c r="AB63" s="3">
        <f>1320.4+(59.6-717.6)+(-2.693616+(-0.121584--1.463904))+0-0-0</f>
        <v>661.04870400000004</v>
      </c>
      <c r="AC63" s="3">
        <f>1321.3+(40.4-748.2)+(-1.347726+(-0.041208--0.763164))+0-0-0</f>
        <v>612.8742299999999</v>
      </c>
      <c r="AD63">
        <f t="shared" si="0"/>
        <v>12684.811718000003</v>
      </c>
      <c r="AE63" s="3">
        <f>1329.5+(120.8-796)+(0+(0-0))+0-0-0</f>
        <v>654.29999999999995</v>
      </c>
    </row>
    <row r="64" spans="1:31" s="2" customFormat="1" x14ac:dyDescent="0.25">
      <c r="A64">
        <v>89</v>
      </c>
      <c r="B64">
        <v>3</v>
      </c>
      <c r="C64">
        <v>2</v>
      </c>
      <c r="D64">
        <v>2</v>
      </c>
      <c r="E64">
        <v>1</v>
      </c>
      <c r="F64" s="3">
        <f>1322.4+(39.1-824)+(-1.348848+(-0.039882--0.84048))+0-0-0</f>
        <v>536.95175000000006</v>
      </c>
      <c r="G64" s="3">
        <f>1308.3+(59-877.4)+(-3.336165+(-0.15045--2.23737))+0-0-0</f>
        <v>488.650755</v>
      </c>
      <c r="H64" s="3">
        <f>1113.3+(92.3-747.2)+(-1.703349+(-0.141219--1.143216))+0-0-0</f>
        <v>457.69864799999988</v>
      </c>
      <c r="I64" s="3">
        <f>975.5+(97.5-626.6)+(-1.492515+(-0.149175--0.958698))+0-0-0</f>
        <v>445.71700799999996</v>
      </c>
      <c r="J64" s="3">
        <f>979+(106.2-637.2)+(-0.99858+(-0.108324--0.649944))+0-0-0</f>
        <v>447.54304000000002</v>
      </c>
      <c r="K64" s="3">
        <f>976.5+(93.9-646.5)+(-1.494045+(-0.143667--0.989145))+0-0-0</f>
        <v>423.25143299999996</v>
      </c>
      <c r="L64" s="3">
        <f>979.4+(47.1-620.8)+(-0.499494+(-0.024021--0.316608))+0-0-0</f>
        <v>405.49309300000004</v>
      </c>
      <c r="M64" s="3">
        <f>978.6+(47.4-588.2)+(-0.499086+(-0.024174--0.299982))+0-0-0</f>
        <v>437.57672199999996</v>
      </c>
      <c r="N64" s="3">
        <f>1065.1+(54.2-633.6)+(-0.543201+(-0.027642--0.323136))+0-0-0</f>
        <v>485.45229299999994</v>
      </c>
      <c r="O64" s="3">
        <f>1124.9+(65.7-652.8)+(-1.147398+(-0.067014--0.665856))+0-0-0</f>
        <v>537.25144400000022</v>
      </c>
      <c r="P64" s="3">
        <f>1302.6+(63.3-793.3)+(-3.985956+(-0.193698--2.427498))+0-0-0</f>
        <v>570.8478439999999</v>
      </c>
      <c r="Q64" s="3">
        <f>1309.1+(108.4-814.5)+(-0.667641+(-0.055284--0.415395))+0-0-0</f>
        <v>602.69246999999984</v>
      </c>
      <c r="R64" s="3">
        <f>1302.2+(137.7-812.6)+(-1.328244+(-0.140454--0.828852))+0-0-0</f>
        <v>626.66015399999992</v>
      </c>
      <c r="S64" s="3">
        <f>1301.3+(153.8-837)+(-3.318315+(-0.39219--2.13435))+0-0-0</f>
        <v>616.52384499999994</v>
      </c>
      <c r="T64" s="3">
        <f>1301.7+(171.8-872.4)+(0+(0-0))+0-0-0</f>
        <v>601.10000000000014</v>
      </c>
      <c r="U64" s="3">
        <f>1283.2+(175-889.5)+(-1.963296+(-0.26775--1.360935))+0-0-0</f>
        <v>567.82988900000009</v>
      </c>
      <c r="V64" s="3">
        <f>1321.6+(169.1-933.5)+(-2.696064+(-0.344964--1.90434))+0-0-0</f>
        <v>556.06331199999988</v>
      </c>
      <c r="W64" s="3">
        <f>1223.2+(138.5-806.8)+(-3.742992+(-0.42381--2.468808))+0-0-0</f>
        <v>553.2020060000001</v>
      </c>
      <c r="X64" s="3">
        <f>1207.2+(131.3-791.5)+(-3.07836+(-0.334815--2.018325))+0-0-0</f>
        <v>545.60514999999998</v>
      </c>
      <c r="Y64" s="3">
        <f>1217.5+(48.1-715.1)+(-0.620925+(-0.024531--0.364701))+0-0-0</f>
        <v>550.219245</v>
      </c>
      <c r="Z64" s="3">
        <f>1232.1+(82-645.2)+(-0.628371+(-0.04182--0.329052))+0-0-0</f>
        <v>668.55886099999987</v>
      </c>
      <c r="AA64" s="3">
        <f>1299.5+(94.1-652.3)+(-1.988235+(-0.143973--0.998019))+0-0-0</f>
        <v>740.16581100000008</v>
      </c>
      <c r="AB64" s="3">
        <f>1287.8+(91.1-674.2)+(-3.28389+(-0.232305--1.71921))+0-0-0</f>
        <v>702.90301499999998</v>
      </c>
      <c r="AC64" s="3">
        <f>1295.3+(84.9-745.7)+(-1.321206+(-0.086598--0.760614))+0-0-0</f>
        <v>633.85280999999986</v>
      </c>
      <c r="AD64">
        <f t="shared" si="0"/>
        <v>13201.810598</v>
      </c>
      <c r="AE64" s="3">
        <f>1294+(107.6-700.9)+(0+(0-0))+0-0-0</f>
        <v>700.7</v>
      </c>
    </row>
    <row r="65" spans="1:31" s="2" customFormat="1" x14ac:dyDescent="0.25">
      <c r="A65">
        <v>89</v>
      </c>
      <c r="B65">
        <v>3</v>
      </c>
      <c r="C65">
        <v>3</v>
      </c>
      <c r="D65">
        <v>3</v>
      </c>
      <c r="E65">
        <v>1</v>
      </c>
      <c r="F65" s="3">
        <f>1291.4+(50.1-794.6)+(-1.975842+(-0.076653--1.215738))+0-0-0</f>
        <v>546.06324300000006</v>
      </c>
      <c r="G65" s="3">
        <f>1297+(67.3-870)+(-0.66147+(-0.034323--0.4437))+0-0-0</f>
        <v>494.04790699999995</v>
      </c>
      <c r="H65" s="3">
        <f>1296+(83.1-903.9)+(-0.66096+(-0.042381--0.460989))+0-0-0</f>
        <v>474.95764800000006</v>
      </c>
      <c r="I65" s="3">
        <f>1293.2+(85.8-914)+(-1.319064+(-0.087516--0.93228))+0-0-0</f>
        <v>464.52569999999997</v>
      </c>
      <c r="J65" s="3">
        <f>1282.4+(86.7-917.9)+(-3.27012+(-0.221085--2.340645))+0-0-0</f>
        <v>450.04944000000017</v>
      </c>
      <c r="K65" s="3">
        <f>1290.7+(79.2-925.6)+(-1.974771+(-0.121176--1.416168))+0-0-0</f>
        <v>443.62022100000007</v>
      </c>
      <c r="L65" s="3">
        <f>1259.4+(37.7-862.9)+(-0.642294+(-0.019227--0.440079))+0-0-0</f>
        <v>433.97855800000013</v>
      </c>
      <c r="M65" s="3">
        <f>1220.4+(33.6-788.1)+(0+(0-0))+0-0-0</f>
        <v>465.90000000000009</v>
      </c>
      <c r="N65" s="3">
        <f>1281.6+(63.4-845.4)+(-0.653616+(-0.032334--0.431154))+0-0-0</f>
        <v>499.34520399999991</v>
      </c>
      <c r="O65" s="3">
        <f>1305.8+(91.7-857.7)+(-0.665958+(-0.046767--0.437427))+0-0-0</f>
        <v>539.52470199999993</v>
      </c>
      <c r="P65" s="3">
        <f>1293.9+(107.5-823.4)+(-0.659889+(-0.054825--0.419934))+0-0-0</f>
        <v>577.70522000000017</v>
      </c>
      <c r="Q65" s="3">
        <f>1291+(114.7-803.7)+(-1.31682+(-0.116994--0.819774))+0-0-0</f>
        <v>601.38595999999995</v>
      </c>
      <c r="R65" s="3">
        <f>1292.4+(154.2-841.2)+(-1.318248+(-0.157284--0.858024))+0-0-0</f>
        <v>604.78249200000005</v>
      </c>
      <c r="S65" s="3">
        <f>1284.7+(175.9-874.6)+(-1.310394+(-0.179418--0.892092))+0-0-0</f>
        <v>585.40228000000002</v>
      </c>
      <c r="T65" s="3">
        <f>1272.3+(181.4-897)+(0+(0-0))+0-0-0</f>
        <v>556.69999999999993</v>
      </c>
      <c r="U65" s="3">
        <f>1278.2+(193.3-924.7)+(-1.303764+(-0.197166--0.943194))+0-0-0</f>
        <v>546.24226399999998</v>
      </c>
      <c r="V65" s="3">
        <f>1263.1+(191.2-907)+(-3.865086+(-0.585072--2.77542))+0-0-0</f>
        <v>545.62526199999991</v>
      </c>
      <c r="W65" s="3">
        <f>1287.2+(190.9-923.9)+(-2.625888+(-0.389436--1.884756))+0-0-0</f>
        <v>553.06943200000001</v>
      </c>
      <c r="X65" s="3">
        <f>1284+(104-836.5)+(-3.92904+(-0.31824--2.55969))+0-0-0</f>
        <v>549.81241</v>
      </c>
      <c r="Y65" s="3">
        <f>1285+(34.2-765)+(-3.27675+(-0.08721--1.95075))+0-0-0</f>
        <v>552.78679</v>
      </c>
      <c r="Z65" s="3">
        <f>1301.9+(116.7-767.2)+(-1.991907+(-0.178551--1.173816))+0-0-0</f>
        <v>650.40335800000014</v>
      </c>
      <c r="AA65" s="3">
        <f>1311.7+(101.1-691.7)+(-4.682769+(-0.360927--2.469369))+0-0-0</f>
        <v>718.52567299999998</v>
      </c>
      <c r="AB65" s="3">
        <f>1319.6+(99.5-737.8)+(-2.691984+(-0.20298--1.505112))+0-0-0</f>
        <v>679.91014799999994</v>
      </c>
      <c r="AC65" s="3">
        <f>1317.5+(63.7-764.9)+(-3.359625+(-0.162435--1.950495))+0-0-0</f>
        <v>614.7284350000001</v>
      </c>
      <c r="AD65">
        <f t="shared" ref="AD65:AD128" si="1">SUM(F65:AC65)</f>
        <v>13149.092347000002</v>
      </c>
      <c r="AE65" s="3">
        <f>1306+(106.6-706.7)+(0+(0-0))+0-0-0</f>
        <v>705.9</v>
      </c>
    </row>
    <row r="66" spans="1:31" s="2" customFormat="1" x14ac:dyDescent="0.25">
      <c r="A66">
        <v>89</v>
      </c>
      <c r="B66">
        <v>3</v>
      </c>
      <c r="C66">
        <v>4</v>
      </c>
      <c r="D66">
        <v>4</v>
      </c>
      <c r="E66">
        <v>1</v>
      </c>
      <c r="F66" s="3">
        <f>1319.3+(61.3-838.2)+(-2.018529+(-0.093789--1.282446))+0-0-0</f>
        <v>541.57012799999984</v>
      </c>
      <c r="G66" s="3">
        <f>1317.2+(79-908.7)+(-2.015316+(-0.12087--1.390311))+0-0-0</f>
        <v>486.75412499999999</v>
      </c>
      <c r="H66" s="3">
        <f>1317.3+(79.2-938.1)+(-1.343646+(-0.080784--0.956862))+0-0-0</f>
        <v>457.93243200000001</v>
      </c>
      <c r="I66" s="3">
        <f>1214.2+(38.6-803.1)+(-3.715452+(-0.118116--2.457486))+0-0-0</f>
        <v>448.32391800000005</v>
      </c>
      <c r="J66" s="3">
        <f>1132.5+(39.2-732.1)+(-1.15515+(-0.039984--0.746742))+0-0-0</f>
        <v>439.15160800000001</v>
      </c>
      <c r="K66" s="3">
        <f>1125.6+(35.4-736.1)+(-2.87028+(-0.09027--1.877055))+0-0-0</f>
        <v>423.81650499999984</v>
      </c>
      <c r="L66" s="3">
        <f>1125.2+(33.2-761)+(-2.86926+(-0.08466--1.94055))+0-0-0</f>
        <v>396.38663000000008</v>
      </c>
      <c r="M66" s="3">
        <f>1129.8+(34.6-762.1)+(-2.304792+(-0.070584--1.554684))+0-0-0</f>
        <v>401.47930799999995</v>
      </c>
      <c r="N66" s="3">
        <f>1227.3+(19.2-764.5)+(-1.251846+(-0.019584--0.77979))+0-0-0</f>
        <v>481.50835999999998</v>
      </c>
      <c r="O66" s="3">
        <f>1295.4+(63.3-806.3)+(-1.981962+(-0.096849--1.233639))+0-0-0</f>
        <v>551.55482800000004</v>
      </c>
      <c r="P66" s="3">
        <f>1298.9+(92.4-804.5)+(-0.662439+(-0.047124--0.410295))+0-0-0</f>
        <v>586.50073200000008</v>
      </c>
      <c r="Q66" s="3">
        <f>1298.9+(95-810.3)+(-0.662439+(-0.04845--0.413253))+0-0-0</f>
        <v>583.30236400000013</v>
      </c>
      <c r="R66" s="3">
        <f>1294.9+(135.3-843.1)+(-1.320798+(-0.138006--0.859962))+0-0-0</f>
        <v>586.50115800000015</v>
      </c>
      <c r="S66" s="3">
        <f>1284.1+(139.4-841.7)+(-1.309782+(-0.142188--0.858534))+0-0-0</f>
        <v>581.20656399999984</v>
      </c>
      <c r="T66" s="3">
        <f>1287.4+(145.1-867.5)+(-1.969722+(-0.222003--1.327275))+0-0-0</f>
        <v>564.13555000000008</v>
      </c>
      <c r="U66" s="3">
        <f>1303.1+(151.9-899.1)+(0.664581+(0.077469-0.458541))+0-0-0</f>
        <v>556.18350899999984</v>
      </c>
      <c r="V66" s="3">
        <f>1278.1+(151.5-872.1)+(0.651831+(0.077265-0.444771))+0-0-0</f>
        <v>557.78432499999985</v>
      </c>
      <c r="W66" s="3">
        <f>1258.5+(93.6-795.4)+(-2.56734+(-0.190944--1.622616))+0-0-0</f>
        <v>555.56433200000004</v>
      </c>
      <c r="X66" s="3">
        <f>1256.4+(35-740.1)+(-3.844584+(-0.1071--2.264706))+0-0-0</f>
        <v>549.61302200000011</v>
      </c>
      <c r="Y66" s="3">
        <f>1142.4+(35.6-620.8)+(-2.91312+(-0.09078--1.58304))+0-0-0</f>
        <v>555.77914000000021</v>
      </c>
      <c r="Z66" s="3">
        <f>1154.4+(127.6-618.1)+(-3.532464+(-0.390456--1.891386))+0-0-0</f>
        <v>661.86846600000013</v>
      </c>
      <c r="AA66" s="3">
        <f>1298+(95.2-678.3)+(-5.29584+(-0.388416--2.767464))+0-0-0</f>
        <v>711.9832080000001</v>
      </c>
      <c r="AB66" s="3">
        <f>1318.9+(60.9-711.9)+(-0.672639+(-0.031059--0.363069))+0-0-0</f>
        <v>667.55937100000006</v>
      </c>
      <c r="AC66" s="3">
        <f>1301+(43.4-732.1)+(-3.31755+(-0.11067--1.866855))+0-0-0</f>
        <v>610.73863499999993</v>
      </c>
      <c r="AD66">
        <f t="shared" si="1"/>
        <v>12957.198217999998</v>
      </c>
      <c r="AE66" s="3">
        <f>1290+(99.3-708.4)+(0+(0-0))+0-0-0</f>
        <v>680.9</v>
      </c>
    </row>
    <row r="67" spans="1:31" s="2" customFormat="1" x14ac:dyDescent="0.25">
      <c r="A67">
        <v>89</v>
      </c>
      <c r="B67">
        <v>3</v>
      </c>
      <c r="C67">
        <v>5</v>
      </c>
      <c r="D67">
        <v>5</v>
      </c>
      <c r="E67">
        <v>1</v>
      </c>
      <c r="F67" s="3">
        <f>1296.7+(53.4-806.1)+(-2.645268+(-0.108936--1.644444))+0-0-0</f>
        <v>542.89023999999995</v>
      </c>
      <c r="G67" s="3">
        <f>1312.6+(70.5-880.2)+(0.669426+(0.035955-0.448902))+0-0-0</f>
        <v>503.15647899999988</v>
      </c>
      <c r="H67" s="3">
        <f>1250+(68.2-837.2)+(-3.1875+(-0.17391--2.13486))+0-0-0</f>
        <v>479.77345000000003</v>
      </c>
      <c r="I67" s="3">
        <f>1210.3+(27.4-773.8)+(-1.851759+(-0.041922--1.183914))+0-0-0</f>
        <v>463.19023299999998</v>
      </c>
      <c r="J67" s="3">
        <f>1218+(28.6-777.2)+(-0.62118+(-0.014586--0.396372))+0-0-0</f>
        <v>469.16060599999997</v>
      </c>
      <c r="K67" s="3">
        <f>1154.6+(30.9-722)+(-3.533076+(-0.094554--2.20932))+0-0-0</f>
        <v>462.08168999999987</v>
      </c>
      <c r="L67" s="3">
        <f>1120.5+(35.5-714.6)+(-2.28582+(-0.07242--1.457784))+0-0-0</f>
        <v>440.49954399999996</v>
      </c>
      <c r="M67" s="3">
        <f>1129.3+(80.7-736.4)+(-1.151886+(-0.082314--0.751128))+0-0-0</f>
        <v>473.11692800000003</v>
      </c>
      <c r="N67" s="3">
        <f>1140.5+(67.5-675.5)+(0.581655+(0.034425-0.344505))+0-0-0</f>
        <v>532.77157499999998</v>
      </c>
      <c r="O67" s="3">
        <f>1125.6+(121.7-669)+(-2.296224+(-0.248268--1.36476))+0-0-0</f>
        <v>577.12026800000001</v>
      </c>
      <c r="P67" s="3">
        <f>1158.9+(117-673.7)+(0+(0-0))+0-0-0</f>
        <v>602.20000000000005</v>
      </c>
      <c r="Q67" s="3">
        <f>1265.5+(117.2-774.8)+(-0.645405+(-0.059772--0.395148))+0-0-0</f>
        <v>607.58997100000011</v>
      </c>
      <c r="R67" s="3">
        <f>1288.2+(133.6-814.1)+(-0.656982+(-0.068136--0.415191))+0-0-0</f>
        <v>607.39007300000003</v>
      </c>
      <c r="S67" s="3">
        <f>1287.9+(136.8-833)+(-0.656829+(-0.069768--0.42483))+0-0-0</f>
        <v>591.398233</v>
      </c>
      <c r="T67" s="3">
        <f>1317.4+(137.7-870.4)+(-1.343748+(-0.140454--0.887808))+0-0-0</f>
        <v>584.10360600000001</v>
      </c>
      <c r="U67" s="3">
        <f>1319.3+(144.1-885.3)+(-0.672843+(-0.073491--0.451503))+0-0-0</f>
        <v>577.80516899999998</v>
      </c>
      <c r="V67" s="3">
        <f>1315.5+(153.7-884.9)+(-2.012715+(-0.235161--1.353897))+0-0-0</f>
        <v>583.40602100000001</v>
      </c>
      <c r="W67" s="3">
        <f>1310.9+(154-883.4)+(-4.679913+(-0.54978--3.153738))+0-0-0</f>
        <v>579.42404500000009</v>
      </c>
      <c r="X67" s="3">
        <f>1315.3+(74.6-829.9)+(-4.695621+(-0.266322--2.962743))+0-0-0</f>
        <v>558.00080000000003</v>
      </c>
      <c r="Y67" s="3">
        <f>1372.4+(33.1-840.1)+(-2.799696+(-0.067524--1.713804))+0-0-0</f>
        <v>564.2465840000001</v>
      </c>
      <c r="Z67" s="3">
        <f>1375.4+(82-806.8)+(-1.402908+(-0.08364--0.822936))+0-0-0</f>
        <v>649.93638800000019</v>
      </c>
      <c r="AA67" s="3">
        <f>1395.8+(129.2-798.1)+(-4.271148+(-0.395352--2.442186))+0-0-0</f>
        <v>724.67568599999981</v>
      </c>
      <c r="AB67" s="3">
        <f>1406.8+(74.7-796.9)+(0.717468+(0.038097-0.406419))+0-0-0</f>
        <v>684.94914600000004</v>
      </c>
      <c r="AC67" s="3">
        <f>1357.2+(51.8-796.8)+(-0.692172+(-0.026418--0.406368))+0-0-0</f>
        <v>611.88777800000003</v>
      </c>
      <c r="AD67">
        <f t="shared" si="1"/>
        <v>13470.774513000002</v>
      </c>
      <c r="AE67" s="3">
        <f>1390+(161.2-864)+(0+(0-0))+0-0-0</f>
        <v>687.2</v>
      </c>
    </row>
    <row r="68" spans="1:31" s="2" customFormat="1" x14ac:dyDescent="0.25">
      <c r="A68">
        <v>89</v>
      </c>
      <c r="B68">
        <v>3</v>
      </c>
      <c r="C68">
        <v>6</v>
      </c>
      <c r="D68">
        <v>6</v>
      </c>
      <c r="E68">
        <v>1</v>
      </c>
      <c r="F68" s="3">
        <f>1340.9+(53.7-855.8)+(-2.735436+(-0.109548--1.745832))+0-0-0</f>
        <v>537.70084800000018</v>
      </c>
      <c r="G68" s="3">
        <f>1353.8+(50.2-910.5)+(-0.690438+(-0.025602--0.464355))+0-0-0</f>
        <v>493.24831499999999</v>
      </c>
      <c r="H68" s="3">
        <f>1306.4+(62.8-884.9)+(-1.332528+(-0.064056--0.902598))+0-0-0</f>
        <v>483.80601400000006</v>
      </c>
      <c r="I68" s="3">
        <f>1256.4+(69-850.5)+(-3.844584+(-0.21114--2.60253))+0-0-0</f>
        <v>473.44680600000009</v>
      </c>
      <c r="J68" s="3">
        <f>1263.7+(71.1-851.7)+(-1.933461+(-0.108783--1.303101))+0-0-0</f>
        <v>482.36085700000001</v>
      </c>
      <c r="K68" s="3">
        <f>1250.3+(60.1-839.1)+(-5.101224+(-0.245208--3.423528))+0-0-0</f>
        <v>469.37709599999994</v>
      </c>
      <c r="L68" s="3">
        <f>1265.1+(19-841.1)+(-1.290402+(-0.01938--0.857922))+0-0-0</f>
        <v>442.54813999999988</v>
      </c>
      <c r="M68" s="3">
        <f>1276.1+(12.2-803.1)+(0+(0-0))+0-0-0</f>
        <v>485.19999999999993</v>
      </c>
      <c r="N68" s="3">
        <f>1282.8+(8.3-750.3)+(1.308456+(0.008466-0.765306))+0-0-0</f>
        <v>541.35161599999992</v>
      </c>
      <c r="O68" s="3">
        <f>1273.3+(109.7-805.5)+(-1.298766+(-0.111894--0.82161))+0-0-0</f>
        <v>576.91094999999996</v>
      </c>
      <c r="P68" s="3">
        <f>1273.9+(122.1-776.2)+(-0.649689+(-0.062271--0.395862))+0-0-0</f>
        <v>619.48390200000006</v>
      </c>
      <c r="Q68" s="3">
        <f>1277+(100.3-734.7)+(0+(0-0))+0-0-0</f>
        <v>642.59999999999991</v>
      </c>
      <c r="R68" s="3">
        <f>1269.1+(120-774)+(-1.941723+(-0.1836--1.18422))+0-0-0</f>
        <v>614.15889699999991</v>
      </c>
      <c r="S68" s="3">
        <f>1268.5+(142.4-825.5)+(-1.29387+(-0.145248--0.84201))+0-0-0</f>
        <v>584.80289199999993</v>
      </c>
      <c r="T68" s="3">
        <f>1270.8+(158.9-855.3)+(-1.296216+(-0.162078--0.872406))+0-0-0</f>
        <v>573.81411200000002</v>
      </c>
      <c r="U68" s="3">
        <f>1264.2+(153.9-862.5)+(-1.289484+(-0.156978--0.87975))+0-0-0</f>
        <v>555.03328799999997</v>
      </c>
      <c r="V68" s="3">
        <f>1272.4+(152.6-859.9)+(-0.648924+(-0.077826--0.438549))+0-0-0</f>
        <v>564.81179900000018</v>
      </c>
      <c r="W68" s="3">
        <f>1260.7+(138.4-834)+(-3.214785+(-0.35292--2.1267))+0-0-0</f>
        <v>563.658995</v>
      </c>
      <c r="X68" s="3">
        <f>1260.8+(93-815)+(-3.21504+(-0.23715--2.07825))+0-0-0</f>
        <v>537.42606000000001</v>
      </c>
      <c r="Y68" s="3">
        <f>1267.7+(61.6-789.6)+(-1.293054+(-0.062832--0.805392))+0-0-0</f>
        <v>539.14950600000009</v>
      </c>
      <c r="Z68" s="3">
        <f>1338.8+(137-836.6)+(-2.048364+(-0.20961--1.279998))+0-0-0</f>
        <v>638.22202399999992</v>
      </c>
      <c r="AA68" s="3">
        <f>1370.1+(115.4-763.5)+(-2.096253+(-0.176562--1.168155))+0-0-0</f>
        <v>720.89533999999992</v>
      </c>
      <c r="AB68" s="3">
        <f>1369.1+(98.6-776.2)+(-2.792964+(-0.201144--1.583448))+0-0-0</f>
        <v>690.08933999999988</v>
      </c>
      <c r="AC68" s="3">
        <f>1358.2+(49.1-777)+(-2.770728+(-0.100164--1.58508))+0-0-0</f>
        <v>629.0141880000001</v>
      </c>
      <c r="AD68">
        <f t="shared" si="1"/>
        <v>13459.110984999999</v>
      </c>
      <c r="AE68" s="3">
        <f>1376+(127.1-813.5)+(0+(0-0))+0-0-0</f>
        <v>689.6</v>
      </c>
    </row>
    <row r="69" spans="1:31" s="2" customFormat="1" x14ac:dyDescent="0.25">
      <c r="A69">
        <v>89</v>
      </c>
      <c r="B69">
        <v>3</v>
      </c>
      <c r="C69">
        <v>7</v>
      </c>
      <c r="D69">
        <v>7</v>
      </c>
      <c r="E69">
        <v>1</v>
      </c>
      <c r="F69" s="3">
        <f>1372.9+(49.1-848.3)+(2.800716+(0.100164-1.730532))+0-0-0</f>
        <v>574.87034800000015</v>
      </c>
      <c r="G69" s="3">
        <f>1365.4+(51.9-893.4)+(1.392708+(0.052938-0.911268))+0-0-0</f>
        <v>524.43437800000004</v>
      </c>
      <c r="H69" s="3">
        <f>1377.6+(57.6-939.5)+(1.405152+(0.058752-0.95829))+0-0-0</f>
        <v>496.20561399999991</v>
      </c>
      <c r="I69" s="3">
        <f>1406.7+(51.7-979.2)+(0+(0-0))+0-0-0</f>
        <v>479.20000000000005</v>
      </c>
      <c r="J69" s="3">
        <f>1474.2+(47.9-1042.2)+(1.503684+(0.048858-1.063044))+0-0-0</f>
        <v>480.389498</v>
      </c>
      <c r="K69" s="3">
        <f>1423.9+(46.3-1012.5)+(-2.178567+(-0.070839--1.549125))+0-0-0</f>
        <v>456.99971900000003</v>
      </c>
      <c r="L69" s="3">
        <f>1254+(22.8-866.7)+(-1.91862+(-0.034884--1.326051))+0-0-0</f>
        <v>409.47254699999991</v>
      </c>
      <c r="M69" s="3">
        <f>1205+(21.6-808.1)+(-1.2291+(-0.022032--0.824262))+0-0-0</f>
        <v>418.07312999999999</v>
      </c>
      <c r="N69" s="3">
        <f>1255.3+(17.4-817.5)+(-1.920609+(-0.026622--1.250775))+0-0-0</f>
        <v>454.50354399999992</v>
      </c>
      <c r="O69" s="3">
        <f>1340.5+(13.3-855.1)+(-2.050965+(-0.020349--1.308303))+0-0-0</f>
        <v>497.93698899999993</v>
      </c>
      <c r="P69" s="3">
        <f>1416.2+(15.6-890.7)+(0+(0-0))+0-0-0</f>
        <v>541.1</v>
      </c>
      <c r="Q69" s="3">
        <f>1413.2+(15.3-866)+(-0.720732+(-0.007803--0.44166))+0-0-0</f>
        <v>562.21312499999999</v>
      </c>
      <c r="R69" s="3">
        <f>1403.3+(50.5-901)+(0+(0-0))+0-0-0</f>
        <v>552.79999999999995</v>
      </c>
      <c r="S69" s="3">
        <f>1390.9+(77.2-922.1)+(-0.709359+(-0.039372--0.470271))+0-0-0</f>
        <v>545.72154000000012</v>
      </c>
      <c r="T69" s="3">
        <f>1387.5+(84.3-937.1)+(0+(0-0))+0-0-0</f>
        <v>534.69999999999993</v>
      </c>
      <c r="U69" s="3">
        <f>1378.9+(80.3-934.2)+(0.703239+(0.040953-0.476442))+0-0-0</f>
        <v>525.26774999999998</v>
      </c>
      <c r="V69" s="3">
        <f>1355.3+(39.8-882.7)+(-4.147218+(-0.121788--2.701062))+0-0-0</f>
        <v>510.83205599999985</v>
      </c>
      <c r="W69" s="3">
        <f>1349.7+(9.1-843.1)+(-4.130082+(-0.027846--2.579886))+0-0-0</f>
        <v>514.12195800000006</v>
      </c>
      <c r="X69" s="3">
        <f>1354.9+(10.6-855.7)+(-2.763996+(-0.021624--1.745628))+0-0-0</f>
        <v>508.76000800000008</v>
      </c>
      <c r="Y69" s="3">
        <f>1133.1+(20.5-660.3)+(-1.733643+(-0.031365--1.010259))+0-0-0</f>
        <v>492.54525099999995</v>
      </c>
      <c r="Z69" s="3">
        <f>1265.6+(141-823.2)+(-1.936368+(-0.21573--1.259496))+0-0-0</f>
        <v>582.50739799999985</v>
      </c>
      <c r="AA69" s="3">
        <f>1436.7+(84.1-841.3)+(-1.465434+(-0.085782--0.858126))+0-0-0</f>
        <v>678.80691000000013</v>
      </c>
      <c r="AB69" s="3">
        <f>1439+(86.8-850.9)+(-1.46778+(-0.088536--0.867918))+0-0-0</f>
        <v>674.21160199999997</v>
      </c>
      <c r="AC69" s="3">
        <f>1426.5+(70.7-862.7)+(-2.91006+(-0.144228--1.759908))+0-0-0</f>
        <v>633.20561999999995</v>
      </c>
      <c r="AD69">
        <f t="shared" si="1"/>
        <v>12648.878984999999</v>
      </c>
      <c r="AE69" s="3">
        <f>1481+(80-883.6)+(0+(0-0))+0-0-0</f>
        <v>677.4</v>
      </c>
    </row>
    <row r="70" spans="1:31" s="2" customFormat="1" x14ac:dyDescent="0.25">
      <c r="A70">
        <v>89</v>
      </c>
      <c r="B70">
        <v>3</v>
      </c>
      <c r="C70">
        <v>8</v>
      </c>
      <c r="D70">
        <v>1</v>
      </c>
      <c r="E70">
        <v>1</v>
      </c>
      <c r="F70" s="3">
        <f>1424.4+(16.3-882.8)+(-2.179332+(-0.024939--1.350684))+0-0-0</f>
        <v>557.04641300000014</v>
      </c>
      <c r="G70" s="3">
        <f>1412.1+(9.9-922.4)+(-5.041197+(-0.035343--3.292968))+0-0-0</f>
        <v>497.81642799999992</v>
      </c>
      <c r="H70" s="3">
        <f>1421.2+(11-975.9)+(-2.899248+(-0.02244--1.990836))+0-0-0</f>
        <v>455.36914800000005</v>
      </c>
      <c r="I70" s="3">
        <f>1394+(13.2-972.1)+(-0.71094+(-0.006732--0.495771))+0-0-0</f>
        <v>434.87809900000002</v>
      </c>
      <c r="J70" s="3">
        <f>1322.8+(18.1-911)+(0+(0-0))+0-0-0</f>
        <v>429.9</v>
      </c>
      <c r="K70" s="3">
        <f>1224.2+(15.3-811.3)+(-3.12171+(-0.039015--2.068815))+0-0-0</f>
        <v>427.10809000000006</v>
      </c>
      <c r="L70" s="3">
        <f>1098.5+(8.6-676.8)+(-0.560235+(-0.004386--0.345168))+0-0-0</f>
        <v>430.08054700000008</v>
      </c>
      <c r="M70" s="3">
        <f>1100+(7.2-633.3)+(0+(0-0))+0-0-0</f>
        <v>473.90000000000009</v>
      </c>
      <c r="N70" s="3">
        <f>1210.9+(32.5-695)+(-1.852677+(-0.049725--1.06335))+0-0-0</f>
        <v>547.56094800000005</v>
      </c>
      <c r="O70" s="3">
        <f>1418.2+(66.9-878.8)+(-0.723282+(-0.034119--0.448188))+0-0-0</f>
        <v>605.99078700000007</v>
      </c>
      <c r="P70" s="3">
        <f>1415.7+(105.6-886.3)+(0+(0-0))+0-0-0</f>
        <v>635.00000000000011</v>
      </c>
      <c r="Q70" s="3">
        <f>1448.8+(143.4-962.4)+(-0.738888+(-0.073134--0.490824))+0-0-0</f>
        <v>629.47880199999997</v>
      </c>
      <c r="R70" s="3">
        <f>1438.8+(128.2-944.8)+(0+(0-0))+0-0-0</f>
        <v>622.20000000000005</v>
      </c>
      <c r="S70" s="3">
        <f>1450.1+(135.3-960.3)+(0.739551+(0.069003-0.489753))+0-0-0</f>
        <v>625.41880099999992</v>
      </c>
      <c r="T70" s="3">
        <f>1452+(142-984.2)+(0+(0-0))+0-0-0</f>
        <v>609.79999999999995</v>
      </c>
      <c r="U70" s="3">
        <f>1440.2+(139.6-991.4)+(-0.734502+(-0.071196--0.505614))+0-0-0</f>
        <v>588.09991600000012</v>
      </c>
      <c r="V70" s="3">
        <f>1437.7+(133.5-983.9)+(-2.199681+(-0.204255--1.505367))+0-0-0</f>
        <v>586.40143100000012</v>
      </c>
      <c r="W70" s="3">
        <f>1426.9+(124.5-958.8)+(-5.094033+(-0.444465--3.422916))+0-0-0</f>
        <v>590.48441800000012</v>
      </c>
      <c r="X70" s="3">
        <f>1462.2+(92.8-976.6)+(-3.72861+(-0.23664--2.49033))+0-0-0</f>
        <v>576.92507999999998</v>
      </c>
      <c r="Y70" s="3">
        <f>1475.3+(13.2-883.4)+(-0.752403+(-0.006732--0.450534))+0-0-0</f>
        <v>604.79139900000007</v>
      </c>
      <c r="Z70" s="3">
        <f>1470.1+(34.7-824.5)+(-0.749751+(-0.017697--0.420495))+0-0-0</f>
        <v>679.95304699999997</v>
      </c>
      <c r="AA70" s="3">
        <f>1482.8+(90.8-850.8)+(-1.512456+(-0.092616--0.867816))+0-0-0</f>
        <v>722.06274399999995</v>
      </c>
      <c r="AB70" s="3">
        <f>1473.9+(101.8-906.8)+(-3.758445+(-0.25959--2.31234))+0-0-0</f>
        <v>667.1943050000001</v>
      </c>
      <c r="AC70" s="3">
        <f>1444.9+(51.3-896.8)+(-2.947596+(-0.104652--1.829472))+0-0-0</f>
        <v>598.17722400000014</v>
      </c>
      <c r="AD70">
        <f t="shared" si="1"/>
        <v>13595.637627000004</v>
      </c>
      <c r="AE70" s="3">
        <f>1488+(90.5-885.6)+(0+(0-0))+0-0-0</f>
        <v>692.9</v>
      </c>
    </row>
    <row r="71" spans="1:31" s="2" customFormat="1" x14ac:dyDescent="0.25">
      <c r="A71">
        <v>89</v>
      </c>
      <c r="B71">
        <v>3</v>
      </c>
      <c r="C71">
        <v>9</v>
      </c>
      <c r="D71">
        <v>2</v>
      </c>
      <c r="E71">
        <v>1</v>
      </c>
      <c r="F71" s="3">
        <f>1426.3+(0.1-899.6)+(-2.182239+(-0.000153--1.376388))+0-0-0</f>
        <v>525.99399599999992</v>
      </c>
      <c r="G71" s="3">
        <f>1365.3+(1.9-882.2)+(-1.392606+(-0.001938--0.899844))+0-0-0</f>
        <v>484.50529999999986</v>
      </c>
      <c r="H71" s="3">
        <f>1204.5+(6.5-762.4)+(-0.614295+(-0.003315--0.388824))+0-0-0</f>
        <v>448.37121400000001</v>
      </c>
      <c r="I71" s="3">
        <f>1109.1+(12-689.8)+(-2.262564+(-0.02448--1.407192))+0-0-0</f>
        <v>430.42014799999993</v>
      </c>
      <c r="J71" s="3">
        <f>1209.4+(10.4-780.8)+(-0.616794+(-0.005304--0.398208))+0-0-0</f>
        <v>438.77611000000013</v>
      </c>
      <c r="K71" s="3">
        <f>1420.1+(1.6-971.6)+(-2.172753+(-0.002448--1.486548))+0-0-0</f>
        <v>449.41134699999992</v>
      </c>
      <c r="L71" s="3">
        <f>1408.8+(0-963.7)+(-2.873952+(0--1.965948))+0-0-0</f>
        <v>444.1919959999999</v>
      </c>
      <c r="M71" s="3">
        <f>1418.7+(2.7-947.4)+(0+(0-0))+0-0-0</f>
        <v>474.00000000000011</v>
      </c>
      <c r="N71" s="3">
        <f>1420.9+(6.2-903.7)+(0.724659+(0.003162-0.460887))+0-0-0</f>
        <v>523.66693400000008</v>
      </c>
      <c r="O71" s="3">
        <f>1417+(42.9-905.6)+(-0.72267+(-0.021879--0.461856))+0-0-0</f>
        <v>554.01730699999996</v>
      </c>
      <c r="P71" s="3">
        <f>1421.9+(115.5-958.2)+(0.725169+(0.058905-0.488682))+0-0-0</f>
        <v>579.49539200000004</v>
      </c>
      <c r="Q71" s="3">
        <f>1420.2+(130.3-971.4)+(0+(0-0))+0-0-0</f>
        <v>579.10000000000014</v>
      </c>
      <c r="R71" s="3">
        <f>1413.3+(147.2-966.5)+(-1.441566+(-0.150144--0.98583))+0-0-0</f>
        <v>593.39412000000004</v>
      </c>
      <c r="S71" s="3">
        <f>1412.7+(150.1-982.6)+(-1.440954+(-0.153102--1.002252))+0-0-0</f>
        <v>579.60819600000002</v>
      </c>
      <c r="T71" s="3">
        <f>1480.4+(162.5-1065.9)+(0+(0-0))+0-0-0</f>
        <v>577</v>
      </c>
      <c r="U71" s="3">
        <f>1476.6+(159.9-1066.5)+(0.753066+(0.081549-0.543915))+0-0-0</f>
        <v>570.2906999999999</v>
      </c>
      <c r="V71" s="3">
        <f>1464.8+(158-1046.4)+(-2.241144+(-0.24174--1.600992))+0-0-0</f>
        <v>575.51810799999987</v>
      </c>
      <c r="W71" s="3">
        <f>1466.9+(160.2-1051.7)+(-2.244357+(-0.245106--1.609101))+0-0-0</f>
        <v>574.5196380000001</v>
      </c>
      <c r="X71" s="3">
        <f>1450.8+(75.3-954)+(-5.919264+(-0.307224--3.89232))+0-0-0</f>
        <v>569.76583199999993</v>
      </c>
      <c r="Y71" s="3">
        <f>1475.1+(31.3-940.1)+(-0.752301+(-0.015963--0.479451))+0-0-0</f>
        <v>566.01118699999984</v>
      </c>
      <c r="Z71" s="3">
        <f>1483.6+(121.5-926.8)+(0+(0-0))+0-0-0</f>
        <v>678.3</v>
      </c>
      <c r="AA71" s="3">
        <f>1489.2+(99.1-859.3)+(-2.278476+(-0.151623--1.314729))+0-0-0</f>
        <v>727.88463000000013</v>
      </c>
      <c r="AB71" s="3">
        <f>1489.8+(98.3-887.5)+(-2.279394+(-0.150399--1.357875))+0-0-0</f>
        <v>699.52808199999993</v>
      </c>
      <c r="AC71" s="3">
        <f>1478.3+(90.3-943.4)+(-3.769665+(-0.230265--2.40567))+0-0-0</f>
        <v>623.60573999999997</v>
      </c>
      <c r="AD71">
        <f t="shared" si="1"/>
        <v>13267.375977</v>
      </c>
      <c r="AE71" s="3">
        <f>1495+(98.3-892.3)+(0+(0-0))+0-0-0</f>
        <v>701</v>
      </c>
    </row>
    <row r="72" spans="1:31" s="2" customFormat="1" x14ac:dyDescent="0.25">
      <c r="A72">
        <v>89</v>
      </c>
      <c r="B72">
        <v>3</v>
      </c>
      <c r="C72">
        <v>10</v>
      </c>
      <c r="D72">
        <v>3</v>
      </c>
      <c r="E72">
        <v>1</v>
      </c>
      <c r="F72" s="3">
        <f>1489.5+(32.9-978.3)+(-0.759645+(-0.016779--0.498933))+0-0-0</f>
        <v>543.82250899999997</v>
      </c>
      <c r="G72" s="3">
        <f>1487.7+(43.2-1025.4)+(-1.517454+(-0.044064--1.045908))+0-0-0</f>
        <v>504.98439000000002</v>
      </c>
      <c r="H72" s="3">
        <f>1489.4+(53.1-1052.9)+(0+(0-0))+0-0-0</f>
        <v>489.6</v>
      </c>
      <c r="I72" s="3">
        <f>1485.9+(45.1-1045.7)+(-2.273427+(-0.069003--1.599921))+0-0-0</f>
        <v>484.55749100000008</v>
      </c>
      <c r="J72" s="3">
        <f>1485.6+(46.7-1039.7)+(-2.272968+(-0.071451--1.590741))+0-0-0</f>
        <v>491.84632199999993</v>
      </c>
      <c r="K72" s="3">
        <f>1488.5+(35.7-1044.7)+(-1.51827+(-0.036414--1.065594))+0-0-0</f>
        <v>479.01091000000002</v>
      </c>
      <c r="L72" s="3">
        <f>1494.3+(3.2-1054)+(0+(0-0))+0-0-0</f>
        <v>443.5</v>
      </c>
      <c r="M72" s="3">
        <f>1500.7+(27.2-1035.3)+(0.765357+(0.013872-0.528003))+0-0-0</f>
        <v>492.85122600000011</v>
      </c>
      <c r="N72" s="3">
        <f>1504.6+(35-998.9)+(1.534692+(0.0357-1.018878))+0-0-0</f>
        <v>541.25151399999993</v>
      </c>
      <c r="O72" s="3">
        <f>1490.6+(104.8-1004.7)+(0+(0-0))+0-0-0</f>
        <v>590.69999999999982</v>
      </c>
      <c r="P72" s="3">
        <f>1473.7+(139.3-994.3)+(0.751587+(0.071043-0.507093))+0-0-0</f>
        <v>619.01553699999999</v>
      </c>
      <c r="Q72" s="3">
        <f>1461.1+(143.4-952.9)+(0.745161+(0.073134-0.485979))+0-0-0</f>
        <v>651.9323159999999</v>
      </c>
      <c r="R72" s="3">
        <f>1447.1+(142-946.3)+(-1.476042+(-0.14484--0.965226))+0-0-0</f>
        <v>642.14434399999993</v>
      </c>
      <c r="S72" s="3">
        <f>1446.6+(148-974.5)+(-1.475532+(-0.15096--0.99399))+0-0-0</f>
        <v>619.46749799999986</v>
      </c>
      <c r="T72" s="3">
        <f>1448.7+(158.5-1013.1)+(-0.738837+(-0.080835--0.516681))+0-0-0</f>
        <v>593.797009</v>
      </c>
      <c r="U72" s="3">
        <f>1436+(157.6-1005)+(-1.46472+(-0.160752--1.0251))+0-0-0</f>
        <v>587.99962800000003</v>
      </c>
      <c r="V72" s="3">
        <f>1426.8+(154.9-983.2)+(-2.910672+(-0.315996--2.005728))+0-0-0</f>
        <v>597.27905999999984</v>
      </c>
      <c r="W72" s="3">
        <f>1420.7+(151.2-973.9)+(-4.347342+(-0.462672--2.980134))+0-0-0</f>
        <v>596.17012</v>
      </c>
      <c r="X72" s="3">
        <f>1425.6+(120.3-972.6)+(-3.63528+(-0.306765--2.48013))+0-0-0</f>
        <v>571.83808499999986</v>
      </c>
      <c r="Y72" s="3">
        <f>1431.7+(50-905.8)+(-1.460334+(-0.051--0.923916))+0-0-0</f>
        <v>575.31258200000013</v>
      </c>
      <c r="Z72" s="3">
        <f>1443.7+(58.2-837.9)+(-1.472574+(-0.059364--0.854658))+0-0-0</f>
        <v>663.32272000000012</v>
      </c>
      <c r="AA72" s="3">
        <f>1479+(38.9-771.6)+(-0.75429+(-0.019839--0.393516))+0-0-0</f>
        <v>745.91938699999992</v>
      </c>
      <c r="AB72" s="3">
        <f>1481.8+(40.9-823.4)+(-1.511436+(-0.041718--0.839868))+0-0-0</f>
        <v>698.58671399999992</v>
      </c>
      <c r="AC72" s="3">
        <f>1477.7+(62.5-898.3)+(-2.260881+(-0.095625--1.374399))+0-0-0</f>
        <v>640.91789300000005</v>
      </c>
      <c r="AD72">
        <f t="shared" si="1"/>
        <v>13865.827254999998</v>
      </c>
      <c r="AE72" s="3">
        <f>1470+(38-827.5)+(0+(0-0))+0-0-0</f>
        <v>680.5</v>
      </c>
    </row>
    <row r="73" spans="1:31" s="2" customFormat="1" x14ac:dyDescent="0.25">
      <c r="A73">
        <v>89</v>
      </c>
      <c r="B73">
        <v>3</v>
      </c>
      <c r="C73">
        <v>11</v>
      </c>
      <c r="D73">
        <v>4</v>
      </c>
      <c r="E73">
        <v>1</v>
      </c>
      <c r="F73" s="3">
        <f>1470+(49.6-952.9)+(-3.7485+(-0.12648--2.429895))+0-0-0</f>
        <v>565.2549150000001</v>
      </c>
      <c r="G73" s="3">
        <f>1476+(89.1-1032.7)+(-2.25828+(-0.136323--1.580031))+0-0-0</f>
        <v>531.58542799999998</v>
      </c>
      <c r="H73" s="3">
        <f>1476.8+(87.2-1059.6)+(-2.259504+(-0.133416--1.621188))+0-0-0</f>
        <v>503.62826800000011</v>
      </c>
      <c r="I73" s="3">
        <f>1483.2+(78.9-1059)+(0+(0-0))+0-0-0</f>
        <v>503.1</v>
      </c>
      <c r="J73" s="3">
        <f>1486.2+(34-1002.9)+(0.757962+(0.01734-0.511479))+0-0-0</f>
        <v>517.56382300000007</v>
      </c>
      <c r="K73" s="3">
        <f>1449.1+(30-982.7)+(-4.434246+(-0.0918--3.007062))+0-0-0</f>
        <v>494.88101599999987</v>
      </c>
      <c r="L73" s="3">
        <f>1287.9+(35.8-814.7)+(-0.656829+(-0.018258--0.415497))+0-0-0</f>
        <v>508.74041</v>
      </c>
      <c r="M73" s="3">
        <f>1327.8+(66.8-916.4)+(-2.708712+(-0.136272--1.869456))+0-0-0</f>
        <v>477.22447199999993</v>
      </c>
      <c r="N73" s="3">
        <f>1455.9+(88-998.1)+(0.742509+(0.04488-0.509031))+0-0-0</f>
        <v>546.07835800000009</v>
      </c>
      <c r="O73" s="3">
        <f>1451.7+(100.1-977.3)+(0.740367+(0.051051-0.498423))+0-0-0</f>
        <v>574.79299500000013</v>
      </c>
      <c r="P73" s="3">
        <f>1454+(123.9-969.4)+(-1.48308+(-0.126378--0.988788))+0-0-0</f>
        <v>607.87932999999998</v>
      </c>
      <c r="Q73" s="3">
        <f>1462.3+(113-954.2)+(-0.745773+(-0.05763--0.486642))+0-0-0</f>
        <v>620.78323899999987</v>
      </c>
      <c r="R73" s="3">
        <f>1459+(136.9-942.6)+(0.74409+(0.069819-0.480726))+0-0-0</f>
        <v>653.63318299999992</v>
      </c>
      <c r="S73" s="3">
        <f>1440.9+(147.5-982.7)+(-0.734859+(-0.075225--0.501177))+57.2-0-0</f>
        <v>662.59109300000011</v>
      </c>
      <c r="T73" s="3">
        <f>1446.9+(159-1002.4)+(1.475838+(0.16218-1.022448))+0-0-0</f>
        <v>604.11557000000016</v>
      </c>
      <c r="U73" s="3">
        <f>1425.8+(153.7-977.9)+(-2.181474+(-0.235161--1.496187))+0-0-0</f>
        <v>600.67955199999994</v>
      </c>
      <c r="V73" s="3">
        <f>1427.7+(151.5-974.1)+(-1.456254+(-0.15453--0.993582))+0-0-0</f>
        <v>604.482798</v>
      </c>
      <c r="W73" s="3">
        <f>1418.8+(147.8-962.1)+(-3.61794+(-0.37689--2.453355))+0-0-0</f>
        <v>602.95852500000001</v>
      </c>
      <c r="X73" s="3">
        <f>1385.5+(124.8-928.8)+(-3.533025+(-0.31824--2.36844))+0-0-0</f>
        <v>580.01717499999995</v>
      </c>
      <c r="Y73" s="3">
        <f>1395.1+(88.8-908.2)+(-0.711501+(-0.045288--0.463182))+0-0-0</f>
        <v>575.40639299999987</v>
      </c>
      <c r="Z73" s="3">
        <f>1412.4+(102-854.1)+(-1.440648+(-0.10404--0.871182))+0-0-0</f>
        <v>659.62649400000009</v>
      </c>
      <c r="AA73" s="3">
        <f>1490.9+(60.6-797.3)+(-0.760359+(-0.030906--0.406623))+0-0-0</f>
        <v>753.81535800000017</v>
      </c>
      <c r="AB73" s="3">
        <f>1486.1+(58.1-820.8)+(-0.757911+(-0.029631--0.418608))+0-0-0</f>
        <v>723.03106600000001</v>
      </c>
      <c r="AC73" s="3">
        <f>1476.7+(56.7-875)+(-3.012468+(-0.115668--1.785))+0-0-0</f>
        <v>657.05686400000013</v>
      </c>
      <c r="AD73">
        <f t="shared" si="1"/>
        <v>14128.926324999997</v>
      </c>
      <c r="AE73" s="3">
        <f>1492.5+(64.6-849.4)+(0+(0-0))+0-0-0</f>
        <v>707.7</v>
      </c>
    </row>
    <row r="74" spans="1:31" s="2" customFormat="1" x14ac:dyDescent="0.25">
      <c r="A74">
        <v>89</v>
      </c>
      <c r="B74">
        <v>3</v>
      </c>
      <c r="C74">
        <v>12</v>
      </c>
      <c r="D74">
        <v>5</v>
      </c>
      <c r="E74">
        <v>1</v>
      </c>
      <c r="F74" s="3">
        <f>1448.2+(24.4-887.6)+(-0.738582+(-0.012444--0.452676))+0-0-0</f>
        <v>584.70164999999997</v>
      </c>
      <c r="G74" s="3">
        <f>1427.9+(12-914.8)+(-1.456458+(-0.01224--0.933096))+0-0-0</f>
        <v>524.5643980000001</v>
      </c>
      <c r="H74" s="3">
        <f>1430.2+(13-941.3)+(-0.729402+(-0.00663--0.480063))+0-0-0</f>
        <v>501.6440310000001</v>
      </c>
      <c r="I74" s="3">
        <f>1420.3+(16.4-949.1)+(-2.897412+(-0.033456--1.936164))+0-0-0</f>
        <v>486.6052959999999</v>
      </c>
      <c r="J74" s="3">
        <f>1434.8+(16.6-950.8)+(0.731748+(0.008466-0.484908))+0-0-0</f>
        <v>500.85530600000004</v>
      </c>
      <c r="K74" s="3">
        <f>1380+(8-898)+(-2.8152+(-0.01632--1.83192))+0-0-0</f>
        <v>489.00040000000001</v>
      </c>
      <c r="L74" s="3">
        <f>1080.5+(40.1-674.1)+(-2.20422+(-0.081804--1.375164))+0-0-0</f>
        <v>445.58913999999999</v>
      </c>
      <c r="M74" s="3">
        <f>1075.8+(8-578)+(0.548658+(0.00408-0.29478))+0-0-0</f>
        <v>506.05795799999993</v>
      </c>
      <c r="N74" s="3">
        <f>1069.7+(85-590.8)+(-1.636641+(-0.13005--0.903924))+0-0-0</f>
        <v>563.03723300000013</v>
      </c>
      <c r="O74" s="3">
        <f>1144.8+(98.7-650.6)+(-1.167696+(-0.100674--0.663612))+0-0-0</f>
        <v>592.29524200000003</v>
      </c>
      <c r="P74" s="3">
        <f>1385.4+(89.6-809.1)+(0+(0-0))+0-0-0</f>
        <v>665.90000000000009</v>
      </c>
      <c r="Q74" s="3">
        <f>1371.7+(104.9-779.9)+(0.699567+(0.053499-0.397749))+0-0-0</f>
        <v>697.05531700000006</v>
      </c>
      <c r="R74" s="3">
        <f>1355+(102.8-783.4)+(1.3821+(0.104856-0.799068))+0-0-0</f>
        <v>675.08788800000002</v>
      </c>
      <c r="S74" s="3">
        <f>1388.7+(104-826.2)+(-0.708237+(-0.05304--0.421362))+0-0-0</f>
        <v>666.16008499999998</v>
      </c>
      <c r="T74" s="3">
        <f>1387.5+(103.5-856.6)+(-2.122875+(-0.158355--1.310598))+0-0-0</f>
        <v>633.42936799999995</v>
      </c>
      <c r="U74" s="3">
        <f>1393.1+(94.7-865.4)+(0+(0-0))+0-0-0</f>
        <v>622.4</v>
      </c>
      <c r="V74" s="3">
        <f>1395+(75.2-839.4)+(-0.71145+(-0.038352--0.428094))+0-0-0</f>
        <v>630.47829200000012</v>
      </c>
      <c r="W74" s="3">
        <f>1388.2+(84.3-846)+(-1.415964+(-0.085986--0.86292))+0-0-0</f>
        <v>625.86096999999995</v>
      </c>
      <c r="X74" s="3">
        <f>1386.1+(54.4-854.4)+(-2.120733+(-0.083232--1.307232))+0-0-0</f>
        <v>585.20326699999987</v>
      </c>
      <c r="Y74" s="3">
        <f>1395.5+(20.6-823.6)+(0+(0-0))+0-0-0</f>
        <v>592.5</v>
      </c>
      <c r="Z74" s="3">
        <f>1416.3+(72.7-800.2)+(0+(0-0))+0-0-0</f>
        <v>688.8</v>
      </c>
      <c r="AA74" s="3">
        <f>1432.2+(61.4-726.9)+(-1.460844+(-0.062628--0.741438))+0-0-0</f>
        <v>765.91796600000009</v>
      </c>
      <c r="AB74" s="3">
        <f>1438.2+(66.5-750.1)+(-1.466964+(-0.06783--0.765102))+0-0-0</f>
        <v>753.83030800000006</v>
      </c>
      <c r="AC74" s="3">
        <f>1416.1+(73.5-792.8)+(-2.166633+(-0.112455--1.212984))+0-0-0</f>
        <v>695.73389599999996</v>
      </c>
      <c r="AD74">
        <f t="shared" si="1"/>
        <v>14492.708010999997</v>
      </c>
      <c r="AE74" s="3">
        <f>1416+(59.2-759.4)+(0+(0-0))+0-0-0</f>
        <v>715.80000000000007</v>
      </c>
    </row>
    <row r="75" spans="1:31" s="2" customFormat="1" x14ac:dyDescent="0.25">
      <c r="A75">
        <v>89</v>
      </c>
      <c r="B75">
        <v>3</v>
      </c>
      <c r="C75">
        <v>13</v>
      </c>
      <c r="D75">
        <v>6</v>
      </c>
      <c r="E75">
        <v>1</v>
      </c>
      <c r="F75" s="3">
        <f>1385.6+(32.8-805.3)+(0+(0-0))+0-0-0</f>
        <v>613.09999999999991</v>
      </c>
      <c r="G75" s="3">
        <f>1381.6+(32.8-853.8)+(-0.704616+(-0.016728--0.435438))+0-0-0</f>
        <v>560.31409399999995</v>
      </c>
      <c r="H75" s="3">
        <f>1358+(28.8-859.7)+(-1.38516+(-0.029376--0.876894))+0-0-0</f>
        <v>526.5623579999999</v>
      </c>
      <c r="I75" s="3">
        <f>1358.1+(34.9-878.6)+(-1.385262+(-0.035598--0.896172))+0-0-0</f>
        <v>513.87531199999989</v>
      </c>
      <c r="J75" s="3">
        <f>1353+(5.5-851)+(-1.38006+(-0.00561--0.86802))+0-0-0</f>
        <v>506.98235</v>
      </c>
      <c r="K75" s="3">
        <f>1336.1+(0-851.4)+(-1.362822+(0--0.868428))+0-0-0</f>
        <v>484.20560599999993</v>
      </c>
      <c r="L75" s="3">
        <f>1067.1+(5.4-624.9)+(-0.544221+(-0.002754--0.318699))+0-0-0</f>
        <v>447.37172399999992</v>
      </c>
      <c r="M75" s="3">
        <f>1070.8+(29.3-608.2)+(0+(0-0))+0-0-0</f>
        <v>491.89999999999986</v>
      </c>
      <c r="N75" s="3">
        <f>1183.8+(24.1-654.6)+(1.207476+(0.024582-0.667692))+0-0-0</f>
        <v>553.8643659999999</v>
      </c>
      <c r="O75" s="3">
        <f>1396.5+(50.2-827.1)+(-0.712215+(-0.025602--0.421821))+0-0-0</f>
        <v>619.28400399999998</v>
      </c>
      <c r="P75" s="3">
        <f>1394.1+(76.5-803.2)+(0+(0-0))+0-0-0</f>
        <v>667.39999999999986</v>
      </c>
      <c r="Q75" s="3">
        <f>1385.3+(65.4-758.8)+(1.413006+(0.066708-0.773976))+0-0-0</f>
        <v>692.60573799999997</v>
      </c>
      <c r="R75" s="3">
        <f>1383.7+(73.5-743.1)+(0+(0-0))+0-0-0</f>
        <v>714.1</v>
      </c>
      <c r="S75" s="3">
        <f>1406.9+(70.7-768.1)+(-1.435038+(-0.072114--0.783462))+0-0-0</f>
        <v>708.77631000000008</v>
      </c>
      <c r="T75" s="3">
        <f>1403.9+(74.3-790.4)+(-1.431978+(-0.075786--0.806208))+0-0-0</f>
        <v>687.09844400000009</v>
      </c>
      <c r="U75" s="3">
        <f>1397+(74.3-803.7)+(-0.71247+(-0.037893--0.409887))+0-0-0</f>
        <v>667.25952399999994</v>
      </c>
      <c r="V75" s="3">
        <f>1377+(74.6-784.1)+(-3.51135+(-0.19023--1.999455))+0-0-0</f>
        <v>665.79787499999998</v>
      </c>
      <c r="W75" s="3">
        <f>1371.6+(81.6-800)+(-3.49758+(-0.20808--2.04))+0-0-0</f>
        <v>651.53433999999993</v>
      </c>
      <c r="X75" s="3">
        <f>1374.9+(25.8-776)+(-2.804796+(-0.052632--1.58304))+0-0-0</f>
        <v>623.425612</v>
      </c>
      <c r="Y75" s="3">
        <f>1382.1+(10-779)+(0+(0-0))+0-0-0</f>
        <v>613.09999999999991</v>
      </c>
      <c r="Z75" s="3">
        <f>1388.9+(79.4-775.9)+(-2.125017+(-0.121482--1.187127))+0-0-0</f>
        <v>691.34062800000004</v>
      </c>
      <c r="AA75" s="3">
        <f>1413.9+(56.5-686.6)+(-2.163267+(-0.086445--1.050498))+0-0-0</f>
        <v>782.60078600000008</v>
      </c>
      <c r="AB75" s="3">
        <f>1431.3+(64-734)+(-0.729963+(-0.03264--0.37434))+0-0-0</f>
        <v>760.9117369999999</v>
      </c>
      <c r="AC75" s="3">
        <f>1457.2+(94.4-823.3)+(-2.229516+(-0.144432--1.259649))+0-0-0</f>
        <v>727.18570100000011</v>
      </c>
      <c r="AD75">
        <f t="shared" si="1"/>
        <v>14970.596509000001</v>
      </c>
      <c r="AE75" s="3">
        <f>1399+(52-717)+(0+(0-0))+0-0-0</f>
        <v>734</v>
      </c>
    </row>
    <row r="76" spans="1:31" s="2" customFormat="1" x14ac:dyDescent="0.25">
      <c r="A76">
        <v>89</v>
      </c>
      <c r="B76">
        <v>3</v>
      </c>
      <c r="C76">
        <v>14</v>
      </c>
      <c r="D76">
        <v>7</v>
      </c>
      <c r="E76">
        <v>4</v>
      </c>
      <c r="F76" s="3">
        <f>1375.8+(54.4-763.9)+(0+(0-0))+0-0-0</f>
        <v>666.3</v>
      </c>
      <c r="G76" s="3">
        <f>1253.6+(53.4-703.9)+(-0.639336+(-0.027234--0.358989))+0-0-0</f>
        <v>602.79241899999988</v>
      </c>
      <c r="H76" s="3">
        <f>1225.8+(78.6-759.1)+(1.250316+(0.080172-0.774282))+0-0-0</f>
        <v>545.85620599999993</v>
      </c>
      <c r="I76" s="3">
        <f>1215.8+(78-776.8)+(-1.240116+(-0.07956--0.792336))+0-0-0</f>
        <v>516.47266000000002</v>
      </c>
      <c r="J76" s="3">
        <f>1217.7+(84.5-798.7)+(0+(0-0))+0-0-0</f>
        <v>503.5</v>
      </c>
      <c r="K76" s="3">
        <f>1205.9+(65.9-797.5)+(0+(0-0))+0-0-0</f>
        <v>474.30000000000007</v>
      </c>
      <c r="L76" s="3">
        <f>997.9+(40-608.5)+(0+(0-0))+0-0-0</f>
        <v>429.4</v>
      </c>
      <c r="M76" s="3">
        <f>988.3+(32-594)+(-1.512099+(-0.04896--0.90882))+0-0-0</f>
        <v>425.64776099999995</v>
      </c>
      <c r="N76" s="3">
        <f>994.1+(27.8-562)+(-1.013982+(-0.028356--0.57324))+0-0-0</f>
        <v>459.430902</v>
      </c>
      <c r="O76" s="3">
        <f>1119.4+(21.5-623.1)+(-0.570894+(-0.010965--0.317781))+0-0-0</f>
        <v>517.53592200000003</v>
      </c>
      <c r="P76" s="3">
        <f>1222.1+(45.3-696)+(0.623271+(0.023103-0.35496))+0-0-0</f>
        <v>571.6914139999999</v>
      </c>
      <c r="Q76" s="3">
        <f>1207.3+(45.2-633.1)+(0+(0-0))+0-0-0</f>
        <v>619.4</v>
      </c>
      <c r="R76" s="3">
        <f>1198.2+(47.7-587.1)+(-1.222164+(-0.048654--0.598842))+0-0-0</f>
        <v>658.1280240000001</v>
      </c>
      <c r="S76" s="3">
        <f>1189.2+(57.7-567.7)+(-1.212984+(-0.058854--0.579054))+0-0-0</f>
        <v>678.50721600000008</v>
      </c>
      <c r="T76" s="3">
        <f>1174.2+(60.8-564.4)+(-1.197684+(-0.062016--0.575688))+0-0-0</f>
        <v>669.91598800000008</v>
      </c>
      <c r="U76" s="3">
        <f>1173.1+(56.5-578.3)+(-1.196562+(-0.05763--0.589866))+0-0-0</f>
        <v>650.63567399999999</v>
      </c>
      <c r="V76" s="3">
        <f>1161.1+(50.4-572.2)+(-1.184322+(-0.051408--0.583644))+0-0-0</f>
        <v>638.64791399999979</v>
      </c>
      <c r="W76" s="3">
        <f>1154.4+(47.6-581.2)+(-1.766232+(-0.072828--0.889236))+0-0-0</f>
        <v>619.85017600000003</v>
      </c>
      <c r="X76" s="3">
        <f>1155.1+(15-573.7)+(-1.178202+(-0.0153--0.585174))+0-0-0</f>
        <v>595.79167199999983</v>
      </c>
      <c r="Y76" s="3">
        <f>1161.1+(11-585.3)+(-0.592161+(-0.00561--0.298503))+0-0-0</f>
        <v>586.50073199999997</v>
      </c>
      <c r="Z76" s="3">
        <f>1174.9+(114.7-641.3)+(-0.599199+(-0.058497--0.327063))+0-0-0</f>
        <v>647.96936700000015</v>
      </c>
      <c r="AA76" s="3">
        <f>1204.4+(128.3-558.3)+(-0.614244+(-0.065433--0.284733))+0-0-0</f>
        <v>774.00505600000008</v>
      </c>
      <c r="AB76" s="3">
        <f>1211.4+(127.3-554.3)+(-1.853442+(-0.194769--0.848079))+0-0-0</f>
        <v>783.19986800000004</v>
      </c>
      <c r="AC76" s="3">
        <f>1204.5+(129.6-578.5)+(-1.22859+(-0.132192--0.59007))+0-0-0</f>
        <v>754.82928800000002</v>
      </c>
      <c r="AD76">
        <f t="shared" si="1"/>
        <v>14390.308258999999</v>
      </c>
      <c r="AE76" s="3">
        <f>1222+(123.1-589.4)+(0+(0-0))+0-0-0</f>
        <v>755.7</v>
      </c>
    </row>
    <row r="77" spans="1:31" s="2" customFormat="1" x14ac:dyDescent="0.25">
      <c r="A77">
        <v>89</v>
      </c>
      <c r="B77">
        <v>3</v>
      </c>
      <c r="C77">
        <v>15</v>
      </c>
      <c r="D77">
        <v>1</v>
      </c>
      <c r="E77">
        <v>4</v>
      </c>
      <c r="F77" s="3">
        <f>1197.9+(100.4-615.3)+(-1.832787+(-0.153612--0.941409))+0-0-0</f>
        <v>681.95501000000013</v>
      </c>
      <c r="G77" s="3">
        <f>1206.8+(61.4-631.5)+(0+(0-0))+0-0-0</f>
        <v>636.69999999999993</v>
      </c>
      <c r="H77" s="3">
        <f>1214.5+(59-683.8)+(1.23879+(0.06018-0.697476))+0-0-0</f>
        <v>590.30149400000005</v>
      </c>
      <c r="I77" s="3">
        <f>1210.4+(64.3-717.7)+(-1.234608+(-0.065586--0.732054))+0-0-0</f>
        <v>556.43186000000003</v>
      </c>
      <c r="J77" s="3">
        <f>1212.6+(60.6-735.5)+(0+(0-0))+0-0-0</f>
        <v>537.69999999999993</v>
      </c>
      <c r="K77" s="3">
        <f>1203.9+(62.9-754.2)+(-2.455956+(-0.128316--1.538568))+0-0-0</f>
        <v>511.55429600000002</v>
      </c>
      <c r="L77" s="3">
        <f>1207.4+(24.1-778.3)+(-1.231548+(-0.024582--0.793866))+0-0-0</f>
        <v>452.73773600000015</v>
      </c>
      <c r="M77" s="3">
        <f>1213.9+(6-744.6)+(0+(0-0))+0-0-0</f>
        <v>475.30000000000007</v>
      </c>
      <c r="N77" s="3">
        <f>1220+(27.3-720.7)+(0.6222+(0.013923-0.367557))+0-0-0</f>
        <v>526.86856599999987</v>
      </c>
      <c r="O77" s="3">
        <f>1257+(51.8-685)+(0.64107+(0.026418-0.34935))+0-0-0</f>
        <v>624.11813799999993</v>
      </c>
      <c r="P77" s="3">
        <f>1258+(78.6-690.4)+(1.92474+(0.120258-1.056312))+0-0-0</f>
        <v>647.18868600000008</v>
      </c>
      <c r="Q77" s="3">
        <f>1255.6+(107.7-673.8)+(1.280712+(0.109854-0.687276))+0-0-0</f>
        <v>690.20329000000004</v>
      </c>
      <c r="R77" s="3">
        <f>1241.8+(109.1-637.3)+(0+(0-0))+0-0-0</f>
        <v>713.6</v>
      </c>
      <c r="S77" s="3">
        <f>1231.1+(138.1-611.3)+(-0.627861+(-0.070431--0.311763))+0-0-0</f>
        <v>757.51347099999998</v>
      </c>
      <c r="T77" s="3">
        <f>1246.9+(152.7-627.8)+(0+(0-0))+0-0-0</f>
        <v>771.80000000000018</v>
      </c>
      <c r="U77" s="3">
        <f>1254.2+(152.9-653.5)+(-1.279284+(-0.155958--0.66657))+0-0-0</f>
        <v>752.83132799999998</v>
      </c>
      <c r="V77" s="3">
        <f>1248.3+(139.4-664.4)+(-0.636633+(-0.071094--0.338844))+0-0-0</f>
        <v>722.93111699999997</v>
      </c>
      <c r="W77" s="3">
        <f>1224.9+(142.9-676.6)+(-3.123495+(-0.364395--1.72533))+0-0-0</f>
        <v>689.43744000000004</v>
      </c>
      <c r="X77" s="3">
        <f>1185.1+(153-692.5)+(-1.813203+(-0.23409--1.059525))+0-0-0</f>
        <v>644.61223199999995</v>
      </c>
      <c r="Y77" s="3">
        <f>1183.3+(136.4-688.4)+(-3.620898+(-0.417384--2.106504))+0-0-0</f>
        <v>629.36822199999995</v>
      </c>
      <c r="Z77" s="3">
        <f>1227.2+(138.5-651.9)+(-0.625872+(-0.070635--0.332469))+0-0-0</f>
        <v>713.43596200000002</v>
      </c>
      <c r="AA77" s="3">
        <f>1279.2+(143.5-582.6)+(-3.26196+(-0.365925--1.48563))+0-0-0</f>
        <v>837.95774500000005</v>
      </c>
      <c r="AB77" s="3">
        <f>1337.9+(171.3-666.7)+(-1.364658+(-0.174726--0.680034))+0-0-0</f>
        <v>841.64065000000005</v>
      </c>
      <c r="AC77" s="3">
        <f>1428.6+(186.1-832.4)+(-2.914344+(-0.379644--1.698096))+0-0-0</f>
        <v>780.70410799999991</v>
      </c>
      <c r="AD77">
        <f t="shared" si="1"/>
        <v>15786.891350999998</v>
      </c>
      <c r="AE77" s="3">
        <f>1268+(167.1-623.5)+(0+(0-0))+0-0-0</f>
        <v>811.6</v>
      </c>
    </row>
    <row r="78" spans="1:31" s="2" customFormat="1" x14ac:dyDescent="0.25">
      <c r="A78">
        <v>89</v>
      </c>
      <c r="B78">
        <v>3</v>
      </c>
      <c r="C78">
        <v>16</v>
      </c>
      <c r="D78">
        <v>2</v>
      </c>
      <c r="E78">
        <v>1</v>
      </c>
      <c r="F78" s="3">
        <f>1403.2+(141.8-841.1)+(-3.57816+(-0.36159--2.144805))+0-0-0</f>
        <v>702.10505500000011</v>
      </c>
      <c r="G78" s="3">
        <f>1411.3+(38.2-810.9)+(-2.159289+(-0.058446--1.240677))+0-0-0</f>
        <v>637.62294199999997</v>
      </c>
      <c r="H78" s="3">
        <f>1364.4+(47.4-823.9)+(0.695844+(0.024174-0.420189))+0-0-0</f>
        <v>588.19982900000014</v>
      </c>
      <c r="I78" s="3">
        <f>1384.1+(48.7-873.4)+(-3.529455+(-0.124185--2.22717))+0-0-0</f>
        <v>557.97352999999998</v>
      </c>
      <c r="J78" s="3">
        <f>1320.7+(55.2-831.8)+(0+(0-0))+0-0-0</f>
        <v>544.10000000000014</v>
      </c>
      <c r="K78" s="3">
        <f>1294.3+(59.4-837)+(-3.300465+(-0.15147--2.13435))+0-0-0</f>
        <v>515.38241499999992</v>
      </c>
      <c r="L78" s="3">
        <f>1267.2+(29.4-817)+(0.646272+(0.014994-0.41667))+0-0-0</f>
        <v>479.84459600000002</v>
      </c>
      <c r="M78" s="3">
        <f>1402.7+(40.8-908.4)+(-0.715377+(-0.020808--0.463284))+0-0-0</f>
        <v>534.82709899999998</v>
      </c>
      <c r="N78" s="3">
        <f>1445.9+(101.2-926.3)+(0+(0-0))+0-0-0</f>
        <v>620.80000000000018</v>
      </c>
      <c r="O78" s="3">
        <f>1454.7+(188.5-963.5)+(0.741897+(0.096135-0.491385))+0-0-0</f>
        <v>680.04664700000001</v>
      </c>
      <c r="P78" s="3">
        <f>1407.1+(192.7-872.6)+(0+(0-0))+0-0-0</f>
        <v>727.19999999999982</v>
      </c>
      <c r="Q78" s="3">
        <f>1427.1+(185.4-851.7)+(0.727821+(0.094554-0.434367))+0-0-0</f>
        <v>761.18800799999985</v>
      </c>
      <c r="R78" s="3">
        <f>1397.4+(189.6-793.8)+(-0.712674+(-0.096696--0.404838))+0-0-0</f>
        <v>792.79546800000014</v>
      </c>
      <c r="S78" s="3">
        <f>1388.4+(200.7-756.7)+(-1.416168+(-0.204714--0.771834))+0-0-0</f>
        <v>831.55095200000005</v>
      </c>
      <c r="T78" s="3">
        <f>1393.6+(203.6-771.4)+(-1.421472+(-0.207672--0.786828))+0-0-0</f>
        <v>824.95768399999997</v>
      </c>
      <c r="U78" s="3">
        <f>1388.2+(203.2-788.3)+(-1.415964+(-0.207264--0.804066))+0-0-0</f>
        <v>802.28083800000013</v>
      </c>
      <c r="V78" s="3">
        <f>1370.5+(217.3-802.7)+(-2.79582+(-0.443292--1.637508))+0-0-0</f>
        <v>783.49839599999996</v>
      </c>
      <c r="W78" s="3">
        <f>1370.8+(211.5-821.4)+(-3.49554+(-0.539325--2.09457))+0-0-0</f>
        <v>758.95970499999999</v>
      </c>
      <c r="X78" s="3">
        <f>1371.3+(123.8-782.2)+(-4.196178+(-0.378828--2.393532))+0-0-0</f>
        <v>710.71852599999988</v>
      </c>
      <c r="Y78" s="3">
        <f>1380.1+(89.5-790.3)+(-2.815404+(-0.18258--1.612212))+0-0-0</f>
        <v>677.91422799999998</v>
      </c>
      <c r="Z78" s="3">
        <f>1447.5+(150.3-846.4)+(0+(0-0))+0-0-0</f>
        <v>751.40000000000009</v>
      </c>
      <c r="AA78" s="3">
        <f>1456.9+(131.9-715.2)+(-3.715095+(-0.336345--1.82376))+0-0-0</f>
        <v>871.37232000000006</v>
      </c>
      <c r="AB78" s="3">
        <f>1458.4+(140.2-736.2)+(-2.975136+(-0.286008--1.501848))+0-0-0</f>
        <v>860.64070400000014</v>
      </c>
      <c r="AC78" s="3">
        <f>1451+(152.1-818.9)+(-4.44006+(-0.465426--2.505834))+0-0-0</f>
        <v>781.8003480000001</v>
      </c>
      <c r="AD78">
        <f t="shared" si="1"/>
        <v>16797.17929</v>
      </c>
      <c r="AE78" s="3">
        <f>1435+(129.5-731.8)+(0+(0-0))+0-0-0</f>
        <v>832.7</v>
      </c>
    </row>
    <row r="79" spans="1:31" s="2" customFormat="1" x14ac:dyDescent="0.25">
      <c r="A79">
        <v>89</v>
      </c>
      <c r="B79">
        <v>3</v>
      </c>
      <c r="C79">
        <v>17</v>
      </c>
      <c r="D79">
        <v>3</v>
      </c>
      <c r="E79">
        <v>1</v>
      </c>
      <c r="F79" s="3">
        <f>1467.1+(169.2-931.1)+(0+(0-0))+0-0-0</f>
        <v>705.19999999999982</v>
      </c>
      <c r="G79" s="3">
        <f>1458.3+(184.7-1004)+(-1.487466+(-0.188394--1.02408))+0-0-0</f>
        <v>638.34821999999997</v>
      </c>
      <c r="H79" s="3">
        <f>1466.7+(151.1-1024.7)+(0+(0-0))+0-0-0</f>
        <v>593.1</v>
      </c>
      <c r="I79" s="3">
        <f>1457.9+(126.1-1018.2)+(-2.230587+(-0.192933--1.557846))+0-0-0</f>
        <v>564.93432600000006</v>
      </c>
      <c r="J79" s="3">
        <f>1461.7+(103.5-1027)+(-0.745467+(-0.052785--0.52377))+0-0-0</f>
        <v>537.92551800000001</v>
      </c>
      <c r="K79" s="3">
        <f>1457.2+(99.6-1041.9)+(-2.972688+(-0.203184--2.125476))+0-0-0</f>
        <v>513.849604</v>
      </c>
      <c r="L79" s="3">
        <f>1361.1+(107.4-996.2)+(-1.388322+(-0.109548--1.016124))+0-0-0</f>
        <v>471.81825399999985</v>
      </c>
      <c r="M79" s="3">
        <f>1402.9+(145.2-1043)+(0+(0-0))+0-0-0</f>
        <v>505.10000000000014</v>
      </c>
      <c r="N79" s="3">
        <f>1462.8+(208.4-1095.2)+(-0.746028+(-0.106284--0.558552))+0-0-0</f>
        <v>575.70623999999987</v>
      </c>
      <c r="O79" s="3">
        <f>1447.7+(234.1-1031.9)+(-1.476654+(-0.238782--1.052538))+0-0-0</f>
        <v>649.23710199999994</v>
      </c>
      <c r="P79" s="3">
        <f>1426.4+(238.4-960.2)+(-0.727464+(-0.121584--0.489702))+0-0-0</f>
        <v>704.24065400000006</v>
      </c>
      <c r="Q79" s="3">
        <f>1410.9+(245.4-923)+(0+(0-0))+0-0-0</f>
        <v>733.30000000000007</v>
      </c>
      <c r="R79" s="3">
        <f>1395.3+(278.6-896.6)+(-1.423206+(-0.284172--0.914532))+0-0-0</f>
        <v>776.5071539999999</v>
      </c>
      <c r="S79" s="3">
        <f>1388.6+(270.3-833.1)+(-2.124558+(-0.413559--1.274643))+0-0-0</f>
        <v>824.53652599999998</v>
      </c>
      <c r="T79" s="3">
        <f>1387.4+(272.5-835.1)+(-1.415148+(-0.27795--0.851802))+0-0-0</f>
        <v>823.95870400000001</v>
      </c>
      <c r="U79" s="3">
        <f>1388.8+(268.7-843.3)+(-0.708288+(-0.137037--0.430083))+0-0-0</f>
        <v>813.78475800000001</v>
      </c>
      <c r="V79" s="3">
        <f>1386.1+(237.4-822.8)+(-1.413822+(-0.242148--0.839256))+0-0-0</f>
        <v>799.88328599999988</v>
      </c>
      <c r="W79" s="3">
        <f>1380.5+(217.8-825.6)+(-2.81622+(-0.444312--1.684224))+0-0-0</f>
        <v>771.12369200000001</v>
      </c>
      <c r="X79" s="3">
        <f>1369.7+(196.7-838.9)+(-2.794188+(-0.401268--1.711356))+0-0-0</f>
        <v>726.01589999999999</v>
      </c>
      <c r="Y79" s="3">
        <f>1344.9+(197.5-839.2)+(-2.057697+(-0.302175--1.283976))+0-0-0</f>
        <v>702.12410399999999</v>
      </c>
      <c r="Z79" s="3">
        <f>1454.9+(204.7-889.8)+(-2.225997+(-0.313191--1.361394))+0-0-0</f>
        <v>768.62220600000023</v>
      </c>
      <c r="AA79" s="3">
        <f>1485.2+(222.6-815.3)+(-1.514904+(-0.227052--0.831606))+0-0-0</f>
        <v>891.58965000000012</v>
      </c>
      <c r="AB79" s="3">
        <f>1486.8+(214.4-836.3)+(-2.274804+(-0.328032--1.279539))+0-0-0</f>
        <v>863.57670299999995</v>
      </c>
      <c r="AC79" s="3">
        <f>1457.1+(208.5-821)+(-2.229363+(-0.319005--1.25613))+0-0-0</f>
        <v>843.30776199999991</v>
      </c>
      <c r="AD79">
        <f t="shared" si="1"/>
        <v>16797.790363</v>
      </c>
      <c r="AE79" s="3">
        <f>1476+(217-817.2)+(0+(0-0))+0-0-0</f>
        <v>875.8</v>
      </c>
    </row>
    <row r="80" spans="1:31" s="2" customFormat="1" x14ac:dyDescent="0.25">
      <c r="A80">
        <v>89</v>
      </c>
      <c r="B80">
        <v>3</v>
      </c>
      <c r="C80">
        <v>18</v>
      </c>
      <c r="D80">
        <v>4</v>
      </c>
      <c r="E80">
        <v>1</v>
      </c>
      <c r="F80" s="3">
        <f>1444.7+(186.4-905.5)+(-2.210391+(-0.285192--1.385415))+0-0-0</f>
        <v>724.48983199999998</v>
      </c>
      <c r="G80" s="3">
        <f>1429.7+(158.4-929.4)+(-3.645735+(-0.40392--2.36997))+0-0-0</f>
        <v>657.0203150000001</v>
      </c>
      <c r="H80" s="3">
        <f>1358.9+(173.9-923.7)+(0+(0-0))+0-0-0</f>
        <v>609.1</v>
      </c>
      <c r="I80" s="3">
        <f>1249+(196-864.5)+(-2.54796+(-0.39984--1.76358))+0-0-0</f>
        <v>579.31578000000002</v>
      </c>
      <c r="J80" s="3">
        <f>1252+(189.3-875.9)+(-0.63852+(-0.096543--0.446709))+0-0-0</f>
        <v>565.11164600000006</v>
      </c>
      <c r="K80" s="3">
        <f>1236.9+(144.6-820.8)+(-3.784914+(-0.442476--2.511648))+0-0-0</f>
        <v>558.98425800000018</v>
      </c>
      <c r="L80" s="3">
        <f>1247.4+(123.4-847.7)+(-1.272348+(-0.125868--0.864654))+0-0-0</f>
        <v>522.56643800000006</v>
      </c>
      <c r="M80" s="3">
        <f>1253.4+(102.5-792.7)+(0+(0-0))+0-0-0</f>
        <v>563.20000000000005</v>
      </c>
      <c r="N80" s="3">
        <f>1435.7+(243.6-1015.6)+(-1.464414+(-0.248472--1.035912))+0-0-0</f>
        <v>663.02302600000007</v>
      </c>
      <c r="O80" s="3">
        <f>1459.2+(268.6-1006)+(2.232576+(0.410958-1.53918))+0-0-0</f>
        <v>722.90435400000001</v>
      </c>
      <c r="P80" s="3">
        <f>1433.5+(273.6-947.9)+(-1.46217+(-0.279072--0.966858))+0-0-0</f>
        <v>758.42561599999999</v>
      </c>
      <c r="Q80" s="3">
        <f>1434.1+(271.3-908.7)+(1.462782+(0.276726-0.926874))+0-0-0</f>
        <v>797.51263399999982</v>
      </c>
      <c r="R80" s="3">
        <f>1407+(265-827)+(-2.15271+(-0.40545--1.26531))+0-0-0</f>
        <v>843.70714999999996</v>
      </c>
      <c r="S80" s="3">
        <f>1435.1+(273.3-817)+(-1.463802+(-0.278766--0.83334))+0-0-0</f>
        <v>890.49077199999988</v>
      </c>
      <c r="T80" s="3">
        <f>1433.9+(287.4-834)+(0.731289+(0.146574-0.42534))+0-0-0</f>
        <v>887.75252300000011</v>
      </c>
      <c r="U80" s="3">
        <f>1427.7+(281.2-854.6)+(0+(0-0))+0-0-0</f>
        <v>854.3</v>
      </c>
      <c r="V80" s="3">
        <f>1403.4+(266-832.2)+(0+(0-0))+0-0-0</f>
        <v>837.2</v>
      </c>
      <c r="W80" s="3">
        <f>1370.6+(275.1-840.6)+(-2.796024+(-0.561204--1.714824))+0-0-0</f>
        <v>803.45759599999985</v>
      </c>
      <c r="X80" s="3">
        <f>1369.9+(233.6-857.4)+(-2.794596+(-0.476544--1.749096))+0-0-0</f>
        <v>744.57795600000009</v>
      </c>
      <c r="Y80" s="3">
        <f>1361.4+(209.5-861.4)+(-5.554512+(-0.85476--3.514512))+0-0-0</f>
        <v>706.60524000000009</v>
      </c>
      <c r="Z80" s="3">
        <f>1434.6+(244.8-888.5)+(-2.926584+(-0.499392--1.81254))+0-0-0</f>
        <v>789.28656399999988</v>
      </c>
      <c r="AA80" s="3">
        <f>1483.4+(233-787.2)+(-1.513068+(-0.23766--0.802944))+0-0-0</f>
        <v>928.25221600000009</v>
      </c>
      <c r="AB80" s="3">
        <f>1446.7+(222.4-732.6)+(-2.213451+(-0.340272--1.120878))+0-0-0</f>
        <v>935.06715499999996</v>
      </c>
      <c r="AC80" s="3">
        <f>1433.2+(209.7-754.3)+(-2.923728+(-0.427788--1.538772))+0-0-0</f>
        <v>886.78725600000018</v>
      </c>
      <c r="AD80">
        <f t="shared" si="1"/>
        <v>17829.138327000001</v>
      </c>
      <c r="AE80" s="3">
        <f>1476+(227.4-809.1)+(0+(0-0))+0-0-0</f>
        <v>894.3</v>
      </c>
    </row>
    <row r="81" spans="1:31" s="2" customFormat="1" x14ac:dyDescent="0.25">
      <c r="A81">
        <v>89</v>
      </c>
      <c r="B81">
        <v>3</v>
      </c>
      <c r="C81">
        <v>19</v>
      </c>
      <c r="D81">
        <v>5</v>
      </c>
      <c r="E81">
        <v>1</v>
      </c>
      <c r="F81" s="3">
        <f>1432.7+(161.9-793.7)+(-2.192031+(-0.247707--1.214361))+0-0-0</f>
        <v>799.674623</v>
      </c>
      <c r="G81" s="3">
        <f>1430.7+(125.1-825.2)+(-2.918628+(-0.255204--1.683408))+0-0-0</f>
        <v>729.10957600000006</v>
      </c>
      <c r="H81" s="3">
        <f>1438+(93.8-857.7)+(-1.46676+(-0.095676--0.874854))+0-0-0</f>
        <v>673.41241799999989</v>
      </c>
      <c r="I81" s="3">
        <f>1364.8+(107.3-832.3)+(-3.48024+(-0.273615--2.122365))+0-0-0</f>
        <v>638.16850999999997</v>
      </c>
      <c r="J81" s="3">
        <f>1171.5+(122.4-692.3)+(1.19493+(0.124848-0.706146))+0-0-0</f>
        <v>602.21363200000008</v>
      </c>
      <c r="K81" s="3">
        <f>1137.8+(120.7-707.8)+(-2.90139+(-0.307785--1.80489))+0-0-0</f>
        <v>549.29571500000009</v>
      </c>
      <c r="L81" s="3">
        <f>1153.4+(100.1-738.3)+(-0.588234+(-0.051051--0.376533))+0-0-0</f>
        <v>514.93724800000018</v>
      </c>
      <c r="M81" s="3">
        <f>1261.7+(102.7-810.2)+(1.286934+(0.104754-0.826404))+0-0-0</f>
        <v>554.76528400000007</v>
      </c>
      <c r="N81" s="3">
        <f>1437.3+(117.3-892.8)+(0+(0-0))+0-0-0</f>
        <v>661.8</v>
      </c>
      <c r="O81" s="3">
        <f>1431.4+(172-876.8)+(0+(0-0))+0-0-0</f>
        <v>726.60000000000014</v>
      </c>
      <c r="P81" s="3">
        <f>1424.9+(184.6-857.1)+(-1.453398+(-0.188292--0.874242))+0-0-0</f>
        <v>751.63255200000015</v>
      </c>
      <c r="Q81" s="3">
        <f>1434.6+(221.8-866.6)+(1.463292+(0.226236-0.883932))+0-0-0</f>
        <v>790.60559599999999</v>
      </c>
      <c r="R81" s="3">
        <f>1419.4+(236.6-866.3)+(-2.171682+(-0.361998--1.325439))+0-0-0</f>
        <v>788.49175900000012</v>
      </c>
      <c r="S81" s="3">
        <f>1417.8+(251-840)+(-0.723078+(-0.12801--0.4284))+0-0-0</f>
        <v>828.37731199999996</v>
      </c>
      <c r="T81" s="3">
        <f>1417.2+(269.9-844.7)+(-0.722772+(-0.137649--0.430797))+0-0-0</f>
        <v>841.97037599999999</v>
      </c>
      <c r="U81" s="3">
        <f>1410+(277.9-831.6)+(-1.4382+(-0.283458--0.848232))+0-0-0</f>
        <v>855.42657399999996</v>
      </c>
      <c r="V81" s="3">
        <f>1401.8+(269.8-823.2)+(-2.144754+(-0.412794--1.259496))+0-0-0</f>
        <v>847.10194799999988</v>
      </c>
      <c r="W81" s="3">
        <f>1399.5+(267.3-862.7)+(-2.141235+(-0.408969--1.319931))+0-0-0</f>
        <v>802.8697269999999</v>
      </c>
      <c r="X81" s="3">
        <f>1390.9+(255.6-918.6)+(-3.546795+(-0.65178--2.34243))+0-0-0</f>
        <v>726.04385500000012</v>
      </c>
      <c r="Y81" s="3">
        <f>1392.5+(129.3-816.9)+(-3.550875+(-0.329715--2.083095))+0-0-0</f>
        <v>703.10250500000006</v>
      </c>
      <c r="Z81" s="3">
        <f>1435.9+(202.8-823.8)+(-1.464618+(-0.206856--0.840276))+0-0-0</f>
        <v>814.06880200000012</v>
      </c>
      <c r="AA81" s="3">
        <f>1447.2+(234.2-754.6)+(-2.214216+(-0.358326--1.154538))+0-0-0</f>
        <v>925.38199599999996</v>
      </c>
      <c r="AB81" s="3">
        <f>1446.2+(231.3-754.8)+(-3.68781+(-0.589815--1.92474))+0-0-0</f>
        <v>920.34711500000003</v>
      </c>
      <c r="AC81" s="3">
        <f>1464+(243.1-842.1)+(0+(0-0))+0-0-0</f>
        <v>865</v>
      </c>
      <c r="AD81">
        <f t="shared" si="1"/>
        <v>17910.397122999999</v>
      </c>
      <c r="AE81" s="3">
        <f>1432+(230.4-799.8)+(0+(0-0))+0-0-0</f>
        <v>862.6</v>
      </c>
    </row>
    <row r="82" spans="1:31" s="2" customFormat="1" x14ac:dyDescent="0.25">
      <c r="A82">
        <v>89</v>
      </c>
      <c r="B82">
        <v>3</v>
      </c>
      <c r="C82">
        <v>20</v>
      </c>
      <c r="D82">
        <v>6</v>
      </c>
      <c r="E82">
        <v>1</v>
      </c>
      <c r="F82" s="3">
        <f>1449.1+(264.8-941.2)+(-1.478082+(-0.270096--0.960024))+0-0-0</f>
        <v>771.91184599999985</v>
      </c>
      <c r="G82" s="3">
        <f>1463.4+(246-997.6)+(2.239002+(0.37638-1.526328))+0-0-0</f>
        <v>712.8890540000001</v>
      </c>
      <c r="H82" s="3">
        <f>1451.8+(242.8-1024.8)+(0+(0-0))+0-0-0</f>
        <v>669.8</v>
      </c>
      <c r="I82" s="3">
        <f>1454.5+(245.9-1067)+(0.741795+(0.125409-0.54417))+0-0-0</f>
        <v>633.72303399999998</v>
      </c>
      <c r="J82" s="3">
        <f>1445.9+(248-1087.5)+(-1.474818+(-0.25296--1.10925))+0-0-0</f>
        <v>605.78147200000012</v>
      </c>
      <c r="K82" s="3">
        <f>1446.1+(228.7-1097.9)+(-2.212533+(-0.349911--1.679787))+0-0-0</f>
        <v>576.01734299999987</v>
      </c>
      <c r="L82" s="3">
        <f>1451.5+(179.9-1116.1)+(-0.740265+(-0.091749--0.569211))+0-0-0</f>
        <v>515.03719700000011</v>
      </c>
      <c r="M82" s="3">
        <f>1457.6+(186.2-1102.5)+(0.743376+(0.094962-0.562275))+0-0-0</f>
        <v>541.57606299999998</v>
      </c>
      <c r="N82" s="3">
        <f>1462.9+(175.1-1027.2)+(1.492158+(0.178602-1.047744))+0-0-0</f>
        <v>611.42301600000008</v>
      </c>
      <c r="O82" s="3">
        <f>1463.3+(215.7-992.5)+(2.985132+(0.440028-2.0247))+0-0-0</f>
        <v>687.90045999999995</v>
      </c>
      <c r="P82" s="3">
        <f>1444+(224.4-911.9)+(1.47288+(0.228888-0.930138))+0-0-0</f>
        <v>757.27162999999996</v>
      </c>
      <c r="Q82" s="3">
        <f>1430.1+(212.1-876.2)+(1.458702+(0.216342-0.893724))+0-0-0</f>
        <v>766.78131999999994</v>
      </c>
      <c r="R82" s="3">
        <f>1433+(211.3-774.7)+(0.73083+(0.107763-0.395097))+0-0-0</f>
        <v>870.04349599999989</v>
      </c>
      <c r="S82" s="3">
        <f>1425.1+(224.8-780.7)+(0+(0-0))+0-0-0</f>
        <v>869.19999999999982</v>
      </c>
      <c r="T82" s="3">
        <f>1424+(226.4-782.7)+(0+(0-0))+0-0-0</f>
        <v>867.69999999999993</v>
      </c>
      <c r="U82" s="3">
        <f>1416.3+(225.4-799.9)+(-0.722313+(-0.114954--0.407949))+0-0-0</f>
        <v>841.37068199999999</v>
      </c>
      <c r="V82" s="3">
        <f>1414.1+(224.7-805.9)+(-1.442382+(-0.229194--0.822018))+0-0-0</f>
        <v>832.05044199999986</v>
      </c>
      <c r="W82" s="3">
        <f>1410.8+(219.3-843.1)+(-2.158524+(-0.335529--1.289943))+0-0-0</f>
        <v>785.79588999999999</v>
      </c>
      <c r="X82" s="3">
        <f>1407.6+(216.5-899.1)+(-3.58938+(-0.552075--2.292705))+0-0-0</f>
        <v>723.15124999999989</v>
      </c>
      <c r="Y82" s="3">
        <f>1417.5+(214-945)+(-2.168775+(-0.32742--1.44585))+0-0-0</f>
        <v>685.44965500000001</v>
      </c>
      <c r="Z82" s="3">
        <f>1441.5+(248.7-916.7)+(-0.735165+(-0.126837--0.467517))+0-0-0</f>
        <v>773.10551499999997</v>
      </c>
      <c r="AA82" s="3">
        <f>1449.1+(187.7-749.4)+(-1.478082+(-0.191454--0.764388))+0-0-0</f>
        <v>886.49485199999981</v>
      </c>
      <c r="AB82" s="3">
        <f>1454.6+(178.1-751.3)+(-1.483692+(-0.181662--0.766326))+0-0-0</f>
        <v>880.50097199999993</v>
      </c>
      <c r="AC82" s="3">
        <f>1453.2+(211.6-818.9)+(-0.741132+(-0.107916--0.417639))+0-0-0</f>
        <v>845.46859100000006</v>
      </c>
      <c r="AD82">
        <f t="shared" si="1"/>
        <v>17710.443780000001</v>
      </c>
      <c r="AE82" s="3">
        <f>1448+(178.9-789.1)+(0+(0-0))+0-0-0</f>
        <v>837.8</v>
      </c>
    </row>
    <row r="83" spans="1:31" s="2" customFormat="1" x14ac:dyDescent="0.25">
      <c r="A83">
        <v>89</v>
      </c>
      <c r="B83">
        <v>3</v>
      </c>
      <c r="C83">
        <v>21</v>
      </c>
      <c r="D83">
        <v>7</v>
      </c>
      <c r="E83">
        <v>1</v>
      </c>
      <c r="F83" s="3">
        <f>1288+(213-719.2)+(0+(0-0))+0-0-0</f>
        <v>781.8</v>
      </c>
      <c r="G83" s="3">
        <f>1188.7+(222.8-701.8)+(-1.818711+(-0.340884--1.073754))+0-0-0</f>
        <v>708.61415900000009</v>
      </c>
      <c r="H83" s="3">
        <f>1185.6+(213.3-747.6)+(0+(0-0))+0-0-0</f>
        <v>651.29999999999995</v>
      </c>
      <c r="I83" s="3">
        <f>1182.3+(169.9-742.3)+(0+(0-0))+0-0-0</f>
        <v>609.9</v>
      </c>
      <c r="J83" s="3">
        <f>1186.6+(130.1-731.3)+(1.210332+(0.132702-0.745926))+0-0-0</f>
        <v>585.99710800000003</v>
      </c>
      <c r="K83" s="3">
        <f>1026.5+(163.2-648.4)+(-2.09406+(-0.332928--1.322736))+0-0-0</f>
        <v>540.19574799999998</v>
      </c>
      <c r="L83" s="3">
        <f>905.4+(166.1-617.8)+(0+(0-0))+0-0-0</f>
        <v>453.70000000000005</v>
      </c>
      <c r="M83" s="3">
        <f>899.4+(170.6-607.7)+(-1.376082+(-0.261018--0.929781))+0-0-0</f>
        <v>461.59268099999997</v>
      </c>
      <c r="N83" s="3">
        <f>905.6+(189.9-579)+(0+(0-0))+0-0-0</f>
        <v>516.5</v>
      </c>
      <c r="O83" s="3">
        <f>904+(213.3-548.9)+(0+(0-0))+0-0-0</f>
        <v>568.40000000000009</v>
      </c>
      <c r="P83" s="3">
        <f>1105.5+(144.1-638.2)+(-0.563805+(-0.073491--0.325482))+0-0-0</f>
        <v>611.08818599999995</v>
      </c>
      <c r="Q83" s="3">
        <f>1176.9+(148.7-670.4)+(1.800657+(0.227511-1.025712))+0-0-0</f>
        <v>656.2024560000001</v>
      </c>
      <c r="R83" s="3">
        <f>1158.5+(181.5-635.4)+(0+(0-0))+0-0-0</f>
        <v>704.6</v>
      </c>
      <c r="S83" s="3">
        <f>1158.1+(188.3-592.4)+(0+(0-0))+0-0-0</f>
        <v>754</v>
      </c>
      <c r="T83" s="3">
        <f>1151.7+(189.6-579.1)+(-1.174734+(-0.193392--0.590682))+0-0-0</f>
        <v>761.4225560000001</v>
      </c>
      <c r="U83" s="3">
        <f>1154+(186-579.9)+(0+(0-0))+0-0-0</f>
        <v>760.1</v>
      </c>
      <c r="V83" s="3">
        <f>1149.9+(175.9-590.7)+(0+(0-0))+0-0-0</f>
        <v>735.1</v>
      </c>
      <c r="W83" s="3">
        <f>1151.2+(162.3-604.7)+(0.587112+(0.082773-0.308397))+0-0-0</f>
        <v>709.16148799999996</v>
      </c>
      <c r="X83" s="3">
        <f>1144.4+(166-645.6)+(-0.583644+(-0.08466--0.329256))+0-0-0</f>
        <v>664.46095200000002</v>
      </c>
      <c r="Y83" s="3">
        <f>1147.3+(214.4-689.5)+(0+(0-0))+0-0-0</f>
        <v>672.19999999999993</v>
      </c>
      <c r="Z83" s="3">
        <f>1146.9+(239.7-698.6)+(-0.584919+(-0.122247--0.356286))+0-0-0</f>
        <v>687.64912000000004</v>
      </c>
      <c r="AA83" s="3">
        <f>1194.1+(210.2-607.6)+(0.608991+(0.107202-0.309876))+0-0-0</f>
        <v>797.10631699999976</v>
      </c>
      <c r="AB83" s="3">
        <f>1199.6+(212.1-567.4)+(-1.223592+(-0.216342--0.578748))+0-0-0</f>
        <v>843.43881399999998</v>
      </c>
      <c r="AC83" s="3">
        <f>1194+(213.2-570.2)+(-1.82682+(-0.326196--0.872406))+0-0-0</f>
        <v>835.71938999999998</v>
      </c>
      <c r="AD83">
        <f t="shared" si="1"/>
        <v>16070.248975</v>
      </c>
      <c r="AE83" s="3">
        <f>1189+(195.4-585)+(0+(0-0))+0-0-0</f>
        <v>799.4</v>
      </c>
    </row>
    <row r="84" spans="1:31" s="2" customFormat="1" x14ac:dyDescent="0.25">
      <c r="A84">
        <v>89</v>
      </c>
      <c r="B84">
        <v>3</v>
      </c>
      <c r="C84">
        <v>22</v>
      </c>
      <c r="D84">
        <v>1</v>
      </c>
      <c r="E84">
        <v>1</v>
      </c>
      <c r="F84" s="3">
        <f>1196.3+(191.7-614.1)+(-1.220226+(-0.195534--0.626382))+0-0-0</f>
        <v>773.11062199999981</v>
      </c>
      <c r="G84" s="3">
        <f>1190.1+(180.5-653.9)+(-1.820853+(-0.276165--1.000467))+0-0-0</f>
        <v>715.60344899999996</v>
      </c>
      <c r="H84" s="3">
        <f>1212.8+(198.6-749.6)+(-0.618528+(-0.101286--0.382296))+0-0-0</f>
        <v>661.46248199999991</v>
      </c>
      <c r="I84" s="3">
        <f>1148.9+(214.9-745.5)+(-1.171878+(-0.219198--0.76041))+0-0-0</f>
        <v>617.66933400000005</v>
      </c>
      <c r="J84" s="3">
        <f>1081.2+(202.5-688.5)+(-2.75706+(-0.516375--1.755675))+0-0-0</f>
        <v>593.68224000000009</v>
      </c>
      <c r="K84" s="3">
        <f>1092.9+(143.5-682.8)+(-2.229516+(-0.29274--1.392912))+0-0-0</f>
        <v>552.47065600000019</v>
      </c>
      <c r="L84" s="3">
        <f>1094+(129.3-704.5)+(-1.67382+(-0.197829--1.077885))+0-0-0</f>
        <v>518.00623599999994</v>
      </c>
      <c r="M84" s="3">
        <f>1109.3+(136.2-679.7)+(0+(0-0))+0-0-0</f>
        <v>565.79999999999995</v>
      </c>
      <c r="N84" s="3">
        <f>1286+(229.7-859.9)+(0+(0-0))+0-0-0</f>
        <v>655.8</v>
      </c>
      <c r="O84" s="3">
        <f>1302.6+(224.7-795)+(0.664326+(0.114597-0.40545))+0-0-0</f>
        <v>732.67347299999994</v>
      </c>
      <c r="P84" s="3">
        <f>1285.9+(211.1-706.7)+(1.311618+(0.215322-0.720834))+0-0-0</f>
        <v>791.10610600000007</v>
      </c>
      <c r="Q84" s="3">
        <f>1265.1+(199.5-633)+(-0.645201+(-0.101745--0.32283))+0-0-0</f>
        <v>831.17588399999988</v>
      </c>
      <c r="R84" s="3">
        <f>1255.9+(212.5-591.1)+(1.921527+(0.325125-0.904383))+0-0-0</f>
        <v>878.64226900000006</v>
      </c>
      <c r="S84" s="3">
        <f>1292.7+(250.5-615.9)+(-0.659277+(-0.127755--0.314109))+0-0-0</f>
        <v>926.82707700000003</v>
      </c>
      <c r="T84" s="3">
        <f>1284.2+(260-600.5)+(1.964826+(0.3978-0.918765))+0-0-0</f>
        <v>945.14386100000002</v>
      </c>
      <c r="U84" s="3">
        <f>1392+(246.2-702.6)+(0+(0-0))+0-0-0</f>
        <v>935.59999999999991</v>
      </c>
      <c r="V84" s="3">
        <f>1407.3+(221.4-699.3)+(0.717723+(0.112914-0.356643))+0-0-0</f>
        <v>929.87399399999993</v>
      </c>
      <c r="W84" s="3">
        <f>1408.9+(228.3-745)+(-0.718539+(-0.116433--0.37995))+0-0-0</f>
        <v>891.74497800000006</v>
      </c>
      <c r="X84" s="3">
        <f>1421.8+(224-801.7)+(-1.450236+(-0.22848--0.817734))+0-0-0</f>
        <v>843.23901799999987</v>
      </c>
      <c r="Y84" s="3">
        <f>1387.4+(192.9-793.6)+(-0.707574+(-0.098379--0.404736))+0-0-0</f>
        <v>786.29878300000007</v>
      </c>
      <c r="Z84" s="3">
        <f>1394.8+(234.4-813)+(-1.422696+(-0.239088--0.82926))+0-0-0</f>
        <v>815.3674759999999</v>
      </c>
      <c r="AA84" s="3">
        <f>1473.9+(216.1-724.4)+(-0.751689+(-0.110211--0.369444))+0-0-0</f>
        <v>965.10754400000019</v>
      </c>
      <c r="AB84" s="3">
        <f>1470.5+(214.3-697.4)+(-0.749955+(-0.109293--0.355674))+0-0-0</f>
        <v>986.89642600000013</v>
      </c>
      <c r="AC84" s="3">
        <f>1418.7+(219.8-687)+(-0.723537+(-0.112098--0.35037))+0-0-0</f>
        <v>951.01473499999997</v>
      </c>
      <c r="AD84">
        <f t="shared" si="1"/>
        <v>18864.316643000002</v>
      </c>
      <c r="AE84" s="3">
        <f>1463+(196.3-723)+(0+(0-0))+0-0-0</f>
        <v>936.3</v>
      </c>
    </row>
    <row r="85" spans="1:31" s="2" customFormat="1" x14ac:dyDescent="0.25">
      <c r="A85">
        <v>89</v>
      </c>
      <c r="B85">
        <v>3</v>
      </c>
      <c r="C85">
        <v>23</v>
      </c>
      <c r="D85">
        <v>2</v>
      </c>
      <c r="E85">
        <v>1</v>
      </c>
      <c r="F85" s="3">
        <f>1408.5+(227.2-767.5)+(-0.718335+(-0.115872--0.391425))+0-0-0</f>
        <v>867.75721800000008</v>
      </c>
      <c r="G85" s="3">
        <f>1401+(232.2-856)+(-2.85804+(-0.473688--1.74624))+0-0-0</f>
        <v>775.61451199999999</v>
      </c>
      <c r="H85" s="3">
        <f>1403.3+(270.6-954.5)+(-2.147049+(-0.414018--1.460385))+0-0-0</f>
        <v>718.29931799999997</v>
      </c>
      <c r="I85" s="3">
        <f>1409.6+(257-982.8)+(0+(0-0))+0-0-0</f>
        <v>683.8</v>
      </c>
      <c r="J85" s="3">
        <f>1413.1+(250.8-1016.7)+(0.720681+(0.127908-0.518517))+0-0-0</f>
        <v>647.53007199999979</v>
      </c>
      <c r="K85" s="3">
        <f>1232.6+(203.5-840.9)+(-2.514504+(-0.41514--1.715436))+0-0-0</f>
        <v>593.98579199999995</v>
      </c>
      <c r="L85" s="3">
        <f>1143.3+(148.2-756.2)+(1.749249+(0.226746-1.156986))+0-0-0</f>
        <v>536.11900900000001</v>
      </c>
      <c r="M85" s="3">
        <f>1221.6+(156.5-789.4)+(0.623016+(0.079815-0.402594))+0-0-0</f>
        <v>589.00023699999997</v>
      </c>
      <c r="N85" s="3">
        <f>1418.6+(181.4-921.3)+(-2.170458+(-0.277542--1.409589))+0-0-0</f>
        <v>677.66158899999994</v>
      </c>
      <c r="O85" s="3">
        <f>1420.4+(229.7-896.5)+(-1.448808+(-0.234294--0.91443))+0-0-0</f>
        <v>752.8313280000001</v>
      </c>
      <c r="P85" s="3">
        <f>1418.9+(219.5-841)+(-0.723639+(-0.111945--0.42891))+0-0-0</f>
        <v>796.99332600000014</v>
      </c>
      <c r="Q85" s="3">
        <f>1418.7+(223.3-792.3)+(0+(0-0))+0-0-0</f>
        <v>849.7</v>
      </c>
      <c r="R85" s="3">
        <f>1435+(237.5-769.7)+(-1.4637+(-0.24225--0.785094))+0-0-0</f>
        <v>901.879144</v>
      </c>
      <c r="S85" s="3">
        <f>1432.3+(244.6-710.3)+(-2.191419+(-0.374238--1.086759))+0-0-0</f>
        <v>965.12110200000006</v>
      </c>
      <c r="T85" s="3">
        <f>1424.9+(248.7-695.2)+(-0.726699+(-0.126837--0.354552))+0-0-0</f>
        <v>977.90101600000014</v>
      </c>
      <c r="U85" s="3">
        <f>1417.7+(242.3-704.9)+(0.723027+(0.123573-0.359499))+0-0-0</f>
        <v>955.58710100000019</v>
      </c>
      <c r="V85" s="3">
        <f>1416.8+(241.1-720.7)+(-0.722568+(-0.122961--0.367557))+0-0-0</f>
        <v>936.72202799999991</v>
      </c>
      <c r="W85" s="3">
        <f>1421.1+(263.2-796.6)+(-0.724761+(-0.134232--0.406266))+0-0-0</f>
        <v>887.24727299999984</v>
      </c>
      <c r="X85" s="3">
        <f>1427.3+(259.4-868.9)+(-2.183769+(-0.396882--1.329417))+0-0-0</f>
        <v>816.548766</v>
      </c>
      <c r="Y85" s="3">
        <f>1438.1+(206.5-877)+(-1.466862+(-0.21063--0.89454))+0-0-0</f>
        <v>766.81704799999989</v>
      </c>
      <c r="Z85" s="3">
        <f>1456.9+(218.4-856.9)+(-0.743019+(-0.111384--0.437019))+0-0-0</f>
        <v>817.98261600000012</v>
      </c>
      <c r="AA85" s="3">
        <f>1468.7+(179.1-677.5)+(0+(0-0))+0-0-0</f>
        <v>970.30000000000007</v>
      </c>
      <c r="AB85" s="3">
        <f>1474.8+(174.8-658.6)+(-0.752148+(-0.089148--0.335886))+0-0-0</f>
        <v>990.49459000000002</v>
      </c>
      <c r="AC85" s="3">
        <f>1479.1+(190.7-723.8)+(-2.263023+(-0.291771--1.107414))+0-0-0</f>
        <v>944.55262000000005</v>
      </c>
      <c r="AD85">
        <f t="shared" si="1"/>
        <v>19420.445704999998</v>
      </c>
      <c r="AE85" s="3">
        <f>1466+(168-701.9)+(0+(0-0))+0-0-0</f>
        <v>932.1</v>
      </c>
    </row>
    <row r="86" spans="1:31" s="2" customFormat="1" x14ac:dyDescent="0.25">
      <c r="A86">
        <v>89</v>
      </c>
      <c r="B86">
        <v>3</v>
      </c>
      <c r="C86">
        <v>24</v>
      </c>
      <c r="D86">
        <v>3</v>
      </c>
      <c r="E86">
        <v>1</v>
      </c>
      <c r="F86" s="3">
        <f>1496.7+(192.3-815.2)+(-1.526634+(-0.196146--0.831504))+0-0-0</f>
        <v>872.90872400000001</v>
      </c>
      <c r="G86" s="3">
        <f>1446.4+(217.2-861.9)+(0+(0-0))+0-0-0</f>
        <v>801.7</v>
      </c>
      <c r="H86" s="3">
        <f>1437.6+(231.5-923.1)+(-1.466352+(-0.23613--0.941562))+0-0-0</f>
        <v>745.23907999999983</v>
      </c>
      <c r="I86" s="3">
        <f>1446.3+(232.7-972.3)+(1.475226+(0.237354-0.991746))+0-0-0</f>
        <v>707.42083400000001</v>
      </c>
      <c r="J86" s="3">
        <f>1436.6+(229.7-993.3)+(-0.732666+(-0.117147--0.506583))+0-0-0</f>
        <v>672.65677000000005</v>
      </c>
      <c r="K86" s="3">
        <f>1433.1+(185.2-994.5)+(-1.461762+(-0.188904--1.01439))+0-0-0</f>
        <v>623.163724</v>
      </c>
      <c r="L86" s="3">
        <f>1396.3+(100.1-930.1)+(0.712113+(0.051051-0.474351))+0-0-0</f>
        <v>566.58881299999996</v>
      </c>
      <c r="M86" s="3">
        <f>1377.4+(129.6-895.1)+(0.702474+(0.066096-0.456501))+0-0-0</f>
        <v>612.21206900000004</v>
      </c>
      <c r="N86" s="3">
        <f>1370.1+(235-902.5)+(-1.397502+(-0.2397--0.92055))+0-0-0</f>
        <v>701.88334799999996</v>
      </c>
      <c r="O86" s="3">
        <f>1362.2+(204.3-803.6)+(0+(0-0))+0-0-0</f>
        <v>762.90000000000009</v>
      </c>
      <c r="P86" s="3">
        <f>1308.6+(192-678.7)+(1.334772+(0.19584-0.692274))+0-0-0</f>
        <v>822.73833799999989</v>
      </c>
      <c r="Q86" s="3">
        <f>1347.3+(196.8-669.7)+(0.687123+(0.100368-0.341547))+0-0-0</f>
        <v>874.84594399999992</v>
      </c>
      <c r="R86" s="3">
        <f>1337.8+(222.1-633.6)+(0.682278+(0.113271-0.323136))+0-0-0</f>
        <v>926.77241299999991</v>
      </c>
      <c r="S86" s="3">
        <f>1322.9+(241.6-572.1)+(-1.349358+(-0.246432--0.583542))+0-0-0</f>
        <v>991.38775200000009</v>
      </c>
      <c r="T86" s="3">
        <f>1344.1+(238.4-577.6)+(1.370982+(0.243168-0.589152))+0-0-0</f>
        <v>1005.9249979999998</v>
      </c>
      <c r="U86" s="3">
        <f>1338.4+(233.7-593.8)+(2.730336+(0.476748-1.211352))+8.3-0-0</f>
        <v>988.59573200000011</v>
      </c>
      <c r="V86" s="3">
        <f>1333.2+(231.3-606.6)+(-0.679932+(-0.117963--0.309366))+5.5-0-0</f>
        <v>962.91147100000012</v>
      </c>
      <c r="W86" s="3">
        <f>1292.1+(223.1-612.5)+(-1.317942+(-0.227562--0.62475))+0-0-0</f>
        <v>901.77924599999994</v>
      </c>
      <c r="X86" s="3">
        <f>1315.3+(225.1-702.2)+(-2.683212+(-0.459204--1.432488))+0-0-0</f>
        <v>836.49007199999994</v>
      </c>
      <c r="Y86" s="3">
        <f>1347.5+(205.5-762.8)+(0+(0-0))+0-0-0</f>
        <v>790.2</v>
      </c>
      <c r="Z86" s="3">
        <f>1367.7+(216.5-745.3)+(0.697527+(0.110415-0.380103))+0-0-0</f>
        <v>839.32783900000004</v>
      </c>
      <c r="AA86" s="3">
        <f>1377+(204-578.8)+(-0.70227+(-0.10404--0.295188))+0-0-0</f>
        <v>1001.688878</v>
      </c>
      <c r="AB86" s="3">
        <f>1432.8+(203.2-600.4)+(-2.192184+(-0.310896--0.918612))+0-0-0</f>
        <v>1034.0155319999999</v>
      </c>
      <c r="AC86" s="3">
        <f>1430.2+(212.8-647.5)+(-1.458804+(-0.217056--0.66045))+0-0-0</f>
        <v>994.48459000000003</v>
      </c>
      <c r="AD86">
        <f t="shared" si="1"/>
        <v>20037.836167000005</v>
      </c>
      <c r="AE86" s="3">
        <f>1406+(206.9-624.8)+(0+(0-0))+0-0-0</f>
        <v>988.1</v>
      </c>
    </row>
    <row r="87" spans="1:31" s="2" customFormat="1" x14ac:dyDescent="0.25">
      <c r="A87">
        <v>89</v>
      </c>
      <c r="B87">
        <v>3</v>
      </c>
      <c r="C87">
        <v>25</v>
      </c>
      <c r="D87">
        <v>4</v>
      </c>
      <c r="E87">
        <v>1</v>
      </c>
      <c r="F87" s="3">
        <f>1441.2+(225.2-745.3)+(-2.205036+(-0.344556--1.140309))+0-0-0</f>
        <v>919.69071700000018</v>
      </c>
      <c r="G87" s="3">
        <f>1392.3+(220.5-779.9)+(0+(0-0))+0-0-0</f>
        <v>832.9</v>
      </c>
      <c r="H87" s="3">
        <f>1330.1+(231.2-792.7)+(-1.356702+(-0.235824--0.808554))+0-0-0</f>
        <v>767.81602799999996</v>
      </c>
      <c r="I87" s="3">
        <f>1327.5+(199.3-803.4)+(-0.677025+(-0.101643--0.409734))+0-0-0</f>
        <v>723.03106600000012</v>
      </c>
      <c r="J87" s="3">
        <f>1241.3+(195.8-747.8)+(-1.266126+(-0.199716--0.762756))+0-0-0</f>
        <v>688.59691399999997</v>
      </c>
      <c r="K87" s="3">
        <f>1211.4+(190.5-767.5)+(-3.08907+(-0.485775--1.957125))+0-0-0</f>
        <v>632.78228000000013</v>
      </c>
      <c r="L87" s="3">
        <f>1209+(103.7-743.3)+(-3.08295+(-0.264435--1.895415))+0-0-0</f>
        <v>567.94803000000013</v>
      </c>
      <c r="M87" s="3">
        <f>1221.7+(84.7-696.3)+(1.246134+(0.086394-0.710226))+0-0-0</f>
        <v>610.72230200000013</v>
      </c>
      <c r="N87" s="3">
        <f>1220.9+(136.8-662.2)+(0.622659+(0.069768-0.337722))+0-0-0</f>
        <v>695.85470499999997</v>
      </c>
      <c r="O87" s="3">
        <f>1222.8+(222.8-667)+(0.623628+(0.113628-0.34017))+0-0-0</f>
        <v>778.99708599999985</v>
      </c>
      <c r="P87" s="3">
        <f>1219+(238.8-613.9)+(-0.62169+(-0.121788--0.313089))+0-0-0</f>
        <v>843.4696110000001</v>
      </c>
      <c r="Q87" s="3">
        <f>1223.8+(239.1-561.2)+(0+(0-0))+0-0-0</f>
        <v>901.69999999999993</v>
      </c>
      <c r="R87" s="3">
        <f>1242.2+(237.7-525.5)+(-1.267044+(-0.242454--0.53601))+0-0-0</f>
        <v>953.42651200000012</v>
      </c>
      <c r="S87" s="3">
        <f>1251.1+(250.2-497.5)+(-1.276122+(-0.255204--0.50745))+0-0-0</f>
        <v>1002.776124</v>
      </c>
      <c r="T87" s="3">
        <f>1345.5+(212.5-529.6)+(0+(0-0))+0-0-0</f>
        <v>1028.4000000000001</v>
      </c>
      <c r="U87" s="3">
        <f>1338.8+(209.5-539.4)+(1.365576+(0.21369-0.550188))+0-0-0</f>
        <v>1009.929078</v>
      </c>
      <c r="V87" s="3">
        <f>1341.9+(204.8-571.6)+(-1.368738+(-0.208896--0.583032))+0-0-0</f>
        <v>974.10539800000015</v>
      </c>
      <c r="W87" s="3">
        <f>1418.4+(199.5-677.2)+(-2.170152+(-0.305235--1.036116))+0-0-0</f>
        <v>939.26072900000008</v>
      </c>
      <c r="X87" s="3">
        <f>1430.2+(210.5-769.5)+(-2.188206+(-0.322065--1.177335))+0-0-0</f>
        <v>869.86706400000003</v>
      </c>
      <c r="Y87" s="3">
        <f>1442.6+(179.2-791.4)+(-1.471452+(-0.182784--0.807228))+0-0-0</f>
        <v>829.5529919999999</v>
      </c>
      <c r="Z87" s="3">
        <f>1460.5+(205.3-796.7)+(-0.744855+(-0.104703--0.406317))+0-0-0</f>
        <v>868.65675899999997</v>
      </c>
      <c r="AA87" s="3">
        <f>1482+(192.7-650.2)+(-2.26746+(-0.294831--0.994806))+0-0-0</f>
        <v>1022.932515</v>
      </c>
      <c r="AB87" s="3">
        <f>1493.8+(199.7-631.5)+(-2.285514+(-0.305541--0.966195))+0-0-0</f>
        <v>1060.3751400000001</v>
      </c>
      <c r="AC87" s="3">
        <f>1492.9+(185-647.1)+(-1.522758+(-0.1887--0.660042))+0-0-0</f>
        <v>1029.7485840000002</v>
      </c>
      <c r="AD87">
        <f t="shared" si="1"/>
        <v>20552.539634000004</v>
      </c>
      <c r="AE87" s="3">
        <f>1478+(204.7-678.8)+(0+(0-0))+0-0-0</f>
        <v>1003.9000000000001</v>
      </c>
    </row>
    <row r="88" spans="1:31" s="2" customFormat="1" x14ac:dyDescent="0.25">
      <c r="A88">
        <v>89</v>
      </c>
      <c r="B88">
        <v>3</v>
      </c>
      <c r="C88">
        <v>26</v>
      </c>
      <c r="D88">
        <v>5</v>
      </c>
      <c r="E88">
        <v>1</v>
      </c>
      <c r="F88" s="3">
        <f>1491.5+(134.8-663)+(-1.52133+(-0.137496--0.67626))+0-0-0</f>
        <v>962.31743399999993</v>
      </c>
      <c r="G88" s="3">
        <f>1488.2+(125.1-732.2)+(-0.758982+(-0.063801--0.373422))+0-0-0</f>
        <v>880.65063900000007</v>
      </c>
      <c r="H88" s="3">
        <f>1487.9+(134.8-809.9)+(-1.517658+(-0.137496--0.826098))+0-0-0</f>
        <v>811.97094400000015</v>
      </c>
      <c r="I88" s="3">
        <f>1488.5+(141.8-854)+(-2.277405+(-0.216954--1.30662))+0-0-0</f>
        <v>775.11226099999999</v>
      </c>
      <c r="J88" s="3">
        <f>1479.7+(153.5-894.2)+(-0.754647+(-0.078285--0.456042))+0-0-0</f>
        <v>738.62311</v>
      </c>
      <c r="K88" s="3">
        <f>1392.6+(141.8-859.2)+(-3.55113+(-0.36159--2.19096))+0-0-0</f>
        <v>673.4782399999998</v>
      </c>
      <c r="L88" s="3">
        <f>1180.5+(85.6-666.1)+(-0.602055+(-0.043656--0.339711))+0-0-0</f>
        <v>599.69399999999996</v>
      </c>
      <c r="M88" s="3">
        <f>1153.9+(84.8-609.3)+(-0.588489+(-0.043248--0.310743))+0-0-0</f>
        <v>629.07900600000005</v>
      </c>
      <c r="N88" s="3">
        <f>1341.8+(105-714.2)+(-1.368636+(-0.1071--0.728484))+0-0-0</f>
        <v>731.85274799999991</v>
      </c>
      <c r="O88" s="3">
        <f>1409.5+(140.9-755.5)+(-0.718845+(-0.071859--0.385305))+0-0-0</f>
        <v>794.49460099999999</v>
      </c>
      <c r="P88" s="3">
        <f>1394.2+(178-732.1)+(0+(0-0))+0-0-0</f>
        <v>840.1</v>
      </c>
      <c r="Q88" s="3">
        <f>1442.2+(197.4-701.4)+(-1.471044+(-0.201348--0.715428))+0-0-0</f>
        <v>937.24303600000007</v>
      </c>
      <c r="R88" s="3">
        <f>1444.8+(201.1-649)+(0+(0-0))+0-0-0</f>
        <v>996.9</v>
      </c>
      <c r="S88" s="3">
        <f>1438.7+(209-608.7)+(0+(0-0))+0-0-0</f>
        <v>1039</v>
      </c>
      <c r="T88" s="3">
        <f>1434.7+(213.3-602.1)+(0+(0-0))+0-0-0</f>
        <v>1045.9000000000001</v>
      </c>
      <c r="U88" s="3">
        <f>1417.2+(189.6-574.1)+(-0.722772+(-0.096696--0.292791))+0-0-0</f>
        <v>1032.173323</v>
      </c>
      <c r="V88" s="3">
        <f>1416.3+(190.8-586.9)+(1.444626+(0.194616-0.598638))+0-0-0</f>
        <v>1021.2406040000001</v>
      </c>
      <c r="W88" s="3">
        <f>1421.2+(191.9-646.3)+(-3.62406+(-0.489345--1.648065))+0-0-0</f>
        <v>964.3346600000001</v>
      </c>
      <c r="X88" s="3">
        <f>1427.7+(160-726.5)+(-3.640635+(-0.408--1.852575))+0-0-0</f>
        <v>859.00394000000006</v>
      </c>
      <c r="Y88" s="3">
        <f>1431.1+(52.2-655.2)+(-1.459722+(-0.053244--0.668304))+0-0-0</f>
        <v>827.25533799999994</v>
      </c>
      <c r="Z88" s="3">
        <f>1458.4+(164.2-745)+(0+(0-0))+0-0-0</f>
        <v>877.60000000000014</v>
      </c>
      <c r="AA88" s="3">
        <f>1473.6+(214.1-668)+(-2.254608+(-0.327573--1.02204))+0-0-0</f>
        <v>1018.1398589999999</v>
      </c>
      <c r="AB88" s="3">
        <f>1471+(215-630.5)+(-0.75021+(-0.10965--0.321555))+0-0-0</f>
        <v>1054.961695</v>
      </c>
      <c r="AC88" s="3">
        <f>1476.2+(209.9-657.4)+(-0.752862+(-0.107049--0.335274))+0-0-0</f>
        <v>1028.1753630000001</v>
      </c>
      <c r="AD88">
        <f t="shared" si="1"/>
        <v>21139.300800999994</v>
      </c>
      <c r="AE88" s="3">
        <f>1451+(216.8-692.2)+(0+(0-0))+0-0-0</f>
        <v>975.59999999999991</v>
      </c>
    </row>
    <row r="89" spans="1:31" s="2" customFormat="1" x14ac:dyDescent="0.25">
      <c r="A89">
        <v>89</v>
      </c>
      <c r="B89">
        <v>3</v>
      </c>
      <c r="C89">
        <v>27</v>
      </c>
      <c r="D89">
        <v>6</v>
      </c>
      <c r="E89">
        <v>1</v>
      </c>
      <c r="F89" s="3">
        <f>1458+(213.6-730.1)+(-1.48716+(-0.217872--0.744702))+0-0-0</f>
        <v>940.53967</v>
      </c>
      <c r="G89" s="3">
        <f>1438.8+(221.2-810.4)+(0+(0-0))+0-0-0</f>
        <v>849.59999999999991</v>
      </c>
      <c r="H89" s="3">
        <f>1428.6+(225.1-860.6)+(-2.185758+(-0.344403--1.316718))+0-0-0</f>
        <v>791.88655699999993</v>
      </c>
      <c r="I89" s="3">
        <f>1429.5+(227.3-904.1)+(-1.45809+(-0.231846--0.922182))+0-0-0</f>
        <v>751.93224600000008</v>
      </c>
      <c r="J89" s="3">
        <f>1426.4+(237.8-950.8)+(-1.454928+(-0.242556--0.969816))+0-0-0</f>
        <v>712.6723320000001</v>
      </c>
      <c r="K89" s="3">
        <f>1283.4+(184.6-805.4)+(-3.27267+(-0.47073--2.05377))+0-0-0</f>
        <v>660.91037000000017</v>
      </c>
      <c r="L89" s="3">
        <f>1138.6+(131.9-681.3)+(-2.90343+(-0.336345--1.737315))+0-0-0</f>
        <v>587.69753999999989</v>
      </c>
      <c r="M89" s="3">
        <f>1229.3+(171.4-783.1)+(1.880829+(0.262242-1.198143))+0-0-0</f>
        <v>618.54492799999991</v>
      </c>
      <c r="N89" s="3">
        <f>1408.9+(203.4-933.9)+(0+(0-0))+0-0-0</f>
        <v>678.40000000000009</v>
      </c>
      <c r="O89" s="3">
        <f>1417.9+(257.9-927.2)+(2.169387+(0.394587-1.418616))+0-0-0</f>
        <v>749.74535800000001</v>
      </c>
      <c r="P89" s="3">
        <f>1410.5+(229.6-847.3)+(0+(0-0))+0-0-0</f>
        <v>792.80000000000007</v>
      </c>
      <c r="Q89" s="3">
        <f>1428.2+(228-802.4)+(1.456764+(0.23256-0.818448))+0-0-0</f>
        <v>854.67087600000002</v>
      </c>
      <c r="R89" s="3">
        <f>1437+(260.9-796.9)+(0+(0-0))+0-0-0</f>
        <v>901</v>
      </c>
      <c r="S89" s="3">
        <f>1456.2+(277.8-786)+(0+(0-0))+0-0-0</f>
        <v>948</v>
      </c>
      <c r="T89" s="3">
        <f>1457.5+(276.1-794.3)+(0+(0-0))+0-0-0</f>
        <v>939.30000000000007</v>
      </c>
      <c r="U89" s="3">
        <f>1458.3+(286.7-825)+(-1.487466+(-0.292434--0.8415))+0-0-0</f>
        <v>919.0616</v>
      </c>
      <c r="V89" s="3">
        <f>1456.1+(289.3-836.9)+(0+(0-0))+0-0-0</f>
        <v>908.5</v>
      </c>
      <c r="W89" s="3">
        <f>1459.3+(268.3-864.2)+(-3.721215+(-0.684165--2.20371))+0-0-0</f>
        <v>861.19832999999983</v>
      </c>
      <c r="X89" s="3">
        <f>1461.2+(141-820.6)+(-2.980848+(-0.28764--1.674024))+0-0-0</f>
        <v>780.00553600000001</v>
      </c>
      <c r="Y89" s="3">
        <f>1464+(109.7-816.8)+(-0.74664+(-0.055947--0.416568))+0-0-0</f>
        <v>756.51398100000006</v>
      </c>
      <c r="Z89" s="3">
        <f>1483.9+(181.5-818.3)+(-0.756789+(-0.092565--0.417333))+0-0-0</f>
        <v>846.66797900000017</v>
      </c>
      <c r="AA89" s="3">
        <f>1495.6+(206.8-740.1)+(-3.81378+(-0.52734--1.887255))+0-0-0</f>
        <v>959.846135</v>
      </c>
      <c r="AB89" s="3">
        <f>1501.1+(215-755.5)+(-0.765561+(-0.10965--0.385305))+0-0-0</f>
        <v>960.11009399999989</v>
      </c>
      <c r="AC89" s="3">
        <f>1480.8+(237.6-792.9)+(-3.020832+(-0.484704--1.617516))+0-0-0</f>
        <v>923.61198000000002</v>
      </c>
      <c r="AD89">
        <f t="shared" si="1"/>
        <v>19693.215512000002</v>
      </c>
      <c r="AE89" s="3">
        <f>1489+(200.6-766.7)+(0+(0-0))+0-0-0</f>
        <v>922.9</v>
      </c>
    </row>
    <row r="90" spans="1:31" s="2" customFormat="1" x14ac:dyDescent="0.25">
      <c r="A90">
        <v>89</v>
      </c>
      <c r="B90">
        <v>3</v>
      </c>
      <c r="C90">
        <v>28</v>
      </c>
      <c r="D90">
        <v>7</v>
      </c>
      <c r="E90">
        <v>1</v>
      </c>
      <c r="F90" s="3">
        <f>1444.9+(233.7-800.2)+(-2.210697+(-0.357561--1.224306))+0-0-0</f>
        <v>877.05604800000015</v>
      </c>
      <c r="G90" s="3">
        <f>1431.4+(103.5-722.8)+(-1.460028+(-0.10557--0.737256))+0-0-0</f>
        <v>811.27165800000012</v>
      </c>
      <c r="H90" s="3">
        <f>1426.1+(69.3-744)+(-2.181933+(-0.106029--1.13832))+0-0-0</f>
        <v>750.25035799999989</v>
      </c>
      <c r="I90" s="3">
        <f>1422.9+(76-790.3)+(-2.177037+(-0.11628--1.209159))+0-0-0</f>
        <v>707.51584200000013</v>
      </c>
      <c r="J90" s="3">
        <f>1415.2+(78.9-805.9)+(-2.165256+(-0.120717--1.233027))+0-0-0</f>
        <v>687.14705400000003</v>
      </c>
      <c r="K90" s="3">
        <f>1358.8+(76.2-810.5)+(-2.078964+(-0.116586--1.240065))+0-0-0</f>
        <v>623.54451500000005</v>
      </c>
      <c r="L90" s="3">
        <f>1132+(75.6-669.3)+(0+(0-0))+0-0-0</f>
        <v>538.30000000000007</v>
      </c>
      <c r="M90" s="3">
        <f>1125.3+(75.8-666.6)+(0+(0-0))+0-0-0</f>
        <v>534.49999999999989</v>
      </c>
      <c r="N90" s="3">
        <f>1205.7+(63.5-692.5)+(-2.459628+(-0.12954--1.4127))+0-0-0</f>
        <v>575.52353200000005</v>
      </c>
      <c r="O90" s="3">
        <f>1337.5+(55.4-762.9)+(-2.046375+(-0.084762--1.167237))+0-0-0</f>
        <v>629.03610000000003</v>
      </c>
      <c r="P90" s="3">
        <f>1433.4+(49-808.4)+(0+(0-0))+0-0-0</f>
        <v>674.00000000000011</v>
      </c>
      <c r="Q90" s="3">
        <f>1424.4+(180.7-915.4)+(0+(0-0))+0-0-0</f>
        <v>689.7</v>
      </c>
      <c r="R90" s="3">
        <f>1385.6+(312.1-945.9)+(-0.706656+(-0.159171--0.482409))+0-0-0</f>
        <v>751.41658199999995</v>
      </c>
      <c r="S90" s="3">
        <f>1294.7+(322-823.6)+(-0.660297+(-0.16422--0.420036))+0-0-0</f>
        <v>792.69551899999999</v>
      </c>
      <c r="T90" s="3">
        <f>1230+(314.3-774.2)+(-0.6273+(-0.160293--0.394842))+0-0-0</f>
        <v>769.70724899999993</v>
      </c>
      <c r="U90" s="3">
        <f>1233.1+(285.4-795.1)+(-1.257762+(-0.291108--0.811002))+0-0-0</f>
        <v>722.66213199999981</v>
      </c>
      <c r="V90" s="3">
        <f>1231.5+(276.7-808.6)+(-0.628065+(-0.141117--0.412386))+0-0-0</f>
        <v>699.24320399999988</v>
      </c>
      <c r="W90" s="3">
        <f>1224.2+(245.5-792.6)+(-1.873026+(-0.375615--1.212678))+0-0-0</f>
        <v>676.06403699999998</v>
      </c>
      <c r="X90" s="3">
        <f>1234.8+(155.1-756.8)+(-3.14874+(-0.395505--1.92984))+0-0-0</f>
        <v>631.48559499999999</v>
      </c>
      <c r="Y90" s="3">
        <f>1250.9+(142.1-760.5)+(-1.275918+(-0.144942--0.77571))+0-0-0</f>
        <v>631.85485000000017</v>
      </c>
      <c r="Z90" s="3">
        <f>1266.4+(134.3-697.1)+(-0.645864+(-0.068493--0.355521))+0-0-0</f>
        <v>703.24116400000014</v>
      </c>
      <c r="AA90" s="3">
        <f>1270.9+(210.7-662.5)+(-1.944477+(-0.322371--1.013625))+0-0-0</f>
        <v>817.84677700000009</v>
      </c>
      <c r="AB90" s="3">
        <f>1277.1+(236.2-653.7)+(-1.302642+(-0.240924--0.666774))+0-0-0</f>
        <v>858.72320799999989</v>
      </c>
      <c r="AC90" s="3">
        <f>1266.4+(260.8-686.7)+(-2.583456+(-0.532032--1.400868))+0-0-0</f>
        <v>838.78538000000003</v>
      </c>
      <c r="AD90">
        <f t="shared" si="1"/>
        <v>16991.570804000003</v>
      </c>
      <c r="AE90" s="3">
        <f>1263+(227.3-736)+(0+(0-0))+0-0-0</f>
        <v>754.3</v>
      </c>
    </row>
    <row r="91" spans="1:31" s="2" customFormat="1" x14ac:dyDescent="0.25">
      <c r="A91">
        <v>89</v>
      </c>
      <c r="B91">
        <v>3</v>
      </c>
      <c r="C91">
        <v>29</v>
      </c>
      <c r="D91">
        <v>1</v>
      </c>
      <c r="E91">
        <v>1</v>
      </c>
      <c r="F91" s="3">
        <f>1236.1+(273.2-710.2)+(-1.260822+(-0.278664--0.724404))+0-0-0</f>
        <v>798.28491799999995</v>
      </c>
      <c r="G91" s="3">
        <f>1238.3+(230.4-744.6)+(-2.526132+(-0.470016--1.518984))+0-0-0</f>
        <v>722.62283599999989</v>
      </c>
      <c r="H91" s="3">
        <f>1192.1+(189.5-713.3)+(-1.823913+(-0.289935--1.091349))+0-0-0</f>
        <v>667.27750099999992</v>
      </c>
      <c r="I91" s="3">
        <f>1199.1+(154.4-727.6)+(-3.669246+(-0.472464--2.226456))+0-0-0</f>
        <v>623.98474599999986</v>
      </c>
      <c r="J91" s="3">
        <f>1198.1+(162-754.8)+(0+(0-0))+0-0-0</f>
        <v>605.29999999999995</v>
      </c>
      <c r="K91" s="3">
        <f>1196.8+(160-776.6)+(-0.610368+(-0.0816--0.396066))+0-0-0</f>
        <v>579.90409799999998</v>
      </c>
      <c r="L91" s="3">
        <f>1195.1+(162.8-824.4)+(-0.609501+(-0.083028--0.420444))+0-0-0</f>
        <v>533.22791500000005</v>
      </c>
      <c r="M91" s="3">
        <f>1206.3+(209.6-837.7)+(-1.230426+(-0.213792--0.854454))+0-0-0</f>
        <v>577.61023599999999</v>
      </c>
      <c r="N91" s="3">
        <f>1326.7+(278.4-939.2)+(0.676617+(0.141984-0.478992))+0-0-0</f>
        <v>666.23960899999997</v>
      </c>
      <c r="O91" s="3">
        <f>1420.4+(274.5-956)+(0.724404+(0.139995-0.48756))+0-0-0</f>
        <v>739.27683900000011</v>
      </c>
      <c r="P91" s="3">
        <f>1415.7+(274.6-910.7)+(-1.444014+(-0.280092--0.928914))+0-0-0</f>
        <v>778.80480799999998</v>
      </c>
      <c r="Q91" s="3">
        <f>1411.5+(297.8-872.5)+(1.43973+(0.303756-0.88995))+0-0-0</f>
        <v>837.65353599999992</v>
      </c>
      <c r="R91" s="3">
        <f>1407.7+(294.2-800.4)+(-1.435854+(-0.300084--0.816408))+0-0-0</f>
        <v>900.58046999999999</v>
      </c>
      <c r="S91" s="3">
        <f>1415.8+(299-759.8)+(0+(0-0))+0-0-0</f>
        <v>955</v>
      </c>
      <c r="T91" s="3">
        <f>1420.6+(306.7-767.6)+(-0.724506+(-0.156417--0.391476))+0-0-0</f>
        <v>959.21055299999978</v>
      </c>
      <c r="U91" s="3">
        <f>1420.6+(299.1-793.7)+(-1.449012+(-0.305082--0.809574))+0-0-0</f>
        <v>925.05547999999987</v>
      </c>
      <c r="V91" s="3">
        <f>1420.2+(289.3-808.4)+(0.724302+(0.147543-0.412284))+0-0-0</f>
        <v>901.55956100000014</v>
      </c>
      <c r="W91" s="3">
        <f>1417.7+(279.9-835.2)+(-2.892108+(-0.570996--1.703808))+0-0-0</f>
        <v>860.64070400000003</v>
      </c>
      <c r="X91" s="3">
        <f>1403.4+(253.4-855.5)+(-4.294404+(-0.775404--2.61783))+0-0-0</f>
        <v>798.84802200000001</v>
      </c>
      <c r="Y91" s="3">
        <f>1416+(197.9-852.8)+(-0.72216+(-0.100929--0.434928))+0-0-0</f>
        <v>760.71183900000005</v>
      </c>
      <c r="Z91" s="3">
        <f>1447.4+(248.4-860.2)+(0+(0-0))+0-0-0</f>
        <v>835.6</v>
      </c>
      <c r="AA91" s="3">
        <f>1459+(209.5-707.3)+(0+(0-0))+0-0-0</f>
        <v>961.2</v>
      </c>
      <c r="AB91" s="3">
        <f>1448.6+(212.6-692.6)+(-2.216358+(-0.325278--1.059678))+0-0-0</f>
        <v>967.11804199999995</v>
      </c>
      <c r="AC91" s="3">
        <f>1446.6+(241.3-748.3)+(-1.475532+(-0.246126--0.763266))+0-0-0</f>
        <v>938.64160799999991</v>
      </c>
      <c r="AD91">
        <f t="shared" si="1"/>
        <v>18894.353320999995</v>
      </c>
      <c r="AE91" s="3">
        <f>1453+(206.7-757.4)+(0+(0-0))+0-0-0</f>
        <v>902.3</v>
      </c>
    </row>
    <row r="92" spans="1:31" s="2" customFormat="1" x14ac:dyDescent="0.25">
      <c r="A92">
        <v>89</v>
      </c>
      <c r="B92">
        <v>3</v>
      </c>
      <c r="C92">
        <v>30</v>
      </c>
      <c r="D92">
        <v>2</v>
      </c>
      <c r="E92">
        <v>1</v>
      </c>
      <c r="F92" s="3">
        <f>1436.5+(266.8-824.5)+(-2.93046+(-0.544272--1.68198))+0-0-0</f>
        <v>877.007248</v>
      </c>
      <c r="G92" s="3">
        <f>1441.4+(224.8-858.8)+(-0.735114+(-0.114648--0.437988))+0-0-0</f>
        <v>806.98822600000005</v>
      </c>
      <c r="H92" s="3">
        <f>1284.5+(247.1-790.6)+(0.655095+(0.126021-0.403206))+0-0-0</f>
        <v>741.37791000000004</v>
      </c>
      <c r="I92" s="3">
        <f>1249.3+(216.8-753)+(-1.911429+(-0.331704--1.15209))+0-0-0</f>
        <v>712.0089569999999</v>
      </c>
      <c r="J92" s="3">
        <f>1250.3+(195.4-757)+(-1.912959+(-0.298962--1.15821))+0-0-0</f>
        <v>687.64628899999991</v>
      </c>
      <c r="K92" s="3">
        <f>1207.3+(195.9-775.9)+(-2.462892+(-0.399636--1.582836))+0-0-0</f>
        <v>626.020308</v>
      </c>
      <c r="L92" s="3">
        <f>1166+(179-804.5)+(0.59466+(0.09129-0.410295))+0-0-0</f>
        <v>540.77565500000003</v>
      </c>
      <c r="M92" s="3">
        <f>1154+(184-845.7)+(0+(0-0))+0-0-0</f>
        <v>492.29999999999995</v>
      </c>
      <c r="N92" s="3">
        <f>1410+(184.5-885.1)+(1.4382+(0.18819-0.902802))+0-0-0</f>
        <v>710.12358799999993</v>
      </c>
      <c r="O92" s="3">
        <f>1410+(222.4-897.4)+(1.4382+(0.226848-0.915348))+0-0-0</f>
        <v>735.74969999999996</v>
      </c>
      <c r="P92" s="3">
        <f>1421.7+(267.9-899.5)+(0.725067+(0.136629-0.458745))+0-0-0</f>
        <v>790.50295100000005</v>
      </c>
      <c r="Q92" s="3">
        <f>1419+(284-869.5)+(0.72369+(0.14484-0.443445))+0-0-0</f>
        <v>833.92508499999997</v>
      </c>
      <c r="R92" s="3">
        <f>1417.8+(285.9-819.9)+(0.723078+(0.145809-0.418149))+0-0-0</f>
        <v>884.25073799999996</v>
      </c>
      <c r="S92" s="3">
        <f>1436.9+(309.2-802.3)+(0+(0-0))+0-0-0</f>
        <v>943.80000000000018</v>
      </c>
      <c r="T92" s="3">
        <f>1435.3+(309.4-775.6)+(0.732003+(0.157794-0.395556))+0-0-0</f>
        <v>969.5942409999999</v>
      </c>
      <c r="U92" s="3">
        <f>1432.9+(299.7-775)+(-1.461558+(-0.305694--0.7905))+0-0-0</f>
        <v>956.6232480000001</v>
      </c>
      <c r="V92" s="3">
        <f>1446.5+(297.8-806.4)+(-1.47543+(-0.303756--0.822528))+0-0-0</f>
        <v>936.94334200000014</v>
      </c>
      <c r="W92" s="3">
        <f>1447.9+(291.9-856.4)+(-1.476858+(-0.297738--0.873528))+0-0-0</f>
        <v>882.49893200000008</v>
      </c>
      <c r="X92" s="3">
        <f>1448.2+(289.8-903.5)+(-2.215746+(-0.443394--1.382355))+0-0-0</f>
        <v>833.22321499999998</v>
      </c>
      <c r="Y92" s="3">
        <f>1452.4+(264.1-915.4)+(-0.740724+(-0.134691--0.466854))+0-0-0</f>
        <v>800.69143900000017</v>
      </c>
      <c r="Z92" s="3">
        <f>1462.9+(249.2-844.3)+(0+(0-0))+0-0-0</f>
        <v>867.80000000000018</v>
      </c>
      <c r="AA92" s="3">
        <f>1484.5+(195-643.2)+(-1.51419+(-0.1989--0.656064))+0-0-0</f>
        <v>1035.242974</v>
      </c>
      <c r="AB92" s="3">
        <f>1494.2+(191.5-625.6)+(-0.762042+(-0.097665--0.319056))+0-0-0</f>
        <v>1059.5593489999999</v>
      </c>
      <c r="AC92" s="3">
        <f>1489.8+(219.6-681.6)+(0+(0-0))+0-0-0</f>
        <v>1027.8</v>
      </c>
      <c r="AD92">
        <f t="shared" si="1"/>
        <v>19752.453395000004</v>
      </c>
      <c r="AE92" s="3">
        <f>1486+(195.3-667.6)+(0+(0-0))+0-0-0</f>
        <v>1013.7</v>
      </c>
    </row>
    <row r="93" spans="1:31" s="2" customFormat="1" x14ac:dyDescent="0.25">
      <c r="A93">
        <v>89</v>
      </c>
      <c r="B93">
        <v>3</v>
      </c>
      <c r="C93">
        <v>31</v>
      </c>
      <c r="D93">
        <v>3</v>
      </c>
      <c r="E93">
        <v>1</v>
      </c>
      <c r="F93" s="3">
        <f>1484.8+(249.8-778.7)+(-0.757248+(-0.127398--0.397137))+0-0-0</f>
        <v>955.41249099999982</v>
      </c>
      <c r="G93" s="3">
        <f>1482.1+(258.7-876.3)+(0.755871+(0.131937-0.446913))+0-0-0</f>
        <v>864.94089499999995</v>
      </c>
      <c r="H93" s="3">
        <f>1482+(226.5-901.6)+(0.75582+(0.115515-0.459816))+0-0-0</f>
        <v>807.31151899999998</v>
      </c>
      <c r="I93" s="3">
        <f>1478.1+(140.9-872.1)+(1.507662+(0.143718-0.889542))+0-0-0</f>
        <v>747.66183799999988</v>
      </c>
      <c r="J93" s="3">
        <f>1474.5+(109.5-859.8)+(3.00798+(0.22338-1.753992))+0-0-0</f>
        <v>725.677368</v>
      </c>
      <c r="K93" s="3">
        <f>1414.9+(112.6-856.3)+(0+(0-0))+0-0-0</f>
        <v>671.20000000000016</v>
      </c>
      <c r="L93" s="3">
        <f>1332.8+(108.7-835.7)+(-0.679728+(-0.055437--0.426207))+0-0-0</f>
        <v>605.49104199999999</v>
      </c>
      <c r="M93" s="3">
        <f>1382.4+(154.9-886.8)+(0+(0-0))+0-0-0</f>
        <v>650.50000000000011</v>
      </c>
      <c r="N93" s="3">
        <f>1400.9+(249.5-917)+(1.428918+(0.25449-0.93534))+0-0-0</f>
        <v>734.14806800000008</v>
      </c>
      <c r="O93" s="3">
        <f>1395.5+(293.3-891.6)+(1.42341+(0.299166-0.909432))+0-0-0</f>
        <v>798.01314400000001</v>
      </c>
      <c r="P93" s="3">
        <f>1393.8+(276.6-814)+(0+(0-0))+0-0-0</f>
        <v>856.4</v>
      </c>
      <c r="Q93" s="3">
        <f>1403.5+(289.1-789.7)+(0+(0-0))+0-0-0</f>
        <v>902.9</v>
      </c>
      <c r="R93" s="3">
        <f>1449.5+(295.2-759.5)+(0.739245+(0.150552-0.387345))+0-0-0</f>
        <v>985.70245199999999</v>
      </c>
      <c r="S93" s="3">
        <f>1454.8+(300.9-726.8)+(0+(0-0))+0-0-0</f>
        <v>1028.9000000000001</v>
      </c>
      <c r="T93" s="3">
        <f>1445.4+(317.4-731.7)+(0.737154+(0.161874-0.373167))+0-0-0</f>
        <v>1031.625861</v>
      </c>
      <c r="U93" s="3">
        <f>1440+(298.5-746.3)+(-0.7344+(-0.152235--0.380613))+0-0-0</f>
        <v>991.69397800000002</v>
      </c>
      <c r="V93" s="3">
        <f>1437.7+(294-813.3)+(1.466454+(0.29988-0.829566))+0-0-0</f>
        <v>919.33676800000012</v>
      </c>
      <c r="W93" s="3">
        <f>1439+(306.4-856.8)+(0.73389+(0.156264-0.436968))+0-0-0</f>
        <v>889.05318599999998</v>
      </c>
      <c r="X93" s="3">
        <f>1442.7+(290.6-885.1)+(0+(0-0))+0-0-0</f>
        <v>848.2</v>
      </c>
      <c r="Y93" s="3">
        <f>1450.3+(246.7-866.6)+(1.479306+(0.251634-0.883932))+0-0-0</f>
        <v>831.24700799999982</v>
      </c>
      <c r="Z93" s="3">
        <f>1463+(251.4-828.2)+(0+(0-0))+0-0-0</f>
        <v>886.19999999999993</v>
      </c>
      <c r="AA93" s="3">
        <f>1488.8+(235.7-734.8)+(-0.759288+(-0.120207--0.374748))+0-0-0</f>
        <v>989.19525300000009</v>
      </c>
      <c r="AB93" s="3">
        <f>1487.8+(232.6-792.8)+(0+(0-0))+0-0-0</f>
        <v>927.6</v>
      </c>
      <c r="AC93" s="3">
        <f>1485.6+(265.8-867.7)+(-2.272968+(-0.406674--1.327581))+0-0-0</f>
        <v>882.34793899999977</v>
      </c>
      <c r="AD93">
        <f t="shared" si="1"/>
        <v>20530.758809999999</v>
      </c>
      <c r="AE93" s="3">
        <f>1478+(230.8-748.4)+(0+(0-0))+0-0-0</f>
        <v>960.40000000000009</v>
      </c>
    </row>
    <row r="94" spans="1:31" s="2" customFormat="1" x14ac:dyDescent="0.25">
      <c r="A94">
        <v>89</v>
      </c>
      <c r="B94">
        <v>4</v>
      </c>
      <c r="C94">
        <v>1</v>
      </c>
      <c r="D94">
        <v>4</v>
      </c>
      <c r="E94">
        <v>1</v>
      </c>
      <c r="F94" s="3">
        <f>1475.5+(241.1-883.3)+(-3.762525+(-0.614805--2.252415))+0-0-0</f>
        <v>831.17508500000008</v>
      </c>
      <c r="G94" s="3">
        <f>1441.7+(248.7-887.5)+(-2.205801+(-0.380511--1.357875))+0-0-0</f>
        <v>801.67156300000011</v>
      </c>
      <c r="H94" s="3">
        <f>1382.9+(264.3-899.6)+(-2.821116+(-0.539172--1.835184))+0-0-0</f>
        <v>746.07489600000008</v>
      </c>
      <c r="I94" s="3">
        <f>1381+(241.3-922)+(-2.11293+(-0.369189--1.41066))+0-0-0</f>
        <v>699.22854099999995</v>
      </c>
      <c r="J94" s="3">
        <f>1387.2+(191.4-918)+(-0.707472+(-0.097614--0.46818))+0-0-0</f>
        <v>660.26309400000002</v>
      </c>
      <c r="K94" s="3">
        <f>1380.2+(136-899.2)+(-2.815608+(-0.27744--1.834368))+0-0-0</f>
        <v>615.74131999999997</v>
      </c>
      <c r="L94" s="3">
        <f>1392.2+(127.7-973.9)+(0.710022+(0.065127-0.496689))+0-0-0</f>
        <v>546.27846000000011</v>
      </c>
      <c r="M94" s="3">
        <f>1402.8+(146.5-949.4)+(1.430856+(0.14943-0.968388))+0-0-0</f>
        <v>600.51189799999997</v>
      </c>
      <c r="N94" s="3">
        <f>1392.7+(210.4-913.6)+(-0.710277+(-0.107304--0.465936))+0-0-0</f>
        <v>689.14835500000004</v>
      </c>
      <c r="O94" s="3">
        <f>1398.5+(263.2-897.9)+(1.42647+(0.268464-0.915858))+0-0-0</f>
        <v>764.57907599999999</v>
      </c>
      <c r="P94" s="3">
        <f>1393.3+(255-844.2)+(0.710583+(0.13005-0.430542))+0-0-0</f>
        <v>804.51009099999987</v>
      </c>
      <c r="Q94" s="3">
        <f>1391.3+(248.3-793.3)+(0+(0-0))+0-0-0</f>
        <v>846.3</v>
      </c>
      <c r="R94" s="3">
        <f>1386.4+(233.7-697.2)+(-0.707064+(-0.119187--0.355572))+0-0-0</f>
        <v>922.42932100000007</v>
      </c>
      <c r="S94" s="3">
        <f>1379.9+(259.9-634.9)+(-1.407498+(-0.265098--0.647598))+0-0-0</f>
        <v>1003.8750020000001</v>
      </c>
      <c r="T94" s="3">
        <f>1383.6+(258-780.3)+(0.705636+(0.13158-0.397953))+100.1-0-0</f>
        <v>961.83926299999996</v>
      </c>
      <c r="U94" s="3">
        <f>1388+(262.7-679.4)+(2.12364+(0.401931-1.039482))+0-0-0</f>
        <v>972.78608899999995</v>
      </c>
      <c r="V94" s="3">
        <f>1375.7+(238.4-640.1)+(-1.403214+(-0.243168--0.652902))+0-0-0</f>
        <v>973.00652000000002</v>
      </c>
      <c r="W94" s="3">
        <f>1376.4+(233.3-698.8)+(-1.403928+(-0.237966--0.712776))+0-0-0</f>
        <v>909.97088200000007</v>
      </c>
      <c r="X94" s="3">
        <f>1375+(228.7-736.6)+(-2.10375+(-0.349911--1.126998))+0-0-0</f>
        <v>865.77333699999986</v>
      </c>
      <c r="Y94" s="3">
        <f>1389.5+(195.4-786.7)+(0.708645+(0.099654-0.401217))+0-0-0</f>
        <v>798.60708199999988</v>
      </c>
      <c r="Z94" s="3">
        <f>1397.7+(210.2-740.1)+(-2.138481+(-0.321606--1.132353))+0-0-0</f>
        <v>866.47226599999999</v>
      </c>
      <c r="AA94" s="3">
        <f>1421.3+(215-609.2)+(-0.724863+(-0.10965--0.310692))+0-0-0</f>
        <v>1026.5761789999999</v>
      </c>
      <c r="AB94" s="3">
        <f>1441.8+(233.8-638.4)+(0+(0-0))+0-0-0</f>
        <v>1037.2</v>
      </c>
      <c r="AC94" s="3">
        <f>1417.5+(241.8-648.4)+(-0.722925+(-0.123318--0.330684))+0-0-0</f>
        <v>1010.384441</v>
      </c>
      <c r="AD94">
        <f t="shared" si="1"/>
        <v>19954.402761000001</v>
      </c>
      <c r="AE94" s="3">
        <f>1418+(208.7-732.5)+(0+(0-0))+0-0-0</f>
        <v>894.2</v>
      </c>
    </row>
    <row r="95" spans="1:31" s="2" customFormat="1" x14ac:dyDescent="0.25">
      <c r="A95">
        <v>89</v>
      </c>
      <c r="B95">
        <v>4</v>
      </c>
      <c r="C95">
        <v>2</v>
      </c>
      <c r="D95">
        <v>5</v>
      </c>
      <c r="E95">
        <v>1</v>
      </c>
      <c r="F95" s="3">
        <f>1366.2+(240-680.5)+(0+(0-0))+0-0-0</f>
        <v>925.7</v>
      </c>
      <c r="G95" s="3">
        <f>1356.1+(223.1-727.3)+(-1.383222+(-0.227562--0.741846))+0-0-0</f>
        <v>851.03106200000002</v>
      </c>
      <c r="H95" s="3">
        <f>1363.1+(214.7-781.9)+(0+(0-0))+0-0-0</f>
        <v>795.89999999999986</v>
      </c>
      <c r="I95" s="3">
        <f>1361+(211.6-804.3)+(-1.38822+(-0.215832--0.820386))+0-0-0</f>
        <v>767.51633400000003</v>
      </c>
      <c r="J95" s="3">
        <f>1360.8+(209.1-840)+(-0.694008+(-0.106641--0.4284))+0-0-0</f>
        <v>729.52775099999997</v>
      </c>
      <c r="K95" s="3">
        <f>1320.8+(186-818.1)+(-1.347216+(-0.18972--0.834462))+0-0-0</f>
        <v>687.99752599999988</v>
      </c>
      <c r="L95" s="3">
        <f>1277.6+(123.9-790.9)+(-0.651576+(-0.063189--0.403359))+0-0-0</f>
        <v>610.28859399999988</v>
      </c>
      <c r="M95" s="3">
        <f>1351.3+(129.4-849.8)+(-0.689163+(-0.065994--0.433398))+0-0-0</f>
        <v>630.57824099999993</v>
      </c>
      <c r="N95" s="3">
        <f>1405.7+(159.9-858)+(0+(0-0))+0-0-0</f>
        <v>707.6</v>
      </c>
      <c r="O95" s="3">
        <f>1391.8+(184.1-806.7)+(-2.129454+(-0.281673--1.234251))+0-0-0</f>
        <v>768.02312399999994</v>
      </c>
      <c r="P95" s="3">
        <f>1401.5+(195.7-773.6)+(0.714765+(0.099807-0.394536))+0-0-0</f>
        <v>824.02003599999989</v>
      </c>
      <c r="Q95" s="3">
        <f>1389.9+(206.3-718.6)+(-0.708849+(-0.105213--0.366486))+0-0-0</f>
        <v>877.15242400000011</v>
      </c>
      <c r="R95" s="3">
        <f>1380.3+(183.2-633.9)+(0.703953+(0.093432-0.323289))+0-0-0</f>
        <v>930.07409599999994</v>
      </c>
      <c r="S95" s="3">
        <f>1368.9+(223.5-600)+(-0.698139+(-0.113985--0.306))+0-0-0</f>
        <v>991.89387600000009</v>
      </c>
      <c r="T95" s="3">
        <f>1374.6+(242.2-618.1)+(1.402092+(0.247044-0.630462))+0-0-0</f>
        <v>999.71867399999985</v>
      </c>
      <c r="U95" s="3">
        <f>1364.4+(240.6-632.4)+(0.695844+(0.122706-0.322524))+0-0-0</f>
        <v>973.09602600000017</v>
      </c>
      <c r="V95" s="3">
        <f>1354.7+(217.9-629.8)+(0+(0-0))+0-0-0</f>
        <v>942.80000000000007</v>
      </c>
      <c r="W95" s="3">
        <f>1356.6+(222.4-693.1)+(-0.691866+(-0.113424--0.353481))+0-0-0</f>
        <v>885.44819099999984</v>
      </c>
      <c r="X95" s="3">
        <f>1349.1+(215.4-732)+(-2.064123+(-0.329562--1.11996))+0-0-0</f>
        <v>831.22627499999987</v>
      </c>
      <c r="Y95" s="3">
        <f>1376.9+(172.3-743.5)+(-1.404438+(-0.175746--0.75837))+0-0-0</f>
        <v>804.87818600000003</v>
      </c>
      <c r="Z95" s="3">
        <f>1389.7+(195.5-726.6)+(0+(0-0))+0-0-0</f>
        <v>858.6</v>
      </c>
      <c r="AA95" s="3">
        <f>1388.7+(241.4-650.1)+(-2.124711+(-0.369342--0.994653))+0-0-0</f>
        <v>978.50059999999996</v>
      </c>
      <c r="AB95" s="3">
        <f>1389.1+(239.8-652.1)+(-1.416882+(-0.244596--0.665142))+0-0-0</f>
        <v>975.80366399999991</v>
      </c>
      <c r="AC95" s="3">
        <f>1383.2+(225.5-708)+(-0.705432+(-0.115005--0.36108))+0-0-0</f>
        <v>900.24064300000009</v>
      </c>
      <c r="AD95">
        <f t="shared" si="1"/>
        <v>20247.615322999998</v>
      </c>
      <c r="AE95" s="3">
        <f>1389+(242.1-698.4)+(0+(0-0))+0-0-0</f>
        <v>932.7</v>
      </c>
    </row>
    <row r="96" spans="1:31" s="2" customFormat="1" x14ac:dyDescent="0.25">
      <c r="A96">
        <v>89</v>
      </c>
      <c r="B96">
        <v>4</v>
      </c>
      <c r="C96">
        <v>3</v>
      </c>
      <c r="D96">
        <v>6</v>
      </c>
      <c r="E96">
        <v>1</v>
      </c>
      <c r="F96" s="3">
        <f>1373.5+(206.6-734.4)+(-2.80194+(-0.421464--1.498176))+0-0-0</f>
        <v>843.97477200000003</v>
      </c>
      <c r="G96" s="3">
        <f>1367.7+(211.7-806)+(-3.487635+(-0.539835--2.0553))+0-0-0</f>
        <v>771.42783000000009</v>
      </c>
      <c r="H96" s="3">
        <f>1375.8+(233.5-882.5)+(-0.701658+(-0.119085--0.450075))+0-0-0</f>
        <v>726.42933199999993</v>
      </c>
      <c r="I96" s="3">
        <f>1317.5+(237.9-861.7)+(-1.34385+(-0.242658--0.878934))+0-0-0</f>
        <v>692.99242599999991</v>
      </c>
      <c r="J96" s="3">
        <f>1265.6+(191.6-797.5)+(-0.645456+(-0.097716--0.406725))+0-0-0</f>
        <v>659.36355299999991</v>
      </c>
      <c r="K96" s="3">
        <f>1242.7+(147.5-767.2)+(-1.901331+(-0.225675--1.173816))+0-0-0</f>
        <v>622.04681000000005</v>
      </c>
      <c r="L96" s="3">
        <f>1112.3+(154.6-701.6)+(0+(0-0))+0-0-0</f>
        <v>565.29999999999995</v>
      </c>
      <c r="M96" s="3">
        <f>1237.7+(104.1-735)+(-0.631227+(-0.053091--0.37485))+0-0-0</f>
        <v>606.49053200000003</v>
      </c>
      <c r="N96" s="3">
        <f>1416.1+(117.4-844.5)+(0+(0-0))+0-0-0</f>
        <v>688.99999999999989</v>
      </c>
      <c r="O96" s="3">
        <f>1403.2+(232.6-863)+(0.715632+(0.118626-0.44013))+0-0-0</f>
        <v>773.19412800000009</v>
      </c>
      <c r="P96" s="3">
        <f>1388.9+(250.7-814.5)+(1.416678+(0.255714-0.83079))+0-0-0</f>
        <v>825.9416020000001</v>
      </c>
      <c r="Q96" s="3">
        <f>1381.9+(253.3-745.2)+(2.114307+(0.387549-1.140156))+0-0-0</f>
        <v>891.36170000000004</v>
      </c>
      <c r="R96" s="3">
        <f>1366.7+(247.1-668.4)+(0.697017+(0.126021-0.340884))+0-0-0</f>
        <v>945.88215400000013</v>
      </c>
      <c r="S96" s="3">
        <f>1361.9+(263.1-620.5)+(1.389138+(0.268362-0.63291))+0-0-0</f>
        <v>1005.5245900000001</v>
      </c>
      <c r="T96" s="3">
        <f>1343.2+(270.4-601.2)+(-2.055096+(-0.413712--0.919836))+0-0-0</f>
        <v>1010.8510279999999</v>
      </c>
      <c r="U96" s="3">
        <f>1355.6+(271.9-648.5)+(-0.691356+(-0.138669--0.330735))+0-0-0</f>
        <v>978.50070999999991</v>
      </c>
      <c r="V96" s="3">
        <f>1347.9+(265.8-680.8)+(-2.749716+(-0.542232--1.388832))+0-0-0</f>
        <v>930.99688400000014</v>
      </c>
      <c r="W96" s="3">
        <f>1350.5+(265.7-732.5)+(-2.75502+(-0.542028--1.4943))+0-0-0</f>
        <v>881.89725200000009</v>
      </c>
      <c r="X96" s="3">
        <f>1362.2+(221.6-769.5)+(-2.084166+(-0.339048--1.177335))+0-0-0</f>
        <v>813.05412100000012</v>
      </c>
      <c r="Y96" s="3">
        <f>1379.3+(125.8-727.6)+(-0.703443+(-0.064158--0.371076))+0-0-0</f>
        <v>777.10347499999989</v>
      </c>
      <c r="Z96" s="3">
        <f>1380.6+(117.7-661.9)+(-0.704106+(-0.060027--0.337569))+0-0-0</f>
        <v>835.97343599999999</v>
      </c>
      <c r="AA96" s="3">
        <f>1377.3+(249.2-642.8)+(-2.809692+(-0.508368--1.311312))+0-0-0</f>
        <v>981.69325200000003</v>
      </c>
      <c r="AB96" s="3">
        <f>1396.7+(251.8-640.9)+(-0.712317+(-0.128418--0.326859))+0-0-0</f>
        <v>1007.0861240000002</v>
      </c>
      <c r="AC96" s="3">
        <f>1401+(257.1-662.2)+(0.71451+(0.131121-0.337722))+0-0-0</f>
        <v>996.40790900000002</v>
      </c>
      <c r="AD96">
        <f t="shared" si="1"/>
        <v>19832.493620000005</v>
      </c>
      <c r="AE96" s="3">
        <f>1368+(253-687.3)+(0+(0-0))+0-0-0</f>
        <v>933.7</v>
      </c>
    </row>
    <row r="97" spans="1:31" s="2" customFormat="1" x14ac:dyDescent="0.25">
      <c r="A97">
        <v>89</v>
      </c>
      <c r="B97">
        <v>4</v>
      </c>
      <c r="C97">
        <v>4</v>
      </c>
      <c r="D97">
        <v>7</v>
      </c>
      <c r="E97">
        <v>1</v>
      </c>
      <c r="F97" s="3">
        <f>1394.6+(263.9-712.7)+(0.711246+(0.134589-0.363477))+0-0-0</f>
        <v>946.28235799999982</v>
      </c>
      <c r="G97" s="3">
        <f>1383.4+(251.3-760.9)+(-0.705534+(-0.128163--0.388059))+0-0-0</f>
        <v>873.35436200000015</v>
      </c>
      <c r="H97" s="3">
        <f>1312.6+(251.2-758.5)+(-1.338852+(-0.256224--0.77367))+0-0-0</f>
        <v>804.47859399999993</v>
      </c>
      <c r="I97" s="3">
        <f>1134.1+(259.6-699.5)+(0.578391+(0.132396-0.356745))+0-0-0</f>
        <v>694.55404199999998</v>
      </c>
      <c r="J97" s="3">
        <f>1144.8+(252.8-751.1)+(-1.167696+(-0.257856--0.766122))+0-0-0</f>
        <v>645.84056999999996</v>
      </c>
      <c r="K97" s="3">
        <f>1110.1+(272.5-807.4)+(-1.698453+(-0.416925--1.235322))+0-0-0</f>
        <v>574.31994399999996</v>
      </c>
      <c r="L97" s="3">
        <f>1097.3+(177.3-774)+(-1.119246+(-0.180846--0.78948))+0-0-0</f>
        <v>500.08938799999993</v>
      </c>
      <c r="M97" s="3">
        <f>1095.3+(132.6-724.7)+(-2.234412+(-0.270504--1.478388))+0-0-0</f>
        <v>502.17347199999995</v>
      </c>
      <c r="N97" s="3">
        <f>1104.7+(175.1-730.1)+(-0.563397+(-0.089301--0.372351))+0-0-0</f>
        <v>549.41965300000004</v>
      </c>
      <c r="O97" s="3">
        <f>1108.3+(241.3-727.4)+(0.565233+(0.123063-0.370974))+0-0-0</f>
        <v>622.51732200000004</v>
      </c>
      <c r="P97" s="3">
        <f>1118.3+(258.7-717.7)+(-2.851665+(-0.659685--1.830135))+0-0-0</f>
        <v>657.618785</v>
      </c>
      <c r="Q97" s="3">
        <f>1203.9+(248.2-761.3)+(0.613989+(0.126582-0.388263))+0-0-0</f>
        <v>691.15230800000018</v>
      </c>
      <c r="R97" s="3">
        <f>1195+(235.2-727.7)+(-0.60945+(-0.119952--0.371127))+0-0-0</f>
        <v>702.14172499999995</v>
      </c>
      <c r="S97" s="3">
        <f>1196.5+(279.4-741.5)+(0+(0-0))+0-0-0</f>
        <v>734.4</v>
      </c>
      <c r="T97" s="3">
        <f>1188+(287.8-740.6)+(-1.81764+(-0.440334--1.133118))+0-0-0</f>
        <v>734.07514400000002</v>
      </c>
      <c r="U97" s="3">
        <f>1198.5+(292-760)+(1.833705+(0.44676-1.1628))+0-0-0</f>
        <v>731.61766499999999</v>
      </c>
      <c r="V97" s="3">
        <f>1194.1+(291-765.8)+(-1.217982+(-0.29682--0.781116))+0-0-0</f>
        <v>718.56631399999992</v>
      </c>
      <c r="W97" s="3">
        <f>1193.9+(243.3-744.5)+(-2.435556+(-0.496332--1.51878))+0-0-0</f>
        <v>691.28689200000008</v>
      </c>
      <c r="X97" s="3">
        <f>1207.2+(108.6-653.5)+(-0.615672+(-0.055386--0.333285))+0-0-0</f>
        <v>661.9622270000001</v>
      </c>
      <c r="Y97" s="3">
        <f>1210.6+(97.2-676.8)+(-1.234812+(-0.099144--0.690336))+0-0-0</f>
        <v>630.35637999999994</v>
      </c>
      <c r="Z97" s="3">
        <f>1227.2+(153.1-713.7)+(-1.251744+(-0.156162--0.727974))+0-0-0</f>
        <v>665.92006800000001</v>
      </c>
      <c r="AA97" s="3">
        <f>1278.8+(194.8-680.2)+(-1.956564+(-0.298044--1.040706))+0-0-0</f>
        <v>792.1860979999999</v>
      </c>
      <c r="AB97" s="3">
        <f>1289.1+(211.1-677.8)+(-1.314882+(-0.215322--0.691356))+0-0-0</f>
        <v>821.56115199999999</v>
      </c>
      <c r="AC97" s="3">
        <f>1288.8+(191.3-666.8)+(-1.314576+(-0.195126--0.680136))+0-0-0</f>
        <v>812.47043399999995</v>
      </c>
      <c r="AD97">
        <f t="shared" si="1"/>
        <v>16758.344896999999</v>
      </c>
      <c r="AE97" s="3">
        <f>1282+(212.6-726.1)+(0+(0-0))+0-0-0</f>
        <v>768.5</v>
      </c>
    </row>
    <row r="98" spans="1:31" s="2" customFormat="1" x14ac:dyDescent="0.25">
      <c r="A98">
        <v>89</v>
      </c>
      <c r="B98">
        <v>4</v>
      </c>
      <c r="C98">
        <v>5</v>
      </c>
      <c r="D98">
        <v>1</v>
      </c>
      <c r="E98">
        <v>3</v>
      </c>
      <c r="F98" s="3">
        <f>1286.3+(137.7-655.8)+(-1.968039+(-0.210681--1.003374))+0-0-0</f>
        <v>767.02465400000006</v>
      </c>
      <c r="G98" s="3">
        <f>1268.4+(98.4-650.9)+(-2.587536+(-0.200736--1.327836))+0-0-0</f>
        <v>714.43956400000013</v>
      </c>
      <c r="H98" s="3">
        <f>1278.8+(93.5-706)+(-0.652188+(-0.047685--0.36006))+0-0-0</f>
        <v>665.96018699999991</v>
      </c>
      <c r="I98" s="3">
        <f>1279.5+(93.5-748)+(-1.957635+(-0.143055--1.14444))+0-0-0</f>
        <v>624.04375000000005</v>
      </c>
      <c r="J98" s="3">
        <f>1266.1+(106.5-779.5)+(-1.291422+(-0.10863--0.79509))+0-0-0</f>
        <v>592.49503799999991</v>
      </c>
      <c r="K98" s="3">
        <f>1033.3+(142.9-628.3)+(-3.688881+(-0.510153--2.243031))+0-0-0</f>
        <v>545.94399699999997</v>
      </c>
      <c r="L98" s="3">
        <f>982.5+(112-600.2)+(-1.00215+(-0.11424--0.612204))+0-0-0</f>
        <v>493.79581399999995</v>
      </c>
      <c r="M98" s="3">
        <f>978.9+(116.1-599.7)+(-1.996956+(-0.236844--1.223388))+0-0-0</f>
        <v>494.28958799999998</v>
      </c>
      <c r="N98" s="3">
        <f>970.2+(134.6-571.5)+(-0.989604+(-0.137292--0.58293))+0-0-0</f>
        <v>532.75603400000011</v>
      </c>
      <c r="O98" s="3">
        <f>1086+(137.5-625)+(-1.10772+(-0.14025--0.6375))+0-0-0</f>
        <v>597.88953000000004</v>
      </c>
      <c r="P98" s="3">
        <f>1193.1+(157.2-686.2)+(-1.825443+(-0.240516--1.049886))+0-0-0</f>
        <v>663.0839269999999</v>
      </c>
      <c r="Q98" s="3">
        <f>1209.7+(174.2-677.4)+(-1.233894+(-0.177684--0.690948))+0-0-0</f>
        <v>705.77936999999997</v>
      </c>
      <c r="R98" s="3">
        <f>1203.9+(193.5-648.5)+(-1.227978+(-0.19737--0.66147))+0-0-0</f>
        <v>748.13612200000011</v>
      </c>
      <c r="S98" s="3">
        <f>1197.2+(208.8-603.5)+(-1.831716+(-0.319464--0.923355))+0-0-0</f>
        <v>801.27217499999995</v>
      </c>
      <c r="T98" s="3">
        <f>1192.9+(209.5-573.8)+(0+(0-0))+0-0-0</f>
        <v>828.60000000000014</v>
      </c>
      <c r="U98" s="3">
        <f>1185.3+(205-571.2)+(-0.604503+(-0.10455--0.291312))+0-0-0</f>
        <v>818.68225899999993</v>
      </c>
      <c r="V98" s="3">
        <f>1174.7+(213.5-579.3)+(-2.995485+(-0.544425--1.477215))+0-0-0</f>
        <v>806.83730500000013</v>
      </c>
      <c r="W98" s="3">
        <f>1156.9+(217.7-586.8)+(-1.770057+(-0.333081--0.897804))+0-0-0</f>
        <v>786.59466600000019</v>
      </c>
      <c r="X98" s="3">
        <f>1233.8+(120.8-610.4)+(-1.887714+(-0.184824--0.933912))+0-0-0</f>
        <v>743.061374</v>
      </c>
      <c r="Y98" s="3">
        <f>1306.8+(49.3-664.7)+(0+(0-0))+0-0-0</f>
        <v>691.39999999999986</v>
      </c>
      <c r="Z98" s="3">
        <f>1322.6+(59.6-650)+(0+(0-0))+0-0-0</f>
        <v>732.19999999999993</v>
      </c>
      <c r="AA98" s="3">
        <f>1361.4+(158.1-647.5)+(-1.388628+(-0.161262--0.66045))+0-0-0</f>
        <v>871.11056000000008</v>
      </c>
      <c r="AB98" s="3">
        <f>1366.5+(170.4-638)+(0+(0-0))+0-0-0</f>
        <v>898.9</v>
      </c>
      <c r="AC98" s="3">
        <f>1376+(178.7-676.5)+(1.40352+(0.182274-0.69003))+0-0-0</f>
        <v>879.09576400000003</v>
      </c>
      <c r="AD98">
        <f t="shared" si="1"/>
        <v>17003.391678</v>
      </c>
      <c r="AE98" s="3">
        <f>1346+(163.6-692.6)+(0+(0-0))+0-0-0</f>
        <v>817</v>
      </c>
    </row>
    <row r="99" spans="1:31" s="2" customFormat="1" x14ac:dyDescent="0.25">
      <c r="A99">
        <v>89</v>
      </c>
      <c r="B99">
        <v>4</v>
      </c>
      <c r="C99">
        <v>6</v>
      </c>
      <c r="D99">
        <v>2</v>
      </c>
      <c r="E99">
        <v>1</v>
      </c>
      <c r="F99" s="3">
        <f>1321.8+(186.2-711.1)+(0+(0-0))+0-0-0</f>
        <v>796.89999999999986</v>
      </c>
      <c r="G99" s="3">
        <f>1303.7+(186.2-748.5)+(-1.994661+(-0.284886--1.145205))+0-0-0</f>
        <v>740.26565800000014</v>
      </c>
      <c r="H99" s="3">
        <f>1170.1+(215.3-722.3)+(-2.983755+(-0.549015--1.841865))+0-0-0</f>
        <v>661.40909499999987</v>
      </c>
      <c r="I99" s="3">
        <f>1168.6+(186.8-720.1)+(-2.97993+(-0.47634--1.836255))+0-0-0</f>
        <v>633.67998499999999</v>
      </c>
      <c r="J99" s="3">
        <f>1195.7+(141.9-728.7)+(-0.609807+(-0.072369--0.371637))+0-0-0</f>
        <v>608.58946100000003</v>
      </c>
      <c r="K99" s="3">
        <f>1195.8+(108.6-737.6)+(-2.439432+(-0.221544--1.504704))+0-0-0</f>
        <v>565.64372800000001</v>
      </c>
      <c r="L99" s="3">
        <f>1208.3+(66.5-751.4)+(-0.616233+(-0.033915--0.383214))+0-0-0</f>
        <v>523.13306599999999</v>
      </c>
      <c r="M99" s="3">
        <f>1215+(98.8-749.8)+(0.61965+(0.050388-0.382398))+0-0-0</f>
        <v>564.28764000000001</v>
      </c>
      <c r="N99" s="3">
        <f>1257.9+(108-728.2)+(-1.283058+(-0.11016--0.742764))+0-0-0</f>
        <v>637.04954600000008</v>
      </c>
      <c r="O99" s="3">
        <f>1425.9+(165-885.5)+(0.727209+(0.08415-0.451605))+0-0-0</f>
        <v>705.75975400000004</v>
      </c>
      <c r="P99" s="3">
        <f>1430.4+(215.5-903.6)+(0+(0-0))+0-0-0</f>
        <v>742.30000000000007</v>
      </c>
      <c r="Q99" s="3">
        <f>1429.7+(208.7-850.1)+(1.458294+(0.212874-0.867102))+0-0-0</f>
        <v>789.10406599999999</v>
      </c>
      <c r="R99" s="3">
        <f>1420.7+(210-785.2)+(0+(0-0))+0-0-0</f>
        <v>845.5</v>
      </c>
      <c r="S99" s="3">
        <f>1412.5+(220.4-722.2)+(-0.720375+(-0.112404--0.368322))+0-0-0</f>
        <v>910.23554299999989</v>
      </c>
      <c r="T99" s="3">
        <f>1412.5+(231.6-709.9)+(0+(0-0))+0-0-0</f>
        <v>934.2</v>
      </c>
      <c r="U99" s="3">
        <f>1399.6+(240.7-719.7)+(-1.427592+(-0.245514--0.734094))+0-0-0</f>
        <v>919.66098799999986</v>
      </c>
      <c r="V99" s="3">
        <f>1401.8+(233.8-733.5)+(0+(0-0))+0-0-0</f>
        <v>902.09999999999991</v>
      </c>
      <c r="W99" s="3">
        <f>1390.8+(240.2-771.6)+(-1.418616+(-0.245004--0.787032))+0-0-0</f>
        <v>858.52341199999989</v>
      </c>
      <c r="X99" s="3">
        <f>1383.5+(204.7-791.2)+(-2.82234+(-0.417588--1.614048))+0-0-0</f>
        <v>795.37411999999995</v>
      </c>
      <c r="Y99" s="3">
        <f>1393.3+(85-727)+(-0.710583+(-0.04335--0.37077))+0-0-0</f>
        <v>750.91683699999999</v>
      </c>
      <c r="Z99" s="3">
        <f>1405.3+(163-778.6)+(-0.716703+(-0.08313--0.397086))+0-0-0</f>
        <v>789.29725299999996</v>
      </c>
      <c r="AA99" s="3">
        <f>1431.4+(199.1-690.6)+(0+(0-0))+0-0-0</f>
        <v>939.90000000000009</v>
      </c>
      <c r="AB99" s="3">
        <f>1433.5+(206.5-677.2)+(-0.731085+(-0.105315--0.345372))+0-0-0</f>
        <v>962.30897199999993</v>
      </c>
      <c r="AC99" s="3">
        <f>1427.7+(213.7-702.1)+(-0.728127+(-0.108987--0.358071))+0-0-0</f>
        <v>938.82095699999991</v>
      </c>
      <c r="AD99">
        <f t="shared" si="1"/>
        <v>18514.960081000001</v>
      </c>
      <c r="AE99" s="3">
        <f>1425.9+(202.5-689.4)+(0+(0-0))+0-0-0</f>
        <v>939.00000000000011</v>
      </c>
    </row>
    <row r="100" spans="1:31" s="2" customFormat="1" x14ac:dyDescent="0.25">
      <c r="A100">
        <v>89</v>
      </c>
      <c r="B100">
        <v>4</v>
      </c>
      <c r="C100">
        <v>7</v>
      </c>
      <c r="D100">
        <v>3</v>
      </c>
      <c r="E100">
        <v>1</v>
      </c>
      <c r="F100" s="3">
        <f>1418.2+(223.6-742.4)+(-1.446564+(-0.228072--0.757248))+0-0-0</f>
        <v>898.48261200000013</v>
      </c>
      <c r="G100" s="3">
        <f>1433.3+(168.2-784.6)+(-0.730983+(-0.085782--0.400146))+0-0-0</f>
        <v>816.48338099999989</v>
      </c>
      <c r="H100" s="3">
        <f>1424.1+(173.7-843.5)+(-2.178873+(-0.265761--1.290555))+0-0-0</f>
        <v>753.14592099999993</v>
      </c>
      <c r="I100" s="3">
        <f>1425.8+(174.1-887.9)+(-1.454316+(-0.177582--0.905658))+0-0-0</f>
        <v>711.27376000000004</v>
      </c>
      <c r="J100" s="3">
        <f>1251.6+(185-764.4)+(-3.19158+(-0.47175--1.94922))+0-0-0</f>
        <v>670.48588999999993</v>
      </c>
      <c r="K100" s="3">
        <f>1135.1+(137.6-652)+(-2.315604+(-0.280704--1.33008))+0-0-0</f>
        <v>619.43377199999998</v>
      </c>
      <c r="L100" s="3">
        <f>1138.6+(127.1-700.3)+(-2.322744+(-0.259284--1.428612))+0-0-0</f>
        <v>564.24658399999998</v>
      </c>
      <c r="M100" s="3">
        <f>1146.8+(117.6-668.3)+(-0.584868+(-0.059976--0.340833))+0-0-0</f>
        <v>595.79598900000008</v>
      </c>
      <c r="N100" s="3">
        <f>1187.1+(196.8-701.4)+(0+(0-0))+0-0-0</f>
        <v>682.5</v>
      </c>
      <c r="O100" s="3">
        <f>1239.7+(220.5-703.4)+(-1.264494+(-0.22491--0.717468))+0-0-0</f>
        <v>756.02806400000009</v>
      </c>
      <c r="P100" s="3">
        <f>1270.9+(219.9-674.8)+(-1.944477+(-0.336447--1.032444))+0-0-0</f>
        <v>814.75152000000014</v>
      </c>
      <c r="Q100" s="3">
        <f>1418.9+(207.6-757.7)+(-0.723639+(-0.105876--0.386427))+0-0-0</f>
        <v>868.35691200000008</v>
      </c>
      <c r="R100" s="3">
        <f>1416.8+(160.1-638.5)+(0+(0-0))+0-0-0</f>
        <v>938.4</v>
      </c>
      <c r="S100" s="3">
        <f>1416.4+(142.3-566.3)+(0+(0-0))+0-0-0</f>
        <v>992.40000000000009</v>
      </c>
      <c r="T100" s="3">
        <f>1404.3+(227.3-627.2)+(-1.432386+(-0.231846--0.639744))+0-0-0</f>
        <v>1003.3755119999998</v>
      </c>
      <c r="U100" s="3">
        <f>1402.2+(228.7-628.5)+(2.145366+(0.349911-0.961605))+0-0-0</f>
        <v>1003.9336720000001</v>
      </c>
      <c r="V100" s="3">
        <f>1377.5+(226.5-625.2)+(0.702525+(0.115515-0.318852))+0-0-0</f>
        <v>979.29918799999996</v>
      </c>
      <c r="W100" s="3">
        <f>1368+(225.7-665)+(-1.39536+(-0.230214--0.6783))+0-0-0</f>
        <v>927.75272600000005</v>
      </c>
      <c r="X100" s="3">
        <f>1368.2+(219.2-713.2)+(-3.48891+(-0.55896--1.81866))+0-0-0</f>
        <v>871.97079000000008</v>
      </c>
      <c r="Y100" s="3">
        <f>1379.9+(205.6-777.6)+(-1.407498+(-0.209712--0.793152))+0-0-0</f>
        <v>807.07594200000005</v>
      </c>
      <c r="Z100" s="3">
        <f>1425.3+(218.9-800.6)+(-0.726903+(-0.111639--0.408306))+0-0-0</f>
        <v>843.16976399999987</v>
      </c>
      <c r="AA100" s="3">
        <f>1445.1+(196.9-642.6)+(-2.211003+(-0.301257--0.983178))+0-0-0</f>
        <v>997.87091799999985</v>
      </c>
      <c r="AB100" s="3">
        <f>1444+(212-622.7)+(-2.94576+(-0.43248--1.270308))+0-0-0</f>
        <v>1031.1920680000001</v>
      </c>
      <c r="AC100" s="3">
        <f>1444.5+(201.1-631.9)+(-2.94678+(-0.410244--1.289076))+0-0-0</f>
        <v>1011.632052</v>
      </c>
      <c r="AD100">
        <f t="shared" si="1"/>
        <v>20159.057037000002</v>
      </c>
      <c r="AE100" s="3">
        <f>1434+(204.3-684.3)+(0+(0-0))+0-0-0</f>
        <v>954</v>
      </c>
    </row>
    <row r="101" spans="1:31" s="2" customFormat="1" x14ac:dyDescent="0.25">
      <c r="A101">
        <v>89</v>
      </c>
      <c r="B101">
        <v>4</v>
      </c>
      <c r="C101">
        <v>8</v>
      </c>
      <c r="D101">
        <v>4</v>
      </c>
      <c r="E101">
        <v>1</v>
      </c>
      <c r="F101" s="3">
        <f>1438.9+(217.4-707.9)+(-3.669195+(-0.55437--1.805145))+0-0-0</f>
        <v>945.98158000000012</v>
      </c>
      <c r="G101" s="3">
        <f>1444.9+(235.4-821.3)+(-0.736899+(-0.120054--0.418863))+0-0-0</f>
        <v>858.56191000000013</v>
      </c>
      <c r="H101" s="3">
        <f>1443.4+(233.2-872.9)+(-1.472268+(-0.237864--0.890358))+0-0-0</f>
        <v>802.88022599999999</v>
      </c>
      <c r="I101" s="3">
        <f>1433.3+(233-903.9)+(-3.654915+(-0.59415--2.304945))+0-0-0</f>
        <v>760.45587999999998</v>
      </c>
      <c r="J101" s="3">
        <f>1433.9+(117-829.2)+(-2.925156+(-0.23868--1.691568))+0-0-0</f>
        <v>720.22773200000006</v>
      </c>
      <c r="K101" s="3">
        <f>1428.6+(101.3-863.6)+(-3.64293+(-0.258315--2.20218))+0-0-0</f>
        <v>664.60093499999982</v>
      </c>
      <c r="L101" s="3">
        <f>1278.2+(114-786.8)+(-1.955646+(-0.17442--1.203804))+0-0-0</f>
        <v>604.47373800000014</v>
      </c>
      <c r="M101" s="3">
        <f>1150.8+(121.4-632.3)+(0+(0-0))+0-0-0</f>
        <v>639.9</v>
      </c>
      <c r="N101" s="3">
        <f>1194.5+(179.1-653.6)+(-1.827585+(-0.274023--1.000008))+0-0-0</f>
        <v>718.89840000000004</v>
      </c>
      <c r="O101" s="3">
        <f>1434.3+(197.6-836.6)+(0.731493+(0.100776-0.426666))+0-0-0</f>
        <v>795.705603</v>
      </c>
      <c r="P101" s="3">
        <f>1423.6+(198-765.1)+(0.726036+(0.10098-0.390201))+0-0-0</f>
        <v>856.93681499999991</v>
      </c>
      <c r="Q101" s="3">
        <f>1420.9+(187.7-704)+(1.449318+(0.191454-0.71808))+0-0-0</f>
        <v>905.52269200000012</v>
      </c>
      <c r="R101" s="3">
        <f>1415.7+(193.6-636.5)+(0.722007+(0.098736-0.324615))+0-0-0</f>
        <v>973.29612800000007</v>
      </c>
      <c r="S101" s="3">
        <f>1398.6+(207.1-562.1)+(-0.713286+(-0.105621--0.286671))+0-0-0</f>
        <v>1043.0677639999999</v>
      </c>
      <c r="T101" s="3">
        <f>1394.4+(216.4-540.6)+(1.422288+(0.220728-0.551412))+0-0-0</f>
        <v>1071.291604</v>
      </c>
      <c r="U101" s="3">
        <f>1379.6+(218.3-542.3)+(-1.407192+(-0.222666--0.553146))+0-0-0</f>
        <v>1054.5232879999999</v>
      </c>
      <c r="V101" s="3">
        <f>1387.7+(211.5-568)+(0+(0-0))+0-0-0</f>
        <v>1031.2</v>
      </c>
      <c r="W101" s="3">
        <f>1373.7+(207.9-607.8)+(-2.802348+(-0.424116--1.239912))+0-0-0</f>
        <v>971.81344800000011</v>
      </c>
      <c r="X101" s="3">
        <f>1373+(195.2-657.2)+(-2.80092+(-0.398208--1.340688))+0-0-0</f>
        <v>909.14156000000003</v>
      </c>
      <c r="Y101" s="3">
        <f>1383+(185.4-715.8)+(-0.70533+(-0.094554--0.365058))+0-0-0</f>
        <v>852.16517399999998</v>
      </c>
      <c r="Z101" s="3">
        <f>1412.4+(205.8-731.8)+(0.720324+(0.104958-0.373218))+0-0-0</f>
        <v>886.85206400000004</v>
      </c>
      <c r="AA101" s="3">
        <f>1430.3+(220.6-589.4)+(-1.458906+(-0.225012--0.601188))+0-0-0</f>
        <v>1060.4172699999999</v>
      </c>
      <c r="AB101" s="3">
        <f>1440.4+(230.8-572.1)+(0.734604+(0.117708-0.291771))+0-0-0</f>
        <v>1099.6605410000002</v>
      </c>
      <c r="AC101" s="3">
        <f>1430.8+(225.4-585.1)+(-0.729708+(-0.114954--0.298401))+0-0-0</f>
        <v>1070.553739</v>
      </c>
      <c r="AD101">
        <f t="shared" si="1"/>
        <v>21298.128090999999</v>
      </c>
      <c r="AE101" s="3">
        <f>1432.6+(225.5-619.2)+(0+(0-0))+0-0-0</f>
        <v>1038.8999999999999</v>
      </c>
    </row>
    <row r="102" spans="1:31" s="2" customFormat="1" x14ac:dyDescent="0.25">
      <c r="A102">
        <v>89</v>
      </c>
      <c r="B102">
        <v>4</v>
      </c>
      <c r="C102">
        <v>9</v>
      </c>
      <c r="D102">
        <v>5</v>
      </c>
      <c r="E102">
        <v>1</v>
      </c>
      <c r="F102" s="3">
        <f>1415.6+(209.7-625.1)+(-4.331736+(-0.641682--1.912806))+0-0-0</f>
        <v>997.13938799999983</v>
      </c>
      <c r="G102" s="3">
        <f>1432.2+(168-694.5)+(0.730422+(0.08568-0.354195))+0-0-0</f>
        <v>906.16190700000004</v>
      </c>
      <c r="H102" s="3">
        <f>1416.4+(159.3-740.4)+(-2.889456+(-0.324972--1.510416))+0-0-0</f>
        <v>833.59598800000015</v>
      </c>
      <c r="I102" s="3">
        <f>1421.2+(165.5-784.4)+(-1.449624+(-0.16881--0.800088))+0-0-0</f>
        <v>801.48165400000005</v>
      </c>
      <c r="J102" s="3">
        <f>1424.1+(150.7-799.7)+(-0.726291+(-0.076857--0.407847))+0-0-0</f>
        <v>774.70469899999989</v>
      </c>
      <c r="K102" s="3">
        <f>1404.1+(89.8-780.1)+(-2.864364+(-0.183192--1.591404))+0-0-0</f>
        <v>712.34384799999987</v>
      </c>
      <c r="L102" s="3">
        <f>1205.7+(99.3-672.2)+(0+(0-0))+0-0-0</f>
        <v>632.79999999999995</v>
      </c>
      <c r="M102" s="3">
        <f>1144.8+(167.5-649.4)+(0.583848+(0.085425-0.331194))+0-0-0</f>
        <v>663.23807899999997</v>
      </c>
      <c r="N102" s="3">
        <f>1258.4+(188.9-695.5)+(-1.283568+(-0.192678--0.70941))+0-0-0</f>
        <v>751.03316400000006</v>
      </c>
      <c r="O102" s="3">
        <f>1426.1+(178.1-762)+(1.454622+(0.181662-0.77724))+0-0-0</f>
        <v>843.05904399999997</v>
      </c>
      <c r="P102" s="3">
        <f>1401+(180.9-681.6)+(0+(0-0))+0-0-0</f>
        <v>900.3</v>
      </c>
      <c r="Q102" s="3">
        <f>1389.5+(179.1-614)+(1.41729+(0.182682-0.62628))+0-0-0</f>
        <v>955.57369200000005</v>
      </c>
      <c r="R102" s="3">
        <f>1368+(196.1-555.6)+(-0.69768+(-0.100011--0.283356))+25-0-0</f>
        <v>1032.9856650000002</v>
      </c>
      <c r="S102" s="3">
        <f>1365.3+(218.1-511.3)+(1.392606+(0.222462-0.521526))+25-0-0</f>
        <v>1098.193542</v>
      </c>
      <c r="T102" s="3">
        <f>1355+(223.8-480)+(0.69105+(0.114138-0.2448))+20.8-0-0</f>
        <v>1120.160388</v>
      </c>
      <c r="U102" s="3">
        <f>1340.1+(222.5-476.9)+(0.683451+(0.113475-0.243219))+0-0-0</f>
        <v>1086.2537069999998</v>
      </c>
      <c r="V102" s="3">
        <f>1331+(212.9-488.4)+(-2.03643+(-0.325737--0.747252))+0-0-0</f>
        <v>1053.8850849999999</v>
      </c>
      <c r="W102" s="3">
        <f>1344.5+(208.1-547.9)+(-2.74278+(-0.424524--1.117716))+0-0-0</f>
        <v>1002.6504120000001</v>
      </c>
      <c r="X102" s="3">
        <f>1350.8+(201.5-633.9)+(-2.755632+(-0.41106--1.293156))+0-0-0</f>
        <v>916.52646400000003</v>
      </c>
      <c r="Y102" s="3">
        <f>1367.7+(171.7-686.4)+(-2.790108+(-0.350268--1.400256))+0-0-0</f>
        <v>851.25987999999995</v>
      </c>
      <c r="Z102" s="3">
        <f>1410.1+(212.9-728.2)+(0.719151+(0.108579-0.371382))+0-0-0</f>
        <v>895.25634799999989</v>
      </c>
      <c r="AA102" s="3">
        <f>1468.3+(179.5-584.5)+(0+(0-0))+0-0-0</f>
        <v>1063.3</v>
      </c>
      <c r="AB102" s="3">
        <f>1468.1+(197.5-554)+(-0.748731+(-0.100725--0.28254))+0-0-0</f>
        <v>1111.0330839999999</v>
      </c>
      <c r="AC102" s="3">
        <f>1477.5+(197.1-586.4)+(-0.753525+(-0.100521--0.299064))+0-0-0</f>
        <v>1087.6450179999999</v>
      </c>
      <c r="AD102">
        <f t="shared" si="1"/>
        <v>22090.581055999995</v>
      </c>
      <c r="AE102" s="3">
        <f>1460+(185.9-617.3)+(0+(0-0))+0-0-0</f>
        <v>1028.5999999999999</v>
      </c>
    </row>
    <row r="103" spans="1:31" s="2" customFormat="1" x14ac:dyDescent="0.25">
      <c r="A103">
        <v>89</v>
      </c>
      <c r="B103">
        <v>4</v>
      </c>
      <c r="C103">
        <v>10</v>
      </c>
      <c r="D103">
        <v>6</v>
      </c>
      <c r="E103">
        <v>1</v>
      </c>
      <c r="F103" s="3">
        <f>1423.5+(192.6-590.1)+(-2.177955+(-0.294678--0.902853))+0-0-0</f>
        <v>1024.43022</v>
      </c>
      <c r="G103" s="3">
        <f>1425.4+(208.7-684.9)+(-0.726954+(-0.106437--0.349299))+0-0-0</f>
        <v>948.71590800000001</v>
      </c>
      <c r="H103" s="3">
        <f>1419.7+(212.3-757.3)+(-2.172141+(-0.324819--1.158669))+0-0-0</f>
        <v>873.36170900000002</v>
      </c>
      <c r="I103" s="3">
        <f>1374.5+(204.6-746.7)+(0+(0-0))+0-0-0</f>
        <v>832.4</v>
      </c>
      <c r="J103" s="3">
        <f>1140.1+(235.1-590.6)+(1.162902+(0.239802-0.602412))+0-0-0</f>
        <v>785.40029199999992</v>
      </c>
      <c r="K103" s="3">
        <f>1125+(217-612.5)+(-2.295+(-0.44268--1.2495))+0-0-0</f>
        <v>728.01181999999994</v>
      </c>
      <c r="L103" s="3">
        <f>1127.7+(152.9-649.4)+(-1.150254+(-0.155958--0.662388))+0-0-0</f>
        <v>630.55617600000005</v>
      </c>
      <c r="M103" s="3">
        <f>1137.4+(146.9-642.2)+(1.740222+(0.224757-0.982566))+0-0-0</f>
        <v>643.08241299999997</v>
      </c>
      <c r="N103" s="3">
        <f>1203.4+(180.1-665.9)+(-0.613734+(-0.091851--0.339609))+0-0-0</f>
        <v>717.23402400000009</v>
      </c>
      <c r="O103" s="3">
        <f>1400.2+(169.5-776.6)+(0+(0-0))+0-0-0</f>
        <v>793.1</v>
      </c>
      <c r="P103" s="3">
        <f>1404.9+(197.6-743.9)+(3.582495+(0.50388-1.896945))+0-0-0</f>
        <v>860.78943000000015</v>
      </c>
      <c r="Q103" s="3">
        <f>1393+(189.3-681.3)+(0.71043+(0.096543-0.347463))+0-0-0</f>
        <v>901.45951000000002</v>
      </c>
      <c r="R103" s="3">
        <f>1389.6+(196.1-629)+(0.708696+(0.100011-0.32079))+0-0-0</f>
        <v>957.18791699999997</v>
      </c>
      <c r="S103" s="3">
        <f>1376.4+(204.5-577.3)+(0+(0-0))+0-0-0</f>
        <v>1003.6000000000001</v>
      </c>
      <c r="T103" s="3">
        <f>1369.5+(215.4-553.8)+(0+(0-0))+0-0-0</f>
        <v>1031.0999999999999</v>
      </c>
      <c r="U103" s="3">
        <f>1398.2+(217-599.7)+(-2.139246+(-0.33201--0.917541))+0-0-0</f>
        <v>1013.946285</v>
      </c>
      <c r="V103" s="3">
        <f>1411.5+(218.1-650.1)+(0+(0-0))+0-0-0</f>
        <v>979.5</v>
      </c>
      <c r="W103" s="3">
        <f>1414.3+(213.2-687.8)+(-3.606465+(-0.54366--1.75389))+0-0-0</f>
        <v>937.303765</v>
      </c>
      <c r="X103" s="3">
        <f>1416.2+(222-774.8)+(-2.889048+(-0.45288--1.580592))+0-0-0</f>
        <v>861.63866400000006</v>
      </c>
      <c r="Y103" s="3">
        <f>1380.1+(171-753.3)+(-2.815404+(-0.34884--1.536732))+0-0-0</f>
        <v>796.17248799999993</v>
      </c>
      <c r="Z103" s="3">
        <f>1437.4+(202.1-810)+(-0.733074+(-0.103071--0.4131))+0-0-0</f>
        <v>829.07695500000011</v>
      </c>
      <c r="AA103" s="3">
        <f>1502.4+(182.1-701.4)+(-1.532448+(-0.185742--0.715428))+0-0-0</f>
        <v>982.09723800000017</v>
      </c>
      <c r="AB103" s="3">
        <f>1512+(184.4-678.4)+(-1.54224+(-0.188088--0.691968))+0-0-0</f>
        <v>1016.96164</v>
      </c>
      <c r="AC103" s="3">
        <f>1506+(183.3-717.9)+(-0.76806+(-0.093483--0.366129))+0-0-0</f>
        <v>970.90458600000011</v>
      </c>
      <c r="AD103">
        <f t="shared" si="1"/>
        <v>21118.031040000002</v>
      </c>
      <c r="AE103" s="3">
        <f>1492+(184.5-728.6)+(0+(0-0))+0-0-0</f>
        <v>947.9</v>
      </c>
    </row>
    <row r="104" spans="1:31" s="2" customFormat="1" x14ac:dyDescent="0.25">
      <c r="A104">
        <v>89</v>
      </c>
      <c r="B104">
        <v>4</v>
      </c>
      <c r="C104">
        <v>11</v>
      </c>
      <c r="D104">
        <v>7</v>
      </c>
      <c r="E104">
        <v>1</v>
      </c>
      <c r="F104" s="3">
        <f>1497.7+(161.7-737.3)+(0+(0-0))+0-0-0</f>
        <v>922.10000000000014</v>
      </c>
      <c r="G104" s="3">
        <f>1436.7+(145.5-727)+(-1.465434+(-0.14841--0.74154))+0-0-0</f>
        <v>854.32769600000006</v>
      </c>
      <c r="H104" s="3">
        <f>1428.4+(171.3-798.3)+(0+(0-0))+0-0-0</f>
        <v>801.40000000000009</v>
      </c>
      <c r="I104" s="3">
        <f>1414.9+(182-841.1)+(-2.886396+(-0.37128--1.715844))+0-0-0</f>
        <v>754.25816800000007</v>
      </c>
      <c r="J104" s="3">
        <f>1420.8+(186.4-894.4)+(-1.449216+(-0.190128--0.912288))+0-0-0</f>
        <v>712.07294400000001</v>
      </c>
      <c r="K104" s="3">
        <f>1319.7+(135.8-796.6)+(-3.365235+(-0.34629--2.03133))+0-0-0</f>
        <v>657.21980500000006</v>
      </c>
      <c r="L104" s="3">
        <f>1175.6+(107-704.9)+(-1.199112+(-0.10914--0.718998))+0-0-0</f>
        <v>577.11074599999995</v>
      </c>
      <c r="M104" s="3">
        <f>1178+(102.5-708.2)+(0+(0-0))+0-0-0</f>
        <v>572.29999999999995</v>
      </c>
      <c r="N104" s="3">
        <f>1177.7+(107.5-695.2)+(0+(0-0))+0-0-0</f>
        <v>590</v>
      </c>
      <c r="O104" s="3">
        <f>1300.7+(114.2-773.5)+(-1.326714+(-0.116484--0.78897))+0-0-0</f>
        <v>640.7457720000001</v>
      </c>
      <c r="P104" s="3">
        <f>1408.1+(99.1-807.4)+(0+(0-0))+0-0-0</f>
        <v>699.8</v>
      </c>
      <c r="Q104" s="3">
        <f>1396.1+(118.5-779.2)+(-0.712011+(-0.060435--0.397392))+0-0-0</f>
        <v>735.02494599999989</v>
      </c>
      <c r="R104" s="3">
        <f>1391.3+(210.7-826.1)+(-0.709563+(-0.107457--0.421311))+0-0-0</f>
        <v>775.50429099999985</v>
      </c>
      <c r="S104" s="3">
        <f>1399.5+(240.8-800.7)+(1.42749+(0.245616-0.816714))+0-0-0</f>
        <v>840.45639199999994</v>
      </c>
      <c r="T104" s="3">
        <f>1383.4+(250.6-764.9)+(-0.705534+(-0.127806--0.390099))+0-0-0</f>
        <v>868.65675900000019</v>
      </c>
      <c r="U104" s="3">
        <f>1381.1+(279.6-795.3)+(-0.704361+(-0.142596--0.405603))+0-0-0</f>
        <v>864.95864599999993</v>
      </c>
      <c r="V104" s="3">
        <f>1375.6+(282.5-811.5)+(0.701556+(0.144075-0.413865))+0-0-0</f>
        <v>847.03176599999995</v>
      </c>
      <c r="W104" s="3">
        <f>1355.9+(258.3-809.2)+(-2.766036+(-0.526932--1.650768))+0-0-0</f>
        <v>803.3578</v>
      </c>
      <c r="X104" s="3">
        <f>1366.1+(220.4-829.6)+(-0.696711+(-0.112404--0.423096))+0-0-0</f>
        <v>756.51398099999983</v>
      </c>
      <c r="Y104" s="3">
        <f>1356.1+(213.4-853.2)+(-2.074833+(-0.326502--1.305396))+0-0-0</f>
        <v>715.2040609999998</v>
      </c>
      <c r="Z104" s="3">
        <f>1380.6+(218.8-860.9)+(0+(0-0))+0-0-0</f>
        <v>738.5</v>
      </c>
      <c r="AA104" s="3">
        <f>1437+(194.5-751.3)+(-0.73287+(-0.099195--0.383163))+0-0-0</f>
        <v>879.75109800000007</v>
      </c>
      <c r="AB104" s="3">
        <f>1432.5+(186.5-696.6)+(-1.46115+(-0.19023--0.710532))+0-0-0</f>
        <v>921.45915200000002</v>
      </c>
      <c r="AC104" s="3">
        <f>1440.6+(206.9-719.9)+(0.734706+(0.105519-0.367149))+0-0-0</f>
        <v>928.0730759999999</v>
      </c>
      <c r="AD104">
        <f t="shared" si="1"/>
        <v>18455.827098999998</v>
      </c>
      <c r="AE104" s="3">
        <f>1447+(181-772.7)+(0+(0-0))+0-0-0</f>
        <v>855.3</v>
      </c>
    </row>
    <row r="105" spans="1:31" s="2" customFormat="1" x14ac:dyDescent="0.25">
      <c r="A105">
        <v>89</v>
      </c>
      <c r="B105">
        <v>4</v>
      </c>
      <c r="C105">
        <v>12</v>
      </c>
      <c r="D105">
        <v>1</v>
      </c>
      <c r="E105">
        <v>1</v>
      </c>
      <c r="F105" s="3">
        <f>1439.8+(209.2-757.4)+(1.468596+(0.213384-0.772548))+0-0-0</f>
        <v>892.50943199999995</v>
      </c>
      <c r="G105" s="3">
        <f>1430.4+(191.3-791.3)+(-0.729504+(-0.097563--0.403563))+0-0-0</f>
        <v>829.97649600000011</v>
      </c>
      <c r="H105" s="3">
        <f>1364.3+(210.6-814)+(-0.695793+(-0.107406--0.41514))+0-0-0</f>
        <v>760.51194099999998</v>
      </c>
      <c r="I105" s="3">
        <f>1345.3+(213.9-843.7)+(0+(0-0))+0-0-0</f>
        <v>715.49999999999989</v>
      </c>
      <c r="J105" s="3">
        <f>1341+(213.8-873.3)+(-2.05173+(-0.327114--1.336149))+0-0-0</f>
        <v>680.45730500000002</v>
      </c>
      <c r="K105" s="3">
        <f>1309.5+(168-846.1)+(-3.339225+(-0.4284--2.157555))+0-0-0</f>
        <v>629.78993000000003</v>
      </c>
      <c r="L105" s="3">
        <f>1259.7+(136.1-828.2)+(0+(0-0))+0-0-0</f>
        <v>567.6</v>
      </c>
      <c r="M105" s="3">
        <f>1349+(118.6-861.6)+(1.37598+(0.120972-0.878832))+0-0-0</f>
        <v>606.61811999999998</v>
      </c>
      <c r="N105" s="3">
        <f>1391.4+(162.5-868.4)+(0.709614+(0.082875-0.442884))+0-0-0</f>
        <v>685.84960500000011</v>
      </c>
      <c r="O105" s="3">
        <f>1421.9+(197.8-865.8)+(2.175507+(0.302634-1.324674))+0-0-0</f>
        <v>755.05346700000007</v>
      </c>
      <c r="P105" s="3">
        <f>1427.3+(243.5-856.7)+(2.911692+(0.49674-1.747668))+0-0-0</f>
        <v>815.76076399999988</v>
      </c>
      <c r="Q105" s="3">
        <f>1399.5+(240.1-780.5)+(-0.713745+(-0.122451--0.398055))+0-0-0</f>
        <v>858.66185900000005</v>
      </c>
      <c r="R105" s="3">
        <f>1401.2+(249.6-733.7)+(0+(0-0))+0-0-0</f>
        <v>917.1</v>
      </c>
      <c r="S105" s="3">
        <f>1387.8+(263.5-668.6)+(0+(0-0))+0-0-0</f>
        <v>982.69999999999993</v>
      </c>
      <c r="T105" s="3">
        <f>1401.4+(272.4-644.7)+(0.714714+(0.138924-0.328797))+0-0-0</f>
        <v>1029.6248409999998</v>
      </c>
      <c r="U105" s="3">
        <f>1402.8+(271.4-637.5)+(0.715428+(0.138414-0.325125))+0-0-0</f>
        <v>1037.2287169999997</v>
      </c>
      <c r="V105" s="3">
        <f>1402.2+(264.1-640.8)+(1.430244+(0.269382-0.653616))+0-0-0</f>
        <v>1026.54601</v>
      </c>
      <c r="W105" s="3">
        <f>1405.1+(260.5-686)+(0+(0-0))+0-0-0</f>
        <v>979.59999999999991</v>
      </c>
      <c r="X105" s="3">
        <f>1406.3+(257.1-753.6)+(-1.434426+(-0.262242--0.768672))+0-0-0</f>
        <v>908.87200399999995</v>
      </c>
      <c r="Y105" s="3">
        <f>1379.9+(243.1-768.1)+(0+(0-0))+0-0-0</f>
        <v>854.90000000000009</v>
      </c>
      <c r="Z105" s="3">
        <f>1418.8+(251.9-801.4)+(-0.723588+(-0.128469--0.408714))+0-0-0</f>
        <v>868.85665699999993</v>
      </c>
      <c r="AA105" s="3">
        <f>1447.8+(227-663.9)+(-1.476756+(-0.23154--0.677178))+0-0-0</f>
        <v>1009.868882</v>
      </c>
      <c r="AB105" s="3">
        <f>1456.8+(239-649.8)+(0+(0-0))+0-0-0</f>
        <v>1046</v>
      </c>
      <c r="AC105" s="3">
        <f>1436.7+(235.8-663.8)+(-0.732717+(-0.120258--0.338538))+0-0-0</f>
        <v>1008.185563</v>
      </c>
      <c r="AD105">
        <f t="shared" si="1"/>
        <v>20467.771593000001</v>
      </c>
      <c r="AE105" s="3">
        <f>1447+(239.9-709)+(0+(0-0))+0-0-0</f>
        <v>977.9</v>
      </c>
    </row>
    <row r="106" spans="1:31" s="2" customFormat="1" x14ac:dyDescent="0.25">
      <c r="A106">
        <v>89</v>
      </c>
      <c r="B106">
        <v>4</v>
      </c>
      <c r="C106">
        <v>13</v>
      </c>
      <c r="D106">
        <v>2</v>
      </c>
      <c r="E106">
        <v>1</v>
      </c>
      <c r="F106" s="3">
        <f>1407+(225.9-684.3)+(-1.43514+(-0.230418--0.697986))+0-0-0</f>
        <v>947.632428</v>
      </c>
      <c r="G106" s="3">
        <f>1403+(193.9-727.2)+(-1.43106+(-0.197778--0.741744))+0-0-0</f>
        <v>868.81290599999988</v>
      </c>
      <c r="H106" s="3">
        <f>1407.9+(196.7-790.4)+(0+(0-0))+0-0-0</f>
        <v>814.2</v>
      </c>
      <c r="I106" s="3">
        <f>1402.8+(192.2-837.1)+(0+(0-0))+0-0-0</f>
        <v>757.89999999999986</v>
      </c>
      <c r="J106" s="3">
        <f>1286.7+(201-776.5)+(1.968651+(0.30753-1.188045))+0-0-0</f>
        <v>712.28813600000001</v>
      </c>
      <c r="K106" s="3">
        <f>1004.1+(233.1-587.2)+(-0.512091+(-0.118881--0.299472))+0-0-0</f>
        <v>649.66849999999999</v>
      </c>
      <c r="L106" s="3">
        <f>1007.9+(194.8-621.1)+(0+(0-0))+0-0-0</f>
        <v>581.59999999999991</v>
      </c>
      <c r="M106" s="3">
        <f>1062.8+(181-626.5)+(-1.626084+(-0.27693--0.958545))+0-0-0</f>
        <v>616.35553099999993</v>
      </c>
      <c r="N106" s="3">
        <f>1239.6+(171.7-722.4)+(-1.264392+(-0.175134--0.736848))+0-0-0</f>
        <v>688.19732199999987</v>
      </c>
      <c r="O106" s="3">
        <f>1288.6+(225.9-749.4)+(-1.971558+(-0.345627--1.146582))+0-0-0</f>
        <v>763.92939699999988</v>
      </c>
      <c r="P106" s="3">
        <f>1390+(255.8-811.2)+(-0.7089+(-0.130458--0.413712))+0-0-0</f>
        <v>834.17435399999988</v>
      </c>
      <c r="Q106" s="3">
        <f>1428.2+(258.1-773.6)+(-0.728382+(-0.131631--0.394536))+0-0-0</f>
        <v>912.23452300000008</v>
      </c>
      <c r="R106" s="3">
        <f>1425.3+(263.1-711.2)+(1.453806+(0.268362-0.725424))+0-0-0</f>
        <v>978.19674399999997</v>
      </c>
      <c r="S106" s="3">
        <f>1424.8+(269-631.5)+(0.726648+(0.13719-0.322065))+0-0-0</f>
        <v>1062.8417729999999</v>
      </c>
      <c r="T106" s="3">
        <f>1419.9+(272.8-585.8)+(0.724149+(0.139128-0.298758))+0-0-0</f>
        <v>1107.4645190000001</v>
      </c>
      <c r="U106" s="3">
        <f>1416.2+(269.5-593.4)+(0.722262+(0.137445-0.302634))+0-0-0</f>
        <v>1092.8570730000001</v>
      </c>
      <c r="V106" s="3">
        <f>1416.1+(265.6-621.2)+(-0.722211+(-0.135456--0.316812))+0-0-0</f>
        <v>1059.959145</v>
      </c>
      <c r="W106" s="3">
        <f>1422.9+(257.9-678.3)+(-2.177037+(-0.394587--1.037799))+0-0-0</f>
        <v>1000.9661750000001</v>
      </c>
      <c r="X106" s="3">
        <f>1434.7+(258.4-766.1)+(-1.463394+(-0.263568--0.781422))+0-0-0</f>
        <v>926.05445999999995</v>
      </c>
      <c r="Y106" s="3">
        <f>1435.5+(263.8-823.6)+(-0.732105+(-0.134538--0.420036))+0-0-0</f>
        <v>875.25339300000007</v>
      </c>
      <c r="Z106" s="3">
        <f>1430.5+(270.8-798.4)+(1.45911+(0.276216-0.814368))+0-0-0</f>
        <v>903.82095800000013</v>
      </c>
      <c r="AA106" s="3">
        <f>1500.8+(241.8-672.2)+(0+(0-0))+0-0-0</f>
        <v>1070.3999999999999</v>
      </c>
      <c r="AB106" s="3">
        <f>1526.8+(247.7-656.2)+(-0.778668+(-0.126327--0.334662))+0-0-0</f>
        <v>1117.7296670000001</v>
      </c>
      <c r="AC106" s="3">
        <f>1515+(242-671.5)+(0.77265+(0.12342-0.342465))+0-0-0</f>
        <v>1086.0536050000001</v>
      </c>
      <c r="AD106">
        <f t="shared" si="1"/>
        <v>21428.590609000003</v>
      </c>
      <c r="AE106" s="3">
        <f>1510+(244.6-716)+(0+(0-0))+0-0-0</f>
        <v>1038.5999999999999</v>
      </c>
    </row>
    <row r="107" spans="1:31" s="2" customFormat="1" x14ac:dyDescent="0.25">
      <c r="A107">
        <v>89</v>
      </c>
      <c r="B107">
        <v>4</v>
      </c>
      <c r="C107">
        <v>14</v>
      </c>
      <c r="D107">
        <v>3</v>
      </c>
      <c r="E107">
        <v>1</v>
      </c>
      <c r="F107" s="3">
        <f>1478.1+(217.8-681.7)+(0.753831+(0.111078-0.347667))+0-0-0</f>
        <v>1014.7172419999998</v>
      </c>
      <c r="G107" s="3">
        <f>1466.4+(233.7-764)+(-0.747864+(-0.119187--0.38964))+0-0-0</f>
        <v>935.62258900000018</v>
      </c>
      <c r="H107" s="3">
        <f>1452.2+(175.8-759.6)+(-1.481244+(-0.179316--0.774792))+0-0-0</f>
        <v>867.51423200000011</v>
      </c>
      <c r="I107" s="3">
        <f>1450.6+(179.5-818)+(-0.739806+(-0.091545--0.41718))+0-0-0</f>
        <v>811.6858289999999</v>
      </c>
      <c r="J107" s="3">
        <f>1450.8+(163.4-831.5)+(-1.479816+(-0.166668--0.84813))+0-0-0</f>
        <v>781.90164599999991</v>
      </c>
      <c r="K107" s="3">
        <f>1364.3+(134.4-773.1)+(-3.478965+(-0.34272--1.971405))+0-0-0</f>
        <v>723.74971999999991</v>
      </c>
      <c r="L107" s="3">
        <f>1156.9+(121.1-646.7)+(-2.360076+(-0.247044--1.319268))+0-0-0</f>
        <v>630.01214800000002</v>
      </c>
      <c r="M107" s="3">
        <f>1411.6+(111-854.3)+(0+(0-0))+0-0-0</f>
        <v>668.3</v>
      </c>
      <c r="N107" s="3">
        <f>1438.2+(154-835.8)+(0+(0-0))+0-0-0</f>
        <v>756.40000000000009</v>
      </c>
      <c r="O107" s="3">
        <f>1424.8+(176.2-764.9)+(0.726648+(0.089862-0.390099))+0-0-0</f>
        <v>836.52641099999994</v>
      </c>
      <c r="P107" s="3">
        <f>1420.8+(208.8-733.1)+(0.724608+(0.106488-0.373881))+0-0-0</f>
        <v>896.95721500000002</v>
      </c>
      <c r="Q107" s="3">
        <f>1410.1+(216.6-668.2)+(1.438302+(0.220932-0.681564))+0-0-0</f>
        <v>959.47766999999988</v>
      </c>
      <c r="R107" s="3">
        <f>1414.4+(222-605.1)+(2.164032+(0.33966-0.925803))+0-0-0</f>
        <v>1032.8778890000001</v>
      </c>
      <c r="S107" s="3">
        <f>1424.6+(240.6-560)+(1.453092+(0.245412-0.5712))+0-0-0</f>
        <v>1106.3273039999999</v>
      </c>
      <c r="T107" s="3">
        <f>1389.6+(256.2-515.8)+(2.126088+(0.391986-0.789174))+0-0-0</f>
        <v>1131.7289000000001</v>
      </c>
      <c r="U107" s="3">
        <f>1385.5+(253.8-523.1)+(2.119815+(0.388314-0.800343))+0-0-0</f>
        <v>1117.907786</v>
      </c>
      <c r="V107" s="3">
        <f>1386.3+(244-538.4)+(0+(0-0))+0-0-0</f>
        <v>1091.9000000000001</v>
      </c>
      <c r="W107" s="3">
        <f>1389.4+(229.7-582)+(-1.417188+(-0.234294--0.59364))+0-0-0</f>
        <v>1036.0421580000002</v>
      </c>
      <c r="X107" s="3">
        <f>1389.8+(225.1-649)+(-1.417596+(-0.229602--0.66198))+0-0-0</f>
        <v>964.91478199999995</v>
      </c>
      <c r="Y107" s="3">
        <f>1398+(219.6-705.4)+(-0.71298+(-0.111996--0.359754))+0-0-0</f>
        <v>911.73477800000001</v>
      </c>
      <c r="Z107" s="3">
        <f>1424.6+(226-711.7)+(1.453092+(0.23052-0.725934))+0-0-0</f>
        <v>939.85767799999985</v>
      </c>
      <c r="AA107" s="3">
        <f>1422+(268.2-584.1)+(-0.72522+(-0.136782--0.297891))+0-0-0</f>
        <v>1105.535889</v>
      </c>
      <c r="AB107" s="3">
        <f>1441.9+(281.1-573)+(0+(0-0))+0-0-0</f>
        <v>1150</v>
      </c>
      <c r="AC107" s="3">
        <f>1450.8+(263.5-598.2)+(-1.479816+(-0.26877--0.610164))+0-0-0</f>
        <v>1114.9615779999999</v>
      </c>
      <c r="AD107">
        <f t="shared" si="1"/>
        <v>22586.653443999992</v>
      </c>
      <c r="AE107" s="3">
        <f>1421+(274.3-571)+(0+(0-0))+0-0-0</f>
        <v>1124.3</v>
      </c>
    </row>
    <row r="108" spans="1:31" s="2" customFormat="1" x14ac:dyDescent="0.25">
      <c r="A108">
        <v>89</v>
      </c>
      <c r="B108">
        <v>4</v>
      </c>
      <c r="C108">
        <v>15</v>
      </c>
      <c r="D108">
        <v>4</v>
      </c>
      <c r="E108">
        <v>1</v>
      </c>
      <c r="F108" s="3">
        <f>1435+(247.9-625.1)+(-2.9274+(-0.505716--1.275204))+0-0-0</f>
        <v>1055.6420880000001</v>
      </c>
      <c r="G108" s="3">
        <f>1432.7+(225.1-669.1)+(2.192031+(0.344403-1.023723))+0-0-0</f>
        <v>990.21271100000001</v>
      </c>
      <c r="H108" s="3">
        <f>1390+(186.3-649.7)+(0+(0-0))+0-0-0</f>
        <v>926.59999999999991</v>
      </c>
      <c r="I108" s="3">
        <f>1234.1+(183.6-542.5)+(-0.629391+(-0.093636--0.276675))+0-0-0</f>
        <v>874.75364799999988</v>
      </c>
      <c r="J108" s="3">
        <f>1160.9+(192.6-522.1)+(-2.368236+(-0.392904--1.065084))+0-0-0</f>
        <v>829.70394400000009</v>
      </c>
      <c r="K108" s="3">
        <f>1162.8+(174-569.7)+(-1.779084+(-0.26622--0.871641))+0-0-0</f>
        <v>765.92633699999988</v>
      </c>
      <c r="L108" s="3">
        <f>1100.7+(170.4-581.5)+(-1.122714+(-0.173808--0.59313))+0-0-0</f>
        <v>688.89660800000001</v>
      </c>
      <c r="M108" s="3">
        <f>1098.1+(206-583.6)+(0+(0-0))+0-0-0</f>
        <v>720.49999999999989</v>
      </c>
      <c r="N108" s="3">
        <f>1172.3+(261.2-633.7)+(0.597873+(0.133212-0.323187))+0-0-0</f>
        <v>800.207898</v>
      </c>
      <c r="O108" s="3">
        <f>1348.3+(208.7-669.6)+(2.750532+(0.425748-1.365984))+0-0-0</f>
        <v>889.21029599999986</v>
      </c>
      <c r="P108" s="3">
        <f>1363.8+(237.2-627)+(1.391076+(0.241944-0.63954))+0-0-0</f>
        <v>974.99347999999998</v>
      </c>
      <c r="Q108" s="3">
        <f>1358.5+(257.4-576.9)+(0.692835+(0.131274-0.294219))+0-0-0</f>
        <v>1039.52989</v>
      </c>
      <c r="R108" s="3">
        <f>1354.2+(276.1-529.3)+(0.690642+(0.140811-0.269943))+0-0-0</f>
        <v>1101.56151</v>
      </c>
      <c r="S108" s="3">
        <f>1344.5+(302.3-482.3)+(0.685695+(0.154173-0.245973))+0-0-0</f>
        <v>1165.093895</v>
      </c>
      <c r="T108" s="3">
        <f>1357.8+(285.6-475.1)+(1.384956+(0.291312-0.484602))+0-0-0</f>
        <v>1169.4916659999999</v>
      </c>
      <c r="U108" s="3">
        <f>1355.4+(271.1-480.9)+(2.073762+(0.414783-0.735777))+0-0-0</f>
        <v>1147.3527680000002</v>
      </c>
      <c r="V108" s="3">
        <f>1353.1+(246.9-493.9)+(1.380162+(0.251838-0.503778))+0-0-0</f>
        <v>1107.228222</v>
      </c>
      <c r="W108" s="3">
        <f>1350.4+(249-564.4)+(0.688704+(0.12699-0.287844))+0-0-0</f>
        <v>1035.5278499999999</v>
      </c>
      <c r="X108" s="3">
        <f>1349+(267.1-646.2)+(-0.68799+(-0.136221--0.329562))+0-0-0</f>
        <v>969.405351</v>
      </c>
      <c r="Y108" s="3">
        <f>1357.4+(275.6-703.6)+(0+(0-0))+0-0-0</f>
        <v>929.40000000000009</v>
      </c>
      <c r="Z108" s="3">
        <f>1386+(284.4-709.1)+(1.41372+(0.290088-0.723282))+0-0-0</f>
        <v>962.28052600000001</v>
      </c>
      <c r="AA108" s="3">
        <f>1415.3+(269.6-548.1)+(0+(0-0))+0-0-0</f>
        <v>1136.8</v>
      </c>
      <c r="AB108" s="3">
        <f>1422.4+(283.9-532.4)+(0.725424+(0.144789-0.271524))+0-0-0</f>
        <v>1174.498689</v>
      </c>
      <c r="AC108" s="3">
        <f>1423.1+(277-561.2)+(-2.177343+(-0.42381--0.858636))+0-0-0</f>
        <v>1137.157483</v>
      </c>
      <c r="AD108">
        <f t="shared" si="1"/>
        <v>23591.974859999998</v>
      </c>
      <c r="AE108" s="3">
        <f>1412.6+(278.1-590.4)+(0+(0-0))+0-0-0</f>
        <v>1100.3</v>
      </c>
    </row>
    <row r="109" spans="1:31" s="2" customFormat="1" x14ac:dyDescent="0.25">
      <c r="A109">
        <v>89</v>
      </c>
      <c r="B109">
        <v>4</v>
      </c>
      <c r="C109">
        <v>16</v>
      </c>
      <c r="D109">
        <v>5</v>
      </c>
      <c r="E109">
        <v>1</v>
      </c>
      <c r="F109" s="3">
        <f>1421.7+(247.3-589.8)+(-1.450134+(-0.252246--0.601596))+0-0-0</f>
        <v>1078.0992160000001</v>
      </c>
      <c r="G109" s="3">
        <f>1419.8+(258.6-675.1)+(-0.724098+(-0.131886--0.344301))+0-0-0</f>
        <v>1002.788317</v>
      </c>
      <c r="H109" s="3">
        <f>1386.7+(280.9-734.1)+(0+(0-0))+0-0-0</f>
        <v>933.5</v>
      </c>
      <c r="I109" s="3">
        <f>1373.1+(291.8-791.7)+(-0.700281+(-0.148818--0.403767))+0-0-0</f>
        <v>872.75466799999981</v>
      </c>
      <c r="J109" s="3">
        <f>1375.5+(270.1-821.1)+(0+(0-0))+0-0-0</f>
        <v>824.5</v>
      </c>
      <c r="K109" s="3">
        <f>1366.4+(221.7-823.9)+(-3.48432+(-0.565335--2.100945))+0-0-0</f>
        <v>762.25129000000004</v>
      </c>
      <c r="L109" s="3">
        <f>1367.6+(178.5-871)+(-1.394952+(-0.18207--0.88842))+0-0-0</f>
        <v>674.41139799999996</v>
      </c>
      <c r="M109" s="3">
        <f>1380.7+(152-808.5)+(0.704157+(0.07752-0.412335))+0-0-0</f>
        <v>724.56934200000001</v>
      </c>
      <c r="N109" s="3">
        <f>1383.3+(194.4-768.5)+(0.705483+(0.099144-0.391935))+0-0-0</f>
        <v>809.61269199999992</v>
      </c>
      <c r="O109" s="3">
        <f>1381.1+(192.5-723)+(0.704361+(0.098175-0.36873))+0-0-0</f>
        <v>851.03380599999991</v>
      </c>
      <c r="P109" s="3">
        <f>1404.7+(201.2-695.3)+(1.432794+(0.205224-0.709206))+0-0-0</f>
        <v>911.52881200000013</v>
      </c>
      <c r="Q109" s="3">
        <f>1395+(204.7-639.3)+(0+(0-0))+0-0-0</f>
        <v>960.40000000000009</v>
      </c>
      <c r="R109" s="3">
        <f>1383.5+(230.2-590.5)+(2.116755+(0.352206-0.903465))+0-0-0</f>
        <v>1024.765496</v>
      </c>
      <c r="S109" s="3">
        <f>1383.7+(248.1-536.6)+(0.705687+(0.126531-0.273666))+0-0-0</f>
        <v>1095.758552</v>
      </c>
      <c r="T109" s="3">
        <f>1380+(250.9-509.2)+(0+(0-0))+0-0-0</f>
        <v>1121.7</v>
      </c>
      <c r="U109" s="3">
        <f>1377.4+(232.4-504.4)+(-1.404948+(-0.237048--0.514488))+0-0-0</f>
        <v>1104.2724920000001</v>
      </c>
      <c r="V109" s="3">
        <f>1389+(217.9-532.1)+(-0.70839+(-0.111129--0.271371))+0-0-0</f>
        <v>1074.2518519999999</v>
      </c>
      <c r="W109" s="3">
        <f>1400.5+(197.3-574.4)+(1.42851+(0.201246-0.585888))+0-0-0</f>
        <v>1024.4438680000001</v>
      </c>
      <c r="X109" s="3">
        <f>1399.3+(195.8-632.3)+(-0.713643+(-0.099858--0.322473))+0-0-0</f>
        <v>962.30897199999993</v>
      </c>
      <c r="Y109" s="3">
        <f>1371.5+(209.4-684.5)+(0+(0-0))+0-0-0</f>
        <v>896.4</v>
      </c>
      <c r="Z109" s="3">
        <f>1472.4+(212.9-712.4)+(0.750924+(0.108579-0.363324))+0-0-0</f>
        <v>973.39617900000007</v>
      </c>
      <c r="AA109" s="3">
        <f>1475.7+(239.7-627.7)+(0+(0-0))+0-0-0</f>
        <v>1087.7</v>
      </c>
      <c r="AB109" s="3">
        <f>1485.6+(245.6-609.3)+(0.757656+(0.125256-0.310743))+0-0-0</f>
        <v>1122.4721690000001</v>
      </c>
      <c r="AC109" s="3">
        <f>1485.6+(255.4-623.5)+(0+(0-0))+0-0-0</f>
        <v>1117.5</v>
      </c>
      <c r="AD109">
        <f t="shared" si="1"/>
        <v>23010.419120999999</v>
      </c>
      <c r="AE109" s="3">
        <f>1464.5+(249.8-664.1)+(0+(0-0))+0-0-0</f>
        <v>1050.2</v>
      </c>
    </row>
    <row r="110" spans="1:31" s="2" customFormat="1" x14ac:dyDescent="0.25">
      <c r="A110">
        <v>89</v>
      </c>
      <c r="B110">
        <v>4</v>
      </c>
      <c r="C110">
        <v>17</v>
      </c>
      <c r="D110">
        <v>6</v>
      </c>
      <c r="E110">
        <v>1</v>
      </c>
      <c r="F110" s="3">
        <f>1484.2+(229.1-654)+(0.756942+(0.116841-0.33354))+0-0-0</f>
        <v>1059.8402430000001</v>
      </c>
      <c r="G110" s="3">
        <f>1448.8+(214.9-692.5)+(0+(0-0))+0-0-0</f>
        <v>971.19999999999993</v>
      </c>
      <c r="H110" s="3">
        <f>1428.4+(233-760.7)+(0.728484+(0.11883-0.387957))+0-0-0</f>
        <v>901.159357</v>
      </c>
      <c r="I110" s="3">
        <f>1432.9+(246.8-829.8)+(1.461558+(0.251736-0.846396))+0-0-0</f>
        <v>850.76689800000008</v>
      </c>
      <c r="J110" s="3">
        <f>1383.6+(240-820.5)+(0.705636+(0.1224-0.418455))+0-0-0</f>
        <v>803.50958099999991</v>
      </c>
      <c r="K110" s="3">
        <f>1376.4+(162.2-801.2)+(0+(0-0))+0-0-0</f>
        <v>737.40000000000009</v>
      </c>
      <c r="L110" s="3">
        <f>1368+(76.6-793.7)+(-2.09304+(-0.117198--1.214361))+0-0-0</f>
        <v>649.90412300000003</v>
      </c>
      <c r="M110" s="3">
        <f>1366.5+(190.1-878.4)+(-2.090745+(-0.290853--1.343952))+0-0-0</f>
        <v>677.16235400000005</v>
      </c>
      <c r="N110" s="3">
        <f>1379+(215.2-844)+(-2.81316+(-0.439008--1.72176))+0-0-0</f>
        <v>748.66959200000008</v>
      </c>
      <c r="O110" s="3">
        <f>1412.6+(214.3-806.8)+(-0.720426+(-0.109293--0.411468))+0-0-0</f>
        <v>819.68174899999985</v>
      </c>
      <c r="P110" s="3">
        <f>1446.1+(211.8-783.9)+(0.737511+(0.108018-0.399789))+0-0-0</f>
        <v>874.44574</v>
      </c>
      <c r="Q110" s="3">
        <f>1441+(216.2-721.1)+(1.46982+(0.220524-0.735522))+0-0-0</f>
        <v>937.05482199999994</v>
      </c>
      <c r="R110" s="3">
        <f>1429+(238.3-678.8)+(1.45758+(0.243066-0.692376))+0-0-0</f>
        <v>989.50827000000004</v>
      </c>
      <c r="S110" s="3">
        <f>1422+(256.9-623.8)+(0+(0-0))+0-0-0</f>
        <v>1055.0999999999999</v>
      </c>
      <c r="T110" s="3">
        <f>1418.8+(262.5-597.6)+(0.723588+(0.133875-0.304776))+3.3-0-0</f>
        <v>1087.5526869999999</v>
      </c>
      <c r="U110" s="3">
        <f>1416.1+(258.7-600.5)+(0.722211+(0.131937-0.306255))+6.7-0-0</f>
        <v>1081.5478929999999</v>
      </c>
      <c r="V110" s="3">
        <f>1418.7+(249.4-613.9)+(0+(0-0))+0-0-0</f>
        <v>1054.2</v>
      </c>
      <c r="W110" s="3">
        <f>1412.9+(234.5-650.4)+(-0.720579+(-0.119595--0.331704))+0-0-0</f>
        <v>996.49153000000013</v>
      </c>
      <c r="X110" s="3">
        <f>1419.1+(203.6-712)+(-2.171223+(-0.311508--1.08936))+0-0-0</f>
        <v>909.30662899999993</v>
      </c>
      <c r="Y110" s="3">
        <f>1430.5+(182.1-764)+(-0.729555+(-0.092871--0.38964))+0-0-0</f>
        <v>848.16721400000006</v>
      </c>
      <c r="Z110" s="3">
        <f>1463.3+(202.4-790.2)+(0+(0-0))+0-0-0</f>
        <v>875.49999999999989</v>
      </c>
      <c r="AA110" s="3">
        <f>1500+(218.9-692)+(-3.06+(-0.446556--1.41168))+0-0-0</f>
        <v>1024.805124</v>
      </c>
      <c r="AB110" s="3">
        <f>1542.8+(225.6-702)+(-0.786828+(-0.115056--0.35802))+0-0-0</f>
        <v>1065.8561360000001</v>
      </c>
      <c r="AC110" s="3">
        <f>1533.6+(221-716.5)+(0.782136+(0.11271-0.365415))+0-0-0</f>
        <v>1038.6294309999998</v>
      </c>
      <c r="AD110">
        <f t="shared" si="1"/>
        <v>22057.459372999998</v>
      </c>
      <c r="AE110" s="3">
        <f>1496+(224-736.7)+(0+(0-0))+0-0-0</f>
        <v>983.3</v>
      </c>
    </row>
    <row r="111" spans="1:31" s="2" customFormat="1" x14ac:dyDescent="0.25">
      <c r="A111">
        <v>89</v>
      </c>
      <c r="B111">
        <v>4</v>
      </c>
      <c r="C111">
        <v>18</v>
      </c>
      <c r="D111">
        <v>7</v>
      </c>
      <c r="E111">
        <v>1</v>
      </c>
      <c r="F111" s="3">
        <f>1487+(220.8-703.5)+(0+(0-0))+0-0-0</f>
        <v>1004.3</v>
      </c>
      <c r="G111" s="3">
        <f>1446.4+(255.2-757.3)+(-0.737664+(-0.130152--0.386223))+0-0-0</f>
        <v>943.81840700000021</v>
      </c>
      <c r="H111" s="3">
        <f>1386.3+(264.4-751.7)+(0.707013+(0.134844-0.383367))+0-0-0</f>
        <v>899.45848999999987</v>
      </c>
      <c r="I111" s="3">
        <f>1395.1+(198.9-752.9)+(0.711501+(0.101439-0.383979))+0-0-0</f>
        <v>841.52896099999987</v>
      </c>
      <c r="J111" s="3">
        <f>1418.8+(162-786)+(0.723588+(0.08262-0.40086))+0-0-0</f>
        <v>795.20534799999996</v>
      </c>
      <c r="K111" s="3">
        <f>1346.6+(133.1-755.9)+(-2.060298+(-0.203643--1.156527))+0-0-0</f>
        <v>722.69258600000001</v>
      </c>
      <c r="L111" s="3">
        <f>1135.8+(165.4-675.3)+(0+(0-0))+0-0-0</f>
        <v>625.9</v>
      </c>
      <c r="M111" s="3">
        <f>1133.2+(162-677.8)+(0+(0-0))+0-0-0</f>
        <v>617.40000000000009</v>
      </c>
      <c r="N111" s="3">
        <f>1131+(204.5-680.4)+(-1.15362+(-0.20859--0.694008))+0-0-0</f>
        <v>654.43179800000007</v>
      </c>
      <c r="O111" s="3">
        <f>1135.7+(285-701.4)+(0+(0-0))+0-0-0</f>
        <v>719.30000000000007</v>
      </c>
      <c r="P111" s="3">
        <f>1214.9+(304.8-739.4)+(1.239198+(0.310896-0.754188))+0-0-0</f>
        <v>781.09590600000013</v>
      </c>
      <c r="Q111" s="3">
        <f>1393+(246.1-797.9)+(0+(0-0))+0-0-0</f>
        <v>841.2</v>
      </c>
      <c r="R111" s="3">
        <f>1336+(278-742)+(0.68136+(0.14178-0.37842))+0-0-0</f>
        <v>872.44471999999996</v>
      </c>
      <c r="S111" s="3">
        <f>1345.7+(290.4-712)+(1.372614+(0.296208-0.72624))+0-0-0</f>
        <v>925.04258200000004</v>
      </c>
      <c r="T111" s="3">
        <f>1383.6+(252.2-676)+(0.705636+(0.128622-0.34476))+0-0-0</f>
        <v>960.28949799999998</v>
      </c>
      <c r="U111" s="3">
        <f>1380+(217.2-632.4)+(-1.4076+(-0.221544--0.645048))+0-0-0</f>
        <v>963.81590399999993</v>
      </c>
      <c r="V111" s="3">
        <f>1371.9+(234.2-660.5)+(-0.699669+(-0.119442--0.336855))+0-0-0</f>
        <v>945.11774400000013</v>
      </c>
      <c r="W111" s="3">
        <f>1367.8+(245.3-731.9)+(-0.697578+(-0.125103--0.373269))+0-0-0</f>
        <v>880.75058799999999</v>
      </c>
      <c r="X111" s="3">
        <f>1365.4+(227.6-780.7)+(-1.392708+(-0.232152--0.796314))+0-0-0</f>
        <v>811.47145400000011</v>
      </c>
      <c r="Y111" s="3">
        <f>1354.6+(154.4-754.5)+(-2.072538+(-0.236232--1.154385))+0-0-0</f>
        <v>753.34561499999984</v>
      </c>
      <c r="Z111" s="3">
        <f>1361.2+(208.8-779.5)+(0.694212+(0.106488-0.397545))+0-0-0</f>
        <v>790.90315499999997</v>
      </c>
      <c r="AA111" s="3">
        <f>1365.3+(291.5-714.2)+(-0.696303+(-0.148665--0.364242))+0-0-0</f>
        <v>942.1192739999999</v>
      </c>
      <c r="AB111" s="3">
        <f>1364.3+(314.3-689.2)+(0+(0-0))+0-0-0</f>
        <v>989.39999999999986</v>
      </c>
      <c r="AC111" s="3">
        <f>1358.9+(317.2-679.9)+(0.693039+(0.161772-0.346749))+0-0-0</f>
        <v>996.70806200000004</v>
      </c>
      <c r="AD111">
        <f t="shared" si="1"/>
        <v>20277.740092000004</v>
      </c>
      <c r="AE111" s="3">
        <f>1390+(277.5-787.4)+(0+(0-0))+0-0-0</f>
        <v>880.1</v>
      </c>
    </row>
    <row r="112" spans="1:31" s="2" customFormat="1" x14ac:dyDescent="0.25">
      <c r="A112">
        <v>89</v>
      </c>
      <c r="B112">
        <v>4</v>
      </c>
      <c r="C112">
        <v>19</v>
      </c>
      <c r="D112">
        <v>1</v>
      </c>
      <c r="E112">
        <v>3</v>
      </c>
      <c r="F112" s="3">
        <f>1242.6+(343.3-604.8)+(-2.534904+(-0.700332--1.233792))+0-0-0</f>
        <v>979.09855599999992</v>
      </c>
      <c r="G112" s="3">
        <f>1238.8+(333.8-624.7)+(-1.895364+(-0.510714--0.955791))+0-0-0</f>
        <v>946.44971299999986</v>
      </c>
      <c r="H112" s="3">
        <f>1250+(316.4-670.5)+(-1.275+(-0.322728--0.68391))+0-0-0</f>
        <v>894.98618199999999</v>
      </c>
      <c r="I112" s="3">
        <f>1281.5+(267.9-700.5)+(-1.30713+(-0.273258--0.71451))+0-0-0</f>
        <v>848.03412200000002</v>
      </c>
      <c r="J112" s="3">
        <f>1302.6+(230.7-729.4)+(-1.328652+(-0.235314--0.743988))+0-0-0</f>
        <v>803.08002199999987</v>
      </c>
      <c r="K112" s="3">
        <f>1305.4+(230.4-792.1)+(0+(0-0))+0-0-0</f>
        <v>743.7</v>
      </c>
      <c r="L112" s="3">
        <f>1260.2+(132.8-743.9)+(0+(0-0))+0-0-0</f>
        <v>649.10000000000014</v>
      </c>
      <c r="M112" s="3">
        <f>1241.9+(131.5-727.5)+(-1.900107+(-0.201195--1.113075))+0-0-0</f>
        <v>644.91177300000004</v>
      </c>
      <c r="N112" s="3">
        <f>1245+(167.7-719.5)+(-0.63495+(-0.085527--0.366945))+0-0-0</f>
        <v>692.84646800000007</v>
      </c>
      <c r="O112" s="3">
        <f>1252.4+(251.6-723.6)+(1.277448+(0.256632-0.738072))+0-0-0</f>
        <v>781.19600800000012</v>
      </c>
      <c r="P112" s="3">
        <f>1285.1+(309.9-727.7)+(1.310802+(0.316098-0.742254))+0-0-0</f>
        <v>868.18464599999982</v>
      </c>
      <c r="Q112" s="3">
        <f>1235+(343.5-648.5)+(1.2597+(0.35037-0.66147))+0-0-0</f>
        <v>930.94860000000006</v>
      </c>
      <c r="R112" s="3">
        <f>1352.4+(312.2-666.1)+(0+(0-0))+41-0-0</f>
        <v>1039.5</v>
      </c>
      <c r="S112" s="3">
        <f>1397+(304.3-634.3)+(0+(0-0))+41-0-0</f>
        <v>1108</v>
      </c>
      <c r="T112" s="3">
        <f>1431.2+(296.6-637.3)+(0.729912+(0.151266-0.325023))+41-0-0</f>
        <v>1132.056155</v>
      </c>
      <c r="U112" s="3">
        <f>1417.5+(280.3-609.6)+(0+(0-0))+41-0-0</f>
        <v>1129.2</v>
      </c>
      <c r="V112" s="3">
        <f>1410.2+(260.4-611.6)+(0+(0-0))+41-0-0</f>
        <v>1100</v>
      </c>
      <c r="W112" s="3">
        <f>1400.7+(246.2-629.3)+(-1.428714+(-0.251124--0.641886))+41-0-0</f>
        <v>1057.5620480000002</v>
      </c>
      <c r="X112" s="3">
        <f>1399.1+(243-698)+(0+(0-0))+41-0-0</f>
        <v>985.09999999999991</v>
      </c>
      <c r="Y112" s="3">
        <f>1419.2+(168.1-723.4)+(0.723792+(0.085731-0.368934))+0-0-0</f>
        <v>864.34058900000014</v>
      </c>
      <c r="Z112" s="3">
        <f>1454.4+(230.3-785.3)+(0+(0-0))+0-0-0</f>
        <v>899.40000000000009</v>
      </c>
      <c r="AA112" s="3">
        <f>1488.8+(275.8-702.8)+(-0.759288+(-0.140658--0.358428))+0-0-0</f>
        <v>1061.258482</v>
      </c>
      <c r="AB112" s="3">
        <f>1523+(271.6-696.9)+(0+(0-0))+0-0-0</f>
        <v>1097.7</v>
      </c>
      <c r="AC112" s="3">
        <f>1523.3+(268.3-688.8)+(0+(0-0))+0-0-0</f>
        <v>1102.8</v>
      </c>
      <c r="AD112">
        <f t="shared" si="1"/>
        <v>22359.453364000001</v>
      </c>
      <c r="AE112" s="3">
        <f>1501.1+(272.7-748.6)+(0+(0-0))+0-0-0</f>
        <v>1025.1999999999998</v>
      </c>
    </row>
    <row r="113" spans="1:31" s="2" customFormat="1" x14ac:dyDescent="0.25">
      <c r="A113">
        <v>89</v>
      </c>
      <c r="B113">
        <v>4</v>
      </c>
      <c r="C113">
        <v>20</v>
      </c>
      <c r="D113">
        <v>2</v>
      </c>
      <c r="E113">
        <v>1</v>
      </c>
      <c r="F113" s="3">
        <f>1519.7+(272-716.2)+(0+(0-0))+0-0-0</f>
        <v>1075.5</v>
      </c>
      <c r="G113" s="3">
        <f>1468.3+(308.6-756.2)+(-2.246499+(-0.472158--1.156986))+0-0-0</f>
        <v>1019.1383289999999</v>
      </c>
      <c r="H113" s="3">
        <f>1453+(318.4-814)+(-1.48206+(-0.324768--0.83028))+0-0-0</f>
        <v>956.423452</v>
      </c>
      <c r="I113" s="3">
        <f>1453.7+(328.5-869.2)+(-2.224161+(-0.502605--1.329876))+0-0-0</f>
        <v>911.60311000000002</v>
      </c>
      <c r="J113" s="3">
        <f>1457.3+(320.2-919.4)+(0+(0-0))+0-0-0</f>
        <v>858.09999999999991</v>
      </c>
      <c r="K113" s="3">
        <f>1439.6+(289.9-940.7)+(0+(0-0))+0-0-0</f>
        <v>788.79999999999984</v>
      </c>
      <c r="L113" s="3">
        <f>1450.4+(146.9-899.1)+(-1.479408+(-0.149838--0.917082))+0-0-0</f>
        <v>697.48783600000002</v>
      </c>
      <c r="M113" s="3">
        <f>1452.4+(191.5-941.3)+(-0.740724+(-0.097665--0.480063))+0-0-0</f>
        <v>702.2416740000001</v>
      </c>
      <c r="N113" s="3">
        <f>1457.1+(249.6-901.4)+(0.743121+(0.127296-0.459714))+0-0-0</f>
        <v>805.71070299999997</v>
      </c>
      <c r="O113" s="3">
        <f>1437.3+(252.8-805.1)+(0.733023+(0.128928-0.410601))+0-0-0</f>
        <v>885.45135000000005</v>
      </c>
      <c r="P113" s="3">
        <f>1412.5+(257.6-732.2)+(1.44075+(0.262752-0.746844))+0-0-0</f>
        <v>938.85665799999992</v>
      </c>
      <c r="Q113" s="3">
        <f>1395.3+(260.9-703.7)+(1.423206+(0.266118-0.717774))+8.3-0-0</f>
        <v>961.77154999999982</v>
      </c>
      <c r="R113" s="3">
        <f>1375.2+(278.9-635.5)+(0.701352+(0.142239-0.324105))+25-0-0</f>
        <v>1044.1194860000001</v>
      </c>
      <c r="S113" s="3">
        <f>1370.2+(290.5-551.4)+(0.698802+(0.148155-0.281214))+25-0-0</f>
        <v>1134.8657430000003</v>
      </c>
      <c r="T113" s="3">
        <f>1358.6+(295.2-531.6)+(0.692886+(0.150552-0.271116))+25-0-0</f>
        <v>1147.7723219999998</v>
      </c>
      <c r="U113" s="3">
        <f>1353.1+(293.6-528.1)+(1.380162+(0.299472-0.538662))+25-0-0</f>
        <v>1144.7409719999998</v>
      </c>
      <c r="V113" s="3">
        <f>1344.6+(287.3-536.4)+(0+(0-0))+25-0-0</f>
        <v>1120.5</v>
      </c>
      <c r="W113" s="3">
        <f>1325+(282.5-544.9)+(-2.703+(-0.5763--1.111596))+10.4-0-0</f>
        <v>1070.832296</v>
      </c>
      <c r="X113" s="3">
        <f>1346.2+(267.5-614.4)+(0+(0-0))+0-0-0</f>
        <v>999.30000000000007</v>
      </c>
      <c r="Y113" s="3">
        <f>1374.5+(271.3-702.6)+(-0.700995+(-0.138363--0.358326))+0-0-0</f>
        <v>942.71896800000002</v>
      </c>
      <c r="Z113" s="3">
        <f>1408.7+(275.5-721.1)+(0.718437+(0.140505-0.367761))+0-0-0</f>
        <v>963.59118100000001</v>
      </c>
      <c r="AA113" s="3">
        <f>1476.9+(286.9-630.8)+(-1.506438+(-0.292638--0.643416))+0-0-0</f>
        <v>1131.8443400000001</v>
      </c>
      <c r="AB113" s="3">
        <f>1522.4+(292.1-628.9)+(-0.776424+(-0.148971--0.320739))+0-0-0</f>
        <v>1184.9953440000002</v>
      </c>
      <c r="AC113" s="3">
        <f>1522.2+(287.5-630.4)+(-0.776322+(-0.146625--0.321504))+0-0-0</f>
        <v>1178.6985570000002</v>
      </c>
      <c r="AD113">
        <f t="shared" si="1"/>
        <v>23665.063870999998</v>
      </c>
      <c r="AE113" s="3">
        <f>1483+(293.1-690.4)+(0+(0-0))+0-0-0</f>
        <v>1085.7</v>
      </c>
    </row>
    <row r="114" spans="1:31" s="2" customFormat="1" x14ac:dyDescent="0.25">
      <c r="A114">
        <v>89</v>
      </c>
      <c r="B114">
        <v>4</v>
      </c>
      <c r="C114">
        <v>21</v>
      </c>
      <c r="D114">
        <v>3</v>
      </c>
      <c r="E114">
        <v>1</v>
      </c>
      <c r="F114" s="3">
        <f>1526.7+(291.6-689.3)+(-1.557234+(-0.297432--0.703086))+0-0-0</f>
        <v>1127.84842</v>
      </c>
      <c r="G114" s="3">
        <f>1530.5+(318.7-790.4)+(-0.780555+(-0.162537--0.403104))+0-0-0</f>
        <v>1058.260012</v>
      </c>
      <c r="H114" s="3">
        <f>1515.1+(294.8-827.9)+(-3.090804+(-0.601392--1.688916))+0-0-0</f>
        <v>979.99671999999998</v>
      </c>
      <c r="I114" s="3">
        <f>1515.5+(240.4-833.4)+(1.54581+(0.245208-0.850068))+0-0-0</f>
        <v>923.44095000000004</v>
      </c>
      <c r="J114" s="3">
        <f>1501.9+(199.5-876.6)+(-1.531938+(-0.20349--0.894132))+0-0-0</f>
        <v>823.95870400000001</v>
      </c>
      <c r="K114" s="3">
        <f>1503.9+(141.5-863.3)+(-1.533978+(-0.14433--0.880566))+0-0-0</f>
        <v>781.30225800000017</v>
      </c>
      <c r="L114" s="3">
        <f>1494.1+(146.9-939.2)+(0+(0-0))+0-0-0</f>
        <v>701.79999999999984</v>
      </c>
      <c r="M114" s="3">
        <f>1509.1+(227.6-1024.9)+(0+(0-0))+0-0-0</f>
        <v>711.79999999999984</v>
      </c>
      <c r="N114" s="3">
        <f>1487.5+(271.8-970.4)+(0+(0-0))+0-0-0</f>
        <v>788.90000000000009</v>
      </c>
      <c r="O114" s="3">
        <f>1458.1+(256.4-846.7)+(0+(0-0))+0-0-0</f>
        <v>867.79999999999984</v>
      </c>
      <c r="P114" s="3">
        <f>1449.4+(253.4-763.6)+(0+(0-0))+0-0-0</f>
        <v>939.2</v>
      </c>
      <c r="Q114" s="3">
        <f>1447.6+(240-699.5)+(2.953104+(0.4896-1.42698))+0-0-0</f>
        <v>990.11572399999989</v>
      </c>
      <c r="R114" s="3">
        <f>1443.5+(252.1-665.8)+(-1.47237+(-0.257142--0.679116))+35.3-0-0</f>
        <v>1064.049604</v>
      </c>
      <c r="S114" s="3">
        <f>1433.9+(265.9-622.8)+(0.731289+(0.135609-0.317628))+53-0-0</f>
        <v>1130.54927</v>
      </c>
      <c r="T114" s="3">
        <f>1421.8+(272.3-600.6)+(0.725118+(0.138873-0.306306))+53-0-0</f>
        <v>1147.057685</v>
      </c>
      <c r="U114" s="3">
        <f>1420.9+(261.4-606)+(1.449318+(0.266628-0.61812))+53-0-0</f>
        <v>1130.3978260000001</v>
      </c>
      <c r="V114" s="3">
        <f>1415.7+(262.5-601.8)+(-0.722007+(-0.133875--0.306918))+25-0-0</f>
        <v>1100.851036</v>
      </c>
      <c r="W114" s="3">
        <f>1416.9+(260.7-623.9)+(-2.167857+(-0.398871--0.954567))+12.5-0-0</f>
        <v>1064.587839</v>
      </c>
      <c r="X114" s="3">
        <f>1417.6+(262.2-669.8)+(-2.168928+(-0.401166--1.024794))+0-0-0</f>
        <v>1008.4547</v>
      </c>
      <c r="Y114" s="3">
        <f>1420.6+(262.8-727.1)+(-0.724506+(-0.134028--0.370821))+0-0-0</f>
        <v>955.81228699999997</v>
      </c>
      <c r="Z114" s="3">
        <f>1445.6+(273.5-735.8)+(0.737256+(0.139485-0.375258))+0-0-0</f>
        <v>983.80148299999996</v>
      </c>
      <c r="AA114" s="3">
        <f>1490.1+(279.1-611.7)+(-0.759951+(-0.142341--0.311967))+0-0-0</f>
        <v>1156.9096750000001</v>
      </c>
      <c r="AB114" s="3">
        <f>1505.8+(301.5-595.4)+(-0.767958+(-0.153765--0.303654))+0-0-0</f>
        <v>1211.281931</v>
      </c>
      <c r="AC114" s="3">
        <f>1507.2+(294.3-623.2)+(0+(0-0))+0-0-0</f>
        <v>1178.3</v>
      </c>
      <c r="AD114">
        <f t="shared" si="1"/>
        <v>23826.476123999997</v>
      </c>
      <c r="AE114" s="3">
        <f>1492.5+(292.8-646.5)+(0+(0-0))+0-0-0</f>
        <v>1138.8</v>
      </c>
    </row>
    <row r="115" spans="1:31" s="2" customFormat="1" x14ac:dyDescent="0.25">
      <c r="A115">
        <v>89</v>
      </c>
      <c r="B115">
        <v>4</v>
      </c>
      <c r="C115">
        <v>22</v>
      </c>
      <c r="D115">
        <v>4</v>
      </c>
      <c r="E115">
        <v>1</v>
      </c>
      <c r="F115" s="3">
        <f>1504.4+(284.3-653.8)+(0+(0-0))+0-0-0</f>
        <v>1134.9000000000001</v>
      </c>
      <c r="G115" s="3">
        <f>1501.8+(305.7-728.6)+(-1.531836+(-0.311814--0.743172))+0-0-0</f>
        <v>1077.7995219999998</v>
      </c>
      <c r="H115" s="3">
        <f>1501.3+(331.3-811.8)+(0.765663+(0.168963-0.414018))+0-0-0</f>
        <v>1021.320608</v>
      </c>
      <c r="I115" s="3">
        <f>1466.9+(317.1-817.6)+(0+(0-0))+0-0-0</f>
        <v>966.40000000000009</v>
      </c>
      <c r="J115" s="3">
        <f>1457.9+(246.3-790.5)+(2.230587+(0.376839-1.209465))+0-0-0</f>
        <v>915.09796100000005</v>
      </c>
      <c r="K115" s="3">
        <f>1450.3+(209.9-823)+(0+(0-0))+0-0-0</f>
        <v>837.19999999999993</v>
      </c>
      <c r="L115" s="3">
        <f>1445.2+(114.8-822.2)+(-0.737052+(-0.058548--0.419322))+0-0-0</f>
        <v>737.423722</v>
      </c>
      <c r="M115" s="3">
        <f>1450.7+(120.1-808)+(0+(0-0))+0-0-0</f>
        <v>762.80000000000007</v>
      </c>
      <c r="N115" s="3">
        <f>1456.5+(175.7-790)+(2.97126+(0.358428-1.6116))+0-0-0</f>
        <v>843.91808800000001</v>
      </c>
      <c r="O115" s="3">
        <f>1440.4+(233.2-742.1)+(0+(0-0))+0-0-0</f>
        <v>931.5</v>
      </c>
      <c r="P115" s="3">
        <f>1439.5+(234.4-679.6)+(2.202435+(0.358632-1.039788))+0-0-0</f>
        <v>995.821279</v>
      </c>
      <c r="Q115" s="3">
        <f>1427.9+(249.8-642.1)+(0.728229+(0.127398-0.327471))+0-0-0</f>
        <v>1036.1281560000002</v>
      </c>
      <c r="R115" s="3">
        <f>1442.6+(276.8-643.2)+(-1.471452+(-0.282336--0.656064))+38.7-0-0</f>
        <v>1113.8022759999999</v>
      </c>
      <c r="S115" s="3">
        <f>1432.2+(298-582.4)+(0+(0-0))+58-0-0</f>
        <v>1205.8000000000002</v>
      </c>
      <c r="T115" s="3">
        <f>1414.3+(305.8-565.3)+(2.163879+(0.467874-0.864909))+58-0-0</f>
        <v>1214.5668439999999</v>
      </c>
      <c r="U115" s="3">
        <f>1412.9+(290.7-574.1)+(-0.720579+(-0.148257--0.292791))+58-0-0</f>
        <v>1186.923955</v>
      </c>
      <c r="V115" s="3">
        <f>1419.1+(283-587.2)+(-0.723741+(-0.14433--0.299472))+58-0-0</f>
        <v>1172.3314009999999</v>
      </c>
      <c r="W115" s="3">
        <f>1420.9+(264.2-628.2)+(-4.347954+(-0.808452--1.922292))+58-0-0</f>
        <v>1111.665886</v>
      </c>
      <c r="X115" s="3">
        <f>1423.6+(256.6-689.2)+(-2.904144+(-0.523464--1.405968))+0-0-0</f>
        <v>988.97835999999984</v>
      </c>
      <c r="Y115" s="3">
        <f>1433+(260.7-762.5)+(-2.19249+(-0.398871--1.166625))+0-0-0</f>
        <v>929.77526399999999</v>
      </c>
      <c r="Z115" s="3">
        <f>1467.6+(267.6-767.5)+(0.748476+(0.136476-0.391425))+0-0-0</f>
        <v>968.1935269999999</v>
      </c>
      <c r="AA115" s="3">
        <f>1504.4+(284.4-647.6)+(-3.068976+(-0.580176--1.321104))+0-0-0</f>
        <v>1138.871952</v>
      </c>
      <c r="AB115" s="3">
        <f>1504.5+(303.9-619.1)+(-3.06918+(-0.619956--1.262964))+0-0-0</f>
        <v>1186.873828</v>
      </c>
      <c r="AC115" s="3">
        <f>1497.5+(312.6-634.8)+(1.52745+(0.318852-0.647496))+0-0-0</f>
        <v>1176.4988060000003</v>
      </c>
      <c r="AD115">
        <f t="shared" si="1"/>
        <v>24654.591435000002</v>
      </c>
      <c r="AE115" s="3">
        <f>1504.4+(289-676)+(0+(0-0))+0-0-0</f>
        <v>1117.4000000000001</v>
      </c>
    </row>
    <row r="116" spans="1:31" s="2" customFormat="1" x14ac:dyDescent="0.25">
      <c r="A116">
        <v>89</v>
      </c>
      <c r="B116">
        <v>4</v>
      </c>
      <c r="C116">
        <v>23</v>
      </c>
      <c r="D116">
        <v>5</v>
      </c>
      <c r="E116">
        <v>1</v>
      </c>
      <c r="F116" s="3">
        <f>1486.6+(300.4-659.3)+(-1.516332+(-0.306408--0.672486))+0-0-0</f>
        <v>1126.5497459999999</v>
      </c>
      <c r="G116" s="3">
        <f>1484.9+(321.4-748.2)+(-0.757299+(-0.163914--0.381582))+0-0-0</f>
        <v>1057.5603689999998</v>
      </c>
      <c r="H116" s="3">
        <f>1489.9+(338.3-811.9)+(-1.519698+(-0.345066--0.828138))+0-0-0</f>
        <v>1015.2633740000002</v>
      </c>
      <c r="I116" s="3">
        <f>1494+(300.7-850.1)+(-1.52388+(-0.306714--0.867102))+0-0-0</f>
        <v>943.63650799999994</v>
      </c>
      <c r="J116" s="3">
        <f>1360.4+(295.7-761.5)+(2.081412+(0.452421-1.165095))+0-0-0</f>
        <v>895.96873800000014</v>
      </c>
      <c r="K116" s="3">
        <f>1175.6+(263.7-627.4)+(-1.199112+(-0.268974--0.639948))+0-0-0</f>
        <v>811.0718619999999</v>
      </c>
      <c r="L116" s="3">
        <f>1178.7+(179.2-609)+(-0.601137+(-0.091392--0.31059))+0-0-0</f>
        <v>748.5180610000001</v>
      </c>
      <c r="M116" s="3">
        <f>1188.1+(228.4-646.5)+(1.817793+(0.349452-0.989145))+0-0-0</f>
        <v>771.17809999999986</v>
      </c>
      <c r="N116" s="3">
        <f>1188.6+(263-615.5)+(-0.606186+(-0.13413--0.313905))+0-0-0</f>
        <v>835.67358899999988</v>
      </c>
      <c r="O116" s="3">
        <f>1449.8+(274.6-802.6)+(1.478796+(0.280092-0.818652))+0-0-0</f>
        <v>922.74023599999998</v>
      </c>
      <c r="P116" s="3">
        <f>1463.8+(278.7-780.1)+(0.746538+(0.142137-0.397851))+16.7-0-0</f>
        <v>979.59082399999988</v>
      </c>
      <c r="Q116" s="3">
        <f>1464.2+(281-778.5)+(-0.746742+(-0.14331--0.397035))+40-0-0</f>
        <v>1006.206983</v>
      </c>
      <c r="R116" s="3">
        <f>1466.8+(297.2-739.8)+(-1.496136+(-0.303144--0.754596))+80-0-0</f>
        <v>1103.1553160000001</v>
      </c>
      <c r="S116" s="3">
        <f>1452.8+(308.6-643.5)+(0+(0-0))+80-0-0</f>
        <v>1197.9000000000001</v>
      </c>
      <c r="T116" s="3">
        <f>1449.9+(306.1-610)+(0.739449+(0.156111-0.3111))+80-0-0</f>
        <v>1226.58446</v>
      </c>
      <c r="U116" s="3">
        <f>1447.5+(299.6-612)+(-0.738225+(-0.152796--0.31212))+80-0-0</f>
        <v>1214.5210989999998</v>
      </c>
      <c r="V116" s="3">
        <f>1447.2+(293.7-657.3)+(-1.476144+(-0.299574--0.670446))+80-0-0</f>
        <v>1162.4947280000001</v>
      </c>
      <c r="W116" s="3">
        <f>1448.9+(288.9-720.2)+(2.216817+(0.442017-1.101906))+73.4-0-0</f>
        <v>1092.556928</v>
      </c>
      <c r="X116" s="3">
        <f>1455.3+(276.7-734.1)+(-1.484406+(-0.282234--0.748782))+0-0-0</f>
        <v>996.88214199999982</v>
      </c>
      <c r="Y116" s="3">
        <f>1439.9+(228-735.9)+(0.734349+(0.11628-0.375309))+0-0-0</f>
        <v>932.47532000000012</v>
      </c>
      <c r="Z116" s="3">
        <f>1471.2+(274.4-755.4)+(1.500624+(0.279888-0.770508))+0-0-0</f>
        <v>991.21000400000003</v>
      </c>
      <c r="AA116" s="3">
        <f>1495.9+(275.7-637.1)+(-2.288727+(-0.421821--0.974763))+0-0-0</f>
        <v>1132.7642149999999</v>
      </c>
      <c r="AB116" s="3">
        <f>1500.4+(297.2-613.3)+(-0.765204+(-0.151572--0.312783))+0-0-0</f>
        <v>1183.6960070000002</v>
      </c>
      <c r="AC116" s="3">
        <f>1505.6+(298.1-629.5)+(-0.767856+(-0.152031--0.321045))+0-0-0</f>
        <v>1173.6011579999997</v>
      </c>
      <c r="AD116">
        <f t="shared" si="1"/>
        <v>24521.799766999997</v>
      </c>
      <c r="AE116" s="3">
        <f>1483+(279.7-708.2)+(0+(0-0))+0-0-0</f>
        <v>1054.5</v>
      </c>
    </row>
    <row r="117" spans="1:31" s="2" customFormat="1" x14ac:dyDescent="0.25">
      <c r="A117">
        <v>89</v>
      </c>
      <c r="B117">
        <v>4</v>
      </c>
      <c r="C117">
        <v>24</v>
      </c>
      <c r="D117">
        <v>6</v>
      </c>
      <c r="E117">
        <v>1</v>
      </c>
      <c r="F117" s="3">
        <f>1478.7+(291.5-651.8)+(-0.754137+(-0.148665--0.332418))+0-0-0</f>
        <v>1117.829616</v>
      </c>
      <c r="G117" s="3">
        <f>1464.8+(316.3-730)+(-0.747048+(-0.161313--0.3723))+0-0-0</f>
        <v>1050.5639389999999</v>
      </c>
      <c r="H117" s="3">
        <f>1479.1+(312.5-800.4)+(3.017364+(0.6375-1.632816))+0-0-0</f>
        <v>993.22204799999997</v>
      </c>
      <c r="I117" s="3">
        <f>1462.3+(246.5-771.6)+(-1.491546+(-0.25143--0.787032))+0-0-0</f>
        <v>936.24405599999989</v>
      </c>
      <c r="J117" s="3">
        <f>1461.8+(193.3-768)+(-0.745518+(-0.098583--0.39168))+0-0-0</f>
        <v>886.64757899999995</v>
      </c>
      <c r="K117" s="3">
        <f>1460.5+(189.2-816.9)+(-1.48971+(-0.192984--0.833238))+0-0-0</f>
        <v>831.95054399999992</v>
      </c>
      <c r="L117" s="3">
        <f>1461.3+(169.3-870.1)+(-1.490526+(-0.172686--0.887502))+0-0-0</f>
        <v>759.72429</v>
      </c>
      <c r="M117" s="3">
        <f>1468.9+(161.3-846.8)+(-0.749139+(-0.082263--0.431868))+0-0-0</f>
        <v>783.00046600000007</v>
      </c>
      <c r="N117" s="3">
        <f>1468.1+(218.6-846.5)+(0.748731+(0.111486-0.431715))+0-0-0</f>
        <v>840.62850199999991</v>
      </c>
      <c r="O117" s="3">
        <f>1470.1+(254.9-852)+(3.748755+(0.649995-2.1726))+0-0-0</f>
        <v>875.22614999999985</v>
      </c>
      <c r="P117" s="3">
        <f>1477.4+(277.4-888.2)+(0.753474+(0.141474-0.452982))+37.5-0-0</f>
        <v>904.541966</v>
      </c>
      <c r="Q117" s="3">
        <f>1471.6+(304.1-890.1)+(0.750516+(0.155091-0.453951))+60-0-0</f>
        <v>946.05165599999987</v>
      </c>
      <c r="R117" s="3">
        <f>1466.5+(310.7-872.3)+(-0.747915+(-0.158457--0.444873))+60-0-0</f>
        <v>964.43850100000009</v>
      </c>
      <c r="S117" s="3">
        <f>1473.1+(324.7-858.3)+(-1.502562+(-0.331194--0.875466))+60-0-0</f>
        <v>998.54170999999997</v>
      </c>
      <c r="T117" s="3">
        <f>1473.9+(313.4-827.9)+(-0.751689+(-0.159834--0.422229))+60-0-0</f>
        <v>1018.9107060000001</v>
      </c>
      <c r="U117" s="3">
        <f>1474.6+(304.8-846.3)+(-0.752046+(-0.155448--0.431613))+60-0-0</f>
        <v>992.62411899999995</v>
      </c>
      <c r="V117" s="3">
        <f>1488.1+(295-884)+(0+(0-0))+50-0-0</f>
        <v>949.09999999999991</v>
      </c>
      <c r="W117" s="3">
        <f>1497.2+(287.9-929.1)+(-1.527144+(-0.293658--0.947682))+0-0-0</f>
        <v>855.12688000000003</v>
      </c>
      <c r="X117" s="3">
        <f>1498.3+(271.8-952.8)+(-3.820665+(-0.69309--2.42964))+0-0-0</f>
        <v>815.21588499999996</v>
      </c>
      <c r="Y117" s="3">
        <f>1511.6+(210.6-913.7)+(-0.770916+(-0.107406--0.465987))+0-0-0</f>
        <v>808.0876649999999</v>
      </c>
      <c r="Z117" s="3">
        <f>1535+(268.2-919)+(-1.5657+(-0.273564--0.93738))+0-0-0</f>
        <v>883.29811600000005</v>
      </c>
      <c r="AA117" s="3">
        <f>1547.1+(273.1-844.6)+(-2.367063+(-0.417843--1.292238))+0-0-0</f>
        <v>974.10733199999993</v>
      </c>
      <c r="AB117" s="3">
        <f>1549.2+(266.7-868.5)+(-0.790092+(-0.136017--0.442935))+0-0-0</f>
        <v>946.91682600000013</v>
      </c>
      <c r="AC117" s="3">
        <f>1545.8+(261.2-904.9)+(-2.365074+(-0.399636--1.384497))+0-0-0</f>
        <v>900.71978699999988</v>
      </c>
      <c r="AD117">
        <f t="shared" si="1"/>
        <v>22032.718339000003</v>
      </c>
      <c r="AE117" s="3">
        <f>1535+(275.6-891.1)+(0+(0-0))+0-0-0</f>
        <v>919.5</v>
      </c>
    </row>
    <row r="118" spans="1:31" s="2" customFormat="1" x14ac:dyDescent="0.25">
      <c r="A118">
        <v>89</v>
      </c>
      <c r="B118">
        <v>4</v>
      </c>
      <c r="C118">
        <v>25</v>
      </c>
      <c r="D118">
        <v>7</v>
      </c>
      <c r="E118">
        <v>1</v>
      </c>
      <c r="F118" s="3">
        <f>1507.8+(265.5-913.9)+(2.306934+(0.406215-1.398267))+0-0-0</f>
        <v>860.71488199999999</v>
      </c>
      <c r="G118" s="3">
        <f>1481+(271.8-943)+(-0.75531+(-0.138618--0.48093))+0-0-0</f>
        <v>809.38700199999994</v>
      </c>
      <c r="H118" s="3">
        <f>1450.4+(285.8-970.4)+(0.739704+(0.145758-0.494904))+0-0-0</f>
        <v>766.19055800000024</v>
      </c>
      <c r="I118" s="3">
        <f>1444.4+(267.6-989.7)+(0.736644+(0.136476-0.504747))+0-0-0</f>
        <v>722.66837300000009</v>
      </c>
      <c r="J118" s="3">
        <f>1420.9+(249.6-984.3)+(-2.173977+(-0.381888--1.505979))+0-0-0</f>
        <v>685.15011400000014</v>
      </c>
      <c r="K118" s="3">
        <f>1413.3+(209.9-992)+(-4.324698+(-0.642294--3.03552))+0-0-0</f>
        <v>629.26852799999995</v>
      </c>
      <c r="L118" s="3">
        <f>1417.4+(175.8-1044.4)+(-3.61437+(-0.44829--2.66322))+0-0-0</f>
        <v>547.40055999999993</v>
      </c>
      <c r="M118" s="3">
        <f>1431.5+(169.8-1063.8)+(0+(0-0))+0-0-0</f>
        <v>537.5</v>
      </c>
      <c r="N118" s="3">
        <f>1423.8+(171.2-1040)+(-1.452276+(-0.174624--1.0608))+0-0-0</f>
        <v>554.43389999999999</v>
      </c>
      <c r="O118" s="3">
        <f>1410.3+(212.2-1036.7)+(-1.438506+(-0.216444--1.057434))+0-0-0</f>
        <v>585.20248399999991</v>
      </c>
      <c r="P118" s="3">
        <f>1409.9+(210.8-981.5)+(-0.719049+(-0.107508--0.500565))+0-0-0</f>
        <v>638.874008</v>
      </c>
      <c r="Q118" s="3">
        <f>1402.7+(239.6-939.5)+(-1.430754+(-0.244392--0.95829))+0-0-0</f>
        <v>702.08314400000006</v>
      </c>
      <c r="R118" s="3">
        <f>1323.9+(264.1-860.1)+(-0.675189+(-0.134691--0.438651))+30-0-0</f>
        <v>757.52877100000012</v>
      </c>
      <c r="S118" s="3">
        <f>1395.1+(266.5-910.2)+(-0.711501+(-0.135915--0.464202))+30-0-0</f>
        <v>781.01678599999991</v>
      </c>
      <c r="T118" s="3">
        <f>1402.5+(239-902)+(1.43055+(0.24378-0.92004))+30-0-0</f>
        <v>770.25428999999997</v>
      </c>
      <c r="U118" s="3">
        <f>1383.9+(195.2-885.2)+(-1.411578+(-0.199104--0.902904))+30-0-0</f>
        <v>723.19222200000013</v>
      </c>
      <c r="V118" s="3">
        <f>1402+(188.3-932.6)+(1.43004+(0.192066-0.951252))+22.5-0-0</f>
        <v>680.87085400000001</v>
      </c>
      <c r="W118" s="3">
        <f>1404.4+(186.1-927)+(-1.432488+(-0.189822--0.94554))+0-0-0</f>
        <v>662.82323000000008</v>
      </c>
      <c r="X118" s="3">
        <f>1442.1+(149.3-951.1)+(-5.148297+(-0.533001--3.395427))+0-0-0</f>
        <v>638.01412899999991</v>
      </c>
      <c r="Y118" s="3">
        <f>1485.7+(114.8-961.9)+(1.515414+(0.117096-0.981138))+0-0-0</f>
        <v>639.25137200000006</v>
      </c>
      <c r="Z118" s="3">
        <f>1491.7+(171.9-955.6)+(-2.282301+(-0.263007--1.462068))+0-0-0</f>
        <v>706.91675999999995</v>
      </c>
      <c r="AA118" s="3">
        <f>1515+(203.8-922.9)+(-1.5453+(-0.207876--0.941358))+0-0-0</f>
        <v>795.08818200000007</v>
      </c>
      <c r="AB118" s="3">
        <f>1514+(153.8-867.7)+(0+(0-0))+0-0-0</f>
        <v>800.09999999999991</v>
      </c>
      <c r="AC118" s="3">
        <f>1502.7+(160.9-883.7)+(-1.532754+(-0.164118--0.901374))+0-0-0</f>
        <v>779.10450200000002</v>
      </c>
      <c r="AD118">
        <f t="shared" si="1"/>
        <v>16773.034651000002</v>
      </c>
      <c r="AE118" s="3">
        <f>1504+(198.2-956.7)+(0+(0-0))+0-0-0</f>
        <v>745.5</v>
      </c>
    </row>
    <row r="119" spans="1:31" s="2" customFormat="1" x14ac:dyDescent="0.25">
      <c r="A119">
        <v>89</v>
      </c>
      <c r="B119">
        <v>4</v>
      </c>
      <c r="C119">
        <v>26</v>
      </c>
      <c r="D119">
        <v>1</v>
      </c>
      <c r="E119">
        <v>1</v>
      </c>
      <c r="F119" s="3">
        <f>1465.2+(162.6-888)+(-2.241756+(-0.248778--1.35864))+0-0-0</f>
        <v>738.66810600000008</v>
      </c>
      <c r="G119" s="3">
        <f>1457.4+(116.4-875.7)+(-2.229822+(-0.178092--1.339821))+0-0-0</f>
        <v>697.03190700000005</v>
      </c>
      <c r="H119" s="3">
        <f>1464.2+(130-936.2)+(-0.746742+(-0.0663--0.477462))+0-0-0</f>
        <v>657.66441999999995</v>
      </c>
      <c r="I119" s="3">
        <f>1440.3+(129.7-945.4)+(-4.407318+(-0.396882--2.892924))+0-0-0</f>
        <v>622.68872399999987</v>
      </c>
      <c r="J119" s="3">
        <f>1301.6+(151.1-844.1)+(-1.327632+(-0.154122--0.860982))+0-0-0</f>
        <v>607.97922799999992</v>
      </c>
      <c r="K119" s="3">
        <f>1175.2+(152.5-756.9)+(-2.397408+(-0.3111--1.544076))+0-0-0</f>
        <v>569.63556800000003</v>
      </c>
      <c r="L119" s="3">
        <f>1172.6+(135.5-771.3)+(-2.99013+(-0.345525--1.966815))+0-0-0</f>
        <v>535.43115999999998</v>
      </c>
      <c r="M119" s="3">
        <f>1186.6+(186.1-796.4)+(0.605166+(0.094911-0.406164))+0-0-0</f>
        <v>576.59391299999993</v>
      </c>
      <c r="N119" s="3">
        <f>1376.2+(160.9-925.6)+(0+(0-0))+0-0-0</f>
        <v>611.5</v>
      </c>
      <c r="O119" s="3">
        <f>1450.3+(176.6-965.2)+(0.739653+(0.090066-0.492252))+0-0-0</f>
        <v>662.03746699999988</v>
      </c>
      <c r="P119" s="3">
        <f>1443.1+(250.3-1048.9)+(0.735981+(0.127653-0.534939))+65-0-0</f>
        <v>709.82869499999981</v>
      </c>
      <c r="Q119" s="3">
        <f>1420.5+(252-975.6)+(0+(0-0))+65-0-0</f>
        <v>761.9</v>
      </c>
      <c r="R119" s="3">
        <f>1354.4+(266.8-902.5)+(0+(0-0))+65-0-0</f>
        <v>783.7</v>
      </c>
      <c r="S119" s="3">
        <f>1375.6+(294.3-917.5)+(0+(0-0))+65-0-0</f>
        <v>817.39999999999986</v>
      </c>
      <c r="T119" s="3">
        <f>1379.3+(307.7-936)+(0.703443+(0.156927-0.47736))+65-0-0</f>
        <v>816.38301000000001</v>
      </c>
      <c r="U119" s="3">
        <f>1394.1+(312.5-971.9)+(1.421982+(0.31875-0.991338))+65-0-0</f>
        <v>800.44939399999998</v>
      </c>
      <c r="V119" s="3">
        <f>1383.1+(307.4-979.7)+(-0.705381+(-0.156774--0.499647))+65-0-0</f>
        <v>775.43749199999979</v>
      </c>
      <c r="W119" s="3">
        <f>1389.2+(293.1-934.5)+(0+(0-0))+0-0-0</f>
        <v>747.80000000000007</v>
      </c>
      <c r="X119" s="3">
        <f>1386.5+(253.4-909)+(-2.121345+(-0.387702--1.39077))+0-0-0</f>
        <v>729.78172299999994</v>
      </c>
      <c r="Y119" s="3">
        <f>1400.9+(214-893.4)+(0+(0-0))+0-0-0</f>
        <v>721.50000000000011</v>
      </c>
      <c r="Z119" s="3">
        <f>1416.5+(193-816.2)+(0+(0-0))+0-0-0</f>
        <v>793.3</v>
      </c>
      <c r="AA119" s="3">
        <f>1439.1+(264.8-788.7)+(-2.201823+(-0.405144--1.206711))+0-0-0</f>
        <v>913.79974399999981</v>
      </c>
      <c r="AB119" s="3">
        <f>1439.5+(257.7-782.2)+(-2.93658+(-0.525708--1.595688))+0-0-0</f>
        <v>913.13340000000005</v>
      </c>
      <c r="AC119" s="3">
        <f>1419.7+(264.8-800)+(-2.896188+(-0.540192--1.632))+0-0-0</f>
        <v>882.69561999999996</v>
      </c>
      <c r="AD119">
        <f t="shared" si="1"/>
        <v>17446.339570999993</v>
      </c>
      <c r="AE119" s="3">
        <f>1437+(265.3-825.2)+(0+(0-0))+0-0-0</f>
        <v>877.09999999999991</v>
      </c>
    </row>
    <row r="120" spans="1:31" s="2" customFormat="1" x14ac:dyDescent="0.25">
      <c r="A120">
        <v>89</v>
      </c>
      <c r="B120">
        <v>4</v>
      </c>
      <c r="C120">
        <v>27</v>
      </c>
      <c r="D120">
        <v>2</v>
      </c>
      <c r="E120">
        <v>1</v>
      </c>
      <c r="F120" s="3">
        <f>1415.4+(251.5-834.6)+(-2.887416+(-0.51306--1.702584))+0-0-0</f>
        <v>830.60210800000004</v>
      </c>
      <c r="G120" s="3">
        <f>1411.8+(197.7-841.8)+(-0.720018+(-0.100827--0.429318))+0-0-0</f>
        <v>767.30847300000005</v>
      </c>
      <c r="H120" s="3">
        <f>1411.3+(177-870.2)+(0+(0-0))+0-0-0</f>
        <v>718.09999999999991</v>
      </c>
      <c r="I120" s="3">
        <f>1411.3+(172.4-903.4)+(-2.159289+(-0.263772--1.382202))+0-0-0</f>
        <v>679.259141</v>
      </c>
      <c r="J120" s="3">
        <f>1235.4+(185.4-768.7)+(-1.260108+(-0.189108--0.784074))+0-0-0</f>
        <v>651.43485800000008</v>
      </c>
      <c r="K120" s="3">
        <f>1184+(187.1-754)+(-3.0192+(-0.477105--1.9227))+0-0-0</f>
        <v>615.52639499999998</v>
      </c>
      <c r="L120" s="3">
        <f>1182.8+(178.9-797)+(-2.412912+(-0.364956--1.62588))+0-0-0</f>
        <v>563.54801199999997</v>
      </c>
      <c r="M120" s="3">
        <f>1181.1+(208.6-803.9)+(-0.602361+(-0.106386--0.409989))+0-0-0</f>
        <v>585.50124199999993</v>
      </c>
      <c r="N120" s="3">
        <f>1293+(195.3-863.1)+(-1.31886+(-0.199206--0.880362))+0-0-0</f>
        <v>624.56229600000006</v>
      </c>
      <c r="O120" s="3">
        <f>1368.3+(183.1-886.6)+(0.697833+(0.093381-0.452166))+0-0-0</f>
        <v>665.139048</v>
      </c>
      <c r="P120" s="3">
        <f>1368.2+(243.1-915.4)+(0.697782+(0.123981-0.466854))+0-0-0</f>
        <v>696.25490900000011</v>
      </c>
      <c r="Q120" s="3">
        <f>1373+(260-928.8)+(1.40046+(0.2652-0.947376))+0-0-0</f>
        <v>704.91828400000009</v>
      </c>
      <c r="R120" s="3">
        <f>1369.2+(258-921.8)+(0.698292+(0.13158-0.470118))+0-0-0</f>
        <v>705.75975400000004</v>
      </c>
      <c r="S120" s="3">
        <f>1367.7+(264.3-935.8)+(0.697527+(0.134793-0.477258))+0-0-0</f>
        <v>696.55506200000002</v>
      </c>
      <c r="T120" s="3">
        <f>1366.2+(289.8-976.9)+(1.393524+(0.295596-0.996438))+0-0-0</f>
        <v>679.79268200000013</v>
      </c>
      <c r="U120" s="3">
        <f>1371.1+(307.4-1013.4)+(1.398522+(0.313548-1.033668))+0-0-0</f>
        <v>665.77840199999991</v>
      </c>
      <c r="V120" s="3">
        <f>1371+(308.8-1009.4)+(0.69921+(0.157488-0.514794))+0-0-0</f>
        <v>670.74190400000009</v>
      </c>
      <c r="W120" s="3">
        <f>1363.3+(295.5-975.8)+(0+(0-0))+0-0-0</f>
        <v>683</v>
      </c>
      <c r="X120" s="3">
        <f>1355+(268.3-943.1)+(-2.07315+(-0.410499--1.442943))+0-0-0</f>
        <v>679.15929400000005</v>
      </c>
      <c r="Y120" s="3">
        <f>1358.1+(179.9-870.7)+(-0.692631+(-0.091749--0.444057))+0-0-0</f>
        <v>666.95967699999983</v>
      </c>
      <c r="Z120" s="3">
        <f>1393.9+(229.9-887.6)+(0.710889+(0.117249-0.452676))+0-0-0</f>
        <v>736.57546200000002</v>
      </c>
      <c r="AA120" s="3">
        <f>1452.8+(240.2-844.1)+(0+(0-0))+0-0-0</f>
        <v>848.89999999999986</v>
      </c>
      <c r="AB120" s="3">
        <f>1416.5+(231.5-801.7)+(-2.88966+(-0.47226--1.635468))+0-0-0</f>
        <v>844.57354799999996</v>
      </c>
      <c r="AC120" s="3">
        <f>1384.8+(257.2-836.5)+(-1.412496+(-0.262344--0.85323))+0-0-0</f>
        <v>804.67839000000004</v>
      </c>
      <c r="AD120">
        <f t="shared" si="1"/>
        <v>16784.628940999999</v>
      </c>
      <c r="AE120" s="3">
        <f>1448+(233.1-877.7)+(0+(0-0))+0-0-0</f>
        <v>803.4</v>
      </c>
    </row>
    <row r="121" spans="1:31" s="2" customFormat="1" x14ac:dyDescent="0.25">
      <c r="A121">
        <v>89</v>
      </c>
      <c r="B121">
        <v>4</v>
      </c>
      <c r="C121">
        <v>28</v>
      </c>
      <c r="D121">
        <v>3</v>
      </c>
      <c r="E121">
        <v>1</v>
      </c>
      <c r="F121" s="3">
        <f>1327.7+(282.3-855.3)+(-2.031381+(-0.431919--1.308609))+0-0-0</f>
        <v>753.54530900000009</v>
      </c>
      <c r="G121" s="3">
        <f>1266.9+(294.2-870)+(-1.292238+(-0.300084--0.8874))+0-0-0</f>
        <v>690.39507800000013</v>
      </c>
      <c r="H121" s="3">
        <f>1137.4+(262.2-762.2)+(-2.320296+(-0.534888--1.554888))+0-0-0</f>
        <v>636.09970400000009</v>
      </c>
      <c r="I121" s="3">
        <f>1138.7+(219-744.1)+(-1.742211+(-0.33507--1.138473))+0-0-0</f>
        <v>612.66119200000003</v>
      </c>
      <c r="J121" s="3">
        <f>1140+(176.9-725.9)+(-1.1628+(-0.180438--0.740418))+0-0-0</f>
        <v>590.39718000000005</v>
      </c>
      <c r="K121" s="3">
        <f>1134.8+(156.5-723)+(-2.314992+(-0.31926--1.47492))+0-0-0</f>
        <v>567.14066800000001</v>
      </c>
      <c r="L121" s="3">
        <f>1135.7+(158.7-756.6)+(-2.316828+(-0.323748--1.543464))+0-0-0</f>
        <v>536.70288799999992</v>
      </c>
      <c r="M121" s="3">
        <f>1204.2+(154-798.2)+(-1.842426+(-0.23562--1.221246))+0-0-0</f>
        <v>559.14319999999998</v>
      </c>
      <c r="N121" s="3">
        <f>1349+(193.5-934)+(0.68799+(0.098685-0.47634))+0-0-0</f>
        <v>608.81033500000001</v>
      </c>
      <c r="O121" s="3">
        <f>1345+(249.4-942.2)+(0.68595+(0.127194-0.480522))+0-0-0</f>
        <v>652.53262199999995</v>
      </c>
      <c r="P121" s="3">
        <f>1339+(251-901.8)+(0+(0-0))+0-0-0</f>
        <v>688.2</v>
      </c>
      <c r="Q121" s="3">
        <f>1336.4+(248.1-871.3)+(0.681564+(0.126531-0.444363))+0-0-0</f>
        <v>713.56373200000019</v>
      </c>
      <c r="R121" s="3">
        <f>1367.9+(269.1-886.6)+(-0.697629+(-0.137241--0.452166))+0-0-0</f>
        <v>750.0172960000001</v>
      </c>
      <c r="S121" s="3">
        <f>1410.4+(272.2-909.8)+(-0.719304+(-0.138822--0.463998))+0-0-0</f>
        <v>772.40587200000016</v>
      </c>
      <c r="T121" s="3">
        <f>1404.6+(276-902.6)+(1.432692+(0.28152-0.920652))+0-0-0</f>
        <v>778.79355999999984</v>
      </c>
      <c r="U121" s="3">
        <f>1404.5+(270-897.1)+(0.716295+(0.1377-0.457521))+0-0-0</f>
        <v>777.79647399999999</v>
      </c>
      <c r="V121" s="3">
        <f>1396.6+(265.5-877.7)+(-1.424532+(-0.27081--0.895254))+0-0-0</f>
        <v>783.5999119999999</v>
      </c>
      <c r="W121" s="3">
        <f>1395.6+(257.3-871)+(-2.847024+(-0.524892--1.77684))+0-0-0</f>
        <v>780.30492399999991</v>
      </c>
      <c r="X121" s="3">
        <f>1398.8+(258.5-896.7)+(-2.853552+(-0.52734--1.829268))+0-0-0</f>
        <v>759.04837599999996</v>
      </c>
      <c r="Y121" s="3">
        <f>1397.1+(244.9-908.9)+(0+(0-0))+0-0-0</f>
        <v>733.09999999999991</v>
      </c>
      <c r="Z121" s="3">
        <f>1395.9+(258.6-862.2)+(0.711909+(0.131886-0.439722))+0-0-0</f>
        <v>792.70407300000011</v>
      </c>
      <c r="AA121" s="3">
        <f>1445.9+(250.3-764.6)+(-1.474818+(-0.255306--0.779892))+0-0-0</f>
        <v>930.64976800000011</v>
      </c>
      <c r="AB121" s="3">
        <f>1453.6+(220.5-735.6)+(-0.741336+(-0.112455--0.375156))+0-0-0</f>
        <v>938.02136499999983</v>
      </c>
      <c r="AC121" s="3">
        <f>1451.9+(201.4-757)+(0+(0-0))+0-0-0</f>
        <v>896.30000000000007</v>
      </c>
      <c r="AD121">
        <f t="shared" si="1"/>
        <v>17301.933528000001</v>
      </c>
      <c r="AE121" s="3">
        <f>1445+(244.7-791.3)+(0+(0-0))+0-0-0</f>
        <v>898.40000000000009</v>
      </c>
    </row>
    <row r="122" spans="1:31" s="2" customFormat="1" x14ac:dyDescent="0.25">
      <c r="A122">
        <v>89</v>
      </c>
      <c r="B122">
        <v>4</v>
      </c>
      <c r="C122">
        <v>29</v>
      </c>
      <c r="D122">
        <v>4</v>
      </c>
      <c r="E122">
        <v>1</v>
      </c>
      <c r="F122" s="3">
        <f>1448.8+(216.7-828.1)+(-2.955552+(-0.442068--1.689324))+0-0-0</f>
        <v>835.69170399999985</v>
      </c>
      <c r="G122" s="3">
        <f>1444+(219.2-899.9)+(-4.41864+(-0.670752--2.753694))+0-0-0</f>
        <v>760.96430199999998</v>
      </c>
      <c r="H122" s="3">
        <f>1446.2+(184.2-921.7)+(-2.212686+(-0.281826--1.410201))+0-0-0</f>
        <v>707.61568900000009</v>
      </c>
      <c r="I122" s="3">
        <f>1398.5+(182.7-914.4)+(-2.139705+(-0.279531--1.399032))+0-0-0</f>
        <v>665.77979599999992</v>
      </c>
      <c r="J122" s="3">
        <f>1387+(185.8-935.4)+(1.41474+(0.189516-0.954108))+0-0-0</f>
        <v>638.05014800000004</v>
      </c>
      <c r="K122" s="3">
        <f>1375.1+(179.4-945.1)+(-1.402602+(-0.182988--0.964002))+0-0-0</f>
        <v>608.77841199999989</v>
      </c>
      <c r="L122" s="3">
        <f>1362.3+(102.4-904.7)+(-4.168638+(-0.313344--2.768382))+0-0-0</f>
        <v>558.28639999999984</v>
      </c>
      <c r="M122" s="3">
        <f>1389.8+(124.4-931.1)+(0.708798+(0.063444-0.474861))+0-0-0</f>
        <v>583.39738099999988</v>
      </c>
      <c r="N122" s="3">
        <f>1383.9+(134-893.3)+(0.705789+(0.06834-0.455583))+0-0-0</f>
        <v>624.91854600000011</v>
      </c>
      <c r="O122" s="3">
        <f>1411.4+(201.6-930.7)+(1.439628+(0.205632-0.949314))+0-0-0</f>
        <v>682.99594600000012</v>
      </c>
      <c r="P122" s="3">
        <f>1432.3+(199-889.1)+(1.460946+(0.20298-0.906882))+0-0-0</f>
        <v>742.95704399999988</v>
      </c>
      <c r="Q122" s="3">
        <f>1438.9+(208.3-847.5)+(0.733839+(0.106233-0.432225))+0-0-0</f>
        <v>800.10784699999999</v>
      </c>
      <c r="R122" s="3">
        <f>1432.5+(214.3-798)+(2.191725+(0.327879-1.22094))+0-0-0</f>
        <v>850.09866399999999</v>
      </c>
      <c r="S122" s="3">
        <f>1428.8+(224.8-755.4)+(0.728688+(0.114648-0.385254))+0-0-0</f>
        <v>898.65808200000004</v>
      </c>
      <c r="T122" s="3">
        <f>1414.7+(236.3-721.9)+(2.885988+(0.482052-1.472676))+0-0-0</f>
        <v>930.99536400000011</v>
      </c>
      <c r="U122" s="3">
        <f>1409.3+(236-725.4)+(0.718743+(0.12036-0.369954))+0-0-0</f>
        <v>920.36914899999999</v>
      </c>
      <c r="V122" s="3">
        <f>1412.2+(229-730.9)+(-0.720222+(-0.11679--0.372759))+0-0-0</f>
        <v>909.83574700000008</v>
      </c>
      <c r="W122" s="3">
        <f>1418+(225.4-771)+(-2.16954+(-0.344862--1.17963))+0-0-0</f>
        <v>871.06522799999993</v>
      </c>
      <c r="X122" s="3">
        <f>1422.5+(260.3-861.7)+(-2.176425+(-0.398259--1.318401))+0-0-0</f>
        <v>819.84371699999986</v>
      </c>
      <c r="Y122" s="3">
        <f>1428+(257.7-918.6)+(-2.18484+(-0.394281--1.405458))+0-0-0</f>
        <v>765.92633699999988</v>
      </c>
      <c r="Z122" s="3">
        <f>1452.7+(264.4-871.9)+(0+(0-0))+0-0-0</f>
        <v>845.2</v>
      </c>
      <c r="AA122" s="3">
        <f>1478.3+(233-701.9)+(-0.753933+(-0.11883--0.357969))+0-0-0</f>
        <v>1008.8852059999999</v>
      </c>
      <c r="AB122" s="3">
        <f>1499.5+(243.5-708.4)+(-1.52949+(-0.24837--0.722568))+0-0-0</f>
        <v>1033.5447079999999</v>
      </c>
      <c r="AC122" s="3">
        <f>1493.9+(257.9-754)+(1.523778+(0.263058-0.76908))+0-0-0</f>
        <v>998.81775600000003</v>
      </c>
      <c r="AD122">
        <f t="shared" si="1"/>
        <v>19062.783173</v>
      </c>
      <c r="AE122" s="3">
        <f>1471+(226.4-725)+(0+(0-0))+0-0-0</f>
        <v>972.4</v>
      </c>
    </row>
    <row r="123" spans="1:31" s="2" customFormat="1" x14ac:dyDescent="0.25">
      <c r="A123">
        <v>89</v>
      </c>
      <c r="B123">
        <v>4</v>
      </c>
      <c r="C123">
        <v>30</v>
      </c>
      <c r="D123">
        <v>5</v>
      </c>
      <c r="E123">
        <v>1</v>
      </c>
      <c r="F123" s="3">
        <f>1462.3+(269.9-787.6)+(0+(0-0))+0-0-0</f>
        <v>944.59999999999991</v>
      </c>
      <c r="G123" s="3">
        <f>1254.4+(303.4-684.4)+(-0.639744+(-0.154734--0.349044))+0-0-0</f>
        <v>872.95456600000011</v>
      </c>
      <c r="H123" s="3">
        <f>1186.7+(260.7-646.9)+(0.605217+(0.132957-0.329919))+0-0-0</f>
        <v>800.90825500000005</v>
      </c>
      <c r="I123" s="3">
        <f>1180.4+(199.2-633.1)+(-0.602004+(-0.101592--0.322881))+0-0-0</f>
        <v>746.11928499999999</v>
      </c>
      <c r="J123" s="3">
        <f>1178.3+(181.2-648.7)+(-1.201866+(-0.184824--0.661674))+0-0-0</f>
        <v>710.07498399999997</v>
      </c>
      <c r="K123" s="3">
        <f>1180.8+(159.7-678.5)+(-0.602208+(-0.081447--0.346035))+0-0-0</f>
        <v>661.66237999999998</v>
      </c>
      <c r="L123" s="3">
        <f>1201+(154.3-756.1)+(-0.61251+(-0.078693--0.385611))+0-0-0</f>
        <v>598.894408</v>
      </c>
      <c r="M123" s="3">
        <f>1274.1+(129.6-825.1)+(-0.649791+(-0.066096--0.420801))+0-0-0</f>
        <v>578.30491399999994</v>
      </c>
      <c r="N123" s="3">
        <f>1462.5+(202.9-961)+(-0.745875+(-0.103479--0.49011))+0-0-0</f>
        <v>704.04075599999999</v>
      </c>
      <c r="O123" s="3">
        <f>1469.3+(219.4-913.6)+(0+(0-0))+0-0-0</f>
        <v>775.09999999999991</v>
      </c>
      <c r="P123" s="3">
        <f>1466+(244.8-880.7)+(-0.74766+(-0.124848--0.449157))+0-0-0</f>
        <v>829.67664899999988</v>
      </c>
      <c r="Q123" s="3">
        <f>1472.6+(240-820.4)+(0.751026+(0.1224-0.418404))+0-0-0</f>
        <v>892.65502199999992</v>
      </c>
      <c r="R123" s="3">
        <f>1464.5+(249.2-771.5)+(-0.746895+(-0.127092--0.393465))+7.5-0-0</f>
        <v>949.21947800000009</v>
      </c>
      <c r="S123" s="3">
        <f>1459.2+(260-707.8)+(-0.744192+(-0.1326--0.360978))+30-0-0</f>
        <v>1040.8841860000002</v>
      </c>
      <c r="T123" s="3">
        <f>1453.7+(260.3-672.3)+(2.224161+(0.398259-1.028619))+30-0-0</f>
        <v>1073.293801</v>
      </c>
      <c r="U123" s="3">
        <f>1449.7+(260.8-672.9)+(0+(0-0))+30-0-0</f>
        <v>1067.6000000000001</v>
      </c>
      <c r="V123" s="3">
        <f>1441.7+(259.1-686)+(-0.735267+(-0.132141--0.34986))+30-0-0</f>
        <v>1044.2824519999999</v>
      </c>
      <c r="W123" s="3">
        <f>1444.8+(252.9-730.3)+(-2.210544+(-0.386937--1.117359))+20-0-0</f>
        <v>985.91987799999993</v>
      </c>
      <c r="X123" s="3">
        <f>1444.9+(174-731.3)+(-2.210697+(-0.26622--1.118889))+0-0-0</f>
        <v>886.24197200000015</v>
      </c>
      <c r="Y123" s="3">
        <f>1453.1+(136.2-762.8)+(0.741081+(0.069462-0.389028))+0-0-0</f>
        <v>826.921515</v>
      </c>
      <c r="Z123" s="3">
        <f>1491.7+(212-829.5)+(1.521534+(0.21624-0.84609))+0-0-0</f>
        <v>875.0916840000001</v>
      </c>
      <c r="AA123" s="3">
        <f>1509.1+(209.9-693.6)+(-0.769641+(-0.107049--0.353736))+0-0-0</f>
        <v>1024.8770459999998</v>
      </c>
      <c r="AB123" s="3">
        <f>1519.6+(206.5-691.3)+(-0.774996+(-0.105315--0.352563))+0-0-0</f>
        <v>1034.272252</v>
      </c>
      <c r="AC123" s="3">
        <f>1513.9+(221.5-726.3)+(-1.544178+(-0.22593--0.740826))+0-0-0</f>
        <v>1008.0707180000002</v>
      </c>
      <c r="AD123">
        <f t="shared" si="1"/>
        <v>20931.666201</v>
      </c>
      <c r="AE123" s="3">
        <f>1492+(203.9-721.6)+(0+(0-0))+0-0-0</f>
        <v>974.3</v>
      </c>
    </row>
    <row r="124" spans="1:31" s="2" customFormat="1" x14ac:dyDescent="0.25">
      <c r="A124">
        <v>89</v>
      </c>
      <c r="B124">
        <v>4</v>
      </c>
      <c r="C124">
        <v>31</v>
      </c>
      <c r="D124">
        <v>6</v>
      </c>
      <c r="E124">
        <v>1</v>
      </c>
      <c r="F124" s="3">
        <f>1510.2+(239.2-782.9)+(-1.540404+(-0.243984--0.798558))+0-0-0</f>
        <v>965.51417000000004</v>
      </c>
      <c r="G124" s="3">
        <f>1510.1+(253.5-877.7)+(1.540302+(0.25857-0.895254))+0-0-0</f>
        <v>886.80361799999991</v>
      </c>
      <c r="H124" s="3">
        <f>1509.2+(231.7-906.3)+(-3.078768+(-0.472668--1.848852))+0-0-0</f>
        <v>832.89741600000013</v>
      </c>
      <c r="I124" s="3">
        <f>1508.7+(206.9-928.3)+(-3.847185+(-0.527595--2.367165))+0-0-0</f>
        <v>785.29238500000008</v>
      </c>
      <c r="J124" s="3">
        <f>1504.3+(166.5-931.1)+(0.767193+(0.084915-0.474861))+0-0-0</f>
        <v>740.07724699999994</v>
      </c>
      <c r="K124" s="3">
        <f>1505.9+(134.8-941.3)+(-3.840045+(-0.34374--2.400315))+0-0-0</f>
        <v>697.61653000000013</v>
      </c>
      <c r="L124" s="3">
        <f>1503.9+(137.8-1012.8)+(-1.533978+(-0.140556--1.033056))+0-0-0</f>
        <v>628.25852200000008</v>
      </c>
      <c r="M124" s="3">
        <f>1503.3+(126.6-989.1)+(-0.766683+(-0.064566--0.504441))+0-0-0</f>
        <v>640.47319199999993</v>
      </c>
      <c r="N124" s="3">
        <f>1505+(142.9-960.3)+(0.76755+(0.072879-0.489753))+0-0-0</f>
        <v>687.95067600000004</v>
      </c>
      <c r="O124" s="3">
        <f>1491.7+(177.2-903.2)+(0+(0-0))+0-0-0</f>
        <v>765.7</v>
      </c>
      <c r="P124" s="3">
        <f>1483.7+(196.7-860.2)+(0+(0-0))+0-0-0</f>
        <v>820.2</v>
      </c>
      <c r="Q124" s="3">
        <f>1474+(213.9-813.3)+(0+(0-0))+0-0-0</f>
        <v>874.6</v>
      </c>
      <c r="R124" s="3">
        <f>1458+(223.4-749.8)+(0.74358+(0.113934-0.382398))+0-0-0</f>
        <v>932.07511599999998</v>
      </c>
      <c r="S124" s="3">
        <f>1447.9+(238.5-675.6)+(0.738429+(0.121635-0.344556))+0-0-0</f>
        <v>1011.315508</v>
      </c>
      <c r="T124" s="3">
        <f>1434.9+(231.7-620.8)+(1.463598+(0.236334-0.633216))+0-0-0</f>
        <v>1046.8667160000002</v>
      </c>
      <c r="U124" s="3">
        <f>1435.4+(228.5-619.9)+(0+(0-0))+0-0-0</f>
        <v>1044</v>
      </c>
      <c r="V124" s="3">
        <f>1434.6+(228.5-643.9)+(0+(0-0))+0-0-0</f>
        <v>1019.1999999999999</v>
      </c>
      <c r="W124" s="3">
        <f>1440.9+(226.5-705.6)+(-1.469718+(-0.23103--0.719712))+0-0-0</f>
        <v>960.81896400000005</v>
      </c>
      <c r="X124" s="3">
        <f>1448.2+(188.3-746.4)+(-4.431492+(-0.576198--2.283984))+0-0-0</f>
        <v>887.37629400000014</v>
      </c>
      <c r="Y124" s="3">
        <f>1452.2+(156.6-781.1)+(-0.740622+(-0.079866--0.398361))+0-0-0</f>
        <v>827.277873</v>
      </c>
      <c r="Z124" s="3">
        <f>1480.5+(240.1-825.8)+(-3.02022+(-0.489804--1.684632))+0-0-0</f>
        <v>892.9746080000001</v>
      </c>
      <c r="AA124" s="3">
        <f>1506.6+(206.9-666.5)+(-3.073464+(-0.422076--1.35966))+0-0-0</f>
        <v>1044.86412</v>
      </c>
      <c r="AB124" s="3">
        <f>1509+(192.4-643.9)+(0+(0-0))+0-0-0</f>
        <v>1057.5</v>
      </c>
      <c r="AC124" s="3">
        <f>1509.3+(177.3-654.9)+(-1.539486+(-0.180846--0.667998))+0-0-0</f>
        <v>1030.6476660000001</v>
      </c>
      <c r="AD124">
        <f t="shared" si="1"/>
        <v>21080.300621000002</v>
      </c>
      <c r="AE124" s="3">
        <f>1485.5+(210.5-710.1)+(0+(0-0))+0-0-0</f>
        <v>985.9</v>
      </c>
    </row>
    <row r="125" spans="1:31" s="2" customFormat="1" x14ac:dyDescent="0.25">
      <c r="A125">
        <v>89</v>
      </c>
      <c r="B125">
        <v>5</v>
      </c>
      <c r="C125">
        <v>1</v>
      </c>
      <c r="D125">
        <v>7</v>
      </c>
      <c r="E125">
        <v>1</v>
      </c>
      <c r="F125" s="3">
        <f>1509.2+(179.7-705.1)+(-0.769692+(-0.091647--0.359601))+0-0-0</f>
        <v>983.29826199999991</v>
      </c>
      <c r="G125" s="3">
        <f>1493.7+(223.1-778.6)+(-4.570722+(-0.682686--2.382516))+0-0-0</f>
        <v>935.32910800000002</v>
      </c>
      <c r="H125" s="3">
        <f>1444.2+(255.5-826.8)+(-3.68271+(-0.651525--2.10834))+0-0-0</f>
        <v>870.67410500000005</v>
      </c>
      <c r="I125" s="3">
        <f>1424.9+(226.4-841.9)+(0.726699+(0.115464-0.429369))+0-0-0</f>
        <v>809.81279400000005</v>
      </c>
      <c r="J125" s="3">
        <f>1402.8+(138.3-777.2)+(-0.715428+(-0.070533--0.396372))+0-0-0</f>
        <v>763.51041099999986</v>
      </c>
      <c r="K125" s="3">
        <f>1397+(94.1-788.5)+(-1.42494+(-0.095982--0.80427))+0-0-0</f>
        <v>701.88334800000007</v>
      </c>
      <c r="L125" s="3">
        <f>1346.2+(103.3-843.2)+(-0.686562+(-0.052683--0.430032))+0-0-0</f>
        <v>605.99078699999995</v>
      </c>
      <c r="M125" s="3">
        <f>1272.6+(140.9-839.1)+(-0.649026+(-0.071859--0.427941))+0-0-0</f>
        <v>574.10705599999983</v>
      </c>
      <c r="N125" s="3">
        <f>1275+(136.4-813.7)+(0+(0-0))+0-0-0</f>
        <v>597.69999999999993</v>
      </c>
      <c r="O125" s="3">
        <f>1277.1+(163.2-790.3)+(0.651321+(0.083232-0.403053))+0-0-0</f>
        <v>650.33150000000001</v>
      </c>
      <c r="P125" s="3">
        <f>1271.2+(184.5-745.2)+(-1.296624+(-0.18819--0.760104))+0-0-0</f>
        <v>709.77529000000004</v>
      </c>
      <c r="Q125" s="3">
        <f>1278.4+(237.7-756.5)+(0.651984+(0.121227-0.385815))+0-0-0</f>
        <v>759.9873960000001</v>
      </c>
      <c r="R125" s="3">
        <f>1268.4+(268.3-729.5)+(-1.293768+(-0.273666--0.74409))+0-0-0</f>
        <v>806.37665600000003</v>
      </c>
      <c r="S125" s="3">
        <f>1351.1+(249.6-724.3)+(-0.689061+(-0.127296--0.369393))+0-0-0</f>
        <v>875.953036</v>
      </c>
      <c r="T125" s="3">
        <f>1417.9+(211.9-727.9)+(-1.446258+(-0.216138--0.742458))+0-0-0</f>
        <v>900.98006200000009</v>
      </c>
      <c r="U125" s="3">
        <f>1392.9+(225.7-727)+(0+(0-0))+0-0-0</f>
        <v>891.60000000000014</v>
      </c>
      <c r="V125" s="3">
        <f>1374.8+(215.3-723)+(0+(0-0))+0-0-0</f>
        <v>867.09999999999991</v>
      </c>
      <c r="W125" s="3">
        <f>1360.7+(135.9-683)+(-2.775828+(-0.277236--1.39332))+0-0-0</f>
        <v>811.94025599999998</v>
      </c>
      <c r="X125" s="3">
        <f>1364.7+(85.1-712.5)+(-1.391994+(-0.086802--0.72675))+0-0-0</f>
        <v>736.54795400000012</v>
      </c>
      <c r="Y125" s="3">
        <f>1385.6+(92.8-775.3)+(0+(0-0))+0-0-0</f>
        <v>703.09999999999991</v>
      </c>
      <c r="Z125" s="3">
        <f>1444.6+(184.9-859.6)+(-1.473492+(-0.188598--0.876792))+0-0-0</f>
        <v>769.11470199999985</v>
      </c>
      <c r="AA125" s="3">
        <f>1472.8+(218.9-782.4)+(0+(0-0))+0-0-0</f>
        <v>909.3</v>
      </c>
      <c r="AB125" s="3">
        <f>1488.7+(212.5-750.9)+(-1.518474+(-0.21675--0.765918))+0-0-0</f>
        <v>949.33069400000011</v>
      </c>
      <c r="AC125" s="3">
        <f>1456.2+(233.1-733.1)+(-0.742662+(-0.118881--0.373881))+0-0-0</f>
        <v>955.71233800000005</v>
      </c>
      <c r="AD125">
        <f t="shared" si="1"/>
        <v>19139.455755000003</v>
      </c>
      <c r="AE125" s="3">
        <f>1490+(213.7-809.5)+(0+(0-0))+0-0-0</f>
        <v>894.2</v>
      </c>
    </row>
    <row r="126" spans="1:31" s="2" customFormat="1" x14ac:dyDescent="0.25">
      <c r="A126">
        <v>89</v>
      </c>
      <c r="B126">
        <v>5</v>
      </c>
      <c r="C126">
        <v>2</v>
      </c>
      <c r="D126">
        <v>1</v>
      </c>
      <c r="E126">
        <v>1</v>
      </c>
      <c r="F126" s="3">
        <f>1317.9+(264.6-674.2)+(-0.672129+(-0.134946--0.343842))+0-0-0</f>
        <v>907.83676700000012</v>
      </c>
      <c r="G126" s="3">
        <f>1150.3+(309-583.6)+(0.586653+(0.15759-0.297636))+0-0-0</f>
        <v>876.1466069999999</v>
      </c>
      <c r="H126" s="3">
        <f>1168.9+(312.7-631.7)+(0.596139+(0.159477-0.322167))+0-0-0</f>
        <v>850.33344900000009</v>
      </c>
      <c r="I126" s="3">
        <f>1153.8+(288.9-657.3)+(-1.176876+(-0.294678--0.670446))+0-0-0</f>
        <v>784.59889199999998</v>
      </c>
      <c r="J126" s="3">
        <f>1153.3+(223.6-646.6)+(0+(0-0))+0-0-0</f>
        <v>730.3</v>
      </c>
      <c r="K126" s="3">
        <f>1152.2+(181.6-644.1)+(-1.175244+(-0.185232--0.656982))+0-0-0</f>
        <v>688.99650600000007</v>
      </c>
      <c r="L126" s="3">
        <f>1151.4+(133.1-662.8)+(0+(0-0))+0-0-0</f>
        <v>621.70000000000016</v>
      </c>
      <c r="M126" s="3">
        <f>1170.6+(158.5-667.5)+(1.194012+(0.16167-0.68085))+0-0-0</f>
        <v>662.27483199999995</v>
      </c>
      <c r="N126" s="3">
        <f>1370.5+(163-833.1)+(-1.39791+(-0.16626--0.849762))+0-0-0</f>
        <v>699.68559199999993</v>
      </c>
      <c r="O126" s="3">
        <f>1412.1+(186.5-841.1)+(0+(0-0))+0-0-0</f>
        <v>757.49999999999989</v>
      </c>
      <c r="P126" s="3">
        <f>1423.3+(237.4-818.1)+(0.725883+(0.121074-0.417231))+0-0-0</f>
        <v>843.02972599999987</v>
      </c>
      <c r="Q126" s="3">
        <f>1416.9+(235.1-797.7)+(0+(0-0))+37.5-0-0</f>
        <v>891.80000000000007</v>
      </c>
      <c r="R126" s="3">
        <f>1401.5+(267-775.1)+(0.714765+(0.13617-0.395301))+50-0-0</f>
        <v>943.85563400000001</v>
      </c>
      <c r="S126" s="3">
        <f>1393.8+(273.6-715.6)+(0.710838+(0.139536-0.364956))+50-0-0</f>
        <v>1002.2854179999999</v>
      </c>
      <c r="T126" s="3">
        <f>1393.9+(274.9-677.1)+(0.710889+(0.140199-0.345321))+50-0-0</f>
        <v>1042.2057669999999</v>
      </c>
      <c r="U126" s="3">
        <f>1390.8+(266.3-664.1)+(0.709308+(0.135813-0.338691))+50-0-0</f>
        <v>1043.5064299999999</v>
      </c>
      <c r="V126" s="3">
        <f>1373.7+(268.5-669.7)+(-2.802348+(-0.54774--1.366188))+50-0-0</f>
        <v>1020.5161000000001</v>
      </c>
      <c r="W126" s="3">
        <f>1376.8+(249.9-696.6)+(-1.404336+(-0.254898--0.710532))+29.2-0-0</f>
        <v>958.35129799999993</v>
      </c>
      <c r="X126" s="3">
        <f>1375.3+(235.6-740.8)+(-2.805612+(-0.480624--1.511232))+0-0-0</f>
        <v>868.32499600000006</v>
      </c>
      <c r="Y126" s="3">
        <f>1395.5+(180.8-767.2)+(-1.42341+(-0.184416--0.782544))+0-0-0</f>
        <v>808.27471799999989</v>
      </c>
      <c r="Z126" s="3">
        <f>1412.2+(222.2-761.4)+(-1.440444+(-0.226644--0.776628))+0-0-0</f>
        <v>872.10954000000004</v>
      </c>
      <c r="AA126" s="3">
        <f>1478+(195.6-655.3)+(-0.75378+(-0.099756--0.334203))+0-0-0</f>
        <v>1017.7806670000001</v>
      </c>
      <c r="AB126" s="3">
        <f>1486.2+(209.6-645)+(0+(0-0))+0-0-0</f>
        <v>1050.8000000000002</v>
      </c>
      <c r="AC126" s="3">
        <f>1467+(208.9-650)+(-0.74817+(-0.106539--0.3315))+0-0-0</f>
        <v>1025.3767910000001</v>
      </c>
      <c r="AD126">
        <f t="shared" si="1"/>
        <v>20967.589729999996</v>
      </c>
      <c r="AE126" s="3">
        <f>1467+(176.6-697.5)+(0+(0-0))+0-0-0</f>
        <v>946.1</v>
      </c>
    </row>
    <row r="127" spans="1:31" s="2" customFormat="1" x14ac:dyDescent="0.25">
      <c r="A127">
        <v>89</v>
      </c>
      <c r="B127">
        <v>5</v>
      </c>
      <c r="C127">
        <v>3</v>
      </c>
      <c r="D127">
        <v>2</v>
      </c>
      <c r="E127">
        <v>1</v>
      </c>
      <c r="F127" s="3">
        <f>1444.1+(215.6-679.5)+(-2.209473+(-0.329868--1.039635))+0-0-0</f>
        <v>978.70029399999999</v>
      </c>
      <c r="G127" s="3">
        <f>1250.9+(247.8-601.4)+(-2.551836+(-0.505512--1.226856))+0-0-0</f>
        <v>895.46950800000013</v>
      </c>
      <c r="H127" s="3">
        <f>1144+(283.3-595.4)+(-1.16688+(-0.288966--0.607308))+0-0-0</f>
        <v>831.05146200000013</v>
      </c>
      <c r="I127" s="3">
        <f>1149.8+(227.7-597.1)+(0+(0-0))+0-0-0</f>
        <v>780.39999999999986</v>
      </c>
      <c r="J127" s="3">
        <f>1149.9+(204.3-609.2)+(0+(0-0))+0-0-0</f>
        <v>745</v>
      </c>
      <c r="K127" s="3">
        <f>1141.3+(186.9-624.4)+(-1.746189+(-0.285957--0.955332))+0-0-0</f>
        <v>702.72318599999994</v>
      </c>
      <c r="L127" s="3">
        <f>1150.4+(133-629.4)+(0.586704+(0.06783-0.320994))+0-0-0</f>
        <v>654.33354000000008</v>
      </c>
      <c r="M127" s="3">
        <f>1216.8+(122.7-623.2)+(1.241136+(0.125154-0.635664))+0-0-0</f>
        <v>717.03062599999998</v>
      </c>
      <c r="N127" s="3">
        <f>1217.8+(122.7-623.2)+(1.242156+(0.125154-0.635664))+0-0-0</f>
        <v>718.03164599999991</v>
      </c>
      <c r="O127" s="3">
        <f>1427.7+(158.7-790.6)+(1.456254+(0.161874-0.806412))+0-0-0</f>
        <v>796.611716</v>
      </c>
      <c r="P127" s="3">
        <f>1422.9+(217.7-780.1)+(2.177037+(0.333081-1.193553))+0-0-0</f>
        <v>861.81656499999997</v>
      </c>
      <c r="Q127" s="3">
        <f>1423.6+(260.3-769.6)+(0+(0-0))+0-0-0</f>
        <v>914.3</v>
      </c>
      <c r="R127" s="3">
        <f>1420.4+(267-735.4)+(-1.448808+(-0.27234--0.750108))+0-0-0</f>
        <v>951.0289600000001</v>
      </c>
      <c r="S127" s="3">
        <f>1417+(276.5-678.3)+(-0.72267+(-0.141015--0.345933))+0-0-0</f>
        <v>1014.6822480000001</v>
      </c>
      <c r="T127" s="3">
        <f>1414.6+(283.7-630.7)+(0.721446+(0.144687-0.321657))+0-0-0</f>
        <v>1068.1444759999999</v>
      </c>
      <c r="U127" s="3">
        <f>1412.7+(266.6-616.9)+(1.440954+(0.271932-0.629238))+0-0-0</f>
        <v>1063.4836480000001</v>
      </c>
      <c r="V127" s="3">
        <f>1415.6+(262.5-634)+(-0.721956+(-0.133875--0.32334))+0-0-0</f>
        <v>1043.567509</v>
      </c>
      <c r="W127" s="3">
        <f>1419.2+(263.5-688.9)+(-3.61896+(-0.671925--1.756695))+0-0-0</f>
        <v>991.2658100000001</v>
      </c>
      <c r="X127" s="3">
        <f>1386+(199-691.3)+(-3.5343+(-0.50745--1.762815))+0-0-0</f>
        <v>891.421065</v>
      </c>
      <c r="Y127" s="3">
        <f>1384.9+(118.9-667.4)+(-1.412598+(-0.121278--0.680748))+0-0-0</f>
        <v>835.54687200000012</v>
      </c>
      <c r="Z127" s="3">
        <f>1448.1+(182.5-726.1)+(-2.215593+(-0.279225--1.110933))+0-0-0</f>
        <v>903.11611499999992</v>
      </c>
      <c r="AA127" s="3">
        <f>1485+(254.6-681.2)+(-1.5147+(-0.259692--0.694824))+0-0-0</f>
        <v>1057.320432</v>
      </c>
      <c r="AB127" s="3">
        <f>1496+(247.6-663.5)+(-0.76296+(-0.126276--0.338385))+0-0-0</f>
        <v>1079.5491489999999</v>
      </c>
      <c r="AC127" s="3">
        <f>1475.9+(243.1-668.5)+(0+(0-0))+0-0-0</f>
        <v>1050.5</v>
      </c>
      <c r="AD127">
        <f t="shared" si="1"/>
        <v>21545.094826999997</v>
      </c>
      <c r="AE127" s="3">
        <f>1492+(257.7-736)+(0+(0-0))+0-0-0</f>
        <v>1013.7</v>
      </c>
    </row>
    <row r="128" spans="1:31" s="2" customFormat="1" x14ac:dyDescent="0.25">
      <c r="A128">
        <v>89</v>
      </c>
      <c r="B128">
        <v>5</v>
      </c>
      <c r="C128">
        <v>4</v>
      </c>
      <c r="D128">
        <v>3</v>
      </c>
      <c r="E128">
        <v>1</v>
      </c>
      <c r="F128" s="3">
        <f>1420.6+(246.4-672)+(0.724506+(0.125664-0.34272))+0-0-0</f>
        <v>995.50744999999984</v>
      </c>
      <c r="G128" s="3">
        <f>1331.3+(257.4-676.7)+(0.678963+(0.131274-0.345117))+0-0-0</f>
        <v>912.46511999999984</v>
      </c>
      <c r="H128" s="3">
        <f>1115.2+(291.2-566.2)+(-0.568752+(-0.148512--0.288762))+0-0-0</f>
        <v>839.77149800000007</v>
      </c>
      <c r="I128" s="3">
        <f>1105+(259.9-580.9)+(-1.69065+(-0.397647--0.888777))+0-0-0</f>
        <v>782.80047999999999</v>
      </c>
      <c r="J128" s="3">
        <f>1107.7+(230.2-595)+(-1.694781+(-0.352206--0.91035))+0-0-0</f>
        <v>741.76336300000014</v>
      </c>
      <c r="K128" s="3">
        <f>1107.3+(190.7-604.5)+(-1.129446+(-0.194514--0.61659))+0-0-0</f>
        <v>692.79263000000003</v>
      </c>
      <c r="L128" s="3">
        <f>1106.8+(136.4-632.2)+(-1.693404+(-0.208692--0.967266))+0-0-0</f>
        <v>610.06516999999985</v>
      </c>
      <c r="M128" s="3">
        <f>1113.2+(150.8-625.8)+(0+(0-0))+0-0-0</f>
        <v>638.20000000000005</v>
      </c>
      <c r="N128" s="3">
        <f>1148.4+(176.3-626.5)+(0.585684+(0.089913-0.319515))+0-0-0</f>
        <v>698.55608200000006</v>
      </c>
      <c r="O128" s="3">
        <f>1392.4+(157.5-768.5)+(0+(0-0))+0-0-0</f>
        <v>781.40000000000009</v>
      </c>
      <c r="P128" s="3">
        <f>1387.9+(181-755)+(0+(0-0))+0-0-0</f>
        <v>813.90000000000009</v>
      </c>
      <c r="Q128" s="3">
        <f>1374+(234.5-721.4)+(0+(0-0))+0-0-0</f>
        <v>887.1</v>
      </c>
      <c r="R128" s="3">
        <f>1380+(243.5-689.7)+(0+(0-0))+0-0-0</f>
        <v>933.8</v>
      </c>
      <c r="S128" s="3">
        <f>1376.2+(244.9-621.3)+(0+(0-0))+0-0-0</f>
        <v>999.80000000000007</v>
      </c>
      <c r="T128" s="3">
        <f>1374.7+(249.1-575.3)+(0.701097+(0.127041-0.293403))+0-0-0</f>
        <v>1049.034735</v>
      </c>
      <c r="U128" s="3">
        <f>1374.1+(229.2-566.3)+(-0.700791+(-0.116892--0.288813))+0-0-0</f>
        <v>1036.4711299999999</v>
      </c>
      <c r="V128" s="3">
        <f>1372.2+(236.4-592.3)+(-1.399644+(-0.241128--0.604146))+0-0-0</f>
        <v>1015.2633740000001</v>
      </c>
      <c r="W128" s="3">
        <f>1373.1+(220.9-629.2)+(-1.400562+(-0.225318--0.641784))+0-0-0</f>
        <v>963.81590399999982</v>
      </c>
      <c r="X128" s="3">
        <f>1370.4+(186.6-665.1)+(-2.795616+(-0.380664--1.356804))+0-0-0</f>
        <v>890.08052400000008</v>
      </c>
      <c r="Y128" s="3">
        <f>1366.8+(89.3-629.4)+(-0.697068+(-0.045543--0.320994))+0-0-0</f>
        <v>826.27838299999996</v>
      </c>
      <c r="Z128" s="3">
        <f>1414.5+(126.4-652.6)+(-0.721395+(-0.064464--0.332826))+0-0-0</f>
        <v>887.84696699999995</v>
      </c>
      <c r="AA128" s="3">
        <f>1454.1+(238-676.6)+(-1.483182+(-0.24276--0.690132))+0-0-0</f>
        <v>1014.4641899999999</v>
      </c>
      <c r="AB128" s="3">
        <f>1468.2+(219.3-659.7)+(-0.748782+(-0.111843--0.336447))+0-0-0</f>
        <v>1027.2758220000001</v>
      </c>
      <c r="AC128" s="3">
        <f>1469.8+(214.4-672.2)+(0+(0-0))+0-0-0</f>
        <v>1011.9999999999999</v>
      </c>
      <c r="AD128">
        <f t="shared" si="1"/>
        <v>21050.452821999996</v>
      </c>
      <c r="AE128" s="3">
        <f>1449+(242-738.7)+(0+(0-0))+0-0-0</f>
        <v>952.3</v>
      </c>
    </row>
    <row r="129" spans="1:31" s="2" customFormat="1" x14ac:dyDescent="0.25">
      <c r="A129">
        <v>89</v>
      </c>
      <c r="B129">
        <v>5</v>
      </c>
      <c r="C129">
        <v>5</v>
      </c>
      <c r="D129">
        <v>4</v>
      </c>
      <c r="E129">
        <v>3</v>
      </c>
      <c r="F129" s="3">
        <f>1473.5+(197.7-702.7)+(-1.50297+(-0.201654--0.716754))+0-0-0</f>
        <v>967.51212999999996</v>
      </c>
      <c r="G129" s="3">
        <f>1430.9+(203-719.9)+(-3.648795+(-0.51765--1.835745))+0-0-0</f>
        <v>911.66930000000013</v>
      </c>
      <c r="H129" s="3">
        <f>1415.1+(219.3-783.1)+(-1.443402+(-0.223686--0.798762))+0-0-0</f>
        <v>850.43167399999993</v>
      </c>
      <c r="I129" s="3">
        <f>1423.1+(223.4-854.9)+(0+(0-0))+0-0-0</f>
        <v>791.59999999999991</v>
      </c>
      <c r="J129" s="3">
        <f>1432.3+(208.4-887.7)+(1.460946+(0.212568-0.905454))+0-0-0</f>
        <v>753.76805999999988</v>
      </c>
      <c r="K129" s="3">
        <f>1416.1+(177.9-899.7)+(-2.166633+(-0.272187--1.376541))+0-0-0</f>
        <v>693.23772099999985</v>
      </c>
      <c r="L129" s="3">
        <f>1182.3+(128-708.9)+(-1.808919+(-0.19584--1.084617))+0-0-0</f>
        <v>600.47985799999992</v>
      </c>
      <c r="M129" s="3">
        <f>1121.2+(143.5-680.5)+(1.143624+(0.14637-0.69411))+0-0-0</f>
        <v>584.795884</v>
      </c>
      <c r="N129" s="3">
        <f>1216.7+(124.5-716.8)+(-1.241034+(-0.12699--0.731136))+0-0-0</f>
        <v>623.76311200000009</v>
      </c>
      <c r="O129" s="3">
        <f>1403.8+(91.6-815.7)+(0.715938+(0.046716-0.416007))+0-0-0</f>
        <v>680.04664699999989</v>
      </c>
      <c r="P129" s="3">
        <f>1395.6+(134.5-781.8)+(2.135268+(0.205785-1.196154))+0-0-0</f>
        <v>749.44489899999996</v>
      </c>
      <c r="Q129" s="3">
        <f>1377.3+(196.7-755.3)+(0.702423+(0.100317-0.385203))+0-0-0</f>
        <v>819.11753700000008</v>
      </c>
      <c r="R129" s="3">
        <f>1368.3+(200.4-747.4)+(0+(0-0))+0-0-0</f>
        <v>821.3</v>
      </c>
      <c r="S129" s="3">
        <f>1357.1+(252.8-665.8)+(0.692121+(0.128928-0.339558))+0-0-0</f>
        <v>944.58149099999991</v>
      </c>
      <c r="T129" s="3">
        <f>1351.9+(277.4-641.5)+(0.689469+(0.141474-0.327165))+0-0-0</f>
        <v>988.30377800000008</v>
      </c>
      <c r="U129" s="3">
        <f>1340.7+(278.5-630.3)+(-1.367514+(-0.28407--0.642906))+0-0-0</f>
        <v>987.89132200000006</v>
      </c>
      <c r="V129" s="3">
        <f>1341.5+(264-630.9)+(-1.36833+(-0.26928--0.643518))+0-0-0</f>
        <v>973.605908</v>
      </c>
      <c r="W129" s="3">
        <f>1326.6+(257.2-654.4)+(-3.38283+(-0.65586--1.66872))+0-0-0</f>
        <v>927.0300299999999</v>
      </c>
      <c r="X129" s="3">
        <f>1329+(221.6-698.3)+(-3.38895+(-0.56508--1.780665))+0-0-0</f>
        <v>850.12663500000008</v>
      </c>
      <c r="Y129" s="3">
        <f>1345.7+(161.4-703.9)+(0+(0-0))+0-0-0</f>
        <v>803.2</v>
      </c>
      <c r="Z129" s="3">
        <f>1412.3+(200.2-738.6)+(0.720273+(0.102102-0.376686))+0-0-0</f>
        <v>874.34568899999988</v>
      </c>
      <c r="AA129" s="3">
        <f>1447.5+(245-672.3)+(0+(0-0))+0-0-0</f>
        <v>1020.2</v>
      </c>
      <c r="AB129" s="3">
        <f>1438.9+(256.1-656.9)+(-0.733839+(-0.130611--0.335019))+0-0-0</f>
        <v>1037.5705690000002</v>
      </c>
      <c r="AC129" s="3">
        <f>1437.5+(241.1-660.2)+(0+(0-0))+0-0-0</f>
        <v>1018.4</v>
      </c>
      <c r="AD129">
        <f t="shared" ref="AD129:AD192" si="2">SUM(F129:AC129)</f>
        <v>20272.422243999998</v>
      </c>
      <c r="AE129" s="3">
        <f>1435+(256.7-733)+(0+(0-0))+0-0-0</f>
        <v>958.7</v>
      </c>
    </row>
    <row r="130" spans="1:31" s="2" customFormat="1" x14ac:dyDescent="0.25">
      <c r="A130">
        <v>89</v>
      </c>
      <c r="B130">
        <v>5</v>
      </c>
      <c r="C130">
        <v>6</v>
      </c>
      <c r="D130">
        <v>5</v>
      </c>
      <c r="E130">
        <v>1</v>
      </c>
      <c r="F130" s="3">
        <f>1412.8+(231.6-673.9)+(0+(0-0))+0-0-0</f>
        <v>970.5</v>
      </c>
      <c r="G130" s="3">
        <f>1297.8+(254.2-652.2)+(-1.323756+(-0.259284--0.665244))+0-0-0</f>
        <v>898.882204</v>
      </c>
      <c r="H130" s="3">
        <f>1117.1+(295.2-594.7)+(0+(0-0))+0-0-0</f>
        <v>817.59999999999991</v>
      </c>
      <c r="I130" s="3">
        <f>1106+(268.1-610.7)+(0.56406+(0.136731-0.311457))+0-0-0</f>
        <v>763.78933399999994</v>
      </c>
      <c r="J130" s="3">
        <f>1105.3+(252.1-637.5)+(0+(0-0))+0-0-0</f>
        <v>719.9</v>
      </c>
      <c r="K130" s="3">
        <f>1107.7+(235.5-671.5)+(0+(0-0))+0-0-0</f>
        <v>671.7</v>
      </c>
      <c r="L130" s="3">
        <f>1107+(176.1-677.6)+(0+(0-0))+0-0-0</f>
        <v>605.5</v>
      </c>
      <c r="M130" s="3">
        <f>1111.6+(164-642)+(1.133832+(0.16728-0.65484))+0-0-0</f>
        <v>634.24627199999986</v>
      </c>
      <c r="N130" s="3">
        <f>1368.1+(141.1-797.5)+(0.697731+(0.071961-0.406725))+0-0-0</f>
        <v>712.06296699999996</v>
      </c>
      <c r="O130" s="3">
        <f>1414+(190.7-808.4)+(0.72114+(0.097257-0.412284))+0-0-0</f>
        <v>796.70611299999996</v>
      </c>
      <c r="P130" s="3">
        <f>1393.3+(204.3-746.4)+(-0.710583+(-0.104193--0.380664))+0-0-0</f>
        <v>850.76588800000002</v>
      </c>
      <c r="Q130" s="3">
        <f>1363.2+(218.2-728.6)+(0.695232+(0.111282-0.371586))+41.7-0-0</f>
        <v>894.93492800000001</v>
      </c>
      <c r="R130" s="3">
        <f>1376.2+(214.9-694.9)+(0.701862+(0.109599-0.354399))+50-0-0</f>
        <v>946.657062</v>
      </c>
      <c r="S130" s="3">
        <f>1387.6+(230.4-644.1)+(0.707676+(0.117504-0.328491))+50-0-0</f>
        <v>1024.3966889999997</v>
      </c>
      <c r="T130" s="3">
        <f>1370+(251.9-602.6)+(1.3974+(0.256938-0.614652))+50-0-0</f>
        <v>1070.3396859999998</v>
      </c>
      <c r="U130" s="3">
        <f>1366.7+(251.4-595.3)+(0.697017+(0.128214-0.303603))+50-0-0</f>
        <v>1073.3216280000001</v>
      </c>
      <c r="V130" s="3">
        <f>1371.3+(234.4-627.2)+(0+(0-0))+50-0-0</f>
        <v>1028.5</v>
      </c>
      <c r="W130" s="3">
        <f>1371.4+(229.5-640.5)+(-0.699414+(-0.117045--0.326655))+16.7-0-0</f>
        <v>976.61019600000009</v>
      </c>
      <c r="X130" s="3">
        <f>1377.9+(201.2-666.1)+(-1.405458+(-0.205224--0.679422))+0-0-0</f>
        <v>912.06874000000005</v>
      </c>
      <c r="Y130" s="3">
        <f>1386.7+(122.3-659.9)+(-0.707217+(-0.062373--0.336549))+0-0-0</f>
        <v>848.66695900000002</v>
      </c>
      <c r="Z130" s="3">
        <f>1425.6+(188.8-706.8)+(-0.727056+(-0.096288--0.360468))+0-0-0</f>
        <v>907.13712399999986</v>
      </c>
      <c r="AA130" s="3">
        <f>1460.7+(250.5-652.9)+(-2.234871+(-0.383265--0.998937))+0-0-0</f>
        <v>1056.6808010000002</v>
      </c>
      <c r="AB130" s="3">
        <f>1500.4+(253.9-671.2)+(-0.765204+(-0.129489--0.342312))+0-0-0</f>
        <v>1082.5476189999999</v>
      </c>
      <c r="AC130" s="3">
        <f>1517.6+(242.2-719.1)+(0+(0-0))+0-0-0</f>
        <v>1040.6999999999998</v>
      </c>
      <c r="AD130">
        <f t="shared" si="2"/>
        <v>21304.214209999998</v>
      </c>
      <c r="AE130" s="3">
        <f>1426+(255-703)+(0+(0-0))+0-0-0</f>
        <v>978</v>
      </c>
    </row>
    <row r="131" spans="1:31" s="2" customFormat="1" x14ac:dyDescent="0.25">
      <c r="A131">
        <v>89</v>
      </c>
      <c r="B131">
        <v>5</v>
      </c>
      <c r="C131">
        <v>7</v>
      </c>
      <c r="D131">
        <v>6</v>
      </c>
      <c r="E131">
        <v>1</v>
      </c>
      <c r="F131" s="3">
        <f>1513.6+(171.8-708.5)+(-0.771936+(-0.087618--0.361335))+0-0-0</f>
        <v>976.40178099999991</v>
      </c>
      <c r="G131" s="3">
        <f>1510.7+(175.5-782.3)+(-3.081828+(-0.35802--1.595892))+0-0-0</f>
        <v>902.05604400000004</v>
      </c>
      <c r="H131" s="3">
        <f>1510.6+(191.4-869)+(-1.540812+(-0.195228--0.88638))+0-0-0</f>
        <v>832.15033999999991</v>
      </c>
      <c r="I131" s="3">
        <f>1460.8+(170-854.6)+(0+(0-0))+0-0-0</f>
        <v>776.19999999999993</v>
      </c>
      <c r="J131" s="3">
        <f>1396.7+(161.5-822.3)+(0+(0-0))+0-0-0</f>
        <v>735.90000000000009</v>
      </c>
      <c r="K131" s="3">
        <f>1236.7+(152.9-723.1)+(-1.261434+(-0.155958--0.737562))+0-0-0</f>
        <v>665.82016999999996</v>
      </c>
      <c r="L131" s="3">
        <f>1227.6+(111.1-734.2)+(-3.756456+(-0.339966--2.246652))+0-0-0</f>
        <v>602.65022999999985</v>
      </c>
      <c r="M131" s="3">
        <f>1328.2+(76.7-778.8)+(0.677382+(0.039117-0.397188))+0-0-0</f>
        <v>626.41931100000011</v>
      </c>
      <c r="N131" s="3">
        <f>1381.6+(105.1-791.9)+(2.113848+(0.160803-1.211607))+0-0-0</f>
        <v>695.86304399999995</v>
      </c>
      <c r="O131" s="3">
        <f>1416.5+(177.3-821.1)+(0.722415+(0.090423-0.418761))+0-0-0</f>
        <v>773.09407700000008</v>
      </c>
      <c r="P131" s="3">
        <f>1406.2+(196.8-753)+(-0.717162+(-0.100368--0.38403))+0-0-0</f>
        <v>849.56650000000002</v>
      </c>
      <c r="Q131" s="3">
        <f>1435.7+(180-710.4)+(0.732207+(0.0918-0.362304))+0-0-0</f>
        <v>905.76170300000013</v>
      </c>
      <c r="R131" s="3">
        <f>1446.6+(191.3-682.5)+(0+(0-0))+0-0-0</f>
        <v>955.39999999999986</v>
      </c>
      <c r="S131" s="3">
        <f>1439.4+(228-630)+(-0.734094+(-0.11628--0.3213))+0-0-0</f>
        <v>1036.8709260000001</v>
      </c>
      <c r="T131" s="3">
        <f>1440.5+(254.6-616.3)+(0+(0-0))+0-0-0</f>
        <v>1078.8000000000002</v>
      </c>
      <c r="U131" s="3">
        <f>1437.6+(255.8-618.6)+(-0.733176+(-0.130458--0.315486))+0-0-0</f>
        <v>1074.2518519999999</v>
      </c>
      <c r="V131" s="3">
        <f>1437.4+(252.5-632.6)+(-2.199222+(-0.386325--0.967878))+0-0-0</f>
        <v>1055.6823310000002</v>
      </c>
      <c r="W131" s="3">
        <f>1443.6+(254.6-694.4)+(-1.472472+(-0.259692--0.708288))+0-0-0</f>
        <v>1002.776124</v>
      </c>
      <c r="X131" s="3">
        <f>1407.9+(218.3-712.8)+(-3.590145+(-0.556665--1.81764))+0-0-0</f>
        <v>911.07083000000011</v>
      </c>
      <c r="Y131" s="3">
        <f>1398.5+(178.4-730.6)+(-2.139705+(-0.272952--1.117818))+0-0-0</f>
        <v>845.00516099999993</v>
      </c>
      <c r="Z131" s="3">
        <f>1418.2+(215.4-728.1)+(0+(0-0))+0-0-0</f>
        <v>905.5</v>
      </c>
      <c r="AA131" s="3">
        <f>1496.6+(253.3-705)+(-1.526532+(-0.258366--0.7191))+0-0-0</f>
        <v>1043.8342019999998</v>
      </c>
      <c r="AB131" s="3">
        <f>1506.8+(232.6-683)+(0+(0-0))+0-0-0</f>
        <v>1056.4000000000001</v>
      </c>
      <c r="AC131" s="3">
        <f>1503.9+(224.6-686.1)+(-2.300967+(-0.343638--1.049733))+0-0-0</f>
        <v>1040.8051280000002</v>
      </c>
      <c r="AD131">
        <f t="shared" si="2"/>
        <v>21348.279753999999</v>
      </c>
      <c r="AE131" s="3">
        <f>1485+(253.4-764.6)+(0+(0-0))+0-0-0</f>
        <v>973.8</v>
      </c>
    </row>
    <row r="132" spans="1:31" s="2" customFormat="1" x14ac:dyDescent="0.25">
      <c r="A132">
        <v>89</v>
      </c>
      <c r="B132">
        <v>5</v>
      </c>
      <c r="C132">
        <v>8</v>
      </c>
      <c r="D132">
        <v>7</v>
      </c>
      <c r="E132">
        <v>1</v>
      </c>
      <c r="F132" s="3">
        <f>1466+(223.7-694.6)+(-3.7383+(-0.570435--1.77123))+0-0-0</f>
        <v>992.5624949999999</v>
      </c>
      <c r="G132" s="3">
        <f>1447+(215.2-728.9)+(0.73797+(0.109752-0.371739))+0-0-0</f>
        <v>933.775983</v>
      </c>
      <c r="H132" s="3">
        <f>1461+(223.8-820.9)+(0+(0-0))+0-0-0</f>
        <v>863.90000000000009</v>
      </c>
      <c r="I132" s="3">
        <f>1452.2+(228.6-874.7)+(-3.70311+(-0.58293--2.230485))+0-0-0</f>
        <v>804.044445</v>
      </c>
      <c r="J132" s="3">
        <f>1456.7+(235.6-926.1)+(-2.228751+(-0.360468--1.416933))+0-0-0</f>
        <v>765.02771400000006</v>
      </c>
      <c r="K132" s="3">
        <f>1444.7+(208.4-939.3)+(-5.157579+(-0.743988--3.353301))+0-0-0</f>
        <v>711.25173400000006</v>
      </c>
      <c r="L132" s="3">
        <f>1183.5+(127.5-708.4)+(-2.41434+(-0.2601--1.445136))+0-0-0</f>
        <v>601.37069600000007</v>
      </c>
      <c r="M132" s="3">
        <f>1124.8+(126.1-676.6)+(0.573648+(0.064311-0.345066))+0-0-0</f>
        <v>574.592893</v>
      </c>
      <c r="N132" s="3">
        <f>1211.9+(109.2-723.7)+(0+(0-0))+0-0-0</f>
        <v>597.40000000000009</v>
      </c>
      <c r="O132" s="3">
        <f>1403.5+(69.3-825.5)+(0+(0-0))+0-0-0</f>
        <v>647.29999999999995</v>
      </c>
      <c r="P132" s="3">
        <f>1404.1+(111.2-801.2)+(0.716091+(0.056712-0.408612))+0-0-0</f>
        <v>714.46419099999991</v>
      </c>
      <c r="Q132" s="3">
        <f>1410.3+(161.7-791)+(0.719253+(0.082467-0.40341))+0-0-0</f>
        <v>781.39831000000004</v>
      </c>
      <c r="R132" s="3">
        <f>1426.3+(187.3-784.5)+(0+(0-0))+0-0-0</f>
        <v>829.09999999999991</v>
      </c>
      <c r="S132" s="3">
        <f>1408.5+(213.2-736.4)+(-1.43667+(-0.217464--0.751128))+0-0-0</f>
        <v>884.39699399999995</v>
      </c>
      <c r="T132" s="3">
        <f>1353+(248.2-689.3)+(0.69003+(0.126582-0.351543))+0-0-0</f>
        <v>912.36506900000006</v>
      </c>
      <c r="U132" s="3">
        <f>1312.5+(267.9-689.8)+(-2.008125+(-0.409887--1.055394))+0-0-0</f>
        <v>889.23738200000003</v>
      </c>
      <c r="V132" s="3">
        <f>1317.1+(241.1-707.6)+(-0.671721+(-0.122961--0.360876))+0-0-0</f>
        <v>850.1661939999999</v>
      </c>
      <c r="W132" s="3">
        <f>1313.5+(185.5-703.8)+(-0.669885+(-0.094605--0.358938))+0-0-0</f>
        <v>794.7944480000001</v>
      </c>
      <c r="X132" s="3">
        <f>1305.3+(125.6-708.2)+(-3.328515+(-0.32028--1.80591))+0-0-0</f>
        <v>720.85711499999991</v>
      </c>
      <c r="Y132" s="3">
        <f>1314.2+(100.6-748.2)+(-1.340484+(-0.102612--0.763164))+0-0-0</f>
        <v>665.92006800000001</v>
      </c>
      <c r="Z132" s="3">
        <f>1352.3+(116.1-736.5)+(-2.069019+(-0.177633--1.126845))+0-0-0</f>
        <v>730.78019299999994</v>
      </c>
      <c r="AA132" s="3">
        <f>1447.2+(216.8-794.9)+(-4.428432+(-0.663408--2.432394))+0-0-0</f>
        <v>866.44055400000013</v>
      </c>
      <c r="AB132" s="3">
        <f>1482.6+(203.6-780.7)+(-1.512252+(-0.207672--0.796314))+0-0-0</f>
        <v>904.57638999999983</v>
      </c>
      <c r="AC132" s="3">
        <f>1485.6+(215.7-795.1)+(-0.757656+(-0.110007--0.405501))+0-0-0</f>
        <v>905.73783799999978</v>
      </c>
      <c r="AD132">
        <f t="shared" si="2"/>
        <v>18941.460706000002</v>
      </c>
      <c r="AE132" s="3">
        <f>1472+(200.1-845.5)+(0+(0-0))+0-0-0</f>
        <v>826.6</v>
      </c>
    </row>
    <row r="133" spans="1:31" s="2" customFormat="1" x14ac:dyDescent="0.25">
      <c r="A133">
        <v>89</v>
      </c>
      <c r="B133">
        <v>5</v>
      </c>
      <c r="C133">
        <v>9</v>
      </c>
      <c r="D133">
        <v>1</v>
      </c>
      <c r="E133">
        <v>1</v>
      </c>
      <c r="F133" s="3">
        <f>1440.6+(212.2-794.4)+(-2.938824+(-0.432888--1.620576))+0-0-0</f>
        <v>856.64886399999989</v>
      </c>
      <c r="G133" s="3">
        <f>1433.5+(207.4-838.3)+(-4.38651+(-0.634644--2.565198))+0-0-0</f>
        <v>800.14404400000001</v>
      </c>
      <c r="H133" s="3">
        <f>1437.9+(199.6-893.9)+(-2.933316+(-0.407184--1.823556))+0-0-0</f>
        <v>742.08305600000017</v>
      </c>
      <c r="I133" s="3">
        <f>1411.4+(170.9-886.1)+(-1.439628+(-0.174318--0.903822))+0-0-0</f>
        <v>695.48987600000009</v>
      </c>
      <c r="J133" s="3">
        <f>1213.5+(140.9-700.1)+(1.23777+(0.143718-0.714102))+0-0-0</f>
        <v>654.96738599999992</v>
      </c>
      <c r="K133" s="3">
        <f>1134.9+(152.4-676.4)+(0.578799+(0.077724-0.344964))+0-0-0</f>
        <v>611.21155900000008</v>
      </c>
      <c r="L133" s="3">
        <f>1129.8+(129.8-701.7)+(0+(0-0))+0-0-0</f>
        <v>557.89999999999986</v>
      </c>
      <c r="M133" s="3">
        <f>1131.9+(164.4-702.8)+(0+(0-0))+0-0-0</f>
        <v>593.50000000000011</v>
      </c>
      <c r="N133" s="3">
        <f>1122.5+(221.9-693)+(-1.14495+(-0.226338--0.70686))+0-0-0</f>
        <v>650.73557199999993</v>
      </c>
      <c r="O133" s="3">
        <f>1378.9+(152.4-807.6)+(-1.406478+(-0.155448--0.823752))+0-0-0</f>
        <v>722.96182600000009</v>
      </c>
      <c r="P133" s="3">
        <f>1412.4+(193.1-814.3)+(2.160972+(0.295443-1.245879))+0-0-0</f>
        <v>792.41053600000021</v>
      </c>
      <c r="Q133" s="3">
        <f>1409.9+(225.5-791.1)+(1.438098+(0.23001-0.806922))+0-0-0</f>
        <v>845.16118600000004</v>
      </c>
      <c r="R133" s="3">
        <f>1394.8+(245.2-745.2)+(0+(0-0))+0-0-0</f>
        <v>894.8</v>
      </c>
      <c r="S133" s="3">
        <f>1375.3+(265.5-668)+(-2.104209+(-0.406215--1.02204))+0-0-0</f>
        <v>971.31161599999996</v>
      </c>
      <c r="T133" s="3">
        <f>1391.7+(282.8-631.2)+(-0.709767+(-0.144228--0.321912))+0-0-0</f>
        <v>1042.7679169999999</v>
      </c>
      <c r="U133" s="3">
        <f>1371.2+(279.8-634.4)+(-0.699312+(-0.142698--0.323544))+0-0-0</f>
        <v>1016.0815340000001</v>
      </c>
      <c r="V133" s="3">
        <f>1371.2+(273-644.7)+(-0.699312+(-0.13923--0.328797))+0-0-0</f>
        <v>998.99025500000005</v>
      </c>
      <c r="W133" s="3">
        <f>1369.6+(270.4-691.9)+(-1.396992+(-0.275808--0.705738))+0-0-0</f>
        <v>947.13293799999985</v>
      </c>
      <c r="X133" s="3">
        <f>1363+(204.1-709.3)+(-2.78052+(-0.416364--1.446972))+0-0-0</f>
        <v>856.05008800000007</v>
      </c>
      <c r="Y133" s="3">
        <f>1377.5+(197.7-773.7)+(0+(0-0))+0-0-0</f>
        <v>801.5</v>
      </c>
      <c r="Z133" s="3">
        <f>1381.8+(266.8-774.1)+(-0.704718+(-0.136068--0.394791))+0-0-0</f>
        <v>874.05400499999996</v>
      </c>
      <c r="AA133" s="3">
        <f>1438.9+(270-684.8)+(-2.201517+(-0.4131--1.047744))+0-0-0</f>
        <v>1022.5331270000001</v>
      </c>
      <c r="AB133" s="3">
        <f>1445.6+(214-631.3)+(-1.474512+(-0.21828--0.643926))+0-0-0</f>
        <v>1027.2511339999999</v>
      </c>
      <c r="AC133" s="3">
        <f>1444.8+(212.1-681.4)+(-1.473696+(-0.216342--0.695028))+0-0-0</f>
        <v>974.50499000000002</v>
      </c>
      <c r="AD133">
        <f t="shared" si="2"/>
        <v>19950.191509</v>
      </c>
      <c r="AE133" s="3">
        <f>1436+(275.4-738.1)+(0+(0-0))+0-0-0</f>
        <v>973.3</v>
      </c>
    </row>
    <row r="134" spans="1:31" s="2" customFormat="1" x14ac:dyDescent="0.25">
      <c r="A134">
        <v>89</v>
      </c>
      <c r="B134">
        <v>5</v>
      </c>
      <c r="C134">
        <v>10</v>
      </c>
      <c r="D134">
        <v>2</v>
      </c>
      <c r="E134">
        <v>1</v>
      </c>
      <c r="F134" s="3">
        <f>1434.8+(193.1-734.3)+(-2.926992+(-0.393924--1.497972))+0-0-0</f>
        <v>891.77705600000002</v>
      </c>
      <c r="G134" s="3">
        <f>1428.4+(206.2-819.7)+(-3.64242+(-0.52581--2.090235))+0-0-0</f>
        <v>812.8220050000001</v>
      </c>
      <c r="H134" s="3">
        <f>1246+(238.9-738.4)+(0.63546+(0.121839-0.376584))+0-0-0</f>
        <v>746.88071500000001</v>
      </c>
      <c r="I134" s="3">
        <f>1240.9+(220.9-764)+(-1.898577+(-0.337977--1.16892))+0-0-0</f>
        <v>696.73236600000007</v>
      </c>
      <c r="J134" s="3">
        <f>1246.1+(144.7-728.4)+(-1.271022+(-0.147594--0.742968))+0-0-0</f>
        <v>661.72435199999984</v>
      </c>
      <c r="K134" s="3">
        <f>1286.1+(139.8-792.3)+(-0.655911+(-0.071298--0.404073))+0-0-0</f>
        <v>633.27686399999993</v>
      </c>
      <c r="L134" s="3">
        <f>1194.2+(148.3-768.5)+(-1.218084+(-0.151266--0.78387))+0-0-0</f>
        <v>573.41452000000004</v>
      </c>
      <c r="M134" s="3">
        <f>1182.1+(200.1-787)+(0+(0-0))+0-0-0</f>
        <v>595.19999999999993</v>
      </c>
      <c r="N134" s="3">
        <f>1202.8+(220.3-764.6)+(-1.226856+(-0.224706--0.779892))+0-0-0</f>
        <v>657.82833000000005</v>
      </c>
      <c r="O134" s="3">
        <f>1247.6+(191.5-720.6)+(-1.272552+(-0.19533--0.735012))+0-0-0</f>
        <v>717.76712999999984</v>
      </c>
      <c r="P134" s="3">
        <f>1318.3+(213.4-754.9)+(-0.672333+(-0.108834--0.384999))+0-0-0</f>
        <v>776.40383199999997</v>
      </c>
      <c r="Q134" s="3">
        <f>1403+(244.2-808.6)+(-1.43106+(-0.249084--0.824772))+0-0-0</f>
        <v>837.74462799999992</v>
      </c>
      <c r="R134" s="3">
        <f>1404.7+(254.2-754.8)+(-0.716397+(-0.129642--0.384948))+0-0-0</f>
        <v>903.63890900000013</v>
      </c>
      <c r="S134" s="3">
        <f>1390.9+(270.7-689.9)+(-1.418718+(-0.276114--0.703698))+0-0-0</f>
        <v>970.70886600000006</v>
      </c>
      <c r="T134" s="3">
        <f>1380.5+(276.7-663.9)+(-1.40811+(-0.282234--0.677178))+0-0-0</f>
        <v>992.286834</v>
      </c>
      <c r="U134" s="3">
        <f>1376.6+(281.8-675.9)+(-0.702066+(-0.143718--0.344709))+0-0-0</f>
        <v>981.99892499999999</v>
      </c>
      <c r="V134" s="3">
        <f>1367.3+(280.6-689.8)+(-2.091969+(-0.429318--1.055394))+0-0-0</f>
        <v>956.63410699999997</v>
      </c>
      <c r="W134" s="3">
        <f>1361.1+(263.7-719.3)+(-2.776644+(-0.537948--1.467372))+0-0-0</f>
        <v>903.65278000000001</v>
      </c>
      <c r="X134" s="3">
        <f>1362.3+(145-691.3)+(-4.168638+(-0.4437--2.115378))+0-0-0</f>
        <v>813.50304000000006</v>
      </c>
      <c r="Y134" s="3">
        <f>1374.4+(175.3-779)+(-2.803776+(-0.357612--1.58916))+0-0-0</f>
        <v>769.12777200000005</v>
      </c>
      <c r="Z134" s="3">
        <f>1398.8+(256.5-801.4)+(0+(0-0))+0-0-0</f>
        <v>853.9</v>
      </c>
      <c r="AA134" s="3">
        <f>1426.9+(225.8-673)+(-2.910876+(-0.460632--1.37292))+0-0-0</f>
        <v>977.701412</v>
      </c>
      <c r="AB134" s="3">
        <f>1373+(256.1-652.7)+(-2.10069+(-0.391833--0.998631))+0-0-0</f>
        <v>974.90610800000002</v>
      </c>
      <c r="AC134" s="3">
        <f>1368.7+(239.8-682.8)+(-2.094111+(-0.366894--1.044684))+0-0-0</f>
        <v>924.28367900000001</v>
      </c>
      <c r="AD134">
        <f t="shared" si="2"/>
        <v>19623.914229999998</v>
      </c>
      <c r="AE134" s="3">
        <f>1394+(226.4-733.7)+(0+(0-0))+0-0-0</f>
        <v>886.69999999999993</v>
      </c>
    </row>
    <row r="135" spans="1:31" s="2" customFormat="1" x14ac:dyDescent="0.25">
      <c r="A135">
        <v>89</v>
      </c>
      <c r="B135">
        <v>5</v>
      </c>
      <c r="C135">
        <v>11</v>
      </c>
      <c r="D135">
        <v>3</v>
      </c>
      <c r="E135">
        <v>1</v>
      </c>
      <c r="F135" s="3">
        <f>1352.7+(225-727.7)+(-3.449385+(-0.57375--1.855635))+0-0-0</f>
        <v>847.83249999999998</v>
      </c>
      <c r="G135" s="3">
        <f>1348.5+(225.4-795.1)+(-2.75094+(-0.459816--1.622004))+0-0-0</f>
        <v>777.21124799999996</v>
      </c>
      <c r="H135" s="3">
        <f>1359.1+(185.8-825.1)+(-2.079423+(-0.284274--1.262403))+0-0-0</f>
        <v>718.6987059999999</v>
      </c>
      <c r="I135" s="3">
        <f>1308+(171.1-798.9)+(-2.00124+(-0.261783--1.222317))+0-0-0</f>
        <v>679.15929400000005</v>
      </c>
      <c r="J135" s="3">
        <f>1191.9+(139.8-683.4)+(1.823607+(0.213894-1.045602))+0-0-0</f>
        <v>649.29189900000017</v>
      </c>
      <c r="K135" s="3">
        <f>1176.1+(134.7-698.8)+(-1.799433+(-0.206091--1.069164))+0-0-0</f>
        <v>611.06363999999996</v>
      </c>
      <c r="L135" s="3">
        <f>1167.6+(132.3-740.3)+(-2.97738+(-0.337365--1.887765))+0-0-0</f>
        <v>558.17301999999995</v>
      </c>
      <c r="M135" s="3">
        <f>1181.9+(161.4-760.7)+(0+(0-0))+0-0-0</f>
        <v>582.6</v>
      </c>
      <c r="N135" s="3">
        <f>1341+(179.5-874.4)+(0.68391+(0.091545-0.445944))+0-0-0</f>
        <v>646.42951100000005</v>
      </c>
      <c r="O135" s="3">
        <f>1406.2+(164.7-859.6)+(-1.434324+(-0.167994--0.876792))+0-0-0</f>
        <v>710.57447400000001</v>
      </c>
      <c r="P135" s="3">
        <f>1402.9+(168.2-801.8)+(0+(0-0))+0-0-0</f>
        <v>769.30000000000018</v>
      </c>
      <c r="Q135" s="3">
        <f>1372.7+(168.9-735.3)+(0+(0-0))+0-0-0</f>
        <v>806.30000000000007</v>
      </c>
      <c r="R135" s="3">
        <f>1351.2+(194.9-696.3)+(-0.689112+(-0.099399--0.355113))+0-0-0</f>
        <v>849.36660200000006</v>
      </c>
      <c r="S135" s="3">
        <f>1352.5+(206.8-656.7)+(0+(0-0))+0-0-0</f>
        <v>902.59999999999991</v>
      </c>
      <c r="T135" s="3">
        <f>1342.5+(216.2-612.4)+(-1.36935+(-0.220524--0.624648))+0-0-0</f>
        <v>945.33477399999992</v>
      </c>
      <c r="U135" s="3">
        <f>1363.4+(216.6-613.3)+(-0.695334+(-0.110466--0.312783))+0-0-0</f>
        <v>966.20698300000015</v>
      </c>
      <c r="V135" s="3">
        <f>1330.4+(208.3-629.9)+(-1.357008+(-0.212466--0.642498))+0-0-0</f>
        <v>907.87302400000021</v>
      </c>
      <c r="W135" s="3">
        <f>1325.6+(219.7-665.8)+(-4.732392+(-0.784329--2.376906))+0-0-0</f>
        <v>876.360185</v>
      </c>
      <c r="X135" s="3">
        <f>1327.1+(176.4-694)+(-3.384105+(-0.44982--1.7697))+0-0-0</f>
        <v>807.43577499999992</v>
      </c>
      <c r="Y135" s="3">
        <f>1342+(135.6-720.8)+(-1.36884+(-0.138312--0.735216))+0-0-0</f>
        <v>756.02806400000009</v>
      </c>
      <c r="Z135" s="3">
        <f>1386.6+(158.9-710.6)+(-1.414332+(-0.162078--0.724812))+0-0-0</f>
        <v>834.0484019999999</v>
      </c>
      <c r="AA135" s="3">
        <f>1434.9+(176.9-657.8)+(-2.927196+(-0.360876--1.341912))+0-0-0</f>
        <v>952.05384000000015</v>
      </c>
      <c r="AB135" s="3">
        <f>1449.9+(147.3-647.7)+(-2.957796+(-0.300492--1.321308))+0-0-0</f>
        <v>947.56302000000005</v>
      </c>
      <c r="AC135" s="3">
        <f>1452.1+(132.7-674.8)+(0+(0-0))+0-0-0</f>
        <v>910</v>
      </c>
      <c r="AD135">
        <f t="shared" si="2"/>
        <v>19011.504961000002</v>
      </c>
      <c r="AE135" s="3">
        <f>1421+(177.1-730.3)+(0+(0-0))+0-0-0</f>
        <v>867.80000000000007</v>
      </c>
    </row>
    <row r="136" spans="1:31" s="2" customFormat="1" x14ac:dyDescent="0.25">
      <c r="A136">
        <v>89</v>
      </c>
      <c r="B136">
        <v>5</v>
      </c>
      <c r="C136">
        <v>12</v>
      </c>
      <c r="D136">
        <v>4</v>
      </c>
      <c r="E136">
        <v>1</v>
      </c>
      <c r="F136" s="3">
        <f>1450.1+(110.9-714.2)+(-0.739551+(-0.056559--0.364242))+0-0-0</f>
        <v>846.36813199999983</v>
      </c>
      <c r="G136" s="3">
        <f>1223.5+(160-612.4)+(-1.24797+(-0.1632--0.624648))+0-0-0</f>
        <v>770.31347800000003</v>
      </c>
      <c r="H136" s="3">
        <f>1179.6+(178.1-645.2)+(0.601596+(0.090831-0.329052))+0-0-0</f>
        <v>712.86337499999991</v>
      </c>
      <c r="I136" s="3">
        <f>1176.5+(165-667.7)+(0+(0-0))+0-0-0</f>
        <v>673.8</v>
      </c>
      <c r="J136" s="3">
        <f>1173.9+(152.6-681.3)+(-0.598689+(-0.077826--0.347463))+0-0-0</f>
        <v>644.87094800000011</v>
      </c>
      <c r="K136" s="3">
        <f>1183.6+(132.4-699.5)+(1.207272+(0.135048-0.71349))+0-0-0</f>
        <v>617.12882999999988</v>
      </c>
      <c r="L136" s="3">
        <f>1168+(88.6-702.1)+(-1.78704+(-0.135558--1.074213))+0-0-0</f>
        <v>553.65161499999999</v>
      </c>
      <c r="M136" s="3">
        <f>1175.5+(87.2-686.5)+(-0.599505+(-0.044472--0.350115))+0-0-0</f>
        <v>575.90613800000006</v>
      </c>
      <c r="N136" s="3">
        <f>1203+(116.2-679.9)+(0+(0-0))+0-0-0</f>
        <v>639.30000000000007</v>
      </c>
      <c r="O136" s="3">
        <f>1234+(122.9-663.1)+(0.62934+(0.062679-0.338181))+0-0-0</f>
        <v>694.15383799999995</v>
      </c>
      <c r="P136" s="3">
        <f>1299.2+(122-659.6)+(-1.325184+(-0.12444--0.672792))+0-0-0</f>
        <v>760.82316800000001</v>
      </c>
      <c r="Q136" s="3">
        <f>1277+(128.9-591.3)+(-0.65127+(-0.065739--0.301563))+0-0-0</f>
        <v>814.18455400000005</v>
      </c>
      <c r="R136" s="3">
        <f>1296+(131.4-568.9)+(0+(0-0))+0-0-0</f>
        <v>858.5</v>
      </c>
      <c r="S136" s="3">
        <f>1288.2+(154.1-518.2)+(0+(0-0))+0-0-0</f>
        <v>924.1</v>
      </c>
      <c r="T136" s="3">
        <f>1306.6+(155.4-494.4)+(0.666366+(0.079254-0.252144))+0-0-0</f>
        <v>968.0934759999999</v>
      </c>
      <c r="U136" s="3">
        <f>1313.1+(150.3-495.3)+(0.669681+(0.076653-0.252603))+0-0-0</f>
        <v>968.59373099999993</v>
      </c>
      <c r="V136" s="3">
        <f>1292.7+(152-499.4)+(0.659277+(0.07752-0.254694))+0-0-0</f>
        <v>945.78210300000012</v>
      </c>
      <c r="W136" s="3">
        <f>1311.5+(132.2-547.5)+(0+(0-0))+0-0-0</f>
        <v>896.2</v>
      </c>
      <c r="X136" s="3">
        <f>1341.3+(94-617)+(-0.684063+(-0.04794--0.31467))+0-0-0</f>
        <v>817.88266699999997</v>
      </c>
      <c r="Y136" s="3">
        <f>1340.2+(67-630.3)+(2.050506+(0.10251-0.964359))+0-0-0</f>
        <v>778.08865700000013</v>
      </c>
      <c r="Z136" s="3">
        <f>1352+(116.3-598.2)+(0.68952+(0.059313-0.305082))+0-0-0</f>
        <v>870.54375099999993</v>
      </c>
      <c r="AA136" s="3">
        <f>1392.2+(208.7-606)+(-2.130066+(-0.319311--0.92718))+0-0-0</f>
        <v>993.37780300000009</v>
      </c>
      <c r="AB136" s="3">
        <f>1368+(194.8-573.8)+(-1.39536+(-0.198696--0.585276))+0-0-0</f>
        <v>987.99122</v>
      </c>
      <c r="AC136" s="3">
        <f>1361.9+(175.4-591)+(-3.472845+(-0.44727--1.50705))+0-0-0</f>
        <v>943.88693500000011</v>
      </c>
      <c r="AD136">
        <f t="shared" si="2"/>
        <v>19256.404418999999</v>
      </c>
      <c r="AE136" s="3">
        <f>1401+(207.6-670.2)+(0+(0-0))+0-0-0</f>
        <v>938.4</v>
      </c>
    </row>
    <row r="137" spans="1:31" s="2" customFormat="1" x14ac:dyDescent="0.25">
      <c r="A137">
        <v>89</v>
      </c>
      <c r="B137">
        <v>5</v>
      </c>
      <c r="C137">
        <v>13</v>
      </c>
      <c r="D137">
        <v>5</v>
      </c>
      <c r="E137">
        <v>1</v>
      </c>
      <c r="F137" s="3">
        <f>1302.5+(195.7-627.1)+(-1.32855+(-0.199614--0.639642))+0-0-0</f>
        <v>870.21147799999994</v>
      </c>
      <c r="G137" s="3">
        <f>1182.3+(219.7-615.3)+(-1.205946+(-0.224094--0.627606))+0-0-0</f>
        <v>785.8975660000001</v>
      </c>
      <c r="H137" s="3">
        <f>1163.7+(196.7-626.1)+(-0.593487+(-0.100317--0.319311))+0-0-0</f>
        <v>733.92550699999993</v>
      </c>
      <c r="I137" s="3">
        <f>1157.2+(171.5-632.8)+(-2.360688+(-0.34986--1.290912))+0-0-0</f>
        <v>694.48036400000012</v>
      </c>
      <c r="J137" s="3">
        <f>1003.7+(225.9-571.6)+(-2.559435+(-0.576045--1.45758))+0-0-0</f>
        <v>656.32209999999998</v>
      </c>
      <c r="K137" s="3">
        <f>909.1+(250.8-532.6)+(-1.854564+(-0.511632--1.086504))+0-0-0</f>
        <v>626.020308</v>
      </c>
      <c r="L137" s="3">
        <f>824.4+(252.3-514.2)+(-1.681776+(-0.514692--1.048968))+0-0-0</f>
        <v>561.35249999999996</v>
      </c>
      <c r="M137" s="3">
        <f>814+(256-474)+(0.83028+(0.26112-0.48348))+0-0-0</f>
        <v>596.60792000000004</v>
      </c>
      <c r="N137" s="3">
        <f>798.7+(262.8-445.9)+(-0.407337+(-0.134028--0.227409))+0-0-0</f>
        <v>615.28604400000017</v>
      </c>
      <c r="O137" s="3">
        <f>962.7+(256.7-477.2)+(-0.490977+(-0.130917--0.243372))+0-0-0</f>
        <v>741.82147800000007</v>
      </c>
      <c r="P137" s="3">
        <f>1055.5+(225.3-502.1)+(2.691525+(0.574515-1.280355))+0-0-0</f>
        <v>780.68568500000003</v>
      </c>
      <c r="Q137" s="3">
        <f>1117.7+(221-496.6)+(0+(0-0))+0-0-0</f>
        <v>842.1</v>
      </c>
      <c r="R137" s="3">
        <f>1165.1+(222.7-500)+(1.188402+(0.227154-0.51))+0-0-0</f>
        <v>888.705556</v>
      </c>
      <c r="S137" s="3">
        <f>1154.1+(266.4-473)+(-1.177182+(-0.271728--0.48246))+0-0-0</f>
        <v>946.53354999999988</v>
      </c>
      <c r="T137" s="3">
        <f>1131.4+(285.5-425.7)+(0+(0-0))+0-0-0</f>
        <v>991.2</v>
      </c>
      <c r="U137" s="3">
        <f>1130.7+(294.7-441.3)+(0+(0-0))+0-0-0</f>
        <v>984.1</v>
      </c>
      <c r="V137" s="3">
        <f>1164.1+(279.8-474.3)+(-0.593691+(-0.142698--0.241893))+0-0-0</f>
        <v>969.10550399999988</v>
      </c>
      <c r="W137" s="3">
        <f>1168.4+(271.9-513.3)+(-1.191768+(-0.277338--0.523566))+0-0-0</f>
        <v>926.05446000000006</v>
      </c>
      <c r="X137" s="3">
        <f>1166.3+(243.6-560.2)+(-2.379252+(-0.496944--1.142808))+0-0-0</f>
        <v>847.96661199999994</v>
      </c>
      <c r="Y137" s="3">
        <f>1182.6+(172.3-551.6)+(-0.603126+(-0.087873--0.281316))+0-0-0</f>
        <v>802.89031699999998</v>
      </c>
      <c r="Z137" s="3">
        <f>1224.6+(252.6-584.4)+(-1.873638+(-0.386478--0.894132))+0-0-0</f>
        <v>891.43401599999993</v>
      </c>
      <c r="AA137" s="3">
        <f>1286.8+(329-592.4)+(-1.968804+(-0.50337--0.906372))+0-0-0</f>
        <v>1021.834198</v>
      </c>
      <c r="AB137" s="3">
        <f>1256.5+(335.8-580.3)+(0.640815+(0.171258-0.295953))+0-0-0</f>
        <v>1012.51612</v>
      </c>
      <c r="AC137" s="3">
        <f>1239.2+(280.2-557.5)+(-1.895976+(-0.428706--0.852975))+0-0-0</f>
        <v>960.42829300000005</v>
      </c>
      <c r="AD137">
        <f t="shared" si="2"/>
        <v>19747.479576000002</v>
      </c>
      <c r="AE137" s="3">
        <f>1277+(326.3-639.1)+(0+(0-0))+0-0-0</f>
        <v>964.2</v>
      </c>
    </row>
    <row r="138" spans="1:31" s="2" customFormat="1" x14ac:dyDescent="0.25">
      <c r="A138">
        <v>89</v>
      </c>
      <c r="B138">
        <v>5</v>
      </c>
      <c r="C138">
        <v>14</v>
      </c>
      <c r="D138">
        <v>6</v>
      </c>
      <c r="E138">
        <v>1</v>
      </c>
      <c r="F138" s="3">
        <f>1210.6+(201-523.5)+(-0.617406+(-0.10251--0.266985))+0-0-0</f>
        <v>887.64706899999987</v>
      </c>
      <c r="G138" s="3">
        <f>1193.8+(191-568.7)+(-0.608838+(-0.09741--0.290037))+0-0-0</f>
        <v>815.68378899999993</v>
      </c>
      <c r="H138" s="3">
        <f>965.5+(280.3-494)+(-0.98481+(-0.285906--0.50388))+0-0-0</f>
        <v>751.03316399999994</v>
      </c>
      <c r="I138" s="3">
        <f>950.9+(265.8-508.2)+(-0.969918+(-0.271116--0.518364))+0-0-0</f>
        <v>707.77733000000001</v>
      </c>
      <c r="J138" s="3">
        <f>947.4+(248.4-529.7)+(-1.932696+(-0.506736--1.080588))+0-0-0</f>
        <v>664.74115599999993</v>
      </c>
      <c r="K138" s="3">
        <f>944.6+(201.2-519.1)+(-2.40873+(-0.51306--1.323705))+0-0-0</f>
        <v>625.10191500000008</v>
      </c>
      <c r="L138" s="3">
        <f>950.2+(175.2-552.6)+(-1.453806+(-0.268056--0.845478))+0-0-0</f>
        <v>571.92361599999992</v>
      </c>
      <c r="M138" s="3">
        <f>952.6+(188.8-555)+(-0.485826+(-0.096288--0.28305))+0-0-0</f>
        <v>586.10093600000005</v>
      </c>
      <c r="N138" s="3">
        <f>955.4+(215.6-525.6)+(0.487254+(0.109956-0.268056))+0-0-0</f>
        <v>645.72915399999999</v>
      </c>
      <c r="O138" s="3">
        <f>1043.3+(215.4-539.5)+(-0.532083+(-0.109854--0.275145))+0-0-0</f>
        <v>718.8332079999999</v>
      </c>
      <c r="P138" s="3">
        <f>1180.2+(181.5-578.1)+(0.601902+(0.092565-0.294831))+0-0-0</f>
        <v>783.99963600000001</v>
      </c>
      <c r="Q138" s="3">
        <f>1160.7+(199.2-516.2)+(-0.591957+(-0.101592--0.263262))+0-0-0</f>
        <v>843.26971300000002</v>
      </c>
      <c r="R138" s="3">
        <f>1139.5+(211.2-465.3)+(0+(0-0))+0-0-0</f>
        <v>885.4</v>
      </c>
      <c r="S138" s="3">
        <f>1089.7+(245.2-385.7)+(-1.667241+(-0.375156--0.590121))+0-0-0</f>
        <v>947.74772400000006</v>
      </c>
      <c r="T138" s="3">
        <f>1141.7+(223.7-389)+(0+(0-0))+0-0-0</f>
        <v>976.40000000000009</v>
      </c>
      <c r="U138" s="3">
        <f>1113.5+(224.3-359.3)+(-2.839425+(-0.571965--0.916215))+0-0-0</f>
        <v>976.00482499999998</v>
      </c>
      <c r="V138" s="3">
        <f>1090.2+(210-352.3)+(0.556002+(0.1071-0.179673))+0-0-0</f>
        <v>948.38342900000009</v>
      </c>
      <c r="W138" s="3">
        <f>1107.2+(219.9-425.4)+(-1.694016+(-0.336447--0.650862))+0-0-0</f>
        <v>900.32039900000007</v>
      </c>
      <c r="X138" s="3">
        <f>1127+(196.5-497.5)+(-2.29908+(-0.40086--1.0149))+0-0-0</f>
        <v>824.31496000000004</v>
      </c>
      <c r="Y138" s="3">
        <f>1139.7+(173.3-525.4)+(-0.581247+(-0.088383--0.267954))+0-0-0</f>
        <v>787.19832400000018</v>
      </c>
      <c r="Z138" s="3">
        <f>1178.5+(213-505.2)+(-1.803105+(-0.32589--0.772956))+0-0-0</f>
        <v>884.94396099999994</v>
      </c>
      <c r="AA138" s="3">
        <f>1246.1+(276.8-519)+(-1.906533+(-0.423504--0.79407))+0-0-0</f>
        <v>1002.3640329999998</v>
      </c>
      <c r="AB138" s="3">
        <f>1217.4+(256.6-480.6)+(-2.483496+(-0.523464--0.980424))+0-0-0</f>
        <v>991.37346400000013</v>
      </c>
      <c r="AC138" s="3">
        <f>1195.6+(241.3-486.3)+(-0.609756+(-0.123063--0.248013))+0-0-0</f>
        <v>950.11519399999986</v>
      </c>
      <c r="AD138">
        <f t="shared" si="2"/>
        <v>19676.406998999995</v>
      </c>
      <c r="AE138" s="3">
        <f>1254+(288-589.8)+(0+(0-0))+0-0-0</f>
        <v>952.2</v>
      </c>
    </row>
    <row r="139" spans="1:31" s="2" customFormat="1" x14ac:dyDescent="0.25">
      <c r="A139">
        <v>89</v>
      </c>
      <c r="B139">
        <v>5</v>
      </c>
      <c r="C139">
        <v>15</v>
      </c>
      <c r="D139">
        <v>7</v>
      </c>
      <c r="E139">
        <v>1</v>
      </c>
      <c r="F139" s="3">
        <f>1040.1+(271.4-424.6)+(-1.591353+(-0.415242--0.649638))+0-0-0</f>
        <v>885.5430429999999</v>
      </c>
      <c r="G139" s="3">
        <f>1122+(199.1-486.2)+(-1.71666+(-0.304623--0.743886))+0-0-0</f>
        <v>833.62260300000003</v>
      </c>
      <c r="H139" s="3">
        <f>1148.2+(160-531.8)+(0+(0-0))+0-0-0</f>
        <v>776.40000000000009</v>
      </c>
      <c r="I139" s="3">
        <f>1140+(156.4-564.7)+(-1.7442+(-0.239292--0.863991))+0-0-0</f>
        <v>730.58049899999992</v>
      </c>
      <c r="J139" s="3">
        <f>1097.1+(160.8-573.8)+(-0.559521+(-0.082008--0.292638))+0-0-0</f>
        <v>683.75110899999993</v>
      </c>
      <c r="K139" s="3">
        <f>1084.1+(151.8-589.3)+(-2.764455+(-0.38709--1.502715))+0-0-0</f>
        <v>644.95116999999993</v>
      </c>
      <c r="L139" s="3">
        <f>924.6+(202-563.7)+(-2.35773+(-0.5151--1.437435))+0-0-0</f>
        <v>561.46460500000001</v>
      </c>
      <c r="M139" s="3">
        <f>885.7+(281.9-638)+(0+(0-0))+0-0-0</f>
        <v>529.6</v>
      </c>
      <c r="N139" s="3">
        <f>872+(299.7-618.1)+(-1.77888+(-0.611388--1.260924))+0-0-0</f>
        <v>552.47065599999996</v>
      </c>
      <c r="O139" s="3">
        <f>878.7+(324-593.4)+(0.896274+(0.33048-0.605268))+0-0-0</f>
        <v>609.92148600000007</v>
      </c>
      <c r="P139" s="3">
        <f>971+(342-625.7)+(0+(0-0))+0-0-0</f>
        <v>687.3</v>
      </c>
      <c r="Q139" s="3">
        <f>1055+(359.1-660.6)+(-0.53805+(-0.183141--0.336906))+0-0-0</f>
        <v>753.11571500000002</v>
      </c>
      <c r="R139" s="3">
        <f>1045.4+(391.6-635.6)+(-1.599462+(-0.599148--0.972468))+0-0-0</f>
        <v>800.17385800000011</v>
      </c>
      <c r="S139" s="3">
        <f>1046.7+(407.4-584.7)+(-0.533817+(-0.207774--0.298197))+0-0-0</f>
        <v>868.95660599999997</v>
      </c>
      <c r="T139" s="3">
        <f>1038.6+(386.6-512)+(-1.589058+(-0.591498--0.78336))+0-0-0</f>
        <v>911.80280399999992</v>
      </c>
      <c r="U139" s="3">
        <f>1042.3+(228-362.8)+(-0.531573+(-0.11628--0.185028))+0-0-0</f>
        <v>907.03717500000005</v>
      </c>
      <c r="V139" s="3">
        <f>1031.1+(219-373.9)+(-2.629305+(-0.55845--0.953445))+0-0-0</f>
        <v>873.96568999999988</v>
      </c>
      <c r="W139" s="3">
        <f>1032.3+(193.9-415.9)+(-2.632365+(-0.494445--1.060545))+0-0-0</f>
        <v>808.23373499999991</v>
      </c>
      <c r="X139" s="3">
        <f>1033+(162.9-459.1)+(-1.58049+(-0.249237--0.702423))+0-0-0</f>
        <v>735.67269599999997</v>
      </c>
      <c r="Y139" s="3">
        <f>1042.4+(123.3-477.9)+(0+(0-0))+0-0-0</f>
        <v>687.80000000000018</v>
      </c>
      <c r="Z139" s="3">
        <f>1084.5+(169.7-473.8)+(0.553095+(0.086547-0.241638))+0-0-0</f>
        <v>780.79800399999999</v>
      </c>
      <c r="AA139" s="3">
        <f>1146.5+(222.7-449.5)+(-0.584715+(-0.113577--0.229245))+0-0-0</f>
        <v>919.230953</v>
      </c>
      <c r="AB139" s="3">
        <f>1155.5+(245.9-458)+(0+(0-0))+0-0-0</f>
        <v>943.4</v>
      </c>
      <c r="AC139" s="3">
        <f>1136.2+(245.1-426.8)+(-1.738386+(-0.375003--0.653004))+0-0-0</f>
        <v>953.03961500000003</v>
      </c>
      <c r="AD139">
        <f t="shared" si="2"/>
        <v>18438.832021999999</v>
      </c>
      <c r="AE139" s="3">
        <f>1131+(245.1-486.6)+(0+(0-0))+0-0-0</f>
        <v>889.5</v>
      </c>
    </row>
    <row r="140" spans="1:31" s="2" customFormat="1" x14ac:dyDescent="0.25">
      <c r="A140">
        <v>89</v>
      </c>
      <c r="B140">
        <v>5</v>
      </c>
      <c r="C140">
        <v>16</v>
      </c>
      <c r="D140">
        <v>1</v>
      </c>
      <c r="E140">
        <v>1</v>
      </c>
      <c r="F140" s="3">
        <f>1109.5+(240.6-412)+(-0.565845+(-0.122706--0.21012))+0-0-0</f>
        <v>937.62156900000002</v>
      </c>
      <c r="G140" s="3">
        <f>1106.5+(259.7-472.7)+(-0.564315+(-0.132447--0.241077))+0-0-0</f>
        <v>893.04431499999998</v>
      </c>
      <c r="H140" s="3">
        <f>1106.2+(239.9-515.8)+(-0.564162+(-0.122349--0.263058))+0-0-0</f>
        <v>829.87654700000007</v>
      </c>
      <c r="I140" s="3">
        <f>1099.7+(220.6-550.1)+(-1.121694+(-0.225012--0.561102))+0-0-0</f>
        <v>769.41439600000001</v>
      </c>
      <c r="J140" s="3">
        <f>1099.6+(204-571)+(-1.682388+(-0.31212--0.87363))+0-0-0</f>
        <v>731.47912199999996</v>
      </c>
      <c r="K140" s="3">
        <f>1099.2+(162.6-569.5)+(-1.681776+(-0.248778--0.871335))+0-0-0</f>
        <v>691.24078100000008</v>
      </c>
      <c r="L140" s="3">
        <f>1095+(108.6-579.1)+(-2.79225+(-0.27693--1.476705))+0-0-0</f>
        <v>622.90752499999996</v>
      </c>
      <c r="M140" s="3">
        <f>1109.7+(111.3-584.1)+(0+(0-0))+0-0-0</f>
        <v>636.90000000000009</v>
      </c>
      <c r="N140" s="3">
        <f>1148.5+(145.8-586.7)+(-0.585735+(-0.074358--0.299217))+0-0-0</f>
        <v>707.23912399999995</v>
      </c>
      <c r="O140" s="3">
        <f>1212.9+(232.1-644.3)+(0+(0-0))+0-0-0</f>
        <v>800.70000000000016</v>
      </c>
      <c r="P140" s="3">
        <f>1263.6+(283.1-654.2)+(0.644436+(0.144381-0.333642))+0-0-0</f>
        <v>892.95517499999994</v>
      </c>
      <c r="Q140" s="3">
        <f>1251.9+(290.6-569.6)+(-0.638469+(-0.148206--0.290496))+0-0-0</f>
        <v>972.40382100000011</v>
      </c>
      <c r="R140" s="3">
        <f>1324.9+(273.7-548.3)+(0.675699+(0.139587-0.279633))+0-0-0</f>
        <v>1050.8356530000001</v>
      </c>
      <c r="S140" s="3">
        <f>1293.3+(302.7-500.1)+(-1.978749+(-0.463131--0.765153))+0-0-0</f>
        <v>1094.2232729999998</v>
      </c>
      <c r="T140" s="3">
        <f>1304.7+(307-473.9)+(0+(0-0))+0-0-0</f>
        <v>1137.8000000000002</v>
      </c>
      <c r="U140" s="3">
        <f>1277.9+(293.7-448.8)+(0+(0-0))+0-0-0</f>
        <v>1122.8000000000002</v>
      </c>
      <c r="V140" s="3">
        <f>1275.1+(293.9-477.3)+(-2.601204+(-0.599556--0.973692))+0-0-0</f>
        <v>1089.4729319999999</v>
      </c>
      <c r="W140" s="3">
        <f>1275.1+(269.8-514.9)+(-1.300602+(-0.275196--0.525198))+0-0-0</f>
        <v>1028.9494</v>
      </c>
      <c r="X140" s="3">
        <f>1276+(241.6-583.2)+(-1.95228+(-0.369648--0.892296))+0-0-0</f>
        <v>932.97036800000001</v>
      </c>
      <c r="Y140" s="3">
        <f>1286.1+(201.1-608.2)+(0+(0-0))+0-0-0</f>
        <v>878.99999999999989</v>
      </c>
      <c r="Z140" s="3">
        <f>1365.3+(230.7-622.9)+(0+(0-0))+0-0-0</f>
        <v>973.09999999999991</v>
      </c>
      <c r="AA140" s="3">
        <f>1428+(272.5-587.2)+(0+(0-0))+0-0-0</f>
        <v>1113.3</v>
      </c>
      <c r="AB140" s="3">
        <f>1435.7+(276.4-582.6)+(1.464414+(0.281928-0.594252))+0-0-0</f>
        <v>1130.65209</v>
      </c>
      <c r="AC140" s="3">
        <f>1404.3+(277.4-594.8)+(-0.716193+(-0.141474--0.303348))+0-0-0</f>
        <v>1086.345681</v>
      </c>
      <c r="AD140">
        <f t="shared" si="2"/>
        <v>22125.231771999996</v>
      </c>
      <c r="AE140" s="3">
        <f>1421+(272.6-631.3)+(0+(0-0))+0-0-0</f>
        <v>1062.3000000000002</v>
      </c>
    </row>
    <row r="141" spans="1:31" s="2" customFormat="1" x14ac:dyDescent="0.25">
      <c r="A141">
        <v>89</v>
      </c>
      <c r="B141">
        <v>5</v>
      </c>
      <c r="C141">
        <v>17</v>
      </c>
      <c r="D141">
        <v>2</v>
      </c>
      <c r="E141">
        <v>1</v>
      </c>
      <c r="F141" s="3">
        <f>1340.9+(272.1-593.6)+(-2.735436+(-0.555084--1.210944))+0-0-0</f>
        <v>1017.3204240000001</v>
      </c>
      <c r="G141" s="3">
        <f>1305+(260.9-632.8)+(-0.66555+(-0.133059--0.322728))+0-0-0</f>
        <v>932.62411900000006</v>
      </c>
      <c r="H141" s="3">
        <f>1224.3+(264.1-630.7)+(0+(0-0))+0-0-0</f>
        <v>857.69999999999993</v>
      </c>
      <c r="I141" s="3">
        <f>1039+(306.1-552.4)+(-1.58967+(-0.468333--0.845172))+0-0-0</f>
        <v>791.48716899999999</v>
      </c>
      <c r="J141" s="3">
        <f>1036.1+(273.4-563.1)+(-1.056822+(-0.278868--0.574362))+0-0-0</f>
        <v>745.63867199999981</v>
      </c>
      <c r="K141" s="3">
        <f>1035.5+(224.7-550.4)+(-1.05621+(-0.229194--0.561408))+0-0-0</f>
        <v>709.0760039999999</v>
      </c>
      <c r="L141" s="3">
        <f>1032.2+(194.6-588.3)+(-2.105688+(-0.396984--1.200132))+0-0-0</f>
        <v>637.19746000000009</v>
      </c>
      <c r="M141" s="3">
        <f>1041.7+(182.2-581.2)+(0+(0-0))+0-0-0</f>
        <v>642.70000000000005</v>
      </c>
      <c r="N141" s="3">
        <f>1036.5+(208.8-533.5)+(-0.528615+(-0.106488--0.272085))+0-0-0</f>
        <v>711.43698199999994</v>
      </c>
      <c r="O141" s="3">
        <f>1051+(289.9-551.3)+(-1.60803+(-0.443547--0.843489))+0-0-0</f>
        <v>788.39191200000005</v>
      </c>
      <c r="P141" s="3">
        <f>1312.7+(262.5-722)+(0+(0-0))+0-0-0</f>
        <v>853.2</v>
      </c>
      <c r="Q141" s="3">
        <f>1285+(265.7-598.2)+(0+(0-0))+0-0-0</f>
        <v>952.5</v>
      </c>
      <c r="R141" s="3">
        <f>1294.1+(270.4-531.9)+(0.659991+(0.137904-0.271269))+0-0-0</f>
        <v>1033.126626</v>
      </c>
      <c r="S141" s="3">
        <f>1335+(268.8-519.1)+(-0.68085+(-0.137088--0.264741))+0-0-0</f>
        <v>1084.1468030000001</v>
      </c>
      <c r="T141" s="3">
        <f>1335.5+(275.9-487.9)+(0.681105+(0.140709-0.248829))+0-0-0</f>
        <v>1124.072985</v>
      </c>
      <c r="U141" s="3">
        <f>1335.7+(283.1-469.7)+(-0.681207+(-0.144381--0.239547))+0-0-0</f>
        <v>1148.5139590000001</v>
      </c>
      <c r="V141" s="3">
        <f>1337.1+(276.1-485.9)+(-0.681921+(-0.140811--0.247809))+0-0-0</f>
        <v>1126.7250770000001</v>
      </c>
      <c r="W141" s="3">
        <f>1340.3+(261-559.1)+(-2.050659+(-0.39933--0.855423))+0-0-0</f>
        <v>1040.6054339999998</v>
      </c>
      <c r="X141" s="3">
        <f>1321.7+(240.6-623.2)+(-3.370335+(-0.61353--1.58916))+0-0-0</f>
        <v>936.70529499999998</v>
      </c>
      <c r="Y141" s="3">
        <f>1354.1+(172.7-649)+(-1.381182+(-0.176154--0.66198))+0-0-0</f>
        <v>876.90464399999996</v>
      </c>
      <c r="Z141" s="3">
        <f>1396.4+(221.8-641.5)+(-0.712164+(-0.113118--0.327165))+0-0-0</f>
        <v>976.20188300000007</v>
      </c>
      <c r="AA141" s="3">
        <f>1414.1+(287.8-578.9)+(-2.163573+(-0.440334--0.885717))+0-0-0</f>
        <v>1121.28181</v>
      </c>
      <c r="AB141" s="3">
        <f>1416.5+(298.3-567)+(0+(0-0))+0-0-0</f>
        <v>1147.8</v>
      </c>
      <c r="AC141" s="3">
        <f>1392.5+(295.7-576.8)+(-1.42035+(-0.301614--0.588336))+0-0-0</f>
        <v>1110.266372</v>
      </c>
      <c r="AD141">
        <f t="shared" si="2"/>
        <v>22365.623630000002</v>
      </c>
      <c r="AE141" s="3">
        <f>1407+(280.9-635.7)+(0+(0-0))+0-0-0</f>
        <v>1052.1999999999998</v>
      </c>
    </row>
    <row r="142" spans="1:31" s="2" customFormat="1" x14ac:dyDescent="0.25">
      <c r="A142">
        <v>89</v>
      </c>
      <c r="B142">
        <v>5</v>
      </c>
      <c r="C142">
        <v>18</v>
      </c>
      <c r="D142">
        <v>3</v>
      </c>
      <c r="E142">
        <v>1</v>
      </c>
      <c r="F142" s="3">
        <f>1379.8+(278.5-615.7)+(-3.51849+(-0.710175--1.570035))+0-0-0</f>
        <v>1039.94137</v>
      </c>
      <c r="G142" s="3">
        <f>1386.8+(243.4-666.7)+(-1.414536+(-0.248268--0.680034))+0-0-0</f>
        <v>962.51722999999993</v>
      </c>
      <c r="H142" s="3">
        <f>1390.4+(183.4-690.4)+(-0.709104+(-0.093534--0.352104))+0-0-0</f>
        <v>882.94946600000014</v>
      </c>
      <c r="I142" s="3">
        <f>1333+(147.9-657.8)+(0.67983+(0.075429-0.335478))+0-0-0</f>
        <v>823.51978099999997</v>
      </c>
      <c r="J142" s="3">
        <f>1307.3+(144-665.2)+(2.000169+(0.22032-1.017756))+0-0-0</f>
        <v>787.30273299999988</v>
      </c>
      <c r="K142" s="3">
        <f>1295.9+(119.1-684.3)+(-0.660909+(-0.060741--0.348993))+0-0-0</f>
        <v>730.32734300000016</v>
      </c>
      <c r="L142" s="3">
        <f>1291.4+(83.6-714.8)+(-1.975842+(-0.127908--1.093644))+0-0-0</f>
        <v>659.18989400000021</v>
      </c>
      <c r="M142" s="3">
        <f>1297.1+(139.6-710.5)+(0+(0-0))+0-0-0</f>
        <v>726.19999999999993</v>
      </c>
      <c r="N142" s="3">
        <f>1308.8+(167.3-713.6)+(1.334976+(0.170646-0.727872))+0-0-0</f>
        <v>763.27774999999997</v>
      </c>
      <c r="O142" s="3">
        <f>1375.8+(140.9-714.2)+(-1.403316+(-0.143718--0.728484))+0-0-0</f>
        <v>801.68144999999993</v>
      </c>
      <c r="P142" s="3">
        <f>1378.5+(198.5-686.4)+(2.109105+(0.303705-1.050192))+0-0-0</f>
        <v>891.96261800000002</v>
      </c>
      <c r="Q142" s="3">
        <f>1375.1+(208.8-634.6)+(0.701301+(0.106488-0.323646))+0-0-0</f>
        <v>949.78414299999997</v>
      </c>
      <c r="R142" s="3">
        <f>1359.1+(204.5-565.4)+(-1.386282+(-0.20859--0.576708))+0-0-0</f>
        <v>997.18183599999998</v>
      </c>
      <c r="S142" s="3">
        <f>1352.2+(202.1-485.1)+(0.689622+(0.103071-0.247401))+0-0-0</f>
        <v>1069.7452920000001</v>
      </c>
      <c r="T142" s="3">
        <f>1350.2+(258.6-475.9)+(0+(0-0))+0-0-0</f>
        <v>1132.9000000000001</v>
      </c>
      <c r="U142" s="3">
        <f>1346.4+(260.3-477.4)+(0+(0-0))+0-0-0</f>
        <v>1129.3000000000002</v>
      </c>
      <c r="V142" s="3">
        <f>1290.9+(255.2-508.1)+(-0.658359+(-0.130152--0.259131))+0-0-0</f>
        <v>1037.4706200000001</v>
      </c>
      <c r="W142" s="3">
        <f>1325.7+(251.4-528.4)+(-1.352214+(-0.256428--0.538968))+0-0-0</f>
        <v>1047.630326</v>
      </c>
      <c r="X142" s="3">
        <f>1337.8+(221.1-617.1)+(-3.41139+(-0.563805--1.573605))+0-0-0</f>
        <v>939.3984099999999</v>
      </c>
      <c r="Y142" s="3">
        <f>1341.4+(194.5-672.3)+(-1.368228+(-0.19839--0.685746))+0-0-0</f>
        <v>862.71912800000018</v>
      </c>
      <c r="Z142" s="3">
        <f>1393.7+(218.1-643.2)+(-0.710787+(-0.111231--0.328032))+0-0-0</f>
        <v>968.10601400000007</v>
      </c>
      <c r="AA142" s="3">
        <f>1415.8+(276.2-585.2)+(-2.888232+(-0.563448--1.193808))+0-0-0</f>
        <v>1104.542128</v>
      </c>
      <c r="AB142" s="3">
        <f>1421.5+(280.3-592.4)+(-1.44993+(-0.285906--0.604248))+0-0-0</f>
        <v>1108.2684120000001</v>
      </c>
      <c r="AC142" s="3">
        <f>1386.2+(281.5-592.3)+(-1.413924+(-0.28713--0.604146))+0-0-0</f>
        <v>1074.3030920000001</v>
      </c>
      <c r="AD142">
        <f t="shared" si="2"/>
        <v>22490.219036000002</v>
      </c>
      <c r="AE142" s="3">
        <f>1404+(272.9-634.8)+(0+(0-0))+0-0-0</f>
        <v>1042.0999999999999</v>
      </c>
    </row>
    <row r="143" spans="1:31" s="2" customFormat="1" x14ac:dyDescent="0.25">
      <c r="A143">
        <v>89</v>
      </c>
      <c r="B143">
        <v>5</v>
      </c>
      <c r="C143">
        <v>19</v>
      </c>
      <c r="D143">
        <v>4</v>
      </c>
      <c r="E143">
        <v>1</v>
      </c>
      <c r="F143" s="3">
        <f>1365.3+(260.8-612.2)+(-1.392606+(-0.266016--0.624444))+0-0-0</f>
        <v>1012.8658219999999</v>
      </c>
      <c r="G143" s="3">
        <f>1304.8+(258.3-621.2)+(-1.330896+(-0.263466--0.633624))+0-0-0</f>
        <v>940.93926199999987</v>
      </c>
      <c r="H143" s="3">
        <f>1184.7+(280.2-609.7)+(-2.416788+(-0.571608--1.243788))+0-0-0</f>
        <v>853.45539200000007</v>
      </c>
      <c r="I143" s="3">
        <f>1098.8+(295-591.6)+(0.560388+(0.15045-0.301716))+0-0-0</f>
        <v>802.60912199999996</v>
      </c>
      <c r="J143" s="3">
        <f>1104.6+(281.6-633.6)+(2.253384+(0.574464-1.292544))+0-0-0</f>
        <v>754.13530399999991</v>
      </c>
      <c r="K143" s="3">
        <f>1101.1+(272.3-663.2)+(1.123122+(0.277746-0.676464))+0-0-0</f>
        <v>710.92440399999987</v>
      </c>
      <c r="L143" s="3">
        <f>1088.3+(215.7-663.1)+(-1.110066+(-0.220014--0.676362))+0-0-0</f>
        <v>640.24628199999984</v>
      </c>
      <c r="M143" s="3">
        <f>1098.6+(218.5-667.5)+(1.120572+(0.22287-0.68085))+0-0-0</f>
        <v>650.26259199999993</v>
      </c>
      <c r="N143" s="3">
        <f>1275.3+(205.3-768.3)+(1.951209+(0.314109-1.175499))+0-0-0</f>
        <v>713.38981899999999</v>
      </c>
      <c r="O143" s="3">
        <f>1341.3+(225.6-787.8)+(2.736252+(0.460224-1.607112))+0-0-0</f>
        <v>780.68936400000007</v>
      </c>
      <c r="P143" s="3">
        <f>1338.6+(253.9-742.9)+(1.365372+(0.258978-0.757758))+0-0-0</f>
        <v>850.46659199999988</v>
      </c>
      <c r="Q143" s="3">
        <f>1328.6+(247.5-654.4)+(0+(0-0))+0-0-0</f>
        <v>921.69999999999993</v>
      </c>
      <c r="R143" s="3">
        <f>1304.5+(265.3-590.9)+(0.665295+(0.135303-0.301359))+0-0-0</f>
        <v>979.39923900000008</v>
      </c>
      <c r="S143" s="3">
        <f>1273.2+(288.1-487.6)+(0+(0-0))+0-0-0</f>
        <v>1073.7</v>
      </c>
      <c r="T143" s="3">
        <f>1295.9+(288.2-462.9)+(0+(0-0))+0-0-0</f>
        <v>1121.2</v>
      </c>
      <c r="U143" s="3">
        <f>1302.1+(275.9-461)+(0.664071+(0.140709-0.23511))+0-0-0</f>
        <v>1117.5696700000001</v>
      </c>
      <c r="V143" s="3">
        <f>1216.4+(286.3-418.5)+(1.240728+(0.292026-0.42687))+0-0-0</f>
        <v>1085.3058840000001</v>
      </c>
      <c r="W143" s="3">
        <f>1182.2+(284.8-456.5)+(-2.411688+(-0.580992--0.93126))+0-0-0</f>
        <v>1008.43858</v>
      </c>
      <c r="X143" s="3">
        <f>1180.1+(255.8-526.4)+(-3.009255+(-0.65229--1.34232))+0-0-0</f>
        <v>907.18077500000004</v>
      </c>
      <c r="Y143" s="3">
        <f>1215.4+(190-506.4)+(1.239708+(0.1938-0.516528))+0-0-0</f>
        <v>899.91698000000008</v>
      </c>
      <c r="Z143" s="3">
        <f>1234.7+(286.2-540.5)+(0+(0-0))+0-0-0</f>
        <v>980.40000000000009</v>
      </c>
      <c r="AA143" s="3">
        <f>1300+(314.5-521.3)+(-1.326+(-0.32079--0.531726))+0-0-0</f>
        <v>1092.084936</v>
      </c>
      <c r="AB143" s="3">
        <f>1298.7+(322.5-519.1)+(-0.662337+(-0.164475--0.264741))+0-0-0</f>
        <v>1101.5379289999998</v>
      </c>
      <c r="AC143" s="3">
        <f>1298.5+(329.3-551.3)+(-2.64894+(-0.671772--1.124652))+0-0-0</f>
        <v>1074.30394</v>
      </c>
      <c r="AD143">
        <f t="shared" si="2"/>
        <v>22072.721888000004</v>
      </c>
      <c r="AE143" s="3">
        <f>1294+(313-578.1)+(0+(0-0))+0-0-0</f>
        <v>1028.9000000000001</v>
      </c>
    </row>
    <row r="144" spans="1:31" s="2" customFormat="1" x14ac:dyDescent="0.25">
      <c r="A144">
        <v>89</v>
      </c>
      <c r="B144">
        <v>5</v>
      </c>
      <c r="C144">
        <v>20</v>
      </c>
      <c r="D144">
        <v>5</v>
      </c>
      <c r="E144">
        <v>1</v>
      </c>
      <c r="F144" s="3">
        <f>1280.9+(323.1-588.9)+(-2.613036+(-0.659124--1.201356))+0-0-0</f>
        <v>1013.0291960000002</v>
      </c>
      <c r="G144" s="3">
        <f>1092+(385.1-530.6)+(-1.67076+(-0.589203--0.811818))+0-0-0</f>
        <v>945.05185500000005</v>
      </c>
      <c r="H144" s="3">
        <f>973+(406.9-488)+(-1.98492+(-0.830076--0.99552))+0-0-0</f>
        <v>890.08052399999997</v>
      </c>
      <c r="I144" s="3">
        <f>966+(376.5-488.5)+(-2.4633+(-0.960075--1.245675))+0-0-0</f>
        <v>851.82230000000004</v>
      </c>
      <c r="J144" s="3">
        <f>963.9+(331.8-475.4)+(-2.949534+(-1.015308--1.454724))+0-0-0</f>
        <v>817.78988199999992</v>
      </c>
      <c r="K144" s="3">
        <f>967+(283.5-483.9)+(-1.97268+(-0.57834--0.987156))+0-0-0</f>
        <v>765.03613600000006</v>
      </c>
      <c r="L144" s="3">
        <f>961.4+(232.8-491.3)+(-2.941884+(-0.712368--1.503378))+0-0-0</f>
        <v>700.74912599999993</v>
      </c>
      <c r="M144" s="3">
        <f>967.5+(203.1-468)+(-1.480275+(-0.310743--0.71604))+0-0-0</f>
        <v>701.52502200000004</v>
      </c>
      <c r="N144" s="3">
        <f>972.3+(236.8-482.5)+(0+(0-0))+0-0-0</f>
        <v>726.59999999999991</v>
      </c>
      <c r="O144" s="3">
        <f>1124.2+(243.6-584.5)+(-0.573342+(-0.124236--0.298095))+0-0-0</f>
        <v>782.90051700000004</v>
      </c>
      <c r="P144" s="3">
        <f>1240+(251.1-650.7)+(1.8972+(0.384183-0.995571))+0-0-0</f>
        <v>841.68581199999994</v>
      </c>
      <c r="Q144" s="3">
        <f>1222.6+(258.1-577.3)+(-0.623526+(-0.131631--0.294423))+0-0-0</f>
        <v>902.93926599999998</v>
      </c>
      <c r="R144" s="3">
        <f>1186.4+(275.1-476.9)+(0.605064+(0.140301-0.243219))+0-0-0</f>
        <v>985.10214600000018</v>
      </c>
      <c r="S144" s="3">
        <f>1220.2+(288.8-438.5)+(0+(0-0))+0-0-0</f>
        <v>1070.5</v>
      </c>
      <c r="T144" s="3">
        <f>1189.7+(310.3-387.9)+(0.606747+(0.158253-0.197829))+0-0-0</f>
        <v>1112.6671710000001</v>
      </c>
      <c r="U144" s="3">
        <f>1172.4+(301.5-360)+(0+(0-0))+0-0-0</f>
        <v>1113.9000000000001</v>
      </c>
      <c r="V144" s="3">
        <f>1216.2+(267-371.6)+(-2.481048+(-0.54468--0.758064))+0-0-0</f>
        <v>1109.3323359999999</v>
      </c>
      <c r="W144" s="3">
        <f>1233.1+(250-420.5)+(-2.515524+(-0.51--0.85782))+0-0-0</f>
        <v>1060.432296</v>
      </c>
      <c r="X144" s="3">
        <f>1235.7+(217.2-507.6)+(-3.781242+(-0.664632--1.553256))+0-0-0</f>
        <v>942.40738199999998</v>
      </c>
      <c r="Y144" s="3">
        <f>1235.4+(235.7-569.2)+(0.630054+(0.120207-0.290292))+0-0-0</f>
        <v>902.35996900000009</v>
      </c>
      <c r="Z144" s="3">
        <f>1259.4+(263.9-485.7)+(1.284588+(0.269178-0.495414))+0-0-0</f>
        <v>1038.6583520000001</v>
      </c>
      <c r="AA144" s="3">
        <f>1298.3+(314.6-440.9)+(-1.986399+(-0.481338--0.674577))+0-0-0</f>
        <v>1170.2068400000001</v>
      </c>
      <c r="AB144" s="3">
        <f>1321.3+(312-456.4)+(0+(0-0))+0-0-0</f>
        <v>1176.9000000000001</v>
      </c>
      <c r="AC144" s="3">
        <f>1347.1+(301-506.7)+(-2.061063+(-0.46053--0.775251))+0-0-0</f>
        <v>1139.653658</v>
      </c>
      <c r="AD144">
        <f t="shared" si="2"/>
        <v>22761.329785999998</v>
      </c>
      <c r="AE144" s="3">
        <f>1288+(326.7-497.8)+(0+(0-0))+0-0-0</f>
        <v>1116.9000000000001</v>
      </c>
    </row>
    <row r="145" spans="1:31" s="2" customFormat="1" x14ac:dyDescent="0.25">
      <c r="A145">
        <v>89</v>
      </c>
      <c r="B145">
        <v>5</v>
      </c>
      <c r="C145">
        <v>21</v>
      </c>
      <c r="D145">
        <v>6</v>
      </c>
      <c r="E145">
        <v>8</v>
      </c>
      <c r="F145" s="3">
        <f>1396.7+(269.3-587.7)+(-2.849268+(-0.549372--1.198908))+0-0-0</f>
        <v>1076.1002679999999</v>
      </c>
      <c r="G145" s="3">
        <f>1318.1+(275.9-598.6)+(-2.688924+(-0.562836--1.221144))+0-0-0</f>
        <v>993.36938399999985</v>
      </c>
      <c r="H145" s="3">
        <f>1219.1+(291.8-583.1)+(0+(0-0))+0-0-0</f>
        <v>927.8</v>
      </c>
      <c r="I145" s="3">
        <f>1209.8+(261.1-590.6)+(1.233996+(0.266322-0.602412))+0-0-0</f>
        <v>881.19790599999999</v>
      </c>
      <c r="J145" s="3">
        <f>1214.4+(304.4-667.2)+(-1.858032+(-0.465732--1.020816))+0-0-0</f>
        <v>850.29705200000001</v>
      </c>
      <c r="K145" s="3">
        <f>1098.4+(294.9-621.6)+(-2.80092+(-0.751995--1.58508))+0-0-0</f>
        <v>769.73216500000001</v>
      </c>
      <c r="L145" s="3">
        <f>1059+(228.6-618.7)+(-4.32072+(-0.932688--2.524296))+0-0-0</f>
        <v>666.17088799999999</v>
      </c>
      <c r="M145" s="3">
        <f>1081.2+(196.9-627.2)+(1.102824+(0.200838-0.639744))+0-0-0</f>
        <v>651.56391799999994</v>
      </c>
      <c r="N145" s="3">
        <f>1141.5+(222.5-660.2)+(1.16433+(0.22695-0.673404))+0-0-0</f>
        <v>704.517876</v>
      </c>
      <c r="O145" s="3">
        <f>1191.8+(228.4-624.5)+(2.431272+(0.465936-1.27398))+0-0-0</f>
        <v>797.32322799999997</v>
      </c>
      <c r="P145" s="3">
        <f>1170.3+(253.2-553.2)+(1.193706+(0.258264-0.564264))+0-0-0</f>
        <v>871.18770599999993</v>
      </c>
      <c r="Q145" s="3">
        <f>1146.4+(293.2-510.8)+(0+(0-0))+0-0-0</f>
        <v>928.80000000000007</v>
      </c>
      <c r="R145" s="3">
        <f>1149+(328-470.6)+(1.17198+(0.33456-0.480012))+0-0-0</f>
        <v>1007.426528</v>
      </c>
      <c r="S145" s="3">
        <f>1138.7+(366-397.1)+(0+(0-0))+0-0-0</f>
        <v>1107.5999999999999</v>
      </c>
      <c r="T145" s="3">
        <f>1151.4+(364.3-377.3)+(0+(0-0))+0-0-0</f>
        <v>1138.4000000000001</v>
      </c>
      <c r="U145" s="3">
        <f>1154.5+(358.7-386.3)+(-0.588795+(-0.182937--0.197013))+0-0-0</f>
        <v>1126.3252810000001</v>
      </c>
      <c r="V145" s="3">
        <f>1156.3+(355.1-434.9)+(-0.589713+(-0.181101--0.221799))+0-0-0</f>
        <v>1075.9509849999999</v>
      </c>
      <c r="W145" s="3">
        <f>1164.4+(337.7-485.4)+(-1.781532+(-0.516681--0.742662))+0-0-0</f>
        <v>1015.144449</v>
      </c>
      <c r="X145" s="3">
        <f>1168.3+(279.2-505.8)+(-2.383332+(-0.569568--1.031832))+0-0-0</f>
        <v>939.77893199999994</v>
      </c>
      <c r="Y145" s="3">
        <f>1177.3+(238.4-513.2)+(0.600423+(0.121584-0.261732))+0-0-0</f>
        <v>902.96027499999991</v>
      </c>
      <c r="Z145" s="3">
        <f>1206.4+(347-453.2)+(1.230528+(0.35394-0.462264))+0-0-0</f>
        <v>1101.3222040000001</v>
      </c>
      <c r="AA145" s="3">
        <f>1126.8+(415.7-389.4)+(-0.574668+(-0.212007--0.198594))+0-0-0</f>
        <v>1152.5119189999998</v>
      </c>
      <c r="AB145" s="3">
        <f>1131.4+(393.6-412.6)+(-0.577014+(-0.200736--0.210426))+0-0-0</f>
        <v>1111.832676</v>
      </c>
      <c r="AC145" s="3">
        <f>1130.3+(382.2-449)+(0.576453+(0.194922-0.22899))+0-0-0</f>
        <v>1064.042385</v>
      </c>
      <c r="AD145">
        <f t="shared" si="2"/>
        <v>22861.356025000001</v>
      </c>
      <c r="AE145" s="3">
        <f>1129+(431.7-442.2)+(0+(0-0))+0-0-0</f>
        <v>1118.5</v>
      </c>
    </row>
    <row r="146" spans="1:31" s="2" customFormat="1" x14ac:dyDescent="0.25">
      <c r="A146">
        <v>89</v>
      </c>
      <c r="B146">
        <v>5</v>
      </c>
      <c r="C146">
        <v>22</v>
      </c>
      <c r="D146">
        <v>7</v>
      </c>
      <c r="E146">
        <v>1</v>
      </c>
      <c r="F146" s="3">
        <f>1145.1+(361.3-489.1)+(0.584001+(0.184263-0.249441))+0-0-0</f>
        <v>1017.818823</v>
      </c>
      <c r="G146" s="3">
        <f>1146.8+(331.8-543)+(-1.169736+(-0.338436--0.55386))+0-0-0</f>
        <v>934.64568799999995</v>
      </c>
      <c r="H146" s="3">
        <f>1144.5+(331.1-594.4)+(-0.583695+(-0.168861--0.303144))+0-0-0</f>
        <v>880.75058799999999</v>
      </c>
      <c r="I146" s="3">
        <f>1145.8+(322.3-644)+(0+(0-0))+0-0-0</f>
        <v>824.09999999999991</v>
      </c>
      <c r="J146" s="3">
        <f>1224.6+(307-738.5)+(-0.624546+(-0.15657--0.376635))+0-0-0</f>
        <v>792.69551899999988</v>
      </c>
      <c r="K146" s="3">
        <f>1240.8+(262.5-759.1)+(-1.265616+(-0.26775--0.774282))+0-0-0</f>
        <v>743.4409159999999</v>
      </c>
      <c r="L146" s="3">
        <f>1104.2+(266.8-735.2)+(-2.252568+(-0.544272--1.499808))+0-0-0</f>
        <v>634.50296800000001</v>
      </c>
      <c r="M146" s="3">
        <f>1082.6+(265.8-749.1)+(-0.552126+(-0.135558--0.382041))+0-0-0</f>
        <v>598.99435699999992</v>
      </c>
      <c r="N146" s="3">
        <f>1078.6+(253.9-732.8)+(-1.650258+(-0.388467--1.121184))+0-0-0</f>
        <v>598.7824589999999</v>
      </c>
      <c r="O146" s="3">
        <f>1146.4+(226.4-722.8)+(0.584664+(0.115464-0.368628))+0-0-0</f>
        <v>650.33150000000012</v>
      </c>
      <c r="P146" s="3">
        <f>1196+(244.2-723.7)+(-1.21992+(-0.249084--0.738174))+0-0-0</f>
        <v>715.76917000000003</v>
      </c>
      <c r="Q146" s="3">
        <f>1189.7+(303.2-693.2)+(0+(0-0))+0-0-0</f>
        <v>799.7</v>
      </c>
      <c r="R146" s="3">
        <f>1205.3+(308.7-617.6)+(0.614703+(0.157437-0.314976))+0-0-0</f>
        <v>896.8571639999999</v>
      </c>
      <c r="S146" s="3">
        <f>1184.2+(336.4-558.1)+(0+(0-0))+0-0-0</f>
        <v>962.5</v>
      </c>
      <c r="T146" s="3">
        <f>1188.5+(346.7-528)+(0.606135+(0.176817-0.26928))+0-0-0</f>
        <v>1007.7136720000001</v>
      </c>
      <c r="U146" s="3">
        <f>1189.7+(359.1-548.3)+(0+(0-0))+0-0-0</f>
        <v>1000.5000000000001</v>
      </c>
      <c r="V146" s="3">
        <f>1185.6+(328.8-556.3)+(-1.813968+(-0.503064--0.851139))+0-0-0</f>
        <v>956.63410699999986</v>
      </c>
      <c r="W146" s="3">
        <f>1185.6+(301-586)+(-1.813968+(-0.46053--0.89658))+0-0-0</f>
        <v>899.22208199999989</v>
      </c>
      <c r="X146" s="3">
        <f>1156.2+(258.7-598.8)+(-2.358648+(-0.527748--1.221552))+0-0-0</f>
        <v>814.43515600000012</v>
      </c>
      <c r="Y146" s="3">
        <f>1165+(248.2-635)+(-1.1883+(-0.253164--0.6477))+0-0-0</f>
        <v>777.40623600000004</v>
      </c>
      <c r="Z146" s="3">
        <f>1206.5+(297.4-558.7)+(-0.615315+(-0.151674--0.284937))+0-0-0</f>
        <v>944.71794799999998</v>
      </c>
      <c r="AA146" s="3">
        <f>1247.3+(323.7-555.4)+(-3.180615+(-0.825435--1.41627))+0-0-0</f>
        <v>1013.0102199999999</v>
      </c>
      <c r="AB146" s="3">
        <f>1273.9+(310.8-589.5)+(-1.299378+(-0.317016--0.60129))+0-0-0</f>
        <v>994.18489600000009</v>
      </c>
      <c r="AC146" s="3">
        <f>1353.1+(257.5-622)+(0.690081+(0.131325-0.31722))+0-0-0</f>
        <v>989.10418599999991</v>
      </c>
      <c r="AD146">
        <f t="shared" si="2"/>
        <v>20447.817654999999</v>
      </c>
      <c r="AE146" s="3">
        <f>1224+(329.6-594.1)+(0+(0-0))+0-0-0</f>
        <v>959.5</v>
      </c>
    </row>
    <row r="147" spans="1:31" s="2" customFormat="1" x14ac:dyDescent="0.25">
      <c r="A147">
        <v>89</v>
      </c>
      <c r="B147">
        <v>5</v>
      </c>
      <c r="C147">
        <v>23</v>
      </c>
      <c r="D147">
        <v>1</v>
      </c>
      <c r="E147">
        <v>1</v>
      </c>
      <c r="F147" s="3">
        <f>1347.8+(197.5-611.1)+(-2.749512+(-0.4029--1.246644))+0-0-0</f>
        <v>932.29423199999997</v>
      </c>
      <c r="G147" s="3">
        <f>1394.7+(163.9-677.5)+(0.711297+(0.083589-0.345525))+0-0-0</f>
        <v>881.54936099999998</v>
      </c>
      <c r="H147" s="3">
        <f>1389.9+(150.5-713.2)+(-1.417698+(-0.15351--0.727464))+0-0-0</f>
        <v>826.35625600000003</v>
      </c>
      <c r="I147" s="3">
        <f>1381.4+(138-736.6)+(-2.818056+(-0.28152--1.502664))+0-0-0</f>
        <v>781.20308800000009</v>
      </c>
      <c r="J147" s="3">
        <f>1395.2+(115-752.8)+(-0.711552+(-0.05865--0.383928))+0-0-0</f>
        <v>757.01372600000013</v>
      </c>
      <c r="K147" s="3">
        <f>1208.7+(168.8-668.5)+(-1.232874+(-0.172176--0.68187))+0-0-0</f>
        <v>708.27682000000004</v>
      </c>
      <c r="L147" s="3">
        <f>1101.5+(172.8-650.4)+(-1.12353+(-0.176256--0.663408))+0-0-0</f>
        <v>623.26362200000005</v>
      </c>
      <c r="M147" s="3">
        <f>1102.4+(179-663.3)+(-0.562224+(-0.09129--0.338283))+0-0-0</f>
        <v>617.7847690000001</v>
      </c>
      <c r="N147" s="3">
        <f>1331.3+(171.2-816.3)+(0.678963+(0.087312-0.416313))+0-0-0</f>
        <v>686.54996200000005</v>
      </c>
      <c r="O147" s="3">
        <f>1408.1+(183.1-810.5)+(-2.154393+(-0.280143--1.240065))+0-0-0</f>
        <v>779.50552899999991</v>
      </c>
      <c r="P147" s="3">
        <f>1399.5+(190.5-751.3)+(0.713745+(0.097155-0.383163))+0-0-0</f>
        <v>839.12773700000002</v>
      </c>
      <c r="Q147" s="3">
        <f>1391.5+(183.9-692.1)+(2.128995+(0.281367-1.058913))+0-0-0</f>
        <v>884.65144899999996</v>
      </c>
      <c r="R147" s="3">
        <f>1374.9+(204.3-626.9)+(0.701199+(0.104193-0.319719))+0-0-0</f>
        <v>952.7856730000002</v>
      </c>
      <c r="S147" s="3">
        <f>1363.9+(221.5-586.8)+(0.695589+(0.112965-0.299268))+0-0-0</f>
        <v>999.10928600000011</v>
      </c>
      <c r="T147" s="3">
        <f>1357.5+(245.7-540.9)+(0.692325+(0.125307-0.275859))+0-0-0</f>
        <v>1062.8417729999999</v>
      </c>
      <c r="U147" s="3">
        <f>1344.8+(253.7-548.1)+(-0.685848+(-0.129387--0.279531))+0-0-0</f>
        <v>1049.864296</v>
      </c>
      <c r="V147" s="3">
        <f>1342.6+(220.9-600.9)+(0+(0-0))+0-0-0</f>
        <v>962.59999999999991</v>
      </c>
      <c r="W147" s="3">
        <f>1328.1+(213.2-609.3)+(-3.386655+(-0.54366--1.553715))+0-0-0</f>
        <v>929.62339999999995</v>
      </c>
      <c r="X147" s="3">
        <f>1336.7+(158.8-630.8)+(-1.363434+(-0.161976--0.643416))+0-0-0</f>
        <v>863.81800600000008</v>
      </c>
      <c r="Y147" s="3">
        <f>1340.6+(163.5-659.1)+(-1.367412+(-0.16677--0.672282))+0-0-0</f>
        <v>844.13809999999989</v>
      </c>
      <c r="Z147" s="3">
        <f>1358.3+(238.4-582.7)+(-0.692733+(-0.121584--0.297177))+0-0-0</f>
        <v>1013.4828599999998</v>
      </c>
      <c r="AA147" s="3">
        <f>1380.2+(254.9-559.7)+(-2.815608+(-0.519996--1.141788))+0-0-0</f>
        <v>1073.2061840000001</v>
      </c>
      <c r="AB147" s="3">
        <f>1438.7+(218.8-626.7)+(-1.467474+(-0.223176--0.639234))+0-0-0</f>
        <v>1029.7485839999999</v>
      </c>
      <c r="AC147" s="3">
        <f>1437.1+(205.5-661.9)+(-1.465842+(-0.20961--0.675138))+0-0-0</f>
        <v>979.69968599999993</v>
      </c>
      <c r="AD147">
        <f t="shared" si="2"/>
        <v>21078.494399000003</v>
      </c>
      <c r="AE147" s="3">
        <f>1379+(276.8-609)+(0+(0-0))+0-0-0</f>
        <v>1046.8</v>
      </c>
    </row>
    <row r="148" spans="1:31" s="2" customFormat="1" x14ac:dyDescent="0.25">
      <c r="A148">
        <v>89</v>
      </c>
      <c r="B148">
        <v>5</v>
      </c>
      <c r="C148">
        <v>24</v>
      </c>
      <c r="D148">
        <v>2</v>
      </c>
      <c r="E148">
        <v>1</v>
      </c>
      <c r="F148" s="3">
        <f>1433.6+(159.1-699.4)+(-2.193408+(-0.243423--1.070082))+0-0-0</f>
        <v>891.93325099999993</v>
      </c>
      <c r="G148" s="3">
        <f>1441.9+(151.4-775.3)+(-0.735369+(-0.077214--0.395403))+0-0-0</f>
        <v>817.58282000000008</v>
      </c>
      <c r="H148" s="3">
        <f>1292+(182-718.4)+(0.65892+(0.09282-0.366384))+0-0-0</f>
        <v>755.98535600000002</v>
      </c>
      <c r="I148" s="3">
        <f>1246.9+(176.9-715.8)+(-2.543676+(-0.360876--1.460232))+0-0-0</f>
        <v>706.55568000000017</v>
      </c>
      <c r="J148" s="3">
        <f>1263.6+(159.2-734.6)+(0.644436+(0.081192-0.374646))+0-0-0</f>
        <v>688.55098199999986</v>
      </c>
      <c r="K148" s="3">
        <f>1149+(177.9-684.4)+(-1.75797+(-0.272187--1.047132))+0-0-0</f>
        <v>641.516975</v>
      </c>
      <c r="L148" s="3">
        <f>1091+(143.5-673.8)+(-2.22564+(-0.29274--1.374552))+0-0-0</f>
        <v>559.55617200000006</v>
      </c>
      <c r="M148" s="3">
        <f>1094.6+(149-706.6)+(-1.116492+(-0.15198--0.720732))+0-0-0</f>
        <v>536.45225999999991</v>
      </c>
      <c r="N148" s="3">
        <f>1347.3+(145.8-854.7)+(1.374246+(0.148716-0.871794))+0-0-0</f>
        <v>639.05116799999985</v>
      </c>
      <c r="O148" s="3">
        <f>1383.8+(170-828)+(-2.822952+(-0.3468--1.68912))+0-0-0</f>
        <v>724.31936799999994</v>
      </c>
      <c r="P148" s="3">
        <f>1378.7+(206.7-799)+(2.109411+(0.316251-1.22247))+0-0-0</f>
        <v>787.60319200000004</v>
      </c>
      <c r="Q148" s="3">
        <f>1347.2+(197.3-710.9)+(-1.374144+(-0.201246--0.725118))+0-0-0</f>
        <v>832.74972800000012</v>
      </c>
      <c r="R148" s="3">
        <f>1348.6+(190.3-660)+(0+(0-0))+0-0-0</f>
        <v>878.89999999999986</v>
      </c>
      <c r="S148" s="3">
        <f>1338.5+(206.8-629.4)+(-1.36527+(-0.210936--0.641988))+0-0-0</f>
        <v>914.9657820000001</v>
      </c>
      <c r="T148" s="3">
        <f>1344.5+(218.4-596.2)+(0.685695+(0.111384-0.304062))+0-0-0</f>
        <v>967.19301699999994</v>
      </c>
      <c r="U148" s="3">
        <f>1325.9+(219.7-567.2)+(-0.676209+(-0.112047--0.289272))+0-0-0</f>
        <v>977.90101600000014</v>
      </c>
      <c r="V148" s="3">
        <f>1303.6+(220.1-562.5)+(-1.329672+(-0.224502--0.57375))+0-0-0</f>
        <v>960.21957599999996</v>
      </c>
      <c r="W148" s="3">
        <f>1286.4+(200.9-577.7)+(0+(0-0))+0-0-0</f>
        <v>909.6</v>
      </c>
      <c r="X148" s="3">
        <f>1322.3+(157-636.7)+(-1.348746+(-0.16014--0.649434))+0-0-0</f>
        <v>841.74054799999988</v>
      </c>
      <c r="Y148" s="3">
        <f>1337.6+(175-675.5)+(0+(0-0))+0-0-0</f>
        <v>837.09999999999991</v>
      </c>
      <c r="Z148" s="3">
        <f>1376.7+(248.5-611.2)+(-1.404234+(-0.25347--0.623424))+0-0-0</f>
        <v>1012.96572</v>
      </c>
      <c r="AA148" s="3">
        <f>1428.1+(258.1-606.1)+(-1.456662+(-0.263262--0.618222))+0-0-0</f>
        <v>1078.998298</v>
      </c>
      <c r="AB148" s="3">
        <f>1392.2+(257.7-617.9)+(-1.420044+(-0.262854--0.630258))+0-0-0</f>
        <v>1030.9473599999999</v>
      </c>
      <c r="AC148" s="3">
        <f>1366.9+(264.3-631.7)+(-1.394238+(-0.269586--0.644334))+0-0-0</f>
        <v>998.48050999999998</v>
      </c>
      <c r="AD148">
        <f t="shared" si="2"/>
        <v>19990.868778999997</v>
      </c>
      <c r="AE148" s="3">
        <f>1439+(266.1-649.3)+(0+(0-0))+0-0-0</f>
        <v>1055.8000000000002</v>
      </c>
    </row>
    <row r="149" spans="1:31" s="2" customFormat="1" x14ac:dyDescent="0.25">
      <c r="A149">
        <v>89</v>
      </c>
      <c r="B149">
        <v>5</v>
      </c>
      <c r="C149">
        <v>25</v>
      </c>
      <c r="D149">
        <v>3</v>
      </c>
      <c r="E149">
        <v>1</v>
      </c>
      <c r="F149" s="3">
        <f>1308.4+(203.7-569.3)+(-4.670988+(-0.727209--2.032401))+0-0-0</f>
        <v>939.43420400000014</v>
      </c>
      <c r="G149" s="3">
        <f>1281.4+(173.1-584.1)+(-3.26757+(-0.441405--1.489455))+0-0-0</f>
        <v>868.1804800000001</v>
      </c>
      <c r="H149" s="3">
        <f>1287.3+(171.9-662.4)+(-0.656523+(-0.087669--0.337824))+0-0-0</f>
        <v>796.39363199999991</v>
      </c>
      <c r="I149" s="3">
        <f>1289+(149.9-677.5)+(0.65739+(0.076449-0.345525))+0-0-0</f>
        <v>761.78831400000001</v>
      </c>
      <c r="J149" s="3">
        <f>1290.2+(133.1-695.8)+(0.658002+(0.067881-0.354858))+0-0-0</f>
        <v>727.87102500000015</v>
      </c>
      <c r="K149" s="3">
        <f>1278.5+(149.7-749.4)+(-2.60814+(-0.305388--1.528776))+0-0-0</f>
        <v>677.41524799999991</v>
      </c>
      <c r="L149" s="3">
        <f>1280.6+(102.6-772.1)+(-2.612424+(-0.209304--1.575084))+0-0-0</f>
        <v>609.85335599999996</v>
      </c>
      <c r="M149" s="3">
        <f>1293.6+(100.1-786.4)+(0+(0-0))+0-0-0</f>
        <v>607.29999999999995</v>
      </c>
      <c r="N149" s="3">
        <f>1294.6+(135.6-749.3)+(0+(0-0))+0-0-0</f>
        <v>680.9</v>
      </c>
      <c r="O149" s="3">
        <f>1342.4+(169.7-738.3)+(0+(0-0))+0-0-0</f>
        <v>773.80000000000018</v>
      </c>
      <c r="P149" s="3">
        <f>1373.9+(224.2-702.8)+(2.102067+(0.343026-1.075284))+0-0-0</f>
        <v>896.66980900000021</v>
      </c>
      <c r="Q149" s="3">
        <f>1366.3+(205.8-687.3)+(1.393626+(0.209916-0.701046))+0-0-0</f>
        <v>885.702496</v>
      </c>
      <c r="R149" s="3">
        <f>1360.7+(213.5-625.4)+(2.775828+(0.43554-1.275816))+0-0-0</f>
        <v>950.7355520000001</v>
      </c>
      <c r="S149" s="3">
        <f>1339.6+(231.5-534.8)+(-1.366392+(-0.23613--0.545496))+0-0-0</f>
        <v>1035.242974</v>
      </c>
      <c r="T149" s="3">
        <f>1343.1+(244-500.5)+(1.369962+(0.24888-0.51051))+0-0-0</f>
        <v>1087.7083319999999</v>
      </c>
      <c r="U149" s="3">
        <f>1324.5+(252.2-481.5)+(1.35099+(0.257244-0.49113))+0-0-0</f>
        <v>1096.317104</v>
      </c>
      <c r="V149" s="3">
        <f>1288.1+(252.7-480.1)+(-2.627724+(-0.515508--0.979404))+0-0-0</f>
        <v>1058.5361719999999</v>
      </c>
      <c r="W149" s="3">
        <f>1302.3+(236.1-532.8)+(-1.328346+(-0.240822--0.543456))+0-0-0</f>
        <v>1004.574288</v>
      </c>
      <c r="X149" s="3">
        <f>1303.3+(215.4-596)+(-1.329366+(-0.219708--0.60792))+0-0-0</f>
        <v>921.75884599999995</v>
      </c>
      <c r="Y149" s="3">
        <f>1345.6+(195.7-628.8)+(0.686256+(0.099807-0.320688))+0-0-0</f>
        <v>912.96537499999999</v>
      </c>
      <c r="Z149" s="3">
        <f>1412+(264.2-569.5)+(-0.72012+(-0.134742--0.290445))+0-0-0</f>
        <v>1106.135583</v>
      </c>
      <c r="AA149" s="3">
        <f>1422.3+(280.1-542)+(0+(0-0))+0-0-0</f>
        <v>1160.4000000000001</v>
      </c>
      <c r="AB149" s="3">
        <f>1432.1+(263.2-582)+(-1.460742+(-0.268464--0.59364))+0-0-0</f>
        <v>1112.164434</v>
      </c>
      <c r="AC149" s="3">
        <f>1401.1+(257.3-560.9)+(-1.429122+(-0.262446--0.572118))+0-0-0</f>
        <v>1096.3805500000001</v>
      </c>
      <c r="AD149">
        <f t="shared" si="2"/>
        <v>21768.227774000003</v>
      </c>
      <c r="AE149" s="3">
        <f>1424+(284.7-606.9)+(0+(0-0))+0-0-0</f>
        <v>1101.8</v>
      </c>
    </row>
    <row r="150" spans="1:31" s="2" customFormat="1" x14ac:dyDescent="0.25">
      <c r="A150">
        <v>89</v>
      </c>
      <c r="B150">
        <v>5</v>
      </c>
      <c r="C150">
        <v>26</v>
      </c>
      <c r="D150">
        <v>4</v>
      </c>
      <c r="E150">
        <v>1</v>
      </c>
      <c r="F150" s="3">
        <f>1364.3+(256-597.7)+(-2.783172+(-0.52224--1.219308))+0-0-0</f>
        <v>1020.5138959999999</v>
      </c>
      <c r="G150" s="3">
        <f>1335.8+(218-623)+(-1.362516+(-0.22236--0.63546))+0-0-0</f>
        <v>929.85058399999991</v>
      </c>
      <c r="H150" s="3">
        <f>1294.7+(214.4-631.2)+(-0.660297+(-0.109344--0.321912))+0-0-0</f>
        <v>877.452271</v>
      </c>
      <c r="I150" s="3">
        <f>1217.7+(211.9-599.6)+(-2.484108+(-0.432276--1.223184))+0-0-0</f>
        <v>828.30679999999995</v>
      </c>
      <c r="J150" s="3">
        <f>1205.9+(214.3-604.6)+(1.230018+(0.218586-0.616692))+0-0-0</f>
        <v>816.43191200000012</v>
      </c>
      <c r="K150" s="3">
        <f>1189.4+(200.2-633.4)+(-1.213188+(-0.204204--0.646068))+0-0-0</f>
        <v>755.428676</v>
      </c>
      <c r="L150" s="3">
        <f>1182.8+(163.2-664.1)+(-2.412912+(-0.332928--1.354764))+0-0-0</f>
        <v>680.50892399999987</v>
      </c>
      <c r="M150" s="3">
        <f>1201.5+(156.6-681.8)+(0.612765+(0.079866-0.347718))+0-0-0</f>
        <v>676.64491300000009</v>
      </c>
      <c r="N150" s="3">
        <f>1238.1+(184.5-677.6)+(0+(0-0))+0-0-0</f>
        <v>744.99999999999989</v>
      </c>
      <c r="O150" s="3">
        <f>1376.5+(194.9-720.4)+(0+(0-0))+0-0-0</f>
        <v>851</v>
      </c>
      <c r="P150" s="3">
        <f>1371.8+(256.3-699)+(1.399236+(0.261426-0.71298))+0-0-0</f>
        <v>930.0476819999999</v>
      </c>
      <c r="Q150" s="3">
        <f>1367.8+(253-626.1)+(1.395156+(0.25806-0.638622))+0-0-0</f>
        <v>995.71459399999992</v>
      </c>
      <c r="R150" s="3">
        <f>1362.6+(267.8-541.6)+(0+(0-0))+0-0-0</f>
        <v>1088.8</v>
      </c>
      <c r="S150" s="3">
        <f>1343+(279.7-501.8)+(0+(0-0))+0-0-0</f>
        <v>1120.9000000000001</v>
      </c>
      <c r="T150" s="3">
        <f>1339.6+(272.1-471.7)+(0+(0-0))+0-0-0</f>
        <v>1140</v>
      </c>
      <c r="U150" s="3">
        <f>1342.3+(265.9-492.7)+(-0.684573+(-0.135609--0.251277))+0-0-0</f>
        <v>1114.9310949999999</v>
      </c>
      <c r="V150" s="3">
        <f>1358.4+(257.4-552.9)+(-0.692784+(-0.131274--0.281979))+0-0-0</f>
        <v>1062.357921</v>
      </c>
      <c r="W150" s="3">
        <f>1361.8+(250.7-605.7)+(-2.778072+(-0.511428--1.235628))+0-0-0</f>
        <v>1004.746128</v>
      </c>
      <c r="X150" s="3">
        <f>1363.2+(228.8-665.2)+(-2.085696+(-0.350064--1.017756))+0-0-0</f>
        <v>925.38199599999996</v>
      </c>
      <c r="Y150" s="3">
        <f>1384.2+(200-653.9)+(0.705942+(0.102-0.333489))+0-0-0</f>
        <v>930.77445300000011</v>
      </c>
      <c r="Z150" s="3">
        <f>1427.5+(269.2-566.7)+(-0.728025+(-0.137292--0.289017))+0-0-0</f>
        <v>1129.4237000000001</v>
      </c>
      <c r="AA150" s="3">
        <f>1437+(291-545.2)+(-2.19861+(-0.44523--0.834156))+0-0-0</f>
        <v>1180.9903159999999</v>
      </c>
      <c r="AB150" s="3">
        <f>1433.9+(286.6-566.6)+(0.731289+(0.146166-0.288966))+0-0-0</f>
        <v>1154.4884890000001</v>
      </c>
      <c r="AC150" s="3">
        <f>1429.7+(279.6-589)+(0+(0-0))+0-0-0</f>
        <v>1120.3000000000002</v>
      </c>
      <c r="AD150">
        <f t="shared" si="2"/>
        <v>23079.994349999997</v>
      </c>
      <c r="AE150" s="3">
        <f>1428+(293.9-607.2)+(0+(0-0))+0-0-0</f>
        <v>1114.6999999999998</v>
      </c>
    </row>
    <row r="151" spans="1:31" s="2" customFormat="1" x14ac:dyDescent="0.25">
      <c r="A151">
        <v>89</v>
      </c>
      <c r="B151">
        <v>5</v>
      </c>
      <c r="C151">
        <v>27</v>
      </c>
      <c r="D151">
        <v>5</v>
      </c>
      <c r="E151">
        <v>1</v>
      </c>
      <c r="F151" s="3">
        <f>1427.7+(227.8-574)+(-2.184381+(-0.348534--0.87822))+0-0-0</f>
        <v>1079.8453050000001</v>
      </c>
      <c r="G151" s="3">
        <f>1419.5+(208.6-618.3)+(-0.723945+(-0.106386--0.315333))+0-0-0</f>
        <v>1009.2850020000001</v>
      </c>
      <c r="H151" s="3">
        <f>1296.9+(230-585.4)+(-0.661419+(-0.1173--0.298554))+0-0-0</f>
        <v>941.01983500000006</v>
      </c>
      <c r="I151" s="3">
        <f>1223+(248.3-576.5)+(0+(0-0))+0-0-0</f>
        <v>894.8</v>
      </c>
      <c r="J151" s="3">
        <f>1142.5+(267.4-525.3)+(-1.748025+(-0.409122--0.803709))+0-0-0</f>
        <v>883.24656200000004</v>
      </c>
      <c r="K151" s="3">
        <f>1095.1+(247.2-511.7)+(-1.675503+(-0.378216--0.782901))+0-0-0</f>
        <v>829.32918199999995</v>
      </c>
      <c r="L151" s="3">
        <f>1094.9+(198.2-564.1)+(-1.116798+(-0.202164--0.575382))+0-0-0</f>
        <v>728.25642000000005</v>
      </c>
      <c r="M151" s="3">
        <f>1105.4+(177.4-582.9)+(0.563754+(0.090474-0.297279))+0-0-0</f>
        <v>700.25694900000008</v>
      </c>
      <c r="N151" s="3">
        <f>1261.5+(171.1-664.2)+(-1.28673+(-0.174522--0.677484))+0-0-0</f>
        <v>767.61623199999997</v>
      </c>
      <c r="O151" s="3">
        <f>1322.3+(255.5-734.9)+(0+(0-0))+0-0-0</f>
        <v>842.9</v>
      </c>
      <c r="P151" s="3">
        <f>1372.5+(267.2-674.3)+(1.39995+(0.272544-0.687786))+0-0-0</f>
        <v>966.38470800000005</v>
      </c>
      <c r="Q151" s="3">
        <f>1354.3+(271.6-640.1)+(0+(0-0))+0-0-0</f>
        <v>985.8</v>
      </c>
      <c r="R151" s="3">
        <f>1329+(270.3-560.6)+(0.67779+(0.137853-0.285906))+0-0-0</f>
        <v>1039.2297370000001</v>
      </c>
      <c r="S151" s="3">
        <f>1327+(270.5-481.3)+(0+(0-0))+0-0-0</f>
        <v>1116.2</v>
      </c>
      <c r="T151" s="3">
        <f>1326.7+(321.6-496.2)+(0.676617+(0.164016-0.253062))+0-0-0</f>
        <v>1152.6875710000002</v>
      </c>
      <c r="U151" s="3">
        <f>1318.6+(339.2-505)+(0+(0-0))+0-0-0</f>
        <v>1152.8</v>
      </c>
      <c r="V151" s="3">
        <f>1324.3+(287.5-491.4)+(-0.675393+(-0.146625--0.250614))+0-0-0</f>
        <v>1119.8285960000001</v>
      </c>
      <c r="W151" s="3">
        <f>1321.8+(270.7-552.4)+(-1.348236+(-0.276114--0.563448))+0-0-0</f>
        <v>1039.039098</v>
      </c>
      <c r="X151" s="3">
        <f>1320.4+(242.7-601.2)+(-0.673404+(-0.123777--0.306612))+0-0-0</f>
        <v>961.40943100000004</v>
      </c>
      <c r="Y151" s="3">
        <f>1314.3+(246.8-596)+(0+(0-0))+0-0-0</f>
        <v>965.09999999999991</v>
      </c>
      <c r="Z151" s="3">
        <f>1330.9+(305.9-470.2)+(0+(0-0))+0-0-0</f>
        <v>1166.6000000000001</v>
      </c>
      <c r="AA151" s="3">
        <f>1397.1+(305.9-505.4)+(-2.137563+(-0.468027--0.773262))+0-0-0</f>
        <v>1195.7676719999999</v>
      </c>
      <c r="AB151" s="3">
        <f>1419.3+(298.6-534.1)+(-0.723843+(-0.152286--0.272391))+0-0-0</f>
        <v>1183.1962619999999</v>
      </c>
      <c r="AC151" s="3">
        <f>1423.7+(294.1-557.6)+(-1.452174+(-0.299982--0.568752))+0-0-0</f>
        <v>1159.0165959999999</v>
      </c>
      <c r="AD151">
        <f t="shared" si="2"/>
        <v>23879.615157999997</v>
      </c>
      <c r="AE151" s="3">
        <f>1389+(309.9-528.4)+(0+(0-0))+0-0-0</f>
        <v>1170.5</v>
      </c>
    </row>
    <row r="152" spans="1:31" s="2" customFormat="1" x14ac:dyDescent="0.25">
      <c r="A152">
        <v>89</v>
      </c>
      <c r="B152">
        <v>5</v>
      </c>
      <c r="C152">
        <v>28</v>
      </c>
      <c r="D152">
        <v>6</v>
      </c>
      <c r="E152">
        <v>1</v>
      </c>
      <c r="F152" s="3">
        <f>1407+(248.3-537.9)+(-1.43514+(-0.253266--0.548658))+0-0-0</f>
        <v>1116.260252</v>
      </c>
      <c r="G152" s="3">
        <f>1303.8+(244.4-510.5)+(-1.994814+(-0.373932--0.781065))+0-0-0</f>
        <v>1036.1123189999998</v>
      </c>
      <c r="H152" s="3">
        <f>1231.4+(274.3-529.8)+(0.628014+(0.139893-0.270198))+0-0-0</f>
        <v>976.39770900000008</v>
      </c>
      <c r="I152" s="3">
        <f>1228.7+(276.8-572.1)+(0+(0-0))+0-0-0</f>
        <v>933.40000000000009</v>
      </c>
      <c r="J152" s="3">
        <f>1217.3+(301-605.7)+(0+(0-0))+0-0-0</f>
        <v>912.59999999999991</v>
      </c>
      <c r="K152" s="3">
        <f>1294.4+(239-667.9)+(-2.640576+(-0.48756--1.362516))+0-0-0</f>
        <v>863.7343800000001</v>
      </c>
      <c r="L152" s="3">
        <f>1355.6+(152.9-723.4)+(-2.765424+(-0.311916--1.475736))+0-0-0</f>
        <v>783.49839599999996</v>
      </c>
      <c r="M152" s="3">
        <f>1357.1+(126.3-746.8)+(-1.384242+(-0.128826--0.761736))+0-0-0</f>
        <v>735.84866799999986</v>
      </c>
      <c r="N152" s="3">
        <f>1363.9+(153.1-700.4)+(-0.695589+(-0.078081--0.357204))+0-0-0</f>
        <v>816.18353400000012</v>
      </c>
      <c r="O152" s="3">
        <f>1362.2+(213.2-660.8)+(1.389444+(0.217464-0.674016))+0-0-0</f>
        <v>915.53289200000017</v>
      </c>
      <c r="P152" s="3">
        <f>1368.8+(249.2-627.4)+(1.396176+(0.254184-0.639948))+0-0-0</f>
        <v>991.61041199999988</v>
      </c>
      <c r="Q152" s="3">
        <f>1365+(254.5-624.3)+(0+(0-0))+0-0-0</f>
        <v>995.2</v>
      </c>
      <c r="R152" s="3">
        <f>1357.8+(299.9-540.3)+(0+(0-0))+0-0-0</f>
        <v>1117.4000000000001</v>
      </c>
      <c r="S152" s="3">
        <f>1348.1+(295-500.4)+(-0.687531+(-0.15045--0.255204))+0-0-0</f>
        <v>1142.1172229999997</v>
      </c>
      <c r="T152" s="3">
        <f>1342.5+(283.8-486.7)+(0.684675+(0.144738-0.248217))+0-0-0</f>
        <v>1140.181196</v>
      </c>
      <c r="U152" s="3">
        <f>1343.6+(266.8-495.7)+(1.370472+(0.272136-0.505614))+0-0-0</f>
        <v>1115.8369939999998</v>
      </c>
      <c r="V152" s="3">
        <f>1343.9+(238.4-520.1)+(-0.685389+(-0.121584--0.265251))+0-0-0</f>
        <v>1061.6582780000001</v>
      </c>
      <c r="W152" s="3">
        <f>1346.5+(223.7-598.5)+(-2.060145+(-0.342261--0.915705))+0-0-0</f>
        <v>970.21329900000001</v>
      </c>
      <c r="X152" s="3">
        <f>1331.5+(181.3-587.5)+(-2.037195+(-0.277389--0.898875))+0-0-0</f>
        <v>923.88429099999996</v>
      </c>
      <c r="Y152" s="3">
        <f>1327.6+(204.9-570)+(-0.677076+(-0.104499--0.2907))+0-0-0</f>
        <v>962.00912499999993</v>
      </c>
      <c r="Z152" s="3">
        <f>1360.1+(278.7-499.3)+(0.693651+(0.142137-0.254643))+0-0-0</f>
        <v>1140.0811450000001</v>
      </c>
      <c r="AA152" s="3">
        <f>1404.4+(267.6-513.6)+(-2.148732+(-0.409428--0.785808))+0-0-0</f>
        <v>1156.6276480000001</v>
      </c>
      <c r="AB152" s="3">
        <f>1407.5+(261.7-534.9)+(-1.43565+(-0.266934--0.545598))+0-0-0</f>
        <v>1133.143014</v>
      </c>
      <c r="AC152" s="3">
        <f>1402.7+(258.6-565.2)+(0+(0-0))+0-0-0</f>
        <v>1096.0999999999999</v>
      </c>
      <c r="AD152">
        <f t="shared" si="2"/>
        <v>24035.630774999998</v>
      </c>
      <c r="AE152" s="3">
        <f>1407+(270.5-557.4)+(0+(0-0))+0-0-0</f>
        <v>1120.0999999999999</v>
      </c>
    </row>
    <row r="153" spans="1:31" s="2" customFormat="1" x14ac:dyDescent="0.25">
      <c r="A153">
        <v>89</v>
      </c>
      <c r="B153">
        <v>5</v>
      </c>
      <c r="C153">
        <v>29</v>
      </c>
      <c r="D153">
        <v>7</v>
      </c>
      <c r="E153">
        <v>1</v>
      </c>
      <c r="F153" s="3">
        <f>1383.6+(254-559.5)+(-1.411272+(-0.25908--0.57069))+0-0-0</f>
        <v>1077.0003379999998</v>
      </c>
      <c r="G153" s="3">
        <f>1277.1+(175.9-460.5)+(1.302642+(0.179418-0.46971))+0-0-0</f>
        <v>993.51234999999986</v>
      </c>
      <c r="H153" s="3">
        <f>1169.4+(205-433.1)+(-0.596394+(-0.10455--0.220881))+0-0-0</f>
        <v>940.8199370000001</v>
      </c>
      <c r="I153" s="3">
        <f>1158.1+(190.3-442.3)+(-2.953155+(-0.485265--1.127865))+0-0-0</f>
        <v>903.78944499999989</v>
      </c>
      <c r="J153" s="3">
        <f>1176.6+(177.9-481.6)+(0.600066+(0.090729-0.245616))+0-0-0</f>
        <v>873.34517899999992</v>
      </c>
      <c r="K153" s="3">
        <f>1156.3+(157.4-494.8)+(-4.127991+(-0.561918--1.766436))+0-0-0</f>
        <v>815.97652700000003</v>
      </c>
      <c r="L153" s="3">
        <f>1059.3+(140.8-473.4)+(-2.160972+(-0.287232--0.965736))+0-0-0</f>
        <v>725.21753200000001</v>
      </c>
      <c r="M153" s="3">
        <f>945.4+(178.2-433.1)+(-0.482154+(-0.090882--0.220881))+0-0-0</f>
        <v>690.14784499999996</v>
      </c>
      <c r="N153" s="3">
        <f>959+(154.3-438.2)+(-0.48909+(-0.078693--0.223482))+0-0-0</f>
        <v>674.75569900000005</v>
      </c>
      <c r="O153" s="3">
        <f>1163.4+(107.8-531.8)+(0+(0-0))+0-0-0</f>
        <v>739.40000000000009</v>
      </c>
      <c r="P153" s="3">
        <f>1158.2+(104.6-547.8)+(0.590682+(0.053346-0.279378))+0-0-0</f>
        <v>715.3646500000001</v>
      </c>
      <c r="Q153" s="3">
        <f>1145.2+(210-498.8)+(-1.168104+(-0.2142--0.508776))+0-0-0</f>
        <v>855.52647200000013</v>
      </c>
      <c r="R153" s="3">
        <f>1139+(206.5-409.4)+(-0.58089+(-0.105315--0.208794))+0-0-0</f>
        <v>935.62258900000006</v>
      </c>
      <c r="S153" s="3">
        <f>1144.4+(214.1-379.2)+(0+(0-0))+0-0-0</f>
        <v>979.30000000000007</v>
      </c>
      <c r="T153" s="3">
        <f>1134.8+(236.1-360.4)+(0+(0-0))+0-0-0</f>
        <v>1010.5</v>
      </c>
      <c r="U153" s="3">
        <f>1135.6+(231.8-360.2)+(-0.579156+(-0.118218--0.183702))+0-0-0</f>
        <v>1006.6863279999999</v>
      </c>
      <c r="V153" s="3">
        <f>1130.8+(217-383.4)+(-1.730124+(-0.33201--0.586602))+0-0-0</f>
        <v>962.92446799999993</v>
      </c>
      <c r="W153" s="3">
        <f>1126.8+(214.2-427)+(-0.574668+(-0.109242--0.21777))+0-0-0</f>
        <v>913.53386</v>
      </c>
      <c r="X153" s="3">
        <f>1114.3+(180.5-451.8)+(-3.978051+(-0.644385--1.612926))+0-0-0</f>
        <v>839.99049000000002</v>
      </c>
      <c r="Y153" s="3">
        <f>1134.2+(144.7-470)+(-0.578442+(-0.073797--0.2397))+0-0-0</f>
        <v>808.48746100000005</v>
      </c>
      <c r="Z153" s="3">
        <f>1148.8+(276.2-417.6)+(0+(0-0))+0-0-0</f>
        <v>1007.3999999999999</v>
      </c>
      <c r="AA153" s="3">
        <f>1192.8+(284.9-418.6)+(0+(0-0))+0-0-0</f>
        <v>1059.0999999999999</v>
      </c>
      <c r="AB153" s="3">
        <f>1207.6+(278.5-437.4)+(-1.231752+(-0.28407--0.446148))+0-0-0</f>
        <v>1047.6303259999997</v>
      </c>
      <c r="AC153" s="3">
        <f>1204.2+(285.7-439.2)+(-1.228284+(-0.291414--0.447984))+0-0-0</f>
        <v>1049.6282860000001</v>
      </c>
      <c r="AD153">
        <f t="shared" si="2"/>
        <v>21625.659781999995</v>
      </c>
      <c r="AE153" s="3">
        <f>1171+(293.4-445.2)+(0+(0-0))+0-0-0</f>
        <v>1019.2</v>
      </c>
    </row>
    <row r="154" spans="1:31" s="2" customFormat="1" x14ac:dyDescent="0.25">
      <c r="A154">
        <v>89</v>
      </c>
      <c r="B154">
        <v>5</v>
      </c>
      <c r="C154">
        <v>30</v>
      </c>
      <c r="D154">
        <v>1</v>
      </c>
      <c r="E154">
        <v>1</v>
      </c>
      <c r="F154" s="3">
        <f>1205.5+(276-444.5)+(-1.844415+(-0.42228--0.680085))+0-0-0</f>
        <v>1035.4133899999999</v>
      </c>
      <c r="G154" s="3">
        <f>1244.8+(251.8-511.9)+(-1.269696+(-0.256836--0.522138))+0-0-0</f>
        <v>983.695606</v>
      </c>
      <c r="H154" s="3">
        <f>1266.2+(214.8-535)+(-1.937286+(-0.328644--0.81855))+0-0-0</f>
        <v>944.55262000000005</v>
      </c>
      <c r="I154" s="3">
        <f>1355.8+(156.1-604.3)+(-0.691458+(-0.079611--0.308193))+0-0-0</f>
        <v>907.13712399999997</v>
      </c>
      <c r="J154" s="3">
        <f>1365.7+(145-615.3)+(-3.482535+(-0.36975--1.569015))+0-0-0</f>
        <v>893.11673000000008</v>
      </c>
      <c r="K154" s="3">
        <f>1370.9+(139.4-682.7)+(-2.097477+(-0.213282--1.044531))+0-0-0</f>
        <v>826.33377200000007</v>
      </c>
      <c r="L154" s="3">
        <f>1369.8+(68.2-688.8)+(-2.095794+(-0.104346--1.053864))+0-0-0</f>
        <v>748.0537240000001</v>
      </c>
      <c r="M154" s="3">
        <f>1392.3+(91.2-752.6)+(2.840292+(0.186048-1.535304))+0-0-0</f>
        <v>732.39103599999999</v>
      </c>
      <c r="N154" s="3">
        <f>1387.7+(195.7-783.8)+(1.415454+(0.199614-0.799476))+0-0-0</f>
        <v>800.41559200000017</v>
      </c>
      <c r="O154" s="3">
        <f>1377.8+(216.6-718.8)+(0.702678+(0.110466-0.366588))+0-0-0</f>
        <v>876.04655600000001</v>
      </c>
      <c r="P154" s="3">
        <f>1368.8+(235.8-671.8)+(2.094264+(0.360774-1.027854))+0-0-0</f>
        <v>934.22718399999997</v>
      </c>
      <c r="Q154" s="3">
        <f>1356.3+(234.1-671.2)+(2.766852+(0.477564-1.369248))+0-0-0</f>
        <v>921.07516799999996</v>
      </c>
      <c r="R154" s="3">
        <f>1344.2+(230.6-542.1)+(1.371084+(0.235212-0.552942))+0-0-0</f>
        <v>1033.7533539999999</v>
      </c>
      <c r="S154" s="3">
        <f>1361.1+(268.1-514.7)+(-0.694161+(-0.136731--0.262497))+0-0-0</f>
        <v>1113.931605</v>
      </c>
      <c r="T154" s="3">
        <f>1366.9+(271-504.9)+(0.697119+(0.13821-0.257499))+0-0-0</f>
        <v>1133.5778299999999</v>
      </c>
      <c r="U154" s="3">
        <f>1369.1+(253.6-514.7)+(0+(0-0))+0-0-0</f>
        <v>1108</v>
      </c>
      <c r="V154" s="3">
        <f>1367.3+(243-578.5)+(0+(0-0))+0-0-0</f>
        <v>1031.8</v>
      </c>
      <c r="W154" s="3">
        <f>1366.5+(241.7-621.9)+(0+(0-0))+0-0-0</f>
        <v>986.3</v>
      </c>
      <c r="X154" s="3">
        <f>1341.6+(193.1-649.8)+(0+(0-0))+0-0-0</f>
        <v>884.9</v>
      </c>
      <c r="Y154" s="3">
        <f>1349.1+(198.6-646.1)+(0.688041+(0.101286-0.329511))+0-0-0</f>
        <v>902.05981599999996</v>
      </c>
      <c r="Z154" s="3">
        <f>1375.2+(238.6-541.7)+(0+(0-0))+0-0-0</f>
        <v>1072.0999999999999</v>
      </c>
      <c r="AA154" s="3">
        <f>1397.7+(225.8-534.3)+(-1.425654+(-0.230316--0.544986))+0-0-0</f>
        <v>1088.0890160000001</v>
      </c>
      <c r="AB154" s="3">
        <f>1413.8+(244.3-593.9)+(0+(0-0))+0-0-0</f>
        <v>1064.2</v>
      </c>
      <c r="AC154" s="3">
        <f>1414.7+(266.8-645.7)+(-2.164491+(-0.408204--0.987921))+0-0-0</f>
        <v>1034.215226</v>
      </c>
      <c r="AD154">
        <f t="shared" si="2"/>
        <v>23055.385349000004</v>
      </c>
      <c r="AE154" s="3">
        <f>1402+(259.7-587.4)+(0+(0-0))+0-0-0</f>
        <v>1074.3</v>
      </c>
    </row>
    <row r="155" spans="1:31" s="2" customFormat="1" x14ac:dyDescent="0.25">
      <c r="A155">
        <v>89</v>
      </c>
      <c r="B155">
        <v>5</v>
      </c>
      <c r="C155">
        <v>31</v>
      </c>
      <c r="D155">
        <v>2</v>
      </c>
      <c r="E155">
        <v>1</v>
      </c>
      <c r="F155" s="3">
        <f>1414+(205-644.1)+(-1.44228+(-0.2091--0.656982))+0-0-0</f>
        <v>973.90560199999993</v>
      </c>
      <c r="G155" s="3">
        <f>1396.9+(181.8-674.6)+(-1.424838+(-0.185436--0.688092))+0-0-0</f>
        <v>903.17781800000012</v>
      </c>
      <c r="H155" s="3">
        <f>1372.6+(186.9-726.4)+(0.700026+(0.095319-0.370464))+0-0-0</f>
        <v>833.52488099999994</v>
      </c>
      <c r="I155" s="3">
        <f>1365+(189.2-794.6)+(-0.69615+(-0.096492--0.405246))+0-0-0</f>
        <v>759.21260399999994</v>
      </c>
      <c r="J155" s="3">
        <f>1361.6+(169.6-809.1)+(-1.388832+(-0.172992--0.825282))+0-0-0</f>
        <v>721.36345799999992</v>
      </c>
      <c r="K155" s="3">
        <f>1311.2+(134.9-781)+(-0.668712+(-0.068799--0.39831))+0-0-0</f>
        <v>664.76079900000002</v>
      </c>
      <c r="L155" s="3">
        <f>1223.4+(107.9-748.5)+(-3.743604+(-0.330174--2.29041))+0-0-0</f>
        <v>581.01663200000007</v>
      </c>
      <c r="M155" s="3">
        <f>1249.3+(111.9-770.9)+(0+(0-0))+0-0-0</f>
        <v>590.29999999999995</v>
      </c>
      <c r="N155" s="3">
        <f>1241+(135-808)+(0+(0-0))+0-0-0</f>
        <v>568</v>
      </c>
      <c r="O155" s="3">
        <f>1327+(169-840)+(0+(0-0))+0-0-0</f>
        <v>656</v>
      </c>
      <c r="P155" s="3">
        <f>1415.9+(218.7-876.1)+(1.444218+(0.223074-0.893622))+0-0-0</f>
        <v>759.27367000000004</v>
      </c>
      <c r="Q155" s="3">
        <f>1409.2+(232.6-923.2)+(-1.437384+(-0.237252--0.941664))+0-0-0</f>
        <v>717.867028</v>
      </c>
      <c r="R155" s="3">
        <f>1422.4+(167.6-890.2)+(1.450848+(0.170952-0.908004))+0-0-0</f>
        <v>700.51379600000007</v>
      </c>
      <c r="S155" s="3">
        <f>1410.3+(201.3-981)+(-2.157759+(-0.307989--1.50093))+0-0-0</f>
        <v>629.63518199999987</v>
      </c>
      <c r="T155" s="3">
        <f>1417.6+(252.7-1043.3)+(-0.722976+(-0.128877--0.532083))+0-0-0</f>
        <v>626.68023000000005</v>
      </c>
      <c r="U155" s="3">
        <f>1422.3+(253-1073.2)+(0+(0-0))+0-0-0</f>
        <v>602.09999999999991</v>
      </c>
      <c r="V155" s="3">
        <f>1411.8+(235.1-1076.3)+(-1.440036+(-0.239802--1.097826))+0-0-0</f>
        <v>570.01798800000006</v>
      </c>
      <c r="W155" s="3">
        <f>1411.9+(234.6-1038.1)+(-2.160207+(-0.358938--1.588293))+0-0-0</f>
        <v>607.46914800000025</v>
      </c>
      <c r="X155" s="3">
        <f>1413+(232.8-1026)+(-1.44126+(-0.237456--1.04652))+0-0-0</f>
        <v>619.16780399999993</v>
      </c>
      <c r="Y155" s="3">
        <f>1455.7+(223.5-1007.7)+(-1.484814+(-0.22797--1.027854))+0-0-0</f>
        <v>670.81506999999999</v>
      </c>
      <c r="Z155" s="3">
        <f>1498.6+(168.6-892.5)+(-0.764286+(-0.085986--0.455175))+0-0-0</f>
        <v>774.30490299999997</v>
      </c>
      <c r="AA155" s="3">
        <f>1471.2+(105.2-827.5)+(-2.250936+(-0.160956--1.266075))+0-0-0</f>
        <v>747.75418300000013</v>
      </c>
      <c r="AB155" s="3">
        <f>1426.6+(124.7-880.7)+(0+(0-0))+0-0-0</f>
        <v>670.59999999999991</v>
      </c>
      <c r="AC155" s="3">
        <f>1424+(130.4-897.2)+(-0.72624+(-0.066504--0.457572))+0-0-0</f>
        <v>656.86482799999999</v>
      </c>
      <c r="AD155">
        <f t="shared" si="2"/>
        <v>16604.325624000001</v>
      </c>
      <c r="AE155" s="3">
        <f>1491+(99.5-859.6)+(0+(0-0))+0-0-0</f>
        <v>730.9</v>
      </c>
    </row>
    <row r="156" spans="1:31" s="2" customFormat="1" x14ac:dyDescent="0.25">
      <c r="A156">
        <v>89</v>
      </c>
      <c r="B156">
        <v>6</v>
      </c>
      <c r="C156">
        <v>1</v>
      </c>
      <c r="D156">
        <v>3</v>
      </c>
      <c r="E156">
        <v>1</v>
      </c>
      <c r="F156" s="3">
        <f>1407.1+(97.6-942.1)+(0+(0-0))+0-0-0</f>
        <v>562.59999999999991</v>
      </c>
      <c r="G156" s="3">
        <f>1394.2+(126.4-1009.4)+(-2.844168+(-0.257856--2.059176))+0-0-0</f>
        <v>510.15715200000005</v>
      </c>
      <c r="H156" s="3">
        <f>1414.6+(148.5-1062.3)+(2.164338+(0.227205-1.625319))+0-0-0</f>
        <v>501.56622399999998</v>
      </c>
      <c r="I156" s="3">
        <f>1398.9+(150.5-1062.6)+(-1.426878+(-0.15351--1.083852))+0-0-0</f>
        <v>486.30346400000019</v>
      </c>
      <c r="J156" s="3">
        <f>1403.5+(134.3-1040.6)+(-0.715785+(-0.068493--0.530706))+0-0-0</f>
        <v>496.94642800000003</v>
      </c>
      <c r="K156" s="3">
        <f>1348.9+(112.9-965.1)+(-0.687939+(-0.057579--0.492201))+0-0-0</f>
        <v>496.44668300000006</v>
      </c>
      <c r="L156" s="3">
        <f>1291.2+(77.5-931.9)+(-1.317024+(-0.07905--0.950538))+0-0-0</f>
        <v>436.35446400000006</v>
      </c>
      <c r="M156" s="3">
        <f>1300.3+(78.4-930)+(1.326306+(0.079968-0.9486))+0-0-0</f>
        <v>449.15767399999993</v>
      </c>
      <c r="N156" s="3">
        <f>1309.5+(118.4-935)+(0.667845+(0.060384-0.47685))+0-0-0</f>
        <v>493.15137899999996</v>
      </c>
      <c r="O156" s="3">
        <f>1401.7+(138.3-1020)+(0.714867+(0.070533-0.5202))+0-0-0</f>
        <v>520.26520000000005</v>
      </c>
      <c r="P156" s="3">
        <f>1405.9+(235.3-1052.1)+(0+(0-0))+0-0-0</f>
        <v>589.10000000000014</v>
      </c>
      <c r="Q156" s="3">
        <f>1406+(250.9-1062.4)+(0.71706+(0.127959-0.541824))+0-0-0</f>
        <v>594.80319499999985</v>
      </c>
      <c r="R156" s="3">
        <f>1404.6+(275-1083.3)+(0.716346+(0.14025-0.552483))+0-0-0</f>
        <v>596.60411299999998</v>
      </c>
      <c r="S156" s="3">
        <f>1405+(278.2-1102.3)+(0+(0-0))+0-0-0</f>
        <v>580.90000000000009</v>
      </c>
      <c r="T156" s="3">
        <f>1408.1+(276.9-1104.9)+(0+(0-0))+0-0-0</f>
        <v>580.0999999999998</v>
      </c>
      <c r="U156" s="3">
        <f>1411.5+(277.5-1122.9)+(0.719865+(0.141525-0.572679))+0-0-0</f>
        <v>566.38871099999994</v>
      </c>
      <c r="V156" s="3">
        <f>1405.3+(273.9-1114.4)+(0.716703+(0.139689-0.568344))+0-0-0</f>
        <v>565.08804799999984</v>
      </c>
      <c r="W156" s="3">
        <f>1400.4+(276.7-1088.1)+(-0.714204+(-0.141117--0.554931))+0-0-0</f>
        <v>588.69961000000023</v>
      </c>
      <c r="X156" s="3">
        <f>1392.1+(255.8-1014.1)+(-2.129913+(-0.391374--1.551573))+0-0-0</f>
        <v>632.830286</v>
      </c>
      <c r="Y156" s="3">
        <f>1422.7+(200.9-984.5)+(-2.176731+(-0.307377--1.506285))+0-0-0</f>
        <v>638.12217700000008</v>
      </c>
      <c r="Z156" s="3">
        <f>1477.9+(235.4-987.3)+(-0.753729+(-0.120054--0.503523))+0-0-0</f>
        <v>725.62974000000008</v>
      </c>
      <c r="AA156" s="3">
        <f>1484.9+(233.9-1013.9)+(-1.514598+(-0.238578--1.034178))+0-0-0</f>
        <v>704.18100200000003</v>
      </c>
      <c r="AB156" s="3">
        <f>1480.4+(238-1071.8)+(0+(0-0))+0-0-0</f>
        <v>646.60000000000014</v>
      </c>
      <c r="AC156" s="3">
        <f>1476.3+(180.2-993.5)+(-1.505826+(-0.183804--1.01337))+0-0-0</f>
        <v>662.32374000000004</v>
      </c>
      <c r="AD156">
        <f t="shared" si="2"/>
        <v>13624.319289999999</v>
      </c>
      <c r="AE156" s="3">
        <f>1480+(234.3-1015.8)+(0+(0-0))+0-0-0</f>
        <v>698.5</v>
      </c>
    </row>
    <row r="157" spans="1:31" s="2" customFormat="1" x14ac:dyDescent="0.25">
      <c r="A157">
        <v>89</v>
      </c>
      <c r="B157">
        <v>6</v>
      </c>
      <c r="C157">
        <v>2</v>
      </c>
      <c r="D157">
        <v>4</v>
      </c>
      <c r="E157">
        <v>1</v>
      </c>
      <c r="F157" s="3">
        <f>1359.6+(98.6-864.6)+(-0.693396+(-0.050286--0.440946))+0-0-0</f>
        <v>593.29726399999993</v>
      </c>
      <c r="G157" s="3">
        <f>1177.5+(135.8-734.9)+(-1.801575+(-0.207774--1.124397))+0-0-0</f>
        <v>577.51504800000009</v>
      </c>
      <c r="H157" s="3">
        <f>1073.3+(161.3-769.7)+(-0.547383+(-0.082263--0.392547))+0-0-0</f>
        <v>464.66290099999986</v>
      </c>
      <c r="I157" s="3">
        <f>1075.9+(160-732.5)+(0.548709+(0.0816-0.373575))+0-0-0</f>
        <v>503.65673400000009</v>
      </c>
      <c r="J157" s="3">
        <f>1079.5+(160.9-742.1)+(0+(0-0))+0-0-0</f>
        <v>498.29999999999995</v>
      </c>
      <c r="K157" s="3">
        <f>1068.6+(118.5-693.8)+(-2.72493+(-0.302175--1.76919))+0-0-0</f>
        <v>492.04208499999993</v>
      </c>
      <c r="L157" s="3">
        <f>1074.1+(87.6-709.6)+(0+(0-0))+0-0-0</f>
        <v>452.09999999999991</v>
      </c>
      <c r="M157" s="3">
        <f>1199.3+(74.2-869.1)+(-1.223286+(-0.075684--0.886482))+0-0-0</f>
        <v>403.98751199999998</v>
      </c>
      <c r="N157" s="3">
        <f>1352.1+(50.8-859.1)+(0+(0-0))+0-0-0</f>
        <v>543.79999999999984</v>
      </c>
      <c r="O157" s="3">
        <f>1314.4+(132.6-860.3)+(0.670344+(0.067626-0.438753))+0-0-0</f>
        <v>586.99921700000016</v>
      </c>
      <c r="P157" s="3">
        <f>1325.9+(239.4-941.2)+(0.676209+(0.122094-0.480012))+0-0-0</f>
        <v>624.41829100000007</v>
      </c>
      <c r="Q157" s="3">
        <f>1374.4+(236.1-924.9)+(0+(0-0))+0-0-0</f>
        <v>685.60000000000014</v>
      </c>
      <c r="R157" s="3">
        <f>1375.3+(236-946)+(-0.701403+(-0.12036--0.48246))+0-0-0</f>
        <v>664.96069699999998</v>
      </c>
      <c r="S157" s="3">
        <f>1371.8+(238.5-973.5)+(-0.699618+(-0.121635--0.496485))+0-0-0</f>
        <v>636.47523200000001</v>
      </c>
      <c r="T157" s="3">
        <f>1378.5+(241-984.7)+(0.703035+(0.12291-0.502197))+0-0-0</f>
        <v>635.12374799999998</v>
      </c>
      <c r="U157" s="3">
        <f>1370.8+(237.8-992.3)+(-1.398216+(-0.242556--1.012146))+0-0-0</f>
        <v>615.6713739999999</v>
      </c>
      <c r="V157" s="3">
        <f>1378.8+(237.2-1000)+(0+(0-0))+0-0-0</f>
        <v>616</v>
      </c>
      <c r="W157" s="3">
        <f>1366.3+(234-1002.8)+(-2.787252+(-0.47736--2.045712))+0-0-0</f>
        <v>596.28110000000004</v>
      </c>
      <c r="X157" s="3">
        <f>1385.8+(219.1-1002)+(1.413516+(0.223482-1.02204))+0-0-0</f>
        <v>603.51495799999998</v>
      </c>
      <c r="Y157" s="3">
        <f>1412.3+(217.1-984.1)+(0.720273+(0.110721-0.501891))+0-0-0</f>
        <v>645.62910299999999</v>
      </c>
      <c r="Z157" s="3">
        <f>1463.2+(219.9-941)+(-1.492464+(-0.224298--0.95982))+0-0-0</f>
        <v>741.34305800000004</v>
      </c>
      <c r="AA157" s="3">
        <f>1437.2+(202.7-913.5)+(-2.198916+(-0.310131--1.397655))+0-0-0</f>
        <v>725.28860800000007</v>
      </c>
      <c r="AB157" s="3">
        <f>1411.4+(191.8-917.9)+(-2.159442+(-0.293454--1.404387))+0-0-0</f>
        <v>684.25149100000021</v>
      </c>
      <c r="AC157" s="3">
        <f>1408.6+(135.4-855.1)+(-1.436772+(-0.138108--0.872202))+0-0-0</f>
        <v>688.19732199999987</v>
      </c>
      <c r="AD157">
        <f t="shared" si="2"/>
        <v>14279.115743000002</v>
      </c>
      <c r="AE157" s="3">
        <f>1469+(218.7-935.7)+(0+(0-0))+0-0-0</f>
        <v>752</v>
      </c>
    </row>
    <row r="158" spans="1:31" s="2" customFormat="1" x14ac:dyDescent="0.25">
      <c r="A158">
        <v>89</v>
      </c>
      <c r="B158">
        <v>6</v>
      </c>
      <c r="C158">
        <v>3</v>
      </c>
      <c r="D158">
        <v>5</v>
      </c>
      <c r="E158">
        <v>1</v>
      </c>
      <c r="F158" s="3">
        <f>1409.9+(90.8-962.8)+(-0.719049+(-0.046308--0.491028))+0-0-0</f>
        <v>537.62567100000012</v>
      </c>
      <c r="G158" s="3">
        <f>1398.4+(92.1-994)+(-1.426368+(-0.093942--1.01388))+0-0-0</f>
        <v>495.99357000000009</v>
      </c>
      <c r="H158" s="3">
        <f>1235.8+(93.3-847.2)+(0+(0-0))+0-0-0</f>
        <v>481.89999999999986</v>
      </c>
      <c r="I158" s="3">
        <f>1218.3+(87.9-835.2)+(-2.485332+(-0.179316--1.703808))+0-0-0</f>
        <v>470.03915999999987</v>
      </c>
      <c r="J158" s="3">
        <f>1229.1+(94.5-841.3)+(0+(0-0))+0-0-0</f>
        <v>482.29999999999995</v>
      </c>
      <c r="K158" s="3">
        <f>1226.7+(83-847.6)+(-0.625617+(-0.04233--0.432276))+0-0-0</f>
        <v>461.864329</v>
      </c>
      <c r="L158" s="3">
        <f>1219.2+(74.8-846.2)+(-3.10896+(-0.19074--2.15781))+0-0-0</f>
        <v>446.65810999999997</v>
      </c>
      <c r="M158" s="3">
        <f>1221.5+(69.3-808.8)+(-1.868895+(-0.106029--1.237464))+0-0-0</f>
        <v>481.26254</v>
      </c>
      <c r="N158" s="3">
        <f>1289.8+(92.8-929.1)+(0.657798+(0.047328-0.473841))+0-0-0</f>
        <v>453.7312849999999</v>
      </c>
      <c r="O158" s="3">
        <f>1393.4+(163.9-1011.5)+(-0.710634+(-0.083589--0.515865))+0-0-0</f>
        <v>545.52164200000004</v>
      </c>
      <c r="P158" s="3">
        <f>1396.8+(217.3-1015.5)+(0+(0-0))+0-0-0</f>
        <v>598.59999999999991</v>
      </c>
      <c r="Q158" s="3">
        <f>1386.3+(222.7-986.6)+(0+(0-0))+0-0-0</f>
        <v>622.39999999999986</v>
      </c>
      <c r="R158" s="3">
        <f>1378.8+(215-984)+(0+(0-0))+0-0-0</f>
        <v>609.79999999999995</v>
      </c>
      <c r="S158" s="3">
        <f>1375.3+(219.5-977.9)+(-1.402806+(-0.22389--0.997458))+0-0-0</f>
        <v>616.27076199999999</v>
      </c>
      <c r="T158" s="3">
        <f>1382.4+(230.3-1003.3)+(0+(0-0))+0-0-0</f>
        <v>609.40000000000009</v>
      </c>
      <c r="U158" s="3">
        <f>1378+(225.6-1008.5)+(-0.70278+(-0.115056--0.514335))+0-0-0</f>
        <v>594.79649900000004</v>
      </c>
      <c r="V158" s="3">
        <f>1384+(227.4-1016.5)+(0.70584+(0.115974-0.518415))+0-0-0</f>
        <v>595.20339899999999</v>
      </c>
      <c r="W158" s="3">
        <f>1378.1+(234-1008)+(-0.702831+(-0.11934--0.51408))+0-0-0</f>
        <v>603.79190899999992</v>
      </c>
      <c r="X158" s="3">
        <f>1375+(163.3-904.9)+(-1.4025+(-0.166566--0.922998))+0-0-0</f>
        <v>632.75393200000008</v>
      </c>
      <c r="Y158" s="3">
        <f>1373.7+(188.5-884.6)+(-0.700587+(-0.096135--0.451146))+0-0-0</f>
        <v>677.25442399999997</v>
      </c>
      <c r="Z158" s="3">
        <f>1378.1+(218.7-840)+(-2.108493+(-0.334611--1.2852))+0-0-0</f>
        <v>755.64209599999992</v>
      </c>
      <c r="AA158" s="3">
        <f>1385+(205.6-858.9)+(-0.70635+(-0.104856--0.438039))+0-0-0</f>
        <v>731.32683300000008</v>
      </c>
      <c r="AB158" s="3">
        <f>1377.3+(190-879.3)+(-2.107269+(-0.2907--1.345329))+0-0-0</f>
        <v>686.94736</v>
      </c>
      <c r="AC158" s="3">
        <f>1363.3+(130.2-859)+(-0.695283+(-0.066402--0.43809))+0-0-0</f>
        <v>634.17640500000005</v>
      </c>
      <c r="AD158">
        <f t="shared" si="2"/>
        <v>13825.259925999999</v>
      </c>
      <c r="AE158" s="3">
        <f>1387+(209.2-873.4)+(0+(0-0))+0-0-0</f>
        <v>722.8</v>
      </c>
    </row>
    <row r="159" spans="1:31" s="2" customFormat="1" x14ac:dyDescent="0.25">
      <c r="A159">
        <v>89</v>
      </c>
      <c r="B159">
        <v>6</v>
      </c>
      <c r="C159">
        <v>4</v>
      </c>
      <c r="D159">
        <v>6</v>
      </c>
      <c r="E159">
        <v>1</v>
      </c>
      <c r="F159" s="3">
        <f>1249.7+(122.5-781)+(-2.549388+(-0.2499--1.59324))+0-0-0</f>
        <v>589.99395200000004</v>
      </c>
      <c r="G159" s="3">
        <f>1193+(143.6-805.6)+(-3.65058+(-0.439416--2.465136))+0-0-0</f>
        <v>529.37513999999999</v>
      </c>
      <c r="H159" s="3">
        <f>1202.3+(160.7-865)+(-1.226346+(-0.163914--0.8823))+0-0-0</f>
        <v>497.49203999999997</v>
      </c>
      <c r="I159" s="3">
        <f>1219.2+(165.2-864.5)+(2.487168+(0.337008-1.76358))+0-0-0</f>
        <v>520.96059600000012</v>
      </c>
      <c r="J159" s="3">
        <f>1210.6+(150.6-831.7)+(0+(0-0))+0-0-0</f>
        <v>529.49999999999989</v>
      </c>
      <c r="K159" s="3">
        <f>1200+(126.7-818.3)+(-3.06+(-0.323085--2.086665))+0-0-0</f>
        <v>507.10358000000008</v>
      </c>
      <c r="L159" s="3">
        <f>1198.1+(85-796.4)+(-3.055155+(-0.21675--2.03082))+0-0-0</f>
        <v>485.45891499999993</v>
      </c>
      <c r="M159" s="3">
        <f>1211.1+(89-809.7)+(0+(0-0))+0-0-0</f>
        <v>490.39999999999986</v>
      </c>
      <c r="N159" s="3">
        <f>1210.7+(75.9-751.9)+(-0.617457+(-0.038709--0.383469))+0-0-0</f>
        <v>534.42730300000005</v>
      </c>
      <c r="O159" s="3">
        <f>1217.4+(138.3-756.4)+(-0.620874+(-0.070533--0.385764))+0-0-0</f>
        <v>598.99435700000015</v>
      </c>
      <c r="P159" s="3">
        <f>1207.7+(178.9-762)+(-1.847781+(-0.273717--1.16586))+0-0-0</f>
        <v>623.644362</v>
      </c>
      <c r="Q159" s="3">
        <f>1205.7+(251.4-809.5)+(0+(0-0))+0-0-0</f>
        <v>647.6</v>
      </c>
      <c r="R159" s="3">
        <f>1195.3+(263.9-801.3)+(1.219206+(0.269178-0.817326))+0-0-0</f>
        <v>658.57105799999999</v>
      </c>
      <c r="S159" s="3">
        <f>1182.5+(270.4-795.7)+(0.603075+(0.137904-0.405807))+0-0-0</f>
        <v>657.53517199999987</v>
      </c>
      <c r="T159" s="3">
        <f>1170.2+(268.8-785.9)+(-1.193604+(-0.274176--0.801618))+0-0-0</f>
        <v>652.43383800000015</v>
      </c>
      <c r="U159" s="3">
        <f>1168.2+(270.7-796.9)+(-1.787346+(-0.414171--1.219257))+0-0-0</f>
        <v>641.01774</v>
      </c>
      <c r="V159" s="3">
        <f>1163.9+(272-792.1)+(-2.374356+(-0.55488--1.615884))+0-0-0</f>
        <v>642.48664800000006</v>
      </c>
      <c r="W159" s="3">
        <f>1159.2+(275.4-800.2)+(-2.95596+(-0.70227--2.04051))+0-0-0</f>
        <v>632.78228000000001</v>
      </c>
      <c r="X159" s="3">
        <f>1166.3+(212.2-766)+(-1.189626+(-0.216444--0.78132))+0-0-0</f>
        <v>611.87525000000005</v>
      </c>
      <c r="Y159" s="3">
        <f>1179.5+(188.6-720.7)+(0.601545+(0.096186-0.367557))+0-0-0</f>
        <v>647.73017400000003</v>
      </c>
      <c r="Z159" s="3">
        <f>1179+(255.8-632)+(-1.80387+(-0.391374--0.96696))+0-0-0</f>
        <v>801.57171599999992</v>
      </c>
      <c r="AA159" s="3">
        <f>1217.2+(247.6-662.2)+(-3.10386+(-0.63138--1.68861))+0-0-0</f>
        <v>800.55336999999997</v>
      </c>
      <c r="AB159" s="3">
        <f>1214.7+(232.6-692.5)+(-0.619497+(-0.118626--0.353175))+0-0-0</f>
        <v>754.41505200000006</v>
      </c>
      <c r="AC159" s="3">
        <f>1203.7+(237.1-723.6)+(-2.455548+(-0.483684--1.476144))+0-0-0</f>
        <v>715.73691200000007</v>
      </c>
      <c r="AD159">
        <f t="shared" si="2"/>
        <v>14771.659455000001</v>
      </c>
      <c r="AE159" s="3">
        <f>1173+(272.5-639.4)+(0+(0-0))+0-0-0</f>
        <v>806.1</v>
      </c>
    </row>
    <row r="160" spans="1:31" s="2" customFormat="1" x14ac:dyDescent="0.25">
      <c r="A160">
        <v>89</v>
      </c>
      <c r="B160">
        <v>6</v>
      </c>
      <c r="C160">
        <v>5</v>
      </c>
      <c r="D160">
        <v>7</v>
      </c>
      <c r="E160">
        <v>1</v>
      </c>
      <c r="F160" s="3">
        <f>1204.5+(161.6-707)+(-0.614295+(-0.082416--0.36057))+0-0-0</f>
        <v>658.76385900000002</v>
      </c>
      <c r="G160" s="3">
        <f>1124.4+(117.7-623)+(-0.573444+(-0.060027--0.31773))+0-0-0</f>
        <v>618.78425900000013</v>
      </c>
      <c r="H160" s="3">
        <f>1095.6+(109.3-638.4)+(-3.352536+(-0.334458--1.953504))+0-0-0</f>
        <v>564.76650999999993</v>
      </c>
      <c r="I160" s="3">
        <f>1119.7+(74.2-634.3)+(1.713141+(0.113526-0.970479))+0-0-0</f>
        <v>560.45618800000011</v>
      </c>
      <c r="J160" s="3">
        <f>1101.9+(75.4-632.2)+(-2.247876+(-0.153816--1.289688))+0-0-0</f>
        <v>543.98799600000007</v>
      </c>
      <c r="K160" s="3">
        <f>1101+(78.9-630.3)+(-0.56151+(-0.040239--0.321453))+0-0-0</f>
        <v>549.319704</v>
      </c>
      <c r="L160" s="3">
        <f>835.6+(146.3-508.8)+(0+(0-0))+0-0-0</f>
        <v>473.1</v>
      </c>
      <c r="M160" s="3">
        <f>835.1+(112.3-503.8)+(0+(0-0))+0-0-0</f>
        <v>443.6</v>
      </c>
      <c r="N160" s="3">
        <f>834.2+(106.9-483.7)+(0+(0-0))+0-0-0</f>
        <v>457.40000000000009</v>
      </c>
      <c r="O160" s="3">
        <f>890.5+(123.8-528.7)+(-0.90831+(-0.126276--0.539274))+0-0-0</f>
        <v>485.10468799999995</v>
      </c>
      <c r="P160" s="3">
        <f>1093.3+(61.5-646.1)+(-1.115166+(-0.06273--0.659022))+0-0-0</f>
        <v>508.18112599999995</v>
      </c>
      <c r="Q160" s="3">
        <f>990.6+(140.6-591.7)+(0+(0-0))+0-0-0</f>
        <v>539.5</v>
      </c>
      <c r="R160" s="3">
        <f>1008.9+(127.2-578.8)+(-0.514539+(-0.064872--0.295188))+0-0-0</f>
        <v>557.01577699999996</v>
      </c>
      <c r="S160" s="3">
        <f>1091.5+(85.9-623.8)+(-1.11333+(-0.087618--0.636276))+0-0-0</f>
        <v>553.03532800000005</v>
      </c>
      <c r="T160" s="3">
        <f>1085.4+(85.1-635.7)+(-1.660662+(-0.130203--0.972621))+0-0-0</f>
        <v>533.98175600000002</v>
      </c>
      <c r="U160" s="3">
        <f>1082.6+(88-655.3)+(-2.208504+(-0.17952--1.336812))+0-0-0</f>
        <v>514.24878799999999</v>
      </c>
      <c r="V160" s="3">
        <f>1089.3+(89.2-677.7)+(-1.111086+(-0.090984--0.691254))+0-0-0</f>
        <v>500.28918399999998</v>
      </c>
      <c r="W160" s="3">
        <f>1106.6+(85.5-673.9)+(1.128732+(0.08721-0.687378))+0-0-0</f>
        <v>518.72856399999989</v>
      </c>
      <c r="X160" s="3">
        <f>1108.1+(43-611.1)+(0+(0-0))+0-0-0</f>
        <v>539.99999999999989</v>
      </c>
      <c r="Y160" s="3">
        <f>1107.8+(76.4-589.7)+(0+(0-0))+0-0-0</f>
        <v>594.49999999999989</v>
      </c>
      <c r="Z160" s="3">
        <f>1111.9+(189.2-624.7)+(-0.567069+(-0.096492--0.318597))+0-0-0</f>
        <v>676.05503600000009</v>
      </c>
      <c r="AA160" s="3">
        <f>1112.7+(195.3-635.5)+(-0.567477+(-0.099603--0.324105))+0-0-0</f>
        <v>672.15702499999998</v>
      </c>
      <c r="AB160" s="3">
        <f>1109.7+(189.3-655.2)+(-1.131894+(-0.193086--0.668304))+0-0-0</f>
        <v>643.14332400000001</v>
      </c>
      <c r="AC160" s="3">
        <f>1115.3+(134.8-643.4)+(0+(0-0))+0-0-0</f>
        <v>606.70000000000005</v>
      </c>
      <c r="AD160">
        <f t="shared" si="2"/>
        <v>13312.819112000001</v>
      </c>
      <c r="AE160" s="3">
        <f>1094+(187.2-679.3)+(0+(0-0))+0-0-0</f>
        <v>601.90000000000009</v>
      </c>
    </row>
    <row r="161" spans="1:31" s="2" customFormat="1" x14ac:dyDescent="0.25">
      <c r="A161">
        <v>89</v>
      </c>
      <c r="B161">
        <v>6</v>
      </c>
      <c r="C161">
        <v>6</v>
      </c>
      <c r="D161">
        <v>1</v>
      </c>
      <c r="E161">
        <v>1</v>
      </c>
      <c r="F161" s="3">
        <f>1103.2+(95-658.2)+(-0.562632+(-0.04845--0.335682))+0-0-0</f>
        <v>539.72460000000001</v>
      </c>
      <c r="G161" s="3">
        <f>865+(148.7-522.7)+(0+(0-0))+0-0-0</f>
        <v>490.99999999999994</v>
      </c>
      <c r="H161" s="3">
        <f>834.8+(159-539.6)+(-1.702992+(-0.32436--1.100784))+0-0-0</f>
        <v>453.27343199999996</v>
      </c>
      <c r="I161" s="3">
        <f>846.2+(177.4-562.6)+(0+(0-0))+0-0-0</f>
        <v>461</v>
      </c>
      <c r="J161" s="3">
        <f>843.8+(184.8-543.6)+(-0.860676+(-0.188496--0.554472))+0-0-0</f>
        <v>484.50529999999992</v>
      </c>
      <c r="K161" s="3">
        <f>837.3+(160.9-530.2)+(-2.135115+(-0.410295--1.35201))+0-0-0</f>
        <v>466.80659999999989</v>
      </c>
      <c r="L161" s="3">
        <f>834.8+(136.6-533.3)+(-2.554488+(-0.417996--1.631898))+0-0-0</f>
        <v>436.75941400000005</v>
      </c>
      <c r="M161" s="3">
        <f>928.8+(115.4-593)+(0.473688+(0.058854-0.30243))+0-0-0</f>
        <v>451.43011199999995</v>
      </c>
      <c r="N161" s="3">
        <f>1094.9+(56.5-655.9)+(0+(0-0))+0-0-0</f>
        <v>495.50000000000011</v>
      </c>
      <c r="O161" s="3">
        <f>1191.1+(95.1-705.8)+(-0.607461+(-0.048501--0.359958))+0-0-0</f>
        <v>580.10399599999994</v>
      </c>
      <c r="P161" s="3">
        <f>1198.4+(183.5-764.3)+(1.222368+(0.18717-0.779586))+0-0-0</f>
        <v>618.22995200000014</v>
      </c>
      <c r="Q161" s="3">
        <f>1202.3+(243-799.4)+(0.613173+(0.12393-0.407694))+0-0-0</f>
        <v>646.22940900000003</v>
      </c>
      <c r="R161" s="3">
        <f>1204+(249.2-790)+(0.61404+(0.127092-0.4029))+0-0-0</f>
        <v>663.53823199999999</v>
      </c>
      <c r="S161" s="3">
        <f>1198.6+(291.2-826.6)+(0+(0-0))+0-0-0</f>
        <v>663.19999999999982</v>
      </c>
      <c r="T161" s="3">
        <f>1198.5+(236.3-781.9)+(0+(0-0))+0-0-0</f>
        <v>652.90000000000009</v>
      </c>
      <c r="U161" s="3">
        <f>1187.2+(233.9-772.6)+(-2.421888+(-0.477156--1.576104))+0-0-0</f>
        <v>647.17705999999998</v>
      </c>
      <c r="V161" s="3">
        <f>1187.9+(245.1-778.9)+(-3.029145+(-0.625005--1.986195))+0-0-0</f>
        <v>652.43204500000013</v>
      </c>
      <c r="W161" s="3">
        <f>1189+(238.2-782.6)+(-2.42556+(-0.485928--1.596504))+0-0-0</f>
        <v>643.28501599999993</v>
      </c>
      <c r="X161" s="3">
        <f>1188.3+(193.9-748.2)+(-1.818099+(-0.296667--1.144746))+0-0-0</f>
        <v>633.02997999999991</v>
      </c>
      <c r="Y161" s="3">
        <f>1202.8+(187.4-723.4)+(0.613428+(0.095574-0.368934))+0-0-0</f>
        <v>667.14006799999993</v>
      </c>
      <c r="Z161" s="3">
        <f>1206+(240.2-648.5)+(-2.46024+(-0.490008--1.32294))+0-0-0</f>
        <v>796.07269200000007</v>
      </c>
      <c r="AA161" s="3">
        <f>1202.1+(237.7-636.8)+(-3.678426+(-0.727362--1.948608))+0-0-0</f>
        <v>800.54282000000001</v>
      </c>
      <c r="AB161" s="3">
        <f>1202.2+(134.5-574.3)+(-1.226244+(-0.13719--0.585786))+0-0-0</f>
        <v>761.62235200000009</v>
      </c>
      <c r="AC161" s="3">
        <f>1200.8+(110.3-597.7)+(-1.224816+(-0.112506--0.609654))+0-0-0</f>
        <v>712.67233199999987</v>
      </c>
      <c r="AD161">
        <f t="shared" si="2"/>
        <v>14418.175411999999</v>
      </c>
      <c r="AE161" s="3">
        <f>1217+(238.7-660.3)+(0+(0-0))+0-0-0</f>
        <v>795.40000000000009</v>
      </c>
    </row>
    <row r="162" spans="1:31" s="2" customFormat="1" x14ac:dyDescent="0.25">
      <c r="A162">
        <v>89</v>
      </c>
      <c r="B162">
        <v>6</v>
      </c>
      <c r="C162">
        <v>7</v>
      </c>
      <c r="D162">
        <v>2</v>
      </c>
      <c r="E162">
        <v>1</v>
      </c>
      <c r="F162" s="3">
        <f>1206.2+(110.3-655.5)+(-1.230324+(-0.112506--0.66861))+0-0-0</f>
        <v>660.32578000000001</v>
      </c>
      <c r="G162" s="3">
        <f>1198.2+(91.3-681.8)+(-2.444328+(-0.186252--1.390872))+0-0-0</f>
        <v>606.46029200000009</v>
      </c>
      <c r="H162" s="3">
        <f>1192.4+(89.3-711.1)+(-3.04062+(-0.227715--1.813305))+0-0-0</f>
        <v>569.14497000000006</v>
      </c>
      <c r="I162" s="3">
        <f>1159.7+(89.1-731.7)+(-1.182894+(-0.090882--0.746334))+0-0-0</f>
        <v>516.57255800000007</v>
      </c>
      <c r="J162" s="3">
        <f>1173.7+(83.5-718.5)+(2.394348+(0.17034-1.46574))+0-0-0</f>
        <v>539.798948</v>
      </c>
      <c r="K162" s="3">
        <f>1158.6+(82.6-703.7)+(-1.772658+(-0.126378--1.076661))+0-0-0</f>
        <v>536.67762499999992</v>
      </c>
      <c r="L162" s="3">
        <f>1156+(81-735.6)+(0+(0-0))+0-0-0</f>
        <v>501.4</v>
      </c>
      <c r="M162" s="3">
        <f>1168.9+(58.1-721.3)+(0+(0-0))+0-0-0</f>
        <v>505.70000000000016</v>
      </c>
      <c r="N162" s="3">
        <f>1182.3+(68.8-682.6)+(1.205946+(0.070176-0.696252))+0-0-0</f>
        <v>569.07986999999991</v>
      </c>
      <c r="O162" s="3">
        <f>1223.9+(126.2-668.3)+(-0.624189+(-0.064362--0.340833))+0-0-0</f>
        <v>681.4522820000002</v>
      </c>
      <c r="P162" s="3">
        <f>1150.9+(237.1-723)+(0+(0-0))+0-0-0</f>
        <v>665.00000000000011</v>
      </c>
      <c r="Q162" s="3">
        <f>1155.7+(253.5-694.4)+(0.589407+(0.129285-0.354144))+0-0-0</f>
        <v>715.16454800000008</v>
      </c>
      <c r="R162" s="3">
        <f>1170.1+(298.1-717.2)+(-1.790253+(-0.456093--1.097316))+0-0-0</f>
        <v>749.85096999999985</v>
      </c>
      <c r="S162" s="3">
        <f>1170.4+(300.1-733.5)+(-1.790712+(-0.459153--1.122255))+0-0-0</f>
        <v>735.87239000000011</v>
      </c>
      <c r="T162" s="3">
        <f>1169.9+(298.1-735.3)+(-1.789947+(-0.456093--1.125009))+0-0-0</f>
        <v>731.57896900000014</v>
      </c>
      <c r="U162" s="3">
        <f>1167.5+(279.2-723.8)+(-1.19085+(-0.284784--0.738276))+0-0-0</f>
        <v>722.16264200000012</v>
      </c>
      <c r="V162" s="3">
        <f>1187.6+(262.7-700.1)+(-4.845408+(-1.071816--2.856408))+0-0-0</f>
        <v>747.13918399999977</v>
      </c>
      <c r="W162" s="3">
        <f>1187+(236.8-671.3)+(-2.42148+(-0.483072--1.369452))+0-0-0</f>
        <v>750.96489999999994</v>
      </c>
      <c r="X162" s="3">
        <f>1178.4+(193.8-630.1)+(-1.201968+(-0.197676--0.642702))+0-0-0</f>
        <v>741.34305800000016</v>
      </c>
      <c r="Y162" s="3">
        <f>1193+(234.2-663.1)+(0.60843+(0.119442-0.338181))+0-0-0</f>
        <v>764.48969099999988</v>
      </c>
      <c r="Z162" s="3">
        <f>1197.6+(275.3-560.2)+(-1.832328+(-0.421209--0.857106))+0-0-0</f>
        <v>911.30356899999981</v>
      </c>
      <c r="AA162" s="3">
        <f>1204.6+(260.8-582.9)+(-3.686076+(-0.798048--1.783674))+0-0-0</f>
        <v>879.79954999999995</v>
      </c>
      <c r="AB162" s="3">
        <f>1209.6+(242.3-618.1)+(-1.850688+(-0.370719--0.945693))+0-0-0</f>
        <v>832.52428599999996</v>
      </c>
      <c r="AC162" s="3">
        <f>1208.3+(155.6-573)+(-1.232466+(-0.158712--0.58446))+0-0-0</f>
        <v>790.09328199999993</v>
      </c>
      <c r="AD162">
        <f t="shared" si="2"/>
        <v>16423.899364000001</v>
      </c>
      <c r="AE162" s="3">
        <f>1187+(259.1-632.3)+(0+(0-0))+0-0-0</f>
        <v>813.80000000000007</v>
      </c>
    </row>
    <row r="163" spans="1:31" s="2" customFormat="1" x14ac:dyDescent="0.25">
      <c r="A163">
        <v>89</v>
      </c>
      <c r="B163">
        <v>6</v>
      </c>
      <c r="C163">
        <v>8</v>
      </c>
      <c r="D163">
        <v>3</v>
      </c>
      <c r="E163">
        <v>1</v>
      </c>
      <c r="F163" s="3">
        <f>1164.6+(153.1-568.7)+(-1.187892+(-0.156162--0.580074))+0-0-0</f>
        <v>748.23601999999994</v>
      </c>
      <c r="G163" s="3">
        <f>1076+(160.3-559.8)+(-0.54876+(-0.081753--0.285498))+0-0-0</f>
        <v>676.15498500000001</v>
      </c>
      <c r="H163" s="3">
        <f>987.7+(161.7-527.2)+(0+(0-0))+0-0-0</f>
        <v>622.20000000000005</v>
      </c>
      <c r="I163" s="3">
        <f>966.5+(155.7-529.7)+(-0.98583+(-0.158814--0.540294))+0-0-0</f>
        <v>591.89565000000005</v>
      </c>
      <c r="J163" s="3">
        <f>972.3+(154.2-542.5)+(0.495873+(0.078642-0.276675))+0-0-0</f>
        <v>584.29783999999995</v>
      </c>
      <c r="K163" s="3">
        <f>965.2+(158.7-563.5)+(-1.969008+(-0.323748--1.14954))+0-0-0</f>
        <v>559.25678400000004</v>
      </c>
      <c r="L163" s="3">
        <f>942.6+(149.1-583.4)+(-2.884356+(-0.456246--1.785204))+0-0-0</f>
        <v>506.74460200000004</v>
      </c>
      <c r="M163" s="3">
        <f>769.8+(214.9-498.4)+(0.785196+(0.219198-0.508368))+0-0-0</f>
        <v>486.79602599999993</v>
      </c>
      <c r="N163" s="3">
        <f>766.9+(250.4-504.5)+(0.391119+(0.127704-0.257295))+0-0-0</f>
        <v>513.06152799999995</v>
      </c>
      <c r="O163" s="3">
        <f>900.1+(305.7-576.4)+(0+(0-0))+0-0-0</f>
        <v>629.40000000000009</v>
      </c>
      <c r="P163" s="3">
        <f>963.9+(338.6-595.7)+(1.966356+(0.690744-1.215228))+0-0-0</f>
        <v>708.24187199999994</v>
      </c>
      <c r="Q163" s="3">
        <f>1041+(290.5-573.6)+(1.06182+(0.29631-0.585072))+0-0-0</f>
        <v>758.67305799999997</v>
      </c>
      <c r="R163" s="3">
        <f>1049.4+(287.8-549.8)+(-0.535194+(-0.146778--0.280398))+0-0-0</f>
        <v>786.99842600000011</v>
      </c>
      <c r="S163" s="3">
        <f>1004.1+(311.2-523.1)+(0+(0-0))+0-0-0</f>
        <v>792.2</v>
      </c>
      <c r="T163" s="3">
        <f>1064.9+(281-517.1)+(0.543099+(0.14331-0.263721))+0-0-0</f>
        <v>829.22268800000006</v>
      </c>
      <c r="U163" s="3">
        <f>1051.8+(286.6-512.1)+(0.536418+(0.146166-0.261171))+0-0-0</f>
        <v>826.72141299999998</v>
      </c>
      <c r="V163" s="3">
        <f>1005.2+(304-491.1)+(-1.537956+(-0.46512--0.751383))+0-0-0</f>
        <v>816.84830699999998</v>
      </c>
      <c r="W163" s="3">
        <f>992.4+(305.1-525)+(-1.518372+(-0.466803--0.80325))+0-0-0</f>
        <v>771.31807500000002</v>
      </c>
      <c r="X163" s="3">
        <f>1036.5+(254.9-558.5)+(-0.528615+(-0.129999--0.284835))+0-0-0</f>
        <v>732.52622099999996</v>
      </c>
      <c r="Y163" s="3">
        <f>1134.9+(232.1-597.5)+(0.578799+(0.118371-0.304725))+0-0-0</f>
        <v>769.89244500000007</v>
      </c>
      <c r="Z163" s="3">
        <f>1172.8+(296.9-526.3)+(-0.598128+(-0.151419--0.268413))+0-0-0</f>
        <v>942.91886599999998</v>
      </c>
      <c r="AA163" s="3">
        <f>1186.2+(303.4-552.5)+(0+(0-0))+0-0-0</f>
        <v>937.1</v>
      </c>
      <c r="AB163" s="3">
        <f>1190.4+(295.6-598.1)+(-1.214208+(-0.301512--0.610062))+0-0-0</f>
        <v>886.99434200000007</v>
      </c>
      <c r="AC163" s="3">
        <f>1190.2+(289.2-599.6)+(0+(0-0))+0-0-0</f>
        <v>879.8</v>
      </c>
      <c r="AD163">
        <f t="shared" si="2"/>
        <v>17357.499147999999</v>
      </c>
      <c r="AE163" s="3">
        <f>1175+(304.8-573.3)+(0+(0-0))+0-0-0</f>
        <v>906.5</v>
      </c>
    </row>
    <row r="164" spans="1:31" s="2" customFormat="1" x14ac:dyDescent="0.25">
      <c r="A164">
        <v>89</v>
      </c>
      <c r="B164">
        <v>6</v>
      </c>
      <c r="C164">
        <v>9</v>
      </c>
      <c r="D164">
        <v>4</v>
      </c>
      <c r="E164">
        <v>1</v>
      </c>
      <c r="F164" s="3">
        <f>1071.3+(261.5-516.7)+(-2.731815+(-0.666825--1.317585))+0-0-0</f>
        <v>814.01894499999992</v>
      </c>
      <c r="G164" s="3">
        <f>954.9+(240.8-473.4)+(-1.947996+(-0.491232--0.965736))+0-0-0</f>
        <v>720.82650799999999</v>
      </c>
      <c r="H164" s="3">
        <f>936.2+(234.5-515.7)+(-1.432386+(-0.358785--0.789021))+0-0-0</f>
        <v>653.99784999999997</v>
      </c>
      <c r="I164" s="3">
        <f>945.2+(210.2-523.8)+(-2.41026+(-0.53601--1.33569))+0-0-0</f>
        <v>629.98942000000011</v>
      </c>
      <c r="J164" s="3">
        <f>956+(204.3-526)+(0+(0-0))+0-0-0</f>
        <v>634.29999999999995</v>
      </c>
      <c r="K164" s="3">
        <f>944.7+(183.7-527.2)+(-2.408985+(-0.468435--1.34436))+0-0-0</f>
        <v>599.66694000000007</v>
      </c>
      <c r="L164" s="3">
        <f>811.4+(199.7-472.3)+(-1.655256+(-0.407388--0.963492))+0-0-0</f>
        <v>537.70084799999995</v>
      </c>
      <c r="M164" s="3">
        <f>742.7+(244.9-443.1)+(0+(0-0))+0-0-0</f>
        <v>544.5</v>
      </c>
      <c r="N164" s="3">
        <f>746.6+(283.5-421.6)+(0.380766+(0.144585-0.215016))+0-0-0</f>
        <v>608.81033500000001</v>
      </c>
      <c r="O164" s="3">
        <f>944.9+(293.4-573)+(0+(0-0))+0-0-0</f>
        <v>665.3</v>
      </c>
      <c r="P164" s="3">
        <f>1071.8+(293.7-610.8)+(0.546618+(0.149787-0.311508))+0-0-0</f>
        <v>755.08489700000007</v>
      </c>
      <c r="Q164" s="3">
        <f>1043.8+(298.6-540.2)+(1.597014+(0.456858-0.826506))+0-0-0</f>
        <v>803.42736599999989</v>
      </c>
      <c r="R164" s="3">
        <f>1029.7+(313.3-491.9)+(0.525147+(0.159783-0.250869))+0-0-0</f>
        <v>851.53406100000018</v>
      </c>
      <c r="S164" s="3">
        <f>1037.5+(319.8-439.3)+(0+(0-0))+0-0-0</f>
        <v>918</v>
      </c>
      <c r="T164" s="3">
        <f>1026.8+(321.5-439.2)+(0.523668+(0.163965-0.223992))+0-0-0</f>
        <v>909.56364099999996</v>
      </c>
      <c r="U164" s="3">
        <f>994.2+(330.1-405)+(-2.53521+(-0.841755--1.03275))+0-0-0</f>
        <v>916.95578500000011</v>
      </c>
      <c r="V164" s="3">
        <f>990.1+(328.5-437.1)+(-1.009902+(-0.33507--0.445842))+0-0-0</f>
        <v>880.60086999999999</v>
      </c>
      <c r="W164" s="3">
        <f>986.3+(319-460.1)+(-1.006026+(-0.32538--0.469302))+0-0-0</f>
        <v>844.33789599999989</v>
      </c>
      <c r="X164" s="3">
        <f>983.9+(296.6-502.5)+(-1.003578+(-0.302532--0.51255))+0-0-0</f>
        <v>777.20644000000004</v>
      </c>
      <c r="Y164" s="3">
        <f>1014.5+(259.9-475.2)+(-1.03479+(-0.265098--0.484704))+0-0-0</f>
        <v>798.384816</v>
      </c>
      <c r="Z164" s="3">
        <f>1098.1+(333.2-461.6)+(0+(0-0))+0-0-0</f>
        <v>969.69999999999982</v>
      </c>
      <c r="AA164" s="3">
        <f>1103+(313.4-473.3)+(-2.25012+(-0.639336--0.965532))+0-0-0</f>
        <v>941.17607599999985</v>
      </c>
      <c r="AB164" s="3">
        <f>1106.5+(291.3-517.8)+(0+(0-0))+0-0-0</f>
        <v>880</v>
      </c>
      <c r="AC164" s="3">
        <f>1052.5+(289.8-489.9)+(-2.683875+(-0.73899--1.249245))+0-0-0</f>
        <v>850.22638000000006</v>
      </c>
      <c r="AD164">
        <f t="shared" si="2"/>
        <v>18505.309074000001</v>
      </c>
      <c r="AE164" s="3">
        <f>1094+(330.6-506.4)+(0+(0-0))+0-0-0</f>
        <v>918.2</v>
      </c>
    </row>
    <row r="165" spans="1:31" s="2" customFormat="1" x14ac:dyDescent="0.25">
      <c r="A165">
        <v>89</v>
      </c>
      <c r="B165">
        <v>6</v>
      </c>
      <c r="C165">
        <v>10</v>
      </c>
      <c r="D165">
        <v>5</v>
      </c>
      <c r="E165">
        <v>5</v>
      </c>
      <c r="F165" s="3">
        <f>998.2+(288.8-485)+(-1.527246+(-0.441864--0.74205))+0-0-0</f>
        <v>800.77293999999995</v>
      </c>
      <c r="G165" s="3">
        <f>979.1+(250.2-456.5)+(-1.498023+(-0.382806--0.698445))+0-0-0</f>
        <v>771.617616</v>
      </c>
      <c r="H165" s="3">
        <f>975.1+(196.6-475.9)+(-0.497301+(-0.100266--0.242709))+0-0-0</f>
        <v>695.44514200000003</v>
      </c>
      <c r="I165" s="3">
        <f>971.1+(186.4-473.5)+(-0.990522+(-0.190128--0.48297))+0-0-0</f>
        <v>683.30232000000001</v>
      </c>
      <c r="J165" s="3">
        <f>965.1+(183.7-478.2)+(-1.968804+(-0.374748--0.975528))+0-0-0</f>
        <v>669.23197600000003</v>
      </c>
      <c r="K165" s="3">
        <f>965.3+(126.9-484.8)+(-2.461515+(-0.323595--1.23624))+0-0-0</f>
        <v>605.85113000000001</v>
      </c>
      <c r="L165" s="3">
        <f>880.5+(124.6-456.2)+(-2.245275+(-0.31773--1.16331))+0-0-0</f>
        <v>547.50030500000003</v>
      </c>
      <c r="M165" s="3">
        <f>685.6+(154.8-341.6)+(0+(0-0))+0-0-0</f>
        <v>498.8</v>
      </c>
      <c r="N165" s="3">
        <f>595.3+(196.2-317.8)+(-0.607206+(-0.200124--0.324156))+0-0-0</f>
        <v>473.21682599999991</v>
      </c>
      <c r="O165" s="3">
        <f>781.1+(167.2-380.1)+(-0.796722+(-0.170544--0.387702))+0-0-0</f>
        <v>567.62043600000004</v>
      </c>
      <c r="P165" s="3">
        <f>794.1+(214.1-401.2)+(-0.404991+(-0.109191--0.204612))+0-0-0</f>
        <v>606.69042999999999</v>
      </c>
      <c r="Q165" s="3">
        <f>820+(221.4-388.7)+(0.8364+(0.225828-0.396474))+0-0-0</f>
        <v>653.36575400000004</v>
      </c>
      <c r="R165" s="3">
        <f>885.9+(226.9-398.7)+(-0.451809+(-0.115719--0.203337))+0-0-0</f>
        <v>713.73580900000002</v>
      </c>
      <c r="S165" s="3">
        <f>929.5+(217.8-383.3)+(-0.474045+(-0.111078--0.195483))+0-0-0</f>
        <v>763.61036000000001</v>
      </c>
      <c r="T165" s="3">
        <f>943.9+(222.9-367)+(0+(0-0))+0-0-0</f>
        <v>799.8</v>
      </c>
      <c r="U165" s="3">
        <f>947.7+(228.4-354.7)+(-1.933308+(-0.465936--0.723588))+0-0-0</f>
        <v>819.72434400000009</v>
      </c>
      <c r="V165" s="3">
        <f>937.3+(230.8-352.6)+(-0.478023+(-0.117708--0.179826))+0-0-0</f>
        <v>815.08409500000005</v>
      </c>
      <c r="W165" s="3">
        <f>922.4+(225-393.6)+(-0.940848+(-0.2295--0.401472))+0-0-0</f>
        <v>753.03112399999998</v>
      </c>
      <c r="X165" s="3">
        <f>934.2+(189.8-413.9)+(-0.952884+(-0.193596--0.422178))+0-0-0</f>
        <v>709.37569800000017</v>
      </c>
      <c r="Y165" s="3">
        <f>991.4+(183.5-411.1)+(0+(0-0))+0-0-0</f>
        <v>763.8</v>
      </c>
      <c r="Z165" s="3">
        <f>1073.2+(244.8-375.2)+(-0.547332+(-0.124848--0.191352))+0-0-0</f>
        <v>942.31917200000009</v>
      </c>
      <c r="AA165" s="3">
        <f>1079.6+(239-392.6)+(-1.651788+(-0.36567--0.600678))+0-0-0</f>
        <v>924.58321999999987</v>
      </c>
      <c r="AB165" s="3">
        <f>1086.2+(220.9-403)+(0.553962+(0.112659-0.20553))+0-0-0</f>
        <v>904.56109100000003</v>
      </c>
      <c r="AC165" s="3">
        <f>1078.7+(222-407)+(-0.550137+(-0.11322--0.20757))+0-0-0</f>
        <v>893.24421300000006</v>
      </c>
      <c r="AD165">
        <f t="shared" si="2"/>
        <v>17376.284001</v>
      </c>
      <c r="AE165" s="3">
        <f>1082+(242.8-469.3)+(0+(0-0))+0-0-0</f>
        <v>855.5</v>
      </c>
    </row>
    <row r="166" spans="1:31" s="2" customFormat="1" x14ac:dyDescent="0.25">
      <c r="A166">
        <v>89</v>
      </c>
      <c r="B166">
        <v>6</v>
      </c>
      <c r="C166">
        <v>11</v>
      </c>
      <c r="D166">
        <v>6</v>
      </c>
      <c r="E166">
        <v>6</v>
      </c>
      <c r="F166" s="3">
        <f>1073.9+(186.9-392.1)+(0+(0-0))+0-0-0</f>
        <v>868.7</v>
      </c>
      <c r="G166" s="3">
        <f>1071.5+(167.5-453.6)+(-0.546465+(-0.085425--0.231336))+0-0-0</f>
        <v>784.99944599999992</v>
      </c>
      <c r="H166" s="3">
        <f>1076.1+(147.1-498.1)+(0.548811+(0.075021-0.254031))+0-0-0</f>
        <v>725.46980099999996</v>
      </c>
      <c r="I166" s="3">
        <f>1063.7+(124.5-512)+(0+(0-0))+0-0-0</f>
        <v>676.2</v>
      </c>
      <c r="J166" s="3">
        <f>1072.8+(122.2-517.4)+(0+(0-0))+0-0-0</f>
        <v>677.59999999999991</v>
      </c>
      <c r="K166" s="3">
        <f>1003.8+(144.8-499.5)+(0+(0-0))+0-0-0</f>
        <v>649.09999999999991</v>
      </c>
      <c r="L166" s="3">
        <f>910.4+(159.7-506.2)+(-1.857216+(-0.325788--1.032648))+0-0-0</f>
        <v>562.74964399999999</v>
      </c>
      <c r="M166" s="3">
        <f>921.7+(137.7-502.1)+(0.470067+(0.070227-0.256071))+0-0-0</f>
        <v>557.58422299999995</v>
      </c>
      <c r="N166" s="3">
        <f>916.3+(171.5-454.9)+(-0.467313+(-0.087465--0.231999))+0-0-0</f>
        <v>632.57722100000001</v>
      </c>
      <c r="O166" s="3">
        <f>921.6+(190.1-418.2)+(0.940032+(0.193902-0.426564))+0-0-0</f>
        <v>694.20736999999997</v>
      </c>
      <c r="P166" s="3">
        <f>1008.1+(177.3-403.1)+(1.028262+(0.180846-0.411162))+0-0-0</f>
        <v>783.09794599999998</v>
      </c>
      <c r="Q166" s="3">
        <f>1018.7+(198.3-374.1)+(0.519537+(0.101133-0.190791))+0-0-0</f>
        <v>843.32987900000012</v>
      </c>
      <c r="R166" s="3">
        <f>1020.9+(216.2-343.8)+(0.520659+(0.110262-0.175338))+0-0-0</f>
        <v>893.755583</v>
      </c>
      <c r="S166" s="3">
        <f>1030.3+(209.2-289.8)+(-0.525453+(-0.106692--0.147798))+0-0-0</f>
        <v>949.21565299999997</v>
      </c>
      <c r="T166" s="3">
        <f>1026.9+(216.8-250.8)+(0.523719+(0.110568-0.127908))+0-0-0</f>
        <v>993.40637900000013</v>
      </c>
      <c r="U166" s="3">
        <f>1004.9+(220.8-236.6)+(-0.512499+(-0.112608--0.120666))+0-0-0</f>
        <v>988.59555899999998</v>
      </c>
      <c r="V166" s="3">
        <f>988.3+(220.9-259.2)+(-1.512099+(-0.337977--0.396576))+0-0-0</f>
        <v>948.54650000000004</v>
      </c>
      <c r="W166" s="3">
        <f>992.5+(198.3-311.9)+(0+(0-0))+0-0-0</f>
        <v>878.90000000000009</v>
      </c>
      <c r="X166" s="3">
        <f>994.5+(176.9-353.6)+(0.507195+(0.090219-0.180336))+0-0-0</f>
        <v>818.2170779999999</v>
      </c>
      <c r="Y166" s="3">
        <f>1030.5+(196.3-337.8)+(1.05111+(0.200226-0.344556))+0-0-0</f>
        <v>889.90678000000003</v>
      </c>
      <c r="Z166" s="3">
        <f>1087.8+(260.9-319.4)+(-0.554778+(-0.133059--0.162894))+0-0-0</f>
        <v>1028.7750570000001</v>
      </c>
      <c r="AA166" s="3">
        <f>1093+(266.1-326.2)+(0.55743+(0.135711-0.166362))+0-0-0</f>
        <v>1033.4267790000001</v>
      </c>
      <c r="AB166" s="3">
        <f>1092.7+(238.5-341)+(-1.114554+(-0.24327--0.34782))+0-0-0</f>
        <v>989.18999600000006</v>
      </c>
      <c r="AC166" s="3">
        <f>1081.3+(220.6-339.9)+(1.102926+(0.225012-0.346698))+0-0-0</f>
        <v>962.98123999999996</v>
      </c>
      <c r="AD166">
        <f t="shared" si="2"/>
        <v>19830.532134000001</v>
      </c>
      <c r="AE166" s="3">
        <f>1079+(265-359.5)+(0+(0-0))+0-0-0</f>
        <v>984.5</v>
      </c>
    </row>
    <row r="167" spans="1:31" s="2" customFormat="1" x14ac:dyDescent="0.25">
      <c r="A167">
        <v>89</v>
      </c>
      <c r="B167">
        <v>6</v>
      </c>
      <c r="C167">
        <v>12</v>
      </c>
      <c r="D167">
        <v>7</v>
      </c>
      <c r="E167">
        <v>1</v>
      </c>
      <c r="F167" s="3">
        <f>1064.6+(199.1-336.3)+(0+(0-0))+0-0-0</f>
        <v>927.39999999999986</v>
      </c>
      <c r="G167" s="3">
        <f>1067.7+(197.2-393.8)+(0.544527+(0.100572-0.200838))+0-0-0</f>
        <v>871.54426100000001</v>
      </c>
      <c r="H167" s="3">
        <f>1065.2+(180.7-436.2)+(0+(0-0))+0-0-0</f>
        <v>809.7</v>
      </c>
      <c r="I167" s="3">
        <f>1074.4+(161.6-449)+(2.73972+(0.41208-1.14495))+0-0-0</f>
        <v>789.0068500000001</v>
      </c>
      <c r="J167" s="3">
        <f>1060.7+(165.3-458)+(-1.081914+(-0.168606--0.46716))+0-0-0</f>
        <v>767.21663999999998</v>
      </c>
      <c r="K167" s="3">
        <f>987.5+(169.3-432)+(-2.518125+(-0.431715--1.1016))+0-0-0</f>
        <v>722.95175999999992</v>
      </c>
      <c r="L167" s="3">
        <f>891.2+(161.3-420.4)+(-2.27256+(-0.411315--1.07202))+0-0-0</f>
        <v>630.48814500000015</v>
      </c>
      <c r="M167" s="3">
        <f>894.7+(124.8-449.4)+(-1.825188+(-0.254592--0.916776))+0-0-0</f>
        <v>568.93699600000014</v>
      </c>
      <c r="N167" s="3">
        <f>907.2+(119.2-458.9)+(0.462672+(0.060792-0.234039))+0-0-0</f>
        <v>567.78942500000005</v>
      </c>
      <c r="O167" s="3">
        <f>904.1+(142.4-448.2)+(0+(0-0))+0-0-0</f>
        <v>598.30000000000007</v>
      </c>
      <c r="P167" s="3">
        <f>907.3+(179.2-427.5)+(-0.462723+(-0.091392--0.218025))+0-0-0</f>
        <v>658.66390999999999</v>
      </c>
      <c r="Q167" s="3">
        <f>964.1+(202.9-435.3)+(-0.491691+(-0.103479--0.222003))+0-0-0</f>
        <v>731.32683300000008</v>
      </c>
      <c r="R167" s="3">
        <f>1031.3+(213.3-435.4)+(-0.525963+(-0.108783--0.222054))+0-0-0</f>
        <v>808.78730800000005</v>
      </c>
      <c r="S167" s="3">
        <f>1020.1+(220.2-383)+(-1.040502+(-0.224604--0.39066))+0-0-0</f>
        <v>856.42555399999992</v>
      </c>
      <c r="T167" s="3">
        <f>1027.4+(215.5-362)+(0+(0-0))+0-0-0</f>
        <v>880.90000000000009</v>
      </c>
      <c r="U167" s="3">
        <f>1044.7+(196.4-364.2)+(-1.598391+(-0.300492--0.557226))+0-0-0</f>
        <v>875.55834300000004</v>
      </c>
      <c r="V167" s="3">
        <f>1046.8+(182.2-394.9)+(-0.533868+(-0.092922--0.201399))+0-0-0</f>
        <v>833.67460899999992</v>
      </c>
      <c r="W167" s="3">
        <f>1058.3+(157.1-433.1)+(-1.619199+(-0.240363--0.662643))+0-0-0</f>
        <v>781.10308099999997</v>
      </c>
      <c r="X167" s="3">
        <f>1090.2+(113.8-476.5)+(-2.78001+(-0.29019--1.215075))+0-0-0</f>
        <v>725.64487499999996</v>
      </c>
      <c r="Y167" s="3">
        <f>1160.6+(114.5-485.5)+(0+(0-0))+0-0-0</f>
        <v>789.59999999999991</v>
      </c>
      <c r="Z167" s="3">
        <f>1170.2+(208.6-442.9)+(-1.193604+(-0.212772--0.451758))+0-0-0</f>
        <v>934.94538200000011</v>
      </c>
      <c r="AA167" s="3">
        <f>1190.1+(209.2-475.4)+(-2.427804+(-0.426768--0.969816))+0-0-0</f>
        <v>922.01524399999983</v>
      </c>
      <c r="AB167" s="3">
        <f>1198.2+(198.7-493.8)+(-0.611082+(-0.101337--0.251838))+0-0-0</f>
        <v>902.63941899999998</v>
      </c>
      <c r="AC167" s="3">
        <f>1193+(187-489.1)+(-0.60843+(-0.09537--0.249441))+0-0-0</f>
        <v>890.44564100000002</v>
      </c>
      <c r="AD167">
        <f t="shared" si="2"/>
        <v>18845.064275999997</v>
      </c>
      <c r="AE167" s="3">
        <f>1175+(215.4-515.2)+(0+(0-0))+0-0-0</f>
        <v>875.19999999999993</v>
      </c>
    </row>
    <row r="168" spans="1:31" s="2" customFormat="1" x14ac:dyDescent="0.25">
      <c r="A168">
        <v>89</v>
      </c>
      <c r="B168">
        <v>6</v>
      </c>
      <c r="C168">
        <v>13</v>
      </c>
      <c r="D168">
        <v>1</v>
      </c>
      <c r="E168">
        <v>1</v>
      </c>
      <c r="F168" s="3">
        <f>1182.7+(164.4-498.4)+(-1.809531+(-0.251532--0.762552))+0-0-0</f>
        <v>847.40148900000008</v>
      </c>
      <c r="G168" s="3">
        <f>1171.6+(122-519.9)+(-1.792548+(-0.18666--0.795447))+0-0-0</f>
        <v>772.51623899999993</v>
      </c>
      <c r="H168" s="3">
        <f>1144.3+(94.7-535.5)+(-1.167186+(-0.096594--0.54621))+0-0-0</f>
        <v>702.78242999999998</v>
      </c>
      <c r="I168" s="3">
        <f>1154.5+(94.3-576.7)+(0.588795+(0.048093-0.294117))+0-0-0</f>
        <v>672.44277099999988</v>
      </c>
      <c r="J168" s="3">
        <f>1150.8+(90-559.6)+(0.586908+(0.0459-0.285396))+0-0-0</f>
        <v>681.54741199999989</v>
      </c>
      <c r="K168" s="3">
        <f>1136.2+(85.6-581.1)+(-2.89731+(-0.21828--1.481805))+0-0-0</f>
        <v>639.06621500000006</v>
      </c>
      <c r="L168" s="3">
        <f>1176.2+(69.4-658.7)+(-4.199034+(-0.247758--2.351559))+0-0-0</f>
        <v>584.80476699999997</v>
      </c>
      <c r="M168" s="3">
        <f>1150.2+(60.1-624.5)+(0+(0-0))+0-0-0</f>
        <v>585.80000000000007</v>
      </c>
      <c r="N168" s="3">
        <f>1156.9+(105.4-610.6)+(0+(0-0))+0-0-0</f>
        <v>651.70000000000005</v>
      </c>
      <c r="O168" s="3">
        <f>1233.9+(129.8-636)+(0.629289+(0.066198-0.32436))+0-0-0</f>
        <v>728.07112700000005</v>
      </c>
      <c r="P168" s="3">
        <f>1230.3+(140.3-591.4)+(1.882359+(0.214659-0.904842))+0-0-0</f>
        <v>780.39217600000006</v>
      </c>
      <c r="Q168" s="3">
        <f>1265.6+(135.8-577)+(2.581824+(0.277032-1.17708))+0-0-0</f>
        <v>826.08177599999988</v>
      </c>
      <c r="R168" s="3">
        <f>1246.3+(163.1-544.9)+(0+(0-0))+0-0-0</f>
        <v>864.5</v>
      </c>
      <c r="S168" s="3">
        <f>1210.7+(189.7-538.6)+(-1.852371+(-0.290241--0.824058))+0-0-0</f>
        <v>860.48144600000001</v>
      </c>
      <c r="T168" s="3">
        <f>1201.7+(198.8-498.5)+(0+(0-0))+0-0-0</f>
        <v>902</v>
      </c>
      <c r="U168" s="3">
        <f>1235.3+(184.2-519.7)+(0+(0-0))+0-0-0</f>
        <v>899.8</v>
      </c>
      <c r="V168" s="3">
        <f>1207.7+(189.8-522.4)+(-1.231854+(-0.193596--0.532848))+0-0-0</f>
        <v>874.20739800000013</v>
      </c>
      <c r="W168" s="3">
        <f>1312.6+(166.9-676)+(-2.008278+(-0.255357--1.03428))+0-0-0</f>
        <v>802.27064499999983</v>
      </c>
      <c r="X168" s="3">
        <f>1359.3+(141.1-745.7)+(-4.159458+(-0.431766--2.281842))+0-0-0</f>
        <v>752.3906179999999</v>
      </c>
      <c r="Y168" s="3">
        <f>1385.9+(148.1-725)+(-2.827236+(-0.302124--1.479))+0-0-0</f>
        <v>807.34964000000014</v>
      </c>
      <c r="Z168" s="3">
        <f>1460.9+(189.2-690)+(-2.980236+(-0.385968--1.4076))+0-0-0</f>
        <v>958.1413960000001</v>
      </c>
      <c r="AA168" s="3">
        <f>1461.3+(190.5-702.8)+(-2.235789+(-0.291465--1.075284))+0-0-0</f>
        <v>947.54803000000004</v>
      </c>
      <c r="AB168" s="3">
        <f>1459.8+(180.4-733)+(-1.488996+(-0.184008--0.74766))+0-0-0</f>
        <v>906.27465599999994</v>
      </c>
      <c r="AC168" s="3">
        <f>1454.5+(173.6-759.7)+(-2.225385+(-0.265608--1.162341))+0-0-0</f>
        <v>867.07134799999994</v>
      </c>
      <c r="AD168">
        <f t="shared" si="2"/>
        <v>18914.641579000003</v>
      </c>
      <c r="AE168" s="3">
        <f>1479+(189.6-718.5)+(0+(0-0))+0-0-0</f>
        <v>950.1</v>
      </c>
    </row>
    <row r="169" spans="1:31" s="2" customFormat="1" x14ac:dyDescent="0.25">
      <c r="A169">
        <v>89</v>
      </c>
      <c r="B169">
        <v>6</v>
      </c>
      <c r="C169">
        <v>14</v>
      </c>
      <c r="D169">
        <v>2</v>
      </c>
      <c r="E169">
        <v>1</v>
      </c>
      <c r="F169" s="3">
        <f>1424.8+(154.6-748.5)+(-0.726648+(-0.078846--0.381735))+0-0-0</f>
        <v>830.47624099999996</v>
      </c>
      <c r="G169" s="3">
        <f>1414.5+(212.9-817.1)+(-2.164185+(-0.325737--1.250163))+0-0-0</f>
        <v>809.06024099999991</v>
      </c>
      <c r="H169" s="3">
        <f>1403.7+(223-853.9)+(0+(0-0))+0-0-0</f>
        <v>772.80000000000007</v>
      </c>
      <c r="I169" s="3">
        <f>1310.9+(217.6-798.7)+(0+(0-0))+0-0-0</f>
        <v>729.80000000000007</v>
      </c>
      <c r="J169" s="3">
        <f>1265.1+(204.7-782.2)+(2.580804+(0.417588-1.595688))+0-0-0</f>
        <v>689.00270399999988</v>
      </c>
      <c r="K169" s="3">
        <f>1293.8+(201.8-828.8)+(-1.319676+(-0.205836--0.845376))+0-0-0</f>
        <v>666.11986400000001</v>
      </c>
      <c r="L169" s="3">
        <f>1209.2+(181.6-774.2)+(-2.466768+(-0.370464--1.579368))+0-0-0</f>
        <v>615.34213599999998</v>
      </c>
      <c r="M169" s="3">
        <f>1125.4+(165.6-700.4)+(1.721862+(0.253368-1.071612))+0-0-0</f>
        <v>591.50361800000019</v>
      </c>
      <c r="N169" s="3">
        <f>1138.8+(178.3-663.1)+(-0.580788+(-0.090933--0.338181))+0-0-0</f>
        <v>653.66646000000003</v>
      </c>
      <c r="O169" s="3">
        <f>1341.9+(206.3-814.7)+(0+(0-0))+0-0-0</f>
        <v>733.5</v>
      </c>
      <c r="P169" s="3">
        <f>1443.2+(190.3-821.9)+(2.208096+(0.291159-1.257507))+0-0-0</f>
        <v>812.84174800000017</v>
      </c>
      <c r="Q169" s="3">
        <f>1423.1+(187.8-819.5)+(0.725781+(0.095778-0.417945))+0-0-0</f>
        <v>791.80361399999981</v>
      </c>
      <c r="R169" s="3">
        <f>1406.7+(193.9-693.4)+(0.717417+(0.098889-0.353634))+0-0-0</f>
        <v>907.66267200000004</v>
      </c>
      <c r="S169" s="3">
        <f>1393+(250.2-664.3)+(-0.71043+(-0.127602--0.338793))+0-0-0</f>
        <v>978.4007610000001</v>
      </c>
      <c r="T169" s="3">
        <f>1393.9+(261.2-661.8)+(0.710889+(0.133212-0.337518))+0-0-0</f>
        <v>993.80658300000016</v>
      </c>
      <c r="U169" s="3">
        <f>1375.8+(244.7-630.2)+(-2.104974+(-0.374391--0.964206))+0-0-0</f>
        <v>988.78484099999991</v>
      </c>
      <c r="V169" s="3">
        <f>1366.2+(241.3-641.6)+(0+(0-0))+0-0-0</f>
        <v>965.90000000000009</v>
      </c>
      <c r="W169" s="3">
        <f>1350.2+(236.8-696.5)+(-2.754408+(-0.483072--1.42086))+0-0-0</f>
        <v>888.68338000000006</v>
      </c>
      <c r="X169" s="3">
        <f>1351.2+(217.1-747.7)+(-2.067336+(-0.332163--1.143981))+0-0-0</f>
        <v>819.34448199999997</v>
      </c>
      <c r="Y169" s="3">
        <f>1398.8+(201.2-741.6)+(-0.713388+(-0.102612--0.378216))+0-0-0</f>
        <v>857.9622159999999</v>
      </c>
      <c r="Z169" s="3">
        <f>1476.9+(232.6-715.5)+(-1.506438+(-0.237252--0.72981))+0-0-0</f>
        <v>992.98612000000014</v>
      </c>
      <c r="AA169" s="3">
        <f>1479+(223.7-741.9)+(-1.50858+(-0.228174--0.756738))+0-0-0</f>
        <v>959.81998399999998</v>
      </c>
      <c r="AB169" s="3">
        <f>1478.8+(194.7-743.9)+(-0.754188+(-0.099297--0.379389))+0-0-0</f>
        <v>929.12590399999988</v>
      </c>
      <c r="AC169" s="3">
        <f>1477.8+(189.3-727.2)+(-2.261034+(-0.289629--1.112616))+0-0-0</f>
        <v>938.46195299999988</v>
      </c>
      <c r="AD169">
        <f t="shared" si="2"/>
        <v>19916.855522000002</v>
      </c>
      <c r="AE169" s="3">
        <f>1472+(234.7-721.8)+(0+(0-0))+0-0-0</f>
        <v>984.90000000000009</v>
      </c>
    </row>
    <row r="170" spans="1:31" s="2" customFormat="1" x14ac:dyDescent="0.25">
      <c r="A170">
        <v>89</v>
      </c>
      <c r="B170">
        <v>6</v>
      </c>
      <c r="C170">
        <v>15</v>
      </c>
      <c r="D170">
        <v>3</v>
      </c>
      <c r="E170">
        <v>1</v>
      </c>
      <c r="F170" s="3">
        <f>1477.3+(163.2-749.9)+(-2.260269+(-0.249696--1.147347))+0-0-0</f>
        <v>889.23738199999991</v>
      </c>
      <c r="G170" s="3">
        <f>1475.1+(132.4-788)+(-2.256903+(-0.202572--1.20564))+0-0-0</f>
        <v>818.24616499999991</v>
      </c>
      <c r="H170" s="3">
        <f>1473.9+(143.6-858.6)+(-1.503378+(-0.146472--0.875772))+0-0-0</f>
        <v>758.12592200000006</v>
      </c>
      <c r="I170" s="3">
        <f>1474.6+(154.4-915.6)+(-2.256138+(-0.236232--1.400868))+0-0-0</f>
        <v>712.30849799999987</v>
      </c>
      <c r="J170" s="3">
        <f>1474.1+(144.6-913.4)+(-1.503582+(-0.147492--0.931668))+0-0-0</f>
        <v>704.58059399999991</v>
      </c>
      <c r="K170" s="3">
        <f>1473.3+(140-945.1)+(-3.005532+(-0.2856--1.928004))+0-0-0</f>
        <v>666.83687199999997</v>
      </c>
      <c r="L170" s="3">
        <f>1452+(135.8-957)+(-6.66468+(-0.623322--4.39263))+0-0-0</f>
        <v>627.904628</v>
      </c>
      <c r="M170" s="3">
        <f>1260.8+(170.4-817.4)+(-1.929024+(-0.260712--1.250622))+0-0-0</f>
        <v>612.86088599999994</v>
      </c>
      <c r="N170" s="3">
        <f>1187.9+(239.6-753.6)+(-1.211658+(-0.244392--0.768672))+0-0-0</f>
        <v>673.21262200000012</v>
      </c>
      <c r="O170" s="3">
        <f>1186.1+(263.3-688)+(-1.814733+(-0.402849--1.05264))+0-0-0</f>
        <v>760.23505799999987</v>
      </c>
      <c r="P170" s="3">
        <f>1332.6+(261.2-776.5)+(-2.718504+(-0.532848--1.58406))+0-0-0</f>
        <v>815.63270799999998</v>
      </c>
      <c r="Q170" s="3">
        <f>1414.5+(268.1-810.3)+(2.164185+(0.410193-1.239759))+0-0-0</f>
        <v>873.63461900000004</v>
      </c>
      <c r="R170" s="3">
        <f>1394.9+(281.7-754.1)+(0+(0-0))+0-0-0</f>
        <v>922.5</v>
      </c>
      <c r="S170" s="3">
        <f>1386.8+(274.8-691.5)+(0+(0-0))+0-0-0</f>
        <v>970.09999999999991</v>
      </c>
      <c r="T170" s="3">
        <f>1382.2+(266.7-657.2)+(0.704922+(0.136017-0.335172))+0-0-0</f>
        <v>992.20576700000004</v>
      </c>
      <c r="U170" s="3">
        <f>1359.8+(274.7-634.2)+(-1.386996+(-0.280194--0.646884))+0-0-0</f>
        <v>999.27969399999995</v>
      </c>
      <c r="V170" s="3">
        <f>1354.2+(274.8-648.4)+(-1.381284+(-0.280296--0.661368))+0-0-0</f>
        <v>979.5997880000001</v>
      </c>
      <c r="W170" s="3">
        <f>1345.6+(271.2-680.9)+(-2.058768+(-0.414936--1.041777))+0-0-0</f>
        <v>934.46807299999989</v>
      </c>
      <c r="X170" s="3">
        <f>1350.6+(257.7-764.3)+(-1.377612+(-0.262854--0.779586))+0-0-0</f>
        <v>843.13912000000005</v>
      </c>
      <c r="Y170" s="3">
        <f>1397.2+(244.8-718.7)+(0.712572+(0.124848-0.366537))+0-0-0</f>
        <v>923.77088299999991</v>
      </c>
      <c r="Z170" s="3">
        <f>1464+(258.4-679.8)+(-0.74664+(-0.131784--0.346698))+0-0-0</f>
        <v>1042.068274</v>
      </c>
      <c r="AA170" s="3">
        <f>1485.3+(248.2-702.4)+(-2.272509+(-0.379746--1.074672))+0-0-0</f>
        <v>1029.5224169999999</v>
      </c>
      <c r="AB170" s="3">
        <f>1465.7+(224.9-712.9)+(0+(0-0))+0-0-0</f>
        <v>977.7</v>
      </c>
      <c r="AC170" s="3">
        <f>1423.4+(228.2-704)+(-0.725934+(-0.116382--0.35904))+0-0-0</f>
        <v>947.11672400000009</v>
      </c>
      <c r="AD170">
        <f t="shared" si="2"/>
        <v>20474.286694000002</v>
      </c>
      <c r="AE170" s="3">
        <f>1480+(254.3-745)+(0+(0-0))+0-0-0</f>
        <v>989.3</v>
      </c>
    </row>
    <row r="171" spans="1:31" s="2" customFormat="1" x14ac:dyDescent="0.25">
      <c r="A171">
        <v>89</v>
      </c>
      <c r="B171">
        <v>6</v>
      </c>
      <c r="C171">
        <v>16</v>
      </c>
      <c r="D171">
        <v>4</v>
      </c>
      <c r="E171">
        <v>1</v>
      </c>
      <c r="F171" s="3">
        <f>1414.8+(198.9-733.4)+(-1.443096+(-0.202878--0.748068))+0-0-0</f>
        <v>879.40209399999992</v>
      </c>
      <c r="G171" s="3">
        <f>1391.2+(207.2-771.2)+(-3.54756+(-0.52836--1.96656))+0-0-0</f>
        <v>825.09064000000001</v>
      </c>
      <c r="H171" s="3">
        <f>1367.6+(219.5-832.8)+(0.697476+(0.111945-0.424728))+0-0-0</f>
        <v>754.68469299999992</v>
      </c>
      <c r="I171" s="3">
        <f>1351.6+(215.1-839.2)+(-3.44658+(-0.548505--2.13996))+0-0-0</f>
        <v>725.64487499999984</v>
      </c>
      <c r="J171" s="3">
        <f>1366+(185.5-857.9)+(0.69666+(0.094605-0.437529))+0-0-0</f>
        <v>693.95373600000005</v>
      </c>
      <c r="K171" s="3">
        <f>1352.1+(163.7-856.8)+(-3.447855+(-0.417435--2.18484))+0-0-0</f>
        <v>657.31955000000005</v>
      </c>
      <c r="L171" s="3">
        <f>1333.8+(126.2-848.2)+(-3.40119+(-0.32181--2.16291))+0-0-0</f>
        <v>610.23991000000001</v>
      </c>
      <c r="M171" s="3">
        <f>1273.7+(191.8-899.8)+(0+(0-0))+0-0-0</f>
        <v>565.70000000000005</v>
      </c>
      <c r="N171" s="3">
        <f>1317.1+(232.8-907.3)+(0.671721+(0.118728-0.462723))+0-0-0</f>
        <v>642.92772599999989</v>
      </c>
      <c r="O171" s="3">
        <f>1440.1+(205.6-912.6)+(2.203353+(0.314568-1.396278))+0-0-0</f>
        <v>734.22164299999986</v>
      </c>
      <c r="P171" s="3">
        <f>1424.2+(232.4-853.1)+(-0.726342+(-0.118524--0.435081))+0-0-0</f>
        <v>803.09021499999994</v>
      </c>
      <c r="Q171" s="3">
        <f>1410.6+(268.4-836.5)+(0.719406+(0.136884-0.426615))+0-0-0</f>
        <v>842.92967499999986</v>
      </c>
      <c r="R171" s="3">
        <f>1388.8+(277.3-766.7)+(0.708288+(0.141423-0.391017))+0-0-0</f>
        <v>899.8586939999999</v>
      </c>
      <c r="S171" s="3">
        <f>1360.1+(282.8-719.3)+(-1.387302+(-0.288456--0.733686))+0-0-0</f>
        <v>922.65792799999986</v>
      </c>
      <c r="T171" s="3">
        <f>1348.9+(284.2-677.8)+(0+(0-0))+0-0-0</f>
        <v>955.30000000000018</v>
      </c>
      <c r="U171" s="3">
        <f>1338.6+(280.2-659)+(-0.682686+(-0.142902--0.33609))+0-0-0</f>
        <v>959.31050199999993</v>
      </c>
      <c r="V171" s="3">
        <f>1331.3+(275-674.2)+(-1.357926+(-0.2805--0.687684))+0-0-0</f>
        <v>931.14925799999992</v>
      </c>
      <c r="W171" s="3">
        <f>1330.1+(263.4-703.7)+(-0.678351+(-0.134334--0.358887))+0-0-0</f>
        <v>889.34620199999983</v>
      </c>
      <c r="X171" s="3">
        <f>1329.5+(197-725.2)+(0+(0-0))+0-0-0</f>
        <v>801.3</v>
      </c>
      <c r="Y171" s="3">
        <f>1390.2+(203.2-724.1)+(-1.418004+(-0.207264--0.738582))+0-0-0</f>
        <v>868.4133139999999</v>
      </c>
      <c r="Z171" s="3">
        <f>1472.9+(219.6-689)+(-2.253537+(-0.335988--1.05417))+0-0-0</f>
        <v>1001.9646450000001</v>
      </c>
      <c r="AA171" s="3">
        <f>1448.6+(223.4-679.9)+(-2.216358+(-0.341802--1.040247))+0-0-0</f>
        <v>990.58208699999989</v>
      </c>
      <c r="AB171" s="3">
        <f>1439.4+(219.9-700.6)+(-0.734094+(-0.112149--0.357306))+0-0-0</f>
        <v>958.21106300000008</v>
      </c>
      <c r="AC171" s="3">
        <f>1435.5+(199.1-717.2)+(-1.46421+(-0.203082--0.731544))+0-0-0</f>
        <v>916.46425199999999</v>
      </c>
      <c r="AD171">
        <f t="shared" si="2"/>
        <v>19829.762702</v>
      </c>
      <c r="AE171" s="3">
        <f>1468+(218.2-727.6)+(0+(0-0))+0-0-0</f>
        <v>958.59999999999991</v>
      </c>
    </row>
    <row r="172" spans="1:31" s="2" customFormat="1" x14ac:dyDescent="0.25">
      <c r="A172">
        <v>89</v>
      </c>
      <c r="B172">
        <v>6</v>
      </c>
      <c r="C172">
        <v>17</v>
      </c>
      <c r="D172">
        <v>5</v>
      </c>
      <c r="E172">
        <v>1</v>
      </c>
      <c r="F172" s="3">
        <f>1448.6+(181-755.4)+(-0.738786+(-0.09231--0.385254))+0-0-0</f>
        <v>873.75415799999996</v>
      </c>
      <c r="G172" s="3">
        <f>1441.7+(225-873.5)+(-2.941068+(-0.459--1.78194))+0-0-0</f>
        <v>791.58187200000009</v>
      </c>
      <c r="H172" s="3">
        <f>1442.4+(227.9-928.2)+(-2.206872+(-0.348687--1.420146))+0-0-0</f>
        <v>740.96458700000005</v>
      </c>
      <c r="I172" s="3">
        <f>1445.4+(150.1-901.1)+(-2.211462+(-0.229653--1.378683))+0-0-0</f>
        <v>693.33756800000015</v>
      </c>
      <c r="J172" s="3">
        <f>1456.3+(132.2-906.4)+(0.742713+(0.067422-0.462264))+0-0-0</f>
        <v>682.44787099999996</v>
      </c>
      <c r="K172" s="3">
        <f>1393.7+(134.1-842.7)+(-2.132361+(-0.205173--1.289331))+0-0-0</f>
        <v>684.05179700000008</v>
      </c>
      <c r="L172" s="3">
        <f>1136.4+(160.7-699.6)+(-0.579564+(-0.081957--0.356796))+0-0-0</f>
        <v>597.19527500000004</v>
      </c>
      <c r="M172" s="3">
        <f>1135+(163.2-723.9)+(-0.57885+(-0.083232--0.369189))+0-0-0</f>
        <v>574.00710699999991</v>
      </c>
      <c r="N172" s="3">
        <f>1130.5+(190.5-678.6)+(-1.729665+(-0.291465--1.038258))+0-0-0</f>
        <v>641.41712799999993</v>
      </c>
      <c r="O172" s="3">
        <f>1287.3+(190-767.7)+(-1.313046+(-0.1938--0.783054))+0-0-0</f>
        <v>708.87620799999991</v>
      </c>
      <c r="P172" s="3">
        <f>1414.5+(169.2-785.8)+(-2.164185+(-0.258876--1.202274))+0-0-0</f>
        <v>796.67921300000012</v>
      </c>
      <c r="Q172" s="3">
        <f>1413.4+(229.9-784.7)+(-0.720834+(-0.117249--0.400197))+0-0-0</f>
        <v>858.16211399999997</v>
      </c>
      <c r="R172" s="3">
        <f>1412.2+(240.4-745)+(-0.720222+(-0.122604--0.37995))+0-0-0</f>
        <v>907.13712399999997</v>
      </c>
      <c r="S172" s="3">
        <f>1424.3+(244.9-735.1)+(-1.452786+(-0.249798--0.749802))+0-0-0</f>
        <v>933.14721799999995</v>
      </c>
      <c r="T172" s="3">
        <f>1428+(253.5-710.6)+(-0.72828+(-0.129285--0.362406))+0-0-0</f>
        <v>970.40484100000003</v>
      </c>
      <c r="U172" s="3">
        <f>1422.5+(252.5-710.1)+(0.725475+(0.128775-0.362151))+0-0-0</f>
        <v>965.39209900000003</v>
      </c>
      <c r="V172" s="3">
        <f>1416.3+(248.8-723.6)+(-2.166939+(-0.380664--1.107108))+0-0-0</f>
        <v>940.05950499999994</v>
      </c>
      <c r="W172" s="3">
        <f>1413+(234.5-763.8)+(-1.44126+(-0.23919--0.779076))+0-0-0</f>
        <v>882.79862600000001</v>
      </c>
      <c r="X172" s="3">
        <f>1386.9+(166.8-758.8)+(-2.829276+(-0.340272--1.547952))+0-0-0</f>
        <v>793.27840400000014</v>
      </c>
      <c r="Y172" s="3">
        <f>1445.8+(195.1-742.3)+(-0.737358+(-0.099501--0.378573))+0-0-0</f>
        <v>898.14171399999998</v>
      </c>
      <c r="Z172" s="3">
        <f>1504.5+(227.2-690)+(-2.301885+(-0.347616--1.0557))+0-0-0</f>
        <v>1040.1061990000001</v>
      </c>
      <c r="AA172" s="3">
        <f>1467+(224.5-689.2)+(-1.49634+(-0.22899--0.702984))+0-0-0</f>
        <v>1001.277654</v>
      </c>
      <c r="AB172" s="3">
        <f>1439.1+(224.4-700.2)+(0.733941+(0.114444-0.357102))+0-0-0</f>
        <v>963.79128299999979</v>
      </c>
      <c r="AC172" s="3">
        <f>1421.5+(223.5-712.3)+(-2.89986+(-0.45594--1.453092))+0-0-0</f>
        <v>930.79729200000008</v>
      </c>
      <c r="AD172">
        <f t="shared" si="2"/>
        <v>19868.806857</v>
      </c>
      <c r="AE172" s="3">
        <f>1492+(204.2-727.6)+(0+(0-0))+0-0-0</f>
        <v>968.59999999999991</v>
      </c>
    </row>
    <row r="173" spans="1:31" s="2" customFormat="1" x14ac:dyDescent="0.25">
      <c r="A173">
        <v>89</v>
      </c>
      <c r="B173">
        <v>6</v>
      </c>
      <c r="C173">
        <v>18</v>
      </c>
      <c r="D173">
        <v>6</v>
      </c>
      <c r="E173">
        <v>1</v>
      </c>
      <c r="F173" s="3">
        <f>1429.3+(143.5-712.7)+(0+(0-0))+0-0-0</f>
        <v>860.09999999999991</v>
      </c>
      <c r="G173" s="3">
        <f>1425.4+(113.3-750.8)+(-1.453908+(-0.115566--0.765816))+0-0-0</f>
        <v>787.09634200000005</v>
      </c>
      <c r="H173" s="3">
        <f>1427.6+(134.9-844.6)+(0+(0-0))+0-0-0</f>
        <v>717.89999999999986</v>
      </c>
      <c r="I173" s="3">
        <f>1419.3+(143.1-876.9)+(-1.447686+(-0.145962--0.894438))+0-0-0</f>
        <v>684.80079000000001</v>
      </c>
      <c r="J173" s="3">
        <f>1431.2+(127.2-869.2)+(0.729912+(0.064872-0.443292))+0-0-0</f>
        <v>689.55149200000005</v>
      </c>
      <c r="K173" s="3">
        <f>1429.5+(89-856.9)+(0+(0-0))+0-0-0</f>
        <v>661.6</v>
      </c>
      <c r="L173" s="3">
        <f>1217.1+(79.4-692.9)+(-1.241442+(-0.080988--0.706758))+0-0-0</f>
        <v>602.98432799999989</v>
      </c>
      <c r="M173" s="3">
        <f>1140.1+(85.3-640.7)+(0.581451+(0.043503-0.326757))+0-0-0</f>
        <v>584.99819699999978</v>
      </c>
      <c r="N173" s="3">
        <f>1153+(142.7-688)+(-0.58803+(-0.072777--0.35088))+0-0-0</f>
        <v>607.39007300000003</v>
      </c>
      <c r="O173" s="3">
        <f>1429.3+(73.1-788.2)+(0+(0-0))+0-0-0</f>
        <v>714.19999999999993</v>
      </c>
      <c r="P173" s="3">
        <f>1434.8+(184.8-838.3)+(0.731748+(0.094248-0.427533))+0-0-0</f>
        <v>781.69846299999995</v>
      </c>
      <c r="Q173" s="3">
        <f>1434.3+(177.3-806.6)+(0.731493+(0.090423-0.411366))+0-0-0</f>
        <v>805.41054999999994</v>
      </c>
      <c r="R173" s="3">
        <f>1422.2+(205.9-781.4)+(-1.450644+(-0.210018--0.797028))+0-0-0</f>
        <v>845.836366</v>
      </c>
      <c r="S173" s="3">
        <f>1408.8+(227.2-739.2)+(-2.873952+(-0.463488--1.507968))+0-0-0</f>
        <v>894.97052799999994</v>
      </c>
      <c r="T173" s="3">
        <f>1411.8+(245.5-753.9)+(-1.440036+(-0.25041--0.768978))+0-0-0</f>
        <v>902.47853199999997</v>
      </c>
      <c r="U173" s="3">
        <f>1415.5+(212.5-762.6)+(0+(0-0))+0-0-0</f>
        <v>865.4</v>
      </c>
      <c r="V173" s="3">
        <f>1406.5+(163.3-714.5)+(-1.43463+(-0.166566--0.72879))+0-0-0</f>
        <v>854.427594</v>
      </c>
      <c r="W173" s="3">
        <f>1399.4+(161.9-744.8)+(-2.854776+(-0.330276--1.519392))+0-0-0</f>
        <v>814.83434000000011</v>
      </c>
      <c r="X173" s="3">
        <f>1411.2+(162.2-810.8)+(1.439424+(0.165444-0.827016))+0-0-0</f>
        <v>763.37785200000019</v>
      </c>
      <c r="Y173" s="3">
        <f>1418.6+(184.6-748.8)+(0.723486+(0.094146-0.381888))+0-0-0</f>
        <v>854.83574399999998</v>
      </c>
      <c r="Z173" s="3">
        <f>1488.7+(205.6-729.7)+(-1.518474+(-0.209712--0.744294))+0-0-0</f>
        <v>963.61610800000005</v>
      </c>
      <c r="AA173" s="3">
        <f>1477.3+(192.7-727.7)+(-1.506846+(-0.196554--0.742254))+0-0-0</f>
        <v>941.33885399999997</v>
      </c>
      <c r="AB173" s="3">
        <f>1420+(191.3-698.4)+(-1.4484+(-0.195126--0.712368))+0-0-0</f>
        <v>911.96884200000011</v>
      </c>
      <c r="AC173" s="3">
        <f>1421.4+(120.6-716.6)+(0+(0-0))+0-0-0</f>
        <v>825.40000000000009</v>
      </c>
      <c r="AD173">
        <f t="shared" si="2"/>
        <v>18936.214994999998</v>
      </c>
      <c r="AE173" s="3">
        <f>1493+(220.6-770.3)+(0+(0-0))+0-0-0</f>
        <v>943.30000000000007</v>
      </c>
    </row>
    <row r="174" spans="1:31" s="2" customFormat="1" x14ac:dyDescent="0.25">
      <c r="A174">
        <v>89</v>
      </c>
      <c r="B174">
        <v>6</v>
      </c>
      <c r="C174">
        <v>19</v>
      </c>
      <c r="D174">
        <v>7</v>
      </c>
      <c r="E174">
        <v>3</v>
      </c>
      <c r="F174" s="3">
        <f>1322.3+(138.4-651.3)+(-2.697492+(-0.282336--1.328652))+0-0-0</f>
        <v>807.74882400000001</v>
      </c>
      <c r="G174" s="3">
        <f>1171.7+(195.5-606.3)+(-1.792701+(-0.299115--0.927639))+0-0-0</f>
        <v>759.7358230000001</v>
      </c>
      <c r="H174" s="3">
        <f>1143.2+(184.9-622.3)+(-1.749096+(-0.282897--0.952119))+0-0-0</f>
        <v>704.72012600000005</v>
      </c>
      <c r="I174" s="3">
        <f>938.1+(232.8-532.9)+(-0.478431+(-0.118728--0.271779))+0-0-0</f>
        <v>637.67462</v>
      </c>
      <c r="J174" s="3">
        <f>901.6+(225.3-517.5)+(0+(0-0))+0-0-0</f>
        <v>609.40000000000009</v>
      </c>
      <c r="K174" s="3">
        <f>905.1+(205.8-519.4)+(0+(0-0))+0-0-0</f>
        <v>591.5</v>
      </c>
      <c r="L174" s="3">
        <f>894.4+(185-529.5)+(-3.193008+(-0.66045--1.890315))+0-0-0</f>
        <v>547.93685700000003</v>
      </c>
      <c r="M174" s="3">
        <f>904.6+(168.6-560.9)+(-0.461346+(-0.085986--0.286059))+0-0-0</f>
        <v>512.03872700000011</v>
      </c>
      <c r="N174" s="3">
        <f>917.6+(168.4-558.9)+(2.33988+(0.42942-1.425195))+0-0-0</f>
        <v>528.44410500000004</v>
      </c>
      <c r="O174" s="3">
        <f>907+(199.8-528.6)+(-0.46257+(-0.101898--0.269586))+0-0-0</f>
        <v>577.90511800000002</v>
      </c>
      <c r="P174" s="3">
        <f>1032.3+(170.9-596.2)+(-1.052946+(-0.174318--0.608124))+0-0-0</f>
        <v>606.38085999999987</v>
      </c>
      <c r="Q174" s="3">
        <f>1136.9+(147.4-661.7)+(-0.579819+(-0.075174--0.337467))+0-0-0</f>
        <v>622.28247399999998</v>
      </c>
      <c r="R174" s="3">
        <f>1134+(143.6-637)+(-1.73502+(-0.219708--0.97461))+0-0-0</f>
        <v>639.61988200000008</v>
      </c>
      <c r="S174" s="3">
        <f>1130.6+(148.4-620.4)+(-1.153212+(-0.151368--0.632808))+0-0-0</f>
        <v>657.92822799999988</v>
      </c>
      <c r="T174" s="3">
        <f>1127.1+(139.1-623.8)+(-1.149642+(-0.141882--0.636276))+0-0-0</f>
        <v>641.74475199999995</v>
      </c>
      <c r="U174" s="3">
        <f>1126.9+(109.8-645.7)+(-0.574719+(-0.055998--0.329307))+0-0-0</f>
        <v>590.69858999999997</v>
      </c>
      <c r="V174" s="3">
        <f>1121.6+(91.6-655.8)+(-1.716048+(-0.140148--1.003374))+0-0-0</f>
        <v>556.54717800000003</v>
      </c>
      <c r="W174" s="3">
        <f>1115.6+(93.6-658.4)+(-3.413736+(-0.286416--2.014704))+0-0-0</f>
        <v>549.114552</v>
      </c>
      <c r="X174" s="3">
        <f>1095.8+(108.6-649.5)+(-1.117716+(-0.110772--0.66249))+0-0-0</f>
        <v>554.33400199999994</v>
      </c>
      <c r="Y174" s="3">
        <f>1033.8+(149.5-550.8)+(-1.054476+(-0.15249--0.561816))+0-0-0</f>
        <v>631.85485000000006</v>
      </c>
      <c r="Z174" s="3">
        <f>1029.3+(222.6-550.4)+(-2.099772+(-0.454104--1.122816))+0-0-0</f>
        <v>700.06894</v>
      </c>
      <c r="AA174" s="3">
        <f>1031+(226.9-564.8)+(-2.10324+(-0.462876--1.152192))+0-0-0</f>
        <v>691.68607600000007</v>
      </c>
      <c r="AB174" s="3">
        <f>1042.4+(214.1-588.5)+(-0.531624+(-0.109191--0.300135))+0-0-0</f>
        <v>667.65932000000009</v>
      </c>
      <c r="AC174" s="3">
        <f>1069.2+(179.1-606.5)+(-1.635876+(-0.274023--0.927945))+0-0-0</f>
        <v>640.81804600000009</v>
      </c>
      <c r="AD174">
        <f t="shared" si="2"/>
        <v>15027.84195</v>
      </c>
      <c r="AE174" s="3">
        <f>1018+(233.6-591.9)+(0+(0-0))+0-0-0</f>
        <v>659.7</v>
      </c>
    </row>
    <row r="175" spans="1:31" s="2" customFormat="1" x14ac:dyDescent="0.25">
      <c r="A175">
        <v>89</v>
      </c>
      <c r="B175">
        <v>6</v>
      </c>
      <c r="C175">
        <v>20</v>
      </c>
      <c r="D175">
        <v>1</v>
      </c>
      <c r="E175">
        <v>1</v>
      </c>
      <c r="F175" s="3">
        <f>1165.9+(118.4-693.4)+(-2.378436+(-0.241536--1.414536))+0-0-0</f>
        <v>589.69456400000013</v>
      </c>
      <c r="G175" s="3">
        <f>1156.7+(83.8-698.7)+(-1.769751+(-0.128214--1.069011))+0-0-0</f>
        <v>540.971046</v>
      </c>
      <c r="H175" s="3">
        <f>1165.1+(36.5-670.4)+(-3.565206+(-0.11169--2.051424))+0-0-0</f>
        <v>529.57452799999999</v>
      </c>
      <c r="I175" s="3">
        <f>1046.2+(61-639)+(-1.067124+(-0.06222--0.65178))+0-0-0</f>
        <v>467.72243600000007</v>
      </c>
      <c r="J175" s="3">
        <f>1043.6+(53.5-635.4)+(-1.064472+(-0.05457--0.648108))+0-0-0</f>
        <v>461.22906599999993</v>
      </c>
      <c r="K175" s="3">
        <f>1050.5+(50.3-640.8)+(0+(0-0))+0-0-0</f>
        <v>460</v>
      </c>
      <c r="L175" s="3">
        <f>1035.2+(54.8-638.2)+(-3.695664+(-0.195636--2.278374))+0-0-0</f>
        <v>450.18707399999994</v>
      </c>
      <c r="M175" s="3">
        <f>1042.8+(42.1-644)+(-1.595484+(-0.064413--0.98532))+0-0-0</f>
        <v>440.22542299999998</v>
      </c>
      <c r="N175" s="3">
        <f>1177.2+(26-720)+(-1.801116+(-0.03978--1.1016))+0-0-0</f>
        <v>482.46070400000002</v>
      </c>
      <c r="O175" s="3">
        <f>1365.5+(3.8-832)+(-0.696405+(-0.001938--0.42432))+0-0-0</f>
        <v>537.0259769999999</v>
      </c>
      <c r="P175" s="3">
        <f>1368.3+(32.6-818.2)+(-1.395666+(-0.033252--0.834564))+0-0-0</f>
        <v>582.10564599999998</v>
      </c>
      <c r="Q175" s="3">
        <f>1370+(31.6-796.5)+(-0.6987+(-0.016116--0.406215))+0-0-0</f>
        <v>604.79139900000007</v>
      </c>
      <c r="R175" s="3">
        <f>1368.6+(19.3-786.3)+(-0.697986+(-0.009843--0.401013))+0-0-0</f>
        <v>601.29318399999988</v>
      </c>
      <c r="S175" s="3">
        <f>1367.3+(37.6-824)+(-1.394646+(-0.038352--0.84048))+0-0-0</f>
        <v>580.30748199999994</v>
      </c>
      <c r="T175" s="3">
        <f>1376.4+(57.7-880.1)+(0.701964+(0.029427-0.448851))+0-0-0</f>
        <v>554.28254000000015</v>
      </c>
      <c r="U175" s="3">
        <f>1363+(69-882.8)+(-1.39026+(-0.07038--0.900456))+0-0-0</f>
        <v>548.639816</v>
      </c>
      <c r="V175" s="3">
        <f>1368.6+(67-881)+(0+(0-0))+0-0-0</f>
        <v>554.59999999999991</v>
      </c>
      <c r="W175" s="3">
        <f>1358.2+(53.9-841.7)+(-3.46341+(-0.137445--2.146335))+0-0-0</f>
        <v>568.94547999999998</v>
      </c>
      <c r="X175" s="3">
        <f>1351.1+(27.3-796.5)+(-4.134366+(-0.083538--2.43729))+0-0-0</f>
        <v>580.11938599999985</v>
      </c>
      <c r="Y175" s="3">
        <f>1378.4+(53.7-774.7)+(-0.702984+(-0.027387--0.395097))+0-0-0</f>
        <v>657.06472600000006</v>
      </c>
      <c r="Z175" s="3">
        <f>1428.1+(29.5-750.5)+(-1.456662+(-0.03009--0.76551))+0-0-0</f>
        <v>706.37875799999995</v>
      </c>
      <c r="AA175" s="3">
        <f>1419.2+(36-766)+(-2.895168+(-0.07344--1.56264))+0-0-0</f>
        <v>687.79403200000002</v>
      </c>
      <c r="AB175" s="3">
        <f>1419.7+(51.3-818.2)+(-2.172141+(-0.078489--1.251846))+0-0-0</f>
        <v>651.80121599999995</v>
      </c>
      <c r="AC175" s="3">
        <f>1410.8+(67.5-858)+(-3.59754+(-0.172125--2.1879))+0-0-0</f>
        <v>618.71823499999994</v>
      </c>
      <c r="AD175">
        <f t="shared" si="2"/>
        <v>13455.932718000002</v>
      </c>
      <c r="AE175" s="3">
        <f>1408+(29.1-773)+(0+(0-0))+0-0-0</f>
        <v>664.1</v>
      </c>
    </row>
    <row r="176" spans="1:31" s="2" customFormat="1" x14ac:dyDescent="0.25">
      <c r="A176">
        <v>89</v>
      </c>
      <c r="B176">
        <v>6</v>
      </c>
      <c r="C176">
        <v>21</v>
      </c>
      <c r="D176">
        <v>2</v>
      </c>
      <c r="E176">
        <v>1</v>
      </c>
      <c r="F176" s="3">
        <f>1417.2+(92.2-966.5)+(-2.168316+(-0.141066--1.478745))+0-0-0</f>
        <v>542.06936300000007</v>
      </c>
      <c r="G176" s="3">
        <f>1358.2+(113.7-958.8)+(-0.692682+(-0.057987--0.488988))+0-0-0</f>
        <v>512.83831900000018</v>
      </c>
      <c r="H176" s="3">
        <f>1050.9+(130.3-720.5)+(-1.071918+(-0.132906--0.73491))+0-0-0</f>
        <v>460.23008600000003</v>
      </c>
      <c r="I176" s="3">
        <f>1041.7+(96.1-698.2)+(-1.593801+(-0.147033--1.068246))+0-0-0</f>
        <v>438.927412</v>
      </c>
      <c r="J176" s="3">
        <f>1041.7+(67.5-675.3)+(-1.593801+(-0.103275--1.033209))+0-0-0</f>
        <v>433.23613300000011</v>
      </c>
      <c r="K176" s="3">
        <f>1049.8+(57.9-681.2)+(0+(0-0))+0-0-0</f>
        <v>426.49999999999989</v>
      </c>
      <c r="L176" s="3">
        <f>1038.8+(52.2-663.4)+(-2.64894+(-0.13311--1.69167))+0-0-0</f>
        <v>426.50962000000004</v>
      </c>
      <c r="M176" s="3">
        <f>1050.9+(69.3-681.1)+(0+(0-0))+0-0-0</f>
        <v>439.1</v>
      </c>
      <c r="N176" s="3">
        <f>1069.6+(101.1-687.9)+(0.545496+(0.051561-0.350829))+0-0-0</f>
        <v>483.04622799999993</v>
      </c>
      <c r="O176" s="3">
        <f>1234.3+(124.9-785.8)+(-1.888479+(-0.191097--1.202274))+0-0-0</f>
        <v>572.52269799999999</v>
      </c>
      <c r="P176" s="3">
        <f>1307+(138.8-836.3)+(0+(0-0))+0-0-0</f>
        <v>609.5</v>
      </c>
      <c r="Q176" s="3">
        <f>1412.1+(159.5-964.4)+(0+(0-0))+0-0-0</f>
        <v>607.19999999999993</v>
      </c>
      <c r="R176" s="3">
        <f>1424.9+(190.3-995.7)+(-2.180097+(-0.291159--1.523421))+0-0-0</f>
        <v>618.55216499999995</v>
      </c>
      <c r="S176" s="3">
        <f>1396.6+(216.1-1024.3)+(-3.56133+(-0.551055--2.611965))+0-0-0</f>
        <v>586.89958000000001</v>
      </c>
      <c r="T176" s="3">
        <f>1344+(238-1008.3)+(0+(0-0))+0-0-0</f>
        <v>573.70000000000005</v>
      </c>
      <c r="U176" s="3">
        <f>1353.9+(237.3-1020.2)+(1.380978+(0.242046-1.040604))+0-0-0</f>
        <v>571.58241999999996</v>
      </c>
      <c r="V176" s="3">
        <f>1334.8+(237.1-999.5)+(-2.722992+(-0.483684--2.03898))+0-0-0</f>
        <v>571.232304</v>
      </c>
      <c r="W176" s="3">
        <f>1333.7+(237-1002.2)+(-2.720748+(-0.48348--2.044488))+0-0-0</f>
        <v>567.34025999999994</v>
      </c>
      <c r="X176" s="3">
        <f>1346.2+(122-897.7)+(-0.686562+(-0.06222--0.457827))+0-0-0</f>
        <v>570.20904499999995</v>
      </c>
      <c r="Y176" s="3">
        <f>1374+(119.8-839.4)+(-0.70074+(-0.061098--0.428094))+0-0-0</f>
        <v>654.06625599999995</v>
      </c>
      <c r="Z176" s="3">
        <f>1377.6+(160.9-824.1)+(-2.107728+(-0.246177--1.260873))+0-0-0</f>
        <v>713.30696799999987</v>
      </c>
      <c r="AA176" s="3">
        <f>1406+(177.6-879.8)+(-5.01942+(-0.634032--3.140886))+0-0-0</f>
        <v>701.28743400000008</v>
      </c>
      <c r="AB176" s="3">
        <f>1426.4+(83.1-835.4)+(-0.727464+(-0.042381--0.426054))+0-0-0</f>
        <v>673.75620900000013</v>
      </c>
      <c r="AC176" s="3">
        <f>1421.6+(79-862.3)+(-1.450032+(-0.08058--0.879546))+0-0-0</f>
        <v>637.64893399999994</v>
      </c>
      <c r="AD176">
        <f t="shared" si="2"/>
        <v>13391.261434</v>
      </c>
      <c r="AE176" s="3">
        <f>1377+(193.9-905.6)+(0+(0-0))+0-0-0</f>
        <v>665.3</v>
      </c>
    </row>
    <row r="177" spans="1:31" s="2" customFormat="1" x14ac:dyDescent="0.25">
      <c r="A177">
        <v>89</v>
      </c>
      <c r="B177">
        <v>6</v>
      </c>
      <c r="C177">
        <v>22</v>
      </c>
      <c r="D177">
        <v>3</v>
      </c>
      <c r="E177">
        <v>1</v>
      </c>
      <c r="F177" s="3">
        <f>1380.8+(64.8-864)+(-2.816832+(-0.132192--1.76256))+0-0-0</f>
        <v>580.41353599999991</v>
      </c>
      <c r="G177" s="3">
        <f>1279.8+(73.7-809.9)+(-0.652698+(-0.037587--0.413049))+0-0-0</f>
        <v>543.32276400000001</v>
      </c>
      <c r="H177" s="3">
        <f>1078.4+(97.5-672.6)+(-1.099968+(-0.09945--0.686052))+0-0-0</f>
        <v>502.78663400000005</v>
      </c>
      <c r="I177" s="3">
        <f>1059+(100.9-675.2)+(-1.62027+(-0.154377--1.033056))+0-0-0</f>
        <v>483.9584089999999</v>
      </c>
      <c r="J177" s="3">
        <f>1059.8+(98.1-684.3)+(-1.080996+(-0.100062--0.697986))+0-0-0</f>
        <v>473.11692800000003</v>
      </c>
      <c r="K177" s="3">
        <f>1076.5+(99.2-703)+(2.19606+(0.202368-1.43412))+0-0-0</f>
        <v>473.66430800000006</v>
      </c>
      <c r="L177" s="3">
        <f>1053.8+(81.5-670.9)+(-2.149752+(-0.16626--1.368636))+0-0-0</f>
        <v>463.45262399999996</v>
      </c>
      <c r="M177" s="3">
        <f>1139+(45.6-709.2)+(1.74267+(0.069768-1.085076))+0-0-0</f>
        <v>476.12736200000001</v>
      </c>
      <c r="N177" s="3">
        <f>1350.8+(43.5-858.6)+(-0.688908+(-0.022185--0.437886))+0-0-0</f>
        <v>535.42679299999998</v>
      </c>
      <c r="O177" s="3">
        <f>1394.8+(51.1-851.8)+(0.711348+(0.026061-0.434418))+0-0-0</f>
        <v>594.40299100000004</v>
      </c>
      <c r="P177" s="3">
        <f>1404.3+(93.8-864.5)+(1.432386+(0.095676-0.88179))+0-0-0</f>
        <v>634.24627199999986</v>
      </c>
      <c r="Q177" s="3">
        <f>1438.8+(168.7-930.4)+(-0.733788+(-0.086037--0.474504))+0-0-0</f>
        <v>676.7546789999999</v>
      </c>
      <c r="R177" s="3">
        <f>1437.2+(178.4-928.5)+(0+(0-0))+0-0-0</f>
        <v>687.1</v>
      </c>
      <c r="S177" s="3">
        <f>1426.4+(178.9-923.5)+(-1.454928+(-0.182478--0.94197))+0-0-0</f>
        <v>681.1045640000001</v>
      </c>
      <c r="T177" s="3">
        <f>1424.4+(183.3-945.9)+(0+(0-0))+0-0-0</f>
        <v>661.80000000000018</v>
      </c>
      <c r="U177" s="3">
        <f>1418.4+(183.3-962)+(0+(0-0))+0-0-0</f>
        <v>639.70000000000005</v>
      </c>
      <c r="V177" s="3">
        <f>1391.3+(182.6-935.3)+(-3.547815+(-0.46563--2.385015))+0-0-0</f>
        <v>636.97157000000004</v>
      </c>
      <c r="W177" s="3">
        <f>1394.4+(177.4-944.3)+(-4.266864+(-0.542844--2.889558))+0-0-0</f>
        <v>625.57985000000008</v>
      </c>
      <c r="X177" s="3">
        <f>1407+(124.9-926.4)+(-2.15271+(-0.191097--1.417392))+0-0-0</f>
        <v>604.57358499999998</v>
      </c>
      <c r="Y177" s="3">
        <f>1433+(141.9-878.5)+(-1.46166+(-0.144738--0.89607))+0-0-0</f>
        <v>695.68967199999997</v>
      </c>
      <c r="Z177" s="3">
        <f>1439.3+(104.4-751.8)+(-2.202129+(-0.159732--1.150254))+0-0-0</f>
        <v>790.68839300000002</v>
      </c>
      <c r="AA177" s="3">
        <f>1444.5+(114.6-770)+(-2.210085+(-0.175338--1.1781))+0-0-0</f>
        <v>787.89267700000005</v>
      </c>
      <c r="AB177" s="3">
        <f>1442.9+(135-829.3)+(-2.943516+(-0.2754--1.691772))+0-0-0</f>
        <v>747.07285600000012</v>
      </c>
      <c r="AC177" s="3">
        <f>1445.5+(164.1-906.9)+(-1.47441+(-0.167382--0.925038))+0-0-0</f>
        <v>701.98324600000001</v>
      </c>
      <c r="AD177">
        <f t="shared" si="2"/>
        <v>14697.829713000001</v>
      </c>
      <c r="AE177" s="3">
        <f>1447+(103.2-783.6)+(0+(0-0))+0-0-0</f>
        <v>766.6</v>
      </c>
    </row>
    <row r="178" spans="1:31" s="2" customFormat="1" x14ac:dyDescent="0.25">
      <c r="A178">
        <v>89</v>
      </c>
      <c r="B178">
        <v>6</v>
      </c>
      <c r="C178">
        <v>23</v>
      </c>
      <c r="D178">
        <v>4</v>
      </c>
      <c r="E178">
        <v>1</v>
      </c>
      <c r="F178" s="3">
        <f>1422.6+(179.7-955.1)+(-2.176578+(-0.274941--1.461303))+0-0-0</f>
        <v>646.20978399999979</v>
      </c>
      <c r="G178" s="3">
        <f>1387.9+(192.5-989)+(-2.123487+(-0.294525--1.51317))+0-0-0</f>
        <v>590.49515800000006</v>
      </c>
      <c r="H178" s="3">
        <f>1240.5+(192.3-889.3)+(-0.632655+(-0.098073--0.453543))+0-0-0</f>
        <v>543.22281499999997</v>
      </c>
      <c r="I178" s="3">
        <f>1221+(166.3-864.8)+(-1.86813+(-0.254439--1.323144))+0-0-0</f>
        <v>521.70057499999996</v>
      </c>
      <c r="J178" s="3">
        <f>1212.3+(155.1-848.6)+(-3.091365+(-0.395505--2.16393))+0-0-0</f>
        <v>517.47705999999994</v>
      </c>
      <c r="K178" s="3">
        <f>1225.3+(159.8-867.8)+(-0.624903+(-0.081498--0.442578))+0-0-0</f>
        <v>517.03617699999995</v>
      </c>
      <c r="L178" s="3">
        <f>1212.9+(156.4-861.8)+(-2.474316+(-0.319056--1.758072))+0-0-0</f>
        <v>506.46470000000011</v>
      </c>
      <c r="M178" s="3">
        <f>1223.7+(161.4-865.8)+(0+(0-0))+0-0-0</f>
        <v>519.30000000000007</v>
      </c>
      <c r="N178" s="3">
        <f>1225.6+(167.6-817.2)+(-1.250112+(-0.170952--0.833544))+0-0-0</f>
        <v>575.41247999999985</v>
      </c>
      <c r="O178" s="3">
        <f>1288.8+(181.8-836.5)+(-1.971864+(-0.278154--1.279845))+0-0-0</f>
        <v>633.12982699999986</v>
      </c>
      <c r="P178" s="3">
        <f>1362.1+(185.3-867.2)+(-0.694671+(-0.094503--0.442272))+0-0-0</f>
        <v>679.85309799999982</v>
      </c>
      <c r="Q178" s="3">
        <f>1358.3+(229.1-879.6)+(-1.385466+(-0.233682--0.897192))+0-0-0</f>
        <v>707.07804399999998</v>
      </c>
      <c r="R178" s="3">
        <f>1348.3+(244.9-893.7)+(-3.438165+(-0.624495--2.278935))+0-0-0</f>
        <v>697.71627499999988</v>
      </c>
      <c r="S178" s="3">
        <f>1347+(250.5-894.5)+(-2.74788+(-0.51102--1.82478))+0-0-0</f>
        <v>701.56587999999999</v>
      </c>
      <c r="T178" s="3">
        <f>1408.6+(246-907.6)+(-0.718386+(-0.12546--0.462876))+0-0-0</f>
        <v>746.61902999999984</v>
      </c>
      <c r="U178" s="3">
        <f>1392.8+(243.9-942.4)+(-2.841312+(-0.497556--1.922496))+0-0-0</f>
        <v>692.88362799999993</v>
      </c>
      <c r="V178" s="3">
        <f>1400.5+(243.9-984.6)+(-1.42851+(-0.248778--1.004292))+0-0-0</f>
        <v>659.12700399999994</v>
      </c>
      <c r="W178" s="3">
        <f>1410.7+(251.6-996.9)+(-1.438914+(-0.256632--1.016838))+0-0-0</f>
        <v>664.72129200000006</v>
      </c>
      <c r="X178" s="3">
        <f>1436.8+(134.2-915)+(-1.465536+(-0.136884--0.9333))+0-0-0</f>
        <v>655.33087999999998</v>
      </c>
      <c r="Y178" s="3">
        <f>1456.4+(166-886.4)+(-2.228292+(-0.25398--1.356192))+0-0-0</f>
        <v>734.87392000000011</v>
      </c>
      <c r="Z178" s="3">
        <f>1473+(174.5-856.2)+(-2.25369+(-0.266985--1.309986))+0-0-0</f>
        <v>790.08931099999995</v>
      </c>
      <c r="AA178" s="3">
        <f>1424+(178.5-838.6)+(-3.6312+(-0.455175--2.13843))+0-0-0</f>
        <v>761.95205499999997</v>
      </c>
      <c r="AB178" s="3">
        <f>1424.4+(122.1-841.5)+(-1.452888+(-0.124542--0.85833))+0-0-0</f>
        <v>704.28090000000009</v>
      </c>
      <c r="AC178" s="3">
        <f>1426.2+(106.6-895.4)+(-1.454724+(-0.108732--0.913308))+0-0-0</f>
        <v>636.74985200000015</v>
      </c>
      <c r="AD178">
        <f t="shared" si="2"/>
        <v>15403.289744999996</v>
      </c>
      <c r="AE178" s="3">
        <f>1474+(172.2-891.1)+(0+(0-0))+0-0-0</f>
        <v>755.09999999999991</v>
      </c>
    </row>
    <row r="179" spans="1:31" s="2" customFormat="1" x14ac:dyDescent="0.25">
      <c r="A179">
        <v>89</v>
      </c>
      <c r="B179">
        <v>6</v>
      </c>
      <c r="C179">
        <v>24</v>
      </c>
      <c r="D179">
        <v>5</v>
      </c>
      <c r="E179">
        <v>1</v>
      </c>
      <c r="F179" s="3">
        <f>1421.8+(145.5-988.2)+(-1.450236+(-0.14841--1.007964))+0-0-0</f>
        <v>578.50931799999989</v>
      </c>
      <c r="G179" s="3">
        <f>1165.4+(168.6-808.6)+(-0.594354+(-0.085986--0.412386))+0-0-0</f>
        <v>525.13204600000006</v>
      </c>
      <c r="H179" s="3">
        <f>1126.6+(126.7-771.8)+(1.723698+(0.193851-1.180854))+0-0-0</f>
        <v>482.236695</v>
      </c>
      <c r="I179" s="3">
        <f>1119.6+(133.5-795.2)+(0+(0-0))+0-0-0</f>
        <v>457.89999999999986</v>
      </c>
      <c r="J179" s="3">
        <f>1109.7+(141.2-796.9)+(-1.131894+(-0.144024--0.812838))+0-0-0</f>
        <v>453.53692000000001</v>
      </c>
      <c r="K179" s="3">
        <f>1086.8+(180-811.2)+(0+(0-0))+0-0-0</f>
        <v>455.59999999999991</v>
      </c>
      <c r="L179" s="3">
        <f>1081.1+(127.9-774.1)+(-1.654083+(-0.195687--1.184373))+0-0-0</f>
        <v>434.23460299999988</v>
      </c>
      <c r="M179" s="3">
        <f>1112.3+(104.4-775.1)+(-1.134546+(-0.106488--0.790602))+0-0-0</f>
        <v>441.14956799999993</v>
      </c>
      <c r="N179" s="3">
        <f>1297.4+(86.6-883.5)+(0.661674+(0.044166-0.450585))+0-0-0</f>
        <v>500.75525500000009</v>
      </c>
      <c r="O179" s="3">
        <f>1299+(136.7-888)+(-0.66249+(-0.069717--0.45288))+0-0-0</f>
        <v>547.42067300000008</v>
      </c>
      <c r="P179" s="3">
        <f>1303.4+(161.8-884.9)+(0+(0-0))+0-0-0</f>
        <v>580.30000000000018</v>
      </c>
      <c r="Q179" s="3">
        <f>1440.7+(177-1010.2)+(0.734757+(0.09027-0.515202))+0-0-0</f>
        <v>607.80982500000005</v>
      </c>
      <c r="R179" s="3">
        <f>1441.1+(187.4-1018.7)+(-0.734961+(-0.095574--0.519537))+0-0-0</f>
        <v>609.4890019999998</v>
      </c>
      <c r="S179" s="3">
        <f>1441.9+(181.1-1032.2)+(-0.735369+(-0.092361--0.526422))+0-0-0</f>
        <v>590.49869200000012</v>
      </c>
      <c r="T179" s="3">
        <f>1490.6+(181.1-1094.6)+(-2.280618+(-0.277083--1.674738))+0-0-0</f>
        <v>576.217037</v>
      </c>
      <c r="U179" s="3">
        <f>1466.2+(181.8-1079.2)+(1.495524+(0.185436-1.100784))+0-0-0</f>
        <v>569.38017600000001</v>
      </c>
      <c r="V179" s="3">
        <f>1439.9+(183.6-1045.4)+(0+(0-0))+0-0-0</f>
        <v>578.1</v>
      </c>
      <c r="W179" s="3">
        <f>1428.3+(178.6-1027.6)+(-2.913732+(-0.364344--2.096304))+0-0-0</f>
        <v>578.11822800000004</v>
      </c>
      <c r="X179" s="3">
        <f>1438.7+(143.6-1001.9)+(0.733737+(0.073236-0.510969))+0-0-0</f>
        <v>580.69600400000013</v>
      </c>
      <c r="Y179" s="3">
        <f>1496.1+(124.7-956.2)+(-0.763011+(-0.063597--0.487662))+0-0-0</f>
        <v>664.26105399999994</v>
      </c>
      <c r="Z179" s="3">
        <f>1495+(125.1-892.9)+(-3.81225+(-0.319005--2.276895))+0-0-0</f>
        <v>725.34564</v>
      </c>
      <c r="AA179" s="3">
        <f>1510.3+(136-927.3)+(-3.851265+(-0.3468--2.364615))+0-0-0</f>
        <v>717.16655000000003</v>
      </c>
      <c r="AB179" s="3">
        <f>1513.5+(126.3-961)+(-3.08754+(-0.257652--1.96044))+0-0-0</f>
        <v>677.41524799999991</v>
      </c>
      <c r="AC179" s="3">
        <f>1509.1+(138.4-1018)+(-0.769641+(-0.070584--0.51918))+0-0-0</f>
        <v>629.17895499999986</v>
      </c>
      <c r="AD179">
        <f t="shared" si="2"/>
        <v>13560.451488999997</v>
      </c>
      <c r="AE179" s="3">
        <f>1498+(151-949.6)+(0+(0-0))+0-0-0</f>
        <v>699.4</v>
      </c>
    </row>
    <row r="180" spans="1:31" s="2" customFormat="1" x14ac:dyDescent="0.25">
      <c r="A180">
        <v>89</v>
      </c>
      <c r="B180">
        <v>6</v>
      </c>
      <c r="C180">
        <v>25</v>
      </c>
      <c r="D180">
        <v>6</v>
      </c>
      <c r="E180">
        <v>1</v>
      </c>
      <c r="F180" s="3">
        <f>1461.6+(160-1054.5)+(-3.72708+(-0.408--2.688975))+0-0-0</f>
        <v>565.65389499999992</v>
      </c>
      <c r="G180" s="3">
        <f>1327.1+(172.4-986.4)+(-2.707284+(-0.351696--2.012256))+0-0-0</f>
        <v>512.05327599999987</v>
      </c>
      <c r="H180" s="3">
        <f>1130.3+(122.9-786.2)+(0.576453+(0.062679-0.400962))+0-0-0</f>
        <v>467.23816999999991</v>
      </c>
      <c r="I180" s="3">
        <f>1106.4+(127.8-787.3)+(-3.385584+(-0.391068--2.409138))+0-0-0</f>
        <v>445.53248600000006</v>
      </c>
      <c r="J180" s="3">
        <f>1122.3+(133.5-818.9)+(0.572373+(0.068085-0.417639))+0-0-0</f>
        <v>437.12281899999999</v>
      </c>
      <c r="K180" s="3">
        <f>1120.9+(130.7-808.3)+(0+(0-0))+0-0-0</f>
        <v>443.30000000000018</v>
      </c>
      <c r="L180" s="3">
        <f>1107.9+(123.9-793.7)+(-2.825145+(-0.315945--2.023935))+0-0-0</f>
        <v>436.982845</v>
      </c>
      <c r="M180" s="3">
        <f>1116.3+(120.5-799.2)+(0.569313+(0.061455-0.407592))+0-0-0</f>
        <v>437.82317599999993</v>
      </c>
      <c r="N180" s="3">
        <f>1114.6+(190.6-806.7)+(-1.136892+(-0.194412--0.822834))+0-0-0</f>
        <v>497.9915299999999</v>
      </c>
      <c r="O180" s="3">
        <f>1330.9+(178-955.1)+(-0.678759+(-0.09078--0.487101))+0-0-0</f>
        <v>553.51756200000011</v>
      </c>
      <c r="P180" s="3">
        <f>1419.7+(173.7-1012.7)+(-2.172141+(-0.265761--1.549431))+0-0-0</f>
        <v>579.81152900000006</v>
      </c>
      <c r="Q180" s="3">
        <f>1416+(199.1-1019.6)+(-3.6108+(-0.507705--2.59998))+0-0-0</f>
        <v>593.98147500000005</v>
      </c>
      <c r="R180" s="3">
        <f>1400.7+(205.4-1005.6)+(-7.857927+(-1.152294--5.641416))+0-0-0</f>
        <v>597.13119500000005</v>
      </c>
      <c r="S180" s="3">
        <f>1428.6+(169.2-1012.8)+(-1.457172+(-0.172584--1.033056))+0-0-0</f>
        <v>584.40329999999994</v>
      </c>
      <c r="T180" s="3">
        <f>1423+(178-1032.9)+(-1.45146+(-0.18156--1.053558))+0-0-0</f>
        <v>567.52053799999987</v>
      </c>
      <c r="U180" s="3">
        <f>1427.8+(147-1014.3)+(-0.728178+(-0.07497--0.517293))+0-0-0</f>
        <v>560.21414500000003</v>
      </c>
      <c r="V180" s="3">
        <f>1289+(129.5-861.6)+(-1.31478+(-0.13209--0.878832))+0-0-0</f>
        <v>556.33196199999998</v>
      </c>
      <c r="W180" s="3">
        <f>1225.4+(134.9-808.6)+(-3.12477+(-0.343995--2.06193))+0-0-0</f>
        <v>550.29316500000004</v>
      </c>
      <c r="X180" s="3">
        <f>1237.7+(110.7-801.3)+(-0.631227+(-0.056457--0.408663))+0-0-0</f>
        <v>546.82097900000019</v>
      </c>
      <c r="Y180" s="3">
        <f>1405.6+(166.5-931.8)+(0+(0-0))+0-0-0</f>
        <v>640.29999999999995</v>
      </c>
      <c r="Z180" s="3">
        <f>1415.6+(120.7-829)+(-0.721956+(-0.061557--0.42279))+0-0-0</f>
        <v>706.93927699999995</v>
      </c>
      <c r="AA180" s="3">
        <f>1400+(104.4-819.1)+(-2.142+(-0.159732--1.253223))+0-0-0</f>
        <v>684.25149099999999</v>
      </c>
      <c r="AB180" s="3">
        <f>1395.3+(68.9-817.2)+(-2.846412+(-0.140556--1.667088))+0-0-0</f>
        <v>645.68011999999987</v>
      </c>
      <c r="AC180" s="3">
        <f>1397.6+(70.7-870.7)+(-2.138328+(-0.108171--1.332171))+0-0-0</f>
        <v>596.68567199999995</v>
      </c>
      <c r="AD180">
        <f t="shared" si="2"/>
        <v>13207.580606999998</v>
      </c>
      <c r="AE180" s="3">
        <f>1417+(132.3-890.6)+(0+(0-0))+0-0-0</f>
        <v>658.7</v>
      </c>
    </row>
    <row r="181" spans="1:31" s="2" customFormat="1" x14ac:dyDescent="0.25">
      <c r="A181">
        <v>89</v>
      </c>
      <c r="B181">
        <v>6</v>
      </c>
      <c r="C181">
        <v>26</v>
      </c>
      <c r="D181">
        <v>7</v>
      </c>
      <c r="E181">
        <v>1</v>
      </c>
      <c r="F181" s="3">
        <f>1265+(80.6-836.6)+(-2.5806+(-0.164424--1.706664))+0-0-0</f>
        <v>507.96163999999999</v>
      </c>
      <c r="G181" s="3">
        <f>1257.7+(72.4-833.3)+(-3.207135+(-0.18462--2.124915))+0-0-0</f>
        <v>495.53316000000007</v>
      </c>
      <c r="H181" s="3">
        <f>1178.7+(72.8-778.6)+(0.601137+(0.037128-0.397086))+0-0-0</f>
        <v>473.14117899999997</v>
      </c>
      <c r="I181" s="3">
        <f>1072+(69.6-678.7)+(0.54672+(0.035496-0.346137))+0-0-0</f>
        <v>463.136079</v>
      </c>
      <c r="J181" s="3">
        <f>1071.2+(69.9-682.1)+(0+(0-0))+0-0-0</f>
        <v>459</v>
      </c>
      <c r="K181" s="3">
        <f>1073+(70.6-686)+(0.54723+(0.036006-0.34986))+0-0-0</f>
        <v>457.83337600000004</v>
      </c>
      <c r="L181" s="3">
        <f>1057.1+(65.2-686)+(-2.695605+(-0.16626--1.7493))+0-0-0</f>
        <v>435.18743499999994</v>
      </c>
      <c r="M181" s="3">
        <f>1058.6+(62.1-709.9)+(-1.619658+(-0.095013--1.086147))+0-0-0</f>
        <v>410.17147599999993</v>
      </c>
      <c r="N181" s="3">
        <f>1071.4+(52.7-682.9)+(0+(0-0))+0-0-0</f>
        <v>441.20000000000016</v>
      </c>
      <c r="O181" s="3">
        <f>1070+(60.1-645.8)+(-0.5457+(-0.030651--0.329358))+0-0-0</f>
        <v>484.05300700000009</v>
      </c>
      <c r="P181" s="3">
        <f>1199.3+(67.7-734.6)+(-1.223286+(-0.069054--0.749292))+0-0-0</f>
        <v>531.85695199999998</v>
      </c>
      <c r="Q181" s="3">
        <f>1357.5+(77.8-875.5)+(-2.076975+(-0.119034--1.339515))+0-0-0</f>
        <v>558.94350599999996</v>
      </c>
      <c r="R181" s="3">
        <f>1366+(104.6-919.1)+(0+(0-0))+0-0-0</f>
        <v>551.5</v>
      </c>
      <c r="S181" s="3">
        <f>1358.1+(115.6-939.5)+(-1.385262+(-0.117912--0.95829))+0-0-0</f>
        <v>533.65511599999991</v>
      </c>
      <c r="T181" s="3">
        <f>1333.8+(128.8-939.2)+(-2.720952+(-0.262752--1.915968))+0-0-0</f>
        <v>522.3322639999999</v>
      </c>
      <c r="U181" s="3">
        <f>1316.6+(115.6-919.9)+(-1.342932+(-0.117912--0.938298))+0-0-0</f>
        <v>511.77745399999998</v>
      </c>
      <c r="V181" s="3">
        <f>1318+(112.8-918.9)+(-1.34436+(-0.115056--0.937278))+0-0-0</f>
        <v>511.37786199999999</v>
      </c>
      <c r="W181" s="3">
        <f>1317.5+(75.9-899.4)+(-0.671925+(-0.038709--0.458694))+0-0-0</f>
        <v>493.74806000000001</v>
      </c>
      <c r="X181" s="3">
        <f>1313+(39.3-855.9)+(-2.00889+(-0.060129--1.309527))+0-0-0</f>
        <v>495.64050799999995</v>
      </c>
      <c r="Y181" s="3">
        <f>1334.5+(30.4-783.4)+(-2.041785+(-0.046512--1.198602))+0-0-0</f>
        <v>580.61030500000004</v>
      </c>
      <c r="Z181" s="3">
        <f>1416.4+(39.7-798.5)+(0+(0-0))+0-0-0</f>
        <v>657.60000000000014</v>
      </c>
      <c r="AA181" s="3">
        <f>1396.7+(44.4-795.1)+(-4.986219+(-0.158508--2.838507))+0-0-0</f>
        <v>643.69377999999995</v>
      </c>
      <c r="AB181" s="3">
        <f>1402.3+(54.4-837.6)+(-2.860692+(-0.110976--1.708704))+0-0-0</f>
        <v>617.8370359999999</v>
      </c>
      <c r="AC181" s="3">
        <f>1406.3+(0-826.1)+(-1.434426+(0--0.842622))+0-0-0</f>
        <v>579.60819599999991</v>
      </c>
      <c r="AD181">
        <f t="shared" si="2"/>
        <v>12417.398391000001</v>
      </c>
      <c r="AE181" s="3">
        <f>1428+(43.5-845.9)+(0+(0-0))+0-0-0</f>
        <v>625.6</v>
      </c>
    </row>
    <row r="182" spans="1:31" s="2" customFormat="1" x14ac:dyDescent="0.25">
      <c r="A182">
        <v>89</v>
      </c>
      <c r="B182">
        <v>6</v>
      </c>
      <c r="C182">
        <v>27</v>
      </c>
      <c r="D182">
        <v>1</v>
      </c>
      <c r="E182">
        <v>1</v>
      </c>
      <c r="F182" s="3">
        <f>1343.5+(2.1-863.5)+(-2.055555+(-0.003213--1.321155))+0-0-0</f>
        <v>481.36238700000001</v>
      </c>
      <c r="G182" s="3">
        <f>1340.2+(3.8-867.5)+(-2.734008+(-0.007752--1.7697))+0-0-0</f>
        <v>475.52794</v>
      </c>
      <c r="H182" s="3">
        <f>1342.3+(3-884.2)+(-2.738292+(-0.00612--1.803768))+0-0-0</f>
        <v>460.15935599999989</v>
      </c>
      <c r="I182" s="3">
        <f>1311.7+(3.5-858.5)+(-0.668967+(-0.001785--0.437835))+0-0-0</f>
        <v>456.46708300000006</v>
      </c>
      <c r="J182" s="3">
        <f>1071.3+(10.2-636.5)+(0.546363+(0.005202-0.324615))+0-0-0</f>
        <v>445.22694999999999</v>
      </c>
      <c r="K182" s="3">
        <f>1020+(12.9-594.5)+(0.5202+(0.006579-0.303195))+0-0-0</f>
        <v>438.62358399999999</v>
      </c>
      <c r="L182" s="3">
        <f>1004.8+(16.1-578.7)+(-2.56224+(-0.041055--1.475685))+0-0-0</f>
        <v>441.07238999999993</v>
      </c>
      <c r="M182" s="3">
        <f>1005.8+(29.3-578)+(-2.051832+(-0.059772--1.17912))+0-0-0</f>
        <v>456.16751599999992</v>
      </c>
      <c r="N182" s="3">
        <f>1173+(78.2-729.4)+(0+(0-0))+0-0-0</f>
        <v>521.80000000000007</v>
      </c>
      <c r="O182" s="3">
        <f>1344.6+(91-845.8)+(0+(0-0))+0-0-0</f>
        <v>589.79999999999995</v>
      </c>
      <c r="P182" s="3">
        <f>1343.3+(111.9-821.9)+(-0.685083+(-0.057069--0.419169))+0-0-0</f>
        <v>632.97701699999993</v>
      </c>
      <c r="Q182" s="3">
        <f>1331.1+(172.2-836.4)+(-2.715444+(-0.351288--1.706256))+0-0-0</f>
        <v>665.53952399999991</v>
      </c>
      <c r="R182" s="3">
        <f>1340.6+(183.7-866)+(-1.367412+(-0.187374--0.88332))+0-0-0</f>
        <v>657.62853399999995</v>
      </c>
      <c r="S182" s="3">
        <f>1326.3+(180.4-867.5)+(-4.058478+(-0.552024--2.65455))+0-0-0</f>
        <v>637.24404799999991</v>
      </c>
      <c r="T182" s="3">
        <f>1337.5+(189.2-912)+(-1.36425+(-0.192984--0.93024))+0-0-0</f>
        <v>614.07300600000008</v>
      </c>
      <c r="U182" s="3">
        <f>1330.7+(191.8-915.4)+(-2.035971+(-0.293454--1.400562))+0-0-0</f>
        <v>606.17113700000016</v>
      </c>
      <c r="V182" s="3">
        <f>1325.1+(193.1-912.5)+(-1.351602+(-0.196962--0.93075))+0-0-0</f>
        <v>605.08218599999998</v>
      </c>
      <c r="W182" s="3">
        <f>1316.4+(159.3-868.7)+(-2.685456+(-0.324972--1.772148))+0-0-0</f>
        <v>605.76171999999997</v>
      </c>
      <c r="X182" s="3">
        <f>1319.2+(66.9-789.8)+(-2.018376+(-0.102357--1.208394))+0-0-0</f>
        <v>595.38766100000009</v>
      </c>
      <c r="Y182" s="3">
        <f>1328.6+(130.9-772.4)+(-0.677586+(-0.066759--0.393924))+0-0-0</f>
        <v>686.74957899999993</v>
      </c>
      <c r="Z182" s="3">
        <f>1359.6+(113-722.1)+(-2.773584+(-0.23052--1.473084))+0-0-0</f>
        <v>748.96897999999987</v>
      </c>
      <c r="AA182" s="3">
        <f>1377.8+(90.9-743.7)+(0.702678+(0.046359-0.379287))+0-0-0</f>
        <v>725.36974999999984</v>
      </c>
      <c r="AB182" s="3">
        <f>1357.8+(78.5-753.8)+(-2.769912+(-0.16014--1.537752))+0-0-0</f>
        <v>681.10770000000002</v>
      </c>
      <c r="AC182" s="3">
        <f>1259.9+(109.4-744.1)+(-2.570196+(-0.223176--1.517964))+0-0-0</f>
        <v>623.92459200000008</v>
      </c>
      <c r="AD182">
        <f t="shared" si="2"/>
        <v>13852.192639999997</v>
      </c>
      <c r="AE182" s="3">
        <f>1367+(113.8-766.5)+(0+(0-0))+0-0-0</f>
        <v>714.3</v>
      </c>
    </row>
    <row r="183" spans="1:31" s="2" customFormat="1" x14ac:dyDescent="0.25">
      <c r="A183">
        <v>89</v>
      </c>
      <c r="B183">
        <v>6</v>
      </c>
      <c r="C183">
        <v>28</v>
      </c>
      <c r="D183">
        <v>2</v>
      </c>
      <c r="E183">
        <v>1</v>
      </c>
      <c r="F183" s="3">
        <f>1245.5+(51.1-736.5)+(0+(0-0))+0-0-0</f>
        <v>560.1</v>
      </c>
      <c r="G183" s="3">
        <f>1226+(108.1-820)+(-0.62526+(-0.055131--0.4182))+0-0-0</f>
        <v>513.83780899999999</v>
      </c>
      <c r="H183" s="3">
        <f>1099.4+(109.8-732)+(-0.560694+(-0.055998--0.37332))+0-0-0</f>
        <v>476.95662800000002</v>
      </c>
      <c r="I183" s="3">
        <f>1093.7+(103.8-734.3)+(-1.115574+(-0.105876--0.748986))+0-0-0</f>
        <v>462.72753600000004</v>
      </c>
      <c r="J183" s="3">
        <f>1098.9+(104.6-739)+(-0.560439+(-0.053346--0.37689))+0-0-0</f>
        <v>464.26310500000011</v>
      </c>
      <c r="K183" s="3">
        <f>1094+(106.8-714.5)+(-1.11588+(-0.108936--0.72879))+0-0-0</f>
        <v>485.80397399999998</v>
      </c>
      <c r="L183" s="3">
        <f>977.3+(74.9-563.9)+(-2.492115+(-0.190995--1.437945))+0-0-0</f>
        <v>487.05483499999997</v>
      </c>
      <c r="M183" s="3">
        <f>898.4+(91.7-497)+(0+(0-0))+0-0-0</f>
        <v>493.09999999999997</v>
      </c>
      <c r="N183" s="3">
        <f>972.8+(162.4-579.2)+(-0.992256+(-0.165648--0.590784))+0-0-0</f>
        <v>555.43287999999984</v>
      </c>
      <c r="O183" s="3">
        <f>1172+(138.7-654)+(-2.9886+(-0.353685--1.6677))+0-0-0</f>
        <v>655.02541500000007</v>
      </c>
      <c r="P183" s="3">
        <f>1226.3+(122.1-699.1)+(0+(0-0))+0-0-0</f>
        <v>649.29999999999995</v>
      </c>
      <c r="Q183" s="3">
        <f>1218+(113.8-656.7)+(-1.86354+(-0.174114--1.004751))+0-0-0</f>
        <v>674.06709699999988</v>
      </c>
      <c r="R183" s="3">
        <f>1215.4+(126.5-672.6)+(-1.859562+(-0.193545--1.029078))+0-0-0</f>
        <v>668.27597100000003</v>
      </c>
      <c r="S183" s="3">
        <f>1209.6+(113.3-698.4)+(-2.467584+(-0.231132--1.424736))+0-0-0</f>
        <v>623.22601999999983</v>
      </c>
      <c r="T183" s="3">
        <f>1227.2+(120.1-735.9)+(0.625872+(0.061251-0.375309))+0-0-0</f>
        <v>611.71181400000012</v>
      </c>
      <c r="U183" s="3">
        <f>1216.6+(118.4-740)+(-1.240932+(-0.120768--0.7548))+0-0-0</f>
        <v>594.39309999999989</v>
      </c>
      <c r="V183" s="3">
        <f>1207+(122-738.9)+(-3.07785+(-0.3111--1.884195))+0-0-0</f>
        <v>588.59524499999998</v>
      </c>
      <c r="W183" s="3">
        <f>1206.5+(90-706.3)+(-2.46126+(-0.1836--1.440852))+0-0-0</f>
        <v>588.995992</v>
      </c>
      <c r="X183" s="3">
        <f>1218.9+(55.6-679.6)+(0.621639+(0.028356-0.346596))+0-0-0</f>
        <v>595.2033990000001</v>
      </c>
      <c r="Y183" s="3">
        <f>1217.4+(71.9-584.9)+(-0.620874+(-0.036669--0.298299))+0-0-0</f>
        <v>704.0407560000001</v>
      </c>
      <c r="Z183" s="3">
        <f>1223+(93-568.2)+(-1.87119+(-0.14229--0.869346))+0-0-0</f>
        <v>746.65586599999995</v>
      </c>
      <c r="AA183" s="3">
        <f>1217.5+(72.5-574.2)+(-2.4837+(-0.1479--1.171368))+0-0-0</f>
        <v>714.33976799999994</v>
      </c>
      <c r="AB183" s="3">
        <f>1208.9+(78.1-598.3)+(-3.699234+(-0.238986--1.830798))+0-0-0</f>
        <v>686.59257800000012</v>
      </c>
      <c r="AC183" s="3">
        <f>1222+(87-655)+(-0.62322+(-0.04437--0.33405))+0-0-0</f>
        <v>653.66646000000003</v>
      </c>
      <c r="AD183">
        <f t="shared" si="2"/>
        <v>14253.366247999998</v>
      </c>
      <c r="AE183" s="3">
        <f>1225+(88.5-610.1)+(0+(0-0))+0-0-0</f>
        <v>703.4</v>
      </c>
    </row>
    <row r="184" spans="1:31" s="2" customFormat="1" x14ac:dyDescent="0.25">
      <c r="A184">
        <v>89</v>
      </c>
      <c r="B184">
        <v>6</v>
      </c>
      <c r="C184">
        <v>29</v>
      </c>
      <c r="D184">
        <v>3</v>
      </c>
      <c r="E184">
        <v>1</v>
      </c>
      <c r="F184" s="3">
        <f>1211+(98.4-714.9)+(-2.47044+(-0.200736--1.458396))+0-0-0</f>
        <v>593.28722000000005</v>
      </c>
      <c r="G184" s="3">
        <f>1131+(130.2-714.2)+(0+(0-0))+0-0-0</f>
        <v>547</v>
      </c>
      <c r="H184" s="3">
        <f>898.3+(147.7-535.4)+(-1.374399+(-0.225981--0.819162))+0-0-0</f>
        <v>509.81878199999994</v>
      </c>
      <c r="I184" s="3">
        <f>891.9+(132.8-537.3)+(-0.909738+(-0.135456--0.548046))+0-0-0</f>
        <v>486.90285200000005</v>
      </c>
      <c r="J184" s="3">
        <f>899.7+(108.8-528.4)+(0.458847+(0.055488-0.269484))+0-0-0</f>
        <v>480.34485100000006</v>
      </c>
      <c r="K184" s="3">
        <f>904.4+(104.4-533)+(0+(0-0))+0-0-0</f>
        <v>475.79999999999995</v>
      </c>
      <c r="L184" s="3">
        <f>914.1+(97.1-531.8)+(-2.797146+(-0.297126--1.627308))+0-0-0</f>
        <v>477.93303600000007</v>
      </c>
      <c r="M184" s="3">
        <f>939.2+(82.9-534.5)+(0+(0-0))+0-0-0</f>
        <v>487.6</v>
      </c>
      <c r="N184" s="3">
        <f>992.9+(57.5-501.9)+(-0.506379+(-0.029325--0.255969))+0-0-0</f>
        <v>548.22026500000004</v>
      </c>
      <c r="O184" s="3">
        <f>1265.4+(45.1-692.4)+(-0.645354+(-0.023001--0.353124))+0-0-0</f>
        <v>617.7847690000001</v>
      </c>
      <c r="P184" s="3">
        <f>1285.4+(99.9-733.1)+(0+(0-0))+0-0-0</f>
        <v>652.20000000000005</v>
      </c>
      <c r="Q184" s="3">
        <f>1272.6+(167.7-758.1)+(-1.947078+(-0.256581--1.159893))+0-0-0</f>
        <v>681.15623399999981</v>
      </c>
      <c r="R184" s="3">
        <f>1265.1+(185.5-758)+(-0.645201+(-0.094605--0.38658))+0-0-0</f>
        <v>692.24677399999996</v>
      </c>
      <c r="S184" s="3">
        <f>1231.5+(187.9-758.9)+(-4.396455+(-0.670803--2.709273))+0-0-0</f>
        <v>658.14201500000001</v>
      </c>
      <c r="T184" s="3">
        <f>1258.1+(193.5-810.1)+(0.641631+(0.098685-0.413151))+0-0-0</f>
        <v>641.82716499999992</v>
      </c>
      <c r="U184" s="3">
        <f>1238.8+(188.5-794.7)+(-2.527152+(-0.38454--1.621188))+0-0-0</f>
        <v>631.30949599999985</v>
      </c>
      <c r="V184" s="3">
        <f>1251.6+(158.9-782.1)+(-2.553264+(-0.324156--1.595484))+0-0-0</f>
        <v>627.11806399999989</v>
      </c>
      <c r="W184" s="3">
        <f>1291.9+(151.4-814.1)+(-3.294345+(-0.38607--2.075955))+0-0-0</f>
        <v>627.59554000000003</v>
      </c>
      <c r="X184" s="3">
        <f>1321.4+(169.1-865.9)+(-0.673914+(-0.086241--0.441609))+0-0-0</f>
        <v>624.28145400000017</v>
      </c>
      <c r="Y184" s="3">
        <f>1342.1+(150.7-772.8)+(0.684471+(0.076857-0.394128))+0-0-0</f>
        <v>720.36720000000003</v>
      </c>
      <c r="Z184" s="3">
        <f>1363.1+(103.6-685.9)+(-2.780724+(-0.211344--1.399236))+0-0-0</f>
        <v>779.20716799999991</v>
      </c>
      <c r="AA184" s="3">
        <f>1321.2+(111.1-670.6)+(-4.042872+(-0.339966--2.052036))+0-0-0</f>
        <v>759.3691980000001</v>
      </c>
      <c r="AB184" s="3">
        <f>1253.2+(98.2-639.4)+(-2.556528+(-0.200328--1.304376))+0-0-0</f>
        <v>710.54752000000008</v>
      </c>
      <c r="AC184" s="3">
        <f>1205+(96.8-632.6)+(-2.4582+(-0.197472--1.290504))+0-0-0</f>
        <v>667.83483199999989</v>
      </c>
      <c r="AD184">
        <f t="shared" si="2"/>
        <v>14697.894435000002</v>
      </c>
      <c r="AE184" s="3">
        <f>1369+(96.1-736)+(0+(0-0))+0-0-0</f>
        <v>729.1</v>
      </c>
    </row>
    <row r="185" spans="1:31" s="2" customFormat="1" x14ac:dyDescent="0.25">
      <c r="A185">
        <v>89</v>
      </c>
      <c r="B185">
        <v>6</v>
      </c>
      <c r="C185">
        <v>30</v>
      </c>
      <c r="D185">
        <v>4</v>
      </c>
      <c r="E185">
        <v>1</v>
      </c>
      <c r="F185" s="3">
        <f>1150.2+(124.1-667.6)+(-1.759806+(-0.189873--1.021428))+0-0-0</f>
        <v>605.771749</v>
      </c>
      <c r="G185" s="3">
        <f>954.9+(171.8-571.9)+(-1.460997+(-0.262854--0.875007))+0-0-0</f>
        <v>553.95115599999997</v>
      </c>
      <c r="H185" s="3">
        <f>870.9+(190.8-540.1)+(0+(0-0))+0-0-0</f>
        <v>521.59999999999991</v>
      </c>
      <c r="I185" s="3">
        <f>843.9+(188.1-540.1)+(-0.430389+(-0.095931--0.275451))+0-0-0</f>
        <v>491.64913099999995</v>
      </c>
      <c r="J185" s="3">
        <f>838.3+(185-536.8)+(-0.427533+(-0.09435--0.273768))+0-0-0</f>
        <v>486.25188500000002</v>
      </c>
      <c r="K185" s="3">
        <f>841.5+(179.8-530.4)+(0.429165+(0.091698-0.270504))+0-0-0</f>
        <v>491.15035900000004</v>
      </c>
      <c r="L185" s="3">
        <f>835.4+(171.5-527.1)+(-0.852108+(-0.17493--0.537642))+0-0-0</f>
        <v>479.31060399999996</v>
      </c>
      <c r="M185" s="3">
        <f>834.6+(159.7-508.7)+(-0.851292+(-0.162894--0.518874))+0-0-0</f>
        <v>485.10468800000001</v>
      </c>
      <c r="N185" s="3">
        <f>903.3+(124.4-476.1)+(0.460683+(0.063444-0.242811))+0-0-0</f>
        <v>551.88131599999986</v>
      </c>
      <c r="O185" s="3">
        <f>1090.5+(112.3-586.4)+(-1.11231+(-0.114546--0.598128))+0-0-0</f>
        <v>615.77127200000007</v>
      </c>
      <c r="P185" s="3">
        <f>1105.6+(131.5-575.7)+(-0.563856+(-0.067065--0.293607))+0-0-0</f>
        <v>661.06268599999987</v>
      </c>
      <c r="Q185" s="3">
        <f>1105.9+(131.1-542.7)+(0+(0-0))+0-0-0</f>
        <v>694.30000000000007</v>
      </c>
      <c r="R185" s="3">
        <f>1106.3+(104.8-521.8)+(0.564213+(0.053448-0.266118))+0-0-0</f>
        <v>689.65154299999995</v>
      </c>
      <c r="S185" s="3">
        <f>1092.1+(91.3-509.3)+(-2.784855+(-0.232815--1.298715))+0-0-0</f>
        <v>672.38104499999986</v>
      </c>
      <c r="T185" s="3">
        <f>1102.4+(87.5-536.2)+(1.124448+(0.08925-0.546924))+0-0-0</f>
        <v>654.36677400000008</v>
      </c>
      <c r="U185" s="3">
        <f>1091.2+(83.5-538.9)+(-1.113024+(-0.08517--0.549678))+0-0-0</f>
        <v>635.1514840000001</v>
      </c>
      <c r="V185" s="3">
        <f>1075.4+(83.7-531.3)+(-2.193816+(-0.170748--1.083852))+0-0-0</f>
        <v>626.51928800000019</v>
      </c>
      <c r="W185" s="3">
        <f>1076.5+(63.7-515.7)+(-1.09803+(-0.064974--0.526014))+0-0-0</f>
        <v>623.86301000000003</v>
      </c>
      <c r="X185" s="3">
        <f>1089.8+(59.9-537.2)+(-1.111596+(-0.061098--0.547944))+0-0-0</f>
        <v>611.87524999999994</v>
      </c>
      <c r="Y185" s="3">
        <f>1109.1+(106.9-496.9)+(0+(0-0))+0-0-0</f>
        <v>719.09999999999991</v>
      </c>
      <c r="Z185" s="3">
        <f>1126.7+(141.1-493.6)+(-2.873085+(-0.359805--1.25868))+0-0-0</f>
        <v>772.22579000000007</v>
      </c>
      <c r="AA185" s="3">
        <f>1116.7+(124.7-493.6)+(-3.417102+(-0.381582--1.510416))+0-0-0</f>
        <v>745.51173199999994</v>
      </c>
      <c r="AB185" s="3">
        <f>1128.1+(109.9-520.3)+(-1.150662+(-0.112098--0.530706))+0-0-0</f>
        <v>716.96794599999998</v>
      </c>
      <c r="AC185" s="3">
        <f>1126.3+(101-554)+(-1.148826+(-0.10302--0.56508))+0-0-0</f>
        <v>672.61323399999992</v>
      </c>
      <c r="AD185">
        <f t="shared" si="2"/>
        <v>14778.031942000001</v>
      </c>
      <c r="AE185" s="3">
        <f>1133+(135.3-531.4)+(0+(0-0))+0-0-0</f>
        <v>736.90000000000009</v>
      </c>
    </row>
    <row r="186" spans="1:31" s="2" customFormat="1" x14ac:dyDescent="0.25">
      <c r="A186">
        <v>89</v>
      </c>
      <c r="B186">
        <v>6</v>
      </c>
      <c r="C186">
        <v>31</v>
      </c>
      <c r="D186">
        <v>5</v>
      </c>
      <c r="E186">
        <v>1</v>
      </c>
      <c r="F186" s="3">
        <f>1099.4+(63.1-607.5)+(-1.121388+(-0.064362--0.61965))+0-0-0</f>
        <v>554.43390000000011</v>
      </c>
      <c r="G186" s="3">
        <f>1040.5+(70.4-588.5)+(-1.591965+(-0.107712--0.900405))+0-0-0</f>
        <v>521.600728</v>
      </c>
      <c r="H186" s="3">
        <f>1009.5+(72.8-574.1)+(-1.544535+(-0.111384--0.878373))+0-0-0</f>
        <v>507.42245400000002</v>
      </c>
      <c r="I186" s="3">
        <f>763.4+(161.1-431)+(0.778668+(0.164322-0.43962))+0-0-0</f>
        <v>494.00337000000002</v>
      </c>
      <c r="J186" s="3">
        <f>713.8+(178.7-399.9)+(-0.364038+(-0.091137--0.203949))+0-0-0</f>
        <v>492.34877399999999</v>
      </c>
      <c r="K186" s="3">
        <f>712.6+(177.1-403.3)+(-0.726852+(-0.180642--0.411366))+0-0-0</f>
        <v>485.90387199999998</v>
      </c>
      <c r="L186" s="3">
        <f>711.9+(158-394.1)+(-0.726138+(-0.16116--0.401982))+0-0-0</f>
        <v>475.31468399999994</v>
      </c>
      <c r="M186" s="3">
        <f>717.2+(187.4-376.1)+(0+(0-0))+0-0-0</f>
        <v>528.5</v>
      </c>
      <c r="N186" s="3">
        <f>736.9+(231.1-359.1)+(0.375819+(0.117861-0.183141))+0-0-0</f>
        <v>609.21053899999993</v>
      </c>
      <c r="O186" s="3">
        <f>972+(166.2-460.8)+(0+(0-0))+0-0-0</f>
        <v>677.4</v>
      </c>
      <c r="P186" s="3">
        <f>977.2+(175.4-436.4)+(0.996744+(0.178908-0.445128))+0-0-0</f>
        <v>716.93052399999999</v>
      </c>
      <c r="Q186" s="3">
        <f>960.9+(172.9-405.3)+(-0.490059+(-0.088179--0.206703))+0-0-0</f>
        <v>728.12846500000001</v>
      </c>
      <c r="R186" s="3">
        <f>942.7+(161.9-391.6)+(-3.846216+(-0.660552--1.597728))+0-0-0</f>
        <v>710.09096</v>
      </c>
      <c r="S186" s="3">
        <f>960.1+(147.3-409.9)+(-0.489651+(-0.075123--0.209049))+0-0-0</f>
        <v>697.14427499999999</v>
      </c>
      <c r="T186" s="3">
        <f>960.7+(137.5-427.5)+(-0.489957+(-0.070125--0.218025))+0-0-0</f>
        <v>670.35794300000009</v>
      </c>
      <c r="U186" s="3">
        <f>952.7+(136.2-423.2)+(-1.457631+(-0.208386--0.647496))+0-0-0</f>
        <v>664.68147900000008</v>
      </c>
      <c r="V186" s="3">
        <f>961.6+(136.5-438.9)+(0+(0-0))+0-0-0</f>
        <v>659.2</v>
      </c>
      <c r="W186" s="3">
        <f>966.5+(99.4-413.6)+(-0.492915+(-0.050694--0.210936))+0-0-0</f>
        <v>651.96732699999995</v>
      </c>
      <c r="X186" s="3">
        <f>968.4+(166.2-382)+(-0.493884+(-0.084762--0.19482))+0-0-0</f>
        <v>752.21617399999991</v>
      </c>
      <c r="Y186" s="3">
        <f>994.3+(222.5-415.7)+(0.507093+(0.113475-0.212007))+0-0-0</f>
        <v>801.50856099999987</v>
      </c>
      <c r="Z186" s="3">
        <f>1003.8+(218.7-432.7)+(-1.023876+(-0.223074--0.441354))+0-0-0</f>
        <v>788.99440399999992</v>
      </c>
      <c r="AA186" s="3">
        <f>993.2+(206.2-442.7)+(-3.039192+(-0.630972--1.354662))+0-0-0</f>
        <v>754.38449800000001</v>
      </c>
      <c r="AB186" s="3">
        <f>994.1+(160.7-446.8)+(-2.027964+(-0.327828--0.911472))+0-0-0</f>
        <v>706.55568000000005</v>
      </c>
      <c r="AC186" s="3">
        <f>994.8+(149.4-489.8)+(-2.029392+(-0.304776--0.999192))+0-0-0</f>
        <v>653.06502399999999</v>
      </c>
      <c r="AD186">
        <f t="shared" si="2"/>
        <v>15301.363635</v>
      </c>
      <c r="AE186" s="3">
        <f>996+(218.6-443.4)+(0+(0-0))+0-0-0</f>
        <v>771.2</v>
      </c>
    </row>
    <row r="187" spans="1:31" s="2" customFormat="1" x14ac:dyDescent="0.25">
      <c r="A187">
        <v>89</v>
      </c>
      <c r="B187">
        <v>7</v>
      </c>
      <c r="C187">
        <v>1</v>
      </c>
      <c r="D187">
        <v>6</v>
      </c>
      <c r="E187">
        <v>1</v>
      </c>
      <c r="F187" s="3">
        <f>995.1+(110.1-508.8)+(-1.015002+(-0.112302--0.518976))+0-0-0</f>
        <v>595.79167199999995</v>
      </c>
      <c r="G187" s="3">
        <f>900.4+(111.5-455.8)+(-1.377612+(-0.170595--0.697374))+0-0-0</f>
        <v>555.24916699999994</v>
      </c>
      <c r="H187" s="3">
        <f>842.4+(124.9-447.9)+(-0.429624+(-0.063699--0.228429))+0-0-0</f>
        <v>519.13510599999995</v>
      </c>
      <c r="I187" s="3">
        <f>846.5+(118.7-466.6)+(0.431715+(0.060537-0.237966))+0-0-0</f>
        <v>498.85428599999995</v>
      </c>
      <c r="J187" s="3">
        <f>838.1+(107.3-454.5)+(-1.282293+(-0.164169--0.695385))+0-0-0</f>
        <v>490.14892300000002</v>
      </c>
      <c r="K187" s="3">
        <f>838.8+(105-452.1)+(-0.855576+(-0.1071--0.461142))+0-0-0</f>
        <v>491.19846599999994</v>
      </c>
      <c r="L187" s="3">
        <f>815.5+(106.8-443.6)+(0.415905+(0.054468-0.226236))+0-0-0</f>
        <v>478.94413700000001</v>
      </c>
      <c r="M187" s="3">
        <f>863.5+(130.3-472.8)+(0+(0-0))+0-0-0</f>
        <v>521</v>
      </c>
      <c r="N187" s="3">
        <f>888.4+(148.2-438)+(0.453084+(0.075582-0.22338))+0-0-0</f>
        <v>598.90528599999993</v>
      </c>
      <c r="O187" s="3">
        <f>978.5+(179.1-479.1)+(-0.499035+(-0.091341--0.244341))+0-0-0</f>
        <v>678.15396499999997</v>
      </c>
      <c r="P187" s="3">
        <f>974.2+(190.6-448.2)+(-0.496842+(-0.097206--0.228582))+0-0-0</f>
        <v>716.23453400000005</v>
      </c>
      <c r="Q187" s="3">
        <f>968.3+(173.7-413.8)+(-0.493833+(-0.088587--0.211038))+0-0-0</f>
        <v>727.82861799999989</v>
      </c>
      <c r="R187" s="3">
        <f>966.9+(167.6-418.2)+(-0.493119+(-0.085476--0.213282))+0-0-0</f>
        <v>715.93468699999994</v>
      </c>
      <c r="S187" s="3">
        <f>959.9+(191.9-454.5)+(-1.468647+(-0.293607--0.695385))+0-0-0</f>
        <v>696.23313099999996</v>
      </c>
      <c r="T187" s="3">
        <f>958.1+(193.5-486.3)+(-1.465893+(-0.296055--0.744039))+0-0-0</f>
        <v>664.28209099999992</v>
      </c>
      <c r="U187" s="3">
        <f>946.2+(186.5-488.7)+(-2.895372+(-0.57069--1.495422))+0-0-0</f>
        <v>642.02936</v>
      </c>
      <c r="V187" s="3">
        <f>945.8+(188.4-500.6)+(-2.894148+(-0.576504--1.531836))+0-0-0</f>
        <v>631.66118399999993</v>
      </c>
      <c r="W187" s="3">
        <f>955.3+(136.9-458.9)+(-0.974406+(-0.139638--0.468078))+0-0-0</f>
        <v>632.65403399999991</v>
      </c>
      <c r="X187" s="3">
        <f>963+(176.3-398.3)+(0+(0-0))+0-0-0</f>
        <v>741</v>
      </c>
      <c r="Y187" s="3">
        <f>977.9+(238.3-424.8)+(-1.994916+(-0.486132--0.866592))+0-0-0</f>
        <v>789.78554399999996</v>
      </c>
      <c r="Z187" s="3">
        <f>997.4+(192.8-423.6)+(-2.54337+(-0.49164--1.08018))+0-0-0</f>
        <v>764.64516999999989</v>
      </c>
      <c r="AA187" s="3">
        <f>989.9+(146.8-407.9)+(-2.019396+(-0.299472--0.832116))+0-0-0</f>
        <v>727.31324799999993</v>
      </c>
      <c r="AB187" s="3">
        <f>994.7+(144.2-459.4)+(0+(0-0))+0-0-0</f>
        <v>679.5</v>
      </c>
      <c r="AC187" s="3">
        <f>986.7+(130.4-494.2)+(-1.006434+(-0.133008--0.504084))+0-0-0</f>
        <v>622.26464200000009</v>
      </c>
      <c r="AD187">
        <f t="shared" si="2"/>
        <v>15178.747251000001</v>
      </c>
      <c r="AE187" s="3">
        <f>981+(232-463.3)+(0+(0-0))+0-0-0</f>
        <v>749.7</v>
      </c>
    </row>
    <row r="188" spans="1:31" s="2" customFormat="1" x14ac:dyDescent="0.25">
      <c r="A188">
        <v>89</v>
      </c>
      <c r="B188">
        <v>7</v>
      </c>
      <c r="C188">
        <v>2</v>
      </c>
      <c r="D188">
        <v>7</v>
      </c>
      <c r="E188">
        <v>1</v>
      </c>
      <c r="F188" s="3">
        <f>980.8+(125.3-522.8)+(-2.000832+(-0.255612--1.066512))+0-0-0</f>
        <v>582.11006799999996</v>
      </c>
      <c r="G188" s="3">
        <f>855.2+(154.7-471)+(-1.744608+(-0.315588--0.96084))+0-0-0</f>
        <v>537.80064400000015</v>
      </c>
      <c r="H188" s="3">
        <f>846.5+(160.8-495)+(-0.431715+(-0.082008--0.25245))+0-0-0</f>
        <v>512.03872699999999</v>
      </c>
      <c r="I188" s="3">
        <f>845.6+(149.2-500.9)+(-1.293768+(-0.228276--0.766377))+0-0-0</f>
        <v>493.14433300000002</v>
      </c>
      <c r="J188" s="3">
        <f>850+(122.9-484.4)+(0.4335+(0.062679-0.247044))+0-0-0</f>
        <v>488.74913500000002</v>
      </c>
      <c r="K188" s="3">
        <f>865+(99.6-486.6)+(-2.6469+(-0.304776--1.488996))+0-0-0</f>
        <v>476.53732000000002</v>
      </c>
      <c r="L188" s="3">
        <f>761.8+(104.6-430.2)+(-0.777036+(-0.106692--0.438804))+0-0-0</f>
        <v>435.75507599999992</v>
      </c>
      <c r="M188" s="3">
        <f>758.9+(120.3-443.4)+(-1.161117+(-0.184059--0.678402))+0-0-0</f>
        <v>435.13322600000004</v>
      </c>
      <c r="N188" s="3">
        <f>757.8+(178.9-471.9)+(-1.159434+(-0.273717--0.722007))+0-0-0</f>
        <v>464.08885599999996</v>
      </c>
      <c r="O188" s="3">
        <f>938.3+(112.4-546.6)+(-1.914132+(-0.229296--1.115064))+0-0-0</f>
        <v>503.0716359999999</v>
      </c>
      <c r="P188" s="3">
        <f>1016.1+(102.8-590.9)+(-1.554633+(-0.157284--0.904077))+0-0-0</f>
        <v>527.19215999999994</v>
      </c>
      <c r="Q188" s="3">
        <f>1033.8+(105.1-592)+(0.527238+(0.053601-0.30192))+0-0-0</f>
        <v>547.17891899999995</v>
      </c>
      <c r="R188" s="3">
        <f>1066.5+(111.1-632.7)+(0+(0-0))+0-0-0</f>
        <v>544.9</v>
      </c>
      <c r="S188" s="3">
        <f>1086.6+(125.1-694.1)+(-1.108332+(-0.127602--0.707982))+0-0-0</f>
        <v>517.07204799999988</v>
      </c>
      <c r="T188" s="3">
        <f>1099.9+(130.1-721.5)+(0.560949+(0.066351-0.367965))+0-0-0</f>
        <v>508.75933500000014</v>
      </c>
      <c r="U188" s="3">
        <f>1091.9+(119.5-715.2)+(-1.113738+(-0.12189--0.729504))+0-0-0</f>
        <v>495.69387600000005</v>
      </c>
      <c r="V188" s="3">
        <f>1089.1+(117-702.8)+(-1.666323+(-0.17901--1.075284))+0-0-0</f>
        <v>502.52995099999998</v>
      </c>
      <c r="W188" s="3">
        <f>1083.8+(68.2-615)+(-2.76369+(-0.17391--1.56825))+0-0-0</f>
        <v>535.63064999999995</v>
      </c>
      <c r="X188" s="3">
        <f>1093.1+(67.8-522.9)+(-1.114962+(-0.069156--0.533358))+0-0-0</f>
        <v>637.34924000000001</v>
      </c>
      <c r="Y188" s="3">
        <f>1092.4+(99.6-516.7)+(-1.114248+(-0.101592--0.527034))+0-0-0</f>
        <v>674.61119400000007</v>
      </c>
      <c r="Z188" s="3">
        <f>1093.5+(90.2-523.3)+(-0.557685+(-0.046002--0.266883))+0-0-0</f>
        <v>660.06319600000006</v>
      </c>
      <c r="AA188" s="3">
        <f>1093+(77.8-530.3)+(-0.55743+(-0.039678--0.270453))+0-0-0</f>
        <v>640.17334500000004</v>
      </c>
      <c r="AB188" s="3">
        <f>1084.4+(79.5-564.5)+(-2.76522+(-0.202725--1.439475))+0-0-0</f>
        <v>597.87153000000012</v>
      </c>
      <c r="AC188" s="3">
        <f>1090.3+(83.2-613.7)+(-1.112106+(-0.084864--0.625974))+0-0-0</f>
        <v>559.22900399999992</v>
      </c>
      <c r="AD188">
        <f t="shared" si="2"/>
        <v>12876.683468999996</v>
      </c>
      <c r="AE188" s="3">
        <f>1097+(89.8-555.1)+(0+(0-0))+0-0-0</f>
        <v>631.70000000000005</v>
      </c>
    </row>
    <row r="189" spans="1:31" s="2" customFormat="1" x14ac:dyDescent="0.25">
      <c r="A189">
        <v>89</v>
      </c>
      <c r="B189">
        <v>7</v>
      </c>
      <c r="C189">
        <v>3</v>
      </c>
      <c r="D189">
        <v>1</v>
      </c>
      <c r="E189">
        <v>1</v>
      </c>
      <c r="F189" s="3">
        <f>1087.3+(101.9-677.6)+(-1.663569+(-0.155907--1.036728))+0-0-0</f>
        <v>510.81725199999988</v>
      </c>
      <c r="G189" s="3">
        <f>1001.7+(104.4-598.4)+(-2.043468+(-0.212976--1.220736))+0-0-0</f>
        <v>506.66429200000005</v>
      </c>
      <c r="H189" s="3">
        <f>836.8+(129.4-537.6)+(-0.853536+(-0.131988--0.548352))+0-0-0</f>
        <v>428.16282799999993</v>
      </c>
      <c r="I189" s="3">
        <f>845.6+(148.5-524)+(0.862512+(0.15147-0.53448))+0-0-0</f>
        <v>470.57950200000005</v>
      </c>
      <c r="J189" s="3">
        <f>833.8+(131.2-497.2)+(-1.700952+(-0.267648--1.014288))+0-0-0</f>
        <v>466.84568799999994</v>
      </c>
      <c r="K189" s="3">
        <f>835.2+(104-466.2)+(-1.277856+(-0.15912--0.713286))+0-0-0</f>
        <v>472.27631000000008</v>
      </c>
      <c r="L189" s="3">
        <f>836.5+(93.7-461)+(-0.85323+(-0.095574--0.47022))+0-0-0</f>
        <v>468.72141599999998</v>
      </c>
      <c r="M189" s="3">
        <f>1012.9+(84.9-570.5)+(0.516579+(0.043299-0.290955))+0-0-0</f>
        <v>527.56892299999993</v>
      </c>
      <c r="N189" s="3">
        <f>1112.5+(59.9-581.3)+(0+(0-0))+0-0-0</f>
        <v>591.1</v>
      </c>
      <c r="O189" s="3">
        <f>1114.6+(160.2-623.2)+(-0.568446+(-0.081702--0.317832))+0-0-0</f>
        <v>651.26768399999992</v>
      </c>
      <c r="P189" s="3">
        <f>1113.2+(216.2-635.2)+(-0.567732+(-0.110262--0.323952))+0-0-0</f>
        <v>693.845958</v>
      </c>
      <c r="Q189" s="3">
        <f>1111.2+(223.7-632.3)+(0.566712+(0.114087-0.322473))+0-0-0</f>
        <v>702.95832600000017</v>
      </c>
      <c r="R189" s="3">
        <f>1205.4+(225.3-740.7)+(0+(0-0))+0-0-0</f>
        <v>690</v>
      </c>
      <c r="S189" s="3">
        <f>1207.2+(248.3-790.2)+(0+(0-0))+0-0-0</f>
        <v>665.3</v>
      </c>
      <c r="T189" s="3">
        <f>1198.3+(245.2-793.8)+(-1.222266+(-0.250104--0.809676))+0-0-0</f>
        <v>649.03730600000006</v>
      </c>
      <c r="U189" s="3">
        <f>1194.8+(230.8-798.8)+(-1.828044+(-0.353124--1.222164))+0-0-0</f>
        <v>625.8409959999999</v>
      </c>
      <c r="V189" s="3">
        <f>1197+(211.7-784)+(-1.83141+(-0.323901--1.19952))+0-0-0</f>
        <v>623.74420900000007</v>
      </c>
      <c r="W189" s="3">
        <f>1209.5+(185.8-752.5)+(0.616845+(0.094758-0.383775))+0-0-0</f>
        <v>643.12782799999991</v>
      </c>
      <c r="X189" s="3">
        <f>1217.7+(190.8-655.6)+(-2.484108+(-0.389232--1.337424))+0-0-0</f>
        <v>751.36408400000005</v>
      </c>
      <c r="Y189" s="3">
        <f>1246.8+(177.2-635.3)+(0+(0-0))+0-0-0</f>
        <v>788.7</v>
      </c>
      <c r="Z189" s="3">
        <f>1245.7+(186.3-659.8)+(1.270614+(0.190026-0.672996))+0-0-0</f>
        <v>772.98764400000005</v>
      </c>
      <c r="AA189" s="3">
        <f>1233.6+(208.1-704.2)+(-1.887408+(-0.318393--1.077426))+0-0-0</f>
        <v>736.37162499999988</v>
      </c>
      <c r="AB189" s="3">
        <f>1222.5+(217.2-757.4)+(-3.117375+(-0.55386--1.93137))+0-0-0</f>
        <v>680.56013499999995</v>
      </c>
      <c r="AC189" s="3">
        <f>1225.2+(182.7-781.4)+(-3.12426+(-0.465885--1.99257))+0-0-0</f>
        <v>624.90242499999999</v>
      </c>
      <c r="AD189">
        <f t="shared" si="2"/>
        <v>14742.744431000003</v>
      </c>
      <c r="AE189" s="3">
        <f>1233+(173-659)+(0+(0-0))+0-0-0</f>
        <v>747</v>
      </c>
    </row>
    <row r="190" spans="1:31" s="2" customFormat="1" x14ac:dyDescent="0.25">
      <c r="A190">
        <v>89</v>
      </c>
      <c r="B190">
        <v>7</v>
      </c>
      <c r="C190">
        <v>4</v>
      </c>
      <c r="D190">
        <v>2</v>
      </c>
      <c r="E190">
        <v>1</v>
      </c>
      <c r="F190" s="3">
        <f>1228.2+(123.4-779.6)+(-1.252764+(-0.125868--0.795192))+0-0-0</f>
        <v>571.41656</v>
      </c>
      <c r="G190" s="3">
        <f>1035.9+(142.5-652.3)+(-2.641545+(-0.363375--1.663365))+0-0-0</f>
        <v>524.75844500000017</v>
      </c>
      <c r="H190" s="3">
        <f>919.6+(145.3-555.5)+(-1.406988+(-0.222309--0.849915))+0-0-0</f>
        <v>508.62061800000004</v>
      </c>
      <c r="I190" s="3">
        <f>922.9+(125.7-551.8)+(-0.470679+(-0.064107--0.281418))+0-0-0</f>
        <v>496.54663199999999</v>
      </c>
      <c r="J190" s="3">
        <f>920.5+(85.2-519.7)+(0+(0-0))+0-0-0</f>
        <v>485.99999999999994</v>
      </c>
      <c r="K190" s="3">
        <f>912.8+(92.5-515.9)+(0+(0-0))+0-0-0</f>
        <v>489.4</v>
      </c>
      <c r="L190" s="3">
        <f>920.5+(75.7-518.7)+(-0.469455+(-0.038607--0.264537))+0-0-0</f>
        <v>477.25647499999997</v>
      </c>
      <c r="M190" s="3">
        <f>964.3+(125.4-559.3)+(-0.983586+(-0.127908--0.570486))+0-0-0</f>
        <v>529.85899199999994</v>
      </c>
      <c r="N190" s="3">
        <f>1141+(160.9-686.5)+(0+(0-0))+0-0-0</f>
        <v>615.4</v>
      </c>
      <c r="O190" s="3">
        <f>1140.6+(188.7-662)+(-0.581706+(-0.096237--0.33762))+0-0-0</f>
        <v>666.95967699999994</v>
      </c>
      <c r="P190" s="3">
        <f>1149.3+(199.2-665.8)+(0+(0-0))+0-0-0</f>
        <v>682.7</v>
      </c>
      <c r="Q190" s="3">
        <f>1171.1+(248.5-726.7)+(0.597261+(0.126735-0.370617))+0-0-0</f>
        <v>693.25337899999988</v>
      </c>
      <c r="R190" s="3">
        <f>1167.1+(261.9-738.4)+(-0.595221+(-0.133569--0.376584))+0-0-0</f>
        <v>690.24779399999989</v>
      </c>
      <c r="S190" s="3">
        <f>1115.5+(278.2-717.2)+(0.568905+(0.141882-0.365772))+0-0-0</f>
        <v>676.84501499999999</v>
      </c>
      <c r="T190" s="3">
        <f>1180.5+(286.7-813.5)+(-0.602055+(-0.146217--0.414885))+0-0-0</f>
        <v>653.36661300000003</v>
      </c>
      <c r="U190" s="3">
        <f>1232+(258.9-842.6)+(-1.25664+(-0.264078--0.859452))+0-0-0</f>
        <v>647.638734</v>
      </c>
      <c r="V190" s="3">
        <f>1304.9+(234.9-881.4)+(-1.996497+(-0.359397--1.348542))+0-0-0</f>
        <v>657.39264800000012</v>
      </c>
      <c r="W190" s="3">
        <f>1336.3+(219-877)+(0+(0-0))+0-0-0</f>
        <v>678.3</v>
      </c>
      <c r="X190" s="3">
        <f>1353+(197.3-775.7)+(-1.38006+(-0.201246--0.791214))+0-0-0</f>
        <v>773.80990799999995</v>
      </c>
      <c r="Y190" s="3">
        <f>1368.7+(190-766.4)+(-2.094111+(-0.2907--1.172592))+0-0-0</f>
        <v>791.08778100000006</v>
      </c>
      <c r="Z190" s="3">
        <f>1377.6+(202.9-799.5)+(-1.405152+(-0.206958--0.81549))+0-0-0</f>
        <v>780.20337999999992</v>
      </c>
      <c r="AA190" s="3">
        <f>1384.1+(214.8-867.2)+(0.705891+(0.109548-0.442272))+0-0-0</f>
        <v>732.07316699999978</v>
      </c>
      <c r="AB190" s="3">
        <f>1377.6+(225.8-928.1)+(0+(0-0))+0-0-0</f>
        <v>675.3</v>
      </c>
      <c r="AC190" s="3">
        <f>1366.5+(183.5-943.6)+(-1.39383+(-0.18717--0.962472))+0-0-0</f>
        <v>605.78147200000001</v>
      </c>
      <c r="AD190">
        <f t="shared" si="2"/>
        <v>15104.217290000001</v>
      </c>
      <c r="AE190" s="3">
        <f>1377+(192.3-789.2)+(0+(0-0))+0-0-0</f>
        <v>780.09999999999991</v>
      </c>
    </row>
    <row r="191" spans="1:31" s="2" customFormat="1" x14ac:dyDescent="0.25">
      <c r="A191">
        <v>89</v>
      </c>
      <c r="B191">
        <v>7</v>
      </c>
      <c r="C191">
        <v>5</v>
      </c>
      <c r="D191">
        <v>3</v>
      </c>
      <c r="E191">
        <v>1</v>
      </c>
      <c r="F191" s="3">
        <f>1196.3+(215-875)+(-1.830339+(-0.32895--1.33875))+0-0-0</f>
        <v>535.4794609999999</v>
      </c>
      <c r="G191" s="3">
        <f>1028.3+(214.1-732)+(0+(0-0))+0-0-0</f>
        <v>510.4</v>
      </c>
      <c r="H191" s="3">
        <f>1013.8+(176.7-717.1)+(-1.034076+(-0.180234--0.731442))+0-0-0</f>
        <v>472.91713199999987</v>
      </c>
      <c r="I191" s="3">
        <f>1021.9+(167.5-714.2)+(0.521169+(0.085425-0.364242))+0-0-0</f>
        <v>475.44235199999991</v>
      </c>
      <c r="J191" s="3">
        <f>1020.1+(156.2-691.6)+(0.520251+(0.079662-0.352716))+0-0-0</f>
        <v>484.94719699999996</v>
      </c>
      <c r="K191" s="3">
        <f>1001.6+(116.4-644)+(-3.575712+(-0.415548--2.29908))+0-0-0</f>
        <v>472.30781999999999</v>
      </c>
      <c r="L191" s="3">
        <f>1021+(59.4-604.3)+(0.52071+(0.030294-0.308193))+0-0-0</f>
        <v>476.34281100000004</v>
      </c>
      <c r="M191" s="3">
        <f>1023.8+(118.3-620.3)+(1.044276+(0.120666-0.632706))+0-0-0</f>
        <v>522.33223599999997</v>
      </c>
      <c r="N191" s="3">
        <f>1239.1+(106.3-755.9)+(0+(0-0))+0-0-0</f>
        <v>589.49999999999989</v>
      </c>
      <c r="O191" s="3">
        <f>1357.4+(136.1-877.4)+(0+(0-0))+0-0-0</f>
        <v>616.10000000000014</v>
      </c>
      <c r="P191" s="3">
        <f>1363.1+(162.9-895.4)+(1.390362+(0.166158-0.913308))+0-0-0</f>
        <v>631.24321199999986</v>
      </c>
      <c r="Q191" s="3">
        <f>1369.1+(184.5-929.3)+(2.094723+(0.282285-1.421829))+0-0-0</f>
        <v>625.255179</v>
      </c>
      <c r="R191" s="3">
        <f>1353.5+(178.4-922.4)+(-1.38057+(-0.181968--0.940848))+0-0-0</f>
        <v>608.87831000000006</v>
      </c>
      <c r="S191" s="3">
        <f>1349.3+(257.2-1010.1)+(-0.688143+(-0.131172--0.515151))+0-0-0</f>
        <v>596.09583599999985</v>
      </c>
      <c r="T191" s="3">
        <f>1345.9+(261.9-1022.1)+(-1.372818+(-0.267138--1.042542))+0-0-0</f>
        <v>585.10258600000009</v>
      </c>
      <c r="U191" s="3">
        <f>1339.3+(253.1-1017)+(-2.732172+(-0.516324--2.07468))+0-0-0</f>
        <v>574.22618399999999</v>
      </c>
      <c r="V191" s="3">
        <f>1336.2+(235.9-1013.1)+(-3.40731+(-0.601545--2.583405))+0-0-0</f>
        <v>557.57455000000004</v>
      </c>
      <c r="W191" s="3">
        <f>1434.6+(183.6-985.9)+(-0.731646+(-0.093636--0.502809))+0-0-0</f>
        <v>631.97752700000001</v>
      </c>
      <c r="X191" s="3">
        <f>1473+(175.6-908.8)+(0.75123+(0.089556-0.463488))+0-0-0</f>
        <v>740.17729800000006</v>
      </c>
      <c r="Y191" s="3">
        <f>1539.4+(178.6-955.7)+(-4.710564+(-0.546516--2.924442))+0-0-0</f>
        <v>759.96736200000009</v>
      </c>
      <c r="Z191" s="3">
        <f>1539+(176.4-973.6)+(-2.35467+(-0.269892--1.489608))+0-0-0</f>
        <v>740.66504599999996</v>
      </c>
      <c r="AA191" s="3">
        <f>1514.2+(191.4-1002.3)+(-3.088968+(-0.390456--2.044692))+0-0-0</f>
        <v>701.86526800000001</v>
      </c>
      <c r="AB191" s="3">
        <f>1446.6+(221.3-1000.1)+(-2.951064+(-0.451452--2.040204))+0-0-0</f>
        <v>666.43768799999998</v>
      </c>
      <c r="AC191" s="3">
        <f>1439.6+(189.1-1011.1)+(-3.67098+(-0.482205--2.578305))+0-0-0</f>
        <v>616.0251199999999</v>
      </c>
      <c r="AD191">
        <f t="shared" si="2"/>
        <v>14191.260174999998</v>
      </c>
      <c r="AE191" s="3">
        <f>1483+(184.5-926)+(0+(0-0))+0-0-0</f>
        <v>741.5</v>
      </c>
    </row>
    <row r="192" spans="1:31" s="2" customFormat="1" x14ac:dyDescent="0.25">
      <c r="A192">
        <v>89</v>
      </c>
      <c r="B192">
        <v>7</v>
      </c>
      <c r="C192">
        <v>6</v>
      </c>
      <c r="D192">
        <v>4</v>
      </c>
      <c r="E192">
        <v>1</v>
      </c>
      <c r="F192" s="3">
        <f>1447.7+(181.3-1045.2)+(-2.953308+(-0.369852--2.132208))+0-0-0</f>
        <v>582.60904799999992</v>
      </c>
      <c r="G192" s="3">
        <f>1375.8+(191.7-1010.9)+(-2.104974+(-0.293301--1.546677))+0-0-0</f>
        <v>555.74840199999994</v>
      </c>
      <c r="H192" s="3">
        <f>1275.3+(140.3-919.5)+(-1.300806+(-0.143106--0.93789))+0-0-0</f>
        <v>495.59397799999994</v>
      </c>
      <c r="I192" s="3">
        <f>1258.3+(93.2-862.5)+(-1.283466+(-0.095064--0.87975))+0-0-0</f>
        <v>488.50121999999999</v>
      </c>
      <c r="J192" s="3">
        <f>1125.9+(73.1-713.4)+(2.296836+(0.149124-1.455336))+0-0-0</f>
        <v>486.59062400000016</v>
      </c>
      <c r="K192" s="3">
        <f>1010.6+(74.2-605)+(-2.061624+(-0.151368--1.2342))+0-0-0</f>
        <v>478.82120800000007</v>
      </c>
      <c r="L192" s="3">
        <f>1018.4+(63.1-621.7)+(0.519384+(0.032181-0.317067))+0-0-0</f>
        <v>460.03449799999993</v>
      </c>
      <c r="M192" s="3">
        <f>1016.7+(96.5-600.7)+(-0.518517+(-0.049215--0.306357))+0-0-0</f>
        <v>512.23862499999996</v>
      </c>
      <c r="N192" s="3">
        <f>1268+(37.7-721.3)+(0+(0-0))+0-0-0</f>
        <v>584.40000000000009</v>
      </c>
      <c r="O192" s="3">
        <f>1362.2+(61.7-778.4)+(-2.778888+(-0.125868--1.587936))+0-0-0</f>
        <v>644.18318000000011</v>
      </c>
      <c r="P192" s="3">
        <f>1446.5+(136.6-903)+(-0.737715+(-0.069666--0.46053))+0-0-0</f>
        <v>679.75314900000001</v>
      </c>
      <c r="Q192" s="3">
        <f>1459.1+(155.6-924.1)+(2.976564+(0.317424-1.885164))+0-0-0</f>
        <v>692.00882399999989</v>
      </c>
      <c r="R192" s="3">
        <f>1436.6+(163.6-933.6)+(-1.465332+(-0.166872--0.952272))+0-0-0</f>
        <v>665.9200679999999</v>
      </c>
      <c r="S192" s="3">
        <f>1438.4+(175.4-967.2)+(0.733584+(0.089454-0.493272))+0-0-0</f>
        <v>646.92976599999997</v>
      </c>
      <c r="T192" s="3">
        <f>1421.3+(185.9-975)+(-2.899452+(-0.379236--1.989))+0-0-0</f>
        <v>630.91031199999998</v>
      </c>
      <c r="U192" s="3">
        <f>1416.8+(186-986.1)+(-3.61284+(-0.4743--2.514555))+0-0-0</f>
        <v>615.12741499999993</v>
      </c>
      <c r="V192" s="3">
        <f>1415.5+(111.3-917.5)+(-3.609525+(-0.283815--2.339625))+0-0-0</f>
        <v>607.74628499999994</v>
      </c>
      <c r="W192" s="3">
        <f>1424.7+(92.7-893.1)+(-2.179791+(-0.141831--1.366443))+0-0-0</f>
        <v>623.34482100000002</v>
      </c>
      <c r="X192" s="3">
        <f>1440+(135.3-822.5)+(0+(0-0))+0-0-0</f>
        <v>752.8</v>
      </c>
      <c r="Y192" s="3">
        <f>1461.8+(128.7-803.3)+(-2.236554+(-0.196911--1.229049))+0-0-0</f>
        <v>785.99558400000001</v>
      </c>
      <c r="Z192" s="3">
        <f>1475.8+(146.7-853.7)+(-2.257974+(-0.224451--1.306161))+0-0-0</f>
        <v>767.62373600000001</v>
      </c>
      <c r="AA192" s="3">
        <f>1384.9+(155.3-806.1)+(-1.412598+(-0.158406--0.822222))+0-0-0</f>
        <v>733.35121800000013</v>
      </c>
      <c r="AB192" s="3">
        <f>1277.5+(131.9-743.6)+(-1.30305+(-0.134538--0.758472))+0-0-0</f>
        <v>665.12088399999993</v>
      </c>
      <c r="AC192" s="3">
        <f>1256+(150.3-779.4)+(-1.28112+(-0.153306--0.794988))+0-0-0</f>
        <v>626.26056200000005</v>
      </c>
      <c r="AD192">
        <f t="shared" si="2"/>
        <v>14781.613406999999</v>
      </c>
      <c r="AE192" s="3">
        <f>1436+(121-815.7)+(0+(0-0))+0-0-0</f>
        <v>741.3</v>
      </c>
    </row>
    <row r="193" spans="1:31" s="2" customFormat="1" x14ac:dyDescent="0.25">
      <c r="A193">
        <v>89</v>
      </c>
      <c r="B193">
        <v>7</v>
      </c>
      <c r="C193">
        <v>7</v>
      </c>
      <c r="D193">
        <v>5</v>
      </c>
      <c r="E193">
        <v>1</v>
      </c>
      <c r="F193" s="3">
        <f>1244.4+(173.8-848.9)+(-3.807864+(-0.531828--2.597634))+0-0-0</f>
        <v>567.55794200000014</v>
      </c>
      <c r="G193" s="3">
        <f>1243+(112.4-831.9)+(-3.80358+(-0.343944--2.545614))+0-0-0</f>
        <v>521.89809000000002</v>
      </c>
      <c r="H193" s="3">
        <f>1226.5+(82.6-804.5)+(0+(0-0))+0-0-0</f>
        <v>504.6</v>
      </c>
      <c r="I193" s="3">
        <f>1170.7+(92.3-771.3)+(-1.194114+(-0.094146--0.786726))+0-0-0</f>
        <v>491.19846600000005</v>
      </c>
      <c r="J193" s="3">
        <f>1185.2+(92.1-785.2)+(1.813356+(0.140913-1.201356))+0-0-0</f>
        <v>492.852913</v>
      </c>
      <c r="K193" s="3">
        <f>1168.6+(84.8-763)+(-1.787958+(-0.129744--1.16739))+0-0-0</f>
        <v>489.64968799999986</v>
      </c>
      <c r="L193" s="3">
        <f>1170.6+(64.2-754.9)+(-1.194012+(-0.065484--0.769998))+0-0-0</f>
        <v>479.41050199999995</v>
      </c>
      <c r="M193" s="3">
        <f>1327.9+(94-897.1)+(0+(0-0))+0-0-0</f>
        <v>524.80000000000007</v>
      </c>
      <c r="N193" s="3">
        <f>1322.7+(146-874.9)+(0+(0-0))+0-0-0</f>
        <v>593.80000000000007</v>
      </c>
      <c r="O193" s="3">
        <f>1327.6+(144.5-832.1)+(-1.354152+(-0.14739--0.848742))+0-0-0</f>
        <v>639.34719999999993</v>
      </c>
      <c r="P193" s="3">
        <f>1431.3+(144.2-903.1)+(-2.189889+(-0.220626--1.381743))+0-0-0</f>
        <v>671.37122799999986</v>
      </c>
      <c r="Q193" s="3">
        <f>1442.3+(145.1-902.7)+(-1.471146+(-0.148002--0.920754))+0-0-0</f>
        <v>684.00160599999992</v>
      </c>
      <c r="R193" s="3">
        <f>1438+(157.4-927.2)+(-1.46676+(-0.160548--0.945744))+0-0-0</f>
        <v>667.51843599999995</v>
      </c>
      <c r="S193" s="3">
        <f>1436.8+(155.3-942.2)+(0+(0-0))+0-0-0</f>
        <v>649.89999999999986</v>
      </c>
      <c r="T193" s="3">
        <f>1423.5+(153.5-940.9)+(-1.45197+(-0.15657--0.959718))+0-0-0</f>
        <v>635.45117800000003</v>
      </c>
      <c r="U193" s="3">
        <f>1415.4+(154.8-950.9)+(-1.443708+(-0.157896--0.969918))+0-0-0</f>
        <v>618.66831400000024</v>
      </c>
      <c r="V193" s="3">
        <f>1404.9+(132.8-921.2)+(-2.865996+(-0.270912--1.879248))+0-0-0</f>
        <v>615.24234000000001</v>
      </c>
      <c r="W193" s="3">
        <f>1449.9+(66.4-883.6)+(0.739449+(0.033864-0.450636))+0-0-0</f>
        <v>633.02267700000004</v>
      </c>
      <c r="X193" s="3">
        <f>1467.5+(82.5-793.5)+(0.748425+(0.042075-0.404685))+0-0-0</f>
        <v>756.88581499999998</v>
      </c>
      <c r="Y193" s="3">
        <f>1511.8+(76.1-785.6)+(-3.084072+(-0.155244--1.602624))+0-0-0</f>
        <v>800.66330799999992</v>
      </c>
      <c r="Z193" s="3">
        <f>1513.1+(90.3-816.1)+(-0.771681+(-0.046053--0.416211))+0-0-0</f>
        <v>786.89847699999984</v>
      </c>
      <c r="AA193" s="3">
        <f>1440.5+(103.8-794.6)+(-2.203965+(-0.158814--1.215738))+0-0-0</f>
        <v>748.55295899999999</v>
      </c>
      <c r="AB193" s="3">
        <f>1344.5+(115.1-763.3)+(-2.74278+(-0.234804--1.557132))+0-0-0</f>
        <v>694.87954800000011</v>
      </c>
      <c r="AC193" s="3">
        <f>1330.6+(85.7-783.4)+(-2.714424+(-0.174828--1.598136))+0-0-0</f>
        <v>631.60888399999999</v>
      </c>
      <c r="AD193">
        <f t="shared" ref="AD193:AD256" si="3">SUM(F193:AC193)</f>
        <v>14899.779571000003</v>
      </c>
      <c r="AE193" s="3">
        <f>1489+(81.6-808.9)+(0+(0-0))+0-0-0</f>
        <v>761.7</v>
      </c>
    </row>
    <row r="194" spans="1:31" s="2" customFormat="1" x14ac:dyDescent="0.25">
      <c r="A194">
        <v>89</v>
      </c>
      <c r="B194">
        <v>7</v>
      </c>
      <c r="C194">
        <v>8</v>
      </c>
      <c r="D194">
        <v>6</v>
      </c>
      <c r="E194">
        <v>1</v>
      </c>
      <c r="F194" s="3">
        <f>1330.7+(99.9-865.9)+(-2.035971+(-0.152847--1.324827))+0-0-0</f>
        <v>563.83600899999999</v>
      </c>
      <c r="G194" s="3">
        <f>1326.4+(89.8-886.8)+(-2.705856+(-0.183192--1.809072))+0-0-0</f>
        <v>528.3200240000001</v>
      </c>
      <c r="H194" s="3">
        <f>1332.7+(58.5-886.7)+(-1.359354+(-0.05967--0.904434))+0-0-0</f>
        <v>503.98541</v>
      </c>
      <c r="I194" s="3">
        <f>1278+(67.2-857.9)+(-0.65178+(-0.034272--0.437529))+0-0-0</f>
        <v>487.05147700000009</v>
      </c>
      <c r="J194" s="3">
        <f>1012.8+(86.7-620.8)+(-1.033056+(-0.088434--0.633216))+0-0-0</f>
        <v>478.21172600000006</v>
      </c>
      <c r="K194" s="3">
        <f>1008.3+(69.4-601.2)+(-2.056932+(-0.141576--1.226448))+0-0-0</f>
        <v>475.52793999999989</v>
      </c>
      <c r="L194" s="3">
        <f>1018.5+(58-608.6)+(0+(0-0))+0-0-0</f>
        <v>467.9</v>
      </c>
      <c r="M194" s="3">
        <f>1015.9+(91-596)+(-0.518109+(-0.04641--0.30396))+0-0-0</f>
        <v>510.63944099999998</v>
      </c>
      <c r="N194" s="3">
        <f>1244.2+(56.7-719)+(-0.634542+(-0.028917--0.36669))+0-0-0</f>
        <v>581.60323100000005</v>
      </c>
      <c r="O194" s="3">
        <f>1366.4+(70-809.2)+(-2.090592+(-0.1071--1.238076))+0-0-0</f>
        <v>626.24038400000006</v>
      </c>
      <c r="P194" s="3">
        <f>1384.3+(136.6-856.1)+(-0.705993+(-0.069666--0.436611))+0-0-0</f>
        <v>664.46095199999991</v>
      </c>
      <c r="Q194" s="3">
        <f>1381.6+(140.2-839.2)+(-0.704616+(-0.071502--0.427992))+0-0-0</f>
        <v>682.25187399999993</v>
      </c>
      <c r="R194" s="3">
        <f>1373.8+(145.9-833.4)+(0+(0-0))+0-0-0</f>
        <v>686.3</v>
      </c>
      <c r="S194" s="3">
        <f>1365.2+(149.5-847.9)+(-0.696252+(-0.076245--0.432429))+0-0-0</f>
        <v>666.45993200000009</v>
      </c>
      <c r="T194" s="3">
        <f>1356.8+(156.3-869)+(-0.691968+(-0.079713--0.44319))+0-0-0</f>
        <v>643.77150899999992</v>
      </c>
      <c r="U194" s="3">
        <f>1352.8+(149.7-873)+(-0.689928+(-0.076347--0.44523))+0-0-0</f>
        <v>629.17895499999997</v>
      </c>
      <c r="V194" s="3">
        <f>1335.6+(130.7-846.7)+(-4.086936+(-0.399942--2.590902))+0-0-0</f>
        <v>617.70402399999989</v>
      </c>
      <c r="W194" s="3">
        <f>1380.2+(135-871)+(0.703902+(0.06885-0.44421))+0-0-0</f>
        <v>644.52854200000002</v>
      </c>
      <c r="X194" s="3">
        <f>1406.1+(94.3-739.5)+(0+(0-0))+0-0-0</f>
        <v>760.89999999999986</v>
      </c>
      <c r="Y194" s="3">
        <f>1431+(93.6-723.1)+(-2.91924+(-0.190944--1.475124))+0-0-0</f>
        <v>799.86494000000005</v>
      </c>
      <c r="Z194" s="3">
        <f>1429+(105.2-734.9)+(-2.91516+(-0.214608--1.499196))+0-0-0</f>
        <v>797.66942800000004</v>
      </c>
      <c r="AA194" s="3">
        <f>1334.4+(114.9-698.7)+(-1.361088+(-0.117198--0.712674))+0-0-0</f>
        <v>749.83438799999999</v>
      </c>
      <c r="AB194" s="3">
        <f>1325.7+(114.9-735.9)+(-2.028321+(-0.175797--1.125927))+0-0-0</f>
        <v>703.6218090000001</v>
      </c>
      <c r="AC194" s="3">
        <f>1318.6+(64.9-739.8)+(-3.36243+(-0.165495--1.88649))+0-0-0</f>
        <v>642.05856499999993</v>
      </c>
      <c r="AD194">
        <f t="shared" si="3"/>
        <v>14911.920559999997</v>
      </c>
      <c r="AE194" s="3">
        <f>1415+(94.5-765.8)+(0+(0-0))+0-0-0</f>
        <v>743.7</v>
      </c>
    </row>
    <row r="195" spans="1:31" s="2" customFormat="1" x14ac:dyDescent="0.25">
      <c r="A195">
        <v>89</v>
      </c>
      <c r="B195">
        <v>7</v>
      </c>
      <c r="C195">
        <v>9</v>
      </c>
      <c r="D195">
        <v>7</v>
      </c>
      <c r="E195">
        <v>1</v>
      </c>
      <c r="F195" s="3">
        <f>1277.9+(68.4-759.7)+(-0.651729+(-0.034884--0.387447))+0-0-0</f>
        <v>586.30083400000001</v>
      </c>
      <c r="G195" s="3">
        <f>1200.3+(84.3-742.3)+(-3.060765+(-0.214965--1.892865))+0-0-0</f>
        <v>540.91713499999992</v>
      </c>
      <c r="H195" s="3">
        <f>1099.3+(101.1-690.2)+(0+(0-0))+0-0-0</f>
        <v>510.19999999999993</v>
      </c>
      <c r="I195" s="3">
        <f>905.4+(156.2-574.1)+(-1.847016+(-0.318648--1.171164))+0-0-0</f>
        <v>486.50549999999993</v>
      </c>
      <c r="J195" s="3">
        <f>889.3+(106.3-522.9)+(-1.360629+(-0.162639--0.800037))+0-0-0</f>
        <v>471.97676899999999</v>
      </c>
      <c r="K195" s="3">
        <f>887.4+(102.1-525)+(-2.26287+(-0.260355--1.33875))+0-0-0</f>
        <v>463.31552499999998</v>
      </c>
      <c r="L195" s="3">
        <f>892.3+(100.2-558.9)+(-1.365219+(-0.153306--0.855117))+0-0-0</f>
        <v>432.93659199999996</v>
      </c>
      <c r="M195" s="3">
        <f>891.9+(87.2-533.2)+(-1.364607+(-0.133416--0.815796))+0-0-0</f>
        <v>445.21777299999991</v>
      </c>
      <c r="N195" s="3">
        <f>1160.7+(21.7-687.2)+(-0.591957+(-0.011067--0.350472))+0-0-0</f>
        <v>494.94744800000007</v>
      </c>
      <c r="O195" s="3">
        <f>1210.9+(26.8-684)+(-1.235118+(-0.027336--0.69768))+0-0-0</f>
        <v>553.13522599999999</v>
      </c>
      <c r="P195" s="3">
        <f>1206.7+(63.5-676.1)+(-0.615417+(-0.032385--0.344811))+0-0-0</f>
        <v>593.797009</v>
      </c>
      <c r="Q195" s="3">
        <f>1193.5+(66.6-632.6)+(-1.21737+(-0.067932--0.645252))+0-0-0</f>
        <v>626.85995000000003</v>
      </c>
      <c r="R195" s="3">
        <f>1176.6+(74.5-617.6)+(-1.800198+(-0.113985--0.944928))+0-0-0</f>
        <v>632.53074499999991</v>
      </c>
      <c r="S195" s="3">
        <f>1160.8+(70.4-615.8)+(-1.776024+(-0.107712--0.942174))+0-0-0</f>
        <v>614.458438</v>
      </c>
      <c r="T195" s="3">
        <f>1149.3+(55.8-617.4)+(-2.930715+(-0.14229--1.57437))+0-0-0</f>
        <v>586.2013649999999</v>
      </c>
      <c r="U195" s="3">
        <f>1157.2+(56.2-644.8)+(-1.770516+(-0.085986--0.986544))+0-0-0</f>
        <v>567.73004200000014</v>
      </c>
      <c r="V195" s="3">
        <f>1158.7+(13.3-626.9)+(-1.772811+(-0.020349--0.959157))+0-0-0</f>
        <v>544.26599699999997</v>
      </c>
      <c r="W195" s="3">
        <f>1173.6+(14.4-628.9)+(0+(0-0))+0-0-0</f>
        <v>559.09999999999991</v>
      </c>
      <c r="X195" s="3">
        <f>1237.2+(61.8-624.3)+(-0.630972+(-0.031518--0.318393))+0-0-0</f>
        <v>674.35590300000001</v>
      </c>
      <c r="Y195" s="3">
        <f>1244.8+(100.9-643.6)+(-1.269696+(-0.102918--0.656472))+0-0-0</f>
        <v>701.38385799999992</v>
      </c>
      <c r="Z195" s="3">
        <f>1234.4+(89-632.9)+(-2.518176+(-0.18156--1.291116))+0-0-0</f>
        <v>689.09138000000007</v>
      </c>
      <c r="AA195" s="3">
        <f>1256+(73.4-649.4)+(-1.92168+(-0.112302--0.993582))+0-0-0</f>
        <v>678.95960000000002</v>
      </c>
      <c r="AB195" s="3">
        <f>1272.6+(52.5-696.9)+(-3.24513+(-0.133875--1.777095))+0-0-0</f>
        <v>626.59808999999996</v>
      </c>
      <c r="AC195" s="3">
        <f>1321.6+(43-800.8)+(-3.37008+(-0.10965--2.04204))+0-0-0</f>
        <v>562.36230999999998</v>
      </c>
      <c r="AD195">
        <f t="shared" si="3"/>
        <v>13643.147488999999</v>
      </c>
      <c r="AE195" s="3">
        <f>1267+(92.8-691.6)+(0+(0-0))+0-0-0</f>
        <v>668.19999999999993</v>
      </c>
    </row>
    <row r="196" spans="1:31" s="2" customFormat="1" x14ac:dyDescent="0.25">
      <c r="A196">
        <v>89</v>
      </c>
      <c r="B196">
        <v>7</v>
      </c>
      <c r="C196">
        <v>10</v>
      </c>
      <c r="D196">
        <v>1</v>
      </c>
      <c r="E196">
        <v>1</v>
      </c>
      <c r="F196" s="3">
        <f>1338.7+(73.9-893.3)+(-4.096422+(-0.226134--2.733498))+0-0-0</f>
        <v>517.71094200000005</v>
      </c>
      <c r="G196" s="3">
        <f>1346.7+(36.4-900.8)+(-2.060451+(-0.055692--1.378224))+0-0-0</f>
        <v>481.56208100000009</v>
      </c>
      <c r="H196" s="3">
        <f>1340.1+(29.3-898.8)+(-3.417255+(-0.074715--2.29194))+0-0-0</f>
        <v>469.39996999999988</v>
      </c>
      <c r="I196" s="3">
        <f>1320.3+(30.8-889.4)+(-0.673353+(-0.015708--0.453594))+0-0-0</f>
        <v>461.4645329999999</v>
      </c>
      <c r="J196" s="3">
        <f>1243+(34.3-828)+(-1.26786+(-0.034986--0.84456))+0-0-0</f>
        <v>448.84171399999997</v>
      </c>
      <c r="K196" s="3">
        <f>1073.5+(39.1-657.9)+(-2.18994+(-0.079764--1.342116))+0-0-0</f>
        <v>453.77241200000003</v>
      </c>
      <c r="L196" s="3">
        <f>1029.8+(40.6-611.7)+(0.525198+(0.020706-0.311967))+0-0-0</f>
        <v>458.93393699999996</v>
      </c>
      <c r="M196" s="3">
        <f>1025.2+(80-591.8)+(-0.522852+(-0.0408--0.301818))+0-0-0</f>
        <v>513.13816600000007</v>
      </c>
      <c r="N196" s="3">
        <f>1102.9+(97.3-647.5)+(-0.562479+(-0.049623--0.330225))+0-0-0</f>
        <v>552.41812300000004</v>
      </c>
      <c r="O196" s="3">
        <f>1302.7+(142.5-820.6)+(-0.664377+(-0.072675--0.418506))+0-0-0</f>
        <v>624.28145400000005</v>
      </c>
      <c r="P196" s="3">
        <f>1345.2+(161.5-864.8)+(0+(0-0))+0-0-0</f>
        <v>641.90000000000009</v>
      </c>
      <c r="Q196" s="3">
        <f>1347.9+(157.6-864.2)+(0.687429+(0.080376-0.440742))+0-0-0</f>
        <v>641.62706300000002</v>
      </c>
      <c r="R196" s="3">
        <f>1346.6+(166.9-896.1)+(0+(0-0))+0-0-0</f>
        <v>617.39999999999986</v>
      </c>
      <c r="S196" s="3">
        <f>1349+(177.3-912.5)+(0+(0-0))+0-0-0</f>
        <v>613.79999999999995</v>
      </c>
      <c r="T196" s="3">
        <f>1377.2+(198.1-974.4)+(-2.809488+(-0.404124--1.987776))+0-0-0</f>
        <v>599.67416400000013</v>
      </c>
      <c r="U196" s="3">
        <f>1336.5+(200.3-943.1)+(-4.08969+(-0.612918--2.885886))+0-0-0</f>
        <v>591.88327800000002</v>
      </c>
      <c r="V196" s="3">
        <f>1295+(176.5-872.9)+(-3.30225+(-0.450075--2.225895))+0-0-0</f>
        <v>597.07357000000002</v>
      </c>
      <c r="W196" s="3">
        <f>1240.1+(194.9-788.3)+(1.897353+(0.298197-1.206099))+0-0-0</f>
        <v>647.68945099999996</v>
      </c>
      <c r="X196" s="3">
        <f>1383.4+(106.3-733.7)+(-0.705534+(-0.054213--0.374187))+0-0-0</f>
        <v>755.61443999999995</v>
      </c>
      <c r="Y196" s="3">
        <f>1451.5+(69.5-754.3)+(-3.701325+(-0.177225--1.923465))+0-0-0</f>
        <v>764.74491499999999</v>
      </c>
      <c r="Z196" s="3">
        <f>1453.1+(77.9-781.6)+(-2.223243+(-0.119187--1.195848))+0-0-0</f>
        <v>748.2534179999999</v>
      </c>
      <c r="AA196" s="3">
        <f>1441.5+(76.3-803.7)+(-2.94066+(-0.155652--1.639548))+0-0-0</f>
        <v>712.64323599999989</v>
      </c>
      <c r="AB196" s="3">
        <f>1402.3+(57.9-795.1)+(-2.860692+(-0.118116--1.622004))+0-0-0</f>
        <v>663.7431959999999</v>
      </c>
      <c r="AC196" s="3">
        <f>1396.4+(44.9-824.1)+(-4.272984+(-0.137394--2.521746))+0-0-0</f>
        <v>615.31136800000002</v>
      </c>
      <c r="AD196">
        <f t="shared" si="3"/>
        <v>14192.881431</v>
      </c>
      <c r="AE196" s="3">
        <f>1451+(71.6-788.7)+(0+(0-0))+0-0-0</f>
        <v>733.9</v>
      </c>
    </row>
    <row r="197" spans="1:31" s="2" customFormat="1" x14ac:dyDescent="0.25">
      <c r="A197">
        <v>89</v>
      </c>
      <c r="B197">
        <v>7</v>
      </c>
      <c r="C197">
        <v>11</v>
      </c>
      <c r="D197">
        <v>2</v>
      </c>
      <c r="E197">
        <v>1</v>
      </c>
      <c r="F197" s="3">
        <f>1292.8+(68.7-803.5)+(-1.318656+(-0.070074--0.81957))+0-0-0</f>
        <v>557.43083999999999</v>
      </c>
      <c r="G197" s="3">
        <f>1177.5+(93.3-748.4)+(-0.600525+(-0.047583--0.381684))+0-0-0</f>
        <v>522.13357599999995</v>
      </c>
      <c r="H197" s="3">
        <f>1164.7+(97.8-756.6)+(-2.969985+(-0.24939--1.92933))+0-0-0</f>
        <v>504.60995499999996</v>
      </c>
      <c r="I197" s="3">
        <f>1171.6+(99.3-772)+(-1.195032+(-0.101286--0.78744))+0-0-0</f>
        <v>498.39112199999988</v>
      </c>
      <c r="J197" s="3">
        <f>1174.9+(62.4-742.9)+(0+(0-0))+0-0-0</f>
        <v>494.40000000000009</v>
      </c>
      <c r="K197" s="3">
        <f>1175.4+(30.8-711.5)+(-0.599454+(-0.015708--0.362865))+0-0-0</f>
        <v>494.44770300000005</v>
      </c>
      <c r="L197" s="3">
        <f>1179.1+(23.9-726.4)+(0.601341+(0.012189-0.370464))+0-0-0</f>
        <v>476.84306599999991</v>
      </c>
      <c r="M197" s="3">
        <f>1176.1+(26.8-675)+(-0.599811+(-0.013668--0.34425))+0-0-0</f>
        <v>527.63077099999987</v>
      </c>
      <c r="N197" s="3">
        <f>1182.9+(81.5-653.9)+(0.603279+(0.041565-0.333489))+0-0-0</f>
        <v>610.81135500000016</v>
      </c>
      <c r="O197" s="3">
        <f>1234.2+(157.3-731)+(-1.258884+(-0.160446--0.74562))+0-0-0</f>
        <v>659.82628999999997</v>
      </c>
      <c r="P197" s="3">
        <f>1335.8+(148.3-794.8)+(-1.362516+(-0.151266--0.810696))+0-0-0</f>
        <v>688.59691399999997</v>
      </c>
      <c r="Q197" s="3">
        <f>1335.3+(157.4-781)+(0.681003+(0.080274-0.39831))+0-0-0</f>
        <v>712.06296699999996</v>
      </c>
      <c r="R197" s="3">
        <f>1319.1+(170.8-775.5)+(-0.672741+(-0.087108--0.395505))+0-0-0</f>
        <v>714.0356559999999</v>
      </c>
      <c r="S197" s="3">
        <f>1317+(185.1-782.5)+(0.67167+(0.094401-0.399075))+0-0-0</f>
        <v>719.96699599999999</v>
      </c>
      <c r="T197" s="3">
        <f>1287.6+(198.4-786.4)+(-1.970028+(-0.303552--1.203192))+0-0-0</f>
        <v>698.52961199999993</v>
      </c>
      <c r="U197" s="3">
        <f>1276.4+(191.7-804.9)+(-3.25482+(-0.488835--2.052495))+0-0-0</f>
        <v>661.50884000000008</v>
      </c>
      <c r="V197" s="3">
        <f>1283.8+(175.9-814.9)+(-1.964214+(-0.269127--1.246797))+0-0-0</f>
        <v>643.81345599999997</v>
      </c>
      <c r="W197" s="3">
        <f>1301.7+(131.6-774.8)+(-3.319335+(-0.33558--1.97574))+0-0-0</f>
        <v>656.82082500000013</v>
      </c>
      <c r="X197" s="3">
        <f>1360.4+(123.7-693.2)+(-1.387608+(-0.126174--0.707064))+0-0-0</f>
        <v>790.09328200000004</v>
      </c>
      <c r="Y197" s="3">
        <f>1416.8+(114.1-726.1)+(-2.167704+(-0.174573--1.110933))+0-0-0</f>
        <v>803.56865599999992</v>
      </c>
      <c r="Z197" s="3">
        <f>1418.2+(123.7-753.8)+(-2.893128+(-0.252348--1.537752))+0-0-0</f>
        <v>786.49227600000017</v>
      </c>
      <c r="AA197" s="3">
        <f>1393.2+(108.9-756.8)+(-2.842128+(-0.222156--1.543872))+0-0-0</f>
        <v>743.7795880000001</v>
      </c>
      <c r="AB197" s="3">
        <f>1366.2+(101.6-783.5)+(-3.48381+(-0.25908--1.997925))+0-0-0</f>
        <v>682.55503500000009</v>
      </c>
      <c r="AC197" s="3">
        <f>1330.6+(52.2-764.4)+(-2.035818+(-0.079866--1.169532))+0-0-0</f>
        <v>617.45384799999999</v>
      </c>
      <c r="AD197">
        <f t="shared" si="3"/>
        <v>15265.802628999998</v>
      </c>
      <c r="AE197" s="3">
        <f>1390+(108-731.5)+(0+(0-0))+0-0-0</f>
        <v>766.5</v>
      </c>
    </row>
    <row r="198" spans="1:31" s="2" customFormat="1" x14ac:dyDescent="0.25">
      <c r="A198">
        <v>89</v>
      </c>
      <c r="B198">
        <v>7</v>
      </c>
      <c r="C198">
        <v>12</v>
      </c>
      <c r="D198">
        <v>3</v>
      </c>
      <c r="E198">
        <v>5</v>
      </c>
      <c r="F198" s="3">
        <f>1306.2+(32.6-777.2)+(-1.332324+(-0.033252--0.792744))+0-0-0</f>
        <v>561.02716800000007</v>
      </c>
      <c r="G198" s="3">
        <f>1257.3+(45.7-759.8)+(-1.282446+(-0.046614--0.774996))+0-0-0</f>
        <v>542.64593600000001</v>
      </c>
      <c r="H198" s="3">
        <f>1109.5+(60.9-658.4)+(-2.829225+(-0.155295--1.67892))+0-0-0</f>
        <v>510.69439999999997</v>
      </c>
      <c r="I198" s="3">
        <f>994.2+(59.7-557.5)+(1.014084+(0.060894-0.56865))+0-0-0</f>
        <v>496.90632800000003</v>
      </c>
      <c r="J198" s="3">
        <f>1018.1+(48.8-581.8)+(-0.519231+(-0.024888--0.296718))+0-0-0</f>
        <v>484.852599</v>
      </c>
      <c r="K198" s="3">
        <f>1059.8+(40.1-618.1)+(-1.080996+(-0.040902--0.630462))+0-0-0</f>
        <v>481.30856399999993</v>
      </c>
      <c r="L198" s="3">
        <f>1010.5+(26.3-596.5)+(-2.06142+(-0.053652--1.21686))+0-0-0</f>
        <v>439.40178799999995</v>
      </c>
      <c r="M198" s="3">
        <f>1019+(22.6-601.5)+(1.03938+(0.023052-0.61353))+0-0-0</f>
        <v>440.548902</v>
      </c>
      <c r="N198" s="3">
        <f>1149.7+(7-659.2)+(0+(0-0))+0-0-0</f>
        <v>497.5</v>
      </c>
      <c r="O198" s="3">
        <f>1287+(8.6-746.4)+(-1.96911+(-0.013158--1.141992))+0-0-0</f>
        <v>548.35972400000003</v>
      </c>
      <c r="P198" s="3">
        <f>1305.3+(40-769.7)+(0+(0-0))+0-0-0</f>
        <v>575.59999999999991</v>
      </c>
      <c r="Q198" s="3">
        <f>1293.8+(61.6-752.9)+(0+(0-0))+0-0-0</f>
        <v>602.5</v>
      </c>
      <c r="R198" s="3">
        <f>1275.5+(115.7-797)+(-1.30101+(-0.118014--0.81294))+0-0-0</f>
        <v>593.59391600000004</v>
      </c>
      <c r="S198" s="3">
        <f>1288.3+(94.4-818.4)+(1.314066+(0.096288-0.834768))+0-0-0</f>
        <v>564.875586</v>
      </c>
      <c r="T198" s="3">
        <f>1271+(89-812.5)+(-1.94463+(-0.13617--1.243125))+0-0-0</f>
        <v>546.66232500000001</v>
      </c>
      <c r="U198" s="3">
        <f>1262.2+(78.6-796.2)+(-3.862332+(-0.240516--2.436372))+0-0-0</f>
        <v>542.93352400000003</v>
      </c>
      <c r="V198" s="3">
        <f>1266.5+(45.9-750.2)+(-3.229575+(-0.117045--1.91301))+0-0-0</f>
        <v>560.76638999999989</v>
      </c>
      <c r="W198" s="3">
        <f>1348.4+(49.9-779.7)+(0+(0-0))+0-0-0</f>
        <v>618.6</v>
      </c>
      <c r="X198" s="3">
        <f>1385.7+(58.1-732.3)+(-2.120121+(-0.088893--1.120419))+0-0-0</f>
        <v>710.41140500000006</v>
      </c>
      <c r="Y198" s="3">
        <f>1394.8+(43.9-727.3)+(-2.134044+(-0.067167--1.112769))+0-0-0</f>
        <v>710.31155799999999</v>
      </c>
      <c r="Z198" s="3">
        <f>1375.4+(55.1-736.2)+(-2.104362+(-0.084303--1.126386))+0-0-0</f>
        <v>693.23772100000008</v>
      </c>
      <c r="AA198" s="3">
        <f>1363.5+(47.1-753)+(-3.476925+(-0.120105--1.92015))+0-0-0</f>
        <v>655.92312000000004</v>
      </c>
      <c r="AB198" s="3">
        <f>1336.3+(49.5-774.9)+(-2.044539+(-0.075735--1.185597))+0-0-0</f>
        <v>609.96532300000001</v>
      </c>
      <c r="AC198" s="3">
        <f>1296.8+(76.3-809.6)+(-1.984104+(-0.116739--1.238688))+0-0-0</f>
        <v>562.63784499999986</v>
      </c>
      <c r="AD198">
        <f t="shared" si="3"/>
        <v>13551.264121999999</v>
      </c>
      <c r="AE198" s="3">
        <f>1374+(46-751)+(0+(0-0))+0-0-0</f>
        <v>669</v>
      </c>
    </row>
    <row r="199" spans="1:31" s="2" customFormat="1" x14ac:dyDescent="0.25">
      <c r="A199">
        <v>89</v>
      </c>
      <c r="B199">
        <v>7</v>
      </c>
      <c r="C199">
        <v>13</v>
      </c>
      <c r="D199">
        <v>4</v>
      </c>
      <c r="E199">
        <v>1</v>
      </c>
      <c r="F199" s="3">
        <f>1310.6+(100.9-904.9)+(0+(0-0))+0-0-0</f>
        <v>506.59999999999991</v>
      </c>
      <c r="G199" s="3">
        <f>1281.3+(110.5-925.2)+(-0.653463+(-0.056355--0.471852))+0-0-0</f>
        <v>466.36203399999994</v>
      </c>
      <c r="H199" s="3">
        <f>1134.5+(128.8-802.1)+(0.578595+(0.065688-0.409071))+0-0-0</f>
        <v>461.43521200000004</v>
      </c>
      <c r="I199" s="3">
        <f>1031.1+(141-718)+(2.103444+(0.28764-1.46472))+0-0-0</f>
        <v>455.02636399999989</v>
      </c>
      <c r="J199" s="3">
        <f>1016.6+(134.1-706.5)+(-1.555398+(-0.205173--1.080945))+0-0-0</f>
        <v>443.52037400000006</v>
      </c>
      <c r="K199" s="3">
        <f>1015.7+(96.7-667.6)+(-1.554021+(-0.147951--1.021428))+0-0-0</f>
        <v>444.11945600000007</v>
      </c>
      <c r="L199" s="3">
        <f>1024+(65.7-646.1)+(0+(0-0))+0-0-0</f>
        <v>443.6</v>
      </c>
      <c r="M199" s="3">
        <f>1297.1+(23.3-821.9)+(0.661521+(0.011883-0.419169))+0-0-0</f>
        <v>498.75423499999988</v>
      </c>
      <c r="N199" s="3">
        <f>1375.6+(58.2-872.4)+(0+(0-0))+0-0-0</f>
        <v>561.4</v>
      </c>
      <c r="O199" s="3">
        <f>1366.8+(66.7-831.2)+(-2.091204+(-0.102051--1.271736))+0-0-0</f>
        <v>601.37848099999997</v>
      </c>
      <c r="P199" s="3">
        <f>1377.4+(99.2-854.7)+(0.702474+(0.050592-0.435897))+0-0-0</f>
        <v>622.21716900000013</v>
      </c>
      <c r="Q199" s="3">
        <f>1363.3+(124.4-877.4)+(0+(0-0))+0-0-0</f>
        <v>610.29999999999995</v>
      </c>
      <c r="R199" s="3">
        <f>1354.3+(134.4-899.5)+(-0.690693+(-0.068544--0.458745))+0-0-0</f>
        <v>588.89950799999997</v>
      </c>
      <c r="S199" s="3">
        <f>1362.5+(148-934.3)+(2.084625+(0.22644-1.429479))+0-0-0</f>
        <v>577.08158600000002</v>
      </c>
      <c r="T199" s="3">
        <f>1347.3+(128.4-919.1)+(-0.687123+(-0.065484--0.468741))+0-0-0</f>
        <v>556.31613399999992</v>
      </c>
      <c r="U199" s="3">
        <f>1340.3+(129.8-926.7)+(-2.734212+(-0.264792--1.890468))+0-0-0</f>
        <v>542.29146399999991</v>
      </c>
      <c r="V199" s="3">
        <f>1346+(140.5-919.8)+(-2.05938+(-0.214965--1.407294))+0-0-0</f>
        <v>565.8329490000001</v>
      </c>
      <c r="W199" s="3">
        <f>1383.6+(188.3-951.7)+(-2.116908+(-0.288099--1.456101))+0-0-0</f>
        <v>619.25109399999985</v>
      </c>
      <c r="X199" s="3">
        <f>1437.2+(139-866.8)+(0.732972+(0.07089-0.442068))+0-0-0</f>
        <v>709.76179400000012</v>
      </c>
      <c r="Y199" s="3">
        <f>1425.2+(130.4-840.6)+(-2.907408+(-0.266016--1.714824))+0-0-0</f>
        <v>713.54139999999995</v>
      </c>
      <c r="Z199" s="3">
        <f>1436.1+(139.1-875.3)+(0.732411+(0.070941-0.446403))+0-0-0</f>
        <v>700.25694899999996</v>
      </c>
      <c r="AA199" s="3">
        <f>1426.5+(78.7-853.5)+(-2.182545+(-0.120411--1.305855))+0-0-0</f>
        <v>650.702899</v>
      </c>
      <c r="AB199" s="3">
        <f>1370.1+(50.4-862.3)+(-2.795004+(-0.102816--1.759092))+0-0-0</f>
        <v>557.06127199999992</v>
      </c>
      <c r="AC199" s="3">
        <f>1379.9+(42.4-889.7)+(-1.407498+(-0.043248--0.907494))+0-0-0</f>
        <v>532.05674799999997</v>
      </c>
      <c r="AD199">
        <f t="shared" si="3"/>
        <v>13427.767121999997</v>
      </c>
      <c r="AE199" s="3">
        <f>1431+(131.3-885.9)+(0+(0-0))+0-0-0</f>
        <v>676.40000000000009</v>
      </c>
    </row>
    <row r="200" spans="1:31" s="2" customFormat="1" x14ac:dyDescent="0.25">
      <c r="A200">
        <v>89</v>
      </c>
      <c r="B200">
        <v>7</v>
      </c>
      <c r="C200">
        <v>14</v>
      </c>
      <c r="D200">
        <v>5</v>
      </c>
      <c r="E200">
        <v>1</v>
      </c>
      <c r="F200" s="3">
        <f>1376.3+(40.5-936.3)+(-1.403826+(-0.04131--0.955026))+0-0-0</f>
        <v>480.00988999999998</v>
      </c>
      <c r="G200" s="3">
        <f>1374.5+(86.9-1014)+(-0.700995+(-0.044319--0.51714))+0-0-0</f>
        <v>447.17182599999995</v>
      </c>
      <c r="H200" s="3">
        <f>1254.6+(121-941.5)+(-1.919538+(-0.18513--1.440495))+0-0-0</f>
        <v>433.4358269999999</v>
      </c>
      <c r="I200" s="3">
        <f>1250.8+(125.6-949.9)+(-1.275816+(-0.128112--0.968898))+0-0-0</f>
        <v>426.06497000000002</v>
      </c>
      <c r="J200" s="3">
        <f>1082.2+(142.1-796.9)+(-0.551922+(-0.072471--0.406419))+0-0-0</f>
        <v>427.18202600000006</v>
      </c>
      <c r="K200" s="3">
        <f>1004.1+(139.4-722.1)+(-2.048364+(-0.284376--1.473084))+0-0-0</f>
        <v>420.540344</v>
      </c>
      <c r="L200" s="3">
        <f>1012.6+(51.7-653)+(-0.516426+(-0.026367--0.33303))+0-0-0</f>
        <v>411.09023700000006</v>
      </c>
      <c r="M200" s="3">
        <f>1017.8+(46.8-612.9)+(0.519078+(0.023868-0.312579))+0-0-0</f>
        <v>451.93036699999993</v>
      </c>
      <c r="N200" s="3">
        <f>1020.3+(71.4-584.9)+(1.040706+(0.072828-0.596598))+0-0-0</f>
        <v>507.31693599999994</v>
      </c>
      <c r="O200" s="3">
        <f>1216.5+(74.1-741.4)+(-0.620415+(-0.037791--0.378114))+0-0-0</f>
        <v>548.91990800000008</v>
      </c>
      <c r="P200" s="3">
        <f>1340+(50.5-819.7)+(-2.0502+(-0.077265--1.254141))+0-0-0</f>
        <v>569.92667599999993</v>
      </c>
      <c r="Q200" s="3">
        <f>1351.7+(82.7-860.7)+(0+(0-0))+0-0-0</f>
        <v>573.70000000000005</v>
      </c>
      <c r="R200" s="3">
        <f>1353.7+(105.6-903.7)+(0.690387+(0.053856-0.460887))+0-0-0</f>
        <v>555.88335600000005</v>
      </c>
      <c r="S200" s="3">
        <f>1357+(100.6-915.4)+(0.69207+(0.051306-0.466854))+0-0-0</f>
        <v>542.47652200000005</v>
      </c>
      <c r="T200" s="3">
        <f>1340+(122.2-931.9)+(-3.417+(-0.31161--2.376345))+0-0-0</f>
        <v>528.94773500000008</v>
      </c>
      <c r="U200" s="3">
        <f>1350.9+(117.6-936.5)+(-1.377918+(-0.119952--0.95523))+0-0-0</f>
        <v>531.45736000000011</v>
      </c>
      <c r="V200" s="3">
        <f>1357+(115.6-921.1)+(-2.76828+(-0.235824--1.879044))+0-0-0</f>
        <v>550.37494000000004</v>
      </c>
      <c r="W200" s="3">
        <f>1387.8+(135.4-916.5)+(-0.707778+(-0.069054--0.467415))+0-0-0</f>
        <v>606.39058299999988</v>
      </c>
      <c r="X200" s="3">
        <f>1399.1+(124.6-823.5)+(-1.427082+(-0.127092--0.83997))+0-0-0</f>
        <v>699.48579599999994</v>
      </c>
      <c r="Y200" s="3">
        <f>1453.7+(71.3-824.9)+(-2.965548+(-0.145452--1.682796))+0-0-0</f>
        <v>698.67179599999997</v>
      </c>
      <c r="Z200" s="3">
        <f>1446.5+(49.7-809.3)+(-1.47543+(-0.050694--0.825486))+0-0-0</f>
        <v>686.19936200000006</v>
      </c>
      <c r="AA200" s="3">
        <f>1428.4+(41.7-821.1)+(-5.099388+(-0.148869--2.931327))+0-0-0</f>
        <v>646.68307000000016</v>
      </c>
      <c r="AB200" s="3">
        <f>1418.6+(61.4-876.1)+(-1.446972+(-0.062628--0.893622))+0-0-0</f>
        <v>603.28402199999982</v>
      </c>
      <c r="AC200" s="3">
        <f>1268.5+(103-834.3)+(-2.58774+(-0.21012--1.701972))+0-0-0</f>
        <v>536.1041120000001</v>
      </c>
      <c r="AD200">
        <f t="shared" si="3"/>
        <v>12883.247661000001</v>
      </c>
      <c r="AE200" s="3">
        <f>1406+(108.1-860)+(0+(0-0))+0-0-0</f>
        <v>654.1</v>
      </c>
    </row>
    <row r="201" spans="1:31" s="2" customFormat="1" x14ac:dyDescent="0.25">
      <c r="A201">
        <v>89</v>
      </c>
      <c r="B201">
        <v>7</v>
      </c>
      <c r="C201">
        <v>15</v>
      </c>
      <c r="D201">
        <v>6</v>
      </c>
      <c r="E201">
        <v>1</v>
      </c>
      <c r="F201" s="3">
        <f>1006.4+(137.5-674.8)+(-1.539792+(-0.210375--1.032444))+0-0-0</f>
        <v>468.38227700000004</v>
      </c>
      <c r="G201" s="3">
        <f>1011.4+(141.1-710.1)+(-0.515814+(-0.071961--0.362151))+0-0-0</f>
        <v>442.174376</v>
      </c>
      <c r="H201" s="3">
        <f>1002.9+(150.2-723.4)+(-1.534437+(-0.229806--1.106802))+0-0-0</f>
        <v>429.04255899999993</v>
      </c>
      <c r="I201" s="3">
        <f>1000.2+(152.7-728.1)+(-2.55051+(-0.389385--1.856655))+0-0-0</f>
        <v>423.71675999999997</v>
      </c>
      <c r="J201" s="3">
        <f>1010+(144.4-731.1)+(-0.5151+(-0.073644--0.372861))+0-0-0</f>
        <v>423.08411699999994</v>
      </c>
      <c r="K201" s="3">
        <f>1005.3+(134-707.3)+(-1.538109+(-0.20502--1.082169))+0-0-0</f>
        <v>431.33904000000001</v>
      </c>
      <c r="L201" s="3">
        <f>1016.7+(25.6-624.4)+(1.037034+(0.026112-0.636888))+0-0-0</f>
        <v>418.32625800000011</v>
      </c>
      <c r="M201" s="3">
        <f>1015.2+(49-615.4)+(0.517752+(0.02499-0.313854))+0-0-0</f>
        <v>449.02888800000005</v>
      </c>
      <c r="N201" s="3">
        <f>1111.3+(62.8-659.7)+(-0.566763+(-0.032028--0.336447))+0-0-0</f>
        <v>514.13765599999988</v>
      </c>
      <c r="O201" s="3">
        <f>1335.1+(57.5-833)+(0+(0-0))+0-0-0</f>
        <v>559.59999999999991</v>
      </c>
      <c r="P201" s="3">
        <f>1375.4+(92.6-899.6)+(-0.701454+(-0.047226--0.458796))+0-0-0</f>
        <v>568.11011600000006</v>
      </c>
      <c r="Q201" s="3">
        <f>1378.8+(133.3-933.6)+(-0.703188+(-0.067983--0.476136))+0-0-0</f>
        <v>578.20496500000002</v>
      </c>
      <c r="R201" s="3">
        <f>1354.9+(170.8-965.6)+(-2.072997+(-0.261324--1.477368))+0-0-0</f>
        <v>559.24304700000016</v>
      </c>
      <c r="S201" s="3">
        <f>1278.8+(154.9-897.7)+(-1.304376+(-0.157998--0.915654))+0-0-0</f>
        <v>535.45327999999984</v>
      </c>
      <c r="T201" s="3">
        <f>1270.5+(130.2-869.1)+(-2.59182+(-0.265608--1.772964))+0-0-0</f>
        <v>530.51553599999988</v>
      </c>
      <c r="U201" s="3">
        <f>1262.4+(121.6-857.2)+(-4.506768+(-0.434112--3.060204))+0-0-0</f>
        <v>524.91932400000007</v>
      </c>
      <c r="V201" s="3">
        <f>1257+(103.3-852.7)+(-1.28214+(-0.105366--0.869754))+0-0-0</f>
        <v>507.08224799999994</v>
      </c>
      <c r="W201" s="3">
        <f>1281.4+(108.8-781.4)+(-1.307028+(-0.110976--0.797028))+0-0-0</f>
        <v>608.17902400000003</v>
      </c>
      <c r="X201" s="3">
        <f>1395.8+(113.8-807)+(-2.135574+(-0.174114--1.23471))+0-0-0</f>
        <v>701.52502199999992</v>
      </c>
      <c r="Y201" s="3">
        <f>1417.4+(76.1-802.8)+(-2.168622+(-0.116433--1.228284))+0-0-0</f>
        <v>689.64322900000013</v>
      </c>
      <c r="Z201" s="3">
        <f>1430.5+(51.5-792.1)+(0.729555+(0.026265-0.403971))+0-0-0</f>
        <v>690.25184899999999</v>
      </c>
      <c r="AA201" s="3">
        <f>1416.5+(25.5-809)+(-2.88966+(-0.05202--1.65036))+0-0-0</f>
        <v>631.70867999999996</v>
      </c>
      <c r="AB201" s="3">
        <f>1419.3+(26.1-840)+(-1.447686+(-0.026622--0.8568))+0-0-0</f>
        <v>604.78249199999993</v>
      </c>
      <c r="AC201" s="3">
        <f>1412.8+(19-875.2)+(-2.882112+(-0.03876--1.785408))+0-0-0</f>
        <v>555.46453599999995</v>
      </c>
      <c r="AD201">
        <f t="shared" si="3"/>
        <v>12843.915278999999</v>
      </c>
      <c r="AE201" s="3">
        <f>1425+(97.8-855.8)+(0+(0-0))+0-0-0</f>
        <v>667</v>
      </c>
    </row>
    <row r="202" spans="1:31" s="2" customFormat="1" x14ac:dyDescent="0.25">
      <c r="A202">
        <v>89</v>
      </c>
      <c r="B202">
        <v>7</v>
      </c>
      <c r="C202">
        <v>16</v>
      </c>
      <c r="D202">
        <v>7</v>
      </c>
      <c r="E202">
        <v>1</v>
      </c>
      <c r="F202" s="3">
        <f>1416.3+(21.6-926.5)+(-2.166939+(-0.033048--1.417545))+0-0-0</f>
        <v>510.61755799999997</v>
      </c>
      <c r="G202" s="3">
        <f>1261.1+(33.7-827.4)+(-0.643161+(-0.017187--0.421974))+0-0-0</f>
        <v>467.16162599999996</v>
      </c>
      <c r="H202" s="3">
        <f>1171.4+(39.6-758.9)+(0+(0-0))+0-0-0</f>
        <v>452.10000000000014</v>
      </c>
      <c r="I202" s="3">
        <f>1173.2+(39.3-770.4)+(0.598332+(0.020043-0.392904))+0-0-0</f>
        <v>442.32547100000005</v>
      </c>
      <c r="J202" s="3">
        <f>1029.3+(45.5-652.2)+(0+(0-0))+0-0-0</f>
        <v>422.59999999999991</v>
      </c>
      <c r="K202" s="3">
        <f>999.7+(42.4-611.7)+(-2.549235+(-0.10812--1.559835))+0-0-0</f>
        <v>429.30248</v>
      </c>
      <c r="L202" s="3">
        <f>999.7+(15-612.9)+(-2.549235+(-0.03825--1.562895))+0-0-0</f>
        <v>400.77541000000008</v>
      </c>
      <c r="M202" s="3">
        <f>1022.4+(32.9-645.6)+(1.564272+(0.050337-0.987768))+0-0-0</f>
        <v>410.32684099999994</v>
      </c>
      <c r="N202" s="3">
        <f>1012.2+(38.9-614.4)+(-1.032444+(-0.039678--0.626688))+0-0-0</f>
        <v>436.25456600000007</v>
      </c>
      <c r="O202" s="3">
        <f>1011.6+(47.2-588.8)+(-1.031832+(-0.048144--0.600576))+0-0-0</f>
        <v>469.52060000000012</v>
      </c>
      <c r="P202" s="3">
        <f>1088.2+(17.7-608.5)+(-1.664946+(-0.027081--0.931005))+0-0-0</f>
        <v>496.63897800000007</v>
      </c>
      <c r="Q202" s="3">
        <f>1292.5+(62-846.1)+(-0.659175+(-0.03162--0.431511))+0-0-0</f>
        <v>508.140716</v>
      </c>
      <c r="R202" s="3">
        <f>1330.4+(81.6-916.3)+(-2.035512+(-0.124848--1.401939))+0-0-0</f>
        <v>494.94157900000016</v>
      </c>
      <c r="S202" s="3">
        <f>1341.9+(103.8-971.8)+(0+(0-0))+0-0-0</f>
        <v>473.90000000000009</v>
      </c>
      <c r="T202" s="3">
        <f>1332+(112.3-973.8)+(-2.03796+(-0.171819--1.489914))+0-0-0</f>
        <v>469.78013499999997</v>
      </c>
      <c r="U202" s="3">
        <f>1328.2+(55.6-919.6)+(-2.709528+(-0.113424--1.875984))+0-0-0</f>
        <v>463.25303200000002</v>
      </c>
      <c r="V202" s="3">
        <f>1330.6+(38.5-894.5)+(-2.714424+(-0.07854--1.82478))+0-0-0</f>
        <v>473.6318159999999</v>
      </c>
      <c r="W202" s="3">
        <f>1340.3+(38.6-846.4)+(-3.417765+(-0.09843--2.15832))+0-0-0</f>
        <v>531.14212499999996</v>
      </c>
      <c r="X202" s="3">
        <f>1382+(37.7-790.6)+(-2.81928+(-0.076908--1.612824))+0-0-0</f>
        <v>627.81663600000002</v>
      </c>
      <c r="Y202" s="3">
        <f>1405.4+(42.9-812.8)+(-1.433508+(-0.043758--0.829056))+0-0-0</f>
        <v>634.85179000000016</v>
      </c>
      <c r="Z202" s="3">
        <f>1406.6+(52.6-830.8)+(-2.152098+(-0.080478--1.271124))+0-0-0</f>
        <v>627.43854799999997</v>
      </c>
      <c r="AA202" s="3">
        <f>1401.3+(50.6-836.9)+(-2.143989+(-0.077418--1.280457))+0-0-0</f>
        <v>614.05904999999996</v>
      </c>
      <c r="AB202" s="3">
        <f>1387.8+(63.9-871.6)+(-3.53889+(-0.162945--2.22258))+0-0-0</f>
        <v>578.62074499999994</v>
      </c>
      <c r="AC202" s="3">
        <f>1396.8+(35.4-904.9)+(-1.424736+(-0.036108--0.922998))+0-0-0</f>
        <v>526.76215400000001</v>
      </c>
      <c r="AD202">
        <f t="shared" si="3"/>
        <v>11961.961856</v>
      </c>
      <c r="AE202" s="3">
        <f>1386+(40.6-829.4)+(0+(0-0))+0-0-0</f>
        <v>597.20000000000005</v>
      </c>
    </row>
    <row r="203" spans="1:31" s="2" customFormat="1" x14ac:dyDescent="0.25">
      <c r="A203">
        <v>89</v>
      </c>
      <c r="B203">
        <v>7</v>
      </c>
      <c r="C203">
        <v>17</v>
      </c>
      <c r="D203">
        <v>1</v>
      </c>
      <c r="E203">
        <v>1</v>
      </c>
      <c r="F203" s="3">
        <f>1385.8+(27.3-932.9)+(-3.53379+(-0.069615--2.378895))+0-0-0</f>
        <v>478.97548999999992</v>
      </c>
      <c r="G203" s="3">
        <f>1385.6+(37.6-971.3)+(-3.53328+(-0.09588--2.476815))+0-0-0</f>
        <v>450.74765499999995</v>
      </c>
      <c r="H203" s="3">
        <f>1281.1+(50.7-895)+(-0.653361+(-0.025857--0.45645))+0-0-0</f>
        <v>436.57723199999998</v>
      </c>
      <c r="I203" s="3">
        <f>1005+(59.2-651.2)+(-2.0502+(-0.120768--1.328448))+0-0-0</f>
        <v>412.15748000000002</v>
      </c>
      <c r="J203" s="3">
        <f>1010.3+(31.1-629)+(-0.515253+(-0.015861--0.32079))+0-0-0</f>
        <v>412.18967599999996</v>
      </c>
      <c r="K203" s="3">
        <f>1013.7+(24-615.9)+(0+(0-0))+0-0-0</f>
        <v>421.80000000000007</v>
      </c>
      <c r="L203" s="3">
        <f>1014.2+(20.1-604.9)+(0.517242+(0.010251-0.308499))+0-0-0</f>
        <v>429.6189940000001</v>
      </c>
      <c r="M203" s="3">
        <f>1008.1+(91.8-625.4)+(-0.514131+(-0.046818--0.318954))+0-0-0</f>
        <v>474.25800500000003</v>
      </c>
      <c r="N203" s="3">
        <f>1007.5+(125.4-605.5)+(-0.513825+(-0.063954--0.308805))+0-0-0</f>
        <v>527.13102600000002</v>
      </c>
      <c r="O203" s="3">
        <f>1196.8+(154.8-782)+(-1.220736+(-0.157896--0.79764))+0-0-0</f>
        <v>569.01900799999987</v>
      </c>
      <c r="P203" s="3">
        <f>1342.4+(154.2-902.7)+(-0.684624+(-0.078642--0.460377))+0-0-0</f>
        <v>593.59711100000004</v>
      </c>
      <c r="Q203" s="3">
        <f>1343.5+(152.2-888.8)+(-1.37037+(-0.155244--0.906576))+0-0-0</f>
        <v>606.28096200000005</v>
      </c>
      <c r="R203" s="3">
        <f>1343.4+(165-926)+(-0.685134+(-0.08415--0.47226))+0-0-0</f>
        <v>582.10297600000013</v>
      </c>
      <c r="S203" s="3">
        <f>1339.5+(170.2-947.8)+(-1.36629+(-0.173604--0.966756))+0-0-0</f>
        <v>561.32686200000012</v>
      </c>
      <c r="T203" s="3">
        <f>1340.9+(175.1-957.5)+(-1.367718+(-0.178602--0.97665))+0-0-0</f>
        <v>557.93033000000014</v>
      </c>
      <c r="U203" s="3">
        <f>1339.7+(174.3-959.5)+(-2.732988+(-0.355572--1.95738))+0-0-0</f>
        <v>553.36882000000003</v>
      </c>
      <c r="V203" s="3">
        <f>1334.4+(146.8-907.6)+(-4.083264+(-0.449208--2.777256))+0-0-0</f>
        <v>571.84478400000012</v>
      </c>
      <c r="W203" s="3">
        <f>1361.2+(138.1-867.2)+(-1.388424+(-0.140862--0.884544))+0-0-0</f>
        <v>631.45525800000007</v>
      </c>
      <c r="X203" s="3">
        <f>1371.1+(124.1-770.9)+(-2.097783+(-0.189873--1.179477))+0-0-0</f>
        <v>723.191821</v>
      </c>
      <c r="Y203" s="3">
        <f>1386.6+(113.5-765.2)+(-3.53583+(-0.289425--1.95126))+0-0-0</f>
        <v>733.02600499999983</v>
      </c>
      <c r="Z203" s="3">
        <f>1390.5+(71.3-753.3)+(-2.127465+(-0.109089--1.152549))+0-0-0</f>
        <v>707.41599499999995</v>
      </c>
      <c r="AA203" s="3">
        <f>1384.4+(37-740.1)+(-3.53022+(-0.09435--1.887255))+0-0-0</f>
        <v>679.5626850000001</v>
      </c>
      <c r="AB203" s="3">
        <f>1376.5+(35.8-771.1)+(-3.510075+(-0.09129--1.966305))+0-0-0</f>
        <v>639.56493999999998</v>
      </c>
      <c r="AC203" s="3">
        <f>1382.4+(19.5-810.2)+(0+(0-0))+0-0-0</f>
        <v>591.70000000000005</v>
      </c>
      <c r="AD203">
        <f t="shared" si="3"/>
        <v>13344.843115000001</v>
      </c>
      <c r="AE203" s="3">
        <f>1386+(102.6-787.9)+(0+(0-0))+0-0-0</f>
        <v>700.7</v>
      </c>
    </row>
    <row r="204" spans="1:31" s="2" customFormat="1" x14ac:dyDescent="0.25">
      <c r="A204">
        <v>89</v>
      </c>
      <c r="B204">
        <v>7</v>
      </c>
      <c r="C204">
        <v>18</v>
      </c>
      <c r="D204">
        <v>2</v>
      </c>
      <c r="E204">
        <v>1</v>
      </c>
      <c r="F204" s="3">
        <f>1380.9+(29.4-878.8)+(0+(0-0))+0-0-0</f>
        <v>531.50000000000011</v>
      </c>
      <c r="G204" s="3">
        <f>1068.3+(54.7-636.6)+(0+(0-0))+0-0-0</f>
        <v>486.4</v>
      </c>
      <c r="H204" s="3">
        <f>1005.4+(61.6-601.9)+(0+(0-0))+0-0-0</f>
        <v>465.1</v>
      </c>
      <c r="I204" s="3">
        <f>1016.8+(66.5-622.9)+(0+(0-0))+0-0-0</f>
        <v>460.4</v>
      </c>
      <c r="J204" s="3">
        <f>1012.7+(138-689.8)+(0+(0-0))+0-0-0</f>
        <v>460.90000000000009</v>
      </c>
      <c r="K204" s="3">
        <f>1007.5+(130-677.8)+(0+(0-0))+0-0-0</f>
        <v>459.70000000000005</v>
      </c>
      <c r="L204" s="3">
        <f>1014.4+(81.5-645.3)+(0+(0-0))+0-0-0</f>
        <v>450.6</v>
      </c>
      <c r="M204" s="3">
        <f>1100.4+(56.4-660.6)+(0+(0-0))+0-0-0</f>
        <v>496.20000000000005</v>
      </c>
      <c r="N204" s="3">
        <f>1307.1+(60.8-813)+(0+(0-0))+0-0-0</f>
        <v>554.89999999999986</v>
      </c>
      <c r="O204" s="3">
        <f>1358.8+(133.3-914.8)+(0+(0-0))+0-0-0</f>
        <v>577.29999999999995</v>
      </c>
      <c r="P204" s="3">
        <f>1352.7+(173.5-918.6)+(0+(0-0))+0-0-0</f>
        <v>607.6</v>
      </c>
      <c r="Q204" s="3">
        <f>1354.6+(202.9-942.5)+(0+(0-0))+0-0-0</f>
        <v>614.99999999999989</v>
      </c>
      <c r="R204" s="3">
        <f>1341.1+(197.6-954.7)+(-0.683961+(-0.100776--0.486897))+0-0-0</f>
        <v>583.70215999999994</v>
      </c>
      <c r="S204" s="3">
        <f>1343.5+(204.1-958.4)+(-1.37037+(-0.208182--0.977568))+0-0-0</f>
        <v>588.59901600000001</v>
      </c>
      <c r="T204" s="3">
        <f>1336.2+(189.9-950.8)+(-1.362924+(-0.193698--0.969816))+0-0-0</f>
        <v>574.71319400000004</v>
      </c>
      <c r="U204" s="3">
        <f>1331.8+(120.6-891.2)+(-2.716872+(-0.246024--1.818048))+0-0-0</f>
        <v>560.05515199999991</v>
      </c>
      <c r="V204" s="3">
        <f>1334.8+(126.5-882.1)+(-2.042244+(-0.193545--1.349613))+0-0-0</f>
        <v>578.31382399999995</v>
      </c>
      <c r="W204" s="3">
        <f>1393.3+(194.8-936.9)+(0+(0-0))+0-0-0</f>
        <v>651.20000000000005</v>
      </c>
      <c r="X204" s="3">
        <f>1491+(200.6-942.6)+(-0.76041+(-0.102306--0.480726))+0-0-0</f>
        <v>748.61801000000003</v>
      </c>
      <c r="Y204" s="3">
        <f>1480.8+(166.8-901.8)+(-2.265624+(-0.255204--1.379754))+0-0-0</f>
        <v>744.65892599999995</v>
      </c>
      <c r="Z204" s="3">
        <f>1466.5+(171.7-912.5)+(-4.48749+(-0.525402--2.79225))+0-0-0</f>
        <v>723.47935800000005</v>
      </c>
      <c r="AA204" s="3">
        <f>1473.4+(90.9-877.2)+(-1.502868+(-0.092718--0.894744))+0-0-0</f>
        <v>686.39915800000006</v>
      </c>
      <c r="AB204" s="3">
        <f>1463.8+(106.7-930.5)+(-4.479228+(-0.326502--2.84733))+0-0-0</f>
        <v>638.04160000000002</v>
      </c>
      <c r="AC204" s="3">
        <f>1404.6+(113.3-907.7)+(-3.58173+(-0.288915--2.314635))+0-0-0</f>
        <v>608.6439899999998</v>
      </c>
      <c r="AD204">
        <f t="shared" si="3"/>
        <v>13852.024388000003</v>
      </c>
      <c r="AE204" s="3">
        <f>1460+(184-930.4)+(0+(0-0))+0-0-0</f>
        <v>713.6</v>
      </c>
    </row>
    <row r="205" spans="1:31" s="2" customFormat="1" x14ac:dyDescent="0.25">
      <c r="A205">
        <v>89</v>
      </c>
      <c r="B205">
        <v>7</v>
      </c>
      <c r="C205">
        <v>19</v>
      </c>
      <c r="D205">
        <v>3</v>
      </c>
      <c r="E205">
        <v>1</v>
      </c>
      <c r="F205" s="3">
        <f>1311.8+(145.2-924.3)+(0.669018+(0.074052-0.471393))+0-0-0</f>
        <v>532.971677</v>
      </c>
      <c r="G205" s="3">
        <f>1128.5+(154.2-796)+(-2.30214+(-0.314568--1.62384))+0-0-0</f>
        <v>485.70713200000006</v>
      </c>
      <c r="H205" s="3">
        <f>1013.1+(156.2-701.4)+(-2.066724+(-0.318648--1.430856))+0-0-0</f>
        <v>466.94548399999996</v>
      </c>
      <c r="I205" s="3">
        <f>1010.9+(146.7-692.2)+(-1.031118+(-0.149634--0.706044))+0-0-0</f>
        <v>464.92529199999996</v>
      </c>
      <c r="J205" s="3">
        <f>1011.2+(141.7-692.9)+(-1.031424+(-0.144534--0.706758))+0-0-0</f>
        <v>459.5308</v>
      </c>
      <c r="K205" s="3">
        <f>1018.4+(138.2-694.1)+(0.519384+(0.070482-0.353991))+0-0-0</f>
        <v>462.73587499999991</v>
      </c>
      <c r="L205" s="3">
        <f>1011.1+(77.5-648)+(-1.031322+(-0.07905--0.66096))+0-0-0</f>
        <v>440.15058800000003</v>
      </c>
      <c r="M205" s="3">
        <f>1015.4+(98.8-634)+(0.517854+(0.050388-0.32334))+0-0-0</f>
        <v>480.44490199999996</v>
      </c>
      <c r="N205" s="3">
        <f>1014.2+(183.3-664)+(-0.517242+(-0.093483--0.33864))+0-0-0</f>
        <v>533.22791500000005</v>
      </c>
      <c r="O205" s="3">
        <f>1016.2+(199.8-644.9)+(0+(0-0))+0-0-0</f>
        <v>571.10000000000014</v>
      </c>
      <c r="P205" s="3">
        <f>1166.8+(167-739)+(0+(0-0))+0-0-0</f>
        <v>594.79999999999995</v>
      </c>
      <c r="Q205" s="3">
        <f>1245.6+(143.5-778.6)+(0+(0-0))+0-0-0</f>
        <v>610.49999999999989</v>
      </c>
      <c r="R205" s="3">
        <f>1328+(158.5-876.6)+(-1.35456+(-0.16167--0.894132))+0-0-0</f>
        <v>609.27790199999993</v>
      </c>
      <c r="S205" s="3">
        <f>1384.2+(163.6-938.3)+(0+(0-0))+0-0-0</f>
        <v>609.50000000000011</v>
      </c>
      <c r="T205" s="3">
        <f>1374.1+(159-921.2)+(-1.401582+(-0.16218--0.939624))+0-0-0</f>
        <v>611.27586199999985</v>
      </c>
      <c r="U205" s="3">
        <f>1373.6+(211.3-1012.6)+(-2.802144+(-0.431052--2.065704))+0-0-0</f>
        <v>571.13250799999992</v>
      </c>
      <c r="V205" s="3">
        <f>1392.8+(206.9-1017.8)+(-2.841312+(-0.422076--2.076312))+0-0-0</f>
        <v>580.71292399999993</v>
      </c>
      <c r="W205" s="3">
        <f>1459.8+(197.4-1003.8)+(1.488996+(0.201348-1.023876))+0-0-0</f>
        <v>654.06646799999999</v>
      </c>
      <c r="X205" s="3">
        <f>1466+(193-905.3)+(-2.24298+(-0.29529--1.385109))+0-0-0</f>
        <v>752.54683900000009</v>
      </c>
      <c r="Y205" s="3">
        <f>1469.3+(197.1-917.1)+(-2.997372+(-0.402084--1.870884))+0-0-0</f>
        <v>747.7714279999999</v>
      </c>
      <c r="Z205" s="3">
        <f>1474.7+(213.6-948.7)+(-2.256291+(-0.326808--1.451511))+0-0-0</f>
        <v>738.46841200000006</v>
      </c>
      <c r="AA205" s="3">
        <f>1470.3+(198.9-955.6)+(-1.499706+(-0.202878--0.974712))+0-0-0</f>
        <v>712.87212799999986</v>
      </c>
      <c r="AB205" s="3">
        <f>1459.4+(180.5-972.9)+(-1.488588+(-0.18411--0.992358))+0-0-0</f>
        <v>666.31966000000011</v>
      </c>
      <c r="AC205" s="3">
        <f>1380.1+(80.5-875.8)+(-0.703851+(-0.041055--0.446658))+0-0-0</f>
        <v>584.50175200000001</v>
      </c>
      <c r="AD205">
        <f t="shared" si="3"/>
        <v>13941.485548000001</v>
      </c>
      <c r="AE205" s="3">
        <f>1467+(193.9-942.8)+(0+(0-0))+0-0-0</f>
        <v>718.1</v>
      </c>
    </row>
    <row r="206" spans="1:31" s="2" customFormat="1" x14ac:dyDescent="0.25">
      <c r="A206">
        <v>89</v>
      </c>
      <c r="B206">
        <v>7</v>
      </c>
      <c r="C206">
        <v>20</v>
      </c>
      <c r="D206">
        <v>4</v>
      </c>
      <c r="E206">
        <v>1</v>
      </c>
      <c r="F206" s="3">
        <f>1308+(69.7-847.2)+(-2.66832+(-0.142188--1.728288))+0-0-0</f>
        <v>529.41777999999999</v>
      </c>
      <c r="G206" s="3">
        <f>1103.4+(82.8-698.8)+(-0.562734+(-0.042228--0.356388))+0-0-0</f>
        <v>487.15142600000007</v>
      </c>
      <c r="H206" s="3">
        <f>1009.6+(94.5-640.1)+(-1.544688+(-0.144585--0.979353))+0-0-0</f>
        <v>463.29007999999999</v>
      </c>
      <c r="I206" s="3">
        <f>1008.4+(85.6-634)+(-1.542852+(-0.130968--0.97002))+0-0-0</f>
        <v>459.2962</v>
      </c>
      <c r="J206" s="3">
        <f>1009.5+(64.9-615.7)+(-1.02969+(-0.066198--0.628014))+0-0-0</f>
        <v>458.23212599999994</v>
      </c>
      <c r="K206" s="3">
        <f>1016.8+(49.1-608.3)+(0+(0-0))+0-0-0</f>
        <v>457.6</v>
      </c>
      <c r="L206" s="3">
        <f>1016.6+(27-617.9)+(0+(0-0))+0-0-0</f>
        <v>425.70000000000005</v>
      </c>
      <c r="M206" s="3">
        <f>1320+(33.5-898.8)+(0.6732+(0.017085-0.458388))+0-0-0</f>
        <v>454.93189700000005</v>
      </c>
      <c r="N206" s="3">
        <f>1342+(49.3-867)+(0+(0-0))+0-0-0</f>
        <v>524.29999999999995</v>
      </c>
      <c r="O206" s="3">
        <f>1347+(93.3-820)+(0+(0-0))+0-0-0</f>
        <v>620.29999999999995</v>
      </c>
      <c r="P206" s="3">
        <f>1360+(117.5-901)+(-3.468+(-0.299625--2.29755))+0-0-0</f>
        <v>575.02992500000005</v>
      </c>
      <c r="Q206" s="3">
        <f>1337+(125.8-916.2)+(0+(0-0))+0-0-0</f>
        <v>546.59999999999991</v>
      </c>
      <c r="R206" s="3">
        <f>1315.5+(165.9-903.5)+(0+(0-0))+0-0-0</f>
        <v>577.9</v>
      </c>
      <c r="S206" s="3">
        <f>1337.1+(209.2-971.7)+(0+(0-0))+0-0-0</f>
        <v>574.59999999999991</v>
      </c>
      <c r="T206" s="3">
        <f>1316.3+(216.9-951.3)+(-3.356565+(-0.553095--2.425815))+0-0-0</f>
        <v>580.416155</v>
      </c>
      <c r="U206" s="3">
        <f>1312+(217.5-973.4)+(-1.33824+(-0.22185--0.992868))+0-0-0</f>
        <v>555.53277800000001</v>
      </c>
      <c r="V206" s="3">
        <f>1319.5+(167.1-941.1)+(-4.03767+(-0.511326--2.879766))+0-0-0</f>
        <v>543.83077000000003</v>
      </c>
      <c r="W206" s="3">
        <f>1324.9+(193.1-910.8)+(-2.702796+(-0.393924--1.858032))+0-0-0</f>
        <v>605.96131200000013</v>
      </c>
      <c r="X206" s="3">
        <f>1370.5+(206.7-846.9)+(-2.79582+(-0.421668--1.727676))+0-0-0</f>
        <v>728.81018799999993</v>
      </c>
      <c r="Y206" s="3">
        <f>1378.1+(212-868.4)+(-2.108493+(-0.32436--1.328652))+0-0-0</f>
        <v>720.59579899999994</v>
      </c>
      <c r="Z206" s="3">
        <f>1371+(177.4-844.7)+(-2.09763+(-0.271422--1.292391))+0-0-0</f>
        <v>702.62333899999999</v>
      </c>
      <c r="AA206" s="3">
        <f>1359+(135.8-825.1)+(-4.15854+(-0.415548--2.524806))+0-0-0</f>
        <v>667.6507180000001</v>
      </c>
      <c r="AB206" s="3">
        <f>1363.9+(94.6-845.7)+(-2.782356+(-0.192984--1.725228))+0-0-0</f>
        <v>611.54988800000012</v>
      </c>
      <c r="AC206" s="3">
        <f>1325.8+(117.4-885.3)+(-3.38079+(-0.29937--2.257515))+0-0-0</f>
        <v>556.47735499999999</v>
      </c>
      <c r="AD206">
        <f t="shared" si="3"/>
        <v>13427.797736</v>
      </c>
      <c r="AE206" s="3">
        <f>1385+(204.8-903.6)+(0+(0-0))+0-0-0</f>
        <v>686.2</v>
      </c>
    </row>
    <row r="207" spans="1:31" s="2" customFormat="1" x14ac:dyDescent="0.25">
      <c r="A207">
        <v>89</v>
      </c>
      <c r="B207">
        <v>7</v>
      </c>
      <c r="C207">
        <v>21</v>
      </c>
      <c r="D207">
        <v>5</v>
      </c>
      <c r="E207">
        <v>1</v>
      </c>
      <c r="F207" s="3">
        <f>1131.8+(132.6-764.1)+(-0.577218+(-0.067626--0.389691))+0-0-0</f>
        <v>500.04484699999995</v>
      </c>
      <c r="G207" s="3">
        <f>1037.8+(91.3-671.4)+(-1.587834+(-0.139689--1.027242))+0-0-0</f>
        <v>456.99971899999991</v>
      </c>
      <c r="H207" s="3">
        <f>1007.3+(76.1-655.4)+(-1.541169+(-0.116433--1.002762))+0-0-0</f>
        <v>427.34516000000002</v>
      </c>
      <c r="I207" s="3">
        <f>1006.4+(73.1-659.3)+(-1.539792+(-0.111843--1.008729))+0-0-0</f>
        <v>419.55709400000006</v>
      </c>
      <c r="J207" s="3">
        <f>1010.9+(73.6-657.2)+(0+(0-0))+0-0-0</f>
        <v>427.29999999999995</v>
      </c>
      <c r="K207" s="3">
        <f>1001.5+(79.2-648.5)+(-2.04306+(-0.161568--1.32294))+0-0-0</f>
        <v>431.31831200000005</v>
      </c>
      <c r="L207" s="3">
        <f>1006.7+(71.3-646.8)+(-1.540251+(-0.109089--0.989604))+0-0-0</f>
        <v>430.54026400000004</v>
      </c>
      <c r="M207" s="3">
        <f>1020.8+(68-617.1)+(1.041216+(0.06936-0.629442))+0-0-0</f>
        <v>472.18113399999993</v>
      </c>
      <c r="N207" s="3">
        <f>1010.9+(76.1-558.3)+(-1.031118+(-0.077622--0.569466))+0-0-0</f>
        <v>528.16072600000007</v>
      </c>
      <c r="O207" s="3">
        <f>1008.9+(121.2-570.5)+(-1.543617+(-0.185436--0.872865))+0-0-0</f>
        <v>558.74381199999993</v>
      </c>
      <c r="P207" s="3">
        <f>1073.2+(155-645.5)+(-1.641996+(-0.23715--0.987615))+0-0-0</f>
        <v>581.80846900000006</v>
      </c>
      <c r="Q207" s="3">
        <f>1256.3+(142.3-800.7)+(0.640713+(0.072573-0.408357))+0-0-0</f>
        <v>598.20492899999988</v>
      </c>
      <c r="R207" s="3">
        <f>1331.3+(130.2-879.1)+(-4.073778+(-0.398412--2.690046))+0-0-0</f>
        <v>580.61785599999985</v>
      </c>
      <c r="S207" s="3">
        <f>1347.2+(84.7-880.6)+(-0.687072+(-0.043197--0.449106))+0-0-0</f>
        <v>551.01883700000008</v>
      </c>
      <c r="T207" s="3">
        <f>1347.4+(84.8-896.5)+(-1.374348+(-0.086496--0.91443))+0-0-0</f>
        <v>535.15358600000002</v>
      </c>
      <c r="U207" s="3">
        <f>1342.8+(71.7-887)+(-1.369656+(-0.073134--0.90474))+0-0-0</f>
        <v>526.96195</v>
      </c>
      <c r="V207" s="3">
        <f>1346.4+(99.4-896.6)+(-2.746656+(-0.202776--1.829064))+0-0-0</f>
        <v>548.07963200000006</v>
      </c>
      <c r="W207" s="3">
        <f>1385.5+(105.2-885.3)+(-0.706605+(-0.053652--0.451503))+0-0-0</f>
        <v>605.09124600000007</v>
      </c>
      <c r="X207" s="3">
        <f>1371.4+(132.3-784.5)+(-2.797656+(-0.269892--1.60038))+0-0-0</f>
        <v>717.73283200000003</v>
      </c>
      <c r="Y207" s="3">
        <f>1370.4+(109-748.8)+(-2.795616+(-0.22236--1.527552))+0-0-0</f>
        <v>729.10957600000017</v>
      </c>
      <c r="Z207" s="3">
        <f>1365+(108.4-755.7)+(-3.48075+(-0.27642--1.927035))+0-0-0</f>
        <v>715.86986499999989</v>
      </c>
      <c r="AA207" s="3">
        <f>1369+(57.9-744.7)+(-2.09457+(-0.088587--1.139391))+0-0-0</f>
        <v>681.15623399999993</v>
      </c>
      <c r="AB207" s="3">
        <f>1370.7+(38.7-778.9)+(-2.097171+(-0.059211--1.191717))+0-0-0</f>
        <v>629.53533500000015</v>
      </c>
      <c r="AC207" s="3">
        <f>1306.8+(67.6-792.4)+(-3.33234+(-0.17238--2.02062))+0-0-0</f>
        <v>580.51589999999999</v>
      </c>
      <c r="AD207">
        <f t="shared" si="3"/>
        <v>13233.047315000002</v>
      </c>
      <c r="AE207" s="3">
        <f>1366+(125.2-820.1)+(0+(0-0))+0-0-0</f>
        <v>671.1</v>
      </c>
    </row>
    <row r="208" spans="1:31" s="2" customFormat="1" x14ac:dyDescent="0.25">
      <c r="A208">
        <v>89</v>
      </c>
      <c r="B208">
        <v>7</v>
      </c>
      <c r="C208">
        <v>22</v>
      </c>
      <c r="D208">
        <v>6</v>
      </c>
      <c r="E208">
        <v>1</v>
      </c>
      <c r="F208" s="3">
        <f>1118.6+(90.3-692.1)+(-3.993402+(-0.322371--2.470797))+0-0-0</f>
        <v>514.95502399999987</v>
      </c>
      <c r="G208" s="3">
        <f>1233.7+(92.7-843.8)+(-1.258374+(-0.094554--0.860676))+0-0-0</f>
        <v>482.10774800000013</v>
      </c>
      <c r="H208" s="3">
        <f>1217.6+(76.9-828.1)+(-1.862928+(-0.117657--1.266993))+0-0-0</f>
        <v>465.68640799999986</v>
      </c>
      <c r="I208" s="3">
        <f>1040.4+(53.8-648.5)+(-1.061208+(-0.054876--0.66147))+0-0-0</f>
        <v>445.24538600000005</v>
      </c>
      <c r="J208" s="3">
        <f>1014.2+(49.3-627.3)+(0.517242+(0.025143-0.319923))+0-0-0</f>
        <v>436.42246200000005</v>
      </c>
      <c r="K208" s="3">
        <f>1006.2+(43.5-608.3)+(-1.539486+(-0.066555--0.930699))+0-0-0</f>
        <v>440.72465800000009</v>
      </c>
      <c r="L208" s="3">
        <f>1010.2+(54.6-629.3)+(-1.030404+(-0.055692--0.641886))+0-0-0</f>
        <v>435.05579000000012</v>
      </c>
      <c r="M208" s="3">
        <f>1019.5+(96.2-649.9)+(1.03989+(0.098124-0.662898))+0-0-0</f>
        <v>466.27511600000008</v>
      </c>
      <c r="N208" s="3">
        <f>1062.5+(59.8-601.4)+(-0.541875+(-0.030498--0.306714))+0-0-0</f>
        <v>520.63434099999995</v>
      </c>
      <c r="O208" s="3">
        <f>1308+(57.7-803.7)+(0.66708+(0.029427-0.409887))+0-0-0</f>
        <v>562.28661999999997</v>
      </c>
      <c r="P208" s="3">
        <f>1340+(50.6-823.8)+(-1.3668+(-0.051612--0.840276))+0-0-0</f>
        <v>566.2218640000001</v>
      </c>
      <c r="Q208" s="3">
        <f>1353.1+(68.1-846.7)+(1.380162+(0.069462-0.863634))+0-0-0</f>
        <v>575.08598999999992</v>
      </c>
      <c r="R208" s="3">
        <f>1320.4+(92.6-842.3)+(-4.713828+(-0.330582--3.007011))+0-0-0</f>
        <v>568.66260100000011</v>
      </c>
      <c r="S208" s="3">
        <f>1325.6+(123.7-888.8)+(-4.056336+(-0.378522--2.719728))+0-0-0</f>
        <v>558.78486999999996</v>
      </c>
      <c r="T208" s="3">
        <f>1343.2+(133.1-931.5)+(-1.370064+(-0.135762--0.95013))+0-0-0</f>
        <v>544.24430400000006</v>
      </c>
      <c r="U208" s="3">
        <f>1329.8+(107.1-913.3)+(-3.39099+(-0.273105--2.328915))+0-0-0</f>
        <v>522.26481999999999</v>
      </c>
      <c r="V208" s="3">
        <f>1346.4+(47.1-864.6)+(0.686664+(0.024021-0.440946))+0-0-0</f>
        <v>529.16973900000005</v>
      </c>
      <c r="W208" s="3">
        <f>1338.7+(38.4-779.4)+(-1.365474+(-0.039168--0.794988))+0-0-0</f>
        <v>597.09034600000007</v>
      </c>
      <c r="X208" s="3">
        <f>1360.7+(61.8-726)+(-1.387914+(-0.063036--0.74052))+0-0-0</f>
        <v>695.78957000000003</v>
      </c>
      <c r="Y208" s="3">
        <f>1388.2+(30.7-720.4)+(-2.831928+(-0.062628--1.469616))+0-0-0</f>
        <v>697.07506000000012</v>
      </c>
      <c r="Z208" s="3">
        <f>1375.5+(2.9-690.8)+(-1.40301+(-0.002958--0.704616))+0-0-0</f>
        <v>686.89864799999998</v>
      </c>
      <c r="AA208" s="3">
        <f>1364.3+(2.9-718.9)+(-3.478965+(-0.007395--1.833195))+0-0-0</f>
        <v>646.64683500000001</v>
      </c>
      <c r="AB208" s="3">
        <f>1373.1+(2.9-778)+(-0.700281+(-0.001479--0.39678))+0-0-0</f>
        <v>597.69501999999989</v>
      </c>
      <c r="AC208" s="3">
        <f>1350.3+(2.9-798)+(-4.131918+(-0.008874--2.44188))+0-0-0</f>
        <v>553.50108799999998</v>
      </c>
      <c r="AD208">
        <f t="shared" si="3"/>
        <v>13108.524308</v>
      </c>
      <c r="AE208" s="3">
        <f>1398+(59.3-737.9)+(0+(0-0))+0-0-0</f>
        <v>719.4</v>
      </c>
    </row>
    <row r="209" spans="1:31" s="2" customFormat="1" x14ac:dyDescent="0.25">
      <c r="A209">
        <v>89</v>
      </c>
      <c r="B209">
        <v>7</v>
      </c>
      <c r="C209">
        <v>23</v>
      </c>
      <c r="D209">
        <v>7</v>
      </c>
      <c r="E209">
        <v>1</v>
      </c>
      <c r="F209" s="3">
        <f>1355.9+(4.3-851.1)+(-1.383018+(-0.004386--0.868122))+0-0-0</f>
        <v>508.58071800000005</v>
      </c>
      <c r="G209" s="3">
        <f>1264.3+(10.4-795.4)+(-1.934379+(-0.015912--1.216962))+0-0-0</f>
        <v>478.56667099999993</v>
      </c>
      <c r="H209" s="3">
        <f>1069.8+(19.4-643.3)+(0+(0-0))+0-0-0</f>
        <v>445.9</v>
      </c>
      <c r="I209" s="3">
        <f>1014+(28.1-606.9)+(-0.51714+(-0.014331--0.309519))+0-0-0</f>
        <v>434.97804800000006</v>
      </c>
      <c r="J209" s="3">
        <f>1021.1+(27.7-616.5)+(0.520761+(0.014127-0.314415))+0-0-0</f>
        <v>432.52047300000009</v>
      </c>
      <c r="K209" s="3">
        <f>1010.7+(17.2-590.7)+(-1.546371+(-0.026316--0.903771))+0-0-0</f>
        <v>436.53108400000002</v>
      </c>
      <c r="L209" s="3">
        <f>1009.4+(5.8-608.6)+(-1.544382+(-0.008874--0.931158))+0-0-0</f>
        <v>405.97790199999992</v>
      </c>
      <c r="M209" s="3">
        <f>1189.7+(5.4-785.3)+(0+(0-0))+0-0-0</f>
        <v>409.80000000000007</v>
      </c>
      <c r="N209" s="3">
        <f>1301+(0-849.5)+(0+(0-0))+0-0-0</f>
        <v>451.5</v>
      </c>
      <c r="O209" s="3">
        <f>1246.4+(0-760.8)+(-3.17832+(0--1.94004))+0-0-0</f>
        <v>484.36172000000016</v>
      </c>
      <c r="P209" s="3">
        <f>1254.1+(7.2-751.7)+(-2.558364+(-0.014688--1.533468))+0-0-0</f>
        <v>508.56041599999992</v>
      </c>
      <c r="Q209" s="3">
        <f>1281.8+(6.9-764.1)+(-1.307436+(-0.007038--0.779382))+0-0-0</f>
        <v>524.06490799999995</v>
      </c>
      <c r="R209" s="3">
        <f>1333.5+(8.2-824.1)+(-1.36017+(-0.008364--0.840582))+0-0-0</f>
        <v>517.072048</v>
      </c>
      <c r="S209" s="3">
        <f>1322.7+(9.4-834.3)+(0+(0-0))+0-0-0</f>
        <v>497.80000000000007</v>
      </c>
      <c r="T209" s="3">
        <f>1313+(14.7-833.9)+(-0.66963+(-0.007497--0.425289))+0-0-0</f>
        <v>493.54816200000005</v>
      </c>
      <c r="U209" s="3">
        <f>1302.4+(11.9-823.1)+(-2.656896+(-0.024276--1.679124))+0-0-0</f>
        <v>490.19795200000004</v>
      </c>
      <c r="V209" s="3">
        <f>1306.9+(2.5-828.6)+(-1.333038+(-0.00255--0.845172))+0-0-0</f>
        <v>480.30958400000009</v>
      </c>
      <c r="W209" s="3">
        <f>1306+(6-777.1)+(-2.66424+(-0.01224--1.585284))+0-0-0</f>
        <v>533.80880400000001</v>
      </c>
      <c r="X209" s="3">
        <f>1373+(30-721.4)+(-1.40046+(-0.0306--0.735828))+0-0-0</f>
        <v>680.90476799999999</v>
      </c>
      <c r="Y209" s="3">
        <f>1371.2+(54.8-722.7)+(-2.797248+(-0.111792--1.474308))+0-0-0</f>
        <v>701.8652679999999</v>
      </c>
      <c r="Z209" s="3">
        <f>1367.7+(53.1-719.2)+(0+(0-0))+0-0-0</f>
        <v>701.6</v>
      </c>
      <c r="AA209" s="3">
        <f>1352.8+(33.5-731)+(-2.069784+(-0.051255--1.11843))+0-0-0</f>
        <v>654.29739099999995</v>
      </c>
      <c r="AB209" s="3">
        <f>1362.4+(37.4-785.1)+(0+(0-0))+0-0-0</f>
        <v>614.70000000000005</v>
      </c>
      <c r="AC209" s="3">
        <f>1340.2+(40.3-813.4)+(-4.101012+(-0.123318--2.489004))+0-0-0</f>
        <v>565.36467400000004</v>
      </c>
      <c r="AD209">
        <f t="shared" si="3"/>
        <v>12452.810591000003</v>
      </c>
      <c r="AE209" s="3">
        <f>1400+(0-774.8)+(0+(0-0))+0-0-0</f>
        <v>625.20000000000005</v>
      </c>
    </row>
    <row r="210" spans="1:31" s="2" customFormat="1" x14ac:dyDescent="0.25">
      <c r="A210">
        <v>89</v>
      </c>
      <c r="B210">
        <v>7</v>
      </c>
      <c r="C210">
        <v>24</v>
      </c>
      <c r="D210">
        <v>1</v>
      </c>
      <c r="E210">
        <v>1</v>
      </c>
      <c r="F210" s="3">
        <f>1326+(0-840.9)+(-3.3813+(0--2.144295))+0-0-0</f>
        <v>483.86299500000001</v>
      </c>
      <c r="G210" s="3">
        <f>1296.8+(1.9-852.6)+(-3.30684+(-0.004845--2.17413))+0-0-0</f>
        <v>444.96244499999989</v>
      </c>
      <c r="H210" s="3">
        <f>1312.7+(0-880.1)+(-0.669477+(0--0.448851))+0-0-0</f>
        <v>432.37937400000004</v>
      </c>
      <c r="I210" s="3">
        <f>1318.1+(0-893.6)+(0.672231+(0-0.455736))+0-0-0</f>
        <v>424.7164949999999</v>
      </c>
      <c r="J210" s="3">
        <f>1307.6+(0-884.6)+(-1.333752+(0--0.902292))+0-0-0</f>
        <v>422.56853999999987</v>
      </c>
      <c r="K210" s="3">
        <f>1103.9+(0-674.2)+(-0.562989+(0--0.343842))+0-0-0</f>
        <v>429.48085300000002</v>
      </c>
      <c r="L210" s="3">
        <f>1176.6+(0-745.5)+(0.600066+(0-0.380205))+0-0-0</f>
        <v>431.31986099999989</v>
      </c>
      <c r="M210" s="3">
        <f>1335.8+(0-869.4)+(1.362516+(0-0.886788))+0-0-0</f>
        <v>466.87572799999998</v>
      </c>
      <c r="N210" s="3">
        <f>1323.4+(0-798.7)+(-0.674934+(0--0.407337))+0-0-0</f>
        <v>524.43240300000002</v>
      </c>
      <c r="O210" s="3">
        <f>1304.7+(17-760.9)+(0+(0-0))+0-0-0</f>
        <v>560.80000000000007</v>
      </c>
      <c r="P210" s="3">
        <f>1353.9+(20.5-796.4)+(0+(0-0))+0-0-0</f>
        <v>578.00000000000011</v>
      </c>
      <c r="Q210" s="3">
        <f>1401.5+(21.5-822.3)+(-1.42953+(-0.02193--0.838746))+0-0-0</f>
        <v>600.08728600000006</v>
      </c>
      <c r="R210" s="3">
        <f>1399.7+(22.1-824.4)+(-0.713847+(-0.011271--0.420444))+0-0-0</f>
        <v>597.09532600000011</v>
      </c>
      <c r="S210" s="3">
        <f>1407.3+(21.5-836.4)+(0.717723+(0.010965-0.426564))+0-0-0</f>
        <v>592.70212400000003</v>
      </c>
      <c r="T210" s="3">
        <f>1400.5+(36.9-845)+(0+(0-0))+0-0-0</f>
        <v>592.4</v>
      </c>
      <c r="U210" s="3">
        <f>1396.4+(35.3-850.7)+(-1.424328+(-0.036006--0.867714))+0-0-0</f>
        <v>580.40737999999999</v>
      </c>
      <c r="V210" s="3">
        <f>1414.4+(31.2-869.2)+(0.721344+(0.015912-0.443292))+0-0-0</f>
        <v>576.69396400000005</v>
      </c>
      <c r="W210" s="3">
        <f>1441.1+(80.1-879.5)+(-0.734961+(-0.040851--0.448545))+0-0-0</f>
        <v>641.37273299999993</v>
      </c>
      <c r="X210" s="3">
        <f>1459.7+(69.2-791.5)+(-3.722235+(-0.17646--2.018325))+0-0-0</f>
        <v>735.51963000000012</v>
      </c>
      <c r="Y210" s="3">
        <f>1481.9+(74-821.2)+(0.755769+(0.03774-0.418812))+0-0-0</f>
        <v>735.07469700000001</v>
      </c>
      <c r="Z210" s="3">
        <f>1477.5+(79.2-840.2)+(0+(0-0))+0-0-0</f>
        <v>716.5</v>
      </c>
      <c r="AA210" s="3">
        <f>1470.3+(88.2-882.3)+(0+(0-0))+0-0-0</f>
        <v>676.2</v>
      </c>
      <c r="AB210" s="3">
        <f>1453.7+(63-889.4)+(-2.965548+(-0.12852--1.814376))+0-0-0</f>
        <v>626.02030800000011</v>
      </c>
      <c r="AC210" s="3">
        <f>1373.7+(21-798.3)+(-3.502935+(-0.05355--2.035665))+0-0-0</f>
        <v>594.87918000000013</v>
      </c>
      <c r="AD210">
        <f t="shared" si="3"/>
        <v>13464.351322000002</v>
      </c>
      <c r="AE210" s="3">
        <f>1470+(70.7-834.1)+(0+(0-0))+0-0-0</f>
        <v>706.6</v>
      </c>
    </row>
    <row r="211" spans="1:31" s="2" customFormat="1" x14ac:dyDescent="0.25">
      <c r="A211">
        <v>89</v>
      </c>
      <c r="B211">
        <v>7</v>
      </c>
      <c r="C211">
        <v>25</v>
      </c>
      <c r="D211">
        <v>2</v>
      </c>
      <c r="E211">
        <v>1</v>
      </c>
      <c r="F211" s="3">
        <f>1338.8+(21.5-843.1)+(-2.048364+(-0.032895--1.289943))+0-0-0</f>
        <v>516.40868399999988</v>
      </c>
      <c r="G211" s="3">
        <f>1340.8+(30.3-885.6)+(-2.051424+(-0.046359--1.354968))+0-0-0</f>
        <v>484.75718499999988</v>
      </c>
      <c r="H211" s="3">
        <f>1340.3+(33.7-898.8)+(-2.050659+(-0.051561--1.375164))+0-0-0</f>
        <v>474.47294400000004</v>
      </c>
      <c r="I211" s="3">
        <f>1343.2+(1.5-872.8)+(-0.685032+(-0.000765--0.445128))+0-0-0</f>
        <v>471.65933100000007</v>
      </c>
      <c r="J211" s="3">
        <f>1252.9+(2.9-800.1)+(0.638979+(0.001479-0.408051))+0-0-0</f>
        <v>455.93240700000007</v>
      </c>
      <c r="K211" s="3">
        <f>1146.4+(4.7-689.1)+(-0.584664+(-0.002397--0.351441))+0-0-0</f>
        <v>461.76438000000013</v>
      </c>
      <c r="L211" s="3">
        <f>1018.6+(44.7-617.4)+(-0.519486+(-0.022797--0.314874))+0-0-0</f>
        <v>445.67259100000007</v>
      </c>
      <c r="M211" s="3">
        <f>1020.7+(58.5-604.7)+(0.520557+(0.029835-0.308397))+0-0-0</f>
        <v>474.74199499999997</v>
      </c>
      <c r="N211" s="3">
        <f>1125.4+(72.2-665.6)+(1.721862+(0.110466-1.018368))+0-0-0</f>
        <v>532.81396000000007</v>
      </c>
      <c r="O211" s="3">
        <f>1344.4+(132.3-895.2)+(0+(0-0))+0-0-0</f>
        <v>581.5</v>
      </c>
      <c r="P211" s="3">
        <f>1346.3+(187.7-923.1)+(-0.686613+(-0.095727--0.470781))+0-0-0</f>
        <v>610.58844099999988</v>
      </c>
      <c r="Q211" s="3">
        <f>1344.5+(200.4-917.1)+(-0.685695+(-0.102204--0.467721))+0-0-0</f>
        <v>627.4798219999999</v>
      </c>
      <c r="R211" s="3">
        <f>1293.7+(227.1-905.2)+(0+(0-0))+0-0-0</f>
        <v>615.6</v>
      </c>
      <c r="S211" s="3">
        <f>1286.2+(235-930.1)+(-0.655962+(-0.11985--0.474351))+0-0-0</f>
        <v>590.79853900000001</v>
      </c>
      <c r="T211" s="3">
        <f>1276.9+(242.5-940)+(0+(0-0))+0-0-0</f>
        <v>579.40000000000009</v>
      </c>
      <c r="U211" s="3">
        <f>1230.4+(241.1-901.6)+(-1.882512+(-0.368883--1.379448))+0-0-0</f>
        <v>569.02805300000011</v>
      </c>
      <c r="V211" s="3">
        <f>1232.7+(160.2-819.1)+(-1.257354+(-0.163404--0.835482))+0-0-0</f>
        <v>573.21472399999993</v>
      </c>
      <c r="W211" s="3">
        <f>1263.2+(175.4-825.6)+(-0.644232+(-0.089454--0.421056))+0-0-0</f>
        <v>612.68736999999999</v>
      </c>
      <c r="X211" s="3">
        <f>1486.4+(162.9-886)+(-2.274192+(-0.249237--1.35558))+0-0-0</f>
        <v>762.13215100000002</v>
      </c>
      <c r="Y211" s="3">
        <f>1484.3+(165.9-917.4)+(-3.027972+(-0.338436--1.871496))+0-0-0</f>
        <v>731.30508799999996</v>
      </c>
      <c r="Z211" s="3">
        <f>1486+(91.1-868.7)+(-2.27358+(-0.139383--1.329111))+0-0-0</f>
        <v>707.316148</v>
      </c>
      <c r="AA211" s="3">
        <f>1490.6+(39.3-850.5)+(-0.760206+(-0.020043--0.433755))+0-0-0</f>
        <v>679.05350599999986</v>
      </c>
      <c r="AB211" s="3">
        <f>1478.8+(35.1-873.1)+(-2.262564+(-0.053703--1.335843))+0-0-0</f>
        <v>639.81957599999998</v>
      </c>
      <c r="AC211" s="3">
        <f>1477.6+(23.7-922)+(-0.753576+(-0.012087--0.47022))+0-0-0</f>
        <v>579.00455699999998</v>
      </c>
      <c r="AD211">
        <f t="shared" si="3"/>
        <v>13777.151452</v>
      </c>
      <c r="AE211" s="3">
        <f>1492+(160.3-945.3)+(0+(0-0))+0-0-0</f>
        <v>707</v>
      </c>
    </row>
    <row r="212" spans="1:31" s="2" customFormat="1" x14ac:dyDescent="0.25">
      <c r="A212">
        <v>89</v>
      </c>
      <c r="B212">
        <v>7</v>
      </c>
      <c r="C212">
        <v>26</v>
      </c>
      <c r="D212">
        <v>3</v>
      </c>
      <c r="E212">
        <v>1</v>
      </c>
      <c r="F212" s="3">
        <f>1444.5+(30.6-939.9)+(-2.94678+(-0.062424--1.917396))+0-0-0</f>
        <v>534.10819200000003</v>
      </c>
      <c r="G212" s="3">
        <f>1089.1+(55.5-686.9)+(0.555441+(0.028305-0.350319))+0-0-0</f>
        <v>457.93342699999994</v>
      </c>
      <c r="H212" s="3">
        <f>1021.2+(50.3-635.6)+(-1.041624+(-0.051306--0.648312))+0-0-0</f>
        <v>435.45538199999999</v>
      </c>
      <c r="I212" s="3">
        <f>1008.8+(29.9-594.3)+(-2.057952+(-0.060996--1.212372))+0-0-0</f>
        <v>443.493424</v>
      </c>
      <c r="J212" s="3">
        <f>1024+(29.8-619.6)+(1.56672+(0.045594-0.947988))+0-0-0</f>
        <v>434.86432599999995</v>
      </c>
      <c r="K212" s="3">
        <f>1008.1+(24.7-578.5)+(-1.542393+(-0.037791--0.885105))+0-0-0</f>
        <v>453.60492100000005</v>
      </c>
      <c r="L212" s="3">
        <f>1021.3+(16.3-575.8)+(1.041726+(0.016626-0.587316))+0-0-0</f>
        <v>462.27103599999998</v>
      </c>
      <c r="M212" s="3">
        <f>1105.6+(36.5-659.4)+(0.563856+(0.018615-0.336294))+0-0-0</f>
        <v>482.94617699999992</v>
      </c>
      <c r="N212" s="3">
        <f>1236.2+(29-725.2)+(1.260924+(0.02958-0.739704))+0-0-0</f>
        <v>540.55079999999998</v>
      </c>
      <c r="O212" s="3">
        <f>1279.7+(29.9-728.4)+(0+(0-0))+0-0-0</f>
        <v>581.20000000000005</v>
      </c>
      <c r="P212" s="3">
        <f>1358.7+(82.8-836.4)+(0+(0-0))+0-0-0</f>
        <v>605.1</v>
      </c>
      <c r="Q212" s="3">
        <f>1383+(136.9-932.5)+(0+(0-0))+0-0-0</f>
        <v>587.4</v>
      </c>
      <c r="R212" s="3">
        <f>1384.2+(147.7-967.4)+(1.411884+(0.150654-0.986748))+0-0-0</f>
        <v>565.07578999999998</v>
      </c>
      <c r="S212" s="3">
        <f>1377.6+(171.9-987.6)+(0.702576+(0.087669-0.503676))+0-0-0</f>
        <v>562.18656899999985</v>
      </c>
      <c r="T212" s="3">
        <f>1365+(149.6-979.1)+(-2.08845+(-0.228888--1.498023))+0-0-0</f>
        <v>534.68068500000004</v>
      </c>
      <c r="U212" s="3">
        <f>1369.1+(123.9-938.5)+(-0.698241+(-0.063189--0.478635))+0-0-0</f>
        <v>554.21720499999992</v>
      </c>
      <c r="V212" s="3">
        <f>1367.5+(74.6-905.1)+(-1.39485+(-0.076092--0.923202))+0-0-0</f>
        <v>536.45226000000002</v>
      </c>
      <c r="W212" s="3">
        <f>1478.1+(117.1-929.4)+(0.753831+(0.059721-0.473994))+0-0-0</f>
        <v>666.13955799999997</v>
      </c>
      <c r="X212" s="3">
        <f>1490.3+(74.2-846.1)+(-2.280159+(-0.113526--1.294533))+0-0-0</f>
        <v>717.30084799999997</v>
      </c>
      <c r="Y212" s="3">
        <f>1508.5+(75.8-854.3)+(0+(0-0))+0-0-0</f>
        <v>730</v>
      </c>
      <c r="Z212" s="3">
        <f>1506.6+(84.7-889.7)+(0+(0-0))+0-0-0</f>
        <v>701.59999999999991</v>
      </c>
      <c r="AA212" s="3">
        <f>1490.8+(85.3-909.5)+(-3.80154+(-0.217515--2.319225))+0-0-0</f>
        <v>664.90016999999989</v>
      </c>
      <c r="AB212" s="3">
        <f>1481.2+(69.1-917.8)+(-1.510824+(-0.070482--0.936156))+0-0-0</f>
        <v>631.85485000000017</v>
      </c>
      <c r="AC212" s="3">
        <f>1369.8+(30.4-834.6)+(-4.191588+(-0.093024--2.553876))+0-0-0</f>
        <v>563.86926399999993</v>
      </c>
      <c r="AD212">
        <f t="shared" si="3"/>
        <v>13447.204884000002</v>
      </c>
      <c r="AE212" s="3">
        <f>1487+(69.1-874.8)+(0+(0-0))+0-0-0</f>
        <v>681.30000000000007</v>
      </c>
    </row>
    <row r="213" spans="1:31" s="2" customFormat="1" x14ac:dyDescent="0.25">
      <c r="A213">
        <v>89</v>
      </c>
      <c r="B213">
        <v>7</v>
      </c>
      <c r="C213">
        <v>27</v>
      </c>
      <c r="D213">
        <v>4</v>
      </c>
      <c r="E213">
        <v>1</v>
      </c>
      <c r="F213" s="3">
        <f>1339.6+(39.6-863.8)+(-1.366392+(-0.040392--0.881076))+0-0-0</f>
        <v>514.87429199999997</v>
      </c>
      <c r="G213" s="3">
        <f>1175.2+(54.4-754.7)+(-0.599352+(-0.027744--0.384897))+0-0-0</f>
        <v>474.65780099999995</v>
      </c>
      <c r="H213" s="3">
        <f>1165.9+(61.9-770.2)+(-1.783827+(-0.094707--1.178406))+0-0-0</f>
        <v>456.89987200000002</v>
      </c>
      <c r="I213" s="3">
        <f>1097.1+(70.8-716.9)+(-0.559521+(-0.036108--0.365619))+0-0-0</f>
        <v>450.76998999999989</v>
      </c>
      <c r="J213" s="3">
        <f>1024.5+(78.8-650.7)+(1.04499+(0.080376-0.663714))+0-0-0</f>
        <v>453.06165199999992</v>
      </c>
      <c r="K213" s="3">
        <f>1024.8+(66.5-633.2)+(1.045296+(0.06783-0.645864))+0-0-0</f>
        <v>458.56726199999991</v>
      </c>
      <c r="L213" s="3">
        <f>1019.3+(45.8-612.7)+(0+(0-0))+0-0-0</f>
        <v>452.39999999999986</v>
      </c>
      <c r="M213" s="3">
        <f>1046.5+(51.6-608.5)+(1.06743+(0.052632-0.62067))+0-0-0</f>
        <v>490.09939200000002</v>
      </c>
      <c r="N213" s="3">
        <f>1354+(19.2-821.1)+(0.69054+(0.009792-0.418761))+0-0-0</f>
        <v>552.38157100000001</v>
      </c>
      <c r="O213" s="3">
        <f>1373.8+(27-810)+(2.802552+(0.05508-1.6524))+0-0-0</f>
        <v>592.00523199999998</v>
      </c>
      <c r="P213" s="3">
        <f>1352.8+(63.1-814.3)+(-0.689928+(-0.032181--0.415293))+0-0-0</f>
        <v>601.293184</v>
      </c>
      <c r="Q213" s="3">
        <f>1374.6+(61.8-824.9)+(0.701046+(0.031518-0.420699))+0-0-0</f>
        <v>611.8118649999999</v>
      </c>
      <c r="R213" s="3">
        <f>1350.1+(92.9-857.8)+(-3.442755+(-0.236895--2.18739))+0-0-0</f>
        <v>583.70773999999994</v>
      </c>
      <c r="S213" s="3">
        <f>1367.3+(105.7-908.8)+(0+(0-0))+0-0-0</f>
        <v>564.20000000000005</v>
      </c>
      <c r="T213" s="3">
        <f>1395.1+(139.5-975.1)+(-0.711501+(-0.071145--0.497301))+0-0-0</f>
        <v>559.21465499999988</v>
      </c>
      <c r="U213" s="3">
        <f>1398.6+(97.3-943.4)+(-2.139858+(-0.148869--1.443402))+0-0-0</f>
        <v>551.65467499999988</v>
      </c>
      <c r="V213" s="3">
        <f>1415.7+(83.4-950.1)+(0+(0-0))+0-0-0</f>
        <v>549</v>
      </c>
      <c r="W213" s="3">
        <f>1486.5+(69.9-927)+(1.51623+(0.071298-0.94554))+0-0-0</f>
        <v>630.04198799999995</v>
      </c>
      <c r="X213" s="3">
        <f>1513.2+(68.5-879.1)+(0+(0-0))+0-0-0</f>
        <v>702.6</v>
      </c>
      <c r="Y213" s="3">
        <f>1543.6+(71.4-913.3)+(-0.787236+(-0.036414--0.465783))+0-0-0</f>
        <v>701.34213299999988</v>
      </c>
      <c r="Z213" s="3">
        <f>1542.2+(88.9-911.2)+(-1.573044+(-0.090678--0.929424))+0-0-0</f>
        <v>719.16570200000001</v>
      </c>
      <c r="AA213" s="3">
        <f>1538.7+(82.7-918.5)+(-1.569474+(-0.084354--0.93687))+0-0-0</f>
        <v>702.18304200000011</v>
      </c>
      <c r="AB213" s="3">
        <f>1486.3+(24.3-847.4)+(-3.032052+(-0.049572--1.728696))+0-0-0</f>
        <v>661.84707199999991</v>
      </c>
      <c r="AC213" s="3">
        <f>1445+(10.4-865.1)+(-2.21085+(-0.015912--1.323603))+0-0-0</f>
        <v>589.39684099999999</v>
      </c>
      <c r="AD213">
        <f t="shared" si="3"/>
        <v>13623.175961000001</v>
      </c>
      <c r="AE213" s="3">
        <f>1539+(67.5-920.7)+(0+(0-0))+0-0-0</f>
        <v>685.8</v>
      </c>
    </row>
    <row r="214" spans="1:31" s="2" customFormat="1" x14ac:dyDescent="0.25">
      <c r="A214">
        <v>89</v>
      </c>
      <c r="B214">
        <v>7</v>
      </c>
      <c r="C214">
        <v>28</v>
      </c>
      <c r="D214">
        <v>5</v>
      </c>
      <c r="E214">
        <v>1</v>
      </c>
      <c r="F214" s="3">
        <f>1249.1+(22.9-743.7)+(-3.822246+(-0.070074--2.275722))+0-0-0</f>
        <v>526.68340199999989</v>
      </c>
      <c r="G214" s="3">
        <f>1033.6+(42.6-597.6)+(-1.054272+(-0.043452--0.609552))+0-0-0</f>
        <v>478.11182799999989</v>
      </c>
      <c r="H214" s="3">
        <f>1018.1+(18-579.4)+(-1.557693+(-0.02754--0.886482))+0-0-0</f>
        <v>456.00124900000003</v>
      </c>
      <c r="I214" s="3">
        <f>1018+(12.5-578.8)+(-1.03836+(-0.01275--0.590376))+0-0-0</f>
        <v>451.23926600000004</v>
      </c>
      <c r="J214" s="3">
        <f>1016+(13-573.9)+(0.51816+(0.00663-0.292689))+0-0-0</f>
        <v>455.33210100000002</v>
      </c>
      <c r="K214" s="3">
        <f>1016+(17-574.5)+(-0.51816+(-0.00867--0.292995))+0-0-0</f>
        <v>458.266165</v>
      </c>
      <c r="L214" s="3">
        <f>1016.2+(16-577)+(-2.59131+(-0.0408--1.47135))+0-0-0</f>
        <v>454.03924000000006</v>
      </c>
      <c r="M214" s="3">
        <f>1086.2+(11.5-612.9)+(1.107924+(0.01173-0.625158))+0-0-0</f>
        <v>485.29449600000009</v>
      </c>
      <c r="N214" s="3">
        <f>1325.3+(12.8-785.5)+(0.675903+(0.006528-0.400605))+0-0-0</f>
        <v>552.88182599999993</v>
      </c>
      <c r="O214" s="3">
        <f>1348.9+(15.8-779.3)+(0+(0-0))+0-0-0</f>
        <v>585.40000000000009</v>
      </c>
      <c r="P214" s="3">
        <f>1415.4+(12.1-816)+(2.165562+(0.018513-1.24848))+0-0-0</f>
        <v>612.43559500000015</v>
      </c>
      <c r="Q214" s="3">
        <f>1456.7+(21.7-846.4)+(-0.742917+(-0.011067--0.431664))+0-0-0</f>
        <v>631.67768000000012</v>
      </c>
      <c r="R214" s="3">
        <f>1450.3+(61.3-907.2)+(-2.218959+(-0.093789--1.388016))+0-0-0</f>
        <v>603.47526799999991</v>
      </c>
      <c r="S214" s="3">
        <f>1459.8+(93.4-972.1)+(0+(0-0))+0-0-0</f>
        <v>581.09999999999991</v>
      </c>
      <c r="T214" s="3">
        <f>1452.3+(111.1-992.6)+(-0.740673+(-0.056661--0.506226))+0-0-0</f>
        <v>570.50889199999995</v>
      </c>
      <c r="U214" s="3">
        <f>1444.8+(72-1004.1)+(-1.473696+(-0.07344--1.024182))+0-0-0</f>
        <v>512.1770459999999</v>
      </c>
      <c r="V214" s="3">
        <f>1448.5+(90.7-965.7)+(-0.738735+(-0.046257--0.492507))+0-0-0</f>
        <v>573.20751499999994</v>
      </c>
      <c r="W214" s="3">
        <f>1455.3+(100.5-905.8)+(-2.226609+(-0.153765--1.385874))+0-0-0</f>
        <v>649.00549999999998</v>
      </c>
      <c r="X214" s="3">
        <f>1499.1+(78.6-836.8)+(-0.764541+(-0.040086--0.426768))+0-0-0</f>
        <v>740.52214100000003</v>
      </c>
      <c r="Y214" s="3">
        <f>1506.1+(77.1-852.4)+(-1.536222+(-0.078642--0.869448))+0-0-0</f>
        <v>730.05458399999998</v>
      </c>
      <c r="Z214" s="3">
        <f>1497.8+(39.6-817.8)+(-2.291634+(-0.060588--1.251234))+0-0-0</f>
        <v>718.49901199999999</v>
      </c>
      <c r="AA214" s="3">
        <f>1501+(20.1-825.4)+(-0.76551+(-0.010251--0.420954))+0-0-0</f>
        <v>695.34519299999999</v>
      </c>
      <c r="AB214" s="3">
        <f>1471.8+(19.6-833.2)+(-6.004944+(-0.079968--3.399456))+0-0-0</f>
        <v>655.51454399999989</v>
      </c>
      <c r="AC214" s="3">
        <f>1416.3+(20.9-813.8)+(-2.166939+(-0.031977--1.245114))+0-0-0</f>
        <v>622.44619799999998</v>
      </c>
      <c r="AD214">
        <f t="shared" si="3"/>
        <v>13799.218740999997</v>
      </c>
      <c r="AE214" s="3">
        <f>1487+(77.3-863.9)+(0+(0-0))+0-0-0</f>
        <v>700.4</v>
      </c>
    </row>
    <row r="215" spans="1:31" s="2" customFormat="1" x14ac:dyDescent="0.25">
      <c r="A215">
        <v>89</v>
      </c>
      <c r="B215">
        <v>7</v>
      </c>
      <c r="C215">
        <v>29</v>
      </c>
      <c r="D215">
        <v>6</v>
      </c>
      <c r="E215">
        <v>1</v>
      </c>
      <c r="F215" s="3">
        <f>1309.3+(28.7-828.4)+(-2.670972+(-0.058548--1.689936))+0-0-0</f>
        <v>508.56041600000003</v>
      </c>
      <c r="G215" s="3">
        <f>1161.6+(34.6-726.6)+(-1.777248+(-0.052938--1.111698))+0-0-0</f>
        <v>468.88151199999993</v>
      </c>
      <c r="H215" s="3">
        <f>1031.1+(12-610.4)+(-1.051722+(-0.01224--0.622608))+0-0-0</f>
        <v>432.25864599999994</v>
      </c>
      <c r="I215" s="3">
        <f>1031.6+(9.8-609.2)+(0+(0-0))+0-0-0</f>
        <v>432.19999999999982</v>
      </c>
      <c r="J215" s="3">
        <f>1030.8+(9-608.1)+(0+(0-0))+0-0-0</f>
        <v>431.69999999999993</v>
      </c>
      <c r="K215" s="3">
        <f>1018.6+(1.7-592.2)+(-2.077944+(-0.003468--1.208088))+0-0-0</f>
        <v>427.226676</v>
      </c>
      <c r="L215" s="3">
        <f>877.3+(70.2-535.4)+(-0.447423+(-0.035802--0.273054))+0-0-0</f>
        <v>411.88982899999996</v>
      </c>
      <c r="M215" s="3">
        <f>801.4+(90.8-455.4)+(-0.408714+(-0.046308--0.232254))+0-0-0</f>
        <v>436.57723200000004</v>
      </c>
      <c r="N215" s="3">
        <f>888.3+(114.1-507.7)+(-0.906066+(-0.116382--0.517854))+0-0-0</f>
        <v>494.19540599999993</v>
      </c>
      <c r="O215" s="3">
        <f>1111+(52.3-626.8)+(0.56661+(0.026673-0.319668))+0-0-0</f>
        <v>536.77361499999995</v>
      </c>
      <c r="P215" s="3">
        <f>1109+(76.8-624.2)+(0.56559+(0.039168-0.318342))+0-0-0</f>
        <v>561.88641599999994</v>
      </c>
      <c r="Q215" s="3">
        <f>1099.6+(34.9-560.6)+(-0.560796+(-0.017799--0.285906))+0-0-0</f>
        <v>573.60731099999987</v>
      </c>
      <c r="R215" s="3">
        <f>1088.1+(33.7-565)+(-2.774655+(-0.085935--1.44075))+0-0-0</f>
        <v>555.38015999999993</v>
      </c>
      <c r="S215" s="3">
        <f>1096.3+(35.1-587)+(0+(0-0))+0-0-0</f>
        <v>544.4</v>
      </c>
      <c r="T215" s="3">
        <f>1101+(40.7-609.3)+(0.56151+(0.020757-0.310743))+0-0-0</f>
        <v>532.67152400000009</v>
      </c>
      <c r="U215" s="3">
        <f>1085+(22.1-607.3)+(-2.76675+(-0.056355--1.548615))+0-0-0</f>
        <v>498.52551000000005</v>
      </c>
      <c r="V215" s="3">
        <f>1089+(15.5-603.1)+(-2.22156+(-0.03162--1.230324))+0-0-0</f>
        <v>500.37714399999999</v>
      </c>
      <c r="W215" s="3">
        <f>1157.1+(18.2-604.5)+(0.590121+(0.009282-0.308295))+0-0-0</f>
        <v>571.09110799999996</v>
      </c>
      <c r="X215" s="3">
        <f>1236.2+(83-645.8)+(1.260924+(0.08466-0.658716))+0-0-0</f>
        <v>674.08686800000009</v>
      </c>
      <c r="Y215" s="3">
        <f>1224+(93.9-637.4)+(-3.1212+(-0.239445--1.62537))+0-0-0</f>
        <v>678.764725</v>
      </c>
      <c r="Z215" s="3">
        <f>1224.8+(90.7-642.6)+(-2.498592+(-0.185028--1.310904))+0-0-0</f>
        <v>671.52728400000001</v>
      </c>
      <c r="AA215" s="3">
        <f>1229.9+(90.6-679.1)+(-1.254498+(-0.092412--0.692682))+0-0-0</f>
        <v>640.7457720000001</v>
      </c>
      <c r="AB215" s="3">
        <f>1179.5+(80.4-644.5)+(-1.804635+(-0.123012--0.986085))+0-0-0</f>
        <v>614.458438</v>
      </c>
      <c r="AC215" s="3">
        <f>1124.8+(39.1-619.5)+(0+(0-0))+0-0-0</f>
        <v>544.4</v>
      </c>
      <c r="AD215">
        <f t="shared" si="3"/>
        <v>12742.185592</v>
      </c>
      <c r="AE215" s="3">
        <f>1245+(79.2-662.8)+(0+(0-0))+0-0-0</f>
        <v>661.40000000000009</v>
      </c>
    </row>
    <row r="216" spans="1:31" s="2" customFormat="1" x14ac:dyDescent="0.25">
      <c r="A216">
        <v>89</v>
      </c>
      <c r="B216">
        <v>7</v>
      </c>
      <c r="C216">
        <v>30</v>
      </c>
      <c r="D216">
        <v>7</v>
      </c>
      <c r="E216">
        <v>1</v>
      </c>
      <c r="F216" s="3">
        <f>1096.2+(26.5-613)+(0.559062+(0.013515-0.31263))+0-0-0</f>
        <v>509.95994700000006</v>
      </c>
      <c r="G216" s="3">
        <f>997.3+(27.3-582.8)+(-2.034492+(-0.055692--1.188912))+0-0-0</f>
        <v>440.89872799999995</v>
      </c>
      <c r="H216" s="3">
        <f>994.6+(26.7-565.4)+(-2.53623+(-0.068085--1.44177))+0-0-0</f>
        <v>454.73745500000007</v>
      </c>
      <c r="I216" s="3">
        <f>938.9+(46.1-545.5)+(-1.436517+(-0.070533--0.834615))+0-0-0</f>
        <v>438.82756499999999</v>
      </c>
      <c r="J216" s="3">
        <f>879.4+(75-512.4)+(0+(0-0))+0-0-0</f>
        <v>442</v>
      </c>
      <c r="K216" s="3">
        <f>879.8+(83.7-515)+(0+(0-0))+0-0-0</f>
        <v>448.49999999999994</v>
      </c>
      <c r="L216" s="3">
        <f>717.4+(150.8-460)+(-1.097622+(-0.230724--0.7038))+0-0-0</f>
        <v>407.57545399999998</v>
      </c>
      <c r="M216" s="3">
        <f>647.4+(192.8-439.3)+(0.330174+(0.098328-0.224043))+0-0-0</f>
        <v>401.10445899999996</v>
      </c>
      <c r="N216" s="3">
        <f>644.7+(202.8-404.8)+(0+(0-0))+0-0-0</f>
        <v>442.70000000000005</v>
      </c>
      <c r="O216" s="3">
        <f>650.7+(225-416.6)+(0+(0-0))+0-0-0</f>
        <v>459.1</v>
      </c>
      <c r="P216" s="3">
        <f>745.9+(215.9-458.6)+(-1.141227+(-0.330327--0.701658))+0-0-0</f>
        <v>502.43010399999991</v>
      </c>
      <c r="Q216" s="3">
        <f>827+(149.2-451.4)+(0+(0-0))+0-0-0</f>
        <v>524.79999999999995</v>
      </c>
      <c r="R216" s="3">
        <f>858.6+(127.8-484.1)+(-0.437886+(-0.065178--0.246891))+0-0-0</f>
        <v>502.04382700000002</v>
      </c>
      <c r="S216" s="3">
        <f>848.6+(119.5-504.1)+(-1.731144+(-0.24378--1.028364))+0-0-0</f>
        <v>463.05344000000002</v>
      </c>
      <c r="T216" s="3">
        <f>849.9+(96.2-491.8)+(-1.300347+(-0.147186--0.752454))+0-0-0</f>
        <v>453.60492099999993</v>
      </c>
      <c r="U216" s="3">
        <f>843.1+(95.3-485.1)+(-2.149905+(-0.243015--1.237005))+0-0-0</f>
        <v>452.14408500000002</v>
      </c>
      <c r="V216" s="3">
        <f>889.4+(75.6-499)+(-0.907188+(-0.077112--0.50898))+0-0-0</f>
        <v>465.52467999999999</v>
      </c>
      <c r="W216" s="3">
        <f>963.4+(61.9-459.2)+(0.982668+(0.063138-0.468384))+0-0-0</f>
        <v>566.67742199999986</v>
      </c>
      <c r="X216" s="3">
        <f>1026.9+(132.2-534.8)+(1.571157+(0.202266-0.818244))+0-0-0</f>
        <v>625.25517900000023</v>
      </c>
      <c r="Y216" s="3">
        <f>1015.4+(149.8-539.8)+(0.517854+(0.076398-0.275298))+0-0-0</f>
        <v>625.71895400000005</v>
      </c>
      <c r="Z216" s="3">
        <f>1015.5+(132.4-531)+(0.517905+(0.067524-0.27081))+0-0-0</f>
        <v>617.21461899999997</v>
      </c>
      <c r="AA216" s="3">
        <f>1005.8+(118-542.3)+(-1.025916+(-0.12036--0.553146))+0-0-0</f>
        <v>580.90687000000003</v>
      </c>
      <c r="AB216" s="3">
        <f>1001.8+(89.5-537.9)+(-1.532754+(-0.136935--0.822987))+0-0-0</f>
        <v>552.55329799999993</v>
      </c>
      <c r="AC216" s="3">
        <f>964.2+(79.7-533.3)+(-0.983484+(-0.081294--0.543966))+0-0-0</f>
        <v>510.0791880000001</v>
      </c>
      <c r="AD216">
        <f t="shared" si="3"/>
        <v>11887.410195000002</v>
      </c>
      <c r="AE216" s="3">
        <f>1025+(143.8-578.6)+(0+(0-0))+0-0-0</f>
        <v>590.20000000000005</v>
      </c>
    </row>
    <row r="217" spans="1:31" s="2" customFormat="1" x14ac:dyDescent="0.25">
      <c r="A217">
        <v>89</v>
      </c>
      <c r="B217">
        <v>8</v>
      </c>
      <c r="C217">
        <v>1</v>
      </c>
      <c r="D217">
        <v>1</v>
      </c>
      <c r="E217">
        <v>1</v>
      </c>
      <c r="F217" s="3">
        <f>850+(90.8-492.9)+(-0.867+(-0.092616--0.502758))+0-0-0</f>
        <v>447.44314200000002</v>
      </c>
      <c r="G217" s="3">
        <f>733.6+(107.8-427.6)+(-1.122408+(-0.164934--0.654228))+0-0-0</f>
        <v>413.16688600000003</v>
      </c>
      <c r="H217" s="3">
        <f>704.4+(119.1-425.9)+(-1.077732+(-0.182223--0.651627))+0-0-0</f>
        <v>396.99167200000005</v>
      </c>
      <c r="I217" s="3">
        <f>715.3+(110.4-435.8)+(-1.094409+(-0.168912--0.666774))+0-0-0</f>
        <v>389.30345299999999</v>
      </c>
      <c r="J217" s="3">
        <f>709.5+(115.1-440.3)+(-1.44738+(-0.234804--0.898212))+0-0-0</f>
        <v>383.51602799999995</v>
      </c>
      <c r="K217" s="3">
        <f>719.7+(114.3-430.4)+(0+(0-0))+0-0-0</f>
        <v>403.60000000000008</v>
      </c>
      <c r="L217" s="3">
        <f>718.8+(126-445.9)+(-0.366588+(-0.06426--0.227409))+0-0-0</f>
        <v>398.69656099999997</v>
      </c>
      <c r="M217" s="3">
        <f>792.6+(110.9-462.6)+(1.212678+(0.169677-0.707778))+0-0-0</f>
        <v>441.57457699999998</v>
      </c>
      <c r="N217" s="3">
        <f>995.1+(19.1-509.1)+(0+(0-0))+0-0-0</f>
        <v>505.1</v>
      </c>
      <c r="O217" s="3">
        <f>1013.2+(60.9-543.2)+(-0.516732+(-0.031059--0.277032))+0-0-0</f>
        <v>530.62924099999998</v>
      </c>
      <c r="P217" s="3">
        <f>1023.6+(108.9-571.9)+(1.566108+(0.166617-0.875007))+0-0-0</f>
        <v>561.457718</v>
      </c>
      <c r="Q217" s="3">
        <f>1091.6+(180.5-684.9)+(0+(0-0))+0-0-0</f>
        <v>587.19999999999993</v>
      </c>
      <c r="R217" s="3">
        <f>1108+(181.1-713.4)+(-1.69524+(-0.277083--1.091502))+0-0-0</f>
        <v>574.81917900000008</v>
      </c>
      <c r="S217" s="3">
        <f>1102.9+(189.7-723.8)+(-3.374874+(-0.580482--2.214828))+0-0-0</f>
        <v>567.05947200000014</v>
      </c>
      <c r="T217" s="3">
        <f>1118.8+(188.3-748.6)+(0+(0-0))+0-0-0</f>
        <v>558.5</v>
      </c>
      <c r="U217" s="3">
        <f>1111.8+(180.6-770.6)+(-1.134036+(-0.184212--0.786012))+0-0-0</f>
        <v>521.26776399999994</v>
      </c>
      <c r="V217" s="3">
        <f>1106+(78-653.3)+(-1.69218+(-0.11934--0.999549))+0-0-0</f>
        <v>529.88802900000007</v>
      </c>
      <c r="W217" s="3">
        <f>1123.3+(135.7-637.8)+(0.572883+(0.069207-0.325278))+0-0-0</f>
        <v>621.51681200000007</v>
      </c>
      <c r="X217" s="3">
        <f>1131.2+(140.6-583.8)+(-1.730736+(-0.215118--0.893214))+0-0-0</f>
        <v>686.94736000000012</v>
      </c>
      <c r="Y217" s="3">
        <f>1152.6+(137.2-609.2)+(-1.175652+(-0.139944--0.621384))+0-0-0</f>
        <v>679.90578799999992</v>
      </c>
      <c r="Z217" s="3">
        <f>1151.3+(137.4-623.2)+(-1.761489+(-0.210222--0.953496))+0-0-0</f>
        <v>664.48178499999983</v>
      </c>
      <c r="AA217" s="3">
        <f>1151.5+(130.7-641)+(-1.17453+(-0.133314--0.65382))+0-0-0</f>
        <v>640.545976</v>
      </c>
      <c r="AB217" s="3">
        <f>1180.6+(73.1-659.7)+(-3.01053+(-0.186405--1.682235))+0-0-0</f>
        <v>592.48529999999994</v>
      </c>
      <c r="AC217" s="3">
        <f>1232.4+(24.5-708.1)+(-3.14262+(-0.062475--1.805655))+0-0-0</f>
        <v>547.40056000000004</v>
      </c>
      <c r="AD217">
        <f t="shared" si="3"/>
        <v>12643.497302999998</v>
      </c>
      <c r="AE217" s="3">
        <f>1130+(146.8-611.1)+(0+(0-0))+0-0-0</f>
        <v>665.7</v>
      </c>
    </row>
    <row r="218" spans="1:31" s="2" customFormat="1" x14ac:dyDescent="0.25">
      <c r="A218">
        <v>89</v>
      </c>
      <c r="B218">
        <v>8</v>
      </c>
      <c r="C218">
        <v>2</v>
      </c>
      <c r="D218">
        <v>2</v>
      </c>
      <c r="E218">
        <v>1</v>
      </c>
      <c r="F218" s="3">
        <f>1061.1+(50.4-630.8)+(-2.164644+(-0.102816--1.286832))+0-0-0</f>
        <v>479.71937199999991</v>
      </c>
      <c r="G218" s="3">
        <f>1025.3+(55-634.2)+(-0.522903+(-0.02805--0.323442))+0-0-0</f>
        <v>445.87248899999992</v>
      </c>
      <c r="H218" s="3">
        <f>992.3+(62.7-619.3)+(-2.530365+(-0.159885--1.579215))+0-0-0</f>
        <v>434.58896500000003</v>
      </c>
      <c r="I218" s="3">
        <f>905.8+(93.4-556.9)+(2.30979+(0.23817-1.420095))+0-0-0</f>
        <v>443.42786499999994</v>
      </c>
      <c r="J218" s="3">
        <f>780.7+(127.9-487.7)+(0.796314+(0.130458-0.497454))+0-0-0</f>
        <v>421.32931800000011</v>
      </c>
      <c r="K218" s="3">
        <f>662.5+(190.2-418.1)+(-0.67575+(-0.194004--0.426462))+0-0-0</f>
        <v>434.15670799999998</v>
      </c>
      <c r="L218" s="3">
        <f>681.1+(241.9-480.6)+(-0.694722+(-0.246738--0.490212))+0-0-0</f>
        <v>441.94875199999996</v>
      </c>
      <c r="M218" s="3">
        <f>777+(220.4-527)+(0.79254+(0.224808-0.53754))+0-0-0</f>
        <v>470.87980799999997</v>
      </c>
      <c r="N218" s="3">
        <f>1000.2+(86.1-558.9)+(-1.530306+(-0.131733--0.855117))+0-0-0</f>
        <v>526.59307800000011</v>
      </c>
      <c r="O218" s="3">
        <f>1097.2+(93.6-630.9)+(-1.678716+(-0.143208--0.965277))+0-0-0</f>
        <v>559.04335300000014</v>
      </c>
      <c r="P218" s="3">
        <f>1098.3+(115.9-630)+(-1.680399+(-0.177327--0.9639))+0-0-0</f>
        <v>583.30617399999994</v>
      </c>
      <c r="Q218" s="3">
        <f>1093.7+(128.6-632.3)+(-2.788935+(-0.32793--1.612365))+0-0-0</f>
        <v>588.49550000000011</v>
      </c>
      <c r="R218" s="3">
        <f>1090.8+(113.6-658.7)+(-2.78154+(-0.28968--1.679685))+0-0-0</f>
        <v>544.30846499999996</v>
      </c>
      <c r="S218" s="3">
        <f>1098.2+(143-712.6)+(-1.120164+(-0.14586--0.726852))+0-0-0</f>
        <v>528.06082800000001</v>
      </c>
      <c r="T218" s="3">
        <f>1094+(154-721.1)+(-2.23176+(-0.31416--1.471044))+0-0-0</f>
        <v>525.82512399999996</v>
      </c>
      <c r="U218" s="3">
        <f>1095.3+(142.6-708.5)+(-2.234412+(-0.290904--1.44534))+0-0-0</f>
        <v>528.32002399999999</v>
      </c>
      <c r="V218" s="3">
        <f>1105.3+(45.7-609.2)+(0.563703+(0.023307-0.310692))+0-0-0</f>
        <v>542.0763179999999</v>
      </c>
      <c r="W218" s="3">
        <f>1220.8+(63.2-647.8)+(0+(0-0))+0-0-0</f>
        <v>636.20000000000005</v>
      </c>
      <c r="X218" s="3">
        <f>1250.2+(118.4-679)+(-2.550408+(-0.241536--1.38516))+0-0-0</f>
        <v>688.19321600000001</v>
      </c>
      <c r="Y218" s="3">
        <f>1292+(78.6-685)+(-2.63568+(-0.160344--1.3974))+0-0-0</f>
        <v>684.20137599999998</v>
      </c>
      <c r="Z218" s="3">
        <f>1291.8+(54.7-674.2)+(-1.317636+(-0.055794--0.687684))+0-0-0</f>
        <v>671.61425399999996</v>
      </c>
      <c r="AA218" s="3">
        <f>1222.8+(68.8-677.1)+(-1.247256+(-0.070176--0.690642))+0-0-0</f>
        <v>613.87320999999986</v>
      </c>
      <c r="AB218" s="3">
        <f>1168.5+(55.8-660.9)+(-2.979675+(-0.14229--1.685295))+0-0-0</f>
        <v>561.96332999999993</v>
      </c>
      <c r="AC218" s="3">
        <f>1169.8+(32.9-669.4)+(-2.98299+(-0.083895--1.70697))+0-0-0</f>
        <v>531.94008499999995</v>
      </c>
      <c r="AD218">
        <f t="shared" si="3"/>
        <v>12885.937612</v>
      </c>
      <c r="AE218" s="3">
        <f>1242+(128.7-708.8)+(0+(0-0))+0-0-0</f>
        <v>661.90000000000009</v>
      </c>
    </row>
    <row r="219" spans="1:31" s="2" customFormat="1" x14ac:dyDescent="0.25">
      <c r="A219">
        <v>89</v>
      </c>
      <c r="B219">
        <v>8</v>
      </c>
      <c r="C219">
        <v>3</v>
      </c>
      <c r="D219">
        <v>3</v>
      </c>
      <c r="E219">
        <v>1</v>
      </c>
      <c r="F219" s="3">
        <f>1170.3+(0-690.1)+(-1.790559+(0--1.055853))+0-0-0</f>
        <v>479.46529399999991</v>
      </c>
      <c r="G219" s="3">
        <f>1166.3+(2.6-712.7)+(-2.974065+(-0.00663--1.817385))+0-0-0</f>
        <v>455.03668999999991</v>
      </c>
      <c r="H219" s="3">
        <f>918.6+(64-537.5)+(-0.936972+(-0.06528--0.54825))+0-0-0</f>
        <v>444.64599800000002</v>
      </c>
      <c r="I219" s="3">
        <f>841.1+(81-482.2)+(0+(0-0))+0-0-0</f>
        <v>439.90000000000003</v>
      </c>
      <c r="J219" s="3">
        <f>841.2+(71.6-483.2)+(0.429012+(0.036516-0.246432))+0-0-0</f>
        <v>429.819096</v>
      </c>
      <c r="K219" s="3">
        <f>834.8+(58.4-465.4)+(-0.851496+(-0.059568--0.474708))+0-0-0</f>
        <v>427.36364399999997</v>
      </c>
      <c r="L219" s="3">
        <f>837.3+(94.1-490.7)+(-0.427023+(-0.047991--0.250257))+0-0-0</f>
        <v>440.47524299999992</v>
      </c>
      <c r="M219" s="3">
        <f>862.5+(111.3-501.7)+(1.319625+(0.170289-0.767601))+0-0-0</f>
        <v>472.82231300000001</v>
      </c>
      <c r="N219" s="3">
        <f>1141+(8.7-616.2)+(-0.58191+(-0.004437--0.314262))+0-0-0</f>
        <v>533.22791500000005</v>
      </c>
      <c r="O219" s="3">
        <f>1245.8+(68.1-749)+(-0.635358+(-0.034731--0.38199))+0-0-0</f>
        <v>564.61190099999999</v>
      </c>
      <c r="P219" s="3">
        <f>1237.5+(70.1-729.8)+(0+(0-0))+0-0-0</f>
        <v>577.80000000000007</v>
      </c>
      <c r="Q219" s="3">
        <f>1234+(93-752.5)+(-1.25868+(-0.09486--0.76755))+0-0-0</f>
        <v>573.91400999999996</v>
      </c>
      <c r="R219" s="3">
        <f>1224+(113.1-794.5)+(-3.74544+(-0.346086--2.43117))+0-0-0</f>
        <v>540.93964400000004</v>
      </c>
      <c r="S219" s="3">
        <f>1227.7+(114.7-808.5)+(-2.504508+(-0.233988--1.64934))+0-0-0</f>
        <v>532.81084400000009</v>
      </c>
      <c r="T219" s="3">
        <f>1214.4+(107.4-798.5)+(-1.858032+(-0.164322--1.221705))+0-0-0</f>
        <v>522.49935100000005</v>
      </c>
      <c r="U219" s="3">
        <f>1245.8+(113.7-836.8)+(1.270716+(0.115974-0.853536))+0-0-0</f>
        <v>523.23315400000001</v>
      </c>
      <c r="V219" s="3">
        <f>1230.7+(163.5-848.5)+(0+(0-0))+0-0-0</f>
        <v>545.70000000000005</v>
      </c>
      <c r="W219" s="3">
        <f>1273+(149.4-790.7)+(0.64923+(0.076194-0.403257))+0-0-0</f>
        <v>632.02216699999997</v>
      </c>
      <c r="X219" s="3">
        <f>1300.8+(115.1-717.3)+(-0.663408+(-0.058701--0.365823))+0-0-0</f>
        <v>698.24371400000007</v>
      </c>
      <c r="Y219" s="3">
        <f>1219.9+(151.8-677.7)+(-2.488596+(-0.309672--1.382508))+0-0-0</f>
        <v>692.58424000000002</v>
      </c>
      <c r="Z219" s="3">
        <f>1030+(224.7-592.8)+(-1.0506+(-0.229194--0.604656))+0-0-0</f>
        <v>661.22486200000014</v>
      </c>
      <c r="AA219" s="3">
        <f>1030.9+(204.2-596.7)+(-0.525759+(-0.104142--0.304317))+0-0-0</f>
        <v>638.07441600000004</v>
      </c>
      <c r="AB219" s="3">
        <f>1025.1+(150.7-576.6)+(-1.568403+(-0.230571--0.882198))+0-0-0</f>
        <v>598.28322399999979</v>
      </c>
      <c r="AC219" s="3">
        <f>1013.5+(130.3-596.9)+(-2.584425+(-0.332265--1.522095))+0-0-0</f>
        <v>545.50540500000011</v>
      </c>
      <c r="AD219">
        <f t="shared" si="3"/>
        <v>12970.203125</v>
      </c>
      <c r="AE219" s="3">
        <f>1311+(111.4-763.4)+(0+(0-0))+0-0-0</f>
        <v>659</v>
      </c>
    </row>
    <row r="220" spans="1:31" s="2" customFormat="1" x14ac:dyDescent="0.25">
      <c r="A220">
        <v>89</v>
      </c>
      <c r="B220">
        <v>8</v>
      </c>
      <c r="C220">
        <v>4</v>
      </c>
      <c r="D220">
        <v>4</v>
      </c>
      <c r="E220">
        <v>1</v>
      </c>
      <c r="F220" s="3">
        <f>963+(97.7-574.9)+(-1.96452+(-0.199308--1.172796))+0-0-0</f>
        <v>484.80896799999999</v>
      </c>
      <c r="G220" s="3">
        <f>806+(131.1-487.4)+(0+(0-0))+0-0-0</f>
        <v>449.70000000000005</v>
      </c>
      <c r="H220" s="3">
        <f>788.8+(121.1-487.9)+(0.402288+(0.061761-0.248829))+0-0-0</f>
        <v>422.21521999999999</v>
      </c>
      <c r="I220" s="3">
        <f>792.1+(105.7-479.1)+(0.807942+(0.107814-0.488682))+0-0-0</f>
        <v>419.12707399999999</v>
      </c>
      <c r="J220" s="3">
        <f>788+(105-470.7)+(-0.80376+(-0.1071--0.480114))+0-0-0</f>
        <v>421.86925400000001</v>
      </c>
      <c r="K220" s="3">
        <f>787.4+(116.5-470.3)+(-0.803148+(-0.11883--0.479706))+0-0-0</f>
        <v>433.15772799999996</v>
      </c>
      <c r="L220" s="3">
        <f>786.5+(114.9-462.4)+(-1.203345+(-0.175797--0.707472))+0-0-0</f>
        <v>438.32832999999999</v>
      </c>
      <c r="M220" s="3">
        <f>791.9+(125.8-460.4)+(-0.403869+(-0.064158--0.234804))+0-0-0</f>
        <v>457.066777</v>
      </c>
      <c r="N220" s="3">
        <f>885.3+(121.2-498.4)+(0+(0-0))+0-0-0</f>
        <v>508.09999999999997</v>
      </c>
      <c r="O220" s="3">
        <f>996.6+(118.7-575.6)+(0.508266+(0.060537-0.293556))+0-0-0</f>
        <v>539.97524700000008</v>
      </c>
      <c r="P220" s="3">
        <f>1051.7+(98.3-575.2)+(0+(0-0))+0-0-0</f>
        <v>574.79999999999995</v>
      </c>
      <c r="Q220" s="3">
        <f>1052.3+(143.4-625.5)+(-0.536673+(-0.073134--0.319005))+0-0-0</f>
        <v>569.90919799999995</v>
      </c>
      <c r="R220" s="3">
        <f>1036.8+(154.5-650.4)+(-1.586304+(-0.236385--0.995112))+0-0-0</f>
        <v>540.07242299999996</v>
      </c>
      <c r="S220" s="3">
        <f>1047.1+(143-660.1)+(-2.136084+(-0.29172--1.346604))+0-0-0</f>
        <v>528.91879999999992</v>
      </c>
      <c r="T220" s="3">
        <f>978.3+(163.9-628.9)+(-2.494665+(-0.417945--1.603695))+0-0-0</f>
        <v>511.99108499999994</v>
      </c>
      <c r="U220" s="3">
        <f>997.4+(114.9-609.6)+(-2.034696+(-0.234396--1.243584))+0-0-0</f>
        <v>501.67449199999993</v>
      </c>
      <c r="V220" s="3">
        <f>944.2+(141.5-548.5)+(-0.481542+(-0.072165--0.279735))+0-0-0</f>
        <v>536.92602800000009</v>
      </c>
      <c r="W220" s="3">
        <f>969.3+(146.7-476.5)+(0+(0-0))+0-0-0</f>
        <v>639.5</v>
      </c>
      <c r="X220" s="3">
        <f>1084.5+(179.5-569)+(-1.659285+(-0.274635--0.87057))+0-0-0</f>
        <v>693.93664999999999</v>
      </c>
      <c r="Y220" s="3">
        <f>1086.8+(194.4-593.7)+(-3.325608+(-0.594864--1.816722))+0-0-0</f>
        <v>685.3962499999999</v>
      </c>
      <c r="Z220" s="3">
        <f>1139.3+(163.6-616.9)+(-1.743129+(-0.250308--0.943857))+0-0-0</f>
        <v>684.95042000000001</v>
      </c>
      <c r="AA220" s="3">
        <f>1220.8+(108.8-673.3)+(0.622608+(0.055488-0.343383))+0-0-0</f>
        <v>656.63471299999992</v>
      </c>
      <c r="AB220" s="3">
        <f>1202.7+(65.8-660.9)+(-1.226754+(-0.067116--0.674118))+0-0-0</f>
        <v>606.98024800000007</v>
      </c>
      <c r="AC220" s="3">
        <f>1193.5+(78.6-730.9)+(-2.43474+(-0.160344--1.491036))+0-0-0</f>
        <v>540.09595200000001</v>
      </c>
      <c r="AD220">
        <f t="shared" si="3"/>
        <v>12846.134856999997</v>
      </c>
      <c r="AE220" s="3">
        <f>1088+(183.2-616.9)+(0+(0-0))+0-0-0</f>
        <v>654.29999999999995</v>
      </c>
    </row>
    <row r="221" spans="1:31" s="2" customFormat="1" x14ac:dyDescent="0.25">
      <c r="A221">
        <v>89</v>
      </c>
      <c r="B221">
        <v>8</v>
      </c>
      <c r="C221">
        <v>5</v>
      </c>
      <c r="D221">
        <v>5</v>
      </c>
      <c r="E221">
        <v>1</v>
      </c>
      <c r="F221" s="3">
        <f>1200.9+(37.8-738.1)+(-1.224918+(-0.038556--0.752862))+0-0-0</f>
        <v>500.08938800000004</v>
      </c>
      <c r="G221" s="3">
        <f>1190+(18.9-739.4)+(-3.0345+(-0.048195--1.88547))+0-0-0</f>
        <v>468.302775</v>
      </c>
      <c r="H221" s="3">
        <f>1202.2+(0-755)+(-0.613122+(0--0.38505))+0-0-0</f>
        <v>446.97192800000005</v>
      </c>
      <c r="I221" s="3">
        <f>1175.8+(6.8-741.3)+(-0.599658+(-0.003468--0.378063))+0-0-0</f>
        <v>441.07493699999998</v>
      </c>
      <c r="J221" s="3">
        <f>1094.2+(30.6-677.3)+(2.79021+(0.07803-1.727115))+0-0-0</f>
        <v>448.6411250000001</v>
      </c>
      <c r="K221" s="3">
        <f>1014.7+(49.7-611.8)+(0.517497+(0.025347-0.312018))+4.6-0-0</f>
        <v>457.43082600000014</v>
      </c>
      <c r="L221" s="3">
        <f>653.5+(88.5-358)+(-0.999855+(-0.135405--0.54774))+9.1-0-0</f>
        <v>392.51248000000004</v>
      </c>
      <c r="M221" s="3">
        <f>653.6+(158.2-385.2)+(0.666672+(0.161364-0.392904))+0-0-0</f>
        <v>427.03513200000003</v>
      </c>
      <c r="N221" s="3">
        <f>881.2+(112.5-484.9)+(-1.348236+(-0.172125--0.741897))+0-0-0</f>
        <v>508.02153600000008</v>
      </c>
      <c r="O221" s="3">
        <f>1027.7+(70.7-558.1)+(0+(0-0))+0-0-0</f>
        <v>540.29999999999995</v>
      </c>
      <c r="P221" s="3">
        <f>1060.1+(82.5-577.5)+(0+(0-0))+0-0-0</f>
        <v>565.09999999999991</v>
      </c>
      <c r="Q221" s="3">
        <f>1110.9+(96.9-622)+(-0.566559+(-0.049419--0.31722))+0-0-0</f>
        <v>585.50124200000005</v>
      </c>
      <c r="R221" s="3">
        <f>1139.3+(80.8-657.8)+(-2.905215+(-0.20604--1.67739))+0-0-0</f>
        <v>560.86613499999999</v>
      </c>
      <c r="S221" s="3">
        <f>1146.7+(101.6-700.1)+(-1.754451+(-0.155448--1.071153))+0-0-0</f>
        <v>547.36125400000003</v>
      </c>
      <c r="T221" s="3">
        <f>1148.5+(103.5-703.7)+(-1.757205+(-0.158355--1.076661))+0-0-0</f>
        <v>547.46110099999999</v>
      </c>
      <c r="U221" s="3">
        <f>1146.1+(100.7-714.1)+(-2.922555+(-0.256785--1.820955))+0-0-0</f>
        <v>531.34161499999993</v>
      </c>
      <c r="V221" s="3">
        <f>1149.2+(110-684.7)+(-2.93046+(-0.2805--1.745985))+0-0-0</f>
        <v>573.03502500000002</v>
      </c>
      <c r="W221" s="3">
        <f>1201.5+(129.2-669)+(-1.22553+(-0.131784--0.68238))+0-0-0</f>
        <v>661.02506600000004</v>
      </c>
      <c r="X221" s="3">
        <f>1200.2+(124-607.7)+(-1.224204+(-0.12648--0.619854))+0-0-0</f>
        <v>715.76917000000003</v>
      </c>
      <c r="Y221" s="3">
        <f>1222+(121.2-633.4)+(-1.86966+(-0.185436--0.969102))+0-0-0</f>
        <v>708.71400600000004</v>
      </c>
      <c r="Z221" s="3">
        <f>1245.3+(104.1-649.8)+(-1.270206+(-0.106182--0.662796))+0-0-0</f>
        <v>698.88640800000007</v>
      </c>
      <c r="AA221" s="3">
        <f>1246.2+(48.3-628.3)+(-3.17781+(-0.123165--1.602165))+0-0-0</f>
        <v>664.50119000000007</v>
      </c>
      <c r="AB221" s="3">
        <f>1283.1+(30-701.8)+(0.654381+(0.0153-0.357918))+0-0-0</f>
        <v>611.611763</v>
      </c>
      <c r="AC221" s="3">
        <f>1190.5+(13.9-665.4)+(-3.035775+(-0.035445--1.69677))+0-0-0</f>
        <v>537.62554999999998</v>
      </c>
      <c r="AD221">
        <f t="shared" si="3"/>
        <v>13139.179652000004</v>
      </c>
      <c r="AE221" s="3">
        <f>1204+(121.9-640)+(0+(0-0))+0-0-0</f>
        <v>685.9</v>
      </c>
    </row>
    <row r="222" spans="1:31" s="2" customFormat="1" x14ac:dyDescent="0.25">
      <c r="A222">
        <v>89</v>
      </c>
      <c r="B222">
        <v>8</v>
      </c>
      <c r="C222">
        <v>6</v>
      </c>
      <c r="D222">
        <v>6</v>
      </c>
      <c r="E222">
        <v>1</v>
      </c>
      <c r="F222" s="3">
        <f>1101.2+(10.4-612.5)+(-2.246448+(-0.021216--1.2495))+0-0-0</f>
        <v>498.08183600000001</v>
      </c>
      <c r="G222" s="3">
        <f>872.3+(93.2-498.5)+(0.444873+(0.047532-0.254235))+0-0-0</f>
        <v>467.23816999999997</v>
      </c>
      <c r="H222" s="3">
        <f>856.7+(84.4-500.6)+(0.436917+(0.043044-0.255306))+0-0-0</f>
        <v>440.72465499999998</v>
      </c>
      <c r="I222" s="3">
        <f>851.8+(71.6-494.4)+(-0.868836+(-0.073032--0.504288))+0-0-0</f>
        <v>428.56241999999997</v>
      </c>
      <c r="J222" s="3">
        <f>848+(57.6-473.5)+(-0.43248+(-0.029376--0.241485))+0-0-0</f>
        <v>431.87962900000002</v>
      </c>
      <c r="K222" s="3">
        <f>792.5+(63.9-432.5)+(-0.80835+(-0.065178--0.44115))+0-0-0</f>
        <v>423.46762199999995</v>
      </c>
      <c r="L222" s="3">
        <f>802.7+(75.7-453.2)+(-0.818754+(-0.077214--0.462264))+0-0-0</f>
        <v>424.76629600000007</v>
      </c>
      <c r="M222" s="3">
        <f>821.7+(65.2-431.4)+(-0.419067+(-0.033252--0.220014))+0-0-0</f>
        <v>455.26769500000006</v>
      </c>
      <c r="N222" s="3">
        <f>870.6+(94.6-462.5)+(1.332018+(0.144738-0.707625))+0-0-0</f>
        <v>503.46913100000006</v>
      </c>
      <c r="O222" s="3">
        <f>1058.3+(14.2-540)+(1.079466+(0.014484-0.5508))+0-0-0</f>
        <v>533.04314999999997</v>
      </c>
      <c r="P222" s="3">
        <f>1125.3+(5.7-576.7)+(-2.295612+(-0.011628--1.176468))+0-0-0</f>
        <v>553.16922799999998</v>
      </c>
      <c r="Q222" s="3">
        <f>1133+(14.6-588.5)+(-1.15566+(-0.014892--0.60027))+0-0-0</f>
        <v>558.529718</v>
      </c>
      <c r="R222" s="3">
        <f>1118.2+(39.1-615.8)+(-4.562256+(-0.159528--2.512464))+0-0-0</f>
        <v>539.29068000000007</v>
      </c>
      <c r="S222" s="3">
        <f>1123.8+(29.5-619)+(0+(0-0))+0-0-0</f>
        <v>534.29999999999995</v>
      </c>
      <c r="T222" s="3">
        <f>1152.5+(14.8-649.8)+(0+(0-0))+0-0-0</f>
        <v>517.5</v>
      </c>
      <c r="U222" s="3">
        <f>1163.3+(10.5-675.1)+(-1.779849+(-0.016065--1.032903))+0-0-0</f>
        <v>497.93698899999993</v>
      </c>
      <c r="V222" s="3">
        <f>1172.6+(27.9-689.2)+(0+(0-0))+0-0-0</f>
        <v>511.29999999999984</v>
      </c>
      <c r="W222" s="3">
        <f>1168.8+(21.9-586)+(-1.788264+(-0.033507--0.89658))+0-0-0</f>
        <v>603.77480899999989</v>
      </c>
      <c r="X222" s="3">
        <f>1183.3+(84.7-582.6)+(-3.017415+(-0.215985--1.48563))+0-0-0</f>
        <v>683.65222999999992</v>
      </c>
      <c r="Y222" s="3">
        <f>1194+(78.8-589.2)+(-4.87152+(-0.321504--2.403936))+0-0-0</f>
        <v>680.81091199999992</v>
      </c>
      <c r="Z222" s="3">
        <f>1282+(53.1-659)+(-1.30764+(-0.054162--0.67218))+0-0-0</f>
        <v>675.41037800000004</v>
      </c>
      <c r="AA222" s="3">
        <f>1318.3+(39.6-702.5)+(-2.689332+(-0.080784--1.4331))+0-0-0</f>
        <v>654.06298400000003</v>
      </c>
      <c r="AB222" s="3">
        <f>1190.2+(47.4-641.8)+(-3.642012+(-0.145044--1.963908))+0-0-0</f>
        <v>593.97685200000012</v>
      </c>
      <c r="AC222" s="3">
        <f>1207.4+(25.6-666)+(-0.615774+(-0.013056--0.33966))+0-0-0</f>
        <v>566.7108300000001</v>
      </c>
      <c r="AD222">
        <f t="shared" si="3"/>
        <v>12776.926213999999</v>
      </c>
      <c r="AE222" s="3">
        <f>1210+(74.7-647)+(0+(0-0))+0-0-0</f>
        <v>637.70000000000005</v>
      </c>
    </row>
    <row r="223" spans="1:31" s="2" customFormat="1" x14ac:dyDescent="0.25">
      <c r="A223">
        <v>89</v>
      </c>
      <c r="B223">
        <v>8</v>
      </c>
      <c r="C223">
        <v>7</v>
      </c>
      <c r="D223">
        <v>7</v>
      </c>
      <c r="E223">
        <v>1</v>
      </c>
      <c r="F223" s="3">
        <f>1050+(20.8-555.7)+(-2.6775+(-0.05304--1.417035))+0-0-0</f>
        <v>513.78649499999995</v>
      </c>
      <c r="G223" s="3">
        <f>1045.4+(0-578.8)+(-3.198924+(0--1.771128))+0-0-0</f>
        <v>465.17220400000014</v>
      </c>
      <c r="H223" s="3">
        <f>971.5+(11.4-521.8)+(-1.486395+(-0.017442--0.798354))+0-0-0</f>
        <v>460.39451700000001</v>
      </c>
      <c r="I223" s="3">
        <f>823.7+(43.6-442.5)+(-0.420087+(-0.022236--0.225675))+0-0-0</f>
        <v>424.58335200000005</v>
      </c>
      <c r="J223" s="3">
        <f>752.7+(68.6-406)+(0+(0-0))+0-0-0</f>
        <v>415.30000000000007</v>
      </c>
      <c r="K223" s="3">
        <f>760.8+(71.6-413)+(-0.388008+(-0.036516--0.21063))+0-0-0</f>
        <v>419.186106</v>
      </c>
      <c r="L223" s="3">
        <f>748.2+(66.8-416.7)+(-0.381582+(-0.034068--0.212517))+0-0-0</f>
        <v>398.09686700000009</v>
      </c>
      <c r="M223" s="3">
        <f>708+(87.5-410.3)+(-0.36108+(-0.044625--0.209253))+0-0-0</f>
        <v>385.00354799999997</v>
      </c>
      <c r="N223" s="3">
        <f>769.4+(71.6-427.3)+(-1.177182+(-0.109548--0.653769))+0-0-0</f>
        <v>413.06703899999991</v>
      </c>
      <c r="O223" s="3">
        <f>833.2+(88.9-474.5)+(-0.849864+(-0.090678--0.48399))+0-0-0</f>
        <v>447.14344800000003</v>
      </c>
      <c r="P223" s="3">
        <f>992.2+(40.4-542.2)+(-1.012044+(-0.041208--0.553044))+0-0-0</f>
        <v>489.89979199999999</v>
      </c>
      <c r="Q223" s="3">
        <f>991.6+(25.3-523.6)+(-1.011432+(-0.025806--0.534072))+0-0-0</f>
        <v>492.79683399999999</v>
      </c>
      <c r="R223" s="3">
        <f>984.9+(1.8-491.1)+(-1.004598+(-0.001836--0.500922))+0-0-0</f>
        <v>495.09448799999996</v>
      </c>
      <c r="S223" s="3">
        <f>966.2+(26.2-526.6)+(-0.985524+(-0.026724--0.537132))+0-0-0</f>
        <v>465.324884</v>
      </c>
      <c r="T223" s="3">
        <f>842.3+(84.2-476.4)+(-1.718292+(-0.171768--0.971856))+0-0-0</f>
        <v>449.18179599999996</v>
      </c>
      <c r="U223" s="3">
        <f>843.5+(56.1-457.4)+(-0.430185+(-0.028611--0.233274))+0-0-0</f>
        <v>441.97447800000003</v>
      </c>
      <c r="V223" s="3">
        <f>726+(121.6-399.3)+(0.37026+(0.062016-0.203643))+0-0-0</f>
        <v>448.52863299999996</v>
      </c>
      <c r="W223" s="3">
        <f>898.2+(107.1-466.5)+(-0.458082+(-0.054621--0.237915))+0-0-0</f>
        <v>538.52521200000012</v>
      </c>
      <c r="X223" s="3">
        <f>1096.2+(105.6-569)+(-2.236248+(-0.215424--1.16076))+0-0-0</f>
        <v>631.50908800000002</v>
      </c>
      <c r="Y223" s="3">
        <f>1103+(99.7-569.4)+(1.12506+(0.101694-0.580788))+0-0-0</f>
        <v>633.945966</v>
      </c>
      <c r="Z223" s="3">
        <f>1195.8+(46.3-609.3)+(-1.829574+(-0.070839--0.932229))+0-0-0</f>
        <v>631.831816</v>
      </c>
      <c r="AA223" s="3">
        <f>1218.1+(33-628.3)+(-1.242462+(-0.03366--0.640866))+0-0-0</f>
        <v>622.16474399999993</v>
      </c>
      <c r="AB223" s="3">
        <f>1193.1+(2.2-612.1)+(-1.216962+(-0.002244--0.624342))+0-0-0</f>
        <v>582.6051359999999</v>
      </c>
      <c r="AC223" s="3">
        <f>1019.8+(32-520)+(-2.60049+(-0.0816--1.326))+0-0-0</f>
        <v>530.44390999999996</v>
      </c>
      <c r="AD223">
        <f t="shared" si="3"/>
        <v>11795.560352999999</v>
      </c>
      <c r="AE223" s="3">
        <f>1094+(109.6-609.5)+(0+(0-0))+0-0-0</f>
        <v>594.1</v>
      </c>
    </row>
    <row r="224" spans="1:31" s="2" customFormat="1" x14ac:dyDescent="0.25">
      <c r="A224">
        <v>89</v>
      </c>
      <c r="B224">
        <v>8</v>
      </c>
      <c r="C224">
        <v>8</v>
      </c>
      <c r="D224">
        <v>1</v>
      </c>
      <c r="E224">
        <v>1</v>
      </c>
      <c r="F224" s="3">
        <f>841.6+(78.8-434.3)+(-0.429216+(-0.040188--0.221493))+0-0-0</f>
        <v>485.85208900000003</v>
      </c>
      <c r="G224" s="3">
        <f>724.9+(99.4-396.9)+(-0.369699+(-0.050694--0.202419))+0-0-0</f>
        <v>427.18202599999995</v>
      </c>
      <c r="H224" s="3">
        <f>720.7+(89.9-402.2)+(-1.102671+(-0.137547--0.615366))+0-0-0</f>
        <v>407.77514800000012</v>
      </c>
      <c r="I224" s="3">
        <f>729.7+(72.7-399.7)+(0.372147+(0.037077-0.203847))+0-0-0</f>
        <v>402.90537700000004</v>
      </c>
      <c r="J224" s="3">
        <f>716.5+(76.9-396.3)+(-1.46166+(-0.156876--0.808452))+0-0-0</f>
        <v>396.28991600000001</v>
      </c>
      <c r="K224" s="3">
        <f>723.2+(79.2-401.9)+(0+(0-0))+0-0-0</f>
        <v>400.50000000000006</v>
      </c>
      <c r="L224" s="3">
        <f>726.8+(91.2-406.7)+(0+(0-0))+0-0-0</f>
        <v>411.29999999999995</v>
      </c>
      <c r="M224" s="3">
        <f>837.1+(59.2-453.8)+(-0.426921+(-0.030192--0.231438))+0-0-0</f>
        <v>442.27432499999998</v>
      </c>
      <c r="N224" s="3">
        <f>937.1+(79.4-518.1)+(-1.433763+(-0.121482--0.792693))+0-0-0</f>
        <v>497.63744799999995</v>
      </c>
      <c r="O224" s="3">
        <f>1071.4+(17.9-545.4)+(-1.092828+(-0.018258--0.556308))+0-0-0</f>
        <v>543.34522200000004</v>
      </c>
      <c r="P224" s="3">
        <f>1057.2+(16.8-510)+(-2.156688+(-0.034272--1.0404))+0-0-0</f>
        <v>562.84943999999996</v>
      </c>
      <c r="Q224" s="3">
        <f>1053.1+(24-509.5)+(-0.537081+(-0.01224--0.259845))+0-0-0</f>
        <v>567.31052399999987</v>
      </c>
      <c r="R224" s="3">
        <f>1044.5+(39.9-541.7)+(-1.06539+(-0.040698--0.552534))+0-0-0</f>
        <v>542.14644599999997</v>
      </c>
      <c r="S224" s="3">
        <f>1029.5+(45.4-546.3)+(-2.10018+(-0.092616--1.114452))+0-0-0</f>
        <v>527.52165600000001</v>
      </c>
      <c r="T224" s="3">
        <f>1041+(31.9-541.4)+(0+(0-0))+0-0-0</f>
        <v>531.5</v>
      </c>
      <c r="U224" s="3">
        <f>1024.2+(33.2-553)+(-2.089368+(-0.067728--1.12812))+0-0-0</f>
        <v>503.37102400000009</v>
      </c>
      <c r="V224" s="3">
        <f>1026.2+(54.6-578.4)+(-1.570086+(-0.083538--0.884952))+0-0-0</f>
        <v>501.63132800000011</v>
      </c>
      <c r="W224" s="3">
        <f>1128.1+(75.5-583.5)+(0+(0-0))+0-0-0</f>
        <v>620.09999999999991</v>
      </c>
      <c r="X224" s="3">
        <f>1146.8+(80.3-542.5)+(-1.754604+(-0.122859--0.830025))+0-0-0</f>
        <v>683.55256199999985</v>
      </c>
      <c r="Y224" s="3">
        <f>1161.1+(79.8-546.9)+(-2.960805+(-0.20349--1.394595))+0-0-0</f>
        <v>692.23030000000006</v>
      </c>
      <c r="Z224" s="3">
        <f>1255.6+(29-621.5)+(-2.561424+(-0.05916--1.26786))+0-0-0</f>
        <v>661.74727599999994</v>
      </c>
      <c r="AA224" s="3">
        <f>1291.8+(13.9-672.4)+(-1.976454+(-0.021267--1.028772))+0-0-0</f>
        <v>632.331051</v>
      </c>
      <c r="AB224" s="3">
        <f>1309.9+(2.8-690.3)+(-3.340245+(-0.00714--1.760265))+0-0-0</f>
        <v>620.81288000000006</v>
      </c>
      <c r="AC224" s="3">
        <f>1192.7+(4-653.1)+(-3.649662+(-0.01224--1.998486))+0-0-0</f>
        <v>541.93658400000004</v>
      </c>
      <c r="AD224">
        <f t="shared" si="3"/>
        <v>12604.102621999999</v>
      </c>
      <c r="AE224" s="3">
        <f>1171+(74.6-582.9)+(0+(0-0))+0-0-0</f>
        <v>662.7</v>
      </c>
    </row>
    <row r="225" spans="1:31" s="2" customFormat="1" x14ac:dyDescent="0.25">
      <c r="A225">
        <v>89</v>
      </c>
      <c r="B225">
        <v>8</v>
      </c>
      <c r="C225">
        <v>9</v>
      </c>
      <c r="D225">
        <v>2</v>
      </c>
      <c r="E225">
        <v>1</v>
      </c>
      <c r="F225" s="3">
        <f>1141+(13.2-681.9)+(-1.74573+(-0.020196--1.043307))+0-0-0</f>
        <v>471.57738100000006</v>
      </c>
      <c r="G225" s="3">
        <f>1114.6+(16.5-680)+(-1.136892+(-0.01683--0.6936))+0-0-0</f>
        <v>450.6398779999999</v>
      </c>
      <c r="H225" s="3">
        <f>1052.2+(6.3-644)+(-2.146488+(-0.012852--1.31376))+0-0-0</f>
        <v>413.65442000000002</v>
      </c>
      <c r="I225" s="3">
        <f>955.7+(7.3-552.6)+(-1.462221+(-0.011169--0.845478))+0-0-0</f>
        <v>409.772088</v>
      </c>
      <c r="J225" s="3">
        <f>894.6+(9.9-505.5)+(0+(0-0))+0-0-0</f>
        <v>399</v>
      </c>
      <c r="K225" s="3">
        <f>894.5+(13.1-462.9)+(0+(0-0))+0-0-0</f>
        <v>444.70000000000005</v>
      </c>
      <c r="L225" s="3">
        <f>890.2+(23.5-484.6)+(-0.908004+(-0.02397--0.494292))+0-0-0</f>
        <v>428.66231800000003</v>
      </c>
      <c r="M225" s="3">
        <f>898.9+(33.7-489.7)+(0+(0-0))+0-0-0</f>
        <v>442.9</v>
      </c>
      <c r="N225" s="3">
        <f>1037.9+(42.3-579.2)+(-1.058658+(-0.043146--0.590784))+0-0-0</f>
        <v>500.48898000000003</v>
      </c>
      <c r="O225" s="3">
        <f>1277.7+(27.1-744.5)+(-0.651627+(-0.013821--0.379695))+0-0-0</f>
        <v>560.01424700000007</v>
      </c>
      <c r="P225" s="3">
        <f>1279.9+(23.4-732.4)+(-1.305498+(-0.023868--0.747048))+0-0-0</f>
        <v>570.3176820000001</v>
      </c>
      <c r="Q225" s="3">
        <f>1240.9+(19.4-678.6)+(-2.531436+(-0.039576--1.384344))+0-0-0</f>
        <v>580.51333199999999</v>
      </c>
      <c r="R225" s="3">
        <f>1274.1+(22.2-745.7)+(-0.649791+(-0.011322--0.380307))+0-0-0</f>
        <v>550.31919399999992</v>
      </c>
      <c r="S225" s="3">
        <f>1283.3+(29-781.5)+(-1.308966+(-0.02958--0.79713))+0-0-0</f>
        <v>530.25858399999993</v>
      </c>
      <c r="T225" s="3">
        <f>1284.7+(25.8-786.1)+(-0.655197+(-0.013158--0.400911))+0-0-0</f>
        <v>524.13255600000002</v>
      </c>
      <c r="U225" s="3">
        <f>1270+(28-768.8)+(-3.2385+(-0.0714--1.96044))+0-0-0</f>
        <v>527.85054000000002</v>
      </c>
      <c r="V225" s="3">
        <f>1285.4+(36.7-779.1)+(0+(0-0))+0-0-0</f>
        <v>543.00000000000011</v>
      </c>
      <c r="W225" s="3">
        <f>1300.7+(37.7-685.8)+(-1.326714+(-0.038454--0.699516))+0-0-0</f>
        <v>651.93434800000011</v>
      </c>
      <c r="X225" s="3">
        <f>1310.1+(27.5-661)+(-2.672604+(-0.0561--1.34844))+0-0-0</f>
        <v>675.2197359999999</v>
      </c>
      <c r="Y225" s="3">
        <f>1308.1+(28.5-677.3)+(-2.668524+(-0.05814--1.381692))+0-0-0</f>
        <v>657.95502799999997</v>
      </c>
      <c r="Z225" s="3">
        <f>1303.2+(34.8-686.3)+(-1.329264+(-0.035496--0.700026))+0-0-0</f>
        <v>651.03526600000009</v>
      </c>
      <c r="AA225" s="3">
        <f>1294.4+(12.8-706.9)+(-1.980432+(-0.019584--1.081557))+0-0-0</f>
        <v>599.38154100000008</v>
      </c>
      <c r="AB225" s="3">
        <f>1280.5+(8.5-734.5)+(-2.61222+(-0.01734--1.49838))+0-0-0</f>
        <v>553.36882000000003</v>
      </c>
      <c r="AC225" s="3">
        <f>1213+(6.9-733.9)+(-2.47452+(-0.014076--1.497156))+0-0-0</f>
        <v>485.00855999999999</v>
      </c>
      <c r="AD225">
        <f t="shared" si="3"/>
        <v>12621.704499000003</v>
      </c>
      <c r="AE225" s="3">
        <f>1308+(26.4-695.6)+(0+(0-0))+0-0-0</f>
        <v>638.79999999999995</v>
      </c>
    </row>
    <row r="226" spans="1:31" s="2" customFormat="1" x14ac:dyDescent="0.25">
      <c r="A226">
        <v>89</v>
      </c>
      <c r="B226">
        <v>8</v>
      </c>
      <c r="C226">
        <v>10</v>
      </c>
      <c r="D226">
        <v>3</v>
      </c>
      <c r="E226">
        <v>1</v>
      </c>
      <c r="F226" s="3">
        <f>950.1+(28.7-547.3)+(-0.484551+(-0.014637--0.279123))+0-0-0</f>
        <v>431.27993500000014</v>
      </c>
      <c r="G226" s="3">
        <f>903.5+(32.6-539.3)+(-2.303925+(-0.08313--1.375215))+0-0-0</f>
        <v>395.78816000000006</v>
      </c>
      <c r="H226" s="3">
        <f>910+(20-546.2)+(-0.9282+(-0.0204--0.557124))+0-0-0</f>
        <v>383.40852399999994</v>
      </c>
      <c r="I226" s="3">
        <f>920.7+(8.8-544.8)+(0.939114+(0.008976-0.555696))+0-0-0</f>
        <v>385.09239400000007</v>
      </c>
      <c r="J226" s="3">
        <f>904.9+(7.8-548.4)+(-1.845996+(-0.015912--1.118736))+0-0-0</f>
        <v>363.55682799999994</v>
      </c>
      <c r="K226" s="3">
        <f>921.2+(5.9-545.6)+(1.409436+(0.009027-0.834768))+0-0-0</f>
        <v>382.08369499999998</v>
      </c>
      <c r="L226" s="3">
        <f>908+(0-528.1)+(-1.38924+(0--0.807993))+0-0-0</f>
        <v>379.31875299999996</v>
      </c>
      <c r="M226" s="3">
        <f>915+(6.4-515.4)+(0+(0-0))+0-0-0</f>
        <v>406</v>
      </c>
      <c r="N226" s="3">
        <f>1053.4+(4.8-589.7)+(-1.074468+(-0.004896--0.601494))+0-0-0</f>
        <v>468.02213</v>
      </c>
      <c r="O226" s="3">
        <f>1146.1+(10.6-633.4)+(-2.922555+(-0.02703--1.61517))+0-0-0</f>
        <v>521.96558499999992</v>
      </c>
      <c r="P226" s="3">
        <f>1176.4+(11.5-664.2)+(-1.799892+(-0.017595--1.016226))+0-0-0</f>
        <v>522.89873900000009</v>
      </c>
      <c r="Q226" s="3">
        <f>1247.6+(14.5-728.1)+(0+(0-0))+0-0-0</f>
        <v>533.99999999999989</v>
      </c>
      <c r="R226" s="3">
        <f>1215.7+(17.7-701.2)+(-4.340049+(-0.063189--2.503284))+0-0-0</f>
        <v>530.30004600000007</v>
      </c>
      <c r="S226" s="3">
        <f>1242.4+(10.1-736.1)+(0+(0-0))+0-0-0</f>
        <v>516.40000000000009</v>
      </c>
      <c r="T226" s="3">
        <f>1200.5+(13.7-723.1)+(-1.836765+(-0.020961--1.106343))+0-0-0</f>
        <v>490.34861700000005</v>
      </c>
      <c r="U226" s="3">
        <f>1193.4+(9.2-699.9)+(-3.651804+(-0.028152--2.141694))+0-0-0</f>
        <v>501.16173800000018</v>
      </c>
      <c r="V226" s="3">
        <f>1207.6+(3.8-678.3)+(0+(0-0))+0-0-0</f>
        <v>533.09999999999991</v>
      </c>
      <c r="W226" s="3">
        <f>1248.7+(37.9-661.9)+(0.636837+(0.019329-0.337569))+0-0-0</f>
        <v>625.018597</v>
      </c>
      <c r="X226" s="3">
        <f>1295.2+(57.7-692.7)+(-2.642208+(-0.117708--1.413108))+0-0-0</f>
        <v>658.85319200000004</v>
      </c>
      <c r="Y226" s="3">
        <f>1290.6+(35.6-672.5)+(-3.29103+(-0.09078--1.714875))+0-0-0</f>
        <v>652.03306499999997</v>
      </c>
      <c r="Z226" s="3">
        <f>1300.4+(5.4-664.1)+(0+(0-0))+0-0-0</f>
        <v>641.70000000000005</v>
      </c>
      <c r="AA226" s="3">
        <f>1288.7+(0-679.5)+(-1.314474+(0--0.69309))+0-0-0</f>
        <v>608.57861600000001</v>
      </c>
      <c r="AB226" s="3">
        <f>1276.4+(0-702.6)+(-3.25482+(0--1.79163))+0-0-0</f>
        <v>572.33681000000001</v>
      </c>
      <c r="AC226" s="3">
        <f>1045+(31.1-564.6)+(-0.53295+(-0.015861--0.287946))+0-0-0</f>
        <v>511.23913499999998</v>
      </c>
      <c r="AD226">
        <f t="shared" si="3"/>
        <v>12014.484559</v>
      </c>
      <c r="AE226" s="3">
        <f>1304+(55.4-727.2)+(0+(0-0))+0-0-0</f>
        <v>632.19999999999993</v>
      </c>
    </row>
    <row r="227" spans="1:31" s="2" customFormat="1" x14ac:dyDescent="0.25">
      <c r="A227">
        <v>89</v>
      </c>
      <c r="B227">
        <v>8</v>
      </c>
      <c r="C227">
        <v>11</v>
      </c>
      <c r="D227">
        <v>4</v>
      </c>
      <c r="E227">
        <v>1</v>
      </c>
      <c r="F227" s="3">
        <f>896.3+(90.8-562)+(0.457113+(0.046308-0.28662))+0-0-0</f>
        <v>425.31680099999994</v>
      </c>
      <c r="G227" s="3">
        <f>819.6+(95.2-512.1)+(-1.253988+(-0.145656--0.783513))+0-0-0</f>
        <v>402.08386899999999</v>
      </c>
      <c r="H227" s="3">
        <f>823.9+(76.8-512.7)+(-1.260567+(-0.117504--0.784431))+0-0-0</f>
        <v>387.40635999999995</v>
      </c>
      <c r="I227" s="3">
        <f>829.2+(64.4-503.9)+(0.845784+(0.065688-0.513978))+0-0-0</f>
        <v>390.09749400000004</v>
      </c>
      <c r="J227" s="3">
        <f>855.2+(47.3-503.1)+(0.436152+(0.024123-0.256581))+0-0-0</f>
        <v>399.60369400000002</v>
      </c>
      <c r="K227" s="3">
        <f>894.2+(26.4-508.5)+(0+(0-0))+0-0-0</f>
        <v>412.1</v>
      </c>
      <c r="L227" s="3">
        <f>897.3+(23.5-524.3)+(0.457623+(0.011985-0.267393))+0-0-0</f>
        <v>396.70221500000002</v>
      </c>
      <c r="M227" s="3">
        <f>986.6+(11.2-600.5)+(-0.503166+(-0.005712--0.306255))+0-0-0</f>
        <v>397.09737700000005</v>
      </c>
      <c r="N227" s="3">
        <f>1210.6+(1.4-717.7)+(-1.852218+(-0.002142--1.098081))+0-0-0</f>
        <v>493.54372099999983</v>
      </c>
      <c r="O227" s="3">
        <f>1227.9+(3.6-698.4)+(-1.252458+(-0.003672--0.712368))+0-0-0</f>
        <v>532.55623800000012</v>
      </c>
      <c r="P227" s="3">
        <f>1245.8+(7.9-699.9)+(0+(0-0))+0-0-0</f>
        <v>553.79999999999995</v>
      </c>
      <c r="Q227" s="3">
        <f>1225.7+(7.8-666.5)+(-2.500428+(-0.015912--1.35966))+0-0-0</f>
        <v>565.84331999999995</v>
      </c>
      <c r="R227" s="3">
        <f>1237.5+(11-700.2)+(1.26225+(0.01122-0.714204))+0-0-0</f>
        <v>548.85926599999993</v>
      </c>
      <c r="S227" s="3">
        <f>1222.7+(12.6-705.4)+(-2.494308+(-0.025704--1.439016))+0-0-0</f>
        <v>528.81900400000006</v>
      </c>
      <c r="T227" s="3">
        <f>1226.3+(12.1-713.2)+(-1.250826+(-0.012342--0.727464))+0-0-0</f>
        <v>524.66429599999992</v>
      </c>
      <c r="U227" s="3">
        <f>1219.6+(13.3-716.8)+(-3.10998+(-0.033915--1.82784))+0-0-0</f>
        <v>514.7839449999999</v>
      </c>
      <c r="V227" s="3">
        <f>1239.8+(15.4-706.9)+(1.896894+(0.023562-1.081557))+0-0-0</f>
        <v>549.13889899999992</v>
      </c>
      <c r="W227" s="3">
        <f>1232.2+(19.7-617.1)+(-1.885266+(-0.030141--0.944163))+0-0-0</f>
        <v>633.82875600000011</v>
      </c>
      <c r="X227" s="3">
        <f>1272.3+(60.3-688.4)+(-3.244365+(-0.153765--1.75542))+0-0-0</f>
        <v>642.55728999999997</v>
      </c>
      <c r="Y227" s="3">
        <f>1274.7+(35.8-664.6)+(-1.300194+(-0.036516--0.677892))+0-0-0</f>
        <v>645.24118199999998</v>
      </c>
      <c r="Z227" s="3">
        <f>1250.5+(19.3-618.1)+(-0.637755+(-0.009843--0.315231))+0-0-0</f>
        <v>651.36763299999996</v>
      </c>
      <c r="AA227" s="3">
        <f>1223.4+(30.7-664.1)+(-1.871802+(-0.046971--1.016073))+0-0-0</f>
        <v>589.09730000000013</v>
      </c>
      <c r="AB227" s="3">
        <f>1213.6+(47.2-689.7)+(-1.237872+(-0.048144--0.703494))+0-0-0</f>
        <v>570.51747799999987</v>
      </c>
      <c r="AC227" s="3">
        <f>1137.4+(38.4-689.8)+(-1.160148+(-0.039168--0.703596))+0-0-0</f>
        <v>485.50428000000011</v>
      </c>
      <c r="AD227">
        <f t="shared" si="3"/>
        <v>12240.530417999998</v>
      </c>
      <c r="AE227" s="3">
        <f>1267+(55.4-675.2)+(0+(0-0))+0-0-0</f>
        <v>647.19999999999993</v>
      </c>
    </row>
    <row r="228" spans="1:31" s="2" customFormat="1" x14ac:dyDescent="0.25">
      <c r="A228">
        <v>89</v>
      </c>
      <c r="B228">
        <v>8</v>
      </c>
      <c r="C228">
        <v>12</v>
      </c>
      <c r="D228">
        <v>5</v>
      </c>
      <c r="E228">
        <v>1</v>
      </c>
      <c r="F228" s="3">
        <f>1087.8+(18.1-635.9)+(-0.554778+(-0.009231--0.324309))+0-0-0</f>
        <v>469.76029999999997</v>
      </c>
      <c r="G228" s="3">
        <f>1043.8+(8.1-617)+(-2.66169+(-0.020655--1.57335))+0-0-0</f>
        <v>433.79100499999998</v>
      </c>
      <c r="H228" s="3">
        <f>1051.2+(0-627.2)+(-1.072224+(0--0.639744))+0-0-0</f>
        <v>423.56752</v>
      </c>
      <c r="I228" s="3">
        <f>1053.1+(0-637.4)+(0+(0-0))+0-0-0</f>
        <v>415.69999999999993</v>
      </c>
      <c r="J228" s="3">
        <f>1047.4+(0-624.9)+(-2.136696+(0--1.274796))+0-0-0</f>
        <v>421.63810000000012</v>
      </c>
      <c r="K228" s="3">
        <f>1024.1+(3.8-578.3)+(-1.044582+(-0.003876--0.589866))+0-0-0</f>
        <v>449.1414079999999</v>
      </c>
      <c r="L228" s="3">
        <f>844.8+(67.5-485.8)+(0.861696+(0.06885-0.495516))+0-0-0</f>
        <v>426.93502999999993</v>
      </c>
      <c r="M228" s="3">
        <f>835.1+(64.5-448.7)+(-0.425901+(-0.032895--0.228837))+0-0-0</f>
        <v>450.67004100000003</v>
      </c>
      <c r="N228" s="3">
        <f>834.2+(116.8-450.1)+(-0.850884+(-0.119136--0.459102))+0-0-0</f>
        <v>500.38908200000003</v>
      </c>
      <c r="O228" s="3">
        <f>968.6+(81.6-498)+(-0.493986+(-0.041616--0.25398))+0-0-0</f>
        <v>551.91837800000008</v>
      </c>
      <c r="P228" s="3">
        <f>1079.5+(0-517.5)+(-2.20218+(0--1.0557))+0-0-0</f>
        <v>560.85352</v>
      </c>
      <c r="Q228" s="3">
        <f>1139.4+(10.8-568.4)+(1.162188+(0.011016-0.579768))+0-0-0</f>
        <v>582.39343600000007</v>
      </c>
      <c r="R228" s="3">
        <f>1143.7+(12.7-593.3)+(-1.166574+(-0.012954--0.605166))+0-0-0</f>
        <v>562.52563800000019</v>
      </c>
      <c r="S228" s="3">
        <f>1115.9+(17.8-586.3)+(1.138218+(0.018156-0.598026))+0-0-0</f>
        <v>547.95834800000011</v>
      </c>
      <c r="T228" s="3">
        <f>1125.9+(15-616.9)+(1.148418+(0.0153-0.629238))+0-0-0</f>
        <v>524.53448000000014</v>
      </c>
      <c r="U228" s="3">
        <f>1161+(5.4-646.6)+(1.18422+(0.005508-0.659532))+0-0-0</f>
        <v>520.330196</v>
      </c>
      <c r="V228" s="3">
        <f>1157.7+(0-626.2)+(0+(0-0))+0-0-0</f>
        <v>531.5</v>
      </c>
      <c r="W228" s="3">
        <f>1155.1+(21.4-560.4)+(-1.178202+(-0.021828--0.571608))+0-0-0</f>
        <v>615.47157799999991</v>
      </c>
      <c r="X228" s="3">
        <f>1159.5+(64.5-538.4)+(-1.774035+(-0.098685--0.823752))+0-0-0</f>
        <v>684.55103200000008</v>
      </c>
      <c r="Y228" s="3">
        <f>1154.6+(62.8-569.5)+(-2.94423+(-0.16014--1.452225))+0-0-0</f>
        <v>646.24785499999984</v>
      </c>
      <c r="Z228" s="3">
        <f>1139.5+(61.6-533.8)+(-2.905725+(-0.15708--1.36119))+0-0-0</f>
        <v>665.59838500000012</v>
      </c>
      <c r="AA228" s="3">
        <f>1163.4+(50.1-559.5)+(-3.560004+(-0.153306--1.71207))+0-0-0</f>
        <v>651.99876000000006</v>
      </c>
      <c r="AB228" s="3">
        <f>1158.5+(45.6-582)+(-1.18167+(-0.046512--0.59364))+0-0-0</f>
        <v>621.46545800000001</v>
      </c>
      <c r="AC228" s="3">
        <f>1057.6+(26-611.1)+(-1.618128+(-0.03978--0.934983))+0-0-0</f>
        <v>471.77707499999991</v>
      </c>
      <c r="AD228">
        <f t="shared" si="3"/>
        <v>12730.716624999999</v>
      </c>
      <c r="AE228" s="3">
        <f>1172+(61.8-588.5)+(0+(0-0))+0-0-0</f>
        <v>645.29999999999995</v>
      </c>
    </row>
    <row r="229" spans="1:31" s="2" customFormat="1" x14ac:dyDescent="0.25">
      <c r="A229">
        <v>89</v>
      </c>
      <c r="B229">
        <v>8</v>
      </c>
      <c r="C229">
        <v>13</v>
      </c>
      <c r="D229">
        <v>6</v>
      </c>
      <c r="E229">
        <v>1</v>
      </c>
      <c r="F229" s="3">
        <f>1049.4+(34.6-590.4)+(-0.535194+(-0.017646--0.301104))+0-0-0</f>
        <v>493.34826400000014</v>
      </c>
      <c r="G229" s="3">
        <f>835.9+(111.9-511.1)+(-0.852618+(-0.114138--0.521322))+0-0-0</f>
        <v>436.25456599999995</v>
      </c>
      <c r="H229" s="3">
        <f>838.1+(82.3-484.5)+(-0.427431+(-0.041973--0.247095))+0-0-0</f>
        <v>435.67769100000004</v>
      </c>
      <c r="I229" s="3">
        <f>839.8+(69.8-476.5)+(0+(0-0))+0-0-0</f>
        <v>433.09999999999997</v>
      </c>
      <c r="J229" s="3">
        <f>845.8+(65.8-482.2)+(1.725432+(0.134232-0.983688))+0-0-0</f>
        <v>430.27597599999996</v>
      </c>
      <c r="K229" s="3">
        <f>837.5+(33.3-434.5)+(-0.427125+(-0.016983--0.221595))+0-0-0</f>
        <v>436.07748700000002</v>
      </c>
      <c r="L229" s="3">
        <f>831.3+(44.7-449.7)+(-1.695852+(-0.091188--0.917388))+0-0-0</f>
        <v>425.43034799999998</v>
      </c>
      <c r="M229" s="3">
        <f>832.7+(39.1-426.4)+(-0.849354+(-0.039882--0.434928))+0-0-0</f>
        <v>444.94569200000007</v>
      </c>
      <c r="N229" s="3">
        <f>1024.8+(25.2-540.3)+(-0.522648+(-0.012852--0.275553))+0-0-0</f>
        <v>509.44005300000003</v>
      </c>
      <c r="O229" s="3">
        <f>1139.9+(72.6-648)+(-1.744047+(-0.111078--0.99144))+0-0-0</f>
        <v>563.63631500000008</v>
      </c>
      <c r="P229" s="3">
        <f>1148+(74.5-639.3)+(0+(0-0))+0-0-0</f>
        <v>583.20000000000005</v>
      </c>
      <c r="Q229" s="3">
        <f>1125.2+(78-622.8)+(0+(0-0))+0-0-0</f>
        <v>580.40000000000009</v>
      </c>
      <c r="R229" s="3">
        <f>1075.4+(68.9-577.7)+(-1.645362+(-0.105417--0.883881))+0-0-0</f>
        <v>565.73310200000003</v>
      </c>
      <c r="S229" s="3">
        <f>1107.2+(71.8-624.5)+(-2.258688+(-0.146472--1.27398))+0-0-0</f>
        <v>553.36882000000003</v>
      </c>
      <c r="T229" s="3">
        <f>1117.4+(53.4-634.4)+(0.569874+(0.027234-0.323544))+0-0-0</f>
        <v>536.67356400000006</v>
      </c>
      <c r="U229" s="3">
        <f>1103.6+(15.9-608.6)+(-2.81418+(-0.040545--1.55193))+0-0-0</f>
        <v>509.59720499999986</v>
      </c>
      <c r="V229" s="3">
        <f>1106.1+(13.5-585.8)+(-1.692333+(-0.020655--0.896274))+0-0-0</f>
        <v>532.98328599999991</v>
      </c>
      <c r="W229" s="3">
        <f>1126.7+(40.6-532.5)+(-1.149234+(-0.041412--0.54315))+0-0-0</f>
        <v>634.15250400000002</v>
      </c>
      <c r="X229" s="3">
        <f>1140.3+(118.7-598.7)+(-2.326212+(-0.242148--1.221348))+0-0-0</f>
        <v>658.952988</v>
      </c>
      <c r="Y229" s="3">
        <f>1138.4+(88.8-565.4)+(-2.90292+(-0.22644--1.44177))+0-0-0</f>
        <v>660.11241000000018</v>
      </c>
      <c r="Z229" s="3">
        <f>1142.3+(95.7-565.6)+(-1.747719+(-0.146421--0.865368))+0-0-0</f>
        <v>671.37122799999986</v>
      </c>
      <c r="AA229" s="3">
        <f>1144.4+(120.1-617.9)+(-0.583644+(-0.061251--0.315129))+0-0-0</f>
        <v>646.27023400000019</v>
      </c>
      <c r="AB229" s="3">
        <f>1136.3+(57.9-592.5)+(-2.318052+(-0.118116--1.2087))+0-0-0</f>
        <v>600.47253199999989</v>
      </c>
      <c r="AC229" s="3">
        <f>1132.5+(1.8-587)+(-2.887875+(-0.00459--1.49685))+0-0-0</f>
        <v>545.90438499999993</v>
      </c>
      <c r="AD229">
        <f t="shared" si="3"/>
        <v>12887.378649999999</v>
      </c>
      <c r="AE229" s="3">
        <f>1159+(124.6-585)+(0+(0-0))+0-0-0</f>
        <v>698.6</v>
      </c>
    </row>
    <row r="230" spans="1:31" s="2" customFormat="1" x14ac:dyDescent="0.25">
      <c r="A230">
        <v>89</v>
      </c>
      <c r="B230">
        <v>8</v>
      </c>
      <c r="C230">
        <v>14</v>
      </c>
      <c r="D230">
        <v>7</v>
      </c>
      <c r="E230">
        <v>1</v>
      </c>
      <c r="F230" s="3">
        <f>1138.2+(12.4-648)+(-1.160964+(-0.012648--0.66096))+0-0-0</f>
        <v>502.08734800000002</v>
      </c>
      <c r="G230" s="3">
        <f>1124.5+(20-679.1)+(-0.573495+(-0.0102--0.346341))+0-0-0</f>
        <v>465.162646</v>
      </c>
      <c r="H230" s="3">
        <f>990.8+(37.4-598.5)+(-0.505308+(-0.019074--0.305235))+0-0-0</f>
        <v>429.48085299999991</v>
      </c>
      <c r="I230" s="3">
        <f>831.7+(48.6-468.6)+(-0.848334+(-0.049572--0.477972))+0-0-0</f>
        <v>411.28006600000003</v>
      </c>
      <c r="J230" s="3">
        <f>817.3+(49-455.3)+(-1.250469+(-0.07497--0.696609))+0-0-0</f>
        <v>410.37116999999995</v>
      </c>
      <c r="K230" s="3">
        <f>830.1+(51.7-468.1)+(0.846702+(0.052734-0.477462))+0-0-0</f>
        <v>414.12197399999997</v>
      </c>
      <c r="L230" s="3">
        <f>815.6+(51.7-479)+(-2.07978+(-0.131835--1.22145))+0-0-0</f>
        <v>387.30983500000002</v>
      </c>
      <c r="M230" s="3">
        <f>887.3+(29.7-525.4)+(0+(0-0))+0-0-0</f>
        <v>391.59999999999997</v>
      </c>
      <c r="N230" s="3">
        <f>952.4+(58.8-597.2)+(-0.485724+(-0.029988--0.304572))+0-0-0</f>
        <v>413.78885999999989</v>
      </c>
      <c r="O230" s="3">
        <f>1106.5+(46.4-689.8)+(0.564315+(0.023664-0.351798))+0-0-0</f>
        <v>463.33618100000001</v>
      </c>
      <c r="P230" s="3">
        <f>1121.7+(55-685.7)+(-1.144134+(-0.0561--0.699414))+0-0-0</f>
        <v>490.49918000000002</v>
      </c>
      <c r="Q230" s="3">
        <f>1102.7+(84-688.8)+(-2.811885+(-0.2142--1.75644))+0-0-0</f>
        <v>496.63035500000007</v>
      </c>
      <c r="R230" s="3">
        <f>1113.3+(113.4-747.5)+(-1.135566+(-0.115668--0.76245))+0-0-0</f>
        <v>478.71121599999992</v>
      </c>
      <c r="S230" s="3">
        <f>1105.5+(94.9-737.1)+(-1.691415+(-0.145197--1.127763))+0-0-0</f>
        <v>462.59115099999997</v>
      </c>
      <c r="T230" s="3">
        <f>1111.2+(106.4-768.8)+(-1.133424+(-0.108528--0.784176))+0-0-0</f>
        <v>448.34222400000004</v>
      </c>
      <c r="U230" s="3">
        <f>1110.3+(98.9-769.6)+(-1.698759+(-0.151317--1.177488))+0-0-0</f>
        <v>438.92741199999989</v>
      </c>
      <c r="V230" s="3">
        <f>1117.4+(66.7-740.1)+(-1.139748+(-0.068034--0.754902))+0-0-0</f>
        <v>443.54712000000012</v>
      </c>
      <c r="W230" s="3">
        <f>1018.3+(77.6-560.8)+(-0.519333+(-0.039576--0.286008))+0-0-0</f>
        <v>534.82709899999998</v>
      </c>
      <c r="X230" s="3">
        <f>1007.9+(134.3-530)+(-1.028058+(-0.136986--0.5406))+0-0-0</f>
        <v>611.57555600000001</v>
      </c>
      <c r="Y230" s="3">
        <f>1115.7+(79.5-563.9)+(-1.138014+(-0.08109--0.575178))+0-0-0</f>
        <v>630.6560740000001</v>
      </c>
      <c r="Z230" s="3">
        <f>1126+(66.5-565.3)+(-1.72278+(-0.101745--0.864909))+0-0-0</f>
        <v>626.24038400000006</v>
      </c>
      <c r="AA230" s="3">
        <f>1126.4+(69.7-595)+(-1.148928+(-0.071094--0.6069))+0-0-0</f>
        <v>600.48687800000016</v>
      </c>
      <c r="AB230" s="3">
        <f>1013.7+(125.7-569.5)+(-0.516987+(-0.064107--0.290445))+0-0-0</f>
        <v>569.60935100000006</v>
      </c>
      <c r="AC230" s="3">
        <f>959.1+(92.1-525.7)+(-2.445705+(-0.234855--1.340535))+0-0-0</f>
        <v>524.15997500000003</v>
      </c>
      <c r="AD230">
        <f t="shared" si="3"/>
        <v>11645.342908000001</v>
      </c>
      <c r="AE230" s="3">
        <f>1071+(154.2-533.5)+(0+(0-0))+0-0-0</f>
        <v>691.7</v>
      </c>
    </row>
    <row r="231" spans="1:31" s="2" customFormat="1" x14ac:dyDescent="0.25">
      <c r="A231">
        <v>89</v>
      </c>
      <c r="B231">
        <v>8</v>
      </c>
      <c r="C231">
        <v>15</v>
      </c>
      <c r="D231">
        <v>1</v>
      </c>
      <c r="E231">
        <v>1</v>
      </c>
      <c r="F231" s="3">
        <f>831.4+(73.7-440.1)+(-2.12007+(-0.187935--1.122255))+0-0-0</f>
        <v>463.81424999999996</v>
      </c>
      <c r="G231" s="3">
        <f>803.3+(54.2-427.8)+(-3.277464+(-0.221136--1.745424))+0-0-0</f>
        <v>427.94682399999994</v>
      </c>
      <c r="H231" s="3">
        <f>811.7+(45.1-445.3)+(-1.655868+(-0.092004--0.908412))+0-0-0</f>
        <v>410.66054000000008</v>
      </c>
      <c r="I231" s="3">
        <f>821.4+(34.6-456)+(0.837828+(0.035292-0.46512))+0-0-0</f>
        <v>400.40800000000002</v>
      </c>
      <c r="J231" s="3">
        <f>814+(36.5-453.6)+(-0.41514+(-0.018615--0.231336))+0-0-0</f>
        <v>396.69758099999996</v>
      </c>
      <c r="K231" s="3">
        <f>809.7+(42.7-442.7)+(-1.238841+(-0.065331--0.677331))+0-0-0</f>
        <v>409.07315900000003</v>
      </c>
      <c r="L231" s="3">
        <f>818.7+(53.7-443.6)+(0+(0-0))+0-0-0</f>
        <v>428.8</v>
      </c>
      <c r="M231" s="3">
        <f>1033+(0-582.7)+(-0.52683+(0--0.297177))+0-0-0</f>
        <v>450.07034699999997</v>
      </c>
      <c r="N231" s="3">
        <f>1083.4+(39.3-604.3)+(0.552534+(0.020043-0.308193))+0-0-0</f>
        <v>518.66438400000004</v>
      </c>
      <c r="O231" s="3">
        <f>1058.4+(48.1-560.8)+(1.079568+(0.049062-0.572016))+0-0-0</f>
        <v>546.25661400000013</v>
      </c>
      <c r="P231" s="3">
        <f>1080.6+(25.9-548.3)+(0+(0-0))+0-0-0</f>
        <v>558.19999999999993</v>
      </c>
      <c r="Q231" s="3">
        <f>1078.9+(33.2-546.4)+(-1.650717+(-0.050796--0.835992))+0-0-0</f>
        <v>564.83447900000021</v>
      </c>
      <c r="R231" s="3">
        <f>1068+(49.9-578.9)+(-3.81276+(-0.178143--2.066673))+0-0-0</f>
        <v>537.07577000000003</v>
      </c>
      <c r="S231" s="3">
        <f>1083+(57.1-604.7)+(-0.55233+(-0.029121--0.308397))+0-0-0</f>
        <v>535.12694599999998</v>
      </c>
      <c r="T231" s="3">
        <f>1080.4+(50.6-598.3)+(-2.204016+(-0.103224--1.220532))+0-0-0</f>
        <v>531.61329200000011</v>
      </c>
      <c r="U231" s="3">
        <f>1086.7+(49-614.3)+(0+(0-0))+0-0-0</f>
        <v>521.40000000000009</v>
      </c>
      <c r="V231" s="3">
        <f>1083.1+(45.4-597.3)+(-0.552381+(-0.023154--0.304623))+0-0-0</f>
        <v>530.92908799999998</v>
      </c>
      <c r="W231" s="3">
        <f>1116.2+(36.9-511.1)+(-0.569262+(-0.018819--0.260661))+0-0-0</f>
        <v>641.67258000000004</v>
      </c>
      <c r="X231" s="3">
        <f>1115.6+(104.5-507.1)+(-2.84478+(-0.266475--1.293105))+0-0-0</f>
        <v>711.18184999999994</v>
      </c>
      <c r="Y231" s="3">
        <f>1120.1+(97.8-522)+(-3.427506+(-0.299268--1.59732))+0-0-0</f>
        <v>693.77054599999985</v>
      </c>
      <c r="Z231" s="3">
        <f>1122.4+(90.4-533.1)+(-1.717272+(-0.138312--0.815643))+0-0-0</f>
        <v>678.66005900000005</v>
      </c>
      <c r="AA231" s="3">
        <f>1122.8+(80.3-549.2)+(-1.717884+(-0.122859--0.840276))+0-0-0</f>
        <v>652.89953299999991</v>
      </c>
      <c r="AB231" s="3">
        <f>1119.5+(79.5-590.2)+(-1.712835+(-0.121635--0.903006))+0-0-0</f>
        <v>607.86853599999995</v>
      </c>
      <c r="AC231" s="3">
        <f>1094.2+(55.4-596)+(-2.232168+(-0.113016--1.21584))+0-0-0</f>
        <v>552.47065600000008</v>
      </c>
      <c r="AD231">
        <f t="shared" si="3"/>
        <v>12770.095034</v>
      </c>
      <c r="AE231" s="3">
        <f>1129+(72.6-549.2)+(0+(0-0))+0-0-0</f>
        <v>652.4</v>
      </c>
    </row>
    <row r="232" spans="1:31" s="2" customFormat="1" x14ac:dyDescent="0.25">
      <c r="A232">
        <v>89</v>
      </c>
      <c r="B232">
        <v>8</v>
      </c>
      <c r="C232">
        <v>16</v>
      </c>
      <c r="D232">
        <v>2</v>
      </c>
      <c r="E232">
        <v>1</v>
      </c>
      <c r="F232" s="3">
        <f>964.6+(87.2-568.1)+(-0.983892+(-0.088944--0.579462))+0-0-0</f>
        <v>483.20662599999997</v>
      </c>
      <c r="G232" s="3">
        <f>840.5+(98.6-495)+(-0.428655+(-0.050286--0.25245))+0-0-0</f>
        <v>443.87350900000001</v>
      </c>
      <c r="H232" s="3">
        <f>826.8+(73.6-472.7)+(-1.265004+(-0.112608--0.723231))+0-0-0</f>
        <v>427.04561899999993</v>
      </c>
      <c r="I232" s="3">
        <f>828.8+(63.2-478.2)+(-0.845376+(-0.064464--0.487764))+0-0-0</f>
        <v>413.37792399999995</v>
      </c>
      <c r="J232" s="3">
        <f>835.2+(59.1-481.2)+(0.851904+(0.060282-0.490824))+0-0-0</f>
        <v>413.52136200000007</v>
      </c>
      <c r="K232" s="3">
        <f>842.4+(62.7-481.9)+(2.14812+(0.159885-1.228845))+0-0-0</f>
        <v>424.27915999999999</v>
      </c>
      <c r="L232" s="3">
        <f>826.9+(98.3-492.1)+(-1.265157+(-0.150399--0.752913))+0-0-0</f>
        <v>432.43735699999996</v>
      </c>
      <c r="M232" s="3">
        <f>824.8+(141.4-521.4)+(-2.10324+(-0.36057--1.32957))+0-0-0</f>
        <v>443.66575999999998</v>
      </c>
      <c r="N232" s="3">
        <f>839.6+(194.7-547.3)+(1.284588+(0.297891-0.837369))+0-0-0</f>
        <v>487.74511000000007</v>
      </c>
      <c r="O232" s="3">
        <f>983.5+(155-609.5)+(-1.504755+(-0.23715--0.932535))+0-0-0</f>
        <v>528.19063000000006</v>
      </c>
      <c r="P232" s="3">
        <f>986.2+(136.9-573)+(-0.502962+(-0.069819--0.29223))+0-0-0</f>
        <v>549.81944900000008</v>
      </c>
      <c r="Q232" s="3">
        <f>979.7+(119.8-569.3)+(-0.499647+(-0.061098--0.290343))+0-0-0</f>
        <v>529.92959800000006</v>
      </c>
      <c r="R232" s="3">
        <f>1036.1+(107.1-605.6)+(-2.113644+(-0.218484--1.235424))+0-0-0</f>
        <v>536.50329599999986</v>
      </c>
      <c r="S232" s="3">
        <f>1092+(62-624.3)+(0+(0-0))+0-0-0</f>
        <v>529.70000000000005</v>
      </c>
      <c r="T232" s="3">
        <f>1105.4+(57.4-633.9)+(1.127508+(0.058548-0.646578))+0-0-0</f>
        <v>529.43947800000012</v>
      </c>
      <c r="U232" s="3">
        <f>1093.6+(67.6-635.6)+(-1.115472+(-0.068952--0.648312))+0-0-0</f>
        <v>525.06388799999991</v>
      </c>
      <c r="V232" s="3">
        <f>1093.8+(62.1-632.1)+(-0.557838+(-0.031671--0.322371))+0-0-0</f>
        <v>523.53286199999991</v>
      </c>
      <c r="W232" s="3">
        <f>1094.9+(109.1-552.5)+(-0.558399+(-0.055641--0.281775))+0-0-0</f>
        <v>651.16773500000011</v>
      </c>
      <c r="X232" s="3">
        <f>1105+(210.1-607.2)+(-0.56355+(-0.107151--0.309672))+0-0-0</f>
        <v>707.53897099999995</v>
      </c>
      <c r="Y232" s="3">
        <f>1132.7+(166.4-596.7)+(-2.888385+(-0.42432--1.521585))+0-0-0</f>
        <v>700.60888</v>
      </c>
      <c r="Z232" s="3">
        <f>1140.3+(152.5-609.3)+(-2.907765+(-0.388875--1.553715))+0-0-0</f>
        <v>681.75707499999999</v>
      </c>
      <c r="AA232" s="3">
        <f>1138.8+(149.2-634.4)+(-1.161576+(-0.152184--0.647088))+0-0-0</f>
        <v>652.93332799999996</v>
      </c>
      <c r="AB232" s="3">
        <f>1133.6+(134-662.8)+(-1.156272+(-0.13668--0.676056))+0-0-0</f>
        <v>604.18310399999996</v>
      </c>
      <c r="AC232" s="3">
        <f>1128.8+(90.9-666.6)+(-2.87844+(-0.231795--1.69983))+0-0-0</f>
        <v>551.68959499999994</v>
      </c>
      <c r="AD232">
        <f t="shared" si="3"/>
        <v>12771.210315999999</v>
      </c>
      <c r="AE232" s="3">
        <f>1098+(217.4-637.2)+(0+(0-0))+0-0-0</f>
        <v>678.19999999999993</v>
      </c>
    </row>
    <row r="233" spans="1:31" s="2" customFormat="1" x14ac:dyDescent="0.25">
      <c r="A233">
        <v>89</v>
      </c>
      <c r="B233">
        <v>8</v>
      </c>
      <c r="C233">
        <v>17</v>
      </c>
      <c r="D233">
        <v>3</v>
      </c>
      <c r="E233">
        <v>1</v>
      </c>
      <c r="F233" s="3">
        <f>959.3+(81-557.7)+(-1.467729+(-0.12393--0.853281))+0-0-0</f>
        <v>481.8616219999999</v>
      </c>
      <c r="G233" s="3">
        <f>827.9+(98.4-487.7)+(-1.688916+(-0.200736--0.994908))+0-0-0</f>
        <v>437.70525600000002</v>
      </c>
      <c r="H233" s="3">
        <f>823.1+(63.6-462.6)+(-1.259343+(-0.097308--0.707778))+0-0-0</f>
        <v>423.45112700000004</v>
      </c>
      <c r="I233" s="3">
        <f>827.2+(42.2-457.9)+(-0.421872+(-0.021522--0.233529))+0-0-0</f>
        <v>411.29013500000008</v>
      </c>
      <c r="J233" s="3">
        <f>828+(44.8-449.1)+(-0.42228+(-0.022848--0.229041))+0-0-0</f>
        <v>423.48391299999997</v>
      </c>
      <c r="K233" s="3">
        <f>829.2+(55.2-449.2)+(0+(0-0))+0-0-0</f>
        <v>435.20000000000005</v>
      </c>
      <c r="L233" s="3">
        <f>827.5+(83.5-470.3)+(-0.84405+(-0.08517--0.479706))+0-0-0</f>
        <v>440.25048599999997</v>
      </c>
      <c r="M233" s="3">
        <f>960.1+(101.1-603.7)+(-1.468953+(-0.154683--0.923661))+0-0-0</f>
        <v>456.80002500000001</v>
      </c>
      <c r="N233" s="3">
        <f>1109.8+(98.1-697.9)+(-1.131996+(-0.100062--0.711858))+0-0-0</f>
        <v>509.47980000000001</v>
      </c>
      <c r="O233" s="3">
        <f>1106.2+(112.8-672.8)+(0+(0-0))+0-0-0</f>
        <v>546.20000000000005</v>
      </c>
      <c r="P233" s="3">
        <f>1128.9+(124.3-732.5)+(0+(0-0))+0-0-0</f>
        <v>520.70000000000005</v>
      </c>
      <c r="Q233" s="3">
        <f>1255.3+(87.3-787.7)+(-1.920609+(-0.133569--1.205181))+0-0-0</f>
        <v>554.05100299999981</v>
      </c>
      <c r="R233" s="3">
        <f>1254.8+(67.9-775.7)+(-3.19974+(-0.173145--1.978035))+0-0-0</f>
        <v>545.60514999999987</v>
      </c>
      <c r="S233" s="3">
        <f>1251.3+(82.2-795.3)+(0.638163+(0.041922-0.405603))+0-0-0</f>
        <v>538.47448200000008</v>
      </c>
      <c r="T233" s="3">
        <f>1251.3+(74.8-791.9)+(-1.276326+(-0.076296--0.807738))+0-0-0</f>
        <v>533.65511599999991</v>
      </c>
      <c r="U233" s="3">
        <f>1253+(62.6-776.3)+(0+(0-0))+0-0-0</f>
        <v>539.30000000000007</v>
      </c>
      <c r="V233" s="3">
        <f>1257+(47.2-751.6)+(-0.64107+(-0.024072--0.383316))+0-0-0</f>
        <v>552.318174</v>
      </c>
      <c r="W233" s="3">
        <f>1268+(85.6-688.7)+(0+(0-0))+0-0-0</f>
        <v>664.9</v>
      </c>
      <c r="X233" s="3">
        <f>1277.2+(156.8-713.5)+(-1.302744+(-0.159936--0.72777))+0-0-0</f>
        <v>719.76508999999999</v>
      </c>
      <c r="Y233" s="3">
        <f>1228.6+(185.9-704)+(-3.13293+(-0.474045--1.7952))+0-0-0</f>
        <v>708.68822499999987</v>
      </c>
      <c r="Z233" s="3">
        <f>1231.7+(212.1-741.6)+(-1.884501+(-0.324513--1.134648))+0-0-0</f>
        <v>701.12563399999999</v>
      </c>
      <c r="AA233" s="3">
        <f>1166+(218.1-721.2)+(-1.18932+(-0.222462--0.735624))+0-0-0</f>
        <v>662.22384199999999</v>
      </c>
      <c r="AB233" s="3">
        <f>1113.3+(183.5-683.9)+(-2.838915+(-0.467925--1.743945))+0-0-0</f>
        <v>611.33710499999995</v>
      </c>
      <c r="AC233" s="3">
        <f>909.9+(212.1-567.3)+(-1.856196+(-0.432684--1.157292))+0-0-0</f>
        <v>553.56841200000008</v>
      </c>
      <c r="AD233">
        <f t="shared" si="3"/>
        <v>12971.434597000001</v>
      </c>
      <c r="AE233" s="3">
        <f>1272+(151.4-759.5)+(0+(0-0))+0-0-0</f>
        <v>663.9</v>
      </c>
    </row>
    <row r="234" spans="1:31" s="2" customFormat="1" x14ac:dyDescent="0.25">
      <c r="A234">
        <v>89</v>
      </c>
      <c r="B234">
        <v>8</v>
      </c>
      <c r="C234">
        <v>18</v>
      </c>
      <c r="D234">
        <v>4</v>
      </c>
      <c r="E234">
        <v>1</v>
      </c>
      <c r="F234" s="3">
        <f>837+(181.4-531.8)+(-1.70748+(-0.370056--1.084872))+0-0-0</f>
        <v>485.60733600000003</v>
      </c>
      <c r="G234" s="3">
        <f>760.4+(144.3-453.9)+(0+(0-0))+0-0-0</f>
        <v>450.8</v>
      </c>
      <c r="H234" s="3">
        <f>757.2+(116.9-438.2)+(-0.386172+(-0.059619--0.223482))+0-0-0</f>
        <v>435.6776910000001</v>
      </c>
      <c r="I234" s="3">
        <f>760.6+(108.1-441.8)+(0.775812+(0.110262-0.450636))+0-0-0</f>
        <v>427.33543799999995</v>
      </c>
      <c r="J234" s="3">
        <f>759.3+(112.1-452.3)+(0.387243+(0.057171-0.230673))+0-0-0</f>
        <v>419.31374099999994</v>
      </c>
      <c r="K234" s="3">
        <f>758.1+(115.2-452.9)+(0+(0-0))+0-0-0</f>
        <v>420.40000000000003</v>
      </c>
      <c r="L234" s="3">
        <f>761+(162.3-491.9)+(0.38811+(0.082773-0.250869))+0-0-0</f>
        <v>431.62001400000003</v>
      </c>
      <c r="M234" s="3">
        <f>850+(176.8-572.9)+(0+(0-0))+0-0-0</f>
        <v>453.90000000000003</v>
      </c>
      <c r="N234" s="3">
        <f>1010.8+(180.9-687.5)+(0.515508+(0.092259-0.350625))+0-0-0</f>
        <v>504.45714199999992</v>
      </c>
      <c r="O234" s="3">
        <f>991.7+(159.1-623.4)+(-1.517301+(-0.243423--0.953802))+0-0-0</f>
        <v>526.59307800000011</v>
      </c>
      <c r="P234" s="3">
        <f>998.6+(144.8-611.7)+(0+(0-0))+0-0-0</f>
        <v>531.70000000000005</v>
      </c>
      <c r="Q234" s="3">
        <f>984.8+(119.3-565)+(-2.51124+(-0.304215--1.44075))+0-0-0</f>
        <v>537.72529499999996</v>
      </c>
      <c r="R234" s="3">
        <f>990.9+(106.5-567.8)+(0+(0-0))+0-0-0</f>
        <v>529.6</v>
      </c>
      <c r="S234" s="3">
        <f>980.3+(44.4-505.4)+(0+(0-0))+0-0-0</f>
        <v>519.29999999999995</v>
      </c>
      <c r="T234" s="3">
        <f>976.2+(31.9-487.7)+(0.497862+(0.016269-0.248727))+0-0-0</f>
        <v>520.66540400000008</v>
      </c>
      <c r="U234" s="3">
        <f>975.8+(57.7-516.6)+(0+(0-0))+0-0-0</f>
        <v>516.89999999999986</v>
      </c>
      <c r="V234" s="3">
        <f>963.6+(73.7-491.5)+(0.982872+(0.075174-0.50133))+0-0-0</f>
        <v>546.35671600000001</v>
      </c>
      <c r="W234" s="3">
        <f>1018.5+(103.9-449.8)+(0.519435+(0.052989-0.229398))+0-0-0</f>
        <v>672.94302600000003</v>
      </c>
      <c r="X234" s="3">
        <f>1035.3+(140.6-468)+(-1.584009+(-0.215118--0.71604))+0-0-0</f>
        <v>706.816913</v>
      </c>
      <c r="Y234" s="3">
        <f>1036+(144.3-487.2)+(-2.6418+(-0.367965--1.24236))+0-0-0</f>
        <v>691.33259499999997</v>
      </c>
      <c r="Z234" s="3">
        <f>1007+(167.7-499.8)+(-0.51357+(-0.085527--0.254898))+0-0-0</f>
        <v>674.55580099999997</v>
      </c>
      <c r="AA234" s="3">
        <f>1001.8+(177.2-539.2)+(-1.021836+(-0.180744--0.549984))+0-0-0</f>
        <v>639.14740399999994</v>
      </c>
      <c r="AB234" s="3">
        <f>992.7+(185.5-584.1)+(-3.037662+(-0.56763--1.787346))+0-0-0</f>
        <v>592.28205400000002</v>
      </c>
      <c r="AC234" s="3">
        <f>996.4+(177.6-640.5)+(-2.54082+(-0.45288--1.633275))+0-0-0</f>
        <v>532.13957500000004</v>
      </c>
      <c r="AD234">
        <f t="shared" si="3"/>
        <v>12767.169223000001</v>
      </c>
      <c r="AE234" s="3">
        <f>1035+(137.8-491.3)+(0+(0-0))+0-0-0</f>
        <v>681.5</v>
      </c>
    </row>
    <row r="235" spans="1:31" s="2" customFormat="1" x14ac:dyDescent="0.25">
      <c r="A235">
        <v>89</v>
      </c>
      <c r="B235">
        <v>8</v>
      </c>
      <c r="C235">
        <v>19</v>
      </c>
      <c r="D235">
        <v>5</v>
      </c>
      <c r="E235">
        <v>1</v>
      </c>
      <c r="F235" s="3">
        <f>998.1+(148.7-668.6)+(-1.527093+(-0.227511--1.022958))+0-0-0</f>
        <v>477.46835399999992</v>
      </c>
      <c r="G235" s="3">
        <f>847.7+(181.5-581.5)+(-0.864654+(-0.18513--0.59313))+0-0-0</f>
        <v>447.24334600000003</v>
      </c>
      <c r="H235" s="3">
        <f>727.7+(183.6-485.7)+(0+(0-0))+0-0-0</f>
        <v>425.6</v>
      </c>
      <c r="I235" s="3">
        <f>714.8+(165.3-469.2)+(-1.458192+(-0.337212--0.957168))+0-0-0</f>
        <v>410.06176399999998</v>
      </c>
      <c r="J235" s="3">
        <f>729.4+(164.6-482.3)+(1.85997+(0.41973-1.229865))+0-0-0</f>
        <v>412.7498349999999</v>
      </c>
      <c r="K235" s="3">
        <f>716.4+(183.4-476.1)+(-1.096092+(-0.280602--0.728433))+0-0-0</f>
        <v>423.05173899999994</v>
      </c>
      <c r="L235" s="3">
        <f>788.1+(168.3-532.6)+(-2.009655+(-0.429165--1.35813))+0-0-0</f>
        <v>422.71931000000001</v>
      </c>
      <c r="M235" s="3">
        <f>966.4+(132.7-649)+(-0.492864+(-0.067677--0.33099))+0-0-0</f>
        <v>449.87044900000001</v>
      </c>
      <c r="N235" s="3">
        <f>994.1+(192.6-693.7)+(0+(0-0))+0-0-0</f>
        <v>493</v>
      </c>
      <c r="O235" s="3">
        <f>1011.8+(209.9-697)+(0+(0-0))+0-0-0</f>
        <v>524.69999999999993</v>
      </c>
      <c r="P235" s="3">
        <f>1008.7+(152-625.4)+(0.514437+(0.07752-0.318954))+0-0-0</f>
        <v>535.57300300000009</v>
      </c>
      <c r="Q235" s="3">
        <f>1000.7+(139.7-598.4)+(-3.062142+(-0.427482--1.831104))+0-0-0</f>
        <v>540.34148000000005</v>
      </c>
      <c r="R235" s="3">
        <f>1000.7+(148.6-605.1)+(-1.020714+(-0.151572--0.617202))+0-0-0</f>
        <v>543.64491600000008</v>
      </c>
      <c r="S235" s="3">
        <f>1000.1+(148-609.6)+(0+(0-0))+0-0-0</f>
        <v>538.5</v>
      </c>
      <c r="T235" s="3">
        <f>998.1+(146.5-606.5)+(-1.018062+(-0.14943--0.61863))+0-0-0</f>
        <v>537.55113800000004</v>
      </c>
      <c r="U235" s="3">
        <f>983.9+(157.3-611.9)+(-1.505367+(-0.240669--0.936207))+0-0-0</f>
        <v>528.49017099999992</v>
      </c>
      <c r="V235" s="3">
        <f>984.5+(170.6-603.2)+(0.502095+(0.087006-0.307632))+0-0-0</f>
        <v>552.18146899999999</v>
      </c>
      <c r="W235" s="3">
        <f>995.5+(170.3-492.3)+(0.507705+(0.086853-0.251073))+0-0-0</f>
        <v>673.84348499999999</v>
      </c>
      <c r="X235" s="3">
        <f>1006.1+(253.2-535)+(0+(0-0))+0-0-0</f>
        <v>724.3</v>
      </c>
      <c r="Y235" s="3">
        <f>996.8+(246.8-532.2)+(-3.050208+(-0.755208--1.628532))+0-0-0</f>
        <v>709.22311599999989</v>
      </c>
      <c r="Z235" s="3">
        <f>1004.6+(232.3-539.2)+(-1.024692+(-0.236946--0.549984))+0-0-0</f>
        <v>696.98834600000009</v>
      </c>
      <c r="AA235" s="3">
        <f>1008.9+(268.8-616)+(0.514539+(0.137088-0.31416))+0-0-0</f>
        <v>662.03746699999999</v>
      </c>
      <c r="AB235" s="3">
        <f>998+(251.4-641.3)+(-2.03592+(-0.512856--1.308252))+0-0-0</f>
        <v>606.85947599999997</v>
      </c>
      <c r="AC235" s="3">
        <f>965+(236.9-644.5)+(-1.47645+(-0.362457--0.986085))+0-0-0</f>
        <v>556.54717800000003</v>
      </c>
      <c r="AD235">
        <f t="shared" si="3"/>
        <v>12892.546041999998</v>
      </c>
      <c r="AE235" s="3">
        <f>1011+(269-586.3)+(0+(0-0))+0-0-0</f>
        <v>693.7</v>
      </c>
    </row>
    <row r="236" spans="1:31" s="2" customFormat="1" x14ac:dyDescent="0.25">
      <c r="A236">
        <v>89</v>
      </c>
      <c r="B236">
        <v>8</v>
      </c>
      <c r="C236">
        <v>20</v>
      </c>
      <c r="D236">
        <v>6</v>
      </c>
      <c r="E236">
        <v>1</v>
      </c>
      <c r="F236" s="3">
        <f>823.8+(193.5-538.9)+(-0.840276+(-0.19737--0.549678))+0-0-0</f>
        <v>477.91203199999995</v>
      </c>
      <c r="G236" s="3">
        <f>786.1+(158.9-515.2)+(-1.202733+(-0.243117--0.788256))+0-0-0</f>
        <v>429.14240599999994</v>
      </c>
      <c r="H236" s="3">
        <f>739.6+(172.8-498.3)+(-1.131588+(-0.264384--0.762399))+0-0-0</f>
        <v>413.46642700000001</v>
      </c>
      <c r="I236" s="3">
        <f>653.5+(217.4-464)+(0.333285+(0.110874-0.23664))+0-0-0</f>
        <v>407.10751899999997</v>
      </c>
      <c r="J236" s="3">
        <f>620.3+(230.6-453.1)+(0.949059+(0.352818-0.693243))+0-0-0</f>
        <v>398.40863399999995</v>
      </c>
      <c r="K236" s="3">
        <f>619.2+(252.7-460.3)+(0.631584+(0.257754-0.469506))+0-0-0</f>
        <v>412.01983200000001</v>
      </c>
      <c r="L236" s="3">
        <f>615.3+(301.6-504.6)+(-0.313803+(-0.153816--0.257346))+0-0-0</f>
        <v>412.08972699999998</v>
      </c>
      <c r="M236" s="3">
        <f>621.5+(328.6-497.9)+(0.950895+(0.502758-0.761787))+0-0-0</f>
        <v>452.89186600000005</v>
      </c>
      <c r="N236" s="3">
        <f>758.5+(234.8-489.8)+(1.160505+(0.359244-0.749394))+0-0-0</f>
        <v>504.270355</v>
      </c>
      <c r="O236" s="3">
        <f>815+(222.2-510.3)+(0.8313+(0.226644-0.520506))+0-0-0</f>
        <v>527.43743799999993</v>
      </c>
      <c r="P236" s="3">
        <f>886+(197.6-537.6)+(1.35558+(0.302328-0.822528))+0-0-0</f>
        <v>546.83537999999999</v>
      </c>
      <c r="Q236" s="3">
        <f>900.1+(156.6-495.7)+(-0.918102+(-0.159732--0.505614))+0-0-0</f>
        <v>560.42777999999998</v>
      </c>
      <c r="R236" s="3">
        <f>901.3+(134.8-505)+(-0.919326+(-0.137496--0.5151))+0-0-0</f>
        <v>530.55827799999986</v>
      </c>
      <c r="S236" s="3">
        <f>897.9+(136.4-524)+(-1.831716+(-0.278256--1.06896))+0-0-0</f>
        <v>509.25898799999993</v>
      </c>
      <c r="T236" s="3">
        <f>896.8+(154-575.2)+(-1.829472+(-0.31416--1.173408))+0-0-0</f>
        <v>474.62977599999994</v>
      </c>
      <c r="U236" s="3">
        <f>893.5+(155.3-579.6)+(-1.367055+(-0.237609--0.886788))+0-0-0</f>
        <v>468.482124</v>
      </c>
      <c r="V236" s="3">
        <f>898.4+(139.2-544.4)+(0.916368+(0.141984-0.555288))+0-0-0</f>
        <v>493.70306399999998</v>
      </c>
      <c r="W236" s="3">
        <f>895.7+(177.8-467)+(-0.456807+(-0.090678--0.23817))+0-0-0</f>
        <v>606.19068500000003</v>
      </c>
      <c r="X236" s="3">
        <f>898.2+(225.8-468.1)+(-2.29041+(-0.57579--1.193655))+0-0-0</f>
        <v>654.22745500000008</v>
      </c>
      <c r="Y236" s="3">
        <f>915.1+(192.8-457.9)+(-1.400103+(-0.294984--0.700587))+0-0-0</f>
        <v>649.00549999999998</v>
      </c>
      <c r="Z236" s="3">
        <f>919.8+(186.6-474.5)+(-0.469098+(-0.095166--0.241995))+0-0-0</f>
        <v>631.57773099999997</v>
      </c>
      <c r="AA236" s="3">
        <f>912.5+(239.2-531.2)+(-1.396125+(-0.365976--0.812736))+0-0-0</f>
        <v>619.55063500000006</v>
      </c>
      <c r="AB236" s="3">
        <f>900.7+(255-578.6)+(-1.378071+(-0.39015--0.885258))+0-0-0</f>
        <v>576.217037</v>
      </c>
      <c r="AC236" s="3">
        <f>800.3+(271.5-554)+(-1.632612+(-0.55386--1.13016))+0-0-0</f>
        <v>516.74368799999991</v>
      </c>
      <c r="AD236">
        <f t="shared" si="3"/>
        <v>12272.154356999998</v>
      </c>
      <c r="AE236" s="3">
        <f>896+(225.7-495.6)+(0+(0-0))+0-0-0</f>
        <v>626.09999999999991</v>
      </c>
    </row>
    <row r="237" spans="1:31" s="2" customFormat="1" x14ac:dyDescent="0.25">
      <c r="A237">
        <v>89</v>
      </c>
      <c r="B237">
        <v>8</v>
      </c>
      <c r="C237">
        <v>21</v>
      </c>
      <c r="D237">
        <v>7</v>
      </c>
      <c r="E237">
        <v>1</v>
      </c>
      <c r="F237" s="3">
        <f>799.4+(180-481.6)+(-1.223082+(-0.2754--0.736848))+0-0-0</f>
        <v>497.03836599999994</v>
      </c>
      <c r="G237" s="3">
        <f>778.2+(135.1-447.2)+(-1.190646+(-0.206703--0.684216))+0-0-0</f>
        <v>465.386867</v>
      </c>
      <c r="H237" s="3">
        <f>615+(204.7-384.8)+(-0.6273+(-0.208794--0.392496))+0-0-0</f>
        <v>434.45640199999997</v>
      </c>
      <c r="I237" s="3">
        <f>612+(178.1-378.9)+(-0.93636+(-0.272493--0.579717))+0-0-0</f>
        <v>410.57086400000003</v>
      </c>
      <c r="J237" s="3">
        <f>613.9+(180.3-378.5)+(-0.313089+(-0.091953--0.193035))+0-0-0</f>
        <v>415.48799299999996</v>
      </c>
      <c r="K237" s="3">
        <f>614.5+(180.1-376.7)+(-0.313395+(-0.091851--0.192117))+0-0-0</f>
        <v>417.686871</v>
      </c>
      <c r="L237" s="3">
        <f>607.3+(204-413.1)+(-2.168061+(-0.72828--1.474767))+0-0-0</f>
        <v>396.77842599999991</v>
      </c>
      <c r="M237" s="3">
        <f>615.2+(213.3-445.8)+(0.313752+(0.108783-0.227358))+0-0-0</f>
        <v>382.89517700000005</v>
      </c>
      <c r="N237" s="3">
        <f>701.5+(247.4-528)+(-1.073295+(-0.378522--0.80784))+0-0-0</f>
        <v>420.25602299999997</v>
      </c>
      <c r="O237" s="3">
        <f>780.2+(256.4-565.8)+(-0.795804+(-0.261528--0.577116))+0-0-0</f>
        <v>470.31978400000008</v>
      </c>
      <c r="P237" s="3">
        <f>780.4+(273.5-556.6)+(-0.398004+(-0.139485--0.283866))+0-0-0</f>
        <v>497.04637699999995</v>
      </c>
      <c r="Q237" s="3">
        <f>821.6+(189.3-514.7)+(-0.419016+(-0.096543--0.262497))+0-0-0</f>
        <v>495.94693799999999</v>
      </c>
      <c r="R237" s="3">
        <f>852.2+(169.4-538.6)+(-1.738488+(-0.345576--1.098744))+0-0-0</f>
        <v>482.01468</v>
      </c>
      <c r="S237" s="3">
        <f>893.1+(123-552.6)+(1.821924+(0.25092-1.127304))+0-0-0</f>
        <v>464.44553999999999</v>
      </c>
      <c r="T237" s="3">
        <f>897.4+(102.6-551.9)+(-1.373022+(-0.156978--0.844407))+0-0-0</f>
        <v>447.41440700000004</v>
      </c>
      <c r="U237" s="3">
        <f>830.9+(102.6-507.3)+(-0.423759+(-0.052326--0.258723))+0-0-0</f>
        <v>425.98263799999995</v>
      </c>
      <c r="V237" s="3">
        <f>869.6+(92.6-508.6)+(-0.443496+(-0.047226--0.259386))+0-0-0</f>
        <v>453.36866400000002</v>
      </c>
      <c r="W237" s="3">
        <f>932.2+(99.9-461.7)+(-1.426266+(-0.152847--0.706401))+0-0-0</f>
        <v>569.52728800000011</v>
      </c>
      <c r="X237" s="3">
        <f>991.9+(181.3-533.4)+(-3.541083+(-0.647241--1.904238))+0-0-0</f>
        <v>637.51591399999995</v>
      </c>
      <c r="Y237" s="3">
        <f>1010+(148-516.6)+(-1.5453+(-0.22644--0.790398))+0-0-0</f>
        <v>640.41865799999994</v>
      </c>
      <c r="Z237" s="3">
        <f>986+(143.9-504.1)+(-2.01144+(-0.293556--1.028364))+0-0-0</f>
        <v>624.523368</v>
      </c>
      <c r="AA237" s="3">
        <f>1006.2+(134.6-542.4)+(-1.026324+(-0.137292--0.553248))+0-0-0</f>
        <v>597.7896320000001</v>
      </c>
      <c r="AB237" s="3">
        <f>1011.6+(116.1-563)+(-1.547748+(-0.177633--0.86139))+0-0-0</f>
        <v>563.83600899999999</v>
      </c>
      <c r="AC237" s="3">
        <f>1012.9+(59.6-561.6)+(-1.549737+(-0.091188--0.859248))+0-0-0</f>
        <v>510.11832299999998</v>
      </c>
      <c r="AD237">
        <f t="shared" si="3"/>
        <v>11720.825209000001</v>
      </c>
      <c r="AE237" s="3">
        <f>999+(185.3-592.9)+(0+(0-0))+0-0-0</f>
        <v>591.40000000000009</v>
      </c>
    </row>
    <row r="238" spans="1:31" s="2" customFormat="1" x14ac:dyDescent="0.25">
      <c r="A238">
        <v>89</v>
      </c>
      <c r="B238">
        <v>8</v>
      </c>
      <c r="C238">
        <v>22</v>
      </c>
      <c r="D238">
        <v>1</v>
      </c>
      <c r="E238">
        <v>1</v>
      </c>
      <c r="F238" s="3">
        <f>1014.1+(51.1-595.5)+(1.034382+(0.052122-0.60741))+0-0-0</f>
        <v>470.17909400000002</v>
      </c>
      <c r="G238" s="3">
        <f>899.7+(71.6-541.3)+(0+(0-0))+0-0-0</f>
        <v>430.00000000000011</v>
      </c>
      <c r="H238" s="3">
        <f>757.7+(114.3-472.9)+(0.386427+(0.058293-0.241179))+0-0-0</f>
        <v>399.30354100000005</v>
      </c>
      <c r="I238" s="3">
        <f>757.1+(107.4-467.7)+(0.772242+(0.109548-0.477054))+0-0-0</f>
        <v>397.20473600000008</v>
      </c>
      <c r="J238" s="3">
        <f>757.1+(102.5-463.8)+(0.772242+(0.10455-0.473076))+0-0-0</f>
        <v>396.20371599999999</v>
      </c>
      <c r="K238" s="3">
        <f>755.1+(129.5-475.6)+(-0.385101+(-0.066045--0.242556))+0-0-0</f>
        <v>408.79140999999998</v>
      </c>
      <c r="L238" s="3">
        <f>752.3+(173.3-497.8)+(-1.151019+(-0.265149--0.761634))+0-0-0</f>
        <v>427.14546599999994</v>
      </c>
      <c r="M238" s="3">
        <f>753.9+(201.9-510)+(-0.384489+(-0.102969--0.2601))+0-0-0</f>
        <v>445.57264199999997</v>
      </c>
      <c r="N238" s="3">
        <f>913.3+(130.7-541.5)+(-0.931566+(-0.133314--0.55233))+0-0-0</f>
        <v>501.98744999999997</v>
      </c>
      <c r="O238" s="3">
        <f>951.2+(111.4-533.4)+(-1.455336+(-0.170442--0.816102))+0-0-0</f>
        <v>528.39032400000008</v>
      </c>
      <c r="P238" s="3">
        <f>1019.1+(68.1-549.5)+(0+(0-0))+0-0-0</f>
        <v>537.70000000000005</v>
      </c>
      <c r="Q238" s="3">
        <f>1012.8+(57.4-514)+(-0.516528+(-0.029274--0.26214))+0-0-0</f>
        <v>555.91633799999988</v>
      </c>
      <c r="R238" s="3">
        <f>1007+(41.4-510.5)+(-2.05428+(-0.084456--1.04142))+0-0-0</f>
        <v>536.802684</v>
      </c>
      <c r="S238" s="3">
        <f>1008.6+(83.1-561.8)+(-1.028772+(-0.084762--0.573036))+0-0-0</f>
        <v>529.35950200000013</v>
      </c>
      <c r="T238" s="3">
        <f>1010.6+(68.1-553.1)+(-0.515406+(-0.034731--0.282081))+0-0-0</f>
        <v>525.33194400000002</v>
      </c>
      <c r="U238" s="3">
        <f>1012.5+(70-560.5)+(0.516375+(0.0357-0.285855))+0-0-0</f>
        <v>522.26621999999998</v>
      </c>
      <c r="V238" s="3">
        <f>1010.9+(41.6-524.1)+(1.031118+(0.042432-0.534582))+0-0-0</f>
        <v>528.93896799999993</v>
      </c>
      <c r="W238" s="3">
        <f>1029.5+(81.2-467)+(0+(0-0))+0-0-0</f>
        <v>643.70000000000005</v>
      </c>
      <c r="X238" s="3">
        <f>1063.2+(148.7-527.4)+(-0.542232+(-0.075837--0.268974))+0-0-0</f>
        <v>684.15090499999997</v>
      </c>
      <c r="Y238" s="3">
        <f>1066.9+(138.7-526.3)+(-2.176476+(-0.282948--1.073652))+0-0-0</f>
        <v>677.91422800000021</v>
      </c>
      <c r="Z238" s="3">
        <f>1061.4+(144-537.7)+(-0.541314+(-0.07344--0.274227))+0-0-0</f>
        <v>667.35947300000009</v>
      </c>
      <c r="AA238" s="3">
        <f>1059+(181.1-583.8)+(-1.62027+(-0.277083--0.893214))+0-0-0</f>
        <v>655.29586100000006</v>
      </c>
      <c r="AB238" s="3">
        <f>1055.3+(166.1-608.1)+(-2.691015+(-0.423555--1.550655))+0-0-0</f>
        <v>611.736085</v>
      </c>
      <c r="AC238" s="3">
        <f>1053.5+(109.9-618.8)+(-2.686425+(-0.280245--1.57794))+0-0-0</f>
        <v>543.21127000000001</v>
      </c>
      <c r="AD238">
        <f t="shared" si="3"/>
        <v>12624.461857000002</v>
      </c>
      <c r="AE238" s="3">
        <f>1058+(129.4-536.4)+(0+(0-0))+0-0-0</f>
        <v>651</v>
      </c>
    </row>
    <row r="239" spans="1:31" s="2" customFormat="1" x14ac:dyDescent="0.25">
      <c r="A239">
        <v>89</v>
      </c>
      <c r="B239">
        <v>8</v>
      </c>
      <c r="C239">
        <v>23</v>
      </c>
      <c r="D239">
        <v>2</v>
      </c>
      <c r="E239">
        <v>1</v>
      </c>
      <c r="F239" s="3">
        <f>1050.7+(102.6-673.9)+(-2.143428+(-0.209304--1.374756))+0-0-0</f>
        <v>478.42202400000008</v>
      </c>
      <c r="G239" s="3">
        <f>1048.4+(72.9-674.1)+(-2.67342+(-0.185895--1.718955))+0-0-0</f>
        <v>446.05964000000006</v>
      </c>
      <c r="H239" s="3">
        <f>1045.4+(25-642.2)+(-0.533154+(-0.01275--0.327522))+0-0-0</f>
        <v>427.98161800000003</v>
      </c>
      <c r="I239" s="3">
        <f>886+(66.4-539.8)+(-0.90372+(-0.067728--0.550596))+0-0-0</f>
        <v>412.179148</v>
      </c>
      <c r="J239" s="3">
        <f>751.8+(128.6-467.8)+(-0.766836+(-0.131172--0.477156))+0-0-0</f>
        <v>412.17914799999988</v>
      </c>
      <c r="K239" s="3">
        <f>759.1+(138-477.2)+(1.161423+(0.21114-0.730116))+0-0-0</f>
        <v>420.54244700000004</v>
      </c>
      <c r="L239" s="3">
        <f>755.2+(196.1-525.8)+(0+(0-0))+0-0-0</f>
        <v>425.50000000000011</v>
      </c>
      <c r="M239" s="3">
        <f>758.1+(189.5-507)+(0.386631+(0.096645-0.25857))+0-0-0</f>
        <v>440.82470600000005</v>
      </c>
      <c r="N239" s="3">
        <f>910.2+(154.6-571.6)+(-1.856808+(-0.315384--1.166064))+0-0-0</f>
        <v>492.19387200000006</v>
      </c>
      <c r="O239" s="3">
        <f>1024.7+(113.8-620.2)+(0+(0-0))+0-0-0</f>
        <v>518.29999999999995</v>
      </c>
      <c r="P239" s="3">
        <f>1023.4+(138.5-629.7)+(-0.521934+(-0.070635--0.321147))+0-0-0</f>
        <v>531.9285779999999</v>
      </c>
      <c r="Q239" s="3">
        <f>1008.5+(158.9-626.9)+(-1.543005+(-0.243117--0.959157))+0-0-0</f>
        <v>539.67303500000003</v>
      </c>
      <c r="R239" s="3">
        <f>1005.4+(153.2-641.2)+(-2.051016+(-0.312528--1.308048))+0-0-0</f>
        <v>516.34450399999992</v>
      </c>
      <c r="S239" s="3">
        <f>1010.9+(137.5-640.6)+(-1.031118+(-0.14025--0.653412))+0-0-0</f>
        <v>507.28204399999993</v>
      </c>
      <c r="T239" s="3">
        <f>1007.2+(133.5-635.8)+(-0.513672+(-0.068085--0.324258))+0-0-0</f>
        <v>504.6425010000001</v>
      </c>
      <c r="U239" s="3">
        <f>1006.4+(130-641.4)+(-1.026528+(-0.1326--0.654228))+0-0-0</f>
        <v>494.49509999999998</v>
      </c>
      <c r="V239" s="3">
        <f>1009.5+(91-593.3)+(0+(0-0))+0-0-0</f>
        <v>507.20000000000005</v>
      </c>
      <c r="W239" s="3">
        <f>1016.4+(140-541.1)+(1.555092+(0.2142-0.827883))+0-0-0</f>
        <v>616.24140899999998</v>
      </c>
      <c r="X239" s="3">
        <f>1033+(191.4-573.2)+(-2.10732+(-0.390456--1.169328))+0-0-0</f>
        <v>649.87155199999995</v>
      </c>
      <c r="Y239" s="3">
        <f>1044.6+(188.5-568.6)+(-2.66373+(-0.480675--1.44993))+0-0-0</f>
        <v>662.80552499999988</v>
      </c>
      <c r="Z239" s="3">
        <f>1042.1+(177.8-561.3)+(-1.062942+(-0.181356--0.572526))+0-0-0</f>
        <v>657.92822799999988</v>
      </c>
      <c r="AA239" s="3">
        <f>1036.6+(198.5-595.8)+(-1.585998+(-0.303705--0.911574))+0-0-0</f>
        <v>638.32187099999999</v>
      </c>
      <c r="AB239" s="3">
        <f>1018.9+(162.5-592.7)+(-2.078556+(-0.3315--1.209108))+0-0-0</f>
        <v>587.49905199999989</v>
      </c>
      <c r="AC239" s="3">
        <f>1014.3+(93.4-573.1)+(-2.586465+(-0.23817--1.461405))+0-0-0</f>
        <v>533.23676999999986</v>
      </c>
      <c r="AD239">
        <f t="shared" si="3"/>
        <v>12421.652771999999</v>
      </c>
      <c r="AE239" s="3">
        <f>1021+(198.7-576)+(0+(0-0))+0-0-0</f>
        <v>643.70000000000005</v>
      </c>
    </row>
    <row r="240" spans="1:31" s="2" customFormat="1" x14ac:dyDescent="0.25">
      <c r="A240">
        <v>89</v>
      </c>
      <c r="B240">
        <v>8</v>
      </c>
      <c r="C240">
        <v>24</v>
      </c>
      <c r="D240">
        <v>3</v>
      </c>
      <c r="E240">
        <v>1</v>
      </c>
      <c r="F240" s="3">
        <f>959+(71.9-538.4)+(-2.44545+(-0.183345--1.37292))+0-0-0</f>
        <v>491.244125</v>
      </c>
      <c r="G240" s="3">
        <f>750.7+(123.7-432.9)+(-1.531428+(-0.252348--0.883116))+0-0-0</f>
        <v>440.59934000000004</v>
      </c>
      <c r="H240" s="3">
        <f>749.6+(101.4-416.9)+(-1.146888+(-0.155142--0.637857))+0-0-0</f>
        <v>433.43582700000002</v>
      </c>
      <c r="I240" s="3">
        <f>752.9+(105.8-430)+(0+(0-0))+0-0-0</f>
        <v>428.7</v>
      </c>
      <c r="J240" s="3">
        <f>751.5+(103.4-426)+(-0.383265+(-0.052734--0.21726))+0-0-0</f>
        <v>428.68126099999995</v>
      </c>
      <c r="K240" s="3">
        <f>758.2+(83.1-399.2)+(1.160046+(0.127143-0.610776))+0-0-0</f>
        <v>442.77641300000005</v>
      </c>
      <c r="L240" s="3">
        <f>752.9+(99.8-410.5)+(-0.383979+(-0.050898--0.209355))+0-0-0</f>
        <v>441.97447799999998</v>
      </c>
      <c r="M240" s="3">
        <f>916.2+(49.3-495.8)+(-0.934524+(-0.050286--0.505716))+0-0-0</f>
        <v>469.22090600000007</v>
      </c>
      <c r="N240" s="3">
        <f>1025.4+(29.8-538.3)+(-0.522954+(-0.015198--0.274533))+0-0-0</f>
        <v>516.63638100000014</v>
      </c>
      <c r="O240" s="3">
        <f>1026+(80.2-547.4)+(-0.52326+(-0.040902--0.279174))+0-0-0</f>
        <v>558.51501199999996</v>
      </c>
      <c r="P240" s="3">
        <f>1024.5+(51.3-523.2)+(-1.04499+(-0.052326--0.533664))+0-0-0</f>
        <v>552.03634799999986</v>
      </c>
      <c r="Q240" s="3">
        <f>1014.8+(50.4-517)+(-2.070192+(-0.102816--1.05468))+0-0-0</f>
        <v>547.08167199999991</v>
      </c>
      <c r="R240" s="3">
        <f>1011.1+(48.2-533.1)+(-2.578305+(-0.12291--1.359405))+0-0-0</f>
        <v>524.85819000000004</v>
      </c>
      <c r="S240" s="3">
        <f>1018.8+(75.9-567)+(-0.519588+(-0.038709--0.28917))+0-0-0</f>
        <v>527.43087299999991</v>
      </c>
      <c r="T240" s="3">
        <f>1013.2+(67.3-582.7)+(-1.033464+(-0.068646--0.594354))+0-0-0</f>
        <v>497.29224399999998</v>
      </c>
      <c r="U240" s="3">
        <f>1007.2+(74.3-595)+(-0.513672+(-0.037893--0.30345))+0-0-0</f>
        <v>486.25188500000002</v>
      </c>
      <c r="V240" s="3">
        <f>1006.4+(56.7-555)+(0+(0-0))+0-0-0</f>
        <v>508.09999999999997</v>
      </c>
      <c r="W240" s="3">
        <f>1017.7+(98.8-480.8)+(-1.557081+(-0.151164--0.735624))+0-0-0</f>
        <v>634.72737900000004</v>
      </c>
      <c r="X240" s="3">
        <f>1023.2+(156.6-495.4)+(-2.60916+(-0.39933--1.26327))+0-0-0</f>
        <v>682.65478000000007</v>
      </c>
      <c r="Y240" s="3">
        <f>1020.7+(148.6-471)+(-3.123342+(-0.454716--1.44126))+0-0-0</f>
        <v>696.16320200000007</v>
      </c>
      <c r="Z240" s="3">
        <f>1025.8+(128.1-464.7)+(-1.569474+(-0.195993--0.710991))+0-0-0</f>
        <v>688.14552399999991</v>
      </c>
      <c r="AA240" s="3">
        <f>1023.6+(137.1-509.1)+(-2.61018+(-0.349605--1.298205))+0-0-0</f>
        <v>649.93842000000006</v>
      </c>
      <c r="AB240" s="3">
        <f>1024.2+(138.1-551.1)+(-2.089368+(-0.281724--1.124244))+0-0-0</f>
        <v>609.95315200000005</v>
      </c>
      <c r="AC240" s="3">
        <f>1021.6+(116.2-583.7)+(-2.60508+(-0.29631--1.488435))+0-0-0</f>
        <v>552.6870449999999</v>
      </c>
      <c r="AD240">
        <f t="shared" si="3"/>
        <v>12809.104457000001</v>
      </c>
      <c r="AE240" s="3">
        <f>1025+(149.6-547.2)+(0+(0-0))+0-0-0</f>
        <v>627.4</v>
      </c>
    </row>
    <row r="241" spans="1:31" s="2" customFormat="1" x14ac:dyDescent="0.25">
      <c r="A241">
        <v>89</v>
      </c>
      <c r="B241">
        <v>8</v>
      </c>
      <c r="C241">
        <v>25</v>
      </c>
      <c r="D241">
        <v>4</v>
      </c>
      <c r="E241">
        <v>1</v>
      </c>
      <c r="F241" s="3">
        <f>1020.6+(80.2-609.7)+(-2.60253+(-0.20451--1.554735))+0-0-0</f>
        <v>489.84769500000004</v>
      </c>
      <c r="G241" s="3">
        <f>948.7+(84.6-580.7)+(-0.483837+(-0.043146--0.296157))+0-0-0</f>
        <v>452.36917400000004</v>
      </c>
      <c r="H241" s="3">
        <f>908.9+(71.6-543.6)+(-2.317695+(-0.18258--1.38618))+0-0-0</f>
        <v>435.78590499999996</v>
      </c>
      <c r="I241" s="3">
        <f>762.9+(113.1-459.6)+(0.778158+(0.115362-0.468792))+0-0-0</f>
        <v>416.82472799999999</v>
      </c>
      <c r="J241" s="3">
        <f>755.8+(114.9-446.8)+(0+(0-0))+0-0-0</f>
        <v>423.9</v>
      </c>
      <c r="K241" s="3">
        <f>752.7+(96.6-417.9)+(-0.383877+(-0.049266--0.213129))+0-0-0</f>
        <v>431.1799860000001</v>
      </c>
      <c r="L241" s="3">
        <f>945.7+(35.6-545.9)+(0.482307+(0.018156-0.278409))+0-0-0</f>
        <v>435.62205400000011</v>
      </c>
      <c r="M241" s="3">
        <f>970.3+(29.5-543.3)+(0.494853+(0.015045-0.277083))+0-0-0</f>
        <v>456.73281500000002</v>
      </c>
      <c r="N241" s="3">
        <f>997.8+(39.8-536.9)+(1.526634+(0.060894-0.821457))+0-0-0</f>
        <v>501.466071</v>
      </c>
      <c r="O241" s="3">
        <f>1008.8+(55-533.3)+(-1.543464+(-0.08415--0.815949))+0-0-0</f>
        <v>529.68833500000005</v>
      </c>
      <c r="P241" s="3">
        <f>1016.8+(74.2-559.7)+(0+(0-0))+0-0-0</f>
        <v>531.29999999999995</v>
      </c>
      <c r="Q241" s="3">
        <f>1014.5+(91.8-555.6)+(-1.552185+(-0.140454--0.850068))+0-0-0</f>
        <v>549.85742900000002</v>
      </c>
      <c r="R241" s="3">
        <f>1012.3+(61.6-543.8)+(-2.065092+(-0.125664--1.109352))+0-0-0</f>
        <v>529.018596</v>
      </c>
      <c r="S241" s="3">
        <f>1010+(54.6-523.6)+(-0.5151+(-0.027846--0.267036))+0-0-0</f>
        <v>540.72409000000005</v>
      </c>
      <c r="T241" s="3">
        <f>972.2+(53.9-512.7)+(-1.487466+(-0.082467--0.784431))+0-0-0</f>
        <v>512.61449800000003</v>
      </c>
      <c r="U241" s="3">
        <f>1004.1+(34.3-546.6)+(-2.560455+(-0.087465--1.39383))+0-0-0</f>
        <v>490.54590999999994</v>
      </c>
      <c r="V241" s="3">
        <f>1004+(38.6-535.6)+(-2.04816+(-0.078744--1.092624))+0-0-0</f>
        <v>505.96571999999998</v>
      </c>
      <c r="W241" s="3">
        <f>1018.9+(69.9-436.4)+(0+(0-0))+0-0-0</f>
        <v>652.4</v>
      </c>
      <c r="X241" s="3">
        <f>1018.9+(126.7-450.6)+(-2.078556+(-0.258468--0.919224))+0-0-0</f>
        <v>693.58220000000006</v>
      </c>
      <c r="Y241" s="3">
        <f>1012.5+(152-473.8)+(-3.09825+(-0.46512--1.449828))+0-0-0</f>
        <v>688.58645799999999</v>
      </c>
      <c r="Z241" s="3">
        <f>1020.4+(179.5-514.5)+(-1.040808+(-0.18309--0.52479))+0-0-0</f>
        <v>684.70089199999995</v>
      </c>
      <c r="AA241" s="3">
        <f>1016.2+(208.8-568.5)+(-1.554786+(-0.319464--0.869805))+0-0-0</f>
        <v>655.49555499999997</v>
      </c>
      <c r="AB241" s="3">
        <f>1005.5+(194.4-583.1)+(-2.564025+(-0.49572--1.486905))+0-0-0</f>
        <v>615.22715999999991</v>
      </c>
      <c r="AC241" s="3">
        <f>902.1+(187.1-531.2)+(0+(0-0))+0-0-0</f>
        <v>558</v>
      </c>
      <c r="AD241">
        <f t="shared" si="3"/>
        <v>12781.435271</v>
      </c>
      <c r="AE241" s="3">
        <f>1028+(108.2-466.7)+(0+(0-0))+0-0-0</f>
        <v>669.5</v>
      </c>
    </row>
    <row r="242" spans="1:31" s="2" customFormat="1" x14ac:dyDescent="0.25">
      <c r="A242">
        <v>89</v>
      </c>
      <c r="B242">
        <v>8</v>
      </c>
      <c r="C242">
        <v>26</v>
      </c>
      <c r="D242">
        <v>5</v>
      </c>
      <c r="E242">
        <v>3</v>
      </c>
      <c r="F242" s="3">
        <f>814.6+(153.8-466)+(-1.661784+(-0.313752--0.95064))+0-0-0</f>
        <v>501.37510400000002</v>
      </c>
      <c r="G242" s="3">
        <f>676.9+(155.4-373)+(0+(0-0))+0-0-0</f>
        <v>459.29999999999995</v>
      </c>
      <c r="H242" s="3">
        <f>617.1+(159.1-345.5)+(-1.573605+(-0.405705--0.881025))+0-0-0</f>
        <v>429.60171500000007</v>
      </c>
      <c r="I242" s="3">
        <f>618.1+(144.1-338.8)+(-1.260924+(-0.293964--0.691152))+0-0-0</f>
        <v>422.53626399999996</v>
      </c>
      <c r="J242" s="3">
        <f>625.1+(145.3-350.1)+(0.956403+(0.222309-0.535653))+0-0-0</f>
        <v>420.94305900000001</v>
      </c>
      <c r="K242" s="3">
        <f>621.5+(160.9-357.6)+(-0.316965+(-0.082059--0.182376))+0-0-0</f>
        <v>424.58335199999993</v>
      </c>
      <c r="L242" s="3">
        <f>624.1+(171.2-387)+(0.318291+(0.087312-0.19737))+0-0-0</f>
        <v>408.50823300000002</v>
      </c>
      <c r="M242" s="3">
        <f>620+(181.6-400.8)+(-0.6324+(-0.185232--0.408816))+0-0-0</f>
        <v>400.39118399999995</v>
      </c>
      <c r="N242" s="3">
        <f>623.9+(140.3-326.8)+(0+(0-0))+0-0-0</f>
        <v>437.4</v>
      </c>
      <c r="O242" s="3">
        <f>619.9+(103.8-248.3)+(-1.264596+(-0.211752--0.506532))+0-0-0</f>
        <v>474.430184</v>
      </c>
      <c r="P242" s="3">
        <f>622.6+(123.2-244.5)+(-0.952578+(-0.188496--0.374085))+0-0-0</f>
        <v>500.53301099999999</v>
      </c>
      <c r="Q242" s="3">
        <f>622.1+(119.1-228.4)+(-1.269084+(-0.242964--0.465936))+0-0-0</f>
        <v>511.75388799999996</v>
      </c>
      <c r="R242" s="3">
        <f>624.6+(130-253.7)+(-0.637092+(-0.1326--0.258774))+0-0-0</f>
        <v>500.38908200000003</v>
      </c>
      <c r="S242" s="3">
        <f>626.3+(116.4-252.7)+(-0.638826+(-0.118728--0.257754))+0-0-0</f>
        <v>489.50020000000001</v>
      </c>
      <c r="T242" s="3">
        <f>625.2+(101.4-246)+(-0.318852+(-0.051714--0.12546))+0-0-0</f>
        <v>480.354894</v>
      </c>
      <c r="U242" s="3">
        <f>625.9+(100.4-242.9)+(-0.319209+(-0.051204--0.123879))+0-0-0</f>
        <v>483.15346599999998</v>
      </c>
      <c r="V242" s="3">
        <f>642.3+(166.1-303.9)+(-1.310292+(-0.338844--0.619956))+0-0-0</f>
        <v>503.47082</v>
      </c>
      <c r="W242" s="3">
        <f>815.8+(198.5-375.7)+(-1.248174+(-0.303705--0.574821))+0-0-0</f>
        <v>637.62294199999985</v>
      </c>
      <c r="X242" s="3">
        <f>822.6+(232-378.7)+(-2.09763+(-0.5916--0.965685))+0-0-0</f>
        <v>674.17645500000015</v>
      </c>
      <c r="Y242" s="3">
        <f>825.1+(220.1-375.5)+(-0.841602+(-0.224502--0.38301))+0-0-0</f>
        <v>669.01690600000006</v>
      </c>
      <c r="Z242" s="3">
        <f>823.9+(229.7-405.7)+(-0.840378+(-0.234294--0.413814))+0-0-0</f>
        <v>647.23914200000002</v>
      </c>
      <c r="AA242" s="3">
        <f>820+(236-436.9)+(-1.6728+(-0.48144--0.891276))+0-0-0</f>
        <v>617.83703600000001</v>
      </c>
      <c r="AB242" s="3">
        <f>820.4+(209.4-438.4)+(-2.09202+(-0.53397--1.11792))+0-0-0</f>
        <v>589.89193</v>
      </c>
      <c r="AC242" s="3">
        <f>820+(210-481.9)+(-1.6728+(-0.4284--0.983076))+0-0-0</f>
        <v>546.98187600000006</v>
      </c>
      <c r="AD242">
        <f t="shared" si="3"/>
        <v>12230.990743000002</v>
      </c>
      <c r="AE242" s="3">
        <f>829+(229.5-415.8)+(0+(0-0))+0-0-0</f>
        <v>642.70000000000005</v>
      </c>
    </row>
    <row r="243" spans="1:31" s="2" customFormat="1" x14ac:dyDescent="0.25">
      <c r="A243">
        <v>89</v>
      </c>
      <c r="B243">
        <v>8</v>
      </c>
      <c r="C243">
        <v>27</v>
      </c>
      <c r="D243">
        <v>6</v>
      </c>
      <c r="E243">
        <v>6</v>
      </c>
      <c r="F243" s="3">
        <f>752+(186.2-469.3)+(-1.9176+(-0.47481--1.196715))+0-0-0</f>
        <v>467.70430499999998</v>
      </c>
      <c r="G243" s="3">
        <f>641.2+(169.4-392.6)+(-1.308048+(-0.345576--0.800904))+0-0-0</f>
        <v>417.14728000000002</v>
      </c>
      <c r="H243" s="3">
        <f>618.1+(135.7-361.9)+(-1.260924+(-0.276828--0.738276))+0-0-0</f>
        <v>391.10052400000001</v>
      </c>
      <c r="I243" s="3">
        <f>624.5+(128-364.2)+(0.63699+(0.13056-0.371484))+0-0-0</f>
        <v>388.69606600000003</v>
      </c>
      <c r="J243" s="3">
        <f>618.1+(128.7-364.7)+(-0.945693+(-0.196911--0.557991))+0-0-0</f>
        <v>381.51538700000003</v>
      </c>
      <c r="K243" s="3">
        <f>619.9+(122.5-354.7)+(-0.316149+(-0.062475--0.180897))+0-0-0</f>
        <v>387.502273</v>
      </c>
      <c r="L243" s="3">
        <f>615.3+(147.8-372.4)+(-1.882818+(-0.452268--1.139544))+0-0-0</f>
        <v>389.504458</v>
      </c>
      <c r="M243" s="3">
        <f>620.2+(161.1-387.3)+(0+(0-0))+0-0-0</f>
        <v>394</v>
      </c>
      <c r="N243" s="3">
        <f>664.8+(104.6-313)+(-0.678096+(-0.106692--0.31926))+0-0-0</f>
        <v>455.93447199999997</v>
      </c>
      <c r="O243" s="3">
        <f>787.7+(56.1-342.4)+(0.803454+(0.057222-0.349248))+0-0-0</f>
        <v>501.91142800000011</v>
      </c>
      <c r="P243" s="3">
        <f>814.6+(57.5-345.1)+(-1.661784+(-0.1173--0.704004))+0-0-0</f>
        <v>525.92492000000004</v>
      </c>
      <c r="Q243" s="3">
        <f>815.7+(55-346.5)+(-1.664028+(-0.1122--0.70686))+0-0-0</f>
        <v>523.13063199999999</v>
      </c>
      <c r="R243" s="3">
        <f>817.1+(49.1-360.5)+(-1.250163+(-0.075123--0.551565))+0-0-0</f>
        <v>504.92627900000002</v>
      </c>
      <c r="S243" s="3">
        <f>818.4+(57.9-387)+(-1.252152+(-0.088587--0.59211))+0-0-0</f>
        <v>488.55137099999996</v>
      </c>
      <c r="T243" s="3">
        <f>823.8+(56.9-396.4)+(0.420138+(0.029019-0.202164))+0-0-0</f>
        <v>484.54699299999993</v>
      </c>
      <c r="U243" s="3">
        <f>821.7+(50.5-387.5)+(0.419067+(0.025755-0.197625))+0-0-0</f>
        <v>484.94719700000007</v>
      </c>
      <c r="V243" s="3">
        <f>811.4+(53.6-353.5)+(0+(0-0))+0-0-0</f>
        <v>511.5</v>
      </c>
      <c r="W243" s="3">
        <f>812.6+(228.1-427.4)+(0+(0-0))+0-0-0</f>
        <v>613.30000000000007</v>
      </c>
      <c r="X243" s="3">
        <f>820.7+(267.3-445.4)+(-1.255671+(-0.408969--0.681462))+0-0-0</f>
        <v>641.61682200000018</v>
      </c>
      <c r="Y243" s="3">
        <f>823.6+(248-436.4)+(-0.840072+(-0.25296--0.445128))+0-0-0</f>
        <v>634.55209600000001</v>
      </c>
      <c r="Z243" s="3">
        <f>824.2+(233.7-431)+(-0.420342+(-0.119187--0.21981))+0-0-0</f>
        <v>626.58028100000013</v>
      </c>
      <c r="AA243" s="3">
        <f>823.6+(246.1-463.5)+(-0.420036+(-0.125511--0.236385))+0-0-0</f>
        <v>605.89083800000003</v>
      </c>
      <c r="AB243" s="3">
        <f>820.3+(209.7-456.4)+(-1.255059+(-0.320841--0.698292))+0-0-0</f>
        <v>572.7223919999999</v>
      </c>
      <c r="AC243" s="3">
        <f>821.9+(159.9-454.1)+(-0.838338+(-0.163098--0.463182))+0-0-0</f>
        <v>527.16174599999988</v>
      </c>
      <c r="AD243">
        <f t="shared" si="3"/>
        <v>11920.367759999999</v>
      </c>
      <c r="AE243" s="3">
        <f>816+(272.4-468.9)+(0+(0-0))+0-0-0</f>
        <v>619.5</v>
      </c>
    </row>
    <row r="244" spans="1:31" s="2" customFormat="1" x14ac:dyDescent="0.25">
      <c r="A244">
        <v>89</v>
      </c>
      <c r="B244">
        <v>8</v>
      </c>
      <c r="C244">
        <v>28</v>
      </c>
      <c r="D244">
        <v>7</v>
      </c>
      <c r="E244">
        <v>1</v>
      </c>
      <c r="F244" s="3">
        <f>682.7+(180.9-362.1)+(-1.392708+(-0.369036--0.738684))+0-0-0</f>
        <v>500.47694000000001</v>
      </c>
      <c r="G244" s="3">
        <f>614.7+(169.3-323.9)+(-1.567485+(-0.431715--0.825945))+0-0-0</f>
        <v>458.9267450000001</v>
      </c>
      <c r="H244" s="3">
        <f>615.2+(140.1-321.3)+(-1.56876+(-0.357255--0.819315))+0-0-0</f>
        <v>432.89330000000001</v>
      </c>
      <c r="I244" s="3">
        <f>619.2+(129.7-332.4)+(-0.315792+(-0.066147--0.169524))+0-0-0</f>
        <v>416.28758500000004</v>
      </c>
      <c r="J244" s="3">
        <f>622.7+(129.4-340.8)+(0.635154+(0.131988-0.347616))+0-0-0</f>
        <v>411.71952600000009</v>
      </c>
      <c r="K244" s="3">
        <f>619.5+(130.8-336.1)+(-0.315945+(-0.066708--0.171411))+0-0-0</f>
        <v>413.98875799999996</v>
      </c>
      <c r="L244" s="3">
        <f>617.4+(133.2-347)+(-1.259496+(-0.271728--0.70788))+0-0-0</f>
        <v>402.77665599999995</v>
      </c>
      <c r="M244" s="3">
        <f>623.4+(143-375.6)+(0.953802+(0.21879-0.574668))+0-0-0</f>
        <v>391.39792399999993</v>
      </c>
      <c r="N244" s="3">
        <f>707.8+(100.5-384.2)+(0+(0-0))+0-0-0</f>
        <v>424.09999999999997</v>
      </c>
      <c r="O244" s="3">
        <f>823.5+(26.1-374.2)+(-0.419985+(-0.013311--0.190842))+0-0-0</f>
        <v>475.15754600000002</v>
      </c>
      <c r="P244" s="3">
        <f>824.4+(41.2-363.6)+(0.420444+(0.021012-0.185436))+0-0-0</f>
        <v>502.25601999999992</v>
      </c>
      <c r="Q244" s="3">
        <f>821.6+(44-366.6)+(0.419016+(0.02244-0.186966))+0-0-0</f>
        <v>499.25448999999998</v>
      </c>
      <c r="R244" s="3">
        <f>808.6+(50.8-384.9)+(-2.06193+(-0.12954--0.981495))+0-0-0</f>
        <v>473.29002500000007</v>
      </c>
      <c r="S244" s="3">
        <f>810.9+(41.5-397.8)+(-1.240677+(-0.063495--0.608634))+0-0-0</f>
        <v>453.90446199999997</v>
      </c>
      <c r="T244" s="3">
        <f>818.8+(26-418.2)+(0.417588+(0.01326-0.213282))+0-0-0</f>
        <v>426.81756599999994</v>
      </c>
      <c r="U244" s="3">
        <f>806+(26.9-409.4)+(-1.64424+(-0.054876--0.835176))+0-0-0</f>
        <v>422.63605999999999</v>
      </c>
      <c r="V244" s="3">
        <f>808.4+(45-399)+(0.412284+(0.02295-0.20349))+0-0-0</f>
        <v>454.63174399999997</v>
      </c>
      <c r="W244" s="3">
        <f>821.3+(130-392.7)+(0+(0-0))+0-0-0</f>
        <v>558.59999999999991</v>
      </c>
      <c r="X244" s="3">
        <f>824.5+(167.4-396.6)+(-1.68198+(-0.341496--0.809064))+0-0-0</f>
        <v>594.08558799999992</v>
      </c>
      <c r="Y244" s="3">
        <f>827.3+(138.5-370.5)+(-0.843846+(-0.14127--0.37791))+0-0-0</f>
        <v>594.69279399999994</v>
      </c>
      <c r="Z244" s="3">
        <f>824.4+(124.6-361.6)+(-0.840888+(-0.127092--0.368832))+0-0-0</f>
        <v>586.80085199999996</v>
      </c>
      <c r="AA244" s="3">
        <f>825.8+(139.7-401.6)+(-0.421158+(-0.071247--0.204816))+0-0-0</f>
        <v>563.61241099999984</v>
      </c>
      <c r="AB244" s="3">
        <f>822.9+(119.9-409.8)+(-1.259037+(-0.183447--0.626994))+0-0-0</f>
        <v>532.18451000000005</v>
      </c>
      <c r="AC244" s="3">
        <f>825.5+(105-432)+(0+(0-0))+0-0-0</f>
        <v>498.5</v>
      </c>
      <c r="AD244">
        <f t="shared" si="3"/>
        <v>11488.991502000001</v>
      </c>
      <c r="AE244" s="3">
        <f>823+(168-416.8)+(0+(0-0))+0-0-0</f>
        <v>574.20000000000005</v>
      </c>
    </row>
    <row r="245" spans="1:31" s="2" customFormat="1" x14ac:dyDescent="0.25">
      <c r="A245">
        <v>89</v>
      </c>
      <c r="B245">
        <v>8</v>
      </c>
      <c r="C245">
        <v>29</v>
      </c>
      <c r="D245">
        <v>1</v>
      </c>
      <c r="E245">
        <v>1</v>
      </c>
      <c r="F245" s="3">
        <f>754.2+(71.8-394)+(-1.538568+(-0.146472--0.80376))+0-0-0</f>
        <v>431.11872000000005</v>
      </c>
      <c r="G245" s="3">
        <f>629.7+(91.9-333.6)+(-0.963441+(-0.140607--0.510408))+0-0-0</f>
        <v>387.40636000000001</v>
      </c>
      <c r="H245" s="3">
        <f>618.6+(78.5-325.8)+(-0.946458+(-0.120105--0.498474))+0-0-0</f>
        <v>370.73191100000003</v>
      </c>
      <c r="I245" s="3">
        <f>622.4+(80.3-339.9)+(0.952272+(0.122859-0.520047))+0-0-0</f>
        <v>363.35508400000003</v>
      </c>
      <c r="J245" s="3">
        <f>617.8+(99.4-354.8)+(-0.945234+(-0.152082--0.542844))+0-0-0</f>
        <v>361.845528</v>
      </c>
      <c r="K245" s="3">
        <f>680.9+(72.9-374.8)+(-0.347259+(-0.037179--0.191148))+0-0-0</f>
        <v>378.80671000000001</v>
      </c>
      <c r="L245" s="3">
        <f>818.1+(37.6-450.5)+(-1.668924+(-0.076704--0.91902))+0-0-0</f>
        <v>404.37339200000002</v>
      </c>
      <c r="M245" s="3">
        <f>825+(59.8-469)+(1.26225+(0.091494-0.71757))+0-0-0</f>
        <v>416.43617399999999</v>
      </c>
      <c r="N245" s="3">
        <f>823.7+(80.2-429.6)+(0.420087+(0.040902-0.219096))+0-0-0</f>
        <v>474.54189300000002</v>
      </c>
      <c r="O245" s="3">
        <f>882.1+(48.1-423)+(-0.899742+(-0.049062--0.43146))+0-0-0</f>
        <v>506.68265600000007</v>
      </c>
      <c r="P245" s="3">
        <f>961.3+(28.9-451.7)+(0+(0-0))+0-0-0</f>
        <v>538.5</v>
      </c>
      <c r="Q245" s="3">
        <f>934.9+(42.9-448.8)+(0+(0-0))+0-0-0</f>
        <v>529</v>
      </c>
      <c r="R245" s="3">
        <f>953.9+(19.6-429.1)+(-1.945956+(-0.039984--0.875364))+0-0-0</f>
        <v>543.28942399999994</v>
      </c>
      <c r="S245" s="3">
        <f>896.8+(46.6-397.2)+(1.372104+(0.071298-0.607716))+0-0-0</f>
        <v>547.03568600000006</v>
      </c>
      <c r="T245" s="3">
        <f>902+(46.4-387.9)+(0+(0-0))+0-0-0</f>
        <v>560.5</v>
      </c>
      <c r="U245" s="3">
        <f>913.2+(32-391.7)+(-0.931464+(-0.03264--0.399534))+0-0-0</f>
        <v>552.93543</v>
      </c>
      <c r="V245" s="3">
        <f>921.5+(39.8-407.3)+(0.469965+(0.020298-0.207723))+0-0-0</f>
        <v>554.28254000000004</v>
      </c>
      <c r="W245" s="3">
        <f>976.2+(132.6-437.9)+(-0.995724+(-0.135252--0.446658))+0-0-0</f>
        <v>670.21568200000013</v>
      </c>
      <c r="X245" s="3">
        <f>1023+(138.8-459.8)+(-1.56519+(-0.212364--0.703494))+0-0-0</f>
        <v>700.92593999999997</v>
      </c>
      <c r="Y245" s="3">
        <f>864.4+(215.9-382.2)+(-0.440844+(-0.110109--0.194922))+0-0-0</f>
        <v>697.74396899999999</v>
      </c>
      <c r="Z245" s="3">
        <f>816.4+(243.5-381.5)+(-0.416364+(-0.124185--0.194565))+0-0-0</f>
        <v>678.05401599999993</v>
      </c>
      <c r="AA245" s="3">
        <f>776.4+(269.6-392.8)+(-0.791928+(-0.274992--0.400656))+0-0-0</f>
        <v>652.53373600000009</v>
      </c>
      <c r="AB245" s="3">
        <f>780.7+(188.3-359.3)+(-0.398157+(-0.096033--0.183243))+0-0-0</f>
        <v>609.38905299999999</v>
      </c>
      <c r="AC245" s="3">
        <f>768.4+(139.2-367)+(-1.567536+(-0.283968--0.74868))+0-0-0</f>
        <v>539.49717599999985</v>
      </c>
      <c r="AD245">
        <f t="shared" si="3"/>
        <v>12469.201079999999</v>
      </c>
      <c r="AE245" s="3">
        <f>1019+(142.5-498.2)+(0+(0-0))+0-0-0</f>
        <v>663.3</v>
      </c>
    </row>
    <row r="246" spans="1:31" s="2" customFormat="1" x14ac:dyDescent="0.25">
      <c r="A246">
        <v>89</v>
      </c>
      <c r="B246">
        <v>8</v>
      </c>
      <c r="C246">
        <v>30</v>
      </c>
      <c r="D246">
        <v>2</v>
      </c>
      <c r="E246">
        <v>1</v>
      </c>
      <c r="F246" s="3">
        <f>759.7+(117.4-403.8)+(-0.387447+(-0.059874--0.205938))+0-0-0</f>
        <v>473.05861700000008</v>
      </c>
      <c r="G246" s="3">
        <f>757.3+(103.8-416.3)+(-1.158669+(-0.158814--0.636939))+0-0-0</f>
        <v>444.11945599999996</v>
      </c>
      <c r="H246" s="3">
        <f>759+(82.7-416.6)+(-0.38709+(-0.042177--0.212466))+0-0-0</f>
        <v>424.88319899999999</v>
      </c>
      <c r="I246" s="3">
        <f>762.5+(68.3-416.3)+(-0.388875+(-0.034833--0.212313))+0-0-0</f>
        <v>414.28860500000002</v>
      </c>
      <c r="J246" s="3">
        <f>766.9+(80.2-429.8)+(1.564476+(0.163608-0.876792))+0-0-0</f>
        <v>418.15129199999996</v>
      </c>
      <c r="K246" s="3">
        <f>764.3+(108.5-448)+(0.389793+(0.055335-0.22848))+0-0-0</f>
        <v>425.01664799999998</v>
      </c>
      <c r="L246" s="3">
        <f>763+(131.6-459)+(0+(0-0))+0-0-0</f>
        <v>435.6</v>
      </c>
      <c r="M246" s="3">
        <f>790.4+(89.8-436.8)+(-1.209312+(-0.137394--0.668304))+0-0-0</f>
        <v>442.72159799999997</v>
      </c>
      <c r="N246" s="3">
        <f>956+(32-488.2)+(0.97512+(0.03264-0.497964))+0-0-0</f>
        <v>500.30979600000001</v>
      </c>
      <c r="O246" s="3">
        <f>942.6+(75.4-477)+(-1.442178+(-0.115362--0.72981))+0-0-0</f>
        <v>540.17227000000003</v>
      </c>
      <c r="P246" s="3">
        <f>707.1+(158.7-323.2)+(0.360621+(0.080937-0.164832))+0-0-0</f>
        <v>542.87672600000008</v>
      </c>
      <c r="Q246" s="3">
        <f>689.8+(152.7-316.1)+(-0.703596+(-0.155754--0.322422))+0-0-0</f>
        <v>525.86307199999987</v>
      </c>
      <c r="R246" s="3">
        <f>748+(124-336.9)+(-1.9074+(-0.3162--0.859095))+0-0-0</f>
        <v>533.73549500000001</v>
      </c>
      <c r="S246" s="3">
        <f>840.7+(68.9-389.7)+(-0.428757+(-0.035139--0.198747))+0-0-0</f>
        <v>519.63485100000014</v>
      </c>
      <c r="T246" s="3">
        <f>824.1+(64.9-389.3)+(-1.260873+(-0.099297--0.595629))+0-0-0</f>
        <v>498.93545900000004</v>
      </c>
      <c r="U246" s="3">
        <f>818.7+(77.2-411)+(0.417537+(0.039372-0.20961))+0-0-0</f>
        <v>485.14729900000003</v>
      </c>
      <c r="V246" s="3">
        <f>930.2+(37.9-440.5)+(-0.474402+(-0.019329--0.224655))+0-0-0</f>
        <v>527.33092399999998</v>
      </c>
      <c r="W246" s="3">
        <f>982+(72.6-405.1)+(0+(0-0))+0-0-0</f>
        <v>649.5</v>
      </c>
      <c r="X246" s="3">
        <f>981.2+(129.3-432.5)+(-2.001648+(-0.263772--0.8823))+0-0-0</f>
        <v>676.61688000000004</v>
      </c>
      <c r="Y246" s="3">
        <f>978.7+(122.4-417.7)+(-1.996548+(-0.249696--0.852108))+0-0-0</f>
        <v>682.00586400000009</v>
      </c>
      <c r="Z246" s="3">
        <f>976.9+(118.6-415.7)+(-2.491095+(-0.30243--1.060035))+0-0-0</f>
        <v>678.06650999999999</v>
      </c>
      <c r="AA246" s="3">
        <f>978.8+(139.1-460.5)+(-1.497564+(-0.212823--0.704565))+0-0-0</f>
        <v>656.39417800000001</v>
      </c>
      <c r="AB246" s="3">
        <f>974.1+(115.1-481.9)+(-1.490373+(-0.176103--0.737307))+0-0-0</f>
        <v>606.37083100000007</v>
      </c>
      <c r="AC246" s="3">
        <f>859.3+(112.8-436.6)+(-1.314729+(-0.172584--0.667998))+0-0-0</f>
        <v>534.68068500000004</v>
      </c>
      <c r="AD246">
        <f t="shared" si="3"/>
        <v>12635.480255</v>
      </c>
      <c r="AE246" s="3">
        <f>985+(118.2-464.8)+(0+(0-0))+0-0-0</f>
        <v>638.4</v>
      </c>
    </row>
    <row r="247" spans="1:31" s="2" customFormat="1" x14ac:dyDescent="0.25">
      <c r="A247">
        <v>89</v>
      </c>
      <c r="B247">
        <v>9</v>
      </c>
      <c r="C247">
        <v>1</v>
      </c>
      <c r="D247">
        <v>3</v>
      </c>
      <c r="E247">
        <v>1</v>
      </c>
      <c r="F247" s="3">
        <f>651.7+(140.3-346.1)+(-1.661835+(-0.357765--0.882555))+0-0-0</f>
        <v>444.76295500000003</v>
      </c>
      <c r="G247" s="3">
        <f>499.5+(190.7-277.9)+(-0.254745+(-0.097257--0.141729))+0-0-0</f>
        <v>412.08972700000004</v>
      </c>
      <c r="H247" s="3">
        <f>497+(170.2-270)+(-0.76041+(-0.260406--0.4131))+0-0-0</f>
        <v>396.59228400000001</v>
      </c>
      <c r="I247" s="3">
        <f>498.3+(149.9-254.4)+(-0.254133+(-0.076449--0.129744))+0-0-0</f>
        <v>393.59916200000004</v>
      </c>
      <c r="J247" s="3">
        <f>498.5+(157.3-266.1)+(0.254235+(0.080223-0.135711))+0-0-0</f>
        <v>389.89874700000001</v>
      </c>
      <c r="K247" s="3">
        <f>495.4+(173.4-274.9)+(-0.757962+(-0.265302--0.420597))+0-0-0</f>
        <v>393.29733299999998</v>
      </c>
      <c r="L247" s="3">
        <f>499.5+(216.9-309.1)+(0+(0-0))+0-0-0</f>
        <v>407.29999999999995</v>
      </c>
      <c r="M247" s="3">
        <f>500.2+(258.5-332.6)+(-0.255102+(-0.131835--0.169626))+0-0-0</f>
        <v>425.88268899999997</v>
      </c>
      <c r="N247" s="3">
        <f>632.5+(214.9-378.6)+(-1.2903+(-0.438396--0.772344))+0-0-0</f>
        <v>467.84364799999997</v>
      </c>
      <c r="O247" s="3">
        <f>656.2+(214.5-368.2)+(-1.003986+(-0.328185--0.563346))+0-0-0</f>
        <v>501.73117500000006</v>
      </c>
      <c r="P247" s="3">
        <f>696.4+(194.7-365)+(-0.710328+(-0.198594--0.3723))+0-0-0</f>
        <v>525.56337799999994</v>
      </c>
      <c r="Q247" s="3">
        <f>781.5+(161.2-420.8)+(-0.79713+(-0.164424--0.429216))+0-0-0</f>
        <v>521.367662</v>
      </c>
      <c r="R247" s="3">
        <f>783+(188.3-440.7)+(-0.39933+(-0.096033--0.224757))+0-0-0</f>
        <v>530.32939399999998</v>
      </c>
      <c r="S247" s="3">
        <f>781.4+(161.6-445.2)+(-1.195542+(-0.247248--0.681156))+0-0-0</f>
        <v>497.03836599999994</v>
      </c>
      <c r="T247" s="3">
        <f>783.1+(152.6-448.5)+(0+(0-0))+0-0-0</f>
        <v>487.20000000000005</v>
      </c>
      <c r="U247" s="3">
        <f>784.7+(141.6-451.6)+(0.400197+(0.072216-0.230316))+0-0-0</f>
        <v>474.94209700000005</v>
      </c>
      <c r="V247" s="3">
        <f>785.7+(156.3-435.3)+(0+(0-0))+0-0-0</f>
        <v>506.70000000000005</v>
      </c>
      <c r="W247" s="3">
        <f>790.2+(210.1-371)+(-0.403002+(-0.107151--0.18921))+0-0-0</f>
        <v>628.97905700000001</v>
      </c>
      <c r="X247" s="3">
        <f>791.6+(256.7-376.4)+(-2.01858+(-0.654585--0.95982))+0-0-0</f>
        <v>670.18665500000009</v>
      </c>
      <c r="Y247" s="3">
        <f>791.2+(228.2-388.9)+(-0.403512+(-0.116382--0.198339))+0-0-0</f>
        <v>630.17844500000001</v>
      </c>
      <c r="Z247" s="3">
        <f>785.6+(233-396.5)+(-1.201968+(-0.35649--0.606645))+0-0-0</f>
        <v>621.14818700000001</v>
      </c>
      <c r="AA247" s="3">
        <f>783.7+(246.6-422.9)+(-1.598748+(-0.503064--0.862716))+0-0-0</f>
        <v>606.16090400000007</v>
      </c>
      <c r="AB247" s="3">
        <f>765.5+(223.2-420.2)+(-1.56162+(-0.455328--0.857208))+0-0-0</f>
        <v>567.34025999999994</v>
      </c>
      <c r="AC247" s="3">
        <f>669.1+(171-332.7)+(-2.388687+(-0.61047--1.187739))+0-0-0</f>
        <v>505.58858200000003</v>
      </c>
      <c r="AD247">
        <f t="shared" si="3"/>
        <v>12005.720707</v>
      </c>
      <c r="AE247" s="3">
        <f>750+(242.3-368.9)+(0+(0-0))+0-0-0</f>
        <v>623.40000000000009</v>
      </c>
    </row>
    <row r="248" spans="1:31" s="2" customFormat="1" x14ac:dyDescent="0.25">
      <c r="A248">
        <v>89</v>
      </c>
      <c r="B248">
        <v>9</v>
      </c>
      <c r="C248">
        <v>2</v>
      </c>
      <c r="D248">
        <v>4</v>
      </c>
      <c r="E248">
        <v>1</v>
      </c>
      <c r="F248" s="3">
        <f>672.4+(132.2-365.9)+(-1.028772+(-0.202266--0.559827))+0-0-0</f>
        <v>438.02878899999996</v>
      </c>
      <c r="G248" s="3">
        <f>674.2+(99.3-361)+(-0.687684+(-0.101286--0.36822))+0-0-0</f>
        <v>412.07925000000006</v>
      </c>
      <c r="H248" s="3">
        <f>666.5+(87.2-355.8)+(-1.019745+(-0.133416--0.544374))+0-0-0</f>
        <v>397.29121299999997</v>
      </c>
      <c r="I248" s="3">
        <f>597.5+(101.1-312.2)+(-0.914175+(-0.154683--0.477666))+0-0-0</f>
        <v>385.808808</v>
      </c>
      <c r="J248" s="3">
        <f>498.5+(143.1-264.5)+(0+(0-0))+0-0-0</f>
        <v>377.1</v>
      </c>
      <c r="K248" s="3">
        <f>495.8+(145.5-260.3)+(-1.011432+(-0.29682--0.531012))+0-0-0</f>
        <v>380.22275999999999</v>
      </c>
      <c r="L248" s="3">
        <f>498.8+(179.1-279.4)+(-0.254388+(-0.091341--0.142494))+0-0-0</f>
        <v>398.29676499999999</v>
      </c>
      <c r="M248" s="3">
        <f>499.1+(214.3-293.5)+(-0.254541+(-0.109293--0.149685))+0-0-0</f>
        <v>419.68585100000001</v>
      </c>
      <c r="N248" s="3">
        <f>512.5+(290.8-335.8)+(0.261375+(0.148308-0.171258))+0-0-0</f>
        <v>467.73842500000001</v>
      </c>
      <c r="O248" s="3">
        <f>665.5+(276.6-430.6)+(-1.018215+(-0.423198--0.658818))+0-0-0</f>
        <v>510.71740499999999</v>
      </c>
      <c r="P248" s="3">
        <f>671.9+(237.5-384)+(0.342669+(0.121125-0.19584))+0-0-0</f>
        <v>525.66795400000001</v>
      </c>
      <c r="Q248" s="3">
        <f>664.1+(219.3-349.2)+(-1.354764+(-0.447372--0.712368))+0-0-0</f>
        <v>533.110232</v>
      </c>
      <c r="R248" s="3">
        <f>667.6+(253.1-382)+(-0.340476+(-0.129081--0.19482))+0-0-0</f>
        <v>538.42526300000009</v>
      </c>
      <c r="S248" s="3">
        <f>681.2+(277.9-431.5)+(0.694824+(0.283458-0.44013))+0-0-0</f>
        <v>528.13815199999999</v>
      </c>
      <c r="T248" s="3">
        <f>718.8+(242.6-454.2)+(0.733176+(0.247452-0.463284))+0-0-0</f>
        <v>507.71734399999991</v>
      </c>
      <c r="U248" s="3">
        <f>593.1+(276.8-359.5)+(0.302481+(0.141168-0.183345))+0-0-0</f>
        <v>510.66030400000005</v>
      </c>
      <c r="V248" s="3">
        <f>682.5+(310.3-359.1)+(-0.69615+(-0.316506--0.366282))+0-0-0</f>
        <v>633.05362600000001</v>
      </c>
      <c r="W248" s="3">
        <f>694.5+(322.1-374.9)+(0.354195+(0.164271-0.191199))+0-0-0</f>
        <v>642.02726700000005</v>
      </c>
      <c r="X248" s="3">
        <f>723.7+(394.9-457.2)+(-1.107261+(-0.604197--0.699516))+0-0-0</f>
        <v>660.38805800000011</v>
      </c>
      <c r="Y248" s="3">
        <f>737.6+(307.4-387.7)+(-1.128528+(-0.470322--0.593181))+0-0-0</f>
        <v>656.29433099999994</v>
      </c>
      <c r="Z248" s="3">
        <f>727.8+(297.2-372.6)+(-0.742356+(-0.303144--0.380052))+0-0-0</f>
        <v>651.73455199999989</v>
      </c>
      <c r="AA248" s="3">
        <f>707.8+(303.3-387)+(-1.082934+(-0.464049--0.59211))+0-0-0</f>
        <v>623.14512699999989</v>
      </c>
      <c r="AB248" s="3">
        <f>706.8+(314.6-436.6)+(-1.441872+(-0.641784--0.890664))+0-0-0</f>
        <v>583.60700799999995</v>
      </c>
      <c r="AC248" s="3">
        <f>706.5+(223.9-401.8)+(-0.72063+(-0.228378--0.409836))+0-0-0</f>
        <v>528.06082800000001</v>
      </c>
      <c r="AD248">
        <f t="shared" si="3"/>
        <v>12308.999311999998</v>
      </c>
      <c r="AE248" s="3">
        <f>735+(416-502.6)+(0+(0-0))+0-0-0</f>
        <v>648.4</v>
      </c>
    </row>
    <row r="249" spans="1:31" s="2" customFormat="1" x14ac:dyDescent="0.25">
      <c r="A249">
        <v>89</v>
      </c>
      <c r="B249">
        <v>9</v>
      </c>
      <c r="C249">
        <v>3</v>
      </c>
      <c r="D249">
        <v>5</v>
      </c>
      <c r="E249">
        <v>1</v>
      </c>
      <c r="F249" s="3">
        <f>701.7+(154.8-387.5)+(-1.431468+(-0.315792--0.7905))+0-0-0</f>
        <v>468.04324000000008</v>
      </c>
      <c r="G249" s="3">
        <f>700.2+(128.6-398.4)+(-1.071306+(-0.196758--0.609552))+0-0-0</f>
        <v>429.74148800000012</v>
      </c>
      <c r="H249" s="3">
        <f>699.1+(143.2-429.7)+(-1.782705+(-0.36516--1.095735))+0-0-0</f>
        <v>411.54787000000005</v>
      </c>
      <c r="I249" s="3">
        <f>703.1+(133.6-435.4)+(-0.358581+(-0.068136--0.222054))+0-0-0</f>
        <v>401.09533700000009</v>
      </c>
      <c r="J249" s="3">
        <f>704.7+(136.9-438.6)+(0+(0-0))+0-0-0</f>
        <v>403</v>
      </c>
      <c r="K249" s="3">
        <f>701.9+(143.1-435.9)+(-1.073907+(-0.218943--0.666927))+0-0-0</f>
        <v>408.47407700000002</v>
      </c>
      <c r="L249" s="3">
        <f>701.9+(207.2-482.4)+(-1.073907+(-0.317016--0.738072))+0-0-0</f>
        <v>426.04714899999999</v>
      </c>
      <c r="M249" s="3">
        <f>702.1+(245.3-499.9)+(-1.074213+(-0.375309--0.764847))+0-0-0</f>
        <v>446.81532500000003</v>
      </c>
      <c r="N249" s="3">
        <f>747.7+(244.1-494.9)+(-0.762654+(-0.248982--0.504798))+0-0-0</f>
        <v>496.39316200000007</v>
      </c>
      <c r="O249" s="3">
        <f>843+(145.4-466.2)+(0+(0-0))+0-0-0</f>
        <v>522.20000000000005</v>
      </c>
      <c r="P249" s="3">
        <f>814.2+(135-417.7)+(-0.830484+(-0.1377--0.426054))+0-0-0</f>
        <v>530.95786999999996</v>
      </c>
      <c r="Q249" s="3">
        <f>779.4+(142.3-387.3)+(-0.794988+(-0.145146--0.395046))+0-0-0</f>
        <v>533.85491200000001</v>
      </c>
      <c r="R249" s="3">
        <f>785.5+(127.1-390.7)+(-0.400605+(-0.064821--0.199257))+0-0-0</f>
        <v>521.63383099999999</v>
      </c>
      <c r="S249" s="3">
        <f>829.7+(94.4-406.6)+(-0.846294+(-0.096288--0.414732))+0-0-0</f>
        <v>516.97215000000006</v>
      </c>
      <c r="T249" s="3">
        <f>903.5+(57.2-450.8)+(-0.92157+(-0.058344--0.459816))+0-0-0</f>
        <v>509.37990199999996</v>
      </c>
      <c r="U249" s="3">
        <f>900.3+(46.5-442.8)+(0.459153+(0.023715-0.225828))+0-0-0</f>
        <v>504.25703999999996</v>
      </c>
      <c r="V249" s="3">
        <f>898.6+(68.5-432.7)+(0+(0-0))+0-0-0</f>
        <v>534.40000000000009</v>
      </c>
      <c r="W249" s="3">
        <f>908.1+(204.7-439.9)+(0+(0-0))+0-0-0</f>
        <v>672.90000000000009</v>
      </c>
      <c r="X249" s="3">
        <f>907.6+(243.4-440.3)+(-1.388628+(-0.372402--0.673659))+0-0-0</f>
        <v>709.61262900000008</v>
      </c>
      <c r="Y249" s="3">
        <f>903.6+(204.9-415.5)+(-1.843344+(-0.417996--0.84762))+0-0-0</f>
        <v>691.58627999999999</v>
      </c>
      <c r="Z249" s="3">
        <f>898.6+(175.8-407.4)+(-2.749716+(-0.537948--1.246644))+0-0-0</f>
        <v>664.95898</v>
      </c>
      <c r="AA249" s="3">
        <f>901.4+(171.7-432.8)+(-1.838856+(-0.350268--0.882912))+0-0-0</f>
        <v>638.993788</v>
      </c>
      <c r="AB249" s="3">
        <f>903.9+(162-463.7)+(-0.921978+(-0.16524--0.472974))+0-0-0</f>
        <v>601.58575600000006</v>
      </c>
      <c r="AC249" s="3">
        <f>897.2+(126.6-471)+(-1.830288+(-0.258264--0.96084))+0-0-0</f>
        <v>551.67228800000009</v>
      </c>
      <c r="AD249">
        <f t="shared" si="3"/>
        <v>12596.123073999997</v>
      </c>
      <c r="AE249" s="3">
        <f>908+(253.8-485.9)+(0+(0-0))+0-0-0</f>
        <v>675.90000000000009</v>
      </c>
    </row>
    <row r="250" spans="1:31" s="2" customFormat="1" x14ac:dyDescent="0.25">
      <c r="A250">
        <v>89</v>
      </c>
      <c r="B250">
        <v>9</v>
      </c>
      <c r="C250">
        <v>4</v>
      </c>
      <c r="D250">
        <v>6</v>
      </c>
      <c r="E250">
        <v>3</v>
      </c>
      <c r="F250" s="3">
        <f>900.4+(54.3-477.3)+(0+(0-0))+0-0-0</f>
        <v>477.4</v>
      </c>
      <c r="G250" s="3">
        <f>891.1+(34.4-489)+(0+(0-0))+0-0-0</f>
        <v>436.5</v>
      </c>
      <c r="H250" s="3">
        <f>816.7+(37.6-451.3)+(0+(0-0))+0-0-0</f>
        <v>403.00000000000006</v>
      </c>
      <c r="I250" s="3">
        <f>814.8+(39.8-457.7)+(0+(0-0))+0-0-0</f>
        <v>396.9</v>
      </c>
      <c r="J250" s="3">
        <f>813.3+(26.5-452)+(-0.414783+(-0.013515--0.23052))+0-0-0</f>
        <v>387.60222199999993</v>
      </c>
      <c r="K250" s="3">
        <f>819.6+(32.6-457.9)+(1.253988+(0.049878-0.700587))+0-0-0</f>
        <v>394.90327900000005</v>
      </c>
      <c r="L250" s="3">
        <f>815.3+(39.2-465.7)+(0+(0-0))+0-0-0</f>
        <v>388.79999999999995</v>
      </c>
      <c r="M250" s="3">
        <f>812.1+(42-476.8)+(-0.828342+(-0.04284--0.486336))+0-0-0</f>
        <v>376.91515400000003</v>
      </c>
      <c r="N250" s="3">
        <f>848+(76.3-505.4)+(-0.86496+(-0.077826--0.515508))+0-0-0</f>
        <v>418.47272200000003</v>
      </c>
      <c r="O250" s="3">
        <f>882.2+(110.1-528.8)+(-1.349766+(-0.168453--0.809064))+0-0-0</f>
        <v>462.7908450000001</v>
      </c>
      <c r="P250" s="3">
        <f>880.4+(131.4-522)+(-0.898008+(-0.134028--0.53244))+0-0-0</f>
        <v>489.30040399999996</v>
      </c>
      <c r="Q250" s="3">
        <f>895.6+(96.1-502.3)+(-0.913512+(-0.098022--0.512346))+0-0-0</f>
        <v>488.90081199999997</v>
      </c>
      <c r="R250" s="3">
        <f>887.9+(88.4-503)+(-2.264145+(-0.22542--1.28265))+0-0-0</f>
        <v>472.09308499999997</v>
      </c>
      <c r="S250" s="3">
        <f>866.6+(105.4-513.7)+(0.883932+(0.107508-0.523974))+0-0-0</f>
        <v>458.76746599999996</v>
      </c>
      <c r="T250" s="3">
        <f>876.9+(91.1-521)+(-2.236095+(-0.232305--1.32855))+0-0-0</f>
        <v>445.86014999999998</v>
      </c>
      <c r="U250" s="3">
        <f>880.3+(82.8-514.2)+(0+(0-0))+0-0-0</f>
        <v>448.89999999999992</v>
      </c>
      <c r="V250" s="3">
        <f>883.8+(89.4-497.2)+(-1.352214+(-0.136782--0.760716))+0-0-0</f>
        <v>475.27172000000002</v>
      </c>
      <c r="W250" s="3">
        <f>889.9+(126.6-416.7)+(0.453849+(0.064566-0.212517))+0-0-0</f>
        <v>600.10589799999991</v>
      </c>
      <c r="X250" s="3">
        <f>905.3+(144-421.3)+(0+(0-0))+0-0-0</f>
        <v>628</v>
      </c>
      <c r="Y250" s="3">
        <f>903.7+(130.2-413.7)+(-2.304435+(-0.33201--1.054935))+0-0-0</f>
        <v>618.61849000000007</v>
      </c>
      <c r="Z250" s="3">
        <f>908+(112-416.1)+(-0.46308+(-0.05712--0.212211))+0-0-0</f>
        <v>603.59201099999996</v>
      </c>
      <c r="AA250" s="3">
        <f>882+(124.7-429.3)+(-0.44982+(-0.063597--0.218943))+0-0-0</f>
        <v>577.10552599999994</v>
      </c>
      <c r="AB250" s="3">
        <f>872.1+(107.1-442.8)+(-0.889542+(-0.109242--0.451656))+0-0-0</f>
        <v>535.85287199999993</v>
      </c>
      <c r="AC250" s="3">
        <f>867.6+(104.5-468.1)+(-1.769904+(-0.21318--0.954924))+0-0-0</f>
        <v>502.97183999999999</v>
      </c>
      <c r="AD250">
        <f t="shared" si="3"/>
        <v>11488.624495999999</v>
      </c>
      <c r="AE250" s="3">
        <f>894+(153.9-414.8)+(0+(0-0))+0-0-0</f>
        <v>633.1</v>
      </c>
    </row>
    <row r="251" spans="1:31" s="2" customFormat="1" x14ac:dyDescent="0.25">
      <c r="A251">
        <v>89</v>
      </c>
      <c r="B251">
        <v>9</v>
      </c>
      <c r="C251">
        <v>5</v>
      </c>
      <c r="D251">
        <v>7</v>
      </c>
      <c r="E251">
        <v>1</v>
      </c>
      <c r="F251" s="3">
        <f>868.1+(93.9-494.5)+(-1.328193+(-0.143667--0.756585))+0-0-0</f>
        <v>466.78472499999998</v>
      </c>
      <c r="G251" s="3">
        <f>869+(53.9-496.4)+(-1.32957+(-0.082467--0.759492))+0-0-0</f>
        <v>425.84745500000002</v>
      </c>
      <c r="H251" s="3">
        <f>868.6+(31.1-491.5)+(-1.328958+(-0.047583--0.751995))+0-0-0</f>
        <v>407.57545400000004</v>
      </c>
      <c r="I251" s="3">
        <f>875.3+(23-507.1)+(-0.892806+(-0.02346--0.517242))+0-0-0</f>
        <v>390.80097599999993</v>
      </c>
      <c r="J251" s="3">
        <f>885+(8.8-511.4)+(0.9027+(0.008976-0.521628))+0-0-0</f>
        <v>382.79004800000001</v>
      </c>
      <c r="K251" s="3">
        <f>876.2+(0-491.5)+(0.446862+(0-0.250665))+0-0-0</f>
        <v>384.89619700000003</v>
      </c>
      <c r="L251" s="3">
        <f>868.6+(9-488.1)+(-1.771944+(-0.01836--0.995724))+0-0-0</f>
        <v>388.70542</v>
      </c>
      <c r="M251" s="3">
        <f>870.5+(5.4-504.2)+(-0.88791+(-0.005508--0.514284))+0-0-0</f>
        <v>371.32086599999997</v>
      </c>
      <c r="N251" s="3">
        <f>876.7+(9.8-503.9)+(0.447117+(0.004998-0.256989))+0-0-0</f>
        <v>382.7951260000001</v>
      </c>
      <c r="O251" s="3">
        <f>880.1+(31.7-495.8)+(0+(0-0))+0-0-0</f>
        <v>416</v>
      </c>
      <c r="P251" s="3">
        <f>880.6+(40.9-482.5)+(-0.449106+(-0.020859--0.246075))+0-0-0</f>
        <v>438.77611000000002</v>
      </c>
      <c r="Q251" s="3">
        <f>870.5+(60.9-482.4)+(-3.55164+(-0.248472--1.968192))+0-0-0</f>
        <v>447.16807999999997</v>
      </c>
      <c r="R251" s="3">
        <f>874.7+(58.1-466.6)+(-1.338291+(-0.088893--0.713898))+0-0-0</f>
        <v>465.48671400000006</v>
      </c>
      <c r="S251" s="3">
        <f>876.6+(65.9-493.9)+(-0.894132+(-0.067218--0.503778))+0-0-0</f>
        <v>448.142428</v>
      </c>
      <c r="T251" s="3">
        <f>873.7+(74.5-486.5)+(-0.445587+(-0.037995--0.248115))+0-0-0</f>
        <v>461.46453300000002</v>
      </c>
      <c r="U251" s="3">
        <f>861.6+(74.2-487.4)+(-0.878832+(-0.075684--0.497148))+0-0-0</f>
        <v>447.94263200000006</v>
      </c>
      <c r="V251" s="3">
        <f>874+(30.4-452)+(0+(0-0))+0-0-0</f>
        <v>452.4</v>
      </c>
      <c r="W251" s="3">
        <f>892.5+(102.8-410.7)+(-0.455175+(-0.052428--0.209457))+0-0-0</f>
        <v>584.30185400000005</v>
      </c>
      <c r="X251" s="3">
        <f>902.1+(152.7-433.6)+(-0.460071+(-0.077877--0.221136))+0-0-0</f>
        <v>620.88318800000002</v>
      </c>
      <c r="Y251" s="3">
        <f>894.3+(136.6-421.4)+(-1.368279+(-0.208998--0.644742))+0-0-0</f>
        <v>608.56746499999997</v>
      </c>
      <c r="Z251" s="3">
        <f>892.7+(130.9-429.2)+(-0.910554+(-0.133518--0.437784))+0-0-0</f>
        <v>593.79371200000014</v>
      </c>
      <c r="AA251" s="3">
        <f>889.3+(166.9-476.3)+(-1.814172+(-0.340476--0.971652))+0-0-0</f>
        <v>578.71700399999997</v>
      </c>
      <c r="AB251" s="3">
        <f>887.2+(166.7-514)+(-1.357416+(-0.255051--0.78642))+0-0-0</f>
        <v>539.07395300000007</v>
      </c>
      <c r="AC251" s="3">
        <f>884+(132.3-519.9)+(-2.70504+(-0.404838--1.590894))+0-0-0</f>
        <v>494.88101600000005</v>
      </c>
      <c r="AD251">
        <f t="shared" si="3"/>
        <v>11199.114956000001</v>
      </c>
      <c r="AE251" s="3">
        <f>887+(149.2-463.6)+(0+(0-0))+0-0-0</f>
        <v>572.59999999999991</v>
      </c>
    </row>
    <row r="252" spans="1:31" s="2" customFormat="1" x14ac:dyDescent="0.25">
      <c r="A252">
        <v>89</v>
      </c>
      <c r="B252">
        <v>9</v>
      </c>
      <c r="C252">
        <v>6</v>
      </c>
      <c r="D252">
        <v>1</v>
      </c>
      <c r="E252">
        <v>1</v>
      </c>
      <c r="F252" s="3">
        <f>888.8+(54.8-477.8)+(0+(0-0))+0-0-0</f>
        <v>465.79999999999995</v>
      </c>
      <c r="G252" s="3">
        <f>757.7+(72.1-405)+(0+(0-0))+0-0-0</f>
        <v>424.80000000000007</v>
      </c>
      <c r="H252" s="3">
        <f>665.3+(90.1-356)+(0.339303+(0.045951-0.18156))+0-0-0</f>
        <v>399.60369399999996</v>
      </c>
      <c r="I252" s="3">
        <f>621.4+(100.3-338.3)+(0.633828+(0.102306-0.345066))+0-0-0</f>
        <v>383.791068</v>
      </c>
      <c r="J252" s="3">
        <f>632.8+(93.3-339.2)+(0+(0-0))+0-0-0</f>
        <v>386.9</v>
      </c>
      <c r="K252" s="3">
        <f>630.5+(111-340.9)+(-0.64311+(-0.11322--0.347718))+0-0-0</f>
        <v>400.19138800000002</v>
      </c>
      <c r="L252" s="3">
        <f>626.7+(166.4-362)+(-1.598085+(-0.42432--0.9231))+0-0-0</f>
        <v>430.00069500000001</v>
      </c>
      <c r="M252" s="3">
        <f>698.5+(141.7-386.9)+(0.356235+(0.072267-0.197319))+0-0-0</f>
        <v>453.531183</v>
      </c>
      <c r="N252" s="3">
        <f>843.8+(117.5-468)+(0+(0-0))+0-0-0</f>
        <v>493.29999999999995</v>
      </c>
      <c r="O252" s="3">
        <f>939.8+(150.1-546.1)+(1.437894+(0.229653-0.835533))+0-0-0</f>
        <v>544.63201399999991</v>
      </c>
      <c r="P252" s="3">
        <f>937.2+(149.2-530.6)+(0+(0-0))+0-0-0</f>
        <v>555.79999999999995</v>
      </c>
      <c r="Q252" s="3">
        <f>928.4+(117.2-484)+(-0.473484+(-0.059772--0.24684))+0-0-0</f>
        <v>561.31358399999988</v>
      </c>
      <c r="R252" s="3">
        <f>916.9+(90-461.9)+(-0.467619+(-0.0459--0.235569))+0-0-0</f>
        <v>544.72204999999997</v>
      </c>
      <c r="S252" s="3">
        <f>875.2+(86.9-430.7)+(-0.446352+(-0.044319--0.219657))+0-0-0</f>
        <v>531.12898600000005</v>
      </c>
      <c r="T252" s="3">
        <f>877.7+(83.6-434.5)+(-0.895254+(-0.085272--0.44319))+0-0-0</f>
        <v>526.26266400000009</v>
      </c>
      <c r="U252" s="3">
        <f>878.4+(81.9-435)+(-0.447984+(-0.041769--0.22185))+0-0-0</f>
        <v>525.03209699999991</v>
      </c>
      <c r="V252" s="3">
        <f>897.1+(78.3-424.7)+(-0.915042+(-0.079866--0.433194))+0-0-0</f>
        <v>550.13828599999999</v>
      </c>
      <c r="W252" s="3">
        <f>1025.9+(91.5-435.5)+(1.046418+(0.09333-0.44421))+0-0-0</f>
        <v>682.59553800000015</v>
      </c>
      <c r="X252" s="3">
        <f>1050.3+(133.3-468.6)+(-1.071306+(-0.135966--0.477972))+0-0-0</f>
        <v>714.27070000000003</v>
      </c>
      <c r="Y252" s="3">
        <f>1052.6+(114.3-471.7)+(-2.147304+(-0.233172--0.962268))+0-0-0</f>
        <v>693.78179199999988</v>
      </c>
      <c r="Z252" s="3">
        <f>1048.7+(100.2-482.1)+(-2.674185+(-0.25551--1.229355))+0-0-0</f>
        <v>665.09965999999997</v>
      </c>
      <c r="AA252" s="3">
        <f>1053+(133.8-534.5)+(0.53703+(0.068238-0.272595))+0-0-0</f>
        <v>652.63267299999995</v>
      </c>
      <c r="AB252" s="3">
        <f>976.2+(178.3-552.8)+(-1.991448+(-0.363732--1.127712))+0-0-0</f>
        <v>600.472532</v>
      </c>
      <c r="AC252" s="3">
        <f>941.3+(178.7-575.4)+(-1.440189+(-0.273411--0.880362))+0-0-0</f>
        <v>543.76676199999986</v>
      </c>
      <c r="AD252">
        <f t="shared" si="3"/>
        <v>12729.567365999997</v>
      </c>
      <c r="AE252" s="3">
        <f>1040+(132.9-488.5)+(0+(0-0))+0-0-0</f>
        <v>684.4</v>
      </c>
    </row>
    <row r="253" spans="1:31" s="2" customFormat="1" x14ac:dyDescent="0.25">
      <c r="A253">
        <v>89</v>
      </c>
      <c r="B253">
        <v>9</v>
      </c>
      <c r="C253">
        <v>7</v>
      </c>
      <c r="D253">
        <v>2</v>
      </c>
      <c r="E253">
        <v>1</v>
      </c>
      <c r="F253" s="3">
        <f>894.3+(98.1-535.3)+(-0.456093+(-0.050031--0.273003))+0-0-0</f>
        <v>456.86687900000004</v>
      </c>
      <c r="G253" s="3">
        <f>750+(89.2-419)+(-1.9125+(-0.22746--1.06845))+0-0-0</f>
        <v>419.12849</v>
      </c>
      <c r="H253" s="3">
        <f>630+(118.8-356.9)+(-0.3213+(-0.060588--0.182019))+0-0-0</f>
        <v>391.70013100000006</v>
      </c>
      <c r="I253" s="3">
        <f>629.8+(100.6-346.4)+(-0.321198+(-0.051306--0.176664))+0-0-0</f>
        <v>383.80416000000002</v>
      </c>
      <c r="J253" s="3">
        <f>628.3+(95.5-338.2)+(-0.640866+(-0.09741--0.344964))+0-0-0</f>
        <v>385.20668799999999</v>
      </c>
      <c r="K253" s="3">
        <f>631.6+(110.4-350.3)+(0+(0-0))+0-0-0</f>
        <v>391.70000000000005</v>
      </c>
      <c r="L253" s="3">
        <f>752.7+(99-431.9)+(-1.535508+(-0.20196--0.881076))+0-0-0</f>
        <v>418.94360800000004</v>
      </c>
      <c r="M253" s="3">
        <f>856+(94.9-511.9)+(-0.43656+(-0.048399--0.261069))+0-0-0</f>
        <v>438.77611000000002</v>
      </c>
      <c r="N253" s="3">
        <f>861.1+(96.7-485.8)+(0+(0-0))+0-0-0</f>
        <v>472</v>
      </c>
      <c r="O253" s="3">
        <f>870.1+(104.9-462)+(0.443751+(0.053499-0.23562))+0-0-0</f>
        <v>513.26162999999997</v>
      </c>
      <c r="P253" s="3">
        <f>883.4+(111.9-442)+(0.901068+(0.114138-0.45084))+0-0-0</f>
        <v>553.8643659999999</v>
      </c>
      <c r="Q253" s="3">
        <f>879+(112.5-448.9)+(0+(0-0))+0-0-0</f>
        <v>542.6</v>
      </c>
      <c r="R253" s="3">
        <f>864.7+(115.8-473.9)+(-2.204985+(-0.29529--1.208445))+0-0-0</f>
        <v>505.30817000000008</v>
      </c>
      <c r="S253" s="3">
        <f>876.6+(99.5-480.4)+(-1.341198+(-0.152235--0.735012))+0-0-0</f>
        <v>494.94157900000005</v>
      </c>
      <c r="T253" s="3">
        <f>904.3+(89.8-496)+(0.461193+(0.045798-0.25296))+0-0-0</f>
        <v>498.35403099999996</v>
      </c>
      <c r="U253" s="3">
        <f>945.6+(76.6-522)+(0.964512+(0.078132-0.53244))+0-0-0</f>
        <v>500.71020400000003</v>
      </c>
      <c r="V253" s="3">
        <f>994.7+(62.1-532.3)+(-0.507297+(-0.031671--0.271473))+0-0-0</f>
        <v>524.23250500000006</v>
      </c>
      <c r="W253" s="3">
        <f>1042.2+(110.5-506)+(0.531522+(0.056355-0.25806))+0-0-0</f>
        <v>647.02981700000009</v>
      </c>
      <c r="X253" s="3">
        <f>1030.6+(135.7-488.3)+(-3.679242+(-0.484449--1.743231))+0-0-0</f>
        <v>675.57953999999984</v>
      </c>
      <c r="Y253" s="3">
        <f>988.6+(136.8-461.7)+(-2.016744+(-0.279072--0.941868))+0-0-0</f>
        <v>662.3460520000001</v>
      </c>
      <c r="Z253" s="3">
        <f>1014.9+(100.5-477.2)+(-0.517599+(-0.051255--0.243372))+0-0-0</f>
        <v>637.87451800000008</v>
      </c>
      <c r="AA253" s="3">
        <f>1029.3+(56-478.8)+(-1.574829+(-0.08568--0.732564))+0-0-0</f>
        <v>605.57205499999998</v>
      </c>
      <c r="AB253" s="3">
        <f>970.4+(77.3-492)+(-0.989808+(-0.078846--0.50184))+0-0-0</f>
        <v>555.13318600000002</v>
      </c>
      <c r="AC253" s="3">
        <f>877.1+(127.9-501)+(-1.789284+(-0.260916--1.02204))+0-0-0</f>
        <v>502.97183999999999</v>
      </c>
      <c r="AD253">
        <f t="shared" si="3"/>
        <v>12177.905559000004</v>
      </c>
      <c r="AE253" s="3">
        <f>1043+(128-493.2)+(0+(0-0))+0-0-0</f>
        <v>677.8</v>
      </c>
    </row>
    <row r="254" spans="1:31" s="2" customFormat="1" x14ac:dyDescent="0.25">
      <c r="A254">
        <v>89</v>
      </c>
      <c r="B254">
        <v>9</v>
      </c>
      <c r="C254">
        <v>8</v>
      </c>
      <c r="D254">
        <v>3</v>
      </c>
      <c r="E254">
        <v>1</v>
      </c>
      <c r="F254" s="3">
        <f>671.9+(157.1-404.7)+(-1.370676+(-0.320484--0.825588))+0-0-0</f>
        <v>423.43442799999997</v>
      </c>
      <c r="G254" s="3">
        <f>628.6+(133.3-379.8)+(-0.320586+(-0.067983--0.193698))+0-0-0</f>
        <v>381.90512900000004</v>
      </c>
      <c r="H254" s="3">
        <f>632.1+(126.4-387.1)+(0.322371+(0.064464-0.197421))+0-0-0</f>
        <v>371.58941399999998</v>
      </c>
      <c r="I254" s="3">
        <f>626.2+(130.7-390.1)+(-0.638724+(-0.133314--0.397902))+0-0-0</f>
        <v>366.42586399999999</v>
      </c>
      <c r="J254" s="3">
        <f>631.8+(141.3-408.4)+(0.322218+(0.072063-0.208284))+0-0-0</f>
        <v>364.88599699999997</v>
      </c>
      <c r="K254" s="3">
        <f>631.8+(151.7-411.1)+(0.322218+(0.077367-0.209661))+0-0-0</f>
        <v>372.58992399999994</v>
      </c>
      <c r="L254" s="3">
        <f>630.8+(205.1-420.9)+(0+(0-0))+0-0-0</f>
        <v>415</v>
      </c>
      <c r="M254" s="3">
        <f>658.4+(182.6-406.8)+(-1.67892+(-0.46563--1.03734))+0-0-0</f>
        <v>433.09278999999992</v>
      </c>
      <c r="N254" s="3">
        <f>828.8+(153.9-499.9)+(1.268064+(0.235467-0.764847))+0-0-0</f>
        <v>483.53868399999993</v>
      </c>
      <c r="O254" s="3">
        <f>868.6+(151.1-499.6)+(-1.328958+(-0.231183--0.764388))+0-0-0</f>
        <v>519.30424700000003</v>
      </c>
      <c r="P254" s="3">
        <f>879.2+(168.3-509.2)+(0.448392+(0.085833-0.259692))+0-0-0</f>
        <v>538.57453300000009</v>
      </c>
      <c r="Q254" s="3">
        <f>868+(171.5-494.7)+(-2.2134+(-0.437325--1.261485))+0-0-0</f>
        <v>543.41075999999998</v>
      </c>
      <c r="R254" s="3">
        <f>872.4+(149.7-493.6)+(-0.889848+(-0.152694--0.503472))+0-0-0</f>
        <v>527.96092999999996</v>
      </c>
      <c r="S254" s="3">
        <f>872.2+(130.6-487.5)+(0+(0-0))+0-0-0</f>
        <v>515.30000000000007</v>
      </c>
      <c r="T254" s="3">
        <f>869.2+(145.3-514.3)+(0+(0-0))+0-0-0</f>
        <v>500.2000000000001</v>
      </c>
      <c r="U254" s="3">
        <f>870.1+(150.4-518.7)+(0.443751+(0.076704-0.264537))+0-0-0</f>
        <v>502.05591799999996</v>
      </c>
      <c r="V254" s="3">
        <f>873.4+(135.8-479.3)+(1.336302+(0.207774-0.733329))+0-0-0</f>
        <v>530.71074699999997</v>
      </c>
      <c r="W254" s="3">
        <f>889.7+(147-376.8)+(1.361241+(0.22491-0.576504))+0-0-0</f>
        <v>660.90964700000006</v>
      </c>
      <c r="X254" s="3">
        <f>900.7+(160.3-382.7)+(-1.837428+(-0.327012--0.780708))+0-0-0</f>
        <v>676.91626800000006</v>
      </c>
      <c r="Y254" s="3">
        <f>898.4+(161-387.9)+(-1.374552+(-0.24633--0.593487))+0-0-0</f>
        <v>670.47260500000004</v>
      </c>
      <c r="Z254" s="3">
        <f>897.4+(160.3-409.1)+(-1.373022+(-0.245259--0.625923))+0-0-0</f>
        <v>647.60764199999994</v>
      </c>
      <c r="AA254" s="3">
        <f>895.9+(150.1-426.9)+(-0.913818+(-0.153102--0.435438))+0-0-0</f>
        <v>618.46851800000002</v>
      </c>
      <c r="AB254" s="3">
        <f>889.5+(118.5-430.8)+(0+(0-0))+0-0-0</f>
        <v>577.20000000000005</v>
      </c>
      <c r="AC254" s="3">
        <f>882.5+(113.2-476.2)+(-2.250375+(-0.28866--1.21431))+0-0-0</f>
        <v>518.17527500000006</v>
      </c>
      <c r="AD254">
        <f t="shared" si="3"/>
        <v>12159.729320000002</v>
      </c>
      <c r="AE254" s="3">
        <f>902+(160.4-401.5)+(0+(0-0))+0-0-0</f>
        <v>660.9</v>
      </c>
    </row>
    <row r="255" spans="1:31" s="2" customFormat="1" x14ac:dyDescent="0.25">
      <c r="A255">
        <v>89</v>
      </c>
      <c r="B255">
        <v>9</v>
      </c>
      <c r="C255">
        <v>9</v>
      </c>
      <c r="D255">
        <v>4</v>
      </c>
      <c r="E255">
        <v>1</v>
      </c>
      <c r="F255" s="3">
        <f>665+(198.1-381.2)+(-1.3566+(-0.404124--0.777648))+0-0-0</f>
        <v>480.91692399999999</v>
      </c>
      <c r="G255" s="3">
        <f>625.7+(168.8-347.6)+(-0.638214+(-0.172176--0.354552))+0-0-0</f>
        <v>446.44416200000001</v>
      </c>
      <c r="H255" s="3">
        <f>624.4+(143.5-342.9)+(-0.955332+(-0.219555--0.524637))+0-0-0</f>
        <v>424.34974999999997</v>
      </c>
      <c r="I255" s="3">
        <f>624.1+(124.1-336.7)+(-0.636582+(-0.126582--0.343434))+0-0-0</f>
        <v>411.08026999999998</v>
      </c>
      <c r="J255" s="3">
        <f>625.3+(120.2-335.3)+(-0.637806+(-0.122604--0.342006))+0-0-0</f>
        <v>409.78159599999992</v>
      </c>
      <c r="K255" s="3">
        <f>628.1+(133.2-350.3)+(0+(0-0))+0-0-0</f>
        <v>411</v>
      </c>
      <c r="L255" s="3">
        <f>623.8+(188.2-380.5)+(-0.636276+(-0.191964--0.38811))+0-0-0</f>
        <v>431.05986999999993</v>
      </c>
      <c r="M255" s="3">
        <f>626.2+(224.4-402.2)+(-0.319362+(-0.114444--0.205122))+0-0-0</f>
        <v>448.1713160000001</v>
      </c>
      <c r="N255" s="3">
        <f>776.6+(193.9-476.9)+(0.396066+(0.098889-0.243219))+0-0-0</f>
        <v>493.85173600000002</v>
      </c>
      <c r="O255" s="3">
        <f>861.7+(166.2-508.6)+(0+(0-0))+0-0-0</f>
        <v>519.29999999999995</v>
      </c>
      <c r="P255" s="3">
        <f>855.2+(180-505.4)+(-0.436152+(-0.0918--0.257754))+0-0-0</f>
        <v>529.52980200000002</v>
      </c>
      <c r="Q255" s="3">
        <f>852.1+(177.2-495.1)+(-0.869142+(-0.180744--0.505002))+0-0-0</f>
        <v>533.65511600000002</v>
      </c>
      <c r="R255" s="3">
        <f>852.2+(146.5-480.2)+(-0.434622+(-0.074715--0.244902))+0-0-0</f>
        <v>518.23556499999995</v>
      </c>
      <c r="S255" s="3">
        <f>883.5+(115.1-488.4)+(0+(0-0))+0-0-0</f>
        <v>510.20000000000005</v>
      </c>
      <c r="T255" s="3">
        <f>876.3+(107.7-470.4)+(-1.340739+(-0.164781--0.719712))+0-0-0</f>
        <v>512.81419199999993</v>
      </c>
      <c r="U255" s="3">
        <f>861.8+(97.6-445.8)+(-1.318554+(-0.149328--0.682074))+0-0-0</f>
        <v>512.81419199999993</v>
      </c>
      <c r="V255" s="3">
        <f>898.5+(80.1-444.8)+(-1.374705+(-0.122553--0.680544))+0-0-0</f>
        <v>532.98328599999991</v>
      </c>
      <c r="W255" s="3">
        <f>999.7+(126.1-451.2)+(-1.019694+(-0.128622--0.460224))+0-0-0</f>
        <v>673.91190800000004</v>
      </c>
      <c r="X255" s="3">
        <f>1048.1+(158.3-496.2)+(-2.138124+(-0.322932--1.012248))+0-0-0</f>
        <v>708.75119199999995</v>
      </c>
      <c r="Y255" s="3">
        <f>1046.5+(131.5-483.7)+(-2.13486+(-0.26826--0.986748))+0-0-0</f>
        <v>692.88362799999993</v>
      </c>
      <c r="Z255" s="3">
        <f>976.2+(154-457.5)+(-0.995724+(-0.15708--0.46665))+0-0-0</f>
        <v>672.01384600000006</v>
      </c>
      <c r="AA255" s="3">
        <f>900.1+(191.7-464.4)+(-1.377153+(-0.293301--0.710532))+0-0-0</f>
        <v>626.44007800000009</v>
      </c>
      <c r="AB255" s="3">
        <f>856.8+(180.3-455.1)+(-1.310904+(-0.275859--0.696303))+0-0-0</f>
        <v>581.10954000000004</v>
      </c>
      <c r="AC255" s="3">
        <f>809.4+(198.6-475.4)+(-2.06397+(-0.50643--1.21227))+0-0-0</f>
        <v>531.24187000000006</v>
      </c>
      <c r="AD255">
        <f t="shared" si="3"/>
        <v>12612.539838999997</v>
      </c>
      <c r="AE255" s="3">
        <f>1040+(142.8-504.7)+(0+(0-0))+0-0-0</f>
        <v>678.1</v>
      </c>
    </row>
    <row r="256" spans="1:31" s="2" customFormat="1" x14ac:dyDescent="0.25">
      <c r="A256">
        <v>89</v>
      </c>
      <c r="B256">
        <v>9</v>
      </c>
      <c r="C256">
        <v>10</v>
      </c>
      <c r="D256">
        <v>5</v>
      </c>
      <c r="E256">
        <v>1</v>
      </c>
      <c r="F256" s="3">
        <f>627+(185.2-362.5)+(-1.59885+(-0.47226--0.924375))+0-0-0</f>
        <v>448.55326500000001</v>
      </c>
      <c r="G256" s="3">
        <f>627.6+(131.4-347.5)+(0+(0-0))+0-0-0</f>
        <v>411.5</v>
      </c>
      <c r="H256" s="3">
        <f>626.3+(115.6-350.6)+(-0.319413+(-0.058956--0.178806))+0-0-0</f>
        <v>391.10043699999994</v>
      </c>
      <c r="I256" s="3">
        <f>625.5+(112.5-350.4)+(-0.319005+(-0.057375--0.178704))+0-0-0</f>
        <v>387.40232400000002</v>
      </c>
      <c r="J256" s="3">
        <f>629.8+(112.3-354.4)+(0.642396+(0.114546-0.361488))+0-0-0</f>
        <v>388.09545399999996</v>
      </c>
      <c r="K256" s="3">
        <f>625.7+(128.5-359.6)+(-0.638214+(-0.13107--0.366792))+0-0-0</f>
        <v>394.19750800000003</v>
      </c>
      <c r="L256" s="3">
        <f>625.4+(183.8-401.6)+(-0.318954+(-0.093738--0.204816))+0-0-0</f>
        <v>407.39212399999997</v>
      </c>
      <c r="M256" s="3">
        <f>675.5+(207.4-461.1)+(0+(0-0))+0-0-0</f>
        <v>421.79999999999995</v>
      </c>
      <c r="N256" s="3">
        <f>832+(155.1-506.9)+(-0.42432+(-0.079101--0.258519))+0-0-0</f>
        <v>479.95509800000002</v>
      </c>
      <c r="O256" s="3">
        <f>829.5+(186.3-505.5)+(-1.69218+(-0.380052--1.03122))+0-0-0</f>
        <v>509.25898799999999</v>
      </c>
      <c r="P256" s="3">
        <f>840.3+(185.5-495.4)+(0.428553+(0.094605-0.252654))+0-0-0</f>
        <v>530.67050399999994</v>
      </c>
      <c r="Q256" s="3">
        <f>821.7+(161-447.5)+(-0.419067+(-0.08211--0.228225))+0-0-0</f>
        <v>534.92704800000001</v>
      </c>
      <c r="R256" s="3">
        <f>779.1+(158.6-418.9)+(-1.986705+(-0.40443--1.068195))+0-0-0</f>
        <v>517.47706000000005</v>
      </c>
      <c r="S256" s="3">
        <f>829.2+(122.2-443.6)+(0+(0-0))+0-0-0</f>
        <v>507.8</v>
      </c>
      <c r="T256" s="3">
        <f>826.6+(108.1-440.7)+(0+(0-0))+0-0-0</f>
        <v>494</v>
      </c>
      <c r="U256" s="3">
        <f>825.4+(111.4-442.1)+(-0.420954+(-0.056814--0.225471))+0-0-0</f>
        <v>494.44770299999993</v>
      </c>
      <c r="V256" s="3">
        <f>829.5+(88.7-401.6)+(0.84609+(0.090474-0.409632))+0-0-0</f>
        <v>517.1269319999999</v>
      </c>
      <c r="W256" s="3">
        <f>854.1+(196.2-418.1)+(0+(0-0))+0-0-0</f>
        <v>632.20000000000005</v>
      </c>
      <c r="X256" s="3">
        <f>1022+(206.8-537.7)+(-2.08488+(-0.421872--1.096908))+0-0-0</f>
        <v>689.69015599999989</v>
      </c>
      <c r="Y256" s="3">
        <f>1027.8+(172.3-515.9)+(-1.572534+(-0.263619--0.789327))+0-0-0</f>
        <v>683.15317400000004</v>
      </c>
      <c r="Z256" s="3">
        <f>987.9+(239.3-565.3)+(-0.503829+(-0.122043--0.288303))+0-0-0</f>
        <v>661.56243100000006</v>
      </c>
      <c r="AA256" s="3">
        <f>903.3+(271.4-535.4)+(0+(0-0))+0-0-0</f>
        <v>639.29999999999995</v>
      </c>
      <c r="AB256" s="3">
        <f>861.3+(271.1-550.8)+(-1.757052+(-0.553044--1.123632))+0-0-0</f>
        <v>580.41353600000002</v>
      </c>
      <c r="AC256" s="3">
        <f>787.1+(306.1-564.8)+(-1.204263+(-0.468333--0.864144))+0-0-0</f>
        <v>527.5915480000001</v>
      </c>
      <c r="AD256">
        <f t="shared" si="3"/>
        <v>12249.61529</v>
      </c>
      <c r="AE256" s="3">
        <f>1019+(225.7-486.6)+(0+(0-0))+0-0-0</f>
        <v>758.09999999999991</v>
      </c>
    </row>
    <row r="257" spans="1:31" s="2" customFormat="1" x14ac:dyDescent="0.25">
      <c r="A257">
        <v>89</v>
      </c>
      <c r="B257">
        <v>9</v>
      </c>
      <c r="C257">
        <v>11</v>
      </c>
      <c r="D257">
        <v>6</v>
      </c>
      <c r="E257">
        <v>1</v>
      </c>
      <c r="F257" s="3">
        <f>729.3+(283.8-528.8)+(-0.743886+(-0.289476--0.539376))+0-0-0</f>
        <v>483.806014</v>
      </c>
      <c r="G257" s="3">
        <f>630.6+(227.3-415.1)+(0.643212+(0.231846-0.423402))+0-0-0</f>
        <v>443.25165600000003</v>
      </c>
      <c r="H257" s="3">
        <f>632.6+(200.1-404.3)+(0.967878+(0.306153-0.618579))+0-0-0</f>
        <v>429.055452</v>
      </c>
      <c r="I257" s="3">
        <f>627.1+(194.2-405)+(-0.319821+(-0.099042--0.20655))+0-0-0</f>
        <v>416.08768700000002</v>
      </c>
      <c r="J257" s="3">
        <f>628.1+(187.7-401.4)+(0.320331+(0.095727-0.204714))+0-0-0</f>
        <v>414.61134400000003</v>
      </c>
      <c r="K257" s="3">
        <f>628.2+(220.9-425.3)+(0+(0-0))+0-0-0</f>
        <v>423.80000000000007</v>
      </c>
      <c r="L257" s="3">
        <f>626.1+(287.8-475.7)+(-0.638622+(-0.293556--0.485214))+0-0-0</f>
        <v>437.75303600000007</v>
      </c>
      <c r="M257" s="3">
        <f>631.6+(307-497.6)+(0.322116+(0.15657-0.253776))+0-0-0</f>
        <v>441.22491000000002</v>
      </c>
      <c r="N257" s="3">
        <f>710.4+(233.2-466)+(0+(0-0))+0-0-0</f>
        <v>477.59999999999997</v>
      </c>
      <c r="O257" s="3">
        <f>889.4+(198.1-552.5)+(-1.814376+(-0.404124--1.1271))+0-0-0</f>
        <v>533.90859999999998</v>
      </c>
      <c r="P257" s="3">
        <f>890.5+(214.4-554.8)+(-1.362465+(-0.328032--0.848844))+0-0-0</f>
        <v>549.25834700000007</v>
      </c>
      <c r="Q257" s="3">
        <f>884.8+(204.3-538.6)+(-0.451248+(-0.104193--0.274686))+0-0-0</f>
        <v>550.219245</v>
      </c>
      <c r="R257" s="3">
        <f>866.1+(201.2-534)+(-1.766844+(-0.410448--1.08936))+0-0-0</f>
        <v>532.21206799999993</v>
      </c>
      <c r="S257" s="3">
        <f>864+(241.4-586.5)+(-0.88128+(-0.246228--0.59823))+0-0-0</f>
        <v>518.370722</v>
      </c>
      <c r="T257" s="3">
        <f>863.2+(213-576.4)+(-0.880464+(-0.21726--0.587928))+0-0-0</f>
        <v>499.29020400000007</v>
      </c>
      <c r="U257" s="3">
        <f>863.1+(191-558.4)+(-0.440181+(-0.09741--0.284784))+0-0-0</f>
        <v>495.44719300000003</v>
      </c>
      <c r="V257" s="3">
        <f>855.2+(183.2-511.2)+(-2.18076+(-0.46716--1.30356))+0-0-0</f>
        <v>525.85563999999999</v>
      </c>
      <c r="W257" s="3">
        <f>870.8+(213.4-426)+(0+(0-0))+0-0-0</f>
        <v>658.19999999999993</v>
      </c>
      <c r="X257" s="3">
        <f>874.2+(269.9-462.2)+(-3.120894+(-0.963543--1.650054))+0-0-0</f>
        <v>679.46561700000007</v>
      </c>
      <c r="Y257" s="3">
        <f>866.3+(256.7-461)+(-1.325439+(-0.392751--0.70533))+0-0-0</f>
        <v>660.98713999999995</v>
      </c>
      <c r="Z257" s="3">
        <f>876.4+(222-460)+(-1.340892+(-0.33966--0.7038))+0-0-0</f>
        <v>637.42324799999994</v>
      </c>
      <c r="AA257" s="3">
        <f>873.1+(213.8-485.4)+(-2.226405+(-0.54519--1.23777))+0-0-0</f>
        <v>599.96617500000002</v>
      </c>
      <c r="AB257" s="3">
        <f>879.2+(130.7-446.6)+(0+(0-0))+0-0-0</f>
        <v>563.29999999999995</v>
      </c>
      <c r="AC257" s="3">
        <f>874.2+(74.9-425.6)+(-1.337526+(-0.114597--0.651168))+0-0-0</f>
        <v>522.69904499999996</v>
      </c>
      <c r="AD257">
        <f t="shared" ref="AD257:AD320" si="4">SUM(F257:AC257)</f>
        <v>12493.793342999996</v>
      </c>
      <c r="AE257" s="3">
        <f>872+(278.2-483.7)+(0+(0-0))+0-0-0</f>
        <v>666.5</v>
      </c>
    </row>
    <row r="258" spans="1:31" s="2" customFormat="1" x14ac:dyDescent="0.25">
      <c r="A258">
        <v>89</v>
      </c>
      <c r="B258">
        <v>9</v>
      </c>
      <c r="C258">
        <v>12</v>
      </c>
      <c r="D258">
        <v>7</v>
      </c>
      <c r="E258">
        <v>1</v>
      </c>
      <c r="F258" s="3">
        <f>835.2+(92.9-477.6)+(-2.555712+(-0.284274--1.461456))+0-0-0</f>
        <v>449.12146999999999</v>
      </c>
      <c r="G258" s="3">
        <f>686.7+(148.2-432.6)+(0+(0-0))+0-0-0</f>
        <v>402.3</v>
      </c>
      <c r="H258" s="3">
        <f>683.2+(144.5-442.3)+(-0.348432+(-0.073695--0.225573))+0-0-0</f>
        <v>385.20344600000004</v>
      </c>
      <c r="I258" s="3">
        <f>687.7+(145.8-451.8)+(0.350727+(0.074358-0.230418))+0-0-0</f>
        <v>381.89466700000003</v>
      </c>
      <c r="J258" s="3">
        <f>687.5+(150-450)+(0+(0-0))+0-0-0</f>
        <v>387.5</v>
      </c>
      <c r="K258" s="3">
        <f>691+(161.6-466)+(1.05723+(0.247248-0.71298))+0-0-0</f>
        <v>387.19149800000002</v>
      </c>
      <c r="L258" s="3">
        <f>684.1+(214.1-521.9)+(-0.697782+(-0.218382--0.532338))+0-0-0</f>
        <v>375.91617400000007</v>
      </c>
      <c r="M258" s="3">
        <f>679.6+(248.6-561.2)+(-1.73298+(-0.63393--1.43106))+0-0-0</f>
        <v>366.06414999999998</v>
      </c>
      <c r="N258" s="3">
        <f>576.8+(387.4-569.5)+(0.294168+(0.197574-0.290445))+0-0-0</f>
        <v>394.90129699999994</v>
      </c>
      <c r="O258" s="3">
        <f>697.2+(318.6-589.1)+(0.355572+(0.162486-0.300441))+0-0-0</f>
        <v>426.91761700000006</v>
      </c>
      <c r="P258" s="3">
        <f>739+(314.8-600.4)+(-1.50756+(-0.642192--1.224816))+0-0-0</f>
        <v>452.47506400000003</v>
      </c>
      <c r="Q258" s="3">
        <f>868.8+(245-657.4)+(-0.443088+(-0.12495--0.335274))+0-0-0</f>
        <v>456.167236</v>
      </c>
      <c r="R258" s="3">
        <f>888.6+(238.5-687.2)+(-1.359558+(-0.364905--1.051416))+0-0-0</f>
        <v>439.22695299999998</v>
      </c>
      <c r="S258" s="3">
        <f>889.5+(243.5-710.4)+(-1.360935+(-0.372555--1.086912))+0-0-0</f>
        <v>421.95342200000005</v>
      </c>
      <c r="T258" s="3">
        <f>888.1+(205.9-685.9)+(0.452931+(0.105009-0.349809))+0-0-0</f>
        <v>408.308131</v>
      </c>
      <c r="U258" s="3">
        <f>881+(203.3-685.4)+(-0.89862+(-0.207366--0.699108))+0-0-0</f>
        <v>398.49312200000003</v>
      </c>
      <c r="V258" s="3">
        <f>880.5+(219.5-677.4)+(-0.89811+(-0.22389--0.690948))+0-0-0</f>
        <v>422.168948</v>
      </c>
      <c r="W258" s="3">
        <f>899.7+(257.7-604.5)+(0+(0-0))+0-0-0</f>
        <v>552.90000000000009</v>
      </c>
      <c r="X258" s="3">
        <f>907.8+(302.3-626.4)+(-0.925956+(-0.308346--0.638928))+0-0-0</f>
        <v>583.10462600000005</v>
      </c>
      <c r="Y258" s="3">
        <f>908+(232.8-560.3)+(-0.46308+(-0.118728--0.285753))+0-0-0</f>
        <v>580.20394499999998</v>
      </c>
      <c r="Z258" s="3">
        <f>906.3+(224.4-548.1)+(-0.924426+(-0.228888--0.559062))+0-0-0</f>
        <v>582.00574799999993</v>
      </c>
      <c r="AA258" s="3">
        <f>905.2+(239.6-576.5)+(-0.923304+(-0.244392--0.58803))+0-0-0</f>
        <v>567.72033400000009</v>
      </c>
      <c r="AB258" s="3">
        <f>900.3+(218.1-583.8)+(0+(0-0))+0-0-0</f>
        <v>534.6</v>
      </c>
      <c r="AC258" s="3">
        <f>900+(155.9-562.2)+(-2.295+(-0.397545--1.43361))+0-0-0</f>
        <v>492.44106499999992</v>
      </c>
      <c r="AD258">
        <f t="shared" si="4"/>
        <v>10848.778912999998</v>
      </c>
      <c r="AE258" s="3">
        <f>910+(309.9-639.3)+(0+(0-0))+0-0-0</f>
        <v>580.6</v>
      </c>
    </row>
    <row r="259" spans="1:31" s="2" customFormat="1" x14ac:dyDescent="0.25">
      <c r="A259">
        <v>89</v>
      </c>
      <c r="B259">
        <v>9</v>
      </c>
      <c r="C259">
        <v>13</v>
      </c>
      <c r="D259">
        <v>1</v>
      </c>
      <c r="E259">
        <v>1</v>
      </c>
      <c r="F259" s="3">
        <f>826.8+(101.4-484.9)+(-2.530008+(-0.310284--1.483794))+0-0-0</f>
        <v>441.94350199999997</v>
      </c>
      <c r="G259" s="3">
        <f>768.1+(81-444.1)+(-1.566924+(-0.16524--0.905964))+0-0-0</f>
        <v>404.17380000000003</v>
      </c>
      <c r="H259" s="3">
        <f>647.3+(100.9-369.7)+(-1.320492+(-0.205836--0.754188))+0-0-0</f>
        <v>377.72786000000002</v>
      </c>
      <c r="I259" s="3">
        <f>634.9+(91.7-356.8)+(-0.647598+(-0.093534--0.363936))+0-0-0</f>
        <v>369.42280399999993</v>
      </c>
      <c r="J259" s="3">
        <f>637.3+(82.3-353.6)+(0+(0-0))+0-0-0</f>
        <v>365.99999999999994</v>
      </c>
      <c r="K259" s="3">
        <f>639.5+(106-367.1)+(0.326145+(0.05406-0.187221))+0-0-0</f>
        <v>378.592984</v>
      </c>
      <c r="L259" s="3">
        <f>841.9+(61.5-477.2)+(-1.717476+(-0.12546--0.973488))+0-0-0</f>
        <v>425.33055200000001</v>
      </c>
      <c r="M259" s="3">
        <f>898.3+(63.5-520.2)+(-0.916266+(-0.06477--0.530604))+0-0-0</f>
        <v>441.14956799999993</v>
      </c>
      <c r="N259" s="3">
        <f>903.8+(129.1-528.8)+(0+(0-0))+0-0-0</f>
        <v>504.1</v>
      </c>
      <c r="O259" s="3">
        <f>910.9+(145.9-503.7)+(1.393677+(0.223227-0.770661))+0-0-0</f>
        <v>553.94624299999998</v>
      </c>
      <c r="P259" s="3">
        <f>901.4+(149-478.9)+(-1.379142+(-0.22797--0.732717))+0-0-0</f>
        <v>570.62560499999995</v>
      </c>
      <c r="Q259" s="3">
        <f>904.9+(118.5-477.1)+(0+(0-0))+0-0-0</f>
        <v>546.29999999999995</v>
      </c>
      <c r="R259" s="3">
        <f>889+(122.2-472.3)+(-2.72034+(-0.373932--1.445238))+0-0-0</f>
        <v>537.25096599999995</v>
      </c>
      <c r="S259" s="3">
        <f>894.4+(113.7-481.4)+(-1.368432+(-0.173961--0.736542))+0-0-0</f>
        <v>525.89414900000008</v>
      </c>
      <c r="T259" s="3">
        <f>900.8+(78.3-464.5)+(0+(0-0))+0-0-0</f>
        <v>514.59999999999991</v>
      </c>
      <c r="U259" s="3">
        <f>912.2+(104.2-492.5)+(0+(0-0))+0-0-0</f>
        <v>523.90000000000009</v>
      </c>
      <c r="V259" s="3">
        <f>910.2+(95.9-457.3)+(-0.464202+(-0.048909--0.233223))+0-0-0</f>
        <v>548.52011200000004</v>
      </c>
      <c r="W259" s="3">
        <f>932.7+(101.4-373.9)+(1.427031+(0.155142-0.572067))+0-0-0</f>
        <v>661.210106</v>
      </c>
      <c r="X259" s="3">
        <f>947.2+(130.2-393.1)+(-1.932288+(-0.265608--0.801924))+0-0-0</f>
        <v>682.90402799999993</v>
      </c>
      <c r="Y259" s="3">
        <f>948.4+(121.1-392.5)+(-2.41842+(-0.308805--1.000875))+0-0-0</f>
        <v>675.27364999999998</v>
      </c>
      <c r="Z259" s="3">
        <f>970.5+(108.7-404.1)+(0+(0-0))+0-0-0</f>
        <v>675.09999999999991</v>
      </c>
      <c r="AA259" s="3">
        <f>973.3+(146-470.1)+(-2.481915+(-0.3723--1.198755))+0-0-0</f>
        <v>647.54453999999998</v>
      </c>
      <c r="AB259" s="3">
        <f>1007.2+(85.4-491.1)+(-1.027344+(-0.087108--0.500922))+0-0-0</f>
        <v>600.88647000000003</v>
      </c>
      <c r="AC259" s="3">
        <f>1003+(52.8-516)+(-2.55765+(-0.13464--1.3158))+0-0-0</f>
        <v>538.42350999999996</v>
      </c>
      <c r="AD259">
        <f t="shared" si="4"/>
        <v>12510.820449000001</v>
      </c>
      <c r="AE259" s="3">
        <f>933+(132.4-422.8)+(0+(0-0))+0-0-0</f>
        <v>642.6</v>
      </c>
    </row>
    <row r="260" spans="1:31" s="2" customFormat="1" x14ac:dyDescent="0.25">
      <c r="A260">
        <v>89</v>
      </c>
      <c r="B260">
        <v>9</v>
      </c>
      <c r="C260">
        <v>14</v>
      </c>
      <c r="D260">
        <v>2</v>
      </c>
      <c r="E260">
        <v>1</v>
      </c>
      <c r="F260" s="3">
        <f>969.3+(46.7-523.9)+(-1.977372+(-0.095268--1.068756))+0-0-0</f>
        <v>491.09611599999994</v>
      </c>
      <c r="G260" s="3">
        <f>784.9+(73.9-412.3)+(0+(0-0))+0-0-0</f>
        <v>446.5</v>
      </c>
      <c r="H260" s="3">
        <f>754.2+(70.1-394.6)+(-0.384642+(-0.035751--0.201246))+0-0-0</f>
        <v>429.48085300000002</v>
      </c>
      <c r="I260" s="3">
        <f>753.1+(57.3-386.9)+(0+(0-0))+0-0-0</f>
        <v>423.50000000000006</v>
      </c>
      <c r="J260" s="3">
        <f>752.7+(55.5-383.9)+(-0.767754+(-0.05661--0.391578))+0-0-0</f>
        <v>423.86721400000005</v>
      </c>
      <c r="K260" s="3">
        <f>752.4+(59-387.3)+(0+(0-0))+0-0-0</f>
        <v>424.09999999999997</v>
      </c>
      <c r="L260" s="3">
        <f>753.4+(82.6-396.3)+(-0.768468+(-0.084252--0.404226))+0-0-0</f>
        <v>439.25150599999995</v>
      </c>
      <c r="M260" s="3">
        <f>873.6+(43.2-461.6)+(-0.891072+(-0.044064--0.470832))+0-0-0</f>
        <v>454.73569599999996</v>
      </c>
      <c r="N260" s="3">
        <f>994.2+(21.4-510)+(0.507042+(0.010914-0.2601))+0-0-0</f>
        <v>505.85785600000003</v>
      </c>
      <c r="O260" s="3">
        <f>1025+(28-526.5)+(0.52275+(0.01428-0.268515))+0-0-0</f>
        <v>526.76851499999998</v>
      </c>
      <c r="P260" s="3">
        <f>1019.8+(45.5-520)+(-0.520098+(-0.023205--0.2652))+0-0-0</f>
        <v>545.02189699999997</v>
      </c>
      <c r="Q260" s="3">
        <f>1009.3+(57.2-511.5)+(-1.544229+(-0.087516--0.782595))+0-0-0</f>
        <v>554.15084999999999</v>
      </c>
      <c r="R260" s="3">
        <f>1009+(61-534)+(-1.54377+(-0.09333--0.81702))+0-0-0</f>
        <v>535.17992000000004</v>
      </c>
      <c r="S260" s="3">
        <f>1006.1+(48.8-531.1)+(-0.513111+(-0.024888--0.270861))+0-0-0</f>
        <v>523.53286199999991</v>
      </c>
      <c r="T260" s="3">
        <f>1004.6+(18.7-497)+(-0.512346+(-0.009537--0.25347))+0-0-0</f>
        <v>526.03158699999994</v>
      </c>
      <c r="U260" s="3">
        <f>1002.2+(8.6-483.8)+(0+(0-0))+0-0-0</f>
        <v>527</v>
      </c>
      <c r="V260" s="3">
        <f>993.2+(2-428)+(-2.53266+(-0.0051--1.0914))+0-0-0</f>
        <v>565.75364000000002</v>
      </c>
      <c r="W260" s="3">
        <f>1022.4+(62.7-395.4)+(0+(0-0))+0-0-0</f>
        <v>689.7</v>
      </c>
      <c r="X260" s="3">
        <f>1027.6+(136.3-446.4)+(-2.62038+(-0.347565--1.13832))+0-0-0</f>
        <v>715.67037500000004</v>
      </c>
      <c r="Y260" s="3">
        <f>1028.3+(125.1-453.6)+(-1.048866+(-0.127602--0.462672))+0-0-0</f>
        <v>699.08620399999995</v>
      </c>
      <c r="Z260" s="3">
        <f>1020.8+(123.8-462.8)+(-2.60304+(-0.31569--1.18014))+0-0-0</f>
        <v>680.06140999999991</v>
      </c>
      <c r="AA260" s="3">
        <f>1025.3+(129.5-506.9)+(-1.045806+(-0.13209--0.517038))+0-0-0</f>
        <v>647.23914200000002</v>
      </c>
      <c r="AB260" s="3">
        <f>1019.1+(85.6-507.3)+(-2.598705+(-0.21828--1.293615))+0-0-0</f>
        <v>595.87662999999998</v>
      </c>
      <c r="AC260" s="3">
        <f>1024.4+(74.8-567.5)+(-1.044888+(-0.076296--0.57885))+0-0-0</f>
        <v>531.15766600000006</v>
      </c>
      <c r="AD260">
        <f t="shared" si="4"/>
        <v>12900.619939</v>
      </c>
      <c r="AE260" s="3">
        <f>1014+(97.8-441.3)+(0+(0-0))+0-0-0</f>
        <v>670.5</v>
      </c>
    </row>
    <row r="261" spans="1:31" s="2" customFormat="1" x14ac:dyDescent="0.25">
      <c r="A261">
        <v>89</v>
      </c>
      <c r="B261">
        <v>9</v>
      </c>
      <c r="C261">
        <v>15</v>
      </c>
      <c r="D261">
        <v>3</v>
      </c>
      <c r="E261">
        <v>1</v>
      </c>
      <c r="F261" s="3">
        <f>909.1+(89-510)+(-1.390923+(-0.13617--0.7803))+0-0-0</f>
        <v>487.353207</v>
      </c>
      <c r="G261" s="3">
        <f>750.7+(97.9-410.8)+(-0.765714+(-0.099858--0.419016))+0-0-0</f>
        <v>437.35344400000008</v>
      </c>
      <c r="H261" s="3">
        <f>748.9+(80.9-402.1)+(-1.145817+(-0.123777--0.615213))+0-0-0</f>
        <v>427.04561899999993</v>
      </c>
      <c r="I261" s="3">
        <f>748.3+(74.8-395.1)+(-1.144899+(-0.114444--0.604503))+0-0-0</f>
        <v>427.34515999999996</v>
      </c>
      <c r="J261" s="3">
        <f>751.1+(69.7-396.1)+(-0.383061+(-0.035547--0.202011))+0-0-0</f>
        <v>424.48340300000001</v>
      </c>
      <c r="K261" s="3">
        <f>752.4+(58.4-376.5)+(0+(0-0))+0-0-0</f>
        <v>434.29999999999995</v>
      </c>
      <c r="L261" s="3">
        <f>751.6+(67.6-379.3)+(-0.383316+(-0.034476--0.193443))+0-0-0</f>
        <v>439.67565099999996</v>
      </c>
      <c r="M261" s="3">
        <f>762.1+(64.2-369)+(0+(0-0))+0-0-0</f>
        <v>457.3</v>
      </c>
      <c r="N261" s="3">
        <f>975.3+(12.5-479.5)+(0+(0-0))+0-0-0</f>
        <v>508.29999999999995</v>
      </c>
      <c r="O261" s="3">
        <f>1005.4+(11.8-486.1)+(1.538262+(0.018054-0.743733))+0-0-0</f>
        <v>531.91258299999993</v>
      </c>
      <c r="P261" s="3">
        <f>999.3+(1.9-459.7)+(-1.019286+(-0.001938--0.468894))+0-0-0</f>
        <v>540.94767000000002</v>
      </c>
      <c r="Q261" s="3">
        <f>995.3+(0-436.8)+(-1.522809+(0--0.668304))+0-0-0</f>
        <v>557.64549499999998</v>
      </c>
      <c r="R261" s="3">
        <f>957.3+(9.9-438.1)+(-3.417561+(-0.035343--1.564017))+0-0-0</f>
        <v>527.21111299999995</v>
      </c>
      <c r="S261" s="3">
        <f>858.8+(77.7-408.2)+(-0.437988+(-0.039627--0.208182))+0-0-0</f>
        <v>528.03056699999991</v>
      </c>
      <c r="T261" s="3">
        <f>856.6+(64.4-404.5)+(-1.310598+(-0.098532--0.618885))+0-0-0</f>
        <v>515.70975499999997</v>
      </c>
      <c r="U261" s="3">
        <f>856.2+(59.8-411.3)+(-1.309986+(-0.091494--0.629289))+0-0-0</f>
        <v>503.92780900000002</v>
      </c>
      <c r="V261" s="3">
        <f>858.4+(71.8-377.7)+(-1.313352+(-0.109854--0.577881))+0-0-0</f>
        <v>551.654675</v>
      </c>
      <c r="W261" s="3">
        <f>993.6+(52-355.9)+(0.506736+(0.02652-0.181509))+0-0-0</f>
        <v>690.05174700000009</v>
      </c>
      <c r="X261" s="3">
        <f>1009.9+(67.9-371.4)+(-1.030098+(-0.069258--0.378828))+0-0-0</f>
        <v>705.67947200000003</v>
      </c>
      <c r="Y261" s="3">
        <f>1000.6+(84-386.3)+(-3.572142+(-0.29988--1.379091))+0-0-0</f>
        <v>695.80706899999996</v>
      </c>
      <c r="Z261" s="3">
        <f>1011+(90.1-423.6)+(-1.54683+(-0.137853--0.648108))+0-0-0</f>
        <v>676.46342500000003</v>
      </c>
      <c r="AA261" s="3">
        <f>1013.6+(135.5-489.6)+(-1.550808+(-0.207315--0.749088))+0-0-0</f>
        <v>658.49096499999996</v>
      </c>
      <c r="AB261" s="3">
        <f>1010.5+(112.4-511.3)+(-2.06142+(-0.229296--1.043052))+0-0-0</f>
        <v>610.35233600000004</v>
      </c>
      <c r="AC261" s="3">
        <f>937.6+(112.2-499.4)+(-2.869056+(-0.343332--1.528164))+0-0-0</f>
        <v>548.71577600000012</v>
      </c>
      <c r="AD261">
        <f t="shared" si="4"/>
        <v>12885.756941</v>
      </c>
      <c r="AE261" s="3">
        <f>1011+(72.7-406.6)+(0+(0-0))+0-0-0</f>
        <v>677.09999999999991</v>
      </c>
    </row>
    <row r="262" spans="1:31" s="2" customFormat="1" x14ac:dyDescent="0.25">
      <c r="A262">
        <v>89</v>
      </c>
      <c r="B262">
        <v>9</v>
      </c>
      <c r="C262">
        <v>16</v>
      </c>
      <c r="D262">
        <v>4</v>
      </c>
      <c r="E262">
        <v>1</v>
      </c>
      <c r="F262" s="3">
        <f>881.2+(60.2-465.4)+(-1.348236+(-0.092106--0.712062))+0-0-0</f>
        <v>475.27172000000007</v>
      </c>
      <c r="G262" s="3">
        <f>875.1+(23.8-465.9)+(-0.892602+(-0.024276--0.475218))+0-0-0</f>
        <v>432.55834000000004</v>
      </c>
      <c r="H262" s="3">
        <f>781.6+(42.4-401.6)+(0+(0-0))+0-0-0</f>
        <v>422.4</v>
      </c>
      <c r="I262" s="3">
        <f>752.5+(38.4-374.8)+(-0.76755+(-0.039168--0.382296))+0-0-0</f>
        <v>415.67557799999997</v>
      </c>
      <c r="J262" s="3">
        <f>752.7+(30.6-370.7)+(-0.767754+(-0.031212--0.378114))+0-0-0</f>
        <v>412.17914800000005</v>
      </c>
      <c r="K262" s="3">
        <f>820.7+(21.4-421.8)+(-0.418557+(-0.010914--0.215118))+0-0-0</f>
        <v>420.08564699999999</v>
      </c>
      <c r="L262" s="3">
        <f>880.9+(17.1-459.4)+(-1.347777+(-0.026163--0.702882))+0-0-0</f>
        <v>437.92894200000001</v>
      </c>
      <c r="M262" s="3">
        <f>932.3+(14.7-486.3)+(0+(0-0))+0-0-0</f>
        <v>460.69999999999993</v>
      </c>
      <c r="N262" s="3">
        <f>1043.6+(41.5-575.3)+(-1.596708+(-0.063495--0.880209))+0-0-0</f>
        <v>509.02000599999997</v>
      </c>
      <c r="O262" s="3">
        <f>1129.9+(47-628.4)+(1.728747+(0.07191-0.961452))+0-0-0</f>
        <v>549.33920500000011</v>
      </c>
      <c r="P262" s="3">
        <f>1120.6+(41.2-600.3)+(-1.714518+(-0.063036--0.918459))+0-0-0</f>
        <v>560.64090499999998</v>
      </c>
      <c r="Q262" s="3">
        <f>1120.6+(37.5-585.1)+(-1.143012+(-0.03825--0.596802))+0-0-0</f>
        <v>572.41553999999985</v>
      </c>
      <c r="R262" s="3">
        <f>1122.4+(34.2-600.5)+(-1.144848+(-0.034884--0.61251))+0-0-0</f>
        <v>555.53277800000012</v>
      </c>
      <c r="S262" s="3">
        <f>1122.2+(35.3-622.4)+(-0.572322+(-0.018003--0.317424))+0-0-0</f>
        <v>534.82709899999998</v>
      </c>
      <c r="T262" s="3">
        <f>1061.9+(42.3-587.9)+(0.541569+(0.021573-0.299829))+0-0-0</f>
        <v>516.56331300000011</v>
      </c>
      <c r="U262" s="3">
        <f>966.7+(57.4-518.4)+(0.493017+(0.029274-0.264384))+0-0-0</f>
        <v>505.95790700000003</v>
      </c>
      <c r="V262" s="3">
        <f>1004.6+(13.2-463)+(-2.56173+(-0.03366--1.18065))+0-0-0</f>
        <v>553.3852599999999</v>
      </c>
      <c r="W262" s="3">
        <f>1156.2+(7.7-507.2)+(0+(0-0))+0-0-0</f>
        <v>656.7</v>
      </c>
      <c r="X262" s="3">
        <f>1145.5+(2.3-486.5)+(-3.50523+(-0.007038--1.48869))+0-0-0</f>
        <v>659.27642199999991</v>
      </c>
      <c r="Y262" s="3">
        <f>1148.9+(32.5-519.8)+(-2.343756+(-0.0663--1.060392))+0-0-0</f>
        <v>660.25033600000017</v>
      </c>
      <c r="Z262" s="3">
        <f>1152.4+(21.4-520.9)+(-1.763172+(-0.032742--0.796977))+0-0-0</f>
        <v>651.90106300000014</v>
      </c>
      <c r="AA262" s="3">
        <f>1152+(42.5-564.8)+(-1.76256+(-0.065025--0.864144))+0-0-0</f>
        <v>628.73655900000006</v>
      </c>
      <c r="AB262" s="3">
        <f>1110.4+(22.6-546.8)+(-2.265216+(-0.046104--1.115472))+0-0-0</f>
        <v>585.0041520000002</v>
      </c>
      <c r="AC262" s="3">
        <f>1000.7+(45.4-518.6)+(-2.551785+(-0.11577--1.32243))+0-0-0</f>
        <v>526.15487499999995</v>
      </c>
      <c r="AD262">
        <f t="shared" si="4"/>
        <v>12702.504795000001</v>
      </c>
      <c r="AE262" s="3">
        <f>1157+(0-494.9)+(0+(0-0))+0-0-0</f>
        <v>662.1</v>
      </c>
    </row>
    <row r="263" spans="1:31" s="2" customFormat="1" x14ac:dyDescent="0.25">
      <c r="A263">
        <v>89</v>
      </c>
      <c r="B263">
        <v>9</v>
      </c>
      <c r="C263">
        <v>17</v>
      </c>
      <c r="D263">
        <v>5</v>
      </c>
      <c r="E263">
        <v>1</v>
      </c>
      <c r="F263" s="3">
        <f>878.5+(81.8-469.9)+(-2.68821+(-0.250308--1.437894))+0-0-0</f>
        <v>488.89937600000002</v>
      </c>
      <c r="G263" s="3">
        <f>755.2+(61.3-364.3)+(-1.540608+(-0.125052--0.743172))+0-0-0</f>
        <v>451.27751200000006</v>
      </c>
      <c r="H263" s="3">
        <f>747.2+(49.9-362.5)+(-1.90536+(-0.127245--0.924375))+0-0-0</f>
        <v>433.49177000000003</v>
      </c>
      <c r="I263" s="3">
        <f>753.4+(36.2-356.1)+(0+(0-0))+0-0-0</f>
        <v>433.49999999999994</v>
      </c>
      <c r="J263" s="3">
        <f>754.1+(43.4-368)+(0.384591+(0.022134-0.18768))+0-0-0</f>
        <v>429.71904499999999</v>
      </c>
      <c r="K263" s="3">
        <f>810+(43.6-410.3)+(-0.8262+(-0.044472--0.418506))+0-0-0</f>
        <v>442.84783400000003</v>
      </c>
      <c r="L263" s="3">
        <f>984.8+(17.1-537)+(0+(0-0))+0-0-0</f>
        <v>464.9</v>
      </c>
      <c r="M263" s="3">
        <f>1057.1+(10.7-595.8)+(-1.078242+(-0.010914--0.607716))+0-0-0</f>
        <v>471.51855999999998</v>
      </c>
      <c r="N263" s="3">
        <f>1146.6+(0-633.9)+(-1.754298+(0--0.969867))+0-0-0</f>
        <v>511.91556899999995</v>
      </c>
      <c r="O263" s="3">
        <f>1150.2+(15.7-615)+(-1.173204+(-0.016014--0.6273))+0-0-0</f>
        <v>550.3380820000001</v>
      </c>
      <c r="P263" s="3">
        <f>1147.5+(43.2-621)+(-1.755675+(-0.066096--0.95013))+0-0-0</f>
        <v>568.82835900000009</v>
      </c>
      <c r="Q263" s="3">
        <f>1151.7+(36.6-610.6)+(-1.762101+(-0.055998--0.934218))+0-0-0</f>
        <v>576.81611900000007</v>
      </c>
      <c r="R263" s="3">
        <f>1146.9+(31.6-640.5)+(-2.924595+(-0.08058--1.633275))+0-0-0</f>
        <v>536.62810000000013</v>
      </c>
      <c r="S263" s="3">
        <f>1151+(33.3-645.9)+(-1.17402+(-0.033966--0.658818))+0-0-0</f>
        <v>537.85083199999997</v>
      </c>
      <c r="T263" s="3">
        <f>1146.7+(37-642.5)+(-1.169634+(-0.03774--0.65535))+0-0-0</f>
        <v>540.64797600000009</v>
      </c>
      <c r="U263" s="3">
        <f>1143.1+(21.7-641.8)+(-1.165962+(-0.022134--0.654636))+0-0-0</f>
        <v>522.46654000000001</v>
      </c>
      <c r="V263" s="3">
        <f>1133.9+(0-583.9)+(-2.313156+(0--1.191156))+0-0-0</f>
        <v>548.87800000000016</v>
      </c>
      <c r="W263" s="3">
        <f>1153.2+(7.2-482.6)+(-0.588132+(-0.003672--0.246126))+0-0-0</f>
        <v>677.45432199999993</v>
      </c>
      <c r="X263" s="3">
        <f>1156+(24.2-496.6)+(-1.76868+(-0.037026--0.759798))+0-0-0</f>
        <v>682.55409199999986</v>
      </c>
      <c r="Y263" s="3">
        <f>1084+(58-475.2)+(-2.21136+(-0.11832--0.969408))+0-0-0</f>
        <v>665.43972799999995</v>
      </c>
      <c r="Z263" s="3">
        <f>846.2+(190-384.1)+(0.431562+(0.0969-0.195891))+0-0-0</f>
        <v>652.43257100000005</v>
      </c>
      <c r="AA263" s="3">
        <f>751.1+(243.1-375.3)+(-0.766122+(-0.247962--0.382806))+0-0-0</f>
        <v>618.26872200000003</v>
      </c>
      <c r="AB263" s="3">
        <f>746.2+(267.9-437.3)+(-1.90281+(-0.683145--1.115115))+0-0-0</f>
        <v>575.32916</v>
      </c>
      <c r="AC263" s="3">
        <f>732.8+(204.5-413.8)+(-0.747456+(-0.20859--0.422076))+0-0-0</f>
        <v>522.96603000000005</v>
      </c>
      <c r="AD263">
        <f t="shared" si="4"/>
        <v>12904.968299</v>
      </c>
      <c r="AE263" s="3">
        <f>1160+(23.7-492.6)+(0+(0-0))+0-0-0</f>
        <v>691.09999999999991</v>
      </c>
    </row>
    <row r="264" spans="1:31" s="2" customFormat="1" x14ac:dyDescent="0.25">
      <c r="A264">
        <v>89</v>
      </c>
      <c r="B264">
        <v>9</v>
      </c>
      <c r="C264">
        <v>18</v>
      </c>
      <c r="D264">
        <v>6</v>
      </c>
      <c r="E264">
        <v>1</v>
      </c>
      <c r="F264" s="3">
        <f>636.4+(189.8-363.1)+(0.324564+(0.096798-0.185181))+0-0-0</f>
        <v>463.33618099999995</v>
      </c>
      <c r="G264" s="3">
        <f>628.5+(130.8-335.6)+(-0.320535+(-0.066708--0.171156))+0-0-0</f>
        <v>423.48391299999997</v>
      </c>
      <c r="H264" s="3">
        <f>628.1+(90.7-302.4)+(-0.320331+(-0.046257--0.154224))+0-0-0</f>
        <v>416.18763600000005</v>
      </c>
      <c r="I264" s="3">
        <f>629.5+(82.3-297.3)+(0+(0-0))+0-0-0</f>
        <v>414.5</v>
      </c>
      <c r="J264" s="3">
        <f>634.3+(75.5-305.6)+(0.970479+(0.115515-0.467568))+0-0-0</f>
        <v>404.81842599999993</v>
      </c>
      <c r="K264" s="3">
        <f>631.1+(86.5-305.8)+(0.321861+(0.044115-0.155958))+0-0-0</f>
        <v>412.010018</v>
      </c>
      <c r="L264" s="3">
        <f>624.7+(119.7-312.3)+(-1.274388+(-0.244188--0.637092))+0-0-0</f>
        <v>431.21851600000002</v>
      </c>
      <c r="M264" s="3">
        <f>627.2+(122.3-316.4)+(-0.639744+(-0.124746--0.322728))+0-0-0</f>
        <v>432.6582380000001</v>
      </c>
      <c r="N264" s="3">
        <f>712.5+(94.6-334.5)+(1.4535+(0.192984-0.68238))+0-0-0</f>
        <v>473.56410400000004</v>
      </c>
      <c r="O264" s="3">
        <f>756.9+(113.7-364)+(-0.386019+(-0.057987--0.18564))+0-0-0</f>
        <v>506.34163399999994</v>
      </c>
      <c r="P264" s="3">
        <f>760.2+(139.8-377.6)+(0.387702+(0.071298-0.192576))+0-0-0</f>
        <v>522.66642400000012</v>
      </c>
      <c r="Q264" s="3">
        <f>751.1+(147.8-367)+(-0.383061+(-0.075378--0.18717))+0-0-0</f>
        <v>531.62873100000013</v>
      </c>
      <c r="R264" s="3">
        <f>743+(131.6-359)+(-1.89465+(-0.33558--0.91545))+0-0-0</f>
        <v>514.28521999999998</v>
      </c>
      <c r="S264" s="3">
        <f>749.2+(130.7-378)+(-0.764184+(-0.133314--0.38556))+0-0-0</f>
        <v>501.38806200000005</v>
      </c>
      <c r="T264" s="3">
        <f>752+(116.1-372.5)+(-0.38352+(-0.059211--0.189975))+0-0-0</f>
        <v>495.34724400000005</v>
      </c>
      <c r="U264" s="3">
        <f>802.5+(61.9-365.4)+(-0.81855+(-0.063138--0.372708))+0-0-0</f>
        <v>498.49101999999999</v>
      </c>
      <c r="V264" s="3">
        <f>862.9+(43-379.7)+(0+(0-0))+0-0-0</f>
        <v>526.20000000000005</v>
      </c>
      <c r="W264" s="3">
        <f>887+(124.5-373.4)+(0.45237+(0.063495-0.190434))+0-0-0</f>
        <v>638.425431</v>
      </c>
      <c r="X264" s="3">
        <f>869.3+(181.6-377.1)+(0+(0-0))+0-0-0</f>
        <v>673.8</v>
      </c>
      <c r="Y264" s="3">
        <f>835.5+(178.7-356.1)+(-1.278315+(-0.273411--0.544833))+0-0-0</f>
        <v>657.09310699999992</v>
      </c>
      <c r="Z264" s="3">
        <f>835+(169.8-363.1)+(-0.8517+(-0.173196--0.370362))+0-0-0</f>
        <v>641.04546600000003</v>
      </c>
      <c r="AA264" s="3">
        <f>839.3+(137.5-361)+(0.428043+(0.070125-0.18411))+0-0-0</f>
        <v>616.114058</v>
      </c>
      <c r="AB264" s="3">
        <f>827.1+(105.1-361.5)+(-2.109105+(-0.268005--0.921825))+0-0-0</f>
        <v>569.24471500000004</v>
      </c>
      <c r="AC264" s="3">
        <f>809+(75.5-366.5)+(-3.30072+(-0.30804--1.49532))+0-0-0</f>
        <v>515.88656000000003</v>
      </c>
      <c r="AD264">
        <f t="shared" si="4"/>
        <v>12279.734704</v>
      </c>
      <c r="AE264" s="3">
        <f>907+(163.4-400.5)+(0+(0-0))+0-0-0</f>
        <v>669.9</v>
      </c>
    </row>
    <row r="265" spans="1:31" s="2" customFormat="1" x14ac:dyDescent="0.25">
      <c r="A265">
        <v>89</v>
      </c>
      <c r="B265">
        <v>9</v>
      </c>
      <c r="C265">
        <v>19</v>
      </c>
      <c r="D265">
        <v>7</v>
      </c>
      <c r="E265">
        <v>1</v>
      </c>
      <c r="F265" s="3">
        <f>732.1+(107.8-361.6)+(0+(0-0))+0-0-0</f>
        <v>478.3</v>
      </c>
      <c r="G265" s="3">
        <f>693.3+(55.4-310.3)+(-1.060749+(-0.084762--0.474759))+0-0-0</f>
        <v>437.72924799999998</v>
      </c>
      <c r="H265" s="3">
        <f>621.3+(84.3-289.9)+(-0.633726+(-0.085986--0.295698))+0-0-0</f>
        <v>415.27598599999999</v>
      </c>
      <c r="I265" s="3">
        <f>624.5+(64.6-283.6)+(0.318495+(0.032946-0.144636))+0-0-0</f>
        <v>405.70680499999997</v>
      </c>
      <c r="J265" s="3">
        <f>626.7+(68.4-300.2)+(-1.598085+(-0.17442--0.76551))+0-0-0</f>
        <v>393.89300500000007</v>
      </c>
      <c r="K265" s="3">
        <f>669.7+(60.9-336.1)+(0.341547+(0.031059-0.171411))+0-0-0</f>
        <v>394.70119499999998</v>
      </c>
      <c r="L265" s="3">
        <f>701.2+(66.7-365.9)+(-0.715224+(-0.068034--0.373218))+0-0-0</f>
        <v>401.58996000000008</v>
      </c>
      <c r="M265" s="3">
        <f>736.3+(61.1-416.7)+(-1.126539+(-0.093483--0.637551))+0-0-0</f>
        <v>380.11752899999999</v>
      </c>
      <c r="N265" s="3">
        <f>835.1+(49.4-476.6)+(-0.851802+(-0.050388--0.486132))+0-0-0</f>
        <v>407.48394199999996</v>
      </c>
      <c r="O265" s="3">
        <f>979.4+(1.8-536)+(-1.498482+(-0.002754--0.82008))+0-0-0</f>
        <v>444.51884399999994</v>
      </c>
      <c r="P265" s="3">
        <f>1003.6+(5.4-533.7)+(-2.047344+(-0.011016--1.088748))+0-0-0</f>
        <v>474.33038799999997</v>
      </c>
      <c r="Q265" s="3">
        <f>981.5+(23.8-522.8)+(-1.00113+(-0.024276--0.533256))+0-0-0</f>
        <v>482.00785000000008</v>
      </c>
      <c r="R265" s="3">
        <f>980.2+(19-522.1)+(-1.499706+(-0.02907--0.798813))+0-0-0</f>
        <v>476.37003700000002</v>
      </c>
      <c r="S265" s="3">
        <f>977.4+(28.9-549.6)+(-1.993896+(-0.058956--1.121184))+0-0-0</f>
        <v>455.76833199999993</v>
      </c>
      <c r="T265" s="3">
        <f>981.4+(28.2-570.5)+(-1.001028+(-0.028764--0.58191))+0-0-0</f>
        <v>438.65211800000003</v>
      </c>
      <c r="U265" s="3">
        <f>986.7+(24-577.8)+(0+(0-0))+0-0-0</f>
        <v>432.90000000000009</v>
      </c>
      <c r="V265" s="3">
        <f>963.2+(39.7-538.2)+(-2.45616+(-0.101235--1.37241))+0-0-0</f>
        <v>463.51501500000001</v>
      </c>
      <c r="W265" s="3">
        <f>989.9+(128.5-531.3)+(0.504849+(0.065535-0.270963))+0-0-0</f>
        <v>587.39942100000007</v>
      </c>
      <c r="X265" s="3">
        <f>1007+(166-557.9)+(-0.51357+(-0.08466--0.284529))+0-0-0</f>
        <v>614.78629899999999</v>
      </c>
      <c r="Y265" s="3">
        <f>1000.6+(177.9-564.5)+(-1.530918+(-0.272187--0.863685))+0-0-0</f>
        <v>613.06057999999996</v>
      </c>
      <c r="Z265" s="3">
        <f>995.8+(168-568.4)+(-0.507858+(-0.08568--0.289884))+0-0-0</f>
        <v>595.09634599999993</v>
      </c>
      <c r="AA265" s="3">
        <f>998.9+(161.4-578)+(0+(0-0))+0-0-0</f>
        <v>582.29999999999995</v>
      </c>
      <c r="AB265" s="3">
        <f>926.9+(178.4-556.6)+(-0.945438+(-0.181968--0.567732))+0-0-0</f>
        <v>548.14032599999996</v>
      </c>
      <c r="AC265" s="3">
        <f>839.6+(165.4-504.4)+(-2.569176+(-0.506124--1.543464))+0-0-0</f>
        <v>499.06816400000002</v>
      </c>
      <c r="AD265">
        <f t="shared" si="4"/>
        <v>11422.71139</v>
      </c>
      <c r="AE265" s="3">
        <f>981+(171.5-564.5)+(0+(0-0))+0-0-0</f>
        <v>588</v>
      </c>
    </row>
    <row r="266" spans="1:31" s="2" customFormat="1" x14ac:dyDescent="0.25">
      <c r="A266">
        <v>89</v>
      </c>
      <c r="B266">
        <v>9</v>
      </c>
      <c r="C266">
        <v>20</v>
      </c>
      <c r="D266">
        <v>1</v>
      </c>
      <c r="E266">
        <v>1</v>
      </c>
      <c r="F266" s="3">
        <f>843.5+(71.5-462)+(-1.290555+(-0.109395--0.70686))+0-0-0</f>
        <v>452.30691000000002</v>
      </c>
      <c r="G266" s="3">
        <f>837.4+(35.4-457.5)+(1.281222+(0.054162-0.699975))+0-0-0</f>
        <v>415.93540899999994</v>
      </c>
      <c r="H266" s="3">
        <f>748+(49.1-394.1)+(-0.76296+(-0.050082--0.401982))+0-0-0</f>
        <v>402.58893999999998</v>
      </c>
      <c r="I266" s="3">
        <f>753.2+(56.1-413.3)+(0+(0-0))+0-0-0</f>
        <v>396.00000000000006</v>
      </c>
      <c r="J266" s="3">
        <f>750.5+(48.3-405.6)+(-0.382755+(-0.024633--0.206856))+0-0-0</f>
        <v>392.99946799999998</v>
      </c>
      <c r="K266" s="3">
        <f>809.6+(38.2-436.1)+(2.06448+(0.09741-1.112055))+0-0-0</f>
        <v>412.74983499999996</v>
      </c>
      <c r="L266" s="3">
        <f>958+(5.3-517.9)+(-0.48858+(-0.002703--0.264129))+0-0-0</f>
        <v>445.17284599999999</v>
      </c>
      <c r="M266" s="3">
        <f>955.8+(1.4-501.3)+(-0.487458+(-0.000714--0.255663))+0-0-0</f>
        <v>455.66749099999993</v>
      </c>
      <c r="N266" s="3">
        <f>949.2+(49.2-506.7)+(0+(0-0))+0-0-0</f>
        <v>491.70000000000005</v>
      </c>
      <c r="O266" s="3">
        <f>940.3+(74.9-487.7)+(-0.959106+(-0.076398--0.497454))+0-0-0</f>
        <v>526.96195</v>
      </c>
      <c r="P266" s="3">
        <f>942.2+(82.5-477.5)+(0.480522+(0.042075-0.243525))+0-0-0</f>
        <v>547.47907200000009</v>
      </c>
      <c r="Q266" s="3">
        <f>928.8+(107.4-481.3)+(-2.36844+(-0.27387--1.227315))+0-0-0</f>
        <v>553.485005</v>
      </c>
      <c r="R266" s="3">
        <f>930.5+(89.8-493.4)+(-1.89822+(-0.183192--1.006536))+0-0-0</f>
        <v>525.82512400000007</v>
      </c>
      <c r="S266" s="3">
        <f>930.8+(77.8-492.4)+(-1.898832+(-0.158712--1.004496))+0-0-0</f>
        <v>515.14695200000006</v>
      </c>
      <c r="T266" s="3">
        <f>934.5+(46.4-434.1)+(1.90638+(0.094656-0.885564))+0-0-0</f>
        <v>547.91547199999991</v>
      </c>
      <c r="U266" s="3">
        <f>954.9+(39.6-456.4)+(-2.434995+(-0.10098--1.16382))+0-0-0</f>
        <v>536.727845</v>
      </c>
      <c r="V266" s="3">
        <f>947.6+(80.2-447.3)+(-1.449828+(-0.122706--0.684369))+0-0-0</f>
        <v>579.61183500000004</v>
      </c>
      <c r="W266" s="3">
        <f>869.5+(240.2-398.7)+(-1.330335+(-0.367506--0.610011))+0-0-0</f>
        <v>709.91216999999995</v>
      </c>
      <c r="X266" s="3">
        <f>793.2+(271.9-365.5)+(-1.618128+(-0.554676--0.74562))+0-0-0</f>
        <v>698.17281600000001</v>
      </c>
      <c r="Y266" s="3">
        <f>794.7+(217.8-329.8)+(-1.215891+(-0.333234--0.504594))+0-0-0</f>
        <v>681.65546900000004</v>
      </c>
      <c r="Z266" s="3">
        <f>795.8+(186.4-332.9)+(-1.623432+(-0.380256--0.679116))+0-0-0</f>
        <v>647.97542799999997</v>
      </c>
      <c r="AA266" s="3">
        <f>795+(217.4-389.5)+(-1.21635+(-0.332622--0.595935))+0-0-0</f>
        <v>621.94696299999998</v>
      </c>
      <c r="AB266" s="3">
        <f>792.4+(202.2-412.5)+(-1.616496+(-0.412488--0.8415))+0-0-0</f>
        <v>580.91251599999987</v>
      </c>
      <c r="AC266" s="3">
        <f>774.8+(207.7-447.2)+(-1.185444+(-0.317781--0.684216))+0-0-0</f>
        <v>534.4809909999999</v>
      </c>
      <c r="AD266">
        <f t="shared" si="4"/>
        <v>12673.330506999999</v>
      </c>
      <c r="AE266" s="3">
        <f>781+(307.4-400.1)+(0+(0-0))+0-0-0</f>
        <v>688.3</v>
      </c>
    </row>
    <row r="267" spans="1:31" s="2" customFormat="1" x14ac:dyDescent="0.25">
      <c r="A267">
        <v>89</v>
      </c>
      <c r="B267">
        <v>9</v>
      </c>
      <c r="C267">
        <v>21</v>
      </c>
      <c r="D267">
        <v>2</v>
      </c>
      <c r="E267">
        <v>1</v>
      </c>
      <c r="F267" s="3">
        <f>690.9+(167.9-408.7)+(-1.761795+(-0.428145--1.042185))+0-0-0</f>
        <v>448.952245</v>
      </c>
      <c r="G267" s="3">
        <f>693.9+(98.5-381.4)+(-0.353889+(-0.050235--0.194514))+0-0-0</f>
        <v>410.79039</v>
      </c>
      <c r="H267" s="3">
        <f>688+(78-364.3)+(-1.40352+(-0.15912--0.743172))+0-0-0</f>
        <v>400.88053200000002</v>
      </c>
      <c r="I267" s="3">
        <f>621.7+(76-311.9)+(0.951201+(0.11628-0.477207))+0-0-0</f>
        <v>386.39027400000009</v>
      </c>
      <c r="J267" s="3">
        <f>622.6+(72.9-308.8)+(1.58763+(0.185895-0.78744))+0-0-0</f>
        <v>387.68608500000005</v>
      </c>
      <c r="K267" s="3">
        <f>620.4+(80.4-316.4)+(0.949212+(0.123012-0.484092))+0-0-0</f>
        <v>384.98813199999995</v>
      </c>
      <c r="L267" s="3">
        <f>615.3+(90.7-305.9)+(-0.313803+(-0.046257--0.156009))+0-0-0</f>
        <v>399.89594899999997</v>
      </c>
      <c r="M267" s="3">
        <f>624.7+(96.7-302.8)+(-0.318597+(-0.049317--0.154428))+0-0-0</f>
        <v>418.38651400000003</v>
      </c>
      <c r="N267" s="3">
        <f>791.3+(47.2-398.1)+(0+(0-0))+0-0-0</f>
        <v>440.39999999999992</v>
      </c>
      <c r="O267" s="3">
        <f>869.1+(31.4-432.3)+(-1.329723+(-0.048042--0.661419))+0-0-0</f>
        <v>467.483654</v>
      </c>
      <c r="P267" s="3">
        <f>872.7+(23.7-403.1)+(-0.445077+(-0.012087--0.205581))+0-0-0</f>
        <v>493.04841700000003</v>
      </c>
      <c r="Q267" s="3">
        <f>869.8+(34.1-410.7)+(-1.330794+(-0.052173--0.628371))+0-0-0</f>
        <v>492.445404</v>
      </c>
      <c r="R267" s="3">
        <f>857.6+(47.2-417.7)+(-3.499008+(-0.192576--1.704216))+0-0-0</f>
        <v>485.11263200000002</v>
      </c>
      <c r="S267" s="3">
        <f>865.4+(25.7-407)+(-0.441354+(-0.013107--0.20757))+0-0-0</f>
        <v>483.85310899999996</v>
      </c>
      <c r="T267" s="3">
        <f>856.8+(12.3-381.2)+(-1.310904+(-0.018819--0.583236))+0-0-0</f>
        <v>487.15351299999998</v>
      </c>
      <c r="U267" s="3">
        <f>865.1+(11.4-387.8)+(1.323603+(0.017442-0.593334))+0-0-0</f>
        <v>489.44771099999997</v>
      </c>
      <c r="V267" s="3">
        <f>866.1+(18.3-365.6)+(-2.208555+(-0.046665--0.93228))+0-0-0</f>
        <v>517.47705999999994</v>
      </c>
      <c r="W267" s="3">
        <f>885.4+(115.7-360.5)+(0.451554+(0.059007-0.183855))+0-0-0</f>
        <v>640.92670599999985</v>
      </c>
      <c r="X267" s="3">
        <f>907.9+(140.3-375.5)+(-1.389087+(-0.214659--0.574515))+0-0-0</f>
        <v>671.67076900000006</v>
      </c>
      <c r="Y267" s="3">
        <f>878.4+(137.9-356.4)+(-1.343952+(-0.210987--0.545292))+0-0-0</f>
        <v>658.890353</v>
      </c>
      <c r="Z267" s="3">
        <f>878.9+(116.3-362.9)+(-0.896478+(-0.118626--0.370158))+0-0-0</f>
        <v>631.65505399999995</v>
      </c>
      <c r="AA267" s="3">
        <f>878.6+(160.5-437.9)+(0+(0-0))+0-0-0</f>
        <v>601.20000000000005</v>
      </c>
      <c r="AB267" s="3">
        <f>870+(140.1-434.9)+(-1.3311+(-0.214353--0.665397))+0-0-0</f>
        <v>574.31994400000008</v>
      </c>
      <c r="AC267" s="3">
        <f>871.5+(65.2-408.6)+(-0.88893+(-0.066504--0.416772))+0-0-0</f>
        <v>527.56133799999986</v>
      </c>
      <c r="AD267">
        <f t="shared" si="4"/>
        <v>11900.615785000004</v>
      </c>
      <c r="AE267" s="3">
        <f>908+(150.4-413.2)+(0+(0-0))+0-0-0</f>
        <v>645.20000000000005</v>
      </c>
    </row>
    <row r="268" spans="1:31" s="2" customFormat="1" x14ac:dyDescent="0.25">
      <c r="A268">
        <v>89</v>
      </c>
      <c r="B268">
        <v>9</v>
      </c>
      <c r="C268">
        <v>22</v>
      </c>
      <c r="D268">
        <v>3</v>
      </c>
      <c r="E268">
        <v>1</v>
      </c>
      <c r="F268" s="3">
        <f>863+(53.4-465.3)+(-2.64078+(-0.163404--1.423818))+0-0-0</f>
        <v>449.71963399999999</v>
      </c>
      <c r="G268" s="3">
        <f>725.6+(49.9-370.6)+(-2.590392+(-0.178143--1.323042))+0-0-0</f>
        <v>403.45450699999998</v>
      </c>
      <c r="H268" s="3">
        <f>688.2+(36.9-341.2)+(-1.052946+(-0.056457--0.522036))+0-0-0</f>
        <v>383.31263300000006</v>
      </c>
      <c r="I268" s="3">
        <f>692.3+(33-344.3)+(0+(0-0))+0-0-0</f>
        <v>380.99999999999994</v>
      </c>
      <c r="J268" s="3">
        <f>691.5+(24.9-332.4)+(-0.352665+(-0.012699--0.169524))+0-0-0</f>
        <v>383.80416000000002</v>
      </c>
      <c r="K268" s="3">
        <f>695.3+(25.3-335.4)+(0.709206+(0.025806-0.342108))+0-0-0</f>
        <v>385.59290399999998</v>
      </c>
      <c r="L268" s="3">
        <f>690.1+(31.2-324.8)+(-0.703902+(-0.031824--0.331296))+0-0-0</f>
        <v>396.09557000000001</v>
      </c>
      <c r="M268" s="3">
        <f>704.6+(62.9-364.2)+(0.359346+(0.032079-0.185742))+0-0-0</f>
        <v>403.50568300000003</v>
      </c>
      <c r="N268" s="3">
        <f>911+(12.8-468.1)+(-0.92922+(-0.013056--0.477462))+0-0-0</f>
        <v>455.235186</v>
      </c>
      <c r="O268" s="3">
        <f>909.6+(38.8-435.4)+(0+(0-0))+0-0-0</f>
        <v>513</v>
      </c>
      <c r="P268" s="3">
        <f>905+(49.7-414.5)+(0+(0-0))+0-0-0</f>
        <v>540.20000000000005</v>
      </c>
      <c r="Q268" s="3">
        <f>909.6+(32.1-393)+(0+(0-0))+0-0-0</f>
        <v>548.70000000000005</v>
      </c>
      <c r="R268" s="3">
        <f>863.9+(29.6-327.3)+(0+(0-0))+0-0-0</f>
        <v>566.20000000000005</v>
      </c>
      <c r="S268" s="3">
        <f>854.9+(16.6-301.7)+(0+(0-0))+0-0-0</f>
        <v>569.79999999999995</v>
      </c>
      <c r="T268" s="3">
        <f>874.6+(22.3-345.7)+(0+(0-0))+0-0-0</f>
        <v>551.20000000000005</v>
      </c>
      <c r="U268" s="3">
        <f>901.1+(15.2-369.7)+(0+(0-0))+0-0-0</f>
        <v>546.6</v>
      </c>
      <c r="V268" s="3">
        <f>904.2+(15.6-354.9)+(0+(0-0))+0-0-0</f>
        <v>564.90000000000009</v>
      </c>
      <c r="W268" s="3">
        <f>925.2+(82.5-315.1)+(0+(0-0))+0-0-0</f>
        <v>692.6</v>
      </c>
      <c r="X268" s="3">
        <f>925.5+(126.6-347.5)+(0+(0-0))+0-0-0</f>
        <v>704.6</v>
      </c>
      <c r="Y268" s="3">
        <f>922.8+(113.8-353.2)+(0+(0-0))+0-0-0</f>
        <v>683.4</v>
      </c>
      <c r="Z268" s="3">
        <f>925.3+(96.2-373)+(0+(0-0))+0-0-0</f>
        <v>648.5</v>
      </c>
      <c r="AA268" s="3">
        <f>928.1+(108.3-416.8)+(0+(0-0))+0-0-0</f>
        <v>619.6</v>
      </c>
      <c r="AB268" s="3">
        <f>928.9+(60.9-407.2)+(0+(0-0))+0-0-0</f>
        <v>582.59999999999991</v>
      </c>
      <c r="AC268" s="3">
        <f>931.3+(50-426)+(0+(0-0))+0-0-0</f>
        <v>555.29999999999995</v>
      </c>
      <c r="AD268">
        <f t="shared" si="4"/>
        <v>12528.920277000001</v>
      </c>
      <c r="AE268" s="3">
        <f>919+(126.6-379.6)+(0+(0-0))+0-0-0</f>
        <v>666</v>
      </c>
    </row>
    <row r="269" spans="1:31" s="2" customFormat="1" x14ac:dyDescent="0.25">
      <c r="A269">
        <v>89</v>
      </c>
      <c r="B269">
        <v>9</v>
      </c>
      <c r="C269">
        <v>23</v>
      </c>
      <c r="D269">
        <v>4</v>
      </c>
      <c r="E269">
        <v>1</v>
      </c>
      <c r="F269" s="3">
        <f>822.6+(57.7-398.5)+(0+(0-0))+0-0-0</f>
        <v>481.8</v>
      </c>
      <c r="G269" s="3">
        <f>816.4+(32.1-415.4)+(0+(0-0))+0-0-0</f>
        <v>433.1</v>
      </c>
      <c r="H269" s="3">
        <f>793.7+(23.6-400.6)+(0+(0-0))+0-0-0</f>
        <v>416.70000000000005</v>
      </c>
      <c r="I269" s="3">
        <f>728.9+(40.3-356.5)+(0+(0-0))+0-0-0</f>
        <v>412.7</v>
      </c>
      <c r="J269" s="3">
        <f>757.4+(27.5-376.5)+(0+(0-0))+0-0-0</f>
        <v>408.4</v>
      </c>
      <c r="K269" s="3">
        <f>759+(30.5-385.9)+(0+(0-0))+0-0-0</f>
        <v>403.6</v>
      </c>
      <c r="L269" s="3">
        <f>756.1+(40-368.8)+(0+(0-0))+0-0-0</f>
        <v>427.3</v>
      </c>
      <c r="M269" s="3">
        <f>881.5+(13.7-451.3)+(0+(0-0))+0-0-0</f>
        <v>443.9</v>
      </c>
      <c r="N269" s="3">
        <f>996+(6.4-521.6)+(0+(0-0))+0-0-0</f>
        <v>480.79999999999995</v>
      </c>
      <c r="O269" s="3">
        <f>998.3+(7.3-497.1)+(0+(0-0))+0-0-0</f>
        <v>508.49999999999994</v>
      </c>
      <c r="P269" s="3">
        <f>1004.2+(24-514.8)+(0+(0-0))+0-0-0</f>
        <v>513.40000000000009</v>
      </c>
      <c r="Q269" s="3">
        <f>979.7+(11.1-453.4)+(0+(0-0))+0-0-0</f>
        <v>537.40000000000009</v>
      </c>
      <c r="R269" s="3">
        <f>969.5+(9.3-469.1)+(-2.472225+(-0.023715--1.196205))+0-0-0</f>
        <v>508.40026499999999</v>
      </c>
      <c r="S269" s="3">
        <f>979.6+(12.8-486.5)+(-0.499596+(-0.006528--0.248115))+0-0-0</f>
        <v>505.64199100000002</v>
      </c>
      <c r="T269" s="3">
        <f>975.3+(2.5-480.1)+(-1.492209+(-0.003825--0.734553))+0-0-0</f>
        <v>496.93851899999993</v>
      </c>
      <c r="U269" s="3">
        <f>964.7+(10.5-474.4)+(-2.459985+(-0.026775--1.20972))+0-0-0</f>
        <v>499.52296000000007</v>
      </c>
      <c r="V269" s="3">
        <f>961.2+(24.8-460.5)+(-2.45106+(-0.06324--1.174275))+0-0-0</f>
        <v>524.15997500000003</v>
      </c>
      <c r="W269" s="3">
        <f>977.2+(74.5-382.6)+(-0.996744+(-0.07599--0.390252))+0-0-0</f>
        <v>668.41751799999997</v>
      </c>
      <c r="X269" s="3">
        <f>999.2+(126.7-449.6)+(-2.54796+(-0.323085--1.14648))+0-0-0</f>
        <v>674.57543499999997</v>
      </c>
      <c r="Y269" s="3">
        <f>1002+(111-465)+(-0.51102+(-0.05661--0.23715))+0-0-0</f>
        <v>647.66952000000003</v>
      </c>
      <c r="Z269" s="3">
        <f>996.7+(105.3-476.5)+(-2.033268+(-0.214812--0.97206))+0-0-0</f>
        <v>624.22397999999998</v>
      </c>
      <c r="AA269" s="3">
        <f>944.4+(103.4-466.1)+(0+(0-0))+0-0-0</f>
        <v>581.69999999999993</v>
      </c>
      <c r="AB269" s="3">
        <f>921.5+(89.1-468.1)+(-1.87986+(-0.181764--0.954924))+0-0-0</f>
        <v>541.39329999999995</v>
      </c>
      <c r="AC269" s="3">
        <f>926.6+(71.4-477.2)+(-0.472566+(-0.036414--0.243372))+0-0-0</f>
        <v>520.53439200000003</v>
      </c>
      <c r="AD269">
        <f t="shared" si="4"/>
        <v>12260.777855000002</v>
      </c>
      <c r="AE269" s="3">
        <f>990+(97.3-393.2)+(0+(0-0))+0-0-0</f>
        <v>694.1</v>
      </c>
    </row>
    <row r="270" spans="1:31" s="2" customFormat="1" x14ac:dyDescent="0.25">
      <c r="A270">
        <v>89</v>
      </c>
      <c r="B270">
        <v>9</v>
      </c>
      <c r="C270">
        <v>24</v>
      </c>
      <c r="D270">
        <v>5</v>
      </c>
      <c r="E270">
        <v>5</v>
      </c>
      <c r="F270" s="3">
        <f>924.1+(43.8-483.6)+(-0.942582+(-0.044676--0.493272))+0-0-0</f>
        <v>483.806014</v>
      </c>
      <c r="G270" s="3">
        <f>912.5+(22-486.8)+(0.93075+(0.02244-0.496536))+0-0-0</f>
        <v>448.156654</v>
      </c>
      <c r="H270" s="3">
        <f>812+(30.6-419.3)+(0+(0-0))+0-0-0</f>
        <v>423.3</v>
      </c>
      <c r="I270" s="3">
        <f>668.5+(59.3-325)+(0.340935+(0.030243-0.16575))+0-0-0</f>
        <v>403.00542799999999</v>
      </c>
      <c r="J270" s="3">
        <f>655.2+(57.5-324.1)+(0.334152+(0.029325-0.165291))+0-0-0</f>
        <v>388.79818600000004</v>
      </c>
      <c r="K270" s="3">
        <f>676.2+(57.5-336.9)+(-0.344862+(-0.029325--0.171819))+0-0-0</f>
        <v>396.59763200000009</v>
      </c>
      <c r="L270" s="3">
        <f>709.8+(60.4-374.4)+(-0.361998+(-0.030804--0.190944))+0-0-0</f>
        <v>395.59814199999994</v>
      </c>
      <c r="M270" s="3">
        <f>713.4+(93.7-441.9)+(-0.727668+(-0.095574--0.450738))+0-0-0</f>
        <v>364.827496</v>
      </c>
      <c r="N270" s="3">
        <f>838.8+(61.7-506.6)+(0.855576+(0.062934-0.516732))+0-0-0</f>
        <v>394.3017779999999</v>
      </c>
      <c r="O270" s="3">
        <f>927.2+(44.2-546)+(0.472872+(0.022542-0.27846))+0-0-0</f>
        <v>425.61695400000002</v>
      </c>
      <c r="P270" s="3">
        <f>912.6+(69.6-543.8)+(-1.861704+(-0.141984--1.109352))+0-0-0</f>
        <v>437.50566400000008</v>
      </c>
      <c r="Q270" s="3">
        <f>911.4+(67.5-536.6)+(-2.32407+(-0.172125--1.36833))+0-0-0</f>
        <v>441.17213499999997</v>
      </c>
      <c r="R270" s="3">
        <f>826.5+(80.4-466.3)+(-0.84303+(-0.082008--0.475626))+0-0-0</f>
        <v>440.15058800000003</v>
      </c>
      <c r="S270" s="3">
        <f>619.6+(150.3-355.1)+(-0.947988+(-0.229959--0.543303))+0-0-0</f>
        <v>414.16535600000003</v>
      </c>
      <c r="T270" s="3">
        <f>610.8+(156-353.1)+(-1.246032+(-0.31824--0.720324))+0-0-0</f>
        <v>412.85605199999992</v>
      </c>
      <c r="U270" s="3">
        <f>611.8+(162.2-378.1)+(-0.936054+(-0.248166--0.578493))+0-0-0</f>
        <v>395.29427299999992</v>
      </c>
      <c r="V270" s="3">
        <f>635+(140.3-368.9)+(0.6477+(0.143106-0.376278))+0-0-0</f>
        <v>406.81452800000005</v>
      </c>
      <c r="W270" s="3">
        <f>664.3+(189.4-307.4)+(-0.338793+(-0.096594--0.156774))+0-0-0</f>
        <v>546.021387</v>
      </c>
      <c r="X270" s="3">
        <f>659.5+(243.6-340.5)+(-2.01807+(-0.745416--1.04193))+0-0-0</f>
        <v>560.87844400000006</v>
      </c>
      <c r="Y270" s="3">
        <f>659.4+(187.6-301.1)+(-1.345176+(-0.382704--0.614244))+0-0-0</f>
        <v>544.78636399999994</v>
      </c>
      <c r="Z270" s="3">
        <f>663.7+(162.1-292.2)+(0.338487+(0.082671-0.149022))+0-0-0</f>
        <v>533.87213600000007</v>
      </c>
      <c r="AA270" s="3">
        <f>781.3+(169.4-441.5)+(-0.398463+(-0.086394--0.225165))+0-0-0</f>
        <v>508.94030799999996</v>
      </c>
      <c r="AB270" s="3">
        <f>810.6+(130.6-486.5)+(-0.826812+(-0.133212--0.49623))+0-0-0</f>
        <v>454.23620600000004</v>
      </c>
      <c r="AC270" s="3">
        <f>808.2+(110.8-440.9)+(-1.236546+(-0.169524--0.674577))+0-0-0</f>
        <v>477.36850700000008</v>
      </c>
      <c r="AD270">
        <f t="shared" si="4"/>
        <v>10698.070231999998</v>
      </c>
      <c r="AE270" s="3">
        <f>659+(243-349.6)+(0+(0-0))+0-0-0</f>
        <v>552.4</v>
      </c>
    </row>
    <row r="271" spans="1:31" s="2" customFormat="1" x14ac:dyDescent="0.25">
      <c r="A271">
        <v>89</v>
      </c>
      <c r="B271">
        <v>9</v>
      </c>
      <c r="C271">
        <v>25</v>
      </c>
      <c r="D271">
        <v>6</v>
      </c>
      <c r="E271">
        <v>5</v>
      </c>
      <c r="F271" s="3">
        <f>734.2+(90.2-376.1)+(-1.497768+(-0.184008--0.767244))+0-0-0</f>
        <v>447.385468</v>
      </c>
      <c r="G271" s="3">
        <f>607.3+(87-287.2)+(-0.929169+(-0.13311--0.439416))+0-0-0</f>
        <v>406.47713699999997</v>
      </c>
      <c r="H271" s="3">
        <f>570.9+(84.6-273.8)+(-0.582318+(-0.086292--0.279276))+0-0-0</f>
        <v>381.31066599999991</v>
      </c>
      <c r="I271" s="3">
        <f>568.2+(75-270.7)+(-1.44891+(-0.19125--0.690285))+0-0-0</f>
        <v>371.55012500000004</v>
      </c>
      <c r="J271" s="3">
        <f>568.5+(72.2-280.5)+(-0.57987+(-0.073644--0.28611))+0-0-0</f>
        <v>359.83259599999997</v>
      </c>
      <c r="K271" s="3">
        <f>553.2+(65.8-255.5)+(0+(0-0))+0-0-0</f>
        <v>363.50000000000006</v>
      </c>
      <c r="L271" s="3">
        <f>548.8+(72.8-258.2)+(-1.119552+(-0.148512--0.526728))+0-0-0</f>
        <v>362.65866399999999</v>
      </c>
      <c r="M271" s="3">
        <f>550.2+(63-286.2)+(-0.561204+(-0.06426--0.291924))+0-0-0</f>
        <v>326.66646000000003</v>
      </c>
      <c r="N271" s="3">
        <f>551.3+(87.5-300.3)+(-0.281163+(-0.044625--0.153153))+0-0-0</f>
        <v>338.32736499999993</v>
      </c>
      <c r="O271" s="3">
        <f>556.5+(94.9-302.4)+(0.56763+(0.096798-0.308448))+0-0-0</f>
        <v>349.35597999999999</v>
      </c>
      <c r="P271" s="3">
        <f>553.5+(93.4-314.2)+(-1.975995+(-0.333438--1.121694))+0-0-0</f>
        <v>331.51226100000002</v>
      </c>
      <c r="Q271" s="3">
        <f>560.2+(64.5-311.3)+(-0.571404+(-0.06579--0.317526))+0-0-0</f>
        <v>313.08033200000006</v>
      </c>
      <c r="R271" s="3">
        <f>562.5+(61.4-297.1)+(0.286875+(0.031314-0.151521))+0-0-0</f>
        <v>326.96666799999997</v>
      </c>
      <c r="S271" s="3">
        <f>573+(72.8-317.5)+(-0.58446+(-0.074256--0.32385))+0-0-0</f>
        <v>327.96513400000003</v>
      </c>
      <c r="T271" s="3">
        <f>709.1+(31.7-394.2)+(-1.808205+(-0.080835--1.00521))+0-0-0</f>
        <v>345.71617000000003</v>
      </c>
      <c r="U271" s="3">
        <f>721.9+(34.9-407.8)+(0+(0-0))+0-0-0</f>
        <v>348.99999999999994</v>
      </c>
      <c r="V271" s="3">
        <f>719.4+(36.5-378)+(-1.100682+(-0.055845--0.57834))+0-0-0</f>
        <v>377.32181299999996</v>
      </c>
      <c r="W271" s="3">
        <f>749.5+(78.9-337.1)+(-1.911225+(-0.201195--0.859605))+0-0-0</f>
        <v>490.04718499999996</v>
      </c>
      <c r="X271" s="3">
        <f>811.4+(111.2-391)+(-0.827628+(-0.113424--0.39882))+0-0-0</f>
        <v>531.0577679999999</v>
      </c>
      <c r="Y271" s="3">
        <f>750.2+(119.6-354)+(0+(0-0))+0-0-0</f>
        <v>515.80000000000007</v>
      </c>
      <c r="Z271" s="3">
        <f>698.4+(155.8-347.3)+(-1.068552+(-0.238374--0.531369))+0-0-0</f>
        <v>506.12444299999999</v>
      </c>
      <c r="AA271" s="3">
        <f>731.8+(177.2-410.9)+(0.373218+(0.090372-0.209559))+0-0-0</f>
        <v>498.35403099999996</v>
      </c>
      <c r="AB271" s="3">
        <f>738.7+(180.9-431)+(-0.753474+(-0.184518--0.43962))+0-0-0</f>
        <v>488.10162800000001</v>
      </c>
      <c r="AC271" s="3">
        <f>734.4+(151.4-428.1)+(-0.749088+(-0.154428--0.436662))+0-0-0</f>
        <v>457.23314599999992</v>
      </c>
      <c r="AD271">
        <f t="shared" si="4"/>
        <v>9565.3450400000002</v>
      </c>
      <c r="AE271" s="3">
        <f>786+(114.7-406.6)+(0+(0-0))+0-0-0</f>
        <v>494.09999999999997</v>
      </c>
    </row>
    <row r="272" spans="1:31" s="2" customFormat="1" x14ac:dyDescent="0.25">
      <c r="A272">
        <v>89</v>
      </c>
      <c r="B272">
        <v>9</v>
      </c>
      <c r="C272">
        <v>26</v>
      </c>
      <c r="D272">
        <v>7</v>
      </c>
      <c r="E272">
        <v>1</v>
      </c>
      <c r="F272" s="3">
        <f>705.2+(106-395.4)+(-1.078956+(-0.16218--0.604962))+0-0-0</f>
        <v>415.16382600000009</v>
      </c>
      <c r="G272" s="3">
        <f>614.8+(84.7-320.5)+(0+(0-0))+0-0-0</f>
        <v>378.99999999999994</v>
      </c>
      <c r="H272" s="3">
        <f>606.9+(63-311.6)+(-2.166633+(-0.22491--1.112412))+0-0-0</f>
        <v>357.02086899999995</v>
      </c>
      <c r="I272" s="3">
        <f>613.7+(45.5-317.4)+(0+(0-0))+0-0-0</f>
        <v>341.80000000000007</v>
      </c>
      <c r="J272" s="3">
        <f>614.7+(44.9-314)+(0+(0-0))+0-0-0</f>
        <v>345.6</v>
      </c>
      <c r="K272" s="3">
        <f>616.3+(49.9-308.1)+(0.942939+(0.076347-0.471393))+0-0-0</f>
        <v>358.6478929999999</v>
      </c>
      <c r="L272" s="3">
        <f>613.5+(75.8-320.8)+(-0.938655+(-0.115974--0.490824))+0-0-0</f>
        <v>367.936195</v>
      </c>
      <c r="M272" s="3">
        <f>611.7+(73.1-353.6)+(-0.935901+(-0.111843--0.541008))+0-0-0</f>
        <v>330.69326400000006</v>
      </c>
      <c r="N272" s="3">
        <f>615.6+(108.4-361)+(0+(0-0))+0-0-0</f>
        <v>363</v>
      </c>
      <c r="O272" s="3">
        <f>664+(112.4-370.8)+(0.33864+(0.057324-0.189108))+0-0-0</f>
        <v>405.80685600000004</v>
      </c>
      <c r="P272" s="3">
        <f>742.2+(70.3-366.3)+(-1.89261+(-0.179265--0.934065))+0-0-0</f>
        <v>445.06219000000004</v>
      </c>
      <c r="Q272" s="3">
        <f>773.6+(72.8-384.4)+(-0.789072+(-0.074256--0.392088))+0-0-0</f>
        <v>461.52876000000003</v>
      </c>
      <c r="R272" s="3">
        <f>788.5+(57.8-385.4)+(-0.402135+(-0.029478--0.196554))+0-0-0</f>
        <v>460.66494100000006</v>
      </c>
      <c r="S272" s="3">
        <f>785.9+(38.3-377)+(-1.202427+(-0.058599--0.57681))+0-0-0</f>
        <v>446.515784</v>
      </c>
      <c r="T272" s="3">
        <f>767.3+(40.1-363.1)+(-1.173969+(-0.061353--0.555543))+0-0-0</f>
        <v>443.62022099999996</v>
      </c>
      <c r="U272" s="3">
        <f>744.9+(42.6-354.3)+(-1.139697+(-0.065178--0.542079))+0-0-0</f>
        <v>432.53720399999997</v>
      </c>
      <c r="V272" s="3">
        <f>783.3+(28.4-370.4)+(-1.198449+(-0.043452--0.566712))+0-0-0</f>
        <v>440.62481099999997</v>
      </c>
      <c r="W272" s="3">
        <f>790+(87.2-306.6)+(-0.4029+(-0.044472--0.156366))+0-0-0</f>
        <v>570.30899399999987</v>
      </c>
      <c r="X272" s="3">
        <f>797.4+(106.6-321.2)+(-1.626696+(-0.217464--0.655248))+0-0-0</f>
        <v>581.611088</v>
      </c>
      <c r="Y272" s="3">
        <f>799.1+(98.2-321.4)+(-1.222623+(-0.150246--0.491742))+0-0-0</f>
        <v>575.0188730000001</v>
      </c>
      <c r="Z272" s="3">
        <f>793.9+(94.4-320.9)+(-1.619556+(-0.192576--0.654636))+0-0-0</f>
        <v>566.24250399999994</v>
      </c>
      <c r="AA272" s="3">
        <f>792.1+(124.4-361.9)+(-0.807942+(-0.126888--0.369138))+0-0-0</f>
        <v>554.03430800000001</v>
      </c>
      <c r="AB272" s="3">
        <f>789.5+(104.6-367.8)+(-2.013225+(-0.26673--0.93789))+0-0-0</f>
        <v>524.95793499999991</v>
      </c>
      <c r="AC272" s="3">
        <f>762.2+(113.3-377.8)+(-1.166166+(-0.173349--0.578034))+0-0-0</f>
        <v>496.93851900000004</v>
      </c>
      <c r="AD272">
        <f t="shared" si="4"/>
        <v>10664.335035</v>
      </c>
      <c r="AE272" s="3">
        <f>792+(111-316.6)+(0+(0-0))+0-0-0</f>
        <v>586.4</v>
      </c>
    </row>
    <row r="273" spans="1:31" s="2" customFormat="1" x14ac:dyDescent="0.25">
      <c r="A273">
        <v>89</v>
      </c>
      <c r="B273">
        <v>9</v>
      </c>
      <c r="C273">
        <v>27</v>
      </c>
      <c r="D273">
        <v>1</v>
      </c>
      <c r="E273">
        <v>1</v>
      </c>
      <c r="F273" s="3">
        <f>617.7+(123.3-297.3)+(-0.945081+(-0.188649--0.454869))+0-0-0</f>
        <v>443.02113900000006</v>
      </c>
      <c r="G273" s="3">
        <f>613.9+(98.8-293.1)+(-1.565445+(-0.25194--0.747405))+0-0-0</f>
        <v>418.53001999999998</v>
      </c>
      <c r="H273" s="3">
        <f>617.5+(88.6-305.6)+(-0.62985+(-0.090372--0.311712))+0-0-0</f>
        <v>400.09149000000002</v>
      </c>
      <c r="I273" s="3">
        <f>616.2+(75.9-290.9)+(-0.628524+(-0.077418--0.296718))+0-0-0</f>
        <v>400.79077600000005</v>
      </c>
      <c r="J273" s="3">
        <f>696.2+(62.5-379.2)+(0+(0-0))+0-0-0</f>
        <v>379.50000000000006</v>
      </c>
      <c r="K273" s="3">
        <f>781.4+(54.7-432.8)+(-0.797028+(-0.055794--0.441456))+0-0-0</f>
        <v>402.88863399999997</v>
      </c>
      <c r="L273" s="3">
        <f>784.4+(54.1-411.9)+(0+(0-0))+0-0-0</f>
        <v>426.6</v>
      </c>
      <c r="M273" s="3">
        <f>777.3+(67.9-400.3)+(0+(0-0))+0-0-0</f>
        <v>444.9</v>
      </c>
      <c r="N273" s="3">
        <f>803.7+(57.8-377.1)+(0+(0-0))+0-0-0</f>
        <v>484.40000000000003</v>
      </c>
      <c r="O273" s="3">
        <f>880.3+(44.2-398)+(0+(0-0))+0-0-0</f>
        <v>526.5</v>
      </c>
      <c r="P273" s="3">
        <f>963.4+(46.9-387.3)+(0+(0-0))+0-0-0</f>
        <v>623</v>
      </c>
      <c r="Q273" s="3">
        <f>941.4+(37.4-398.6)+(0+(0-0))+0-0-0</f>
        <v>580.19999999999993</v>
      </c>
      <c r="R273" s="3">
        <f>953.3+(16-438.7)+(-0.486183+(-0.00816--0.223737))+0-0-0</f>
        <v>530.32939399999987</v>
      </c>
      <c r="S273" s="3">
        <f>951+(20.1-460)+(-0.48501+(-0.010251--0.2346))+0-0-0</f>
        <v>510.839339</v>
      </c>
      <c r="T273" s="3">
        <f>950.6+(18.1-463.2)+(0+(0-0))+0-0-0</f>
        <v>505.50000000000006</v>
      </c>
      <c r="U273" s="3">
        <f>908.1+(33.9-454.9)+(1.389393+(0.051867-0.695997))+0-0-0</f>
        <v>487.84526300000005</v>
      </c>
      <c r="V273" s="3">
        <f>939+(24.6-438.3)+(0.95778+(0.025092-0.447066))+0-0-0</f>
        <v>525.83580599999993</v>
      </c>
      <c r="W273" s="3">
        <f>946.6+(89-395.8)+(0+(0-0))+0-0-0</f>
        <v>639.79999999999995</v>
      </c>
      <c r="X273" s="3">
        <f>964.2+(107-406.4)+(-0.491742+(-0.05457--0.207264))+0-0-0</f>
        <v>664.46095200000002</v>
      </c>
      <c r="Y273" s="3">
        <f>964.7+(96.1-412.8)+(-2.459985+(-0.245055--1.05264))+0-0-0</f>
        <v>646.34760000000006</v>
      </c>
      <c r="Z273" s="3">
        <f>975.3+(84.4-442)+(0.497403+(0.043044-0.22542))+0-0-0</f>
        <v>618.01502699999992</v>
      </c>
      <c r="AA273" s="3">
        <f>971.3+(107.9-465.7)+(-0.495363+(-0.055029--0.237507))+0-0-0</f>
        <v>613.18711499999995</v>
      </c>
      <c r="AB273" s="3">
        <f>939.9+(110-483.1)+(-0.958698+(-0.1122--0.492762))+0-0-0</f>
        <v>566.22186399999998</v>
      </c>
      <c r="AC273" s="3">
        <f>969.6+(68.8-522.8)+(-0.494496+(-0.035088--0.266628))+0-0-0</f>
        <v>515.33704400000011</v>
      </c>
      <c r="AD273">
        <f t="shared" si="4"/>
        <v>12354.141462999998</v>
      </c>
      <c r="AE273" s="3">
        <f>938+(112.5-397.8)+(0+(0-0))+0-0-0</f>
        <v>652.70000000000005</v>
      </c>
    </row>
    <row r="274" spans="1:31" s="2" customFormat="1" x14ac:dyDescent="0.25">
      <c r="A274">
        <v>89</v>
      </c>
      <c r="B274">
        <v>9</v>
      </c>
      <c r="C274">
        <v>28</v>
      </c>
      <c r="D274">
        <v>2</v>
      </c>
      <c r="E274">
        <v>1</v>
      </c>
      <c r="F274" s="3">
        <f>779.6+(104.5-432.5)+(0+(0-0))+0-0-0</f>
        <v>451.6</v>
      </c>
      <c r="G274" s="3">
        <f>748.7+(68.3-392.9)+(-1.145511+(-0.104499--0.601137))+0-0-0</f>
        <v>423.4511270000001</v>
      </c>
      <c r="H274" s="3">
        <f>745.9+(50-393.4)+(-1.141227+(-0.0765--0.601902))+0-0-0</f>
        <v>401.88417500000003</v>
      </c>
      <c r="I274" s="3">
        <f>750.8+(47.4-396.6)+(0+(0-0))+0-0-0</f>
        <v>401.59999999999991</v>
      </c>
      <c r="J274" s="3">
        <f>751.3+(41.3-400.2)+(0+(0-0))+0-0-0</f>
        <v>392.4</v>
      </c>
      <c r="K274" s="3">
        <f>745.6+(47.3-392.3)+(-1.140768+(-0.072369--0.600219))+0-0-0</f>
        <v>399.98708200000004</v>
      </c>
      <c r="L274" s="3">
        <f>753.3+(60.5-386.1)+(0+(0-0))+0-0-0</f>
        <v>427.69999999999993</v>
      </c>
      <c r="M274" s="3">
        <f>785.6+(46.9-393.1)+(0+(0-0))+0-0-0</f>
        <v>439.4</v>
      </c>
      <c r="N274" s="3">
        <f>986.6+(81.5-591.8)+(-0.503166+(-0.041565--0.301818))+0-0-0</f>
        <v>476.05708700000008</v>
      </c>
      <c r="O274" s="3">
        <f>990.8+(97.7-578.4)+(0+(0-0))+0-0-0</f>
        <v>510.09999999999997</v>
      </c>
      <c r="P274" s="3">
        <f>988.6+(81.8-549.2)+(0+(0-0))+0-0-0</f>
        <v>521.20000000000005</v>
      </c>
      <c r="Q274" s="3">
        <f>984.4+(39.1-486.9)+(-2.008176+(-0.079764--0.993276))+0-0-0</f>
        <v>535.50533600000006</v>
      </c>
      <c r="R274" s="3">
        <f>983+(17.3-468.9)+(-1.50399+(-0.026469--0.717417))+0-0-0</f>
        <v>530.5869580000001</v>
      </c>
      <c r="S274" s="3">
        <f>979.7+(19-485.8)+(-0.999294+(-0.01938--0.495516))+0-0-0</f>
        <v>512.37684200000012</v>
      </c>
      <c r="T274" s="3">
        <f>976.9+(20.3-486.8)+(-0.996438+(-0.020706--0.496536))+0-0-0</f>
        <v>509.879392</v>
      </c>
      <c r="U274" s="3">
        <f>926.9+(36.1-451.8)+(-0.945438+(-0.036822--0.460836))+0-0-0</f>
        <v>510.67857599999996</v>
      </c>
      <c r="V274" s="3">
        <f>958.2+(41-459.3)+(0+(0-0))+0-0-0</f>
        <v>539.90000000000009</v>
      </c>
      <c r="W274" s="3">
        <f>998.5+(65.2-414.2)+(-0.509235+(-0.033252--0.211242))+0-0-0</f>
        <v>649.16875500000003</v>
      </c>
      <c r="X274" s="3">
        <f>1015.6+(87-432.1)+(-1.553868+(-0.13311--0.661113))+0-0-0</f>
        <v>669.47413500000005</v>
      </c>
      <c r="Y274" s="3">
        <f>1007.1+(79.7-424.5)+(-1.540863+(-0.121941--0.649485))+0-0-0</f>
        <v>661.28668099999993</v>
      </c>
      <c r="Z274" s="3">
        <f>957+(72.9-382.4)+(-0.48807+(-0.037179--0.195024))+0-0-0</f>
        <v>647.16977499999996</v>
      </c>
      <c r="AA274" s="3">
        <f>869.1+(126.7-377)+(-1.329723+(-0.193851--0.57681))+0-0-0</f>
        <v>617.85323599999992</v>
      </c>
      <c r="AB274" s="3">
        <f>865.6+(125.5-414.6)+(-1.324368+(-0.192015--0.634338))+0-0-0</f>
        <v>575.61795500000005</v>
      </c>
      <c r="AC274" s="3">
        <f>813.7+(144.9-437.2)+(-0.829974+(-0.147798--0.445944))+0-0-0</f>
        <v>520.86817200000007</v>
      </c>
      <c r="AD274">
        <f t="shared" si="4"/>
        <v>12325.745284000001</v>
      </c>
      <c r="AE274" s="3">
        <f>1007+(81.6-426.2)+(0+(0-0))+0-0-0</f>
        <v>662.4</v>
      </c>
    </row>
    <row r="275" spans="1:31" s="2" customFormat="1" x14ac:dyDescent="0.25">
      <c r="A275">
        <v>89</v>
      </c>
      <c r="B275">
        <v>9</v>
      </c>
      <c r="C275">
        <v>29</v>
      </c>
      <c r="D275">
        <v>3</v>
      </c>
      <c r="E275">
        <v>1</v>
      </c>
      <c r="F275" s="3">
        <f>742.2+(99.9-381.5)+(-1.89261+(-0.254745--0.972825))+0-0-0</f>
        <v>459.42547000000002</v>
      </c>
      <c r="G275" s="3">
        <f>749+(58.5-373)+(0.38199+(0.029835-0.19023))+0-0-0</f>
        <v>434.72159499999998</v>
      </c>
      <c r="H275" s="3">
        <f>745.7+(49-379.3)+(-0.760614+(-0.04998--0.386886))+0-0-0</f>
        <v>414.97629200000006</v>
      </c>
      <c r="I275" s="3">
        <f>745.6+(44.1-382.2)+(-0.380256+(-0.022491--0.194922))+0-0-0</f>
        <v>407.29217500000004</v>
      </c>
      <c r="J275" s="3">
        <f>750.1+(40.2-387.3)+(0.765102+(0.041004-0.395046))+0-0-0</f>
        <v>403.41106000000002</v>
      </c>
      <c r="K275" s="3">
        <f>741.9+(46.8-377.5)+(-1.513476+(-0.095472--0.7701))+0-0-0</f>
        <v>410.361152</v>
      </c>
      <c r="L275" s="3">
        <f>742.5+(45.2-364.2)+(-0.75735+(-0.046104--0.371484))+0-0-0</f>
        <v>423.06803000000002</v>
      </c>
      <c r="M275" s="3">
        <f>830.8+(36.2-434)+(-0.423708+(-0.018462--0.22134))+0-0-0</f>
        <v>432.77916999999997</v>
      </c>
      <c r="N275" s="3">
        <f>993.5+(60.7-582.1)+(-1.520055+(-0.092871--0.890613))+0-0-0</f>
        <v>471.37768700000004</v>
      </c>
      <c r="O275" s="3">
        <f>1002+(65.6-549.8)+(-1.02204+(-0.066912--0.560796))+0-0-0</f>
        <v>517.2718440000001</v>
      </c>
      <c r="P275" s="3">
        <f>999.4+(55.1-522)+(-1.529082+(-0.084303--0.79866))+0-0-0</f>
        <v>531.68527500000005</v>
      </c>
      <c r="Q275" s="3">
        <f>1001.1+(51.9-522)+(-1.531683+(-0.079407--0.79866))+0-0-0</f>
        <v>530.18757000000005</v>
      </c>
      <c r="R275" s="3">
        <f>976+(23.5-486.5)+(-0.99552+(-0.02397--0.49623))+0-0-0</f>
        <v>512.47673999999995</v>
      </c>
      <c r="S275" s="3">
        <f>926.1+(35.6-455.9)+(-1.889244+(-0.072624--0.930036))+0-0-0</f>
        <v>504.76816800000006</v>
      </c>
      <c r="T275" s="3">
        <f>965.4+(14.6-476.7)+(-1.477062+(-0.022338--0.729351))+0-0-0</f>
        <v>502.52995100000004</v>
      </c>
      <c r="U275" s="3">
        <f>992.3+(13.9-517.5)+(-1.518219+(-0.021267--0.791775))+0-0-0</f>
        <v>487.95228899999995</v>
      </c>
      <c r="V275" s="3">
        <f>1002.3+(51.4-543.8)+(-1.533519+(-0.078642--0.832014))+0-0-0</f>
        <v>509.11985299999998</v>
      </c>
      <c r="W275" s="3">
        <f>965.1+(66.4-389.8)+(0.492201+(0.033864-0.198798))+0-0-0</f>
        <v>642.02726700000005</v>
      </c>
      <c r="X275" s="3">
        <f>918.1+(85.3-341.6)+(-2.809386+(-0.261018--1.045296))+0-0-0</f>
        <v>659.77489199999991</v>
      </c>
      <c r="Y275" s="3">
        <f>900.8+(89.8-362)+(-0.918816+(-0.091596--0.36924))+0-0-0</f>
        <v>627.95882799999993</v>
      </c>
      <c r="Z275" s="3">
        <f>899.2+(81.6-362.2)+(-0.917184+(-0.083232--0.369444))+0-0-0</f>
        <v>617.96902799999998</v>
      </c>
      <c r="AA275" s="3">
        <f>895.7+(85.1-383.2)+(-1.827228+(-0.173604--0.781728))+0-0-0</f>
        <v>596.38089600000001</v>
      </c>
      <c r="AB275" s="3">
        <f>894+(77.3-414.7)+(-1.82376+(-0.157692--0.845988))+0-0-0</f>
        <v>555.46453600000007</v>
      </c>
      <c r="AC275" s="3">
        <f>896.3+(68.3-458.1)+(-1.371339+(-0.104499--0.700893))+0-0-0</f>
        <v>505.72505499999994</v>
      </c>
      <c r="AD275">
        <f t="shared" si="4"/>
        <v>12158.704823000002</v>
      </c>
      <c r="AE275" s="3">
        <f>911+(74.3-344.1)+(0+(0-0))+0-0-0</f>
        <v>641.20000000000005</v>
      </c>
    </row>
    <row r="276" spans="1:31" s="2" customFormat="1" x14ac:dyDescent="0.25">
      <c r="A276">
        <v>89</v>
      </c>
      <c r="B276">
        <v>9</v>
      </c>
      <c r="C276">
        <v>30</v>
      </c>
      <c r="D276">
        <v>4</v>
      </c>
      <c r="E276">
        <v>1</v>
      </c>
      <c r="F276" s="3">
        <f>713.2+(85.5-345.5)+(-0.727464+(-0.08721--0.35241))+0-0-0</f>
        <v>452.73773600000004</v>
      </c>
      <c r="G276" s="3">
        <f>508.7+(157.2-251.1)+(0.518874+(0.160344-0.256122))+0-0-0</f>
        <v>415.22309599999994</v>
      </c>
      <c r="H276" s="3">
        <f>502.5+(167.4-266)+(-0.51255+(-0.170748--0.27132))+0-0-0</f>
        <v>403.488022</v>
      </c>
      <c r="I276" s="3">
        <f>499.1+(166.1-267.6)+(-1.272705+(-0.423555--0.68238))+0-0-0</f>
        <v>396.58612000000005</v>
      </c>
      <c r="J276" s="3">
        <f>500.5+(121.1-229.4)+(-0.51051+(-0.123522--0.233988))+0-0-0</f>
        <v>391.79995600000001</v>
      </c>
      <c r="K276" s="3">
        <f>502.8+(123.6-229.5)+(-0.256428+(-0.063036--0.117045))+0-0-0</f>
        <v>396.69758099999996</v>
      </c>
      <c r="L276" s="3">
        <f>639+(112.3-323.8)+(-1.30356+(-0.229092--0.660552))+0-0-0</f>
        <v>426.62790000000001</v>
      </c>
      <c r="M276" s="3">
        <f>674.3+(94.5-335.4)+(-1.375572+(-0.19278--0.684216))+0-0-0</f>
        <v>432.51586399999997</v>
      </c>
      <c r="N276" s="3">
        <f>677.1+(98.8-306.6)+(-0.345321+(-0.050388--0.156366))+0-0-0</f>
        <v>469.06065699999999</v>
      </c>
      <c r="O276" s="3">
        <f>676.6+(127.3-306.8)+(-1.72533+(-0.324615--0.78234))+0-0-0</f>
        <v>495.83239500000002</v>
      </c>
      <c r="P276" s="3">
        <f>681.1+(132.4-301.6)+(-0.347361+(-0.067524--0.153816))+0-0-0</f>
        <v>511.63893099999996</v>
      </c>
      <c r="Q276" s="3">
        <f>676.8+(168.1-328.1)+(-1.035504+(-0.257193--0.501993))+0-0-0</f>
        <v>516.00929599999995</v>
      </c>
      <c r="R276" s="3">
        <f>680.1+(161.6-315.8)+(-1.387404+(-0.329664--0.644232))+0-0-0</f>
        <v>524.82716399999993</v>
      </c>
      <c r="S276" s="3">
        <f>683+(168.9-332)+(-0.34833+(-0.086139--0.16932))+0-0-0</f>
        <v>519.63485100000003</v>
      </c>
      <c r="T276" s="3">
        <f>674.1+(156.9-318.1)+(-1.375164+(-0.320076--0.648924))+0-0-0</f>
        <v>511.85368399999999</v>
      </c>
      <c r="U276" s="3">
        <f>679.2+(136.7-309.1)+(-1.039176+(-0.209151--0.472923))+0-0-0</f>
        <v>506.02459600000003</v>
      </c>
      <c r="V276" s="3">
        <f>681.2+(132.7-247.2)+(0+(0-0))+0-0-0</f>
        <v>566.70000000000005</v>
      </c>
      <c r="W276" s="3">
        <f>688.9+(175.7-207.1)+(0.702678+(0.179214-0.211242))+0-0-0</f>
        <v>658.17065000000002</v>
      </c>
      <c r="X276" s="3">
        <f>702.3+(157.1-180.8)+(-2.149038+(-0.480726--0.553248))+0-0-0</f>
        <v>676.52348399999994</v>
      </c>
      <c r="Y276" s="3">
        <f>706.6+(143.8-192)+(-2.522562+(-0.513366--0.68544))+0-0-0</f>
        <v>656.04951200000005</v>
      </c>
      <c r="Z276" s="3">
        <f>706.9+(168-249.7)+(-1.802595+(-0.4284--0.636735))+0-0-0</f>
        <v>623.60574000000008</v>
      </c>
      <c r="AA276" s="3">
        <f>718.4+(186.2-310.4)+(0.366384+(0.094962-0.158304))+0-0-0</f>
        <v>594.50304200000005</v>
      </c>
      <c r="AB276" s="3">
        <f>682.4+(194.7-312.9)+(-1.044072+(-0.297891--0.478737))+0-0-0</f>
        <v>563.33677399999999</v>
      </c>
      <c r="AC276" s="3">
        <f>687.5+(215.1-376.6)+(-1.4025+(-0.438804--0.768264))+0-0-0</f>
        <v>524.92696000000001</v>
      </c>
      <c r="AD276">
        <f t="shared" si="4"/>
        <v>12234.374011000002</v>
      </c>
      <c r="AE276" s="3">
        <f>696+(153.4-213.4)+(0+(0-0))+0-0-0</f>
        <v>636</v>
      </c>
    </row>
    <row r="277" spans="1:31" s="2" customFormat="1" x14ac:dyDescent="0.25">
      <c r="A277">
        <v>89</v>
      </c>
      <c r="B277">
        <v>10</v>
      </c>
      <c r="C277">
        <v>1</v>
      </c>
      <c r="D277">
        <v>5</v>
      </c>
      <c r="E277">
        <v>1</v>
      </c>
      <c r="F277" s="3">
        <f>665.6+(149.3-334.3)+(0.339456+(0.076143-0.170493))+0-0-0</f>
        <v>480.84510600000004</v>
      </c>
      <c r="G277" s="3">
        <f>533.2+(156.2-254.7)+(-0.815796+(-0.238986--0.389691))+0-0-0</f>
        <v>434.03490900000003</v>
      </c>
      <c r="H277" s="3">
        <f>502.7+(136.5-225.2)+(-0.512754+(-0.13923--0.229704))+0-0-0</f>
        <v>413.57772</v>
      </c>
      <c r="I277" s="3">
        <f>501.8+(124.2-223)+(-0.255918+(-0.063342--0.11373))+0-0-0</f>
        <v>402.79446999999999</v>
      </c>
      <c r="J277" s="3">
        <f>502+(119.8-229.1)+(-0.25602+(-0.061098--0.116841))+0-0-0</f>
        <v>392.49972299999996</v>
      </c>
      <c r="K277" s="3">
        <f>504.1+(132.3-229.8)+(0+(0-0))+0-0-0</f>
        <v>406.6</v>
      </c>
      <c r="L277" s="3">
        <f>498.9+(195-269.3)+(-1.272195+(-0.49725--0.686715))+0-0-0</f>
        <v>423.51726999999994</v>
      </c>
      <c r="M277" s="3">
        <f>599.8+(186.6-356.3)+(-0.305898+(-0.095166--0.181713))+0-0-0</f>
        <v>429.88064899999989</v>
      </c>
      <c r="N277" s="3">
        <f>636.6+(139-309)+(0.324666+(0.07089-0.15759))+0-0-0</f>
        <v>466.83796599999999</v>
      </c>
      <c r="O277" s="3">
        <f>694.1+(117-301.5)+(0.353991+(0.05967-0.153765))+0-0-0</f>
        <v>509.85989600000005</v>
      </c>
      <c r="P277" s="3">
        <f>695+(102.4-283.1)+(-1.06335+(-0.156672--0.433143))+0-0-0</f>
        <v>513.51312099999996</v>
      </c>
      <c r="Q277" s="3">
        <f>696.9+(94.9-274.9)+(-0.710838+(-0.096798--0.280398))+0-0-0</f>
        <v>516.37276199999997</v>
      </c>
      <c r="R277" s="3">
        <f>698.1+(96.2-288.6)+(-0.712062+(-0.098124--0.294372))+0-0-0</f>
        <v>505.18418600000001</v>
      </c>
      <c r="S277" s="3">
        <f>699.3+(91.3-291.2)+(-0.713286+(-0.093126--0.297024))+0-0-0</f>
        <v>498.89061199999998</v>
      </c>
      <c r="T277" s="3">
        <f>709+(81.4-305.9)+(1.80795+(0.20757-0.780045))+0-0-0</f>
        <v>485.73547500000001</v>
      </c>
      <c r="U277" s="3">
        <f>703.2+(80.1-295.5)+(0.358632+(0.040851-0.150705))+0-0-0</f>
        <v>488.04877800000008</v>
      </c>
      <c r="V277" s="3">
        <f>697.1+(91.2-267)+(-1.066563+(-0.139536--0.40851))+0-0-0</f>
        <v>520.50241099999994</v>
      </c>
      <c r="W277" s="3">
        <f>701.4+(155.8-224.1)+(-0.357714+(-0.079458--0.114291))+0-0-0</f>
        <v>632.77711899999997</v>
      </c>
      <c r="X277" s="3">
        <f>700.1+(169-215.9)+(-1.428204+(-0.34476--0.440436))+0-0-0</f>
        <v>651.86747200000002</v>
      </c>
      <c r="Y277" s="3">
        <f>699.4+(160.5-214.4)+(-1.78347+(-0.409275--0.54672))+0-0-0</f>
        <v>643.85397499999999</v>
      </c>
      <c r="Z277" s="3">
        <f>700.2+(170.1-249.4)+(-1.071306+(-0.260253--0.381582))+0-0-0</f>
        <v>619.9500230000001</v>
      </c>
      <c r="AA277" s="3">
        <f>702.1+(201.6-308.9)+(0+(0-0))+0-0-0</f>
        <v>594.80000000000007</v>
      </c>
      <c r="AB277" s="3">
        <f>694.1+(155.3-301)+(-1.769955+(-0.396015--0.76755))+0-0-0</f>
        <v>547.0015800000001</v>
      </c>
      <c r="AC277" s="3">
        <f>698.2+(137.5-323.3)+(-1.068246+(-0.210375--0.494649))+0-0-0</f>
        <v>511.61602800000009</v>
      </c>
      <c r="AD277">
        <f t="shared" si="4"/>
        <v>12090.561251000001</v>
      </c>
      <c r="AE277" s="3">
        <f>689+(172-245.7)+(0+(0-0))+0-0-0</f>
        <v>615.29999999999995</v>
      </c>
    </row>
    <row r="278" spans="1:31" s="2" customFormat="1" x14ac:dyDescent="0.25">
      <c r="A278">
        <v>89</v>
      </c>
      <c r="B278">
        <v>10</v>
      </c>
      <c r="C278">
        <v>2</v>
      </c>
      <c r="D278">
        <v>6</v>
      </c>
      <c r="E278">
        <v>1</v>
      </c>
      <c r="F278" s="3">
        <f>680.5+(95.6-335.9)+(-1.735275+(-0.24378--0.856545))+0-0-0</f>
        <v>439.07749000000007</v>
      </c>
      <c r="G278" s="3">
        <f>678+(68.7-348.6)+(0+(0-0))+0-0-0</f>
        <v>398.09999999999997</v>
      </c>
      <c r="H278" s="3">
        <f>669.2+(58.4-345.3)+(-1.70646+(-0.14892--0.880515))+0-0-0</f>
        <v>381.32513499999999</v>
      </c>
      <c r="I278" s="3">
        <f>536.6+(93.9-262)+(0.273666+(0.047889-0.13362))+0-0-0</f>
        <v>368.68793499999998</v>
      </c>
      <c r="J278" s="3">
        <f>503.6+(103.5-242.3)+(0.770508+(0.158355-0.370719))+0-0-0</f>
        <v>365.35814400000004</v>
      </c>
      <c r="K278" s="3">
        <f>503.4+(110-240.7)+(1.026936+(0.2244-0.491028))+0-0-0</f>
        <v>373.460308</v>
      </c>
      <c r="L278" s="3">
        <f>505.2+(156.7-269.7)+(1.28826+(0.399585-0.687735))+0-0-0</f>
        <v>393.20011</v>
      </c>
      <c r="M278" s="3">
        <f>501.8+(201.7-296.4)+(-0.255918+(-0.102867--0.151164))+0-0-0</f>
        <v>406.89237900000001</v>
      </c>
      <c r="N278" s="3">
        <f>611.3+(130.2-323.8)+(-0.623526+(-0.132804--0.330276))+0-0-0</f>
        <v>417.27394599999991</v>
      </c>
      <c r="O278" s="3">
        <f>667.9+(81.6-305.4)+(-0.340629+(-0.041616--0.155754))+0-0-0</f>
        <v>443.87350900000001</v>
      </c>
      <c r="P278" s="3">
        <f>682.9+(94.4-331.8)+(0.696558+(0.096288-0.338436))+0-0-0</f>
        <v>445.95441</v>
      </c>
      <c r="Q278" s="3">
        <f>682.7+(87.8-283.4)+(-0.348177+(-0.044778--0.144534))+0-0-0</f>
        <v>486.85157900000007</v>
      </c>
      <c r="R278" s="3">
        <f>680.3+(106.7-296.5)+(-1.040859+(-0.163251--0.453645))+0-0-0</f>
        <v>489.74953499999992</v>
      </c>
      <c r="S278" s="3">
        <f>681+(99.8-299.8)+(-0.69462+(-0.101796--0.305796))+0-0-0</f>
        <v>480.50938000000002</v>
      </c>
      <c r="T278" s="3">
        <f>682.3+(92.3-306.7)+(-0.347973+(-0.047073--0.156417))+0-0-0</f>
        <v>467.66137099999997</v>
      </c>
      <c r="U278" s="3">
        <f>684.6+(84.9-314)+(0.698292+(0.086598-0.32028))+0-0-0</f>
        <v>455.96460999999999</v>
      </c>
      <c r="V278" s="3">
        <f>679.2+(70.5-278)+(-1.039176+(-0.107865--0.42534))+0-0-0</f>
        <v>470.97829900000005</v>
      </c>
      <c r="W278" s="3">
        <f>690.7+(119.4-218.1)+(-1.056771+(-0.182682--0.333693))+0-0-0</f>
        <v>591.09424000000001</v>
      </c>
      <c r="X278" s="3">
        <f>717.4+(127.5-236.6)+(-0.731748+(-0.13005--0.241332))+0-0-0</f>
        <v>607.67953399999999</v>
      </c>
      <c r="Y278" s="3">
        <f>717.4+(118.3-225.5)+(-0.365874+(-0.060333--0.115005))+0-0-0</f>
        <v>609.88879799999995</v>
      </c>
      <c r="Z278" s="3">
        <f>714.4+(116.8-239.8)+(-0.364344+(-0.059568--0.122298))+0-0-0</f>
        <v>591.098386</v>
      </c>
      <c r="AA278" s="3">
        <f>711.8+(112-266.6)+(-2.178108+(-0.34272--0.815796))+0-0-0</f>
        <v>555.49496799999997</v>
      </c>
      <c r="AB278" s="3">
        <f>711.2+(99.3-293.4)+(-1.088136+(-0.151929--0.448902))+0-0-0</f>
        <v>516.30883700000015</v>
      </c>
      <c r="AC278" s="3">
        <f>672.3+(103.4-298.8)+(-1.028619+(-0.158202--0.457164))+0-0-0</f>
        <v>476.170343</v>
      </c>
      <c r="AD278">
        <f t="shared" si="4"/>
        <v>11232.653246</v>
      </c>
      <c r="AE278" s="3">
        <f>731+(127.3-242)+(0+(0-0))+0-0-0</f>
        <v>616.29999999999995</v>
      </c>
    </row>
    <row r="279" spans="1:31" s="2" customFormat="1" x14ac:dyDescent="0.25">
      <c r="A279">
        <v>89</v>
      </c>
      <c r="B279">
        <v>10</v>
      </c>
      <c r="C279">
        <v>3</v>
      </c>
      <c r="D279">
        <v>7</v>
      </c>
      <c r="E279">
        <v>1</v>
      </c>
      <c r="F279" s="3">
        <f>500.9+(119.7-197.2)+(0+(0-0))+0-0-0</f>
        <v>423.4</v>
      </c>
      <c r="G279" s="3">
        <f>490.9+(104-198)+(-1.251795+(-0.2652--0.5049))+0-0-0</f>
        <v>395.88790499999999</v>
      </c>
      <c r="H279" s="3">
        <f>594.4+(70.4-287.4)+(0.606288+(0.071808-0.293148))+0-0-0</f>
        <v>377.78494799999999</v>
      </c>
      <c r="I279" s="3">
        <f>648.3+(53.6-328.1)+(0+(0-0))+0-0-0</f>
        <v>373.79999999999995</v>
      </c>
      <c r="J279" s="3">
        <f>648.3+(51.1-325.9)+(0+(0-0))+0-0-0</f>
        <v>373.5</v>
      </c>
      <c r="K279" s="3">
        <f>646.3+(49-330.4)+(-0.329613+(-0.02499--0.168504))+0-0-0</f>
        <v>364.71390099999996</v>
      </c>
      <c r="L279" s="3">
        <f>642.6+(53.5-333.3)+(-0.327726+(-0.027285--0.169983))+0-0-0</f>
        <v>362.61497200000002</v>
      </c>
      <c r="M279" s="3">
        <f>552.4+(75.4-293.3)+(-1.40862+(-0.19227--0.747915))+0-0-0</f>
        <v>333.64702499999999</v>
      </c>
      <c r="N279" s="3">
        <f>493.7+(82.9-231.3)+(0.503574+(0.084558-0.235926))+0-0-0</f>
        <v>345.65220599999998</v>
      </c>
      <c r="O279" s="3">
        <f>565.6+(87.2-274.2)+(0.288456+(0.044472-0.139842))+0-0-0</f>
        <v>378.79308600000002</v>
      </c>
      <c r="P279" s="3">
        <f>554.4+(87.5-229.1)+(-1.696464+(-0.26775--0.701046))+0-0-0</f>
        <v>411.53683199999995</v>
      </c>
      <c r="Q279" s="3">
        <f>537.3+(91.5-197.8)+(-0.548046+(-0.09333--0.201756))+0-0-0</f>
        <v>430.56037999999995</v>
      </c>
      <c r="R279" s="3">
        <f>580.5+(73.9-226.5)+(-0.59211+(-0.075378--0.23103))+0-0-0</f>
        <v>427.46354199999996</v>
      </c>
      <c r="S279" s="3">
        <f>580.3+(58-228.2)+(-1.183812+(-0.11832--0.465528))+0-0-0</f>
        <v>409.26339599999994</v>
      </c>
      <c r="T279" s="3">
        <f>578.4+(53.4-236)+(-1.47492+(-0.13617--0.6018))+0-0-0</f>
        <v>394.79070999999993</v>
      </c>
      <c r="U279" s="3">
        <f>581.7+(47.5-250.9)+(0+(0-0))+0-0-0</f>
        <v>378.30000000000007</v>
      </c>
      <c r="V279" s="3">
        <f>595+(60.8-269.8)+(-0.30345+(-0.031008--0.137598))+0-0-0</f>
        <v>385.80313999999998</v>
      </c>
      <c r="W279" s="3">
        <f>677.7+(97.6-272.9)+(-0.345627+(-0.049776--0.139179))+0-0-0</f>
        <v>502.14377600000012</v>
      </c>
      <c r="X279" s="3">
        <f>685.1+(115.8-262.1)+(-1.747005+(-0.29529--0.668355))+0-0-0</f>
        <v>537.42606000000001</v>
      </c>
      <c r="Y279" s="3">
        <f>686.1+(108.3-261.4)+(0.349911+(0.055233-0.133314))+0-0-0</f>
        <v>533.27183000000002</v>
      </c>
      <c r="Z279" s="3">
        <f>681+(129.8-275.6)+(0.34731+(0.066198-0.140556))+0-0-0</f>
        <v>535.47295200000008</v>
      </c>
      <c r="AA279" s="3">
        <f>679.6+(188.7-348.2)+(0+(0-0))+0-0-0</f>
        <v>520.1</v>
      </c>
      <c r="AB279" s="3">
        <f>675.8+(176.9-364.2)+(-1.033974+(-0.270657--0.557226))+0-0-0</f>
        <v>487.75259499999999</v>
      </c>
      <c r="AC279" s="3">
        <f>675.1+(131.1-362.8)+(-0.688602+(-0.133722--0.370056))+0-0-0</f>
        <v>442.94773199999997</v>
      </c>
      <c r="AD279">
        <f t="shared" si="4"/>
        <v>10126.626988</v>
      </c>
      <c r="AE279" s="3">
        <f>681+(117.7-273.9)+(0+(0-0))+0-0-0</f>
        <v>524.79999999999995</v>
      </c>
    </row>
    <row r="280" spans="1:31" s="2" customFormat="1" x14ac:dyDescent="0.25">
      <c r="A280">
        <v>89</v>
      </c>
      <c r="B280">
        <v>10</v>
      </c>
      <c r="C280">
        <v>4</v>
      </c>
      <c r="D280">
        <v>1</v>
      </c>
      <c r="E280">
        <v>1</v>
      </c>
      <c r="F280" s="3">
        <f>665.5+(87.7-367.5)+(-1.35762+(-0.178908--0.7497))+0-0-0</f>
        <v>384.91317199999997</v>
      </c>
      <c r="G280" s="3">
        <f>564.9+(84.9-315.6)+(0+(0-0))+0-0-0</f>
        <v>334.19999999999993</v>
      </c>
      <c r="H280" s="3">
        <f>559.3+(83.6-324.8)+(-0.855729+(-0.127908--0.496944))+0-0-0</f>
        <v>317.61330699999991</v>
      </c>
      <c r="I280" s="3">
        <f>566.7+(75-327.2)+(0.867051+(0.11475-0.500616))+0-0-0</f>
        <v>314.98118500000004</v>
      </c>
      <c r="J280" s="3">
        <f>562.2+(75.1-322.5)+(-0.286722+(-0.038301--0.164475))+0-0-0</f>
        <v>314.63945200000006</v>
      </c>
      <c r="K280" s="3">
        <f>567.3+(78.8-347.8)+(1.157292+(0.160752-0.709512))+0-0-0</f>
        <v>298.90853199999998</v>
      </c>
      <c r="L280" s="3">
        <f>665.5+(63.6-403.6)+(0.339405+(0.032436-0.205836))+0-0-0</f>
        <v>325.66600499999998</v>
      </c>
      <c r="M280" s="3">
        <f>685.3+(44.7-373.2)+(-1.048509+(-0.068391--0.570996))+0-0-0</f>
        <v>356.25409599999995</v>
      </c>
      <c r="N280" s="3">
        <f>681+(40-330.8)+(-1.04193+(-0.0612--0.506124))+0-0-0</f>
        <v>389.60299399999997</v>
      </c>
      <c r="O280" s="3">
        <f>757.1+(41.2-353.7)+(0.386121+(0.021012-0.180387))+0-0-0</f>
        <v>444.82674600000001</v>
      </c>
      <c r="P280" s="3">
        <f>813.4+(59.6-398.9)+(-1.244502+(-0.091188--0.610317))+0-0-0</f>
        <v>473.37462700000003</v>
      </c>
      <c r="Q280" s="3">
        <f>885.7+(47.4-434.8)+(-1.806828+(-0.096696--0.886992))+0-0-0</f>
        <v>497.28346800000003</v>
      </c>
      <c r="R280" s="3">
        <f>863.4+(38.8-427.2)+(-2.642004+(-0.118728--1.307232))+0-0-0</f>
        <v>473.54649999999998</v>
      </c>
      <c r="S280" s="3">
        <f>873.3+(28.9-414.1)+(-1.336149+(-0.044217--0.633573))+0-0-0</f>
        <v>487.35320699999988</v>
      </c>
      <c r="T280" s="3">
        <f>867.6+(16.5-405.6)+(-1.769904+(-0.03366--0.827424))+0-0-0</f>
        <v>477.52386000000001</v>
      </c>
      <c r="U280" s="3">
        <f>870.5+(18-403.6)+(0+(0-0))+0-0-0</f>
        <v>484.9</v>
      </c>
      <c r="V280" s="3">
        <f>861+(38.5-370.8)+(-2.63466+(-0.11781--1.134648))+0-0-0</f>
        <v>527.082178</v>
      </c>
      <c r="W280" s="3">
        <f>881.1+(90-373.8)+(-0.898722+(-0.0918--0.381276))+0-0-0</f>
        <v>596.69075399999997</v>
      </c>
      <c r="X280" s="3">
        <f>882.6+(76.8-364.5)+(-1.800504+(-0.156672--0.74358))+0-0-0</f>
        <v>593.68640400000004</v>
      </c>
      <c r="Y280" s="3">
        <f>881.5+(65.5-320.1)+(-0.449565+(-0.033405--0.163251))+0-0-0</f>
        <v>626.58028100000001</v>
      </c>
      <c r="Z280" s="3">
        <f>876.6+(77.5-363.2)+(-1.341198+(-0.118575--0.555696))+0-0-0</f>
        <v>589.99592300000006</v>
      </c>
      <c r="AA280" s="3">
        <f>875.4+(72.2-398.1)+(-1.785816+(-0.147288--0.812124))+0-0-0</f>
        <v>548.37901999999997</v>
      </c>
      <c r="AB280" s="3">
        <f>877.2+(86.2-419.9)+(-1.342116+(-0.131886--0.642447))+0-0-0</f>
        <v>542.66844500000002</v>
      </c>
      <c r="AC280" s="3">
        <f>878.3+(78-476.7)+(-0.895866+(-0.07956--0.486234))+0-0-0</f>
        <v>479.11080799999996</v>
      </c>
      <c r="AD280">
        <f t="shared" si="4"/>
        <v>10879.780964</v>
      </c>
      <c r="AE280" s="3">
        <f>894+(80-372.3)+(0+(0-0))+0-0-0</f>
        <v>601.70000000000005</v>
      </c>
    </row>
    <row r="281" spans="1:31" s="2" customFormat="1" x14ac:dyDescent="0.25">
      <c r="A281">
        <v>89</v>
      </c>
      <c r="B281">
        <v>10</v>
      </c>
      <c r="C281">
        <v>5</v>
      </c>
      <c r="D281">
        <v>2</v>
      </c>
      <c r="E281">
        <v>1</v>
      </c>
      <c r="F281" s="3">
        <f>766.2+(10-390.7)+(-0.390762+(-0.0051--0.199257))+0-0-0</f>
        <v>385.30339500000008</v>
      </c>
      <c r="G281" s="3">
        <f>647.3+(10-343.1)+(-0.330123+(-0.0051--0.174981))+0-0-0</f>
        <v>314.03975799999995</v>
      </c>
      <c r="H281" s="3">
        <f>645+(12.8-353.8)+(-0.98685+(-0.019584--0.541314))+0-0-0</f>
        <v>303.53487999999999</v>
      </c>
      <c r="I281" s="3">
        <f>646.3+(12.6-343.2)+(-0.659226+(-0.012852--0.350064))+0-0-0</f>
        <v>315.37798599999996</v>
      </c>
      <c r="J281" s="3">
        <f>653+(12.9-347)+(0.99909+(0.019737-0.53091))+0-0-0</f>
        <v>319.38791699999996</v>
      </c>
      <c r="K281" s="3">
        <f>652.2+(13.8-416.9)+(0.665244+(0.014076-0.425238))+0-0-0</f>
        <v>249.35408200000009</v>
      </c>
      <c r="L281" s="3">
        <f>839.6+(21.7-495.5)+(-0.428196+(-0.011067--0.252705))+0-0-0</f>
        <v>365.61344200000002</v>
      </c>
      <c r="M281" s="3">
        <f>846.3+(16.9-483.3)+(-0.863226+(-0.017238--0.492966))+0-0-0</f>
        <v>379.51250199999993</v>
      </c>
      <c r="N281" s="3">
        <f>845.5+(32.1-440.4)+(-2.156025+(-0.081855--1.12302))+0-0-0</f>
        <v>436.08514000000002</v>
      </c>
      <c r="O281" s="3">
        <f>853.3+(30-424.6)+(-1.305549+(-0.0459--0.649638))+0-0-0</f>
        <v>457.99818899999991</v>
      </c>
      <c r="P281" s="3">
        <f>869.4+(24.5-411.6)+(0.443394+(0.012495-0.209916))+0-0-0</f>
        <v>482.54597299999995</v>
      </c>
      <c r="Q281" s="3">
        <f>847.3+(31.2-382.1)+(-1.296369+(-0.047736--0.584613))+0-0-0</f>
        <v>495.6405079999999</v>
      </c>
      <c r="R281" s="3">
        <f>850.1+(16-352.9)+(-1.300653+(-0.02448--0.539937))+0-0-0</f>
        <v>512.414804</v>
      </c>
      <c r="S281" s="3">
        <f>854.3+(4.2-354)+(1.307079+(0.006426-0.54162))+0-0-0</f>
        <v>505.27188499999994</v>
      </c>
      <c r="T281" s="3">
        <f>843.4+(15.9-334.4)+(-1.720536+(-0.032436--0.682176))+0-0-0</f>
        <v>523.829204</v>
      </c>
      <c r="U281" s="3">
        <f>845.7+(18.3-353.9)+(0+(0-0))+0-0-0</f>
        <v>510.10000000000008</v>
      </c>
      <c r="V281" s="3">
        <f>843.3+(22-354.4)+(-0.860166+(-0.02244--0.361488))+0-0-0</f>
        <v>510.37888199999998</v>
      </c>
      <c r="W281" s="3">
        <f>859.8+(64.9-289.9)+(-0.876996+(-0.066198--0.295698))+0-0-0</f>
        <v>634.15250399999991</v>
      </c>
      <c r="X281" s="3">
        <f>876.8+(94.7-307.5)+(-2.683008+(-0.289782--0.94095))+0-0-0</f>
        <v>661.96816000000001</v>
      </c>
      <c r="Y281" s="3">
        <f>876.5+(95.2-322.9)+(0.447015+(0.048552-0.164679))+0-0-0</f>
        <v>649.13088799999991</v>
      </c>
      <c r="Z281" s="3">
        <f>874.6+(85.6-326.7)+(-1.338138+(-0.130968--0.499851))+0-0-0</f>
        <v>632.53074500000002</v>
      </c>
      <c r="AA281" s="3">
        <f>854.1+(102.9-349.6)+(-1.742364+(-0.209916--0.713184))+0-0-0</f>
        <v>606.16090399999996</v>
      </c>
      <c r="AB281" s="3">
        <f>798.1+(130.9-362.2)+(-0.407031+(-0.066759--0.184722))+0-0-0</f>
        <v>566.51093200000003</v>
      </c>
      <c r="AC281" s="3">
        <f>767.7+(106.7-351.8)+(-3.523743+(-0.489753--1.614762))+0-0-0</f>
        <v>520.20126600000003</v>
      </c>
      <c r="AD281">
        <f t="shared" si="4"/>
        <v>11337.043945999998</v>
      </c>
      <c r="AE281" s="3">
        <f>878+(95.5-321.9)+(0+(0-0))+0-0-0</f>
        <v>651.6</v>
      </c>
    </row>
    <row r="282" spans="1:31" s="2" customFormat="1" x14ac:dyDescent="0.25">
      <c r="A282">
        <v>89</v>
      </c>
      <c r="B282">
        <v>10</v>
      </c>
      <c r="C282">
        <v>6</v>
      </c>
      <c r="D282">
        <v>3</v>
      </c>
      <c r="E282">
        <v>1</v>
      </c>
      <c r="F282" s="3">
        <f>620.7+(123.1-325)+(-1.266228+(-0.251124--0.663))+0-0-0</f>
        <v>417.94564800000006</v>
      </c>
      <c r="G282" s="3">
        <f>624.2+(85.8-326.7)+(-0.318342+(-0.043758--0.166617))+0-0-0</f>
        <v>383.10451700000004</v>
      </c>
      <c r="H282" s="3">
        <f>621.6+(72.7-324.5)+(-0.634032+(-0.074154--0.33099))+0-0-0</f>
        <v>369.42280399999999</v>
      </c>
      <c r="I282" s="3">
        <f>639+(66.7-339.7)+(0.32589+(0.034017-0.173247))+0-0-0</f>
        <v>366.18666000000002</v>
      </c>
      <c r="J282" s="3">
        <f>718.7+(42.6-392.8)+(-1.099611+(-0.065178--0.600984))+0-0-0</f>
        <v>367.93619500000005</v>
      </c>
      <c r="K282" s="3">
        <f>728.3+(48.1-406.6)+(1.114299+(0.073593-0.622098))+0-0-0</f>
        <v>370.36579399999994</v>
      </c>
      <c r="L282" s="3">
        <f>795.4+(45.2-407.6)+(-0.405654+(-0.023052--0.207876))+0-0-0</f>
        <v>432.77916999999997</v>
      </c>
      <c r="M282" s="3">
        <f>848.7+(22.7-451.6)+(0.865674+(0.023154-0.460632))+0-0-0</f>
        <v>420.22819600000003</v>
      </c>
      <c r="N282" s="3">
        <f>841.6+(48.6-440.2)+(0+(0-0))+0-0-0</f>
        <v>450.00000000000006</v>
      </c>
      <c r="O282" s="3">
        <f>845.6+(77.7-435)+(-1.293768+(-0.118881--0.66555))+0-0-0</f>
        <v>487.55290100000002</v>
      </c>
      <c r="P282" s="3">
        <f>854+(80.4-441)+(-1.30662+(-0.123012--0.67473))+0-0-0</f>
        <v>492.64509799999996</v>
      </c>
      <c r="Q282" s="3">
        <f>846.4+(78.8-425.2)+(-0.431664+(-0.040188--0.216852))+0-0-0</f>
        <v>499.745</v>
      </c>
      <c r="R282" s="3">
        <f>698.7+(54.9-257.7)+(-1.069011+(-0.083997--0.394281))+0-0-0</f>
        <v>495.14127300000007</v>
      </c>
      <c r="S282" s="3">
        <f>603.2+(111.8-221.8)+(-0.922896+(-0.171054--0.339354))+0-0-0</f>
        <v>492.44540400000005</v>
      </c>
      <c r="T282" s="3">
        <f>630.1+(65.5-222.3)+(-0.321351+(-0.033405--0.113373))+0-0-0</f>
        <v>473.05861700000003</v>
      </c>
      <c r="U282" s="3">
        <f>629.4+(54.7-211)+(0.962982+(0.083691-0.32283))+0-0-0</f>
        <v>473.82384299999995</v>
      </c>
      <c r="V282" s="3">
        <f>624.9+(79.2-206.7)+(-1.274796+(-0.161568--0.421668))+0-0-0</f>
        <v>496.38530399999996</v>
      </c>
      <c r="W282" s="3">
        <f>841+(68.9-281.6)+(-1.28673+(-0.105417--0.430848))+0-0-0</f>
        <v>627.3387009999999</v>
      </c>
      <c r="X282" s="3">
        <f>889.4+(47.8-279.4)+(-0.453594+(-0.024378--0.142494))+0-0-0</f>
        <v>657.46452199999999</v>
      </c>
      <c r="Y282" s="3">
        <f>892.2+(40.4-275.2)+(-0.455022+(-0.020604--0.140352))+0-0-0</f>
        <v>657.06472600000006</v>
      </c>
      <c r="Z282" s="3">
        <f>865+(32.4-265.2)+(-0.8823+(-0.033048--0.270504))+0-0-0</f>
        <v>631.55515600000001</v>
      </c>
      <c r="AA282" s="3">
        <f>853.1+(56.3-301.7)+(-0.435081+(-0.028713--0.153867))+0-0-0</f>
        <v>607.39007300000003</v>
      </c>
      <c r="AB282" s="3">
        <f>847.9+(44.6-330.5)+(-0.864858+(-0.045492--0.33711))+0-0-0</f>
        <v>561.42675999999994</v>
      </c>
      <c r="AC282" s="3">
        <f>849.3+(18.3-357.3)+(-0.866286+(-0.018666--0.364446))+0-0-0</f>
        <v>509.77949399999994</v>
      </c>
      <c r="AD282">
        <f t="shared" si="4"/>
        <v>11740.785856000002</v>
      </c>
      <c r="AE282" s="3">
        <f>867+(65.7-303.5)+(0+(0-0))+0-0-0</f>
        <v>629.20000000000005</v>
      </c>
    </row>
    <row r="283" spans="1:31" s="2" customFormat="1" x14ac:dyDescent="0.25">
      <c r="A283">
        <v>89</v>
      </c>
      <c r="B283">
        <v>10</v>
      </c>
      <c r="C283">
        <v>7</v>
      </c>
      <c r="D283">
        <v>4</v>
      </c>
      <c r="E283">
        <v>1</v>
      </c>
      <c r="F283" s="3">
        <f>740.9+(29.8-332)+(-1.889295+(-0.07599--0.8466))+0-0-0</f>
        <v>437.58131499999996</v>
      </c>
      <c r="G283" s="3">
        <f>625.2+(41.5-268.7)+(0+(0-0))+0-0-0</f>
        <v>398.00000000000006</v>
      </c>
      <c r="H283" s="3">
        <f>622.6+(39.7-280.3)+(-0.635052+(-0.040494--0.285906))+0-0-0</f>
        <v>381.61036000000001</v>
      </c>
      <c r="I283" s="3">
        <f>622.8+(44.7-293.5)+(0+(0-0))+0-0-0</f>
        <v>373.99999999999994</v>
      </c>
      <c r="J283" s="3">
        <f>624+(45.3-296.7)+(0.31824+(0.023103-0.151317))+0-0-0</f>
        <v>372.79002600000001</v>
      </c>
      <c r="K283" s="3">
        <f>623.3+(54.1-302.6)+(0+(0-0))+0-0-0</f>
        <v>374.79999999999995</v>
      </c>
      <c r="L283" s="3">
        <f>799+(43.8-440.9)+(-0.81498+(-0.044676--0.449718))+0-0-0</f>
        <v>401.49006200000002</v>
      </c>
      <c r="M283" s="3">
        <f>829.4+(61.9-469.9)+(-0.422994+(-0.031569--0.239649))+0-0-0</f>
        <v>421.18508599999996</v>
      </c>
      <c r="N283" s="3">
        <f>856.1+(53.1-458.1)+(3.056277+(0.189567-1.635417))+0-0-0</f>
        <v>452.71042700000004</v>
      </c>
      <c r="O283" s="3">
        <f>855.1+(40.3-368.7)+(0+(0-0))+0-0-0</f>
        <v>526.70000000000005</v>
      </c>
      <c r="P283" s="3">
        <f>856.1+(39.7-409.9)+(-0.873222+(-0.040494--0.418098))+0-0-0</f>
        <v>485.40438200000006</v>
      </c>
      <c r="Q283" s="3">
        <f>852.2+(45.1-405.1)+(-0.869244+(-0.046002--0.413202))+0-0-0</f>
        <v>491.69795600000003</v>
      </c>
      <c r="R283" s="3">
        <f>841.3+(46.2-396.8)+(-1.287189+(-0.070686--0.607104))+0-0-0</f>
        <v>489.94922899999995</v>
      </c>
      <c r="S283" s="3">
        <f>840.7+(46.4-407.6)+(-1.715028+(-0.094656--0.831504))+0-0-0</f>
        <v>478.52181999999999</v>
      </c>
      <c r="T283" s="3">
        <f>854.1+(50.1-440.1)+(1.306773+(0.076653-0.673353))+0-0-0</f>
        <v>464.81007300000005</v>
      </c>
      <c r="U283" s="3">
        <f>841.1+(49.4-421.6)+(-1.715844+(-0.100776--0.860064))+0-0-0</f>
        <v>467.943444</v>
      </c>
      <c r="V283" s="3">
        <f>843.1+(45.6-402.4)+(-0.859962+(-0.046512--0.410448))+0-0-0</f>
        <v>485.8039740000001</v>
      </c>
      <c r="W283" s="3">
        <f>865.7+(108.6-371.1)+(-0.441507+(-0.055386--0.189261))+0-0-0</f>
        <v>602.89236800000003</v>
      </c>
      <c r="X283" s="3">
        <f>885+(76.3-323.1)+(-1.35405+(-0.116739--0.494343))+0-0-0</f>
        <v>637.22355400000004</v>
      </c>
      <c r="Y283" s="3">
        <f>879+(69.8-316.5)+(-2.24145+(-0.17799--0.807075))+0-0-0</f>
        <v>630.687635</v>
      </c>
      <c r="Z283" s="3">
        <f>885.1+(52.7-329.4)+(0+(0-0))+0-0-0</f>
        <v>608.40000000000009</v>
      </c>
      <c r="AA283" s="3">
        <f>864.8+(35.1-326.3)+(-1.323144+(-0.053703--0.499239))+0-0-0</f>
        <v>572.7223919999999</v>
      </c>
      <c r="AB283" s="3">
        <f>859+(28.9-354.8)+(-1.31427+(-0.044217--0.542844))+0-0-0</f>
        <v>532.28435699999989</v>
      </c>
      <c r="AC283" s="3">
        <f>852.3+(26.6-406.1)+(-2.608038+(-0.081396--1.242666))+0-0-0</f>
        <v>471.35323199999993</v>
      </c>
      <c r="AD283">
        <f t="shared" si="4"/>
        <v>11560.561691999997</v>
      </c>
      <c r="AE283" s="3">
        <f>892+(88.7-349.1)+(0+(0-0))+0-0-0</f>
        <v>631.59999999999991</v>
      </c>
    </row>
    <row r="284" spans="1:31" s="2" customFormat="1" x14ac:dyDescent="0.25">
      <c r="A284">
        <v>89</v>
      </c>
      <c r="B284">
        <v>10</v>
      </c>
      <c r="C284">
        <v>8</v>
      </c>
      <c r="D284">
        <v>5</v>
      </c>
      <c r="E284">
        <v>1</v>
      </c>
      <c r="F284" s="3">
        <f>852.4+(36.5-457.8)+(0+(0-0))+0-0-0</f>
        <v>431.09999999999997</v>
      </c>
      <c r="G284" s="3">
        <f>680.3+(42.2-325.5)+(-0.693906+(-0.043044--0.33201))+0-0-0</f>
        <v>396.59505999999993</v>
      </c>
      <c r="H284" s="3">
        <f>620.9+(46.2-281.9)+(-0.633318+(-0.047124--0.287538))+0-0-0</f>
        <v>384.807096</v>
      </c>
      <c r="I284" s="3">
        <f>619.9+(52.1-290.4)+(-0.632298+(-0.053142--0.296208))+0-0-0</f>
        <v>381.21076800000003</v>
      </c>
      <c r="J284" s="3">
        <f>622.5+(52.4-293.7)+(-0.317475+(-0.026724--0.149787))+0-0-0</f>
        <v>381.00558800000005</v>
      </c>
      <c r="K284" s="3">
        <f>648.1+(54.1-317.4)+(-0.661062+(-0.055182--0.323748))+0-0-0</f>
        <v>384.40750400000007</v>
      </c>
      <c r="L284" s="3">
        <f>840.8+(31.5-467.5)+(-0.428808+(-0.016065--0.238425))+0-0-0</f>
        <v>404.59355199999993</v>
      </c>
      <c r="M284" s="3">
        <f>838.3+(25.3-441.8)+(-0.855066+(-0.025806--0.450636))+0-0-0</f>
        <v>421.36976399999998</v>
      </c>
      <c r="N284" s="3">
        <f>842.1+(51.6-435)+(0+(0-0))+0-0-0</f>
        <v>458.70000000000005</v>
      </c>
      <c r="O284" s="3">
        <f>853.6+(46.4-412.8)+(0.870672+(0.047328-0.421056))+0-0-0</f>
        <v>487.69694399999997</v>
      </c>
      <c r="P284" s="3">
        <f>849.6+(42.8-395.5)+(-0.433296+(-0.021828--0.201705))+0-0-0</f>
        <v>496.64658100000003</v>
      </c>
      <c r="Q284" s="3">
        <f>852.5+(43.6-383.1)+(0+(0-0))+0-0-0</f>
        <v>513</v>
      </c>
      <c r="R284" s="3">
        <f>847.4+(22-376.6)+(-1.296522+(-0.03366--0.576198))+0-0-0</f>
        <v>492.04601599999995</v>
      </c>
      <c r="S284" s="3">
        <f>847.6+(28.1-394.9)+(0+(0-0))+0-0-0</f>
        <v>480.80000000000007</v>
      </c>
      <c r="T284" s="3">
        <f>843.2+(35.3-368.2)+(0+(0-0))+0-0-0</f>
        <v>510.30000000000007</v>
      </c>
      <c r="U284" s="3">
        <f>841.4+(33.5-433.8)+(0+(0-0))+0-0-0</f>
        <v>441.09999999999997</v>
      </c>
      <c r="V284" s="3">
        <f>824.5+(57.4-383.2)+(-1.68198+(-0.117096--0.781728))+0-0-0</f>
        <v>497.68265199999996</v>
      </c>
      <c r="W284" s="3">
        <f>864+(78.5-352)+(0+(0-0))+0-0-0</f>
        <v>590.5</v>
      </c>
      <c r="X284" s="3">
        <f>881.7+(55.1-338.2)+(-2.248335+(-0.140505--0.86241))+0-0-0</f>
        <v>597.07357000000013</v>
      </c>
      <c r="Y284" s="3">
        <f>870.6+(50.9-321.4)+(-3.552048+(-0.207672--1.311312))+0-0-0</f>
        <v>597.65159200000005</v>
      </c>
      <c r="Z284" s="3">
        <f>882.3+(55.5-320.1)+(0+(0-0))+0-0-0</f>
        <v>617.69999999999993</v>
      </c>
      <c r="AA284" s="3">
        <f>866.3+(63.4-362.1)+(-0.883626+(-0.064668--0.369342))+0-0-0</f>
        <v>567.02104799999995</v>
      </c>
      <c r="AB284" s="3">
        <f>858.1+(63.4-413.7)+(-0.875262+(-0.064668--0.421974))+0-0-0</f>
        <v>507.28204399999998</v>
      </c>
      <c r="AC284" s="3">
        <f>803.4+(65.4-417)+(-2.04867+(-0.16677--1.06335))+0-0-0</f>
        <v>450.64790999999997</v>
      </c>
      <c r="AD284">
        <f t="shared" si="4"/>
        <v>11490.937689000002</v>
      </c>
      <c r="AE284" s="3">
        <f>880+(70.8-342.3)+(0+(0-0))+0-0-0</f>
        <v>608.5</v>
      </c>
    </row>
    <row r="285" spans="1:31" s="2" customFormat="1" x14ac:dyDescent="0.25">
      <c r="A285">
        <v>89</v>
      </c>
      <c r="B285">
        <v>10</v>
      </c>
      <c r="C285">
        <v>9</v>
      </c>
      <c r="D285">
        <v>6</v>
      </c>
      <c r="E285">
        <v>1</v>
      </c>
      <c r="F285" s="3">
        <f>721.3+(32.2-342.4)+(-1.103589+(-0.049266--0.523872))+0-0-0</f>
        <v>410.47101699999996</v>
      </c>
      <c r="G285" s="3">
        <f>728.9+(42.5-344.8)+(0.371739+(0.021675-0.175848))+0-0-0</f>
        <v>426.81756599999994</v>
      </c>
      <c r="H285" s="3">
        <f>719.9+(39-363.5)+(-1.468596+(-0.07956--0.74154))+0-0-0</f>
        <v>394.59338399999996</v>
      </c>
      <c r="I285" s="3">
        <f>722.4+(43-397.7)+(-0.736848+(-0.04386--0.405654))+0-0-0</f>
        <v>367.32494600000001</v>
      </c>
      <c r="J285" s="3">
        <f>718.6+(46.4-404.7)+(-1.099458+(-0.070992--0.619191))+0-0-0</f>
        <v>359.748741</v>
      </c>
      <c r="K285" s="3">
        <f>724.2+(44.9-382.6)+(0+(0-0))+0-0-0</f>
        <v>386.5</v>
      </c>
      <c r="L285" s="3">
        <f>719.6+(45.6-351.3)+(-1.100988+(-0.069768--0.537489))+0-0-0</f>
        <v>413.26673300000004</v>
      </c>
      <c r="M285" s="3">
        <f>725.3+(38.3-367.5)+(0.739806+(0.039066-0.37485))+0-0-0</f>
        <v>396.50402199999996</v>
      </c>
      <c r="N285" s="3">
        <f>819.3+(30.7-314.8)+(0.417843+(0.015657-0.160548))+0-0-0</f>
        <v>535.47295199999996</v>
      </c>
      <c r="O285" s="3">
        <f>859.5+(33.6-306.5)+(-2.191725+(-0.08568--0.781575))+0-0-0</f>
        <v>585.10417000000007</v>
      </c>
      <c r="P285" s="3">
        <f>845.7+(34.4-311.9)+(0+(0-0))+0-0-0</f>
        <v>568.20000000000005</v>
      </c>
      <c r="Q285" s="3">
        <f>872.2+(32.5-307.6)+(-0.889644+(-0.03315--0.313752))+0-0-0</f>
        <v>596.49095799999998</v>
      </c>
      <c r="R285" s="3">
        <f>836+(32.5-368.7)+(-1.70544+(-0.0663--0.752148))+0-0-0</f>
        <v>498.78040800000002</v>
      </c>
      <c r="S285" s="3">
        <f>862+(32.5-321.3)+(-1.31886+(-0.049725--0.491589))+0-0-0</f>
        <v>572.32300400000008</v>
      </c>
      <c r="T285" s="3">
        <f>829+(32.5-319.7)+(-0.42279+(-0.016575--0.163047))+0-0-0</f>
        <v>541.52368200000001</v>
      </c>
      <c r="U285" s="3">
        <f>773+(30.4-302.3)+(-0.39423+(-0.015504--0.154173))+0-0-0</f>
        <v>500.84443899999997</v>
      </c>
      <c r="V285" s="3">
        <f>779+(44.7-273.8)+(-1.58916+(-0.091188--0.558552))+0-0-0</f>
        <v>548.77820399999996</v>
      </c>
      <c r="W285" s="3">
        <f>881+(65.1-272)+(-1.34793+(-0.099603--0.41616))+0-0-0</f>
        <v>673.06862699999999</v>
      </c>
      <c r="X285" s="3">
        <f>872+(47.9-283.9)+(-2.66832+(-0.146574--0.868734))+0-0-0</f>
        <v>634.05384000000004</v>
      </c>
      <c r="Y285" s="3">
        <f>880+(43.3-256.4)+(0+(0-0))+0-0-0</f>
        <v>666.90000000000009</v>
      </c>
      <c r="Z285" s="3">
        <f>871+(26-273.5)+(-1.33263+(-0.03978--0.418455))+0-0-0</f>
        <v>622.54604500000005</v>
      </c>
      <c r="AA285" s="3">
        <f>864+(74.4-325.1)+(-0.44064+(-0.037944--0.165801))+0-0-0</f>
        <v>612.98721699999999</v>
      </c>
      <c r="AB285" s="3">
        <f>882+(17.9-368.7)+(-1.79928+(-0.036516--0.752148))+0-0-0</f>
        <v>530.11635200000001</v>
      </c>
      <c r="AC285" s="3">
        <f>883+(28.5-354.8)+(-2.70198+(-0.08721--1.085688))+0-0-0</f>
        <v>554.99649800000009</v>
      </c>
      <c r="AD285">
        <f t="shared" si="4"/>
        <v>12397.412805</v>
      </c>
      <c r="AE285" s="3">
        <f>870+(146-318.4)+(0+(0-0))+0-0-0</f>
        <v>697.6</v>
      </c>
    </row>
    <row r="286" spans="1:31" s="2" customFormat="1" x14ac:dyDescent="0.25">
      <c r="A286">
        <v>89</v>
      </c>
      <c r="B286">
        <v>10</v>
      </c>
      <c r="C286">
        <v>10</v>
      </c>
      <c r="D286">
        <v>7</v>
      </c>
      <c r="E286">
        <v>1</v>
      </c>
      <c r="F286" s="3">
        <f>880+(28-441.5)+(0+(0-0))+0-0-0</f>
        <v>466.5</v>
      </c>
      <c r="G286" s="3">
        <f>875+(65.6-472.1)+(-0.8925+(-0.066912--0.481542))+0-0-0</f>
        <v>468.02213</v>
      </c>
      <c r="H286" s="3">
        <f>889+(65.7-487.5)+(0+(0-0))+0-0-0</f>
        <v>467.2</v>
      </c>
      <c r="I286" s="3">
        <f>895+(20.5-544.7)+(-1.36935+(-0.031365--0.833391))+0-0-0</f>
        <v>370.23267599999997</v>
      </c>
      <c r="J286" s="3">
        <f>882+(20.6-552.1)+(-0.89964+(-0.021012--0.563142))+0-0-0</f>
        <v>350.14249000000001</v>
      </c>
      <c r="K286" s="3">
        <f>896+(34.2-563)+(0.45696+(0.017442-0.28713))+0-0-0</f>
        <v>367.38727200000005</v>
      </c>
      <c r="L286" s="3">
        <f>877+(34.1-553.1)+(0+(0-0))+0-0-0</f>
        <v>358</v>
      </c>
      <c r="M286" s="3">
        <f>862+(28-545.7)+(-0.87924+(-0.02856--0.556614))+0-0-0</f>
        <v>343.94881399999997</v>
      </c>
      <c r="N286" s="3">
        <f>884+(15.2-476)+(-1.35252+(-0.023256--0.72828))+0-0-0</f>
        <v>422.552504</v>
      </c>
      <c r="O286" s="3">
        <f>861+(8.7-410.7)+(-0.43911+(-0.004437--0.209457))+0-0-0</f>
        <v>458.76591000000002</v>
      </c>
      <c r="P286" s="3">
        <f>881+(22.9-409.6)+(-2.24655+(-0.058395--1.04448))+0-0-0</f>
        <v>493.03953499999994</v>
      </c>
      <c r="Q286" s="3">
        <f>857+(20.3-397.7)+(0.43707+(0.010353-0.202827))+0-0-0</f>
        <v>479.84459600000002</v>
      </c>
      <c r="R286" s="3">
        <f>848+(18.9-439.1)+(-0.86496+(-0.019278--0.447882))+0-0-0</f>
        <v>427.36364399999997</v>
      </c>
      <c r="S286" s="3">
        <f>852+(10.7-388.9)+(-2.60712+(-0.032742--1.190034))+0-0-0</f>
        <v>472.35017199999999</v>
      </c>
      <c r="T286" s="3">
        <f>859+(6-391.5)+(0.87618+(0.00612-0.39933))+0-0-0</f>
        <v>473.98297000000002</v>
      </c>
      <c r="U286" s="3">
        <f>853+(6-401.1)+(-0.43503+(-0.00306--0.204561))+0-0-0</f>
        <v>457.666471</v>
      </c>
      <c r="V286" s="3">
        <f>871+(15.4-382.7)+(-0.44421+(-0.007854--0.195177))+0-0-0</f>
        <v>503.44311299999998</v>
      </c>
      <c r="W286" s="3">
        <f>872+(28.1-366.5)+(0.44472+(0.014331-0.186915))+0-0-0</f>
        <v>533.87213600000007</v>
      </c>
      <c r="X286" s="3">
        <f>852+(26.1-377.2)+(-1.30356+(-0.039933--0.577116))+0-0-0</f>
        <v>500.13362300000006</v>
      </c>
      <c r="Y286" s="3">
        <f>881+(24.8-373.6)+(-0.44931+(-0.012648--0.190536))+0-0-0</f>
        <v>531.92857800000002</v>
      </c>
      <c r="Z286" s="3">
        <f>875+(18-389.1)+(0.44625+(0.00918-0.198441))+0-0-0</f>
        <v>504.15698899999995</v>
      </c>
      <c r="AA286" s="3">
        <f>884+(6-406.9)+(-1.35252+(-0.00918--0.622557))+0-0-0</f>
        <v>482.36085700000001</v>
      </c>
      <c r="AB286" s="3">
        <f>890+(6-442.4)+(-2.2695+(-0.0153--1.12812))+0-0-0</f>
        <v>452.44332000000003</v>
      </c>
      <c r="AC286" s="3">
        <f>867+(6-466)+(-0.44217+(-0.00306--0.23766))+0-0-0</f>
        <v>406.79243000000002</v>
      </c>
      <c r="AD286">
        <f t="shared" si="4"/>
        <v>10792.130229999999</v>
      </c>
      <c r="AE286" s="3">
        <f>860+(20-405.6)+(0+(0-0))+0-0-0</f>
        <v>474.4</v>
      </c>
    </row>
    <row r="287" spans="1:31" s="2" customFormat="1" x14ac:dyDescent="0.25">
      <c r="A287">
        <v>89</v>
      </c>
      <c r="B287">
        <v>10</v>
      </c>
      <c r="C287">
        <v>11</v>
      </c>
      <c r="D287">
        <v>1</v>
      </c>
      <c r="E287">
        <v>1</v>
      </c>
      <c r="F287" s="3">
        <f>755+(120-375.6)+(-1.92525+(-0.306--0.95778))+0-0-0</f>
        <v>498.12653</v>
      </c>
      <c r="G287" s="3">
        <f>627+(118-347.5)+(-1.59885+(-0.3009--0.886125))+0-0-0</f>
        <v>396.48637500000001</v>
      </c>
      <c r="H287" s="3">
        <f>634+(110-350.4)+(-1.29336+(-0.2244--0.714816))+0-0-0</f>
        <v>392.797056</v>
      </c>
      <c r="I287" s="3">
        <f>629+(110-336.7)+(-0.64158+(-0.1122--0.343434))+0-0-0</f>
        <v>401.88965400000001</v>
      </c>
      <c r="J287" s="3">
        <f>619+(94-329.3)+(0+(0-0))+0-0-0</f>
        <v>383.7</v>
      </c>
      <c r="K287" s="3">
        <f>630+(100-345.8)+(0.9639+(0.153-0.529074))+0-0-0</f>
        <v>384.787826</v>
      </c>
      <c r="L287" s="3">
        <f>854+(34-499.1)+(-0.87108+(-0.03468--0.509082))+0-0-0</f>
        <v>388.50332199999997</v>
      </c>
      <c r="M287" s="3">
        <f>853+(39-478.6)+(0.43503+(0.01989-0.244086))+0-0-0</f>
        <v>413.61083399999995</v>
      </c>
      <c r="N287" s="3">
        <f>880+(80-465.6)+(-0.8976+(-0.0816--0.474912))+0-0-0</f>
        <v>493.895712</v>
      </c>
      <c r="O287" s="3">
        <f>859+(85-447)+(0+(0-0))+0-0-0</f>
        <v>497</v>
      </c>
      <c r="P287" s="3">
        <f>857+(112.6-456.2)+(0.43707+(0.057426-0.232662))+0-0-0</f>
        <v>513.661834</v>
      </c>
      <c r="Q287" s="3">
        <f>852+(84.5-431.4)+(-1.73808+(-0.17238--0.880056))+0-0-0</f>
        <v>504.06959600000005</v>
      </c>
      <c r="R287" s="3">
        <f>859+(51.2-423.9)+(-1.31427+(-0.078336--0.648567))+0-0-0</f>
        <v>485.55596100000002</v>
      </c>
      <c r="S287" s="3">
        <f>852+(30.5-407.2)+(-0.86904+(-0.03111--0.415344))+0-0-0</f>
        <v>474.81519400000002</v>
      </c>
      <c r="T287" s="3">
        <f>860+(51.9-396)+(-1.3158+(-0.079407--0.60588))+0-0-0</f>
        <v>515.11067300000002</v>
      </c>
      <c r="U287" s="3">
        <f>859+(15-382.4)+(0.87618+(0.0153-0.390048))+0-0-0</f>
        <v>492.10143200000005</v>
      </c>
      <c r="V287" s="3">
        <f>838+(61.1-338.3)+(0+(0-0))+0-0-0</f>
        <v>560.79999999999995</v>
      </c>
      <c r="W287" s="3">
        <f>858+(148-331.4)+(-2.1879+(-0.3774--0.84507))+0-0-0</f>
        <v>672.87977000000001</v>
      </c>
      <c r="X287" s="3">
        <f>859+(143.5-338)+(-2.19045+(-0.365925--0.8619))+0-0-0</f>
        <v>662.80552499999999</v>
      </c>
      <c r="Y287" s="3">
        <f>861+(153-343.6)+(-0.87822+(-0.15606--0.350472))+0-0-0</f>
        <v>669.71619199999998</v>
      </c>
      <c r="Z287" s="3">
        <f>870+(120.1-364)+(-0.8874+(-0.122502--0.37128))+0-0-0</f>
        <v>625.46137799999997</v>
      </c>
      <c r="AA287" s="3">
        <f>870+(84.2-370.7)+(-1.3311+(-0.128826--0.567171))+0-0-0</f>
        <v>582.60724500000003</v>
      </c>
      <c r="AB287" s="3">
        <f>848+(106.5-407.9)+(-0.43248+(-0.054315--0.208029))+0-0-0</f>
        <v>546.321234</v>
      </c>
      <c r="AC287" s="3">
        <f>875+(84-456.4)+(-2.23125+(-0.2142--1.16382))+0-0-0</f>
        <v>501.31837000000002</v>
      </c>
      <c r="AD287">
        <f t="shared" si="4"/>
        <v>12058.021713000002</v>
      </c>
      <c r="AE287" s="3">
        <f>874+(143-370.5)+(0+(0-0))+0-0-0</f>
        <v>646.5</v>
      </c>
    </row>
    <row r="288" spans="1:31" s="2" customFormat="1" x14ac:dyDescent="0.25">
      <c r="A288">
        <v>89</v>
      </c>
      <c r="B288">
        <v>10</v>
      </c>
      <c r="C288">
        <v>12</v>
      </c>
      <c r="D288">
        <v>2</v>
      </c>
      <c r="E288">
        <v>1</v>
      </c>
      <c r="F288" s="3">
        <f>881+(20-495.3)+(-1.34793+(-0.0306--0.757809))+0-0-0</f>
        <v>405.07927899999999</v>
      </c>
      <c r="G288" s="3">
        <f>849+(15.5-480.3)+(0+(0-0))+0-0-0</f>
        <v>384.2</v>
      </c>
      <c r="H288" s="3">
        <f>871+(16-486.5)+(-2.22105+(-0.0408--1.240575))+0-0-0</f>
        <v>399.478725</v>
      </c>
      <c r="I288" s="3">
        <f>871+(25.4-509)+(1.33263+(0.038862-0.77877))+0-0-0</f>
        <v>387.99272199999996</v>
      </c>
      <c r="J288" s="3">
        <f>882+(29.5-508.8)+(-1.79928+(-0.06018--1.037952))+0-0-0</f>
        <v>401.87849199999999</v>
      </c>
      <c r="K288" s="3">
        <f>889+(44.2-526.8)+(-0.45339+(-0.022542--0.268668))+0-0-0</f>
        <v>406.19273600000002</v>
      </c>
      <c r="L288" s="3">
        <f>842+(53-482.7)+(-0.85884+(-0.05406--0.492354))+0-0-0</f>
        <v>411.87945400000001</v>
      </c>
      <c r="M288" s="3">
        <f>860+(46.2-526.4)+(-0.4386+(-0.023562--0.268464))+0-0-0</f>
        <v>379.60630200000003</v>
      </c>
      <c r="N288" s="3">
        <f>859+(51.6-499.3)+(-0.43809+(-0.026316--0.254643))+0-0-0</f>
        <v>411.090237</v>
      </c>
      <c r="O288" s="3">
        <f>870+(41.8-402.3)+(-1.3311+(-0.063954--0.615519))+0-0-0</f>
        <v>508.72046499999999</v>
      </c>
      <c r="P288" s="3">
        <f>867+(58.5-372.9)+(1.32651+(0.089505-0.570537))+0-0-0</f>
        <v>553.44547799999998</v>
      </c>
      <c r="Q288" s="3">
        <f>867+(44.7-392.2)+(-2.21085+(-0.113985--1.00011))+0-0-0</f>
        <v>518.17527500000006</v>
      </c>
      <c r="R288" s="3">
        <f>867+(16.9-396.8)+(-2.21085+(-0.043095--1.01184))+0-0-0</f>
        <v>485.85789499999998</v>
      </c>
      <c r="S288" s="3">
        <f>867+(4.4-393)+(0+(0-0))+0-0-0</f>
        <v>478.4</v>
      </c>
      <c r="T288" s="3">
        <f>867+(11.3-446.9)+(-0.44217+(-0.005763--0.227919))+0-0-0</f>
        <v>431.17998600000004</v>
      </c>
      <c r="U288" s="3">
        <f>867+(16-432.6)+(-2.21085+(-0.0408--1.10313))+0-0-0</f>
        <v>449.25147999999996</v>
      </c>
      <c r="V288" s="3">
        <f>868+(53-419.3)+(-2.2134+(-0.13515--1.069215))+0-0-0</f>
        <v>500.42066499999999</v>
      </c>
      <c r="W288" s="3">
        <f>868+(74.2-391.8)+(-2.2134+(-0.18921--0.99909))+0-0-0</f>
        <v>548.99648000000002</v>
      </c>
      <c r="X288" s="3">
        <f>868+(73.5-360.5)+(-2.65608+(-0.22491--1.10313))+0-0-0</f>
        <v>579.22213999999997</v>
      </c>
      <c r="Y288" s="3">
        <f>868+(78.2-366.4)+(-2.2134+(-0.19941--0.93432))+0-0-0</f>
        <v>578.32150999999999</v>
      </c>
      <c r="Z288" s="3">
        <f>883+(59.2-365.5)+(-1.35099+(-0.090576--0.559215))+0-0-0</f>
        <v>575.81764900000007</v>
      </c>
      <c r="AA288" s="3">
        <f>893.4+(67.1-381.4)+(0+(0-0))+0-0-0</f>
        <v>579.1</v>
      </c>
      <c r="AB288" s="3">
        <f>883.9+(61.8-412)+(-1.352367+(-0.094554--0.63036))+0-0-0</f>
        <v>532.88343900000007</v>
      </c>
      <c r="AC288" s="3">
        <f>881.4+(44.7-437.7)+(-1.798056+(-0.091188--0.892908))+0-0-0</f>
        <v>487.40366399999999</v>
      </c>
      <c r="AD288">
        <f t="shared" si="4"/>
        <v>11394.594072999998</v>
      </c>
      <c r="AE288" s="3">
        <f>907+(77.6-364.8)+(0+(0-0))+0-0-0</f>
        <v>619.79999999999995</v>
      </c>
    </row>
    <row r="289" spans="1:31" s="2" customFormat="1" x14ac:dyDescent="0.25">
      <c r="A289">
        <v>89</v>
      </c>
      <c r="B289">
        <v>10</v>
      </c>
      <c r="C289">
        <v>13</v>
      </c>
      <c r="D289">
        <v>3</v>
      </c>
      <c r="E289">
        <v>1</v>
      </c>
      <c r="F289" s="3">
        <f>873.1+(17.4-431.6)+(-1.781124+(-0.035496--0.880464))+0-0-0</f>
        <v>457.96384399999999</v>
      </c>
      <c r="G289" s="3">
        <f>877.2+(25.2-487.7)+(-0.894744+(-0.025704--0.497454))+0-0-0</f>
        <v>414.27700600000003</v>
      </c>
      <c r="H289" s="3">
        <f>878.1+(29.2-513)+(-0.895662+(-0.029784--0.52326))+0-0-0</f>
        <v>393.89781400000004</v>
      </c>
      <c r="I289" s="3">
        <f>876.2+(31.8-520)+(-1.340586+(-0.048654--0.7956))+0-0-0</f>
        <v>387.40636000000006</v>
      </c>
      <c r="J289" s="3">
        <f>885.8+(37.1-537.8)+(1.355274+(0.056763-0.822834))+0-0-0</f>
        <v>385.68920300000002</v>
      </c>
      <c r="K289" s="3">
        <f>882.5+(72.5-560.9)+(0+(0-0))+0-0-0</f>
        <v>394.1</v>
      </c>
      <c r="L289" s="3">
        <f>880.5+(66.5-560.9)+(0+(0-0))+0-0-0</f>
        <v>386.1</v>
      </c>
      <c r="M289" s="3">
        <f>876.9+(85.8-529.9)+(-0.894438+(-0.087516--0.540498))+0-0-0</f>
        <v>432.35854399999999</v>
      </c>
      <c r="N289" s="3">
        <f>876.3+(91.2-532.4)+(-0.446913+(-0.046512--0.271524))+0-0-0</f>
        <v>434.87809899999996</v>
      </c>
      <c r="O289" s="3">
        <f>881.4+(116.5-520.6)+(-0.899028+(-0.11883--0.531012))+0-0-0</f>
        <v>476.81315399999994</v>
      </c>
      <c r="P289" s="3">
        <f>876.7+(62.2-459.2)+(-1.788468+(-0.126888--0.936768))+0-0-0</f>
        <v>478.72141200000004</v>
      </c>
      <c r="Q289" s="3">
        <f>878.9+(50.9-425.1)+(-1.344717+(-0.077877--0.650403))+0-0-0</f>
        <v>503.92780899999991</v>
      </c>
      <c r="R289" s="3">
        <f>876.2+(28.5-407.9)+(-1.787448+(-0.05814--0.832116))+0-0-0</f>
        <v>495.78652800000009</v>
      </c>
      <c r="S289" s="3">
        <f>878.9+(27.8-420)+(-0.896478+(-0.028356--0.4284))+0-0-0</f>
        <v>486.20356599999997</v>
      </c>
      <c r="T289" s="3">
        <f>867.6+(31.1-423)+(-0.442476+(-0.015861--0.21573))+0-0-0</f>
        <v>475.45739300000002</v>
      </c>
      <c r="U289" s="3">
        <f>855.4+(30.4-414)+(-0.872508+(-0.031008--0.42228))+0-0-0</f>
        <v>471.31876399999993</v>
      </c>
      <c r="V289" s="3">
        <f>848.4+(25.5-410.2)+(-2.16342+(-0.065025--1.04601))+0-0-0</f>
        <v>462.51756499999999</v>
      </c>
      <c r="W289" s="3">
        <f>869.1+(54.1-384.2)+(-2.216205+(-0.137955--0.97971))+0-0-0</f>
        <v>537.62554999999998</v>
      </c>
      <c r="X289" s="3">
        <f>877.5+(52.5-350.2)+(-1.7901+(-0.1071--0.714408))+0-0-0</f>
        <v>578.61720800000001</v>
      </c>
      <c r="Y289" s="3">
        <f>881+(48.9-289.1)+(-0.89862+(-0.049878--0.294882))+0-0-0</f>
        <v>640.1463839999999</v>
      </c>
      <c r="Z289" s="3">
        <f>877.5+(51-302.1)+(-0.89505+(-0.05202--0.308142))+0-0-0</f>
        <v>625.76107200000001</v>
      </c>
      <c r="AA289" s="3">
        <f>882.2+(82.4-349)+(0.449922+(0.042024-0.17799))+0-0-0</f>
        <v>615.91395599999998</v>
      </c>
      <c r="AB289" s="3">
        <f>877.1+(62.6-349.9)+(-1.341963+(-0.095778--0.535347))+0-0-0</f>
        <v>588.89760600000011</v>
      </c>
      <c r="AC289" s="3">
        <f>872.8+(72.8-400.2)+(-2.22564+(-0.18564--1.02051))+0-0-0</f>
        <v>544.00923</v>
      </c>
      <c r="AD289">
        <f t="shared" si="4"/>
        <v>11668.388066999998</v>
      </c>
      <c r="AE289" s="3">
        <f>889+(83.1-319.5)+(0+(0-0))+0-0-0</f>
        <v>652.6</v>
      </c>
    </row>
    <row r="290" spans="1:31" s="2" customFormat="1" x14ac:dyDescent="0.25">
      <c r="A290">
        <v>89</v>
      </c>
      <c r="B290">
        <v>10</v>
      </c>
      <c r="C290">
        <v>14</v>
      </c>
      <c r="D290">
        <v>4</v>
      </c>
      <c r="E290">
        <v>1</v>
      </c>
      <c r="F290" s="3">
        <f>857.8+(13.4-389.6)+(-1.749912+(-0.027336--0.794784))+0-0-0</f>
        <v>480.61753599999992</v>
      </c>
      <c r="G290" s="3">
        <f>693+(50-306.3)+(-0.70686+(-0.051--0.312426))+0-0-0</f>
        <v>436.25456600000001</v>
      </c>
      <c r="H290" s="3">
        <f>563.4+(85.5-242.8)+(0+(0-0))+0-0-0</f>
        <v>406.09999999999997</v>
      </c>
      <c r="I290" s="3">
        <f>558.4+(80.8-239.4)+(-0.569568+(-0.082416--0.244188))+0-0-0</f>
        <v>399.39220399999994</v>
      </c>
      <c r="J290" s="3">
        <f>563.8+(75-247.6)+(1.150152+(0.153-0.505104))+0-0-0</f>
        <v>391.99804799999993</v>
      </c>
      <c r="K290" s="3">
        <f>559.4+(91.2-250.5)+(0.285294+(0.046512-0.127755))+0-0-0</f>
        <v>400.30405099999996</v>
      </c>
      <c r="L290" s="3">
        <f>558.4+(70.2-241)+(-0.569568+(-0.071604--0.24582))+0-0-0</f>
        <v>387.20464799999996</v>
      </c>
      <c r="M290" s="3">
        <f>636.2+(53.8-267.5)+(-0.973386+(-0.082314--0.409275))+0-0-0</f>
        <v>421.85357500000003</v>
      </c>
      <c r="N290" s="3">
        <f>559.9+(116.8-200.5)+(-0.571098+(-0.119136--0.20451))+0-0-0</f>
        <v>475.71427599999998</v>
      </c>
      <c r="O290" s="3">
        <f>513.1+(147-187.3)+(-0.523362+(-0.14994--0.191046))+0-0-0</f>
        <v>472.317744</v>
      </c>
      <c r="P290" s="3">
        <f>662.3+(93.7-239.8)+(-0.337773+(-0.047787--0.122298))+0-0-0</f>
        <v>515.93673799999988</v>
      </c>
      <c r="Q290" s="3">
        <f>657.5+(91.6-233.8)+(-1.3413+(-0.186864--0.476952))+0-0-0</f>
        <v>514.24878799999999</v>
      </c>
      <c r="R290" s="3">
        <f>665.6+(82.1-232.5)+(-0.678912+(-0.083742--0.23715))+0-0-0</f>
        <v>514.67449600000009</v>
      </c>
      <c r="S290" s="3">
        <f>665.2+(56.6-211.7)+(-0.678504+(-0.057732--0.215934))+0-0-0</f>
        <v>509.57969800000001</v>
      </c>
      <c r="T290" s="3">
        <f>667.2+(60.1-229.8)+(-0.340272+(-0.030651--0.117198))+0-0-0</f>
        <v>497.24627500000003</v>
      </c>
      <c r="U290" s="3">
        <f>670.9+(46.8-230.3)+(0+(0-0))+0-0-0</f>
        <v>487.4</v>
      </c>
      <c r="V290" s="3">
        <f>662.2+(62.5-210.6)+(-1.350888+(-0.1275--0.429624))+0-0-0</f>
        <v>513.05123600000002</v>
      </c>
      <c r="W290" s="3">
        <f>680.1+(157.3-205.5)+(0+(0-0))+0-0-0</f>
        <v>631.90000000000009</v>
      </c>
      <c r="X290" s="3">
        <f>688.9+(161.6-195)+(-0.702678+(-0.164832--0.1989))+0-0-0</f>
        <v>654.83139000000006</v>
      </c>
      <c r="Y290" s="3">
        <f>683.5+(142.4-194.5)+(-0.348585+(-0.072624--0.099195))+0-0-0</f>
        <v>631.07798600000001</v>
      </c>
      <c r="Z290" s="3">
        <f>673.6+(139.7-196.9)+(-1.71768+(-0.356235--0.502095))+0-0-0</f>
        <v>614.82817999999997</v>
      </c>
      <c r="AA290" s="3">
        <f>675.9+(136-234.6)+(0+(0-0))+0-0-0</f>
        <v>577.29999999999995</v>
      </c>
      <c r="AB290" s="3">
        <f>672+(121.9-257.3)+(-0.34272+(-0.062169--0.131223))+0-0-0</f>
        <v>536.32633399999997</v>
      </c>
      <c r="AC290" s="3">
        <f>672+(116.4-317.5)+(-1.02816+(-0.178092--0.485775))+0-0-0</f>
        <v>470.17952299999996</v>
      </c>
      <c r="AD290">
        <f t="shared" si="4"/>
        <v>11940.337292</v>
      </c>
      <c r="AE290" s="3">
        <f>690+(158.5-224.6)+(0+(0-0))+0-0-0</f>
        <v>623.9</v>
      </c>
    </row>
    <row r="291" spans="1:31" s="2" customFormat="1" x14ac:dyDescent="0.25">
      <c r="A291">
        <v>89</v>
      </c>
      <c r="B291">
        <v>10</v>
      </c>
      <c r="C291">
        <v>15</v>
      </c>
      <c r="D291">
        <v>5</v>
      </c>
      <c r="E291">
        <v>1</v>
      </c>
      <c r="F291" s="3">
        <f>670.4+(92.8-330.2)+(-1.367616+(-0.189312--0.673608))+0-0-0</f>
        <v>432.11667999999997</v>
      </c>
      <c r="G291" s="3">
        <f>672+(70.6-339.6)+(-0.68544+(-0.072012--0.346392))+0-0-0</f>
        <v>402.58893999999998</v>
      </c>
      <c r="H291" s="3">
        <f>672+(63.6-343.5)+(-0.34272+(-0.032436--0.175185))+0-0-0</f>
        <v>391.90002900000002</v>
      </c>
      <c r="I291" s="3">
        <f>538.1+(102.1-251.4)+(-0.274431+(-0.052071--0.128214))+0-0-0</f>
        <v>388.60171200000002</v>
      </c>
      <c r="J291" s="3">
        <f>500.1+(119.9-231.6)+(-0.255051+(-0.061149--0.118116))+0-0-0</f>
        <v>388.20191600000004</v>
      </c>
      <c r="K291" s="3">
        <f>499.1+(120.9-234.2)+(-0.509082+(-0.123318--0.238884))+0-0-0</f>
        <v>385.40648400000009</v>
      </c>
      <c r="L291" s="3">
        <f>498.6+(123.8-214.7)+(-0.508572+(-0.126276--0.218994))+0-0-0</f>
        <v>407.28414600000002</v>
      </c>
      <c r="M291" s="3">
        <f>588.2+(92.5-247.8)+(-0.599964+(-0.09435--0.252756))+0-0-0</f>
        <v>432.45844200000005</v>
      </c>
      <c r="N291" s="3">
        <f>660.6+(69.6-254.5)+(-1.347624+(-0.141984--0.51918))+0-0-0</f>
        <v>474.72957200000002</v>
      </c>
      <c r="O291" s="3">
        <f>667.4+(78.8-230.7)+(-0.340374+(-0.040188--0.117657))+0-0-0</f>
        <v>515.23709499999995</v>
      </c>
      <c r="P291" s="3">
        <f>665+(78.3-197.8)+(-0.33915+(-0.039933--0.100878))+0-0-0</f>
        <v>545.22179500000004</v>
      </c>
      <c r="Q291" s="3">
        <f>665.4+(81.7-188.3)+(-0.339354+(-0.041667--0.096033))+0-0-0</f>
        <v>558.51501199999996</v>
      </c>
      <c r="R291" s="3">
        <f>665.7+(82.5-201.2)+(-0.679014+(-0.08415--0.205224))+0-0-0</f>
        <v>546.44205999999997</v>
      </c>
      <c r="S291" s="3">
        <f>663.9+(70.8-203.1)+(-1.015767+(-0.108324--0.310743))+0-0-0</f>
        <v>530.78665199999989</v>
      </c>
      <c r="T291" s="3">
        <f>665.4+(54.7-201.8)+(-0.678708+(-0.055794--0.205836))+0-0-0</f>
        <v>517.77133399999991</v>
      </c>
      <c r="U291" s="3">
        <f>675.9+(71.8-228.1)+(1.723545+(0.18309-0.581655))+0-0-0</f>
        <v>520.92497999999989</v>
      </c>
      <c r="V291" s="3">
        <f>662.8+(82.7-198.9)+(-1.014084+(-0.126531--0.304317))+0-0-0</f>
        <v>545.76370199999985</v>
      </c>
      <c r="W291" s="3">
        <f>678+(158.9-196.3)+(0.34578+(0.081039-0.100113))+0-0-0</f>
        <v>640.92670599999997</v>
      </c>
      <c r="X291" s="3">
        <f>703.9+(147.2-197.1)+(-1.435956+(-0.300288--0.402084))+0-0-0</f>
        <v>652.66584</v>
      </c>
      <c r="Y291" s="3">
        <f>646.3+(186.1-198.3)+(-0.988839+(-0.284733--0.303399))+0-0-0</f>
        <v>633.12982699999986</v>
      </c>
      <c r="Z291" s="3">
        <f>648.3+(180.2-191.7)+(-0.330633+(-0.091902--0.097767))+0-0-0</f>
        <v>636.47523200000001</v>
      </c>
      <c r="AA291" s="3">
        <f>646.8+(169.7-217)+(-0.989604+(-0.259641--0.33201))+0-0-0</f>
        <v>598.58276499999999</v>
      </c>
      <c r="AB291" s="3">
        <f>643.1+(150.8-241.6)+(-1.639905+(-0.38454--0.61608))+0-0-0</f>
        <v>550.89163500000006</v>
      </c>
      <c r="AC291" s="3">
        <f>641.6+(123.7-268.7)+(-1.63608+(-0.315435--0.685185))+0-0-0</f>
        <v>495.33367000000004</v>
      </c>
      <c r="AD291">
        <f t="shared" si="4"/>
        <v>12191.956226</v>
      </c>
      <c r="AE291" s="3">
        <f>715+(162.1-222.7)+(0+(0-0))+0-0-0</f>
        <v>654.4</v>
      </c>
    </row>
    <row r="292" spans="1:31" s="2" customFormat="1" x14ac:dyDescent="0.25">
      <c r="A292">
        <v>89</v>
      </c>
      <c r="B292">
        <v>10</v>
      </c>
      <c r="C292">
        <v>16</v>
      </c>
      <c r="D292">
        <v>6</v>
      </c>
      <c r="E292">
        <v>1</v>
      </c>
      <c r="F292" s="3">
        <f>647.3+(98.1-319)+(-0.660246+(-0.100062--0.32538))+0-0-0</f>
        <v>425.96507199999996</v>
      </c>
      <c r="G292" s="3">
        <f>645.5+(70.5-318.9)+(-0.987615+(-0.107865--0.487917))+0-0-0</f>
        <v>396.492437</v>
      </c>
      <c r="H292" s="3">
        <f>644.3+(47.3-320)+(-1.314372+(-0.096492--0.6528))+0-0-0</f>
        <v>370.84193599999998</v>
      </c>
      <c r="I292" s="3">
        <f>653.8+(21.6-321.1)+(-1.000314+(-0.033048--0.491283))+0-0-0</f>
        <v>353.75792099999995</v>
      </c>
      <c r="J292" s="3">
        <f>645.1+(22.4-306.1)+(-0.329001+(-0.011424--0.156111))+0-0-0</f>
        <v>361.21568600000001</v>
      </c>
      <c r="K292" s="3">
        <f>606+(28.1-290.2)+(0+(0-0))+0-0-0</f>
        <v>343.90000000000003</v>
      </c>
      <c r="L292" s="3">
        <f>602.3+(22.5-272)+(-0.307173+(-0.011475--0.13872))+0-0-0</f>
        <v>352.62007199999994</v>
      </c>
      <c r="M292" s="3">
        <f>559.9+(42.2-279)+(0+(0-0))+0-0-0</f>
        <v>323.09999999999997</v>
      </c>
      <c r="N292" s="3">
        <f>685.2+(38.4-352.1)+(-0.349452+(-0.019584--0.179571))+0-0-0</f>
        <v>371.31053500000002</v>
      </c>
      <c r="O292" s="3">
        <f>715.3+(37.9-331.1)+(-0.729606+(-0.038658--0.337722))+0-0-0</f>
        <v>421.66945799999991</v>
      </c>
      <c r="P292" s="3">
        <f>760+(25.4-361.4)+(0+(0-0))+0-0-0</f>
        <v>424</v>
      </c>
      <c r="Q292" s="3">
        <f>732.8+(31.7-331.9)+(-0.747456+(-0.032334--0.338538))+0-0-0</f>
        <v>432.15874799999995</v>
      </c>
      <c r="R292" s="3">
        <f>778+(59.1-305.6)+(-2.38068+(-0.180846--0.935136))+0-0-0</f>
        <v>529.87360999999999</v>
      </c>
      <c r="S292" s="3">
        <f>763.4+(58.9-289)+(-1.168002+(-0.090117--0.44217))+0-0-0</f>
        <v>532.48405099999991</v>
      </c>
      <c r="T292" s="3">
        <f>668.2+(70-243.3)+(-0.681564+(-0.0714--0.248166))+0-0-0</f>
        <v>494.39520200000004</v>
      </c>
      <c r="U292" s="3">
        <f>653.8+(100.6-266.9)+(0+(0-0))+0-0-0</f>
        <v>487.5</v>
      </c>
      <c r="V292" s="3">
        <f>641.5+(106-247.5)+(-0.65433+(-0.10812--0.25245))+0-0-0</f>
        <v>499.49</v>
      </c>
      <c r="W292" s="3">
        <f>672.5+(135.4-241.1)+(0+(0-0))+0-0-0</f>
        <v>566.79999999999995</v>
      </c>
      <c r="X292" s="3">
        <f>689.6+(106.2-230.7)+(-1.75848+(-0.27081--0.588285))+0-0-0</f>
        <v>563.658995</v>
      </c>
      <c r="Y292" s="3">
        <f>685.4+(108-218.4)+(-1.048662+(-0.16524--0.334152))+0-0-0</f>
        <v>574.12025000000006</v>
      </c>
      <c r="Z292" s="3">
        <f>685.4+(108.4-224.4)+(-0.349554+(-0.055284--0.114444))+0-0-0</f>
        <v>569.10960599999999</v>
      </c>
      <c r="AA292" s="3">
        <f>685+(125-263.5)+(-0.6987+(-0.1275--0.26877))+0-0-0</f>
        <v>545.94257000000005</v>
      </c>
      <c r="AB292" s="3">
        <f>687.4+(119.3-297)+(-0.350574+(-0.060843--0.15147))+0-0-0</f>
        <v>509.44005299999998</v>
      </c>
      <c r="AC292" s="3">
        <f>682.2+(142.2-356.1)+(-1.043766+(-0.217566--0.544833))+0-0-0</f>
        <v>467.58350100000001</v>
      </c>
      <c r="AD292">
        <f t="shared" si="4"/>
        <v>10917.429702999998</v>
      </c>
      <c r="AE292" s="3">
        <f>695+(120.7-247.2)+(0+(0-0))+0-0-0</f>
        <v>568.5</v>
      </c>
    </row>
    <row r="293" spans="1:31" s="2" customFormat="1" x14ac:dyDescent="0.25">
      <c r="A293">
        <v>89</v>
      </c>
      <c r="B293">
        <v>10</v>
      </c>
      <c r="C293">
        <v>17</v>
      </c>
      <c r="D293">
        <v>7</v>
      </c>
      <c r="E293">
        <v>1</v>
      </c>
      <c r="F293" s="3">
        <f>513+(219.9-299.5)+(-0.26163+(-0.112149--0.152745))+0-0-0</f>
        <v>433.178966</v>
      </c>
      <c r="G293" s="3">
        <f>394+(227.1-218)+(-0.60282+(-0.347463--0.33354))+0-0-0</f>
        <v>402.48325700000004</v>
      </c>
      <c r="H293" s="3">
        <f>397+(182-195.9)+(0+(0-0))+0-0-0</f>
        <v>383.1</v>
      </c>
      <c r="I293" s="3">
        <f>395.9+(166.1-187.2)+(0.201909+(0.084711-0.095472))+0-0-0</f>
        <v>374.99114799999995</v>
      </c>
      <c r="J293" s="3">
        <f>393.5+(159.9-180.2)+(-0.40137+(-0.163098--0.183804))+0-0-0</f>
        <v>372.81933600000002</v>
      </c>
      <c r="K293" s="3">
        <f>426.9+(145.1-189.3)+(0.217719+(0.074001-0.096543))+0-0-0</f>
        <v>382.89517699999993</v>
      </c>
      <c r="L293" s="3">
        <f>439.7+(147.4-209.9)+(-1.121235+(-0.37587--0.535245))+0-0-0</f>
        <v>376.23813999999999</v>
      </c>
      <c r="M293" s="3">
        <f>463.7+(123.7-239.9)+(0+(0-0))+0-0-0</f>
        <v>347.5</v>
      </c>
      <c r="N293" s="3">
        <f>493.2+(124.5-257.2)+(0+(0-0))+0-0-0</f>
        <v>360.5</v>
      </c>
      <c r="O293" s="3">
        <f>607.1+(117.7-324.7)+(1.238484+(0.240108-0.662388))+0-0-0</f>
        <v>400.91620400000005</v>
      </c>
      <c r="P293" s="3">
        <f>784+(77.8-416)+(-1.19952+(-0.119034--0.63648))+0-0-0</f>
        <v>445.11792600000001</v>
      </c>
      <c r="Q293" s="3">
        <f>791.5+(77.8-407.2)+(-0.403665+(-0.039678--0.207672))+0-0-0</f>
        <v>461.864329</v>
      </c>
      <c r="R293" s="3">
        <f>793.3+(79.3-416.3)+(-1.213749+(-0.121329--0.636939))+0-0-0</f>
        <v>455.60186099999993</v>
      </c>
      <c r="S293" s="3">
        <f>793.9+(60.3-418.7)+(-0.809778+(-0.061506--0.427074))+0-0-0</f>
        <v>435.05579</v>
      </c>
      <c r="T293" s="3">
        <f>769.5+(52.5-412.6)+(0.78489+(0.05355-0.420852))+0-0-0</f>
        <v>409.817588</v>
      </c>
      <c r="U293" s="3">
        <f>748.4+(57-406.2)+(0+(0-0))+0-0-0</f>
        <v>399.2</v>
      </c>
      <c r="V293" s="3">
        <f>741.5+(67.1-392.8)+(-2.26899+(-0.205326--1.201968))+0-0-0</f>
        <v>414.52765199999993</v>
      </c>
      <c r="W293" s="3">
        <f>753.3+(113.2-361.6)+(-0.384183+(-0.057732--0.184416))+0-0-0</f>
        <v>504.64250099999992</v>
      </c>
      <c r="X293" s="3">
        <f>750.4+(147.6-350.8)+(-1.148112+(-0.225828--0.536724))+0-0-0</f>
        <v>546.36278399999992</v>
      </c>
      <c r="Y293" s="3">
        <f>711.8+(156.9-324)+(0+(0-0))+0-0-0</f>
        <v>544.69999999999993</v>
      </c>
      <c r="Z293" s="3">
        <f>628.4+(196.1-295.4)+(-1.281936+(-0.400044--0.602616))+0-0-0</f>
        <v>528.02063599999997</v>
      </c>
      <c r="AA293" s="3">
        <f>631.8+(208.4-326.6)+(-0.322218+(-0.106284--0.166566))+0-0-0</f>
        <v>513.33806399999992</v>
      </c>
      <c r="AB293" s="3">
        <f>630.5+(199.5-337.1)+(-0.321555+(-0.101745--0.171921))+0-0-0</f>
        <v>492.64862099999999</v>
      </c>
      <c r="AC293" s="3">
        <f>628.6+(208.7-381.9)+(-0.961758+(-0.319311--0.584307))+0-0-0</f>
        <v>454.70323800000006</v>
      </c>
      <c r="AD293">
        <f t="shared" si="4"/>
        <v>10440.223217999999</v>
      </c>
      <c r="AE293" s="3">
        <f>749+(150.4-346.3)+(0+(0-0))+0-0-0</f>
        <v>553.1</v>
      </c>
    </row>
    <row r="294" spans="1:31" s="2" customFormat="1" x14ac:dyDescent="0.25">
      <c r="A294">
        <v>89</v>
      </c>
      <c r="B294">
        <v>10</v>
      </c>
      <c r="C294">
        <v>18</v>
      </c>
      <c r="D294">
        <v>1</v>
      </c>
      <c r="E294">
        <v>1</v>
      </c>
      <c r="F294" s="3">
        <f>626.6+(156.1-354.1)+(-1.59783+(-0.398055--0.902955))+0-0-0</f>
        <v>427.50707</v>
      </c>
      <c r="G294" s="3">
        <f>507.3+(147-252.5)+(-0.517446+(-0.14994--0.25755))+0-0-0</f>
        <v>401.39016400000003</v>
      </c>
      <c r="H294" s="3">
        <f>489.9+(123.9-234.7)+(-1.249245+(-0.315945--0.598485))+0-0-0</f>
        <v>378.13329500000003</v>
      </c>
      <c r="I294" s="3">
        <f>494.1+(107.9-230.5)+(-0.503982+(-0.110058--0.23511))+0-0-0</f>
        <v>371.12106999999997</v>
      </c>
      <c r="J294" s="3">
        <f>495.8+(103.8-228.7)+(-0.252858+(-0.052938--0.116637))+0-0-0</f>
        <v>370.71084100000002</v>
      </c>
      <c r="K294" s="3">
        <f>493.4+(96.6-195.6)+(-0.503268+(-0.098532--0.199512))+0-0-0</f>
        <v>393.99771199999998</v>
      </c>
      <c r="L294" s="3">
        <f>584.7+(88.8-265.7)+(-0.298197+(-0.045288--0.135507))+0-0-0</f>
        <v>407.59202200000004</v>
      </c>
      <c r="M294" s="3">
        <f>649.9+(81-296.1)+(0.331449+(0.04131-0.151011))+0-0-0</f>
        <v>435.02174799999995</v>
      </c>
      <c r="N294" s="3">
        <f>708.6+(73.8-307)+(0+(0-0))+0-0-0</f>
        <v>475.40000000000003</v>
      </c>
      <c r="O294" s="3">
        <f>727.2+(76.2-293.7)+(-0.370872+(-0.038862--0.149787))+0-0-0</f>
        <v>509.44005300000003</v>
      </c>
      <c r="P294" s="3">
        <f>821.9+(41-320.2)+(-0.838338+(-0.04182--0.326604))+0-0-0</f>
        <v>542.14644600000008</v>
      </c>
      <c r="Q294" s="3">
        <f>877.7+(16.4-331.6)+(-0.447627+(-0.008364--0.169116))+0-0-0</f>
        <v>562.21312499999999</v>
      </c>
      <c r="R294" s="3">
        <f>878+(18.1-308.6)+(-0.44778+(-0.009231--0.157386))+0-0-0</f>
        <v>587.20037500000001</v>
      </c>
      <c r="S294" s="3">
        <f>877.6+(18.1-331.1)+(-0.895152+(-0.018462--0.337722))+0-0-0</f>
        <v>564.02410800000007</v>
      </c>
      <c r="T294" s="3">
        <f>876.9+(18.6-370.5)+(-0.894438+(-0.018972--0.37791))+0-0-0</f>
        <v>524.46450000000004</v>
      </c>
      <c r="U294" s="3">
        <f>877.4+(18-380.9)+(0+(0-0))+0-0-0</f>
        <v>514.5</v>
      </c>
      <c r="V294" s="3">
        <f>881.9+(16.8-356.3)+(0+(0-0))+0-0-0</f>
        <v>542.4</v>
      </c>
      <c r="W294" s="3">
        <f>891.6+(30.2-307.3)+(0.909432+(0.030804-0.313446))+0-0-0</f>
        <v>615.12679000000003</v>
      </c>
      <c r="X294" s="3">
        <f>886.5+(54.6-306.5)+(-1.356345+(-0.083538--0.468945))+0-0-0</f>
        <v>633.62906199999998</v>
      </c>
      <c r="Y294" s="3">
        <f>884.5+(64.4-316.1)+(-1.80438+(-0.131376--0.644844))+0-0-0</f>
        <v>631.50908799999991</v>
      </c>
      <c r="Z294" s="3">
        <f>888.6+(71.3-332.5)+(-0.906372+(-0.072726--0.33915))+0-0-0</f>
        <v>626.76005200000009</v>
      </c>
      <c r="AA294" s="3">
        <f>889.8+(91.8-382.1)+(-0.907596+(-0.093636--0.389742))+0-0-0</f>
        <v>598.88851</v>
      </c>
      <c r="AB294" s="3">
        <f>893.1+(128.5-467.1)+(-0.455481+(-0.065535--0.238221))+0-0-0</f>
        <v>554.21720500000004</v>
      </c>
      <c r="AC294" s="3">
        <f>885.3+(121.7-507.4)+(-1.806012+(-0.248268--1.035096))+0-0-0</f>
        <v>498.58081599999997</v>
      </c>
      <c r="AD294">
        <f t="shared" si="4"/>
        <v>12165.974052000001</v>
      </c>
      <c r="AE294" s="3">
        <f>895+(49.3-344.4)+(0+(0-0))+0-0-0</f>
        <v>599.90000000000009</v>
      </c>
    </row>
    <row r="295" spans="1:31" s="2" customFormat="1" x14ac:dyDescent="0.25">
      <c r="A295">
        <v>89</v>
      </c>
      <c r="B295">
        <v>10</v>
      </c>
      <c r="C295">
        <v>19</v>
      </c>
      <c r="D295">
        <v>2</v>
      </c>
      <c r="E295">
        <v>1</v>
      </c>
      <c r="F295" s="3">
        <f>888.3+(69.2-512.8)+(-1.359099+(-0.105876--0.784584))+0-0-0</f>
        <v>444.019609</v>
      </c>
      <c r="G295" s="3">
        <f>663.5+(92.5-356.3)+(-2.03031+(-0.28305--1.090278))+0-0-0</f>
        <v>398.47691800000001</v>
      </c>
      <c r="H295" s="3">
        <f>628.7+(77.5-311.9)+(0.320637+(0.039525-0.159069))+0-0-0</f>
        <v>394.50109300000008</v>
      </c>
      <c r="I295" s="3">
        <f>621+(68.7-313.6)+(-0.95013+(-0.105111--0.479808))+0-0-0</f>
        <v>375.52456699999999</v>
      </c>
      <c r="J295" s="3">
        <f>634.4+(64.2-326.7)+(0.647088+(0.065484-0.333234))+0-0-0</f>
        <v>372.279338</v>
      </c>
      <c r="K295" s="3">
        <f>669.3+(61.2-345.5)+(-0.682686+(-0.062424--0.35241))+0-0-0</f>
        <v>384.60729999999995</v>
      </c>
      <c r="L295" s="3">
        <f>701.7+(55.3-356.7)+(-1.431468+(-0.112812--0.727668))+0-0-0</f>
        <v>399.48338800000005</v>
      </c>
      <c r="M295" s="3">
        <f>793.3+(25.1-398.6)+(-1.213749+(-0.038403--0.609858))+0-0-0</f>
        <v>419.15770599999996</v>
      </c>
      <c r="N295" s="3">
        <f>871.9+(16.9-419.5)+(0.444669+(0.008619-0.213945))+0-0-0</f>
        <v>469.53934299999997</v>
      </c>
      <c r="O295" s="3">
        <f>887+(21.6-402.6)+(-0.45237+(-0.011016--0.205326))+0-0-0</f>
        <v>505.74194</v>
      </c>
      <c r="P295" s="3">
        <f>886.3+(18.6-373.2)+(0+(0-0))+0-0-0</f>
        <v>531.70000000000005</v>
      </c>
      <c r="Q295" s="3">
        <f>886.8+(27.8-371)+(0+(0-0))+0-0-0</f>
        <v>543.59999999999991</v>
      </c>
      <c r="R295" s="3">
        <f>881.6+(21.6-370.6)+(-1.798464+(-0.044064--0.756024))+0-0-0</f>
        <v>531.51349600000003</v>
      </c>
      <c r="S295" s="3">
        <f>881.6+(24.1-374.4)+(-0.899232+(-0.024582--0.381888))+0-0-0</f>
        <v>530.75807400000008</v>
      </c>
      <c r="T295" s="3">
        <f>788+(39.2-328.6)+(-1.60752+(-0.079968--0.670344))+0-0-0</f>
        <v>497.58285599999999</v>
      </c>
      <c r="U295" s="3">
        <f>820.6+(44.9-379)+(0+(0-0))+0-0-0</f>
        <v>486.5</v>
      </c>
      <c r="V295" s="3">
        <f>816.7+(46-372.9)+(0+(0-0))+0-0-0</f>
        <v>489.80000000000007</v>
      </c>
      <c r="W295" s="3">
        <f>823.8+(60.2-311.4)+(0+(0-0))+0-0-0</f>
        <v>572.59999999999991</v>
      </c>
      <c r="X295" s="3">
        <f>818.6+(90.8-294.4)+(-1.252458+(-0.138924--0.450432))+0-0-0</f>
        <v>614.05904999999996</v>
      </c>
      <c r="Y295" s="3">
        <f>819.3+(90.4-297.5)+(-1.253529+(-0.138312--0.455175))+0-0-0</f>
        <v>611.26333399999999</v>
      </c>
      <c r="Z295" s="3">
        <f>820.4+(101.9-318.3)+(-0.836808+(-0.103938--0.324666))+0-0-0</f>
        <v>603.38391999999999</v>
      </c>
      <c r="AA295" s="3">
        <f>773+(155.1-341)+(-0.78846+(-0.158202--0.34782))+0-0-0</f>
        <v>586.50115800000003</v>
      </c>
      <c r="AB295" s="3">
        <f>765.2+(160.6-384.2)+(-1.561008+(-0.327624--0.783768))+0-0-0</f>
        <v>540.495136</v>
      </c>
      <c r="AC295" s="3">
        <f>756.6+(163.9-409.8)+(-0.385866+(-0.083589--0.208998))+0-0-0</f>
        <v>510.43954300000007</v>
      </c>
      <c r="AD295">
        <f t="shared" si="4"/>
        <v>11813.527768999998</v>
      </c>
      <c r="AE295" s="3">
        <f>819+(81.5-310.9)+(0+(0-0))+0-0-0</f>
        <v>589.6</v>
      </c>
    </row>
    <row r="296" spans="1:31" s="2" customFormat="1" x14ac:dyDescent="0.25">
      <c r="A296">
        <v>89</v>
      </c>
      <c r="B296">
        <v>10</v>
      </c>
      <c r="C296">
        <v>20</v>
      </c>
      <c r="D296">
        <v>3</v>
      </c>
      <c r="E296">
        <v>1</v>
      </c>
      <c r="F296" s="3">
        <f>686.1+(158.9-332.4)+(-1.049733+(-0.243117--0.508572))+0-0-0</f>
        <v>511.81572200000005</v>
      </c>
      <c r="G296" s="3">
        <f>599.8+(120.4-282.7)+(-0.917694+(-0.184212--0.432531))+0-0-0</f>
        <v>436.830625</v>
      </c>
      <c r="H296" s="3">
        <f>572.1+(114.4-287.1)+(0.875313+(0.175032-0.439263))+0-0-0</f>
        <v>400.01108199999999</v>
      </c>
      <c r="I296" s="3">
        <f>563.1+(120-275)+(-0.574362+(-0.1224--0.2805))+0-0-0</f>
        <v>407.68373800000001</v>
      </c>
      <c r="J296" s="3">
        <f>508.4+(137.6-241.6)+(-0.518568+(-0.140352--0.246432))+0-0-0</f>
        <v>403.98751199999998</v>
      </c>
      <c r="K296" s="3">
        <f>497+(150-248.1)+(0+(0-0))+0-0-0</f>
        <v>398.9</v>
      </c>
      <c r="L296" s="3">
        <f>599.1+(138.7-302.2)+(-0.305541+(-0.070737--0.154122))+0-0-0</f>
        <v>435.37784400000004</v>
      </c>
      <c r="M296" s="3">
        <f>685.5+(137.9-347.3)+(0.69921+(0.140658-0.354246))+0-0-0</f>
        <v>476.585622</v>
      </c>
      <c r="N296" s="3">
        <f>685.1+(126.3-297.9)+(0+(0-0))+0-0-0</f>
        <v>513.5</v>
      </c>
      <c r="O296" s="3">
        <f>682.6+(110.3-267.3)+(0+(0-0))+0-0-0</f>
        <v>525.6</v>
      </c>
      <c r="P296" s="3">
        <f>681.1+(106.2-218.8)+(-0.694722+(-0.108324--0.223176))+0-0-0</f>
        <v>567.92012999999997</v>
      </c>
      <c r="Q296" s="3">
        <f>681.8+(113.5-223.4)+(-0.347718+(-0.057885--0.113934))+0-0-0</f>
        <v>571.60833100000002</v>
      </c>
      <c r="R296" s="3">
        <f>675.5+(95-191.5)+(-2.411535+(-0.33915--0.683655))+0-0-0</f>
        <v>576.93296999999995</v>
      </c>
      <c r="S296" s="3">
        <f>683.3+(86.4-225.3)+(-0.348483+(-0.044064--0.114903))+0-0-0</f>
        <v>544.12235599999997</v>
      </c>
      <c r="T296" s="3">
        <f>685.5+(65-280.9)+(0+(0-0))+0-0-0</f>
        <v>469.6</v>
      </c>
      <c r="U296" s="3">
        <f>685.1+(60.9-277.5)+(0+(0-0))+0-0-0</f>
        <v>468.5</v>
      </c>
      <c r="V296" s="3">
        <f>624.6+(90.6-231.9)+(-1.59273+(-0.23103--0.591345))+0-0-0</f>
        <v>482.06758500000001</v>
      </c>
      <c r="W296" s="3">
        <f>691.8+(133.8-233.5)+(0+(0-0))+0-0-0</f>
        <v>592.09999999999991</v>
      </c>
      <c r="X296" s="3">
        <f>688+(159.6-232.7)+(-1.40352+(-0.325584--0.474708))+0-0-0</f>
        <v>613.64560399999993</v>
      </c>
      <c r="Y296" s="3">
        <f>689.8+(162.5-244.3)+(-1.055394+(-0.248625--0.373779))+0-0-0</f>
        <v>607.06975999999997</v>
      </c>
      <c r="Z296" s="3">
        <f>694.7+(175.8-284.8)+(-0.354297+(-0.089658--0.145248))+0-0-0</f>
        <v>585.40129300000001</v>
      </c>
      <c r="AA296" s="3">
        <f>697.3+(195.8-329)+(0.711246+(0.199716-0.33558))+0-0-0</f>
        <v>564.6753819999999</v>
      </c>
      <c r="AB296" s="3">
        <f>692.2+(169-341)+(-0.706044+(-0.17238--0.34782))+0-0-0</f>
        <v>519.66939600000001</v>
      </c>
      <c r="AC296" s="3">
        <f>691.3+(151.1-366.8)+(-0.705126+(-0.154122--0.374136))+0-0-0</f>
        <v>475.11488799999989</v>
      </c>
      <c r="AD296">
        <f t="shared" si="4"/>
        <v>12148.71984</v>
      </c>
      <c r="AE296" s="3">
        <f>694+(162-239.5)+(0+(0-0))+0-0-0</f>
        <v>616.5</v>
      </c>
    </row>
    <row r="297" spans="1:31" s="2" customFormat="1" x14ac:dyDescent="0.25">
      <c r="A297">
        <v>89</v>
      </c>
      <c r="B297">
        <v>10</v>
      </c>
      <c r="C297">
        <v>21</v>
      </c>
      <c r="D297">
        <v>4</v>
      </c>
      <c r="E297">
        <v>1</v>
      </c>
      <c r="F297" s="3">
        <f>688.6+(158.6-428.2)+(-0.702372+(-0.161772--0.436764))+0-0-0</f>
        <v>418.57261999999997</v>
      </c>
      <c r="G297" s="3">
        <f>666.7+(140.2-403.7)+(-0.680034+(-0.143004--0.411774))+0-0-0</f>
        <v>402.78873600000003</v>
      </c>
      <c r="H297" s="3">
        <f>537.5+(176.9-339.6)+(0.274125+(0.090219-0.173196))+0-0-0</f>
        <v>374.99114799999995</v>
      </c>
      <c r="I297" s="3">
        <f>495.8+(189.2-318.1)+(0.252858+(0.096492-0.162231))+0-0-0</f>
        <v>367.08711899999997</v>
      </c>
      <c r="J297" s="3">
        <f>497.5+(189.5-325.7)+(0.50745+(0.19329-0.332214))+0-0-0</f>
        <v>361.66852599999999</v>
      </c>
      <c r="K297" s="3">
        <f>494.5+(165-291.6)+(-0.252195+(-0.08415--0.148716))+0-0-0</f>
        <v>367.71237099999996</v>
      </c>
      <c r="L297" s="3">
        <f>600.6+(128.9-350.9)+(-1.837836+(-0.394434--1.073754))+0-0-0</f>
        <v>377.441484</v>
      </c>
      <c r="M297" s="3">
        <f>689.3+(107.9-399.3)+(0+(0-0))+0-0-0</f>
        <v>397.9</v>
      </c>
      <c r="N297" s="3">
        <f>685.5+(118.2-352)+(-0.69921+(-0.120564--0.35904))+0-0-0</f>
        <v>451.23926599999999</v>
      </c>
      <c r="O297" s="3">
        <f>687.9+(142.3-328)+(-0.350829+(-0.072573--0.16728))+0-0-0</f>
        <v>501.94387799999998</v>
      </c>
      <c r="P297" s="3">
        <f>691.3+(158.3-323.7)+(0.352563+(0.080733-0.165087))+0-0-0</f>
        <v>526.16820899999993</v>
      </c>
      <c r="Q297" s="3">
        <f>682.8+(164.4-316.5)+(-1.044684+(-0.251532--0.484245))+0.1-0-0</f>
        <v>529.98802899999998</v>
      </c>
      <c r="R297" s="3">
        <f>679.7+(169.8-317.4)+(-1.733235+(-0.43299--0.80937))+6.8-0-0</f>
        <v>537.5431450000001</v>
      </c>
      <c r="S297" s="3">
        <f>687.1+(174.8-362.8)+(0+(0-0))+0-0-0</f>
        <v>499.1</v>
      </c>
      <c r="T297" s="3">
        <f>687.9+(158.2-364)+(0.350829+(0.080682-0.18564))+0-0-0</f>
        <v>482.34587099999999</v>
      </c>
      <c r="U297" s="3">
        <f>687.4+(124.6-343.6)+(0+(0-0))+0-0-0</f>
        <v>468.4</v>
      </c>
      <c r="V297" s="3">
        <f>682.6+(116.2-306.8)+(-0.348126+(-0.059262--0.156468))+0-0-0</f>
        <v>491.74907999999999</v>
      </c>
      <c r="W297" s="3">
        <f>687.2+(147.6-243.1)+(0.350472+(0.075276-0.123981))+0-0-0</f>
        <v>592.00176700000009</v>
      </c>
      <c r="X297" s="3">
        <f>688.2+(191.3-277)+(-1.052946+(-0.292689--0.42381))+0-0-0</f>
        <v>601.57817499999999</v>
      </c>
      <c r="Y297" s="3">
        <f>687.6+(184.9-277.3)+(-1.402704+(-0.377196--0.565692))+0-0-0</f>
        <v>593.98579200000006</v>
      </c>
      <c r="Z297" s="3">
        <f>687.9+(169.1-274.3)+(-1.403316+(-0.344964--0.559572))+0-0-0</f>
        <v>581.51129199999991</v>
      </c>
      <c r="AA297" s="3">
        <f>689.4+(166.6-306.4)+(-1.406376+(-0.339864--0.625056))+0-0-0</f>
        <v>548.47881600000005</v>
      </c>
      <c r="AB297" s="3">
        <f>691.7+(176.3-352.3)+(-1.058301+(-0.269739--0.539019))+0-0-0</f>
        <v>514.910979</v>
      </c>
      <c r="AC297" s="3">
        <f>680.3+(176.3-372.1)+(-2.428671+(-0.629391--1.328397))+0-0-0</f>
        <v>482.77033499999993</v>
      </c>
      <c r="AD297">
        <f t="shared" si="4"/>
        <v>11471.876637999998</v>
      </c>
      <c r="AE297" s="3">
        <f>684+(184.2-274.2)+(0+(0-0))+0-0-0</f>
        <v>594</v>
      </c>
    </row>
    <row r="298" spans="1:31" s="2" customFormat="1" x14ac:dyDescent="0.25">
      <c r="A298">
        <v>89</v>
      </c>
      <c r="B298">
        <v>10</v>
      </c>
      <c r="C298">
        <v>22</v>
      </c>
      <c r="D298">
        <v>5</v>
      </c>
      <c r="E298">
        <v>1</v>
      </c>
      <c r="F298" s="3">
        <f>685.9+(124.5-383.3)+(0.699618+(0.12699-0.390966))+0-0-0</f>
        <v>427.53564199999994</v>
      </c>
      <c r="G298" s="3">
        <f>623.3+(113.2-333.2)+(0+(0-0))+0-0-0</f>
        <v>403.29999999999995</v>
      </c>
      <c r="H298" s="3">
        <f>571+(130.3-316.2)+(0+(0-0))+0-0-0</f>
        <v>385.1</v>
      </c>
      <c r="I298" s="3">
        <f>570.2+(124.6-314.8)+(0+(0-0))+0-0-0</f>
        <v>380</v>
      </c>
      <c r="J298" s="3">
        <f>578.6+(110.6-310.4)+(1.47543+(0.28203-0.79152))+0-0-0</f>
        <v>379.76594000000006</v>
      </c>
      <c r="K298" s="3">
        <f>609.6+(112.7-327.8)+(0+(0-0))+0-0-0</f>
        <v>394.5</v>
      </c>
      <c r="L298" s="3">
        <f>620.6+(124.8-358.7)+(-0.316506+(-0.063648--0.182937))+0-0-0</f>
        <v>386.50278300000002</v>
      </c>
      <c r="M298" s="3">
        <f>663.1+(101.5-364.9)+(0.338181+(0.051765-0.186099))+0-0-0</f>
        <v>399.90384700000004</v>
      </c>
      <c r="N298" s="3">
        <f>670.4+(118.4-325.3)+(1.367616+(0.241536-0.663612))+0-0-0</f>
        <v>464.44553999999999</v>
      </c>
      <c r="O298" s="3">
        <f>667.9+(160.4-324)+(0.681258+(0.163608-0.33048))+0-0-0</f>
        <v>504.81438599999996</v>
      </c>
      <c r="P298" s="3">
        <f>709.1+(165.4-342.5)+(1.446564+(0.337416-0.6987))+0-0-0</f>
        <v>533.08528000000001</v>
      </c>
      <c r="Q298" s="3">
        <f>743.2+(146.8-351.7)+(0+(0-0))+0-0-0</f>
        <v>538.30000000000007</v>
      </c>
      <c r="R298" s="3">
        <f>785+(113.5-376.4)+(-1.20105+(-0.173655--0.575892))+0-0-0</f>
        <v>521.30118700000003</v>
      </c>
      <c r="S298" s="3">
        <f>869.8+(75.4-420.3)+(-1.774392+(-0.153816--0.857412))+0-0-0</f>
        <v>523.829204</v>
      </c>
      <c r="T298" s="3">
        <f>874.5+(60.1-423.9)+(0+(0-0))+0-0-0</f>
        <v>510.70000000000005</v>
      </c>
      <c r="U298" s="3">
        <f>872.4+(69.3-449.2)+(-0.889848+(-0.070686--0.458184))+0-0-0</f>
        <v>491.99765000000002</v>
      </c>
      <c r="V298" s="3">
        <f>861.6+(63.3-408.6)+(-2.636496+(-0.193698--1.250316))+0-0-0</f>
        <v>514.72012199999995</v>
      </c>
      <c r="W298" s="3">
        <f>869.3+(66-337.7)+(-0.443343+(-0.03366--0.172227))+0-0-0</f>
        <v>597.29522399999996</v>
      </c>
      <c r="X298" s="3">
        <f>940.5+(72.5-380.4)+(-1.438965+(-0.110925--0.582012))+0-0-0</f>
        <v>631.63212199999998</v>
      </c>
      <c r="Y298" s="3">
        <f>933.5+(79.7-369.9)+(-0.95217+(-0.081294--0.377298))+0-0-0</f>
        <v>642.64383399999997</v>
      </c>
      <c r="Z298" s="3">
        <f>928.9+(109.1-400.9)+(-0.473739+(-0.055641--0.204459))+0-0-0</f>
        <v>636.77507900000001</v>
      </c>
      <c r="AA298" s="3">
        <f>929.3+(106.2-441.3)+(-0.473943+(-0.054162--0.225063))+0-0-0</f>
        <v>593.89695799999993</v>
      </c>
      <c r="AB298" s="3">
        <f>861.4+(100.8-416.8)+(-0.439314+(-0.051408--0.212568))+0-0-0</f>
        <v>545.12184600000001</v>
      </c>
      <c r="AC298" s="3">
        <f>854.9+(99.5-442.5)+(-0.871998+(-0.10149--0.45135))+0-0-0</f>
        <v>511.37786199999999</v>
      </c>
      <c r="AD298">
        <f t="shared" si="4"/>
        <v>11918.544506</v>
      </c>
      <c r="AE298" s="3">
        <f>948+(83.4-386.3)+(0+(0-0))+0-0-0</f>
        <v>645.1</v>
      </c>
    </row>
    <row r="299" spans="1:31" s="2" customFormat="1" x14ac:dyDescent="0.25">
      <c r="A299">
        <v>89</v>
      </c>
      <c r="B299">
        <v>10</v>
      </c>
      <c r="C299">
        <v>23</v>
      </c>
      <c r="D299">
        <v>6</v>
      </c>
      <c r="E299">
        <v>1</v>
      </c>
      <c r="F299" s="3">
        <f>856.1+(104-521.9)+(-1.309833+(-0.15912--0.798507))+0-0-0</f>
        <v>437.52955400000002</v>
      </c>
      <c r="G299" s="3">
        <f>800.9+(76.9-436.3)+(0+(0-0))+0-0-0</f>
        <v>441.5</v>
      </c>
      <c r="H299" s="3">
        <f>639.3+(96.5-367.8)+(0.326043+(0.049215-0.187578))+0-0-0</f>
        <v>368.18767999999994</v>
      </c>
      <c r="I299" s="3">
        <f>638.3+(89.6-351.2)+(0.325533+(0.045696-0.179112))+0-0-0</f>
        <v>376.89211699999993</v>
      </c>
      <c r="J299" s="3">
        <f>641.6+(81.9-353.2)+(0.654432+(0.083538-0.360264))+2.3-0-0</f>
        <v>372.97770600000007</v>
      </c>
      <c r="K299" s="3">
        <f>704.7+(59.8-376.6)+(0.718794+(0.060996-0.384132))+0.5-0-0</f>
        <v>388.79565800000006</v>
      </c>
      <c r="L299" s="3">
        <f>698.8+(59-376.4)+(0+(0-0))+0-0-0</f>
        <v>381.4</v>
      </c>
      <c r="M299" s="3">
        <f>697.8+(68-360.1)+(-0.355878+(-0.03468--0.183651))+0-0-0</f>
        <v>405.49309299999993</v>
      </c>
      <c r="N299" s="3">
        <f>846.6+(21.6-397.1)+(-0.863532+(-0.022032--0.405042))+0-0-0</f>
        <v>470.61947800000002</v>
      </c>
      <c r="O299" s="3">
        <f>883.6+(27.1-384.9)+(0.450636+(0.013821-0.196299))+0-0-0</f>
        <v>526.06815800000004</v>
      </c>
      <c r="P299" s="3">
        <f>885.9+(29.7-413.8)+(0.903618+(0.030294-0.422076))+0-0-0</f>
        <v>502.31183599999997</v>
      </c>
      <c r="Q299" s="3">
        <f>884.1+(31.9-447.6)+(-0.450891+(-0.016269--0.228276))+0-0-0</f>
        <v>468.16111599999999</v>
      </c>
      <c r="R299" s="3">
        <f>887.7+(53.2-474.2)+(-0.452727+(-0.027132--0.241842))+0-0-0</f>
        <v>466.46198300000003</v>
      </c>
      <c r="S299" s="3">
        <f>887.4+(49.1-465.2)+(0+(0-0))+0-0-0</f>
        <v>471.3</v>
      </c>
      <c r="T299" s="3">
        <f>880.2+(27-433.1)+(-1.795608+(-0.05508--0.883524))+0-0-0</f>
        <v>473.132836</v>
      </c>
      <c r="U299" s="3">
        <f>887.4+(29.4-400.3)+(0+(0-0))+0-0-0</f>
        <v>516.5</v>
      </c>
      <c r="V299" s="3">
        <f>886.1+(37.2-411.1)+(-0.451911+(-0.018972--0.209661))+0-0-0</f>
        <v>511.93877800000007</v>
      </c>
      <c r="W299" s="3">
        <f>884.1+(38.7-370.3)+(0+(0-0))+0-0-0</f>
        <v>552.5</v>
      </c>
      <c r="X299" s="3">
        <f>879.6+(82-350.1)+(-0.897192+(-0.08364--0.357102))+0-0-0</f>
        <v>610.87626999999998</v>
      </c>
      <c r="Y299" s="3">
        <f>875.3+(73.7-350.5)+(-0.892806+(-0.075174--0.35751))+0-0-0</f>
        <v>597.88953000000004</v>
      </c>
      <c r="Z299" s="3">
        <f>876.1+(59.9-358.3)+(-0.893622+(-0.061098--0.365466))+0-0-0</f>
        <v>577.11074600000006</v>
      </c>
      <c r="AA299" s="3">
        <f>880.1+(57.4-401.4)+(0.897702+(0.058548-0.409428))+0-0-0</f>
        <v>536.64682200000004</v>
      </c>
      <c r="AB299" s="3">
        <f>874.6+(71-436.5)+(-0.892092+(-0.07242--0.44523))+0-0-0</f>
        <v>508.58071800000005</v>
      </c>
      <c r="AC299" s="3">
        <f>872.8+(57-462.1)+(-1.335384+(-0.08721--0.707013))+0-0-0</f>
        <v>466.98441899999995</v>
      </c>
      <c r="AD299">
        <f t="shared" si="4"/>
        <v>11429.858498000001</v>
      </c>
      <c r="AE299" s="3">
        <f>886+(79.8-356.4)+(0+(0-0))+0-0-0</f>
        <v>609.40000000000009</v>
      </c>
    </row>
    <row r="300" spans="1:31" s="2" customFormat="1" x14ac:dyDescent="0.25">
      <c r="A300">
        <v>89</v>
      </c>
      <c r="B300">
        <v>10</v>
      </c>
      <c r="C300">
        <v>24</v>
      </c>
      <c r="D300">
        <v>7</v>
      </c>
      <c r="E300">
        <v>1</v>
      </c>
      <c r="F300" s="3">
        <f>879.2+(58-522)+(0+(0-0))+0-0-0</f>
        <v>415.20000000000005</v>
      </c>
      <c r="G300" s="3">
        <f>874.5+(49.7-512)+(-1.337985+(-0.076041--0.78336))+0-0-0</f>
        <v>411.56933399999997</v>
      </c>
      <c r="H300" s="3">
        <f>876.8+(26.7-507.4)+(-0.447168+(-0.013617--0.258774))+0-0-0</f>
        <v>395.89798899999994</v>
      </c>
      <c r="I300" s="3">
        <f>723.1+(68.9-422.8)+(0.368781+(0.035139-0.215628))+0-0-0</f>
        <v>369.38829200000004</v>
      </c>
      <c r="J300" s="3">
        <f>628.3+(89.2-361.4)+(0.320433+(0.045492-0.184314))+0-0-0</f>
        <v>356.28161099999994</v>
      </c>
      <c r="K300" s="3">
        <f>636.6+(90.1-363.8)+(1.298664+(0.183804-0.742152))+0-0-0</f>
        <v>363.64031599999998</v>
      </c>
      <c r="L300" s="3">
        <f>620.2+(92.1-380.7)+(-0.948906+(-0.140913--0.582471))+0-0-0</f>
        <v>331.09265200000004</v>
      </c>
      <c r="M300" s="3">
        <f>617.5+(95.2-385.2)+(-1.2597+(-0.194208--0.785808))+0-0-0</f>
        <v>326.83190000000002</v>
      </c>
      <c r="N300" s="3">
        <f>628.8+(115.9-397)+(0.962064+(0.177327-0.60741))+0-0-0</f>
        <v>348.23198099999991</v>
      </c>
      <c r="O300" s="3">
        <f>645.7+(137.8-434.3)+(-0.658614+(-0.140556--0.442986))+0-0-0</f>
        <v>348.84381600000006</v>
      </c>
      <c r="P300" s="3">
        <f>884.8+(95.2-552.3)+(-0.902496+(-0.097104--0.563346))+0-0-0</f>
        <v>427.26374599999997</v>
      </c>
      <c r="Q300" s="3">
        <f>885+(116.4-565.3)+(-1.35405+(-0.178092--0.864909))+0-0-0</f>
        <v>435.43276700000001</v>
      </c>
      <c r="R300" s="3">
        <f>880.1+(100.5-509.6)+(-1.795404+(-0.20502--1.039584))+0-0-0</f>
        <v>470.03915999999998</v>
      </c>
      <c r="S300" s="3">
        <f>882.3+(94-485.4)+(-1.349919+(-0.14382--0.742662))+0-0-0</f>
        <v>490.14892299999997</v>
      </c>
      <c r="T300" s="3">
        <f>863.1+(81.2-520.3)+(-0.440181+(-0.041412--0.265353))+0-0-0</f>
        <v>423.78376000000003</v>
      </c>
      <c r="U300" s="3">
        <f>639+(159-422.3)+(-1.62945+(-0.40545--1.076865))+0-0-0</f>
        <v>374.74196499999999</v>
      </c>
      <c r="V300" s="3">
        <f>633.2+(132.1-397.3)+(-1.61466+(-0.336855--1.013115))+0-0-0</f>
        <v>367.0616</v>
      </c>
      <c r="W300" s="3">
        <f>767.3+(95.2-375.4)+(-1.173969+(-0.145656--0.574362))+0-0-0</f>
        <v>486.35473699999994</v>
      </c>
      <c r="X300" s="3">
        <f>891.4+(129-444.5)+(-0.454614+(-0.06579--0.226695))+0-0-0</f>
        <v>575.60629099999994</v>
      </c>
      <c r="Y300" s="3">
        <f>893.5+(137.4-484.8)+(-1.367055+(-0.210222--0.741744))+0-0-0</f>
        <v>545.26446699999997</v>
      </c>
      <c r="Z300" s="3">
        <f>896.9+(124.7-503.8)+(0.457419+(0.063597-0.256938))+0-0-0</f>
        <v>518.06407799999999</v>
      </c>
      <c r="AA300" s="3">
        <f>894.3+(164-503.3)+(-0.456093+(-0.08364--0.256683))+0-0-0</f>
        <v>554.71695</v>
      </c>
      <c r="AB300" s="3">
        <f>889.8+(151.6-551.8)+(-1.361394+(-0.231948--0.844254))+0-0-0</f>
        <v>488.85091200000005</v>
      </c>
      <c r="AC300" s="3">
        <f>823.1+(143.8-519.7)+(0.839562+(0.146676-0.530094))+0-0-0</f>
        <v>447.65614399999998</v>
      </c>
      <c r="AD300">
        <f t="shared" si="4"/>
        <v>10271.963391000001</v>
      </c>
      <c r="AE300" s="3">
        <f>884+(113.3-473.7)+(0+(0-0))+0-0-0</f>
        <v>523.6</v>
      </c>
    </row>
    <row r="301" spans="1:31" s="2" customFormat="1" x14ac:dyDescent="0.25">
      <c r="A301">
        <v>89</v>
      </c>
      <c r="B301">
        <v>10</v>
      </c>
      <c r="C301">
        <v>25</v>
      </c>
      <c r="D301">
        <v>1</v>
      </c>
      <c r="E301">
        <v>1</v>
      </c>
      <c r="F301" s="3">
        <f>646.3+(141.1-391.4)+(-0.988839+(-0.215883--0.598842))+0-0-0</f>
        <v>395.39411999999999</v>
      </c>
      <c r="G301" s="3">
        <f>624.9+(114.8-368.2)+(0+(0-0))+0-0-0</f>
        <v>371.5</v>
      </c>
      <c r="H301" s="3">
        <f>620.2+(99-362.4)+(-0.632604+(-0.10098--0.369648))+0-0-0</f>
        <v>356.43606400000004</v>
      </c>
      <c r="I301" s="3">
        <f>625.7+(92-353.4)+(0.638214+(0.09384-0.360468))+0-0-0</f>
        <v>364.67158600000005</v>
      </c>
      <c r="J301" s="3">
        <f>626.3+(89.7-354)+(0.638826+(0.091494-0.36108))+0-0-0</f>
        <v>362.36923999999993</v>
      </c>
      <c r="K301" s="3">
        <f>620.8+(87.8-358.5)+(-0.633216+(-0.089556--0.36567))+0-0-0</f>
        <v>349.74289799999997</v>
      </c>
      <c r="L301" s="3">
        <f>730.7+(71.7-431.2)+(-1.117971+(-0.109701--0.659736))+0-0-0</f>
        <v>370.63206400000007</v>
      </c>
      <c r="M301" s="3">
        <f>801+(82-485.7)+(-0.40851+(-0.04182--0.247707))+0-0-0</f>
        <v>397.09737699999999</v>
      </c>
      <c r="N301" s="3">
        <f>806.6+(90.3-456.6)+(0.411366+(0.046053-0.232866))+0-0-0</f>
        <v>440.52455300000003</v>
      </c>
      <c r="O301" s="3">
        <f>805.6+(98.6-419.6)+(0.410856+(0.050286-0.213996))+0-0-0</f>
        <v>484.84714600000001</v>
      </c>
      <c r="P301" s="3">
        <f>806.1+(82.9-373.2)+(0+(0-0))+0-0-0</f>
        <v>515.80000000000007</v>
      </c>
      <c r="Q301" s="3">
        <f>807.9+(72.9-354.7)+(0+(0-0))+0-0-0</f>
        <v>526.1</v>
      </c>
      <c r="R301" s="3">
        <f>805.9+(67.8-314.6)+(-0.411009+(-0.034578--0.160446))+0-0-0</f>
        <v>558.81485899999996</v>
      </c>
      <c r="S301" s="3">
        <f>809.9+(68.4-336.3)+(0+(0-0))+0-0-0</f>
        <v>542</v>
      </c>
      <c r="T301" s="3">
        <f>808.5+(58.5-345.7)+(0.412335+(0.029835-0.176307))+0-0-0</f>
        <v>521.56586299999992</v>
      </c>
      <c r="U301" s="3">
        <f>872.5+(33.3-375.6)+(0.444975+(0.016983-0.191556))+0-0-0</f>
        <v>530.47040200000004</v>
      </c>
      <c r="V301" s="3">
        <f>855.7+(43.4-342.4)+(-0.436407+(-0.022134--0.174624))+0-0-0</f>
        <v>556.41608300000007</v>
      </c>
      <c r="W301" s="3">
        <f>861+(68-305.9)+(0.43911+(0.03468-0.156009))+0-0-0</f>
        <v>623.41778099999999</v>
      </c>
      <c r="X301" s="3">
        <f>870.7+(85.5-293.7)+(-1.776228+(-0.17442--0.599148))+0-0-0</f>
        <v>661.14850000000001</v>
      </c>
      <c r="Y301" s="3">
        <f>827.3+(70.9-265.8)+(-0.421923+(-0.036159--0.135558))+0-0-0</f>
        <v>632.07747599999993</v>
      </c>
      <c r="Z301" s="3">
        <f>823.3+(47-262.2)+(-2.099415+(-0.11985--0.66861))+0-0-0</f>
        <v>606.5493449999999</v>
      </c>
      <c r="AA301" s="3">
        <f>871.6+(58.6-334.7)+(-1.333548+(-0.089658--0.512091))+0-0-0</f>
        <v>594.588885</v>
      </c>
      <c r="AB301" s="3">
        <f>872.8+(77.3-380.7)+(-0.890256+(-0.078846--0.388314))+0-0-0</f>
        <v>568.81921199999999</v>
      </c>
      <c r="AC301" s="3">
        <f>868.6+(86.9-438.3)+(-2.21493+(-0.221595--1.117665))+0-0-0</f>
        <v>515.88114000000007</v>
      </c>
      <c r="AD301">
        <f t="shared" si="4"/>
        <v>11846.864593999999</v>
      </c>
      <c r="AE301" s="3">
        <f>881+(64.8-313.4)+(0+(0-0))+0-0-0</f>
        <v>632.40000000000009</v>
      </c>
    </row>
    <row r="302" spans="1:31" s="2" customFormat="1" x14ac:dyDescent="0.25">
      <c r="A302">
        <v>89</v>
      </c>
      <c r="B302">
        <v>10</v>
      </c>
      <c r="C302">
        <v>26</v>
      </c>
      <c r="D302">
        <v>2</v>
      </c>
      <c r="E302">
        <v>1</v>
      </c>
      <c r="F302" s="3">
        <f>800.2+(76.2-395.9)+(-0.408102+(-0.038862--0.201909))+0-0-0</f>
        <v>480.25494500000008</v>
      </c>
      <c r="G302" s="3">
        <f>643.3+(109.3-295.1)+(-0.656166+(-0.111486--0.301002))+0-0-0</f>
        <v>457.03334999999993</v>
      </c>
      <c r="H302" s="3">
        <f>642.4+(86.7-330.8)+(-0.982872+(-0.132651--0.506124))+0-0-0</f>
        <v>397.69060099999996</v>
      </c>
      <c r="I302" s="3">
        <f>643.1+(66.8-336.8)+(-0.655962+(-0.068136--0.343536))+0-0-0</f>
        <v>372.71943800000003</v>
      </c>
      <c r="J302" s="3">
        <f>638.8+(65.1-335.3)+(-1.62894+(-0.166005--0.855015))+0-0-0</f>
        <v>367.66006999999991</v>
      </c>
      <c r="K302" s="3">
        <f>648.6+(53.8-353.7)+(0.661572+(0.054876-0.360774))+0-0-0</f>
        <v>349.05567400000007</v>
      </c>
      <c r="L302" s="3">
        <f>855.3+(23.3-480.8)+(-2.617218+(-0.071298--1.471248))+0-0-0</f>
        <v>396.58273199999996</v>
      </c>
      <c r="M302" s="3">
        <f>880.6+(32-480.5)+(-0.449106+(-0.01632--0.245055))+0-0-0</f>
        <v>431.87962900000002</v>
      </c>
      <c r="N302" s="3">
        <f>876.9+(30.4-442.7)+(-1.788876+(-0.062016--0.903108))+0-0-0</f>
        <v>463.65221599999995</v>
      </c>
      <c r="O302" s="3">
        <f>886+(30.9-399.6)+(0+(0-0))+0-0-0</f>
        <v>517.29999999999995</v>
      </c>
      <c r="P302" s="3">
        <f>876+(44.1-380.6)+(-0.89352+(-0.044982--0.388212))+0-0-0</f>
        <v>538.94970999999998</v>
      </c>
      <c r="Q302" s="3">
        <f>871+(52.3-374)+(-0.88842+(-0.053346--0.38148))+0-0-0</f>
        <v>548.73971399999994</v>
      </c>
      <c r="R302" s="3">
        <f>888+(54.7-391.9)+(0+(0-0))+0-0-0</f>
        <v>550.79999999999995</v>
      </c>
      <c r="S302" s="3">
        <f>884+(53.6-416.8)+(-0.45084+(-0.027336--0.212568))+0-0-0</f>
        <v>520.53439199999991</v>
      </c>
      <c r="T302" s="3">
        <f>879+(52-416.4)+(-0.89658+(-0.05304--0.424728))+0-0-0</f>
        <v>514.075108</v>
      </c>
      <c r="U302" s="3">
        <f>864+(51.2-415.3)+(-0.88128+(-0.052224--0.423606))+0-0-0</f>
        <v>499.39010199999996</v>
      </c>
      <c r="V302" s="3">
        <f>875+(46.5-426.6)+(-1.785+(-0.09486--0.870264))+0-0-0</f>
        <v>493.89040399999999</v>
      </c>
      <c r="W302" s="3">
        <f>877+(38.6-320.7)+(0+(0-0))+0-0-0</f>
        <v>594.90000000000009</v>
      </c>
      <c r="X302" s="3">
        <f>879+(56.9-307.9)+(-0.44829+(-0.029019--0.157029))+0-0-0</f>
        <v>627.67971999999997</v>
      </c>
      <c r="Y302" s="3">
        <f>872+(64.3-317.8)+(-2.2236+(-0.163965--0.81039))+0-0-0</f>
        <v>616.92282499999999</v>
      </c>
      <c r="Z302" s="3">
        <f>889+(56.4-335.2)+(-1.36017+(-0.086292--0.512856))+0-0-0</f>
        <v>609.26639399999999</v>
      </c>
      <c r="AA302" s="3">
        <f>883+(69.9-368.7)+(-1.80132+(-0.142596--0.752148))+0-0-0</f>
        <v>583.00823200000002</v>
      </c>
      <c r="AB302" s="3">
        <f>901+(76.1-420.1)+(0+(0-0))+0-0-0</f>
        <v>557</v>
      </c>
      <c r="AC302" s="3">
        <f>889+(116.8-496.6)+(-3.17373+(-0.416976--1.772862))+0-0-0</f>
        <v>507.38215600000001</v>
      </c>
      <c r="AD302">
        <f t="shared" si="4"/>
        <v>11996.367412</v>
      </c>
      <c r="AE302" s="3">
        <f>881+(65.6-330.8)+(0+(0-0))+0-0-0</f>
        <v>615.79999999999995</v>
      </c>
    </row>
    <row r="303" spans="1:31" s="2" customFormat="1" x14ac:dyDescent="0.25">
      <c r="A303">
        <v>89</v>
      </c>
      <c r="B303">
        <v>10</v>
      </c>
      <c r="C303">
        <v>27</v>
      </c>
      <c r="D303">
        <v>3</v>
      </c>
      <c r="E303">
        <v>1</v>
      </c>
      <c r="F303" s="3">
        <f>881+(84.5-547.3)+(-0.89862+(-0.08619--0.558246))+0-0-0</f>
        <v>417.77343600000006</v>
      </c>
      <c r="G303" s="3">
        <f>839+(34.3-483.7)+(-2.13945+(-0.087465--1.233435))+0-0-0</f>
        <v>388.60652000000005</v>
      </c>
      <c r="H303" s="3">
        <f>756+(45.3-422.8)+(0.77112+(0.046206-0.431256))+0-0-0</f>
        <v>378.88607000000002</v>
      </c>
      <c r="I303" s="3">
        <f>747+(39.3-419)+(0+(0-0))+0-0-0</f>
        <v>367.3</v>
      </c>
      <c r="J303" s="3">
        <f>750+(35.1-414.4)+(0.3825+(0.017901-0.211344))+0-0-0</f>
        <v>370.88905700000004</v>
      </c>
      <c r="K303" s="3">
        <f>754+(30.8-404.4)+(-1.9227+(-0.07854--1.03122))+0-0-0</f>
        <v>379.42998000000006</v>
      </c>
      <c r="L303" s="3">
        <f>860+(28.8-443.1)+(0+(0-0))+0-0-0</f>
        <v>445.7</v>
      </c>
      <c r="M303" s="3">
        <f>852+(41.7-484.8)+(-1.30356+(-0.063801--0.741744))+0-0-0</f>
        <v>408.274383</v>
      </c>
      <c r="N303" s="3">
        <f>856+(59.4-470.7)+(-1.30968+(-0.090882--0.720171))+0-0-0</f>
        <v>444.019609</v>
      </c>
      <c r="O303" s="3">
        <f>878+(65.8-462.7)+(0.44778+(0.033558-0.235977))+0-0-0</f>
        <v>481.34536100000003</v>
      </c>
      <c r="P303" s="3">
        <f>882+(48.2-437.7)+(-2.2491+(-0.12291--1.116135))+0-0-0</f>
        <v>491.244125</v>
      </c>
      <c r="Q303" s="3">
        <f>882+(27.7-425.4)+(0.44982+(0.014127-0.216954))+0-0-0</f>
        <v>484.54699299999999</v>
      </c>
      <c r="R303" s="3">
        <f>877+(25.7-423)+(-2.23635+(-0.065535--1.07865))+0-0-0</f>
        <v>478.476765</v>
      </c>
      <c r="S303" s="3">
        <f>857+(6.6-454.3)+(0+(0-0))+0-0-0</f>
        <v>409.3</v>
      </c>
      <c r="T303" s="3">
        <f>854+(60-420.4)+(-1.30662+(-0.0918--0.643212))+0-0-0</f>
        <v>492.84479200000004</v>
      </c>
      <c r="U303" s="3">
        <f>873+(57.5-397.6)+(-0.89046+(-0.05865--0.405552))+0-0-0</f>
        <v>532.35644200000002</v>
      </c>
      <c r="V303" s="3">
        <f>786+(39.6-383.5)+(-0.40086+(-0.020196--0.195585))+0-0-0</f>
        <v>441.874529</v>
      </c>
      <c r="W303" s="3">
        <f>858+(101.7-343.5)+(-0.43758+(-0.051867--0.175185))+0-0-0</f>
        <v>615.88573800000006</v>
      </c>
      <c r="X303" s="3">
        <f>893+(104-330.9)+(-1.36629+(-0.15912--0.506277))+0-0-0</f>
        <v>665.08086700000001</v>
      </c>
      <c r="Y303" s="3">
        <f>903+(46.1-317.9)+(-1.38159+(-0.070533--0.486387))+0-0-0</f>
        <v>630.23426400000005</v>
      </c>
      <c r="Z303" s="3">
        <f>892+(15.6-338)+(0+(0-0))+0-0-0</f>
        <v>569.6</v>
      </c>
      <c r="AA303" s="3">
        <f>880+(6.4-358.6)+(0.4488+(0.003264-0.182886))+0-0-0</f>
        <v>528.06917799999997</v>
      </c>
      <c r="AB303" s="3">
        <f>891+(2.8-393.2)+(-0.90882+(-0.002856--0.401064))+0-0-0</f>
        <v>500.08938800000004</v>
      </c>
      <c r="AC303" s="3">
        <f>821+(1.7-408.9)+(-0.83742+(-0.001734--0.417078))+0-0-0</f>
        <v>413.37792400000001</v>
      </c>
      <c r="AD303">
        <f t="shared" si="4"/>
        <v>11335.205421000002</v>
      </c>
      <c r="AE303" s="3">
        <f>889+(114-338.5)+(0+(0-0))+0-0-0</f>
        <v>664.5</v>
      </c>
    </row>
    <row r="304" spans="1:31" s="2" customFormat="1" x14ac:dyDescent="0.25">
      <c r="A304">
        <v>89</v>
      </c>
      <c r="B304">
        <v>10</v>
      </c>
      <c r="C304">
        <v>28</v>
      </c>
      <c r="D304">
        <v>4</v>
      </c>
      <c r="E304">
        <v>1</v>
      </c>
      <c r="F304" s="3">
        <f>707+(102-345.3)+(-2.16342+(-0.31212--1.056618))+0-0-0</f>
        <v>462.28107799999998</v>
      </c>
      <c r="G304" s="3">
        <f>673+(90.1-340.5)+(-0.34323+(-0.045951--0.173655))+0-0-0</f>
        <v>422.38447400000001</v>
      </c>
      <c r="H304" s="3">
        <f>673+(65.7-344.1)+(-0.34323+(-0.033507--0.175491))+0-0-0</f>
        <v>394.39875399999994</v>
      </c>
      <c r="I304" s="3">
        <f>681+(63.1-344.1)+(-1.04193+(-0.096543--0.526473))+0-0-0</f>
        <v>399.38799999999998</v>
      </c>
      <c r="J304" s="3">
        <f>688+(71.6-339.5)+(0+(0-0))+0-0-0</f>
        <v>420.1</v>
      </c>
      <c r="K304" s="3">
        <f>589+(115.1-289.5)+(0+(0-0))+0-0-0</f>
        <v>414.6</v>
      </c>
      <c r="L304" s="3">
        <f>580+(109.1-233.7)+(-1.479+(-0.278205--0.595935))+0-0-0</f>
        <v>454.23872999999998</v>
      </c>
      <c r="M304" s="3">
        <f>689+(144.8-337.8)+(0.70278+(0.147696-0.344556))+0-0-0</f>
        <v>496.50592</v>
      </c>
      <c r="N304" s="3">
        <f>685+(124.4-334.5)+(0.34935+(0.063444-0.170595))+0-0-0</f>
        <v>475.14219900000001</v>
      </c>
      <c r="O304" s="3">
        <f>674+(92.7-276.2)+(-1.03122+(-0.141831--0.422586))+0-0-0</f>
        <v>489.74953499999998</v>
      </c>
      <c r="P304" s="3">
        <f>692+(101.7-267.1)+(-0.35292+(-0.051867--0.136221))+0-0-0</f>
        <v>526.33143399999994</v>
      </c>
      <c r="Q304" s="3">
        <f>684+(91.3-273.7)+(-0.69768+(-0.093126--0.279174))+0-0-0</f>
        <v>501.088368</v>
      </c>
      <c r="R304" s="3">
        <f>702+(106.3-278.3)+(-1.43208+(-0.216852--0.567732))+0-0-0</f>
        <v>528.91880000000003</v>
      </c>
      <c r="S304" s="3">
        <f>688+(103.6-293.6)+(0+(0-0))+0-0-0</f>
        <v>498</v>
      </c>
      <c r="T304" s="3">
        <f>687+(50.1-296.2)+(0+(0-0))+0-0-0</f>
        <v>440.9</v>
      </c>
      <c r="U304" s="3">
        <f>685.4+(69.1-286.2)+(-0.699108+(-0.070482--0.291924))+0-0-0</f>
        <v>467.82233399999996</v>
      </c>
      <c r="V304" s="3">
        <f>681.5+(72.7-283.4)+(-2.08539+(-0.222462--0.867204))+0-0-0</f>
        <v>469.359352</v>
      </c>
      <c r="W304" s="3">
        <f>686.8+(186.9-257.1)+(-0.700536+(-0.190638--0.262242))+0-0-0</f>
        <v>615.97106799999995</v>
      </c>
      <c r="X304" s="3">
        <f>687.3+(196.4-231.7)+(-1.051569+(-0.300492--0.354501))+0-0-0</f>
        <v>651.00243999999998</v>
      </c>
      <c r="Y304" s="3">
        <f>691.7+(193.6-208.5)+(-0.705534+(-0.197472--0.21267))+0-0-0</f>
        <v>676.10966400000007</v>
      </c>
      <c r="Z304" s="3">
        <f>534.1+(275.3-169)+(-0.817173+(-0.421209--0.25857))+0-0-0</f>
        <v>639.42018800000005</v>
      </c>
      <c r="AA304" s="3">
        <f>497+(265.4-174.8)+(-0.25347+(-0.135354--0.089148))+0-0-0</f>
        <v>587.30032399999993</v>
      </c>
      <c r="AB304" s="3">
        <f>496.6+(276.3-217.6)+(-0.253266+(-0.140913--0.110976))+0-0-0</f>
        <v>555.01679700000011</v>
      </c>
      <c r="AC304" s="3">
        <f>495.2+(254.8-282.9)+(-0.757656+(-0.389844--0.432837))+0-0-0</f>
        <v>466.38533700000005</v>
      </c>
      <c r="AD304">
        <f t="shared" si="4"/>
        <v>12052.414795999999</v>
      </c>
      <c r="AE304" s="3">
        <f>686+(166.9-260.2)+(0+(0-0))+0-0-0</f>
        <v>592.70000000000005</v>
      </c>
    </row>
    <row r="305" spans="1:31" s="2" customFormat="1" x14ac:dyDescent="0.25">
      <c r="A305">
        <v>89</v>
      </c>
      <c r="B305">
        <v>10</v>
      </c>
      <c r="C305">
        <v>29</v>
      </c>
      <c r="D305">
        <v>5</v>
      </c>
      <c r="E305">
        <v>1</v>
      </c>
      <c r="F305" s="3">
        <f>491.4+(215-267.5)+(-1.25307+(-0.54825--0.682125))+0-0-0</f>
        <v>437.78080499999999</v>
      </c>
      <c r="G305" s="3">
        <f>501+(161.7-251.5)+(0.76653+(0.247401-0.384795))+0-0-0</f>
        <v>411.82913600000001</v>
      </c>
      <c r="H305" s="3">
        <f>496.4+(156-255.1)+(-0.759492+(-0.23868--0.390303))+0-0-0</f>
        <v>396.69213099999996</v>
      </c>
      <c r="I305" s="3">
        <f>498.9+(142.3-248.5)+(0.254439+(0.072573-0.126735))+0-0-0</f>
        <v>392.90027700000002</v>
      </c>
      <c r="J305" s="3">
        <f>490+(140.2-239.9)+(-1.2495+(-0.35751--0.611745))+0-0-0</f>
        <v>389.30473499999994</v>
      </c>
      <c r="K305" s="3">
        <f>496.6+(133.4-238.4)+(0.253266+(0.068034-0.121584))+0-0-0</f>
        <v>391.79971600000005</v>
      </c>
      <c r="L305" s="3">
        <f>509+(139.6-239.6)+(0.25959+(0.071196-0.122196))+0-0-0</f>
        <v>409.20859000000002</v>
      </c>
      <c r="M305" s="3">
        <f>684.9+(85.1-344.4)+(0+(0-0))+0-0-0</f>
        <v>425.6</v>
      </c>
      <c r="N305" s="3">
        <f>692.1+(92.8-322.3)+(1.058913+(0.141984-0.493119))+0-0-0</f>
        <v>463.30777800000004</v>
      </c>
      <c r="O305" s="3">
        <f>689.5+(94.3-285.6)+(0+(0-0))+0-0-0</f>
        <v>498.2</v>
      </c>
      <c r="P305" s="3">
        <f>683.8+(89-252.4)+(-1.394952+(-0.18156--0.514896))+0-0-0</f>
        <v>519.33838400000002</v>
      </c>
      <c r="Q305" s="3">
        <f>690.6+(104.5-271.3)+(-0.352206+(-0.053295--0.138363))+0-0-0</f>
        <v>523.53286199999991</v>
      </c>
      <c r="R305" s="3">
        <f>691.2+(111.1-291.3)+(-1.057536+(-0.169983--0.445689))+0-0-0</f>
        <v>510.21816999999999</v>
      </c>
      <c r="S305" s="3">
        <f>687.7+(94.4-285.7)+(-0.701454+(-0.096288--0.291414))+0-0-0</f>
        <v>495.89367200000009</v>
      </c>
      <c r="T305" s="3">
        <f>684.3+(76-275.8)+(0+(0-0))+0-0-0</f>
        <v>484.49999999999994</v>
      </c>
      <c r="U305" s="3">
        <f>682.8+(81.9-284.4)+(0+(0-0))+0-0-0</f>
        <v>480.29999999999995</v>
      </c>
      <c r="V305" s="3">
        <f>683.6+(91.7-285.5)+(0+(0-0))+0-0-0</f>
        <v>489.8</v>
      </c>
      <c r="W305" s="3">
        <f>681.4+(101-211)+(-1.390056+(-0.20604--0.43044))+0-0-0</f>
        <v>570.23434399999996</v>
      </c>
      <c r="X305" s="3">
        <f>689.4+(150.4-205.6)+(-0.703188+(-0.153408--0.209712))+0-0-0</f>
        <v>633.55311600000005</v>
      </c>
      <c r="Y305" s="3">
        <f>684.3+(149.5-204.7)+(-1.744965+(-0.381225--0.521985))+0-0-0</f>
        <v>627.49579499999993</v>
      </c>
      <c r="Z305" s="3">
        <f>690.9+(193-268.8)+(0+(0-0))+0-0-0</f>
        <v>615.09999999999991</v>
      </c>
      <c r="AA305" s="3">
        <f>695.7+(233.4-333.4)+(0.709614+(0.238068-0.340068))+0-0-0</f>
        <v>596.30761400000006</v>
      </c>
      <c r="AB305" s="3">
        <f>694.9+(237.8-369.1)+(0.708798+(0.242556-0.376482))+0-0-0</f>
        <v>564.17487199999994</v>
      </c>
      <c r="AC305" s="3">
        <f>685.6+(215-386.8)+(-1.398624+(-0.4386--0.789072))+0-0-0</f>
        <v>512.751848</v>
      </c>
      <c r="AD305">
        <f t="shared" si="4"/>
        <v>11839.823845000001</v>
      </c>
      <c r="AE305" s="3">
        <f>710+(151.4-240.9)+(0+(0-0))+0-0-0</f>
        <v>620.5</v>
      </c>
    </row>
    <row r="306" spans="1:31" s="2" customFormat="1" x14ac:dyDescent="0.25">
      <c r="A306">
        <v>89</v>
      </c>
      <c r="B306">
        <v>10</v>
      </c>
      <c r="C306">
        <v>30</v>
      </c>
      <c r="D306">
        <v>6</v>
      </c>
      <c r="E306">
        <v>1</v>
      </c>
      <c r="F306" s="3">
        <f>552.7+(220.2-317.6)+(-0.563754+(-0.224604--0.323952))+0-0-0</f>
        <v>454.83559400000001</v>
      </c>
      <c r="G306" s="3">
        <f>500.4+(183.9-271.6)+(0+(0-0))+0-0-0</f>
        <v>412.69999999999993</v>
      </c>
      <c r="H306" s="3">
        <f>496.8+(147.7-260.2)+(0+(0-0))+0-0-0</f>
        <v>384.3</v>
      </c>
      <c r="I306" s="3">
        <f>496.1+(146.1-267.2)+(-0.253011+(-0.074511--0.136272))+0-0-0</f>
        <v>374.80874999999997</v>
      </c>
      <c r="J306" s="3">
        <f>494.9+(152.9-274.9)+(-0.504798+(-0.155958--0.280398))+0-0-0</f>
        <v>372.51964199999998</v>
      </c>
      <c r="K306" s="3">
        <f>502+(149.6-279.6)+(1.02408+(0.305184-0.570384))+0-0-0</f>
        <v>372.75887999999998</v>
      </c>
      <c r="L306" s="3">
        <f>496.1+(170.4-287.1)+(0.253011+(0.086904-0.146421))+0-0-0</f>
        <v>379.59349399999996</v>
      </c>
      <c r="M306" s="3">
        <f>596.6+(158.3-342.3)+(-0.912798+(-0.242199--0.523719))+0-0-0</f>
        <v>411.96872200000001</v>
      </c>
      <c r="N306" s="3">
        <f>646+(153.9-349.6)+(0+(0-0))+0-0-0</f>
        <v>450.29999999999995</v>
      </c>
      <c r="O306" s="3">
        <f>651.8+(183.1-346.6)+(1.329672+(0.373524-0.707064))+0-0-0</f>
        <v>489.29613199999994</v>
      </c>
      <c r="P306" s="3">
        <f>647.6+(208.1-336.5)+(0.330276+(0.106131-0.171615))+0-0-0</f>
        <v>519.4647920000001</v>
      </c>
      <c r="Q306" s="3">
        <f>642.7+(218.2-337.9)+(-1.311108+(-0.445128--0.689316))+0-0-0</f>
        <v>521.93308000000002</v>
      </c>
      <c r="R306" s="3">
        <f>654.3+(201.6-365.4)+(0.667386+(0.205632-0.372708))+0-0-0</f>
        <v>491.00031000000001</v>
      </c>
      <c r="S306" s="3">
        <f>650.9+(183-363.3)+(-0.663918+(-0.18666--0.370566))+0-0-0</f>
        <v>470.11998799999998</v>
      </c>
      <c r="T306" s="3">
        <f>651.2+(165.8-360.1)+(-0.332112+(-0.084558--0.183651))+0-0-0</f>
        <v>456.66698100000002</v>
      </c>
      <c r="U306" s="3">
        <f>649.7+(152.3-351.4)+(-0.331347+(-0.077673--0.179214))+0-0-0</f>
        <v>450.37019400000008</v>
      </c>
      <c r="V306" s="3">
        <f>658.3+(146.3-350.8)+(0.335733+(0.074613-0.178908))+0-0-0</f>
        <v>454.03143799999998</v>
      </c>
      <c r="W306" s="3">
        <f>691.5+(133-293.3)+(-0.352665+(-0.06783--0.149583))+0-0-0</f>
        <v>530.92908800000009</v>
      </c>
      <c r="X306" s="3">
        <f>685.7+(188.3-283.9)+(-1.398828+(-0.384132--0.579156))+0-0-0</f>
        <v>588.89619600000015</v>
      </c>
      <c r="Y306" s="3">
        <f>685.5+(190-294.2)+(-1.048815+(-0.2907--0.450126))+0-0-0</f>
        <v>580.4106109999999</v>
      </c>
      <c r="Z306" s="3">
        <f>680.2+(194.2-303.8)+(-1.73451+(-0.49521--0.77469))+0-0-0</f>
        <v>569.14497000000006</v>
      </c>
      <c r="AA306" s="3">
        <f>688+(234.8-376)+(0.70176+(0.239496-0.38352))+0-0-0</f>
        <v>547.35773599999993</v>
      </c>
      <c r="AB306" s="3">
        <f>688.5+(241.1-416.2)+(1.053405+(0.368883-0.636786))+0-0-0</f>
        <v>514.18550199999993</v>
      </c>
      <c r="AC306" s="3">
        <f>682.7+(217.8-437)+(-1.044531+(-0.333234--0.66861))+0-0-0</f>
        <v>462.79084500000005</v>
      </c>
      <c r="AD306">
        <f t="shared" si="4"/>
        <v>11260.382944999999</v>
      </c>
      <c r="AE306" s="3">
        <f>685+(181.5-282.4)+(0+(0-0))+0-0-0</f>
        <v>584.1</v>
      </c>
    </row>
    <row r="307" spans="1:31" s="2" customFormat="1" x14ac:dyDescent="0.25">
      <c r="A307">
        <v>89</v>
      </c>
      <c r="B307">
        <v>11</v>
      </c>
      <c r="C307">
        <v>1</v>
      </c>
      <c r="D307">
        <v>7</v>
      </c>
      <c r="E307">
        <v>1</v>
      </c>
      <c r="F307" s="3">
        <f>681.8+(150.2-384.1)+(-1.73859+(-0.38301--0.979455))+0-0-0</f>
        <v>446.75785499999989</v>
      </c>
      <c r="G307" s="3">
        <f>683.2+(105-379)+(-0.696864+(-0.1071--0.38658))+0-0-0</f>
        <v>408.78261600000002</v>
      </c>
      <c r="H307" s="3">
        <f>677.3+(89.8-387.8)+(-2.072538+(-0.274788--1.186668))+0-0-0</f>
        <v>378.13934199999994</v>
      </c>
      <c r="I307" s="3">
        <f>529.5+(128.3-274.8)+(0+(0-0))+0-0-0</f>
        <v>383</v>
      </c>
      <c r="J307" s="3">
        <f>489.9+(151.9-270)+(-0.249849+(-0.077469--0.1377))+0-0-0</f>
        <v>371.61038199999996</v>
      </c>
      <c r="K307" s="3">
        <f>491.6+(137.3-249.9)+(0+(0-0))+0-0-0</f>
        <v>379</v>
      </c>
      <c r="L307" s="3">
        <f>483.7+(151.4-252)+(-2.46687+(-0.77214--1.2852))+0-0-0</f>
        <v>381.14619000000005</v>
      </c>
      <c r="M307" s="3">
        <f>494.9+(123.4-272.5)+(0.504798+(0.125868-0.27795))+0-0-0</f>
        <v>346.15271599999994</v>
      </c>
      <c r="N307" s="3">
        <f>599.3+(107-325.8)+(-1.528215+(-0.27285--0.83079))+0-0-0</f>
        <v>379.52972499999993</v>
      </c>
      <c r="O307" s="3">
        <f>688.3+(109.2-380.9)+(-0.351033+(-0.055692--0.194259))+0-0-0</f>
        <v>416.38753399999996</v>
      </c>
      <c r="P307" s="3">
        <f>684.8+(124-369.2)+(-1.396992+(-0.25296--0.753168))+0-0-0</f>
        <v>438.70321599999994</v>
      </c>
      <c r="Q307" s="3">
        <f>690.1+(150-388.5)+(-1.055853+(-0.2295--0.594405))+0-0-0</f>
        <v>450.90905200000003</v>
      </c>
      <c r="R307" s="3">
        <f>694.1+(183.6-411.4)+(0.353991+(0.093636-0.209814))+0-0-0</f>
        <v>466.53781300000009</v>
      </c>
      <c r="S307" s="3">
        <f>685+(167.2-420.9)+(-1.3974+(-0.341088--0.858636))+0-0-0</f>
        <v>430.42014799999998</v>
      </c>
      <c r="T307" s="3">
        <f>688.6+(122.3-389.3)+(-0.351186+(-0.062373--0.198543))+0-0-0</f>
        <v>421.38498400000003</v>
      </c>
      <c r="U307" s="3">
        <f>684.4+(112.1-375.5)+(-1.047132+(-0.171513--0.574515))+0-0-0</f>
        <v>420.35586999999998</v>
      </c>
      <c r="V307" s="3">
        <f>684.6+(120.9-362.5)+(-1.396584+(-0.246636--0.7395))+0-0-0</f>
        <v>442.09627999999998</v>
      </c>
      <c r="W307" s="3">
        <f>693.6+(116.1-333.2)+(0.353736+(0.059211-0.169932))+0-0-0</f>
        <v>476.74301500000001</v>
      </c>
      <c r="X307" s="3">
        <f>694+(213.2-347.5)+(-1.06182+(-0.326196--0.531675))+0-0-0</f>
        <v>558.843659</v>
      </c>
      <c r="Y307" s="3">
        <f>698.5+(206.8-340.7)+(-0.356235+(-0.105468--0.173757))+0-0-0</f>
        <v>564.31205399999999</v>
      </c>
      <c r="Z307" s="3">
        <f>693.9+(201.7-345.4)+(-1.415556+(-0.411468--0.704616))+0-0-0</f>
        <v>549.0775920000001</v>
      </c>
      <c r="AA307" s="3">
        <f>703.1+(224.4-367.2)+(1.075743+(0.343332-0.561816))+0-0-0</f>
        <v>561.15725900000007</v>
      </c>
      <c r="AB307" s="3">
        <f>692+(218.3-405.3)+(-1.41168+(-0.445332--0.826812))+0-0-0</f>
        <v>503.96980000000002</v>
      </c>
      <c r="AC307" s="3">
        <f>690.1+(168.9-385.8)+(-0.703902+(-0.172278--0.393516))+0-0-0</f>
        <v>472.71733600000005</v>
      </c>
      <c r="AD307">
        <f t="shared" si="4"/>
        <v>10647.734437999999</v>
      </c>
      <c r="AE307" s="3">
        <f>682+(207.7-376.5)+(0+(0-0))+0-0-0</f>
        <v>513.20000000000005</v>
      </c>
    </row>
    <row r="308" spans="1:31" s="2" customFormat="1" x14ac:dyDescent="0.25">
      <c r="A308">
        <v>89</v>
      </c>
      <c r="B308">
        <v>11</v>
      </c>
      <c r="C308">
        <v>2</v>
      </c>
      <c r="D308">
        <v>1</v>
      </c>
      <c r="E308">
        <v>1</v>
      </c>
      <c r="F308" s="3">
        <f>629.5+(141.2-358.1)+(-2.247315+(-0.504084--1.278417))+0-0-0</f>
        <v>411.12701799999996</v>
      </c>
      <c r="G308" s="3">
        <f>493.8+(146.6-258.4)+(-1.007352+(-0.299064--0.527136))+0-0-0</f>
        <v>381.22072000000003</v>
      </c>
      <c r="H308" s="3">
        <f>508.7+(120.3-263.8)+(0.259437+(0.061353-0.134538))+0-0-0</f>
        <v>365.38625200000001</v>
      </c>
      <c r="I308" s="3">
        <f>514.5+(112.7-259.2)+(0+(0-0))+0-0-0</f>
        <v>368</v>
      </c>
      <c r="J308" s="3">
        <f>510.9+(106.5-287.6)+(-0.781677+(-0.162945--0.440028))+0-0-0</f>
        <v>329.29540599999996</v>
      </c>
      <c r="K308" s="3">
        <f>515.5+(115.1-283.6)+(0.262905+(0.058701-0.144636))+0-0-0</f>
        <v>347.17696999999998</v>
      </c>
      <c r="L308" s="3">
        <f>517.1+(149.2-286.3)+(0.263721+(0.076092-0.146013))+0-0-0</f>
        <v>380.19380000000001</v>
      </c>
      <c r="M308" s="3">
        <f>570.6+(151.4-325.1)+(-0.582012+(-0.154428--0.331602))+0-0-0</f>
        <v>396.49516199999999</v>
      </c>
      <c r="N308" s="3">
        <f>678.3+(160.1-392.7)+(-0.691866+(-0.163302--0.400554))+0-0-0</f>
        <v>445.24538599999994</v>
      </c>
      <c r="O308" s="3">
        <f>720.4+(204.6-419.3)+(-0.367404+(-0.104346--0.213843))+0-0-0</f>
        <v>505.44209299999994</v>
      </c>
      <c r="P308" s="3">
        <f>735.5+(184.1-406.4)+(-1.50042+(-0.375564--0.829056))+0-0-0</f>
        <v>512.15307200000007</v>
      </c>
      <c r="Q308" s="3">
        <f>780.4+(153.4-421.2)+(-1.194012+(-0.234702--0.644436))+0-0-0</f>
        <v>511.81572200000005</v>
      </c>
      <c r="R308" s="3">
        <f>824.4+(122.8-440.7)+(-2.10222+(-0.31314--1.123785))+0-0-0</f>
        <v>505.20842499999998</v>
      </c>
      <c r="S308" s="3">
        <f>892.5+(92.3-473.1)+(0.91035+(0.094146-0.482562))+0-0-0</f>
        <v>512.22193400000003</v>
      </c>
      <c r="T308" s="3">
        <f>886.1+(60.1-467.2)+(-0.451911+(-0.030651--0.238272))+0-0-0</f>
        <v>478.75571000000008</v>
      </c>
      <c r="U308" s="3">
        <f>888.9+(72.2-466.9)+(0.453339+(0.036822-0.238119))+0-0-0</f>
        <v>494.45204200000001</v>
      </c>
      <c r="V308" s="3">
        <f>887.5+(51.5-404.1)+(0+(0-0))+0-0-0</f>
        <v>534.9</v>
      </c>
      <c r="W308" s="3">
        <f>889.9+(49.9-374.4)+(1.361547+(0.076347-0.572832))+0-0-0</f>
        <v>566.26506199999994</v>
      </c>
      <c r="X308" s="3">
        <f>889.2+(98.1-341.4)+(-1.360476+(-0.150093--0.522342))+0-0-0</f>
        <v>644.91177300000004</v>
      </c>
      <c r="Y308" s="3">
        <f>887.8+(107.6-343.2)+(-1.358334+(-0.164628--0.525096))+0-0-0</f>
        <v>651.20213399999989</v>
      </c>
      <c r="Z308" s="3">
        <f>885.9+(107.8-367.6)+(-1.807236+(-0.219912--0.749904))+0-0-0</f>
        <v>624.82275599999991</v>
      </c>
      <c r="AA308" s="3">
        <f>890.1+(133.3-428.9)+(-0.453951+(-0.067983--0.218739))+0-0-0</f>
        <v>594.19680500000004</v>
      </c>
      <c r="AB308" s="3">
        <f>883.4+(126.1-467.2)+(-1.802136+(-0.257244--0.953088))+0-0-0</f>
        <v>541.1937079999999</v>
      </c>
      <c r="AC308" s="3">
        <f>875.1+(95.2-447)+(-3.570408+(-0.388416--1.82376))+0-0-0</f>
        <v>521.1649359999999</v>
      </c>
      <c r="AD308">
        <f t="shared" si="4"/>
        <v>11622.846885999998</v>
      </c>
      <c r="AE308" s="3">
        <f>881+(108.1-351.7)+(0+(0-0))+0-0-0</f>
        <v>637.4</v>
      </c>
    </row>
    <row r="309" spans="1:31" s="2" customFormat="1" x14ac:dyDescent="0.25">
      <c r="A309">
        <v>89</v>
      </c>
      <c r="B309">
        <v>11</v>
      </c>
      <c r="C309">
        <v>3</v>
      </c>
      <c r="D309">
        <v>2</v>
      </c>
      <c r="E309">
        <v>1</v>
      </c>
      <c r="F309" s="3">
        <f>885.2+(64.2-496.1)+(-1.354356+(-0.098226--0.759033))+0-0-0</f>
        <v>452.60645099999999</v>
      </c>
      <c r="G309" s="3">
        <f>879.1+(36.3-497.6)+(-1.793364+(-0.074052--1.015104))+0-0-0</f>
        <v>416.94768800000003</v>
      </c>
      <c r="H309" s="3">
        <f>856.7+(36-473.6)+(-2.184585+(-0.0918--1.20768))+0-0-0</f>
        <v>418.031295</v>
      </c>
      <c r="I309" s="3">
        <f>636.5+(88.4-327.4)+(0.324615+(0.045084-0.166974))+0-0-0</f>
        <v>397.70272499999999</v>
      </c>
      <c r="J309" s="3">
        <f>634.9+(86-352.7)+(0.647598+(0.08772-0.359754))+0-0-0</f>
        <v>368.57556399999999</v>
      </c>
      <c r="K309" s="3">
        <f>632.1+(92-347.6)+(0+(0-0))+0-0-0</f>
        <v>376.5</v>
      </c>
      <c r="L309" s="3">
        <f>627.1+(104.1-322.5)+(-1.279284+(-0.212364--0.6579))+0-0-0</f>
        <v>407.86625200000003</v>
      </c>
      <c r="M309" s="3">
        <f>675.2+(77.9-342.8)+(-0.688704+(-0.079458--0.349656))+0-0-0</f>
        <v>409.88149400000009</v>
      </c>
      <c r="N309" s="3">
        <f>878.6+(25.5-440.7)+(0+(0-0))+0-0-0</f>
        <v>463.40000000000003</v>
      </c>
      <c r="O309" s="3">
        <f>880.1+(63.8-417)+(-0.448851+(-0.032538--0.21267))+0-0-0</f>
        <v>526.63128100000006</v>
      </c>
      <c r="P309" s="3">
        <f>882.2+(62.3-422.7)+(-0.449922+(-0.031773--0.215577))+0-0-0</f>
        <v>521.53388200000006</v>
      </c>
      <c r="Q309" s="3">
        <f>884.5+(62.3-423.6)+(-0.90219+(-0.063546--0.432072))+0-0-0</f>
        <v>522.666336</v>
      </c>
      <c r="R309" s="3">
        <f>885.9+(57.4-445.9)+(-0.451809+(-0.029274--0.227409))+0-0-0</f>
        <v>497.14632599999999</v>
      </c>
      <c r="S309" s="3">
        <f>889.7+(45.6-471.2)+(-0.453747+(-0.023256--0.240312))+0-0-0</f>
        <v>463.86330900000007</v>
      </c>
      <c r="T309" s="3">
        <f>877.7+(48.9-471.2)+(-2.238135+(-0.124695--1.20156))+0-0-0</f>
        <v>454.23873000000003</v>
      </c>
      <c r="U309" s="3">
        <f>887.1+(50.2-469.7)+(0.452421+(0.025602-0.239547))+0-0-0</f>
        <v>467.83847600000001</v>
      </c>
      <c r="V309" s="3">
        <f>878.1+(47.9-437.1)+(-1.343493+(-0.073287--0.668763))+0-0-0</f>
        <v>488.15198299999997</v>
      </c>
      <c r="W309" s="3">
        <f>887.9+(49.4-404.7)+(-0.905658+(-0.050388--0.412794))+0-0-0</f>
        <v>532.05674799999986</v>
      </c>
      <c r="X309" s="3">
        <f>896.1+(107.1-384)+(-1.828044+(-0.218484--0.78336))+0-0-0</f>
        <v>617.93683200000009</v>
      </c>
      <c r="Y309" s="3">
        <f>893.2+(105.6-383.7)+(-1.822128+(-0.215424--0.782748))+0-0-0</f>
        <v>613.84519599999999</v>
      </c>
      <c r="Z309" s="3">
        <f>893.6+(106.7-404.2)+(-0.455736+(-0.054417--0.206142))+0-0-0</f>
        <v>595.79598900000008</v>
      </c>
      <c r="AA309" s="3">
        <f>892.4+(139-463.5)+(-0.455124+(-0.07089--0.236385))+0-0-0</f>
        <v>567.61037099999999</v>
      </c>
      <c r="AB309" s="3">
        <f>889.2+(156.5-522.2)+(0+(0-0))+0-0-0</f>
        <v>523.5</v>
      </c>
      <c r="AC309" s="3">
        <f>817+(135.8-468.3)+(-2.08335+(-0.34629--1.194165))+0-0-0</f>
        <v>483.26452499999999</v>
      </c>
      <c r="AD309">
        <f t="shared" si="4"/>
        <v>11587.591453000003</v>
      </c>
      <c r="AE309" s="3">
        <f>895+(110.1-386.4)+(0+(0-0))+0-0-0</f>
        <v>618.70000000000005</v>
      </c>
    </row>
    <row r="310" spans="1:31" s="2" customFormat="1" x14ac:dyDescent="0.25">
      <c r="A310">
        <v>89</v>
      </c>
      <c r="B310">
        <v>11</v>
      </c>
      <c r="C310">
        <v>4</v>
      </c>
      <c r="D310">
        <v>3</v>
      </c>
      <c r="E310">
        <v>1</v>
      </c>
      <c r="F310" s="3">
        <f>802.5+(88.2-467.2)+(-0.81855+(-0.089964--0.476544))+0-0-0</f>
        <v>423.06803000000002</v>
      </c>
      <c r="G310" s="3">
        <f>826+(42.8-471.7)+(-0.42126+(-0.021828--0.240567))+0-0-0</f>
        <v>396.89747900000003</v>
      </c>
      <c r="H310" s="3">
        <f>759.9+(43.4-429.9)+(-0.775098+(-0.044268--0.438498))+0-0-0</f>
        <v>373.01913199999996</v>
      </c>
      <c r="I310" s="3">
        <f>695.5+(54.1-385.7)+(0.70941+(0.055182-0.393414))+0-0-0</f>
        <v>364.27117800000002</v>
      </c>
      <c r="J310" s="3">
        <f>697.2+(59.6-393.8)+(0.711144+(0.060792-0.401676))+0-0-0</f>
        <v>363.37026000000003</v>
      </c>
      <c r="K310" s="3">
        <f>699.5+(60.3-389.8)+(1.42698+(0.123012-0.795192))+0-0-0</f>
        <v>370.75479999999999</v>
      </c>
      <c r="L310" s="3">
        <f>690.1+(75.5-383)+(-1.055853+(-0.115515--0.58599))+0-0-0</f>
        <v>382.01462200000003</v>
      </c>
      <c r="M310" s="3">
        <f>686.7+(87.8-380)+(-1.751085+(-0.22389--0.969))+0-0-0</f>
        <v>393.49402500000008</v>
      </c>
      <c r="N310" s="3">
        <f>682+(146-401.6)+(0+(0-0))+0-0-0</f>
        <v>426.4</v>
      </c>
      <c r="O310" s="3">
        <f>689.3+(152-432.3)+(0+(0-0))+0-0-0</f>
        <v>408.99999999999994</v>
      </c>
      <c r="P310" s="3">
        <f>695.9+(165-439.1)+(-1.419636+(-0.3366--0.895764))+0-0-0</f>
        <v>420.93952799999994</v>
      </c>
      <c r="Q310" s="3">
        <f>696.6+(161.6-433.6)+(-1.77633+(-0.41208--1.10568))+0-0-0</f>
        <v>423.51727</v>
      </c>
      <c r="R310" s="3">
        <f>699.3+(200.7-421.1)+(-1.426572+(-0.409428--0.859044))+0-0-0</f>
        <v>477.92304399999995</v>
      </c>
      <c r="S310" s="3">
        <f>689.8+(203-428.6)+(-0.351798+(-0.10353--0.218586))+0-0-0</f>
        <v>463.96325799999994</v>
      </c>
      <c r="T310" s="3">
        <f>679.8+(175.4-400.8)+(0+(0-0))+0-0-0</f>
        <v>454.4</v>
      </c>
      <c r="U310" s="3">
        <f>682.3+(173.1-406.1)+(1.043919+(0.264843-0.621333))+0-0-0</f>
        <v>449.98742899999996</v>
      </c>
      <c r="V310" s="3">
        <f>678+(158.9-377.8)+(0+(0-0))+0-0-0</f>
        <v>459.1</v>
      </c>
      <c r="W310" s="3">
        <f>688.3+(146.3-302.7)+(0+(0-0))+0-0-0</f>
        <v>531.9</v>
      </c>
      <c r="X310" s="3">
        <f>711.8+(198.8-285.7)+(-1.089054+(-0.304164--0.437121))+0-0-0</f>
        <v>623.94390299999998</v>
      </c>
      <c r="Y310" s="3">
        <f>729.6+(189-323.2)+(-1.116288+(-0.28917--0.494496))+0-0-0</f>
        <v>594.48903800000005</v>
      </c>
      <c r="Z310" s="3">
        <f>724+(193-345.9)+(-1.10772+(-0.29529--0.529227))+0-0-0</f>
        <v>570.22621700000002</v>
      </c>
      <c r="AA310" s="3">
        <f>694.9+(266.2-394.2)+(-0.354399+(-0.135762--0.201042))+0-0-0</f>
        <v>566.61088099999995</v>
      </c>
      <c r="AB310" s="3">
        <f>692.7+(261.3-439)+(-0.706554+(-0.266526--0.44778))+0-0-0</f>
        <v>514.47469999999998</v>
      </c>
      <c r="AC310" s="3">
        <f>697.8+(199.5-422.9)+(0+(0-0))+0-0-0</f>
        <v>474.4</v>
      </c>
      <c r="AD310">
        <f t="shared" si="4"/>
        <v>10928.164794</v>
      </c>
      <c r="AE310" s="3">
        <f>719+(216.3-293.4)+(0+(0-0))+0-0-0</f>
        <v>641.90000000000009</v>
      </c>
    </row>
    <row r="311" spans="1:31" s="2" customFormat="1" x14ac:dyDescent="0.25">
      <c r="A311">
        <v>89</v>
      </c>
      <c r="B311">
        <v>11</v>
      </c>
      <c r="C311">
        <v>5</v>
      </c>
      <c r="D311">
        <v>4</v>
      </c>
      <c r="E311">
        <v>5</v>
      </c>
      <c r="F311" s="3">
        <f>688.5+(137.1-400.9)+(-0.351135+(-0.069921--0.204459))+0-0-0</f>
        <v>424.48340300000007</v>
      </c>
      <c r="G311" s="3">
        <f>685.4+(100.6-390.4)+(-1.048662+(-0.153918--0.597312))+0-0-0</f>
        <v>394.994732</v>
      </c>
      <c r="H311" s="3">
        <f>689.6+(79-391.3)+(0.703392+(0.08058-0.399126))+0-0-0</f>
        <v>377.68484599999999</v>
      </c>
      <c r="I311" s="3">
        <f>645.7+(86.7-364)+(-0.329307+(-0.044217--0.18564))+0-0-0</f>
        <v>368.21211600000004</v>
      </c>
      <c r="J311" s="3">
        <f>557.1+(115.7-311.2)+(-0.284121+(-0.059007--0.158712))+0-0-0</f>
        <v>361.41558400000002</v>
      </c>
      <c r="K311" s="3">
        <f>502.9+(139.4-283.3)+(0.256479+(0.071094-0.144483))+0-0-0</f>
        <v>359.18308999999999</v>
      </c>
      <c r="L311" s="3">
        <f>495.6+(145.1-277.6)+(-1.516536+(-0.444006--0.849456))+0-0-0</f>
        <v>361.98891400000002</v>
      </c>
      <c r="M311" s="3">
        <f>558.2+(120.4-341.7)+(-1.42341+(-0.30702--0.871335))+0-0-0</f>
        <v>336.04090500000007</v>
      </c>
      <c r="N311" s="3">
        <f>589.7+(122.7-353.2)+(-0.601494+(-0.125154--0.360264))+0-0-0</f>
        <v>358.83361600000006</v>
      </c>
      <c r="O311" s="3">
        <f>730.1+(121-441.2)+(-1.489404+(-0.24684--0.900048))+0-0-0</f>
        <v>409.06380400000006</v>
      </c>
      <c r="P311" s="3">
        <f>748.1+(132.9-437.8)+(-1.144593+(-0.203337--0.669834))+0-0-0</f>
        <v>442.52190400000006</v>
      </c>
      <c r="Q311" s="3">
        <f>723+(153.8-439.7)+(-1.84365+(-0.39219--1.121235))+0-0-0</f>
        <v>435.98539500000004</v>
      </c>
      <c r="R311" s="3">
        <f>698.2+(167.9-415.8)+(-2.136492+(-0.513774--1.272348))+0-0-0</f>
        <v>448.92208200000005</v>
      </c>
      <c r="S311" s="3">
        <f>726.3+(136.4-417.2)+(-0.740826+(-0.139128--0.425544))+0-0-0</f>
        <v>445.04559</v>
      </c>
      <c r="T311" s="3">
        <f>752.4+(128.1-440.5)+(-1.91862+(-0.326655--1.123275))+0-0-0</f>
        <v>438.87799999999999</v>
      </c>
      <c r="U311" s="3">
        <f>756.5+(131.6-464.9)+(0.77163+(0.134232-0.474198))+0-0-0</f>
        <v>423.63166400000006</v>
      </c>
      <c r="V311" s="3">
        <f>755.9+(144-471.2)+(0.771018+(0.14688-0.480624))+0-0-0</f>
        <v>429.13727399999999</v>
      </c>
      <c r="W311" s="3">
        <f>777.9+(111.2-391.9)+(0+(0-0))+0-0-0</f>
        <v>497.2</v>
      </c>
      <c r="X311" s="3">
        <f>814.6+(133.2-365.2)+(-0.415446+(-0.067932--0.186252))+0-0-0</f>
        <v>582.30287399999997</v>
      </c>
      <c r="Y311" s="3">
        <f>808.6+(118.6-349.5)+(-1.649544+(-0.241944--0.71298))+0-0-0</f>
        <v>576.52149200000008</v>
      </c>
      <c r="Z311" s="3">
        <f>767.4+(138.4-336.2)+(0+(0-0))+0-0-0</f>
        <v>569.6</v>
      </c>
      <c r="AA311" s="3">
        <f>737.2+(189.2-377.7)+(0+(0-0))+0-0-0</f>
        <v>548.70000000000005</v>
      </c>
      <c r="AB311" s="3">
        <f>676.3+(226.1-382.4)+(-2.069478+(-0.691866--1.170144))+0-0-0</f>
        <v>518.40880000000004</v>
      </c>
      <c r="AC311" s="3">
        <f>677.5+(220.1-427.6)+(-0.69105+(-0.224502--0.436152))+0-0-0</f>
        <v>469.5206</v>
      </c>
      <c r="AD311">
        <f t="shared" si="4"/>
        <v>10578.276684999999</v>
      </c>
      <c r="AE311" s="3">
        <f>819+(137.2-381.2)+(0+(0-0))+0-0-0</f>
        <v>575</v>
      </c>
    </row>
    <row r="312" spans="1:31" s="2" customFormat="1" x14ac:dyDescent="0.25">
      <c r="A312">
        <v>89</v>
      </c>
      <c r="B312">
        <v>11</v>
      </c>
      <c r="C312">
        <v>6</v>
      </c>
      <c r="D312">
        <v>5</v>
      </c>
      <c r="E312">
        <v>1</v>
      </c>
      <c r="F312" s="3">
        <f>575.4+(203.7-359.9)+(-0.880362+(-0.311661--0.550647))+0-0-0</f>
        <v>418.55862400000001</v>
      </c>
      <c r="G312" s="3">
        <f>572.9+(137.6-333.6)+(-0.292179+(-0.070176--0.170136))+0-0-0</f>
        <v>376.70778099999995</v>
      </c>
      <c r="H312" s="3">
        <f>520+(142.9-306.3)+(0.2652+(0.072879-0.156213))+0-0-0</f>
        <v>356.78186600000004</v>
      </c>
      <c r="I312" s="3">
        <f>495.7+(134-285.4)+(0+(0-0))+0-0-0</f>
        <v>344.3</v>
      </c>
      <c r="J312" s="3">
        <f>500.7+(130.3-283.8)+(1.021428+(0.265812-0.578952))+0-0-0</f>
        <v>347.90828799999997</v>
      </c>
      <c r="K312" s="3">
        <f>534.7+(117.2-286.9)+(0.272697+(0.059772-0.146319))+0-0-0</f>
        <v>365.18615000000005</v>
      </c>
      <c r="L312" s="3">
        <f>571.9+(118.3-300.8)+(-0.583338+(-0.120666--0.306816))+0-0-0</f>
        <v>389.00281199999995</v>
      </c>
      <c r="M312" s="3">
        <f>575.7+(142.2-323.8)+(0.587214+(0.145044-0.330276))+0-0-0</f>
        <v>394.501982</v>
      </c>
      <c r="N312" s="3">
        <f>634+(175.5-357.7)+(-0.32334+(-0.089505--0.182427))+0-0-0</f>
        <v>451.56958200000003</v>
      </c>
      <c r="O312" s="3">
        <f>673+(156.1-349.2)+(-0.68646+(-0.159222--0.356184))+0-0-0</f>
        <v>479.41050199999995</v>
      </c>
      <c r="P312" s="3">
        <f>674.6+(153-329.1)+(0.688092+(0.15606-0.335682))+0-0-0</f>
        <v>499.00846999999999</v>
      </c>
      <c r="Q312" s="3">
        <f>669.6+(147.6-307.6)+(0.341496+(0.075276-0.156876))+0-0-0</f>
        <v>509.85989600000005</v>
      </c>
      <c r="R312" s="3">
        <f>662.1+(135-300)+(-1.688355+(-0.34425--0.765))+0-0-0</f>
        <v>495.83239500000002</v>
      </c>
      <c r="S312" s="3">
        <f>667+(117.7-299.9)+(0+(0-0))+0-0-0</f>
        <v>484.8</v>
      </c>
      <c r="T312" s="3">
        <f>654.7+(108.8-291.8)+(0+(0-0))+0-0-0</f>
        <v>471.70000000000005</v>
      </c>
      <c r="U312" s="3">
        <f>645.4+(116.4-283.5)+(-0.329154+(-0.059364--0.144585))+0-0-0</f>
        <v>478.05606699999993</v>
      </c>
      <c r="V312" s="3">
        <f>640.4+(96.5-251.4)+(-1.306416+(-0.19686--0.512856))+0-0-0</f>
        <v>484.50958000000003</v>
      </c>
      <c r="W312" s="3">
        <f>650+(108.3-207.6)+(-1.326+(-0.220932--0.423504))+0-0-0</f>
        <v>549.57657200000006</v>
      </c>
      <c r="X312" s="3">
        <f>676+(139.9-202)+(0.34476+(0.071349-0.10302))+0-0-0</f>
        <v>614.21308899999997</v>
      </c>
      <c r="Y312" s="3">
        <f>676.7+(146.5-216.5)+(0.345117+(0.074715-0.110415))+0-0-0</f>
        <v>607.0094170000001</v>
      </c>
      <c r="Z312" s="3">
        <f>668.6+(167.7-249.5)+(-1.70493+(-0.427635--0.636225))+0-0-0</f>
        <v>585.30365999999992</v>
      </c>
      <c r="AA312" s="3">
        <f>674+(240.9-354.2)+(0+(0-0))+0-0-0</f>
        <v>560.70000000000005</v>
      </c>
      <c r="AB312" s="3">
        <f>661.7+(229.6-369.1)+(-1.687335+(-0.58548--0.941205))+0-0-0</f>
        <v>520.86839000000009</v>
      </c>
      <c r="AC312" s="3">
        <f>634.6+(202.4-357.8)+(-1.941876+(-0.619344--1.094868))+0-0-0</f>
        <v>477.73364800000007</v>
      </c>
      <c r="AD312">
        <f t="shared" si="4"/>
        <v>11263.098770999997</v>
      </c>
      <c r="AE312" s="3">
        <f>685+(135.9-230.8)+(0+(0-0))+0-0-0</f>
        <v>590.1</v>
      </c>
    </row>
    <row r="313" spans="1:31" s="2" customFormat="1" x14ac:dyDescent="0.25">
      <c r="A313">
        <v>89</v>
      </c>
      <c r="B313">
        <v>11</v>
      </c>
      <c r="C313">
        <v>7</v>
      </c>
      <c r="D313">
        <v>6</v>
      </c>
      <c r="E313">
        <v>1</v>
      </c>
      <c r="F313" s="3">
        <f>572+(218.1-362.7)+(-0.87516+(-0.333693--0.554931))+0-0-0</f>
        <v>426.74607799999995</v>
      </c>
      <c r="G313" s="3">
        <f>581.1+(150.2-340)+(1.185444+(0.306408-0.6936))+0-0-0</f>
        <v>392.098252</v>
      </c>
      <c r="H313" s="3">
        <f>578.9+(117.4-322.3)+(0.885717+(0.179622-0.493119))+0-0-0</f>
        <v>374.57222000000002</v>
      </c>
      <c r="I313" s="3">
        <f>578+(115.6-326.9)+(0.29478+(0.058956-0.166719))+0-0-0</f>
        <v>366.88701700000007</v>
      </c>
      <c r="J313" s="3">
        <f>575.6+(115.1-326.6)+(0+(0-0))+0-0-0</f>
        <v>364.1</v>
      </c>
      <c r="K313" s="3">
        <f>631.4+(108.1-371.3)+(0+(0-0))+0-0-0</f>
        <v>368.19999999999993</v>
      </c>
      <c r="L313" s="3">
        <f>680.1+(116.3-402.5)+(0.693702+(0.118626-0.41055))+0-0-0</f>
        <v>394.30177800000001</v>
      </c>
      <c r="M313" s="3">
        <f>677.4+(137-409.6)+(-0.345474+(-0.06987--0.208896))+0-0-0</f>
        <v>404.59355199999993</v>
      </c>
      <c r="N313" s="3">
        <f>671.8+(116.9-354.2)+(-0.685236+(-0.119238--0.361284))+0-0-0</f>
        <v>434.05680999999998</v>
      </c>
      <c r="O313" s="3">
        <f>667+(140.3-338.5)+(-1.36068+(-0.286212--0.69054))+0-0-0</f>
        <v>467.84364800000003</v>
      </c>
      <c r="P313" s="3">
        <f>669.9+(157.3-344.2)+(-0.341649+(-0.080223--0.175542))+0-0-0</f>
        <v>482.75367</v>
      </c>
      <c r="Q313" s="3">
        <f>652.5+(195.9-361.3)+(0+(0-0))+0-0-0</f>
        <v>487.1</v>
      </c>
      <c r="R313" s="3">
        <f>631.4+(204.8-362.3)+(-1.288056+(-0.417792--0.739092))+0-0-0</f>
        <v>472.933244</v>
      </c>
      <c r="S313" s="3">
        <f>651.2+(181.6-361)+(-2.324784+(-0.648312--1.28877))+0-0-0</f>
        <v>470.11567400000007</v>
      </c>
      <c r="T313" s="3">
        <f>652.3+(194.6-383.1)+(-1.663365+(-0.49623--0.976905))+0-0-0</f>
        <v>462.61730999999997</v>
      </c>
      <c r="U313" s="3">
        <f>656.6+(208.5-397.4)+(-0.669732+(-0.21267--0.405348))+0-0-0</f>
        <v>467.22294600000004</v>
      </c>
      <c r="V313" s="3">
        <f>655.8+(209.6-376.6)+(-1.337832+(-0.427584--0.768264))+0-0-0</f>
        <v>487.80284799999993</v>
      </c>
      <c r="W313" s="3">
        <f>673.3+(212.5-324.3)+(0.343383+(0.108375-0.165393))+0-0-0</f>
        <v>561.78636500000005</v>
      </c>
      <c r="X313" s="3">
        <f>693+(246.8-315.5)+(-1.76715+(-0.62934--0.804525))+0-0-0</f>
        <v>622.708035</v>
      </c>
      <c r="Y313" s="3">
        <f>706.9+(251.8-344.5)+(-1.081557+(-0.385254--0.527085))+0-0-0</f>
        <v>613.26027400000009</v>
      </c>
      <c r="Z313" s="3">
        <f>707.9+(248-358.2)+(-0.361029+(-0.12648--0.182682))+0-0-0</f>
        <v>597.395173</v>
      </c>
      <c r="AA313" s="3">
        <f>704.7+(291.5-418.4)+(-0.718794+(-0.29733--0.426768))+0-0-0</f>
        <v>577.21064400000012</v>
      </c>
      <c r="AB313" s="3">
        <f>699.8+(300.3-464.6)+(-1.427592+(-0.612612--0.947784))+0-0-0</f>
        <v>534.40758000000005</v>
      </c>
      <c r="AC313" s="3">
        <f>703.1+(243.5-452.9)+(0+(0-0))+0-0-0</f>
        <v>493.70000000000005</v>
      </c>
      <c r="AD313">
        <f t="shared" si="4"/>
        <v>11324.413118</v>
      </c>
      <c r="AE313" s="3">
        <f>689+(246.1-340)+(0+(0-0))+0-0-0</f>
        <v>595.1</v>
      </c>
    </row>
    <row r="314" spans="1:31" s="2" customFormat="1" x14ac:dyDescent="0.25">
      <c r="A314">
        <v>89</v>
      </c>
      <c r="B314">
        <v>11</v>
      </c>
      <c r="C314">
        <v>8</v>
      </c>
      <c r="D314">
        <v>7</v>
      </c>
      <c r="E314">
        <v>1</v>
      </c>
      <c r="F314" s="3">
        <f>694.9+(216-483.4)+(-1.771995+(-0.5508--1.23267))+0-0-0</f>
        <v>426.409875</v>
      </c>
      <c r="G314" s="3">
        <f>693+(120.7-421.7)+(-1.06029+(-0.184671--0.645201))+0-0-0</f>
        <v>391.40024</v>
      </c>
      <c r="H314" s="3">
        <f>696.4+(93.8-421.3)+(-0.355164+(-0.047838--0.214863))+0-0-0</f>
        <v>368.711861</v>
      </c>
      <c r="I314" s="3">
        <f>696.7+(102.1-437.4)+(-0.355317+(-0.052071--0.223074))+0-0-0</f>
        <v>361.21568600000012</v>
      </c>
      <c r="J314" s="3">
        <f>527.5+(148.9-330.1)+(0.269025+(0.075939-0.168351))+0-0-0</f>
        <v>346.47661299999993</v>
      </c>
      <c r="K314" s="3">
        <f>500.8+(157.1-312.9)+(-0.766224+(-0.240363--0.478737))+0-0-0</f>
        <v>344.47215</v>
      </c>
      <c r="L314" s="3">
        <f>498.9+(162.7-322.8)+(-0.508878+(-0.165954--0.329256))+0-0-0</f>
        <v>338.45442399999996</v>
      </c>
      <c r="M314" s="3">
        <f>504.6+(135.5-322.6)+(0+(0-0))+0-0-0</f>
        <v>317.5</v>
      </c>
      <c r="N314" s="3">
        <f>500.5+(143.5-311.2)+(-0.51051+(-0.14637--0.317424))+0-0-0</f>
        <v>332.46054400000003</v>
      </c>
      <c r="O314" s="3">
        <f>634.5+(127-378.5)+(0.970785+(0.19431-0.579105))+0-0-0</f>
        <v>383.58598999999998</v>
      </c>
      <c r="P314" s="3">
        <f>676+(127.8-385.3)+(-1.03428+(-0.195534--0.589509))+0-0-0</f>
        <v>417.85969499999999</v>
      </c>
      <c r="Q314" s="3">
        <f>678.5+(153.7-394.2)+(-0.69207+(-0.156774--0.402084))+0-0-0</f>
        <v>437.55324000000002</v>
      </c>
      <c r="R314" s="3">
        <f>669.5+(154.8-383.4)+(-3.073005+(-0.710532--1.759806))+0-0-0</f>
        <v>438.87626900000004</v>
      </c>
      <c r="S314" s="3">
        <f>679.3+(142.5-417.2)+(0+(0-0))+0-0-0</f>
        <v>404.59999999999997</v>
      </c>
      <c r="T314" s="3">
        <f>679.2+(125.3-416.8)+(-0.346392+(-0.063903--0.212568))+0-0-0</f>
        <v>387.50227300000006</v>
      </c>
      <c r="U314" s="3">
        <f>678.4+(104.2-388.9)+(-0.345984+(-0.053142--0.198339))+0-0-0</f>
        <v>393.499213</v>
      </c>
      <c r="V314" s="3">
        <f>677.7+(118-398.6)+(-1.036881+(-0.18054--0.609858))+0-0-0</f>
        <v>396.492437</v>
      </c>
      <c r="W314" s="3">
        <f>641.9+(177.2-364.4)+(-1.309476+(-0.361488--0.743376))+0-0-0</f>
        <v>453.77241199999997</v>
      </c>
      <c r="X314" s="3">
        <f>623+(288-392.2)+(-1.27092+(-0.58752--0.800088))+0-0-0</f>
        <v>517.74164799999994</v>
      </c>
      <c r="Y314" s="3">
        <f>625.2+(268.9-381.2)+(-0.956556+(-0.411417--0.583236))+0-0-0</f>
        <v>512.11526300000014</v>
      </c>
      <c r="Z314" s="3">
        <f>625.3+(270-385.4)+(-0.637806+(-0.2754--0.393108))+0-0-0</f>
        <v>509.37990199999996</v>
      </c>
      <c r="AA314" s="3">
        <f>626.7+(299.2-424)+(-0.319617+(-0.152592--0.21624))+0-0-0</f>
        <v>501.64403100000004</v>
      </c>
      <c r="AB314" s="3">
        <f>625.5+(318.5-461.9)+(-0.63801+(-0.32487--0.471138))+0-0-0</f>
        <v>481.60825800000003</v>
      </c>
      <c r="AC314" s="3">
        <f>619+(266.9-440.7)+(-2.20983+(-0.952833--1.573299))+0-0-0</f>
        <v>443.610636</v>
      </c>
      <c r="AD314">
        <f t="shared" si="4"/>
        <v>9906.9426600000006</v>
      </c>
      <c r="AE314" s="3">
        <f>627+(282-398.2)+(0+(0-0))+0-0-0</f>
        <v>510.8</v>
      </c>
    </row>
    <row r="315" spans="1:31" s="2" customFormat="1" x14ac:dyDescent="0.25">
      <c r="A315">
        <v>89</v>
      </c>
      <c r="B315">
        <v>11</v>
      </c>
      <c r="C315">
        <v>9</v>
      </c>
      <c r="D315">
        <v>1</v>
      </c>
      <c r="E315">
        <v>1</v>
      </c>
      <c r="F315" s="3">
        <f>590+(223.1-400.5)+(0+(0-0))+0-0-0</f>
        <v>412.6</v>
      </c>
      <c r="G315" s="3">
        <f>505.9+(196.5-330.1)+(-1.806063+(-0.701505--1.178457))+0-0-0</f>
        <v>370.97088899999994</v>
      </c>
      <c r="H315" s="3">
        <f>504.3+(182.3-332.9)+(-0.257193+(-0.092973--0.169779))+0-0-0</f>
        <v>353.51961300000005</v>
      </c>
      <c r="I315" s="3">
        <f>501.2+(170.6-316.3)+(-0.766836+(-0.261018--0.483939))+0-0-0</f>
        <v>354.95608499999997</v>
      </c>
      <c r="J315" s="3">
        <f>505.1+(152.1-312.4)+(0+(0-0))+0-0-0</f>
        <v>344.80000000000007</v>
      </c>
      <c r="K315" s="3">
        <f>504.8+(151.8-303.4)+(0+(0-0))+0-0-0</f>
        <v>353.20000000000005</v>
      </c>
      <c r="L315" s="3">
        <f>507.7+(215.7-330.8)+(0+(0-0))+0-0-0</f>
        <v>392.59999999999997</v>
      </c>
      <c r="M315" s="3">
        <f>499.9+(227-316.8)+(-1.274745+(-0.57885--0.80784))+0-0-0</f>
        <v>409.05424499999998</v>
      </c>
      <c r="N315" s="3">
        <f>608.5+(187.9-330.9)+(0.310335+(0.095829-0.168759))+0-0-0</f>
        <v>465.73740500000002</v>
      </c>
      <c r="O315" s="3">
        <f>696.5+(183.5-373.5)+(-0.355215+(-0.093585--0.190485))+0-0-0</f>
        <v>506.24168500000002</v>
      </c>
      <c r="P315" s="3">
        <f>697.8+(198.8-372.5)+(-0.711756+(-0.202776--0.37995))+0-0-0</f>
        <v>523.56541799999991</v>
      </c>
      <c r="Q315" s="3">
        <f>632.9+(246.6-348.7)+(-1.613895+(-0.62883--0.889185))+0-0-0</f>
        <v>529.44646</v>
      </c>
      <c r="R315" s="3">
        <f>631.8+(273-380.1)+(0+(0-0))+0-0-0</f>
        <v>524.69999999999993</v>
      </c>
      <c r="S315" s="3">
        <f>625.2+(268.6-380.7)+(-1.275408+(-0.547944--0.776628))+0-0-0</f>
        <v>512.0532760000001</v>
      </c>
      <c r="T315" s="3">
        <f>635.9+(245-383.4)+(0.972927+(0.37485-0.586602))+0-0-0</f>
        <v>498.26117499999998</v>
      </c>
      <c r="U315" s="3">
        <f>627.1+(244.4-382.2)+(-0.959463+(-0.373932--0.584766))+0-0-0</f>
        <v>488.55137100000007</v>
      </c>
      <c r="V315" s="3">
        <f>642.8+(247.4-382.9)+(0.983484+(0.378522-0.585837))+0-0-0</f>
        <v>508.07616899999994</v>
      </c>
      <c r="W315" s="3">
        <f>648.9+(246.7-316.4)+(-0.992817+(-0.377451--0.484092))+0-0-0</f>
        <v>578.31382400000007</v>
      </c>
      <c r="X315" s="3">
        <f>665.5+(292.1-322.6)+(-2.03643+(-0.893826--0.987156))+0-0-0</f>
        <v>633.05690000000004</v>
      </c>
      <c r="Y315" s="3">
        <f>633.1+(311.8-316.5)+(-2.260167+(-1.113126--1.129905))+0-0-0</f>
        <v>626.15661200000011</v>
      </c>
      <c r="Z315" s="3">
        <f>639.7+(294.6-331.7)+(0.326247+(0.150246-0.169167))+0-0-0</f>
        <v>602.90732600000013</v>
      </c>
      <c r="AA315" s="3">
        <f>672.3+(299.5-399.5)+(-0.342873+(-0.152745--0.203745))+0-0-0</f>
        <v>572.00812699999994</v>
      </c>
      <c r="AB315" s="3">
        <f>672+(255.4-404.8)+(-0.34272+(-0.130254--0.206448))+0-0-0</f>
        <v>522.33347400000002</v>
      </c>
      <c r="AC315" s="3">
        <f>622.6+(239.2-326.7)+(-0.317526+(-0.121992--0.166617))+0-0-0</f>
        <v>534.82709899999998</v>
      </c>
      <c r="AD315">
        <f t="shared" si="4"/>
        <v>11617.937153000001</v>
      </c>
      <c r="AE315" s="3">
        <f>670+(297.5-366.1)+(0+(0-0))+0-0-0</f>
        <v>601.4</v>
      </c>
    </row>
    <row r="316" spans="1:31" s="2" customFormat="1" x14ac:dyDescent="0.25">
      <c r="A316">
        <v>89</v>
      </c>
      <c r="B316">
        <v>11</v>
      </c>
      <c r="C316">
        <v>10</v>
      </c>
      <c r="D316">
        <v>2</v>
      </c>
      <c r="E316">
        <v>1</v>
      </c>
      <c r="F316" s="3">
        <f>390.4+(246.7-228.9)+(0.199104+(0.125817-0.116739))+0-0-0</f>
        <v>408.40818199999995</v>
      </c>
      <c r="G316" s="3">
        <f>383+(204.4-205)+(0+(0-0))+0-0-0</f>
        <v>382.4</v>
      </c>
      <c r="H316" s="3">
        <f>381.1+(162.3-183.7)+(-0.583083+(-0.248319--0.281061))+0-0-0</f>
        <v>359.14965900000004</v>
      </c>
      <c r="I316" s="3">
        <f>380.1+(158.6-190.9)+(-0.969255+(-0.40443--0.486795))+0-0-0</f>
        <v>346.91311000000002</v>
      </c>
      <c r="J316" s="3">
        <f>385.4+(149.8-193.8)+(0.393108+(0.152796-0.197676))+0-0-0</f>
        <v>341.74822799999998</v>
      </c>
      <c r="K316" s="3">
        <f>351.2+(183.3-188.9)+(-0.716448+(-0.373932--0.385356))+0-0-0</f>
        <v>344.89497600000004</v>
      </c>
      <c r="L316" s="3">
        <f>300.9+(250.2-184)+(0.613836+(0.510408-0.37536))+0-0-0</f>
        <v>367.84888399999994</v>
      </c>
      <c r="M316" s="3">
        <f>303+(270.6-183)+(0.15453+(0.138006-0.09333))+0-0-0</f>
        <v>390.79920600000003</v>
      </c>
      <c r="N316" s="3">
        <f>372.2+(239.3-169.9)+(-0.94911+(-0.610215--0.433245))+0-0-0</f>
        <v>440.47392000000002</v>
      </c>
      <c r="O316" s="3">
        <f>465.2+(223.1-199.9)+(0.237252+(0.113781-0.101949))+0-0-0</f>
        <v>488.64908399999996</v>
      </c>
      <c r="P316" s="3">
        <f>507.8+(213.4-215)+(-0.517956+(-0.217668--0.2193))+0-0-0</f>
        <v>505.68367600000005</v>
      </c>
      <c r="Q316" s="3">
        <f>508+(226.6-221.6)+(0+(0-0))+0-0-0</f>
        <v>513</v>
      </c>
      <c r="R316" s="3">
        <f>507.4+(220.6-222.4)+(-0.776322+(-0.337518--0.340272))+0-0-0</f>
        <v>504.82643199999995</v>
      </c>
      <c r="S316" s="3">
        <f>508.7+(201.3-228.4)+(-0.518874+(-0.205326--0.232968))+0-0-0</f>
        <v>481.108768</v>
      </c>
      <c r="T316" s="3">
        <f>508.7+(195.2-238.6)+(-0.518874+(-0.199104--0.243372))+0-0-0</f>
        <v>464.82539399999996</v>
      </c>
      <c r="U316" s="3">
        <f>534.4+(187.3-238.5)+(0.272544+(0.095523-0.121635))+0-0-0</f>
        <v>483.44643200000002</v>
      </c>
      <c r="V316" s="3">
        <f>534.4+(161.4-246.7)+(-0.545088+(-0.164628--0.251634))+0-0-0</f>
        <v>448.64191800000003</v>
      </c>
      <c r="W316" s="3">
        <f>534.4+(157.9-239.8)+(0+(0-0))+0-0-0</f>
        <v>452.5</v>
      </c>
      <c r="X316" s="3">
        <f>534.4+(219-261.4)+(-0.545088+(-0.22338--0.266628))+0-0-0</f>
        <v>491.49815999999998</v>
      </c>
      <c r="Y316" s="3">
        <f>534.4+(259.2-260.9)+(-0.817632+(-0.396576--0.399177))+0-0-0</f>
        <v>531.88496900000007</v>
      </c>
      <c r="Z316" s="3">
        <f>508.7+(261.1-271.4)+(-1.037748+(-0.532644--0.553656))+0-0-0</f>
        <v>497.38326400000005</v>
      </c>
      <c r="AA316" s="3">
        <f>508.7+(342-322.8)+(-0.259437+(-0.17442--0.164628))+0-0-0</f>
        <v>527.63077099999998</v>
      </c>
      <c r="AB316" s="3">
        <f>508.7+(360.5-311.6)+(-1.037748+(-0.73542--0.635664))+0-0-0</f>
        <v>556.46249599999987</v>
      </c>
      <c r="AC316" s="3">
        <f>508.7+(289.9-294.6)+(-0.518874+(-0.295698--0.300492))+0-0-0</f>
        <v>503.48591999999996</v>
      </c>
      <c r="AD316">
        <f t="shared" si="4"/>
        <v>10833.663449</v>
      </c>
      <c r="AE316" s="3">
        <f>692+(194.1-292.8)+(0+(0-0))+0-0-0</f>
        <v>593.29999999999995</v>
      </c>
    </row>
    <row r="317" spans="1:31" s="2" customFormat="1" x14ac:dyDescent="0.25">
      <c r="A317">
        <v>89</v>
      </c>
      <c r="B317">
        <v>11</v>
      </c>
      <c r="C317">
        <v>11</v>
      </c>
      <c r="D317">
        <v>3</v>
      </c>
      <c r="E317">
        <v>1</v>
      </c>
      <c r="F317" s="3">
        <f>483+(256.3-330)+(-1.23165+(-0.653565--0.8415))+0-0-0</f>
        <v>408.25628499999999</v>
      </c>
      <c r="G317" s="3">
        <f>484+(200.2-279.2)+(-0.98736+(-0.408408--0.569568))+0-0-0</f>
        <v>404.17380000000003</v>
      </c>
      <c r="H317" s="3">
        <f>485+(177.3-276.2)+(-0.9894+(-0.361692--0.563448))+0-0-0</f>
        <v>385.31235600000002</v>
      </c>
      <c r="I317" s="3">
        <f>488+(147.3-271.4)+(-1.2444+(-0.375615--0.69207))+0-0-0</f>
        <v>362.97205500000001</v>
      </c>
      <c r="J317" s="3">
        <f>515+(116.2-294)+(1.0506+(0.237048-0.59976))+0-0-0</f>
        <v>337.88788799999998</v>
      </c>
      <c r="K317" s="3">
        <f>583+(107.7-335.6)+(1.48665+(0.274635-0.85578))+0-0-0</f>
        <v>356.00550499999997</v>
      </c>
      <c r="L317" s="3">
        <f>625+(136.6-377)+(0.95625+(0.208998-0.57681))+0-0-0</f>
        <v>385.18843800000002</v>
      </c>
      <c r="M317" s="3">
        <f>617+(150.7-391.2)+(0.94401+(0.230571-0.598536))+0-0-0</f>
        <v>377.07604500000002</v>
      </c>
      <c r="N317" s="3">
        <f>624+(178.5-367.1)+(0.63648+(0.18207-0.374442))+0-0-0</f>
        <v>435.84410800000001</v>
      </c>
      <c r="O317" s="3">
        <f>625+(197.9-345.6)+(-1.275+(-0.403716--0.705024))+0-0-0</f>
        <v>476.32630799999993</v>
      </c>
      <c r="P317" s="3">
        <f>625+(243.3-388.3)+(0.95625+(0.372249-0.594099))+0-0-0</f>
        <v>480.73439999999999</v>
      </c>
      <c r="Q317" s="3">
        <f>658+(270.6-416.6)+(-1.00674+(-0.414018--0.637398))+0-0-0</f>
        <v>511.21663999999998</v>
      </c>
      <c r="R317" s="3">
        <f>726.7+(206.7-463.6)+(-2.594319+(-0.737919--1.655052))+0-0-0</f>
        <v>468.12281400000001</v>
      </c>
      <c r="S317" s="3">
        <f>788+(174.1-489.1)+(-0.40188+(-0.088791--0.249441))+0-0-0</f>
        <v>472.75877000000003</v>
      </c>
      <c r="T317" s="3">
        <f>841.3+(135.1-512.2)+(-1.287189+(-0.206703--0.783666))+0-0-0</f>
        <v>463.48977399999995</v>
      </c>
      <c r="U317" s="3">
        <f>895+(102.7-536.9)+(-1.36935+(-0.157131--0.821457))+0-0-0</f>
        <v>460.09497600000003</v>
      </c>
      <c r="V317" s="3">
        <f>907.8+(114.1-532.9)+(-2.777868+(-0.349146--1.630674))+0-0-0</f>
        <v>487.50366000000002</v>
      </c>
      <c r="W317" s="3">
        <f>921.4+(93.6-460.4)+(-3.289398+(-0.334152--1.643628))+0-0-0</f>
        <v>552.62007800000003</v>
      </c>
      <c r="X317" s="3">
        <f>878.6+(192-460.7)+(-2.688516+(-0.58752--1.409742))+0-0-0</f>
        <v>608.03370600000005</v>
      </c>
      <c r="Y317" s="3">
        <f>950.8+(137.7-487.8)+(0.969816+(0.140454-0.497556))+0-0-0</f>
        <v>601.31271399999991</v>
      </c>
      <c r="Z317" s="3">
        <f>938.4+(116.6-461.4)+(-0.957168+(-0.118932--0.470628))+0-0-0</f>
        <v>592.99452800000006</v>
      </c>
      <c r="AA317" s="3">
        <f>927.8+(121.6-475.2)+(-1.892712+(-0.248064--0.969408))+0-0-0</f>
        <v>573.0286319999999</v>
      </c>
      <c r="AB317" s="3">
        <f>923.7+(104.4-503.7)+(-2.826522+(-0.319464--1.541322))+0-0-0</f>
        <v>522.79533600000013</v>
      </c>
      <c r="AC317" s="3">
        <f>826.1+(106.3-458.4)+(-3.370488+(-0.433704--1.870272))+0-0-0</f>
        <v>472.06608000000006</v>
      </c>
      <c r="AD317">
        <f t="shared" si="4"/>
        <v>11195.814896</v>
      </c>
      <c r="AE317" s="3">
        <f>870+(188.1-452.1)+(0+(0-0))+0-0-0</f>
        <v>606</v>
      </c>
    </row>
    <row r="318" spans="1:31" s="2" customFormat="1" x14ac:dyDescent="0.25">
      <c r="A318">
        <v>89</v>
      </c>
      <c r="B318">
        <v>11</v>
      </c>
      <c r="C318">
        <v>12</v>
      </c>
      <c r="D318">
        <v>4</v>
      </c>
      <c r="E318">
        <v>1</v>
      </c>
      <c r="F318" s="3">
        <f>737.3+(118.4-406.3)+(-0.752046+(-0.120768--0.414426))+0-0-0</f>
        <v>448.94161199999996</v>
      </c>
      <c r="G318" s="3">
        <f>574+(134.5-313.5)+(-1.75644+(-0.41157--0.95931))+0-0-0</f>
        <v>393.79129999999998</v>
      </c>
      <c r="H318" s="3">
        <f>590.6+(104.3-326.6)+(-0.903618+(-0.159579--0.499698))+0-0-0</f>
        <v>367.73650100000003</v>
      </c>
      <c r="I318" s="3">
        <f>595.6+(101.5-338.9)+(0+(0-0))+0-0-0</f>
        <v>358.20000000000005</v>
      </c>
      <c r="J318" s="3">
        <f>602.3+(97.7-350.1)+(-1.535865+(-0.249135--0.892755))+0-0-0</f>
        <v>349.00775499999992</v>
      </c>
      <c r="K318" s="3">
        <f>624.8+(101.2-378.7)+(-1.274592+(-0.206448--0.772548))+0-0-0</f>
        <v>346.59150799999998</v>
      </c>
      <c r="L318" s="3">
        <f>702.8+(94.6-423.2)+(-1.79214+(-0.24123--1.07916))+0-0-0</f>
        <v>373.24578999999994</v>
      </c>
      <c r="M318" s="3">
        <f>825.1+(46-477)+(1.262403+(0.07038-0.72981))+0-0-0</f>
        <v>394.70297300000004</v>
      </c>
      <c r="N318" s="3">
        <f>799.7+(77.8-432.8)+(-0.407847+(-0.039678--0.220728))+0-0-0</f>
        <v>444.47320300000007</v>
      </c>
      <c r="O318" s="3">
        <f>787.1+(111.4-414)+(0.401421+(0.056814-0.21114))+0-0-0</f>
        <v>484.747095</v>
      </c>
      <c r="P318" s="3">
        <f>810.4+(139.4-441.2)+(-1.239912+(-0.213282--0.675036))+0-0-0</f>
        <v>507.821842</v>
      </c>
      <c r="Q318" s="3">
        <f>836.7+(154.6-470.5)+(-1.706868+(-0.315384--0.95982))+0-0-0</f>
        <v>519.73756800000012</v>
      </c>
      <c r="R318" s="3">
        <f>903.4+(151.5-563.6)+(-1.382202+(-0.231795--0.862308))+0-0-0</f>
        <v>490.54831099999996</v>
      </c>
      <c r="S318" s="3">
        <f>961.8+(115.4-591)+(-0.490518+(-0.058854--0.30141))+0-0-0</f>
        <v>485.95203799999996</v>
      </c>
      <c r="T318" s="3">
        <f>1012+(76.7-607.8)+(0.51612+(0.039117-0.309978))+0-0-0</f>
        <v>481.14525900000007</v>
      </c>
      <c r="U318" s="3">
        <f>997.7+(53.4-599.2)+(-1.526481+(-0.081702--0.916776))+0-0-0</f>
        <v>451.20859299999995</v>
      </c>
      <c r="V318" s="3">
        <f>1003.2+(59.7-589.8)+(0+(0-0))+0-0-0</f>
        <v>473.10000000000014</v>
      </c>
      <c r="W318" s="3">
        <f>1001.1+(51.7-526.1)+(-1.021122+(-0.052734--0.536622))+0-0-0</f>
        <v>526.16276600000003</v>
      </c>
      <c r="X318" s="3">
        <f>1016.4+(112-536.1)+(-3.110184+(-0.34272--1.640466))+0-0-0</f>
        <v>590.48756199999991</v>
      </c>
      <c r="Y318" s="3">
        <f>1035+(114.7-566.9)+(-1.58355+(-0.175491--0.867357))+0-0-0</f>
        <v>581.9083159999999</v>
      </c>
      <c r="Z318" s="3">
        <f>1038.6+(109.7-570.4)+(-1.059372+(-0.111894--0.581808))+0-0-0</f>
        <v>577.31054199999983</v>
      </c>
      <c r="AA318" s="3">
        <f>1032.1+(121.6-603.6)+(-1.052742+(-0.124032--0.615672))+0-0-0</f>
        <v>549.5388979999999</v>
      </c>
      <c r="AB318" s="3">
        <f>961.8+(122.4-580)+(-1.471554+(-0.187272--0.8874))+0-0-0</f>
        <v>503.42857399999991</v>
      </c>
      <c r="AC318" s="3">
        <f>882.1+(141.7-561.4)+(-0.899742+(-0.144534--0.572628))+0-0-0</f>
        <v>461.92835200000002</v>
      </c>
      <c r="AD318">
        <f t="shared" si="4"/>
        <v>11161.716358</v>
      </c>
      <c r="AE318" s="3">
        <f>1016+(134.8-546.9)+(0+(0-0))+0-0-0</f>
        <v>603.90000000000009</v>
      </c>
    </row>
    <row r="319" spans="1:31" s="2" customFormat="1" x14ac:dyDescent="0.25">
      <c r="A319">
        <v>89</v>
      </c>
      <c r="B319">
        <v>11</v>
      </c>
      <c r="C319">
        <v>13</v>
      </c>
      <c r="D319">
        <v>5</v>
      </c>
      <c r="E319">
        <v>5</v>
      </c>
      <c r="F319" s="3">
        <f>883.9+(113.5-561.7)+(-1.352367+(-0.173655--0.859401))+0-0-0</f>
        <v>435.03337899999991</v>
      </c>
      <c r="G319" s="3">
        <f>803.3+(90.6-492.6)+(0.409683+(0.046206-0.251226))+0-0-0</f>
        <v>401.50466299999994</v>
      </c>
      <c r="H319" s="3">
        <f>629.1+(124.5-390.5)+(-0.641682+(-0.12699--0.39831))+0-0-0</f>
        <v>362.72963800000002</v>
      </c>
      <c r="I319" s="3">
        <f>625.1+(113.1-376.3)+(0.637602+(0.115362-0.383826))+0-0-0</f>
        <v>362.269138</v>
      </c>
      <c r="J319" s="3">
        <f>623.8+(110.4-375)+(0.636276+(0.112608-0.3825))+0-0-0</f>
        <v>359.56638399999991</v>
      </c>
      <c r="K319" s="3">
        <f>626.9+(106.8-371)+(0.959157+(0.163404-0.56763))+0-0-0</f>
        <v>363.254931</v>
      </c>
      <c r="L319" s="3">
        <f>622.2+(127.2-380.5)+(0+(0-0))+0-0-0</f>
        <v>368.90000000000003</v>
      </c>
      <c r="M319" s="3">
        <f>613.7+(127.8-413.3)+(-1.564935+(-0.32589--1.053915))+0-0-0</f>
        <v>327.36309000000006</v>
      </c>
      <c r="N319" s="3">
        <f>704.8+(84.6-445.1)+(-0.359448+(-0.043146--0.227001))+0-0-0</f>
        <v>344.12440699999996</v>
      </c>
      <c r="O319" s="3">
        <f>897.2+(66-514.3)+(1.372716+(0.10098-0.786879))+0-0-0</f>
        <v>449.58681700000011</v>
      </c>
      <c r="P319" s="3">
        <f>906.1+(71.7-507.8)+(-2.772666+(-0.219402--1.553868))+0-0-0</f>
        <v>468.56180000000001</v>
      </c>
      <c r="Q319" s="3">
        <f>885.3+(113-537.8)+(-1.354509+(-0.17289--0.822834))+0-0-0</f>
        <v>459.795435</v>
      </c>
      <c r="R319" s="3">
        <f>878.5+(109.5-556.8)+(0+(0-0))+0-0-0</f>
        <v>431.20000000000005</v>
      </c>
      <c r="S319" s="3">
        <f>882.2+(88.7-560.1)+(-0.899844+(-0.090474--0.571302))+0-0-0</f>
        <v>410.38098400000001</v>
      </c>
      <c r="T319" s="3">
        <f>880+(77.7-566.5)+(-1.3464+(-0.118881--0.866745))+0-0-0</f>
        <v>390.60146399999996</v>
      </c>
      <c r="U319" s="3">
        <f>872.2+(87.5-572.6)+(-1.779288+(-0.1785--1.168104))+0-0-0</f>
        <v>386.310316</v>
      </c>
      <c r="V319" s="3">
        <f>879.9+(98-565.4)+(0+(0-0))+0-0-0</f>
        <v>412.5</v>
      </c>
      <c r="W319" s="3">
        <f>895.6+(115.2-527.8)+(0+(0-0))+0-0-0</f>
        <v>483.00000000000006</v>
      </c>
      <c r="X319" s="3">
        <f>891.4+(172.1-517.2)+(-1.818456+(-0.351084--1.055088))+0-0-0</f>
        <v>545.18554799999993</v>
      </c>
      <c r="Y319" s="3">
        <f>894.2+(182.7-531.1)+(-0.912084+(-0.186354--0.541722))+0-0-0</f>
        <v>545.2432839999999</v>
      </c>
      <c r="Z319" s="3">
        <f>897.6+(197.5-547.2)+(0+(0-0))+0-0-0</f>
        <v>547.9</v>
      </c>
      <c r="AA319" s="3">
        <f>893.5+(209.2-585.8)+(0.455685+(0.106692-0.298758))+0-0-0</f>
        <v>517.16361900000004</v>
      </c>
      <c r="AB319" s="3">
        <f>888.9+(193.8-601.8)+(-0.453339+(-0.098838--0.306918))+0-0-0</f>
        <v>480.65474100000006</v>
      </c>
      <c r="AC319" s="3">
        <f>881+(173.5-606.7)+(-2.69586+(-0.53091--1.856502))+0-0-0</f>
        <v>446.42973199999994</v>
      </c>
      <c r="AD319">
        <f t="shared" si="4"/>
        <v>10299.259370000002</v>
      </c>
      <c r="AE319" s="3">
        <f>886+(184.7-522.6)+(0+(0-0))+0-0-0</f>
        <v>548.09999999999991</v>
      </c>
    </row>
    <row r="320" spans="1:31" s="2" customFormat="1" x14ac:dyDescent="0.25">
      <c r="A320">
        <v>89</v>
      </c>
      <c r="B320">
        <v>11</v>
      </c>
      <c r="C320">
        <v>14</v>
      </c>
      <c r="D320">
        <v>6</v>
      </c>
      <c r="E320">
        <v>6</v>
      </c>
      <c r="F320" s="3">
        <f>885.6+(108.4-586.9)+(-0.451656+(-0.055284--0.299319))+0-0-0</f>
        <v>406.89237900000001</v>
      </c>
      <c r="G320" s="3">
        <f>859.3+(73.3-549.6)+(0+(0-0))+0-0-0</f>
        <v>382.99999999999994</v>
      </c>
      <c r="H320" s="3">
        <f>807.7+(66.6-490.4)+(-2.471562+(-0.203796--1.500624))+0-0-0</f>
        <v>382.72526600000009</v>
      </c>
      <c r="I320" s="3">
        <f>641.3+(104.1-385.7)+(1.308252+(0.212364-0.786828))+0-0-0</f>
        <v>360.43378799999994</v>
      </c>
      <c r="J320" s="3">
        <f>634.8+(104.6-385.5)+(0.323748+(0.053346-0.196605))+0-0-0</f>
        <v>354.080489</v>
      </c>
      <c r="K320" s="3">
        <f>640.3+(104.9-391.2)+(1.306212+(0.213996-0.798048))+0-0-0</f>
        <v>354.72215999999997</v>
      </c>
      <c r="L320" s="3">
        <f>638.1+(123.1-393.4)+(0.325431+(0.062781-0.200634))+0-0-0</f>
        <v>367.98757800000004</v>
      </c>
      <c r="M320" s="3">
        <f>633.6+(119.4-408.4)+(-0.323136+(-0.060894--0.208284))+0-0-0</f>
        <v>344.42425400000002</v>
      </c>
      <c r="N320" s="3">
        <f>778.8+(76.1-490.8)+(-0.397188+(-0.038811--0.250308))+0-0-0</f>
        <v>363.91430899999989</v>
      </c>
      <c r="O320" s="3">
        <f>873.1+(45.4-492.6)+(0.890562+(0.046308-0.502452))+0-0-0</f>
        <v>426.33441799999997</v>
      </c>
      <c r="P320" s="3">
        <f>870.9+(71.7-469.9)+(-0.444159+(-0.036567--0.239649))+0-0-0</f>
        <v>472.45892299999997</v>
      </c>
      <c r="Q320" s="3">
        <f>852+(87.8-477.6)+(0+(0-0))+0-0-0</f>
        <v>462.2</v>
      </c>
      <c r="R320" s="3">
        <f>820.7+(74.8-455.1)+(-1.255671+(-0.114444--0.696303))+0-0-0</f>
        <v>439.72618800000004</v>
      </c>
      <c r="S320" s="3">
        <f>876.2+(46.8-494.1)+(-2.23431+(-0.11934--1.259955))+0-0-0</f>
        <v>427.80630500000001</v>
      </c>
      <c r="T320" s="3">
        <f>890+(42.5-521.1)+(-1.3617+(-0.065025--0.797283))+0-0-0</f>
        <v>410.77055799999999</v>
      </c>
      <c r="U320" s="3">
        <f>877.1+(58.1-516.1)+(-4.025889+(-0.266679--2.368899))+0-0-0</f>
        <v>417.176331</v>
      </c>
      <c r="V320" s="3">
        <f>898.6+(61.7-524.9)+(-0.916572+(-0.062934--0.535398))+0-0-0</f>
        <v>434.95589200000001</v>
      </c>
      <c r="W320" s="3">
        <f>908.8+(49.1-446.6)+(0.463488+(0.025041-0.227766))+0-0-0</f>
        <v>511.56076299999995</v>
      </c>
      <c r="X320" s="3">
        <f>906.6+(100-442)+(-1.387098+(-0.153--0.67626))+0-0-0</f>
        <v>563.73616200000004</v>
      </c>
      <c r="Y320" s="3">
        <f>906.1+(107.6-451.9)+(-2.310555+(-0.27438--1.152345))+0-0-0</f>
        <v>560.36741000000006</v>
      </c>
      <c r="Z320" s="3">
        <f>909.5+(82.2-434.9)+(-1.391535+(-0.125766--0.665397))+0-0-0</f>
        <v>555.94809599999996</v>
      </c>
      <c r="AA320" s="3">
        <f>832.2+(121.1-425.7)+(-1.273266+(-0.185283--0.651321))+0-0-0</f>
        <v>526.79277200000001</v>
      </c>
      <c r="AB320" s="3">
        <f>723.3+(158.3-407)+(-0.368883+(-0.080733--0.20757))+0-0-0</f>
        <v>474.35795399999995</v>
      </c>
      <c r="AC320" s="3">
        <f>722.1+(145.1-424.3)+(-0.736542+(-0.148002--0.432786))+0-0-0</f>
        <v>442.44824199999999</v>
      </c>
      <c r="AD320">
        <f t="shared" si="4"/>
        <v>10444.820237</v>
      </c>
      <c r="AE320" s="3">
        <f>895+(102.6-457)+(0+(0-0))+0-0-0</f>
        <v>540.6</v>
      </c>
    </row>
    <row r="321" spans="1:31" s="2" customFormat="1" x14ac:dyDescent="0.25">
      <c r="A321">
        <v>89</v>
      </c>
      <c r="B321">
        <v>11</v>
      </c>
      <c r="C321">
        <v>15</v>
      </c>
      <c r="D321">
        <v>7</v>
      </c>
      <c r="E321">
        <v>5</v>
      </c>
      <c r="F321" s="3">
        <f>724+(112.2-432.9)+(-0.36924+(-0.057222--0.220779))+0-0-0</f>
        <v>403.09431699999999</v>
      </c>
      <c r="G321" s="3">
        <f>721.5+(79.6-432.4)+(-0.367965+(-0.040596--0.220524))+0-0-0</f>
        <v>368.51196300000004</v>
      </c>
      <c r="H321" s="3">
        <f>716.4+(63-431.2)+(-1.461456+(-0.12852--0.879648))+0-0-0</f>
        <v>347.48967199999998</v>
      </c>
      <c r="I321" s="3">
        <f>699.7+(58.1-396.7)+(-1.427388+(-0.118524--0.809268))+0-0-0</f>
        <v>360.36335600000007</v>
      </c>
      <c r="J321" s="3">
        <f>620.2+(86.9-369.1)+(0+(0-0))+0-0-0</f>
        <v>338</v>
      </c>
      <c r="K321" s="3">
        <f>631+(90-373.9)+(1.60905+(0.2295-0.953445))+0-0-0</f>
        <v>347.98510500000003</v>
      </c>
      <c r="L321" s="3">
        <f>622.4+(97.2-401.5)+(-0.634848+(-0.099144--0.40953))+0-0-0</f>
        <v>317.77553799999998</v>
      </c>
      <c r="M321" s="3">
        <f>620.8+(97.1-419.5)+(-0.316608+(-0.049521--0.213945))+0-0-0</f>
        <v>298.247816</v>
      </c>
      <c r="N321" s="3">
        <f>620.6+(96.1-422.1)+(-0.316506+(-0.049011--0.215271))+0-0-0</f>
        <v>294.44975400000004</v>
      </c>
      <c r="O321" s="3">
        <f>624+(135.6-462.5)+(-0.63648+(-0.138312--0.47175))+0-0-0</f>
        <v>296.79695800000002</v>
      </c>
      <c r="P321" s="3">
        <f>843.2+(101.8-527.6)+(-3.010224+(-0.363426--1.883532))+0-0-0</f>
        <v>415.90988200000004</v>
      </c>
      <c r="Q321" s="3">
        <f>877.4+(98.6-534.1)+(0+(0-0))+0-0-0</f>
        <v>441.9</v>
      </c>
      <c r="R321" s="3">
        <f>876+(87.9-537.3)+(0+(0-0))+0-0-0</f>
        <v>426.6</v>
      </c>
      <c r="S321" s="3">
        <f>871.8+(82.5-535.6)+(-0.444618+(-0.042075--0.273156))+0-0-0</f>
        <v>418.48646299999996</v>
      </c>
      <c r="T321" s="3">
        <f>874.1+(75.3-534)+(-0.891582+(-0.076806--0.54468))+0-0-0</f>
        <v>414.97629200000006</v>
      </c>
      <c r="U321" s="3">
        <f>871.4+(68.8-528.5)+(-0.888828+(-0.070176--0.53907))+0-0-0</f>
        <v>411.28006599999998</v>
      </c>
      <c r="V321" s="3">
        <f>869.6+(73.4-516.5)+(-0.443496+(-0.037434--0.263415))+0-0-0</f>
        <v>426.28248500000001</v>
      </c>
      <c r="W321" s="3">
        <f>867.5+(91.3-497.1)+(-0.88485+(-0.093126--0.507042))+0-0-0</f>
        <v>461.22906599999999</v>
      </c>
      <c r="X321" s="3">
        <f>874.3+(205.2-514.5)+(-0.891786+(-0.209304--0.52479))+0-0-0</f>
        <v>564.42370000000005</v>
      </c>
      <c r="Y321" s="3">
        <f>879.8+(198.6-500.2)+(-0.448698+(-0.101286--0.255102))+0-0-0</f>
        <v>577.9051179999999</v>
      </c>
      <c r="Z321" s="3">
        <f>876+(179.4-493.6)+(-1.34028+(-0.274482--0.755208))+0-0-0</f>
        <v>560.94044599999995</v>
      </c>
      <c r="AA321" s="3">
        <f>883.2+(194.4-529.9)+(0+(0-0))+0-0-0</f>
        <v>547.70000000000005</v>
      </c>
      <c r="AB321" s="3">
        <f>875.6+(179.5-541.5)+(-2.23278+(-0.457725--1.380825))+0-0-0</f>
        <v>512.29032000000007</v>
      </c>
      <c r="AC321" s="3">
        <f>871.5+(148.6-543.9)+(-2.222325+(-0.37893--1.386945))+0-0-0</f>
        <v>474.98569000000003</v>
      </c>
      <c r="AD321">
        <f t="shared" ref="AD321:AD365" si="5">SUM(F321:AC321)</f>
        <v>10027.624007</v>
      </c>
      <c r="AE321" s="3">
        <f>885+(210.3-552.1)+(0+(0-0))+0-0-0</f>
        <v>543.20000000000005</v>
      </c>
    </row>
    <row r="322" spans="1:31" s="2" customFormat="1" x14ac:dyDescent="0.25">
      <c r="A322">
        <v>89</v>
      </c>
      <c r="B322">
        <v>11</v>
      </c>
      <c r="C322">
        <v>16</v>
      </c>
      <c r="D322">
        <v>1</v>
      </c>
      <c r="E322">
        <v>1</v>
      </c>
      <c r="F322" s="3">
        <f>878.3+(70.7-518.7)+(-0.447933+(-0.036057--0.264537))+0-0-0</f>
        <v>430.08054699999991</v>
      </c>
      <c r="G322" s="3">
        <f>759.4+(62.1-438.5)+(1.161882+(0.095013-0.670905))+0-0-0</f>
        <v>383.58598999999998</v>
      </c>
      <c r="H322" s="3">
        <f>714.4+(55-400.9)+(-1.457376+(-0.1122--0.817836))+0-0-0</f>
        <v>367.74826000000002</v>
      </c>
      <c r="I322" s="3">
        <f>716.6+(48.2-404.8)+(-1.096398+(-0.073746--0.619344))+0-0-0</f>
        <v>359.44920000000002</v>
      </c>
      <c r="J322" s="3">
        <f>717.6+(41.5-406.1)+(-1.097928+(-0.063495--0.621333))+0-0-0</f>
        <v>352.45990999999998</v>
      </c>
      <c r="K322" s="3">
        <f>721.2+(48-407.9)+(0+(0-0))+0-0-0</f>
        <v>361.30000000000007</v>
      </c>
      <c r="L322" s="3">
        <f>723.9+(70.1-405.4)+(0.369189+(0.035751-0.206754))+0-0-0</f>
        <v>388.79818600000004</v>
      </c>
      <c r="M322" s="3">
        <f>719.7+(86.4-417)+(-0.367047+(-0.044064--0.21267))+0-0-0</f>
        <v>388.90155900000002</v>
      </c>
      <c r="N322" s="3">
        <f>868.3+(69.8-498.5)+(0.885666+(0.071196-0.50847))+0-0-0</f>
        <v>440.04839199999998</v>
      </c>
      <c r="O322" s="3">
        <f>908.2+(79.8-508)+(0.926364+(0.081396-0.51816))+0-0-0</f>
        <v>480.48960000000005</v>
      </c>
      <c r="P322" s="3">
        <f>906.5+(80.4-488.5)+(1.84926+(0.164016-0.99654))+0-0-0</f>
        <v>499.41673599999996</v>
      </c>
      <c r="Q322" s="3">
        <f>919.5+(75-488.8)+(-2.344725+(-0.19125--1.24644))+0-0-0</f>
        <v>504.41046499999999</v>
      </c>
      <c r="R322" s="3">
        <f>929.9+(83.7-506.5)+(-1.422747+(-0.128061--0.774945))+0-0-0</f>
        <v>506.32413699999995</v>
      </c>
      <c r="S322" s="3">
        <f>927.6+(75.6-513.6)+(-1.892304+(-0.154224--1.047744))+0-0-0</f>
        <v>488.60121600000002</v>
      </c>
      <c r="T322" s="3">
        <f>935.3+(50.1-517.8)+(-0.954006+(-0.051102--0.528156))+2.9-0-0</f>
        <v>470.02304800000002</v>
      </c>
      <c r="U322" s="3">
        <f>945.1+(43.9-522.8)+(1.446003+(0.067167-0.799884))+0-0-0</f>
        <v>466.91328600000003</v>
      </c>
      <c r="V322" s="3">
        <f>931.5+(43.3-508.3)+(-1.425195+(-0.066249--0.777699))+0-0-0</f>
        <v>465.78625499999998</v>
      </c>
      <c r="W322" s="3">
        <f>943.3+(30.1-426)+(0+(0-0))+0-0-0</f>
        <v>547.4</v>
      </c>
      <c r="X322" s="3">
        <f>950.9+(100.6-407.6)+(-1.454877+(-0.153918--0.623628))+0-0-0</f>
        <v>642.91483299999993</v>
      </c>
      <c r="Y322" s="3">
        <f>957.1+(108.4-416.3)+(-0.488121+(-0.055284--0.212313))+0-0-0</f>
        <v>648.86890800000003</v>
      </c>
      <c r="Z322" s="3">
        <f>948.4+(98.6-413.6)+(-1.934736+(-0.201144--0.843744))+0-0-0</f>
        <v>632.10786399999995</v>
      </c>
      <c r="AA322" s="3">
        <f>952.8+(115.2-473.4)+(-0.485928+(-0.058752--0.241434))+0-0-0</f>
        <v>594.29675399999996</v>
      </c>
      <c r="AB322" s="3">
        <f>913.6+(123-488.2)+(-2.32968+(-0.31365--1.24491))+0-0-0</f>
        <v>547.0015800000001</v>
      </c>
      <c r="AC322" s="3">
        <f>813.9+(126.6-437.5)+(-1.660356+(-0.258264--0.8925))+0-0-0</f>
        <v>501.97388000000001</v>
      </c>
      <c r="AD322">
        <f t="shared" si="5"/>
        <v>11468.900605999997</v>
      </c>
      <c r="AE322" s="3">
        <f>961+(104.8-439.1)+(0+(0-0))+0-0-0</f>
        <v>626.70000000000005</v>
      </c>
    </row>
    <row r="323" spans="1:31" s="2" customFormat="1" x14ac:dyDescent="0.25">
      <c r="A323">
        <v>89</v>
      </c>
      <c r="B323">
        <v>11</v>
      </c>
      <c r="C323">
        <v>17</v>
      </c>
      <c r="D323">
        <v>2</v>
      </c>
      <c r="E323">
        <v>1</v>
      </c>
      <c r="F323" s="3">
        <f>816.4+(81.7-454.1)+(-0.832728+(-0.083334--0.463182))+0-0-0</f>
        <v>443.54711999999995</v>
      </c>
      <c r="G323" s="3">
        <f>819.3+(26.1-448.9)+(-0.835686+(-0.026622--0.457878))+0-0-0</f>
        <v>396.09557000000001</v>
      </c>
      <c r="H323" s="3">
        <f>809+(19.1-442.6)+(-0.41259+(-0.009741--0.225726))+7.2-0-0</f>
        <v>392.50339500000001</v>
      </c>
      <c r="I323" s="3">
        <f>757.8+(29.9-410.9)+(1.93239+(0.076245-1.047795))+0-0-0</f>
        <v>377.76083999999997</v>
      </c>
      <c r="J323" s="3">
        <f>738.2+(35.2-398.3)+(-1.129446+(-0.053856--0.609399))+0-0-0</f>
        <v>374.52609700000005</v>
      </c>
      <c r="K323" s="3">
        <f>741.3+(37.1-379.4)+(0+(0-0))+0-0-0</f>
        <v>399</v>
      </c>
      <c r="L323" s="3">
        <f>741+(48.9-377.9)+(-0.75582+(-0.049878--0.385458))+0-0-0</f>
        <v>411.57976000000002</v>
      </c>
      <c r="M323" s="3">
        <f>741+(56.9-392.3)+(-0.75582+(-0.058038--0.400146))+0-0-0</f>
        <v>405.18628799999999</v>
      </c>
      <c r="N323" s="3">
        <f>743.9+(87.7-377.8)+(-0.379389+(-0.044727--0.192678))+0-0-0</f>
        <v>453.56856199999993</v>
      </c>
      <c r="O323" s="3">
        <f>797.8+(86.6-400.7)+(0.406878+(0.044166-0.204357))+0-0-0</f>
        <v>483.94668699999994</v>
      </c>
      <c r="P323" s="3">
        <f>791.6+(89.6-388)+(-1.614864+(-0.182784--0.79152))+0-0-0</f>
        <v>492.19387200000006</v>
      </c>
      <c r="Q323" s="3">
        <f>797.7+(87.1-379.8)+(-1.627308+(-0.177684--0.774792))+0-0-0</f>
        <v>503.96980000000002</v>
      </c>
      <c r="R323" s="3">
        <f>796+(78.4-405.3)+(-1.62384+(-0.159936--0.826812))+0-0-0</f>
        <v>468.143036</v>
      </c>
      <c r="S323" s="3">
        <f>798.8+(100-435.6)+(-1.222164+(-0.153--0.666468))+0-0-0</f>
        <v>462.49130399999996</v>
      </c>
      <c r="T323" s="3">
        <f>802.3+(90-457.2)+(-0.818346+(-0.0918--0.466344))+0-0-0</f>
        <v>434.65619799999996</v>
      </c>
      <c r="U323" s="3">
        <f>801+(90-454.3)+(-2.45106+(-0.2754--1.390158))+0-0-0</f>
        <v>435.363698</v>
      </c>
      <c r="V323" s="3">
        <f>796+(90-437.5)+(0+(0-0))+0-0-0</f>
        <v>448.5</v>
      </c>
      <c r="W323" s="3">
        <f>794.8+(60-425)+(-1.216044+(-0.0918--0.65025))+0-0-0</f>
        <v>429.14240599999994</v>
      </c>
      <c r="X323" s="3">
        <f>816.8+(60-426.8)+(0+(0-0))+0-0-0</f>
        <v>449.99999999999994</v>
      </c>
      <c r="Y323" s="3">
        <f>808.4+(150-418.8)+(-2.885988+(-0.5355--1.495116))+0-0-0</f>
        <v>537.67362799999989</v>
      </c>
      <c r="Z323" s="3">
        <f>815.5+(135-413.8)+(-0.415905+(-0.06885--0.211038))+0-0-0</f>
        <v>536.42628300000001</v>
      </c>
      <c r="AA323" s="3">
        <f>806.2+(135-422.4)+(-2.05581+(-0.34425--1.07712))+0-0-0</f>
        <v>517.47706000000005</v>
      </c>
      <c r="AB323" s="3">
        <f>812+(150-425.4)+(-0.82824+(-0.153--0.433908))+0-0-0</f>
        <v>536.05266800000004</v>
      </c>
      <c r="AC323" s="3">
        <f>756.6+(100-402.9)+(-1.543464+(-0.204--0.821916))+0-0-0</f>
        <v>452.77445200000005</v>
      </c>
      <c r="AD323">
        <f t="shared" si="5"/>
        <v>10842.578723999999</v>
      </c>
      <c r="AE323" s="3">
        <f>834+(150-424.8)+(0+(0-0))+0-0-0</f>
        <v>559.20000000000005</v>
      </c>
    </row>
    <row r="324" spans="1:31" s="2" customFormat="1" x14ac:dyDescent="0.25">
      <c r="A324">
        <v>89</v>
      </c>
      <c r="B324">
        <v>11</v>
      </c>
      <c r="C324">
        <v>18</v>
      </c>
      <c r="D324">
        <v>3</v>
      </c>
      <c r="E324">
        <v>1</v>
      </c>
      <c r="F324" s="3">
        <f>723.1+(100-425.8)+(-1.475124+(-0.204--0.868632))+0-0-0</f>
        <v>396.489508</v>
      </c>
      <c r="G324" s="3">
        <f>757.8+(30-444.6)+(-0.386478+(-0.0153--0.226746))+0-0-0</f>
        <v>343.02496799999994</v>
      </c>
      <c r="H324" s="3">
        <f>759+(30-444.3)+(0.38709+(0.0153-0.226593))+0-0-0</f>
        <v>344.87579699999998</v>
      </c>
      <c r="I324" s="3">
        <f>752.8+(31.1-446.6)+(-1.91964+(-0.079305--1.13883))+0-0-0</f>
        <v>336.43988499999995</v>
      </c>
      <c r="J324" s="3">
        <f>753.8+(33.8-445.1)+(-0.768876+(-0.034476--0.454002))+0-0-0</f>
        <v>342.15064999999993</v>
      </c>
      <c r="K324" s="3">
        <f>754.8+(38.4-444.6)+(-0.384948+(-0.019584--0.226746))+0-0-0</f>
        <v>348.42221399999988</v>
      </c>
      <c r="L324" s="3">
        <f>751+(60.6-431)+(-2.29806+(-0.185436--1.31886))+0-0-0</f>
        <v>379.43536400000005</v>
      </c>
      <c r="M324" s="3">
        <f>668.6+(64.5-340.9)+(0+(0-0))+0-0-0</f>
        <v>392.20000000000005</v>
      </c>
      <c r="N324" s="3">
        <f>765.9+(106.3-388.6)+(1.171827+(0.162639-0.594558))+0-0-0</f>
        <v>484.33990799999998</v>
      </c>
      <c r="O324" s="3">
        <f>698.9+(75.9-315.6)+(0+(0-0))+0-0-0</f>
        <v>459.19999999999993</v>
      </c>
      <c r="P324" s="3">
        <f>662+(96.3-279.9)+(0+(0-0))+0-0-0</f>
        <v>478.40000000000003</v>
      </c>
      <c r="Q324" s="3">
        <f>668.4+(94.4-274.1)+(0+(0-0))+0-0-0</f>
        <v>488.69999999999993</v>
      </c>
      <c r="R324" s="3">
        <f>635.5+(127.7-264.5)+(-1.620525+(-0.325635--0.674475))+0-0-0</f>
        <v>497.428315</v>
      </c>
      <c r="S324" s="3">
        <f>638.5+(70.1-265.9)+(-0.65127+(-0.071502--0.271218))+0-0-0</f>
        <v>442.24844600000006</v>
      </c>
      <c r="T324" s="3">
        <f>632.7+(80-250.4)+(-0.322677+(-0.0408--0.127704))+0-0-0</f>
        <v>462.06422700000007</v>
      </c>
      <c r="U324" s="3">
        <f>627.6+(87.8-264.8)+(-0.640152+(-0.089556--0.270096))+0-0-0</f>
        <v>450.14038800000003</v>
      </c>
      <c r="V324" s="3">
        <f>631+(103.2-278.7)+(0.32181+(0.052632-0.142137))+0-0-0</f>
        <v>455.732305</v>
      </c>
      <c r="W324" s="3">
        <f>624.1+(157.7-243.4)+(-0.318291+(-0.080427--0.124134))+0-0-0</f>
        <v>538.12541599999997</v>
      </c>
      <c r="X324" s="3">
        <f>637.1+(197.6-231.9)+(-1.299684+(-0.403104--0.473076))+0-0-0</f>
        <v>601.57028800000001</v>
      </c>
      <c r="Y324" s="3">
        <f>636+(199.7-245.3)+(-1.29744+(-0.407388--0.500412))+0-0-0</f>
        <v>589.19558399999994</v>
      </c>
      <c r="Z324" s="3">
        <f>636.2+(241.4-271.7)+(-0.973386+(-0.369342--0.415701))+0-0-0</f>
        <v>604.97297300000014</v>
      </c>
      <c r="AA324" s="3">
        <f>650.9+(243-355.7)+(-1.659795+(-0.61965--0.907035))+0-0-0</f>
        <v>536.8275900000001</v>
      </c>
      <c r="AB324" s="3">
        <f>637.7+(265.8-392.6)+(-1.300908+(-0.542232--0.800904))+0-0-0</f>
        <v>509.85776400000003</v>
      </c>
      <c r="AC324" s="3">
        <f>571.9+(251-361.6)+(-2.625021+(-1.15209--1.659744))+0-0-0</f>
        <v>459.18263299999995</v>
      </c>
      <c r="AD324">
        <f t="shared" si="5"/>
        <v>10941.024222999999</v>
      </c>
      <c r="AE324" s="3">
        <f>642+(191.2-237.1)+(0+(0-0))+0-0-0</f>
        <v>596.1</v>
      </c>
    </row>
    <row r="325" spans="1:31" s="2" customFormat="1" x14ac:dyDescent="0.25">
      <c r="A325">
        <v>89</v>
      </c>
      <c r="B325">
        <v>11</v>
      </c>
      <c r="C325">
        <v>19</v>
      </c>
      <c r="D325">
        <v>4</v>
      </c>
      <c r="E325">
        <v>1</v>
      </c>
      <c r="F325" s="3">
        <f>606.7+(140-341.9)+(1.237668+(0.2856-0.697476))+0-0-0</f>
        <v>405.62579200000005</v>
      </c>
      <c r="G325" s="3">
        <f>608.5+(127.3-339.8)+(0.62067+(0.129846-0.346596))+0-0-0</f>
        <v>396.40392000000003</v>
      </c>
      <c r="H325" s="3">
        <f>628.4+(122-343)+(-0.640968+(-0.12444--0.34986))+0-0-0</f>
        <v>406.98445199999998</v>
      </c>
      <c r="I325" s="3">
        <f>600.1+(100-317.9)+(-1.530255+(-0.255--0.810645))+0-0-0</f>
        <v>381.22539000000006</v>
      </c>
      <c r="J325" s="3">
        <f>626.7+(84.1-336.8)+(0.319617+(0.042891-0.171768))+0-0-0</f>
        <v>374.19074000000001</v>
      </c>
      <c r="K325" s="3">
        <f>665.5+(48.4-357.9)+(1.35762+(0.098736-0.730116))+0-0-0</f>
        <v>356.72624000000002</v>
      </c>
      <c r="L325" s="3">
        <f>772.5+(67.7-417.3)+(-1.5759+(-0.138108--0.851292))+0-0-0</f>
        <v>422.037284</v>
      </c>
      <c r="M325" s="3">
        <f>769.7+(80-399.2)+(-0.392547+(-0.0408--0.203592))+0-0-0</f>
        <v>450.27024500000005</v>
      </c>
      <c r="N325" s="3">
        <f>756.8+(100-358)+(0.771936+(0.102-0.36516))+0-0-0</f>
        <v>499.30877599999997</v>
      </c>
      <c r="O325" s="3">
        <f>746.8+(70-338.9)+(0.380868+(0.0357-0.172839))+0-0-0</f>
        <v>478.14372899999995</v>
      </c>
      <c r="P325" s="3">
        <f>738.6+(118-310.9)+(-1.506744+(-0.24072--0.634236))+0-0-0</f>
        <v>544.586772</v>
      </c>
      <c r="Q325" s="3">
        <f>740.5+(112.6-347.4)+(-1.51062+(-0.229704--0.708696))+0-0-0</f>
        <v>504.66837200000003</v>
      </c>
      <c r="R325" s="3">
        <f>738.9+(110.2-326.6)+(-1.130517+(-0.168606--0.499698))+0-0-0</f>
        <v>521.70057499999996</v>
      </c>
      <c r="S325" s="3">
        <f>739+(120.3-301.3)+(0+(0-0))+0-0-0</f>
        <v>558</v>
      </c>
      <c r="T325" s="3">
        <f>744.4+(111.5-334)+(0+(0-0))+0-0-0</f>
        <v>521.9</v>
      </c>
      <c r="U325" s="3">
        <f>744.7+(112.5-376.9)+(-0.759594+(-0.11475--0.384438))+0-0-0</f>
        <v>479.81009400000005</v>
      </c>
      <c r="V325" s="3">
        <f>740.4+(123.5-356.1)+(-1.132812+(-0.188955--0.544833))+0-0-0</f>
        <v>507.02306599999997</v>
      </c>
      <c r="W325" s="3">
        <f>784.7+(98.4-357.6)+(0.400197+(0.050184-0.182376))+0-0-0</f>
        <v>525.76800500000002</v>
      </c>
      <c r="X325" s="3">
        <f>879.7+(153.9-370.5)+(-0.897294+(-0.156978--0.37791))+0-0-0</f>
        <v>662.42363799999998</v>
      </c>
      <c r="Y325" s="3">
        <f>877.8+(144.8-380.7)+(-1.343034+(-0.221544--0.582471))+0-0-0</f>
        <v>640.91789299999994</v>
      </c>
      <c r="Z325" s="3">
        <f>872+(137.5-378.9)+(-2.2236+(-0.350625--0.966195))+0-0-0</f>
        <v>628.99197000000004</v>
      </c>
      <c r="AA325" s="3">
        <f>883+(168.7-417.9)+(0+(0-0))+0-0-0</f>
        <v>633.79999999999995</v>
      </c>
      <c r="AB325" s="3">
        <f>880.3+(165.2-470.3)+(-0.448953+(-0.084252--0.239853))+0-0-0</f>
        <v>574.9066479999999</v>
      </c>
      <c r="AC325" s="3">
        <f>814.9+(120.1-430.1)+(-2.493594+(-0.367506--1.316106))+0-0-0</f>
        <v>503.355006</v>
      </c>
      <c r="AD325">
        <f t="shared" si="5"/>
        <v>11978.768607</v>
      </c>
      <c r="AE325" s="3">
        <f>879+(142-405.4)+(0+(0-0))+0-0-0</f>
        <v>615.6</v>
      </c>
    </row>
    <row r="326" spans="1:31" s="2" customFormat="1" x14ac:dyDescent="0.25">
      <c r="A326">
        <v>89</v>
      </c>
      <c r="B326">
        <v>11</v>
      </c>
      <c r="C326">
        <v>20</v>
      </c>
      <c r="D326">
        <v>5</v>
      </c>
      <c r="E326">
        <v>1</v>
      </c>
      <c r="F326" s="3">
        <f>819.2+(109-472.4)+(-0.835584+(-0.11118--0.481848))+0-0-0</f>
        <v>455.33508400000005</v>
      </c>
      <c r="G326" s="3">
        <f>791.9+(117.5-471.2)+(-2.423214+(-0.35955--1.441872))+0-0-0</f>
        <v>436.85910799999999</v>
      </c>
      <c r="H326" s="3">
        <f>719+(127.2-426.7)+(0.36669+(0.064872-0.217617))+0-0-0</f>
        <v>419.71394500000002</v>
      </c>
      <c r="I326" s="3">
        <f>655.7+(132.9-392.3)+(-1.672035+(-0.338895--1.000365))+0-0-0</f>
        <v>395.28943500000008</v>
      </c>
      <c r="J326" s="3">
        <f>659.5+(114.9-382.6)+(-0.336345+(-0.058599--0.195126))+0-0-0</f>
        <v>391.60018199999996</v>
      </c>
      <c r="K326" s="3">
        <f>659.1+(117.8-378.3)+(-0.336141+(-0.060078--0.192933))+0-0-0</f>
        <v>398.39671400000003</v>
      </c>
      <c r="L326" s="3">
        <f>659.3+(112.6-370)+(-0.336243+(-0.057426--0.1887))+0-0-0</f>
        <v>401.69503099999997</v>
      </c>
      <c r="M326" s="3">
        <f>712.2+(74.2-379.7)+(1.089666+(0.113526-0.580941))+0-0-0</f>
        <v>407.32225100000005</v>
      </c>
      <c r="N326" s="3">
        <f>886.2+(67.8-470.6)+(0.903924+(0.069156-0.480012))+0-0-0</f>
        <v>483.89306800000003</v>
      </c>
      <c r="O326" s="3">
        <f>855.9+(74.3-425)+(-0.436509+(-0.037893--0.21675))+0-0-0</f>
        <v>504.94234799999998</v>
      </c>
      <c r="P326" s="3">
        <f>825.6+(86.1-388.7)+(-0.842112+(-0.087822--0.396474))+0-0-0</f>
        <v>522.46654000000001</v>
      </c>
      <c r="Q326" s="3">
        <f>818.8+(119.1-395.3)+(-1.670352+(-0.242964--0.806412))+0-0-0</f>
        <v>541.49309599999992</v>
      </c>
      <c r="R326" s="3">
        <f>813.8+(95.1-390.9)+(-2.490228+(-0.291006--1.196154))+0-0-0</f>
        <v>516.41492000000005</v>
      </c>
      <c r="S326" s="3">
        <f>760.2+(65.6-369.6)+(-0.387702+(-0.033456--0.188496))+0-0-0</f>
        <v>455.96733800000004</v>
      </c>
      <c r="T326" s="3">
        <f>807.8+(48.1-404.2)+(0+(0-0))+0-0-0</f>
        <v>451.7</v>
      </c>
      <c r="U326" s="3">
        <f>796.2+(43.3-387.6)+(-1.624248+(-0.088332--0.790704))+0-0-0</f>
        <v>450.97812400000004</v>
      </c>
      <c r="V326" s="3">
        <f>817.6+(22-418.7)+(-2.501856+(-0.06732--1.281222))+0-0-0</f>
        <v>419.61204600000002</v>
      </c>
      <c r="W326" s="3">
        <f>972+(49.4-508.1)+(-0.99144+(-0.050388--0.518262))+0-0-0</f>
        <v>512.77643399999999</v>
      </c>
      <c r="X326" s="3">
        <f>1049.1+(85.1-515.3)+(-3.745287+(-0.303807--1.839621))+0-0-0</f>
        <v>616.69052699999997</v>
      </c>
      <c r="Y326" s="3">
        <f>1068.3+(69.3-521.6)+(-1.634499+(-0.106029--0.798048))+0-0-0</f>
        <v>615.05751999999995</v>
      </c>
      <c r="Z326" s="3">
        <f>1061+(90.2-532)+(-3.24666+(-0.276012--1.62792))+0-0-0</f>
        <v>617.30524800000001</v>
      </c>
      <c r="AA326" s="3">
        <f>1070.9+(59.9-558.7)+(-1.638477+(-0.091647--0.854811))+0-0-0</f>
        <v>571.22468700000002</v>
      </c>
      <c r="AB326" s="3">
        <f>1065.2+(30.3-579.7)+(-2.71626+(-0.077265--1.478235))+0-0-0</f>
        <v>514.48470999999995</v>
      </c>
      <c r="AC326" s="3">
        <f>1075.6+(22.4-615.2)+(-0.548556+(-0.011424--0.313752))+0-0-0</f>
        <v>482.55377199999987</v>
      </c>
      <c r="AD326">
        <f t="shared" si="5"/>
        <v>11583.772128000002</v>
      </c>
      <c r="AE326" s="3">
        <f>1076+(96.1-539)+(0+(0-0))+0-0-0</f>
        <v>633.1</v>
      </c>
    </row>
    <row r="327" spans="1:31" s="2" customFormat="1" x14ac:dyDescent="0.25">
      <c r="A327">
        <v>89</v>
      </c>
      <c r="B327">
        <v>11</v>
      </c>
      <c r="C327">
        <v>21</v>
      </c>
      <c r="D327">
        <v>6</v>
      </c>
      <c r="E327">
        <v>1</v>
      </c>
      <c r="F327" s="3">
        <f>950.2+(39.7-544.6)+(-2.907612+(-0.121482--1.666476))+0-0-0</f>
        <v>443.93738200000001</v>
      </c>
      <c r="G327" s="3">
        <f>769.7+(74.7-437.8)+(0.785094+(0.076194-0.446556))+0-0-0</f>
        <v>407.01473200000004</v>
      </c>
      <c r="H327" s="3">
        <f>758.6+(51.4-442.6)+(-0.773772+(-0.052428--0.451452))+0-0-0</f>
        <v>367.02525199999997</v>
      </c>
      <c r="I327" s="3">
        <f>774.6+(83.1-460.5)+(1.580184+(0.169524-0.93942))+0-0-0</f>
        <v>398.01028800000006</v>
      </c>
      <c r="J327" s="3">
        <f>778+(61.5-456.3)+(1.9839+(0.156825-1.163565))+0-0-0</f>
        <v>384.17716000000001</v>
      </c>
      <c r="K327" s="3">
        <f>834+(43.7-539.7)+(-0.85068+(-0.044574--0.550494))+0-0-0</f>
        <v>337.65523999999994</v>
      </c>
      <c r="L327" s="3">
        <f>1043.5+(25.5-642.1)+(-2.660925+(-0.065025--1.637355))+0-0-0</f>
        <v>425.81140499999998</v>
      </c>
      <c r="M327" s="3">
        <f>1058.5+(4.7-633.6)+(-1.07967+(-0.004794--0.646272))+0-0-0</f>
        <v>429.16180800000001</v>
      </c>
      <c r="N327" s="3">
        <f>1063.1+(21-600.7)+(-1.084362+(-0.02142--0.612714))+0-0-0</f>
        <v>482.90693199999987</v>
      </c>
      <c r="O327" s="3">
        <f>1066.6+(33.5-571.7)+(0+(0-0))+0-0-0</f>
        <v>528.39999999999986</v>
      </c>
      <c r="P327" s="3">
        <f>1058.7+(19.5-541.3)+(-2.159748+(-0.03978--1.104252))+0-0-0</f>
        <v>535.80472400000008</v>
      </c>
      <c r="Q327" s="3">
        <f>1053.1+(13.1-506.3)+(-3.759567+(-0.046767--1.807491))+0-0-0</f>
        <v>557.9011569999999</v>
      </c>
      <c r="R327" s="3">
        <f>1063.4+(13.5-559.8)+(-1.084668+(-0.01377--0.570996))+0-0-0</f>
        <v>516.57255800000019</v>
      </c>
      <c r="S327" s="3">
        <f>1069.4+(8.9-574.3)+(0.545394+(0.004539-0.292893))+0-0-0</f>
        <v>504.25704000000013</v>
      </c>
      <c r="T327" s="3">
        <f>1062+(3.5-566)+(-0.54162+(-0.001785--0.28866))+0-0-0</f>
        <v>499.24525499999999</v>
      </c>
      <c r="U327" s="3">
        <f>1041.2+(3.7-573.9)+(-3.186072+(-0.011322--1.756134))+0-0-0</f>
        <v>469.55874000000011</v>
      </c>
      <c r="V327" s="3">
        <f>1063.8+(13.4-578.7)+(2.71269+(0.03417-1.475685))+0-0-0</f>
        <v>499.77117499999991</v>
      </c>
      <c r="W327" s="3">
        <f>1051.6+(61-543.1)+(-0.536316+(-0.03111--0.276981))+0-0-0</f>
        <v>569.20955499999991</v>
      </c>
      <c r="X327" s="3">
        <f>1074.1+(92.4-530.5)+(-1.643373+(-0.141372--0.811665))+0-0-0</f>
        <v>635.0269199999999</v>
      </c>
      <c r="Y327" s="3">
        <f>1077.8+(69-536.7)+(-1.099356+(-0.07038--0.547434))+0-0-0</f>
        <v>609.47769799999992</v>
      </c>
      <c r="Z327" s="3">
        <f>1056.3+(73.6-533.9)+(-4.309704+(-0.300288--2.178312))+0-0-0</f>
        <v>593.56831999999997</v>
      </c>
      <c r="AA327" s="3">
        <f>1075.5+(68-575.3)+(-0.548505+(-0.03468--0.293403))+0-0-0</f>
        <v>567.9102180000001</v>
      </c>
      <c r="AB327" s="3">
        <f>1065.1+(46-570.2)+(-2.716005+(-0.1173--1.45401))+0-0-0</f>
        <v>539.52070499999991</v>
      </c>
      <c r="AC327" s="3">
        <f>1076+(46.3-604.8)+(0+(0-0))+0-0-0</f>
        <v>517.5</v>
      </c>
      <c r="AD327">
        <f t="shared" si="5"/>
        <v>11819.424264000001</v>
      </c>
      <c r="AE327" s="3">
        <f>1078+(84-543.2)+(0+(0-0))+0-0-0</f>
        <v>618.79999999999995</v>
      </c>
    </row>
    <row r="328" spans="1:31" s="2" customFormat="1" x14ac:dyDescent="0.25">
      <c r="A328">
        <v>89</v>
      </c>
      <c r="B328">
        <v>11</v>
      </c>
      <c r="C328">
        <v>22</v>
      </c>
      <c r="D328">
        <v>7</v>
      </c>
      <c r="E328">
        <v>2</v>
      </c>
      <c r="F328" s="3">
        <f>1073.3+(40-639.1)+(-0.547383+(-0.0204--0.325941))+0-0-0</f>
        <v>473.95815799999991</v>
      </c>
      <c r="G328" s="3">
        <f>1060.7+(0-640)+(-0.540957+(0--0.3264))+0-0-0</f>
        <v>420.48544300000003</v>
      </c>
      <c r="H328" s="3">
        <f>979.1+(4-572.6)+(0+(0-0))+0-0-0</f>
        <v>410.5</v>
      </c>
      <c r="I328" s="3">
        <f>949.8+(10-548.9)+(-1.453194+(-0.0153--0.839817))+0-0-0</f>
        <v>410.271323</v>
      </c>
      <c r="J328" s="3">
        <f>950.2+(0-574.2)+(-1.938408+(0--1.171368))+0-0-0</f>
        <v>375.23295999999999</v>
      </c>
      <c r="K328" s="3">
        <f>959.7+(0-567.6)+(0.489447+(0-0.289476))+0-0-0</f>
        <v>392.29997100000003</v>
      </c>
      <c r="L328" s="3">
        <f>887.6+(51.4-493.5)+(-3.168732+(-0.183498--1.761795))+0-0-0</f>
        <v>443.90956499999999</v>
      </c>
      <c r="M328" s="3">
        <f>742+(18.7-404.7)+(0+(0-0))+0-0-0</f>
        <v>356</v>
      </c>
      <c r="N328" s="3">
        <f>748.6+(69-398.4)+(1.145358+(0.10557-0.609552))+0-0-0</f>
        <v>419.84137600000003</v>
      </c>
      <c r="O328" s="3">
        <f>748+(57.9-383.7)+(0.76296+(0.059058-0.391374))+0-0-0</f>
        <v>422.63064399999996</v>
      </c>
      <c r="P328" s="3">
        <f>744.6+(75-366.8)+(0.379746+(0.03825-0.187068))+0-0-0</f>
        <v>453.03092800000002</v>
      </c>
      <c r="Q328" s="3">
        <f>744.6+(75-352.3)+(0.379746+(0.03825-0.179673))+0-0-0</f>
        <v>467.53832299999999</v>
      </c>
      <c r="R328" s="3">
        <f>730.8+(70-347.5)+(-1.118124+(-0.1071--0.531675))+0-0-0</f>
        <v>452.60645099999994</v>
      </c>
      <c r="S328" s="3">
        <f>727+(50-366)+(-2.22462+(-0.153--1.11996))+0-0-0</f>
        <v>409.74234000000001</v>
      </c>
      <c r="T328" s="3">
        <f>736.1+(40-396.1)+(-1.501644+(-0.0816--0.808044))+0-0-0</f>
        <v>379.22480000000002</v>
      </c>
      <c r="U328" s="3">
        <f>844.5+(40-496.3)+(-0.430695+(-0.0204--0.253113))+0-0-0</f>
        <v>388.00201799999996</v>
      </c>
      <c r="V328" s="3">
        <f>916.9+(40-571.4)+(-0.467619+(-0.0204--0.291414))+0-0-0</f>
        <v>385.30339500000002</v>
      </c>
      <c r="W328" s="3">
        <f>998.1+(50-576.4)+(-1.527093+(-0.0765--0.881892))+0-0-0</f>
        <v>470.97829900000005</v>
      </c>
      <c r="X328" s="3">
        <f>1073.6+(55-610.8)+(-1.095072+(-0.0561--0.623016))+0-0-0</f>
        <v>517.27184399999999</v>
      </c>
      <c r="Y328" s="3">
        <f>1078.3+(55-630.7)+(-1.099866+(-0.0561--0.643314))+0-0-0</f>
        <v>502.08734799999991</v>
      </c>
      <c r="Z328" s="3">
        <f>1072.2+(60-617.7)+(-1.640466+(-0.0918--0.945081))+0-0-0</f>
        <v>513.71281499999998</v>
      </c>
      <c r="AA328" s="3">
        <f>1073.4+(60-626.6)+(1.642302+(0.0918-0.958698))+0-0-0</f>
        <v>507.57540400000005</v>
      </c>
      <c r="AB328" s="3">
        <f>1050.4+(50-663.7)+(-1.607112+(-0.0765--1.015461))+0-0-0</f>
        <v>436.03184900000002</v>
      </c>
      <c r="AC328" s="3">
        <f>1045.5+(50-665.9)+(-2.666025+(-0.1275--1.698045))+0-0-0</f>
        <v>428.50452000000001</v>
      </c>
      <c r="AD328">
        <f t="shared" si="5"/>
        <v>10436.739774</v>
      </c>
      <c r="AE328" s="3">
        <f>1081+(81-648.5)+(0+(0-0))+0-0-0</f>
        <v>513.5</v>
      </c>
    </row>
    <row r="329" spans="1:31" s="2" customFormat="1" x14ac:dyDescent="0.25">
      <c r="A329">
        <v>89</v>
      </c>
      <c r="B329">
        <v>11</v>
      </c>
      <c r="C329">
        <v>23</v>
      </c>
      <c r="D329">
        <v>1</v>
      </c>
      <c r="E329">
        <v>1</v>
      </c>
      <c r="F329" s="3">
        <f>1006.8+(20-602.3)+(-3.080808+(-0.0612--1.843038))+0-0-0</f>
        <v>423.20103</v>
      </c>
      <c r="G329" s="3">
        <f>755.7+(32-437.3)+(-1.541628+(-0.06528--0.892092))+0-0-0</f>
        <v>349.68518400000005</v>
      </c>
      <c r="H329" s="3">
        <f>730.5+(20-443)+(-1.49022+(-0.0408--0.90372))+0-0-0</f>
        <v>306.87270000000001</v>
      </c>
      <c r="I329" s="3">
        <f>737.2+(20-475.4)+(0+(0-0))+0-0-0</f>
        <v>281.80000000000007</v>
      </c>
      <c r="J329" s="3">
        <f>745.3+(20-488)+(1.140309+(0.0306-0.74664))+0-0-0</f>
        <v>277.72426899999994</v>
      </c>
      <c r="K329" s="3">
        <f>749.8+(20-474.1)+(2.294388+(0.0612-1.450746))+0-0-0</f>
        <v>296.60484199999991</v>
      </c>
      <c r="L329" s="3">
        <f>855.5+(20-567.1)+(-3.054135+(-0.0714--2.024547))+0-0-0</f>
        <v>307.299012</v>
      </c>
      <c r="M329" s="3">
        <f>1064.7+(45-688.8)+(1.085994+(0.0459-0.702576))+0-0-0</f>
        <v>421.32931800000011</v>
      </c>
      <c r="N329" s="3">
        <f>1047.1+(45-624)+(-2.670105+(-0.11475--1.5912))+0-0-0</f>
        <v>466.90634499999993</v>
      </c>
      <c r="O329" s="3">
        <f>1064.4+(50-619.5)+(1.628532+(0.0765-0.947835))+0-0-0</f>
        <v>495.65719700000011</v>
      </c>
      <c r="P329" s="3">
        <f>1039.1+(109-586.3)+(0.529941+(0.05559-0.299013))+0-0-0</f>
        <v>562.08651799999996</v>
      </c>
      <c r="Q329" s="3">
        <f>983.1+(118-562.1)+(-1.002762+(-0.12036--0.573342))+0-0-0</f>
        <v>538.45021999999994</v>
      </c>
      <c r="R329" s="3">
        <f>978+(110-573)+(-2.4939+(-0.2805--1.46115))+0-0-0</f>
        <v>513.68674999999996</v>
      </c>
      <c r="S329" s="3">
        <f>985.7+(60-582)+(-1.005414+(-0.0612--0.59364))+0-0-0</f>
        <v>463.22702600000002</v>
      </c>
      <c r="T329" s="3">
        <f>991.1+(55-583.5)+(0+(0-0))+0-0-0</f>
        <v>462.6</v>
      </c>
      <c r="U329" s="3">
        <f>981.8+(55-575.7)+(-1.502154+(-0.08415--0.880821))+0-0-0</f>
        <v>460.39451699999989</v>
      </c>
      <c r="V329" s="3">
        <f>978.1+(70-567.7)+(-1.995324+(-0.1428--1.158108))+0-0-0</f>
        <v>479.419984</v>
      </c>
      <c r="W329" s="3">
        <f>845.1+(120-443.7)+(-0.431001+(-0.0612--0.226287))+0-0-0</f>
        <v>521.13408600000014</v>
      </c>
      <c r="X329" s="3">
        <f>1003.1+(120-533.8)+(-1.023162+(-0.1224--0.544476))+0-0-0</f>
        <v>588.69891400000006</v>
      </c>
      <c r="Y329" s="3">
        <f>1021.2+(182.7-577.1)+(-0.520812+(-0.093177--0.294321))+0-0-0</f>
        <v>626.48033199999998</v>
      </c>
      <c r="Z329" s="3">
        <f>1009.8+(187.6-577.3)+(-2.059992+(-0.382704--1.177692))+0-0-0</f>
        <v>618.83499600000005</v>
      </c>
      <c r="AA329" s="3">
        <f>933.2+(198.2-560.9)+(0.475932+(0.101082-0.286059))+0-0-0</f>
        <v>570.79095500000005</v>
      </c>
      <c r="AB329" s="3">
        <f>947.2+(151.1-576.4)+(-1.932288+(-0.308244--1.175856))+0-0-0</f>
        <v>520.83532400000013</v>
      </c>
      <c r="AC329" s="3">
        <f>918.7+(130-545.9)+(-2.342685+(-0.3315--1.392045))+0-0-0</f>
        <v>501.51786000000004</v>
      </c>
      <c r="AD329">
        <f t="shared" si="5"/>
        <v>11055.237378999998</v>
      </c>
      <c r="AE329" s="3">
        <f>1013+(203-554.2)+(0+(0-0))+0-0-0</f>
        <v>661.8</v>
      </c>
    </row>
    <row r="330" spans="1:31" s="2" customFormat="1" x14ac:dyDescent="0.25">
      <c r="A330">
        <v>89</v>
      </c>
      <c r="B330">
        <v>11</v>
      </c>
      <c r="C330">
        <v>24</v>
      </c>
      <c r="D330">
        <v>2</v>
      </c>
      <c r="E330">
        <v>1</v>
      </c>
      <c r="F330" s="3">
        <f>871.3+(130-560.1)+(-0.888726+(-0.1326--0.571302))+0-0-0</f>
        <v>440.74997599999995</v>
      </c>
      <c r="G330" s="3">
        <f>720.6+(130-430.2)+(-1.83753+(-0.3315--1.09701))+0-0-0</f>
        <v>419.32798000000003</v>
      </c>
      <c r="H330" s="3">
        <f>647.2+(30-358.7)+(0+(0-0))+0-0-0</f>
        <v>318.50000000000006</v>
      </c>
      <c r="I330" s="3">
        <f>626.5+(30-338.9)+(-0.958545+(-0.0459--0.518517))+0-0-0</f>
        <v>317.11407200000002</v>
      </c>
      <c r="J330" s="3">
        <f>636.7+(30-349.9)+(1.298868+(0.0612-0.713796))+0-0-0</f>
        <v>317.44627200000008</v>
      </c>
      <c r="K330" s="3">
        <f>674.3+(37.8-378.1)+(0+(0-0))+0-0-0</f>
        <v>333.99999999999994</v>
      </c>
      <c r="L330" s="3">
        <f>863.3+(45-508.8)+(0.440283+(0.02295-0.259488))+0-0-0</f>
        <v>399.70374499999997</v>
      </c>
      <c r="M330" s="3">
        <f>856.3+(83.7-496)+(0+(0-0))+0-0-0</f>
        <v>443.99999999999994</v>
      </c>
      <c r="N330" s="3">
        <f>857.3+(75-469.1)+(0+(0-0))+0-0-0</f>
        <v>463.19999999999993</v>
      </c>
      <c r="O330" s="3">
        <f>853.1+(120-470.9)+(-0.435081+(-0.0612--0.240159))+0-0-0</f>
        <v>501.94387800000004</v>
      </c>
      <c r="P330" s="3">
        <f>845.4+(146.8-491.1)+(-1.293462+(-0.224604--0.751383))+0-0-0</f>
        <v>500.33331699999997</v>
      </c>
      <c r="Q330" s="3">
        <f>849.5+(144.4-484.5)+(-1.299735+(-0.220932--0.741285))+0-0-0</f>
        <v>508.62061799999998</v>
      </c>
      <c r="R330" s="3">
        <f>845.2+(142.1-495.2)+(-2.586312+(-0.434826--1.515312))+0-0-0</f>
        <v>490.59417400000001</v>
      </c>
      <c r="S330" s="3">
        <f>854.3+(140.8-505.5)+(0.435693+(0.071808-0.257805))+0-0-0</f>
        <v>489.84969599999994</v>
      </c>
      <c r="T330" s="3">
        <f>845.3+(112.7-477.2)+(-2.586618+(-0.344862--1.460232))+0-0-0</f>
        <v>479.32875199999995</v>
      </c>
      <c r="U330" s="3">
        <f>849.4+(106.3-485.7)+(-0.433194+(-0.054213--0.247707))+0-0-0</f>
        <v>469.76029999999997</v>
      </c>
      <c r="V330" s="3">
        <f>845.7+(125.1-494.6)+(-1.725228+(-0.255204--1.008984))+0-0-0</f>
        <v>475.22855200000004</v>
      </c>
      <c r="W330" s="3">
        <f>851.6+(107-444.5)+(0.434316+(0.05457-0.226695))+0-0-0</f>
        <v>514.36219100000005</v>
      </c>
      <c r="X330" s="3">
        <f>861.3+(177.7-417.2)+(0+(0-0))+0-0-0</f>
        <v>621.79999999999995</v>
      </c>
      <c r="Y330" s="3">
        <f>849.6+(199.2-430.7)+(-2.599776+(-0.609552--1.317942))+0-0-0</f>
        <v>616.20861400000001</v>
      </c>
      <c r="Z330" s="3">
        <f>939.5+(150.2-488.3)+(-1.437435+(-0.229806--0.747099))+0-0-0</f>
        <v>600.47985799999992</v>
      </c>
      <c r="AA330" s="3">
        <f>1000.4+(136.2-552.7)+(-2.040816+(-0.277848--1.127508))+0-0-0</f>
        <v>582.70884399999989</v>
      </c>
      <c r="AB330" s="3">
        <f>955.1+(140.3-553.3)+(-0.974202+(-0.143106--0.564366))+0-0-0</f>
        <v>541.54705800000011</v>
      </c>
      <c r="AC330" s="3">
        <f>804.4+(147.1-458.7)+(-2.461464+(-0.450126--1.403622))+0-0-0</f>
        <v>491.29203199999995</v>
      </c>
      <c r="AD330">
        <f t="shared" si="5"/>
        <v>11338.099929</v>
      </c>
      <c r="AE330" s="3">
        <f>854+(185.8-420.9)+(0+(0-0))+0-0-0</f>
        <v>618.90000000000009</v>
      </c>
    </row>
    <row r="331" spans="1:31" s="2" customFormat="1" x14ac:dyDescent="0.25">
      <c r="A331">
        <v>89</v>
      </c>
      <c r="B331">
        <v>11</v>
      </c>
      <c r="C331">
        <v>25</v>
      </c>
      <c r="D331">
        <v>3</v>
      </c>
      <c r="E331">
        <v>1</v>
      </c>
      <c r="F331" s="3">
        <f>837.1+(110.2-474)+(-2.561526+(-0.337212--1.45044))+0-0-0</f>
        <v>471.85170199999999</v>
      </c>
      <c r="G331" s="3">
        <f>819.4+(76.3-479)+(0.417894+(0.038913-0.24429))+0-0-0</f>
        <v>416.91251699999998</v>
      </c>
      <c r="H331" s="3">
        <f>740.8+(73.1-418.9)+(-0.377808+(-0.037281--0.213639))+0-0-0</f>
        <v>394.79854999999998</v>
      </c>
      <c r="I331" s="3">
        <f>749.9+(68.1-426)+(0+(0-0))+0-0-0</f>
        <v>392</v>
      </c>
      <c r="J331" s="3">
        <f>855.7+(23-485.9)+(-0.436407+(-0.01173--0.247809))+0-0-0</f>
        <v>392.59967200000006</v>
      </c>
      <c r="K331" s="3">
        <f>867.5+(9.9-499.2)+(0+(0-0))+0-0-0</f>
        <v>378.2</v>
      </c>
      <c r="L331" s="3">
        <f>875.1+(31.3-500.1)+(-0.446301+(-0.015963--0.255051))+0-0-0</f>
        <v>406.09278699999999</v>
      </c>
      <c r="M331" s="3">
        <f>942.1+(39.6-540.9)+(-0.480471+(-0.020196--0.275859))+0-0-0</f>
        <v>440.57519200000007</v>
      </c>
      <c r="N331" s="3">
        <f>983.5+(41.3-550.3)+(0.501585+(0.021063-0.280653))+0-0-0</f>
        <v>474.74199500000003</v>
      </c>
      <c r="O331" s="3">
        <f>1061.6+(48.3-582.9)+(-2.165664+(-0.098532--1.189116))+0-0-0</f>
        <v>525.92491999999993</v>
      </c>
      <c r="P331" s="3">
        <f>1072.2+(75.4-579.5)+(-1.093644+(-0.076908--0.59109))+0-0-0</f>
        <v>567.52053799999999</v>
      </c>
      <c r="Q331" s="3">
        <f>1083.4+(114.2-596)+(1.105068+(0.116484-0.60792))+0-0-0</f>
        <v>602.21363200000019</v>
      </c>
      <c r="R331" s="3">
        <f>1137.3+(43.8-674.5)+(-2.900115+(-0.11169--1.719975))+0-0-0</f>
        <v>505.3081699999999</v>
      </c>
      <c r="S331" s="3">
        <f>1143.8+(33.1-672.6)+(-1.166676+(-0.033762--0.686052))+0-0-0</f>
        <v>503.78561399999995</v>
      </c>
      <c r="T331" s="3">
        <f>1237.9+(0-737.8)+(-0.631329+(0--0.376278))+0-0-0</f>
        <v>499.84494900000016</v>
      </c>
      <c r="U331" s="3">
        <f>1260.2+(0-764)+(0.642702+(0-0.38964))+0-0-0</f>
        <v>496.45306200000005</v>
      </c>
      <c r="V331" s="3">
        <f>1093+(20.5-623.2)+(0+(0-0))+0-0-0</f>
        <v>490.29999999999995</v>
      </c>
      <c r="W331" s="3">
        <f>995.3+(49.1-527.4)+(-1.522809+(-0.075123--0.806922))+0-0-0</f>
        <v>516.20898999999997</v>
      </c>
      <c r="X331" s="3">
        <f>1253.7+(47.7-673.7)+(-1.918161+(-0.072981--1.030761))+0-0-0</f>
        <v>626.73961900000006</v>
      </c>
      <c r="Y331" s="3">
        <f>1260+(44.3-672.7)+(-1.9278+(-0.067779--1.029231))+0-0-0</f>
        <v>630.63365199999987</v>
      </c>
      <c r="Z331" s="3">
        <f>1252.5+(34.9-676)+(-2.5551+(-0.071196--1.37904))+0-0-0</f>
        <v>610.15274399999998</v>
      </c>
      <c r="AA331" s="3">
        <f>1249.8+(54-715.9)+(-2.549592+(-0.11016--1.460436))+0-0-0</f>
        <v>586.70068400000002</v>
      </c>
      <c r="AB331" s="3">
        <f>1257+(34.1-743.1)+(-0.64107+(-0.017391--0.378981))+0-0-0</f>
        <v>547.72051999999996</v>
      </c>
      <c r="AC331" s="3">
        <f>1233.1+(24.9-752.3)+(-5.659929+(-0.114291--3.453057))+0-0-0</f>
        <v>503.37883699999992</v>
      </c>
      <c r="AD331">
        <f t="shared" si="5"/>
        <v>11980.658346000002</v>
      </c>
      <c r="AE331" s="3">
        <f>1231+(67.6-689.5)+(0+(0-0))+0-0-0</f>
        <v>609.1</v>
      </c>
    </row>
    <row r="332" spans="1:31" s="2" customFormat="1" x14ac:dyDescent="0.25">
      <c r="A332">
        <v>89</v>
      </c>
      <c r="B332">
        <v>11</v>
      </c>
      <c r="C332">
        <v>26</v>
      </c>
      <c r="D332">
        <v>4</v>
      </c>
      <c r="E332">
        <v>1</v>
      </c>
      <c r="F332" s="3">
        <f>1137.4+(30-703.2)+(-1.740222+(-0.0459--1.075896))+0-0-0</f>
        <v>463.48977400000007</v>
      </c>
      <c r="G332" s="3">
        <f>885.9+(56.8-518.2)+(-1.355427+(-0.086904--0.792846))+0-0-0</f>
        <v>423.85051499999992</v>
      </c>
      <c r="H332" s="3">
        <f>881.3+(38.6-511.7)+(0.449463+(0.019686-0.260967))+0-0-0</f>
        <v>408.40818200000001</v>
      </c>
      <c r="I332" s="3">
        <f>873.7+(30.7-503.4)+(-1.336761+(-0.046971--0.770202))+0-0-0</f>
        <v>400.38647000000003</v>
      </c>
      <c r="J332" s="3">
        <f>881.3+(27.4-512.4)+(0.449463+(0.013974-0.261324))+0-0-0</f>
        <v>396.50211299999995</v>
      </c>
      <c r="K332" s="3">
        <f>878.5+(40.8-510.3)+(-0.448035+(-0.020808--0.260253))+0-0-0</f>
        <v>408.79140999999998</v>
      </c>
      <c r="L332" s="3">
        <f>875.5+(63.4-514)+(-0.89301+(-0.064668--0.52428))+0-0-0</f>
        <v>424.46660199999997</v>
      </c>
      <c r="M332" s="3">
        <f>879.5+(63.9-504.3)+(-0.448545+(-0.032589--0.257193))+0-0-0</f>
        <v>438.87605899999994</v>
      </c>
      <c r="N332" s="3">
        <f>998.2+(42.9-554.1)+(2.036328+(0.087516-1.130364))+0-0-0</f>
        <v>487.99347999999998</v>
      </c>
      <c r="O332" s="3">
        <f>1170+(0-652.9)+(-1.1934+(0--0.665958))+0-0-0</f>
        <v>516.57255800000007</v>
      </c>
      <c r="P332" s="3">
        <f>1232.4+(0-700.4)+(-0.628524+(0--0.357204))+0-0-0</f>
        <v>531.72868000000017</v>
      </c>
      <c r="Q332" s="3">
        <f>1219.4+(0-679.2)+(-2.487576+(0--1.385568))+0-0-0</f>
        <v>539.09799200000009</v>
      </c>
      <c r="R332" s="3">
        <f>1172.6+(0-673.1)+(-3.588156+(0--2.059686))+0-0-0</f>
        <v>497.97152999999986</v>
      </c>
      <c r="S332" s="3">
        <f>1196.1+(0-708.2)+(-1.220022+(0--0.722364))+0-0-0</f>
        <v>487.40234199999986</v>
      </c>
      <c r="T332" s="3">
        <f>1185.2+(0-693)+(0+(0-0))+0-0-0</f>
        <v>492.20000000000005</v>
      </c>
      <c r="U332" s="3">
        <f>1173.9+(0-696.5)+(-1.197378+(0--0.71043))+0-0-0</f>
        <v>476.91305200000011</v>
      </c>
      <c r="V332" s="3">
        <f>1209.8+(0-711.8)+(0+(0-0))+0-0-0</f>
        <v>498</v>
      </c>
      <c r="W332" s="3">
        <f>1220+(11-667)+(0+(0-0))+0-0-0</f>
        <v>564</v>
      </c>
      <c r="X332" s="3">
        <f>1266.6+(1.2-632.1)+(-1.291932+(-0.001224--0.644742))+0-0-0</f>
        <v>635.05158599999993</v>
      </c>
      <c r="Y332" s="3">
        <f>1271.8+(18-656.7)+(-3.891708+(-0.05508--2.009502))+0-0-0</f>
        <v>631.16271399999994</v>
      </c>
      <c r="Z332" s="3">
        <f>1273.3+(17.4-695.3)+(-3.246915+(-0.04437--1.773015))+0-0-0</f>
        <v>593.88172999999995</v>
      </c>
      <c r="AA332" s="3">
        <f>1270.8+(59.7-731.5)+(-2.592432+(-0.121788--1.49226))+0-0-0</f>
        <v>597.77804000000003</v>
      </c>
      <c r="AB332" s="3">
        <f>1275.5+(54.4-769.2)+(-1.30101+(-0.055488--0.784584))+0-0-0</f>
        <v>560.12808599999994</v>
      </c>
      <c r="AC332" s="3">
        <f>1261.7+(30-776)+(-3.217335+(-0.0765--1.9788))+0-0-0</f>
        <v>514.38496500000008</v>
      </c>
      <c r="AD332">
        <f t="shared" si="5"/>
        <v>11989.037879999998</v>
      </c>
      <c r="AE332" s="3">
        <f>1272+(16.1-646)+(0+(0-0))+0-0-0</f>
        <v>642.1</v>
      </c>
    </row>
    <row r="333" spans="1:31" s="2" customFormat="1" x14ac:dyDescent="0.25">
      <c r="A333">
        <v>89</v>
      </c>
      <c r="B333">
        <v>11</v>
      </c>
      <c r="C333">
        <v>27</v>
      </c>
      <c r="D333">
        <v>5</v>
      </c>
      <c r="E333">
        <v>3</v>
      </c>
      <c r="F333" s="3">
        <f>1242.8+(0-801.2)+(-3.16914+(0--2.04306))+0-0-0</f>
        <v>440.47391999999991</v>
      </c>
      <c r="G333" s="3">
        <f>1043+(7.4-641.7)+(-1.59579+(-0.011322--0.981801))+0-0-0</f>
        <v>408.07468899999992</v>
      </c>
      <c r="H333" s="3">
        <f>864.3+(36.5-519)+(-2.644758+(-0.11169--1.58814))+0-0-0</f>
        <v>380.63169199999993</v>
      </c>
      <c r="I333" s="3">
        <f>878.6+(11.6-524.4)+(0.448086+(0.005916-0.267444))+0-0-0</f>
        <v>365.98655800000006</v>
      </c>
      <c r="J333" s="3">
        <f>886.1+(4.4-527.7)+(1.807644+(0.008976-1.076508))+0-0-0</f>
        <v>363.54011199999997</v>
      </c>
      <c r="K333" s="3">
        <f>901.5+(0-519.1)+(2.75859+(0-1.588446))+0-0-0</f>
        <v>383.57014399999997</v>
      </c>
      <c r="L333" s="3">
        <f>1016.4+(4-621.2)+(-2.59182+(-0.0102--1.58406))+0-0-0</f>
        <v>398.18203999999992</v>
      </c>
      <c r="M333" s="3">
        <f>1048.3+(1-634.5)+(1.069266+(0.00102-0.64719))+0-0-0</f>
        <v>415.22309599999994</v>
      </c>
      <c r="N333" s="3">
        <f>1130.7+(0-666.1)+(1.729971+(0-1.019133))+0-0-0</f>
        <v>465.31083800000005</v>
      </c>
      <c r="O333" s="3">
        <f>1016+(17.9-550.4)+(1.55448+(0.027387-0.842112))+0-0-0</f>
        <v>484.239755</v>
      </c>
      <c r="P333" s="3">
        <f>948.2+(51.7-496.3)+(-1.934328+(-0.105468--1.012452))+0-0-0</f>
        <v>502.57265599999999</v>
      </c>
      <c r="Q333" s="3">
        <f>968.4+(39.9-485.7)+(-1.975536+(-0.081396--0.990828))+0-0-0</f>
        <v>521.53389599999991</v>
      </c>
      <c r="R333" s="3">
        <f>1046.6+(15.2-533.2)+(-2.66883+(-0.03876--1.35966))+0-0-0</f>
        <v>527.25206999999989</v>
      </c>
      <c r="S333" s="3">
        <f>1046.8+(14.6-558.3)+(-1.601604+(-0.022338--0.854199))+0-0-0</f>
        <v>502.33025700000002</v>
      </c>
      <c r="T333" s="3">
        <f>1092.5+(0-595.7)+(-0.557175+(0--0.303807))+0-0-0</f>
        <v>496.54663199999993</v>
      </c>
      <c r="U333" s="3">
        <f>1048.2+(14-582.5)+(-2.67291+(-0.0357--1.485375))+0-0-0</f>
        <v>478.47676500000006</v>
      </c>
      <c r="V333" s="3">
        <f>1053.9+(27-591.3)+(0+(0-0))+0-0-0</f>
        <v>489.60000000000014</v>
      </c>
      <c r="W333" s="3">
        <f>1206.8+(0-676.7)+(-2.461872+(0--1.380468))+0-0-0</f>
        <v>529.01859599999989</v>
      </c>
      <c r="X333" s="3">
        <f>1246.5+(0-632.7)+(-5.721435+(0--2.904093))+0-0-0</f>
        <v>610.9826579999999</v>
      </c>
      <c r="Y333" s="3">
        <f>1273+(18.5-673.9)+(-0.64923+(-0.009435--0.343689))+0-0-0</f>
        <v>617.28502400000002</v>
      </c>
      <c r="Z333" s="3">
        <f>1256.1+(41.7-699.5)+(-5.765499+(-0.191403--3.210705))+0-0-0</f>
        <v>595.5538029999999</v>
      </c>
      <c r="AA333" s="3">
        <f>1291.5+(61.6-767.8)+(-0.658665+(-0.031416--0.391578))+0-0-0</f>
        <v>585.00149700000009</v>
      </c>
      <c r="AB333" s="3">
        <f>1262.8+(68.9-796.2)+(-3.22014+(-0.175695--2.03031))+0-0-0</f>
        <v>534.13447499999984</v>
      </c>
      <c r="AC333" s="3">
        <f>1251.1+(43.4-783.1)+(-3.190305+(-0.11067--1.996905))+0-0-0</f>
        <v>510.09592999999984</v>
      </c>
      <c r="AD333">
        <f t="shared" si="5"/>
        <v>11605.617102999997</v>
      </c>
      <c r="AE333" s="3">
        <f>1282+(19.5-686.9)+(0+(0-0))+0-0-0</f>
        <v>614.6</v>
      </c>
    </row>
    <row r="334" spans="1:31" s="2" customFormat="1" x14ac:dyDescent="0.25">
      <c r="A334">
        <v>89</v>
      </c>
      <c r="B334">
        <v>11</v>
      </c>
      <c r="C334">
        <v>28</v>
      </c>
      <c r="D334">
        <v>6</v>
      </c>
      <c r="E334">
        <v>6</v>
      </c>
      <c r="F334" s="3">
        <f>1060+(58-658.1)+(-0.5406+(-0.02958--0.335631))+0-0-0</f>
        <v>459.66545099999996</v>
      </c>
      <c r="G334" s="3">
        <f>954.1+(39.7-562.9)+(0+(0-0))+0-0-0</f>
        <v>430.90000000000009</v>
      </c>
      <c r="H334" s="3">
        <f>825.6+(52.6-469.7)+(-1.684224+(-0.107304--0.958188))+0-0-0</f>
        <v>407.66666000000004</v>
      </c>
      <c r="I334" s="3">
        <f>775.8+(60.9-441.7)+(1.97829+(0.155295-1.126335))+0-0-0</f>
        <v>396.00724999999994</v>
      </c>
      <c r="J334" s="3">
        <f>766.8+(54.3-425.5)+(-0.782136+(-0.055386--0.43401))+0-0-0</f>
        <v>395.19648799999999</v>
      </c>
      <c r="K334" s="3">
        <f>773.1+(46.6-428)+(0.394281+(0.023766-0.21828))+0-0-0</f>
        <v>391.89976700000005</v>
      </c>
      <c r="L334" s="3">
        <f>764.4+(48.3-382.7)+(-1.169532+(-0.073899--0.585531))+0-0-0</f>
        <v>429.34210000000002</v>
      </c>
      <c r="M334" s="3">
        <f>815.9+(72.9-474.3)+(0+(0-0))+0-0-0</f>
        <v>414.5</v>
      </c>
      <c r="N334" s="3">
        <f>1013.2+(49.8-583.2)+(0.516732+(0.025398-0.297432))+0-0-0</f>
        <v>480.04469799999998</v>
      </c>
      <c r="O334" s="3">
        <f>1058.4+(42-578.4)+(1.619352+(0.06426-0.884952))+0-0-0</f>
        <v>522.79866000000015</v>
      </c>
      <c r="P334" s="3">
        <f>1042.6+(42-539.4)+(-2.65863+(-0.1071--1.37547))+0-0-0</f>
        <v>543.80973999999992</v>
      </c>
      <c r="Q334" s="3">
        <f>1048.9+(30.6-517.8)+(-2.674695+(-0.07803--1.32039))+0-0-0</f>
        <v>560.26766500000019</v>
      </c>
      <c r="R334" s="3">
        <f>1042.8+(29.6-536.5)+(-3.722796+(-0.105672--1.915305))+0-0-0</f>
        <v>533.98683699999992</v>
      </c>
      <c r="S334" s="3">
        <f>1057.9+(30.2-586.4)+(-0.539529+(-0.015402--0.299064))+0-0-0</f>
        <v>501.44413300000014</v>
      </c>
      <c r="T334" s="3">
        <f>1059.7+(14.3-582.7)+(-1.621341+(-0.021879--0.891531))+0-0-0</f>
        <v>490.54831099999996</v>
      </c>
      <c r="U334" s="3">
        <f>958.4+(36-518.2)+(-2.44392+(-0.0918--1.32141))+0-0-0</f>
        <v>474.98568999999992</v>
      </c>
      <c r="V334" s="3">
        <f>956+(41-511.2)+(0+(0-0))+0-0-0</f>
        <v>485.8</v>
      </c>
      <c r="W334" s="3">
        <f>933.7+(44.9-461.9)+(-0.952374+(-0.045798--0.471138))+0-0-0</f>
        <v>516.17296600000009</v>
      </c>
      <c r="X334" s="3">
        <f>1013.9+(76-484.9)+(-2.068356+(-0.15504--0.989196))+0-0-0</f>
        <v>603.76580000000001</v>
      </c>
      <c r="Y334" s="3">
        <f>1014.5+(80-487.4)+(-1.552185+(-0.1224--0.745722))+0-0-0</f>
        <v>606.17113700000004</v>
      </c>
      <c r="Z334" s="3">
        <f>998+(90.4-505.8)+(-0.50898+(-0.046104--0.257958))+0-0-0</f>
        <v>582.30287399999997</v>
      </c>
      <c r="AA334" s="3">
        <f>961.5+(126.9-509.1)+(-1.471095+(-0.194157--0.778923))+0-0-0</f>
        <v>578.41367099999991</v>
      </c>
      <c r="AB334" s="3">
        <f>915.2+(128.6-492.2)+(-2.800512+(-0.393516--1.506132))+0-0-0</f>
        <v>549.912104</v>
      </c>
      <c r="AC334" s="3">
        <f>878.7+(104.6-465.2)+(-2.240685+(-0.26673--1.18626))+0-0-0</f>
        <v>516.77884500000005</v>
      </c>
      <c r="AD334">
        <f t="shared" si="5"/>
        <v>11872.380847</v>
      </c>
      <c r="AE334" s="3">
        <f>1019+(78.5-497.2)+(0+(0-0))+0-0-0</f>
        <v>600.29999999999995</v>
      </c>
    </row>
    <row r="335" spans="1:31" s="2" customFormat="1" x14ac:dyDescent="0.25">
      <c r="A335">
        <v>89</v>
      </c>
      <c r="B335">
        <v>11</v>
      </c>
      <c r="C335">
        <v>29</v>
      </c>
      <c r="D335">
        <v>7</v>
      </c>
      <c r="E335">
        <v>1</v>
      </c>
      <c r="F335" s="3">
        <f>874+(44.2-436.3)+(-2.2287+(-0.11271--1.112565))+0-0-0</f>
        <v>480.671155</v>
      </c>
      <c r="G335" s="3">
        <f>795+(42.4-402.5)+(-1.6218+(-0.086496--0.8211))+0-0-0</f>
        <v>434.01280399999996</v>
      </c>
      <c r="H335" s="3">
        <f>621.9+(84.5-309.2)+(-0.951507+(-0.129285--0.473076))+0-0-0</f>
        <v>396.59228400000001</v>
      </c>
      <c r="I335" s="3">
        <f>624+(82.4-319.4)+(-1.27296+(-0.168096--0.651576))+0-0-0</f>
        <v>386.21051999999997</v>
      </c>
      <c r="J335" s="3">
        <f>630.1+(77.7-322.4)+(0.321351+(0.039627-0.164424))+0-0-0</f>
        <v>385.59655400000003</v>
      </c>
      <c r="K335" s="3">
        <f>631+(72.8-321.3)+(0.32181+(0.037128-0.163863))+0-0-0</f>
        <v>382.69507499999997</v>
      </c>
      <c r="L335" s="3">
        <f>622+(81.2-333.1)+(-1.5861+(-0.20706--0.849405))+0-0-0</f>
        <v>369.15624499999996</v>
      </c>
      <c r="M335" s="3">
        <f>631+(71.4-336.8)+(-0.96543+(-0.109242--0.515304))+0-0-0</f>
        <v>365.04063200000002</v>
      </c>
      <c r="N335" s="3">
        <f>633+(99.6-334.8)+(-0.96849+(-0.152388--0.512244))+0-0-0</f>
        <v>397.19136599999996</v>
      </c>
      <c r="O335" s="3">
        <f>628+(127.5-331.2)+(0.32028+(0.065025-0.168912))+0-0-0</f>
        <v>424.51639299999999</v>
      </c>
      <c r="P335" s="3">
        <f>670.4+(140.1-370.8)+(-0.341904+(-0.071451--0.189108))+0-0-0</f>
        <v>439.47575299999994</v>
      </c>
      <c r="Q335" s="3">
        <f>702+(160.5-400.4)+(-1.43208+(-0.32742--0.816816))+0-0-0</f>
        <v>461.15731600000004</v>
      </c>
      <c r="R335" s="3">
        <f>717.4+(154.4-398.1)+(-1.463496+(-0.314976--0.812124))+0-0-0</f>
        <v>472.73365199999995</v>
      </c>
      <c r="S335" s="3">
        <f>713.7+(133.3-401.2)+(-1.819935+(-0.339915--1.02306))+0-0-0</f>
        <v>444.66321000000005</v>
      </c>
      <c r="T335" s="3">
        <f>767.6+(105.2-446.1)+(-1.174428+(-0.160956--0.682533))+0-0-0</f>
        <v>426.04714899999999</v>
      </c>
      <c r="U335" s="3">
        <f>798.5+(86.8-455)+(-1.62894+(-0.177072--0.9282))+0-0-0</f>
        <v>429.42218800000001</v>
      </c>
      <c r="V335" s="3">
        <f>798.5+(74.8-442.9)+(-0.81447+(-0.076296--0.451758))+0-0-0</f>
        <v>429.96099200000003</v>
      </c>
      <c r="W335" s="3">
        <f>800+(51.8-401.3)+(-1.224+(-0.079254--0.613989))+0-0-0</f>
        <v>449.81073500000002</v>
      </c>
      <c r="X335" s="3">
        <f>857.1+(98.6-403.9)+(-1.748484+(-0.201144--0.823956))+0-0-0</f>
        <v>550.67432800000006</v>
      </c>
      <c r="Y335" s="3">
        <f>879.4+(111-426.9)+(-2.24247+(-0.28305--1.088595))+0-0-0</f>
        <v>562.06307500000003</v>
      </c>
      <c r="Z335" s="3">
        <f>883.6+(108.2-428.8)+(-0.901272+(-0.110364--0.437376))+0-0-0</f>
        <v>562.42574000000002</v>
      </c>
      <c r="AA335" s="3">
        <f>887.3+(129.4-454.5)+(0.452523+(0.065994-0.231795))+0-0-0</f>
        <v>562.48672199999999</v>
      </c>
      <c r="AB335" s="3">
        <f>880+(120.3-450.6)+(-1.7952+(-0.245412--0.919224))+0-0-0</f>
        <v>548.57861200000002</v>
      </c>
      <c r="AC335" s="3">
        <f>872.4+(137.2-494)+(-2.22462+(-0.34986--1.2597))+0-0-0</f>
        <v>514.28521999999987</v>
      </c>
      <c r="AD335">
        <f t="shared" si="5"/>
        <v>10875.467719999999</v>
      </c>
      <c r="AE335" s="3">
        <f>878+(101.8-439.2)+(0+(0-0))+0-0-0</f>
        <v>540.6</v>
      </c>
    </row>
    <row r="336" spans="1:31" s="2" customFormat="1" x14ac:dyDescent="0.25">
      <c r="A336">
        <v>89</v>
      </c>
      <c r="B336">
        <v>11</v>
      </c>
      <c r="C336">
        <v>30</v>
      </c>
      <c r="D336">
        <v>1</v>
      </c>
      <c r="E336">
        <v>1</v>
      </c>
      <c r="F336" s="3">
        <f>804.1+(149.2-512.3)+(-1.230273+(-0.228276--0.783819))+0-0-0</f>
        <v>440.32527000000005</v>
      </c>
      <c r="G336" s="3">
        <f>629.7+(157.8-388.3)+(-1.605735+(-0.40239--0.990165))+0-0-0</f>
        <v>398.18204000000003</v>
      </c>
      <c r="H336" s="3">
        <f>640.1+(146-401.3)+(0.326451+(0.07446-0.204663))+0-0-0</f>
        <v>384.99624800000004</v>
      </c>
      <c r="I336" s="3">
        <f>636.9+(148.9-414.4)+(-0.324819+(-0.075939--0.211344))+0-0-0</f>
        <v>371.21058599999998</v>
      </c>
      <c r="J336" s="3">
        <f>645.4+(146.1-421.4)+(1.316616+(0.298044-0.859656))+0-0-0</f>
        <v>370.85500400000001</v>
      </c>
      <c r="K336" s="3">
        <f>690.1+(140.1-450)+(0.703902+(0.142902-0.459))+0-0-0</f>
        <v>380.58780400000006</v>
      </c>
      <c r="L336" s="3">
        <f>817.4+(131.8-543.9)+(0+(0-0))+0-0-0</f>
        <v>405.3</v>
      </c>
      <c r="M336" s="3">
        <f>900.3+(109-576.8)+(0+(0-0))+0-0-0</f>
        <v>432.5</v>
      </c>
      <c r="N336" s="3">
        <f>993.1+(104.1-626.2)+(2.025924+(0.212364-1.277448))+0-0-0</f>
        <v>471.96084000000002</v>
      </c>
      <c r="O336" s="3">
        <f>998.7+(143.4-628.1)+(-0.509337+(-0.073134--0.320331))+0-0-0</f>
        <v>513.73785999999996</v>
      </c>
      <c r="P336" s="3">
        <f>996.4+(163.8-629.8)+(-1.524492+(-0.250614--0.963594))+0-0-0</f>
        <v>529.5884880000001</v>
      </c>
      <c r="Q336" s="3">
        <f>1016.1+(181.2-647.2)+(-0.518211+(-0.092412--0.330072))+0-0-0</f>
        <v>549.81944899999996</v>
      </c>
      <c r="R336" s="3">
        <f>1001.9+(168-631.1)+(-0.510969+(-0.08568--0.321861))+0-0-0</f>
        <v>538.52521200000001</v>
      </c>
      <c r="S336" s="3">
        <f>993.7+(158.9-633)+(-2.533935+(-0.405195--1.61415))+0-0-0</f>
        <v>518.27502000000004</v>
      </c>
      <c r="T336" s="3">
        <f>1000.2+(164.6-649.6)+(-0.510102+(-0.083946--0.331296))+0-0-0</f>
        <v>514.93724800000007</v>
      </c>
      <c r="U336" s="3">
        <f>1048+(153.9-684.2)+(-1.60344+(-0.235467--1.046826))+0-0-0</f>
        <v>516.90791899999988</v>
      </c>
      <c r="V336" s="3">
        <f>1054.3+(213.5-736.9)+(-2.150772+(-0.43554--1.503276))+0-0-0</f>
        <v>529.81696399999998</v>
      </c>
      <c r="W336" s="3">
        <f>1055.6+(162.6-675.5)+(-2.153424+(-0.331704--1.37802))+0-0-0</f>
        <v>541.59289199999989</v>
      </c>
      <c r="X336" s="3">
        <f>1060+(221-650)+(-1.6218+(-0.33813--0.9945))+0-0-0</f>
        <v>630.03457000000003</v>
      </c>
      <c r="Y336" s="3">
        <f>1103.9+(228.2-689.7)+(-2.814945+(-0.58191--1.758735))+0-0-0</f>
        <v>640.76188000000013</v>
      </c>
      <c r="Z336" s="3">
        <f>1200.5+(174.6-744.7)+(-1.836765+(-0.267138--1.139391))+0-0-0</f>
        <v>629.43548799999996</v>
      </c>
      <c r="AA336" s="3">
        <f>1201.1+(169.4-762.8)+(-1.837683+(-0.259182--1.167084))+0-0-0</f>
        <v>606.77021899999988</v>
      </c>
      <c r="AB336" s="3">
        <f>1206+(154.1-787.6)+(-3.0753+(-0.392955--2.00838))+0-0-0</f>
        <v>571.04012499999999</v>
      </c>
      <c r="AC336" s="3">
        <f>1205.6+(106.1-796.7)+(-3.07428+(-0.270555--2.031585))+0-0-0</f>
        <v>513.68674999999985</v>
      </c>
      <c r="AD336">
        <f t="shared" si="5"/>
        <v>12000.847876</v>
      </c>
      <c r="AE336" s="3">
        <f>1072+(238.1-663.1)+(0+(0-0))+0-0-0</f>
        <v>647</v>
      </c>
    </row>
    <row r="337" spans="1:31" s="2" customFormat="1" x14ac:dyDescent="0.25">
      <c r="A337">
        <v>89</v>
      </c>
      <c r="B337">
        <v>12</v>
      </c>
      <c r="C337">
        <v>1</v>
      </c>
      <c r="D337">
        <v>2</v>
      </c>
      <c r="E337">
        <v>1</v>
      </c>
      <c r="F337" s="3">
        <f>1202.7+(50.6-782.2)+(-4.293639+(-0.180642--2.792454))+0-0-0</f>
        <v>469.41817300000002</v>
      </c>
      <c r="G337" s="3">
        <f>1198.6+(31.8-793.1)+(0+(0-0))+0-0-0</f>
        <v>437.29999999999984</v>
      </c>
      <c r="H337" s="3">
        <f>1162.8+(39.8-780.1)+(-2.372112+(-0.081192--1.591404))+0-0-0</f>
        <v>421.63809999999989</v>
      </c>
      <c r="I337" s="3">
        <f>924.5+(104.6-611.4)+(2.357475+(0.26673-1.55907))+0-0-0</f>
        <v>418.76513500000004</v>
      </c>
      <c r="J337" s="3">
        <f>910.3+(106.9-608.3)+(0+(0-0))+0-0-0</f>
        <v>408.9</v>
      </c>
      <c r="K337" s="3">
        <f>938.3+(99.9-622.6)+(0.957066+(0.101898-0.635052))+0-0-0</f>
        <v>416.02391199999988</v>
      </c>
      <c r="L337" s="3">
        <f>1038.6+(81.9-697.8)+(1.059372+(0.083538-0.711756))+0-0-0</f>
        <v>423.13115399999992</v>
      </c>
      <c r="M337" s="3">
        <f>1129.9+(51-723.4)+(1.152498+(0.05202-0.737868))+0-0-0</f>
        <v>457.96665000000013</v>
      </c>
      <c r="N337" s="3">
        <f>1146.5+(53.4-710.3)+(1.754145+(0.081702-1.086759))+0-0-0</f>
        <v>490.34908799999999</v>
      </c>
      <c r="O337" s="3">
        <f>1135.6+(83.3-710.6)+(-1.158312+(-0.084966--0.724812))+0-0-0</f>
        <v>507.78153399999985</v>
      </c>
      <c r="P337" s="3">
        <f>1130.3+(78.2-691.2)+(-1.729359+(-0.119646--1.057536))+0-0-0</f>
        <v>516.50853099999995</v>
      </c>
      <c r="Q337" s="3">
        <f>1111.2+(46-627.7)+(-3.966984+(-0.16422--2.240889))+0-0-0</f>
        <v>527.60968500000001</v>
      </c>
      <c r="R337" s="3">
        <f>1119.5+(59.1-676.1)+(-2.28378+(-0.120564--1.379244))+0-0-0</f>
        <v>501.47489999999999</v>
      </c>
      <c r="S337" s="3">
        <f>1139+(64.5-695.1)+(-2.32356+(-0.13158--1.418004))+0-0-0</f>
        <v>507.362864</v>
      </c>
      <c r="T337" s="3">
        <f>1140+(62.7-702.8)+(-0.5814+(-0.031977--0.358428))+0-0-0</f>
        <v>499.64505100000008</v>
      </c>
      <c r="U337" s="3">
        <f>1134+(75.6-741.6)+(1.73502+(0.115668-1.134648))+0-0-0</f>
        <v>468.71604000000002</v>
      </c>
      <c r="V337" s="3">
        <f>1124+(55.6-679.8)+(0+(0-0))+0-0-0</f>
        <v>499.80000000000007</v>
      </c>
      <c r="W337" s="3">
        <f>1106+(45.2-645.8)+(0+(0-0))+0-0-0</f>
        <v>505.40000000000009</v>
      </c>
      <c r="X337" s="3">
        <f>1140+(101.1-608)+(-1.7442+(-0.154683--0.93024))+0-0-0</f>
        <v>632.13135699999998</v>
      </c>
      <c r="Y337" s="3">
        <f>1164+(111.5-642.9)+(-2.37456+(-0.22746--1.311516))+0-0-0</f>
        <v>631.30949599999997</v>
      </c>
      <c r="Z337" s="3">
        <f>1155+(129.1-646.4)+(-1.1781+(-0.131682--0.659328))+0-0-0</f>
        <v>637.04954600000008</v>
      </c>
      <c r="AA337" s="3">
        <f>1117+(159.7-713.3)+(0.56967+(0.081447-0.363783))+0-0-0</f>
        <v>563.68733400000008</v>
      </c>
      <c r="AB337" s="3">
        <f>1108+(146.4-697.4)+(-2.8254+(-0.37332--1.77837))+0-0-0</f>
        <v>555.57965000000002</v>
      </c>
      <c r="AC337" s="3">
        <f>1031+(159-607.8)+(0.52581+(0.08109-0.309978))+0-0-0</f>
        <v>582.49692200000004</v>
      </c>
      <c r="AD337">
        <f t="shared" si="5"/>
        <v>12080.045122000001</v>
      </c>
      <c r="AE337" s="3">
        <f>1167+(116.6-591)+(0+(0-0))+0-0-0</f>
        <v>692.6</v>
      </c>
    </row>
    <row r="338" spans="1:31" s="2" customFormat="1" x14ac:dyDescent="0.25">
      <c r="A338">
        <v>89</v>
      </c>
      <c r="B338">
        <v>12</v>
      </c>
      <c r="C338">
        <v>2</v>
      </c>
      <c r="D338">
        <v>3</v>
      </c>
      <c r="E338">
        <v>1</v>
      </c>
      <c r="F338" s="3">
        <f>857+(157.8-568)+(-1.74828+(-0.321912--1.15872))+0-0-0</f>
        <v>445.88852800000001</v>
      </c>
      <c r="G338" s="3">
        <f>857+(118.3-575.4)+(-1.74828+(-0.241332--1.173816))+0-0-0</f>
        <v>399.08420400000006</v>
      </c>
      <c r="H338" s="3">
        <f>765+(136.1-506.1)+(0.39015+(0.069411-0.258111))+0-0-0</f>
        <v>395.20145000000002</v>
      </c>
      <c r="I338" s="3">
        <f>722+(126.6-498.1)+(1.47288+(0.258264-1.016124))+0-0-0</f>
        <v>351.21501999999998</v>
      </c>
      <c r="J338" s="3">
        <f>743+(123.1-486.4)+(-0.37893+(-0.062781--0.248064))+0-0-0</f>
        <v>379.50635300000005</v>
      </c>
      <c r="K338" s="3">
        <f>729+(126.5-487.8)+(0+(0-0))+0-0-0</f>
        <v>367.7</v>
      </c>
      <c r="L338" s="3">
        <f>721+(111.3-497.2)+(-1.47084+(-0.227052--1.014288))+0-0-0</f>
        <v>334.41639600000002</v>
      </c>
      <c r="M338" s="3">
        <f>733+(122.8-493)+(-1.12149+(-0.187884--0.75429))+0-0-0</f>
        <v>362.24491599999999</v>
      </c>
      <c r="N338" s="3">
        <f>947+(95.4-640.6)+(1.44891+(0.145962-0.980118))+0-0-0</f>
        <v>402.41475399999996</v>
      </c>
      <c r="O338" s="3">
        <f>951+(99.4-624.4)+(0.48501+(0.050694-0.318444))+0-0-0</f>
        <v>426.21726000000001</v>
      </c>
      <c r="P338" s="3">
        <f>951+(89-578.3)+(-0.97002+(-0.09078--0.589866))+0-0-0</f>
        <v>461.22906600000005</v>
      </c>
      <c r="Q338" s="3">
        <f>951+(85.3-577.2)+(-0.97002+(-0.087006--0.588744))+0-0-0</f>
        <v>458.63171799999998</v>
      </c>
      <c r="R338" s="3">
        <f>1030+(103.9-554.7)+(-3.1518+(-0.317934--1.697382))+0-0-0</f>
        <v>577.42764799999998</v>
      </c>
      <c r="S338" s="3">
        <f>1031+(124.7-667.9)+(-1.05162+(-0.127194--0.681258))+0-0-0</f>
        <v>487.30244400000009</v>
      </c>
      <c r="T338" s="3">
        <f>1030+(134.9-687.6)+(1.0506+(0.137598-0.701352))+0-0-0</f>
        <v>477.78684599999997</v>
      </c>
      <c r="U338" s="3">
        <f>1030+(142.2-654.4)+(-2.1012+(-0.290088--1.334976))+0-0-0</f>
        <v>516.74368799999991</v>
      </c>
      <c r="V338" s="3">
        <f>1031+(140.4-686.2)+(1.05162+(0.143208-0.699924))+0-0-0</f>
        <v>485.69490399999995</v>
      </c>
      <c r="W338" s="3">
        <f>1031+(121.6-635.7)+(-1.05162+(-0.124032--0.648414))+0-0-0</f>
        <v>516.37276199999997</v>
      </c>
      <c r="X338" s="3">
        <f>1041+(159.8-585.5)+(-0.53091+(-0.081498--0.298605))+0-0-0</f>
        <v>614.98619699999995</v>
      </c>
      <c r="Y338" s="3">
        <f>1037+(162.7-583)+(-1.05774+(-0.165954--0.59466))+0-0-0</f>
        <v>616.070966</v>
      </c>
      <c r="Z338" s="3">
        <f>1039+(147.8-528.1)+(-0.52989+(-0.075378--0.269331))+0-0-0</f>
        <v>658.3640630000001</v>
      </c>
      <c r="AA338" s="3">
        <f>996+(168.4-535.6)+(-0.50796+(-0.085884--0.273156))+0-0-0</f>
        <v>628.47931199999994</v>
      </c>
      <c r="AB338" s="3">
        <f>931+(189.9-554.8)+(-1.89924+(-0.387396--1.131792))+0-0-0</f>
        <v>564.945156</v>
      </c>
      <c r="AC338" s="3">
        <f>931+(162.3-566.4)+(0+(0-0))+0-0-0</f>
        <v>526.90000000000009</v>
      </c>
      <c r="AD338">
        <f t="shared" si="5"/>
        <v>11454.823650999999</v>
      </c>
      <c r="AE338" s="3">
        <f>1018+(171.5-589.4)+(0+(0-0))+0-0-0</f>
        <v>600.1</v>
      </c>
    </row>
    <row r="339" spans="1:31" s="2" customFormat="1" x14ac:dyDescent="0.25">
      <c r="A339">
        <v>89</v>
      </c>
      <c r="B339">
        <v>12</v>
      </c>
      <c r="C339">
        <v>3</v>
      </c>
      <c r="D339">
        <v>4</v>
      </c>
      <c r="E339">
        <v>1</v>
      </c>
      <c r="F339" s="3">
        <f>840+(98.4-544)+(-0.8568+(-0.100368--0.55488))+0-0-0</f>
        <v>393.99771199999998</v>
      </c>
      <c r="G339" s="3">
        <f>840+(42.2-547.3)+(0+(0-0))+0-0-0</f>
        <v>334.90000000000003</v>
      </c>
      <c r="H339" s="3">
        <f>825+(29-508.1)+(0+(0-0))+0-0-0</f>
        <v>345.9</v>
      </c>
      <c r="I339" s="3">
        <f>778.1+(47.2-454.9)+(-1.190493+(-0.072216--0.695997))+0-0-0</f>
        <v>369.83328800000004</v>
      </c>
      <c r="J339" s="3">
        <f>773.8+(46.5-460.8)+(-1.578552+(-0.09486--0.940032))+0-0-0</f>
        <v>358.76661999999993</v>
      </c>
      <c r="K339" s="3">
        <f>784.8+(51.2-457.7)+(0.800496+(0.052224-0.466854))+0-0-0</f>
        <v>378.68586599999998</v>
      </c>
      <c r="L339" s="3">
        <f>775.3+(76-465.4)+(-0.790806+(-0.07752--0.474708))+0-0-0</f>
        <v>385.50638199999997</v>
      </c>
      <c r="M339" s="3">
        <f>800.1+(68.2-461.2)+(-1.224153+(-0.104346--0.705636))+0-0-0</f>
        <v>406.47713700000003</v>
      </c>
      <c r="N339" s="3">
        <f>891.5+(93.1-529.2)+(0+(0-0))+0-0-0</f>
        <v>455.4</v>
      </c>
      <c r="O339" s="3">
        <f>893.5+(121.7-516.8)+(-0.91137+(-0.124134--0.527136))+0-0-0</f>
        <v>497.89163200000002</v>
      </c>
      <c r="P339" s="3">
        <f>885.2+(111.9-490)+(-2.25726+(-0.285345--1.2495))+0-0-0</f>
        <v>505.806895</v>
      </c>
      <c r="Q339" s="3">
        <f>912+(89.3-475.5)+(-0.93024+(-0.091086--0.48501))+0-0-0</f>
        <v>525.2636839999999</v>
      </c>
      <c r="R339" s="3">
        <f>888.3+(86.6-473)+(-2.265165+(-0.22083--1.20615))+0-0-0</f>
        <v>500.62015499999995</v>
      </c>
      <c r="S339" s="3">
        <f>897.5+(108.7-509.7)+(0+(0-0))+0-0-0</f>
        <v>496.5</v>
      </c>
      <c r="T339" s="3">
        <f>901.6+(101.6-519.8)+(0.459816+(0.051816-0.265098))+0-0-0</f>
        <v>483.64653400000009</v>
      </c>
      <c r="U339" s="3">
        <f>896+(107.5-527.8)+(0+(0-0))+0-0-0</f>
        <v>475.70000000000005</v>
      </c>
      <c r="V339" s="3">
        <f>904.9+(102.9-553.5)+(0+(0-0))+0-0-0</f>
        <v>454.29999999999995</v>
      </c>
      <c r="W339" s="3">
        <f>898+(49.4-440.2)+(-0.45798+(-0.025194--0.224502))+0-0-0</f>
        <v>506.941328</v>
      </c>
      <c r="X339" s="3">
        <f>902.4+(130.3-427.9)+(-0.460224+(-0.066453--0.218229))+0-0-0</f>
        <v>604.49155199999996</v>
      </c>
      <c r="Y339" s="3">
        <f>891.1+(157.3-480.3)+(-1.363383+(-0.240669--0.734859))+0-0-0</f>
        <v>567.23080700000003</v>
      </c>
      <c r="Z339" s="3">
        <f>881.1+(162.9-465.2)+(-0.898722+(-0.166158--0.474504))+0-0-0</f>
        <v>578.20962400000008</v>
      </c>
      <c r="AA339" s="3">
        <f>891.7+(191.6-510.2)+(-2.728602+(-0.586296--1.561212))+0-0-0</f>
        <v>571.34631400000001</v>
      </c>
      <c r="AB339" s="3">
        <f>887.5+(172.8-528.6)+(-1.8105+(-0.352512--1.078344))+0-0-0</f>
        <v>530.61533200000008</v>
      </c>
      <c r="AC339" s="3">
        <f>879.2+(145.9-531.3)+(-2.690352+(-0.446454--1.625778))+0-0-0</f>
        <v>492.28897200000006</v>
      </c>
      <c r="AD339">
        <f t="shared" si="5"/>
        <v>11220.319834</v>
      </c>
      <c r="AE339" s="3">
        <f>910+(140.3-467)+(0+(0-0))+0-0-0</f>
        <v>583.29999999999995</v>
      </c>
    </row>
    <row r="340" spans="1:31" s="2" customFormat="1" x14ac:dyDescent="0.25">
      <c r="A340">
        <v>89</v>
      </c>
      <c r="B340">
        <v>12</v>
      </c>
      <c r="C340">
        <v>4</v>
      </c>
      <c r="D340">
        <v>5</v>
      </c>
      <c r="E340">
        <v>1</v>
      </c>
      <c r="F340" s="3">
        <f>698.8+(180.7-436.3)+(0.712776+(0.184314-0.445026))+0-0-0</f>
        <v>443.65206399999994</v>
      </c>
      <c r="G340" s="3">
        <f>621.8+(172-388)+(-1.268472+(-0.35088--0.79152))+0-0-0</f>
        <v>404.97216799999995</v>
      </c>
      <c r="H340" s="3">
        <f>641+(139.5-387)+(0.32691+(0.071145-0.19737))+0-0-0</f>
        <v>393.70068500000002</v>
      </c>
      <c r="I340" s="3">
        <f>616+(130-383.1)+(-1.25664+(-0.2652--0.781524))+0-0-0</f>
        <v>362.15968399999997</v>
      </c>
      <c r="J340" s="3">
        <f>685+(124-391.4)+(-1.04805+(-0.18972--0.598842))+0-0-0</f>
        <v>416.961072</v>
      </c>
      <c r="K340" s="3">
        <f>652+(125.3-415.8)+(0.33252+(0.063903-0.212058))+0-0-0</f>
        <v>361.68436500000001</v>
      </c>
      <c r="L340" s="3">
        <f>647+(134.3-403.7)+(-1.31988+(-0.273972--0.823548))+0-0-0</f>
        <v>376.82969600000001</v>
      </c>
      <c r="M340" s="3">
        <f>782+(86.1-462.1)+(-0.79764+(-0.087822--0.471342))+0-0-0</f>
        <v>405.58587999999997</v>
      </c>
      <c r="N340" s="3">
        <f>899+(70.8-489.6)+(0+(0-0))+0-0-0</f>
        <v>480.2</v>
      </c>
      <c r="O340" s="3">
        <f>888+(63.6-451.8)+(-0.45288+(-0.032436--0.230418))+0-0-0</f>
        <v>499.54510199999999</v>
      </c>
      <c r="P340" s="3">
        <f>895+(62.4-418)+(-0.45645+(-0.031824--0.21318))+0-0-0</f>
        <v>539.12490600000001</v>
      </c>
      <c r="Q340" s="3">
        <f>893.7+(68.8-408.4)+(-0.455787+(-0.035088--0.208284))+0-0-0</f>
        <v>553.81740900000011</v>
      </c>
      <c r="R340" s="3">
        <f>888.7+(74.8-433.9)+(-2.266185+(-0.19074--1.106445))+0-0-0</f>
        <v>528.24952000000019</v>
      </c>
      <c r="S340" s="3">
        <f>895.6+(88-482.6)+(-0.456756+(-0.04488--0.246126))+0-0-0</f>
        <v>500.74448999999998</v>
      </c>
      <c r="T340" s="3">
        <f>890.8+(88.1-485.2)+(-2.27154+(-0.224655--1.23726))+0-0-0</f>
        <v>492.44106499999992</v>
      </c>
      <c r="U340" s="3">
        <f>892.4+(84.7-480.1)+(-1.365372+(-0.129591--0.734553))+0-0-0</f>
        <v>496.23958999999996</v>
      </c>
      <c r="V340" s="3">
        <f>886.5+(104-494.2)+(-4.069035+(-0.47736--2.268378))+0-0-0</f>
        <v>494.02198300000003</v>
      </c>
      <c r="W340" s="3">
        <f>912.2+(82.3-475.3)+(0+(0-0))+0-0-0</f>
        <v>519.20000000000005</v>
      </c>
      <c r="X340" s="3">
        <f>905.9+(116.5-421.4)+(-1.848036+(-0.23766--0.859656))+0-0-0</f>
        <v>599.77395999999999</v>
      </c>
      <c r="Y340" s="3">
        <f>915.4+(119.4-437.5)+(0+(0-0))+0-0-0</f>
        <v>597.29999999999995</v>
      </c>
      <c r="Z340" s="3">
        <f>915.4+(137.9-471.9)+(0+(0-0))+0-0-0</f>
        <v>581.4</v>
      </c>
      <c r="AA340" s="3">
        <f>912.7+(150.7-495.8)+(-0.930954+(-0.153714--0.505716))+0-0-0</f>
        <v>567.02104800000006</v>
      </c>
      <c r="AB340" s="3">
        <f>909.1+(170.4-551.3)+(-1.854564+(-0.347616--1.124652))+0-0-0</f>
        <v>527.12247200000002</v>
      </c>
      <c r="AC340" s="3">
        <f>901+(141.1-554)+(-3.67608+(-0.575688--2.26032))+0-0-0</f>
        <v>486.10855200000003</v>
      </c>
      <c r="AD340">
        <f t="shared" si="5"/>
        <v>11627.855710999998</v>
      </c>
      <c r="AE340" s="3">
        <f>913+(121.1-426.5)+(0+(0-0))+0-0-0</f>
        <v>607.6</v>
      </c>
    </row>
    <row r="341" spans="1:31" s="2" customFormat="1" x14ac:dyDescent="0.25">
      <c r="A341">
        <v>89</v>
      </c>
      <c r="B341">
        <v>12</v>
      </c>
      <c r="C341">
        <v>5</v>
      </c>
      <c r="D341">
        <v>6</v>
      </c>
      <c r="E341">
        <v>1</v>
      </c>
      <c r="F341" s="3">
        <f>758.1+(125.6-441.8)+(-1.159893+(-0.192168--0.675954))+0-0-0</f>
        <v>441.22389299999998</v>
      </c>
      <c r="G341" s="3">
        <f>641.6+(121.7-367.2)+(0.654432+(0.124134-0.374544))+0-0-0</f>
        <v>396.50402200000002</v>
      </c>
      <c r="H341" s="3">
        <f>627.3+(115.1-353.5)+(-1.919538+(-0.352206--1.08171))+0-0-0</f>
        <v>387.70996599999995</v>
      </c>
      <c r="I341" s="3">
        <f>640.3+(105.8-363.4)+(0.653106+(0.107916-0.370668))+0-0-0</f>
        <v>383.09035399999999</v>
      </c>
      <c r="J341" s="3">
        <f>637.3+(105-360.6)+(0.325023+(0.05355-0.183906))+0-0-0</f>
        <v>381.89466699999991</v>
      </c>
      <c r="K341" s="3">
        <f>714.1+(78.8-403)+(2.185146+(0.241128-1.23318))+0-0-0</f>
        <v>391.09309400000001</v>
      </c>
      <c r="L341" s="3">
        <f>860.9+(54.5-510)+(0+(0-0))+0-0-0</f>
        <v>405.4</v>
      </c>
      <c r="M341" s="3">
        <f>866.6+(82.7-532.9)+(1.325898+(0.126531-0.815337))+0-0-0</f>
        <v>417.03709200000003</v>
      </c>
      <c r="N341" s="3">
        <f>862.5+(101.1-506.2)+(0+(0-0))+0-0-0</f>
        <v>457.4</v>
      </c>
      <c r="O341" s="3">
        <f>866.4+(123.6-485.7)+(0+(0-0))+0-0-0</f>
        <v>504.29999999999995</v>
      </c>
      <c r="P341" s="3">
        <f>884.3+(116-471.9)+(0+(0-0))+0-0-0</f>
        <v>528.4</v>
      </c>
      <c r="Q341" s="3">
        <f>950.9+(91.9-521.2)+(0.484959+(0.046869-0.265812))+0-0-0</f>
        <v>521.86601599999995</v>
      </c>
      <c r="R341" s="3">
        <f>943.9+(93.7-517.2)+(-0.962778+(-0.095574--0.527544))+0-0-0</f>
        <v>519.86919199999988</v>
      </c>
      <c r="S341" s="3">
        <f>943.6+(99.6-547.6)+(-0.962472+(-0.101592--0.558552))+0-0-0</f>
        <v>495.09448800000001</v>
      </c>
      <c r="T341" s="3">
        <f>876.1+(118.8-514.2)+(-0.446811+(-0.060588--0.262242))+0-0-0</f>
        <v>480.45484299999998</v>
      </c>
      <c r="U341" s="3">
        <f>874.6+(120-527.2)+(-0.892092+(-0.1224--0.537744))+0-0-0</f>
        <v>466.92325199999999</v>
      </c>
      <c r="V341" s="3">
        <f>940.2+(116.2-589.9)+(-3.356514+(-0.414834--2.105943))+0-0-0</f>
        <v>464.83459500000004</v>
      </c>
      <c r="W341" s="3">
        <f>942.4+(99-541.4)+(-0.480624+(-0.05049--0.276114))+0-0-0</f>
        <v>499.745</v>
      </c>
      <c r="X341" s="3">
        <f>886.7+(148.4-446.5)+(-1.356651+(-0.227052--0.683145))+0-0-0</f>
        <v>587.69944199999998</v>
      </c>
      <c r="Y341" s="3">
        <f>915.8+(181.7-511.6)+(-0.934116+(-0.185334--0.521832))+0-0-0</f>
        <v>585.30238199999985</v>
      </c>
      <c r="Z341" s="3">
        <f>910.6+(190.7-522.6)+(-1.393218+(-0.291771--0.799578))+0-0-0</f>
        <v>577.81458900000007</v>
      </c>
      <c r="AA341" s="3">
        <f>919.4+(211.1-570)+(0+(0-0))+0-0-0</f>
        <v>560.5</v>
      </c>
      <c r="AB341" s="3">
        <f>911.2+(176.6-566.4)+(-1.858848+(-0.360264--1.155456))+0-0-0</f>
        <v>520.33634400000005</v>
      </c>
      <c r="AC341" s="3">
        <f>905.9+(151-568.1)+(-2.310045+(-0.38505--1.448655))+0-0-0</f>
        <v>487.55355999999995</v>
      </c>
      <c r="AD341">
        <f t="shared" si="5"/>
        <v>11462.046790999997</v>
      </c>
      <c r="AE341" s="3">
        <f>908+(158-468.5)+(0+(0-0))+0-0-0</f>
        <v>597.5</v>
      </c>
    </row>
    <row r="342" spans="1:31" s="2" customFormat="1" x14ac:dyDescent="0.25">
      <c r="A342">
        <v>89</v>
      </c>
      <c r="B342">
        <v>12</v>
      </c>
      <c r="C342">
        <v>6</v>
      </c>
      <c r="D342">
        <v>7</v>
      </c>
      <c r="E342">
        <v>1</v>
      </c>
      <c r="F342" s="3">
        <f>912+(101.1-570.6)+(-0.93024+(-0.103122--0.582012))+0-0-0</f>
        <v>442.04865000000001</v>
      </c>
      <c r="G342" s="3">
        <f>912.8+(65.4-571.5)+(-0.465528+(-0.033354--0.291465))+0-0-0</f>
        <v>406.49258299999991</v>
      </c>
      <c r="H342" s="3">
        <f>917+(41.9-576.3)+(0+(0-0))+0-0-0</f>
        <v>382.6</v>
      </c>
      <c r="I342" s="3">
        <f>920.7+(28.1-572.6)+(1.408671+(0.042993-0.876078))+0-0-0</f>
        <v>376.77558600000003</v>
      </c>
      <c r="J342" s="3">
        <f>904.8+(22.6-565.3)+(-2.30724+(-0.05763--1.441515))+0-0-0</f>
        <v>361.17664500000001</v>
      </c>
      <c r="K342" s="3">
        <f>920.6+(19.8-574.9)+(1.408518+(0.030294-0.879597))+0-0-0</f>
        <v>366.05921499999999</v>
      </c>
      <c r="L342" s="3">
        <f>911.2+(23.2-578.3)+(-0.929424+(-0.023664--0.589866))+0-0-0</f>
        <v>355.73677800000013</v>
      </c>
      <c r="M342" s="3">
        <f>916.3+(26.6-599.1)+(0.467313+(0.013566-0.305541))+0-0-0</f>
        <v>343.97533799999997</v>
      </c>
      <c r="N342" s="3">
        <f>905.5+(72.1-612.5)+(-0.92361+(-0.073542--0.62475))+0-0-0</f>
        <v>364.727598</v>
      </c>
      <c r="O342" s="3">
        <f>901.4+(102.8-601.4)+(0.459714+(0.052428-0.306714))+0-0-0</f>
        <v>403.00542799999999</v>
      </c>
      <c r="P342" s="3">
        <f>905.8+(110.3-564.8)+(0.923916+(0.112506-0.576096))+0-0-0</f>
        <v>451.76032600000002</v>
      </c>
      <c r="Q342" s="3">
        <f>893.6+(118.8-541.9)+(-1.822944+(-0.242352--1.105476))+0-0-0</f>
        <v>469.54018000000008</v>
      </c>
      <c r="R342" s="3">
        <f>899.2+(111.4-548.5)+(-0.458592+(-0.056814--0.279735))+0-0-0</f>
        <v>461.864329</v>
      </c>
      <c r="S342" s="3">
        <f>890+(133.2-581.5)+(-2.7234+(-0.407592--1.77939))+0-0-0</f>
        <v>440.34839799999997</v>
      </c>
      <c r="T342" s="3">
        <f>897.2+(126-597.5)+(-0.915144+(-0.12852--0.60945))+0-0-0</f>
        <v>425.26578600000005</v>
      </c>
      <c r="U342" s="3">
        <f>884.7+(116.6-587.3)+(-2.707182+(-0.356796--1.797138))+0-0-0</f>
        <v>412.73316000000011</v>
      </c>
      <c r="V342" s="3">
        <f>898.8+(109.2-584.6)+(-0.916776+(-0.111384--0.596292))+0-0-0</f>
        <v>422.96813199999991</v>
      </c>
      <c r="W342" s="3">
        <f>904.7+(85.4-553.9)+(-0.461397+(-0.043554--0.282489))+0-0-0</f>
        <v>435.97753800000004</v>
      </c>
      <c r="X342" s="3">
        <f>918.1+(124.3-524.7)+(-1.404693+(-0.190179--0.802791))+0-0-0</f>
        <v>516.90791899999999</v>
      </c>
      <c r="Y342" s="3">
        <f>927.5+(146.9-535.6)+(0.473025+(0.074919-0.273156))+0-0-0</f>
        <v>539.0747879999999</v>
      </c>
      <c r="Z342" s="3">
        <f>919.6+(134.1-524)+(-1.406988+(-0.205173--0.80172))+0-0-0</f>
        <v>528.88955900000008</v>
      </c>
      <c r="AA342" s="3">
        <f>928.6+(143.9-538.6)+(0.473586+(0.073389-0.274686))+0-0-0</f>
        <v>534.17228899999998</v>
      </c>
      <c r="AB342" s="3">
        <f>922.5+(125.5-541.9)+(-0.94095+(-0.12801--0.552738))+0-0-0</f>
        <v>505.583778</v>
      </c>
      <c r="AC342" s="3">
        <f>919.9+(113.5-564.9)+(-1.876596+(-0.23154--1.152396))+0-0-0</f>
        <v>467.54426000000001</v>
      </c>
      <c r="AD342">
        <f t="shared" si="5"/>
        <v>10415.228262999999</v>
      </c>
      <c r="AE342" s="3">
        <f>914+(148.7-542.6)+(0+(0-0))+0-0-0</f>
        <v>520.09999999999991</v>
      </c>
    </row>
    <row r="343" spans="1:31" s="2" customFormat="1" x14ac:dyDescent="0.25">
      <c r="A343">
        <v>89</v>
      </c>
      <c r="B343">
        <v>12</v>
      </c>
      <c r="C343">
        <v>7</v>
      </c>
      <c r="D343">
        <v>1</v>
      </c>
      <c r="E343">
        <v>1</v>
      </c>
      <c r="F343" s="3">
        <f>900+(114.2-578.8)+(-0.918+(-0.116484--0.590376))+0-0-0</f>
        <v>434.95589200000001</v>
      </c>
      <c r="G343" s="3">
        <f>850.4+(83.9-537.4)+(-0.867408+(-0.085578--0.548148))+0-0-0</f>
        <v>396.49516199999999</v>
      </c>
      <c r="H343" s="3">
        <f>744.4+(113.5-477.9)+(1.518576+(0.23154-0.974916))+0-0-0</f>
        <v>380.77519999999998</v>
      </c>
      <c r="I343" s="3">
        <f>674.3+(142.3-435.5)+(-0.687786+(-0.145146--0.44421))+0-0-0</f>
        <v>380.71127799999999</v>
      </c>
      <c r="J343" s="3">
        <f>663.3+(146.8-435.3)+(2.029698+(0.449208-1.332018))+0-0-0</f>
        <v>375.94688799999994</v>
      </c>
      <c r="K343" s="3">
        <f>724+(129-468.8)+(0.36924+(0.06579-0.239088))+0-0-0</f>
        <v>384.39594199999999</v>
      </c>
      <c r="L343" s="3">
        <f>875.3+(108.8-587.2)+(1.339209+(0.166464-0.898416))+0-0-0</f>
        <v>397.50725699999992</v>
      </c>
      <c r="M343" s="3">
        <f>911.6+(118.9-604.4)+(2.32458+(0.303195-1.54122))+0-0-0</f>
        <v>427.186555</v>
      </c>
      <c r="N343" s="3">
        <f>905.3+(121-551.2)+(0.461703+(0.06171-0.281112))+0-0-0</f>
        <v>475.34230099999991</v>
      </c>
      <c r="O343" s="3">
        <f>960+(100-576.4)+(0.4896+(0.051-0.293964))+0-0-0</f>
        <v>483.84663600000005</v>
      </c>
      <c r="P343" s="3">
        <f>1160.6+(95.1-716.7)+(1.775718+(0.145503-1.096551))+0-0-0</f>
        <v>539.82466999999986</v>
      </c>
      <c r="Q343" s="3">
        <f>1276.8+(62.1-798.3)+(-0.651168+(-0.031671--0.407133))+0-0-0</f>
        <v>540.32429400000001</v>
      </c>
      <c r="R343" s="3">
        <f>1213.3+(51.3-734.4)+(-0.618783+(-0.026163--0.374544))+0-0-0</f>
        <v>529.92959799999994</v>
      </c>
      <c r="S343" s="3">
        <f>1207.2+(30.9-724)+(-1.847016+(-0.047277--1.10772))+0-0-0</f>
        <v>513.31342700000005</v>
      </c>
      <c r="T343" s="3">
        <f>1208.9+(5.4-709.1)+(0+(0-0))+0-0-0</f>
        <v>505.20000000000005</v>
      </c>
      <c r="U343" s="3">
        <f>1330.7+(0-824.6)+(-1.357314+(0--0.841092))+0-0-0</f>
        <v>505.583778</v>
      </c>
      <c r="V343" s="3">
        <f>1333.1+(0-807.6)+(0+(0-0))+0-0-0</f>
        <v>525.49999999999989</v>
      </c>
      <c r="W343" s="3">
        <f>1384.9+(0-823.7)+(-2.825196+(0--1.680348))+0-0-0</f>
        <v>560.05515200000002</v>
      </c>
      <c r="X343" s="3">
        <f>1388.9+(40.1-789.6)+(-3.541695+(-0.102255--2.01348))+0-0-0</f>
        <v>637.76953000000015</v>
      </c>
      <c r="Y343" s="3">
        <f>1399.2+(60-813.7)+(-2.140776+(-0.0918--1.244961))+0-0-0</f>
        <v>644.51238499999999</v>
      </c>
      <c r="Z343" s="3">
        <f>1406.6+(68.1-841.3)+(-0.717366+(-0.034731--0.429063))+0-0-0</f>
        <v>633.07696599999997</v>
      </c>
      <c r="AA343" s="3">
        <f>1405.5+(71.6-857.2)+(-1.43361+(-0.073032--0.874344))+0-0-0</f>
        <v>619.26770199999999</v>
      </c>
      <c r="AB343" s="3">
        <f>1395.6+(58-880.2)+(-3.55878+(-0.1479--2.24451))+0-0-0</f>
        <v>571.93782999999985</v>
      </c>
      <c r="AC343" s="3">
        <f>1329.1+(51.2-850.7)+(-2.711364+(-0.104448--1.735428))+0-0-0</f>
        <v>528.51961599999993</v>
      </c>
      <c r="AD343">
        <f t="shared" si="5"/>
        <v>11991.978058999999</v>
      </c>
      <c r="AE343" s="3">
        <f>1379+(52.4-804.4)+(0+(0-0))+0-0-0</f>
        <v>627</v>
      </c>
    </row>
    <row r="344" spans="1:31" s="2" customFormat="1" x14ac:dyDescent="0.25">
      <c r="A344">
        <v>89</v>
      </c>
      <c r="B344">
        <v>12</v>
      </c>
      <c r="C344">
        <v>8</v>
      </c>
      <c r="D344">
        <v>2</v>
      </c>
      <c r="E344">
        <v>1</v>
      </c>
      <c r="F344" s="3">
        <f>1296.3+(13.7-838.6)+(-0.661113+(-0.006987--0.427686))+0-0-0</f>
        <v>471.15958599999999</v>
      </c>
      <c r="G344" s="3">
        <f>1179.5+(8.2-743.9)+(0+(0-0))+0-0-0</f>
        <v>443.80000000000007</v>
      </c>
      <c r="H344" s="3">
        <f>1115.2+(29.6-707)+(-1.706256+(-0.045288--1.08171))+0-0-0</f>
        <v>437.13016600000009</v>
      </c>
      <c r="I344" s="3">
        <f>1113.9+(24.1-710.1)+(-1.704267+(-0.036873--1.086453))+0-0-0</f>
        <v>427.24531300000007</v>
      </c>
      <c r="J344" s="3">
        <f>1115.7+(1.6-730.5)+(-0.569007+(-0.000816--0.372555))+0-0-0</f>
        <v>386.60273200000006</v>
      </c>
      <c r="K344" s="3">
        <f>1123.3+(5.1-721.2)+(0.572883+(0.002601-0.367812))+0-0-0</f>
        <v>407.40767199999993</v>
      </c>
      <c r="L344" s="3">
        <f>1120.3+(22.8-735.9)+(-1.142706+(-0.023256--0.750618))+0-0-0</f>
        <v>406.78465599999993</v>
      </c>
      <c r="M344" s="3">
        <f>1276.6+(8.7-848.4)+(-0.651066+(-0.004437--0.432684))+0-0-0</f>
        <v>436.67718099999996</v>
      </c>
      <c r="N344" s="3">
        <f>1280.8+(0-785.9)+(-1.306416+(0--0.801618))+0-0-0</f>
        <v>494.39520199999998</v>
      </c>
      <c r="O344" s="3">
        <f>1288.3+(0-769.6)+(1.314066+(0-0.784992))+0-0-0</f>
        <v>519.22907399999997</v>
      </c>
      <c r="P344" s="3">
        <f>1282.8+(0-735.7)+(-2.616912+(0--1.500828))+0-0-0</f>
        <v>545.98391599999991</v>
      </c>
      <c r="Q344" s="3">
        <f>1277.9+(2.9-732.3)+(-1.955187+(-0.004437--1.120419))+0-0-0</f>
        <v>547.66079500000012</v>
      </c>
      <c r="R344" s="3">
        <f>1281.7+(6.9-760.2)+(-3.922002+(-0.021114--2.326212))+0-0-0</f>
        <v>526.783096</v>
      </c>
      <c r="S344" s="3">
        <f>1286.5+(2.4-770.7)+(-1.968345+(-0.003672--1.179171))+0-0-0</f>
        <v>517.40715399999988</v>
      </c>
      <c r="T344" s="3">
        <f>1287.6+(11.5-790.7)+(-1.970028+(-0.017595--1.209771))+0-0-0</f>
        <v>507.62214799999987</v>
      </c>
      <c r="U344" s="3">
        <f>1293.7+(25.8-817.3)+(-1.319574+(-0.026316--0.833646))+0-0-0</f>
        <v>501.68775600000004</v>
      </c>
      <c r="V344" s="3">
        <f>1288.2+(41-807.1)+(-3.941892+(-0.12546--2.469726))+0-0-0</f>
        <v>520.50237400000003</v>
      </c>
      <c r="W344" s="3">
        <f>1294.5+(50.9-801.7)+(-1.980585+(-0.077877--1.226601))+0-0-0</f>
        <v>542.86813899999993</v>
      </c>
      <c r="X344" s="3">
        <f>1267.3+(101.3-741.6)+(-1.292646+(-0.103326--0.756432))+0-0-0</f>
        <v>626.36045999999988</v>
      </c>
      <c r="Y344" s="3">
        <f>1092.1+(176-630.1)+(-3.341826+(-0.53856--1.928106))+0-0-0</f>
        <v>636.04771999999991</v>
      </c>
      <c r="Z344" s="3">
        <f>1100.3+(164.7-646.2)+(-1.122306+(-0.167994--0.659124))+0-0-0</f>
        <v>618.16882399999997</v>
      </c>
      <c r="AA344" s="3">
        <f>1090.8+(160.9-662.5)+(-1.668924+(-0.246177--1.013625))+0-0-0</f>
        <v>588.29852399999993</v>
      </c>
      <c r="AB344" s="3">
        <f>1068.4+(149.6-653.4)+(-2.72442+(-0.38148--1.66617))+0-0-0</f>
        <v>563.16027000000008</v>
      </c>
      <c r="AC344" s="3">
        <f>1068.4+(111.4-670.2)+(-2.72442+(-0.28407--1.70901))+0-0-0</f>
        <v>508.30052000000001</v>
      </c>
      <c r="AD344">
        <f t="shared" si="5"/>
        <v>12181.283278000001</v>
      </c>
      <c r="AE344" s="3">
        <f>1326+(101.4-798.7)+(0+(0-0))+0-0-0</f>
        <v>628.69999999999993</v>
      </c>
    </row>
    <row r="345" spans="1:31" s="2" customFormat="1" x14ac:dyDescent="0.25">
      <c r="A345">
        <v>89</v>
      </c>
      <c r="B345">
        <v>12</v>
      </c>
      <c r="C345">
        <v>9</v>
      </c>
      <c r="D345">
        <v>3</v>
      </c>
      <c r="E345">
        <v>1</v>
      </c>
      <c r="F345" s="3">
        <f>1005+(78.1-625.6)+(0+(0-0))+0-0-0</f>
        <v>457.5</v>
      </c>
      <c r="G345" s="3">
        <f>787.8+(93.4-472.2)+(0+(0-0))+0-0-0</f>
        <v>409</v>
      </c>
      <c r="H345" s="3">
        <f>745.2+(96.6-438.1)+(0+(0-0))+0-0-0</f>
        <v>403.70000000000005</v>
      </c>
      <c r="I345" s="3">
        <f>752+(91.1-452.8)+(0+(0-0))+0-0-0</f>
        <v>390.29999999999995</v>
      </c>
      <c r="J345" s="3">
        <f>752.9+(86.9-439.5)+(0+(0-0))+0-0-0</f>
        <v>400.29999999999995</v>
      </c>
      <c r="K345" s="3">
        <f>749.8+(97.9-444)+(0+(0-0))+0-0-0</f>
        <v>403.69999999999993</v>
      </c>
      <c r="L345" s="3">
        <f>758.3+(123.1-471)+(0+(0-0))+0-0-0</f>
        <v>410.4</v>
      </c>
      <c r="M345" s="3">
        <f>761.5+(160.6-491.1)+(0+(0-0))+0-0-0</f>
        <v>431</v>
      </c>
      <c r="N345" s="3">
        <f>1038+(73.1-606.6)+(0+(0-0))+0-0-0</f>
        <v>504.5</v>
      </c>
      <c r="O345" s="3">
        <f>1083.8+(41.1-579.5)+(0+(0-0))+0-0-0</f>
        <v>545.4</v>
      </c>
      <c r="P345" s="3">
        <f>1117.1+(23-577.6)+(-1.139442+(-0.02346--0.589152))+0-0-0</f>
        <v>561.92624999999987</v>
      </c>
      <c r="Q345" s="3">
        <f>1189.8+(3.3-617.8)+(-1.820394+(-0.005049--0.945234))+0-0-0</f>
        <v>574.41979099999992</v>
      </c>
      <c r="R345" s="3">
        <f>1256.9+(0-718.3)+(-2.564076+(0--1.465332))+0-0-0</f>
        <v>537.50125600000013</v>
      </c>
      <c r="S345" s="3">
        <f>1236.5+(0-720.7)+(-2.52246+(0--1.470228))+0-0-0</f>
        <v>514.74776799999995</v>
      </c>
      <c r="T345" s="3">
        <f>1246.3+(0-756.1)+(-0.635613+(0--0.385611))+0-0-0</f>
        <v>489.94999799999994</v>
      </c>
      <c r="U345" s="3">
        <f>1291.1+(0-797.6)+(0+(0-0))+0-0-0</f>
        <v>493.49999999999989</v>
      </c>
      <c r="V345" s="3">
        <f>1298.1+(0-792.4)+(-3.972186+(0--2.424744))+0-0-0</f>
        <v>504.15255799999994</v>
      </c>
      <c r="W345" s="3">
        <f>1305.5+(5.6-784.6)+(-3.329025+(-0.01428--2.00073))+0-0-0</f>
        <v>525.15742499999999</v>
      </c>
      <c r="X345" s="3">
        <f>1309.4+(13.2-714.7)+(-2.671176+(-0.026928--1.457988))+0-0-0</f>
        <v>606.65988400000015</v>
      </c>
      <c r="Y345" s="3">
        <f>1320.2+(49.6-754.8)+(-2.019906+(-0.075888--1.154844))+0-0-0</f>
        <v>614.05905000000007</v>
      </c>
      <c r="Z345" s="3">
        <f>1311.9+(73.7-776.9)+(-4.014414+(-0.225522--2.377314))+0-0-0</f>
        <v>606.83737800000017</v>
      </c>
      <c r="AA345" s="3">
        <f>1318.8+(91.7-818.1)+(-0.672588+(-0.046767--0.417231))+0-0-0</f>
        <v>592.09787599999993</v>
      </c>
      <c r="AB345" s="3">
        <f>1300.7+(77.6-825)+(-2.653428+(-0.158304--1.683))+0-0-0</f>
        <v>552.17126800000005</v>
      </c>
      <c r="AC345" s="3">
        <f>1215+(68-770.8)+(-4.33755+(-0.24276--2.751756))+0-0-0</f>
        <v>510.37144600000005</v>
      </c>
      <c r="AD345">
        <f t="shared" si="5"/>
        <v>12039.351948</v>
      </c>
      <c r="AE345" s="3">
        <f>1327+(27.1-724.8)+(0+(0-0))+0-0-0</f>
        <v>629.30000000000007</v>
      </c>
    </row>
    <row r="346" spans="1:31" s="2" customFormat="1" x14ac:dyDescent="0.25">
      <c r="A346">
        <v>89</v>
      </c>
      <c r="B346">
        <v>12</v>
      </c>
      <c r="C346">
        <v>10</v>
      </c>
      <c r="D346">
        <v>4</v>
      </c>
      <c r="E346">
        <v>1</v>
      </c>
      <c r="F346" s="3">
        <f>959.8+(114.6-629.4)+(-1.957992+(-0.233784--1.283976))+0-0-0</f>
        <v>444.09219999999999</v>
      </c>
      <c r="G346" s="3">
        <f>960.7+(82.3-647.2)+(-1.469871+(-0.125919--0.990216))+0-0-0</f>
        <v>395.19442599999996</v>
      </c>
      <c r="H346" s="3">
        <f>950.4+(56.1-617.8)+(-1.938816+(-0.114444--1.260312))+0-0-0</f>
        <v>387.90705200000002</v>
      </c>
      <c r="I346" s="3">
        <f>943.1+(46.5-617.2)+(-2.404905+(-0.118575--1.57386))+0-0-0</f>
        <v>371.45038</v>
      </c>
      <c r="J346" s="3">
        <f>1160.2+(0-778.4)+(0+(0-0))+0-0-0</f>
        <v>381.80000000000007</v>
      </c>
      <c r="K346" s="3">
        <f>1271.7+(0-872.8)+(-1.945701+(0--1.335384))+0-0-0</f>
        <v>398.28968300000008</v>
      </c>
      <c r="L346" s="3">
        <f>1271.5+(0-869.3)+(-1.945395+(0--1.330029))+0-0-0</f>
        <v>401.58463400000005</v>
      </c>
      <c r="M346" s="3">
        <f>1330.8+(0-901.2)+(0+(0-0))+0-0-0</f>
        <v>429.59999999999991</v>
      </c>
      <c r="N346" s="3">
        <f>1384.5+(8.6-968.2)+(0.706095+(0.004386-0.493782))+0-0-0</f>
        <v>425.11669899999998</v>
      </c>
      <c r="O346" s="3">
        <f>1443.3+(17.8-949.7)+(-0.736083+(-0.009078--0.484347))+0-0-0</f>
        <v>511.13918599999988</v>
      </c>
      <c r="P346" s="3">
        <f>1489.8+(19.5-960)+(0+(0-0))+0-0-0</f>
        <v>549.29999999999995</v>
      </c>
      <c r="Q346" s="3">
        <f>1486.2+(20.2-949.6)+(-1.515924+(-0.020604--0.968592))+0-0-0</f>
        <v>556.23206400000004</v>
      </c>
      <c r="R346" s="3">
        <f>1484.3+(19.6-948.7)+(-3.784965+(-0.04998--2.419185))+0-0-0</f>
        <v>553.78423999999995</v>
      </c>
      <c r="S346" s="3">
        <f>1483.6+(18.9-976.2)+(0.756636+(0.009639-0.497862))+0-0-0</f>
        <v>526.56841299999985</v>
      </c>
      <c r="T346" s="3">
        <f>1482.2+(18.1-977.5)+(-1.511844+(-0.018462--0.99705))+0-0-0</f>
        <v>522.26674400000002</v>
      </c>
      <c r="U346" s="3">
        <f>1482.5+(17.7-993.7)+(0+(0-0))+0-0-0</f>
        <v>506.5</v>
      </c>
      <c r="V346" s="3">
        <f>1446.3+(18.5-945.2)+(-1.475226+(-0.01887--0.964104))+0-0-0</f>
        <v>519.07000799999992</v>
      </c>
      <c r="W346" s="3">
        <f>1428.7+(0-914)+(-1.457274+(0--0.93228))+0-0-0</f>
        <v>514.17500600000005</v>
      </c>
      <c r="X346" s="3">
        <f>1412.4+(16.2-809.8)+(-2.160972+(-0.024786--1.238994))+0-0-0</f>
        <v>617.85323600000015</v>
      </c>
      <c r="Y346" s="3">
        <f>1407+(41.2-814.6)+(-2.15271+(-0.063036--1.246338))+0-0-0</f>
        <v>632.63059199999998</v>
      </c>
      <c r="Z346" s="3">
        <f>1410.1+(30.1-822.7)+(-1.438302+(-0.030702--0.839154))+0-0-0</f>
        <v>616.87014999999985</v>
      </c>
      <c r="AA346" s="3">
        <f>1402.2+(31.2-839.1)+(-2.860488+(-0.063648--1.711764))+0-0-0</f>
        <v>593.08762800000011</v>
      </c>
      <c r="AB346" s="3">
        <f>1396.6+(13.9-843.5)+(-4.273596+(-0.042534--2.58111))+0-0-0</f>
        <v>565.26497999999992</v>
      </c>
      <c r="AC346" s="3">
        <f>1333.2+(0-841.9)+(-1.359864+(0--0.858738))+0-0-0</f>
        <v>490.79887400000007</v>
      </c>
      <c r="AD346">
        <f t="shared" si="5"/>
        <v>11910.576195</v>
      </c>
      <c r="AE346" s="3">
        <f>1406+(50-827)+(0+(0-0))+0-0-0</f>
        <v>629</v>
      </c>
    </row>
    <row r="347" spans="1:31" s="2" customFormat="1" x14ac:dyDescent="0.25">
      <c r="A347">
        <v>89</v>
      </c>
      <c r="B347">
        <v>12</v>
      </c>
      <c r="C347">
        <v>11</v>
      </c>
      <c r="D347">
        <v>5</v>
      </c>
      <c r="E347">
        <v>1</v>
      </c>
      <c r="F347" s="3">
        <f>1290.7+(0-830.2)+(-2.633028+(0--1.693608))+0-0-0</f>
        <v>459.56058000000002</v>
      </c>
      <c r="G347" s="3">
        <f>1134.4+(0-692.4)+(-2.314176+(0--1.412496))+0-0-0</f>
        <v>441.09832000000011</v>
      </c>
      <c r="H347" s="3">
        <f>956.4+(2.6-559.7)+(-0.975528+(-0.002652--0.570894))+0-0-0</f>
        <v>398.89271399999996</v>
      </c>
      <c r="I347" s="3">
        <f>955.1+(0-551.8)+(-0.974202+(0--0.562836))+0-0-0</f>
        <v>402.88863400000008</v>
      </c>
      <c r="J347" s="3">
        <f>965.1+(0-558.3)+(1.476603+(0-0.854199))+0-0-0</f>
        <v>407.42240400000009</v>
      </c>
      <c r="K347" s="3">
        <f>954.5+(4.1-546.8)+(-0.97359+(-0.004182--0.557736))+0-0-0</f>
        <v>411.37996400000009</v>
      </c>
      <c r="L347" s="3">
        <f>961.3+(19.9-567.3)+(0+(0-0))+0-0-0</f>
        <v>413.9</v>
      </c>
      <c r="M347" s="3">
        <f>1025.8+(24.3-610.1)+(0.523158+(0.012393-0.311151))+0-0-0</f>
        <v>440.22439999999989</v>
      </c>
      <c r="N347" s="3">
        <f>1098.9+(47.9-670.6)+(-0.560439+(-0.024429--0.342006))+0-0-0</f>
        <v>475.95713800000004</v>
      </c>
      <c r="O347" s="3">
        <f>1095.8+(37-616.6)+(1.117716+(0.03774-0.628932))+0-0-0</f>
        <v>516.72652399999993</v>
      </c>
      <c r="P347" s="3">
        <f>1086.5+(43.9-582.7)+(-0.554115+(-0.022389--0.297177))+0-0-0</f>
        <v>547.42067299999997</v>
      </c>
      <c r="Q347" s="3">
        <f>1083.2+(39-601.1)+(-1.104864+(-0.03978--0.613122))+0-0-0</f>
        <v>520.56847800000003</v>
      </c>
      <c r="R347" s="3">
        <f>1180.8+(36.9-696.8)+(-1.204416+(-0.037638--0.710736))+0-0-0</f>
        <v>520.36868199999992</v>
      </c>
      <c r="S347" s="3">
        <f>1220.6+(39.8-759.4)+(-0.622506+(-0.020298--0.387294))+0-0-0</f>
        <v>500.74448999999987</v>
      </c>
      <c r="T347" s="3">
        <f>1303.8+(18.4-828.9)+(-1.329876+(-0.018768--0.845478))+0-0-0</f>
        <v>492.79683399999993</v>
      </c>
      <c r="U347" s="3">
        <f>1399+(18.1-916.1)+(1.42698+(0.018462-0.934422))+0-0-0</f>
        <v>501.51101999999997</v>
      </c>
      <c r="V347" s="3">
        <f>1385.7+(18.7-901.1)+(-2.826828+(-0.038148--1.838244))+0-0-0</f>
        <v>502.27326800000009</v>
      </c>
      <c r="W347" s="3">
        <f>1401.1+(0-889.3)+(-2.858244+(0--1.814172))+0-0-0</f>
        <v>510.75592799999993</v>
      </c>
      <c r="X347" s="3">
        <f>1417+(0-814.3)+(-2.89068+(0--1.661172))+0-0-0</f>
        <v>601.47049200000004</v>
      </c>
      <c r="Y347" s="3">
        <f>1419.3+(4.3-805.7)+(-3.619215+(-0.010965--2.054535))+0-0-0</f>
        <v>616.32435499999985</v>
      </c>
      <c r="Z347" s="3">
        <f>1417.2+(0-813.6)+(-4.336632+(0--2.489616))+0-0-0</f>
        <v>601.75298399999997</v>
      </c>
      <c r="AA347" s="3">
        <f>1431.6+(3.5-831.2)+(-0.730116+(-0.001785--0.423912))+0-0-0</f>
        <v>603.59201099999984</v>
      </c>
      <c r="AB347" s="3">
        <f>1362.3+(47.9-854.6)+(-2.779092+(-0.097716--1.743384))+0-0-0</f>
        <v>554.46657599999992</v>
      </c>
      <c r="AC347" s="3">
        <f>1305.4+(10-819.8)+(-3.32877+(-0.0255--2.09049))+0-0-0</f>
        <v>494.33622000000014</v>
      </c>
      <c r="AD347">
        <f t="shared" si="5"/>
        <v>11936.432689000005</v>
      </c>
      <c r="AE347" s="3">
        <f>1428+(0-814.3)+(0+(0-0))+0-0-0</f>
        <v>613.70000000000005</v>
      </c>
    </row>
    <row r="348" spans="1:31" s="2" customFormat="1" x14ac:dyDescent="0.25">
      <c r="A348">
        <v>89</v>
      </c>
      <c r="B348">
        <v>12</v>
      </c>
      <c r="C348">
        <v>12</v>
      </c>
      <c r="D348">
        <v>6</v>
      </c>
      <c r="E348">
        <v>1</v>
      </c>
      <c r="F348" s="3">
        <f>1192.3+(2.4-729.1)+(-3.040365+(-0.00612--1.859205))+0-0-0</f>
        <v>464.41271999999992</v>
      </c>
      <c r="G348" s="3">
        <f>1100.7+(0-666.2)+(-1.684071+(0--1.019286))+0-0-0</f>
        <v>433.83521500000001</v>
      </c>
      <c r="H348" s="3">
        <f>1093.4+(0-675.1)+(-0.557634+(0--0.344301))+0-0-0</f>
        <v>418.08666700000009</v>
      </c>
      <c r="I348" s="3">
        <f>1081+(0-676.9)+(-2.75655+(0--1.726095))+0-0-0</f>
        <v>403.06954500000001</v>
      </c>
      <c r="J348" s="3">
        <f>1106.4+(0-708.7)+(2.82132+(0-1.807185))+0-0-0</f>
        <v>398.71413500000006</v>
      </c>
      <c r="K348" s="3">
        <f>1106.3+(0-703.6)+(1.128426+(0-0.717672))+0-0-0</f>
        <v>403.11075399999993</v>
      </c>
      <c r="L348" s="3">
        <f>1195.6+(0-789)+(-0.609756+(0--0.40239))+0-0-0</f>
        <v>406.39263399999993</v>
      </c>
      <c r="M348" s="3">
        <f>1238.7+(0-804.8)+(0.631737+(0-0.410448))+0-0-0</f>
        <v>434.1212890000001</v>
      </c>
      <c r="N348" s="3">
        <f>1272+(1.3-777.7)+(1.29744+(0.001326-0.793254))+0-0-0</f>
        <v>496.10551199999992</v>
      </c>
      <c r="O348" s="3">
        <f>1277.1+(17.4-781.6)+(0+(0-0))+0-0-0</f>
        <v>512.89999999999986</v>
      </c>
      <c r="P348" s="3">
        <f>1313.2+(18.5-811.9)+(1.339464+(0.01887-0.828138))+0-0-0</f>
        <v>520.33019600000011</v>
      </c>
      <c r="Q348" s="3">
        <f>1311.8+(19.5-807.9)+(0.669018+(0.009945-0.412029))+0-0-0</f>
        <v>523.66693399999997</v>
      </c>
      <c r="R348" s="3">
        <f>1303.7+(19.2-801)+(-1.329774+(-0.019584--0.81702))+0-0-0</f>
        <v>521.36766200000011</v>
      </c>
      <c r="S348" s="3">
        <f>1313.1+(18.3-833.4)+(-4.018086+(-0.055998--2.550204))+0-0-0</f>
        <v>496.47611999999987</v>
      </c>
      <c r="T348" s="3">
        <f>1353.7+(17.8-895.2)+(-2.761548+(-0.036312--1.826208))+0-0-0</f>
        <v>475.32834799999995</v>
      </c>
      <c r="U348" s="3">
        <f>1369.2+(18.2-899.2)+(0+(0-0))+0-0-0</f>
        <v>488.20000000000005</v>
      </c>
      <c r="V348" s="3">
        <f>1362+(18.7-896.2)+(-1.38924+(-0.019074--0.914124))+0-0-0</f>
        <v>484.00581</v>
      </c>
      <c r="W348" s="3">
        <f>1378.8+(20-886.9)+(0.703188+(0.0102-0.452319))+0-0-0</f>
        <v>512.161069</v>
      </c>
      <c r="X348" s="3">
        <f>1375.9+(8.5-764.8)+(-0.701709+(-0.004335--0.390048))+0-0-0</f>
        <v>619.2840040000001</v>
      </c>
      <c r="Y348" s="3">
        <f>1366.4+(33.4-787.4)+(-4.181184+(-0.102204--2.409444))+0-0-0</f>
        <v>610.52605600000004</v>
      </c>
      <c r="Z348" s="3">
        <f>1353.6+(34.1-761.9)+(-1.380672+(-0.034782--0.777138))+0-0-0</f>
        <v>625.16168399999992</v>
      </c>
      <c r="AA348" s="3">
        <f>1252.9+(71.6-723)+(-1.916937+(-0.109548--1.10619))+0-0-0</f>
        <v>600.5797050000001</v>
      </c>
      <c r="AB348" s="3">
        <f>1072.4+(100.3-623)+(-2.73462+(-0.255765--1.58865))+0-0-0</f>
        <v>548.29826500000001</v>
      </c>
      <c r="AC348" s="3">
        <f>950+(83.1-530.7)+(-2.4225+(-0.211905--1.353285))+0-0-0</f>
        <v>501.11887999999999</v>
      </c>
      <c r="AD348">
        <f t="shared" si="5"/>
        <v>11897.253204000001</v>
      </c>
      <c r="AE348" s="3">
        <f>1378+(24.6-800.8)+(0+(0-0))+0-0-0</f>
        <v>601.80000000000007</v>
      </c>
    </row>
    <row r="349" spans="1:31" s="2" customFormat="1" x14ac:dyDescent="0.25">
      <c r="A349">
        <v>89</v>
      </c>
      <c r="B349">
        <v>12</v>
      </c>
      <c r="C349">
        <v>13</v>
      </c>
      <c r="D349">
        <v>7</v>
      </c>
      <c r="E349">
        <v>1</v>
      </c>
      <c r="F349" s="3">
        <f>929.1+(69.1-558.9)+(-2.369205+(-0.176205--1.425195))+0-0-0</f>
        <v>438.17978500000009</v>
      </c>
      <c r="G349" s="3">
        <f>938.2+(13.5-528)+(-1.435446+(-0.020655--0.80784))+0-0-0</f>
        <v>423.05173900000005</v>
      </c>
      <c r="H349" s="3">
        <f>937.6+(1.8-547.4)+(-1.912704+(-0.003672--1.116696))+0-0-0</f>
        <v>391.20031999999998</v>
      </c>
      <c r="I349" s="3">
        <f>950.4+(0-552.1)+(1.454112+(0-0.844713))+0-0-0</f>
        <v>398.90939899999995</v>
      </c>
      <c r="J349" s="3">
        <f>949.3+(0-560.5)+(0.484143+(0-0.285855))+0-0-0</f>
        <v>388.99828799999995</v>
      </c>
      <c r="K349" s="3">
        <f>953.4+(0-553.5)+(0.972468+(0-0.56457))+0-0-0</f>
        <v>400.30789799999997</v>
      </c>
      <c r="L349" s="3">
        <f>935.1+(0-562.6)+(-1.907604+(0--1.147704))+0-0-0</f>
        <v>371.74009999999998</v>
      </c>
      <c r="M349" s="3">
        <f>948+(0-593.8)+(0.48348+(0-0.302838))+0-0-0</f>
        <v>354.38064200000002</v>
      </c>
      <c r="N349" s="3">
        <f>956+(0-584.4)+(0+(0-0))+0-0-0</f>
        <v>371.6</v>
      </c>
      <c r="O349" s="3">
        <f>1016+(11.9-638.6)+(0+(0-0))+0-0-0</f>
        <v>389.29999999999995</v>
      </c>
      <c r="P349" s="3">
        <f>1049+(17.5-604.6)+(0.53499+(0.008925-0.308346))+0-0-0</f>
        <v>462.13556899999998</v>
      </c>
      <c r="Q349" s="3">
        <f>1114+(19.1-638.7)+(0+(0-0))+0-0-0</f>
        <v>494.4</v>
      </c>
      <c r="R349" s="3">
        <f>1175.4+(18.3-675)+(0+(0-0))+0-0-0</f>
        <v>518.70000000000005</v>
      </c>
      <c r="S349" s="3">
        <f>1168.4+(17.5-683.7)+(0+(0-0))+0-0-0</f>
        <v>502.20000000000005</v>
      </c>
      <c r="T349" s="3">
        <f>1178+(17-741.9)+(0+(0-0))+0-0-0</f>
        <v>453.1</v>
      </c>
      <c r="U349" s="3">
        <f>1181.8+(17.6-763.9)+(0+(0-0))+0-0-0</f>
        <v>435.5</v>
      </c>
      <c r="V349" s="3">
        <f>1176.2+(18.3-740.8)+(0+(0-0))+0-0-0</f>
        <v>453.70000000000005</v>
      </c>
      <c r="W349" s="3">
        <f>1207.1+(0-713.1)+(0+(0-0))+0-0-0</f>
        <v>493.99999999999989</v>
      </c>
      <c r="X349" s="3">
        <f>1278.1+(0-736.2)+(0+(0-0))+0-0-0</f>
        <v>541.89999999999986</v>
      </c>
      <c r="Y349" s="3">
        <f>1280.5+(0-716.2)+(0+(0-0))+0-0-0</f>
        <v>564.29999999999995</v>
      </c>
      <c r="Z349" s="3">
        <f>1280.9+(33-774.9)+(0+(0-0))+0-0-0</f>
        <v>539.00000000000011</v>
      </c>
      <c r="AA349" s="3">
        <f>1274+(4.6-725.6)+(0+(0-0))+0-0-0</f>
        <v>553</v>
      </c>
      <c r="AB349" s="3">
        <f>1255.4+(0-729.7)+(0+(0-0))+0-0-0</f>
        <v>525.70000000000005</v>
      </c>
      <c r="AC349" s="3">
        <f>1255.7+(0-793.4)+(0+(0-0))+0-0-0</f>
        <v>462.30000000000007</v>
      </c>
      <c r="AD349">
        <f t="shared" si="5"/>
        <v>10927.603739999999</v>
      </c>
      <c r="AE349" s="3">
        <f>1288+(0-734.7)+(0+(0-0))+0-0-0</f>
        <v>553.29999999999995</v>
      </c>
    </row>
    <row r="350" spans="1:31" s="2" customFormat="1" x14ac:dyDescent="0.25">
      <c r="A350">
        <v>89</v>
      </c>
      <c r="B350">
        <v>12</v>
      </c>
      <c r="C350">
        <v>14</v>
      </c>
      <c r="D350">
        <v>1</v>
      </c>
      <c r="E350">
        <v>1</v>
      </c>
      <c r="F350" s="3">
        <f>1239.4+(8-817.2)+(-1.896282+(-0.01224--1.250316))+0-0-0</f>
        <v>429.54179400000004</v>
      </c>
      <c r="G350" s="3">
        <f>1198.3+(11.3-819.1)+(1.833399+(0.017289-1.253223))+0-0-0</f>
        <v>391.09746499999989</v>
      </c>
      <c r="H350" s="3">
        <f>1182.6+(3.4-805.4)+(0+(0-0))+0-0-0</f>
        <v>380.59999999999991</v>
      </c>
      <c r="I350" s="3">
        <f>1191.2+(0-818.8)+(3.03756+(0-2.08794))+0-0-0</f>
        <v>373.34962000000007</v>
      </c>
      <c r="J350" s="3">
        <f>1195.7+(0-813.2)+(3.658842+(0-2.488392))+0-0-0</f>
        <v>383.67045000000002</v>
      </c>
      <c r="K350" s="3">
        <f>1182.8+(0-780.2)+(0+(0-0))+0-0-0</f>
        <v>402.59999999999991</v>
      </c>
      <c r="L350" s="3">
        <f>1182.2+(0-781.9)+(0+(0-0))+0-0-0</f>
        <v>400.30000000000007</v>
      </c>
      <c r="M350" s="3">
        <f>1221.1+(0-805.7)+(0+(0-0))+0-0-0</f>
        <v>415.39999999999986</v>
      </c>
      <c r="N350" s="3">
        <f>1242.1+(8.3-776.5)+(0+(0-0))+0-0-0</f>
        <v>473.89999999999986</v>
      </c>
      <c r="O350" s="3">
        <f>1254.7+(2.2-720.2)+(0+(0-0))+0-0-0</f>
        <v>536.70000000000005</v>
      </c>
      <c r="P350" s="3">
        <f>1263.8+(0-708.1)+(0+(0-0))+0-0-0</f>
        <v>555.69999999999993</v>
      </c>
      <c r="Q350" s="3">
        <f>1246.3+(0-686.3)+(0+(0-0))+0-0-0</f>
        <v>560</v>
      </c>
      <c r="R350" s="3">
        <f>1240.4+(0-702.6)+(0+(0-0))+0-0-0</f>
        <v>537.80000000000007</v>
      </c>
      <c r="S350" s="3">
        <f>1247.2+(0-739.3)+(0+(0-0))+0-0-0</f>
        <v>507.90000000000009</v>
      </c>
      <c r="T350" s="3">
        <f>1271+(0-776)+(0+(0-0))+0-0-0</f>
        <v>495</v>
      </c>
      <c r="U350" s="3">
        <f>1269.5+(2.7-785)+(0+(0-0))+0-0-0</f>
        <v>487.20000000000005</v>
      </c>
      <c r="V350" s="3">
        <f>1273.4+(3.5-784.9)+(0+(0-0))+0-0-0</f>
        <v>492.00000000000011</v>
      </c>
      <c r="W350" s="3">
        <f>1267.1+(0-771.2)+(0+(0-0))+0-0-0</f>
        <v>495.89999999999986</v>
      </c>
      <c r="X350" s="3">
        <f>1274.8+(9.3-683.3)+(0+(0-0))+0-0-0</f>
        <v>600.79999999999995</v>
      </c>
      <c r="Y350" s="3">
        <f>1279.8+(10-661.6)+(0+(0-0))+0-0-0</f>
        <v>628.19999999999993</v>
      </c>
      <c r="Z350" s="3">
        <f>1295.5+(24.6-697.1)+(0+(0-0))+0-0-0</f>
        <v>623</v>
      </c>
      <c r="AA350" s="3">
        <f>1271.9+(47.2-710.5)+(0+(0-0))+0-0-0</f>
        <v>608.60000000000014</v>
      </c>
      <c r="AB350" s="3">
        <f>1257.7+(37.7-735.7)+(0+(0-0))+0-0-0</f>
        <v>559.70000000000005</v>
      </c>
      <c r="AC350" s="3">
        <f>1250.9+(16.7-746.7)+(0+(0-0))+0-0-0</f>
        <v>520.90000000000009</v>
      </c>
      <c r="AD350">
        <f t="shared" si="5"/>
        <v>11859.859329000001</v>
      </c>
      <c r="AE350" s="3">
        <f>1283+(3-666.7)+(0+(0-0))+0-0-0</f>
        <v>619.29999999999995</v>
      </c>
    </row>
    <row r="351" spans="1:31" s="2" customFormat="1" x14ac:dyDescent="0.25">
      <c r="A351">
        <v>89</v>
      </c>
      <c r="B351">
        <v>12</v>
      </c>
      <c r="C351">
        <v>15</v>
      </c>
      <c r="D351">
        <v>2</v>
      </c>
      <c r="E351">
        <v>1</v>
      </c>
      <c r="F351" s="3">
        <f>1242.2+(4.4-765.2)+(0+(0-0))+0-0-0</f>
        <v>481.4</v>
      </c>
      <c r="G351" s="3">
        <f>968.3+(33-549.4)+(0+(0-0))+0-0-0</f>
        <v>451.9</v>
      </c>
      <c r="H351" s="3">
        <f>881.9+(54.5-523.6)+(0+(0-0))+0-0-0</f>
        <v>412.79999999999995</v>
      </c>
      <c r="I351" s="3">
        <f>865+(52.6-506.1)+(0+(0-0))+0-0-0</f>
        <v>411.5</v>
      </c>
      <c r="J351" s="3">
        <f>876.2+(37-498.5)+(0+(0-0))+0-0-0</f>
        <v>414.70000000000005</v>
      </c>
      <c r="K351" s="3">
        <f>877.6+(37.6-500.3)+(0+(0-0))+0-0-0</f>
        <v>414.90000000000003</v>
      </c>
      <c r="L351" s="3">
        <f>1005.6+(5.2-605.3)+(0+(0-0))+0-0-0</f>
        <v>405.50000000000011</v>
      </c>
      <c r="M351" s="3">
        <f>1217.4+(5.2-776.5)+(0+(0-0))+0-0-0</f>
        <v>446.10000000000014</v>
      </c>
      <c r="N351" s="3">
        <f>1253.7+(11.4-743.7)+(0+(0-0))+0-0-0</f>
        <v>521.4</v>
      </c>
      <c r="O351" s="3">
        <f>1266+(6-740.5)+(0+(0-0))+0-0-0</f>
        <v>531.5</v>
      </c>
      <c r="P351" s="3">
        <f>1261+(10.7-702.2)+(0+(0-0))+0-0-0</f>
        <v>569.5</v>
      </c>
      <c r="Q351" s="3">
        <f>1270+(10.4-703.4)+(0+(0-0))+0-0-0</f>
        <v>577</v>
      </c>
      <c r="R351" s="3">
        <f>1272+(11.5-725.4)+(-2.59488+(-0.02346--1.479816))+0-0-0</f>
        <v>556.96147600000006</v>
      </c>
      <c r="S351" s="3">
        <f>1272+(6.9-725.7)+(-0.64872+(-0.003519--0.370107))+0-0-0</f>
        <v>552.91786799999988</v>
      </c>
      <c r="T351" s="3">
        <f>1272+(16-720.5)+(-1.94616+(-0.02448--1.102365))+0-0-0</f>
        <v>566.63172499999996</v>
      </c>
      <c r="U351" s="3">
        <f>1272+(4-733.9)+(-1.29744+(-0.00408--0.748578))+0-0-0</f>
        <v>541.54705799999999</v>
      </c>
      <c r="V351" s="3">
        <f>1272+(7.6-716.3)+(-1.29744+(-0.007752--0.730626))+0-0-0</f>
        <v>562.72543400000006</v>
      </c>
      <c r="W351" s="3">
        <f>1272+(17.9-711.4)+(-3.89232+(-0.054774--2.176884))+0-0-0</f>
        <v>576.72978999999998</v>
      </c>
      <c r="X351" s="3">
        <f>1272+(55.4-662.7)+(-1.29744+(-0.056508--0.675954))+0-0-0</f>
        <v>664.02200599999992</v>
      </c>
      <c r="Y351" s="3">
        <f>1245.2+(55.9-620.2)+(-3.17526+(-0.142545--1.58151))+0-0-0</f>
        <v>679.16370499999994</v>
      </c>
      <c r="Z351" s="3">
        <f>1247.8+(19.9-588.6)+(-3.18189+(-0.050745--1.50093))+0-0-0</f>
        <v>677.36829499999988</v>
      </c>
      <c r="AA351" s="3">
        <f>1253.2+(24.2-630.7)+(-1.917396+(-0.037026--0.964971))+0-0-0</f>
        <v>645.71054900000001</v>
      </c>
      <c r="AB351" s="3">
        <f>1255.2+(4.8-660.3)+(-0.640152+(-0.002448--0.336753))+0-0-0</f>
        <v>599.39415300000007</v>
      </c>
      <c r="AC351" s="3">
        <f>1239.1+(0-696.7)+(-3.159705+(0--1.776585))+0-0-0</f>
        <v>541.0168799999999</v>
      </c>
      <c r="AD351">
        <f t="shared" si="5"/>
        <v>12802.388938999999</v>
      </c>
      <c r="AE351" s="3">
        <f>1259+(57.5-656.2)+(0+(0-0))+0-0-0</f>
        <v>660.3</v>
      </c>
    </row>
    <row r="352" spans="1:31" s="2" customFormat="1" x14ac:dyDescent="0.25">
      <c r="A352">
        <v>89</v>
      </c>
      <c r="B352">
        <v>12</v>
      </c>
      <c r="C352">
        <v>16</v>
      </c>
      <c r="D352">
        <v>3</v>
      </c>
      <c r="E352">
        <v>1</v>
      </c>
      <c r="F352" s="3">
        <f>1217.7+(0-748.4)+(-1.863081+(0--1.145052))+0-0-0</f>
        <v>468.58197100000007</v>
      </c>
      <c r="G352" s="3">
        <f>1197.1+(0-757.9)+(-2.442084+(0--1.546116))+0-0-0</f>
        <v>438.30403199999995</v>
      </c>
      <c r="H352" s="3">
        <f>1208.8+(0-792.7)+(0.616488+(0-0.404277))+0-0-0</f>
        <v>416.31221099999993</v>
      </c>
      <c r="I352" s="3">
        <f>1206.7+(0-797.5)+(0.615417+(0-0.406725))+0-0-0</f>
        <v>409.40869200000003</v>
      </c>
      <c r="J352" s="3">
        <f>1188.2+(0-785.5)+(-1.211964+(0--0.80121))+0-0-0</f>
        <v>402.28924600000005</v>
      </c>
      <c r="K352" s="3">
        <f>1211.2+(0-780.8)+(3.08856+(0-1.99104))+0-0-0</f>
        <v>431.49752000000007</v>
      </c>
      <c r="L352" s="3">
        <f>1186.6+(0-750.5)+(0+(0-0))+0-0-0</f>
        <v>436.09999999999991</v>
      </c>
      <c r="M352" s="3">
        <f>1196.7+(6.4-764.6)+(0+(0-0))+0-0-0</f>
        <v>438.5</v>
      </c>
      <c r="N352" s="3">
        <f>1188.8+(15.1-722.1)+(0+(0-0))+0-0-0</f>
        <v>481.79999999999995</v>
      </c>
      <c r="O352" s="3">
        <f>1182.6+(12-686.3)+(0+(0-0))+0-0-0</f>
        <v>508.29999999999995</v>
      </c>
      <c r="P352" s="3">
        <f>1171.5+(17.4-656.7)+(0+(0-0))+0-0-0</f>
        <v>532.19999999999993</v>
      </c>
      <c r="Q352" s="3">
        <f>1169.3+(22.1-639.5)+(0+(0-0))+0-0-0</f>
        <v>551.9</v>
      </c>
      <c r="R352" s="3">
        <f>1143.5+(122.1-703)+(0+(0-0))+0-0-0</f>
        <v>562.6</v>
      </c>
      <c r="S352" s="3">
        <f>1154.5+(155.2-750.6)+(-0.588795+(-0.079152--0.382806))+0-0-0</f>
        <v>558.81485899999996</v>
      </c>
      <c r="T352" s="3">
        <f>1153.5+(155.2-755.3)+(-1.17657+(-0.158304--0.770406))+0-0-0</f>
        <v>552.83553200000006</v>
      </c>
      <c r="U352" s="3">
        <f>1165+(156-783.3)+(1.78245+(0.23868-1.198449))+0-0-0</f>
        <v>538.52268100000003</v>
      </c>
      <c r="V352" s="3">
        <f>1097.1+(122.2-684.9)+(-2.238084+(-0.249288--1.397196))+0-0-0</f>
        <v>533.30982399999994</v>
      </c>
      <c r="W352" s="3">
        <f>1158.4+(95-713.7)+(-3.544704+(-0.2907--2.183922))+0-0-0</f>
        <v>538.04851800000006</v>
      </c>
      <c r="X352" s="3">
        <f>1163.3+(15.2-580.4)+(-1.186566+(-0.015504--0.592008))+0-0-0</f>
        <v>597.48993800000005</v>
      </c>
      <c r="Y352" s="3">
        <f>1159.6+(83-581.8)+(-1.774188+(-0.12699--0.890154))+0-0-0</f>
        <v>659.78897599999993</v>
      </c>
      <c r="Z352" s="3">
        <f>1143.4+(89.1-573.1)+(-4.081938+(-0.318087--2.045967))+0-0-0</f>
        <v>657.04594200000008</v>
      </c>
      <c r="AA352" s="3">
        <f>1156+(74-589.2)+(-2.35824+(-0.15096--1.201968))+0-0-0</f>
        <v>639.49276799999996</v>
      </c>
      <c r="AB352" s="3">
        <f>1154.4+(60.4-623.2)+(-1.766232+(-0.092412--0.953496))+0-0-0</f>
        <v>590.69485199999997</v>
      </c>
      <c r="AC352" s="3">
        <f>1148.1+(74.6-681.8)+(-2.927655+(-0.19023--1.73859))+0-0-0</f>
        <v>539.52070500000002</v>
      </c>
      <c r="AD352">
        <f t="shared" si="5"/>
        <v>12483.358267000003</v>
      </c>
      <c r="AE352" s="3">
        <f>1145+(55.4-586.2)+(0+(0-0))+0-0-0</f>
        <v>614.19999999999993</v>
      </c>
    </row>
    <row r="353" spans="1:31" s="2" customFormat="1" x14ac:dyDescent="0.25">
      <c r="A353">
        <v>89</v>
      </c>
      <c r="B353">
        <v>12</v>
      </c>
      <c r="C353">
        <v>17</v>
      </c>
      <c r="D353">
        <v>4</v>
      </c>
      <c r="E353">
        <v>1</v>
      </c>
      <c r="F353" s="3">
        <f>1143.4+(51.7-712.7)+(-2.91567+(-0.131835--1.817385))+0-0-0</f>
        <v>481.16988000000009</v>
      </c>
      <c r="G353" s="3">
        <f>1117.4+(21-705)+(-3.419244+(-0.06426--2.1573))+0-0-0</f>
        <v>432.07379600000007</v>
      </c>
      <c r="H353" s="3">
        <f>1122.5+(10.1-718.8)+(-1.14495+(-0.010302--0.733176))+0-0-0</f>
        <v>413.37792400000006</v>
      </c>
      <c r="I353" s="3">
        <f>1159.3+(11.2-763.6)+(0.591243+(0.005712-0.389436))+0-0-0</f>
        <v>407.10751899999997</v>
      </c>
      <c r="J353" s="3">
        <f>1155.1+(10.5-763.1)+(-0.589101+(-0.005355--0.389181))+0-0-0</f>
        <v>402.29472499999991</v>
      </c>
      <c r="K353" s="3">
        <f>1162.7+(10.7-752.3)+(1.185954+(0.010914-0.767346))+0-0-0</f>
        <v>421.52952200000016</v>
      </c>
      <c r="L353" s="3">
        <f>1148.1+(12.7-734.4)+(-1.171062+(-0.012954--0.749088))+0-0-0</f>
        <v>425.96507199999996</v>
      </c>
      <c r="M353" s="3">
        <f>1156.1+(98-789.3)+(-0.589611+(-0.04998--0.402543))+0-0-0</f>
        <v>464.56295199999994</v>
      </c>
      <c r="N353" s="3">
        <f>1157.1+(93.4-747.3)+(-0.590121+(-0.047634--0.381123))+0-0-0</f>
        <v>502.94336799999991</v>
      </c>
      <c r="O353" s="3">
        <f>1151+(77.7-702.7)+(-1.17402+(-0.079254--0.716754))+0-0-0</f>
        <v>525.46348</v>
      </c>
      <c r="P353" s="3">
        <f>1142+(61-650.5)+(-1.74726+(-0.09333--0.995265))+0-0-0</f>
        <v>551.654675</v>
      </c>
      <c r="Q353" s="3">
        <f>1160+(109.7-681.5)+(-0.5916+(-0.055947--0.347565))+0-0-0</f>
        <v>587.90001800000005</v>
      </c>
      <c r="R353" s="3">
        <f>1151.8+(117.1-722.3)+(-1.174836+(-0.119442--0.736746))+0-0-0</f>
        <v>546.04246799999999</v>
      </c>
      <c r="S353" s="3">
        <f>1175+(118-735.9)+(-1.1985+(-0.12036--0.750618))+0-0-0</f>
        <v>556.53175799999997</v>
      </c>
      <c r="T353" s="3">
        <f>1160.6+(123.8-746.8)+(-1.183812+(-0.126276--0.761736))+0-0-0</f>
        <v>537.05164799999989</v>
      </c>
      <c r="U353" s="3">
        <f>1160.4+(121.3-753.4)+(-0.591804+(-0.061863--0.384234))+0-0-0</f>
        <v>528.03056700000002</v>
      </c>
      <c r="V353" s="3">
        <f>1163.8+(68.1-709.2)+(0+(0-0))+0-0-0</f>
        <v>522.69999999999993</v>
      </c>
      <c r="W353" s="3">
        <f>1146.5+(60.3-664.3)+(-2.923575+(-0.153765--1.693965))+0-0-0</f>
        <v>541.116625</v>
      </c>
      <c r="X353" s="3">
        <f>1254.3+(51.2-689.1)+(-0.639693+(-0.026112--0.351441))+0-0-0</f>
        <v>616.08563600000002</v>
      </c>
      <c r="Y353" s="3">
        <f>1268.6+(44.8-669.1)+(-2.587944+(-0.091392--1.364964))+0-0-0</f>
        <v>642.98562799999979</v>
      </c>
      <c r="Z353" s="3">
        <f>1221.5+(52.4-634.4)+(1.868895+(0.080172-0.970632))+0-0-0</f>
        <v>640.47843499999999</v>
      </c>
      <c r="AA353" s="3">
        <f>1215.3+(62.1-649.2)+(0.619803+(0.031671-0.331092))+0-0-0</f>
        <v>628.52038199999993</v>
      </c>
      <c r="AB353" s="3">
        <f>1203.8+(58.1-675.4)+(-2.455752+(-0.118524--1.377816))+0-0-0</f>
        <v>585.30354</v>
      </c>
      <c r="AC353" s="3">
        <f>1182.6+(67.6-713.9)+(-2.412504+(-0.137904--1.456356))+0-0-0</f>
        <v>535.20594799999992</v>
      </c>
      <c r="AD353">
        <f t="shared" si="5"/>
        <v>12496.095566000004</v>
      </c>
      <c r="AE353" s="3">
        <f>1299+(43.1-709.6)+(0+(0-0))+0-0-0</f>
        <v>632.5</v>
      </c>
    </row>
    <row r="354" spans="1:31" s="2" customFormat="1" x14ac:dyDescent="0.25">
      <c r="A354">
        <v>89</v>
      </c>
      <c r="B354">
        <v>12</v>
      </c>
      <c r="C354">
        <v>18</v>
      </c>
      <c r="D354">
        <v>5</v>
      </c>
      <c r="E354">
        <v>1</v>
      </c>
      <c r="F354" s="3">
        <f>918.2+(71.4-524)+(-1.404846+(-0.109242--0.80172))+0-0-0</f>
        <v>464.887632</v>
      </c>
      <c r="G354" s="3">
        <f>876.7+(31.6-488.4)+(-2.235585+(-0.08058--1.24542))+0-0-0</f>
        <v>418.8292550000001</v>
      </c>
      <c r="H354" s="3">
        <f>888+(12.8-503.8)+(-0.45288+(-0.006528--0.256938))+0-0-0</f>
        <v>396.79752999999999</v>
      </c>
      <c r="I354" s="3">
        <f>878.6+(10.4-498.9)+(-1.792344+(-0.021216--1.017756))+0-0-0</f>
        <v>389.30419600000005</v>
      </c>
      <c r="J354" s="3">
        <f>885.1+(10.7-513.3)+(-0.902802+(-0.010914--0.523566))+0-0-0</f>
        <v>382.10985000000005</v>
      </c>
      <c r="K354" s="3">
        <f>882.7+(10.4-507.5)+(-0.900354+(-0.010608--0.51765))+0-0-0</f>
        <v>385.20668800000004</v>
      </c>
      <c r="L354" s="3">
        <f>892.3+(10.1-519)+(0+(0-0))+0-0-0</f>
        <v>383.4</v>
      </c>
      <c r="M354" s="3">
        <f>1004.8+(10.6-603)+(-0.512448+(-0.005406--0.30753))+0-0-0</f>
        <v>412.18967599999996</v>
      </c>
      <c r="N354" s="3">
        <f>1155.1+(40.3-721)+(1.178202+(0.041106-0.73542))+0-0-0</f>
        <v>474.88388799999984</v>
      </c>
      <c r="O354" s="3">
        <f>1098.2+(83.7-673.3)+(-0.560082+(-0.042687--0.343383))+0-0-0</f>
        <v>508.34061400000013</v>
      </c>
      <c r="P354" s="3">
        <f>1093.7+(70.1-640.8)+(-1.673361+(-0.107253--0.980424))+0-0-0</f>
        <v>522.19981000000007</v>
      </c>
      <c r="Q354" s="3">
        <f>1093+(71.7-629.4)+(-1.67229+(-0.109701--0.962982))+0-0-0</f>
        <v>534.48099100000002</v>
      </c>
      <c r="R354" s="3">
        <f>1090.6+(60.8-628.5)+(-2.78103+(-0.15504--1.602675))+0-0-0</f>
        <v>521.56660499999987</v>
      </c>
      <c r="S354" s="3">
        <f>1102.4+(36.7-609.2)+(-2.248896+(-0.074868--1.242768))+0-0-0</f>
        <v>528.81900400000006</v>
      </c>
      <c r="T354" s="3">
        <f>1092.5+(27.6-609)+(-1.11435+(-0.028152--0.62118))+0-0-0</f>
        <v>510.57867800000002</v>
      </c>
      <c r="U354" s="3">
        <f>1071.1+(51.6-609.2)+(-2.185044+(-0.105264--1.242768))+0-0-0</f>
        <v>512.45245999999986</v>
      </c>
      <c r="V354" s="3">
        <f>1106.5+(57.4-637.6)+(0.564315+(0.029274-0.325176))+0-0-0</f>
        <v>526.56841299999996</v>
      </c>
      <c r="W354" s="3">
        <f>1095.8+(60.8-608.9)+(-2.235432+(-0.124032--1.242156))+0-0-0</f>
        <v>546.58269199999995</v>
      </c>
      <c r="X354" s="3">
        <f>1091.3+(79.6-563.6)+(-1.113126+(-0.081192--0.574872))+0-0-0</f>
        <v>606.68055399999992</v>
      </c>
      <c r="Y354" s="3">
        <f>1078.8+(100.2-552.5)+(-2.75094+(-0.25551--1.408875))+0-0-0</f>
        <v>624.90242499999999</v>
      </c>
      <c r="Z354" s="3">
        <f>1100.2+(103.2-570.8)+(0+(0-0))+0-0-0</f>
        <v>632.60000000000014</v>
      </c>
      <c r="AA354" s="3">
        <f>1087+(98.4-580.6)+(-1.10874+(-0.100368--0.592212))+0-0-0</f>
        <v>604.18310399999996</v>
      </c>
      <c r="AB354" s="3">
        <f>1069.7+(91.2-610)+(-2.727735+(-0.23256--1.5555))+0-0-0</f>
        <v>549.49520500000006</v>
      </c>
      <c r="AC354" s="3">
        <f>1083.9+(65.7-646.4)+(-1.105578+(-0.067014--0.659328))+0-0-0</f>
        <v>502.68673600000017</v>
      </c>
      <c r="AD354">
        <f t="shared" si="5"/>
        <v>11939.746005999999</v>
      </c>
      <c r="AE354" s="3">
        <f>1065+(84-555.7)+(0+(0-0))+0-0-0</f>
        <v>593.29999999999995</v>
      </c>
    </row>
    <row r="355" spans="1:31" s="2" customFormat="1" x14ac:dyDescent="0.25">
      <c r="A355">
        <v>89</v>
      </c>
      <c r="B355">
        <v>12</v>
      </c>
      <c r="C355">
        <v>19</v>
      </c>
      <c r="D355">
        <v>6</v>
      </c>
      <c r="E355">
        <v>1</v>
      </c>
      <c r="F355" s="3">
        <f>1084.3+(9.6-628)+(0+(0-0))+0-0-0</f>
        <v>465.9</v>
      </c>
      <c r="G355" s="3">
        <f>1075.9+(0-650.8)+(0+(0-0))+0-0-0</f>
        <v>425.10000000000014</v>
      </c>
      <c r="H355" s="3">
        <f>905.1+(11.7-509.2)+(0+(0-0))+0-0-0</f>
        <v>407.6</v>
      </c>
      <c r="I355" s="3">
        <f>880.8+(17.3-495.3)+(0+(0-0))+0-0-0</f>
        <v>402.79999999999995</v>
      </c>
      <c r="J355" s="3">
        <f>888.4+(11.6-499.9)+(0+(0-0))+0-0-0</f>
        <v>400.1</v>
      </c>
      <c r="K355" s="3">
        <f>891.7+(3.2-481.1)+(0+(0-0))+0-0-0</f>
        <v>413.8</v>
      </c>
      <c r="L355" s="3">
        <f>877.8+(19.6-489.4)+(0+(0-0))+0-0-0</f>
        <v>408</v>
      </c>
      <c r="M355" s="3">
        <f>920.3+(26.1-509.4)+(0+(0-0))+0-0-0</f>
        <v>437</v>
      </c>
      <c r="N355" s="3">
        <f>1093.2+(0-587.9)+(0+(0-0))+0-0-0</f>
        <v>505.30000000000007</v>
      </c>
      <c r="O355" s="3">
        <f>1081.8+(10.9-553)+(0+(0-0))+0-0-0</f>
        <v>539.69999999999993</v>
      </c>
      <c r="P355" s="3">
        <f>1099.3+(9.6-549.1)+(0+(0-0))+0-0-0</f>
        <v>559.79999999999995</v>
      </c>
      <c r="Q355" s="3">
        <f>1092.1+(8.9-529.5)+(0+(0-0))+0-0-0</f>
        <v>571.49999999999989</v>
      </c>
      <c r="R355" s="3">
        <f>1081.3+(7.7-528.7)+(-2.757315+(-0.019635--1.348185))+0-0-0</f>
        <v>558.87123499999996</v>
      </c>
      <c r="S355" s="3">
        <f>1094.5+(0-559.7)+(1.674585+(0-0.856341))+0-0-0</f>
        <v>535.618244</v>
      </c>
      <c r="T355" s="3">
        <f>1073.5+(0-540.8)+(-1.642455+(0--0.827424))+0-0-0</f>
        <v>531.88496900000007</v>
      </c>
      <c r="U355" s="3">
        <f>1071.6+(0-560.7)+(-1.639548+(0--0.857871))+0-0-0</f>
        <v>510.11832299999986</v>
      </c>
      <c r="V355" s="3">
        <f>1069.4+(3.5-558.8)+(-1.636182+(-0.005355--0.854964))+0-0-0</f>
        <v>513.31342700000016</v>
      </c>
      <c r="W355" s="3">
        <f>1074+(61.2-604.3)+(0+(0-0))+0-0-0</f>
        <v>530.90000000000009</v>
      </c>
      <c r="X355" s="3">
        <f>1088.9+(61.6-543.6)+(-1.110678+(-0.062832--0.554472))+0-0-0</f>
        <v>606.28096200000005</v>
      </c>
      <c r="Y355" s="3">
        <f>1095.2+(86.4-526.2)+(-3.909864+(-0.308448--1.878534))+0-0-0</f>
        <v>653.06022199999995</v>
      </c>
      <c r="Z355" s="3">
        <f>1091.3+(82.9-537.1)+(-2.226252+(-0.169116--1.095684))+0-0-0</f>
        <v>635.80031599999995</v>
      </c>
      <c r="AA355" s="3">
        <f>1088+(71.1-544.5)+(-2.21952+(-0.145044--1.11078))+0-0-0</f>
        <v>613.34621600000003</v>
      </c>
      <c r="AB355" s="3">
        <f>1081.3+(40.5-546.9)+(-2.757315+(-0.103275--1.394595))+0-0-0</f>
        <v>573.43400499999996</v>
      </c>
      <c r="AC355" s="3">
        <f>1083.8+(26.8-586.3)+(-2.210952+(-0.054672--1.196052))+0-0-0</f>
        <v>523.23042799999996</v>
      </c>
      <c r="AD355">
        <f t="shared" si="5"/>
        <v>12322.458347000002</v>
      </c>
      <c r="AE355" s="3">
        <f>1109+(81.5-567.3)+(0+(0-0))+0-0-0</f>
        <v>623.20000000000005</v>
      </c>
    </row>
    <row r="356" spans="1:31" s="2" customFormat="1" x14ac:dyDescent="0.25">
      <c r="A356">
        <v>89</v>
      </c>
      <c r="B356">
        <v>12</v>
      </c>
      <c r="C356">
        <v>20</v>
      </c>
      <c r="D356">
        <v>7</v>
      </c>
      <c r="E356">
        <v>1</v>
      </c>
      <c r="F356" s="3">
        <f>1003.6+(37.4-584.7)+(0+(0-0))+0-0-0</f>
        <v>456.29999999999995</v>
      </c>
      <c r="G356" s="3">
        <f>864.3+(91.1-536.6)+(0+(0-0))+0-0-0</f>
        <v>418.79999999999995</v>
      </c>
      <c r="H356" s="3">
        <f>757.9+(120.4-478)+(0+(0-0))+0-0-0</f>
        <v>400.29999999999995</v>
      </c>
      <c r="I356" s="3">
        <f>747.4+(128.2-491.4)+(0+(0-0))+0-0-0</f>
        <v>384.2</v>
      </c>
      <c r="J356" s="3">
        <f>756.9+(121.5-500.4)+(0+(0-0))+0-0-0</f>
        <v>378</v>
      </c>
      <c r="K356" s="3">
        <f>753.1+(120.5-495.3)+(0+(0-0))+0-0-0</f>
        <v>378.3</v>
      </c>
      <c r="L356" s="3">
        <f>751.9+(114.3-513.8)+(0+(0-0))+0-0-0</f>
        <v>352.40000000000003</v>
      </c>
      <c r="M356" s="3">
        <f>787.3+(114.2-547.9)+(0+(0-0))+0-0-0</f>
        <v>353.59999999999997</v>
      </c>
      <c r="N356" s="3">
        <f>888.3+(120.1-610.4)+(0+(0-0))+0-0-0</f>
        <v>398</v>
      </c>
      <c r="O356" s="3">
        <f>883.3+(148.4-587.8)+(0+(0-0))+0-0-0</f>
        <v>443.9</v>
      </c>
      <c r="P356" s="3">
        <f>888.1+(148.7-554)+(0+(0-0))+0-0-0</f>
        <v>482.8</v>
      </c>
      <c r="Q356" s="3">
        <f>854+(141.5-532)+(0+(0-0))+0-0-0</f>
        <v>463.5</v>
      </c>
      <c r="R356" s="3">
        <f>854+(132-530.8)+(-2.1777+(-0.3366--1.35354))+0-0-0</f>
        <v>454.03924000000006</v>
      </c>
      <c r="S356" s="3">
        <f>879.1+(123.6-546.7)+(-1.793364+(-0.252144--1.115268))+0-0-0</f>
        <v>455.06975999999997</v>
      </c>
      <c r="T356" s="3">
        <f>883.6+(118.6-557)+(-0.901272+(-0.120972--0.56814))+0-0-0</f>
        <v>444.74589600000007</v>
      </c>
      <c r="U356" s="3">
        <f>880.4+(101.3-557.1)+(-1.796016+(-0.206652--1.136484))+0-0-0</f>
        <v>423.73381599999999</v>
      </c>
      <c r="V356" s="3">
        <f>891.3+(95.8-565.7)+(0.909126+(0.097716-0.577014))+0-0-0</f>
        <v>421.82982799999991</v>
      </c>
      <c r="W356" s="3">
        <f>882.9+(98.9-543.9)+(-0.900558+(-0.100878--0.554778))+0-0-0</f>
        <v>437.45334199999996</v>
      </c>
      <c r="X356" s="3">
        <f>886.1+(120.7-491)+(0+(0-0))+0-0-0</f>
        <v>515.79999999999995</v>
      </c>
      <c r="Y356" s="3">
        <f>883.7+(178.8-499.3)+(-2.704122+(-0.547128--1.527858))+0-0-0</f>
        <v>561.47660800000006</v>
      </c>
      <c r="Z356" s="3">
        <f>895.1+(181.4-510.9)+(-0.913002+(-0.185028--0.521118))+0-0-0</f>
        <v>565.02308800000003</v>
      </c>
      <c r="AA356" s="3">
        <f>895.4+(189.2-540)+(-0.456654+(-0.096492--0.2754))+0-0-0</f>
        <v>544.32225399999993</v>
      </c>
      <c r="AB356" s="3">
        <f>897.9+(178.9-548.3)+(-0.915858+(-0.182478--0.559266))+0-0-0</f>
        <v>527.96092999999996</v>
      </c>
      <c r="AC356" s="3">
        <f>890.5+(158.1-557.1)+(-1.81662+(-0.322524--1.136484))+0-0-0</f>
        <v>490.49734000000001</v>
      </c>
      <c r="AD356">
        <f t="shared" si="5"/>
        <v>10752.052102000001</v>
      </c>
      <c r="AE356" s="3">
        <f>873+(177.5-502.1)+(0+(0-0))+0-0-0</f>
        <v>548.4</v>
      </c>
    </row>
    <row r="357" spans="1:31" s="2" customFormat="1" x14ac:dyDescent="0.25">
      <c r="A357">
        <v>89</v>
      </c>
      <c r="B357">
        <v>12</v>
      </c>
      <c r="C357">
        <v>21</v>
      </c>
      <c r="D357">
        <v>1</v>
      </c>
      <c r="E357">
        <v>1</v>
      </c>
      <c r="F357" s="3">
        <f>843.5+(134.3-534)+(-2.150925+(-0.342465--1.3617))+0-0-0</f>
        <v>442.66831000000002</v>
      </c>
      <c r="G357" s="3">
        <f>660.6+(170.2-431.7)+(-0.673812+(-0.173604--0.440334))+0-0-0</f>
        <v>398.69291800000002</v>
      </c>
      <c r="H357" s="3">
        <f>620.1+(166.3-397.5)+(-0.948753+(-0.254439--0.608175))+0-0-0</f>
        <v>388.30498300000005</v>
      </c>
      <c r="I357" s="3">
        <f>629.3+(157.7-403.3)+(0.962829+(0.241281-0.617049))+0-0-0</f>
        <v>384.28706099999994</v>
      </c>
      <c r="J357" s="3">
        <f>622.3+(160.1-405.6)+(-0.317373+(-0.081651--0.206856))+0-0-0</f>
        <v>376.60783199999997</v>
      </c>
      <c r="K357" s="3">
        <f>624+(163.1-403.8)+(0+(0-0))+0-0-0</f>
        <v>383.29999999999995</v>
      </c>
      <c r="L357" s="3">
        <f>661.4+(171.4-444.2)+(-0.337314+(-0.087414--0.226542))+0-0-0</f>
        <v>388.401814</v>
      </c>
      <c r="M357" s="3">
        <f>760+(160.6-487)+(0+(0-0))+0-0-0</f>
        <v>433.6</v>
      </c>
      <c r="N357" s="3">
        <f>958.3+(145.5-607.9)+(0+(0-0))+0-0-0</f>
        <v>495.9</v>
      </c>
      <c r="O357" s="3">
        <f>1031.8+(163.9-658.5)+(0+(0-0))+0-0-0</f>
        <v>537.19999999999993</v>
      </c>
      <c r="P357" s="3">
        <f>1006.3+(208.9-654.8)+(1.026426+(0.213078-0.667896))+0-0-0</f>
        <v>560.97160799999995</v>
      </c>
      <c r="Q357" s="3">
        <f>1018.1+(210.5-658.6)+(-1.038462+(-0.21471--0.671772))+0-0-0</f>
        <v>569.41859999999997</v>
      </c>
      <c r="R357" s="3">
        <f>1014.3+(204.4-664)+(-2.586465+(-0.52122--1.6932))+0-0-0</f>
        <v>553.28551499999992</v>
      </c>
      <c r="S357" s="3">
        <f>1018.6+(219.4-691.4)+(-2.077944+(-0.447576--1.410456))+0-0-0</f>
        <v>545.48493600000006</v>
      </c>
      <c r="T357" s="3">
        <f>1025.6+(185.6-696.3)+(0+(0-0))+0-0-0</f>
        <v>514.9</v>
      </c>
      <c r="U357" s="3">
        <f>1022.3+(173.8-679.5)+(-0.521373+(-0.088638--0.346545))+0-0-0</f>
        <v>516.33653399999992</v>
      </c>
      <c r="V357" s="3">
        <f>1023.7+(180.5-680.6)+(0.522087+(0.092055-0.347106))+0-0-0</f>
        <v>523.86703599999998</v>
      </c>
      <c r="W357" s="3">
        <f>962.9+(152.9-572.6)+(-0.491079+(-0.077979--0.292026))+5.4-0-0</f>
        <v>548.32296799999995</v>
      </c>
      <c r="X357" s="3">
        <f>885.6+(190.3-472.1)+(-0.903312+(-0.194106--0.481542))+0-0-0</f>
        <v>603.184124</v>
      </c>
      <c r="Y357" s="3">
        <f>905.1+(251.2-523.5)+(-0.461601+(-0.128112--0.266985))+0-0-0</f>
        <v>632.47727199999997</v>
      </c>
      <c r="Z357" s="3">
        <f>902.6+(251.8-533.5)+(-0.920652+(-0.256836--0.54417))+0-0-0</f>
        <v>620.26668200000006</v>
      </c>
      <c r="AA357" s="3">
        <f>901.9+(274.5-570.3)+(-1.379907+(-0.419985--0.872559))+0-0-0</f>
        <v>605.17266700000005</v>
      </c>
      <c r="AB357" s="3">
        <f>923.3+(232.7-599.5)+(-3.296181+(-0.830739--2.140215))+0-0-0</f>
        <v>554.51329499999997</v>
      </c>
      <c r="AC357" s="3">
        <f>1040.9+(128.2-650.8)+(-2.123436+(-0.261528--1.327632))+0-0-0</f>
        <v>517.24266800000021</v>
      </c>
      <c r="AD357">
        <f t="shared" si="5"/>
        <v>12094.406822999999</v>
      </c>
      <c r="AE357" s="3">
        <f>880+(230.7-524.1)+(0+(0-0))+0-0-0</f>
        <v>586.59999999999991</v>
      </c>
    </row>
    <row r="358" spans="1:31" s="2" customFormat="1" x14ac:dyDescent="0.25">
      <c r="A358">
        <v>89</v>
      </c>
      <c r="B358">
        <v>12</v>
      </c>
      <c r="C358">
        <v>22</v>
      </c>
      <c r="D358">
        <v>2</v>
      </c>
      <c r="E358">
        <v>1</v>
      </c>
      <c r="F358" s="3">
        <f>978.8+(79.3-617)+(-2.49594+(-0.202215--1.57335))+0-0-0</f>
        <v>439.97519499999993</v>
      </c>
      <c r="G358" s="3">
        <f>948.2+(66.8-618.2)+(-2.901492+(-0.204408--1.891692))+0-0-0</f>
        <v>395.58579199999997</v>
      </c>
      <c r="H358" s="3">
        <f>831.7+(99.2-548.6)+(-1.696668+(-0.202368--1.119144))+0-0-0</f>
        <v>381.52010799999999</v>
      </c>
      <c r="I358" s="3">
        <f>794.1+(108.2-524.3)+(1.214973+(0.165546-0.802179))+0-0-0</f>
        <v>378.57834000000008</v>
      </c>
      <c r="J358" s="3">
        <f>818+(93-525.9)+(-1.25154+(-0.14229--0.804627))+0-0-0</f>
        <v>384.51079700000003</v>
      </c>
      <c r="K358" s="3">
        <f>846.1+(83.5-538.1)+(1.726044+(0.17034-1.097724))+0-0-0</f>
        <v>392.29865999999998</v>
      </c>
      <c r="L358" s="3">
        <f>829.4+(91.1-549.5)+(-2.537964+(-0.278766--1.68147))+0-0-0</f>
        <v>369.86473999999998</v>
      </c>
      <c r="M358" s="3">
        <f>885.1+(65.9-539)+(0.902802+(0.067218-0.54978))+0-0-0</f>
        <v>412.42023999999998</v>
      </c>
      <c r="N358" s="3">
        <f>957.6+(69.7-540.5)+(0.976752+(0.071094-0.55131))+0-0-0</f>
        <v>487.296536</v>
      </c>
      <c r="O358" s="3">
        <f>881.1+(119-484.1)+(0.449361+(0.06069-0.246891))+0-0-0</f>
        <v>516.26315999999997</v>
      </c>
      <c r="P358" s="3">
        <f>902.1+(164.1-523.6)+(0.460071+(0.083691-0.267036))+0-0-0</f>
        <v>542.87672600000008</v>
      </c>
      <c r="Q358" s="3">
        <f>911.7+(150.8-515.2)+(-1.394901+(-0.230724--0.788256))+0-0-0</f>
        <v>546.46263099999999</v>
      </c>
      <c r="R358" s="3">
        <f>959.9+(134.1-562.3)+(0+(0-0))+0-0-0</f>
        <v>531.70000000000005</v>
      </c>
      <c r="S358" s="3">
        <f>993.4+(111-586.1)+(0.506634+(0.05661-0.298911))+0-0-0</f>
        <v>518.56433299999992</v>
      </c>
      <c r="T358" s="3">
        <f>907+(124.7-530)+(-0.92514+(-0.127194--0.5406))+0-0-0</f>
        <v>501.188266</v>
      </c>
      <c r="U358" s="3">
        <f>986+(97.4-575.8)+(0+(0-0))+0-0-0</f>
        <v>507.6</v>
      </c>
      <c r="V358" s="3">
        <f>1073.9+(68.5-632.5)+(-2.738445+(-0.174675--1.612875))+0-0-0</f>
        <v>508.59975500000007</v>
      </c>
      <c r="W358" s="3">
        <f>1085.9+(52.3-637.7)+(0+(0-0))+0-0-0</f>
        <v>500.5</v>
      </c>
      <c r="X358" s="3">
        <f>1088.3+(86.6-565.7)+(-0.555033+(-0.044166--0.288507))+0-0-0</f>
        <v>608.88930799999991</v>
      </c>
      <c r="Y358" s="3">
        <f>1083.4+(128.9-583.7)+(-1.657602+(-0.197217--0.893061))+0-0-0</f>
        <v>627.63824199999999</v>
      </c>
      <c r="Z358" s="3">
        <f>1084.9+(136.7-597.5)+(-1.106598+(-0.139434--0.60945))+0-0-0</f>
        <v>623.46341800000016</v>
      </c>
      <c r="AA358" s="3">
        <f>1081+(152.1-633.2)+(-1.65393+(-0.232713--0.968796))+0-0-0</f>
        <v>598.98215299999993</v>
      </c>
      <c r="AB358" s="3">
        <f>1083.6+(134.2-678.5)+(-1.105272+(-0.136884--0.69207))+0-0-0</f>
        <v>538.74991399999999</v>
      </c>
      <c r="AC358" s="3">
        <f>1040.3+(107.6-656.5)+(-1.591659+(-0.164628--1.004445))+0-0-0</f>
        <v>490.64815799999997</v>
      </c>
      <c r="AD358">
        <f t="shared" si="5"/>
        <v>11804.176471999999</v>
      </c>
      <c r="AE358" s="3">
        <f>1062+(100.6-555.2)+(0+(0-0))+0-0-0</f>
        <v>607.4</v>
      </c>
    </row>
    <row r="359" spans="1:31" s="2" customFormat="1" x14ac:dyDescent="0.25">
      <c r="A359">
        <v>89</v>
      </c>
      <c r="B359">
        <v>12</v>
      </c>
      <c r="C359">
        <v>23</v>
      </c>
      <c r="D359">
        <v>3</v>
      </c>
      <c r="E359">
        <v>1</v>
      </c>
      <c r="F359" s="3">
        <f>996.6+(76.7-656.4)+(-5.08266+(-0.39117--3.34764))+0-0-0</f>
        <v>414.77381000000008</v>
      </c>
      <c r="G359" s="3">
        <f>940.4+(76.2-593.5)+(-2.877624+(-0.233172--1.81611))+0-0-0</f>
        <v>421.80531400000001</v>
      </c>
      <c r="H359" s="3">
        <f>768.5+(169.1-557.9)+(-1.175805+(-0.258723--0.853587))+0-0-0</f>
        <v>379.11905900000005</v>
      </c>
      <c r="I359" s="3">
        <f>748.7+(173-536.6)+(-1.145511+(-0.26469--0.820998))+0-0-0</f>
        <v>384.51079700000003</v>
      </c>
      <c r="J359" s="3">
        <f>756.9+(156.6-553.9)+(0.772038+(0.159732-0.564978))+0-0-0</f>
        <v>359.966792</v>
      </c>
      <c r="K359" s="3">
        <f>907.8+(115.6-657)+(-0.462978+(-0.058956--0.33507))+0-0-0</f>
        <v>366.21313599999996</v>
      </c>
      <c r="L359" s="3">
        <f>996.7+(101.5-709.4)+(-0.508317+(-0.051765--0.361794))+0-0-0</f>
        <v>388.60171200000008</v>
      </c>
      <c r="M359" s="3">
        <f>989.6+(113.4-692.8)+(2.018784+(0.231336-1.413312))+0-0-0</f>
        <v>411.03680800000006</v>
      </c>
      <c r="N359" s="3">
        <f>1102.7+(117.1-769.6)+(0+(0-0))+0-0-0</f>
        <v>450.20000000000005</v>
      </c>
      <c r="O359" s="3">
        <f>1078.6+(189.9-752.2)+(-2.200344+(-0.387396--1.534488))+0-0-0</f>
        <v>515.2467479999998</v>
      </c>
      <c r="P359" s="3">
        <f>1021.1+(263.4-681)+(-2.083044+(-0.537336--1.38924))+0-0-0</f>
        <v>602.26886000000002</v>
      </c>
      <c r="Q359" s="3">
        <f>1028.4+(212.1-686.8)+(-1.573452+(-0.324513--1.050804))+0-0-0</f>
        <v>552.85283900000013</v>
      </c>
      <c r="R359" s="3">
        <f>1116.3+(208.5-741.2)+(-2.277252+(-0.42534--1.512048))+0-0-0</f>
        <v>582.40945599999986</v>
      </c>
      <c r="S359" s="3">
        <f>1145.2+(211.5-817)+(1.168104+(0.21573-0.83334))+0-0-0</f>
        <v>540.250494</v>
      </c>
      <c r="T359" s="3">
        <f>1188.1+(128.7-720.3)+(-1.211862+(-0.131274--0.734706))+0-0-0</f>
        <v>595.89157</v>
      </c>
      <c r="U359" s="3">
        <f>1190.4+(81-768.6)+(0+(0-0))+0-0-0</f>
        <v>502.80000000000007</v>
      </c>
      <c r="V359" s="3">
        <f>1246.8+(64-801.5)+(-2.543472+(-0.13056--1.63506))+0-0-0</f>
        <v>508.26102799999995</v>
      </c>
      <c r="W359" s="3">
        <f>1243.6+(53.3-772)+(-0.634236+(-0.027183--0.39372))+0-0-0</f>
        <v>524.63230099999987</v>
      </c>
      <c r="X359" s="3">
        <f>1344.8+(66.7-801.5)+(-0.685848+(-0.034017--0.408765))+0-0-0</f>
        <v>609.68889999999999</v>
      </c>
      <c r="Y359" s="3">
        <f>1358.5+(91.1-806.4)+(-4.15701+(-0.278766--2.467584))+0-0-0</f>
        <v>641.231808</v>
      </c>
      <c r="Z359" s="3">
        <f>1349.2+(80.3-818)+(-2.064276+(-0.122859--1.25154))+0-0-0</f>
        <v>610.56440499999997</v>
      </c>
      <c r="AA359" s="3">
        <f>1347.3+(62.9-799.1)+(-2.061369+(-0.096237--1.222623))+0-0-0</f>
        <v>610.16501699999992</v>
      </c>
      <c r="AB359" s="3">
        <f>1346+(66.6-838.2)+(-2.74584+(-0.135864--1.709928))+0-0-0</f>
        <v>573.22822399999995</v>
      </c>
      <c r="AC359" s="3">
        <f>1333.8+(34.8-853.3)+(-3.40119+(-0.08874--2.175915))+0-0-0</f>
        <v>513.98598499999991</v>
      </c>
      <c r="AD359">
        <f t="shared" si="5"/>
        <v>12059.705062999998</v>
      </c>
      <c r="AE359" s="3">
        <f>1359+(86.2-806)+(0+(0-0))+0-0-0</f>
        <v>639.20000000000005</v>
      </c>
    </row>
    <row r="360" spans="1:31" s="2" customFormat="1" x14ac:dyDescent="0.25">
      <c r="A360">
        <v>89</v>
      </c>
      <c r="B360">
        <v>12</v>
      </c>
      <c r="C360">
        <v>24</v>
      </c>
      <c r="D360">
        <v>4</v>
      </c>
      <c r="E360">
        <v>1</v>
      </c>
      <c r="F360" s="3">
        <f>1164.4+(24.3-709.8)+(-3.563064+(-0.074358--2.171988))+0-0-0</f>
        <v>477.43456600000007</v>
      </c>
      <c r="G360" s="3">
        <f>1097.6+(15-664.1)+(-2.79888+(-0.03825--1.693455))+0-0-0</f>
        <v>447.35632499999991</v>
      </c>
      <c r="H360" s="3">
        <f>838.9+(70.3-488.6)+(0+(0-0))+0-0-0</f>
        <v>420.59999999999997</v>
      </c>
      <c r="I360" s="3">
        <f>739.7+(95.8-433.2)+(-2.263482+(-0.293148--1.325592))+0-0-0</f>
        <v>401.06896200000006</v>
      </c>
      <c r="J360" s="3">
        <f>757.1+(83.7-452.2)+(1.158363+(0.128061-0.691866))+0-0-0</f>
        <v>389.19455800000003</v>
      </c>
      <c r="K360" s="3">
        <f>743+(87.4-435.2)+(-1.89465+(-0.22287--1.10976))+0-0-0</f>
        <v>394.19224000000003</v>
      </c>
      <c r="L360" s="3">
        <f>746.6+(97.4-458.4)+(-1.142298+(-0.149022--0.701352))+0-0-0</f>
        <v>385.01003200000002</v>
      </c>
      <c r="M360" s="3">
        <f>889.1+(101.8-587.1)+(-0.906882+(-0.103836--0.598842))+0-0-0</f>
        <v>403.388124</v>
      </c>
      <c r="N360" s="3">
        <f>1061.3+(81.8-650.1)+(0+(0-0))+0-0-0</f>
        <v>492.99999999999989</v>
      </c>
      <c r="O360" s="3">
        <f>1107+(98.9-671.3)+(-1.12914+(-0.100878--0.684726))+0-0-0</f>
        <v>534.05470800000001</v>
      </c>
      <c r="P360" s="3">
        <f>1078.4+(95.5-630)+(-0.549984+(-0.048705--0.3213))+0-0-0</f>
        <v>543.62261100000012</v>
      </c>
      <c r="Q360" s="3">
        <f>1089.6+(110.5-614.2)+(-1.667088+(-0.169065--0.939726))+0-0-0</f>
        <v>585.00357299999985</v>
      </c>
      <c r="R360" s="3">
        <f>1089.7+(67.7-602.4)+(-1.111494+(-0.069054--0.614448))+0-0-0</f>
        <v>554.43390000000011</v>
      </c>
      <c r="S360" s="3">
        <f>1089.7+(28.6-569)+(-0.555747+(-0.014586--0.29019))+0-0-0</f>
        <v>549.01985700000012</v>
      </c>
      <c r="T360" s="3">
        <f>1088+(13.5-604.5)+(-0.55488+(-0.006885--0.308295))+0-0-0</f>
        <v>496.74653000000001</v>
      </c>
      <c r="U360" s="3">
        <f>1081.5+(18.3-617.9)+(-1.654695+(-0.027999--0.945387))+0-0-0</f>
        <v>481.16269299999999</v>
      </c>
      <c r="V360" s="3">
        <f>1069.9+(3.1-572.4)+(-4.365192+(-0.012648--2.335392))+0-0-0</f>
        <v>498.55755200000016</v>
      </c>
      <c r="W360" s="3">
        <f>948.4+(10.9-428.7)+(0.483684+(0.005559-0.218637))+0-0-0</f>
        <v>530.87060599999995</v>
      </c>
      <c r="X360" s="3">
        <f>974.5+(15.6-408.6)+(0.496995+(0.007956-0.208386))+0-0-0</f>
        <v>581.79656499999999</v>
      </c>
      <c r="Y360" s="3">
        <f>1057.1+(62.2-481.1)+(-2.156484+(-0.126888--0.981444))+0-0-0</f>
        <v>636.89807199999984</v>
      </c>
      <c r="Z360" s="3">
        <f>1077.8+(73.4-513.5)+(-1.099356+(-0.074868--0.52377))+0-0-0</f>
        <v>637.04954599999996</v>
      </c>
      <c r="AA360" s="3">
        <f>1077.4+(91.2-558.6)+(-1.098948+(-0.093024--0.569772))+0-0-0</f>
        <v>609.37779999999998</v>
      </c>
      <c r="AB360" s="3">
        <f>1077.4+(79.9-566.1)+(-0.549474+(-0.040749--0.288711))+0-0-0</f>
        <v>590.89848800000004</v>
      </c>
      <c r="AC360" s="3">
        <f>1071.3+(78.6-628.2)+(-0.546363+(-0.040086--0.320382))+0-0-0</f>
        <v>521.43393299999991</v>
      </c>
      <c r="AD360">
        <f t="shared" si="5"/>
        <v>12162.171241000002</v>
      </c>
      <c r="AE360" s="3">
        <f>1071+(58.4-518.6)+(0+(0-0))+0-0-0</f>
        <v>610.79999999999995</v>
      </c>
    </row>
    <row r="361" spans="1:31" s="2" customFormat="1" x14ac:dyDescent="0.25">
      <c r="A361">
        <v>89</v>
      </c>
      <c r="B361">
        <v>12</v>
      </c>
      <c r="C361">
        <v>25</v>
      </c>
      <c r="D361">
        <v>5</v>
      </c>
      <c r="E361">
        <v>1</v>
      </c>
      <c r="F361" s="3">
        <f>1067.6+(27.6-609.2)+(-0.544476+(-0.014076--0.310692))+0-0-0</f>
        <v>485.75213999999988</v>
      </c>
      <c r="G361" s="3">
        <f>922.2+(25-505)+(-0.940644+(-0.0255--0.5151))+0-0-0</f>
        <v>441.74895600000002</v>
      </c>
      <c r="H361" s="3">
        <f>797.2+(49.7-451.7)+(-1.626288+(-0.101388--0.921468))+0-0-0</f>
        <v>394.39379200000002</v>
      </c>
      <c r="I361" s="3">
        <f>810.8+(43.5-456.5)+(0.827016+(0.04437-0.46563))+0-0-0</f>
        <v>398.20575599999995</v>
      </c>
      <c r="J361" s="3">
        <f>807.3+(44.4-458.6)+(0+(0-0))+0-0-0</f>
        <v>393.09999999999991</v>
      </c>
      <c r="K361" s="3">
        <f>811.6+(27.2-437.9)+(0.827832+(0.027744-0.446658))+0-0-0</f>
        <v>401.30891800000006</v>
      </c>
      <c r="L361" s="3">
        <f>796+(27.2-432.3)+(-2.0298+(-0.06936--1.102365))+0-0-0</f>
        <v>389.90320499999996</v>
      </c>
      <c r="M361" s="3">
        <f>811.5+(44.5-443.8)+(0.82773+(0.04539-0.452676))+0-0-0</f>
        <v>412.62044399999996</v>
      </c>
      <c r="N361" s="3">
        <f>817.3+(106-482)+(0.416823+(0.05406-0.24582))+0-0-0</f>
        <v>441.52506299999993</v>
      </c>
      <c r="O361" s="3">
        <f>1059.2+(39.9-590.1)+(-1.080384+(-0.040698--0.601902))+0-0-0</f>
        <v>508.48081999999999</v>
      </c>
      <c r="P361" s="3">
        <f>1074.3+(37.1-595.5)+(1.095786+(0.037842-0.60741))+0-0-0</f>
        <v>516.42621799999995</v>
      </c>
      <c r="Q361" s="3">
        <f>1074.1+(11.5-559.1)+(1.643373+(0.017595-0.855423))+0-0-0</f>
        <v>527.30554499999994</v>
      </c>
      <c r="R361" s="3">
        <f>1048.5+(0-551.7)+(-1.604205+(0--0.844101))+0-0-0</f>
        <v>496.03989599999994</v>
      </c>
      <c r="S361" s="3">
        <f>1039.7+(10.3-556.8)+(-0.530247+(-0.005253--0.283968))+0-0-0</f>
        <v>492.94846800000005</v>
      </c>
      <c r="T361" s="3">
        <f>1036.8+(16.5-562.6)+(-1.586304+(-0.025245--0.860778))+0-0-0</f>
        <v>489.94922899999995</v>
      </c>
      <c r="U361" s="3">
        <f>1031.5+(56.5-608)+(-2.10426+(-0.11526--1.24032))+0-0-0</f>
        <v>479.02080000000001</v>
      </c>
      <c r="V361" s="3">
        <f>1031.7+(63.7-610.9)+(-1.052334+(-0.064974--0.623118))+0-0-0</f>
        <v>484.00581000000011</v>
      </c>
      <c r="W361" s="3">
        <f>1018.2+(55.1-575)+(-3.115692+(-0.168606--1.7595))+0-0-0</f>
        <v>496.77520200000009</v>
      </c>
      <c r="X361" s="3">
        <f>1035.2+(71.7-527.5)+(0.527952+(0.036567-0.269025))+0-0-0</f>
        <v>579.69549400000005</v>
      </c>
      <c r="Y361" s="3">
        <f>1060.2+(108.7-524.4)+(-2.70351+(-0.277185--1.33722))+0-0-0</f>
        <v>642.85652500000003</v>
      </c>
      <c r="Z361" s="3">
        <f>1069+(104.1-522.8)+(-1.09038+(-0.106182--0.533256))+0-0-0</f>
        <v>649.63669400000003</v>
      </c>
      <c r="AA361" s="3">
        <f>1058.1+(117.9-541.9)+(-2.698155+(-0.300645--1.381845))+0-0-0</f>
        <v>632.48304499999995</v>
      </c>
      <c r="AB361" s="3">
        <f>1058.3+(102.1-566.4)+(-2.698665+(-0.260355--1.44432))+0-0-0</f>
        <v>592.48530000000005</v>
      </c>
      <c r="AC361" s="3">
        <f>1048.9+(63.7-573.7)+(-2.139756+(-0.129948--1.170348))+0-0-0</f>
        <v>537.80064400000015</v>
      </c>
      <c r="AD361">
        <f t="shared" si="5"/>
        <v>11884.467964000001</v>
      </c>
      <c r="AE361" s="3">
        <f>1092+(107.3-546.2)+(0+(0-0))+0-0-0</f>
        <v>653.09999999999991</v>
      </c>
    </row>
    <row r="362" spans="1:31" s="2" customFormat="1" x14ac:dyDescent="0.25">
      <c r="A362">
        <v>89</v>
      </c>
      <c r="B362">
        <v>12</v>
      </c>
      <c r="C362">
        <v>26</v>
      </c>
      <c r="D362">
        <v>6</v>
      </c>
      <c r="E362">
        <v>1</v>
      </c>
      <c r="F362" s="3">
        <f>1048+(0-568.4)+(-1.60344+(0--0.869652))+0-0-0</f>
        <v>478.86621200000002</v>
      </c>
      <c r="G362" s="3">
        <f>862.9+(0-436.8)+(-0.880158+(0--0.445536))+0-0-0</f>
        <v>425.66537799999998</v>
      </c>
      <c r="H362" s="3">
        <f>855.1+(0-439.5)+(-1.308303+(0--0.672435))+0-0-0</f>
        <v>414.96413200000001</v>
      </c>
      <c r="I362" s="3">
        <f>913.5+(0-516.1)+(0.465885+(0-0.263211))+0-0-0</f>
        <v>397.60267399999998</v>
      </c>
      <c r="J362" s="3">
        <f>910.1+(0-512.4)+(-1.392453+(0--0.783972))+0-0-0</f>
        <v>397.09151900000006</v>
      </c>
      <c r="K362" s="3">
        <f>920.7+(0-520.1)+(-0.469557+(0--0.265251))+0-0-0</f>
        <v>400.39569400000005</v>
      </c>
      <c r="L362" s="3">
        <f>918.4+(0-531.9)+(-1.873536+(0--1.085076))+0-0-0</f>
        <v>385.71154000000001</v>
      </c>
      <c r="M362" s="3">
        <f>946+(7.8-546.1)+(0.48246+(0.003978-0.278511))+0-0-0</f>
        <v>407.90792699999992</v>
      </c>
      <c r="N362" s="3">
        <f>943.5+(64.2-532.8)+(0.481185+(0.032742-0.271728))+0-0-0</f>
        <v>475.14219900000006</v>
      </c>
      <c r="O362" s="3">
        <f>933.5+(96.9-538.9)+(-1.428255+(-0.148257--0.824517))+0-0-0</f>
        <v>490.74800499999998</v>
      </c>
      <c r="P362" s="3">
        <f>1007.5+(39.5-535.4)+(-1.541475+(-0.060435--0.819162))+0-0-0</f>
        <v>510.817252</v>
      </c>
      <c r="Q362" s="3">
        <f>1111.1+(0-563.2)+(-0.566661+(0--0.287232))+0-0-0</f>
        <v>547.62057099999981</v>
      </c>
      <c r="R362" s="3">
        <f>1160.2+(0-628.1)+(-1.775106+(0--0.960993))+0-0-0</f>
        <v>531.285887</v>
      </c>
      <c r="S362" s="3">
        <f>1164.2+(1.6-663.7)+(0+(0-0))+0-0-0</f>
        <v>502.1</v>
      </c>
      <c r="T362" s="3">
        <f>1120+(11.5-649.6)+(-1.7136+(-0.017595--0.993888))+0-0-0</f>
        <v>481.16269299999999</v>
      </c>
      <c r="U362" s="3">
        <f>1096+(8.4-648.5)+(-3.91272+(-0.029988--2.315145))+0-0-0</f>
        <v>454.27243699999997</v>
      </c>
      <c r="V362" s="3">
        <f>1108.7+(0-658.5)+(-1.130874+(0--0.67167))+0-0-0</f>
        <v>449.74079600000005</v>
      </c>
      <c r="W362" s="3">
        <f>1102.3+(0-648.1)+(-2.248692+(0--1.322124))+0-0-0</f>
        <v>453.27343199999996</v>
      </c>
      <c r="X362" s="3">
        <f>1249.5+(0-702.7)+(0+(0-0))+0-0-0</f>
        <v>546.79999999999995</v>
      </c>
      <c r="Y362" s="3">
        <f>1291+(26.4-698.3)+(-2.63364+(-0.053856--1.424532))+0-0-0</f>
        <v>617.83703600000001</v>
      </c>
      <c r="Z362" s="3">
        <f>1299.8+(32.8-703)+(-1.988694+(-0.050184--1.07559))+0-0-0</f>
        <v>628.63671199999987</v>
      </c>
      <c r="AA362" s="3">
        <f>1298.4+(53.6-725.2)+(-0.662184+(-0.027336--0.369852))+0-0-0</f>
        <v>626.48033200000009</v>
      </c>
      <c r="AB362" s="3">
        <f>1308.7+(62.4-770)+(2.002311+(0.095472-1.1781))+0-0-0</f>
        <v>602.01968299999999</v>
      </c>
      <c r="AC362" s="3">
        <f>1232.5+(49.1-738.8)+(-3.142875+(-0.125205--1.88394))+0-0-0</f>
        <v>541.41586000000007</v>
      </c>
      <c r="AD362">
        <f t="shared" si="5"/>
        <v>11767.557970999998</v>
      </c>
      <c r="AE362" s="3">
        <f>1272+(9.4-708.9)+(0+(0-0))+0-0-0</f>
        <v>572.5</v>
      </c>
    </row>
    <row r="363" spans="1:31" s="2" customFormat="1" x14ac:dyDescent="0.25">
      <c r="A363">
        <v>89</v>
      </c>
      <c r="B363">
        <v>12</v>
      </c>
      <c r="C363">
        <v>27</v>
      </c>
      <c r="D363">
        <v>7</v>
      </c>
      <c r="E363">
        <v>1</v>
      </c>
      <c r="F363" s="3">
        <f>1190.2+(1.7-709.2)+(-2.428008+(-0.003468--1.446768))+0-0-0</f>
        <v>481.71529200000003</v>
      </c>
      <c r="G363" s="3">
        <f>1192.8+(0-756.5)+(-1.824984+(0--1.157445))+0-0-0</f>
        <v>435.63246099999998</v>
      </c>
      <c r="H363" s="3">
        <f>1045.3+(0-631.5)+(-0.533103+(0--0.322065))+0-0-0</f>
        <v>413.58896199999998</v>
      </c>
      <c r="I363" s="3">
        <f>914.2+(4.3-524.5)+(-1.398726+(-0.006579--0.802485))+0-0-0</f>
        <v>393.39717999999999</v>
      </c>
      <c r="J363" s="3">
        <f>922.1+(0-533.5)+(0.470271+(0-0.272085))+0-0-0</f>
        <v>388.79818600000004</v>
      </c>
      <c r="K363" s="3">
        <f>914.5+(6.3-533)+(-1.399185+(-0.009639--0.81549))+0-0-0</f>
        <v>387.20666599999993</v>
      </c>
      <c r="L363" s="3">
        <f>924.6+(0-563.1)+(-0.943092+(0--0.574362))+0-0-0</f>
        <v>361.13126999999997</v>
      </c>
      <c r="M363" s="3">
        <f>933.8+(2.3-574.1)+(0+(0-0))+0-0-0</f>
        <v>361.99999999999989</v>
      </c>
      <c r="N363" s="3">
        <f>1009.5+(1.6-592)+(0.514845+(0.000816-0.30192))+0-0-0</f>
        <v>419.31374100000005</v>
      </c>
      <c r="O363" s="3">
        <f>1201.8+(0-744.7)+(-0.612918+(0--0.379797))+0-0-0</f>
        <v>456.86687899999993</v>
      </c>
      <c r="P363" s="3">
        <f>1201.4+(0-706.6)+(-2.450856+(0--1.441464))+0-0-0</f>
        <v>493.79060800000008</v>
      </c>
      <c r="Q363" s="3">
        <f>1203.7+(8.9-713.6)+(-2.455548+(-0.018156--1.455744))+0-0-0</f>
        <v>497.98203999999998</v>
      </c>
      <c r="R363" s="3">
        <f>1213+(2.5-717.8)+(-0.61863+(-0.001275--0.366078))+0-0-0</f>
        <v>497.44617300000004</v>
      </c>
      <c r="S363" s="3">
        <f>1217.7+(2.4-745.7)+(0.621027+(0.001224-0.380307))+0-0-0</f>
        <v>474.64194399999997</v>
      </c>
      <c r="T363" s="3">
        <f>1201.9+(0-743.7)+(-3.064845+(0--1.896435))+0-0-0</f>
        <v>457.03159000000005</v>
      </c>
      <c r="U363" s="3">
        <f>1199.7+(0-759.8)+(-3.059235+(0--1.93749))+0-0-0</f>
        <v>438.77825500000012</v>
      </c>
      <c r="V363" s="3">
        <f>1207.7+(0-773.5)+(-1.847781+(0--1.183455))+0-0-0</f>
        <v>433.53567400000003</v>
      </c>
      <c r="W363" s="3">
        <f>1207.4+(0-772.5)+(-1.231548+(0--0.78795))+0-0-0</f>
        <v>434.45640200000008</v>
      </c>
      <c r="X363" s="3">
        <f>1243.5+(18.2-742.5)+(0+(0-0))+0-0-0</f>
        <v>519.20000000000005</v>
      </c>
      <c r="Y363" s="3">
        <f>1289.6+(77.1-769.6)+(-1.973088+(-0.117963--1.177488))+0-0-0</f>
        <v>596.18643699999996</v>
      </c>
      <c r="Z363" s="3">
        <f>1286.5+(70.6-759.7)+(-1.31223+(-0.072012--0.774894))+0-0-0</f>
        <v>596.79065200000002</v>
      </c>
      <c r="AA363" s="3">
        <f>1280.4+(70.2-749.4)+(-1.306008+(-0.071604--0.764388))+0-0-0</f>
        <v>600.58677600000021</v>
      </c>
      <c r="AB363" s="3">
        <f>1262+(50.9-739.6)+(-2.57448+(-0.103836--1.508784))+0-0-0</f>
        <v>572.13046799999995</v>
      </c>
      <c r="AC363" s="3">
        <f>1235.1+(25.3-738.8)+(-2.519604+(-0.051612--1.507152))+0-0-0</f>
        <v>520.53593599999988</v>
      </c>
      <c r="AD363">
        <f t="shared" si="5"/>
        <v>11232.743592000001</v>
      </c>
      <c r="AE363" s="3">
        <f>1306+(75.2-810.6)+(0+(0-0))+0-0-0</f>
        <v>570.6</v>
      </c>
    </row>
    <row r="364" spans="1:31" s="2" customFormat="1" x14ac:dyDescent="0.25">
      <c r="A364">
        <v>89</v>
      </c>
      <c r="B364">
        <v>12</v>
      </c>
      <c r="C364">
        <v>28</v>
      </c>
      <c r="D364">
        <v>1</v>
      </c>
      <c r="E364">
        <v>6</v>
      </c>
      <c r="F364" s="3">
        <f>1028+(39.7-609.3)+(-2.09712+(-0.080988--1.242972))+0-0-0</f>
        <v>457.46486400000009</v>
      </c>
      <c r="G364" s="3">
        <f>874.6+(63.8-522.4)+(-2.23023+(-0.16269--1.33212))+0-0-0</f>
        <v>414.93920000000008</v>
      </c>
      <c r="H364" s="3">
        <f>885.7+(26.3-516.9)+(0.451707+(0.013413-0.263619))+0-0-0</f>
        <v>395.30150100000009</v>
      </c>
      <c r="I364" s="3">
        <f>870.4+(26.9-515.9)+(-2.21952+(-0.068595--1.315545))+0-0-0</f>
        <v>380.42742999999996</v>
      </c>
      <c r="J364" s="3">
        <f>885.8+(36.8-546)+(0.903516+(0.037536-0.55692))+0-0-0</f>
        <v>376.98413199999999</v>
      </c>
      <c r="K364" s="3">
        <f>910+(48.3-573.7)+(0+(0-0))+0-0-0</f>
        <v>384.59999999999991</v>
      </c>
      <c r="L364" s="3">
        <f>983.9+(27.1-642.9)+(-1.505367+(-0.041463--0.983637))+0-0-0</f>
        <v>367.53680700000001</v>
      </c>
      <c r="M364" s="3">
        <f>1018.5+(37.7-668.7)+(-0.519435+(-0.019227--0.341037))+0-0-0</f>
        <v>387.30237499999998</v>
      </c>
      <c r="N364" s="3">
        <f>1201.8+(30.3-786.2)+(-0.612918+(-0.015453--0.400962))+0-0-0</f>
        <v>445.67259099999984</v>
      </c>
      <c r="O364" s="3">
        <f>1280.5+(31.2-819.3)+(-1.959165+(-0.047736--1.253529))+0-0-0</f>
        <v>491.64662800000008</v>
      </c>
      <c r="P364" s="3">
        <f>1288+(45.2-822.5)+(-0.65688+(-0.023052--0.419475))+0-0-0</f>
        <v>510.43954300000007</v>
      </c>
      <c r="Q364" s="3">
        <f>1278.6+(42.1-798.9)+(-2.608344+(-0.085884--1.629756))+0-0-0</f>
        <v>520.73552799999993</v>
      </c>
      <c r="R364" s="3">
        <f>1281.6+(32.2-797)+(-1.307232+(-0.032844--0.81294))+0-0-0</f>
        <v>516.27286399999991</v>
      </c>
      <c r="S364" s="3">
        <f>1269.8+(16-786.5)+(0+(0-0))+0-0-0</f>
        <v>499.29999999999995</v>
      </c>
      <c r="T364" s="3">
        <f>1277.5+(0-789.8)+(0.651525+(0-0.402798))+0-0-0</f>
        <v>487.94872700000002</v>
      </c>
      <c r="U364" s="3">
        <f>1246.9+(7.1-793.5)+(-0.635919+(-0.003621--0.404685))+0-0-0</f>
        <v>460.26514500000013</v>
      </c>
      <c r="V364" s="3">
        <f>1139.2+(39.6-731.5)+(-2.90496+(-0.10098--1.865325))+0-0-0</f>
        <v>446.15938500000004</v>
      </c>
      <c r="W364" s="3">
        <f>1116.4+(28.3-685.1)+(-2.277456+(-0.057732--1.397604))+0-0-0</f>
        <v>458.66241600000001</v>
      </c>
      <c r="X364" s="3">
        <f>1195.5+(47.5-694.8)+(-0.609705+(-0.024225--0.354348))+0-0-0</f>
        <v>547.92041800000004</v>
      </c>
      <c r="Y364" s="3">
        <f>1305.3+(59.1-736.8)+(-1.331406+(-0.060282--0.751536))+0-0-0</f>
        <v>626.95984800000008</v>
      </c>
      <c r="Z364" s="3">
        <f>1174.2+(101.8-659.6)+(-0.598842+(-0.051918--0.336396))+0-0-0</f>
        <v>616.08563600000002</v>
      </c>
      <c r="AA364" s="3">
        <f>1120.5+(133-658.6)+(-1.714365+(-0.20349--1.007658))+0-0-0</f>
        <v>593.98980299999994</v>
      </c>
      <c r="AB364" s="3">
        <f>1118.8+(122.5-668.4)+(-1.711764+(-0.187425--1.022652))+0-0-0</f>
        <v>572.02346299999999</v>
      </c>
      <c r="AC364" s="3">
        <f>1100.9+(89.8-637.1)+(-1.684377+(-0.137394--0.974763))+0-0-0</f>
        <v>552.75299200000006</v>
      </c>
      <c r="AD364">
        <f t="shared" si="5"/>
        <v>11511.391296</v>
      </c>
      <c r="AE364" s="3">
        <f>1304+(58.4-776.7)+(0+(0-0))+0-0-0</f>
        <v>585.69999999999993</v>
      </c>
    </row>
    <row r="365" spans="1:31" s="2" customFormat="1" x14ac:dyDescent="0.25">
      <c r="A365">
        <v>89</v>
      </c>
      <c r="B365">
        <v>12</v>
      </c>
      <c r="C365">
        <v>29</v>
      </c>
      <c r="D365">
        <v>2</v>
      </c>
      <c r="E365">
        <v>2</v>
      </c>
      <c r="F365" s="3">
        <f>1082.5+(32.2-638.5)+(-1.656225+(-0.049266--0.976905))+0-0-0</f>
        <v>475.47141400000004</v>
      </c>
      <c r="G365" s="3">
        <f>1068.4+(0-639.3)+(-1.634652+(0--0.978129))+0-0-0</f>
        <v>428.44347700000014</v>
      </c>
      <c r="H365" s="3">
        <f>1031.8+(0-635.2)+(-2.104872+(0--1.295808))+0-0-0</f>
        <v>395.79093599999993</v>
      </c>
      <c r="I365" s="3">
        <f>879.5+(22.3-548.9)+(0.448545+(0.011373-0.279939))+0-0-0</f>
        <v>353.07997899999998</v>
      </c>
      <c r="J365" s="3">
        <f>854.2+(31.6-530.1)+(1.306926+(0.048348-0.811053))+0-0-0</f>
        <v>356.24422100000004</v>
      </c>
      <c r="K365" s="3">
        <f>843.7+(38.3-520.8)+(-0.860574+(-0.039066--0.531216))+0-0-0</f>
        <v>360.8315760000001</v>
      </c>
      <c r="L365" s="3">
        <f>838.9+(33.2-530.7)+(-1.283517+(-0.050796--0.811971))+0-0-0</f>
        <v>340.87765799999994</v>
      </c>
      <c r="M365" s="3">
        <f>848.9+(19.6-521.6)+(1.731756+(0.039984-1.064064))+0-0-0</f>
        <v>347.60767599999997</v>
      </c>
      <c r="N365" s="3">
        <f>1056.7+(0-657.8)+(0+(0-0))+0-0-0</f>
        <v>398.90000000000009</v>
      </c>
      <c r="O365" s="3">
        <f>1225.6+(0-773.9)+(-1.250112+(0--0.789378))+0-0-0</f>
        <v>451.23926599999993</v>
      </c>
      <c r="P365" s="3">
        <f>1220.8+(0-751.6)+(-2.490432+(0--1.533264))+0-0-0</f>
        <v>468.24283199999991</v>
      </c>
      <c r="Q365" s="3">
        <f>1224+(0-749)+(-1.87272+(0--1.14597))+0-0-0</f>
        <v>474.27325000000002</v>
      </c>
      <c r="R365" s="3">
        <f>1227.7+(0-762.4)+(-1.878381+(0--1.166472))+0-0-0</f>
        <v>464.58809100000008</v>
      </c>
      <c r="S365" s="3">
        <f>1195.6+(0-750.4)+(-3.04878+(0--1.91352))+0-0-0</f>
        <v>444.06473999999992</v>
      </c>
      <c r="T365" s="3">
        <f>1114.3+(0-690.4)+(-2.273172+(0--1.408416))+0-0-0</f>
        <v>423.03524399999998</v>
      </c>
      <c r="U365" s="3">
        <f>1062.2+(0-642.4)+(-1.625166+(0--0.982872))+0-0-0</f>
        <v>419.15770600000008</v>
      </c>
      <c r="V365" s="3">
        <f>916.7+(24.5-504.1)+(0.467517+(0.012495-0.257091))+0-0-0</f>
        <v>437.32292100000001</v>
      </c>
      <c r="W365" s="3">
        <f>895.2+(40.5-471.3)+(0+(0-0))+0-0-0</f>
        <v>464.40000000000003</v>
      </c>
      <c r="X365" s="3">
        <f>1009.2+(44.8-498.8)+(0.514692+(0.022848-0.254388))+0-0-0</f>
        <v>555.48315200000002</v>
      </c>
      <c r="Y365" s="3">
        <f>1173.2+(43.1-602.3)+(-2.99166+(-0.109905--1.535865))+0-0-0</f>
        <v>612.43430000000012</v>
      </c>
      <c r="Z365" s="3">
        <f>1170+(33.9-594)+(-1.7901+(-0.051867--0.90882))+0-0-0</f>
        <v>608.96685300000001</v>
      </c>
      <c r="AA365" s="3">
        <f>1195.7+(35.5-626.5)+(-1.219614+(-0.03621--0.63903))+0-0-0</f>
        <v>604.08320600000002</v>
      </c>
      <c r="AB365" s="3">
        <f>1243.2+(17.6-680.6)+(-0.634032+(-0.008976--0.347106))+0-0-0</f>
        <v>579.90409800000009</v>
      </c>
      <c r="AC365" s="3">
        <f>1231.5+(0-679.8)+(-2.51226+(0--1.386792))+0-0-0</f>
        <v>550.57453200000009</v>
      </c>
      <c r="AD365">
        <f t="shared" si="5"/>
        <v>11015.017128</v>
      </c>
      <c r="AE365" s="3">
        <f>1177+(45.7-643.7)+(0+(0-0))+0-0-0</f>
        <v>579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89</v>
      </c>
      <c r="B1">
        <v>1</v>
      </c>
      <c r="C1">
        <v>1</v>
      </c>
      <c r="D1">
        <v>2</v>
      </c>
      <c r="E1">
        <v>2</v>
      </c>
      <c r="F1" s="3">
        <f>7+(208.1-22.1)+(0+(0-0))+0-9-0</f>
        <v>184</v>
      </c>
      <c r="G1" s="3">
        <f>7+(205.1-30.3)+(0+(0-0))+0-9-0</f>
        <v>172.79999999999998</v>
      </c>
      <c r="H1" s="3">
        <f>7+(197.3-28.4)+(0+(0-0))+0-9-0</f>
        <v>166.9</v>
      </c>
      <c r="I1" s="3">
        <f>7+(199.8-32.6)+(-0.00357+(-0.101898--0.016626))+0-11--0.00560999999999888</f>
        <v>163.11676800000001</v>
      </c>
      <c r="J1" s="3">
        <f>7+(209.2-40.6)+(-0.01785+(-0.53346--0.10353))+0-12--0.0305999999999983</f>
        <v>163.18281999999999</v>
      </c>
      <c r="K1" s="3">
        <f>7+(190.4-22.9)+(-0.00357+(-0.097104--0.011679))+0-9--0.00458999999999909</f>
        <v>165.415595</v>
      </c>
      <c r="L1" s="3">
        <f>7+(185.5-27)+(-0.01785+(-0.473025--0.06885))+0-15--0.0382499999999978</f>
        <v>150.11622500000001</v>
      </c>
      <c r="M1" s="3">
        <f>7+(195.7-38.2)+(0.01071+(0.299421-0.058446))+0-17-0.026010000000001</f>
        <v>147.725675</v>
      </c>
      <c r="N1" s="3">
        <f>7+(163.5-0)+(0+(0-0))+0-18-0</f>
        <v>152.5</v>
      </c>
      <c r="O1" s="3">
        <f>7+(170.7-0)+(-0.01428+(-0.348228-0))+0-20--0.0407999999999991</f>
        <v>157.37829199999999</v>
      </c>
      <c r="P1" s="3">
        <f>7+(171.6-0)+(-0.01785+(-0.43758-0))+0-11--0.0280499999999984</f>
        <v>167.17261999999999</v>
      </c>
      <c r="Q1" s="3">
        <f>7+(175.9-0)+(-0.00714+(-0.179418-0))+0-24--0.0244800000000038</f>
        <v>158.73792200000003</v>
      </c>
      <c r="R1" s="3">
        <f>7+(175.1-0)+(-0.00714+(-0.178602-0))+0-20--0.0204000000000032</f>
        <v>161.93465799999998</v>
      </c>
      <c r="S1" s="3">
        <f>7+(172.9-0)+(0+(0-0))+0-25-0</f>
        <v>154.9</v>
      </c>
      <c r="T1" s="3">
        <f>7+(175.1-0)+(-0.01071+(-0.267903-0))+0-30--0.0459000000000017</f>
        <v>151.86728699999998</v>
      </c>
      <c r="U1" s="3">
        <f>7+(172.3-0)+(-0.01071+(-0.263619-0))+0-30--0.0459000000000017</f>
        <v>149.07157100000001</v>
      </c>
      <c r="V1" s="3">
        <f>7+(214.4-34.3)+(-0.01071+(-0.328032--0.052479))+0-30--0.0459000000000017</f>
        <v>156.85963700000002</v>
      </c>
      <c r="W1" s="3">
        <f>7+(298-101.2)+(-0.00714+(-0.30396--0.103224))+0-30--0.0306000000000048</f>
        <v>173.62272400000001</v>
      </c>
      <c r="X1" s="3">
        <f>7+(262-38.4)+(-0.00357+(-0.13362--0.019584))+0-30--0.015299999999997</f>
        <v>200.497694</v>
      </c>
      <c r="Y1" s="3">
        <f>7+(244.2-13.3)+(0+(0-0))+0-30-0</f>
        <v>207.89999999999998</v>
      </c>
      <c r="Z1" s="3">
        <f>7+(232.2-2.4)+(-0.00357+(-0.118422--0.001224))+0-30--0.015299999999997</f>
        <v>206.69453199999998</v>
      </c>
      <c r="AA1" s="3">
        <f>7+(226.5-0)+(-0.01785+(-0.577575-0))+0-30--0.0764999999999956</f>
        <v>202.98107499999998</v>
      </c>
      <c r="AB1" s="3">
        <f>7+(268.9-45.9)+(-0.00714+(-0.274278--0.046818))+0-30--0.0306000000000048</f>
        <v>199.79599999999996</v>
      </c>
      <c r="AC1" s="3">
        <f>7+(260-47.1)+(-0.02499+(-0.9282--0.168147))+0-30--0.1071</f>
        <v>189.22205700000001</v>
      </c>
      <c r="AD1">
        <f t="shared" ref="AD1:AD64" si="0">SUM(F1:AC1)</f>
        <v>4104.3931520000006</v>
      </c>
      <c r="AE1" s="3">
        <f>7+(231-0)+(0+(0-0))+0-28-0</f>
        <v>210</v>
      </c>
    </row>
    <row r="2" spans="1:31" s="2" customFormat="1" x14ac:dyDescent="0.25">
      <c r="A2">
        <v>89</v>
      </c>
      <c r="B2">
        <v>1</v>
      </c>
      <c r="C2">
        <v>2</v>
      </c>
      <c r="D2">
        <v>3</v>
      </c>
      <c r="E2">
        <v>2</v>
      </c>
      <c r="F2" s="3">
        <f>(G2+AC1)/2</f>
        <v>170.41722849999999</v>
      </c>
      <c r="G2" s="3">
        <f>7+(201-26)+(-0.01785+(-0.51255--0.0663))+0-30--0.0764999999999956</f>
        <v>151.61239999999998</v>
      </c>
      <c r="H2" s="3">
        <f>7+(204.9-17)+(-0.02142+(-0.626994--0.05202))+0-30--0.0918000000000035</f>
        <v>164.39540600000001</v>
      </c>
      <c r="I2" s="3">
        <f>7+(245.1-53.9)+(-0.00714+(-0.250002--0.054978))+0-30--0.0306000000000048</f>
        <v>168.02843599999997</v>
      </c>
      <c r="J2" s="3">
        <f>7+(268-75.1)+(0+(0-0))+0-30-0</f>
        <v>169.9</v>
      </c>
      <c r="K2" s="3">
        <f>7+(273-78.2)+(0.00714+(0.27846-0.079764))+0-30-0.0306000000000048</f>
        <v>171.97523600000002</v>
      </c>
      <c r="L2" s="3">
        <f>7+(271.3-77)+(0.00357+(0.138363-0.03927))+0-31-0.0158099999999969</f>
        <v>170.38685300000003</v>
      </c>
      <c r="M2" s="3">
        <f>7+(227.9-47.8)+(-0.01785+(-0.581145--0.12189))+0-31--0.0790499999999955</f>
        <v>155.70194500000002</v>
      </c>
      <c r="N2" s="3">
        <f>7+(228.9-51.7)+(-0.00714+(-0.233478--0.052734))+0-31--0.0316200000000049</f>
        <v>153.043736</v>
      </c>
      <c r="O2" s="3">
        <f>7+(245-57.5)+(-0.00714+(-0.2499--0.05865))+0-31--0.0316200000000049</f>
        <v>163.33323000000001</v>
      </c>
      <c r="P2" s="3">
        <f>0+(262.6-65.4)+(0+(-0.267852--0.066708))+0-31--0.0316200000000049</f>
        <v>166.03047600000002</v>
      </c>
      <c r="Q2" s="3">
        <f>0+(270.1-68.7)+(0+(-0.413253--0.105111))+0-31--0.0474300000000018</f>
        <v>170.13928800000002</v>
      </c>
      <c r="R2" s="3">
        <f>0+(304.4-103)+(0+(0-0))+0-30-0</f>
        <v>171.39999999999998</v>
      </c>
      <c r="S2" s="3">
        <f>0+(278.9-81)+(0+(-0.711195--0.20655))+0-30--0.0764999999999956</f>
        <v>167.47185499999995</v>
      </c>
      <c r="T2" s="3">
        <f>0+(258.8-64.3)+(0+(-0.131988--0.032793))+0-30--0.015299999999997</f>
        <v>164.41610499999999</v>
      </c>
      <c r="U2" s="3">
        <f>0+(214.2-25.2)+(0+(-0.109242--0.012852))+0-29--0.0147899999999971</f>
        <v>159.91839999999999</v>
      </c>
      <c r="V2" s="3">
        <f>0+(230.8-38.3)+(0+(-0.353124--0.058599))+0-31--0.0474300000000018</f>
        <v>161.252905</v>
      </c>
      <c r="W2" s="3">
        <f>0+(234.4-39.4)+(0+(-0.239088--0.040188))+0-30--0.0306000000000048</f>
        <v>164.83169999999998</v>
      </c>
      <c r="X2" s="3">
        <f>0+(291.5-86.9)+(0+(0-0))+0-30-0</f>
        <v>174.6</v>
      </c>
      <c r="Y2" s="3">
        <f>0+(251.6-16.4)+(0+(-0.128316--0.008364))+0-30--0.015299999999997</f>
        <v>205.09534799999997</v>
      </c>
      <c r="Z2" s="3">
        <f>0+(248.1-0)+(0+(-0.506124-0))+0-31--0.0632399999999986</f>
        <v>216.657116</v>
      </c>
      <c r="AA2" s="3">
        <f>0+(245.8-0)+(0+(-0.250716-0))+0-30--0.0306000000000048</f>
        <v>215.57988399999999</v>
      </c>
      <c r="AB2" s="3">
        <f>0+(253-9.9)+(0+(-0.38709--0.015147))+0-31--0.0474300000000018</f>
        <v>211.775487</v>
      </c>
      <c r="AC2" s="3">
        <f>0+(236.9-0)+(0+(-0.362457-0))+0-31--0.0474300000000018</f>
        <v>205.58497299999999</v>
      </c>
      <c r="AD2">
        <f t="shared" si="0"/>
        <v>4193.5480074999987</v>
      </c>
      <c r="AE2" s="3">
        <f>0+(250-0)+(0+(0-0))+0-30-0</f>
        <v>220</v>
      </c>
    </row>
    <row r="3" spans="1:31" s="2" customFormat="1" x14ac:dyDescent="0.25">
      <c r="A3">
        <v>89</v>
      </c>
      <c r="B3">
        <v>1</v>
      </c>
      <c r="C3">
        <v>3</v>
      </c>
      <c r="D3">
        <v>4</v>
      </c>
      <c r="E3">
        <v>2</v>
      </c>
      <c r="F3" s="3">
        <f>0+(237.1-13.3)+(0+(-0.483684--0.027132))+0-17--0.0346799999999993</f>
        <v>206.378128</v>
      </c>
      <c r="G3" s="3">
        <f>0+(243.2-33.5)+(0+(-0.372096--0.051255))+0-31--0.0474300000000018</f>
        <v>178.42658899999998</v>
      </c>
      <c r="H3" s="3">
        <f>0+(254.5-48.4)+(0+(-0.77877--0.148104))+0-31--0.0948600000000036</f>
        <v>174.56419400000001</v>
      </c>
      <c r="I3" s="3">
        <f>0+(220.7-20.2)+(0+(-0.225114--0.020604))+0-31--0.0316200000000049</f>
        <v>169.32711</v>
      </c>
      <c r="J3" s="3">
        <f>0+(220.3-19.3)+(0+(-0.337059--0.029529))+0-31--0.0474300000000018</f>
        <v>169.73989999999998</v>
      </c>
      <c r="K3" s="3">
        <f>0+(231.3-30.3)+(0+(-0.117963--0.015453))+0-31--0.0158099999999969</f>
        <v>169.91329999999999</v>
      </c>
      <c r="L3" s="3">
        <f>0+(237.4-36.8)+(0+(-0.484296--0.075072))+0-31--0.0632399999999986</f>
        <v>169.25401600000004</v>
      </c>
      <c r="M3" s="3">
        <f>0+(207-20.2)+(0+(-0.31671--0.030906))+0-31--0.0474300000000018</f>
        <v>155.56162599999999</v>
      </c>
      <c r="N3" s="3">
        <f>0+(219.3-30.8)+(0+(0.111843-0.015708))+0-31-0.0158099999999969</f>
        <v>157.58032500000002</v>
      </c>
      <c r="O3" s="3">
        <f>0+(243.5-51.6)+(0+(0-0))+0-31-0</f>
        <v>160.9</v>
      </c>
      <c r="P3" s="3">
        <f>0+(270.1-67.7)+(0+(0.137751-0.034527))+0-31-0.0158099999999969</f>
        <v>171.48741400000006</v>
      </c>
      <c r="Q3" s="3">
        <f>0+(248.8-47.8)+(0+(-0.126888--0.024378))+0-31--0.0158099999999969</f>
        <v>169.91329999999999</v>
      </c>
      <c r="R3" s="3">
        <f>0+(206.4-9)+(0+(-0.210528--0.00918))+0-30--0.0306000000000048</f>
        <v>167.229252</v>
      </c>
      <c r="S3" s="3">
        <f>0+(199.2-0)+(0+(-0.101592-0))+0-30--0.015299999999997</f>
        <v>169.11370799999997</v>
      </c>
      <c r="T3" s="3">
        <f>0+(196.9-0)+(0+(0-0))+0-30-0</f>
        <v>166.9</v>
      </c>
      <c r="U3" s="3">
        <f>0+(195.5-0)+(0+(-0.299115-0))+0-31--0.0474300000000018</f>
        <v>164.24831499999999</v>
      </c>
      <c r="V3" s="3">
        <f>0+(196-0)+(0+(-0.19992-0))+0-31--0.0316200000000049</f>
        <v>164.83170000000001</v>
      </c>
      <c r="W3" s="3">
        <f>0+(197.3-1)+(0+(-0.201246--0.00102))+0-30--0.0306000000000048</f>
        <v>166.13037400000002</v>
      </c>
      <c r="X3" s="3">
        <f>0+(237.3-39.4)+(0+(0-0))+0-30-0</f>
        <v>167.9</v>
      </c>
      <c r="Y3" s="3">
        <f>0+(291.8-48.3)+(0+(0-0))+0-30-0</f>
        <v>213.5</v>
      </c>
      <c r="Z3" s="3">
        <f>0+(251.2-0)+(0+(-0.512448-0))+0-31--0.0632399999999986</f>
        <v>219.75079199999999</v>
      </c>
      <c r="AA3" s="3">
        <f>0+(247.2-0)+(0+(0-0))+0-31-0</f>
        <v>216.2</v>
      </c>
      <c r="AB3" s="3">
        <f>0+(237-0)+(0+(-0.12087-0))+0-31--0.0158099999999969</f>
        <v>205.89493999999999</v>
      </c>
      <c r="AC3" s="3">
        <f>0+(235.8-0)+(0+(-0.240516-0))+0-28--0.0285600000000045</f>
        <v>207.588044</v>
      </c>
      <c r="AD3">
        <f t="shared" si="0"/>
        <v>4282.3330269999997</v>
      </c>
      <c r="AE3" s="3">
        <f>0+(266-0)+(0+(0-0))+0-31-0</f>
        <v>235</v>
      </c>
    </row>
    <row r="4" spans="1:31" s="2" customFormat="1" x14ac:dyDescent="0.25">
      <c r="A4">
        <v>89</v>
      </c>
      <c r="B4">
        <v>1</v>
      </c>
      <c r="C4">
        <v>4</v>
      </c>
      <c r="D4">
        <v>5</v>
      </c>
      <c r="E4">
        <v>2</v>
      </c>
      <c r="F4" s="3">
        <f>0+(224.8-0)+(0+(-0.229296-0))+0-31--0.0316200000000049</f>
        <v>193.60232400000001</v>
      </c>
      <c r="G4" s="3">
        <f>0+(320.3-104.6)+(0+(-0.653412--0.213384))+0-31--0.0632399999999986</f>
        <v>184.32321200000001</v>
      </c>
      <c r="H4" s="3">
        <f>0+(287.3-81.8)+(0+(-0.439569--0.125154))+0-27--0.0413100000000016</f>
        <v>178.22689500000001</v>
      </c>
      <c r="I4" s="3">
        <f>0+(256.6-59.7)+(0+(0.261732-0.060894))+0-27-0.0275400000000043</f>
        <v>170.07329800000002</v>
      </c>
      <c r="J4" s="3">
        <f>0+(260.6-58)+(0+(-0.132906--0.02958))+0-27--0.0137699999999973</f>
        <v>175.51044400000001</v>
      </c>
      <c r="K4" s="3">
        <f>0+(277.2-73.5)+(0+(0.141372-0.037485))+0-31-0.0158099999999969</f>
        <v>172.78807699999999</v>
      </c>
      <c r="L4" s="3">
        <f>0+(265-62.3)+(0+(-0.13515--0.031773))+0-31--0.0158099999999969</f>
        <v>171.61243299999998</v>
      </c>
      <c r="M4" s="3">
        <f>0+(222.1-33.8)+(0+(-0.226542--0.034476))+0-31--0.0316200000000049</f>
        <v>157.139554</v>
      </c>
      <c r="N4" s="3">
        <f>0+(260.8-68.9)+(0+(0-0))+0-31-0</f>
        <v>160.9</v>
      </c>
      <c r="O4" s="3">
        <f>0+(272.8-75.3)+(0+(0.139128-0.038403))+0-31-0.0158099999999969</f>
        <v>166.58491500000002</v>
      </c>
      <c r="P4" s="3">
        <f>0+(271.1-66.9)+(0+(-0.553044--0.136476))+0-31--0.0632399999999986</f>
        <v>172.84667200000001</v>
      </c>
      <c r="Q4" s="3">
        <f>0+(250.5-46.2)+(0+(-0.25551--0.047124))+0-31--0.0316200000000049</f>
        <v>173.12323400000002</v>
      </c>
      <c r="R4" s="3">
        <f>0+(202.6-0)+(0+(0-0))+0-31-0</f>
        <v>171.6</v>
      </c>
      <c r="S4" s="3">
        <f>0+(224.7-22.7)+(0+(0.114597-0.011577))+0-32-0.0163199999999968</f>
        <v>170.08669999999998</v>
      </c>
      <c r="T4" s="3">
        <f>0+(213.4-13.7)+(0+(-0.217668--0.013974))+0-30--0.0306000000000048</f>
        <v>169.526906</v>
      </c>
      <c r="U4" s="3">
        <f>0+(233.6-35.8)+(0+(-0.357408--0.054774))+0-32--0.0489600000000018</f>
        <v>165.54632599999999</v>
      </c>
      <c r="V4" s="3">
        <f>0+(240.2-39.9)+(0+(0-0))+0-28-0</f>
        <v>172.29999999999998</v>
      </c>
      <c r="W4" s="3">
        <f>0+(280.9-72.5)+(0+(-0.143259--0.036975))+0-32--0.0163199999999968</f>
        <v>176.310036</v>
      </c>
      <c r="X4" s="3">
        <f>0+(278.6-60.2)+(0+(-0.142086--0.030702))+0-31--0.0158099999999969</f>
        <v>187.30442600000003</v>
      </c>
      <c r="Y4" s="3">
        <f>0+(259.9-11.6)+(0+(-0.132549--0.005916))+0-31--0.0158099999999969</f>
        <v>217.18917699999997</v>
      </c>
      <c r="Z4" s="3">
        <f>0+(346.6-85.8)+(0+(-0.707064--0.175032))+0-31--0.0632399999999986</f>
        <v>229.331208</v>
      </c>
      <c r="AA4" s="3">
        <f>0+(334.5-73.5)+(0+(-0.34119--0.07497))+0-31--0.0316200000000049</f>
        <v>229.76540000000003</v>
      </c>
      <c r="AB4" s="3">
        <f>0+(293-37.2)+(0+(0-0))+0-31-0</f>
        <v>224.8</v>
      </c>
      <c r="AC4" s="3">
        <f>0+(287.1-43)+(0+(-0.292842--0.04386))+0-31--0.0316200000000049</f>
        <v>212.88263800000001</v>
      </c>
      <c r="AD4">
        <f t="shared" si="0"/>
        <v>4403.3738750000002</v>
      </c>
      <c r="AE4" s="3">
        <f>0+(334-87)+(0+(0-0))+0-31-0</f>
        <v>216</v>
      </c>
    </row>
    <row r="5" spans="1:31" s="2" customFormat="1" x14ac:dyDescent="0.25">
      <c r="A5">
        <v>89</v>
      </c>
      <c r="B5">
        <v>1</v>
      </c>
      <c r="C5">
        <v>5</v>
      </c>
      <c r="D5">
        <v>6</v>
      </c>
      <c r="E5">
        <v>6</v>
      </c>
      <c r="F5" s="3">
        <f>0+(262.3-31.1)+(0+(-0.668865--0.079305))+0-31--0.0790499999999955</f>
        <v>199.68949000000001</v>
      </c>
      <c r="G5" s="3">
        <f>0+(224.5-4.5)+(0+(-0.343485--0.006885))+0-31--0.0474300000000018</f>
        <v>188.71082999999999</v>
      </c>
      <c r="H5" s="3">
        <f>0+(252.7-43.4)+(0+(-0.257754--0.044268))+0-31--0.0316200000000049</f>
        <v>178.118134</v>
      </c>
      <c r="I5" s="3">
        <f>0+(216.5-12.5)+(0+(-0.110415--0.006375))+0-31--0.0158099999999969</f>
        <v>172.91176999999999</v>
      </c>
      <c r="J5" s="3">
        <f>0+(248-42.2)+(0+(-0.12648--0.021522))+0-31--0.0158099999999969</f>
        <v>174.71085199999999</v>
      </c>
      <c r="K5" s="3">
        <f>0+(263.7-56.4)+(0+(-0.134487--0.028764))+0-31--0.0158099999999969</f>
        <v>176.21008699999996</v>
      </c>
      <c r="L5" s="3">
        <f>0+(205-0)+(0+(-0.4182-0))+0-31--0.0632399999999986</f>
        <v>173.64503999999999</v>
      </c>
      <c r="M5" s="3">
        <f>0+(201.6-4.6)+(0+(0.102816-0.002346))+0-31-0.0158099999999969</f>
        <v>166.08466000000001</v>
      </c>
      <c r="N5" s="3">
        <f>0+(233.8-31.3)+(0+(0.119238-0.015963))+0-31-0.0158099999999969</f>
        <v>171.58746500000001</v>
      </c>
      <c r="O5" s="3">
        <f>0+(269.9-60.2)+(0+(0.137649-0.030702))+0-31-0.0158099999999969</f>
        <v>178.79113699999999</v>
      </c>
      <c r="P5" s="3">
        <f>0+(308.1-94.8)+(0+(0-0))+0-31-0</f>
        <v>182.3</v>
      </c>
      <c r="Q5" s="3">
        <f>0+(313.5-95.8)+(0+(0.31977-0.097716))+0-31-0.0316200000000049</f>
        <v>186.890434</v>
      </c>
      <c r="R5" s="3">
        <f>0+(261.6-47.1)+(0+(-0.133416--0.024021))+0-31--0.0158099999999969</f>
        <v>183.40641500000001</v>
      </c>
      <c r="S5" s="3">
        <f>0+(207.9-0)+(0+(-0.212058-0))+0-31--0.0316200000000049</f>
        <v>176.719562</v>
      </c>
      <c r="T5" s="3">
        <f>0+(200.2-0)+(0+(0.102102-0))+0-31-0.0158099999999969</f>
        <v>169.286292</v>
      </c>
      <c r="U5" s="3">
        <f>0+(205.9-0)+(0+(-0.210018-0))+0-31--0.0316200000000049</f>
        <v>174.72160200000002</v>
      </c>
      <c r="V5" s="3">
        <f>0+(203.1-0)+(0+(0-0))+0-31-0</f>
        <v>172.1</v>
      </c>
      <c r="W5" s="3">
        <f>0+(209.9-0)+(0+(-0.321147-0))+0-31--0.0474300000000018</f>
        <v>178.626283</v>
      </c>
      <c r="X5" s="3">
        <f>0+(218.3-0)+(0+(-0.445332-0))+0-31--0.0632399999999986</f>
        <v>186.91790800000001</v>
      </c>
      <c r="Y5" s="3">
        <f>0+(249.4-0)+(0+(-0.254388-0))+0-31--0.0316200000000049</f>
        <v>218.177232</v>
      </c>
      <c r="Z5" s="3">
        <f>0+(283.8-21)+(0+(-0.434214--0.03213))+0-31--0.0474300000000018</f>
        <v>231.445346</v>
      </c>
      <c r="AA5" s="3">
        <f>0+(283.8-26.8)+(0+(0-0))+0-31-0</f>
        <v>226</v>
      </c>
      <c r="AB5" s="3">
        <f>0+(257.9-5.2)+(0+(-0.131529--0.002652))+0-31--0.0158099999999969</f>
        <v>221.58693299999999</v>
      </c>
      <c r="AC5" s="3">
        <f>0+(301.2-57.6)+(0+(-0.307224--0.058752))+0-31--0.0316200000000049</f>
        <v>212.38314800000001</v>
      </c>
      <c r="AD5">
        <f t="shared" si="0"/>
        <v>4501.0206199999993</v>
      </c>
      <c r="AE5" s="3">
        <f>0+(293-31)+(0+(0-0))+0-30-0</f>
        <v>232</v>
      </c>
    </row>
    <row r="6" spans="1:31" s="2" customFormat="1" x14ac:dyDescent="0.25">
      <c r="A6">
        <v>89</v>
      </c>
      <c r="B6">
        <v>1</v>
      </c>
      <c r="C6">
        <v>6</v>
      </c>
      <c r="D6">
        <v>7</v>
      </c>
      <c r="E6">
        <v>1</v>
      </c>
      <c r="F6" s="3">
        <f>0+(270.3-41.5)+(0+(-0.137853--0.021165))+0-12--0.00611999999999878</f>
        <v>216.68943200000001</v>
      </c>
      <c r="G6" s="3">
        <f>0+(251.9-35.3)+(0+(-0.256938--0.036006))+0-30--0.0306000000000048</f>
        <v>186.40966800000001</v>
      </c>
      <c r="H6" s="3">
        <f>0+(229.8-20.6)+(0+(-0.351594--0.031518))+0-30--0.0459000000000017</f>
        <v>178.92582400000001</v>
      </c>
      <c r="I6" s="3">
        <f>0+(209.1-0)+(0+(0-0))+0-30-0</f>
        <v>179.1</v>
      </c>
      <c r="J6" s="3">
        <f>0+(213.1-4.5)+(0+(-0.326043--0.006885))+0-30--0.0459000000000017</f>
        <v>178.326742</v>
      </c>
      <c r="K6" s="3">
        <f>0+(226.4-15.4)+(0+(0-0))+0-30-0</f>
        <v>181</v>
      </c>
      <c r="L6" s="3">
        <f>0+(206.9-0)+(0+(0.316557-0))+0-31-0.0474300000000018</f>
        <v>176.169127</v>
      </c>
      <c r="M6" s="3">
        <f>0+(195.7-0)+(0+(-0.598842-0))+0-30--0.0918000000000035</f>
        <v>165.192958</v>
      </c>
      <c r="N6" s="3">
        <f>0+(198.9-0)+(0+(0.202878-0))+0-30-0.0306000000000048</f>
        <v>169.07227800000001</v>
      </c>
      <c r="O6" s="3">
        <f>0+(212.4-6.8)+(0+(0-0))+0-30-0</f>
        <v>175.6</v>
      </c>
      <c r="P6" s="3">
        <f>0+(216.1-5.8)+(0+(0-0))+0-29-0</f>
        <v>181.29999999999998</v>
      </c>
      <c r="Q6" s="3">
        <f>0+(209.1-0)+(0+(0.213282-0))+0-31-0.0316200000000049</f>
        <v>178.28166199999998</v>
      </c>
      <c r="R6" s="3">
        <f>0+(208.2-0)+(0+(0-0))+0-31-0</f>
        <v>177.2</v>
      </c>
      <c r="S6" s="3">
        <f>0+(212.8-2.8)+(0+(-0.325584--0.004284))+0-31--0.0474300000000018</f>
        <v>178.72612999999998</v>
      </c>
      <c r="T6" s="3">
        <f>0+(205.9-0)+(0+(-0.315027-0))+0-31--0.0474300000000018</f>
        <v>174.63240300000001</v>
      </c>
      <c r="U6" s="3">
        <f>0+(204.2-0)+(0+(-0.312426-0))+0-31--0.0474300000000018</f>
        <v>172.93500399999999</v>
      </c>
      <c r="V6" s="3">
        <f>0+(204.1-0)+(0+(-0.312273-0))+0-31--0.0474300000000018</f>
        <v>172.83515699999998</v>
      </c>
      <c r="W6" s="3">
        <f>0+(212.9-2.7)+(0+(0-0))+0-31-0</f>
        <v>179.20000000000002</v>
      </c>
      <c r="X6" s="3">
        <f>0+(215.8-0)+(0+(-0.330174-0))+0-31--0.0474300000000018</f>
        <v>184.517256</v>
      </c>
      <c r="Y6" s="3">
        <f>0+(250-0)+(0+(-0.3825-0))+0-31--0.0474300000000018</f>
        <v>218.66493</v>
      </c>
      <c r="Z6" s="3">
        <f>0+(282-19.2)+(0+(-0.57528--0.039168))+0-31--0.0632399999999986</f>
        <v>231.32712800000002</v>
      </c>
      <c r="AA6" s="3">
        <f>0+(257.8-0)+(0+(-0.262956-0))+0-31--0.0316200000000049</f>
        <v>226.56866400000004</v>
      </c>
      <c r="AB6" s="3">
        <f>0+(252.4-0)+(0+(-0.128724-0))+0-31--0.0158099999999969</f>
        <v>221.28708599999999</v>
      </c>
      <c r="AC6" s="3">
        <f>0+(244.6-0)+(0+(0-0))+0-31-0</f>
        <v>213.6</v>
      </c>
      <c r="AD6">
        <f t="shared" si="0"/>
        <v>4517.5614489999998</v>
      </c>
      <c r="AE6" s="3">
        <f>0+(282-24)+(0+(0-0))+0-31-0</f>
        <v>227</v>
      </c>
    </row>
    <row r="7" spans="1:31" s="2" customFormat="1" x14ac:dyDescent="0.25">
      <c r="A7">
        <v>89</v>
      </c>
      <c r="B7">
        <v>1</v>
      </c>
      <c r="C7">
        <v>7</v>
      </c>
      <c r="D7">
        <v>1</v>
      </c>
      <c r="E7">
        <v>1</v>
      </c>
      <c r="F7" s="3">
        <f>0+(232.7-0)+(0+(-0.118677-0))+0-31--0.0158099999999969</f>
        <v>201.59713299999999</v>
      </c>
      <c r="G7" s="3">
        <f>0+(246.3-26.9)+(0+(-0.376839--0.041157))+0-30--0.0459000000000017</f>
        <v>189.110218</v>
      </c>
      <c r="H7" s="3">
        <f>0+(217.6-3.4)+(0+(0-0))+0-31-0</f>
        <v>183.2</v>
      </c>
      <c r="I7" s="3">
        <f>0+(221.9-8.4)+(0+(-0.452676--0.017136))+0-30--0.0611999999999987</f>
        <v>183.12565999999998</v>
      </c>
      <c r="J7" s="3">
        <f>0+(215.5-0)+(0+(0.109905-0))+0-31-0.0158099999999969</f>
        <v>184.59409500000001</v>
      </c>
      <c r="K7" s="3">
        <f>0+(215.9-0)+(0+(-0.110109-0))+0-30--0.015299999999997</f>
        <v>185.80519100000001</v>
      </c>
      <c r="L7" s="3">
        <f>0+(215.8-0)+(0+(-0.220116-0))+0-31--0.0316200000000049</f>
        <v>184.61150400000002</v>
      </c>
      <c r="M7" s="3">
        <f>0+(236.8-20.7)+(0+(-0.483072--0.042228))+0-30--0.0611999999999987</f>
        <v>185.72035600000001</v>
      </c>
      <c r="N7" s="3">
        <f>0+(283.7-54.2)+(0+(0.289374-0.055284))+0-31-0.0316200000000049</f>
        <v>198.70247000000001</v>
      </c>
      <c r="O7" s="3">
        <f>0+(307-64.8)+(0+(-0.15657--0.033048))+0-30--0.015299999999997</f>
        <v>212.09177799999998</v>
      </c>
      <c r="P7" s="3">
        <f>0+(331-84)+(0+(0-0))+0-31-0</f>
        <v>216</v>
      </c>
      <c r="Q7" s="3">
        <f>0+(329.1-68.1)+(0+(-0.335682--0.069462))+0-30--0.0306000000000048</f>
        <v>230.76438000000002</v>
      </c>
      <c r="R7" s="3">
        <f>0+(331.1-68.5)+(0+(-0.168861--0.034935))+0-31--0.0158099999999969</f>
        <v>231.48188400000004</v>
      </c>
      <c r="S7" s="3">
        <f>0+(336.1-79.5)+(0+(-0.514233--0.121635))+0-31--0.0474300000000018</f>
        <v>225.25483199999999</v>
      </c>
      <c r="T7" s="3">
        <f>0+(307.7-56.5)+(0+(-0.627708--0.11526))+0-31--0.0632399999999986</f>
        <v>219.75079199999999</v>
      </c>
      <c r="U7" s="3">
        <f>0+(281.5-31.3)+(0+(-0.28713--0.031926))+0-31--0.0316200000000049</f>
        <v>218.976416</v>
      </c>
      <c r="V7" s="3">
        <f>0+(269.5-16.9)+(0+(-0.687225--0.043095))+0-31--0.0790499999999955</f>
        <v>221.03492</v>
      </c>
      <c r="W7" s="3">
        <f>0+(258.2-0)+(0+(0-0))+0-31-0</f>
        <v>227.2</v>
      </c>
      <c r="X7" s="3">
        <f>0+(270.4-0)+(0+(-0.413712-0))+0-31--0.0474300000000018</f>
        <v>239.03371799999999</v>
      </c>
      <c r="Y7" s="3">
        <f>0+(292.7-0)+(0+(0-0))+0-31-0</f>
        <v>261.7</v>
      </c>
      <c r="Z7" s="3">
        <f>0+(294.1-0)+(0+(-0.299982-0))+0-31--0.0316200000000049</f>
        <v>262.83163800000005</v>
      </c>
      <c r="AA7" s="3">
        <f>0+(288.4-0)+(0+(-0.294168-0))+0-31--0.0316200000000049</f>
        <v>257.137452</v>
      </c>
      <c r="AB7" s="3">
        <f>0+(280.2-0)+(0+(-0.142902-0))+0-31--0.0158099999999969</f>
        <v>249.07290799999998</v>
      </c>
      <c r="AC7" s="3">
        <f>0+(270.4-0)+(0+(-0.137904-0))+0-31--0.0158099999999969</f>
        <v>239.27790599999997</v>
      </c>
      <c r="AD7">
        <f t="shared" si="0"/>
        <v>5208.0752510000002</v>
      </c>
      <c r="AE7" s="3">
        <f>0+(292-0)+(0+(0-0))+0-32-0</f>
        <v>260</v>
      </c>
    </row>
    <row r="8" spans="1:31" s="2" customFormat="1" x14ac:dyDescent="0.25">
      <c r="A8">
        <v>89</v>
      </c>
      <c r="B8">
        <v>1</v>
      </c>
      <c r="C8">
        <v>8</v>
      </c>
      <c r="D8">
        <v>2</v>
      </c>
      <c r="E8">
        <v>1</v>
      </c>
      <c r="F8" s="3">
        <f>0+(249.7-0)+(0+(-0.509388-0))+0-31--0.0632399999999986</f>
        <v>218.25385199999999</v>
      </c>
      <c r="G8" s="3">
        <f>0+(240.7-0)+(0+(-0.368271-0))+0-31--0.0474300000000018</f>
        <v>209.37915899999999</v>
      </c>
      <c r="H8" s="3">
        <f>0+(234-0)+(0+(-0.47736-0))+0-31--0.0632399999999986</f>
        <v>202.58588</v>
      </c>
      <c r="I8" s="3">
        <f>0+(228.5-0)+(0+(-0.23307-0))+0-31--0.0316200000000049</f>
        <v>197.29855000000001</v>
      </c>
      <c r="J8" s="3">
        <f>0+(234.4-8.8)+(0+(0-0))+0-31-0</f>
        <v>194.6</v>
      </c>
      <c r="K8" s="3">
        <f>0+(237.7-11.3)+(0+(0.121227-0.005763))+0-31-0.0158099999999969</f>
        <v>195.49965399999999</v>
      </c>
      <c r="L8" s="3">
        <f>0+(233.5-7.5)+(0+(0.23817-0.00765))+0-31-0.0316200000000049</f>
        <v>195.19890000000001</v>
      </c>
      <c r="M8" s="3">
        <f>0+(258.4-30.6)+(0+(-0.131784--0.015606))+0-31--0.0158099999999969</f>
        <v>196.69963199999998</v>
      </c>
      <c r="N8" s="3">
        <f>0+(244.1-7.8)+(0+(-0.124491--0.003978))+0-31--0.0158099999999969</f>
        <v>205.19529699999998</v>
      </c>
      <c r="O8" s="3">
        <f>0+(246.7-0)+(0+(-0.251634-0))+0-31--0.0316200000000049</f>
        <v>215.479986</v>
      </c>
      <c r="P8" s="3">
        <f>0+(254-0)+(0+(0-0))+0-31-0</f>
        <v>223</v>
      </c>
      <c r="Q8" s="3">
        <f>0+(257.4-0)+(0+(-0.262548-0))+0-31--0.0316200000000049</f>
        <v>226.169072</v>
      </c>
      <c r="R8" s="3">
        <f>0+(256.4-0)+(0+(-0.392292-0))+0-31--0.0474300000000018</f>
        <v>225.05513799999997</v>
      </c>
      <c r="S8" s="3">
        <f>0+(251-0)+(0+(0-0))+0-31-0</f>
        <v>220</v>
      </c>
      <c r="T8" s="3">
        <f>0+(265.1-17.1)+(0+(-0.540804--0.034884))+0-31--0.0632399999999986</f>
        <v>216.55732000000003</v>
      </c>
      <c r="U8" s="3">
        <f>0+(251.1-10.1)+(0+(-0.384183--0.015453))+0-31--0.0474300000000018</f>
        <v>209.67869999999999</v>
      </c>
      <c r="V8" s="3">
        <f>0+(241.1-0)+(0+(-0.122961-0))+0-31--0.0158099999999969</f>
        <v>209.99284899999998</v>
      </c>
      <c r="W8" s="3">
        <f>0+(259.9-20.5)+(0+(-0.397647--0.031365))+0-31--0.0474300000000018</f>
        <v>208.08114799999996</v>
      </c>
      <c r="X8" s="3">
        <f>0+(259.7-17.4)+(0+(-0.132447--0.008874))+0-31--0.0158099999999969</f>
        <v>211.19223699999998</v>
      </c>
      <c r="Y8" s="3">
        <f>0+(265.8-0)+(0+(-0.271116-0))+0-31--0.0316200000000049</f>
        <v>234.56050400000001</v>
      </c>
      <c r="Z8" s="3">
        <f>0+(284.7-2.1)+(0+(-0.580788--0.004284))+0-31--0.0632399999999986</f>
        <v>251.08673599999997</v>
      </c>
      <c r="AA8" s="3">
        <f>0+(306.6-29.3)+(0+(-0.156366--0.014943))+0-31--0.0158099999999969</f>
        <v>246.17438700000002</v>
      </c>
      <c r="AB8" s="3">
        <f>0+(301.4-30.1)+(0+(-0.461142--0.046053))+0-31--0.0474300000000018</f>
        <v>239.93234099999992</v>
      </c>
      <c r="AC8" s="3">
        <f>0+(282.2-15.1)+(0+(0.143922-0.007701))+0-31-0.0158099999999969</f>
        <v>236.22041099999996</v>
      </c>
      <c r="AD8">
        <f t="shared" si="0"/>
        <v>5187.8917529999999</v>
      </c>
      <c r="AE8" s="3">
        <f>0+(287-1)+(0+(0-0))+0-31-0</f>
        <v>255</v>
      </c>
    </row>
    <row r="9" spans="1:31" s="2" customFormat="1" x14ac:dyDescent="0.25">
      <c r="A9">
        <v>89</v>
      </c>
      <c r="B9">
        <v>1</v>
      </c>
      <c r="C9">
        <v>9</v>
      </c>
      <c r="D9">
        <v>3</v>
      </c>
      <c r="E9">
        <v>1</v>
      </c>
      <c r="F9" s="3">
        <f>0+(272.8-17.8)+(0+(-0.69564--0.04539))+0-30--0.0764999999999956</f>
        <v>224.42624999999998</v>
      </c>
      <c r="G9" s="3">
        <f>0+(245.5-5.3)+(0+(-0.626025--0.013515))+0-30--0.0764999999999956</f>
        <v>209.66398999999998</v>
      </c>
      <c r="H9" s="3">
        <f>0+(235.4-0)+(0+(0-0))+0-30-0</f>
        <v>205.4</v>
      </c>
      <c r="I9" s="3">
        <f>0+(231.4-0)+(0+(-0.236028-0))+0-31--0.0316200000000049</f>
        <v>200.195592</v>
      </c>
      <c r="J9" s="3">
        <f>0+(230.7-0)+(0+(-0.588285-0))+0-31--0.0790499999999955</f>
        <v>199.19076499999997</v>
      </c>
      <c r="K9" s="3">
        <f>0+(232-0)+(0+(-0.23664-0))+0-31--0.0316200000000049</f>
        <v>200.79498000000001</v>
      </c>
      <c r="L9" s="3">
        <f>0+(232.9-0)+(0+(0-0))+0-31-0</f>
        <v>201.9</v>
      </c>
      <c r="M9" s="3">
        <f>0+(231.6-1.5)+(0+(-0.118116--0.000765))+0-31--0.0158099999999969</f>
        <v>198.99845899999997</v>
      </c>
      <c r="N9" s="3">
        <f>0+(244.2-2.9)+(0+(-0.249084--0.002958))+0-31--0.0316200000000049</f>
        <v>210.08549399999998</v>
      </c>
      <c r="O9" s="3">
        <f>0+(261.7-10.1)+(0+(-0.133467--0.005151))+0-31--0.0158099999999969</f>
        <v>220.48749399999997</v>
      </c>
      <c r="P9" s="3">
        <f>0+(271.8-12.4)+(0+(0-0))+0-31-0</f>
        <v>228.40000000000003</v>
      </c>
      <c r="Q9" s="3">
        <f>0+(267.3-10.1)+(0+(0-0))+0-31-0</f>
        <v>226.2</v>
      </c>
      <c r="R9" s="3">
        <f>0+(264.1-6.7)+(0+(0-0))+0-30-0</f>
        <v>227.40000000000003</v>
      </c>
      <c r="S9" s="3">
        <f>0+(255.8-2)+(0+(-0.521832--0.00408))+0-30--0.0611999999999987</f>
        <v>223.343448</v>
      </c>
      <c r="T9" s="3">
        <f>0+(252.8-2)+(0+(-0.386784--0.00306))+0-30--0.0459000000000017</f>
        <v>220.462176</v>
      </c>
      <c r="U9" s="3">
        <f>0+(244.5-0)+(0+(-0.124695-0))+0-30--0.015299999999997</f>
        <v>214.39060499999999</v>
      </c>
      <c r="V9" s="3">
        <f>0+(240.5-0)+(0+(-0.49062-0))+0-30--0.0611999999999987</f>
        <v>210.07057999999998</v>
      </c>
      <c r="W9" s="3">
        <f>0+(239.2-0)+(0+(0.121992-0))+0-30-0.015299999999997</f>
        <v>209.306692</v>
      </c>
      <c r="X9" s="3">
        <f>0+(245.4-0)+(0+(-0.500616-0))+0-30--0.0611999999999987</f>
        <v>214.96058399999998</v>
      </c>
      <c r="Y9" s="3">
        <f>0+(283.1-4.6)+(0+(0.144381-0.002346))+0-30-0.015299999999997</f>
        <v>248.62673500000002</v>
      </c>
      <c r="Z9" s="3">
        <f>0+(317.5-24.3)+(0+(-0.6477--0.049572))+0-30--0.0611999999999987</f>
        <v>262.663072</v>
      </c>
      <c r="AA9" s="3">
        <f>0+(315.3-28.5)+(0+(-0.160803--0.014535))+0-30--0.015299999999997</f>
        <v>256.66903200000002</v>
      </c>
      <c r="AB9" s="3">
        <f>0+(298.6-19.1)+(0+(-0.304572--0.019482))+0-30--0.0306000000000048</f>
        <v>249.24550999999997</v>
      </c>
      <c r="AC9" s="3">
        <f>0+(272.4-0)+(0+(-0.416772-0))+0-30--0.0459000000000017</f>
        <v>242.02912799999999</v>
      </c>
      <c r="AD9">
        <f t="shared" si="0"/>
        <v>5304.910586</v>
      </c>
      <c r="AE9" s="3">
        <f>0+(320.9-23.6)+(0+(0-0))+0-31-0</f>
        <v>266.29999999999995</v>
      </c>
    </row>
    <row r="10" spans="1:31" s="2" customFormat="1" x14ac:dyDescent="0.25">
      <c r="A10">
        <v>89</v>
      </c>
      <c r="B10">
        <v>1</v>
      </c>
      <c r="C10">
        <v>10</v>
      </c>
      <c r="D10">
        <v>4</v>
      </c>
      <c r="E10">
        <v>1</v>
      </c>
      <c r="F10" s="3">
        <f>0+(297.7-31.8)+(0+(-0.607308--0.064872))+0-31--0.0632399999999986</f>
        <v>234.42080399999998</v>
      </c>
      <c r="G10" s="3">
        <f>0+(249.4-0)+(0+(-0.63597-0))+0-31--0.0790499999999955</f>
        <v>217.84308000000001</v>
      </c>
      <c r="H10" s="3">
        <f>0+(241.4-0)+(0+(-0.492456-0))+0-31--0.0632399999999986</f>
        <v>209.97078400000001</v>
      </c>
      <c r="I10" s="3">
        <f>0+(237.8-0)+(0+(-0.242556-0))+0-31--0.0316200000000049</f>
        <v>206.58906400000001</v>
      </c>
      <c r="J10" s="3">
        <f>0+(236.9-0)+(0+(0-0))+0-31-0</f>
        <v>205.9</v>
      </c>
      <c r="K10" s="3">
        <f>0+(237.2-0)+(0+(-0.241944-0))+0-31--0.0316200000000049</f>
        <v>205.989676</v>
      </c>
      <c r="L10" s="3">
        <f>0+(235.1-0)+(0+(-0.239802-0))+0-31--0.0316200000000049</f>
        <v>203.891818</v>
      </c>
      <c r="M10" s="3">
        <f>0+(233.2-0)+(0+(-0.237864-0))+0-31--0.0316200000000049</f>
        <v>201.99375599999999</v>
      </c>
      <c r="N10" s="3">
        <f>0+(243.1-0)+(0+(0.247962-0))+0-31-0.0316200000000049</f>
        <v>212.31634199999999</v>
      </c>
      <c r="O10" s="3">
        <f>0+(269-14.3)+(0+(0.13719-0.007293))+0-31-0.0158099999999969</f>
        <v>223.814087</v>
      </c>
      <c r="P10" s="3">
        <f>0+(260.9-0)+(0+(-0.133059-0))+0-31--0.0158099999999969</f>
        <v>229.78275099999996</v>
      </c>
      <c r="Q10" s="3">
        <f>0+(289.3-25.6)+(0+(0.147543-0.013056))+0-31-0.0158099999999969</f>
        <v>232.81867699999998</v>
      </c>
      <c r="R10" s="3">
        <f>0+(339.6-73.6)+(0+(-0.346392--0.075072))+0-31--0.0316200000000049</f>
        <v>234.7603</v>
      </c>
      <c r="S10" s="3">
        <f>0+(374.5-112.5)+(0+(-0.76398--0.2295))+0-31--0.0632399999999986</f>
        <v>230.52876000000003</v>
      </c>
      <c r="T10" s="3">
        <f>0+(378.2-119.6)+(0+(0.385764-0.121992))+0-31-0.0316200000000049</f>
        <v>227.83215200000004</v>
      </c>
      <c r="U10" s="3">
        <f>0+(342.2-92.2)+(0+(0-0))+0-31-0</f>
        <v>219</v>
      </c>
      <c r="V10" s="3">
        <f>0+(320.4-71.9)+(0+(-0.326808--0.073338))+0-31--0.0316200000000049</f>
        <v>217.27814999999998</v>
      </c>
      <c r="W10" s="3">
        <f>0+(297-48.4)+(0+(-0.15147--0.024684))+0-31--0.0158099999999969</f>
        <v>217.48902399999997</v>
      </c>
      <c r="X10" s="3">
        <f>0+(297.9-50.7)+(0+(-0.303858--0.051714))+0-31--0.0316200000000049</f>
        <v>215.97947600000001</v>
      </c>
      <c r="Y10" s="3">
        <f>0+(274.3-0)+(0+(-0.419679-0))+0-31--0.0474300000000018</f>
        <v>242.92775100000003</v>
      </c>
      <c r="Z10" s="3">
        <f>0+(292.3-0)+(0+(-0.298146-0))+0-31--0.0316200000000049</f>
        <v>261.03347400000007</v>
      </c>
      <c r="AA10" s="3">
        <f>0+(309-20.4)+(0+(-0.63036--0.041616))+0-31--0.0632399999999986</f>
        <v>257.07449600000001</v>
      </c>
      <c r="AB10" s="3">
        <f>0+(283.9-0)+(0+(-0.579156-0))+0-31--0.0632399999999986</f>
        <v>252.38408399999997</v>
      </c>
      <c r="AC10" s="3">
        <f>0+(288.2-11.3)+(0+(-0.440946--0.017289))+0-31--0.0474300000000018</f>
        <v>245.52377299999998</v>
      </c>
      <c r="AD10">
        <f t="shared" si="0"/>
        <v>5407.1422790000006</v>
      </c>
      <c r="AE10" s="3">
        <f>0+(296-0)+(0+(0-0))+0-31-0</f>
        <v>265</v>
      </c>
    </row>
    <row r="11" spans="1:31" s="2" customFormat="1" x14ac:dyDescent="0.25">
      <c r="A11">
        <v>89</v>
      </c>
      <c r="B11">
        <v>1</v>
      </c>
      <c r="C11">
        <v>11</v>
      </c>
      <c r="D11">
        <v>5</v>
      </c>
      <c r="E11">
        <v>1</v>
      </c>
      <c r="F11" s="3">
        <f>0+(267.3-0)+(0+(-0.681615-0))+0-31--0.0790499999999955</f>
        <v>235.69743499999998</v>
      </c>
      <c r="G11" s="3">
        <f>0+(252.4-0)+(0+(-0.386172-0))+0-31--0.0474300000000018</f>
        <v>221.06125800000001</v>
      </c>
      <c r="H11" s="3">
        <f>0+(242.4-0)+(0+(-0.494496-0))+0-31--0.0632399999999986</f>
        <v>210.96874400000002</v>
      </c>
      <c r="I11" s="3">
        <f>0+(236.7-0)+(0+(-0.482868-0))+0-29--0.0591599999999987</f>
        <v>207.27629199999998</v>
      </c>
      <c r="J11" s="3">
        <f>0+(235-0)+(0+(-0.35955-0))+0-29--0.0443700000000017</f>
        <v>205.68482</v>
      </c>
      <c r="K11" s="3">
        <f>0+(234.7-0)+(0+(0-0))+0-28-0</f>
        <v>206.7</v>
      </c>
      <c r="L11" s="3">
        <f>0+(230.2-0)+(0+(-0.352206-0))+0-28--0.0428400000000016</f>
        <v>201.89063400000001</v>
      </c>
      <c r="M11" s="3">
        <f>0+(225.5-0)+(0+(0-0))+0-29-0</f>
        <v>196.5</v>
      </c>
      <c r="N11" s="3">
        <f>0+(276.3-34.5)+(0+(-0.140913--0.017595))+0-28--0.0142799999999972</f>
        <v>213.69096199999998</v>
      </c>
      <c r="O11" s="3">
        <f>0+(334.3-79.6)+(0+(-0.170493--0.040596))+0-29--0.0147899999999971</f>
        <v>225.58489300000002</v>
      </c>
      <c r="P11" s="3">
        <f>0+(343.5-81.5)+(0+(-1.05111--0.24939))+0-29--0.0887400000000034</f>
        <v>232.28702000000001</v>
      </c>
      <c r="Q11" s="3">
        <f>0+(369.5-105.4)+(0+(0-0))+0-29-0</f>
        <v>235.10000000000002</v>
      </c>
      <c r="R11" s="3">
        <f>0+(359.2-95.8)+(0+(-0.366384--0.097716))+0-29--0.0295800000000046</f>
        <v>234.160912</v>
      </c>
      <c r="S11" s="3">
        <f>0+(386.1-130.4)+(0+(0-0))+0-29-0</f>
        <v>226.70000000000002</v>
      </c>
      <c r="T11" s="3">
        <f>0+(407.3-160.7)+(0+(-0.207723--0.081957))+0-29--0.0147899999999971</f>
        <v>217.48902400000003</v>
      </c>
      <c r="U11" s="3">
        <f>0+(409.8-164.5)+(0+(-0.835992--0.33558))+0-29--0.0591599999999987</f>
        <v>215.85874799999999</v>
      </c>
      <c r="V11" s="3">
        <f>0+(395.5-154)+(0+(-0.40341--0.15708))+0-29--0.0295800000000046</f>
        <v>212.28325000000001</v>
      </c>
      <c r="W11" s="3">
        <f>0+(360.2-117.8)+(0+(-0.551106--0.180234))+0-29--0.0443700000000017</f>
        <v>213.073498</v>
      </c>
      <c r="X11" s="3">
        <f>0+(347.9-101.1)+(0+(-0.354858--0.103122))+0-29--0.0295800000000046</f>
        <v>217.577844</v>
      </c>
      <c r="Y11" s="3">
        <f>0+(307.6-32.7)+(0+(-0.156876--0.016677))+0-29--0.0147899999999971</f>
        <v>245.77459100000004</v>
      </c>
      <c r="Z11" s="3">
        <f>0+(293.5-4.9)+(0+(-0.449055--0.007497))+0-29--0.0443700000000017</f>
        <v>259.20281200000005</v>
      </c>
      <c r="AA11" s="3">
        <f>0+(279.6-0)+(0+(-0.427788-0))+0-29--0.0443700000000017</f>
        <v>250.21658200000002</v>
      </c>
      <c r="AB11" s="3">
        <f>0+(276.1-0)+(0+(-0.422433-0))+0-29--0.0443700000000017</f>
        <v>246.72193700000003</v>
      </c>
      <c r="AC11" s="3">
        <f>0+(268.3-0)+(0+(-0.410499-0))+0-29--0.0443700000000017</f>
        <v>238.93387100000001</v>
      </c>
      <c r="AD11">
        <f t="shared" si="0"/>
        <v>5370.4351270000016</v>
      </c>
      <c r="AE11" s="3">
        <f>0+(300-16.2)+(0+(0-0))+0-31-0</f>
        <v>252.8</v>
      </c>
    </row>
    <row r="12" spans="1:31" s="2" customFormat="1" x14ac:dyDescent="0.25">
      <c r="A12">
        <v>89</v>
      </c>
      <c r="B12">
        <v>1</v>
      </c>
      <c r="C12">
        <v>12</v>
      </c>
      <c r="D12">
        <v>6</v>
      </c>
      <c r="E12">
        <v>2</v>
      </c>
      <c r="F12" s="3">
        <f>0+(270.7-11.8)+(0+(-0.552228--0.024072))+0-31--0.0632399999999986</f>
        <v>227.43508399999996</v>
      </c>
      <c r="G12" s="3">
        <f>0+(291.6-45.4)+(0+(-0.148716--0.023154))+0-30--0.015299999999997</f>
        <v>216.08973800000001</v>
      </c>
      <c r="H12" s="3">
        <f>0+(239.5-3.4)+(0+(-0.366435--0.005202))+0-31--0.0474300000000018</f>
        <v>204.78619699999999</v>
      </c>
      <c r="I12" s="3">
        <f>0+(232.2-0)+(0+(-0.473688-0))+0-31--0.0632399999999986</f>
        <v>200.78955199999999</v>
      </c>
      <c r="J12" s="3">
        <f>0+(232-0)+(0+(-0.23664-0))+0-31--0.0316200000000049</f>
        <v>200.79498000000001</v>
      </c>
      <c r="K12" s="3">
        <f>0+(229.4-0)+(0+(0-0))+0-31-0</f>
        <v>198.4</v>
      </c>
      <c r="L12" s="3">
        <f>0+(221.7-0)+(0+(-0.565335-0))+0-31--0.0790499999999955</f>
        <v>190.21371499999998</v>
      </c>
      <c r="M12" s="3">
        <f>0+(211.7-0)+(0+(0.215934-0))+0-31-0.0316200000000049</f>
        <v>180.88431399999999</v>
      </c>
      <c r="N12" s="3">
        <f>0+(216.3-0)+(0+(0.110313-0))+0-31-0.0158099999999969</f>
        <v>185.39450300000001</v>
      </c>
      <c r="O12" s="3">
        <f>0+(250.8-22.3)+(0+(0-0))+0-30-0</f>
        <v>198.5</v>
      </c>
      <c r="P12" s="3">
        <f>0+(294.7-60.5)+(0+(-0.150297--0.030855))+0-31--0.0158099999999969</f>
        <v>203.09636799999998</v>
      </c>
      <c r="Q12" s="3">
        <f>0+(321.6-85.4)+(0+(0-0))+0-31-0</f>
        <v>205.20000000000002</v>
      </c>
      <c r="R12" s="3">
        <f>0+(316.2-81)+(0+(-0.322524--0.08262))+0-30--0.0306000000000048</f>
        <v>204.99069599999999</v>
      </c>
      <c r="S12" s="3">
        <f>0+(288.2-58.8)+(0+(-0.587928--0.119952))+0-31--0.0632399999999986</f>
        <v>197.99526399999999</v>
      </c>
      <c r="T12" s="3">
        <f>0+(290.9-62.2)+(0+(0.445077-0.095166))+0-30-0.0459000000000017</f>
        <v>199.00401099999999</v>
      </c>
      <c r="U12" s="3">
        <f>0+(288.6-60.2)+(0+(-0.441558--0.092106))+0-31--0.0474300000000018</f>
        <v>197.09797800000001</v>
      </c>
      <c r="V12" s="3">
        <f>0+(292-64.4)+(0+(-0.29784--0.065688))+0-30--0.0306000000000048</f>
        <v>197.39844799999997</v>
      </c>
      <c r="W12" s="3">
        <f>0+(273.2-46.7)+(0+(-0.417996--0.071451))+0-31--0.0474300000000018</f>
        <v>195.200885</v>
      </c>
      <c r="X12" s="3">
        <f>0+(255-24.2)+(0+(-0.5202--0.049368))+0-30--0.0611999999999987</f>
        <v>200.390368</v>
      </c>
      <c r="Y12" s="3">
        <f>0+(256.9-0)+(0+(0-0))+0-31-0</f>
        <v>225.89999999999998</v>
      </c>
      <c r="Z12" s="3">
        <f>0+(358.9-83.1)+(0+(-0.732156--0.169524))+0-30--0.0611999999999987</f>
        <v>245.29856799999993</v>
      </c>
      <c r="AA12" s="3">
        <f>0+(288.7-17.1)+(0+(-0.147237--0.008721))+0-30--0.015299999999997</f>
        <v>241.47678399999998</v>
      </c>
      <c r="AB12" s="3">
        <f>0+(286.4-17.7)+(0+(-0.292128--0.018054))+0-30--0.0306000000000048</f>
        <v>238.456526</v>
      </c>
      <c r="AC12" s="3">
        <f>0+(285-20.8)+(0+(-0.5814--0.042432))+0-30--0.0611999999999987</f>
        <v>233.72223199999996</v>
      </c>
      <c r="AD12">
        <f t="shared" si="0"/>
        <v>4988.5162110000001</v>
      </c>
      <c r="AE12" s="3">
        <f>0+(375.5-98.5)+(0+(0-0))+0-31-0</f>
        <v>246</v>
      </c>
    </row>
    <row r="13" spans="1:31" s="2" customFormat="1" x14ac:dyDescent="0.25">
      <c r="A13">
        <v>89</v>
      </c>
      <c r="B13">
        <v>1</v>
      </c>
      <c r="C13">
        <v>13</v>
      </c>
      <c r="D13">
        <v>7</v>
      </c>
      <c r="E13">
        <v>2</v>
      </c>
      <c r="F13" s="3">
        <f>0+(282.4-27.1)+(0+(-0.288048--0.027642))+0-29--0.0295800000000046</f>
        <v>226.069174</v>
      </c>
      <c r="G13" s="3">
        <f>0+(251.4-10.1)+(0+(-0.256428--0.010302))+0-29--0.0295800000000046</f>
        <v>212.08345400000002</v>
      </c>
      <c r="H13" s="3">
        <f>0+(290.1-57.1)+(0+(-0.295902--0.058242))+0-31--0.0316200000000049</f>
        <v>201.79396000000003</v>
      </c>
      <c r="I13" s="3">
        <f>0+(239.9-8.1)+(0+(-0.367047--0.012393))+0-31--0.0474300000000018</f>
        <v>200.49277599999999</v>
      </c>
      <c r="J13" s="3">
        <f>0+(226.7-0)+(0+(-0.231234-0))+0-31--0.0316200000000049</f>
        <v>195.50038599999999</v>
      </c>
      <c r="K13" s="3">
        <f>0+(226.3-0)+(0+(0.115413-0))+0-31-0.0158099999999969</f>
        <v>195.39960300000001</v>
      </c>
      <c r="L13" s="3">
        <f>0+(218.4-0)+(0+(-0.334152-0))+0-31--0.0474300000000018</f>
        <v>187.11327800000001</v>
      </c>
      <c r="M13" s="3">
        <f>0+(197.4-0)+(0+(0-0))+0-31-0</f>
        <v>166.4</v>
      </c>
      <c r="N13" s="3">
        <f>0+(225.7-22.9)+(0+(0.230214-0.023358))+0-31-0.0316200000000049</f>
        <v>171.97523599999997</v>
      </c>
      <c r="O13" s="3">
        <f>0+(228.8-26.5)+(0+(-0.116688--0.013515))+0-31--0.0158099999999969</f>
        <v>171.212637</v>
      </c>
      <c r="P13" s="3">
        <f>0+(230.6-28.6)+(0+(-0.117606--0.014586))+0-31--0.0158099999999969</f>
        <v>170.91279</v>
      </c>
      <c r="Q13" s="3">
        <f>0+(256.4-54.4)+(0+(-0.261528--0.055488))+0-31--0.0316200000000049</f>
        <v>170.82557999999997</v>
      </c>
      <c r="R13" s="3">
        <f>0+(257.6-57.3)+(0+(-0.262752--0.058446))+0-31--0.0316200000000049</f>
        <v>169.12731400000001</v>
      </c>
      <c r="S13" s="3">
        <f>0+(243.3-46)+(0+(-0.124083--0.02346))+0-31--0.0158099999999969</f>
        <v>166.21518699999999</v>
      </c>
      <c r="T13" s="3">
        <f>0+(241.2-44.8)+(0+(0-0))+0-31-0</f>
        <v>165.39999999999998</v>
      </c>
      <c r="U13" s="3">
        <f>0+(261.7-65.7)+(0+(0-0))+0-31-0</f>
        <v>165</v>
      </c>
      <c r="V13" s="3">
        <f>0+(241-44.6)+(0+(0-0))+0-31-0</f>
        <v>165.4</v>
      </c>
      <c r="W13" s="3">
        <f>0+(241.2-39.7)+(0+(-0.369036--0.060741))+0-31--0.0474300000000018</f>
        <v>170.239135</v>
      </c>
      <c r="X13" s="3">
        <f>0+(242-33.7)+(0+(-0.24684--0.034374))+0-31--0.0316200000000049</f>
        <v>177.11915400000001</v>
      </c>
      <c r="Y13" s="3">
        <f>0+(268-29)+(0+(-0.27336--0.02958))+0-31--0.0316200000000049</f>
        <v>207.78784000000002</v>
      </c>
      <c r="Z13" s="3">
        <f>0+(356.6-91)+(0+(-0.90933--0.23205))+0-31--0.0790499999999955</f>
        <v>234.00177000000002</v>
      </c>
      <c r="AA13" s="3">
        <f>0+(326-61)+(0+(-0.49878--0.09333))+0-31--0.0474300000000018</f>
        <v>233.64198000000002</v>
      </c>
      <c r="AB13" s="3">
        <f>0+(300.4-44.1)+(0+(-0.306408--0.044982))+0-31--0.0316200000000049</f>
        <v>225.07019399999999</v>
      </c>
      <c r="AC13" s="3">
        <f>0+(292.6-46.7)+(0+(-0.447678--0.071451))+0-31--0.0474300000000018</f>
        <v>214.57120300000003</v>
      </c>
      <c r="AD13">
        <f t="shared" si="0"/>
        <v>4563.3526510000002</v>
      </c>
      <c r="AE13" s="3">
        <f>0+(312.5-51.1)+(0+(0-0))+0-31-0</f>
        <v>230.39999999999998</v>
      </c>
    </row>
    <row r="14" spans="1:31" s="2" customFormat="1" x14ac:dyDescent="0.25">
      <c r="A14">
        <v>89</v>
      </c>
      <c r="B14">
        <v>1</v>
      </c>
      <c r="C14">
        <v>14</v>
      </c>
      <c r="D14">
        <v>1</v>
      </c>
      <c r="E14">
        <v>1</v>
      </c>
      <c r="F14" s="3">
        <f>0+(246.2-9.5)+(0+(-0.251124--0.00969))+0-31--0.0316200000000049</f>
        <v>205.49018599999999</v>
      </c>
      <c r="G14" s="3">
        <f>0+(223.4-0)+(0+(-0.455736-0))+0-31--0.0632399999999986</f>
        <v>192.00750400000001</v>
      </c>
      <c r="H14" s="3">
        <f>0+(222-0)+(0+(-0.11322-0))+0-31--0.0158099999999969</f>
        <v>190.90258999999998</v>
      </c>
      <c r="I14" s="3">
        <f>0+(219-0)+(0+(-0.11169-0))+0-30--0.015299999999997</f>
        <v>188.90360999999999</v>
      </c>
      <c r="J14" s="3">
        <f>0+(219.3-0)+(0+(0.111843-0))+0-29-0.0147899999999971</f>
        <v>190.397053</v>
      </c>
      <c r="K14" s="3">
        <f>0+(226.4-0)+(0+(0.230928-0))+0-31-0.0316200000000049</f>
        <v>195.59930800000001</v>
      </c>
      <c r="L14" s="3">
        <f>0+(272.1-43.3)+(0+(-0.555084--0.088332))+0-29--0.0591599999999987</f>
        <v>199.39240799999999</v>
      </c>
      <c r="M14" s="3">
        <f>0+(281.8-46.4)+(0+(0.143718-0.023664))+0-31-0.0158099999999969</f>
        <v>204.50424400000003</v>
      </c>
      <c r="N14" s="3">
        <f>0+(359.7-106.6)+(0+(0-0))+0-30-0</f>
        <v>223.1</v>
      </c>
      <c r="O14" s="3">
        <f>0+(386.8-124.7)+(0+(-0.197268--0.063597))+0-31--0.0158099999999969</f>
        <v>230.98213900000002</v>
      </c>
      <c r="P14" s="3">
        <f>0+(379.3-105.4)+(0+(0-0))+0-30-0</f>
        <v>243.89999999999998</v>
      </c>
      <c r="Q14" s="3">
        <f>0+(385-107.3)+(0+(0-0))+0-31-0</f>
        <v>246.7</v>
      </c>
      <c r="R14" s="3">
        <f>0+(476.3-194.8)+(0+(0-0))+0-31-0</f>
        <v>250.5</v>
      </c>
      <c r="S14" s="3">
        <f>0+(494.5-221.5)+(0+(-1.00878--0.45186))+0-31--0.0632399999999986</f>
        <v>241.50632000000002</v>
      </c>
      <c r="T14" s="3">
        <f>0+(504.4-233.9)+(0+(0.257244-0.119289))+0-31-0.0158099999999969</f>
        <v>239.62214499999999</v>
      </c>
      <c r="U14" s="3">
        <f>0+(442.8-180.6)+(0+(0.451656-0.184212))+0-31-0.0316200000000049</f>
        <v>231.43582400000005</v>
      </c>
      <c r="V14" s="3">
        <f>0+(405.7-143.6)+(0+(-0.206907--0.073236))+0-31--0.0158099999999969</f>
        <v>230.98213900000002</v>
      </c>
      <c r="W14" s="3">
        <f>0+(419.9-159)+(0+(-0.642447--0.24327))+0-31--0.0474300000000018</f>
        <v>229.54825299999996</v>
      </c>
      <c r="X14" s="3">
        <f>0+(377.6-113.3)+(0+(-1.155456--0.346698))+0-31--0.0948600000000036</f>
        <v>232.58610200000001</v>
      </c>
      <c r="Y14" s="3">
        <f>0+(334.4-40)+(0+(0.170544-0.0204))+0-31-0.0158099999999969</f>
        <v>263.534334</v>
      </c>
      <c r="Z14" s="3">
        <f>0+(317.1-7.9)+(0+(-0.323442--0.008058))+0-31--0.0316200000000049</f>
        <v>277.91623600000008</v>
      </c>
      <c r="AA14" s="3">
        <f>0+(388.3-85.5)+(0+(-0.792132--0.17442))+0-31--0.0632399999999986</f>
        <v>271.24552800000004</v>
      </c>
      <c r="AB14" s="3">
        <f>0+(366.9-74.6)+(0+(-0.748476--0.152184))+0-31--0.0632399999999986</f>
        <v>260.76694799999996</v>
      </c>
      <c r="AC14" s="3">
        <f>0+(299.5-17.5)+(0+(-0.30549--0.01785))+0-31--0.0316200000000049</f>
        <v>250.74397999999999</v>
      </c>
      <c r="AD14">
        <f t="shared" si="0"/>
        <v>5492.2668509999994</v>
      </c>
      <c r="AE14" s="3">
        <f>0+(310.3-0)+(0+(0-0))+0-31-0</f>
        <v>279.3</v>
      </c>
    </row>
    <row r="15" spans="1:31" s="2" customFormat="1" x14ac:dyDescent="0.25">
      <c r="A15">
        <v>89</v>
      </c>
      <c r="B15">
        <v>1</v>
      </c>
      <c r="C15">
        <v>15</v>
      </c>
      <c r="D15">
        <v>2</v>
      </c>
      <c r="E15">
        <v>1</v>
      </c>
      <c r="F15" s="3">
        <f>0+(268.5-2)+(0+(-0.82161--0.00612))+0-31--0.0948600000000036</f>
        <v>234.77937</v>
      </c>
      <c r="G15" s="3">
        <f>0+(251.6-0)+(0+(-0.256632-0))+0-31--0.0316200000000049</f>
        <v>220.374988</v>
      </c>
      <c r="H15" s="3">
        <f>0+(245.1-0)+(0+(-0.125001-0))+0-31--0.0158099999999969</f>
        <v>213.99080899999998</v>
      </c>
      <c r="I15" s="3">
        <f>0+(235.4-0)+(0+(-0.480216-0))+0-31--0.0632399999999986</f>
        <v>203.983024</v>
      </c>
      <c r="J15" s="3">
        <f>0+(239.1-0)+(0+(-0.243882-0))+0-31--0.0316200000000049</f>
        <v>207.88773799999998</v>
      </c>
      <c r="K15" s="3">
        <f>0+(242.9-0)+(0+(-0.371637-0))+0-31--0.0474300000000018</f>
        <v>211.575793</v>
      </c>
      <c r="L15" s="3">
        <f>0+(245.8-0)+(0+(-0.125358-0))+0-31--0.0158099999999969</f>
        <v>214.69045199999999</v>
      </c>
      <c r="M15" s="3">
        <f>0+(265.5-7.6)+(0+(-0.54162--0.015504))+0-31--0.0632399999999986</f>
        <v>226.43712399999998</v>
      </c>
      <c r="N15" s="3">
        <f>0+(413.8-131.9)+(0+(0-0))+0-31-0</f>
        <v>250.89999999999998</v>
      </c>
      <c r="O15" s="3">
        <f>0+(416.7-135.5)+(0+(0-0))+0-31-0</f>
        <v>250.2</v>
      </c>
      <c r="P15" s="3">
        <f>0+(406.7-130.1)+(0+(-0.207417--0.066351))+0-31--0.0158099999999969</f>
        <v>245.47474399999999</v>
      </c>
      <c r="Q15" s="3">
        <f>0+(436.9-156.2)+(0+(-0.445638--0.159324))+0-31--0.0316200000000049</f>
        <v>249.44530599999999</v>
      </c>
      <c r="R15" s="3">
        <f>0+(444.5-170.5)+(0+(-0.90678--0.34782))+0-1--0.00203999999999996</f>
        <v>272.44308000000001</v>
      </c>
      <c r="S15" s="3">
        <f>0+(442.3-173.4)+(0+(-0.451146--0.176868))+0-4--0.00408000000000064</f>
        <v>264.62980199999998</v>
      </c>
      <c r="T15" s="3">
        <f>0+(441.1-171.1)+(0+(-0.674883--0.261783))+0-6--0.00918000000000035</f>
        <v>263.59608000000003</v>
      </c>
      <c r="U15" s="3">
        <f>0+(458.7-188.3)+(0+(0-0))+0-8-0</f>
        <v>262.39999999999998</v>
      </c>
      <c r="V15" s="3">
        <f>0+(436.4-168.2)+(0+(-0.667692--0.257346))+0-10--0.0153000000000006</f>
        <v>257.80495400000001</v>
      </c>
      <c r="W15" s="3">
        <f>0+(412.8-144.8)+(0+(0.210528-0.073848))+0-11-0.00560999999999888</f>
        <v>257.13107000000002</v>
      </c>
      <c r="X15" s="3">
        <f>0+(374.1-102.8)+(0+(-0.953955--0.26214))+0-12--0.0305999999999983</f>
        <v>258.63878499999998</v>
      </c>
      <c r="Y15" s="3">
        <f>0+(359.4-62.3)+(0+(0.366588-0.063546))+0-13-0.0132600000000021</f>
        <v>284.38978199999997</v>
      </c>
      <c r="Z15" s="3">
        <f>0+(386-79.4)+(0+(-0.39372--0.080988))+0-15--0.0153000000000024</f>
        <v>291.30256800000006</v>
      </c>
      <c r="AA15" s="3">
        <f>0+(392.3-92.6)+(0+(-1.000365--0.23613))+0-17--0.0433499999999975</f>
        <v>281.97911500000004</v>
      </c>
      <c r="AB15" s="3">
        <f>0+(384.2-94)+(0+(-0.391884--0.09588))+0-19--0.019380000000003</f>
        <v>270.92337600000002</v>
      </c>
      <c r="AC15" s="3">
        <f>0+(352.9-75.9)+(0+(-0.539937--0.116127))+0-23--0.0351900000000013</f>
        <v>253.61138</v>
      </c>
      <c r="AD15">
        <f t="shared" si="0"/>
        <v>5948.5893400000004</v>
      </c>
      <c r="AE15" s="3">
        <f>0+(372-71.2)+(0+(0-0))+0-32-0</f>
        <v>268.8</v>
      </c>
    </row>
    <row r="16" spans="1:31" s="2" customFormat="1" x14ac:dyDescent="0.25">
      <c r="A16">
        <v>89</v>
      </c>
      <c r="B16">
        <v>1</v>
      </c>
      <c r="C16">
        <v>16</v>
      </c>
      <c r="D16">
        <v>3</v>
      </c>
      <c r="E16">
        <v>1</v>
      </c>
      <c r="F16" s="3">
        <f>0+(355.7-86.7)+(0+(-0.725628--0.176868))+0-24--0.0489599999999989</f>
        <v>244.50019999999998</v>
      </c>
      <c r="G16" s="3">
        <f>0+(313.2-42.9)+(0+(0-0))+0-27-0</f>
        <v>243.3</v>
      </c>
      <c r="H16" s="3">
        <f>0+(320.5-56.8)+(0+(-0.32691--0.057936))+0-29--0.0295800000000046</f>
        <v>234.46060599999998</v>
      </c>
      <c r="I16" s="3">
        <f>0+(295.3-28)+(0+(-0.602412--0.05712))+0-30--0.0611999999999987</f>
        <v>236.81590799999998</v>
      </c>
      <c r="J16" s="3">
        <f>0+(287.5-22)+(0+(0.146625-0.01122))+0-30-0.015299999999997</f>
        <v>235.620105</v>
      </c>
      <c r="K16" s="3">
        <f>0+(265.9-3.3)+(0+(0-0))+0-30-0</f>
        <v>232.59999999999997</v>
      </c>
      <c r="L16" s="3">
        <f>0+(312.3-38.8)+(0+(-0.159273--0.019788))+0-30--0.015299999999997</f>
        <v>243.37581500000002</v>
      </c>
      <c r="M16" s="3">
        <f>0+(314.3-29.6)+(0+(-0.160293--0.015096))+0-31--0.0158099999999969</f>
        <v>253.57061299999998</v>
      </c>
      <c r="N16" s="3">
        <f>0+(421-114.3)+(0+(0.21471-0.058293))+0-30-0.015299999999997</f>
        <v>276.84111699999994</v>
      </c>
      <c r="O16" s="3">
        <f>0+(410.9-94.1)+(0+(0.209559-0.047991))+0-31-0.0158099999999969</f>
        <v>285.94575799999996</v>
      </c>
      <c r="P16" s="3">
        <f>0+(399.1-79.4)+(0+(0.203541-0.040494))+0-30-0.015299999999997</f>
        <v>289.84774700000003</v>
      </c>
      <c r="Q16" s="3">
        <f>0+(441.2-118.1)+(0+(-0.225012--0.060231))+0-30--0.015299999999997</f>
        <v>292.95051900000004</v>
      </c>
      <c r="R16" s="3">
        <f>0+(422.1-98.6)+(0+(0-0))+0-31-0</f>
        <v>292.5</v>
      </c>
      <c r="S16" s="3">
        <f>0+(407.7-97)+(0+(-0.831708--0.19788))+0-29--0.0591599999999987</f>
        <v>281.12533200000001</v>
      </c>
      <c r="T16" s="3">
        <f>0+(437.3-131.3)+(0+(-0.223023--0.066963))+0-13--0.00662999999999868</f>
        <v>292.85056999999995</v>
      </c>
      <c r="U16" s="3">
        <f>0+(449.6-147.2)+(0+(-0.458592--0.150144))+0-29--0.0295800000000046</f>
        <v>273.12113200000005</v>
      </c>
      <c r="V16" s="3">
        <f>0+(420.5-118.5)+(0+(-0.214455--0.060435))+0-31--0.0158099999999969</f>
        <v>270.86178999999998</v>
      </c>
      <c r="W16" s="3">
        <f>0+(377.1-78.8)+(0+(-0.384642--0.080376))+0-30--0.0306000000000048</f>
        <v>268.02633400000002</v>
      </c>
      <c r="X16" s="3">
        <f>0+(341-35.5)+(0+(-0.86955--0.090525))+0-11--0.0280499999999984</f>
        <v>293.74902500000002</v>
      </c>
      <c r="Y16" s="3">
        <f>0+(369.8-38.9)+(0+(-0.188598--0.019839))+0-30--0.015299999999997</f>
        <v>300.74654100000004</v>
      </c>
      <c r="Z16" s="3">
        <f>0+(403.5-68.4)+(0+(-0.617355--0.104652))+0-31--0.0474300000000018</f>
        <v>303.63472700000005</v>
      </c>
      <c r="AA16" s="3">
        <f>0+(471.5-146.2)+(0+(-0.96186--0.298248))+0-31--0.0632399999999986</f>
        <v>293.69962800000002</v>
      </c>
      <c r="AB16" s="3">
        <f>0+(415.3-96)+(0+(-0.423606--0.09792))+0-30--0.0306000000000048</f>
        <v>289.00491399999999</v>
      </c>
      <c r="AC16" s="3">
        <f>0+(371.8-72.6)+(0+(-0.758472--0.148104))+0-31--0.0632399999999986</f>
        <v>267.65287200000006</v>
      </c>
      <c r="AD16">
        <f t="shared" si="0"/>
        <v>6496.8012530000005</v>
      </c>
      <c r="AE16" s="3">
        <f>0+(379.3-46.1)+(0+(0-0))+0-31-0</f>
        <v>302.2</v>
      </c>
    </row>
    <row r="17" spans="1:31" s="2" customFormat="1" x14ac:dyDescent="0.25">
      <c r="A17">
        <v>89</v>
      </c>
      <c r="B17">
        <v>1</v>
      </c>
      <c r="C17">
        <v>17</v>
      </c>
      <c r="D17">
        <v>4</v>
      </c>
      <c r="E17">
        <v>1</v>
      </c>
      <c r="F17" s="3">
        <f>0+(418.3-127.3)+(0+(-0.639999--0.194769))+0-31--0.0474300000000018</f>
        <v>259.60220000000004</v>
      </c>
      <c r="G17" s="3">
        <f>0+(331.5-51.5)+(0+(-0.845325--0.131325))+0-31--0.0790499999999955</f>
        <v>248.36505</v>
      </c>
      <c r="H17" s="3">
        <f>0+(303.4-23.6)+(0+(-0.464202--0.036108))+0-31--0.0474300000000018</f>
        <v>248.41933599999996</v>
      </c>
      <c r="I17" s="3">
        <f>0+(293.2-17.9)+(0+(-0.74766--0.045645))+0-31--0.0790499999999955</f>
        <v>243.67703499999999</v>
      </c>
      <c r="J17" s="3">
        <f>0+(265.2-2.5)+(0+(0-0))+0-31-0</f>
        <v>231.7</v>
      </c>
      <c r="K17" s="3">
        <f>0+(264-0)+(0+(0.26928-0))+0-31-0.0316200000000049</f>
        <v>233.23765999999998</v>
      </c>
      <c r="L17" s="3">
        <f>0+(309.6-35)+(0+(0-0))+0-31-0</f>
        <v>243.60000000000002</v>
      </c>
      <c r="M17" s="3">
        <f>0+(366.8-80.9)+(0+(-0.748272--0.165036))+0-31--0.0632399999999986</f>
        <v>254.38000399999999</v>
      </c>
      <c r="N17" s="3">
        <f>0+(477.8-169.9)+(0+(0-0))+0-31-0</f>
        <v>276.89999999999998</v>
      </c>
      <c r="O17" s="3">
        <f>0+(535.9-215.7)+(0+(0.819927-0.330021))+0-31-0.0474300000000018</f>
        <v>289.64247599999999</v>
      </c>
      <c r="P17" s="3">
        <f>0+(516.5-194.4)+(0+(0.263415-0.099144))+0-31-0.0158099999999969</f>
        <v>291.24846100000002</v>
      </c>
      <c r="Q17" s="3">
        <f>0+(608.9-278.7)+(0+(-0.931617--0.426411))+0-31--0.0474300000000018</f>
        <v>298.74222400000002</v>
      </c>
      <c r="R17" s="3">
        <f>0+(573.7-248.6)+(0+(-0.292587--0.126786))+0-32--0.0163199999999968</f>
        <v>292.95051900000004</v>
      </c>
      <c r="S17" s="3">
        <f>0+(592.6-275.1)+(0+(-0.604452--0.280602))+0-32--0.0326400000000051</f>
        <v>285.20879000000002</v>
      </c>
      <c r="T17" s="3">
        <f>0+(627.7-313.7)+(0+(-0.320127--0.159987))+0-32--0.0163199999999968</f>
        <v>281.85618000000005</v>
      </c>
      <c r="U17" s="3">
        <f>0+(588.1-277.4)+(0+(0.599862-0.282948))+0-32-0.0326400000000051</f>
        <v>278.98427400000003</v>
      </c>
      <c r="V17" s="3">
        <f>0+(573.4-267.9)+(0+(0.584868-0.273258))+0-31-0.0316200000000049</f>
        <v>274.77998999999994</v>
      </c>
      <c r="W17" s="3">
        <f>0+(532.3-227.5)+(0+(-0.814419--0.348075))+0-31--0.0474300000000018</f>
        <v>273.38108599999998</v>
      </c>
      <c r="X17" s="3">
        <f>0+(513.7-211.9)+(0+(-0.523974--0.216138))+0-32--0.0326400000000051</f>
        <v>269.52480400000007</v>
      </c>
      <c r="Y17" s="3">
        <f>0+(501.6-174.2)+(0+(-0.511632--0.177684))+0-32--0.0326400000000051</f>
        <v>295.09869200000003</v>
      </c>
      <c r="Z17" s="3">
        <f>0+(539.4-195)+(0+(-0.550188--0.1989))+0-32--0.0326400000000051</f>
        <v>312.08135199999998</v>
      </c>
      <c r="AA17" s="3">
        <f>0+(562.6-226.2)+(0+(-0.573852--0.230724))+0-32--0.0326400000000051</f>
        <v>304.08951200000007</v>
      </c>
      <c r="AB17" s="3">
        <f>0+(554.2-228.8)+(0+(0-0))+0-32-0</f>
        <v>293.40000000000003</v>
      </c>
      <c r="AC17" s="3">
        <f>0+(491.2-187.6)+(0+(-0.250512--0.095676))+0-32--0.0163199999999968</f>
        <v>271.46148400000004</v>
      </c>
      <c r="AD17">
        <f t="shared" si="0"/>
        <v>6552.331129000002</v>
      </c>
      <c r="AE17" s="3">
        <f>0+(557.9-200.8)+(0+(0-0))+0-31-0</f>
        <v>326.09999999999997</v>
      </c>
    </row>
    <row r="18" spans="1:31" s="2" customFormat="1" x14ac:dyDescent="0.25">
      <c r="A18">
        <v>89</v>
      </c>
      <c r="B18">
        <v>1</v>
      </c>
      <c r="C18">
        <v>18</v>
      </c>
      <c r="D18">
        <v>5</v>
      </c>
      <c r="E18">
        <v>1</v>
      </c>
      <c r="F18" s="3">
        <f>0+(468.4-180.6)+(0+(-0.716652--0.276318))+0-30--0.0459000000000017</f>
        <v>257.40556599999996</v>
      </c>
      <c r="G18" s="3">
        <f>0+(447.7-171.3)+(0+(0.228327-0.087363))+0-30-0.015299999999997</f>
        <v>246.52566399999998</v>
      </c>
      <c r="H18" s="3">
        <f>0+(490.8-215.7)+(0+(-0.250308--0.110007))+0-30--0.015299999999997</f>
        <v>244.974999</v>
      </c>
      <c r="I18" s="3">
        <f>0+(500.5-226.2)+(0+(-0.255255--0.115362))+0-30--0.015299999999997</f>
        <v>244.17540700000004</v>
      </c>
      <c r="J18" s="3">
        <f>0+(404.7-134.5)+(0+(-1.238382--0.41157))+0-30--0.0918000000000035</f>
        <v>239.46498799999998</v>
      </c>
      <c r="K18" s="3">
        <f>0+(393.4-121.1)+(0+(0-0))+0-31-0</f>
        <v>241.29999999999995</v>
      </c>
      <c r="L18" s="3">
        <f>0+(383.7-108.1)+(0+(-0.391374--0.110262))+0-28--0.0285600000000045</f>
        <v>247.34744800000001</v>
      </c>
      <c r="M18" s="3">
        <f>0+(393.9-105.2)+(0+(-0.200889--0.053652))+0-30--0.015299999999997</f>
        <v>258.568063</v>
      </c>
      <c r="N18" s="3">
        <f>0+(490.2-178.9)+(0+(0.250002-0.091239))+0-26-0.0132599999999974</f>
        <v>285.44550299999997</v>
      </c>
      <c r="O18" s="3">
        <f>0+(529-206.9)+(0+(0-0))+0-29-0</f>
        <v>293.10000000000002</v>
      </c>
      <c r="P18" s="3">
        <f>0+(507.1-180.9)+(0+(0-0))+0-28-0</f>
        <v>298.20000000000005</v>
      </c>
      <c r="Q18" s="3">
        <f>0+(536.2-216)+(0+(-0.546924--0.22032))+0-30--0.0306000000000048</f>
        <v>289.90399600000006</v>
      </c>
      <c r="R18" s="3">
        <f>0+(534.3-221.5)+(0+(-0.817479--0.338895))+0-0-0</f>
        <v>312.32141599999994</v>
      </c>
      <c r="S18" s="3">
        <f>0+(526.9-220.1)+(0+(-0.806157--0.336753))+0-0-0</f>
        <v>306.33059599999996</v>
      </c>
      <c r="T18" s="3">
        <f>0+(545.5-234.3)+(0+(-0.834615--0.358479))+0-16.3--0.0249390000000009</f>
        <v>294.448803</v>
      </c>
      <c r="U18" s="3">
        <f>0+(544.3-242.8)+(0+(-0.832779--0.371484))+0-30.5--0.0466650000000018</f>
        <v>270.58536999999995</v>
      </c>
      <c r="V18" s="3">
        <f>0+(523.6-218.7)+(0+(-0.267036--0.111537))+0-30.1--0.0153509999999969</f>
        <v>274.659852</v>
      </c>
      <c r="W18" s="3">
        <f>0+(504.1-200.8)+(0+(-1.285455--0.51204))+0-29.4--0.0749699999999957</f>
        <v>273.20155500000004</v>
      </c>
      <c r="X18" s="3">
        <f>0+(465.7-164.1)+(0+(-0.712521--0.251073))+0-29.5--0.0451350000000017</f>
        <v>271.68368700000002</v>
      </c>
      <c r="Y18" s="3">
        <f>0+(433.4-112.2)+(0+(-0.442068--0.114444))+0-30.3--0.0309060000000048</f>
        <v>290.60328199999998</v>
      </c>
      <c r="Z18" s="3">
        <f>0+(462.7-122.8)+(0+(-1.651839--0.438396))+0-30.2--0.107814</f>
        <v>308.59437100000002</v>
      </c>
      <c r="AA18" s="3">
        <f>0+(519.3-184.3)+(0+(-0.794529--0.281979))+0-30.1--0.0460530000000017</f>
        <v>304.43350299999997</v>
      </c>
      <c r="AB18" s="3">
        <f>0+(526.6-204.3)+(0+(-0.805698--0.312579))+0-29.3--0.0448290000000017</f>
        <v>292.55171000000001</v>
      </c>
      <c r="AC18" s="3">
        <f>0+(487.6-182.2)+(0+(0.248676-0.092922))+0-28.7-0.0146369999999971</f>
        <v>276.84111700000005</v>
      </c>
      <c r="AD18">
        <f t="shared" si="0"/>
        <v>6622.6668959999988</v>
      </c>
      <c r="AE18" s="3">
        <f>0+(448.8-99.8)+(0+(0-0))+0-30.2-0</f>
        <v>318.8</v>
      </c>
    </row>
    <row r="19" spans="1:31" s="2" customFormat="1" x14ac:dyDescent="0.25">
      <c r="A19">
        <v>89</v>
      </c>
      <c r="B19">
        <v>1</v>
      </c>
      <c r="C19">
        <v>19</v>
      </c>
      <c r="D19">
        <v>6</v>
      </c>
      <c r="E19">
        <v>1</v>
      </c>
      <c r="F19" s="3">
        <f>0+(540.9-244.6)+(0+(-1.103436--0.498984))+0-29.3--0.0597719999999987</f>
        <v>266.45531999999997</v>
      </c>
      <c r="G19" s="3">
        <f>0+(574-285)+(0+(-0.87822--0.43605))+0-29.7--0.0454410000000017</f>
        <v>258.90327100000002</v>
      </c>
      <c r="H19" s="3">
        <f>0+(565.7-280.5)+(0+(-0.577014--0.28611))+0-30.2--0.0308040000000048</f>
        <v>254.73990000000006</v>
      </c>
      <c r="I19" s="3">
        <f>0+(522.4-242.3)+(0+(-0.799272--0.370719))+0-30.1--0.0460530000000017</f>
        <v>249.61749999999995</v>
      </c>
      <c r="J19" s="3">
        <f>0+(463-187.2)+(0+(0-0))+0-30.1-0</f>
        <v>245.70000000000002</v>
      </c>
      <c r="K19" s="3">
        <f>0+(417.9-148.8)+(0+(0.213129-0.075888))+0-30.1-0.0153509999999969</f>
        <v>239.12188999999998</v>
      </c>
      <c r="L19" s="3">
        <f>0+(455.5-182.9)+(0+(-0.46461--0.186558))+0-30--0.0306000000000048</f>
        <v>242.35254800000001</v>
      </c>
      <c r="M19" s="3">
        <f>0+(469.7-178.8)+(0+(-0.239547--0.091188))+0-30--0.015299999999997</f>
        <v>260.76694099999997</v>
      </c>
      <c r="N19" s="3">
        <f>0+(544.3-234.2)+(0+(-0.277593--0.119442))+0-30.1--0.0153509999999969</f>
        <v>279.85719999999998</v>
      </c>
      <c r="O19" s="3">
        <f>0+(551-231.1)+(0+(0.84303-0.353583))+0-30.6-0.0468180000000018</f>
        <v>289.74262899999997</v>
      </c>
      <c r="P19" s="3">
        <f>0+(513.6-195.2)+(0+(0.523872-0.199104))+0-29.5-0.0300900000000047</f>
        <v>289.19467800000001</v>
      </c>
      <c r="Q19" s="3">
        <f>0+(500.8-186.7)+(0+(0.255408-0.095217))+0-26-0.0132599999999974</f>
        <v>288.24693100000002</v>
      </c>
      <c r="R19" s="3">
        <f>0+(515.6-193.7)+(0+(0-0))+0-31.1-0</f>
        <v>290.8</v>
      </c>
      <c r="S19" s="3">
        <f>0+(521.2-208.2)+(0+(-1.063248--0.424728))+0-31--0.0632399999999986</f>
        <v>281.42472000000004</v>
      </c>
      <c r="T19" s="3">
        <f>0+(528-222.4)+(0+(0.80784-0.340272))+0-28.2-0.0431460000000016</f>
        <v>277.82442200000008</v>
      </c>
      <c r="U19" s="3">
        <f>0+(558.5-259.8)+(0+(-0.284835--0.132498))+0-30.1--0.0153509999999969</f>
        <v>268.46301399999999</v>
      </c>
      <c r="V19" s="3">
        <f>0+(569.9-274.3)+(0+(-0.290649--0.139893))+0-31--0.0158099999999969</f>
        <v>264.46505399999995</v>
      </c>
      <c r="W19" s="3">
        <f>0+(554.6-263.2)+(0+(-0.565692--0.268464))+0-31.1--0.031722000000005</f>
        <v>260.034494</v>
      </c>
      <c r="X19" s="3">
        <f>0+(604.1-307.2)+(0+(-0.308091--0.156672))+0-31.1--0.0158609999999968</f>
        <v>265.66444200000001</v>
      </c>
      <c r="Y19" s="3">
        <f>0+(528.7-206.8)+(0+(0.539274-0.210936))+0-30.1-0.0307020000000048</f>
        <v>292.09763599999997</v>
      </c>
      <c r="Z19" s="3">
        <f>0+(539.5-209.1)+(0+(0.275145-0.106641))+0-30.1-0.0153509999999969</f>
        <v>300.45315299999993</v>
      </c>
      <c r="AA19" s="3">
        <f>0+(576.1-255.9)+(0+(0-0))+0-28.3-0</f>
        <v>291.90000000000003</v>
      </c>
      <c r="AB19" s="3">
        <f>0+(609.7-299.9)+(0+(-0.932841--0.458847))+0-26.1--0.0399330000000015</f>
        <v>283.26593900000006</v>
      </c>
      <c r="AC19" s="3">
        <f>0+(556.4-255.3)+(0+(0-0))+0-30.1-0</f>
        <v>270.99999999999994</v>
      </c>
      <c r="AD19">
        <f t="shared" si="0"/>
        <v>6512.0916819999993</v>
      </c>
      <c r="AE19" s="3">
        <f>0+(545.3-213.3)+(0+(0-0))+0-29.9-0</f>
        <v>302.09999999999997</v>
      </c>
    </row>
    <row r="20" spans="1:31" s="2" customFormat="1" x14ac:dyDescent="0.25">
      <c r="A20">
        <v>89</v>
      </c>
      <c r="B20">
        <v>1</v>
      </c>
      <c r="C20">
        <v>20</v>
      </c>
      <c r="D20">
        <v>7</v>
      </c>
      <c r="E20">
        <v>1</v>
      </c>
      <c r="F20" s="3">
        <f>0+(412.3-127.1)+(0+(-0.420546--0.129642))+0-30.7--0.0313140000000049</f>
        <v>254.24041000000005</v>
      </c>
      <c r="G20" s="3">
        <f>0+(422-150.6)+(0+(-0.86088--0.307224))+0-25.3--0.0516119999999989</f>
        <v>245.59795599999998</v>
      </c>
      <c r="H20" s="3">
        <f>0+(409.6-134.2)+(0+(-0.417792--0.136884))+0-31.3--0.031926000000005</f>
        <v>243.85101800000001</v>
      </c>
      <c r="I20" s="3">
        <f>0+(355-84.6)+(0+(-0.18105--0.043146))+0-31.3--0.0159629999999968</f>
        <v>238.97805899999997</v>
      </c>
      <c r="J20" s="3">
        <f>0+(373.8-106)+(0+(-0.381276--0.10812))+0-31.4--0.032028000000005</f>
        <v>236.15887200000003</v>
      </c>
      <c r="K20" s="3">
        <f>0+(403.5-137)+(0+(-0.205785--0.06987))+0-31.3--0.0159629999999968</f>
        <v>235.08004799999998</v>
      </c>
      <c r="L20" s="3">
        <f>0+(486.7-224.7)+(0+(-0.992868--0.458388))+0-31.4--0.0640559999999986</f>
        <v>230.12957600000001</v>
      </c>
      <c r="M20" s="3">
        <f>0+(558.7-300.5)+(0+(0-0))+0-25.5-0</f>
        <v>232.70000000000005</v>
      </c>
      <c r="N20" s="3">
        <f>0+(534.2-260.7)+(0+(-0.544884--0.265914))+0-31.4--0.032028000000005</f>
        <v>241.85305800000003</v>
      </c>
      <c r="O20" s="3">
        <f>0+(554.9-272.3)+(0+(0.848997-0.416619))+0-30.7-0.0469710000000018</f>
        <v>252.28540699999999</v>
      </c>
      <c r="P20" s="3">
        <f>0+(511.8-227.5)+(0+(0.522036-0.23205))+0-29.3-0.0298860000000047</f>
        <v>255.26009999999999</v>
      </c>
      <c r="Q20" s="3">
        <f>0+(497.6-214)+(0+(0.253776-0.10914))+0-27.2-0.0138719999999972</f>
        <v>256.53076400000003</v>
      </c>
      <c r="R20" s="3">
        <f>0+(472.8-195.7)+(0+(0-0))+0-21.5-0</f>
        <v>255.60000000000002</v>
      </c>
      <c r="S20" s="3">
        <f>0+(474.9-200.9)+(0+(-0.242199--0.102459))+0-24.6--0.0125459999999975</f>
        <v>249.27280599999997</v>
      </c>
      <c r="T20" s="3">
        <f>0+(507.2-237.6)+(0+(-0.517344--0.242352))+0-28.1--0.0286620000000045</f>
        <v>241.25367000000003</v>
      </c>
      <c r="U20" s="3">
        <f>0+(470.9-202.1)+(0+(0.240159-0.103071))+0-31.2-0.0159119999999968</f>
        <v>237.72117599999999</v>
      </c>
      <c r="V20" s="3">
        <f>0+(478-207.7)+(0+(-0.97512--0.423708))+0-31--0.0632399999999986</f>
        <v>238.81182799999999</v>
      </c>
      <c r="W20" s="3">
        <f>0+(452.4-181.8)+(0+(-0.461448--0.185436))+0-30.4--0.0310080000000048</f>
        <v>239.95499599999999</v>
      </c>
      <c r="X20" s="3">
        <f>0+(462.2-188.8)+(0+(-1.414332--0.577728))+0-23.8--0.0728280000000028</f>
        <v>248.83622399999996</v>
      </c>
      <c r="Y20" s="3">
        <f>0+(453.9-154.6)+(0+(0-0))+0-30.5-0</f>
        <v>268.79999999999995</v>
      </c>
      <c r="Z20" s="3">
        <f>0+(486.3-174.6)+(0+(-0.248013--0.089046))+0-30.5--0.0155549999999969</f>
        <v>281.05658800000003</v>
      </c>
      <c r="AA20" s="3">
        <f>0+(535.8-223)+(0+(-0.819774--0.34119))+0-30.7--0.0469710000000018</f>
        <v>281.66838699999994</v>
      </c>
      <c r="AB20" s="3">
        <f>0+(560.7-254.1)+(0+(-0.857871--0.388773))+0-30.7--0.0469710000000018</f>
        <v>275.47787300000005</v>
      </c>
      <c r="AC20" s="3">
        <f>0+(500.6-209.5)+(0+(-1.021224--0.42738))+0-30.6--0.0624239999999987</f>
        <v>259.96858000000003</v>
      </c>
      <c r="AD20">
        <f t="shared" si="0"/>
        <v>6001.0873959999999</v>
      </c>
      <c r="AE20" s="3">
        <f>0+(485.8-174.6)+(0+(0-0))+0-30.8-0</f>
        <v>280.40000000000003</v>
      </c>
    </row>
    <row r="21" spans="1:31" s="2" customFormat="1" x14ac:dyDescent="0.25">
      <c r="A21">
        <v>89</v>
      </c>
      <c r="B21">
        <v>1</v>
      </c>
      <c r="C21">
        <v>21</v>
      </c>
      <c r="D21">
        <v>1</v>
      </c>
      <c r="E21">
        <v>1</v>
      </c>
      <c r="F21" s="3">
        <f>0+(508.6-228.5)+(0+(-1.29693--0.582675))+0-30.7--0.0782849999999955</f>
        <v>248.76403000000005</v>
      </c>
      <c r="G21" s="3">
        <f>0+(524.9-252.8)+(0+(-1.338495--0.64464))+0-30.8--0.0785399999999955</f>
        <v>240.68468499999997</v>
      </c>
      <c r="H21" s="3">
        <f>0+(492.9-230.5)+(0+(-1.508274--0.70533))+0-27.5--0.0841500000000032</f>
        <v>234.18120599999995</v>
      </c>
      <c r="I21" s="3">
        <f>0+(486.1-226.7)+(0+(-0.247911--0.115617))+0-27.2--0.0138719999999972</f>
        <v>232.08157800000004</v>
      </c>
      <c r="J21" s="3">
        <f>0+(464.9-204)+(0+(-0.711297--0.31212))+0-31.3--0.0478890000000018</f>
        <v>229.24871199999995</v>
      </c>
      <c r="K21" s="3">
        <f>0+(437.9-179.8)+(0+(-0.446658--0.183396))+0-31.3--0.031926000000005</f>
        <v>226.56866399999996</v>
      </c>
      <c r="L21" s="3">
        <f>0+(381.2-116.9)+(0+(-1.166472--0.357714))+0-31--0.0948600000000036</f>
        <v>232.58610199999995</v>
      </c>
      <c r="M21" s="3">
        <f>0+(407.9-128)+(0+(0.208029-0.06528))+0-31.2-0.0159119999999968</f>
        <v>248.82683699999998</v>
      </c>
      <c r="N21" s="3">
        <f>0+(524.2-218)+(0+(0-0))+0-31.4-0</f>
        <v>274.80000000000007</v>
      </c>
      <c r="O21" s="3">
        <f>0+(542-221.8)+(0+(-0.55284--0.226236))+0-31.4--0.032028000000005</f>
        <v>288.50542400000006</v>
      </c>
      <c r="P21" s="3">
        <f>0+(538.2-206.5)+(0+(0.274482-0.105315))+0-31.3-0.0159629999999968</f>
        <v>300.55320400000005</v>
      </c>
      <c r="Q21" s="3">
        <f>0+(538.9-205.2)+(0+(0.274839-0.104652))+0-31.3-0.0159629999999968</f>
        <v>302.55422399999998</v>
      </c>
      <c r="R21" s="3">
        <f>0+(549.4-221.3)+(0+(-0.560388--0.225726))+0-31.3--0.031926000000005</f>
        <v>296.49726399999997</v>
      </c>
      <c r="S21" s="3">
        <f>0+(572.1-252.6)+(0+(-1.458855--0.64413))+0-31.4--0.0800699999999954</f>
        <v>287.36534499999999</v>
      </c>
      <c r="T21" s="3">
        <f>0+(585.8-264.6)+(0+(0.298758-0.134946))+0-31.2-0.0159119999999968</f>
        <v>290.14789999999994</v>
      </c>
      <c r="U21" s="3">
        <f>0+(552.5-241.1)+(0+(-1.1271--0.491844))+0-25.7--0.0524279999999989</f>
        <v>285.11717199999998</v>
      </c>
      <c r="V21" s="3">
        <f>0+(527.4-216.5)+(0+(0-0))+0-30.6-0</f>
        <v>280.29999999999995</v>
      </c>
      <c r="W21" s="3">
        <f>0+(494.3-186.1)+(0+(-1.008372--0.379644))+0-31--0.0632399999999986</f>
        <v>276.63451200000003</v>
      </c>
      <c r="X21" s="3">
        <f>0+(467.4-163.3)+(0+(-0.476748--0.166566))+0-31.2--0.031824000000005</f>
        <v>272.62164200000001</v>
      </c>
      <c r="Y21" s="3">
        <f>0+(419.7-95.5)+(0+(-0.856188--0.19482))+0-31.3--0.0638519999999986</f>
        <v>292.30248399999999</v>
      </c>
      <c r="Z21" s="3">
        <f>0+(452-110.1)+(0+(-0.69156--0.168453))+0-31.2--0.0477360000000018</f>
        <v>310.22462899999999</v>
      </c>
      <c r="AA21" s="3">
        <f>0+(536.5-196.3)+(0+(-0.820845--0.300339))+0-31.2--0.0477360000000018</f>
        <v>308.52722999999997</v>
      </c>
      <c r="AB21" s="3">
        <f>0+(490.6-162.1)+(0+(-0.750618--0.248013))+0-31.1--0.0475830000000018</f>
        <v>296.94497799999994</v>
      </c>
      <c r="AC21" s="3">
        <f>0+(420.7-107.8)+(0+(-0.858228--0.219912))+0-31.1--0.0634439999999986</f>
        <v>281.22512799999998</v>
      </c>
      <c r="AD21">
        <f t="shared" si="0"/>
        <v>6537.2629499999994</v>
      </c>
      <c r="AE21" s="3">
        <f>0+(419.7-84.8)+(0+(0-0))+0-31-0</f>
        <v>303.89999999999998</v>
      </c>
    </row>
    <row r="22" spans="1:31" s="2" customFormat="1" x14ac:dyDescent="0.25">
      <c r="A22">
        <v>89</v>
      </c>
      <c r="B22">
        <v>1</v>
      </c>
      <c r="C22">
        <v>22</v>
      </c>
      <c r="D22">
        <v>2</v>
      </c>
      <c r="E22">
        <v>1</v>
      </c>
      <c r="F22" s="3">
        <f>0+(455.7-156.1)+(0+(-0.464814--0.159222))+0-31.3--0.031926000000005</f>
        <v>268.02633400000002</v>
      </c>
      <c r="G22" s="3">
        <f>0+(391.7-99)+(0+(-0.998835--0.25245))+0-31.3--0.0798149999999955</f>
        <v>260.73343</v>
      </c>
      <c r="H22" s="3">
        <f>0+(313.5-26.7)+(0+(-0.479655--0.040851))+0-30.7--0.0469710000000018</f>
        <v>255.70816700000003</v>
      </c>
      <c r="I22" s="3">
        <f>0+(288.7-6.8)+(0+(-0.441711--0.010404))+0-31.2--0.0477360000000018</f>
        <v>250.316429</v>
      </c>
      <c r="J22" s="3">
        <f>0+(274.7-1.1)+(0+(-0.700485--0.002805))+0-31.1--0.0793049999999955</f>
        <v>241.88162499999999</v>
      </c>
      <c r="K22" s="3">
        <f>0+(295.9-18)+(0+(0.301818-0.01836))+0-29.4-0.0299880000000047</f>
        <v>248.75346999999996</v>
      </c>
      <c r="L22" s="3">
        <f>0+(280.7-3.4)+(0+(-0.715785--0.00867))+0-30.7--0.0782849999999955</f>
        <v>245.97117000000003</v>
      </c>
      <c r="M22" s="3">
        <f>0+(296.6-6)+(0+(-0.151266--0.00306))+0-30.7--0.0156569999999969</f>
        <v>259.76745099999999</v>
      </c>
      <c r="N22" s="3">
        <f>0+(443.8-126.7)+(0+(0.226338-0.064617))+0-30.5-0.0155549999999969</f>
        <v>286.74616600000002</v>
      </c>
      <c r="O22" s="3">
        <f>0+(505.2-172.3)+(0+(-0.257652--0.087873))+0-31.2--0.0159119999999968</f>
        <v>301.546133</v>
      </c>
      <c r="P22" s="3">
        <f>0+(538.4-199.2)+(0+(-0.274584--0.101592))+0-31.2--0.0159119999999968</f>
        <v>307.84291999999999</v>
      </c>
      <c r="Q22" s="3">
        <f>0+(540.6-197.8)+(0+(0.275706-0.100878))+0-31.3-0.0159629999999968</f>
        <v>311.65886499999999</v>
      </c>
      <c r="R22" s="3">
        <f>0+(585.8-241.7)+(0+(-0.896274--0.369801))+0-31.2--0.0477360000000018</f>
        <v>312.42126299999995</v>
      </c>
      <c r="S22" s="3">
        <f>0+(592-258)+(0+(-0.90576--0.39474))+0-31.2--0.0477360000000018</f>
        <v>302.33671600000002</v>
      </c>
      <c r="T22" s="3">
        <f>0+(584.4-250.6)+(0+(0-0))+0-31-0</f>
        <v>302.79999999999995</v>
      </c>
      <c r="U22" s="3">
        <f>0+(587.1-256.7)+(0+(0-0))+0-31.1-0</f>
        <v>299.3</v>
      </c>
      <c r="V22" s="3">
        <f>0+(565.1-225.3)+(0+(-0.288201--0.114903))+0-31.2--0.0159119999999968</f>
        <v>308.44261400000005</v>
      </c>
      <c r="W22" s="3">
        <f>0+(522.7-204.6)+(0+(-1.599462--0.626076))+0-31.3--0.0957780000000036</f>
        <v>285.922392</v>
      </c>
      <c r="X22" s="3">
        <f>0+(501.5-185)+(0+(-0.255765--0.09435))+0-32.2--0.0164219999999967</f>
        <v>284.15500700000001</v>
      </c>
      <c r="Y22" s="3">
        <f>0+(466.9-130.1)+(0+(-0.476238--0.132702))+0-31.4--0.032028000000005</f>
        <v>305.08849200000003</v>
      </c>
      <c r="Z22" s="3">
        <f>0+(499.4-153.8)+(0+(-1.528164--0.470628))+0-31.2--0.0954720000000036</f>
        <v>313.43793599999998</v>
      </c>
      <c r="AA22" s="3">
        <f>0+(476.5-137.7)+(0+(-0.97206--0.280908))+0-31.1--0.0634439999999986</f>
        <v>307.072292</v>
      </c>
      <c r="AB22" s="3">
        <f>0+(429.7-106.5)+(0+(0-0))+0-29.5-0</f>
        <v>293.7</v>
      </c>
      <c r="AC22" s="3">
        <f>0+(365.4-55.6)+(0+(-0.186354--0.028356))+0-31.1--0.0158609999999968</f>
        <v>278.55786299999988</v>
      </c>
      <c r="AD22">
        <f t="shared" si="0"/>
        <v>6832.1867350000011</v>
      </c>
      <c r="AE22" s="3">
        <f>0+(523.1-178.3)+(0+(0-0))+0-31-0</f>
        <v>313.8</v>
      </c>
    </row>
    <row r="23" spans="1:31" s="2" customFormat="1" x14ac:dyDescent="0.25">
      <c r="A23">
        <v>89</v>
      </c>
      <c r="B23">
        <v>1</v>
      </c>
      <c r="C23">
        <v>23</v>
      </c>
      <c r="D23">
        <v>3</v>
      </c>
      <c r="E23">
        <v>1</v>
      </c>
      <c r="F23" s="3">
        <f>0+(327.6-33.6)+(0+(-0.501228--0.051408))+0-31.1--0.0475830000000018</f>
        <v>262.49776299999996</v>
      </c>
      <c r="G23" s="3">
        <f>0+(308.2-19)+(0+(0-0))+0-31.2-0</f>
        <v>258</v>
      </c>
      <c r="H23" s="3">
        <f>0+(271.4-0)+(0+(-0.276828-0))+0-31.2--0.031824000000005</f>
        <v>239.95499599999997</v>
      </c>
      <c r="I23" s="3">
        <f>0+(278.2-0)+(0+(-0.141882-0))+0-31--0.0158099999999969</f>
        <v>247.07392799999997</v>
      </c>
      <c r="J23" s="3">
        <f>0+(275.4-0)+(0+(-0.561816-0))+0-30.5--0.0622199999999987</f>
        <v>244.40040399999995</v>
      </c>
      <c r="K23" s="3">
        <f>0+(278.9-0)+(0+(-0.142239-0))+0-31.2--0.0159119999999968</f>
        <v>247.57367299999996</v>
      </c>
      <c r="L23" s="3">
        <f>0+(281.9-0)+(0+(-0.143769-0))+0-31--0.0158099999999969</f>
        <v>250.77204099999994</v>
      </c>
      <c r="M23" s="3">
        <f>0+(301.2-0)+(0+(-0.307224-0))+0-31.1--0.031722000000005</f>
        <v>269.82449799999995</v>
      </c>
      <c r="N23" s="3">
        <f>0+(325.2-0)+(0+(-0.663408-0))+0-31.2--0.0636479999999986</f>
        <v>293.40024</v>
      </c>
      <c r="O23" s="3">
        <f>0+(340.1-4.2)+(0+(-0.520353--0.006426))+0-31.3--0.0478890000000018</f>
        <v>304.133962</v>
      </c>
      <c r="P23" s="3">
        <f>0+(358.6-27)+(0+(-0.548658--0.04131))+0-27.5--0.0420750000000016</f>
        <v>303.63472700000005</v>
      </c>
      <c r="Q23" s="3">
        <f>0+(414.1-73.4)+(0+(-0.422382--0.074868))+0-31.3--0.031926000000005</f>
        <v>309.08441200000004</v>
      </c>
      <c r="R23" s="3">
        <f>0+(439.7-101.8)+(0+(0-0))+0-31.1-0</f>
        <v>306.79999999999995</v>
      </c>
      <c r="S23" s="3">
        <f>3+(440.1-117.5)+(-0.00153+(-0.224451--0.059925))+0-31.3--0.0159629999999968</f>
        <v>294.14990699999998</v>
      </c>
      <c r="T23" s="3">
        <f>5+(454.8-133.2)+(-0.0051+(-0.463896--0.135864))+0-31.2--0.031824000000005</f>
        <v>295.09869200000009</v>
      </c>
      <c r="U23" s="3">
        <f>5+(447.9-129.1)+(-0.0051+(-0.456858--0.131682))+0-31.2--0.031824000000005</f>
        <v>292.30154799999997</v>
      </c>
      <c r="V23" s="3">
        <f>5+(401-87.7)+(-0.0051+(-0.40902--0.089454))+0-31.2--0.031824000000005</f>
        <v>286.80715800000007</v>
      </c>
      <c r="W23" s="3">
        <f>5+(335.1-29)+(-0.00255+(-0.170901--0.01479))+0-30.8--0.0157079999999969</f>
        <v>280.15704700000003</v>
      </c>
      <c r="X23" s="3">
        <f>5+(295.5-0)+(-0.00255+(-0.150705-0))+0-31--0.0158099999999969</f>
        <v>269.36255499999999</v>
      </c>
      <c r="Y23" s="3">
        <f>3+(321-0)+(0+(0-0))+0-31.1-0</f>
        <v>292.89999999999998</v>
      </c>
      <c r="Z23" s="3">
        <f>0+(340.8-0)+(0+(-0.347616-0))+0-31--0.0316200000000049</f>
        <v>309.48400400000003</v>
      </c>
      <c r="AA23" s="3">
        <f>0+(332.1-0)+(0+(-0.338742-0))+0-31--0.0316200000000049</f>
        <v>300.79287800000003</v>
      </c>
      <c r="AB23" s="3">
        <f>0+(358.9-35)+(0+(-0.732156--0.0714))+0-31.3--0.0638519999999986</f>
        <v>292.00309599999997</v>
      </c>
      <c r="AC23" s="3">
        <f>0+(392.8-85.2)+(0+(-0.400656--0.086904))+0-29.8--0.0303960000000048</f>
        <v>277.51664399999999</v>
      </c>
      <c r="AD23">
        <f t="shared" si="0"/>
        <v>6727.7241730000005</v>
      </c>
      <c r="AE23" s="3">
        <f>0+(338.4-0)+(0+(0-0))+0-31.1-0</f>
        <v>307.29999999999995</v>
      </c>
    </row>
    <row r="24" spans="1:31" s="2" customFormat="1" x14ac:dyDescent="0.25">
      <c r="A24">
        <v>89</v>
      </c>
      <c r="B24">
        <v>1</v>
      </c>
      <c r="C24">
        <v>24</v>
      </c>
      <c r="D24">
        <v>4</v>
      </c>
      <c r="E24">
        <v>1</v>
      </c>
      <c r="F24" s="3">
        <f>0+(449.9-153.6)+(0+(-0.688347--0.235008))+0-30.6--0.0468180000000018</f>
        <v>265.29347899999993</v>
      </c>
      <c r="G24" s="3">
        <f>0+(449.1-161.3)+(0+(-0.687123--0.246789))+0-31.3--0.0478890000000018</f>
        <v>256.10755499999999</v>
      </c>
      <c r="H24" s="3">
        <f>0+(456.6-175.3)+(0+(0.232866-0.089403))+0-31.2-0.0159119999999968</f>
        <v>250.22755100000003</v>
      </c>
      <c r="I24" s="3">
        <f>0+(427.9-148.4)+(0+(-0.654687--0.227052))+0-31.3--0.0478890000000018</f>
        <v>247.82025399999998</v>
      </c>
      <c r="J24" s="3">
        <f>0+(429.1-151.9)+(0+(-1.094205--0.387345))+0-31.3--0.0798149999999955</f>
        <v>245.27295500000002</v>
      </c>
      <c r="K24" s="3">
        <f>0+(416.8-136.4)+(0+(-0.637704--0.208692))+0-31.2--0.0477360000000018</f>
        <v>248.818724</v>
      </c>
      <c r="L24" s="3">
        <f>0+(437.1-153.3)+(0+(-0.222921--0.078183))+0-31.2--0.0159119999999968</f>
        <v>252.47117399999999</v>
      </c>
      <c r="M24" s="3">
        <f>0+(416.4-117.8)+(0+(0-0))+0-30.9-0</f>
        <v>267.7</v>
      </c>
      <c r="N24" s="3">
        <f>0+(477.4-156.9)+(0+(0-0))+0-31.2-0</f>
        <v>289.3</v>
      </c>
      <c r="O24" s="3">
        <f>0+(480.2-150.5)+(0+(-0.244902--0.076755))+0-31.1--0.0158609999999968</f>
        <v>298.44771399999996</v>
      </c>
      <c r="P24" s="3">
        <f>0+(464.7-128.7)+(0+(0-0))+0-31-0</f>
        <v>305</v>
      </c>
      <c r="Q24" s="3">
        <f>0+(479.4-139.3)+(0+(0-0))+0-30.2-0</f>
        <v>309.89999999999998</v>
      </c>
      <c r="R24" s="3">
        <f>0+(473.6-135.7)+(0+(-0.724608--0.207621))+0-29.4--0.0449820000000017</f>
        <v>308.02799500000009</v>
      </c>
      <c r="S24" s="3">
        <f>0+(526.3-203.5)+(0+(-0.536826--0.20757))+0-31--0.0316200000000049</f>
        <v>291.502364</v>
      </c>
      <c r="T24" s="3">
        <f>0+(574.6-250.6)+(0+(-0.293046--0.127806))+0-31--0.0158099999999969</f>
        <v>292.85057</v>
      </c>
      <c r="U24" s="3">
        <f>0+(540.3-223.6)+(0+(0.275553-0.114036))+0-31.2-0.0159119999999968</f>
        <v>285.64560499999993</v>
      </c>
      <c r="V24" s="3">
        <f>0+(530.5-217.6)+(0+(-0.270555--0.110976))+0-31.3--0.0159629999999968</f>
        <v>281.45638399999996</v>
      </c>
      <c r="W24" s="3">
        <f>0+(510.4-202.9)+(0+(-0.780912--0.310437))+0-31.2--0.0477360000000018</f>
        <v>275.87726099999998</v>
      </c>
      <c r="X24" s="3">
        <f>0+(486-175.8)+(0+(-1.2393--0.44829))+0-31.1--0.0793049999999955</f>
        <v>278.38829499999997</v>
      </c>
      <c r="Y24" s="3">
        <f>0+(423.7-97.1)+(0+(-0.432174--0.099042))+0-31.1--0.031722000000005</f>
        <v>295.19859000000002</v>
      </c>
      <c r="Z24" s="3">
        <f>0+(390.9-45.3)+(0+(-0.797436--0.092412))+0-31.2--0.0636479999999986</f>
        <v>313.758624</v>
      </c>
      <c r="AA24" s="3">
        <f>0+(385.2-41)+(0+(-0.98226--0.10455))+0-30.8--0.0785399999999955</f>
        <v>312.60082999999997</v>
      </c>
      <c r="AB24" s="3">
        <f>0+(371.6-48.4)+(0+(-0.758064--0.098736))+0-31.3--0.0638519999999986</f>
        <v>291.30452400000001</v>
      </c>
      <c r="AC24" s="3">
        <f>0+(412-102.4)+(0+(-0.84048--0.208896))+0-31.3--0.0638519999999986</f>
        <v>277.73226800000003</v>
      </c>
      <c r="AD24">
        <f t="shared" si="0"/>
        <v>6740.7027159999989</v>
      </c>
      <c r="AE24" s="3">
        <f>0+(385-42)+(0+(0-0))+0-31-0</f>
        <v>312</v>
      </c>
    </row>
    <row r="25" spans="1:31" s="2" customFormat="1" x14ac:dyDescent="0.25">
      <c r="A25">
        <v>89</v>
      </c>
      <c r="B25">
        <v>1</v>
      </c>
      <c r="C25">
        <v>25</v>
      </c>
      <c r="D25">
        <v>5</v>
      </c>
      <c r="E25">
        <v>1</v>
      </c>
      <c r="F25" s="3">
        <f>0+(386.2-84.7)+(0+(-0.590886--0.129591))+0-31.2--0.0477360000000018</f>
        <v>269.88644099999999</v>
      </c>
      <c r="G25" s="3">
        <f>0+(353.2-60.2)+(0+(-0.540396--0.092106))+0-31.2--0.0477360000000018</f>
        <v>261.39944600000001</v>
      </c>
      <c r="H25" s="3">
        <f>0+(326.8-39.2)+(0+(-0.333336--0.039984))+0-31.3--0.031926000000005</f>
        <v>256.03857399999998</v>
      </c>
      <c r="I25" s="3">
        <f>0+(340.9-57.8)+(0+(-0.347718--0.058956))+0-31.2--0.031824000000005</f>
        <v>251.64306199999996</v>
      </c>
      <c r="J25" s="3">
        <f>0+(339.2-58.9)+(0+(-0.345984--0.060078))+0-31.2--0.031824000000005</f>
        <v>248.84591800000001</v>
      </c>
      <c r="K25" s="3">
        <f>0+(336.1-52.3)+(0+(0.171411-0.026673))+0-31.1-0.0158609999999968</f>
        <v>252.82887700000003</v>
      </c>
      <c r="L25" s="3">
        <f>0+(325.3-34.3)+(0+(-0.165903--0.017493))+0-31.1--0.0158609999999968</f>
        <v>259.76745099999994</v>
      </c>
      <c r="M25" s="3">
        <f>0+(364.1-59.8)+(0+(0.185691-0.030498))+0-30.6-0.0156059999999969</f>
        <v>273.83958699999999</v>
      </c>
      <c r="N25" s="3">
        <f>0+(390.3-63.7)+(0+(0-0))+0-31.2-0</f>
        <v>295.40000000000003</v>
      </c>
      <c r="O25" s="3">
        <f>0+(341.6-3.4)+(0+(-0.174216--0.001734))+0-29.8--0.015197999999997</f>
        <v>308.24271600000003</v>
      </c>
      <c r="P25" s="3">
        <f>0+(338.9-0)+(0+(0.345678-0))+0-31.2-0.031824000000005</f>
        <v>308.01385399999998</v>
      </c>
      <c r="Q25" s="3">
        <f>0+(399.1-59)+(0+(-0.610623--0.09027))+0-31.2--0.0477360000000018</f>
        <v>308.42738300000002</v>
      </c>
      <c r="R25" s="3">
        <f>7+(419.4-82)+(0.00357+(0.213894-0.04182))+0-31-0.0158099999999969</f>
        <v>313.55983399999997</v>
      </c>
      <c r="S25" s="3">
        <f>7+(407.8-80.2)+(-0.00357+(-0.207978--0.040902))+0-30.3--0.0154529999999969</f>
        <v>304.14480700000001</v>
      </c>
      <c r="T25" s="3">
        <f>7+(427.2-102.1)+(0.00357+(0.217872-0.052071))+0-31.1-0.0158609999999968</f>
        <v>301.15351000000004</v>
      </c>
      <c r="U25" s="3">
        <f>7+(422.7-102.7)+(-0.01071+(-0.646731--0.157131))+0-31.3--0.0478890000000018</f>
        <v>295.24757899999997</v>
      </c>
      <c r="V25" s="3">
        <f>7+(383.4-59.9)+(0+(0-0))+0-31.1-0</f>
        <v>299.39999999999998</v>
      </c>
      <c r="W25" s="3">
        <f>7+(316.2-0)+(-0.01071+(-0.483786-0))+0-30.8--0.0471240000000018</f>
        <v>291.95262799999995</v>
      </c>
      <c r="X25" s="3">
        <f>7+(307.1-0)+(-0.02142+(-0.939726-0))+0-30.8--0.0942480000000036</f>
        <v>282.43310200000002</v>
      </c>
      <c r="Y25" s="3">
        <f>7+(328.1-0)+(-0.00714+(-0.334662-0))+0-30.8--0.0314160000000049</f>
        <v>303.98961400000002</v>
      </c>
      <c r="Z25" s="3">
        <f>7+(338.1-0)+(-0.01428+(-0.689724-0))+0-30.7--0.0626279999999987</f>
        <v>313.75862400000005</v>
      </c>
      <c r="AA25" s="3">
        <f>7+(381.5-42.8)+(-0.01071+(-0.583695--0.065484))+0-29.6--0.0452880000000017</f>
        <v>315.61636699999997</v>
      </c>
      <c r="AB25" s="3">
        <f>7+(344.9-20.3)+(-0.01428+(-0.703596--0.041412))+0-29.3--0.0597719999999987</f>
        <v>301.68330799999995</v>
      </c>
      <c r="AC25" s="3">
        <f>7+(310.7-3.6)+(0+(0-0))+0-29.3-0</f>
        <v>284.79999999999995</v>
      </c>
      <c r="AD25">
        <f t="shared" si="0"/>
        <v>6902.0726819999991</v>
      </c>
      <c r="AE25" s="3">
        <f>7+(343-0)+(0+(0-0))+0-31-0</f>
        <v>319</v>
      </c>
    </row>
    <row r="26" spans="1:31" s="2" customFormat="1" x14ac:dyDescent="0.25">
      <c r="A26">
        <v>89</v>
      </c>
      <c r="B26">
        <v>1</v>
      </c>
      <c r="C26">
        <v>26</v>
      </c>
      <c r="D26">
        <v>6</v>
      </c>
      <c r="E26">
        <v>1</v>
      </c>
      <c r="F26" s="3">
        <f>7+(354.8-55)+(-0.01071+(-0.542844--0.08415))+0-29.3--0.0448290000000017</f>
        <v>277.075425</v>
      </c>
      <c r="G26" s="3">
        <f>7+(355.7-63)+(-0.00357+(-0.181407--0.03213))+0-29.3--0.014942999999997</f>
        <v>270.26209599999999</v>
      </c>
      <c r="H26" s="3">
        <f>7+(350.1-64.2)+(0+(0-0))+0-29.3-0</f>
        <v>263.60000000000002</v>
      </c>
      <c r="I26" s="3">
        <f>7+(340-57.8)+(-0.01428+(-0.6936--0.117912))+0-29.3--0.0597719999999987</f>
        <v>259.36980399999999</v>
      </c>
      <c r="J26" s="3">
        <f>7+(324.3-37.4)+(-0.01071+(-0.496179--0.057222))+0-29.3--0.0448290000000017</f>
        <v>264.19516200000004</v>
      </c>
      <c r="K26" s="3">
        <f>7+(311.3-25.3)+(0+(0-0))+0-29.3-0</f>
        <v>263.7</v>
      </c>
      <c r="L26" s="3">
        <f>7+(287.8-5.7)+(-0.02142+(-0.880668--0.017442))+0-29.3--0.0896580000000034</f>
        <v>259.00501200000002</v>
      </c>
      <c r="M26" s="3">
        <f>7+(307.3-8.4)+(0.00357+(0.156723-0.004284))+0-30.6-0.0156059999999969</f>
        <v>275.440403</v>
      </c>
      <c r="N26" s="3">
        <f>7+(385.1-63.9)+(0+(0-0))+0-30.6-0</f>
        <v>297.60000000000002</v>
      </c>
      <c r="O26" s="3">
        <f>7+(363.9-31.3)+(0.00714+(0.371178-0.031926))+0-30.6-0.0312120000000049</f>
        <v>309.31517999999994</v>
      </c>
      <c r="P26" s="3">
        <f>7+(329.7-0)+(-0.01071+(-0.504441-0))+0-30.6--0.0468180000000018</f>
        <v>305.63166699999999</v>
      </c>
      <c r="Q26" s="3">
        <f>7+(325.3-0)+(-0.01071+(-0.497709-0))+0-30.6--0.0468180000000018</f>
        <v>301.23839899999996</v>
      </c>
      <c r="R26" s="3">
        <f>7+(335.4-4.1)+(0+(0-0))+0-31-0</f>
        <v>307.29999999999995</v>
      </c>
      <c r="S26" s="3">
        <f>7+(344.7-20.3)+(-0.01071+(-0.527391--0.031059))+0-31--0.0474300000000018</f>
        <v>299.94038799999998</v>
      </c>
      <c r="T26" s="3">
        <f>7+(337.7-18.7)+(-0.00357+(-0.172227--0.009537))+0-31--0.0158099999999969</f>
        <v>294.84954999999997</v>
      </c>
      <c r="U26" s="3">
        <f>7+(402.3-97.8)+(-0.00357+(-0.205173--0.049878))+0-31--0.0158099999999969</f>
        <v>280.356945</v>
      </c>
      <c r="V26" s="3">
        <f>7+(438.2-136.8)+(-0.01071+(-0.670446--0.209304))+0-31--0.0474300000000018</f>
        <v>276.97557799999998</v>
      </c>
      <c r="W26" s="3">
        <f>7+(378.3-81.3)+(-0.01071+(-0.578799--0.124389))+0-31--0.0474300000000018</f>
        <v>272.58231000000001</v>
      </c>
      <c r="X26" s="3">
        <f>7+(347.7-48.4)+(-0.01071+(-0.531981--0.074052))+0-31--0.0474300000000018</f>
        <v>274.87879100000004</v>
      </c>
      <c r="Y26" s="3">
        <f>7+(381.5-59.8)+(0.00357+(0.194565-0.030498))+0-31-0.0158099999999969</f>
        <v>297.85182700000001</v>
      </c>
      <c r="Z26" s="3">
        <f>7+(395.8-57)+(-0.00714+(-0.403716--0.05814))+0-29--0.0295800000000046</f>
        <v>316.47686400000003</v>
      </c>
      <c r="AA26" s="3">
        <f>7+(411.4-78.4)+(-0.00357+(-0.209814--0.039984))+0-31--0.0158099999999969</f>
        <v>308.84240999999997</v>
      </c>
      <c r="AB26" s="3">
        <f>7+(424.7-104.6)+(-0.00714+(-0.433194--0.106692))+0-31--0.0316200000000049</f>
        <v>295.79797800000006</v>
      </c>
      <c r="AC26" s="3">
        <f>7+(399.6-93)+(-0.02142+(-1.222776--0.28458))+0-28--0.0856800000000032</f>
        <v>284.72606400000006</v>
      </c>
      <c r="AD26">
        <f t="shared" si="0"/>
        <v>6857.0118530000018</v>
      </c>
      <c r="AE26" s="3">
        <f>7+(388.9-59.8)+(0+(0-0))+0-31-0</f>
        <v>305.09999999999997</v>
      </c>
    </row>
    <row r="27" spans="1:31" s="2" customFormat="1" x14ac:dyDescent="0.25">
      <c r="A27">
        <v>89</v>
      </c>
      <c r="B27">
        <v>1</v>
      </c>
      <c r="C27">
        <v>27</v>
      </c>
      <c r="D27">
        <v>7</v>
      </c>
      <c r="E27">
        <v>1</v>
      </c>
      <c r="F27" s="3">
        <f>7+(365.8-74.8)+(-0.00714+(-0.373116--0.076296))+0-31--0.0316200000000049</f>
        <v>266.72766000000001</v>
      </c>
      <c r="G27" s="3">
        <f>7+(392.8-109.8)+(-0.01785+(-1.00164--0.27999))+0-31--0.0790499999999955</f>
        <v>258.33954999999997</v>
      </c>
      <c r="H27" s="3">
        <f>7+(380.6-96.4)+(-0.01785+(-0.97053--0.24582))+0-31--0.0790499999999955</f>
        <v>259.53649000000001</v>
      </c>
      <c r="I27" s="3">
        <f>7+(404-124.1)+(-0.00714+(-0.41208--0.126582))+0-31--0.0316200000000049</f>
        <v>255.63898199999997</v>
      </c>
      <c r="J27" s="3">
        <f>7+(364.6-88.2)+(0+(0-0))+0-31-0</f>
        <v>252.40000000000003</v>
      </c>
      <c r="K27" s="3">
        <f>7+(330.8-53)+(-0.01428+(-0.674832--0.10812))+0-31--0.0632399999999986</f>
        <v>253.28224800000004</v>
      </c>
      <c r="L27" s="3">
        <f>7+(343.5-79.9)+(-0.02499+(-1.226295--0.285243))+0-31--0.11067</f>
        <v>238.74462800000001</v>
      </c>
      <c r="M27" s="3">
        <f>7+(352.1-90.9)+(-0.01428+(-0.718284--0.185436))+0-31--0.0632399999999986</f>
        <v>236.71611200000007</v>
      </c>
      <c r="N27" s="3">
        <f>7+(337.8-66.8)+(0+(0-0))+0-31-0</f>
        <v>247</v>
      </c>
      <c r="O27" s="3">
        <f>7+(339.9-62.6)+(0.00714+(0.346698-0.063852))+0-31-0.0316200000000049</f>
        <v>253.55836599999995</v>
      </c>
      <c r="P27" s="3">
        <f>7+(347.5-60.8)+(0+(0-0))+0-32-0</f>
        <v>261.7</v>
      </c>
      <c r="Q27" s="3">
        <f>7+(335.6-46.6)+(-0.00714+(-0.342312--0.047532))+0-31--0.0316200000000049</f>
        <v>264.72970000000004</v>
      </c>
      <c r="R27" s="3">
        <f>7+(338.3-56.6)+(-0.00714+(-0.345066--0.057732))+0-31--0.0316200000000049</f>
        <v>257.43714600000004</v>
      </c>
      <c r="S27" s="3">
        <f>7+(307.9-30.7)+(0+(0-0))+0-31-0</f>
        <v>253.2</v>
      </c>
      <c r="T27" s="3">
        <f>7+(370.7-94.6)+(-0.01428+(-0.756228--0.192984))+0-31--0.0632399999999986</f>
        <v>251.58571600000005</v>
      </c>
      <c r="U27" s="3">
        <f>7+(366.6-95)+(-0.02499+(-1.308762--0.33915))+0-31--0.11067</f>
        <v>246.71606800000004</v>
      </c>
      <c r="V27" s="3">
        <f>7+(327.5-57.7)+(-0.02142+(-1.00215--0.176562))+0-31--0.0948600000000036</f>
        <v>245.04785200000001</v>
      </c>
      <c r="W27" s="3">
        <f>7+(282.9-13.8)+(-0.00357+(-0.144279--0.007038))+0-31--0.0158099999999969</f>
        <v>244.97499899999997</v>
      </c>
      <c r="X27" s="3">
        <f>7+(271-0)+(-0.01785+(-0.69105-0))+0-31--0.0790499999999955</f>
        <v>246.37014999999997</v>
      </c>
      <c r="Y27" s="3">
        <f>7+(295.4-0)+(-0.00714+(-0.301308-0))+0-31--0.0316200000000049</f>
        <v>271.12317200000001</v>
      </c>
      <c r="Z27" s="3">
        <f>7+(411.3-89.6)+(-0.00714+(-0.419526--0.091392))+0-31--0.0316200000000049</f>
        <v>297.39634600000005</v>
      </c>
      <c r="AA27" s="3">
        <f>7+(427.2-106)+(0+(0-0))+0-31-0</f>
        <v>297.2</v>
      </c>
      <c r="AB27" s="3">
        <f>7+(423.1-111.1)+(-0.01071+(-0.647343--0.169983))+0-31--0.0474300000000018</f>
        <v>287.55936000000003</v>
      </c>
      <c r="AC27" s="3">
        <f>7+(429.8-131.6)+(-0.01071+(-0.657594--0.201348))+0-31--0.0474300000000018</f>
        <v>273.78047400000008</v>
      </c>
      <c r="AD27">
        <f t="shared" si="0"/>
        <v>6220.7650189999995</v>
      </c>
      <c r="AE27" s="3">
        <f>7+(437.8-115.9)+(0+(0-0))+0-31-0</f>
        <v>297.89999999999998</v>
      </c>
    </row>
    <row r="28" spans="1:31" s="2" customFormat="1" x14ac:dyDescent="0.25">
      <c r="A28">
        <v>89</v>
      </c>
      <c r="B28">
        <v>1</v>
      </c>
      <c r="C28">
        <v>28</v>
      </c>
      <c r="D28">
        <v>1</v>
      </c>
      <c r="E28">
        <v>1</v>
      </c>
      <c r="F28" s="3">
        <f>7+(434.7-152.8)+(-0.01785+(-1.108485--0.38964))+0-31--0.0790499999999955</f>
        <v>257.24235499999998</v>
      </c>
      <c r="G28" s="3">
        <f>7+(444.5-166.6)+(-0.02142+(-1.36017--0.509796))+0-31--0.0948600000000036</f>
        <v>253.12306599999997</v>
      </c>
      <c r="H28" s="3">
        <f>7+(447.4-172.4)+(-0.01428+(-0.912696--0.351696))+0-31--0.0632399999999986</f>
        <v>250.48795999999999</v>
      </c>
      <c r="I28" s="3">
        <f>7+(465.6-192.5)+(-0.00714+(-0.474912--0.19635))+0-31--0.0316200000000049</f>
        <v>248.84591800000001</v>
      </c>
      <c r="J28" s="3">
        <f>7+(453.9-181)+(-0.01071+(-0.694467--0.27693))+0-31--0.0474300000000018</f>
        <v>248.51918299999997</v>
      </c>
      <c r="K28" s="3">
        <f>7+(420.1-144.2)+(-0.00714+(-0.428502--0.147084))+0-31--0.0316200000000049</f>
        <v>251.64306200000001</v>
      </c>
      <c r="L28" s="3">
        <f>7+(372.7-97.4)+(-0.00357+(-0.190077--0.049674))+0-31--0.0158099999999969</f>
        <v>251.17183699999993</v>
      </c>
      <c r="M28" s="3">
        <f>7+(386.8-90.9)+(0.00357+(0.197268-0.046359))+0-31-0.0158099999999969</f>
        <v>272.03866899999997</v>
      </c>
      <c r="N28" s="3">
        <f>7+(484.5-162.7)+(-0.00357+(-0.247095--0.082977))+0-31--0.0158099999999969</f>
        <v>297.648122</v>
      </c>
      <c r="O28" s="3">
        <f>7+(373-50.7)+(0+(0-0))+0-31-0</f>
        <v>298.3</v>
      </c>
      <c r="P28" s="3">
        <f>7+(332-2.7)+(-0.01071+(-0.50796--0.004131))+0-31--0.0474300000000018</f>
        <v>304.83289100000002</v>
      </c>
      <c r="Q28" s="3">
        <f>7+(324.5-0)+(-0.01071+(-0.496485-0))+0-31--0.0474300000000018</f>
        <v>300.040235</v>
      </c>
      <c r="R28" s="3">
        <f>7+(331.8-5.1)+(-0.01071+(-0.507654--0.007803))+0-31--0.0474300000000018</f>
        <v>302.23686900000001</v>
      </c>
      <c r="S28" s="3">
        <f>7+(352.7-32.2)+(-0.01785+(-0.899385--0.08211))+0-31--0.0790499999999955</f>
        <v>295.74392499999999</v>
      </c>
      <c r="T28" s="3">
        <f>7+(386.5-64.8)+(-0.01071+(-0.591345--0.099144))+0-31--0.0474300000000018</f>
        <v>297.24451900000003</v>
      </c>
      <c r="U28" s="3">
        <f>7+(419.5-106)+(-0.00357+(-0.213945--0.05406))+0-31--0.0158099999999969</f>
        <v>289.35235499999999</v>
      </c>
      <c r="V28" s="3">
        <f>7+(391.8-76.1)+(-0.00714+(-0.399636--0.077622))+0-31--0.0316200000000049</f>
        <v>291.40246600000006</v>
      </c>
      <c r="W28" s="3">
        <f>7+(400.5-86.4)+(-0.00357+(-0.204255--0.044064))+0-31--0.0158099999999969</f>
        <v>289.95204899999999</v>
      </c>
      <c r="X28" s="3">
        <f>7+(345.1-29.6)+(-0.01071+(-0.528003--0.045288))+0-31--0.0474300000000018</f>
        <v>291.05400500000002</v>
      </c>
      <c r="Y28" s="3">
        <f>7+(333.4-7.5)+(-0.00357+(-0.170034--0.003825))+0-31--0.0158099999999969</f>
        <v>301.74603099999996</v>
      </c>
      <c r="Z28" s="3">
        <f>7+(349.2-8.8)+(-0.01428+(-0.712368--0.017952))+0-31--0.0632399999999986</f>
        <v>315.75454400000001</v>
      </c>
      <c r="AA28" s="3">
        <f>7+(384.4-50.7)+(-0.01071+(-0.588132--0.077571))+0-31--0.0474300000000018</f>
        <v>309.226159</v>
      </c>
      <c r="AB28" s="3">
        <f>7+(323.3-7.6)+(-0.00714+(-0.329766--0.007752))+0-31--0.0316200000000049</f>
        <v>291.402466</v>
      </c>
      <c r="AC28" s="3">
        <f>7+(355-52.5)+(-0.00714+(-0.3621--0.05355))+0-31--0.0316200000000049</f>
        <v>278.21593000000001</v>
      </c>
      <c r="AD28">
        <f t="shared" si="0"/>
        <v>6787.2246159999995</v>
      </c>
      <c r="AE28" s="3">
        <f>7+(343.4-0)+(0+(0-0))+0-31-0</f>
        <v>319.39999999999998</v>
      </c>
    </row>
    <row r="29" spans="1:31" s="2" customFormat="1" x14ac:dyDescent="0.25">
      <c r="A29">
        <v>89</v>
      </c>
      <c r="B29">
        <v>1</v>
      </c>
      <c r="C29">
        <v>29</v>
      </c>
      <c r="D29">
        <v>2</v>
      </c>
      <c r="E29">
        <v>1</v>
      </c>
      <c r="F29" s="3">
        <f>7+(368.8-79.7)+(-0.01071+(-0.564264--0.121941))+0-31--0.0474300000000018</f>
        <v>264.69439700000004</v>
      </c>
      <c r="G29" s="3">
        <f>7+(299.4-16.6)+(-0.01428+(-0.610776--0.033864))+0-31--0.0632399999999986</f>
        <v>258.27204799999998</v>
      </c>
      <c r="H29" s="3">
        <f>7+(296.1-10.8)+(-0.00357+(-0.151011--0.005508))+0-31--0.0158099999999969</f>
        <v>261.16673700000001</v>
      </c>
      <c r="I29" s="3">
        <f>7+(266.3-0)+(-0.00357+(-0.135813-0))+0-31--0.0158099999999969</f>
        <v>242.17642699999999</v>
      </c>
      <c r="J29" s="3">
        <f>7+(271.9-1.5)+(-0.00714+(-0.277338--0.00153))+0-31--0.0316200000000049</f>
        <v>246.148672</v>
      </c>
      <c r="K29" s="3">
        <f>7+(272.9-0)+(-0.01785+(-0.695895-0))+0-31--0.0790499999999955</f>
        <v>248.26530499999996</v>
      </c>
      <c r="L29" s="3">
        <f>7+(276.7-0)+(-0.00357+(-0.141117-0))+0-31--0.0158099999999969</f>
        <v>252.571123</v>
      </c>
      <c r="M29" s="3">
        <f>7+(297.1-0)+(-0.00714+(-0.303042-0))+0-31--0.0316200000000049</f>
        <v>272.82143800000006</v>
      </c>
      <c r="N29" s="3">
        <f>7+(319.1-0)+(-0.01071+(-0.488223-0))+0-31--0.0474300000000018</f>
        <v>294.64849700000002</v>
      </c>
      <c r="O29" s="3">
        <f>7+(334.9-0)+(0+(0-0))+0-31-0</f>
        <v>310.89999999999998</v>
      </c>
      <c r="P29" s="3">
        <f>7+(327.8-0)+(0+(0-0))+0-31-0</f>
        <v>303.8</v>
      </c>
      <c r="Q29" s="3">
        <f>7+(326.9-0)+(-0.00714+(-0.333438-0))+0-31--0.0316200000000049</f>
        <v>302.59104200000002</v>
      </c>
      <c r="R29" s="3">
        <f>7+(322.1-0)+(-0.01071+(-0.492813-0))+0-31--0.0474300000000018</f>
        <v>297.64390700000007</v>
      </c>
      <c r="S29" s="3">
        <f>7+(344-16.2)+(-0.00357+(-0.17544--0.008262))+0-33.4--0.0170339999999966</f>
        <v>301.24628600000005</v>
      </c>
      <c r="T29" s="3">
        <f>7+(320.7-0)+(0.00357+(0.163557-0))+0-31.9-0.0162689999999968</f>
        <v>295.95085799999998</v>
      </c>
      <c r="U29" s="3">
        <f>7+(318.7-0)+(-0.01428+(-0.650148-0))+0-31--0.0632399999999986</f>
        <v>294.09881200000001</v>
      </c>
      <c r="V29" s="3">
        <f>7+(312.1-0)+(-0.00357+(-0.159171-0))+0-30--0.015299999999997</f>
        <v>288.95255900000006</v>
      </c>
      <c r="W29" s="3">
        <f>8+(313.5-0)+(-0.01224+(-0.479655-0))+0-31--0.0474300000000018</f>
        <v>290.05553500000002</v>
      </c>
      <c r="X29" s="3">
        <f>7+(313.8-0)+(-0.01071+(-0.480114-0))+0-30--0.0459000000000017</f>
        <v>290.35507600000005</v>
      </c>
      <c r="Y29" s="3">
        <f>7+(336.3-2.8)+(-0.00714+(-0.343026--0.002856))+0-31--0.0316200000000049</f>
        <v>309.18431000000004</v>
      </c>
      <c r="Z29" s="3">
        <f>8+(349.3-4.2)+(-0.01632+(-0.712572--0.008568))+0-31--0.0632399999999986</f>
        <v>321.44291600000003</v>
      </c>
      <c r="AA29" s="3">
        <f>7+(362.1-19)+(-0.01785+(-0.923355--0.04845))+0-31--0.0790499999999955</f>
        <v>318.286295</v>
      </c>
      <c r="AB29" s="3">
        <f>7+(321-0)+(-0.00357+(-0.16371-0))+0-30--0.015299999999997</f>
        <v>297.84802000000002</v>
      </c>
      <c r="AC29" s="3">
        <f>7+(298.4-0)+(-0.00714+(-0.304368-0))+0-30--0.0306000000000048</f>
        <v>275.11909199999997</v>
      </c>
      <c r="AD29">
        <f t="shared" si="0"/>
        <v>6838.2393520000005</v>
      </c>
      <c r="AE29" s="3">
        <f>7+(357.9-0)+(0+(0-0))+0-31-0</f>
        <v>333.9</v>
      </c>
    </row>
    <row r="30" spans="1:31" s="2" customFormat="1" x14ac:dyDescent="0.25">
      <c r="A30">
        <v>89</v>
      </c>
      <c r="B30">
        <v>1</v>
      </c>
      <c r="C30">
        <v>30</v>
      </c>
      <c r="D30">
        <v>3</v>
      </c>
      <c r="E30">
        <v>1</v>
      </c>
      <c r="F30" s="3">
        <f>7+(301.9-10.7)+(-0.01071+(-0.461907--0.016371))+0-30--0.0459000000000017</f>
        <v>267.78965399999998</v>
      </c>
      <c r="G30" s="3">
        <f>7+(279.6-0)+(-0.01428+(-0.570384-0))+0-31--0.0632399999999986</f>
        <v>255.07857600000006</v>
      </c>
      <c r="H30" s="3">
        <f>7+(290.9-9.5)+(0+(0-0))+0-30-0</f>
        <v>258.39999999999998</v>
      </c>
      <c r="I30" s="3">
        <f>7+(275.9-5.5)+(-0.01428+(-0.562836--0.01122))+0-29--0.0591599999999987</f>
        <v>247.89326399999996</v>
      </c>
      <c r="J30" s="3">
        <f>7+(263.1-0)+(-0.00714+(-0.268362-0))+0-28--0.0285600000000045</f>
        <v>241.853058</v>
      </c>
      <c r="K30" s="3">
        <f>7+(267.4-0)+(-0.01071+(-0.409122-0))+0-29--0.0443700000000017</f>
        <v>245.02453800000001</v>
      </c>
      <c r="L30" s="3">
        <f>7+(270.5-0)+(-0.00714+(-0.27591-0))+0-28--0.0285600000000045</f>
        <v>249.24551</v>
      </c>
      <c r="M30" s="3">
        <f>7+(288.3-0)+(-0.00357+(-0.147033-0))+0-32--0.0163199999999968</f>
        <v>263.16571700000003</v>
      </c>
      <c r="N30" s="3">
        <f>7+(310.4-0)+(0+(0-0))+0-33-0</f>
        <v>284.39999999999998</v>
      </c>
      <c r="O30" s="3">
        <f>7+(323.5-0)+(0.00357+(0.164985-0))+0-34-0.0173399999999966</f>
        <v>296.65121500000004</v>
      </c>
      <c r="P30" s="3">
        <f>7+(326.2-0)+(0+(0-0))+0-31-0</f>
        <v>302.2</v>
      </c>
      <c r="Q30" s="3">
        <f>7+(328-0)+(-0.00357+(-0.16728-0))+0-31--0.0158099999999969</f>
        <v>303.84496000000001</v>
      </c>
      <c r="R30" s="3">
        <f>7+(326-0)+(0.00714+(0.33252-0))+0-33-0.0336600000000053</f>
        <v>300.30599999999998</v>
      </c>
      <c r="S30" s="3">
        <f>7+(316.7-0)+(0.00357+(0.161517-0))+0-31-0.0158099999999969</f>
        <v>292.84927700000003</v>
      </c>
      <c r="T30" s="3">
        <f>7+(311.9-0)+(-0.00357+(-0.159069-0))+0-31--0.0158099999999969</f>
        <v>287.75317099999995</v>
      </c>
      <c r="U30" s="3">
        <f>7+(302.9-0)+(-0.01785+(-0.772395-0))+0-31--0.0790499999999955</f>
        <v>278.18880499999995</v>
      </c>
      <c r="V30" s="3">
        <f>7+(296.9-0)+(-0.00714+(-0.302838-0))+0-31--0.0316200000000049</f>
        <v>272.62164200000001</v>
      </c>
      <c r="W30" s="3">
        <f>7+(296.2-0)+(-0.01785+(-0.75531-0))+0-31--0.0790499999999955</f>
        <v>271.50588999999997</v>
      </c>
      <c r="X30" s="3">
        <f>7+(304.1-6.2)+(-0.01785+(-0.775455--0.01581))+0-31--0.0790499999999955</f>
        <v>273.20155500000004</v>
      </c>
      <c r="Y30" s="3">
        <f>7+(311.6-0)+(-0.01071+(-0.476748-0))+0-31--0.0474300000000018</f>
        <v>287.15997200000004</v>
      </c>
      <c r="Z30" s="3">
        <f>7+(331.2-0)+(-0.01428+(-0.675648-0))+0-31--0.0632399999999986</f>
        <v>306.57331199999999</v>
      </c>
      <c r="AA30" s="3">
        <f>7+(330.6-3.5)+(-0.02142+(-1.011636--0.01071))+0-31--0.0948600000000036</f>
        <v>302.17251399999998</v>
      </c>
      <c r="AB30" s="3">
        <f>7+(309.4-0)+(-0.01785+(-0.78897-0))+0-31--0.0790499999999955</f>
        <v>284.67222999999996</v>
      </c>
      <c r="AC30" s="3">
        <f>7+(295.4-0)+(-0.02142+(-0.903924-0))+0-31--0.0948600000000036</f>
        <v>270.56951599999996</v>
      </c>
      <c r="AD30">
        <f t="shared" si="0"/>
        <v>6643.1203759999989</v>
      </c>
      <c r="AE30" s="3">
        <f>7+(331.2-0)+(0+(0-0))+0-30-0</f>
        <v>308.2</v>
      </c>
    </row>
    <row r="31" spans="1:31" s="2" customFormat="1" x14ac:dyDescent="0.25">
      <c r="A31">
        <v>89</v>
      </c>
      <c r="B31">
        <v>1</v>
      </c>
      <c r="C31">
        <v>31</v>
      </c>
      <c r="D31">
        <v>4</v>
      </c>
      <c r="E31">
        <v>1</v>
      </c>
      <c r="F31" s="3">
        <f>7+(282.2-0)+(-0.02142+(-0.863532-0))+0-31--0.0948600000000036</f>
        <v>257.40990799999997</v>
      </c>
      <c r="G31" s="3">
        <f>7+(278.2-0)+(-0.02142+(-0.851292-0))+0-31--0.0948600000000036</f>
        <v>253.42214800000002</v>
      </c>
      <c r="H31" s="3">
        <f>7+(268.3-0)+(-0.00357+(-0.136833-0))+0-31--0.0158099999999969</f>
        <v>244.17540700000001</v>
      </c>
      <c r="I31" s="3">
        <f>7+(259.7-0)+(-0.00714+(-0.264894-0))+0-31--0.0316200000000049</f>
        <v>235.45958599999997</v>
      </c>
      <c r="J31" s="3">
        <f>7+(260.6-0)+(0+(0-0))+0-31-0</f>
        <v>236.60000000000002</v>
      </c>
      <c r="K31" s="3">
        <f>7+(262.4-0)+(-0.00357+(-0.133824-0))+0-31--0.0158099999999969</f>
        <v>238.27841599999999</v>
      </c>
      <c r="L31" s="3">
        <f>7+(264.5-0)+(-0.00714+(-0.26979-0))+0-31--0.0316200000000049</f>
        <v>240.25469000000001</v>
      </c>
      <c r="M31" s="3">
        <f>7+(284.6-0)+(-0.00714+(-0.290292-0))+0-31--0.0316200000000049</f>
        <v>260.33418800000004</v>
      </c>
      <c r="N31" s="3">
        <f>7+(309.7-0)+(-0.01071+(-0.473841-0))+0-31--0.0474300000000018</f>
        <v>285.262879</v>
      </c>
      <c r="O31" s="3">
        <f>7+(317.6-0)+(-0.01071+(-0.485928-0))+0-31--0.0474300000000018</f>
        <v>293.15079200000002</v>
      </c>
      <c r="P31" s="3">
        <f>7+(326.8-0)+(0+(0-0))+0-31-0</f>
        <v>302.8</v>
      </c>
      <c r="Q31" s="3">
        <f>7+(316.7-0)+(0.00357+(0.161517-0))+0-31-0.0158099999999969</f>
        <v>292.84927700000003</v>
      </c>
      <c r="R31" s="3">
        <f>7+(364.1-33.9)+(-0.00357+(-0.185691--0.017289))+0-31--0.0158099999999969</f>
        <v>306.04383800000005</v>
      </c>
      <c r="S31" s="3">
        <f>7+(384.5-65.8)+(-0.00357+(-0.196095--0.033558))+0-31--0.0158099999999969</f>
        <v>294.54970299999997</v>
      </c>
      <c r="T31" s="3">
        <f>7+(396-76.8)+(0+(0-0))+0-31-0</f>
        <v>295.2</v>
      </c>
      <c r="U31" s="3">
        <f>7+(336.8-20)+(-0.01071+(-0.515304--0.0306))+0-31--0.0474300000000018</f>
        <v>292.35201600000005</v>
      </c>
      <c r="V31" s="3">
        <f>7+(319-1.9)+(-0.01071+(-0.48807--0.002907))+0-31--0.0474300000000018</f>
        <v>292.65155700000003</v>
      </c>
      <c r="W31" s="3">
        <f>7+(316.2-0)+(-0.01785+(-0.80631-0))+0-31--0.0790499999999955</f>
        <v>291.45488999999998</v>
      </c>
      <c r="X31" s="3">
        <f>7+(319.8-0)+(-0.01428+(-0.652392-0))+0-31--0.0632399999999986</f>
        <v>295.19656800000001</v>
      </c>
      <c r="Y31" s="3">
        <f>7+(326.2-0)+(-0.00714+(-0.332724-0))+0-31--0.0316200000000049</f>
        <v>301.89175600000004</v>
      </c>
      <c r="Z31" s="3">
        <f>0+(352.6-3.8)+(0+(-0.539478--0.005814))+0-31--0.0474300000000018</f>
        <v>317.31376600000004</v>
      </c>
      <c r="AA31" s="3">
        <f>0+(399-53.8)+(0+(-0.20349--0.027438))+0-31--0.0158099999999969</f>
        <v>314.03975799999995</v>
      </c>
      <c r="AB31" s="3">
        <f>0+(347.8-9.3)+(0+(-0.88689--0.023715))+0-31--0.0790499999999955</f>
        <v>306.71587499999998</v>
      </c>
      <c r="AC31" s="3">
        <f>0+(319.6-5.2)+(0+(-0.651984--0.010608))+0-31--0.0632399999999986</f>
        <v>282.82186400000006</v>
      </c>
      <c r="AD31">
        <f t="shared" si="0"/>
        <v>6730.2288820000003</v>
      </c>
      <c r="AE31" s="3">
        <f>0+(362.8-0)+(0+(0-0))+0-30-0</f>
        <v>332.8</v>
      </c>
    </row>
    <row r="32" spans="1:31" s="2" customFormat="1" x14ac:dyDescent="0.25">
      <c r="A32">
        <v>89</v>
      </c>
      <c r="B32">
        <v>2</v>
      </c>
      <c r="C32">
        <v>1</v>
      </c>
      <c r="D32">
        <v>5</v>
      </c>
      <c r="E32">
        <v>1</v>
      </c>
      <c r="F32" s="3">
        <f>0+(428.8-116.1)+(0+(-0.437376--0.118422))+0-32--0.0326400000000051</f>
        <v>280.41368600000004</v>
      </c>
      <c r="G32" s="3">
        <f>7+(457.1-158.5)+(-0.01785+(-1.165605--0.404175))+0-32--0.0815999999999954</f>
        <v>272.90231999999997</v>
      </c>
      <c r="H32" s="3">
        <f>7+(404.9-118.1)+(0+(0-0))+0-31-0</f>
        <v>262.79999999999995</v>
      </c>
      <c r="I32" s="3">
        <f>7+(358.8-75.8)+(-0.01071+(-0.548964--0.115974))+0-31--0.0474300000000018</f>
        <v>258.60373000000004</v>
      </c>
      <c r="J32" s="3">
        <f>7+(356.3-72.6)+(-0.01071+(-0.545139--0.111078))+0-31--0.0474300000000018</f>
        <v>259.30265900000006</v>
      </c>
      <c r="K32" s="3">
        <f>7+(300.9-14.9)+(-0.01428+(-0.613836--0.030396))+0-31--0.0632399999999986</f>
        <v>261.46552000000003</v>
      </c>
      <c r="L32" s="3">
        <f>7+(273.1-0)+(-0.01071+(-0.417843-0))+0-31--0.0474300000000018</f>
        <v>248.71887699999999</v>
      </c>
      <c r="M32" s="3">
        <f>7+(310.5-18.3)+(0+(0-0))+0-31-0</f>
        <v>268.2</v>
      </c>
      <c r="N32" s="3">
        <f>7+(356.8-26.9)+(0.00714+(0.363936-0.027438))+0-31-0.0316200000000049</f>
        <v>306.212018</v>
      </c>
      <c r="O32" s="3">
        <f>7+(335.5-12.3)+(0.01428+(0.68442-0.025092))+0-31-0.0632399999999986</f>
        <v>299.81036799999998</v>
      </c>
      <c r="P32" s="3">
        <f>7+(333.5-0)+(-0.00357+(-0.170085-0))+0-31--0.0158099999999969</f>
        <v>309.34215499999999</v>
      </c>
      <c r="Q32" s="3">
        <f>7+(346-10.7)+(0.01071+(0.52938-0.016371))+0-31-0.0474300000000018</f>
        <v>311.77628900000002</v>
      </c>
      <c r="R32" s="3">
        <f>7+(406.4-67.7)+(0.00357+(0.207264-0.034527))+0-31-0.0158099999999969</f>
        <v>314.86049700000001</v>
      </c>
      <c r="S32" s="3">
        <f>7+(428.5-97.4)+(-0.01428+(-0.87414--0.198696))+0-31--0.0632399999999986</f>
        <v>306.47351600000002</v>
      </c>
      <c r="T32" s="3">
        <f>7+(452.8-129.4)+(-0.00357+(-0.230928--0.065994))+0-31--0.0158099999999969</f>
        <v>299.24730599999998</v>
      </c>
      <c r="U32" s="3">
        <f>7+(415.8-97.1)+(-0.00357+(-0.212058--0.049521))+0-31--0.0158099999999969</f>
        <v>294.54970300000002</v>
      </c>
      <c r="V32" s="3">
        <f>7+(350.7-35.1)+(-0.01785+(-0.894285--0.089505))+0-31--0.0790499999999955</f>
        <v>290.85641999999996</v>
      </c>
      <c r="W32" s="3">
        <f>7+(324.2-11.5)+(-0.01071+(-0.496026--0.017595))+0-31--0.0474300000000018</f>
        <v>288.25828899999999</v>
      </c>
      <c r="X32" s="3">
        <f>7+(307.3-6.6)+(-0.02142+(-0.940338--0.020196))+0-31--0.0948600000000036</f>
        <v>275.853298</v>
      </c>
      <c r="Y32" s="3">
        <f>7+(330.2-8)+(-0.00357+(-0.168402--0.00408))+0-31--0.0158099999999969</f>
        <v>298.04791799999998</v>
      </c>
      <c r="Z32" s="3">
        <f>7+(361.5-16)+(-0.01428+(-0.73746--0.03264))+0-31--0.0632399999999986</f>
        <v>320.84413999999998</v>
      </c>
      <c r="AA32" s="3">
        <f>7+(361.1-18.1)+(-0.02142+(-1.104966--0.055386))+0-31--0.0948600000000036</f>
        <v>318.02385999999996</v>
      </c>
      <c r="AB32" s="3">
        <f>7+(398.6-68.8)+(-0.01071+(-0.609858--0.105264))+0-31--0.0474300000000018</f>
        <v>305.33212600000002</v>
      </c>
      <c r="AC32" s="3">
        <f>7+(329.8-14.2)+(-0.00714+(-0.336396--0.014484))+0-31--0.0316200000000049</f>
        <v>291.30256800000006</v>
      </c>
      <c r="AD32">
        <f t="shared" si="0"/>
        <v>6943.1972630000009</v>
      </c>
      <c r="AE32" s="3">
        <f>7+(392.6-52.4)+(0+(0-0))+0-31-0</f>
        <v>316.20000000000005</v>
      </c>
    </row>
    <row r="33" spans="1:31" s="2" customFormat="1" x14ac:dyDescent="0.25">
      <c r="A33">
        <v>89</v>
      </c>
      <c r="B33">
        <v>2</v>
      </c>
      <c r="C33">
        <v>2</v>
      </c>
      <c r="D33">
        <v>6</v>
      </c>
      <c r="E33">
        <v>1</v>
      </c>
      <c r="F33" s="3">
        <f>6.5+(393.2-93.3)+(-0.00663+(-0.401064--0.095166))+0-32--0.0326400000000051</f>
        <v>274.12011200000001</v>
      </c>
      <c r="G33" s="3">
        <f>6.5+(457.4-163.8)+(0+(0-0))+0-32-0</f>
        <v>268.09999999999997</v>
      </c>
      <c r="H33" s="3">
        <f>6.5+(423.2-135.3)+(-0.009945+(-0.647496--0.207009))+0-32--0.0489600000000018</f>
        <v>261.99852800000002</v>
      </c>
      <c r="I33" s="3">
        <f>6.5+(400-114.9)+(-0.016575+(-1.02--0.292995))+0-32--0.0815999999999954</f>
        <v>258.93801999999999</v>
      </c>
      <c r="J33" s="3">
        <f>6.5+(389.9-105.5)+(0.003315+(0.198849-0.053805))+0-32-0.0163199999999968</f>
        <v>259.032039</v>
      </c>
      <c r="K33" s="3">
        <f>6.5+(362.4-78.3)+(0+(0-0))+0-32-0</f>
        <v>258.59999999999997</v>
      </c>
      <c r="L33" s="3">
        <f>6.5+(343.6-63.6)+(-0.009945+(-0.525708--0.097308))+0-32--0.0489600000000018</f>
        <v>254.11061499999997</v>
      </c>
      <c r="M33" s="3">
        <f>6.5+(295.4-0)+(-0.003315+(-0.150654-0))+0-32--0.0163199999999968</f>
        <v>269.76235099999997</v>
      </c>
      <c r="N33" s="3">
        <f>6.5+(320.2-0)+(0+(0-0))+0-32-0</f>
        <v>294.7</v>
      </c>
      <c r="O33" s="3">
        <f>6.5+(326.7-0)+(-0.00663+(-0.333234-0))+0-32--0.0326400000000051</f>
        <v>300.89277600000003</v>
      </c>
      <c r="P33" s="3">
        <f>6.5+(333.7-4.7)+(-0.00663+(-0.340374--0.004794))+0-32--0.0326400000000051</f>
        <v>303.19042999999999</v>
      </c>
      <c r="Q33" s="3">
        <f>6.5+(327-0)+(-0.003315+(-0.16677-0))+0-32--0.0163199999999968</f>
        <v>301.34623500000004</v>
      </c>
      <c r="R33" s="3">
        <f>6.5+(332.8-3)+(-0.003315+(-0.169728--0.00153))+0-31--0.0158099999999969</f>
        <v>305.14429699999999</v>
      </c>
      <c r="S33" s="3">
        <f>6.5+(328.3-12.1)+(-0.003315+(-0.167433--0.006171))+0-31--0.0158099999999969</f>
        <v>291.55123299999997</v>
      </c>
      <c r="T33" s="3">
        <f>0+(388.4-70.1)+(0+(-0.198084--0.035751))+0-31--0.0158099999999969</f>
        <v>287.15347699999995</v>
      </c>
      <c r="U33" s="3">
        <f>0+(398.9-92.8)+(0+(-0.203439--0.047328))+0-31--0.0158099999999969</f>
        <v>274.95969899999994</v>
      </c>
      <c r="V33" s="3">
        <f>0+(390-88.7)+(0+(-0.7956--0.180948))+0-31--0.0632399999999986</f>
        <v>269.74858800000004</v>
      </c>
      <c r="W33" s="3">
        <f>0+(371.4-72.7)+(0+(-1.136484--0.222462))+0-31--0.0948600000000036</f>
        <v>266.88083799999998</v>
      </c>
      <c r="X33" s="3">
        <f>0+(379.3-83.3)+(0+(-0.386886--0.084966))+0-31--0.0316200000000049</f>
        <v>264.72970000000004</v>
      </c>
      <c r="Y33" s="3">
        <f>0+(393.7-76)+(0+(-0.200787--0.03876))+0-31--0.0158099999999969</f>
        <v>286.55378299999995</v>
      </c>
      <c r="Z33" s="3">
        <f>0+(385.9-41.9)+(0+(-0.393618--0.042738))+0-31--0.0316200000000049</f>
        <v>312.68074000000001</v>
      </c>
      <c r="AA33" s="3">
        <f>0+(396.5-57.4)+(0+(-0.202215--0.029274))+0-31--0.0158099999999969</f>
        <v>307.94286900000003</v>
      </c>
      <c r="AB33" s="3">
        <f>0+(421.2-94.6)+(0+(0.214812-0.048246))+0-31-0.0158099999999969</f>
        <v>295.75075600000002</v>
      </c>
      <c r="AC33" s="3">
        <f>0+(423.7-108.3)+(0+(0-0))+0-31-0</f>
        <v>284.39999999999998</v>
      </c>
      <c r="AD33">
        <f t="shared" si="0"/>
        <v>6752.2870860000012</v>
      </c>
      <c r="AE33" s="3">
        <f>0+(387.5-44.9)+(0+(0-0))+0-31-0</f>
        <v>311.60000000000002</v>
      </c>
    </row>
    <row r="34" spans="1:31" s="2" customFormat="1" x14ac:dyDescent="0.25">
      <c r="A34">
        <v>89</v>
      </c>
      <c r="B34">
        <v>2</v>
      </c>
      <c r="C34">
        <v>3</v>
      </c>
      <c r="D34">
        <v>7</v>
      </c>
      <c r="E34">
        <v>1</v>
      </c>
      <c r="F34" s="3">
        <f>0+(405.7-107.8)+(0+(0.206907-0.054978))+0-31-0.0158099999999969</f>
        <v>267.03611899999999</v>
      </c>
      <c r="G34" s="3">
        <f>0+(417.7-131.3)+(0+(-0.213027--0.066963))+0-31--0.0158099999999969</f>
        <v>255.26974599999994</v>
      </c>
      <c r="H34" s="3">
        <f>0+(391.3-111.4)+(0+(-0.199563--0.056814))+0-31--0.0158099999999969</f>
        <v>248.77306099999998</v>
      </c>
      <c r="I34" s="3">
        <f>0+(381.7-106.7)+(0+(0-0))+0-31-0</f>
        <v>244</v>
      </c>
      <c r="J34" s="3">
        <f>0+(346.5-68.4)+(0+(-0.70686--0.139536))+0-31--0.0632399999999986</f>
        <v>246.59591600000005</v>
      </c>
      <c r="K34" s="3">
        <f>0+(351.6-69.4)+(0+(-0.537948--0.106182))+0-31--0.0474300000000018</f>
        <v>250.81566400000006</v>
      </c>
      <c r="L34" s="3">
        <f>0+(279.3-12.1)+(0+(-0.854658--0.037026))+0-31--0.0948600000000036</f>
        <v>235.477228</v>
      </c>
      <c r="M34" s="3">
        <f>0+(263.4-0)+(0+(-0.403002-0))+0-31--0.0474300000000018</f>
        <v>232.04442799999995</v>
      </c>
      <c r="N34" s="3">
        <f>0+(271-0)+(0+(-0.13821-0))+0-31--0.0158099999999969</f>
        <v>239.87759999999997</v>
      </c>
      <c r="O34" s="3">
        <f>0+(276.1-0)+(0+(0.281622-0))+0-31-0.0316200000000049</f>
        <v>245.35000200000005</v>
      </c>
      <c r="P34" s="3">
        <f>0+(327.6-32.5)+(0+(-0.501228--0.049725))+0-31--0.0474300000000018</f>
        <v>263.69592700000004</v>
      </c>
      <c r="Q34" s="3">
        <f>0+(336.5-37.6)+(0+(-0.34323--0.038352))+0-31--0.0316200000000049</f>
        <v>267.62674200000004</v>
      </c>
      <c r="R34" s="3">
        <f>0+(314.6-25.1)+(0+(-0.320892--0.025602))+0-31--0.0316200000000049</f>
        <v>258.23633000000001</v>
      </c>
      <c r="S34" s="3">
        <f>0+(283.1-8)+(0+(0.144381-0.00408))+0-31-0.0158099999999969</f>
        <v>244.22449100000006</v>
      </c>
      <c r="T34" s="3">
        <f>0+(272.8-0)+(0+(-0.69564-0))+0-31--0.0790499999999955</f>
        <v>241.18340999999998</v>
      </c>
      <c r="U34" s="3">
        <f>0+(270.9-5.6)+(0+(-0.552636--0.011424))+0-31--0.0632399999999986</f>
        <v>233.82202799999999</v>
      </c>
      <c r="V34" s="3">
        <f>0+(319.6-60.7)+(0+(-0.325992--0.061914))+0-31--0.0316200000000049</f>
        <v>227.66754200000005</v>
      </c>
      <c r="W34" s="3">
        <f>0+(280.8-16.8)+(0+(-0.71604--0.04284))+0-31--0.0790499999999955</f>
        <v>232.40584999999999</v>
      </c>
      <c r="X34" s="3">
        <f>0+(265-0)+(0+(-0.13515-0))+0-29--0.0147899999999971</f>
        <v>235.87963999999999</v>
      </c>
      <c r="Y34" s="3">
        <f>0+(288.1-0)+(0+(-0.587724-0))+0-31--0.0632399999999986</f>
        <v>256.57551600000005</v>
      </c>
      <c r="Z34" s="3">
        <f>0+(307.9-0)+(0+(-0.785145-0))+0-28--0.0713999999999959</f>
        <v>279.18625499999996</v>
      </c>
      <c r="AA34" s="3">
        <f>0+(305.8-0)+(0+(-0.311916-0))+0-27--0.0275400000000043</f>
        <v>278.515624</v>
      </c>
      <c r="AB34" s="3">
        <f>0+(296-0)+(0+(-0.30192-0))+0-29--0.0295800000000046</f>
        <v>266.72766000000001</v>
      </c>
      <c r="AC34" s="3">
        <f>0+(274.5-0)+(0+(-0.27999-0))+0-29--0.0295800000000046</f>
        <v>245.24959000000001</v>
      </c>
      <c r="AD34">
        <f t="shared" si="0"/>
        <v>5996.2363689999993</v>
      </c>
      <c r="AE34" s="3">
        <f>0+(306.2-0)+(0+(0-0))+0-27-0</f>
        <v>279.2</v>
      </c>
    </row>
    <row r="35" spans="1:31" s="2" customFormat="1" x14ac:dyDescent="0.25">
      <c r="A35">
        <v>89</v>
      </c>
      <c r="B35">
        <v>2</v>
      </c>
      <c r="C35">
        <v>4</v>
      </c>
      <c r="D35">
        <v>1</v>
      </c>
      <c r="E35">
        <v>1</v>
      </c>
      <c r="F35" s="3">
        <f>0+(276.9-10.1)+(0+(-0.564876--0.020604))+0-26--0.0530399999999989</f>
        <v>240.30876799999999</v>
      </c>
      <c r="G35" s="3">
        <f>0+(286.8-20.2)+(0+(0.146268-0.010302))+0-29-0.0147899999999971</f>
        <v>237.72117600000001</v>
      </c>
      <c r="H35" s="3">
        <f>0+(319.8-56.2)+(0+(0-0))+0-28-0</f>
        <v>235.60000000000002</v>
      </c>
      <c r="I35" s="3">
        <f>0+(303.4-36.5)+(0+(-0.618936--0.07446))+0-29--0.0591599999999987</f>
        <v>237.41468399999999</v>
      </c>
      <c r="J35" s="3">
        <f>0+(288.8-17.5)+(0+(0.147288-0.008925))+0-29-0.0147899999999971</f>
        <v>242.42357300000003</v>
      </c>
      <c r="K35" s="3">
        <f>0+(323.7-50.3)+(0+(0-0))+0-30-0</f>
        <v>243.39999999999998</v>
      </c>
      <c r="L35" s="3">
        <f>0+(297.7-18.1)+(0+(-0.759135--0.046155))+0-31--0.0790499999999955</f>
        <v>247.96606999999995</v>
      </c>
      <c r="M35" s="3">
        <f>0+(302.2-0)+(0+(-0.154122-0))+0-31--0.0158099999999969</f>
        <v>271.061688</v>
      </c>
      <c r="N35" s="3">
        <f>0+(328.8-0)+(0+(0.335376-0))+0-31-0.0316200000000049</f>
        <v>298.10375599999998</v>
      </c>
      <c r="O35" s="3">
        <f>0+(339-0)+(0+(-0.51867-0))+0-31--0.0474300000000018</f>
        <v>307.52876000000003</v>
      </c>
      <c r="P35" s="3">
        <f>0+(360.5-4.2)+(0+(-0.36771--0.004284))+0-31--0.0316200000000049</f>
        <v>324.96819400000004</v>
      </c>
      <c r="Q35" s="3">
        <f>0+(372.3-4.2)+(0+(0.189873-0.002142))+0-31-0.0158099999999969</f>
        <v>337.27192100000002</v>
      </c>
      <c r="R35" s="3">
        <f>0+(359.3-3.7)+(0+(-0.366486--0.003774))+0-31--0.0316200000000049</f>
        <v>324.26890800000007</v>
      </c>
      <c r="S35" s="3">
        <f>0+(373.8-23.8)+(0+(-0.762552--0.048552))+0-31--0.0632399999999986</f>
        <v>318.34924000000001</v>
      </c>
      <c r="T35" s="3">
        <f>0+(398.4-48.5)+(0+(-0.406368--0.04947))+0-30--0.0306000000000048</f>
        <v>319.57370199999997</v>
      </c>
      <c r="U35" s="3">
        <f>0+(407.9-63.1)+(0+(-0.624087--0.096543))+0-31--0.0474300000000018</f>
        <v>313.319886</v>
      </c>
      <c r="V35" s="3">
        <f>0+(402.2-57.2)+(0+(-0.205122--0.029172))+0-31--0.0158099999999969</f>
        <v>313.83985999999999</v>
      </c>
      <c r="W35" s="3">
        <f>0+(371.9-25.8)+(0+(-0.758676--0.052632))+0-31--0.0632399999999986</f>
        <v>314.45719599999995</v>
      </c>
      <c r="X35" s="3">
        <f>0+(337.7-0)+(0+(-0.516681-0))+0-31--0.0474300000000018</f>
        <v>306.230749</v>
      </c>
      <c r="Y35" s="3">
        <f>0+(340.6-0)+(0+(-0.694824-0))+0-30--0.0611999999999987</f>
        <v>309.96637600000003</v>
      </c>
      <c r="Z35" s="3">
        <f>0+(360.8-0)+(0+(-0.552024-0))+0-31--0.0474300000000018</f>
        <v>329.29540600000001</v>
      </c>
      <c r="AA35" s="3">
        <f>0+(368.3-3.9)+(0+(-0.563499--0.005967))+0-30--0.0459000000000017</f>
        <v>333.88836800000007</v>
      </c>
      <c r="AB35" s="3">
        <f>0+(347-1.2)+(0+(-0.88485--0.00306))+0-31--0.0790499999999955</f>
        <v>313.99725999999998</v>
      </c>
      <c r="AC35" s="3">
        <f>0+(344.3-6.7)+(0+(-0.877965--0.017085))+0-31--0.0790499999999955</f>
        <v>305.81817000000001</v>
      </c>
      <c r="AD35">
        <f t="shared" si="0"/>
        <v>7026.7737110000016</v>
      </c>
      <c r="AE35" s="3">
        <f>0+(367.8-0)+(0+(0-0))+0-31-0</f>
        <v>336.8</v>
      </c>
    </row>
    <row r="36" spans="1:31" s="2" customFormat="1" x14ac:dyDescent="0.25">
      <c r="A36">
        <v>89</v>
      </c>
      <c r="B36">
        <v>2</v>
      </c>
      <c r="C36">
        <v>5</v>
      </c>
      <c r="D36">
        <v>2</v>
      </c>
      <c r="E36">
        <v>1</v>
      </c>
      <c r="F36" s="3">
        <f>0+(318.4-0)+(0+(-0.324768-0))+0-31--0.0316200000000049</f>
        <v>287.106852</v>
      </c>
      <c r="G36" s="3">
        <f>0+(302.1-0)+(0+(-0.462213-0))+0-25--0.0382500000000014</f>
        <v>276.67603700000001</v>
      </c>
      <c r="H36" s="3">
        <f>0+(302.6-0)+(0+(-0.462978-0))+0-31--0.0474300000000018</f>
        <v>271.18445200000002</v>
      </c>
      <c r="I36" s="3">
        <f>0+(300.3-0)+(0+(-0.459459-0))+0-31--0.0474300000000018</f>
        <v>268.88797100000005</v>
      </c>
      <c r="J36" s="3">
        <f>0+(291.5-0)+(0+(0.445995-0))+0-31-0.0474300000000018</f>
        <v>260.89856499999996</v>
      </c>
      <c r="K36" s="3">
        <f>0+(297.6-0)+(0+(-0.75888-0))+0-31--0.0790499999999955</f>
        <v>265.92017000000004</v>
      </c>
      <c r="L36" s="3">
        <f>0+(298.1-0)+(0+(-0.760155-0))+0-31--0.0790499999999955</f>
        <v>266.41889500000002</v>
      </c>
      <c r="M36" s="3">
        <f>0+(324.4-0)+(0+(-0.330888-0))+0-31--0.0316200000000049</f>
        <v>293.10073199999999</v>
      </c>
      <c r="N36" s="3">
        <f>0+(370.5-17.3)+(0+(0.37791-0.017646))+0-31-0.0316200000000049</f>
        <v>322.52864399999993</v>
      </c>
      <c r="O36" s="3">
        <f>0+(353.2-10.4)+(0+(-0.180132--0.005304))+0-31--0.0158099999999969</f>
        <v>311.64098200000001</v>
      </c>
      <c r="P36" s="3">
        <f>0+(333.2-0)+(0+(-0.509796-0))+0-31--0.0474300000000018</f>
        <v>301.73763400000001</v>
      </c>
      <c r="Q36" s="3">
        <f>0+(342-0)+(0+(-0.52326-0))+0-31--0.0474300000000018</f>
        <v>310.52417000000003</v>
      </c>
      <c r="R36" s="3">
        <f>0+(347.7-0)+(0+(0-0))+0-31-0</f>
        <v>316.7</v>
      </c>
      <c r="S36" s="3">
        <f>0+(341.5-2)+(0+(-0.69666--0.00408))+0-31--0.0632399999999986</f>
        <v>307.87065999999999</v>
      </c>
      <c r="T36" s="3">
        <f>0+(361.9-18.4)+(0+(0-0))+0-31-0</f>
        <v>312.5</v>
      </c>
      <c r="U36" s="3">
        <f>0+(340.7-0)+(0+(-0.695028-0))+0-31--0.0632399999999986</f>
        <v>309.06821200000002</v>
      </c>
      <c r="V36" s="3">
        <f>0+(336-0)+(0+(-0.34272-0))+0-31--0.0316200000000049</f>
        <v>304.68890000000005</v>
      </c>
      <c r="W36" s="3">
        <f>0+(325-0)+(0+(-0.82875-0))+0-31--0.0790499999999955</f>
        <v>293.25029999999998</v>
      </c>
      <c r="X36" s="3">
        <f>0+(326.9-0)+(0+(-1.000314-0))+0-29--0.0887400000000034</f>
        <v>296.988426</v>
      </c>
      <c r="Y36" s="3">
        <f>0+(368.9-31.8)+(0+(-0.188139--0.016218))+0-30--0.015299999999997</f>
        <v>306.94337899999999</v>
      </c>
      <c r="Z36" s="3">
        <f>0+(361.1-0)+(0+(-1.104966-0))+0-31--0.0948600000000036</f>
        <v>329.08989400000002</v>
      </c>
      <c r="AA36" s="3">
        <f>0+(355.2-0)+(0+(-1.449216-0))+0-31--0.126479999999997</f>
        <v>322.87726400000003</v>
      </c>
      <c r="AB36" s="3">
        <f>0+(345.7-0)+(0+(-1.234149-0))+0-31--0.11067</f>
        <v>313.57652100000001</v>
      </c>
      <c r="AC36" s="3">
        <f>0+(329.4-0)+(0+(-0.671976-0))+0-31--0.0632399999999986</f>
        <v>297.79126400000001</v>
      </c>
      <c r="AD36">
        <f t="shared" si="0"/>
        <v>7147.969924</v>
      </c>
      <c r="AE36" s="3">
        <f>0+(359.8-0)+(0+(0-0))+0-31-0</f>
        <v>328.8</v>
      </c>
    </row>
    <row r="37" spans="1:31" s="2" customFormat="1" x14ac:dyDescent="0.25">
      <c r="A37">
        <v>89</v>
      </c>
      <c r="B37">
        <v>2</v>
      </c>
      <c r="C37">
        <v>6</v>
      </c>
      <c r="D37">
        <v>3</v>
      </c>
      <c r="E37">
        <v>1</v>
      </c>
      <c r="F37" s="3">
        <f>0+(310.5-0)+(0+(-0.791775-0))+0-31--0.0790499999999955</f>
        <v>278.78727500000002</v>
      </c>
      <c r="G37" s="3">
        <f>0+(315.5-4.2)+(0+(-0.64362--0.008568))+0-31--0.0632399999999986</f>
        <v>279.72818800000005</v>
      </c>
      <c r="H37" s="3">
        <f>0+(313.9-12.6)+(0+(-1.120623--0.044982))+0-31--0.11067</f>
        <v>269.33502899999996</v>
      </c>
      <c r="I37" s="3">
        <f>0+(303.5-3.3)+(0+(-0.30957--0.003366))+0-31--0.0316200000000049</f>
        <v>268.92541600000004</v>
      </c>
      <c r="J37" s="3">
        <f>0+(298.6-0)+(0+(-0.609144-0))+0-31--0.0632399999999986</f>
        <v>267.05409600000002</v>
      </c>
      <c r="K37" s="3">
        <f>0+(300.5-0)+(0+(0.153255-0))+0-31-0.0158099999999969</f>
        <v>269.63744500000001</v>
      </c>
      <c r="L37" s="3">
        <f>0+(300.5-1.7)+(0+(-0.91953--0.005202))+0-31--0.0948600000000036</f>
        <v>266.98053199999998</v>
      </c>
      <c r="M37" s="3">
        <f>0+(328.2-0)+(0+(-0.167382-0))+0-31--0.0158099999999969</f>
        <v>297.048428</v>
      </c>
      <c r="N37" s="3">
        <f>0+(347.9-0)+(0+(-0.354858-0))+0-31--0.0316200000000049</f>
        <v>316.57676200000003</v>
      </c>
      <c r="O37" s="3">
        <f>0+(358.7-0)+(0+(-0.731748-0))+0-31--0.0632399999999986</f>
        <v>327.03149200000001</v>
      </c>
      <c r="P37" s="3">
        <f>0+(365.8-0)+(0+(0-0))+0-31-0</f>
        <v>334.8</v>
      </c>
      <c r="Q37" s="3">
        <f>0+(364-0)+(0+(-0.37128-0))+0-31--0.0316200000000049</f>
        <v>332.66034000000002</v>
      </c>
      <c r="R37" s="3">
        <f>0+(389.7-27.6)+(0+(-0.397494--0.028152))+0-31--0.0316200000000049</f>
        <v>330.76227799999998</v>
      </c>
      <c r="S37" s="3">
        <f>0+(381.3-30)+(0+(-0.583389--0.0459))+0-31--0.0474300000000018</f>
        <v>319.80994100000004</v>
      </c>
      <c r="T37" s="3">
        <f>0+(416.5-69.4)+(0+(-0.84966--0.141576))+0-31--0.0632399999999986</f>
        <v>315.45515600000004</v>
      </c>
      <c r="U37" s="3">
        <f>0+(411.3-67.9)+(0+(-0.629289--0.103887))+0-31--0.0474300000000018</f>
        <v>311.92202800000001</v>
      </c>
      <c r="V37" s="3">
        <f>0+(385.7-39.5)+(0+(-0.590121--0.060435))+0-30--0.0459000000000017</f>
        <v>315.71621399999998</v>
      </c>
      <c r="W37" s="3">
        <f>0+(339.2-0)+(0+(-0.345984-0))+0-30--0.0306000000000048</f>
        <v>308.88461599999999</v>
      </c>
      <c r="X37" s="3">
        <f>0+(331.3-0)+(0+(-0.675852-0))+0-31--0.0632399999999986</f>
        <v>299.687388</v>
      </c>
      <c r="Y37" s="3">
        <f>0+(338.8-0)+(0+(-0.345576-0))+0-30--0.0306000000000048</f>
        <v>308.48502400000001</v>
      </c>
      <c r="Z37" s="3">
        <f>0+(390.9-15.3)+(0+(-0.598077--0.023409))+0-31--0.0474300000000018</f>
        <v>344.07276200000001</v>
      </c>
      <c r="AA37" s="3">
        <f>0+(367.4-4.5)+(0+(0-0))+0-31-0</f>
        <v>331.9</v>
      </c>
      <c r="AB37" s="3">
        <f>0+(348.2-0)+(0+(-0.532746-0))+0-31--0.0474300000000018</f>
        <v>316.71468400000003</v>
      </c>
      <c r="AC37" s="3">
        <f>0+(332.7-0)+(0+(-0.339354-0))+0-31--0.0316200000000049</f>
        <v>301.39226600000001</v>
      </c>
      <c r="AD37">
        <f t="shared" si="0"/>
        <v>7313.3673600000011</v>
      </c>
      <c r="AE37" s="3">
        <f>0+(414.6-51.1)+(0+(0-0))+0-31-0</f>
        <v>332.5</v>
      </c>
    </row>
    <row r="38" spans="1:31" s="2" customFormat="1" x14ac:dyDescent="0.25">
      <c r="A38">
        <v>89</v>
      </c>
      <c r="B38">
        <v>2</v>
      </c>
      <c r="C38">
        <v>7</v>
      </c>
      <c r="D38">
        <v>4</v>
      </c>
      <c r="E38">
        <v>1</v>
      </c>
      <c r="F38" s="3">
        <f>0+(313.9-0)+(0+(-0.640356-0))+0-31--0.0632399999999986</f>
        <v>282.32288399999999</v>
      </c>
      <c r="G38" s="3">
        <f>0+(306.4-0)+(0+(-1.093848-0))+0-31--0.11067</f>
        <v>274.41682200000002</v>
      </c>
      <c r="H38" s="3">
        <f>0+(303-0)+(0+(-0.46359-0))+0-31--0.0474300000000018</f>
        <v>271.58384000000001</v>
      </c>
      <c r="I38" s="3">
        <f>0+(299.9-0)+(0+(-0.305898-0))+0-31--0.0316200000000049</f>
        <v>268.625722</v>
      </c>
      <c r="J38" s="3">
        <f>0+(301.1-0)+(0+(-0.921366-0))+0-31--0.0948600000000036</f>
        <v>269.27349400000003</v>
      </c>
      <c r="K38" s="3">
        <f>0+(302.4-0)+(0+(-0.308448-0))+0-31--0.0316200000000049</f>
        <v>271.12317200000001</v>
      </c>
      <c r="L38" s="3">
        <f>0+(302.5-0)+(0+(-0.92565-0))+0-31--0.0948600000000036</f>
        <v>270.66920999999996</v>
      </c>
      <c r="M38" s="3">
        <f>0+(328.1-0)+(0+(-0.501993-0))+0-31--0.0474300000000018</f>
        <v>296.64543700000002</v>
      </c>
      <c r="N38" s="3">
        <f>0+(351-0)+(0+(-0.17901-0))+0-31--0.0158099999999969</f>
        <v>319.83679999999998</v>
      </c>
      <c r="O38" s="3">
        <f>0+(429.1-59.3)+(0+(-0.656523--0.090729))+0-31--0.0474300000000018</f>
        <v>338.28163600000005</v>
      </c>
      <c r="P38" s="3">
        <f>0+(407.8-34.7)+(0+(-0.623934--0.053091))+0-31--0.0474300000000018</f>
        <v>341.57658700000002</v>
      </c>
      <c r="Q38" s="3">
        <f>0+(408.7-32.9)+(0+(0-0))+0-31-0</f>
        <v>344.8</v>
      </c>
      <c r="R38" s="3">
        <f>0+(428.9-60.1)+(0+(-0.656217--0.091953))+0-31--0.0474300000000018</f>
        <v>337.28316599999999</v>
      </c>
      <c r="S38" s="3">
        <f>0+(432.9-75.5)+(0+(0-0))+0-31-0</f>
        <v>326.39999999999998</v>
      </c>
      <c r="T38" s="3">
        <f>0+(446.5-89.5)+(0+(-0.45543--0.09129))+0-31--0.0316200000000049</f>
        <v>325.66748000000001</v>
      </c>
      <c r="U38" s="3">
        <f>0+(440.1-83.2)+(0+(-0.897804--0.169728))+0-32--0.0652799999999986</f>
        <v>324.23720400000002</v>
      </c>
      <c r="V38" s="3">
        <f>0+(440.9-89.3)+(0+(-0.674577--0.136629))+0-31--0.0474300000000018</f>
        <v>320.10948200000001</v>
      </c>
      <c r="W38" s="3">
        <f>0+(375.2-27.6)+(0+(-0.765408--0.056304))+0-30--0.0611999999999987</f>
        <v>316.95209599999993</v>
      </c>
      <c r="X38" s="3">
        <f>0+(335.9-0)+(0+(-0.513927-0))+0-21--0.0321300000000012</f>
        <v>314.41820299999995</v>
      </c>
      <c r="Y38" s="3">
        <f>0+(347.2-0)+(0+(-0.708288-0))+0-31--0.0632399999999986</f>
        <v>315.55495200000001</v>
      </c>
      <c r="Z38" s="3">
        <f>0+(361.8-0)+(0+(-0.369036-0))+0-31--0.0316200000000049</f>
        <v>330.46258400000005</v>
      </c>
      <c r="AA38" s="3">
        <f>0+(371.5-10.4)+(0+(-0.75786--0.021216))+0-31--0.0632399999999986</f>
        <v>329.42659600000002</v>
      </c>
      <c r="AB38" s="3">
        <f>0+(398.9-56.1)+(0+(-0.406878--0.057222))+0-31--0.0316200000000049</f>
        <v>311.481964</v>
      </c>
      <c r="AC38" s="3">
        <f>0+(405.5-88.8)+(0+(-0.41361--0.090576))+0-31--0.0316200000000049</f>
        <v>285.40858600000001</v>
      </c>
      <c r="AD38">
        <f t="shared" si="0"/>
        <v>7386.5579170000001</v>
      </c>
      <c r="AE38" s="3">
        <f>0+(336.1-0)+(0+(0-0))+0-31-0</f>
        <v>305.10000000000002</v>
      </c>
    </row>
    <row r="39" spans="1:31" s="2" customFormat="1" x14ac:dyDescent="0.25">
      <c r="A39">
        <v>89</v>
      </c>
      <c r="B39">
        <v>2</v>
      </c>
      <c r="C39">
        <v>8</v>
      </c>
      <c r="D39">
        <v>5</v>
      </c>
      <c r="E39">
        <v>1</v>
      </c>
      <c r="F39" s="3">
        <f>0+(422.7-116.5)+(0+(-0.215577--0.059415))+0-31--0.0158099999999969</f>
        <v>275.05964799999998</v>
      </c>
      <c r="G39" s="3">
        <f>0+(291.4-0)+(0+(-0.148614-0))+0-31--0.0158099999999969</f>
        <v>260.26719599999996</v>
      </c>
      <c r="H39" s="3">
        <f>0+(298.2-0)+(0+(-0.304164-0))+0-31--0.0316200000000049</f>
        <v>266.92745600000001</v>
      </c>
      <c r="I39" s="3">
        <f>0+(288-0)+(0+(0-0))+0-31-0</f>
        <v>257</v>
      </c>
      <c r="J39" s="3">
        <f>0+(297.7-0)+(0+(-0.303654-0))+0-31--0.0316200000000049</f>
        <v>266.42796600000003</v>
      </c>
      <c r="K39" s="3">
        <f>0+(295.8-0)+(0+(-0.75429-0))+0-31--0.0790499999999955</f>
        <v>264.12475999999998</v>
      </c>
      <c r="L39" s="3">
        <f>0+(291.5-0)+(0+(-0.445995-0))+0-31--0.0474300000000018</f>
        <v>260.10143500000004</v>
      </c>
      <c r="M39" s="3">
        <f>0+(321.1-0)+(0+(0-0))+0-31-0</f>
        <v>290.10000000000002</v>
      </c>
      <c r="N39" s="3">
        <f>0+(348.2-1.9)+(0+(-0.355164--0.001938))+0-31--0.0316200000000049</f>
        <v>314.97839400000004</v>
      </c>
      <c r="O39" s="3">
        <f>0+(366.9-9.6)+(0+(-0.187119--0.004896))+0-31--0.0158099999999969</f>
        <v>326.13358699999992</v>
      </c>
      <c r="P39" s="3">
        <f>0+(391-21)+(0+(-0.59823--0.03213))+0-31--0.0474300000000018</f>
        <v>338.48133000000001</v>
      </c>
      <c r="Q39" s="3">
        <f>0+(390.5-22.8)+(0+(-0.597465--0.034884))+0-31--0.0474300000000018</f>
        <v>336.18484899999999</v>
      </c>
      <c r="R39" s="3">
        <f>0+(367.8-6.4)+(0+(-0.562734--0.009792))+0-30--0.0459000000000017</f>
        <v>330.89295800000008</v>
      </c>
      <c r="S39" s="3">
        <f>0+(375.3-18.7)+(0+(-0.765612--0.038148))+0-30--0.0611999999999987</f>
        <v>325.93373600000001</v>
      </c>
      <c r="T39" s="3">
        <f>0+(398.4-41.6)+(0+(-0.203184--0.021216))+0-30--0.015299999999997</f>
        <v>326.633332</v>
      </c>
      <c r="U39" s="3">
        <f>0+(429.2-67.4)+(0+(-0.218892--0.034374))+0-31--0.0158099999999969</f>
        <v>330.63129199999992</v>
      </c>
      <c r="V39" s="3">
        <f>0+(401.6-45)+(0+(-1.02408--0.11475))+0-31--0.0790499999999955</f>
        <v>324.76972000000001</v>
      </c>
      <c r="W39" s="3">
        <f>0+(354.3-0)+(0+(-0.722772-0))+0-32--0.0652799999999986</f>
        <v>321.64250799999996</v>
      </c>
      <c r="X39" s="3">
        <f>0+(347.3-0)+(0+(-0.708492-0))+0-31--0.0632399999999986</f>
        <v>315.65474800000004</v>
      </c>
      <c r="Y39" s="3">
        <f>0+(345-0)+(0+(-0.52785-0))+0-28--0.0428400000000016</f>
        <v>316.51499000000001</v>
      </c>
      <c r="Z39" s="3">
        <f>0+(363.5-0)+(0+(-0.556155-0))+0-30--0.0459000000000017</f>
        <v>332.98974500000003</v>
      </c>
      <c r="AA39" s="3">
        <f>0+(357.5-0)+(0+(-0.36465-0))+0-32--0.0326400000000051</f>
        <v>325.16799000000003</v>
      </c>
      <c r="AB39" s="3">
        <f>0+(347.1-3.3)+(0+(-0.708084--0.006732))+0-30--0.0611999999999987</f>
        <v>313.15984800000001</v>
      </c>
      <c r="AC39" s="3">
        <f>0+(333.1-6.7)+(0+(-0.679524--0.013668))+0-30--0.0611999999999987</f>
        <v>295.795344</v>
      </c>
      <c r="AD39">
        <f t="shared" si="0"/>
        <v>7315.5728320000007</v>
      </c>
      <c r="AE39" s="3">
        <f>0+(359.8-0)+(0+(0-0))+0-31-0</f>
        <v>328.8</v>
      </c>
    </row>
    <row r="40" spans="1:31" s="2" customFormat="1" x14ac:dyDescent="0.25">
      <c r="A40">
        <v>89</v>
      </c>
      <c r="B40">
        <v>2</v>
      </c>
      <c r="C40">
        <v>9</v>
      </c>
      <c r="D40">
        <v>6</v>
      </c>
      <c r="E40">
        <v>1</v>
      </c>
      <c r="F40" s="3">
        <f>0+(358.3-43.6)+(0+(-0.182733--0.022236))+0-30--0.015299999999997</f>
        <v>284.55480299999999</v>
      </c>
      <c r="G40" s="3">
        <f>0+(316.8-15.3)+(0+(-0.484704--0.023409))+0-29--0.0443700000000017</f>
        <v>272.08307500000001</v>
      </c>
      <c r="H40" s="3">
        <f>0+(302.1-8.5)+(0+(0.462213-0.013005))+0-30-0.0459000000000017</f>
        <v>264.003308</v>
      </c>
      <c r="I40" s="3">
        <f>0+(292.3-1.1)+(0+(-0.447219--0.001683))+0-30--0.0459000000000017</f>
        <v>260.800364</v>
      </c>
      <c r="J40" s="3">
        <f>0+(285-0)+(0+(0.14535-0))+0-30-0.015299999999997</f>
        <v>255.13005000000001</v>
      </c>
      <c r="K40" s="3">
        <f>0+(292.6-0)+(0+(-0.447678-0))+0-30--0.0459000000000017</f>
        <v>262.19822200000004</v>
      </c>
      <c r="L40" s="3">
        <f>0+(294.3-0)+(0+(-0.600372-0))+0-31--0.0632399999999986</f>
        <v>262.76286800000003</v>
      </c>
      <c r="M40" s="3">
        <f>0+(316.2-0)+(0+(-0.483786-0))+0-31--0.0474300000000018</f>
        <v>284.763644</v>
      </c>
      <c r="N40" s="3">
        <f>0+(385.2-54.6)+(0+(0-0))+0-32-0</f>
        <v>298.59999999999997</v>
      </c>
      <c r="O40" s="3">
        <f>0+(467.1-125.4)+(0+(-0.238221--0.063954))+0-31--0.0158099999999969</f>
        <v>310.54154300000005</v>
      </c>
      <c r="P40" s="3">
        <f>0+(481.7-134.1)+(0+(-0.491334--0.136782))+0-31--0.0316200000000049</f>
        <v>316.27706800000004</v>
      </c>
      <c r="Q40" s="3">
        <f>0+(516.3-169.8)+(0+(0-0))+0-31-0</f>
        <v>315.49999999999994</v>
      </c>
      <c r="R40" s="3">
        <f>0+(555.2-209.8)+(0+(-0.849456--0.320994))+0-31--0.0474300000000018</f>
        <v>313.91896800000006</v>
      </c>
      <c r="S40" s="3">
        <f>0+(549.9-211.9)+(0+(-0.560898--0.216138))+0-31--0.0316200000000049</f>
        <v>306.68686000000002</v>
      </c>
      <c r="T40" s="3">
        <f>0+(561.1-225.1)+(0+(-0.286161--0.114801))+0-26--0.0132599999999974</f>
        <v>309.84190000000001</v>
      </c>
      <c r="U40" s="3">
        <f>0+(510.3-184.3)+(0+(-0.780759--0.281979))+0-31--0.0474300000000018</f>
        <v>294.54865000000001</v>
      </c>
      <c r="V40" s="3">
        <f>0+(491.3-165.6)+(0+(-0.501126--0.168912))+0-31--0.0316200000000049</f>
        <v>294.39940600000006</v>
      </c>
      <c r="W40" s="3">
        <f>0+(387.9-60.9)+(0+(-1.384803--0.217413))+0-31--0.11067</f>
        <v>294.94328000000002</v>
      </c>
      <c r="X40" s="3">
        <f>0+(378.1-42.1)+(0+(0-0))+0-31-0</f>
        <v>305</v>
      </c>
      <c r="Y40" s="3">
        <f>0+(393.2-55.5)+(0+(-0.401064--0.05661))+0-31--0.0316200000000049</f>
        <v>306.38716600000004</v>
      </c>
      <c r="Z40" s="3">
        <f>0+(434.7-76.5)+(0+(-1.108485--0.195075))+0-31--0.0790499999999955</f>
        <v>326.36563999999998</v>
      </c>
      <c r="AA40" s="3">
        <f>0+(470.4-113.4)+(0+(-0.479808--0.115668))+0-22--0.0224400000000035</f>
        <v>334.6583</v>
      </c>
      <c r="AB40" s="3">
        <f>0+(478.6-133.2)+(0+(-0.976344--0.271728))+0-31--0.0632399999999986</f>
        <v>313.75862400000005</v>
      </c>
      <c r="AC40" s="3">
        <f>0+(465.7-130.2)+(0+(-0.237507--0.066402))+0-32--0.0163199999999968</f>
        <v>303.345215</v>
      </c>
      <c r="AD40">
        <f t="shared" si="0"/>
        <v>7091.0689540000021</v>
      </c>
      <c r="AE40" s="3">
        <f>0+(448.5-87.3)+(0+(0-0))+0-31-0</f>
        <v>330.2</v>
      </c>
    </row>
    <row r="41" spans="1:31" s="2" customFormat="1" x14ac:dyDescent="0.25">
      <c r="A41">
        <v>89</v>
      </c>
      <c r="B41">
        <v>2</v>
      </c>
      <c r="C41">
        <v>10</v>
      </c>
      <c r="D41">
        <v>7</v>
      </c>
      <c r="E41">
        <v>1</v>
      </c>
      <c r="F41" s="3">
        <f>0+(460.8-145.5)+(0+(0-0))+0-30-0</f>
        <v>285.3</v>
      </c>
      <c r="G41" s="3">
        <f>0+(473.5-170.9)+(0+(0-0))+0-29-0</f>
        <v>273.60000000000002</v>
      </c>
      <c r="H41" s="3">
        <f>0+(375.1-80.6)+(0+(0.382602-0.082212))+0-32-0.0326400000000051</f>
        <v>262.76774999999998</v>
      </c>
      <c r="I41" s="3">
        <f>0+(306.3-9.3)+(0+(-0.156213--0.004743))+0-32--0.0163199999999968</f>
        <v>264.86484999999999</v>
      </c>
      <c r="J41" s="3">
        <f>0+(297.2-4.7)+(0+(0.303144-0.004794))+0-31-0.0316200000000049</f>
        <v>261.76673</v>
      </c>
      <c r="K41" s="3">
        <f>0+(280.9-0)+(0+(-0.716295-0))+0-31--0.0790499999999955</f>
        <v>249.26275499999997</v>
      </c>
      <c r="L41" s="3">
        <f>0+(264.3-0)+(0+(-0.673965-0))+0-31--0.0790499999999955</f>
        <v>232.705085</v>
      </c>
      <c r="M41" s="3">
        <f>0+(281.5-0)+(0+(-0.28713-0))+0-31--0.0316200000000049</f>
        <v>250.24449000000001</v>
      </c>
      <c r="N41" s="3">
        <f>0+(291.5-0)+(0+(0.148665-0))+0-31-0.0158099999999969</f>
        <v>260.63285500000001</v>
      </c>
      <c r="O41" s="3">
        <f>0+(352.9-47.1)+(0+(-0.179979--0.024021))+0-31--0.0158099999999969</f>
        <v>274.65985199999994</v>
      </c>
      <c r="P41" s="3">
        <f>0+(416.3-103.8)+(0+(-0.424626--0.105876))+0-31--0.0316200000000049</f>
        <v>281.21287000000001</v>
      </c>
      <c r="Q41" s="3">
        <f>0+(478.6-163.6)+(0+(-0.732258--0.250308))+0-31--0.0474300000000018</f>
        <v>283.56548000000004</v>
      </c>
      <c r="R41" s="3">
        <f>0+(444.9-132.2)+(0+(0.226899-0.067422))+0-31-0.0158099999999969</f>
        <v>281.84366699999998</v>
      </c>
      <c r="S41" s="3">
        <f>0+(489.7-183.4)+(0+(-0.499494--0.187068))+0-31--0.0316200000000049</f>
        <v>275.01919399999997</v>
      </c>
      <c r="T41" s="3">
        <f>0+(504.5-197.1)+(0+(0.771885-0.301563))+0-31-0.0474300000000018</f>
        <v>276.82289199999997</v>
      </c>
      <c r="U41" s="3">
        <f>0+(425.6-126.3)+(0+(-0.651168--0.193239))+0-31--0.0474300000000018</f>
        <v>267.88950100000005</v>
      </c>
      <c r="V41" s="3">
        <f>0+(390.4-94.7)+(0+(-0.597312--0.144891))+0-31--0.0474300000000018</f>
        <v>264.29500899999999</v>
      </c>
      <c r="W41" s="3">
        <f>0+(409.7-111.7)+(0+(-1.044735--0.284835))+0-31--0.0790499999999955</f>
        <v>266.31914999999998</v>
      </c>
      <c r="X41" s="3">
        <f>0+(360.9-62.4)+(0+(-0.920295--0.15912))+0-31--0.0790499999999955</f>
        <v>266.81787500000002</v>
      </c>
      <c r="Y41" s="3">
        <f>0+(312.4-3.3)+(0+(-0.159324--0.001683))+0-31--0.0158099999999969</f>
        <v>277.95816899999994</v>
      </c>
      <c r="Z41" s="3">
        <f>0+(420-75.5)+(0+(-0.8568--0.15402))+0-31--0.0632399999999986</f>
        <v>312.86045999999999</v>
      </c>
      <c r="AA41" s="3">
        <f>0+(435-91.6)+(0+(-0.4437--0.093432))+0-31--0.0316200000000049</f>
        <v>312.08135199999998</v>
      </c>
      <c r="AB41" s="3">
        <f>0+(443.9-111.4)+(0+(-1.358334--0.340884))+0-31--0.0948600000000036</f>
        <v>300.57740999999999</v>
      </c>
      <c r="AC41" s="3">
        <f>0+(501.1-182.5)+(0+(-0.511122--0.18615))+0-31--0.0316200000000049</f>
        <v>287.30664800000005</v>
      </c>
      <c r="AD41">
        <f t="shared" si="0"/>
        <v>6570.3740439999992</v>
      </c>
      <c r="AE41" s="3">
        <f>0+(438.8-88.5)+(0+(0-0))+0-31-0</f>
        <v>319.3</v>
      </c>
    </row>
    <row r="42" spans="1:31" s="2" customFormat="1" x14ac:dyDescent="0.25">
      <c r="A42">
        <v>89</v>
      </c>
      <c r="B42">
        <v>2</v>
      </c>
      <c r="C42">
        <v>11</v>
      </c>
      <c r="D42">
        <v>1</v>
      </c>
      <c r="E42">
        <v>1</v>
      </c>
      <c r="F42" s="3">
        <f>0+(591.8-282.2)+(0+(-1.207272--0.575688))+0-31--0.0632399999999986</f>
        <v>278.031656</v>
      </c>
      <c r="G42" s="3">
        <f>0+(609.6-308.8)+(0+(-1.55448--0.78744))+0-31--0.0790499999999955</f>
        <v>269.11201</v>
      </c>
      <c r="H42" s="3">
        <f>0+(561.6-265.4)+(0+(-0.572832--0.270708))+0-31--0.0316200000000049</f>
        <v>264.92949600000009</v>
      </c>
      <c r="I42" s="3">
        <f>0+(475.7-189.1)+(0+(-0.970428--0.385764))+0-31--0.0632399999999986</f>
        <v>255.07857600000006</v>
      </c>
      <c r="J42" s="3">
        <f>0+(385.9-99.8)+(0+(0-0))+0-31-0</f>
        <v>255.09999999999997</v>
      </c>
      <c r="K42" s="3">
        <f>0+(369.6-81.7)+(0+(-0.188496--0.041667))+0-31--0.0158099999999969</f>
        <v>256.768981</v>
      </c>
      <c r="L42" s="3">
        <f>0+(327.4-40.1)+(0+(-0.667896--0.081804))+0-31--0.0632399999999986</f>
        <v>255.77714799999995</v>
      </c>
      <c r="M42" s="3">
        <f>0+(352.6-46.8)+(0+(-0.359652--0.047736))+0-31--0.0316200000000049</f>
        <v>274.51970400000005</v>
      </c>
      <c r="N42" s="3">
        <f>0+(400.7-66.8)+(0+(-0.408714--0.068136))+0-31--0.0316200000000049</f>
        <v>302.59104200000002</v>
      </c>
      <c r="O42" s="3">
        <f>0+(445.4-102.2)+(0+(-0.681462--0.156366))+0-31--0.0474300000000018</f>
        <v>311.72233399999999</v>
      </c>
      <c r="P42" s="3">
        <f>0+(540.8-194)+(0+(-0.551616--0.19788))+0-31--0.0316200000000049</f>
        <v>315.47788399999996</v>
      </c>
      <c r="Q42" s="3">
        <f>0+(500.3-147)+(0+(-0.255153--0.07497))+0-31--0.0158099999999969</f>
        <v>322.135627</v>
      </c>
      <c r="R42" s="3">
        <f>0+(671.8-311.8)+(0+(-1.71309--0.79509))+0-31--0.0790499999999955</f>
        <v>328.16104999999993</v>
      </c>
      <c r="S42" s="3">
        <f>0+(668.8-335)+(0+(-0.682176--0.3417))+0-31--0.0316200000000049</f>
        <v>302.49114399999996</v>
      </c>
      <c r="T42" s="3">
        <f>0+(657-311.7)+(0+(-0.33507--0.158967))+0-31--0.0158099999999969</f>
        <v>314.13970699999999</v>
      </c>
      <c r="U42" s="3">
        <f>0+(600.8-261.8)+(0+(-1.53204--0.66759))+0-31--0.0790499999999955</f>
        <v>307.21459999999996</v>
      </c>
      <c r="V42" s="3">
        <f>0+(627.5-289.2)+(0+(-1.600125--0.73746))+0-31--0.0790499999999955</f>
        <v>306.51638500000001</v>
      </c>
      <c r="W42" s="3">
        <f>0+(484.6-156.2)+(0+(-0.741438--0.238986))+0-31--0.0474300000000018</f>
        <v>296.94497800000005</v>
      </c>
      <c r="X42" s="3">
        <f>0+(436.1-115.8)+(0+(-0.667233--0.177174))+0-31--0.0474300000000018</f>
        <v>288.85737100000006</v>
      </c>
      <c r="Y42" s="3">
        <f>0+(452.8-121.8)+(0+(-0.230928--0.062118))+0-31--0.0158099999999969</f>
        <v>299.84699999999998</v>
      </c>
      <c r="Z42" s="3">
        <f>0+(508.2-153.6)+(0+(-1.036728--0.313344))+0-31--0.0632399999999986</f>
        <v>322.93985600000002</v>
      </c>
      <c r="AA42" s="3">
        <f>0+(537.2-183.2)+(0+(-0.547944--0.186864))+0-31--0.0316200000000049</f>
        <v>322.67054000000007</v>
      </c>
      <c r="AB42" s="3">
        <f>0+(517.9-179.7)+(0+(-0.528258--0.183294))+0-31--0.0316200000000049</f>
        <v>306.88665600000002</v>
      </c>
      <c r="AC42" s="3">
        <f>0+(461.6-138)+(0+(-0.706248--0.21114))+0-31--0.0474300000000018</f>
        <v>292.15232200000003</v>
      </c>
      <c r="AD42">
        <f t="shared" si="0"/>
        <v>7050.0660669999997</v>
      </c>
      <c r="AE42" s="3">
        <f>0+(507.6-142.2)+(0+(0-0))+0-31-0</f>
        <v>334.40000000000003</v>
      </c>
    </row>
    <row r="43" spans="1:31" s="2" customFormat="1" x14ac:dyDescent="0.25">
      <c r="A43">
        <v>89</v>
      </c>
      <c r="B43">
        <v>2</v>
      </c>
      <c r="C43">
        <v>12</v>
      </c>
      <c r="D43">
        <v>2</v>
      </c>
      <c r="E43">
        <v>1</v>
      </c>
      <c r="F43" s="3">
        <f>0+(560.8-239.9)+(0+(0-0))+0-31-0</f>
        <v>289.89999999999998</v>
      </c>
      <c r="G43" s="3">
        <f>0+(531.8-220.8)+(0+(-0.271218--0.112608))+0-31--0.0158099999999969</f>
        <v>279.85719999999992</v>
      </c>
      <c r="H43" s="3">
        <f>0+(502.8-201.5)+(0+(0-0))+0-31-0</f>
        <v>270.3</v>
      </c>
      <c r="I43" s="3">
        <f>0+(420.9-120)+(0+(-0.429318--0.1224))+0-31--0.0316200000000049</f>
        <v>269.62470200000001</v>
      </c>
      <c r="J43" s="3">
        <f>0+(400.6-98.8)+(0+(-0.204306--0.050388))+0-31--0.0158099999999969</f>
        <v>270.66189200000002</v>
      </c>
      <c r="K43" s="3">
        <f>0+(377.1-75.5)+(0+(-0.961605--0.192525))+0-31--0.0790499999999955</f>
        <v>269.90997000000004</v>
      </c>
      <c r="L43" s="3">
        <f>0+(340.3-38)+(0+(-0.347106--0.03876))+0-31--0.0316200000000049</f>
        <v>271.02327400000007</v>
      </c>
      <c r="M43" s="3">
        <f>0+(413.1-89.5)+(0+(0-0))+0-31-0</f>
        <v>292.60000000000002</v>
      </c>
      <c r="N43" s="3">
        <f>0+(561.5-207.7)+(0+(-0.286365--0.105927))+0-31--0.0158099999999969</f>
        <v>322.63537200000002</v>
      </c>
      <c r="O43" s="3">
        <f>0+(672.3-306.5)+(0+(0-0))+0-31-0</f>
        <v>334.79999999999995</v>
      </c>
      <c r="P43" s="3">
        <f>0+(648.5-278)+(0+(0.66147-0.28356))+0-31-0.0316200000000049</f>
        <v>339.84628999999995</v>
      </c>
      <c r="Q43" s="3">
        <f>0+(645.2-269.1)+(0+(-0.329052--0.137241))+0-31--0.0158099999999969</f>
        <v>344.92399900000004</v>
      </c>
      <c r="R43" s="3">
        <f>0+(558.2-190.1)+(0+(-0.854046--0.290853))+0-31--0.0474300000000018</f>
        <v>336.58423700000003</v>
      </c>
      <c r="S43" s="3">
        <f>0+(546.5-193.5)+(0+(-1.11486--0.39474))+0-31--0.0632399999999986</f>
        <v>321.34312</v>
      </c>
      <c r="T43" s="3">
        <f>0+(644.8-287.6)+(0+(0.328848-0.146676))+0-31-0.0158099999999969</f>
        <v>326.36636199999992</v>
      </c>
      <c r="U43" s="3">
        <f>0+(590.3-235.9)+(0+(-0.903159--0.360927))+0-31--0.0474300000000018</f>
        <v>322.90519799999998</v>
      </c>
      <c r="V43" s="3">
        <f>0+(603.7-244)+(0+(-1.847322--0.74664))+0-31--0.0948600000000036</f>
        <v>327.69417800000002</v>
      </c>
      <c r="W43" s="3">
        <f>0+(509.4-149)+(0+(-0.259794--0.07599))+0-31--0.0158099999999969</f>
        <v>329.23200599999996</v>
      </c>
      <c r="X43" s="3">
        <f>0+(485-124.1)+(0+(-0.74205--0.189873))+0-31--0.0474300000000018</f>
        <v>329.39525300000003</v>
      </c>
      <c r="Y43" s="3">
        <f>0+(483.3-111.2)+(0+(-0.492966--0.113424))+0-31--0.0316200000000049</f>
        <v>340.75207800000004</v>
      </c>
      <c r="Z43" s="3">
        <f>0+(485.8-109.8)+(0+(-1.734306--0.391986))+0-31--0.11067</f>
        <v>343.76835000000005</v>
      </c>
      <c r="AA43" s="3">
        <f>0+(535.4-169.9)+(0+(-1.092216--0.346596))+0-31--0.0632399999999986</f>
        <v>333.81762000000003</v>
      </c>
      <c r="AB43" s="3">
        <f>0+(535.3-189.2)+(0+(-1.365015--0.48246))+0-31--0.0790499999999955</f>
        <v>314.29649499999994</v>
      </c>
      <c r="AC43" s="3">
        <f>0+(507.5-179.2)+(0+(-1.294125--0.45696))+0-31--0.0790499999999955</f>
        <v>296.54188499999998</v>
      </c>
      <c r="AD43">
        <f t="shared" si="0"/>
        <v>7478.7794810000005</v>
      </c>
      <c r="AE43" s="3">
        <f>0+(477.8-103.5)+(0+(0-0))+0-31-0</f>
        <v>343.3</v>
      </c>
    </row>
    <row r="44" spans="1:31" s="2" customFormat="1" x14ac:dyDescent="0.25">
      <c r="A44">
        <v>89</v>
      </c>
      <c r="B44">
        <v>2</v>
      </c>
      <c r="C44">
        <v>13</v>
      </c>
      <c r="D44">
        <v>3</v>
      </c>
      <c r="E44">
        <v>1</v>
      </c>
      <c r="F44" s="3">
        <f>0+(447-131.6)+(0+(-1.36782--0.402696))+0-31--0.0948600000000036</f>
        <v>283.52973599999996</v>
      </c>
      <c r="G44" s="3">
        <f>0+(307.6-0)+(0+(-1.098132-0))+0-31--0.11067</f>
        <v>275.61253800000003</v>
      </c>
      <c r="H44" s="3">
        <f>0+(300.5-0)+(0+(-0.153255-0))+0-31--0.0158099999999969</f>
        <v>269.36255499999999</v>
      </c>
      <c r="I44" s="3">
        <f>0+(300-0)+(0+(-0.153-0))+0-31--0.0158099999999969</f>
        <v>268.86280999999997</v>
      </c>
      <c r="J44" s="3">
        <f>0+(294.1-0)+(0+(-0.299982-0))+0-31--0.0316200000000049</f>
        <v>262.83163800000005</v>
      </c>
      <c r="K44" s="3">
        <f>0+(297.2-0)+(0+(-0.75786-0))+0-31--0.0790499999999955</f>
        <v>265.52118999999999</v>
      </c>
      <c r="L44" s="3">
        <f>0+(307.1-16.8)+(0+(-0.939726--0.051408))+0-31--0.0948600000000036</f>
        <v>258.50654199999997</v>
      </c>
      <c r="M44" s="3">
        <f>0+(344.3-27.7)+(0+(0.175593-0.014127))+0-31-0.0158099999999969</f>
        <v>285.74565600000005</v>
      </c>
      <c r="N44" s="3">
        <f>0+(480.9-139.7)+(0+(0-0))+0-2-0</f>
        <v>339.2</v>
      </c>
      <c r="O44" s="3">
        <f>0+(611.1-283.4)+(0+(-0.934983--0.433602))+0-1--0.00153000000000006</f>
        <v>326.20014900000007</v>
      </c>
      <c r="P44" s="3">
        <f>0+(576.4-249.6)+(0+(0-0))+0-4-0</f>
        <v>322.79999999999995</v>
      </c>
      <c r="Q44" s="3">
        <f>0+(557.8-221.1)+(0+(-1.137912--0.451044))+0-4--0.00815999999999983</f>
        <v>332.0212919999999</v>
      </c>
      <c r="R44" s="3">
        <f>0+(494.6-164.5)+(0+(-0.252246--0.083895))+0-5--0.00254999999999949</f>
        <v>324.93419900000004</v>
      </c>
      <c r="S44" s="3">
        <f>0+(498-179.8)+(0+(-1.01592--0.366792))+0-5--0.0101999999999998</f>
        <v>312.56107199999997</v>
      </c>
      <c r="T44" s="3">
        <f>0+(494.5-179.6)+(0+(-1.00878--0.366384))+0-5--0.0101999999999998</f>
        <v>309.26780399999996</v>
      </c>
      <c r="U44" s="3">
        <f>0+(498.1-181.3)+(0+(-0.762093--0.277389))+0-7--0.0107100000000004</f>
        <v>309.32600600000001</v>
      </c>
      <c r="V44" s="3">
        <f>0+(368.7-55.5)+(0+(-0.564111--0.084915))+0-7--0.0107100000000004</f>
        <v>305.731514</v>
      </c>
      <c r="W44" s="3">
        <f>0+(309.5-1.5)+(0+(0-0))+0-7-0</f>
        <v>301</v>
      </c>
      <c r="X44" s="3">
        <f>0+(304.4-0)+(0+(-0.620976-0))+0-9--0.0183599999999996</f>
        <v>294.79738399999997</v>
      </c>
      <c r="Y44" s="3">
        <f>0+(318.1-0)+(0+(0.162231-0))+0-11-0.00560999999999888</f>
        <v>307.25662100000005</v>
      </c>
      <c r="Z44" s="3">
        <f>0+(412.8-75.1)+(0+(-1.05264--0.191505))+0-12--0.0305999999999983</f>
        <v>324.86946500000005</v>
      </c>
      <c r="AA44" s="3">
        <f>0+(455.7-124)+(0+(-1.162035--0.3162))+0-12--0.0305999999999983</f>
        <v>318.88476499999996</v>
      </c>
      <c r="AB44" s="3">
        <f>0+(315.6-0)+(0+(-0.160956-0))+0-15--0.00764999999999848</f>
        <v>300.44669400000004</v>
      </c>
      <c r="AC44" s="3">
        <f>0+(295.2-0)+(0+(-0.150552-0))+0-14--0.00713999999999858</f>
        <v>281.05658799999998</v>
      </c>
      <c r="AD44">
        <f t="shared" si="0"/>
        <v>7180.326218000002</v>
      </c>
      <c r="AE44" s="3">
        <f>0+(427-88.5)+(0+(0-0))+0-31-0</f>
        <v>307.5</v>
      </c>
    </row>
    <row r="45" spans="1:31" s="2" customFormat="1" x14ac:dyDescent="0.25">
      <c r="A45">
        <v>89</v>
      </c>
      <c r="B45">
        <v>2</v>
      </c>
      <c r="C45">
        <v>14</v>
      </c>
      <c r="D45">
        <v>4</v>
      </c>
      <c r="E45">
        <v>1</v>
      </c>
      <c r="F45" s="3">
        <f>0+(319.7-18.8)+(0+(-0.652188--0.038352))+0-17--0.0346799999999993</f>
        <v>283.32084399999997</v>
      </c>
      <c r="G45" s="3">
        <f>0+(343.3-41.9)+(0+(-0.700332--0.085476))+0-19--0.0387599999999992</f>
        <v>281.82390400000008</v>
      </c>
      <c r="H45" s="3">
        <f>0+(351.9-54.8)+(0+(-0.538407--0.083844))+0-21--0.0321300000000012</f>
        <v>275.67756699999995</v>
      </c>
      <c r="I45" s="3">
        <f>0+(390.9-96.4)+(0+(0.199359-0.049164))+0-22-0.0112199999999978</f>
        <v>272.63897500000002</v>
      </c>
      <c r="J45" s="3">
        <f>0+(361.5-62.4)+(0+(0.73746-0.127296))+0-26-0.0530399999999989</f>
        <v>273.65712400000001</v>
      </c>
      <c r="K45" s="3">
        <f>0+(369.5-67.5)+(0+(-0.188445--0.034425))+0-26--0.0132599999999974</f>
        <v>275.85924</v>
      </c>
      <c r="L45" s="3">
        <f>0+(358-57.6)+(0+(-0.9129--0.14688))+0-26--0.0662999999999962</f>
        <v>273.70027999999996</v>
      </c>
      <c r="M45" s="3">
        <f>0+(476.2-148)+(0+(0-0))+0-26-0</f>
        <v>302.2</v>
      </c>
      <c r="N45" s="3">
        <f>0+(488.3-133.4)+(0+(-0.498066--0.136068))+0-26--0.0265200000000041</f>
        <v>328.56452199999995</v>
      </c>
      <c r="O45" s="3">
        <f>0+(565-197.9)+(0+(0.5763-0.201858))+0-26-0.0265200000000041</f>
        <v>341.44792200000001</v>
      </c>
      <c r="P45" s="3">
        <f>0+(560.7-187.6)+(0+(-0.857871--0.287028))+0-26--0.0397800000000015</f>
        <v>346.56893700000001</v>
      </c>
      <c r="Q45" s="3">
        <f>0+(592.3-226.3)+(0+(-0.604146--0.230826))+0-26--0.0265200000000041</f>
        <v>339.65319999999997</v>
      </c>
      <c r="R45" s="3">
        <f>0+(624.3-256.1)+(0+(-1.273572--0.522444))+0-30--0.0611999999999987</f>
        <v>337.51007199999992</v>
      </c>
      <c r="S45" s="3">
        <f>0+(675.5-311.6)+(0+(0-0))+0-30-0</f>
        <v>333.9</v>
      </c>
      <c r="T45" s="3">
        <f>0+(686.8-326.1)+(0+(0.700536-0.332622))+0-31-0.0316200000000049</f>
        <v>330.03629399999988</v>
      </c>
      <c r="U45" s="3">
        <f>0+(745-392.7)+(0+(-0.37995--0.200277))+0-31--0.0158099999999969</f>
        <v>321.13613700000002</v>
      </c>
      <c r="V45" s="3">
        <f>0+(739-394.9)+(0+(-0.75378--0.402798))+0-11--0.0112200000000018</f>
        <v>332.76023800000002</v>
      </c>
      <c r="W45" s="3">
        <f>0+(620.6-288)+(0+(-1.266024--0.58752))+0-11--0.0224399999999995</f>
        <v>320.94393600000006</v>
      </c>
      <c r="X45" s="3">
        <f>0+(461.2-137.9)+(0+(-1.17606--0.351645))+0-11--0.0280499999999984</f>
        <v>311.50363499999997</v>
      </c>
      <c r="Y45" s="3">
        <f>0+(577.4-236.4)+(0+(-0.588948--0.241128))+0-31--0.0316200000000049</f>
        <v>309.68380000000002</v>
      </c>
      <c r="Z45" s="3">
        <f>0+(541.6-183.4)+(0+(-1.104864--0.374136))+0-31--0.0632399999999986</f>
        <v>326.53251200000005</v>
      </c>
      <c r="AA45" s="3">
        <f>0+(591.6-238.1)+(0+(-0.603432--0.242862))+0-31--0.0316200000000049</f>
        <v>322.17105000000004</v>
      </c>
      <c r="AB45" s="3">
        <f>0+(450.8-113.4)+(0+(-0.689724--0.173502))+0-31--0.0474300000000018</f>
        <v>305.93120799999997</v>
      </c>
      <c r="AC45" s="3">
        <f>0+(403.2-87.4)+(0+(-0.411264--0.089148))+0-31--0.0316200000000049</f>
        <v>284.50950399999999</v>
      </c>
      <c r="AD45">
        <f t="shared" si="0"/>
        <v>7431.7309009999981</v>
      </c>
      <c r="AE45" s="3">
        <f>0+(569-219)+(0+(0-0))+0-31-0</f>
        <v>319</v>
      </c>
    </row>
    <row r="46" spans="1:31" s="2" customFormat="1" x14ac:dyDescent="0.25">
      <c r="A46">
        <v>89</v>
      </c>
      <c r="B46">
        <v>2</v>
      </c>
      <c r="C46">
        <v>15</v>
      </c>
      <c r="D46">
        <v>5</v>
      </c>
      <c r="E46">
        <v>1</v>
      </c>
      <c r="F46" s="3">
        <f>0+(500.4-176.8)+(0+(-0.255204--0.090168))+0-31--0.0158099999999969</f>
        <v>292.45077399999997</v>
      </c>
      <c r="G46" s="3">
        <f>0+(466.3-150.6)+(0+(-0.713439--0.230418))+0-31--0.0474300000000018</f>
        <v>284.26440900000006</v>
      </c>
      <c r="H46" s="3">
        <f>0+(410-103.1)+(0+(-0.4182--0.105162))+0-31--0.0316200000000049</f>
        <v>275.618582</v>
      </c>
      <c r="I46" s="3">
        <f>0+(366.5-66.5)+(0+(-0.74766--0.13566))+0-31--0.0632399999999986</f>
        <v>268.45123999999998</v>
      </c>
      <c r="J46" s="3">
        <f>0+(388.2-87.5)+(0+(0.197982-0.044625))+0-31-0.0158099999999969</f>
        <v>269.83754700000003</v>
      </c>
      <c r="K46" s="3">
        <f>0+(425-123.1)+(0+(0.21675-0.062781))+0-31-0.0158099999999969</f>
        <v>271.03815900000001</v>
      </c>
      <c r="L46" s="3">
        <f>0+(384.1-85.5)+(0+(-0.783564--0.17442))+0-31--0.0632399999999986</f>
        <v>267.05409600000002</v>
      </c>
      <c r="M46" s="3">
        <f>0+(423.1-93.8)+(0+(0-0))+0-31-0</f>
        <v>298.3</v>
      </c>
      <c r="N46" s="3">
        <f>0+(491.8-130.9)+(0+(-0.250818--0.066759))+0-31--0.0158099999999969</f>
        <v>329.73175099999997</v>
      </c>
      <c r="O46" s="3">
        <f>0+(439.8-71)+(0+(0-0))+0-31-0</f>
        <v>337.8</v>
      </c>
      <c r="P46" s="3">
        <f>0+(480.9-110.2)+(0+(-0.490518--0.112404))+0-31--0.0316200000000049</f>
        <v>339.35350600000004</v>
      </c>
      <c r="Q46" s="3">
        <f>0+(468.3-96.3)+(0+(-0.477666--0.098226))+0-31--0.0316200000000049</f>
        <v>340.65218000000004</v>
      </c>
      <c r="R46" s="3">
        <f>0+(453.9-94.2)+(0+(-0.462978--0.096084))+0-31--0.0316200000000049</f>
        <v>328.36472600000002</v>
      </c>
      <c r="S46" s="3">
        <f>0+(481-128.1)+(0+(0.24531-0.065331))+0-31-0.0158099999999969</f>
        <v>322.06416899999999</v>
      </c>
      <c r="T46" s="3">
        <f>0+(482.6-132.2)+(0+(0.738378-0.202266))+0-31-0.0474300000000018</f>
        <v>319.88868200000002</v>
      </c>
      <c r="U46" s="3">
        <f>0+(467.9-116.6)+(0+(-0.477258--0.118932))+0-31--0.0316200000000049</f>
        <v>319.97329400000001</v>
      </c>
      <c r="V46" s="3">
        <f>0+(403.5-56.6)+(0+(-0.617355--0.086598))+0-31--0.0474300000000018</f>
        <v>315.416673</v>
      </c>
      <c r="W46" s="3">
        <f>0+(417.1-80.5)+(0+(-0.638163--0.123165))+0-31--0.0474300000000018</f>
        <v>305.13243200000005</v>
      </c>
      <c r="X46" s="3">
        <f>0+(372.2-27.7)+(0+(-0.94911--0.070635))+0-31--0.0790499999999955</f>
        <v>312.70057500000001</v>
      </c>
      <c r="Y46" s="3">
        <f>0+(409.7-61.5)+(0+(-0.417894--0.06273))+0-31--0.0316200000000049</f>
        <v>316.87645600000002</v>
      </c>
      <c r="Z46" s="3">
        <f>0+(457.4-105)+(0+(-0.233274--0.05355))+0-31--0.0158099999999969</f>
        <v>321.23608599999994</v>
      </c>
      <c r="AA46" s="3">
        <f>0+(456.7-111.3)+(0+(-1.164585--0.283815))+0-31--0.0790499999999955</f>
        <v>313.59827999999999</v>
      </c>
      <c r="AB46" s="3">
        <f>0+(366.9-33.6)+(0+(-0.374238--0.034272))+0-31--0.0316200000000049</f>
        <v>301.99165399999998</v>
      </c>
      <c r="AC46" s="3">
        <f>0+(376-60.1)+(0+(-0.57528--0.091953))+0-21--0.0321300000000012</f>
        <v>294.448803</v>
      </c>
      <c r="AD46">
        <f t="shared" si="0"/>
        <v>7346.2440740000011</v>
      </c>
      <c r="AE46" s="3">
        <f>0+(453-100)+(0+(0-0))+0-31-0</f>
        <v>322</v>
      </c>
    </row>
    <row r="47" spans="1:31" s="2" customFormat="1" x14ac:dyDescent="0.25">
      <c r="A47">
        <v>89</v>
      </c>
      <c r="B47">
        <v>2</v>
      </c>
      <c r="C47">
        <v>16</v>
      </c>
      <c r="D47">
        <v>6</v>
      </c>
      <c r="E47">
        <v>1</v>
      </c>
      <c r="F47" s="3">
        <f>0+(430.7-115.3)+(0+(0-0))+0-31-0</f>
        <v>284.39999999999998</v>
      </c>
      <c r="G47" s="3">
        <f>0+(420.4-106.1)+(0+(0-0))+0-31-0</f>
        <v>283.29999999999995</v>
      </c>
      <c r="H47" s="3">
        <f>0+(428.6-119)+(0+(0-0))+0-31-0</f>
        <v>278.60000000000002</v>
      </c>
      <c r="I47" s="3">
        <f>0+(421.5-115)+(0+(0-0))+0-31-0</f>
        <v>275.5</v>
      </c>
      <c r="J47" s="3">
        <f>0+(443.9-139.3)+(0+(0-0))+0-31-0</f>
        <v>273.59999999999997</v>
      </c>
      <c r="K47" s="3">
        <f>0+(399.3-95.8)+(0+(0-0))+0-31-0</f>
        <v>272.5</v>
      </c>
      <c r="L47" s="3">
        <f>0+(427.3-129.6)+(0+(0-0))+0-31-0</f>
        <v>266.70000000000005</v>
      </c>
      <c r="M47" s="3">
        <f>0+(463.6-141.8)+(0+(0-0))+0-31-0</f>
        <v>290.8</v>
      </c>
      <c r="N47" s="3">
        <f>0+(471.2-125)+(0+(0-0))+0-31-0</f>
        <v>315.2</v>
      </c>
      <c r="O47" s="3">
        <f>0+(347.9-0)+(0+(0-0))+0-31-0</f>
        <v>316.89999999999998</v>
      </c>
      <c r="P47" s="3">
        <f>0+(352.1-0)+(0+(0-0))+0-32-0</f>
        <v>320.10000000000002</v>
      </c>
      <c r="Q47" s="3">
        <f>0+(354.7-0)+(0+(0-0))+0-29-0</f>
        <v>325.7</v>
      </c>
      <c r="R47" s="3">
        <f>0+(348.2-0)+(0+(0.177582-0))+0-31-0.0158099999999969</f>
        <v>317.36177199999997</v>
      </c>
      <c r="S47" s="3">
        <f>0+(362.9-40)+(0+(0-0))+0-31-0</f>
        <v>291.89999999999998</v>
      </c>
      <c r="T47" s="3">
        <f>0+(372-54)+(0+(-0.37944--0.05508))+0-31--0.0316200000000049</f>
        <v>286.70726000000002</v>
      </c>
      <c r="U47" s="3">
        <f>0+(366.9-60)+(0+(-0.561357--0.0918))+0-31--0.0474300000000018</f>
        <v>275.47787299999999</v>
      </c>
      <c r="V47" s="3">
        <f>0+(395.1-88)+(0+(-1.007505--0.2244))+0-32--0.0815999999999954</f>
        <v>274.39849500000003</v>
      </c>
      <c r="W47" s="3">
        <f>0+(416.2-107)+(0+(-0.636786--0.16371))+0-32--0.0489600000000018</f>
        <v>276.77588400000002</v>
      </c>
      <c r="X47" s="3">
        <f>0+(478.3-173.3)+(0+(-0.487866--0.176766))+0-32--0.0326400000000051</f>
        <v>272.72154</v>
      </c>
      <c r="Y47" s="3">
        <f>0+(465.1-152.2)+(0+(-0.474402--0.155244))+0-32--0.0326400000000051</f>
        <v>280.61348200000003</v>
      </c>
      <c r="Z47" s="3">
        <f>0+(498.4-163.1)+(0+(-0.762552--0.249543))+0-31--0.0474300000000018</f>
        <v>303.83442099999996</v>
      </c>
      <c r="AA47" s="3">
        <f>0+(467.1-137.1)+(0+(-0.952884--0.279684))+0-31--0.0632399999999986</f>
        <v>298.39004</v>
      </c>
      <c r="AB47" s="3">
        <f>0+(515.5-195.7)+(0+(0.262905-0.099807))+0-31-0.0158099999999969</f>
        <v>288.94728800000001</v>
      </c>
      <c r="AC47" s="3">
        <f>0+(552.6-250.1)+(0+(-0.563652--0.255102))+0-31--0.0316200000000049</f>
        <v>271.22307000000001</v>
      </c>
      <c r="AD47">
        <f t="shared" si="0"/>
        <v>6941.6511249999985</v>
      </c>
      <c r="AE47" s="3">
        <f>0+(482-141)+(0+(0-0))+0-31-0</f>
        <v>310</v>
      </c>
    </row>
    <row r="48" spans="1:31" s="2" customFormat="1" x14ac:dyDescent="0.25">
      <c r="A48">
        <v>89</v>
      </c>
      <c r="B48">
        <v>2</v>
      </c>
      <c r="C48">
        <v>17</v>
      </c>
      <c r="D48">
        <v>7</v>
      </c>
      <c r="E48">
        <v>1</v>
      </c>
      <c r="F48" s="3">
        <f>0+(583-255.8)+(0+(-0.59466--0.260916))+0-31--0.0316200000000049</f>
        <v>295.897876</v>
      </c>
      <c r="G48" s="3">
        <f>0+(552-250.5)+(0+(-0.84456--0.383265))+0-31--0.0474300000000018</f>
        <v>270.08613500000001</v>
      </c>
      <c r="H48" s="3">
        <f>0+(541.8-242.8)+(0+(-1.105272--0.495312))+0-31--0.0632399999999986</f>
        <v>267.45327999999995</v>
      </c>
      <c r="I48" s="3">
        <f>0+(549-250.1)+(0+(-0.27999--0.127551))+0-31--0.0158099999999969</f>
        <v>267.76337099999995</v>
      </c>
      <c r="J48" s="3">
        <f>0+(463.9-167)+(0+(-0.709767--0.25551))+0-31--0.0474300000000018</f>
        <v>265.49317300000001</v>
      </c>
      <c r="K48" s="3">
        <f>0+(482.6-192)+(0+(0-0))+0-31-0</f>
        <v>259.60000000000002</v>
      </c>
      <c r="L48" s="3">
        <f>0+(455.3-179.8)+(0+(-0.928812--0.366792))+0-31--0.0632399999999986</f>
        <v>244.00121999999999</v>
      </c>
      <c r="M48" s="3">
        <f>0+(434-140.3)+(0+(-0.44268--0.143106))+0-31--0.0316200000000049</f>
        <v>262.43204600000001</v>
      </c>
      <c r="N48" s="3">
        <f>0+(380.5-82)+(0+(-0.582165--0.12546))+0-31--0.0474300000000018</f>
        <v>267.09072500000002</v>
      </c>
      <c r="O48" s="3">
        <f>0+(378.6-70.9)+(0+(0-0))+0-31-0</f>
        <v>276.70000000000005</v>
      </c>
      <c r="P48" s="3">
        <f>0+(411.3-93.7)+(0+(-0.209763--0.047787))+0-31--0.0158099999999969</f>
        <v>286.45383400000003</v>
      </c>
      <c r="Q48" s="3">
        <f>0+(424.9-117.5)+(0+(0-0))+0-31-0</f>
        <v>276.39999999999998</v>
      </c>
      <c r="R48" s="3">
        <f>0+(452.8-146)+(0+(0-0))+0-31-0</f>
        <v>275.8</v>
      </c>
      <c r="S48" s="3">
        <f>0+(440.6-142.1)+(0+(0-0))+0-32-0</f>
        <v>266.5</v>
      </c>
      <c r="T48" s="3">
        <f>0+(483.5-192.8)+(0+(0-0))+0-31-0</f>
        <v>259.7</v>
      </c>
      <c r="U48" s="3">
        <f>0+(519.7-229.6)+(0+(0-0))+0-31-0</f>
        <v>259.10000000000002</v>
      </c>
      <c r="V48" s="3">
        <f>0+(506.3-217.7)+(0+(-1.291065--0.555135))+0-31--0.0790499999999955</f>
        <v>256.94312000000002</v>
      </c>
      <c r="W48" s="3">
        <f>0+(585.3-300.6)+(0+(-0.895509--0.459918))+0-31--0.0474300000000018</f>
        <v>253.31183899999994</v>
      </c>
      <c r="X48" s="3">
        <f>0+(567-278)+(0+(-0.57834--0.28356))+0-31--0.0316200000000049</f>
        <v>257.73684000000003</v>
      </c>
      <c r="Y48" s="3">
        <f>0+(488.6-190)+(0+(-0.498372--0.1938))+0-31--0.0316200000000049</f>
        <v>267.32704800000005</v>
      </c>
      <c r="Z48" s="3">
        <f>0+(565.6-236.2)+(0+(-1.44228--0.60231))+0-31--0.0790499999999955</f>
        <v>297.63908000000004</v>
      </c>
      <c r="AA48" s="3">
        <f>0+(605.1-274.9)+(0+(-0.617202--0.280398))+0-31--0.0316200000000049</f>
        <v>298.89481600000011</v>
      </c>
      <c r="AB48" s="3">
        <f>0+(541.6-226.9)+(0+(-0.828648--0.347157))+0-31--0.0474300000000018</f>
        <v>283.26593900000006</v>
      </c>
      <c r="AC48" s="3">
        <f>0+(516.5-214.1)+(0+(-0.263415--0.109191))+0-31--0.0158099999999969</f>
        <v>271.26158599999997</v>
      </c>
      <c r="AD48">
        <f t="shared" si="0"/>
        <v>6486.851928</v>
      </c>
      <c r="AE48" s="3">
        <f>0+(592.2-250.6)+(0+(0-0))+0-31-0</f>
        <v>310.60000000000002</v>
      </c>
    </row>
    <row r="49" spans="1:31" s="2" customFormat="1" x14ac:dyDescent="0.25">
      <c r="A49">
        <v>89</v>
      </c>
      <c r="B49">
        <v>2</v>
      </c>
      <c r="C49">
        <v>18</v>
      </c>
      <c r="D49">
        <v>1</v>
      </c>
      <c r="E49">
        <v>1</v>
      </c>
      <c r="F49" s="3">
        <f>0+(393.2-101.1)+(0+(-0.601596--0.154683))+0-31--0.0474300000000018</f>
        <v>260.70051700000005</v>
      </c>
      <c r="G49" s="3">
        <f>0+(376.1-91.9)+(0+(-0.191811--0.046869))+0-31--0.0158099999999969</f>
        <v>253.07086800000002</v>
      </c>
      <c r="H49" s="3">
        <f>0+(397.2-113)+(0+(-0.405144--0.11526))+0-31--0.0316200000000049</f>
        <v>252.94173600000002</v>
      </c>
      <c r="I49" s="3">
        <f>0+(387-104.5)+(0+(-0.19737--0.053295))+0-31--0.0158099999999969</f>
        <v>251.371735</v>
      </c>
      <c r="J49" s="3">
        <f>0+(395.3-111.1)+(0+(0.201603-0.056661))+0-31-0.0158099999999969</f>
        <v>253.32913200000007</v>
      </c>
      <c r="K49" s="3">
        <f>0+(422.6-138.6)+(0+(-0.431052--0.141372))+0-31--0.0316200000000049</f>
        <v>252.74194000000003</v>
      </c>
      <c r="L49" s="3">
        <f>0+(360.7-78)+(0+(-0.183957--0.03978))+0-31--0.0158099999999969</f>
        <v>251.57163299999996</v>
      </c>
      <c r="M49" s="3">
        <f>0+(408.8-95.9)+(0+(0-0))+0-31-0</f>
        <v>281.89999999999998</v>
      </c>
      <c r="N49" s="3">
        <f>0+(584.3-227.3)+(0+(-0.893979--0.347769))+0-31--0.0474300000000018</f>
        <v>325.50121999999999</v>
      </c>
      <c r="O49" s="3">
        <f>0+(607.2-230)+(0+(0-0))+0-31-0</f>
        <v>346.20000000000005</v>
      </c>
      <c r="P49" s="3">
        <f>0+(613.6-240)+(0+(-0.625872--0.2448))+0-31--0.0316200000000049</f>
        <v>342.25054800000004</v>
      </c>
      <c r="Q49" s="3">
        <f>0+(618-248.1)+(0+(-0.63036--0.253062))+0-31--0.0316200000000049</f>
        <v>338.55432200000001</v>
      </c>
      <c r="R49" s="3">
        <f>0+(662.7-295)+(0+(-0.337977--0.15045))+0-31--0.0158099999999969</f>
        <v>336.52828300000004</v>
      </c>
      <c r="S49" s="3">
        <f>0+(604.9-252.8)+(0+(-0.925497--0.386784))+0-25--0.0382500000000014</f>
        <v>326.599537</v>
      </c>
      <c r="T49" s="3">
        <f>0+(654.2-295.2)+(0+(-1.000926--0.451656))+0-27--0.0413100000000016</f>
        <v>331.49204000000009</v>
      </c>
      <c r="U49" s="3">
        <f>0+(640.8-282.3)+(0+(-1.307232--0.575892))+0-30--0.0611999999999987</f>
        <v>327.82985999999994</v>
      </c>
      <c r="V49" s="3">
        <f>0+(703.6-348.6)+(0+(-0.717672--0.355572))+0-29--0.0295800000000046</f>
        <v>325.66748000000001</v>
      </c>
      <c r="W49" s="3">
        <f>0+(707.4-349.3)+(0+(-2.164644--1.068858))+0-30--0.0918000000000035</f>
        <v>327.09601399999997</v>
      </c>
      <c r="X49" s="3">
        <f>0+(545.4-199.4)+(0+(-1.947078--0.711858))+0-31--0.11067</f>
        <v>313.87545</v>
      </c>
      <c r="Y49" s="3">
        <f>0+(457.4-103.9)+(0+(-0.933096--0.211956))+0-31--0.0632399999999986</f>
        <v>321.84210000000002</v>
      </c>
      <c r="Z49" s="3">
        <f>0+(480.3-117.2)+(0+(-0.489906--0.119544))+0-31--0.0316200000000049</f>
        <v>331.76125800000005</v>
      </c>
      <c r="AA49" s="3">
        <f>0+(500.8-144.3)+(0+(-0.766224--0.220779))+0-28--0.0428400000000016</f>
        <v>327.99739500000004</v>
      </c>
      <c r="AB49" s="3">
        <f>0+(451.9-116)+(0+(-0.921876--0.23664))+0-30--0.0611999999999987</f>
        <v>305.27596399999999</v>
      </c>
      <c r="AC49" s="3">
        <f>0+(532.4-205.5)+(0+(-0.543048--0.20961))+0-30--0.0306000000000048</f>
        <v>296.59716199999997</v>
      </c>
      <c r="AD49">
        <f t="shared" si="0"/>
        <v>7282.6961940000019</v>
      </c>
      <c r="AE49" s="3">
        <f>0+(483.1-111)+(0+(0-0))+0-31-0</f>
        <v>341.1</v>
      </c>
    </row>
    <row r="50" spans="1:31" s="2" customFormat="1" x14ac:dyDescent="0.25">
      <c r="A50">
        <v>89</v>
      </c>
      <c r="B50">
        <v>2</v>
      </c>
      <c r="C50">
        <v>19</v>
      </c>
      <c r="D50">
        <v>2</v>
      </c>
      <c r="E50">
        <v>1</v>
      </c>
      <c r="F50" s="3">
        <f>0+(518.8-206.7)+(0+(-0.529176--0.210834))+0-31--0.0316200000000049</f>
        <v>280.81327800000003</v>
      </c>
      <c r="G50" s="3">
        <f>0+(432.7-125.6)+(0+(-0.220677--0.064056))+0-31--0.0158099999999969</f>
        <v>275.95918900000004</v>
      </c>
      <c r="H50" s="3">
        <f>0+(404.9-101.3)+(0+(0-0))+0-32-0</f>
        <v>271.59999999999997</v>
      </c>
      <c r="I50" s="3">
        <f>0+(398.4-95.9)+(0+(-0.203184--0.048909))+0-32--0.0163199999999968</f>
        <v>270.36204500000002</v>
      </c>
      <c r="J50" s="3">
        <f>0+(309.2-7.3)+(0+(-0.315384--0.007446))+0-31--0.0316200000000049</f>
        <v>270.62368200000003</v>
      </c>
      <c r="K50" s="3">
        <f>0+(328-22.4)+(0+(-0.8364--0.05712))+0-31--0.0790499999999955</f>
        <v>273.89976999999999</v>
      </c>
      <c r="L50" s="3">
        <f>0+(308.7-11)+(0+(-0.787185--0.02805))+0-31--0.0790499999999955</f>
        <v>266.01991499999997</v>
      </c>
      <c r="M50" s="3">
        <f>0+(318.5-0)+(0+(-0.32487-0))+0-31--0.0316200000000049</f>
        <v>287.20675000000006</v>
      </c>
      <c r="N50" s="3">
        <f>0+(412.8-65.2)+(0+(-0.631584--0.099756))+0-31--0.0474300000000018</f>
        <v>316.11560200000002</v>
      </c>
      <c r="O50" s="3">
        <f>0+(534.8-172.3)+(0+(-0.272748--0.087873))+0-31--0.0158099999999969</f>
        <v>331.33093499999995</v>
      </c>
      <c r="P50" s="3">
        <f>0+(615.3-245.6)+(0+(0-0))+0-32-0</f>
        <v>337.69999999999993</v>
      </c>
      <c r="Q50" s="3">
        <f>0+(658.3-280.4)+(0+(-0.335733--0.143004))+0-31--0.0158099999999969</f>
        <v>346.72308099999998</v>
      </c>
      <c r="R50" s="3">
        <f>0+(641.8-273.1)+(0+(-0.654636--0.278562))+0-31--0.0316200000000049</f>
        <v>337.35554599999995</v>
      </c>
      <c r="S50" s="3">
        <f>0+(679-321.4)+(0+(-1.03887--0.491742))+0-31--0.0474300000000018</f>
        <v>326.10030200000006</v>
      </c>
      <c r="T50" s="3">
        <f>0+(700.5-340)+(0+(-0.71451--0.3468))+0-31--0.0316200000000049</f>
        <v>329.16391000000004</v>
      </c>
      <c r="U50" s="3">
        <f>0+(687.9-326.5)+(0+(-1.754145--0.832575))+0-31--0.0790499999999955</f>
        <v>329.55748</v>
      </c>
      <c r="V50" s="3">
        <f>0+(675.1-316)+(0+(-0.688602--0.32232))+0-31--0.0316200000000049</f>
        <v>327.76533800000004</v>
      </c>
      <c r="W50" s="3">
        <f>0+(589.4-235.2)+(0+(-1.803564--0.719712))+0-31--0.0948600000000036</f>
        <v>322.21100799999999</v>
      </c>
      <c r="X50" s="3">
        <f>0+(536.4-175.8)+(0+(-1.094256--0.358632))+0-31--0.0632399999999986</f>
        <v>328.927616</v>
      </c>
      <c r="Y50" s="3">
        <f>0+(526-161.1)+(0+(0-0))+0-31-0</f>
        <v>333.9</v>
      </c>
      <c r="Z50" s="3">
        <f>0+(593.6-218.6)+(0+(-1.210944--0.445944))+0-31--0.0632399999999986</f>
        <v>343.29824000000002</v>
      </c>
      <c r="AA50" s="3">
        <f>0+(588.1-220.8)+(0+(-1.499655--0.56304))+0-31--0.0790499999999955</f>
        <v>335.44243499999999</v>
      </c>
      <c r="AB50" s="3">
        <f>0+(551.6-206.3)+(0+(-0.843948--0.315639))+0-31--0.0474300000000018</f>
        <v>313.81912100000005</v>
      </c>
      <c r="AC50" s="3">
        <f>0+(505.6-178.9)+(0+(-1.28928--0.456195))+0-31--0.0790499999999955</f>
        <v>294.94596500000006</v>
      </c>
      <c r="AD50">
        <f t="shared" si="0"/>
        <v>7450.8412079999998</v>
      </c>
      <c r="AE50" s="3">
        <f>0+(550.5-198.3)+(0+(0-0))+0-31-0</f>
        <v>321.2</v>
      </c>
    </row>
    <row r="51" spans="1:31" s="2" customFormat="1" x14ac:dyDescent="0.25">
      <c r="A51">
        <v>89</v>
      </c>
      <c r="B51">
        <v>2</v>
      </c>
      <c r="C51">
        <v>20</v>
      </c>
      <c r="D51">
        <v>3</v>
      </c>
      <c r="E51">
        <v>1</v>
      </c>
      <c r="F51" s="3">
        <f>0+(469.5-149.2)+(0+(-2.155005--0.684828))+0-31--0.142290000000005</f>
        <v>287.97211300000004</v>
      </c>
      <c r="G51" s="3">
        <f>0+(444.6-126.3)+(0+(-2.040714--0.579717))+0-31--0.142290000000005</f>
        <v>285.98129299999999</v>
      </c>
      <c r="H51" s="3">
        <f>0+(456.2-149.7)+(0+(0.232662-0.076347))+0-31-0.0158099999999969</f>
        <v>275.64050500000002</v>
      </c>
      <c r="I51" s="3">
        <f>0+(439.8-135.1)+(0+(-1.570086--0.482307))+0-31--0.11067</f>
        <v>272.72289100000006</v>
      </c>
      <c r="J51" s="3">
        <f>0+(411.2-105.4)+(0+(-0.209712--0.053754))+0-31--0.0158099999999969</f>
        <v>274.65985199999994</v>
      </c>
      <c r="K51" s="3">
        <f>0+(465.4-157.3)+(0+(-1.18677--0.401115))+0-31--0.0790499999999955</f>
        <v>276.39339499999994</v>
      </c>
      <c r="L51" s="3">
        <f>0+(480.5-178.2)+(0+(-0.735165--0.272646))+0-31--0.0474300000000018</f>
        <v>270.88491100000005</v>
      </c>
      <c r="M51" s="3">
        <f>0+(572.5-237.4)+(0+(0.58395-0.242148))+0-31-0.0316200000000049</f>
        <v>304.41018199999996</v>
      </c>
      <c r="N51" s="3">
        <f>0+(619.5-260.5)+(0+(0.63189-0.26571))+0-31-0.0316200000000049</f>
        <v>328.33455999999995</v>
      </c>
      <c r="O51" s="3">
        <f>0+(633.4-261.7)+(0+(-0.969102--0.400401))+0-31--0.0474300000000018</f>
        <v>340.17872900000003</v>
      </c>
      <c r="P51" s="3">
        <f>0+(595.7-223.1)+(0+(-0.607614--0.227562))+0-31--0.0316200000000049</f>
        <v>341.25156800000008</v>
      </c>
      <c r="Q51" s="3">
        <f>0+(606.2-233.8)+(0+(-0.309162--0.119238))+0-31--0.0158099999999969</f>
        <v>341.225886</v>
      </c>
      <c r="R51" s="3">
        <f>0+(627.9-256.6)+(0+(-0.960687--0.392598))+0-31--0.0474300000000018</f>
        <v>339.77934099999999</v>
      </c>
      <c r="S51" s="3">
        <f>0+(646.3-283.6)+(0+(-0.659226--0.289272))+0-31--0.0316200000000049</f>
        <v>331.36166599999996</v>
      </c>
      <c r="T51" s="3">
        <f>0+(615.6-266.5)+(0+(-0.627912--0.27183))+0-2--0.00204000000000032</f>
        <v>346.74595800000003</v>
      </c>
      <c r="U51" s="3">
        <f>0+(620.7-264.6)+(0+(0-0))+0-31-0</f>
        <v>325.10000000000002</v>
      </c>
      <c r="V51" s="3">
        <f>0+(574.6-226.4)+(0+(-1.46523--0.57732))+0-31--0.0790499999999955</f>
        <v>316.39114000000006</v>
      </c>
      <c r="W51" s="3">
        <f>0+(604.1-252.6)+(0+(-1.540455--0.64413))+0-31--0.0790499999999955</f>
        <v>319.682725</v>
      </c>
      <c r="X51" s="3">
        <f>0+(529.1-191.8)+(0+(-1.619046--0.586908))+0-28--0.0856800000000032</f>
        <v>308.35354200000006</v>
      </c>
      <c r="Y51" s="3">
        <f>0+(510.4-163.2)+(0+(-0.260304--0.083232))+0-30--0.015299999999997</f>
        <v>317.038228</v>
      </c>
      <c r="Z51" s="3">
        <f>0+(557.8-198.4)+(0+(-1.137912--0.404736))+0-31--0.0632399999999986</f>
        <v>327.73006399999997</v>
      </c>
      <c r="AA51" s="3">
        <f>0+(578.6-223.4)+(0+(-1.770516--0.683604))+0-31--0.0948600000000036</f>
        <v>323.20794800000004</v>
      </c>
      <c r="AB51" s="3">
        <f>0+(501.8-162.4)+(0+(-1.023672--0.331296))+0-30--0.0611999999999987</f>
        <v>308.76882399999994</v>
      </c>
      <c r="AC51" s="3">
        <f>0+(538.6-218.7)+(0+(-0.824058--0.334611))+0-30--0.0459000000000017</f>
        <v>289.45645300000007</v>
      </c>
      <c r="AD51">
        <f t="shared" si="0"/>
        <v>7453.2717740000007</v>
      </c>
      <c r="AE51" s="3">
        <f>0+(573.9-212)+(0+(0-0))+0-31-0</f>
        <v>330.9</v>
      </c>
    </row>
    <row r="52" spans="1:31" s="2" customFormat="1" x14ac:dyDescent="0.25">
      <c r="A52">
        <v>89</v>
      </c>
      <c r="B52">
        <v>2</v>
      </c>
      <c r="C52">
        <v>21</v>
      </c>
      <c r="D52">
        <v>4</v>
      </c>
      <c r="E52">
        <v>1</v>
      </c>
      <c r="F52" s="3">
        <f>0+(487.9-167.4)+(0+(-0.248829--0.085374))+0-31--0.0158099999999969</f>
        <v>289.35235499999999</v>
      </c>
      <c r="G52" s="3">
        <f>0+(490.5-172.5)+(0+(-0.50031--0.17595))+0-31--0.0316200000000049</f>
        <v>286.70726000000002</v>
      </c>
      <c r="H52" s="3">
        <f>0+(399.4-92.2)+(0+(-1.01847--0.23511))+0-31--0.0790499999999955</f>
        <v>275.49568999999997</v>
      </c>
      <c r="I52" s="3">
        <f>0+(376.8-76)+(0+(-0.384336--0.07752))+0-31--0.0316200000000049</f>
        <v>269.52480400000002</v>
      </c>
      <c r="J52" s="3">
        <f>0+(371.4-69.8)+(0+(0-0))+0-31-0</f>
        <v>270.59999999999997</v>
      </c>
      <c r="K52" s="3">
        <f>0+(399.6-98.3)+(0+(-0.815184--0.200532))+0-31--0.0632399999999986</f>
        <v>269.74858800000004</v>
      </c>
      <c r="L52" s="3">
        <f>0+(388.3-90.3)+(0+(-0.594099--0.138159))+0-31--0.0474300000000018</f>
        <v>266.59149000000002</v>
      </c>
      <c r="M52" s="3">
        <f>0+(478.7-156.4)+(0+(0-0))+0-31-0</f>
        <v>291.29999999999995</v>
      </c>
      <c r="N52" s="3">
        <f>0+(469.5-123.9)+(0+(0.47889-0.126378))+0-31-0.0316200000000049</f>
        <v>314.92089199999998</v>
      </c>
      <c r="O52" s="3">
        <f>0+(557-202.6)+(0+(-0.28407--0.103326))+0-31--0.0158099999999969</f>
        <v>323.23506599999996</v>
      </c>
      <c r="P52" s="3">
        <f>0+(541.4-173.1)+(0+(0.552228-0.176562))+0-31-0.0316200000000049</f>
        <v>337.64404599999995</v>
      </c>
      <c r="Q52" s="3">
        <f>0+(591.4-211.9)+(0+(0.603228-0.216138))+0-31-0.0316200000000049</f>
        <v>348.85546999999997</v>
      </c>
      <c r="R52" s="3">
        <f>0+(583-205.6)+(0+(-0.89199--0.314568))+0-31--0.0474300000000018</f>
        <v>345.87000799999998</v>
      </c>
      <c r="S52" s="3">
        <f>0+(575.8-208.5)+(0+(-0.293658--0.106335))+0-31--0.0158099999999969</f>
        <v>336.12848699999995</v>
      </c>
      <c r="T52" s="3">
        <f>0+(593.2-224.2)+(0+(-0.907596--0.343026))+0-31--0.0474300000000018</f>
        <v>337.48286000000007</v>
      </c>
      <c r="U52" s="3">
        <f>0+(560.7-193.9)+(0+(-1.143828--0.395556))+0-31--0.0632399999999986</f>
        <v>335.11496800000009</v>
      </c>
      <c r="V52" s="3">
        <f>0+(528.6-162.6)+(0+(-1.078344--0.331704))+0-31--0.0632399999999986</f>
        <v>334.31659999999999</v>
      </c>
      <c r="W52" s="3">
        <f>0+(538.9-177.4)+(0+(-1.649034--0.542844))+0-31--0.0948600000000036</f>
        <v>329.48866999999996</v>
      </c>
      <c r="X52" s="3">
        <f>0+(514.5-167.1)+(0+(-1.04958--0.340884))+0-31--0.0632399999999986</f>
        <v>315.75454400000001</v>
      </c>
      <c r="Y52" s="3">
        <f>0+(471.5-119.9)+(0+(-0.48093--0.122298))+0-31--0.0316200000000049</f>
        <v>320.27298800000005</v>
      </c>
      <c r="Z52" s="3">
        <f>0+(472.6-112.5)+(0+(-0.241026--0.057375))+0-31--0.0158099999999969</f>
        <v>328.93215900000001</v>
      </c>
      <c r="AA52" s="3">
        <f>0+(498.1-142.6)+(0+(-0.762093--0.218178))+0-31--0.0474300000000018</f>
        <v>324.00351499999999</v>
      </c>
      <c r="AB52" s="3">
        <f>0+(516-173)+(0+(-0.78948--0.26469))+0-31--0.0474300000000018</f>
        <v>311.52264000000002</v>
      </c>
      <c r="AC52" s="3">
        <f>0+(510.5-184.4)+(0+(-1.04142--0.376176))+0-31--0.0632399999999986</f>
        <v>294.49799600000006</v>
      </c>
      <c r="AD52">
        <f t="shared" si="0"/>
        <v>7457.3610959999996</v>
      </c>
      <c r="AE52" s="3">
        <f>0+(519.3-155.9)+(0+(0-0))+0-31-0</f>
        <v>332.4</v>
      </c>
    </row>
    <row r="53" spans="1:31" s="2" customFormat="1" x14ac:dyDescent="0.25">
      <c r="A53">
        <v>89</v>
      </c>
      <c r="B53">
        <v>2</v>
      </c>
      <c r="C53">
        <v>22</v>
      </c>
      <c r="D53">
        <v>5</v>
      </c>
      <c r="E53">
        <v>1</v>
      </c>
      <c r="F53" s="3">
        <f>0+(553.2-229.7)+(0+(-0.282132--0.117147))+0-29--0.0147899999999971</f>
        <v>294.34980500000006</v>
      </c>
      <c r="G53" s="3">
        <f>0+(490.7-174.8)+(0+(-1.001028--0.356592))+0-31--0.0632399999999986</f>
        <v>284.318804</v>
      </c>
      <c r="H53" s="3">
        <f>0+(389.6-82.2)+(0+(-0.99348--0.20961))+0-30--0.0764999999999956</f>
        <v>276.69263000000007</v>
      </c>
      <c r="I53" s="3">
        <f>0+(331.8-34.5)+(0+(-0.507654--0.052785))+0-28--0.0428400000000016</f>
        <v>268.88797100000005</v>
      </c>
      <c r="J53" s="3">
        <f>0+(334-37.4)+(0+(-0.34068--0.038148))+0-30--0.0306000000000048</f>
        <v>266.32806800000003</v>
      </c>
      <c r="K53" s="3">
        <f>0+(357.1-63.9)+(0+(-0.182121--0.032589))+0-28--0.0142799999999972</f>
        <v>265.06474800000001</v>
      </c>
      <c r="L53" s="3">
        <f>0+(362.6-72)+(0+(-0.739704--0.14688))+0-30--0.0611999999999987</f>
        <v>260.068376</v>
      </c>
      <c r="M53" s="3">
        <f>0+(347.6-32.7)+(0+(-0.531828--0.050031))+0-31--0.0474300000000018</f>
        <v>283.46563300000008</v>
      </c>
      <c r="N53" s="3">
        <f>0+(474.3-150.5)+(0+(0-0))+0-30-0</f>
        <v>293.8</v>
      </c>
      <c r="O53" s="3">
        <f>0+(494-143.7)+(0+(-0.50388--0.146574))+0-29--0.0295800000000046</f>
        <v>320.97227400000003</v>
      </c>
      <c r="P53" s="3">
        <f>0+(474.7-118.4)+(0+(-0.484194--0.120768))+0-31--0.0316200000000049</f>
        <v>324.96819399999998</v>
      </c>
      <c r="Q53" s="3">
        <f>0+(434.3-77)+(0+(0-0))+0-31-0</f>
        <v>326.3</v>
      </c>
      <c r="R53" s="3">
        <f>+(503.6-141.8)+(+(-0.513672--0.144636))+0-31--0.0316200000000049</f>
        <v>330.46258400000005</v>
      </c>
      <c r="S53" s="3">
        <f>+(532.4-181.4)+(+(-0.543048--0.185028))+0-31--0.0316200000000049</f>
        <v>319.67360000000002</v>
      </c>
      <c r="T53" s="3">
        <f>+(512.2-164.5)+(+(-0.261222--0.083895))+0-31--0.0158099999999969</f>
        <v>316.53848300000004</v>
      </c>
      <c r="U53" s="3">
        <f>+(452.7-112.3)+(+(-0.692631--0.171819))+0-31--0.0474300000000018</f>
        <v>308.92661800000002</v>
      </c>
      <c r="V53" s="3">
        <f>+(483-142.4)+(+(-0.24633--0.072624))+0-31--0.0158099999999969</f>
        <v>309.44210400000003</v>
      </c>
      <c r="W53" s="3">
        <f>+(512.8-171.5)+(+(-1.569168--0.52479))+0-31--0.0948600000000036</f>
        <v>309.35048199999994</v>
      </c>
      <c r="X53" s="3">
        <f>+(461.2-116.3)+(+(-0.940848--0.237252))+0-31--0.0632399999999986</f>
        <v>313.25964399999998</v>
      </c>
      <c r="Y53" s="3">
        <f>+(430.7-83.9)+(+(-0.658971--0.128367))+0-31--0.0474300000000018</f>
        <v>315.31682599999999</v>
      </c>
      <c r="Z53" s="3">
        <f>+(420.9-56.4)+(+(-0.858636--0.115056))+0-31--0.0632399999999986</f>
        <v>332.81966</v>
      </c>
      <c r="AA53" s="3">
        <f>+(458.1-99.7)+(+(-0.934524--0.203388))+0-31--0.0632399999999986</f>
        <v>326.73210400000005</v>
      </c>
      <c r="AB53" s="3">
        <f>+(465.9-120.6)+(+(-0.475218--0.123012))+0-31--0.0316200000000049</f>
        <v>313.97941399999996</v>
      </c>
      <c r="AC53" s="3">
        <f>+(449.3-123.2)+(+(-1.145715--0.31416))+0-31--0.0790499999999955</f>
        <v>294.34749500000004</v>
      </c>
      <c r="AD53">
        <f t="shared" si="0"/>
        <v>7256.0655170000009</v>
      </c>
      <c r="AE53" s="3">
        <f>0+(419.1-57.4)+(0+(0-0))+0-30-0</f>
        <v>331.70000000000005</v>
      </c>
    </row>
    <row r="54" spans="1:31" s="2" customFormat="1" x14ac:dyDescent="0.25">
      <c r="A54">
        <v>89</v>
      </c>
      <c r="B54">
        <v>2</v>
      </c>
      <c r="C54">
        <v>23</v>
      </c>
      <c r="D54">
        <v>6</v>
      </c>
      <c r="E54">
        <v>1</v>
      </c>
      <c r="F54" s="3">
        <f>0+(503.9-181.1)+(0+(-2.055912--0.738888))+0-31--0.126479999999997</f>
        <v>290.60945599999997</v>
      </c>
      <c r="G54" s="3">
        <f>0+(427.6-112.7)+(0+(-1.09038--0.287385))+0-31--0.0790499999999955</f>
        <v>283.17605500000002</v>
      </c>
      <c r="H54" s="3">
        <f>0+(399-89.4)+(0+(-0.20349--0.045594))+0-31--0.0158099999999969</f>
        <v>278.45791400000002</v>
      </c>
      <c r="I54" s="3">
        <f>0+(354.4-49.7)+(0+(-0.90372--0.126735))+0-31--0.0790499999999955</f>
        <v>273.00206499999996</v>
      </c>
      <c r="J54" s="3">
        <f>0+(298-0)+(0+(0-0))+0-31-0</f>
        <v>267</v>
      </c>
      <c r="K54" s="3">
        <f>0+(302.4-0)+(0+(-0.77112-0))+0-31--0.0790499999999955</f>
        <v>270.70792999999998</v>
      </c>
      <c r="L54" s="3">
        <f>0+(305.2-15.6)+(0+(-0.311304--0.015912))+0-31--0.0316200000000049</f>
        <v>258.33622800000001</v>
      </c>
      <c r="M54" s="3">
        <f>0+(325-14.1)+(0+(0-0))+0-31-0</f>
        <v>279.89999999999998</v>
      </c>
      <c r="N54" s="3">
        <f>0+(404.3-69.7)+(0+(-0.206193--0.035547))+0-31--0.0158099999999969</f>
        <v>303.44516400000003</v>
      </c>
      <c r="O54" s="3">
        <f>0+(489.2-144.4)+(0+(0-0))+0-31-0</f>
        <v>313.79999999999995</v>
      </c>
      <c r="P54" s="3">
        <f>0+(514.4-162)+(0+(-0.524688--0.16524))+0-31--0.0316200000000049</f>
        <v>321.07217200000002</v>
      </c>
      <c r="Q54" s="3">
        <f>0+(526.6-168.5)+(0+(0-0))+0-31-0</f>
        <v>327.10000000000002</v>
      </c>
      <c r="R54" s="3">
        <f>0+(530.4-171.7)+(0+(-1.082016--0.350268))+0-22--0.044879999999999</f>
        <v>336.01313199999998</v>
      </c>
      <c r="S54" s="3">
        <f>0+(471-136.7)+(0+(-0.24021--0.069717))+0-31--0.0158099999999969</f>
        <v>303.14531699999998</v>
      </c>
      <c r="T54" s="3">
        <f>0+(447.4-133.6)+(0+(-0.684522--0.204408))+0-1--0.00153000000000006</f>
        <v>312.32141599999994</v>
      </c>
      <c r="U54" s="3">
        <f>0+(458.2-154.4)+(0+(-0.467364--0.157488))+0-0-0</f>
        <v>303.49012399999998</v>
      </c>
      <c r="V54" s="3">
        <f>0+(427.3-124.7)+(0+(-1.089615--0.317985))+0-10--0.0254999999999985</f>
        <v>291.85387000000003</v>
      </c>
      <c r="W54" s="3">
        <f>0+(458.1-135.7)+(0+(-0.700893--0.207621))+0-30--0.0459000000000017</f>
        <v>291.95262800000006</v>
      </c>
      <c r="X54" s="3">
        <f>0+(457.1-129.1)+(0+(-0.932484--0.263364))+0-31--0.0632399999999986</f>
        <v>296.39411999999999</v>
      </c>
      <c r="Y54" s="3">
        <f>0+(428.2-91.5)+(0+(-0.873528--0.18666))+0-31--0.0632399999999986</f>
        <v>305.07637199999999</v>
      </c>
      <c r="Z54" s="3">
        <f>0+(439.3-91.1)+(0+(-0.896172--0.185844))+0-31--0.0632399999999986</f>
        <v>316.55291200000005</v>
      </c>
      <c r="AA54" s="3">
        <f>0+(509.1-161.5)+(0+(-1.038564--0.32946))+0-30--0.0611999999999987</f>
        <v>316.95209599999998</v>
      </c>
      <c r="AB54" s="3">
        <f>0+(446.1-109.2)+(0+(-1.137555--0.27846))+0-31--0.0790499999999955</f>
        <v>305.119955</v>
      </c>
      <c r="AC54" s="3">
        <f>0+(394.5-74.4)+(0+(-0.603585--0.113832))+0-31--0.0474300000000018</f>
        <v>288.65767700000004</v>
      </c>
      <c r="AD54">
        <f t="shared" si="0"/>
        <v>7134.1366029999999</v>
      </c>
      <c r="AE54" s="3">
        <f>0+(458.9-106.1)+(0+(0-0))+0-31-0</f>
        <v>321.79999999999995</v>
      </c>
    </row>
    <row r="55" spans="1:31" s="2" customFormat="1" x14ac:dyDescent="0.25">
      <c r="A55">
        <v>89</v>
      </c>
      <c r="B55">
        <v>2</v>
      </c>
      <c r="C55">
        <v>24</v>
      </c>
      <c r="D55">
        <v>7</v>
      </c>
      <c r="E55">
        <v>1</v>
      </c>
      <c r="F55" s="3">
        <f>0+(502.1-179.4)+(0+(-0.256071--0.091494))+0-31--0.0158099999999969</f>
        <v>291.55123300000002</v>
      </c>
      <c r="G55" s="3">
        <f>0+(439-124.2)+(0+(-0.67167--0.190026))+0-30--0.0459000000000017</f>
        <v>284.36425600000001</v>
      </c>
      <c r="H55" s="3">
        <f>0+(310.2-4.9)+(0+(0-0))+0-31-0</f>
        <v>274.3</v>
      </c>
      <c r="I55" s="3">
        <f>0+(300.5-0)+(0+(-0.30651-0))+0-31--0.0316200000000049</f>
        <v>269.22511000000003</v>
      </c>
      <c r="J55" s="3">
        <f>0+(297-0)+(0+(-0.15147-0))+0-31--0.0158099999999969</f>
        <v>265.86433999999997</v>
      </c>
      <c r="K55" s="3">
        <f>0+(297.4-2)+(0+(-1.820088--0.01224))+0-31--0.189719999999996</f>
        <v>262.78187200000002</v>
      </c>
      <c r="L55" s="3">
        <f>0+(279.5-0)+(0+(-1.14036-0))+0-29--0.118319999999997</f>
        <v>249.47796</v>
      </c>
      <c r="M55" s="3">
        <f>0+(298.2-0)+(0+(-0.152082-0))+0-30--0.015299999999997</f>
        <v>268.06321800000001</v>
      </c>
      <c r="N55" s="3">
        <f>0+(305.4-0)+(0+(-0.311508-0))+0-30--0.0306000000000048</f>
        <v>275.11909199999997</v>
      </c>
      <c r="O55" s="3">
        <f>0+(305.8-0)+(0+(-0.467874-0))+0-29--0.0443700000000017</f>
        <v>276.37649600000003</v>
      </c>
      <c r="P55" s="3">
        <f>0+(328.5-16.2)+(0+(-0.167535--0.008262))+0-29--0.0147899999999971</f>
        <v>283.15551700000003</v>
      </c>
      <c r="Q55" s="3">
        <f>0+(388.9-76.4)+(0+(-0.793356--0.155856))+0-30--0.0611999999999987</f>
        <v>281.9237</v>
      </c>
      <c r="R55" s="3">
        <f>0+(492.4-176.4)+(0+(-0.502248--0.179928))+0-30--0.0306000000000048</f>
        <v>285.70828</v>
      </c>
      <c r="S55" s="3">
        <f>0+(496.5-184.2)+(0+(-1.01286--0.375768))+0-30--0.0611999999999987</f>
        <v>281.724108</v>
      </c>
      <c r="T55" s="3">
        <f>0+(465.8-161.4)+(0+(0-0))+0-31-0</f>
        <v>273.39999999999998</v>
      </c>
      <c r="U55" s="3">
        <f>0+(525.7-227.1)+(0+(-0.536214--0.231642))+0-31--0.0316200000000049</f>
        <v>267.32704800000005</v>
      </c>
      <c r="V55" s="3">
        <f>0+(522.8-225.4)+(0+(-1.33314--0.57477))+0-31--0.0790499999999955</f>
        <v>265.72067999999996</v>
      </c>
      <c r="W55" s="3">
        <f>0+(510.4-210.4)+(0+(-1.561824--0.643824))+0-31--0.0948600000000036</f>
        <v>268.17685999999998</v>
      </c>
      <c r="X55" s="3">
        <f>0+(512.9-210.2)+(0+(-0.523158--0.214404))+0-31--0.0316200000000049</f>
        <v>271.422866</v>
      </c>
      <c r="Y55" s="3">
        <f>0+(472.5-162)+(0+(-0.9639--0.33048))+0-31--0.0632399999999986</f>
        <v>278.92982000000001</v>
      </c>
      <c r="Z55" s="3">
        <f>0+(550.1-204.6)+(0+(-0.561102--0.208692))+0-31--0.0316200000000049</f>
        <v>314.17921000000001</v>
      </c>
      <c r="AA55" s="3">
        <f>0+(505.6-158.8)+(0+(-0.773568--0.242964))+0-31--0.0474300000000018</f>
        <v>315.31682600000005</v>
      </c>
      <c r="AB55" s="3">
        <f>0+(394.9-60.4)+(0+(-1.006995--0.15402))+0-31--0.0790499999999955</f>
        <v>302.72607499999998</v>
      </c>
      <c r="AC55" s="3">
        <f>0+(342-19.9)+(0+(-0.17442--0.010149))+0-31--0.0158099999999969</f>
        <v>290.95153900000003</v>
      </c>
      <c r="AD55">
        <f t="shared" si="0"/>
        <v>6697.7861059999996</v>
      </c>
      <c r="AE55" s="3">
        <f>0+(538.2-185.8)+(0+(0-0))+0-31-0</f>
        <v>321.40000000000003</v>
      </c>
    </row>
    <row r="56" spans="1:31" s="2" customFormat="1" x14ac:dyDescent="0.25">
      <c r="A56">
        <v>89</v>
      </c>
      <c r="B56">
        <v>2</v>
      </c>
      <c r="C56">
        <v>25</v>
      </c>
      <c r="D56">
        <v>1</v>
      </c>
      <c r="E56">
        <v>1</v>
      </c>
      <c r="F56" s="3">
        <f>0+(431.5-124)+(0+(-0.220065--0.06324))+0-31--0.0158099999999969</f>
        <v>276.35898499999996</v>
      </c>
      <c r="G56" s="3">
        <f>0+(410-112.5)+(0+(-0.2091--0.057375))+0-31--0.0158099999999969</f>
        <v>266.36408499999999</v>
      </c>
      <c r="H56" s="3">
        <f>0+(308.4-13.8)+(0+(0.157284-0.007038))+0-31-0.0158099999999969</f>
        <v>263.73443599999996</v>
      </c>
      <c r="I56" s="3">
        <f>0+(314.2-22)+(0+(-0.640968--0.04488))+0-31--0.0632399999999986</f>
        <v>260.66715199999999</v>
      </c>
      <c r="J56" s="3">
        <f>0+(293.8-4.5)+(0+(0.449514-0.006885))+0-31-0.0474300000000018</f>
        <v>258.695199</v>
      </c>
      <c r="K56" s="3">
        <f>0+(347.1-50.9)+(0+(-0.354042--0.051918))+0-31--0.0316200000000049</f>
        <v>264.92949600000009</v>
      </c>
      <c r="L56" s="3">
        <f>0+(353.6-56.6)+(0+(0.180336-0.028866))+0-31-0.0158099999999969</f>
        <v>266.13566000000003</v>
      </c>
      <c r="M56" s="3">
        <f>0+(347.8-20.9)+(0+(-0.354756--0.021318))+0-31--0.0316200000000049</f>
        <v>295.59818200000007</v>
      </c>
      <c r="N56" s="3">
        <f>0+(400.8-48.3)+(0+(-0.204408--0.024633))+0-31--0.0158099999999969</f>
        <v>321.33603499999998</v>
      </c>
      <c r="O56" s="3">
        <f>0+(391.5-19.9)+(0+(-0.39933--0.020298))+0-31--0.0316200000000049</f>
        <v>340.25258800000006</v>
      </c>
      <c r="P56" s="3">
        <f>0+(413-40.5)+(0+(-0.42126--0.04131))+0-28--0.0285600000000045</f>
        <v>344.14861000000002</v>
      </c>
      <c r="Q56" s="3">
        <f>0+(410.6-33.1)+(0+(0-0))+0-30-0</f>
        <v>347.5</v>
      </c>
      <c r="R56" s="3">
        <f>0+(413.9-36.7)+(0+(-0.633267--0.056151))+0-31--0.0474300000000018</f>
        <v>345.67031400000002</v>
      </c>
      <c r="S56" s="3">
        <f>0+(418.3-54.1)+(0+(-0.639999--0.082773))+0-31--0.0474300000000018</f>
        <v>332.69020399999999</v>
      </c>
      <c r="T56" s="3">
        <f>0+(407.5-50.7)+(0+(-0.8313--0.103428))+0-31--0.0632399999999986</f>
        <v>325.13536800000003</v>
      </c>
      <c r="U56" s="3">
        <f>0+(425.7-73.4)+(0+(0-0))+0-31-0</f>
        <v>321.29999999999995</v>
      </c>
      <c r="V56" s="3">
        <f>0+(414.9-62.2)+(0+(-0.211599--0.031722))+0-31--0.0158099999999969</f>
        <v>321.535933</v>
      </c>
      <c r="W56" s="3">
        <f>0+(399.9-48)+(0+(-1.223694--0.14688))+0-31--0.0948600000000036</f>
        <v>319.91804599999995</v>
      </c>
      <c r="X56" s="3">
        <f>0+(343.6-2)+(0+(-0.350472--0.00204))+0-31--0.0316200000000049</f>
        <v>310.28318800000005</v>
      </c>
      <c r="Y56" s="3">
        <f>0+(346.1-2)+(0+(-0.706044--0.00408))+0-31--0.0632399999999986</f>
        <v>312.46127600000005</v>
      </c>
      <c r="Z56" s="3">
        <f>0+(409.4-48.6)+(0+(-0.626382--0.074358))+0-31--0.0474300000000018</f>
        <v>329.29540599999996</v>
      </c>
      <c r="AA56" s="3">
        <f>0+(540.7-179.7)+(0+(-0.827271--0.274941))+0-31--0.0474300000000018</f>
        <v>329.49510000000009</v>
      </c>
      <c r="AB56" s="3">
        <f>0+(534.6-185.9)+(0+(-0.817938--0.284427))+0-31--0.0474300000000018</f>
        <v>317.21391900000009</v>
      </c>
      <c r="AC56" s="3">
        <f>0+(524.2-189.9)+(0+(-0.534684--0.193698))+0-18--0.0183600000000029</f>
        <v>315.97737400000011</v>
      </c>
      <c r="AD56">
        <f t="shared" si="0"/>
        <v>7386.6965560000008</v>
      </c>
      <c r="AE56" s="3">
        <f>0+(505.5-133.6)+(0+(0-0))+0-31-0</f>
        <v>340.9</v>
      </c>
    </row>
    <row r="57" spans="1:31" s="2" customFormat="1" x14ac:dyDescent="0.25">
      <c r="A57">
        <v>89</v>
      </c>
      <c r="B57">
        <v>2</v>
      </c>
      <c r="C57">
        <v>26</v>
      </c>
      <c r="D57">
        <v>2</v>
      </c>
      <c r="E57">
        <v>1</v>
      </c>
      <c r="F57" s="3">
        <f>0+(496.6-162.2)+(0+(-0.759798--0.248166))+0-31--0.0474300000000018</f>
        <v>302.93579800000003</v>
      </c>
      <c r="G57" s="3">
        <f>0+(344.5-19.5)+(0+(-0.527085--0.029835))+0-31--0.0474300000000018</f>
        <v>293.55018000000001</v>
      </c>
      <c r="H57" s="3">
        <f>0+(308.6-0)+(0+(-0.78693-0))+0-31--0.0790499999999955</f>
        <v>276.89212000000003</v>
      </c>
      <c r="I57" s="3">
        <f>0+(309.1-0)+(0+(-0.472923-0))+0-31--0.0474300000000018</f>
        <v>277.67450700000006</v>
      </c>
      <c r="J57" s="3">
        <f>0+(309.2-0)+(0+(-0.630768-0))+0-31--0.0632399999999986</f>
        <v>277.63247200000001</v>
      </c>
      <c r="K57" s="3">
        <f>0+(362.4-48.6)+(0+(-0.554472--0.074358))+0-31--0.0474300000000018</f>
        <v>282.36731599999996</v>
      </c>
      <c r="L57" s="3">
        <f>0+(306.9-0)+(0+(-0.469557-0))+0-31--0.0474300000000018</f>
        <v>275.47787299999999</v>
      </c>
      <c r="M57" s="3">
        <f>0+(331.9-0)+(0+(-0.169269-0))+0-31--0.0158099999999969</f>
        <v>300.74654099999998</v>
      </c>
      <c r="N57" s="3">
        <f>0+(357.6-2)+(0+(-0.547128--0.00306))+0-31--0.0474300000000018</f>
        <v>324.10336200000006</v>
      </c>
      <c r="O57" s="3">
        <f>0+(371.5-2.3)+(0+(-0.568395--0.003519))+0-31--0.0474300000000018</f>
        <v>337.68255399999998</v>
      </c>
      <c r="P57" s="3">
        <f>0+(377-3)+(0+(-0.38454--0.00306))+0-31--0.0316200000000049</f>
        <v>342.65014000000002</v>
      </c>
      <c r="Q57" s="3">
        <f>0+(385.4-2.7)+(0+(0-0))+0-31-0</f>
        <v>351.7</v>
      </c>
      <c r="R57" s="3">
        <f>0+(376.1-2.4)+(0+(-0.575433--0.003672))+0-31--0.0474300000000018</f>
        <v>342.17566900000008</v>
      </c>
      <c r="S57" s="3">
        <f>0+(386.5-12.1)+(0+(0-0))+0-31-0</f>
        <v>343.4</v>
      </c>
      <c r="T57" s="3">
        <f>0+(406.7-34.1)+(0+(0-0))+0-31-0</f>
        <v>341.59999999999997</v>
      </c>
      <c r="U57" s="3">
        <f>0+(397.5-34.8)+(0+(-0.608175--0.053244))+0-31--0.0474300000000018</f>
        <v>331.192499</v>
      </c>
      <c r="V57" s="3">
        <f>0+(353.7-2.4)+(0+(-0.901935--0.00612))+0-31--0.0790499999999955</f>
        <v>319.48323499999998</v>
      </c>
      <c r="W57" s="3">
        <f>0+(371.3-14.7)+(0+(-0.946815--0.037485))+0-31--0.0790499999999955</f>
        <v>324.76972000000001</v>
      </c>
      <c r="X57" s="3">
        <f>0+(447.8-104.6)+(0+(-1.14189--0.26673))+0-31--0.0790499999999955</f>
        <v>311.40389000000005</v>
      </c>
      <c r="Y57" s="3">
        <f>0+(430.3-79.4)+(0+(-0.658359--0.121482))+0-31--0.0474300000000018</f>
        <v>319.41055299999999</v>
      </c>
      <c r="Z57" s="3">
        <f>0+(495.3-126.5)+(0+(-1.010412--0.25806))+0-31--0.0632399999999986</f>
        <v>337.11088800000005</v>
      </c>
      <c r="AA57" s="3">
        <f>0+(513.2-150.9)+(0+(-1.046928--0.307836))+0-31--0.0632399999999986</f>
        <v>330.62414800000005</v>
      </c>
      <c r="AB57" s="3">
        <f>0+(430.2-80.5)+(0+(0-0))+0-30-0</f>
        <v>319.7</v>
      </c>
      <c r="AC57" s="3">
        <f>0+(483-145.6)+(0+(0-0))+0-31-0</f>
        <v>306.39999999999998</v>
      </c>
      <c r="AD57">
        <f t="shared" si="0"/>
        <v>7570.6834649999992</v>
      </c>
      <c r="AE57" s="3">
        <f>0+(501.2-138.5)+(0+(0-0))+0-31-0</f>
        <v>331.7</v>
      </c>
    </row>
    <row r="58" spans="1:31" s="2" customFormat="1" x14ac:dyDescent="0.25">
      <c r="A58">
        <v>89</v>
      </c>
      <c r="B58">
        <v>2</v>
      </c>
      <c r="C58">
        <v>27</v>
      </c>
      <c r="D58">
        <v>3</v>
      </c>
      <c r="E58">
        <v>5</v>
      </c>
      <c r="F58" s="3">
        <f>0+(525.9-188.8)+(0+(-0.268209--0.096288))+0-31--0.0158099999999969</f>
        <v>305.94388899999996</v>
      </c>
      <c r="G58" s="3">
        <f>0+(463.1-137.4)+(0+(-0.236181--0.070074))+0-31--0.0158099999999969</f>
        <v>294.54970300000002</v>
      </c>
      <c r="H58" s="3">
        <f>0+(420-102.1)+(0+(-0.2142--0.052071))+0-31--0.0158099999999969</f>
        <v>286.75368099999997</v>
      </c>
      <c r="I58" s="3">
        <f>0+(357.8-38.9)+(0+(-0.729912--0.079356))+0-31--0.0632399999999986</f>
        <v>287.31268400000005</v>
      </c>
      <c r="J58" s="3">
        <f>0+(390.8-88)+(0+(0-0))+0-31-0</f>
        <v>271.8</v>
      </c>
      <c r="K58" s="3">
        <f>0+(446.6-137.1)+(0+(-1.13883--0.349605))+0-31--0.0790499999999955</f>
        <v>277.78982500000001</v>
      </c>
      <c r="L58" s="3">
        <f>0+(412.5-124.1)+(0+(-0.210375--0.063291))+0-31--0.0158099999999969</f>
        <v>257.26872599999996</v>
      </c>
      <c r="M58" s="3">
        <f>0+(410.4-114)+(0+(0.418608-0.11628))+0-31-0.0316200000000049</f>
        <v>265.67070799999993</v>
      </c>
      <c r="N58" s="3">
        <f>0+(427.5-116.9)+(0+(-0.654075--0.178857))+0-31--0.0474300000000018</f>
        <v>279.17221200000006</v>
      </c>
      <c r="O58" s="3">
        <f>0+(452.9-131.3)+(0+(0-0))+0-31-0</f>
        <v>290.59999999999997</v>
      </c>
      <c r="P58" s="3">
        <f>0+(484-154.6)+(0+(-0.98736--0.315384))+0-31--0.0632399999999986</f>
        <v>297.79126400000001</v>
      </c>
      <c r="Q58" s="3">
        <f>0+(493.1-158.8)+(0+(-1.005924--0.323952))+0-31--0.0632399999999986</f>
        <v>302.68126800000005</v>
      </c>
      <c r="R58" s="3">
        <f>0+(516.7-184.2)+(0+(-1.054068--0.375768))+0-31--0.0632399999999986</f>
        <v>300.88494000000009</v>
      </c>
      <c r="S58" s="3">
        <f>0+(506.3-182.7)+(0+(0-0))+0-31-0</f>
        <v>292.60000000000002</v>
      </c>
      <c r="T58" s="3">
        <f>0+(494.4-169.3)+(0+(-0.756432--0.259029))+0-31--0.0474300000000018</f>
        <v>293.65002699999997</v>
      </c>
      <c r="U58" s="3">
        <f>0+(491.7-171.5)+(0+(-0.501534--0.17493))+0-31--0.0316200000000049</f>
        <v>288.90501600000005</v>
      </c>
      <c r="V58" s="3">
        <f>0+(473.8-155.4)+(0+(-0.724914--0.237762))+0-31--0.0474300000000018</f>
        <v>286.96027800000002</v>
      </c>
      <c r="W58" s="3">
        <f>0+(530.4-212.4)+(0+(-0.541008--0.216648))+0-31--0.0316200000000049</f>
        <v>286.70726000000002</v>
      </c>
      <c r="X58" s="3">
        <f>0+(520.3-198.9)+(0+(-1.061412--0.405756))+0-30--0.0611999999999987</f>
        <v>290.80554399999994</v>
      </c>
      <c r="Y58" s="3">
        <f>0+(532-204)+(0+(0-0))+0-31-0</f>
        <v>297</v>
      </c>
      <c r="Z58" s="3">
        <f>0+(552.9-203.7)+(0+(-0.281979--0.103887))+0-31--0.0158099999999969</f>
        <v>318.03771799999998</v>
      </c>
      <c r="AA58" s="3">
        <f>0+(596.6-243.8)+(0+(-1.217064--0.497352))+0-31--0.0632399999999986</f>
        <v>321.143528</v>
      </c>
      <c r="AB58" s="3">
        <f>0+(569.5-227.5)+(0+(-0.58089--0.23205))+0-31--0.0316200000000049</f>
        <v>310.68278000000004</v>
      </c>
      <c r="AC58" s="3">
        <f>0+(590.5-259.6)+(0+(-0.301155--0.132396))+0-30--0.015299999999997</f>
        <v>300.74654099999998</v>
      </c>
      <c r="AD58">
        <f t="shared" si="0"/>
        <v>7005.4575919999988</v>
      </c>
      <c r="AE58" s="3">
        <f>0+(629.1-272.6)+(0+(0-0))+0-31-0</f>
        <v>325.5</v>
      </c>
    </row>
    <row r="59" spans="1:31" s="2" customFormat="1" x14ac:dyDescent="0.25">
      <c r="A59">
        <v>89</v>
      </c>
      <c r="B59">
        <v>2</v>
      </c>
      <c r="C59">
        <v>28</v>
      </c>
      <c r="D59">
        <v>4</v>
      </c>
      <c r="E59">
        <v>1</v>
      </c>
      <c r="F59" s="3">
        <f>0+(515-194.9)+(0+(0-0))+0-31-0</f>
        <v>289.10000000000002</v>
      </c>
      <c r="G59" s="3">
        <f>0+(434.5-127.9)+(0+(-0.664785--0.195687))+0-31--0.0474300000000018</f>
        <v>275.17833200000007</v>
      </c>
      <c r="H59" s="3">
        <f>0+(417.4-118.1)+(0+(0.212874-0.060231))+0-31-0.0158099999999969</f>
        <v>268.43683299999998</v>
      </c>
      <c r="I59" s="3">
        <f>0+(364.2-67.3)+(0+(-0.371484--0.068646))+0-31--0.0316200000000049</f>
        <v>265.628782</v>
      </c>
      <c r="J59" s="3">
        <f>0+(293.7-0)+(0+(0.149787-0))+0-31-0.0158099999999969</f>
        <v>262.833977</v>
      </c>
      <c r="K59" s="3">
        <f>0+(303.5-7.4)+(0+(-0.61914--0.015096))+0-31--0.0632399999999986</f>
        <v>264.55919600000004</v>
      </c>
      <c r="L59" s="3">
        <f>0+(356.4-61.2)+(0+(-0.727056--0.124848))+0-31--0.0632399999999986</f>
        <v>263.66103199999998</v>
      </c>
      <c r="M59" s="3">
        <f>0+(403.3-77)+(0+(-0.411366--0.07854))+0-31--0.0316200000000049</f>
        <v>294.99879400000003</v>
      </c>
      <c r="N59" s="3">
        <f>0+(354.6-0)+(0+(-0.542538-0))+0-31--0.0474300000000018</f>
        <v>323.10489200000006</v>
      </c>
      <c r="O59" s="3">
        <f>0+(385.4-14.6)+(0+(0.196554-0.007446))+0-31-0.0158099999999969</f>
        <v>339.97329799999994</v>
      </c>
      <c r="P59" s="3">
        <f>0+(410.5-26.4)+(0+(-0.209355--0.013464))+0-31--0.0158099999999969</f>
        <v>352.91991899999999</v>
      </c>
      <c r="Q59" s="3">
        <f>0+(480.5-90.3)+(0+(0-0))+0-31-0</f>
        <v>359.2</v>
      </c>
      <c r="R59" s="3">
        <f>0+(497.5-111.1)+(0+(-0.761175--0.169983))+0-31--0.0474300000000018</f>
        <v>354.85623800000002</v>
      </c>
      <c r="S59" s="3">
        <f>0+(521.2-152.3)+(0+(-0.531624--0.155346))+0-32--0.0326400000000051</f>
        <v>336.55636200000004</v>
      </c>
      <c r="T59" s="3">
        <f>0+(563.2-188.1)+(0+(0.287232-0.095931))+0-33-0.0168299999999967</f>
        <v>342.27447100000006</v>
      </c>
      <c r="U59" s="3">
        <f>0+(572.5-207.7)+(0+(-0.291975--0.105927))+0-31--0.0158099999999969</f>
        <v>333.62976199999997</v>
      </c>
      <c r="V59" s="3">
        <f>0+(580.5-216.4)+(0+(-0.888165--0.331092))+0-31--0.0474300000000018</f>
        <v>332.59035700000004</v>
      </c>
      <c r="W59" s="3">
        <f>0+(557.5-198.3)+(0+(-1.70595--0.606798))+0-31--0.0948600000000036</f>
        <v>327.19570799999997</v>
      </c>
      <c r="X59" s="3">
        <f>0+(588.9-227.7)+(0+(-1.501695--0.580635))+0-31--0.0790499999999955</f>
        <v>329.35798999999997</v>
      </c>
      <c r="Y59" s="3">
        <f>0+(595.4-234.6)+(0+(-0.607308--0.239292))+0-31--0.0316200000000049</f>
        <v>329.46360399999998</v>
      </c>
      <c r="Z59" s="3">
        <f>0+(530.1-154.1)+(0+(-0.540702--0.157182))+0-30--0.0306000000000048</f>
        <v>345.64708000000002</v>
      </c>
      <c r="AA59" s="3">
        <f>0+(582-208.3)+(0+(-1.4841--0.531165))+0-31--0.0790499999999955</f>
        <v>341.82611499999996</v>
      </c>
      <c r="AB59" s="3">
        <f>0+(544.5-185.5)+(0+(-0.833085--0.283815))+0-32--0.0489600000000018</f>
        <v>326.49969000000004</v>
      </c>
      <c r="AC59" s="3">
        <f>0+(513.9-173.3)+(0+(-0.524178--0.176766))+0-28--0.0285600000000045</f>
        <v>312.28114799999997</v>
      </c>
      <c r="AD59">
        <f t="shared" si="0"/>
        <v>7571.7735799999982</v>
      </c>
      <c r="AE59" s="3">
        <f>0+(594.9-209.5)+(0+(0-0))+0-31-0</f>
        <v>354.4</v>
      </c>
    </row>
    <row r="60" spans="1:31" s="2" customFormat="1" x14ac:dyDescent="0.25">
      <c r="A60">
        <v>89</v>
      </c>
      <c r="B60">
        <v>2</v>
      </c>
      <c r="C60">
        <v>29</v>
      </c>
      <c r="D60">
        <v>5</v>
      </c>
      <c r="E60">
        <v>1</v>
      </c>
      <c r="F60" s="3">
        <f>0+(568.4-229)+(0+(-0.869652--0.35037))+0-31--0.0474300000000018</f>
        <v>307.92814800000002</v>
      </c>
      <c r="G60" s="3">
        <f>0+(501.3-172.9)+(0+(0.255663-0.088179))+0-31-0.0158099999999969</f>
        <v>297.55167399999999</v>
      </c>
      <c r="H60" s="3">
        <f>0+(441.9-121.8)+(0+(-0.676107--0.186354))+0-31--0.0474300000000018</f>
        <v>288.65767699999998</v>
      </c>
      <c r="I60" s="3">
        <f>0+(376.6-61.7)+(0+(-0.576198--0.094401))+0-31--0.0474300000000018</f>
        <v>283.46563300000008</v>
      </c>
      <c r="J60" s="3">
        <f>0+(337.5-23)+(0+(0.172125-0.01173))+0-31-0.0158099999999969</f>
        <v>283.64458500000001</v>
      </c>
      <c r="K60" s="3">
        <f>0+(345.1-32.8)+(0+(-0.880005--0.08364))+0-31--0.0790499999999955</f>
        <v>280.58268500000003</v>
      </c>
      <c r="L60" s="3">
        <f>0+(325-14.9)+(0+(0-0))+0-32-0</f>
        <v>278.10000000000002</v>
      </c>
      <c r="M60" s="3">
        <f>0+(324.9-0)+(0+(-0.497097-0))+0-33--0.0504900000000019</f>
        <v>291.45339300000001</v>
      </c>
      <c r="N60" s="3">
        <f>0+(435.3-75.6)+(0+(-0.444006--0.077112))+0-31--0.0316200000000049</f>
        <v>328.36472600000008</v>
      </c>
      <c r="O60" s="3">
        <f>0+(450.8-79.3)+(0+(-0.229908--0.040443))+0-33--0.0168299999999967</f>
        <v>338.32736499999999</v>
      </c>
      <c r="P60" s="3">
        <f>0+(495.5-110.3)+(0+(-0.50541--0.112506))+0-31--0.0316200000000049</f>
        <v>353.83871600000003</v>
      </c>
      <c r="Q60" s="3">
        <f>0+(496.9-110.4)+(0+(-0.506838--0.112608))+0-33--0.0336600000000053</f>
        <v>353.13943</v>
      </c>
      <c r="R60" s="3">
        <f>0+(592.1-204.7)+(0+(0-0))+0-34-0</f>
        <v>353.40000000000003</v>
      </c>
      <c r="S60" s="3">
        <f>0+(527.4-173.4)+(0+(-1.075896--0.353736))+0-2--0.00407999999999991</f>
        <v>351.28192000000001</v>
      </c>
      <c r="T60" s="3">
        <f>0+(562.4-221.6)+(0+(0-0))+0-1-0</f>
        <v>339.79999999999995</v>
      </c>
      <c r="U60" s="3">
        <f>0+(565.9-223.7)+(0+(-0.865827--0.342261))+0-1--0.00153000000000006</f>
        <v>340.67796399999997</v>
      </c>
      <c r="V60" s="3">
        <f>0+(541.6-197.5)+(0+(-1.104864--0.4029))+0-1--0.00203999999999996</f>
        <v>342.40007600000007</v>
      </c>
      <c r="W60" s="3">
        <f>0+(557.1-217.6)+(0+(-1.136484--0.443904))+0-4--0.00815999999999983</f>
        <v>334.81557999999995</v>
      </c>
      <c r="X60" s="3">
        <f>0+(552.6-204.8)+(0+(-1.40913--0.52224))+0-30--0.0764999999999956</f>
        <v>316.98961000000003</v>
      </c>
      <c r="Y60" s="3">
        <f>0+(558.8-228.8)+(0+(-0.569976--0.233376))+0-7--0.00714000000000112</f>
        <v>322.67053999999996</v>
      </c>
      <c r="Z60" s="3">
        <f>0+(522.3-167.9)+(0+(-0.266373--0.085629))+0-7--0.00356999999999929</f>
        <v>347.222826</v>
      </c>
      <c r="AA60" s="3">
        <f>0+(590.3-227.9)+(0+(-0.903159--0.348687))+0-9--0.0137700000000005</f>
        <v>352.85929800000002</v>
      </c>
      <c r="AB60" s="3">
        <f>0+(554.3-201.8)+(0+(-1.413465--0.51459))+0-10--0.0254999999999985</f>
        <v>341.62662499999999</v>
      </c>
      <c r="AC60" s="3">
        <f>0+(579.5-245.6)+(0+(-1.18218--0.501024))+0-11--0.0224399999999995</f>
        <v>322.24128400000001</v>
      </c>
      <c r="AD60">
        <f t="shared" si="0"/>
        <v>7751.0397550000007</v>
      </c>
      <c r="AE60" s="3">
        <f>0+(624.5-261.1)+(0+(0-0))+0-31-0</f>
        <v>332.4</v>
      </c>
    </row>
    <row r="61" spans="1:31" s="2" customFormat="1" x14ac:dyDescent="0.25">
      <c r="A61">
        <v>89</v>
      </c>
      <c r="B61">
        <v>2</v>
      </c>
      <c r="C61">
        <v>30</v>
      </c>
      <c r="D61">
        <v>6</v>
      </c>
      <c r="E61">
        <v>1</v>
      </c>
      <c r="F61" s="3">
        <f>0+(521.9-192.5)+(0+(-2.129352--0.7854))+0-13--0.0530399999999989</f>
        <v>315.10908799999999</v>
      </c>
      <c r="G61" s="3">
        <f>0+(431.7-119.6)+(0+(-0.660501--0.182988))+0-12--0.0183600000000007</f>
        <v>299.64084700000001</v>
      </c>
      <c r="H61" s="3">
        <f>0+(352.4-38.7)+(0+(-0.359448--0.039474))+0-17--0.0173400000000027</f>
        <v>296.39736599999998</v>
      </c>
      <c r="I61" s="3">
        <f>0+(328.3-12.3)+(0+(-0.669732--0.025092))+0-19--0.0387599999999992</f>
        <v>296.39412000000004</v>
      </c>
      <c r="J61" s="3">
        <f>0+(374.9-57.4)+(0+(0.382398-0.058548))+0-21-0.0214200000000034</f>
        <v>296.80243000000002</v>
      </c>
      <c r="K61" s="3">
        <f>0+(386.1-69.1)+(0+(-0.984555--0.176205))+0-24--0.0611999999999965</f>
        <v>292.25284999999997</v>
      </c>
      <c r="L61" s="3">
        <f>0+(419-105.9)+(0+(-0.85476--0.216036))+0-26--0.0530399999999989</f>
        <v>286.51431600000001</v>
      </c>
      <c r="M61" s="3">
        <f>0+(449-108.4)+(0+(0.45798-0.110568))+0-28-0.0285600000000045</f>
        <v>312.91885200000002</v>
      </c>
      <c r="N61" s="3">
        <f>0+(461.5-98.3)+(0+(-0.47073--0.100266))+0-30--0.0306000000000048</f>
        <v>332.86013599999995</v>
      </c>
      <c r="O61" s="3">
        <f>0+(552.9-168.8)+(0+(-0.281979--0.086088))+0-30--0.015299999999997</f>
        <v>353.91940899999997</v>
      </c>
      <c r="P61" s="3">
        <f>0+(474-87.4)+(0+(0-0))+0-28-0</f>
        <v>358.6</v>
      </c>
      <c r="Q61" s="3">
        <f>0+(464.4-73)+(0+(0.473688-0.07446))+0-28-0.0285600000000045</f>
        <v>363.77066799999994</v>
      </c>
      <c r="R61" s="3">
        <f>0+(497.3-105.4)+(0+(-1.014492--0.215016))+0-28--0.0571199999999988</f>
        <v>363.15764399999995</v>
      </c>
      <c r="S61" s="3">
        <f>0+(486.2-114.8)+(0+(-0.743886--0.175644))+0-28--0.0428400000000016</f>
        <v>342.87459799999999</v>
      </c>
      <c r="T61" s="3">
        <f>0+(541-173.5)+(0+(-0.55182--0.17697))+0-28--0.0285600000000045</f>
        <v>339.15371000000005</v>
      </c>
      <c r="U61" s="3">
        <f>0+(567.1-218.7)+(0+(-0.289221--0.111537))+0-28--0.0142799999999972</f>
        <v>320.23659600000002</v>
      </c>
      <c r="V61" s="3">
        <f>0+(581.1-252.8)+(0+(-0.889083--0.386784))+0-28--0.0428400000000016</f>
        <v>299.84054100000003</v>
      </c>
      <c r="W61" s="3">
        <f>0+(601.9-272.6)+(0+(-1.227876--0.556104))+0-28--0.0571199999999988</f>
        <v>300.68534799999998</v>
      </c>
      <c r="X61" s="3">
        <f>0+(573.1-231.4)+(0+(-1.753686--0.708084))+0-28--0.0856800000000032</f>
        <v>312.7400780000001</v>
      </c>
      <c r="Y61" s="3">
        <f>0+(472.8-120.4)+(0+(-0.723384--0.184212))+0-28--0.0428400000000016</f>
        <v>323.90366799999998</v>
      </c>
      <c r="Z61" s="3">
        <f>0+(557.8-197.3)+(0+(-0.284478--0.100623))+0-28--0.0142799999999972</f>
        <v>332.33042499999993</v>
      </c>
      <c r="AA61" s="3">
        <f>0+(528.7-178.5)+(0+(-0.539274--0.18207))+0-28--0.0285600000000045</f>
        <v>321.87135600000005</v>
      </c>
      <c r="AB61" s="3">
        <f>0+(464.6-124.2)+(0+(-0.710838--0.190026))+0-28--0.0428400000000016</f>
        <v>311.92202800000007</v>
      </c>
      <c r="AC61" s="3">
        <f>0+(501.4-168.4)+(0+(-0.255714--0.085884))+0-28--0.0142799999999972</f>
        <v>304.84444999999999</v>
      </c>
      <c r="AD61">
        <f t="shared" si="0"/>
        <v>7678.7405239999998</v>
      </c>
      <c r="AE61" s="3">
        <f>0+(532.1-180.8)+(0+(0-0))+0-30-0</f>
        <v>321.3</v>
      </c>
    </row>
    <row r="62" spans="1:31" s="2" customFormat="1" x14ac:dyDescent="0.25">
      <c r="A62">
        <v>89</v>
      </c>
      <c r="B62">
        <v>2</v>
      </c>
      <c r="C62">
        <v>31</v>
      </c>
      <c r="D62">
        <v>7</v>
      </c>
      <c r="E62">
        <v>1</v>
      </c>
      <c r="F62" s="3">
        <f>0+(519.1-187.2)+(0+(-0.264741--0.095472))+0-31--0.0158099999999969</f>
        <v>300.74654100000004</v>
      </c>
      <c r="G62" s="3">
        <f>0+(553-224.5)+(0+(0.28203-0.114495))+0-31-0.0158099999999969</f>
        <v>297.651725</v>
      </c>
      <c r="H62" s="3">
        <f>0+(487.2-167.9)+(0+(-0.993888--0.342516))+0-31--0.0632399999999986</f>
        <v>287.71186799999998</v>
      </c>
      <c r="I62" s="3">
        <f>0+(499.1-182.9)+(0+(0.509082-0.186558))+0-31-0.0316200000000049</f>
        <v>285.490904</v>
      </c>
      <c r="J62" s="3">
        <f>0+(436.4-125.4)+(0+(-0.222564--0.063954))+0-30--0.015299999999997</f>
        <v>280.85669000000001</v>
      </c>
      <c r="K62" s="3">
        <f>0+(414.2-110.7)+(0+(-0.844968--0.225828))+0-29--0.0591599999999987</f>
        <v>273.94002</v>
      </c>
      <c r="L62" s="3">
        <f>0+(396.2-107.5)+(0+(-0.808248--0.2193))+0-29--0.0591599999999987</f>
        <v>259.17021199999999</v>
      </c>
      <c r="M62" s="3">
        <f>0+(371.3-80.4)+(0+(-0.378726--0.082008))+0-29--0.0295800000000046</f>
        <v>261.63286199999999</v>
      </c>
      <c r="N62" s="3">
        <f>0+(374.1-71.3)+(0+(-0.381582--0.072726))+0-31--0.0316200000000049</f>
        <v>271.52276400000005</v>
      </c>
      <c r="O62" s="3">
        <f>0+(359.3-44.6)+(0+(-0.732972--0.090984))+0-31--0.0632399999999986</f>
        <v>283.12125199999997</v>
      </c>
      <c r="P62" s="3">
        <f>0+(297.8-0)+(0+(-0.303756-0))+0-31--0.0316200000000049</f>
        <v>266.52786400000002</v>
      </c>
      <c r="Q62" s="3">
        <f>0+(375.2-61.9)+(0+(-0.382704--0.063138))+0-31--0.0316200000000049</f>
        <v>282.01205400000003</v>
      </c>
      <c r="R62" s="3">
        <f>0+(410.9-94.1)+(0+(-0.838236--0.191964))+0-31--0.0632399999999986</f>
        <v>285.21696799999995</v>
      </c>
      <c r="S62" s="3">
        <f>0+(447-134.5)+(0+(-0.22797--0.068595))+0-31--0.0158099999999969</f>
        <v>281.35643499999998</v>
      </c>
      <c r="T62" s="3">
        <f>0+(459.3-144.2)+(0+(-0.468486--0.147084))+0-31--0.0316200000000049</f>
        <v>283.81021800000008</v>
      </c>
      <c r="U62" s="3">
        <f>0+(462.9-151.5)+(0+(-1.416474--0.46359))+0-31--0.0948600000000036</f>
        <v>279.54197599999998</v>
      </c>
      <c r="V62" s="3">
        <f>0+(473.3-160.2)+(0+(-0.965532--0.326808))+0-31--0.0632399999999986</f>
        <v>281.52451600000001</v>
      </c>
      <c r="W62" s="3">
        <f>0+(463.9-150.4)+(0+(-0.709767--0.230112))+0-31--0.0474300000000018</f>
        <v>282.06777500000004</v>
      </c>
      <c r="X62" s="3">
        <f>0+(462.5-152.2)+(0+(-1.651125--0.543354))+0-31--0.11067</f>
        <v>278.30289900000002</v>
      </c>
      <c r="Y62" s="3">
        <f>0+(404.8-85.5)+(0+(-0.412896--0.08721))+0-31--0.0316200000000049</f>
        <v>288.00593400000002</v>
      </c>
      <c r="Z62" s="3">
        <f>0+(409.6-57.2)+(0+(-0.626688--0.087516))+0-31--0.0474300000000018</f>
        <v>320.90825800000005</v>
      </c>
      <c r="AA62" s="3">
        <f>0+(401.4-42.2)+(0+(-0.614142--0.064566))+0-31--0.0474300000000018</f>
        <v>327.69785400000001</v>
      </c>
      <c r="AB62" s="3">
        <f>0+(355.1-24.1)+(0+(-0.724404--0.049164))+0-31--0.0632399999999986</f>
        <v>299.38800000000003</v>
      </c>
      <c r="AC62" s="3">
        <f>0+(381.6-57.2)+(0+(-0.583848--0.087516))+0-31--0.0474300000000018</f>
        <v>292.95109800000006</v>
      </c>
      <c r="AD62">
        <f t="shared" si="0"/>
        <v>6851.1566870000024</v>
      </c>
      <c r="AE62" s="3">
        <f>0+(401-35.5)+(0+(0-0))+0-31-0</f>
        <v>334.5</v>
      </c>
    </row>
    <row r="63" spans="1:31" s="2" customFormat="1" x14ac:dyDescent="0.25">
      <c r="A63">
        <v>89</v>
      </c>
      <c r="B63">
        <v>3</v>
      </c>
      <c r="C63">
        <v>1</v>
      </c>
      <c r="D63">
        <v>1</v>
      </c>
      <c r="E63">
        <v>1</v>
      </c>
      <c r="F63" s="3">
        <f>0+(352.2-50.6)+(0+(-0.359244--0.051612))+0-31--0.0316200000000049</f>
        <v>270.32398799999999</v>
      </c>
      <c r="G63" s="3">
        <f>0+(308.3-3)+(0+(0.471699-0.00459))+0-31-0.0474300000000018</f>
        <v>274.71967899999999</v>
      </c>
      <c r="H63" s="3">
        <f>0+(307.1-0)+(0+(-0.783105-0))+0-31--0.0790499999999955</f>
        <v>275.39594500000004</v>
      </c>
      <c r="I63" s="3">
        <f>0+(291.7-5)+(0+(-0.148767--0.00255))+0-31--0.0158099999999969</f>
        <v>255.569593</v>
      </c>
      <c r="J63" s="3">
        <f>0+(313-25)+(0+(0.15963-0.01275))+0-31-0.0158099999999969</f>
        <v>257.13107000000002</v>
      </c>
      <c r="K63" s="3">
        <f>0+(291.4-15)+(0+(-0.74307--0.03825))+0-31--0.0790499999999955</f>
        <v>244.77422999999999</v>
      </c>
      <c r="L63" s="3">
        <f>0+(331-33)+(0+(0-0))+0-29-0</f>
        <v>269</v>
      </c>
      <c r="M63" s="3">
        <f>0+(368.1-38)+(0+(0.187731-0.01938))+0-31-0.0158099999999969</f>
        <v>299.25254100000001</v>
      </c>
      <c r="N63" s="3">
        <f>0+(396.5-40.5)+(0+(0-0))+0-32-0</f>
        <v>324</v>
      </c>
      <c r="O63" s="3">
        <f>0+(413.2-50)+(0+(-0.421464--0.051))+0-31--0.0316200000000049</f>
        <v>331.86115599999999</v>
      </c>
      <c r="P63" s="3">
        <f>0+(400.2-20)+(0+(-1.02051--0.051))+0-33--0.0841499999999952</f>
        <v>346.31464</v>
      </c>
      <c r="Q63" s="3">
        <f>0+(413.2-32)+(0+(-0.210732--0.01632))+0-34--0.0173399999999966</f>
        <v>347.02292799999998</v>
      </c>
      <c r="R63" s="3">
        <f>0+(399.1-31.4)+(0+(-0.407082--0.032028))+0-31--0.0316200000000049</f>
        <v>336.3565660000001</v>
      </c>
      <c r="S63" s="3">
        <f>0+(420.5-71.8)+(0+(-0.643365--0.109854))+0-31--0.0474300000000018</f>
        <v>317.21391900000003</v>
      </c>
      <c r="T63" s="3">
        <f>0+(488.6-125.2)+(0+(0.249186-0.063852))+0-31-0.0158099999999969</f>
        <v>332.56952400000006</v>
      </c>
      <c r="U63" s="3">
        <f>0+(459.1-102)+(0+(-1.170705--0.2601))+0-31--0.0790499999999955</f>
        <v>325.26844500000004</v>
      </c>
      <c r="V63" s="3">
        <f>0+(434.4-66.6)+(0+(-0.443088--0.067932))+0-31--0.0316200000000049</f>
        <v>336.45646399999998</v>
      </c>
      <c r="W63" s="3">
        <f>0+(426.5-62.4)+(0+(-1.087575--0.15912))+0-31--0.0790499999999955</f>
        <v>332.25059500000003</v>
      </c>
      <c r="X63" s="3">
        <f>0+(465.7-120.9)+(0+(-0.950028--0.246636))+0-31--0.0632399999999986</f>
        <v>313.15984799999995</v>
      </c>
      <c r="Y63" s="3">
        <f>0+(449.9-102.9)+(0+(-0.917796--0.209916))+0-31--0.0632399999999986</f>
        <v>315.35536000000002</v>
      </c>
      <c r="Z63" s="3">
        <f>0+(402.7-16.7)+(0+(-1.026885--0.042585))+0-31--0.0790499999999955</f>
        <v>354.09474999999998</v>
      </c>
      <c r="AA63" s="3">
        <f>0+(405.2-18.4)+(0+(-1.446564--0.065688))+0-31--0.11067</f>
        <v>354.52979400000004</v>
      </c>
      <c r="AB63" s="3">
        <f>0+(421.6-63.4)+(0+(-0.860064--0.129336))+0-31--0.0632399999999986</f>
        <v>326.53251200000005</v>
      </c>
      <c r="AC63" s="3">
        <f>0+(388.9-38.2)+(0+(-0.396678--0.038964))+0-31--0.0316200000000049</f>
        <v>319.37390600000003</v>
      </c>
      <c r="AD63">
        <f t="shared" si="0"/>
        <v>7458.5274529999997</v>
      </c>
      <c r="AE63" s="3">
        <f>0+(445-32.4)+(0+(0-0))+0-31-0</f>
        <v>381.6</v>
      </c>
    </row>
    <row r="64" spans="1:31" s="2" customFormat="1" x14ac:dyDescent="0.25">
      <c r="A64">
        <v>89</v>
      </c>
      <c r="B64">
        <v>3</v>
      </c>
      <c r="C64">
        <v>2</v>
      </c>
      <c r="D64">
        <v>2</v>
      </c>
      <c r="E64">
        <v>1</v>
      </c>
      <c r="F64" s="3">
        <f>0+(376.9-34.9)+(0+(-0.384438--0.035598))+0-31--0.0316200000000049</f>
        <v>310.68278000000004</v>
      </c>
      <c r="G64" s="3">
        <f>0+(322.8-0)+(0+(-0.82314-0))+0-31--0.0790499999999955</f>
        <v>291.05590999999998</v>
      </c>
      <c r="H64" s="3">
        <f>0+(322.4-4.8)+(0+(-0.493272--0.007344))+0-31--0.0474300000000018</f>
        <v>286.16150199999998</v>
      </c>
      <c r="I64" s="3">
        <f>0+(296.1-0)+(0+(-0.453033-0))+0-31--0.0474300000000018</f>
        <v>264.69439700000004</v>
      </c>
      <c r="J64" s="3">
        <f>0+(289.7-0)+(0+(-0.295494-0))+0-31--0.0316200000000049</f>
        <v>258.436126</v>
      </c>
      <c r="K64" s="3">
        <f>0+(301-0)+(0+(-0.46053-0))+0-31--0.0474300000000018</f>
        <v>269.58690000000001</v>
      </c>
      <c r="L64" s="3">
        <f>0+(279.4-0)+(0+(-0.142494-0))+0-31--0.0158099999999969</f>
        <v>248.27331599999997</v>
      </c>
      <c r="M64" s="3">
        <f>0+(298.5-0)+(0+(-0.152235-0))+0-31--0.0158099999999969</f>
        <v>267.36357499999997</v>
      </c>
      <c r="N64" s="3">
        <f>0+(386-34.4)+(0+(-0.19686--0.017544))+0-31--0.0158099999999969</f>
        <v>320.43649400000004</v>
      </c>
      <c r="O64" s="3">
        <f>0+(452.2-76)+(0+(-0.461244--0.07752))+0-31--0.0316200000000049</f>
        <v>344.84789600000005</v>
      </c>
      <c r="P64" s="3">
        <f>0+(466.3-85)+(0+(-1.426878--0.2601))+0-31--0.0948600000000036</f>
        <v>349.22808199999997</v>
      </c>
      <c r="Q64" s="3">
        <f>0+(483-100.7)+(0+(-0.24633--0.051357))+0-31--0.0158099999999969</f>
        <v>351.12083699999999</v>
      </c>
      <c r="R64" s="3">
        <f>0+(463.1-82.6)+(0+(-0.472362--0.084252))+0-31--0.0316200000000049</f>
        <v>349.14351000000005</v>
      </c>
      <c r="S64" s="3">
        <f>0+(470.9-98.5)+(0+(-1.200795--0.251175))+0-31--0.0790499999999955</f>
        <v>340.52942999999999</v>
      </c>
      <c r="T64" s="3">
        <f>0+(467.6-99.6)+(0+(0-0))+0-30-0</f>
        <v>338</v>
      </c>
      <c r="U64" s="3">
        <f>0+(459.8-93.2)+(0+(-0.703494--0.142596))+0-31--0.0474300000000018</f>
        <v>335.08653200000003</v>
      </c>
      <c r="V64" s="3">
        <f>0+(477.4-107.2)+(0+(-0.973896--0.218688))+0-31--0.0632399999999986</f>
        <v>338.50803200000001</v>
      </c>
      <c r="W64" s="3">
        <f>0+(458.4-87.2)+(0+(-1.402704--0.266832))+0-31--0.0948600000000036</f>
        <v>339.15898799999997</v>
      </c>
      <c r="X64" s="3">
        <f>0+(449.1-85.9)+(0+(-1.145205--0.219045))+0-31--0.0790499999999955</f>
        <v>331.35289000000006</v>
      </c>
      <c r="Y64" s="3">
        <f>0+(468.1-106.5)+(0+(-0.238731--0.054315))+0-31--0.0158099999999969</f>
        <v>330.43139400000001</v>
      </c>
      <c r="Z64" s="3">
        <f>0+(459.7-72.9)+(0+(-0.234447--0.037179))+0-31--0.0158099999999969</f>
        <v>355.61854199999993</v>
      </c>
      <c r="AA64" s="3">
        <f>0+(433.7-41.8)+(0+(-0.663561--0.063954))+0-29--0.0443700000000017</f>
        <v>362.344763</v>
      </c>
      <c r="AB64" s="3">
        <f>0+(465.1-101.5)+(0+(-1.186005--0.258825))+0-31--0.0790499999999955</f>
        <v>331.75187</v>
      </c>
      <c r="AC64" s="3">
        <f>0+(467.5-120.7)+(0+(-0.47685--0.123114))+0-30--0.0306000000000048</f>
        <v>316.47686399999998</v>
      </c>
      <c r="AD64">
        <f t="shared" si="0"/>
        <v>7630.2906300000013</v>
      </c>
      <c r="AE64" s="3">
        <f>0+(451-57.4)+(0+(0-0))+0-31-0</f>
        <v>362.6</v>
      </c>
    </row>
    <row r="65" spans="1:31" s="2" customFormat="1" x14ac:dyDescent="0.25">
      <c r="A65">
        <v>89</v>
      </c>
      <c r="B65">
        <v>3</v>
      </c>
      <c r="C65">
        <v>3</v>
      </c>
      <c r="D65">
        <v>3</v>
      </c>
      <c r="E65">
        <v>1</v>
      </c>
      <c r="F65" s="3">
        <f>0+(413.2-86)+(0+(-0.632196--0.13158))+0-31--0.0474300000000018</f>
        <v>295.74681400000003</v>
      </c>
      <c r="G65" s="3">
        <f>0+(348.9-38)+(0+(-0.177939--0.01938))+0-31--0.0158099999999969</f>
        <v>279.75725099999994</v>
      </c>
      <c r="H65" s="3">
        <f>0+(303.3-0)+(0+(-0.154683-0))+0-31--0.0158099999999969</f>
        <v>272.16112700000002</v>
      </c>
      <c r="I65" s="3">
        <f>0+(298.6-0)+(0+(-0.304572-0))+0-31--0.0316200000000049</f>
        <v>267.32704800000005</v>
      </c>
      <c r="J65" s="3">
        <f>0+(300.9-0)+(0+(-0.767295-0))+0-31--0.0790499999999955</f>
        <v>269.21175499999998</v>
      </c>
      <c r="K65" s="3">
        <f>0+(293.9-0)+(0+(-0.449667-0))+0-31--0.0474300000000018</f>
        <v>262.49776300000002</v>
      </c>
      <c r="L65" s="3">
        <f>0+(298.8-11)+(0+(-0.152388--0.00561))+0-32--0.0163199999999968</f>
        <v>255.66954200000004</v>
      </c>
      <c r="M65" s="3">
        <f>0+(316.6-0)+(0+(0-0))+0-32-0</f>
        <v>284.60000000000002</v>
      </c>
      <c r="N65" s="3">
        <f>0+(398-55.1)+(0+(-0.20298--0.028101))+0-32--0.0163199999999968</f>
        <v>310.74144100000001</v>
      </c>
      <c r="O65" s="3">
        <f>0+(485.4-118.5)+(0+(-0.247554--0.060435))+0-32--0.0163199999999968</f>
        <v>334.72920099999999</v>
      </c>
      <c r="P65" s="3">
        <f>0+(469.8-96.1)+(0+(-0.239598--0.049011))+0-32--0.0163199999999968</f>
        <v>341.52573300000006</v>
      </c>
      <c r="Q65" s="3">
        <f>0+(451.3-70.3)+(0+(-0.460326--0.071706))+0-32--0.0326400000000051</f>
        <v>348.64402000000001</v>
      </c>
      <c r="R65" s="3">
        <f>0+(478.9-97.7)+(0+(-0.488478--0.099654))+0-30--0.0306000000000048</f>
        <v>350.84177599999998</v>
      </c>
      <c r="S65" s="3">
        <f>0+(464.9-94.3)+(0+(-0.474198--0.096186))+0-29--0.0295800000000046</f>
        <v>341.25156799999996</v>
      </c>
      <c r="T65" s="3">
        <f>0+(487.8-119.2)+(0+(0-0))+0-29-0</f>
        <v>339.6</v>
      </c>
      <c r="U65" s="3">
        <f>0+(467.1-102.2)+(0+(-0.476442--0.104244))+0-31--0.0316200000000049</f>
        <v>333.55942200000004</v>
      </c>
      <c r="V65" s="3">
        <f>0+(476.4-114.9)+(0+(-1.457784--0.351594))+0-31--0.0948600000000036</f>
        <v>329.48866999999996</v>
      </c>
      <c r="W65" s="3">
        <f>0+(483.6-127.9)+(0+(-0.986544--0.260916))+0-31--0.0632399999999986</f>
        <v>324.03761200000008</v>
      </c>
      <c r="X65" s="3">
        <f>0+(472.5-126.6)+(0+(-1.44585--0.387396))+0-31--0.0948600000000036</f>
        <v>313.93640599999998</v>
      </c>
      <c r="Y65" s="3">
        <f>0+(475.2-126.8)+(0+(-1.21176--0.32334))+0-29--0.0739499999999958</f>
        <v>318.58552999999995</v>
      </c>
      <c r="Z65" s="3">
        <f>0+(422.7-39.7)+(0+(-0.646731--0.060741))+0-31--0.0474300000000018</f>
        <v>351.46144000000004</v>
      </c>
      <c r="AA65" s="3">
        <f>0+(424-44.6)+(0+(-1.51368--0.159222))+0-31--0.11067</f>
        <v>347.15621199999998</v>
      </c>
      <c r="AB65" s="3">
        <f>0+(471.8-108.8)+(0+(-0.962472--0.221952))+0-31--0.0632399999999986</f>
        <v>331.32272</v>
      </c>
      <c r="AC65" s="3">
        <f>0+(423.2-73.3)+(0+(-1.07916--0.186915))+0-30--0.0764999999999956</f>
        <v>319.08425499999998</v>
      </c>
      <c r="AD65">
        <f t="shared" ref="AD65:AD128" si="1">SUM(F65:AC65)</f>
        <v>7522.9373060000007</v>
      </c>
      <c r="AE65" s="3">
        <f>0+(395.5-0)+(0+(0-0))+0-31-0</f>
        <v>364.5</v>
      </c>
    </row>
    <row r="66" spans="1:31" s="2" customFormat="1" x14ac:dyDescent="0.25">
      <c r="A66">
        <v>89</v>
      </c>
      <c r="B66">
        <v>3</v>
      </c>
      <c r="C66">
        <v>4</v>
      </c>
      <c r="D66">
        <v>4</v>
      </c>
      <c r="E66">
        <v>1</v>
      </c>
      <c r="F66" s="3">
        <f>0+(361.1-35)+(0+(-0.552483--0.05355))+0-30--0.0459000000000017</f>
        <v>295.64696700000002</v>
      </c>
      <c r="G66" s="3">
        <f>0+(295.3-0)+(0+(-0.451809-0))+0-30--0.0459000000000017</f>
        <v>264.894091</v>
      </c>
      <c r="H66" s="3">
        <f>0+(272.6-0)+(0+(-0.278052-0))+0-30--0.0306000000000048</f>
        <v>242.35254800000001</v>
      </c>
      <c r="I66" s="3">
        <f>0+(271.9-0)+(0+(-0.832014-0))+0-31--0.0948600000000036</f>
        <v>240.16284599999997</v>
      </c>
      <c r="J66" s="3">
        <f>0+(301.1-0)+(0+(-0.307122-0))+0-31--0.0316200000000049</f>
        <v>269.82449800000006</v>
      </c>
      <c r="K66" s="3">
        <f>0+(296.2-0)+(0+(-0.75531-0))+0-31--0.0790499999999955</f>
        <v>264.52373999999998</v>
      </c>
      <c r="L66" s="3">
        <f>0+(280.9-0)+(0+(-0.716295-0))+0-31--0.0790499999999955</f>
        <v>249.26275499999997</v>
      </c>
      <c r="M66" s="3">
        <f>0+(316.4-0)+(0+(-0.645456-0))+0-31--0.0632399999999986</f>
        <v>284.81778399999996</v>
      </c>
      <c r="N66" s="3">
        <f>0+(321.6-0)+(0+(-0.328032-0))+0-31--0.0316200000000049</f>
        <v>290.30358800000005</v>
      </c>
      <c r="O66" s="3">
        <f>0+(355.1-0)+(0+(-0.543303-0))+0-31--0.0474300000000018</f>
        <v>323.60412700000006</v>
      </c>
      <c r="P66" s="3">
        <f>0+(363.8-0)+(0+(-0.185538-0))+0-31--0.0158099999999969</f>
        <v>332.63027199999999</v>
      </c>
      <c r="Q66" s="3">
        <f>0+(368.4-0)+(0+(-0.187884-0))+0-31--0.0158099999999969</f>
        <v>337.22792599999997</v>
      </c>
      <c r="R66" s="3">
        <f>0+(417.9-36.1)+(0+(-0.426258--0.036822))+0-31.2--0.031824000000005</f>
        <v>350.24238800000001</v>
      </c>
      <c r="S66" s="3">
        <f>0+(406.6-31.6)+(0+(-0.414732--0.032232))+0-31.5--0.032130000000005</f>
        <v>343.14963</v>
      </c>
      <c r="T66" s="3">
        <f>0+(456.8-96.3)+(0+(-0.698904--0.147339))+0-31.4--0.0480420000000018</f>
        <v>328.59647700000005</v>
      </c>
      <c r="U66" s="3">
        <f>0+(484.8-128.7)+(0+(0.247248-0.065637))+0-31.3-0.0159629999999968</f>
        <v>324.96564799999999</v>
      </c>
      <c r="V66" s="3">
        <f>0+(489.1-129.3)+(0+(0.249441-0.065943))+0-31.2-0.0159119999999968</f>
        <v>328.76758599999999</v>
      </c>
      <c r="W66" s="3">
        <f>0+(458.5-101.7)+(0+(-0.93534--0.207468))+0-31.3--0.0638519999999986</f>
        <v>324.83598000000001</v>
      </c>
      <c r="X66" s="3">
        <f>0+(400.2-45.6)+(0+(-1.224612--0.139536))+0-31.2--0.0954720000000036</f>
        <v>322.41039599999999</v>
      </c>
      <c r="Y66" s="3">
        <f>0+(390.7-46)+(0+(-0.996285--0.1173))+0-30--0.0764999999999956</f>
        <v>313.897515</v>
      </c>
      <c r="Z66" s="3">
        <f>0+(465.2-102.9)+(0+(-1.423512--0.314874))+0-30.5--0.0933300000000035</f>
        <v>330.78469199999995</v>
      </c>
      <c r="AA66" s="3">
        <f>0+(458.7-89.3)+(0+(-1.871496--0.364344))+0-31.1--0.126887999999997</f>
        <v>336.91973599999994</v>
      </c>
      <c r="AB66" s="3">
        <f>0+(452.9-98.1)+(0+(-0.230979--0.050031))+0-31.3--0.0159629999999968</f>
        <v>323.33501499999994</v>
      </c>
      <c r="AC66" s="3">
        <f>0+(503.8-163.7)+(0+(-1.28469--0.417435))+0-30.1--0.0767549999999956</f>
        <v>309.20949999999999</v>
      </c>
      <c r="AD66">
        <f t="shared" si="1"/>
        <v>7332.3657050000002</v>
      </c>
      <c r="AE66" s="3">
        <f>0+(455.3-88.5)+(0+(0-0))+0-31.2-0</f>
        <v>335.6</v>
      </c>
    </row>
    <row r="67" spans="1:31" s="2" customFormat="1" x14ac:dyDescent="0.25">
      <c r="A67">
        <v>89</v>
      </c>
      <c r="B67">
        <v>3</v>
      </c>
      <c r="C67">
        <v>5</v>
      </c>
      <c r="D67">
        <v>5</v>
      </c>
      <c r="E67">
        <v>1</v>
      </c>
      <c r="F67" s="3">
        <f>0+(444.2-117.6)+(0+(-0.906168--0.239904))+0-31.1--0.0634439999999986</f>
        <v>294.89717999999999</v>
      </c>
      <c r="G67" s="3">
        <f>0+(308.3-0)+(0+(0.157233-0))+0-31.2-0.0159119999999968</f>
        <v>277.24132100000003</v>
      </c>
      <c r="H67" s="3">
        <f>0+(306.6-0)+(0+(-0.78183-0))+0-31.2--0.0795599999999955</f>
        <v>274.69773000000004</v>
      </c>
      <c r="I67" s="3">
        <f>0+(311.9-0)+(0+(-0.477207-0))+0-31.2--0.0477360000000018</f>
        <v>280.27052899999995</v>
      </c>
      <c r="J67" s="3">
        <f>0+(301.7-0)+(0+(-0.153867-0))+0-31.3--0.0159629999999968</f>
        <v>270.26209599999999</v>
      </c>
      <c r="K67" s="3">
        <f>0+(304.2-0)+(0+(-0.930852-0))+0-31.1--0.0951660000000036</f>
        <v>272.26431399999996</v>
      </c>
      <c r="L67" s="3">
        <f>0+(295.1-0)+(0+(-0.602004-0))+0-31.2--0.0636479999999986</f>
        <v>263.36164400000001</v>
      </c>
      <c r="M67" s="3">
        <f>0+(308.5-0)+(0+(-0.31467-0))+0-31.2--0.031824000000005</f>
        <v>277.01715400000006</v>
      </c>
      <c r="N67" s="3">
        <f>0+(353.1-0)+(0+(0.180081-0))+0-31.3-0.0159629999999968</f>
        <v>321.96411799999998</v>
      </c>
      <c r="O67" s="3">
        <f>0+(379.7-0)+(0+(-0.774588-0))+0-31.3--0.0638519999999986</f>
        <v>347.68926399999998</v>
      </c>
      <c r="P67" s="3">
        <f>0+(386.4-0)+(0+(0-0))+0-31.4-0</f>
        <v>355</v>
      </c>
      <c r="Q67" s="3">
        <f>0+(388.2-0)+(0+(-0.197982-0))+0-31.3--0.0159629999999968</f>
        <v>356.71798099999995</v>
      </c>
      <c r="R67" s="3">
        <f>0+(402.4-3.6)+(0+(-0.205224--0.001836))+0-31.2--0.0159119999999968</f>
        <v>367.41252399999996</v>
      </c>
      <c r="S67" s="3">
        <f>0+(414.5-24)+(0+(-0.211395--0.01224))+0-30.9--0.0157589999999969</f>
        <v>359.41660400000001</v>
      </c>
      <c r="T67" s="3">
        <f>0+(395.6-11.2)+(0+(-0.403512--0.011424))+0-30.9--0.0315180000000049</f>
        <v>353.13943000000006</v>
      </c>
      <c r="U67" s="3">
        <f>0+(420.6-48.6)+(0+(-0.214506--0.024786))+0-31.3--0.0159629999999968</f>
        <v>340.52624299999997</v>
      </c>
      <c r="V67" s="3">
        <f>0+(424.2-56.1)+(0+(-0.649026--0.085833))+0-31.3--0.0478890000000018</f>
        <v>336.28469599999994</v>
      </c>
      <c r="W67" s="3">
        <f>0+(395.8-27.5)+(0+(-1.413006--0.098175))+0-30.6--0.109242</f>
        <v>336.49441099999996</v>
      </c>
      <c r="X67" s="3">
        <f>0+(400.9-43.6)+(0+(-1.431213--0.155652))+0-30.9--0.110313</f>
        <v>325.23475200000001</v>
      </c>
      <c r="Y67" s="3">
        <f>0+(352-3.3)+(0+(-0.71808--0.006732))+0-29.9--0.0609959999999987</f>
        <v>318.14964800000001</v>
      </c>
      <c r="Z67" s="3">
        <f>0+(362.3-0)+(0+(-0.369546-0))+0-29.6--0.0301920000000047</f>
        <v>332.36064599999997</v>
      </c>
      <c r="AA67" s="3">
        <f>0+(461.4-87.1)+(0+(-1.411884--0.266526))+0-29.8--0.0911880000000034</f>
        <v>343.44582999999994</v>
      </c>
      <c r="AB67" s="3">
        <f>0+(500.4-135.6)+(0+(0.255204-0.069156))+0-29.6-0.015095999999997</f>
        <v>335.37095199999999</v>
      </c>
      <c r="AC67" s="3">
        <f>0+(489.6-141.7)+(0+(-0.249696--0.072267))+0-28.9--0.0147389999999971</f>
        <v>318.83731000000006</v>
      </c>
      <c r="AD67">
        <f t="shared" si="1"/>
        <v>7658.056376999999</v>
      </c>
      <c r="AE67" s="3">
        <f>0+(462.3-91.1)+(0+(0-0))+0-30-0</f>
        <v>341.20000000000005</v>
      </c>
    </row>
    <row r="68" spans="1:31" s="2" customFormat="1" x14ac:dyDescent="0.25">
      <c r="A68">
        <v>89</v>
      </c>
      <c r="B68">
        <v>3</v>
      </c>
      <c r="C68">
        <v>6</v>
      </c>
      <c r="D68">
        <v>6</v>
      </c>
      <c r="E68">
        <v>1</v>
      </c>
      <c r="F68" s="3">
        <f>0+(418.9-78.8)+(0+(-0.854556--0.160752))+0-30.9--0.0630359999999986</f>
        <v>308.569232</v>
      </c>
      <c r="G68" s="3">
        <f>0+(321.6-0)+(0+(-0.164016-0))+0-31.1--0.0158609999999968</f>
        <v>290.35184499999997</v>
      </c>
      <c r="H68" s="3">
        <f>0+(316-0)+(0+(-0.32232-0))+0-31.2--0.031824000000005</f>
        <v>284.50950400000005</v>
      </c>
      <c r="I68" s="3">
        <f>0+(310.5-0)+(0+(-0.95013-0))+0-31.1--0.0951660000000036</f>
        <v>278.54503599999998</v>
      </c>
      <c r="J68" s="3">
        <f>0+(308.2-0)+(0+(-0.471546-0))+0-31.1--0.0475830000000018</f>
        <v>276.67603699999995</v>
      </c>
      <c r="K68" s="3">
        <f>0+(298.7-0)+(0+(-1.218696-0))+0-31--0.126479999999997</f>
        <v>266.60778399999998</v>
      </c>
      <c r="L68" s="3">
        <f>0+(294.3-0)+(0+(-0.300186-0))+0-30.8--0.0314160000000049</f>
        <v>263.23122999999998</v>
      </c>
      <c r="M68" s="3">
        <f>0+(310.5-0)+(0+(0-0))+0-30.1-0</f>
        <v>280.39999999999998</v>
      </c>
      <c r="N68" s="3">
        <f>0+(337.9-7.6)+(0+(0.344658-0.007752))+0-21.9-0.0223380000000035</f>
        <v>308.71456799999999</v>
      </c>
      <c r="O68" s="3">
        <f>0+(360.7-0)+(0+(-0.367914-0))+0-25.3--0.025806000000004</f>
        <v>335.05789199999998</v>
      </c>
      <c r="P68" s="3">
        <f>0+(365.4-0)+(0+(-0.186354-0))+0-28--0.0142799999999972</f>
        <v>337.22792599999997</v>
      </c>
      <c r="Q68" s="3">
        <f>0+(367.6-0)+(0+(0-0))+0-30-0</f>
        <v>337.6</v>
      </c>
      <c r="R68" s="3">
        <f>0+(375.1-3.6)+(0+(-0.573903--0.005508))+0-30--0.0459000000000017</f>
        <v>340.97750500000001</v>
      </c>
      <c r="S68" s="3">
        <f>0+(416.5-58.5)+(0+(-0.42483--0.05967))+0-31--0.0316200000000049</f>
        <v>326.66646000000003</v>
      </c>
      <c r="T68" s="3">
        <f>0+(386.6-41.6)+(0+(-0.394332--0.042432))+0-31--0.0316200000000049</f>
        <v>313.67972000000003</v>
      </c>
      <c r="U68" s="3">
        <f>0+(393-53.5)+(0+(-0.40086--0.05457))+0-31--0.0316200000000049</f>
        <v>308.18533000000002</v>
      </c>
      <c r="V68" s="3">
        <f>0+(370.1-34.3)+(0+(-0.188751--0.017493))+0-31--0.0158099999999969</f>
        <v>304.64455199999998</v>
      </c>
      <c r="W68" s="3">
        <f>0+(392.2-62.1)+(0+(-1.00011--0.158355))+0-31--0.0790499999999955</f>
        <v>298.33729499999998</v>
      </c>
      <c r="X68" s="3">
        <f>0+(413.3-88.2)+(0+(-1.053915--0.22491))+0-31--0.0790499999999955</f>
        <v>293.35004500000002</v>
      </c>
      <c r="Y68" s="3">
        <f>0+(406.4-72.3)+(0+(-0.414528--0.073746))+0-31--0.0316200000000049</f>
        <v>302.79083800000001</v>
      </c>
      <c r="Z68" s="3">
        <f>0+(439.3-70.9)+(0+(-0.672129--0.108477))+0-31--0.0474300000000018</f>
        <v>336.88377800000001</v>
      </c>
      <c r="AA68" s="3">
        <f>0+(438.2-63.2)+(0+(-0.670446--0.096696))+0-31--0.0474300000000018</f>
        <v>343.47368</v>
      </c>
      <c r="AB68" s="3">
        <f>0+(455.7-86.1)+(0+(-0.929628--0.175644))+0-31--0.0632399999999986</f>
        <v>337.90925600000003</v>
      </c>
      <c r="AC68" s="3">
        <f>0+(472.6-120.2)+(0+(-0.964104--0.245208))+0-31--0.0632399999999986</f>
        <v>320.74434400000007</v>
      </c>
      <c r="AD68">
        <f t="shared" si="1"/>
        <v>7395.1338569999998</v>
      </c>
      <c r="AE68" s="3">
        <f>0+(448.4-68.6)+(0+(0-0))+0-31-0</f>
        <v>348.79999999999995</v>
      </c>
    </row>
    <row r="69" spans="1:31" s="2" customFormat="1" x14ac:dyDescent="0.25">
      <c r="A69">
        <v>89</v>
      </c>
      <c r="B69">
        <v>3</v>
      </c>
      <c r="C69">
        <v>7</v>
      </c>
      <c r="D69">
        <v>7</v>
      </c>
      <c r="E69">
        <v>1</v>
      </c>
      <c r="F69" s="3">
        <f>0+(378.8-35.4)+(0+(0.772752-0.072216))+0-31-0.0632399999999986</f>
        <v>313.03729600000003</v>
      </c>
      <c r="G69" s="3">
        <f>0+(344.6-16.3)+(0+(0.351492-0.016626))+0-31-0.0316200000000049</f>
        <v>297.60324599999996</v>
      </c>
      <c r="H69" s="3">
        <f>0+(314.3-0)+(0+(0.320586-0))+0-31-0.0316200000000049</f>
        <v>283.58896599999997</v>
      </c>
      <c r="I69" s="3">
        <f>0+(308.8-0)+(0+(0-0))+0-31-0</f>
        <v>277.8</v>
      </c>
      <c r="J69" s="3">
        <f>0+(307.4-0)+(0+(0.313548-0))+0-31-0.0316200000000049</f>
        <v>276.68192799999997</v>
      </c>
      <c r="K69" s="3">
        <f>0+(293.5-0)+(0+(-0.449055-0))+0-31--0.0474300000000018</f>
        <v>262.09837500000003</v>
      </c>
      <c r="L69" s="3">
        <f>0+(267.3-0)+(0+(-0.408969-0))+0-31--0.0474300000000018</f>
        <v>235.93846099999999</v>
      </c>
      <c r="M69" s="3">
        <f>0+(279.2-3.6)+(0+(-0.284784--0.003672))+0-31--0.0316200000000049</f>
        <v>244.35050799999996</v>
      </c>
      <c r="N69" s="3">
        <f>0+(313.4-18.3)+(0+(-0.479502--0.027999))+0-31--0.0474300000000018</f>
        <v>263.69592699999998</v>
      </c>
      <c r="O69" s="3">
        <f>0+(409.8-106.1)+(0+(-0.626994--0.162333))+0-31--0.0474300000000018</f>
        <v>272.28276900000009</v>
      </c>
      <c r="P69" s="3">
        <f>0+(419-109.5)+(0+(0-0))+0-31-0</f>
        <v>278.5</v>
      </c>
      <c r="Q69" s="3">
        <f>0+(390.8-83.1)+(0+(-0.199308--0.042381))+0-31--0.0158099999999969</f>
        <v>276.55888300000004</v>
      </c>
      <c r="R69" s="3">
        <f>0+(395.7-90.7)+(0+(0-0))+0-31-0</f>
        <v>274</v>
      </c>
      <c r="S69" s="3">
        <f>0+(391.5-87.5)+(0+(-0.199665--0.044625))+0-31--0.0158099999999969</f>
        <v>272.86077</v>
      </c>
      <c r="T69" s="3">
        <f>0+(393.9-93.9)+(0+(0-0))+0-31-0</f>
        <v>269</v>
      </c>
      <c r="U69" s="3">
        <f>0+(388.2-92.2)+(0+(0.197982-0.047022))+0-31-0.0158099999999969</f>
        <v>265.13515000000001</v>
      </c>
      <c r="V69" s="3">
        <f>0+(391.4-93.8)+(0+(-1.197684--0.287028))+0-31--0.0948600000000036</f>
        <v>265.78420399999993</v>
      </c>
      <c r="W69" s="3">
        <f>0+(384.4-80.7)+(0+(-1.176264--0.246942))+0-31--0.0948600000000036</f>
        <v>271.86553799999996</v>
      </c>
      <c r="X69" s="3">
        <f>0+(413.3-108.5)+(0+(-0.843132--0.22134))+0-31--0.0632399999999986</f>
        <v>273.24144799999999</v>
      </c>
      <c r="Y69" s="3">
        <f>0+(431.4-122.1)+(0+(-0.660042--0.186813))+0-31--0.0474300000000018</f>
        <v>277.87420099999997</v>
      </c>
      <c r="Z69" s="3">
        <f>0+(392.6-58.5)+(0+(-0.600678--0.089505))+0-31--0.0474300000000018</f>
        <v>302.63625700000006</v>
      </c>
      <c r="AA69" s="3">
        <f>0+(388.4-34.8)+(0+(-0.396168--0.035496))+0-31--0.0316200000000049</f>
        <v>322.27094799999998</v>
      </c>
      <c r="AB69" s="3">
        <f>0+(431.2-82.8)+(0+(-0.439824--0.084456))+0-31--0.0316200000000049</f>
        <v>317.07625200000001</v>
      </c>
      <c r="AC69" s="3">
        <f>0+(482-144.1)+(0+(-0.98328--0.293964))+0-31--0.0632399999999986</f>
        <v>306.27392399999997</v>
      </c>
      <c r="AD69">
        <f t="shared" si="1"/>
        <v>6700.1550509999997</v>
      </c>
      <c r="AE69" s="3">
        <f>0+(432.4-84.8)+(0+(0-0))+0-31-0</f>
        <v>316.59999999999997</v>
      </c>
    </row>
    <row r="70" spans="1:31" s="2" customFormat="1" x14ac:dyDescent="0.25">
      <c r="A70">
        <v>89</v>
      </c>
      <c r="B70">
        <v>3</v>
      </c>
      <c r="C70">
        <v>8</v>
      </c>
      <c r="D70">
        <v>1</v>
      </c>
      <c r="E70">
        <v>1</v>
      </c>
      <c r="F70" s="3">
        <f>0+(436.9-113.8)+(0+(-0.668457--0.174114))+0-31--0.0474300000000018</f>
        <v>291.65308699999997</v>
      </c>
      <c r="G70" s="3">
        <f>0+(455.8-140.8)+(0+(-1.627206--0.502656))+0-31--0.11067</f>
        <v>282.98612000000003</v>
      </c>
      <c r="H70" s="3">
        <f>0+(428.8-122.8)+(0+(-0.874752--0.250512))+0-31--0.0632399999999986</f>
        <v>274.43900000000002</v>
      </c>
      <c r="I70" s="3">
        <f>0+(380.9-78.8)+(0+(-0.194259--0.040188))+0-31--0.0158099999999969</f>
        <v>270.96173899999997</v>
      </c>
      <c r="J70" s="3">
        <f>0+(333.5-28.8)+(0+(0-0))+0-31-0</f>
        <v>273.7</v>
      </c>
      <c r="K70" s="3">
        <f>0+(327-29.4)+(0+(-0.83385--0.07497))+0-31--0.0790499999999955</f>
        <v>265.92017000000004</v>
      </c>
      <c r="L70" s="3">
        <f>0+(308.8-11.2)+(0+(-0.157488--0.005712))+0-30--0.015299999999997</f>
        <v>267.46352400000006</v>
      </c>
      <c r="M70" s="3">
        <f>0+(323-0)+(0+(0-0))+0-31-0</f>
        <v>292</v>
      </c>
      <c r="N70" s="3">
        <f>0+(425.4-70.7)+(0+(-0.650862--0.108171))+0-27--0.0413100000000016</f>
        <v>327.19861900000001</v>
      </c>
      <c r="O70" s="3">
        <f>0+(432.4-58.5)+(0+(-0.220524--0.029835))+0-31--0.0158099999999969</f>
        <v>342.72512099999994</v>
      </c>
      <c r="P70" s="3">
        <f>0+(412.2-21.5)+(0+(0-0))+0-31-0</f>
        <v>359.7</v>
      </c>
      <c r="Q70" s="3">
        <f>0+(415-21.6)+(0+(-0.21165--0.011016))+0-31--0.0158099999999969</f>
        <v>362.21517599999999</v>
      </c>
      <c r="R70" s="3">
        <f>0+(415.5-24.1)+(0+(0-0))+0-32-0</f>
        <v>359.4</v>
      </c>
      <c r="S70" s="3">
        <f>0+(415.6-40.9)+(0+(0.211956-0.020859))+0-32-0.0163199999999968</f>
        <v>342.87477700000005</v>
      </c>
      <c r="T70" s="3">
        <f>0+(448.6-73.2)+(0+(0-0))+0-32-0</f>
        <v>343.40000000000003</v>
      </c>
      <c r="U70" s="3">
        <f>0+(434.2-63.8)+(0+(-0.221442--0.032538))+0-32--0.0163199999999968</f>
        <v>338.22741600000001</v>
      </c>
      <c r="V70" s="3">
        <f>0+(460.4-91.1)+(0+(-0.704412--0.139383))+0-32--0.0489600000000018</f>
        <v>336.783931</v>
      </c>
      <c r="W70" s="3">
        <f>0+(467.6-103)+(0+(-1.669332--0.36771))+0-32--0.11424</f>
        <v>331.41261800000001</v>
      </c>
      <c r="X70" s="3">
        <f>0+(474.9-115.8)+(0+(-1.210995--0.29529))+0-31--0.0790499999999955</f>
        <v>327.26334499999996</v>
      </c>
      <c r="Y70" s="3">
        <f>0+(478.1-124.4)+(0+(-0.243831--0.063444))+0-31--0.0158099999999969</f>
        <v>322.53542300000004</v>
      </c>
      <c r="Z70" s="3">
        <f>0+(454.1-70.6)+(0+(-0.231591--0.036006))+0-31--0.0158099999999969</f>
        <v>352.32022499999999</v>
      </c>
      <c r="AA70" s="3">
        <f>0+(465.2-78.6)+(0+(-0.474504--0.080172))+0-31--0.0316200000000049</f>
        <v>355.23728800000004</v>
      </c>
      <c r="AB70" s="3">
        <f>0+(490.6-114.2)+(0+(-1.25103--0.29121))+0-31--0.0790499999999955</f>
        <v>344.51923000000005</v>
      </c>
      <c r="AC70" s="3">
        <f>0+(450.2-90.4)+(0+(-0.918408--0.184416))+0-31--0.0632399999999986</f>
        <v>328.12924799999996</v>
      </c>
      <c r="AD70">
        <f t="shared" si="1"/>
        <v>7693.0660570000009</v>
      </c>
      <c r="AE70" s="3">
        <f>0+(420.9-23.7)+(0+(0-0))+0-31-0</f>
        <v>366.2</v>
      </c>
    </row>
    <row r="71" spans="1:31" s="2" customFormat="1" x14ac:dyDescent="0.25">
      <c r="A71">
        <v>89</v>
      </c>
      <c r="B71">
        <v>3</v>
      </c>
      <c r="C71">
        <v>9</v>
      </c>
      <c r="D71">
        <v>2</v>
      </c>
      <c r="E71">
        <v>1</v>
      </c>
      <c r="F71" s="3">
        <f>0+(411.3-67.6)+(0+(-0.629289--0.103428))+0-31--0.0474300000000018</f>
        <v>312.22156900000004</v>
      </c>
      <c r="G71" s="3">
        <f>0+(358.6-24.1)+(0+(-0.365772--0.024582))+0-31--0.0316200000000049</f>
        <v>303.19043000000005</v>
      </c>
      <c r="H71" s="3">
        <f>0+(393.7-67.6)+(0+(-0.200787--0.034476))+0-31--0.0158099999999969</f>
        <v>294.949499</v>
      </c>
      <c r="I71" s="3">
        <f>0+(321.1-2.2)+(0+(-0.655044--0.004488))+0-31--0.0632399999999986</f>
        <v>287.31268400000005</v>
      </c>
      <c r="J71" s="3">
        <f>0+(308.6-0)+(0+(-0.157386-0))+0-31--0.0158099999999969</f>
        <v>277.45842400000004</v>
      </c>
      <c r="K71" s="3">
        <f>0+(328.5-12.1)+(0+(-0.502605--0.018513))+0-31--0.0474300000000018</f>
        <v>284.96333800000002</v>
      </c>
      <c r="L71" s="3">
        <f>0+(311.8-0)+(0+(-0.636072-0))+0-31--0.0632399999999986</f>
        <v>280.22716800000001</v>
      </c>
      <c r="M71" s="3">
        <f>0+(334.1-0)+(0+(0-0))+0-31-0</f>
        <v>303.10000000000002</v>
      </c>
      <c r="N71" s="3">
        <f>0+(365.4-0)+(0+(0.186354-0))+0-31-0.0158099999999969</f>
        <v>334.57054399999998</v>
      </c>
      <c r="O71" s="3">
        <f>0+(378.9-0)+(0+(-0.193239-0))+0-31--0.0158099999999969</f>
        <v>347.72257099999996</v>
      </c>
      <c r="P71" s="3">
        <f>0+(426.5-20.6)+(0+(0.217515-0.010506))+0-31-0.0158099999999969</f>
        <v>375.09119900000002</v>
      </c>
      <c r="Q71" s="3">
        <f>0+(427.9-11)+(0+(0-0))+0-31-0</f>
        <v>385.9</v>
      </c>
      <c r="R71" s="3">
        <f>0+(419.3-7.1)+(0+(-0.427686--0.007242))+0-31--0.0316200000000049</f>
        <v>380.81117600000005</v>
      </c>
      <c r="S71" s="3">
        <f>0+(442.7-46)+(0+(-0.451554--0.04692))+0-31--0.0316200000000049</f>
        <v>365.32698600000003</v>
      </c>
      <c r="T71" s="3">
        <f>0+(464.9-70.4)+(0+(0-0))+0-31-0</f>
        <v>363.5</v>
      </c>
      <c r="U71" s="3">
        <f>0+(466.4-76.4)+(0+(0.237864-0.038964))+0-31-0.0158099999999969</f>
        <v>359.18308999999999</v>
      </c>
      <c r="V71" s="3">
        <f>0+(461.9-75.9)+(0+(-0.706707--0.116127))+0-31--0.0474300000000018</f>
        <v>354.45685000000003</v>
      </c>
      <c r="W71" s="3">
        <f>0+(498.4-115.3)+(0+(-0.762552--0.176409))+0-31--0.0474300000000018</f>
        <v>351.56128699999999</v>
      </c>
      <c r="X71" s="3">
        <f>0+(466.2-89.9)+(0+(-1.902096--0.366792))+0-31--0.126479999999997</f>
        <v>343.89117599999997</v>
      </c>
      <c r="Y71" s="3">
        <f>0+(442.1-70)+(0+(-0.225471--0.0357))+0-31--0.0158099999999969</f>
        <v>340.926039</v>
      </c>
      <c r="Z71" s="3">
        <f>0+(456-66.1)+(0+(0-0))+0-31-0</f>
        <v>358.9</v>
      </c>
      <c r="AA71" s="3">
        <f>0+(471.9-81.8)+(0+(-0.722007--0.125154))+0-31--0.0474300000000018</f>
        <v>358.55057699999998</v>
      </c>
      <c r="AB71" s="3">
        <f>0+(498.8-112.6)+(0+(-0.763164--0.172278))+0-31--0.0474300000000018</f>
        <v>354.65654400000005</v>
      </c>
      <c r="AC71" s="3">
        <f>0+(495.4-126.5)+(0+(-1.26327--0.322575))+0-31--0.0790499999999955</f>
        <v>337.03835499999997</v>
      </c>
      <c r="AD71">
        <f t="shared" si="1"/>
        <v>8055.5095060000012</v>
      </c>
      <c r="AE71" s="3">
        <f>0+(464.1-64.9)+(0+(0-0))+0-31-0</f>
        <v>368.20000000000005</v>
      </c>
    </row>
    <row r="72" spans="1:31" s="2" customFormat="1" x14ac:dyDescent="0.25">
      <c r="A72">
        <v>89</v>
      </c>
      <c r="B72">
        <v>3</v>
      </c>
      <c r="C72">
        <v>10</v>
      </c>
      <c r="D72">
        <v>3</v>
      </c>
      <c r="E72">
        <v>1</v>
      </c>
      <c r="F72" s="3">
        <f>0+(437-83)+(0+(-0.22287--0.04233))+0-31--0.0158099999999969</f>
        <v>322.83526999999998</v>
      </c>
      <c r="G72" s="3">
        <f>0+(335.3-0)+(0+(-0.342006-0))+0-31--0.0316200000000049</f>
        <v>303.98961400000002</v>
      </c>
      <c r="H72" s="3">
        <f>0+(324.6-0)+(0+(0-0))+0-31-0</f>
        <v>293.60000000000002</v>
      </c>
      <c r="I72" s="3">
        <f>0+(323.1-0)+(0+(-0.494343-0))+0-31--0.0474300000000018</f>
        <v>291.65308700000003</v>
      </c>
      <c r="J72" s="3">
        <f>0+(320.6-0)+(0+(-0.490518-0))+0-31--0.0474300000000018</f>
        <v>289.15691200000003</v>
      </c>
      <c r="K72" s="3">
        <f>0+(309.2-0)+(0+(-0.315384-0))+0-31--0.0316200000000049</f>
        <v>277.91623600000003</v>
      </c>
      <c r="L72" s="3">
        <f>0+(305.7-0)+(0+(0-0))+0-31-0</f>
        <v>274.7</v>
      </c>
      <c r="M72" s="3">
        <f>0+(333.3-0)+(0+(0.169983-0))+0-30-0.015299999999997</f>
        <v>303.45468299999999</v>
      </c>
      <c r="N72" s="3">
        <f>0+(362.9-0)+(0+(0.370158-0))+0-31-0.0316200000000049</f>
        <v>332.23853799999995</v>
      </c>
      <c r="O72" s="3">
        <f>0+(388.7-5.1)+(0+(0-0))+0-31-0</f>
        <v>352.59999999999997</v>
      </c>
      <c r="P72" s="3">
        <f>0+(399.3-11.5)+(0+(0.203643-0.005865))+0-32-0.0163199999999968</f>
        <v>355.98145800000003</v>
      </c>
      <c r="Q72" s="3">
        <f>0+(418.2-12.6)+(0+(0.213282-0.006426))+0-31-0.0158099999999969</f>
        <v>374.79104599999999</v>
      </c>
      <c r="R72" s="3">
        <f>0+(429.1-29.1)+(0+(-0.437682--0.029682))+0-31--0.0316200000000049</f>
        <v>368.62362000000002</v>
      </c>
      <c r="S72" s="3">
        <f>0+(481.2-96.3)+(0+(-0.490824--0.098226))+0-31--0.0316200000000049</f>
        <v>353.53902199999999</v>
      </c>
      <c r="T72" s="3">
        <f>0+(484.7-94.8)+(0+(-0.247197--0.048348))+0-31--0.0158099999999969</f>
        <v>358.71696099999997</v>
      </c>
      <c r="U72" s="3">
        <f>0+(491.8-113.9)+(0+(-0.501636--0.116178))+0-31--0.0316200000000049</f>
        <v>346.54616199999998</v>
      </c>
      <c r="V72" s="3">
        <f>0+(497.2-122.1)+(0+(-1.014288--0.249084))+0-31--0.0632399999999986</f>
        <v>343.39803600000005</v>
      </c>
      <c r="W72" s="3">
        <f>0+(483.7-113.2)+(0+(-1.480122--0.346392))+0-31--0.0948600000000036</f>
        <v>338.46112999999997</v>
      </c>
      <c r="X72" s="3">
        <f>0+(472.3-114)+(0+(-1.204365--0.2907))+0-31--0.0790499999999955</f>
        <v>326.46538500000003</v>
      </c>
      <c r="Y72" s="3">
        <f>0+(457.1-103.3)+(0+(-0.466242--0.105366))+0-31--0.0316200000000049</f>
        <v>322.47074400000002</v>
      </c>
      <c r="Z72" s="3">
        <f>0+(440.7-70.2)+(0+(-0.449514--0.071604))+0-31--0.0316200000000049</f>
        <v>339.15371000000005</v>
      </c>
      <c r="AA72" s="3">
        <f>0+(442.6-74.2)+(0+(-0.225726--0.037842))+0-31--0.0158099999999969</f>
        <v>337.22792600000002</v>
      </c>
      <c r="AB72" s="3">
        <f>0+(469.8-102.5)+(0+(-0.479196--0.10455))+0-31--0.0316200000000049</f>
        <v>335.95697400000006</v>
      </c>
      <c r="AC72" s="3">
        <f>0+(481-127.4)+(0+(-0.73593--0.194922))+0-31--0.0474300000000018</f>
        <v>322.10642200000007</v>
      </c>
      <c r="AD72">
        <f t="shared" si="1"/>
        <v>7865.5829359999989</v>
      </c>
      <c r="AE72" s="3">
        <f>0+(444.9-69.8)+(0+(0-0))+0-31-0</f>
        <v>344.09999999999997</v>
      </c>
    </row>
    <row r="73" spans="1:31" s="2" customFormat="1" x14ac:dyDescent="0.25">
      <c r="A73">
        <v>89</v>
      </c>
      <c r="B73">
        <v>3</v>
      </c>
      <c r="C73">
        <v>11</v>
      </c>
      <c r="D73">
        <v>4</v>
      </c>
      <c r="E73">
        <v>1</v>
      </c>
      <c r="F73" s="3">
        <f>0+(443.3-91.1)+(0+(-1.130415--0.232305))+0-31--0.0790499999999955</f>
        <v>320.38094000000007</v>
      </c>
      <c r="G73" s="3">
        <f>0+(328.2-1)+(0+(-0.502146--0.00153))+0-31--0.0474300000000018</f>
        <v>295.74681400000003</v>
      </c>
      <c r="H73" s="3">
        <f>0+(321.4-0)+(0+(-0.491742-0))+0-31--0.0474300000000018</f>
        <v>289.95568800000001</v>
      </c>
      <c r="I73" s="3">
        <f>0+(323.6-0)+(0+(0-0))+0-32-0</f>
        <v>291.60000000000002</v>
      </c>
      <c r="J73" s="3">
        <f>0+(301.5-0)+(0+(0.153765-0))+0-14-0.00713999999999858</f>
        <v>287.64662500000003</v>
      </c>
      <c r="K73" s="3">
        <f>0+(313.8-0)+(0+(-0.960228-0))+0-31--0.0948600000000036</f>
        <v>281.93463200000002</v>
      </c>
      <c r="L73" s="3">
        <f>0+(311-0)+(0+(-0.15861-0))+0-31--0.0158099999999969</f>
        <v>279.85719999999998</v>
      </c>
      <c r="M73" s="3">
        <f>0+(354-5.6)+(0+(-0.72216--0.011424))+0-31--0.0632399999999986</f>
        <v>316.75250399999999</v>
      </c>
      <c r="N73" s="3">
        <f>0+(394.3-20)+(0+(0.201093-0.0102))+0-31-0.0158099999999969</f>
        <v>343.47508300000004</v>
      </c>
      <c r="O73" s="3">
        <f>0+(419.8-33.7)+(0+(0.214098-0.017187))+9-31-0.0158099999999969</f>
        <v>364.28110100000004</v>
      </c>
      <c r="P73" s="3">
        <f>0+(434.6-40.4)+(0+(-0.443292--0.041208))+9-31--0.0316200000000049</f>
        <v>371.82953600000008</v>
      </c>
      <c r="Q73" s="3">
        <f>0+(432.6-26.5)+(0+(-0.220626--0.013515))+9-31--0.0158099999999969</f>
        <v>383.90869900000001</v>
      </c>
      <c r="R73" s="3">
        <f>0+(444.2-44.2)+(0+(0.226542-0.022542))+9-31-0.0158099999999969</f>
        <v>378.18819000000002</v>
      </c>
      <c r="S73" s="3">
        <f>0+(462.5-70.9)+(0+(-0.235875--0.036159))+9-31--0.0158099999999969</f>
        <v>369.41609399999999</v>
      </c>
      <c r="T73" s="3">
        <f>0+(459-73.5)+(0+(0.46818-0.07497))+9-31-0.0316200000000049</f>
        <v>363.86158999999998</v>
      </c>
      <c r="U73" s="3">
        <f>0+(442.8-59.2)+(0+(-0.677484--0.090576))+9-31--0.0474300000000018</f>
        <v>361.06052200000005</v>
      </c>
      <c r="V73" s="3">
        <f>0+(437.3-51.8)+(0+(-0.446046--0.052836))+9-31--0.0316200000000049</f>
        <v>363.13841000000002</v>
      </c>
      <c r="W73" s="3">
        <f>0+(436.2-54.5)+(0+(-1.11231--0.138975))+9-31--0.0790499999999955</f>
        <v>358.80571499999996</v>
      </c>
      <c r="X73" s="3">
        <f>0+(454.6-86.6)+(0+(-1.15923--0.22083))+9-31--0.0790499999999955</f>
        <v>345.14064999999999</v>
      </c>
      <c r="Y73" s="3">
        <f>0+(486.6-111)+(0+(-0.248166--0.05661))+0-31--0.0158099999999969</f>
        <v>344.42425400000002</v>
      </c>
      <c r="Z73" s="3">
        <f>0+(494.6-105.7)+(0+(-0.504492--0.107814))+0-31--0.0316200000000049</f>
        <v>357.53494200000006</v>
      </c>
      <c r="AA73" s="3">
        <f>0+(466-69.8)+(0+(-0.23766--0.035598))+0-31--0.0158099999999969</f>
        <v>365.01374799999996</v>
      </c>
      <c r="AB73" s="3">
        <f>0+(479.3-93.5)+(0+(-0.244443--0.047685))+0-31--0.0158099999999969</f>
        <v>354.61905200000001</v>
      </c>
      <c r="AC73" s="3">
        <f>0+(479.5-113)+(0+(-0.97818--0.23052))+0-31--0.0632399999999986</f>
        <v>334.81558000000001</v>
      </c>
      <c r="AD73">
        <f t="shared" si="1"/>
        <v>8123.3875690000013</v>
      </c>
      <c r="AE73" s="3">
        <f>0+(454.9-54.9)+(0+(0-0))+0-31-0</f>
        <v>369</v>
      </c>
    </row>
    <row r="74" spans="1:31" s="2" customFormat="1" x14ac:dyDescent="0.25">
      <c r="A74">
        <v>89</v>
      </c>
      <c r="B74">
        <v>3</v>
      </c>
      <c r="C74">
        <v>12</v>
      </c>
      <c r="D74">
        <v>5</v>
      </c>
      <c r="E74">
        <v>1</v>
      </c>
      <c r="F74" s="3">
        <f>0+(416.2-66.1)+(0+(-0.212262--0.033711))+0-31--0.0158099999999969</f>
        <v>318.93725899999998</v>
      </c>
      <c r="G74" s="3">
        <f>0+(404.2-65.6)+(0+(-0.412284--0.066912))+0-31--0.0316200000000049</f>
        <v>307.28624800000006</v>
      </c>
      <c r="H74" s="3">
        <f>0+(342.9-16.2)+(0+(-0.174879--0.008262))+0-31--0.0158099999999969</f>
        <v>295.549193</v>
      </c>
      <c r="I74" s="3">
        <f>0+(323.3-0)+(0+(-0.659532-0))+0-31--0.0632399999999986</f>
        <v>291.70370800000001</v>
      </c>
      <c r="J74" s="3">
        <f>0+(328.3-1.1)+(0+(0.167433-0.000561))+0-31-0.0158099999999969</f>
        <v>296.35106200000001</v>
      </c>
      <c r="K74" s="3">
        <f>0+(318.4-2.2)+(0+(-0.649536--0.004488))+0-31--0.0632399999999986</f>
        <v>284.61819200000002</v>
      </c>
      <c r="L74" s="3">
        <f>0+(307-0)+(0+(-0.62628-0))+0-31--0.0632399999999986</f>
        <v>275.43696</v>
      </c>
      <c r="M74" s="3">
        <f>0+(349.8-15.8)+(0+(0.178398-0.008058))+0-31-0.0158099999999969</f>
        <v>303.15453000000002</v>
      </c>
      <c r="N74" s="3">
        <f>0+(477.6-104.7)+(0+(-0.730728--0.160191))+0-31--0.0474300000000018</f>
        <v>341.37689300000005</v>
      </c>
      <c r="O74" s="3">
        <f>0+(420.2-32.2)+(0+(-0.428604--0.032844))+0-31--0.0316200000000049</f>
        <v>356.63586000000004</v>
      </c>
      <c r="P74" s="3">
        <f>0+(427.6-39.2)+(0+(0-0))+0-33-0</f>
        <v>355.40000000000003</v>
      </c>
      <c r="Q74" s="3">
        <f>0+(431-28.3)+(0+(0.21981-0.014433))+0-31-0.0158099999999969</f>
        <v>371.889567</v>
      </c>
      <c r="R74" s="3">
        <f>0+(426.2-18.5)+(0+(0.434724-0.01887))+0-31-0.0316200000000049</f>
        <v>377.08423399999998</v>
      </c>
      <c r="S74" s="3">
        <f>0+(406.2-11.9)+(0+(-0.207162--0.006069))+0-31--0.0158099999999969</f>
        <v>363.11471699999998</v>
      </c>
      <c r="T74" s="3">
        <f>0+(415.8-17)+(0+(-0.636174--0.02601))+0-31--0.0474300000000018</f>
        <v>367.23726600000003</v>
      </c>
      <c r="U74" s="3">
        <f>0+(426.1-36.9)+(0+(0-0))+0-31-0</f>
        <v>358.20000000000005</v>
      </c>
      <c r="V74" s="3">
        <f>0+(426.9-42.7)+(0+(-0.217719--0.021777))+0-31--0.0158099999999969</f>
        <v>353.01986799999997</v>
      </c>
      <c r="W74" s="3">
        <f>0+(421.3-44.2)+(0+(-0.429726--0.045084))+0-31--0.0316200000000049</f>
        <v>345.74697800000007</v>
      </c>
      <c r="X74" s="3">
        <f>0+(413.9-46)+(0+(-0.633267--0.07038))+0-31--0.0474300000000018</f>
        <v>336.38454300000001</v>
      </c>
      <c r="Y74" s="3">
        <f>0+(461.6-102)+(0+(0-0))+0-31-0</f>
        <v>328.6</v>
      </c>
      <c r="Z74" s="3">
        <f>0+(442.7-54.6)+(0+(0-0))+0-31-0</f>
        <v>357.09999999999997</v>
      </c>
      <c r="AA74" s="3">
        <f>0+(425.1-28)+(0+(-0.433602--0.02856))+0-31--0.0316200000000049</f>
        <v>365.72657800000007</v>
      </c>
      <c r="AB74" s="3">
        <f>0+(448.8-60.8)+(0+(-0.457776--0.062016))+0-31--0.0316200000000049</f>
        <v>356.63586000000004</v>
      </c>
      <c r="AC74" s="3">
        <f>0+(452.9-80.6)+(0+(-0.692937--0.123318))+0-31--0.0474300000000018</f>
        <v>340.77781099999999</v>
      </c>
      <c r="AD74">
        <f t="shared" si="1"/>
        <v>8047.9673270000021</v>
      </c>
      <c r="AE74" s="3">
        <f>0+(438.9-24.9)+(0+(0-0))+0-31-0</f>
        <v>383</v>
      </c>
    </row>
    <row r="75" spans="1:31" s="2" customFormat="1" x14ac:dyDescent="0.25">
      <c r="A75">
        <v>89</v>
      </c>
      <c r="B75">
        <v>3</v>
      </c>
      <c r="C75">
        <v>13</v>
      </c>
      <c r="D75">
        <v>6</v>
      </c>
      <c r="E75">
        <v>1</v>
      </c>
      <c r="F75" s="3">
        <f>0+(420.1-69.9)+(0+(0-0))+0-31-0</f>
        <v>319.20000000000005</v>
      </c>
      <c r="G75" s="3">
        <f>0+(441-100.5)+(0+(-0.22491--0.051255))+0-30--0.015299999999997</f>
        <v>310.34164500000003</v>
      </c>
      <c r="H75" s="3">
        <f>0+(456-122.8)+(0+(-0.46512--0.125256))+0-31--0.0316200000000049</f>
        <v>301.89175600000004</v>
      </c>
      <c r="I75" s="3">
        <f>0+(378.4-49.1)+(0+(-0.385968--0.050082))+0-31--0.0316200000000049</f>
        <v>297.99573399999997</v>
      </c>
      <c r="J75" s="3">
        <f>0+(348.1-19.1)+(0+(-0.355062--0.019482))+0-31--0.0316200000000049</f>
        <v>297.69604000000004</v>
      </c>
      <c r="K75" s="3">
        <f>0+(370.6-47.9)+(0+(-0.378012--0.048858))+0-31--0.0316200000000049</f>
        <v>291.40246600000006</v>
      </c>
      <c r="L75" s="3">
        <f>0+(323.1-10.8)+(0+(-0.164781--0.005508))+0-32--0.0163199999999968</f>
        <v>280.15704700000003</v>
      </c>
      <c r="M75" s="3">
        <f>0+(356.6-20.1)+(0+(0-0))+0-33-0</f>
        <v>303.5</v>
      </c>
      <c r="N75" s="3">
        <f>0+(459.1-93.6)+(0+(0.468282-0.095472))+0-34-0.0346800000000054</f>
        <v>331.83813000000004</v>
      </c>
      <c r="O75" s="3">
        <f>0+(431-50.7)+(0+(-0.21981--0.025857))+0-33--0.0168299999999967</f>
        <v>347.12287699999996</v>
      </c>
      <c r="P75" s="3">
        <f>0+(417.3-25.7)+(0+(0-0))+0-31-0</f>
        <v>360.6</v>
      </c>
      <c r="Q75" s="3">
        <f>0+(429-36.1)+(0+(0.43758-0.036822))+0-31-0.0316200000000049</f>
        <v>362.26913799999994</v>
      </c>
      <c r="R75" s="3">
        <f>0+(420.8-34.2)+(0+(0-0))+0-31-0</f>
        <v>355.6</v>
      </c>
      <c r="S75" s="3">
        <f>0+(401.8-21.7)+(0+(-0.409836--0.022134))+0-30--0.0306000000000048</f>
        <v>349.74289800000003</v>
      </c>
      <c r="T75" s="3">
        <f>0+(372.4-0)+(0+(-0.379848-0))+0-31--0.0316200000000049</f>
        <v>341.05177200000003</v>
      </c>
      <c r="U75" s="3">
        <f>0+(385.2-24.8)+(0+(-0.196452--0.012648))+0-31--0.0158099999999969</f>
        <v>329.23200599999996</v>
      </c>
      <c r="V75" s="3">
        <f>0+(374-20.8)+(0+(-0.9537--0.05304))+0-31--0.0790499999999955</f>
        <v>321.37838999999997</v>
      </c>
      <c r="W75" s="3">
        <f>0+(392.5-40.1)+(0+(-1.000875--0.102255))+0-31--0.0790499999999955</f>
        <v>320.58042999999998</v>
      </c>
      <c r="X75" s="3">
        <f>0+(394-57.4)+(0+(-0.80376--0.117096))+0-31--0.0632399999999986</f>
        <v>304.97657600000002</v>
      </c>
      <c r="Y75" s="3">
        <f>0+(423.4-87.9)+(0+(0-0))+0-31-0</f>
        <v>304.5</v>
      </c>
      <c r="Z75" s="3">
        <f>0+(404.4-37)+(0+(-0.618732--0.05661))+0-31--0.0474300000000018</f>
        <v>335.88530800000001</v>
      </c>
      <c r="AA75" s="3">
        <f>0+(385-5.9)+(0+(-0.58905--0.009027))+0-31--0.0474300000000018</f>
        <v>347.56740700000006</v>
      </c>
      <c r="AB75" s="3">
        <f>0+(420.2-44.5)+(0+(-0.214302--0.022695))+0-31--0.0158099999999969</f>
        <v>344.524203</v>
      </c>
      <c r="AC75" s="3">
        <f>0+(441.9-80.1)+(0+(-0.676107--0.122553))+0-30--0.0459000000000017</f>
        <v>331.29234599999995</v>
      </c>
      <c r="AD75">
        <f t="shared" si="1"/>
        <v>7790.3461690000004</v>
      </c>
      <c r="AE75" s="3">
        <f>0+(372-0)+(0+(0-0))+0-31-0</f>
        <v>341</v>
      </c>
    </row>
    <row r="76" spans="1:31" s="2" customFormat="1" x14ac:dyDescent="0.25">
      <c r="A76">
        <v>89</v>
      </c>
      <c r="B76">
        <v>3</v>
      </c>
      <c r="C76">
        <v>14</v>
      </c>
      <c r="D76">
        <v>7</v>
      </c>
      <c r="E76">
        <v>4</v>
      </c>
      <c r="F76" s="3">
        <f>0+(399.6-55.4)+(0+(0-0))+0-28-0</f>
        <v>316.20000000000005</v>
      </c>
      <c r="G76" s="3">
        <f>0+(398.3-69.6)+(0+(-0.203133--0.035496))+0-29--0.0147899999999971</f>
        <v>299.54715300000004</v>
      </c>
      <c r="H76" s="3">
        <f>0+(354-25.3)+(0+(0.36108-0.025806))+0-31-0.0316200000000049</f>
        <v>298.00365399999998</v>
      </c>
      <c r="I76" s="3">
        <f>0+(339.6-14.3)+(0+(-0.346392--0.014586))+0-31--0.0316200000000049</f>
        <v>293.99981400000007</v>
      </c>
      <c r="J76" s="3">
        <f>0+(311.9-0)+(0+(0-0))+0-31-0</f>
        <v>280.89999999999998</v>
      </c>
      <c r="K76" s="3">
        <f>0+(322-12.7)+(0+(0-0))+0-31-0</f>
        <v>278.3</v>
      </c>
      <c r="L76" s="3">
        <f>0+(321.3-26.6)+(0+(0-0))+0-31-0</f>
        <v>263.7</v>
      </c>
      <c r="M76" s="3">
        <f>0+(295.7-4.8)+(0+(-0.452421--0.007344))+0-31--0.0474300000000018</f>
        <v>259.50235299999997</v>
      </c>
      <c r="N76" s="3">
        <f>0+(311-7.2)+(0+(-0.31722--0.007344))+0-31--0.0316200000000049</f>
        <v>272.52174400000007</v>
      </c>
      <c r="O76" s="3">
        <f>0+(356.3-37.6)+(0+(-0.181713--0.019176))+0-31--0.0158099999999969</f>
        <v>287.55327299999999</v>
      </c>
      <c r="P76" s="3">
        <f>0+(419.5-95.7)+(0+(0.213945-0.048807))+0-31-0.0158099999999969</f>
        <v>292.94932800000004</v>
      </c>
      <c r="Q76" s="3">
        <f>0+(444.6-115.6)+(0+(0-0))+0-31-0</f>
        <v>298</v>
      </c>
      <c r="R76" s="3">
        <f>0+(408.2-83.2)+(0+(-0.416364--0.084864))+0-31--0.0316200000000049</f>
        <v>293.70012000000003</v>
      </c>
      <c r="S76" s="3">
        <f>0+(396.1-75.7)+(0+(-0.404022--0.077214))+0-31--0.0316200000000049</f>
        <v>289.10481200000004</v>
      </c>
      <c r="T76" s="3">
        <f>0+(384.1-63.6)+(0+(-0.391782--0.064872))+0-31--0.0316200000000049</f>
        <v>289.20471000000003</v>
      </c>
      <c r="U76" s="3">
        <f>0+(376.8-63)+(0+(-0.384336--0.06426))+0-26--0.0265200000000041</f>
        <v>287.50644400000004</v>
      </c>
      <c r="V76" s="3">
        <f>0+(355.8-41.3)+(0+(-0.362916--0.042126))+0-31--0.0316200000000049</f>
        <v>283.21083000000004</v>
      </c>
      <c r="W76" s="3">
        <f>0+(362-58.4)+(0+(-0.55386--0.089352))+0-19--0.0290700000000011</f>
        <v>284.16456199999999</v>
      </c>
      <c r="X76" s="3">
        <f>0+(388.3-76)+(0+(-0.396066--0.07752))+0-27--0.0275400000000043</f>
        <v>285.00899399999997</v>
      </c>
      <c r="Y76" s="3">
        <f>0+(434.6-120.3)+(0+(-0.221646--0.061353))+0-27--0.0137699999999973</f>
        <v>287.15347700000001</v>
      </c>
      <c r="Z76" s="3">
        <f>0+(433.8-95.7)+(0+(-0.221238--0.048807))+0-27--0.0137699999999973</f>
        <v>310.94133900000003</v>
      </c>
      <c r="AA76" s="3">
        <f>0+(388.7-38.3)+(0+(-0.198237--0.019533))+0-28--0.0142799999999972</f>
        <v>322.23557599999998</v>
      </c>
      <c r="AB76" s="3">
        <f>0+(399.6-55.2)+(0+(-0.611388--0.084456))+0-29--0.0443700000000017</f>
        <v>314.91743800000006</v>
      </c>
      <c r="AC76" s="3">
        <f>0+(405.8-66.7)+(0+(-0.413916--0.068034))+0-29--0.0295800000000046</f>
        <v>309.78369800000002</v>
      </c>
      <c r="AD76">
        <f t="shared" si="1"/>
        <v>6998.1093190000001</v>
      </c>
      <c r="AE76" s="3">
        <f>0+(384.2-39.9)+(0+(0-0))+0-29-0</f>
        <v>315.3</v>
      </c>
    </row>
    <row r="77" spans="1:31" s="2" customFormat="1" x14ac:dyDescent="0.25">
      <c r="A77">
        <v>89</v>
      </c>
      <c r="B77">
        <v>3</v>
      </c>
      <c r="C77">
        <v>15</v>
      </c>
      <c r="D77">
        <v>1</v>
      </c>
      <c r="E77">
        <v>4</v>
      </c>
      <c r="F77" s="3">
        <f>0+(326.4-8.8)+(0+(-0.499392--0.013464))+0-29--0.0443700000000017</f>
        <v>288.15844199999998</v>
      </c>
      <c r="G77" s="3">
        <f>0+(304.2-0)+(0+(0-0))+0-30-0</f>
        <v>274.2</v>
      </c>
      <c r="H77" s="3">
        <f>0+(298.8-0)+(0+(0.304776-0))+0-28-0.0285600000000045</f>
        <v>271.07621599999999</v>
      </c>
      <c r="I77" s="3">
        <f>0+(300-1.9)+(0+(-0.306--0.001938))+0-30--0.0306000000000048</f>
        <v>267.82653800000003</v>
      </c>
      <c r="J77" s="3">
        <f>0+(309.7-4.6)+(0+(0-0))+0-30-0</f>
        <v>275.09999999999997</v>
      </c>
      <c r="K77" s="3">
        <f>0+(319.3-22)+(0+(-0.651372--0.04488))+0-29--0.0591599999999987</f>
        <v>267.75266800000003</v>
      </c>
      <c r="L77" s="3">
        <f>0+(337.8-52.2)+(0+(-0.344556--0.053244))+0-31--0.0316200000000049</f>
        <v>254.34030800000002</v>
      </c>
      <c r="M77" s="3">
        <f>0+(344.1-47.7)+(0+(0-0))+0-31-0</f>
        <v>265.40000000000003</v>
      </c>
      <c r="N77" s="3">
        <f>0+(423.5-117.7)+(0+(0.215985-0.060027))+0-31-0.0158099999999969</f>
        <v>274.94014800000002</v>
      </c>
      <c r="O77" s="3">
        <f>0+(467.1-146.4)+(0+(0.238221-0.074664))+0-31-0.0158099999999969</f>
        <v>289.84774700000008</v>
      </c>
      <c r="P77" s="3">
        <f>0+(432.1-102.1)+(0+(0.661113-0.156213))+0-31-0.0474300000000018</f>
        <v>299.45747</v>
      </c>
      <c r="Q77" s="3">
        <f>0+(400.4-66.8)+(0+(0.408408-0.068136))+0-31-0.0316200000000049</f>
        <v>302.90865199999996</v>
      </c>
      <c r="R77" s="3">
        <f>0+(389.9-57.2)+(0+(0-0))+0-31-0</f>
        <v>301.7</v>
      </c>
      <c r="S77" s="3">
        <f>0+(351.7-21.4)+(0+(-0.179367--0.010914))+0-31--0.0158099999999969</f>
        <v>299.147357</v>
      </c>
      <c r="T77" s="3">
        <f>0+(329.4-6.9)+(0+(0-0))+0-31-0</f>
        <v>291.5</v>
      </c>
      <c r="U77" s="3">
        <f>0+(317.5-2.5)+(0+(-0.32385--0.00255))+0-31--0.0316200000000049</f>
        <v>283.71032000000002</v>
      </c>
      <c r="V77" s="3">
        <f>0+(342.3-22.9)+(0+(-0.174573--0.011679))+0-31--0.0158099999999969</f>
        <v>288.25291600000003</v>
      </c>
      <c r="W77" s="3">
        <f>0+(333.7-17.2)+(0+(-0.850935--0.04386))+0-31--0.0790499999999955</f>
        <v>284.771975</v>
      </c>
      <c r="X77" s="3">
        <f>0+(392.5-82.4)+(0+(-0.600525--0.126072))+0-31--0.0474300000000018</f>
        <v>278.67297700000006</v>
      </c>
      <c r="Y77" s="3">
        <f>0+(449.6-133.5)+(0+(-1.375776--0.40851))+0-31--0.0948600000000036</f>
        <v>284.22759400000001</v>
      </c>
      <c r="Z77" s="3">
        <f>0+(394-49.4)+(0+(-0.20094--0.025194))+0-31--0.0158099999999969</f>
        <v>313.44006400000001</v>
      </c>
      <c r="AA77" s="3">
        <f>0+(361.3-3.9)+(0+(-0.921315--0.009945))+0-31--0.0790499999999955</f>
        <v>325.56768000000005</v>
      </c>
      <c r="AB77" s="3">
        <f>0+(399.7-45.4)+(0+(-0.407694--0.046308))+0-31--0.0316200000000049</f>
        <v>322.97023400000006</v>
      </c>
      <c r="AC77" s="3">
        <f>0+(427.6-81.3)+(0+(-0.872304--0.165852))+0-31--0.0632399999999986</f>
        <v>314.65678800000001</v>
      </c>
      <c r="AD77">
        <f t="shared" si="1"/>
        <v>6919.6260940000011</v>
      </c>
      <c r="AE77" s="3">
        <f>0+(369.5-0)+(0+(0-0))+0-30-0</f>
        <v>339.5</v>
      </c>
    </row>
    <row r="78" spans="1:31" s="2" customFormat="1" x14ac:dyDescent="0.25">
      <c r="A78">
        <v>89</v>
      </c>
      <c r="B78">
        <v>3</v>
      </c>
      <c r="C78">
        <v>16</v>
      </c>
      <c r="D78">
        <v>2</v>
      </c>
      <c r="E78">
        <v>1</v>
      </c>
      <c r="F78" s="3">
        <f>0+(365.3-27.5)+(0+(-0.931515--0.070125))+0-30--0.0764999999999956</f>
        <v>307.01511000000005</v>
      </c>
      <c r="G78" s="3">
        <f>0+(350.9-29.1)+(0+(-0.536877--0.044523))+0-30--0.0459000000000017</f>
        <v>291.35354599999999</v>
      </c>
      <c r="H78" s="3">
        <f>0+(309.5-0)+(0+(0.157845-0))+0-30-0.015299999999997</f>
        <v>279.64254499999998</v>
      </c>
      <c r="I78" s="3">
        <f>0+(302.8-0)+(0+(-0.77214-0))+0-31--0.0790499999999955</f>
        <v>271.10691000000003</v>
      </c>
      <c r="J78" s="3">
        <f>0+(301.4-0)+(0+(0-0))+0-30-0</f>
        <v>271.39999999999998</v>
      </c>
      <c r="K78" s="3">
        <f>0+(306-5.6)+(0+(-0.7803--0.01428))+0-30--0.0764999999999956</f>
        <v>269.71047999999996</v>
      </c>
      <c r="L78" s="3">
        <f>0+(293.9-0)+(0+(0.149889-0))+0-30-0.015299999999997</f>
        <v>264.03458899999993</v>
      </c>
      <c r="M78" s="3">
        <f>0+(336.6-5.4)+(0+(-0.171666--0.002754))+0-31--0.0158099999999969</f>
        <v>300.04689800000006</v>
      </c>
      <c r="N78" s="3">
        <f>0+(437.4-70.6)+(0+(0-0))+0-34-0</f>
        <v>332.79999999999995</v>
      </c>
      <c r="O78" s="3">
        <f>0+(429.6-41.2)+(0+(0.219096-0.021012))+0-33-0.0168299999999967</f>
        <v>355.58125400000006</v>
      </c>
      <c r="P78" s="3">
        <f>0+(405.2-7)+(0+(0-0))+0-34-0</f>
        <v>364.2</v>
      </c>
      <c r="Q78" s="3">
        <f>0+(390.8-0)+(0+(0.199308-0))+0-32-0.0163199999999968</f>
        <v>358.98298799999998</v>
      </c>
      <c r="R78" s="3">
        <f>0+(393.9-0)+(0+(-0.200889-0))+0-30--0.015299999999997</f>
        <v>363.71441099999998</v>
      </c>
      <c r="S78" s="3">
        <f>0+(385.9-0)+(0+(-0.393618-0))+0-30--0.0306000000000048</f>
        <v>355.53698199999997</v>
      </c>
      <c r="T78" s="3">
        <f>0+(390-0)+(0+(-0.3978-0))+0-30--0.0306000000000048</f>
        <v>359.63279999999997</v>
      </c>
      <c r="U78" s="3">
        <f>0+(384.3-0)+(0+(-0.391986-0))+0-30--0.0306000000000048</f>
        <v>353.93861400000003</v>
      </c>
      <c r="V78" s="3">
        <f>0+(381.5-0)+(0+(-0.77826-0))+0-30--0.0611999999999987</f>
        <v>350.78294</v>
      </c>
      <c r="W78" s="3">
        <f>0+(374.9-0)+(0+(-0.955995-0))+0-30--0.0764999999999956</f>
        <v>344.02050500000001</v>
      </c>
      <c r="X78" s="3">
        <f>0+(377.5-8)+(0+(-1.15515--0.02448))+0-30--0.0918000000000035</f>
        <v>338.46112999999997</v>
      </c>
      <c r="Y78" s="3">
        <f>0+(393.4-24.7)+(0+(-0.802536--0.050388))+0-30--0.0611999999999987</f>
        <v>338.009052</v>
      </c>
      <c r="Z78" s="3">
        <f>0+(414.3-33.7)+(0+(0-0))+0-30-0</f>
        <v>350.6</v>
      </c>
      <c r="AA78" s="3">
        <f>0+(388-4)+(0+(-0.9894--0.0102))+0-30--0.0764999999999956</f>
        <v>353.09730000000002</v>
      </c>
      <c r="AB78" s="3">
        <f>0+(387.1-9)+(0+(-0.789684--0.01836))+0-30--0.0611999999999987</f>
        <v>347.38987600000002</v>
      </c>
      <c r="AC78" s="3">
        <f>0+(367.9-4.4)+(0+(-1.125774--0.013464))+0-30--0.0918000000000035</f>
        <v>332.47949</v>
      </c>
      <c r="AD78">
        <f t="shared" si="1"/>
        <v>7853.5374200000006</v>
      </c>
      <c r="AE78" s="3">
        <f>0+(405-0)+(0+(0-0))+0-32-0</f>
        <v>373</v>
      </c>
    </row>
    <row r="79" spans="1:31" s="2" customFormat="1" x14ac:dyDescent="0.25">
      <c r="A79">
        <v>89</v>
      </c>
      <c r="B79">
        <v>3</v>
      </c>
      <c r="C79">
        <v>17</v>
      </c>
      <c r="D79">
        <v>3</v>
      </c>
      <c r="E79">
        <v>1</v>
      </c>
      <c r="F79" s="3">
        <f>0+(343-0)+(0+(0-0))+0-33-0</f>
        <v>310</v>
      </c>
      <c r="G79" s="3">
        <f>0+(331.3-0)+(0+(-0.337926-0))+0-32--0.0326400000000051</f>
        <v>298.99471400000004</v>
      </c>
      <c r="H79" s="3">
        <f>0+(322.1-0)+(0+(0-0))+0-32-0</f>
        <v>290.10000000000002</v>
      </c>
      <c r="I79" s="3">
        <f>0+(321.6-0)+(0+(-0.492048-0))+0-32--0.0489600000000018</f>
        <v>289.15691200000003</v>
      </c>
      <c r="J79" s="3">
        <f>0+(319.4-0)+(0+(-0.162894-0))+0-32--0.0163199999999968</f>
        <v>287.25342599999999</v>
      </c>
      <c r="K79" s="3">
        <f>0+(311.7-0)+(0+(-0.635868-0))+0-32--0.0652799999999986</f>
        <v>279.12941199999995</v>
      </c>
      <c r="L79" s="3">
        <f>0+(303.9-0)+(0+(-0.309978-0))+0-32--0.0326400000000051</f>
        <v>271.62266199999999</v>
      </c>
      <c r="M79" s="3">
        <f>0+(331.4-0)+(0+(0-0))+0-34-0</f>
        <v>297.39999999999998</v>
      </c>
      <c r="N79" s="3">
        <f>0+(370.9-0)+(0+(-0.189159-0))+0-35--0.0178499999999964</f>
        <v>335.72869099999997</v>
      </c>
      <c r="O79" s="3">
        <f>0+(384.7-0)+(0+(-0.392394-0))+0-33--0.0336600000000053</f>
        <v>351.34126599999996</v>
      </c>
      <c r="P79" s="3">
        <f>0+(396.9-0)+(0+(-0.202419-0))+0-33--0.0168299999999967</f>
        <v>363.71441099999993</v>
      </c>
      <c r="Q79" s="3">
        <f>0+(400-0)+(0+(0-0))+0-33-0</f>
        <v>367</v>
      </c>
      <c r="R79" s="3">
        <f>0+(395-0)+(0+(-0.4029-0))+0-31--0.0316200000000049</f>
        <v>363.62872000000004</v>
      </c>
      <c r="S79" s="3">
        <f>0+(385.3-0)+(0+(-0.589509-0))+0-31--0.0474300000000018</f>
        <v>353.75792100000001</v>
      </c>
      <c r="T79" s="3">
        <f>0+(388.6-0)+(0+(-0.396372-0))+0-31--0.0316200000000049</f>
        <v>357.23524800000007</v>
      </c>
      <c r="U79" s="3">
        <f>0+(385.3-0)+(0+(-0.196503-0))+0-31--0.0158099999999969</f>
        <v>354.11930699999999</v>
      </c>
      <c r="V79" s="3">
        <f>0+(381.8-0)+(0+(-0.389436-0))+0-31--0.0316200000000049</f>
        <v>350.44218400000005</v>
      </c>
      <c r="W79" s="3">
        <f>0+(378.9-0)+(0+(-0.772956-0))+0-31--0.0632399999999986</f>
        <v>347.19028399999996</v>
      </c>
      <c r="X79" s="3">
        <f>0+(372.4-4.7)+(0+(-0.759696--0.009588))+0-31--0.0632399999999986</f>
        <v>336.01313199999998</v>
      </c>
      <c r="Y79" s="3">
        <f>0+(396.1-30.8)+(0+(-0.606033--0.047124))+0-31--0.0474300000000018</f>
        <v>333.788521</v>
      </c>
      <c r="Z79" s="3">
        <f>0+(384.8-2.3)+(0+(-0.588744--0.003519))+0-31--0.0474300000000018</f>
        <v>350.96220500000004</v>
      </c>
      <c r="AA79" s="3">
        <f>0+(390.5-0)+(0+(-0.39831-0))+0-31--0.0316200000000049</f>
        <v>359.13331000000005</v>
      </c>
      <c r="AB79" s="3">
        <f>0+(393.2-4.4)+(0+(-0.601596--0.006732))+0-31--0.0474300000000018</f>
        <v>357.25256600000006</v>
      </c>
      <c r="AC79" s="3">
        <f>0+(380.3-3.1)+(0+(-0.581859--0.004743))+0-31--0.0474300000000018</f>
        <v>345.67031400000002</v>
      </c>
      <c r="AD79">
        <f t="shared" si="1"/>
        <v>7950.6352060000008</v>
      </c>
      <c r="AE79" s="3">
        <f>0+(394.4-0)+(0+(0-0))+0-31-0</f>
        <v>363.4</v>
      </c>
    </row>
    <row r="80" spans="1:31" s="2" customFormat="1" x14ac:dyDescent="0.25">
      <c r="A80">
        <v>89</v>
      </c>
      <c r="B80">
        <v>3</v>
      </c>
      <c r="C80">
        <v>18</v>
      </c>
      <c r="D80">
        <v>4</v>
      </c>
      <c r="E80">
        <v>1</v>
      </c>
      <c r="F80" s="3">
        <f>0+(354.3-0)+(0+(-0.542079-0))+0-31--0.0474300000000018</f>
        <v>322.80535100000003</v>
      </c>
      <c r="G80" s="3">
        <f>0+(339.4-0)+(0+(-0.86547-0))+0-29--0.0739499999999958</f>
        <v>309.60847999999993</v>
      </c>
      <c r="H80" s="3">
        <f>0+(338.5-3)+(0+(0-0))+0-29-0</f>
        <v>306.5</v>
      </c>
      <c r="I80" s="3">
        <f>0+(337.5-3)+(0+(-0.6885--0.00612))+0-30--0.0611999999999987</f>
        <v>303.87881999999996</v>
      </c>
      <c r="J80" s="3">
        <f>0+(335.8-3)+(0+(-0.171258--0.00153))+0-31--0.0158099999999969</f>
        <v>301.64608199999998</v>
      </c>
      <c r="K80" s="3">
        <f>0+(322.7-0)+(0+(-0.987462-0))+0-31--0.0948600000000036</f>
        <v>290.80739799999998</v>
      </c>
      <c r="L80" s="3">
        <f>0+(315-0)+(0+(-0.3213-0))+0-31--0.0316200000000049</f>
        <v>283.71032000000002</v>
      </c>
      <c r="M80" s="3">
        <f>0+(340.8-0)+(0+(0-0))+0-32-0</f>
        <v>308.8</v>
      </c>
      <c r="N80" s="3">
        <f>0+(392-9.8)+(0+(-0.39984--0.009996))+0-33--0.0336600000000053</f>
        <v>348.843816</v>
      </c>
      <c r="O80" s="3">
        <f>0+(390.5-0)+(0+(0.597465-0))+0-32-0.0489600000000018</f>
        <v>359.04850499999998</v>
      </c>
      <c r="P80" s="3">
        <f>0+(394.4-0)+(0+(-0.402288-0))+0-34--0.0346800000000054</f>
        <v>360.03239199999996</v>
      </c>
      <c r="Q80" s="3">
        <f>0+(410.2-0)+(0+(0.418404-0))+0-32-0.0326400000000051</f>
        <v>378.58576399999998</v>
      </c>
      <c r="R80" s="3">
        <f>0+(408.1-0)+(0+(-0.624393-0))+0-31--0.0474300000000018</f>
        <v>376.52303700000004</v>
      </c>
      <c r="S80" s="3">
        <f>0+(398.5-0)+(0+(-0.40647-0))+0-31--0.0316200000000049</f>
        <v>367.12515000000002</v>
      </c>
      <c r="T80" s="3">
        <f>0+(387.8-0)+(0+(0.197778-0))+0-30-0.015299999999997</f>
        <v>357.98247800000001</v>
      </c>
      <c r="U80" s="3">
        <f>0+(387.8-0)+(0+(0-0))+0-31-0</f>
        <v>356.8</v>
      </c>
      <c r="V80" s="3">
        <f>0+(394-0)+(0+(0-0))+0-31-0</f>
        <v>363</v>
      </c>
      <c r="W80" s="3">
        <f>0+(389.9-0)+(0+(-0.795396-0))+0-31--0.0632399999999986</f>
        <v>358.167844</v>
      </c>
      <c r="X80" s="3">
        <f>0+(383.3-3.5)+(0+(-0.781932--0.00714))+0-30--0.0611999999999987</f>
        <v>349.08640800000001</v>
      </c>
      <c r="Y80" s="3">
        <f>0+(430.8-53)+(0+(-1.757664--0.21624))+0-32--0.130559999999997</f>
        <v>344.38913600000001</v>
      </c>
      <c r="Z80" s="3">
        <f>0+(396.4-0)+(0+(-0.808656-0))+0-31--0.0632399999999986</f>
        <v>364.654584</v>
      </c>
      <c r="AA80" s="3">
        <f>0+(390.6-0)+(0+(-0.398412-0))+0-32--0.0326400000000051</f>
        <v>358.23422800000003</v>
      </c>
      <c r="AB80" s="3">
        <f>0+(386.4-0)+(0+(-0.591192-0))+0-32--0.0489600000000018</f>
        <v>353.85776800000002</v>
      </c>
      <c r="AC80" s="3">
        <f>0+(377.3-0)+(0+(-0.769692-0))+0-32--0.0652799999999986</f>
        <v>344.59558799999996</v>
      </c>
      <c r="AD80">
        <f t="shared" si="1"/>
        <v>8168.6831490000004</v>
      </c>
      <c r="AE80" s="3">
        <f>0+(383.6-0)+(0+(0-0))+0-31-0</f>
        <v>352.6</v>
      </c>
    </row>
    <row r="81" spans="1:31" s="2" customFormat="1" x14ac:dyDescent="0.25">
      <c r="A81">
        <v>89</v>
      </c>
      <c r="B81">
        <v>3</v>
      </c>
      <c r="C81">
        <v>19</v>
      </c>
      <c r="D81">
        <v>5</v>
      </c>
      <c r="E81">
        <v>1</v>
      </c>
      <c r="F81" s="3">
        <f>0+(361.1-0)+(0+(-0.552483-0))+0-32--0.0489600000000018</f>
        <v>328.59647700000005</v>
      </c>
      <c r="G81" s="3">
        <f>0+(348-0)+(0+(-0.70992-0))+0-32--0.0652799999999986</f>
        <v>315.35535999999996</v>
      </c>
      <c r="H81" s="3">
        <f>0+(343.6-0)+(0+(-0.350472-0))+0-32--0.0326400000000051</f>
        <v>311.28216800000001</v>
      </c>
      <c r="I81" s="3">
        <f>0+(340.1-0)+(0+(-0.867255-0))+0-32--0.0815999999999954</f>
        <v>307.314345</v>
      </c>
      <c r="J81" s="3">
        <f>0+(338-0)+(0+(0.34476-0))+0-32-0.0326400000000051</f>
        <v>306.31211999999999</v>
      </c>
      <c r="K81" s="3">
        <f>0+(329.6-0)+(0+(-0.84048-0))+0-32--0.0815999999999954</f>
        <v>296.84111999999999</v>
      </c>
      <c r="L81" s="3">
        <f>0+(323-0)+(0+(-0.16473-0))+0-32--0.0163199999999968</f>
        <v>290.85158999999999</v>
      </c>
      <c r="M81" s="3">
        <f>0+(351.6-0)+(0+(0.358632-0))+0-34-0.0346800000000054</f>
        <v>317.92395200000004</v>
      </c>
      <c r="N81" s="3">
        <f>0+(383.9-0)+(0+(0-0))+0-32-0</f>
        <v>351.9</v>
      </c>
      <c r="O81" s="3">
        <f>0+(412.7-7.9)+(0+(0-0))+0-34-0</f>
        <v>370.8</v>
      </c>
      <c r="P81" s="3">
        <f>0+(415.7-0)+(0+(-0.424014-0))+0-32--0.0326400000000051</f>
        <v>383.308626</v>
      </c>
      <c r="Q81" s="3">
        <f>0+(415.8-0)+(0+(0.424116-0))+0-31-0.0316200000000049</f>
        <v>385.19249600000001</v>
      </c>
      <c r="R81" s="3">
        <f>0+(397.3-0)+(0+(-0.607869-0))+0-29--0.0443700000000017</f>
        <v>367.73650100000003</v>
      </c>
      <c r="S81" s="3">
        <f>0+(388-0)+(0+(-0.19788-0))+0-32--0.0163199999999968</f>
        <v>355.81844000000001</v>
      </c>
      <c r="T81" s="3">
        <f>0+(392.8-0)+(0+(-0.200328-0))+0-31--0.0158099999999969</f>
        <v>361.61548199999999</v>
      </c>
      <c r="U81" s="3">
        <f>0+(382-0)+(0+(-0.38964-0))+0-31--0.0316200000000049</f>
        <v>350.64198000000005</v>
      </c>
      <c r="V81" s="3">
        <f>0+(371.1-0)+(0+(-0.567783-0))+0-27--0.0413100000000016</f>
        <v>343.57352700000001</v>
      </c>
      <c r="W81" s="3">
        <f>0+(369.2-0)+(0+(-0.564876-0))+0-32--0.0489600000000018</f>
        <v>336.68408399999998</v>
      </c>
      <c r="X81" s="3">
        <f>0+(364.2-2.2)+(0+(-0.92871--0.00561))+0-32--0.0815999999999954</f>
        <v>329.1585</v>
      </c>
      <c r="Y81" s="3">
        <f>0+(376.5-11.3)+(0+(-0.960075--0.028815))+0-32--0.0815999999999954</f>
        <v>332.35033999999996</v>
      </c>
      <c r="Z81" s="3">
        <f>0+(376.9-0)+(0+(-0.384438-0))+0-32--0.0326400000000051</f>
        <v>344.548202</v>
      </c>
      <c r="AA81" s="3">
        <f>0+(385.1-0)+(0+(-0.589203-0))+0-32--0.0489600000000018</f>
        <v>352.55975700000005</v>
      </c>
      <c r="AB81" s="3">
        <f>0+(377.1-0)+(0+(-0.961605-0))+0-32--0.0815999999999954</f>
        <v>344.21999499999998</v>
      </c>
      <c r="AC81" s="3">
        <f>0+(357.3-0)+(0+(0-0))+0-32-0</f>
        <v>325.3</v>
      </c>
      <c r="AD81">
        <f t="shared" si="1"/>
        <v>8109.8850620000012</v>
      </c>
      <c r="AE81" s="3">
        <f>0+(395.4-0)+(0+(0-0))+0-31-0</f>
        <v>364.4</v>
      </c>
    </row>
    <row r="82" spans="1:31" s="2" customFormat="1" x14ac:dyDescent="0.25">
      <c r="A82">
        <v>89</v>
      </c>
      <c r="B82">
        <v>3</v>
      </c>
      <c r="C82">
        <v>20</v>
      </c>
      <c r="D82">
        <v>6</v>
      </c>
      <c r="E82">
        <v>1</v>
      </c>
      <c r="F82" s="3">
        <f>0+(341.3-0)+(0+(-0.348126-0))+0-31--0.0316200000000049</f>
        <v>309.98349400000006</v>
      </c>
      <c r="G82" s="3">
        <f>0+(328-0)+(0+(0.50184-0))+0-32-0.0489600000000018</f>
        <v>296.45287999999999</v>
      </c>
      <c r="H82" s="3">
        <f>0+(320.5-0)+(0+(0-0))+0-32-0</f>
        <v>288.5</v>
      </c>
      <c r="I82" s="3">
        <f>0+(314.8-0)+(0+(0.160548-0))+0-32-0.0163199999999968</f>
        <v>282.94422800000001</v>
      </c>
      <c r="J82" s="3">
        <f>0+(314.8-0)+(0+(-0.321096-0))+0-32--0.0326400000000051</f>
        <v>282.51154400000001</v>
      </c>
      <c r="K82" s="3">
        <f>0+(307.3-0)+(0+(-0.470169-0))+0-32--0.0489600000000018</f>
        <v>274.87879100000004</v>
      </c>
      <c r="L82" s="3">
        <f>0+(301.9-0)+(0+(-0.153969-0))+0-32--0.0163199999999968</f>
        <v>269.76235099999997</v>
      </c>
      <c r="M82" s="3">
        <f>0+(325.8-0)+(0+(0.166158-0))+0-32-0.0163199999999968</f>
        <v>293.949838</v>
      </c>
      <c r="N82" s="3">
        <f>0+(357.9-0)+(0+(0.365058-0))+0-32-0.0326400000000051</f>
        <v>326.23241799999994</v>
      </c>
      <c r="O82" s="3">
        <f>0+(371.2-0)+(0+(0.757248-0))+0-32-0.0652799999999986</f>
        <v>339.89196800000002</v>
      </c>
      <c r="P82" s="3">
        <f>0+(386.3-0)+(0+(0.394026-0))+0-33-0.0336600000000053</f>
        <v>353.66036600000001</v>
      </c>
      <c r="Q82" s="3">
        <f>0+(387.6-0)+(0+(0.395352-0))+0-32-0.0326400000000051</f>
        <v>355.96271200000001</v>
      </c>
      <c r="R82" s="3">
        <f>0+(389.4-0)+(0+(0.198594-0))+0-32-0.0163199999999968</f>
        <v>357.58227399999998</v>
      </c>
      <c r="S82" s="3">
        <f>0+(379.7-0)+(0+(0-0))+0-32-0</f>
        <v>347.7</v>
      </c>
      <c r="T82" s="3">
        <f>0+(372.3-0)+(0+(0-0))+0-32-0</f>
        <v>340.3</v>
      </c>
      <c r="U82" s="3">
        <f>0+(368-0)+(0+(-0.18768-0))+0-32--0.0163199999999968</f>
        <v>335.82864000000001</v>
      </c>
      <c r="V82" s="3">
        <f>0+(361.5-0)+(0+(-0.36873-0))+0-32--0.0326400000000051</f>
        <v>329.16390999999999</v>
      </c>
      <c r="W82" s="3">
        <f>0+(350.7-0)+(0+(-0.536571-0))+0-32--0.0489600000000018</f>
        <v>318.21238900000003</v>
      </c>
      <c r="X82" s="3">
        <f>0+(349.2-12)+(0+(-0.89046--0.0306))+0-32--0.0815999999999954</f>
        <v>304.42173999999994</v>
      </c>
      <c r="Y82" s="3">
        <f>0+(395.9-55.1)+(0+(-0.605727--0.084303))+0-31--0.0474300000000018</f>
        <v>309.32600599999995</v>
      </c>
      <c r="Z82" s="3">
        <f>0+(364.4-5.7)+(0+(-0.185844--0.002907))+0-32--0.0163199999999968</f>
        <v>326.53338300000001</v>
      </c>
      <c r="AA82" s="3">
        <f>0+(373.3-0)+(0+(-0.380766-0))+0-32--0.0326400000000051</f>
        <v>340.95187400000003</v>
      </c>
      <c r="AB82" s="3">
        <f>0+(367.6-0)+(0+(-0.374952-0))+0-31--0.0316200000000049</f>
        <v>336.25666800000005</v>
      </c>
      <c r="AC82" s="3">
        <f>0+(356.2-0)+(0+(-0.181662-0))+0-32--0.0163199999999968</f>
        <v>324.03465799999998</v>
      </c>
      <c r="AD82">
        <f t="shared" si="1"/>
        <v>7645.0421320000005</v>
      </c>
      <c r="AE82" s="3">
        <f>0+(382.8-0)+(0+(0-0))+0-32-0</f>
        <v>350.8</v>
      </c>
    </row>
    <row r="83" spans="1:31" s="2" customFormat="1" x14ac:dyDescent="0.25">
      <c r="A83">
        <v>89</v>
      </c>
      <c r="B83">
        <v>3</v>
      </c>
      <c r="C83">
        <v>21</v>
      </c>
      <c r="D83">
        <v>7</v>
      </c>
      <c r="E83">
        <v>1</v>
      </c>
      <c r="F83" s="3">
        <f>0+(338.3-0)+(0+(0-0))+0-31-0</f>
        <v>307.3</v>
      </c>
      <c r="G83" s="3">
        <f>0+(322.1-0)+(0+(-0.492813-0))+0-32--0.0489600000000018</f>
        <v>289.65614700000003</v>
      </c>
      <c r="H83" s="3">
        <f>0+(313.7-0)+(0+(0-0))+0-32-0</f>
        <v>281.7</v>
      </c>
      <c r="I83" s="3">
        <f>0+(311.1-0)+(0+(0-0))+0-32-0</f>
        <v>279.10000000000002</v>
      </c>
      <c r="J83" s="3">
        <f>0+(305.1-0)+(0+(0.311202-0))+0-32-0.0326400000000051</f>
        <v>273.37856199999999</v>
      </c>
      <c r="K83" s="3">
        <f>0+(280.5-0)+(0+(-0.57222-0))+0-32--0.0652799999999986</f>
        <v>247.99305999999999</v>
      </c>
      <c r="L83" s="3">
        <f>0+(270.9-1.1)+(0+(0-0))+0-32-0</f>
        <v>237.79999999999995</v>
      </c>
      <c r="M83" s="3">
        <f>0+(289.1-4.8)+(0+(-0.442323--0.007344))+0-31--0.0474300000000018</f>
        <v>252.912451</v>
      </c>
      <c r="N83" s="3">
        <f>0+(297.3-0)+(0+(0-0))+0-32-0</f>
        <v>265.3</v>
      </c>
      <c r="O83" s="3">
        <f>0+(312.8-0)+(0+(0-0))+0-32-0</f>
        <v>280.8</v>
      </c>
      <c r="P83" s="3">
        <f>0+(317.4-35)+(0+(-0.161874--0.01785))+0-2--0.0010199999999998</f>
        <v>280.25699599999996</v>
      </c>
      <c r="Q83" s="3">
        <f>0+(311.7-0)+(0+(0.476901-0))+0-32-0.0489600000000018</f>
        <v>280.12794099999996</v>
      </c>
      <c r="R83" s="3">
        <f>0+(312.6-0)+(0+(0-0))+0-31-0</f>
        <v>281.60000000000002</v>
      </c>
      <c r="S83" s="3">
        <f>0+(314.2-0)+(0+(0-0))+0-31-0</f>
        <v>283.2</v>
      </c>
      <c r="T83" s="3">
        <f>0+(330-0)+(0+(-0.3366-0))+0-33--0.0336600000000053</f>
        <v>296.69706000000002</v>
      </c>
      <c r="U83" s="3">
        <f>0+(323.4-0)+(0+(0-0))+0-30-0</f>
        <v>293.39999999999998</v>
      </c>
      <c r="V83" s="3">
        <f>0+(315.6-0)+(0+(0-0))+0-31-0</f>
        <v>284.60000000000002</v>
      </c>
      <c r="W83" s="3">
        <f>0+(337.6-10.7)+(0+(0.172176-0.005457))+0-31-0.0158099999999969</f>
        <v>296.05090900000005</v>
      </c>
      <c r="X83" s="3">
        <f>0+(351.4-25.4)+(0+(-0.179214--0.012954))+0-32--0.0163199999999968</f>
        <v>293.85005999999998</v>
      </c>
      <c r="Y83" s="3">
        <f>0+(385.1-60.5)+(0+(0-0))+0-32-0</f>
        <v>292.60000000000002</v>
      </c>
      <c r="Z83" s="3">
        <f>0+(446.7-99)+(0+(-0.227817--0.05049))+0-31--0.0158099999999969</f>
        <v>316.53848299999999</v>
      </c>
      <c r="AA83" s="3">
        <f>0+(380.9-6.2)+(0+(0.194259-0.003162))+0-32-0.0163199999999968</f>
        <v>342.87477699999999</v>
      </c>
      <c r="AB83" s="3">
        <f>0+(393.3-19.1)+(0+(-0.401166--0.019482))+0-32--0.0326400000000051</f>
        <v>341.850956</v>
      </c>
      <c r="AC83" s="3">
        <f>0+(429.5-79.2)+(0+(-0.657135--0.121176))+0-17--0.026010000000001</f>
        <v>332.79005100000001</v>
      </c>
      <c r="AD83">
        <f t="shared" si="1"/>
        <v>6932.377453000001</v>
      </c>
      <c r="AE83" s="3">
        <f>0+(439.7-52.4)+(0+(0-0))+0-32-0</f>
        <v>355.3</v>
      </c>
    </row>
    <row r="84" spans="1:31" s="2" customFormat="1" x14ac:dyDescent="0.25">
      <c r="A84">
        <v>89</v>
      </c>
      <c r="B84">
        <v>3</v>
      </c>
      <c r="C84">
        <v>22</v>
      </c>
      <c r="D84">
        <v>1</v>
      </c>
      <c r="E84">
        <v>1</v>
      </c>
      <c r="F84" s="3">
        <f>0+(382.1-41.5)+(0+(-0.389742--0.04233))+0-19--0.019380000000003</f>
        <v>321.27196800000002</v>
      </c>
      <c r="G84" s="3">
        <f>0+(316.3-3.9)+(0+(-0.483939--0.005967))+0-32--0.0489600000000018</f>
        <v>279.97098800000003</v>
      </c>
      <c r="H84" s="3">
        <f>0+(315.7-0)+(0+(-0.161007-0))+0-32--0.0163199999999968</f>
        <v>283.55531300000001</v>
      </c>
      <c r="I84" s="3">
        <f>0+(313-1.6)+(0+(-0.31926--0.001632))+0-32--0.0326400000000051</f>
        <v>279.11501199999998</v>
      </c>
      <c r="J84" s="3">
        <f>0+(309.1-0)+(0+(-0.788205-0))+0-32--0.0815999999999954</f>
        <v>276.393395</v>
      </c>
      <c r="K84" s="3">
        <f>0+(299.6-0)+(0+(-0.611184-0))+0-32--0.0652799999999986</f>
        <v>267.05409600000002</v>
      </c>
      <c r="L84" s="3">
        <f>0+(292.4-0)+(0+(-0.447372-0))+0-32--0.0489600000000018</f>
        <v>260.00158800000003</v>
      </c>
      <c r="M84" s="3">
        <f>0+(325.2-0)+(0+(0-0))+0-32-0</f>
        <v>293.2</v>
      </c>
      <c r="N84" s="3">
        <f>0+(357.6-0)+(0+(0-0))+0-32-0</f>
        <v>325.60000000000002</v>
      </c>
      <c r="O84" s="3">
        <f>0+(389.1-14)+(0+(0.198441-0.00714))+0-32-0.0163199999999968</f>
        <v>343.27498100000003</v>
      </c>
      <c r="P84" s="3">
        <f>0+(395.5-0)+(0+(0.40341-0))+0-32-0.0326400000000051</f>
        <v>363.87076999999999</v>
      </c>
      <c r="Q84" s="3">
        <f>0+(424.3-18.1)+(0+(-0.216393--0.009231))+0-32--0.0163199999999968</f>
        <v>374.00915800000001</v>
      </c>
      <c r="R84" s="3">
        <f>0+(446.8-36.5)+(0+(0.683604-0.055845))+0-32-0.0489600000000018</f>
        <v>378.87879900000001</v>
      </c>
      <c r="S84" s="3">
        <f>0+(427.3-22.7)+(0+(-0.217923--0.011577))+0-32--0.0163199999999968</f>
        <v>372.40997400000003</v>
      </c>
      <c r="T84" s="3">
        <f>0+(392.8-6)+(0+(0.600984-0.00918))+0-32-0.0489600000000018</f>
        <v>355.34284400000001</v>
      </c>
      <c r="U84" s="3">
        <f>0+(416.8-26.9)+(0+(0-0))+0-31-0</f>
        <v>358.90000000000003</v>
      </c>
      <c r="V84" s="3">
        <f>0+(418.5-27.7)+(0+(0.213435-0.014127))+0-31-0.0158099999999969</f>
        <v>359.983498</v>
      </c>
      <c r="W84" s="3">
        <f>0+(419-31)+(0+(-0.21369--0.01581))+0-20--0.010199999999998</f>
        <v>367.81232</v>
      </c>
      <c r="X84" s="3">
        <f>0+(502-130.3)+(0+(-0.51204--0.132906))+0-31--0.0316200000000049</f>
        <v>340.352486</v>
      </c>
      <c r="Y84" s="3">
        <f>0+(497.7-131.7)+(0+(-0.253827--0.067167))+0-31--0.0158099999999969</f>
        <v>334.82914999999997</v>
      </c>
      <c r="Z84" s="3">
        <f>0+(549.7-157.6)+(0+(-0.560694--0.160752))+0-32--0.0326400000000051</f>
        <v>359.73269800000003</v>
      </c>
      <c r="AA84" s="3">
        <f>0+(514.3-112.4)+(0+(-0.262293--0.057324))+0-32--0.0163199999999968</f>
        <v>369.71135099999998</v>
      </c>
      <c r="AB84" s="3">
        <f>0+(508.9-117)+(0+(-0.259539--0.05967))+0-32--0.0163199999999968</f>
        <v>359.71645100000001</v>
      </c>
      <c r="AC84" s="3">
        <f>0+(427.4-52)+(0+(-0.217974--0.02652))+0-30--0.015299999999997</f>
        <v>345.22384599999998</v>
      </c>
      <c r="AD84">
        <f t="shared" si="1"/>
        <v>7970.2106859999985</v>
      </c>
      <c r="AE84" s="3">
        <f>0+(509.3-84.8)+(0+(0-0))+0-32-0</f>
        <v>392.5</v>
      </c>
    </row>
    <row r="85" spans="1:31" s="2" customFormat="1" x14ac:dyDescent="0.25">
      <c r="A85">
        <v>89</v>
      </c>
      <c r="B85">
        <v>3</v>
      </c>
      <c r="C85">
        <v>23</v>
      </c>
      <c r="D85">
        <v>2</v>
      </c>
      <c r="E85">
        <v>1</v>
      </c>
      <c r="F85" s="3">
        <f>0+(359.3-3.3)+(0+(-0.183243--0.001683))+0-32--0.0163199999999968</f>
        <v>323.83476000000002</v>
      </c>
      <c r="G85" s="3">
        <f>0+(337.3-0)+(0+(-0.688092-0))+0-32--0.0652799999999986</f>
        <v>304.677188</v>
      </c>
      <c r="H85" s="3">
        <f>0+(342.4-7.5)+(0+(-0.523872--0.011475))+0-32--0.0489600000000018</f>
        <v>302.43656299999998</v>
      </c>
      <c r="I85" s="3">
        <f>0+(329.9-0)+(0+(0-0))+0-32-0</f>
        <v>297.89999999999998</v>
      </c>
      <c r="J85" s="3">
        <f>0+(330.5-0)+(0+(0.168555-0))+0-31-0.0158099999999969</f>
        <v>299.65274500000004</v>
      </c>
      <c r="K85" s="3">
        <f>0+(321.5-2.1)+(0+(-0.65586--0.004284))+0-31--0.0632399999999986</f>
        <v>287.81166400000001</v>
      </c>
      <c r="L85" s="3">
        <f>0+(307.8-0)+(0+(0.470934-0))+0-31-0.0474300000000018</f>
        <v>277.22350399999999</v>
      </c>
      <c r="M85" s="3">
        <f>0+(338.1-0)+(0+(0.172431-0))+0-32-0.0163199999999968</f>
        <v>306.25611100000003</v>
      </c>
      <c r="N85" s="3">
        <f>0+(454.1-88.8)+(0+(-0.694773--0.135864))+15-32--0.0489600000000018</f>
        <v>347.79005100000001</v>
      </c>
      <c r="O85" s="3">
        <f>0+(541.7-143.7)+(0+(-0.552534--0.146574))+0-32--0.0326400000000051</f>
        <v>365.62668000000008</v>
      </c>
      <c r="P85" s="3">
        <f>0+(517.6-109.7)+(0+(-0.263976--0.055947))+0-32--0.0163199999999968</f>
        <v>375.70829100000003</v>
      </c>
      <c r="Q85" s="3">
        <f>0+(499.1-83.3)+(0+(0-0))+0-32-0</f>
        <v>383.8</v>
      </c>
      <c r="R85" s="3">
        <f>0+(491-73.5)+(0+(-0.50082--0.07497))+0-32--0.0326400000000051</f>
        <v>385.10678999999999</v>
      </c>
      <c r="S85" s="3">
        <f>0+(440.5-36)+(0+(-0.673965--0.05508))+0-32--0.0489600000000018</f>
        <v>371.93007500000004</v>
      </c>
      <c r="T85" s="3">
        <f>0+(428.3-20.8)+(0+(-0.218433--0.010608))+0-32--0.0163199999999968</f>
        <v>375.30849499999999</v>
      </c>
      <c r="U85" s="3">
        <f>0+(418.8-16.8)+(0+(0.213588-0.008568))+0-31-0.0158099999999969</f>
        <v>371.18921</v>
      </c>
      <c r="V85" s="3">
        <f>0+(415.2-17.2)+(0+(-0.211752--0.008772))+0-31--0.0158099999999969</f>
        <v>366.81282999999996</v>
      </c>
      <c r="W85" s="3">
        <f>0+(456.5-64.6)+(0+(-0.232815--0.032946))+0-31--0.0158099999999969</f>
        <v>360.71594099999999</v>
      </c>
      <c r="X85" s="3">
        <f>0+(462-81.2)+(0+(-0.70686--0.124236))+0-31--0.0474300000000018</f>
        <v>349.26480600000002</v>
      </c>
      <c r="Y85" s="3">
        <f>0+(479.2-105.8)+(0+(-0.488784--0.107916))+0-31--0.0316200000000049</f>
        <v>342.05075199999999</v>
      </c>
      <c r="Z85" s="3">
        <f>0+(433.1-37.3)+(0+(-0.220881--0.019023))+0-31--0.0158099999999969</f>
        <v>364.61395199999998</v>
      </c>
      <c r="AA85" s="3">
        <f>0+(402.7-0)+(0+(0-0))+0-32-0</f>
        <v>370.7</v>
      </c>
      <c r="AB85" s="3">
        <f>0+(404.6-8.3)+(0+(-0.206346--0.004233))+0-32--0.0163199999999968</f>
        <v>364.11420700000002</v>
      </c>
      <c r="AC85" s="3">
        <f>0+(408.3-21.5)+(0+(-0.624699--0.032895))+0-32--0.0489600000000018</f>
        <v>354.25715600000001</v>
      </c>
      <c r="AD85">
        <f t="shared" si="1"/>
        <v>8248.7817710000018</v>
      </c>
      <c r="AE85" s="3">
        <f>0+(397.2-0)+(0+(0-0))+0-31-0</f>
        <v>366.2</v>
      </c>
    </row>
    <row r="86" spans="1:31" s="2" customFormat="1" x14ac:dyDescent="0.25">
      <c r="A86">
        <v>89</v>
      </c>
      <c r="B86">
        <v>3</v>
      </c>
      <c r="C86">
        <v>24</v>
      </c>
      <c r="D86">
        <v>3</v>
      </c>
      <c r="E86">
        <v>1</v>
      </c>
      <c r="F86" s="3">
        <f>0+(368.5-9)+(0+(-0.37587--0.00918))+0-32--0.0326400000000051</f>
        <v>327.16595000000001</v>
      </c>
      <c r="G86" s="3">
        <f>0+(339.4-2)+(0+(0-0))+0-17-0</f>
        <v>320.39999999999998</v>
      </c>
      <c r="H86" s="3">
        <f>0+(342.7-12.1)+(0+(-0.349554--0.012342))+0-32--0.0326400000000051</f>
        <v>298.29542799999996</v>
      </c>
      <c r="I86" s="3">
        <f>0+(334.3-5.4)+(0+(0.340986-0.005508))+0-32-0.0326400000000051</f>
        <v>297.20283800000004</v>
      </c>
      <c r="J86" s="3">
        <f>0+(331.6-4)+(0+(-0.169116--0.00204))+0-32--0.0163199999999968</f>
        <v>295.44924400000002</v>
      </c>
      <c r="K86" s="3">
        <f>0+(318.9-4.7)+(0+(-0.325278--0.004794))+0-32--0.0326400000000051</f>
        <v>281.91215599999998</v>
      </c>
      <c r="L86" s="3">
        <f>0+(304.7-0)+(0+(0.155397-0))+0-30-0.015299999999997</f>
        <v>274.84009699999996</v>
      </c>
      <c r="M86" s="3">
        <f>0+(336.4-0)+(0+(0.171564-0))+0-31-0.0158099999999969</f>
        <v>305.55575399999998</v>
      </c>
      <c r="N86" s="3">
        <f>0+(357.5-0)+(0+(-0.36465-0))+0-32--0.0326400000000051</f>
        <v>325.16799000000003</v>
      </c>
      <c r="O86" s="3">
        <f>0+(462.4-76.8)+(0+(0-0))+0-32-0</f>
        <v>353.59999999999997</v>
      </c>
      <c r="P86" s="3">
        <f>0+(458.4-57.9)+(0+(0.467568-0.059058))+0-32-0.0326400000000051</f>
        <v>368.87586999999996</v>
      </c>
      <c r="Q86" s="3">
        <f>0+(412-9)+(0+(0.21012-0.00459))+0-32-0.0163199999999968</f>
        <v>371.18921</v>
      </c>
      <c r="R86" s="3">
        <f>0+(422.7-19)+(0+(0.215577-0.00969))+0-32-0.0163199999999968</f>
        <v>371.889567</v>
      </c>
      <c r="S86" s="3">
        <f>0+(423.5-36.8)+(0+(-0.43197--0.037536))+0-32--0.0326400000000051</f>
        <v>354.33820600000001</v>
      </c>
      <c r="T86" s="3">
        <f>0+(448.3-52.9)+(0+(0.457266-0.053958))+0-32-0.0326400000000051</f>
        <v>363.770668</v>
      </c>
      <c r="U86" s="3">
        <f>0+(428.3-51.6)+(0+(0.873732-0.105264))+0-32-0.0652799999999986</f>
        <v>345.403188</v>
      </c>
      <c r="V86" s="3">
        <f>0+(418.8-46.6)+(0+(-0.213588--0.023766))+0-32--0.0163199999999968</f>
        <v>340.026498</v>
      </c>
      <c r="W86" s="3">
        <f>0+(400.2-34.1)+(0+(-0.408204--0.034782))+0-32--0.0326400000000051</f>
        <v>333.75921799999998</v>
      </c>
      <c r="X86" s="3">
        <f>0+(413.7-52.3)+(0+(-0.843948--0.106692))+0-32--0.0652799999999986</f>
        <v>328.72802399999995</v>
      </c>
      <c r="Y86" s="3">
        <f>0+(437.9-78.1)+(0+(0-0))+0-32-0</f>
        <v>327.79999999999995</v>
      </c>
      <c r="Z86" s="3">
        <f>0+(386.4-3.8)+(0+(0.197064-0.001938))+0-32-0.0163199999999968</f>
        <v>350.77880599999997</v>
      </c>
      <c r="AA86" s="3">
        <f>0+(402.6-11.9)+(0+(-0.205326--0.006069))+0-32--0.0163199999999968</f>
        <v>358.51706300000006</v>
      </c>
      <c r="AB86" s="3">
        <f>0+(400.7-20.9)+(0+(-0.613071--0.031977))+0-32--0.0489600000000018</f>
        <v>347.26786600000003</v>
      </c>
      <c r="AC86" s="3">
        <f>0+(394.6-26.7)+(0+(-0.402492--0.027234))+0-32--0.0326400000000051</f>
        <v>335.55738200000008</v>
      </c>
      <c r="AD86">
        <f t="shared" si="1"/>
        <v>7977.4910230000005</v>
      </c>
      <c r="AE86" s="3">
        <f>0+(404.2-13.9)+(0+(0-0))+0-33-0</f>
        <v>357.3</v>
      </c>
    </row>
    <row r="87" spans="1:31" s="2" customFormat="1" x14ac:dyDescent="0.25">
      <c r="A87">
        <v>89</v>
      </c>
      <c r="B87">
        <v>3</v>
      </c>
      <c r="C87">
        <v>25</v>
      </c>
      <c r="D87">
        <v>4</v>
      </c>
      <c r="E87">
        <v>1</v>
      </c>
      <c r="F87" s="3">
        <f>0+(369-27.5)+(0+(-0.56457--0.042075))+0-33--0.0504900000000019</f>
        <v>308.02799500000003</v>
      </c>
      <c r="G87" s="3">
        <f>0+(370.6-44)+(0+(0-0))+0-32-0</f>
        <v>294.60000000000002</v>
      </c>
      <c r="H87" s="3">
        <f>0+(362.8-43.5)+(0+(-0.370056--0.04437))+0-32--0.0326400000000051</f>
        <v>287.00695400000001</v>
      </c>
      <c r="I87" s="3">
        <f>0+(355.3-34.3)+(0+(-0.181203--0.017493))+0-32--0.0163199999999968</f>
        <v>288.85261000000003</v>
      </c>
      <c r="J87" s="3">
        <f>0+(337.4-26.4)+(0+(-0.344148--0.026928))+0-32--0.0326400000000051</f>
        <v>278.71541999999999</v>
      </c>
      <c r="K87" s="3">
        <f>0+(331.2-30)+(0+(-0.84456--0.0765))+0-32--0.0815999999999954</f>
        <v>268.51353999999998</v>
      </c>
      <c r="L87" s="3">
        <f>0+(330-24.2)+(0+(-0.8415--0.06171))+0-32--0.0815999999999954</f>
        <v>273.10181</v>
      </c>
      <c r="M87" s="3">
        <f>0+(327.6-0)+(0+(0.334152-0))+0-35-0.0357000000000056</f>
        <v>292.89845200000002</v>
      </c>
      <c r="N87" s="3">
        <f>0+(412.9-49.6)+(0+(0.210579-0.025296))+0-32-0.0163199999999968</f>
        <v>331.46896299999997</v>
      </c>
      <c r="O87" s="3">
        <f>0+(515.3-131.1)+(0+(0.262803-0.066861))+0-33-0.0168299999999967</f>
        <v>351.37911199999996</v>
      </c>
      <c r="P87" s="3">
        <f>0+(519.8-119.7)+(0+(-0.265098--0.061047))+0-35--0.0178499999999964</f>
        <v>364.91379899999998</v>
      </c>
      <c r="Q87" s="3">
        <f>0+(491-83.8)+(0+(0-0))+0-32-0</f>
        <v>375.2</v>
      </c>
      <c r="R87" s="3">
        <f>0+(432.7-22.2)+(0+(-0.441354--0.022644))+0-32--0.0326400000000051</f>
        <v>378.11393000000004</v>
      </c>
      <c r="S87" s="3">
        <f>0+(406.9-11.3)+(0+(-0.415038--0.011526))+0-32--0.0326400000000051</f>
        <v>363.229128</v>
      </c>
      <c r="T87" s="3">
        <f>0+(404.1-17.3)+(0+(0-0))+0-32-0</f>
        <v>354.8</v>
      </c>
      <c r="U87" s="3">
        <f>0+(402.5-17.8)+(0+(0.41055-0.018156))+0-32-0.0326400000000051</f>
        <v>353.059754</v>
      </c>
      <c r="V87" s="3">
        <f>0+(392-11.2)+(0+(-0.39984--0.011424))+0-32--0.0326400000000051</f>
        <v>348.44422400000002</v>
      </c>
      <c r="W87" s="3">
        <f>0+(380.8-3.7)+(0+(-0.582624--0.005661))+0-32--0.0489600000000018</f>
        <v>344.57199700000007</v>
      </c>
      <c r="X87" s="3">
        <f>0+(421-46.2)+(0+(-0.64413--0.070686))+0-32--0.0489600000000018</f>
        <v>342.27551600000004</v>
      </c>
      <c r="Y87" s="3">
        <f>0+(450.7-78.3)+(0+(-0.459714--0.079866))+0-32--0.0326400000000051</f>
        <v>340.05279200000001</v>
      </c>
      <c r="Z87" s="3">
        <f>0+(430.5-32.2)+(0+(-0.219555--0.016422))+0-32--0.0163199999999968</f>
        <v>366.11318700000004</v>
      </c>
      <c r="AA87" s="3">
        <f>0+(432.4-19.8)+(0+(-0.661572--0.030294))+0-30--0.0459000000000017</f>
        <v>382.01462199999997</v>
      </c>
      <c r="AB87" s="3">
        <f>0+(441-43.5)+(0+(-0.67473--0.066555))+0-30--0.0459000000000017</f>
        <v>366.937725</v>
      </c>
      <c r="AC87" s="3">
        <f>0+(402.3-15.4)+(0+(-0.410346--0.015708))+0-32--0.0326400000000051</f>
        <v>354.53800200000006</v>
      </c>
      <c r="AD87">
        <f t="shared" si="1"/>
        <v>8008.8295319999997</v>
      </c>
      <c r="AE87" s="3">
        <f>0+(433.5-38.7)+(0+(0-0))+0-32-0</f>
        <v>362.8</v>
      </c>
    </row>
    <row r="88" spans="1:31" s="2" customFormat="1" x14ac:dyDescent="0.25">
      <c r="A88">
        <v>89</v>
      </c>
      <c r="B88">
        <v>3</v>
      </c>
      <c r="C88">
        <v>26</v>
      </c>
      <c r="D88">
        <v>5</v>
      </c>
      <c r="E88">
        <v>1</v>
      </c>
      <c r="F88" s="3">
        <f>0+(390.3-25.9)+(0+(-0.398106--0.026418))+0-32--0.0326400000000051</f>
        <v>332.06095200000004</v>
      </c>
      <c r="G88" s="3">
        <f>0+(365.5-25)+(0+(-0.186405--0.01275))+0-32--0.0163199999999968</f>
        <v>308.34266500000001</v>
      </c>
      <c r="H88" s="3">
        <f>0+(353.5-17.8)+(0+(-0.36057--0.018156))+0-31--0.0316200000000049</f>
        <v>304.389206</v>
      </c>
      <c r="I88" s="3">
        <f>0+(346.1-14.9)+(0+(-0.529533--0.022797))+0-32--0.0489600000000018</f>
        <v>298.74222400000008</v>
      </c>
      <c r="J88" s="3">
        <f>0+(342.8-8.9)+(0+(-0.174828--0.004539))+0-31--0.0158099999999969</f>
        <v>302.745521</v>
      </c>
      <c r="K88" s="3">
        <f>0+(325.2-0)+(0+(-0.82926-0))+0-32--0.0815999999999954</f>
        <v>292.45233999999999</v>
      </c>
      <c r="L88" s="3">
        <f>0+(322.2-0)+(0+(-0.164322-0))+0-31--0.0158099999999969</f>
        <v>291.05148799999995</v>
      </c>
      <c r="M88" s="3">
        <f>0+(348.7-0)+(0+(-0.177837-0))+0-32--0.0163199999999968</f>
        <v>316.53848299999999</v>
      </c>
      <c r="N88" s="3">
        <f>0+(409.2-30)+(0+(-0.417384--0.0306))+0-31--0.0316200000000049</f>
        <v>347.84483600000004</v>
      </c>
      <c r="O88" s="3">
        <f>0+(458.4-74)+(0+(-0.233784--0.03774))+0-32--0.0163199999999968</f>
        <v>352.22027600000001</v>
      </c>
      <c r="P88" s="3">
        <f>0+(465.5-65.8)+(0+(0-0))+0-31-0</f>
        <v>368.7</v>
      </c>
      <c r="Q88" s="3">
        <f>0+(442.8-50)+(0+(-0.451656--0.051))+0-32--0.0326400000000051</f>
        <v>360.431984</v>
      </c>
      <c r="R88" s="3">
        <f>0+(398.4-0)+(0+(0-0))+0-32-0</f>
        <v>366.4</v>
      </c>
      <c r="S88" s="3">
        <f>0+(420.1-17)+(0+(0-0))+0-32-0</f>
        <v>371.1</v>
      </c>
      <c r="T88" s="3">
        <f>0+(414.3-27.9)+(0+(0-0))+0-32-0</f>
        <v>354.40000000000003</v>
      </c>
      <c r="U88" s="3">
        <f>0+(422.2-25.3)+(0+(-0.215322--0.012903))+0-32--0.0163199999999968</f>
        <v>364.71390099999996</v>
      </c>
      <c r="V88" s="3">
        <f>0+(398.5-17.6)+(0+(0.40647-0.017952))+0-32-0.0326400000000051</f>
        <v>349.25587799999994</v>
      </c>
      <c r="W88" s="3">
        <f>0+(409.5-23.5)+(0+(-1.044225--0.059925))+0-32--0.0815999999999954</f>
        <v>353.09729999999996</v>
      </c>
      <c r="X88" s="3">
        <f>0+(470.1-99.5)+(0+(-1.198755--0.253725))+0-32--0.0815999999999954</f>
        <v>337.73657000000003</v>
      </c>
      <c r="Y88" s="3">
        <f>0+(478.8-112.1)+(0+(-0.488376--0.114342))+0-32--0.0326400000000051</f>
        <v>334.35860600000007</v>
      </c>
      <c r="Z88" s="3">
        <f>0+(417.6-24.8)+(0+(0-0))+0-32-0</f>
        <v>360.8</v>
      </c>
      <c r="AA88" s="3">
        <f>0+(427.7-24.8)+(0+(-0.654381--0.037944))+0-29--0.0443700000000017</f>
        <v>373.32793299999997</v>
      </c>
      <c r="AB88" s="3">
        <f>0+(410.6-17.7)+(0+(-0.209406--0.009027))+0-32--0.0163199999999968</f>
        <v>360.71594100000004</v>
      </c>
      <c r="AC88" s="3">
        <f>0+(401-20.3)+(0+(-0.20451--0.010353))+0-32--0.0163199999999968</f>
        <v>348.52216299999998</v>
      </c>
      <c r="AD88">
        <f t="shared" si="1"/>
        <v>8149.9482669999998</v>
      </c>
      <c r="AE88" s="3">
        <f>0+(408-19)+(0+(0-0))+0-31-0</f>
        <v>358</v>
      </c>
    </row>
    <row r="89" spans="1:31" s="2" customFormat="1" x14ac:dyDescent="0.25">
      <c r="A89">
        <v>89</v>
      </c>
      <c r="B89">
        <v>3</v>
      </c>
      <c r="C89">
        <v>27</v>
      </c>
      <c r="D89">
        <v>6</v>
      </c>
      <c r="E89">
        <v>1</v>
      </c>
      <c r="F89" s="3">
        <f>0+(378.4-20.1)+(0+(-0.385968--0.020502))+0-32--0.0326400000000051</f>
        <v>325.96717399999994</v>
      </c>
      <c r="G89" s="3">
        <f>0+(370-30.5)+(0+(0-0))+0-32-0</f>
        <v>307.5</v>
      </c>
      <c r="H89" s="3">
        <f>0+(355.7-26.2)+(0+(-0.544221--0.040086))+0-32--0.0489600000000018</f>
        <v>297.044825</v>
      </c>
      <c r="I89" s="3">
        <f>0+(395.3-62.2)+(0+(-0.403206--0.063444))+0-32--0.0326400000000051</f>
        <v>300.79287800000003</v>
      </c>
      <c r="J89" s="3">
        <f>0+(424.5-94.3)+(0+(-0.43299--0.096186))+0-32--0.0326400000000051</f>
        <v>297.89583600000003</v>
      </c>
      <c r="K89" s="3">
        <f>0+(432.7-109.7)+(0+(-1.103385--0.279735))+0-32--0.0815999999999954</f>
        <v>290.25794999999999</v>
      </c>
      <c r="L89" s="3">
        <f>0+(382.7-73.4)+(0+(-0.975885--0.18717))+0-32--0.0815999999999954</f>
        <v>276.59288499999991</v>
      </c>
      <c r="M89" s="3">
        <f>0+(381.7-51.7)+(0+(0.584001-0.079101))+0-32-0.0489600000000018</f>
        <v>298.45594</v>
      </c>
      <c r="N89" s="3">
        <f>0+(499.9-135.8)+(0+(0-0))+0-31-0</f>
        <v>333.09999999999997</v>
      </c>
      <c r="O89" s="3">
        <f>0+(444.1-61.9)+(0+(0.679473-0.094707))+0-32-0.0489600000000018</f>
        <v>350.73580600000003</v>
      </c>
      <c r="P89" s="3">
        <f>0+(439.8-49.5)+(0+(0-0))+0-32-0</f>
        <v>358.3</v>
      </c>
      <c r="Q89" s="3">
        <f>0+(426.1-24.6)+(0+(0.434622-0.025092))+0-33-0.0336600000000053</f>
        <v>368.87587000000002</v>
      </c>
      <c r="R89" s="3">
        <f>0+(432.8-38)+(0+(0-0))+0-32-0</f>
        <v>362.8</v>
      </c>
      <c r="S89" s="3">
        <f>0+(504.4-116.7)+(0+(0-0))+0-33-0</f>
        <v>354.7</v>
      </c>
      <c r="T89" s="3">
        <f>0+(491.9-111.3)+(0+(0-0))+0-32-0</f>
        <v>348.59999999999997</v>
      </c>
      <c r="U89" s="3">
        <f>0+(511.5-143.8)+(0+(-0.52173--0.146676))+0-31--0.0316200000000049</f>
        <v>336.35656600000004</v>
      </c>
      <c r="V89" s="3">
        <f>0+(524.7-161.5)+(0+(0-0))+0-31-0</f>
        <v>332.20000000000005</v>
      </c>
      <c r="W89" s="3">
        <f>0+(542.7-181.3)+(0+(-1.383885--0.462315))+0-32--0.0815999999999954</f>
        <v>328.56003000000004</v>
      </c>
      <c r="X89" s="3">
        <f>0+(594.5-246.6)+(0+(-1.21278--0.503064))+0-30--0.0611999999999987</f>
        <v>317.25148399999995</v>
      </c>
      <c r="Y89" s="3">
        <f>0+(572.6-233.9)+(0+(-0.292026--0.119289))+0-29--0.0147899999999971</f>
        <v>309.54205300000007</v>
      </c>
      <c r="Z89" s="3">
        <f>0+(647.2-271.4)+(0+(-0.330072--0.138414))+0-31--0.0158099999999969</f>
        <v>344.62415200000004</v>
      </c>
      <c r="AA89" s="3">
        <f>0+(687.4-279.6)+(0+(-1.75287--0.71298))+0-32--0.0815999999999954</f>
        <v>374.84170999999992</v>
      </c>
      <c r="AB89" s="3">
        <f>0+(606-216.1)+(0+(-0.30906--0.110211))+0-32--0.0163199999999968</f>
        <v>357.71747099999999</v>
      </c>
      <c r="AC89" s="3">
        <f>0+(539-154.5)+(0+(-1.09956--0.31518))+0-32--0.0652799999999986</f>
        <v>351.78089999999997</v>
      </c>
      <c r="AD89">
        <f t="shared" si="1"/>
        <v>7924.4935299999997</v>
      </c>
      <c r="AE89" s="3">
        <f>0+(683.6-295.5)+(0+(0-0))+0-31-0</f>
        <v>357.1</v>
      </c>
    </row>
    <row r="90" spans="1:31" s="2" customFormat="1" x14ac:dyDescent="0.25">
      <c r="A90">
        <v>89</v>
      </c>
      <c r="B90">
        <v>3</v>
      </c>
      <c r="C90">
        <v>28</v>
      </c>
      <c r="D90">
        <v>7</v>
      </c>
      <c r="E90">
        <v>1</v>
      </c>
      <c r="F90" s="3">
        <f>0+(415.1-56.6)+(0+(-0.635103--0.086598))+0-32--0.0489600000000018</f>
        <v>326.00045500000004</v>
      </c>
      <c r="G90" s="3">
        <f>0+(356.7-16.8)+(0+(-0.363834--0.017136))+0-31--0.0316200000000049</f>
        <v>308.58492200000001</v>
      </c>
      <c r="H90" s="3">
        <f>0+(350.3-22.9)+(0+(-0.535959--0.035037))+0-32--0.0489600000000018</f>
        <v>294.94803800000005</v>
      </c>
      <c r="I90" s="3">
        <f>0+(340.1-17.3)+(0+(-0.520353--0.026469))+0-32--0.0489600000000018</f>
        <v>290.35507600000005</v>
      </c>
      <c r="J90" s="3">
        <f>0+(337.3-17.6)+(0+(-0.516069--0.026928))+0-32--0.0489600000000018</f>
        <v>287.25981899999999</v>
      </c>
      <c r="K90" s="3">
        <f>0+(303.5-0)+(0+(-0.464355-0))+0-32--0.0489600000000018</f>
        <v>271.08460500000001</v>
      </c>
      <c r="L90" s="3">
        <f>0+(290.8-0)+(0+(0-0))+0-31-0</f>
        <v>259.8</v>
      </c>
      <c r="M90" s="3">
        <f>0+(308.9-11.6)+(0+(0-0))+0-32-0</f>
        <v>265.29999999999995</v>
      </c>
      <c r="N90" s="3">
        <f>0+(406.6-102.6)+(0+(-0.829464--0.209304))+0-32--0.0652799999999986</f>
        <v>271.44511999999997</v>
      </c>
      <c r="O90" s="3">
        <f>0+(447-150)+(0+(-0.68391--0.2295))+0-32--0.0489600000000018</f>
        <v>264.59455000000003</v>
      </c>
      <c r="P90" s="3">
        <f>0+(514.5-179)+(0+(0-0))+0-32-0</f>
        <v>303.5</v>
      </c>
      <c r="Q90" s="3">
        <f>0+(521.5-177.4)+(0+(0-0))+0-32-0</f>
        <v>312.10000000000002</v>
      </c>
      <c r="R90" s="3">
        <f>0+(511.7-185.6)+(0+(-0.260967--0.094656))+0-2--0.0010199999999998</f>
        <v>323.934709</v>
      </c>
      <c r="S90" s="3">
        <f>0+(517.1-189.6)+(0+(-0.263721--0.096696))+0-32--0.0163199999999968</f>
        <v>295.34929499999998</v>
      </c>
      <c r="T90" s="3">
        <f>0+(567.7-233.5)+(0+(-0.289527--0.119085))+0-32--0.0163199999999968</f>
        <v>302.04587800000007</v>
      </c>
      <c r="U90" s="3">
        <f>0+(566-232.3)+(0+(-0.57732--0.236946))+0-32--0.0326400000000051</f>
        <v>301.39226600000001</v>
      </c>
      <c r="V90" s="3">
        <f>0+(560.7-234.8)+(0+(-0.285957--0.119748))+0-32--0.0163199999999968</f>
        <v>293.75011100000006</v>
      </c>
      <c r="W90" s="3">
        <f>0+(587.8-255.7)+(0+(-0.899334--0.391221))+0-29--0.0443700000000017</f>
        <v>302.636257</v>
      </c>
      <c r="X90" s="3">
        <f>0+(562.5-234.3)+(0+(-1.434375--0.597465))+0-32--0.0815999999999954</f>
        <v>295.44468999999998</v>
      </c>
      <c r="Y90" s="3">
        <f>0+(485.6-162)+(0+(-0.495312--0.16524))+0-31--0.0316200000000049</f>
        <v>292.30154800000008</v>
      </c>
      <c r="Z90" s="3">
        <f>0+(588.2-235)+(0+(-0.299982--0.11985))+0-32--0.0163199999999968</f>
        <v>321.03618800000004</v>
      </c>
      <c r="AA90" s="3">
        <f>0+(591.8-229.4)+(0+(-0.905454--0.350982))+0-32--0.0489600000000018</f>
        <v>329.89448800000002</v>
      </c>
      <c r="AB90" s="3">
        <f>0+(543.9-201.5)+(0+(-0.554778--0.20553))+0-32--0.0326400000000051</f>
        <v>310.083392</v>
      </c>
      <c r="AC90" s="3">
        <f>0+(444.9-130)+(0+(-0.907596--0.2652))+0-32--0.0652799999999986</f>
        <v>282.32288399999993</v>
      </c>
      <c r="AD90">
        <f t="shared" si="1"/>
        <v>7105.1642910000019</v>
      </c>
      <c r="AE90" s="3">
        <f>0+(562.4-197.1)+(0+(0-0))+0-30-0</f>
        <v>335.29999999999995</v>
      </c>
    </row>
    <row r="91" spans="1:31" s="2" customFormat="1" x14ac:dyDescent="0.25">
      <c r="A91">
        <v>89</v>
      </c>
      <c r="B91">
        <v>3</v>
      </c>
      <c r="C91">
        <v>29</v>
      </c>
      <c r="D91">
        <v>1</v>
      </c>
      <c r="E91">
        <v>1</v>
      </c>
      <c r="F91" s="3">
        <f>0+(305.6-35)+(0+(-0.311712--0.0357))+0-32--0.0326400000000051</f>
        <v>238.35662800000006</v>
      </c>
      <c r="G91" s="3">
        <f>0+(292.4-30)+(0+(-0.596496--0.0612))+0-32--0.0652799999999986</f>
        <v>229.92998399999996</v>
      </c>
      <c r="H91" s="3">
        <f>0+(287.2-34.1)+(0+(-0.439416--0.052173))+0-32--0.0489600000000018</f>
        <v>220.76171699999998</v>
      </c>
      <c r="I91" s="3">
        <f>0+(276-25)+(0+(-0.84456--0.0765))+0-32--0.0979200000000037</f>
        <v>218.32986000000002</v>
      </c>
      <c r="J91" s="3">
        <f>0+(281.5-25)+(0+(0-0))+0-32-0</f>
        <v>224.5</v>
      </c>
      <c r="K91" s="3">
        <f>0+(280.7-26.5)+(0+(-0.143157--0.013515))+0-32--0.0163199999999968</f>
        <v>222.08667800000001</v>
      </c>
      <c r="L91" s="3">
        <f>0+(283.8-34.5)+(0+(-0.144738--0.017595))+0-32--0.0163199999999968</f>
        <v>217.18917700000003</v>
      </c>
      <c r="M91" s="3">
        <f>0+(356-71.7)+(0+(-0.36312--0.073134))+0-32--0.0326400000000051</f>
        <v>252.04265400000003</v>
      </c>
      <c r="N91" s="3">
        <f>0+(545.6-209.3)+(0+(0.278256-0.106743))+0-32-0.0163199999999968</f>
        <v>304.45519300000001</v>
      </c>
      <c r="O91" s="3">
        <f>0+(606.3-244)+(0+(0.309213-0.12444))+0-32-0.0163199999999968</f>
        <v>330.46845299999995</v>
      </c>
      <c r="P91" s="3">
        <f>0+(623.5-247.3)+(0+(-0.63597--0.252246))+0-32--0.0326400000000051</f>
        <v>343.84891600000003</v>
      </c>
      <c r="Q91" s="3">
        <f>0+(592.7-208.3)+(0+(0.604554-0.212466))+0-32-0.0326400000000051</f>
        <v>352.75944800000002</v>
      </c>
      <c r="R91" s="3">
        <f>0+(547.8-133.4)+(0+(-0.558756--0.136068))+0-32--0.0326400000000051</f>
        <v>382.009952</v>
      </c>
      <c r="S91" s="3">
        <f>0+(516.2-126.1)+(0+(0-0))+0-32-0</f>
        <v>358.1</v>
      </c>
      <c r="T91" s="3">
        <f>0+(500.2-108.5)+(0+(-0.255102--0.055335))+0-32--0.0163199999999968</f>
        <v>359.51655299999999</v>
      </c>
      <c r="U91" s="3">
        <f>0+(549.5-148.8)+(0+(-0.56049--0.151776))+0-32--0.0326400000000051</f>
        <v>368.32392600000003</v>
      </c>
      <c r="V91" s="3">
        <f>0+(597.6-217.1)+(0+(0.304776-0.110721))+0-32-0.0163199999999968</f>
        <v>348.67773499999998</v>
      </c>
      <c r="W91" s="3">
        <f>0+(668-306.5)+(0+(-1.36272--0.62526))+0-32--0.0652799999999986</f>
        <v>328.82781999999997</v>
      </c>
      <c r="X91" s="3">
        <f>0+(694-354.8)+(0+(-2.12364--1.085688))+0-32--0.0979200000000037</f>
        <v>306.25996799999996</v>
      </c>
      <c r="Y91" s="3">
        <f>0+(697.4-317)+(0+(-0.355674--0.16167))+0-32--0.0163199999999968</f>
        <v>348.22231599999998</v>
      </c>
      <c r="Z91" s="3">
        <f>0+(670.7-270)+(0+(0-0))+0-32-0</f>
        <v>368.70000000000005</v>
      </c>
      <c r="AA91" s="3">
        <f>0+(613.4-208.2)+(0+(0-0))+0-32-0</f>
        <v>373.2</v>
      </c>
      <c r="AB91" s="3">
        <f>0+(605.7-208.7)+(0+(-0.926721--0.319311))+0-32--0.0489600000000018</f>
        <v>364.44155000000006</v>
      </c>
      <c r="AC91" s="3">
        <f>0+(561.3-177.7)+(0+(-0.572526--0.181254))+0-32--0.0326400000000051</f>
        <v>351.24136799999997</v>
      </c>
      <c r="AD91">
        <f t="shared" si="1"/>
        <v>7412.2498960000021</v>
      </c>
      <c r="AE91" s="3">
        <f>0+(577.1-188.3)+(0+(0-0))+0-32-0</f>
        <v>356.8</v>
      </c>
    </row>
    <row r="92" spans="1:31" s="2" customFormat="1" x14ac:dyDescent="0.25">
      <c r="A92">
        <v>89</v>
      </c>
      <c r="B92">
        <v>3</v>
      </c>
      <c r="C92">
        <v>30</v>
      </c>
      <c r="D92">
        <v>2</v>
      </c>
      <c r="E92">
        <v>1</v>
      </c>
      <c r="F92" s="3">
        <f>0+(539.7-177.7)+(0+(-1.100988--0.362508))+0-32--0.0652799999999986</f>
        <v>329.32680000000005</v>
      </c>
      <c r="G92" s="3">
        <f>0+(416.9-69.2)+(0+(-0.212619--0.035292))+0-32--0.0163199999999968</f>
        <v>315.538993</v>
      </c>
      <c r="H92" s="3">
        <f>0+(336.9-0)+(0+(0.171819-0))+0-32-0.0163199999999968</f>
        <v>305.055499</v>
      </c>
      <c r="I92" s="3">
        <f>0+(338.5-2.2)+(0+(-0.517905--0.003366))+0-32--0.0489600000000018</f>
        <v>303.83442100000002</v>
      </c>
      <c r="J92" s="3">
        <f>0+(358.7-24.3)+(0+(-0.548811--0.037179))+0-32--0.0489600000000018</f>
        <v>301.93732799999998</v>
      </c>
      <c r="K92" s="3">
        <f>0+(332.8-9.5)+(0+(-0.678912--0.01938))+0-32--0.0652799999999986</f>
        <v>290.70574799999997</v>
      </c>
      <c r="L92" s="3">
        <f>0+(311.2-0)+(0+(0.158712-0))+0-32-0.0163199999999968</f>
        <v>279.34239199999996</v>
      </c>
      <c r="M92" s="3">
        <f>0+(357.9-12.3)+(0+(0-0))+0-32-0</f>
        <v>313.59999999999997</v>
      </c>
      <c r="N92" s="3">
        <f>0+(585.8-206.9)+(0+(0.597516-0.211038))+0-30-0.0306000000000048</f>
        <v>349.255878</v>
      </c>
      <c r="O92" s="3">
        <f>0+(670.1-269.9)+(0+(0.683502-0.275298))+0-32-0.0326400000000051</f>
        <v>368.57556400000004</v>
      </c>
      <c r="P92" s="3">
        <f>0+(669.7-258.6)+(0+(0.341547-0.131886))+0-31-0.0158099999999969</f>
        <v>380.29385100000002</v>
      </c>
      <c r="Q92" s="3">
        <f>0+(626.5-215.3)+(0+(0.319515-0.109803))+0-31-0.0158099999999969</f>
        <v>380.39390200000003</v>
      </c>
      <c r="R92" s="3">
        <f>0+(624.5-207.2)+(0+(0.318495-0.105672))+0-31-0.0158099999999969</f>
        <v>386.49701300000004</v>
      </c>
      <c r="S92" s="3">
        <f>0+(588.6-185.7)+(0+(0-0))+0-31-0</f>
        <v>371.90000000000003</v>
      </c>
      <c r="T92" s="3">
        <f>0+(590.8-187.2)+(0+(0.301308-0.095472))+0-31-0.0158099999999969</f>
        <v>372.79002599999995</v>
      </c>
      <c r="U92" s="3">
        <f>0+(595.1-196.6)+(0+(-0.607002--0.200532))+0-31--0.0316200000000049</f>
        <v>367.12515000000002</v>
      </c>
      <c r="V92" s="3">
        <f>0+(617.2-220.5)+(0+(-0.629544--0.22491))+0-31--0.0316200000000049</f>
        <v>365.32698600000009</v>
      </c>
      <c r="W92" s="3">
        <f>0+(660.4-270.3)+(0+(-0.673608--0.275706))+0-31--0.0316200000000049</f>
        <v>358.73371800000001</v>
      </c>
      <c r="X92" s="3">
        <f>0+(654.2-273.2)+(0+(-1.000926--0.417996))+0-31--0.0474300000000018</f>
        <v>349.4645000000001</v>
      </c>
      <c r="Y92" s="3">
        <f>0+(565.4-191.8)+(0+(-0.288354--0.097818))+0-31--0.0158099999999969</f>
        <v>342.42527399999994</v>
      </c>
      <c r="Z92" s="3">
        <f>0+(541.9-150.4)+(0+(0-0))+0-31-0</f>
        <v>360.5</v>
      </c>
      <c r="AA92" s="3">
        <f>0+(533.6-137)+(0+(-0.544272--0.13974))+0-31--0.0316200000000049</f>
        <v>365.22708800000004</v>
      </c>
      <c r="AB92" s="3">
        <f>0+(540-150.7)+(0+(-0.2754--0.076857))+0-31--0.0158099999999969</f>
        <v>358.11726700000003</v>
      </c>
      <c r="AC92" s="3">
        <f>0+(467.9-93.9)+(0+(0-0))+0-31-0</f>
        <v>343</v>
      </c>
      <c r="AD92">
        <f t="shared" si="1"/>
        <v>8258.9673979999989</v>
      </c>
      <c r="AE92" s="3">
        <f>0+(524-131)+(0+(0-0))+0-31-0</f>
        <v>362</v>
      </c>
    </row>
    <row r="93" spans="1:31" s="2" customFormat="1" x14ac:dyDescent="0.25">
      <c r="A93">
        <v>89</v>
      </c>
      <c r="B93">
        <v>3</v>
      </c>
      <c r="C93">
        <v>31</v>
      </c>
      <c r="D93">
        <v>3</v>
      </c>
      <c r="E93">
        <v>1</v>
      </c>
      <c r="F93" s="3">
        <f>0+(426-97.1)+(0+(-0.21726--0.049521))+0-12--0.00611999999999878</f>
        <v>316.738381</v>
      </c>
      <c r="G93" s="3">
        <f>0+(435.1-110.4)+(0+(0.221901-0.056304))+0-32-0.0163199999999968</f>
        <v>292.84927700000003</v>
      </c>
      <c r="H93" s="3">
        <f>0+(333.6-5.3)+(0+(0.170136-0.002703))+0-32-0.0163199999999968</f>
        <v>296.45111300000002</v>
      </c>
      <c r="I93" s="3">
        <f>0+(326.3-0)+(0+(0.332826-0))+0-32-0.0326400000000051</f>
        <v>294.60018600000001</v>
      </c>
      <c r="J93" s="3">
        <f>0+(368.6-40)+(0+(0.751944-0.0816))+0-32-0.0652799999999986</f>
        <v>297.20506400000005</v>
      </c>
      <c r="K93" s="3">
        <f>0+(362.3-42.8)+(0+(0-0))+0-32-0</f>
        <v>287.5</v>
      </c>
      <c r="L93" s="3">
        <f>0+(345.1-26.2)+(0+(-0.176001--0.013362))+0-32--0.0163199999999968</f>
        <v>286.75368100000003</v>
      </c>
      <c r="M93" s="3">
        <f>0+(387.4-43.2)+(0+(0-0))+0-34-0</f>
        <v>310.2</v>
      </c>
      <c r="N93" s="3">
        <f>0+(524.4-148.6)+(0+(0.534888-0.151572))+0-33-0.0336600000000053</f>
        <v>343.14965599999994</v>
      </c>
      <c r="O93" s="3">
        <f>0+(640-236.9)+(0+(0.6528-0.241638))+0-32-0.0326400000000051</f>
        <v>371.478522</v>
      </c>
      <c r="P93" s="3">
        <f>0+(563.9-155.7)+(0+(0-0))+0-34-0</f>
        <v>374.2</v>
      </c>
      <c r="Q93" s="3">
        <f>0+(558.2-142.3)+(0+(0-0))+0-33-0</f>
        <v>382.90000000000003</v>
      </c>
      <c r="R93" s="3">
        <f>0+(563.2-146.6)+(0+(0.287232-0.074766))+0-32-0.0163199999999968</f>
        <v>384.79614600000002</v>
      </c>
      <c r="S93" s="3">
        <f>0+(559.6-151.2)+(0+(0-0))+0-32-0</f>
        <v>376.40000000000003</v>
      </c>
      <c r="T93" s="3">
        <f>0+(510.3-102.1)+(0+(0.260253-0.052071))+0-32-0.0163199999999968</f>
        <v>376.39186200000006</v>
      </c>
      <c r="U93" s="3">
        <f>0+(497.2-106.5)+(0+(-0.253572--0.054315))+0-32--0.0163199999999968</f>
        <v>358.51706300000001</v>
      </c>
      <c r="V93" s="3">
        <f>0+(539.5-169.2)+(0+(0.55029-0.172584))+0-32-0.0326400000000051</f>
        <v>338.64506599999999</v>
      </c>
      <c r="W93" s="3">
        <f>0+(592.2-215.6)+(0+(0.302022-0.109956))+0-32-0.0163199999999968</f>
        <v>344.77574600000003</v>
      </c>
      <c r="X93" s="3">
        <f>0+(637.9-262.6)+(0+(0-0))+0-32-0</f>
        <v>343.29999999999995</v>
      </c>
      <c r="Y93" s="3">
        <f>0+(615.3-247.5)+(0+(0.627606-0.25245))+0-32-0.0326400000000051</f>
        <v>336.14251599999994</v>
      </c>
      <c r="Z93" s="3">
        <f>0+(625.2-261.5)+(0+(0-0))+0-32-0</f>
        <v>331.70000000000005</v>
      </c>
      <c r="AA93" s="3">
        <f>0+(576.5-169.4)+(0+(-0.294015--0.086394))+0-32--0.0163199999999968</f>
        <v>374.90869900000001</v>
      </c>
      <c r="AB93" s="3">
        <f>0+(554.2-157.6)+(0+(0-0))+0-32-0</f>
        <v>364.6</v>
      </c>
      <c r="AC93" s="3">
        <f>0+(557.2-179.3)+(0+(-0.852516--0.274329))+0-32--0.0489600000000018</f>
        <v>345.37077300000004</v>
      </c>
      <c r="AD93">
        <f t="shared" si="1"/>
        <v>8129.5737509999999</v>
      </c>
      <c r="AE93" s="3">
        <f>0+(560.9-133.5)+(0+(0-0))+0-32-0</f>
        <v>395.4</v>
      </c>
    </row>
    <row r="94" spans="1:31" s="2" customFormat="1" x14ac:dyDescent="0.25">
      <c r="A94">
        <v>89</v>
      </c>
      <c r="B94">
        <v>4</v>
      </c>
      <c r="C94">
        <v>1</v>
      </c>
      <c r="D94">
        <v>4</v>
      </c>
      <c r="E94">
        <v>1</v>
      </c>
      <c r="F94" s="3">
        <f>0+(534-166.3)+(0+(-1.3617--0.424065))+0-31--0.0790499999999955</f>
        <v>335.84141499999998</v>
      </c>
      <c r="G94" s="3">
        <f>0+(362.5-8.9)+(0+(-0.554625--0.013617))+0-31--0.0474300000000018</f>
        <v>322.10642200000007</v>
      </c>
      <c r="H94" s="3">
        <f>0+(343.6-0)+(0+(-0.700944-0))+0-31--0.0632399999999986</f>
        <v>311.96229600000004</v>
      </c>
      <c r="I94" s="3">
        <f>0+(338.4-0)+(0+(-0.517752-0))+0-29--0.0443700000000017</f>
        <v>308.92661800000002</v>
      </c>
      <c r="J94" s="3">
        <f>0+(337-0)+(0+(-0.17187-0))+0-31--0.0158099999999969</f>
        <v>305.84393999999998</v>
      </c>
      <c r="K94" s="3">
        <f>0+(328.7-0)+(0+(-0.670548-0))+0-31--0.0632399999999986</f>
        <v>297.092692</v>
      </c>
      <c r="L94" s="3">
        <f>0+(323.3-0)+(0+(0.164883-0))+0-32-0.0163199999999968</f>
        <v>291.44856299999998</v>
      </c>
      <c r="M94" s="3">
        <f>0+(351.3-0)+(0+(0.358326-0))+0-34-0.0346800000000054</f>
        <v>317.62364600000001</v>
      </c>
      <c r="N94" s="3">
        <f>0+(480.9-94.3)+(0+(-0.245259--0.048093))+0-31--0.0158099999999969</f>
        <v>355.41864399999997</v>
      </c>
      <c r="O94" s="3">
        <f>0+(629.9-218)+(0+(0.642498-0.22236))+0-32-0.0326400000000051</f>
        <v>380.28749799999997</v>
      </c>
      <c r="P94" s="3">
        <f>0+(679.2-252.4)+(0+(0.346392-0.128724))+0-31-0.0158099999999969</f>
        <v>396.00185800000008</v>
      </c>
      <c r="Q94" s="3">
        <f>0+(656.4-228.6)+(0+(0-0))+0-31-0</f>
        <v>396.79999999999995</v>
      </c>
      <c r="R94" s="3">
        <f>0+(632.6-193.6)+(0+(-0.322626--0.098736))+0-31--0.0158099999999969</f>
        <v>407.79192</v>
      </c>
      <c r="S94" s="3">
        <f>0+(647.4-229.5)+(0+(-0.660348--0.23409))+0-31--0.0316200000000049</f>
        <v>386.50536199999999</v>
      </c>
      <c r="T94" s="3">
        <f>0+(683.3-263.6)+(0+(0.348483-0.134436))+0-31-0.0158099999999969</f>
        <v>388.89823699999994</v>
      </c>
      <c r="U94" s="3">
        <f>0+(732.1-315.9)+(0+(1.120113-0.483327))+0-30-0.0459000000000017</f>
        <v>386.790886</v>
      </c>
      <c r="V94" s="3">
        <f>0+(803.7-394.2)+(0+(-0.819774--0.402084))+0-30--0.0306000000000048</f>
        <v>379.11291000000006</v>
      </c>
      <c r="W94" s="3">
        <f>0+(747.6-349.1)+(0+(-0.762552--0.356082))+0-32--0.0326400000000051</f>
        <v>366.12617</v>
      </c>
      <c r="X94" s="3">
        <f>0+(603.7-215.5)+(0+(-0.923661--0.329715))+0-32--0.0489600000000018</f>
        <v>355.65501400000005</v>
      </c>
      <c r="Y94" s="3">
        <f>0+(579.6-208.7)+(0+(0.295596-0.106437))+0-32-0.0163199999999968</f>
        <v>339.07283900000004</v>
      </c>
      <c r="Z94" s="3">
        <f>0+(625.4-243.1)+(0+(-0.956862--0.371943))+0-32--0.0489600000000018</f>
        <v>349.76404099999996</v>
      </c>
      <c r="AA94" s="3">
        <f>0+(670.4-272.4)+(0+(-0.341904--0.138924))+0-32--0.0163199999999968</f>
        <v>365.81333999999998</v>
      </c>
      <c r="AB94" s="3">
        <f>0+(673.5-282.6)+(0+(0-0))+0-32-0</f>
        <v>358.9</v>
      </c>
      <c r="AC94" s="3">
        <f>0+(583.3-204.2)+(0+(-0.297483--0.104142))+0-32--0.0163199999999968</f>
        <v>346.922979</v>
      </c>
      <c r="AD94">
        <f t="shared" si="1"/>
        <v>8450.7072900000003</v>
      </c>
      <c r="AE94" s="3">
        <f>0+(671.5-275.7)+(0+(0-0))+0-31-0</f>
        <v>364.8</v>
      </c>
    </row>
    <row r="95" spans="1:31" s="2" customFormat="1" x14ac:dyDescent="0.25">
      <c r="A95">
        <v>89</v>
      </c>
      <c r="B95">
        <v>4</v>
      </c>
      <c r="C95">
        <v>2</v>
      </c>
      <c r="D95">
        <v>5</v>
      </c>
      <c r="E95">
        <v>1</v>
      </c>
      <c r="F95" s="3">
        <f>0+(488.6-118.1)+(0+(0-0))+0-32-0</f>
        <v>338.5</v>
      </c>
      <c r="G95" s="3">
        <f>0+(350.3-0)+(0+(-0.357306-0))+0-32--0.0326400000000051</f>
        <v>317.97533400000003</v>
      </c>
      <c r="H95" s="3">
        <f>0+(388.2-58)+(0+(0-0))+0-32-0</f>
        <v>298.2</v>
      </c>
      <c r="I95" s="3">
        <f>0+(392.9-63)+(0+(-0.400758--0.06426))+0-32--0.0326400000000051</f>
        <v>297.59614199999999</v>
      </c>
      <c r="J95" s="3">
        <f>0+(373.9-45)+(0+(-0.190689--0.02295))+0-31--0.0158099999999969</f>
        <v>297.74807099999998</v>
      </c>
      <c r="K95" s="3">
        <f>0+(349.8-29)+(0+(-0.356796--0.02958))+0-32--0.0326400000000051</f>
        <v>288.505424</v>
      </c>
      <c r="L95" s="3">
        <f>0+(359.8-41.9)+(0+(-0.183498--0.021369))+0-33--0.0168299999999967</f>
        <v>284.75470100000001</v>
      </c>
      <c r="M95" s="3">
        <f>0+(394.1-50.7)+(0+(-0.200991--0.025857))+0-35--0.0178499999999964</f>
        <v>308.24271600000003</v>
      </c>
      <c r="N95" s="3">
        <f>0+(468.5-100.5)+(0+(0-0))+0-34-0</f>
        <v>334</v>
      </c>
      <c r="O95" s="3">
        <f>0+(539.8-155.2)+(0+(-0.825894--0.237456))+0-32--0.0489600000000018</f>
        <v>352.06052199999999</v>
      </c>
      <c r="P95" s="3">
        <f>0+(544.4-152.1)+(0+(0.277644-0.077571))+0-32-0.0163199999999968</f>
        <v>360.48375299999992</v>
      </c>
      <c r="Q95" s="3">
        <f>0+(487.8-93)+(0+(-0.248778--0.04743))+0-32--0.0163199999999968</f>
        <v>362.61497200000002</v>
      </c>
      <c r="R95" s="3">
        <f>+(465.8-62.5)+(+(0.237558-0.031875))+0-32-0.0163199999999968</f>
        <v>371.48936300000003</v>
      </c>
      <c r="S95" s="3">
        <f>0+(522.3-124.6)+(0+(-0.266373--0.063546))+0-32--0.0163199999999968</f>
        <v>365.51349299999993</v>
      </c>
      <c r="T95" s="3">
        <f>+(527.5-158.9)+(+(0.53805-0.162078))+0-32-0.0326400000000051</f>
        <v>336.943332</v>
      </c>
      <c r="U95" s="3">
        <f>+(586-175.2)+(+(0.29886-0.089352))+0-32-0.0163199999999968</f>
        <v>378.99318800000003</v>
      </c>
      <c r="V95" s="3">
        <f>+(532.6-134.8)+(+(0-0))+0-32-0</f>
        <v>365.8</v>
      </c>
      <c r="W95" s="3">
        <f>+(525-138)+(+(-0.26775--0.07038))+0-32--0.0163199999999968</f>
        <v>354.81895000000003</v>
      </c>
      <c r="X95" s="3">
        <f>+(563.2-180.5)+(+(-0.861696--0.276165))+0-32--0.0489600000000018</f>
        <v>350.16342900000006</v>
      </c>
      <c r="Y95" s="3">
        <f>+(540.2-163.2)+(+(-0.551004--0.166464))+0-31--0.0316200000000049</f>
        <v>345.64708000000007</v>
      </c>
      <c r="Z95" s="3">
        <f>+(544.2-147.9)+(+(0-0))+0-32-0</f>
        <v>364.30000000000007</v>
      </c>
      <c r="AA95" s="3">
        <f>+(575.6-165.1)+(+(-0.880668--0.252603))+0-32--0.0489600000000018</f>
        <v>377.92089500000003</v>
      </c>
      <c r="AB95" s="3">
        <f>+(523.5-124.9)+(+(-0.53397--0.127398))+0-29--0.0295800000000046</f>
        <v>369.22300800000005</v>
      </c>
      <c r="AC95" s="3">
        <f>+(522.9-139.7)+(+(-0.266679--0.071247))+0-31--0.0158099999999969</f>
        <v>352.02037799999999</v>
      </c>
      <c r="AD95">
        <f t="shared" si="1"/>
        <v>8173.5147510000006</v>
      </c>
      <c r="AE95" s="3">
        <f>0+(550.2-153.4)+(0+(0-0))+0-32-0</f>
        <v>364.80000000000007</v>
      </c>
    </row>
    <row r="96" spans="1:31" s="2" customFormat="1" x14ac:dyDescent="0.25">
      <c r="A96">
        <v>89</v>
      </c>
      <c r="B96">
        <v>4</v>
      </c>
      <c r="C96">
        <v>3</v>
      </c>
      <c r="D96">
        <v>6</v>
      </c>
      <c r="E96">
        <v>1</v>
      </c>
      <c r="F96" s="3">
        <f>0+(459-90.6)+(0+(-0.93636--0.184824))+0-31--0.0632399999999986</f>
        <v>336.711704</v>
      </c>
      <c r="G96" s="3">
        <f>0+(420.5-61.2)+(0+(-1.072275--0.15606))+0-31--0.0790499999999955</f>
        <v>327.46283499999998</v>
      </c>
      <c r="H96" s="3">
        <f>0+(463.9-116.8)+(0+(-0.236589--0.059568))+0-31--0.0158099999999969</f>
        <v>315.93878899999993</v>
      </c>
      <c r="I96" s="3">
        <f>0+(434.5-90.5)+(0+(-0.44319--0.09231))+0-32--0.0326400000000051</f>
        <v>311.68176</v>
      </c>
      <c r="J96" s="3">
        <f>0+(404.2-57.5)+(0+(-0.206142--0.029325))+0-32--0.0163199999999968</f>
        <v>314.53950299999997</v>
      </c>
      <c r="K96" s="3">
        <f>0+(467-133.1)+(0+(-0.71451--0.203643))+0-32--0.0489600000000018</f>
        <v>301.43809299999998</v>
      </c>
      <c r="L96" s="3">
        <f>0+(390.5-65.1)+(0+(0-0))+0-32-0</f>
        <v>293.39999999999998</v>
      </c>
      <c r="M96" s="3">
        <f>0+(384.2-38.7)+(0+(-0.195942--0.019737))+0-32--0.0163199999999968</f>
        <v>313.34011500000003</v>
      </c>
      <c r="N96" s="3">
        <f>0+(587.6-209.1)+(0+(0-0))+0-32-0</f>
        <v>346.5</v>
      </c>
      <c r="O96" s="3">
        <f>0+(624.5-228.5)+(0+(0.318495-0.116535))+0-32-0.0163199999999968</f>
        <v>364.18563999999998</v>
      </c>
      <c r="P96" s="3">
        <f>0+(614-210.1)+(0+(0.62628-0.214302))+0-32-0.0326400000000051</f>
        <v>372.27933799999994</v>
      </c>
      <c r="Q96" s="3">
        <f>0+(591.6-189.3)+(0+(0.905148-0.289629))+0-32-0.0489600000000018</f>
        <v>370.866559</v>
      </c>
      <c r="R96" s="3">
        <f>0+(562-143.7)+(0+(0.28662-0.073287))+0-32-0.0163199999999968</f>
        <v>386.49701299999998</v>
      </c>
      <c r="S96" s="3">
        <f>0+(485.5-96.6)+(0+(0.49521-0.098532))+0-32-0.0326400000000051</f>
        <v>357.26403799999997</v>
      </c>
      <c r="T96" s="3">
        <f>0+(449.3-66.5)+(0+(-0.687429--0.101745))+0-32--0.0489600000000018</f>
        <v>350.26327600000002</v>
      </c>
      <c r="U96" s="3">
        <f>0+(420.5-50.7)+(0+(-0.214455--0.025857))+0-32--0.0163199999999968</f>
        <v>337.62772200000001</v>
      </c>
      <c r="V96" s="3">
        <f>0+(425-51.1)+(0+(-0.867--0.104244))+0-32--0.0652799999999986</f>
        <v>341.20252399999993</v>
      </c>
      <c r="W96" s="3">
        <f>0+(465-98)+(0+(-0.9486--0.19992))+0-32--0.0652799999999986</f>
        <v>334.31659999999999</v>
      </c>
      <c r="X96" s="3">
        <f>0+(525.6-165.4)+(0+(-0.804168--0.253062))+0-32--0.0489600000000018</f>
        <v>327.69785400000006</v>
      </c>
      <c r="Y96" s="3">
        <f>0+(473.8-120.1)+(0+(-0.241638--0.061251))+0-32--0.0163199999999968</f>
        <v>321.53593300000006</v>
      </c>
      <c r="Z96" s="3">
        <f>0+(485.1-99.3)+(0+(-0.247401--0.050643))+0-32--0.0163199999999968</f>
        <v>353.61956200000003</v>
      </c>
      <c r="AA96" s="3">
        <f>0+(533.3-137.5)+(0+(-1.087932--0.2805))+0-32--0.0652799999999986</f>
        <v>363.05784799999992</v>
      </c>
      <c r="AB96" s="3">
        <f>0+(558.1-165.7)+(0+(-0.284631--0.084507))+0-32--0.0163199999999968</f>
        <v>360.21619600000002</v>
      </c>
      <c r="AC96" s="3">
        <f>0+(481.7-99.8)+(0+(0.245667-0.050898))+0-32-0.0163199999999968</f>
        <v>350.07844899999998</v>
      </c>
      <c r="AD96">
        <f t="shared" si="1"/>
        <v>8151.7213510000001</v>
      </c>
      <c r="AE96" s="3">
        <f>0+(516.4-122.2)+(0+(0-0))+0-30-0</f>
        <v>364.2</v>
      </c>
    </row>
    <row r="97" spans="1:31" s="2" customFormat="1" x14ac:dyDescent="0.25">
      <c r="A97">
        <v>89</v>
      </c>
      <c r="B97">
        <v>4</v>
      </c>
      <c r="C97">
        <v>4</v>
      </c>
      <c r="D97">
        <v>7</v>
      </c>
      <c r="E97">
        <v>1</v>
      </c>
      <c r="F97" s="3">
        <f>0+(433.3-60.6)+(0+(0.220983-0.030906))+0-32-0.0163199999999968</f>
        <v>340.87375699999996</v>
      </c>
      <c r="G97" s="3">
        <f>0+(364.1-11.4)+(0+(-0.185691--0.005814))+0-32--0.0163199999999968</f>
        <v>320.53644300000008</v>
      </c>
      <c r="H97" s="3">
        <f>0+(375.4-37.7)+(0+(-0.382908--0.038454))+0-32--0.0326400000000051</f>
        <v>305.38818600000002</v>
      </c>
      <c r="I97" s="3">
        <f>0+(407.9-74)+(0+(0.208029-0.03774))+0-32-0.0163199999999968</f>
        <v>302.053969</v>
      </c>
      <c r="J97" s="3">
        <f>0+(402.3-72.8)+(0+(-0.410346--0.074256))+0-32--0.0326400000000051</f>
        <v>297.19655</v>
      </c>
      <c r="K97" s="3">
        <f>0+(351.4-33.5)+(0+(-0.537642--0.051255))+0-32--0.0489600000000018</f>
        <v>285.46257300000002</v>
      </c>
      <c r="L97" s="3">
        <f>0+(296.2-1.7)+(0+(-0.302124--0.001734))+0-32--0.0326400000000051</f>
        <v>262.23225000000002</v>
      </c>
      <c r="M97" s="3">
        <f>0+(298.7-0)+(0+(-0.609348-0))+0-32--0.0652799999999986</f>
        <v>266.15593199999995</v>
      </c>
      <c r="N97" s="3">
        <f>0+(376.5-59.5)+(0+(-0.192015--0.030345))+0-32--0.0163199999999968</f>
        <v>284.85464999999999</v>
      </c>
      <c r="O97" s="3">
        <f>0+(332.8-8.2)+(0+(0.169728-0.004182))+0-32-0.0163199999999968</f>
        <v>292.74922600000002</v>
      </c>
      <c r="P97" s="3">
        <f>0+(387.1-52)+(0+(-0.987105--0.1326))+0-32--0.0815999999999954</f>
        <v>302.32709499999999</v>
      </c>
      <c r="Q97" s="3">
        <f>0+(465.4-128.7)+(0+(0.237354-0.065637))+0-32-0.0163199999999968</f>
        <v>304.85539699999998</v>
      </c>
      <c r="R97" s="3">
        <f>0+(431.2-88.5)+(0+(-0.219912--0.045135))+0-32--0.0163199999999968</f>
        <v>310.54154299999999</v>
      </c>
      <c r="S97" s="3">
        <f>0+(382.6-45.8)+(0+(0-0))+0-31-0</f>
        <v>305.8</v>
      </c>
      <c r="T97" s="3">
        <f>0+(396.5-59.5)+(0+(-0.606645--0.091035))+0-31--0.0474300000000018</f>
        <v>305.53182000000004</v>
      </c>
      <c r="U97" s="3">
        <f>0+(422.6-90.2)+(0+(0.646578-0.138006))+0-31-0.0474300000000018</f>
        <v>301.86114200000003</v>
      </c>
      <c r="V97" s="3">
        <f>0+(437.2-107.7)+(0+(-0.445944--0.109854))+0-32--0.0326400000000051</f>
        <v>297.19655</v>
      </c>
      <c r="W97" s="3">
        <f>0+(462.6-138.8)+(0+(-0.943704--0.283152))+0-32--0.0652799999999986</f>
        <v>291.20472799999999</v>
      </c>
      <c r="X97" s="3">
        <f>0+(476.8-159.5)+(0+(-0.243168--0.081345))+0-32--0.0163199999999968</f>
        <v>285.15449699999999</v>
      </c>
      <c r="Y97" s="3">
        <f>0+(405.3-87.9)+(0+(-0.413406--0.089658))+0-32--0.0326400000000051</f>
        <v>285.10889199999997</v>
      </c>
      <c r="Z97" s="3">
        <f>0+(407.7-64.8)+(0+(-0.415854--0.066096))+0-32--0.0326400000000051</f>
        <v>310.58288199999998</v>
      </c>
      <c r="AA97" s="3">
        <f>0+(442.6-82.9)+(0+(-0.677178--0.126837))+0-32--0.0489600000000018</f>
        <v>327.19861900000006</v>
      </c>
      <c r="AB97" s="3">
        <f>0+(448.8-95.2)+(0+(-0.457776--0.097104))+0-32--0.0326400000000051</f>
        <v>321.27196800000002</v>
      </c>
      <c r="AC97" s="3">
        <f>0+(356-12.9)+(0+(-0.36312--0.013158))+0-32--0.0326400000000051</f>
        <v>310.78267800000003</v>
      </c>
      <c r="AD97">
        <f t="shared" si="1"/>
        <v>7216.9213469999995</v>
      </c>
      <c r="AE97" s="3">
        <f>0+(437.2-79.8)+(0+(0-0))+0-32-0</f>
        <v>325.39999999999998</v>
      </c>
    </row>
    <row r="98" spans="1:31" s="2" customFormat="1" x14ac:dyDescent="0.25">
      <c r="A98">
        <v>89</v>
      </c>
      <c r="B98">
        <v>4</v>
      </c>
      <c r="C98">
        <v>5</v>
      </c>
      <c r="D98">
        <v>1</v>
      </c>
      <c r="E98">
        <v>3</v>
      </c>
      <c r="F98" s="3">
        <f>0+(374.8-35.9)+(0+(-0.573444--0.054927))+0-32--0.0489600000000018</f>
        <v>306.43044300000008</v>
      </c>
      <c r="G98" s="3">
        <f>0+(342.2-19.7)+(0+(-0.698088--0.040188))+0-30--0.0611999999999987</f>
        <v>291.9033</v>
      </c>
      <c r="H98" s="3">
        <f>0+(342.6-28.9)+(0+(-0.174726--0.014739))+0-32--0.0163199999999968</f>
        <v>281.55633300000005</v>
      </c>
      <c r="I98" s="3">
        <f>0+(336.9-24.9)+(0+(-0.515457--0.038097))+0-32--0.0489600000000018</f>
        <v>279.57160000000005</v>
      </c>
      <c r="J98" s="3">
        <f>0+(308.9-0)+(0+(-0.315078-0))+0-32--0.0326400000000051</f>
        <v>276.61756199999996</v>
      </c>
      <c r="K98" s="3">
        <f>0+(300-0)+(0+(-1.071-0))+0-32--0.11424</f>
        <v>267.04323999999997</v>
      </c>
      <c r="L98" s="3">
        <f>0+(293.5-9.1)+(0+(-0.29937--0.009282))+0-32--0.0326400000000051</f>
        <v>252.14255199999997</v>
      </c>
      <c r="M98" s="3">
        <f>0+(287.6-0)+(0+(-0.586704-0))+0-32--0.0652799999999986</f>
        <v>255.07857600000003</v>
      </c>
      <c r="N98" s="3">
        <f>0+(301.5-0)+(0+(-0.30753-0))+0-32--0.0326400000000051</f>
        <v>269.22511000000003</v>
      </c>
      <c r="O98" s="3">
        <f>0+(334.9-13.5)+(0+(-0.341598--0.01377))+0-32--0.0326400000000051</f>
        <v>289.10481199999998</v>
      </c>
      <c r="P98" s="3">
        <f>0+(405.1-69.9)+(0+(-0.619803--0.106947))+0-32--0.0489600000000018</f>
        <v>302.73610400000007</v>
      </c>
      <c r="Q98" s="3">
        <f>0+(373.7-27.8)+(0+(-0.381174--0.028356))+0-32--0.0326400000000051</f>
        <v>313.57982199999998</v>
      </c>
      <c r="R98" s="3">
        <f>0+(403.6-60.2)+(0+(-0.411672--0.061404))+0-32--0.0326400000000051</f>
        <v>311.08237200000002</v>
      </c>
      <c r="S98" s="3">
        <f>0+(374.4-29.9)+(0+(-0.572832--0.045747))+0-32--0.0489600000000018</f>
        <v>312.02187500000002</v>
      </c>
      <c r="T98" s="3">
        <f>0+(349.8-4.6)+(0+(0-0))+0-32-0</f>
        <v>313.2</v>
      </c>
      <c r="U98" s="3">
        <f>0+(364.3-23.4)+(0+(-0.185793--0.011934))+0-32--0.0163199999999968</f>
        <v>308.74246100000005</v>
      </c>
      <c r="V98" s="3">
        <f>0+(392.8-49.6)+(0+(-1.00164--0.12648))+0-32--0.0815999999999954</f>
        <v>310.40643999999998</v>
      </c>
      <c r="W98" s="3">
        <f>0+(438.4-97.2)+(0+(-0.670752--0.148716))+0-32--0.0489600000000018</f>
        <v>308.726924</v>
      </c>
      <c r="X98" s="3">
        <f>0+(359.8-23.2)+(0+(-0.550494--0.035496))+0-30--0.0459000000000017</f>
        <v>306.13090200000005</v>
      </c>
      <c r="Y98" s="3">
        <f>0+(383.7-47.3)+(0+(0-0))+0-31-0</f>
        <v>305.39999999999998</v>
      </c>
      <c r="Z98" s="3">
        <f>0+(413.6-54.6)+(0+(0-0))+0-33-0</f>
        <v>326</v>
      </c>
      <c r="AA98" s="3">
        <f>0+(446.5-68.6)+(0+(-0.45543--0.069972))+0-32--0.0326400000000051</f>
        <v>345.54718199999996</v>
      </c>
      <c r="AB98" s="3">
        <f>0+(443.7-73)+(0+(0-0))+0-28-0</f>
        <v>342.7</v>
      </c>
      <c r="AC98" s="3">
        <f>0+(432.4-71.1)+(0+(0.441048-0.072522))+0-31-0.0316200000000049</f>
        <v>330.6369059999999</v>
      </c>
      <c r="AD98">
        <f t="shared" si="1"/>
        <v>7205.5845159999981</v>
      </c>
      <c r="AE98" s="3">
        <f>0+(439.9-68.6)+(0+(0-0))+0-32-0</f>
        <v>339.29999999999995</v>
      </c>
    </row>
    <row r="99" spans="1:31" s="2" customFormat="1" x14ac:dyDescent="0.25">
      <c r="A99">
        <v>89</v>
      </c>
      <c r="B99">
        <v>4</v>
      </c>
      <c r="C99">
        <v>6</v>
      </c>
      <c r="D99">
        <v>2</v>
      </c>
      <c r="E99">
        <v>1</v>
      </c>
      <c r="F99" s="3">
        <f>0+(398.2-44.5)+(0+(0-0))+0-31-0</f>
        <v>322.7</v>
      </c>
      <c r="G99" s="3">
        <f>0+(376.8-36.6)+(0+(-0.576504--0.055998))+0-32--0.0489600000000018</f>
        <v>307.728454</v>
      </c>
      <c r="H99" s="3">
        <f>0+(343.7-16.3)+(0+(-0.876435--0.041565))+0-32--0.0815999999999954</f>
        <v>294.64672999999993</v>
      </c>
      <c r="I99" s="3">
        <f>0+(334.6-8.8)+(0+(-0.85323--0.02244))+0-33--0.0841499999999952</f>
        <v>292.05336000000005</v>
      </c>
      <c r="J99" s="3">
        <f>0+(367.5-45.1)+(0+(-0.187425--0.023001))+0-32--0.0163199999999968</f>
        <v>290.25189599999999</v>
      </c>
      <c r="K99" s="3">
        <f>0+(391.8-82.9)+(0+(-0.799272--0.169116))+0-32--0.0652799999999986</f>
        <v>276.33512399999995</v>
      </c>
      <c r="L99" s="3">
        <f>0+(354-51.3)+(0+(-0.18054--0.026163))+0-32--0.0163199999999968</f>
        <v>270.56194299999999</v>
      </c>
      <c r="M99" s="3">
        <f>0+(325.3-0)+(0+(0.165903-0))+0-32-0.0163199999999968</f>
        <v>293.44958300000002</v>
      </c>
      <c r="N99" s="3">
        <f>0+(370-1.8)+(0+(-0.3774--0.001836))+0-32--0.0326400000000051</f>
        <v>335.85707600000001</v>
      </c>
      <c r="O99" s="3">
        <f>0+(494.6-104.7)+(0+(0.252246-0.053397))+0-32-0.0163199999999968</f>
        <v>358.08252900000002</v>
      </c>
      <c r="P99" s="3">
        <f>0+(579.8-176.2)+(0+(0-0))+0-32-0</f>
        <v>371.59999999999997</v>
      </c>
      <c r="Q99" s="3">
        <f>0+(496.1-87.2)+(0+(0.506022-0.088944))+0-32-0.0326400000000051</f>
        <v>377.28443800000002</v>
      </c>
      <c r="R99" s="3">
        <f>0+(459.7-43.2)+(0+(0-0))+0-32-0</f>
        <v>384.5</v>
      </c>
      <c r="S99" s="3">
        <f>0+(431-29.1)+(0+(-0.21981--0.014841))+0-32--0.0163199999999968</f>
        <v>369.71135099999998</v>
      </c>
      <c r="T99" s="3">
        <f>0+(480.8-78.9)+(0+(0-0))+0-32-0</f>
        <v>369.9</v>
      </c>
      <c r="U99" s="3">
        <f>0+(496-101.4)+(0+(-0.50592--0.103428))+0-32--0.0326400000000051</f>
        <v>362.23014800000004</v>
      </c>
      <c r="V99" s="3">
        <f>0+(532.1-136.3)+(0+(0-0))+0-32-0</f>
        <v>363.8</v>
      </c>
      <c r="W99" s="3">
        <f>0+(559.7-165.7)+(0+(-0.570894--0.169014))+0-32--0.0326400000000051</f>
        <v>361.63076000000007</v>
      </c>
      <c r="X99" s="3">
        <f>0+(585-203.6)+(0+(-1.1934--0.415344))+0-32--0.0652799999999986</f>
        <v>348.68722399999996</v>
      </c>
      <c r="Y99" s="3">
        <f>0+(549.4-176.6)+(0+(-0.280194--0.090066))+0-32--0.0163199999999968</f>
        <v>340.62619199999995</v>
      </c>
      <c r="Z99" s="3">
        <f>0+(617.7-231.1)+(0+(-0.315027--0.117861))+0-32--0.0163199999999968</f>
        <v>354.41915400000005</v>
      </c>
      <c r="AA99" s="3">
        <f>0+(614-215.3)+(0+(0-0))+0-32-0</f>
        <v>366.7</v>
      </c>
      <c r="AB99" s="3">
        <f>0+(604.1-210.3)+(0+(-0.308091--0.107253))+0-32--0.0163199999999968</f>
        <v>361.61548200000004</v>
      </c>
      <c r="AC99" s="3">
        <f>0+(577.8-195.3)+(0+(-0.294678--0.099603))+0-32--0.0163199999999968</f>
        <v>350.32124499999998</v>
      </c>
      <c r="AD99">
        <f t="shared" si="1"/>
        <v>8124.6926889999995</v>
      </c>
      <c r="AE99" s="3">
        <f>0+(594.9-194.6)+(0+(0-0))+0-31-0</f>
        <v>369.29999999999995</v>
      </c>
    </row>
    <row r="100" spans="1:31" s="2" customFormat="1" x14ac:dyDescent="0.25">
      <c r="A100">
        <v>89</v>
      </c>
      <c r="B100">
        <v>4</v>
      </c>
      <c r="C100">
        <v>7</v>
      </c>
      <c r="D100">
        <v>3</v>
      </c>
      <c r="E100">
        <v>1</v>
      </c>
      <c r="F100" s="3">
        <f>0+(515.1-151.2)+(0+(-0.525402--0.154224))+0-32--0.0326400000000051</f>
        <v>331.56146200000006</v>
      </c>
      <c r="G100" s="3">
        <f>0+(367.8-20.4)+(0+(-0.187578--0.010404))+0-32--0.0163199999999968</f>
        <v>315.23914600000006</v>
      </c>
      <c r="H100" s="3">
        <f>0+(353.6-13.9)+(0+(-0.541008--0.021267))+0-32--0.0489600000000018</f>
        <v>307.22921900000006</v>
      </c>
      <c r="I100" s="3">
        <f>0+(340.6-2.6)+(0+(-0.347412--0.002652))+0-32--0.0326400000000051</f>
        <v>305.68788000000001</v>
      </c>
      <c r="J100" s="3">
        <f>0+(335.7-0)+(0+(-0.856035-0))+0-32--0.0815999999999954</f>
        <v>302.92556499999995</v>
      </c>
      <c r="K100" s="3">
        <f>0+(329.1-0)+(0+(-0.671364-0))+0-32--0.0652799999999986</f>
        <v>296.49391600000001</v>
      </c>
      <c r="L100" s="3">
        <f>0+(320.1-0)+(0+(-0.653004-0))+0-33--0.0673199999999986</f>
        <v>286.51431600000001</v>
      </c>
      <c r="M100" s="3">
        <f>0+(347.9-0)+(0+(-0.177429-0))+0-34--0.0173399999999966</f>
        <v>313.73991099999995</v>
      </c>
      <c r="N100" s="3">
        <f>0+(413.8-34.4)+(0+(0-0))+0-33-0</f>
        <v>346.40000000000003</v>
      </c>
      <c r="O100" s="3">
        <f>0+(554.4-148.8)+(0+(-0.565488--0.151776))+0-34--0.0346800000000054</f>
        <v>371.22096799999997</v>
      </c>
      <c r="P100" s="3">
        <f>0+(632.7-212.9)+(0+(-0.968031--0.325737))+0-32--0.0489600000000018</f>
        <v>387.2066660000001</v>
      </c>
      <c r="Q100" s="3">
        <f>0+(668.7-239.5)+(0+(-0.341037--0.122145))+0-32--0.0163199999999968</f>
        <v>396.99742800000007</v>
      </c>
      <c r="R100" s="3">
        <f>0+(571-150.8)+(0+(0-0))+0-32-0</f>
        <v>388.2</v>
      </c>
      <c r="S100" s="3">
        <f>0+(529.2-123.5)+(0+(0-0))+0-32-0</f>
        <v>373.70000000000005</v>
      </c>
      <c r="T100" s="3">
        <f>0+(533.9-121.3)+(0+(-0.544578--0.123726))+0-32--0.0326400000000051</f>
        <v>380.21178799999996</v>
      </c>
      <c r="U100" s="3">
        <f>0+(504.3-97.6)+(0+(0.771579-0.149328))+0-32-0.0489600000000018</f>
        <v>375.27329100000003</v>
      </c>
      <c r="V100" s="3">
        <f>0+(497.8-96.6)+(0+(0.253878-0.049266))+0-32-0.0163199999999968</f>
        <v>369.38829200000004</v>
      </c>
      <c r="W100" s="3">
        <f>0+(525.7-135)+(0+(-0.536214--0.1377))+0-32--0.0326400000000051</f>
        <v>358.33412600000008</v>
      </c>
      <c r="X100" s="3">
        <f>0+(620.7-239.7)+(0+(-1.582785--0.611235))+0-32--0.0815999999999954</f>
        <v>348.11005000000006</v>
      </c>
      <c r="Y100" s="3">
        <f>0+(608.3-234.5)+(0+(-0.620466--0.23919))+0-32--0.0326400000000051</f>
        <v>341.45136399999996</v>
      </c>
      <c r="Z100" s="3">
        <f>0+(603.5-211.8)+(0+(-0.307785--0.108018))+0-32--0.0163199999999968</f>
        <v>359.51655299999999</v>
      </c>
      <c r="AA100" s="3">
        <f>0+(583.4-175.1)+(0+(-0.892602--0.267903))+0-32--0.0489600000000018</f>
        <v>375.72426099999996</v>
      </c>
      <c r="AB100" s="3">
        <f>0+(589.6-187.2)+(0+(-1.202784--0.381888))+0-32--0.0652799999999986</f>
        <v>369.644384</v>
      </c>
      <c r="AC100" s="3">
        <f>0+(576.5-187.2)+(0+(-1.17606--0.381888))+0-32--0.0652799999999986</f>
        <v>356.57110799999998</v>
      </c>
      <c r="AD100">
        <f t="shared" si="1"/>
        <v>8357.3416940000006</v>
      </c>
      <c r="AE100" s="3">
        <f>0+(596.2-188.3)+(0+(0-0))+0-32-0</f>
        <v>375.90000000000003</v>
      </c>
    </row>
    <row r="101" spans="1:31" s="2" customFormat="1" x14ac:dyDescent="0.25">
      <c r="A101">
        <v>89</v>
      </c>
      <c r="B101">
        <v>4</v>
      </c>
      <c r="C101">
        <v>8</v>
      </c>
      <c r="D101">
        <v>4</v>
      </c>
      <c r="E101">
        <v>1</v>
      </c>
      <c r="F101" s="3">
        <f>0+(537.8-167.9)+(0+(-1.37139--0.428145))+0-32--0.0815999999999954</f>
        <v>337.03835499999997</v>
      </c>
      <c r="G101" s="3">
        <f>0+(451.4-101.3)+(0+(-0.230214--0.051663))+0-32--0.0163199999999968</f>
        <v>317.93776899999995</v>
      </c>
      <c r="H101" s="3">
        <f>0+(414.5-69.9)+(0+(-0.42279--0.071298))+0-31--0.0316200000000049</f>
        <v>313.28012800000005</v>
      </c>
      <c r="I101" s="3">
        <f>0+(341.2-5.5)+(0+(-0.87006--0.014025))+0-32--0.0815999999999954</f>
        <v>302.92556499999995</v>
      </c>
      <c r="J101" s="3">
        <f>0+(353.3-18.5)+(0+(-0.720732--0.03774))+0-32--0.0652799999999986</f>
        <v>302.18228799999997</v>
      </c>
      <c r="K101" s="3">
        <f>0+(393.6-66.3)+(0+(-1.00368--0.169065))+0-32--0.0815999999999954</f>
        <v>294.54698500000001</v>
      </c>
      <c r="L101" s="3">
        <f>0+(310.6-0)+(0+(-0.475218-0))+0-33--0.0504900000000019</f>
        <v>277.17527200000006</v>
      </c>
      <c r="M101" s="3">
        <f>0+(343.1-0)+(0+(0-0))+0-35-0</f>
        <v>308.10000000000002</v>
      </c>
      <c r="N101" s="3">
        <f>0+(548.2-166.9)+(0+(-0.838746--0.255357))+0-32--0.0489600000000018</f>
        <v>348.76557100000008</v>
      </c>
      <c r="O101" s="3">
        <f>0+(658.6-256.8)+(0+(0.335886-0.130968))+0-34-0.0173399999999966</f>
        <v>367.98757800000004</v>
      </c>
      <c r="P101" s="3">
        <f>0+(613.4-227.2)+(0+(0.312834-0.115872))+0-28-0.0142799999999972</f>
        <v>358.38268199999999</v>
      </c>
      <c r="Q101" s="3">
        <f>0+(621.6-199.8)+(0+(0.634032-0.203796))+0-31-0.0316200000000049</f>
        <v>391.19861599999996</v>
      </c>
      <c r="R101" s="3">
        <f>0+(566.3-150.6)+(0+(0.288813-0.076806))+0-17-0.00866999999999828</f>
        <v>398.90333699999996</v>
      </c>
      <c r="S101" s="3">
        <f>0+(494.2-102.4)+(0+(-0.252042--0.052224))+0-12--0.00611999999999878</f>
        <v>379.60630199999997</v>
      </c>
      <c r="T101" s="3">
        <f>0+(469.6-91.8)+(0+(0.478992-0.093636))+0-11-0.0112200000000018</f>
        <v>367.17413600000003</v>
      </c>
      <c r="U101" s="3">
        <f>0+(474.7-101.9)+(0+(-0.484194--0.103938))+0-11--0.0112200000000018</f>
        <v>361.43096399999996</v>
      </c>
      <c r="V101" s="3">
        <f>0+(485.8-121.2)+(0+(0-0))+0-1-0</f>
        <v>363.6</v>
      </c>
      <c r="W101" s="3">
        <f>0+(515-161)+(0+(-1.0506--0.32844))+0-4--0.00815999999999983</f>
        <v>349.286</v>
      </c>
      <c r="X101" s="3">
        <f>0+(602.2-265.4)+(0+(-1.228488--0.541416))+0-4--0.00815999999999983</f>
        <v>332.12108800000004</v>
      </c>
      <c r="Y101" s="3">
        <f>0+(610-279.6)+(0+(-0.3111--0.142596))+0-5--0.00254999999999949</f>
        <v>325.23404599999998</v>
      </c>
      <c r="Z101" s="3">
        <f>0+(555.9-209.4)+(0+(0.283509-0.106794))+0-5-0.00254999999999949</f>
        <v>341.67416500000002</v>
      </c>
      <c r="AA101" s="3">
        <f>0+(566.6-179.6)+(0+(-0.577932--0.183192))+0-6--0.00612000000000096</f>
        <v>380.61138</v>
      </c>
      <c r="AB101" s="3">
        <f>0+(543.8-175.2)+(0+(0.277338-0.089352))+0-6-0.00305999999999939</f>
        <v>362.78492599999998</v>
      </c>
      <c r="AC101" s="3">
        <f>0+(477.6-120.4)+(0+(-0.243576--0.061404))+0-7--0.00356999999999929</f>
        <v>350.02139800000009</v>
      </c>
      <c r="AD101">
        <f t="shared" si="1"/>
        <v>8231.9685510000018</v>
      </c>
      <c r="AE101" s="3">
        <f>0+(554-175.8)+(0+(0-0))+0-5-0</f>
        <v>373.2</v>
      </c>
    </row>
    <row r="102" spans="1:31" s="2" customFormat="1" x14ac:dyDescent="0.25">
      <c r="A102">
        <v>89</v>
      </c>
      <c r="B102">
        <v>4</v>
      </c>
      <c r="C102">
        <v>9</v>
      </c>
      <c r="D102">
        <v>5</v>
      </c>
      <c r="E102">
        <v>1</v>
      </c>
      <c r="F102" s="3">
        <f>0+(502.7-156)+(0+(-1.538262--0.47736))+0-7--0.0214200000000008</f>
        <v>338.66051799999997</v>
      </c>
      <c r="G102" s="3">
        <f>0+(443.6-115.2)+(0+(0.226236-0.058752))+0-9-0.00458999999999909</f>
        <v>319.56289400000003</v>
      </c>
      <c r="H102" s="3">
        <f>0+(398-79.4)+(0+(-0.81192--0.161976))+0-10--0.0203999999999996</f>
        <v>307.97045600000001</v>
      </c>
      <c r="I102" s="3">
        <f>0+(394.8-80.3)+(0+(-0.402696--0.081906))+0-12--0.0122400000000019</f>
        <v>302.19145000000003</v>
      </c>
      <c r="J102" s="3">
        <f>0+(365.5-50)+(0+(-0.186405--0.0255))+0-13--0.00662999999999868</f>
        <v>302.34572499999996</v>
      </c>
      <c r="K102" s="3">
        <f>0+(376.9-69.4)+(0+(-0.768876--0.141576))+0-14--0.0285599999999994</f>
        <v>292.90126000000004</v>
      </c>
      <c r="L102" s="3">
        <f>0+(329.4-25.6)+(0+(0-0))+0-16-0</f>
        <v>287.79999999999995</v>
      </c>
      <c r="M102" s="3">
        <f>0+(341.9-14.8)+(0+(0.174369-0.007548))+0-20-0.010199999999998</f>
        <v>307.256621</v>
      </c>
      <c r="N102" s="3">
        <f>0+(479.8-112.2)+(0+(-0.489396--0.114444))+0-22--0.0224400000000035</f>
        <v>345.24748800000003</v>
      </c>
      <c r="O102" s="3">
        <f>0+(586.7-194.7)+(0+(0.598434-0.198594))+0-22-0.0224400000000035</f>
        <v>370.37740000000002</v>
      </c>
      <c r="P102" s="3">
        <f>0+(638.9-238.3)+(0+(0-0))+0-25-0</f>
        <v>375.59999999999997</v>
      </c>
      <c r="Q102" s="3">
        <f>0+(603.8-192)+(0+(0.615876-0.19584))+0-27-0.0275400000000043</f>
        <v>385.19249599999995</v>
      </c>
      <c r="R102" s="3">
        <f>0+(541.6-159)+(0+(-0.276216--0.08109))+22-27--0.0137699999999973</f>
        <v>377.41864400000003</v>
      </c>
      <c r="S102" s="3">
        <f>0+(487-108)+(0+(0.49674-0.11016))+22-27-0.0275400000000043</f>
        <v>374.35903999999999</v>
      </c>
      <c r="T102" s="3">
        <f>0+(441.1-62)+(0+(0.224961-0.03162))+22-27-0.0137699999999973</f>
        <v>374.27957099999998</v>
      </c>
      <c r="U102" s="3">
        <f>0+(430.7-35)+(0+(0.219657-0.01785))+0-27-0.0137699999999973</f>
        <v>368.88803699999994</v>
      </c>
      <c r="V102" s="3">
        <f>0+(451.2-48)+(0+(-0.690336--0.07344))+0-30.9--0.0472770000000018</f>
        <v>371.73038100000002</v>
      </c>
      <c r="W102" s="3">
        <f>0+(507.1-102.5)+(0+(-1.034484--0.2091))+0-30.2--0.0616079999999987</f>
        <v>373.63622400000003</v>
      </c>
      <c r="X102" s="3">
        <f>0+(575.9-182.4)+(0+(-1.174836--0.372096))+0-29.2--0.0595679999999987</f>
        <v>363.55682800000005</v>
      </c>
      <c r="Y102" s="3">
        <f>0+(630.5-238.1)+(0+(-1.28622--0.485724))+0-29.2--0.0595679999999987</f>
        <v>362.45907199999999</v>
      </c>
      <c r="Z102" s="3">
        <f>0+(595.1-190.5)+(0+(0.303501-0.097155))+0-29.2-0.014891999999997</f>
        <v>375.59145400000006</v>
      </c>
      <c r="AA102" s="3">
        <f>0+(513.6-97.7)+(0+(0-0))+0-30.7-0</f>
        <v>385.20000000000005</v>
      </c>
      <c r="AB102" s="3">
        <f>0+(514.4-105.5)+(0+(-0.262344--0.053805))+0-30.6--0.0156059999999969</f>
        <v>378.10706699999997</v>
      </c>
      <c r="AC102" s="3">
        <f>0+(536-135)+(0+(-0.27336--0.06885))+0-30--0.015299999999997</f>
        <v>370.81079</v>
      </c>
      <c r="AD102">
        <f t="shared" si="1"/>
        <v>8411.143415999999</v>
      </c>
      <c r="AE102" s="3">
        <f>0+(492.3-78.5)+(0+(0-0))+0-31.4-0</f>
        <v>382.40000000000003</v>
      </c>
    </row>
    <row r="103" spans="1:31" s="2" customFormat="1" x14ac:dyDescent="0.25">
      <c r="A103">
        <v>89</v>
      </c>
      <c r="B103">
        <v>4</v>
      </c>
      <c r="C103">
        <v>10</v>
      </c>
      <c r="D103">
        <v>6</v>
      </c>
      <c r="E103">
        <v>1</v>
      </c>
      <c r="F103" s="3">
        <f>0+(422.6-38.2)+(0+(-0.646578--0.058446))+0-31.3--0.0478890000000018</f>
        <v>352.55975700000005</v>
      </c>
      <c r="G103" s="3">
        <f>0+(458.3-91.5)+(0+(-0.233733--0.046665))+0-29.7--0.015146999999997</f>
        <v>336.92807900000003</v>
      </c>
      <c r="H103" s="3">
        <f>0+(451.1-94.8)+(0+(-0.690183--0.145044))+0-30--0.0459000000000017</f>
        <v>325.80076100000002</v>
      </c>
      <c r="I103" s="3">
        <f>0+(419.8-65.2)+(0+(0-0))+0-30-0</f>
        <v>324.60000000000002</v>
      </c>
      <c r="J103" s="3">
        <f>0+(357.1-4.5)+(0+(0.364242-0.00459))+0-30-0.0306000000000048</f>
        <v>322.92905200000001</v>
      </c>
      <c r="K103" s="3">
        <f>0+(412.2-66.5)+(0+(-0.840888--0.13566))+0-31--0.0632399999999986</f>
        <v>314.05801200000002</v>
      </c>
      <c r="L103" s="3">
        <f>0+(475.6-138)+(0+(-0.485112--0.14076))+0-30--0.0306000000000048</f>
        <v>307.286248</v>
      </c>
      <c r="M103" s="3">
        <f>0+(476-126.3)+(0+(0.72828-0.193239))+0-22-0.0336600000000013</f>
        <v>328.20138099999997</v>
      </c>
      <c r="N103" s="3">
        <f>0+(534-156.3)+(0+(-0.27234--0.079713))+0-25.6--0.0130559999999974</f>
        <v>351.92042899999996</v>
      </c>
      <c r="O103" s="3">
        <f>0+(569.7-173.3)+(0+(0-0))+0-27-0</f>
        <v>369.40000000000003</v>
      </c>
      <c r="P103" s="3">
        <f>0+(614.4-196.9)+(0+(1.56672-0.502095))+0-30-0.0764999999999956</f>
        <v>388.48812499999997</v>
      </c>
      <c r="Q103" s="3">
        <f>0+(592.1-167.2)+(0+(0.301971-0.085272))+0-32-0.0163199999999968</f>
        <v>393.10037900000003</v>
      </c>
      <c r="R103" s="3">
        <f>0+(556.6-133)+(0+(0.283866-0.06783))+0-31-0.0158099999999969</f>
        <v>392.80022600000001</v>
      </c>
      <c r="S103" s="3">
        <f>0+(499.4-90.5)+(0+(0-0))+0-30-0</f>
        <v>378.9</v>
      </c>
      <c r="T103" s="3">
        <f>0+(476.8-77)+(0+(0-0))+0-30-0</f>
        <v>369.8</v>
      </c>
      <c r="U103" s="3">
        <f>0+(494.6-108.4)+(0+(-0.756738--0.165852))+0-29--0.0443700000000017</f>
        <v>356.65348400000005</v>
      </c>
      <c r="V103" s="3">
        <f>0+(515.7-131)+(0+(0-0))+0-29-0</f>
        <v>355.70000000000005</v>
      </c>
      <c r="W103" s="3">
        <f>0+(589.8-204.9)+(0+(-1.50399--0.522495))+0-29--0.0739499999999958</f>
        <v>354.99245499999995</v>
      </c>
      <c r="X103" s="3">
        <f>0+(673.9-293.4)+(0+(-1.374756--0.598536))+0-30--0.0611999999999987</f>
        <v>349.78497999999996</v>
      </c>
      <c r="Y103" s="3">
        <f>0+(694.7-319.5)+(0+(-1.417188--0.65178))+0-29--0.0591599999999987</f>
        <v>345.49375200000009</v>
      </c>
      <c r="Z103" s="3">
        <f>0+(648.9-258.2)+(0+(-0.330939--0.131682))+0-28--0.0142799999999972</f>
        <v>362.51502299999999</v>
      </c>
      <c r="AA103" s="3">
        <f>0+(644.5-243.7)+(0+(-0.65739--0.248574))+0-28--0.0285600000000045</f>
        <v>372.41974400000004</v>
      </c>
      <c r="AB103" s="3">
        <f>0+(570.6-172.6)+(0+(-0.582012--0.176052))+0-32--0.0326400000000051</f>
        <v>365.62668000000002</v>
      </c>
      <c r="AC103" s="3">
        <f>0+(561.4-178.6)+(0+(-0.286314--0.091086))+0-32--0.0163199999999968</f>
        <v>350.62109199999998</v>
      </c>
      <c r="AD103">
        <f t="shared" si="1"/>
        <v>8470.5796590000009</v>
      </c>
      <c r="AE103" s="3">
        <f>0+(622.5-200.2)+(0+(0-0))+0-28-0</f>
        <v>394.3</v>
      </c>
    </row>
    <row r="104" spans="1:31" s="2" customFormat="1" x14ac:dyDescent="0.25">
      <c r="A104">
        <v>89</v>
      </c>
      <c r="B104">
        <v>4</v>
      </c>
      <c r="C104">
        <v>11</v>
      </c>
      <c r="D104">
        <v>7</v>
      </c>
      <c r="E104">
        <v>1</v>
      </c>
      <c r="F104" s="3">
        <f>0+(513.3-134.2)+(0+(0-0))+0-32-0</f>
        <v>347.09999999999997</v>
      </c>
      <c r="G104" s="3">
        <f>0+(428.6-66.6)+(0+(-0.437172--0.067932))+0-32--0.0326400000000051</f>
        <v>329.66340000000002</v>
      </c>
      <c r="H104" s="3">
        <f>0+(355.3-0)+(0+(0-0))+0-31-0</f>
        <v>324.3</v>
      </c>
      <c r="I104" s="3">
        <f>0+(346.4-0)+(0+(-0.706656-0))+0-31--0.0632399999999986</f>
        <v>314.75658399999998</v>
      </c>
      <c r="J104" s="3">
        <f>0+(340.3-0)+(0+(-0.347106-0))+0-31--0.0316200000000049</f>
        <v>308.98451400000005</v>
      </c>
      <c r="K104" s="3">
        <f>0+(327.5-0)+(0+(-0.835125-0))+0-32--0.0815999999999954</f>
        <v>294.74647499999998</v>
      </c>
      <c r="L104" s="3">
        <f>0+(349.6-31.7)+(0+(-0.356592--0.032334))+0-32--0.0326400000000051</f>
        <v>285.60838200000006</v>
      </c>
      <c r="M104" s="3">
        <f>0+(355.2-36.4)+(0+(0-0))+0-32-0</f>
        <v>286.8</v>
      </c>
      <c r="N104" s="3">
        <f>0+(425.7-97.1)+(0+(0-0))+0-31-0</f>
        <v>297.60000000000002</v>
      </c>
      <c r="O104" s="3">
        <f>0+(565.8-218.3)+(0+(-0.577116--0.222666))+0-31--0.0316200000000049</f>
        <v>316.17716999999999</v>
      </c>
      <c r="P104" s="3">
        <f>0+(601.9-241.1)+(0+(0-0))+0-31-0</f>
        <v>329.79999999999995</v>
      </c>
      <c r="Q104" s="3">
        <f>0+(552.2-193.4)+(0+(-0.281622--0.098634))+0-31--0.0158099999999969</f>
        <v>327.63282200000003</v>
      </c>
      <c r="R104" s="3">
        <f>0+(564.4-204.2)+(0+(-0.287844--0.104142))+0-29--0.0147899999999971</f>
        <v>331.03108800000001</v>
      </c>
      <c r="S104" s="3">
        <f>0+(589.9-234.9)+(0+(0.601698-0.239598))+0-29-0.0295800000000046</f>
        <v>326.33251999999999</v>
      </c>
      <c r="T104" s="3">
        <f>0+(571.2-219.1)+(0+(-0.291312--0.111741))+0-29--0.0147899999999971</f>
        <v>322.93521900000002</v>
      </c>
      <c r="U104" s="3">
        <f>0+(573.1-227.2)+(0+(-0.292281--0.115872))+0-28--0.0142799999999972</f>
        <v>317.73787100000004</v>
      </c>
      <c r="V104" s="3">
        <f>0+(564.5-223.3)+(0+(0.287895-0.113883))+0-29-0.0147899999999971</f>
        <v>312.35922199999999</v>
      </c>
      <c r="W104" s="3">
        <f>0+(615.1-266.6)+(0+(-1.254804--0.543864))+0-28--0.0571199999999988</f>
        <v>319.84618</v>
      </c>
      <c r="X104" s="3">
        <f>0+(602.7-255.1)+(0+(-0.307377--0.130101))+0-29--0.0147899999999971</f>
        <v>318.43751400000002</v>
      </c>
      <c r="Y104" s="3">
        <f>0+(599.7-249.1)+(0+(-0.917541--0.381123))+0-28--0.0428400000000016</f>
        <v>322.10642200000001</v>
      </c>
      <c r="Z104" s="3">
        <f>0+(589.8-216.8)+(0+(0-0))+0-30-0</f>
        <v>342.99999999999994</v>
      </c>
      <c r="AA104" s="3">
        <f>0+(645.9-253.2)+(0+(-0.329409--0.129132))+0-31--0.0158099999999969</f>
        <v>361.51553299999995</v>
      </c>
      <c r="AB104" s="3">
        <f>0+(628.9-238)+(0+(-0.641478--0.24276))+0-32--0.0326400000000051</f>
        <v>358.53392200000002</v>
      </c>
      <c r="AC104" s="3">
        <f>0+(591.5-209.6)+(0+(0.301665-0.106896))+0-32-0.0163199999999968</f>
        <v>350.07844899999998</v>
      </c>
      <c r="AD104">
        <f t="shared" si="1"/>
        <v>7747.0832869999995</v>
      </c>
      <c r="AE104" s="3">
        <f>0+(624.4-232.9)+(0+(0-0))+0-32-0</f>
        <v>359.5</v>
      </c>
    </row>
    <row r="105" spans="1:31" s="2" customFormat="1" x14ac:dyDescent="0.25">
      <c r="A105">
        <v>89</v>
      </c>
      <c r="B105">
        <v>4</v>
      </c>
      <c r="C105">
        <v>12</v>
      </c>
      <c r="D105">
        <v>1</v>
      </c>
      <c r="E105">
        <v>1</v>
      </c>
      <c r="F105" s="3">
        <f>0+(440.4-73.6)+(0+(0.449208-0.075072))+0-32-0.0326400000000051</f>
        <v>335.14149599999996</v>
      </c>
      <c r="G105" s="3">
        <f>0+(349.4-0)+(0+(-0.178194-0))+0-32--0.0163199999999968</f>
        <v>317.23812599999997</v>
      </c>
      <c r="H105" s="3">
        <f>0+(332.5-0)+(0+(-0.169575-0))+0-32--0.0163199999999968</f>
        <v>300.346745</v>
      </c>
      <c r="I105" s="3">
        <f>0+(337-0)+(0+(0-0))+0-32-0</f>
        <v>305</v>
      </c>
      <c r="J105" s="3">
        <f>0+(337.8-0)+(0+(-0.516834-0))+0-32--0.0489600000000018</f>
        <v>305.33212600000002</v>
      </c>
      <c r="K105" s="3">
        <f>0+(406.7-72.3)+(0+(-1.037085--0.184365))+0-32--0.0815999999999954</f>
        <v>301.62887999999998</v>
      </c>
      <c r="L105" s="3">
        <f>0+(339.1-8.4)+(0+(0-0))+0-32-0</f>
        <v>298.70000000000005</v>
      </c>
      <c r="M105" s="3">
        <f>0+(353.2-0)+(0+(0.360264-0))+0-32-0.0326400000000051</f>
        <v>321.52762399999995</v>
      </c>
      <c r="N105" s="3">
        <f>0+(475.1-86.3)+(0+(0.242301-0.044013))+0-32-0.0163199999999968</f>
        <v>356.98196799999999</v>
      </c>
      <c r="O105" s="3">
        <f>0+(659.1-249)+(0+(1.008423-0.38097))+0-32-0.0489600000000018</f>
        <v>378.678493</v>
      </c>
      <c r="P105" s="3">
        <f>0+(624-206.9)+(0+(1.27296-0.422076))+0-32-0.0652799999999986</f>
        <v>385.88560400000006</v>
      </c>
      <c r="Q105" s="3">
        <f>0+(605.3-176.7)+(0+(-0.308703--0.090117))+0-32--0.0163199999999968</f>
        <v>396.39773399999996</v>
      </c>
      <c r="R105" s="3">
        <f>0+(577.7-142.4)+(0+(0-0))+0-32-0</f>
        <v>403.30000000000007</v>
      </c>
      <c r="S105" s="3">
        <f>0+(564.8-142.9)+(0+(0-0))+0-31-0</f>
        <v>390.9</v>
      </c>
      <c r="T105" s="3">
        <f>0+(559.7-133.9)+(0+(0.285447-0.068289))+0-29-0.0147899999999971</f>
        <v>397.00236800000005</v>
      </c>
      <c r="U105" s="3">
        <f>0+(588.9-172.5)+(0+(0.300339-0.087975))+0-29-0.0147899999999971</f>
        <v>387.59757399999995</v>
      </c>
      <c r="V105" s="3">
        <f>0+(616.4-198.8)+(0+(0.628728-0.202776))+0-30-0.0306000000000048</f>
        <v>387.99535199999997</v>
      </c>
      <c r="W105" s="3">
        <f>0+(649.3-237.4)+(0+(0-0))+0-29-0</f>
        <v>382.9</v>
      </c>
      <c r="X105" s="3">
        <f>0+(718.3-306.5)+(0+(-0.732666--0.31263))+0-30--0.0306000000000048</f>
        <v>381.41056399999997</v>
      </c>
      <c r="Y105" s="3">
        <f>0+(723.1-320.5)+(0+(0-0))+0-30-0</f>
        <v>372.6</v>
      </c>
      <c r="Z105" s="3">
        <f>0+(741.5-318.9)+(0+(-0.378165--0.162639))+0-31--0.0158099999999969</f>
        <v>391.400284</v>
      </c>
      <c r="AA105" s="3">
        <f>0+(720-284.3)+(0+(-0.7344--0.289986))+0-32--0.0326400000000051</f>
        <v>403.28822600000001</v>
      </c>
      <c r="AB105" s="3">
        <f>0+(673.4-249.9)+(0+(0-0))+0-32-0</f>
        <v>391.5</v>
      </c>
      <c r="AC105" s="3">
        <f>0+(611.1-206.2)+(0+(-0.311661--0.105162))+0-32--0.0163199999999968</f>
        <v>372.70982100000003</v>
      </c>
      <c r="AD105">
        <f t="shared" si="1"/>
        <v>8665.4629850000001</v>
      </c>
      <c r="AE105" s="3">
        <f>0+(705.1-271.1)+(0+(0-0))+0-32-0</f>
        <v>402</v>
      </c>
    </row>
    <row r="106" spans="1:31" s="2" customFormat="1" x14ac:dyDescent="0.25">
      <c r="A106">
        <v>89</v>
      </c>
      <c r="B106">
        <v>4</v>
      </c>
      <c r="C106">
        <v>13</v>
      </c>
      <c r="D106">
        <v>2</v>
      </c>
      <c r="E106">
        <v>1</v>
      </c>
      <c r="F106" s="3">
        <f>0+(541.8-151.1)+(0+(-0.552636--0.154122))+0-32--0.0326400000000051</f>
        <v>358.33412599999997</v>
      </c>
      <c r="G106" s="3">
        <f>0+(432.8-59.1)+(0+(-0.441456--0.060282))+0-32--0.0326400000000051</f>
        <v>341.35146600000002</v>
      </c>
      <c r="H106" s="3">
        <f>0+(361.5-2.4)+(0+(0-0))+0-32-0</f>
        <v>327.10000000000002</v>
      </c>
      <c r="I106" s="3">
        <f>0+(368.3-9.4)+(0+(0-0))+0-32-0</f>
        <v>326.90000000000003</v>
      </c>
      <c r="J106" s="3">
        <f>0+(347.3-0)+(0+(0.531369-0))+0-32-0.0489600000000018</f>
        <v>315.78240899999997</v>
      </c>
      <c r="K106" s="3">
        <f>0+(344.7-1.1)+(0+(-0.175797--0.000561))+0-32--0.0163199999999968</f>
        <v>311.44108399999999</v>
      </c>
      <c r="L106" s="3">
        <f>0+(373.7-29.5)+(0+(0-0))+0-33-0</f>
        <v>311.2</v>
      </c>
      <c r="M106" s="3">
        <f>0+(401.1-27.3)+(0+(-0.613683--0.041769))+0-34--0.052020000000002</f>
        <v>339.28010600000005</v>
      </c>
      <c r="N106" s="3">
        <f>0+(593.7-187.6)+(0+(-0.605574--0.191352))+0-33--0.0336600000000053</f>
        <v>372.71943800000003</v>
      </c>
      <c r="O106" s="3">
        <f>0+(610.8-189.2)+(0+(-0.934524--0.289476))+0-33--0.0504900000000019</f>
        <v>388.00544200000002</v>
      </c>
      <c r="P106" s="3">
        <f>0+(663.7-232.9)+(0+(-0.338487--0.118779))+0-33--0.0168299999999967</f>
        <v>397.59712200000001</v>
      </c>
      <c r="Q106" s="3">
        <f>0+(652.2-215.2)+(0+(-0.332622--0.109752))+0-31--0.0158099999999969</f>
        <v>405.79294000000004</v>
      </c>
      <c r="R106" s="3">
        <f>0+(624.1-181.3)+(0+(0.636582-0.184926))+0-28-0.0285600000000045</f>
        <v>415.223096</v>
      </c>
      <c r="S106" s="3">
        <f>0+(570.4-136.8)+(0+(0.290904-0.069768))+0-28-0.0142799999999972</f>
        <v>405.80685599999998</v>
      </c>
      <c r="T106" s="3">
        <f>0+(581.6-152.3)+(0+(0.296616-0.077673))+0-29-0.0147899999999971</f>
        <v>400.50415300000003</v>
      </c>
      <c r="U106" s="3">
        <f>0+(579.8-155.8)+(0+(0.295698-0.079458))+0-29-0.0147899999999971</f>
        <v>395.20144999999997</v>
      </c>
      <c r="V106" s="3">
        <f>0+(579.2-152)+(0+(-0.295392--0.07752))+0-29--0.0147899999999971</f>
        <v>397.99691800000005</v>
      </c>
      <c r="W106" s="3">
        <f>0+(652.9-235.3)+(0+(-0.998937--0.360009))+0-29--0.0443700000000017</f>
        <v>388.00544199999996</v>
      </c>
      <c r="X106" s="3">
        <f>0+(703.7-288.7)+(0+(-0.717774--0.294474))+0-29--0.0295800000000046</f>
        <v>385.60628000000008</v>
      </c>
      <c r="Y106" s="3">
        <f>0+(737.2-328.2)+(0+(-0.375972--0.167382))+0-29--0.0147899999999971</f>
        <v>379.80620000000005</v>
      </c>
      <c r="Z106" s="3">
        <f>0+(687.6-262.2)+(0+(0.701352-0.267444))+0-30-0.0306000000000048</f>
        <v>395.80330800000002</v>
      </c>
      <c r="AA106" s="3">
        <f>0+(712.8-274.3)+(0+(0-0))+0-29-0</f>
        <v>409.49999999999994</v>
      </c>
      <c r="AB106" s="3">
        <f>0+(640.8-216.1)+(0+(-0.326808--0.110211))+0-31--0.0158099999999969</f>
        <v>393.49921299999994</v>
      </c>
      <c r="AC106" s="3">
        <f>0+(591.8-184.5)+(0+(0.301818-0.094095))+0-32-0.0163199999999968</f>
        <v>375.49140299999993</v>
      </c>
      <c r="AD106">
        <f t="shared" si="1"/>
        <v>8937.9484519999987</v>
      </c>
      <c r="AE106" s="3">
        <f>0+(737-301.3)+(0+(0-0))+0-30-0</f>
        <v>405.7</v>
      </c>
    </row>
    <row r="107" spans="1:31" s="2" customFormat="1" x14ac:dyDescent="0.25">
      <c r="A107">
        <v>89</v>
      </c>
      <c r="B107">
        <v>4</v>
      </c>
      <c r="C107">
        <v>14</v>
      </c>
      <c r="D107">
        <v>3</v>
      </c>
      <c r="E107">
        <v>1</v>
      </c>
      <c r="F107" s="3">
        <f>0+(491.3-96.5)+(0+(0.250563-0.049215))+0-32-0.0163199999999968</f>
        <v>362.985028</v>
      </c>
      <c r="G107" s="3">
        <f>0+(442.5-64.1)+(0+(-0.225675--0.032691))+0-32--0.0163199999999968</f>
        <v>346.22333599999996</v>
      </c>
      <c r="H107" s="3">
        <f>0+(425.2-59.4)+(0+(-0.433704--0.060588))+0-32--0.0326400000000051</f>
        <v>333.45952400000004</v>
      </c>
      <c r="I107" s="3">
        <f>0+(410.1-52.6)+(0+(-0.209151--0.026826))+0-32--0.0163199999999968</f>
        <v>325.33399500000002</v>
      </c>
      <c r="J107" s="3">
        <f>0+(412.2-58.6)+(0+(-0.420444--0.059772))+0-32--0.0326400000000051</f>
        <v>321.27196799999996</v>
      </c>
      <c r="K107" s="3">
        <f>0+(393.4-48.2)+(0+(-1.00317--0.12291))+0-32--0.0815999999999954</f>
        <v>312.40133999999995</v>
      </c>
      <c r="L107" s="3">
        <f>0+(399.2-59.4)+(0+(-0.814368--0.121176))+0-32--0.0652799999999986</f>
        <v>307.17208799999997</v>
      </c>
      <c r="M107" s="3">
        <f>0+(486.5-120.8)+(0+(0-0))+0-31-0</f>
        <v>334.7</v>
      </c>
      <c r="N107" s="3">
        <f>0+(616.8-221.3)+(0+(0-0))+0-31-0</f>
        <v>364.49999999999994</v>
      </c>
      <c r="O107" s="3">
        <f>0+(715.9-294.8)+(0+(0.365109-0.150348))+0-32-0.0163199999999968</f>
        <v>389.29844099999997</v>
      </c>
      <c r="P107" s="3">
        <f>0+(716.1-283.2)+(0+(0.365211-0.144432))+0-31-0.0158099999999969</f>
        <v>402.10496900000004</v>
      </c>
      <c r="Q107" s="3">
        <f>0+(680.3-243.5)+(0+(0.693906-0.24837))+0-31-0.0316200000000049</f>
        <v>406.21391599999993</v>
      </c>
      <c r="R107" s="3">
        <f>0+(628.3-194.8)+(0+(0.961299-0.298044))+0-29-0.0443700000000017</f>
        <v>405.11888499999992</v>
      </c>
      <c r="S107" s="3">
        <f>0+(569-146.1)+(0+(0.58038-0.149022))+0-29-0.0295800000000046</f>
        <v>394.30177799999996</v>
      </c>
      <c r="T107" s="3">
        <f>0+(519.4-100.2)+(0+(0.794682-0.153306))+0-29-0.0443700000000017</f>
        <v>390.79700599999995</v>
      </c>
      <c r="U107" s="3">
        <f>0+(506.9-92)+(0+(0.775557-0.14076))+0-29-0.0443700000000017</f>
        <v>386.49042699999995</v>
      </c>
      <c r="V107" s="3">
        <f>0+(556.3-143.2)+(0+(0-0))+0-29-0</f>
        <v>384.09999999999997</v>
      </c>
      <c r="W107" s="3">
        <f>0+(583.1-170.1)+(0+(-0.594762--0.173502))+0-29--0.0295800000000046</f>
        <v>383.60831999999999</v>
      </c>
      <c r="X107" s="3">
        <f>0+(652.3-248.9)+(0+(-0.665346--0.253878))+0-29--0.0295800000000046</f>
        <v>374.01811199999997</v>
      </c>
      <c r="Y107" s="3">
        <f>0+(697.3-304.3)+(0+(-0.355623--0.155193))+0-29--0.0147899999999971</f>
        <v>363.81435999999997</v>
      </c>
      <c r="Z107" s="3">
        <f>0+(666.8-258.6)+(0+(0.680136-0.263772))+0-29-0.0295800000000046</f>
        <v>379.58678399999991</v>
      </c>
      <c r="AA107" s="3">
        <f>0+(632.2-212.8)+(0+(-0.322422--0.108528))+0-30--0.015299999999997</f>
        <v>389.20140600000008</v>
      </c>
      <c r="AB107" s="3">
        <f>0+(607.4-196.8)+(0+(0-0))+0-32-0</f>
        <v>378.59999999999997</v>
      </c>
      <c r="AC107" s="3">
        <f>0+(484.3-86.5)+(0+(-0.493986--0.08823))+0-32--0.0326400000000051</f>
        <v>365.42688400000003</v>
      </c>
      <c r="AD107">
        <f t="shared" si="1"/>
        <v>8800.7285670000001</v>
      </c>
      <c r="AE107" s="3">
        <f>0+(603.9-199.7)+(0+(0-0))+0-32-0</f>
        <v>372.2</v>
      </c>
    </row>
    <row r="108" spans="1:31" s="2" customFormat="1" x14ac:dyDescent="0.25">
      <c r="A108">
        <v>89</v>
      </c>
      <c r="B108">
        <v>4</v>
      </c>
      <c r="C108">
        <v>15</v>
      </c>
      <c r="D108">
        <v>4</v>
      </c>
      <c r="E108">
        <v>1</v>
      </c>
      <c r="F108" s="3">
        <f>0+(499.5-122.2)+(0+(-1.01898--0.249288))+0-31--0.0632399999999986</f>
        <v>345.593548</v>
      </c>
      <c r="G108" s="3">
        <f>0+(529.9-170.7)+(0+(0.810747-0.261171))+0-31-0.0474300000000018</f>
        <v>328.70214599999997</v>
      </c>
      <c r="H108" s="3">
        <f>0+(435.3-82.4)+(0+(0-0))+0-31-0</f>
        <v>321.89999999999998</v>
      </c>
      <c r="I108" s="3">
        <f>0+(417.4-69.9)+(0+(-0.212874--0.035649))+0-31--0.0158099999999969</f>
        <v>316.33858499999997</v>
      </c>
      <c r="J108" s="3">
        <f>0+(406-61.5)+(0+(-0.82824--0.12546))+0-31--0.0632399999999986</f>
        <v>312.86045999999999</v>
      </c>
      <c r="K108" s="3">
        <f>0+(415.4-80.9)+(0+(-0.635562--0.123777))+0-31--0.0474300000000018</f>
        <v>303.03564500000005</v>
      </c>
      <c r="L108" s="3">
        <f>0+(438.2-142.2)+(0+(-0.446964--0.145044))+0-31--0.0316200000000049</f>
        <v>264.72970000000004</v>
      </c>
      <c r="M108" s="3">
        <f>0+(542.8-188.6)+(0+(0-0))+0-31-0</f>
        <v>323.19999999999993</v>
      </c>
      <c r="N108" s="3">
        <f>0+(665.2-275.6)+(0+(0.339252-0.140556))+0-31-0.0158099999999969</f>
        <v>358.78288600000002</v>
      </c>
      <c r="O108" s="3">
        <f>0+(686.5-274.1)+(0+(1.40046-0.559164))+0-31-0.0632399999999986</f>
        <v>382.17805599999997</v>
      </c>
      <c r="P108" s="3">
        <f>0+(676.1-258.2)+(0+(0.689622-0.263364))+0-31-0.0316200000000049</f>
        <v>387.29463800000002</v>
      </c>
      <c r="Q108" s="3">
        <f>0+(622.3-198.6)+(0+(0.317373-0.101286))+0-31-0.0158099999999969</f>
        <v>392.90027699999996</v>
      </c>
      <c r="R108" s="3">
        <f>0+(566.1-137.9)+(0+(0.288711-0.070329))+0-32-0.0163199999999968</f>
        <v>396.40206200000006</v>
      </c>
      <c r="S108" s="3">
        <f>0+(491-80.8)+(0+(0.25041-0.041208))+0-32-0.0163199999999968</f>
        <v>378.39288199999999</v>
      </c>
      <c r="T108" s="3">
        <f>0+(472.2-58)+(0+(0.481644-0.05916))+0-30-0.0306000000000048</f>
        <v>384.59188399999999</v>
      </c>
      <c r="U108" s="3">
        <f>0+(453.6-49.5)+(0+(0.694008-0.075735))+0-31-0.0474300000000018</f>
        <v>373.67084299999999</v>
      </c>
      <c r="V108" s="3">
        <f>0+(485.2-82.8)+(0+(0.494904-0.084456))+0-31-0.0316200000000049</f>
        <v>371.77882799999992</v>
      </c>
      <c r="W108" s="3">
        <f>0+(507.3-113.7)+(0+(0.258723-0.057987))+0-31-0.0158099999999969</f>
        <v>362.78492600000004</v>
      </c>
      <c r="X108" s="3">
        <f>0+(572-179.7)+(0+(-0.29172--0.091647))+0-30--0.015299999999997</f>
        <v>362.11522700000006</v>
      </c>
      <c r="Y108" s="3">
        <f>0+(591.5-207.4)+(0+(0-0))+0-31-0</f>
        <v>353.1</v>
      </c>
      <c r="Z108" s="3">
        <f>0+(571.4-169.3)+(0+(0.582828-0.172686))+0-31-0.0316200000000049</f>
        <v>371.47852199999994</v>
      </c>
      <c r="AA108" s="3">
        <f>0+(544.1-133.3)+(0+(0-0))+0-32-0</f>
        <v>378.8</v>
      </c>
      <c r="AB108" s="3">
        <f>0+(532.2-125.8)+(0+(0.271422-0.064158))+0-32-0.0163199999999968</f>
        <v>374.59094400000004</v>
      </c>
      <c r="AC108" s="3">
        <f>0+(509.1-117.4)+(0+(-0.778923--0.179622))+0-32--0.0489600000000018</f>
        <v>359.14965900000004</v>
      </c>
      <c r="AD108">
        <f t="shared" si="1"/>
        <v>8504.3717180000021</v>
      </c>
      <c r="AE108" s="3">
        <f>0+(522.3-119.7)+(0+(0-0))+0-30-0</f>
        <v>372.59999999999997</v>
      </c>
    </row>
    <row r="109" spans="1:31" s="2" customFormat="1" x14ac:dyDescent="0.25">
      <c r="A109">
        <v>89</v>
      </c>
      <c r="B109">
        <v>4</v>
      </c>
      <c r="C109">
        <v>16</v>
      </c>
      <c r="D109">
        <v>5</v>
      </c>
      <c r="E109">
        <v>1</v>
      </c>
      <c r="F109" s="3">
        <f>0+(465.4-90.3)+(0+(-0.474708--0.092106))+0-32--0.0326400000000051</f>
        <v>342.75003799999996</v>
      </c>
      <c r="G109" s="3">
        <f>0+(439.4-73.4)+(0+(-0.224094--0.037434))+0-32--0.0163199999999968</f>
        <v>333.82965999999999</v>
      </c>
      <c r="H109" s="3">
        <f>0+(366.6-9.1)+(0+(0-0))+0-32-0</f>
        <v>325.5</v>
      </c>
      <c r="I109" s="3">
        <f>0+(357.6-6.1)+(0+(-0.182376--0.003111))+0-32--0.0163199999999968</f>
        <v>319.33705500000002</v>
      </c>
      <c r="J109" s="3">
        <f>0+(350.1-1.2)+(0+(0-0))+0-32-0</f>
        <v>316.90000000000003</v>
      </c>
      <c r="K109" s="3">
        <f>0+(396.4-30.6)+(0+(-1.01082--0.07803))+0-31--0.0790499999999955</f>
        <v>333.94625999999994</v>
      </c>
      <c r="L109" s="3">
        <f>0+(386.5-59.9)+(0+(-0.39423--0.061098))+0-32--0.0326400000000051</f>
        <v>294.29950800000006</v>
      </c>
      <c r="M109" s="3">
        <f>0+(439.6-89.6)+(0+(0.224196-0.045696))+0-31-0.0158099999999969</f>
        <v>319.16269</v>
      </c>
      <c r="N109" s="3">
        <f>0+(669.4-285.3)+(0+(0.341394-0.145503))+0-32-0.0163199999999968</f>
        <v>352.27957099999998</v>
      </c>
      <c r="O109" s="3">
        <f>0+(706.2-294.9)+(0+(0.360162-0.150399))+0-32-0.0163199999999968</f>
        <v>379.49344300000007</v>
      </c>
      <c r="P109" s="3">
        <f>0+(667.7-244.3)+(0+(0.681054-0.249186))+0-32-0.0326400000000051</f>
        <v>391.79922800000003</v>
      </c>
      <c r="Q109" s="3">
        <f>0+(612.5-188.3)+(0+(0-0))+0-32-0</f>
        <v>392.2</v>
      </c>
      <c r="R109" s="3">
        <f>0+(558.4-137.2)+(0+(0.854352-0.209916))+4-31-0.0474300000000018</f>
        <v>394.79700599999995</v>
      </c>
      <c r="S109" s="3">
        <f>0+(490.9-86)+(0+(0.250359-0.04386))+6-31-0.0158099999999969</f>
        <v>380.090689</v>
      </c>
      <c r="T109" s="3">
        <f>0+(447.4-45.5)+(0+(0-0))+6-31-0</f>
        <v>376.9</v>
      </c>
      <c r="U109" s="3">
        <f>0+(453.5-58.1)+(0+(-0.46257--0.059262))+6-30--0.0306000000000048</f>
        <v>371.02729199999999</v>
      </c>
      <c r="V109" s="3">
        <f>0+(484.7-87.5)+(0+(-0.247197--0.044625))+0-30--0.015299999999997</f>
        <v>367.01272800000004</v>
      </c>
      <c r="W109" s="3">
        <f>0+(561.5-165.2)+(0+(0.57273-0.168504))+0-30-0.0306000000000048</f>
        <v>366.67362600000001</v>
      </c>
      <c r="X109" s="3">
        <f>0+(639.3-250.9)+(0+(-0.326043--0.127959))+0-30--0.015299999999997</f>
        <v>358.21721600000001</v>
      </c>
      <c r="Y109" s="3">
        <f>0+(665.3-281.6)+(0+(0-0))+0-30-0</f>
        <v>353.69999999999993</v>
      </c>
      <c r="Z109" s="3">
        <f>0+(654.1-253.1)+(0+(0.333591-0.129081))+0-30-0.015299999999997</f>
        <v>371.18921</v>
      </c>
      <c r="AA109" s="3">
        <f>0+(565-153.9)+(0+(0-0))+0-30-0</f>
        <v>381.1</v>
      </c>
      <c r="AB109" s="3">
        <f>0+(518.2-117.9)+(0+(0.264282-0.060129))+0-30-0.015299999999997</f>
        <v>370.48885300000006</v>
      </c>
      <c r="AC109" s="3">
        <f>0+(499.4-105.3)+(0+(0-0))+0-32-0</f>
        <v>362.09999999999997</v>
      </c>
      <c r="AD109">
        <f t="shared" si="1"/>
        <v>8554.7940729999991</v>
      </c>
      <c r="AE109" s="3">
        <f>0+(571-144.6)+(0+(0-0))+0-31-0</f>
        <v>395.4</v>
      </c>
    </row>
    <row r="110" spans="1:31" s="2" customFormat="1" x14ac:dyDescent="0.25">
      <c r="A110">
        <v>89</v>
      </c>
      <c r="B110">
        <v>4</v>
      </c>
      <c r="C110">
        <v>17</v>
      </c>
      <c r="D110">
        <v>6</v>
      </c>
      <c r="E110">
        <v>1</v>
      </c>
      <c r="F110" s="3">
        <f>0+(454.7-61.4)+(0+(0.231897-0.031314))+0-31-0.0158099999999969</f>
        <v>362.48477300000002</v>
      </c>
      <c r="G110" s="3">
        <f>0+(379.8-17.5)+(0+(0-0))+0-32-0</f>
        <v>330.3</v>
      </c>
      <c r="H110" s="3">
        <f>0+(362.5-14.9)+(0+(0.184875-0.007599))+0-31-0.0158099999999969</f>
        <v>316.76146600000004</v>
      </c>
      <c r="I110" s="3">
        <f>0+(354.3-17.7)+(0+(0.361386-0.018054))+0-28-0.0285600000000045</f>
        <v>308.91477199999997</v>
      </c>
      <c r="J110" s="3">
        <f>0+(334.5-8.5)+(0+(0.170595-0.004335))+0-32-0.0163199999999968</f>
        <v>294.14994000000002</v>
      </c>
      <c r="K110" s="3">
        <f>0+(323.2-0)+(0+(0-0))+0-32-0</f>
        <v>291.2</v>
      </c>
      <c r="L110" s="3">
        <f>0+(321.9-0)+(0+(-0.492507-0))+0-32--0.0489600000000018</f>
        <v>289.45645300000001</v>
      </c>
      <c r="M110" s="3">
        <f>0+(336.4-1.4)+(0+(-0.514692--0.002142))+0-32--0.0489600000000018</f>
        <v>302.53641000000005</v>
      </c>
      <c r="N110" s="3">
        <f>0+(421-94.9)+(0+(-0.85884--0.193596))+0-32--0.0652799999999986</f>
        <v>293.50003600000002</v>
      </c>
      <c r="O110" s="3">
        <f>0+(681.1-281.2)+(0+(-0.347361--0.143412))+0-32--0.0163199999999968</f>
        <v>367.71237100000002</v>
      </c>
      <c r="P110" s="3">
        <f>0+(664.9-257.8)+(0+(0.339099-0.131478))+0-31-0.0158099999999969</f>
        <v>376.291811</v>
      </c>
      <c r="Q110" s="3">
        <f>0+(639.5-232.3)+(0+(0.65229-0.236946))+0-31-0.0316200000000049</f>
        <v>376.58372399999996</v>
      </c>
      <c r="R110" s="3">
        <f>0+(581.4-192.3)+(0+(0.593028-0.196146))+20-30-0.0306000000000048</f>
        <v>379.46628199999998</v>
      </c>
      <c r="S110" s="3">
        <f>0+(533-178)+(0+(0-0))+20-30-0</f>
        <v>345</v>
      </c>
      <c r="T110" s="3">
        <f>0+(468-124.6)+(0+(0.23868-0.063546))+20-30-0.015299999999997</f>
        <v>333.55983399999997</v>
      </c>
      <c r="U110" s="3">
        <f>0+(469.3-127.5)+(0+(0.239343-0.065025))+20-30-0.015299999999997</f>
        <v>331.95901800000001</v>
      </c>
      <c r="V110" s="3">
        <f>0+(509.3-164.6)+(0+(0-0))+20-30-0</f>
        <v>334.70000000000005</v>
      </c>
      <c r="W110" s="3">
        <f>0+(563.3-210.5)+(0+(-0.287283--0.107355))+0-30--0.015299999999997</f>
        <v>322.63537199999996</v>
      </c>
      <c r="X110" s="3">
        <f>0+(584.1-233.4)+(0+(-0.893673--0.357102))+0-29--0.0443700000000017</f>
        <v>321.20779900000008</v>
      </c>
      <c r="Y110" s="3">
        <f>0+(623.2-252.6)+(0+(-0.317832--0.128826))+0-29--0.0147899999999971</f>
        <v>341.42578400000002</v>
      </c>
      <c r="Z110" s="3">
        <f>0+(641.4-248.9)+(0+(0-0))+0-30-0</f>
        <v>362.5</v>
      </c>
      <c r="AA110" s="3">
        <f>0+(643-233.4)+(0+(-1.31172--0.476136))+0-30--0.0611999999999987</f>
        <v>378.82561600000002</v>
      </c>
      <c r="AB110" s="3">
        <f>0+(635.4-244.9)+(0+(-0.324054--0.124899))+0-31--0.0158099999999969</f>
        <v>359.31665499999997</v>
      </c>
      <c r="AC110" s="3">
        <f>0+(556.1-186.9)+(0+(0.283611-0.095319))+0-32-0.0163199999999968</f>
        <v>337.37197200000003</v>
      </c>
      <c r="AD110">
        <f t="shared" si="1"/>
        <v>8057.8600879999985</v>
      </c>
      <c r="AE110" s="3">
        <f>0+(598.4-188.3)+(0+(0-0))+0-31-0</f>
        <v>379.09999999999997</v>
      </c>
    </row>
    <row r="111" spans="1:31" s="2" customFormat="1" x14ac:dyDescent="0.25">
      <c r="A111">
        <v>89</v>
      </c>
      <c r="B111">
        <v>4</v>
      </c>
      <c r="C111">
        <v>18</v>
      </c>
      <c r="D111">
        <v>7</v>
      </c>
      <c r="E111">
        <v>1</v>
      </c>
      <c r="F111" s="3">
        <f>0+(468.7-88.5)+(0+(0-0))+0-32-0</f>
        <v>348.2</v>
      </c>
      <c r="G111" s="3">
        <f>0+(394.9-38.8)+(0+(-0.201399--0.019788))+0-32--0.0163199999999968</f>
        <v>323.934709</v>
      </c>
      <c r="H111" s="3">
        <f>0+(339.4-2.6)+(0+(0.173094-0.001326))+0-32-0.0163199999999968</f>
        <v>304.95544799999993</v>
      </c>
      <c r="I111" s="3">
        <f>0+(326.5-0)+(0+(0.166515-0))+0-32-0.0163199999999968</f>
        <v>294.650195</v>
      </c>
      <c r="J111" s="3">
        <f>0+(309.8-0)+(0+(0.157998-0))+0-32-0.0163199999999968</f>
        <v>277.94167800000002</v>
      </c>
      <c r="K111" s="3">
        <f>0+(335.6-20.9)+(0+(-0.513468--0.031977))+0-32--0.0489600000000018</f>
        <v>282.26746900000006</v>
      </c>
      <c r="L111" s="3">
        <f>0+(358.1-52.9)+(0+(0-0))+0-32-0</f>
        <v>273.20000000000005</v>
      </c>
      <c r="M111" s="3">
        <f>0+(342.5-39.8)+(0+(0-0))+0-32-0</f>
        <v>270.7</v>
      </c>
      <c r="N111" s="3">
        <f>0+(451.9-126.7)+(0+(-0.460938--0.129234))+0-32--0.0326400000000051</f>
        <v>292.900936</v>
      </c>
      <c r="O111" s="3">
        <f>0+(489.2-156.7)+(0+(0-0))+0-30-0</f>
        <v>302.5</v>
      </c>
      <c r="P111" s="3">
        <f>0+(630.8-287.3)+(0+(0.643416-0.293046))+0-30-0.0306000000000048</f>
        <v>313.81976999999995</v>
      </c>
      <c r="Q111" s="3">
        <f>0+(651.7-298.7)+(0+(0-0))+0-30-0</f>
        <v>323.00000000000006</v>
      </c>
      <c r="R111" s="3">
        <f>0+(654.4-306.3)+(0+(0.333744-0.156213))+54-29-0.0147899999999971</f>
        <v>373.26274099999995</v>
      </c>
      <c r="S111" s="3">
        <f>0+(593.6-251.5)+(0+(0.605472-0.25653))+54-29-0.0295800000000046</f>
        <v>367.41936200000004</v>
      </c>
      <c r="T111" s="3">
        <f>0+(578.5-234.8)+(0+(0.295035-0.119748))+54-28-0.0142799999999972</f>
        <v>369.86100700000003</v>
      </c>
      <c r="U111" s="3">
        <f>0+(561.2-228.2)+(0+(-0.572424--0.232764))+54-28--0.0285600000000045</f>
        <v>358.6889000000001</v>
      </c>
      <c r="V111" s="3">
        <f>0+(617.6-281.4)+(0+(-0.314976--0.143514))+54-28--0.0142799999999972</f>
        <v>362.04281800000001</v>
      </c>
      <c r="W111" s="3">
        <f>0+(649.4-313.9)+(0+(-0.331194--0.160089))+22.5-27--0.0137699999999973</f>
        <v>330.84266500000001</v>
      </c>
      <c r="X111" s="3">
        <f>0+(701.6-362.2)+(0+(-0.715632--0.369444))+0-27--0.0275400000000043</f>
        <v>312.08135200000004</v>
      </c>
      <c r="Y111" s="3">
        <f>0+(687.1-350.3)+(0+(-1.051263--0.535959))+0-29--0.0443700000000017</f>
        <v>307.32906600000001</v>
      </c>
      <c r="Z111" s="3">
        <f>0+(673.3-306.2)+(0+(0.343383-0.156162))+0-30-0.015299999999997</f>
        <v>337.27192099999996</v>
      </c>
      <c r="AA111" s="3">
        <f>0+(671.4-290.6)+(0+(-0.342414--0.148206))+0-30--0.015299999999997</f>
        <v>350.62109199999998</v>
      </c>
      <c r="AB111" s="3">
        <f>0+(646.5-271.7)+(0+(0-0))+0-31-0</f>
        <v>343.8</v>
      </c>
      <c r="AC111" s="3">
        <f>0+(607.7-244.6)+(0+(0.309927-0.124746))+0-31-0.0158099999999969</f>
        <v>332.26937100000004</v>
      </c>
      <c r="AD111">
        <f t="shared" si="1"/>
        <v>7753.5605000000014</v>
      </c>
      <c r="AE111" s="3">
        <f>0+(648.3-262.4)+(0+(0-0))+0-30-0</f>
        <v>355.9</v>
      </c>
    </row>
    <row r="112" spans="1:31" s="2" customFormat="1" x14ac:dyDescent="0.25">
      <c r="A112">
        <v>89</v>
      </c>
      <c r="B112">
        <v>4</v>
      </c>
      <c r="C112">
        <v>19</v>
      </c>
      <c r="D112">
        <v>1</v>
      </c>
      <c r="E112">
        <v>3</v>
      </c>
      <c r="F112" s="3">
        <f>0+(581.2-224.3)+(0+(-1.185648--0.457572))+0-32--0.0652799999999986</f>
        <v>324.23720400000002</v>
      </c>
      <c r="G112" s="3">
        <f>0+(520.6-181.4)+(0+(-0.796518--0.277542))+0-31--0.0474300000000018</f>
        <v>307.72845400000006</v>
      </c>
      <c r="H112" s="3">
        <f>0+(424.7-108.1)+(0+(-0.433194--0.110262))+0-31--0.0316200000000049</f>
        <v>285.30868800000007</v>
      </c>
      <c r="I112" s="3">
        <f>0+(451-125.9)+(0+(-0.46002--0.128418))+0-33--0.0336600000000053</f>
        <v>291.80205800000005</v>
      </c>
      <c r="J112" s="3">
        <f>0+(385.3-63.8)+(0+(-0.393006--0.065076))+0-32--0.0326400000000051</f>
        <v>289.20471000000003</v>
      </c>
      <c r="K112" s="3">
        <f>0+(470.3-160.1)+(0+(0-0))+0-32-0</f>
        <v>278.20000000000005</v>
      </c>
      <c r="L112" s="3">
        <f>0+(392.3-113.2)+(0+(0-0))+0-32-0</f>
        <v>247.10000000000002</v>
      </c>
      <c r="M112" s="3">
        <f>0+(382.6-92.2)+(0+(-0.585378--0.141066))+0-32--0.0489600000000018</f>
        <v>258.00464800000003</v>
      </c>
      <c r="N112" s="3">
        <f>0+(463.2-153.1)+(0+(-0.236232--0.078081))+0-32--0.0163199999999968</f>
        <v>277.95816900000005</v>
      </c>
      <c r="O112" s="3">
        <f>0+(577.6-250.1)+(0+(0.589152-0.255102))+0-31-0.0316200000000049</f>
        <v>296.80242999999996</v>
      </c>
      <c r="P112" s="3">
        <f>0+(680.9-327.4)+(0+(0.694518-0.333948))+0-30-0.0306000000000048</f>
        <v>323.82997</v>
      </c>
      <c r="Q112" s="3">
        <f>0+(702.3-343.8)+(0+(0.716346-0.350676))+0-30-0.0306000000000048</f>
        <v>328.83506999999997</v>
      </c>
      <c r="R112" s="3">
        <f>0+(709.2-353.7)+(0+(0-0))+30-29-0</f>
        <v>356.50000000000006</v>
      </c>
      <c r="S112" s="3">
        <f>0+(655-303.7)+(0+(0-0))+30-29-0</f>
        <v>352.3</v>
      </c>
      <c r="T112" s="3">
        <f>0+(621-272.6)+(0+(0.31671-0.139026))+30-28-0.0142799999999972</f>
        <v>350.56340399999999</v>
      </c>
      <c r="U112" s="3">
        <f>0+(553.7-218.3)+(0+(0-0))+30-28-0</f>
        <v>337.40000000000003</v>
      </c>
      <c r="V112" s="3">
        <f>0+(514.6-180.9)+(0+(0-0))+30-28-0</f>
        <v>335.70000000000005</v>
      </c>
      <c r="W112" s="3">
        <f>0+(558-223.9)+(0+(-0.56916--0.228378))+30-28--0.0285600000000045</f>
        <v>335.78777800000006</v>
      </c>
      <c r="X112" s="3">
        <f>0+(605.2-272.2)+(0+(0-0))+22.5-28-0</f>
        <v>327.50000000000006</v>
      </c>
      <c r="Y112" s="3">
        <f>0+(639.3-289.1)+(0+(0.326043-0.147441))+0-29-0.0147899999999971</f>
        <v>321.36381199999994</v>
      </c>
      <c r="Z112" s="3">
        <f>0+(656-274.4)+(0+(0-0))+0-29-0</f>
        <v>352.6</v>
      </c>
      <c r="AA112" s="3">
        <f>0+(634.4-245.7)+(0+(-0.323544--0.125307))+0-32--0.0163199999999968</f>
        <v>356.51808299999999</v>
      </c>
      <c r="AB112" s="3">
        <f>0+(598-222.2)+(0+(0-0))+0-32-0</f>
        <v>343.8</v>
      </c>
      <c r="AC112" s="3">
        <f>0+(571.4-203.2)+(0+(0-0))+0-32-0</f>
        <v>336.2</v>
      </c>
      <c r="AD112">
        <f t="shared" si="1"/>
        <v>7615.2444779999987</v>
      </c>
      <c r="AE112" s="3">
        <f>0+(628.8-239.4)+(0+(0-0))+0-31-0</f>
        <v>358.4</v>
      </c>
    </row>
    <row r="113" spans="1:31" s="2" customFormat="1" x14ac:dyDescent="0.25">
      <c r="A113">
        <v>89</v>
      </c>
      <c r="B113">
        <v>4</v>
      </c>
      <c r="C113">
        <v>20</v>
      </c>
      <c r="D113">
        <v>2</v>
      </c>
      <c r="E113">
        <v>1</v>
      </c>
      <c r="F113" s="3">
        <f>0+(536-167.9)+(0+(0-0))+0-33-0</f>
        <v>335.1</v>
      </c>
      <c r="G113" s="3">
        <f>0+(541.2-186.9)+(0+(-0.828036--0.285957))+0-32--0.0489600000000018</f>
        <v>321.80688100000009</v>
      </c>
      <c r="H113" s="3">
        <f>0+(536.7-192.3)+(0+(-0.547434--0.196146))+0-32--0.0326400000000051</f>
        <v>312.08135200000004</v>
      </c>
      <c r="I113" s="3">
        <f>0+(395.8-65.4)+(0+(-0.605574--0.100062))+0-31--0.0474300000000018</f>
        <v>298.94191799999999</v>
      </c>
      <c r="J113" s="3">
        <f>0+(327.3-3.7)+(0+(0-0))+0-32-0</f>
        <v>291.60000000000002</v>
      </c>
      <c r="K113" s="3">
        <f>0+(348.2-24.3)+(0+(0-0))+0-32-0</f>
        <v>291.89999999999998</v>
      </c>
      <c r="L113" s="3">
        <f>0+(315.7-0)+(0+(-0.322014-0))+0-29--0.0295800000000046</f>
        <v>286.40756599999997</v>
      </c>
      <c r="M113" s="3">
        <f>0+(340.8-0)+(0+(-0.173808-0))+0-25--0.0127499999999975</f>
        <v>315.63894199999999</v>
      </c>
      <c r="N113" s="3">
        <f>0+(456.3-103.9)+(0+(0.232713-0.052989))+0-31-0.0158099999999969</f>
        <v>321.56391400000001</v>
      </c>
      <c r="O113" s="3">
        <f>0+(618-217.3)+(0+(0.31518-0.110823))+0-30-0.015299999999997</f>
        <v>370.88905699999998</v>
      </c>
      <c r="P113" s="3">
        <f>0+(554.2-153.9)+(0+(0.565284-0.156978))+0-30-0.0306000000000048</f>
        <v>370.67770600000006</v>
      </c>
      <c r="Q113" s="3">
        <f>0+(521.9-119.6)+(0+(0.532338-0.121992))+10.7-29-0.0295800000000046</f>
        <v>384.38076599999994</v>
      </c>
      <c r="R113" s="3">
        <f>0+(490.6-95.2)+(0+(0.250206-0.048552))+32-29-0.0147899999999971</f>
        <v>398.58686400000005</v>
      </c>
      <c r="S113" s="3">
        <f>0+(427.1-46.3)+(0+(0.217821-0.023613))+32-28-0.0142799999999972</f>
        <v>384.97992800000003</v>
      </c>
      <c r="T113" s="3">
        <f>0+(422-44.9)+(0+(0.21522-0.022899))+32-28-0.0142799999999972</f>
        <v>381.27804100000003</v>
      </c>
      <c r="U113" s="3">
        <f>0+(426.8-53.5)+(0+(0.435336-0.05457))+32-28-0.0285600000000045</f>
        <v>377.65220599999998</v>
      </c>
      <c r="V113" s="3">
        <f>0+(431.4-54.2)+(0+(0-0))+32-29-0</f>
        <v>380.2</v>
      </c>
      <c r="W113" s="3">
        <f>0+(413.4-34.7)+(0+(-0.843336--0.070788))+32-31--0.0632399999999986</f>
        <v>378.99069200000002</v>
      </c>
      <c r="X113" s="3">
        <f>0+(533.5-145.9)+(0+(0-0))+13.3-2-0</f>
        <v>398.90000000000003</v>
      </c>
      <c r="Y113" s="3">
        <f>0+(636.8-237.2)+(0+(-0.324768--0.120972))+0-32--0.0163199999999968</f>
        <v>367.41252399999996</v>
      </c>
      <c r="Z113" s="3">
        <f>0+(537.8-127.4)+(0+(0.274278-0.064974))+0-33-0.0168299999999967</f>
        <v>377.59247399999998</v>
      </c>
      <c r="AA113" s="3">
        <f>0+(537.2-119.5)+(0+(-0.547944--0.12189))+0-32--0.0326400000000051</f>
        <v>385.30658600000004</v>
      </c>
      <c r="AB113" s="3">
        <f>0+(525.4-115.2)+(0+(-0.267954--0.058752))+0-32--0.0163199999999968</f>
        <v>378.00711799999999</v>
      </c>
      <c r="AC113" s="3">
        <f>0+(462.3-65.9)+(0+(-0.235773--0.033609))+0-32--0.0163199999999968</f>
        <v>364.214156</v>
      </c>
      <c r="AD113">
        <f t="shared" si="1"/>
        <v>8474.1086909999976</v>
      </c>
      <c r="AE113" s="3">
        <f>0+(524.6-119.7)+(0+(0-0))+0-32-0</f>
        <v>372.90000000000003</v>
      </c>
    </row>
    <row r="114" spans="1:31" s="2" customFormat="1" x14ac:dyDescent="0.25">
      <c r="A114">
        <v>89</v>
      </c>
      <c r="B114">
        <v>4</v>
      </c>
      <c r="C114">
        <v>21</v>
      </c>
      <c r="D114">
        <v>3</v>
      </c>
      <c r="E114">
        <v>1</v>
      </c>
      <c r="F114" s="3">
        <f>0+(445.4-54.1)+(0+(-0.454308--0.055182))+0-32--0.0326400000000051</f>
        <v>358.93351399999995</v>
      </c>
      <c r="G114" s="3">
        <f>0+(471.1-90.1)+(0+(-0.240261--0.045951))+0-32--0.0163199999999968</f>
        <v>348.82201000000003</v>
      </c>
      <c r="H114" s="3">
        <f>0+(400.7-35.7)+(0+(-0.817428--0.072828))+0-32--0.0652799999999986</f>
        <v>332.32067999999998</v>
      </c>
      <c r="I114" s="3">
        <f>0+(385.4-23.1)+(0+(0.393108-0.023562))+0-32-0.0326400000000051</f>
        <v>330.63690599999995</v>
      </c>
      <c r="J114" s="3">
        <f>0+(398.1-41.9)+(0+(-0.406062--0.042738))+0-32--0.0326400000000051</f>
        <v>323.86931600000008</v>
      </c>
      <c r="K114" s="3">
        <f>0+(450.8-109.9)+(0+(-0.459816--0.112098))+0-32--0.0326400000000051</f>
        <v>308.58492200000001</v>
      </c>
      <c r="L114" s="3">
        <f>0+(464.3-128.3)+(0+(0-0))+0-32-0</f>
        <v>304</v>
      </c>
      <c r="M114" s="3">
        <f>0+(485.3-132)+(0+(0-0))+0-33-0</f>
        <v>320.3</v>
      </c>
      <c r="N114" s="3">
        <f>0+(604.6-208.2)+(0+(0-0))+0-33-0</f>
        <v>363.40000000000003</v>
      </c>
      <c r="O114" s="3">
        <f>0+(601.1-202.6)+(0+(0-0))+0-33-0</f>
        <v>365.5</v>
      </c>
      <c r="P114" s="3">
        <f>0+(626.2-214)+(0+(0-0))+0-33-0</f>
        <v>379.20000000000005</v>
      </c>
      <c r="Q114" s="3">
        <f>0+(573.2-158.6)+(0+(1.169328-0.323544))+30-31-0.0632399999999986</f>
        <v>414.382544</v>
      </c>
      <c r="R114" s="3">
        <f>0+(563.9-159.5)+(0+(-0.575178--0.16269))+30-31--0.0316200000000049</f>
        <v>403.01913200000001</v>
      </c>
      <c r="S114" s="3">
        <f>0+(536.8-136.9)+(0+(0.273768-0.069819))+30-31-0.0158099999999969</f>
        <v>399.08813900000001</v>
      </c>
      <c r="T114" s="3">
        <f>0+(435.9-34.5)+(0+(0.222309-0.017595))+30-31-0.0158099999999969</f>
        <v>400.58890400000001</v>
      </c>
      <c r="U114" s="3">
        <f>0+(426.2-41.6)+(0+(0.434724-0.042432))+30-31-0.0316200000000049</f>
        <v>383.96067199999993</v>
      </c>
      <c r="V114" s="3">
        <f>0+(440.4-56.4)+(0+(-0.224604--0.028764))+30-31--0.0158099999999969</f>
        <v>382.81997000000001</v>
      </c>
      <c r="W114" s="3">
        <f>0+(496.6-123)+(0+(-0.759798--0.18819))+30-31--0.0474300000000018</f>
        <v>372.07582200000002</v>
      </c>
      <c r="X114" s="3">
        <f>0+(608-234.7)+(0+(-0.93024--0.359091))+10-31--0.0474300000000018</f>
        <v>351.77628100000004</v>
      </c>
      <c r="Y114" s="3">
        <f>0+(654-279.7)+(0+(-0.33354--0.142647))+0-31--0.0158099999999969</f>
        <v>343.12491699999998</v>
      </c>
      <c r="Z114" s="3">
        <f>0+(657.8-255.9)+(0+(0.335478-0.130509))+0-32-0.0163199999999968</f>
        <v>370.08864899999998</v>
      </c>
      <c r="AA114" s="3">
        <f>0+(604-196.8)+(0+(-0.30804--0.100368))+0-32--0.0163199999999968</f>
        <v>375.00864799999999</v>
      </c>
      <c r="AB114" s="3">
        <f>0+(582.9-185.9)+(0+(-0.297279--0.094809))+0-30--0.015299999999997</f>
        <v>366.81283000000002</v>
      </c>
      <c r="AC114" s="3">
        <f>0+(517-137)+(0+(0-0))+0-32-0</f>
        <v>348</v>
      </c>
      <c r="AD114">
        <f t="shared" si="1"/>
        <v>8646.3138560000025</v>
      </c>
      <c r="AE114" s="3">
        <f>0+(570.6-180.9)+(0+(0-0))+0-30-0</f>
        <v>359.70000000000005</v>
      </c>
    </row>
    <row r="115" spans="1:31" s="2" customFormat="1" x14ac:dyDescent="0.25">
      <c r="A115">
        <v>89</v>
      </c>
      <c r="B115">
        <v>4</v>
      </c>
      <c r="C115">
        <v>22</v>
      </c>
      <c r="D115">
        <v>4</v>
      </c>
      <c r="E115">
        <v>1</v>
      </c>
      <c r="F115" s="3">
        <f>0+(522.8-142.7)+(0+(0-0))+0-32-0</f>
        <v>348.09999999999997</v>
      </c>
      <c r="G115" s="3">
        <f>0+(483.5-111)+(0+(-0.49317--0.11322))+0-31--0.0316200000000049</f>
        <v>341.15167000000002</v>
      </c>
      <c r="H115" s="3">
        <f>0+(354.6-8.9)+(0+(0.180846-0.004539))+0-16-0.00815999999999838</f>
        <v>329.86814700000008</v>
      </c>
      <c r="I115" s="3">
        <f>0+(348.3-3.3)+(0+(0-0))+0-31-0</f>
        <v>314</v>
      </c>
      <c r="J115" s="3">
        <f>0+(315-40)+(0+(0.48195-0.0612))+0-32-0.0489600000000018</f>
        <v>243.37179</v>
      </c>
      <c r="K115" s="3">
        <f>0+(309.4-24)+(0+(0-0))+0-32-0</f>
        <v>253.39999999999998</v>
      </c>
      <c r="L115" s="3">
        <f>0+(296.7-29.2)+(0+(-0.151317--0.014892))+0-32--0.0163199999999968</f>
        <v>235.37989500000003</v>
      </c>
      <c r="M115" s="3">
        <f>0+(361.6-55.8)+(0+(0-0))+0-32-0</f>
        <v>273.8</v>
      </c>
      <c r="N115" s="3">
        <f>0+(529.4-169.9)+(0+(1.079976-0.346596))+0-32-0.0652799999999986</f>
        <v>328.16810000000004</v>
      </c>
      <c r="O115" s="3">
        <f>0+(620.8-215.4)+(0+(0-0))+0-32-0</f>
        <v>373.4</v>
      </c>
      <c r="P115" s="3">
        <f>0+(608.5-214.6)+(0+(0.931005-0.328338))+0-32-0.0489600000000018</f>
        <v>362.45370699999995</v>
      </c>
      <c r="Q115" s="3">
        <f>0+(534.7-141.2)+(0+(0.272697-0.072012))+0-32-0.0163199999999968</f>
        <v>361.68436500000007</v>
      </c>
      <c r="R115" s="3">
        <f>0+(553.2-133.6)+(0+(-0.564264--0.136272))+20-31--0.0316200000000049</f>
        <v>408.20362800000004</v>
      </c>
      <c r="S115" s="3">
        <f>0+(456.6-54.2)+(0+(0-0))+30-32-0</f>
        <v>400.40000000000003</v>
      </c>
      <c r="T115" s="3">
        <f>0+(472.5-53.7)+(0+(0.722925-0.082161))+30-32-0.0489600000000018</f>
        <v>417.39180399999998</v>
      </c>
      <c r="U115" s="3">
        <f>0+(474.9-63.6)+(0+(-0.242199--0.032436))+30-32--0.0163199999999968</f>
        <v>409.10655699999995</v>
      </c>
      <c r="V115" s="3">
        <f>0+(519.5-105.6)+(0+(-0.264945--0.053856))+30-32--0.0163199999999968</f>
        <v>411.70523099999997</v>
      </c>
      <c r="W115" s="3">
        <f>0+(516-129.1)+(0+(-1.57896--0.395046))+30-32--0.0979200000000037</f>
        <v>383.81400599999995</v>
      </c>
      <c r="X115" s="3">
        <f>0+(612.8-214.9)+(0+(-1.250112--0.438396))+0-30--0.0611999999999987</f>
        <v>367.14948399999997</v>
      </c>
      <c r="Y115" s="3">
        <f>0+(651.3-239.3)+(0+(-0.996489--0.366129))+0-32--0.0489600000000018</f>
        <v>379.41859999999997</v>
      </c>
      <c r="Z115" s="3">
        <f>0+(604.4-180)+(0+(0.308244-0.0918))+0-32-0.0163199999999968</f>
        <v>392.60012399999999</v>
      </c>
      <c r="AA115" s="3">
        <f>0+(604-165.5)+(0+(-1.23216--0.33762))+0-32--0.0652799999999986</f>
        <v>405.67073999999997</v>
      </c>
      <c r="AB115" s="3">
        <f>0+(555.3-132.4)+(0+(-1.132812--0.270096))+0-31--0.0632399999999986</f>
        <v>391.10052400000001</v>
      </c>
      <c r="AC115" s="3">
        <f>0+(553.2-141.1)+(0+(0.564264-0.143922))+0-31-0.0316200000000049</f>
        <v>381.488722</v>
      </c>
      <c r="AD115">
        <f t="shared" si="1"/>
        <v>8512.8270939999984</v>
      </c>
      <c r="AE115" s="3">
        <f>0+(577-175)+(0+(0-0))+0-32-0</f>
        <v>370</v>
      </c>
    </row>
    <row r="116" spans="1:31" s="2" customFormat="1" x14ac:dyDescent="0.25">
      <c r="A116">
        <v>89</v>
      </c>
      <c r="B116">
        <v>4</v>
      </c>
      <c r="C116">
        <v>23</v>
      </c>
      <c r="D116">
        <v>5</v>
      </c>
      <c r="E116">
        <v>1</v>
      </c>
      <c r="F116" s="3">
        <f>0+(490.3-98.2)+(0+(-0.500106--0.100164))+0-31--0.0316200000000049</f>
        <v>360.73167800000004</v>
      </c>
      <c r="G116" s="3">
        <f>0+(451.7-78.6)+(0+(-0.230367--0.040086))+0-32--0.0163199999999968</f>
        <v>340.926039</v>
      </c>
      <c r="H116" s="3">
        <f>0+(348.3-8.4)+(0+(-0.355266--0.008568))+0-30--0.0306000000000048</f>
        <v>309.58390200000002</v>
      </c>
      <c r="I116" s="3">
        <f>0+(363-3.9)+(0+(-0.37026--0.003978))+0-31--0.0316200000000049</f>
        <v>327.76533800000004</v>
      </c>
      <c r="J116" s="3">
        <f>0+(353.6-0)+(0+(0.541008-0))+0-32-0.0489600000000018</f>
        <v>322.09204799999998</v>
      </c>
      <c r="K116" s="3">
        <f>0+(358.2-8)+(0+(-0.365364--0.00816))+0-31--0.0316200000000049</f>
        <v>318.874416</v>
      </c>
      <c r="L116" s="3">
        <f>0+(387.1-42.8)+(0+(-0.197421--0.021828))+0-31--0.0158099999999969</f>
        <v>313.14021700000001</v>
      </c>
      <c r="M116" s="3">
        <f>0+(426.5-57.6)+(0+(0.652545-0.088128))+0-32-0.0489600000000018</f>
        <v>337.41545699999995</v>
      </c>
      <c r="N116" s="3">
        <f>0+(570-170.5)+(0+(-0.2907--0.086955))+0-32--0.0163199999999968</f>
        <v>367.31257499999998</v>
      </c>
      <c r="O116" s="3">
        <f>0+(742.6-315.6)+(0+(0.757452-0.321912))+0-28-0.0285600000000045</f>
        <v>399.40697999999998</v>
      </c>
      <c r="P116" s="3">
        <f>0+(723.9-312.6)+(0+(0.369189-0.159426))+4.2-29-0.0147899999999971</f>
        <v>386.69497299999995</v>
      </c>
      <c r="Q116" s="3">
        <f>0+(718-280)+(0+(-0.36618--0.1428))+10-32--0.0163199999999968</f>
        <v>415.79293999999999</v>
      </c>
      <c r="R116" s="3">
        <f>0+(660.1-241)+(0+(-0.673302--0.24582))+10-32--0.0326400000000051</f>
        <v>396.70515800000004</v>
      </c>
      <c r="S116" s="3">
        <f>0+(612.2-191.8)+(0+(0-0))+10-33-0</f>
        <v>397.40000000000003</v>
      </c>
      <c r="T116" s="3">
        <f>0+(603.8-183.1)+(0+(0.307938-0.093381))+10-31-0.0158099999999969</f>
        <v>399.89874699999996</v>
      </c>
      <c r="U116" s="3">
        <f>0+(601.7-184.3)+(0+(-0.306867--0.093993))+10-32--0.0163199999999968</f>
        <v>395.20344600000004</v>
      </c>
      <c r="V116" s="3">
        <f>0+(608.2-187.7)+(0+(-0.620364--0.191454))+10-28--0.0285600000000045</f>
        <v>402.09965000000011</v>
      </c>
      <c r="W116" s="3">
        <f>0+(684.3-267.7)+(0+(1.046979-0.409581))+10-30-0.0459000000000017</f>
        <v>397.19149799999997</v>
      </c>
      <c r="X116" s="3">
        <f>0+(742.3-308.4)+(0+(-0.757146--0.314568))+1.7-32--0.0326400000000051</f>
        <v>403.19006199999995</v>
      </c>
      <c r="Y116" s="3">
        <f>0+(685.9-290.1)+(0+(0.349809-0.147951))+0-32-0.0163199999999968</f>
        <v>363.98553799999996</v>
      </c>
      <c r="Z116" s="3">
        <f>0+(695.3-276.4)+(0+(0.709206-0.281928))+0-32-0.0326400000000051</f>
        <v>387.29463799999996</v>
      </c>
      <c r="AA116" s="3">
        <f>0+(644.3-216.9)+(0+(-0.985779--0.331857))+0-31--0.0474300000000018</f>
        <v>395.79350799999997</v>
      </c>
      <c r="AB116" s="3">
        <f>0+(608.4-196.7)+(0+(-0.310284--0.100317))+0-30--0.015299999999997</f>
        <v>381.50533300000001</v>
      </c>
      <c r="AC116" s="3">
        <f>0+(599.9-192.6)+(0+(-0.305949--0.098226))+0-32--0.0163199999999968</f>
        <v>375.10859699999997</v>
      </c>
      <c r="AD116">
        <f t="shared" si="1"/>
        <v>8895.1127379999998</v>
      </c>
      <c r="AE116" s="3">
        <f>0+(625.5-204.5)+(0+(0-0))+0-32-0</f>
        <v>389</v>
      </c>
    </row>
    <row r="117" spans="1:31" s="2" customFormat="1" x14ac:dyDescent="0.25">
      <c r="A117">
        <v>89</v>
      </c>
      <c r="B117">
        <v>4</v>
      </c>
      <c r="C117">
        <v>24</v>
      </c>
      <c r="D117">
        <v>6</v>
      </c>
      <c r="E117">
        <v>1</v>
      </c>
      <c r="F117" s="3">
        <f>0+(558.4-154.8)+(0+(-0.284784--0.078948))+0-31--0.0158099999999969</f>
        <v>372.40997399999998</v>
      </c>
      <c r="G117" s="3">
        <f>0+(521.4-136)+(0+(-0.265914--0.06936))+0-31--0.0158099999999969</f>
        <v>354.21925599999997</v>
      </c>
      <c r="H117" s="3">
        <f>0+(484.7-110.2)+(0+(0.988788-0.224808))+0-32-0.0652799999999986</f>
        <v>343.19870000000003</v>
      </c>
      <c r="I117" s="3">
        <f>0+(400.8-40.4)+(0+(-0.408816--0.041208))+0-32--0.0326400000000051</f>
        <v>328.06503200000003</v>
      </c>
      <c r="J117" s="3">
        <f>0+(391.1-29.5)+(0+(-0.199461--0.015045))+0-32--0.0163199999999968</f>
        <v>329.43190400000003</v>
      </c>
      <c r="K117" s="3">
        <f>0+(489.1-127.1)+(0+(-0.498882--0.129642))+0-12--0.0122400000000019</f>
        <v>349.64300000000003</v>
      </c>
      <c r="L117" s="3">
        <f>0+(423-74.5)+(0+(-0.43146--0.07599))+0-32--0.0326400000000051</f>
        <v>316.17716999999999</v>
      </c>
      <c r="M117" s="3">
        <f>0+(435.9-79.4)+(0+(-0.222309--0.040494))+0-32--0.0163199999999968</f>
        <v>324.33450500000004</v>
      </c>
      <c r="N117" s="3">
        <f>0+(623.4-213.4)+(0+(0.317934-0.108834))+0-30-0.015299999999997</f>
        <v>380.19379999999995</v>
      </c>
      <c r="O117" s="3">
        <f>0+(594.6-187.8)+(0+(1.51623-0.47889))+0-32-0.0815999999999954</f>
        <v>375.75574</v>
      </c>
      <c r="P117" s="3">
        <f>0+(670-247)+(0+(0.3417-0.12597))+15-32-0.0163199999999968</f>
        <v>406.19941</v>
      </c>
      <c r="Q117" s="3">
        <f>0+(693.9-271)+(0+(0.353889-0.13821))+24-30-0.015299999999997</f>
        <v>417.10037899999998</v>
      </c>
      <c r="R117" s="3">
        <f>0+(634.9-225.6)+(0+(-0.323799--0.115056))+24-30--0.015299999999997</f>
        <v>403.10655699999995</v>
      </c>
      <c r="S117" s="3">
        <f>0+(642.6-245)+(0+(-0.655452--0.2499))+24-29--0.0295800000000046</f>
        <v>392.22402800000003</v>
      </c>
      <c r="T117" s="3">
        <f>0+(623.5-231.8)+(0+(-0.317985--0.118218))+24-29--0.0147899999999971</f>
        <v>386.51502299999999</v>
      </c>
      <c r="U117" s="3">
        <f>0+(621.9-238.9)+(0+(-0.317169--0.121839))+24-29--0.0147899999999971</f>
        <v>377.81945999999999</v>
      </c>
      <c r="V117" s="3">
        <f>0+(667.2-272.7)+(0+(0-0))+12-28-0</f>
        <v>378.50000000000006</v>
      </c>
      <c r="W117" s="3">
        <f>0+(696.5-315.6)+(0+(-0.71043--0.321912))+0-29--0.0295800000000046</f>
        <v>351.54106200000001</v>
      </c>
      <c r="X117" s="3">
        <f>0+(724-334.5)+(0+(-1.8462--0.852975))+0-30--0.0764999999999956</f>
        <v>358.58327500000001</v>
      </c>
      <c r="Y117" s="3">
        <f>0+(568.1-196.9)+(0+(-0.289731--0.100419))+0-31--0.0158099999999969</f>
        <v>340.02649800000006</v>
      </c>
      <c r="Z117" s="3">
        <f>0+(673.8-274.6)+(0+(-0.687276--0.280092))+0-31--0.0316200000000049</f>
        <v>367.82443599999999</v>
      </c>
      <c r="AA117" s="3">
        <f>0+(703.4-302.2)+(0+(-1.076202--0.462366))+0-32--0.0489600000000018</f>
        <v>368.63512400000002</v>
      </c>
      <c r="AB117" s="3">
        <f>0+(710.8-305.7)+(0+(-0.362508--0.155907))+0-32--0.0163199999999968</f>
        <v>372.909719</v>
      </c>
      <c r="AC117" s="3">
        <f>0+(602.8-218.8)+(0+(-0.922284--0.334764))+0-32--0.0489600000000018</f>
        <v>351.46143999999998</v>
      </c>
      <c r="AD117">
        <f t="shared" si="1"/>
        <v>8745.8754919999992</v>
      </c>
      <c r="AE117" s="3">
        <f>0+(654.6-269.6)+(0+(0-0))+0-22-0</f>
        <v>363</v>
      </c>
    </row>
    <row r="118" spans="1:31" s="2" customFormat="1" x14ac:dyDescent="0.25">
      <c r="A118">
        <v>89</v>
      </c>
      <c r="B118">
        <v>4</v>
      </c>
      <c r="C118">
        <v>25</v>
      </c>
      <c r="D118">
        <v>7</v>
      </c>
      <c r="E118">
        <v>1</v>
      </c>
      <c r="F118" s="3">
        <f>0+(590.3-220.6)+(0+(0.903159-0.337518))+0-31-0.0474300000000018</f>
        <v>339.21821099999994</v>
      </c>
      <c r="G118" s="3">
        <f>0+(483.4-140.2)+(0+(-0.246534--0.071502))+0-31--0.0158099999999969</f>
        <v>312.04077799999999</v>
      </c>
      <c r="H118" s="3">
        <f>0+(341.4-20.2)+(0+(0.174114-0.010302))+0-31-0.0158099999999969</f>
        <v>290.34800200000001</v>
      </c>
      <c r="I118" s="3">
        <f>0+(308.4-20)+(0+(0.157284-0.0102))+0-31-0.0158099999999969</f>
        <v>257.531274</v>
      </c>
      <c r="J118" s="3">
        <f>0+(316-30)+(0+(-0.48348--0.0459))+0-31--0.0474300000000018</f>
        <v>254.60984999999997</v>
      </c>
      <c r="K118" s="3">
        <f>0+(292.1-30)+(0+(-0.893826--0.0918))+0-31--0.0948600000000036</f>
        <v>230.39283400000002</v>
      </c>
      <c r="L118" s="3">
        <f>0+(290.6-30)+(0+(-0.74103--0.0765))+0-31--0.0790499999999955</f>
        <v>229.01452</v>
      </c>
      <c r="M118" s="3">
        <f>0+(268.8-30)+(0+(0-0))+0-31-0</f>
        <v>207.8</v>
      </c>
      <c r="N118" s="3">
        <f>0+(281.2-30)+(0+(-0.286824--0.0306))+0-31--0.0316200000000049</f>
        <v>219.97539599999999</v>
      </c>
      <c r="O118" s="3">
        <f>0+(312-30)+(0+(-0.31824--0.0306))+0-31--0.0316200000000049</f>
        <v>250.74397999999999</v>
      </c>
      <c r="P118" s="3">
        <f>0+(505.8-165.9)+(0+(-0.257958--0.084609))+0-31--0.0158099999999969</f>
        <v>308.74246099999999</v>
      </c>
      <c r="Q118" s="3">
        <f>0+(618.4-260.6)+(0+(-0.630768--0.265812))+0-31--0.0316200000000049</f>
        <v>326.46666399999998</v>
      </c>
      <c r="R118" s="3">
        <f>0+(502.5-148)+(0+(-0.256275--0.07548))+12-32--0.0163199999999968</f>
        <v>334.33552500000002</v>
      </c>
      <c r="S118" s="3">
        <f>0+(499.6-147)+(0+(-0.254796--0.07497))+12-32--0.0163199999999968</f>
        <v>332.43649400000004</v>
      </c>
      <c r="T118" s="3">
        <f>0+(570.1-212.4)+(0+(0.581502-0.216648))+12-32-0.0326400000000051</f>
        <v>338.03221400000001</v>
      </c>
      <c r="U118" s="3">
        <f>0+(590.9-235.6)+(0+(-0.602718--0.240312))+12-30--0.0306000000000048</f>
        <v>336.96819399999993</v>
      </c>
      <c r="V118" s="3">
        <f>0+(598-246.7)+(0+(0.60996-0.251634))+12-30-0.0306000000000048</f>
        <v>333.627726</v>
      </c>
      <c r="W118" s="3">
        <f>0+(602.5-243.8)+(0+(-0.61455--0.248676))+2-31--0.0316200000000049</f>
        <v>329.365746</v>
      </c>
      <c r="X118" s="3">
        <f>0+(566.3-214.6)+(0+(-2.021691--0.766122))+0-31--0.11067</f>
        <v>319.55510099999998</v>
      </c>
      <c r="Y118" s="3">
        <f>0+(583.2-230)+(0+(0.594864-0.2346))+0-31-0.0316200000000049</f>
        <v>322.52864399999999</v>
      </c>
      <c r="Z118" s="3">
        <f>0+(617.8-242.3)+(0+(-0.945234--0.370719))+0-31--0.0474300000000018</f>
        <v>343.97291499999994</v>
      </c>
      <c r="AA118" s="3">
        <f>0+(659.8-263.1)+(0+(-0.672996--0.268362))+0-31--0.0316200000000049</f>
        <v>365.32698599999998</v>
      </c>
      <c r="AB118" s="3">
        <f>0+(631.3-243.1)+(0+(0-0))+0-31-0</f>
        <v>357.19999999999993</v>
      </c>
      <c r="AC118" s="3">
        <f>0+(588.5-212.4)+(0+(-0.60027--0.216648))+0-31--0.0316200000000049</f>
        <v>344.74799800000005</v>
      </c>
      <c r="AD118">
        <f t="shared" si="1"/>
        <v>7284.9815129999997</v>
      </c>
      <c r="AE118" s="3">
        <f>0+(683.6-293)+(0+(0-0))+0-32-0</f>
        <v>358.6</v>
      </c>
    </row>
    <row r="119" spans="1:31" s="2" customFormat="1" x14ac:dyDescent="0.25">
      <c r="A119">
        <v>89</v>
      </c>
      <c r="B119">
        <v>4</v>
      </c>
      <c r="C119">
        <v>26</v>
      </c>
      <c r="D119">
        <v>1</v>
      </c>
      <c r="E119">
        <v>1</v>
      </c>
      <c r="F119" s="3">
        <f>0+(530.7-161.8)+(0+(-0.811971--0.247554))+0-31--0.0474300000000018</f>
        <v>337.38301300000006</v>
      </c>
      <c r="G119" s="3">
        <f>0+(350.4-0)+(0+(-0.536112-0))+0-31--0.0474300000000018</f>
        <v>318.91131799999999</v>
      </c>
      <c r="H119" s="3">
        <f>0+(341-0)+(0+(-0.17391-0))+0-31--0.0158099999999969</f>
        <v>309.84190000000001</v>
      </c>
      <c r="I119" s="3">
        <f>0+(340.7-0)+(0+(-1.042542-0))+0-31--0.0948600000000036</f>
        <v>308.75231799999995</v>
      </c>
      <c r="J119" s="3">
        <f>0+(338.5-0)+(0+(-0.34527-0))+0-31--0.0316200000000049</f>
        <v>307.18635</v>
      </c>
      <c r="K119" s="3">
        <f>0+(332.3-2)+(0+(-0.677892--0.00408))+0-32--0.0652799999999986</f>
        <v>297.69146799999999</v>
      </c>
      <c r="L119" s="3">
        <f>0+(326.8-2)+(0+(-0.83334--0.0051))+0-32--0.0815999999999954</f>
        <v>292.05336</v>
      </c>
      <c r="M119" s="3">
        <f>0+(352.6-0)+(0+(0.179826-0))+0-32-0.0163199999999968</f>
        <v>320.76350600000001</v>
      </c>
      <c r="N119" s="3">
        <f>0+(628.9-236.6)+(0+(0-0))+0-32-0</f>
        <v>360.29999999999995</v>
      </c>
      <c r="O119" s="3">
        <f>0+(758.2-338.5)+(0+(0.386682-0.172635))+0-31-0.0158099999999969</f>
        <v>388.89823700000005</v>
      </c>
      <c r="P119" s="3">
        <f>0+(737.5-309.3)+(0+(0.376125-0.157743))+25-31-0.0158099999999969</f>
        <v>422.40257200000002</v>
      </c>
      <c r="Q119" s="3">
        <f>0+(763.7-326.2)+(0+(0-0))+25-31-0</f>
        <v>431.50000000000006</v>
      </c>
      <c r="R119" s="3">
        <f>0+(778.1-334.8)+(0+(0-0))+25-32-0</f>
        <v>436.3</v>
      </c>
      <c r="S119" s="3">
        <f>0+(734.7-301.2)+(0+(0-0))+25-32-0</f>
        <v>426.50000000000006</v>
      </c>
      <c r="T119" s="3">
        <f>0+(712.1-278.7)+(0+(0.363171-0.142137))+25-31-0.0158099999999969</f>
        <v>427.60522400000002</v>
      </c>
      <c r="U119" s="3">
        <f>0+(714.8-296.3)+(0+(0.729096-0.302226))+25-32-0.0326400000000051</f>
        <v>411.89422999999994</v>
      </c>
      <c r="V119" s="3">
        <f>0+(735.9-319.6)+(0+(-0.375309--0.162996))+25-31--0.0158099999999969</f>
        <v>410.10349699999995</v>
      </c>
      <c r="W119" s="3">
        <f>0+(754.2-344.2)+(0+(0-0))+6.3-31-0</f>
        <v>385.30000000000007</v>
      </c>
      <c r="X119" s="3">
        <f>0+(789.3-389.1)+(0+(-1.207629--0.595323))+0-32--0.0489600000000018</f>
        <v>367.63665399999996</v>
      </c>
      <c r="Y119" s="3">
        <f>0+(712.5-322)+(0+(0-0))+0-30-0</f>
        <v>360.5</v>
      </c>
      <c r="Z119" s="3">
        <f>0+(711.6-303.7)+(0+(0-0))+0-31-0</f>
        <v>376.90000000000003</v>
      </c>
      <c r="AA119" s="3">
        <f>0+(755.1-325.9)+(0+(-1.155303--0.498627))+0-31--0.0474300000000018</f>
        <v>397.59075400000006</v>
      </c>
      <c r="AB119" s="3">
        <f>0+(736.3-318.4)+(0+(-1.502052--0.649536))+0-31--0.0632399999999986</f>
        <v>386.110724</v>
      </c>
      <c r="AC119" s="3">
        <f>0+(696.8-299.5)+(0+(-1.421472--0.61098))+0-32--0.0652799999999986</f>
        <v>364.55478799999992</v>
      </c>
      <c r="AD119">
        <f t="shared" si="1"/>
        <v>8846.6799129999981</v>
      </c>
      <c r="AE119" s="3">
        <f>0+(734.5-316.8)+(0+(0-0))+0-32-0</f>
        <v>385.7</v>
      </c>
    </row>
    <row r="120" spans="1:31" s="2" customFormat="1" x14ac:dyDescent="0.25">
      <c r="A120">
        <v>89</v>
      </c>
      <c r="B120">
        <v>4</v>
      </c>
      <c r="C120">
        <v>27</v>
      </c>
      <c r="D120">
        <v>2</v>
      </c>
      <c r="E120">
        <v>1</v>
      </c>
      <c r="F120" s="3">
        <f>0+(660.3-268.3)+(0+(-1.347012--0.547332))+0-32--0.0652799999999986</f>
        <v>359.26559999999989</v>
      </c>
      <c r="G120" s="3">
        <f>0+(585-210)+(0+(-0.29835--0.1071))+0-32--0.0163199999999968</f>
        <v>342.82506999999998</v>
      </c>
      <c r="H120" s="3">
        <f>0+(489.8-127.2)+(0+(0-0))+0-32-0</f>
        <v>330.6</v>
      </c>
      <c r="I120" s="3">
        <f>0+(433.3-72.9)+(0+(-0.662949--0.111537))+0-32--0.0489600000000018</f>
        <v>327.89754799999997</v>
      </c>
      <c r="J120" s="3">
        <f>0+(390-34.9)+(0+(-0.3978--0.035598))+0-33--0.0336600000000053</f>
        <v>321.771458</v>
      </c>
      <c r="K120" s="3">
        <f>0+(401.1-53.1)+(0+(-1.022805--0.135405))+0-14--0.035699999999998</f>
        <v>333.14830000000001</v>
      </c>
      <c r="L120" s="3">
        <f>0+(437.4-96)+(0+(-0.892296--0.19584))+0-32--0.0652799999999986</f>
        <v>308.76882399999994</v>
      </c>
      <c r="M120" s="3">
        <f>0+(416.5-48.6)+(0+(-0.212415--0.024786))+0-32--0.0163199999999968</f>
        <v>335.72869099999997</v>
      </c>
      <c r="N120" s="3">
        <f>0+(504.8-113.6)+(0+(-0.514896--0.115872))+0-19--0.019380000000003</f>
        <v>371.82035600000006</v>
      </c>
      <c r="O120" s="3">
        <f>0+(607.3-220.9)+(0+(0.309723-0.112659))+0-1-0.000509999999999899</f>
        <v>385.59655399999997</v>
      </c>
      <c r="P120" s="3">
        <f>0+(803.3-398.1)+(0+(0.409683-0.203031))+9-1-0.000509999999999899</f>
        <v>413.40614199999993</v>
      </c>
      <c r="Q120" s="3">
        <f>0+(792.1-378.7)+(0+(0.807942-0.386274))+27-1-0.00102000000000016</f>
        <v>439.82064800000006</v>
      </c>
      <c r="R120" s="3">
        <f>0+(727.3-315.8)+(0+(0.370923-0.161058))+27-4-0.00203999999999959</f>
        <v>434.7078249999999</v>
      </c>
      <c r="S120" s="3">
        <f>0+(750.6-341.3)+(0+(0.382806-0.174063))+27-4-0.00203999999999959</f>
        <v>432.50670300000002</v>
      </c>
      <c r="T120" s="3">
        <f>0+(750.8-341.3)+(0+(0.765816-0.348126))+27-5-0.0051000000000008</f>
        <v>431.91258999999991</v>
      </c>
      <c r="U120" s="3">
        <f>0+(764.6-358.5)+(0+(0.779892-0.36567))+27-7-0.00714000000000112</f>
        <v>426.50708200000003</v>
      </c>
      <c r="V120" s="3">
        <f>0+(797.4-388.8)+(0+(0.406674-0.198288))+27-7-0.00356999999999929</f>
        <v>428.80481599999996</v>
      </c>
      <c r="W120" s="3">
        <f>0+(805.2-400.5)+(0+(0-0))+4.5-7-0</f>
        <v>402.20000000000005</v>
      </c>
      <c r="X120" s="3">
        <f>0+(825.9-427.1)+(0+(-1.263627--0.653463))+0-8--0.0122400000000005</f>
        <v>390.20207599999998</v>
      </c>
      <c r="Y120" s="3">
        <f>0+(738.7-350.2)+(0+(-0.376737--0.178602))+0-10--0.00509999999999899</f>
        <v>378.3069650000001</v>
      </c>
      <c r="Z120" s="3">
        <f>0+(820.5-413.3)+(0+(0.418455-0.210783))+0-12-0.00611999999999878</f>
        <v>395.40155199999998</v>
      </c>
      <c r="AA120" s="3">
        <f>0+(810.8-392.1)+(0+(0-0))+0-13-0</f>
        <v>405.69999999999993</v>
      </c>
      <c r="AB120" s="3">
        <f>0+(798.9-386.5)+(0+(-1.629756--0.78846))+0-15--0.0305999999999993</f>
        <v>396.58930399999997</v>
      </c>
      <c r="AC120" s="3">
        <f>0+(706.5-310.7)+(0+(-0.72063--0.316914))+0-17--0.0173400000000027</f>
        <v>378.41362400000003</v>
      </c>
      <c r="AD120">
        <f t="shared" si="1"/>
        <v>9171.9017279999989</v>
      </c>
      <c r="AE120" s="3">
        <f>0+(815.6-398.1)+(0+(0-0))+0-31-0</f>
        <v>386.5</v>
      </c>
    </row>
    <row r="121" spans="1:31" s="2" customFormat="1" x14ac:dyDescent="0.25">
      <c r="A121">
        <v>89</v>
      </c>
      <c r="B121">
        <v>4</v>
      </c>
      <c r="C121">
        <v>28</v>
      </c>
      <c r="D121">
        <v>3</v>
      </c>
      <c r="E121">
        <v>1</v>
      </c>
      <c r="F121" s="3">
        <f>0+(705.2-302)+(0+(-1.078956--0.46206))+0-18--0.027540000000001</f>
        <v>384.61064400000004</v>
      </c>
      <c r="G121" s="3">
        <f>0+(601.4-248.7)+(0+(-0.613428--0.253674))+0-21--0.0214200000000034</f>
        <v>331.36166599999996</v>
      </c>
      <c r="H121" s="3">
        <f>0+(458.6-125.2)+(0+(-0.935544--0.255408))+0-22--0.044879999999999</f>
        <v>310.76474400000001</v>
      </c>
      <c r="I121" s="3">
        <f>0+(397.3-84)+(0+(-0.607869--0.12852))+0-25--0.0382500000000014</f>
        <v>287.858901</v>
      </c>
      <c r="J121" s="3">
        <f>0+(369.7-49.6)+(0+(-0.377094--0.050592))+0-27--0.0275400000000043</f>
        <v>292.80103799999995</v>
      </c>
      <c r="K121" s="3">
        <f>0+(454.6-119.7)+(0+(-0.927384--0.244188))+0-29--0.0591599999999987</f>
        <v>305.27596400000004</v>
      </c>
      <c r="L121" s="3">
        <f>0+(434.2-99.9)+(0+(-0.885768--0.203796))+0-30--0.0611999999999987</f>
        <v>303.67922799999997</v>
      </c>
      <c r="M121" s="3">
        <f>0+(507.5-140.9)+(0+(-0.776475--0.215577))+0-29--0.0443700000000017</f>
        <v>337.08347200000003</v>
      </c>
      <c r="N121" s="3">
        <f>0+(692.9-274.2)+(0+(0.353379-0.139842))+0-30-0.015299999999997</f>
        <v>388.89823699999994</v>
      </c>
      <c r="O121" s="3">
        <f>0+(714.5-276.8)+(0+(0.364395-0.141168))+0-31-0.0158099999999969</f>
        <v>406.90741700000001</v>
      </c>
      <c r="P121" s="3">
        <f>0+(782.7-331.7)+(0+(0-0))+0-30-0</f>
        <v>421.00000000000006</v>
      </c>
      <c r="Q121" s="3">
        <f>0+(721.1-272)+(0+(0.367761-0.13872))+0-31-0.0158099999999969</f>
        <v>418.31323100000003</v>
      </c>
      <c r="R121" s="3">
        <f>0+(678.9-242.1)+(0+(-0.346239--0.123471))+0-31--0.0158099999999969</f>
        <v>405.59304199999997</v>
      </c>
      <c r="S121" s="3">
        <f>0+(620.8-202.7)+(0+(-0.316608--0.103377))+0-31--0.0158099999999969</f>
        <v>386.90257899999995</v>
      </c>
      <c r="T121" s="3">
        <f>0+(619.3-199.8)+(0+(0.631686-0.203796))+0-31-0.0316200000000049</f>
        <v>388.8962699999999</v>
      </c>
      <c r="U121" s="3">
        <f>0+(586.7-175.5)+(0+(0.299217-0.089505))+0-31-0.0158099999999969</f>
        <v>380.39390200000008</v>
      </c>
      <c r="V121" s="3">
        <f>0+(634.5-204.3)+(0+(-0.64719--0.208386))+0-31--0.0316200000000049</f>
        <v>398.79281600000002</v>
      </c>
      <c r="W121" s="3">
        <f>0+(709.5-272.9)+(0+(-1.44738--0.556716))+0-30--0.0611999999999987</f>
        <v>405.77053599999999</v>
      </c>
      <c r="X121" s="3">
        <f>0+(746.1-333.5)+(0+(-1.522044--0.68034))+0-31--0.0632399999999986</f>
        <v>380.82153600000004</v>
      </c>
      <c r="Y121" s="3">
        <f>0+(715.5-320.7)+(0+(0-0))+0-12-0</f>
        <v>382.8</v>
      </c>
      <c r="Z121" s="3">
        <f>0+(698.5-289.5)+(0+(0.356235-0.147645))+0-30-0.015299999999997</f>
        <v>379.19328999999999</v>
      </c>
      <c r="AA121" s="3">
        <f>0+(682.5-258.5)+(0+(-0.69615--0.26367))+0-30--0.0306000000000048</f>
        <v>393.59811999999999</v>
      </c>
      <c r="AB121" s="3">
        <f>0+(701.1-285.1)+(0+(-0.357561--0.145401))+0-30--0.015299999999997</f>
        <v>385.80314000000004</v>
      </c>
      <c r="AC121" s="3">
        <f>0+(654.7-257.2)+(0+(0-0))+0-30-0</f>
        <v>367.50000000000006</v>
      </c>
      <c r="AD121">
        <f t="shared" si="1"/>
        <v>8844.6197730000004</v>
      </c>
      <c r="AE121" s="3">
        <f>0+(673.7-243)+(0+(0-0))+0-31-0</f>
        <v>399.70000000000005</v>
      </c>
    </row>
    <row r="122" spans="1:31" s="2" customFormat="1" x14ac:dyDescent="0.25">
      <c r="A122">
        <v>89</v>
      </c>
      <c r="B122">
        <v>4</v>
      </c>
      <c r="C122">
        <v>29</v>
      </c>
      <c r="D122">
        <v>4</v>
      </c>
      <c r="E122">
        <v>1</v>
      </c>
      <c r="F122" s="3">
        <f>0+(620.1-242.4)+(0+(-1.265004--0.494496))+0-32--0.0652799999999986</f>
        <v>344.99477200000001</v>
      </c>
      <c r="G122" s="3">
        <f>0+(460.6-137.8)+(0+(-1.409436--0.421668))+0-32--0.0979200000000037</f>
        <v>289.91015199999998</v>
      </c>
      <c r="H122" s="3">
        <f>0+(368-39.4)+(0+(-0.56304--0.060282))+0-32--0.0489600000000018</f>
        <v>296.14620200000007</v>
      </c>
      <c r="I122" s="3">
        <f>0+(343.3-27.3)+(0+(-0.525249--0.041769))+0-32--0.0489600000000018</f>
        <v>283.56548000000004</v>
      </c>
      <c r="J122" s="3">
        <f>0+(412.3-87.7)+(0+(0.420546-0.089454))+0-32-0.0326400000000051</f>
        <v>292.89845200000002</v>
      </c>
      <c r="K122" s="3">
        <f>0+(487.7-130.6)+(0+(-0.497454--0.133212))+0-32--0.0326400000000051</f>
        <v>324.76839800000005</v>
      </c>
      <c r="L122" s="3">
        <f>0+(480.8-143.6)+(0+(-1.471248--0.439416))+0-32--0.0979200000000037</f>
        <v>304.26608800000002</v>
      </c>
      <c r="M122" s="3">
        <f>0+(515.8-147.4)+(0+(0.263058-0.075174))+0-32-0.0163199999999968</f>
        <v>336.57156399999997</v>
      </c>
      <c r="N122" s="3">
        <f>0+(623.7-231.4)+(0+(0.318087-0.118014))+0-33-0.0168299999999967</f>
        <v>359.48324300000007</v>
      </c>
      <c r="O122" s="3">
        <f>0+(733.5-303.1)+(0+(0.74817-0.309162))+0-32-0.0326400000000051</f>
        <v>398.80636799999996</v>
      </c>
      <c r="P122" s="3">
        <f>0+(739.9-300.8)+(0+(0.754698-0.306816))+0-32-0.0326400000000051</f>
        <v>407.51524199999994</v>
      </c>
      <c r="Q122" s="3">
        <f>0+(733.9-289.8)+(0+(0.374289-0.147798))+0-32-0.0163199999999968</f>
        <v>412.31017099999997</v>
      </c>
      <c r="R122" s="3">
        <f>0+(711.4-264.3)+(0+(1.088442-0.404379))+0-32-0.0489600000000018</f>
        <v>415.73510299999992</v>
      </c>
      <c r="S122" s="3">
        <f>0+(647.4-211.7)+(0+(0.330174-0.107967))+0-32-0.0163199999999968</f>
        <v>403.90588700000001</v>
      </c>
      <c r="T122" s="3">
        <f>0+(612.3-188.2)+(0+(1.249092-0.383928))+0-32-0.0652799999999986</f>
        <v>392.89988399999999</v>
      </c>
      <c r="U122" s="3">
        <f>0+(639.3-212.2)+(0+(0.326043-0.108222))+0-32-0.0163199999999968</f>
        <v>395.30150099999997</v>
      </c>
      <c r="V122" s="3">
        <f>0+(670.3-232.3)+(0+(-0.341853--0.118473))+0-32--0.0163199999999968</f>
        <v>405.79293999999993</v>
      </c>
      <c r="W122" s="3">
        <f>0+(704.7-269.5)+(0+(-1.078191--0.412335))+0-32--0.0489600000000018</f>
        <v>402.58310400000005</v>
      </c>
      <c r="X122" s="3">
        <f>0+(753-330.2)+(0+(-1.15209--0.505206))+0-30--0.0459000000000017</f>
        <v>392.19901600000003</v>
      </c>
      <c r="Y122" s="3">
        <f>0+(790.5-387.1)+(0+(-1.209465--0.592263))+0-31--0.0474300000000018</f>
        <v>371.83022799999998</v>
      </c>
      <c r="Z122" s="3">
        <f>0+(783.5-352.9)+(0+(0-0))+0-33-0</f>
        <v>397.6</v>
      </c>
      <c r="AA122" s="3">
        <f>0+(739.3-290.6)+(0+(-0.377043--0.148206))+0-33--0.0168299999999967</f>
        <v>415.4879929999999</v>
      </c>
      <c r="AB122" s="3">
        <f>0+(709.3-276.6)+(0+(-0.723486--0.282132))+0-33--0.0336600000000053</f>
        <v>399.29230599999994</v>
      </c>
      <c r="AC122" s="3">
        <f>0+(702.8-281.2)+(0+(0.716856-0.286824))+0-32-0.0326400000000051</f>
        <v>389.99739199999993</v>
      </c>
      <c r="AD122">
        <f t="shared" si="1"/>
        <v>8833.8614859999998</v>
      </c>
      <c r="AE122" s="3">
        <f>0+(741.4-299.6)+(0+(0-0))+0-32-0</f>
        <v>409.79999999999995</v>
      </c>
    </row>
    <row r="123" spans="1:31" s="2" customFormat="1" x14ac:dyDescent="0.25">
      <c r="A123">
        <v>89</v>
      </c>
      <c r="B123">
        <v>4</v>
      </c>
      <c r="C123">
        <v>30</v>
      </c>
      <c r="D123">
        <v>5</v>
      </c>
      <c r="E123">
        <v>1</v>
      </c>
      <c r="F123" s="3">
        <f>0+(660.6-252.2)+(0+(0-0))+0-32-0</f>
        <v>376.40000000000003</v>
      </c>
      <c r="G123" s="3">
        <f>0+(544.2-151.9)+(0+(-0.277542--0.077469))+0-32--0.0163199999999968</f>
        <v>360.1162470000001</v>
      </c>
      <c r="H123" s="3">
        <f>0+(417.1-48.9)+(0+(0.212721-0.024939))+0-32-0.0163199999999968</f>
        <v>336.37146200000007</v>
      </c>
      <c r="I123" s="3">
        <f>0+(419.8-55.9)+(0+(-0.214098--0.028509))+0-32--0.0163199999999968</f>
        <v>331.73073100000005</v>
      </c>
      <c r="J123" s="3">
        <f>0+(454.1-88.1)+(0+(-0.463182--0.089862))+0-32--0.0326400000000051</f>
        <v>333.65932000000004</v>
      </c>
      <c r="K123" s="3">
        <f>0+(520.1-148.3)+(0+(-0.265251--0.075633))+0-32--0.0163199999999968</f>
        <v>339.62670200000002</v>
      </c>
      <c r="L123" s="3">
        <f>0+(478.3-116.1)+(0+(-0.243933--0.059211))+0-32--0.0163199999999968</f>
        <v>330.03159800000003</v>
      </c>
      <c r="M123" s="3">
        <f>0+(452.7-79.5)+(0+(-0.230877--0.040545))+0-32--0.0163199999999968</f>
        <v>341.02598799999998</v>
      </c>
      <c r="N123" s="3">
        <f>0+(581.4-187.6)+(0+(-0.296514--0.095676))+0-32--0.0163199999999968</f>
        <v>361.61548199999999</v>
      </c>
      <c r="O123" s="3">
        <f>0+(724.1-308.1)+(0+(0-0))+0-32-0</f>
        <v>384</v>
      </c>
      <c r="P123" s="3">
        <f>0+(783.5-374.7)+(0+(-0.399585--0.191097))+0-32--0.0163199999999968</f>
        <v>376.60783200000003</v>
      </c>
      <c r="Q123" s="3">
        <f>0+(784.3-338.7)+(0+(0.399993-0.172737))+0-32-0.0163199999999968</f>
        <v>413.81093599999997</v>
      </c>
      <c r="R123" s="3">
        <f>0+(734.1-292.6)+(0+(-0.374391--0.149226))+0-32--0.0163199999999968</f>
        <v>409.291155</v>
      </c>
      <c r="S123" s="3">
        <f>0+(693.2-261.9)+(0+(-0.353532--0.133569))+0-32--0.0163199999999968</f>
        <v>399.09635700000007</v>
      </c>
      <c r="T123" s="3">
        <f>0+(684.8-246.8)+(0+(1.047744-0.377604))+0-32-0.0489600000000018</f>
        <v>406.62117999999992</v>
      </c>
      <c r="U123" s="3">
        <f>0+(620.6-203.5)+(0+(0-0))+0-2-0</f>
        <v>415.1</v>
      </c>
      <c r="V123" s="3">
        <f>0+(618-216.2)+(0+(-0.31518--0.110262))+0-12--0.00611999999999878</f>
        <v>389.601202</v>
      </c>
      <c r="W123" s="3">
        <f>0+(646.1-241.1)+(0+(-0.988533--0.368883))+0-32--0.0489600000000018</f>
        <v>372.42931000000004</v>
      </c>
      <c r="X123" s="3">
        <f>0+(729.5-337.4)+(0+(-1.116135--0.516222))+0-9--0.0137700000000005</f>
        <v>382.51385700000003</v>
      </c>
      <c r="Y123" s="3">
        <f>0+(760.4-363)+(0+(0.387804-0.18513))+0-32-0.0163199999999968</f>
        <v>365.58635399999997</v>
      </c>
      <c r="Z123" s="3">
        <f>0+(773.2-339.1)+(0+(0.788664-0.345882))+0-32-0.0326400000000051</f>
        <v>402.51014200000003</v>
      </c>
      <c r="AA123" s="3">
        <f>0+(732.1-304.4)+(0+(-0.373371--0.155244))+0-32--0.0163199999999968</f>
        <v>395.49819300000007</v>
      </c>
      <c r="AB123" s="3">
        <f>0+(695.2-278.7)+(0+(-0.354552--0.142137))+0-33--0.0168299999999967</f>
        <v>383.30441500000001</v>
      </c>
      <c r="AC123" s="3">
        <f>0+(638.3-242.6)+(0+(-0.651066--0.247452))+0-33--0.0336600000000053</f>
        <v>362.33004599999992</v>
      </c>
      <c r="AD123">
        <f t="shared" si="1"/>
        <v>8968.8785090000019</v>
      </c>
      <c r="AE123" s="3">
        <f>0+(729.7-297)+(0+(0-0))+0-32-0</f>
        <v>400.70000000000005</v>
      </c>
    </row>
    <row r="124" spans="1:31" s="2" customFormat="1" x14ac:dyDescent="0.25">
      <c r="A124">
        <v>89</v>
      </c>
      <c r="B124">
        <v>4</v>
      </c>
      <c r="C124">
        <v>31</v>
      </c>
      <c r="D124">
        <v>6</v>
      </c>
      <c r="E124">
        <v>1</v>
      </c>
      <c r="F124" s="3">
        <f>0+(646.9-253.4)+(0+(-0.659838--0.258468))+0-32--0.0326400000000051</f>
        <v>361.13127000000003</v>
      </c>
      <c r="G124" s="3">
        <f>0+(556.7-209.4)+(0+(0.567834-0.213588))+0-32-0.0326400000000051</f>
        <v>315.62160600000004</v>
      </c>
      <c r="H124" s="3">
        <f>0+(523.5-181)+(0+(-1.06794--0.36924))+0-32--0.0652799999999986</f>
        <v>309.86658</v>
      </c>
      <c r="I124" s="3">
        <f>0+(433.8-101.4)+(0+(-1.10619--0.25857))+0-32--0.0815999999999954</f>
        <v>299.63397999999995</v>
      </c>
      <c r="J124" s="3">
        <f>0+(358.6-37.7)+(0+(0.182886-0.019227))+0-32-0.0163199999999968</f>
        <v>289.04733900000002</v>
      </c>
      <c r="K124" s="3">
        <f>0+(402.1-120.5)+(0+(-1.025355--0.307275))+0-32--0.0815999999999954</f>
        <v>248.96352000000005</v>
      </c>
      <c r="L124" s="3">
        <f>0+(512.2-179.3)+(0+(-0.522444--0.182886))+0-32--0.0326400000000051</f>
        <v>300.59308200000004</v>
      </c>
      <c r="M124" s="3">
        <f>0+(447.5-121.5)+(0+(-0.228225--0.061965))+0-32--0.0163199999999968</f>
        <v>293.85005999999998</v>
      </c>
      <c r="N124" s="3">
        <f>0+(514.4-173.3)+(0+(0.262344-0.088383))+0-32-0.0163199999999968</f>
        <v>309.25764099999998</v>
      </c>
      <c r="O124" s="3">
        <f>0+(738.7-346.1)+(0+(0-0))+0-33-0</f>
        <v>359.6</v>
      </c>
      <c r="P124" s="3">
        <f>0+(746.9-320.5)+(0+(0-0))+0-32-0</f>
        <v>394.4</v>
      </c>
      <c r="Q124" s="3">
        <f>0+(737.7-315.2)+(0+(0-0))+0-31-0</f>
        <v>391.50000000000006</v>
      </c>
      <c r="R124" s="3">
        <f>0+(706.8-284.2)+(0+(0.360468-0.144942))+0-32-0.0163199999999968</f>
        <v>390.79920599999997</v>
      </c>
      <c r="S124" s="3">
        <f>0+(671.1-262.1)+(0+(0.342261-0.133671))+0-32-0.0163199999999968</f>
        <v>377.19227000000001</v>
      </c>
      <c r="T124" s="3">
        <f>0+(625.1-237.1)+(0+(0.637602-0.241842))+0-32-0.0326400000000051</f>
        <v>356.36311999999998</v>
      </c>
      <c r="U124" s="3">
        <f>0+(617.5-223)+(0+(0-0))+0-31-0</f>
        <v>363.5</v>
      </c>
      <c r="V124" s="3">
        <f>0+(644.2-244.6)+(0+(0-0))+0-31-0</f>
        <v>368.6</v>
      </c>
      <c r="W124" s="3">
        <f>0+(720-303)+(0+(-0.7344--0.30906))+0-31--0.0316200000000049</f>
        <v>385.60628000000003</v>
      </c>
      <c r="X124" s="3">
        <f>0+(785.4-361.1)+(0+(-2.403324--1.104966))+0-32--0.0979200000000037</f>
        <v>391.09956199999993</v>
      </c>
      <c r="Y124" s="3">
        <f>0+(808.4-384.7)+(0+(-0.412284--0.196197))+0-32--0.0163199999999968</f>
        <v>391.50023299999998</v>
      </c>
      <c r="Z124" s="3">
        <f>0+(755.6-330.4)+(0+(-1.541424--0.674016))+0-32--0.0652799999999986</f>
        <v>392.39787200000001</v>
      </c>
      <c r="AA124" s="3">
        <f>0+(767.2-324.6)+(0+(-1.565088--0.662184))+0-32--0.0652799999999986</f>
        <v>409.76237600000002</v>
      </c>
      <c r="AB124" s="3">
        <f>0+(718.1-302.8)+(0+(0-0))+0-33-0</f>
        <v>382.3</v>
      </c>
      <c r="AC124" s="3">
        <f>0+(631.1-244.9)+(0+(-0.643722--0.249798))+0-32--0.0326400000000051</f>
        <v>353.83871600000003</v>
      </c>
      <c r="AD124">
        <f t="shared" si="1"/>
        <v>8436.4247130000003</v>
      </c>
      <c r="AE124" s="3">
        <f>0+(719.8-309.3)+(0+(0-0))+0-32-0</f>
        <v>378.49999999999994</v>
      </c>
    </row>
    <row r="125" spans="1:31" s="2" customFormat="1" x14ac:dyDescent="0.25">
      <c r="A125">
        <v>89</v>
      </c>
      <c r="B125">
        <v>5</v>
      </c>
      <c r="C125">
        <v>1</v>
      </c>
      <c r="D125">
        <v>7</v>
      </c>
      <c r="E125">
        <v>1</v>
      </c>
      <c r="F125" s="3">
        <f>0+(633.9-260.1)+(0+(-0.323289--0.132651))+0-32--0.0163199999999968</f>
        <v>341.62568199999998</v>
      </c>
      <c r="G125" s="3">
        <f>0+(545.4-193.8)+(0+(-1.668924--0.593028))+0-32--0.0979200000000037</f>
        <v>318.62202399999995</v>
      </c>
      <c r="H125" s="3">
        <f>0+(434.9-108.5)+(0+(-1.108995--0.276675))+0-32--0.0815999999999954</f>
        <v>293.64927999999998</v>
      </c>
      <c r="I125" s="3">
        <f>0+(413-95.7)+(0+(0.21063-0.048807))+0-32-0.0163199999999968</f>
        <v>285.44550300000003</v>
      </c>
      <c r="J125" s="3">
        <f>0+(385.9-41.9)+(0+(-0.196809--0.021369))+0-32--0.0163199999999968</f>
        <v>311.84088000000003</v>
      </c>
      <c r="K125" s="3">
        <f>0+(385.9-50.4)+(0+(-0.393618--0.051408))+0-32--0.0326400000000051</f>
        <v>303.19042999999999</v>
      </c>
      <c r="L125" s="3">
        <f>0+(442.3-126.9)+(0+(-0.225573--0.064719))+0-32--0.0163199999999968</f>
        <v>283.25546600000001</v>
      </c>
      <c r="M125" s="3">
        <f>0+(445.8-132)+(0+(-0.227358--0.06732))+0-32--0.0163199999999968</f>
        <v>281.65628200000003</v>
      </c>
      <c r="N125" s="3">
        <f>0+(461.7-167.1)+(0+(0-0))+0-32-0</f>
        <v>262.60000000000002</v>
      </c>
      <c r="O125" s="3">
        <f>0+(522.1-184.9)+(0+(0.266271-0.094299))+0-32-0.0163199999999968</f>
        <v>305.35565200000002</v>
      </c>
      <c r="P125" s="3">
        <f>0+(512.7-198.5)+(0+(-0.522954--0.20247))+0-32--0.0326400000000051</f>
        <v>281.91215600000004</v>
      </c>
      <c r="Q125" s="3">
        <f>0+(735-345.6)+(0+(0.37485-0.176256))+0-32-0.0163199999999968</f>
        <v>357.58227399999998</v>
      </c>
      <c r="R125" s="3">
        <f>0+(799.8-401.7)+(0+(-0.815796--0.409734))+0-32--0.0326400000000051</f>
        <v>365.72657799999996</v>
      </c>
      <c r="S125" s="3">
        <f>0+(743.4-356.2)+(0+(-0.379134--0.181662))+0-32--0.0163199999999968</f>
        <v>355.01884799999999</v>
      </c>
      <c r="T125" s="3">
        <f>0+(695.4-315.8)+(0+(-0.709308--0.322116))+0-30--0.0306000000000048</f>
        <v>349.24340799999993</v>
      </c>
      <c r="U125" s="3">
        <f>0+(719.3-340.1)+(0+(0-0))+0-31-0</f>
        <v>348.19999999999993</v>
      </c>
      <c r="V125" s="3">
        <f>0+(720.4-346.2)+(0+(0-0))+0-31-0</f>
        <v>343.2</v>
      </c>
      <c r="W125" s="3">
        <f>0+(740-360.9)+(0+(-1.5096--0.736236))+0-32--0.0652799999999986</f>
        <v>346.39191599999998</v>
      </c>
      <c r="X125" s="3">
        <f>0+(769.1-385.8)+(0+(-0.784482--0.393516))+0-30--0.0306000000000048</f>
        <v>352.93963400000001</v>
      </c>
      <c r="Y125" s="3">
        <f>0+(798.9-403)+(0+(0-0))+0-31-0</f>
        <v>364.9</v>
      </c>
      <c r="Z125" s="3">
        <f>0+(783.9-379.2)+(0+(-0.799578--0.386784))+0-32--0.0326400000000051</f>
        <v>372.31984599999998</v>
      </c>
      <c r="AA125" s="3">
        <f>0+(792-380)+(0+(0-0))+0-32-0</f>
        <v>380</v>
      </c>
      <c r="AB125" s="3">
        <f>0+(740.9-340.1)+(0+(-0.755718--0.346902))+0-32--0.0326400000000051</f>
        <v>368.42382399999997</v>
      </c>
      <c r="AC125" s="3">
        <f>0+(710-331.8)+(0+(-0.3621--0.169218))+0-32--0.0163199999999968</f>
        <v>346.023438</v>
      </c>
      <c r="AD125">
        <f t="shared" si="1"/>
        <v>7919.1231209999987</v>
      </c>
      <c r="AE125" s="3">
        <f>0+(771-388.4)+(0+(0-0))+0-32-0</f>
        <v>350.6</v>
      </c>
    </row>
    <row r="126" spans="1:31" s="2" customFormat="1" x14ac:dyDescent="0.25">
      <c r="A126">
        <v>89</v>
      </c>
      <c r="B126">
        <v>5</v>
      </c>
      <c r="C126">
        <v>2</v>
      </c>
      <c r="D126">
        <v>1</v>
      </c>
      <c r="E126">
        <v>1</v>
      </c>
      <c r="F126" s="3">
        <f>0+(604.5-246.6)+(0+(-0.308295--0.125766))+0-32--0.0163199999999968</f>
        <v>325.733791</v>
      </c>
      <c r="G126" s="3">
        <f>0+(501.9-167.1)+(0+(0.255969-0.085221))+0-32-0.0163199999999968</f>
        <v>302.95442799999995</v>
      </c>
      <c r="H126" s="3">
        <f>0+(409.6-94.6)+(0+(0.208896-0.048246))+0-32-0.0163199999999968</f>
        <v>283.14432999999997</v>
      </c>
      <c r="I126" s="3">
        <f>0+(431.1-111.5)+(0+(-0.439722--0.11373))+0-32--0.0326400000000051</f>
        <v>287.30664800000005</v>
      </c>
      <c r="J126" s="3">
        <f>0+(415.2-116.5)+(0+(0-0))+0-31-0</f>
        <v>267.7</v>
      </c>
      <c r="K126" s="3">
        <f>0+(463-158.2)+(0+(-0.47226--0.161364))+0-31--0.0316200000000049</f>
        <v>273.52072400000003</v>
      </c>
      <c r="L126" s="3">
        <f>0+(446.2-140.6)+(0+(0-0))+0-31-0</f>
        <v>274.60000000000002</v>
      </c>
      <c r="M126" s="3">
        <f>0+(474.9-144.3)+(0+(0.484398-0.147186))+0-31-0.0316200000000049</f>
        <v>299.90559199999996</v>
      </c>
      <c r="N126" s="3">
        <f>0+(492.1-133.4)+(0+(-0.501942--0.136068))+0-32--0.0326400000000051</f>
        <v>326.36676600000004</v>
      </c>
      <c r="O126" s="3">
        <f>0+(682.5-287)+(0+(0-0))+0-30-0</f>
        <v>365.5</v>
      </c>
      <c r="P126" s="3">
        <f>0+(736.3-327.1)+(0+(0.375513-0.166821))+0-30-0.015299999999997</f>
        <v>379.39339199999989</v>
      </c>
      <c r="Q126" s="3">
        <f>0+(780.2-377.6)+(0+(0-0))+22.5-30-0</f>
        <v>395.1</v>
      </c>
      <c r="R126" s="3">
        <f>0+(786.1-384.1)+(0+(0.400911-0.195891))+30-29-0.0147899999999971</f>
        <v>403.19022999999999</v>
      </c>
      <c r="S126" s="3">
        <f>0+(774.2-363.5)+(0+(0.394842-0.185385))+30-30-0.015299999999997</f>
        <v>410.89415700000001</v>
      </c>
      <c r="T126" s="3">
        <f>0+(709.3-318.3)+(0+(0.361743-0.162333))+30-31-0.0158099999999969</f>
        <v>390.18359999999996</v>
      </c>
      <c r="U126" s="3">
        <f>0+(660.8-257.9)+(0+(0.337008-0.131529))+30-31-0.0158099999999969</f>
        <v>402.08966900000001</v>
      </c>
      <c r="V126" s="3">
        <f>0+(645-245)+(0+(-1.3158--0.4998))+30-32--0.0652799999999986</f>
        <v>397.24928</v>
      </c>
      <c r="W126" s="3">
        <f>0+(673.6-278.8)+(0+(-0.687072--0.284376))+12.5-32--0.0326400000000051</f>
        <v>374.92994400000003</v>
      </c>
      <c r="X126" s="3">
        <f>0+(678.9-294.5)+(0+(-1.384956--0.60078))+0-32--0.0652799999999986</f>
        <v>351.68110399999995</v>
      </c>
      <c r="Y126" s="3">
        <f>0+(652.4-267.2)+(0+(-0.665448--0.272544))+0-32--0.0326400000000051</f>
        <v>352.83973600000002</v>
      </c>
      <c r="Z126" s="3">
        <f>0+(714.4-306.1)+(0+(-0.728688--0.312222))+0-32--0.0326400000000051</f>
        <v>375.91617399999996</v>
      </c>
      <c r="AA126" s="3">
        <f>0+(718.8-297.4)+(0+(-0.366588--0.151674))+0-32--0.0163199999999968</f>
        <v>389.20140599999996</v>
      </c>
      <c r="AB126" s="3">
        <f>0+(697.7-287.8)+(0+(0-0))+0-32-0</f>
        <v>377.90000000000003</v>
      </c>
      <c r="AC126" s="3">
        <f>0+(621.6-227)+(0+(-0.317016--0.11577))+0-32--0.0163199999999968</f>
        <v>362.415074</v>
      </c>
      <c r="AD126">
        <f t="shared" si="1"/>
        <v>8369.716045000001</v>
      </c>
      <c r="AE126" s="3">
        <f>0+(733.9-312.3)+(0+(0-0))+0-32-0</f>
        <v>389.59999999999997</v>
      </c>
    </row>
    <row r="127" spans="1:31" s="2" customFormat="1" x14ac:dyDescent="0.25">
      <c r="A127">
        <v>89</v>
      </c>
      <c r="B127">
        <v>5</v>
      </c>
      <c r="C127">
        <v>3</v>
      </c>
      <c r="D127">
        <v>2</v>
      </c>
      <c r="E127">
        <v>1</v>
      </c>
      <c r="F127" s="3">
        <f>0+(644.8-258)+(0+(-0.986544--0.39474))+0-32--0.0489600000000018</f>
        <v>354.25715599999995</v>
      </c>
      <c r="G127" s="3">
        <f>0+(518.3-159.7)+(0+(-1.057332--0.325788))+0-32--0.0652799999999986</f>
        <v>325.93373599999995</v>
      </c>
      <c r="H127" s="3">
        <f>0+(427.7-84.8)+(0+(-0.436254--0.086496))+0-32--0.0326400000000051</f>
        <v>310.58288199999998</v>
      </c>
      <c r="I127" s="3">
        <f>0+(329.3-17.2)+(0+(0-0))+0-32-0</f>
        <v>280.10000000000002</v>
      </c>
      <c r="J127" s="3">
        <f>0+(325.1-15)+(0+(0-0))+0-32-0</f>
        <v>278.10000000000002</v>
      </c>
      <c r="K127" s="3">
        <f>0+(375.2-61.4)+(0+(-0.574056--0.093942))+0-32--0.0489600000000018</f>
        <v>281.36884600000002</v>
      </c>
      <c r="L127" s="3">
        <f>0+(378-65)+(0+(0.19278-0.03315))+0-32-0.0163199999999968</f>
        <v>281.14330999999999</v>
      </c>
      <c r="M127" s="3">
        <f>0+(538.3-190)+(0+(0.549066-0.1938))+0-32-0.0326400000000051</f>
        <v>316.62262599999991</v>
      </c>
      <c r="N127" s="3">
        <f>0+(538.3-164.6)+(0+(0.549066-0.167892))+0-32-0.0326400000000051</f>
        <v>342.0485339999999</v>
      </c>
      <c r="O127" s="3">
        <f>0+(707.2-288)+(0+(0.721344-0.29376))+0-32-0.0326400000000051</f>
        <v>387.59494400000005</v>
      </c>
      <c r="P127" s="3">
        <f>0+(728.2-306.7)+(0+(1.114146-0.469251))+0-32-0.0489600000000018</f>
        <v>390.09593500000005</v>
      </c>
      <c r="Q127" s="3">
        <f>0+(760-329.6)+(0+(0-0))+0-30-0</f>
        <v>400.4</v>
      </c>
      <c r="R127" s="3">
        <f>0+(729.1-302.6)+(0+(-0.743682--0.308652))+0-32--0.0326400000000051</f>
        <v>394.09761000000003</v>
      </c>
      <c r="S127" s="3">
        <f>0+(673.1-259.9)+(0+(-0.343281--0.132549))+0-31--0.0158099999999969</f>
        <v>382.00507800000003</v>
      </c>
      <c r="T127" s="3">
        <f>0+(628.7-220.2)+(0+(0.320637-0.112302))+0-32-0.0163199999999968</f>
        <v>376.69201500000003</v>
      </c>
      <c r="U127" s="3">
        <f>0+(606.3-213.6)+(0+(0.618426-0.217872))+0-32-0.0326400000000051</f>
        <v>361.06791399999992</v>
      </c>
      <c r="V127" s="3">
        <f>0+(637.2-244.5)+(0+(-0.324972--0.124695))+0-32--0.0163199999999968</f>
        <v>360.51604300000002</v>
      </c>
      <c r="W127" s="3">
        <f>0+(704.2-300.5)+(0+(-1.79571--0.766275))+0-32--0.0815999999999954</f>
        <v>370.75216500000005</v>
      </c>
      <c r="X127" s="3">
        <f>0+(644.6-241.4)+(0+(-1.64373--0.61557))+0-32--0.0815999999999954</f>
        <v>370.25344000000001</v>
      </c>
      <c r="Y127" s="3">
        <f>0+(690.5-277.2)+(0+(-0.70431--0.282744))+0-32--0.0326400000000051</f>
        <v>380.91107400000004</v>
      </c>
      <c r="Z127" s="3">
        <f>0+(769.2-339.2)+(0+(-1.176876--0.518976))+0-32--0.0489600000000018</f>
        <v>397.3910600000001</v>
      </c>
      <c r="AA127" s="3">
        <f>0+(730.7-301.1)+(0+(-0.745314--0.307122))+0-30--0.0306000000000048</f>
        <v>399.192408</v>
      </c>
      <c r="AB127" s="3">
        <f>0+(665.7-281.1)+(0+(-0.339507--0.143361))+0-32--0.0163199999999968</f>
        <v>352.42017400000003</v>
      </c>
      <c r="AC127" s="3">
        <f>0+(447.3-110)+(0+(0-0))+0-32-0</f>
        <v>305.3</v>
      </c>
      <c r="AD127">
        <f t="shared" si="1"/>
        <v>8398.8469499999992</v>
      </c>
      <c r="AE127" s="3">
        <f>0+(737.8-318.5)+(0+(0-0))+0-31-0</f>
        <v>388.29999999999995</v>
      </c>
    </row>
    <row r="128" spans="1:31" s="2" customFormat="1" x14ac:dyDescent="0.25">
      <c r="A128">
        <v>89</v>
      </c>
      <c r="B128">
        <v>5</v>
      </c>
      <c r="C128">
        <v>4</v>
      </c>
      <c r="D128">
        <v>3</v>
      </c>
      <c r="E128">
        <v>1</v>
      </c>
      <c r="F128" s="3">
        <f>0+(537.5-145.5)+(0+(0.274125-0.074205))+0-32-0.0163199999999968</f>
        <v>360.18360000000001</v>
      </c>
      <c r="G128" s="3">
        <f>0+(522.2-132.5)+(0+(0.266322-0.067575))+0-32-0.0163199999999968</f>
        <v>357.88242700000006</v>
      </c>
      <c r="H128" s="3">
        <f>0+(407.4-26.3)+(0+(-0.207774--0.013413))+0-32--0.0163199999999968</f>
        <v>348.92195899999996</v>
      </c>
      <c r="I128" s="3">
        <f>0+(362.3-0)+(0+(-0.554319-0))+0-32--0.0489600000000018</f>
        <v>329.79464100000001</v>
      </c>
      <c r="J128" s="3">
        <f>0+(353-0)+(0+(-0.54009-0))+0-32--0.0489600000000018</f>
        <v>320.50887</v>
      </c>
      <c r="K128" s="3">
        <f>0+(362.3-6)+(0+(-0.369546--0.00612))+0-32--0.0326400000000051</f>
        <v>323.96921400000002</v>
      </c>
      <c r="L128" s="3">
        <f>0+(356.6-6.7)+(0+(-0.545598--0.010251))+0-32--0.0489600000000018</f>
        <v>317.41361300000005</v>
      </c>
      <c r="M128" s="3">
        <f>0+(356.1-6)+(0+(0-0))+0-23-0</f>
        <v>327.10000000000002</v>
      </c>
      <c r="N128" s="3">
        <f>0+(518.5-146.4)+(0+(0.264435-0.074664))+0-31-0.0158099999999969</f>
        <v>341.27396100000004</v>
      </c>
      <c r="O128" s="3">
        <f>0+(673.5-261.5)+(0+(0-0))+0-31-0</f>
        <v>381</v>
      </c>
      <c r="P128" s="3">
        <f>0+(689-287.5)+(0+(0-0))+0-31-0</f>
        <v>370.5</v>
      </c>
      <c r="Q128" s="3">
        <f>0+(729-294.4)+(0+(0-0))+0-31-0</f>
        <v>403.6</v>
      </c>
      <c r="R128" s="3">
        <f>0+(692.5-259.9)+(0+(0-0))+0-31-0</f>
        <v>401.6</v>
      </c>
      <c r="S128" s="3">
        <f>0+(635.6-233.4)+(0+(0-0))+0-1-0</f>
        <v>401.20000000000005</v>
      </c>
      <c r="T128" s="3">
        <f>0+(604-216)+(0+(0.30804-0.11016))+0-4-0.00203999999999959</f>
        <v>384.19583999999998</v>
      </c>
      <c r="U128" s="3">
        <f>0+(595.2-207.7)+(0+(-0.303552--0.105927))+0-5--0.00254999999999949</f>
        <v>382.30492500000003</v>
      </c>
      <c r="V128" s="3">
        <f>0+(583.7-197)+(0+(-0.595374--0.20094))+0-5--0.0051000000000008</f>
        <v>381.31066600000008</v>
      </c>
      <c r="W128" s="3">
        <f>0+(638.2-269.9)+(0+(-0.650964--0.275298))+0-5--0.0051000000000008</f>
        <v>362.92943400000007</v>
      </c>
      <c r="X128" s="3">
        <f>0+(684.8-330.6)+(0+(-1.396992--0.674424))+0-6--0.0122399999999997</f>
        <v>347.48967199999993</v>
      </c>
      <c r="Y128" s="3">
        <f>0+(620.1-276.1)+(0+(-0.316251--0.140811))+0-7--0.00356999999999929</f>
        <v>336.82813000000004</v>
      </c>
      <c r="Z128" s="3">
        <f>0+(653.3-302.9)+(0+(-0.333183--0.154479))+0-7--0.00356999999999929</f>
        <v>343.22486600000002</v>
      </c>
      <c r="AA128" s="3">
        <f>0+(695.8-317.6)+(0+(-0.709716--0.323952))+0-8--0.00816000000000128</f>
        <v>369.82239599999991</v>
      </c>
      <c r="AB128" s="3">
        <f>0+(694.7-319.1)+(0+(-0.354297--0.162741))+0-8--0.00407999999999919</f>
        <v>367.41252400000002</v>
      </c>
      <c r="AC128" s="3">
        <f>0+(610.5-272.7)+(0+(0-0))+0-10-0</f>
        <v>327.8</v>
      </c>
      <c r="AD128">
        <f t="shared" si="1"/>
        <v>8588.2667379999984</v>
      </c>
      <c r="AE128" s="3">
        <f>0+(672.8-307.5)+(0+(0-0))+0-31-0</f>
        <v>334.29999999999995</v>
      </c>
    </row>
    <row r="129" spans="1:31" s="2" customFormat="1" x14ac:dyDescent="0.25">
      <c r="A129">
        <v>89</v>
      </c>
      <c r="B129">
        <v>5</v>
      </c>
      <c r="C129">
        <v>5</v>
      </c>
      <c r="D129">
        <v>4</v>
      </c>
      <c r="E129">
        <v>3</v>
      </c>
      <c r="F129" s="3">
        <f>0+(595.1-232.8)+(0+(-0.607002--0.237456))+0-11--0.0112200000000018</f>
        <v>350.94167399999998</v>
      </c>
      <c r="G129" s="3">
        <f>0+(511.9-168.9)+(0+(-1.305345--0.430695))+0-12--0.0305999999999983</f>
        <v>330.15595000000002</v>
      </c>
      <c r="H129" s="3">
        <f>0+(305.4-0)+(0+(-0.311508-0))+0-14--0.0142800000000022</f>
        <v>291.10277199999996</v>
      </c>
      <c r="I129" s="3">
        <f>0+(304.5-0)+(0+(0-0))+0-15-0</f>
        <v>289.5</v>
      </c>
      <c r="J129" s="3">
        <f>0+(303-0)+(0+(0.30906-0))+0-18-0.0183600000000029</f>
        <v>285.29069999999996</v>
      </c>
      <c r="K129" s="3">
        <f>0+(338.4-23.9)+(0+(-0.517752--0.036567))+0-19--0.0290700000000011</f>
        <v>295.04788500000001</v>
      </c>
      <c r="L129" s="3">
        <f>0+(425.9-117.8)+(0+(-0.651627--0.180234))+0-20--0.0306000000000012</f>
        <v>287.65920699999998</v>
      </c>
      <c r="M129" s="3">
        <f>0+(481.6-163)+(0+(0.491232-0.16626))+0-23-0.0234600000000037</f>
        <v>295.90151200000003</v>
      </c>
      <c r="N129" s="3">
        <f>0+(515-178.3)+(0+(-0.5253--0.181866))+0-25--0.025500000000004</f>
        <v>311.38206600000001</v>
      </c>
      <c r="O129" s="3">
        <f>0+(538.8-206.7)+(0+(0.274788-0.105417))+0-28-0.0142799999999972</f>
        <v>304.25509099999999</v>
      </c>
      <c r="P129" s="3">
        <f>0+(722.1-372.1)+(0+(1.104813-0.569313))+0-30-0.0459000000000017</f>
        <v>320.4896</v>
      </c>
      <c r="Q129" s="3">
        <f>0+(702.8-377.8)+(0+(0.358428-0.192678))+0-30-0.015299999999997</f>
        <v>295.15044999999992</v>
      </c>
      <c r="R129" s="3">
        <f>0+(698.5-365.1)+(0+(0-0))+0-30-0</f>
        <v>303.39999999999998</v>
      </c>
      <c r="S129" s="3">
        <f>0+(683.4-319.7)+(0+(0.348534-0.163047))+0-30-0.015299999999997</f>
        <v>333.87018699999999</v>
      </c>
      <c r="T129" s="3">
        <f>0+(623.5-269.7)+(0+(0.317985-0.137547))+0-30-0.015299999999997</f>
        <v>323.96513799999997</v>
      </c>
      <c r="U129" s="3">
        <f>0+(622.2-272)+(0+(-0.634644--0.27744))+0-30--0.0306000000000048</f>
        <v>319.87339600000001</v>
      </c>
      <c r="V129" s="3">
        <f>0+(632.5-279.7)+(0+(-0.64515--0.285294))+0-30--0.0306000000000048</f>
        <v>322.47074400000002</v>
      </c>
      <c r="W129" s="3">
        <f>0+(640.6-285.5)+(0+(-1.63353--0.728025))+0-30--0.0764999999999956</f>
        <v>324.27099500000003</v>
      </c>
      <c r="X129" s="3">
        <f>0+(718.3-362.2)+(0+(-1.831665--0.92361))+0-30--0.0764999999999956</f>
        <v>325.26844499999999</v>
      </c>
      <c r="Y129" s="3">
        <f>0+(724.1-360.4)+(0+(0-0))+0-30-0</f>
        <v>333.70000000000005</v>
      </c>
      <c r="Z129" s="3">
        <f>0+(658.3-294.9)+(0+(0.335733-0.150399))+0-30-0.015299999999997</f>
        <v>333.57003399999996</v>
      </c>
      <c r="AA129" s="3">
        <f>0+(669.2-293.7)+(0+(0-0))+0-30-0</f>
        <v>345.50000000000006</v>
      </c>
      <c r="AB129" s="3">
        <f>0+(690.8-319.2)+(0+(-0.352308--0.162792))+0-30--0.015299999999997</f>
        <v>341.42578399999996</v>
      </c>
      <c r="AC129" s="3">
        <f>0+(637.1-278.3)+(0+(0-0))+0-30-0</f>
        <v>328.8</v>
      </c>
      <c r="AD129">
        <f t="shared" ref="AD129:AD192" si="2">SUM(F129:AC129)</f>
        <v>7592.9916299999995</v>
      </c>
      <c r="AE129" s="3">
        <f>0+(676.3-292.6)+(0+(0-0))+0-32-0</f>
        <v>351.69999999999993</v>
      </c>
    </row>
    <row r="130" spans="1:31" s="2" customFormat="1" x14ac:dyDescent="0.25">
      <c r="A130">
        <v>89</v>
      </c>
      <c r="B130">
        <v>5</v>
      </c>
      <c r="C130">
        <v>6</v>
      </c>
      <c r="D130">
        <v>5</v>
      </c>
      <c r="E130">
        <v>1</v>
      </c>
      <c r="F130" s="3">
        <f>0+(603.9-242.8)+(0+(0-0))+0-32-0</f>
        <v>329.09999999999997</v>
      </c>
      <c r="G130" s="3">
        <f>0+(522.8-173.6)+(0+(-0.533256--0.177072))+0-32--0.0326400000000051</f>
        <v>316.87645599999996</v>
      </c>
      <c r="H130" s="3">
        <f>0+(389.2-59.2)+(0+(0-0))+0-32-0</f>
        <v>298</v>
      </c>
      <c r="I130" s="3">
        <f>0+(350.7-15.1)+(0+(0.178857-0.007701))+0-30-0.015299999999997</f>
        <v>305.75585599999994</v>
      </c>
      <c r="J130" s="3">
        <f>0+(318.2-0)+(0+(0-0))+0-33-0</f>
        <v>285.2</v>
      </c>
      <c r="K130" s="3">
        <f>0+(320.2-0)+(0+(0-0))+0-32-0</f>
        <v>288.2</v>
      </c>
      <c r="L130" s="3">
        <f>0+(321.5-10.3)+(0+(0-0))+0-32-0</f>
        <v>279.2</v>
      </c>
      <c r="M130" s="3">
        <f>0+(335.5-0)+(0+(0.34221-0))+0-32-0.0326400000000051</f>
        <v>303.80957000000001</v>
      </c>
      <c r="N130" s="3">
        <f>0+(360.9-0)+(0+(0.184059-0))+0-32-0.0163199999999968</f>
        <v>329.06773899999996</v>
      </c>
      <c r="O130" s="3">
        <f>0+(399-22.1)+(0+(0.20349-0.011271))+0-27-0.0137699999999973</f>
        <v>350.07844899999998</v>
      </c>
      <c r="P130" s="3">
        <f>0+(684.5-299.3)+(0+(-0.349095--0.152643))+0-32--0.0163199999999968</f>
        <v>353.01986799999997</v>
      </c>
      <c r="Q130" s="3">
        <f>0+(725.4-385.1)+(0+(0.369954-0.196401))+25-32-0.0163199999999968</f>
        <v>333.45723299999997</v>
      </c>
      <c r="R130" s="3">
        <f>0+(694.9-292.5)+(0+(0.354399-0.149175))+30-32-0.0163199999999968</f>
        <v>400.58890399999996</v>
      </c>
      <c r="S130" s="3">
        <f>0+(650-262.9)+(0+(0.3315-0.134079))+30-32-0.0163199999999968</f>
        <v>385.28110100000004</v>
      </c>
      <c r="T130" s="3">
        <f>0+(662.8-274.5)+(0+(0.676056-0.27999))+30-32-0.0326400000000051</f>
        <v>386.66342599999996</v>
      </c>
      <c r="U130" s="3">
        <f>0+(642.3-261.2)+(0+(0.327573-0.133212))+30-27-0.0137699999999973</f>
        <v>384.28059099999996</v>
      </c>
      <c r="V130" s="3">
        <f>0+(677.6-291.1)+(0+(0-0))+30-31-0</f>
        <v>385.5</v>
      </c>
      <c r="W130" s="3">
        <f>0+(690.9-306.7)+(0+(-0.352359--0.156417))+5-32--0.0163199999999968</f>
        <v>357.02037799999999</v>
      </c>
      <c r="X130" s="3">
        <f>0+(752.4-367.3)+(0+(-0.767448--0.374646))+0-31--0.0316200000000049</f>
        <v>353.73881799999998</v>
      </c>
      <c r="Y130" s="3">
        <f>0+(763.1-387.8)+(0+(-0.389181--0.197778))+0-32--0.0163199999999968</f>
        <v>343.12491700000004</v>
      </c>
      <c r="Z130" s="3">
        <f>0+(762.1-362.7)+(0+(-0.388671--0.184977))+0-31--0.0158099999999969</f>
        <v>368.21211600000004</v>
      </c>
      <c r="AA130" s="3">
        <f>0+(722.4-320.6)+(0+(-1.105272--0.490518))+0-32--0.0489600000000018</f>
        <v>369.23420599999997</v>
      </c>
      <c r="AB130" s="3">
        <f>0+(730.1-334.3)+(0+(-0.372351--0.170493))+0-31--0.0158099999999969</f>
        <v>364.61395199999998</v>
      </c>
      <c r="AC130" s="3">
        <f>0+(692.9-302.7)+(0+(0-0))+0-32-0</f>
        <v>358.2</v>
      </c>
      <c r="AD130">
        <f t="shared" si="2"/>
        <v>8228.2235799999999</v>
      </c>
      <c r="AE130" s="3">
        <f>0+(723-323)+(0+(0-0))+0-32-0</f>
        <v>368</v>
      </c>
    </row>
    <row r="131" spans="1:31" s="2" customFormat="1" x14ac:dyDescent="0.25">
      <c r="A131">
        <v>89</v>
      </c>
      <c r="B131">
        <v>5</v>
      </c>
      <c r="C131">
        <v>7</v>
      </c>
      <c r="D131">
        <v>6</v>
      </c>
      <c r="E131">
        <v>1</v>
      </c>
      <c r="F131" s="3">
        <f>0+(589-237.6)+(0+(-0.30039--0.121176))+0-32--0.0163199999999968</f>
        <v>319.23710599999998</v>
      </c>
      <c r="G131" s="3">
        <f>0+(439.3-144.7)+(0+(-0.896172--0.295188))+0-32--0.0652799999999986</f>
        <v>262.06429600000001</v>
      </c>
      <c r="H131" s="3">
        <f>0+(305.9-35)+(0+(-0.312018--0.0357))+0-31--0.0316200000000049</f>
        <v>239.65530199999998</v>
      </c>
      <c r="I131" s="3">
        <f>0+(335.1-52)+(0+(0-0))+0-32-0</f>
        <v>251.10000000000002</v>
      </c>
      <c r="J131" s="3">
        <f>0+(318.7-38.3)+(0+(0-0))+0-30-0</f>
        <v>250.39999999999998</v>
      </c>
      <c r="K131" s="3">
        <f>0+(352.2-64.7)+(0+(-0.359244--0.065994))+0-30--0.0306000000000048</f>
        <v>257.23734999999999</v>
      </c>
      <c r="L131" s="3">
        <f>0+(365-85.3)+(0+(-1.1169--0.261018))+0-29--0.0887400000000034</f>
        <v>249.93285799999998</v>
      </c>
      <c r="M131" s="3">
        <f>0+(428.6-124)+(0+(0.218586-0.06324))+0-31-0.0158099999999969</f>
        <v>273.73953600000004</v>
      </c>
      <c r="N131" s="3">
        <f>0+(453.1-142.5)+(0+(0.693243-0.218025))+0-29-0.0443700000000017</f>
        <v>282.03084799999999</v>
      </c>
      <c r="O131" s="3">
        <f>0+(526.3-175.2)+(0+(0.268413-0.089352))+0-31-0.0158099999999969</f>
        <v>320.26325099999997</v>
      </c>
      <c r="P131" s="3">
        <f>0+(659.7-267.8)+(0+(-0.336447--0.136578))+0-32--0.0163199999999968</f>
        <v>359.71645100000006</v>
      </c>
      <c r="Q131" s="3">
        <f>0+(756.3-325.5)+(0+(0.385713-0.166005))+0-31-0.0158099999999969</f>
        <v>400.00389799999999</v>
      </c>
      <c r="R131" s="3">
        <f>0+(717.5-305.6)+(0+(0-0))+0-31-0</f>
        <v>380.9</v>
      </c>
      <c r="S131" s="3">
        <f>0+(667.2-274.8)+(0+(-0.340272--0.140148))+0-32--0.0163199999999968</f>
        <v>360.21619600000002</v>
      </c>
      <c r="T131" s="3">
        <f>0+(642.2-261.1)+(0+(0-0))+0-30-0</f>
        <v>351.1</v>
      </c>
      <c r="U131" s="3">
        <f>0+(624-239.6)+(0+(-0.31824--0.122196))+0-31--0.0158099999999969</f>
        <v>353.21976599999999</v>
      </c>
      <c r="V131" s="3">
        <f>0+(671.2-273.2)+(0+(-1.026936--0.417996))+0-31--0.0474300000000018</f>
        <v>366.43849000000006</v>
      </c>
      <c r="W131" s="3">
        <f>0+(765-349.5)+(0+(-0.7803--0.35649))+0-31--0.0316200000000049</f>
        <v>384.10781000000003</v>
      </c>
      <c r="X131" s="3">
        <f>0+(780.5-368.3)+(0+(-1.990275--0.939165))+0-31--0.0790499999999955</f>
        <v>380.22793999999999</v>
      </c>
      <c r="Y131" s="3">
        <f>0+(702.6-320.8)+(0+(-1.074978--0.490824))+0-31--0.0474300000000018</f>
        <v>350.26327600000002</v>
      </c>
      <c r="Z131" s="3">
        <f>0+(721.6-304.4)+(0+(0-0))+0-32-0</f>
        <v>385.20000000000005</v>
      </c>
      <c r="AA131" s="3">
        <f>0+(802.7-367.9)+(0+(-0.818754--0.375258))+0-32--0.0326400000000051</f>
        <v>402.3891440000001</v>
      </c>
      <c r="AB131" s="3">
        <f>0+(779-367.4)+(0+(0-0))+0-31-0</f>
        <v>380.6</v>
      </c>
      <c r="AC131" s="3">
        <f>0+(684.5-298.1)+(0+(-1.047285--0.456093))+0-32--0.0489600000000018</f>
        <v>353.85776800000002</v>
      </c>
      <c r="AD131">
        <f t="shared" si="2"/>
        <v>7913.9012860000003</v>
      </c>
      <c r="AE131" s="3">
        <f>0+(807.9-389.9)+(0+(0-0))+0-32-0</f>
        <v>386</v>
      </c>
    </row>
    <row r="132" spans="1:31" s="2" customFormat="1" x14ac:dyDescent="0.25">
      <c r="A132">
        <v>89</v>
      </c>
      <c r="B132">
        <v>5</v>
      </c>
      <c r="C132">
        <v>8</v>
      </c>
      <c r="D132">
        <v>7</v>
      </c>
      <c r="E132">
        <v>1</v>
      </c>
      <c r="F132" s="3">
        <f>0+(490.7-137.2)+(0+(-1.251285--0.34986))+0-32--0.0815999999999954</f>
        <v>320.68017499999996</v>
      </c>
      <c r="G132" s="3">
        <f>0+(309.5-0)+(0+(0.157845-0))+0-32-0.0163199999999968</f>
        <v>277.641525</v>
      </c>
      <c r="H132" s="3">
        <f>0+(300.2-0)+(0+(0-0))+0-31-0</f>
        <v>269.2</v>
      </c>
      <c r="I132" s="3">
        <f>0+(289.3-0)+(0+(-0.737715-0))+0-32--0.0815999999999954</f>
        <v>256.64388500000001</v>
      </c>
      <c r="J132" s="3">
        <f>0+(285.4-40)+(0+(-0.436662--0.0612))+0-32--0.0489600000000018</f>
        <v>213.07349799999997</v>
      </c>
      <c r="K132" s="3">
        <f>0+(281-40)+(0+(-1.00317--0.1428))+0-31--0.11067</f>
        <v>209.25030000000001</v>
      </c>
      <c r="L132" s="3">
        <f>0+(262.9-40)+(0+(-0.536316--0.0816))+0-32--0.0652799999999986</f>
        <v>190.51056399999999</v>
      </c>
      <c r="M132" s="3">
        <f>0+(256.6-40)+(0+(0.130866-0.0204))+0-32-0.0163199999999968</f>
        <v>184.69414600000002</v>
      </c>
      <c r="N132" s="3">
        <f>0+(289.4-52.6)+(0+(0-0))+0-32-0</f>
        <v>204.79999999999998</v>
      </c>
      <c r="O132" s="3">
        <f>0+(417-129.7)+(0+(0-0))+0-32-0</f>
        <v>255.3</v>
      </c>
      <c r="P132" s="3">
        <f>0+(531.9-200.3)+(0+(0.271269-0.102153))+0-32-0.0163199999999968</f>
        <v>299.75279599999993</v>
      </c>
      <c r="Q132" s="3">
        <f>0+(659.1-288.2)+(0+(0.336141-0.146982))+0-32-0.0163199999999968</f>
        <v>339.07283900000004</v>
      </c>
      <c r="R132" s="3">
        <f>0+(692.3-328.3)+(0+(0-0))+0-32-0</f>
        <v>331.99999999999994</v>
      </c>
      <c r="S132" s="3">
        <f>0+(695-354.5)+(0+(-0.7089--0.36159))+0-32--0.0326400000000051</f>
        <v>308.18533000000002</v>
      </c>
      <c r="T132" s="3">
        <f>0+(673-330.3)+(0+(0.34323-0.168453))+0-32-0.0163199999999968</f>
        <v>310.85845699999999</v>
      </c>
      <c r="U132" s="3">
        <f>0+(591.7-259.4)+(0+(-0.905301--0.396882))+0-32--0.0489600000000018</f>
        <v>299.84054100000009</v>
      </c>
      <c r="V132" s="3">
        <f>0+(548.3-218.5)+(0+(-0.279633--0.111435))+0-32--0.0163199999999968</f>
        <v>297.64812199999994</v>
      </c>
      <c r="W132" s="3">
        <f>0+(560.9-233.8)+(0+(-0.286059--0.119238))+0-32--0.0163199999999968</f>
        <v>294.94949899999995</v>
      </c>
      <c r="X132" s="3">
        <f>0+(614.1-289.1)+(0+(-1.565955--0.737205))+0-31--0.0790499999999955</f>
        <v>293.25029999999998</v>
      </c>
      <c r="Y132" s="3">
        <f>0+(542-214.6)+(0+(-0.55284--0.218892))+0-31--0.0316200000000049</f>
        <v>296.09767199999999</v>
      </c>
      <c r="Z132" s="3">
        <f>0+(624.2-273.5)+(0+(-0.955026--0.418455))+0-32--0.0489600000000018</f>
        <v>318.21238900000009</v>
      </c>
      <c r="AA132" s="3">
        <f>0+(601.3-246.9)+(0+(-1.839978--0.755514))+0-32--0.0979200000000037</f>
        <v>321.41345599999994</v>
      </c>
      <c r="AB132" s="3">
        <f>0+(582.1-232.5)+(0+(-0.593742--0.23715))+0-31--0.0316200000000049</f>
        <v>318.27502800000008</v>
      </c>
      <c r="AC132" s="3">
        <f>0+(562.2-220.9)+(0+(-0.286722--0.112659))+0-31--0.0158099999999969</f>
        <v>310.14174700000007</v>
      </c>
      <c r="AD132">
        <f t="shared" si="2"/>
        <v>6721.4922689999994</v>
      </c>
      <c r="AE132" s="3">
        <f>0+(594.7-242.9)+(0+(0-0))+0-32-0</f>
        <v>319.80000000000007</v>
      </c>
    </row>
    <row r="133" spans="1:31" s="2" customFormat="1" x14ac:dyDescent="0.25">
      <c r="A133">
        <v>89</v>
      </c>
      <c r="B133">
        <v>5</v>
      </c>
      <c r="C133">
        <v>9</v>
      </c>
      <c r="D133">
        <v>1</v>
      </c>
      <c r="E133">
        <v>1</v>
      </c>
      <c r="F133" s="3">
        <f>0+(441.4-114.5)+(0+(-0.900456--0.23358))+0-31--0.0632399999999986</f>
        <v>295.29636399999998</v>
      </c>
      <c r="G133" s="3">
        <f>0+(312.6-0)+(0+(-0.956556-0))+0-32--0.0979200000000037</f>
        <v>279.74136400000003</v>
      </c>
      <c r="H133" s="3">
        <f>0+(312.4-0)+(0+(-0.637296-0))+0-32--0.0652799999999986</f>
        <v>279.82798399999996</v>
      </c>
      <c r="I133" s="3">
        <f>0+(308.9-0)+(0+(-0.315078-0))+0-31--0.0316200000000049</f>
        <v>277.61654199999998</v>
      </c>
      <c r="J133" s="3">
        <f>0+(309.2-4.7)+(0+(0.315384-0.004794))+0-28-0.0285600000000045</f>
        <v>276.78202999999996</v>
      </c>
      <c r="K133" s="3">
        <f>0+(364.9-62)+(0+(0.186099-0.03162))+0-32-0.0163199999999968</f>
        <v>271.03815899999995</v>
      </c>
      <c r="L133" s="3">
        <f>0+(415.9-115.2)+(0+(0-0))+0-33-0</f>
        <v>267.7</v>
      </c>
      <c r="M133" s="3">
        <f>0+(367-37.4)+(0+(0-0))+0-31-0</f>
        <v>298.60000000000002</v>
      </c>
      <c r="N133" s="3">
        <f>0+(417.7-62.3)+(0+(-0.426054--0.063546))+0-32--0.0326400000000051</f>
        <v>323.070132</v>
      </c>
      <c r="O133" s="3">
        <f>0+(461.9-82.7)+(0+(-0.471138--0.084354))+0-32--0.0326400000000051</f>
        <v>346.84585600000003</v>
      </c>
      <c r="P133" s="3">
        <f>0+(643.9-226.2)+(0+(0.985167-0.346086))+0-32-0.0489600000000018</f>
        <v>386.29012099999994</v>
      </c>
      <c r="Q133" s="3">
        <f>0+(755-347.6)+(0+(0.7701-0.354552))+0-31-0.0316200000000049</f>
        <v>376.78392799999995</v>
      </c>
      <c r="R133" s="3">
        <f>0+(735-325.8)+(0+(0-0))+0-32-0</f>
        <v>377.2</v>
      </c>
      <c r="S133" s="3">
        <f>0+(736.2-338.8)+(0+(-1.126386--0.518364))+0-32--0.0489600000000018</f>
        <v>364.84093800000005</v>
      </c>
      <c r="T133" s="3">
        <f>0+(682.8-288.8)+(0+(-0.348228--0.147288))+0-32--0.0163199999999968</f>
        <v>361.81537999999995</v>
      </c>
      <c r="U133" s="3">
        <f>0+(693.9-300.5)+(0+(-0.353889--0.153255))+0-32--0.0163199999999968</f>
        <v>361.21568600000001</v>
      </c>
      <c r="V133" s="3">
        <f>0+(714.2-327.9)+(0+(-0.364242--0.167229))+0-32--0.0163199999999968</f>
        <v>354.11930700000005</v>
      </c>
      <c r="W133" s="3">
        <f>0+(757.9-375.1)+(0+(-0.773058--0.382602))+0-32--0.0326400000000051</f>
        <v>350.442184</v>
      </c>
      <c r="X133" s="3">
        <f>0+(730.3-358.6)+(0+(-1.489812--0.731544))+0-30--0.0611999999999987</f>
        <v>341.00293199999993</v>
      </c>
      <c r="Y133" s="3">
        <f>0+(699-343.6)+(0+(0-0))+0-29-0</f>
        <v>326.39999999999998</v>
      </c>
      <c r="Z133" s="3">
        <f>0+(753.8-373.4)+(0+(-0.384438--0.190434))+0-29--0.0147899999999971</f>
        <v>351.22078599999998</v>
      </c>
      <c r="AA133" s="3">
        <f>0+(804.1-411.8)+(0+(-1.230273--0.630054))+0-31--0.0474300000000018</f>
        <v>360.74721100000005</v>
      </c>
      <c r="AB133" s="3">
        <f>0+(650.4-272.5)+(0+(-0.663408--0.27795))+0-32--0.0326400000000051</f>
        <v>345.54718199999996</v>
      </c>
      <c r="AC133" s="3">
        <f>0+(541.9-179.3)+(0+(-0.552738--0.182886))+0-32--0.0326400000000051</f>
        <v>330.262788</v>
      </c>
      <c r="AD133">
        <f t="shared" si="2"/>
        <v>7904.4068739999993</v>
      </c>
      <c r="AE133" s="3">
        <f>0+(837-446.6)+(0+(0-0))+0-32-0</f>
        <v>358.4</v>
      </c>
    </row>
    <row r="134" spans="1:31" s="2" customFormat="1" x14ac:dyDescent="0.25">
      <c r="A134">
        <v>89</v>
      </c>
      <c r="B134">
        <v>5</v>
      </c>
      <c r="C134">
        <v>10</v>
      </c>
      <c r="D134">
        <v>2</v>
      </c>
      <c r="E134">
        <v>1</v>
      </c>
      <c r="F134" s="3">
        <f>0+(404.1-62.4)+(0+(-0.824364--0.127296))+0-32--0.0652799999999986</f>
        <v>309.06821200000002</v>
      </c>
      <c r="G134" s="3">
        <f>0+(330.4-3.7)+(0+(-0.84252--0.009435))+0-32--0.0815999999999954</f>
        <v>293.94851499999999</v>
      </c>
      <c r="H134" s="3">
        <f>0+(401.4-77.4)+(0+(0.204714-0.039474))+0-32-0.0163199999999968</f>
        <v>292.14891999999998</v>
      </c>
      <c r="I134" s="3">
        <f>0+(421.4-97.2)+(0+(-0.644742--0.148716))+0-32--0.0489600000000018</f>
        <v>291.75293400000004</v>
      </c>
      <c r="J134" s="3">
        <f>0+(378.1-56.6)+(0+(-0.385662--0.057732))+0-32--0.0326400000000051</f>
        <v>289.20471000000003</v>
      </c>
      <c r="K134" s="3">
        <f>0+(440.8-124.3)+(0+(-0.224808--0.063393))+0-32--0.0163199999999968</f>
        <v>284.35490500000003</v>
      </c>
      <c r="L134" s="3">
        <f>0+(486.8-175.2)+(0+(-0.496536--0.178704))+0-32--0.0326400000000051</f>
        <v>279.31480800000003</v>
      </c>
      <c r="M134" s="3">
        <f>0+(505.6-177.4)+(0+(0-0))+0-32-0</f>
        <v>296.20000000000005</v>
      </c>
      <c r="N134" s="3">
        <f>0+(558.9-199.9)+(0+(-0.570078--0.203898))+0-32--0.0326400000000051</f>
        <v>326.66646000000003</v>
      </c>
      <c r="O134" s="3">
        <f>0+(612.2-235.8)+(0+(-0.624444--0.240516))+0-32--0.0326400000000051</f>
        <v>344.04871200000002</v>
      </c>
      <c r="P134" s="3">
        <f>0+(614.9-234.9)+(0+(-0.313599--0.119799))+0-32--0.0163199999999968</f>
        <v>347.82252</v>
      </c>
      <c r="Q134" s="3">
        <f>0+(774.7-360.5)+(0+(-0.790194--0.36771))+0-32--0.0326400000000051</f>
        <v>381.81015600000006</v>
      </c>
      <c r="R134" s="3">
        <f>0+(748.1-346.7)+(0+(-0.381531--0.176817))+0-32--0.0163199999999968</f>
        <v>369.21160600000002</v>
      </c>
      <c r="S134" s="3">
        <f>0+(694-307.3)+(0+(-0.70788--0.313446))+0-32--0.0326400000000051</f>
        <v>354.33820600000001</v>
      </c>
      <c r="T134" s="3">
        <f>0+(623.6-243.7)+(0+(-0.636072--0.248574))+0-32--0.0326400000000051</f>
        <v>347.54514200000006</v>
      </c>
      <c r="U134" s="3">
        <f>0+(679.4-298.3)+(0+(-0.346494--0.152133))+0-32--0.0163199999999968</f>
        <v>348.92195899999996</v>
      </c>
      <c r="V134" s="3">
        <f>0+(570.7-193.1)+(0+(-0.873171--0.295443))+0-32--0.0489600000000018</f>
        <v>345.07123200000007</v>
      </c>
      <c r="W134" s="3">
        <f>0+(581.6-208.5)+(0+(-1.186464--0.42534))+0-32--0.0652799999999986</f>
        <v>340.404156</v>
      </c>
      <c r="X134" s="3">
        <f>0+(603.5-238.6)+(0+(-1.84671--0.730116))+0-32--0.0979200000000037</f>
        <v>331.88132599999994</v>
      </c>
      <c r="Y134" s="3">
        <f>0+(624.6-261.5)+(0+(-1.274184--0.53346))+0-32--0.0652799999999986</f>
        <v>330.424556</v>
      </c>
      <c r="Z134" s="3">
        <f>0+(493.7-111.6)+(0+(0-0))+0-32-0</f>
        <v>350.1</v>
      </c>
      <c r="AA134" s="3">
        <f>0+(452.7-63.8)+(0+(-0.923508--0.130152))+0-32--0.0652799999999986</f>
        <v>356.17192399999993</v>
      </c>
      <c r="AB134" s="3">
        <f>0+(453.1-81.8)+(0+(-0.693243--0.125154))+0-32--0.0489600000000018</f>
        <v>338.78087100000005</v>
      </c>
      <c r="AC134" s="3">
        <f>0+(408.4-45.4)+(0+(-0.624852--0.069462))+0-32--0.0489600000000018</f>
        <v>330.49357000000003</v>
      </c>
      <c r="AD134">
        <f t="shared" si="2"/>
        <v>7879.6854000000003</v>
      </c>
      <c r="AE134" s="3">
        <f>0+(435.4-49.9)+(0+(0-0))+0-32-0</f>
        <v>353.5</v>
      </c>
    </row>
    <row r="135" spans="1:31" s="2" customFormat="1" x14ac:dyDescent="0.25">
      <c r="A135">
        <v>89</v>
      </c>
      <c r="B135">
        <v>5</v>
      </c>
      <c r="C135">
        <v>11</v>
      </c>
      <c r="D135">
        <v>3</v>
      </c>
      <c r="E135">
        <v>1</v>
      </c>
      <c r="F135" s="3">
        <f>0+(457.5-113.6)+(0+(-1.166625--0.28968))+0-32--0.0815999999999954</f>
        <v>311.10465499999998</v>
      </c>
      <c r="G135" s="3">
        <f>0+(357.6-30.1)+(0+(-0.729504--0.061404))+0-31--0.0632399999999986</f>
        <v>295.89514000000003</v>
      </c>
      <c r="H135" s="3">
        <f>0+(353.7-26.9)+(0+(-0.541161--0.041157))+0-32--0.0489600000000018</f>
        <v>294.34895600000004</v>
      </c>
      <c r="I135" s="3">
        <f>0+(373.8-45)+(0+(-0.571914--0.06885))+0-32--0.0489600000000018</f>
        <v>296.34589600000004</v>
      </c>
      <c r="J135" s="3">
        <f>0+(349.8-21.6)+(0+(0.535194-0.033048))+0-32-0.0489600000000018</f>
        <v>296.65318599999995</v>
      </c>
      <c r="K135" s="3">
        <f>0+(396.3-69.5)+(0+(-0.606339--0.106335))+0-32--0.0489600000000018</f>
        <v>294.34895600000004</v>
      </c>
      <c r="L135" s="3">
        <f>0+(440.4-121.8)+(0+(-1.12302--0.31059))+0-31--0.0790499999999955</f>
        <v>286.86661999999995</v>
      </c>
      <c r="M135" s="3">
        <f>0+(416.6-77.1)+(0+(0-0))+0-32-0</f>
        <v>307.5</v>
      </c>
      <c r="N135" s="3">
        <f>0+(475.3-108.3)+(0+(0.242403-0.055233))+0-32-0.0163199999999968</f>
        <v>335.17084999999997</v>
      </c>
      <c r="O135" s="3">
        <f>0+(541-152.2)+(0+(-0.55182--0.155244))+0-31--0.0316200000000049</f>
        <v>357.43504400000006</v>
      </c>
      <c r="P135" s="3">
        <f>0+(571.2-177.4)+(0+(0-0))+0-31-0</f>
        <v>362.80000000000007</v>
      </c>
      <c r="Q135" s="3">
        <f>0+(611.3-211.9)+(0+(0-0))+0-31-0</f>
        <v>368.4</v>
      </c>
      <c r="R135" s="3">
        <f>0+(562.4-155.5)+(0+(-0.286824--0.079305))+0-18--0.00917999999999817</f>
        <v>388.701661</v>
      </c>
      <c r="S135" s="3">
        <f>0+(544.3-162.6)+(0+(0-0))+0-31-0</f>
        <v>350.69999999999993</v>
      </c>
      <c r="T135" s="3">
        <f>0+(487.3-98)+(0+(-0.497046--0.09996))+0-32--0.0326400000000051</f>
        <v>356.93555400000002</v>
      </c>
      <c r="U135" s="3">
        <f>0+(463.4-79.9)+(0+(-0.236334--0.040749))+0-32--0.0163199999999968</f>
        <v>351.32073500000001</v>
      </c>
      <c r="V135" s="3">
        <f>0+(501.2-122.3)+(0+(-0.511224--0.124746))+0-32--0.0326400000000051</f>
        <v>346.54616199999998</v>
      </c>
      <c r="W135" s="3">
        <f>0+(449.8-80.9)+(0+(-1.605786--0.288813))+0-32--0.11424</f>
        <v>335.69726699999995</v>
      </c>
      <c r="X135" s="3">
        <f>0+(475.3-124.2)+(0+(-1.212015--0.31671))+0-31--0.0790499999999955</f>
        <v>319.28374500000001</v>
      </c>
      <c r="Y135" s="3">
        <f>0+(391.8-38.8)+(0+(-0.399636--0.039576))+0-32--0.0326400000000051</f>
        <v>320.67258000000004</v>
      </c>
      <c r="Z135" s="3">
        <f>0+(389.6-10.7)+(0+(-0.397392--0.010914))+0-32--0.0326400000000051</f>
        <v>346.54616200000004</v>
      </c>
      <c r="AA135" s="3">
        <f>0+(462.8-77.3)+(0+(-0.944112--0.157692))+0-32--0.0652799999999986</f>
        <v>352.77885999999995</v>
      </c>
      <c r="AB135" s="3">
        <f>0+(379.7-6.8)+(0+(-0.774588--0.013872))+0-32--0.0652799999999986</f>
        <v>340.20456399999995</v>
      </c>
      <c r="AC135" s="3">
        <f>0+(371.4-7.6)+(0+(0-0))+0-32-0</f>
        <v>331.79999999999995</v>
      </c>
      <c r="AD135">
        <f t="shared" si="2"/>
        <v>7948.0565929999984</v>
      </c>
      <c r="AE135" s="3">
        <f>0+(478.4-88.6)+(0+(0-0))+0-32-0</f>
        <v>357.79999999999995</v>
      </c>
    </row>
    <row r="136" spans="1:31" s="2" customFormat="1" x14ac:dyDescent="0.25">
      <c r="A136">
        <v>89</v>
      </c>
      <c r="B136">
        <v>5</v>
      </c>
      <c r="C136">
        <v>12</v>
      </c>
      <c r="D136">
        <v>4</v>
      </c>
      <c r="E136">
        <v>1</v>
      </c>
      <c r="F136" s="3">
        <f>0+(391.1-40.5)+(0+(-0.199461--0.020655))+0-31--0.0158099999999969</f>
        <v>319.437004</v>
      </c>
      <c r="G136" s="3">
        <f>0+(338.7-6.2)+(0+(-0.345474--0.006324))+0-31--0.0316200000000049</f>
        <v>301.19247000000001</v>
      </c>
      <c r="H136" s="3">
        <f>0+(322.5-0)+(0+(0.164475-0))+0-31-0.0158099999999969</f>
        <v>291.64866499999999</v>
      </c>
      <c r="I136" s="3">
        <f>0+(324.7-2.1)+(0+(0-0))+0-30-0</f>
        <v>292.59999999999997</v>
      </c>
      <c r="J136" s="3">
        <f>0+(311.5-0)+(0+(-0.158865-0))+0-30--0.015299999999997</f>
        <v>281.35643500000003</v>
      </c>
      <c r="K136" s="3">
        <f>0+(322.6-4.9)+(0+(0.329052-0.004998))+0-32-0.0326400000000051</f>
        <v>285.99141400000002</v>
      </c>
      <c r="L136" s="3">
        <f>0+(326-8.2)+(0+(-0.49878--0.012546))+0-31--0.0474300000000018</f>
        <v>286.36119600000001</v>
      </c>
      <c r="M136" s="3">
        <f>0+(332.8-0)+(0+(-0.169728-0))+0-31--0.0158099999999969</f>
        <v>301.64608199999998</v>
      </c>
      <c r="N136" s="3">
        <f>0+(361-0)+(0+(0-0))+0-31-0</f>
        <v>330</v>
      </c>
      <c r="O136" s="3">
        <f>0+(383.1-3.6)+(0+(0.195381-0.001836))+0-30-0.015299999999997</f>
        <v>349.67824499999995</v>
      </c>
      <c r="P136" s="3">
        <f>0+(463.7-67.6)+(0+(-0.472974--0.068952))+0-32--0.0326400000000051</f>
        <v>363.72861800000004</v>
      </c>
      <c r="Q136" s="3">
        <f>0+(424.5-16.2)+(0+(-0.216495--0.008262))+0-32--0.0163199999999968</f>
        <v>376.10808700000001</v>
      </c>
      <c r="R136" s="3">
        <f>0+(398.9-3.7)+(0+(0-0))+0-32-0</f>
        <v>363.2</v>
      </c>
      <c r="S136" s="3">
        <f>0+(381-0)+(0+(0-0))+0-32-0</f>
        <v>349</v>
      </c>
      <c r="T136" s="3">
        <f>0+(383.9-0)+(0+(0.195789-0))+0-32-0.0163199999999968</f>
        <v>352.07946899999996</v>
      </c>
      <c r="U136" s="3">
        <f>0+(371.8-0)+(0+(0.189618-0))+0-32-0.0163199999999968</f>
        <v>339.973298</v>
      </c>
      <c r="V136" s="3">
        <f>0+(369.3-0)+(0+(0.188343-0))+0-32-0.0163199999999968</f>
        <v>337.47202299999998</v>
      </c>
      <c r="W136" s="3">
        <f>0+(363.6-0)+(0+(0-0))+0-30-0</f>
        <v>333.6</v>
      </c>
      <c r="X136" s="3">
        <f>0+(394.9-34.8)+(0+(-0.201399--0.017748))+0-29--0.0147899999999971</f>
        <v>330.93113899999997</v>
      </c>
      <c r="Y136" s="3">
        <f>0+(430.9-78.7)+(0+(0.659277-0.120411))+0-32-0.0489600000000018</f>
        <v>320.68990599999995</v>
      </c>
      <c r="Z136" s="3">
        <f>0+(546.6-159.1)+(0+(0.278766-0.081141))+0-30-0.015299999999997</f>
        <v>357.68232499999999</v>
      </c>
      <c r="AA136" s="3">
        <f>0+(551.7-162.4)+(0+(-0.844101--0.248472))+0-30--0.0459000000000017</f>
        <v>358.75027100000011</v>
      </c>
      <c r="AB136" s="3">
        <f>0+(540.1-163.3)+(0+(-0.550902--0.166566))+0-30--0.0306000000000048</f>
        <v>346.44626399999999</v>
      </c>
      <c r="AC136" s="3">
        <f>0+(485.8-127.7)+(0+(-1.23879--0.325635))+0-30--0.0764999999999956</f>
        <v>327.26334500000002</v>
      </c>
      <c r="AD136">
        <f t="shared" si="2"/>
        <v>7896.8362560000014</v>
      </c>
      <c r="AE136" s="3">
        <f>0+(546.3-160.9)+(0+(0-0))+0-32-0</f>
        <v>353.4</v>
      </c>
    </row>
    <row r="137" spans="1:31" s="2" customFormat="1" x14ac:dyDescent="0.25">
      <c r="A137">
        <v>89</v>
      </c>
      <c r="B137">
        <v>5</v>
      </c>
      <c r="C137">
        <v>13</v>
      </c>
      <c r="D137">
        <v>5</v>
      </c>
      <c r="E137">
        <v>1</v>
      </c>
      <c r="F137" s="3">
        <f>0+(456.7-106.3)+(0+(-0.465834--0.108426))+0-32--0.0326400000000051</f>
        <v>318.07523199999997</v>
      </c>
      <c r="G137" s="3">
        <f>0+(332.4-0)+(0+(-0.339048-0))+0-32--0.0326400000000051</f>
        <v>300.093592</v>
      </c>
      <c r="H137" s="3">
        <f>0+(325.3-0)+(0+(-0.165903-0))+0-32--0.0163199999999968</f>
        <v>293.150417</v>
      </c>
      <c r="I137" s="3">
        <f>0+(323.4-0)+(0+(-0.659736-0))+0-32--0.0652799999999986</f>
        <v>290.80554399999994</v>
      </c>
      <c r="J137" s="3">
        <f>0+(325.2-0)+(0+(-0.82926-0))+0-32--0.0815999999999954</f>
        <v>292.45233999999999</v>
      </c>
      <c r="K137" s="3">
        <f>0+(322.3-0)+(0+(-0.657492-0))+0-32--0.0652799999999986</f>
        <v>289.70778799999999</v>
      </c>
      <c r="L137" s="3">
        <f>0+(331.3-0)+(0+(-0.675852-0))+0-32--0.0652799999999986</f>
        <v>298.68942799999996</v>
      </c>
      <c r="M137" s="3">
        <f>0+(380.2-12)+(0+(0.387804-0.01224))+0-32-0.0326400000000051</f>
        <v>336.54292399999997</v>
      </c>
      <c r="N137" s="3">
        <f>0+(372.2-13.7)+(0+(-0.189822--0.006987))+0-29--0.0147899999999971</f>
        <v>329.33195499999999</v>
      </c>
      <c r="O137" s="3">
        <f>0+(552.5-173.8)+(0+(-0.281775--0.088638))+0-32--0.0163199999999968</f>
        <v>346.52318300000002</v>
      </c>
      <c r="P137" s="3">
        <f>0+(598.3-201.8)+(0+(1.525665-0.51459))+0-31-0.0790499999999955</f>
        <v>366.43202499999995</v>
      </c>
      <c r="Q137" s="3">
        <f>0+(570.5-170.9)+(0+(0-0))+0-30-0</f>
        <v>369.6</v>
      </c>
      <c r="R137" s="3">
        <f>0+(549.7-162.8)+(0+(0.560694-0.166056))+0-32-0.0326400000000051</f>
        <v>355.26199800000001</v>
      </c>
      <c r="S137" s="3">
        <f>0+(551.1-162.3)+(0+(-0.562122--0.165546))+0-32--0.0326400000000051</f>
        <v>356.43606400000004</v>
      </c>
      <c r="T137" s="3">
        <f>0+(494-104.8)+(0+(0-0))+0-32-0</f>
        <v>357.2</v>
      </c>
      <c r="U137" s="3">
        <f>0+(483.3-97.5)+(0+(0-0))+0-32-0</f>
        <v>353.8</v>
      </c>
      <c r="V137" s="3">
        <f>0+(474.9-94.6)+(0+(-0.242199--0.048246))+0-32--0.0163199999999968</f>
        <v>348.12236699999994</v>
      </c>
      <c r="W137" s="3">
        <f>0+(512.1-145)+(0+(-0.522342--0.1479))+0-32--0.0326400000000051</f>
        <v>334.75819800000005</v>
      </c>
      <c r="X137" s="3">
        <f>0+(528.9-170.5)+(0+(-1.078956--0.34782))+0-32--0.0652799999999986</f>
        <v>325.73414399999996</v>
      </c>
      <c r="Y137" s="3">
        <f>0+(595.1-237.9)+(0+(-0.303501--0.121329))+0-32--0.0163199999999968</f>
        <v>325.03414800000007</v>
      </c>
      <c r="Z137" s="3">
        <f>0+(595.8-208.7)+(0+(-0.911574--0.319311))+0-32--0.0489600000000018</f>
        <v>354.55669699999999</v>
      </c>
      <c r="AA137" s="3">
        <f>0+(683-292.8)+(0+(-1.04499--0.447984))+0-32--0.0489600000000018</f>
        <v>357.65195399999999</v>
      </c>
      <c r="AB137" s="3">
        <f>0+(679.8-293.1)+(0+(0.346698-0.149481))+0-32-0.0163199999999968</f>
        <v>354.88089699999995</v>
      </c>
      <c r="AC137" s="3">
        <f>0+(588.9-219.8)+(0+(-0.901017--0.336294))+0-32--0.0489600000000018</f>
        <v>336.58423699999997</v>
      </c>
      <c r="AD137">
        <f t="shared" si="2"/>
        <v>7991.4251320000012</v>
      </c>
      <c r="AE137" s="3">
        <f>0+(672.3-260.2)+(0+(0-0))+0-32-0</f>
        <v>380.09999999999997</v>
      </c>
    </row>
    <row r="138" spans="1:31" s="2" customFormat="1" x14ac:dyDescent="0.25">
      <c r="A138">
        <v>89</v>
      </c>
      <c r="B138">
        <v>5</v>
      </c>
      <c r="C138">
        <v>14</v>
      </c>
      <c r="D138">
        <v>6</v>
      </c>
      <c r="E138">
        <v>1</v>
      </c>
      <c r="F138" s="3">
        <f>0+(460.2-109.9)+(0+(-0.234702--0.056049))+0-32--0.0163199999999968</f>
        <v>318.13766699999996</v>
      </c>
      <c r="G138" s="3">
        <f>0+(351.8-18.1)+(0+(-0.179418--0.009231))+0-32--0.0163199999999968</f>
        <v>301.546133</v>
      </c>
      <c r="H138" s="3">
        <f>0+(399.8-73)+(0+(-0.407796--0.07446))+0-32--0.0326400000000051</f>
        <v>294.49930400000005</v>
      </c>
      <c r="I138" s="3">
        <f>0+(401.5-82.6)+(0+(-0.40953--0.084252))+0-32--0.0326400000000051</f>
        <v>286.60736199999997</v>
      </c>
      <c r="J138" s="3">
        <f>0+(417.9-94)+(0+(-0.852516--0.19176))+0-32--0.0652799999999986</f>
        <v>291.30452399999996</v>
      </c>
      <c r="K138" s="3">
        <f>0+(417.5-97.3)+(0+(-1.064625--0.248115))+0-35--0.0892499999999949</f>
        <v>284.47273999999999</v>
      </c>
      <c r="L138" s="3">
        <f>0+(317-10.1)+(0+(-0.48501--0.015453))+0-32--0.0489600000000018</f>
        <v>274.47940299999999</v>
      </c>
      <c r="M138" s="3">
        <f>0+(317.6-0)+(0+(-0.161976-0))+0-30--0.015299999999997</f>
        <v>287.45332400000007</v>
      </c>
      <c r="N138" s="3">
        <f>0+(351.7-10.7)+(0+(0.179367-0.005457))+0-30-0.015299999999997</f>
        <v>311.15860999999995</v>
      </c>
      <c r="O138" s="3">
        <f>0+(414.5-49.4)+(0+(-0.211395--0.025194))+0-32--0.0163199999999968</f>
        <v>332.93011900000005</v>
      </c>
      <c r="P138" s="3">
        <f>0+(368.9-0)+(0+(0.188139-0))+0-32-0.0163199999999968</f>
        <v>337.07181899999995</v>
      </c>
      <c r="Q138" s="3">
        <f>0+(399.4-17.8)+(0+(-0.203694--0.009078))+0-32--0.0163199999999968</f>
        <v>349.42170399999998</v>
      </c>
      <c r="R138" s="3">
        <f>0+(375.6-3)+(0+(0-0))+0-32-0</f>
        <v>340.6</v>
      </c>
      <c r="S138" s="3">
        <f>0+(359.3-0)+(0+(-0.549729-0))+0-33--0.0504900000000019</f>
        <v>325.80076100000002</v>
      </c>
      <c r="T138" s="3">
        <f>0+(366.5-7.7)+(0+(0-0))+0-32-0</f>
        <v>326.8</v>
      </c>
      <c r="U138" s="3">
        <f>0+(368.4-15.9)+(0+(-0.93942--0.040545))+0-32--0.0815999999999954</f>
        <v>319.682725</v>
      </c>
      <c r="V138" s="3">
        <f>0+(362.5-10)+(0+(0.184875-0.0051))+0-32-0.0163199999999968</f>
        <v>320.663455</v>
      </c>
      <c r="W138" s="3">
        <f>0+(366.8-16.9)+(0+(-0.561204--0.025857))+0-32--0.0489600000000018</f>
        <v>317.41361300000005</v>
      </c>
      <c r="X138" s="3">
        <f>0+(440-100.6)+(0+(-0.8976--0.205224))+0-33--0.0673199999999986</f>
        <v>305.77494399999995</v>
      </c>
      <c r="Y138" s="3">
        <f>0+(423.8-82.8)+(0+(-0.216138--0.042228))+0-32--0.0163199999999968</f>
        <v>308.84241000000003</v>
      </c>
      <c r="Z138" s="3">
        <f>0+(450.8-72.4)+(0+(-0.689724--0.110772))+0-32--0.0489600000000018</f>
        <v>345.87000799999998</v>
      </c>
      <c r="AA138" s="3">
        <f>0+(535.6-153.9)+(0+(-0.819468--0.235467))+0-32--0.0489600000000018</f>
        <v>349.16495900000007</v>
      </c>
      <c r="AB138" s="3">
        <f>0+(511.3-136.8)+(0+(-1.043052--0.279072))+0-32--0.0652799999999986</f>
        <v>341.80129999999997</v>
      </c>
      <c r="AC138" s="3">
        <f>0+(477.9-112.4)+(0+(-0.243729--0.057324))+0-30--0.015299999999997</f>
        <v>335.32889500000005</v>
      </c>
      <c r="AD138">
        <f t="shared" si="2"/>
        <v>7606.825778999998</v>
      </c>
      <c r="AE138" s="3">
        <f>0+(514.4-124.7)+(0+(0-0))+0-32-0</f>
        <v>357.7</v>
      </c>
    </row>
    <row r="139" spans="1:31" s="2" customFormat="1" x14ac:dyDescent="0.25">
      <c r="A139">
        <v>89</v>
      </c>
      <c r="B139">
        <v>5</v>
      </c>
      <c r="C139">
        <v>15</v>
      </c>
      <c r="D139">
        <v>7</v>
      </c>
      <c r="E139">
        <v>1</v>
      </c>
      <c r="F139" s="3">
        <f>0+(414.3-60.6)+(0+(-0.633879--0.092718))+0-32--0.0489600000000018</f>
        <v>321.20779900000002</v>
      </c>
      <c r="G139" s="3">
        <f>0+(327.7-0)+(0+(-0.501381-0))+0-32--0.0489600000000018</f>
        <v>295.24757900000003</v>
      </c>
      <c r="H139" s="3">
        <f>0+(313.1-0)+(0+(0-0))+0-32-0</f>
        <v>281.10000000000002</v>
      </c>
      <c r="I139" s="3">
        <f>0+(312-0)+(0+(-0.47736-0))+0-32--0.0489600000000018</f>
        <v>279.57160000000005</v>
      </c>
      <c r="J139" s="3">
        <f>0+(305.4-0)+(0+(-0.155754-0))+0-32--0.0163199999999968</f>
        <v>273.26056599999998</v>
      </c>
      <c r="K139" s="3">
        <f>0+(307.8-4.1)+(0+(-0.78489--0.010455))+0-32--0.0815999999999954</f>
        <v>271.00716499999999</v>
      </c>
      <c r="L139" s="3">
        <f>0+(319.8-32.4)+(0+(-0.81549--0.08262))+0-32--0.0815999999999954</f>
        <v>254.74873000000005</v>
      </c>
      <c r="M139" s="3">
        <f>0+(277.8-0)+(0+(0-0))+0-32-0</f>
        <v>245.8</v>
      </c>
      <c r="N139" s="3">
        <f>0+(293.4-7.6)+(0+(-0.598536--0.015504))+0-32--0.0652799999999986</f>
        <v>253.28224799999995</v>
      </c>
      <c r="O139" s="3">
        <f>0+(309-13.6)+(0+(0.31518-0.013872))+0-32-0.0326400000000051</f>
        <v>263.66866799999997</v>
      </c>
      <c r="P139" s="3">
        <f>0+(340.6-35)+(0+(0-0))+0-32-0</f>
        <v>273.60000000000002</v>
      </c>
      <c r="Q139" s="3">
        <f>0+(319-5.2)+(0+(-0.16269--0.002652))+0-32--0.0163199999999968</f>
        <v>281.65628200000003</v>
      </c>
      <c r="R139" s="3">
        <f>0+(311.7-0)+(0+(-0.476901-0))+0-32--0.0489600000000018</f>
        <v>279.27205900000001</v>
      </c>
      <c r="S139" s="3">
        <f>0+(319.7-4.7)+(0+(-0.163047--0.002397))+0-32--0.0163199999999968</f>
        <v>282.85567000000003</v>
      </c>
      <c r="T139" s="3">
        <f>0+(354.9-40.8)+(0+(-0.542997--0.062424))+0-32--0.0489600000000018</f>
        <v>281.668387</v>
      </c>
      <c r="U139" s="3">
        <f>0+(385.9-72.4)+(0+(-0.196809--0.036924))+0-32--0.0163199999999968</f>
        <v>281.35643500000003</v>
      </c>
      <c r="V139" s="3">
        <f>0+(405.3-94.7)+(0+(-1.033515--0.241485))+0-32--0.0815999999999954</f>
        <v>277.88956999999999</v>
      </c>
      <c r="W139" s="3">
        <f>0+(403.5-93.9)+(0+(-1.028925--0.239445))+0-32--0.0815999999999954</f>
        <v>276.89211999999998</v>
      </c>
      <c r="X139" s="3">
        <f>0+(419.7-117.5)+(0+(-0.642141--0.179775))+0-32--0.0489600000000018</f>
        <v>269.78659400000004</v>
      </c>
      <c r="Y139" s="3">
        <f>0+(449-139.6)+(0+(0-0))+0-32-0</f>
        <v>277.39999999999998</v>
      </c>
      <c r="Z139" s="3">
        <f>0+(396.5-52.2)+(0+(0.202215-0.026622))+0-32-0.0163199999999968</f>
        <v>312.459273</v>
      </c>
      <c r="AA139" s="3">
        <f>0+(438.4-88)+(0+(-0.223584--0.04488))+0-32--0.0163199999999968</f>
        <v>318.237616</v>
      </c>
      <c r="AB139" s="3">
        <f>0+(508.2-163.2)+(0+(0-0))+0-32-0</f>
        <v>313</v>
      </c>
      <c r="AC139" s="3">
        <f>0+(505.2-164.9)+(0+(-0.772956--0.252297))+0-32--0.0489600000000018</f>
        <v>307.82830099999995</v>
      </c>
      <c r="AD139">
        <f t="shared" si="2"/>
        <v>6772.7966619999997</v>
      </c>
      <c r="AE139" s="3">
        <f>0+(489.4-140.9)+(0+(0-0))+0-33-0</f>
        <v>315.5</v>
      </c>
    </row>
    <row r="140" spans="1:31" s="2" customFormat="1" x14ac:dyDescent="0.25">
      <c r="A140">
        <v>89</v>
      </c>
      <c r="B140">
        <v>5</v>
      </c>
      <c r="C140">
        <v>16</v>
      </c>
      <c r="D140">
        <v>1</v>
      </c>
      <c r="E140">
        <v>1</v>
      </c>
      <c r="F140" s="3">
        <f>0+(400.6-74.6)+(0+(-0.204306--0.038046))+0-32--0.0163199999999968</f>
        <v>293.85005999999998</v>
      </c>
      <c r="G140" s="3">
        <f>0+(345.4-33.1)+(0+(-0.176154--0.016881))+0-32--0.0163199999999968</f>
        <v>280.15704699999998</v>
      </c>
      <c r="H140" s="3">
        <f>0+(312.2-11)+(0+(-0.159222--0.00561))+0-32--0.0163199999999968</f>
        <v>269.06270799999999</v>
      </c>
      <c r="I140" s="3">
        <f>0+(306.5-10.5)+(0+(-0.31263--0.01071))+0-15--0.0153000000000024</f>
        <v>280.71338000000003</v>
      </c>
      <c r="J140" s="3">
        <f>0+(301.2-4.1)+(0+(-0.460836--0.006273))+0-32--0.0489600000000018</f>
        <v>264.69439699999998</v>
      </c>
      <c r="K140" s="3">
        <f>0+(297.1-0)+(0+(-0.454563-0))+0-32--0.0489600000000018</f>
        <v>264.69439700000004</v>
      </c>
      <c r="L140" s="3">
        <f>0+(303.4-7.1)+(0+(-0.77367--0.018105))+0-32--0.0815999999999954</f>
        <v>263.62603499999994</v>
      </c>
      <c r="M140" s="3">
        <f>0+(317.4-0)+(0+(0-0))+0-32-0</f>
        <v>285.39999999999998</v>
      </c>
      <c r="N140" s="3">
        <f>0+(360.3-16.2)+(0+(-0.183753--0.008262))+0-31--0.0158099999999969</f>
        <v>312.94031899999999</v>
      </c>
      <c r="O140" s="3">
        <f>0+(458.1-99.4)+(0+(0-0))+0-31-0</f>
        <v>327.70000000000005</v>
      </c>
      <c r="P140" s="3">
        <f>0+(569-191.5)+(0+(0.29019-0.097665))+0-31-0.0158099999999969</f>
        <v>346.676715</v>
      </c>
      <c r="Q140" s="3">
        <f>0+(643.5-252)+(0+(-0.328185--0.12852))+0-31--0.0158099999999969</f>
        <v>360.31614500000001</v>
      </c>
      <c r="R140" s="3">
        <f>0+(611-216.1)+(0+(0.31161-0.110211))+0-31-0.0158099999999969</f>
        <v>364.08558899999997</v>
      </c>
      <c r="S140" s="3">
        <f>0+(551.5-170.5)+(0+(-0.843795--0.260865))+0-31--0.0474300000000018</f>
        <v>349.46450000000004</v>
      </c>
      <c r="T140" s="3">
        <f>0+(509.1-129)+(0+(0-0))+0-31-0</f>
        <v>349.1</v>
      </c>
      <c r="U140" s="3">
        <f>0+(505.6-128.7)+(0+(0-0))+0-31-0</f>
        <v>345.90000000000003</v>
      </c>
      <c r="V140" s="3">
        <f>0+(471.4-101)+(0+(-0.961656--0.20604))+0-31--0.0632399999999986</f>
        <v>338.70762400000001</v>
      </c>
      <c r="W140" s="3">
        <f>0+(566.4-197)+(0+(-0.577728--0.20094))+0-31--0.0316200000000049</f>
        <v>338.05483200000003</v>
      </c>
      <c r="X140" s="3">
        <f>0+(650.6-293.8)+(0+(-0.995418--0.449514))+0-31--0.0474300000000018</f>
        <v>325.30152600000002</v>
      </c>
      <c r="Y140" s="3">
        <f>0+(557.5-210.1)+(0+(0-0))+0-31-0</f>
        <v>316.39999999999998</v>
      </c>
      <c r="Z140" s="3">
        <f>0+(605.4-222)+(0+(0-0))+0-31-0</f>
        <v>352.4</v>
      </c>
      <c r="AA140" s="3">
        <f>0+(623.1-236.2)+(0+(0-0))+0-31-0</f>
        <v>355.90000000000003</v>
      </c>
      <c r="AB140" s="3">
        <f>0+(614.8-240.3)+(0+(0.627096-0.245106))+0-31-0.0316200000000049</f>
        <v>343.85036999999988</v>
      </c>
      <c r="AC140" s="3">
        <f>0+(557.7-197)+(0+(-0.284427--0.10047))+0-31--0.0158099999999969</f>
        <v>329.53185300000001</v>
      </c>
      <c r="AD140">
        <f t="shared" si="2"/>
        <v>7658.5274969999991</v>
      </c>
      <c r="AE140" s="3">
        <f>0+(612.2-229.4)+(0+(0-0))+0-32-0</f>
        <v>350.80000000000007</v>
      </c>
    </row>
    <row r="141" spans="1:31" s="2" customFormat="1" x14ac:dyDescent="0.25">
      <c r="A141">
        <v>89</v>
      </c>
      <c r="B141">
        <v>5</v>
      </c>
      <c r="C141">
        <v>17</v>
      </c>
      <c r="D141">
        <v>2</v>
      </c>
      <c r="E141">
        <v>1</v>
      </c>
      <c r="F141" s="3">
        <f>0+(463.6-123.5)+(0+(-0.945744--0.25194))+0-26--0.0530399999999989</f>
        <v>313.45923600000003</v>
      </c>
      <c r="G141" s="3">
        <f>0+(327.5-9.8)+(0+(-0.167025--0.004998))+0-32--0.0163199999999968</f>
        <v>285.55429299999997</v>
      </c>
      <c r="H141" s="3">
        <f>0+(346.4-28.1)+(0+(0-0))+0-32-0</f>
        <v>286.29999999999995</v>
      </c>
      <c r="I141" s="3">
        <f>0+(312.3-0)+(0+(-0.477819-0))+0-32--0.0489600000000018</f>
        <v>279.87114100000002</v>
      </c>
      <c r="J141" s="3">
        <f>0+(309.8-0)+(0+(-0.315996-0))+0-32--0.0326400000000051</f>
        <v>277.51664400000004</v>
      </c>
      <c r="K141" s="3">
        <f>0+(325.1-10.7)+(0+(-0.331602--0.010914))+0-32--0.0326400000000051</f>
        <v>282.11195200000003</v>
      </c>
      <c r="L141" s="3">
        <f>0+(342.5-32.1)+(0+(-0.6987--0.065484))+0-32--0.0652799999999986</f>
        <v>277.83206399999995</v>
      </c>
      <c r="M141" s="3">
        <f>0+(366.8-34.9)+(0+(0-0))+0-32-0</f>
        <v>299.90000000000003</v>
      </c>
      <c r="N141" s="3">
        <f>0+(413.7-48.8)+(0+(-0.210987--0.024888))+0-33--0.0168299999999967</f>
        <v>331.73073099999993</v>
      </c>
      <c r="O141" s="3">
        <f>0+(414.3-47.4)+(0+(-0.633879--0.072522))+0-31--0.0474300000000018</f>
        <v>335.38607300000007</v>
      </c>
      <c r="P141" s="3">
        <f>0+(688.8-278.3)+(0+(0-0))+0-29-0</f>
        <v>381.49999999999994</v>
      </c>
      <c r="Q141" s="3">
        <f>0+(617.4-223.9)+(0+(0-0))+0-32-0</f>
        <v>361.5</v>
      </c>
      <c r="R141" s="3">
        <f>0+(530.4-143.4)+(0+(0.270504-0.073134))+0-32-0.0163199999999968</f>
        <v>355.18104999999997</v>
      </c>
      <c r="S141" s="3">
        <f>0+(449.6-55.3)+(0+(-0.229296--0.028203))+0-32--0.0163199999999968</f>
        <v>362.115227</v>
      </c>
      <c r="T141" s="3">
        <f>0+(453.1-69.6)+(0+(0.231081-0.035496))+0-32-0.0163199999999968</f>
        <v>351.67926499999999</v>
      </c>
      <c r="U141" s="3">
        <f>0+(445-83.5)+(0+(-0.22695--0.042585))+0-1--0.000509999999999899</f>
        <v>360.31614500000001</v>
      </c>
      <c r="V141" s="3">
        <f>0+(454.3-106.6)+(0+(-0.231693--0.054366))+0-4--0.00203999999999959</f>
        <v>343.52471300000008</v>
      </c>
      <c r="W141" s="3">
        <f>0+(559.2-209.6)+(0+(-0.855576--0.320688))+0-4--0.00612000000000023</f>
        <v>345.07123200000001</v>
      </c>
      <c r="X141" s="3">
        <f>0+(599.8-258.2)+(0+(-1.52949--0.65841))+0-4--0.0101999999999994</f>
        <v>336.73911999999996</v>
      </c>
      <c r="Y141" s="3">
        <f>0+(476.2-141)+(0+(-0.485724--0.14382))+0-5--0.0051000000000008</f>
        <v>329.86319600000002</v>
      </c>
      <c r="Z141" s="3">
        <f>0+(608.7-236.7)+(0+(-0.310437--0.120717))+0-6--0.00305999999999939</f>
        <v>365.81334000000004</v>
      </c>
      <c r="AA141" s="3">
        <f>0+(643-266.8)+(0+(-0.98379--0.408204))+0-6--0.00918000000000035</f>
        <v>369.63359400000002</v>
      </c>
      <c r="AB141" s="3">
        <f>0+(625.6-261.8)+(0+(0-0))+0-7-0</f>
        <v>356.8</v>
      </c>
      <c r="AC141" s="3">
        <f>0+(569.8-216.7)+(0+(-0.581196--0.221034))+0-7--0.00714000000000112</f>
        <v>345.74697799999996</v>
      </c>
      <c r="AD141">
        <f t="shared" si="2"/>
        <v>7935.1459940000004</v>
      </c>
      <c r="AE141" s="3">
        <f>0+(614.2-235.9)+(0+(0-0))+0-32-0</f>
        <v>346.30000000000007</v>
      </c>
    </row>
    <row r="142" spans="1:31" s="2" customFormat="1" x14ac:dyDescent="0.25">
      <c r="A142">
        <v>89</v>
      </c>
      <c r="B142">
        <v>5</v>
      </c>
      <c r="C142">
        <v>18</v>
      </c>
      <c r="D142">
        <v>3</v>
      </c>
      <c r="E142">
        <v>1</v>
      </c>
      <c r="F142" s="3">
        <f>0+(452.5-116.8)+(0+(-1.153875--0.29784))+0-9--0.0229499999999987</f>
        <v>325.86691499999995</v>
      </c>
      <c r="G142" s="3">
        <f>0+(323.5-3.8)+(0+(-0.32997--0.003876))+0-19--0.019380000000003</f>
        <v>300.39328599999999</v>
      </c>
      <c r="H142" s="3">
        <f>0+(309-0)+(0+(-0.15759-0))+0-11--0.00560999999999888</f>
        <v>297.84801999999996</v>
      </c>
      <c r="I142" s="3">
        <f>0+(315.8-7.2)+(0+(0.161058-0.003672))+0-12-0.00611999999999878</f>
        <v>296.75126599999999</v>
      </c>
      <c r="J142" s="3">
        <f>0+(346.7-29.1)+(0+(0.530451-0.044523))+0-12-0.0183600000000007</f>
        <v>306.06756799999999</v>
      </c>
      <c r="K142" s="3">
        <f>0+(412.6-95)+(0+(-0.210426--0.04845))+0-16--0.00815999999999838</f>
        <v>301.44618400000002</v>
      </c>
      <c r="L142" s="3">
        <f>0+(404.5-94.1)+(0+(-0.618885--0.143973))+0-17--0.026010000000001</f>
        <v>292.95109799999994</v>
      </c>
      <c r="M142" s="3">
        <f>0+(359.7-42.7)+(0+(0-0))+0-19-0</f>
        <v>298</v>
      </c>
      <c r="N142" s="3">
        <f>0+(536.2-163.7)+(0+(0.546924-0.166974))+0-21-0.0214200000000034</f>
        <v>351.85853000000009</v>
      </c>
      <c r="O142" s="3">
        <f>0+(599.6-213.7)+(0+(-0.611592--0.217974))+0-23--0.0234600000000037</f>
        <v>362.52984200000003</v>
      </c>
      <c r="P142" s="3">
        <f>0+(691.2-282)+(0+(1.057536-0.43146))+0-25-0.0382500000000014</f>
        <v>384.78782600000005</v>
      </c>
      <c r="Q142" s="3">
        <f>0+(631.9-213.2)+(0+(0.322269-0.108732))+0-27-0.0137699999999973</f>
        <v>391.89976699999994</v>
      </c>
      <c r="R142" s="3">
        <f>0+(597.3-188.3)+(0+(-0.609246--0.192066))+0-27--0.0275400000000043</f>
        <v>381.61035999999996</v>
      </c>
      <c r="S142" s="3">
        <f>0+(561.5-163.6)+(0+(0.286365-0.083436))+0-27-0.0137699999999973</f>
        <v>371.08915899999994</v>
      </c>
      <c r="T142" s="3">
        <f>0+(527.2-127.4)+(0+(0-0))+0-27-0</f>
        <v>372.80000000000007</v>
      </c>
      <c r="U142" s="3">
        <f>0+(495.6-100.8)+(0+(0-0))+0-27-0</f>
        <v>367.8</v>
      </c>
      <c r="V142" s="3">
        <f>0+(495.6-103.7)+(0+(-0.252756--0.052887))+0-27--0.0137699999999973</f>
        <v>364.71390100000008</v>
      </c>
      <c r="W142" s="3">
        <f>0+(527.2-144.6)+(0+(-0.537744--0.147492))+0-27--0.0275400000000043</f>
        <v>355.23728800000004</v>
      </c>
      <c r="X142" s="3">
        <f>0+(596.7-221.3)+(0+(-1.521585--0.564315))+0-27--0.0688499999999961</f>
        <v>347.51158000000004</v>
      </c>
      <c r="Y142" s="3">
        <f>0+(465.7-94.7)+(0+(-0.475014--0.096594))+0-27--0.0275400000000043</f>
        <v>343.64911999999998</v>
      </c>
      <c r="Z142" s="3">
        <f>0+(607.5-204)+(0+(-0.309825--0.10404))+0-27--0.0137699999999973</f>
        <v>376.30798500000003</v>
      </c>
      <c r="AA142" s="3">
        <f>0+(638.9-233.7)+(0+(-1.303356--0.476748))+0-27--0.0550799999999988</f>
        <v>377.42847199999994</v>
      </c>
      <c r="AB142" s="3">
        <f>0+(633.1-241.6)+(0+(-0.645762--0.246432))+0-27--0.0275400000000043</f>
        <v>364.12820999999997</v>
      </c>
      <c r="AC142" s="3">
        <f>0+(622.6-240.2)+(0+(-0.635052--0.245004))+0-27--0.0275400000000043</f>
        <v>355.03749200000004</v>
      </c>
      <c r="AD142">
        <f t="shared" si="2"/>
        <v>8287.7138690000011</v>
      </c>
      <c r="AE142" s="3">
        <f>0+(618.7-216.6)+(0+(0-0))+0-32-0</f>
        <v>370.1</v>
      </c>
    </row>
    <row r="143" spans="1:31" s="2" customFormat="1" x14ac:dyDescent="0.25">
      <c r="A143">
        <v>89</v>
      </c>
      <c r="B143">
        <v>5</v>
      </c>
      <c r="C143">
        <v>19</v>
      </c>
      <c r="D143">
        <v>4</v>
      </c>
      <c r="E143">
        <v>1</v>
      </c>
      <c r="F143" s="3">
        <f>0+(593.1-226.1)+(0+(-0.604962--0.230622))+0-32--0.0326400000000051</f>
        <v>334.6583</v>
      </c>
      <c r="G143" s="3">
        <f>0+(531.8-182.2)+(0+(-0.542436--0.185844))+0-32--0.0326400000000051</f>
        <v>317.276048</v>
      </c>
      <c r="H143" s="3">
        <f>0+(393.8-53)+(0+(-0.803352--0.10812))+0-31--0.0632399999999986</f>
        <v>309.16800800000004</v>
      </c>
      <c r="I143" s="3">
        <f>0+(343.7-12)+(0+(0.175287-0.00612))+0-31-0.0158099999999969</f>
        <v>300.85335700000002</v>
      </c>
      <c r="J143" s="3">
        <f>0+(379.7-46.8)+(0+(0.774588-0.095472))+0-32-0.0652799999999986</f>
        <v>301.51383600000003</v>
      </c>
      <c r="K143" s="3">
        <f>0+(402.6-69.2)+(0+(0.410652-0.070584))+0-32-0.0326400000000051</f>
        <v>301.70742799999999</v>
      </c>
      <c r="L143" s="3">
        <f>0+(405.3-84)+(0+(-0.413406--0.08568))+0-32--0.0326400000000051</f>
        <v>289.00491400000004</v>
      </c>
      <c r="M143" s="3">
        <f>0+(378.5-38.6)+(0+(0.38607-0.039372))+0-31-0.0316200000000049</f>
        <v>309.21507799999995</v>
      </c>
      <c r="N143" s="3">
        <f>0+(501.9-132.7)+(0+(0.767907-0.203031))+0-32-0.0489600000000018</f>
        <v>337.71591599999999</v>
      </c>
      <c r="O143" s="3">
        <f>0+(603.2-210.8)+(0+(1.230528-0.430032))+0-32-0.0652799999999986</f>
        <v>361.13521600000007</v>
      </c>
      <c r="P143" s="3">
        <f>0+(653.1-251.1)+(0+(0.666162-0.256122))+0-32-0.0326400000000051</f>
        <v>370.37739999999997</v>
      </c>
      <c r="Q143" s="3">
        <f>0+(639.2-237.7)+(0+(0-0))+0-11-0</f>
        <v>390.50000000000006</v>
      </c>
      <c r="R143" s="3">
        <f>0+(606-204.5)+(0+(0.30906-0.104295))+0-31-0.0158099999999969</f>
        <v>370.68895500000002</v>
      </c>
      <c r="S143" s="3">
        <f>0+(532.3-138.7)+(0+(0-0))+0-32-0</f>
        <v>361.59999999999997</v>
      </c>
      <c r="T143" s="3">
        <f>0+(487.5-90)+(0+(0-0))+0-32-0</f>
        <v>365.5</v>
      </c>
      <c r="U143" s="3">
        <f>0+(483.6-90.7)+(0+(0.246636-0.046257))+0-32-0.0163199999999968</f>
        <v>361.08405900000002</v>
      </c>
      <c r="V143" s="3">
        <f>0+(491.2-101.7)+(0+(0.501024-0.103734))+0-32-0.0326400000000051</f>
        <v>357.86464999999998</v>
      </c>
      <c r="W143" s="3">
        <f>0+(533.4-151.4)+(0+(-1.088136--0.308856))+0-12--0.0244799999999995</f>
        <v>369.24520000000001</v>
      </c>
      <c r="X143" s="3">
        <f>0+(626.4-245.9)+(0+(-1.59732--0.627045))+0-32--0.0815999999999954</f>
        <v>347.61132499999997</v>
      </c>
      <c r="Y143" s="3">
        <f>0+(605-226.1)+(0+(0.6171-0.230622))+0-32-0.0326400000000051</f>
        <v>347.25383799999997</v>
      </c>
      <c r="Z143" s="3">
        <f>0+(593.4-182.6)+(0+(0-0))+0-32-0</f>
        <v>378.79999999999995</v>
      </c>
      <c r="AA143" s="3">
        <f>0+(603.7-194.4)+(0+(-0.615774--0.198288))+0-32--0.0326400000000051</f>
        <v>376.91515400000009</v>
      </c>
      <c r="AB143" s="3">
        <f>0+(602.6-204.7)+(0+(-0.307326--0.104397))+0-32--0.0163199999999968</f>
        <v>365.71339100000006</v>
      </c>
      <c r="AC143" s="3">
        <f>0+(588-202.9)+(0+(-1.19952--0.413916))+0-18--0.0367199999999992</f>
        <v>366.35111600000005</v>
      </c>
      <c r="AD143">
        <f t="shared" si="2"/>
        <v>8291.7531890000009</v>
      </c>
      <c r="AE143" s="3">
        <f>0+(596.4-185.8)+(0+(0-0))+0-30-0</f>
        <v>380.59999999999997</v>
      </c>
    </row>
    <row r="144" spans="1:31" s="2" customFormat="1" x14ac:dyDescent="0.25">
      <c r="A144">
        <v>89</v>
      </c>
      <c r="B144">
        <v>5</v>
      </c>
      <c r="C144">
        <v>20</v>
      </c>
      <c r="D144">
        <v>5</v>
      </c>
      <c r="E144">
        <v>1</v>
      </c>
      <c r="F144" s="3">
        <f>0+(575.9-210.3)+(0+(-1.174836--0.429012))+0-27--0.0550799999999988</f>
        <v>337.90925599999991</v>
      </c>
      <c r="G144" s="3">
        <f>0+(512.2-158.2)+(0+(-0.783666--0.242046))+0-31--0.0474300000000018</f>
        <v>322.50581000000005</v>
      </c>
      <c r="H144" s="3">
        <f>0+(417.1-75.6)+(0+(-0.850884--0.154224))+0-31--0.0632399999999986</f>
        <v>309.86658</v>
      </c>
      <c r="I144" s="3">
        <f>0+(334.6-0)+(0+(-0.85323-0))+0-31--0.0790499999999955</f>
        <v>302.82582000000002</v>
      </c>
      <c r="J144" s="3">
        <f>0+(336.5-1.6)+(0+(-1.02969--0.004896))+0-31--0.0948600000000036</f>
        <v>302.97006599999997</v>
      </c>
      <c r="K144" s="3">
        <f>0+(346.7-13.9)+(0+(-0.707268--0.028356))+0-31--0.0632399999999986</f>
        <v>301.18432799999999</v>
      </c>
      <c r="L144" s="3">
        <f>0+(364.5-39.2)+(0+(-1.11537--0.119952))+0-31--0.0948600000000036</f>
        <v>293.39944200000002</v>
      </c>
      <c r="M144" s="3">
        <f>0+(346-11)+(0+(-0.52938--0.01683))+0-31--0.0474300000000018</f>
        <v>303.53488000000004</v>
      </c>
      <c r="N144" s="3">
        <f>0+(430-60.3)+(0+(0-0))+0-31-0</f>
        <v>338.7</v>
      </c>
      <c r="O144" s="3">
        <f>0+(640.7-245.6)+(0+(-0.326757--0.125256))+0-31--0.0158099999999969</f>
        <v>363.914309</v>
      </c>
      <c r="P144" s="3">
        <f>0+(716.5-304.6)+(0+(1.096245-0.466038))+0-32-0.0489600000000018</f>
        <v>380.48124699999994</v>
      </c>
      <c r="Q144" s="3">
        <f>0+(709.2-290.6)+(0+(-0.361692--0.148206))+0-31--0.0158099999999969</f>
        <v>387.40232400000002</v>
      </c>
      <c r="R144" s="3">
        <f>0+(622.1-216.2)+(0+(0.317271-0.110262))+0-22-0.0112199999999978</f>
        <v>384.09578900000008</v>
      </c>
      <c r="S144" s="3">
        <f>0+(534.5-146.3)+(0+(0-0))+0-31-0</f>
        <v>357.2</v>
      </c>
      <c r="T144" s="3">
        <f>0+(500.8-106.8)+(0+(0.255408-0.054468))+0-31-0.0158099999999969</f>
        <v>363.18513000000002</v>
      </c>
      <c r="U144" s="3">
        <f>0+(483.6-96.5)+(0+(0-0))+0-31-0</f>
        <v>356.1</v>
      </c>
      <c r="V144" s="3">
        <f>0+(404-21.4)+(0+(-0.82416--0.043656))+0-31--0.0632399999999986</f>
        <v>350.88273600000002</v>
      </c>
      <c r="W144" s="3">
        <f>0+(422-44.3)+(0+(-0.86088--0.090372))+0-31--0.0632399999999986</f>
        <v>345.99273199999999</v>
      </c>
      <c r="X144" s="3">
        <f>0+(538.5-168.3)+(0+(-1.64781--0.514998))+0-31--0.0948600000000036</f>
        <v>338.16204799999997</v>
      </c>
      <c r="Y144" s="3">
        <f>0+(557.8-184.4)+(0+(0.284478-0.094044))+0-31-0.0158099999999969</f>
        <v>342.57462399999997</v>
      </c>
      <c r="Z144" s="3">
        <f>0+(418.9-23.5)+(0+(0.427278-0.02397))+0-31-0.0316200000000049</f>
        <v>364.77168799999993</v>
      </c>
      <c r="AA144" s="3">
        <f>0+(430.7-30.1)+(0+(-0.658971--0.046053))+0-31--0.0474300000000018</f>
        <v>369.03451200000001</v>
      </c>
      <c r="AB144" s="3">
        <f>0+(451.2-58.4)+(0+(0-0))+0-31-0</f>
        <v>361.8</v>
      </c>
      <c r="AC144" s="3">
        <f>0+(492.6-112.6)+(0+(-0.753678--0.172278))+0-8--0.0122400000000005</f>
        <v>371.43084000000005</v>
      </c>
      <c r="AD144">
        <f t="shared" si="2"/>
        <v>8249.9241610000008</v>
      </c>
      <c r="AE144" s="3">
        <f>0+(431.2-25)+(0+(0-0))+0-31-0</f>
        <v>375.2</v>
      </c>
    </row>
    <row r="145" spans="1:31" s="2" customFormat="1" x14ac:dyDescent="0.25">
      <c r="A145">
        <v>89</v>
      </c>
      <c r="B145">
        <v>5</v>
      </c>
      <c r="C145">
        <v>21</v>
      </c>
      <c r="D145">
        <v>6</v>
      </c>
      <c r="E145">
        <v>8</v>
      </c>
      <c r="F145" s="3">
        <f>0+(514.6-142.1)+(0+(-1.049784--0.289884))+0-31--0.0632399999999986</f>
        <v>340.80333999999999</v>
      </c>
      <c r="G145" s="3">
        <f>0+(444.3-90.5)+(0+(-0.906372--0.18462))+0-31--0.0632399999999986</f>
        <v>322.14148800000004</v>
      </c>
      <c r="H145" s="3">
        <f>0+(406.8-59.4)+(0+(0-0))+0-32-0</f>
        <v>315.40000000000003</v>
      </c>
      <c r="I145" s="3">
        <f>0+(355.3-13.9)+(0+(0.362406-0.014178))+0-32-0.0326400000000051</f>
        <v>309.71558800000003</v>
      </c>
      <c r="J145" s="3">
        <f>0+(443.5-101.1)+(0+(-0.678555--0.154683))+0-32--0.0489600000000018</f>
        <v>309.92508800000002</v>
      </c>
      <c r="K145" s="3">
        <f>0+(464.4-128.5)+(0+(-1.18422--0.327675))+0-31--0.0790499999999955</f>
        <v>304.12250499999999</v>
      </c>
      <c r="L145" s="3">
        <f>0+(451.1-128.6)+(0+(-1.840488--0.524688))+0-31--0.126479999999997</f>
        <v>290.31067999999999</v>
      </c>
      <c r="M145" s="3">
        <f>0+(426.8-88.9)+(0+(0.435336-0.090678))+0-32-0.0326400000000051</f>
        <v>306.21201799999994</v>
      </c>
      <c r="N145" s="3">
        <f>0+(506.5-141.5)+(0+(0.51663-0.14433))+0-32-0.0326400000000051</f>
        <v>333.33965999999998</v>
      </c>
      <c r="O145" s="3">
        <f>0+(611.4-225.9)+(0+(1.247256-0.460836))+0-32-0.0652799999999986</f>
        <v>354.22114000000005</v>
      </c>
      <c r="P145" s="3">
        <f>0+(650.5-251.7)+(0+(0.66351-0.256734))+0-32-0.0326400000000051</f>
        <v>367.17413599999998</v>
      </c>
      <c r="Q145" s="3">
        <f>0+(611.8-207.3)+(0+(0-0))+0-32-0</f>
        <v>372.49999999999994</v>
      </c>
      <c r="R145" s="3">
        <f>0+(623.1-223.9)+(0+(0.635562-0.228378))+0-31-0.0316200000000049</f>
        <v>368.57556399999999</v>
      </c>
      <c r="S145" s="3">
        <f>0+(524.6-140.7)+(0+(0-0))+0-32-0</f>
        <v>351.90000000000003</v>
      </c>
      <c r="T145" s="3">
        <f>0+(465.3-88.1)+(0+(0-0))+0-32-0</f>
        <v>345.20000000000005</v>
      </c>
      <c r="U145" s="3">
        <f>0+(471-105.2)+(0+(-0.24021--0.053652))+0-32--0.0163199999999968</f>
        <v>333.62976200000003</v>
      </c>
      <c r="V145" s="3">
        <f>0+(490.4-129.6)+(0+(-0.250104--0.066096))+0-32--0.0163199999999968</f>
        <v>328.63231199999996</v>
      </c>
      <c r="W145" s="3">
        <f>0+(496.9-140)+(0+(-0.760257--0.2142))+0-31--0.0474300000000018</f>
        <v>325.40137299999998</v>
      </c>
      <c r="X145" s="3">
        <f>0+(544.5-197.6)+(0+(-1.11078--0.403104))+0-31--0.0632399999999986</f>
        <v>315.25556399999999</v>
      </c>
      <c r="Y145" s="3">
        <f>0+(562.7-208.3)+(0+(0.286977-0.106233))+0-32-0.0163199999999968</f>
        <v>322.56442400000003</v>
      </c>
      <c r="Z145" s="3">
        <f>0+(577.6-201.1)+(0+(0.589152-0.205122))+0-32-0.0326400000000051</f>
        <v>344.85138999999998</v>
      </c>
      <c r="AA145" s="3">
        <f>0+(577-199.9)+(0+(-0.29427--0.101949))+0-32--0.0163199999999968</f>
        <v>344.92399900000004</v>
      </c>
      <c r="AB145" s="3">
        <f>0+(591.9-220.1)+(0+(-0.301869--0.112251))+0-32--0.0163199999999968</f>
        <v>339.62670199999997</v>
      </c>
      <c r="AC145" s="3">
        <f>0+(622.7-259.3)+(0+(0.317577-0.132243))+0-32-0.0163199999999968</f>
        <v>331.56901400000004</v>
      </c>
      <c r="AD145">
        <f t="shared" si="2"/>
        <v>7977.995746999999</v>
      </c>
      <c r="AE145" s="3">
        <f>0+(577.8-210.2)+(0+(0-0))+0-32-0</f>
        <v>335.59999999999997</v>
      </c>
    </row>
    <row r="146" spans="1:31" s="2" customFormat="1" x14ac:dyDescent="0.25">
      <c r="A146">
        <v>89</v>
      </c>
      <c r="B146">
        <v>5</v>
      </c>
      <c r="C146">
        <v>22</v>
      </c>
      <c r="D146">
        <v>7</v>
      </c>
      <c r="E146">
        <v>1</v>
      </c>
      <c r="F146" s="3">
        <f>0+(546.4-195.5)+(0+(0.278664-0.099705))+0-31-0.0158099999999969</f>
        <v>320.06314900000001</v>
      </c>
      <c r="G146" s="3">
        <f>0+(381.2-45.3)+(0+(-0.388824--0.046206))+0-32--0.0326400000000051</f>
        <v>303.59002199999998</v>
      </c>
      <c r="H146" s="3">
        <f>0+(355.5-32)+(0+(-0.181305--0.01632))+0-31--0.0158099999999969</f>
        <v>292.35082499999999</v>
      </c>
      <c r="I146" s="3">
        <f>0+(349.8-24)+(0+(0-0))+0-31-0</f>
        <v>294.8</v>
      </c>
      <c r="J146" s="3">
        <f>0+(433-102.2)+(0+(-0.22083--0.052122))+0-32--0.0163199999999968</f>
        <v>298.64761200000004</v>
      </c>
      <c r="K146" s="3">
        <f>0+(484-169.3)+(0+(-0.49368--0.172686))+0-32--0.0326400000000051</f>
        <v>282.41164600000002</v>
      </c>
      <c r="L146" s="3">
        <f>0+(483-188)+(0+(-0.98532--0.38352))+0-32--0.0652799999999986</f>
        <v>262.46347999999995</v>
      </c>
      <c r="M146" s="3">
        <f>0+(399.3-111.5)+(0+(-0.203643--0.056865))+0-30--0.015299999999997</f>
        <v>257.66852200000005</v>
      </c>
      <c r="N146" s="3">
        <f>0+(327.7-37)+(0+(-0.501381--0.05661))+0-30--0.0459000000000017</f>
        <v>260.301129</v>
      </c>
      <c r="O146" s="3">
        <f>0+(292.5-0)+(0+(0.149175-0))+0-31-0.0158099999999969</f>
        <v>261.63336500000003</v>
      </c>
      <c r="P146" s="3">
        <f>0+(327-23)+(0+(-0.33354--0.02346))+0-31--0.0316200000000049</f>
        <v>272.72154</v>
      </c>
      <c r="Q146" s="3">
        <f>0+(469.1-155.3)+(0+(0-0))+0-31-0</f>
        <v>282.8</v>
      </c>
      <c r="R146" s="3">
        <f>0+(492.9-173.9)+(0+(0.251379-0.088689))+0-30-0.015299999999997</f>
        <v>289.14738999999997</v>
      </c>
      <c r="S146" s="3">
        <f>0+(487.5-166.6)+(0+(0-0))+0-31-0</f>
        <v>289.89999999999998</v>
      </c>
      <c r="T146" s="3">
        <f>0+(456.6-134.8)+(0+(0.232866-0.068748))+0-30-0.015299999999997</f>
        <v>291.94881799999996</v>
      </c>
      <c r="U146" s="3">
        <f>0+(430.7-112.5)+(0+(0-0))+0-31-0</f>
        <v>287.2</v>
      </c>
      <c r="V146" s="3">
        <f>0+(426.8-112.2)+(0+(-0.653004--0.171666))+0-31--0.0474300000000018</f>
        <v>283.16609200000005</v>
      </c>
      <c r="W146" s="3">
        <f>0+(485.2-170.9)+(0+(-0.742356--0.261477))+0-31--0.0474300000000018</f>
        <v>282.86655099999996</v>
      </c>
      <c r="X146" s="3">
        <f>0+(434-122.3)+(0+(-0.88536--0.249492))+0-31--0.0632399999999986</f>
        <v>280.12737199999998</v>
      </c>
      <c r="Y146" s="3">
        <f>0+(418-92.8)+(0+(-0.42636--0.094656))+0-31--0.0316200000000049</f>
        <v>293.89991600000002</v>
      </c>
      <c r="Z146" s="3">
        <f>0+(508.4-152.6)+(0+(-0.259284--0.077826))+0-31--0.0158099999999969</f>
        <v>324.63435199999992</v>
      </c>
      <c r="AA146" s="3">
        <f>0+(643.4-276.6)+(0+(-1.64067--0.70533))+0-31--0.0790499999999955</f>
        <v>334.94370999999995</v>
      </c>
      <c r="AB146" s="3">
        <f>0+(673.1-309.7)+(0+(-0.686562--0.315894))+0-31--0.0316200000000049</f>
        <v>332.06095200000004</v>
      </c>
      <c r="AC146" s="3">
        <f>0+(583.6-236.7)+(0+(0.297636-0.120717))+0-25-0.0127499999999975</f>
        <v>322.06416900000005</v>
      </c>
      <c r="AD146">
        <f t="shared" si="2"/>
        <v>7001.4106120000006</v>
      </c>
      <c r="AE146" s="3">
        <f>0+(563.5-200.8)+(0+(0-0))+0-31-0</f>
        <v>331.7</v>
      </c>
    </row>
    <row r="147" spans="1:31" s="2" customFormat="1" x14ac:dyDescent="0.25">
      <c r="A147">
        <v>89</v>
      </c>
      <c r="B147">
        <v>5</v>
      </c>
      <c r="C147">
        <v>23</v>
      </c>
      <c r="D147">
        <v>1</v>
      </c>
      <c r="E147">
        <v>1</v>
      </c>
      <c r="F147" s="3">
        <f>0+(470.3-137.1)+(0+(-0.959412--0.279684))+0-31--0.0632399999999986</f>
        <v>301.58351200000004</v>
      </c>
      <c r="G147" s="3">
        <f>0+(338.3-21.3)+(0+(0.172533-0.010863))+0-31-0.0158099999999969</f>
        <v>286.14586000000003</v>
      </c>
      <c r="H147" s="3">
        <f>0+(303.4-0)+(0+(-0.309468-0))+0-31--0.0316200000000049</f>
        <v>272.12215200000003</v>
      </c>
      <c r="I147" s="3">
        <f>0+(308.2-0)+(0+(-0.628728-0))+0-31--0.0632399999999986</f>
        <v>276.63451199999997</v>
      </c>
      <c r="J147" s="3">
        <f>0+(312.6-0)+(0+(-0.159426-0))+0-31--0.0158099999999969</f>
        <v>281.45638400000001</v>
      </c>
      <c r="K147" s="3">
        <f>0+(345.4-36.6)+(0+(-0.352308--0.037332))+0-31--0.0316200000000049</f>
        <v>277.51664399999999</v>
      </c>
      <c r="L147" s="3">
        <f>0+(348-44.2)+(0+(-0.35496--0.045084))+0-32--0.0326400000000051</f>
        <v>271.52276400000005</v>
      </c>
      <c r="M147" s="3">
        <f>0+(317-0)+(0+(-0.16167-0))+0-31--0.0158099999999969</f>
        <v>285.85413999999997</v>
      </c>
      <c r="N147" s="3">
        <f>0+(353.7-6)+(0+(0.180387-0.00306))+0-30-0.015299999999997</f>
        <v>317.86202699999996</v>
      </c>
      <c r="O147" s="3">
        <f>0+(506.3-138.1)+(0+(-0.774639--0.211293))+0-31--0.0474300000000018</f>
        <v>336.68408400000004</v>
      </c>
      <c r="P147" s="3">
        <f>0+(652.9-264.2)+(0+(0.332979-0.134742))+0-32-0.0163199999999968</f>
        <v>356.88191699999999</v>
      </c>
      <c r="Q147" s="3">
        <f>0+(722.6-320.9)+(0+(1.105578-0.490977))+0-32-0.0489600000000018</f>
        <v>370.26564100000002</v>
      </c>
      <c r="R147" s="3">
        <f>0+(676.6-274.4)+(0+(0.345066-0.139944))+0-32-0.0163199999999968</f>
        <v>370.38880200000006</v>
      </c>
      <c r="S147" s="3">
        <f>0+(604.6-209)+(0+(0.308346-0.10659))+0-32-0.0163199999999968</f>
        <v>363.785436</v>
      </c>
      <c r="T147" s="3">
        <f>0+(591.6-200.4)+(0+(0.301716-0.102204))+0-32-0.0163199999999968</f>
        <v>359.38319200000007</v>
      </c>
      <c r="U147" s="3">
        <f>0+(554-172.3)+(0+(-0.28254--0.087873))+0-32--0.0163199999999968</f>
        <v>349.52165300000001</v>
      </c>
      <c r="V147" s="3">
        <f>0+(621.4-245.9)+(0+(0-0))+0-32-0</f>
        <v>343.5</v>
      </c>
      <c r="W147" s="3">
        <f>0+(634.1-264.4)+(0+(-1.616955--0.67422))+0-31--0.0790499999999955</f>
        <v>337.83631500000001</v>
      </c>
      <c r="X147" s="3">
        <f>0+(639.3-281.6)+(0+(-0.652086--0.287232))+0-31--0.0316200000000049</f>
        <v>326.36676599999998</v>
      </c>
      <c r="Y147" s="3">
        <f>0+(528.3-167.1)+(0+(-0.538866--0.170442))+0-32--0.0326400000000051</f>
        <v>328.86421599999994</v>
      </c>
      <c r="Z147" s="3">
        <f>0+(539.1-156.8)+(0+(-0.274941--0.079968))+0-32--0.0163199999999968</f>
        <v>350.12134700000001</v>
      </c>
      <c r="AA147" s="3">
        <f>0+(678.2-281.1)+(0+(-1.383528--0.573444))+0-32--0.0652799999999986</f>
        <v>364.35519599999998</v>
      </c>
      <c r="AB147" s="3">
        <f>0+(645.4-254.4)+(0+(-0.658308--0.259488))+0-32--0.0326400000000051</f>
        <v>358.63382000000001</v>
      </c>
      <c r="AC147" s="3">
        <f>0+(621.9-239.6)+(0+(-0.634338--0.244392))+0-32--0.0326400000000051</f>
        <v>349.94269399999996</v>
      </c>
      <c r="AD147">
        <f t="shared" si="2"/>
        <v>7837.2290740000008</v>
      </c>
      <c r="AE147" s="3">
        <f>0+(645.6-257.6)+(0+(0-0))+0-32-0</f>
        <v>356</v>
      </c>
    </row>
    <row r="148" spans="1:31" s="2" customFormat="1" x14ac:dyDescent="0.25">
      <c r="A148">
        <v>89</v>
      </c>
      <c r="B148">
        <v>5</v>
      </c>
      <c r="C148">
        <v>24</v>
      </c>
      <c r="D148">
        <v>2</v>
      </c>
      <c r="E148">
        <v>1</v>
      </c>
      <c r="F148" s="3">
        <f>0+(541.5-179.8)+(0+(-0.828495--0.275094))+0-32--0.0489600000000018</f>
        <v>329.195559</v>
      </c>
      <c r="G148" s="3">
        <f>0+(360.9-19.4)+(0+(-0.184059--0.009894))+0-31--0.0158099999999969</f>
        <v>310.34164499999997</v>
      </c>
      <c r="H148" s="3">
        <f>0+(337.5-7.9)+(0+(0.172125-0.004029))+0-32-0.0163199999999968</f>
        <v>297.75177600000001</v>
      </c>
      <c r="I148" s="3">
        <f>0+(334.9-1.3)+(0+(-0.683196--0.002652))+0-32--0.0652799999999986</f>
        <v>300.98473599999994</v>
      </c>
      <c r="J148" s="3">
        <f>0+(333.9-0)+(0+(0.170289-0))+0-32-0.0163199999999968</f>
        <v>302.053969</v>
      </c>
      <c r="K148" s="3">
        <f>0+(342-12.7)+(0+(-0.52326--0.019431))+0-31--0.0474300000000018</f>
        <v>297.84360100000004</v>
      </c>
      <c r="L148" s="3">
        <f>0+(365.5-46.2)+(0+(-0.74562--0.094248))+0-31--0.0632399999999986</f>
        <v>287.71186800000004</v>
      </c>
      <c r="M148" s="3">
        <f>0+(356-17.4)+(0+(-0.36312--0.017748))+0-31--0.0316200000000049</f>
        <v>307.28624800000006</v>
      </c>
      <c r="N148" s="3">
        <f>0+(453.3-94.3)+(0+(0.462366-0.096186))+0-31-0.0316200000000049</f>
        <v>328.33455999999995</v>
      </c>
      <c r="O148" s="3">
        <f>0+(595-205)+(0+(-1.2138--0.4182))+0-32--0.0652799999999986</f>
        <v>357.26967999999999</v>
      </c>
      <c r="P148" s="3">
        <f>0+(720.6-310.5)+(0+(1.102518-0.475065))+0-14-0.0214200000000008</f>
        <v>396.70603300000005</v>
      </c>
      <c r="Q148" s="3">
        <f>0+(735.3-319.8)+(0+(-0.750006--0.326196))+0-32--0.0326400000000051</f>
        <v>383.10882999999995</v>
      </c>
      <c r="R148" s="3">
        <f>0+(736.7-320.2)+(0+(0-0))+0-32-0</f>
        <v>384.50000000000006</v>
      </c>
      <c r="S148" s="3">
        <f>0+(656.8-255.1)+(0+(-0.669936--0.260202))+0-32--0.0326400000000051</f>
        <v>369.32290599999993</v>
      </c>
      <c r="T148" s="3">
        <f>0+(584.3-185)+(0+(0.297993-0.09435))+0-32-0.0163199999999968</f>
        <v>367.48732299999995</v>
      </c>
      <c r="U148" s="3">
        <f>0+(567.2-178)+(0+(-0.289272--0.09078))+0-32--0.0163199999999968</f>
        <v>357.01782800000007</v>
      </c>
      <c r="V148" s="3">
        <f>0+(540.1-163.3)+(0+(-0.550902--0.166566))+0-32--0.0326400000000051</f>
        <v>344.44830400000001</v>
      </c>
      <c r="W148" s="3">
        <f>0+(618.8-241.8)+(0+(0-0))+0-32-0</f>
        <v>344.99999999999994</v>
      </c>
      <c r="X148" s="3">
        <f>0+(525.3-162.5)+(0+(-0.535806--0.16575))+0-32--0.0326400000000051</f>
        <v>330.46258399999999</v>
      </c>
      <c r="Y148" s="3">
        <f>0+(540.4-169.5)+(0+(0-0))+0-32-0</f>
        <v>338.9</v>
      </c>
      <c r="Z148" s="3">
        <f>0+(655.1-264.3)+(0+(-0.668202--0.269586))+0-32--0.0326400000000051</f>
        <v>358.43402400000002</v>
      </c>
      <c r="AA148" s="3">
        <f>0+(648.2-254)+(0+(-0.661164--0.25908))+0-32--0.0326400000000051</f>
        <v>361.83055600000006</v>
      </c>
      <c r="AB148" s="3">
        <f>0+(678.6-284.6)+(0+(-0.692172--0.290292))+0-32--0.0326400000000051</f>
        <v>361.63076000000001</v>
      </c>
      <c r="AC148" s="3">
        <f>0+(691.4-306.7)+(0+(-0.705228--0.312834))+0-32--0.0326400000000051</f>
        <v>352.34024599999998</v>
      </c>
      <c r="AD148">
        <f t="shared" si="2"/>
        <v>8169.9630359999992</v>
      </c>
      <c r="AE148" s="3">
        <f>0+(608.3-207.9)+(0+(0-0))+0-31-0</f>
        <v>369.4</v>
      </c>
    </row>
    <row r="149" spans="1:31" s="2" customFormat="1" x14ac:dyDescent="0.25">
      <c r="A149">
        <v>89</v>
      </c>
      <c r="B149">
        <v>5</v>
      </c>
      <c r="C149">
        <v>25</v>
      </c>
      <c r="D149">
        <v>3</v>
      </c>
      <c r="E149">
        <v>1</v>
      </c>
      <c r="F149" s="3">
        <f>0+(545.7-175.9)+(0+(-1.948149--0.627963))+0-32--0.11424</f>
        <v>336.59405400000009</v>
      </c>
      <c r="G149" s="3">
        <f>0+(370.7-21.5)+(0+(-0.945285--0.054825))+0-32--0.0815999999999954</f>
        <v>316.39113999999995</v>
      </c>
      <c r="H149" s="3">
        <f>0+(361.9-29.6)+(0+(-0.184569--0.015096))+0-31--0.0158099999999969</f>
        <v>301.14633699999996</v>
      </c>
      <c r="I149" s="3">
        <f>0+(364.2-36)+(0+(0.185742-0.01836))+0-32-0.0163199999999968</f>
        <v>296.35106199999996</v>
      </c>
      <c r="J149" s="3">
        <f>0+(355.5-26.1)+(0+(0.181305-0.013311))+0-32-0.0163199999999968</f>
        <v>297.55167399999999</v>
      </c>
      <c r="K149" s="3">
        <f>0+(338.7-17.8)+(0+(-0.690948--0.036312))+0-32--0.0652799999999986</f>
        <v>288.31064399999997</v>
      </c>
      <c r="L149" s="3">
        <f>0+(333.5-22.6)+(0+(-0.68034--0.046104))+0-32--0.0652799999999986</f>
        <v>278.33104399999996</v>
      </c>
      <c r="M149" s="3">
        <f>0+(357.7-30.9)+(0+(0-0))+0-32-0</f>
        <v>294.8</v>
      </c>
      <c r="N149" s="3">
        <f>0+(435.6-84.6)+(0+(0-0))+0-32-0</f>
        <v>319</v>
      </c>
      <c r="O149" s="3">
        <f>0+(546.8-171.4)+(0+(0-0))+0-32-0</f>
        <v>343.4</v>
      </c>
      <c r="P149" s="3">
        <f>0+(669.3-275.9)+(0+(1.024029-0.422127))+0-32-0.0489600000000018</f>
        <v>361.95294199999995</v>
      </c>
      <c r="Q149" s="3">
        <f>0+(717.8-315.1)+(0+(0.732156-0.321402))+0-32-0.0326400000000051</f>
        <v>371.07811399999991</v>
      </c>
      <c r="R149" s="3">
        <f>0+(660.5-262.3)+(0+(1.34742-0.535092))+0-32-0.0652799999999986</f>
        <v>366.947048</v>
      </c>
      <c r="S149" s="3">
        <f>0+(623-239)+(0+(-0.63546--0.24378))+0-32--0.0326400000000051</f>
        <v>351.64096000000001</v>
      </c>
      <c r="T149" s="3">
        <f>0+(572-189.5)+(0+(0.58344-0.19329))+0-32-0.0326400000000051</f>
        <v>350.85750999999999</v>
      </c>
      <c r="U149" s="3">
        <f>0+(531.8-154.8)+(0+(0.542436-0.157896))+0-32-0.0326400000000051</f>
        <v>345.35189999999994</v>
      </c>
      <c r="V149" s="3">
        <f>0+(573.9-205.3)+(0+(-1.170756--0.418812))+0-32--0.0652799999999986</f>
        <v>335.91333599999996</v>
      </c>
      <c r="W149" s="3">
        <f>0+(641.8-275.3)+(0+(-0.654636--0.280806))+0-32--0.0326400000000051</f>
        <v>334.15880999999996</v>
      </c>
      <c r="X149" s="3">
        <f>0+(683.9-313.1)+(0+(-0.697578--0.319362))+0-32--0.0326400000000051</f>
        <v>338.45442399999996</v>
      </c>
      <c r="Y149" s="3">
        <f>0+(691-311)+(0+(0.35241-0.15861))+0-32-0.0163199999999968</f>
        <v>348.17748</v>
      </c>
      <c r="Z149" s="3">
        <f>0+(599.9-200.4)+(0+(-0.305949--0.102204))+0-32--0.0163199999999968</f>
        <v>367.31257499999998</v>
      </c>
      <c r="AA149" s="3">
        <f>0+(634.5-232.7)+(0+(0-0))+0-32-0</f>
        <v>369.8</v>
      </c>
      <c r="AB149" s="3">
        <f>0+(671.6-273.3)+(0+(-0.685032--0.278766))+0-32--0.0326400000000051</f>
        <v>365.92637400000001</v>
      </c>
      <c r="AC149" s="3">
        <f>0+(648.1-256.9)+(0+(-0.661062--0.262038))+0-32--0.0326400000000051</f>
        <v>358.83361600000006</v>
      </c>
      <c r="AD149">
        <f t="shared" si="2"/>
        <v>8038.2810439999976</v>
      </c>
      <c r="AE149" s="3">
        <f>0+(577.3-173.4)+(0+(0-0))+0-32-0</f>
        <v>371.9</v>
      </c>
    </row>
    <row r="150" spans="1:31" s="2" customFormat="1" x14ac:dyDescent="0.25">
      <c r="A150">
        <v>89</v>
      </c>
      <c r="B150">
        <v>5</v>
      </c>
      <c r="C150">
        <v>26</v>
      </c>
      <c r="D150">
        <v>4</v>
      </c>
      <c r="E150">
        <v>1</v>
      </c>
      <c r="F150" s="3">
        <f>0+(606.2-227.1)+(0+(-1.236648--0.463284))+0-32--0.0652799999999986</f>
        <v>346.39191599999998</v>
      </c>
      <c r="G150" s="3">
        <f>0+(544-182.1)+(0+(-0.55488--0.185742))+0-32--0.0326400000000051</f>
        <v>329.56350199999997</v>
      </c>
      <c r="H150" s="3">
        <f>0+(462-111.6)+(0+(-0.23562--0.056916))+0-32--0.0163199999999968</f>
        <v>318.237616</v>
      </c>
      <c r="I150" s="3">
        <f>0+(385.2-37)+(0+(-0.785808--0.07548))+0-32--0.0652799999999986</f>
        <v>315.55495199999996</v>
      </c>
      <c r="J150" s="3">
        <f>0+(426.3-77.6)+(0+(0.434826-0.079152))+0-32-0.0326400000000051</f>
        <v>317.02303400000005</v>
      </c>
      <c r="K150" s="3">
        <f>0+(398.3-54.9)+(0+(-0.406266--0.055998))+0-32--0.0326400000000051</f>
        <v>311.08237200000002</v>
      </c>
      <c r="L150" s="3">
        <f>0+(365.4-37)+(0+(-0.745416--0.07548))+0-32--0.0652799999999986</f>
        <v>295.79534399999994</v>
      </c>
      <c r="M150" s="3">
        <f>0+(370.3-30.8)+(0+(0.188853-0.015708))+0-31-0.0158099999999969</f>
        <v>308.65733499999999</v>
      </c>
      <c r="N150" s="3">
        <f>0+(497.1-126.5)+(0+(0-0))+0-31-0</f>
        <v>339.6</v>
      </c>
      <c r="O150" s="3">
        <f>0+(610.9-214.2)+(0+(0-0))+0-31-0</f>
        <v>365.7</v>
      </c>
      <c r="P150" s="3">
        <f>0+(711.5-301.1)+(0+(0.72573-0.307122))+0-31-0.0316200000000049</f>
        <v>379.78698799999995</v>
      </c>
      <c r="Q150" s="3">
        <f>0+(684.8-268.1)+(0+(0.698496-0.273462))+0-31-0.0316200000000049</f>
        <v>386.09341399999988</v>
      </c>
      <c r="R150" s="3">
        <f>0+(646.1-237.5)+(0+(0-0))+0-31-0</f>
        <v>377.6</v>
      </c>
      <c r="S150" s="3">
        <f>0+(589.5-187.9)+(0+(0-0))+0-31-0</f>
        <v>370.6</v>
      </c>
      <c r="T150" s="3">
        <f>0+(502.9-104.8)+(0+(0-0))+0-31-0</f>
        <v>367.09999999999997</v>
      </c>
      <c r="U150" s="3">
        <f>0+(484.1-91.4)+(0+(-0.246891--0.046614))+0-31--0.0158099999999969</f>
        <v>361.515533</v>
      </c>
      <c r="V150" s="3">
        <f>0+(485.7-104.1)+(0+(-0.247707--0.053091))+0-32--0.0163199999999968</f>
        <v>349.42170400000003</v>
      </c>
      <c r="W150" s="3">
        <f>0+(549.2-176.4)+(0+(-1.120368--0.359856))+0-31--0.0632399999999986</f>
        <v>341.10272800000007</v>
      </c>
      <c r="X150" s="3">
        <f>0+(602.4-237.3)+(0+(-0.921672--0.363069))+0-31--0.0474300000000018</f>
        <v>333.58882699999998</v>
      </c>
      <c r="Y150" s="3">
        <f>0+(595.5-221.7)+(0+(0.303705-0.113067))+0-31-0.0158099999999969</f>
        <v>342.974828</v>
      </c>
      <c r="Z150" s="3">
        <f>0+(535.5-143.9)+(0+(-0.273105--0.073389))+0-31--0.0158099999999969</f>
        <v>360.41609399999999</v>
      </c>
      <c r="AA150" s="3">
        <f>0+(557.1-152.7)+(0+(-0.852363--0.233631))+0-32--0.0489600000000018</f>
        <v>371.83022800000003</v>
      </c>
      <c r="AB150" s="3">
        <f>0+(568.7-163.9)+(0+(0.290037-0.083589))+0-32-0.0163199999999968</f>
        <v>372.99012800000008</v>
      </c>
      <c r="AC150" s="3">
        <f>0+(551.5-147.6)+(0+(0-0))+0-32-0</f>
        <v>371.9</v>
      </c>
      <c r="AD150">
        <f t="shared" si="2"/>
        <v>8334.5265429999999</v>
      </c>
      <c r="AE150" s="3">
        <f>0+(556.7-154.6)+(0+(0-0))+0-32-0</f>
        <v>370.1</v>
      </c>
    </row>
    <row r="151" spans="1:31" s="2" customFormat="1" x14ac:dyDescent="0.25">
      <c r="A151">
        <v>89</v>
      </c>
      <c r="B151">
        <v>5</v>
      </c>
      <c r="C151">
        <v>27</v>
      </c>
      <c r="D151">
        <v>5</v>
      </c>
      <c r="E151">
        <v>1</v>
      </c>
      <c r="F151" s="3">
        <f>0+(534.5-165.6)+(0+(-0.817785--0.253368))+0-32--0.0489600000000018</f>
        <v>336.38454300000001</v>
      </c>
      <c r="G151" s="3">
        <f>0+(499-154.7)+(0+(-0.25449--0.078897))+0-32--0.0163199999999968</f>
        <v>312.14072700000003</v>
      </c>
      <c r="H151" s="3">
        <f>0+(363-26.2)+(0+(-0.18513--0.013362))+0-32--0.0163199999999968</f>
        <v>304.64455200000003</v>
      </c>
      <c r="I151" s="3">
        <f>0+(352-3.4)+(0+(0-0))+0-32-0</f>
        <v>316.60000000000002</v>
      </c>
      <c r="J151" s="3">
        <f>0+(393.8-55.4)+(0+(-0.602514--0.084762))+0-32--0.0489600000000018</f>
        <v>305.93120800000008</v>
      </c>
      <c r="K151" s="3">
        <f>0+(396.5-59.1)+(0+(-0.606645--0.090423))+0-32--0.0489600000000018</f>
        <v>304.93273799999997</v>
      </c>
      <c r="L151" s="3">
        <f>0+(397.4-73.2)+(0+(-0.405348--0.074664))+0-32--0.0326400000000051</f>
        <v>291.90195599999998</v>
      </c>
      <c r="M151" s="3">
        <f>0+(399.6-51.8)+(0+(0.203796-0.026418))+0-32-0.0163199999999968</f>
        <v>315.96105799999998</v>
      </c>
      <c r="N151" s="3">
        <f>0+(519.4-146.3)+(0+(-0.529788--0.149226))+0-32--0.0326400000000051</f>
        <v>340.75207799999998</v>
      </c>
      <c r="O151" s="3">
        <f>0+(737.3-340.7)+(0+(0-0))+0-32-0</f>
        <v>364.59999999999997</v>
      </c>
      <c r="P151" s="3">
        <f>0+(734.6-321.4)+(0+(0.749292-0.327828))+0-32-0.0326400000000051</f>
        <v>381.58882400000005</v>
      </c>
      <c r="Q151" s="3">
        <f>0+(703-286.5)+(0+(0-0))+0-32-0</f>
        <v>384.5</v>
      </c>
      <c r="R151" s="3">
        <f>0+(644-234.5)+(0+(0.32844-0.119595))+0-32-0.0163199999999968</f>
        <v>377.69252499999999</v>
      </c>
      <c r="S151" s="3">
        <f>0+(607.5-203.8)+(0+(0-0))+0-32-0</f>
        <v>371.7</v>
      </c>
      <c r="T151" s="3">
        <f>0+(500.9-108.7)+(0+(0.255459-0.055437))+0-31-0.0158099999999969</f>
        <v>361.38421199999999</v>
      </c>
      <c r="U151" s="3">
        <f>0+(519.6-125.6)+(0+(0-0))+0-31-0</f>
        <v>363</v>
      </c>
      <c r="V151" s="3">
        <f>0+(538.9-153.5)+(0+(-0.274839--0.078285))+0-32--0.0163199999999968</f>
        <v>353.21976599999999</v>
      </c>
      <c r="W151" s="3">
        <f>0+(566.7-185.1)+(0+(-0.578034--0.188802))+0-31--0.0316200000000049</f>
        <v>350.24238800000006</v>
      </c>
      <c r="X151" s="3">
        <f>0+(658.3-280.1)+(0+(-0.335733--0.142851))+0-32--0.0163199999999968</f>
        <v>346.02343799999994</v>
      </c>
      <c r="Y151" s="3">
        <f>0+(631.5-246.3)+(0+(0-0))+0-32-0</f>
        <v>353.2</v>
      </c>
      <c r="Z151" s="3">
        <f>0+(550-154.4)+(0+(0-0))+0-32-0</f>
        <v>363.6</v>
      </c>
      <c r="AA151" s="3">
        <f>0+(596.8-193.1)+(0+(-0.913104--0.295443))+0-32--0.0489600000000018</f>
        <v>371.13129899999996</v>
      </c>
      <c r="AB151" s="3">
        <f>0+(613.9-214.9)+(0+(-0.313089--0.109599))+0-32--0.0163199999999968</f>
        <v>366.81283000000002</v>
      </c>
      <c r="AC151" s="3">
        <f>0+(581.5-196.2)+(0+(-0.59313--0.200124))+0-32--0.0326400000000051</f>
        <v>352.93963400000001</v>
      </c>
      <c r="AD151">
        <f t="shared" si="2"/>
        <v>8290.8837759999988</v>
      </c>
      <c r="AE151" s="3">
        <f>0+(543.3-139.7)+(0+(0-0))+0-31-0</f>
        <v>372.59999999999997</v>
      </c>
    </row>
    <row r="152" spans="1:31" s="2" customFormat="1" x14ac:dyDescent="0.25">
      <c r="A152">
        <v>89</v>
      </c>
      <c r="B152">
        <v>5</v>
      </c>
      <c r="C152">
        <v>28</v>
      </c>
      <c r="D152">
        <v>6</v>
      </c>
      <c r="E152">
        <v>1</v>
      </c>
      <c r="F152" s="3">
        <f>0+(559.8-183)+(0+(-0.570996--0.18666))+0-32--0.0326400000000051</f>
        <v>344.44830399999995</v>
      </c>
      <c r="G152" s="3">
        <f>0+(463.3-105.3)+(0+(-0.708849--0.161109))+0-32--0.0489600000000018</f>
        <v>325.50122000000005</v>
      </c>
      <c r="H152" s="3">
        <f>0+(411.9-62.6)+(0+(0.210069-0.031926))+0-32-0.0163199999999968</f>
        <v>317.46182299999992</v>
      </c>
      <c r="I152" s="3">
        <f>0+(350.7-7.4)+(0+(0-0))+0-32-0</f>
        <v>311.3</v>
      </c>
      <c r="J152" s="3">
        <f>0+(360-15.3)+(0+(0-0))+0-32-0</f>
        <v>312.7</v>
      </c>
      <c r="K152" s="3">
        <f>0+(354.5-22.6)+(0+(-0.72318--0.046104))+0-32--0.0652799999999986</f>
        <v>299.28820399999995</v>
      </c>
      <c r="L152" s="3">
        <f>0+(372.2-56.4)+(0+(-0.759288--0.115056))+0-31--0.0632399999999986</f>
        <v>284.21900800000003</v>
      </c>
      <c r="M152" s="3">
        <f>0+(328.5-0)+(0+(-0.33507-0))+0-32--0.0326400000000051</f>
        <v>296.19757000000004</v>
      </c>
      <c r="N152" s="3">
        <f>0+(425.6-76.1)+(0+(-0.217056--0.038811))+0-31--0.0158099999999969</f>
        <v>318.33756499999998</v>
      </c>
      <c r="O152" s="3">
        <f>0+(640.2-275.3)+(0+(0.653004-0.280806))+0-1-0.00102000000000016</f>
        <v>364.27117800000008</v>
      </c>
      <c r="P152" s="3">
        <f>0+(653.6-294.3)+(0+(0.666672-0.300186))+0-1-0.00102000000000016</f>
        <v>358.66546600000004</v>
      </c>
      <c r="Q152" s="3">
        <f>0+(637.8-273.5)+(0+(0-0))+0-0-0</f>
        <v>364.29999999999995</v>
      </c>
      <c r="R152" s="3">
        <f>0+(575.8-215.2)+(0+(0-0))+0-0-0</f>
        <v>360.59999999999997</v>
      </c>
      <c r="S152" s="3">
        <f>0+(535.9-181.3)+(0+(-0.273309--0.092463))+0-1--0.000509999999999899</f>
        <v>353.41966400000001</v>
      </c>
      <c r="T152" s="3">
        <f>0+(507.8-156.9)+(0+(0.258978-0.080019))+0-0-0</f>
        <v>351.078959</v>
      </c>
      <c r="U152" s="3">
        <f>0+(471.9-131)+(0+(0.481338-0.13362))+0-0-0</f>
        <v>341.24771799999996</v>
      </c>
      <c r="V152" s="3">
        <f>0+(455.6-119.6)+(0+(-0.232356--0.060996))+0-0-0</f>
        <v>335.82864000000001</v>
      </c>
      <c r="W152" s="3">
        <f>0+(557-218.4)+(0+(-0.85221--0.334152))+0-3--0.00459000000000017</f>
        <v>335.08653200000003</v>
      </c>
      <c r="X152" s="3">
        <f>0+(615.4-279.6)+(0+(-0.941562--0.427788))+0-5--0.00765000000000029</f>
        <v>330.29387599999995</v>
      </c>
      <c r="Y152" s="3">
        <f>0+(535.8-188.3)+(0+(-0.273258--0.096033))+0-5--0.00254999999999949</f>
        <v>342.32532499999991</v>
      </c>
      <c r="Z152" s="3">
        <f>0+(365.9-13.6)+(0+(0.186609-0.006936))+0-6-0.00305999999999939</f>
        <v>346.47661299999993</v>
      </c>
      <c r="AA152" s="3">
        <f>0+(395.6-37)+(0+(-0.605268--0.05661))+0-7--0.0107100000000004</f>
        <v>351.06205200000005</v>
      </c>
      <c r="AB152" s="3">
        <f>0+(438.2-77.2)+(0+(-0.446964--0.078744))+0-8--0.00816000000000128</f>
        <v>352.63993999999997</v>
      </c>
      <c r="AC152" s="3">
        <f>0+(418-63)+(0+(0-0))+0-9-0</f>
        <v>346</v>
      </c>
      <c r="AD152">
        <f t="shared" si="2"/>
        <v>8042.7496569999994</v>
      </c>
      <c r="AE152" s="3">
        <f>0+(357.4-0)+(0+(0-0))+0-7-0</f>
        <v>350.4</v>
      </c>
    </row>
    <row r="153" spans="1:31" s="2" customFormat="1" x14ac:dyDescent="0.25">
      <c r="A153">
        <v>89</v>
      </c>
      <c r="B153">
        <v>5</v>
      </c>
      <c r="C153">
        <v>29</v>
      </c>
      <c r="D153">
        <v>7</v>
      </c>
      <c r="E153">
        <v>1</v>
      </c>
      <c r="F153" s="3">
        <f>0+(412.1-63.1)+(0+(-0.420342--0.064362))+0-11--0.0112200000000018</f>
        <v>337.65523999999999</v>
      </c>
      <c r="G153" s="3">
        <f>0+(435.6-99.7)+(0+(0.444312-0.101694))+0-13-0.0132600000000021</f>
        <v>323.22935800000005</v>
      </c>
      <c r="H153" s="3">
        <f>0+(345.4-20.4)+(0+(-0.176154--0.010404))+0-17--0.00866999999999828</f>
        <v>307.84291999999999</v>
      </c>
      <c r="I153" s="3">
        <f>0+(319.6-0)+(0+(-0.81498-0))+0-15--0.0382499999999978</f>
        <v>303.82327000000004</v>
      </c>
      <c r="J153" s="3">
        <f>0+(325.5-0)+(0+(0.166005-0))+0-16-0.00815999999999838</f>
        <v>309.65784500000001</v>
      </c>
      <c r="K153" s="3">
        <f>0+(297.6-0)+(0+(-1.062432-0))+0-19--0.0678300000000003</f>
        <v>277.60539800000004</v>
      </c>
      <c r="L153" s="3">
        <f>0+(303.9-0)+(0+(-0.619956-0))+0-20--0.0407999999999991</f>
        <v>283.32084399999997</v>
      </c>
      <c r="M153" s="3">
        <f>0+(286.1-4)+(0+(-0.145911--0.00204))+0-23--0.0117299999999977</f>
        <v>258.96785900000003</v>
      </c>
      <c r="N153" s="3">
        <f>0+(308.9-0)+(0+(-0.157539-0))+0-25--0.0127499999999975</f>
        <v>283.75521099999997</v>
      </c>
      <c r="O153" s="3">
        <f>0+(316.2-0)+(0+(0-0))+0-27-0</f>
        <v>289.2</v>
      </c>
      <c r="P153" s="3">
        <f>0+(372.6-33.2)+(0+(0.190026-0.016932))+0-29-0.0147899999999971</f>
        <v>310.55830400000002</v>
      </c>
      <c r="Q153" s="3">
        <f>0+(498.8-148.7)+(0+(-0.508776--0.151674))+0-30--0.0306000000000048</f>
        <v>319.77349800000002</v>
      </c>
      <c r="R153" s="3">
        <f>0+(524.8-195.7)+(0+(-0.267648--0.099807))+0-31--0.0158099999999969</f>
        <v>297.94796899999994</v>
      </c>
      <c r="S153" s="3">
        <f>0+(464.7-118.1)+(0+(0-0))+0-31-0</f>
        <v>315.60000000000002</v>
      </c>
      <c r="T153" s="3">
        <f>0+(406.9-69.7)+(0+(0-0))+0-31-0</f>
        <v>306.2</v>
      </c>
      <c r="U153" s="3">
        <f>0+(435.7-90.2)+(0+(-0.222207--0.046002))+0-31--0.0158099999999969</f>
        <v>314.33960500000001</v>
      </c>
      <c r="V153" s="3">
        <f>0+(468.7-125.2)+(0+(-0.717111--0.191556))+0-31--0.0474300000000018</f>
        <v>312.02187500000002</v>
      </c>
      <c r="W153" s="3">
        <f>0+(481.7-167.3)+(0+(-0.245667--0.085323))+0-2--0.0010199999999998</f>
        <v>312.24067599999995</v>
      </c>
      <c r="X153" s="3">
        <f>0+(539.8-229)+(0+(-1.927086--0.81753))+0-1--0.00357000000000001</f>
        <v>308.69401399999998</v>
      </c>
      <c r="Y153" s="3">
        <f>0+(463.9-139)+(0+(-0.236589--0.07089))+0-10--0.00509999999999899</f>
        <v>314.73940099999999</v>
      </c>
      <c r="Z153" s="3">
        <f>0+(484-125.4)+(0+(0-0))+0-31-0</f>
        <v>327.60000000000002</v>
      </c>
      <c r="AA153" s="3">
        <f>0+(541-164.6)+(0+(0-0))+0-31-0</f>
        <v>345.4</v>
      </c>
      <c r="AB153" s="3">
        <f>0+(511.4-131.3)+(0+(-0.521628--0.133926))+0-31--0.0316200000000049</f>
        <v>348.74391800000001</v>
      </c>
      <c r="AC153" s="3">
        <f>0+(526.5-152.8)+(0+(-0.53703--0.155856))+0-31--0.0316200000000049</f>
        <v>342.35044600000003</v>
      </c>
      <c r="AD153">
        <f t="shared" si="2"/>
        <v>7451.267651000001</v>
      </c>
      <c r="AE153" s="3">
        <f>0+(493.2-116)+(0+(0-0))+0-25-0</f>
        <v>352.2</v>
      </c>
    </row>
    <row r="154" spans="1:31" s="2" customFormat="1" x14ac:dyDescent="0.25">
      <c r="A154">
        <v>89</v>
      </c>
      <c r="B154">
        <v>5</v>
      </c>
      <c r="C154">
        <v>30</v>
      </c>
      <c r="D154">
        <v>1</v>
      </c>
      <c r="E154">
        <v>1</v>
      </c>
      <c r="F154" s="3">
        <f>0+(488.8-127.2)+(0+(-0.747864--0.194616))+0-31--0.0474300000000018</f>
        <v>330.09418200000005</v>
      </c>
      <c r="G154" s="3">
        <f>0+(394.7-46.4)+(0+(-0.402594--0.047328))+0-30--0.0306000000000048</f>
        <v>317.97533400000003</v>
      </c>
      <c r="H154" s="3">
        <f>0+(351.9-18.1)+(0+(-0.538407--0.027693))+0-30--0.0459000000000017</f>
        <v>303.33518599999996</v>
      </c>
      <c r="I154" s="3">
        <f>0+(381.1-46.3)+(0+(-0.194361--0.023613))+0-31--0.0158099999999969</f>
        <v>303.645062</v>
      </c>
      <c r="J154" s="3">
        <f>0+(380.2-41.9)+(0+(-0.96951--0.106845))+0-31--0.0790499999999955</f>
        <v>306.51638500000001</v>
      </c>
      <c r="K154" s="3">
        <f>0+(335.6-6.3)+(0+(-0.513468--0.009639))+0-31--0.0474300000000018</f>
        <v>297.84360100000004</v>
      </c>
      <c r="L154" s="3">
        <f>0+(324.3-0)+(0+(-0.496179-0))+0-31--0.0474300000000018</f>
        <v>292.85125100000005</v>
      </c>
      <c r="M154" s="3">
        <f>0+(337-0)+(0+(0.68748-0))+0-31-0.0632399999999986</f>
        <v>306.62423999999999</v>
      </c>
      <c r="N154" s="3">
        <f>0+(559.9-187)+(0+(0.571098-0.19074))+0-32-0.0326400000000051</f>
        <v>341.24771799999996</v>
      </c>
      <c r="O154" s="3">
        <f>0+(688.3-280.2)+(0+(0.351033-0.142902))+0-33-0.0168299999999967</f>
        <v>375.29130099999998</v>
      </c>
      <c r="P154" s="3">
        <f>0+(705.5-277.3)+(0+(1.079415-0.424269))+0-30-0.0459000000000017</f>
        <v>398.80924599999997</v>
      </c>
      <c r="Q154" s="3">
        <f>0+(661.1-228.9)+(0+(1.348644-0.466956))+0-34-0.0693599999999985</f>
        <v>399.01232800000002</v>
      </c>
      <c r="R154" s="3">
        <f>0+(619.9-198.4)+(0+(0.632298-0.202368))+0-30-0.0306000000000048</f>
        <v>391.89933000000002</v>
      </c>
      <c r="S154" s="3">
        <f>0+(578.8-149.8)+(0+(-0.295188--0.076398))+0-31--0.0158099999999969</f>
        <v>397.79701999999992</v>
      </c>
      <c r="T154" s="3">
        <f>0+(573.5-144.8)+(0+(0.292485-0.073848))+0-31-0.0158099999999969</f>
        <v>397.902827</v>
      </c>
      <c r="U154" s="3">
        <f>0+(593-165.2)+(0+(0-0))+0-31-0</f>
        <v>396.8</v>
      </c>
      <c r="V154" s="3">
        <f>0+(617.3-203.4)+(0+(0-0))+0-31-0</f>
        <v>382.9</v>
      </c>
      <c r="W154" s="3">
        <f>0+(663.3-275.4)+(0+(0-0))+0-31-0</f>
        <v>356.9</v>
      </c>
      <c r="X154" s="3">
        <f>0+(649.5-246.5)+(0+(0-0))+0-31-0</f>
        <v>372</v>
      </c>
      <c r="Y154" s="3">
        <f>0+(623.9-215.9)+(0+(0.318189-0.110109))+0-30-0.015299999999997</f>
        <v>378.19277999999997</v>
      </c>
      <c r="Z154" s="3">
        <f>0+(625.3-204)+(0+(0-0))+0-32-0</f>
        <v>389.29999999999995</v>
      </c>
      <c r="AA154" s="3">
        <f>0+(653-229.7)+(0+(-0.66606--0.234294))+0-31--0.0316200000000049</f>
        <v>391.89985400000006</v>
      </c>
      <c r="AB154" s="3">
        <f>0+(668.6-248.7)+(0+(0-0))+0-31-0</f>
        <v>388.90000000000003</v>
      </c>
      <c r="AC154" s="3">
        <f>0+(603.6-193.2)+(0+(-0.923508--0.295596))+0-31--0.0474300000000018</f>
        <v>378.81951800000007</v>
      </c>
      <c r="AD154">
        <f t="shared" si="2"/>
        <v>8596.5571630000013</v>
      </c>
      <c r="AE154" s="3">
        <f>0+(620.8-190.8)+(0+(0-0))+0-31-0</f>
        <v>398.99999999999994</v>
      </c>
    </row>
    <row r="155" spans="1:31" s="2" customFormat="1" x14ac:dyDescent="0.25">
      <c r="A155">
        <v>89</v>
      </c>
      <c r="B155">
        <v>5</v>
      </c>
      <c r="C155">
        <v>31</v>
      </c>
      <c r="D155">
        <v>2</v>
      </c>
      <c r="E155">
        <v>1</v>
      </c>
      <c r="F155" s="3">
        <f>0+(549.6-151.5)+(0+(-0.560592--0.15453))+0-32--0.0326400000000051</f>
        <v>365.72657800000002</v>
      </c>
      <c r="G155" s="3">
        <f>0+(399.3-21.4)+(0+(-0.407286--0.021828))+0-32--0.0326400000000051</f>
        <v>345.54718200000002</v>
      </c>
      <c r="H155" s="3">
        <f>0+(363-0)+(0+(0.18513-0))+0-32-0.0163199999999968</f>
        <v>331.16881000000001</v>
      </c>
      <c r="I155" s="3">
        <f>0+(360.7-0)+(0+(-0.183957-0))+0-32--0.0163199999999968</f>
        <v>328.53236299999998</v>
      </c>
      <c r="J155" s="3">
        <f>0+(364.7-0)+(0+(-0.371994-0))+0-32--0.0326400000000051</f>
        <v>332.36064600000003</v>
      </c>
      <c r="K155" s="3">
        <f>0+(363.1-0)+(0+(-0.185181-0))+0-32--0.0163199999999968</f>
        <v>330.93113900000003</v>
      </c>
      <c r="L155" s="3">
        <f>0+(360-2)+(0+(-1.1016--0.00612))+0-31--0.0948600000000036</f>
        <v>325.99937999999997</v>
      </c>
      <c r="M155" s="3">
        <f>0+(403.2-25.7)+(0+(0-0))+0-31-0</f>
        <v>346.5</v>
      </c>
      <c r="N155" s="3">
        <f>0+(471-85)+(0+(0-0))+0-31-0</f>
        <v>355</v>
      </c>
      <c r="O155" s="3">
        <f>0+(588-176)+(0+(0-0))+0-31-0</f>
        <v>381</v>
      </c>
      <c r="P155" s="3">
        <f>0+(659.6-230.7)+(0+(0.672792-0.235314))+0-31-0.0316200000000049</f>
        <v>398.305858</v>
      </c>
      <c r="Q155" s="3">
        <f>0+(727-277)+(0+(-0.74154--0.28254))+0-31--0.0316200000000049</f>
        <v>418.57262000000003</v>
      </c>
      <c r="R155" s="3">
        <f>0+(768.5-338.4)+(0+(0.78387-0.345168))+0-31-0.0316200000000049</f>
        <v>399.50708199999997</v>
      </c>
      <c r="S155" s="3">
        <f>0+(773.8-341.1)+(0+(-1.183914--0.521883))+0-31--0.0474300000000018</f>
        <v>401.08539899999994</v>
      </c>
      <c r="T155" s="3">
        <f>0+(742.1-309.8)+(0+(-0.378471--0.157998))+0-31--0.0158099999999969</f>
        <v>401.09533699999997</v>
      </c>
      <c r="U155" s="3">
        <f>0+(753.7-334)+(0+(0-0))+0-30-0</f>
        <v>389.70000000000005</v>
      </c>
      <c r="V155" s="3">
        <f>0+(812.7-396.9)+(0+(-0.828954--0.404838))+0-31--0.0316200000000049</f>
        <v>384.40750400000007</v>
      </c>
      <c r="W155" s="3">
        <f>0+(830.1-415.3)+(0+(-1.270053--0.635409))+0-31--0.0474300000000018</f>
        <v>383.21278600000005</v>
      </c>
      <c r="X155" s="3">
        <f>0+(719.4-300.6)+(0+(-0.733788--0.306612))+0-30--0.0306000000000048</f>
        <v>388.40342399999997</v>
      </c>
      <c r="Y155" s="3">
        <f>0+(704-294.3)+(0+(-0.71808--0.300186))+0-30--0.0306000000000048</f>
        <v>379.31270599999999</v>
      </c>
      <c r="Z155" s="3">
        <f>0+(809.2-392.4)+(0+(-0.412692--0.200124))+0-31--0.0158099999999969</f>
        <v>385.60324200000008</v>
      </c>
      <c r="AA155" s="3">
        <f>0+(738.3-324)+(0+(-1.129599--0.49572))+0-31--0.0474300000000018</f>
        <v>382.713551</v>
      </c>
      <c r="AB155" s="3">
        <f>0+(713.9-306.7)+(0+(0-0))+0-31-0</f>
        <v>376.2</v>
      </c>
      <c r="AC155" s="3">
        <f>0+(695.6-296.8)+(0+(-0.354756--0.151368))+0-31--0.0158099999999969</f>
        <v>367.61242199999998</v>
      </c>
      <c r="AD155">
        <f t="shared" si="2"/>
        <v>8898.4980290000003</v>
      </c>
      <c r="AE155" s="3">
        <f>0+(813.8-387)+(0+(0-0))+0-31-0</f>
        <v>395.79999999999995</v>
      </c>
    </row>
    <row r="156" spans="1:31" s="2" customFormat="1" x14ac:dyDescent="0.25">
      <c r="A156">
        <v>89</v>
      </c>
      <c r="B156">
        <v>6</v>
      </c>
      <c r="C156">
        <v>1</v>
      </c>
      <c r="D156">
        <v>3</v>
      </c>
      <c r="E156">
        <v>1</v>
      </c>
      <c r="F156" s="3">
        <f>0+(509.1-122.4)+(0+(0-0))+0-32-0</f>
        <v>354.70000000000005</v>
      </c>
      <c r="G156" s="3">
        <f>0+(376.5-8.7)+(0+(-0.76806--0.017748))+0-32--0.0652799999999986</f>
        <v>335.11496799999998</v>
      </c>
      <c r="H156" s="3">
        <f>0+(346.1-0)+(0+(0.529533-0))+0-32-0.0489600000000018</f>
        <v>314.58057300000002</v>
      </c>
      <c r="I156" s="3">
        <f>0+(349.4-0)+(0+(-0.356388-0))+0-32--0.0326400000000051</f>
        <v>317.07625200000001</v>
      </c>
      <c r="J156" s="3">
        <f>0+(398.9-35.9)+(0+(-0.203439--0.018309))+0-32--0.0163199999999968</f>
        <v>330.83118999999999</v>
      </c>
      <c r="K156" s="3">
        <f>0+(436.5-76.2)+(0+(-0.222615--0.038862))+0-32--0.0163199999999968</f>
        <v>328.13256699999999</v>
      </c>
      <c r="L156" s="3">
        <f>0+(358.9-5.3)+(0+(-0.366078--0.005406))+0-32--0.0326400000000051</f>
        <v>321.27196799999996</v>
      </c>
      <c r="M156" s="3">
        <f>0+(368.7-0)+(0+(0.376074-0))+0-31-0.0316200000000049</f>
        <v>338.04445399999997</v>
      </c>
      <c r="N156" s="3">
        <f>0+(537.9-139.9)+(0+(0.274329-0.071349))+0-31-0.0158099999999969</f>
        <v>367.18717000000004</v>
      </c>
      <c r="O156" s="3">
        <f>0+(626.7-204.4)+(0+(0.319617-0.104244))+0-31-0.0158099999999969</f>
        <v>391.49956300000008</v>
      </c>
      <c r="P156" s="3">
        <f>0+(675.8-245.2)+(0+(0-0))+0-32-0</f>
        <v>398.59999999999997</v>
      </c>
      <c r="Q156" s="3">
        <f>0+(791-350.6)+(0+(0.40341-0.178806))+0-32-0.0163199999999968</f>
        <v>408.60828399999997</v>
      </c>
      <c r="R156" s="3">
        <f>0+(789.8-357.2)+(0+(0.402798-0.182172))+0-31-0.0158099999999969</f>
        <v>401.80481599999996</v>
      </c>
      <c r="S156" s="3">
        <f>0+(805.3-387.3)+(0+(0-0))+0-31-0</f>
        <v>386.99999999999994</v>
      </c>
      <c r="T156" s="3">
        <f>0+(804.9-376.2)+(0+(0-0))+0-31-0</f>
        <v>397.7</v>
      </c>
      <c r="U156" s="3">
        <f>0+(801.5-386.5)+(0+(0.408765-0.197115))+0-30-0.015299999999997</f>
        <v>385.19635</v>
      </c>
      <c r="V156" s="3">
        <f>0+(831.4-416.6)+(0+(0.424014-0.212466))+0-30-0.015299999999997</f>
        <v>384.99624799999992</v>
      </c>
      <c r="W156" s="3">
        <f>0+(866.8-459.2)+(0+(-0.442068--0.234192))+0-31--0.0158099999999969</f>
        <v>376.40793399999995</v>
      </c>
      <c r="X156" s="3">
        <f>0+(822.5-414.6)+(0+(-1.258425--0.634338))+0-31--0.0474300000000018</f>
        <v>376.32334300000002</v>
      </c>
      <c r="Y156" s="3">
        <f>0+(815-409.6)+(0+(-1.24695--0.626688))+0-31--0.0474300000000018</f>
        <v>373.82716799999997</v>
      </c>
      <c r="Z156" s="3">
        <f>0+(850-442.5)+(0+(-0.4335--0.225675))+0-30--0.015299999999997</f>
        <v>377.30747500000001</v>
      </c>
      <c r="AA156" s="3">
        <f>0+(850.5-441.5)+(0+(-0.86751--0.45033))+0-31--0.0316200000000049</f>
        <v>377.61444000000006</v>
      </c>
      <c r="AB156" s="3">
        <f>0+(851.6-466.5)+(0+(0-0))+0-24-0</f>
        <v>361.1</v>
      </c>
      <c r="AC156" s="3">
        <f>0+(792.3-402.8)+(0+(-0.808146--0.410856))+0-12--0.0122400000000019</f>
        <v>377.11494999999996</v>
      </c>
      <c r="AD156">
        <f t="shared" si="2"/>
        <v>8782.0397130000001</v>
      </c>
      <c r="AE156" s="3">
        <f>0+(818.8-408.6)+(0+(0-0))+0-31-0</f>
        <v>379.19999999999993</v>
      </c>
    </row>
    <row r="157" spans="1:31" s="2" customFormat="1" x14ac:dyDescent="0.25">
      <c r="A157">
        <v>89</v>
      </c>
      <c r="B157">
        <v>6</v>
      </c>
      <c r="C157">
        <v>2</v>
      </c>
      <c r="D157">
        <v>4</v>
      </c>
      <c r="E157">
        <v>1</v>
      </c>
      <c r="F157" s="3">
        <f>0+(696.7-298.9)+(0+(-0.355317--0.152439))+0-31--0.0158099999999969</f>
        <v>366.61293200000006</v>
      </c>
      <c r="G157" s="3">
        <f>0+(585-212.8)+(0+(-0.89505--0.325584))+0-31--0.0474300000000018</f>
        <v>340.67796400000003</v>
      </c>
      <c r="H157" s="3">
        <f>0+(401.9-61.3)+(0+(-0.204969--0.031263))+0-31--0.0158099999999969</f>
        <v>309.44210399999997</v>
      </c>
      <c r="I157" s="3">
        <f>0+(346.6-31.6)+(0+(0.176766-0.016116))+0-31-0.0158099999999969</f>
        <v>284.14483999999999</v>
      </c>
      <c r="J157" s="3">
        <f>0+(450.2-113.9)+(0+(0-0))+0-31-0</f>
        <v>305.29999999999995</v>
      </c>
      <c r="K157" s="3">
        <f>0+(450.5-118.8)+(0+(-1.148775--0.30294))+0-31--0.0790499999999955</f>
        <v>299.93321499999996</v>
      </c>
      <c r="L157" s="3">
        <f>0+(433.2-84.9)+(0+(0-0))+0-30-0</f>
        <v>318.29999999999995</v>
      </c>
      <c r="M157" s="3">
        <f>0+(476.1-116.6)+(0+(-0.485622--0.118932))+0-33--0.0336600000000053</f>
        <v>326.16696999999999</v>
      </c>
      <c r="N157" s="3">
        <f>0+(618.2-226.2)+(0+(0-0))+0-34-0</f>
        <v>358.00000000000006</v>
      </c>
      <c r="O157" s="3">
        <f>0+(731.8-312.2)+(0+(0.373218-0.159222))+0-32-0.0163199999999968</f>
        <v>387.79767599999997</v>
      </c>
      <c r="P157" s="3">
        <f>0+(741.9-309.1)+(0+(0.378369-0.157641))+0-34-0.0173399999999966</f>
        <v>399.00338799999997</v>
      </c>
      <c r="Q157" s="3">
        <f>0+(774.5-330.9)+(0+(0-0))+0-34-0</f>
        <v>409.6</v>
      </c>
      <c r="R157" s="3">
        <f>0+(838.4-397.6)+(0+(-0.427584--0.202776))+0-31--0.0158099999999969</f>
        <v>409.59100199999995</v>
      </c>
      <c r="S157" s="3">
        <f>0+(833.7-405.4)+(0+(-0.425187--0.206754))+0-31--0.0158099999999969</f>
        <v>397.09737700000005</v>
      </c>
      <c r="T157" s="3">
        <f>0+(811.4-367.9)+(0+(0.413814-0.187629))+0-31-0.0158099999999969</f>
        <v>412.710375</v>
      </c>
      <c r="U157" s="3">
        <f>0+(820.4-392.2)+(0+(-0.836808--0.400044))+0-31--0.0316200000000049</f>
        <v>396.79485600000004</v>
      </c>
      <c r="V157" s="3">
        <f>0+(806.6-402.9)+(0+(0-0))+0-31-0</f>
        <v>372.70000000000005</v>
      </c>
      <c r="W157" s="3">
        <f>0+(825.9-423.1)+(0+(-1.684836--0.863124))+0-31--0.0632399999999986</f>
        <v>371.04152799999997</v>
      </c>
      <c r="X157" s="3">
        <f>0+(804.5-412.5)+(0+(0.82059-0.42075))+0-31-0.0316200000000049</f>
        <v>361.36821999999995</v>
      </c>
      <c r="Y157" s="3">
        <f>0+(790.2-385.5)+(0+(0.403002-0.196605))+0-31-0.0158099999999969</f>
        <v>373.89058700000004</v>
      </c>
      <c r="Z157" s="3">
        <f>0+(826.2-410.6)+(0+(-0.842724--0.418812))+0-31--0.0316200000000049</f>
        <v>384.20770800000008</v>
      </c>
      <c r="AA157" s="3">
        <f>0+(832.8-405.9)+(0+(-1.274184--0.621027))+0-31--0.0474300000000018</f>
        <v>395.29427299999998</v>
      </c>
      <c r="AB157" s="3">
        <f>0+(837-413.4)+(0+(-1.28061--0.632502))+0-31--0.0474300000000018</f>
        <v>391.99932200000006</v>
      </c>
      <c r="AC157" s="3">
        <f>0+(710.5-324.1)+(0+(-0.72471--0.330582))+0-31--0.0316200000000049</f>
        <v>355.03749199999999</v>
      </c>
      <c r="AD157">
        <f t="shared" si="2"/>
        <v>8726.7118289999999</v>
      </c>
      <c r="AE157" s="3">
        <f>0+(827-404.1)+(0+(0-0))+0-31-0</f>
        <v>391.9</v>
      </c>
    </row>
    <row r="158" spans="1:31" s="2" customFormat="1" x14ac:dyDescent="0.25">
      <c r="A158">
        <v>89</v>
      </c>
      <c r="B158">
        <v>6</v>
      </c>
      <c r="C158">
        <v>3</v>
      </c>
      <c r="D158">
        <v>5</v>
      </c>
      <c r="E158">
        <v>1</v>
      </c>
      <c r="F158" s="3">
        <f>0+(494.3-109.1)+(0+(-0.252093--0.055641))+0-31--0.0158099999999969</f>
        <v>354.01935800000001</v>
      </c>
      <c r="G158" s="3">
        <f>0+(420.9-50.7)+(0+(-0.429318--0.051714))+0-31--0.0316200000000049</f>
        <v>338.854016</v>
      </c>
      <c r="H158" s="3">
        <f>0+(411.2-49.2)+(0+(0-0))+0-31-0</f>
        <v>331</v>
      </c>
      <c r="I158" s="3">
        <f>0+(368.8-13.8)+(0+(-0.752352--0.028152))+0-31--0.0632399999999986</f>
        <v>323.33904000000001</v>
      </c>
      <c r="J158" s="3">
        <f>0+(388-21.3)+(0+(0-0))+0-31-0</f>
        <v>335.7</v>
      </c>
      <c r="K158" s="3">
        <f>0+(437.1-83.4)+(0+(-0.222921--0.042534))+0-31--0.0158099999999969</f>
        <v>322.53542300000004</v>
      </c>
      <c r="L158" s="3">
        <f>0+(451.7-101.8)+(0+(-1.151835--0.25959))+0-31--0.0790499999999955</f>
        <v>318.08680499999997</v>
      </c>
      <c r="M158" s="3">
        <f>0+(497.8-139.7)+(0+(-0.761634--0.213741))+0-32--0.0489600000000018</f>
        <v>325.60106700000006</v>
      </c>
      <c r="N158" s="3">
        <f>0+(554.9-199.4)+(0+(0.282999-0.101694))+0-33-0.0168299999999967</f>
        <v>322.66447500000004</v>
      </c>
      <c r="O158" s="3">
        <f>0+(589.9-191)+(0+(-0.300849--0.09741))+0-33--0.0168299999999967</f>
        <v>365.71339099999994</v>
      </c>
      <c r="P158" s="3">
        <f>0+(687.7-275.9)+(0+(0-0))+0-33-0</f>
        <v>378.80000000000007</v>
      </c>
      <c r="Q158" s="3">
        <f>0+(782.3-356.3)+(0+(0-0))+0-33-0</f>
        <v>392.99999999999994</v>
      </c>
      <c r="R158" s="3">
        <f>0+(804-391)+(0+(0-0))+0-33-0</f>
        <v>380</v>
      </c>
      <c r="S158" s="3">
        <f>+(821.5-407.7)+(+(-0.83793--0.415854))+0-31--0.0316200000000049</f>
        <v>382.40954400000004</v>
      </c>
      <c r="T158" s="3">
        <f>+(790-392.7)+(+(0-0))+0-31-0</f>
        <v>366.3</v>
      </c>
      <c r="U158" s="3">
        <f>+(870-477.5)+(+(-0.4437--0.243525))+0-31--0.0158099999999969</f>
        <v>361.31563499999999</v>
      </c>
      <c r="V158" s="3">
        <f>+(900-513.9)+(+(0.459-0.262089))+0-31-0.0158099999999969</f>
        <v>355.28110100000004</v>
      </c>
      <c r="W158" s="3">
        <f>+(863.6-483.1)+(+(-0.440436--0.246381))+0-31--0.0158099999999969</f>
        <v>349.321755</v>
      </c>
      <c r="X158" s="3">
        <f>+(699.6-328.5)+(+(-0.713592--0.33507))+0-31--0.0316200000000049</f>
        <v>339.75309800000008</v>
      </c>
      <c r="Y158" s="3">
        <f>+(726-341.2)+(+(-0.37026--0.174012))+0-31--0.0158099999999969</f>
        <v>353.61956199999997</v>
      </c>
      <c r="Z158" s="3">
        <f>+(848.6-450.2)+(+(-1.298358--0.688806))+0-31--0.0474300000000018</f>
        <v>366.83787800000005</v>
      </c>
      <c r="AA158" s="3">
        <f>+(855.3-453.8)+(+(-0.436203--0.231438))+0-31--0.0158099999999969</f>
        <v>370.31104499999992</v>
      </c>
      <c r="AB158" s="3">
        <f>+(792.5-397.2)+(+(-1.212525--0.607716))+0-31--0.0474300000000018</f>
        <v>363.74262100000004</v>
      </c>
      <c r="AC158" s="3">
        <f>0+(676.2-295.3)+(0+(-0.344862--0.150603))+0-31--0.0158099999999969</f>
        <v>349.72155100000003</v>
      </c>
      <c r="AD158">
        <f t="shared" si="2"/>
        <v>8447.9273650000014</v>
      </c>
      <c r="AE158" s="3">
        <f>0+(820-423.3)+(0+(0-0))+0-31-0</f>
        <v>365.7</v>
      </c>
    </row>
    <row r="159" spans="1:31" s="2" customFormat="1" x14ac:dyDescent="0.25">
      <c r="A159">
        <v>89</v>
      </c>
      <c r="B159">
        <v>6</v>
      </c>
      <c r="C159">
        <v>4</v>
      </c>
      <c r="D159">
        <v>6</v>
      </c>
      <c r="E159">
        <v>1</v>
      </c>
      <c r="F159" s="3">
        <f>0+(483.1-118.9)+(0+(-0.985524--0.242556))+0-31--0.0632399999999986</f>
        <v>332.52027200000003</v>
      </c>
      <c r="G159" s="3">
        <f>0+(407.3-54.3)+(0+(-1.246338--0.166158))+0-31--0.0948600000000036</f>
        <v>321.01468</v>
      </c>
      <c r="H159" s="3">
        <f>0+(341.6-3.3)+(0+(-0.348432--0.003366))+0-31--0.0316200000000049</f>
        <v>306.98655400000007</v>
      </c>
      <c r="I159" s="3">
        <f>0+(336.5-0)+(0+(0.68646-0))+0-31-0.0632399999999986</f>
        <v>306.12322</v>
      </c>
      <c r="J159" s="3">
        <f>0+(342.1-0)+(0+(0-0))+0-31-0</f>
        <v>311.10000000000002</v>
      </c>
      <c r="K159" s="3">
        <f>0+(341-3.8)+(0+(-0.86955--0.00969))+0-31--0.0790499999999955</f>
        <v>305.41918999999996</v>
      </c>
      <c r="L159" s="3">
        <f>0+(347.1-11.1)+(0+(-0.885105--0.028305))+0-31--0.0790499999999955</f>
        <v>304.22224999999997</v>
      </c>
      <c r="M159" s="3">
        <f>0+(337.5-0)+(0+(0-0))+0-32-0</f>
        <v>305.5</v>
      </c>
      <c r="N159" s="3">
        <f>0+(444.9-84.9)+(0+(-0.226899--0.043299))+0-31--0.0158099999999969</f>
        <v>328.83220999999998</v>
      </c>
      <c r="O159" s="3">
        <f>0+(645.9-257.8)+(0+(-0.329409--0.131478))+0-32--0.0163199999999968</f>
        <v>355.91838899999999</v>
      </c>
      <c r="P159" s="3">
        <f>0+(741.9-339.4)+(0+(-1.135107--0.519282))+0-31--0.0474300000000018</f>
        <v>370.93160500000005</v>
      </c>
      <c r="Q159" s="3">
        <f>0+(765.6-356.1)+(0+(0-0))+0-31-0</f>
        <v>378.5</v>
      </c>
      <c r="R159" s="3">
        <f>0+(779.9-371.1)+(0+(0.795498-0.378522))+0-31-0.0316200000000049</f>
        <v>378.1853559999999</v>
      </c>
      <c r="S159" s="3">
        <f>0+(756.5-355.8)+(0+(0.385815-0.181458))+0-31-0.0158099999999969</f>
        <v>369.88854700000002</v>
      </c>
      <c r="T159" s="3">
        <f>0+(745.4-351.7)+(0+(-0.760308--0.358734))+0-31--0.0316200000000049</f>
        <v>362.33004600000004</v>
      </c>
      <c r="U159" s="3">
        <f>0+(745.3-358.2)+(0+(-1.140309--0.548046))+0-32--0.0489600000000018</f>
        <v>354.55669699999999</v>
      </c>
      <c r="V159" s="3">
        <f>0+(768.1-394.4)+(0+(-1.566924--0.804576))+0-31--0.0632399999999986</f>
        <v>342.00089200000008</v>
      </c>
      <c r="W159" s="3">
        <f>0+(845.1-482.1)+(0+(-2.155005--1.229355))+0-31--0.0790499999999955</f>
        <v>331.15339999999998</v>
      </c>
      <c r="X159" s="3">
        <f>0+(819.4-462.8)+(0+(-0.835788--0.472056))+0-31--0.0316200000000049</f>
        <v>325.26788799999997</v>
      </c>
      <c r="Y159" s="3">
        <f>0+(748.2-379.6)+(0+(0.381582-0.193596))+0-31-0.0158099999999969</f>
        <v>337.77217600000006</v>
      </c>
      <c r="Z159" s="3">
        <f>0+(810.4-435.5)+(0+(-1.239912--0.666315))+0-31--0.0474300000000018</f>
        <v>343.37383299999999</v>
      </c>
      <c r="AA159" s="3">
        <f>0+(833-456.9)+(0+(-2.12415--1.165095))+0-31--0.0790499999999955</f>
        <v>344.21999500000004</v>
      </c>
      <c r="AB159" s="3">
        <f>0+(780.4-412.2)+(0+(-0.398004--0.210222))+0-31--0.0158099999999969</f>
        <v>337.02802799999995</v>
      </c>
      <c r="AC159" s="3">
        <f>0+(605.8-245.9)+(0+(-1.235832--0.501636))+0-31--0.0632399999999986</f>
        <v>328.22904399999999</v>
      </c>
      <c r="AD159">
        <f t="shared" si="2"/>
        <v>8081.0742719999998</v>
      </c>
      <c r="AE159" s="3">
        <f>0+(804.1-431.8)+(0+(0-0))+0-31-0</f>
        <v>341.3</v>
      </c>
    </row>
    <row r="160" spans="1:31" s="2" customFormat="1" x14ac:dyDescent="0.25">
      <c r="A160">
        <v>89</v>
      </c>
      <c r="B160">
        <v>6</v>
      </c>
      <c r="C160">
        <v>5</v>
      </c>
      <c r="D160">
        <v>7</v>
      </c>
      <c r="E160">
        <v>1</v>
      </c>
      <c r="F160" s="3">
        <f>0+(520.3-166.9)+(0+(-0.265353--0.085119))+0-31--0.0158099999999969</f>
        <v>322.23557599999998</v>
      </c>
      <c r="G160" s="3">
        <f>0+(583.9-238.3)+(0+(-0.297789--0.121533))+0-31--0.0158099999999969</f>
        <v>314.43955399999993</v>
      </c>
      <c r="H160" s="3">
        <f>0+(541.7-206.3)+(0+(-1.657602--0.631278))+0-31--0.0948600000000036</f>
        <v>303.46853600000003</v>
      </c>
      <c r="I160" s="3">
        <f>0+(452.1-123.7)+(0+(0.691713-0.189261))+0-29-0.0443700000000017</f>
        <v>299.85808200000002</v>
      </c>
      <c r="J160" s="3">
        <f>0+(411.2-80.7)+(0+(-0.838848--0.164628))+0-29--0.0591599999999987</f>
        <v>300.88494000000003</v>
      </c>
      <c r="K160" s="3">
        <f>0+(429.5-110.6)+(0+(-0.219045--0.056406))+0-28--0.0142799999999972</f>
        <v>290.75164099999995</v>
      </c>
      <c r="L160" s="3">
        <f>0+(434.1-124.5)+(0+(0-0))+0-31-0</f>
        <v>278.60000000000002</v>
      </c>
      <c r="M160" s="3">
        <f>0+(429.4-135.8)+(0+(0-0))+0-31-0</f>
        <v>262.59999999999997</v>
      </c>
      <c r="N160" s="3">
        <f>0+(451.2-150.1)+(0+(0-0))+0-31-0</f>
        <v>270.10000000000002</v>
      </c>
      <c r="O160" s="3">
        <f>0+(512.5-199.8)+(0+(-0.52275--0.203796))+0-31--0.0316200000000049</f>
        <v>281.412666</v>
      </c>
      <c r="P160" s="3">
        <f>0+(547.4-225.9)+(0+(-0.558348--0.230418))+0-31--0.0316200000000049</f>
        <v>290.20369000000005</v>
      </c>
      <c r="Q160" s="3">
        <f>0+(653.8-319.5)+(0+(0-0))+0-31-0</f>
        <v>303.29999999999995</v>
      </c>
      <c r="R160" s="3">
        <f>0+(611.9-281.8)+(0+(-0.312069--0.143718))+0-31--0.0158099999999969</f>
        <v>298.94745899999998</v>
      </c>
      <c r="S160" s="3">
        <f>0+(597.3-271.1)+(0+(-0.609246--0.276522))+0-31--0.0316200000000049</f>
        <v>294.89889599999998</v>
      </c>
      <c r="T160" s="3">
        <f>0+(578.6-256.7)+(0+(-0.885258--0.392751))+0-31--0.0474300000000018</f>
        <v>290.45492300000006</v>
      </c>
      <c r="U160" s="3">
        <f>0+(590.2-263.2)+(0+(-1.204008--0.536928))+0-31--0.0632399999999986</f>
        <v>295.39616000000007</v>
      </c>
      <c r="V160" s="3">
        <f>0+(652.9-322.6)+(0+(-0.665958--0.329052))+0-31--0.0316200000000049</f>
        <v>298.99471399999999</v>
      </c>
      <c r="W160" s="3">
        <f>0+(651.5-322)+(0+(0.66453-0.32844))+0-31-0.0316200000000049</f>
        <v>298.80446999999998</v>
      </c>
      <c r="X160" s="3">
        <f>0+(569.4-239.9)+(0+(0-0))+0-31-0</f>
        <v>298.5</v>
      </c>
      <c r="Y160" s="3">
        <f>0+(624.4-272.2)+(0+(0-0))+0-31-0</f>
        <v>321.2</v>
      </c>
      <c r="Z160" s="3">
        <f>0+(646.3-284.6)+(0+(-0.329613--0.145146))+0-31--0.0158099999999969</f>
        <v>330.53134299999994</v>
      </c>
      <c r="AA160" s="3">
        <f>0+(664.1-298.7)+(0+(-0.338691--0.152337))+0-31--0.0158099999999969</f>
        <v>334.22945600000003</v>
      </c>
      <c r="AB160" s="3">
        <f>0+(699.2-335.4)+(0+(-0.713184--0.342108))+0-31--0.0316200000000049</f>
        <v>332.46054400000008</v>
      </c>
      <c r="AC160" s="3">
        <f>0+(643.7-288)+(0+(0-0))+0-31-0</f>
        <v>324.70000000000005</v>
      </c>
      <c r="AD160">
        <f t="shared" si="2"/>
        <v>7236.9726500000006</v>
      </c>
      <c r="AE160" s="3">
        <f>0+(645.1-277.5)+(0+(0-0))+0-31-0</f>
        <v>336.6</v>
      </c>
    </row>
    <row r="161" spans="1:31" s="2" customFormat="1" x14ac:dyDescent="0.25">
      <c r="A161">
        <v>89</v>
      </c>
      <c r="B161">
        <v>6</v>
      </c>
      <c r="C161">
        <v>6</v>
      </c>
      <c r="D161">
        <v>1</v>
      </c>
      <c r="E161">
        <v>1</v>
      </c>
      <c r="F161" s="3">
        <f>0+(587.8-237.6)+(0+(-0.299778--0.121176))+0-31--0.0158099999999969</f>
        <v>319.03720799999991</v>
      </c>
      <c r="G161" s="3">
        <f>0+(512-178.1)+(0+(0-0))+0-31-0</f>
        <v>302.89999999999998</v>
      </c>
      <c r="H161" s="3">
        <f>0+(322.5-0)+(0+(-0.6579-0))+0-31--0.0632399999999986</f>
        <v>290.90534000000002</v>
      </c>
      <c r="I161" s="3">
        <f>0+(315.8-0)+(0+(0-0))+0-32-0</f>
        <v>283.8</v>
      </c>
      <c r="J161" s="3">
        <f>0+(322.3-0)+(0+(-0.328746-0))+0-32--0.0326400000000051</f>
        <v>290.003894</v>
      </c>
      <c r="K161" s="3">
        <f>0+(348.5-28.8)+(0+(-0.888675--0.07344))+0-32--0.0815999999999954</f>
        <v>286.966365</v>
      </c>
      <c r="L161" s="3">
        <f>0+(377.7-62.9)+(0+(-1.155762--0.192474))+0-31--0.0948600000000036</f>
        <v>282.93157200000002</v>
      </c>
      <c r="M161" s="3">
        <f>0+(385.4-52.7)+(0+(0.196554-0.026877))+0-32-0.0163199999999968</f>
        <v>300.85335699999996</v>
      </c>
      <c r="N161" s="3">
        <f>0+(455.7-92.1)+(0+(0-0))+0-34-0</f>
        <v>329.6</v>
      </c>
      <c r="O161" s="3">
        <f>0+(538-150.5)+(0+(-0.27438--0.076755))+0-31--0.0158099999999969</f>
        <v>356.31818499999997</v>
      </c>
      <c r="P161" s="3">
        <f>0+(552.4-151.7)+(0+(0.563448-0.154734))+0-34-0.0346800000000054</f>
        <v>367.07403399999998</v>
      </c>
      <c r="Q161" s="3">
        <f>0+(616.6-204.4)+(0+(0.314466-0.104244))+0-31-0.0158099999999969</f>
        <v>381.39441200000005</v>
      </c>
      <c r="R161" s="3">
        <f>0+(710.2-299.4)+(0+(0.362202-0.152694))+0-31-0.0158099999999969</f>
        <v>379.99369800000011</v>
      </c>
      <c r="S161" s="3">
        <f>0+(703.9-300)+(0+(0-0))+0-31-0</f>
        <v>372.9</v>
      </c>
      <c r="T161" s="3">
        <f>0+(859.4-448.9)+(0+(0-0))+0-31-0</f>
        <v>379.5</v>
      </c>
      <c r="U161" s="3">
        <f>0+(906.1-494.1)+(0+(-1.848444--1.007964))+0-31--0.0632399999999986</f>
        <v>380.22275999999999</v>
      </c>
      <c r="V161" s="3">
        <f>0+(878.4-481)+(0+(-2.23992--1.22655))+0-31--0.0790499999999955</f>
        <v>365.46567999999996</v>
      </c>
      <c r="W161" s="3">
        <f>0+(884.2-493.8)+(0+(-1.803768--1.007352))+0-31--0.0632399999999986</f>
        <v>358.66682400000002</v>
      </c>
      <c r="X161" s="3">
        <f>0+(712.7-341.4)+(0+(-1.090431--0.522342))+0-31--0.0474300000000018</f>
        <v>339.7793410000001</v>
      </c>
      <c r="Y161" s="3">
        <f>0+(700.7-321)+(0+(0.357357-0.16371))+0-31-0.0158099999999969</f>
        <v>348.87783700000006</v>
      </c>
      <c r="Z161" s="3">
        <f>0+(792-395)+(0+(-1.61568--0.8058))+0-30--0.0611999999999987</f>
        <v>366.25131999999996</v>
      </c>
      <c r="AA161" s="3">
        <f>0+(801.4-401.2)+(0+(-2.452284--1.227672))+0-31--0.0948600000000036</f>
        <v>368.07024799999999</v>
      </c>
      <c r="AB161" s="3">
        <f>0+(669.8-264.4)+(0+(-0.683196--0.269688))+0-31--0.0316200000000049</f>
        <v>374.01811200000003</v>
      </c>
      <c r="AC161" s="3">
        <f>0+(484.8-114)+(0+(-0.494496--0.11628))+0-31--0.0316200000000049</f>
        <v>339.45340400000003</v>
      </c>
      <c r="AD161">
        <f t="shared" si="2"/>
        <v>8164.9835909999993</v>
      </c>
      <c r="AE161" s="3">
        <f>0+(808.7-407.6)+(0+(0-0))+0-32-0</f>
        <v>369.1</v>
      </c>
    </row>
    <row r="162" spans="1:31" s="2" customFormat="1" x14ac:dyDescent="0.25">
      <c r="A162">
        <v>89</v>
      </c>
      <c r="B162">
        <v>6</v>
      </c>
      <c r="C162">
        <v>7</v>
      </c>
      <c r="D162">
        <v>2</v>
      </c>
      <c r="E162">
        <v>1</v>
      </c>
      <c r="F162" s="3">
        <f>0+(392.6-52.8)+(0+(-0.400452--0.053856))+0-31--0.0316200000000049</f>
        <v>308.48502400000007</v>
      </c>
      <c r="G162" s="3">
        <f>0+(406.9-77)+(0+(-0.830076--0.15708))+0-31--0.0632399999999986</f>
        <v>298.29024399999997</v>
      </c>
      <c r="H162" s="3">
        <f>0+(357.8-27)+(0+(-0.91239--0.06885))+0-31--0.0790499999999955</f>
        <v>299.03550999999999</v>
      </c>
      <c r="I162" s="3">
        <f>0+(347-0)+(0+(-0.35394-0))+0-31--0.0316200000000049</f>
        <v>315.67768000000001</v>
      </c>
      <c r="J162" s="3">
        <f>0+(386-16)+(0+(0.78744-0.03264))+0-31-0.0632399999999986</f>
        <v>339.69155999999998</v>
      </c>
      <c r="K162" s="3">
        <f>0+(381-60)+(0+(-0.58293--0.0918))+0-31--0.0474300000000018</f>
        <v>289.55630000000002</v>
      </c>
      <c r="L162" s="3">
        <f>0+(409.9-91)+(0+(0-0))+0-31-0</f>
        <v>287.89999999999998</v>
      </c>
      <c r="M162" s="3">
        <f>0+(372.6-39)+(0+(0-0))+0-32-0</f>
        <v>301.60000000000002</v>
      </c>
      <c r="N162" s="3">
        <f>0+(549.1-198.6)+(0+(0.560082-0.202572))+0-33-0.0336600000000053</f>
        <v>317.82384999999999</v>
      </c>
      <c r="O162" s="3">
        <f>0+(694.4-319.6)+(0+(-0.354144--0.162996))+0-33--0.0168299999999967</f>
        <v>341.62568199999993</v>
      </c>
      <c r="P162" s="3">
        <f>0+(775.2-342.7)+(0+(0-0))+0-34-0</f>
        <v>398.50000000000006</v>
      </c>
      <c r="Q162" s="3">
        <f>0+(910.6-475.3)+(0+(0.464406-0.242403))+0-31-0.0158099999999969</f>
        <v>404.506193</v>
      </c>
      <c r="R162" s="3">
        <f>0+(883.4-455.8)+(0+(-1.351602--0.697374))+0-31--0.0474300000000018</f>
        <v>395.993202</v>
      </c>
      <c r="S162" s="3">
        <f>0+(852.5-415.6)+(0+(-1.304325--0.635868))+0-31--0.0474300000000018</f>
        <v>405.27897300000001</v>
      </c>
      <c r="T162" s="3">
        <f>0+(859-429.3)+(0+(-1.31427--0.656829))+0-31--0.0474300000000018</f>
        <v>398.089989</v>
      </c>
      <c r="U162" s="3">
        <f>0+(865.4-458.8)+(0+(-0.882708--0.467976))+0-31--0.0316200000000049</f>
        <v>375.21688799999998</v>
      </c>
      <c r="V162" s="3">
        <f>0+(824.7-429.4)+(0+(-3.364776--1.751952))+0-31--0.126479999999997</f>
        <v>362.81365600000009</v>
      </c>
      <c r="W162" s="3">
        <f>0+(768-380.6)+(0+(-1.56672--0.776424))+0-31--0.0632399999999986</f>
        <v>355.67294399999997</v>
      </c>
      <c r="X162" s="3">
        <f>0+(726.3-346)+(0+(-0.740826--0.35292))+0-31--0.0316200000000049</f>
        <v>348.943714</v>
      </c>
      <c r="Y162" s="3">
        <f>0+(642.4-249.6)+(0+(0.327624-0.127296))+0-31-0.0158099999999969</f>
        <v>361.98451799999998</v>
      </c>
      <c r="Z162" s="3">
        <f>0+(749.4-354.3)+(0+(-1.146582--0.542079))+0-31--0.0474300000000018</f>
        <v>363.54292699999996</v>
      </c>
      <c r="AA162" s="3">
        <f>0+(773.9-373.8)+(0+(-2.368134--1.143828))+0-31--0.0948600000000036</f>
        <v>367.97055399999994</v>
      </c>
      <c r="AB162" s="3">
        <f>0+(667.4-278.9)+(0+(-1.021122--0.426717))+0-31--0.0474300000000018</f>
        <v>356.95302500000003</v>
      </c>
      <c r="AC162" s="3">
        <f>0+(551.4-177.1)+(0+(-0.562428--0.180642))+0-31--0.0316200000000049</f>
        <v>342.94983400000001</v>
      </c>
      <c r="AD162">
        <f t="shared" si="2"/>
        <v>8338.1022670000002</v>
      </c>
      <c r="AE162" s="3">
        <f>0+(820.9-420.5)+(0+(0-0))+0-31-0</f>
        <v>369.4</v>
      </c>
    </row>
    <row r="163" spans="1:31" s="2" customFormat="1" x14ac:dyDescent="0.25">
      <c r="A163">
        <v>89</v>
      </c>
      <c r="B163">
        <v>6</v>
      </c>
      <c r="C163">
        <v>8</v>
      </c>
      <c r="D163">
        <v>3</v>
      </c>
      <c r="E163">
        <v>1</v>
      </c>
      <c r="F163" s="3">
        <f>0+(553.6-190.8)+(0+(-0.564672--0.194616))+0-30--0.0306000000000048</f>
        <v>332.46054400000003</v>
      </c>
      <c r="G163" s="3">
        <f>0+(490.7-146.6)+(0+(-0.250257--0.074766))+0-30--0.015299999999997</f>
        <v>313.93980900000003</v>
      </c>
      <c r="H163" s="3">
        <f>0+(403.3-78.5)+(0+(0-0))+0-30-0</f>
        <v>294.8</v>
      </c>
      <c r="I163" s="3">
        <f>0+(327.9-38.1)+(0+(-0.334458--0.038862))+0-30--0.0306000000000048</f>
        <v>259.53500399999996</v>
      </c>
      <c r="J163" s="3">
        <f>0+(371.3-70)+(0+(0.189363-0.0357))+0-31-0.0158099999999969</f>
        <v>270.43785300000002</v>
      </c>
      <c r="K163" s="3">
        <f>0+(420.2-110.2)+(0+(-0.857208--0.224808))+0-31--0.0632399999999986</f>
        <v>278.43083999999999</v>
      </c>
      <c r="L163" s="3">
        <f>0+(342.4-39.4)+(0+(-1.047744--0.120564))+0-31--0.0948600000000036</f>
        <v>271.16767999999996</v>
      </c>
      <c r="M163" s="3">
        <f>0+(374.7-76)+(0+(0.382194-0.07752))+0-33-0.0336600000000053</f>
        <v>265.97101399999997</v>
      </c>
      <c r="N163" s="3">
        <f>0+(426.9-92.2)+(0+(0.217719-0.047022))+0-32-0.0163199999999968</f>
        <v>302.854377</v>
      </c>
      <c r="O163" s="3">
        <f>0+(536.7-174.9)+(0+(0-0))+0-32-0</f>
        <v>329.80000000000007</v>
      </c>
      <c r="P163" s="3">
        <f>0+(592.5-209.4)+(0+(1.2087-0.427176))+0-34-0.0693599999999985</f>
        <v>349.812164</v>
      </c>
      <c r="Q163" s="3">
        <f>0+(540.1-156.9)+(0+(0.550902-0.160038))+0-31-0.0316200000000049</f>
        <v>352.55924400000004</v>
      </c>
      <c r="R163" s="3">
        <f>0+(538.2-156.8)+(0+(-0.274482--0.079968))+0-31--0.0158099999999969</f>
        <v>350.221296</v>
      </c>
      <c r="S163" s="3">
        <f>0+(540.5-162.1)+(0+(0-0))+0-31-0</f>
        <v>347.4</v>
      </c>
      <c r="T163" s="3">
        <f>0+(525.2-151.4)+(0+(0.267852-0.077214))+0-31-0.0158099999999969</f>
        <v>342.97482800000006</v>
      </c>
      <c r="U163" s="3">
        <f>0+(519-157.5)+(0+(0.26469-0.080325))+0-31-0.0158099999999969</f>
        <v>330.66855500000003</v>
      </c>
      <c r="V163" s="3">
        <f>0+(561.5-182.8)+(0+(-0.859095--0.279684))+0-31--0.0474300000000018</f>
        <v>347.16801900000002</v>
      </c>
      <c r="W163" s="3">
        <f>0+(609.3-236.6)+(0+(-0.932229--0.361998))+0-31--0.0474300000000018</f>
        <v>341.17719899999997</v>
      </c>
      <c r="X163" s="3">
        <f>0+(655.5-278.8)+(0+(-0.334305--0.142188))+0-29--0.0147899999999971</f>
        <v>347.522673</v>
      </c>
      <c r="Y163" s="3">
        <f>0+(585.7-204.7)+(0+(0.298707-0.104397))+0-31-0.0158099999999969</f>
        <v>350.17850000000004</v>
      </c>
      <c r="Z163" s="3">
        <f>0+(651.4-258.1)+(0+(-0.332214--0.131631))+0-30--0.015299999999997</f>
        <v>363.11471699999998</v>
      </c>
      <c r="AA163" s="3">
        <f>0+(751.6-341)+(0+(0-0))+0-30-0</f>
        <v>380.6</v>
      </c>
      <c r="AB163" s="3">
        <f>0+(747.5-340.1)+(0+(-0.76245--0.346902))+0-30--0.0306000000000048</f>
        <v>377.01505199999997</v>
      </c>
      <c r="AC163" s="3">
        <f>0+(666.9-283)+(0+(0-0))+0-30-0</f>
        <v>353.9</v>
      </c>
      <c r="AD163">
        <f t="shared" si="2"/>
        <v>7853.7093680000007</v>
      </c>
      <c r="AE163" s="3">
        <f>0+(738.9-343.7)+(0+(0-0))+0-31-0</f>
        <v>364.2</v>
      </c>
    </row>
    <row r="164" spans="1:31" s="2" customFormat="1" x14ac:dyDescent="0.25">
      <c r="A164">
        <v>89</v>
      </c>
      <c r="B164">
        <v>6</v>
      </c>
      <c r="C164">
        <v>9</v>
      </c>
      <c r="D164">
        <v>4</v>
      </c>
      <c r="E164">
        <v>1</v>
      </c>
      <c r="F164" s="3">
        <f>0+(540.1-156.9)+(0+(-1.377255--0.400095))+0-31--0.0790499999999955</f>
        <v>351.30189000000001</v>
      </c>
      <c r="G164" s="3">
        <f>0+(366.7-17.9)+(0+(-0.748068--0.036516))+0-31--0.0632399999999986</f>
        <v>317.15168800000004</v>
      </c>
      <c r="H164" s="3">
        <f>0+(356.7-3)+(0+(-0.545751--0.00459))+0-31--0.0474300000000018</f>
        <v>322.20626900000002</v>
      </c>
      <c r="I164" s="3">
        <f>0+(340.3-0)+(0+(-0.867765-0))+0-31--0.0790499999999955</f>
        <v>308.51128499999999</v>
      </c>
      <c r="J164" s="3">
        <f>0+(342.5-0)+(0+(0-0))+0-30-0</f>
        <v>312.5</v>
      </c>
      <c r="K164" s="3">
        <f>0+(346.2-3.2)+(0+(-0.88281--0.00816))+0-31--0.0790499999999955</f>
        <v>311.20440000000002</v>
      </c>
      <c r="L164" s="3">
        <f>0+(368.4-23.3)+(0+(-0.751536--0.047532))+0-31--0.0632399999999986</f>
        <v>313.45923599999998</v>
      </c>
      <c r="M164" s="3">
        <f>0+(391.4-58.3)+(0+(0-0))+0-31-0</f>
        <v>302.09999999999997</v>
      </c>
      <c r="N164" s="3">
        <f>0+(477.2-110.1)+(0+(0.243372-0.056151))+0-32-0.0163199999999968</f>
        <v>335.27090100000004</v>
      </c>
      <c r="O164" s="3">
        <f>0+(461.2-78.1)+(0+(0-0))+0-33-0</f>
        <v>350.1</v>
      </c>
      <c r="P164" s="3">
        <f>0+(500.2-102.2)+(0+(0.255102-0.052122))+0-32-0.0163199999999968</f>
        <v>366.18666000000002</v>
      </c>
      <c r="Q164" s="3">
        <f>0+(514.8-110.3)+(0+(0.787644-0.168759))+0-33-0.0504900000000019</f>
        <v>372.0683949999999</v>
      </c>
      <c r="R164" s="3">
        <f>0+(519.8-104.8)+(0+(0.265098-0.053448))+0-31-0.0158099999999969</f>
        <v>384.19583999999998</v>
      </c>
      <c r="S164" s="3">
        <f>0+(483.5-85.6)+(0+(0-0))+0-31-0</f>
        <v>366.9</v>
      </c>
      <c r="T164" s="3">
        <f>0+(432-51.1)+(0+(0.22032-0.026061))+0-31-0.0158099999999969</f>
        <v>350.07844899999998</v>
      </c>
      <c r="U164" s="3">
        <f>0+(440.3-67.3)+(0+(-1.122765--0.171615))+0-31--0.0790499999999955</f>
        <v>341.12790000000001</v>
      </c>
      <c r="V164" s="3">
        <f>0+(436.7-85.1)+(0+(-0.445434--0.086802))+0-31--0.0316200000000049</f>
        <v>320.27298800000005</v>
      </c>
      <c r="W164" s="3">
        <f>0+(426.1-86.4)+(0+(-0.434622--0.088128))+0-32--0.0326400000000051</f>
        <v>307.38614600000005</v>
      </c>
      <c r="X164" s="3">
        <f>0+(512.7-175.5)+(0+(-0.522954--0.17901))+0-31--0.0316200000000049</f>
        <v>305.88767600000006</v>
      </c>
      <c r="Y164" s="3">
        <f>0+(542.6-191.2)+(0+(-0.553452--0.195024))+0-31--0.0316200000000049</f>
        <v>320.07319200000006</v>
      </c>
      <c r="Z164" s="3">
        <f>0+(555.5-192.4)+(0+(0-0))+0-31-0</f>
        <v>332.1</v>
      </c>
      <c r="AA164" s="3">
        <f>0+(579.3-212.6)+(0+(-1.181772--0.433704))+0-31--0.0632399999999986</f>
        <v>335.01517199999995</v>
      </c>
      <c r="AB164" s="3">
        <f>0+(568.8-217.2)+(0+(0-0))+0-31-0</f>
        <v>320.59999999999997</v>
      </c>
      <c r="AC164" s="3">
        <f>0+(472-131.6)+(0+(-1.2036--0.33558))+0-31--0.0790499999999955</f>
        <v>308.61102999999997</v>
      </c>
      <c r="AD164">
        <f t="shared" si="2"/>
        <v>7954.3091169999998</v>
      </c>
      <c r="AE164" s="3">
        <f>0+(552.5-183.3)+(0+(0-0))+0-31-0</f>
        <v>338.2</v>
      </c>
    </row>
    <row r="165" spans="1:31" s="2" customFormat="1" x14ac:dyDescent="0.25">
      <c r="A165">
        <v>89</v>
      </c>
      <c r="B165">
        <v>6</v>
      </c>
      <c r="C165">
        <v>10</v>
      </c>
      <c r="D165">
        <v>5</v>
      </c>
      <c r="E165">
        <v>5</v>
      </c>
      <c r="F165" s="3">
        <f>0+(361-37.3)+(0+(-0.55233--0.057069))+0-31--0.0474300000000018</f>
        <v>292.25216899999998</v>
      </c>
      <c r="G165" s="3">
        <f>0+(311.9-0)+(0+(-0.477207-0))+0-31--0.0474300000000018</f>
        <v>280.47022299999998</v>
      </c>
      <c r="H165" s="3">
        <f>0+(302.7-7.7)+(0+(-0.154377--0.003927))+0-31--0.0158099999999969</f>
        <v>263.86536000000001</v>
      </c>
      <c r="I165" s="3">
        <f>0+(283.7-0)+(0+(-0.289374-0))+0-31--0.0316200000000049</f>
        <v>252.44224599999998</v>
      </c>
      <c r="J165" s="3">
        <f>0+(297-1.7)+(0+(-0.60588--0.003468))+0-31--0.0632399999999986</f>
        <v>263.760828</v>
      </c>
      <c r="K165" s="3">
        <f>0+(305.9-14.7)+(0+(-0.780045--0.037485))+0-31--0.0790499999999955</f>
        <v>259.53648999999996</v>
      </c>
      <c r="L165" s="3">
        <f>0+(310-35.2)+(0+(-0.7905--0.08976))+0-31--0.0790499999999955</f>
        <v>243.17831000000001</v>
      </c>
      <c r="M165" s="3">
        <f>0+(325.3-76.2)+(0+(0-0))+0-31-0</f>
        <v>218.10000000000002</v>
      </c>
      <c r="N165" s="3">
        <f>0+(361.7-95.2)+(0+(-0.368934--0.097104))+0-31--0.0316200000000049</f>
        <v>235.25978999999998</v>
      </c>
      <c r="O165" s="3">
        <f>0+(325.2-51)+(0+(-0.331704--0.05202))+0-31--0.0316200000000049</f>
        <v>242.95193600000002</v>
      </c>
      <c r="P165" s="3">
        <f>0+(364.2-82.2)+(0+(-0.185742--0.041922))+0-31--0.0158099999999969</f>
        <v>250.87198999999998</v>
      </c>
      <c r="Q165" s="3">
        <f>0+(337.2-47.3)+(0+(0.343944-0.048246))+0-31-0.0316200000000049</f>
        <v>259.16407799999996</v>
      </c>
      <c r="R165" s="3">
        <f>0+(320.3-28.2)+(0+(-0.163353--0.014382))+0-31--0.0158099999999969</f>
        <v>260.96683899999999</v>
      </c>
      <c r="S165" s="3">
        <f>0+(280.8-0)+(0+(-0.143208-0))+0-31--0.0158099999999969</f>
        <v>249.67260199999998</v>
      </c>
      <c r="T165" s="3">
        <f>0+(297.4-0)+(0+(0-0))+0-31-0</f>
        <v>266.39999999999998</v>
      </c>
      <c r="U165" s="3">
        <f>0+(296.8-0)+(0+(-0.605472-0))+0-31--0.0632399999999986</f>
        <v>265.257768</v>
      </c>
      <c r="V165" s="3">
        <f>0+(292-0)+(0+(-0.14892-0))+0-31--0.0158099999999969</f>
        <v>260.86689000000001</v>
      </c>
      <c r="W165" s="3">
        <f>0+(334.5-28.7)+(0+(-0.34119--0.029274))+0-31--0.0316200000000049</f>
        <v>274.51970400000005</v>
      </c>
      <c r="X165" s="3">
        <f>0+(366.3-61.8)+(0+(-0.373626--0.063036))+0-31--0.0316200000000049</f>
        <v>273.22103000000004</v>
      </c>
      <c r="Y165" s="3">
        <f>0+(400-50.3)+(0+(0-0))+0-32-0</f>
        <v>317.7</v>
      </c>
      <c r="Z165" s="3">
        <f>0+(423.1-61.9)+(0+(-0.215781--0.031569))+0-31--0.0158099999999969</f>
        <v>330.03159800000003</v>
      </c>
      <c r="AA165" s="3">
        <f>0+(446.8-82.2)+(0+(-0.683604--0.125766))+0-31--0.0474300000000018</f>
        <v>333.08959200000004</v>
      </c>
      <c r="AB165" s="3">
        <f>0+(410.9-50.6)+(0+(0.209559-0.025806))+0-31-0.0158099999999969</f>
        <v>329.46794299999999</v>
      </c>
      <c r="AC165" s="3">
        <f>0+(416.3-62.9)+(0+(-0.212313--0.032079))+0-31--0.0158099999999969</f>
        <v>322.23557600000004</v>
      </c>
      <c r="AD165">
        <f t="shared" si="2"/>
        <v>6545.2829620000002</v>
      </c>
      <c r="AE165" s="3">
        <f>0+(440.5-84.8)+(0+(0-0))+0-31-0</f>
        <v>324.7</v>
      </c>
    </row>
    <row r="166" spans="1:31" s="2" customFormat="1" x14ac:dyDescent="0.25">
      <c r="A166">
        <v>89</v>
      </c>
      <c r="B166">
        <v>6</v>
      </c>
      <c r="C166">
        <v>11</v>
      </c>
      <c r="D166">
        <v>6</v>
      </c>
      <c r="E166">
        <v>6</v>
      </c>
      <c r="F166" s="3">
        <f>0+(346.4-11.1)+(0+(0-0))+0-31-0</f>
        <v>304.29999999999995</v>
      </c>
      <c r="G166" s="3">
        <f>0+(327.6-5.7)+(0+(-0.167076--0.002907))+0-32--0.0163199999999968</f>
        <v>289.75215100000003</v>
      </c>
      <c r="H166" s="3">
        <f>0+(307-0)+(0+(0.15657-0))+0-31-0.0158099999999969</f>
        <v>276.14076</v>
      </c>
      <c r="I166" s="3">
        <f>0+(302.4-0)+(0+(0-0))+0-31-0</f>
        <v>271.39999999999998</v>
      </c>
      <c r="J166" s="3">
        <f>0+(299.7-0)+(0+(0-0))+0-31-0</f>
        <v>268.7</v>
      </c>
      <c r="K166" s="3">
        <f>0+(303.2-0)+(0+(0-0))+0-31-0</f>
        <v>272.2</v>
      </c>
      <c r="L166" s="3">
        <f>0+(292.9-0)+(0+(-0.597516-0))+0-31--0.0632399999999986</f>
        <v>261.365724</v>
      </c>
      <c r="M166" s="3">
        <f>0+(303.5-0)+(0+(0.154785-0))+0-30-0.015299999999997</f>
        <v>273.63948499999998</v>
      </c>
      <c r="N166" s="3">
        <f>0+(337.9-0)+(0+(-0.172329-0))+0-31--0.0158099999999969</f>
        <v>306.74348099999997</v>
      </c>
      <c r="O166" s="3">
        <f>0+(440.3-60.9)+(0+(0.449106-0.062118))+0-31-0.0316200000000049</f>
        <v>348.75536799999998</v>
      </c>
      <c r="P166" s="3">
        <f>0+(435.2-43)+(0+(0.443904-0.04386))+0-31-0.0316200000000049</f>
        <v>361.56842399999994</v>
      </c>
      <c r="Q166" s="3">
        <f>0+(460.3-53.3)+(0+(0.234753-0.027183))+0-31-0.0158099999999969</f>
        <v>376.19175999999999</v>
      </c>
      <c r="R166" s="3">
        <f>0+(416.6-15.6)+(0+(0.212466-0.007956))+0-31-0.0158099999999969</f>
        <v>370.18870000000004</v>
      </c>
      <c r="S166" s="3">
        <f>0+(400.7-14.9)+(0+(-0.204357--0.007599))+0-31--0.0158099999999969</f>
        <v>354.61905200000001</v>
      </c>
      <c r="T166" s="3">
        <f>0+(369.7-0)+(0+(0.188547-0))+0-32-0.0163199999999968</f>
        <v>337.87222700000001</v>
      </c>
      <c r="U166" s="3">
        <f>0+(343.3-0)+(0+(-0.175083-0))+0-31--0.0158099999999969</f>
        <v>312.14072700000003</v>
      </c>
      <c r="V166" s="3">
        <f>0+(383.3-28.3)+(0+(-0.586449--0.043299))+0-31--0.0474300000000018</f>
        <v>323.50427999999999</v>
      </c>
      <c r="W166" s="3">
        <f>0+(437.8-78.7)+(0+(0-0))+0-31-0</f>
        <v>328.1</v>
      </c>
      <c r="X166" s="3">
        <f>0+(488-128.7)+(0+(0.24888-0.065637))+0-31-0.0158099999999969</f>
        <v>328.46743300000003</v>
      </c>
      <c r="Y166" s="3">
        <f>0+(552.1-164.6)+(0+(0.563142-0.167892))+0-31-0.0316200000000049</f>
        <v>356.86362999999994</v>
      </c>
      <c r="Z166" s="3">
        <f>0+(511.5-118.5)+(0+(-0.260865--0.060435))+0-31--0.0158099999999969</f>
        <v>361.81538</v>
      </c>
      <c r="AA166" s="3">
        <f>0+(558.5-158.1)+(0+(0.284835-0.080631))+0-31-0.0158099999999969</f>
        <v>369.58839399999999</v>
      </c>
      <c r="AB166" s="3">
        <f>0+(570.9-173.2)+(0+(-0.582318--0.176664))+0-31--0.0316200000000049</f>
        <v>366.32596599999999</v>
      </c>
      <c r="AC166" s="3">
        <f>0+(520.3-141.4)+(0+(0.530706-0.144228))+0-31-0.0316200000000049</f>
        <v>348.25485799999996</v>
      </c>
      <c r="AD166">
        <f t="shared" si="2"/>
        <v>7768.4978000000019</v>
      </c>
      <c r="AE166" s="3">
        <f>0+(505-113.5)+(0+(0-0))+0-31-0</f>
        <v>360.5</v>
      </c>
    </row>
    <row r="167" spans="1:31" s="2" customFormat="1" x14ac:dyDescent="0.25">
      <c r="A167">
        <v>89</v>
      </c>
      <c r="B167">
        <v>6</v>
      </c>
      <c r="C167">
        <v>12</v>
      </c>
      <c r="D167">
        <v>7</v>
      </c>
      <c r="E167">
        <v>1</v>
      </c>
      <c r="F167" s="3">
        <f>0+(449.7-120.2)+(0+(0-0))+0-32-0</f>
        <v>297.5</v>
      </c>
      <c r="G167" s="3">
        <f>0+(423-111.6)+(0+(0.21573-0.056916))+0-32-0.0163199999999968</f>
        <v>279.54249399999998</v>
      </c>
      <c r="H167" s="3">
        <f>0+(343.6-56.2)+(0+(0-0))+0-32-0</f>
        <v>255.40000000000003</v>
      </c>
      <c r="I167" s="3">
        <f>0+(305.6-29)+(0+(0.77928-0.07395))+0-32-0.0815999999999954</f>
        <v>245.22373000000002</v>
      </c>
      <c r="J167" s="3">
        <f>0+(310-17)+(0+(-0.3162--0.01734))+0-32--0.0326400000000051</f>
        <v>260.73378000000002</v>
      </c>
      <c r="K167" s="3">
        <f>0+(300.5-31)+(0+(-0.766275--0.07905))+0-32--0.0815999999999954</f>
        <v>236.894375</v>
      </c>
      <c r="L167" s="3">
        <f>0+(278.9-28)+(0+(-0.711195--0.0714))+0-31--0.0790499999999955</f>
        <v>219.33925499999998</v>
      </c>
      <c r="M167" s="3">
        <f>0+(268.3-38)+(0+(-0.547332--0.07752))+0-31--0.0632399999999986</f>
        <v>198.89342800000003</v>
      </c>
      <c r="N167" s="3">
        <f>0+(276.3-32)+(0+(0.140913-0.01632))+0-31-0.0158099999999969</f>
        <v>213.40878300000003</v>
      </c>
      <c r="O167" s="3">
        <f>0+(304.8-34.3)+(0+(0-0))+0-31-0</f>
        <v>239.5</v>
      </c>
      <c r="P167" s="3">
        <f>0+(326.2-41.9)+(0+(-0.166362--0.021369))+0-31--0.0158099999999969</f>
        <v>253.170817</v>
      </c>
      <c r="Q167" s="3">
        <f>0+(444.8-141.7)+(0+(-0.226848--0.072267))+0-31--0.0158099999999969</f>
        <v>271.961229</v>
      </c>
      <c r="R167" s="3">
        <f>0+(500.1-158.5)+(0+(-0.255051--0.080835))+0-31--0.0158099999999969</f>
        <v>310.44159400000001</v>
      </c>
      <c r="S167" s="3">
        <f>0+(498.4-163.4)+(0+(-0.508368--0.166668))+0-31--0.0316200000000049</f>
        <v>303.68992000000003</v>
      </c>
      <c r="T167" s="3">
        <f>0+(429.6-108.6)+(0+(0-0))+0-31-0</f>
        <v>290</v>
      </c>
      <c r="U167" s="3">
        <f>0+(438.4-113)+(0+(-0.670752--0.17289))+0-31--0.0474300000000018</f>
        <v>293.949568</v>
      </c>
      <c r="V167" s="3">
        <f>0+(456.5-126.6)+(0+(-0.232815--0.064566))+0-31--0.0158099999999969</f>
        <v>298.74756099999996</v>
      </c>
      <c r="W167" s="3">
        <f>0+(521.4-178.8)+(0+(-0.797742--0.273564))+0-31--0.0474300000000018</f>
        <v>311.12325199999998</v>
      </c>
      <c r="X167" s="3">
        <f>0+(486.8-158.9)+(0+(-1.24134--0.405195))+0-31--0.0790499999999955</f>
        <v>296.14290499999998</v>
      </c>
      <c r="Y167" s="3">
        <f>0+(601.1-239.7)+(0+(0-0))+0-31-0</f>
        <v>330.40000000000003</v>
      </c>
      <c r="Z167" s="3">
        <f>0+(598.9-231.1)+(0+(-0.610878--0.235722))+0-31--0.0316200000000049</f>
        <v>336.45646399999998</v>
      </c>
      <c r="AA167" s="3">
        <f>0+(610-235.5)+(0+(-1.2444--0.48042))+0-30--0.0611999999999987</f>
        <v>343.79721999999998</v>
      </c>
      <c r="AB167" s="3">
        <f>0+(637.4-260.6)+(0+(-0.325074--0.132906))+0-31--0.0158099999999969</f>
        <v>345.62364199999996</v>
      </c>
      <c r="AC167" s="3">
        <f>0+(591.3-230.4)+(0+(-0.301563--0.117504))+0-31--0.0158099999999969</f>
        <v>329.73175099999997</v>
      </c>
      <c r="AD167">
        <f t="shared" si="2"/>
        <v>6761.6717680000002</v>
      </c>
      <c r="AE167" s="3">
        <f>0+(622.5-255.7)+(0+(0-0))+0-30-0</f>
        <v>336.8</v>
      </c>
    </row>
    <row r="168" spans="1:31" s="2" customFormat="1" x14ac:dyDescent="0.25">
      <c r="A168">
        <v>89</v>
      </c>
      <c r="B168">
        <v>6</v>
      </c>
      <c r="C168">
        <v>13</v>
      </c>
      <c r="D168">
        <v>1</v>
      </c>
      <c r="E168">
        <v>1</v>
      </c>
      <c r="F168" s="3">
        <f>0+(498.1-159.6)+(0+(-0.762093--0.244188))+0-31--0.0474300000000018</f>
        <v>307.02952500000004</v>
      </c>
      <c r="G168" s="3">
        <f>0+(365.3-43.2)+(0+(-0.558909--0.066096))+0-31--0.0474300000000018</f>
        <v>290.65461700000003</v>
      </c>
      <c r="H168" s="3">
        <f>0+(311.8-0)+(0+(-0.318036-0))+0-31--0.0316200000000049</f>
        <v>280.51358400000004</v>
      </c>
      <c r="I168" s="3">
        <f>0+(312.6-0)+(0+(0.159426-0))+0-30-0.015299999999997</f>
        <v>282.74412599999999</v>
      </c>
      <c r="J168" s="3">
        <f>0+(315.5-0)+(0+(0.160905-0))+0-31-0.0158099999999969</f>
        <v>284.64509500000003</v>
      </c>
      <c r="K168" s="3">
        <f>0+(349.9-30.5)+(0+(-0.892245--0.077775))+0-22--0.0560999999999968</f>
        <v>296.64163000000002</v>
      </c>
      <c r="L168" s="3">
        <f>0+(348.1-50.3)+(0+(-1.242717--0.179571))+0-31--0.11067</f>
        <v>265.84752400000002</v>
      </c>
      <c r="M168" s="3">
        <f>0+(309.2-2)+(0+(0-0))+0-31-0</f>
        <v>276.2</v>
      </c>
      <c r="N168" s="3">
        <f>0+(555.8-211.8)+(0+(0-0))+0-33-0</f>
        <v>310.99999999999994</v>
      </c>
      <c r="O168" s="3">
        <f>0+(670-294.3)+(0+(0.3417-0.150093))+0-32-0.0163199999999968</f>
        <v>343.87528699999996</v>
      </c>
      <c r="P168" s="3">
        <f>0+(667.2-278.3)+(0+(1.020816-0.425799))+0-33-0.0504900000000019</f>
        <v>356.44452699999999</v>
      </c>
      <c r="Q168" s="3">
        <f>0+(644-252)+(0+(1.31376-0.51408))+0-31-0.0632399999999986</f>
        <v>361.73644000000002</v>
      </c>
      <c r="R168" s="3">
        <f>0+(605.3-217.7)+(0+(0-0))+0-29-0</f>
        <v>358.59999999999997</v>
      </c>
      <c r="S168" s="3">
        <f>0+(591.5-200.1)+(0+(-0.904995--0.306153))+0-13--0.0198900000000008</f>
        <v>377.82104799999996</v>
      </c>
      <c r="T168" s="3">
        <f>0+(536.4-165.6)+(0+(0-0))+0-1-0</f>
        <v>369.79999999999995</v>
      </c>
      <c r="U168" s="3">
        <f>0+(512.2-150.6)+(0+(0-0))+0-4-0</f>
        <v>357.6</v>
      </c>
      <c r="V168" s="3">
        <f>0+(558.1-202)+(0+(-0.569262--0.20604))+0-5--0.0051000000000008</f>
        <v>350.74187800000004</v>
      </c>
      <c r="W168" s="3">
        <f>0+(687.2-333.7)+(0+(-1.051416--0.510561))+0-5--0.00765000000000029</f>
        <v>347.96679500000005</v>
      </c>
      <c r="X168" s="3">
        <f>0+(651-304.8)+(0+(-1.99206--0.932688))+0-6--0.0183600000000007</f>
        <v>339.15898799999997</v>
      </c>
      <c r="Y168" s="3">
        <f>0+(718.4-353.9)+(0+(-1.465536--0.721956))+0-6--0.0122399999999997</f>
        <v>357.76866000000001</v>
      </c>
      <c r="Z168" s="3">
        <f>0+(789.9-417.9)+(0+(-1.611396--0.852516))+0-7--0.0142799999999997</f>
        <v>364.25540000000001</v>
      </c>
      <c r="AA168" s="3">
        <f>0+(788.3-416.4)+(0+(-1.206099--0.637092))+0-8--0.0122400000000005</f>
        <v>363.343233</v>
      </c>
      <c r="AB168" s="3">
        <f>0+(788.1-422.7)+(0+(-0.803862--0.431154))+0-8--0.00816000000000128</f>
        <v>357.03545200000002</v>
      </c>
      <c r="AC168" s="3">
        <f>0+(741.1-380.8)+(0+(-1.133883--0.582624))+0-10--0.0153000000000006</f>
        <v>349.76404100000002</v>
      </c>
      <c r="AD168">
        <f t="shared" si="2"/>
        <v>7951.1878500000012</v>
      </c>
      <c r="AE168" s="3">
        <f>0+(772.6-399.9)+(0+(0-0))+0-30-0</f>
        <v>342.70000000000005</v>
      </c>
    </row>
    <row r="169" spans="1:31" s="2" customFormat="1" x14ac:dyDescent="0.25">
      <c r="A169">
        <v>89</v>
      </c>
      <c r="B169">
        <v>6</v>
      </c>
      <c r="C169">
        <v>14</v>
      </c>
      <c r="D169">
        <v>2</v>
      </c>
      <c r="E169">
        <v>1</v>
      </c>
      <c r="F169" s="3">
        <f>0+(448.6-133.3)+(0+(-0.228786--0.067983))+0-11--0.00560999999999888</f>
        <v>304.14480700000001</v>
      </c>
      <c r="G169" s="3">
        <f>0+(323.8-21.2)+(0+(-0.495414--0.032436))+0-13--0.0198900000000008</f>
        <v>289.15691199999998</v>
      </c>
      <c r="H169" s="3">
        <f>0+(292.2-0)+(0+(0-0))+0-14-0</f>
        <v>278.2</v>
      </c>
      <c r="I169" s="3">
        <f>0+(292.6-0)+(0+(0-0))+0-16-0</f>
        <v>276.60000000000002</v>
      </c>
      <c r="J169" s="3">
        <f>0+(297-0)+(0+(0.60588-0))+0-17-0.0346799999999993</f>
        <v>280.57120000000003</v>
      </c>
      <c r="K169" s="3">
        <f>0+(300.3-0)+(0+(-0.306306-0))+0-20--0.0204000000000032</f>
        <v>280.014094</v>
      </c>
      <c r="L169" s="3">
        <f>0+(294.2-0)+(0+(-0.600168-0))+0-21--0.0428399999999991</f>
        <v>272.642672</v>
      </c>
      <c r="M169" s="3">
        <f>0+(302.5-0)+(0+(0.462825-0))+0-24-0.0367200000000014</f>
        <v>278.92610500000001</v>
      </c>
      <c r="N169" s="3">
        <f>0+(340.7-8)+(0+(-0.173757--0.00408))+0-28--0.0142799999999972</f>
        <v>304.544603</v>
      </c>
      <c r="O169" s="3">
        <f>0+(428.4-73.2)+(0+(0-0))+0-28-0</f>
        <v>327.2</v>
      </c>
      <c r="P169" s="3">
        <f>0+(590.6-212.3)+(0+(0.903618-0.324819))+0-33-0.0504900000000019</f>
        <v>345.82830899999999</v>
      </c>
      <c r="Q169" s="3">
        <f>0+(596.9-225.5)+(0+(0.304419-0.115005))+0-30-0.015299999999997</f>
        <v>341.57411399999995</v>
      </c>
      <c r="R169" s="3">
        <f>0+(581.4-219.6)+(0+(0.296514-0.111996))+0-4-0.00203999999999959</f>
        <v>357.98247799999996</v>
      </c>
      <c r="S169" s="3">
        <f>0+(581.1-235.1)+(0+(-0.296361--0.119901))+0-4--0.00203999999999959</f>
        <v>341.82558</v>
      </c>
      <c r="T169" s="3">
        <f>0+(629.1-285.6)+(0+(0.320841-0.145656))+0-4-0.00203999999999959</f>
        <v>339.67314499999998</v>
      </c>
      <c r="U169" s="3">
        <f>0+(614.3-279.5)+(0+(-0.939879--0.427635))+0-4--0.00612000000000023</f>
        <v>330.29387599999995</v>
      </c>
      <c r="V169" s="3">
        <f>0+(654.6-325.3)+(0+(0-0))+0-6-0</f>
        <v>323.3</v>
      </c>
      <c r="W169" s="3">
        <f>0+(787.3-466)+(0+(-1.606092--0.95064))+0-6--0.0122399999999997</f>
        <v>314.65678799999995</v>
      </c>
      <c r="X169" s="3">
        <f>0+(797.1-484.1)+(0+(-1.219563--0.740673))+0-7--0.0107100000000004</f>
        <v>305.53182000000004</v>
      </c>
      <c r="Y169" s="3">
        <f>0+(720.9-392.8)+(0+(-0.367659--0.200328))+0-20--0.010199999999998</f>
        <v>307.94286899999997</v>
      </c>
      <c r="Z169" s="3">
        <f>0+(751.2-408.1)+(0+(-0.766224--0.416262))+0-30--0.0306000000000048</f>
        <v>312.78063800000001</v>
      </c>
      <c r="AA169" s="3">
        <f>0+(787.6-440.4)+(0+(-0.803352--0.449208))+0-7--0.00714000000000112</f>
        <v>339.85299600000002</v>
      </c>
      <c r="AB169" s="3">
        <f>0+(774.8-429.1)+(0+(-0.395148--0.218841))+0-8--0.00407999999999919</f>
        <v>337.52777299999991</v>
      </c>
      <c r="AC169" s="3">
        <f>0+(566.8-239.8)+(0+(-0.867204--0.366894))+0-9--0.0137700000000005</f>
        <v>317.51345999999995</v>
      </c>
      <c r="AD169">
        <f t="shared" si="2"/>
        <v>7508.2842389999987</v>
      </c>
      <c r="AE169" s="3">
        <f>0+(726.5-328)+(0+(0-0))+0-31-0</f>
        <v>367.5</v>
      </c>
    </row>
    <row r="170" spans="1:31" s="2" customFormat="1" x14ac:dyDescent="0.25">
      <c r="A170">
        <v>89</v>
      </c>
      <c r="B170">
        <v>6</v>
      </c>
      <c r="C170">
        <v>15</v>
      </c>
      <c r="D170">
        <v>3</v>
      </c>
      <c r="E170">
        <v>1</v>
      </c>
      <c r="F170" s="3">
        <f>0+(430.7-87.5)+(0+(-0.658971--0.133875))+0-31--0.0474300000000018</f>
        <v>311.72233399999999</v>
      </c>
      <c r="G170" s="3">
        <f>0+(356.2-27.3)+(0+(-0.544986--0.041769))+0-31--0.0474300000000018</f>
        <v>297.44421299999999</v>
      </c>
      <c r="H170" s="3">
        <f>0+(337.6-8.6)+(0+(-0.344352--0.008772))+0-31--0.0316200000000049</f>
        <v>297.69604000000004</v>
      </c>
      <c r="I170" s="3">
        <f>0+(311-0)+(0+(-0.47583-0))+0-32--0.0489600000000018</f>
        <v>278.57313000000005</v>
      </c>
      <c r="J170" s="3">
        <f>0+(323-13.6)+(0+(-0.32946--0.013872))+0-32--0.0326400000000051</f>
        <v>277.117052</v>
      </c>
      <c r="K170" s="3">
        <f>0+(314.8-0)+(0+(-0.642192-0))+0-32--0.0652799999999986</f>
        <v>282.22308799999996</v>
      </c>
      <c r="L170" s="3">
        <f>0+(294.5-0)+(0+(-1.351755-0))+0-16--0.0734400000000028</f>
        <v>277.22168499999998</v>
      </c>
      <c r="M170" s="3">
        <f>0+(341.9-61.1)+(0+(-0.523107--0.093483))+0-15--0.0229500000000009</f>
        <v>265.39332599999994</v>
      </c>
      <c r="N170" s="3">
        <f>0+(566.2-243.6)+(0+(-0.577524--0.248472))+0-17--0.0173400000000027</f>
        <v>305.28828800000002</v>
      </c>
      <c r="O170" s="3">
        <f>0+(612.6-260.9)+(0+(-0.937278--0.399177))+0-21--0.0321300000000012</f>
        <v>330.19402900000006</v>
      </c>
      <c r="P170" s="3">
        <f>0+(629.8-270.2)+(0+(-1.284792--0.551208))+0-22--0.044879999999999</f>
        <v>336.91129599999994</v>
      </c>
      <c r="Q170" s="3">
        <f>0+(741.5-352.9)+(0+(1.134495-0.539937))+0-25-0.0382500000000014</f>
        <v>364.15630800000002</v>
      </c>
      <c r="R170" s="3">
        <f>0+(706.9-288.8)+(0+(0-0))+0-22-0</f>
        <v>396.09999999999997</v>
      </c>
      <c r="S170" s="3">
        <f>0+(628.4-242.7)+(0+(0-0))+0-24-0</f>
        <v>361.7</v>
      </c>
      <c r="T170" s="3">
        <f>0+(598.5-191.2)+(0+(0.305235-0.097512))+0-25-0.0127499999999975</f>
        <v>382.49497300000002</v>
      </c>
      <c r="U170" s="3">
        <f>0+(623.5-238)+(0+(-0.63597--0.24276))+0-26--0.0265200000000041</f>
        <v>359.13330999999999</v>
      </c>
      <c r="V170" s="3">
        <f>0+(675-286.5)+(0+(-0.6885--0.29223))+0-27--0.0275400000000043</f>
        <v>361.13126999999997</v>
      </c>
      <c r="W170" s="3">
        <f>0+(751.7-355.9)+(0+(-1.150101--0.544527))+0-19--0.0290700000000011</f>
        <v>376.22349600000007</v>
      </c>
      <c r="X170" s="3">
        <f>0+(700.8-306.6)+(0+(-0.714816--0.312732))+0-27--0.0275400000000043</f>
        <v>366.82545599999992</v>
      </c>
      <c r="Y170" s="3">
        <f>0+(704.4-290.2)+(0+(0.359244-0.148002))+0-27-0.0137699999999973</f>
        <v>387.39747199999999</v>
      </c>
      <c r="Z170" s="3">
        <f>0+(821.5-386.8)+(0+(-0.418965--0.197268))+0-27--0.0137699999999973</f>
        <v>407.492073</v>
      </c>
      <c r="AA170" s="3">
        <f>0+(851.8-421.4)+(0+(-1.303254--0.644742))+0-27--0.0413100000000016</f>
        <v>402.78279800000001</v>
      </c>
      <c r="AB170" s="3">
        <f>0+(799.2-378.5)+(0+(0-0))+0-25-0</f>
        <v>395.70000000000005</v>
      </c>
      <c r="AC170" s="3">
        <f>0+(711.6-313.5)+(0+(-0.362916--0.159885))+0-26--0.0132599999999974</f>
        <v>371.91022900000002</v>
      </c>
      <c r="AD170">
        <f t="shared" si="2"/>
        <v>8192.8318659999986</v>
      </c>
      <c r="AE170" s="3">
        <f>0+(841.1-441.8)+(0+(0-0))+0-27-0</f>
        <v>372.3</v>
      </c>
    </row>
    <row r="171" spans="1:31" s="2" customFormat="1" x14ac:dyDescent="0.25">
      <c r="A171">
        <v>89</v>
      </c>
      <c r="B171">
        <v>6</v>
      </c>
      <c r="C171">
        <v>16</v>
      </c>
      <c r="D171">
        <v>4</v>
      </c>
      <c r="E171">
        <v>1</v>
      </c>
      <c r="F171" s="3">
        <f>0+(591.2-224.6)+(0+(-0.603024--0.229092))+0-28--0.0285600000000045</f>
        <v>338.25462800000003</v>
      </c>
      <c r="G171" s="3">
        <f>0+(467.6-117.9)+(0+(-1.19238--0.300645))+0-28--0.0713999999999959</f>
        <v>320.87966500000005</v>
      </c>
      <c r="H171" s="3">
        <f>0+(378.9-43.1)+(0+(0.193239-0.021981))+0-27-0.0137699999999973</f>
        <v>308.95748799999996</v>
      </c>
      <c r="I171" s="3">
        <f>0+(325.7-0)+(0+(-0.830535-0))+0-28--0.0713999999999959</f>
        <v>296.94086499999997</v>
      </c>
      <c r="J171" s="3">
        <f>0+(342.7-9)+(0+(0.174777-0.00459))+0-28-0.0142799999999972</f>
        <v>305.855907</v>
      </c>
      <c r="K171" s="3">
        <f>0+(335.9-2.1)+(0+(-0.856545--0.005355))+0-28--0.0713999999999959</f>
        <v>305.02020999999996</v>
      </c>
      <c r="L171" s="3">
        <f>0+(310.2-13.8)+(0+(-0.79101--0.03519))+0-28--0.0713999999999959</f>
        <v>267.71557999999999</v>
      </c>
      <c r="M171" s="3">
        <f>0+(310-0)+(0+(0-0))+0-28-0</f>
        <v>282</v>
      </c>
      <c r="N171" s="3">
        <f>0+(334.1-0)+(0+(0.170391-0))+0-28-0.0142799999999972</f>
        <v>306.25611100000003</v>
      </c>
      <c r="O171" s="3">
        <f>0+(455.3-91.6)+(0+(0.696609-0.140148))+0-32-0.0489600000000018</f>
        <v>332.20750100000004</v>
      </c>
      <c r="P171" s="3">
        <f>0+(511.5-142)+(0+(-0.260865--0.07242))+0-32--0.0163199999999968</f>
        <v>337.32787500000001</v>
      </c>
      <c r="Q171" s="3">
        <f>0+(670.9-289.8)+(0+(0.342159-0.147798))+0-31-0.0158099999999969</f>
        <v>350.27855099999999</v>
      </c>
      <c r="R171" s="3">
        <f>0+(711.3-334.8)+(0+(0.362763-0.170748))+0-32-0.0163199999999968</f>
        <v>344.67569499999996</v>
      </c>
      <c r="S171" s="3">
        <f>0+(662.1-294.5)+(0+(-0.675342--0.30039))+0-30--0.0306000000000048</f>
        <v>337.25564800000001</v>
      </c>
      <c r="T171" s="3">
        <f>0+(632.5-239.6)+(0+(0-0))+0-30-0</f>
        <v>362.9</v>
      </c>
      <c r="U171" s="3">
        <f>0+(600.3-218)+(0+(-0.306153--0.11118))+0-30--0.015299999999997</f>
        <v>352.12032699999997</v>
      </c>
      <c r="V171" s="3">
        <f>0+(605.6-227.6)+(0+(-0.617712--0.232152))+0-30--0.0306000000000048</f>
        <v>347.64503999999999</v>
      </c>
      <c r="W171" s="3">
        <f>0+(713-342.1)+(0+(-0.36363--0.174471))+0-31--0.0158099999999969</f>
        <v>339.72665099999995</v>
      </c>
      <c r="X171" s="3">
        <f>0+(670.8-308.4)+(0+(0-0))+0-30-0</f>
        <v>332.4</v>
      </c>
      <c r="Y171" s="3">
        <f>0+(662.1-282.3)+(0+(-0.675342--0.287946))+0-31--0.0316200000000049</f>
        <v>348.44422400000002</v>
      </c>
      <c r="Z171" s="3">
        <f>0+(701.2-313)+(0+(-1.072836--0.47889))+0-30--0.0459000000000017</f>
        <v>357.65195400000005</v>
      </c>
      <c r="AA171" s="3">
        <f>0+(737.5-346.9)+(0+(-1.128375--0.530757))+0-30--0.0459000000000017</f>
        <v>360.04828200000003</v>
      </c>
      <c r="AB171" s="3">
        <f>0+(794.8-394.2)+(0+(-0.405348--0.201042))+0-31--0.0158099999999969</f>
        <v>369.41150399999998</v>
      </c>
      <c r="AC171" s="3">
        <f>0+(729.5-349.2)+(0+(-0.74409--0.356184))+0-30--0.0306000000000048</f>
        <v>349.94269400000002</v>
      </c>
      <c r="AD171">
        <f t="shared" si="2"/>
        <v>7953.9163999999992</v>
      </c>
      <c r="AE171" s="3">
        <f>0+(699.3-331)+(0+(0-0))+0-31-0</f>
        <v>337.29999999999995</v>
      </c>
    </row>
    <row r="172" spans="1:31" s="2" customFormat="1" x14ac:dyDescent="0.25">
      <c r="A172">
        <v>89</v>
      </c>
      <c r="B172">
        <v>6</v>
      </c>
      <c r="C172">
        <v>17</v>
      </c>
      <c r="D172">
        <v>5</v>
      </c>
      <c r="E172">
        <v>1</v>
      </c>
      <c r="F172" s="3">
        <f>0+(464.9-141)+(0+(-0.237099--0.07191))+0-30--0.015299999999997</f>
        <v>293.750111</v>
      </c>
      <c r="G172" s="3">
        <f>0+(388.1-85)+(0+(-0.791724--0.1734))+0-30--0.0611999999999987</f>
        <v>272.54287600000004</v>
      </c>
      <c r="H172" s="3">
        <f>0+(307.1-29)+(0+(-0.469863--0.04437))+0-30--0.0459000000000017</f>
        <v>247.72040699999999</v>
      </c>
      <c r="I172" s="3">
        <f>0+(299.4-20)+(0+(-0.458082--0.0306))+0-31--0.0474300000000018</f>
        <v>248.01994799999997</v>
      </c>
      <c r="J172" s="3">
        <f>0+(313.4-20)+(0+(0.159834-0.0102))+0-30-0.015299999999997</f>
        <v>263.53433399999994</v>
      </c>
      <c r="K172" s="3">
        <f>0+(338.7-63.5)+(0+(-0.518211--0.097155))+0-30--0.0459000000000017</f>
        <v>244.82484399999996</v>
      </c>
      <c r="L172" s="3">
        <f>0+(386.7-116.9)+(0+(-0.197217--0.059619))+0-31--0.0158099999999969</f>
        <v>238.67821199999992</v>
      </c>
      <c r="M172" s="3">
        <f>0+(456.9-134.2)+(0+(-0.233019--0.068442))+0-31--0.0158099999999969</f>
        <v>291.55123299999997</v>
      </c>
      <c r="N172" s="3">
        <f>0+(539.7-183.9)+(0+(-0.825741--0.281367))+0-33--0.0504900000000019</f>
        <v>322.30611600000009</v>
      </c>
      <c r="O172" s="3">
        <f>0+(602.6-231.7)+(0+(-0.614652--0.236334))+0-31--0.0316200000000049</f>
        <v>339.55330200000009</v>
      </c>
      <c r="P172" s="3">
        <f>0+(632.5-238)+(0+(-0.967725--0.36414))+0-33--0.0504900000000019</f>
        <v>360.94690500000002</v>
      </c>
      <c r="Q172" s="3">
        <f>0+(662.8-253.5)+(0+(-0.338028--0.129285))+0-33--0.0168299999999967</f>
        <v>376.1080869999999</v>
      </c>
      <c r="R172" s="3">
        <f>0+(655.8-240.1)+(0+(-0.334458--0.122451))+0-33--0.0168299999999967</f>
        <v>382.50482299999987</v>
      </c>
      <c r="S172" s="3">
        <f>0+(655.5-250.5)+(0+(-0.66861--0.25551))+0-33--0.0336600000000053</f>
        <v>371.62056000000001</v>
      </c>
      <c r="T172" s="3">
        <f>0+(632.9-228.1)+(0+(-0.322779--0.116331))+0-33--0.0168299999999967</f>
        <v>371.6103819999999</v>
      </c>
      <c r="U172" s="3">
        <f>0+(628.6-231.8)+(0+(0.320586-0.118218))+0-33-0.0168299999999967</f>
        <v>363.98553800000002</v>
      </c>
      <c r="V172" s="3">
        <f>0+(676.6-263.6)+(0+(-1.035198--0.403308))+0-33--0.0504900000000019</f>
        <v>379.41860000000003</v>
      </c>
      <c r="W172" s="3">
        <f>0+(753.5-327)+(0+(-0.76857--0.33354))+0-33--0.0336600000000053</f>
        <v>393.09863000000001</v>
      </c>
      <c r="X172" s="3">
        <f>0+(664.3-269.3)+(0+(-1.355172--0.549372))+0-30--0.0611999999999987</f>
        <v>364.25539999999995</v>
      </c>
      <c r="Y172" s="3">
        <f>0+(770-358)+(0+(-0.3927--0.18258))+0-30--0.015299999999997</f>
        <v>381.80518000000001</v>
      </c>
      <c r="Z172" s="3">
        <f>0+(875-413)+(0+(-1.33875--0.63189))+0-30--0.0459000000000017</f>
        <v>431.33904000000001</v>
      </c>
      <c r="AA172" s="3">
        <f>0+(899.1-439)+(0+(-0.917082--0.44778))+0-30--0.0306000000000048</f>
        <v>429.66129799999999</v>
      </c>
      <c r="AB172" s="3">
        <f>0+(871.9-434.4)+(0+(0.444669-0.221544))+0-30-0.015299999999997</f>
        <v>407.70782499999996</v>
      </c>
      <c r="AC172" s="3">
        <f>0+(791.2-365)+(0+(-1.614048--0.7446))+0-30--0.0611999999999987</f>
        <v>395.39175200000005</v>
      </c>
      <c r="AD172">
        <f t="shared" si="2"/>
        <v>8171.9354030000004</v>
      </c>
      <c r="AE172" s="3">
        <f>0+(834.3-417.3)+(0+(0-0))+0-32-0</f>
        <v>384.99999999999994</v>
      </c>
    </row>
    <row r="173" spans="1:31" s="2" customFormat="1" x14ac:dyDescent="0.25">
      <c r="A173">
        <v>89</v>
      </c>
      <c r="B173">
        <v>6</v>
      </c>
      <c r="C173">
        <v>18</v>
      </c>
      <c r="D173">
        <v>6</v>
      </c>
      <c r="E173">
        <v>1</v>
      </c>
      <c r="F173" s="3">
        <f>0+(593.5-279)+(0+(0-0))+0-31-0</f>
        <v>283.5</v>
      </c>
      <c r="G173" s="3">
        <f>0+(483.8-186.5)+(0+(-0.493476--0.19023))+0-31--0.0316200000000049</f>
        <v>266.02837400000004</v>
      </c>
      <c r="H173" s="3">
        <f>0+(440.3-123.5)+(0+(0-0))+0-31-0</f>
        <v>285.8</v>
      </c>
      <c r="I173" s="3">
        <f>0+(357.4-59.8)+(0+(-0.364548--0.060996))+0-31--0.0316200000000049</f>
        <v>266.32806799999997</v>
      </c>
      <c r="J173" s="3">
        <f>0+(328.3-33.9)+(0+(0.167433-0.017289))+0-31-0.0158099999999969</f>
        <v>263.53433400000006</v>
      </c>
      <c r="K173" s="3">
        <f>0+(350.1-50.2)+(0+(0-0))+0-31-0</f>
        <v>268.90000000000003</v>
      </c>
      <c r="L173" s="3">
        <f>0+(423.3-122.2)+(0+(-0.431766--0.124644))+0-31--0.0316200000000049</f>
        <v>269.82449800000006</v>
      </c>
      <c r="M173" s="3">
        <f>0+(407.2-91.4)+(0+(0.207672-0.046614))+0-32-0.0163199999999968</f>
        <v>283.94473799999997</v>
      </c>
      <c r="N173" s="3">
        <f>0+(650.8-302.9)+(0+(-0.331908--0.154479))+0-31--0.0158099999999969</f>
        <v>316.73838099999995</v>
      </c>
      <c r="O173" s="3">
        <f>0+(646.8-262.5)+(0+(0-0))+0-31-0</f>
        <v>353.29999999999995</v>
      </c>
      <c r="P173" s="3">
        <f>0+(729.5-313.5)+(0+(0.372045-0.159885))+0-31-0.0158099999999969</f>
        <v>385.19635</v>
      </c>
      <c r="Q173" s="3">
        <f>0+(844.7-401.7)+(0+(0.430797-0.204867))+0-31-0.0158099999999969</f>
        <v>412.21012000000007</v>
      </c>
      <c r="R173" s="3">
        <f>0+(857.6-411.6)+(0+(-0.874752--0.419832))+0-32--0.0326400000000051</f>
        <v>413.57772</v>
      </c>
      <c r="S173" s="3">
        <f>0+(785.4-357.8)+(0+(-1.602216--0.729912))+0-31--0.0632399999999986</f>
        <v>395.79093599999999</v>
      </c>
      <c r="T173" s="3">
        <f>0+(783.7-363.8)+(0+(-0.799374--0.371076))+0-32--0.0326400000000051</f>
        <v>387.50434200000007</v>
      </c>
      <c r="U173" s="3">
        <f>0+(741.2-338.7)+(0+(0-0))+0-32-0</f>
        <v>370.50000000000006</v>
      </c>
      <c r="V173" s="3">
        <f>0+(702.8-312.4)+(0+(-0.716856--0.318648))+0-32--0.0326400000000051</f>
        <v>358.03443199999998</v>
      </c>
      <c r="W173" s="3">
        <f>0+(764.6-355.4)+(0+(-1.559784--0.725016))+0-31--0.0632399999999986</f>
        <v>377.42847200000006</v>
      </c>
      <c r="X173" s="3">
        <f>0+(794.6-381.8)+(0+(0.810492-0.389436))+0-30-0.0306000000000048</f>
        <v>383.19045600000004</v>
      </c>
      <c r="Y173" s="3">
        <f>0+(764.5-341.2)+(0+(0.389895-0.174012))+0-31-0.0158099999999969</f>
        <v>392.50007300000004</v>
      </c>
      <c r="Z173" s="3">
        <f>0+(842.9-399.5)+(0+(-0.859758--0.40749))+0-32--0.0326400000000051</f>
        <v>410.98037199999999</v>
      </c>
      <c r="AA173" s="3">
        <f>0+(799.1-375.5)+(0+(-0.815082--0.38301))+0-31--0.0316200000000049</f>
        <v>392.19954800000005</v>
      </c>
      <c r="AB173" s="3">
        <f>0+(712.3-310.6)+(0+(-0.726546--0.316812))+0-32--0.0326400000000051</f>
        <v>369.32290599999993</v>
      </c>
      <c r="AC173" s="3">
        <f>0+(565.2-202.9)+(0+(0-0))+0-32-0</f>
        <v>330.30000000000007</v>
      </c>
      <c r="AD173">
        <f t="shared" si="2"/>
        <v>8236.6341200000024</v>
      </c>
      <c r="AE173" s="3">
        <f>0+(805.8-398.9)+(0+(0-0))+0-31-0</f>
        <v>375.9</v>
      </c>
    </row>
    <row r="174" spans="1:31" s="2" customFormat="1" x14ac:dyDescent="0.25">
      <c r="A174">
        <v>89</v>
      </c>
      <c r="B174">
        <v>6</v>
      </c>
      <c r="C174">
        <v>19</v>
      </c>
      <c r="D174">
        <v>7</v>
      </c>
      <c r="E174">
        <v>3</v>
      </c>
      <c r="F174" s="3">
        <f>0+(533.4-184.9)+(0+(-1.088136--0.377196))+0-32--0.0652799999999986</f>
        <v>315.85433999999998</v>
      </c>
      <c r="G174" s="3">
        <f>0+(507.1-176.1)+(0+(-0.775863--0.269433))+0-32--0.0489600000000018</f>
        <v>298.54253</v>
      </c>
      <c r="H174" s="3">
        <f>0+(371.7-65.7)+(0+(-0.568701--0.100521))+0-32--0.0489600000000018</f>
        <v>273.58078</v>
      </c>
      <c r="I174" s="3">
        <f>0+(285.6-10)+(0+(-0.145656--0.0051))+0-32--0.0163199999999968</f>
        <v>243.47576400000003</v>
      </c>
      <c r="J174" s="3">
        <f>0+(275.5-10)+(0+(0-0))+0-31-0</f>
        <v>234.5</v>
      </c>
      <c r="K174" s="3">
        <f>0+(281.4-20)+(0+(0-0))+0-31-0</f>
        <v>230.39999999999998</v>
      </c>
      <c r="L174" s="3">
        <f>0+(297.9-40.1)+(0+(-1.063503--0.143157))+0-32--0.11424</f>
        <v>224.99389399999995</v>
      </c>
      <c r="M174" s="3">
        <f>0+(263.2-20)+(0+(-0.134232--0.0102))+0-32--0.0163199999999968</f>
        <v>211.092288</v>
      </c>
      <c r="N174" s="3">
        <f>0+(264-20)+(0+(0.6732-0.051))+0-31-0.0790499999999955</f>
        <v>213.54315</v>
      </c>
      <c r="O174" s="3">
        <f>0+(292.6-22.1)+(0+(-0.149226--0.011271))+0-32--0.0163199999999968</f>
        <v>238.37836500000003</v>
      </c>
      <c r="P174" s="3">
        <f>0+(374.7-81.5)+(0+(-0.382194--0.08313))+0-32--0.0326400000000051</f>
        <v>260.93357600000002</v>
      </c>
      <c r="Q174" s="3">
        <f>0+(402.7-104.6)+(0+(-0.205377--0.053346))+0-29--0.0147899999999971</f>
        <v>268.96275900000001</v>
      </c>
      <c r="R174" s="3">
        <f>0+(475.2-152.6)+(0+(-0.727056--0.233478))+0-31--0.0474300000000018</f>
        <v>291.15385200000003</v>
      </c>
      <c r="S174" s="3">
        <f>0+(523.2-193.8)+(0+(-0.533664--0.197676))+0-32--0.0326400000000051</f>
        <v>297.09665200000006</v>
      </c>
      <c r="T174" s="3">
        <f>0+(500.7-180.4)+(0+(-0.510714--0.184008))+0-31--0.0316200000000049</f>
        <v>289.00491399999999</v>
      </c>
      <c r="U174" s="3">
        <f>0+(416-105.9)+(0+(-0.21216--0.054009))+0-31--0.0158099999999969</f>
        <v>278.95765900000004</v>
      </c>
      <c r="V174" s="3">
        <f>0+(384.9-91.5)+(0+(-0.588897--0.139995))+0-31--0.0474300000000018</f>
        <v>261.99852800000002</v>
      </c>
      <c r="W174" s="3">
        <f>0+(376.5-68.4)+(0+(-1.15209--0.209304))+0-31--0.0948600000000036</f>
        <v>276.25207399999999</v>
      </c>
      <c r="X174" s="3">
        <f>0+(423.7-116.8)+(0+(-0.432174--0.119136))+0-32--0.0326400000000051</f>
        <v>274.61960199999999</v>
      </c>
      <c r="Y174" s="3">
        <f>0+(386.6-87.7)+(0+(-0.394332--0.089454))+0-32--0.0326400000000051</f>
        <v>266.62776200000008</v>
      </c>
      <c r="Z174" s="3">
        <f>0+(359.1-66.8)+(0+(-0.732564--0.136272))+0-32--0.0652799999999986</f>
        <v>259.76898799999998</v>
      </c>
      <c r="AA174" s="3">
        <f>0+(345.1-54.7)+(0+(-0.704004--0.111588))+0-32--0.0652799999999986</f>
        <v>257.87286399999999</v>
      </c>
      <c r="AB174" s="3">
        <f>0+(362.4-83.8)+(0+(-0.184824--0.042738))+0-31--0.0158099999999969</f>
        <v>247.47372399999995</v>
      </c>
      <c r="AC174" s="3">
        <f>0+(367.3-91.3)+(0+(-0.561969--0.139689))+0-31--0.0474300000000018</f>
        <v>244.62514999999999</v>
      </c>
      <c r="AD174">
        <f t="shared" si="2"/>
        <v>6259.7092149999989</v>
      </c>
      <c r="AE174" s="3">
        <f>0+(347.7-55.1)+(0+(0-0))+0-32-0</f>
        <v>260.59999999999997</v>
      </c>
    </row>
    <row r="175" spans="1:31" s="2" customFormat="1" x14ac:dyDescent="0.25">
      <c r="A175">
        <v>89</v>
      </c>
      <c r="B175">
        <v>6</v>
      </c>
      <c r="C175">
        <v>20</v>
      </c>
      <c r="D175">
        <v>1</v>
      </c>
      <c r="E175">
        <v>1</v>
      </c>
      <c r="F175" s="3">
        <f>0+(343.5-61.4)+(0+(-0.70074--0.125256))+0-32--0.0652799999999986</f>
        <v>249.58979600000001</v>
      </c>
      <c r="G175" s="3">
        <f>0+(356.9-96.4)+(0+(-0.546057--0.147492))+0-31--0.0474300000000018</f>
        <v>229.14886499999997</v>
      </c>
      <c r="H175" s="3">
        <f>0+(389.5-149.5)+(0+(-1.19187--0.45747))+0-31--0.0948600000000036</f>
        <v>208.36046000000002</v>
      </c>
      <c r="I175" s="3">
        <f>0+(397.3-170.8)+(0+(-0.405246--0.174216))+0-31--0.0316200000000049</f>
        <v>195.30059</v>
      </c>
      <c r="J175" s="3">
        <f>0+(375.1-164.2)+(0+(-0.382602--0.167484))+0-31--0.0316200000000049</f>
        <v>179.71650200000005</v>
      </c>
      <c r="K175" s="3">
        <f>0+(373.3-157.1)+(0+(0-0))+0-32-0</f>
        <v>184.20000000000002</v>
      </c>
      <c r="L175" s="3">
        <f>0+(362.3-126.1)+(0+(-1.293411--0.450177))+0-31--0.11067</f>
        <v>204.46743600000002</v>
      </c>
      <c r="M175" s="3">
        <f>0+(394.8-163.9)+(0+(-0.604044--0.250767))+0-31--0.0474300000000018</f>
        <v>199.59415300000001</v>
      </c>
      <c r="N175" s="3">
        <f>0+(401.7-156.4)+(0+(-0.614601--0.239292))+0-31--0.0474300000000018</f>
        <v>213.97212099999999</v>
      </c>
      <c r="O175" s="3">
        <f>0+(426-161.7)+(0+(-0.21726--0.082467))+0-30--0.015299999999997</f>
        <v>234.18050700000001</v>
      </c>
      <c r="P175" s="3">
        <f>0+(442.1-162.9)+(0+(-0.450942--0.166158))+0-32--0.0326400000000051</f>
        <v>246.94785600000006</v>
      </c>
      <c r="Q175" s="3">
        <f>0+(414.1-116.4)+(0+(-0.211191--0.059364))+0-32--0.0163199999999968</f>
        <v>265.56449300000003</v>
      </c>
      <c r="R175" s="3">
        <f>0+(416.7-119.1)+(0+(-0.212517--0.060741))+0-32--0.0163199999999968</f>
        <v>265.46454400000005</v>
      </c>
      <c r="S175" s="3">
        <f>0+(394.4-75.9)+(0+(-0.402288--0.077418))+0-32--0.0326400000000051</f>
        <v>286.20777000000004</v>
      </c>
      <c r="T175" s="3">
        <f>0+(413.4-91)+(0+(0.210834-0.04641))+0-31-0.0158099999999969</f>
        <v>291.54861399999999</v>
      </c>
      <c r="U175" s="3">
        <f>0+(424.4-103.8)+(0+(-0.432888--0.105876))+0-32--0.0326400000000051</f>
        <v>288.30562799999996</v>
      </c>
      <c r="V175" s="3">
        <f>0+(424.8-100.2)+(0+(0-0))+0-31-0</f>
        <v>293.60000000000002</v>
      </c>
      <c r="W175" s="3">
        <f>0+(426.4-111)+(0+(-1.08732--0.28305))+0-32--0.0815999999999954</f>
        <v>282.67732999999998</v>
      </c>
      <c r="X175" s="3">
        <f>0+(417.9-114.8)+(0+(-1.278774--0.351288))+0-32--0.0979200000000037</f>
        <v>270.27043399999997</v>
      </c>
      <c r="Y175" s="3">
        <f>0+(461.1-159.6)+(0+(-0.235161--0.081396))+0-32--0.0163199999999968</f>
        <v>269.36255499999999</v>
      </c>
      <c r="Z175" s="3">
        <f>0+(401.9-108)+(0+(-0.409938--0.11016))+0-32--0.0326400000000051</f>
        <v>261.63286199999999</v>
      </c>
      <c r="AA175" s="3">
        <f>0+(386.5-82.6)+(0+(-0.78846--0.168504))+0-32--0.0652799999999986</f>
        <v>271.34532399999995</v>
      </c>
      <c r="AB175" s="3">
        <f>0+(419.3-120.1)+(0+(-0.641529--0.183753))+0-32--0.0489600000000018</f>
        <v>266.79118400000004</v>
      </c>
      <c r="AC175" s="3">
        <f>0+(431.4-130)+(0+(-1.10007--0.3315))+0-31--0.0790499999999955</f>
        <v>269.71047999999996</v>
      </c>
      <c r="AD175">
        <f t="shared" si="2"/>
        <v>5927.9595039999986</v>
      </c>
      <c r="AE175" s="3">
        <f>0+(414.4-76.1)+(0+(0-0))+0-30-0</f>
        <v>308.29999999999995</v>
      </c>
    </row>
    <row r="176" spans="1:31" s="2" customFormat="1" x14ac:dyDescent="0.25">
      <c r="A176">
        <v>89</v>
      </c>
      <c r="B176">
        <v>6</v>
      </c>
      <c r="C176">
        <v>21</v>
      </c>
      <c r="D176">
        <v>2</v>
      </c>
      <c r="E176">
        <v>1</v>
      </c>
      <c r="F176" s="3">
        <f>0+(377.1-87.2)+(0+(-0.576963--0.133416))+0-32--0.0489600000000018</f>
        <v>257.50541300000003</v>
      </c>
      <c r="G176" s="3">
        <f>0+(294.5-30)+(0+(-0.150195--0.0153))+0-32--0.0163199999999968</f>
        <v>232.38142500000004</v>
      </c>
      <c r="H176" s="3">
        <f>0+(289.2-30)+(0+(-0.294984--0.0306))+0-32--0.0326400000000051</f>
        <v>226.968256</v>
      </c>
      <c r="I176" s="3">
        <f>0+(284.7-32.1)+(0+(-0.435591--0.049113))+0-32--0.0489600000000018</f>
        <v>220.26248199999998</v>
      </c>
      <c r="J176" s="3">
        <f>0+(300.2-42.6)+(0+(-0.459306--0.065178))+0-24--0.0367200000000014</f>
        <v>233.24259199999995</v>
      </c>
      <c r="K176" s="3">
        <f>0+(295.5-32.4)+(0+(0-0))+0-31-0</f>
        <v>232.10000000000002</v>
      </c>
      <c r="L176" s="3">
        <f>0+(296.2-25)+(0+(-0.75531--0.06375))+0-30--0.0764999999999956</f>
        <v>240.58493999999999</v>
      </c>
      <c r="M176" s="3">
        <f>0+(331.1-31.4)+(0+(0-0))+0-32-0</f>
        <v>267.70000000000005</v>
      </c>
      <c r="N176" s="3">
        <f>0+(430.1-95.8)+(0+(0.219351-0.048858))+0-32-0.0163199999999968</f>
        <v>302.45417300000003</v>
      </c>
      <c r="O176" s="3">
        <f>0+(363.4-41.7)+(0+(-0.556002--0.063801))+0-32--0.0489600000000018</f>
        <v>289.25675899999999</v>
      </c>
      <c r="P176" s="3">
        <f>0+(391-54.7)+(0+(0-0))+0-31-0</f>
        <v>305.3</v>
      </c>
      <c r="Q176" s="3">
        <f>0+(467.1-96.2)+(0+(0-0))+0-31-0</f>
        <v>339.90000000000003</v>
      </c>
      <c r="R176" s="3">
        <f>0+(522.6-148.9)+(0+(-0.799578--0.227817))+0-31--0.0474300000000018</f>
        <v>342.17566900000008</v>
      </c>
      <c r="S176" s="3">
        <f>0+(715.2-296.2)+(0+(-1.82376--0.75531))+0-31--0.0790499999999955</f>
        <v>387.01060000000007</v>
      </c>
      <c r="T176" s="3">
        <f>0+(716.7-343.1)+(0+(0-0))+0-32-0</f>
        <v>341.6</v>
      </c>
      <c r="U176" s="3">
        <f>0+(698.3-293.9)+(0+(0.712266-0.299778))+0-32-0.0326400000000051</f>
        <v>372.77984799999996</v>
      </c>
      <c r="V176" s="3">
        <f>0+(639.1-247.3)+(0+(-1.303764--0.504492))+0-32--0.0652799999999986</f>
        <v>359.06600800000001</v>
      </c>
      <c r="W176" s="3">
        <f>0+(623.7-230.7)+(0+(-1.272348--0.470628))+0-32--0.0652799999999986</f>
        <v>360.26356000000004</v>
      </c>
      <c r="X176" s="3">
        <f>0+(578.9-206.4)+(0+(-0.295239--0.105264))+0-31--0.0158099999999969</f>
        <v>341.32583499999998</v>
      </c>
      <c r="Y176" s="3">
        <f>0+(502.8-122.7)+(0+(-0.256428--0.062577))+0-32--0.0163199999999968</f>
        <v>347.92246900000004</v>
      </c>
      <c r="Z176" s="3">
        <f>0+(615.6-211)+(0+(-0.941868--0.32283))+0-27--0.0413100000000016</f>
        <v>377.02227200000004</v>
      </c>
      <c r="AA176" s="3">
        <f>0+(661.9-280.7)+(0+(-2.362983--1.002099))+0-32--0.11424</f>
        <v>347.95335599999999</v>
      </c>
      <c r="AB176" s="3">
        <f>0+(494.6-136.7)+(0+(-0.252246--0.069717))+0-31--0.0158099999999969</f>
        <v>326.73328100000003</v>
      </c>
      <c r="AC176" s="3">
        <f>0+(576.4-224.1)+(0+(-0.587928--0.228582))+0-31--0.0316200000000049</f>
        <v>320.97227399999997</v>
      </c>
      <c r="AD176">
        <f t="shared" si="2"/>
        <v>7372.4812120000006</v>
      </c>
      <c r="AE176" s="3">
        <f>0+(627.5-241.9)+(0+(0-0))+0-31-0</f>
        <v>354.6</v>
      </c>
    </row>
    <row r="177" spans="1:31" s="2" customFormat="1" x14ac:dyDescent="0.25">
      <c r="A177">
        <v>89</v>
      </c>
      <c r="B177">
        <v>6</v>
      </c>
      <c r="C177">
        <v>22</v>
      </c>
      <c r="D177">
        <v>3</v>
      </c>
      <c r="E177">
        <v>1</v>
      </c>
      <c r="F177" s="3">
        <f>0+(512-189.3)+(0+(-1.04448--0.386172))+0-30--0.0611999999999987</f>
        <v>292.102892</v>
      </c>
      <c r="G177" s="3">
        <f>0+(370.5-70.4)+(0+(-0.188955--0.035904))+0-32--0.0163199999999968</f>
        <v>267.96326900000003</v>
      </c>
      <c r="H177" s="3">
        <f>0+(332.4-44.1)+(0+(-0.339048--0.044982))+0-31--0.0316200000000049</f>
        <v>257.037554</v>
      </c>
      <c r="I177" s="3">
        <f>0+(367-77.4)+(0+(-0.56151--0.118422))+0-29--0.0443700000000017</f>
        <v>260.20128200000005</v>
      </c>
      <c r="J177" s="3">
        <f>0+(352.9-62.5)+(0+(-0.359958--0.06375))+0-30--0.0306000000000048</f>
        <v>260.13439199999999</v>
      </c>
      <c r="K177" s="3">
        <f>0+(385.9-91)+(0+(0.787236-0.18564))+0-31-0.0632399999999986</f>
        <v>264.43835599999994</v>
      </c>
      <c r="L177" s="3">
        <f>0+(378.9-79.2)+(0+(-0.772956--0.161568))+0-27--0.0550799999999988</f>
        <v>272.14369199999999</v>
      </c>
      <c r="M177" s="3">
        <f>0+(352.7-46.3)+(0+(0.539631-0.070839))+0-21-0.0321300000000012</f>
        <v>285.83666199999999</v>
      </c>
      <c r="N177" s="3">
        <f>0+(468.1-126.5)+(0+(-0.238731--0.064515))+0-30--0.015299999999997</f>
        <v>311.44108400000005</v>
      </c>
      <c r="O177" s="3">
        <f>0+(512.6-128.1)+(0+(0.261426-0.065331))+0-30-0.015299999999997</f>
        <v>354.68079499999999</v>
      </c>
      <c r="P177" s="3">
        <f>0+(569.9-170)+(0+(0.581298-0.1734))+0-31-0.0316200000000049</f>
        <v>369.27627799999993</v>
      </c>
      <c r="Q177" s="3">
        <f>0+(670.9-274.6)+(0+(-0.342159--0.140046))+0-31--0.0158099999999969</f>
        <v>365.11369699999995</v>
      </c>
      <c r="R177" s="3">
        <f>0+(749.7-319.6)+(0+(0-0))+0-31-0</f>
        <v>399.1</v>
      </c>
      <c r="S177" s="3">
        <f>0+(775-359.9)+(0+(-0.7905--0.367098))+0-31--0.0316200000000049</f>
        <v>383.70821800000004</v>
      </c>
      <c r="T177" s="3">
        <f>0+(716.8-341.8)+(0+(0-0))+0-30-0</f>
        <v>344.99999999999994</v>
      </c>
      <c r="U177" s="3">
        <f>0+(738.7-368.8)+(0+(0-0))+0-31-0</f>
        <v>338.90000000000003</v>
      </c>
      <c r="V177" s="3">
        <f>0+(806.3-431.1)+(0+(-2.056065--1.099305))+0-31--0.0790499999999955</f>
        <v>343.32228999999995</v>
      </c>
      <c r="W177" s="3">
        <f>0+(763.2-394.9)+(0+(-2.335392--1.208394))+0-31--0.0948600000000036</f>
        <v>336.26786200000004</v>
      </c>
      <c r="X177" s="3">
        <f>0+(579.7-221.3)+(0+(-0.886941--0.338589))+0-31--0.0474300000000018</f>
        <v>326.89907800000003</v>
      </c>
      <c r="Y177" s="3">
        <f>0+(643.9-256.2)+(0+(-0.656778--0.261324))+0-31--0.0316200000000049</f>
        <v>356.33616600000005</v>
      </c>
      <c r="Z177" s="3">
        <f>0+(736.3-344.6)+(0+(-1.126539--0.527238))+0-31--0.0474300000000018</f>
        <v>360.14812899999993</v>
      </c>
      <c r="AA177" s="3">
        <f>0+(679-299)+(0+(-1.03887--0.45747))+0-32--0.0489600000000018</f>
        <v>347.46756000000005</v>
      </c>
      <c r="AB177" s="3">
        <f>0+(601.6-236)+(0+(-1.227264--0.48144))+0-31--0.0632399999999986</f>
        <v>333.917416</v>
      </c>
      <c r="AC177" s="3">
        <f>0+(641.9-283.6)+(0+(-0.654738--0.289272))+0-31--0.0316200000000049</f>
        <v>326.96615399999996</v>
      </c>
      <c r="AD177">
        <f t="shared" si="2"/>
        <v>7758.4028259999995</v>
      </c>
      <c r="AE177" s="3">
        <f>0+(728.8-332.8)+(0+(0-0))+0-31-0</f>
        <v>364.99999999999994</v>
      </c>
    </row>
    <row r="178" spans="1:31" s="2" customFormat="1" x14ac:dyDescent="0.25">
      <c r="A178">
        <v>89</v>
      </c>
      <c r="B178">
        <v>6</v>
      </c>
      <c r="C178">
        <v>23</v>
      </c>
      <c r="D178">
        <v>4</v>
      </c>
      <c r="E178">
        <v>1</v>
      </c>
      <c r="F178" s="3">
        <f>0+(461.2-120.5)+(0+(-0.705636--0.184365))+0-4--0.00612000000000023</f>
        <v>336.18484899999999</v>
      </c>
      <c r="G178" s="3">
        <f>0+(351.8-21.2)+(0+(-0.538254--0.032436))+0-4--0.00612000000000023</f>
        <v>326.10030200000006</v>
      </c>
      <c r="H178" s="3">
        <f>0+(354.8-31.6)+(0+(-0.180948--0.016116))+0-4--0.00203999999999959</f>
        <v>319.03720800000002</v>
      </c>
      <c r="I178" s="3">
        <f>0+(345.6-21)+(0+(-0.528768--0.03213))+0-5--0.00765000000000029</f>
        <v>319.11101200000002</v>
      </c>
      <c r="J178" s="3">
        <f>0+(331-13.4)+(0+(-0.84405--0.03417))+0-4--0.0101999999999994</f>
        <v>312.80032</v>
      </c>
      <c r="K178" s="3">
        <f>0+(343.3-24.3)+(0+(-0.175083--0.012393))+0-6--0.00305999999999939</f>
        <v>312.84037000000001</v>
      </c>
      <c r="L178" s="3">
        <f>0+(332.8-12.1)+(0+(-0.678912--0.024684))+0-5--0.0101999999999998</f>
        <v>315.055972</v>
      </c>
      <c r="M178" s="3">
        <f>0+(350.1-14.3)+(0+(0-0))+0-4-0</f>
        <v>331.8</v>
      </c>
      <c r="N178" s="3">
        <f>0+(384.2-25.9)+(0+(-0.391884--0.026418))+0-4--0.00408000000000064</f>
        <v>353.93861399999997</v>
      </c>
      <c r="O178" s="3">
        <f>0+(531.8-151.6)+(0+(-0.813654--0.231948))+0-5--0.00765000000000029</f>
        <v>374.62594399999995</v>
      </c>
      <c r="P178" s="3">
        <f>0+(563-197.3)+(0+(-0.28713--0.100623))+0-5--0.00254999999999949</f>
        <v>360.51604299999997</v>
      </c>
      <c r="Q178" s="3">
        <f>0+(558.4-179.8)+(0+(-0.569568--0.183396))+0-4--0.00408000000000064</f>
        <v>374.21790799999997</v>
      </c>
      <c r="R178" s="3">
        <f>0+(659.4-276.8)+(0+(-1.68147--0.70584))+0-4--0.0101999999999994</f>
        <v>377.63456999999994</v>
      </c>
      <c r="S178" s="3">
        <f>0+(732.7-357.5)+(0+(-1.494708--0.7293))+0-4--0.00815999999999983</f>
        <v>370.44275200000004</v>
      </c>
      <c r="T178" s="3">
        <f>0+(767.3-408.8)+(0+(-0.391323--0.208488))+0-5--0.00254999999999949</f>
        <v>353.31971499999992</v>
      </c>
      <c r="U178" s="3">
        <f>0+(777.5-418.9)+(0+(-1.5861--0.854556))+0-5--0.0101999999999998</f>
        <v>352.87865600000003</v>
      </c>
      <c r="V178" s="3">
        <f>0+(770.9-397.3)+(0+(-0.786318--0.405246))+0-6--0.00612000000000096</f>
        <v>367.22504799999996</v>
      </c>
      <c r="W178" s="3">
        <f>0+(683.9-320.8)+(0+(-0.697578--0.327216))+0-7--0.00714000000000112</f>
        <v>355.73677799999996</v>
      </c>
      <c r="X178" s="3">
        <f>0+(535-178.7)+(0+(-0.5457--0.182274))+0-8--0.00816000000000128</f>
        <v>347.94473399999998</v>
      </c>
      <c r="Y178" s="3">
        <f>0+(553.9-173.5)+(0+(-0.847467--0.265455))+0-8--0.0122400000000005</f>
        <v>371.83022799999998</v>
      </c>
      <c r="Z178" s="3">
        <f>0+(801.3-405.5)+(0+(-1.225989--0.620415))+0-10--0.0153000000000006</f>
        <v>385.20972599999999</v>
      </c>
      <c r="AA178" s="3">
        <f>0+(757.9-371.3)+(0+(-1.932645--0.946815))+0-11--0.0280499999999984</f>
        <v>374.64221999999995</v>
      </c>
      <c r="AB178" s="3">
        <f>0+(662.5-291.8)+(0+(-0.67575--0.297636))+0-13--0.0132600000000021</f>
        <v>357.33514600000001</v>
      </c>
      <c r="AC178" s="3">
        <f>0+(524.3-172.3)+(0+(-0.534786--0.175746))+0-14--0.0142800000000022</f>
        <v>337.65523999999994</v>
      </c>
      <c r="AD178">
        <f t="shared" si="2"/>
        <v>8388.0833550000007</v>
      </c>
      <c r="AE178" s="3">
        <f>0+(800.6-400.9)+(0+(0-0))+0-9-0</f>
        <v>390.70000000000005</v>
      </c>
    </row>
    <row r="179" spans="1:31" s="2" customFormat="1" x14ac:dyDescent="0.25">
      <c r="A179">
        <v>89</v>
      </c>
      <c r="B179">
        <v>6</v>
      </c>
      <c r="C179">
        <v>24</v>
      </c>
      <c r="D179">
        <v>5</v>
      </c>
      <c r="E179">
        <v>1</v>
      </c>
      <c r="F179" s="3">
        <f>0+(408.2-70.7)+(0+(-0.416364--0.072114))+0-1--0.00102000000000016</f>
        <v>336.15676999999999</v>
      </c>
      <c r="G179" s="3">
        <f>0+(332.8-6.2)+(0+(-0.169728--0.003162))+0-10--0.00509999999999899</f>
        <v>316.43853400000006</v>
      </c>
      <c r="H179" s="3">
        <f>0+(316.9-0)+(0+(0.484857-0))+0-12-0.0183600000000007</f>
        <v>305.36649699999998</v>
      </c>
      <c r="I179" s="3">
        <f>0+(324.2-7)+(0+(0-0))+0-22-0</f>
        <v>295.2</v>
      </c>
      <c r="J179" s="3">
        <f>0+(320.5-4.1)+(0+(-0.32691--0.004182))+0-24--0.0244800000000038</f>
        <v>292.10175199999998</v>
      </c>
      <c r="K179" s="3">
        <f>0+(322.9-0)+(0+(0-0))+0-25-0</f>
        <v>297.89999999999998</v>
      </c>
      <c r="L179" s="3">
        <f>0+(334.9-1.9)+(0+(-0.512397--0.002907))+0-28--0.0428400000000016</f>
        <v>304.53334999999998</v>
      </c>
      <c r="M179" s="3">
        <f>0+(347-0)+(0+(-0.35394-0))+0-31--0.0316200000000049</f>
        <v>315.67768000000001</v>
      </c>
      <c r="N179" s="3">
        <f>0+(376.4-13.9)+(0+(0.191964-0.007089))+0-30-0.015299999999997</f>
        <v>332.66957499999995</v>
      </c>
      <c r="O179" s="3">
        <f>0+(390.8-28.9)+(0+(-0.199308--0.014739))+0-30--0.015299999999997</f>
        <v>331.73073100000005</v>
      </c>
      <c r="P179" s="3">
        <f>0+(467.8-97.9)+(0+(0-0))+0-30-0</f>
        <v>339.9</v>
      </c>
      <c r="Q179" s="3">
        <f>0+(502.5-123.6)+(0+(0.256275-0.063036))+0-6-0.00305999999999939</f>
        <v>373.09017899999998</v>
      </c>
      <c r="R179" s="3">
        <f>0+(530.9-153.1)+(0+(-0.270759--0.078081))+0-5--0.00254999999999949</f>
        <v>372.60987199999994</v>
      </c>
      <c r="S179" s="3">
        <f>0+(576.7-210.5)+(0+(-0.294117--0.107355))+0-6--0.00305999999999939</f>
        <v>360.01629800000006</v>
      </c>
      <c r="T179" s="3">
        <f>0+(593.9-222.2)+(0+(-0.908667--0.339966))+0-7--0.0107100000000004</f>
        <v>364.14200900000003</v>
      </c>
      <c r="U179" s="3">
        <f>0+(569.7-208)+(0+(0.581094-0.21216))+0-7-0.00714000000000112</f>
        <v>355.06179400000008</v>
      </c>
      <c r="V179" s="3">
        <f>0+(574.4-213.1)+(0+(0-0))+0-8-0</f>
        <v>353.29999999999995</v>
      </c>
      <c r="W179" s="3">
        <f>0+(527.4-175.5)+(0+(-1.075896--0.35802))+0-8--0.0163199999999997</f>
        <v>343.19844399999999</v>
      </c>
      <c r="X179" s="3">
        <f>0+(464.5-117.3)+(0+(0.236895-0.059823))+0-9-0.00458999999999909</f>
        <v>338.37248199999999</v>
      </c>
      <c r="Y179" s="3">
        <f>0+(514.3-143.8)+(0+(-0.262293--0.073338))+0-10--0.00509999999999899</f>
        <v>360.31614499999995</v>
      </c>
      <c r="Z179" s="3">
        <f>0+(507.9-146.2)+(0+(-1.295145--0.37281))+0-10--0.0254999999999985</f>
        <v>350.80316500000004</v>
      </c>
      <c r="AA179" s="3">
        <f>0+(573.3-220.3)+(0+(-1.461915--0.561765))+0-12--0.0305999999999983</f>
        <v>340.13044999999994</v>
      </c>
      <c r="AB179" s="3">
        <f>0+(581.4-237.4)+(0+(-1.186056--0.484296))+0-14--0.0285599999999994</f>
        <v>329.32680000000005</v>
      </c>
      <c r="AC179" s="3">
        <f>0+(534.9-205.1)+(0+(-0.272799--0.104601))+0-14--0.00713999999999858</f>
        <v>315.63894199999993</v>
      </c>
      <c r="AD179">
        <f t="shared" si="2"/>
        <v>8023.6814689999992</v>
      </c>
      <c r="AE179" s="3">
        <f>0+(595.7-230.4)+(0+(0-0))+0-10-0</f>
        <v>355.30000000000007</v>
      </c>
    </row>
    <row r="180" spans="1:31" s="2" customFormat="1" x14ac:dyDescent="0.25">
      <c r="A180">
        <v>89</v>
      </c>
      <c r="B180">
        <v>6</v>
      </c>
      <c r="C180">
        <v>25</v>
      </c>
      <c r="D180">
        <v>6</v>
      </c>
      <c r="E180">
        <v>1</v>
      </c>
      <c r="F180" s="3">
        <f>0+(369.9-46.2)+(0+(-0.943245--0.11781))+0-14--0.035699999999998</f>
        <v>308.91026499999998</v>
      </c>
      <c r="G180" s="3">
        <f>0+(313.4-0)+(0+(-0.639336-0))+0-16--0.0326399999999993</f>
        <v>296.79330399999998</v>
      </c>
      <c r="H180" s="3">
        <f>0+(307.5-0)+(0+(0.156825-0))+0-17-0.00866999999999828</f>
        <v>290.64815500000003</v>
      </c>
      <c r="I180" s="3">
        <f>0+(303.9-0)+(0+(-0.929934-0))+0-18--0.0550800000000021</f>
        <v>285.02514599999995</v>
      </c>
      <c r="J180" s="3">
        <f>0+(333.6-27.1)+(0+(0.170136-0.013821))+0-20-0.010199999999998</f>
        <v>286.64611500000001</v>
      </c>
      <c r="K180" s="3">
        <f>0+(343.3-28.2)+(0+(0-0))+0-21-0</f>
        <v>294.10000000000002</v>
      </c>
      <c r="L180" s="3">
        <f>0+(348.9-32.1)+(0+(-0.889695--0.081855))+0-21--0.053549999999997</f>
        <v>295.04570999999993</v>
      </c>
      <c r="M180" s="3">
        <f>0+(381.7-53.6)+(0+(0.194667-0.027336))+0-20-0.010199999999998</f>
        <v>308.25713099999996</v>
      </c>
      <c r="N180" s="3">
        <f>0+(361.6-12.4)+(0+(-0.368832--0.012648))+0-20--0.0204000000000032</f>
        <v>328.86421600000006</v>
      </c>
      <c r="O180" s="3">
        <f>0+(455.6-82.8)+(0+(-0.232356--0.042228))+0-24--0.0122399999999976</f>
        <v>348.62211200000002</v>
      </c>
      <c r="P180" s="3">
        <f>0+(438.7-57.4)+(0+(-0.671211--0.087822))+0-26--0.0397800000000015</f>
        <v>354.75639100000001</v>
      </c>
      <c r="Q180" s="3">
        <f>0+(511.2-123.5)+(0+(-1.30356--0.314925))+0-28--0.0713999999999959</f>
        <v>358.78276499999998</v>
      </c>
      <c r="R180" s="3">
        <f>0+(543-155.3)+(0+(-3.04623--0.871233))+0-28--0.157079999999999</f>
        <v>357.68208299999998</v>
      </c>
      <c r="S180" s="3">
        <f>0+(598.9-220.3)+(0+(-0.610878--0.224706))+0-30--0.0306000000000048</f>
        <v>348.24442799999997</v>
      </c>
      <c r="T180" s="3">
        <f>0+(652.7-279.7)+(0+(-0.665754--0.285294))+0-29--0.0295800000000046</f>
        <v>343.64912000000004</v>
      </c>
      <c r="U180" s="3">
        <f>0+(550.3-185.7)+(0+(-0.280653--0.094707))+0-30--0.015299999999997</f>
        <v>334.42935399999999</v>
      </c>
      <c r="V180" s="3">
        <f>0+(530.8-174)+(0+(-0.541416--0.17748))+0-30--0.0306000000000048</f>
        <v>326.46666399999992</v>
      </c>
      <c r="W180" s="3">
        <f>0+(513.7-161.2)+(0+(-1.309935--0.41106))+0-29--0.0739499999999958</f>
        <v>322.67507500000005</v>
      </c>
      <c r="X180" s="3">
        <f>0+(456.5-102.9)+(0+(-0.232815--0.052479))+0-30--0.015299999999997</f>
        <v>323.43496400000004</v>
      </c>
      <c r="Y180" s="3">
        <f>0+(516.6-134.3)+(0+(0-0))+0-30-0</f>
        <v>352.3</v>
      </c>
      <c r="Z180" s="3">
        <f>0+(526.8-150.9)+(0+(-0.268668--0.076959))+0-30--0.015299999999997</f>
        <v>345.723591</v>
      </c>
      <c r="AA180" s="3">
        <f>0+(545.7-179.9)+(0+(-0.834921--0.275247))+0-30--0.0459000000000017</f>
        <v>335.28622600000011</v>
      </c>
      <c r="AB180" s="3">
        <f>0+(607.9-249.8)+(0+(-1.240116--0.509592))+0-30--0.0611999999999987</f>
        <v>327.43067599999995</v>
      </c>
      <c r="AC180" s="3">
        <f>0+(657.9-311.4)+(0+(-1.006587--0.476442))+0-30--0.0459000000000017</f>
        <v>316.01575500000001</v>
      </c>
      <c r="AD180">
        <f t="shared" si="2"/>
        <v>7789.7892459999994</v>
      </c>
      <c r="AE180" s="3">
        <f>0+(547.2-157.1)+(0+(0-0))+0-30-0</f>
        <v>360.1</v>
      </c>
    </row>
    <row r="181" spans="1:31" s="2" customFormat="1" x14ac:dyDescent="0.25">
      <c r="A181">
        <v>89</v>
      </c>
      <c r="B181">
        <v>6</v>
      </c>
      <c r="C181">
        <v>26</v>
      </c>
      <c r="D181">
        <v>7</v>
      </c>
      <c r="E181">
        <v>1</v>
      </c>
      <c r="F181" s="3">
        <f>0+(411.9-77.2)+(0+(-0.840276--0.157488))+0-30--0.0611999999999987</f>
        <v>304.07841199999996</v>
      </c>
      <c r="G181" s="3">
        <f>0+(372.4-59.1)+(0+(-0.94962--0.150705))+0-30--0.0764999999999956</f>
        <v>282.57758499999994</v>
      </c>
      <c r="H181" s="3">
        <f>0+(325-26.9)+(0+(0.16575-0.013719))+0-29-0.0147899999999971</f>
        <v>269.23724100000004</v>
      </c>
      <c r="I181" s="3">
        <f>0+(335.5-36.9)+(0+(0.171105-0.018819))+0-29-0.0147899999999971</f>
        <v>269.73749600000002</v>
      </c>
      <c r="J181" s="3">
        <f>0+(332.8-35.5)+(0+(0-0))+0-30-0</f>
        <v>267.3</v>
      </c>
      <c r="K181" s="3">
        <f>0+(303.6-10.8)+(0+(0.154836-0.005508))+0-30-0.015299999999997</f>
        <v>262.93402800000001</v>
      </c>
      <c r="L181" s="3">
        <f>0+(308-21)+(0+(-0.7854--0.05355))+0-30--0.0764999999999956</f>
        <v>256.34465</v>
      </c>
      <c r="M181" s="3">
        <f>0+(314.7-30.6)+(0+(-0.481491--0.046818))+0-31--0.0474300000000018</f>
        <v>252.71275699999998</v>
      </c>
      <c r="N181" s="3">
        <f>0+(303.4-12.5)+(0+(0-0))+0-31-0</f>
        <v>259.89999999999998</v>
      </c>
      <c r="O181" s="3">
        <f>0+(329.4-34.9)+(0+(-0.167994--0.017799))+0-31--0.0158099999999969</f>
        <v>263.36561499999999</v>
      </c>
      <c r="P181" s="3">
        <f>0+(305.5-7)+(0+(-0.31161--0.00714))+0-31--0.0316200000000049</f>
        <v>267.22715000000005</v>
      </c>
      <c r="Q181" s="3">
        <f>0+(306.5-0)+(0+(-0.468945-0))+0-31--0.0474300000000018</f>
        <v>275.078485</v>
      </c>
      <c r="R181" s="3">
        <f>0+(336.5-30.2)+(0+(0-0))+0-32-0</f>
        <v>274.3</v>
      </c>
      <c r="S181" s="3">
        <f>0+(378.6-74.4)+(0+(-0.386172--0.075888))+0-32--0.0326400000000051</f>
        <v>271.92235600000004</v>
      </c>
      <c r="T181" s="3">
        <f>0+(378.4-78.8)+(0+(-0.771936--0.160752))+0-32--0.0652799999999986</f>
        <v>267.05409599999996</v>
      </c>
      <c r="U181" s="3">
        <f>0+(402.3-107.2)+(0+(-0.410346--0.109344))+0-31--0.0316200000000049</f>
        <v>263.83061800000007</v>
      </c>
      <c r="V181" s="3">
        <f>0+(391.4-98.3)+(0+(-0.399228--0.100266))+0-32--0.0326400000000051</f>
        <v>260.83367799999996</v>
      </c>
      <c r="W181" s="3">
        <f>0+(328.5-33)+(0+(-0.167535--0.01683))+0-31--0.0158099999999969</f>
        <v>264.36510499999997</v>
      </c>
      <c r="X181" s="3">
        <f>0+(318.6-25.2)+(0+(-0.487458--0.038556))+0-32--0.0489600000000018</f>
        <v>261.00005800000008</v>
      </c>
      <c r="Y181" s="3">
        <f>0+(370.5-29.6)+(0+(-0.566865--0.045288))+0-31--0.0474300000000018</f>
        <v>309.42585300000002</v>
      </c>
      <c r="Z181" s="3">
        <f>0+(425.5-77.2)+(0+(0-0))+0-31-0</f>
        <v>317.3</v>
      </c>
      <c r="AA181" s="3">
        <f>0+(431-87.8)+(0+(-1.53867--0.313446))+0-31--0.11067</f>
        <v>311.08544599999999</v>
      </c>
      <c r="AB181" s="3">
        <f>0+(473.1-135.9)+(0+(-0.965124--0.277236))+0-31--0.0632399999999986</f>
        <v>305.57535200000007</v>
      </c>
      <c r="AC181" s="3">
        <f>0+(436.4-111)+(0+(-0.445128--0.11322))+0-30--0.0306000000000048</f>
        <v>295.09869199999997</v>
      </c>
      <c r="AD181">
        <f t="shared" si="2"/>
        <v>6632.2846729999992</v>
      </c>
      <c r="AE181" s="3">
        <f>0+(407.6-51.1)+(0+(0-0))+0-32-0</f>
        <v>324.5</v>
      </c>
    </row>
    <row r="182" spans="1:31" s="2" customFormat="1" x14ac:dyDescent="0.25">
      <c r="A182">
        <v>89</v>
      </c>
      <c r="B182">
        <v>6</v>
      </c>
      <c r="C182">
        <v>27</v>
      </c>
      <c r="D182">
        <v>1</v>
      </c>
      <c r="E182">
        <v>1</v>
      </c>
      <c r="F182" s="3">
        <f>0+(388.1-71.1)+(0+(-0.593793--0.108783))+0-31--0.0474300000000018</f>
        <v>285.56242000000003</v>
      </c>
      <c r="G182" s="3">
        <f>0+(309.2-10.5)+(0+(-0.630768--0.02142))+0-31--0.0632399999999986</f>
        <v>267.15389199999998</v>
      </c>
      <c r="H182" s="3">
        <f>0+(295.6-0)+(0+(-0.603024-0))+0-32--0.0652799999999986</f>
        <v>263.06225599999999</v>
      </c>
      <c r="I182" s="3">
        <f>0+(300.2-6.8)+(0+(-0.153102--0.003468))+0-31--0.0158099999999969</f>
        <v>262.26617599999997</v>
      </c>
      <c r="J182" s="3">
        <f>0+(324.8-34)+(0+(0.165648-0.01734))+0-31-0.0158099999999969</f>
        <v>259.93249800000001</v>
      </c>
      <c r="K182" s="3">
        <f>0+(350.9-53.1)+(0+(0.178959-0.027081))+0-31-0.0158099999999969</f>
        <v>266.93606799999998</v>
      </c>
      <c r="L182" s="3">
        <f>0+(371.4-67.2)+(0+(-0.94707--0.17136))+0-31--0.0790499999999955</f>
        <v>272.50333999999998</v>
      </c>
      <c r="M182" s="3">
        <f>0+(386.2-66.6)+(0+(-0.787848--0.135864))+0-30--0.0611999999999987</f>
        <v>289.00921599999998</v>
      </c>
      <c r="N182" s="3">
        <f>0+(437.9-89.2)+(0+(0-0))+0-33-0</f>
        <v>315.7</v>
      </c>
      <c r="O182" s="3">
        <f>0+(583.6-207.9)+(0+(0-0))+0-32-0</f>
        <v>343.70000000000005</v>
      </c>
      <c r="P182" s="3">
        <f>0+(550.5-172.3)+(0+(-0.280755--0.087873))+0-33--0.0168299999999967</f>
        <v>345.02394799999996</v>
      </c>
      <c r="Q182" s="3">
        <f>0+(538.7-153.9)+(0+(-1.098948--0.313956))+0-34--0.0693599999999985</f>
        <v>350.0843680000001</v>
      </c>
      <c r="R182" s="3">
        <f>0+(623.5-239.3)+(0+(-0.63597--0.244086))+0-32--0.0326400000000051</f>
        <v>351.840756</v>
      </c>
      <c r="S182" s="3">
        <f>0+(659.4-282.4)+(0+(-2.017764--0.864144))+0-32--0.0979200000000037</f>
        <v>343.9443</v>
      </c>
      <c r="T182" s="3">
        <f>0+(694.8-318.9)+(0+(-0.708696--0.325278))+0-31--0.0316200000000049</f>
        <v>344.548202</v>
      </c>
      <c r="U182" s="3">
        <f>0+(637.2-264.8)+(0+(-0.974916--0.405144))+0-31--0.0474300000000018</f>
        <v>340.87765800000005</v>
      </c>
      <c r="V182" s="3">
        <f>0+(593.3-225.8)+(0+(-0.605166--0.230316))+0-32--0.0326400000000051</f>
        <v>335.15778999999998</v>
      </c>
      <c r="W182" s="3">
        <f>0+(581.6-216.5)+(0+(-1.186464--0.44166))+0-32--0.0652799999999986</f>
        <v>332.42047600000001</v>
      </c>
      <c r="X182" s="3">
        <f>0+(539.2-182.3)+(0+(-0.824976--0.278919))+0-32--0.0489600000000018</f>
        <v>324.40290300000004</v>
      </c>
      <c r="Y182" s="3">
        <f>0+(455.4-69.5)+(0+(-0.232254--0.035445))+0-32--0.0163199999999968</f>
        <v>353.71951100000001</v>
      </c>
      <c r="Z182" s="3">
        <f>0+(487.1-107.3)+(0+(-0.993684--0.218892))+0-32--0.0652799999999986</f>
        <v>347.09048799999999</v>
      </c>
      <c r="AA182" s="3">
        <f>0+(490.2-120.9)+(0+(0.250002-0.061659))+0-31-0.0158099999999969</f>
        <v>338.47253299999994</v>
      </c>
      <c r="AB182" s="3">
        <f>0+(411.2-56.9)+(0+(-0.838848--0.116076))+0-32--0.0652799999999986</f>
        <v>321.64250799999996</v>
      </c>
      <c r="AC182" s="3">
        <f>0+(405.5-65.9)+(0+(-0.82722--0.134436))+0-32--0.0652799999999986</f>
        <v>306.97249599999998</v>
      </c>
      <c r="AD182">
        <f t="shared" si="2"/>
        <v>7562.0238030000019</v>
      </c>
      <c r="AE182" s="3">
        <f>0+(492.9-108.5)+(0+(0-0))+0-32-0</f>
        <v>352.4</v>
      </c>
    </row>
    <row r="183" spans="1:31" s="2" customFormat="1" x14ac:dyDescent="0.25">
      <c r="A183">
        <v>89</v>
      </c>
      <c r="B183">
        <v>6</v>
      </c>
      <c r="C183">
        <v>28</v>
      </c>
      <c r="D183">
        <v>2</v>
      </c>
      <c r="E183">
        <v>1</v>
      </c>
      <c r="F183" s="3">
        <f>0+(341.7-11.8)+(0+(0-0))+0-31-0</f>
        <v>298.89999999999998</v>
      </c>
      <c r="G183" s="3">
        <f>0+(333.8-14)+(0+(-0.170238--0.00714))+0-31--0.0158099999999969</f>
        <v>288.65271200000001</v>
      </c>
      <c r="H183" s="3">
        <f>0+(326-8.7)+(0+(-0.16626--0.004437))+0-32--0.0163199999999968</f>
        <v>285.15449699999999</v>
      </c>
      <c r="I183" s="3">
        <f>0+(316.5-3.8)+(0+(-0.32283--0.003876))+0-31--0.0316200000000049</f>
        <v>281.412666</v>
      </c>
      <c r="J183" s="3">
        <f>0+(313.2-0)+(0+(-0.159732-0))+0-31--0.0158099999999969</f>
        <v>282.05607799999996</v>
      </c>
      <c r="K183" s="3">
        <f>0+(314-0)+(0+(-0.32028-0))+0-31--0.0316200000000049</f>
        <v>282.71134000000001</v>
      </c>
      <c r="L183" s="3">
        <f>0+(323.9-3.7)+(0+(-0.825945--0.009435))+0-30--0.0764999999999956</f>
        <v>289.45999</v>
      </c>
      <c r="M183" s="3">
        <f>0+(328.8-0)+(0+(0-0))+0-31-0</f>
        <v>297.8</v>
      </c>
      <c r="N183" s="3">
        <f>0+(395.1-38.4)+(0+(-0.403002--0.039168))+0-33--0.0336600000000053</f>
        <v>323.36982600000005</v>
      </c>
      <c r="O183" s="3">
        <f>0+(460.8-91.9)+(0+(-1.17504--0.234345))+0-32--0.0815999999999954</f>
        <v>336.04090499999995</v>
      </c>
      <c r="P183" s="3">
        <f>0+(572.7-229.6)+(0+(0-0))+0-32-0</f>
        <v>311.10000000000002</v>
      </c>
      <c r="Q183" s="3">
        <f>0+(604.8-246.1)+(0+(-0.925344--0.376533))+0-34--0.052020000000002</f>
        <v>324.20320899999996</v>
      </c>
      <c r="R183" s="3">
        <f>0+(580.6-232.6)+(0+(-0.888318--0.355878))+0-29--0.0443700000000017</f>
        <v>318.51193000000001</v>
      </c>
      <c r="S183" s="3">
        <f>0+(583.4-252.9)+(0+(-1.190136--0.515916))+0-31--0.0632399999999986</f>
        <v>298.88902000000002</v>
      </c>
      <c r="T183" s="3">
        <f>0+(645.7-314.5)+(0+(0.329307-0.160395))+0-32-0.0163199999999968</f>
        <v>299.35259200000002</v>
      </c>
      <c r="U183" s="3">
        <f>0+(700.6-369.6)+(0+(-0.714612--0.376992))+0-32--0.0326400000000051</f>
        <v>298.69502</v>
      </c>
      <c r="V183" s="3">
        <f>0+(621.8-292)+(0+(-1.58559--0.7446))+0-32--0.0815999999999954</f>
        <v>297.04060999999996</v>
      </c>
      <c r="W183" s="3">
        <f>0+(536.6-217)+(0+(-1.094664--0.44268))+0-30--0.0611999999999987</f>
        <v>289.00921599999998</v>
      </c>
      <c r="X183" s="3">
        <f>0+(451.6-133.6)+(0+(0.230316-0.068136))+0-32-0.0163199999999968</f>
        <v>286.14585999999997</v>
      </c>
      <c r="Y183" s="3">
        <f>0+(458.1-113.5)+(0+(-0.233631--0.057885))+0-32--0.0163199999999968</f>
        <v>312.44057400000003</v>
      </c>
      <c r="Z183" s="3">
        <f>0+(514.2-169.7)+(0+(-0.786726--0.259641))+0-32--0.0489600000000018</f>
        <v>312.02187500000008</v>
      </c>
      <c r="AA183" s="3">
        <f>0+(525.9-190.1)+(0+(-1.072836--0.387804))+0-32--0.0652799999999986</f>
        <v>303.18024799999995</v>
      </c>
      <c r="AB183" s="3">
        <f>0+(539.6-216.9)+(0+(-1.651176--0.663714))+0-32--0.0979200000000037</f>
        <v>289.81045800000004</v>
      </c>
      <c r="AC183" s="3">
        <f>0+(498.4-192.7)+(0+(-0.254184--0.098277))+0-23--0.0117299999999977</f>
        <v>282.55582299999998</v>
      </c>
      <c r="AD183">
        <f t="shared" si="2"/>
        <v>7188.5144490000002</v>
      </c>
      <c r="AE183" s="3">
        <f>0+(511.9-164.6)+(0+(0-0))+0-32-0</f>
        <v>315.29999999999995</v>
      </c>
    </row>
    <row r="184" spans="1:31" s="2" customFormat="1" x14ac:dyDescent="0.25">
      <c r="A184">
        <v>89</v>
      </c>
      <c r="B184">
        <v>6</v>
      </c>
      <c r="C184">
        <v>29</v>
      </c>
      <c r="D184">
        <v>3</v>
      </c>
      <c r="E184">
        <v>1</v>
      </c>
      <c r="F184" s="3">
        <f>0+(376.7-88.9)+(0+(-0.768468--0.181356))+0-31--0.0632399999999986</f>
        <v>256.27612799999997</v>
      </c>
      <c r="G184" s="3">
        <f>0+(274.5-0)+(0+(0-0))+0-31-0</f>
        <v>243.5</v>
      </c>
      <c r="H184" s="3">
        <f>0+(277.2-11.1)+(0+(-0.424116--0.016983))+0-32--0.0489600000000018</f>
        <v>233.74182699999997</v>
      </c>
      <c r="I184" s="3">
        <f>0+(258.6-0)+(0+(-0.263772-0))+0-31--0.0316200000000049</f>
        <v>227.36784800000001</v>
      </c>
      <c r="J184" s="3">
        <f>0+(254.9-0)+(0+(0.129999-0))+0-32-0.0163199999999968</f>
        <v>223.013679</v>
      </c>
      <c r="K184" s="3">
        <f>0+(275.9-4)+(0+(0-0))+0-32-0</f>
        <v>239.89999999999998</v>
      </c>
      <c r="L184" s="3">
        <f>0+(285.5-9.6)+(0+(-0.87363--0.029376))+0-30--0.0918000000000035</f>
        <v>245.14754600000001</v>
      </c>
      <c r="M184" s="3">
        <f>0+(379.9-90.3)+(0+(0-0))+0-32-0</f>
        <v>257.59999999999997</v>
      </c>
      <c r="N184" s="3">
        <f>0+(465.6-152.5)+(0+(-0.237456--0.077775))+0-32--0.0163199999999968</f>
        <v>280.95663900000005</v>
      </c>
      <c r="O184" s="3">
        <f>0+(561.4-233.8)+(0+(-0.286314--0.119238))+0-33--0.0168299999999967</f>
        <v>294.44975399999993</v>
      </c>
      <c r="P184" s="3">
        <f>0+(569.8-230.9)+(0+(0-0))+0-31-0</f>
        <v>307.89999999999998</v>
      </c>
      <c r="Q184" s="3">
        <f>0+(639.7-290.6)+(0+(-0.978741--0.444618))+0-34--0.052020000000002</f>
        <v>314.61789700000003</v>
      </c>
      <c r="R184" s="3">
        <f>0+(670.4-321.2)+(0+(-0.341904--0.163812))+0-30--0.015299999999997</f>
        <v>319.03720800000002</v>
      </c>
      <c r="S184" s="3">
        <f>0+(696.5-353.6)+(0+(-2.486505--1.262352))+0-31--0.11067</f>
        <v>310.786517</v>
      </c>
      <c r="T184" s="3">
        <f>0+(683.7-337.6)+(0+(0.348687-0.172176))+0-31-0.0158099999999969</f>
        <v>315.26070100000004</v>
      </c>
      <c r="U184" s="3">
        <f>0+(669.1-328.1)+(0+(-1.364964--0.669324))+0-30--0.0611999999999987</f>
        <v>310.36555999999996</v>
      </c>
      <c r="V184" s="3">
        <f>0+(612.2-290)+(0+(-1.248888--0.5916))+0-30--0.0611999999999987</f>
        <v>291.60391200000004</v>
      </c>
      <c r="W184" s="3">
        <f>0+(631.6-303.2)+(0+(-1.61058--0.77316))+0-29--0.0739499999999958</f>
        <v>298.63652999999999</v>
      </c>
      <c r="X184" s="3">
        <f>0+(511.9-184.7)+(0+(-0.261069--0.094197))+0-30--0.015299999999997</f>
        <v>297.048428</v>
      </c>
      <c r="Y184" s="3">
        <f>0+(525-179.5)+(0+(0.26775-0.091545))+0-30-0.015299999999997</f>
        <v>315.66090499999996</v>
      </c>
      <c r="Z184" s="3">
        <f>0+(515.3-173.7)+(0+(-1.051212--0.354348))+0-29--0.0591599999999987</f>
        <v>311.96229599999998</v>
      </c>
      <c r="AA184" s="3">
        <f>0+(543.5-203.5)+(0+(-1.66311--0.62271))+0-30--0.0918000000000035</f>
        <v>309.0514</v>
      </c>
      <c r="AB184" s="3">
        <f>0+(602-272.7)+(0+(-1.22808--0.556308))+0-30--0.0611999999999987</f>
        <v>298.68942800000002</v>
      </c>
      <c r="AC184" s="3">
        <f>0+(646.9-326.9)+(0+(-1.319676--0.666876))+0-30--0.0611999999999987</f>
        <v>289.40839999999997</v>
      </c>
      <c r="AD184">
        <f t="shared" si="2"/>
        <v>6791.9826029999995</v>
      </c>
      <c r="AE184" s="3">
        <f>0+(506.8-159.6)+(0+(0-0))+0-30-0</f>
        <v>317.20000000000005</v>
      </c>
    </row>
    <row r="185" spans="1:31" s="2" customFormat="1" x14ac:dyDescent="0.25">
      <c r="A185">
        <v>89</v>
      </c>
      <c r="B185">
        <v>6</v>
      </c>
      <c r="C185">
        <v>30</v>
      </c>
      <c r="D185">
        <v>4</v>
      </c>
      <c r="E185">
        <v>1</v>
      </c>
      <c r="F185" s="3">
        <f>0+(520.9-214.5)+(0+(-0.796977--0.328185))+0-30--0.0459000000000017</f>
        <v>275.97710799999999</v>
      </c>
      <c r="G185" s="3">
        <f>0+(418.1-136.1)+(0+(-0.639693--0.208233))+0-30--0.0459000000000017</f>
        <v>251.61443999999997</v>
      </c>
      <c r="H185" s="3">
        <f>0+(334.5-58.1)+(0+(0-0))+0-30-0</f>
        <v>246.39999999999998</v>
      </c>
      <c r="I185" s="3">
        <f>0+(307-26.4)+(0+(-0.15657--0.013464))+0-30--0.015299999999997</f>
        <v>250.47219400000003</v>
      </c>
      <c r="J185" s="3">
        <f>0+(291.9-12.3)+(0+(-0.148869--0.006273))+0-30--0.015299999999997</f>
        <v>249.47270399999994</v>
      </c>
      <c r="K185" s="3">
        <f>0+(280.6-0)+(0+(0.143106-0))+0-31-0.0158099999999969</f>
        <v>249.72729600000002</v>
      </c>
      <c r="L185" s="3">
        <f>0+(287.8-0)+(0+(-0.293556-0))+0-31--0.0316200000000049</f>
        <v>256.53806400000002</v>
      </c>
      <c r="M185" s="3">
        <f>0+(300.6-0)+(0+(-0.306612-0))+0-31--0.0316200000000049</f>
        <v>269.32500800000008</v>
      </c>
      <c r="N185" s="3">
        <f>0+(379.9-73.4)+(0+(0.193749-0.037434))+0-33-0.0168299999999967</f>
        <v>273.63948500000004</v>
      </c>
      <c r="O185" s="3">
        <f>0+(440.5-93.6)+(0+(-0.44931--0.095472))+0-33--0.0336600000000053</f>
        <v>313.57982199999998</v>
      </c>
      <c r="P185" s="3">
        <f>0+(498.6-143)+(0+(-0.254286--0.07293))+0-31--0.0158099999999969</f>
        <v>324.43445400000002</v>
      </c>
      <c r="Q185" s="3">
        <f>0+(531.7-170.7)+(0+(0-0))+0-31-0</f>
        <v>330.00000000000006</v>
      </c>
      <c r="R185" s="3">
        <f>0+(529.3-168.2)+(0+(0.269943-0.085782))+0-31-0.0158099999999969</f>
        <v>330.268351</v>
      </c>
      <c r="S185" s="3">
        <f>0+(565.1-211.9)+(0+(-1.441005--0.540345))+0-31--0.0790499999999955</f>
        <v>321.37839000000002</v>
      </c>
      <c r="T185" s="3">
        <f>0+(618.2-263.3)+(0+(0.630564-0.268566))+0-31-0.0316200000000049</f>
        <v>324.23037800000003</v>
      </c>
      <c r="U185" s="3">
        <f>0+(614.3-270.1)+(0+(-0.626586--0.275502))+0-31--0.0316200000000049</f>
        <v>312.88053599999995</v>
      </c>
      <c r="V185" s="3">
        <f>0+(563.2-221.7)+(0+(-1.148928--0.452268))+0-31--0.0632399999999986</f>
        <v>309.86658000000006</v>
      </c>
      <c r="W185" s="3">
        <f>0+(479-145.4)+(0+(-0.48858--0.148308))+0-31--0.0316200000000049</f>
        <v>302.29134800000003</v>
      </c>
      <c r="X185" s="3">
        <f>0+(409.5-80.2)+(0+(-0.41769--0.081804))+0-31--0.0316200000000049</f>
        <v>297.99573400000003</v>
      </c>
      <c r="Y185" s="3">
        <f>0+(409.2-53.7)+(0+(0-0))+0-31-0</f>
        <v>324.5</v>
      </c>
      <c r="Z185" s="3">
        <f>0+(416-63.1)+(0+(-1.0608--0.160905))+0-31--0.0790499999999955</f>
        <v>321.07915499999996</v>
      </c>
      <c r="AA185" s="3">
        <f>0+(450.5-112.6)+(0+(-1.37853--0.344556))+0-31--0.0948600000000036</f>
        <v>305.96088599999996</v>
      </c>
      <c r="AB185" s="3">
        <f>0+(538.7-212.7)+(0+(-0.549474--0.216954))+0-29--0.0295800000000046</f>
        <v>296.69706000000008</v>
      </c>
      <c r="AC185" s="3">
        <f>0+(524.4-212.9)+(0+(-0.534888--0.217158))+0-29--0.0295800000000046</f>
        <v>282.21185000000003</v>
      </c>
      <c r="AD185">
        <f t="shared" si="2"/>
        <v>7020.5408430000007</v>
      </c>
      <c r="AE185" s="3">
        <f>0+(410.7-51.1)+(0+(0-0))+0-32-0</f>
        <v>327.59999999999997</v>
      </c>
    </row>
    <row r="186" spans="1:31" s="2" customFormat="1" x14ac:dyDescent="0.25">
      <c r="A186">
        <v>89</v>
      </c>
      <c r="B186">
        <v>6</v>
      </c>
      <c r="C186">
        <v>31</v>
      </c>
      <c r="D186">
        <v>5</v>
      </c>
      <c r="E186">
        <v>1</v>
      </c>
      <c r="F186" s="3">
        <f>0+(445-150.2)+(0+(-0.4539--0.153204))+0-32--0.0326400000000051</f>
        <v>262.53194400000001</v>
      </c>
      <c r="G186" s="3">
        <f>0+(455.9-179.3)+(0+(-0.697527--0.274329))+0-32--0.0489600000000018</f>
        <v>244.22576199999995</v>
      </c>
      <c r="H186" s="3">
        <f>0+(428.9-145.7)+(0+(-0.656217--0.222921))+0-32--0.0489600000000018</f>
        <v>250.815664</v>
      </c>
      <c r="I186" s="3">
        <f>0+(368.2-88.9)+(0+(0.375564-0.090678))+0-32-0.0326400000000051</f>
        <v>247.55224599999991</v>
      </c>
      <c r="J186" s="3">
        <f>0+(342.7-62.2)+(0+(-0.174777--0.031722))+0-31--0.0158099999999969</f>
        <v>249.37275499999998</v>
      </c>
      <c r="K186" s="3">
        <f>0+(394.1-113.1)+(0+(-0.401982--0.115362))+0-31--0.0316200000000049</f>
        <v>249.74499999999998</v>
      </c>
      <c r="L186" s="3">
        <f>0+(385.1-101.9)+(0+(-0.392802--0.103938))+0-31--0.0316200000000049</f>
        <v>251.94275600000006</v>
      </c>
      <c r="M186" s="3">
        <f>0+(449.9-136.3)+(0+(0-0))+0-30-0</f>
        <v>283.59999999999997</v>
      </c>
      <c r="N186" s="3">
        <f>0+(512.2-165.3)+(0+(0.261222-0.084303))+0-30-0.015299999999997</f>
        <v>317.06161900000001</v>
      </c>
      <c r="O186" s="3">
        <f>0+(519-161.6)+(0+(0-0))+0-30-0</f>
        <v>327.39999999999998</v>
      </c>
      <c r="P186" s="3">
        <f>0+(542.5-176.6)+(0+(0.55335-0.180132))+0-32-0.0326400000000051</f>
        <v>334.24057799999997</v>
      </c>
      <c r="Q186" s="3">
        <f>0+(579.2-208.1)+(0+(-0.295392--0.106131))+0-32--0.0163199999999968</f>
        <v>338.92705900000004</v>
      </c>
      <c r="R186" s="3">
        <f>+(624.2-255.1)+(+(-2.546736--1.040808))+0-32--0.130559999999997</f>
        <v>335.72463200000004</v>
      </c>
      <c r="S186" s="3">
        <f>+(650.7-288.5)+(+(-0.331857--0.147135))+0-32--0.0163199999999968</f>
        <v>330.03159800000003</v>
      </c>
      <c r="T186" s="3">
        <f>+(678.5-316)+(+(-0.346035--0.16116))+0-31--0.0158099999999969</f>
        <v>331.33093500000001</v>
      </c>
      <c r="U186" s="3">
        <f>+(643.8-288.6)+(+(-0.985014--0.441558))+0-31--0.0474300000000018</f>
        <v>323.70397399999996</v>
      </c>
      <c r="V186" s="3">
        <f>+(612-262.5)+(+(0-0))+0-31-0</f>
        <v>318.5</v>
      </c>
      <c r="W186" s="3">
        <f>+(550.3-198.9)+(+(-0.280653--0.101439))+0-31--0.0158099999999969</f>
        <v>320.23659599999996</v>
      </c>
      <c r="X186" s="3">
        <f>+(589.2-214)+(+(-0.300492--0.10914))+0-31--0.0158099999999969</f>
        <v>344.02445800000004</v>
      </c>
      <c r="Y186" s="3">
        <f>+(659.6-294)+(+(0.336396-0.14994))+0-31-0.0158099999999969</f>
        <v>334.77064600000006</v>
      </c>
      <c r="Z186" s="3">
        <f>+(684.7-329.2)+(+(-0.698394--0.335784))+0-31--0.0316200000000049</f>
        <v>324.16901000000007</v>
      </c>
      <c r="AA186" s="3">
        <f>+(713-369.3)+(+(-2.18178--1.130058))+0-31--0.0948600000000036</f>
        <v>311.74313799999999</v>
      </c>
      <c r="AB186" s="3">
        <f>+(607-284.6)+(+(-1.23828--0.580584))+0-30--0.0611999999999987</f>
        <v>291.80350399999998</v>
      </c>
      <c r="AC186" s="3">
        <f>+(643.1-319.3)+(+(-1.311924--0.651372))+0-31--0.0632399999999986</f>
        <v>292.20268800000002</v>
      </c>
      <c r="AD186">
        <f t="shared" si="2"/>
        <v>7215.6565619999992</v>
      </c>
      <c r="AE186" s="3">
        <f>0+(640.6-276)+(0+(0-0))+0-31-0</f>
        <v>333.6</v>
      </c>
    </row>
    <row r="187" spans="1:31" s="2" customFormat="1" x14ac:dyDescent="0.25">
      <c r="A187">
        <v>89</v>
      </c>
      <c r="B187">
        <v>7</v>
      </c>
      <c r="C187">
        <v>1</v>
      </c>
      <c r="D187">
        <v>6</v>
      </c>
      <c r="E187">
        <v>1</v>
      </c>
      <c r="F187" s="3">
        <f>0+(530-222.1)+(0+(-0.5406--0.226542))+0-31--0.0316200000000049</f>
        <v>276.61756200000002</v>
      </c>
      <c r="G187" s="3">
        <f>0+(464.5-164.5)+(0+(-0.710685--0.251685))+0-31--0.0474300000000018</f>
        <v>268.58843000000002</v>
      </c>
      <c r="H187" s="3">
        <f>0+(412.4-122.2)+(0+(-0.210324--0.062322))+0-31--0.0158099999999969</f>
        <v>259.06780799999996</v>
      </c>
      <c r="I187" s="3">
        <f>0+(369.4-83.5)+(0+(0.188394-0.042585))+0-31-0.0158099999999969</f>
        <v>255.02999899999998</v>
      </c>
      <c r="J187" s="3">
        <f>0+(347-65.9)+(0+(-0.53091--0.100827))+0-31--0.0474300000000018</f>
        <v>249.71734699999999</v>
      </c>
      <c r="K187" s="3">
        <f>0+(382.5-101.9)+(0+(-0.39015--0.103938))+0-31--0.0316200000000049</f>
        <v>249.34540800000005</v>
      </c>
      <c r="L187" s="3">
        <f>0+(345.7-57.4)+(0+(0.176307-0.029274))+0-31-0.0158099999999969</f>
        <v>257.43122300000005</v>
      </c>
      <c r="M187" s="3">
        <f>0+(463.3-150.4)+(0+(0-0))+0-32-0</f>
        <v>280.89999999999998</v>
      </c>
      <c r="N187" s="3">
        <f>0+(545.6-205.1)+(0+(0.278256-0.104601))+0-31-0.0158099999999969</f>
        <v>309.65784500000001</v>
      </c>
      <c r="O187" s="3">
        <f>0+(582.6-232.4)+(0+(-0.297126--0.118524))+0-32--0.0163199999999968</f>
        <v>318.03771800000004</v>
      </c>
      <c r="P187" s="3">
        <f>0+(622.6-261.1)+(0+(-0.317526--0.133161))+0-32--0.0163199999999968</f>
        <v>329.33195499999999</v>
      </c>
      <c r="Q187" s="3">
        <f>0+(698.4-330.2)+(0+(-0.356184--0.168402))+0-31--0.0158099999999969</f>
        <v>337.02802799999995</v>
      </c>
      <c r="R187" s="3">
        <f>0+(707.4-345.5)+(0+(-0.360774--0.176205))+0-31--0.0158099999999969</f>
        <v>330.73124099999995</v>
      </c>
      <c r="S187" s="3">
        <f>0+(752.7-403.9)+(0+(-1.151631--0.617967))+0-32--0.0489600000000018</f>
        <v>316.3152960000001</v>
      </c>
      <c r="T187" s="3">
        <f>0+(728.1-385.5)+(0+(-1.113993--0.589815))+0-31--0.0474300000000018</f>
        <v>311.12325200000004</v>
      </c>
      <c r="U187" s="3">
        <f>0+(672.3-338.4)+(0+(-2.057238--1.035504))+0-32--0.0979200000000037</f>
        <v>300.97618599999998</v>
      </c>
      <c r="V187" s="3">
        <f>0+(545.4-224.8)+(0+(-1.668924--0.687888))+0-32--0.0979200000000037</f>
        <v>287.71688399999994</v>
      </c>
      <c r="W187" s="3">
        <f>0+(465.1-145.2)+(0+(-0.474402--0.148104))+0-32--0.0326400000000051</f>
        <v>287.60634200000004</v>
      </c>
      <c r="X187" s="3">
        <f>0+(628.5-286.7)+(0+(0-0))+0-31-0</f>
        <v>310.8</v>
      </c>
      <c r="Y187" s="3">
        <f>0+(743.3-395)+(0+(-1.516332--0.8058))+0-31--0.0632399999999986</f>
        <v>316.65270799999996</v>
      </c>
      <c r="Z187" s="3">
        <f>0+(673-334)+(0+(-1.71615--0.8517))+0-32--0.0815999999999954</f>
        <v>306.21715</v>
      </c>
      <c r="AA187" s="3">
        <f>0+(516.7-197.3)+(0+(-1.054068--0.402492))+0-31--0.0632399999999986</f>
        <v>287.81166400000006</v>
      </c>
      <c r="AB187" s="3">
        <f>0+(421.8-111.4)+(0+(0-0))+0-31-0</f>
        <v>279.39999999999998</v>
      </c>
      <c r="AC187" s="3">
        <f>0+(453.5-151.4)+(0+(-0.46257--0.154428))+0-32--0.0326400000000051</f>
        <v>269.82449800000006</v>
      </c>
      <c r="AD187">
        <f t="shared" si="2"/>
        <v>6995.9285439999994</v>
      </c>
      <c r="AE187" s="3">
        <f>0+(736.4-390.1)+(0+(0-0))+0-31-0</f>
        <v>315.29999999999995</v>
      </c>
    </row>
    <row r="188" spans="1:31" s="2" customFormat="1" x14ac:dyDescent="0.25">
      <c r="A188">
        <v>89</v>
      </c>
      <c r="B188">
        <v>7</v>
      </c>
      <c r="C188">
        <v>2</v>
      </c>
      <c r="D188">
        <v>7</v>
      </c>
      <c r="E188">
        <v>1</v>
      </c>
      <c r="F188" s="3">
        <f>0+(424-133.3)+(0+(-0.86496--0.271932))+0-31--0.0632399999999986</f>
        <v>259.17021199999999</v>
      </c>
      <c r="G188" s="3">
        <f>0+(403.5-121.9)+(0+(-0.82314--0.248676))+0-31--0.0632399999999986</f>
        <v>250.08877600000005</v>
      </c>
      <c r="H188" s="3">
        <f>0+(314.4-37.7)+(0+(-0.160344--0.019227))+0-31--0.0158099999999969</f>
        <v>245.57469299999997</v>
      </c>
      <c r="I188" s="3">
        <f>0+(333-55.9)+(0+(-0.50949--0.085527))+0-31--0.0474300000000018</f>
        <v>245.723467</v>
      </c>
      <c r="J188" s="3">
        <f>0+(295.3-13.4)+(0+(0.150603-0.006834))+0-32-0.0163199999999968</f>
        <v>250.02744900000005</v>
      </c>
      <c r="K188" s="3">
        <f>0+(338.3-67)+(0+(-1.035198--0.20502))+0-31--0.0948600000000036</f>
        <v>239.56468200000003</v>
      </c>
      <c r="L188" s="3">
        <f>0+(379.4-118.9)+(0+(-0.386988--0.121278))+0-30--0.0306000000000048</f>
        <v>230.26488999999998</v>
      </c>
      <c r="M188" s="3">
        <f>0+(442.6-170.1)+(0+(-0.677178--0.260253))+0-30--0.0459000000000017</f>
        <v>242.128975</v>
      </c>
      <c r="N188" s="3">
        <f>0+(491.1-205.3)+(0+(-0.751383--0.314109))+0-30--0.0459000000000017</f>
        <v>255.408626</v>
      </c>
      <c r="O188" s="3">
        <f>0+(520.9-228.8)+(0+(-1.062636--0.466752))+0-30--0.0611999999999987</f>
        <v>261.56531599999994</v>
      </c>
      <c r="P188" s="3">
        <f>0+(614.4-314.9)+(0+(-0.940032--0.481797))+0-30--0.0459000000000017</f>
        <v>269.08766500000002</v>
      </c>
      <c r="Q188" s="3">
        <f>0+(660.8-356.1)+(0+(0.337008-0.181611))+0-30-0.015299999999997</f>
        <v>274.8400969999999</v>
      </c>
      <c r="R188" s="3">
        <f>0+(752.6-444.9)+(0+(0-0))+0-30-0</f>
        <v>277.70000000000005</v>
      </c>
      <c r="S188" s="3">
        <f>0+(773.3-468.7)+(0+(-0.788766--0.478074))+0-30--0.0306000000000048</f>
        <v>274.31990799999994</v>
      </c>
      <c r="T188" s="3">
        <f>0+(784.9-481.3)+(0+(0.400299-0.245463))+0-30-0.015299999999997</f>
        <v>273.73953599999993</v>
      </c>
      <c r="U188" s="3">
        <f>0+(733.1-436.9)+(0+(-0.747762--0.445638))+0-30--0.0306000000000048</f>
        <v>265.92847600000005</v>
      </c>
      <c r="V188" s="3">
        <f>0+(668-374.3)+(0+(-1.02204--0.572679))+0-30--0.0459000000000017</f>
        <v>263.296539</v>
      </c>
      <c r="W188" s="3">
        <f>0+(522.2-223.6)+(0+(-1.33161--0.57018))+0-30--0.0764999999999956</f>
        <v>267.91507000000001</v>
      </c>
      <c r="X188" s="3">
        <f>0+(569.8-245.8)+(0+(-0.581196--0.250716))+0-30--0.0306000000000048</f>
        <v>293.70011999999991</v>
      </c>
      <c r="Y188" s="3">
        <f>0+(601.7-273.5)+(0+(-0.613734--0.27897))+0-30--0.0306000000000048</f>
        <v>297.89583600000003</v>
      </c>
      <c r="Z188" s="3">
        <f>0+(649.5-325.8)+(0+(-0.331245--0.166158))+0-30--0.015299999999997</f>
        <v>293.55021299999999</v>
      </c>
      <c r="AA188" s="3">
        <f>0+(679.6-362)+(0+(-0.346596--0.18462))+0-30--0.015299999999997</f>
        <v>287.45332400000007</v>
      </c>
      <c r="AB188" s="3">
        <f>0+(561.9-250.7)+(0+(-1.432845--0.639285))+0-30--0.0764999999999956</f>
        <v>280.48293999999999</v>
      </c>
      <c r="AC188" s="3">
        <f>0+(496.3-199.7)+(0+(-0.506226--0.203694))+0-30--0.0306000000000048</f>
        <v>266.32806800000003</v>
      </c>
      <c r="AD188">
        <f t="shared" si="2"/>
        <v>6365.7548779999988</v>
      </c>
      <c r="AE188" s="3">
        <f>0+(608.5-282.2)+(0+(0-0))+0-31-0</f>
        <v>295.3</v>
      </c>
    </row>
    <row r="189" spans="1:31" s="2" customFormat="1" x14ac:dyDescent="0.25">
      <c r="A189">
        <v>89</v>
      </c>
      <c r="B189">
        <v>7</v>
      </c>
      <c r="C189">
        <v>3</v>
      </c>
      <c r="D189">
        <v>1</v>
      </c>
      <c r="E189">
        <v>1</v>
      </c>
      <c r="F189" s="3">
        <f>0+(444.8-165)+(0+(-0.680544--0.25245))+0-30--0.0459000000000017</f>
        <v>249.41780600000001</v>
      </c>
      <c r="G189" s="3">
        <f>0+(419-139)+(0+(-0.85476--0.28356))+0-30--0.0611999999999987</f>
        <v>249.49</v>
      </c>
      <c r="H189" s="3">
        <f>0+(385-99.8)+(0+(-0.3927--0.101796))+0-30--0.0306000000000048</f>
        <v>254.93969599999997</v>
      </c>
      <c r="I189" s="3">
        <f>0+(395.9-130.1)+(0+(0.403818-0.132702))+0-31-0.0316200000000049</f>
        <v>235.03949599999996</v>
      </c>
      <c r="J189" s="3">
        <f>0+(388.4-120.6)+(0+(-0.792336--0.246024))+0-31--0.0632399999999986</f>
        <v>236.31692799999996</v>
      </c>
      <c r="K189" s="3">
        <f>0+(377.7-110.3)+(0+(-0.577881--0.168759))+0-31--0.0474300000000018</f>
        <v>236.03830799999994</v>
      </c>
      <c r="L189" s="3">
        <f>0+(357.4-83.9)+(0+(-0.364548--0.085578))+0-30--0.0306000000000048</f>
        <v>243.25162999999998</v>
      </c>
      <c r="M189" s="3">
        <f>0+(486.4-182.7)+(0+(0.248064-0.093177))+0-32-0.0163199999999968</f>
        <v>271.83856699999995</v>
      </c>
      <c r="N189" s="3">
        <f>0+(527.9-191.6)+(0+(0-0))+0-31-0</f>
        <v>305.29999999999995</v>
      </c>
      <c r="O189" s="3">
        <f>0+(632.4-279.2)+(0+(-0.322524--0.142392))+0-31--0.0158099999999969</f>
        <v>322.03567799999996</v>
      </c>
      <c r="P189" s="3">
        <f>0+(694.5-341.9)+(0+(-0.354195--0.174369))+0-31--0.0158099999999969</f>
        <v>321.43598400000002</v>
      </c>
      <c r="Q189" s="3">
        <f>0+(709.1-346.5)+(0+(0.361641-0.176715))+0-30-0.015299999999997</f>
        <v>332.76962600000002</v>
      </c>
      <c r="R189" s="3">
        <f>0+(727.2-364.4)+(0+(0-0))+0-32-0</f>
        <v>330.80000000000007</v>
      </c>
      <c r="S189" s="3">
        <f>0+(782.5-421.5)+(0+(0-0))+0-31-0</f>
        <v>330</v>
      </c>
      <c r="T189" s="3">
        <f>0+(780.9-420.8)+(0+(-0.796518--0.429216))+0-32--0.0326400000000051</f>
        <v>327.76533799999999</v>
      </c>
      <c r="U189" s="3">
        <f>0+(746.4-391.5)+(0+(-1.141992--0.598995))+0-31--0.0474300000000018</f>
        <v>323.40443299999998</v>
      </c>
      <c r="V189" s="3">
        <f>0+(738.6-386)+(0+(-1.130058--0.59058))+0-31--0.0474300000000018</f>
        <v>321.10795200000007</v>
      </c>
      <c r="W189" s="3">
        <f>0+(650.1-295)+(0+(0.331551-0.15045))+0-31-0.0158099999999969</f>
        <v>324.26529100000005</v>
      </c>
      <c r="X189" s="3">
        <f>0+(734.3-343.9)+(0+(-1.497972--0.701556))+0-31--0.0632399999999986</f>
        <v>358.66682399999996</v>
      </c>
      <c r="Y189" s="3">
        <f>0+(779.8-387)+(0+(0-0))+0-31-0</f>
        <v>361.79999999999995</v>
      </c>
      <c r="Z189" s="3">
        <f>0+(791.5-415.1)+(0+(0.80733-0.423402))+0-31-0.0316200000000049</f>
        <v>345.75230799999997</v>
      </c>
      <c r="AA189" s="3">
        <f>0+(793.9-429.8)+(0+(-1.214667--0.657594))+0-32--0.0489600000000018</f>
        <v>331.59188699999999</v>
      </c>
      <c r="AB189" s="3">
        <f>0+(578.4-237.5)+(0+(-1.47492--0.605625))+0-32--0.0815999999999954</f>
        <v>308.11230499999994</v>
      </c>
      <c r="AC189" s="3">
        <f>0+(515.2-191.5)+(0+(-1.31376--0.488325))+0-32--0.0815999999999954</f>
        <v>290.956165</v>
      </c>
      <c r="AD189">
        <f t="shared" si="2"/>
        <v>7212.0962219999992</v>
      </c>
      <c r="AE189" s="3">
        <f>0+(786.4-390.9)+(0+(0-0))+0-32-0</f>
        <v>363.5</v>
      </c>
    </row>
    <row r="190" spans="1:31" s="2" customFormat="1" x14ac:dyDescent="0.25">
      <c r="A190">
        <v>89</v>
      </c>
      <c r="B190">
        <v>7</v>
      </c>
      <c r="C190">
        <v>4</v>
      </c>
      <c r="D190">
        <v>2</v>
      </c>
      <c r="E190">
        <v>1</v>
      </c>
      <c r="F190" s="3">
        <f>0+(453.7-148.9)+(0+(-0.462774--0.151878))+0-32--0.0326400000000051</f>
        <v>272.52174399999996</v>
      </c>
      <c r="G190" s="3">
        <f>0+(489.3-191.7)+(0+(-1.247715--0.488835))+0-31--0.0790499999999955</f>
        <v>265.92017000000004</v>
      </c>
      <c r="H190" s="3">
        <f>0+(439.4-147.2)+(0+(-0.672282--0.225216))+0-31--0.0474300000000018</f>
        <v>260.800364</v>
      </c>
      <c r="I190" s="3">
        <f>0+(370.7-74.1)+(0+(-0.189057--0.037791))+0-32--0.0163199999999968</f>
        <v>264.46505400000001</v>
      </c>
      <c r="J190" s="3">
        <f>0+(336.4-40.9)+(0+(0-0))+0-32-0</f>
        <v>263.5</v>
      </c>
      <c r="K190" s="3">
        <f>0+(362.4-75.1)+(0+(0-0))+0-31-0</f>
        <v>256.29999999999995</v>
      </c>
      <c r="L190" s="3">
        <f>0+(325.2-38.5)+(0+(-0.165852--0.019635))+0-32--0.0163199999999968</f>
        <v>254.57010300000002</v>
      </c>
      <c r="M190" s="3">
        <f>0+(447.2-134.5)+(0+(-0.456144--0.13719))+0-32--0.0326400000000051</f>
        <v>280.41368599999998</v>
      </c>
      <c r="N190" s="3">
        <f>0+(599.4-255.5)+(0+(0-0))+0-31-0</f>
        <v>312.89999999999998</v>
      </c>
      <c r="O190" s="3">
        <f>0+(710.4-353.8)+(0+(-0.362304--0.180438))+0-30--0.015299999999997</f>
        <v>326.43343399999998</v>
      </c>
      <c r="P190" s="3">
        <f>0+(737.9-380.7)+(0+(0-0))+0-31-0</f>
        <v>326.2</v>
      </c>
      <c r="Q190" s="3">
        <f>0+(747.5-386.3)+(0+(0.381225-0.197013))+0-31-0.0158099999999969</f>
        <v>330.368402</v>
      </c>
      <c r="R190" s="3">
        <f>0+(761.8-399.4)+(0+(-0.388518--0.203694))+0-32--0.0163199999999968</f>
        <v>330.23149599999999</v>
      </c>
      <c r="S190" s="3">
        <f>0+(779.1-424.3)+(0+(0.397341-0.216393))+0-31-0.0158099999999969</f>
        <v>323.96513800000002</v>
      </c>
      <c r="T190" s="3">
        <f>0+(790.9-437.8)+(0+(-0.403359--0.223278))+0-31--0.0158099999999969</f>
        <v>321.93572899999998</v>
      </c>
      <c r="U190" s="3">
        <f>0+(788.6-438.4)+(0+(-0.804372--0.447168))+0-32--0.0326400000000051</f>
        <v>317.87543600000004</v>
      </c>
      <c r="V190" s="3">
        <f>0+(722.6-373.7)+(0+(-1.105578--0.571761))+0-30--0.0459000000000017</f>
        <v>318.41208300000005</v>
      </c>
      <c r="W190" s="3">
        <f>0+(561.9-205.8)+(0+(0-0))+0-32-0</f>
        <v>324.09999999999997</v>
      </c>
      <c r="X190" s="3">
        <f>0+(640.1-274.6)+(0+(-0.652902--0.280092))+0-32--0.0326400000000051</f>
        <v>333.15983</v>
      </c>
      <c r="Y190" s="3">
        <f>0+(761.9-382.3)+(0+(-1.165707--0.584919))+0-32--0.0489600000000018</f>
        <v>347.068172</v>
      </c>
      <c r="Z190" s="3">
        <f>0+(786.7-413.5)+(0+(-0.802434--0.42177))+0-32--0.0326400000000051</f>
        <v>340.85197600000004</v>
      </c>
      <c r="AA190" s="3">
        <f>0+(746.8-388.8)+(0+(0.380868-0.198288))+0-32-0.0163199999999968</f>
        <v>326.16625999999991</v>
      </c>
      <c r="AB190" s="3">
        <f>0+(533.5-204)+(0+(0-0))+0-32-0</f>
        <v>297.5</v>
      </c>
      <c r="AC190" s="3">
        <f>0+(436.9-117.7)+(0+(-0.445638--0.120054))+0-32--0.0326400000000051</f>
        <v>286.90705600000001</v>
      </c>
      <c r="AD190">
        <f t="shared" si="2"/>
        <v>7282.5661330000003</v>
      </c>
      <c r="AE190" s="3">
        <f>0+(703.2-326.6)+(0+(0-0))+0-32-0</f>
        <v>344.6</v>
      </c>
    </row>
    <row r="191" spans="1:31" s="2" customFormat="1" x14ac:dyDescent="0.25">
      <c r="A191">
        <v>89</v>
      </c>
      <c r="B191">
        <v>7</v>
      </c>
      <c r="C191">
        <v>5</v>
      </c>
      <c r="D191">
        <v>3</v>
      </c>
      <c r="E191">
        <v>1</v>
      </c>
      <c r="F191" s="3">
        <f>0+(418.3-110.6)+(0+(-0.639999--0.169218))+0-31--0.0474300000000018</f>
        <v>276.27664900000008</v>
      </c>
      <c r="G191" s="3">
        <f>0+(420-119.5)+(0+(0-0))+0-30-0</f>
        <v>270.5</v>
      </c>
      <c r="H191" s="3">
        <f>0+(438.6-143.6)+(0+(-0.447372--0.146472))+0-31--0.0316200000000049</f>
        <v>263.73072000000002</v>
      </c>
      <c r="I191" s="3">
        <f>0+(439-147.3)+(0+(0.22389-0.075123))+0-30-0.015299999999997</f>
        <v>261.83346699999998</v>
      </c>
      <c r="J191" s="3">
        <f>0+(375.3-83.6)+(0+(0.191403-0.042636))+0-31-0.0158099999999969</f>
        <v>260.83295700000008</v>
      </c>
      <c r="K191" s="3">
        <f>0+(353-64.1)+(0+(-1.26021--0.228837))+0-18--0.0642600000000003</f>
        <v>269.93288699999999</v>
      </c>
      <c r="L191" s="3">
        <f>0+(367.8-82.1)+(0+(0.187578-0.041871))+0-31-0.0158099999999969</f>
        <v>254.82989700000007</v>
      </c>
      <c r="M191" s="3">
        <f>0+(454-136.9)+(0+(0.46308-0.139638))+0-31-0.0316200000000049</f>
        <v>286.39182199999999</v>
      </c>
      <c r="N191" s="3">
        <f>0+(570.7-220.4)+(0+(0-0))+0-31-0</f>
        <v>319.30000000000007</v>
      </c>
      <c r="O191" s="3">
        <f>0+(676-313.4)+(0+(0-0))+0-31-0</f>
        <v>331.6</v>
      </c>
      <c r="P191" s="3">
        <f>0+(776.6-405.5)+(0+(0.792132-0.41361))+0-31-0.0316200000000049</f>
        <v>340.44690199999997</v>
      </c>
      <c r="Q191" s="3">
        <f>0+(756.7-386.8)+(0+(1.157751-0.591804))+0-31-0.0474300000000018</f>
        <v>339.41851700000001</v>
      </c>
      <c r="R191" s="3">
        <f>0+(862.7-498.1)+(0+(-0.879954--0.508062))+0-31--0.0316200000000049</f>
        <v>333.25972800000005</v>
      </c>
      <c r="S191" s="3">
        <f>0+(853.6-482)+(0+(-0.435336--0.24582))+0-31--0.0158099999999969</f>
        <v>340.42629399999998</v>
      </c>
      <c r="T191" s="3">
        <f>0+(879.1-506.8)+(0+(-0.896682--0.516936))+0-31--0.0316200000000049</f>
        <v>340.95187400000003</v>
      </c>
      <c r="U191" s="3">
        <f>0+(873.4-509.3)+(0+(-1.781736--1.038972))+0-33--0.0673199999999986</f>
        <v>330.42455599999994</v>
      </c>
      <c r="V191" s="3">
        <f>0+(858.6-490.3)+(0+(-2.18943--1.250265))+0-32--0.0815999999999954</f>
        <v>335.44243499999999</v>
      </c>
      <c r="W191" s="3">
        <f>0+(864.1-492.5)+(0+(-0.440691--0.251175))+0-32--0.0163199999999968</f>
        <v>339.426804</v>
      </c>
      <c r="X191" s="3">
        <f>0+(878.1-496.4)+(0+(0.447831-0.253164))+0-31-0.0158099999999969</f>
        <v>350.87885700000004</v>
      </c>
      <c r="Y191" s="3">
        <f>0+(868.9-490)+(0+(-2.658834--1.4994))+0-32--0.0979200000000037</f>
        <v>345.83848599999999</v>
      </c>
      <c r="Z191" s="3">
        <f>0+(856.2-489.6)+(0+(-1.309986--0.749088))+0-32--0.0489600000000018</f>
        <v>334.08806200000004</v>
      </c>
      <c r="AA191" s="3">
        <f>0+(849.6-494.8)+(0+(-1.733184--1.009392))+0-31--0.0632399999999986</f>
        <v>323.13944800000002</v>
      </c>
      <c r="AB191" s="3">
        <f>0+(667.4-332.3)+(0+(-1.361496--0.677892))+0-31--0.0632399999999986</f>
        <v>303.47963599999997</v>
      </c>
      <c r="AC191" s="3">
        <f>0+(523.7-208.3)+(0+(-1.335435--0.531165))+0-31--0.0790499999999955</f>
        <v>283.67478000000006</v>
      </c>
      <c r="AD191">
        <f t="shared" si="2"/>
        <v>7436.1247779999994</v>
      </c>
      <c r="AE191" s="3">
        <f>0+(876.6-492.6)+(0+(0-0))+0-30-0</f>
        <v>354</v>
      </c>
    </row>
    <row r="192" spans="1:31" s="2" customFormat="1" x14ac:dyDescent="0.25">
      <c r="A192">
        <v>89</v>
      </c>
      <c r="B192">
        <v>7</v>
      </c>
      <c r="C192">
        <v>6</v>
      </c>
      <c r="D192">
        <v>4</v>
      </c>
      <c r="E192">
        <v>1</v>
      </c>
      <c r="F192" s="3">
        <f>0+(432.9-135.1)+(0+(-0.883116--0.275604))+0-31--0.0632399999999986</f>
        <v>266.25572799999998</v>
      </c>
      <c r="G192" s="3">
        <f>0+(469.2-180.3)+(0+(-0.717876--0.275859))+0-31--0.0474300000000018</f>
        <v>257.50541299999998</v>
      </c>
      <c r="H192" s="3">
        <f>0+(456.9-171.5)+(0+(-0.466038--0.17493))+0-31--0.0316200000000049</f>
        <v>254.14051199999997</v>
      </c>
      <c r="I192" s="3">
        <f>0+(449.4-167.7)+(0+(-0.458388--0.171054))+0-31--0.0316200000000049</f>
        <v>250.44428600000001</v>
      </c>
      <c r="J192" s="3">
        <f>0+(455.6-168.7)+(0+(0.929424-0.344148))+0-32-0.0652799999999986</f>
        <v>255.41999600000005</v>
      </c>
      <c r="K192" s="3">
        <f>0+(452.8-164.4)+(0+(-0.923712--0.335376))+0-32--0.0652799999999986</f>
        <v>255.87694399999995</v>
      </c>
      <c r="L192" s="3">
        <f>0+(435.2-148.2)+(0+(0.221952-0.075582))+0-31-0.0158099999999969</f>
        <v>256.13056</v>
      </c>
      <c r="M192" s="3">
        <f>0+(528.5-212.8)+(0+(-0.269535--0.108528))+0-32--0.0163199999999968</f>
        <v>283.55531300000001</v>
      </c>
      <c r="N192" s="3">
        <f>0+(573.3-227.6)+(0+(0-0))+0-31-0</f>
        <v>314.69999999999993</v>
      </c>
      <c r="O192" s="3">
        <f>0+(634.4-280.2)+(0+(-1.294176--0.571608))+0-32--0.0652799999999986</f>
        <v>321.54271199999994</v>
      </c>
      <c r="P192" s="3">
        <f>0+(802.9-440.8)+(0+(-0.409479--0.224808))+0-31--0.0158099999999969</f>
        <v>330.93113899999997</v>
      </c>
      <c r="Q192" s="3">
        <f>0+(884.8-504)+(0+(1.804992-1.02816))+0-31-0.0632399999999986</f>
        <v>350.51359199999996</v>
      </c>
      <c r="R192" s="3">
        <f>0+(870.9-496.5)+(0+(-0.888318--0.50643))+0-31--0.0316200000000049</f>
        <v>343.04973200000001</v>
      </c>
      <c r="S192" s="3">
        <f>0+(870.9-500.8)+(0+(0.444159-0.255408))+0-31-0.0158099999999969</f>
        <v>339.272941</v>
      </c>
      <c r="T192" s="3">
        <f>0+(887.3-514.2)+(0+(-1.810092--1.048968))+0-31--0.0632399999999986</f>
        <v>341.40211599999992</v>
      </c>
      <c r="U192" s="3">
        <f>0+(834.5-463.7)+(0+(-2.127975--1.182435))+0-32--0.0815999999999954</f>
        <v>337.93606</v>
      </c>
      <c r="V192" s="3">
        <f>0+(765.4-408.1)+(0+(-1.95177--1.040655))+0-32--0.0815999999999954</f>
        <v>324.47048499999994</v>
      </c>
      <c r="W192" s="3">
        <f>0+(774.5-416.4)+(0+(-1.184985--0.637092))+0-32--0.0489600000000018</f>
        <v>325.60106700000006</v>
      </c>
      <c r="X192" s="3">
        <f>0+(819.4-441.1)+(0+(0-0))+0-31-0</f>
        <v>347.29999999999995</v>
      </c>
      <c r="Y192" s="3">
        <f>0+(843.7-456.9)+(0+(-1.290861--0.699057))+0-32--0.0489600000000018</f>
        <v>354.25715600000007</v>
      </c>
      <c r="Z192" s="3">
        <f>0+(817.9-447.2)+(0+(-1.251387--0.684216))+0-32--0.0489600000000018</f>
        <v>338.18178900000004</v>
      </c>
      <c r="AA192" s="3">
        <f>0+(771.7-407.5)+(0+(-0.787134--0.41565))+0-32--0.0326400000000051</f>
        <v>331.86115600000005</v>
      </c>
      <c r="AB192" s="3">
        <f>0+(644.3-306)+(0+(-0.657186--0.31212))+0-32--0.0326400000000051</f>
        <v>305.987574</v>
      </c>
      <c r="AC192" s="3">
        <f>0+(514.7-194.7)+(0+(-0.524994--0.198594))+0-32--0.0326400000000051</f>
        <v>287.70624000000009</v>
      </c>
      <c r="AD192">
        <f t="shared" si="2"/>
        <v>7374.0425109999996</v>
      </c>
      <c r="AE192" s="3">
        <f>0+(868.2-488)+(0+(0-0))+0-31-0</f>
        <v>349.20000000000005</v>
      </c>
    </row>
    <row r="193" spans="1:31" s="2" customFormat="1" x14ac:dyDescent="0.25">
      <c r="A193">
        <v>89</v>
      </c>
      <c r="B193">
        <v>7</v>
      </c>
      <c r="C193">
        <v>7</v>
      </c>
      <c r="D193">
        <v>5</v>
      </c>
      <c r="E193">
        <v>1</v>
      </c>
      <c r="F193" s="3">
        <f>0+(442.1-146.7)+(0+(-1.352826--0.448902))+0-2--0.00612000000000023</f>
        <v>292.50219600000003</v>
      </c>
      <c r="G193" s="3">
        <f>0+(418.4-126.2)+(0+(-1.280304--0.386172))+0-27--0.0826200000000031</f>
        <v>264.388488</v>
      </c>
      <c r="H193" s="3">
        <f>0+(357.5-69.6)+(0+(0-0))+0-32-0</f>
        <v>255.89999999999998</v>
      </c>
      <c r="I193" s="3">
        <f>0+(332.3-37.4)+(0+(-0.338946--0.038148))+0-32--0.0326400000000051</f>
        <v>262.63184200000006</v>
      </c>
      <c r="J193" s="3">
        <f>0+(321-30.8)+(0+(0.49113-0.047124))+0-32-0.0489600000000018</f>
        <v>258.59504599999997</v>
      </c>
      <c r="K193" s="3">
        <f>0+(331.3-54.3)+(0+(-0.506889--0.083079))+0-31--0.0474300000000018</f>
        <v>245.62361999999999</v>
      </c>
      <c r="L193" s="3">
        <f>0+(352.9-78)+(0+(-0.359958--0.07956))+0-11--0.0112200000000018</f>
        <v>263.63082199999997</v>
      </c>
      <c r="M193" s="3">
        <f>0+(395.7-84.7)+(0+(0-0))+0-31-0</f>
        <v>280</v>
      </c>
      <c r="N193" s="3">
        <f>0+(461.5-133)+(0+(0-0))+0-22-0</f>
        <v>306.5</v>
      </c>
      <c r="O193" s="3">
        <f>0+(532.1-170.2)+(0+(-0.542742--0.173604))+0-32--0.0326400000000051</f>
        <v>329.56350200000003</v>
      </c>
      <c r="P193" s="3">
        <f>0+(544.5-185.5)+(0+(-0.833085--0.283815))+0-31--0.0474300000000018</f>
        <v>327.49816000000004</v>
      </c>
      <c r="Q193" s="3">
        <f>0+(741.6-373.5)+(0+(-0.756432--0.38097))+0-28--0.0285600000000045</f>
        <v>339.75309800000002</v>
      </c>
      <c r="R193" s="3">
        <f>0+(745.3-380.2)+(0+(-0.760206--0.387804))+0-32--0.0326400000000051</f>
        <v>332.76023799999996</v>
      </c>
      <c r="S193" s="3">
        <f>0+(762.6-396.6)+(0+(0-0))+0-32-0</f>
        <v>334</v>
      </c>
      <c r="T193" s="3">
        <f>0+(714.9-349.7)+(0+(-0.729198--0.356694))+0-31--0.0316200000000049</f>
        <v>333.85911600000003</v>
      </c>
      <c r="U193" s="3">
        <f>0+(629.5-274.9)+(0+(-0.64209--0.280398))+0-32--0.0326400000000051</f>
        <v>322.27094800000003</v>
      </c>
      <c r="V193" s="3">
        <f>0+(597.3-250.1)+(0+(-1.218492--0.510204))+0-30--0.0611999999999987</f>
        <v>316.55291199999994</v>
      </c>
      <c r="W193" s="3">
        <f>0+(577.5-223.9)+(0+(0.294525-0.114189))+0-31-0.0158099999999969</f>
        <v>322.76452600000005</v>
      </c>
      <c r="X193" s="3">
        <f>0+(662.4-295)+(0+(0.337824-0.15045))+0-32-0.0163199999999968</f>
        <v>335.57105399999995</v>
      </c>
      <c r="Y193" s="3">
        <f>0+(744.1-376.7)+(0+(-1.517964--0.768468))+0-32--0.0652799999999986</f>
        <v>334.71578399999999</v>
      </c>
      <c r="Z193" s="3">
        <f>0+(622.5-268.4)+(0+(-0.317475--0.136884))+0-32--0.0163199999999968</f>
        <v>321.93572900000004</v>
      </c>
      <c r="AA193" s="3">
        <f>0+(582-242.8)+(0+(-0.89046--0.371484))+0-32--0.0489600000000018</f>
        <v>306.729984</v>
      </c>
      <c r="AB193" s="3">
        <f>0+(482.6-160.2)+(0+(-0.984504--0.326808))+0-32--0.0652799999999986</f>
        <v>289.80758400000002</v>
      </c>
      <c r="AC193" s="3">
        <f>0+(455-152.3)+(0+(-0.9282--0.310692))+0-31--0.0632399999999986</f>
        <v>271.14573200000001</v>
      </c>
      <c r="AD193">
        <f t="shared" ref="AD193:AD256" si="3">SUM(F193:AC193)</f>
        <v>7248.7003809999997</v>
      </c>
      <c r="AE193" s="3">
        <f>0+(749.4-381.9)+(0+(0-0))+0-32-0</f>
        <v>335.5</v>
      </c>
    </row>
    <row r="194" spans="1:31" s="2" customFormat="1" x14ac:dyDescent="0.25">
      <c r="A194">
        <v>89</v>
      </c>
      <c r="B194">
        <v>7</v>
      </c>
      <c r="C194">
        <v>8</v>
      </c>
      <c r="D194">
        <v>6</v>
      </c>
      <c r="E194">
        <v>1</v>
      </c>
      <c r="F194" s="3">
        <f>0+(368.7-83.5)+(0+(-0.564111--0.127755))+0-32--0.0489600000000018</f>
        <v>252.81260399999999</v>
      </c>
      <c r="G194" s="3">
        <f>0+(311.6-27.7)+(0+(-0.635664--0.056508))+0-32--0.0652799999999986</f>
        <v>251.38612400000002</v>
      </c>
      <c r="H194" s="3">
        <f>0+(277.3-1.3)+(0+(-0.282846--0.001326))+0-31--0.0316200000000049</f>
        <v>244.7501</v>
      </c>
      <c r="I194" s="3">
        <f>0+(302.3-11.6)+(0+(-0.154173--0.005916))+0-32--0.0163199999999968</f>
        <v>258.568063</v>
      </c>
      <c r="J194" s="3">
        <f>0+(273.8-0)+(0+(-0.279276-0))+0-32--0.0326400000000051</f>
        <v>241.55336400000004</v>
      </c>
      <c r="K194" s="3">
        <f>0+(310.4-34.4)+(0+(-0.633216--0.070176))+0-32--0.0652799999999986</f>
        <v>243.50224</v>
      </c>
      <c r="L194" s="3">
        <f>0+(326.5-51.5)+(0+(0-0))+0-32-0</f>
        <v>243</v>
      </c>
      <c r="M194" s="3">
        <f>0+(377.1-82.4)+(0+(-0.192321--0.042024))+0-31--0.0158099999999969</f>
        <v>263.56551300000001</v>
      </c>
      <c r="N194" s="3">
        <f>0+(430.5-104.6)+(0+(-0.219555--0.053346))+0-32--0.0163199999999968</f>
        <v>293.750111</v>
      </c>
      <c r="O194" s="3">
        <f>0+(418.5-88.3)+(0+(-0.640305--0.135099))+0-32--0.0489600000000018</f>
        <v>297.74375400000002</v>
      </c>
      <c r="P194" s="3">
        <f>0+(402.1-60)+(0+(-0.205071--0.0306))+0-32--0.0163199999999968</f>
        <v>309.94184900000005</v>
      </c>
      <c r="Q194" s="3">
        <f>0+(446.6-106.3)+(0+(-0.227766--0.054213))+0-32--0.0163199999999968</f>
        <v>308.14276699999999</v>
      </c>
      <c r="R194" s="3">
        <f>0+(526.6-197.4)+(0+(0-0))+0-32-0</f>
        <v>297.20000000000005</v>
      </c>
      <c r="S194" s="3">
        <f>0+(552.8-211.9)+(0+(-0.281928--0.108069))+0-31--0.0158099999999969</f>
        <v>309.74195099999997</v>
      </c>
      <c r="T194" s="3">
        <f>0+(540.2-210.4)+(0+(-0.275502--0.107304))+0-31--0.0158099999999969</f>
        <v>298.64761200000004</v>
      </c>
      <c r="U194" s="3">
        <f>0+(445.1-143.6)+(0+(-0.227001--0.073236))+0-31--0.0158099999999969</f>
        <v>270.36204499999997</v>
      </c>
      <c r="V194" s="3">
        <f>0+(402.8-114.8)+(0+(-1.232568--0.351288))+0-32--0.0979200000000037</f>
        <v>255.21664000000001</v>
      </c>
      <c r="W194" s="3">
        <f>0+(387.9-74.6)+(0+(0.197829-0.038046))+0-32-0.0163199999999968</f>
        <v>281.44346299999995</v>
      </c>
      <c r="X194" s="3">
        <f>0+(475.3-124.6)+(0+(0-0))+0-32-0</f>
        <v>318.70000000000005</v>
      </c>
      <c r="Y194" s="3">
        <f>0+(569.7-212.6)+(0+(-1.162188--0.433704))+0-32--0.0652799999999986</f>
        <v>324.43679600000002</v>
      </c>
      <c r="Z194" s="3">
        <f>0+(510.1-167.6)+(0+(-1.040604--0.341904))+0-31--0.0632399999999986</f>
        <v>310.86454000000003</v>
      </c>
      <c r="AA194" s="3">
        <f>0+(439.1-109.5)+(0+(-0.447882--0.11169))+0-31--0.0316200000000049</f>
        <v>298.29542800000007</v>
      </c>
      <c r="AB194" s="3">
        <f>0+(392.8-83.3)+(0+(-0.600984--0.127449))+0-32--0.0489600000000018</f>
        <v>277.075425</v>
      </c>
      <c r="AC194" s="3">
        <f>0+(433.7-130.3)+(0+(-1.105935--0.332265))+0-32--0.0815999999999954</f>
        <v>270.70792999999998</v>
      </c>
      <c r="AD194">
        <f t="shared" si="3"/>
        <v>6721.4083189999992</v>
      </c>
      <c r="AE194" s="3">
        <f>0+(515-190)+(0+(0-0))+0-31-0</f>
        <v>294</v>
      </c>
    </row>
    <row r="195" spans="1:31" s="2" customFormat="1" x14ac:dyDescent="0.25">
      <c r="A195">
        <v>89</v>
      </c>
      <c r="B195">
        <v>7</v>
      </c>
      <c r="C195">
        <v>9</v>
      </c>
      <c r="D195">
        <v>7</v>
      </c>
      <c r="E195">
        <v>1</v>
      </c>
      <c r="F195" s="3">
        <f>0+(406.2-119.8)+(0+(-0.207162--0.061098))+0-32--0.0163199999999968</f>
        <v>254.27025599999996</v>
      </c>
      <c r="G195" s="3">
        <f>0+(335.2-67.1)+(0+(-0.85476--0.171105))+0-31--0.0790499999999955</f>
        <v>236.49539500000003</v>
      </c>
      <c r="H195" s="3">
        <f>0+(295.2-18.9)+(0+(0-0))+0-30-0</f>
        <v>246.3</v>
      </c>
      <c r="I195" s="3">
        <f>0+(283.2-4.6)+(0+(-0.577728--0.009384))+0-32--0.0652799999999986</f>
        <v>246.09693599999994</v>
      </c>
      <c r="J195" s="3">
        <f>0+(274.5-0)+(0+(-0.419985-0))+0-32--0.0489600000000018</f>
        <v>242.128975</v>
      </c>
      <c r="K195" s="3">
        <f>0+(300-23.5)+(0+(-0.765--0.059925))+0-31--0.0790499999999955</f>
        <v>244.87397499999997</v>
      </c>
      <c r="L195" s="3">
        <f>0+(345-89.7)+(0+(-0.52785--0.137241))+0-30--0.0459000000000017</f>
        <v>224.95529099999999</v>
      </c>
      <c r="M195" s="3">
        <f>0+(433-175.2)+(0+(-0.66249--0.268056))+0-32--0.0489600000000018</f>
        <v>225.45452600000002</v>
      </c>
      <c r="N195" s="3">
        <f>0+(558.3-262.9)+(0+(-0.284733--0.134079))+0-32--0.0163199999999968</f>
        <v>263.26566600000001</v>
      </c>
      <c r="O195" s="3">
        <f>0+(437.1-140.3)+(0+(-0.445842--0.143106))+0-31--0.0316200000000049</f>
        <v>265.52888400000006</v>
      </c>
      <c r="P195" s="3">
        <f>0+(518.7-219.8)+(0+(-0.264537--0.112098))+0-27--0.0137699999999973</f>
        <v>271.76133100000004</v>
      </c>
      <c r="Q195" s="3">
        <f>0+(549.9-248.9)+(0+(-0.560898--0.253878))+0-32--0.0326400000000051</f>
        <v>268.72561999999999</v>
      </c>
      <c r="R195" s="3">
        <f>0+(557.7-246.8)+(0+(-0.853281--0.377604))+0-32--0.0489600000000018</f>
        <v>278.47328300000004</v>
      </c>
      <c r="S195" s="3">
        <f>0+(561.1-261.8)+(0+(-0.858483--0.400554))+0-32--0.0489600000000018</f>
        <v>266.89103100000005</v>
      </c>
      <c r="T195" s="3">
        <f>0+(578.2-278.1)+(0+(-1.47441--0.709155))+0-31--0.0790499999999955</f>
        <v>268.41379499999999</v>
      </c>
      <c r="U195" s="3">
        <f>0+(533.5-234.7)+(0+(-0.816255--0.359091))+0-31--0.0474300000000018</f>
        <v>267.39026600000005</v>
      </c>
      <c r="V195" s="3">
        <f>0+(359.6-78.6)+(0+(-0.550188--0.120258))+0-31--0.0474300000000018</f>
        <v>249.61749999999998</v>
      </c>
      <c r="W195" s="3">
        <f>0+(328.5-22.2)+(0+(0-0))+0-32-0</f>
        <v>274.3</v>
      </c>
      <c r="X195" s="3">
        <f>0+(344.1-24.7)+(0+(-0.175491--0.012597))+0-31--0.0158099999999969</f>
        <v>288.25291600000003</v>
      </c>
      <c r="Y195" s="3">
        <f>0+(425.9-138.4)+(0+(-0.434418--0.141168))+0-1--0.00102000000000016</f>
        <v>286.20776999999998</v>
      </c>
      <c r="Z195" s="3">
        <f>0+(435.1-150.3)+(0+(-0.887604--0.306612))+0-1--0.00203999999999996</f>
        <v>283.22104800000005</v>
      </c>
      <c r="AA195" s="3">
        <f>0+(495.2-217)+(0+(-0.757656--0.33201))+0-1--0.00153000000000006</f>
        <v>276.77588400000002</v>
      </c>
      <c r="AB195" s="3">
        <f>0+(480.8-205.1)+(0+(-1.22604--0.523005))+0-1--0.00254999999999985</f>
        <v>273.99951500000003</v>
      </c>
      <c r="AC195" s="3">
        <f>0+(408.1-142.6)+(0+(-1.040655--0.36363))+0-1--0.00254999999999985</f>
        <v>263.82552499999997</v>
      </c>
      <c r="AD195">
        <f t="shared" si="3"/>
        <v>6267.2253880000017</v>
      </c>
      <c r="AE195" s="3">
        <f>0+(415.8-118.5)+(0+(0-0))+0-31-0</f>
        <v>266.3</v>
      </c>
    </row>
    <row r="196" spans="1:31" s="2" customFormat="1" x14ac:dyDescent="0.25">
      <c r="A196">
        <v>89</v>
      </c>
      <c r="B196">
        <v>7</v>
      </c>
      <c r="C196">
        <v>10</v>
      </c>
      <c r="D196">
        <v>1</v>
      </c>
      <c r="E196">
        <v>1</v>
      </c>
      <c r="F196" s="3">
        <f>0+(272.4-37.1)+(0+(-0.833544--0.113526))+0-4--0.0122400000000005</f>
        <v>230.59222199999996</v>
      </c>
      <c r="G196" s="3">
        <f>0+(262.4-22.4)+(0+(-0.401472--0.034272))+0-16--0.0244800000000009</f>
        <v>223.65727999999999</v>
      </c>
      <c r="H196" s="3">
        <f>0+(279.9-25.6)+(0+(-0.713745--0.06528))+0-21--0.053549999999997</f>
        <v>232.705085</v>
      </c>
      <c r="I196" s="3">
        <f>0+(302.6-41.9)+(0+(-0.154326--0.021369))+0-26--0.0132599999999974</f>
        <v>234.58030300000007</v>
      </c>
      <c r="J196" s="3">
        <f>0+(290.4-23.6)+(0+(-0.296208--0.024072))+0-30--0.0306000000000048</f>
        <v>236.55846399999996</v>
      </c>
      <c r="K196" s="3">
        <f>0+(297.7-30.9)+(0+(-0.607308--0.063036))+0-30--0.0611999999999987</f>
        <v>236.31692800000002</v>
      </c>
      <c r="L196" s="3">
        <f>0+(312.4-38)+(0+(0.159324-0.01938))+0-31-0.0158099999999969</f>
        <v>243.524134</v>
      </c>
      <c r="M196" s="3">
        <f>0+(310.5-0)+(0+(-0.158355-0))+0-31--0.0158099999999969</f>
        <v>279.35745500000002</v>
      </c>
      <c r="N196" s="3">
        <f>0+(326.9-0)+(0+(-0.166719-0))+0-32--0.0163199999999968</f>
        <v>294.74960099999998</v>
      </c>
      <c r="O196" s="3">
        <f>0+(362.7-9.2)+(0+(-0.184977--0.004692))+0-31--0.0158099999999969</f>
        <v>322.33552499999996</v>
      </c>
      <c r="P196" s="3">
        <f>0+(425.2-63.9)+(0+(0-0))+0-31-0</f>
        <v>330.3</v>
      </c>
      <c r="Q196" s="3">
        <f>0+(420.5-66.4)+(0+(0.214455-0.033864))+0-31-0.0158099999999969</f>
        <v>323.26478100000003</v>
      </c>
      <c r="R196" s="3">
        <f>+(447.4-94)+(+(0-0))+0-32-0</f>
        <v>321.39999999999998</v>
      </c>
      <c r="S196" s="3">
        <f>+(449.4-102.5)+(+(0-0))+0-30-0</f>
        <v>316.89999999999998</v>
      </c>
      <c r="T196" s="3">
        <f>+(454.2-108.2)+(+(-0.926568--0.220728))+0-29--0.0591599999999987</f>
        <v>316.35332</v>
      </c>
      <c r="U196" s="3">
        <f>+(466-120.4)+(+(-1.42596--0.368424))+0-30--0.0918000000000035</f>
        <v>314.63426399999997</v>
      </c>
      <c r="V196" s="3">
        <f>+(526.8-185.9)+(+(-1.34334--0.474045))+0-32--0.0815999999999954</f>
        <v>308.11230499999994</v>
      </c>
      <c r="W196" s="3">
        <f>+(436-92.1)+(+(0.66708-0.140913))+0-31-0.0474300000000018</f>
        <v>313.37873699999994</v>
      </c>
      <c r="X196" s="3">
        <f>+(516.7-151.8)+(+(-0.263517--0.077418))+0-31--0.0158099999999969</f>
        <v>333.72971100000001</v>
      </c>
      <c r="Y196" s="3">
        <f>+(611.7-253)+(+(-1.559835--0.64515))+0-31--0.0790499999999955</f>
        <v>326.86436500000002</v>
      </c>
      <c r="Z196" s="3">
        <f>+(621.7-273.7)+(+(-0.951201--0.418761))+0-30--0.0459000000000017</f>
        <v>317.51346000000007</v>
      </c>
      <c r="AA196" s="3">
        <f>+(608.1-283)+(+(-1.240524--0.57732))+0-32--0.0652799999999986</f>
        <v>292.50207599999999</v>
      </c>
      <c r="AB196" s="3">
        <f>+(464.1-142.6)+(+(-0.946764--0.290904))+0-32--0.0652799999999986</f>
        <v>288.90941999999995</v>
      </c>
      <c r="AC196" s="3">
        <f>+(389.8-81.5)+(+(-1.192788--0.24939))+0-32--0.0979200000000037</f>
        <v>275.454522</v>
      </c>
      <c r="AD196">
        <f t="shared" si="3"/>
        <v>6913.6939579999998</v>
      </c>
      <c r="AE196" s="3">
        <f>0+(610.4-240.7)+(0+(0-0))+0-32-0</f>
        <v>337.7</v>
      </c>
    </row>
    <row r="197" spans="1:31" s="2" customFormat="1" x14ac:dyDescent="0.25">
      <c r="A197">
        <v>89</v>
      </c>
      <c r="B197">
        <v>7</v>
      </c>
      <c r="C197">
        <v>11</v>
      </c>
      <c r="D197">
        <v>2</v>
      </c>
      <c r="E197">
        <v>1</v>
      </c>
      <c r="F197" s="3">
        <f>0+(286.8-19)+(0+(-0.292536--0.01938))+0-32--0.0326400000000051</f>
        <v>235.55948400000005</v>
      </c>
      <c r="G197" s="3">
        <f>0+(313.4-22.8)+(0+(-0.159834--0.011628))+0-32--0.0163199999999968</f>
        <v>258.46811399999996</v>
      </c>
      <c r="H197" s="3">
        <f>0+(328.7-40.2)+(0+(-0.838185--0.10251))+0-32--0.0815999999999954</f>
        <v>255.84592499999999</v>
      </c>
      <c r="I197" s="3">
        <f>0+(356.5-68.1)+(0+(-0.36363--0.069462))+0-32--0.0326400000000051</f>
        <v>256.13847199999998</v>
      </c>
      <c r="J197" s="3">
        <f>0+(292.6-2.1)+(0+(0-0))+0-32-0</f>
        <v>258.5</v>
      </c>
      <c r="K197" s="3">
        <f>0+(286-0)+(0+(-0.14586-0))+0-32--0.0163199999999968</f>
        <v>253.87045999999998</v>
      </c>
      <c r="L197" s="3">
        <f>0+(294.9-4)+(0+(0.150399-0.00204))+0-32-0.0163199999999968</f>
        <v>259.032039</v>
      </c>
      <c r="M197" s="3">
        <f>0+(352.2-40.6)+(0+(-0.179622--0.020706))+0-33--0.0168299999999967</f>
        <v>278.45791399999996</v>
      </c>
      <c r="N197" s="3">
        <f>0+(455.6-115.3)+(0+(0.232356-0.058803))+0-32-0.0163199999999968</f>
        <v>308.45723300000003</v>
      </c>
      <c r="O197" s="3">
        <f>0+(446-94.5)+(0+(-0.45492--0.09639))+0-33--0.0336600000000053</f>
        <v>318.17513000000002</v>
      </c>
      <c r="P197" s="3">
        <f>0+(544-182.8)+(0+(-0.55488--0.186456))+0-32--0.0326400000000051</f>
        <v>328.864216</v>
      </c>
      <c r="Q197" s="3">
        <f>0+(619-245.9)+(0+(0.31569-0.125409))+0-32-0.0163199999999968</f>
        <v>341.27396100000004</v>
      </c>
      <c r="R197" s="3">
        <f>0+(643.7-272.4)+(0+(-0.328287--0.138924))+0-30--0.015299999999997</f>
        <v>341.12593700000008</v>
      </c>
      <c r="S197" s="3">
        <f>0+(687.1-317.2)+(0+(0.350421-0.161772))+0-31-0.0158099999999969</f>
        <v>339.07283900000004</v>
      </c>
      <c r="T197" s="3">
        <f>0+(693.7-320.9)+(0+(-1.061361--0.490977))+0-32--0.0489600000000018</f>
        <v>340.2785760000001</v>
      </c>
      <c r="U197" s="3">
        <f>0+(707.6-344.6)+(0+(-1.80438--0.87873))+0-32--0.0815999999999954</f>
        <v>330.15594999999996</v>
      </c>
      <c r="V197" s="3">
        <f>0+(633.5-273.2)+(0+(-0.969255--0.417996))+0-32--0.0489600000000018</f>
        <v>327.79770100000002</v>
      </c>
      <c r="W197" s="3">
        <f>0+(474.5-113.4)+(0+(-1.209975--0.28917))+0-32--0.0815999999999954</f>
        <v>328.26079500000003</v>
      </c>
      <c r="X197" s="3">
        <f>0+(606.4-229.3)+(0+(-0.618528--0.233886))+0-31--0.0316200000000049</f>
        <v>345.74697800000001</v>
      </c>
      <c r="Y197" s="3">
        <f>0+(673-299.8)+(0+(-1.02969--0.458694))+0-32--0.0489600000000018</f>
        <v>340.67796400000003</v>
      </c>
      <c r="Z197" s="3">
        <f>0+(700-336.2)+(0+(-1.428--0.685848))+0-32--0.0652799999999986</f>
        <v>331.12312800000001</v>
      </c>
      <c r="AA197" s="3">
        <f>0+(611.8-266.4)+(0+(-1.248072--0.543456))+0-32--0.0652799999999986</f>
        <v>312.76066399999996</v>
      </c>
      <c r="AB197" s="3">
        <f>0+(491.9-166.2)+(0+(-1.254345--0.42381))+0-32--0.0815999999999954</f>
        <v>292.95106499999997</v>
      </c>
      <c r="AC197" s="3">
        <f>0+(362.5-54.2)+(0+(-0.554625--0.082926))+0-32--0.0489600000000018</f>
        <v>275.87726100000003</v>
      </c>
      <c r="AD197">
        <f t="shared" si="3"/>
        <v>7258.4718060000014</v>
      </c>
      <c r="AE197" s="3">
        <f>0+(635-252.4)+(0+(0-0))+0-30-0</f>
        <v>352.6</v>
      </c>
    </row>
    <row r="198" spans="1:31" s="2" customFormat="1" x14ac:dyDescent="0.25">
      <c r="A198">
        <v>89</v>
      </c>
      <c r="B198">
        <v>7</v>
      </c>
      <c r="C198">
        <v>12</v>
      </c>
      <c r="D198">
        <v>3</v>
      </c>
      <c r="E198">
        <v>5</v>
      </c>
      <c r="F198" s="3">
        <f>0+(380.7-85.7)+(0+(-0.388314--0.087414))+0-31--0.0316200000000049</f>
        <v>263.73072000000002</v>
      </c>
      <c r="G198" s="3">
        <f>0+(308.3-15.4)+(0+(-0.314466--0.015708))+0-31--0.0316200000000049</f>
        <v>261.63286200000005</v>
      </c>
      <c r="H198" s="3">
        <f>0+(295.3-5.8)+(0+(-0.753015--0.01479))+0-31--0.0790499999999955</f>
        <v>257.840825</v>
      </c>
      <c r="I198" s="3">
        <f>0+(315.8-37.5)+(0+(0.322116-0.03825))+0-33-0.0336600000000053</f>
        <v>245.550206</v>
      </c>
      <c r="J198" s="3">
        <f>0+(349.9-66.4)+(0+(-0.178449--0.033864))+0-32--0.0163199999999968</f>
        <v>251.371735</v>
      </c>
      <c r="K198" s="3">
        <f>0+(371.2-90.6)+(0+(-0.378624--0.092412))+0-32--0.0326400000000051</f>
        <v>248.34642800000006</v>
      </c>
      <c r="L198" s="3">
        <f>0+(323.5-66.4)+(0+(-0.65994--0.135456))+0-18--0.0367199999999992</f>
        <v>238.61223600000005</v>
      </c>
      <c r="M198" s="3">
        <f>0+(290.1-7.1)+(0+(0.295902-0.007242))+0-31-0.0316200000000049</f>
        <v>252.25703999999999</v>
      </c>
      <c r="N198" s="3">
        <f>0+(358.2-63.3)+(0+(0-0))+0-31-0</f>
        <v>263.89999999999998</v>
      </c>
      <c r="O198" s="3">
        <f>0+(340.4-37.3)+(0+(-0.520812--0.057069))+0-31--0.0474300000000018</f>
        <v>271.68368699999996</v>
      </c>
      <c r="P198" s="3">
        <f>0+(437.2-115.2)+(0+(0-0))+0-32-0</f>
        <v>290</v>
      </c>
      <c r="Q198" s="3">
        <f>0+(510.7-190.4)+(0+(0-0))+0-32-0</f>
        <v>288.29999999999995</v>
      </c>
      <c r="R198" s="3">
        <f>0+(586.4-251.8)+(0+(-0.598128--0.256836))+0-32--0.0326400000000051</f>
        <v>302.29134799999997</v>
      </c>
      <c r="S198" s="3">
        <f>0+(584.7-252.1)+(0+(0.596394-0.257142))+0-32-0.0326400000000051</f>
        <v>300.906612</v>
      </c>
      <c r="T198" s="3">
        <f>0+(590.1-267)+(0+(-0.902853--0.40851))+0-31--0.0474300000000018</f>
        <v>291.65308700000003</v>
      </c>
      <c r="U198" s="3">
        <f>0+(575-256.5)+(0+(-1.7595--0.78489))+0-31--0.0948600000000036</f>
        <v>286.62025</v>
      </c>
      <c r="V198" s="3">
        <f>0+(445.1-153.1)+(0+(-1.135005--0.390405))+0-31--0.0790499999999955</f>
        <v>260.33445</v>
      </c>
      <c r="W198" s="3">
        <f>0+(368.6-71.5)+(0+(0-0))+0-31-0</f>
        <v>266.10000000000002</v>
      </c>
      <c r="X198" s="3">
        <f>0+(431.9-108.6)+(0+(-0.660807--0.166158))+0-31--0.0474300000000018</f>
        <v>291.85278099999999</v>
      </c>
      <c r="Y198" s="3">
        <f>0+(450.7-129.4)+(0+(-0.689571--0.197982))+0-31--0.0474300000000018</f>
        <v>289.855841</v>
      </c>
      <c r="Z198" s="3">
        <f>0+(474.7-142.7)+(0+(-0.726291--0.218331))+0-32--0.0489600000000018</f>
        <v>299.541</v>
      </c>
      <c r="AA198" s="3">
        <f>0+(595.7-252.6)+(0+(-1.519035--0.64413))+0-32--0.0815999999999954</f>
        <v>310.30669499999999</v>
      </c>
      <c r="AB198" s="3">
        <f>0+(506.3-191.8)+(0+(-0.774639--0.293454))+0-32--0.0489600000000018</f>
        <v>282.06777500000004</v>
      </c>
      <c r="AC198" s="3">
        <f>0+(444-163.9)+(0+(-0.67932--0.250767))+0-32--0.0489600000000018</f>
        <v>247.72040699999999</v>
      </c>
      <c r="AD198">
        <f t="shared" si="3"/>
        <v>6562.4759850000009</v>
      </c>
      <c r="AE198" s="3">
        <f>0+(485.4-134.7)+(0+(0-0))+0-31-0</f>
        <v>319.7</v>
      </c>
    </row>
    <row r="199" spans="1:31" s="2" customFormat="1" x14ac:dyDescent="0.25">
      <c r="A199">
        <v>89</v>
      </c>
      <c r="B199">
        <v>7</v>
      </c>
      <c r="C199">
        <v>13</v>
      </c>
      <c r="D199">
        <v>4</v>
      </c>
      <c r="E199">
        <v>1</v>
      </c>
      <c r="F199" s="3">
        <f>0+(373.9-81.3)+(0+(0-0))+0-18-0</f>
        <v>274.59999999999997</v>
      </c>
      <c r="G199" s="3">
        <f>0+(311.2-31.9)+(0+(-0.158712--0.016269))+0-32--0.0163199999999968</f>
        <v>247.173877</v>
      </c>
      <c r="H199" s="3">
        <f>0+(298.7-18.1)+(0+(0.152337-0.009231))+0-32-0.0163199999999968</f>
        <v>248.72678599999995</v>
      </c>
      <c r="I199" s="3">
        <f>0+(328.1-40.8)+(0+(0.669324-0.083232))+0-32-0.0652799999999986</f>
        <v>255.82081200000002</v>
      </c>
      <c r="J199" s="3">
        <f>0+(296-8.7)+(0+(-0.45288--0.013311))+0-32--0.0489600000000018</f>
        <v>254.909391</v>
      </c>
      <c r="K199" s="3">
        <f>0+(296.2-9.6)+(0+(-0.453186--0.014688))+0-32--0.0489600000000018</f>
        <v>254.21046199999998</v>
      </c>
      <c r="L199" s="3">
        <f>0+(310.8-27.8)+(0+(0-0))+0-32-0</f>
        <v>251</v>
      </c>
      <c r="M199" s="3">
        <f>0+(434.9-129.9)+(0+(0.221799-0.066249))+0-22-0.0112199999999978</f>
        <v>283.14433000000002</v>
      </c>
      <c r="N199" s="3">
        <f>0+(530.5-189.1)+(0+(0-0))+0-21-0</f>
        <v>320.39999999999998</v>
      </c>
      <c r="O199" s="3">
        <f>0+(561.8-206.4)+(0+(-0.859554--0.315792))+0-32--0.0489600000000018</f>
        <v>322.90519799999998</v>
      </c>
      <c r="P199" s="3">
        <f>0+(531.9-171.2)+(0+(0.271269-0.087312))+0-32-0.0163199999999968</f>
        <v>328.867637</v>
      </c>
      <c r="Q199" s="3">
        <f>0+(608.2-228)+(0+(0-0))+0-32-0</f>
        <v>348.20000000000005</v>
      </c>
      <c r="R199" s="3">
        <f>0+(674.2-305.9)+(0+(-0.343842--0.156009))+0-32--0.0163199999999968</f>
        <v>336.12848700000006</v>
      </c>
      <c r="S199" s="3">
        <f>0+(761.6-385.4)+(0+(1.165248-0.589662))+0-30-0.0459000000000017</f>
        <v>346.72968600000002</v>
      </c>
      <c r="T199" s="3">
        <f>0+(784.8-399.7)+(0+(-0.400248--0.203847))+0-30--0.015299999999997</f>
        <v>354.91889900000001</v>
      </c>
      <c r="U199" s="3">
        <f>0+(796.4-410.2)+(0+(-1.624656--0.836808))+0-32--0.0652799999999986</f>
        <v>353.47743199999996</v>
      </c>
      <c r="V199" s="3">
        <f>0+(617.2-254.2)+(0+(-0.944316--0.388926))+0-32--0.0489600000000018</f>
        <v>330.49357000000009</v>
      </c>
      <c r="W199" s="3">
        <f>0+(522.8-167.6)+(0+(-0.799884--0.256428))+0-32--0.0489600000000018</f>
        <v>322.70550399999996</v>
      </c>
      <c r="X199" s="3">
        <f>0+(708.7-341.1)+(0+(0.361437-0.173961))+0-31-0.0158099999999969</f>
        <v>336.77166600000004</v>
      </c>
      <c r="Y199" s="3">
        <f>0+(772.2-370.9)+(0+(-1.575288--0.756636))+0-32--0.0652799999999986</f>
        <v>368.54662800000006</v>
      </c>
      <c r="Z199" s="3">
        <f>0+(678.9-304.1)+(0+(0.346239-0.155091))+0-32-0.0163199999999968</f>
        <v>342.97482799999995</v>
      </c>
      <c r="AA199" s="3">
        <f>0+(686.2-302.1)+(0+(-1.049886--0.462213))+0-30--0.0459000000000017</f>
        <v>353.55822700000004</v>
      </c>
      <c r="AB199" s="3">
        <f>0+(476.1-137.1)+(0+(-0.971244--0.279684))+0-32--0.0652799999999986</f>
        <v>306.37371999999999</v>
      </c>
      <c r="AC199" s="3">
        <f>0+(384.8-68.7)+(0+(-0.392496--0.070074))+0-32--0.0326400000000051</f>
        <v>283.81021800000002</v>
      </c>
      <c r="AD199">
        <f t="shared" si="3"/>
        <v>7426.4473579999985</v>
      </c>
      <c r="AE199" s="3">
        <f>0+(749.5-368.7)+(0+(0-0))+0-31-0</f>
        <v>349.8</v>
      </c>
    </row>
    <row r="200" spans="1:31" s="2" customFormat="1" x14ac:dyDescent="0.25">
      <c r="A200">
        <v>89</v>
      </c>
      <c r="B200">
        <v>7</v>
      </c>
      <c r="C200">
        <v>14</v>
      </c>
      <c r="D200">
        <v>5</v>
      </c>
      <c r="E200">
        <v>1</v>
      </c>
      <c r="F200" s="3">
        <f>0+(313-15.8)+(0+(-0.31926--0.016116))+0-32--0.0326400000000051</f>
        <v>264.92949600000003</v>
      </c>
      <c r="G200" s="3">
        <f>0+(311.6-7.3)+(0+(-0.158916--0.003723))+0-32--0.0163199999999968</f>
        <v>272.16112700000002</v>
      </c>
      <c r="H200" s="3">
        <f>0+(350.8-37.8)+(0+(-0.536724--0.057834))+0-32--0.0489600000000018</f>
        <v>280.57007000000004</v>
      </c>
      <c r="I200" s="3">
        <f>0+(358.4-47.2)+(0+(-0.365568--0.048144))+0-31--0.0316200000000049</f>
        <v>279.914196</v>
      </c>
      <c r="J200" s="3">
        <f>0+(295-0)+(0+(-0.15045-0))+0-32--0.0163199999999968</f>
        <v>262.86587000000003</v>
      </c>
      <c r="K200" s="3">
        <f>0+(295.6-0)+(0+(-0.603024-0))+0-32--0.0652799999999986</f>
        <v>263.06225599999999</v>
      </c>
      <c r="L200" s="3">
        <f>0+(307.7-0)+(0+(-0.156927-0))+0-32--0.0163199999999968</f>
        <v>275.559393</v>
      </c>
      <c r="M200" s="3">
        <f>0+(392.8-80.1)+(0+(0.200328-0.040851))+0-32-0.0163199999999968</f>
        <v>280.84315700000002</v>
      </c>
      <c r="N200" s="3">
        <f>0+(525.4-175.8)+(0+(0.535908-0.179316))+0-32-0.0326400000000051</f>
        <v>317.92395199999993</v>
      </c>
      <c r="O200" s="3">
        <f>0+(525.4-171.8)+(0+(-0.267954--0.087618))+0-32--0.0163199999999968</f>
        <v>321.43598399999996</v>
      </c>
      <c r="P200" s="3">
        <f>0+(538.1-171.8)+(0+(-0.823293--0.262854))+0-32--0.0489600000000018</f>
        <v>333.78852100000006</v>
      </c>
      <c r="Q200" s="3">
        <f>0+(555.4-184.2)+(0+(0-0))+0-32-0</f>
        <v>339.2</v>
      </c>
      <c r="R200" s="3">
        <f>0+(570.1-201.5)+(0+(0.290751-0.102765))+0-32-0.0163199999999968</f>
        <v>336.77166600000004</v>
      </c>
      <c r="S200" s="3">
        <f>0+(620.9-259.1)+(0+(0.316659-0.132141))+0-32-0.0163199999999968</f>
        <v>329.96819799999997</v>
      </c>
      <c r="T200" s="3">
        <f>0+(604-246.9)+(0+(-1.5402--0.629595))+0-32--0.0815999999999954</f>
        <v>324.27099500000003</v>
      </c>
      <c r="U200" s="3">
        <f>0+(606.9-266.1)+(0+(-0.619038--0.271422))+0-32--0.0326400000000051</f>
        <v>308.48502399999995</v>
      </c>
      <c r="V200" s="3">
        <f>0+(528.9-200.1)+(0+(-1.078956--0.408204))+0-33--0.0673199999999986</f>
        <v>295.19656799999996</v>
      </c>
      <c r="W200" s="3">
        <f>0+(428-101.4)+(0+(-0.21828--0.051714))+0-32--0.0163199999999968</f>
        <v>294.44975400000004</v>
      </c>
      <c r="X200" s="3">
        <f>0+(471.8-126.7)+(0+(-0.481236--0.129234))+0-32--0.0326400000000051</f>
        <v>312.78063800000001</v>
      </c>
      <c r="Y200" s="3">
        <f>0+(453.3-152.3)+(0+(-0.924732--0.310692))+0-33--0.0673199999999986</f>
        <v>267.45328000000001</v>
      </c>
      <c r="Z200" s="3">
        <f>0+(394.6-83.2)+(0+(-0.402492--0.084864))+0-9--0.00918000000000144</f>
        <v>302.09155200000004</v>
      </c>
      <c r="AA200" s="3">
        <f>0+(467.5-172.5)+(0+(-1.668975--0.615825))+0-11--0.0392700000000002</f>
        <v>282.98611999999997</v>
      </c>
      <c r="AB200" s="3">
        <f>0+(497.2-202.2)+(0+(-0.507144--0.206244))+0-10--0.0102000000000016</f>
        <v>284.70929999999998</v>
      </c>
      <c r="AC200" s="3">
        <f>0+(450.8-162)+(0+(-0.919632--0.33048))+0-32--0.0652799999999986</f>
        <v>256.27612799999997</v>
      </c>
      <c r="AD200">
        <f t="shared" si="3"/>
        <v>7087.6932449999986</v>
      </c>
      <c r="AE200" s="3">
        <f>0+(490-108.6)+(0+(0-0))+0-32-0</f>
        <v>349.4</v>
      </c>
    </row>
    <row r="201" spans="1:31" s="2" customFormat="1" x14ac:dyDescent="0.25">
      <c r="A201">
        <v>89</v>
      </c>
      <c r="B201">
        <v>7</v>
      </c>
      <c r="C201">
        <v>15</v>
      </c>
      <c r="D201">
        <v>6</v>
      </c>
      <c r="E201">
        <v>1</v>
      </c>
      <c r="F201" s="3">
        <f>0+(407.4-125.5)+(0+(-0.623322--0.192015))+0-31--0.0474300000000018</f>
        <v>250.51612299999996</v>
      </c>
      <c r="G201" s="3">
        <f>0+(403.5-130.7)+(0+(-0.205785--0.066657))+0-32--0.0163199999999968</f>
        <v>240.67719199999999</v>
      </c>
      <c r="H201" s="3">
        <f>0+(321.9-59.3)+(0+(-0.492507--0.090729))+0-31--0.0474300000000018</f>
        <v>231.24565199999998</v>
      </c>
      <c r="I201" s="3">
        <f>0+(264.8-23.9)+(0+(-0.67524--0.060945))+0-32--0.0815999999999954</f>
        <v>208.36730500000002</v>
      </c>
      <c r="J201" s="3">
        <f>0+(277.4-23.4)+(0+(-0.141474--0.011934))+0-31--0.0158099999999969</f>
        <v>222.88626999999997</v>
      </c>
      <c r="K201" s="3">
        <f>0+(283.6-49)+(0+(-0.433908--0.07497))+0-32--0.0489600000000018</f>
        <v>202.29002200000002</v>
      </c>
      <c r="L201" s="3">
        <f>0+(249-30)+(0+(0.25398-0.0306))+0-27-0.0275400000000043</f>
        <v>192.19583999999998</v>
      </c>
      <c r="M201" s="3">
        <f>0+(266-35)+(0+(0.13566-0.01785))+0-26-0.0132599999999974</f>
        <v>205.10454999999999</v>
      </c>
      <c r="N201" s="3">
        <f>0+(434.2-131)+(0+(-0.221442--0.06681))+0-29--0.0147899999999971</f>
        <v>274.060158</v>
      </c>
      <c r="O201" s="3">
        <f>0+(459-159.8)+(0+(0-0))+0-29-0</f>
        <v>270.2</v>
      </c>
      <c r="P201" s="3">
        <f>0+(427.6-114.2)+(0+(-0.218076--0.058242))+0-29--0.0147899999999971</f>
        <v>284.25495600000005</v>
      </c>
      <c r="Q201" s="3">
        <f>0+(513.9-185.9)+(0+(-0.262089--0.094809))+0-29--0.0147899999999971</f>
        <v>298.84751</v>
      </c>
      <c r="R201" s="3">
        <f>0+(569.1-232.2)+(0+(-0.870723--0.355266))+0-31--0.0474300000000018</f>
        <v>305.43197300000003</v>
      </c>
      <c r="S201" s="3">
        <f>0+(594.3-263)+(0+(-0.606186--0.26826))+0-29--0.0295800000000046</f>
        <v>301.99165399999998</v>
      </c>
      <c r="T201" s="3">
        <f>0+(606.7-293.2)+(0+(-1.237668--0.598128))+0-29--0.0591599999999987</f>
        <v>283.91962000000007</v>
      </c>
      <c r="U201" s="3">
        <f>0+(493.4-199.8)+(0+(-1.761438--0.713286))+0-13--0.0464100000000002</f>
        <v>279.59825799999993</v>
      </c>
      <c r="V201" s="3">
        <f>0+(413.6-145.9)+(0+(-0.421872--0.148818))+0-30--0.0306000000000048</f>
        <v>237.45754600000004</v>
      </c>
      <c r="W201" s="3">
        <f>0+(322.3-33.1)+(0+(-0.328746--0.033762))+0-30--0.0306000000000048</f>
        <v>258.93561599999998</v>
      </c>
      <c r="X201" s="3">
        <f>0+(517.9-187.7)+(0+(-0.792387--0.287181))+0-29--0.0443700000000017</f>
        <v>300.73916400000002</v>
      </c>
      <c r="Y201" s="3">
        <f>0+(550.7-222.5)+(0+(-0.842571--0.340425))+0-30--0.0459000000000017</f>
        <v>297.74375400000008</v>
      </c>
      <c r="Z201" s="3">
        <f>0+(474.6-159.1)+(0+(0.242046-0.081141))+0-30-0.015299999999997</f>
        <v>285.64560499999999</v>
      </c>
      <c r="AA201" s="3">
        <f>0+(494.9-178.8)+(0+(-1.009596--0.364752))+0-32--0.0652799999999986</f>
        <v>283.52043599999996</v>
      </c>
      <c r="AB201" s="3">
        <f>0+(410.1-121.3)+(0+(-0.418302--0.123726))+0-32--0.0326400000000051</f>
        <v>256.53806400000002</v>
      </c>
      <c r="AC201" s="3">
        <f>0+(318.8-59.5)+(0+(-0.650352--0.12138))+0-32--0.0652799999999986</f>
        <v>226.836308</v>
      </c>
      <c r="AD201">
        <f t="shared" si="3"/>
        <v>6199.0035759999992</v>
      </c>
      <c r="AE201" s="3">
        <f>0+(528.8-178.5)+(0+(0-0))+0-30-0</f>
        <v>320.29999999999995</v>
      </c>
    </row>
    <row r="202" spans="1:31" s="2" customFormat="1" x14ac:dyDescent="0.25">
      <c r="A202">
        <v>89</v>
      </c>
      <c r="B202">
        <v>7</v>
      </c>
      <c r="C202">
        <v>16</v>
      </c>
      <c r="D202">
        <v>7</v>
      </c>
      <c r="E202">
        <v>1</v>
      </c>
      <c r="F202" s="3">
        <f>0+(266-30)+(0+(-0.40698--0.0459))+0-32--0.0489600000000018</f>
        <v>203.68788000000001</v>
      </c>
      <c r="G202" s="3">
        <f>0+(260.6-32.4)+(0+(-0.132906--0.016524))+0-32--0.0163199999999968</f>
        <v>196.09993800000004</v>
      </c>
      <c r="H202" s="3">
        <f>0+(248.3-25)+(0+(0-0))+0-33-0</f>
        <v>190.3</v>
      </c>
      <c r="I202" s="3">
        <f>0+(243.3-25)+(0+(0.124083-0.01275))+0-32-0.0163199999999968</f>
        <v>186.39501300000001</v>
      </c>
      <c r="J202" s="3">
        <f>0+(240.7-40)+(0+(0-0))+0-32-0</f>
        <v>168.7</v>
      </c>
      <c r="K202" s="3">
        <f>0+(253.8-55.9)+(0+(-0.64719--0.142545))+0-32--0.0815999999999954</f>
        <v>165.476955</v>
      </c>
      <c r="L202" s="3">
        <f>0+(241.1-57.3)+(0+(-0.614805--0.146115))+0-31--0.0790499999999955</f>
        <v>152.41036</v>
      </c>
      <c r="M202" s="3">
        <f>0+(234.8-31.7)+(0+(0.359244-0.048501))+0-32-0.0489600000000018</f>
        <v>171.36178300000003</v>
      </c>
      <c r="N202" s="3">
        <f>0+(281-51.7)+(0+(-0.28662--0.052734))+0-32--0.0326400000000051</f>
        <v>197.09875400000001</v>
      </c>
      <c r="O202" s="3">
        <f>0+(295.7-54.8)+(0+(-0.301614--0.055896))+0-31--0.0316200000000049</f>
        <v>209.68590199999997</v>
      </c>
      <c r="P202" s="3">
        <f>0+(305.2-80.8)+(0+(-0.466956--0.123624))+0-32--0.0489600000000018</f>
        <v>192.10562799999997</v>
      </c>
      <c r="Q202" s="3">
        <f>0+(340.1-81.2)+(0+(-0.173451--0.041412))+0-32--0.0163199999999968</f>
        <v>226.78428100000002</v>
      </c>
      <c r="R202" s="3">
        <f>0+(391.4-121.6)+(0+(-0.598842--0.186048))+0-32--0.0489600000000018</f>
        <v>237.43616599999993</v>
      </c>
      <c r="S202" s="3">
        <f>0+(455.1-180.1)+(0+(0-0))+0-32-0</f>
        <v>243</v>
      </c>
      <c r="T202" s="3">
        <f>0+(435.8-166)+(0+(-0.666774--0.25398))+0-32--0.0489600000000018</f>
        <v>237.43616599999999</v>
      </c>
      <c r="U202" s="3">
        <f>0+(440.1-171.4)+(0+(-0.897804--0.349656))+0-32--0.0652799999999986</f>
        <v>236.21713200000002</v>
      </c>
      <c r="V202" s="3">
        <f>0+(421.9-156.6)+(0+(-0.860676--0.319464))+0-32--0.0652799999999986</f>
        <v>232.82406799999998</v>
      </c>
      <c r="W202" s="3">
        <f>0+(317.8-56.7)+(0+(-0.81039--0.144585))+0-32--0.0815999999999954</f>
        <v>228.51579500000005</v>
      </c>
      <c r="X202" s="3">
        <f>0+(453.7-136.9)+(0+(-0.925548--0.279276))+0-32--0.0652799999999986</f>
        <v>284.21900799999992</v>
      </c>
      <c r="Y202" s="3">
        <f>0+(485-167.4)+(0+(-0.4947--0.170748))+0-32--0.0326400000000051</f>
        <v>285.30868800000002</v>
      </c>
      <c r="Z202" s="3">
        <f>0+(493.9-180.4)+(0+(-0.755667--0.276012))+0-32--0.0489600000000018</f>
        <v>281.06930500000004</v>
      </c>
      <c r="AA202" s="3">
        <f>0+(503.4-195.3)+(0+(-0.770202--0.298809))+0-32--0.0489600000000018</f>
        <v>275.67756700000001</v>
      </c>
      <c r="AB202" s="3">
        <f>0+(411.9-123.8)+(0+(-1.050345--0.31569))+0-33--0.0841499999999952</f>
        <v>254.44949499999998</v>
      </c>
      <c r="AC202" s="3">
        <f>0+(412.8-139.8)+(0+(-0.421056--0.142596))+0-32--0.0326400000000051</f>
        <v>240.75418000000002</v>
      </c>
      <c r="AD202">
        <f t="shared" si="3"/>
        <v>5297.014064</v>
      </c>
      <c r="AE202" s="3">
        <f>0+(477-144.6)+(0+(0-0))+0-32-0</f>
        <v>300.39999999999998</v>
      </c>
    </row>
    <row r="203" spans="1:31" s="2" customFormat="1" x14ac:dyDescent="0.25">
      <c r="A203">
        <v>89</v>
      </c>
      <c r="B203">
        <v>7</v>
      </c>
      <c r="C203">
        <v>17</v>
      </c>
      <c r="D203">
        <v>1</v>
      </c>
      <c r="E203">
        <v>1</v>
      </c>
      <c r="F203" s="3">
        <f>0+(385-105.4)+(0+(-0.98175--0.26877))+0-32--0.0815999999999954</f>
        <v>246.96862000000002</v>
      </c>
      <c r="G203" s="3">
        <f>0+(354-67.4)+(0+(-0.9027--0.17187))+0-32--0.0815999999999954</f>
        <v>253.95077000000001</v>
      </c>
      <c r="H203" s="3">
        <f>0+(338.1-64)+(0+(-0.172431--0.03264))+0-32--0.0163199999999968</f>
        <v>241.97652900000003</v>
      </c>
      <c r="I203" s="3">
        <f>0+(311.5-30.6)+(0+(-0.63546--0.062424))+0-32--0.0652799999999986</f>
        <v>248.39224399999998</v>
      </c>
      <c r="J203" s="3">
        <f>0+(284.4-0)+(0+(-0.145044-0))+0-32--0.0163199999999968</f>
        <v>252.271276</v>
      </c>
      <c r="K203" s="3">
        <f>0+(286.7-21)+(0+(0-0))+0-32-0</f>
        <v>233.7</v>
      </c>
      <c r="L203" s="3">
        <f>0+(283.4-0)+(0+(0.144534-0))+0-32-0.0163199999999968</f>
        <v>251.52821399999999</v>
      </c>
      <c r="M203" s="3">
        <f>0+(344.7-58)+(0+(-0.175797--0.02958))+0-33--0.0168299999999967</f>
        <v>253.57061300000001</v>
      </c>
      <c r="N203" s="3">
        <f>0+(364.1-18.9)+(0+(-0.185691--0.009639))+0-33--0.0168299999999967</f>
        <v>312.04077799999999</v>
      </c>
      <c r="O203" s="3">
        <f>0+(476.3-157)+(0+(-0.485826--0.16014))+0-31--0.0316200000000049</f>
        <v>288.00593400000002</v>
      </c>
      <c r="P203" s="3">
        <f>0+(557.9-199.2)+(0+(-0.284529--0.101592))+0-32--0.0163199999999968</f>
        <v>326.53338300000001</v>
      </c>
      <c r="Q203" s="3">
        <f>0+(570.7-219.2)+(0+(-0.582114--0.223584))+0-32--0.0326400000000051</f>
        <v>319.1741100000001</v>
      </c>
      <c r="R203" s="3">
        <f>0+(597.5-246)+(0+(-0.304725--0.12546))+0-32--0.0163199999999968</f>
        <v>319.33705500000002</v>
      </c>
      <c r="S203" s="3">
        <f>0+(613-264.2)+(0+(-0.62526--0.269484))+0-32--0.0326400000000051</f>
        <v>316.47686400000003</v>
      </c>
      <c r="T203" s="3">
        <f>0+(629.5-280)+(0+(-0.64209--0.2856))+0-32--0.0326400000000051</f>
        <v>317.17615000000001</v>
      </c>
      <c r="U203" s="3">
        <f>0+(623.7-278.5)+(0+(-1.272348--0.56814))+0-32--0.0652799999999986</f>
        <v>312.56107200000002</v>
      </c>
      <c r="V203" s="3">
        <f>0+(507-197.3)+(0+(-1.55142--0.603738))+0-32--0.0979200000000037</f>
        <v>276.85023799999999</v>
      </c>
      <c r="W203" s="3">
        <f>0+(380.9-71.9)+(0+(-0.388518--0.073338))+0-32--0.0326400000000051</f>
        <v>276.71746000000002</v>
      </c>
      <c r="X203" s="3">
        <f>0+(496.3-140.8)+(0+(-0.759339--0.215424))+0-32--0.0489600000000018</f>
        <v>323.005045</v>
      </c>
      <c r="Y203" s="3">
        <f>0+(591.1-225.4)+(0+(-1.507305--0.57477))+0-32--0.0815999999999954</f>
        <v>332.84906500000005</v>
      </c>
      <c r="Z203" s="3">
        <f>0+(637.1-278.7)+(0+(-0.974763--0.426411))+0-32--0.0489600000000018</f>
        <v>325.90060800000003</v>
      </c>
      <c r="AA203" s="3">
        <f>0+(647.8-297.8)+(0+(-1.65189--0.75939))+0-32--0.0815999999999954</f>
        <v>317.18909999999994</v>
      </c>
      <c r="AB203" s="3">
        <f>0+(617.5-292.9)+(0+(-1.574625--0.746895))+0-32--0.0815999999999954</f>
        <v>291.85387000000003</v>
      </c>
      <c r="AC203" s="3">
        <f>0+(426.8-136.4)+(0+(0-0))+0-32-0</f>
        <v>258.39999999999998</v>
      </c>
      <c r="AD203">
        <f t="shared" si="3"/>
        <v>6896.4289980000003</v>
      </c>
      <c r="AE203" s="3">
        <f>0+(551.4-197.8)+(0+(0-0))+0-31-0</f>
        <v>322.59999999999997</v>
      </c>
    </row>
    <row r="204" spans="1:31" s="2" customFormat="1" x14ac:dyDescent="0.25">
      <c r="A204">
        <v>89</v>
      </c>
      <c r="B204">
        <v>7</v>
      </c>
      <c r="C204">
        <v>18</v>
      </c>
      <c r="D204">
        <v>2</v>
      </c>
      <c r="E204">
        <v>1</v>
      </c>
      <c r="F204" s="3">
        <f>0+(376-119.6)+(0+(0-0))+0-32-0</f>
        <v>224.39999999999998</v>
      </c>
      <c r="G204" s="3">
        <f>0+(366.4-120.7)+(0+(0-0))+0-33-0</f>
        <v>212.7</v>
      </c>
      <c r="H204" s="3">
        <f>0+(337.3-100.9)+(0+(0-0))+0-31-0</f>
        <v>205.4</v>
      </c>
      <c r="I204" s="3">
        <f>0+(274.3-41.7)+(0+(0-0))+0-32-0</f>
        <v>200.60000000000002</v>
      </c>
      <c r="J204" s="3">
        <f>0+(247.2-30)+(0+(0-0))+0-32-0</f>
        <v>185.2</v>
      </c>
      <c r="K204" s="3">
        <f>0+(284.5-56.2)+(0+(0-0))+0-32-0</f>
        <v>196.3</v>
      </c>
      <c r="L204" s="3">
        <f>0+(273.6-52.9)+(0+(0-0))+0-32-0</f>
        <v>188.70000000000002</v>
      </c>
      <c r="M204" s="3">
        <f>0+(287.3-44.3)+(0+(0-0))+0-32-0</f>
        <v>211</v>
      </c>
      <c r="N204" s="3">
        <f>0+(438.3-136.4)+(0+(0-0))+0-32-0</f>
        <v>269.89999999999998</v>
      </c>
      <c r="O204" s="3">
        <f>0+(602.6-260.2)+(0+(0-0))+0-33-0</f>
        <v>309.40000000000003</v>
      </c>
      <c r="P204" s="3">
        <f>0+(567.9-228.8)+(0+(0-0))+0-32-0</f>
        <v>307.09999999999997</v>
      </c>
      <c r="Q204" s="3">
        <f>0+(620-273.8)+(0+(0-0))+0-32-0</f>
        <v>314.2</v>
      </c>
      <c r="R204" s="3">
        <f>0+(627.3-276.5)+(0+(-0.319923--0.141015))+0-32--0.0163199999999968</f>
        <v>318.63741199999998</v>
      </c>
      <c r="S204" s="3">
        <f>0+(622.8-281.2)+(0+(-0.635256--0.286824))+0-31--0.0316200000000049</f>
        <v>310.283188</v>
      </c>
      <c r="T204" s="3">
        <f>0+(647.1-298.6)+(0+(-0.660042--0.304572))+0-31--0.0316200000000049</f>
        <v>317.17615000000001</v>
      </c>
      <c r="U204" s="3">
        <f>0+(633.2-285.9)+(0+(-1.291728--0.583236))+0-32--0.0652799999999986</f>
        <v>314.65678800000006</v>
      </c>
      <c r="V204" s="3">
        <f>0+(607.5-272.7)+(0+(-0.929475--0.417231))+0-31--0.0474300000000018</f>
        <v>303.33518600000002</v>
      </c>
      <c r="W204" s="3">
        <f>0+(509.1-182)+(0+(0-0))+0-31-0</f>
        <v>296.10000000000002</v>
      </c>
      <c r="X204" s="3">
        <f>0+(636.2-257.3)+(0+(-0.324462--0.131223))+0-32--0.0163199999999968</f>
        <v>346.72308100000004</v>
      </c>
      <c r="Y204" s="3">
        <f>0+(737-345.8)+(0+(-1.12761--0.529074))+0-32--0.0489600000000018</f>
        <v>358.65042399999999</v>
      </c>
      <c r="Z204" s="3">
        <f>0+(756.9-375.1)+(0+(-2.316114--1.147806))+0-32--0.0979200000000037</f>
        <v>348.72961199999992</v>
      </c>
      <c r="AA204" s="3">
        <f>0+(734.6-384.6)+(0+(-0.749292--0.392292))+0-32--0.0326400000000051</f>
        <v>317.67563999999999</v>
      </c>
      <c r="AB204" s="3">
        <f>0+(498.3-185.9)+(0+(-1.524798--0.568854))+0-32--0.0979200000000037</f>
        <v>279.54197599999998</v>
      </c>
      <c r="AC204" s="3">
        <f>0+(495.5-196.9)+(0+(-1.263525--0.502095))+0-32--0.0815999999999954</f>
        <v>265.92016999999998</v>
      </c>
      <c r="AD204">
        <f t="shared" si="3"/>
        <v>6602.3296270000019</v>
      </c>
      <c r="AE204" s="3">
        <f>0+(709.6-334.5)+(0+(0-0))+0-32-0</f>
        <v>343.1</v>
      </c>
    </row>
    <row r="205" spans="1:31" s="2" customFormat="1" x14ac:dyDescent="0.25">
      <c r="A205">
        <v>89</v>
      </c>
      <c r="B205">
        <v>7</v>
      </c>
      <c r="C205">
        <v>19</v>
      </c>
      <c r="D205">
        <v>3</v>
      </c>
      <c r="E205">
        <v>1</v>
      </c>
      <c r="F205" s="3">
        <f>0+(457.8-177.2)+(0+(0.233478-0.090372))+0-32-0.0163199999999968</f>
        <v>248.726786</v>
      </c>
      <c r="G205" s="3">
        <f>0+(410.3-144.6)+(0+(-0.837012--0.294984))+0-32--0.0652799999999986</f>
        <v>233.22325200000003</v>
      </c>
      <c r="H205" s="3">
        <f>0+(349.7-92.4)+(0+(-0.713388--0.188496))+0-32--0.0652799999999986</f>
        <v>224.84038799999993</v>
      </c>
      <c r="I205" s="3">
        <f>0+(316.9-64.5)+(0+(-0.323238--0.06579))+0-32--0.0326400000000051</f>
        <v>220.17519199999998</v>
      </c>
      <c r="J205" s="3">
        <f>0+(319.7-67.2)+(0+(-0.326094--0.068544))+0-32--0.0326400000000051</f>
        <v>220.27509000000001</v>
      </c>
      <c r="K205" s="3">
        <f>0+(388-127.8)+(0+(0.19788-0.065178))+0-32-0.0163199999999968</f>
        <v>228.31638199999998</v>
      </c>
      <c r="L205" s="3">
        <f>0+(375.5-117)+(0+(-0.38301--0.11934))+0-32--0.0326400000000051</f>
        <v>226.26897000000002</v>
      </c>
      <c r="M205" s="3">
        <f>0+(453.9-176.5)+(0+(0.231489-0.090015))+0-32-0.0163199999999968</f>
        <v>245.52515399999999</v>
      </c>
      <c r="N205" s="3">
        <f>0+(581.5-257.9)+(0+(-0.296565--0.131529))+0-32--0.0163199999999968</f>
        <v>291.45128400000004</v>
      </c>
      <c r="O205" s="3">
        <f>0+(641.1-302.1)+(0+(0-0))+0-32-0</f>
        <v>307</v>
      </c>
      <c r="P205" s="3">
        <f>0+(648.1-305.2)+(0+(0-0))+0-32-0</f>
        <v>310.90000000000003</v>
      </c>
      <c r="Q205" s="3">
        <f>0+(686-334.6)+(0+(0-0))+0-32-0</f>
        <v>319.39999999999998</v>
      </c>
      <c r="R205" s="3">
        <f>0+(746.3-381.7)+(0+(-0.761226--0.389334))+0-30--0.0306000000000048</f>
        <v>334.25870799999996</v>
      </c>
      <c r="S205" s="3">
        <f>0+(823.5-463)+(0+(0-0))+0-29-0</f>
        <v>331.5</v>
      </c>
      <c r="T205" s="3">
        <f>0+(830.8-466.6)+(0+(-0.847416--0.475932))+0-31--0.0316200000000049</f>
        <v>332.86013599999995</v>
      </c>
      <c r="U205" s="3">
        <f>0+(826.8-467.1)+(0+(-1.686672--0.952884))+0-31--0.0632399999999986</f>
        <v>328.02945199999994</v>
      </c>
      <c r="V205" s="3">
        <f>0+(751.2-405.2)+(0+(-1.532448--0.826608))+0-29--0.0591599999999987</f>
        <v>316.35332000000005</v>
      </c>
      <c r="W205" s="3">
        <f>0+(666.5-299.1)+(0+(0.67983-0.305082))+0-30-0.0306000000000048</f>
        <v>337.744148</v>
      </c>
      <c r="X205" s="3">
        <f>0+(791.3-390.7)+(0+(-1.210689--0.597771))+0-32--0.0489600000000018</f>
        <v>368.03604200000001</v>
      </c>
      <c r="Y205" s="3">
        <f>0+(804.8-408.1)+(0+(-1.641792--0.832524))+0-32--0.0652799999999986</f>
        <v>363.95601199999993</v>
      </c>
      <c r="Z205" s="3">
        <f>0+(777.7-405.2)+(0+(-1.189881--0.619956))+0-32--0.0489600000000018</f>
        <v>339.97903500000007</v>
      </c>
      <c r="AA205" s="3">
        <f>0+(807.3-429.7)+(0+(-0.823446--0.438294))+0-32--0.0326400000000051</f>
        <v>345.24748799999998</v>
      </c>
      <c r="AB205" s="3">
        <f>0+(733.3-375.1)+(0+(-0.747966--0.382602))+0-31--0.0316200000000049</f>
        <v>326.86625599999996</v>
      </c>
      <c r="AC205" s="3">
        <f>0+(570.8-251.4)+(0+(-0.291108--0.128214))+0-31--0.0158099999999969</f>
        <v>288.25291599999997</v>
      </c>
      <c r="AD205">
        <f t="shared" si="3"/>
        <v>7089.1860109999998</v>
      </c>
      <c r="AE205" s="3">
        <f>0+(794.7-418.9)+(0+(0-0))+0-32-0</f>
        <v>343.80000000000007</v>
      </c>
    </row>
    <row r="206" spans="1:31" s="2" customFormat="1" x14ac:dyDescent="0.25">
      <c r="A206">
        <v>89</v>
      </c>
      <c r="B206">
        <v>7</v>
      </c>
      <c r="C206">
        <v>20</v>
      </c>
      <c r="D206">
        <v>4</v>
      </c>
      <c r="E206">
        <v>1</v>
      </c>
      <c r="F206" s="3">
        <f>0+(448.9-169.4)+(0+(-0.915756--0.345576))+0-32--0.0652799999999986</f>
        <v>246.99510000000001</v>
      </c>
      <c r="G206" s="3">
        <f>0+(379.1-129.8)+(0+(-0.193341--0.066198))+0-32--0.0163199999999968</f>
        <v>217.18917700000003</v>
      </c>
      <c r="H206" s="3">
        <f>0+(379.9-155.8)+(0+(-0.581247--0.238374))+0-32--0.0489600000000018</f>
        <v>191.80608699999996</v>
      </c>
      <c r="I206" s="3">
        <f>0+(341.8-116.9)+(0+(-0.522954--0.178857))+0-32--0.0489600000000018</f>
        <v>192.60486299999999</v>
      </c>
      <c r="J206" s="3">
        <f>0+(271.4-47.7)+(0+(-0.276828--0.048654))+0-32--0.0326400000000051</f>
        <v>191.50446600000001</v>
      </c>
      <c r="K206" s="3">
        <f>0+(302.6-84.3)+(0+(0-0))+0-32-0</f>
        <v>186.3</v>
      </c>
      <c r="L206" s="3">
        <f>0+(281.6-58.2)+(0+(0-0))+0-32-0</f>
        <v>191.40000000000003</v>
      </c>
      <c r="M206" s="3">
        <f>0+(313.3-82.3)+(0+(0.159783-0.041973))+0-31-0.0158099999999969</f>
        <v>200.102</v>
      </c>
      <c r="N206" s="3">
        <f>0+(316-80)+(0+(0-0))+0-31-0</f>
        <v>205</v>
      </c>
      <c r="O206" s="3">
        <f>0+(605-275)+(0+(0-0))+0-26-0</f>
        <v>304</v>
      </c>
      <c r="P206" s="3">
        <f>0+(649-335)+(0+(-1.65495--0.85425))+0-32--0.0815999999999954</f>
        <v>281.28089999999997</v>
      </c>
      <c r="Q206" s="3">
        <f>0+(699.8-373.5)+(0+(0-0))+0-32-0</f>
        <v>294.29999999999995</v>
      </c>
      <c r="R206" s="3">
        <f>0+(768.9-430)+(0+(0-0))+0-31-0</f>
        <v>307.89999999999998</v>
      </c>
      <c r="S206" s="3">
        <f>0+(851-502)+(0+(0-0))+0-32-0</f>
        <v>317</v>
      </c>
      <c r="T206" s="3">
        <f>0+(834.2-489.1)+(0+(-2.12721--1.247205))+0-31--0.0790499999999955</f>
        <v>313.29904500000004</v>
      </c>
      <c r="U206" s="3">
        <f>0+(804.1-457.4)+(0+(-0.820182--0.466548))+0-32--0.0326400000000051</f>
        <v>314.37900600000006</v>
      </c>
      <c r="V206" s="3">
        <f>0+(711.7-369.3)+(0+(-2.177802--1.130058))+0-32--0.0979200000000037</f>
        <v>309.450176</v>
      </c>
      <c r="W206" s="3">
        <f>0+(521.5-188.7)+(0+(-1.06386--0.384948))+0-31--0.0632399999999986</f>
        <v>301.18432799999999</v>
      </c>
      <c r="X206" s="3">
        <f>0+(654.6-287.9)+(0+(-1.335384--0.587316))+0-32--0.0652799999999986</f>
        <v>334.01721200000003</v>
      </c>
      <c r="Y206" s="3">
        <f>0+(697.7-327.9)+(0+(-1.067481--0.501687))+0-31--0.0474300000000018</f>
        <v>338.28163600000011</v>
      </c>
      <c r="Z206" s="3">
        <f>0+(651.8-295.9)+(0+(-0.997254--0.452727))+0-32--0.0489600000000018</f>
        <v>323.40443299999998</v>
      </c>
      <c r="AA206" s="3">
        <f>0+(612.3-254)+(0+(-1.873638--0.77724))+0-31--0.0948600000000036</f>
        <v>326.29846199999992</v>
      </c>
      <c r="AB206" s="3">
        <f>0+(415.9-84.3)+(0+(-0.848436--0.171972))+0-31--0.0632399999999986</f>
        <v>299.98677599999996</v>
      </c>
      <c r="AC206" s="3">
        <f>0+(351.8-41.2)+(0+(-0.89709--0.10506))+0-31--0.0790499999999955</f>
        <v>278.88702000000001</v>
      </c>
      <c r="AD206">
        <f t="shared" si="3"/>
        <v>6466.5706870000004</v>
      </c>
      <c r="AE206" s="3">
        <f>0+(678.6-318)+(0+(0-0))+0-31-0</f>
        <v>329.6</v>
      </c>
    </row>
    <row r="207" spans="1:31" s="2" customFormat="1" x14ac:dyDescent="0.25">
      <c r="A207">
        <v>89</v>
      </c>
      <c r="B207">
        <v>7</v>
      </c>
      <c r="C207">
        <v>21</v>
      </c>
      <c r="D207">
        <v>5</v>
      </c>
      <c r="E207">
        <v>1</v>
      </c>
      <c r="F207" s="3">
        <f>0+(319.9-85.4)+(0+(-0.163149--0.043554))+0-30--0.015299999999997</f>
        <v>204.39570499999996</v>
      </c>
      <c r="G207" s="3">
        <f>0+(321.6-91.6)+(0+(-0.492048--0.140148))+0-30--0.0459000000000017</f>
        <v>199.69400000000002</v>
      </c>
      <c r="H207" s="3">
        <f>0+(305-72.4)+(0+(-0.46665--0.110772))+0-32--0.0489600000000018</f>
        <v>200.293082</v>
      </c>
      <c r="I207" s="3">
        <f>0+(290.2-62.4)+(0+(-0.444006--0.095472))+0-31--0.0474300000000018</f>
        <v>196.49889599999997</v>
      </c>
      <c r="J207" s="3">
        <f>0+(282.6-54.3)+(0+(0-0))+0-31-0</f>
        <v>197.3</v>
      </c>
      <c r="K207" s="3">
        <f>0+(269.3-49.1)+(0+(-0.549372--0.100164))+0-30--0.0611999999999987</f>
        <v>189.811992</v>
      </c>
      <c r="L207" s="3">
        <f>0+(324.2-96.6)+(0+(-0.496026--0.147798))+0-32--0.0489600000000018</f>
        <v>195.30073199999998</v>
      </c>
      <c r="M207" s="3">
        <f>0+(363.1-106.5)+(0+(0.370362-0.10863))+0-31-0.0316200000000049</f>
        <v>225.83011200000001</v>
      </c>
      <c r="N207" s="3">
        <f>0+(405-117.8)+(0+(-0.4131--0.120156))+0-31--0.0316200000000049</f>
        <v>255.93867600000002</v>
      </c>
      <c r="O207" s="3">
        <f>0+(533.4-217.5)+(0+(-0.816102--0.332775))+0-31--0.0474300000000018</f>
        <v>284.46410300000002</v>
      </c>
      <c r="P207" s="3">
        <f>0+(513.9-197.3)+(0+(-0.786267--0.301869))+0-31--0.0474300000000018</f>
        <v>285.16303199999999</v>
      </c>
      <c r="Q207" s="3">
        <f>0+(622.3-279.5)+(0+(0.317373-0.142545))+0-32-0.0163199999999968</f>
        <v>310.95850799999994</v>
      </c>
      <c r="R207" s="3">
        <f>0+(607.4-266.9)+(0+(-1.858644--0.816714))+0-32--0.0979200000000037</f>
        <v>307.55599000000001</v>
      </c>
      <c r="S207" s="3">
        <f>0+(618.4-287.8)+(0+(-0.315384--0.146778))+0-31--0.0158099999999969</f>
        <v>299.44720399999994</v>
      </c>
      <c r="T207" s="3">
        <f>0+(626.2-294)+(0+(-0.638724--0.29988))+0-29--0.0295800000000046</f>
        <v>302.89073600000006</v>
      </c>
      <c r="U207" s="3">
        <f>0+(609.8-283.7)+(0+(-0.621996--0.289374))+0-30--0.0306000000000048</f>
        <v>295.79797799999994</v>
      </c>
      <c r="V207" s="3">
        <f>0+(519.6-214.5)+(0+(-1.059984--0.43758))+0-21--0.0428399999999991</f>
        <v>283.52043600000002</v>
      </c>
      <c r="W207" s="3">
        <f>0+(422.5-118.5)+(0+(-0.215475--0.060435))+0-31--0.0158099999999969</f>
        <v>272.86077</v>
      </c>
      <c r="X207" s="3">
        <f>0+(449.2-137.6)+(0+(-0.916368--0.280704))+0-32--0.0652799999999986</f>
        <v>279.02961599999998</v>
      </c>
      <c r="Y207" s="3">
        <f>0+(503.6-182.4)+(0+(-1.027344--0.372096))+0-31--0.0632399999999986</f>
        <v>289.60799200000008</v>
      </c>
      <c r="Z207" s="3">
        <f>0+(544.1-227.8)+(0+(-1.387455--0.58089))+0-32--0.0815999999999954</f>
        <v>283.57503500000001</v>
      </c>
      <c r="AA207" s="3">
        <f>0+(510.4-201.8)+(0+(-0.780912--0.308754))+0-32--0.0489600000000018</f>
        <v>276.17680200000001</v>
      </c>
      <c r="AB207" s="3">
        <f>0+(440.3-161.6)+(0+(-0.673659--0.247248))+0-32--0.0489600000000018</f>
        <v>246.32254900000007</v>
      </c>
      <c r="AC207" s="3">
        <f>0+(351.3-93.3)+(0+(-0.895815--0.237915))+0-28--0.0713999999999959</f>
        <v>229.4135</v>
      </c>
      <c r="AD207">
        <f t="shared" si="3"/>
        <v>6111.8474460000007</v>
      </c>
      <c r="AE207" s="3">
        <f>0+(419.2-90)+(0+(0-0))+0-31-0</f>
        <v>298.2</v>
      </c>
    </row>
    <row r="208" spans="1:31" s="2" customFormat="1" x14ac:dyDescent="0.25">
      <c r="A208">
        <v>89</v>
      </c>
      <c r="B208">
        <v>7</v>
      </c>
      <c r="C208">
        <v>22</v>
      </c>
      <c r="D208">
        <v>6</v>
      </c>
      <c r="E208">
        <v>1</v>
      </c>
      <c r="F208" s="3">
        <f>0+(349.1-61.2)+(0+(-1.246287--0.218484))+0-31--0.11067</f>
        <v>255.98286700000003</v>
      </c>
      <c r="G208" s="3">
        <f>0+(305.6-32.5)+(0+(-0.311712--0.03315))+0-32--0.0326400000000051</f>
        <v>240.85407800000002</v>
      </c>
      <c r="H208" s="3">
        <f>0+(291.7-18)+(0+(-0.446301--0.02754))+0-32--0.0489600000000018</f>
        <v>241.33019899999996</v>
      </c>
      <c r="I208" s="3">
        <f>0+(281.7-17.7)+(0+(-0.287334--0.018054))+0-32--0.0326400000000051</f>
        <v>231.76336000000003</v>
      </c>
      <c r="J208" s="3">
        <f>0+(267.5-4.1)+(0+(0.136425-0.002091))+0-32-0.0163199999999968</f>
        <v>231.51801399999999</v>
      </c>
      <c r="K208" s="3">
        <f>0+(270.6-3.4)+(0+(-0.414018--0.005202))+0-32--0.0489600000000018</f>
        <v>234.84014400000004</v>
      </c>
      <c r="L208" s="3">
        <f>0+(282.2-19.5)+(0+(-0.287844--0.01989))+0-27--0.0275400000000043</f>
        <v>235.45958600000003</v>
      </c>
      <c r="M208" s="3">
        <f>0+(281.5-7.4)+(0+(0.28713-0.007548))+0-31-0.0316200000000049</f>
        <v>243.34796200000002</v>
      </c>
      <c r="N208" s="3">
        <f>0+(440.4-134.5)+(0+(-0.224604--0.068595))+0-32--0.0163199999999968</f>
        <v>273.760311</v>
      </c>
      <c r="O208" s="3">
        <f>0+(499.2-192)+(0+(0.254592-0.09792))+0-32-0.0163199999999968</f>
        <v>275.340352</v>
      </c>
      <c r="P208" s="3">
        <f>0+(455.8-137.5)+(0+(-0.464916--0.14025))+0-31--0.0316200000000049</f>
        <v>287.00695400000006</v>
      </c>
      <c r="Q208" s="3">
        <f>0+(516.5-188)+(0+(0.52683-0.19176))+0-31-0.0316200000000049</f>
        <v>297.80344999999994</v>
      </c>
      <c r="R208" s="3">
        <f>0+(481.1-208.6)+(0+(-1.717527--0.744702))+0-31--0.11067</f>
        <v>240.637845</v>
      </c>
      <c r="S208" s="3">
        <f>0+(508.4-212.1)+(0+(-1.555704--0.649026))+0-31--0.0948600000000036</f>
        <v>264.48818199999994</v>
      </c>
      <c r="T208" s="3">
        <f>0+(538.8-245.3)+(0+(-0.549576--0.250206))+0-32--0.0326400000000051</f>
        <v>261.23326999999995</v>
      </c>
      <c r="U208" s="3">
        <f>0+(476.8-204.2)+(0+(-1.21584--0.52071))+0-32--0.0815999999999954</f>
        <v>239.98647000000003</v>
      </c>
      <c r="V208" s="3">
        <f>0+(424.8-163.5)+(0+(0.216648-0.083385))+0-32-0.0163199999999968</f>
        <v>229.416943</v>
      </c>
      <c r="W208" s="3">
        <f>0+(403.7-101.3)+(0+(-0.411774--0.103326))+0-32--0.0326400000000051</f>
        <v>270.12419199999999</v>
      </c>
      <c r="X208" s="3">
        <f>0+(465.2-146.6)+(0+(-0.474504--0.149532))+0-32--0.0326400000000051</f>
        <v>286.30766800000004</v>
      </c>
      <c r="Y208" s="3">
        <f>0+(523-200.8)+(0+(-1.06692--0.409632))+0-32--0.0652799999999986</f>
        <v>289.60799199999997</v>
      </c>
      <c r="Z208" s="3">
        <f>0+(550.5-234.8)+(0+(-0.56151--0.239496))+0-32--0.0326400000000051</f>
        <v>283.41062599999998</v>
      </c>
      <c r="AA208" s="3">
        <f>0+(553.2-255.1)+(0+(-1.41066--0.650505))+0-32--0.0815999999999954</f>
        <v>265.42144500000001</v>
      </c>
      <c r="AB208" s="3">
        <f>0+(530.1-181.6)+(0+(-0.270351--0.092616))+0-32--0.0163199999999968</f>
        <v>316.33858500000002</v>
      </c>
      <c r="AC208" s="3">
        <f>0+(509.7-193.1)+(0+(-1.559682--0.590886))+0-32--0.0979200000000037</f>
        <v>283.72912400000001</v>
      </c>
      <c r="AD208">
        <f t="shared" si="3"/>
        <v>6279.709619000002</v>
      </c>
      <c r="AE208" s="3">
        <f>0+(487.5-159.7)+(0+(0-0))+0-31-0</f>
        <v>296.8</v>
      </c>
    </row>
    <row r="209" spans="1:31" s="2" customFormat="1" x14ac:dyDescent="0.25">
      <c r="A209">
        <v>89</v>
      </c>
      <c r="B209">
        <v>7</v>
      </c>
      <c r="C209">
        <v>23</v>
      </c>
      <c r="D209">
        <v>7</v>
      </c>
      <c r="E209">
        <v>1</v>
      </c>
      <c r="F209" s="3">
        <f>0+(387.2-134.9)+(0+(-0.394944--0.137598))+0-32--0.0326400000000051</f>
        <v>220.07529399999999</v>
      </c>
      <c r="G209" s="3">
        <f>0+(301.9-64.7)+(0+(-0.461907--0.098991))+0-32--0.0489600000000018</f>
        <v>204.88604399999997</v>
      </c>
      <c r="H209" s="3">
        <f>0+(286.1-58.2)+(0+(0-0))+0-33-0</f>
        <v>194.90000000000003</v>
      </c>
      <c r="I209" s="3">
        <f>0+(253.4-38.1)+(0+(-0.129234--0.019431))+0-32--0.0163199999999968</f>
        <v>183.20651700000002</v>
      </c>
      <c r="J209" s="3">
        <f>0+(233.7-38)+(0+(0.119187-0.01938))+0-32-0.0163199999999968</f>
        <v>163.78348699999998</v>
      </c>
      <c r="K209" s="3">
        <f>0+(243.9-45.4)+(0+(-0.373167--0.069462))+0-32--0.0489600000000018</f>
        <v>166.24525499999999</v>
      </c>
      <c r="L209" s="3">
        <f>0+(212.1-26)+(0+(-0.324513--0.03978))+0-32--0.0489600000000018</f>
        <v>153.864227</v>
      </c>
      <c r="M209" s="3">
        <f>0+(216.8-21)+(0+(0-0))+0-32-0</f>
        <v>163.80000000000001</v>
      </c>
      <c r="N209" s="3">
        <f>0+(345-106.5)+(0+(0-0))+0-33-0</f>
        <v>205.5</v>
      </c>
      <c r="O209" s="3">
        <f>0+(475.7-213.7)+(0+(-1.213035--0.544935))+0-32--0.0815999999999954</f>
        <v>229.41350000000003</v>
      </c>
      <c r="P209" s="3">
        <f>0+(503.5-221.2)+(0+(-1.02714--0.451248))+0-32--0.0652799999999986</f>
        <v>249.789388</v>
      </c>
      <c r="Q209" s="3">
        <f>0+(537.9-250.2)+(0+(-0.548658--0.255204))+0-32--0.0326400000000051</f>
        <v>255.43918600000001</v>
      </c>
      <c r="R209" s="3">
        <f>0+(565.6-279.8)+(0+(-0.576912--0.285396))+0-32--0.0326400000000051</f>
        <v>253.54112400000002</v>
      </c>
      <c r="S209" s="3">
        <f>0+(597.6-310.9)+(0+(0-0))+0-32-0</f>
        <v>254.70000000000005</v>
      </c>
      <c r="T209" s="3">
        <f>0+(594.1-309.2)+(0+(-0.302991--0.157692))+0-30--0.015299999999997</f>
        <v>254.77000100000001</v>
      </c>
      <c r="U209" s="3">
        <f>0+(531.1-252.2)+(0+(-1.083444--0.514488))+0-30--0.0611999999999987</f>
        <v>248.39224400000001</v>
      </c>
      <c r="V209" s="3">
        <f>0+(507-230.3)+(0+(-0.51714--0.234906))+0-31--0.0316200000000049</f>
        <v>245.44938599999998</v>
      </c>
      <c r="W209" s="3">
        <f>0+(386.1-109.4)+(0+(-0.787644--0.223176))+0-32--0.0652799999999986</f>
        <v>244.20081200000007</v>
      </c>
      <c r="X209" s="3">
        <f>0+(477.4-181)+(0+(-0.486948--0.18462))+0-32--0.0326400000000051</f>
        <v>264.130312</v>
      </c>
      <c r="Y209" s="3">
        <f>0+(478.8-171.9)+(0+(-0.976752--0.350676))+0-32--0.0652799999999986</f>
        <v>274.33920399999994</v>
      </c>
      <c r="Z209" s="3">
        <f>0+(437.9-141.2)+(0+(0-0))+0-32-0</f>
        <v>264.7</v>
      </c>
      <c r="AA209" s="3">
        <f>0+(528.5-227.3)+(0+(-0.808605--0.347769))+0-32--0.0489600000000018</f>
        <v>268.78812400000004</v>
      </c>
      <c r="AB209" s="3">
        <f>0+(463.4-189.2)+(0+(0-0))+0-31-0</f>
        <v>243.2</v>
      </c>
      <c r="AC209" s="3">
        <f>0+(412.6-145.6)+(0+(-1.262556--0.445536))+0-30--0.0918000000000035</f>
        <v>236.27477999999999</v>
      </c>
      <c r="AD209">
        <f t="shared" si="3"/>
        <v>5443.3888849999994</v>
      </c>
      <c r="AE209" s="3">
        <f>0+(464.7-154.7)+(0+(0-0))+0-32-0</f>
        <v>278</v>
      </c>
    </row>
    <row r="210" spans="1:31" s="2" customFormat="1" x14ac:dyDescent="0.25">
      <c r="A210">
        <v>89</v>
      </c>
      <c r="B210">
        <v>7</v>
      </c>
      <c r="C210">
        <v>24</v>
      </c>
      <c r="D210">
        <v>1</v>
      </c>
      <c r="E210">
        <v>1</v>
      </c>
      <c r="F210" s="3">
        <f>0+(395.6-140.1)+(0+(-1.00878--0.357255))+0-32--0.0815999999999954</f>
        <v>222.93007500000004</v>
      </c>
      <c r="G210" s="3">
        <f>0+(291.9-52.6)+(0+(-0.744345--0.13413))+0-32--0.0815999999999954</f>
        <v>206.77138499999998</v>
      </c>
      <c r="H210" s="3">
        <f>0+(292.5-52.5)+(0+(-0.149175--0.026775))+0-32--0.0163199999999968</f>
        <v>207.89392000000001</v>
      </c>
      <c r="I210" s="3">
        <f>0+(320.6-88.7)+(0+(0.163506-0.045237))+0-32-0.0163199999999968</f>
        <v>200.00194900000002</v>
      </c>
      <c r="J210" s="3">
        <f>0+(347-94.6)+(0+(-0.35394--0.096492))+0-32--0.0326400000000051</f>
        <v>220.17519200000001</v>
      </c>
      <c r="K210" s="3">
        <f>0+(356.8-99.6)+(0+(-0.181968--0.050796))+0-32--0.0163199999999968</f>
        <v>225.08514800000006</v>
      </c>
      <c r="L210" s="3">
        <f>0+(410.3-142.5)+(0+(0.209253-0.072675))+0-27-0.0137699999999973</f>
        <v>240.922808</v>
      </c>
      <c r="M210" s="3">
        <f>0+(533.3-219.1)+(0+(0.543966-0.223482))+0-31-0.0316200000000049</f>
        <v>283.48886399999992</v>
      </c>
      <c r="N210" s="3">
        <f>0+(704.2-345.8)+(0+(-0.359142--0.176358))+0-29--0.0147899999999971</f>
        <v>329.23200600000001</v>
      </c>
      <c r="O210" s="3">
        <f>0+(787.4-380)+(0+(0-0))+0-27-0</f>
        <v>380.4</v>
      </c>
      <c r="P210" s="3">
        <f>0+(781.9-404.4)+(0+(0-0))+0-31-0</f>
        <v>346.5</v>
      </c>
      <c r="Q210" s="3">
        <f>0+(883.2-477.9)+(0+(-0.900864--0.487458))+0-31--0.0316200000000049</f>
        <v>373.91821400000009</v>
      </c>
      <c r="R210" s="3">
        <f>0+(886.2-491.4)+(0+(-0.451962--0.250614))+0-31--0.0158099999999969</f>
        <v>363.61446200000006</v>
      </c>
      <c r="S210" s="3">
        <f>0+(876.9-486.7)+(0+(0.447219-0.248217))+0-29-0.0147899999999971</f>
        <v>361.38421199999999</v>
      </c>
      <c r="T210" s="3">
        <f>0+(881-497.1)+(0+(0-0))+0-32-0</f>
        <v>351.9</v>
      </c>
      <c r="U210" s="3">
        <f>0+(831.7-460.7)+(0+(-0.848334--0.469914))+0-32--0.0326400000000051</f>
        <v>338.65422000000007</v>
      </c>
      <c r="V210" s="3">
        <f>0+(718.4-370.9)+(0+(0.366384-0.189159))+0-32-0.0163199999999968</f>
        <v>315.66090500000001</v>
      </c>
      <c r="W210" s="3">
        <f>0+(642.3-277.8)+(0+(-0.327573--0.141678))+0-31--0.0158099999999969</f>
        <v>333.32991499999991</v>
      </c>
      <c r="X210" s="3">
        <f>0+(751.2-354.6)+(0+(-1.91556--0.90423))+0-33--0.0841499999999952</f>
        <v>362.67282000000006</v>
      </c>
      <c r="Y210" s="3">
        <f>0+(743.3-349.4)+(0+(0.379083-0.178194))+0-32-0.0163199999999968</f>
        <v>362.08456899999999</v>
      </c>
      <c r="Z210" s="3">
        <f>0+(751.8-371.8)+(0+(0-0))+0-32-0</f>
        <v>347.99999999999994</v>
      </c>
      <c r="AA210" s="3">
        <f>0+(752.6-390)+(0+(0-0))+0-32-0</f>
        <v>330.6</v>
      </c>
      <c r="AB210" s="3">
        <f>0+(660-316.2)+(0+(-1.3464--0.645048))+0-33--0.0673199999999986</f>
        <v>310.16596800000002</v>
      </c>
      <c r="AC210" s="3">
        <f>0+(594.8-279)+(0+(-1.51674--0.71145))+0-30--0.0764999999999956</f>
        <v>285.07120999999995</v>
      </c>
      <c r="AD210">
        <f t="shared" si="3"/>
        <v>7300.4578420000007</v>
      </c>
      <c r="AE210" s="3">
        <f>0+(739.7-387.7)+(0+(0-0))+0-31-0</f>
        <v>321.00000000000006</v>
      </c>
    </row>
    <row r="211" spans="1:31" s="2" customFormat="1" x14ac:dyDescent="0.25">
      <c r="A211">
        <v>89</v>
      </c>
      <c r="B211">
        <v>7</v>
      </c>
      <c r="C211">
        <v>25</v>
      </c>
      <c r="D211">
        <v>2</v>
      </c>
      <c r="E211">
        <v>1</v>
      </c>
      <c r="F211" s="3">
        <f>0+(475-169.5)+(0+(-0.72675--0.259335))+0-32--0.0489600000000018</f>
        <v>273.08154500000001</v>
      </c>
      <c r="G211" s="3">
        <f>0+(437.6-142.7)+(0+(-0.669528--0.218331))+0-32--0.0489600000000018</f>
        <v>262.49776300000008</v>
      </c>
      <c r="H211" s="3">
        <f>0+(416-125)+(0+(-0.63648--0.19125))+0-32--0.0489600000000018</f>
        <v>258.60373000000004</v>
      </c>
      <c r="I211" s="3">
        <f>0+(354.1-64.4)+(0+(-0.180591--0.032844))+0-31--0.0158099999999969</f>
        <v>258.56806300000005</v>
      </c>
      <c r="J211" s="3">
        <f>0+(365.1-75.3)+(0+(0.186201-0.038403))+0-31-0.0158099999999969</f>
        <v>258.93198800000005</v>
      </c>
      <c r="K211" s="3">
        <f>0+(369.3-64.8)+(0+(-0.188343--0.033048))+0-30--0.015299999999997</f>
        <v>274.360005</v>
      </c>
      <c r="L211" s="3">
        <f>0+(387.4-102.2)+(0+(-0.197574--0.052122))+0-32--0.0163199999999968</f>
        <v>253.07086800000002</v>
      </c>
      <c r="M211" s="3">
        <f>0+(497.9-189.9)+(0+(0.253929-0.096849))+0-32-0.0163199999999968</f>
        <v>276.14076</v>
      </c>
      <c r="N211" s="3">
        <f>0+(642.4-292.5)+(0+(0.982872-0.447525))+0-32-0.0489600000000018</f>
        <v>318.38638699999996</v>
      </c>
      <c r="O211" s="3">
        <f>0+(707.1-335.8)+(0+(0-0))+0-31-0</f>
        <v>340.3</v>
      </c>
      <c r="P211" s="3">
        <f>0+(752.2-379.7)+(0+(-0.383622--0.193647))+0-34--0.0173399999999966</f>
        <v>338.32736500000004</v>
      </c>
      <c r="Q211" s="3">
        <f>0+(841.4-421)+(0+(-0.429114--0.21471))+0-32--0.0163199999999968</f>
        <v>388.20191599999998</v>
      </c>
      <c r="R211" s="3">
        <f>0+(890.9-468.5)+(0+(0-0))+0-32-0</f>
        <v>390.4</v>
      </c>
      <c r="S211" s="3">
        <f>0+(903.6-484.9)+(0+(-0.460836--0.247299))+0-32--0.0163199999999968</f>
        <v>386.50278300000008</v>
      </c>
      <c r="T211" s="3">
        <f>0+(928.5-499)+(0+(0-0))+0-32-0</f>
        <v>397.5</v>
      </c>
      <c r="U211" s="3">
        <f>0+(896.5-477.6)+(0+(-1.371645--0.730728))+0-32--0.0489600000000018</f>
        <v>386.308043</v>
      </c>
      <c r="V211" s="3">
        <f>0+(700.6-329.5)+(0+(-0.714612--0.33609))+0-33--0.0336600000000053</f>
        <v>337.75513800000004</v>
      </c>
      <c r="W211" s="3">
        <f>0+(678.6-289.6)+(0+(-0.346086--0.147696))+0-36--0.0183599999999963</f>
        <v>352.81996999999996</v>
      </c>
      <c r="X211" s="3">
        <f>0+(802.2-393)+(0+(-1.227366--0.60129))+0-32--0.0489600000000018</f>
        <v>376.62288400000006</v>
      </c>
      <c r="Y211" s="3">
        <f>0+(817.7-411.1)+(0+(-1.668108--0.838644))+0-32--0.0652799999999986</f>
        <v>373.83581600000002</v>
      </c>
      <c r="Z211" s="3">
        <f>0+(780.5-391)+(0+(-1.194165--0.59823))+0-32--0.0489600000000018</f>
        <v>356.95302500000003</v>
      </c>
      <c r="AA211" s="3">
        <f>0+(848.2-448.1)+(0+(-0.432582--0.228531))+0-32--0.0163199999999968</f>
        <v>367.91226900000004</v>
      </c>
      <c r="AB211" s="3">
        <f>0+(696.1-348.3)+(0+(-1.065033--0.532899))+0-32--0.0489600000000018</f>
        <v>315.31682600000005</v>
      </c>
      <c r="AC211" s="3">
        <f>0+(604.1-277.6)+(0+(-0.308091--0.141576))+0-32--0.0163199999999968</f>
        <v>294.349805</v>
      </c>
      <c r="AD211">
        <f t="shared" si="3"/>
        <v>7836.7469490000012</v>
      </c>
      <c r="AE211" s="3">
        <f>0+(832-445.5)+(0+(0-0))+0-32-0</f>
        <v>354.5</v>
      </c>
    </row>
    <row r="212" spans="1:31" s="2" customFormat="1" x14ac:dyDescent="0.25">
      <c r="A212">
        <v>89</v>
      </c>
      <c r="B212">
        <v>7</v>
      </c>
      <c r="C212">
        <v>26</v>
      </c>
      <c r="D212">
        <v>3</v>
      </c>
      <c r="E212">
        <v>1</v>
      </c>
      <c r="F212" s="3">
        <f>0+(483.5-181.3)+(0+(-0.98634--0.369852))+0-32--0.0652799999999986</f>
        <v>269.64879199999996</v>
      </c>
      <c r="G212" s="3">
        <f>0+(412.3-130.7)+(0+(0.210273-0.066657))+0-32-0.0163199999999968</f>
        <v>249.72729600000002</v>
      </c>
      <c r="H212" s="3">
        <f>0+(421.7-139.1)+(0+(-0.430134--0.141882))+0-14--0.0142800000000022</f>
        <v>268.32602800000001</v>
      </c>
      <c r="I212" s="3">
        <f>0+(388.9-113.1)+(0+(-0.793356--0.230724))+0-32--0.0652799999999986</f>
        <v>243.30264799999995</v>
      </c>
      <c r="J212" s="3">
        <f>0+(358.3-96.4)+(0+(0.548199-0.147492))+0-28-0.0428400000000016</f>
        <v>234.25786699999998</v>
      </c>
      <c r="K212" s="3">
        <f>0+(362.9-70.7)+(0+(-0.555237--0.108171))+0-32--0.0489600000000018</f>
        <v>259.801894</v>
      </c>
      <c r="L212" s="3">
        <f>0+(319.3-57)+(0+(0.325686-0.05814))+0-32-0.0326400000000051</f>
        <v>230.53490599999998</v>
      </c>
      <c r="M212" s="3">
        <f>0+(465.1-188.9)+(0+(0.237201-0.096339))+0-32-0.0163199999999968</f>
        <v>244.32454200000006</v>
      </c>
      <c r="N212" s="3">
        <f>0+(532.6-228.4)+(0+(0.543252-0.232968))+0-31-0.0316200000000049</f>
        <v>273.47866400000004</v>
      </c>
      <c r="O212" s="3">
        <f>0+(637.3-312.7)+(0+(0-0))+0-35-0</f>
        <v>289.59999999999997</v>
      </c>
      <c r="P212" s="3">
        <f>0+(634-302.2)+(0+(0-0))+0-31-0</f>
        <v>300.8</v>
      </c>
      <c r="Q212" s="3">
        <f>0+(712.3-368.1)+(0+(0-0))+0-32-0</f>
        <v>312.19999999999993</v>
      </c>
      <c r="R212" s="3">
        <f>0+(803.3-434)+(0+(0.819366-0.44268))+0-32-0.0326400000000051</f>
        <v>337.64404599999995</v>
      </c>
      <c r="S212" s="3">
        <f>0+(826.1-459.3)+(0+(0.421311-0.234243))+0-32-0.0163199999999968</f>
        <v>334.97074800000001</v>
      </c>
      <c r="T212" s="3">
        <f>0+(825-459.8)+(0+(-1.26225--0.703494))+0-32--0.0489600000000018</f>
        <v>332.69020399999999</v>
      </c>
      <c r="U212" s="3">
        <f>0+(814.8-447)+(0+(-0.415548--0.22797))+0-32--0.0163199999999968</f>
        <v>335.62874199999999</v>
      </c>
      <c r="V212" s="3">
        <f>0+(692.3-350.5)+(0+(-0.706146--0.35751))+0-32--0.0326400000000051</f>
        <v>309.48400399999997</v>
      </c>
      <c r="W212" s="3">
        <f>0+(640.8-299.7)+(0+(0.326808-0.152847))+0-29-0.0147899999999971</f>
        <v>312.25917099999998</v>
      </c>
      <c r="X212" s="3">
        <f>0+(872.5-482.4)+(0+(-1.334925--0.738072))+0-32--0.0489600000000018</f>
        <v>357.55210700000003</v>
      </c>
      <c r="Y212" s="3">
        <f>0+(883.2-489.1)+(0+(0-0))+0-33-0</f>
        <v>361.1</v>
      </c>
      <c r="Z212" s="3">
        <f>0+(847.7-473.6)+(0+(0-0))+0-31-0</f>
        <v>343.1</v>
      </c>
      <c r="AA212" s="3">
        <f>0+(839.2-477.8)+(0+(-2.13996--1.21839))+0-32--0.0815999999999954</f>
        <v>328.56003000000004</v>
      </c>
      <c r="AB212" s="3">
        <f>0+(648-303.3)+(0+(-0.66096--0.309366))+0-33--0.0336600000000053</f>
        <v>311.38206600000001</v>
      </c>
      <c r="AC212" s="3">
        <f>0+(617.2-288.5)+(0+(-1.888632--0.88281))+0-31--0.0948600000000036</f>
        <v>296.78903800000001</v>
      </c>
      <c r="AD212">
        <f t="shared" si="3"/>
        <v>7137.1627929999995</v>
      </c>
      <c r="AE212" s="3">
        <f>0+(895.6-493.7)+(0+(0-0))+0-31-0</f>
        <v>370.90000000000003</v>
      </c>
    </row>
    <row r="213" spans="1:31" s="2" customFormat="1" x14ac:dyDescent="0.25">
      <c r="A213">
        <v>89</v>
      </c>
      <c r="B213">
        <v>7</v>
      </c>
      <c r="C213">
        <v>27</v>
      </c>
      <c r="D213">
        <v>4</v>
      </c>
      <c r="E213">
        <v>1</v>
      </c>
      <c r="F213" s="3">
        <f>0+(567.9-265)+(0+(-0.579258--0.2703))+0-31--0.0316200000000049</f>
        <v>271.62266199999999</v>
      </c>
      <c r="G213" s="3">
        <f>0+(472.1-194.4)+(0+(-0.240771--0.099144))+0-31--0.0158099999999969</f>
        <v>246.574183</v>
      </c>
      <c r="H213" s="3">
        <f>0+(474.2-193.8)+(0+(-0.725526--0.296514))+0-31--0.0474300000000018</f>
        <v>249.01841799999997</v>
      </c>
      <c r="I213" s="3">
        <f>0+(478.5-197.3)+(0+(-0.244035--0.100623))+0-31--0.0158099999999969</f>
        <v>250.07239799999996</v>
      </c>
      <c r="J213" s="3">
        <f>0+(475.4-197.8)+(0+(0.484908-0.201756))+0-31-0.0316200000000049</f>
        <v>246.85153199999993</v>
      </c>
      <c r="K213" s="3">
        <f>0+(467.6-180.9)+(0+(0.476952-0.184518))+0-31-0.0316200000000049</f>
        <v>255.96081400000006</v>
      </c>
      <c r="L213" s="3">
        <f>0+(497.3-208.5)+(0+(0-0))+0-32-0</f>
        <v>256.8</v>
      </c>
      <c r="M213" s="3">
        <f>0+(571.5-259.2)+(0+(0.58293-0.264384))+0-33-0.0336600000000053</f>
        <v>279.58488600000004</v>
      </c>
      <c r="N213" s="3">
        <f>0+(625.5-282.3)+(0+(0.319005-0.143973))+0-32-0.0163199999999968</f>
        <v>311.35871199999997</v>
      </c>
      <c r="O213" s="3">
        <f>0+(664.7-301.6)+(0+(1.355988-0.615264))+0-32-0.0652799999999986</f>
        <v>331.77544400000005</v>
      </c>
      <c r="P213" s="3">
        <f>0+(731-332.4)+(0+(-0.37281--0.169524))+0-31--0.0158099999999969</f>
        <v>367.41252400000002</v>
      </c>
      <c r="Q213" s="3">
        <f>0+(820.7-411.9)+(0+(0.418557-0.210069))+0-32-0.0163199999999968</f>
        <v>376.99216800000005</v>
      </c>
      <c r="R213" s="3">
        <f>0+(812-441.6)+(0+(-2.0706--1.12608))+0-32--0.0815999999999954</f>
        <v>337.53707999999995</v>
      </c>
      <c r="S213" s="3">
        <f>0+(833-479.2)+(0+(0-0))+0-32-0</f>
        <v>321.8</v>
      </c>
      <c r="T213" s="3">
        <f>0+(876-507.8)+(0+(-0.44676--0.258978))+0-32--0.0163199999999968</f>
        <v>336.02853799999997</v>
      </c>
      <c r="U213" s="3">
        <f>0+(781.5-414.2)+(0+(-1.195695--0.633726))+0-32--0.0489600000000018</f>
        <v>334.78699100000006</v>
      </c>
      <c r="V213" s="3">
        <f>0+(674.4-315.5)+(0+(0-0))+0-32-0</f>
        <v>326.89999999999998</v>
      </c>
      <c r="W213" s="3">
        <f>0+(567.5-190.1)+(0+(0.57885-0.193902))+0-32-0.0326400000000051</f>
        <v>345.75230799999997</v>
      </c>
      <c r="X213" s="3">
        <f>0+(789.8-407.3)+(0+(0-0))+0-32-0</f>
        <v>350.49999999999994</v>
      </c>
      <c r="Y213" s="3">
        <f>0+(828.5-459.8)+(0+(-0.422535--0.234498))+0-2--0.0010199999999998</f>
        <v>366.51298299999996</v>
      </c>
      <c r="Z213" s="3">
        <f>0+(815.8-470.3)+(0+(-0.832116--0.479706))+0-13--0.0132600000000021</f>
        <v>332.16084999999993</v>
      </c>
      <c r="AA213" s="3">
        <f>0+(793-447.3)+(0+(-0.80886--0.456246))+0-32--0.0326400000000051</f>
        <v>313.38002599999999</v>
      </c>
      <c r="AB213" s="3">
        <f>0+(715.9-363.1)+(0+(-1.460436--0.740724))+0-32--0.0652799999999986</f>
        <v>320.14556799999991</v>
      </c>
      <c r="AC213" s="3">
        <f>0+(667.8-339.1)+(0+(-1.021734--0.518823))+0-32--0.0489600000000018</f>
        <v>296.24604899999997</v>
      </c>
      <c r="AD213">
        <f t="shared" si="3"/>
        <v>7425.7741339999993</v>
      </c>
      <c r="AE213" s="3">
        <f>0+(797.7-412.9)+(0+(0-0))+0-31-0</f>
        <v>353.80000000000007</v>
      </c>
    </row>
    <row r="214" spans="1:31" s="2" customFormat="1" x14ac:dyDescent="0.25">
      <c r="A214">
        <v>89</v>
      </c>
      <c r="B214">
        <v>7</v>
      </c>
      <c r="C214">
        <v>28</v>
      </c>
      <c r="D214">
        <v>5</v>
      </c>
      <c r="E214">
        <v>1</v>
      </c>
      <c r="F214" s="3">
        <f>0+(525-221.7)+(0+(-1.6065--0.678402))+0-32--0.0979200000000037</f>
        <v>270.46982200000002</v>
      </c>
      <c r="G214" s="3">
        <f>0+(392.8-114.4)+(0+(-0.400656--0.116688))+0-32--0.0326400000000051</f>
        <v>246.14867199999998</v>
      </c>
      <c r="H214" s="3">
        <f>0+(397.1-114.9)+(0+(-0.607563--0.175797))+0-32--0.0489600000000018</f>
        <v>249.81719400000006</v>
      </c>
      <c r="I214" s="3">
        <f>0+(383.8-101)+(0+(-0.391476--0.10302))+0-32--0.0326400000000051</f>
        <v>250.54418400000003</v>
      </c>
      <c r="J214" s="3">
        <f>0+(386.9-106.7)+(0+(0.197319-0.054417))+0-30-0.015299999999997</f>
        <v>250.32760199999998</v>
      </c>
      <c r="K214" s="3">
        <f>0+(449.3-159.4)+(0+(-0.229143--0.081294))+0-32--0.0163199999999968</f>
        <v>257.76847099999998</v>
      </c>
      <c r="L214" s="3">
        <f>0+(434.3-160.6)+(0+(-1.107465--0.40953))+0-32--0.0815999999999954</f>
        <v>241.08366500000008</v>
      </c>
      <c r="M214" s="3">
        <f>0+(542.2-241.5)+(0+(0.553044-0.24633))+0-32-0.0326400000000051</f>
        <v>268.97407400000003</v>
      </c>
      <c r="N214" s="3">
        <f>0+(695.6-344.2)+(0+(0.354756-0.175542))+0-31-0.0158099999999969</f>
        <v>320.56340400000005</v>
      </c>
      <c r="O214" s="3">
        <f>0+(767.9-385.7)+(0+(0-0))+0-31-0</f>
        <v>351.2</v>
      </c>
      <c r="P214" s="3">
        <f>0+(794.7-392)+(0+(1.215891-0.59976))+0-32-0.0489600000000018</f>
        <v>371.26717100000002</v>
      </c>
      <c r="Q214" s="3">
        <f>0+(816.4-405.6)+(0+(-0.416364--0.206856))+0-33--0.0168299999999967</f>
        <v>377.6073219999999</v>
      </c>
      <c r="R214" s="3">
        <f>0+(831-425)+(0+(-1.27143--0.65025))+0-32--0.0489600000000018</f>
        <v>373.42778000000004</v>
      </c>
      <c r="S214" s="3">
        <f>0+(839.6-440)+(0+(0-0))+0-32-0</f>
        <v>367.6</v>
      </c>
      <c r="T214" s="3">
        <f>0+(847.2-444.8)+(0+(-0.432072--0.226848))+0-32--0.0163199999999968</f>
        <v>370.21109600000005</v>
      </c>
      <c r="U214" s="3">
        <f>0+(826.1-437.5)+(0+(-0.842622--0.44625))+0-0-0</f>
        <v>388.20362800000004</v>
      </c>
      <c r="V214" s="3">
        <f>0+(719.2-356)+(0+(-0.366792--0.18156))+0-31--0.0158099999999969</f>
        <v>332.03057800000005</v>
      </c>
      <c r="W214" s="3">
        <f>0+(662.5-284.8)+(0+(-1.013625--0.435744))+0-28--0.0428400000000016</f>
        <v>349.16495900000001</v>
      </c>
      <c r="X214" s="3">
        <f>0+(765.2-355.6)+(0+(-0.390252--0.181356))+0-28--0.0142799999999972</f>
        <v>381.40538400000003</v>
      </c>
      <c r="Y214" s="3">
        <f>0+(810.7-400.2)+(0+(-0.826914--0.408204))+0-31--0.0316200000000049</f>
        <v>379.11291000000011</v>
      </c>
      <c r="Z214" s="3">
        <f>0+(725.6-340.9)+(0+(-1.110168--0.521577))+0-32--0.0489600000000018</f>
        <v>352.16036900000006</v>
      </c>
      <c r="AA214" s="3">
        <f>0+(684.4-322.1)+(0+(-0.349044--0.164271))+0-33--0.0168299999999967</f>
        <v>329.13205699999992</v>
      </c>
      <c r="AB214" s="3">
        <f>0+(607.8-264)+(0+(-2.479824--1.07712))+0-30--0.122399999999997</f>
        <v>312.51969599999995</v>
      </c>
      <c r="AC214" s="3">
        <f>0+(589.5-257.5)+(0+(-0.901935--0.393975))+0-29--0.0443700000000017</f>
        <v>302.53640999999999</v>
      </c>
      <c r="AD214">
        <f t="shared" si="3"/>
        <v>7693.2764479999996</v>
      </c>
      <c r="AE214" s="3">
        <f>0+(749.7-367.4)+(0+(0-0))+0-28-0</f>
        <v>354.30000000000007</v>
      </c>
    </row>
    <row r="215" spans="1:31" s="2" customFormat="1" x14ac:dyDescent="0.25">
      <c r="A215">
        <v>89</v>
      </c>
      <c r="B215">
        <v>7</v>
      </c>
      <c r="C215">
        <v>29</v>
      </c>
      <c r="D215">
        <v>6</v>
      </c>
      <c r="E215">
        <v>1</v>
      </c>
      <c r="F215" s="3">
        <f>0+(485-172.4)+(0+(-0.9894--0.351696))+0-29--0.0591599999999987</f>
        <v>283.02145600000006</v>
      </c>
      <c r="G215" s="3">
        <f>0+(376.9-86.5)+(0+(-0.576657--0.132345))+0-30--0.0459000000000017</f>
        <v>260.00158799999997</v>
      </c>
      <c r="H215" s="3">
        <f>0+(396.8-106.2)+(0+(-0.404736--0.108324))+0-30--0.0306000000000048</f>
        <v>260.33418800000004</v>
      </c>
      <c r="I215" s="3">
        <f>0+(398.2-102.9)+(0+(0-0))+0-31-0</f>
        <v>264.29999999999995</v>
      </c>
      <c r="J215" s="3">
        <f>0+(381.2-86.9)+(0+(0-0))+0-30-0</f>
        <v>264.29999999999995</v>
      </c>
      <c r="K215" s="3">
        <f>0+(360.7-68.4)+(0+(-0.735828--0.139536))+0-30--0.0611999999999987</f>
        <v>261.76490799999993</v>
      </c>
      <c r="L215" s="3">
        <f>0+(369.8-108)+(0+(-0.188598--0.05508))+0-31--0.0158099999999969</f>
        <v>230.68229200000002</v>
      </c>
      <c r="M215" s="3">
        <f>0+(415.5-118.8)+(0+(-0.211905--0.060588))+0-29--0.0147899999999971</f>
        <v>267.56347299999999</v>
      </c>
      <c r="N215" s="3">
        <f>0+(621.5-281)+(0+(-0.63393--0.28662))+0-32--0.0326400000000051</f>
        <v>308.18533000000002</v>
      </c>
      <c r="O215" s="3">
        <f>0+(634.3-287)+(0+(0.323493-0.14637))+0-34-0.0173399999999966</f>
        <v>313.45978299999996</v>
      </c>
      <c r="P215" s="3">
        <f>0+(710-344.4)+(0+(0.3621-0.175644))+0-32-0.0163199999999968</f>
        <v>333.77013600000004</v>
      </c>
      <c r="Q215" s="3">
        <f>0+(707.9-339)+(0+(-0.361029--0.17289))+0-35--0.0178499999999964</f>
        <v>333.72971100000001</v>
      </c>
      <c r="R215" s="3">
        <f>0+(706.3-348.2)+(0+(-1.801065--0.88791))+0-32--0.0815999999999954</f>
        <v>325.26844499999993</v>
      </c>
      <c r="S215" s="3">
        <f>0+(708.3-365.1)+(0+(0-0))+0-32-0</f>
        <v>311.19999999999993</v>
      </c>
      <c r="T215" s="3">
        <f>0+(731.8-390.8)+(0+(0.373218-0.199308))+0-32-0.0163199999999968</f>
        <v>309.15758999999991</v>
      </c>
      <c r="U215" s="3">
        <f>0+(678.1-340.2)+(0+(-1.729155--0.86751))+0-32--0.0815999999999954</f>
        <v>305.119955</v>
      </c>
      <c r="V215" s="3">
        <f>0+(568.2-240.3)+(0+(-1.159128--0.490212))+0-32--0.0652799999999986</f>
        <v>295.29636399999998</v>
      </c>
      <c r="W215" s="3">
        <f>0+(494.7-149.4)+(0+(0.252297-0.076194))+0-32-0.0163199999999968</f>
        <v>313.45978299999996</v>
      </c>
      <c r="X215" s="3">
        <f>0+(586-229.7)+(0+(0.59772-0.234294))+0-32-0.0326400000000051</f>
        <v>324.630786</v>
      </c>
      <c r="Y215" s="3">
        <f>0+(644.6-291.7)+(0+(-1.64373--0.743835))+0-32--0.0815999999999954</f>
        <v>320.081705</v>
      </c>
      <c r="Z215" s="3">
        <f>0+(717-371.4)+(0+(-1.46268--0.757656))+0-32--0.0652799999999986</f>
        <v>312.96025600000002</v>
      </c>
      <c r="AA215" s="3">
        <f>0+(754.2-416)+(0+(-0.769284--0.42432))+0-32--0.0326400000000051</f>
        <v>305.88767600000006</v>
      </c>
      <c r="AB215" s="3">
        <f>0+(721.5-393.1)+(0+(-1.103895--0.601443))+0-32--0.0489600000000018</f>
        <v>295.94650799999999</v>
      </c>
      <c r="AC215" s="3">
        <f>0+(676.7-362.4)+(0+(0-0))+0-32-0</f>
        <v>282.30000000000007</v>
      </c>
      <c r="AD215">
        <f t="shared" si="3"/>
        <v>7082.4219329999996</v>
      </c>
      <c r="AE215" s="3">
        <f>0+(602.3-245.3)+(0+(0-0))+0-32-0</f>
        <v>324.99999999999994</v>
      </c>
    </row>
    <row r="216" spans="1:31" s="2" customFormat="1" x14ac:dyDescent="0.25">
      <c r="A216">
        <v>89</v>
      </c>
      <c r="B216">
        <v>7</v>
      </c>
      <c r="C216">
        <v>30</v>
      </c>
      <c r="D216">
        <v>7</v>
      </c>
      <c r="E216">
        <v>1</v>
      </c>
      <c r="F216" s="3">
        <f>0+(521.5-225.6)+(0+(0.265965-0.115056))+0-32-0.0163199999999968</f>
        <v>264.03458899999998</v>
      </c>
      <c r="G216" s="3">
        <f>0+(447.8-158.7)+(0+(-0.913512--0.323748))+0-32--0.0652799999999986</f>
        <v>256.57551599999999</v>
      </c>
      <c r="H216" s="3">
        <f>0+(385.7-87.6)+(0+(-0.983535--0.22338))+0-32--0.0815999999999954</f>
        <v>265.42144500000001</v>
      </c>
      <c r="I216" s="3">
        <f>0+(363-89.6)+(0+(-0.55539--0.137088))+0-32--0.0489600000000018</f>
        <v>241.03065799999999</v>
      </c>
      <c r="J216" s="3">
        <f>0+(346.3-75.2)+(0+(0-0))+0-31-0</f>
        <v>240.10000000000002</v>
      </c>
      <c r="K216" s="3">
        <f>0+(354.7-86.3)+(0+(0-0))+0-31-0</f>
        <v>237.39999999999998</v>
      </c>
      <c r="L216" s="3">
        <f>0+(466.7-209.1)+(0+(-0.714051--0.319923))+0-32--0.0489600000000018</f>
        <v>225.25483199999999</v>
      </c>
      <c r="M216" s="3">
        <f>0+(495.1-229.1)+(0+(0.252501-0.116841))+0-31-0.0158099999999969</f>
        <v>235.11984999999999</v>
      </c>
      <c r="N216" s="3">
        <f>0+(467.8-192)+(0+(0-0))+0-31-0</f>
        <v>244.8</v>
      </c>
      <c r="O216" s="3">
        <f>0+(543.9-288.1)+(0+(0-0))+0-30-0</f>
        <v>225.79999999999995</v>
      </c>
      <c r="P216" s="3">
        <f>0+(742.1-439.3)+(0+(-1.135413--0.672129))+0-31--0.0474300000000018</f>
        <v>271.38414600000004</v>
      </c>
      <c r="Q216" s="3">
        <f>0+(746.1-440.1)+(0+(0-0))+0-32-0</f>
        <v>274</v>
      </c>
      <c r="R216" s="3">
        <f>0+(757.4-453.8)+(0+(-0.386274--0.231438))+0-32--0.0163199999999968</f>
        <v>271.46148399999998</v>
      </c>
      <c r="S216" s="3">
        <f>0+(755.9-457.7)+(0+(-1.542036--0.933708))+0-31--0.0632399999999986</f>
        <v>266.65491200000002</v>
      </c>
      <c r="T216" s="3">
        <f>0+(695.4-403.4)+(0+(-1.063962--0.617202))+0-31--0.0474300000000018</f>
        <v>260.60067000000004</v>
      </c>
      <c r="U216" s="3">
        <f>0+(682.4-397.1)+(0+(-1.74012--1.012605))+0-31--0.0790499999999955</f>
        <v>253.65153499999997</v>
      </c>
      <c r="V216" s="3">
        <f>0+(606.7-319.1)+(0+(-0.618834--0.325482))+0-32--0.0326400000000051</f>
        <v>255.33928800000001</v>
      </c>
      <c r="W216" s="3">
        <f>0+(539.2-220.5)+(0+(0.549984-0.22491))+0-32-0.0326400000000051</f>
        <v>286.992434</v>
      </c>
      <c r="X216" s="3">
        <f>0+(640.4-312.2)+(0+(0.979812-0.477666))+0-32-0.0489600000000018</f>
        <v>296.65318599999995</v>
      </c>
      <c r="Y216" s="3">
        <f>0+(687.5-358.8)+(0+(0.350625-0.182988))+0-32-0.0163199999999968</f>
        <v>296.85131699999999</v>
      </c>
      <c r="Z216" s="3">
        <f>0+(690.5-369.4)+(0+(0.352155-0.188394))+0-32-0.0163199999999968</f>
        <v>289.24744100000004</v>
      </c>
      <c r="AA216" s="3">
        <f>0+(671.7-351.9)+(0+(-0.685134--0.358938))+0-32--0.0326400000000051</f>
        <v>287.5064440000001</v>
      </c>
      <c r="AB216" s="3">
        <f>0+(640.9-326.5)+(0+(-0.980577--0.499545))+0-32--0.0489600000000018</f>
        <v>281.96792799999997</v>
      </c>
      <c r="AC216" s="3">
        <f>0+(570.9-272.1)+(0+(-0.582318--0.277542))+0-31--0.0316200000000049</f>
        <v>267.52684399999998</v>
      </c>
      <c r="AD216">
        <f t="shared" si="3"/>
        <v>6295.3745189999991</v>
      </c>
      <c r="AE216" s="3">
        <f>0+(674-344.2)+(0+(0-0))+0-31-0</f>
        <v>298.8</v>
      </c>
    </row>
    <row r="217" spans="1:31" s="2" customFormat="1" x14ac:dyDescent="0.25">
      <c r="A217">
        <v>89</v>
      </c>
      <c r="B217">
        <v>8</v>
      </c>
      <c r="C217">
        <v>1</v>
      </c>
      <c r="D217">
        <v>1</v>
      </c>
      <c r="E217">
        <v>1</v>
      </c>
      <c r="F217" s="3">
        <f>0+(427.7-147.8)+(0+(-0.436254--0.150756))+0-32--0.0326400000000051</f>
        <v>247.64714199999997</v>
      </c>
      <c r="G217" s="3">
        <f>0+(402-137.4)+(0+(-0.61506--0.210222))+0-32--0.0489600000000018</f>
        <v>232.24412200000003</v>
      </c>
      <c r="H217" s="3">
        <f>0+(413.7-151.5)+(0+(-0.632961--0.231795))+0-32--0.0489600000000018</f>
        <v>229.84779399999999</v>
      </c>
      <c r="I217" s="3">
        <f>0+(411.4-144.4)+(0+(-0.629442--0.220932))+0-32--0.0489600000000018</f>
        <v>234.64045000000002</v>
      </c>
      <c r="J217" s="3">
        <f>0+(394-125.9)+(0+(-0.80376--0.256836))+0-32--0.0652799999999986</f>
        <v>235.61835600000003</v>
      </c>
      <c r="K217" s="3">
        <f>0+(359-86.3)+(0+(0-0))+0-32-0</f>
        <v>240.7</v>
      </c>
      <c r="L217" s="3">
        <f>0+(400.3-124.3)+(0+(-0.204153--0.063393))+0-32--0.0163199999999968</f>
        <v>243.87556000000001</v>
      </c>
      <c r="M217" s="3">
        <f>0+(422.9-124.3)+(0+(0.647037-0.190179))+0-33-0.0504900000000019</f>
        <v>266.00636799999995</v>
      </c>
      <c r="N217" s="3">
        <f>0+(588.8-253.3)+(0+(0-0))+0-35-0</f>
        <v>300.49999999999994</v>
      </c>
      <c r="O217" s="3">
        <f>0+(684.6-324.3)+(0+(-0.349146--0.165393))+0-32--0.0163199999999968</f>
        <v>328.13256699999999</v>
      </c>
      <c r="P217" s="3">
        <f>0+(752.9-372.5)+(0+(1.151937-0.569925))+0-33-0.0504900000000019</f>
        <v>347.93152199999997</v>
      </c>
      <c r="Q217" s="3">
        <f>0+(727.5-357.3)+(0+(0-0))+0-35-0</f>
        <v>335.2</v>
      </c>
      <c r="R217" s="3">
        <f>0+(791.2-426.7)+(0+(-1.210536--0.652851))+0-32--0.0489600000000018</f>
        <v>331.99127500000009</v>
      </c>
      <c r="S217" s="3">
        <f>0+(798.4-447.5)+(0+(-2.443104--1.36935))+0-32--0.0979200000000037</f>
        <v>317.92416599999996</v>
      </c>
      <c r="T217" s="3">
        <f>0+(809-459.1)+(0+(0-0))+0-32-0</f>
        <v>317.89999999999998</v>
      </c>
      <c r="U217" s="3">
        <f>0+(758.1-404)+(0+(-0.773262--0.41208))+0-33--0.0336600000000053</f>
        <v>320.77247800000004</v>
      </c>
      <c r="V217" s="3">
        <f>0+(644.2-299.8)+(0+(-0.985626--0.458694))+0-30--0.0459000000000017</f>
        <v>313.91896800000006</v>
      </c>
      <c r="W217" s="3">
        <f>0+(622.2-244)+(0+(0.317322-0.12444))+0-32-0.0163199999999968</f>
        <v>346.37656200000004</v>
      </c>
      <c r="X217" s="3">
        <f>0+(658.2-274.9)+(0+(-1.007046--0.420597))+0-32--0.0489600000000018</f>
        <v>350.76251100000007</v>
      </c>
      <c r="Y217" s="3">
        <f>0+(715.9-344.8)+(0+(-0.730218--0.351696))+0-33--0.0336600000000053</f>
        <v>337.75513799999999</v>
      </c>
      <c r="Z217" s="3">
        <f>0+(766.7-405.8)+(0+(-1.173051--0.620874))+0-33--0.0504900000000019</f>
        <v>327.39831300000009</v>
      </c>
      <c r="AA217" s="3">
        <f>0+(783.1-433.8)+(0+(-0.798762--0.442476))+0-32--0.0326400000000051</f>
        <v>316.97635400000001</v>
      </c>
      <c r="AB217" s="3">
        <f>0+(706.4-368)+(0+(-1.80132--0.9384))+0-32--0.0815999999999954</f>
        <v>305.61867999999998</v>
      </c>
      <c r="AC217" s="3">
        <f>0+(630.9-313.6)+(0+(-1.608795--0.79968))+0-31--0.0790499999999955</f>
        <v>285.56993499999993</v>
      </c>
      <c r="AD217">
        <f t="shared" si="3"/>
        <v>7115.3082609999983</v>
      </c>
      <c r="AE217" s="3">
        <f>0+(673.4-286.5)+(0+(0-0))+0-32-0</f>
        <v>354.9</v>
      </c>
    </row>
    <row r="218" spans="1:31" s="2" customFormat="1" x14ac:dyDescent="0.25">
      <c r="A218">
        <v>89</v>
      </c>
      <c r="B218">
        <v>8</v>
      </c>
      <c r="C218">
        <v>2</v>
      </c>
      <c r="D218">
        <v>2</v>
      </c>
      <c r="E218">
        <v>1</v>
      </c>
      <c r="F218" s="3">
        <f>0+(471.9-174.8)+(0+(-0.962676--0.356592))+0-27--0.0550799999999988</f>
        <v>269.54899599999993</v>
      </c>
      <c r="G218" s="3">
        <f>0+(365.8-81)+(0+(-0.186558--0.04131))+0-27--0.0137699999999973</f>
        <v>257.66852200000005</v>
      </c>
      <c r="H218" s="3">
        <f>0+(369.4-86)+(0+(-0.94197--0.2193))+0-26--0.0662999999999962</f>
        <v>256.74363</v>
      </c>
      <c r="I218" s="3">
        <f>0+(401.7-118.2)+(0+(1.024335-0.30141))+0-31-0.0790499999999955</f>
        <v>253.14387499999998</v>
      </c>
      <c r="J218" s="3">
        <f>0+(383.4-93.2)+(0+(0.391068-0.095064))+0-32-0.0326400000000051</f>
        <v>258.46336399999996</v>
      </c>
      <c r="K218" s="3">
        <f>0+(356.5-66.9)+(0+(-0.36363--0.068238))+0-32--0.0326400000000051</f>
        <v>257.33724800000005</v>
      </c>
      <c r="L218" s="3">
        <f>0+(375.4-87.3)+(0+(-0.382908--0.089046))+0-32--0.0326400000000051</f>
        <v>255.83877799999999</v>
      </c>
      <c r="M218" s="3">
        <f>0+(457.9-144.7)+(0+(0.467058-0.147594))+0-32-0.0326400000000051</f>
        <v>281.48682399999996</v>
      </c>
      <c r="N218" s="3">
        <f>0+(587.2-245.6)+(0+(-0.898416--0.375768))+0-33--0.0504900000000019</f>
        <v>308.12784200000004</v>
      </c>
      <c r="O218" s="3">
        <f>0+(663.7-313.1)+(0+(-1.015461--0.479043))+0-32--0.0489600000000018</f>
        <v>318.11254200000002</v>
      </c>
      <c r="P218" s="3">
        <f>0+(783.4-423)+(0+(-1.198602--0.64719))+0-32--0.0489600000000018</f>
        <v>327.89754799999997</v>
      </c>
      <c r="Q218" s="3">
        <f>0+(880.7-510.2)+(0+(-2.245785--1.30101))+0-31--0.0790499999999955</f>
        <v>338.63427500000006</v>
      </c>
      <c r="R218" s="3">
        <f>0+(879.9-491.6)+(0+(-2.243745--1.25358))+0-31--0.0790499999999955</f>
        <v>356.38888499999996</v>
      </c>
      <c r="S218" s="3">
        <f>0+(949.2-590.5)+(0+(-0.968184--0.60231))+0-31--0.0316200000000049</f>
        <v>327.36574600000006</v>
      </c>
      <c r="T218" s="3">
        <f>0+(980-612.8)+(0+(-1.9992--1.250112))+0-32--0.0652799999999986</f>
        <v>334.51619200000005</v>
      </c>
      <c r="U218" s="3">
        <f>0+(920.5-560.1)+(0+(-1.87782--1.142604))+0-32--0.0652799999999986</f>
        <v>327.73006399999997</v>
      </c>
      <c r="V218" s="3">
        <f>0+(757.9-409.4)+(0+(0.386529-0.208794))+0-30-0.015299999999997</f>
        <v>318.66243499999996</v>
      </c>
      <c r="W218" s="3">
        <f>0+(607.2-242)+(0+(0-0))+0-31-0</f>
        <v>334.20000000000005</v>
      </c>
      <c r="X218" s="3">
        <f>0+(772.9-388.3)+(0+(-1.576716--0.792132))+0-31--0.0632399999999986</f>
        <v>352.87865599999998</v>
      </c>
      <c r="Y218" s="3">
        <f>0+(687.1-314.4)+(0+(-1.401684--0.641376))+0-30--0.0611999999999987</f>
        <v>342.00089200000002</v>
      </c>
      <c r="Z218" s="3">
        <f>0+(679.2-321.9)+(0+(-0.692784--0.328338))+0-31--0.0316200000000049</f>
        <v>325.96717400000011</v>
      </c>
      <c r="AA218" s="3">
        <f>0+(626-282.6)+(0+(-0.63852--0.288252))+0-31--0.0316200000000049</f>
        <v>312.08135199999998</v>
      </c>
      <c r="AB218" s="3">
        <f>0+(566-257.6)+(0+(-1.4433--0.65688))+0-31--0.0790499999999955</f>
        <v>276.69262999999995</v>
      </c>
      <c r="AC218" s="3">
        <f>0+(490.2-183)+(0+(-1.25001--0.46665))+0-31--0.0790499999999955</f>
        <v>275.49568999999997</v>
      </c>
      <c r="AD218">
        <f t="shared" si="3"/>
        <v>7266.9831599999989</v>
      </c>
      <c r="AE218" s="3">
        <f>0+(797.6-410)+(0+(0-0))+0-31-0</f>
        <v>356.6</v>
      </c>
    </row>
    <row r="219" spans="1:31" s="2" customFormat="1" x14ac:dyDescent="0.25">
      <c r="A219">
        <v>89</v>
      </c>
      <c r="B219">
        <v>8</v>
      </c>
      <c r="C219">
        <v>3</v>
      </c>
      <c r="D219">
        <v>3</v>
      </c>
      <c r="E219">
        <v>1</v>
      </c>
      <c r="F219" s="3">
        <f>0+(348.8-58.7)+(0+(-0.533664--0.089811))+0-31--0.0474300000000018</f>
        <v>258.70357700000005</v>
      </c>
      <c r="G219" s="3">
        <f>0+(330.4-55.4)+(0+(-0.84252--0.14127))+0-32--0.0815999999999954</f>
        <v>242.38034999999999</v>
      </c>
      <c r="H219" s="3">
        <f>0+(366.6-84.8)+(0+(-0.373932--0.086496))+0-32--0.0326400000000051</f>
        <v>249.54520400000001</v>
      </c>
      <c r="I219" s="3">
        <f>0+(351.3-71.2)+(0+(0-0))+0-32-0</f>
        <v>248.10000000000002</v>
      </c>
      <c r="J219" s="3">
        <f>0+(335-51.8)+(0+(0.17085-0.026418))+0-32-0.0163199999999968</f>
        <v>251.32811199999998</v>
      </c>
      <c r="K219" s="3">
        <f>0+(340.2-53.4)+(0+(-0.347004--0.054468))+0-32--0.0326400000000051</f>
        <v>254.54010400000004</v>
      </c>
      <c r="L219" s="3">
        <f>0+(355.9-73.1)+(0+(-0.181509--0.037281))+0-31--0.0158099999999969</f>
        <v>251.67158199999994</v>
      </c>
      <c r="M219" s="3">
        <f>0+(406.1-103.3)+(0+(0.621333-0.158049))+0-32-0.0489600000000018</f>
        <v>271.21432399999998</v>
      </c>
      <c r="N219" s="3">
        <f>0+(519.9-188.9)+(0+(-0.265149--0.096339))+0-33--0.0168299999999967</f>
        <v>297.84801999999996</v>
      </c>
      <c r="O219" s="3">
        <f>0+(561.1-225.6)+(0+(-0.286161--0.115056))+0-25--0.0127499999999975</f>
        <v>310.34164499999997</v>
      </c>
      <c r="P219" s="3">
        <f>0+(643.3-297.6)+(0+(0-0))+0-29-0</f>
        <v>316.69999999999993</v>
      </c>
      <c r="Q219" s="3">
        <f>0+(680.2-330.1)+(0+(-0.693804--0.336702))+0-31--0.0316200000000049</f>
        <v>318.77451800000006</v>
      </c>
      <c r="R219" s="3">
        <f>0+(782.3-432.1)+(0+(-2.393838--1.322226))+0-32--0.0979200000000037</f>
        <v>317.2263079999999</v>
      </c>
      <c r="S219" s="3">
        <f>0+(804-457.1)+(0+(-1.64016--0.932484))+0-32--0.0652799999999986</f>
        <v>314.25760399999996</v>
      </c>
      <c r="T219" s="3">
        <f>0+(778-364)+(0+(-1.19034--0.55692))+0-31--0.0474300000000018</f>
        <v>382.41401000000002</v>
      </c>
      <c r="U219" s="3">
        <f>0+(676.5-294.5)+(0+(0.69003-0.30039))+0-31-0.0316200000000049</f>
        <v>351.35801999999995</v>
      </c>
      <c r="V219" s="3">
        <f>0+(555.6-218.4)+(0+(0-0))+0-31-0</f>
        <v>306.20000000000005</v>
      </c>
      <c r="W219" s="3">
        <f>0+(519.4-157.5)+(0+(0.264894-0.080325))+0-31-0.0158099999999969</f>
        <v>331.068759</v>
      </c>
      <c r="X219" s="3">
        <f>0+(735-354)+(0+(-0.37485--0.18054))+0-31--0.0158099999999969</f>
        <v>349.82150000000001</v>
      </c>
      <c r="Y219" s="3">
        <f>0+(772.8-397.2)+(0+(-1.576512--0.810288))+0-31--0.0632399999999986</f>
        <v>343.89701599999995</v>
      </c>
      <c r="Z219" s="3">
        <f>0+(702-343.9)+(0+(-0.71604--0.350778))+0-31--0.0316200000000049</f>
        <v>326.76635800000008</v>
      </c>
      <c r="AA219" s="3">
        <f>0+(639.4-296.2)+(0+(-0.326094--0.151062))+0-28--0.0142799999999972</f>
        <v>315.03924799999999</v>
      </c>
      <c r="AB219" s="3">
        <f>0+(608.7-284.2)+(0+(-0.931311--0.434826))+0-30--0.0459000000000017</f>
        <v>294.04941500000007</v>
      </c>
      <c r="AC219" s="3">
        <f>0+(575.4-263.2)+(0+(-1.46727--0.67116))+0-31--0.0790499999999955</f>
        <v>280.48293999999999</v>
      </c>
      <c r="AD219">
        <f t="shared" si="3"/>
        <v>7183.7286139999987</v>
      </c>
      <c r="AE219" s="3">
        <f>0+(760.2-378.8)+(0+(0-0))+0-31-0</f>
        <v>350.40000000000003</v>
      </c>
    </row>
    <row r="220" spans="1:31" s="2" customFormat="1" x14ac:dyDescent="0.25">
      <c r="A220">
        <v>89</v>
      </c>
      <c r="B220">
        <v>8</v>
      </c>
      <c r="C220">
        <v>4</v>
      </c>
      <c r="D220">
        <v>4</v>
      </c>
      <c r="E220">
        <v>1</v>
      </c>
      <c r="F220" s="3">
        <f>0+(473.2-177.6)+(0+(-0.965328--0.362304))+0-32--0.0652799999999986</f>
        <v>263.06225599999999</v>
      </c>
      <c r="G220" s="3">
        <f>0+(379.2-97.2)+(0+(0-0))+0-32-0</f>
        <v>250</v>
      </c>
      <c r="H220" s="3">
        <f>0+(410.2-130.3)+(0+(0.209202-0.066453))+0-32-0.0163199999999968</f>
        <v>248.02642899999995</v>
      </c>
      <c r="I220" s="3">
        <f>0+(384.2-101.4)+(0+(0.391884-0.103428))+0-32-0.0326400000000051</f>
        <v>251.05581599999994</v>
      </c>
      <c r="J220" s="3">
        <f>0+(338.3-57.8)+(0+(-0.345066--0.058956))+0-32--0.0326400000000051</f>
        <v>248.24653000000001</v>
      </c>
      <c r="K220" s="3">
        <f>0+(293.2-2.7)+(0+(-0.299064--0.002754))+0-32--0.0326400000000051</f>
        <v>258.23633000000001</v>
      </c>
      <c r="L220" s="3">
        <f>0+(277.8-0)+(0+(-0.425034-0))+0-31--0.0474300000000018</f>
        <v>246.42239600000002</v>
      </c>
      <c r="M220" s="3">
        <f>0+(356-55.5)+(0+(-0.18156--0.028305))+0-31--0.0158099999999969</f>
        <v>269.36255499999999</v>
      </c>
      <c r="N220" s="3">
        <f>0+(428.7-97.4)+(0+(0-0))+0-31-0</f>
        <v>300.29999999999995</v>
      </c>
      <c r="O220" s="3">
        <f>0+(559.9-213.9)+(0+(0.285549-0.109089))+0-34-0.0173399999999966</f>
        <v>312.15912000000003</v>
      </c>
      <c r="P220" s="3">
        <f>0+(511.7-164.8)+(0+(0-0))+0-31-0</f>
        <v>315.89999999999998</v>
      </c>
      <c r="Q220" s="3">
        <f>0+(656.6-308.8)+(0+(-0.334866--0.157488))+0-31--0.0158099999999969</f>
        <v>316.63843200000002</v>
      </c>
      <c r="R220" s="3">
        <f>0+(775.7-428.3)+(0+(-1.186821--0.655299))+0-31--0.0474300000000018</f>
        <v>315.91590800000006</v>
      </c>
      <c r="S220" s="3">
        <f>0+(755.2-422.2)+(0+(-1.540608--0.861288))+0-31--0.0632399999999986</f>
        <v>301.38392000000005</v>
      </c>
      <c r="T220" s="3">
        <f>0+(732.7-398.3)+(0+(-1.868385--1.015665))+0-31--0.0790499999999955</f>
        <v>302.62633000000005</v>
      </c>
      <c r="U220" s="3">
        <f>0+(756.2-421.1)+(0+(-1.542648--0.859044))+0-31--0.0632399999999986</f>
        <v>303.47963600000003</v>
      </c>
      <c r="V220" s="3">
        <f>0+(682.8-339.5)+(0+(-0.348228--0.173145))+0-31--0.0158099999999969</f>
        <v>312.14072699999997</v>
      </c>
      <c r="W220" s="3">
        <f>0+(576.1-207.6)+(0+(0-0))+0-31-0</f>
        <v>337.5</v>
      </c>
      <c r="X220" s="3">
        <f>0+(677-293.9)+(0+(-1.03581--0.449667))+0-31--0.0474300000000018</f>
        <v>351.56128700000005</v>
      </c>
      <c r="Y220" s="3">
        <f>0+(698.3-322.8)+(0+(-2.136798--0.987768))+0-31--0.0948600000000036</f>
        <v>343.44582999999994</v>
      </c>
      <c r="Z220" s="3">
        <f>0+(666.5-321.9)+(0+(-1.019745--0.492507))+0-31--0.0474300000000018</f>
        <v>313.12019200000003</v>
      </c>
      <c r="AA220" s="3">
        <f>0+(632.3-292.1)+(0+(0.322473-0.148971))+0-31-0.0158099999999969</f>
        <v>309.35769199999993</v>
      </c>
      <c r="AB220" s="3">
        <f>0+(596.6-271.5)+(0+(-0.608532--0.27693))+0-31--0.0316200000000049</f>
        <v>293.80001800000008</v>
      </c>
      <c r="AC220" s="3">
        <f>0+(490.4-187.4)+(0+(-1.000416--0.382296))+0-31--0.0632399999999986</f>
        <v>271.44512000000003</v>
      </c>
      <c r="AD220">
        <f t="shared" si="3"/>
        <v>7035.1865240000006</v>
      </c>
      <c r="AE220" s="3">
        <f>0+(692.9-311.8)+(0+(0-0))+0-32-0</f>
        <v>349.09999999999997</v>
      </c>
    </row>
    <row r="221" spans="1:31" s="2" customFormat="1" x14ac:dyDescent="0.25">
      <c r="A221">
        <v>89</v>
      </c>
      <c r="B221">
        <v>8</v>
      </c>
      <c r="C221">
        <v>5</v>
      </c>
      <c r="D221">
        <v>5</v>
      </c>
      <c r="E221">
        <v>1</v>
      </c>
      <c r="F221" s="3">
        <f>0+(434.2-150.9)+(0+(-0.442884--0.153918))+0-32--0.0326400000000051</f>
        <v>251.04367399999995</v>
      </c>
      <c r="G221" s="3">
        <f>0+(324.7-37)+(0+(-0.827985--0.09435))+0-32--0.0815999999999954</f>
        <v>255.047965</v>
      </c>
      <c r="H221" s="3">
        <f>0+(347.4-62.7)+(0+(-0.177174--0.031977))+0-32--0.0163199999999968</f>
        <v>252.571123</v>
      </c>
      <c r="I221" s="3">
        <f>0+(348.3-66.4)+(0+(-0.177633--0.033864))+0-32--0.0163199999999968</f>
        <v>249.77255099999996</v>
      </c>
      <c r="J221" s="3">
        <f>0+(346.2-67.6)+(0+(0.88281-0.17238))+0-32-0.0815999999999954</f>
        <v>247.22882999999999</v>
      </c>
      <c r="K221" s="3">
        <f>0+(322.1-37)+(0+(0.164271-0.01887))+0-32-0.0163199999999968</f>
        <v>253.22908100000001</v>
      </c>
      <c r="L221" s="3">
        <f>0+(306.6-21.7)+(0+(-0.469098--0.033201))+0-31--0.0474300000000018</f>
        <v>253.51153300000001</v>
      </c>
      <c r="M221" s="3">
        <f>0+(396.4-91.4)+(0+(0.404328-0.093228))+0-32-0.0326400000000051</f>
        <v>273.27846</v>
      </c>
      <c r="N221" s="3">
        <f>0+(499.6-172.6)+(0+(-0.764388--0.264078))+0-31--0.0474300000000018</f>
        <v>295.54712000000001</v>
      </c>
      <c r="O221" s="3">
        <f>0+(571.6-237.2)+(0+(0-0))+0-31-0</f>
        <v>303.40000000000003</v>
      </c>
      <c r="P221" s="3">
        <f>0+(674.4-324.3)+(0+(0-0))+0-32-0</f>
        <v>318.09999999999997</v>
      </c>
      <c r="Q221" s="3">
        <f>0+(734.9-384.1)+(0+(-0.374799--0.195891))+0-31--0.0158099999999969</f>
        <v>319.63690199999996</v>
      </c>
      <c r="R221" s="3">
        <f>0+(721.9-368.1)+(0+(-1.840845--0.938655))+0-31--0.0790499999999955</f>
        <v>321.97685999999993</v>
      </c>
      <c r="S221" s="3">
        <f>0+(742.6-395)+(0+(-1.136178--0.60435))+0-30--0.0459000000000017</f>
        <v>317.11407200000002</v>
      </c>
      <c r="T221" s="3">
        <f>0+(776.6-424.9)+(0+(-1.188198--0.650097))+0-31--0.0474300000000018</f>
        <v>320.20932900000008</v>
      </c>
      <c r="U221" s="3">
        <f>0+(766.7-412.6)+(0+(-1.955085--1.05213))+0-32--0.0815999999999954</f>
        <v>321.27864499999998</v>
      </c>
      <c r="V221" s="3">
        <f>0+(696.6-342.3)+(0+(-1.77633--0.872865))+0-32--0.0815999999999954</f>
        <v>321.47813500000001</v>
      </c>
      <c r="W221" s="3">
        <f>0+(626.7-251.8)+(0+(-0.639234--0.256836))+0-32--0.0326400000000051</f>
        <v>342.55024200000003</v>
      </c>
      <c r="X221" s="3">
        <f>0+(673.9-296.5)+(0+(-0.687378--0.30243))+0-32--0.0326400000000051</f>
        <v>345.04769199999998</v>
      </c>
      <c r="Y221" s="3">
        <f>0+(700-330.7)+(0+(-1.071--0.505971))+0-31--0.0474300000000018</f>
        <v>337.78240100000005</v>
      </c>
      <c r="Z221" s="3">
        <f>0+(613.8-262.5)+(0+(-0.626076--0.26775))+0-32--0.0326400000000051</f>
        <v>318.97431399999999</v>
      </c>
      <c r="AA221" s="3">
        <f>0+(506.9-178.8)+(0+(-1.292595--0.45594))+0-30--0.0764999999999956</f>
        <v>297.33984499999997</v>
      </c>
      <c r="AB221" s="3">
        <f>0+(482.6-169.1)+(0+(0.246126-0.086241))+0-32-0.0163199999999968</f>
        <v>281.64356499999997</v>
      </c>
      <c r="AC221" s="3">
        <f>0+(377.6-78.1)+(0+(-0.96288--0.199155))+0-32--0.0815999999999954</f>
        <v>266.81787499999996</v>
      </c>
      <c r="AD221">
        <f t="shared" si="3"/>
        <v>7064.5802140000005</v>
      </c>
      <c r="AE221" s="3">
        <f>0+(688.8-307.4)+(0+(0-0))+0-32-0</f>
        <v>349.4</v>
      </c>
    </row>
    <row r="222" spans="1:31" s="2" customFormat="1" x14ac:dyDescent="0.25">
      <c r="A222">
        <v>89</v>
      </c>
      <c r="B222">
        <v>8</v>
      </c>
      <c r="C222">
        <v>6</v>
      </c>
      <c r="D222">
        <v>6</v>
      </c>
      <c r="E222">
        <v>1</v>
      </c>
      <c r="F222" s="3">
        <f>0+(320.5-30)+(0+(-0.65382--0.0612))+0-31--0.0632399999999986</f>
        <v>258.97062</v>
      </c>
      <c r="G222" s="3">
        <f>0+(356.7-74.2)+(0+(0.181917-0.037842))+0-31-0.0158099999999969</f>
        <v>251.628265</v>
      </c>
      <c r="H222" s="3">
        <f>0+(273.6-0)+(0+(0.139536-0))+0-31-0.0158099999999969</f>
        <v>242.72372600000006</v>
      </c>
      <c r="I222" s="3">
        <f>0+(273.8-0)+(0+(-0.279276-0))+0-31--0.0316200000000049</f>
        <v>242.55234400000003</v>
      </c>
      <c r="J222" s="3">
        <f>0+(273.6-0)+(0+(-0.139536-0))+0-31--0.0158099999999969</f>
        <v>242.47627399999999</v>
      </c>
      <c r="K222" s="3">
        <f>0+(277.3-0)+(0+(-0.282846-0))+0-31--0.0316200000000049</f>
        <v>246.04877400000001</v>
      </c>
      <c r="L222" s="3">
        <f>0+(277.2-1)+(0+(-0.282744--0.00102))+0-31--0.0316200000000049</f>
        <v>244.949896</v>
      </c>
      <c r="M222" s="3">
        <f>0+(328.2-28.1)+(0+(-0.167382--0.014331))+0-31--0.0158099999999969</f>
        <v>268.96275899999995</v>
      </c>
      <c r="N222" s="3">
        <f>0+(435.8-116.4)+(0+(0.666774-0.178092))+0-32-0.0489600000000018</f>
        <v>287.83972199999994</v>
      </c>
      <c r="O222" s="3">
        <f>0+(398.2-89)+(0+(0.406164-0.09078))+0-17-0.0173400000000027</f>
        <v>292.49804399999999</v>
      </c>
      <c r="P222" s="3">
        <f>0+(403.7-95.4)+(0+(-0.823548--0.194616))+0-31--0.0632399999999986</f>
        <v>276.73430799999994</v>
      </c>
      <c r="Q222" s="3">
        <f>0+(417.6-99.2)+(0+(-0.425952--0.101184))+0-31--0.0316200000000049</f>
        <v>287.10685200000006</v>
      </c>
      <c r="R222" s="3">
        <f>0+(434.7-119)+(0+(-1.773576--0.48552))+0-31--0.126479999999997</f>
        <v>283.53842400000002</v>
      </c>
      <c r="S222" s="3">
        <f>0+(466.3-160.5)+(0+(0-0))+0-30-0</f>
        <v>275.8</v>
      </c>
      <c r="T222" s="3">
        <f>0+(481.7-179.1)+(0+(0-0))+0-31-0</f>
        <v>271.60000000000002</v>
      </c>
      <c r="U222" s="3">
        <f>0+(431.7-163)+(0+(-0.660501--0.24939))+0-31--0.0474300000000018</f>
        <v>237.33631899999997</v>
      </c>
      <c r="V222" s="3">
        <f>0+(373-73.7)+(0+(0-0))+0-31-0</f>
        <v>268.3</v>
      </c>
      <c r="W222" s="3">
        <f>0+(409.2-78.5)+(0+(-0.626076--0.120105))+0-31--0.0474300000000018</f>
        <v>299.24145900000002</v>
      </c>
      <c r="X222" s="3">
        <f>0+(437.7-94.7)+(0+(-1.116135--0.241485))+0-33--0.0841499999999952</f>
        <v>309.20950000000005</v>
      </c>
      <c r="Y222" s="3">
        <f>0+(489.9-149.8)+(0+(-1.998792--0.611184))+0-31--0.126479999999997</f>
        <v>307.83887199999998</v>
      </c>
      <c r="Z222" s="3">
        <f>0+(490.3-162.3)+(0+(-0.500106--0.165546))+0-33--0.0336600000000053</f>
        <v>294.69909999999999</v>
      </c>
      <c r="AA222" s="3">
        <f>0+(460.1-141.3)+(0+(-0.938604--0.288252))+0-31--0.0632399999999986</f>
        <v>287.21288800000002</v>
      </c>
      <c r="AB222" s="3">
        <f>0+(405.5-101.4)+(0+(-1.24083--0.310284))+0-32--0.0979200000000037</f>
        <v>271.26737400000002</v>
      </c>
      <c r="AC222" s="3">
        <f>0+(420.8-127.8)+(0+(-0.214608--0.065178))+0-31--0.0158099999999969</f>
        <v>261.86637999999999</v>
      </c>
      <c r="AD222">
        <f t="shared" si="3"/>
        <v>6510.4019000000008</v>
      </c>
      <c r="AE222" s="3">
        <f>0+(472.1-129.6)+(0+(0-0))+0-31-0</f>
        <v>311.5</v>
      </c>
    </row>
    <row r="223" spans="1:31" s="2" customFormat="1" x14ac:dyDescent="0.25">
      <c r="A223">
        <v>89</v>
      </c>
      <c r="B223">
        <v>8</v>
      </c>
      <c r="C223">
        <v>7</v>
      </c>
      <c r="D223">
        <v>7</v>
      </c>
      <c r="E223">
        <v>1</v>
      </c>
      <c r="F223" s="3">
        <f>0+(378-102.4)+(0+(-0.9639--0.26112))+0-31--0.0790499999999955</f>
        <v>243.97627</v>
      </c>
      <c r="G223" s="3">
        <f>0+(344.5-74)+(0+(-1.05417--0.22644))+0-32--0.0979200000000037</f>
        <v>237.77019000000004</v>
      </c>
      <c r="H223" s="3">
        <f>0+(359.7-91.8)+(0+(-0.550341--0.140454))+0-31--0.0474300000000018</f>
        <v>236.53754299999994</v>
      </c>
      <c r="I223" s="3">
        <f>0+(353-75.4)+(0+(-0.18003--0.038454))+0-32--0.0163199999999968</f>
        <v>245.47474400000004</v>
      </c>
      <c r="J223" s="3">
        <f>0+(346.8-77.4)+(0+(0-0))+0-32-0</f>
        <v>237.39999999999998</v>
      </c>
      <c r="K223" s="3">
        <f>0+(311.1-56.2)+(0+(-0.158661--0.028662))+0-31--0.0158099999999969</f>
        <v>223.78581100000002</v>
      </c>
      <c r="L223" s="3">
        <f>0+(336.7-92.3)+(0+(-0.171717--0.047073))+0-32--0.0163199999999968</f>
        <v>212.291676</v>
      </c>
      <c r="M223" s="3">
        <f>0+(379.8-122.1)+(0+(-0.193698--0.062271))+0-30--0.015299999999997</f>
        <v>227.58387300000007</v>
      </c>
      <c r="N223" s="3">
        <f>0+(515.4-253.3)+(0+(-0.788562--0.387549))+0-30--0.0459000000000017</f>
        <v>231.74488699999998</v>
      </c>
      <c r="O223" s="3">
        <f>0+(646.2-374.9)+(0+(-0.659124--0.382398))+0-31--0.0316200000000049</f>
        <v>240.05489400000008</v>
      </c>
      <c r="P223" s="3">
        <f>0+(661.5-379.4)+(0+(-0.67473--0.386988))+0-31--0.0316200000000049</f>
        <v>250.84387800000005</v>
      </c>
      <c r="Q223" s="3">
        <f>0+(698.9-410.4)+(0+(-0.712878--0.418608))+0-31--0.0316200000000049</f>
        <v>257.23735000000005</v>
      </c>
      <c r="R223" s="3">
        <f>0+(625.6-342)+(0+(-0.638112--0.34884))+0-31--0.0316200000000049</f>
        <v>252.34234800000004</v>
      </c>
      <c r="S223" s="3">
        <f>0+(609.3-330.6)+(0+(-0.621486--0.337212))+0-31--0.0316200000000049</f>
        <v>247.44734599999995</v>
      </c>
      <c r="T223" s="3">
        <f>0+(584.9-311)+(0+(-1.193196--0.63444))+0-31--0.0632399999999986</f>
        <v>242.40448399999997</v>
      </c>
      <c r="U223" s="3">
        <f>0+(543.3-272.9)+(0+(-0.277083--0.139179))+0-32--0.0163199999999968</f>
        <v>238.27841599999999</v>
      </c>
      <c r="V223" s="3">
        <f>0+(485.3-212.3)+(0+(0.247503-0.108273))+0-31-0.0158099999999969</f>
        <v>242.12342000000001</v>
      </c>
      <c r="W223" s="3">
        <f>0+(533-226.8)+(0+(-0.27183--0.115668))+0-30--0.015299999999997</f>
        <v>276.05913800000002</v>
      </c>
      <c r="X223" s="3">
        <f>0+(587.8-266)+(0+(-1.199112--0.54264))+0-32--0.0652799999999986</f>
        <v>289.20880799999992</v>
      </c>
      <c r="Y223" s="3">
        <f>0+(601.2-283.4)+(0+(0.613224-0.289068))+0-30-0.0306000000000048</f>
        <v>288.09355600000009</v>
      </c>
      <c r="Z223" s="3">
        <f>0+(611.5-301.2)+(0+(-0.935595--0.460836))+0-31--0.0474300000000018</f>
        <v>278.87267100000003</v>
      </c>
      <c r="AA223" s="3">
        <f>0+(586.4-283.6)+(0+(-0.598128--0.289272))+0-31--0.0316200000000049</f>
        <v>271.522764</v>
      </c>
      <c r="AB223" s="3">
        <f>0+(466.3-173.1)+(0+(-0.475626--0.176562))+0-32--0.0326400000000051</f>
        <v>260.93357600000007</v>
      </c>
      <c r="AC223" s="3">
        <f>0+(498.2-217.9)+(0+(-1.27041--0.555645))+0-29--0.0739499999999958</f>
        <v>250.65918499999995</v>
      </c>
      <c r="AD223">
        <f t="shared" si="3"/>
        <v>5982.6468279999999</v>
      </c>
      <c r="AE223" s="3">
        <f>0+(592.7-267.7)+(0+(0-0))+0-31-0</f>
        <v>294.00000000000006</v>
      </c>
    </row>
    <row r="224" spans="1:31" s="2" customFormat="1" x14ac:dyDescent="0.25">
      <c r="A224">
        <v>89</v>
      </c>
      <c r="B224">
        <v>8</v>
      </c>
      <c r="C224">
        <v>8</v>
      </c>
      <c r="D224">
        <v>1</v>
      </c>
      <c r="E224">
        <v>1</v>
      </c>
      <c r="F224" s="3">
        <f>0+(419.8-156.2)+(0+(-0.214098--0.079662))+0-32--0.0163199999999968</f>
        <v>231.48188400000004</v>
      </c>
      <c r="G224" s="3">
        <f>0+(303.9-52.9)+(0+(-0.154989--0.026979))+0-32--0.0163199999999968</f>
        <v>218.88830999999999</v>
      </c>
      <c r="H224" s="3">
        <f>0+(266.1-9.4)+(0+(-0.407133--0.014382))+0-32--0.0489600000000018</f>
        <v>224.35620900000006</v>
      </c>
      <c r="I224" s="3">
        <f>0+(329.9-77.2)+(0+(0.168249-0.039372))+0-32-0.0163199999999968</f>
        <v>220.81255699999997</v>
      </c>
      <c r="J224" s="3">
        <f>0+(367.1-114.9)+(0+(-0.748884--0.234396))+0-32--0.0652799999999986</f>
        <v>219.75079200000002</v>
      </c>
      <c r="K224" s="3">
        <f>0+(360.9-101.9)+(0+(0-0))+0-32-0</f>
        <v>227</v>
      </c>
      <c r="L224" s="3">
        <f>0+(370-106.7)+(0+(0-0))+0-32-0</f>
        <v>231.3</v>
      </c>
      <c r="M224" s="3">
        <f>0+(408.5-123)+(0+(-0.208335--0.06273))+0-32--0.0163199999999968</f>
        <v>253.37071500000002</v>
      </c>
      <c r="N224" s="3">
        <f>0+(580.1-259.1)+(0+(-0.887553--0.396423))+0-21--0.0321300000000012</f>
        <v>299.541</v>
      </c>
      <c r="O224" s="3">
        <f>0+(532-204.1)+(0+(-0.54264--0.208182))+0-32--0.0326400000000051</f>
        <v>295.59818200000001</v>
      </c>
      <c r="P224" s="3">
        <f>0+(564.8-228.9)+(0+(-1.152192--0.466956))+0-32--0.0652799999999986</f>
        <v>303.28004399999998</v>
      </c>
      <c r="Q224" s="3">
        <f>0+(542.7-205.7)+(0+(-0.276777--0.104907))+0-32--0.0163199999999968</f>
        <v>304.84445000000005</v>
      </c>
      <c r="R224" s="3">
        <f>0+(546.9-214.6)+(0+(-0.557838--0.218892))+0-31--0.0316200000000049</f>
        <v>300.99267399999997</v>
      </c>
      <c r="S224" s="3">
        <f>0+(548.2-222.3)+(0+(-1.118328--0.453492))+0-32--0.0652799999999986</f>
        <v>293.30044400000003</v>
      </c>
      <c r="T224" s="3">
        <f>0+(556.2-230.1)+(0+(0-0))+0-31-0</f>
        <v>295.10000000000002</v>
      </c>
      <c r="U224" s="3">
        <f>0+(533.9-204.4)+(0+(-1.089156--0.416976))+0-31--0.0632399999999986</f>
        <v>297.89105999999998</v>
      </c>
      <c r="V224" s="3">
        <f>0+(467.4-138.1)+(0+(-0.715122--0.211293))+0-31--0.0474300000000018</f>
        <v>297.84360099999998</v>
      </c>
      <c r="W224" s="3">
        <f>0+(544.1-185.3)+(0+(0-0))+0-31-0</f>
        <v>327.8</v>
      </c>
      <c r="X224" s="3">
        <f>0+(614.2-264.3)+(0+(-0.939726--0.404379))+0-31--0.0474300000000018</f>
        <v>318.41208300000005</v>
      </c>
      <c r="Y224" s="3">
        <f>0+(608.3-267.2)+(0+(-1.551165--0.68136))+0-30--0.0764999999999956</f>
        <v>310.30669499999999</v>
      </c>
      <c r="Z224" s="3">
        <f>0+(522.5-194)+(0+(-1.0659--0.39576))+0-29--0.0591599999999987</f>
        <v>298.88902000000002</v>
      </c>
      <c r="AA224" s="3">
        <f>0+(550.4-232)+(0+(-0.842112--0.35496))+0-30--0.0459000000000017</f>
        <v>287.95874800000001</v>
      </c>
      <c r="AB224" s="3">
        <f>0+(526.5-213.5)+(0+(-1.342575--0.544425))+0-32--0.0815999999999954</f>
        <v>280.28344999999996</v>
      </c>
      <c r="AC224" s="3">
        <f>0+(455.6-158.6)+(0+(-1.394136--0.485316))+0-32--0.0979200000000037</f>
        <v>264.1891</v>
      </c>
      <c r="AD224">
        <f t="shared" si="3"/>
        <v>6603.1910179999995</v>
      </c>
      <c r="AE224" s="3">
        <f>0+(617.9-278.1)+(0+(0-0))+0-31-0</f>
        <v>308.79999999999995</v>
      </c>
    </row>
    <row r="225" spans="1:31" s="2" customFormat="1" x14ac:dyDescent="0.25">
      <c r="A225">
        <v>89</v>
      </c>
      <c r="B225">
        <v>8</v>
      </c>
      <c r="C225">
        <v>9</v>
      </c>
      <c r="D225">
        <v>2</v>
      </c>
      <c r="E225">
        <v>1</v>
      </c>
      <c r="F225" s="3">
        <f>0+(401.2-119)+(0+(-0.613836--0.18207))+0-7--0.0107100000000004</f>
        <v>274.77894400000002</v>
      </c>
      <c r="G225" s="3">
        <f>0+(293.7-16.1)+(0+(-0.299574--0.016422))+0-32--0.0326400000000051</f>
        <v>245.34948800000001</v>
      </c>
      <c r="H225" s="3">
        <f>0+(281.6-6.2)+(0+(-0.574464--0.012648))+0-32--0.0652799999999986</f>
        <v>242.90346400000001</v>
      </c>
      <c r="I225" s="3">
        <f>0+(296.9-17.4)+(0+(-0.454257--0.026622))+0-32--0.0489600000000018</f>
        <v>247.12132499999998</v>
      </c>
      <c r="J225" s="3">
        <f>0+(315.8-38.8)+(0+(0-0))+0-32-0</f>
        <v>245</v>
      </c>
      <c r="K225" s="3">
        <f>0+(311.4-36.4)+(0+(0-0))+0-32-0</f>
        <v>243</v>
      </c>
      <c r="L225" s="3">
        <f>0+(320.4-44)+(0+(-0.326808--0.04488))+0-32--0.0326400000000051</f>
        <v>244.150712</v>
      </c>
      <c r="M225" s="3">
        <f>0+(348.5-50.6)+(0+(0-0))+0-32-0</f>
        <v>265.89999999999998</v>
      </c>
      <c r="N225" s="3">
        <f>0+(372.2-57.2)+(0+(-0.379644--0.058344))+0-32--0.0326400000000051</f>
        <v>282.71134000000001</v>
      </c>
      <c r="O225" s="3">
        <f>0+(457.5-137.7)+(0+(-0.233325--0.070227))+0-32--0.0163199999999968</f>
        <v>287.65322200000003</v>
      </c>
      <c r="P225" s="3">
        <f>0+(502.9-171.7)+(0+(-0.512958--0.175134))+0-32--0.0326400000000051</f>
        <v>298.89481599999999</v>
      </c>
      <c r="Q225" s="3">
        <f>0+(537.5-177)+(0+(-1.0965--0.36108))+0-32--0.0652799999999986</f>
        <v>327.82986</v>
      </c>
      <c r="R225" s="3">
        <f>0+(580.7-66)+(0+(-0.296157--0.03366))+0-31--0.0158099999999969</f>
        <v>483.45331299999998</v>
      </c>
      <c r="S225" s="3">
        <f>0+(584.2-110)+(0+(-0.595884--0.1122))+0-32--0.0326400000000051</f>
        <v>441.74895600000008</v>
      </c>
      <c r="T225" s="3">
        <f>0+(622.5-104)+(0+(-0.317475--0.05304))+0-32--0.0163199999999968</f>
        <v>486.25188499999996</v>
      </c>
      <c r="U225" s="3">
        <f>0+(563.8-104)+(0+(-1.43769--0.2652))+0-32--0.0815999999999954</f>
        <v>426.70910999999995</v>
      </c>
      <c r="V225" s="3">
        <f>0+(476.5-143.3)+(0+(0-0))+0-29-0</f>
        <v>304.2</v>
      </c>
      <c r="W225" s="3">
        <f>0+(404-45)+(0+(-0.41208--0.0459))+0-31--0.0316200000000049</f>
        <v>327.66544000000005</v>
      </c>
      <c r="X225" s="3">
        <f>0+(405.1-47.4)+(0+(-0.826404--0.096696))+0-32--0.0652799999999986</f>
        <v>325.035572</v>
      </c>
      <c r="Y225" s="3">
        <f>0+(469.7-120.6)+(0+(-0.958188--0.246024))+0-31--0.0632399999999986</f>
        <v>317.45107600000006</v>
      </c>
      <c r="Z225" s="3">
        <f>0+(536.1-197.9)+(0+(-0.546822--0.201858))+0-32--0.0326400000000051</f>
        <v>305.88767600000006</v>
      </c>
      <c r="AA225" s="3">
        <f>0+(550.7-214.7)+(0+(-0.842571--0.328491))+0-32--0.0489600000000018</f>
        <v>303.5348800000001</v>
      </c>
      <c r="AB225" s="3">
        <f>0+(510.8-190.8)+(0+(-1.042032--0.389232))+0-32--0.0652799999999986</f>
        <v>287.41247999999996</v>
      </c>
      <c r="AC225" s="3">
        <f>0+(413.6-106.8)+(0+(-0.843744--0.217872))+0-32--0.0652799999999986</f>
        <v>274.23940799999997</v>
      </c>
      <c r="AD225">
        <f t="shared" si="3"/>
        <v>7488.8829669999996</v>
      </c>
      <c r="AE225" s="3">
        <f>0+(413.2-57.4)+(0+(0-0))+0-30-0</f>
        <v>325.8</v>
      </c>
    </row>
    <row r="226" spans="1:31" s="2" customFormat="1" x14ac:dyDescent="0.25">
      <c r="A226">
        <v>89</v>
      </c>
      <c r="B226">
        <v>8</v>
      </c>
      <c r="C226">
        <v>10</v>
      </c>
      <c r="D226">
        <v>3</v>
      </c>
      <c r="E226">
        <v>1</v>
      </c>
      <c r="F226" s="3">
        <f>0+(332.3-46.8)+(0+(-0.169473--0.023868))+0-32--0.0163199999999968</f>
        <v>253.37071500000002</v>
      </c>
      <c r="G226" s="3">
        <f>0+(292.9-11.7)+(0+(-0.746895--0.029835))+0-32--0.0815999999999954</f>
        <v>248.56453999999999</v>
      </c>
      <c r="H226" s="3">
        <f>0+(282.3-5)+(0+(-0.287946--0.0051))+0-32--0.0326400000000051</f>
        <v>245.04979400000002</v>
      </c>
      <c r="I226" s="3">
        <f>0+(268-0)+(0+(0.27336-0))+0-32-0.0326400000000051</f>
        <v>236.24072000000001</v>
      </c>
      <c r="J226" s="3">
        <f>0+(271.4-0)+(0+(-0.553656-0))+0-32--0.0652799999999986</f>
        <v>238.91162399999999</v>
      </c>
      <c r="K226" s="3">
        <f>0+(279.2-0)+(0+(0.427176-0))+0-32-0.0489600000000018</f>
        <v>247.57821599999997</v>
      </c>
      <c r="L226" s="3">
        <f>0+(284.7-0)+(0+(-0.435591-0))+0-32--0.0489600000000018</f>
        <v>252.31336899999999</v>
      </c>
      <c r="M226" s="3">
        <f>0+(335-26.1)+(0+(0-0))+0-32-0</f>
        <v>276.89999999999998</v>
      </c>
      <c r="N226" s="3">
        <f>0+(365.1-34.8)+(0+(-0.372402--0.035496))+0-32--0.0326400000000051</f>
        <v>297.99573400000003</v>
      </c>
      <c r="O226" s="3">
        <f>0+(422.3-82.1)+(0+(-1.076865--0.209355))+0-32--0.0815999999999954</f>
        <v>307.41409000000004</v>
      </c>
      <c r="P226" s="3">
        <f>0+(420-59.9)+(0+(-0.6426--0.091647))+0-32--0.0489600000000018</f>
        <v>327.59800700000005</v>
      </c>
      <c r="Q226" s="3">
        <f>0+(418.9-69.7)+(0+(0-0))+0-32-0</f>
        <v>317.2</v>
      </c>
      <c r="R226" s="3">
        <f>+(411.7-65.4)+(+(-1.469769--0.233478))+0-33--0.11781</f>
        <v>312.18151899999998</v>
      </c>
      <c r="S226" s="3">
        <f>+(439.5-110.4)+(+(0-0))+0-33-0</f>
        <v>296.10000000000002</v>
      </c>
      <c r="T226" s="3">
        <f>+(426.4-105.5)+(+(-0.652392--0.161415))+0-32--0.0489600000000018</f>
        <v>288.45798300000001</v>
      </c>
      <c r="U226" s="3">
        <f>+(421.8-103.5)+(+(-1.290708--0.31671))+0-30--0.0918000000000035</f>
        <v>287.41780199999999</v>
      </c>
      <c r="V226" s="3">
        <f>+(336.2-3.4)+(+(0-0))+0-30-0</f>
        <v>302.8</v>
      </c>
      <c r="W226" s="3">
        <f>+(439.5-75)+(+(0.224145-0.03825))+0-30-0.015299999999997</f>
        <v>334.67059499999999</v>
      </c>
      <c r="X226" s="3">
        <f>+(420.5-67)+(+(-0.85782--0.13668))+0-31--0.0632399999999986</f>
        <v>321.84210000000002</v>
      </c>
      <c r="Y226" s="3">
        <f>+(363.3-22)+(+(-0.926415--0.0561))+0-33--0.0841499999999952</f>
        <v>307.51383500000003</v>
      </c>
      <c r="Z226" s="3">
        <f>+(334.1-0)+(+(0-0))+0-33-0</f>
        <v>301.10000000000002</v>
      </c>
      <c r="AA226" s="3">
        <f>+(341.8-13.7)+(+(-0.348636--0.013974))+0-32--0.0326400000000051</f>
        <v>295.79797800000006</v>
      </c>
      <c r="AB226" s="3">
        <f>+(357.6-45.2)+(+(-0.91188--0.11526))+0-31--0.0790499999999955</f>
        <v>280.68243000000001</v>
      </c>
      <c r="AC226" s="3">
        <f>+(370.9-73.2)+(+(-0.189159--0.037332))+0-32--0.0163199999999968</f>
        <v>265.56449299999997</v>
      </c>
      <c r="AD226">
        <f t="shared" si="3"/>
        <v>6843.265543999999</v>
      </c>
      <c r="AE226" s="3">
        <f>0+(458.3-75)+(0+(0-0))+0-30-0</f>
        <v>353.3</v>
      </c>
    </row>
    <row r="227" spans="1:31" s="2" customFormat="1" x14ac:dyDescent="0.25">
      <c r="A227">
        <v>89</v>
      </c>
      <c r="B227">
        <v>8</v>
      </c>
      <c r="C227">
        <v>11</v>
      </c>
      <c r="D227">
        <v>4</v>
      </c>
      <c r="E227">
        <v>1</v>
      </c>
      <c r="F227" s="3">
        <f>0+(409.6-116.8)+(0+(0.208896-0.059568))+0-31-0.0158099999999969</f>
        <v>261.93351800000005</v>
      </c>
      <c r="G227" s="3">
        <f>0+(337.3-50.4)+(0+(-0.516069--0.077112))+0-31--0.0474300000000018</f>
        <v>255.50847300000001</v>
      </c>
      <c r="H227" s="3">
        <f>0+(282.3-6)+(0+(-0.431919--0.00918))+0-31--0.0474300000000018</f>
        <v>244.92469100000002</v>
      </c>
      <c r="I227" s="3">
        <f>0+(294.8-18.8)+(0+(0.300696-0.019176))+0-31-0.0316200000000049</f>
        <v>245.2499</v>
      </c>
      <c r="J227" s="3">
        <f>0+(278.1-5.7)+(0+(0.141831-0.002907))+0-31-0.0158099999999969</f>
        <v>241.52311400000002</v>
      </c>
      <c r="K227" s="3">
        <f>0+(286.2-12.3)+(0+(0-0))+0-31-0</f>
        <v>242.89999999999998</v>
      </c>
      <c r="L227" s="3">
        <f>0+(300.9-13)+(0+(0.153459-0.00663))+0-31-0.0158099999999969</f>
        <v>257.03101900000001</v>
      </c>
      <c r="M227" s="3">
        <f>0+(369.4-88.6)+(0+(-0.188394--0.045186))+0-31--0.0158099999999969</f>
        <v>249.67260199999993</v>
      </c>
      <c r="N227" s="3">
        <f>0+(499.6-158.9)+(0+(-0.764388--0.243117))+0-31--0.0474300000000018</f>
        <v>309.22615900000005</v>
      </c>
      <c r="O227" s="3">
        <f>0+(496.7-149.9)+(0+(-0.506634--0.152898))+0-31--0.0316200000000049</f>
        <v>315.47788399999996</v>
      </c>
      <c r="P227" s="3">
        <f>0+(532.2-183.1)+(0+(0-0))+0-31-0</f>
        <v>318.10000000000002</v>
      </c>
      <c r="Q227" s="3">
        <f>0+(625.7-274.4)+(0+(-1.276428--0.559776))+0-31--0.0632399999999986</f>
        <v>319.64658800000007</v>
      </c>
      <c r="R227" s="3">
        <f>0+(658.6-311.5)+(0+(0.671772-0.31773))+0-31-0.0316200000000049</f>
        <v>316.42242199999998</v>
      </c>
      <c r="S227" s="3">
        <f>0+(658.5-314.3)+(0+(-1.34334--0.641172))+0-31--0.0632399999999986</f>
        <v>312.56107200000002</v>
      </c>
      <c r="T227" s="3">
        <f>0+(668.9-324.8)+(0+(-0.682278--0.331296))+0-31--0.0316200000000049</f>
        <v>312.78063800000001</v>
      </c>
      <c r="U227" s="3">
        <f>0+(680.5-338.6)+(0+(-1.735275--0.86343))+0-32--0.0815999999999954</f>
        <v>309.10975499999995</v>
      </c>
      <c r="V227" s="3">
        <f>0+(611.6-263.2)+(0+(0.935748-0.402696))+0-31-0.0474300000000018</f>
        <v>317.88562200000001</v>
      </c>
      <c r="W227" s="3">
        <f>0+(533-162)+(0+(-0.81549--0.24786))+0-32--0.0489600000000018</f>
        <v>338.48133000000001</v>
      </c>
      <c r="X227" s="3">
        <f>0+(529.4-199.4)+(0+(-1.34997--0.50847))+0-32--0.0815999999999954</f>
        <v>297.24009999999998</v>
      </c>
      <c r="Y227" s="3">
        <f>0+(516.4-183.4)+(0+(-0.526728--0.187068))+0-31--0.0316200000000049</f>
        <v>301.69196000000005</v>
      </c>
      <c r="Z227" s="3">
        <f>0+(514.6-181.3)+(0+(-0.262446--0.092463))+0-32--0.0163199999999968</f>
        <v>301.14633700000002</v>
      </c>
      <c r="AA227" s="3">
        <f>0+(520.1-196.3)+(0+(-0.795753--0.300339))+0-32--0.0489600000000018</f>
        <v>291.35354600000005</v>
      </c>
      <c r="AB227" s="3">
        <f>0+(347-30.4)+(0+(-0.35394--0.031008))+0-31--0.0316200000000049</f>
        <v>285.30868800000007</v>
      </c>
      <c r="AC227" s="3">
        <f>0+(314.2-14.3)+(0+(-0.320484--0.014586))+0-31--0.0316200000000049</f>
        <v>268.625722</v>
      </c>
      <c r="AD227">
        <f t="shared" si="3"/>
        <v>6913.8011399999996</v>
      </c>
      <c r="AE227" s="3">
        <f>0+(583.2-179.6)+(0+(0-0))+0-30-0</f>
        <v>373.6</v>
      </c>
    </row>
    <row r="228" spans="1:31" s="2" customFormat="1" x14ac:dyDescent="0.25">
      <c r="A228">
        <v>89</v>
      </c>
      <c r="B228">
        <v>8</v>
      </c>
      <c r="C228">
        <v>12</v>
      </c>
      <c r="D228">
        <v>5</v>
      </c>
      <c r="E228">
        <v>1</v>
      </c>
      <c r="F228" s="3">
        <f>0+(283.3-0)+(0+(-0.144483-0))+0-32--0.0163199999999968</f>
        <v>251.17183700000004</v>
      </c>
      <c r="G228" s="3">
        <f>0+(309.2-33.3)+(0+(-0.78846--0.084915))+0-32--0.0815999999999954</f>
        <v>243.27805499999997</v>
      </c>
      <c r="H228" s="3">
        <f>0+(304.5-33.2)+(0+(-0.31059--0.033864))+0-31--0.0316200000000049</f>
        <v>240.05489400000002</v>
      </c>
      <c r="I228" s="3">
        <f>0+(286.3-22.8)+(0+(0-0))+0-32-0</f>
        <v>231.5</v>
      </c>
      <c r="J228" s="3">
        <f>0+(305.5-35.6)+(0+(-0.62322--0.072624))+0-32--0.0652799999999986</f>
        <v>237.41468399999999</v>
      </c>
      <c r="K228" s="3">
        <f>0+(366.2-90.5)+(0+(-0.373524--0.09231))+0-32--0.0326400000000051</f>
        <v>243.45142600000003</v>
      </c>
      <c r="L228" s="3">
        <f>0+(364-88)+(0+(0.37128-0.08976))+0-31-0.0316200000000049</f>
        <v>245.2499</v>
      </c>
      <c r="M228" s="3">
        <f>0+(384.1-84)+(0+(-0.195891--0.04284))+0-32--0.0163199999999968</f>
        <v>267.96326900000003</v>
      </c>
      <c r="N228" s="3">
        <f>0+(418.1-96.3)+(0+(-0.426462--0.098226))+0-30--0.0306000000000048</f>
        <v>291.502364</v>
      </c>
      <c r="O228" s="3">
        <f>0+(522.3-196.5)+(0+(-0.266373--0.100215))+0-30--0.015299999999997</f>
        <v>295.64914199999998</v>
      </c>
      <c r="P228" s="3">
        <f>0+(552-213.4)+(0+(-1.12608--0.435336))+0-32--0.0652799999999986</f>
        <v>305.974536</v>
      </c>
      <c r="Q228" s="3">
        <f>0+(634.1-288.3)+(0+(0.646782-0.294066))+0-35-0.0357000000000056</f>
        <v>311.11701599999998</v>
      </c>
      <c r="R228" s="3">
        <f>0+(529.5-191.9)+(0+(-0.54009--0.195738))+0-32--0.0326400000000051</f>
        <v>305.28828800000002</v>
      </c>
      <c r="S228" s="3">
        <f>0+(513.3-185.6)+(0+(0.523566-0.189312))+0-32-0.0326400000000051</f>
        <v>296.0016139999999</v>
      </c>
      <c r="T228" s="3">
        <f>0+(494.4-169.8)+(0+(0.504288-0.173196))+0-32-0.0326400000000051</f>
        <v>292.89845199999996</v>
      </c>
      <c r="U228" s="3">
        <f>0+(446.2-122)+(0+(0.455124-0.12444))+0-32-0.0326400000000051</f>
        <v>292.49804399999999</v>
      </c>
      <c r="V228" s="3">
        <f>0+(440.7-114.2)+(0+(0-0))+0-33-0</f>
        <v>293.5</v>
      </c>
      <c r="W228" s="3">
        <f>0+(412.9-60.1)+(0+(-0.421158--0.061302))+0-32--0.0326400000000051</f>
        <v>320.47278399999999</v>
      </c>
      <c r="X228" s="3">
        <f>0+(486.4-141.9)+(0+(-0.744192--0.217107))+0-30--0.0459000000000017</f>
        <v>314.01881500000002</v>
      </c>
      <c r="Y228" s="3">
        <f>0+(533.4-213.4)+(0+(-1.36017--0.54417))+0-32--0.0815999999999954</f>
        <v>287.26560000000001</v>
      </c>
      <c r="Z228" s="3">
        <f>0+(546.3-221.2)+(0+(-1.393065--0.56406))+0-33--0.0841499999999952</f>
        <v>291.35514499999999</v>
      </c>
      <c r="AA228" s="3">
        <f>0+(505.9-169.2)+(0+(-1.548054--0.517752))+0-31--0.0948600000000036</f>
        <v>304.76455799999997</v>
      </c>
      <c r="AB228" s="3">
        <f>0+(450-135.3)+(0+(-0.459--0.138006))+0-32--0.0326400000000051</f>
        <v>282.41164600000002</v>
      </c>
      <c r="AC228" s="3">
        <f>0+(429.5-130.8)+(0+(-0.657135--0.200124))+0-32--0.0489600000000018</f>
        <v>266.29194899999999</v>
      </c>
      <c r="AD228">
        <f t="shared" si="3"/>
        <v>6711.0940179999998</v>
      </c>
      <c r="AE228" s="3">
        <f>0+(476.6-139.7)+(0+(0-0))+0-32-0</f>
        <v>304.90000000000003</v>
      </c>
    </row>
    <row r="229" spans="1:31" s="2" customFormat="1" x14ac:dyDescent="0.25">
      <c r="A229">
        <v>89</v>
      </c>
      <c r="B229">
        <v>8</v>
      </c>
      <c r="C229">
        <v>13</v>
      </c>
      <c r="D229">
        <v>6</v>
      </c>
      <c r="E229">
        <v>1</v>
      </c>
      <c r="F229" s="3">
        <f>0+(461.7-171.6)+(0+(-0.235467--0.087516))+0-32--0.0163199999999968</f>
        <v>257.96836900000005</v>
      </c>
      <c r="G229" s="3">
        <f>0+(394.5-120.4)+(0+(-0.40239--0.122808))+0-32--0.0326400000000051</f>
        <v>241.85305800000003</v>
      </c>
      <c r="H229" s="3">
        <f>0+(320.4-60)+(0+(-0.163404--0.0306))+0-32--0.0163199999999968</f>
        <v>228.28351599999996</v>
      </c>
      <c r="I229" s="3">
        <f>0+(265.3-1.2)+(0+(0-0))+0-32-0</f>
        <v>232.10000000000002</v>
      </c>
      <c r="J229" s="3">
        <f>0+(312.6-50)+(0+(0.637704-0.102))+0-32-0.0652799999999986</f>
        <v>231.07042400000003</v>
      </c>
      <c r="K229" s="3">
        <f>0+(329.9-66.8)+(0+(-0.168249--0.034068))+0-32--0.0163199999999968</f>
        <v>230.98213899999996</v>
      </c>
      <c r="L229" s="3">
        <f>0+(349.5-84.7)+(0+(-0.71298--0.172788))+0-32--0.0652799999999986</f>
        <v>232.32508800000002</v>
      </c>
      <c r="M229" s="3">
        <f>0+(378.9-101.2)+(0+(-0.386478--0.103224))+0-32--0.0326400000000051</f>
        <v>245.449386</v>
      </c>
      <c r="N229" s="3">
        <f>0+(542-236.6)+(0+(-0.27642--0.120666))+0-32--0.0163199999999968</f>
        <v>273.26056599999998</v>
      </c>
      <c r="O229" s="3">
        <f>0+(598.1-288)+(0+(-0.915093--0.44064))+0-32--0.0489600000000018</f>
        <v>277.67450700000006</v>
      </c>
      <c r="P229" s="3">
        <f>0+(640.7-319.9)+(0+(0-0))+0-32-0</f>
        <v>288.80000000000007</v>
      </c>
      <c r="Q229" s="3">
        <f>0+(629.4-308.3)+(0+(0-0))+0-32-0</f>
        <v>289.09999999999997</v>
      </c>
      <c r="R229" s="3">
        <f>0+(628.2-313.4)+(0+(-0.961146--0.479502))+0-32--0.0489600000000018</f>
        <v>282.36731600000007</v>
      </c>
      <c r="S229" s="3">
        <f>0+(682.6-378.5)+(0+(-1.392504--0.77214))+0-32--0.0652799999999986</f>
        <v>271.544916</v>
      </c>
      <c r="T229" s="3">
        <f>0+(674.7-374.4)+(0+(0.344097-0.190944))+0-32-0.0163199999999968</f>
        <v>268.43683300000004</v>
      </c>
      <c r="U229" s="3">
        <f>0+(625.1-332.2)+(0+(-1.594005--0.84711))+0-32--0.0815999999999954</f>
        <v>260.23470500000002</v>
      </c>
      <c r="V229" s="3">
        <f>0+(587.3-290)+(0+(-0.898569--0.4437))+0-32--0.0489600000000018</f>
        <v>264.894091</v>
      </c>
      <c r="W229" s="3">
        <f>0+(506.6-178.6)+(0+(-0.516732--0.182172))+0-32--0.0326400000000051</f>
        <v>295.69808</v>
      </c>
      <c r="X229" s="3">
        <f>0+(553.7-221.7)+(0+(-1.129548--0.452268))+0-32--0.0652799999999986</f>
        <v>299.38800000000003</v>
      </c>
      <c r="Y229" s="3">
        <f>0+(538.3-218.1)+(0+(-1.372665--0.556155))+0-32--0.0815999999999954</f>
        <v>287.46508999999992</v>
      </c>
      <c r="Z229" s="3">
        <f>0+(548.4-231.8)+(0+(-0.839052--0.354654))+0-32--0.0489600000000018</f>
        <v>284.16456199999999</v>
      </c>
      <c r="AA229" s="3">
        <f>0+(528.5-226)+(0+(-0.269535--0.11526))+0-32--0.0163199999999968</f>
        <v>270.36204500000002</v>
      </c>
      <c r="AB229" s="3">
        <f>0+(444-153.7)+(0+(-0.90576--0.313548))+0-32--0.0652799999999986</f>
        <v>257.77306799999997</v>
      </c>
      <c r="AC229" s="3">
        <f>0+(393.7-110.6)+(0+(-1.003935--0.28203))+0-32--0.0815999999999954</f>
        <v>250.45969500000004</v>
      </c>
      <c r="AD229">
        <f t="shared" si="3"/>
        <v>6321.6554540000006</v>
      </c>
      <c r="AE229" s="3">
        <f>0+(560.2-224.8)+(0+(0-0))+0-30-0</f>
        <v>305.40000000000003</v>
      </c>
    </row>
    <row r="230" spans="1:31" s="2" customFormat="1" x14ac:dyDescent="0.25">
      <c r="A230">
        <v>89</v>
      </c>
      <c r="B230">
        <v>8</v>
      </c>
      <c r="C230">
        <v>14</v>
      </c>
      <c r="D230">
        <v>7</v>
      </c>
      <c r="E230">
        <v>1</v>
      </c>
      <c r="F230" s="3">
        <f>0+(371.7-103.8)+(0+(-0.379134--0.105876))+0-31--0.0316200000000049</f>
        <v>236.65836199999998</v>
      </c>
      <c r="G230" s="3">
        <f>0+(324.2-66.5)+(0+(-0.165342--0.033915))+0-31--0.0158099999999969</f>
        <v>226.584383</v>
      </c>
      <c r="H230" s="3">
        <f>0+(268.6-25.1)+(0+(-0.136986--0.012801))+0-31--0.0158099999999969</f>
        <v>212.391625</v>
      </c>
      <c r="I230" s="3">
        <f>0+(260.9-25)+(0+(-0.266118--0.0255))+0-31--0.0316200000000049</f>
        <v>204.69100199999997</v>
      </c>
      <c r="J230" s="3">
        <f>0+(272.6-34)+(0+(-0.417078--0.05202))+0-31--0.0474300000000018</f>
        <v>207.28237200000001</v>
      </c>
      <c r="K230" s="3">
        <f>0+(273.6-35.6)+(0+(0.279072-0.036312))+0-31-0.0316200000000049</f>
        <v>207.21114000000003</v>
      </c>
      <c r="L230" s="3">
        <f>0+(274.8-43.6)+(0+(-0.70074--0.11118))+0-31--0.0790499999999955</f>
        <v>199.68949000000001</v>
      </c>
      <c r="M230" s="3">
        <f>0+(280.3-45.2)+(0+(0-0))+0-32-0</f>
        <v>203.10000000000002</v>
      </c>
      <c r="N230" s="3">
        <f>0+(325.7-72.7)+(0+(-0.166107--0.037077))+0-32--0.0163199999999968</f>
        <v>220.88729000000001</v>
      </c>
      <c r="O230" s="3">
        <f>0+(390.5-131)+(0+(0.199155-0.06681))+0-32-0.0163199999999968</f>
        <v>227.61602499999998</v>
      </c>
      <c r="P230" s="3">
        <f>0+(487.6-224.9)+(0+(-0.497352--0.229398))+0-31--0.0316200000000049</f>
        <v>231.46366600000007</v>
      </c>
      <c r="Q230" s="3">
        <f>0+(539.8-273.1)+(0+(-1.37649--0.696405))+0-32--0.0815999999999954</f>
        <v>234.10151499999992</v>
      </c>
      <c r="R230" s="3">
        <f>0+(545.2-276.8)+(0+(-0.556104--0.282336))+0-32--0.0326400000000051</f>
        <v>236.15887200000003</v>
      </c>
      <c r="S230" s="3">
        <f>0+(557.2-292.5)+(0+(-0.852516--0.447525))+0-30--0.0459000000000017</f>
        <v>234.34090900000004</v>
      </c>
      <c r="T230" s="3">
        <f>0+(537.4-275.6)+(0+(-0.548148--0.281112))+0-32--0.0326400000000051</f>
        <v>229.56560399999995</v>
      </c>
      <c r="U230" s="3">
        <f>0+(534.6-275.3)+(0+(-0.817938--0.421209))+0-32--0.0489600000000018</f>
        <v>226.95223100000001</v>
      </c>
      <c r="V230" s="3">
        <f>0+(478.8-215)+(0+(-0.488376--0.2193))+0-32--0.0326400000000051</f>
        <v>231.56356400000004</v>
      </c>
      <c r="W230" s="3">
        <f>0+(397.8-101.7)+(0+(-0.202878--0.051867))+0-31--0.0158099999999969</f>
        <v>264.96479900000003</v>
      </c>
      <c r="X230" s="3">
        <f>0+(487.8-186.1)+(0+(-0.497556--0.189822))+0-32--0.0326400000000051</f>
        <v>269.42490600000008</v>
      </c>
      <c r="Y230" s="3">
        <f>0+(498.8-197.7)+(0+(-0.508776--0.201654))+0-32--0.0326400000000051</f>
        <v>268.82551800000005</v>
      </c>
      <c r="Z230" s="3">
        <f>0+(508.4-212.1)+(0+(-0.777852--0.324513))+0-32--0.0489600000000018</f>
        <v>263.89562099999995</v>
      </c>
      <c r="AA230" s="3">
        <f>0+(556.8-264.9)+(0+(-0.567936--0.270198))+0-32--0.0326400000000051</f>
        <v>259.63490200000001</v>
      </c>
      <c r="AB230" s="3">
        <f>0+(523-244.5)+(0+(-0.26673--0.124695))+0-32--0.0163199999999968</f>
        <v>246.37428499999999</v>
      </c>
      <c r="AC230" s="3">
        <f>0+(361.5-99.7)+(0+(-0.921825--0.254235))+0-32--0.0815999999999954</f>
        <v>229.21401</v>
      </c>
      <c r="AD230">
        <f t="shared" si="3"/>
        <v>5572.5920909999986</v>
      </c>
      <c r="AE230" s="3">
        <f>0+(484.3-181)+(0+(0-0))+0-32-0</f>
        <v>271.3</v>
      </c>
    </row>
    <row r="231" spans="1:31" s="2" customFormat="1" x14ac:dyDescent="0.25">
      <c r="A231">
        <v>89</v>
      </c>
      <c r="B231">
        <v>8</v>
      </c>
      <c r="C231">
        <v>15</v>
      </c>
      <c r="D231">
        <v>1</v>
      </c>
      <c r="E231">
        <v>1</v>
      </c>
      <c r="F231" s="3">
        <f>0+(344.5-92.5)+(0+(-0.878475--0.235875))+0-32--0.0815999999999954</f>
        <v>219.43900000000002</v>
      </c>
      <c r="G231" s="3">
        <f>0+(357.7-109.7)+(0+(-1.459416--0.447576))+0-32--0.130559999999997</f>
        <v>215.11872</v>
      </c>
      <c r="H231" s="3">
        <f>0+(373.2-126.7)+(0+(-0.761328--0.258468))+0-32--0.0652799999999986</f>
        <v>214.06242</v>
      </c>
      <c r="I231" s="3">
        <f>0+(340.4-97.3)+(0+(0.347208-0.099246))+0-32-0.0326400000000051</f>
        <v>211.31532199999995</v>
      </c>
      <c r="J231" s="3">
        <f>0+(335.3-88.9)+(0+(-0.171003--0.045339))+0-32--0.0163199999999968</f>
        <v>214.29065600000001</v>
      </c>
      <c r="K231" s="3">
        <f>0+(355.7-103.2)+(0+(-0.544221--0.157896))+0-32--0.0489600000000018</f>
        <v>220.16263499999999</v>
      </c>
      <c r="L231" s="3">
        <f>0+(352.1-89.3)+(0+(0-0))+0-32-0</f>
        <v>230.8</v>
      </c>
      <c r="M231" s="3">
        <f>0+(300.1-11.2)+(0+(-0.153051--0.005712))+0-33--0.0168299999999967</f>
        <v>255.76949100000004</v>
      </c>
      <c r="N231" s="3">
        <f>0+(412.9-98.5)+(0+(0.210579-0.050235))+0-33-0.0168299999999967</f>
        <v>281.54351400000002</v>
      </c>
      <c r="O231" s="3">
        <f>0+(586.1-259.1)+(0+(0.597822-0.264282))+0-32-0.0326400000000051</f>
        <v>295.30090000000001</v>
      </c>
      <c r="P231" s="3">
        <f>0+(577.6-242.5)+(0+(0-0))+0-32-0</f>
        <v>303.10000000000002</v>
      </c>
      <c r="Q231" s="3">
        <f>0+(559.8-225.5)+(0+(-0.856494--0.345015))+0-32--0.0489600000000018</f>
        <v>301.83748099999997</v>
      </c>
      <c r="R231" s="3">
        <f>0+(648.2-313.8)+(0+(-2.314074--1.120266))+0-32--0.11424</f>
        <v>301.32043200000004</v>
      </c>
      <c r="S231" s="3">
        <f>0+(617.6-290.9)+(0+(-0.314976--0.148359))+0-32--0.0163199999999968</f>
        <v>294.54970300000008</v>
      </c>
      <c r="T231" s="3">
        <f>0+(611.6-287.6)+(0+(-1.247664--0.586704))+0-32--0.0652799999999986</f>
        <v>291.40431999999998</v>
      </c>
      <c r="U231" s="3">
        <f>0+(572.6-252.9)+(0+(0-0))+0-32-0</f>
        <v>287.70000000000005</v>
      </c>
      <c r="V231" s="3">
        <f>0+(475.5-154.2)+(0+(-0.242505--0.078642))+0-32--0.0163199999999968</f>
        <v>289.15245700000003</v>
      </c>
      <c r="W231" s="3">
        <f>0+(486.9-135.8)+(0+(-0.248319--0.069258))+0-32--0.0163199999999968</f>
        <v>318.93725899999998</v>
      </c>
      <c r="X231" s="3">
        <f>0+(518.4-171)+(0+(-1.32192--0.43605))+0-32--0.0815999999999954</f>
        <v>314.59572999999995</v>
      </c>
      <c r="Y231" s="3">
        <f>0+(532.9-190.8)+(0+(-1.630674--0.583848))+0-32--0.0979200000000037</f>
        <v>309.15109399999994</v>
      </c>
      <c r="Z231" s="3">
        <f>0+(583.4-245.7)+(0+(-0.892602--0.375921))+0-32--0.0489600000000018</f>
        <v>305.23227900000001</v>
      </c>
      <c r="AA231" s="3">
        <f>0+(566.5-237.7)+(0+(-0.866745--0.363681))+0-32--0.0489600000000018</f>
        <v>296.34589600000004</v>
      </c>
      <c r="AB231" s="3">
        <f>0+(452.5-143.4)+(0+(-0.692325--0.219402))+0-27--0.0413100000000016</f>
        <v>281.66838700000005</v>
      </c>
      <c r="AC231" s="3">
        <f>0+(315.5-28.3)+(0+(-0.64362--0.057732))+0-31--0.0632399999999986</f>
        <v>255.67735199999998</v>
      </c>
      <c r="AD231">
        <f t="shared" si="3"/>
        <v>6508.4750479999993</v>
      </c>
      <c r="AE231" s="3">
        <f>0+(491.4-142.2)+(0+(0-0))+0-32-0</f>
        <v>317.2</v>
      </c>
    </row>
    <row r="232" spans="1:31" s="2" customFormat="1" x14ac:dyDescent="0.25">
      <c r="A232">
        <v>89</v>
      </c>
      <c r="B232">
        <v>8</v>
      </c>
      <c r="C232">
        <v>16</v>
      </c>
      <c r="D232">
        <v>2</v>
      </c>
      <c r="E232">
        <v>1</v>
      </c>
      <c r="F232" s="3">
        <f>0+(283.3-10.4)+(0+(-0.288966--0.010608))+0-31--0.0316200000000049</f>
        <v>241.65326200000001</v>
      </c>
      <c r="G232" s="3">
        <f>0+(266.2-0)+(0+(-0.135762-0))+0-31--0.0158099999999969</f>
        <v>235.08004799999998</v>
      </c>
      <c r="H232" s="3">
        <f>0+(260.8-0)+(0+(-0.399024-0))+0-31--0.0474300000000018</f>
        <v>229.44840600000001</v>
      </c>
      <c r="I232" s="3">
        <f>0+(256.3-0)+(0+(-0.261426-0))+0-29--0.0295800000000046</f>
        <v>227.06815400000005</v>
      </c>
      <c r="J232" s="3">
        <f>0+(263.6-0)+(0+(0.268872-0))+0-31-0.0316200000000049</f>
        <v>232.83725200000001</v>
      </c>
      <c r="K232" s="3">
        <f>0+(277.9-0)+(0+(0.708645-0))+0-31-0.0790499999999955</f>
        <v>247.52959499999997</v>
      </c>
      <c r="L232" s="3">
        <f>0+(346.1-63.6)+(0+(-0.529533--0.097308))+0-32--0.0489600000000018</f>
        <v>250.11673499999998</v>
      </c>
      <c r="M232" s="3">
        <f>0+(454.9-155.1)+(0+(-1.159995--0.395505))+0-32--0.0815999999999954</f>
        <v>267.11710999999991</v>
      </c>
      <c r="N232" s="3">
        <f>0+(560.7-237.5)+(0+(0.857871-0.363375))+0-32-0.0489600000000018</f>
        <v>291.64553600000005</v>
      </c>
      <c r="O232" s="3">
        <f>0+(629.1-295.6)+(0+(-0.962523--0.452268))+0-32--0.0489600000000018</f>
        <v>301.03870500000005</v>
      </c>
      <c r="P232" s="3">
        <f>0+(654.5-325.2)+(0+(-0.333795--0.165852))+0-31--0.0158099999999969</f>
        <v>298.14786700000002</v>
      </c>
      <c r="Q232" s="3">
        <f>0+(681.2-336.8)+(0+(-0.347412--0.171768))+0-32--0.0163199999999968</f>
        <v>312.24067600000006</v>
      </c>
      <c r="R232" s="3">
        <f>0+(689.1-348.2)+(0+(-1.405764--0.710328))+0-32--0.0652799999999986</f>
        <v>308.26984400000003</v>
      </c>
      <c r="S232" s="3">
        <f>0+(623.8-295.3)+(0+(0-0))+0-32-0</f>
        <v>296.49999999999994</v>
      </c>
      <c r="T232" s="3">
        <f>0+(675.1-345.4)+(0+(0.688602-0.352308))+0-32-0.0326400000000051</f>
        <v>298.00365400000004</v>
      </c>
      <c r="U232" s="3">
        <f>0+(656.7-328.9)+(0+(-0.669834--0.335478))+0-32--0.0326400000000051</f>
        <v>295.49828400000007</v>
      </c>
      <c r="V232" s="3">
        <f>0+(559.5-231.4)+(0+(-0.285345--0.118014))+0-29--0.0147899999999971</f>
        <v>298.94745900000004</v>
      </c>
      <c r="W232" s="3">
        <f>0+(562.1-199.6)+(0+(-0.286671--0.101796))+0-32--0.0163199999999968</f>
        <v>330.33144500000003</v>
      </c>
      <c r="X232" s="3">
        <f>0+(657.2-296.7)+(0+(-0.335172--0.151317))+0-32--0.0163199999999968</f>
        <v>328.33246500000007</v>
      </c>
      <c r="Y232" s="3">
        <f>0+(651-295.9)+(0+(-1.66005--0.754545))+0-32--0.0815999999999954</f>
        <v>322.276095</v>
      </c>
      <c r="Z232" s="3">
        <f>0+(682.5-335.9)+(0+(-1.740375--0.856545))+0-32--0.0815999999999954</f>
        <v>313.79777000000001</v>
      </c>
      <c r="AA232" s="3">
        <f>0+(685.8-351.2)+(0+(-0.699516--0.358224))+0-32--0.0326400000000051</f>
        <v>302.29134799999997</v>
      </c>
      <c r="AB232" s="3">
        <f>0+(532.8-217.3)+(0+(-0.543456--0.221646))+0-32--0.0326400000000051</f>
        <v>283.21082999999993</v>
      </c>
      <c r="AC232" s="3">
        <f>0+(433.8-134.3)+(0+(-1.10619--0.342465))+0-32--0.0815999999999954</f>
        <v>266.81787499999996</v>
      </c>
      <c r="AD232">
        <f t="shared" si="3"/>
        <v>6778.2004150000002</v>
      </c>
      <c r="AE232" s="3">
        <f>0+(657.6-299.1)+(0+(0-0))+0-31-0</f>
        <v>327.5</v>
      </c>
    </row>
    <row r="233" spans="1:31" s="2" customFormat="1" x14ac:dyDescent="0.25">
      <c r="A233">
        <v>89</v>
      </c>
      <c r="B233">
        <v>8</v>
      </c>
      <c r="C233">
        <v>17</v>
      </c>
      <c r="D233">
        <v>3</v>
      </c>
      <c r="E233">
        <v>1</v>
      </c>
      <c r="F233" s="3">
        <f>0+(302.2-22.5)+(0+(-0.462366--0.034425))+0-32--0.0489600000000018</f>
        <v>247.32101900000001</v>
      </c>
      <c r="G233" s="3">
        <f>0+(295.2-22.4)+(0+(-0.602208--0.045696))+0-32--0.0652799999999986</f>
        <v>240.30876800000001</v>
      </c>
      <c r="H233" s="3">
        <f>0+(303.8-33.8)+(0+(-0.464814--0.051714))+0-30--0.0459000000000017</f>
        <v>239.6328</v>
      </c>
      <c r="I233" s="3">
        <f>0+(287-23.8)+(0+(-0.14637--0.012138))+0-30--0.015299999999997</f>
        <v>233.08106799999999</v>
      </c>
      <c r="J233" s="3">
        <f>0+(312.8-43.7)+(0+(-0.159528--0.022287))+0-32--0.0163199999999968</f>
        <v>236.97907900000001</v>
      </c>
      <c r="K233" s="3">
        <f>0+(283.8-14.7)+(0+(0-0))+0-32-0</f>
        <v>237.10000000000002</v>
      </c>
      <c r="L233" s="3">
        <f>0+(303.8-19)+(0+(-0.309876--0.01938))+0-32--0.0326400000000051</f>
        <v>252.54214400000001</v>
      </c>
      <c r="M233" s="3">
        <f>0+(460.2-158.7)+(0+(-0.704106--0.242811))+0-32--0.0489600000000018</f>
        <v>269.08766500000002</v>
      </c>
      <c r="N233" s="3">
        <f>0+(529.8-203.4)+(0+(-0.540396--0.207468))+0-32--0.0326400000000051</f>
        <v>294.09971200000001</v>
      </c>
      <c r="O233" s="3">
        <f>0+(592.7-255.7)+(0+(0-0))+0-32-0</f>
        <v>305.00000000000006</v>
      </c>
      <c r="P233" s="3">
        <f>0+(634.4-293.7)+(0+(0-0))+0-33-0</f>
        <v>307.7</v>
      </c>
      <c r="Q233" s="3">
        <f>0+(566.1-224.8)+(0+(-0.866133--0.343944))+0-32--0.0489600000000018</f>
        <v>308.82677100000001</v>
      </c>
      <c r="R233" s="3">
        <f>0+(537.3-204.5)+(0+(-1.370115--0.521475))+0-32--0.0815999999999954</f>
        <v>300.03295999999995</v>
      </c>
      <c r="S233" s="3">
        <f>0+(538.2-215.5)+(0+(0.274482-0.109905))+0-32-0.0163199999999968</f>
        <v>290.84825700000005</v>
      </c>
      <c r="T233" s="3">
        <f>0+(533.7-206.7)+(0+(-0.544374--0.210834))+0-32--0.0326400000000051</f>
        <v>294.69910000000004</v>
      </c>
      <c r="U233" s="3">
        <f>0+(550.4-224.5)+(0+(0-0))+0-32-0</f>
        <v>293.89999999999998</v>
      </c>
      <c r="V233" s="3">
        <f>0+(488.3-156.8)+(0+(-0.249033--0.079968))+0-32--0.0163199999999968</f>
        <v>299.34725500000002</v>
      </c>
      <c r="W233" s="3">
        <f>0+(388.1-29)+(0+(0-0))+0-31-0</f>
        <v>328.1</v>
      </c>
      <c r="X233" s="3">
        <f>0+(545.3-195.5)+(0+(-0.556206--0.19941))+0-29--0.0295800000000046</f>
        <v>320.47278399999999</v>
      </c>
      <c r="Y233" s="3">
        <f>0+(550.3-204.4)+(0+(-1.403265--0.52122))+0-33--0.0841499999999952</f>
        <v>312.10210499999999</v>
      </c>
      <c r="Z233" s="3">
        <f>0+(582.8-246.3)+(0+(-0.891684--0.376839))+0-30--0.0459000000000017</f>
        <v>306.03105499999998</v>
      </c>
      <c r="AA233" s="3">
        <f>0+(551.7-220.6)+(0+(-0.562734--0.225012))+0-32--0.0326400000000051</f>
        <v>298.79491800000005</v>
      </c>
      <c r="AB233" s="3">
        <f>0+(449.6-133.5)+(0+(-1.14648--0.340425))+0-31--0.0790499999999955</f>
        <v>284.372995</v>
      </c>
      <c r="AC233" s="3">
        <f>0+(344.6-47.3)+(0+(-0.702984--0.096492))+0-33--0.0673199999999986</f>
        <v>263.760828</v>
      </c>
      <c r="AD233">
        <f t="shared" si="3"/>
        <v>6764.1412830000008</v>
      </c>
      <c r="AE233" s="3">
        <f>0+(473.9-122.3)+(0+(0-0))+0-31-0</f>
        <v>320.59999999999997</v>
      </c>
    </row>
    <row r="234" spans="1:31" s="2" customFormat="1" x14ac:dyDescent="0.25">
      <c r="A234">
        <v>89</v>
      </c>
      <c r="B234">
        <v>8</v>
      </c>
      <c r="C234">
        <v>18</v>
      </c>
      <c r="D234">
        <v>4</v>
      </c>
      <c r="E234">
        <v>1</v>
      </c>
      <c r="F234" s="3">
        <f>0+(286.8-0)+(0+(-0.585072-0))+0-27--0.0550799999999988</f>
        <v>259.27000799999996</v>
      </c>
      <c r="G234" s="3">
        <f>0+(277-2.1)+(0+(0-0))+0-32-0</f>
        <v>242.89999999999998</v>
      </c>
      <c r="H234" s="3">
        <f>0+(303.3-27.9)+(0+(-0.154683--0.014229))+0-32--0.0163199999999968</f>
        <v>243.27586600000006</v>
      </c>
      <c r="I234" s="3">
        <f>0+(312.1-41.5)+(0+(0.318342-0.04233))+0-32-0.0326400000000051</f>
        <v>238.84337199999999</v>
      </c>
      <c r="J234" s="3">
        <f>0+(271.7-0)+(0+(0.138567-0))+0-32-0.0163199999999968</f>
        <v>239.822247</v>
      </c>
      <c r="K234" s="3">
        <f>0+(274.2-0)+(0+(0-0))+0-32-0</f>
        <v>242.2</v>
      </c>
      <c r="L234" s="3">
        <f>0+(335.7-50.7)+(0+(0.171207-0.025857))+0-32-0.0163199999999968</f>
        <v>253.12903</v>
      </c>
      <c r="M234" s="3">
        <f>0+(413.6-110)+(0+(0-0))+0-29-0</f>
        <v>274.60000000000002</v>
      </c>
      <c r="N234" s="3">
        <f>0+(658-327.9)+(0+(0.33558-0.167229))+0-32-0.0163199999999968</f>
        <v>298.25203099999999</v>
      </c>
      <c r="O234" s="3">
        <f>0+(730.8-385.3)+(0+(-1.118124--0.589509))+0-32--0.0489600000000018</f>
        <v>313.02034499999996</v>
      </c>
      <c r="P234" s="3">
        <f>0+(699.1-350.8)+(0+(0-0))+0-32-0</f>
        <v>316.3</v>
      </c>
      <c r="Q234" s="3">
        <f>0+(676.9-326)+(0+(-1.726095--0.8313))+0-32--0.0815999999999954</f>
        <v>318.08680499999997</v>
      </c>
      <c r="R234" s="3">
        <f>0+(639.7-298.6)+(0+(0-0))+0-32-0</f>
        <v>309.10000000000002</v>
      </c>
      <c r="S234" s="3">
        <f>0+(525-192.5)+(0+(0-0))+0-32-0</f>
        <v>300.5</v>
      </c>
      <c r="T234" s="3">
        <f>0+(538.4-210.6)+(0+(0.274584-0.107406))+0-32-0.0163199999999968</f>
        <v>295.95085799999993</v>
      </c>
      <c r="U234" s="3">
        <f>0+(522.2-201.5)+(0+(0-0))+0-32-0</f>
        <v>288.70000000000005</v>
      </c>
      <c r="V234" s="3">
        <f>0+(460.5-133)+(0+(0.46971-0.13566))+0-32-0.0326400000000051</f>
        <v>295.80140999999998</v>
      </c>
      <c r="W234" s="3">
        <f>0+(436.6-79.8)+(0+(0.222666-0.040698))+0-31-0.0158099999999969</f>
        <v>325.96615800000001</v>
      </c>
      <c r="X234" s="3">
        <f>0+(490.5-139.2)+(0+(-0.750465--0.212976))+0-31--0.0474300000000018</f>
        <v>319.80994100000004</v>
      </c>
      <c r="Y234" s="3">
        <f>0+(521.9-177.6)+(0+(-1.330845--0.45288))+0-32--0.0815999999999954</f>
        <v>311.50363499999992</v>
      </c>
      <c r="Z234" s="3">
        <f>0+(538.1-200.7)+(0+(-0.274431--0.102357))+0-32--0.0163199999999968</f>
        <v>305.24424600000003</v>
      </c>
      <c r="AA234" s="3">
        <f>0+(608.7-275.4)+(0+(-0.620874--0.280908))+0-32--0.0326400000000051</f>
        <v>300.99267400000008</v>
      </c>
      <c r="AB234" s="3">
        <f>0+(554.8-237.6)+(0+(-1.697688--0.727056))+0-31--0.0948600000000036</f>
        <v>285.32422799999989</v>
      </c>
      <c r="AC234" s="3">
        <f>0+(536.7-235)+(0+(-1.368585--0.59925))+0-32--0.0815999999999954</f>
        <v>269.01226500000001</v>
      </c>
      <c r="AD234">
        <f t="shared" si="3"/>
        <v>6847.6051190000007</v>
      </c>
      <c r="AE234" s="3">
        <f>0+(457-118.5)+(0+(0-0))+0-32-0</f>
        <v>306.5</v>
      </c>
    </row>
    <row r="235" spans="1:31" s="2" customFormat="1" x14ac:dyDescent="0.25">
      <c r="A235">
        <v>89</v>
      </c>
      <c r="B235">
        <v>8</v>
      </c>
      <c r="C235">
        <v>19</v>
      </c>
      <c r="D235">
        <v>5</v>
      </c>
      <c r="E235">
        <v>1</v>
      </c>
      <c r="F235" s="3">
        <f>0+(433.4-144.1)+(0+(-0.663102--0.220473))+0-32--0.0489600000000018</f>
        <v>256.90633099999997</v>
      </c>
      <c r="G235" s="3">
        <f>0+(395.6-117.3)+(0+(-0.403512--0.119646))+0-32--0.0326400000000051</f>
        <v>246.04877400000004</v>
      </c>
      <c r="H235" s="3">
        <f>0+(355.8-80.3)+(0+(0-0))+0-32-0</f>
        <v>243.5</v>
      </c>
      <c r="I235" s="3">
        <f>0+(285.8-7.4)+(0+(-0.583032--0.015096))+0-32--0.0652799999999986</f>
        <v>245.89734400000006</v>
      </c>
      <c r="J235" s="3">
        <f>0+(341.9-68.1)+(0+(0.871845-0.173655))+0-32-0.0815999999999954</f>
        <v>242.41658999999996</v>
      </c>
      <c r="K235" s="3">
        <f>0+(428.2-148.9)+(0+(-0.655146--0.227817))+0-32--0.0489600000000018</f>
        <v>246.92163099999996</v>
      </c>
      <c r="L235" s="3">
        <f>0+(486.8-200.1)+(0+(-1.24134--0.510255))+0-31--0.0790499999999955</f>
        <v>255.04796500000003</v>
      </c>
      <c r="M235" s="3">
        <f>0+(613.4-304.5)+(0+(-0.312834--0.155295))+0-31--0.0158099999999969</f>
        <v>277.75827099999998</v>
      </c>
      <c r="N235" s="3">
        <f>0+(653.4-317.2)+(0+(0-0))+0-31-0</f>
        <v>305.2</v>
      </c>
      <c r="O235" s="3">
        <f>0+(622.6-278)+(0+(0-0))+0-31-0</f>
        <v>313.60000000000002</v>
      </c>
      <c r="P235" s="3">
        <f>0+(666.1-317.8)+(0+(0.339711-0.162078))+0-31-0.0158099999999969</f>
        <v>317.46182300000004</v>
      </c>
      <c r="Q235" s="3">
        <f>0+(629.9-278.6)+(0+(-1.927494--0.852516))+0-31--0.0948600000000036</f>
        <v>319.31988199999995</v>
      </c>
      <c r="R235" s="3">
        <f>0+(616.2-283.3)+(0+(-0.628524--0.288966))+0-32--0.0326400000000051</f>
        <v>300.59308200000004</v>
      </c>
      <c r="S235" s="3">
        <f>0+(644.3-319.9)+(0+(0-0))+0-31-0</f>
        <v>293.39999999999998</v>
      </c>
      <c r="T235" s="3">
        <f>0+(692-369.4)+(0+(-0.70584--0.376788))+0-32--0.0326400000000051</f>
        <v>290.30358800000005</v>
      </c>
      <c r="U235" s="3">
        <f>0+(661.3-331.2)+(0+(-1.011789--0.506736))+0-32--0.0489600000000018</f>
        <v>297.64390700000001</v>
      </c>
      <c r="V235" s="3">
        <f>0+(592-264.9)+(0+(0.30192-0.135099))+0-32-0.0163199999999968</f>
        <v>295.25050100000004</v>
      </c>
      <c r="W235" s="3">
        <f>0+(604.2-244.5)+(0+(0.308142-0.124695))+0-32-0.0163199999999968</f>
        <v>327.86712700000004</v>
      </c>
      <c r="X235" s="3">
        <f>0+(626.2-268.5)+(0+(0-0))+0-20-0</f>
        <v>337.70000000000005</v>
      </c>
      <c r="Y235" s="3">
        <f>0+(616.2-269.5)+(0+(-1.885572--0.82467))+0-32--0.0979200000000037</f>
        <v>313.73701800000003</v>
      </c>
      <c r="Z235" s="3">
        <f>0+(615.1-274.8)+(0+(-0.627402--0.280296))+0-30--0.0306000000000048</f>
        <v>309.98349400000001</v>
      </c>
      <c r="AA235" s="3">
        <f>0+(618.6-289.3)+(0+(0.315486-0.147543))+0-31-0.0158099999999969</f>
        <v>298.452133</v>
      </c>
      <c r="AB235" s="3">
        <f>0+(556.7-239.4)+(0+(-1.135668--0.488376))+0-32--0.0652799999999986</f>
        <v>284.71798800000005</v>
      </c>
      <c r="AC235" s="3">
        <f>0+(563.7-258.3)+(0+(-0.862461--0.395199))+0-32--0.0489600000000018</f>
        <v>272.98169800000005</v>
      </c>
      <c r="AD235">
        <f t="shared" si="3"/>
        <v>6892.7091469999996</v>
      </c>
      <c r="AE235" s="3">
        <f>0+(621.1-264)+(0+(0-0))+0-32-0</f>
        <v>325.10000000000002</v>
      </c>
    </row>
    <row r="236" spans="1:31" s="2" customFormat="1" x14ac:dyDescent="0.25">
      <c r="A236">
        <v>89</v>
      </c>
      <c r="B236">
        <v>8</v>
      </c>
      <c r="C236">
        <v>20</v>
      </c>
      <c r="D236">
        <v>6</v>
      </c>
      <c r="E236">
        <v>1</v>
      </c>
      <c r="F236" s="3">
        <f>0+(425.6-137.8)+(0+(-0.434112--0.140556))+0-32--0.0326400000000051</f>
        <v>255.539084</v>
      </c>
      <c r="G236" s="3">
        <f>0+(370.4-93.2)+(0+(-0.566712--0.142596))+0-32--0.0489600000000018</f>
        <v>244.82484399999996</v>
      </c>
      <c r="H236" s="3">
        <f>0+(409-133.1)+(0+(-0.62577--0.203643))+0-32--0.0489600000000018</f>
        <v>243.52683299999998</v>
      </c>
      <c r="I236" s="3">
        <f>0+(383.1-109.1)+(0+(0.195381-0.055641))+0-32-0.0163199999999968</f>
        <v>242.12342000000001</v>
      </c>
      <c r="J236" s="3">
        <f>0+(366.9-92.8)+(0+(0.561357-0.141984))+0-32-0.0489600000000018</f>
        <v>242.47041299999998</v>
      </c>
      <c r="K236" s="3">
        <f>0+(421.7-146.2)+(0+(0.430134-0.149124))+0-32-0.0326400000000051</f>
        <v>243.74836999999997</v>
      </c>
      <c r="L236" s="3">
        <f>0+(507.1-240)+(0+(-0.258621--0.1224))+0-32--0.0163199999999968</f>
        <v>234.98009900000005</v>
      </c>
      <c r="M236" s="3">
        <f>0+(562.8-280.7)+(0+(0.861084-0.429471))+0-32-0.0489600000000018</f>
        <v>250.482653</v>
      </c>
      <c r="N236" s="3">
        <f>0+(591.8-283.5)+(0+(0.905454-0.433755))+0-32-0.0489600000000018</f>
        <v>276.72273899999993</v>
      </c>
      <c r="O236" s="3">
        <f>0+(546.6-216.7)+(0+(0.557532-0.221034))+0-32-0.0326400000000051</f>
        <v>298.20385800000003</v>
      </c>
      <c r="P236" s="3">
        <f>0+(555.6-223.8)+(0+(0.850068-0.342414))+0-32-0.0489600000000018</f>
        <v>300.25869399999999</v>
      </c>
      <c r="Q236" s="3">
        <f>0+(522.2-186.5)+(0+(-0.532644--0.19023))+0-32--0.0326400000000051</f>
        <v>303.39022600000004</v>
      </c>
      <c r="R236" s="3">
        <f>0+(529.3-202)+(0+(-0.539886--0.20604))+0-31--0.0316200000000049</f>
        <v>295.99777399999999</v>
      </c>
      <c r="S236" s="3">
        <f>0+(545.3-225.2)+(0+(-1.112412--0.459408))+0-31--0.0632399999999986</f>
        <v>288.51023599999996</v>
      </c>
      <c r="T236" s="3">
        <f>0+(507.6-190.3)+(0+(-1.035504--0.388212))+0-31--0.0632399999999986</f>
        <v>285.71594800000003</v>
      </c>
      <c r="U236" s="3">
        <f>0+(511.8-205.3)+(0+(-0.783054--0.314109))+0-31--0.0474300000000018</f>
        <v>275.078485</v>
      </c>
      <c r="V236" s="3">
        <f>0+(472.8-165.9)+(0+(0.482256-0.169218))+0-31-0.0316200000000049</f>
        <v>276.18141799999995</v>
      </c>
      <c r="W236" s="3">
        <f>0+(533.3-192.8)+(0+(-0.271983--0.098328))+0-31--0.0158099999999969</f>
        <v>309.34215499999993</v>
      </c>
      <c r="X236" s="3">
        <f>0+(527.8-186.1)+(0+(-1.34589--0.474555))+0-31--0.0790499999999955</f>
        <v>309.90771499999994</v>
      </c>
      <c r="Y236" s="3">
        <f>0+(501.4-164.8)+(0+(-0.767142--0.252144))+0-31--0.0474300000000018</f>
        <v>305.13243199999999</v>
      </c>
      <c r="Z236" s="3">
        <f>0+(453-132)+(0+(-0.23103--0.06732))+0-31--0.0158099999999969</f>
        <v>289.85210000000001</v>
      </c>
      <c r="AA236" s="3">
        <f>0+(488.5-169.8)+(0+(-0.747405--0.259794))+0-31--0.0474300000000018</f>
        <v>287.25981899999999</v>
      </c>
      <c r="AB236" s="3">
        <f>0+(451-140.9)+(0+(-0.69003--0.215577))+0-31--0.0474300000000018</f>
        <v>278.67297700000006</v>
      </c>
      <c r="AC236" s="3">
        <f>0+(467.4-169.8)+(0+(-0.953496--0.346392))+0-31--0.0632399999999986</f>
        <v>266.05613599999998</v>
      </c>
      <c r="AD236">
        <f t="shared" si="3"/>
        <v>6603.9784280000013</v>
      </c>
      <c r="AE236" s="3">
        <f>0+(540.3-197.5)+(0+(0-0))+0-31-0</f>
        <v>311.79999999999995</v>
      </c>
    </row>
    <row r="237" spans="1:31" s="2" customFormat="1" x14ac:dyDescent="0.25">
      <c r="A237">
        <v>89</v>
      </c>
      <c r="B237">
        <v>8</v>
      </c>
      <c r="C237">
        <v>21</v>
      </c>
      <c r="D237">
        <v>7</v>
      </c>
      <c r="E237">
        <v>1</v>
      </c>
      <c r="F237" s="3">
        <f>0+(357.9-76.2)+(0+(-0.547587--0.116586))+0-32--0.0489600000000018</f>
        <v>249.317959</v>
      </c>
      <c r="G237" s="3">
        <f>0+(319.9-49)+(0+(-0.489447--0.07497))+0-32--0.0489600000000018</f>
        <v>238.53448299999999</v>
      </c>
      <c r="H237" s="3">
        <f>0+(328.2-62.3)+(0+(-0.334764--0.063546))+0-32--0.0326400000000051</f>
        <v>233.66142200000002</v>
      </c>
      <c r="I237" s="3">
        <f>0+(298-34.3)+(0+(-0.45594--0.052479))+0-32--0.0489600000000018</f>
        <v>231.34549899999999</v>
      </c>
      <c r="J237" s="3">
        <f>0+(314.9-63.8)+(0+(-0.160599--0.032538))+0-32--0.0163199999999968</f>
        <v>218.98825899999997</v>
      </c>
      <c r="K237" s="3">
        <f>0+(312.4-54.6)+(0+(-0.159324--0.027846))+0-32--0.0163199999999968</f>
        <v>225.68484199999995</v>
      </c>
      <c r="L237" s="3">
        <f>0+(337-85.4)+(0+(-1.20309--0.304878))+0-30--0.1071</f>
        <v>220.808888</v>
      </c>
      <c r="M237" s="3">
        <f>0+(356.7-103.8)+(0+(0.181917-0.052938))+0-30-0.015299999999997</f>
        <v>223.01367899999997</v>
      </c>
      <c r="N237" s="3">
        <f>0+(500.2-225.8)+(0+(-0.765306--0.345474))+0-30--0.0459000000000017</f>
        <v>244.02606799999998</v>
      </c>
      <c r="O237" s="3">
        <f>0+(567.7-281)+(0+(-0.579054--0.28662))+0-29--0.0295800000000046</f>
        <v>257.43714600000004</v>
      </c>
      <c r="P237" s="3">
        <f>0+(563.4-275.7)+(0+(-0.287334--0.140607))+0-29--0.0147899999999971</f>
        <v>258.568063</v>
      </c>
      <c r="Q237" s="3">
        <f>0+(560.9-271.5)+(0+(-0.286059--0.138465))+0-30--0.015299999999997</f>
        <v>259.26770599999998</v>
      </c>
      <c r="R237" s="3">
        <f>0+(489.9-207.1)+(0+(-0.999396--0.422484))+0-31--0.0632399999999986</f>
        <v>251.28632799999997</v>
      </c>
      <c r="S237" s="3">
        <f>0+(463.6-181.8)+(0+(0.945744-0.370872))+0-29-0.0591599999999987</f>
        <v>253.31571200000005</v>
      </c>
      <c r="T237" s="3">
        <f>0+(444.8-166.1)+(0+(-0.680544--0.254133))+0-31--0.0474300000000018</f>
        <v>247.32101900000006</v>
      </c>
      <c r="U237" s="3">
        <f>0+(432-157.5)+(0+(-0.22032--0.080325))+0-29--0.0147899999999971</f>
        <v>245.37479500000001</v>
      </c>
      <c r="V237" s="3">
        <f>0+(410.4-126.6)+(0+(-0.209304--0.064566))+0-31--0.0158099999999969</f>
        <v>252.67107199999992</v>
      </c>
      <c r="W237" s="3">
        <f>0+(432.2-115.3)+(0+(-0.661266--0.176409))+0-31--0.0474300000000018</f>
        <v>285.46257300000002</v>
      </c>
      <c r="X237" s="3">
        <f>0+(469.2-149.7)+(0+(-1.675044--0.534429))+0-31--0.11067</f>
        <v>287.470055</v>
      </c>
      <c r="Y237" s="3">
        <f>0+(403.3-90.3)+(0+(-0.617049--0.138159))+0-31--0.0474300000000018</f>
        <v>281.56854000000004</v>
      </c>
      <c r="Z237" s="3">
        <f>0+(426.2-115.5)+(0+(-0.869448--0.23562))+0-31--0.0632399999999986</f>
        <v>279.129412</v>
      </c>
      <c r="AA237" s="3">
        <f>0+(442.2-137.5)+(0+(-0.451044--0.14025))+0-31--0.0316200000000049</f>
        <v>273.42082600000003</v>
      </c>
      <c r="AB237" s="3">
        <f>0+(449.3-152.2)+(0+(-0.687429--0.232866))+0-32--0.0489600000000018</f>
        <v>264.69439700000004</v>
      </c>
      <c r="AC237" s="3">
        <f>0+(407.3-125.1)+(0+(-0.623169--0.191403))+0-32--0.0489600000000018</f>
        <v>249.81719400000006</v>
      </c>
      <c r="AD237">
        <f t="shared" si="3"/>
        <v>6032.1859370000002</v>
      </c>
      <c r="AE237" s="3">
        <f>0+(481.7-192.1)+(0+(0-0))+0-31-0</f>
        <v>258.60000000000002</v>
      </c>
    </row>
    <row r="238" spans="1:31" s="2" customFormat="1" x14ac:dyDescent="0.25">
      <c r="A238">
        <v>89</v>
      </c>
      <c r="B238">
        <v>8</v>
      </c>
      <c r="C238">
        <v>22</v>
      </c>
      <c r="D238">
        <v>1</v>
      </c>
      <c r="E238">
        <v>1</v>
      </c>
      <c r="F238" s="3">
        <f>0+(338.3-71.2)+(0+(0.345066-0.072624))+0-32-0.0326400000000051</f>
        <v>235.33980200000002</v>
      </c>
      <c r="G238" s="3">
        <f>0+(332.5-72.8)+(0+(0-0))+0-32-0</f>
        <v>227.7</v>
      </c>
      <c r="H238" s="3">
        <f>0+(333.3-76.2)+(0+(0.169983-0.038862))+0-31-0.0158099999999969</f>
        <v>226.21531100000004</v>
      </c>
      <c r="I238" s="3">
        <f>0+(292.8-38.1)+(0+(0.298656-0.038862))+0-32-0.0326400000000051</f>
        <v>222.927154</v>
      </c>
      <c r="J238" s="3">
        <f>0+(303.8-44.4)+(0+(0.309876-0.045288))+0-31-0.0316200000000049</f>
        <v>228.63296800000003</v>
      </c>
      <c r="K238" s="3">
        <f>0+(351.8-91.9)+(0+(-0.179418--0.046869))+0-32--0.0163199999999968</f>
        <v>227.783771</v>
      </c>
      <c r="L238" s="3">
        <f>0+(464.1-191.5)+(0+(-0.710073--0.292995))+0-31--0.0474300000000018</f>
        <v>241.23035200000001</v>
      </c>
      <c r="M238" s="3">
        <f>0+(504-206.9)+(0+(-0.25704--0.105519))+0-31--0.0158099999999969</f>
        <v>265.96428900000001</v>
      </c>
      <c r="N238" s="3">
        <f>0+(539.4-215.6)+(0+(-0.550188--0.219912))+0-32--0.0326400000000051</f>
        <v>291.50236399999994</v>
      </c>
      <c r="O238" s="3">
        <f>0+(678.6-335.1)+(0+(-1.038258--0.512703))+0-33--0.0504900000000019</f>
        <v>310.02493500000003</v>
      </c>
      <c r="P238" s="3">
        <f>0+(707.2-359.4)+(0+(0-0))+0-33-0</f>
        <v>314.80000000000007</v>
      </c>
      <c r="Q238" s="3">
        <f>0+(708.8-355)+(0+(-0.361488--0.18105))+0-34--0.0173399999999966</f>
        <v>319.63690199999996</v>
      </c>
      <c r="R238" s="3">
        <f>0+(661.2-315.8)+(0+(-1.348848--0.644232))+0-32--0.0652799999999986</f>
        <v>312.76066400000002</v>
      </c>
      <c r="S238" s="3">
        <f>0+(679.3-344)+(0+(-0.692886--0.35088))+0-32--0.0326400000000051</f>
        <v>302.99063399999994</v>
      </c>
      <c r="T238" s="3">
        <f>0+(697.3-359)+(0+(-0.355623--0.18309))+0-31--0.0158099999999969</f>
        <v>307.14327699999996</v>
      </c>
      <c r="U238" s="3">
        <f>0+(731.1-395.1)+(0+(0.372861-0.201501))+0-31-0.0158099999999969</f>
        <v>305.15555000000001</v>
      </c>
      <c r="V238" s="3">
        <f>0+(589.1-249)+(0+(0.600882-0.25398))+0-31-0.0316200000000049</f>
        <v>309.41528199999999</v>
      </c>
      <c r="W238" s="3">
        <f>0+(495.2-133.5)+(0+(0-0))+0-32-0</f>
        <v>329.7</v>
      </c>
      <c r="X238" s="3">
        <f>0+(544.1-192.9)+(0+(-0.277491--0.098379))+0-32--0.0163199999999968</f>
        <v>319.03720800000008</v>
      </c>
      <c r="Y238" s="3">
        <f>0+(583.6-240)+(0+(-1.190544--0.4896))+0-32--0.0652799999999986</f>
        <v>310.964336</v>
      </c>
      <c r="Z238" s="3">
        <f>0+(639.7-305.4)+(0+(-0.326247--0.155754))+0-32--0.0163199999999968</f>
        <v>302.14582700000005</v>
      </c>
      <c r="AA238" s="3">
        <f>0+(653.7-323.8)+(0+(-1.000161--0.495414))+0-32--0.0489600000000018</f>
        <v>297.44421300000005</v>
      </c>
      <c r="AB238" s="3">
        <f>0+(577.4-259.7)+(0+(-1.47237--0.662235))+0-32--0.0815999999999954</f>
        <v>284.97146499999997</v>
      </c>
      <c r="AC238" s="3">
        <f>0+(429.7-134.3)+(0+(-1.095735--0.342465))+0-32--0.0815999999999954</f>
        <v>262.72832999999997</v>
      </c>
      <c r="AD238">
        <f t="shared" si="3"/>
        <v>6756.214633999999</v>
      </c>
      <c r="AE238" s="3">
        <f>0+(504.5-144.7)+(0+(0-0))+0-32-0</f>
        <v>327.8</v>
      </c>
    </row>
    <row r="239" spans="1:31" s="2" customFormat="1" x14ac:dyDescent="0.25">
      <c r="A239">
        <v>89</v>
      </c>
      <c r="B239">
        <v>8</v>
      </c>
      <c r="C239">
        <v>23</v>
      </c>
      <c r="D239">
        <v>2</v>
      </c>
      <c r="E239">
        <v>1</v>
      </c>
      <c r="F239" s="3">
        <f>0+(393.7-110.5)+(0+(-0.803148--0.22542))+0-32--0.0652799999999986</f>
        <v>250.68755200000001</v>
      </c>
      <c r="G239" s="3">
        <f>0+(338.3-63.8)+(0+(-0.862665--0.16269))+0-32--0.0815999999999954</f>
        <v>241.88162500000001</v>
      </c>
      <c r="H239" s="3">
        <f>0+(302-29.8)+(0+(-0.15402--0.015198))+0-32--0.0163199999999968</f>
        <v>240.07749799999999</v>
      </c>
      <c r="I239" s="3">
        <f>0+(301.2-25.1)+(0+(-0.307224--0.025602))+0-32--0.0326400000000051</f>
        <v>243.85101799999995</v>
      </c>
      <c r="J239" s="3">
        <f>0+(303.5-25)+(0+(-0.30957--0.0255))+0-32--0.0326400000000051</f>
        <v>246.24857000000003</v>
      </c>
      <c r="K239" s="3">
        <f>0+(314.7-35.3)+(0+(0.481491-0.054009))+0-32-0.0489600000000018</f>
        <v>247.77852199999998</v>
      </c>
      <c r="L239" s="3">
        <f>0+(460.4-174.2)+(0+(0-0))+0-32-0</f>
        <v>254.2</v>
      </c>
      <c r="M239" s="3">
        <f>0+(505.5-209.2)+(0+(0.257805-0.106692))+0-32-0.0163199999999968</f>
        <v>264.43479300000001</v>
      </c>
      <c r="N239" s="3">
        <f>0+(565.6-251.5)+(0+(-1.153824--0.51306))+0-32--0.0652799999999986</f>
        <v>281.52451600000001</v>
      </c>
      <c r="O239" s="3">
        <f>0+(606.9-289.1)+(0+(0-0))+0-32-0</f>
        <v>285.79999999999995</v>
      </c>
      <c r="P239" s="3">
        <f>0+(614.6-313.5)+(0+(-0.313446--0.159885))+0-32--0.0163199999999968</f>
        <v>268.96275900000001</v>
      </c>
      <c r="Q239" s="3">
        <f>0+(640.4-335.1)+(0+(-0.979812--0.512703))+0-32--0.0489600000000018</f>
        <v>272.88185099999998</v>
      </c>
      <c r="R239" s="3">
        <f>0+(583.4-280.5)+(0+(-1.190136--0.57222))+0-3--0.00611999999999987</f>
        <v>299.28820400000001</v>
      </c>
      <c r="S239" s="3">
        <f>0+(524.1-233.6)+(0+(-0.534582--0.238272))+0-1--0.00102000000000016</f>
        <v>289.20470999999998</v>
      </c>
      <c r="T239" s="3">
        <f>0+(585-280.8)+(0+(-0.29835--0.143208))+0-3--0.0015299999999997</f>
        <v>301.04638799999998</v>
      </c>
      <c r="U239" s="3">
        <f>0+(588.9-285.9)+(0+(-0.600678--0.291618))+0-7--0.00714000000000112</f>
        <v>295.69808</v>
      </c>
      <c r="V239" s="3">
        <f>0+(460.6-149.6)+(0+(0-0))+0-9-0</f>
        <v>302</v>
      </c>
      <c r="W239" s="3">
        <f>0+(428.9-86.3)+(0+(0.656217-0.132039))+0-10-0.0153000000000006</f>
        <v>333.10887799999995</v>
      </c>
      <c r="X239" s="3">
        <f>0+(432.3-105.3)+(0+(-0.881892--0.214812))+0-12--0.0244799999999995</f>
        <v>314.35739999999998</v>
      </c>
      <c r="Y239" s="3">
        <f>0+(464.7-141.1)+(0+(-1.184985--0.359805))+0-14--0.035699999999998</f>
        <v>308.81052000000005</v>
      </c>
      <c r="Z239" s="3">
        <f>0+(486.4-166.7)+(0+(-0.496128--0.170034))+0-16--0.0163200000000026</f>
        <v>303.39022599999998</v>
      </c>
      <c r="AA239" s="3">
        <f>0+(534.5-217.7)+(0+(-0.817785--0.333081))+0-18--0.027540000000001</f>
        <v>298.34283599999998</v>
      </c>
      <c r="AB239" s="3">
        <f>0+(435.6-128.2)+(0+(-0.888624--0.261528))+0-21--0.0428399999999991</f>
        <v>285.81574400000005</v>
      </c>
      <c r="AC239" s="3">
        <f>0+(348.5-54)+(0+(-0.888675--0.1377))+0-23--0.0586499999999967</f>
        <v>270.80767500000002</v>
      </c>
      <c r="AD239">
        <f t="shared" si="3"/>
        <v>6700.1993650000013</v>
      </c>
      <c r="AE239" s="3">
        <f>0+(413.6-93.5)+(0+(0-0))+0-13-0</f>
        <v>307.10000000000002</v>
      </c>
    </row>
    <row r="240" spans="1:31" s="2" customFormat="1" x14ac:dyDescent="0.25">
      <c r="A240">
        <v>89</v>
      </c>
      <c r="B240">
        <v>8</v>
      </c>
      <c r="C240">
        <v>24</v>
      </c>
      <c r="D240">
        <v>3</v>
      </c>
      <c r="E240">
        <v>1</v>
      </c>
      <c r="F240" s="3">
        <f>0+(290.4-8.1)+(0+(-0.74052--0.020655))+0-29--0.0739499999999958</f>
        <v>252.65408499999992</v>
      </c>
      <c r="G240" s="3">
        <f>0+(313-24.1)+(0+(-0.63852--0.049164))+0-29--0.0591599999999987</f>
        <v>259.36980399999999</v>
      </c>
      <c r="H240" s="3">
        <f>0+(289-4.1)+(0+(-0.44217--0.006273))+0-30--0.0459000000000017</f>
        <v>254.51000299999995</v>
      </c>
      <c r="I240" s="3">
        <f>0+(330.8-60.2)+(0+(0-0))+0-26-0</f>
        <v>244.60000000000002</v>
      </c>
      <c r="J240" s="3">
        <f>0+(278.1-6.2)+(0+(-0.141831--0.003162))+0-26--0.0132599999999974</f>
        <v>245.77459100000004</v>
      </c>
      <c r="K240" s="3">
        <f>0+(276.4-3.7)+(0+(0.422892-0.005661))+0-26-0.0397800000000015</f>
        <v>247.077451</v>
      </c>
      <c r="L240" s="3">
        <f>0+(370-92.4)+(0+(-0.1887--0.047124))+0-30--0.015299999999997</f>
        <v>247.47372400000003</v>
      </c>
      <c r="M240" s="3">
        <f>0+(417.5-112.4)+(0+(-0.42585--0.114648))+0-30--0.0306000000000048</f>
        <v>274.81939800000004</v>
      </c>
      <c r="N240" s="3">
        <f>0+(481.9-149.4)+(0+(-0.245769--0.076194))+0-33--0.0168299999999967</f>
        <v>299.34725499999996</v>
      </c>
      <c r="O240" s="3">
        <f>0+(584.4-237.7)+(0+(-0.298044--0.121227))+0-31--0.0158099999999969</f>
        <v>315.53899299999995</v>
      </c>
      <c r="P240" s="3">
        <f>0+(585.6-237.4)+(0+(-0.597312--0.242148))+0-32--0.0326400000000051</f>
        <v>315.87747600000006</v>
      </c>
      <c r="Q240" s="3">
        <f>0+(552.7-202.8)+(0+(-1.127508--0.413712))+0-33--0.0673199999999986</f>
        <v>316.25352400000003</v>
      </c>
      <c r="R240" s="3">
        <f>0+(526.8-182)+(0+(-1.34334--0.4641))+0-31--0.0790499999999955</f>
        <v>312.99980999999997</v>
      </c>
      <c r="S240" s="3">
        <f>0+(563.1-228.8)+(0+(-0.287181--0.116688))+0-29--0.0147899999999971</f>
        <v>305.14429699999999</v>
      </c>
      <c r="T240" s="3">
        <f>0+(528.8-201.8)+(0+(-0.539376--0.205836))+0-31--0.0316200000000049</f>
        <v>295.69807999999995</v>
      </c>
      <c r="U240" s="3">
        <f>0+(555.2-231.5)+(0+(-0.283152--0.118065))+0-17--0.00866999999999828</f>
        <v>306.54358300000001</v>
      </c>
      <c r="V240" s="3">
        <f>0+(479.8-150.1)+(0+(0-0))+0-31-0</f>
        <v>298.70000000000005</v>
      </c>
      <c r="W240" s="3">
        <f>0+(502.4-142.7)+(0+(-0.768672--0.218331))+0-31--0.0474300000000018</f>
        <v>328.19708900000001</v>
      </c>
      <c r="X240" s="3">
        <f>0+(542.1-189.8)+(0+(-1.382355--0.48399))+0-31--0.0790499999999955</f>
        <v>320.48068499999999</v>
      </c>
      <c r="Y240" s="3">
        <f>0+(535.5-188.3)+(0+(-1.63863--0.576198))+0-31--0.0948600000000036</f>
        <v>315.23242799999997</v>
      </c>
      <c r="Z240" s="3">
        <f>0+(498.8-162.7)+(0+(-0.763164--0.248931))+0-31--0.0474300000000018</f>
        <v>304.63319700000005</v>
      </c>
      <c r="AA240" s="3">
        <f>0+(517.2-186.6)+(0+(-1.31886--0.47583))+0-31--0.0790499999999955</f>
        <v>298.83602000000002</v>
      </c>
      <c r="AB240" s="3">
        <f>0+(454.2-139.1)+(0+(-0.926568--0.283764))+0-31--0.0632399999999986</f>
        <v>283.52043600000002</v>
      </c>
      <c r="AC240" s="3">
        <f>0+(426.3-123.4)+(0+(-1.087065--0.31467))+0-31--0.0790499999999955</f>
        <v>271.20665499999996</v>
      </c>
      <c r="AD240">
        <f t="shared" si="3"/>
        <v>6914.4885839999988</v>
      </c>
      <c r="AE240" s="3">
        <f>0+(521-169.6)+(0+(0-0))+0-31-0</f>
        <v>320.39999999999998</v>
      </c>
    </row>
    <row r="241" spans="1:31" s="2" customFormat="1" x14ac:dyDescent="0.25">
      <c r="A241">
        <v>89</v>
      </c>
      <c r="B241">
        <v>8</v>
      </c>
      <c r="C241">
        <v>25</v>
      </c>
      <c r="D241">
        <v>4</v>
      </c>
      <c r="E241">
        <v>1</v>
      </c>
      <c r="F241" s="3">
        <f>0+(379.2-86.8)+(0+(-0.96696--0.22134))+0-32--0.0815999999999954</f>
        <v>259.73597999999998</v>
      </c>
      <c r="G241" s="3">
        <f>0+(351.6-62.3)+(0+(-0.179316--0.031773))+0-32--0.0163199999999968</f>
        <v>257.16877700000003</v>
      </c>
      <c r="H241" s="3">
        <f>0+(361.2-76.1)+(0+(-0.92106--0.194055))+0-32--0.0815999999999954</f>
        <v>252.45459500000001</v>
      </c>
      <c r="I241" s="3">
        <f>0+(358.3-80.5)+(0+(0.365466-0.08211))+0-32-0.0326400000000051</f>
        <v>246.05071600000002</v>
      </c>
      <c r="J241" s="3">
        <f>0+(365.7-86.3)+(0+(0-0))+0-32-0</f>
        <v>247.39999999999998</v>
      </c>
      <c r="K241" s="3">
        <f>0+(359.4-100.5)+(0+(-0.183294--0.051255))+0-32--0.0163199999999968</f>
        <v>226.78428099999996</v>
      </c>
      <c r="L241" s="3">
        <f>0+(373-105.1)+(0+(0.19023-0.053601))+0-32-0.0163199999999968</f>
        <v>236.020309</v>
      </c>
      <c r="M241" s="3">
        <f>0+(388-94.9)+(0+(0.19788-0.048399))+0-32-0.0163199999999968</f>
        <v>261.233161</v>
      </c>
      <c r="N241" s="3">
        <f>0+(589.6-242.5)+(0+(0.902088-0.371025))+0-32-0.0489600000000018</f>
        <v>315.58210300000002</v>
      </c>
      <c r="O241" s="3">
        <f>0+(623.6-283.8)+(0+(-0.954108--0.434214))+0-32--0.0489600000000018</f>
        <v>307.32906600000001</v>
      </c>
      <c r="P241" s="3">
        <f>0+(678.7-337.4)+(0+(0-0))+0-32-0</f>
        <v>309.30000000000007</v>
      </c>
      <c r="Q241" s="3">
        <f>0+(670.6-327.2)+(0+(-1.026018--0.500616))+0-34.1--0.052173000000002</f>
        <v>308.82677100000001</v>
      </c>
      <c r="R241" s="3">
        <f>0+(603.4-275.6)+(0+(-1.230936--0.562224))+0-31.3--0.0638519999999986</f>
        <v>295.89513999999991</v>
      </c>
      <c r="S241" s="3">
        <f>0+(566.3-241.3)+(0+(-0.288813--0.123063))+0-31.4--0.0160139999999968</f>
        <v>293.45026399999995</v>
      </c>
      <c r="T241" s="3">
        <f>0+(581.4-256.5)+(0+(-0.889542--0.392445))+0-31.4--0.0480420000000018</f>
        <v>293.05094500000001</v>
      </c>
      <c r="U241" s="3">
        <f>0+(562.8-244.4)+(0+(-1.43514--0.62322))+0-31.3--0.0798149999999955</f>
        <v>286.36789499999998</v>
      </c>
      <c r="V241" s="3">
        <f>0+(516.2-209.4)+(0+(-1.053048--0.427176))+0-19--0.0387599999999992</f>
        <v>287.21288800000008</v>
      </c>
      <c r="W241" s="3">
        <f>0+(533-207.6)+(0+(0-0))+0-9-0</f>
        <v>316.39999999999998</v>
      </c>
      <c r="X241" s="3">
        <f>0+(546.6-204.6)+(0+(-1.115064--0.417384))+0-31.2--0.0636479999999986</f>
        <v>310.16596800000002</v>
      </c>
      <c r="Y241" s="3">
        <f>0+(572.6-245.6)+(0+(-1.752156--0.751536))+0-30.7--0.0939420000000036</f>
        <v>295.39332200000001</v>
      </c>
      <c r="Z241" s="3">
        <f>0+(560.7-240.1)+(0+(-0.571914--0.244902))+0-31--0.0316200000000049</f>
        <v>289.30460800000003</v>
      </c>
      <c r="AA241" s="3">
        <f>0+(541.6-229.3)+(0+(-0.828648--0.350829))+0-31.8--0.0486540000000018</f>
        <v>280.07083499999999</v>
      </c>
      <c r="AB241" s="3">
        <f>0+(477.7-174)+(0+(-1.218135--0.4437))+0-32.1--0.0818549999999953</f>
        <v>270.90742</v>
      </c>
      <c r="AC241" s="3">
        <f>0+(427.4-141.7)+(0+(0-0))+0-31.7-0</f>
        <v>254</v>
      </c>
      <c r="AD241">
        <f t="shared" si="3"/>
        <v>6700.1050440000017</v>
      </c>
      <c r="AE241" s="3">
        <f>0+(558.3-212)+(0+(0-0))+0-29-0</f>
        <v>317.29999999999995</v>
      </c>
    </row>
    <row r="242" spans="1:31" s="2" customFormat="1" x14ac:dyDescent="0.25">
      <c r="A242">
        <v>89</v>
      </c>
      <c r="B242">
        <v>8</v>
      </c>
      <c r="C242">
        <v>26</v>
      </c>
      <c r="D242">
        <v>5</v>
      </c>
      <c r="E242">
        <v>3</v>
      </c>
      <c r="F242" s="3">
        <f>0+(358.2-80.2)+(0+(-0.730728--0.163608))+0-31.4--0.0640559999999986</f>
        <v>246.096936</v>
      </c>
      <c r="G242" s="3">
        <f>0+(327.4-59.6)+(0+(0-0))+0-31.3-0</f>
        <v>236.49999999999994</v>
      </c>
      <c r="H242" s="3">
        <f>0+(336.4-78.6)+(0+(-0.85782--0.20043))+0-31.2--0.0795599999999955</f>
        <v>226.02216999999993</v>
      </c>
      <c r="I242" s="3">
        <f>0+(332.1-79.7)+(0+(-0.677484--0.162588))+0-31--0.0632399999999986</f>
        <v>220.94834400000005</v>
      </c>
      <c r="J242" s="3">
        <f>0+(338.9-81.8)+(0+(0.518517-0.125154))+0-31-0.0474300000000018</f>
        <v>226.445933</v>
      </c>
      <c r="K242" s="3">
        <f>0+(343.2-86.1)+(0+(-0.175032--0.043911))+0-31--0.0158099999999969</f>
        <v>225.984689</v>
      </c>
      <c r="L242" s="3">
        <f>0+(350.6-101.5)+(0+(0.178806-0.051765))+0-31-0.0158099999999969</f>
        <v>218.21123100000003</v>
      </c>
      <c r="M242" s="3">
        <f>0+(367.9-121.1)+(0+(-0.375258--0.123522))+0-29--0.0295800000000046</f>
        <v>217.577844</v>
      </c>
      <c r="N242" s="3">
        <f>0+(416.9-164.6)+(0+(0-0))+0-31-0</f>
        <v>221.29999999999998</v>
      </c>
      <c r="O242" s="3">
        <f>0+(429.2-171)+(0+(-0.875568--0.34884))+0-29--0.0591599999999987</f>
        <v>228.73243199999999</v>
      </c>
      <c r="P242" s="3">
        <f>0+(433.7-177.2)+(0+(-0.663561--0.271116))+0-21--0.0321300000000012</f>
        <v>235.13968499999999</v>
      </c>
      <c r="Q242" s="3">
        <f>0+(431.1-165.8)+(0+(-0.879444--0.338232))+0-31--0.0632399999999986</f>
        <v>233.82202800000005</v>
      </c>
      <c r="R242" s="3">
        <f>0+(435.6-175.1)+(0+(-0.444312--0.178602))+0-32--0.0326400000000051</f>
        <v>228.26693</v>
      </c>
      <c r="S242" s="3">
        <f>0+(438.2-180.2)+(0+(-0.446964--0.183804))+0-32--0.0326400000000051</f>
        <v>225.76947999999999</v>
      </c>
      <c r="T242" s="3">
        <f>0+(432.4-174.2)+(0+(-0.220524--0.088842))+0-31--0.0158099999999969</f>
        <v>227.08412799999996</v>
      </c>
      <c r="U242" s="3">
        <f>0+(423.2-167.3)+(0+(-0.215832--0.085323))+0-31--0.0158099999999969</f>
        <v>224.78530099999998</v>
      </c>
      <c r="V242" s="3">
        <f>0+(462.6-193.9)+(0+(-0.943704--0.395556))+0-32--0.0652799999999986</f>
        <v>236.21713200000002</v>
      </c>
      <c r="W242" s="3">
        <f>0+(494.3-193.4)+(0+(-0.756279--0.295902))+0-31--0.0474300000000018</f>
        <v>269.487053</v>
      </c>
      <c r="X242" s="3">
        <f>0+(486.4-187.8)+(0+(-1.24032--0.47889))+0-31--0.0790499999999955</f>
        <v>266.91761999999994</v>
      </c>
      <c r="Y242" s="3">
        <f>0+(478.2-183.4)+(0+(-0.487764--0.187068))+0-31--0.0316200000000049</f>
        <v>263.53092399999997</v>
      </c>
      <c r="Z242" s="3">
        <f>0+(463.3-171.6)+(0+(-0.472566--0.175032))+0-30--0.0306000000000048</f>
        <v>261.43306600000005</v>
      </c>
      <c r="AA242" s="3">
        <f>0+(475.5-191)+(0+(-0.97002--0.38964))+0-28--0.0571199999999988</f>
        <v>255.97674000000001</v>
      </c>
      <c r="AB242" s="3">
        <f>0+(462-183.9)+(0+(-1.1781--0.468945))+0-29--0.0739499999999958</f>
        <v>248.46479500000001</v>
      </c>
      <c r="AC242" s="3">
        <f>0+(479.3-206.9)+(0+(-0.977772--0.422076))+0-29--0.0591599999999987</f>
        <v>242.90346399999996</v>
      </c>
      <c r="AD242">
        <f t="shared" si="3"/>
        <v>5687.6179249999996</v>
      </c>
      <c r="AE242" s="3">
        <f>0+(490.3-188.3)+(0+(0-0))+0-31-0</f>
        <v>271</v>
      </c>
    </row>
    <row r="243" spans="1:31" s="2" customFormat="1" x14ac:dyDescent="0.25">
      <c r="A243">
        <v>89</v>
      </c>
      <c r="B243">
        <v>8</v>
      </c>
      <c r="C243">
        <v>27</v>
      </c>
      <c r="D243">
        <v>6</v>
      </c>
      <c r="E243">
        <v>6</v>
      </c>
      <c r="F243" s="3">
        <f>0+(422.5-162.3)+(0+(-1.077375--0.413865))+0-30--0.0764999999999956</f>
        <v>229.61299</v>
      </c>
      <c r="G243" s="3">
        <f>0+(338.5-87.2)+(0+(-0.69054--0.177888))+0-30--0.0611999999999987</f>
        <v>220.84854799999999</v>
      </c>
      <c r="H243" s="3">
        <f>0+(326.4-80.4)+(0+(-0.665856--0.164016))+0-32--0.0652799999999986</f>
        <v>213.56343999999999</v>
      </c>
      <c r="I243" s="3">
        <f>0+(329.2-90.7)+(0+(0.335784-0.092514))+0-32-0.0326400000000051</f>
        <v>206.71062999999998</v>
      </c>
      <c r="J243" s="3">
        <f>0+(332.9-90.7)+(0+(-0.509337--0.138771))+0-32--0.0489600000000018</f>
        <v>209.87839399999999</v>
      </c>
      <c r="K243" s="3">
        <f>0+(341.9-95.2)+(0+(-0.174369--0.048552))+0-32--0.0163199999999968</f>
        <v>214.59050299999998</v>
      </c>
      <c r="L243" s="3">
        <f>0+(391.7-145)+(0+(-1.198602--0.4437))+0-32--0.0979200000000037</f>
        <v>214.04301800000002</v>
      </c>
      <c r="M243" s="3">
        <f>0+(436.5-175.2)+(0+(0-0))+0-31-0</f>
        <v>230.3</v>
      </c>
      <c r="N243" s="3">
        <f>0+(549.2-260.7)+(0+(-0.560184--0.265914))+0-33--0.0336600000000053</f>
        <v>255.23939000000007</v>
      </c>
      <c r="O243" s="3">
        <f>0+(584.6-281.3)+(0+(0.596292-0.286926))+0-32-0.0326400000000051</f>
        <v>271.57672600000001</v>
      </c>
      <c r="P243" s="3">
        <f>0+(574.7-252.8)+(0+(-1.172388--0.515712))+0-31--0.0632399999999986</f>
        <v>290.30656400000004</v>
      </c>
      <c r="Q243" s="3">
        <f>0+(586.4-281.7)+(0+(-1.196256--0.574668))+0-29--0.0591599999999987</f>
        <v>275.13757200000003</v>
      </c>
      <c r="R243" s="3">
        <f>0+(590.9-293.6)+(0+(-0.904077--0.449208))+0-29--0.0443700000000017</f>
        <v>267.889501</v>
      </c>
      <c r="S243" s="3">
        <f>0+(597.1-308)+(0+(-0.913563--0.47124))+0-28--0.0428400000000016</f>
        <v>260.70051700000005</v>
      </c>
      <c r="T243" s="3">
        <f>0+(585.5-302.1)+(0+(0.298605-0.154071))+0-27-0.0137699999999973</f>
        <v>256.53076399999998</v>
      </c>
      <c r="U243" s="3">
        <f>0+(573.8-295.5)+(0+(0.292638-0.150705))+0-28-0.0142799999999972</f>
        <v>250.42765299999996</v>
      </c>
      <c r="V243" s="3">
        <f>0+(543.2-255.3)+(0+(0-0))+0-29-0</f>
        <v>258.90000000000003</v>
      </c>
      <c r="W243" s="3">
        <f>0+(510.1-194.9)+(0+(0-0))+0-29-0</f>
        <v>286.20000000000005</v>
      </c>
      <c r="X243" s="3">
        <f>0+(514.7-199.4)+(0+(-0.787491--0.305082))+0-30--0.0459000000000017</f>
        <v>284.86349100000007</v>
      </c>
      <c r="Y243" s="3">
        <f>0+(528.5-215.2)+(0+(-0.53907--0.219504))+0-32--0.0326400000000051</f>
        <v>281.01307400000002</v>
      </c>
      <c r="Z243" s="3">
        <f>0+(496.3-191.3)+(0+(-0.253113--0.097563))+0-32--0.0163199999999968</f>
        <v>272.86077</v>
      </c>
      <c r="AA243" s="3">
        <f>0+(484.4-186.8)+(0+(-0.247044--0.095268))+0-31--0.0158099999999969</f>
        <v>266.46403399999997</v>
      </c>
      <c r="AB243" s="3">
        <f>0+(412.9-128.6)+(0+(-0.631737--0.196758))+0-32--0.0489600000000018</f>
        <v>251.91398099999995</v>
      </c>
      <c r="AC243" s="3">
        <f>0+(398.5-126.7)+(0+(-0.40647--0.129234))+0-32--0.0326400000000051</f>
        <v>239.55540400000001</v>
      </c>
      <c r="AD243">
        <f t="shared" si="3"/>
        <v>6009.126964</v>
      </c>
      <c r="AE243" s="3">
        <f>0+(516.4-194.8)+(0+(0-0))+0-29-0</f>
        <v>292.59999999999997</v>
      </c>
    </row>
    <row r="244" spans="1:31" s="2" customFormat="1" x14ac:dyDescent="0.25">
      <c r="A244">
        <v>89</v>
      </c>
      <c r="B244">
        <v>8</v>
      </c>
      <c r="C244">
        <v>28</v>
      </c>
      <c r="D244">
        <v>7</v>
      </c>
      <c r="E244">
        <v>1</v>
      </c>
      <c r="F244" s="3">
        <f>0+(365.9-100.8)+(0+(-0.746436--0.205632))+0-32--0.0652799999999986</f>
        <v>232.62447599999999</v>
      </c>
      <c r="G244" s="3">
        <f>0+(384.7-127.9)+(0+(-0.980985--0.326145))+0-32--0.0815999999999954</f>
        <v>224.22675999999998</v>
      </c>
      <c r="H244" s="3">
        <f>0+(361.8-108.4)+(0+(-0.92259--0.27642))+0-32--0.0815999999999954</f>
        <v>220.83543</v>
      </c>
      <c r="I244" s="3">
        <f>0+(352-102)+(0+(-0.17952--0.05202))+0-32--0.0163199999999968</f>
        <v>217.88882000000001</v>
      </c>
      <c r="J244" s="3">
        <f>0+(356.2-106.4)+(0+(0.363324-0.108528))+0-32-0.0326400000000051</f>
        <v>218.02215599999997</v>
      </c>
      <c r="K244" s="3">
        <f>0+(372.3-120.1)+(0+(-0.189873--0.061251))+0-32--0.0163199999999968</f>
        <v>220.08769800000002</v>
      </c>
      <c r="L244" s="3">
        <f>0+(376-126.3)+(0+(-0.76704--0.257652))+0-32--0.0652799999999986</f>
        <v>217.25589199999999</v>
      </c>
      <c r="M244" s="3">
        <f>0+(402.3-153.5)+(0+(0.615519-0.234855))+0-32-0.0489600000000018</f>
        <v>217.13170400000001</v>
      </c>
      <c r="N244" s="3">
        <f>0+(519.9-257.9)+(0+(0-0))+0-32-0</f>
        <v>230</v>
      </c>
      <c r="O244" s="3">
        <f>0+(676.5-398.7)+(0+(-0.345015--0.203337))+0-32--0.0163199999999968</f>
        <v>245.67464200000001</v>
      </c>
      <c r="P244" s="3">
        <f>0+(670-386)+(0+(0.3417-0.19686))+0-32-0.0163199999999968</f>
        <v>252.12851999999998</v>
      </c>
      <c r="Q244" s="3">
        <f>0+(670.7-387.4)+(0+(0.342057-0.197574))+0-32-0.0163199999999968</f>
        <v>251.42816300000004</v>
      </c>
      <c r="R244" s="3">
        <f>0+(663.9-379.4)+(0+(-1.692945--0.96747))+0-30--0.0764999999999956</f>
        <v>253.85102499999996</v>
      </c>
      <c r="S244" s="3">
        <f>0+(630.5-358.2)+(0+(-0.964665--0.548046))+0-30--0.0459000000000017</f>
        <v>241.92928099999997</v>
      </c>
      <c r="T244" s="3">
        <f>0+(586.9-322.5)+(0+(0.299319-0.164475))+0-29-0.0147899999999971</f>
        <v>235.52005399999996</v>
      </c>
      <c r="U244" s="3">
        <f>0+(564.3-302.5)+(0+(-1.151172--0.6171))+0-30--0.0611999999999987</f>
        <v>231.32712799999996</v>
      </c>
      <c r="V244" s="3">
        <f>0+(493-223.4)+(0+(0.25143-0.113934))+0-29-0.0147899999999971</f>
        <v>240.72270600000002</v>
      </c>
      <c r="W244" s="3">
        <f>0+(457.7-155.7)+(0+(0-0))+0-30-0</f>
        <v>272</v>
      </c>
      <c r="X244" s="3">
        <f>0+(446-144.6)+(0+(-0.90984--0.294984))+0-30--0.0611999999999987</f>
        <v>270.84634399999999</v>
      </c>
      <c r="Y244" s="3">
        <f>0+(453.2-154)+(0+(-0.462264--0.15708))+0-30--0.0306000000000048</f>
        <v>268.92541599999998</v>
      </c>
      <c r="Z244" s="3">
        <f>0+(461.8-165.4)+(0+(-0.471036--0.168708))+0-31--0.0316200000000049</f>
        <v>265.12929200000002</v>
      </c>
      <c r="AA244" s="3">
        <f>0+(473.8-180.7)+(0+(-0.241638--0.092157))+0-30--0.015299999999997</f>
        <v>262.96581900000007</v>
      </c>
      <c r="AB244" s="3">
        <f>0+(422.3-139.4)+(0+(-0.646119--0.213282))+0-30--0.0459000000000017</f>
        <v>252.51306299999996</v>
      </c>
      <c r="AC244" s="3">
        <f>0+(386.1-114.9)+(0+(0-0))+0-30-0</f>
        <v>241.20000000000005</v>
      </c>
      <c r="AD244">
        <f t="shared" si="3"/>
        <v>5784.2343889999993</v>
      </c>
      <c r="AE244" s="3">
        <f>0+(447.9-145.9)+(0+(0-0))+0-30-0</f>
        <v>272</v>
      </c>
    </row>
    <row r="245" spans="1:31" s="2" customFormat="1" x14ac:dyDescent="0.25">
      <c r="A245">
        <v>89</v>
      </c>
      <c r="B245">
        <v>8</v>
      </c>
      <c r="C245">
        <v>29</v>
      </c>
      <c r="D245">
        <v>1</v>
      </c>
      <c r="E245">
        <v>1</v>
      </c>
      <c r="F245" s="3">
        <f>0+(321.8-69.3)+(0+(-0.656472--0.141372))+0-32--0.0652799999999986</f>
        <v>220.05018000000001</v>
      </c>
      <c r="G245" s="3">
        <f>0+(300.4-54.3)+(0+(-0.459612--0.083079))+0-32--0.0489600000000018</f>
        <v>213.77242699999996</v>
      </c>
      <c r="H245" s="3">
        <f>0+(301.5-55)+(0+(-0.461295--0.08415))+0-32--0.0489600000000018</f>
        <v>214.17181499999998</v>
      </c>
      <c r="I245" s="3">
        <f>0+(296-51.9)+(0+(0.45288-0.079407))+0-32-0.0489600000000018</f>
        <v>212.42451299999999</v>
      </c>
      <c r="J245" s="3">
        <f>0+(316.2-76.7)+(0+(-0.483786--0.117351))+0-32--0.0489600000000018</f>
        <v>207.182525</v>
      </c>
      <c r="K245" s="3">
        <f>0+(300.4-50)+(0+(-0.153204--0.0255))+0-32--0.0163199999999968</f>
        <v>218.28861599999999</v>
      </c>
      <c r="L245" s="3">
        <f>0+(411.7-146.8)+(0+(-0.839868--0.299472))+0-32--0.0652799999999986</f>
        <v>232.42488399999999</v>
      </c>
      <c r="M245" s="3">
        <f>0+(549.6-258.6)+(0+(0.840888-0.395658))+0-32-0.0489600000000018</f>
        <v>259.39626999999996</v>
      </c>
      <c r="N245" s="3">
        <f>0+(806.5-479.8)+(0+(0.411315-0.244698))+0-32-0.0163199999999968</f>
        <v>294.85029699999996</v>
      </c>
      <c r="O245" s="3">
        <f>0+(802.2-459.4)+(0+(-0.818244--0.468588))+0-32--0.0326400000000051</f>
        <v>310.4829840000001</v>
      </c>
      <c r="P245" s="3">
        <f>0+(792.6-443)+(0+(0-0))+0-32-0</f>
        <v>317.60000000000002</v>
      </c>
      <c r="Q245" s="3">
        <f>0+(828.7-472.3)+(0+(0-0))+0-32-0</f>
        <v>324.40000000000003</v>
      </c>
      <c r="R245" s="3">
        <f>0+(736.7-393.4)+(0+(-1.502868--0.802536))+0-32--0.0652799999999986</f>
        <v>310.66494800000004</v>
      </c>
      <c r="S245" s="3">
        <f>0+(690.8-360.2)+(0+(1.056924-0.551106))+0-32-0.0489600000000018</f>
        <v>299.05685799999992</v>
      </c>
      <c r="T245" s="3">
        <f>0+(664.1-341.8)+(0+(0-0))+0-32-0</f>
        <v>290.3</v>
      </c>
      <c r="U245" s="3">
        <f>0+(668.7-345.8)+(0+(-0.682074--0.352716))+0-32--0.0326400000000051</f>
        <v>290.60328200000004</v>
      </c>
      <c r="V245" s="3">
        <f>0+(625.4-292)+(0+(0.318954-0.14892))+0-33-0.0168299999999967</f>
        <v>300.55320399999999</v>
      </c>
      <c r="W245" s="3">
        <f>0+(715.1-352.3)+(0+(-0.729402--0.359346))+0-32--0.0326400000000051</f>
        <v>330.46258400000005</v>
      </c>
      <c r="X245" s="3">
        <f>0+(618.9-263.7)+(0+(-0.946917--0.403461))+0-32--0.0489600000000018</f>
        <v>322.70550400000002</v>
      </c>
      <c r="Y245" s="3">
        <f>0+(573.6-229.7)+(0+(-0.292536--0.117147))+0-32--0.0163199999999968</f>
        <v>311.74093100000005</v>
      </c>
      <c r="Z245" s="3">
        <f>0+(534.5-202.9)+(0+(-0.272595--0.103479))+0-32--0.0163199999999968</f>
        <v>299.44720400000006</v>
      </c>
      <c r="AA245" s="3">
        <f>0+(527.3-201.4)+(0+(-0.537846--0.205428))+0-32--0.0326400000000051</f>
        <v>293.60022199999997</v>
      </c>
      <c r="AB245" s="3">
        <f>0+(412.1-102.2)+(0+(-0.210171--0.052122))+0-32--0.0163199999999968</f>
        <v>277.75827100000004</v>
      </c>
      <c r="AC245" s="3">
        <f>0+(433.2-137.3)+(0+(-0.883728--0.280092))+0-29--0.0591599999999987</f>
        <v>266.355524</v>
      </c>
      <c r="AD245">
        <f t="shared" si="3"/>
        <v>6618.2930430000006</v>
      </c>
      <c r="AE245" s="3">
        <f>0+(706.2-339.1)+(0+(0-0))+0-32-0</f>
        <v>335.1</v>
      </c>
    </row>
    <row r="246" spans="1:31" s="2" customFormat="1" x14ac:dyDescent="0.25">
      <c r="A246">
        <v>89</v>
      </c>
      <c r="B246">
        <v>8</v>
      </c>
      <c r="C246">
        <v>30</v>
      </c>
      <c r="D246">
        <v>2</v>
      </c>
      <c r="E246">
        <v>1</v>
      </c>
      <c r="F246" s="3">
        <f>0+(302.9-19.7)+(0+(-0.154479--0.010047))+0-32--0.0163199999999968</f>
        <v>251.071888</v>
      </c>
      <c r="G246" s="3">
        <f>0+(300.8-23.5)+(0+(-0.460224--0.035955))+0-32--0.0489600000000018</f>
        <v>244.92469100000002</v>
      </c>
      <c r="H246" s="3">
        <f>0+(306.8-32)+(0+(-0.156468--0.01632))+0-32--0.0163199999999968</f>
        <v>242.67617200000001</v>
      </c>
      <c r="I246" s="3">
        <f>0+(313.4-43.4)+(0+(-0.159834--0.022134))+0-32--0.0163199999999968</f>
        <v>237.87862000000001</v>
      </c>
      <c r="J246" s="3">
        <f>0+(345.2-77.7)+(0+(0.704208-0.158508))+0-32-0.0652799999999986</f>
        <v>235.98042000000001</v>
      </c>
      <c r="K246" s="3">
        <f>0+(442.9-167.4)+(0+(0.225879-0.085374))+0-32-0.0163199999999968</f>
        <v>243.62418500000001</v>
      </c>
      <c r="L246" s="3">
        <f>0+(487.4-203.2)+(0+(0-0))+0-32-0</f>
        <v>252.2</v>
      </c>
      <c r="M246" s="3">
        <f>0+(450.2-153.1)+(0+(-0.688806--0.234243))+0-33--0.0504900000000019</f>
        <v>263.69592700000004</v>
      </c>
      <c r="N246" s="3">
        <f>0+(578.2-249)+(0+(0.589764-0.25398))+0-35-0.0357000000000056</f>
        <v>294.50008400000002</v>
      </c>
      <c r="O246" s="3">
        <f>0+(712.1-366.8)+(0+(-1.089513--0.561204))+0-33--0.0504900000000019</f>
        <v>311.82218100000006</v>
      </c>
      <c r="P246" s="3">
        <f>0+(728.1-394.1)+(0+(0.371331-0.200991))+0-34-0.0173399999999966</f>
        <v>300.15300000000002</v>
      </c>
      <c r="Q246" s="3">
        <f>0+(727.2-375.3)+(0+(-0.741744--0.382806))+0-32--0.0326400000000051</f>
        <v>319.57370200000003</v>
      </c>
      <c r="R246" s="3">
        <f>0+(739-395.4)+(0+(-1.88445--1.00827))+0-32--0.0815999999999954</f>
        <v>310.80542000000003</v>
      </c>
      <c r="S246" s="3">
        <f>0+(708.9-369.3)+(0+(-0.361539--0.188343))+0-32--0.0163199999999968</f>
        <v>307.44312399999995</v>
      </c>
      <c r="T246" s="3">
        <f>0+(624-289.7)+(0+(-0.95472--0.443241))+0-32--0.0489600000000018</f>
        <v>301.83748100000003</v>
      </c>
      <c r="U246" s="3">
        <f>0+(614.1-284.1)+(0+(0.313191-0.144891))+0-32-0.0163199999999968</f>
        <v>298.15197999999998</v>
      </c>
      <c r="V246" s="3">
        <f>0+(566.1-224.1)+(0+(-0.288711--0.114291))+0-32--0.0163199999999968</f>
        <v>309.84190000000001</v>
      </c>
      <c r="W246" s="3">
        <f>0+(499-135.3)+(0+(0-0))+0-32-0</f>
        <v>331.7</v>
      </c>
      <c r="X246" s="3">
        <f>0+(545.3-187.1)+(0+(-1.112412--0.381684))+0-32--0.0652799999999986</f>
        <v>325.53455199999991</v>
      </c>
      <c r="Y246" s="3">
        <f>0+(527.9-181.8)+(0+(-1.076916--0.370872))+0-32--0.0652799999999986</f>
        <v>313.45923599999992</v>
      </c>
      <c r="Z246" s="3">
        <f>0+(515.6-177.5)+(0+(-1.31478--0.452625))+0-32--0.0815999999999954</f>
        <v>305.31944500000003</v>
      </c>
      <c r="AA246" s="3">
        <f>0+(531.4-201.4)+(0+(-0.813042--0.308142))+0-32--0.0489600000000018</f>
        <v>297.54406</v>
      </c>
      <c r="AB246" s="3">
        <f>0+(521-201.2)+(0+(-0.79713--0.307836))+0-32--0.0489600000000018</f>
        <v>287.35966600000006</v>
      </c>
      <c r="AC246" s="3">
        <f>0+(381.8-80.9)+(0+(-0.584154--0.123777))+0-32--0.0489600000000018</f>
        <v>268.48858300000001</v>
      </c>
      <c r="AD246">
        <f t="shared" si="3"/>
        <v>6855.5863170000002</v>
      </c>
      <c r="AE246" s="3">
        <f>0+(530.8-170.9)+(0+(0-0))+0-32-0</f>
        <v>327.9</v>
      </c>
    </row>
    <row r="247" spans="1:31" s="2" customFormat="1" x14ac:dyDescent="0.25">
      <c r="A247">
        <v>89</v>
      </c>
      <c r="B247">
        <v>9</v>
      </c>
      <c r="C247">
        <v>1</v>
      </c>
      <c r="D247">
        <v>3</v>
      </c>
      <c r="E247">
        <v>1</v>
      </c>
      <c r="F247" s="3">
        <f>0+(317.8-39.7)+(0+(-0.81039--0.101235))+0-32--0.0815999999999954</f>
        <v>245.47244500000002</v>
      </c>
      <c r="G247" s="3">
        <f>0+(288.2-9.6)+(0+(-0.146982--0.004896))+0-32--0.0163199999999968</f>
        <v>246.47423399999997</v>
      </c>
      <c r="H247" s="3">
        <f>0+(312.3-32.4)+(0+(-0.477819--0.049572))+0-32--0.0489600000000018</f>
        <v>247.52071300000003</v>
      </c>
      <c r="I247" s="3">
        <f>0+(324-52.8)+(0+(-0.16524--0.026928))+0-32--0.0163199999999968</f>
        <v>239.07800800000001</v>
      </c>
      <c r="J247" s="3">
        <f>0+(311.5-34.6)+(0+(0.158865-0.017646))+0-32-0.0163199999999968</f>
        <v>245.02489899999995</v>
      </c>
      <c r="K247" s="3">
        <f>0+(350.3-63.2)+(0+(-0.535959--0.096696))+0-32--0.0489600000000018</f>
        <v>254.70969700000003</v>
      </c>
      <c r="L247" s="3">
        <f>0+(431.2-136.8)+(0+(0-0))+0-32-0</f>
        <v>262.39999999999998</v>
      </c>
      <c r="M247" s="3">
        <f>0+(495.9-180.1)+(0+(-0.252909--0.091851))+0-33--0.0168299999999967</f>
        <v>282.6557719999999</v>
      </c>
      <c r="N247" s="3">
        <f>0+(546.2-207)+(0+(-1.114248--0.42228))+0-33--0.0673199999999986</f>
        <v>305.57535200000007</v>
      </c>
      <c r="O247" s="3">
        <f>0+(530.9-183.7)+(0+(-0.812277--0.281061))+0-35--0.053550000000002</f>
        <v>311.72233400000005</v>
      </c>
      <c r="P247" s="3">
        <f>0+(476.4-130.2)+(0+(-0.485928--0.132804))+0-33--0.0336600000000053</f>
        <v>312.88053600000001</v>
      </c>
      <c r="Q247" s="3">
        <f>0+(493.1-142.6)+(0+(-0.502962--0.145452))+0-36--0.0367200000000057</f>
        <v>314.17921000000001</v>
      </c>
      <c r="R247" s="3">
        <f>0+(571.9-226.5)+(0+(-0.291669--0.115515))+0-35--0.0178499999999964</f>
        <v>310.24169599999999</v>
      </c>
      <c r="S247" s="3">
        <f>0+(552.5-222.5)+(0+(-0.845325--0.340425))+0-31--0.0474300000000018</f>
        <v>298.54253</v>
      </c>
      <c r="T247" s="3">
        <f>0+(563.4-237.3)+(0+(0-0))+0-31-0</f>
        <v>295.09999999999997</v>
      </c>
      <c r="U247" s="3">
        <f>0+(506.1-179.5)+(0+(0.258111-0.091545))+0-33-0.0168299999999967</f>
        <v>293.74973600000004</v>
      </c>
      <c r="V247" s="3">
        <f>0+(559.7-212.1)+(0+(0-0))+0-32-0</f>
        <v>315.60000000000002</v>
      </c>
      <c r="W247" s="3">
        <f>0+(559.2-188.3)+(0+(-0.285192--0.096033))+0-32--0.0163199999999968</f>
        <v>338.72716100000002</v>
      </c>
      <c r="X247" s="3">
        <f>0+(576.3-216.1)+(0+(-1.469565--0.551055))+0-32--0.0815999999999954</f>
        <v>327.36308999999989</v>
      </c>
      <c r="Y247" s="3">
        <f>0+(535.9-185.3)+(0+(-0.273309--0.094503))+0-32--0.0163199999999968</f>
        <v>318.43751399999996</v>
      </c>
      <c r="Z247" s="3">
        <f>0+(480.6-144.1)+(0+(-0.735318--0.220473))+0-28--0.0428400000000016</f>
        <v>308.02799500000003</v>
      </c>
      <c r="AA247" s="3">
        <f>0+(482.2-155.2)+(0+(-0.983688--0.316608))+0-32--0.0652799999999986</f>
        <v>294.39819999999997</v>
      </c>
      <c r="AB247" s="3">
        <f>0+(437.7-116.7)+(0+(-0.892908--0.238068))+0-32--0.0652799999999986</f>
        <v>288.41043999999999</v>
      </c>
      <c r="AC247" s="3">
        <f>0+(299.2-0)+(0+(-1.068144-0))+0-33--0.11781</f>
        <v>265.24966599999999</v>
      </c>
      <c r="AD247">
        <f t="shared" si="3"/>
        <v>6921.5412279999991</v>
      </c>
      <c r="AE247" s="3">
        <f>0+(576.6-198.5)+(0+(0-0))+0-32-0</f>
        <v>346.1</v>
      </c>
    </row>
    <row r="248" spans="1:31" s="2" customFormat="1" x14ac:dyDescent="0.25">
      <c r="A248">
        <v>89</v>
      </c>
      <c r="B248">
        <v>9</v>
      </c>
      <c r="C248">
        <v>2</v>
      </c>
      <c r="D248">
        <v>4</v>
      </c>
      <c r="E248">
        <v>1</v>
      </c>
      <c r="F248" s="3">
        <f>0+(287.2-0)+(0+(-0.439416-0))+0-32--0.0489600000000018</f>
        <v>254.80954399999999</v>
      </c>
      <c r="G248" s="3">
        <f>0+(316.3-31.8)+(0+(-0.322626--0.032436))+0-32--0.0326400000000051</f>
        <v>252.24245000000002</v>
      </c>
      <c r="H248" s="3">
        <f>0+(272.5-0)+(0+(-0.416925-0))+0-32--0.0489600000000018</f>
        <v>240.132035</v>
      </c>
      <c r="I248" s="3">
        <f>0+(290.9-18.8)+(0+(-0.445077--0.028764))+0-32--0.0489600000000018</f>
        <v>239.73264699999996</v>
      </c>
      <c r="J248" s="3">
        <f>0+(276.3-0)+(0+(0-0))+0-32-0</f>
        <v>244.3</v>
      </c>
      <c r="K248" s="3">
        <f>0+(290.4-10.7)+(0+(-0.592416--0.021828))+0-32--0.0652799999999986</f>
        <v>247.194692</v>
      </c>
      <c r="L248" s="3">
        <f>0+(359.9-70.5)+(0+(-0.183549--0.035955))+0-32--0.0163199999999968</f>
        <v>257.26872599999996</v>
      </c>
      <c r="M248" s="3">
        <f>0+(392.9-83.4)+(0+(-0.200379--0.042534))+0-32--0.0163199999999968</f>
        <v>277.358475</v>
      </c>
      <c r="N248" s="3">
        <f>0+(488.8-157.3)+(0+(0.249288-0.080223))+0-32-0.0163199999999968</f>
        <v>299.65274499999998</v>
      </c>
      <c r="O248" s="3">
        <f>0+(668.4-319.3)+(0+(-1.022652--0.488529))+0-32--0.0489600000000018</f>
        <v>316.61483699999997</v>
      </c>
      <c r="P248" s="3">
        <f>0+(590.5-244.7)+(0+(0.301155-0.124797))+0-32-0.0163199999999968</f>
        <v>313.960038</v>
      </c>
      <c r="Q248" s="3">
        <f>0+(611.4-264.4)+(0+(-1.247256--0.539376))+0-32--0.0652799999999986</f>
        <v>314.35739999999998</v>
      </c>
      <c r="R248" s="3">
        <f>0+(579.3-241.3)+(0+(-0.295443--0.123063))+0-31--0.0158099999999969</f>
        <v>306.84342999999996</v>
      </c>
      <c r="S248" s="3">
        <f>0+(596.8-261.8)+(0+(0.608736-0.267036))+0-31-0.0316200000000049</f>
        <v>304.31007999999991</v>
      </c>
      <c r="T248" s="3">
        <f>0+(614.2-281.7)+(0+(0.626484-0.287334))+0-31-0.0316200000000049</f>
        <v>301.80753000000004</v>
      </c>
      <c r="U248" s="3">
        <f>0+(591.4-260.4)+(0+(0.301614-0.132804))+0-31-0.0158099999999969</f>
        <v>300.15300000000002</v>
      </c>
      <c r="V248" s="3">
        <f>0+(519.4-212)+(0+(-0.529788--0.21624))+0-31--0.0316200000000049</f>
        <v>276.11807199999998</v>
      </c>
      <c r="W248" s="3">
        <f>0+(551.3-185.3)+(0+(0.281163-0.094503))+0-31-0.0158099999999969</f>
        <v>335.17084999999997</v>
      </c>
      <c r="X248" s="3">
        <f>0+(575.2-218.7)+(0+(-0.880056--0.334611))+0-31--0.0474300000000018</f>
        <v>325.0019850000001</v>
      </c>
      <c r="Y248" s="3">
        <f>0+(594.9-234)+(0+(-0.910197--0.35802))+0-31--0.0474300000000018</f>
        <v>329.39525300000003</v>
      </c>
      <c r="Z248" s="3">
        <f>0+(583.1-231.7)+(0+(-0.594762--0.236334))+0-31--0.0316200000000049</f>
        <v>320.07319200000006</v>
      </c>
      <c r="AA248" s="3">
        <f>0+(547.3-207.9)+(0+(-0.837369--0.318087))+0-31--0.0474300000000018</f>
        <v>307.92814800000002</v>
      </c>
      <c r="AB248" s="3">
        <f>0+(531.4-192)+(0+(-1.084056--0.39168))+0-31--0.0632399999999986</f>
        <v>307.77086399999996</v>
      </c>
      <c r="AC248" s="3">
        <f>0+(502.2-176.3)+(0+(-0.512244--0.179826))+0-31--0.0316200000000049</f>
        <v>294.59920199999999</v>
      </c>
      <c r="AD248">
        <f t="shared" si="3"/>
        <v>6966.7951950000006</v>
      </c>
      <c r="AE248" s="3">
        <f>0+(562.4-201.5)+(0+(0-0))+0-32-0</f>
        <v>328.9</v>
      </c>
    </row>
    <row r="249" spans="1:31" s="2" customFormat="1" x14ac:dyDescent="0.25">
      <c r="A249">
        <v>89</v>
      </c>
      <c r="B249">
        <v>9</v>
      </c>
      <c r="C249">
        <v>3</v>
      </c>
      <c r="D249">
        <v>5</v>
      </c>
      <c r="E249">
        <v>1</v>
      </c>
      <c r="F249" s="3">
        <f>0+(313.6-14.9)+(0+(-0.639744--0.030396))+0-32--0.0652799999999986</f>
        <v>266.15593200000001</v>
      </c>
      <c r="G249" s="3">
        <f>0+(287.7-4.6)+(0+(-0.440181--0.007038))+0-32--0.0489600000000018</f>
        <v>250.71581699999999</v>
      </c>
      <c r="H249" s="3">
        <f>0+(336.4-59)+(0+(-0.85782--0.15045))+0-32--0.0815999999999954</f>
        <v>244.77422999999996</v>
      </c>
      <c r="I249" s="3">
        <f>0+(321.3-45.6)+(0+(-0.163863--0.023256))+0-32--0.0163199999999968</f>
        <v>243.57571300000001</v>
      </c>
      <c r="J249" s="3">
        <f>0+(370.1-89)+(0+(0-0))+0-33-0</f>
        <v>248.10000000000002</v>
      </c>
      <c r="K249" s="3">
        <f>0+(385.2-107.9)+(0+(-0.589356--0.165087))+0-33--0.0504900000000019</f>
        <v>243.92622099999997</v>
      </c>
      <c r="L249" s="3">
        <f>0+(485.9-195.7)+(0+(-0.743427--0.299421))+0-32--0.0489600000000018</f>
        <v>257.80495400000001</v>
      </c>
      <c r="M249" s="3">
        <f>0+(485.9-186)+(0+(-0.743427--0.28458))+0-32--0.0489600000000018</f>
        <v>267.49011300000001</v>
      </c>
      <c r="N249" s="3">
        <f>0+(599.4-266.5)+(0+(-0.611388--0.27183))+0-32--0.0326400000000051</f>
        <v>300.59308199999998</v>
      </c>
      <c r="O249" s="3">
        <f>0+(561.1-234.8)+(0+(0-0))+0-32-0</f>
        <v>294.3</v>
      </c>
      <c r="P249" s="3">
        <f>0+(576.5-245.7)+(0+(-0.58803--0.250614))+0-32--0.0326400000000051</f>
        <v>298.49522400000001</v>
      </c>
      <c r="Q249" s="3">
        <f>0+(607.3-265.4)+(0+(-0.619446--0.270708))+0-32--0.0326400000000051</f>
        <v>309.58390199999997</v>
      </c>
      <c r="R249" s="3">
        <f>0+(594.1-253.6)+(0+(-0.302991--0.129336))+0-32--0.0163199999999968</f>
        <v>308.34266500000001</v>
      </c>
      <c r="S249" s="3">
        <f>0+(592-258.1)+(0+(-0.60384--0.263262))+0-32--0.0326400000000051</f>
        <v>301.592062</v>
      </c>
      <c r="T249" s="3">
        <f>0+(642.2-305.6)+(0+(-0.655044--0.311712))+0-32--0.0326400000000051</f>
        <v>304.28930800000006</v>
      </c>
      <c r="U249" s="3">
        <f>0+(614-294.6)+(0+(0.31314-0.150246))+0-30-0.015299999999997</f>
        <v>289.54759399999995</v>
      </c>
      <c r="V249" s="3">
        <f>0+(587.9-255.1)+(0+(0-0))+0-31-0</f>
        <v>301.79999999999995</v>
      </c>
      <c r="W249" s="3">
        <f>0+(607.2-251.6)+(0+(0-0))+0-31-0</f>
        <v>324.60000000000002</v>
      </c>
      <c r="X249" s="3">
        <f>0+(627.8-275.9)+(0+(-0.960534--0.422127))+0-30--0.0459000000000017</f>
        <v>321.40749299999999</v>
      </c>
      <c r="Y249" s="3">
        <f>0+(574.6-239.3)+(0+(-1.172184--0.488172))+0-30--0.0611999999999987</f>
        <v>304.677188</v>
      </c>
      <c r="Z249" s="3">
        <f>0+(480-153.1)+(0+(-1.4688--0.468486))+0-30--0.0918000000000035</f>
        <v>295.99148599999995</v>
      </c>
      <c r="AA249" s="3">
        <f>0+(535.8-200.9)+(0+(-1.093032--0.409836))+0-29--0.0591599999999987</f>
        <v>305.27596399999999</v>
      </c>
      <c r="AB249" s="3">
        <f>0+(545.1-215.2)+(0+(-0.556002--0.219504))+0-31--0.0316200000000049</f>
        <v>298.59512200000006</v>
      </c>
      <c r="AC249" s="3">
        <f>0+(531-213.1)+(0+(-1.08324--0.434724))+0-32--0.0652799999999986</f>
        <v>285.31676399999998</v>
      </c>
      <c r="AD249">
        <f t="shared" si="3"/>
        <v>6866.9508340000002</v>
      </c>
      <c r="AE249" s="3">
        <f>0+(620.9-276.3)+(0+(0-0))+0-32-0</f>
        <v>312.59999999999997</v>
      </c>
    </row>
    <row r="250" spans="1:31" s="2" customFormat="1" x14ac:dyDescent="0.25">
      <c r="A250">
        <v>89</v>
      </c>
      <c r="B250">
        <v>9</v>
      </c>
      <c r="C250">
        <v>4</v>
      </c>
      <c r="D250">
        <v>6</v>
      </c>
      <c r="E250">
        <v>3</v>
      </c>
      <c r="F250" s="3">
        <f>0+(427.3-137.1)+(0+(0-0))+0-32-0</f>
        <v>258.20000000000005</v>
      </c>
      <c r="G250" s="3">
        <f>0+(400.7-124.7)+(0+(0-0))+0-32-0</f>
        <v>244</v>
      </c>
      <c r="H250" s="3">
        <f>0+(353.5-88.7)+(0+(0-0))+0-32-0</f>
        <v>232.8</v>
      </c>
      <c r="I250" s="3">
        <f>0+(351.2-84.3)+(0+(0-0))+0-32-0</f>
        <v>234.89999999999998</v>
      </c>
      <c r="J250" s="3">
        <f>0+(323.9-60.3)+(0+(-0.165189--0.030753))+0-32--0.0163199999999968</f>
        <v>231.48188399999998</v>
      </c>
      <c r="K250" s="3">
        <f>0+(360.6-93.3)+(0+(0.551718-0.142749))+0-32-0.0489600000000018</f>
        <v>235.66000900000003</v>
      </c>
      <c r="L250" s="3">
        <f>0+(428.4-166.4)+(0+(0-0))+0-32-0</f>
        <v>230</v>
      </c>
      <c r="M250" s="3">
        <f>0+(455.4-192.3)+(0+(-0.464508--0.196146))+0-32--0.0326400000000051</f>
        <v>230.86427799999996</v>
      </c>
      <c r="N250" s="3">
        <f>0+(485.6-220.2)+(0+(-0.495312--0.224604))+0-32--0.0326400000000051</f>
        <v>233.16193200000004</v>
      </c>
      <c r="O250" s="3">
        <f>0+(621.2-329.3)+(0+(-0.950436--0.503829))+0-32--0.0489600000000018</f>
        <v>259.50235300000008</v>
      </c>
      <c r="P250" s="3">
        <f>0+(639.7-338.5)+(0+(-0.652494--0.34527))+0-32--0.0326400000000051</f>
        <v>268.92541600000004</v>
      </c>
      <c r="Q250" s="3">
        <f>0+(644.1-339.3)+(0+(-0.656982--0.346086))+0-32--0.0326400000000051</f>
        <v>272.52174400000001</v>
      </c>
      <c r="R250" s="3">
        <f>0+(658.6-272.5)+(0+(-1.67943--0.694875))+0-30--0.0764999999999956</f>
        <v>355.19194500000003</v>
      </c>
      <c r="S250" s="3">
        <f>0+(692-301)+(0+(0.70584-0.30702))+0-31-0.0316200000000049</f>
        <v>360.36719999999997</v>
      </c>
      <c r="T250" s="3">
        <f>0+(697.2-321.6)+(0+(-1.77786--0.82008))+0-31--0.0790499999999955</f>
        <v>343.72127</v>
      </c>
      <c r="U250" s="3">
        <f>0+(653.2-328.9)+(0+(0-0))+0-32-0</f>
        <v>292.30000000000007</v>
      </c>
      <c r="V250" s="3">
        <f>0+(587.6-277.5)+(0+(-0.899028--0.424575))+0-32--0.0489600000000018</f>
        <v>277.67450700000006</v>
      </c>
      <c r="W250" s="3">
        <f>0+(684.7-324.8)+(0+(0.349197-0.165648))+0-32-0.0163199999999968</f>
        <v>328.06722900000005</v>
      </c>
      <c r="X250" s="3">
        <f>0+(693.7-332.4)+(0+(0-0))+0-31-0</f>
        <v>330.30000000000007</v>
      </c>
      <c r="Y250" s="3">
        <f>0+(707.5-346)+(0+(-1.804125--0.8823))+0-31--0.0790499999999955</f>
        <v>329.65722499999998</v>
      </c>
      <c r="Z250" s="3">
        <f>0+(742.5-372.1)+(0+(-0.378675--0.189771))+0-30--0.015299999999997</f>
        <v>340.22639600000002</v>
      </c>
      <c r="AA250" s="3">
        <f>0+(741.5-382.5)+(0+(-0.378165--0.195075))+0-30--0.015299999999997</f>
        <v>328.83221000000003</v>
      </c>
      <c r="AB250" s="3">
        <f>0+(714.8-351.9)+(0+(-0.729096--0.358938))+0-31--0.0316200000000049</f>
        <v>331.56146200000001</v>
      </c>
      <c r="AC250" s="3">
        <f>0+(727.5-379.2)+(0+(-1.4841--0.773568))+0-30--0.0611999999999987</f>
        <v>317.650668</v>
      </c>
      <c r="AD250">
        <f t="shared" si="3"/>
        <v>6867.567728</v>
      </c>
      <c r="AE250" s="3">
        <f>0+(687.1-372)+(0+(0-0))+0-32-0</f>
        <v>283.10000000000002</v>
      </c>
    </row>
    <row r="251" spans="1:31" s="2" customFormat="1" x14ac:dyDescent="0.25">
      <c r="A251">
        <v>89</v>
      </c>
      <c r="B251">
        <v>9</v>
      </c>
      <c r="C251">
        <v>5</v>
      </c>
      <c r="D251">
        <v>7</v>
      </c>
      <c r="E251">
        <v>1</v>
      </c>
      <c r="F251" s="3">
        <f>0+(637.9-320.4)+(0+(-0.975987--0.490212))+0-31--0.0474300000000018</f>
        <v>286.06165500000003</v>
      </c>
      <c r="G251" s="3">
        <f>0+(638.7-330.3)+(0+(-0.977211--0.505359))+0-31--0.0474300000000018</f>
        <v>276.97557800000004</v>
      </c>
      <c r="H251" s="3">
        <f>0+(501-226.6)+(0+(-0.76653--0.346698))+0-31--0.0474300000000018</f>
        <v>243.02759799999998</v>
      </c>
      <c r="I251" s="3">
        <f>0+(427.9-162.3)+(0+(-0.436458--0.165546))+0-31--0.0316200000000049</f>
        <v>234.36070799999996</v>
      </c>
      <c r="J251" s="3">
        <f>0+(420.9-156.3)+(0+(0.429318-0.159426))+0-31-0.0316200000000049</f>
        <v>233.83827199999999</v>
      </c>
      <c r="K251" s="3">
        <f>0+(427-163.1)+(0+(0.21777-0.083181))+0-31-0.0158099999999969</f>
        <v>233.01877899999999</v>
      </c>
      <c r="L251" s="3">
        <f>0+(514.4-236.4)+(0+(-1.049376--0.482256))+0-31--0.0632399999999986</f>
        <v>246.49612000000002</v>
      </c>
      <c r="M251" s="3">
        <f>0+(550.2-264.6)+(0+(-0.561204--0.269892))+0-31--0.0316200000000049</f>
        <v>254.34030800000002</v>
      </c>
      <c r="N251" s="3">
        <f>0+(552.1-217.8)+(0+(0.281571-0.111078))+0-30-0.015299999999997</f>
        <v>304.45519300000001</v>
      </c>
      <c r="O251" s="3">
        <f>0+(576.7-246.7)+(0+(0-0))+0-30-0</f>
        <v>300.00000000000006</v>
      </c>
      <c r="P251" s="3">
        <f>0+(667.6-292.7)+(0+(-0.340476--0.149277))+0-30--0.015299999999997</f>
        <v>344.72410100000008</v>
      </c>
      <c r="Q251" s="3">
        <f>0+(710.3-318.3)+(0+(-2.898024--1.298664))+0-30--0.122399999999997</f>
        <v>360.52303999999992</v>
      </c>
      <c r="R251" s="3">
        <f>0+(694-306.9)+(0+(-1.06182--0.469557))+0-28--0.0428400000000016</f>
        <v>358.55057700000003</v>
      </c>
      <c r="S251" s="3">
        <f>0+(672.4-301.5)+(0+(-0.685848--0.30753))+0-26--0.0265200000000041</f>
        <v>344.548202</v>
      </c>
      <c r="T251" s="3">
        <f>0+(687.9-317.4)+(0+(-0.350829--0.161874))+0-28--0.0142799999999972</f>
        <v>342.32532499999996</v>
      </c>
      <c r="U251" s="3">
        <f>0+(646.5-284.3)+(0+(-0.65943--0.289986))+0-30--0.0306000000000048</f>
        <v>331.86115599999999</v>
      </c>
      <c r="V251" s="3">
        <f>0+(659.5-328.3)+(0+(0-0))+0-31-0</f>
        <v>300.2</v>
      </c>
      <c r="W251" s="3">
        <f>0+(743.2-376.1)+(0+(-0.379032--0.191811))+0-30--0.015299999999997</f>
        <v>336.92807900000003</v>
      </c>
      <c r="X251" s="3">
        <f>0+(733.7-363.7)+(0+(-0.374187--0.185487))+0-32--0.0163199999999968</f>
        <v>337.82762000000008</v>
      </c>
      <c r="Y251" s="3">
        <f>0+(730.4-361.3)+(0+(-1.117512--0.552789))+0-32--0.0489600000000018</f>
        <v>336.58423699999997</v>
      </c>
      <c r="Z251" s="3">
        <f>0+(672.7-319.2)+(0+(-0.686154--0.325584))+0-32--0.0326400000000051</f>
        <v>321.17207000000008</v>
      </c>
      <c r="AA251" s="3">
        <f>0+(696.1-339.9)+(0+(-1.420044--0.693396))+0-32--0.0652799999999986</f>
        <v>323.53863200000001</v>
      </c>
      <c r="AB251" s="3">
        <f>0+(618.8-292.2)+(0+(-0.946764--0.447066))+0-32--0.0489600000000018</f>
        <v>294.14926199999996</v>
      </c>
      <c r="AC251" s="3">
        <f>0+(538.2-246.6)+(0+(-1.646892--0.754596))+0-32--0.0979200000000037</f>
        <v>258.80562400000002</v>
      </c>
      <c r="AD251">
        <f t="shared" si="3"/>
        <v>7204.3121360000005</v>
      </c>
      <c r="AE251" s="3">
        <f>0+(702.7-388.5)+(0+(0-0))+0-31-0</f>
        <v>283.20000000000005</v>
      </c>
    </row>
    <row r="252" spans="1:31" s="2" customFormat="1" x14ac:dyDescent="0.25">
      <c r="A252">
        <v>89</v>
      </c>
      <c r="B252">
        <v>9</v>
      </c>
      <c r="C252">
        <v>6</v>
      </c>
      <c r="D252">
        <v>1</v>
      </c>
      <c r="E252">
        <v>1</v>
      </c>
      <c r="F252" s="3">
        <f>0+(361.4-100.6)+(0+(0-0))+0-32-0</f>
        <v>228.79999999999995</v>
      </c>
      <c r="G252" s="3">
        <f>0+(367.5-112.3)+(0+(0-0))+0-32-0</f>
        <v>223.2</v>
      </c>
      <c r="H252" s="3">
        <f>0+(379.4-126.7)+(0+(0.193494-0.064617))+0-32-0.0163199999999968</f>
        <v>220.81255699999997</v>
      </c>
      <c r="I252" s="3">
        <f>0+(397.6-145)+(0+(0.405552-0.1479))+0-29-0.0295800000000046</f>
        <v>223.82807200000002</v>
      </c>
      <c r="J252" s="3">
        <f>0+(425.5-169.1)+(0+(0-0))+0-31-0</f>
        <v>225.39999999999998</v>
      </c>
      <c r="K252" s="3">
        <f>0+(483.8-234.8)+(0+(-0.493476--0.239496))+0-32--0.0326400000000051</f>
        <v>216.77866</v>
      </c>
      <c r="L252" s="3">
        <f>0+(593.7-321.5)+(0+(-1.513935--0.819825))+0-31--0.0790499999999955</f>
        <v>240.58494000000002</v>
      </c>
      <c r="M252" s="3">
        <f>0+(637.5-341.5)+(0+(0.325125-0.174165))+0-31-0.0158099999999969</f>
        <v>265.13515000000001</v>
      </c>
      <c r="N252" s="3">
        <f>0+(684.9-361.1)+(0+(0-0))+0-1-0</f>
        <v>322.79999999999995</v>
      </c>
      <c r="O252" s="3">
        <f>0+(782.6-454)+(0+(1.197378-0.69462))+0-1-0.00153000000000006</f>
        <v>328.10122799999999</v>
      </c>
      <c r="P252" s="3">
        <f>0+(741.9-420)+(0+(0-0))+0-5-0</f>
        <v>316.89999999999998</v>
      </c>
      <c r="Q252" s="3">
        <f>0+(690-371.7)+(0+(-0.3519--0.189567))+0-6--0.00305999999999939</f>
        <v>312.14072700000003</v>
      </c>
      <c r="R252" s="3">
        <f>0+(725.7-371.4)+(0+(-0.370107--0.189414))+0-5--0.00254999999999949</f>
        <v>349.12185700000003</v>
      </c>
      <c r="S252" s="3">
        <f>0+(737-386.4)+(0+(-0.37587--0.197064))+0-6--0.00305999999999939</f>
        <v>344.42425400000002</v>
      </c>
      <c r="T252" s="3">
        <f>0+(745.8-391.7)+(0+(-0.760716--0.399534))+0-10--0.0102000000000016</f>
        <v>343.74901799999998</v>
      </c>
      <c r="U252" s="3">
        <f>0+(690.3-346)+(0+(-0.352053--0.17646))+0-11--0.00560999999999888</f>
        <v>333.13001699999995</v>
      </c>
      <c r="V252" s="3">
        <f>0+(587.6-246.6)+(0+(-0.599352--0.251532))+0-12--0.0122400000000019</f>
        <v>328.66442000000001</v>
      </c>
      <c r="W252" s="3">
        <f>0+(650.1-270.5)+(0+(0.663102-0.27591))+0-11-0.0112200000000018</f>
        <v>368.97597200000007</v>
      </c>
      <c r="X252" s="3">
        <f>0+(656.7-287.1)+(0+(-0.669834--0.292842))+0-12--0.0122400000000019</f>
        <v>357.23524800000007</v>
      </c>
      <c r="Y252" s="3">
        <f>0+(695.7-322)+(0+(-1.419228--0.65688))+0-14--0.0285599999999994</f>
        <v>358.9662120000001</v>
      </c>
      <c r="Z252" s="3">
        <f>0+(743.3-369.3)+(0+(-1.895415--0.941715))+0-16--0.0407999999999977</f>
        <v>357.08709999999991</v>
      </c>
      <c r="AA252" s="3">
        <f>0+(776-403.9)+(0+(0.39576-0.205989))+0-17-0.00866999999999828</f>
        <v>355.28110100000004</v>
      </c>
      <c r="AB252" s="3">
        <f>0+(729.2-371.4)+(0+(-1.487568--0.757656))+0-20--0.0407999999999991</f>
        <v>337.11088800000005</v>
      </c>
      <c r="AC252" s="3">
        <f>0+(650.7-316.5)+(0+(-0.995571--0.484245))+0-20--0.0306000000000012</f>
        <v>313.71927400000004</v>
      </c>
      <c r="AD252">
        <f t="shared" si="3"/>
        <v>7271.9466950000005</v>
      </c>
      <c r="AE252" s="3">
        <f>0+(641.9-290.3)+(0+(0-0))+0-10-0</f>
        <v>341.59999999999997</v>
      </c>
    </row>
    <row r="253" spans="1:31" s="2" customFormat="1" x14ac:dyDescent="0.25">
      <c r="A253">
        <v>89</v>
      </c>
      <c r="B253">
        <v>9</v>
      </c>
      <c r="C253">
        <v>7</v>
      </c>
      <c r="D253">
        <v>2</v>
      </c>
      <c r="E253">
        <v>1</v>
      </c>
      <c r="F253" s="3">
        <f>0+(489-198.2)+(0+(-0.24939--0.101082))+0-23--0.0117299999999977</f>
        <v>267.66342200000003</v>
      </c>
      <c r="G253" s="3">
        <f>0+(340.4-69.5)+(0+(-0.86802--0.177225))+0-24--0.0611999999999965</f>
        <v>246.27040499999998</v>
      </c>
      <c r="H253" s="3">
        <f>0+(318.4-58.5)+(0+(-0.162384--0.029835))+0-26--0.0132599999999974</f>
        <v>233.780711</v>
      </c>
      <c r="I253" s="3">
        <f>0+(350.1-87.6)+(0+(-0.178551--0.044676))+0-28--0.0142799999999972</f>
        <v>234.380405</v>
      </c>
      <c r="J253" s="3">
        <f>0+(337.4-74.5)+(0+(-0.344148--0.07599))+0-30--0.0306000000000048</f>
        <v>232.66244199999994</v>
      </c>
      <c r="K253" s="3">
        <f>0+(400.2-127.3)+(0+(0-0))+0-30-0</f>
        <v>242.89999999999998</v>
      </c>
      <c r="L253" s="3">
        <f>0+(446.9-164.3)+(0+(-0.911676--0.335172))+0-30--0.0611999999999987</f>
        <v>252.08469599999995</v>
      </c>
      <c r="M253" s="3">
        <f>0+(496.8-189.5)+(0+(-0.253368--0.096645))+0-30--0.015299999999997</f>
        <v>277.15857700000004</v>
      </c>
      <c r="N253" s="3">
        <f>0+(688-315)+(0+(0-0))+0-31-0</f>
        <v>342</v>
      </c>
      <c r="O253" s="3">
        <f>0+(603-280)+(0+(0.30753-0.1428))+0-31-0.0158099999999969</f>
        <v>292.14892000000003</v>
      </c>
      <c r="P253" s="3">
        <f>0+(599-235)+(0+(0.61098-0.2397))+0-30-0.0306000000000048</f>
        <v>334.34068000000002</v>
      </c>
      <c r="Q253" s="3">
        <f>0+(605.9-245)+(0+(0-0))+0-31-0</f>
        <v>329.9</v>
      </c>
      <c r="R253" s="3">
        <f>0+(590.9-240.5)+(0+(-1.506795--0.613275))+0-31--0.0790499999999955</f>
        <v>318.58552999999995</v>
      </c>
      <c r="S253" s="3">
        <f>0+(578-237.5)+(0+(-0.88434--0.363375))+0-31--0.0474300000000018</f>
        <v>309.02646500000003</v>
      </c>
      <c r="T253" s="3">
        <f>0+(568.5-229.5)+(0+(0.289935-0.117045))+0-31-0.0158099999999969</f>
        <v>308.15708000000001</v>
      </c>
      <c r="U253" s="3">
        <f>0+(579.9-247)+(0+(0.591498-0.25194))+0-31-0.0316200000000049</f>
        <v>302.20793799999996</v>
      </c>
      <c r="V253" s="3">
        <f>0+(558.9-221.2)+(0+(-0.285039--0.112812))+0-31--0.0158099999999969</f>
        <v>306.54358299999996</v>
      </c>
      <c r="W253" s="3">
        <f>0+(605.2-234.4)+(0+(0.308652-0.119544))+0-31-0.0158099999999969</f>
        <v>339.97329800000006</v>
      </c>
      <c r="X253" s="3">
        <f>0+(572.6-215)+(0+(-2.044182--0.76755))+0-31--0.11067</f>
        <v>325.43403800000004</v>
      </c>
      <c r="Y253" s="3">
        <f>0+(620-265.4)+(0+(-1.2648--0.541416))+0-31--0.0632399999999986</f>
        <v>322.93985600000002</v>
      </c>
      <c r="Z253" s="3">
        <f>0+(655.9-301.1)+(0+(-0.334509--0.153561))+0-31--0.0158099999999969</f>
        <v>323.63486199999994</v>
      </c>
      <c r="AA253" s="3">
        <f>0+(595.7-247.6)+(0+(-0.911421--0.378828))+0-30--0.0459000000000017</f>
        <v>317.61330700000002</v>
      </c>
      <c r="AB253" s="3">
        <f>0+(598.3-256.3)+(0+(-0.610266--0.261426))+0-31--0.0316200000000049</f>
        <v>310.68277999999998</v>
      </c>
      <c r="AC253" s="3">
        <f>0+(644.2-303.3)+(0+(-1.314168--0.618732))+0-30--0.0611999999999987</f>
        <v>310.26576400000005</v>
      </c>
      <c r="AD253">
        <f t="shared" si="3"/>
        <v>7080.3547589999989</v>
      </c>
      <c r="AE253" s="3">
        <f>0+(612.6-236.9)+(0+(0-0))+0-31-0</f>
        <v>344.70000000000005</v>
      </c>
    </row>
    <row r="254" spans="1:31" s="2" customFormat="1" x14ac:dyDescent="0.25">
      <c r="A254">
        <v>89</v>
      </c>
      <c r="B254">
        <v>9</v>
      </c>
      <c r="C254">
        <v>8</v>
      </c>
      <c r="D254">
        <v>3</v>
      </c>
      <c r="E254">
        <v>1</v>
      </c>
      <c r="F254" s="3">
        <f>0+(517.6-212)+(0+(-1.055904--0.43248))+0-31--0.0632399999999986</f>
        <v>274.03981600000003</v>
      </c>
      <c r="G254" s="3">
        <f>0+(373-94.1)+(0+(-0.19023--0.047991))+0-30--0.015299999999997</f>
        <v>248.77306099999996</v>
      </c>
      <c r="H254" s="3">
        <f>0+(381.1-105.8)+(0+(0.194361-0.053958))+0-30-0.015299999999997</f>
        <v>245.42510300000001</v>
      </c>
      <c r="I254" s="3">
        <f>0+(365.3-92.1)+(0+(-0.372606--0.093942))+0-30--0.0306000000000048</f>
        <v>242.95193600000005</v>
      </c>
      <c r="J254" s="3">
        <f>0+(415.6-135.7)+(0+(0.211956-0.069207))+0-31-0.0158099999999969</f>
        <v>249.02693900000003</v>
      </c>
      <c r="K254" s="3">
        <f>0+(463.1-177)+(0+(0.236181-0.09027))+0-31-0.0158099999999969</f>
        <v>255.23010100000005</v>
      </c>
      <c r="L254" s="3">
        <f>0+(613.2-294.6)+(0+(0-0))+0-31-0</f>
        <v>287.60000000000002</v>
      </c>
      <c r="M254" s="3">
        <f>0+(633.9-293)+(0+(-1.616445--0.74715))+0-31--0.0790499999999955</f>
        <v>309.10975499999995</v>
      </c>
      <c r="N254" s="3">
        <f>0+(731.8-363.7)+(0+(1.119654-0.556461))+0-31-0.0474300000000018</f>
        <v>337.61576299999996</v>
      </c>
      <c r="O254" s="3">
        <f>0+(722.2-344.5)+(0+(-1.104966--0.527085))+0-31--0.0474300000000018</f>
        <v>346.16954900000007</v>
      </c>
      <c r="P254" s="3">
        <f>0+(776.7-391)+(0+(0.396117-0.19941))+0-31-0.0158099999999969</f>
        <v>354.88089700000006</v>
      </c>
      <c r="Q254" s="3">
        <f>0+(798.8-400.7)+(0+(-2.03694--1.021785))+0-31--0.0790499999999955</f>
        <v>366.16389499999997</v>
      </c>
      <c r="R254" s="3">
        <f>0+(791.9-391.2)+(0+(-0.807738--0.399024))+0-0-0</f>
        <v>400.29128600000001</v>
      </c>
      <c r="S254" s="3">
        <f>0+(797.2-412.6)+(0+(0-0))+0-30-0</f>
        <v>354.6</v>
      </c>
      <c r="T254" s="3">
        <f>0+(807.4-420.6)+(0+(0-0))+0-30-0</f>
        <v>356.79999999999995</v>
      </c>
      <c r="U254" s="3">
        <f>0+(803.4-418.8)+(0+(0.409734-0.213588))+0-31-0.0158099999999969</f>
        <v>353.78033599999998</v>
      </c>
      <c r="V254" s="3">
        <f>0+(671.7-312.4)+(0+(1.027701-0.477972))+0-31-0.0474300000000018</f>
        <v>328.80229900000006</v>
      </c>
      <c r="W254" s="3">
        <f>0+(565.6-203.6)+(0+(0.865368-0.311508))+0-31-0.0474300000000018</f>
        <v>331.50642999999997</v>
      </c>
      <c r="X254" s="3">
        <f>0+(549.5-195.2)+(0+(-1.12098--0.398208))+0-31--0.0632399999999986</f>
        <v>322.640468</v>
      </c>
      <c r="Y254" s="3">
        <f>0+(608-245.1)+(0+(-0.93024--0.375003))+0-31--0.0474300000000018</f>
        <v>331.39219300000002</v>
      </c>
      <c r="Z254" s="3">
        <f>0+(636.6-276.1)+(0+(-0.973998--0.422433))+0-31--0.0474300000000018</f>
        <v>328.99586500000004</v>
      </c>
      <c r="AA254" s="3">
        <f>0+(673.4-315.5)+(0+(-0.686868--0.32181))+0-31--0.0316200000000049</f>
        <v>326.56656200000003</v>
      </c>
      <c r="AB254" s="3">
        <f>0+(671-321.6)+(0+(0-0))+0-31-0</f>
        <v>318.39999999999998</v>
      </c>
      <c r="AC254" s="3">
        <f>0+(566.4-250.8)+(0+(-1.44432--0.63954))+0-31--0.0790499999999955</f>
        <v>283.87426999999997</v>
      </c>
      <c r="AD254">
        <f t="shared" si="3"/>
        <v>7554.6365239999996</v>
      </c>
      <c r="AE254" s="3">
        <f>0+(587.5-225.7)+(0+(0-0))+0-31-0</f>
        <v>330.8</v>
      </c>
    </row>
    <row r="255" spans="1:31" s="2" customFormat="1" x14ac:dyDescent="0.25">
      <c r="A255">
        <v>89</v>
      </c>
      <c r="B255">
        <v>9</v>
      </c>
      <c r="C255">
        <v>9</v>
      </c>
      <c r="D255">
        <v>4</v>
      </c>
      <c r="E255">
        <v>1</v>
      </c>
      <c r="F255" s="3">
        <f>0+(455-154.1)+(0+(-0.9282--0.314364))+0-31--0.0632399999999986</f>
        <v>269.34940399999999</v>
      </c>
      <c r="G255" s="3">
        <f>0+(478.3-179.6)+(0+(-0.487866--0.183192))+0-31--0.0316200000000049</f>
        <v>267.4269460000001</v>
      </c>
      <c r="H255" s="3">
        <f>0+(359.3-91.4)+(0+(-0.549729--0.139842))+0-31--0.0474300000000018</f>
        <v>236.53754299999994</v>
      </c>
      <c r="I255" s="3">
        <f>0+(347.3-84.4)+(0+(-0.354246--0.086088))+0-31--0.0316200000000049</f>
        <v>231.66346199999995</v>
      </c>
      <c r="J255" s="3">
        <f>0+(382.7-123.6)+(0+(-0.390354--0.126072))+0-31--0.0316200000000049</f>
        <v>227.86733800000005</v>
      </c>
      <c r="K255" s="3">
        <f>0+(411.2-147.8)+(0+(0-0))+0-31-0</f>
        <v>232.39999999999998</v>
      </c>
      <c r="L255" s="3">
        <f>0+(631.7-310.7)+(0+(-0.644334--0.316914))+0-31--0.0316200000000049</f>
        <v>289.70420000000007</v>
      </c>
      <c r="M255" s="3">
        <f>0+(761.8-403.1)+(0+(-0.388518--0.205581))+0-31--0.0158099999999969</f>
        <v>327.53287299999994</v>
      </c>
      <c r="N255" s="3">
        <f>0+(808.6-418.2)+(0+(0.412386-0.213282))+0-30-0.015299999999997</f>
        <v>360.58380399999999</v>
      </c>
      <c r="O255" s="3">
        <f>0+(826.1-426.3)+(0+(0-0))+0-31-0</f>
        <v>368.8</v>
      </c>
      <c r="P255" s="3">
        <f>0+(846.2-438.2)+(0+(-0.431562--0.223482))+0-31--0.0158099999999969</f>
        <v>376.80773000000005</v>
      </c>
      <c r="Q255" s="3">
        <f>0+(864.3-448.9)+(0+(-0.881586--0.457878))+0-30--0.0306000000000048</f>
        <v>385.00689199999999</v>
      </c>
      <c r="R255" s="3">
        <f>0+(812.3-459.5)+(0+(-0.414273--0.234345))+0-30--0.015299999999997</f>
        <v>322.63537199999996</v>
      </c>
      <c r="S255" s="3">
        <f>0+(825.5-460.7)+(0+(0-0))+0-30-0</f>
        <v>334.8</v>
      </c>
      <c r="T255" s="3">
        <f>0+(760-410.4)+(0+(-1.1628--0.627912))+0-30--0.0459000000000017</f>
        <v>319.11101200000002</v>
      </c>
      <c r="U255" s="3">
        <f>0+(619.8-292.8)+(0+(-0.948294--0.447984))+0-30--0.0459000000000017</f>
        <v>296.54558999999995</v>
      </c>
      <c r="V255" s="3">
        <f>0+(582.9-247.8)+(0+(-0.891837--0.379134))+0-30--0.0459000000000017</f>
        <v>304.633197</v>
      </c>
      <c r="W255" s="3">
        <f>0+(575.2-221.7)+(0+(-0.586704--0.226134))+0-30--0.0306000000000048</f>
        <v>323.17003000000005</v>
      </c>
      <c r="X255" s="3">
        <f>0+(641.9-282.9)+(0+(-1.309476--0.577116))+0-30--0.0611999999999987</f>
        <v>328.32883999999996</v>
      </c>
      <c r="Y255" s="3">
        <f>0+(592.1-245.8)+(0+(-1.207884--0.501432))+0-30--0.0611999999999987</f>
        <v>315.65474799999998</v>
      </c>
      <c r="Z255" s="3">
        <f>0+(615.6-274.5)+(0+(-0.627912--0.27999))+0-30--0.0306000000000048</f>
        <v>310.78267800000003</v>
      </c>
      <c r="AA255" s="3">
        <f>0+(640.5-303.9)+(0+(-0.979965--0.464967))+0-30--0.0459000000000017</f>
        <v>306.13090200000005</v>
      </c>
      <c r="AB255" s="3">
        <f>0+(615.8-286.5)+(0+(-0.942174--0.438345))+0-30--0.0459000000000017</f>
        <v>298.84207099999998</v>
      </c>
      <c r="AC255" s="3">
        <f>0+(588.6-297.4)+(0+(-1.50093--0.75837))+0-30--0.0764999999999956</f>
        <v>260.53394000000003</v>
      </c>
      <c r="AD255">
        <f t="shared" si="3"/>
        <v>7294.8485720000017</v>
      </c>
      <c r="AE255" s="3">
        <f>0+(537.7-174.6)+(0+(0-0))+0-32-0</f>
        <v>331.1</v>
      </c>
    </row>
    <row r="256" spans="1:31" s="2" customFormat="1" x14ac:dyDescent="0.25">
      <c r="A256">
        <v>89</v>
      </c>
      <c r="B256">
        <v>9</v>
      </c>
      <c r="C256">
        <v>10</v>
      </c>
      <c r="D256">
        <v>5</v>
      </c>
      <c r="E256">
        <v>1</v>
      </c>
      <c r="F256" s="3">
        <f>0+(347.2-86)+(0+(-0.88536--0.2193))+0-32--0.0815999999999954</f>
        <v>228.61553999999998</v>
      </c>
      <c r="G256" s="3">
        <f>0+(310.7-59.8)+(0+(0-0))+0-32-0</f>
        <v>218.89999999999998</v>
      </c>
      <c r="H256" s="3">
        <f>0+(263.2-30.6)+(0+(-0.134232--0.015606))+0-32--0.0163199999999968</f>
        <v>200.497694</v>
      </c>
      <c r="I256" s="3">
        <f>0+(254.1-26.3)+(0+(-0.129591--0.013413))+0-33--0.0168299999999967</f>
        <v>194.70065199999999</v>
      </c>
      <c r="J256" s="3">
        <f>0+(251.3-28.3)+(0+(0.256326-0.028866))+0-33-0.0336600000000053</f>
        <v>190.19380000000001</v>
      </c>
      <c r="K256" s="3">
        <f>0+(287.8-53.4)+(0+(-0.293556--0.054468))+0-30--0.0306000000000048</f>
        <v>204.19151199999999</v>
      </c>
      <c r="L256" s="3">
        <f>0+(431.3-154.6)+(0+(-0.219963--0.078846))+0-31--0.0158099999999969</f>
        <v>245.57469300000002</v>
      </c>
      <c r="M256" s="3">
        <f>0+(492.7-195.9)+(0+(0-0))+0-30-0</f>
        <v>266.79999999999995</v>
      </c>
      <c r="N256" s="3">
        <f>0+(554.3-228.6)+(0+(-0.282693--0.116586))+0-32--0.0163199999999968</f>
        <v>293.55021299999993</v>
      </c>
      <c r="O256" s="3">
        <f>0+(557.6-222.9)+(0+(-1.137504--0.454716))+0-32--0.0652799999999986</f>
        <v>302.082492</v>
      </c>
      <c r="P256" s="3">
        <f>0+(595-250.4)+(0+(0.30345-0.127704))+0-32-0.0163199999999968</f>
        <v>312.75942600000002</v>
      </c>
      <c r="Q256" s="3">
        <f>0+(643.1-294)+(0+(-0.327981--0.14994))+0-30--0.015299999999997</f>
        <v>318.93725900000004</v>
      </c>
      <c r="R256" s="3">
        <f>0+(630.2-303.5)+(0+(-1.60701--0.773925))+0-1--0.00254999999999985</f>
        <v>324.86946500000005</v>
      </c>
      <c r="S256" s="3">
        <f>0+(615.7-313)+(0+(0-0))+0-4-0</f>
        <v>298.70000000000005</v>
      </c>
      <c r="T256" s="3">
        <f>0+(652.7-348.2)+(0+(0-0))+0-4-0</f>
        <v>300.50000000000006</v>
      </c>
      <c r="U256" s="3">
        <f>0+(651.3-348.3)+(0+(-0.332163--0.177633))+0-4--0.00203999999999959</f>
        <v>298.84750999999994</v>
      </c>
      <c r="V256" s="3">
        <f>0+(572.7-265.4)+(0+(0.584154-0.270708))+0-5-0.0051000000000008</f>
        <v>302.60834600000004</v>
      </c>
      <c r="W256" s="3">
        <f>0+(592.3-257.2)+(0+(0-0))+0-6-0</f>
        <v>329.09999999999997</v>
      </c>
      <c r="X256" s="3">
        <f>0+(588.8-256.9)+(0+(-1.201152--0.524076))+0-7--0.0142799999999997</f>
        <v>324.23720399999996</v>
      </c>
      <c r="Y256" s="3">
        <f>0+(593.3-269.5)+(0+(-0.907749--0.412335))+0-7--0.0107100000000004</f>
        <v>316.31529599999999</v>
      </c>
      <c r="Z256" s="3">
        <f>0+(637.4-320.6)+(0+(-0.325074--0.163506))+0-7--0.00356999999999929</f>
        <v>309.64200199999999</v>
      </c>
      <c r="AA256" s="3">
        <f>0+(596.7-289.2)+(0+(0-0))+0-9-0</f>
        <v>298.50000000000006</v>
      </c>
      <c r="AB256" s="3">
        <f>0+(581.5-278.6)+(0+(-1.18626--0.568344))+0-9--0.0183599999999996</f>
        <v>293.30044399999997</v>
      </c>
      <c r="AC256" s="3">
        <f>0+(582.9-290.2)+(0+(-0.891837--0.444006))+0-10--0.0153000000000006</f>
        <v>282.26746900000001</v>
      </c>
      <c r="AD256">
        <f t="shared" si="3"/>
        <v>6655.6910169999992</v>
      </c>
      <c r="AE256" s="3">
        <f>0+(596.1-256.6)+(0+(0-0))+0-6-0</f>
        <v>333.5</v>
      </c>
    </row>
    <row r="257" spans="1:31" s="2" customFormat="1" x14ac:dyDescent="0.25">
      <c r="A257">
        <v>89</v>
      </c>
      <c r="B257">
        <v>9</v>
      </c>
      <c r="C257">
        <v>11</v>
      </c>
      <c r="D257">
        <v>6</v>
      </c>
      <c r="E257">
        <v>1</v>
      </c>
      <c r="F257" s="3">
        <f>0+(596.4-315.3)+(0+(-0.608328--0.321606))+0-12--0.0122400000000019</f>
        <v>268.82551799999999</v>
      </c>
      <c r="G257" s="3">
        <f>0+(455-185.4)+(0+(0.4641-0.189108))+0-13-0.0132600000000021</f>
        <v>256.86173200000002</v>
      </c>
      <c r="H257" s="3">
        <f>0+(436.9-175.3)+(0+(0.668457-0.268209))+0-14-0.0214200000000008</f>
        <v>247.97882799999994</v>
      </c>
      <c r="I257" s="3">
        <f>0+(402.4-145.4)+(0+(-0.205224--0.074154))+0-16--0.00815999999999838</f>
        <v>240.87708999999998</v>
      </c>
      <c r="J257" s="3">
        <f>0+(415.6-160)+(0+(0.211956-0.0816))+0-18-0.00917999999999817</f>
        <v>237.72117600000004</v>
      </c>
      <c r="K257" s="3">
        <f>0+(483.8-216.3)+(0+(0-0))+0-19-0</f>
        <v>248.5</v>
      </c>
      <c r="L257" s="3">
        <f>0+(537.4-262.2)+(0+(-0.548148--0.267444))+0-20--0.0204000000000032</f>
        <v>254.93969599999997</v>
      </c>
      <c r="M257" s="3">
        <f>0+(538-250)+(0+(0.27438-0.1275))+0-21-0.0107099999999979</f>
        <v>267.13616999999999</v>
      </c>
      <c r="N257" s="3">
        <f>0+(503.6-196.5)+(0+(0-0))+0-23-0</f>
        <v>284.10000000000002</v>
      </c>
      <c r="O257" s="3">
        <f>0+(604.4-278.3)+(0+(-1.232976--0.567732))+0-26--0.0530399999999989</f>
        <v>299.487796</v>
      </c>
      <c r="P257" s="3">
        <f>0+(642.7-304.4)+(0+(-0.983331--0.465732))+0-27--0.0413100000000016</f>
        <v>310.82371100000006</v>
      </c>
      <c r="Q257" s="3">
        <f>0+(652.5-313.2)+(0+(-0.332775--0.159732))+0-29--0.0147899999999971</f>
        <v>310.14174700000001</v>
      </c>
      <c r="R257" s="3">
        <f>0+(650.2-316.1)+(0+(-1.326408--0.644844))+0-30--0.0611999999999987</f>
        <v>303.47963600000003</v>
      </c>
      <c r="S257" s="3">
        <f>0+(682.7-360)+(0+(-0.696354--0.3672))+0-30--0.0306000000000048</f>
        <v>292.40144600000002</v>
      </c>
      <c r="T257" s="3">
        <f>0+(626.8-304.9)+(0+(-0.639336--0.310998))+0-30--0.0306000000000048</f>
        <v>291.602262</v>
      </c>
      <c r="U257" s="3">
        <f>0+(589.2-276.1)+(0+(-0.300492--0.140811))+0-30--0.015299999999997</f>
        <v>282.95561900000007</v>
      </c>
      <c r="V257" s="3">
        <f>0+(639.8-317.8)+(0+(-1.63149--0.81039))+0-30--0.0764999999999956</f>
        <v>291.25539999999995</v>
      </c>
      <c r="W257" s="3">
        <f>0+(640.1-293.7)+(0+(0-0))+0-30-0</f>
        <v>316.40000000000003</v>
      </c>
      <c r="X257" s="3">
        <f>0+(634.6-292.6)+(0+(-2.265522--1.044582))+0-31--0.11067</f>
        <v>309.88973000000004</v>
      </c>
      <c r="Y257" s="3">
        <f>0+(651-318)+(0+(-0.99603--0.48654))+0-2--0.00306000000000012</f>
        <v>330.49356999999998</v>
      </c>
      <c r="Z257" s="3">
        <f>0+(635.4-309.8)+(0+(-0.972162--0.473994))+0-30--0.0459000000000017</f>
        <v>295.14773199999996</v>
      </c>
      <c r="AA257" s="3">
        <f>0+(631.7-313.9)+(0+(-1.610835--0.800445))+0-30--0.0764999999999956</f>
        <v>287.06611000000009</v>
      </c>
      <c r="AB257" s="3">
        <f>0+(476.9-171)+(0+(0-0))+0-30-0</f>
        <v>275.89999999999998</v>
      </c>
      <c r="AC257" s="3">
        <f>0+(450.3-159.3)+(0+(-0.688959--0.243729))+0-30--0.0459000000000017</f>
        <v>260.60067000000004</v>
      </c>
      <c r="AD257">
        <f t="shared" ref="AD257:AD320" si="4">SUM(F257:AC257)</f>
        <v>6764.585638999999</v>
      </c>
      <c r="AE257" s="3">
        <f>0+(620.6-279.1)+(0+(0-0))+0-30-0</f>
        <v>311.5</v>
      </c>
    </row>
    <row r="258" spans="1:31" s="2" customFormat="1" x14ac:dyDescent="0.25">
      <c r="A258">
        <v>89</v>
      </c>
      <c r="B258">
        <v>9</v>
      </c>
      <c r="C258">
        <v>12</v>
      </c>
      <c r="D258">
        <v>7</v>
      </c>
      <c r="E258">
        <v>1</v>
      </c>
      <c r="F258" s="3">
        <f>0+(436.5-151.4)+(0+(-1.33569--0.463284))+0-30--0.0918000000000035</f>
        <v>254.31939400000002</v>
      </c>
      <c r="G258" s="3">
        <f>0+(353.5-92.9)+(0+(0-0))+0-30-0</f>
        <v>230.60000000000002</v>
      </c>
      <c r="H258" s="3">
        <f>0+(358.9-92.3)+(0+(-0.183039--0.047073))+0-30--0.015299999999997</f>
        <v>236.47933399999997</v>
      </c>
      <c r="I258" s="3">
        <f>0+(405.2-144.7)+(0+(0.206652-0.073797))+0-30-0.015299999999997</f>
        <v>230.61755500000001</v>
      </c>
      <c r="J258" s="3">
        <f>0+(404.2-145.7)+(0+(0-0))+0-30-0</f>
        <v>228.5</v>
      </c>
      <c r="K258" s="3">
        <f>0+(454-191)+(0+(0.69462-0.29223))+0-30-0.0459000000000017</f>
        <v>233.35649000000004</v>
      </c>
      <c r="L258" s="3">
        <f>0+(535.9-290.2)+(0+(-0.546618--0.296004))+0-30--0.0306000000000048</f>
        <v>215.47998599999997</v>
      </c>
      <c r="M258" s="3">
        <f>0+(435.9-221.4)+(0+(-1.111545--0.56457))+0-30--0.0764999999999956</f>
        <v>184.02952499999995</v>
      </c>
      <c r="N258" s="3">
        <f>0+(400.9-184.5)+(0+(0.204459-0.094095))+0-30-0.015299999999997</f>
        <v>186.49506399999999</v>
      </c>
      <c r="O258" s="3">
        <f>0+(431.6-181.5)+(0+(0.220116-0.092565))+0-30-0.015299999999997</f>
        <v>220.21225100000004</v>
      </c>
      <c r="P258" s="3">
        <f>0+(432.4-183.5)+(0+(-0.882096--0.37434))+0-31--0.0632399999999986</f>
        <v>217.45548399999998</v>
      </c>
      <c r="Q258" s="3">
        <f>0+(488-228.3)+(0+(-0.24888--0.116433))+0-31--0.0158099999999969</f>
        <v>228.58336299999996</v>
      </c>
      <c r="R258" s="3">
        <f>0+(538.4-247)+(0+(-0.823752--0.37791))+0-31--0.0474300000000018</f>
        <v>260.00158799999997</v>
      </c>
      <c r="S258" s="3">
        <f>0+(527.8-242.3)+(0+(-0.807534--0.370719))+0-31--0.0474300000000018</f>
        <v>254.11061499999991</v>
      </c>
      <c r="T258" s="3">
        <f>0+(500.1-226.4)+(0+(0.255051-0.115464))+0-31-0.0158099999999969</f>
        <v>242.82377700000006</v>
      </c>
      <c r="U258" s="3">
        <f>0+(502.7-226.2)+(0+(-0.512754--0.230724))+0-30--0.0306000000000048</f>
        <v>246.24856999999997</v>
      </c>
      <c r="V258" s="3">
        <f>0+(535.2-242.5)+(0+(-0.545904--0.24735))+0-31--0.0316200000000049</f>
        <v>261.43306600000005</v>
      </c>
      <c r="W258" s="3">
        <f>0+(617.5-292.3)+(0+(0-0))+0-31-0</f>
        <v>294.2</v>
      </c>
      <c r="X258" s="3">
        <f>0+(643.7-327.8)+(0+(-0.656574--0.334356))+0-31--0.0316200000000049</f>
        <v>284.60940200000005</v>
      </c>
      <c r="Y258" s="3">
        <f>0+(612.9-301.5)+(0+(-0.312579--0.153765))+0-31--0.0158099999999969</f>
        <v>280.25699599999996</v>
      </c>
      <c r="Z258" s="3">
        <f>0+(580-272.9)+(0+(-0.5916--0.278358))+0-31--0.0316200000000049</f>
        <v>275.81837800000005</v>
      </c>
      <c r="AA258" s="3">
        <f>0+(576-272.7)+(0+(-0.58752--0.278154))+0-31--0.0316200000000049</f>
        <v>272.02225400000003</v>
      </c>
      <c r="AB258" s="3">
        <f>0+(535.2-242.6)+(0+(0-0))+0-31-0</f>
        <v>261.60000000000002</v>
      </c>
      <c r="AC258" s="3">
        <f>0+(483.5-202.9)+(0+(-1.232925--0.517395))+0-31--0.0790499999999955</f>
        <v>248.96352000000002</v>
      </c>
      <c r="AD258">
        <f t="shared" si="4"/>
        <v>5848.2166120000011</v>
      </c>
      <c r="AE258" s="3">
        <f>0+(651.2-328.1)+(0+(0-0))+0-31-0</f>
        <v>292.10000000000002</v>
      </c>
    </row>
    <row r="259" spans="1:31" s="2" customFormat="1" x14ac:dyDescent="0.25">
      <c r="A259">
        <v>89</v>
      </c>
      <c r="B259">
        <v>9</v>
      </c>
      <c r="C259">
        <v>13</v>
      </c>
      <c r="D259">
        <v>1</v>
      </c>
      <c r="E259">
        <v>1</v>
      </c>
      <c r="F259" s="3">
        <f>0+(395.8-130.9)+(0+(-1.211148--0.400554))+0-31--0.0948600000000036</f>
        <v>233.18426600000001</v>
      </c>
      <c r="G259" s="3">
        <f>0+(372-114.1)+(0+(-0.75888--0.232764))+0-31--0.0632399999999986</f>
        <v>226.43712399999998</v>
      </c>
      <c r="H259" s="3">
        <f>0+(314.3-60.4)+(0+(-0.641172--0.123216))+0-31--0.0632399999999986</f>
        <v>222.44528400000002</v>
      </c>
      <c r="I259" s="3">
        <f>0+(312.8-51.7)+(0+(-0.319056--0.052734))+0-31--0.0316200000000049</f>
        <v>229.86529800000002</v>
      </c>
      <c r="J259" s="3">
        <f>0+(311.3-50.4)+(0+(0-0))+0-32-0</f>
        <v>228.90000000000003</v>
      </c>
      <c r="K259" s="3">
        <f>0+(372.1-107.8)+(0+(0.189771-0.054978))+0-31-0.0158099999999969</f>
        <v>233.41898300000003</v>
      </c>
      <c r="L259" s="3">
        <f>0+(464.8-194.1)+(0+(-0.948192--0.395964))+0-31--0.0632399999999986</f>
        <v>239.21101200000004</v>
      </c>
      <c r="M259" s="3">
        <f>0+(502.4-211.6)+(0+(-0.512448--0.215832))+0-32--0.0326400000000051</f>
        <v>258.536024</v>
      </c>
      <c r="N259" s="3">
        <f>0+(693.1-327.9)+(0+(0-0))+0-30-0</f>
        <v>335.20000000000005</v>
      </c>
      <c r="O259" s="3">
        <f>0+(703.7-347.5)+(0+(1.076661-0.531675))+0-31-0.0474300000000018</f>
        <v>325.69755600000002</v>
      </c>
      <c r="P259" s="3">
        <f>0+(702.7-361)+(0+(-1.075131--0.55233))+0-30--0.0459000000000017</f>
        <v>311.22309900000005</v>
      </c>
      <c r="Q259" s="3">
        <f>0+(670.1-335)+(0+(0-0))+0-31-0</f>
        <v>304.10000000000002</v>
      </c>
      <c r="R259" s="3">
        <f>0+(619.1-280.9)+(0+(-1.894446--0.859554))+0-31--0.0948600000000036</f>
        <v>306.25996800000001</v>
      </c>
      <c r="S259" s="3">
        <f>0+(639.9-307.1)+(0+(-0.979047--0.469863))+0-31--0.0474300000000018</f>
        <v>301.33824599999997</v>
      </c>
      <c r="T259" s="3">
        <f>0+(598.9-271.2)+(0+(0-0))+0-31-0</f>
        <v>296.7</v>
      </c>
      <c r="U259" s="3">
        <f>0+(591.8-263.2)+(0+(0-0))+0-30-0</f>
        <v>298.59999999999997</v>
      </c>
      <c r="V259" s="3">
        <f>0+(566.6-225.3)+(0+(-0.288966--0.114903))+0-31--0.0158099999999969</f>
        <v>310.14174700000001</v>
      </c>
      <c r="W259" s="3">
        <f>0+(629.7-256.3)+(0+(0.963441-0.392139))+0-31-0.0474300000000018</f>
        <v>342.92387200000002</v>
      </c>
      <c r="X259" s="3">
        <f>0+(573.2-221.8)+(0+(-1.169328--0.452472))+0-31--0.0632399999999986</f>
        <v>319.74638400000003</v>
      </c>
      <c r="Y259" s="3">
        <f>0+(565.3-232.4)+(0+(-1.441515--0.59262))+0-31--0.0790499999999955</f>
        <v>301.13015499999995</v>
      </c>
      <c r="Z259" s="3">
        <f>0+(579.3-251.4)+(0+(0-0))+0-31-0</f>
        <v>296.89999999999998</v>
      </c>
      <c r="AA259" s="3">
        <f>0+(593.7-272.8)+(0+(-1.513935--0.69564))+0-31--0.0790499999999955</f>
        <v>289.16075500000005</v>
      </c>
      <c r="AB259" s="3">
        <f>0+(582.3-263.2)+(0+(-0.593946--0.268464))+0-31--0.0316200000000049</f>
        <v>287.80613799999998</v>
      </c>
      <c r="AC259" s="3">
        <f>0+(504.6-192.7)+(0+(-1.28673--0.491385))+0-31--0.0790499999999955</f>
        <v>280.18370500000003</v>
      </c>
      <c r="AD259">
        <f t="shared" si="4"/>
        <v>6779.1096159999988</v>
      </c>
      <c r="AE259" s="3">
        <f>0+(617.1-297.8)+(0+(0-0))+0-31-0</f>
        <v>288.3</v>
      </c>
    </row>
    <row r="260" spans="1:31" s="2" customFormat="1" x14ac:dyDescent="0.25">
      <c r="A260">
        <v>89</v>
      </c>
      <c r="B260">
        <v>9</v>
      </c>
      <c r="C260">
        <v>14</v>
      </c>
      <c r="D260">
        <v>2</v>
      </c>
      <c r="E260">
        <v>1</v>
      </c>
      <c r="F260" s="3">
        <f>0+(361.2-64.3)+(0+(-0.736848--0.131172))+0-31--0.0632399999999986</f>
        <v>265.35756399999997</v>
      </c>
      <c r="G260" s="3">
        <f>0+(327.6-34.5)+(0+(0-0))+0-31-0</f>
        <v>262.10000000000002</v>
      </c>
      <c r="H260" s="3">
        <f>0+(319.5-33.7)+(0+(-0.162945--0.017187))+0-31--0.0158099999999969</f>
        <v>254.670052</v>
      </c>
      <c r="I260" s="3">
        <f>0+(331.5-41.6)+(0+(0-0))+0-31-0</f>
        <v>258.89999999999998</v>
      </c>
      <c r="J260" s="3">
        <f>0+(373.8-95.1)+(0+(-0.381276--0.097002))+0-31--0.0316200000000049</f>
        <v>247.44734600000007</v>
      </c>
      <c r="K260" s="3">
        <f>0+(431.2-150.2)+(0+(0-0))+0-31-0</f>
        <v>250</v>
      </c>
      <c r="L260" s="3">
        <f>0+(481.5-188.1)+(0+(-0.49113--0.191862))+0-31--0.0316200000000049</f>
        <v>262.13235200000003</v>
      </c>
      <c r="M260" s="3">
        <f>0+(430.8-117.8)+(0+(-0.439416--0.120156))+0-31--0.0316200000000049</f>
        <v>281.71236000000005</v>
      </c>
      <c r="N260" s="3">
        <f>0+(555.2-212.5)+(0+(0.283152-0.108375))+0-31-0.0158099999999969</f>
        <v>311.85896700000006</v>
      </c>
      <c r="O260" s="3">
        <f>0+(746.3-358.7)+(0+(0.380613-0.182937))+0-28-0.0142799999999972</f>
        <v>359.78339599999998</v>
      </c>
      <c r="P260" s="3">
        <f>0+(721.4-364.2)+(0+(-0.367914--0.185742))+0-30--0.015299999999997</f>
        <v>327.03312800000003</v>
      </c>
      <c r="Q260" s="3">
        <f>0+(732.8-372.2)+(0+(-1.121184--0.569466))+0-2--0.00306000000000012</f>
        <v>358.05134199999998</v>
      </c>
      <c r="R260" s="3">
        <f>0+(663.1-323.7)+(0+(-1.014543--0.495261))+0-31--0.0474300000000018</f>
        <v>307.92814800000008</v>
      </c>
      <c r="S260" s="3">
        <f>0+(578-219)+(0+(-0.29478--0.11169))+0-30--0.015299999999997</f>
        <v>328.83221000000003</v>
      </c>
      <c r="T260" s="3">
        <f>0+(632.7-289.2)+(0+(-0.322677--0.147492))+0-31--0.0158099999999969</f>
        <v>312.34062500000005</v>
      </c>
      <c r="U260" s="3">
        <f>0+(595.4-252.3)+(0+(0-0))+0-31-0</f>
        <v>312.09999999999997</v>
      </c>
      <c r="V260" s="3">
        <f>0+(511.8-149.9)+(0+(-1.30509--0.382245))+0-31--0.0790499999999955</f>
        <v>330.05620499999998</v>
      </c>
      <c r="W260" s="3">
        <f>0+(520-147.4)+(0+(0-0))+0-32-0</f>
        <v>340.6</v>
      </c>
      <c r="X260" s="3">
        <f>0+(521.7-151.2)+(0+(-1.330335--0.38556))+0-32--0.0815999999999954</f>
        <v>337.63682500000004</v>
      </c>
      <c r="Y260" s="3">
        <f>0+(539.5-197.5)+(0+(-0.55029--0.20145))+0-32--0.0326400000000051</f>
        <v>309.68380000000002</v>
      </c>
      <c r="Z260" s="3">
        <f>0+(537.5-189.5)+(0+(-1.370625--0.483225))+0-31--0.0790499999999955</f>
        <v>316.19164999999998</v>
      </c>
      <c r="AA260" s="3">
        <f>0+(502.6-178.6)+(0+(-0.512652--0.182172))+0-31--0.0316200000000049</f>
        <v>292.70114000000001</v>
      </c>
      <c r="AB260" s="3">
        <f>0+(447.9-123.4)+(0+(-1.142145--0.31467))+0-32--0.0815999999999954</f>
        <v>291.75412499999999</v>
      </c>
      <c r="AC260" s="3">
        <f>0+(464.4-157.8)+(0+(-0.473688--0.160956))+0-32--0.0326400000000051</f>
        <v>274.319908</v>
      </c>
      <c r="AD260">
        <f t="shared" si="4"/>
        <v>7193.1911430000009</v>
      </c>
      <c r="AE260" s="3">
        <f>0+(494-166.3)+(0+(0-0))+0-3-0</f>
        <v>324.7</v>
      </c>
    </row>
    <row r="261" spans="1:31" s="2" customFormat="1" x14ac:dyDescent="0.25">
      <c r="A261">
        <v>89</v>
      </c>
      <c r="B261">
        <v>9</v>
      </c>
      <c r="C261">
        <v>15</v>
      </c>
      <c r="D261">
        <v>3</v>
      </c>
      <c r="E261">
        <v>1</v>
      </c>
      <c r="F261" s="3">
        <f>0+(348.1-58.3)+(0+(-0.532593--0.089199))+0-32--0.0489600000000018</f>
        <v>257.40556600000002</v>
      </c>
      <c r="G261" s="3">
        <f>0+(332.5-43)+(0+(-0.33915--0.04386))+0-32--0.0326400000000051</f>
        <v>257.23734999999999</v>
      </c>
      <c r="H261" s="3">
        <f>0+(315.6-25.5)+(0+(-0.482868--0.039015))+0-32--0.0489600000000018</f>
        <v>257.70510700000005</v>
      </c>
      <c r="I261" s="3">
        <f>0+(300.6-17.4)+(0+(-0.459918--0.026622))+0-32--0.0489600000000018</f>
        <v>250.81566400000006</v>
      </c>
      <c r="J261" s="3">
        <f>0+(297.5-13.6)+(0+(-0.151725--0.006936))+0-32--0.0163199999999968</f>
        <v>251.77153099999998</v>
      </c>
      <c r="K261" s="3">
        <f>0+(347.1-57.2)+(0+(0-0))+0-32-0</f>
        <v>257.90000000000003</v>
      </c>
      <c r="L261" s="3">
        <f>0+(501.2-203.1)+(0+(-0.255612--0.103581))+0-32--0.0163199999999968</f>
        <v>265.96428900000001</v>
      </c>
      <c r="M261" s="3">
        <f>0+(580.9-264.3)+(0+(0-0))+0-32-0</f>
        <v>284.59999999999997</v>
      </c>
      <c r="N261" s="3">
        <f>0+(638.7-304)+(0+(0-0))+0-32-0</f>
        <v>302.70000000000005</v>
      </c>
      <c r="O261" s="3">
        <f>0+(661.1-312.8)+(0+(1.011483-0.478584))+0-32-0.0489600000000018</f>
        <v>316.78393899999998</v>
      </c>
      <c r="P261" s="3">
        <f>0+(597.2-244.9)+(0+(-0.609144--0.249798))+0-32--0.0326400000000051</f>
        <v>319.97329400000007</v>
      </c>
      <c r="Q261" s="3">
        <f>0+(637.9-283.7)+(0+(-0.975987--0.434061))+0-31--0.0474300000000018</f>
        <v>322.70550400000002</v>
      </c>
      <c r="R261" s="3">
        <f>0+(633.1-281.7)+(0+(-2.260167--1.005669))+0-31--0.11067</f>
        <v>319.25617200000005</v>
      </c>
      <c r="S261" s="3">
        <f>0+(613.3-269.5)+(0+(-0.312783--0.137445))+0-31--0.0158099999999969</f>
        <v>312.64047199999993</v>
      </c>
      <c r="T261" s="3">
        <f>0+(620.4-279.5)+(0+(-0.949212--0.427635))+0-29--0.0443700000000017</f>
        <v>311.42279300000001</v>
      </c>
      <c r="U261" s="3">
        <f>0+(645.4-309.3)+(0+(-0.987462--0.473229))+0-31--0.0474300000000018</f>
        <v>304.633197</v>
      </c>
      <c r="V261" s="3">
        <f>0+(501.8-156.6)+(0+(-0.767754--0.239598))+0-31--0.0474300000000018</f>
        <v>313.71927400000004</v>
      </c>
      <c r="W261" s="3">
        <f>0+(475.2-103.4)+(0+(0.242352-0.052734))+0-31-0.0158099999999969</f>
        <v>340.97380799999996</v>
      </c>
      <c r="X261" s="3">
        <f>0+(517.6-159.3)+(0+(-0.527952--0.162486))+0-31--0.0316200000000049</f>
        <v>326.96615400000002</v>
      </c>
      <c r="Y261" s="3">
        <f>0+(544.6-209.6)+(0+(-1.944222--0.748272))+0-31--0.11067</f>
        <v>302.91472000000005</v>
      </c>
      <c r="Z261" s="3">
        <f>0+(548.4-168.9)+(0+(-0.839052--0.258417))+0-31--0.0474300000000018</f>
        <v>347.96679500000005</v>
      </c>
      <c r="AA261" s="3">
        <f>0+(565.4-234)+(0+(-0.865062--0.35802))+0-29--0.0443700000000017</f>
        <v>301.93732799999998</v>
      </c>
      <c r="AB261" s="3">
        <f>0+(525.3-196.5)+(0+(-1.071612--0.40086))+0-29--0.0591599999999987</f>
        <v>299.18840799999998</v>
      </c>
      <c r="AC261" s="3">
        <f>0+(486.7-174.8)+(0+(-1.489302--0.534888))+0-30--0.0918000000000035</f>
        <v>281.03738599999997</v>
      </c>
      <c r="AD261">
        <f t="shared" si="4"/>
        <v>7108.2187509999994</v>
      </c>
      <c r="AE261" s="3">
        <f>0+(480.1-111)+(0+(0-0))+0-31-0</f>
        <v>338.1</v>
      </c>
    </row>
    <row r="262" spans="1:31" s="2" customFormat="1" x14ac:dyDescent="0.25">
      <c r="A262">
        <v>89</v>
      </c>
      <c r="B262">
        <v>9</v>
      </c>
      <c r="C262">
        <v>16</v>
      </c>
      <c r="D262">
        <v>4</v>
      </c>
      <c r="E262">
        <v>1</v>
      </c>
      <c r="F262" s="3">
        <f>0+(296.9-4.7)+(0+(-0.454257--0.007191))+0-30--0.0459000000000017</f>
        <v>261.798834</v>
      </c>
      <c r="G262" s="3">
        <f>0+(288.5-0)+(0+(-0.29427-0))+0-31--0.0316200000000049</f>
        <v>257.23735000000005</v>
      </c>
      <c r="H262" s="3">
        <f>0+(282.9-0)+(0+(0-0))+0-31-0</f>
        <v>251.89999999999998</v>
      </c>
      <c r="I262" s="3">
        <f>0+(305.1-16)+(0+(-0.311202--0.01632))+0-31--0.0316200000000049</f>
        <v>257.83673800000008</v>
      </c>
      <c r="J262" s="3">
        <f>0+(290.5-5.9)+(0+(-0.29631--0.006018))+0-30--0.0306000000000048</f>
        <v>254.34030799999999</v>
      </c>
      <c r="K262" s="3">
        <f>0+(424.8-133.6)+(0+(-0.216648--0.068136))+0-30--0.015299999999997</f>
        <v>261.06678800000009</v>
      </c>
      <c r="L262" s="3">
        <f>0+(422.3-121.1)+(0+(-0.646119--0.185283))+0-30--0.0459000000000017</f>
        <v>270.78506400000009</v>
      </c>
      <c r="M262" s="3">
        <f>0+(458.6-164.4)+(0+(0-0))+0-31-0</f>
        <v>263.20000000000005</v>
      </c>
      <c r="N262" s="3">
        <f>0+(515.9-180.4)+(0+(-0.789327--0.276012))+0-31--0.0474300000000018</f>
        <v>304.03411500000004</v>
      </c>
      <c r="O262" s="3">
        <f>0+(601.9-257.6)+(0+(0.920907-0.394128))+0-32-0.0489600000000018</f>
        <v>312.77781899999991</v>
      </c>
      <c r="P262" s="3">
        <f>0+(632.3-280.4)+(0+(-0.967419--0.429012))+0-31--0.0474300000000018</f>
        <v>320.40902299999999</v>
      </c>
      <c r="Q262" s="3">
        <f>0+(615.7-259.6)+(0+(-0.628014--0.264792))+0-31--0.0316200000000049</f>
        <v>324.76839800000005</v>
      </c>
      <c r="R262" s="3">
        <f>0+(595.7-245.7)+(0+(-0.607614--0.250614))+0-32--0.0326400000000051</f>
        <v>317.67564000000004</v>
      </c>
      <c r="S262" s="3">
        <f>0+(607-262.7)+(0+(-0.30957--0.133977))+0-31--0.0158099999999969</f>
        <v>313.14021700000001</v>
      </c>
      <c r="T262" s="3">
        <f>0+(639.4-289.4)+(0+(0.326094-0.147594))+0-34-0.0173399999999966</f>
        <v>316.16116</v>
      </c>
      <c r="U262" s="3">
        <f>0+(556.4-209.7)+(0+(0.283764-0.106947))+0-32-0.0163199999999968</f>
        <v>314.86049700000001</v>
      </c>
      <c r="V262" s="3">
        <f>0+(423.8-65.7)+(0+(-1.08069--0.167535))+0-31--0.0790499999999955</f>
        <v>326.265895</v>
      </c>
      <c r="W262" s="3">
        <f>0+(465.8-93.9)+(0+(0-0))+0-31-0</f>
        <v>340.9</v>
      </c>
      <c r="X262" s="3">
        <f>0+(477.9-118.7)+(0+(-1.462374--0.363222))+0-32--0.0979200000000037</f>
        <v>326.19876799999997</v>
      </c>
      <c r="Y262" s="3">
        <f>0+(543.8-195.1)+(0+(-1.109352--0.398004))+0-32--0.0652799999999986</f>
        <v>316.05393199999992</v>
      </c>
      <c r="Z262" s="3">
        <f>0+(588-245.2)+(0+(-0.89964--0.375156))+0-31--0.0474300000000018</f>
        <v>311.32294600000006</v>
      </c>
      <c r="AA262" s="3">
        <f>0+(595.7-258.8)+(0+(-0.911421--0.395964))+0-32--0.0489600000000018</f>
        <v>304.43350300000003</v>
      </c>
      <c r="AB262" s="3">
        <f>0+(457.5-131.4)+(0+(-0.9333--0.268056))+0-31--0.0632399999999986</f>
        <v>294.49799600000006</v>
      </c>
      <c r="AC262" s="3">
        <f>0+(380.2-73.6)+(0+(-0.96951--0.18768))+0-33--0.0841499999999952</f>
        <v>272.90232000000003</v>
      </c>
      <c r="AD262">
        <f t="shared" si="4"/>
        <v>7094.5673110000007</v>
      </c>
      <c r="AE262" s="3">
        <f>0+(456.4-83.6)+(0+(0-0))+0-31-0</f>
        <v>341.79999999999995</v>
      </c>
    </row>
    <row r="263" spans="1:31" s="2" customFormat="1" x14ac:dyDescent="0.25">
      <c r="A263">
        <v>89</v>
      </c>
      <c r="B263">
        <v>9</v>
      </c>
      <c r="C263">
        <v>17</v>
      </c>
      <c r="D263">
        <v>5</v>
      </c>
      <c r="E263">
        <v>1</v>
      </c>
      <c r="F263" s="3">
        <f>0+(396.7-99.2)+(0+(-1.213902--0.303552))+0-32--0.0979200000000037</f>
        <v>264.68756999999999</v>
      </c>
      <c r="G263" s="3">
        <f>0+(291.5-0)+(0+(-0.59466-0))+0-32--0.0652799999999986</f>
        <v>258.97062</v>
      </c>
      <c r="H263" s="3">
        <f>0+(286.3-0)+(0+(-0.730065-0))+0-32--0.0815999999999954</f>
        <v>253.651535</v>
      </c>
      <c r="I263" s="3">
        <f>0+(300.6-18.8)+(0+(0-0))+0-32-0</f>
        <v>249.8</v>
      </c>
      <c r="J263" s="3">
        <f>0+(279.7-0)+(0+(0.142647-0))+0-31-0.0158099999999969</f>
        <v>248.82683700000001</v>
      </c>
      <c r="K263" s="3">
        <f>0+(358-68.9)+(0+(-0.36516--0.070278))+0-32--0.0326400000000051</f>
        <v>256.83775800000006</v>
      </c>
      <c r="L263" s="3">
        <f>0+(518.4-211.9)+(0+(0-0))+0-33-0</f>
        <v>273.5</v>
      </c>
      <c r="M263" s="3">
        <f>0+(584.6-262)+(0+(-0.596292--0.26724))+0-33--0.0336600000000053</f>
        <v>289.30460800000003</v>
      </c>
      <c r="N263" s="3">
        <f>0+(650.9-303.6)+(0+(-0.995877--0.464508))+0-32--0.0489600000000018</f>
        <v>314.81759099999999</v>
      </c>
      <c r="O263" s="3">
        <f>0+(677.9-322)+(0+(-0.691458--0.32844))+0-32--0.0326400000000051</f>
        <v>323.56962199999998</v>
      </c>
      <c r="P263" s="3">
        <f>0+(747.5-392)+(0+(-1.143675--0.59976))+0-32--0.0489600000000018</f>
        <v>323.005045</v>
      </c>
      <c r="Q263" s="3">
        <f>0+(725.9-367.3)+(0+(-1.110627--0.561969))+0-32--0.0489600000000018</f>
        <v>326.100302</v>
      </c>
      <c r="R263" s="3">
        <f>0+(699.3-349.5)+(0+(-1.783215--0.891225))+0-32--0.0815999999999954</f>
        <v>316.98960999999991</v>
      </c>
      <c r="S263" s="3">
        <f>0+(727.9-384.6)+(0+(-0.742458--0.392292))+0-33--0.0336600000000053</f>
        <v>309.98349399999995</v>
      </c>
      <c r="T263" s="3">
        <f>0+(693.4-353)+(0+(-0.707268--0.36006))+0-33--0.0336600000000053</f>
        <v>307.08645199999995</v>
      </c>
      <c r="U263" s="3">
        <f>0+(629.5-292.5)+(0+(-0.64209--0.29835))+0-33--0.0336600000000053</f>
        <v>303.68991999999997</v>
      </c>
      <c r="V263" s="3">
        <f>0+(520.2-176.9)+(0+(-1.061208--0.360876))+0-33--0.0673199999999986</f>
        <v>309.66698800000006</v>
      </c>
      <c r="W263" s="3">
        <f>0+(497-131.5)+(0+(-0.25347--0.067065))+0-33--0.0168299999999967</f>
        <v>332.33042499999999</v>
      </c>
      <c r="X263" s="3">
        <f>0+(584.4-223.4)+(0+(-0.894132--0.341802))+0-32--0.0489600000000018</f>
        <v>328.49663000000004</v>
      </c>
      <c r="Y263" s="3">
        <f>0+(624.4-273.6)+(0+(-1.273776--0.558144))+0-32--0.0652799999999986</f>
        <v>318.1496479999999</v>
      </c>
      <c r="Z263" s="3">
        <f>0+(572-231.1)+(0+(0.29172-0.117861))+0-33-0.0168299999999967</f>
        <v>308.057029</v>
      </c>
      <c r="AA263" s="3">
        <f>0+(579.8-241.5)+(0+(-0.591396--0.24633))+0-33--0.0336600000000053</f>
        <v>304.98859399999998</v>
      </c>
      <c r="AB263" s="3">
        <f>0+(544.4-217.2)+(0+(-1.38822--0.55386))+0-33--0.0841499999999952</f>
        <v>293.44979000000001</v>
      </c>
      <c r="AC263" s="3">
        <f>0+(454.6-142)+(0+(-0.463692--0.14484))+0-33--0.0336600000000053</f>
        <v>279.31480800000003</v>
      </c>
      <c r="AD263">
        <f t="shared" si="4"/>
        <v>7095.2748759999986</v>
      </c>
      <c r="AE263" s="3">
        <f>0+(530.9-166.3)+(0+(0-0))+0-33-0</f>
        <v>331.59999999999997</v>
      </c>
    </row>
    <row r="264" spans="1:31" s="2" customFormat="1" x14ac:dyDescent="0.25">
      <c r="A264">
        <v>89</v>
      </c>
      <c r="B264">
        <v>9</v>
      </c>
      <c r="C264">
        <v>18</v>
      </c>
      <c r="D264">
        <v>6</v>
      </c>
      <c r="E264">
        <v>1</v>
      </c>
      <c r="F264" s="3">
        <f>0+(421-124)+(0+(0.21471-0.06324))+0-33-0.0168299999999967</f>
        <v>264.13464000000005</v>
      </c>
      <c r="G264" s="3">
        <f>0+(342.5-55.4)+(0+(-0.174675--0.028254))+0-34--0.0173399999999966</f>
        <v>252.97091900000004</v>
      </c>
      <c r="H264" s="3">
        <f>0+(285.9-12.7)+(0+(-0.145809--0.006477))+0-33--0.0168299999999967</f>
        <v>240.07749799999996</v>
      </c>
      <c r="I264" s="3">
        <f>0+(281.8-12.4)+(0+(0-0))+0-32-0</f>
        <v>237.40000000000003</v>
      </c>
      <c r="J264" s="3">
        <f>0+(298.9-25)+(0+(0.457317-0.03825))+0-33-0.0504900000000019</f>
        <v>241.26857699999996</v>
      </c>
      <c r="K264" s="3">
        <f>0+(314.2-27.1)+(0+(0.160242-0.013821))+0-33-0.0168299999999967</f>
        <v>254.22959099999994</v>
      </c>
      <c r="L264" s="3">
        <f>0+(385.9-96)+(0+(-0.787236--0.19584))+0-33--0.0673199999999986</f>
        <v>256.375924</v>
      </c>
      <c r="M264" s="3">
        <f>0+(449.8-146)+(0+(-0.458796--0.14892))+0-33--0.0336600000000053</f>
        <v>270.52378400000003</v>
      </c>
      <c r="N264" s="3">
        <f>0+(484.1-154)+(0+(0.987564-0.31416))+0-33-0.0673199999999986</f>
        <v>297.70608400000003</v>
      </c>
      <c r="O264" s="3">
        <f>0+(481.4-139.1)+(0+(-0.245514--0.070941))+0-33--0.0168299999999967</f>
        <v>309.14225699999992</v>
      </c>
      <c r="P264" s="3">
        <f>0+(453.5-113.5)+(0+(0.231285-0.057885))+0-33-0.0168299999999967</f>
        <v>307.15657000000004</v>
      </c>
      <c r="Q264" s="3">
        <f>0+(484.9-144.3)+(0+(-0.247299--0.073593))+0-33--0.0168299999999967</f>
        <v>307.44312399999995</v>
      </c>
      <c r="R264" s="3">
        <f>0+(505.2-166)+(0+(-1.28826--0.4233))+0-30--0.0764999999999956</f>
        <v>308.41154</v>
      </c>
      <c r="S264" s="3">
        <f>0+(518.9-189.8)+(0+(-0.529278--0.193596))+0-31--0.0316200000000049</f>
        <v>297.79593799999998</v>
      </c>
      <c r="T264" s="3">
        <f>0+(505.7-177.6)+(0+(-0.257907--0.090576))+0-32--0.0163199999999968</f>
        <v>295.94898900000004</v>
      </c>
      <c r="U264" s="3">
        <f>0+(402.9-89.4)+(0+(-0.410958--0.091188))+0-32--0.0326400000000051</f>
        <v>281.21287000000001</v>
      </c>
      <c r="V264" s="3">
        <f>0+(398.4-80.5)+(0+(0-0))+0-30-0</f>
        <v>287.89999999999998</v>
      </c>
      <c r="W264" s="3">
        <f>0+(407.2-70.4)+(0+(0.207672-0.035904))+0-25-0.0127499999999975</f>
        <v>311.95901799999996</v>
      </c>
      <c r="X264" s="3">
        <f>0+(419.7-77.4)+(0+(0-0))+0-33-0</f>
        <v>309.29999999999995</v>
      </c>
      <c r="Y264" s="3">
        <f>0+(421.1-91.5)+(0+(-0.644283--0.139995))+0-33--0.0504900000000019</f>
        <v>296.14620200000007</v>
      </c>
      <c r="Z264" s="3">
        <f>0+(485.1-160.7)+(0+(-0.494802--0.163914))+0-33--0.0336600000000053</f>
        <v>291.10277200000002</v>
      </c>
      <c r="AA264" s="3">
        <f>0+(485.7-166.1)+(0+(0.247707-0.084711))+0-33-0.0168299999999967</f>
        <v>286.74616600000007</v>
      </c>
      <c r="AB264" s="3">
        <f>0+(487.6-176.7)+(0+(-1.24338--0.450585))+0-33--0.0841499999999952</f>
        <v>277.19135500000004</v>
      </c>
      <c r="AC264" s="3">
        <f>0+(464.7-167.7)+(0+(-1.895976--0.684216))+0-32--0.130559999999997</f>
        <v>263.91879999999998</v>
      </c>
      <c r="AD264">
        <f t="shared" si="4"/>
        <v>6746.0626180000008</v>
      </c>
      <c r="AE264" s="3">
        <f>0+(423.4-74.8)+(0+(0-0))+0-26-0</f>
        <v>322.59999999999997</v>
      </c>
    </row>
    <row r="265" spans="1:31" s="2" customFormat="1" x14ac:dyDescent="0.25">
      <c r="A265">
        <v>89</v>
      </c>
      <c r="B265">
        <v>9</v>
      </c>
      <c r="C265">
        <v>19</v>
      </c>
      <c r="D265">
        <v>7</v>
      </c>
      <c r="E265">
        <v>1</v>
      </c>
      <c r="F265" s="3">
        <f>0+(430.3-143.3)+(0+(0-0))+0-33-0</f>
        <v>254</v>
      </c>
      <c r="G265" s="3">
        <f>0+(312-29.4)+(0+(-0.47736--0.044982))+0-33--0.0504900000000019</f>
        <v>249.21811199999999</v>
      </c>
      <c r="H265" s="3">
        <f>0+(264.3-0)+(0+(-0.269586-0))+0-33--0.0336600000000053</f>
        <v>231.06407400000001</v>
      </c>
      <c r="I265" s="3">
        <f>0+(267.7-0)+(0+(0.136527-0))+0-33-0.0168299999999967</f>
        <v>234.81969699999999</v>
      </c>
      <c r="J265" s="3">
        <f>0+(270.3-2.5)+(0+(-0.689265--0.006375))+0-33--0.0841499999999952</f>
        <v>234.20126000000002</v>
      </c>
      <c r="K265" s="3">
        <f>0+(262-0)+(0+(0.13362-0))+0-33-0.0168299999999967</f>
        <v>229.11679000000001</v>
      </c>
      <c r="L265" s="3">
        <f>0+(304.4-28.9)+(0+(-0.310488--0.029478))+0-32--0.0326400000000051</f>
        <v>243.25163000000003</v>
      </c>
      <c r="M265" s="3">
        <f>0+(315.6-50.2)+(0+(-0.482868--0.076806))+0-33--0.0504900000000019</f>
        <v>232.04442800000001</v>
      </c>
      <c r="N265" s="3">
        <f>0+(359.4-78.7)+(0+(-0.366588--0.080274))+0-33--0.0336600000000053</f>
        <v>247.44734599999998</v>
      </c>
      <c r="O265" s="3">
        <f>0+(410.3-116.4)+(0+(-0.627759--0.178092))+0-33--0.0504900000000019</f>
        <v>260.50082300000003</v>
      </c>
      <c r="P265" s="3">
        <f>0+(437.5-135.3)+(0+(-0.8925--0.276012))+0-33--0.0673199999999986</f>
        <v>268.65083199999998</v>
      </c>
      <c r="Q265" s="3">
        <f>0+(437.9-138.7)+(0+(-0.446658--0.141474))+0-33--0.0336600000000053</f>
        <v>265.92847599999999</v>
      </c>
      <c r="R265" s="3">
        <f>0+(451.4-155)+(0+(-0.690642--0.23715))+0-32--0.0489600000000018</f>
        <v>263.99546800000002</v>
      </c>
      <c r="S265" s="3">
        <f>0+(436.9-144.7)+(0+(-0.891276--0.295188))+0-32--0.0652799999999986</f>
        <v>259.66919199999995</v>
      </c>
      <c r="T265" s="3">
        <f>0+(417.4-130.5)+(0+(-0.425748--0.13311))+0-32--0.0326400000000051</f>
        <v>254.64000199999998</v>
      </c>
      <c r="U265" s="3">
        <f>0+(361.4-85.2)+(0+(0-0))+0-32-0</f>
        <v>244.2</v>
      </c>
      <c r="V265" s="3">
        <f>0+(418.4-123.6)+(0+(-1.06692--0.31518))+0-33--0.0841499999999952</f>
        <v>261.13240999999999</v>
      </c>
      <c r="W265" s="3">
        <f>0+(431-101.1)+(0+(0.21981-0.051561))+0-32-0.0163199999999968</f>
        <v>298.05192899999997</v>
      </c>
      <c r="X265" s="3">
        <f>0+(438.4-109.7)+(0+(-0.223584--0.055947))+0-33--0.0168299999999967</f>
        <v>295.54919299999995</v>
      </c>
      <c r="Y265" s="3">
        <f>0+(491-166.6)+(0+(-0.75123--0.254898))+0-32--0.0489600000000018</f>
        <v>291.952628</v>
      </c>
      <c r="Z265" s="3">
        <f>0+(518.4-199.5)+(0+(-0.264384--0.101745))+0-32--0.0163199999999968</f>
        <v>286.75368099999997</v>
      </c>
      <c r="AA265" s="3">
        <f>0+(504.9-193.1)+(0+(0-0))+0-32-0</f>
        <v>279.79999999999995</v>
      </c>
      <c r="AB265" s="3">
        <f>0+(492.5-186.2)+(0+(-0.50235--0.189924))+0-33--0.0336600000000053</f>
        <v>273.02123399999999</v>
      </c>
      <c r="AC265" s="3">
        <f>0+(483.6-189.8)+(0+(-1.479816--0.580788))+0-33--0.100980000000004</f>
        <v>260.00195200000002</v>
      </c>
      <c r="AD265">
        <f t="shared" si="4"/>
        <v>6219.011156999999</v>
      </c>
      <c r="AE265" s="3">
        <f>0+(418.5-92.2)+(0+(0-0))+0-32-0</f>
        <v>294.3</v>
      </c>
    </row>
    <row r="266" spans="1:31" s="2" customFormat="1" x14ac:dyDescent="0.25">
      <c r="A266">
        <v>89</v>
      </c>
      <c r="B266">
        <v>9</v>
      </c>
      <c r="C266">
        <v>20</v>
      </c>
      <c r="D266">
        <v>1</v>
      </c>
      <c r="E266">
        <v>1</v>
      </c>
      <c r="F266" s="3">
        <f>0+(366.8-94.4)+(0+(-0.561204--0.144432))+0-33--0.0504900000000019</f>
        <v>239.03371799999999</v>
      </c>
      <c r="G266" s="3">
        <f>0+(290.3-20.3)+(0+(0.444159-0.031059))+0-33-0.0504900000000019</f>
        <v>237.36260999999999</v>
      </c>
      <c r="H266" s="3">
        <f>0+(290.2-20.3)+(0+(-0.296004--0.020706))+0-33--0.0336600000000053</f>
        <v>236.65836199999995</v>
      </c>
      <c r="I266" s="3">
        <f>0+(295.7-31.7)+(0+(0-0))+0-31-0</f>
        <v>233</v>
      </c>
      <c r="J266" s="3">
        <f>0+(307.3-46.6)+(0+(-0.156723--0.023766))+0-33--0.0168299999999967</f>
        <v>227.58387300000001</v>
      </c>
      <c r="K266" s="3">
        <f>0+(335-69.4)+(0+(0.85425-0.17697))+0-33-0.0841499999999952</f>
        <v>233.19313000000002</v>
      </c>
      <c r="L266" s="3">
        <f>0+(377.6-97.7)+(0+(-0.192576--0.049827))+0-33--0.0168299999999967</f>
        <v>246.77408100000005</v>
      </c>
      <c r="M266" s="3">
        <f>0+(424.8-122.9)+(0+(-0.216648--0.062679))+0-33--0.0168299999999967</f>
        <v>268.76286099999993</v>
      </c>
      <c r="N266" s="3">
        <f>0+(441-108.5)+(0+(0-0))+0-33-0</f>
        <v>299.5</v>
      </c>
      <c r="O266" s="3">
        <f>0+(409.3-64.4)+(0+(-0.417486--0.065688))+0-33--0.0336600000000053</f>
        <v>311.581862</v>
      </c>
      <c r="P266" s="3">
        <f>0+(377.6-28.1)+(0+(0.192576-0.014331))+0-33-0.0168299999999967</f>
        <v>316.66141500000003</v>
      </c>
      <c r="Q266" s="3">
        <f>0+(417.9-70.7)+(0+(-1.065645--0.180285))+0-34--0.0866999999999951</f>
        <v>312.40134</v>
      </c>
      <c r="R266" s="3">
        <f>0+(429.2-88.6)+(0+(-0.875568--0.180744))+0-18--0.0367199999999992</f>
        <v>321.94189600000004</v>
      </c>
      <c r="S266" s="3">
        <f>0+(452.3-116)+(0+(-0.922692--0.23664))+0-33--0.0673199999999986</f>
        <v>302.68126799999999</v>
      </c>
      <c r="T266" s="3">
        <f>0+(423.4-85.8)+(0+(0.863736-0.175032))+0-32-0.0652799999999986</f>
        <v>306.22342399999997</v>
      </c>
      <c r="U266" s="3">
        <f>0+(482.7-152.8)+(0+(-1.230885--0.38964))+0-33--0.0841499999999952</f>
        <v>296.14290499999998</v>
      </c>
      <c r="V266" s="3">
        <f>0+(498.2-156.1)+(0+(-0.762246--0.238833))+0-33--0.0504900000000019</f>
        <v>308.62707700000004</v>
      </c>
      <c r="W266" s="3">
        <f>0+(589.8-229.4)+(0+(-0.902394--0.350982))+0-33--0.0504900000000019</f>
        <v>326.89907799999997</v>
      </c>
      <c r="X266" s="3">
        <f>0+(580.3-231)+(0+(-1.183812--0.47124))+0-32--0.0652799999999986</f>
        <v>316.6527079999999</v>
      </c>
      <c r="Y266" s="3">
        <f>0+(610.7-267)+(0+(-0.934371--0.40851))+0-33--0.0504900000000019</f>
        <v>310.22462900000005</v>
      </c>
      <c r="Z266" s="3">
        <f>0+(574.2-240.9)+(0+(-1.171368--0.491436))+0-33--0.0673199999999986</f>
        <v>299.68738800000006</v>
      </c>
      <c r="AA266" s="3">
        <f>0+(591.8-262.4)+(0+(-0.905454--0.401472))+0-31--0.0474300000000018</f>
        <v>297.94344799999999</v>
      </c>
      <c r="AB266" s="3">
        <f>0+(457.4-141.6)+(0+(-0.933096--0.288864))+0-22--0.044879999999999</f>
        <v>293.20064799999994</v>
      </c>
      <c r="AC266" s="3">
        <f>0+(463.9-170)+(0+(-0.709767--0.2601))+0-32--0.0489600000000018</f>
        <v>261.49929300000002</v>
      </c>
      <c r="AD266">
        <f t="shared" si="4"/>
        <v>6804.2370140000003</v>
      </c>
      <c r="AE266" s="3">
        <f>0+(573.6-221.1)+(0+(0-0))+0-33-0</f>
        <v>319.5</v>
      </c>
    </row>
    <row r="267" spans="1:31" s="2" customFormat="1" x14ac:dyDescent="0.25">
      <c r="A267">
        <v>89</v>
      </c>
      <c r="B267">
        <v>9</v>
      </c>
      <c r="C267">
        <v>21</v>
      </c>
      <c r="D267">
        <v>2</v>
      </c>
      <c r="E267">
        <v>1</v>
      </c>
      <c r="F267" s="3">
        <f>0+(425.7-133.1)+(0+(-1.085535--0.339405))+0-32--0.0815999999999954</f>
        <v>259.93547000000001</v>
      </c>
      <c r="G267" s="3">
        <f>0+(330.6-43.9)+(0+(-0.168606--0.022389))+0-32--0.0163199999999968</f>
        <v>254.57010300000007</v>
      </c>
      <c r="H267" s="3">
        <f>0+(304.2-19.6)+(0+(-0.620568--0.039984))+0-32--0.0652799999999986</f>
        <v>252.08469599999998</v>
      </c>
      <c r="I267" s="3">
        <f>0+(313.5-28.4)+(0+(0.479655-0.043452))+0-32-0.0489600000000018</f>
        <v>253.48724300000001</v>
      </c>
      <c r="J267" s="3">
        <f>0+(299.2-12.1)+(0+(0.76296-0.030855))+0-32-0.0815999999999954</f>
        <v>255.75050499999995</v>
      </c>
      <c r="K267" s="3">
        <f>0+(370.3-82)+(0+(0.566559-0.12546))+0-33-0.0504900000000019</f>
        <v>255.69060900000002</v>
      </c>
      <c r="L267" s="3">
        <f>0+(509.3-206.2)+(0+(-0.259743--0.105162))+0-33--0.0168299999999967</f>
        <v>269.96224899999999</v>
      </c>
      <c r="M267" s="3">
        <f>0+(579.2-260.3)+(0+(-0.295392--0.132753))+0-33--0.0168299999999967</f>
        <v>285.75419099999999</v>
      </c>
      <c r="N267" s="3">
        <f>0+(675.7-326.5)+(0+(0-0))+0-33-0</f>
        <v>316.20000000000005</v>
      </c>
      <c r="O267" s="3">
        <f>0+(668-304.3)+(0+(-1.02204--0.465579))+0-33--0.0504900000000019</f>
        <v>330.194029</v>
      </c>
      <c r="P267" s="3">
        <f>0+(614.6-251.7)+(0+(-0.313446--0.128367))+0-33--0.0168299999999967</f>
        <v>329.73175100000003</v>
      </c>
      <c r="Q267" s="3">
        <f>0+(614.4-250.5)+(0+(-0.940032--0.383265))+0-35.7--0.0546210000000021</f>
        <v>327.69785400000001</v>
      </c>
      <c r="R267" s="3">
        <f>0+(600.3-247.5)+(0+(-2.449224--1.0098))+0-32.6--0.133007999999997</f>
        <v>318.89358399999998</v>
      </c>
      <c r="S267" s="3">
        <f>0+(625.1-282.7)+(0+(-0.318801--0.144177))+0-32.4--0.0165239999999967</f>
        <v>309.84190000000007</v>
      </c>
      <c r="T267" s="3">
        <f>0+(717.4-368.2)+(0+(-1.097622--0.563346))+0-32.5--0.0497250000000019</f>
        <v>316.21544900000004</v>
      </c>
      <c r="U267" s="3">
        <f>0+(668.5-325.5)+(0+(1.022805-0.498015))+0-32.6-0.0498780000000019</f>
        <v>310.87491199999999</v>
      </c>
      <c r="V267" s="3">
        <f>0+(580-235)+(0+(-1.479--0.59925))+0-32.6--0.0831299999999953</f>
        <v>311.60337999999996</v>
      </c>
      <c r="W267" s="3">
        <f>0+(580.5-208.1)+(0+(0.296055-0.106131))+0-32.7-0.0166769999999967</f>
        <v>339.87324699999999</v>
      </c>
      <c r="X267" s="3">
        <f>0+(639.7-278.7)+(0+(-0.978741--0.426411))+0-29.2--0.0446760000000017</f>
        <v>331.29234600000007</v>
      </c>
      <c r="Y267" s="3">
        <f>0+(607.3-273.8)+(0+(-0.929169--0.418914))+0-32--0.0489600000000018</f>
        <v>301.03870499999999</v>
      </c>
      <c r="Z267" s="3">
        <f>0+(652.5-311.9)+(0+(-0.66555--0.318138))+0-32.9--0.0335580000000052</f>
        <v>307.38614600000005</v>
      </c>
      <c r="AA267" s="3">
        <f>0+(678.1-338.6)+(0+(0-0))+0-30.9-0</f>
        <v>308.60000000000002</v>
      </c>
      <c r="AB267" s="3">
        <f>0+(592.2-257.5)+(0+(-0.906066--0.393975))+0-31.2--0.0477360000000018</f>
        <v>303.03564500000005</v>
      </c>
      <c r="AC267" s="3">
        <f>0+(482.6-165)+(0+(-0.492252--0.1683))+0-31.8--0.0324360000000051</f>
        <v>285.50848400000001</v>
      </c>
      <c r="AD267">
        <f t="shared" si="4"/>
        <v>7135.222498000001</v>
      </c>
      <c r="AE267" s="3">
        <f>0+(575.5-194.8)+(0+(0-0))+0-33.3-0</f>
        <v>347.4</v>
      </c>
    </row>
    <row r="268" spans="1:31" s="2" customFormat="1" x14ac:dyDescent="0.25">
      <c r="A268">
        <v>89</v>
      </c>
      <c r="B268">
        <v>9</v>
      </c>
      <c r="C268">
        <v>22</v>
      </c>
      <c r="D268">
        <v>3</v>
      </c>
      <c r="E268">
        <v>1</v>
      </c>
      <c r="F268" s="3">
        <f>0+(383.6-82.7)+(0+(-1.173816--0.253062))+0-32.6--0.0997560000000038</f>
        <v>267.47900200000004</v>
      </c>
      <c r="G268" s="3">
        <f>0+(302.6-7.9)+(0+(-1.080282--0.028203))+0-32.4--0.115668</f>
        <v>261.3635890000001</v>
      </c>
      <c r="H268" s="3">
        <f>0+(299.7-6.1)+(0+(-0.458541--0.009333))+0-32.7--0.0500310000000019</f>
        <v>260.50082299999997</v>
      </c>
      <c r="I268" s="3">
        <f>0+(315.2-20.4)+(0+(0-0))+0-32.6-0</f>
        <v>262.2</v>
      </c>
      <c r="J268" s="3">
        <f>0+(328.6-40.3)+(0+(-0.167586--0.020553))+0-32.7--0.0166769999999967</f>
        <v>255.46964399999999</v>
      </c>
      <c r="K268" s="3">
        <f>0+(349.7-59.5)+(0+(0.356694-0.06069))+0-32.3-0.0329460000000051</f>
        <v>258.16305799999998</v>
      </c>
      <c r="L268" s="3">
        <f>0+(409.7-106.9)+(0+(-0.417894--0.109038))+0-32.4--0.0330480000000052</f>
        <v>270.12419199999999</v>
      </c>
      <c r="M268" s="3">
        <f>0+(492.1-174.4)+(0+(0.250971-0.088944))+0-32.8-0.0167279999999967</f>
        <v>285.04529900000006</v>
      </c>
      <c r="N268" s="3">
        <f>0+(521.8-179)+(0+(-0.532236--0.18258))+0-34.1--0.0347820000000054</f>
        <v>308.38512599999996</v>
      </c>
      <c r="O268" s="3">
        <f>0+(584.5-230.5)+(0+(0-0))+0-35.7-0</f>
        <v>318.3</v>
      </c>
      <c r="P268" s="3">
        <f>0+(522.5-172.5)+(0+(0-0))+0-33.9-0</f>
        <v>316.10000000000002</v>
      </c>
      <c r="Q268" s="3">
        <f>0+(575.1-224.5)+(0+(0-0))+0-35.9-0</f>
        <v>314.70000000000005</v>
      </c>
      <c r="R268" s="3">
        <f>0+(545.6-206.4)+(0+(0-0))+0-32.6-0</f>
        <v>306.60000000000002</v>
      </c>
      <c r="S268" s="3">
        <f>0+(567.5-236.7)+(0+(0-0))+0-32.7-0</f>
        <v>298.10000000000002</v>
      </c>
      <c r="T268" s="3">
        <f>0+(578.9-242)+(0+(0-0))+0-32.8-0</f>
        <v>304.09999999999997</v>
      </c>
      <c r="U268" s="3">
        <f>0+(564.6-229)+(0+(0-0))+0-32.7-0</f>
        <v>302.90000000000003</v>
      </c>
      <c r="V268" s="3">
        <f>0+(481.4-128.1)+(0+(0-0))+0-32.2-0</f>
        <v>321.09999999999997</v>
      </c>
      <c r="W268" s="3">
        <f>0+(412-43.6)+(0+(0-0))+0-32.4-0</f>
        <v>336</v>
      </c>
      <c r="X268" s="3">
        <f>0+(483.2-129.2)+(0+(0-0))+0-31.7-0</f>
        <v>322.3</v>
      </c>
      <c r="Y268" s="3">
        <f>0+(532.3-186.6)+(0+(0-0))+0-32.9-0</f>
        <v>312.79999999999995</v>
      </c>
      <c r="Z268" s="3">
        <f>0+(566.7-233.9)+(0+(0-0))+0-32.3-0</f>
        <v>300.50000000000006</v>
      </c>
      <c r="AA268" s="3">
        <f>0+(590.9-255.9)+(0+(0-0))+0-33.5-0</f>
        <v>301.5</v>
      </c>
      <c r="AB268" s="3">
        <f>0+(487.1-154.2)+(0+(0-0))+0-33.3-0</f>
        <v>299.60000000000002</v>
      </c>
      <c r="AC268" s="3">
        <f>0+(372.7-57.9)+(0+(0-0))+0-32.8-0</f>
        <v>282</v>
      </c>
      <c r="AD268">
        <f t="shared" si="4"/>
        <v>7065.3307330000016</v>
      </c>
      <c r="AE268" s="3">
        <f>0+(491-123.5)+(0+(0-0))+0-32.1-0</f>
        <v>335.4</v>
      </c>
    </row>
    <row r="269" spans="1:31" s="2" customFormat="1" x14ac:dyDescent="0.25">
      <c r="A269">
        <v>89</v>
      </c>
      <c r="B269">
        <v>9</v>
      </c>
      <c r="C269">
        <v>23</v>
      </c>
      <c r="D269">
        <v>4</v>
      </c>
      <c r="E269">
        <v>1</v>
      </c>
      <c r="F269" s="3">
        <f>0+(300.3-6.3)+(0+(0-0))+0-32.3-0</f>
        <v>261.7</v>
      </c>
      <c r="G269" s="3">
        <f>0+(285-0)+(0+(0-0))+0-31.7-0</f>
        <v>253.3</v>
      </c>
      <c r="H269" s="3">
        <f>0+(281.7-0)+(0+(0-0))+0-31.4-0</f>
        <v>250.29999999999998</v>
      </c>
      <c r="I269" s="3">
        <f>0+(359.1-76.1)+(0+(0-0))+0-31.7-0</f>
        <v>251.3</v>
      </c>
      <c r="J269" s="3">
        <f>0+(354.7-70.6)+(0+(0-0))+0-32.1-0</f>
        <v>252.00000000000003</v>
      </c>
      <c r="K269" s="3">
        <f>0+(360.4-73.4)+(0+(0-0))+0-32.5-0</f>
        <v>254.5</v>
      </c>
      <c r="L269" s="3">
        <f>0+(397.4-99.1)+(0+(0-0))+0-31.9-0</f>
        <v>266.39999999999998</v>
      </c>
      <c r="M269" s="3">
        <f>0+(437.6-131.2)+(0+(0-0))+0-29.7-0</f>
        <v>276.70000000000005</v>
      </c>
      <c r="N269" s="3">
        <f>0+(411.6-78.3)+(0+(0-0))+0-34.4-0</f>
        <v>298.90000000000003</v>
      </c>
      <c r="O269" s="3">
        <f>0+(484.2-139.7)+(0+(0-0))+0-34.9-0</f>
        <v>309.60000000000002</v>
      </c>
      <c r="P269" s="3">
        <f>0+(545.8-176.3)+(0+(0-0))+0-34.5-0</f>
        <v>334.99999999999994</v>
      </c>
      <c r="Q269" s="3">
        <f>0+(567.6-177.9)+(0+(0-0))+0-35.2-0</f>
        <v>354.50000000000006</v>
      </c>
      <c r="R269" s="3">
        <f>0+(562.5-231.2)+(0+(-1.434375--0.58956))+0-33.2--0.0846599999999952</f>
        <v>297.33984500000003</v>
      </c>
      <c r="S269" s="3">
        <f>0+(505.6-184)+(0+(-0.257856--0.09384))+0-33.2--0.0169319999999966</f>
        <v>288.25291600000003</v>
      </c>
      <c r="T269" s="3">
        <f>0+(506.7-196.5)+(0+(-0.775251--0.300645))+0-30.6--0.0468180000000018</f>
        <v>279.17221199999994</v>
      </c>
      <c r="U269" s="3">
        <f>0+(440.6-142.4)+(0+(-1.12353--0.36312))+0-30.7--0.0782849999999955</f>
        <v>266.81787500000007</v>
      </c>
      <c r="V269" s="3">
        <f>0+(406.1-98)+(0+(-1.035555--0.2499))+0-33--0.0841499999999952</f>
        <v>274.39849500000003</v>
      </c>
      <c r="W269" s="3">
        <f>0+(436.7-104.3)+(0+(-0.445434--0.106386))+0-33.3--0.0339660000000053</f>
        <v>298.794918</v>
      </c>
      <c r="X269" s="3">
        <f>0+(508.1-187.7)+(0+(-1.295655--0.478635))+0-33.3--0.0849149999999952</f>
        <v>286.36789499999998</v>
      </c>
      <c r="Y269" s="3">
        <f>0+(374.7-72.4)+(0+(-0.191097--0.036924))+0-32.9--0.0167789999999967</f>
        <v>269.26260599999995</v>
      </c>
      <c r="Z269" s="3">
        <f>0+(349.8-53.4)+(0+(-0.713592--0.108936))+0-33.2--0.0677279999999986</f>
        <v>262.66307200000006</v>
      </c>
      <c r="AA269" s="3">
        <f>0+(274.4-0)+(0+(0-0))+0-24.5-0</f>
        <v>249.89999999999998</v>
      </c>
      <c r="AB269" s="3">
        <f>0+(280.3-0)+(0+(-0.571812-0))+0-28.4--0.0579359999999988</f>
        <v>251.386124</v>
      </c>
      <c r="AC269" s="3">
        <f>0+(275.4-0)+(0+(-0.140454-0))+0-33--0.0168299999999967</f>
        <v>242.276376</v>
      </c>
      <c r="AD269">
        <f t="shared" si="4"/>
        <v>6630.8323339999997</v>
      </c>
      <c r="AE269" s="3">
        <f>0+(478.9-148.7)+(0+(0-0))+0-33.5-0</f>
        <v>296.7</v>
      </c>
    </row>
    <row r="270" spans="1:31" s="2" customFormat="1" x14ac:dyDescent="0.25">
      <c r="A270">
        <v>89</v>
      </c>
      <c r="B270">
        <v>9</v>
      </c>
      <c r="C270">
        <v>24</v>
      </c>
      <c r="D270">
        <v>5</v>
      </c>
      <c r="E270">
        <v>5</v>
      </c>
      <c r="F270" s="3">
        <f>0+(260.9-0)+(0+(-0.266118-0))+0-33.1--0.0337620000000053</f>
        <v>227.56764399999997</v>
      </c>
      <c r="G270" s="3">
        <f>0+(275-15.3)+(0+(0.2805-0.015606))+0-32.9-0.0335580000000052</f>
        <v>227.03133600000001</v>
      </c>
      <c r="H270" s="3">
        <f>0+(272.6-16.5)+(0+(0-0))+0-32.2-0</f>
        <v>223.90000000000003</v>
      </c>
      <c r="I270" s="3">
        <f>0+(279.2-24.1)+(0+(0.142392-0.012291))+0-32.1-0.0163709999999967</f>
        <v>223.11373</v>
      </c>
      <c r="J270" s="3">
        <f>0+(255.3-3.3)+(0+(0.130203-0.001683))+0-32.2-0.0164219999999967</f>
        <v>219.91209799999999</v>
      </c>
      <c r="K270" s="3">
        <f>0+(299.2-46.8)+(0+(-0.152592--0.023868))+0-33.2--0.0169319999999966</f>
        <v>219.08820799999995</v>
      </c>
      <c r="L270" s="3">
        <f>0+(410.2-160.9)+(0+(-0.209202--0.082059))+0-33.1--0.0168809999999966</f>
        <v>216.08973799999998</v>
      </c>
      <c r="M270" s="3">
        <f>0+(441.6-207)+(0+(-0.450432--0.21114))+0-32.8--0.0334560000000052</f>
        <v>201.59416400000003</v>
      </c>
      <c r="N270" s="3">
        <f>0+(426.6-194.5)+(0+(0.435132-0.19839))+0-32.6-0.0332520000000052</f>
        <v>199.70349000000002</v>
      </c>
      <c r="O270" s="3">
        <f>0+(435-206.9)+(0+(0.22185-0.105519))+0-32.7-0.0166769999999967</f>
        <v>195.49965399999999</v>
      </c>
      <c r="P270" s="3">
        <f>0+(457.7-228.7)+(0+(-0.933708--0.466548))+0-32.5--0.0662999999999986</f>
        <v>196.09914000000001</v>
      </c>
      <c r="Q270" s="3">
        <f>0+(434.9-210.8)+(0+(-1.108995--0.53754))+0-32.7--0.0833849999999953</f>
        <v>190.91192999999996</v>
      </c>
      <c r="R270" s="3">
        <f>0+(401.4-184.3)+(0+(-0.409428--0.187986))+0-32.6--0.0332520000000052</f>
        <v>184.31180999999998</v>
      </c>
      <c r="S270" s="3">
        <f>0+(421.8-207.1)+(0+(-0.645354--0.316863))+0-32.5--0.0497250000000019</f>
        <v>181.921234</v>
      </c>
      <c r="T270" s="3">
        <f>0+(444.9-228.7)+(0+(-0.907596--0.466548))+0-32.4--0.0660959999999986</f>
        <v>183.42504799999998</v>
      </c>
      <c r="U270" s="3">
        <f>0+(464.7-250.2)+(0+(-0.710991--0.382806))+0-32.5--0.0497250000000019</f>
        <v>181.72154</v>
      </c>
      <c r="V270" s="3">
        <f>0+(392.8-170.4)+(0+(0.400656-0.173808))+0-32.5-0.0331500000000052</f>
        <v>190.09369799999999</v>
      </c>
      <c r="W270" s="3">
        <f>0+(481.9-224.1)+(0+(-0.245769--0.114291))+0-32.7--0.0166769999999967</f>
        <v>224.98519899999994</v>
      </c>
      <c r="X270" s="3">
        <f>0+(513.1-265.6)+(0+(-1.570086--0.812736))+0-32.7--0.100062000000004</f>
        <v>214.14271199999999</v>
      </c>
      <c r="Y270" s="3">
        <f>0+(411.4-171.5)+(0+(-0.839256--0.34986))+0-32.7--0.0667079999999986</f>
        <v>206.77731199999999</v>
      </c>
      <c r="Z270" s="3">
        <f>0+(390.2-157.5)+(0+(0.199002-0.080325))+0-32.6-0.0166259999999967</f>
        <v>200.20205099999998</v>
      </c>
      <c r="AA270" s="3">
        <f>0+(381.9-149.4)+(0+(-0.194769--0.076194))+0-32.7--0.0166769999999967</f>
        <v>199.69810199999998</v>
      </c>
      <c r="AB270" s="3">
        <f>0+(286.8-53.2)+(0+(-0.292536--0.054264))+0-32.6--0.0332520000000052</f>
        <v>200.79498000000004</v>
      </c>
      <c r="AC270" s="3">
        <f>0+(332-100.7)+(0+(-0.50796--0.154071))+0-32.7--0.0500310000000019</f>
        <v>198.29614199999997</v>
      </c>
      <c r="AD270">
        <f t="shared" si="4"/>
        <v>4906.8809599999995</v>
      </c>
      <c r="AE270" s="3">
        <f>0+(504.2-245.7)+(0+(0-0))+0-32.8-0</f>
        <v>225.7</v>
      </c>
    </row>
    <row r="271" spans="1:31" s="2" customFormat="1" x14ac:dyDescent="0.25">
      <c r="A271">
        <v>89</v>
      </c>
      <c r="B271">
        <v>9</v>
      </c>
      <c r="C271">
        <v>25</v>
      </c>
      <c r="D271">
        <v>6</v>
      </c>
      <c r="E271">
        <v>5</v>
      </c>
      <c r="F271" s="3">
        <f>0+(359.7-137.2)+(0+(-0.733788--0.279888))+0-32.7--0.0667079999999986</f>
        <v>189.41280799999998</v>
      </c>
      <c r="G271" s="3">
        <f>0+(340.8-128.6)+(0+(-0.521424--0.196758))+0-32.6--0.0498780000000019</f>
        <v>179.32521200000002</v>
      </c>
      <c r="H271" s="3">
        <f>0+(348.1-141)+(0+(-0.355062--0.14382))+0-32.7--0.0333540000000052</f>
        <v>174.22211200000001</v>
      </c>
      <c r="I271" s="3">
        <f>0+(289.2-86.5)+(0+(-0.73746--0.220575))+0-32.8--0.0836399999999952</f>
        <v>169.46675499999998</v>
      </c>
      <c r="J271" s="3">
        <f>0+(261.9-60.6)+(0+(-0.267138--0.061812))+0-32.7--0.0333540000000052</f>
        <v>168.42802799999996</v>
      </c>
      <c r="K271" s="3">
        <f>0+(281.8-79.1)+(0+(0-0))+0-32-0</f>
        <v>170.70000000000002</v>
      </c>
      <c r="L271" s="3">
        <f>0+(412.7-209.4)+(0+(-0.841908--0.427176))+0-32--0.0652799999999986</f>
        <v>170.950548</v>
      </c>
      <c r="M271" s="3">
        <f>0+(398.9-209.6)+(0+(-0.406878--0.213792))+0-32.4--0.0330480000000052</f>
        <v>156.73996199999999</v>
      </c>
      <c r="N271" s="3">
        <f>0+(414.8-225.2)+(0+(-0.211548--0.114852))+0-32.2--0.0164219999999967</f>
        <v>157.31972600000003</v>
      </c>
      <c r="O271" s="3">
        <f>0+(454.7-264.3)+(0+(0.463794-0.269586))+0-32.5-0.0331500000000052</f>
        <v>158.06105799999997</v>
      </c>
      <c r="P271" s="3">
        <f>0+(457.4-267.6)+(0+(-1.632918--0.955332))+0-32.6--0.116382</f>
        <v>156.63879599999996</v>
      </c>
      <c r="Q271" s="3">
        <f>0+(386.1-201.4)+(0+(-0.393822--0.205428))+0-32.3--0.0329460000000051</f>
        <v>152.24455200000003</v>
      </c>
      <c r="R271" s="3">
        <f>0+(385.7-205.9)+(0+(0.196707-0.105009))+0-28.3-0.0144329999999971</f>
        <v>151.57726499999998</v>
      </c>
      <c r="S271" s="3">
        <f>0+(429.5-243.7)+(0+(-0.43809--0.248574))+0-31.5--0.032130000000005</f>
        <v>154.14261400000001</v>
      </c>
      <c r="T271" s="3">
        <f>0+(459.8-266.1)+(0+(-1.17249--0.678555))+0-32.2--0.0821099999999953</f>
        <v>161.08817499999998</v>
      </c>
      <c r="U271" s="3">
        <f>0+(425.2-229.6)+(0+(0-0))+0-31.9-0</f>
        <v>163.69999999999999</v>
      </c>
      <c r="V271" s="3">
        <f>0+(315.3-108.7)+(0+(-0.482409--0.166311))+0-32.8--0.0501840000000019</f>
        <v>173.534086</v>
      </c>
      <c r="W271" s="3">
        <f>0+(359.3-113.2)+(0+(-0.916215--0.28866))+0-33.2--0.0846599999999952</f>
        <v>212.35710499999999</v>
      </c>
      <c r="X271" s="3">
        <f>0+(456.2-212.1)+(0+(-0.465324--0.216342))+0-33.2--0.0338640000000053</f>
        <v>210.68488199999996</v>
      </c>
      <c r="Y271" s="3">
        <f>0+(434.7-197)+(0+(0-0))+0-27.7-0</f>
        <v>210</v>
      </c>
      <c r="Z271" s="3">
        <f>0+(433-191.3)+(0+(-0.66249--0.292689))+0-32.9--0.0503370000000019</f>
        <v>208.480536</v>
      </c>
      <c r="AA271" s="3">
        <f>0+(429.7-192.1)+(0+(0.219147-0.097971))+0-32.9-0.0167789999999967</f>
        <v>204.80439699999999</v>
      </c>
      <c r="AB271" s="3">
        <f>0+(419.6-175.8)+(0+(-0.427992--0.179316))+0-33.1--0.0337620000000053</f>
        <v>210.48508600000002</v>
      </c>
      <c r="AC271" s="3">
        <f>0+(391.7-155.5)+(0+(-0.399534--0.15861))+0-32.7--0.0333540000000052</f>
        <v>203.29243</v>
      </c>
      <c r="AD271">
        <f t="shared" si="4"/>
        <v>4267.6561330000004</v>
      </c>
      <c r="AE271" s="3">
        <f>0+(485-236.5)+(0+(0-0))+0-33.4-0</f>
        <v>215.1</v>
      </c>
    </row>
    <row r="272" spans="1:31" s="2" customFormat="1" x14ac:dyDescent="0.25">
      <c r="A272">
        <v>89</v>
      </c>
      <c r="B272">
        <v>9</v>
      </c>
      <c r="C272">
        <v>26</v>
      </c>
      <c r="D272">
        <v>7</v>
      </c>
      <c r="E272">
        <v>1</v>
      </c>
      <c r="F272" s="3">
        <f>0+(404.5-180.1)+(0+(-0.618885--0.275553))+0-32.7--0.0500310000000019</f>
        <v>191.406699</v>
      </c>
      <c r="G272" s="3">
        <f>0+(335.2-118.8)+(0+(0-0))+0-32.5-0</f>
        <v>183.89999999999998</v>
      </c>
      <c r="H272" s="3">
        <f>0+(302.3-87.3)+(0+(-1.079211--0.311661))+0-32.3--0.115311</f>
        <v>182.04776100000001</v>
      </c>
      <c r="I272" s="3">
        <f>0+(284.9-69.4)+(0+(0-0))+0-32.7-0</f>
        <v>182.79999999999995</v>
      </c>
      <c r="J272" s="3">
        <f>0+(282-70)+(0+(0-0))+0-32.7-0</f>
        <v>179.3</v>
      </c>
      <c r="K272" s="3">
        <f>0+(302.9-86.6)+(0+(0.463437-0.132498))+0-32.6-0.0498780000000019</f>
        <v>183.98106099999998</v>
      </c>
      <c r="L272" s="3">
        <f>0+(414.5-193.3)+(0+(-0.634185--0.295749))+0-32.8--0.0501840000000019</f>
        <v>188.11174799999998</v>
      </c>
      <c r="M272" s="3">
        <f>0+(392.6-183.2)+(0+(-0.600678--0.280296))+0-32.7--0.0500310000000019</f>
        <v>176.42964900000004</v>
      </c>
      <c r="N272" s="3">
        <f>0+(430.1-216.9)+(0+(0-0))+0-27.7-0</f>
        <v>185.50000000000003</v>
      </c>
      <c r="O272" s="3">
        <f>0+(474.1-240)+(0+(0.241791-0.1224))+0-31.7-0.0161669999999968</f>
        <v>202.50322400000005</v>
      </c>
      <c r="P272" s="3">
        <f>0+(505.3-257.3)+(0+(-1.288515--0.656115))+0-32.4--0.0826199999999953</f>
        <v>215.05022</v>
      </c>
      <c r="Q272" s="3">
        <f>0+(518.8-267)+(0+(-0.529176--0.27234))+0-32.8--0.0334560000000052</f>
        <v>218.77661999999998</v>
      </c>
      <c r="R272" s="3">
        <f>0+(466.4-217.8)+(0+(-0.237864--0.111078))+0-33--0.0168299999999967</f>
        <v>215.49004399999995</v>
      </c>
      <c r="S272" s="3">
        <f>0+(434.4-189.3)+(0+(-0.664632--0.289629))+0-33--0.0504900000000019</f>
        <v>211.77548699999997</v>
      </c>
      <c r="T272" s="3">
        <f>0+(441.4-199.2)+(0+(-0.675342--0.304776))+0-32--0.0489600000000018</f>
        <v>209.87839399999999</v>
      </c>
      <c r="U272" s="3">
        <f>0+(437-194.3)+(0+(-0.66861--0.297279))+0-31--0.0474300000000018</f>
        <v>211.37609899999998</v>
      </c>
      <c r="V272" s="3">
        <f>0+(398.6-143.8)+(0+(-0.609858--0.220014))+0-31--0.0474300000000018</f>
        <v>223.45758599999999</v>
      </c>
      <c r="W272" s="3">
        <f>0+(401-108.5)+(0+(-0.20451--0.055335))+0-31--0.0158099999999969</f>
        <v>261.36663499999997</v>
      </c>
      <c r="X272" s="3">
        <f>0+(392.4-112.4)+(0+(-0.800496--0.229296))+0-32--0.0652799999999986</f>
        <v>247.49408000000003</v>
      </c>
      <c r="Y272" s="3">
        <f>0+(398.9-123.3)+(0+(-0.610317--0.188649))+0-30--0.0459000000000017</f>
        <v>245.22423199999994</v>
      </c>
      <c r="Z272" s="3">
        <f>0+(401.1-135.6)+(0+(-0.818244--0.276624))+0-27--0.0550799999999988</f>
        <v>238.01345999999998</v>
      </c>
      <c r="AA272" s="3">
        <f>0+(448.6-180.7)+(0+(-0.457572--0.184314))+0-32--0.0326400000000051</f>
        <v>235.65938200000005</v>
      </c>
      <c r="AB272" s="3">
        <f>0+(394.2-121.5)+(0+(-1.00521--0.309825))+0-33--0.0841499999999952</f>
        <v>239.088765</v>
      </c>
      <c r="AC272" s="3">
        <f>0+(404.6-140.8)+(0+(-0.619038--0.215424))+0-32--0.0489600000000018</f>
        <v>231.445346</v>
      </c>
      <c r="AD272">
        <f t="shared" si="4"/>
        <v>5060.0764920000001</v>
      </c>
      <c r="AE272" s="3">
        <f>0+(389.4-119)+(0+(0-0))+0-30-0</f>
        <v>240.39999999999998</v>
      </c>
    </row>
    <row r="273" spans="1:31" s="2" customFormat="1" x14ac:dyDescent="0.25">
      <c r="A273">
        <v>89</v>
      </c>
      <c r="B273">
        <v>9</v>
      </c>
      <c r="C273">
        <v>27</v>
      </c>
      <c r="D273">
        <v>1</v>
      </c>
      <c r="E273">
        <v>1</v>
      </c>
      <c r="F273" s="3">
        <f>0+(264.2-15.5)+(0+(-0.404226--0.023715))+0-33--0.0504900000000019</f>
        <v>215.36997899999997</v>
      </c>
      <c r="G273" s="3">
        <f>0+(250.4-22)+(0+(-0.63852--0.0561))+0-4--0.0101999999999994</f>
        <v>223.82777999999999</v>
      </c>
      <c r="H273" s="3">
        <f>0+(263.9-40.1)+(0+(-0.269178--0.040902))+0-30--0.0306000000000048</f>
        <v>193.60232399999998</v>
      </c>
      <c r="I273" s="3">
        <f>0+(232.8-4.6)+(0+(-0.237456--0.004692))+0-30--0.0306000000000048</f>
        <v>197.99783600000001</v>
      </c>
      <c r="J273" s="3">
        <f>0+(241.6-4.1)+(0+(0-0))+0-33-0</f>
        <v>204.5</v>
      </c>
      <c r="K273" s="3">
        <f>0+(249-7.4)+(0+(-0.25398--0.007548))+0-32--0.0326400000000051</f>
        <v>209.38620800000001</v>
      </c>
      <c r="L273" s="3">
        <f>0+(426.8-166.5)+(0+(0-0))+0-33-0</f>
        <v>227.3</v>
      </c>
      <c r="M273" s="3">
        <f>0+(579.2-293)+(0+(0-0))+0-33-0</f>
        <v>253.20000000000005</v>
      </c>
      <c r="N273" s="3">
        <f>0+(492.5-182.9)+(0+(0-0))+0-34-0</f>
        <v>275.60000000000002</v>
      </c>
      <c r="O273" s="3">
        <f>0+(469.2-142.1)+(0+(0-0))+0-35-0</f>
        <v>292.10000000000002</v>
      </c>
      <c r="P273" s="3">
        <f>0+(498.6-168.9)+(0+(0-0))+0-35-0</f>
        <v>294.70000000000005</v>
      </c>
      <c r="Q273" s="3">
        <f>0+(498.5-155.5)+(0+(0-0))+0-35-0</f>
        <v>308</v>
      </c>
      <c r="R273" s="3">
        <f>0+(518.3-180)+(0+(-0.264333--0.0918))+0-33--0.0168299999999967</f>
        <v>305.14429699999994</v>
      </c>
      <c r="S273" s="3">
        <f>0+(566.9-243)+(0+(-0.289119--0.12393))+0-33--0.0168299999999967</f>
        <v>290.75164099999995</v>
      </c>
      <c r="T273" s="3">
        <f>0+(556.5-225.7)+(0+(0-0))+0-33-0</f>
        <v>297.8</v>
      </c>
      <c r="U273" s="3">
        <f>0+(607.3-272.1)+(0+(0.929169-0.416313))+0-33-0.0504900000000019</f>
        <v>302.66236599999991</v>
      </c>
      <c r="V273" s="3">
        <f>0+(525.9-183.8)+(0+(0.536418-0.187476))+0-33-0.0336600000000053</f>
        <v>309.41528199999999</v>
      </c>
      <c r="W273" s="3">
        <f>0+(453-88.9)+(0+(0-0))+0-33-0</f>
        <v>331.1</v>
      </c>
      <c r="X273" s="3">
        <f>0+(477-127.9)+(0+(-0.24327--0.065229))+0-33--0.0168299999999967</f>
        <v>315.93878899999999</v>
      </c>
      <c r="Y273" s="3">
        <f>0+(512.8-171.8)+(0+(-1.30764--0.43809))+0-33--0.0841499999999952</f>
        <v>307.21459999999996</v>
      </c>
      <c r="Z273" s="3">
        <f>0+(590.3-255.3)+(0+(0.301053-0.130203))+0-33-0.0168299999999967</f>
        <v>302.15401999999995</v>
      </c>
      <c r="AA273" s="3">
        <f>0+(628.2-301)+(0+(-0.320382--0.15351))+0-33--0.0168299999999967</f>
        <v>294.049958</v>
      </c>
      <c r="AB273" s="3">
        <f>0+(571.1-248.8)+(0+(-0.582522--0.253776))+0-33--0.0336600000000053</f>
        <v>289.00491399999999</v>
      </c>
      <c r="AC273" s="3">
        <f>0+(500.6-189.5)+(0+(-0.255306--0.096645))+0-33--0.0168299999999967</f>
        <v>277.958169</v>
      </c>
      <c r="AD273">
        <f t="shared" si="4"/>
        <v>6518.7781630000009</v>
      </c>
      <c r="AE273" s="3">
        <f>0+(465.8-114.8)+(0+(0-0))+0-33-0</f>
        <v>318</v>
      </c>
    </row>
    <row r="274" spans="1:31" s="2" customFormat="1" x14ac:dyDescent="0.25">
      <c r="A274">
        <v>89</v>
      </c>
      <c r="B274">
        <v>9</v>
      </c>
      <c r="C274">
        <v>28</v>
      </c>
      <c r="D274">
        <v>2</v>
      </c>
      <c r="E274">
        <v>1</v>
      </c>
      <c r="F274" s="3">
        <f>0+(436.1-141.6)+(0+(0-0))+0-32-0</f>
        <v>262.5</v>
      </c>
      <c r="G274" s="3">
        <f>0+(326.1-41.8)+(0+(-0.498933--0.063954))+0-32--0.0489600000000018</f>
        <v>251.91398100000001</v>
      </c>
      <c r="H274" s="3">
        <f>0+(276.2-0)+(0+(-0.422586-0))+0-32--0.0489600000000018</f>
        <v>243.82637399999996</v>
      </c>
      <c r="I274" s="3">
        <f>0+(274.2-0)+(0+(0-0))+0-32-0</f>
        <v>242.2</v>
      </c>
      <c r="J274" s="3">
        <f>0+(294.2-18.7)+(0+(0-0))+0-32-0</f>
        <v>243.5</v>
      </c>
      <c r="K274" s="3">
        <f>0+(316.8-31.8)+(0+(-0.484704--0.048654))+0-32--0.0489600000000018</f>
        <v>252.61290999999997</v>
      </c>
      <c r="L274" s="3">
        <f>0+(386.5-94.9)+(0+(0-0))+0-32-0</f>
        <v>259.60000000000002</v>
      </c>
      <c r="M274" s="3">
        <f>0+(446.2-142)+(0+(0-0))+0-32-0</f>
        <v>272.2</v>
      </c>
      <c r="N274" s="3">
        <f>0+(446.6-123.6)+(0+(-0.227766--0.063036))+0-32--0.0163199999999968</f>
        <v>290.85158999999999</v>
      </c>
      <c r="O274" s="3">
        <f>0+(578.1-239.1)+(0+(0-0))+0-32-0</f>
        <v>307</v>
      </c>
      <c r="P274" s="3">
        <f>0+(562.2-217)+(0+(0-0))+0-32-0</f>
        <v>313.20000000000005</v>
      </c>
      <c r="Q274" s="3">
        <f>0+(570-219.7)+(0+(-1.1628--0.448188))+0-32--0.0652799999999986</f>
        <v>317.650668</v>
      </c>
      <c r="R274" s="3">
        <f>0+(588.2-246.5)+(0+(-0.899946--0.377145))+0-33--0.0504900000000019</f>
        <v>308.22768900000005</v>
      </c>
      <c r="S274" s="3">
        <f>0+(569.6-234.4)+(0+(-0.580992--0.239088))+0-33--0.0336600000000053</f>
        <v>301.89175600000004</v>
      </c>
      <c r="T274" s="3">
        <f>0+(585.1-251.5)+(0+(-0.596802--0.25653))+0-33--0.0336600000000053</f>
        <v>300.29338799999999</v>
      </c>
      <c r="U274" s="3">
        <f>0+(593.5-262.1)+(0+(-0.60537--0.267342))+0-33--0.0336600000000053</f>
        <v>298.09563199999997</v>
      </c>
      <c r="V274" s="3">
        <f>0+(532.4-190.1)+(0+(0-0))+0-33-0</f>
        <v>309.29999999999995</v>
      </c>
      <c r="W274" s="3">
        <f>0+(504.1-139.1)+(0+(-0.257091--0.070941))+0-33--0.0168299999999967</f>
        <v>331.83067999999997</v>
      </c>
      <c r="X274" s="3">
        <f>0+(644.1-303.6)+(0+(-0.985473--0.464508))+0-30--0.0459000000000017</f>
        <v>310.02493500000003</v>
      </c>
      <c r="Y274" s="3">
        <f>0+(604.7-273.9)+(0+(-0.925191--0.419067))+0-33--0.0504900000000019</f>
        <v>297.34436600000009</v>
      </c>
      <c r="Z274" s="3">
        <f>0+(444.8-127.9)+(0+(-0.226848--0.065229))+0-28--0.0142799999999972</f>
        <v>288.75266099999999</v>
      </c>
      <c r="AA274" s="3">
        <f>0+(508.1-221.1)+(0+(-0.777393--0.338283))+0-33--0.0504900000000019</f>
        <v>253.61137999999997</v>
      </c>
      <c r="AB274" s="3">
        <f>0+(513.2-200.7)+(0+(-0.785196--0.307071))+0-33--0.0504900000000019</f>
        <v>279.0723650000001</v>
      </c>
      <c r="AC274" s="3">
        <f>0+(484.5-177.5)+(0+(-0.49419--0.18105))+0-33--0.0336600000000053</f>
        <v>273.72052000000002</v>
      </c>
      <c r="AD274">
        <f t="shared" si="4"/>
        <v>6809.2208950000013</v>
      </c>
      <c r="AE274" s="3">
        <f>0+(580.7-216.5)+(0+(0-0))+0-32-0</f>
        <v>332.20000000000005</v>
      </c>
    </row>
    <row r="275" spans="1:31" s="2" customFormat="1" x14ac:dyDescent="0.25">
      <c r="A275">
        <v>89</v>
      </c>
      <c r="B275">
        <v>9</v>
      </c>
      <c r="C275">
        <v>29</v>
      </c>
      <c r="D275">
        <v>3</v>
      </c>
      <c r="E275">
        <v>1</v>
      </c>
      <c r="F275" s="3">
        <f>0+(407.9-116.1)+(0+(-1.040145--0.296055))+0-33--0.0841499999999952</f>
        <v>258.14005999999995</v>
      </c>
      <c r="G275" s="3">
        <f>0+(264.1-0)+(0+(0.134691-0))+0-33-0.0168299999999967</f>
        <v>231.217861</v>
      </c>
      <c r="H275" s="3">
        <f>0+(281.2-3.1)+(0+(-0.286824--0.003162))+0-30--0.0306000000000048</f>
        <v>247.84693799999997</v>
      </c>
      <c r="I275" s="3">
        <f>0+(274.4-0)+(0+(-0.139944-0))+0-33--0.0168299999999967</f>
        <v>241.27688599999996</v>
      </c>
      <c r="J275" s="3">
        <f>0+(330-49.5)+(0+(0.3366-0.05049))+0-33-0.0336600000000053</f>
        <v>247.75245000000001</v>
      </c>
      <c r="K275" s="3">
        <f>0+(377.9-94.4)+(0+(-0.770916--0.192576))+0-33--0.0673199999999986</f>
        <v>249.98897999999997</v>
      </c>
      <c r="L275" s="3">
        <f>0+(440.1-143.4)+(0+(-0.448902--0.146268))+0-33--0.0336600000000053</f>
        <v>263.43102600000003</v>
      </c>
      <c r="M275" s="3">
        <f>0+(544.3-231)+(0+(-0.277593--0.11781))+0-33--0.0168299999999967</f>
        <v>280.15704699999992</v>
      </c>
      <c r="N275" s="3">
        <f>0+(525.6-191.9)+(0+(-0.804168--0.293607))+0-33--0.0504900000000019</f>
        <v>300.23992900000007</v>
      </c>
      <c r="O275" s="3">
        <f>0+(524.3-192.1)+(0+(-0.534786--0.195942))+0-34--0.0346800000000054</f>
        <v>297.89583599999992</v>
      </c>
      <c r="P275" s="3">
        <f>0+(605.5-259.1)+(0+(-0.926415--0.396423))+0-33--0.0504900000000019</f>
        <v>312.92049800000001</v>
      </c>
      <c r="Q275" s="3">
        <f>0+(606.8-255.1)+(0+(-0.928404--0.390303))+0-33--0.0504900000000019</f>
        <v>318.21238899999997</v>
      </c>
      <c r="R275" s="3">
        <f>0+(520.4-181.8)+(0+(-0.530808--0.185436))+0-33--0.0336600000000053</f>
        <v>305.28828799999997</v>
      </c>
      <c r="S275" s="3">
        <f>0+(502.4-174.4)+(0+(-1.024896--0.355776))+0-32--0.0652799999999986</f>
        <v>295.39615999999995</v>
      </c>
      <c r="T275" s="3">
        <f>0+(469.7-137.4)+(0+(-0.718641--0.210222))+0-33--0.0504900000000019</f>
        <v>298.84207099999998</v>
      </c>
      <c r="U275" s="3">
        <f>0+(431.6-109.2)+(0+(-0.660348--0.167076))+0-32--0.0489600000000018</f>
        <v>289.95568800000007</v>
      </c>
      <c r="V275" s="3">
        <f>0+(421.1-89.6)+(0+(-0.644283--0.137088))+0-32--0.0489600000000018</f>
        <v>299.041765</v>
      </c>
      <c r="W275" s="3">
        <f>0+(370.7-12.2)+(0+(0.189057-0.006222))+0-33-0.0168299999999967</f>
        <v>325.66600500000004</v>
      </c>
      <c r="X275" s="3">
        <f>0+(389-59.8)+(0+(-1.19034--0.182988))+0-31--0.0948600000000036</f>
        <v>297.28750799999995</v>
      </c>
      <c r="Y275" s="3">
        <f>0+(429.6-109.5)+(0+(-0.438192--0.11169))+0-33--0.0336600000000053</f>
        <v>286.80715800000002</v>
      </c>
      <c r="Z275" s="3">
        <f>0+(416.1-105.4)+(0+(-0.424422--0.107508))+0-33--0.0336600000000053</f>
        <v>277.41674600000005</v>
      </c>
      <c r="AA275" s="3">
        <f>0+(478.6-175.2)+(0+(-0.976344--0.357408))+0-33--0.0673199999999986</f>
        <v>269.84838400000001</v>
      </c>
      <c r="AB275" s="3">
        <f>0+(459.5-146.8)+(0+(-0.93738--0.299472))+0-33--0.0673199999999986</f>
        <v>279.129412</v>
      </c>
      <c r="AC275" s="3">
        <f>0+(357.1-57.6)+(0+(-0.546363--0.088128))+0-33--0.0504900000000019</f>
        <v>266.09225500000002</v>
      </c>
      <c r="AD275">
        <f t="shared" si="4"/>
        <v>6739.8513399999993</v>
      </c>
      <c r="AE275" s="3">
        <f>0+(369.7-13.7)+(0+(0-0))+0-33-0</f>
        <v>323</v>
      </c>
    </row>
    <row r="276" spans="1:31" s="2" customFormat="1" x14ac:dyDescent="0.25">
      <c r="A276">
        <v>89</v>
      </c>
      <c r="B276">
        <v>9</v>
      </c>
      <c r="C276">
        <v>30</v>
      </c>
      <c r="D276">
        <v>4</v>
      </c>
      <c r="E276">
        <v>1</v>
      </c>
      <c r="F276" s="3">
        <f>0+(285.4-6.4)+(0+(-0.291108--0.006528))+0-33--0.0336600000000053</f>
        <v>245.74907999999999</v>
      </c>
      <c r="G276" s="3">
        <f>0+(267.8-0)+(0+(0.273156-0))+0-33-0.0336600000000053</f>
        <v>235.03949599999999</v>
      </c>
      <c r="H276" s="3">
        <f>0+(268.2-0)+(0+(-0.273564-0))+0-33--0.0336600000000053</f>
        <v>234.96009599999996</v>
      </c>
      <c r="I276" s="3">
        <f>0+(266-0)+(0+(-0.6783-0))+0-33--0.0841499999999952</f>
        <v>232.40585000000002</v>
      </c>
      <c r="J276" s="3">
        <f>0+(266.8-0)+(0+(-0.272136-0))+0-33--0.0336600000000053</f>
        <v>233.56152400000002</v>
      </c>
      <c r="K276" s="3">
        <f>0+(270.7-0)+(0+(-0.138057-0))+0-33--0.0168299999999967</f>
        <v>237.57877299999998</v>
      </c>
      <c r="L276" s="3">
        <f>0+(363.8-79.9)+(0+(-0.742152--0.162996))+0-33--0.0673199999999986</f>
        <v>250.38816399999996</v>
      </c>
      <c r="M276" s="3">
        <f>0+(466.3-166.1)+(0+(-0.951252--0.338844))+0-33--0.0673199999999986</f>
        <v>266.65491200000002</v>
      </c>
      <c r="N276" s="3">
        <f>0+(465.7-139.6)+(0+(-0.237507--0.071196))+0-33--0.0168299999999967</f>
        <v>292.95051899999999</v>
      </c>
      <c r="O276" s="3">
        <f>0+(440.1-103.7)+(0+(-1.122255--0.264435))+0-33--0.0841499999999952</f>
        <v>302.62633000000005</v>
      </c>
      <c r="P276" s="3">
        <f>0+(453-115.3)+(0+(-0.23103--0.058803))+0-33--0.0168299999999967</f>
        <v>304.54460299999994</v>
      </c>
      <c r="Q276" s="3">
        <f>0+(569.6-223.5)+(0+(-0.871488--0.341955))+0-33--0.0504900000000019</f>
        <v>312.62095700000003</v>
      </c>
      <c r="R276" s="3">
        <f>0+(519.1-183.2)+(0+(-1.058964--0.373728))+0-34--0.0693599999999985</f>
        <v>301.28412400000008</v>
      </c>
      <c r="S276" s="3">
        <f>0+(541.1-208.2)+(0+(-0.275961--0.106182))+0-33--0.0168299999999967</f>
        <v>299.747051</v>
      </c>
      <c r="T276" s="3">
        <f>0+(527.6-196.3)+(0+(-1.076304--0.400452))+0-33--0.0673199999999986</f>
        <v>297.69146799999999</v>
      </c>
      <c r="U276" s="3">
        <f>0+(458.6-131)+(0+(-0.701658--0.20043))+0-32--0.0489600000000018</f>
        <v>295.14773200000002</v>
      </c>
      <c r="V276" s="3">
        <f>0+(374.8-15.6)+(0+(0-0))+0-27-0</f>
        <v>332.2</v>
      </c>
      <c r="W276" s="3">
        <f>0+(393.5-46.7)+(0+(0.40137-0.047634))+0-28-0.0285600000000045</f>
        <v>319.12517600000001</v>
      </c>
      <c r="X276" s="3">
        <f>0+(363.3-45.6)+(0+(-1.111698--0.139536))+0-30--0.0918000000000035</f>
        <v>286.81963799999994</v>
      </c>
      <c r="Y276" s="3">
        <f>0+(353.2-45.6)+(0+(-1.260924--0.162792))+0-32--0.11424</f>
        <v>274.61610799999994</v>
      </c>
      <c r="Z276" s="3">
        <f>0+(445.8-145.4)+(0+(-1.13679--0.37077))+0-33--0.0841499999999952</f>
        <v>266.71812999999997</v>
      </c>
      <c r="AA276" s="3">
        <f>0+(511.1-216.1)+(0+(0.260661-0.110211))+0-33-0.0168299999999967</f>
        <v>262.13362000000001</v>
      </c>
      <c r="AB276" s="3">
        <f>0+(450.2-138.3)+(0+(-0.688806--0.211599))+0-33--0.0504900000000019</f>
        <v>278.47328299999998</v>
      </c>
      <c r="AC276" s="3">
        <f>0+(392.1-89.5)+(0+(-0.799884--0.18258))+0-33--0.0673199999999986</f>
        <v>269.05001600000003</v>
      </c>
      <c r="AD276">
        <f t="shared" si="4"/>
        <v>6632.0866500000002</v>
      </c>
      <c r="AE276" s="3">
        <f>0+(392.1-58)+(0+(0-0))+0-28-0</f>
        <v>306.10000000000002</v>
      </c>
    </row>
    <row r="277" spans="1:31" s="2" customFormat="1" x14ac:dyDescent="0.25">
      <c r="A277">
        <v>89</v>
      </c>
      <c r="B277">
        <v>10</v>
      </c>
      <c r="C277">
        <v>1</v>
      </c>
      <c r="D277">
        <v>5</v>
      </c>
      <c r="E277">
        <v>1</v>
      </c>
      <c r="F277" s="3">
        <f>0+(294.7-3.6)+(0+(0.150297-0.001836))+0-33-0.0168299999999967</f>
        <v>258.23163099999999</v>
      </c>
      <c r="G277" s="3">
        <f>0+(277.2-0)+(0+(-0.424116-0))+0-33--0.0504900000000019</f>
        <v>243.82637399999996</v>
      </c>
      <c r="H277" s="3">
        <f>0+(270.6-0)+(0+(-0.276012-0))+0-33--0.0336600000000053</f>
        <v>237.35764800000004</v>
      </c>
      <c r="I277" s="3">
        <f>0+(263.2-0)+(0+(-0.134232-0))+0-33--0.0168299999999967</f>
        <v>230.08259799999999</v>
      </c>
      <c r="J277" s="3">
        <f>0+(266.4-0)+(0+(-0.135864-0))+0-32--0.0163199999999968</f>
        <v>234.28045599999996</v>
      </c>
      <c r="K277" s="3">
        <f>0+(267.5-1.3)+(0+(0-0))+0-33-0</f>
        <v>233.2</v>
      </c>
      <c r="L277" s="3">
        <f>0+(362.8-79.6)+(0+(-0.92514--0.20298))+0-33--0.0841499999999952</f>
        <v>249.56199000000007</v>
      </c>
      <c r="M277" s="3">
        <f>0+(370.6-73.7)+(0+(-0.189006--0.037587))+0-33--0.0168299999999967</f>
        <v>263.76541100000003</v>
      </c>
      <c r="N277" s="3">
        <f>0+(414.5-96.9)+(0+(0.211395-0.049419))+0-33-0.0168299999999967</f>
        <v>284.74514600000003</v>
      </c>
      <c r="O277" s="3">
        <f>0+(416.2-89.6)+(0+(0.212262-0.045696))+0-33-0.0168299999999967</f>
        <v>293.74973600000004</v>
      </c>
      <c r="P277" s="3">
        <f>0+(472.1-139.7)+(0+(-0.722313--0.213741))+0-32--0.0489600000000018</f>
        <v>299.94038800000004</v>
      </c>
      <c r="Q277" s="3">
        <f>0+(491.8-155.1)+(0+(-0.501636--0.158202))+0-33--0.0336600000000053</f>
        <v>303.39022600000004</v>
      </c>
      <c r="R277" s="3">
        <f>0+(446.4-115.5)+(0+(-0.455328--0.11781))+0-33--0.0336600000000053</f>
        <v>297.59614199999999</v>
      </c>
      <c r="S277" s="3">
        <f>0+(390.9-70.6)+(0+(-0.398718--0.072012))+0-33--0.0336600000000053</f>
        <v>287.00695399999995</v>
      </c>
      <c r="T277" s="3">
        <f>0+(411.5-96.1)+(0+(1.049325-0.245055))+0-33-0.0841499999999952</f>
        <v>283.12011999999993</v>
      </c>
      <c r="U277" s="3">
        <f>0+(360.1-49.5)+(0+(0.183651-0.025245))+0-33-0.0168299999999967</f>
        <v>277.74157600000007</v>
      </c>
      <c r="V277" s="3">
        <f>0+(365.4-53.8)+(0+(-0.559062--0.082314))+0-33--0.0504900000000019</f>
        <v>278.173742</v>
      </c>
      <c r="W277" s="3">
        <f>0+(380-44.2)+(0+(-0.1938--0.022542))+0-33--0.0168299999999967</f>
        <v>302.64557199999996</v>
      </c>
      <c r="X277" s="3">
        <f>0+(328.5-2.3)+(0+(-0.67014--0.004692))+0-33--0.0673199999999986</f>
        <v>292.60187199999996</v>
      </c>
      <c r="Y277" s="3">
        <f>0+(326.3-8.2)+(0+(-0.832065--0.02091))+0-33--0.0841499999999952</f>
        <v>284.37299500000006</v>
      </c>
      <c r="Z277" s="3">
        <f>0+(359.8-55)+(0+(-0.550494--0.08415))+0-32--0.0489600000000018</f>
        <v>272.38261600000004</v>
      </c>
      <c r="AA277" s="3">
        <f>0+(414.3-111.9)+(0+(0-0))+0-33-0</f>
        <v>269.39999999999998</v>
      </c>
      <c r="AB277" s="3">
        <f>0+(387.7-78.4)+(0+(-0.988635--0.19992))+0-32--0.0815999999999954</f>
        <v>276.59288499999991</v>
      </c>
      <c r="AC277" s="3">
        <f>0+(345.8-45)+(0+(-0.529074--0.06885))+0-33--0.0504900000000019</f>
        <v>267.39026600000005</v>
      </c>
      <c r="AD277">
        <f t="shared" si="4"/>
        <v>6521.1563440000009</v>
      </c>
      <c r="AE277" s="3">
        <f>0+(353.9-24.1)+(0+(0-0))+0-32-0</f>
        <v>297.79999999999995</v>
      </c>
    </row>
    <row r="278" spans="1:31" s="2" customFormat="1" x14ac:dyDescent="0.25">
      <c r="A278">
        <v>89</v>
      </c>
      <c r="B278">
        <v>10</v>
      </c>
      <c r="C278">
        <v>2</v>
      </c>
      <c r="D278">
        <v>6</v>
      </c>
      <c r="E278">
        <v>1</v>
      </c>
      <c r="F278" s="3">
        <f>0+(282.3-0)+(0+(-0.719865-0))+0-33--0.0841499999999952</f>
        <v>248.66428499999998</v>
      </c>
      <c r="G278" s="3">
        <f>0+(273.8-0)+(0+(0-0))+0-33-0</f>
        <v>240.8</v>
      </c>
      <c r="H278" s="3">
        <f>0+(291.5-1)+(0+(-0.743325--0.00255))+0-33--0.0841499999999952</f>
        <v>256.84337500000004</v>
      </c>
      <c r="I278" s="3">
        <f>0+(271.7-0)+(0+(0.138567-0))+0-33-0.0168299999999967</f>
        <v>238.82173700000001</v>
      </c>
      <c r="J278" s="3">
        <f>0+(270.5-0)+(0+(0.413865-0))+0-33-0.0504900000000019</f>
        <v>237.86337499999999</v>
      </c>
      <c r="K278" s="3">
        <f>0+(271-0)+(0+(0.55284-0))+0-33-0.0673199999999986</f>
        <v>238.48552000000001</v>
      </c>
      <c r="L278" s="3">
        <f>0+(324.7-39.3)+(0+(0.827985-0.100215))+0-33-0.0841499999999952</f>
        <v>253.04362</v>
      </c>
      <c r="M278" s="3">
        <f>0+(358.2-65.8)+(0+(-0.182682--0.033558))+0-33--0.0168299999999967</f>
        <v>259.26770599999998</v>
      </c>
      <c r="N278" s="3">
        <f>0+(393.3-79.9)+(0+(-0.401166--0.081498))+0-33--0.0336600000000053</f>
        <v>280.113992</v>
      </c>
      <c r="O278" s="3">
        <f>0+(444.6-119)+(0+(-0.226746--0.06069))+0-33--0.0168299999999967</f>
        <v>292.45077399999997</v>
      </c>
      <c r="P278" s="3">
        <f>0+(480.7-148.1)+(0+(0.490314-0.151062))+0-33-0.0336600000000053</f>
        <v>299.90559200000001</v>
      </c>
      <c r="Q278" s="3">
        <f>0+(535.5-203)+(0+(-0.273105--0.10353))+0-33--0.0168299999999967</f>
        <v>299.34725499999996</v>
      </c>
      <c r="R278" s="3">
        <f>0+(537.2-209.6)+(0+(-0.821916--0.320688))+0-33--0.0504900000000019</f>
        <v>294.14926200000002</v>
      </c>
      <c r="S278" s="3">
        <f>0+(534.6-221.1)+(0+(-0.545292--0.225522))+0-33--0.0336600000000053</f>
        <v>280.21388999999999</v>
      </c>
      <c r="T278" s="3">
        <f>0+(573-259.6)+(0+(-0.29223--0.132396))+0-34--0.0173399999999966</f>
        <v>279.25750599999998</v>
      </c>
      <c r="U278" s="3">
        <f>0+(563.5-260.5)+(0+(0.57477-0.26571))+0-33-0.0336600000000053</f>
        <v>270.27539999999999</v>
      </c>
      <c r="V278" s="3">
        <f>0+(439.6-130.8)+(0+(-0.672588--0.200124))+0-34--0.052020000000002</f>
        <v>274.37955600000004</v>
      </c>
      <c r="W278" s="3">
        <f>0+(389.9-50.9)+(0+(-0.596547--0.077877))+0-33--0.0504900000000019</f>
        <v>305.53182000000004</v>
      </c>
      <c r="X278" s="3">
        <f>0+(396.5-82.9)+(0+(-0.40443--0.084558))+0-33--0.0336600000000053</f>
        <v>280.31378800000005</v>
      </c>
      <c r="Y278" s="3">
        <f>0+(385.4-82.3)+(0+(-0.196554--0.041973))+0-33--0.0168299999999967</f>
        <v>269.96224899999993</v>
      </c>
      <c r="Z278" s="3">
        <f>0+(411-116.2)+(0+(-0.20961--0.059262))+0-33--0.0168299999999967</f>
        <v>261.66648199999997</v>
      </c>
      <c r="AA278" s="3">
        <f>0+(454.4-161.1)+(0+(-1.390464--0.492966))+0-33--0.100980000000004</f>
        <v>259.50348199999996</v>
      </c>
      <c r="AB278" s="3">
        <f>0+(424.5-133.2)+(0+(-0.649485--0.203796))+0-33--0.0504900000000019</f>
        <v>257.90480100000002</v>
      </c>
      <c r="AC278" s="3">
        <f>0+(385.9-103.7)+(0+(-0.590427--0.158661))+0-33--0.0504900000000019</f>
        <v>248.818724</v>
      </c>
      <c r="AD278">
        <f t="shared" si="4"/>
        <v>6427.5841909999999</v>
      </c>
      <c r="AE278" s="3">
        <f>0+(400.4-76.1)+(0+(0-0))+0-31-0</f>
        <v>293.29999999999995</v>
      </c>
    </row>
    <row r="279" spans="1:31" s="2" customFormat="1" x14ac:dyDescent="0.25">
      <c r="A279">
        <v>89</v>
      </c>
      <c r="B279">
        <v>10</v>
      </c>
      <c r="C279">
        <v>3</v>
      </c>
      <c r="D279">
        <v>7</v>
      </c>
      <c r="E279">
        <v>1</v>
      </c>
      <c r="F279" s="3">
        <f>0+(374.3-96.2)+(0+(0-0))+0-33-0</f>
        <v>245.10000000000002</v>
      </c>
      <c r="G279" s="3">
        <f>0+(262.8-0)+(0+(-0.67014-0))+0-33--0.0841499999999952</f>
        <v>229.21401</v>
      </c>
      <c r="H279" s="3">
        <f>0+(266.3-0)+(0+(0.271626-0))+0-33-0.0336600000000053</f>
        <v>233.53796600000004</v>
      </c>
      <c r="I279" s="3">
        <f>0+(293.9-35)+(0+(0-0))+0-33-0</f>
        <v>225.89999999999998</v>
      </c>
      <c r="J279" s="3">
        <f>0+(279.4-30)+(0+(0-0))+0-33-0</f>
        <v>216.39999999999998</v>
      </c>
      <c r="K279" s="3">
        <f>0+(284.3-28)+(0+(-0.144993--0.01428))+0-33--0.0168299999999967</f>
        <v>223.186117</v>
      </c>
      <c r="L279" s="3">
        <f>0+(317.7-56.5)+(0+(-0.162027--0.028815))+0-31--0.0158099999999969</f>
        <v>230.08259799999996</v>
      </c>
      <c r="M279" s="3">
        <f>0+(340.8-98.9)+(0+(-0.86904--0.252195))+0-31--0.0790499999999955</f>
        <v>210.36220499999999</v>
      </c>
      <c r="N279" s="3">
        <f>0+(269.6-7.4)+(0+(0.274992-0.007548))+0-31-0.0316200000000049</f>
        <v>231.43582400000005</v>
      </c>
      <c r="O279" s="3">
        <f>0+(281.3-12.6)+(0+(0.143463-0.006426))+0-30-0.015299999999997</f>
        <v>238.82173700000001</v>
      </c>
      <c r="P279" s="3">
        <f>0+(328.4-55.1)+(0+(-1.004904--0.168606))+0-30--0.0918000000000035</f>
        <v>242.55550199999996</v>
      </c>
      <c r="Q279" s="3">
        <f>0+(337-64.2)+(0+(-0.34374--0.065484))+0-30--0.0306000000000048</f>
        <v>242.55234400000001</v>
      </c>
      <c r="R279" s="3">
        <f>0+(312.2-45.6)+(0+(-0.318444--0.046512))+0-32--0.0326400000000051</f>
        <v>234.36070799999999</v>
      </c>
      <c r="S279" s="3">
        <f>0+(283.7-20.6)+(0+(-0.578748--0.042024))+0-34--0.0693599999999985</f>
        <v>228.63263599999996</v>
      </c>
      <c r="T279" s="3">
        <f>0+(280.9-23.8)+(0+(-0.716295--0.06069))+0-32--0.0815999999999954</f>
        <v>224.52599499999999</v>
      </c>
      <c r="U279" s="3">
        <f>0+(285.4-35.3)+(0+(0-0))+0-33-0</f>
        <v>217.09999999999997</v>
      </c>
      <c r="V279" s="3">
        <f>0+(266.9-5.8)+(0+(-0.136119--0.002958))+0-33--0.0168299999999967</f>
        <v>227.98366899999999</v>
      </c>
      <c r="W279" s="3">
        <f>0+(331.7-32.7)+(0+(-0.169167--0.016677))+0-33--0.0168299999999967</f>
        <v>265.86433999999997</v>
      </c>
      <c r="X279" s="3">
        <f>0+(361-72)+(0+(-0.92055--0.1836))+0-33--0.0841499999999952</f>
        <v>255.34720000000002</v>
      </c>
      <c r="Y279" s="3">
        <f>0+(356.4-70.1)+(0+(0.181764-0.035751))+0-32-0.0163199999999968</f>
        <v>254.42969299999993</v>
      </c>
      <c r="Z279" s="3">
        <f>0+(339.5-58.3)+(0+(0.173145-0.029733))+0-33-0.0168299999999967</f>
        <v>248.326582</v>
      </c>
      <c r="AA279" s="3">
        <f>0+(375.2-98.3)+(0+(0-0))+0-33-0</f>
        <v>243.89999999999998</v>
      </c>
      <c r="AB279" s="3">
        <f>0+(350.5-68)+(0+(-0.536265--0.10404))+0-32--0.0489600000000018</f>
        <v>250.11673499999998</v>
      </c>
      <c r="AC279" s="3">
        <f>0+(323.9-51.6)+(0+(-0.330378--0.052632))+0-32--0.0326400000000051</f>
        <v>240.05489399999999</v>
      </c>
      <c r="AD279">
        <f t="shared" si="4"/>
        <v>5659.7907549999991</v>
      </c>
      <c r="AE279" s="3">
        <f>0+(365-56.1)+(0+(0-0))+0-33-0</f>
        <v>275.89999999999998</v>
      </c>
    </row>
    <row r="280" spans="1:31" s="2" customFormat="1" x14ac:dyDescent="0.25">
      <c r="A280">
        <v>89</v>
      </c>
      <c r="B280">
        <v>10</v>
      </c>
      <c r="C280">
        <v>4</v>
      </c>
      <c r="D280">
        <v>1</v>
      </c>
      <c r="E280">
        <v>1</v>
      </c>
      <c r="F280" s="3">
        <f>0+(261.6-7.7)+(0+(-0.533664--0.015708))+0-33--0.0673199999999986</f>
        <v>220.44936400000003</v>
      </c>
      <c r="G280" s="3">
        <f>0+(244.1-0)+(0+(0-0))+0-33-0</f>
        <v>211.1</v>
      </c>
      <c r="H280" s="3">
        <f>0+(273.4-23)+(0+(-0.418302--0.03519))+0-33--0.0504900000000019</f>
        <v>217.06737799999996</v>
      </c>
      <c r="I280" s="3">
        <f>0+(258-23)+(0+(0.39474-0.03519))+0-33-0.0504900000000019</f>
        <v>202.30906000000002</v>
      </c>
      <c r="J280" s="3">
        <f>0+(270-34)+(0+(-0.1377--0.01734))+0-34--0.0173399999999966</f>
        <v>201.89697999999999</v>
      </c>
      <c r="K280" s="3">
        <f>0+(283.1-42)+(0+(0.577524-0.08568))+0-35-0.0713999999999985</f>
        <v>206.520444</v>
      </c>
      <c r="L280" s="3">
        <f>0+(257.3-29.3)+(0+(0.131223-0.014943))+0-33-0.0168299999999967</f>
        <v>195.09944999999999</v>
      </c>
      <c r="M280" s="3">
        <f>0+(363.9-91.5)+(0+(-0.556767--0.139995))+0-33--0.0504900000000019</f>
        <v>239.03371799999999</v>
      </c>
      <c r="N280" s="3">
        <f>0+(454.1-141.6)+(0+(-0.694773--0.216648))+0-33--0.0504900000000019</f>
        <v>279.07236500000005</v>
      </c>
      <c r="O280" s="3">
        <f>0+(516.7-210.2)+(0+(0.263517-0.107202))+0-33-0.0168299999999967</f>
        <v>273.63948500000009</v>
      </c>
      <c r="P280" s="3">
        <f>0+(582.2-268.7)+(0+(-0.890766--0.411111))+0-33--0.0504900000000019</f>
        <v>280.0708350000001</v>
      </c>
      <c r="Q280" s="3">
        <f>0+(605.3-270.7)+(0+(-1.234812--0.552228))+0-34--0.0693599999999985</f>
        <v>299.98677599999996</v>
      </c>
      <c r="R280" s="3">
        <f>0+(552.8-212.3)+(0+(-1.691568--0.649638))+0-33--0.100980000000004</f>
        <v>306.55904999999996</v>
      </c>
      <c r="S280" s="3">
        <f>0+(525.1-200.6)+(0+(-0.803403--0.306918))+0-33--0.0504900000000019</f>
        <v>291.05400500000002</v>
      </c>
      <c r="T280" s="3">
        <f>0+(507.5-190.2)+(0+(-1.0353--0.388008))+0-33--0.0673199999999986</f>
        <v>283.72002800000001</v>
      </c>
      <c r="U280" s="3">
        <f>0+(427.1-112.2)+(0+(0-0))+0-33-0</f>
        <v>281.90000000000003</v>
      </c>
      <c r="V280" s="3">
        <f>0+(476.7-148.4)+(0+(-1.458702--0.454104))+0-33--0.100980000000004</f>
        <v>294.39638199999996</v>
      </c>
      <c r="W280" s="3">
        <f>0+(453.1-109.4)+(0+(-0.462162--0.111588))+0-33--0.0336600000000053</f>
        <v>310.38308600000005</v>
      </c>
      <c r="X280" s="3">
        <f>0+(460.7-116.7)+(0+(-0.939828--0.238068))+0-33--0.0673199999999986</f>
        <v>310.36556000000002</v>
      </c>
      <c r="Y280" s="3">
        <f>0+(419.5-120.5)+(0+(-0.213945--0.061455))+0-33--0.0168299999999967</f>
        <v>265.86433999999997</v>
      </c>
      <c r="Z280" s="3">
        <f>0+(340.4-30.8)+(0+(-0.520812--0.047124))+0-33--0.0504900000000019</f>
        <v>276.17680200000001</v>
      </c>
      <c r="AA280" s="3">
        <f>0+(348.7-62.1)+(0+(-0.711348--0.126684))+0-33--0.0673199999999986</f>
        <v>253.08265599999999</v>
      </c>
      <c r="AB280" s="3">
        <f>0+(356.5-50.8)+(0+(-0.545445--0.077724))+0-30--0.0459000000000017</f>
        <v>275.27817900000002</v>
      </c>
      <c r="AC280" s="3">
        <f>0+(314.9-33.3)+(0+(-0.321198--0.033966))+0-32--0.0326400000000051</f>
        <v>249.34540799999996</v>
      </c>
      <c r="AD280">
        <f t="shared" si="4"/>
        <v>6224.3713509999998</v>
      </c>
      <c r="AE280" s="3">
        <f>0+(456.8-101)+(0+(0-0))+0-33-0</f>
        <v>322.8</v>
      </c>
    </row>
    <row r="281" spans="1:31" s="2" customFormat="1" x14ac:dyDescent="0.25">
      <c r="A281">
        <v>89</v>
      </c>
      <c r="B281">
        <v>10</v>
      </c>
      <c r="C281">
        <v>5</v>
      </c>
      <c r="D281">
        <v>2</v>
      </c>
      <c r="E281">
        <v>1</v>
      </c>
      <c r="F281" s="3">
        <f>0+(275.1-0)+(0+(-0.140301-0))+0-29--0.0147899999999971</f>
        <v>245.97448900000001</v>
      </c>
      <c r="G281" s="3">
        <f>0+(269.6-4.9)+(0+(-0.137496--0.002499))+0-31--0.0158099999999969</f>
        <v>233.58081300000003</v>
      </c>
      <c r="H281" s="3">
        <f>0+(256.4-0)+(0+(-0.392292-0))+0-30--0.0459000000000017</f>
        <v>226.05360799999997</v>
      </c>
      <c r="I281" s="3">
        <f>0+(255.6-0)+(0+(-0.260712-0))+0-11--0.0112200000000018</f>
        <v>244.35050799999999</v>
      </c>
      <c r="J281" s="3">
        <f>0+(267.8-11.7)+(0+(0.409734-0.017901))+0-32-0.0489600000000018</f>
        <v>224.44287300000005</v>
      </c>
      <c r="K281" s="3">
        <f>0+(303.7-37.4)+(0+(0.309774-0.038148))+0-33-0.0336600000000053</f>
        <v>233.53796600000004</v>
      </c>
      <c r="L281" s="3">
        <f>0+(274.6-0)+(0+(-0.140046-0))+0-31--0.0158099999999969</f>
        <v>243.47576400000003</v>
      </c>
      <c r="M281" s="3">
        <f>0+(372.9-81.4)+(0+(-0.380358--0.083028))+0-31--0.0316200000000049</f>
        <v>260.23429000000004</v>
      </c>
      <c r="N281" s="3">
        <f>0+(403-93.5)+(0+(-1.02765--0.238425))+0-32--0.0815999999999954</f>
        <v>276.79237499999999</v>
      </c>
      <c r="O281" s="3">
        <f>0+(524.7-197.8)+(0+(-0.802791--0.302634))+0-33--0.0504900000000019</f>
        <v>293.45033300000006</v>
      </c>
      <c r="P281" s="3">
        <f>0+(504.9-202.3)+(0+(0.257499-0.103173))+0-17-0.00866999999999828</f>
        <v>285.745656</v>
      </c>
      <c r="Q281" s="3">
        <f>0+(488.8-184.9)+(0+(-0.747864--0.282897))+0-2--0.00306000000000012</f>
        <v>301.43809299999998</v>
      </c>
      <c r="R281" s="3">
        <f>+(515.6-212.9)+(+(-0.788868--0.325737))+0-3.3--0.00504900000000019</f>
        <v>298.94191800000004</v>
      </c>
      <c r="S281" s="3">
        <f>+(543.7-251.4)+(+(0.831861-0.384642))+0-0-0</f>
        <v>292.74721900000009</v>
      </c>
      <c r="T281" s="3">
        <f>+(535-242.4)+(+(-1.0914--0.494496))+0-2.9--0.00591599999999987</f>
        <v>289.10901200000006</v>
      </c>
      <c r="U281" s="3">
        <f>+(553.9-262.4)+(+(0-0))+0-5.1-0</f>
        <v>286.39999999999998</v>
      </c>
      <c r="V281" s="3">
        <f>+(471.6-171.1)+(+(-0.481032--0.174522))+0-6--0.00612000000000096</f>
        <v>294.19961000000001</v>
      </c>
      <c r="W281" s="3">
        <f>+(410.3-86.1)+(+(-0.418506--0.087822))+0-6.8--0.00693600000000108</f>
        <v>317.07625200000001</v>
      </c>
      <c r="X281" s="3">
        <f>+(423-119)+(+(-1.29438--0.36414))+0-7.5--0.0229500000000009</f>
        <v>295.59270999999995</v>
      </c>
      <c r="Y281" s="3">
        <f>+(491-194.2)+(+(0.25041-0.099042))+0-8.7-0.00443699999999912</f>
        <v>288.24693100000002</v>
      </c>
      <c r="Z281" s="3">
        <f>+(504.8-215.8)+(+(-0.772344--0.330174))+0-10.3--0.0157590000000006</f>
        <v>278.27358900000002</v>
      </c>
      <c r="AA281" s="3">
        <f>+(481.8-199)+(+(-0.982872--0.40596))+0-11.9--0.0242759999999995</f>
        <v>270.34736400000003</v>
      </c>
      <c r="AB281" s="3">
        <f>+(403-123.3)+(+(-0.20553--0.062883))+0-13.6--0.00693599999999862</f>
        <v>265.96428899999995</v>
      </c>
      <c r="AC281" s="3">
        <f>+(350-70.3)+(+(-1.6065--0.322677))+0-14.9--0.0683910000000026</f>
        <v>263.58456800000005</v>
      </c>
      <c r="AD281">
        <f t="shared" si="4"/>
        <v>6509.56023</v>
      </c>
      <c r="AE281" s="3">
        <f>0+(455.9-134.3)+(0+(0-0))+0-6.9-0</f>
        <v>314.7</v>
      </c>
    </row>
    <row r="282" spans="1:31" s="2" customFormat="1" x14ac:dyDescent="0.25">
      <c r="A282">
        <v>89</v>
      </c>
      <c r="B282">
        <v>10</v>
      </c>
      <c r="C282">
        <v>6</v>
      </c>
      <c r="D282">
        <v>3</v>
      </c>
      <c r="E282">
        <v>1</v>
      </c>
      <c r="F282" s="3">
        <f>0+(305.2-46.3)+(0+(-0.622608--0.094452))+0-7.2--0.0146879999999997</f>
        <v>251.18653199999997</v>
      </c>
      <c r="G282" s="3">
        <f>0+(308.7-48)+(0+(-0.157437--0.02448))+0-17.3--0.00882299999999825</f>
        <v>243.27586600000001</v>
      </c>
      <c r="H282" s="3">
        <f>0+(274.9-20.1)+(0+(-0.280398--0.020502))+0-18.4--0.0187680000000029</f>
        <v>236.15887199999997</v>
      </c>
      <c r="I282" s="3">
        <f>0+(328-72.7)+(0+(0.16728-0.037077))+0-20.1-0.010250999999998</f>
        <v>235.319952</v>
      </c>
      <c r="J282" s="3">
        <f>0+(343.7-87)+(0+(-0.525861--0.13311))+0-21.4--0.0327420000000012</f>
        <v>234.93999100000002</v>
      </c>
      <c r="K282" s="3">
        <f>0+(345-83)+(0+(0.52785-0.12699))+0-23.8-0.0364140000000014</f>
        <v>238.564446</v>
      </c>
      <c r="L282" s="3">
        <f>0+(447-169.1)+(0+(-0.22797--0.086241))+0-26.5--0.0135149999999973</f>
        <v>251.27178599999996</v>
      </c>
      <c r="M282" s="3">
        <f>0+(536.1-240)+(0+(0.546822-0.2448))+0-28.4-0.0289680000000045</f>
        <v>267.97305400000005</v>
      </c>
      <c r="N282" s="3">
        <f>0+(526.3-205.7)+(0+(0-0))+0-31.2-0</f>
        <v>289.39999999999998</v>
      </c>
      <c r="O282" s="3">
        <f>0+(503-169.8)+(0+(-0.76959--0.259794))+0-32.5--0.0497250000000019</f>
        <v>300.23992900000002</v>
      </c>
      <c r="P282" s="3">
        <f>0+(482.7-149.3)+(0+(-0.738531--0.228429))+0-31.3--0.0478890000000018</f>
        <v>301.63778699999995</v>
      </c>
      <c r="Q282" s="3">
        <f>0+(497.6-162.1)+(0+(-0.253776--0.082671))+0-32.5--0.0165749999999967</f>
        <v>302.84546999999998</v>
      </c>
      <c r="R282" s="3">
        <f>0+(509.7-181.3)+(0+(-0.779841--0.277389))+0-32.5--0.0497250000000019</f>
        <v>295.447273</v>
      </c>
      <c r="S282" s="3">
        <f>0+(521.7-203.5)+(0+(-0.798201--0.311355))+0-32.5--0.0497250000000019</f>
        <v>285.26287900000005</v>
      </c>
      <c r="T282" s="3">
        <f>0+(510.5-192.2)+(0+(-0.260355--0.098022))+0-32.5--0.0165749999999967</f>
        <v>285.65424200000001</v>
      </c>
      <c r="U282" s="3">
        <f>0+(449.8-139.8)+(0+(0.688194-0.213894))+0-30.7-0.0469710000000018</f>
        <v>279.72732900000005</v>
      </c>
      <c r="V282" s="3">
        <f>0+(388.5-78.7)+(0+(-0.79254--0.160548))+0-30.7--0.0626279999999987</f>
        <v>278.53063600000002</v>
      </c>
      <c r="W282" s="3">
        <f>0+(364.4-25.1)+(0+(-0.557532--0.038403))+0-31.3--0.0478890000000018</f>
        <v>307.52875999999992</v>
      </c>
      <c r="X282" s="3">
        <f>0+(365.2-44.9)+(0+(-0.186252--0.022899))+0-29.7--0.015146999999997</f>
        <v>290.45179400000006</v>
      </c>
      <c r="Y282" s="3">
        <f>0+(401.2-89.7)+(0+(-0.204612--0.045747))+0-31.2--0.0159119999999968</f>
        <v>280.15704700000003</v>
      </c>
      <c r="Z282" s="3">
        <f>0+(431.2-130.1)+(0+(-0.439824--0.132702))+0-31.1--0.031722000000005</f>
        <v>269.72460000000001</v>
      </c>
      <c r="AA282" s="3">
        <f>0+(483.3-185.9)+(0+(-0.246483--0.094809))+0-31.3--0.0159629999999968</f>
        <v>265.96428899999995</v>
      </c>
      <c r="AB282" s="3">
        <f>0+(552-251.4)+(0+(-0.56304--0.256428))+0-31.3--0.031926000000005</f>
        <v>269.02531400000004</v>
      </c>
      <c r="AC282" s="3">
        <f>0+(568.3-272.2)+(0+(-0.579666--0.277644))+0-31.3--0.031926000000005</f>
        <v>264.52990399999993</v>
      </c>
      <c r="AD282">
        <f t="shared" si="4"/>
        <v>6524.8177519999999</v>
      </c>
      <c r="AE282" s="3">
        <f>0+(392-54.9)+(0+(0-0))+0-31.3-0</f>
        <v>305.8</v>
      </c>
    </row>
    <row r="283" spans="1:31" s="2" customFormat="1" x14ac:dyDescent="0.25">
      <c r="A283">
        <v>89</v>
      </c>
      <c r="B283">
        <v>10</v>
      </c>
      <c r="C283">
        <v>7</v>
      </c>
      <c r="D283">
        <v>4</v>
      </c>
      <c r="E283">
        <v>1</v>
      </c>
      <c r="F283" s="3">
        <f>0+(517.6-236.3)+(0+(-1.31988--0.602565))+0-31.1--0.0793049999999955</f>
        <v>249.56199000000004</v>
      </c>
      <c r="G283" s="3">
        <f>0+(461.7-185.8)+(0+(0-0))+0-30.4-0</f>
        <v>245.49999999999997</v>
      </c>
      <c r="H283" s="3">
        <f>0+(411.1-135.9)+(0+(-0.419322--0.138618))+0-29.7--0.0302940000000047</f>
        <v>245.24959000000004</v>
      </c>
      <c r="I283" s="3">
        <f>0+(315-42.9)+(0+(0-0))+0-30-0</f>
        <v>242.10000000000002</v>
      </c>
      <c r="J283" s="3">
        <f>0+(329.5-60.5)+(0+(0.168045-0.030855))+0-30.1-0.0153509999999969</f>
        <v>239.02183899999997</v>
      </c>
      <c r="K283" s="3">
        <f>0+(363.5-90.2)+(0+(0-0))+0-30.2-0</f>
        <v>243.10000000000002</v>
      </c>
      <c r="L283" s="3">
        <f>0+(476.8-188.5)+(0+(-0.486336--0.19227))+0-31--0.0316200000000049</f>
        <v>257.03755400000006</v>
      </c>
      <c r="M283" s="3">
        <f>0+(516.2-211.1)+(0+(-0.263262--0.107661))+0-31.2--0.0159119999999968</f>
        <v>273.76031100000006</v>
      </c>
      <c r="N283" s="3">
        <f>0+(433-113.1)+(0+(1.54581-0.403767))+0-28.6-0.102102</f>
        <v>292.33994099999995</v>
      </c>
      <c r="O283" s="3">
        <f>0+(412.1-79.6)+(0+(0-0))+0-30.7-0</f>
        <v>301.8</v>
      </c>
      <c r="P283" s="3">
        <f>0+(399.7-66.1)+(0+(-0.407694--0.067422))+0-31.3--0.031926000000005</f>
        <v>301.99165399999998</v>
      </c>
      <c r="Q283" s="3">
        <f>0+(387.8-56.3)+(0+(-0.395556--0.057426))+0-31.4--0.032028000000005</f>
        <v>299.79389800000007</v>
      </c>
      <c r="R283" s="3">
        <f>0+(408.4-82.1)+(0+(-0.624852--0.125613))+0-31--0.0474300000000018</f>
        <v>294.84819099999999</v>
      </c>
      <c r="S283" s="3">
        <f>0+(430.4-109.5)+(0+(-0.878016--0.22338))+0-31.3--0.0638519999999986</f>
        <v>289.00921599999998</v>
      </c>
      <c r="T283" s="3">
        <f>0+(451.5-135.2)+(0+(0.690795-0.206856))+0-31.2-0.0477360000000018</f>
        <v>285.53620300000006</v>
      </c>
      <c r="U283" s="3">
        <f>0+(422.2-115.9)+(0+(-0.861288--0.236436))+0-31--0.0632399999999986</f>
        <v>274.73838799999999</v>
      </c>
      <c r="V283" s="3">
        <f>0+(364.1-51.9)+(0+(-0.371382--0.052938))+0-31.2--0.031824000000005</f>
        <v>280.71338000000009</v>
      </c>
      <c r="W283" s="3">
        <f>0+(366.7-33.1)+(0+(-0.187017--0.016881))+0-31.4--0.0160139999999968</f>
        <v>302.04587799999996</v>
      </c>
      <c r="X283" s="3">
        <f>0+(423.6-100.2)+(0+(-0.648108--0.153306))+0-31.3--0.0478890000000018</f>
        <v>291.65308700000003</v>
      </c>
      <c r="Y283" s="3">
        <f>0+(412.8-97.6)+(0+(-1.05264--0.24888))+0-31.4--0.0800699999999954</f>
        <v>283.07631000000003</v>
      </c>
      <c r="Z283" s="3">
        <f>0+(406-101.8)+(0+(0-0))+0-31.3-0</f>
        <v>272.89999999999998</v>
      </c>
      <c r="AA283" s="3">
        <f>0+(389.9-93.4)+(0+(-0.596547--0.142902))+0-31.4--0.0480420000000018</f>
        <v>264.69439700000004</v>
      </c>
      <c r="AB283" s="3">
        <f>0+(398.9-101.3)+(0+(-0.610317--0.154989))+0-31.3--0.0478890000000018</f>
        <v>265.89256099999994</v>
      </c>
      <c r="AC283" s="3">
        <f>0+(350.6-65.3)+(0+(-1.072836--0.199818))+0-31.3--0.0957780000000036</f>
        <v>253.22275999999999</v>
      </c>
      <c r="AD283">
        <f t="shared" si="4"/>
        <v>6549.5871479999996</v>
      </c>
      <c r="AE283" s="3">
        <f>0+(429.3-89.7)+(0+(0-0))+0-31.5-0</f>
        <v>308.10000000000002</v>
      </c>
    </row>
    <row r="284" spans="1:31" s="2" customFormat="1" x14ac:dyDescent="0.25">
      <c r="A284">
        <v>89</v>
      </c>
      <c r="B284">
        <v>10</v>
      </c>
      <c r="C284">
        <v>8</v>
      </c>
      <c r="D284">
        <v>5</v>
      </c>
      <c r="E284">
        <v>1</v>
      </c>
      <c r="F284" s="3">
        <f>0+(288.4-11)+(0+(0-0))+0-31.2-0</f>
        <v>246.2</v>
      </c>
      <c r="G284" s="3">
        <f>0+(272.8-0)+(0+(-0.278256-0))+0-31.4--0.032028000000005</f>
        <v>241.153772</v>
      </c>
      <c r="H284" s="3">
        <f>0+(267.1-0)+(0+(-0.272442-0))+0-31.2--0.031824000000005</f>
        <v>235.65938200000002</v>
      </c>
      <c r="I284" s="3">
        <f>0+(268.6-5)+(0+(-0.273972--0.0051))+0-31.1--0.031722000000005</f>
        <v>232.26285000000004</v>
      </c>
      <c r="J284" s="3">
        <f>0+(260.6-0)+(0+(-0.132906-0))+0-30.6--0.0156059999999969</f>
        <v>229.88270000000003</v>
      </c>
      <c r="K284" s="3">
        <f>0+(263.8-0)+(0+(-0.269076-0))+0-31.1--0.031722000000005</f>
        <v>232.46264600000003</v>
      </c>
      <c r="L284" s="3">
        <f>0+(284-3.8)+(0+(-0.14484--0.001938))+0-31--0.0158099999999969</f>
        <v>249.07290799999998</v>
      </c>
      <c r="M284" s="3">
        <f>0+(395.2-99.7)+(0+(-0.403104--0.101694))+0-31.1--0.031722000000005</f>
        <v>264.130312</v>
      </c>
      <c r="N284" s="3">
        <f>0+(395.7-85)+(0+(0-0))+0-31.2-0</f>
        <v>279.5</v>
      </c>
      <c r="O284" s="3">
        <f>0+(415.2-88)+(0+(0.423504-0.08976))+0-31.6-0.032232000000005</f>
        <v>295.90151199999997</v>
      </c>
      <c r="P284" s="3">
        <f>0+(397-60.4)+(0+(-0.20247--0.030804))+0-31.7--0.0161669999999968</f>
        <v>304.74450100000001</v>
      </c>
      <c r="Q284" s="3">
        <f>0+(398.5-62)+(0+(0-0))+0-31.7-0</f>
        <v>304.8</v>
      </c>
      <c r="R284" s="3">
        <f>0+(397.7-65.9)+(0+(-0.608481--0.100827))+0-31.7--0.0485010000000018</f>
        <v>299.64084699999995</v>
      </c>
      <c r="S284" s="3">
        <f>0+(373.5-47.8)+(0+(0-0))+0-31.7-0</f>
        <v>294</v>
      </c>
      <c r="T284" s="3">
        <f>0+(432.2-110.1)+(0+(0-0))+0-31.7-0</f>
        <v>290.40000000000003</v>
      </c>
      <c r="U284" s="3">
        <f>0+(405.4-78.6)+(0+(0-0))+0-31.6-0</f>
        <v>295.19999999999993</v>
      </c>
      <c r="V284" s="3">
        <f>0+(363-44.9)+(0+(-0.74052--0.091596))+0-31.5--0.0642599999999986</f>
        <v>286.01533599999999</v>
      </c>
      <c r="W284" s="3">
        <f>0+(353.1-0)+(0+(0-0))+0-31.8-0</f>
        <v>321.3</v>
      </c>
      <c r="X284" s="3">
        <f>0+(390-58.6)+(0+(-0.9945--0.14943))+0-31.8--0.0810899999999954</f>
        <v>298.83601999999996</v>
      </c>
      <c r="Y284" s="3">
        <f>0+(383.7-72.8)+(0+(-1.565496--0.297024))+0-31.8--0.129743999999997</f>
        <v>277.96127200000001</v>
      </c>
      <c r="Z284" s="3">
        <f>0+(318.6-0)+(0+(0-0))+0-31.7-0</f>
        <v>286.90000000000003</v>
      </c>
      <c r="AA284" s="3">
        <f>0+(351.6-42.9)+(0+(-0.358632--0.043758))+0-31.3--0.031926000000005</f>
        <v>277.11705200000006</v>
      </c>
      <c r="AB284" s="3">
        <f>0+(404.9-91.5)+(0+(-0.412998--0.09333))+0-31.8--0.0324360000000051</f>
        <v>281.31276800000001</v>
      </c>
      <c r="AC284" s="3">
        <f>0+(425.8-123.8)+(0+(-1.08579--0.31569))+0-31.9--0.0813449999999954</f>
        <v>269.41124500000001</v>
      </c>
      <c r="AD284">
        <f t="shared" si="4"/>
        <v>6593.8651230000005</v>
      </c>
      <c r="AE284" s="3">
        <f>0+(404.4-26)+(0+(0-0))+0-31.8-0</f>
        <v>346.59999999999997</v>
      </c>
    </row>
    <row r="285" spans="1:31" s="2" customFormat="1" x14ac:dyDescent="0.25">
      <c r="A285">
        <v>89</v>
      </c>
      <c r="B285">
        <v>10</v>
      </c>
      <c r="C285">
        <v>9</v>
      </c>
      <c r="D285">
        <v>6</v>
      </c>
      <c r="E285">
        <v>1</v>
      </c>
      <c r="F285" s="3">
        <f>0+(301.4-47.2)+(0+(-0.461142--0.072216))+0-31.8--0.0486540000000018</f>
        <v>222.05972799999998</v>
      </c>
      <c r="G285" s="3">
        <f>0+(315.4-24.5)+(0+(0.160854-0.012495))+0-31.7-0.0161669999999968</f>
        <v>259.33219200000002</v>
      </c>
      <c r="H285" s="3">
        <f>0+(315.5-50.2)+(0+(-0.64362--0.102408))+0-31.8--0.0648719999999986</f>
        <v>233.02366000000004</v>
      </c>
      <c r="I285" s="3">
        <f>0+(275.9-0)+(0+(-0.281418-0))+0-31.7--0.0323340000000051</f>
        <v>243.95091600000001</v>
      </c>
      <c r="J285" s="3">
        <f>0+(271.2-0)+(0+(-0.414936-0))+0-31.8--0.0486540000000018</f>
        <v>239.03371799999996</v>
      </c>
      <c r="K285" s="3">
        <f>0+(281.6-0)+(0+(0-0))+0-31.6-0</f>
        <v>250.00000000000003</v>
      </c>
      <c r="L285" s="3">
        <f>0+(285.1-0)+(0+(-0.436203-0))+0-31.8--0.0486540000000018</f>
        <v>252.91245100000003</v>
      </c>
      <c r="M285" s="3">
        <f>0+(286.8-0)+(0+(0.292536-0))+0-31.8-0.0324360000000051</f>
        <v>255.26009999999997</v>
      </c>
      <c r="N285" s="3">
        <f>0+(357.9-32.2)+(0+(0.182529-0.016422))+0-31.8-0.0162179999999968</f>
        <v>294.04988900000001</v>
      </c>
      <c r="O285" s="3">
        <f>0+(424.6-106.5)+(0+(-1.08273--0.271575))+0-29.7--0.0757349999999957</f>
        <v>287.66458000000006</v>
      </c>
      <c r="P285" s="3">
        <f>0+(397.8-78.5)+(0+(0-0))+0-31.5-0</f>
        <v>287.8</v>
      </c>
      <c r="Q285" s="3">
        <f>0+(460.3-111.5)+(0+(-0.469506--0.11373))+0-33.1--0.0337620000000053</f>
        <v>315.37798600000002</v>
      </c>
      <c r="R285" s="3">
        <f>0+(430.6-116)+(0+(-0.878424--0.23664))+0-33.5--0.0683399999999985</f>
        <v>280.52655600000003</v>
      </c>
      <c r="S285" s="3">
        <f>0+(488.7-164.4)+(0+(-0.747711--0.251532))+0-32--0.0489600000000018</f>
        <v>291.85278099999999</v>
      </c>
      <c r="T285" s="3">
        <f>0+(515.9-207.9)+(0+(-0.263109--0.106029))+0-31.8--0.0162179999999968</f>
        <v>276.05913799999996</v>
      </c>
      <c r="U285" s="3">
        <f>0+(517.6-215.1)+(0+(-0.263976--0.109701))+0-31.7--0.0161669999999968</f>
        <v>270.66189200000002</v>
      </c>
      <c r="V285" s="3">
        <f>0+(434.8-123.5)+(0+(-0.886992--0.25194))+0-32--0.0652799999999986</f>
        <v>278.73022800000001</v>
      </c>
      <c r="W285" s="3">
        <f>0+(349.3-31.1)+(0+(-0.534429--0.047583))+0-28--0.0428400000000016</f>
        <v>289.75599399999999</v>
      </c>
      <c r="X285" s="3">
        <f>0+(379.4-75.9)+(0+(-1.160964--0.232254))+0-31.8--0.0973080000000037</f>
        <v>270.86859799999996</v>
      </c>
      <c r="Y285" s="3">
        <f>0+(347.5-53)+(0+(0-0))+0-31.8-0</f>
        <v>262.7</v>
      </c>
      <c r="Z285" s="3">
        <f>0+(377.5-93.9)+(0+(-0.577575--0.143667))+0-31.9--0.0488070000000018</f>
        <v>251.31489900000005</v>
      </c>
      <c r="AA285" s="3">
        <f>0+(377-78.3)+(0+(-0.19227--0.039933))+0-31.9--0.0162689999999968</f>
        <v>266.66393200000005</v>
      </c>
      <c r="AB285" s="3">
        <f>0+(414.4-117)+(0+(-0.845376--0.23868))+0-31.8--0.0648719999999986</f>
        <v>265.05817599999995</v>
      </c>
      <c r="AC285" s="3">
        <f>0+(478.3-197.3)+(0+(-1.463598--0.603738))+0-31.9--0.0976140000000037</f>
        <v>248.33775399999996</v>
      </c>
      <c r="AD285">
        <f t="shared" si="4"/>
        <v>6392.9951680000004</v>
      </c>
      <c r="AE285" s="3">
        <f>0+(377.5-74.8)+(0+(0-0))+0-30.2-0</f>
        <v>272.5</v>
      </c>
    </row>
    <row r="286" spans="1:31" s="2" customFormat="1" x14ac:dyDescent="0.25">
      <c r="A286">
        <v>89</v>
      </c>
      <c r="B286">
        <v>10</v>
      </c>
      <c r="C286">
        <v>10</v>
      </c>
      <c r="D286">
        <v>7</v>
      </c>
      <c r="E286">
        <v>1</v>
      </c>
      <c r="F286" s="3">
        <f>0+(311.9-52.2)+(0+(0-0))+0-31.4-0</f>
        <v>228.29999999999998</v>
      </c>
      <c r="G286" s="3">
        <f>0+(267.8-16)+(0+(-0.273156--0.01632))+0-30.3--0.0309060000000048</f>
        <v>221.27407000000002</v>
      </c>
      <c r="H286" s="3">
        <f>0+(249.4-2.9)+(0+(0-0))+0-25.4-0</f>
        <v>221.1</v>
      </c>
      <c r="I286" s="3">
        <f>0+(251.3-0)+(0+(-0.384489-0))+0-30.7--0.0469710000000018</f>
        <v>220.26248200000003</v>
      </c>
      <c r="J286" s="3">
        <f>0+(255.5-1.6)+(0+(-0.26061--0.001632))+0-31.7--0.0323340000000051</f>
        <v>221.973356</v>
      </c>
      <c r="K286" s="3">
        <f>0+(267.7-12.9)+(0+(0.136527-0.006579))+0-25.7-0.0131069999999974</f>
        <v>229.21684100000002</v>
      </c>
      <c r="L286" s="3">
        <f>0+(263.5-14.4)+(0+(0-0))+0-27-0</f>
        <v>222.1</v>
      </c>
      <c r="M286" s="3">
        <f>0+(292.5-45.2)+(0+(-0.29835--0.046104))+0-31.8--0.0324360000000051</f>
        <v>215.28019</v>
      </c>
      <c r="N286" s="3">
        <f>0+(345.2-95.3)+(0+(-0.528156--0.145809))+0-31.8--0.0486540000000018</f>
        <v>217.76630699999995</v>
      </c>
      <c r="O286" s="3">
        <f>0+(327.9-66.6)+(0+(-0.167229--0.033966))+0-31.8--0.0162179999999968</f>
        <v>229.38295499999995</v>
      </c>
      <c r="P286" s="3">
        <f>0+(315.6-40.9)+(0+(-0.80478--0.104295))+0-31.9--0.0813449999999954</f>
        <v>242.18086000000002</v>
      </c>
      <c r="Q286" s="3">
        <f>0+(314.8-42.4)+(0+(0.160548-0.021624))+0-31.7-0.0161669999999968</f>
        <v>240.82275700000002</v>
      </c>
      <c r="R286" s="3">
        <f>+(361.7-95)+(+(-0.368934--0.0969))+0-31.6--0.032232000000005</f>
        <v>234.86019799999997</v>
      </c>
      <c r="S286" s="3">
        <f>+(342.6-79.7)+(+(-1.048356--0.243882))+0-30.8--0.0942480000000036</f>
        <v>231.38977399999999</v>
      </c>
      <c r="T286" s="3">
        <f>+(314.7-60.3)+(+(0.320994-0.061506))+0-29.7-0.0302940000000047</f>
        <v>224.929194</v>
      </c>
      <c r="U286" s="3">
        <f>+(293.7-41.9)+(+(-0.149787--0.021369))+0-29.2--0.014891999999997</f>
        <v>222.48647399999999</v>
      </c>
      <c r="V286" s="3">
        <f>+(306-35.7)+(+(-0.15606--0.018207))+0-30.7--0.0156569999999969</f>
        <v>239.47780400000002</v>
      </c>
      <c r="W286" s="3">
        <f>+(440.3-141.8)+(+(0.224553-0.072318))+0-30.2-0.0154019999999969</f>
        <v>268.43683300000004</v>
      </c>
      <c r="X286" s="3">
        <f>+(507.4-218.2)+(+(-0.776322--0.333846))+0-30.7--0.0469710000000018</f>
        <v>258.10449499999999</v>
      </c>
      <c r="Y286" s="3">
        <f>+(480.1-191.9)+(+(-0.244851--0.097869))+0-32.3--0.0164729999999967</f>
        <v>255.76949100000004</v>
      </c>
      <c r="Z286" s="3">
        <f>+(363.3-85)+(+(0.185283-0.04335))+0-29.7-0.015146999999997</f>
        <v>248.72678600000003</v>
      </c>
      <c r="AA286" s="3">
        <f>+(364-90.2)+(+(-0.55692--0.138006))+0-32.3--0.0494190000000019</f>
        <v>241.13050500000003</v>
      </c>
      <c r="AB286" s="3">
        <f>+(364.4-87.5)+(+(-0.92922--0.223125))+0-31.8--0.0810899999999954</f>
        <v>244.47499499999995</v>
      </c>
      <c r="AC286" s="3">
        <f>+(355.9-85.3)+(+(-0.181509--0.043503))+0-30.8--0.0157079999999969</f>
        <v>239.67770199999993</v>
      </c>
      <c r="AD286">
        <f t="shared" si="4"/>
        <v>5619.1240689999986</v>
      </c>
      <c r="AE286" s="3">
        <f>0+(464.1-158.9)+(0+(0-0))+0-31.6-0</f>
        <v>273.60000000000002</v>
      </c>
    </row>
    <row r="287" spans="1:31" s="2" customFormat="1" x14ac:dyDescent="0.25">
      <c r="A287">
        <v>89</v>
      </c>
      <c r="B287">
        <v>10</v>
      </c>
      <c r="C287">
        <v>11</v>
      </c>
      <c r="D287">
        <v>1</v>
      </c>
      <c r="E287">
        <v>1</v>
      </c>
      <c r="F287" s="3">
        <f>0+(394.3-131.2)+(0+(-1.005465--0.33456))+0-31.6--0.0805799999999954</f>
        <v>230.90967500000002</v>
      </c>
      <c r="G287" s="3">
        <f>0+(357.2-97.9)+(0+(-0.91086--0.249645))+0-31.7--0.0808349999999954</f>
        <v>227.01961999999995</v>
      </c>
      <c r="H287" s="3">
        <f>0+(323-71.1)+(0+(-0.65892--0.145044))+0-31.6--0.0644639999999986</f>
        <v>219.85058799999999</v>
      </c>
      <c r="I287" s="3">
        <f>0+(310-60.3)+(0+(-0.3162--0.061506))+0-31.5--0.032130000000005</f>
        <v>217.97743599999998</v>
      </c>
      <c r="J287" s="3">
        <f>0+(301.5-50.1)+(0+(0-0))+0-31.5-0</f>
        <v>219.9</v>
      </c>
      <c r="K287" s="3">
        <f>0+(300.8-45.6)+(0+(0.460224-0.069768))+0-31.6-0.0483480000000018</f>
        <v>223.94210800000002</v>
      </c>
      <c r="L287" s="3">
        <f>0+(353.9-85.5)+(0+(-0.360978--0.08721))+0-31.5--0.032130000000005</f>
        <v>236.65836199999995</v>
      </c>
      <c r="M287" s="3">
        <f>0+(482.2-192.2)+(0+(0.245922-0.098022))+0-31.7-0.0161669999999968</f>
        <v>258.43173300000001</v>
      </c>
      <c r="N287" s="3">
        <f>0+(550.2-229.8)+(0+(-0.561204--0.234396))+0-32.6--0.0332520000000052</f>
        <v>287.50644399999999</v>
      </c>
      <c r="O287" s="3">
        <f>0+(645.8-307.2)+(0+(0-0))+0-33.9-0</f>
        <v>304.7</v>
      </c>
      <c r="P287" s="3">
        <f>0+(751.3-408.1)+(0+(0.383163-0.208131))+0-32.9-0.0167789999999967</f>
        <v>310.45825299999996</v>
      </c>
      <c r="Q287" s="3">
        <f>0+(743-398.3)+(0+(-1.51572--0.812532))+0-31.5--0.0642599999999986</f>
        <v>312.56107199999997</v>
      </c>
      <c r="R287" s="3">
        <f>0+(750.4-437.9)+(0+(-1.148112--0.669987))+0-4.1--0.00627300000000024</f>
        <v>307.92814800000002</v>
      </c>
      <c r="S287" s="3">
        <f>0+(725.7-420)+(0+(-0.740214--0.4284))+0-4.1--0.00418200000000065</f>
        <v>301.29236800000001</v>
      </c>
      <c r="T287" s="3">
        <f>0+(686.8-405)+(0+(-1.050804--0.61965))+0-4--0.00612000000000023</f>
        <v>277.37496599999997</v>
      </c>
      <c r="U287" s="3">
        <f>0+(712-410)+(0+(0.72624-0.4182))+0-4-0.00408000000000064</f>
        <v>298.30396000000002</v>
      </c>
      <c r="V287" s="3">
        <f>0+(644-300)+(0+(0-0))+0-5-0</f>
        <v>339</v>
      </c>
      <c r="W287" s="3">
        <f>0+(572.3-266.7)+(0+(-1.459365--0.680085))+0-5.4--0.0137699999999992</f>
        <v>299.43448999999998</v>
      </c>
      <c r="X287" s="3">
        <f>0+(551.6-248.3)+(0+(-1.40658--0.633165))+0-6.2--0.0158099999999991</f>
        <v>296.34239500000001</v>
      </c>
      <c r="Y287" s="3">
        <f>0+(563.7-267.4)+(0+(-0.574974--0.272748))+0-8--0.00816000000000128</f>
        <v>288.00593400000002</v>
      </c>
      <c r="Z287" s="3">
        <f>0+(587.1-301.3)+(0+(-0.598842--0.307326))+0-9.6--0.00979200000000153</f>
        <v>275.91827599999999</v>
      </c>
      <c r="AA287" s="3">
        <f>0+(595.9-316.6)+(0+(-0.911727--0.484398))+0-10.3--0.0157590000000006</f>
        <v>268.58842999999996</v>
      </c>
      <c r="AB287" s="3">
        <f>0+(516.1-228.6)+(0+(-0.263211--0.116586))+0-11--0.00560999999999888</f>
        <v>276.35898500000002</v>
      </c>
      <c r="AC287" s="3">
        <f>0+(405.4-127.6)+(0+(-1.03377--0.32538))+0-11.4--0.0290699999999983</f>
        <v>265.72067999999996</v>
      </c>
      <c r="AD287">
        <f t="shared" si="4"/>
        <v>6544.1839229999987</v>
      </c>
      <c r="AE287" s="3">
        <f>0+(567-243.9)+(0+(0-0))+0-5.3-0</f>
        <v>317.8</v>
      </c>
    </row>
    <row r="288" spans="1:31" s="2" customFormat="1" x14ac:dyDescent="0.25">
      <c r="A288">
        <v>89</v>
      </c>
      <c r="B288">
        <v>10</v>
      </c>
      <c r="C288">
        <v>12</v>
      </c>
      <c r="D288">
        <v>2</v>
      </c>
      <c r="E288">
        <v>1</v>
      </c>
      <c r="F288" s="3">
        <f>0+(348.8-85.4)+(0+(-0.533664--0.130662))+0-12--0.0183600000000007</f>
        <v>251.01535799999996</v>
      </c>
      <c r="G288" s="3">
        <f>0+(345.1-87.4)+(0+(0-0))+0-13-0</f>
        <v>244.70000000000005</v>
      </c>
      <c r="H288" s="3">
        <f>0+(313.2-59.8)+(0+(-0.79866--0.15249))+0-13.8--0.035189999999998</f>
        <v>238.98901999999995</v>
      </c>
      <c r="I288" s="3">
        <f>0+(296.9-44)+(0+(0.454257-0.06732))+0-14.7-0.0224910000000008</f>
        <v>238.56444599999998</v>
      </c>
      <c r="J288" s="3">
        <f>0+(320.6-68.7)+(0+(-0.654024--0.140148))+0-14.8--0.0301919999999994</f>
        <v>236.61631600000001</v>
      </c>
      <c r="K288" s="3">
        <f>0+(333.8-75.4)+(0+(-0.170238--0.038454))+0-18.7--0.0095369999999981</f>
        <v>239.577753</v>
      </c>
      <c r="L288" s="3">
        <f>0+(406.9-133.1)+(0+(-0.415038--0.135762))+0-21.3--0.0217260000000034</f>
        <v>252.24244999999996</v>
      </c>
      <c r="M288" s="3">
        <f>0+(511.3-217.9)+(0+(-0.260763--0.111129))+0-23.8--0.0121379999999976</f>
        <v>269.46250399999997</v>
      </c>
      <c r="N288" s="3">
        <f>0+(590-268.5)+(0+(-0.3009--0.136935))+0-26.4--0.0134639999999973</f>
        <v>294.949499</v>
      </c>
      <c r="O288" s="3">
        <f>0+(644.6-314.5)+(0+(-0.986238--0.481185))+0-22.2--0.0339660000000013</f>
        <v>307.42891300000008</v>
      </c>
      <c r="P288" s="3">
        <f>0+(636.3-317.2)+(0+(0.973539-0.485316))+0-18.8-0.0287640000000011</f>
        <v>300.75945899999994</v>
      </c>
      <c r="Q288" s="3">
        <f>0+(654.3-330.5)+(0+(-1.668465--0.842775))+0-18.8--0.0479399999999973</f>
        <v>304.22224999999992</v>
      </c>
      <c r="R288" s="3">
        <f>0+(702.1-370.7)+(0+(-1.790355--0.945285))+0-18.8--0.0479399999999973</f>
        <v>311.80286999999998</v>
      </c>
      <c r="S288" s="3">
        <f>14+(683.3-383.1)+(0+(0-0))+0-19.6-0</f>
        <v>294.59999999999991</v>
      </c>
      <c r="T288" s="3">
        <f>40+(651.6-387.2)+(-0.0204+(-0.332316--0.197472))+0-20.7--0.0105569999999979</f>
        <v>283.55531300000007</v>
      </c>
      <c r="U288" s="3">
        <f>46+(565.5-315)+(-0.1173+(-1.442025--0.80325))+0-21.9--0.0558449999999968</f>
        <v>273.89976999999999</v>
      </c>
      <c r="V288" s="3">
        <f>73+(548.9-333.4)+(-0.18615+(-1.399695--0.85017))+0-23.2--0.0591599999999966</f>
        <v>264.62348500000002</v>
      </c>
      <c r="W288" s="3">
        <f>14+(543.9-227.8)+(-0.0357+(-1.386945--0.58089))+0-23.5--0.0599249999999966</f>
        <v>305.81817000000001</v>
      </c>
      <c r="X288" s="3">
        <f>0+(522.3-203.6)+(0+(-1.598238--0.623016))+0-24.3--0.0743580000000028</f>
        <v>293.49913599999996</v>
      </c>
      <c r="Y288" s="3">
        <f>0+(509.9-200.9)+(0+(-1.300245--0.512295))+0-24.2--0.0617099999999965</f>
        <v>284.07375999999999</v>
      </c>
      <c r="Z288" s="3">
        <f>0+(516.8-214.2)+(0+(-0.790704--0.327726))+0-23.6--0.0361080000000014</f>
        <v>278.57312999999994</v>
      </c>
      <c r="AA288" s="3">
        <f>0+(518.5-228.9)+(0+(0-0))+0-23.5-0</f>
        <v>266.10000000000002</v>
      </c>
      <c r="AB288" s="3">
        <f>0+(459.5-172.5)+(0+(-0.703035--0.263925))+0-24--0.0367200000000014</f>
        <v>262.59760999999997</v>
      </c>
      <c r="AC288" s="3">
        <f>0+(507.3-230.1)+(0+(-1.034892--0.469404))+0-18.4--0.0375359999999992</f>
        <v>258.27204800000004</v>
      </c>
      <c r="AD288">
        <f t="shared" si="4"/>
        <v>6555.94326</v>
      </c>
      <c r="AE288" s="3">
        <f>0+(556.1-222.8)+(0+(0-0))+0-24.1-0</f>
        <v>309.2</v>
      </c>
    </row>
    <row r="289" spans="1:31" s="2" customFormat="1" x14ac:dyDescent="0.25">
      <c r="A289">
        <v>89</v>
      </c>
      <c r="B289">
        <v>10</v>
      </c>
      <c r="C289">
        <v>13</v>
      </c>
      <c r="D289">
        <v>3</v>
      </c>
      <c r="E289">
        <v>1</v>
      </c>
      <c r="F289" s="3">
        <f>0+(411.4-156.2)+(0+(-0.839256--0.318648))+0-9.7--0.0197879999999996</f>
        <v>244.99918</v>
      </c>
      <c r="G289" s="3">
        <f>0+(339.4-95.5)+(0+(-0.346188--0.09741))+0-9.4--0.0095880000000015</f>
        <v>234.26080999999999</v>
      </c>
      <c r="H289" s="3">
        <f>0+(326.6-84.6)+(0+(-0.333132--0.086292))+0-9.4--0.0095880000000015</f>
        <v>232.36274800000004</v>
      </c>
      <c r="I289" s="3">
        <f>0+(341.2-95)+(0+(-0.522036--0.14535))+0-9.5--0.0145350000000005</f>
        <v>236.33784899999998</v>
      </c>
      <c r="J289" s="3">
        <f>0+(355.8-111.2)+(0+(0.544374-0.170136))+0-9.5-0.0145350000000005</f>
        <v>235.45970300000002</v>
      </c>
      <c r="K289" s="3">
        <f>0+(405.7-157)+(0+(0-0))+0-9.5-0</f>
        <v>239.2</v>
      </c>
      <c r="L289" s="3">
        <f>0+(405.7-157)+(0+(0-0))+0-9.5-0</f>
        <v>239.2</v>
      </c>
      <c r="M289" s="3">
        <f>0+(492.7-232.1)+(0+(-0.502554--0.236742))+0-9.5--0.00969000000000152</f>
        <v>250.84387800000005</v>
      </c>
      <c r="N289" s="3">
        <f>0+(586.9-310)+(0+(-0.299319--0.1581))+0-9.9--0.005048999999999</f>
        <v>266.86383000000001</v>
      </c>
      <c r="O289" s="3">
        <f>0+(618-308)+(0+(-0.63036--0.31416))+0-11.6--0.0118320000000018</f>
        <v>298.09563200000002</v>
      </c>
      <c r="P289" s="3">
        <f>0+(586.3-273.2)+(0+(-1.196052--0.557328))+0-11.2--0.0228479999999995</f>
        <v>301.28412399999996</v>
      </c>
      <c r="Q289" s="3">
        <f>0+(537-221.9)+(0+(-0.82161--0.339507))+0-11.5--0.0175950000000007</f>
        <v>303.13549200000006</v>
      </c>
      <c r="R289" s="3">
        <f>0+(551.6-244)+(0+(-1.125264--0.49776))+0-10--0.0203999999999996</f>
        <v>296.99289600000003</v>
      </c>
      <c r="S289" s="3">
        <f>71+(543.7-345.2)+(-0.07242+(-0.554574--0.352104))+0-11.1--0.0113220000000018</f>
        <v>258.13643200000001</v>
      </c>
      <c r="T289" s="3">
        <f>103+(514.2-354.8)+(-0.05253+(-0.262242--0.180948))+0-12.7--0.00647699999999871</f>
        <v>249.57265300000003</v>
      </c>
      <c r="U289" s="3">
        <f>104+(531.9-378.2)+(-0.10608+(-0.542538--0.385764))+0-12.8--0.013056000000002</f>
        <v>244.65020199999998</v>
      </c>
      <c r="V289" s="3">
        <f>80+(511.6-327.8)+(-0.204+(-1.30458--0.83589))+0-13.5--0.034424999999998</f>
        <v>249.66173500000002</v>
      </c>
      <c r="W289" s="3">
        <f>107+(534.3-369)+(-0.27285+(-1.362465--0.94095))+0-13.6--0.034679999999998</f>
        <v>258.04031499999991</v>
      </c>
      <c r="X289" s="3">
        <f>50+(572-333.4)+(-0.102+(-1.16688--0.680136))+0-17.2--0.0350879999999992</f>
        <v>270.84634399999999</v>
      </c>
      <c r="Y289" s="3">
        <f>0+(602.1-302.3)+(0+(-0.614142--0.308346))+0-19.9--0.0202980000000032</f>
        <v>279.61450200000007</v>
      </c>
      <c r="Z289" s="3">
        <f>0+(593.7-295.5)+(0+(-0.605574--0.30141))+0-21.9--0.0223380000000035</f>
        <v>276.01817400000004</v>
      </c>
      <c r="AA289" s="3">
        <f>0+(608.5-303.4)+(0+(0.310335-0.154734))+0-24-0.0122399999999976</f>
        <v>281.24336099999999</v>
      </c>
      <c r="AB289" s="3">
        <f>0+(645.4-339.1)+(0+(-0.987462--0.518823))+0-25.1--0.0384030000000015</f>
        <v>280.76976399999995</v>
      </c>
      <c r="AC289" s="3">
        <f>0+(589.3-297.5)+(0+(-1.502715--0.758625))+0-25.5--0.0650249999999963</f>
        <v>265.62093499999992</v>
      </c>
      <c r="AD289">
        <f t="shared" si="4"/>
        <v>6293.2105589999992</v>
      </c>
      <c r="AE289" s="3">
        <f>139+(531.2-363.2)+(0+(0-0))+0-15-0</f>
        <v>292.00000000000006</v>
      </c>
    </row>
    <row r="290" spans="1:31" s="2" customFormat="1" x14ac:dyDescent="0.25">
      <c r="A290">
        <v>89</v>
      </c>
      <c r="B290">
        <v>10</v>
      </c>
      <c r="C290">
        <v>14</v>
      </c>
      <c r="D290">
        <v>4</v>
      </c>
      <c r="E290">
        <v>1</v>
      </c>
      <c r="F290" s="3">
        <f>0+(581-301.7)+(0+(-1.18524--0.615468))+0-25.5--0.0520199999999989</f>
        <v>253.28224800000001</v>
      </c>
      <c r="G290" s="3">
        <f>0+(465.8-196.4)+(0+(-0.475116--0.200328))+0-25.3--0.025806000000004</f>
        <v>243.85101799999998</v>
      </c>
      <c r="H290" s="3">
        <f>0+(409.8-144.2)+(0+(0-0))+0-25-0</f>
        <v>240.60000000000002</v>
      </c>
      <c r="I290" s="3">
        <f>0+(381.7-119.9)+(0+(-0.389334--0.122298))+0-25--0.025500000000004</f>
        <v>236.55846399999993</v>
      </c>
      <c r="J290" s="3">
        <f>0+(393-135.1)+(0+(0.80172-0.275604))+0-25.2-0.0514079999999989</f>
        <v>233.17470799999998</v>
      </c>
      <c r="K290" s="3">
        <f>0+(486.2-223.6)+(0+(0.247962-0.114036))+0-25.6-0.0130559999999974</f>
        <v>237.12087</v>
      </c>
      <c r="L290" s="3">
        <f>0+(507.7-243.4)+(0+(-0.517854--0.248268))+0-17.8--0.0181560000000028</f>
        <v>246.24856999999994</v>
      </c>
      <c r="M290" s="3">
        <f>0+(570.4-299.2)+(0+(-0.872712--0.457776))+0-10.2--0.0156060000000006</f>
        <v>260.60066999999998</v>
      </c>
      <c r="N290" s="3">
        <f>0+(576.1-278.9)+(0+(-0.587622--0.284478))+0-11.5--0.0117300000000018</f>
        <v>285.40858600000007</v>
      </c>
      <c r="O290" s="3">
        <f>0+(637.3-328.1)+(0+(-0.650046--0.334662))+0-11.9--0.0121380000000019</f>
        <v>296.99675399999995</v>
      </c>
      <c r="P290" s="3">
        <f>0+(596.6-283.9)+(0+(-0.304266--0.144789))+0-11.2--0.00571199999999886</f>
        <v>301.34623500000009</v>
      </c>
      <c r="Q290" s="3">
        <f>0+(613.7-298.1)+(0+(-1.251948--0.608124))+0-11.4--0.0232559999999995</f>
        <v>303.57943200000005</v>
      </c>
      <c r="R290" s="3">
        <f>0+(583.2-275)+(0+(-0.594864--0.2805))+0-9.6--0.00979200000000153</f>
        <v>298.29542800000002</v>
      </c>
      <c r="S290" s="3">
        <f>0+(638.7-332.5)+(0+(-0.651474--0.33915))+0-9.4--0.0095880000000015</f>
        <v>296.49726400000009</v>
      </c>
      <c r="T290" s="3">
        <f>0+(666.5-363.4)+(0+(-0.339915--0.185334))+0-9.3--0.00474299999999906</f>
        <v>293.65016200000002</v>
      </c>
      <c r="U290" s="3">
        <f>0+(643.3-349.2)+(0+(0-0))+0-9.3-0</f>
        <v>284.79999999999995</v>
      </c>
      <c r="V290" s="3">
        <f>0+(628-328.5)+(0+(-1.28112--0.67014))+0-9.2--0.0187679999999996</f>
        <v>289.70778800000005</v>
      </c>
      <c r="W290" s="3">
        <f>0+(475.9-173.8)+(0+(0-0))+0-9.2-0</f>
        <v>292.89999999999998</v>
      </c>
      <c r="X290" s="3">
        <f>0+(504-203.7)+(0+(-0.51408--0.207774))+0-9.5--0.00969000000000152</f>
        <v>290.50338399999998</v>
      </c>
      <c r="Y290" s="3">
        <f>0+(558.9-270.7)+(0+(-0.285039--0.138057))+0-9.1--0.00464099999999908</f>
        <v>278.95765899999998</v>
      </c>
      <c r="Z290" s="3">
        <f>0+(525.9-243.7)+(0+(-1.341045--0.621435))+0-9.4--0.0239699999999986</f>
        <v>272.10436000000004</v>
      </c>
      <c r="AA290" s="3">
        <f>0+(548.1-257.2)+(0+(0-0))+0-12-0</f>
        <v>278.90000000000003</v>
      </c>
      <c r="AB290" s="3">
        <f>0+(507.4-221.1)+(0+(-0.258774--0.112761))+0-13--0.00662999999999868</f>
        <v>273.16061699999995</v>
      </c>
      <c r="AC290" s="3">
        <f>0+(531.4-248.8)+(0+(-0.813042--0.380664))+0-13--0.0198900000000008</f>
        <v>269.18751199999991</v>
      </c>
      <c r="AD290">
        <f t="shared" si="4"/>
        <v>6557.4317289999972</v>
      </c>
      <c r="AE290" s="3">
        <f>0+(535.9-229.6)+(0+(0-0))+0-9.3-0</f>
        <v>296.99999999999994</v>
      </c>
    </row>
    <row r="291" spans="1:31" s="2" customFormat="1" x14ac:dyDescent="0.25">
      <c r="A291">
        <v>89</v>
      </c>
      <c r="B291">
        <v>10</v>
      </c>
      <c r="C291">
        <v>15</v>
      </c>
      <c r="D291">
        <v>5</v>
      </c>
      <c r="E291">
        <v>1</v>
      </c>
      <c r="F291" s="3">
        <f>0+(477.4-207.8)+(0+(-0.973896--0.423912))+0-30--0.0611999999999987</f>
        <v>239.11121599999996</v>
      </c>
      <c r="G291" s="3">
        <f>0+(362.6-102.9)+(0+(-0.369852--0.104958))+0-30--0.0306000000000048</f>
        <v>229.46570600000001</v>
      </c>
      <c r="H291" s="3">
        <f>0+(332.1-65.1)+(0+(-0.169371--0.033201))+0-30--0.015299999999997</f>
        <v>236.87913</v>
      </c>
      <c r="I291" s="3">
        <f>0+(330.2-62)+(0+(-0.168402--0.03162))+0-30--0.015299999999997</f>
        <v>238.078518</v>
      </c>
      <c r="J291" s="3">
        <f>0+(411.9-142.9)+(0+(-0.210069--0.072879))+0-30--0.015299999999997</f>
        <v>238.87811000000002</v>
      </c>
      <c r="K291" s="3">
        <f>0+(387.2-118.6)+(0+(-0.394944--0.120972))+0-30--0.0306000000000048</f>
        <v>238.356628</v>
      </c>
      <c r="L291" s="3">
        <f>0+(413.4-131.5)+(0+(-0.421668--0.13413))+0-30--0.0306000000000048</f>
        <v>251.64306199999999</v>
      </c>
      <c r="M291" s="3">
        <f>0+(399.2-101)+(0+(-0.407184--0.10302))+0-30--0.0306000000000048</f>
        <v>267.92643599999997</v>
      </c>
      <c r="N291" s="3">
        <f>0+(556.3-233.6)+(0+(-1.134852--0.476544))+0-30--0.0611999999999987</f>
        <v>292.10289199999994</v>
      </c>
      <c r="O291" s="3">
        <f>0+(635.8-296)+(0+(-0.324258--0.15096))+0-30--0.015299999999997</f>
        <v>309.64200199999999</v>
      </c>
      <c r="P291" s="3">
        <f>0+(637.9-294.6)+(0+(-0.325329--0.150246))+0-30--0.015299999999997</f>
        <v>313.14021700000001</v>
      </c>
      <c r="Q291" s="3">
        <f>0+(628.3-281.6)+(0+(-0.320433--0.143616))+0-30--0.015299999999997</f>
        <v>316.53848299999993</v>
      </c>
      <c r="R291" s="3">
        <f>0+(653.3-312.3)+(0+(-0.666366--0.318546))+0-29.8--0.0303960000000048</f>
        <v>310.88257599999991</v>
      </c>
      <c r="S291" s="3">
        <f>0+(622.4-296.2)+(0+(-0.952272--0.453186))+0-29.2--0.0446760000000017</f>
        <v>296.54559</v>
      </c>
      <c r="T291" s="3">
        <f>0+(686.7-362.2)+(0+(-0.700434--0.369444))+0-29.6--0.0301920000000047</f>
        <v>294.59920200000005</v>
      </c>
      <c r="U291" s="3">
        <f>0+(695.8-369.3)+(0+(1.77429-0.941715))+0-30.2-0.0770099999999956</f>
        <v>297.055565</v>
      </c>
      <c r="V291" s="3">
        <f>0+(535.9-211.6)+(0+(-0.819927--0.323748))+0-30.1--0.0460530000000017</f>
        <v>293.74987399999998</v>
      </c>
      <c r="W291" s="3">
        <f>0+(463.4-129.2)+(0+(0.236334-0.065892))+0-29.5-0.015044999999997</f>
        <v>304.85539699999998</v>
      </c>
      <c r="X291" s="3">
        <f>0+(482.2-165.4)+(0+(-0.983688--0.337416))+0-27.9--0.0569159999999988</f>
        <v>288.31064399999997</v>
      </c>
      <c r="Y291" s="3">
        <f>0+(507.4-197.6)+(0+(-0.776322--0.302328))+0-29.2--0.0446760000000017</f>
        <v>280.17068199999994</v>
      </c>
      <c r="Z291" s="3">
        <f>0+(567.6-255.4)+(0+(-0.289476--0.130254))+0-30.1--0.0153509999999969</f>
        <v>281.95612900000003</v>
      </c>
      <c r="AA291" s="3">
        <f>0+(601.9-288.8)+(0+(-0.920907--0.441864))+0-29.5--0.0451350000000017</f>
        <v>283.16609199999999</v>
      </c>
      <c r="AB291" s="3">
        <f>0+(585.1-275.8)+(0+(-1.492005--0.70329))+0-29.5--0.0752249999999957</f>
        <v>279.08650999999998</v>
      </c>
      <c r="AC291" s="3">
        <f>0+(475.5-175.2)+(0+(-1.212525--0.44676))+0-29.8--0.0759899999999957</f>
        <v>269.810225</v>
      </c>
      <c r="AD291">
        <f t="shared" si="4"/>
        <v>6651.9508860000014</v>
      </c>
      <c r="AE291" s="3">
        <f>0+(482.9-163.2)+(0+(0-0))+0-28.3-0</f>
        <v>291.39999999999998</v>
      </c>
    </row>
    <row r="292" spans="1:31" s="2" customFormat="1" x14ac:dyDescent="0.25">
      <c r="A292">
        <v>89</v>
      </c>
      <c r="B292">
        <v>10</v>
      </c>
      <c r="C292">
        <v>16</v>
      </c>
      <c r="D292">
        <v>6</v>
      </c>
      <c r="E292">
        <v>1</v>
      </c>
      <c r="F292" s="3">
        <f>0+(438.7-149.4)+(0+(-0.447474--0.152388))+0-29--0.0295800000000046</f>
        <v>260.03449399999994</v>
      </c>
      <c r="G292" s="3">
        <f>0+(320.6-38.5)+(0+(-0.490518--0.058905))+0-27.7--0.0423810000000016</f>
        <v>254.01076800000001</v>
      </c>
      <c r="H292" s="3">
        <f>0+(285.5-5.6)+(0+(-0.58242--0.011424))+0-29.5--0.0601799999999987</f>
        <v>249.889184</v>
      </c>
      <c r="I292" s="3">
        <f>0+(271.1-0)+(0+(-0.414783-0))+0-28.8--0.0440640000000017</f>
        <v>241.929281</v>
      </c>
      <c r="J292" s="3">
        <f>0+(264.8-0)+(0+(-0.135048-0))+0-29.4--0.014993999999997</f>
        <v>235.27994600000002</v>
      </c>
      <c r="K292" s="3">
        <f>0+(282.8-9.7)+(0+(0-0))+0-29.4-0</f>
        <v>243.70000000000002</v>
      </c>
      <c r="L292" s="3">
        <f>0+(294.3-7.5)+(0+(-0.150093--0.003825))+0-30.1--0.0153509999999969</f>
        <v>256.56908299999998</v>
      </c>
      <c r="M292" s="3">
        <f>0+(298.3-13.8)+(0+(0-0))+0-23.9-0</f>
        <v>260.60000000000002</v>
      </c>
      <c r="N292" s="3">
        <f>0+(362.8-58.8)+(0+(-0.185028--0.029988))+0-30.2--0.0154019999999969</f>
        <v>273.66036200000002</v>
      </c>
      <c r="O292" s="3">
        <f>0+(414.7-108)+(0+(-0.422994--0.11016))+0-25.8--0.0263160000000041</f>
        <v>280.61348199999998</v>
      </c>
      <c r="P292" s="3">
        <f>0+(423.7-119.7)+(0+(0-0))+0-9.8-0</f>
        <v>294.2</v>
      </c>
      <c r="Q292" s="3">
        <f>0+(422.9-122.2)+(0+(-0.431358--0.124644))+0-9.5--0.00969000000000152</f>
        <v>290.90297599999997</v>
      </c>
      <c r="R292" s="3">
        <f>12+(412.1-136.2)+(-0.03672+(-1.261026--0.416772))+0-9.4--0.0287640000000011</f>
        <v>277.6477900000001</v>
      </c>
      <c r="S292" s="3">
        <f>103+(415.2-268.4)+(-0.15759+(-0.635256--0.410652))+0-9.4--0.0143820000000005</f>
        <v>240.03218800000002</v>
      </c>
      <c r="T292" s="3">
        <f>78+(439.1-264)+(-0.07956+(-0.447882--0.26928))+0-9.5--0.00969000000000152</f>
        <v>243.35152800000003</v>
      </c>
      <c r="U292" s="3">
        <f>2+(502.7-230.5)+(0+(0-0))+0-9.4-0</f>
        <v>264.8</v>
      </c>
      <c r="V292" s="3">
        <f>24+(418.3-178.4)+(-0.02448+(-0.426666--0.181968))+0-9.4--0.0095880000000015</f>
        <v>254.24040999999997</v>
      </c>
      <c r="W292" s="3">
        <f>80+(316.6-149.4)+(0+(0-0))+0-9.4-0</f>
        <v>237.8</v>
      </c>
      <c r="X292" s="3">
        <f>38+(359.3-133.2)+(-0.0969+(-0.916215--0.33966))+0-8.9--0.0226949999999987</f>
        <v>254.54924000000003</v>
      </c>
      <c r="Y292" s="3">
        <f>0+(393.2-124)+(0+(-0.601596--0.18972))+0-9.4--0.0143820000000005</f>
        <v>259.40250600000002</v>
      </c>
      <c r="Z292" s="3">
        <f>0+(467.6-201.3)+(0+(-0.238476--0.102663))+0-9.8--0.00499799999999901</f>
        <v>256.36918500000002</v>
      </c>
      <c r="AA292" s="3">
        <f>0+(506.3-229.5)+(0+(-0.516426--0.23409))+0-9.9--0.0100980000000016</f>
        <v>266.62776200000008</v>
      </c>
      <c r="AB292" s="3">
        <f>0+(517.1-234.7)+(0+(-0.263721--0.119697))+0-9.8--0.00499799999999901</f>
        <v>272.46097400000002</v>
      </c>
      <c r="AC292" s="3">
        <f>0+(524.2-249)+(0+(-0.802026--0.38097))+0-10.4--0.0159120000000006</f>
        <v>264.39485600000006</v>
      </c>
      <c r="AD292">
        <f t="shared" si="4"/>
        <v>6233.0660150000012</v>
      </c>
      <c r="AE292" s="3">
        <f>142+(304.2-162.2)+(0+(0-0))+0-9.4-0</f>
        <v>274.60000000000002</v>
      </c>
    </row>
    <row r="293" spans="1:31" s="2" customFormat="1" x14ac:dyDescent="0.25">
      <c r="A293">
        <v>89</v>
      </c>
      <c r="B293">
        <v>10</v>
      </c>
      <c r="C293">
        <v>17</v>
      </c>
      <c r="D293">
        <v>7</v>
      </c>
      <c r="E293">
        <v>1</v>
      </c>
      <c r="F293" s="3">
        <f>0+(538.2-276.5)+(0+(-0.274482--0.141015))+0-11--0.00560999999999888</f>
        <v>250.57214300000004</v>
      </c>
      <c r="G293" s="3">
        <f>0+(535.1-281.5)+(0+(-0.818703--0.430695))+0-12.6--0.0192780000000007</f>
        <v>240.63127000000003</v>
      </c>
      <c r="H293" s="3">
        <f>0+(427.9-175.3)+(0+(0-0))+0-13.9-0</f>
        <v>238.69999999999996</v>
      </c>
      <c r="I293" s="3">
        <f>0+(371.7-124.1)+(0+(0.189567-0.063291))+0-13.1-0.00668099999999867</f>
        <v>234.619595</v>
      </c>
      <c r="J293" s="3">
        <f>0+(361.3-113.5)+(0+(-0.368526--0.11577))+0-18.1--0.0184620000000029</f>
        <v>229.46570600000001</v>
      </c>
      <c r="K293" s="3">
        <f>0+(372.9-128.9)+(0+(0.190179-0.065739))+0-19.7-0.010046999999998</f>
        <v>224.41439299999999</v>
      </c>
      <c r="L293" s="3">
        <f>0+(440.6-191.9)+(0+(-1.12353--0.489345))+0-22.1--0.0563549999999968</f>
        <v>226.02217000000002</v>
      </c>
      <c r="M293" s="3">
        <f>0+(478-230.8)+(0+(0-0))+0-24.5-0</f>
        <v>222.7</v>
      </c>
      <c r="N293" s="3">
        <f>0+(479.7-227.2)+(0+(0-0))+0-24-0</f>
        <v>228.5</v>
      </c>
      <c r="O293" s="3">
        <f>0+(519.8-255.8)+(0+(1.060392-0.521832))+0-25-0.0509999999999989</f>
        <v>239.48755999999997</v>
      </c>
      <c r="P293" s="3">
        <f>0+(568.5-297)+(0+(-0.869805--0.45441))+0-27--0.0413100000000016</f>
        <v>244.12591500000002</v>
      </c>
      <c r="Q293" s="3">
        <f>0+(545.2-273.1)+(0+(-0.278052--0.139281))+0-28--0.0142799999999972</f>
        <v>243.97550899999999</v>
      </c>
      <c r="R293" s="3">
        <f>0+(499-236.8)+(0+(-0.76347--0.362304))+0-30--0.0459000000000017</f>
        <v>231.84473399999999</v>
      </c>
      <c r="S293" s="3">
        <f>0+(476.6-216.6)+(0+(-0.486132--0.220932))+0-31--0.0316200000000049</f>
        <v>228.76642000000001</v>
      </c>
      <c r="T293" s="3">
        <f>0+(398.4-143.9)+(0+(0.406368-0.146778))+0-30-0.0306000000000048</f>
        <v>224.72898999999998</v>
      </c>
      <c r="U293" s="3">
        <f>0+(347.8-102.7)+(0+(0-0))+0-30-0</f>
        <v>215.10000000000002</v>
      </c>
      <c r="V293" s="3">
        <f>0+(313.2-55.9)+(0+(-0.958392--0.171054))+0-30--0.0918000000000035</f>
        <v>226.60446200000004</v>
      </c>
      <c r="W293" s="3">
        <f>0+(323.6-53.4)+(0+(-0.165036--0.027234))+0-30--0.015299999999997</f>
        <v>240.07749800000002</v>
      </c>
      <c r="X293" s="3">
        <f>0+(307.6-31.1)+(0+(-0.470628--0.047583))+0-31--0.0474300000000018</f>
        <v>245.12438499999999</v>
      </c>
      <c r="Y293" s="3">
        <f>0+(345.8-74.4)+(0+(0-0))+0-31-0</f>
        <v>240.39999999999998</v>
      </c>
      <c r="Z293" s="3">
        <f>0+(339.7-71.9)+(0+(-0.692988--0.146676))+0-31--0.0632399999999986</f>
        <v>236.31692799999996</v>
      </c>
      <c r="AA293" s="3">
        <f>0+(342.6-70)+(0+(-0.174726--0.0357))+0-31--0.0158099999999969</f>
        <v>241.47678400000001</v>
      </c>
      <c r="AB293" s="3">
        <f>0+(398.6-122.5)+(0+(-0.203286--0.062475))+0-29--0.0147899999999971</f>
        <v>246.97397900000004</v>
      </c>
      <c r="AC293" s="3">
        <f>0+(447.5-175.1)+(0+(-0.684675--0.267903))+0-31--0.0474300000000018</f>
        <v>241.03065799999999</v>
      </c>
      <c r="AD293">
        <f t="shared" si="4"/>
        <v>5641.6590990000004</v>
      </c>
      <c r="AE293" s="3">
        <f>0+(318.9-20)+(0+(0-0))+0-30-0</f>
        <v>268.89999999999998</v>
      </c>
    </row>
    <row r="294" spans="1:31" s="2" customFormat="1" x14ac:dyDescent="0.25">
      <c r="A294">
        <v>89</v>
      </c>
      <c r="B294">
        <v>10</v>
      </c>
      <c r="C294">
        <v>18</v>
      </c>
      <c r="D294">
        <v>1</v>
      </c>
      <c r="E294">
        <v>1</v>
      </c>
      <c r="F294" s="3">
        <f>0+(367.2-115)+(0+(-0.93636--0.29325))+0-30--0.0764999999999956</f>
        <v>221.63338999999996</v>
      </c>
      <c r="G294" s="3">
        <f>0+(349.1-94.5)+(0+(-0.356082--0.09639))+0-30--0.0306000000000048</f>
        <v>224.37090800000001</v>
      </c>
      <c r="H294" s="3">
        <f>0+(318-74.9)+(0+(-0.8109--0.190995))+0-24--0.0611999999999965</f>
        <v>218.54129499999999</v>
      </c>
      <c r="I294" s="3">
        <f>0+(287.3-32.8)+(0+(-0.293046--0.033456))+0-24--0.0244800000000038</f>
        <v>230.26489000000001</v>
      </c>
      <c r="J294" s="3">
        <f>0+(331.5-96.2)+(0+(-0.169065--0.049062))+0-29--0.0147899999999971</f>
        <v>206.19478700000002</v>
      </c>
      <c r="K294" s="3">
        <f>0+(273.5-32.5)+(0+(-0.27897--0.03315))+0-29--0.0295800000000046</f>
        <v>211.78376</v>
      </c>
      <c r="L294" s="3">
        <f>0+(406.1-145)+(0+(-0.207111--0.07395))+0-29--0.0147899999999971</f>
        <v>231.98162900000005</v>
      </c>
      <c r="M294" s="3">
        <f>0+(409.8-128.8)+(0+(0.208998-0.065688))+0-29-0.0147899999999971</f>
        <v>252.12851999999998</v>
      </c>
      <c r="N294" s="3">
        <f>0+(502.7-193.8)+(0+(0-0))+0-29-0</f>
        <v>279.89999999999998</v>
      </c>
      <c r="O294" s="3">
        <f>0+(539.8-218.6)+(0+(-0.275298--0.111486))+0-29--0.0147899999999971</f>
        <v>292.05097799999993</v>
      </c>
      <c r="P294" s="3">
        <f>0+(576.1-249.7)+(0+(-0.587622--0.254694))+0-29--0.0295800000000046</f>
        <v>297.09665200000006</v>
      </c>
      <c r="Q294" s="3">
        <f>0+(583.5-245.3)+(0+(-0.297585--0.125103))+0-29--0.0147899999999971</f>
        <v>309.04230799999999</v>
      </c>
      <c r="R294" s="3">
        <f>0+(573.3-234.9)+(0+(-0.292383--0.119799))+0-29--0.0147899999999971</f>
        <v>309.24220600000001</v>
      </c>
      <c r="S294" s="3">
        <f>0+(589.6-264.1)+(0+(-0.601392--0.269382))+0-31--0.0316200000000049</f>
        <v>294.19961000000001</v>
      </c>
      <c r="T294" s="3">
        <f>0+(607.9-285)+(0+(-0.620058--0.2907))+0-31--0.0316200000000049</f>
        <v>291.602262</v>
      </c>
      <c r="U294" s="3">
        <f>0+(595.8-279.4)+(0+(0-0))+0-31-0</f>
        <v>285.39999999999998</v>
      </c>
      <c r="V294" s="3">
        <f>0+(574.2-254)+(0+(0-0))+0-31-0</f>
        <v>289.20000000000005</v>
      </c>
      <c r="W294" s="3">
        <f>0+(457.1-133.9)+(0+(0.466242-0.136578))+0-31-0.0316200000000049</f>
        <v>292.49804399999999</v>
      </c>
      <c r="X294" s="3">
        <f>0+(470.3-149.1)+(0+(-0.719559--0.228123))+0-31--0.0474300000000018</f>
        <v>289.75599400000004</v>
      </c>
      <c r="Y294" s="3">
        <f>0+(456.6-143.1)+(0+(-0.931464--0.291924))+0-31--0.0632399999999986</f>
        <v>281.9237</v>
      </c>
      <c r="Z294" s="3">
        <f>0+(447.9-144.6)+(0+(-0.456858--0.147492))+0-31--0.0316200000000049</f>
        <v>272.02225399999998</v>
      </c>
      <c r="AA294" s="3">
        <f>0+(419.9-113.8)+(0+(-0.428298--0.116076))+0-31--0.0316200000000049</f>
        <v>274.81939799999998</v>
      </c>
      <c r="AB294" s="3">
        <f>0+(418.7-126.9)+(0+(-0.213537--0.064719))+0-31--0.0158099999999969</f>
        <v>260.66699199999994</v>
      </c>
      <c r="AC294" s="3">
        <f>0+(463.8-184.3)+(0+(-0.946152--0.375972))+0-31--0.0632399999999986</f>
        <v>247.99306000000001</v>
      </c>
      <c r="AD294">
        <f t="shared" si="4"/>
        <v>6364.312637</v>
      </c>
      <c r="AE294" s="3">
        <f>0+(453.9-135.9)+(0+(0-0))+0-31-0</f>
        <v>287</v>
      </c>
    </row>
    <row r="295" spans="1:31" s="2" customFormat="1" x14ac:dyDescent="0.25">
      <c r="A295">
        <v>89</v>
      </c>
      <c r="B295">
        <v>10</v>
      </c>
      <c r="C295">
        <v>19</v>
      </c>
      <c r="D295">
        <v>2</v>
      </c>
      <c r="E295">
        <v>1</v>
      </c>
      <c r="F295" s="3">
        <f>0+(381.4-108.7)+(0+(-0.583542--0.166311))+0-31--0.0474300000000018</f>
        <v>241.33019899999996</v>
      </c>
      <c r="G295" s="3">
        <f>0+(341-74.9)+(0+(-1.04346--0.229194))+0-31--0.0948600000000036</f>
        <v>234.38059400000006</v>
      </c>
      <c r="H295" s="3">
        <f>0+(356.7-93.3)+(0+(0.181917-0.047583))+0-31-0.0158099999999969</f>
        <v>232.51852400000001</v>
      </c>
      <c r="I295" s="3">
        <f>0+(323.9-64.9)+(0+(-0.495567--0.099297))+0-30--0.0459000000000017</f>
        <v>228.64962999999997</v>
      </c>
      <c r="J295" s="3">
        <f>0+(330.6-70.7)+(0+(0.337212-0.072114))+0-29-0.0295800000000046</f>
        <v>231.13551800000005</v>
      </c>
      <c r="K295" s="3">
        <f>0+(299.1-32.9)+(0+(-0.305082--0.033558))+0-30--0.0306000000000048</f>
        <v>235.95907600000004</v>
      </c>
      <c r="L295" s="3">
        <f>0+(301.9-34.1)+(0+(-0.615876--0.069564))+0-31--0.0632399999999986</f>
        <v>236.31692799999996</v>
      </c>
      <c r="M295" s="3">
        <f>0+(382.9-102.8)+(0+(-0.585837--0.157284))+0-31--0.0474300000000018</f>
        <v>248.71887699999994</v>
      </c>
      <c r="N295" s="3">
        <f>0+(536.7-230.4)+(0+(0.273717-0.117504))+0-31-0.0158099999999969</f>
        <v>275.44040300000006</v>
      </c>
      <c r="O295" s="3">
        <f>0+(558.3-244.2)+(0+(-0.284733--0.124542))+0-31--0.0158099999999969</f>
        <v>282.95561899999996</v>
      </c>
      <c r="P295" s="3">
        <f>0+(542.4-213.1)+(0+(0-0))+0-29-0</f>
        <v>300.29999999999995</v>
      </c>
      <c r="Q295" s="3">
        <f>0+(511.8-188.8)+(0+(0-0))+0-30-0</f>
        <v>293</v>
      </c>
      <c r="R295" s="3">
        <f>0+(520.5-205.3)+(0+(-1.06182--0.418812))+0-30--0.0611999999999987</f>
        <v>284.61819199999996</v>
      </c>
      <c r="S295" s="3">
        <f>0+(543.6-244.6)+(0+(-0.554472--0.249492))+0-31--0.0316200000000049</f>
        <v>267.72664000000003</v>
      </c>
      <c r="T295" s="3">
        <f>0+(590.7-289.8)+(0+(-1.205028--0.591192))+0-31--0.0632399999999986</f>
        <v>269.34940400000005</v>
      </c>
      <c r="U295" s="3">
        <f>0+(546.9-250.6)+(0+(0-0))+0-30.7-0</f>
        <v>265.59999999999997</v>
      </c>
      <c r="V295" s="3">
        <f>0+(443.9-141.7)+(0+(0-0))+0-30.4-0</f>
        <v>271.8</v>
      </c>
      <c r="W295" s="3">
        <f>0+(385.3-61.1)+(0+(0-0))+0-30.8-0</f>
        <v>293.39999999999998</v>
      </c>
      <c r="X295" s="3">
        <f>0+(381.8-59.2)+(0+(-0.584154--0.090576))+0-30.9--0.0472770000000018</f>
        <v>291.25369900000004</v>
      </c>
      <c r="Y295" s="3">
        <f>0+(392.2-80.7)+(0+(-0.600066--0.123471))+0-30.7--0.0469710000000018</f>
        <v>280.37037600000002</v>
      </c>
      <c r="Z295" s="3">
        <f>0+(449.8-139.9)+(0+(-0.458796--0.142698))+0-31--0.0316200000000049</f>
        <v>278.615522</v>
      </c>
      <c r="AA295" s="3">
        <f>0+(492.9-171.9)+(0+(-0.502758--0.175338))+0-28--0.0285600000000045</f>
        <v>292.70114000000001</v>
      </c>
      <c r="AB295" s="3">
        <f>0+(510.9-214.1)+(0+(-1.042236--0.436764))+0-9.4--0.0191759999999996</f>
        <v>286.81370399999997</v>
      </c>
      <c r="AC295" s="3">
        <f>0+(425.5-139.1)+(0+(-0.217005--0.070941))+0-9.4--0.00479399999999905</f>
        <v>276.85872999999998</v>
      </c>
      <c r="AD295">
        <f t="shared" si="4"/>
        <v>6399.8127749999994</v>
      </c>
      <c r="AE295" s="3">
        <f>0+(375.3-55)+(0+(0-0))+0-31-0</f>
        <v>289.3</v>
      </c>
    </row>
    <row r="296" spans="1:31" s="2" customFormat="1" x14ac:dyDescent="0.25">
      <c r="A296">
        <v>89</v>
      </c>
      <c r="B296">
        <v>10</v>
      </c>
      <c r="C296">
        <v>20</v>
      </c>
      <c r="D296">
        <v>3</v>
      </c>
      <c r="E296">
        <v>1</v>
      </c>
      <c r="F296" s="3">
        <f>0+(345.7-65.3)+(0+(-0.528921--0.099909))+0-9.5--0.0145350000000005</f>
        <v>270.485523</v>
      </c>
      <c r="G296" s="3">
        <f>0+(272.5-5.1)+(0+(-0.416925--0.007803))+0-9.7--0.0148410000000006</f>
        <v>257.30571899999995</v>
      </c>
      <c r="H296" s="3">
        <f>0+(287.8-11.9)+(0+(0.440334-0.018207))+0-9.7-0.0148410000000006</f>
        <v>266.60728600000004</v>
      </c>
      <c r="I296" s="3">
        <f>0+(294.4-34)+(0+(-0.300288--0.03468))+0-9.8--0.00999600000000156</f>
        <v>250.34438799999998</v>
      </c>
      <c r="J296" s="3">
        <f>0+(303-38.1)+(0+(-0.30906--0.038862))+0-9.7--0.00989400000000155</f>
        <v>254.939696</v>
      </c>
      <c r="K296" s="3">
        <f>0+(372.9-96.9)+(0+(0-0))+0-9.8-0</f>
        <v>266.2</v>
      </c>
      <c r="L296" s="3">
        <f>0+(400.6-124)+(0+(-0.204306--0.06324))+0-9.7--0.00494699999999902</f>
        <v>266.76388100000003</v>
      </c>
      <c r="M296" s="3">
        <f>0+(493.2-198.6)+(0+(0.503064-0.202572))+0-9.7-0.00989400000000155</f>
        <v>285.19059800000008</v>
      </c>
      <c r="N296" s="3">
        <f>0+(500-192.1)+(0+(0-0))+0-10.7-0</f>
        <v>297.2</v>
      </c>
      <c r="O296" s="3">
        <f>0+(432.7-120)+(0+(0-0))+0-11.1-0</f>
        <v>301.59999999999997</v>
      </c>
      <c r="P296" s="3">
        <f>0+(381.7-67.2)+(0+(-0.389334--0.068544))+0-11.2--0.0114240000000018</f>
        <v>302.990634</v>
      </c>
      <c r="Q296" s="3">
        <f>0+(410.3-95.1)+(0+(-0.209253--0.048501))+0-12.4--0.00632399999999874</f>
        <v>302.64557200000007</v>
      </c>
      <c r="R296" s="3">
        <f>0+(390.8-88.2)+(0+(-1.395156--0.314874))+0-12.1--0.0431970000000002</f>
        <v>289.46291500000001</v>
      </c>
      <c r="S296" s="3">
        <f>0+(423.9-134.5)+(0+(-0.216189--0.068595))+0-13.5--0.00688499999999863</f>
        <v>275.75929099999996</v>
      </c>
      <c r="T296" s="3">
        <f>0+(429.7-146)+(0+(0-0))+0-15.1-0</f>
        <v>268.59999999999997</v>
      </c>
      <c r="U296" s="3">
        <f>0+(451.2-171.1)+(0+(0-0))+0-15.5-0</f>
        <v>264.60000000000002</v>
      </c>
      <c r="V296" s="3">
        <f>0+(459.8-169.9)+(0+(-1.17249--0.433245))+0-17.8--0.0453899999999974</f>
        <v>271.40614499999998</v>
      </c>
      <c r="W296" s="3">
        <f>0+(474-180.8)+(0+(0-0))+0-20.2-0</f>
        <v>273</v>
      </c>
      <c r="X296" s="3">
        <f>0+(420.8-126)+(0+(-0.858432--0.25704))+0-22.4--0.045695999999999</f>
        <v>271.84430400000008</v>
      </c>
      <c r="Y296" s="3">
        <f>0+(451.2-164.9)+(0+(-0.690336--0.252297))+0-24--0.0367200000000014</f>
        <v>261.89868099999995</v>
      </c>
      <c r="Z296" s="3">
        <f>0+(450.9-170.8)+(0+(-0.229959--0.087108))+0-26.4--0.0134639999999973</f>
        <v>253.57061299999995</v>
      </c>
      <c r="AA296" s="3">
        <f>0+(522.3-230.8)+(0+(0.532746-0.235416))+0-28.6-0.0291720000000046</f>
        <v>263.16815799999989</v>
      </c>
      <c r="AB296" s="3">
        <f>0+(474.6-183.5)+(0+(-0.484092--0.18717))+0-28.9--0.0294780000000046</f>
        <v>261.93255600000003</v>
      </c>
      <c r="AC296" s="3">
        <f>0+(486.7-203.2)+(0+(-0.496434--0.207264))+0-30--0.0306000000000048</f>
        <v>253.24142999999998</v>
      </c>
      <c r="AD296">
        <f t="shared" si="4"/>
        <v>6530.7573899999998</v>
      </c>
      <c r="AE296" s="3">
        <f>0+(431-148)+(0+(0-0))+0-22-0</f>
        <v>261</v>
      </c>
    </row>
    <row r="297" spans="1:31" s="2" customFormat="1" x14ac:dyDescent="0.25">
      <c r="A297">
        <v>89</v>
      </c>
      <c r="B297">
        <v>10</v>
      </c>
      <c r="C297">
        <v>21</v>
      </c>
      <c r="D297">
        <v>4</v>
      </c>
      <c r="E297">
        <v>1</v>
      </c>
      <c r="F297" s="3">
        <f>0+(428.2-146.3)+(0+(-0.436764--0.149226))+0-30.2--0.0308040000000048</f>
        <v>251.44326600000002</v>
      </c>
      <c r="G297" s="3">
        <f>0+(315-55.2)+(0+(-0.3213--0.056304))+0-23.2--0.0236640000000037</f>
        <v>236.35866800000002</v>
      </c>
      <c r="H297" s="3">
        <f>0+(300.1-38.8)+(0+(0.153051-0.019788))+0-24.6-0.0125459999999975</f>
        <v>236.82071700000003</v>
      </c>
      <c r="I297" s="3">
        <f>0+(312.7-60)+(0+(0.159477-0.0306))+0-27.1-0.0138209999999973</f>
        <v>225.71505599999998</v>
      </c>
      <c r="J297" s="3">
        <f>0+(332.8-81)+(0+(0.339456-0.08262))+0-28.8-0.0293760000000046</f>
        <v>223.22745999999998</v>
      </c>
      <c r="K297" s="3">
        <f>0+(382.7-128.2)+(0+(-0.195177--0.065382))+0-29.5--0.015044999999997</f>
        <v>224.88524999999998</v>
      </c>
      <c r="L297" s="3">
        <f>0+(456.7-191.3)+(0+(-1.397502--0.585378))+0-29.3--0.0896580000000034</f>
        <v>235.377534</v>
      </c>
      <c r="M297" s="3">
        <f>0+(547.3-271.1)+(0+(0-0))+0-30.2-0</f>
        <v>245.99999999999994</v>
      </c>
      <c r="N297" s="3">
        <f>0+(549.9-251.1)+(0+(-0.560898--0.256122))+0-31.5--0.032130000000005</f>
        <v>267.02735399999995</v>
      </c>
      <c r="O297" s="3">
        <f>0+(647.1-342.4)+(0+(-0.330021--0.174624))+0-32.4--0.0165239999999967</f>
        <v>272.16112700000008</v>
      </c>
      <c r="P297" s="3">
        <f>0+(618.9-312.3)+(0+(0.315639-0.159273))+0-31.3-0.0159629999999968</f>
        <v>275.44040299999995</v>
      </c>
      <c r="Q297" s="3">
        <f>0+(625.6-310.5)+(0+(-0.957168--0.475065))+0-32.6--0.0498780000000019</f>
        <v>282.06777499999998</v>
      </c>
      <c r="R297" s="3">
        <f>0+(554.5-248)+(0+(-1.413975--0.6324))+0-30--0.0764999999999956</f>
        <v>275.79492500000003</v>
      </c>
      <c r="S297" s="3">
        <f>0+(540.3-243.1)+(0+(0-0))+0-30-0</f>
        <v>267.19999999999993</v>
      </c>
      <c r="T297" s="3">
        <f>0+(558.2-256.3)+(0+(0.284682-0.130713))+0-30-0.015299999999997</f>
        <v>272.03866900000003</v>
      </c>
      <c r="U297" s="3">
        <f>0+(563-264.9)+(0+(0-0))+0-30-0</f>
        <v>268.10000000000002</v>
      </c>
      <c r="V297" s="3">
        <f>0+(440.3-136.4)+(0+(-0.224553--0.069564))+0-30--0.015299999999997</f>
        <v>273.760311</v>
      </c>
      <c r="W297" s="3">
        <f>0+(414.6-108.9)+(0+(0.211446-0.055539))+0-29-0.0147899999999971</f>
        <v>276.84111700000005</v>
      </c>
      <c r="X297" s="3">
        <f>0+(501.4-198.4)+(0+(-0.767142--0.303552))+0-30--0.0459000000000017</f>
        <v>272.58231000000001</v>
      </c>
      <c r="Y297" s="3">
        <f>0+(516.3-217.4)+(0+(-1.053252--0.443496))+0-31--0.0632399999999986</f>
        <v>267.35348399999998</v>
      </c>
      <c r="Z297" s="3">
        <f>0+(489.4-201.8)+(0+(-0.998376--0.411672))+0-28--0.0571199999999988</f>
        <v>259.07041599999997</v>
      </c>
      <c r="AA297" s="3">
        <f>0+(458.7-158.6)+(0+(-0.935748--0.323544))+0-30--0.0611999999999987</f>
        <v>269.54899599999999</v>
      </c>
      <c r="AB297" s="3">
        <f>0+(474-179.8)+(0+(-0.72522--0.275094))+0-28--0.0428400000000016</f>
        <v>265.79271399999999</v>
      </c>
      <c r="AC297" s="3">
        <f>0+(466.5-178.7)+(0+(-1.665405--0.637959))+0-29--0.10353</f>
        <v>257.87608399999999</v>
      </c>
      <c r="AD297">
        <f t="shared" si="4"/>
        <v>6202.4836360000008</v>
      </c>
      <c r="AE297" s="3">
        <f>0+(519.3-213.4)+(0+(0-0))+0-32-0</f>
        <v>273.89999999999998</v>
      </c>
    </row>
    <row r="298" spans="1:31" s="2" customFormat="1" x14ac:dyDescent="0.25">
      <c r="A298">
        <v>89</v>
      </c>
      <c r="B298">
        <v>10</v>
      </c>
      <c r="C298">
        <v>22</v>
      </c>
      <c r="D298">
        <v>5</v>
      </c>
      <c r="E298">
        <v>1</v>
      </c>
      <c r="F298" s="3">
        <f>0+(393.6-121.7)+(0+(0.401472-0.124134))+0-28-0.0285600000000045</f>
        <v>244.14877800000002</v>
      </c>
      <c r="G298" s="3">
        <f>0+(358.6-91.6)+(0+(0-0))+0-30-0</f>
        <v>237</v>
      </c>
      <c r="H298" s="3">
        <f>0+(360.9-98.4)+(0+(0-0))+0-31-0</f>
        <v>231.5</v>
      </c>
      <c r="I298" s="3">
        <f>0+(344.3-83.3)+(0+(0-0))+0-30-0</f>
        <v>231</v>
      </c>
      <c r="J298" s="3">
        <f>0+(316.6-59.3)+(0+(0.80733-0.151215))+0-30-0.0764999999999956</f>
        <v>227.87961500000003</v>
      </c>
      <c r="K298" s="3">
        <f>0+(307.5-46.3)+(0+(0-0))+0-30-0</f>
        <v>231.2</v>
      </c>
      <c r="L298" s="3">
        <f>0+(338.3-66.7)+(0+(-0.172533--0.034017))+0-30--0.015299999999997</f>
        <v>241.47678400000004</v>
      </c>
      <c r="M298" s="3">
        <f>0+(404.4-124.6)+(0+(0.206244-0.063546))+0-31-0.0158099999999969</f>
        <v>248.92688799999996</v>
      </c>
      <c r="N298" s="3">
        <f>0+(439.4-139.9)+(0+(0.896376-0.285396))+0-33-0.0673199999999986</f>
        <v>267.04365999999999</v>
      </c>
      <c r="O298" s="3">
        <f>0+(486.6-175.2)+(0+(0.496332-0.178704))+0-31-0.0316200000000049</f>
        <v>280.68600800000002</v>
      </c>
      <c r="P298" s="3">
        <f>0+(547.3-235.6)+(0+(1.116492-0.480624))+0-33-0.0673199999999986</f>
        <v>279.26854799999995</v>
      </c>
      <c r="Q298" s="3">
        <f>0+(525.7-212)+(0+(0-0))+0-31-0</f>
        <v>282.70000000000005</v>
      </c>
      <c r="R298" s="3">
        <f>0+(563.4-256.8)+(0+(-0.862002--0.392904))+0-31--0.0474300000000018</f>
        <v>275.17833200000001</v>
      </c>
      <c r="S298" s="3">
        <f>0+(579-294.8)+(0+(-1.18116--0.601392))+0-31--0.0632399999999986</f>
        <v>252.68347199999999</v>
      </c>
      <c r="T298" s="3">
        <f>0+(503.5-221.5)+(0+(0-0))+0-11-0</f>
        <v>271</v>
      </c>
      <c r="U298" s="3">
        <f>0+(512-232.7)+(0+(-0.52224--0.237354))+0-10--0.0102000000000016</f>
        <v>269.02531400000004</v>
      </c>
      <c r="V298" s="3">
        <f>0+(473.5-174.2)+(0+(-1.44891--0.533052))+0-10--0.0306000000000012</f>
        <v>288.41474199999999</v>
      </c>
      <c r="W298" s="3">
        <f>0+(395-113.3)+(0+(-0.20145--0.057783))+0-10--0.00509999999999899</f>
        <v>271.56143300000002</v>
      </c>
      <c r="X298" s="3">
        <f>0+(376.2-93.9)+(0+(-0.575586--0.143667))+0-13--0.0198900000000008</f>
        <v>268.88797099999994</v>
      </c>
      <c r="Y298" s="3">
        <f>0+(407.3-117.3)+(0+(-0.415446--0.119646))+0-17--0.0173400000000027</f>
        <v>272.72154</v>
      </c>
      <c r="Z298" s="3">
        <f>0+(417-132.2)+(0+(-0.21267--0.067422))+0-17--0.00866999999999828</f>
        <v>267.66342200000003</v>
      </c>
      <c r="AA298" s="3">
        <f>0+(449.2-162.8)+(0+(-0.229092--0.083028))+0-19--0.00968999999999807</f>
        <v>267.26362599999993</v>
      </c>
      <c r="AB298" s="3">
        <f>0+(308.6-17.7)+(0+(-0.157386--0.009027))+0-22--0.0112199999999978</f>
        <v>268.76286099999999</v>
      </c>
      <c r="AC298" s="3">
        <f>0+(337.1-55)+(0+(-0.343842--0.0561))+0-24--0.0244800000000038</f>
        <v>257.83673800000003</v>
      </c>
      <c r="AD298">
        <f t="shared" si="4"/>
        <v>6233.8297320000011</v>
      </c>
      <c r="AE298" s="3">
        <f>0+(413.4-123.5)+(0+(0-0))+0-32-0</f>
        <v>257.89999999999998</v>
      </c>
    </row>
    <row r="299" spans="1:31" s="2" customFormat="1" x14ac:dyDescent="0.25">
      <c r="A299">
        <v>89</v>
      </c>
      <c r="B299">
        <v>10</v>
      </c>
      <c r="C299">
        <v>23</v>
      </c>
      <c r="D299">
        <v>6</v>
      </c>
      <c r="E299">
        <v>1</v>
      </c>
      <c r="F299" s="3">
        <f>0+(312.7-46)+(0+(-0.478431--0.07038))+0-23--0.0351900000000013</f>
        <v>243.32713899999999</v>
      </c>
      <c r="G299" s="3">
        <f>0+(261-0)+(0+(0-0))+0-20-0</f>
        <v>241</v>
      </c>
      <c r="H299" s="3">
        <f>0+(289-29.6)+(0+(0.14739-0.015096))+0-24-0.0122399999999976</f>
        <v>235.52005399999999</v>
      </c>
      <c r="I299" s="3">
        <f>0+(308.9-51.3)+(0+(0.157539-0.026163))+0-21-0.0107099999999979</f>
        <v>236.72066599999997</v>
      </c>
      <c r="J299" s="3">
        <f>0+(307.5-53.6)+(0+(0.31365-0.054672))+0-24-0.0244800000000038</f>
        <v>230.13449800000001</v>
      </c>
      <c r="K299" s="3">
        <f>0+(285.2-27.1)+(0+(0.290904-0.027642))+0-30-0.0306000000000048</f>
        <v>228.33266199999997</v>
      </c>
      <c r="L299" s="3">
        <f>0+(272.4-1.8)+(0+(0-0))+0-30-0</f>
        <v>240.59999999999997</v>
      </c>
      <c r="M299" s="3">
        <f>0+(264.3-0)+(0+(-0.134793-0))+0-31--0.0158099999999969</f>
        <v>233.181017</v>
      </c>
      <c r="N299" s="3">
        <f>0+(317.9-32.5)+(0+(-0.324258--0.03315))+0-34--0.0346800000000054</f>
        <v>251.14357199999998</v>
      </c>
      <c r="O299" s="3">
        <f>0+(320.9-27.7)+(0+(0.163659-0.014127))+0-32-0.0163199999999968</f>
        <v>261.333212</v>
      </c>
      <c r="P299" s="3">
        <f>0+(332.7-42.5)+(0+(0.339354-0.04335))+0-31-0.0316200000000049</f>
        <v>259.46438399999994</v>
      </c>
      <c r="Q299" s="3">
        <f>0+(306.1-17.6)+(0+(-0.156111--0.008976))+0-31--0.0158099999999969</f>
        <v>257.368675</v>
      </c>
      <c r="R299" s="3">
        <f>0+(336.9-51.1)+(0+(-0.171819--0.026061))+0-31--0.0158099999999969</f>
        <v>254.67005199999994</v>
      </c>
      <c r="S299" s="3">
        <f>0+(355.1-80.9)+(0+(0-0))+0-31-0</f>
        <v>243.20000000000005</v>
      </c>
      <c r="T299" s="3">
        <f>0+(351.8-85.7)+(0+(-0.717672--0.174828))+0-31--0.0632399999999986</f>
        <v>234.62039600000003</v>
      </c>
      <c r="U299" s="3">
        <f>0+(381.7-123.5)+(0+(0-0))+0-31-0</f>
        <v>227.2</v>
      </c>
      <c r="V299" s="3">
        <f>0+(304.4-43.1)+(0+(-0.155244--0.021981))+0-31--0.0158099999999969</f>
        <v>230.18254699999994</v>
      </c>
      <c r="W299" s="3">
        <f>0+(410.3-127.5)+(0+(0-0))+0-31-0</f>
        <v>251.8</v>
      </c>
      <c r="X299" s="3">
        <f>0+(333.9-54.1)+(0+(-0.340578--0.055182))+0-31--0.0316200000000049</f>
        <v>248.54622399999997</v>
      </c>
      <c r="Y299" s="3">
        <f>0+(272.4-6.8)+(0+(-0.277848--0.006936))+0-31--0.0316200000000049</f>
        <v>234.36070799999996</v>
      </c>
      <c r="Z299" s="3">
        <f>0+(304.3-34)+(0+(-0.310386--0.03468))+0-31--0.0316200000000049</f>
        <v>239.055914</v>
      </c>
      <c r="AA299" s="3">
        <f>0+(369.7-85.3)+(0+(0.377094-0.087006))+0-31-0.0316200000000049</f>
        <v>253.658468</v>
      </c>
      <c r="AB299" s="3">
        <f>0+(434.4-150.9)+(0+(-0.443088--0.153918))+0-31--0.0316200000000049</f>
        <v>252.24244999999999</v>
      </c>
      <c r="AC299" s="3">
        <f>0+(367.8-95.7)+(0+(-0.562734--0.146421))+0-31--0.0474300000000018</f>
        <v>240.73111700000001</v>
      </c>
      <c r="AD299">
        <f t="shared" si="4"/>
        <v>5828.3937549999991</v>
      </c>
      <c r="AE299" s="3">
        <f>0+(344.2-58)+(0+(0-0))+0-31-0</f>
        <v>255.2</v>
      </c>
    </row>
    <row r="300" spans="1:31" s="2" customFormat="1" x14ac:dyDescent="0.25">
      <c r="A300">
        <v>89</v>
      </c>
      <c r="B300">
        <v>10</v>
      </c>
      <c r="C300">
        <v>24</v>
      </c>
      <c r="D300">
        <v>7</v>
      </c>
      <c r="E300">
        <v>1</v>
      </c>
      <c r="F300" s="3">
        <f>0+(409.4-149.4)+(0+(0-0))+0-32-0</f>
        <v>228</v>
      </c>
      <c r="G300" s="3">
        <f>0+(358-102.3)+(0+(-0.54774--0.156519))+0-32--0.0489600000000018</f>
        <v>223.35773899999998</v>
      </c>
      <c r="H300" s="3">
        <f>0+(236.7-0)+(0+(-0.120717-0))+0-32--0.0163199999999968</f>
        <v>204.59560299999998</v>
      </c>
      <c r="I300" s="3">
        <f>0+(242.2-0)+(0+(0.123522-0))+0-32-0.0163199999999968</f>
        <v>210.30720199999999</v>
      </c>
      <c r="J300" s="3">
        <f>0+(236.6-0)+(0+(0.120666-0))+0-32-0.0163199999999968</f>
        <v>204.70434599999999</v>
      </c>
      <c r="K300" s="3">
        <f>0+(228.8-0)+(0+(0.466752-0))+0-32-0.0652799999999986</f>
        <v>197.20147200000002</v>
      </c>
      <c r="L300" s="3">
        <f>0+(227.9-5.1)+(0+(-0.348687--0.007803))+0-32--0.0489600000000018</f>
        <v>190.50807600000002</v>
      </c>
      <c r="M300" s="3">
        <f>0+(291.5-86.3)+(0+(-0.59466--0.176052))+0-32--0.0652799999999986</f>
        <v>172.84667199999998</v>
      </c>
      <c r="N300" s="3">
        <f>0+(284.6-78.7)+(0+(0.435438-0.120411))+0-32-0.0489600000000018</f>
        <v>174.16606700000003</v>
      </c>
      <c r="O300" s="3">
        <f>0+(346.3-133.7)+(0+(-0.353226--0.136374))+0-32--0.0326400000000051</f>
        <v>180.41578800000005</v>
      </c>
      <c r="P300" s="3">
        <f>0+(410.5-188.9)+(0+(-0.41871--0.192678))+0-32--0.0326400000000051</f>
        <v>189.40660800000001</v>
      </c>
      <c r="Q300" s="3">
        <f>0+(444.8-220.7)+(0+(-0.680544--0.337671))+0-32--0.0489600000000018</f>
        <v>191.80608700000002</v>
      </c>
      <c r="R300" s="3">
        <f>0+(379.9-158.5)+(0+(-0.774996--0.32334))+0-32--0.0652799999999986</f>
        <v>189.01362399999996</v>
      </c>
      <c r="S300" s="3">
        <f>0+(390.8-179.5)+(0+(-0.597924--0.274635))+0-32--0.0489600000000018</f>
        <v>179.02567100000002</v>
      </c>
      <c r="T300" s="3">
        <f>0+(384.7-175.8)+(0+(-0.196197--0.089658))+0-32--0.0163199999999968</f>
        <v>176.80978099999999</v>
      </c>
      <c r="U300" s="3">
        <f>0+(412.9-205.4)+(0+(-1.052895--0.52377))+0-32--0.0815999999999954</f>
        <v>175.05247499999999</v>
      </c>
      <c r="V300" s="3">
        <f>0+(396.9-185.6)+(0+(-1.012095--0.47328))+0-32--0.0815999999999954</f>
        <v>178.84278499999999</v>
      </c>
      <c r="W300" s="3">
        <f>0+(386.8-143.2)+(0+(-0.591804--0.219096))+0-32--0.0489600000000018</f>
        <v>211.27625200000003</v>
      </c>
      <c r="X300" s="3">
        <f>0+(414.7-153)+(0+(-0.211497--0.07803))+0-32--0.0163199999999968</f>
        <v>229.582853</v>
      </c>
      <c r="Y300" s="3">
        <f>0+(393-135.2)+(0+(-0.60129--0.206856))+0-32--0.0489600000000018</f>
        <v>225.45452600000002</v>
      </c>
      <c r="Z300" s="3">
        <f>0+(446.2-192.2)+(0+(0.227562-0.098022))+0-32-0.0163199999999968</f>
        <v>222.11321999999998</v>
      </c>
      <c r="AA300" s="3">
        <f>0+(506.1-251.2)+(0+(-0.258111--0.128112))+0-32--0.0163199999999968</f>
        <v>222.78632100000004</v>
      </c>
      <c r="AB300" s="3">
        <f>0+(411-164.7)+(0+(-0.62883--0.251991))+0-32--0.0489600000000018</f>
        <v>213.97212100000002</v>
      </c>
      <c r="AC300" s="3">
        <f>0+(305.4-77.4)+(0+(0.311508-0.078948))+0-32-0.0326400000000051</f>
        <v>196.19991999999996</v>
      </c>
      <c r="AD300">
        <f t="shared" si="4"/>
        <v>4787.4452089999995</v>
      </c>
      <c r="AE300" s="3">
        <f>0+(417.7-156.6)+(0+(0-0))+0-31-0</f>
        <v>230.10000000000002</v>
      </c>
    </row>
    <row r="301" spans="1:31" s="2" customFormat="1" x14ac:dyDescent="0.25">
      <c r="A301">
        <v>89</v>
      </c>
      <c r="B301">
        <v>10</v>
      </c>
      <c r="C301">
        <v>25</v>
      </c>
      <c r="D301">
        <v>1</v>
      </c>
      <c r="E301">
        <v>1</v>
      </c>
      <c r="F301" s="3">
        <f>0+(285.6-62.9)+(0+(-0.436968--0.096237))+0-32--0.0489600000000018</f>
        <v>190.40822900000001</v>
      </c>
      <c r="G301" s="3">
        <f>0+(247.8-16.3)+(0+(0-0))+0-32-0</f>
        <v>199.5</v>
      </c>
      <c r="H301" s="3">
        <f>0+(289.4-62.3)+(0+(-0.295188--0.063546))+0-32--0.0326400000000051</f>
        <v>194.90099799999999</v>
      </c>
      <c r="I301" s="3">
        <f>0+(301.3-73)+(0+(0.307326-0.07446))+0-32-0.0326400000000051</f>
        <v>196.500226</v>
      </c>
      <c r="J301" s="3">
        <f>0+(301.8-73.8)+(0+(0.307836-0.075276))+0-32-0.0326400000000051</f>
        <v>196.19991999999999</v>
      </c>
      <c r="K301" s="3">
        <f>0+(328.8-105.3)+(0+(-0.335376--0.107406))+0-32--0.0326400000000051</f>
        <v>191.30467000000002</v>
      </c>
      <c r="L301" s="3">
        <f>0+(367.5-129.7)+(0+(-0.562275--0.198441))+0-31--0.0474300000000018</f>
        <v>206.48359600000001</v>
      </c>
      <c r="M301" s="3">
        <f>0+(475.4-220.8)+(0+(-0.242454--0.112608))+0-32--0.0163199999999968</f>
        <v>222.48647399999999</v>
      </c>
      <c r="N301" s="3">
        <f>0+(476-194.5)+(0+(0.24276-0.099195))+0-32-0.0163199999999968</f>
        <v>249.62724500000002</v>
      </c>
      <c r="O301" s="3">
        <f>0+(450.5-155.8)+(0+(0.229755-0.079458))+0-32-0.0163199999999968</f>
        <v>262.833977</v>
      </c>
      <c r="P301" s="3">
        <f>0+(445-140.1)+(0+(0-0))+0-34-0</f>
        <v>270.89999999999998</v>
      </c>
      <c r="Q301" s="3">
        <f>0+(432.5-128.2)+(0+(0-0))+0-32-0</f>
        <v>272.3</v>
      </c>
      <c r="R301" s="3">
        <f>0+(466.9-171.7)+(0+(-0.238119--0.087567))+0-32--0.0163199999999968</f>
        <v>263.06576799999999</v>
      </c>
      <c r="S301" s="3">
        <f>0+(523.3-237.8)+(0+(0-0))+0-32-0</f>
        <v>253.49999999999994</v>
      </c>
      <c r="T301" s="3">
        <f>0+(544.6-260.5)+(0+(0.277746-0.132855))+0-32-0.0163199999999968</f>
        <v>252.22857099999999</v>
      </c>
      <c r="U301" s="3">
        <f>0+(467.5-190.2)+(0+(0.238425-0.097002))+0-32-0.0163199999999968</f>
        <v>245.42510299999998</v>
      </c>
      <c r="V301" s="3">
        <f>0+(435.6-140.7)+(0+(-0.222156--0.071757))+0-31--0.0158099999999969</f>
        <v>263.76541100000003</v>
      </c>
      <c r="W301" s="3">
        <f>0+(397.7-81.6)+(0+(0.202827-0.041616))+0-32-0.0163199999999968</f>
        <v>284.244891</v>
      </c>
      <c r="X301" s="3">
        <f>0+(362.5-46)+(0+(-0.7395--0.09384))+0-31--0.0632399999999986</f>
        <v>284.91757999999999</v>
      </c>
      <c r="Y301" s="3">
        <f>0+(386.5-82.3)+(0+(-0.197115--0.041973))+0-32--0.0163199999999968</f>
        <v>272.06117799999998</v>
      </c>
      <c r="Z301" s="3">
        <f>0+(405.1-112)+(0+(-1.033005--0.2856))+0-31--0.0790499999999955</f>
        <v>261.431645</v>
      </c>
      <c r="AA301" s="3">
        <f>0+(413.8-118.9)+(0+(-0.633114--0.181917))+0-32--0.0489600000000018</f>
        <v>262.49776300000002</v>
      </c>
      <c r="AB301" s="3">
        <f>0+(411.5-115.8)+(0+(-0.41973--0.118116))+0-32--0.0326400000000051</f>
        <v>263.43102600000003</v>
      </c>
      <c r="AC301" s="3">
        <f>0+(367.8-80.6)+(0+(-0.93789--0.20553))+0-32--0.0815999999999954</f>
        <v>254.54924000000003</v>
      </c>
      <c r="AD301">
        <f t="shared" si="4"/>
        <v>5814.5635110000012</v>
      </c>
      <c r="AE301" s="3">
        <f>0+(352.6-4)+(0+(0-0))+0-32-0</f>
        <v>316.60000000000002</v>
      </c>
    </row>
    <row r="302" spans="1:31" s="2" customFormat="1" x14ac:dyDescent="0.25">
      <c r="A302">
        <v>89</v>
      </c>
      <c r="B302">
        <v>10</v>
      </c>
      <c r="C302">
        <v>26</v>
      </c>
      <c r="D302">
        <v>2</v>
      </c>
      <c r="E302">
        <v>1</v>
      </c>
      <c r="F302" s="3">
        <f>0+(296.1-23.5)+(0+(-0.151011--0.011985))+0-30--0.015299999999997</f>
        <v>242.47627400000002</v>
      </c>
      <c r="G302" s="3">
        <f>0+(328-66.2)+(0+(-0.33456--0.067524))+0-30--0.0306000000000048</f>
        <v>231.56356399999999</v>
      </c>
      <c r="H302" s="3">
        <f>0+(275.2-0)+(0+(-0.421056-0))+0-30--0.0459000000000017</f>
        <v>244.82484399999996</v>
      </c>
      <c r="I302" s="3">
        <f>0+(320.3-33.6)+(0+(-0.326706--0.034272))+0-30--0.0306000000000048</f>
        <v>256.43816599999997</v>
      </c>
      <c r="J302" s="3">
        <f>0+(310.9-23.3)+(0+(-0.792795--0.059415))+0-30--0.0764999999999956</f>
        <v>256.94311999999996</v>
      </c>
      <c r="K302" s="3">
        <f>0+(323.4-46.5)+(0+(0.329868-0.04743))+0-30-0.0306000000000048</f>
        <v>247.151838</v>
      </c>
      <c r="L302" s="3">
        <f>0+(359.5-79.4)+(0+(-1.10007--0.242964))+0-30--0.0918000000000035</f>
        <v>249.33469400000004</v>
      </c>
      <c r="M302" s="3">
        <f>0+(443.1-169.2)+(0+(-0.225981--0.086292))+0-30--0.015299999999997</f>
        <v>243.77561100000005</v>
      </c>
      <c r="N302" s="3">
        <f>0+(419.1-136.7)+(0+(-0.854964--0.278868))+0-30--0.0611999999999987</f>
        <v>251.88510400000001</v>
      </c>
      <c r="O302" s="3">
        <f>0+(391-101.2)+(0+(0-0))+0-30-0</f>
        <v>259.8</v>
      </c>
      <c r="P302" s="3">
        <f>0+(399.2-109.6)+(0+(-0.407184--0.111792))+0-30--0.0306000000000048</f>
        <v>259.33520800000002</v>
      </c>
      <c r="Q302" s="3">
        <f>0+(411.9-113.7)+(0+(-0.420138--0.115974))+0-30--0.0306000000000048</f>
        <v>267.92643599999997</v>
      </c>
      <c r="R302" s="3">
        <f>0+(422.2-131.5)+(0+(0-0))+0-32-0</f>
        <v>258.7</v>
      </c>
      <c r="S302" s="3">
        <f>0+(391.8-105.7)+(0+(-0.199818--0.053907))+0-31--0.0158099999999969</f>
        <v>254.969899</v>
      </c>
      <c r="T302" s="3">
        <f>0+(409.5-125.1)+(0+(-0.41769--0.127602))+0-31--0.0316200000000049</f>
        <v>253.14153199999996</v>
      </c>
      <c r="U302" s="3">
        <f>0+(441.3-151.5)+(0+(-0.450126--0.15453))+0-32--0.0326400000000051</f>
        <v>257.53704400000004</v>
      </c>
      <c r="V302" s="3">
        <f>0+(380.3-85.7)+(0+(-0.775812--0.174828))+0-32--0.0652799999999986</f>
        <v>262.06429600000001</v>
      </c>
      <c r="W302" s="3">
        <f>0+(534.4-230.2)+(0+(0-0))+0-32-0</f>
        <v>272.2</v>
      </c>
      <c r="X302" s="3">
        <f>0+(464.6-162.3)+(0+(-0.236946--0.082773))+0-32--0.0163199999999968</f>
        <v>270.162147</v>
      </c>
      <c r="Y302" s="3">
        <f>0+(429.4-137)+(0+(-1.09497--0.34935))+0-32--0.0815999999999954</f>
        <v>259.73597999999998</v>
      </c>
      <c r="Z302" s="3">
        <f>0+(410.6-119.5)+(0+(-0.628218--0.182835))+0-32--0.0489600000000018</f>
        <v>258.70357700000005</v>
      </c>
      <c r="AA302" s="3">
        <f>0+(389-100.6)+(0+(-0.79356--0.205224))+0-32--0.0652799999999986</f>
        <v>255.87694399999995</v>
      </c>
      <c r="AB302" s="3">
        <f>0+(429.6-152.1)+(0+(0-0))+0-32-0</f>
        <v>245.5</v>
      </c>
      <c r="AC302" s="3">
        <f>0+(480-212.7)+(0+(-1.7136--0.759339))+0-32--0.11424</f>
        <v>234.45997900000003</v>
      </c>
      <c r="AD302">
        <f t="shared" si="4"/>
        <v>6094.5062570000009</v>
      </c>
      <c r="AE302" s="3">
        <f>0+(446.8-155.9)+(0+(0-0))+0-31-0</f>
        <v>259.89999999999998</v>
      </c>
    </row>
    <row r="303" spans="1:31" s="2" customFormat="1" x14ac:dyDescent="0.25">
      <c r="A303">
        <v>89</v>
      </c>
      <c r="B303">
        <v>10</v>
      </c>
      <c r="C303">
        <v>27</v>
      </c>
      <c r="D303">
        <v>3</v>
      </c>
      <c r="E303">
        <v>1</v>
      </c>
      <c r="F303" s="3">
        <f>0+(401.4-149.9)+(0+(-0.409428--0.152898))+0-32--0.0326400000000051</f>
        <v>219.27610999999999</v>
      </c>
      <c r="G303" s="3">
        <f>0+(304-59.7)+(0+(-0.7752--0.152235))+0-32--0.0815999999999954</f>
        <v>211.75863500000003</v>
      </c>
      <c r="H303" s="3">
        <f>0+(344.9-101.6)+(0+(0.351798-0.103632))+0-32-0.0326400000000051</f>
        <v>211.51552599999997</v>
      </c>
      <c r="I303" s="3">
        <f>0+(298.7-51.7)+(0+(0-0))+0-32-0</f>
        <v>215</v>
      </c>
      <c r="J303" s="3">
        <f>0+(280.4-31.5)+(0+(0.143004-0.016065))+0-32-0.0163199999999968</f>
        <v>217.01061899999996</v>
      </c>
      <c r="K303" s="3">
        <f>0+(309.2-59.5)+(0+(-0.78846--0.151725))+0-32--0.0815999999999954</f>
        <v>217.14486500000001</v>
      </c>
      <c r="L303" s="3">
        <f>0+(349.7-89.9)+(0+(0-0))+0-31-0</f>
        <v>228.79999999999995</v>
      </c>
      <c r="M303" s="3">
        <f>0+(467.7-192.4)+(0+(-0.715581--0.294372))+0-33--0.0504900000000019</f>
        <v>241.92928099999997</v>
      </c>
      <c r="N303" s="3">
        <f>0+(417.3-121.8)+(0+(-0.638469--0.186354))+0-32--0.0489600000000018</f>
        <v>263.09684500000003</v>
      </c>
      <c r="O303" s="3">
        <f>0+(454.6-144.5)+(0+(0.231846-0.073695))+0-35-0.0178499999999964</f>
        <v>275.24030099999999</v>
      </c>
      <c r="P303" s="3">
        <f>0+(553-240.2)+(0+(-1.41015--0.61251))+0-33--0.0841499999999952</f>
        <v>279.08651000000003</v>
      </c>
      <c r="Q303" s="3">
        <f>0+(570.6-272.1)+(0+(0.291006-0.138771))+0-32-0.0163199999999968</f>
        <v>266.63591500000001</v>
      </c>
      <c r="R303" s="3">
        <f>0+(592.5-295.4)+(0+(-1.510875--0.75327))+0-32--0.0815999999999954</f>
        <v>264.42399499999999</v>
      </c>
      <c r="S303" s="3">
        <f>0+(509.1-224.5)+(0+(0-0))+0-31-0</f>
        <v>253.60000000000002</v>
      </c>
      <c r="T303" s="3">
        <f>0+(448.2-167.7)+(0+(-0.685746--0.256581))+0-32--0.0489600000000018</f>
        <v>248.11979499999998</v>
      </c>
      <c r="U303" s="3">
        <f>0+(397.1-115.4)+(0+(-0.405042--0.117708))+0-32--0.0326400000000051</f>
        <v>249.44530600000007</v>
      </c>
      <c r="V303" s="3">
        <f>0+(404.4-119.3)+(0+(-0.206244--0.060843))+0-32--0.0163199999999968</f>
        <v>252.97091899999998</v>
      </c>
      <c r="W303" s="3">
        <f>0+(376.7-75.5)+(0+(-0.192117--0.038505))+0-32--0.0163199999999968</f>
        <v>269.06270799999999</v>
      </c>
      <c r="X303" s="3">
        <f>0+(363.9-61.9)+(0+(-0.556767--0.094707))+0-33--0.0504900000000019</f>
        <v>268.58843000000002</v>
      </c>
      <c r="Y303" s="3">
        <f>0+(407.7-114.1)+(0+(-0.623781--0.174573))+0-32--0.0489600000000018</f>
        <v>261.19975200000005</v>
      </c>
      <c r="Z303" s="3">
        <f>0+(445.2-161.1)+(0+(0-0))+0-32-0</f>
        <v>252.10000000000002</v>
      </c>
      <c r="AA303" s="3">
        <f>0+(510-220)+(0+(0.2601-0.1122))+0-31-0.0158099999999969</f>
        <v>259.13209000000001</v>
      </c>
      <c r="AB303" s="3">
        <f>0+(466.3-182.8)+(0+(-0.475626--0.186456))+0-32--0.0326400000000051</f>
        <v>251.24347</v>
      </c>
      <c r="AC303" s="3">
        <f>0+(413.4-145)+(0+(-0.421668--0.1479))+0-32--0.0326400000000051</f>
        <v>236.15887199999997</v>
      </c>
      <c r="AD303">
        <f t="shared" si="4"/>
        <v>5912.539944000001</v>
      </c>
      <c r="AE303" s="3">
        <f>0+(361.9-59.6)+(0+(0-0))+0-32-0</f>
        <v>270.29999999999995</v>
      </c>
    </row>
    <row r="304" spans="1:31" s="2" customFormat="1" x14ac:dyDescent="0.25">
      <c r="A304">
        <v>89</v>
      </c>
      <c r="B304">
        <v>10</v>
      </c>
      <c r="C304">
        <v>28</v>
      </c>
      <c r="D304">
        <v>4</v>
      </c>
      <c r="E304">
        <v>1</v>
      </c>
      <c r="F304" s="3">
        <f>0+(314.9-55)+(0+(-0.963594--0.1683))+0-32--0.0979200000000037</f>
        <v>227.20262599999998</v>
      </c>
      <c r="G304" s="3">
        <f>0+(280.1-32)+(0+(-0.142851--0.01632))+0-32--0.0163199999999968</f>
        <v>215.98978900000003</v>
      </c>
      <c r="H304" s="3">
        <f>0+(236.1-0)+(0+(-0.120411-0))+0-32--0.0163199999999968</f>
        <v>203.99590900000001</v>
      </c>
      <c r="I304" s="3">
        <f>0+(234.5-3.3)+(0+(-0.358785--0.005049))+0-32--0.0489600000000018</f>
        <v>198.89522399999998</v>
      </c>
      <c r="J304" s="3">
        <f>0+(236.1-0)+(0+(0-0))+0-32-0</f>
        <v>204.1</v>
      </c>
      <c r="K304" s="3">
        <f>0+(245.1-3.5)+(0+(0-0))+0-32-0</f>
        <v>209.6</v>
      </c>
      <c r="L304" s="3">
        <f>0+(279-24.6)+(0+(-0.71145--0.06273))+0-32--0.0815999999999954</f>
        <v>221.83288000000002</v>
      </c>
      <c r="M304" s="3">
        <f>0+(365.8-98.8)+(0+(0.373116-0.100776))+0-32-0.0326400000000051</f>
        <v>235.23969999999997</v>
      </c>
      <c r="N304" s="3">
        <f>0+(443.9-155.7)+(0+(0.226389-0.079407))+0-31-0.0158099999999969</f>
        <v>257.33117199999998</v>
      </c>
      <c r="O304" s="3">
        <f>0+(383.2-76.9)+(0+(-0.586296--0.117657))+0-29--0.0443700000000017</f>
        <v>276.87573099999997</v>
      </c>
      <c r="P304" s="3">
        <f>0+(399.8-91.7)+(0+(-0.203898--0.046767))+0-31--0.0158099999999969</f>
        <v>276.95867900000002</v>
      </c>
      <c r="Q304" s="3">
        <f>0+(422.4-111.3)+(0+(-0.430848--0.113526))+0-32--0.0326400000000051</f>
        <v>278.81531799999999</v>
      </c>
      <c r="R304" s="3">
        <f>0+(406.3-105.2)+(0+(-0.828852--0.214608))+0-33--0.0673199999999986</f>
        <v>267.55307600000003</v>
      </c>
      <c r="S304" s="3">
        <f>0+(452.5-158.5)+(0+(0-0))+0-32-0</f>
        <v>262</v>
      </c>
      <c r="T304" s="3">
        <f>0+(390.6-98.1)+(0+(0-0))+0-32-0</f>
        <v>260.5</v>
      </c>
      <c r="U304" s="3">
        <f>21+(349.8-92.2)+(-0.02142+(-0.356796--0.094044))+0-32--0.0326400000000051</f>
        <v>246.34846800000003</v>
      </c>
      <c r="V304" s="3">
        <f>82+(282.4-104.5)+(-0.25092+(-0.864144--0.31977))+0-32--0.0979200000000037</f>
        <v>227.20262599999998</v>
      </c>
      <c r="W304" s="3">
        <f>107+(277.5-119.4)+(-0.10914+(-0.28305--0.121788))+0-32--0.0326400000000051</f>
        <v>232.86223800000005</v>
      </c>
      <c r="X304" s="3">
        <f>63+(284.1-67.9)+(-0.09639+(-0.434673--0.103887))+0-32--0.0489600000000018</f>
        <v>246.82178400000006</v>
      </c>
      <c r="Y304" s="3">
        <f>41+(347.6-108.6)+(-0.04182+(-0.354552--0.110772))+0-33--0.0336600000000053</f>
        <v>246.74806000000001</v>
      </c>
      <c r="Z304" s="3">
        <f>37+(437.7-201.5)+(-0.05661+(-0.669681--0.308295))+0-32--0.0489600000000018</f>
        <v>240.83096399999997</v>
      </c>
      <c r="AA304" s="3">
        <f>0+(499.3-216.8)+(0+(-0.254643--0.110568))+0-33--0.0168299999999967</f>
        <v>249.37275500000001</v>
      </c>
      <c r="AB304" s="3">
        <f>0+(395.5-118.7)+(0+(-0.201705--0.060537))+0-32--0.0163199999999968</f>
        <v>244.67515200000003</v>
      </c>
      <c r="AC304" s="3">
        <f>0+(368.3-105.5)+(0+(-0.563499--0.161415))+0-32--0.0489600000000018</f>
        <v>230.446876</v>
      </c>
      <c r="AD304">
        <f t="shared" si="4"/>
        <v>5762.1990269999988</v>
      </c>
      <c r="AE304" s="3">
        <f>55+(280.2-47.7)+(0+(0-0))+0-32-0</f>
        <v>255.5</v>
      </c>
    </row>
    <row r="305" spans="1:31" s="2" customFormat="1" x14ac:dyDescent="0.25">
      <c r="A305">
        <v>89</v>
      </c>
      <c r="B305">
        <v>10</v>
      </c>
      <c r="C305">
        <v>29</v>
      </c>
      <c r="D305">
        <v>5</v>
      </c>
      <c r="E305">
        <v>1</v>
      </c>
      <c r="F305" s="3">
        <f>0+(298.2-31)+(0+(-0.76041--0.07905))+0-30--0.0764999999999956</f>
        <v>236.59513999999999</v>
      </c>
      <c r="G305" s="3">
        <f>0+(249.3-0)+(0+(0.381429-0))+0-30-0.0459000000000017</f>
        <v>219.63552900000002</v>
      </c>
      <c r="H305" s="3">
        <f>0+(260.9-6.3)+(0+(-0.399177--0.009639))+0-30--0.0459000000000017</f>
        <v>224.25636199999997</v>
      </c>
      <c r="I305" s="3">
        <f>0+(250.2-0)+(0+(0.127602-0))+0-30-0.015299999999997</f>
        <v>220.31230199999999</v>
      </c>
      <c r="J305" s="3">
        <f>0+(252.3-0)+(0+(-0.643365-0))+0-30--0.0764999999999956</f>
        <v>221.733135</v>
      </c>
      <c r="K305" s="3">
        <f>0+(259.1-0)+(0+(0.132141-0))+0-30-0.015299999999997</f>
        <v>229.21684100000002</v>
      </c>
      <c r="L305" s="3">
        <f>0+(267.2-0)+(0+(0.136272-0))+0-30-0.015299999999997</f>
        <v>237.32097200000001</v>
      </c>
      <c r="M305" s="3">
        <f>0+(294-10.4)+(0+(0-0))+0-30-0</f>
        <v>253.60000000000002</v>
      </c>
      <c r="N305" s="3">
        <f>0+(301.7-0)+(0+(0.461601-0))+0-30-0.0459000000000017</f>
        <v>272.11570099999994</v>
      </c>
      <c r="O305" s="3">
        <f>0+(435.2-130.1)+(0+(0-0))+0-30-0</f>
        <v>275.10000000000002</v>
      </c>
      <c r="P305" s="3">
        <f>0+(477.5-172.9)+(0+(-0.9741--0.352716))+0-30--0.0611999999999987</f>
        <v>274.03981600000003</v>
      </c>
      <c r="Q305" s="3">
        <f>0+(485.1-173.5)+(0+(-0.247401--0.088485))+0-30--0.015299999999997</f>
        <v>281.45638400000007</v>
      </c>
      <c r="R305" s="3">
        <f>0+(410.8-128)+(0+(-0.628524--0.19584))+0-10--0.0153000000000006</f>
        <v>272.38261600000004</v>
      </c>
      <c r="S305" s="3">
        <f>38.2+(405.3-168.6)+(-0.038964+(-0.413406--0.171972))+0-10--0.0102000000000016</f>
        <v>264.62980200000004</v>
      </c>
      <c r="T305" s="3">
        <f>60.9+(457.9-239.7)+(0+(0-0))+0-10-0</f>
        <v>269.09999999999997</v>
      </c>
      <c r="U305" s="3">
        <f>141.5+(445.7-315.2)+(0+(0-0))+0-10-0</f>
        <v>262</v>
      </c>
      <c r="V305" s="3">
        <f>144.5+(401.7-278.3)+(0+(0-0))+0-10-0</f>
        <v>257.89999999999998</v>
      </c>
      <c r="W305" s="3">
        <f>144.8+(353.5-212.3)+(-0.295392+(-0.72114--0.433092))+0-10--0.0203999999999996</f>
        <v>275.43696</v>
      </c>
      <c r="X305" s="3">
        <f>144.9+(326.3-184.5)+(-0.147798+(-0.332826--0.18819))+0-10--0.0102000000000016</f>
        <v>276.41776600000003</v>
      </c>
      <c r="Y305" s="3">
        <f>126+(333.8-179)+(-0.3213+(-0.85119--0.45645))+0-10--0.0254999999999985</f>
        <v>270.10946000000001</v>
      </c>
      <c r="Z305" s="3">
        <f>55.6+(419.8-206.1)+(0+(0-0))+0-10-0</f>
        <v>259.3</v>
      </c>
      <c r="AA305" s="3">
        <f>55.7+(514.3-301.2)+(0.056814+(0.524586-0.307224))+0-10-0.0102000000000016</f>
        <v>259.06397599999997</v>
      </c>
      <c r="AB305" s="3">
        <f>55.7+(457.3-247.9)+(0.056814+(0.466446-0.252858))+0-10-0.0102000000000016</f>
        <v>255.36020200000002</v>
      </c>
      <c r="AC305" s="3">
        <f>12+(426.5-181.2)+(-0.02448+(-0.87006--0.369648))+0-10--0.0203999999999996</f>
        <v>246.79550799999998</v>
      </c>
      <c r="AD305">
        <f t="shared" si="4"/>
        <v>6113.8784719999994</v>
      </c>
      <c r="AE305" s="3">
        <f>141.9+(328.6-191.9)+(0+(0-0))+0-10-0</f>
        <v>268.60000000000002</v>
      </c>
    </row>
    <row r="306" spans="1:31" s="2" customFormat="1" x14ac:dyDescent="0.25">
      <c r="A306">
        <v>89</v>
      </c>
      <c r="B306">
        <v>10</v>
      </c>
      <c r="C306">
        <v>30</v>
      </c>
      <c r="D306">
        <v>6</v>
      </c>
      <c r="E306">
        <v>1</v>
      </c>
      <c r="F306" s="3">
        <f>0+(318.8-81.9)+(0+(-0.325176--0.083538))+0-10--0.0102000000000016</f>
        <v>226.66856200000001</v>
      </c>
      <c r="G306" s="3">
        <f>0+(305.5-76.6)+(0+(0-0))+0-11-0</f>
        <v>217.9</v>
      </c>
      <c r="H306" s="3">
        <f>0+(293.7-63.5)+(0+(0-0))+0-13-0</f>
        <v>217.2</v>
      </c>
      <c r="I306" s="3">
        <f>0+(333.8-99)+(0+(-0.170238--0.05049))+0-15--0.00764999999999848</f>
        <v>219.68790200000004</v>
      </c>
      <c r="J306" s="3">
        <f>0+(265.6-24.7)+(0+(-0.270912--0.025194))+0-5--0.0051000000000008</f>
        <v>235.65938200000002</v>
      </c>
      <c r="K306" s="3">
        <f>0+(278.1-46.5)+(0+(0.567324-0.09486))+0-18-0.0367199999999992</f>
        <v>214.03574400000002</v>
      </c>
      <c r="L306" s="3">
        <f>0+(264.2-23.8)+(0+(0.134742-0.012138))+0-18-0.00917999999999817</f>
        <v>222.51342399999999</v>
      </c>
      <c r="M306" s="3">
        <f>0+(305.8-61.6)+(0+(-0.467874--0.094248))+0-18--0.027540000000001</f>
        <v>225.853914</v>
      </c>
      <c r="N306" s="3">
        <f>0+(398.1-134)+(0+(0-0))+0-22-0</f>
        <v>242.10000000000002</v>
      </c>
      <c r="O306" s="3">
        <f>0+(500.6-221.6)+(0+(1.021224-0.452064))+0-24-0.0489599999999989</f>
        <v>255.52020000000002</v>
      </c>
      <c r="P306" s="3">
        <f>0+(515.3-232)+(0+(0.262803-0.11832))+0-27-0.0137699999999973</f>
        <v>256.43071299999991</v>
      </c>
      <c r="Q306" s="3">
        <f>0+(513.8-227)+(0+(-1.048152--0.46308))+0-29--0.0591599999999987</f>
        <v>257.27408799999995</v>
      </c>
      <c r="R306" s="3">
        <f>0+(528.5-245.2)+(0+(0.53907-0.250104))+0-30-0.0306000000000048</f>
        <v>253.55836600000004</v>
      </c>
      <c r="S306" s="3">
        <f>0+(536.3-252.7)+(0+(-0.547026--0.257754))+0-30--0.0306000000000048</f>
        <v>253.34132799999998</v>
      </c>
      <c r="T306" s="3">
        <f>0+(489.8-208.7)+(0+(-0.249798--0.106437))+0-31--0.0158099999999969</f>
        <v>249.97244899999998</v>
      </c>
      <c r="U306" s="3">
        <f>0+(448-177.3)+(0+(-0.22848--0.090423))+0-31--0.0158099999999969</f>
        <v>239.57775299999997</v>
      </c>
      <c r="V306" s="3">
        <f>0+(376.1-105.8)+(0+(0.191811-0.053958))+0-27-0.0137699999999973</f>
        <v>243.42408300000002</v>
      </c>
      <c r="W306" s="3">
        <f>0+(372.8-93.2)+(0+(-0.190128--0.047532))+0-31--0.0158099999999969</f>
        <v>248.47321399999998</v>
      </c>
      <c r="X306" s="3">
        <f>0+(368.5-87.9)+(0+(-0.75174--0.179316))+0-30--0.0611999999999987</f>
        <v>250.088776</v>
      </c>
      <c r="Y306" s="3">
        <f>0+(425.5-147.2)+(0+(-0.651015--0.225216))+0-30--0.0459000000000017</f>
        <v>247.92010100000002</v>
      </c>
      <c r="Z306" s="3">
        <f>0+(475.3-195.1)+(0+(-1.212015--0.497505))+0-30--0.0764999999999956</f>
        <v>249.56199000000001</v>
      </c>
      <c r="AA306" s="3">
        <f>0+(538.4-251.4)+(0+(0.549168-0.256428))+0-30-0.0306000000000048</f>
        <v>257.26213999999999</v>
      </c>
      <c r="AB306" s="3">
        <f>0+(511.7-231)+(0+(0.782901-0.35343))+0-29-0.0443700000000017</f>
        <v>252.08510099999995</v>
      </c>
      <c r="AC306" s="3">
        <f>0+(471.6-201.1)+(0+(-0.721548--0.307683))+0-29--0.0443700000000017</f>
        <v>241.13050500000003</v>
      </c>
      <c r="AD306">
        <f t="shared" si="4"/>
        <v>5777.2397349999983</v>
      </c>
      <c r="AE306" s="3">
        <f>0+(359.4-85.7)+(0+(0-0))+0-30-0</f>
        <v>243.7</v>
      </c>
    </row>
    <row r="307" spans="1:31" s="2" customFormat="1" x14ac:dyDescent="0.25">
      <c r="A307">
        <v>89</v>
      </c>
      <c r="B307">
        <v>11</v>
      </c>
      <c r="C307">
        <v>1</v>
      </c>
      <c r="D307">
        <v>7</v>
      </c>
      <c r="E307">
        <v>1</v>
      </c>
      <c r="F307" s="3">
        <f>0+(417.7-160.4)+(0+(-1.065135--0.40902))+0-30--0.0764999999999956</f>
        <v>226.72038499999994</v>
      </c>
      <c r="G307" s="3">
        <f>0+(304.3-55)+(0+(-0.310386--0.0561))+0-30--0.0306000000000048</f>
        <v>219.076314</v>
      </c>
      <c r="H307" s="3">
        <f>0+(261.8-14.4)+(0+(-0.801108--0.044064))+0-30--0.0918000000000035</f>
        <v>216.734756</v>
      </c>
      <c r="I307" s="3">
        <f>0+(324.7-84)+(0+(0-0))+0-30-0</f>
        <v>210.7</v>
      </c>
      <c r="J307" s="3">
        <f>0+(310.3-72)+(0+(-0.158253--0.03672))+0-30--0.015299999999997</f>
        <v>208.19376700000001</v>
      </c>
      <c r="K307" s="3">
        <f>0+(292.5-53.3)+(0+(0-0))+0-30-0</f>
        <v>209.2</v>
      </c>
      <c r="L307" s="3">
        <f>0+(361.1-120)+(0+(-1.84161--0.612))+0-30--0.153000000000002</f>
        <v>210.02339000000001</v>
      </c>
      <c r="M307" s="3">
        <f>0+(392.4-162.9)+(0+(0.400248-0.166158))+0-30-0.0306000000000048</f>
        <v>199.70348999999999</v>
      </c>
      <c r="N307" s="3">
        <f>0+(385.5-147.7)+(0+(-0.983025--0.376635))+0-30--0.0764999999999956</f>
        <v>207.27010999999999</v>
      </c>
      <c r="O307" s="3">
        <f>0+(430.5-156)+(0+(-0.219555--0.07956))+0-30--0.015299999999997</f>
        <v>244.375305</v>
      </c>
      <c r="P307" s="3">
        <f>0+(477-186.4)+(0+(-0.97308--0.380256))+0-30--0.0611999999999987</f>
        <v>260.068376</v>
      </c>
      <c r="Q307" s="3">
        <f>0+(445.9-204.4)+(0+(-0.682227--0.312732))+0-30--0.0459000000000017</f>
        <v>211.17640499999996</v>
      </c>
      <c r="R307" s="3">
        <f>0+(502.5-250.4)+(0+(0.256275-0.127704))+0-28-0.0142799999999972</f>
        <v>224.214291</v>
      </c>
      <c r="S307" s="3">
        <f>0+(458.9-214.9)+(0+(-0.936156--0.438396))+0-32--0.0652799999999986</f>
        <v>211.56751999999997</v>
      </c>
      <c r="T307" s="3">
        <f>0+(408.5-166.4)+(0+(-0.208335--0.084864))+0-32--0.0163199999999968</f>
        <v>209.99284900000001</v>
      </c>
      <c r="U307" s="3">
        <f>0+(426.4-190.3)+(0+(-0.652392--0.291159))+0-32--0.0489600000000018</f>
        <v>203.78772699999996</v>
      </c>
      <c r="V307" s="3">
        <f>0+(419.3-178.4)+(0+(-0.855372--0.363936))+0-32--0.0652799999999986</f>
        <v>208.47384400000001</v>
      </c>
      <c r="W307" s="3">
        <f>0+(361.2-93.9)+(0+(0.184212-0.047889))+0-32-0.0163199999999968</f>
        <v>235.42000299999995</v>
      </c>
      <c r="X307" s="3">
        <f>0+(614.8-334.3)+(0+(-0.940644--0.511479))+0-33--0.0504900000000019</f>
        <v>247.12132499999993</v>
      </c>
      <c r="Y307" s="3">
        <f>0+(613-331.5)+(0+(-0.31263--0.169065))+0-33--0.0168299999999967</f>
        <v>248.37326499999998</v>
      </c>
      <c r="Z307" s="3">
        <f>0+(585.4-310.3)+(0+(-1.194216--0.633012))+0-33--0.0673199999999986</f>
        <v>241.60611599999999</v>
      </c>
      <c r="AA307" s="3">
        <f>0+(529.5-262.1)+(0+(0.810135-0.401013))+0-33-0.0504900000000019</f>
        <v>234.75863200000001</v>
      </c>
      <c r="AB307" s="3">
        <f>0+(471.5-213.2)+(0+(-0.96186--0.434928))+0-33--0.0673199999999986</f>
        <v>224.84038800000002</v>
      </c>
      <c r="AC307" s="3">
        <f>0+(400.8-152.5)+(0+(-0.408816--0.15555))+0-33--0.0336600000000053</f>
        <v>215.08039400000001</v>
      </c>
      <c r="AD307">
        <f t="shared" si="4"/>
        <v>5328.4786519999998</v>
      </c>
      <c r="AE307" s="3">
        <f>0+(642-338.2)+(0+(0-0))+0-32-0</f>
        <v>271.8</v>
      </c>
    </row>
    <row r="308" spans="1:31" s="2" customFormat="1" x14ac:dyDescent="0.25">
      <c r="A308">
        <v>89</v>
      </c>
      <c r="B308">
        <v>11</v>
      </c>
      <c r="C308">
        <v>2</v>
      </c>
      <c r="D308">
        <v>1</v>
      </c>
      <c r="E308">
        <v>1</v>
      </c>
      <c r="F308" s="3">
        <f>0+(365.4-128.3)+(0+(-1.304478--0.458031))+0-32--0.11424</f>
        <v>204.36779299999995</v>
      </c>
      <c r="G308" s="3">
        <f>0+(321.5-94.3)+(0+(-0.65586--0.192372))+0-32--0.0652799999999986</f>
        <v>194.80179199999998</v>
      </c>
      <c r="H308" s="3">
        <f>0+(335.7-107.6)+(0+(0.171207-0.054876))+0-32-0.0163199999999968</f>
        <v>196.20001099999999</v>
      </c>
      <c r="I308" s="3">
        <f>0+(317.5-88.3)+(0+(0-0))+0-32-0</f>
        <v>197.2</v>
      </c>
      <c r="J308" s="3">
        <f>0+(326.3-96.2)+(0+(-0.499239--0.147186))+0-32--0.0489600000000018</f>
        <v>197.796907</v>
      </c>
      <c r="K308" s="3">
        <f>0+(282-56.9)+(0+(0.14382-0.029019))+0-32-0.0163199999999968</f>
        <v>193.19848099999999</v>
      </c>
      <c r="L308" s="3">
        <f>0+(271.3-31.2)+(0+(0.138363-0.015912))+0-30-0.015299999999997</f>
        <v>210.20715100000004</v>
      </c>
      <c r="M308" s="3">
        <f>0+(466.6-208.3)+(0+(-0.475932--0.212466))+0-32--0.0326400000000051</f>
        <v>226.06917400000003</v>
      </c>
      <c r="N308" s="3">
        <f>0+(724-428.8)+(0+(-0.73848--0.437376))+0-34--0.0346800000000054</f>
        <v>260.93357599999996</v>
      </c>
      <c r="O308" s="3">
        <f>0+(746.5-435)+(0+(-0.380715--0.22185))+0-33--0.0168299999999967</f>
        <v>278.35796499999998</v>
      </c>
      <c r="P308" s="3">
        <f>0+(711.8-403.3)+(0+(-1.452072--0.822732))+0-32--0.0652799999999986</f>
        <v>275.9359399999999</v>
      </c>
      <c r="Q308" s="3">
        <f>0+(711.6-399.3)+(0+(-1.088748--0.610929))+0-34--0.052020000000002</f>
        <v>277.87420100000003</v>
      </c>
      <c r="R308" s="3">
        <f>0+(708.4-393.2)+(0+(-1.80642--1.00266))+0-32--0.0815999999999954</f>
        <v>282.47783999999996</v>
      </c>
      <c r="S308" s="3">
        <f>0+(687.3-385.8)+(0+(0.701046-0.393516))+0-32-0.0326400000000051</f>
        <v>269.77488999999991</v>
      </c>
      <c r="T308" s="3">
        <f>0+(645.1-348.3)+(0+(-0.329001--0.177633))+0-32--0.0163199999999968</f>
        <v>264.66495200000003</v>
      </c>
      <c r="U308" s="3">
        <f>0+(572.5-286.7)+(0+(0.291975-0.146217))+0-32-0.0163199999999968</f>
        <v>253.929438</v>
      </c>
      <c r="V308" s="3">
        <f>0+(589.3-296.9)+(0+(0-0))+0-31-0</f>
        <v>261.39999999999998</v>
      </c>
      <c r="W308" s="3">
        <f>0+(518.6-202.6)+(0+(0.793458-0.309978))+0-31-0.0474300000000018</f>
        <v>285.43604999999997</v>
      </c>
      <c r="X308" s="3">
        <f>0+(551.5-233.9)+(0+(-0.843795--0.357867))+0-31--0.0474300000000018</f>
        <v>286.16150200000004</v>
      </c>
      <c r="Y308" s="3">
        <f>0+(593.2-282.4)+(0+(-0.907596--0.432072))+0-32--0.0489600000000018</f>
        <v>278.37343600000008</v>
      </c>
      <c r="Z308" s="3">
        <f>0+(604.3-303.6)+(0+(-1.232772--0.619344))+0-32--0.0652799999999986</f>
        <v>268.15185199999991</v>
      </c>
      <c r="AA308" s="3">
        <f>0+(598.4-300.1)+(0+(-0.305184--0.153051))+0-32--0.0163199999999968</f>
        <v>266.16418699999997</v>
      </c>
      <c r="AB308" s="3">
        <f>0+(495.8-209.4)+(0+(-1.011432--0.427176))+0-32--0.0652799999999986</f>
        <v>253.881024</v>
      </c>
      <c r="AC308" s="3">
        <f>0+(341-70.3)+(0+(-1.39128--0.286824))+0-32--0.130559999999997</f>
        <v>237.72610399999996</v>
      </c>
      <c r="AD308">
        <f t="shared" si="4"/>
        <v>5921.0842660000008</v>
      </c>
      <c r="AE308" s="3">
        <f>0+(533.5-221.5)+(0+(0-0))+0-31-0</f>
        <v>281</v>
      </c>
    </row>
    <row r="309" spans="1:31" s="2" customFormat="1" x14ac:dyDescent="0.25">
      <c r="A309">
        <v>89</v>
      </c>
      <c r="B309">
        <v>11</v>
      </c>
      <c r="C309">
        <v>3</v>
      </c>
      <c r="D309">
        <v>2</v>
      </c>
      <c r="E309">
        <v>1</v>
      </c>
      <c r="F309" s="3">
        <f>2.8+(268.4-11.6)+(-0.004284+(-0.410652--0.017748))+0-31--0.0474300000000018</f>
        <v>228.25024199999993</v>
      </c>
      <c r="G309" s="3">
        <f>0+(241.6-0)+(0+(-0.492864-0))+0-31--0.0632399999999986</f>
        <v>210.170376</v>
      </c>
      <c r="H309" s="3">
        <f>0+(251.9-10.1)+(0+(-0.642345--0.025755))+0-31--0.0790499999999955</f>
        <v>210.26246</v>
      </c>
      <c r="I309" s="3">
        <f>0+(245.4-0)+(0+(0.125154-0))+0-32-0.0163199999999968</f>
        <v>213.50883400000001</v>
      </c>
      <c r="J309" s="3">
        <f>0+(322-80.4)+(0+(0.32844-0.082008))+0-32-0.0326400000000051</f>
        <v>209.81379199999998</v>
      </c>
      <c r="K309" s="3">
        <f>0+(360-115.1)+(0+(0-0))+0-32-0</f>
        <v>212.9</v>
      </c>
      <c r="L309" s="3">
        <f>0+(360.4-104.6)+(0+(-0.735216--0.213384))+0-32--0.0652799999999986</f>
        <v>223.343448</v>
      </c>
      <c r="M309" s="3">
        <f>0+(349.6-82.3)+(0+(-0.356592--0.083946))+0-32--0.0326400000000051</f>
        <v>235.05999400000002</v>
      </c>
      <c r="N309" s="3">
        <f>0+(385.4-90.4)+(0+(0-0))+0-32-0</f>
        <v>263</v>
      </c>
      <c r="O309" s="3">
        <f>0+(440.4-137.1)+(0+(-0.224604--0.069921))+0-32--0.0163199999999968</f>
        <v>271.16163699999998</v>
      </c>
      <c r="P309" s="3">
        <f>0+(501.4-197.4)+(0+(-0.255714--0.100674))+0-32--0.0163199999999968</f>
        <v>271.86128000000002</v>
      </c>
      <c r="Q309" s="3">
        <f>0+(532.8-241.4)+(0+(-0.543456--0.246228))+0-32--0.0326400000000051</f>
        <v>259.13541199999997</v>
      </c>
      <c r="R309" s="3">
        <f>0+(551.7-247.2)+(0+(-0.281367--0.126072))+0-32--0.0163199999999968</f>
        <v>272.36102500000004</v>
      </c>
      <c r="S309" s="3">
        <f>0+(544.1-249)+(0+(-0.277491--0.12699))+0-32--0.0163199999999968</f>
        <v>262.96581900000001</v>
      </c>
      <c r="T309" s="3">
        <f>0+(554.7-258.5)+(0+(-1.414485--0.659175))+0-32--0.0815999999999954</f>
        <v>263.52629000000002</v>
      </c>
      <c r="U309" s="3">
        <f>0+(577.6-281.9)+(0+(0.294576-0.143769))+0-33-0.0168299999999967</f>
        <v>262.83397700000006</v>
      </c>
      <c r="V309" s="3">
        <f>0+(540.3-244.8)+(0+(-0.826659--0.374544))+0-32--0.0489600000000018</f>
        <v>263.09684499999997</v>
      </c>
      <c r="W309" s="3">
        <f>0+(421.9-112.8)+(0+(-0.430338--0.115056))+0-32--0.0326400000000051</f>
        <v>276.81735799999996</v>
      </c>
      <c r="X309" s="3">
        <f>0+(465.9-152.3)+(0+(-0.950436--0.310692))+0-31--0.0632399999999986</f>
        <v>282.02349599999997</v>
      </c>
      <c r="Y309" s="3">
        <f>0+(465.4-159.4)+(0+(-0.949416--0.325176))+0-31--0.0632399999999986</f>
        <v>274.43900000000002</v>
      </c>
      <c r="Z309" s="3">
        <f>0+(487.8-192.5)+(0+(-0.248778--0.098175))+0-31--0.0158099999999969</f>
        <v>264.16520700000001</v>
      </c>
      <c r="AA309" s="3">
        <f>0+(457.6-170.8)+(0+(-0.233376--0.087108))+0-32--0.0163199999999968</f>
        <v>254.670052</v>
      </c>
      <c r="AB309" s="3">
        <f>0+(433.6-153.4)+(0+(0-0))+0-32-0</f>
        <v>248.20000000000005</v>
      </c>
      <c r="AC309" s="3">
        <f>0+(391.5-120.3)+(0+(-0.998325--0.306765))+0-32--0.0815999999999954</f>
        <v>238.59004000000002</v>
      </c>
      <c r="AD309">
        <f t="shared" si="4"/>
        <v>5972.1565840000012</v>
      </c>
      <c r="AE309" s="3">
        <f>0+(467-153.1)+(0+(0-0))+0-32-0</f>
        <v>281.89999999999998</v>
      </c>
    </row>
    <row r="310" spans="1:31" s="2" customFormat="1" x14ac:dyDescent="0.25">
      <c r="A310">
        <v>89</v>
      </c>
      <c r="B310">
        <v>11</v>
      </c>
      <c r="C310">
        <v>4</v>
      </c>
      <c r="D310">
        <v>3</v>
      </c>
      <c r="E310">
        <v>1</v>
      </c>
      <c r="F310" s="3">
        <f>0+(350.2-90.5)+(0+(-0.357204--0.09231))+0-32--0.0326400000000051</f>
        <v>227.46774599999998</v>
      </c>
      <c r="G310" s="3">
        <f>0+(314.7-64)+(0+(-0.160497--0.03264))+0-32--0.0163199999999968</f>
        <v>218.58846299999999</v>
      </c>
      <c r="H310" s="3">
        <f>0+(299.5-46.8)+(0+(-0.30549--0.047736))+0-32--0.0326400000000051</f>
        <v>220.474886</v>
      </c>
      <c r="I310" s="3">
        <f>0+(285.4-34.8)+(0+(0.291108-0.035496))+0-32-0.0326400000000051</f>
        <v>218.82297199999996</v>
      </c>
      <c r="J310" s="3">
        <f>0+(307.9-59.9)+(0+(0.314058-0.061098))+0-32-0.0326400000000051</f>
        <v>216.22031999999996</v>
      </c>
      <c r="K310" s="3">
        <f>0+(347.7-94.9)+(0+(0.709308-0.193596))+0-32-0.0652799999999986</f>
        <v>221.25043199999999</v>
      </c>
      <c r="L310" s="3">
        <f>0+(396.1-130.5)+(0+(-0.606033--0.199665))+0-32--0.0489600000000018</f>
        <v>233.24259200000003</v>
      </c>
      <c r="M310" s="3">
        <f>0+(401.3-127.6)+(0+(-1.023315--0.32538))+0-32--0.0815999999999954</f>
        <v>241.08366500000008</v>
      </c>
      <c r="N310" s="3">
        <f>0+(514-202)+(0+(0-0))+0-32-0</f>
        <v>280</v>
      </c>
      <c r="O310" s="3">
        <f>0+(516.9-217.9)+(0+(0-0))+0-32-0</f>
        <v>267</v>
      </c>
      <c r="P310" s="3">
        <f>0+(594.8-297)+(0+(-1.213392--0.60588))+0-32--0.0652799999999986</f>
        <v>265.25776799999994</v>
      </c>
      <c r="Q310" s="3">
        <f>0+(592.4-283)+(0+(-1.51062--0.72165))+0-32--0.0815999999999954</f>
        <v>276.69262999999995</v>
      </c>
      <c r="R310" s="3">
        <f>0+(590.8-280.9)+(0+(-1.205232--0.573036))+0-31--0.0632399999999986</f>
        <v>278.33104399999996</v>
      </c>
      <c r="S310" s="3">
        <f>0+(542-245.8)+(0+(-0.27642--0.125358))+0-31--0.0158099999999969</f>
        <v>265.06474799999995</v>
      </c>
      <c r="T310" s="3">
        <f>0+(590.1-291.9)+(0+(0-0))+0-32-0</f>
        <v>266.20000000000005</v>
      </c>
      <c r="U310" s="3">
        <f>0+(523.8-243.6)+(0+(0.801414-0.372708))+0-32-0.0489600000000018</f>
        <v>248.57974599999991</v>
      </c>
      <c r="V310" s="3">
        <f>0+(523.4-232.5)+(0+(0-0))+0-29-0</f>
        <v>261.89999999999998</v>
      </c>
      <c r="W310" s="3">
        <f>97.4+(335.3-131.9)+(0+(0-0))+0-33-0</f>
        <v>267.8</v>
      </c>
      <c r="X310" s="3">
        <f>145+(369.5-206.1)+(-0.22185+(-0.565335--0.315333))+0-32--0.0489600000000018</f>
        <v>275.97710799999999</v>
      </c>
      <c r="Y310" s="3">
        <f>146.8+(414.5-265.4)+(-0.224604+(-0.634185--0.406062))+0-32--0.0489600000000018</f>
        <v>263.49623300000007</v>
      </c>
      <c r="Z310" s="3">
        <f>146.8+(470.4-329.3)+(-0.224604+(-0.719712--0.503829))+0-32--0.0489600000000018</f>
        <v>255.50847299999995</v>
      </c>
      <c r="AA310" s="3">
        <f>146.9+(504.5-363.9)+(-0.074919+(-0.257295--0.185589))+0-32--0.0163199999999968</f>
        <v>255.36969500000004</v>
      </c>
      <c r="AB310" s="3">
        <f>106.3+(481.4-304.1)+(-0.108426+(-0.491028--0.310182))+0-32--0.0326400000000051</f>
        <v>251.343368</v>
      </c>
      <c r="AC310" s="3">
        <f>28.8+(442.5-199.6)+(0+(0-0))+0-32-0</f>
        <v>239.7</v>
      </c>
      <c r="AD310">
        <f t="shared" si="4"/>
        <v>6015.371889</v>
      </c>
      <c r="AE310" s="3">
        <f>144+(355.3-194)+(0+(0-0))+0-31-0</f>
        <v>274.3</v>
      </c>
    </row>
    <row r="311" spans="1:31" s="2" customFormat="1" x14ac:dyDescent="0.25">
      <c r="A311">
        <v>89</v>
      </c>
      <c r="B311">
        <v>11</v>
      </c>
      <c r="C311">
        <v>5</v>
      </c>
      <c r="D311">
        <v>4</v>
      </c>
      <c r="E311">
        <v>5</v>
      </c>
      <c r="F311" s="3">
        <f>0+(362.4-107.5)+(0+(-0.184824--0.054825))+0-30--0.015299999999997</f>
        <v>224.78530099999998</v>
      </c>
      <c r="G311" s="3">
        <f>0+(308.1-57.9)+(0+(-0.471393--0.088587))+0-30--0.0459000000000017</f>
        <v>219.86309400000002</v>
      </c>
      <c r="H311" s="3">
        <f>0+(310.4-67.5)+(0+(0.316608-0.06885))+0-32-0.0326400000000051</f>
        <v>211.11511799999997</v>
      </c>
      <c r="I311" s="3">
        <f>0+(308.8-73.7)+(0+(-0.157488--0.037587))+0-32--0.0163199999999968</f>
        <v>202.99641900000003</v>
      </c>
      <c r="J311" s="3">
        <f>0+(294.1-56.2)+(0+(-0.149991--0.028662))+0-32--0.0163199999999968</f>
        <v>205.79499100000004</v>
      </c>
      <c r="K311" s="3">
        <f>0+(285.3-47.3)+(0+(0.145503-0.024123))+0-32-0.0163199999999968</f>
        <v>206.10505999999998</v>
      </c>
      <c r="L311" s="3">
        <f>0+(261.6-21.7)+(0+(-0.800496--0.066402))+0-32--0.0979200000000037</f>
        <v>207.26382600000005</v>
      </c>
      <c r="M311" s="3">
        <f>0+(251.4-20.1)+(0+(-0.64107--0.051255))+0-32--0.0815999999999954</f>
        <v>198.79178500000003</v>
      </c>
      <c r="N311" s="3">
        <f>0+(354.8-124.4)+(0+(-0.361896--0.126888))+0-32--0.0326400000000051</f>
        <v>198.19763200000003</v>
      </c>
      <c r="O311" s="3">
        <f>0+(342.3-111.8)+(0+(-0.698292--0.228072))+0-32--0.0652799999999986</f>
        <v>198.09505999999999</v>
      </c>
      <c r="P311" s="3">
        <f>0+(322.4-88.7)+(0+(-0.493272--0.135711))+0-32--0.0489600000000018</f>
        <v>201.39139899999998</v>
      </c>
      <c r="Q311" s="3">
        <f>0+(346.9-106.4)+(0+(-0.884595--0.27132))+0-32--0.0815999999999954</f>
        <v>207.96832499999999</v>
      </c>
      <c r="R311" s="3">
        <f>0+(343.5-107.8)+(0+(-1.05111--0.329868))+0-32--0.0979200000000037</f>
        <v>203.07667800000002</v>
      </c>
      <c r="S311" s="3">
        <f>0+(352.2-119.2)+(0+(-0.359244--0.121584))+0-32--0.0326400000000051</f>
        <v>200.79498000000001</v>
      </c>
      <c r="T311" s="3">
        <f>0+(321.4-92)+(0+(-0.81957--0.2346))+0-32--0.0815999999999954</f>
        <v>196.89662999999999</v>
      </c>
      <c r="U311" s="3">
        <f>0+(314.8-90.8)+(0+(0.321096-0.092616))+0-32-0.0326400000000051</f>
        <v>192.19583999999998</v>
      </c>
      <c r="V311" s="3">
        <f>0+(351.5-123.6)+(0+(0.35853-0.126072))+0-32-0.0326400000000051</f>
        <v>196.099818</v>
      </c>
      <c r="W311" s="3">
        <f>0+(242.3-0)+(0+(0-0))+0-32-0</f>
        <v>210.3</v>
      </c>
      <c r="X311" s="3">
        <f>0+(251.7-0)+(0+(-0.128367-0))+0-32--0.0163199999999968</f>
        <v>219.587953</v>
      </c>
      <c r="Y311" s="3">
        <f>0+(270.7-8.3)+(0+(-0.552228--0.016932))+0-31--0.0632399999999986</f>
        <v>230.92794399999997</v>
      </c>
      <c r="Z311" s="3">
        <f>0+(320.4-58)+(0+(0-0))+0-33-0</f>
        <v>229.39999999999998</v>
      </c>
      <c r="AA311" s="3">
        <f>0+(372.1-108.7)+(0+(0-0))+0-32-0</f>
        <v>231.40000000000003</v>
      </c>
      <c r="AB311" s="3">
        <f>0+(368-110.3)+(0+(-1.12608--0.337518))+0-32--0.0979200000000037</f>
        <v>225.00935799999999</v>
      </c>
      <c r="AC311" s="3">
        <f>0+(382.3-130.7)+(0+(-0.389946--0.133314))+0-32--0.0326400000000051</f>
        <v>219.37600800000004</v>
      </c>
      <c r="AD311">
        <f t="shared" si="4"/>
        <v>5037.4332190000005</v>
      </c>
      <c r="AE311" s="3">
        <f>0+(260.1-0)+(0+(0-0))+0-29-0</f>
        <v>231.10000000000002</v>
      </c>
    </row>
    <row r="312" spans="1:31" s="2" customFormat="1" x14ac:dyDescent="0.25">
      <c r="A312">
        <v>89</v>
      </c>
      <c r="B312">
        <v>11</v>
      </c>
      <c r="C312">
        <v>6</v>
      </c>
      <c r="D312">
        <v>5</v>
      </c>
      <c r="E312">
        <v>1</v>
      </c>
      <c r="F312" s="3">
        <f>0+(314.6-102.3)+(0+(-0.481338--0.156519))+0-32--0.0489600000000018</f>
        <v>180.02414100000001</v>
      </c>
      <c r="G312" s="3">
        <f>0+(266.9-46.8)+(0+(-0.136119--0.023868))+0-3--0.0015299999999997</f>
        <v>216.98927899999998</v>
      </c>
      <c r="H312" s="3">
        <f>0+(280.7-48.8)+(0+(0.143157-0.024888))+0-30-0.015299999999997</f>
        <v>202.00296899999998</v>
      </c>
      <c r="I312" s="3">
        <f>0+(295.2-65.8)+(0+(0-0))+0-31-0</f>
        <v>198.39999999999998</v>
      </c>
      <c r="J312" s="3">
        <f>0+(307.7-77.7)+(0+(0.627708-0.158508))+0-32-0.0652799999999986</f>
        <v>198.40392</v>
      </c>
      <c r="K312" s="3">
        <f>0+(288.2-56.9)+(0+(0.146982-0.029019))+0-32-0.0163199999999968</f>
        <v>199.40164299999998</v>
      </c>
      <c r="L312" s="3">
        <f>0+(328.4-84.3)+(0+(-0.334968--0.085986))+0-32--0.0326400000000051</f>
        <v>211.88365799999997</v>
      </c>
      <c r="M312" s="3">
        <f>38.8+(372.8-152.3)+(0.039576+(0.380256-0.155346))+0-32-0.0326400000000051</f>
        <v>227.53184599999997</v>
      </c>
      <c r="N312" s="3">
        <f>101+(492.5-304.6)+(-0.05151+(-0.251175--0.155346))+0-32--0.0163199999999968</f>
        <v>256.768981</v>
      </c>
      <c r="O312" s="3">
        <f>101+(567-365)+(-0.10302+(-0.57834--0.3723))+0-32--0.0326400000000051</f>
        <v>270.72358000000003</v>
      </c>
      <c r="P312" s="3">
        <f>101+(632-423.1)+(0.10302+(0.64464-0.431562))+0-32-0.0326400000000051</f>
        <v>278.18345799999997</v>
      </c>
      <c r="Q312" s="3">
        <f>101+(650.3-440.3)+(0.05151+(0.331653-0.224553))+0-32-0.0163199999999968</f>
        <v>279.14228999999995</v>
      </c>
      <c r="R312" s="3">
        <f>101+(598.8-394.1)+(-0.25755+(-1.52694--1.004955))+0-32--0.0815999999999954</f>
        <v>273.0020649999999</v>
      </c>
      <c r="S312" s="3">
        <f>100.9+(592-396.8)+(0+(0-0))+0-33-0</f>
        <v>263.10000000000002</v>
      </c>
      <c r="T312" s="3">
        <f>101+(631.4-432.1)+(0+(0-0))+0-33-0</f>
        <v>267.29999999999995</v>
      </c>
      <c r="U312" s="3">
        <f>101+(636.8-445.4)+(-0.05151+(-0.324768--0.227154))+0-33--0.0168299999999967</f>
        <v>259.26770599999998</v>
      </c>
      <c r="V312" s="3">
        <f>101+(552.7-362.6)+(-0.20604+(-1.127508--0.739704))+0-31--0.0632399999999986</f>
        <v>259.56939600000004</v>
      </c>
      <c r="W312" s="3">
        <f>101+(432.9-233.1)+(-0.20604+(-0.883116--0.475524))+0-30--0.0611999999999987</f>
        <v>270.24756799999994</v>
      </c>
      <c r="X312" s="3">
        <f>99.8+(502-292.7)+(0.050898+(0.25602-0.149277))+0-30-0.015299999999997</f>
        <v>279.24234100000001</v>
      </c>
      <c r="Y312" s="3">
        <f>50.7+(573.5-315.2)+(0.025857+(0.292485-0.160752))+0-32-0.0163199999999968</f>
        <v>277.14127000000002</v>
      </c>
      <c r="Z312" s="3">
        <f>19.2+(570.8-281.4)+(-0.04896+(-1.45554--0.71757))+0-33--0.0841499999999952</f>
        <v>274.89722</v>
      </c>
      <c r="AA312" s="3">
        <f>0+(591.1-284.7)+(0+(0-0))+0-33-0</f>
        <v>273.40000000000003</v>
      </c>
      <c r="AB312" s="3">
        <f>0+(546.6-256)+(0+(-1.39383--0.6528))+0-33--0.0841499999999952</f>
        <v>256.94312000000002</v>
      </c>
      <c r="AC312" s="3">
        <f>0+(386-111)+(0+(-1.18116--0.33966))+0-32--0.0979200000000037</f>
        <v>242.25642000000002</v>
      </c>
      <c r="AD312">
        <f t="shared" si="4"/>
        <v>5915.8228709999985</v>
      </c>
      <c r="AE312" s="3">
        <f>101+(512-304.3)+(0+(0-0))+0-30-0</f>
        <v>278.7</v>
      </c>
    </row>
    <row r="313" spans="1:31" s="2" customFormat="1" x14ac:dyDescent="0.25">
      <c r="A313">
        <v>89</v>
      </c>
      <c r="B313">
        <v>11</v>
      </c>
      <c r="C313">
        <v>7</v>
      </c>
      <c r="D313">
        <v>6</v>
      </c>
      <c r="E313">
        <v>1</v>
      </c>
      <c r="F313" s="3">
        <f>0+(397-135.5)+(0+(-0.60741--0.207315))+0-33--0.0504900000000019</f>
        <v>228.15039499999997</v>
      </c>
      <c r="G313" s="3">
        <f>0+(368.7-111.6)+(0+(0.752148-0.227664))+0-33-0.0673199999999986</f>
        <v>224.557164</v>
      </c>
      <c r="H313" s="3">
        <f>0+(368-113)+(0+(0.56304-0.17289))+0-33-0.0504900000000019</f>
        <v>222.33966000000001</v>
      </c>
      <c r="I313" s="3">
        <f>0+(380.3-128.3)+(0+(0.193953-0.065433))+0-33-0.0168299999999967</f>
        <v>219.11169000000001</v>
      </c>
      <c r="J313" s="3">
        <f>0+(387.9-136.6)+(0+(0-0))+0-33-0</f>
        <v>218.29999999999998</v>
      </c>
      <c r="K313" s="3">
        <f>0+(458.1-210.3)+(0+(0-0))+0-33-0</f>
        <v>214.8</v>
      </c>
      <c r="L313" s="3">
        <f>0+(480.1-219.6)+(0+(0.489702-0.223992))+0-33-0.0336600000000053</f>
        <v>227.73205000000002</v>
      </c>
      <c r="M313" s="3">
        <f>68.8+(507.1-303.7)+(-0.035088+(-0.258621--0.154887))+0-33--0.0168299999999967</f>
        <v>239.07800800000004</v>
      </c>
      <c r="N313" s="3">
        <f>121.2+(437-267.8)+(-0.123624+(-0.44574--0.273156))+0-32--0.0326400000000051</f>
        <v>258.13643200000001</v>
      </c>
      <c r="O313" s="3">
        <f>138.8+(482.2-320.4)+(-0.283152+(-0.983688--0.653616))+0-32--0.0652799999999986</f>
        <v>268.05205599999999</v>
      </c>
      <c r="P313" s="3">
        <f>138.7+(488.2-323.6)+(-0.070737+(-0.248982--0.165036))+0-32--0.0163199999999968</f>
        <v>271.16163699999998</v>
      </c>
      <c r="Q313" s="3">
        <f>140+(525.5-355.6)+(0+(0-0))+0-32-0</f>
        <v>277.89999999999998</v>
      </c>
      <c r="R313" s="3">
        <f>139+(536.6-378.4)+(-0.28356+(-1.094664--0.771936))+0-31--0.0632399999999986</f>
        <v>265.65695200000005</v>
      </c>
      <c r="S313" s="3">
        <f>72.3+(516.9-314.2)+(-0.258111+(-1.845333--1.121694))+0-0-0</f>
        <v>274.01825000000002</v>
      </c>
      <c r="T313" s="3">
        <f>55.7+(536.5-338.8)+(-0.142035+(-1.368075--0.86394))+0-0-0</f>
        <v>252.75382999999997</v>
      </c>
      <c r="U313" s="3">
        <f>55.6+(518.8-329.8)+(-0.056712+(-0.529176--0.336396))+0-0-0</f>
        <v>244.35050799999993</v>
      </c>
      <c r="V313" s="3">
        <f>55.6+(470.8-283.4)+(-0.113424+(-0.960432--0.578136))+0-4--0.00815999999999983</f>
        <v>238.51244000000003</v>
      </c>
      <c r="W313" s="3">
        <f>55.6+(523.6-311.6)+(0.028356+(0.267036-0.158916))+0-4-0.00203999999999959</f>
        <v>263.73443600000002</v>
      </c>
      <c r="X313" s="3">
        <f>55.6+(555.6-335.8)+(-0.14178+(-1.41678--0.85629))+0-5--0.0127499999999993</f>
        <v>269.71048000000002</v>
      </c>
      <c r="Y313" s="3">
        <f>55.6+(559.9-343.8)+(-0.085068+(-0.856647--0.526014))+0-5--0.00765000000000029</f>
        <v>266.29194899999999</v>
      </c>
      <c r="Z313" s="3">
        <f>55.7+(564-351)+(-0.028407+(-0.28764--0.17901))+0-6--0.00305999999999939</f>
        <v>262.56602299999997</v>
      </c>
      <c r="AA313" s="3">
        <f>28.6+(585.8-342.3)+(-0.029172+(-0.597516--0.349146))+0-7--0.00714000000000112</f>
        <v>264.82959799999998</v>
      </c>
      <c r="AB313" s="3">
        <f>0+(543.8-273)+(0+(-1.109352--0.55692))+0-8--0.0163199999999997</f>
        <v>262.26388799999995</v>
      </c>
      <c r="AC313" s="3">
        <f>0+(405.5-150.4)+(0+(0-0))+0-9-0</f>
        <v>246.1</v>
      </c>
      <c r="AD313">
        <f t="shared" si="4"/>
        <v>5980.1074460000018</v>
      </c>
      <c r="AE313" s="3">
        <f>55+(559.7-335.4)+(0+(0-0))+0-31-0</f>
        <v>248.30000000000007</v>
      </c>
    </row>
    <row r="314" spans="1:31" s="2" customFormat="1" x14ac:dyDescent="0.25">
      <c r="A314">
        <v>89</v>
      </c>
      <c r="B314">
        <v>11</v>
      </c>
      <c r="C314">
        <v>8</v>
      </c>
      <c r="D314">
        <v>7</v>
      </c>
      <c r="E314">
        <v>1</v>
      </c>
      <c r="F314" s="3">
        <f>0+(355.8-110.6)+(0+(-0.90729--0.28203))+0-10--0.0254999999999985</f>
        <v>234.60024000000001</v>
      </c>
      <c r="G314" s="3">
        <f>0+(280.5-43.8)+(0+(-0.429165--0.067014))+0-11--0.0168300000000006</f>
        <v>225.35467899999998</v>
      </c>
      <c r="H314" s="3">
        <f>0+(276.7-42.1)+(0+(-0.141117--0.021471))+0-13--0.00662999999999868</f>
        <v>221.48698400000001</v>
      </c>
      <c r="I314" s="3">
        <f>0+(263.8-27.6)+(0+(-0.134538--0.014076))+0-15--0.00764999999999848</f>
        <v>221.08718800000003</v>
      </c>
      <c r="J314" s="3">
        <f>0+(325.8-93.7)+(0+(0.166158-0.047787))+0-15-0.00764999999999848</f>
        <v>217.21072100000001</v>
      </c>
      <c r="K314" s="3">
        <f>0+(352-121.3)+(0+(-0.53856--0.185589))+0-16--0.0244800000000009</f>
        <v>214.371509</v>
      </c>
      <c r="L314" s="3">
        <f>0+(374.7-140.5)+(0+(-0.382194--0.14331))+0-14--0.0142800000000022</f>
        <v>219.97539599999999</v>
      </c>
      <c r="M314" s="3">
        <f>0+(303.7-78.9)+(0+(0-0))+0-15-0</f>
        <v>209.79999999999998</v>
      </c>
      <c r="N314" s="3">
        <f>0+(348.2-113.3)+(0+(-0.355164--0.115566))+0-13--0.0132600000000021</f>
        <v>221.67366199999998</v>
      </c>
      <c r="O314" s="3">
        <f>0+(363.6-123.6)+(0+(0.556308-0.189108))+0-14-0.0214200000000008</f>
        <v>226.34578000000002</v>
      </c>
      <c r="P314" s="3">
        <f>0+(366.3-118.3)+(0+(-0.560439--0.180999))+0-15--0.0229500000000009</f>
        <v>232.64351000000002</v>
      </c>
      <c r="Q314" s="3">
        <f>0+(395.4-141.3)+(0+(-0.403308--0.144126))+0-14--0.0142800000000022</f>
        <v>239.85509799999997</v>
      </c>
      <c r="R314" s="3">
        <f>0+(390.9-138.9)+(0+(-1.794231--0.637551))+0-30--0.137700000000005</f>
        <v>220.98101999999997</v>
      </c>
      <c r="S314" s="3">
        <f>0+(395.1-150.1)+(0+(0-0))+0-30-0</f>
        <v>215.00000000000003</v>
      </c>
      <c r="T314" s="3">
        <f>0+(343.5-104.6)+(0+(-0.175185--0.053346))+0-30--0.015299999999997</f>
        <v>208.79346100000001</v>
      </c>
      <c r="U314" s="3">
        <f>0+(305.6-73)+(0+(-0.155856--0.03723))+0-30--0.015299999999997</f>
        <v>202.49667400000001</v>
      </c>
      <c r="V314" s="3">
        <f>0+(305.8-73.6)+(0+(-0.467874--0.112608))+0-30--0.0459000000000017</f>
        <v>201.89063400000001</v>
      </c>
      <c r="W314" s="3">
        <f>49.1+(320.2-122.5)+(-0.100164+(-0.653208--0.2499))+0-28--0.0571199999999988</f>
        <v>218.35364799999999</v>
      </c>
      <c r="X314" s="3">
        <f>139.8+(455.1-324.7)+(-0.285192+(-0.928404--0.662388))+0-30--0.0611999999999987</f>
        <v>239.70999200000006</v>
      </c>
      <c r="Y314" s="3">
        <f>140.5+(421.3-287.6)+(-0.214965+(-0.644589--0.440028))+0-30--0.0459000000000017</f>
        <v>243.82637399999996</v>
      </c>
      <c r="Z314" s="3">
        <f>59.1+(443.6-232)+(-0.060282+(-0.452472--0.23664))+0-30--0.0306000000000048</f>
        <v>240.45448600000003</v>
      </c>
      <c r="AA314" s="3">
        <f>13.8+(448.7-186.6)+(-0.007038+(-0.228837--0.095166))+0-30--0.015299999999997</f>
        <v>245.77459100000002</v>
      </c>
      <c r="AB314" s="3">
        <f>0+(448.4-176.3)+(0+(-0.457368--0.179826))+0-30--0.0306000000000048</f>
        <v>241.85305799999998</v>
      </c>
      <c r="AC314" s="3">
        <f>0+(440.1-177.7)+(0+(-1.571157--0.634389))+0-31--0.11067</f>
        <v>230.57390200000006</v>
      </c>
      <c r="AD314">
        <f t="shared" si="4"/>
        <v>5394.112607</v>
      </c>
      <c r="AE314" s="3">
        <f>140+(493.5-358.2)+(0+(0-0))+0-30-0</f>
        <v>245.3</v>
      </c>
    </row>
    <row r="315" spans="1:31" s="2" customFormat="1" x14ac:dyDescent="0.25">
      <c r="A315">
        <v>89</v>
      </c>
      <c r="B315">
        <v>11</v>
      </c>
      <c r="C315">
        <v>9</v>
      </c>
      <c r="D315">
        <v>1</v>
      </c>
      <c r="E315">
        <v>1</v>
      </c>
      <c r="F315" s="3">
        <f>0+(334.7-88.4)+(0+(0-0))+0-30-0</f>
        <v>216.29999999999998</v>
      </c>
      <c r="G315" s="3">
        <f>0+(303.7-67.1)+(0+(-1.084209--0.239547))+0-31--0.11067</f>
        <v>204.86600799999999</v>
      </c>
      <c r="H315" s="3">
        <f>0+(353.6-119.1)+(0+(-0.180336--0.060741))+0-31--0.0158099999999969</f>
        <v>203.39621500000001</v>
      </c>
      <c r="I315" s="3">
        <f>0+(331.9-102)+(0+(-0.507807--0.15606))+0-31--0.0474300000000018</f>
        <v>198.59568299999998</v>
      </c>
      <c r="J315" s="3">
        <f>0+(290.3-60.5)+(0+(0-0))+0-31-0</f>
        <v>198.8</v>
      </c>
      <c r="K315" s="3">
        <f>0+(284.3-49.1)+(0+(0-0))+0-31-0</f>
        <v>204.20000000000002</v>
      </c>
      <c r="L315" s="3">
        <f>0+(393.4-144.2)+(0+(0-0))+0-31-0</f>
        <v>218.2</v>
      </c>
      <c r="M315" s="3">
        <f>0+(422.2-157)+(0+(-1.07661--0.40035))+0-31--0.0790499999999955</f>
        <v>233.60278999999997</v>
      </c>
      <c r="N315" s="3">
        <f>0+(517.6-225.9)+(0+(0.263976-0.115209))+0-31-0.0158099999999969</f>
        <v>260.83295700000008</v>
      </c>
      <c r="O315" s="3">
        <f>0+(673-371.2)+(0+(-0.34323--0.189312))+0-31--0.0158099999999969</f>
        <v>270.66189200000002</v>
      </c>
      <c r="P315" s="3">
        <f>47.1+(680.6-416.5)+(-0.048042+(-0.694212--0.42483))+0-31--0.0316200000000049</f>
        <v>279.91419600000006</v>
      </c>
      <c r="Q315" s="3">
        <f>140.5+(691.6-514.8)+(-0.358275+(-1.76358--1.31274))+0-31--0.0790499999999955</f>
        <v>285.56993500000004</v>
      </c>
      <c r="R315" s="3">
        <f>139.7+(642.4-468.8)+(0+(0-0))+0-31-0</f>
        <v>282.29999999999995</v>
      </c>
      <c r="S315" s="3">
        <f>138.9+(584.2-424.8)+(-0.283356+(-1.191768--0.866592))+0-31--0.0632399999999986</f>
        <v>266.75470800000005</v>
      </c>
      <c r="T315" s="3">
        <f>138.6+(560.6-399)+(0.212058+(0.857718-0.61047))+0-31-0.0474300000000018</f>
        <v>269.61187600000005</v>
      </c>
      <c r="U315" s="3">
        <f>138.9+(534-375)+(-0.212517+(-0.81702--0.57375))+0-31--0.0474300000000018</f>
        <v>266.49164300000001</v>
      </c>
      <c r="V315" s="3">
        <f>138.5+(565-402.9)+(0.211905+(0.86445-0.616437))+0-31-0.0474300000000018</f>
        <v>270.01248800000002</v>
      </c>
      <c r="W315" s="3">
        <f>131.3+(574-391.7)+(-0.200889+(-0.87822--0.599301))+0-31--0.0474300000000018</f>
        <v>282.16762200000005</v>
      </c>
      <c r="X315" s="3">
        <f>131.2+(650.4-457.5)+(-0.401472+(-1.990224--1.39995))+0-31--0.0948600000000036</f>
        <v>292.20311399999997</v>
      </c>
      <c r="Y315" s="3">
        <f>131.2+(656-466.4)+(-0.468384+(-2.34192--1.665048))+0-32--0.11424</f>
        <v>287.76898399999999</v>
      </c>
      <c r="Z315" s="3">
        <f>131.3+(567.9-399.9)+(0.066963+(0.289629-0.203949))+0-31-0.0158099999999969</f>
        <v>268.43683300000004</v>
      </c>
      <c r="AA315" s="3">
        <f>91.6+(536.1-324.7)+(-0.046716+(-0.273411--0.165597))+0-31--0.0158099999999969</f>
        <v>271.86127999999997</v>
      </c>
      <c r="AB315" s="3">
        <f>0+(452-153)+(0+(-0.23052--0.07803))+0-31--0.0158099999999969</f>
        <v>267.86331999999999</v>
      </c>
      <c r="AC315" s="3">
        <f>0+(370.4-81.5)+(0+(-0.188904--0.041565))+0-32--0.0163199999999968</f>
        <v>256.768981</v>
      </c>
      <c r="AD315">
        <f t="shared" si="4"/>
        <v>6057.1805250000007</v>
      </c>
      <c r="AE315" s="3">
        <f>131+(651.3-463.3)+(0+(0-0))+0-31-0</f>
        <v>287.99999999999994</v>
      </c>
    </row>
    <row r="316" spans="1:31" s="2" customFormat="1" x14ac:dyDescent="0.25">
      <c r="A316">
        <v>89</v>
      </c>
      <c r="B316">
        <v>11</v>
      </c>
      <c r="C316">
        <v>10</v>
      </c>
      <c r="D316">
        <v>2</v>
      </c>
      <c r="E316">
        <v>1</v>
      </c>
      <c r="F316" s="3">
        <f>0+(301.8-21.9)+(0+(0.153918-0.011169))+0-31-0.0158099999999969</f>
        <v>249.02693900000003</v>
      </c>
      <c r="G316" s="3">
        <f>0+(348.9-82.3)+(0+(0-0))+0-31-0</f>
        <v>235.59999999999997</v>
      </c>
      <c r="H316" s="3">
        <f>0+(289.3-12.9)+(0+(-0.442629--0.019737))+0-32--0.0489600000000018</f>
        <v>244.02606800000004</v>
      </c>
      <c r="I316" s="3">
        <f>0+(294.1-16.4)+(0+(-0.749955--0.04182))+0-32--0.0815999999999954</f>
        <v>245.07346500000003</v>
      </c>
      <c r="J316" s="3">
        <f>0+(273.7-9.4)+(0+(0.279174-0.009588))+0-32-0.0326400000000051</f>
        <v>232.536946</v>
      </c>
      <c r="K316" s="3">
        <f>0+(306.6-37.7)+(0+(-0.625464--0.076908))+0-32--0.0652799999999986</f>
        <v>236.41672400000002</v>
      </c>
      <c r="L316" s="3">
        <f>0+(311.9-28)+(0+(0.636276-0.05712))+0-23-0.046919999999999</f>
        <v>261.43223599999999</v>
      </c>
      <c r="M316" s="3">
        <f>0+(348-55.7)+(0+(0.17748-0.028407))+0-30-0.015299999999997</f>
        <v>262.43377299999997</v>
      </c>
      <c r="N316" s="3">
        <f>0+(441.4-134.8)+(0+(-1.12557--0.34374))+0-30--0.0764999999999956</f>
        <v>275.89466999999996</v>
      </c>
      <c r="O316" s="3">
        <f>0+(602.5-279.6)+(0+(0.307275-0.142596))+0-31-0.0158099999999969</f>
        <v>292.04886899999997</v>
      </c>
      <c r="P316" s="3">
        <f>0+(619.7-294.1)+(0+(-0.632094--0.299982))+0-30--0.0306000000000048</f>
        <v>295.29848800000002</v>
      </c>
      <c r="Q316" s="3">
        <f>0+(661.8-333.9)+(0+(0-0))+0-31-0</f>
        <v>296.89999999999998</v>
      </c>
      <c r="R316" s="3">
        <f>0+(578.4-284.9)+(0+(-0.884952--0.435897))+0-31--0.0474300000000018</f>
        <v>262.09837500000003</v>
      </c>
      <c r="S316" s="3">
        <f>0+(502.1-239.1)+(0+(-0.512142--0.243882))+0-31--0.0316200000000049</f>
        <v>231.76336000000001</v>
      </c>
      <c r="T316" s="3">
        <f>0+(527.2-223)+(0+(-0.537744--0.22746))+0-31--0.0316200000000049</f>
        <v>272.92133600000005</v>
      </c>
      <c r="U316" s="3">
        <f>0+(442.4-150.6)+(0+(0.225624-0.076806))+0-31-0.0158099999999969</f>
        <v>260.93300799999997</v>
      </c>
      <c r="V316" s="3">
        <f>0+(384-93.5)+(0+(-0.39168--0.09537))+0-31--0.0316200000000049</f>
        <v>259.23531000000003</v>
      </c>
      <c r="W316" s="3">
        <f>0+(453.3-146)+(0+(0-0))+0-31-0</f>
        <v>276.3</v>
      </c>
      <c r="X316" s="3">
        <f>0+(444.1-133)+(0+(-0.452982--0.13566))+0-31--0.0316200000000049</f>
        <v>279.81429800000006</v>
      </c>
      <c r="Y316" s="3">
        <f>0+(490-183.2)+(0+(-0.7497--0.280296))+0-31--0.0474300000000018</f>
        <v>275.37802600000003</v>
      </c>
      <c r="Z316" s="3">
        <f>0+(478.1-172.9)+(0+(-0.975324--0.352716))+0-31--0.0632399999999986</f>
        <v>273.64063200000004</v>
      </c>
      <c r="AA316" s="3">
        <f>0+(612.6-305.5)+(0+(-0.312426--0.155805))+0-31--0.0158099999999969</f>
        <v>275.95918900000004</v>
      </c>
      <c r="AB316" s="3">
        <f>0+(603.2-297.9)+(0+(-1.230528--0.607716))+0-31--0.0632399999999986</f>
        <v>273.74042800000007</v>
      </c>
      <c r="AC316" s="3">
        <f>0+(439.7-151.6)+(0+(-0.448494--0.154632))+0-31--0.0316200000000049</f>
        <v>256.83775800000006</v>
      </c>
      <c r="AD316">
        <f t="shared" si="4"/>
        <v>6325.3098979999995</v>
      </c>
      <c r="AE316" s="3">
        <f>0+(452-138.4)+(0+(0-0))+0-31-0</f>
        <v>282.60000000000002</v>
      </c>
    </row>
    <row r="317" spans="1:31" s="2" customFormat="1" x14ac:dyDescent="0.25">
      <c r="A317">
        <v>89</v>
      </c>
      <c r="B317">
        <v>11</v>
      </c>
      <c r="C317">
        <v>11</v>
      </c>
      <c r="D317">
        <v>3</v>
      </c>
      <c r="E317">
        <v>1</v>
      </c>
      <c r="F317" s="3">
        <f>0+(403.3-125)+(0+(-1.028415--0.31875))+0-31--0.0790499999999955</f>
        <v>246.66938500000003</v>
      </c>
      <c r="G317" s="3">
        <f>0+(398.8-128.4)+(0+(-0.813552--0.261936))+0-31--0.0632399999999986</f>
        <v>238.91162399999996</v>
      </c>
      <c r="H317" s="3">
        <f>0+(436.4-168.2)+(0+(-0.890256--0.343128))+0-31--0.0632399999999986</f>
        <v>236.71611200000001</v>
      </c>
      <c r="I317" s="3">
        <f>0+(420.6-153)+(0+(-1.07253--0.39015))+0-31--0.0790499999999955</f>
        <v>235.99666999999999</v>
      </c>
      <c r="J317" s="3">
        <f>0+(437.3-169.6)+(0+(0.892092-0.345984))+0-31-0.0632399999999986</f>
        <v>237.18286800000004</v>
      </c>
      <c r="K317" s="3">
        <f>0+(410.9-140.6)+(0+(1.047795-0.35853))+0-31-0.0790499999999955</f>
        <v>239.91021499999994</v>
      </c>
      <c r="L317" s="3">
        <f>0+(513.2-228.2)+(0+(0.785196-0.349146))+0-31-0.0474300000000018</f>
        <v>254.38862000000009</v>
      </c>
      <c r="M317" s="3">
        <f>0+(507.5-208.1)+(0+(0.776475-0.318393))+0-31-0.0474300000000018</f>
        <v>268.81065199999995</v>
      </c>
      <c r="N317" s="3">
        <f>0+(615.6-294.3)+(0+(0.627912-0.300186))+0-31-0.0316200000000049</f>
        <v>290.59610599999996</v>
      </c>
      <c r="O317" s="3">
        <f>0+(645.7-314.4)+(0+(-1.317228--0.641376))+0-31--0.0632399999999986</f>
        <v>299.68738800000006</v>
      </c>
      <c r="P317" s="3">
        <f>0+(878.4-536.3)+(0+(1.343952-0.820539))+0-31-0.0474300000000018</f>
        <v>311.57598300000001</v>
      </c>
      <c r="Q317" s="3">
        <f>0+(957.2-606.4)+(0+(-1.464516--0.927792))+0-31--0.0474300000000018</f>
        <v>319.3107060000001</v>
      </c>
      <c r="R317" s="3">
        <f>0+(887.2-548.4)+(0+(-3.167304--1.957788))+0-31--0.11067</f>
        <v>306.70115400000009</v>
      </c>
      <c r="S317" s="3">
        <f>0+(815.6-494.1)+(0+(-0.415956--0.251991))+0-32--0.0163199999999968</f>
        <v>289.35235499999999</v>
      </c>
      <c r="T317" s="3">
        <f>0+(785.4-462.8)+(0+(-1.201662--0.708084))+0-31--0.0474300000000018</f>
        <v>291.15385199999997</v>
      </c>
      <c r="U317" s="3">
        <f>0+(598.1-294.5)+(0+(-0.915093--0.450585))+0-31--0.0474300000000018</f>
        <v>272.18292200000002</v>
      </c>
      <c r="V317" s="3">
        <f>0+(568.1-262.2)+(0+(-1.738386--0.802332))+0-31--0.0948600000000036</f>
        <v>274.058806</v>
      </c>
      <c r="W317" s="3">
        <f>63.4+(421.8-174.3)+(-0.226338+(-1.505826--0.622251))+0-31--0.11067</f>
        <v>278.900757</v>
      </c>
      <c r="X317" s="3">
        <f>67.1+(572.3-314.2)+(-0.205326+(-1.751238--0.961452))+0-32--0.0979200000000037</f>
        <v>292.30280799999991</v>
      </c>
      <c r="Y317" s="3">
        <f>57.1+(512-256.1)+(0.058242+(0.52224-0.261222))+0-32-0.0326400000000051</f>
        <v>281.28661999999997</v>
      </c>
      <c r="Z317" s="3">
        <f>55.6+(480.4-231.5)+(-0.056712+(-0.490008--0.23613))+0-31--0.0316200000000049</f>
        <v>273.22103000000004</v>
      </c>
      <c r="AA317" s="3">
        <f>15+(440.4-152.6)+(-0.0306+(-0.898416--0.311304))+0-31--0.0632399999999986</f>
        <v>271.24552799999998</v>
      </c>
      <c r="AB317" s="3">
        <f>0+(484.1-184.8)+(0+(-1.481346--0.565488))+0-31--0.0948600000000036</f>
        <v>267.47900199999998</v>
      </c>
      <c r="AC317" s="3">
        <f>0+(412.6-128)+(0+(-1.683408--0.52224))+0-31--0.126479999999997</f>
        <v>252.56531200000003</v>
      </c>
      <c r="AD317">
        <f t="shared" si="4"/>
        <v>6530.2064750000009</v>
      </c>
      <c r="AE317" s="3">
        <f>60+(549.8-282.2)+(0+(0-0))+0-32-0</f>
        <v>295.59999999999997</v>
      </c>
    </row>
    <row r="318" spans="1:31" s="2" customFormat="1" x14ac:dyDescent="0.25">
      <c r="A318">
        <v>89</v>
      </c>
      <c r="B318">
        <v>11</v>
      </c>
      <c r="C318">
        <v>12</v>
      </c>
      <c r="D318">
        <v>4</v>
      </c>
      <c r="E318">
        <v>1</v>
      </c>
      <c r="F318" s="3">
        <f>0+(344.5-72.4)+(0+(-0.35139--0.073848))+0-31--0.0316200000000049</f>
        <v>240.85407800000004</v>
      </c>
      <c r="G318" s="3">
        <f>0+(308.1-38.7)+(0+(-0.942786--0.118422))+0-31--0.0948600000000036</f>
        <v>237.67049600000004</v>
      </c>
      <c r="H318" s="3">
        <f>0+(284.3-21.9)+(0+(-0.434979--0.033507))+0-31--0.0474300000000018</f>
        <v>231.04595800000001</v>
      </c>
      <c r="I318" s="3">
        <f>0+(261.6-5.2)+(0+(0-0))+0-31-0</f>
        <v>225.40000000000003</v>
      </c>
      <c r="J318" s="3">
        <f>0+(264.1-11.3)+(0+(-0.673455--0.028815))+0-31--0.0790499999999955</f>
        <v>221.23441</v>
      </c>
      <c r="K318" s="3">
        <f>0+(342.6-90.8)+(0+(-0.698904--0.185232))+0-31--0.0632399999999986</f>
        <v>220.349568</v>
      </c>
      <c r="L318" s="3">
        <f>0+(391.8-119.4)+(0+(-0.99909--0.30447))+0-30--0.0764999999999956</f>
        <v>241.78187999999997</v>
      </c>
      <c r="M318" s="3">
        <f>0+(412.3-129)+(0+(0.630819-0.19737))+0-32-0.0489600000000018</f>
        <v>251.68448900000001</v>
      </c>
      <c r="N318" s="3">
        <f>0+(461.7-165.5)+(0+(-0.235467--0.084405))+0-2--0.0010199999999998</f>
        <v>294.04995799999995</v>
      </c>
      <c r="O318" s="3">
        <f>0+(432.8-139.2)+(0+(0.220728-0.070992))+0-33-0.0168299999999967</f>
        <v>260.73290600000007</v>
      </c>
      <c r="P318" s="3">
        <f>69.1+(540.6-293.7)+(-0.105723+(-0.827118--0.449361))+0-32--0.0489600000000018</f>
        <v>283.56548000000004</v>
      </c>
      <c r="Q318" s="3">
        <f>134.6+(599.7-412.6)+(-0.274584+(-1.223388--0.841704))+0-32--0.0652799999999986</f>
        <v>289.10901200000001</v>
      </c>
      <c r="R318" s="3">
        <f>136.3+(530.4-353.4)+(-0.208539+(-0.811512--0.540702))+0-32--0.0489600000000018</f>
        <v>280.86961100000002</v>
      </c>
      <c r="S318" s="3">
        <f>136.2+(525.9-355.8)+(-0.069462+(-0.268209--0.181458))+0-32--0.0163199999999968</f>
        <v>274.16010699999998</v>
      </c>
      <c r="T318" s="3">
        <f>136.1+(474.1-308.7)+(0.069411+(0.241791-0.157437))+0-31-0.0158099999999969</f>
        <v>270.63795500000003</v>
      </c>
      <c r="U318" s="3">
        <f>129.2+(440.5-277.3)+(-0.197676+(-0.673965--0.424269))+0-32--0.0489600000000018</f>
        <v>260.00158800000003</v>
      </c>
      <c r="V318" s="3">
        <f>136.1+(452.3-305.2)+(0+(0-0))+0-32-0</f>
        <v>251.20000000000005</v>
      </c>
      <c r="W318" s="3">
        <f>134.9+(404.2-250)+(-0.137598+(-0.412284--0.255))+0-32--0.0326400000000051</f>
        <v>256.83775800000006</v>
      </c>
      <c r="X318" s="3">
        <f>137.4+(506-342.8)+(-0.420444+(-1.54836--1.048968))+0-30--0.0918000000000035</f>
        <v>269.77196400000003</v>
      </c>
      <c r="Y318" s="3">
        <f>138.3+(566.2-408.4)+(-0.211599+(-0.866286--0.624852))+0-32--0.0489600000000018</f>
        <v>263.6959270000001</v>
      </c>
      <c r="Z318" s="3">
        <f>69.2+(541.9-324.9)+(-0.070584+(-0.552738--0.331398))+0-32--0.0326400000000051</f>
        <v>253.94071600000001</v>
      </c>
      <c r="AA318" s="3">
        <f>46.7+(507.7-265.4)+(-0.047634+(-0.517854--0.270708))+0-32--0.0326400000000051</f>
        <v>256.73786000000001</v>
      </c>
      <c r="AB318" s="3">
        <f>0+(476.9-196.3)+(0+(-0.729657--0.300339))+0-31--0.0474300000000018</f>
        <v>249.21811199999993</v>
      </c>
      <c r="AC318" s="3">
        <f>0+(422.2-155.6)+(0+(-0.430644--0.158712))+0-31--0.0316200000000049</f>
        <v>235.35968800000003</v>
      </c>
      <c r="AD318">
        <f t="shared" si="4"/>
        <v>6119.9095210000014</v>
      </c>
      <c r="AE318" s="3">
        <f>137+(513.4-346.7)+(0+(0-0))+0-32-0</f>
        <v>271.7</v>
      </c>
    </row>
    <row r="319" spans="1:31" s="2" customFormat="1" x14ac:dyDescent="0.25">
      <c r="A319">
        <v>89</v>
      </c>
      <c r="B319">
        <v>11</v>
      </c>
      <c r="C319">
        <v>13</v>
      </c>
      <c r="D319">
        <v>5</v>
      </c>
      <c r="E319">
        <v>5</v>
      </c>
      <c r="F319" s="3">
        <f>0+(371.3-119.5)+(0+(-0.568089--0.182835))+0-32--0.0489600000000018</f>
        <v>219.463706</v>
      </c>
      <c r="G319" s="3">
        <f>0+(398-151.9)+(0+(0.20298-0.077469))+0-32-0.0163199999999968</f>
        <v>214.20919099999998</v>
      </c>
      <c r="H319" s="3">
        <f>0+(375.7-131.5)+(0+(-0.383214--0.13413))+0-32--0.0326400000000051</f>
        <v>211.98355599999999</v>
      </c>
      <c r="I319" s="3">
        <f>0+(358.6-119.6)+(0+(0.365772-0.121992))+0-32-0.0326400000000051</f>
        <v>207.21114</v>
      </c>
      <c r="J319" s="3">
        <f>0+(358.1-115.4)+(0+(0.365262-0.117708))+0-33-0.0336600000000053</f>
        <v>209.91389400000003</v>
      </c>
      <c r="K319" s="3">
        <f>0+(323.4-77.5)+(0+(0.494802-0.118575))+0-32-0.0489600000000018</f>
        <v>214.22726699999998</v>
      </c>
      <c r="L319" s="3">
        <f>0+(375.3-132.4)+(0+(0-0))+0-32-0</f>
        <v>210.9</v>
      </c>
      <c r="M319" s="3">
        <f>0+(456.1-225.2)+(0+(-1.163055--0.57426))+0-33--0.0841499999999952</f>
        <v>197.39535500000002</v>
      </c>
      <c r="N319" s="3">
        <f>0+(375-141.2)+(0+(-0.19125--0.072012))+0-32--0.0163199999999968</f>
        <v>201.69708200000002</v>
      </c>
      <c r="O319" s="3">
        <f>0+(358-122.8)+(0+(0.54774-0.187884))+0-32-0.0489600000000018</f>
        <v>203.510896</v>
      </c>
      <c r="P319" s="3">
        <f>0+(326.6-93.9)+(0+(-0.999396--0.287334))+0-32--0.0979200000000037</f>
        <v>200.08585800000003</v>
      </c>
      <c r="Q319" s="3">
        <f>0+(303.3-69.3)+(0+(-0.464049--0.106029))+0-32--0.0489600000000018</f>
        <v>201.69093999999998</v>
      </c>
      <c r="R319" s="3">
        <f>0+(319.4-85.8)+(0+(0-0))+0-32-0</f>
        <v>201.59999999999997</v>
      </c>
      <c r="S319" s="3">
        <f>0+(330.8-96.2)+(0+(-0.337416--0.098124))+0-32--0.0326400000000051</f>
        <v>202.39334800000003</v>
      </c>
      <c r="T319" s="3">
        <f>0+(335.4-99.5)+(0+(-0.513162--0.152235))+0-32--0.0489600000000018</f>
        <v>203.58803299999997</v>
      </c>
      <c r="U319" s="3">
        <f>0+(330.7-92.9)+(0+(-0.674628--0.189516))+0-32--0.0652799999999986</f>
        <v>205.380168</v>
      </c>
      <c r="V319" s="3">
        <f>0+(345.7-103)+(0+(0-0))+0-32-0</f>
        <v>210.7</v>
      </c>
      <c r="W319" s="3">
        <f>0+(444.6-190.9)+(0+(0-0))+0-32-0</f>
        <v>221.70000000000002</v>
      </c>
      <c r="X319" s="3">
        <f>0+(538.2-268.6)+(0+(-1.097928--0.547944))+0-32--0.0652799999999986</f>
        <v>237.11529600000003</v>
      </c>
      <c r="Y319" s="3">
        <f>0+(511.3-241.3)+(0+(-0.521526--0.246126))+0-33--0.0336600000000053</f>
        <v>236.75826000000001</v>
      </c>
      <c r="Z319" s="3">
        <f>0+(525.2-248.9)+(0+(0-0))+0-33-0</f>
        <v>243.30000000000007</v>
      </c>
      <c r="AA319" s="3">
        <f>0+(533.6-246)+(0+(0.272136-0.12546))+0-33-0.0168299999999967</f>
        <v>254.72984600000004</v>
      </c>
      <c r="AB319" s="3">
        <f>0+(544.5-255.8)+(0+(-0.277695--0.130458))+0-33--0.0168299999999967</f>
        <v>255.56959299999997</v>
      </c>
      <c r="AC319" s="3">
        <f>0+(516.2-234.4)+(0+(-1.579572--0.717264))+0-33--0.100980000000004</f>
        <v>248.03867200000008</v>
      </c>
      <c r="AD319">
        <f t="shared" si="4"/>
        <v>5213.1621009999999</v>
      </c>
      <c r="AE319" s="3">
        <f>0+(518.4-253.1)+(0+(0-0))+0-32-0</f>
        <v>233.29999999999995</v>
      </c>
    </row>
    <row r="320" spans="1:31" s="2" customFormat="1" x14ac:dyDescent="0.25">
      <c r="A320">
        <v>89</v>
      </c>
      <c r="B320">
        <v>11</v>
      </c>
      <c r="C320">
        <v>14</v>
      </c>
      <c r="D320">
        <v>6</v>
      </c>
      <c r="E320">
        <v>6</v>
      </c>
      <c r="F320" s="3">
        <f>0+(429.2-161.5)+(0+(-0.218892--0.082365))+0-33--0.0168299999999967</f>
        <v>234.58030299999999</v>
      </c>
      <c r="G320" s="3">
        <f>0+(360.6-104.4)+(0+(0-0))+0-33-0</f>
        <v>223.20000000000005</v>
      </c>
      <c r="H320" s="3">
        <f>0+(338.3-80.4)+(0+(-1.035198--0.246024))+0-33--0.100980000000004</f>
        <v>224.21180599999997</v>
      </c>
      <c r="I320" s="3">
        <f>0+(333.1-67.4)+(0+(0.679524-0.137496))+0-33-0.0673199999999986</f>
        <v>233.17470800000007</v>
      </c>
      <c r="J320" s="3">
        <f>0+(325.1-67.5)+(0+(0.165801-0.034425))+0-33-0.0168299999999967</f>
        <v>224.71454600000001</v>
      </c>
      <c r="K320" s="3">
        <f>0+(319.7-80.6)+(0+(0.652188-0.164424))+0-33-0.0673199999999986</f>
        <v>206.520444</v>
      </c>
      <c r="L320" s="3">
        <f>0+(313.1-79.9)+(0+(0.159681-0.040749))+0-32-0.0163199999999968</f>
        <v>201.30261200000001</v>
      </c>
      <c r="M320" s="3">
        <f>0+(317.6-81.5)+(0+(-0.161976--0.041565))+0-32--0.0163199999999968</f>
        <v>203.99590900000004</v>
      </c>
      <c r="N320" s="3">
        <f>0+(311.6-74.9)+(0+(-0.158916--0.038199))+0-32--0.0163199999999968</f>
        <v>204.59560300000001</v>
      </c>
      <c r="O320" s="3">
        <f>0+(373.9-118.5)+(0+(0.381378-0.12087))+0-32-0.0326400000000051</f>
        <v>223.62786799999995</v>
      </c>
      <c r="P320" s="3">
        <f>0+(399.7-136.1)+(0+(-0.203847--0.069411))+0-32--0.0163199999999968</f>
        <v>231.48188400000004</v>
      </c>
      <c r="Q320" s="3">
        <f>0+(469.3-202.7)+(0+(0-0))+0-32-0</f>
        <v>234.60000000000002</v>
      </c>
      <c r="R320" s="3">
        <f>0+(423.9-185.8)+(0+(-0.648567--0.284274))+0-33--0.0504900000000019</f>
        <v>204.78619699999996</v>
      </c>
      <c r="S320" s="3">
        <f>0+(403.1-154.3)+(0+(-1.027905--0.393465))+0-33--0.0841499999999952</f>
        <v>215.24970999999999</v>
      </c>
      <c r="T320" s="3">
        <f>41.7+(363.2-152)+(-0.063801+(-0.555696--0.23256))+0-33--0.0504900000000019</f>
        <v>219.56355299999998</v>
      </c>
      <c r="U320" s="3">
        <f>143.6+(274.4-169.5)+(-0.659124+(-1.259496--0.778005))+0-32--0.146880000000006</f>
        <v>215.50626499999998</v>
      </c>
      <c r="V320" s="3">
        <f>144.3+(268.7-166.1)+(-0.147186+(-0.274074--0.169422))+0-31--0.0316200000000049</f>
        <v>215.67978200000002</v>
      </c>
      <c r="W320" s="3">
        <f>145.3+(212.3-104.5)+(0.074103+(0.108273-0.053295))+0-30-0.015299999999997</f>
        <v>223.21378100000004</v>
      </c>
      <c r="X320" s="3">
        <f>145.6+(321.8-198.5)+(-0.222768+(-0.492354--0.303705))+0-30--0.0459000000000017</f>
        <v>238.53448299999999</v>
      </c>
      <c r="Y320" s="3">
        <f>105.8+(361.6-199.2)+(-0.26979+(-0.92208--0.50796))+0-32--0.0815999999999954</f>
        <v>235.59769000000003</v>
      </c>
      <c r="Z320" s="3">
        <f>55.7+(403.9-191.9)+(-0.085221+(-0.617967--0.293607))+0-33--0.0504900000000019</f>
        <v>234.34090899999998</v>
      </c>
      <c r="AA320" s="3">
        <f>31.5+(391.5-151.6)+(-0.048195+(-0.598995--0.231948))+0-33--0.0504900000000019</f>
        <v>238.035248</v>
      </c>
      <c r="AB320" s="3">
        <f>0+(425-155.1)+(0+(-0.21675--0.079101))+0-33--0.0168299999999967</f>
        <v>236.77918099999997</v>
      </c>
      <c r="AC320" s="3">
        <f>0+(413.4-151.6)+(0+(-0.421668--0.154632))+0-33--0.0336600000000053</f>
        <v>228.56662399999993</v>
      </c>
      <c r="AD320">
        <f t="shared" si="4"/>
        <v>5351.859105999999</v>
      </c>
      <c r="AE320" s="3">
        <f>145+(349.3-225.3)+(0+(0-0))+0-33-0</f>
        <v>236</v>
      </c>
    </row>
    <row r="321" spans="1:31" s="2" customFormat="1" x14ac:dyDescent="0.25">
      <c r="A321">
        <v>89</v>
      </c>
      <c r="B321">
        <v>11</v>
      </c>
      <c r="C321">
        <v>15</v>
      </c>
      <c r="D321">
        <v>7</v>
      </c>
      <c r="E321">
        <v>5</v>
      </c>
      <c r="F321" s="3">
        <f>0+(357.2-108.8)+(0+(-0.182172--0.055488))+0-33--0.0168299999999967</f>
        <v>215.29014599999996</v>
      </c>
      <c r="G321" s="3">
        <f>0+(324.8-84)+(0+(-0.165648--0.04284))+0-33--0.0168299999999967</f>
        <v>207.69402200000002</v>
      </c>
      <c r="H321" s="3">
        <f>0+(282.7-49.4)+(0+(-0.576708--0.100776))+0-33--0.0673199999999986</f>
        <v>199.89138799999998</v>
      </c>
      <c r="I321" s="3">
        <f>0+(295.8-65.4)+(0+(-0.603432--0.133416))+0-33--0.0673199999999986</f>
        <v>196.99730400000001</v>
      </c>
      <c r="J321" s="3">
        <f>0+(328.5-97.9)+(0+(0-0))+0-33-0</f>
        <v>197.6</v>
      </c>
      <c r="K321" s="3">
        <f>0+(313.3-88.7)+(0+(0.798915-0.226185))+0-33-0.0841499999999952</f>
        <v>192.08858000000004</v>
      </c>
      <c r="L321" s="3">
        <f>0+(329.1-106.9)+(0+(-0.335682--0.109038))+0-33--0.0336600000000053</f>
        <v>189.00701600000002</v>
      </c>
      <c r="M321" s="3">
        <f>0+(331.4-117.7)+(0+(-0.169014--0.060027))+0-33--0.0168299999999967</f>
        <v>180.60784299999997</v>
      </c>
      <c r="N321" s="3">
        <f>0+(298.2-81)+(0+(-0.152082--0.04131))+0-33--0.0168299999999967</f>
        <v>184.10605799999999</v>
      </c>
      <c r="O321" s="3">
        <f>0+(224.2-0)+(0+(-0.228684-0))+0-33--0.0336600000000053</f>
        <v>191.004976</v>
      </c>
      <c r="P321" s="3">
        <f>0+(233.9-0)+(0+(-0.835023-0))+0-33--0.11781</f>
        <v>200.18278699999999</v>
      </c>
      <c r="Q321" s="3">
        <f>0+(236.3-0)+(0+(0-0))+0-33-0</f>
        <v>203.3</v>
      </c>
      <c r="R321" s="3">
        <f>0+(235.6-0)+(0+(0-0))+0-33-0</f>
        <v>202.6</v>
      </c>
      <c r="S321" s="3">
        <f>0+(299.8-64.7)+(0+(-0.152898--0.032997))+0-33--0.0168299999999967</f>
        <v>201.99692900000002</v>
      </c>
      <c r="T321" s="3">
        <f>0+(324.8-99.2)+(0+(-0.331296--0.101184))+0-32--0.0326400000000051</f>
        <v>193.40252800000005</v>
      </c>
      <c r="U321" s="3">
        <f>0+(340.3-117.4)+(0+(-0.347106--0.119748))+0-33--0.0336600000000053</f>
        <v>189.70630199999999</v>
      </c>
      <c r="V321" s="3">
        <f>0+(314.9-88)+(0+(-0.160599--0.04488))+0-33--0.0168299999999967</f>
        <v>193.80111099999996</v>
      </c>
      <c r="W321" s="3">
        <f>0+(322.5-78.1)+(0+(-0.32895--0.079662))+0-33--0.0336600000000053</f>
        <v>211.184372</v>
      </c>
      <c r="X321" s="3">
        <f>0+(415.7-166.3)+(0+(-0.424014--0.169626))+0-33--0.0336600000000053</f>
        <v>216.17927199999997</v>
      </c>
      <c r="Y321" s="3">
        <f>0+(436.2-176.1)+(0+(-0.222462--0.089811))+0-32--0.0163199999999968</f>
        <v>227.98366900000002</v>
      </c>
      <c r="Z321" s="3">
        <f>0+(444.2-186.9)+(0+(-0.679626--0.285957))+0-33--0.0504900000000019</f>
        <v>223.95682099999996</v>
      </c>
      <c r="AA321" s="3">
        <f>0+(474.4-216.7)+(0+(0-0))+0-33-0</f>
        <v>224.7</v>
      </c>
      <c r="AB321" s="3">
        <f>0+(427.7-171.2)+(0+(-1.090635--0.43656))+0-32--0.0815999999999954</f>
        <v>223.927525</v>
      </c>
      <c r="AC321" s="3">
        <f>0+(425.4-178.4)+(0+(-1.08477--0.45492))+0-32--0.0815999999999954</f>
        <v>214.45174999999998</v>
      </c>
      <c r="AD321">
        <f t="shared" ref="AD321:AD365" si="5">SUM(F321:AC321)</f>
        <v>4881.6603990000003</v>
      </c>
      <c r="AE321" s="3">
        <f>0+(438.7-173.7)+(0+(0-0))+0-33-0</f>
        <v>232</v>
      </c>
    </row>
    <row r="322" spans="1:31" s="2" customFormat="1" x14ac:dyDescent="0.25">
      <c r="A322">
        <v>89</v>
      </c>
      <c r="B322">
        <v>11</v>
      </c>
      <c r="C322">
        <v>16</v>
      </c>
      <c r="D322">
        <v>1</v>
      </c>
      <c r="E322">
        <v>1</v>
      </c>
      <c r="F322" s="3">
        <f>0+(326.1-92)+(0+(-0.166311--0.04692))+0-31--0.0158099999999969</f>
        <v>202.996419</v>
      </c>
      <c r="G322" s="3">
        <f>0+(328.3-100.3)+(0+(0.502299-0.153459))+0-31-0.0474300000000018</f>
        <v>197.30141</v>
      </c>
      <c r="H322" s="3">
        <f>0+(312.8-88.9)+(0+(-0.638112--0.181356))+0-31--0.0632399999999986</f>
        <v>192.506484</v>
      </c>
      <c r="I322" s="3">
        <f>0+(321.3-99.1)+(0+(-0.491589--0.151623))+0-31--0.0474300000000018</f>
        <v>190.907464</v>
      </c>
      <c r="J322" s="3">
        <f>0+(310.3-87.2)+(0+(-0.474759--0.133416))+0-31--0.0474300000000018</f>
        <v>191.80608700000002</v>
      </c>
      <c r="K322" s="3">
        <f>0+(319-95.9)+(0+(0-0))+0-31-0</f>
        <v>192.1</v>
      </c>
      <c r="L322" s="3">
        <f>0+(387.4-150)+(0+(0.197574-0.0765))+0-31-0.0158099999999969</f>
        <v>206.50526399999998</v>
      </c>
      <c r="M322" s="3">
        <f>0+(403.1-145.4)+(0+(-0.205581--0.074154))+0-31--0.0158099999999969</f>
        <v>226.58438300000006</v>
      </c>
      <c r="N322" s="3">
        <f>0+(482.9-202.2)+(0+(0.492558-0.206244))+0-31-0.0316200000000049</f>
        <v>249.95469399999999</v>
      </c>
      <c r="O322" s="3">
        <f>0+(484.2-187.7)+(0+(0.493884-0.191454))+0-31-0.0316200000000049</f>
        <v>265.77080999999998</v>
      </c>
      <c r="P322" s="3">
        <f>0+(496.6-195.6)+(0+(1.013064-0.399024))+0-31-0.0632399999999986</f>
        <v>270.55079999999998</v>
      </c>
      <c r="Q322" s="3">
        <f>36+(469.7-197.9)+(-0.0918+(-1.197735--0.504645))+0-31--0.0790499999999955</f>
        <v>276.09415999999993</v>
      </c>
      <c r="R322" s="3">
        <f>131+(442.9-274.6)+(-0.20043+(-0.677637--0.420138))+0-33--0.0504900000000019</f>
        <v>265.892561</v>
      </c>
      <c r="S322" s="3">
        <f>131+(435.5-274.3)+(-0.26724+(-0.88842--0.559572))+0-32--0.0652799999999986</f>
        <v>259.66919199999995</v>
      </c>
      <c r="T322" s="3">
        <f>56+(476.4-241.5)+(-0.05712+(-0.485928--0.24633))+0-31--0.0316200000000049</f>
        <v>259.63490200000001</v>
      </c>
      <c r="U322" s="3">
        <f>57+(481.9-248.5)+(0.08721+(0.737307-0.380205))+0-31-0.0474300000000018</f>
        <v>259.79688199999998</v>
      </c>
      <c r="V322" s="3">
        <f>143+(389.2-242.3)+(-0.21879+(-0.595476--0.370719))+0-32--0.0489600000000018</f>
        <v>257.50541299999998</v>
      </c>
      <c r="W322" s="3">
        <f>145+(302.1-147.5)+(0+(0-0))+0-31-0</f>
        <v>268.60000000000002</v>
      </c>
      <c r="X322" s="3">
        <f>146+(275.4-110.7)+(-0.22338+(-0.421362--0.169371))+0-32--0.0489600000000018</f>
        <v>278.27358900000002</v>
      </c>
      <c r="Y322" s="3">
        <f>146+(309.4-155.2)+(-0.07446+(-0.157794--0.079152))+0-32--0.0163199999999968</f>
        <v>268.06321800000001</v>
      </c>
      <c r="Z322" s="3">
        <f>110+(367.1-185.9)+(-0.2244+(-0.748884--0.379236))+0-32--0.0652799999999986</f>
        <v>258.67123200000003</v>
      </c>
      <c r="AA322" s="3">
        <f>44+(458.8-209.8)+(-0.02244+(-0.233988--0.106998))+0-31--0.0158099999999969</f>
        <v>261.86637999999999</v>
      </c>
      <c r="AB322" s="3">
        <f>0+(492.2-209.3)+(0+(-1.25511--0.533715))+0-32--0.0815999999999954</f>
        <v>250.26020500000001</v>
      </c>
      <c r="AC322" s="3">
        <f>0+(474.9-206.1)+(0+(-0.968796--0.420444))+0-32--0.0652799999999986</f>
        <v>236.31692799999993</v>
      </c>
      <c r="AD322">
        <f t="shared" si="5"/>
        <v>5787.6284770000002</v>
      </c>
      <c r="AE322" s="3">
        <f>145+(255.7-88.5)+(0+(0-0))+0-32-0</f>
        <v>280.2</v>
      </c>
    </row>
    <row r="323" spans="1:31" s="2" customFormat="1" x14ac:dyDescent="0.25">
      <c r="A323">
        <v>89</v>
      </c>
      <c r="B323">
        <v>11</v>
      </c>
      <c r="C323">
        <v>17</v>
      </c>
      <c r="D323">
        <v>2</v>
      </c>
      <c r="E323">
        <v>1</v>
      </c>
      <c r="F323" s="3">
        <f>0+(444.3-189.7)+(0+(-0.453186--0.193494))+0-32--0.0326400000000051</f>
        <v>222.37294800000004</v>
      </c>
      <c r="G323" s="3">
        <f>0+(346.8-92.3)+(0+(-0.353736--0.094146))+0-32--0.0326400000000051</f>
        <v>222.27305000000001</v>
      </c>
      <c r="H323" s="3">
        <f>0+(297.5-52.1)+(0+(-0.151725--0.026571))+0-32--0.0163199999999968</f>
        <v>213.291166</v>
      </c>
      <c r="I323" s="3">
        <f>0+(255.5-14.1)+(0+(0.651525-0.035955))+0-32-0.0815999999999954</f>
        <v>209.93396999999999</v>
      </c>
      <c r="J323" s="3">
        <f>0+(268-28.4)+(0+(-0.41004--0.043452))+0-32--0.0489600000000018</f>
        <v>207.28237199999998</v>
      </c>
      <c r="K323" s="3">
        <f>0+(264.4-21.1)+(0+(0-0))+0-32-0</f>
        <v>211.29999999999998</v>
      </c>
      <c r="L323" s="3">
        <f>0+(346.5-88.2)+(0+(-0.35343--0.089964))+0-32--0.0326400000000051</f>
        <v>226.06917400000003</v>
      </c>
      <c r="M323" s="3">
        <f>0+(415.7-148.2)+(0+(-0.424014--0.151164))+0-33--0.0336600000000053</f>
        <v>234.26080999999999</v>
      </c>
      <c r="N323" s="3">
        <f>0+(413.7-131.8)+(0+(-0.210987--0.067218))+0-33--0.0168299999999967</f>
        <v>248.77306099999996</v>
      </c>
      <c r="O323" s="3">
        <f>0+(412-122.4)+(0+(0.21012-0.062424))+0-34-0.0173399999999966</f>
        <v>255.73035600000003</v>
      </c>
      <c r="P323" s="3">
        <f>0+(469.3-171.2)+(0+(-0.957372--0.349248))+0-34--0.0693599999999985</f>
        <v>263.56123600000006</v>
      </c>
      <c r="Q323" s="3">
        <f>0+(471.6-169.2)+(0+(-0.962064--0.345168))+0-34--0.0693599999999985</f>
        <v>267.85246400000005</v>
      </c>
      <c r="R323" s="3">
        <f>0+(500.1-210.8)+(0+(-1.020204--0.430032))+0-32--0.0652799999999986</f>
        <v>256.77510799999999</v>
      </c>
      <c r="S323" s="3">
        <f>0+(537.3-243)+(0+(-0.822069--0.37179))+0-32--0.0489600000000018</f>
        <v>261.89868099999995</v>
      </c>
      <c r="T323" s="3">
        <f>0+(551-261.1)+(0+(-0.56202--0.266322))+0-31--0.0316200000000049</f>
        <v>258.63592199999999</v>
      </c>
      <c r="U323" s="3">
        <f>0+(514.5-231.3)+(0+(-1.57437--0.707778))+0-32--0.0979200000000037</f>
        <v>250.43132799999998</v>
      </c>
      <c r="V323" s="3">
        <f>51+(464.7-223.3)+(0+(0-0))+0-32-0</f>
        <v>260.39999999999998</v>
      </c>
      <c r="W323" s="3">
        <f>59+(310.8-90.4)+(-0.09027+(-0.475524--0.138312))+0-32--0.0489600000000018</f>
        <v>247.02147799999997</v>
      </c>
      <c r="X323" s="3">
        <f>145+(286.3-131.5)+(0+(0-0))+0-32-0</f>
        <v>267.8</v>
      </c>
      <c r="Y323" s="3">
        <f>146+(301.5-142.3)+(-0.52122+(-1.076355--0.508011))+0-32--0.11424</f>
        <v>272.22467599999999</v>
      </c>
      <c r="Z323" s="3">
        <f>109+(377.9-191.1)+(-0.05559+(-0.192729--0.097461))+0-31--0.0158099999999969</f>
        <v>264.66495199999991</v>
      </c>
      <c r="AA323" s="3">
        <f>94+(408.7-210.5)+(-0.2397+(-1.042185--0.536775))+0-32--0.0815999999999954</f>
        <v>259.53648999999996</v>
      </c>
      <c r="AB323" s="3">
        <f>0+(392-105.4)+(0+(-0.39984--0.107508))+0-32--0.0326400000000051</f>
        <v>254.34030800000005</v>
      </c>
      <c r="AC323" s="3">
        <f>0+(318.7-79.6)+(0+(-0.650148--0.162384))+0-32--0.0652799999999986</f>
        <v>206.677516</v>
      </c>
      <c r="AD323">
        <f t="shared" si="5"/>
        <v>5843.1070659999996</v>
      </c>
      <c r="AE323" s="3">
        <f>145+(260.1-128.2)+(0+(0-0))+0-31-0</f>
        <v>245.90000000000003</v>
      </c>
    </row>
    <row r="324" spans="1:31" s="2" customFormat="1" x14ac:dyDescent="0.25">
      <c r="A324">
        <v>89</v>
      </c>
      <c r="B324">
        <v>11</v>
      </c>
      <c r="C324">
        <v>18</v>
      </c>
      <c r="D324">
        <v>3</v>
      </c>
      <c r="E324">
        <v>1</v>
      </c>
      <c r="F324" s="3">
        <f>0+(261.3-8.3)+(0+(-0.533052--0.016932))+0-32--0.0652799999999986</f>
        <v>220.54916</v>
      </c>
      <c r="G324" s="3">
        <f>0+(251.9-0)+(0+(-0.128469-0))+0-32--0.0163199999999968</f>
        <v>219.78785100000002</v>
      </c>
      <c r="H324" s="3">
        <f>0+(247.5-0)+(0+(0.126225-0))+0-32-0.0163199999999968</f>
        <v>215.609905</v>
      </c>
      <c r="I324" s="3">
        <f>0+(244.7-0)+(0+(-0.623985-0))+0-32--0.0815999999999954</f>
        <v>212.15761499999999</v>
      </c>
      <c r="J324" s="3">
        <f>0+(244.1-0)+(0+(-0.248982-0))+0-32--0.0326400000000051</f>
        <v>211.883658</v>
      </c>
      <c r="K324" s="3">
        <f>0+(247.8-0)+(0+(-0.126378-0))+0-32--0.0163199999999968</f>
        <v>215.68994200000003</v>
      </c>
      <c r="L324" s="3">
        <f>0+(271.1-9.2)+(0+(-0.829566--0.028152))+0-32--0.0979200000000037</f>
        <v>229.19650600000003</v>
      </c>
      <c r="M324" s="3">
        <f>0+(300.7-27.4)+(0+(0-0))+0-33-0</f>
        <v>240.3</v>
      </c>
      <c r="N324" s="3">
        <f>142+(367.5-146.3)+(0.21726+(0.562275-0.223839))+0-34-0.052020000000002</f>
        <v>329.70367599999997</v>
      </c>
      <c r="O324" s="3">
        <f>142+(351.4-190.3)+(0+(0-0))+0-28-0</f>
        <v>275.09999999999997</v>
      </c>
      <c r="P324" s="3">
        <f>141+(318.2-166)+(0+(0-0))+0-33-0</f>
        <v>260.2</v>
      </c>
      <c r="Q324" s="3">
        <f>142+(338.3-175.9)+(0+(0-0))+0-34-0</f>
        <v>270.39999999999998</v>
      </c>
      <c r="R324" s="3">
        <f>143+(314.2-160.2)+(-0.36465+(-0.80121--0.40851))+0-31--0.0790499999999955</f>
        <v>265.32170000000002</v>
      </c>
      <c r="S324" s="3">
        <f>70+(344.2-131.2)+(-0.0714+(-0.351084--0.133824))+0-32--0.0326400000000051</f>
        <v>250.74398000000002</v>
      </c>
      <c r="T324" s="3">
        <f>56+(398.2-167.8)+(-0.02856+(-0.203082--0.085578))+0-32--0.0163199999999968</f>
        <v>254.27025599999996</v>
      </c>
      <c r="U324" s="3">
        <f>56+(405.5-179.2)+(-0.05712+(-0.41361--0.182784))+0-31--0.0316200000000049</f>
        <v>251.04367400000004</v>
      </c>
      <c r="V324" s="3">
        <f>56+(383.4-160.2)+(0.02856+(0.195534-0.081702))+0-32-0.0163199999999968</f>
        <v>247.32607199999995</v>
      </c>
      <c r="W324" s="3">
        <f>68+(244.7-28.8)+(-0.03468+(-0.124797--0.014688))+0-32--0.0163199999999968</f>
        <v>251.77153099999998</v>
      </c>
      <c r="X324" s="3">
        <f>142+(269.5-113.2)+(-0.28968+(-0.54978--0.230928))+0-32--0.0652799999999986</f>
        <v>265.75674799999996</v>
      </c>
      <c r="Y324" s="3">
        <f>142+(337.7-188.1)+(-0.28968+(-0.688908--0.383724))+0-31--0.0632399999999986</f>
        <v>260.06837600000006</v>
      </c>
      <c r="Z324" s="3">
        <f>143+(357.6-209.3)+(-0.21879+(-0.547128--0.320229))+0-32--0.0489600000000018</f>
        <v>258.90327100000002</v>
      </c>
      <c r="AA324" s="3">
        <f>144+(381.7-228.7)+(-0.3672+(-0.973335--0.583185))+0-32--0.0815999999999954</f>
        <v>264.32425000000001</v>
      </c>
      <c r="AB324" s="3">
        <f>107+(410.5-226.2)+(-0.21828+(-0.83742--0.461448))+0-32--0.0652799999999986</f>
        <v>258.771028</v>
      </c>
      <c r="AC324" s="3">
        <f>14+(455.7-189.8)+(-0.06426+(-2.091663--0.871182))+0-32--0.146880000000006</f>
        <v>246.76213899999999</v>
      </c>
      <c r="AD324">
        <f t="shared" si="5"/>
        <v>5975.6413380000004</v>
      </c>
      <c r="AE324" s="3">
        <f>141+(303-140.8)+(0+(0-0))+0-32-0</f>
        <v>271.2</v>
      </c>
    </row>
    <row r="325" spans="1:31" s="2" customFormat="1" x14ac:dyDescent="0.25">
      <c r="A325">
        <v>89</v>
      </c>
      <c r="B325">
        <v>11</v>
      </c>
      <c r="C325">
        <v>19</v>
      </c>
      <c r="D325">
        <v>4</v>
      </c>
      <c r="E325">
        <v>1</v>
      </c>
      <c r="F325" s="3">
        <f>0+(340.7-77.4)+(0+(0.695028-0.157896))+0-31-0.0632399999999986</f>
        <v>232.77389199999993</v>
      </c>
      <c r="G325" s="3">
        <f>0+(301.3-45.5)+(0+(0.307326-0.04641))+0-32-0.0326400000000051</f>
        <v>224.02827600000001</v>
      </c>
      <c r="H325" s="3">
        <f>0+(303.7-50.3)+(0+(-0.309774--0.051306))+0-32--0.0326400000000051</f>
        <v>221.174172</v>
      </c>
      <c r="I325" s="3">
        <f>0+(297.7-36.7)+(0+(-0.759135--0.093585))+0-32--0.0815999999999954</f>
        <v>228.41605000000001</v>
      </c>
      <c r="J325" s="3">
        <f>0+(276.1-15.8)+(0+(0.140811-0.008058))+0-32-0.0163199999999968</f>
        <v>228.41643299999998</v>
      </c>
      <c r="K325" s="3">
        <f>0+(282.4-18.5)+(0+(0.576096-0.03774))+0-31-0.0632399999999986</f>
        <v>233.37511599999999</v>
      </c>
      <c r="L325" s="3">
        <f>0+(319.9-46.1)+(0+(-0.652596--0.094044))+0-31--0.0632399999999986</f>
        <v>242.30468799999994</v>
      </c>
      <c r="M325" s="3">
        <f>0+(356.1-71.4)+(0+(-0.181611--0.036414))+0-31--0.0158099999999969</f>
        <v>253.57061300000004</v>
      </c>
      <c r="N325" s="3">
        <f>72+(388.5-185.4)+(0.07344+(0.39627-0.189108))+0-31-0.0316200000000049</f>
        <v>244.34898200000001</v>
      </c>
      <c r="O325" s="3">
        <f>141+(326.1-157.9)+(0.07191+(0.166311-0.080529))+0-31-0.0158099999999969</f>
        <v>278.34188200000006</v>
      </c>
      <c r="P325" s="3">
        <f>141+(402.7-236)+(-0.28764+(-0.821508--0.48144))+0-31--0.0632399999999986</f>
        <v>276.13553200000001</v>
      </c>
      <c r="Q325" s="3">
        <f>141+(477.6-306)+(-0.28764+(-0.974304--0.62424))+0-31--0.0632399999999986</f>
        <v>281.02553600000005</v>
      </c>
      <c r="R325" s="3">
        <f>138+(468.6-297.6)+(-0.21114+(-0.716958--0.455328))+0-32--0.0489600000000018</f>
        <v>276.57619</v>
      </c>
      <c r="S325" s="3">
        <f>55+(467.3-241)+(0+(0-0))+0-31-0</f>
        <v>250.3</v>
      </c>
      <c r="T325" s="3">
        <f>52+(469.9-218)+(0+(0-0))+0-32-0</f>
        <v>271.89999999999998</v>
      </c>
      <c r="U325" s="3">
        <f>52+(419.3-182.6)+(-0.05304+(-0.427686--0.186252))+0-31--0.0316200000000049</f>
        <v>257.4371460000001</v>
      </c>
      <c r="V325" s="3">
        <f>52+(363.9-130.6)+(-0.07956+(-0.556767--0.199818))+0-31--0.0474300000000018</f>
        <v>253.91092099999995</v>
      </c>
      <c r="W325" s="3">
        <f>52+(407.6-160.5)+(0.02652+(0.207876-0.081855))+0-31-0.0158099999999969</f>
        <v>268.23673100000002</v>
      </c>
      <c r="X325" s="3">
        <f>123+(357.4-159.9)+(-0.12546+(-0.364548--0.163098))+0-32--0.0326400000000051</f>
        <v>288.20573000000002</v>
      </c>
      <c r="Y325" s="3">
        <f>65+(355.8-114.7)+(-0.09945+(-0.544374--0.175491))+0-31--0.0474300000000018</f>
        <v>274.67909700000007</v>
      </c>
      <c r="Z325" s="3">
        <f>78+(433.2-205.1)+(-0.1989+(-1.10466--0.523005))+0-32--0.0815999999999954</f>
        <v>273.40104500000001</v>
      </c>
      <c r="AA325" s="3">
        <f>110+(476.5-284.8)+(0+(0-0))+0-32-0</f>
        <v>269.7</v>
      </c>
      <c r="AB325" s="3">
        <f>22.1+(537.2-258.9)+(-0.011271+(-0.273972--0.132039))+0-32--0.0163199999999968</f>
        <v>268.26311600000008</v>
      </c>
      <c r="AC325" s="3">
        <f>8.1+(432.2-151.2)+(-0.024786+(-1.322532--0.462672))+0-32--0.0979200000000037</f>
        <v>256.31327400000004</v>
      </c>
      <c r="AD325">
        <f t="shared" si="5"/>
        <v>6152.8344219999999</v>
      </c>
      <c r="AE325" s="3">
        <f>140+(383.7-197.3)+(0+(0-0))+0-30-0</f>
        <v>296.39999999999998</v>
      </c>
    </row>
    <row r="326" spans="1:31" s="2" customFormat="1" x14ac:dyDescent="0.25">
      <c r="A326">
        <v>89</v>
      </c>
      <c r="B326">
        <v>11</v>
      </c>
      <c r="C326">
        <v>20</v>
      </c>
      <c r="D326">
        <v>5</v>
      </c>
      <c r="E326">
        <v>1</v>
      </c>
      <c r="F326" s="3">
        <f>0+(375-100.8)+(0+(-0.3825--0.102816))+0-31--0.0316200000000049</f>
        <v>242.95193600000002</v>
      </c>
      <c r="G326" s="3">
        <f>0+(351.9-86.6)+(0+(-1.076814--0.264996))+0-31--0.0948600000000036</f>
        <v>233.58304199999995</v>
      </c>
      <c r="H326" s="3">
        <f>0+(335.7-75.5)+(0+(0.171207-0.038505))+0-31-0.0158099999999969</f>
        <v>229.316892</v>
      </c>
      <c r="I326" s="3">
        <f>0+(333.9-76.3)+(0+(-0.851445--0.194565))+0-31--0.0790499999999955</f>
        <v>226.02216999999996</v>
      </c>
      <c r="J326" s="3">
        <f>0+(317.1-66.1)+(0+(-0.161721--0.033711))+0-31--0.0158099999999969</f>
        <v>219.88780000000003</v>
      </c>
      <c r="K326" s="3">
        <f>16.3+(301.3-58.7)+(-0.008313+(-0.153663--0.029937))+0-31--0.0158099999999969</f>
        <v>227.783771</v>
      </c>
      <c r="L326" s="3">
        <f>78.7+(297.2-108.9)+(-0.040137+(-0.151572--0.055539))+0-31--0.0158099999999969</f>
        <v>235.87963999999999</v>
      </c>
      <c r="M326" s="3">
        <f>146.9+(293.7-161.2)+(0.224757+(0.449361-0.246636))+0-31-0.0474300000000018</f>
        <v>248.78005199999998</v>
      </c>
      <c r="N326" s="3">
        <f>146.6+(374.6-221.6)+(0.149532+(0.382092-0.226032))+0-31-0.0316200000000049</f>
        <v>268.87397199999998</v>
      </c>
      <c r="O326" s="3">
        <f>145.9+(427.1-258.6)+(-0.074409+(-0.217821--0.131886))+0-31--0.0158099999999969</f>
        <v>283.25546599999996</v>
      </c>
      <c r="P326" s="3">
        <f>145+(415-242.2)+(-0.1479+(-0.4233--0.247044))+0-32--0.0326400000000051</f>
        <v>285.50848400000001</v>
      </c>
      <c r="Q326" s="3">
        <f>144.2+(418.2-241.1)+(-0.294168+(-0.853128--0.491844))+0-32--0.0652799999999986</f>
        <v>288.7098279999999</v>
      </c>
      <c r="R326" s="3">
        <f>58.9+(438.4-181.7)+(-0.180234+(-1.341504--0.556002))+0-31--0.0948600000000036</f>
        <v>283.72912399999996</v>
      </c>
      <c r="S326" s="3">
        <f>55.6+(396.4-150.9)+(-0.028356+(-0.202164--0.076959))+0-31--0.0158099999999969</f>
        <v>269.96224899999993</v>
      </c>
      <c r="T326" s="3">
        <f>59.2+(383.4-142.9)+(0+(0-0))+0-32-0</f>
        <v>267.7</v>
      </c>
      <c r="U326" s="3">
        <f>130.5+(390.5-224.4)+(-0.26622+(-0.79662--0.457776))+0-32--0.0652799999999986</f>
        <v>264.06021599999997</v>
      </c>
      <c r="V326" s="3">
        <f>186.1+(386.6-284.5)+(-0.569466+(-1.182996--0.87057))+0-32--0.0979200000000037</f>
        <v>255.41602800000007</v>
      </c>
      <c r="W326" s="3">
        <f>196.1+(309.1-208.6)+(-0.200022+(-0.315282--0.212772))+0-32--0.0326400000000051</f>
        <v>264.33010800000005</v>
      </c>
      <c r="X326" s="3">
        <f>241.6+(384.5-311.1)+(-0.862512+(-1.372665--1.110627))+0-32--0.11424</f>
        <v>281.98969</v>
      </c>
      <c r="Y326" s="3">
        <f>79.1+(460-231.9)+(-0.121023+(-0.7038--0.354807))+0-32--0.0489600000000018</f>
        <v>274.77894400000002</v>
      </c>
      <c r="Z326" s="3">
        <f>189.1+(397-282.8)+(-0.578646+(-1.21482--0.865368))+0-32--0.0979200000000037</f>
        <v>270.46982199999997</v>
      </c>
      <c r="AA326" s="3">
        <f>163.2+(318.5-179.2)+(-0.249696+(-0.487305--0.274176))+0-33--0.0504900000000019</f>
        <v>269.08766500000002</v>
      </c>
      <c r="AB326" s="3">
        <f>57.6+(377-135.6)+(-0.14688+(-0.96135--0.34578))+0-32--0.0815999999999954</f>
        <v>266.31914999999998</v>
      </c>
      <c r="AC326" s="3">
        <f>0+(441.9-153.1)+(0+(-0.225369--0.078081))+0-32--0.0163199999999968</f>
        <v>256.66903199999996</v>
      </c>
      <c r="AD326">
        <f t="shared" si="5"/>
        <v>6215.0650809999997</v>
      </c>
      <c r="AE326" s="3">
        <f>282+(370.1-338.6)+(0+(0-0))+0-31-0</f>
        <v>282.5</v>
      </c>
    </row>
    <row r="327" spans="1:31" s="2" customFormat="1" x14ac:dyDescent="0.25">
      <c r="A327">
        <v>89</v>
      </c>
      <c r="B327">
        <v>11</v>
      </c>
      <c r="C327">
        <v>21</v>
      </c>
      <c r="D327">
        <v>6</v>
      </c>
      <c r="E327">
        <v>1</v>
      </c>
      <c r="F327" s="3">
        <f>19.9+(378.7-121.9)+(-0.060894+(-1.158822--0.373014))+0-32--0.0979200000000037</f>
        <v>243.95121799999995</v>
      </c>
      <c r="G327" s="3">
        <f>0+(311.1-44.4)+(0+(0.317322-0.045288))+0-32-0.0326400000000051</f>
        <v>234.93939400000005</v>
      </c>
      <c r="H327" s="3">
        <f>0+(319.6-56.2)+(0+(-0.325992--0.057324))+0-31--0.0316200000000049</f>
        <v>232.16295200000005</v>
      </c>
      <c r="I327" s="3">
        <f>0+(333.9-79.9)+(0+(0.681156-0.162996))+0-32-0.0652799999999986</f>
        <v>222.45287999999996</v>
      </c>
      <c r="J327" s="3">
        <f>0+(351.4-92.3)+(0+(0.89607-0.235365))+0-31-0.0790499999999955</f>
        <v>228.68165499999998</v>
      </c>
      <c r="K327" s="3">
        <f>0+(336.8-79)+(0+(-0.343536--0.08058))+0-32--0.0326400000000051</f>
        <v>225.56968400000005</v>
      </c>
      <c r="L327" s="3">
        <f>23.5+(287.4-45.9)+(-0.059925+(-0.73287--0.117045))+0-32--0.0815999999999954</f>
        <v>232.40585000000002</v>
      </c>
      <c r="M327" s="3">
        <f>55.6+(290-73.5)+(-0.056712+(-0.2958--0.07497))+0-32--0.0326400000000051</f>
        <v>239.85509800000005</v>
      </c>
      <c r="N327" s="3">
        <f>126.5+(280.4-111.9)+(-0.12903+(-0.286008--0.114138))+0-32--0.0326400000000051</f>
        <v>262.73174</v>
      </c>
      <c r="O327" s="3">
        <f>142.4+(283.3-119.3)+(0+(0-0))+0-32-0</f>
        <v>274.39999999999998</v>
      </c>
      <c r="P327" s="3">
        <f>141.3+(324.3-156.9)+(-0.288252+(-0.661572--0.320076))+0-32--0.0652799999999986</f>
        <v>276.13553200000001</v>
      </c>
      <c r="Q327" s="3">
        <f>177.9+(275.6-142.5)+(-0.635103+(-0.983892--0.508725))+0-32--0.11424</f>
        <v>278.00396999999998</v>
      </c>
      <c r="R327" s="3">
        <f>80.6+(355.7-134.8)+(-0.082212+(-0.362814--0.137496))+0-31--0.0316200000000049</f>
        <v>270.22409000000005</v>
      </c>
      <c r="S327" s="3">
        <f>55.6+(389-153.4)+(0.028356+(0.19839-0.078234))+0-31-0.0158099999999969</f>
        <v>260.33270199999998</v>
      </c>
      <c r="T327" s="3">
        <f>55.6+(400-166.7)+(-0.028356+(-0.204--0.085017))+0-30--0.015299999999997</f>
        <v>258.76796100000007</v>
      </c>
      <c r="U327" s="3">
        <f>55.6+(335.4-110.9)+(-0.170136+(-1.026324--0.339354))+0-28--0.0856800000000032</f>
        <v>251.32857399999997</v>
      </c>
      <c r="V327" s="3">
        <f>55.7+(336.9-117.4)+(0.142035+(0.859095-0.29937))+0-26-0.0662999999999962</f>
        <v>249.83545999999998</v>
      </c>
      <c r="W327" s="3">
        <f>55.7+(340.8-122.2)+(-0.028407+(-0.173808--0.062322))+0-26--0.0132599999999974</f>
        <v>248.17336700000004</v>
      </c>
      <c r="X327" s="3">
        <f>135.7+(384.1-227.4)+(-0.207621+(-0.587673--0.347922))+0-24--0.0367200000000014</f>
        <v>267.98934800000001</v>
      </c>
      <c r="Y327" s="3">
        <f>105.4+(376.1-190.4)+(-0.107508+(-0.383622--0.194208))+0-20--0.0204000000000032</f>
        <v>270.82347800000002</v>
      </c>
      <c r="Z327" s="3">
        <f>29.1+(390-138.9)+(-0.118728+(-1.5912--0.566712))+0-19--0.0775199999999983</f>
        <v>260.13430399999999</v>
      </c>
      <c r="AA327" s="3">
        <f>0+(435.2-157)+(0+(-0.221952--0.08007))+0-14--0.00713999999999858</f>
        <v>264.06525799999997</v>
      </c>
      <c r="AB327" s="3">
        <f>0+(429.3-157.6)+(0+(-1.094715--0.40188))+0-2--0.00509999999999971</f>
        <v>269.01226500000007</v>
      </c>
      <c r="AC327" s="3">
        <f>0+(497.7-239.5)+(0+(0-0))+0-14-0</f>
        <v>244.2</v>
      </c>
      <c r="AD327">
        <f t="shared" si="5"/>
        <v>6066.1767800000007</v>
      </c>
      <c r="AE327" s="3">
        <f>140+(388-239.2)+(0+(0-0))+0-26-0</f>
        <v>262.8</v>
      </c>
    </row>
    <row r="328" spans="1:31" s="2" customFormat="1" x14ac:dyDescent="0.25">
      <c r="A328">
        <v>89</v>
      </c>
      <c r="B328">
        <v>11</v>
      </c>
      <c r="C328">
        <v>22</v>
      </c>
      <c r="D328">
        <v>7</v>
      </c>
      <c r="E328">
        <v>2</v>
      </c>
      <c r="F328" s="3">
        <f>0+(359.1-113.6)+(0+(-0.183141--0.057936))+0-14--0.00713999999999858</f>
        <v>231.38193500000003</v>
      </c>
      <c r="G328" s="3">
        <f>0+(273.2-34.3)+(0+(-0.139332--0.017493))+0-14--0.00713999999999858</f>
        <v>224.78530099999998</v>
      </c>
      <c r="H328" s="3">
        <f>0+(232.6-0)+(0+(0-0))+0-14-0</f>
        <v>218.6</v>
      </c>
      <c r="I328" s="3">
        <f>0+(232-0)+(0+(-0.35496-0))+0-14--0.0214200000000008</f>
        <v>217.66646</v>
      </c>
      <c r="J328" s="3">
        <f>0+(265.6-35.8)+(0+(-0.541824--0.073032))+0-14--0.0285599999999994</f>
        <v>215.359768</v>
      </c>
      <c r="K328" s="3">
        <f>0+(286.9-60.2)+(0+(0.146319-0.030702))+0-14-0.00713999999999858</f>
        <v>212.80847699999998</v>
      </c>
      <c r="L328" s="3">
        <f>0+(294.1-64.6)+(0+(-1.049937--0.230622))+0-14--0.0499800000000002</f>
        <v>214.73066500000004</v>
      </c>
      <c r="M328" s="3">
        <f>0+(329.3-113.5)+(0+(0-0))+0-14-0</f>
        <v>201.8</v>
      </c>
      <c r="N328" s="3">
        <f>0+(373.5-150.5)+(0+(0.571455-0.230265))+0-14-0.0214200000000008</f>
        <v>209.31977000000001</v>
      </c>
      <c r="O328" s="3">
        <f>0+(326.6-89.5)+(0+(0.333132-0.09129))+0-14-0.0142800000000022</f>
        <v>223.327562</v>
      </c>
      <c r="P328" s="3">
        <f>0+(290.6-52.4)+(0+(0.148206-0.026724))+0-14-0.00713999999999858</f>
        <v>224.31434200000001</v>
      </c>
      <c r="Q328" s="3">
        <f>0+(348.2-109.1)+(0+(0.177582-0.055641))+0-14-0.00713999999999858</f>
        <v>225.21480099999999</v>
      </c>
      <c r="R328" s="3">
        <f>0+(351.7-117.2)+(0+(-0.538101--0.179316))+0-14--0.0214200000000008</f>
        <v>220.16263499999999</v>
      </c>
      <c r="S328" s="3">
        <f>0+(322.9-97.2)+(0+(-0.988074--0.297432))+0-14--0.0428400000000016</f>
        <v>211.052198</v>
      </c>
      <c r="T328" s="3">
        <f>0+(325.7-108.5)+(0+(-0.664428--0.22134))+0-2--0.00407999999999991</f>
        <v>214.76099199999999</v>
      </c>
      <c r="U328" s="3">
        <f>0+(331.4-117.5)+(0+(-0.169014--0.059925))+0-13--0.00662999999999868</f>
        <v>200.79754099999997</v>
      </c>
      <c r="V328" s="3">
        <f>0+(257.2-41.6)+(0+(-0.131172--0.021216))+0-13--0.00662999999999868</f>
        <v>202.49667399999998</v>
      </c>
      <c r="W328" s="3">
        <f>0+(262.9-28.5)+(0+(-0.402237--0.043605))+0-13--0.0198900000000008</f>
        <v>221.06125799999998</v>
      </c>
      <c r="X328" s="3">
        <f>0+(395.3-136.1)+(0+(-0.403206--0.138822))+0-13--0.0132600000000021</f>
        <v>245.94887600000004</v>
      </c>
      <c r="Y328" s="3">
        <f>0+(408.4-155.6)+(0+(-0.416568--0.158712))+0-14--0.0142800000000022</f>
        <v>238.55642399999999</v>
      </c>
      <c r="Z328" s="3">
        <f>0+(393.8-135.1)+(0+(-0.602514--0.206703))+0-14--0.0214200000000008</f>
        <v>244.32560900000007</v>
      </c>
      <c r="AA328" s="3">
        <f>0+(414.4-151)+(0+(0.634032-0.23103))+0-14-0.0214200000000008</f>
        <v>249.78158199999999</v>
      </c>
      <c r="AB328" s="3">
        <f>0+(377.7-115)+(0+(-0.577881--0.17595))+0-14--0.0214200000000008</f>
        <v>248.319489</v>
      </c>
      <c r="AC328" s="3">
        <f>0+(266.6-26.3)+(0+(-0.67983--0.067065))+0-2--0.00509999999999971</f>
        <v>237.69233500000001</v>
      </c>
      <c r="AD328">
        <f t="shared" si="5"/>
        <v>5354.2646940000013</v>
      </c>
      <c r="AE328" s="3">
        <f>0+(396.1-135.3)+(0+(0-0))+0-32-0</f>
        <v>228.8</v>
      </c>
    </row>
    <row r="329" spans="1:31" s="2" customFormat="1" x14ac:dyDescent="0.25">
      <c r="A329">
        <v>89</v>
      </c>
      <c r="B329">
        <v>11</v>
      </c>
      <c r="C329">
        <v>23</v>
      </c>
      <c r="D329">
        <v>1</v>
      </c>
      <c r="E329">
        <v>1</v>
      </c>
      <c r="F329" s="3">
        <f>0+(231.4-0)+(0+(-0.708084-0))+0-14--0.0428400000000016</f>
        <v>216.734756</v>
      </c>
      <c r="G329" s="3">
        <f>0+(226.3-0)+(0+(-0.461652-0))+0-13--0.0265199999999994</f>
        <v>212.86486800000003</v>
      </c>
      <c r="H329" s="3">
        <f>0+(242.4-19.9)+(0+(-0.494496--0.040596))+0-13--0.0265199999999994</f>
        <v>209.07262</v>
      </c>
      <c r="I329" s="3">
        <f>0+(239.2-26.2)+(0+(0-0))+0-1-0</f>
        <v>212</v>
      </c>
      <c r="J329" s="3">
        <f>0+(253.5-39.9)+(0+(0.387855-0.061047))+0-13-0.0198900000000008</f>
        <v>200.90691799999999</v>
      </c>
      <c r="K329" s="3">
        <f>0+(288.4-66.5)+(0+(0.882504-0.20349))+0-13-0.0397800000000015</f>
        <v>209.53923399999996</v>
      </c>
      <c r="L329" s="3">
        <f>0+(314.9-77.8)+(0+(-1.124193--0.277746))+0-11--0.0392700000000002</f>
        <v>225.29282299999994</v>
      </c>
      <c r="M329" s="3">
        <f>0+(361.1-109.2)+(0+(0.368322-0.111384))+0-13-0.0132600000000021</f>
        <v>239.14367800000002</v>
      </c>
      <c r="N329" s="3">
        <f>0+(483.2-200.1)+(0+(-1.23216--0.510255))+0-12--0.0305999999999983</f>
        <v>270.40869500000002</v>
      </c>
      <c r="O329" s="3">
        <f>0+(595-309.9)+(0+(0.91035-0.474147))+0-13-0.0198900000000008</f>
        <v>272.51631300000003</v>
      </c>
      <c r="P329" s="3">
        <f>0+(544.4-255.6)+(0+(0.277644-0.130356))+0-13-0.00662999999999868</f>
        <v>275.94065799999998</v>
      </c>
      <c r="Q329" s="3">
        <f>0+(547.7-254.2)+(0+(-0.558654--0.259284))+0-13--0.0132600000000021</f>
        <v>280.21389000000005</v>
      </c>
      <c r="R329" s="3">
        <f>0+(525.8-238.8)+(0+(-1.34079--0.60894))+0-13--0.0331499999999981</f>
        <v>273.30129999999991</v>
      </c>
      <c r="S329" s="3">
        <f>0+(562.7-284.4)+(0+(-0.573954--0.290088))+0-13--0.0132600000000021</f>
        <v>265.02939400000008</v>
      </c>
      <c r="T329" s="3">
        <f>0+(581.2-304.2)+(0+(0-0))+0-13-0</f>
        <v>264.00000000000006</v>
      </c>
      <c r="U329" s="3">
        <f>0+(549.5-286)+(0+(-0.840735--0.43758))+0-4--0.00612000000000023</f>
        <v>259.10296499999998</v>
      </c>
      <c r="V329" s="3">
        <f>20.9+(441.7-201.1)+(-0.042636+(-0.901068--0.410244))+0-9--0.0183599999999996</f>
        <v>251.98490000000001</v>
      </c>
      <c r="W329" s="3">
        <f>104.5+(273-113.8)+(-0.053295+(-0.13923--0.058038))+0-9--0.00458999999999909</f>
        <v>254.57010300000002</v>
      </c>
      <c r="X329" s="3">
        <f>144.6+(326.2-191)+(-0.147492+(-0.332724--0.19482))+0-10--0.0102000000000016</f>
        <v>269.52480399999996</v>
      </c>
      <c r="Y329" s="3">
        <f>145.8+(402.3-271.1)+(-0.074358+(-0.205173--0.138261))+0-12--0.00611999999999878</f>
        <v>264.86484999999999</v>
      </c>
      <c r="Z329" s="3">
        <f>146.7+(440.6-313.2)+(-0.299268+(-0.898824--0.638928))+0-14--0.0285599999999994</f>
        <v>259.56939600000004</v>
      </c>
      <c r="AA329" s="3">
        <f>146.9+(430.6-300)+(0.074919+(0.219606-0.153))+0-15-0.00764999999999848</f>
        <v>262.63387499999999</v>
      </c>
      <c r="AB329" s="3">
        <f>61.7+(392.8-176.8)+(-0.125868+(-0.801312--0.360672))+0-18--0.0367199999999992</f>
        <v>259.17021199999999</v>
      </c>
      <c r="AC329" s="3">
        <f>0+(358.1-97.8)+(0+(-0.913155--0.24939))+0-18--0.0458999999999974</f>
        <v>241.68213499999999</v>
      </c>
      <c r="AD329">
        <f t="shared" si="5"/>
        <v>5950.0683869999993</v>
      </c>
      <c r="AE329" s="3">
        <f>145+(380.3-236.8)+(0+(0-0))+0-9-0</f>
        <v>279.5</v>
      </c>
    </row>
    <row r="330" spans="1:31" s="2" customFormat="1" x14ac:dyDescent="0.25">
      <c r="A330">
        <v>89</v>
      </c>
      <c r="B330">
        <v>11</v>
      </c>
      <c r="C330">
        <v>24</v>
      </c>
      <c r="D330">
        <v>2</v>
      </c>
      <c r="E330">
        <v>1</v>
      </c>
      <c r="F330" s="3">
        <f>0+(319.3-69.7)+(0+(-0.325686--0.071094))+0-19--0.019380000000003</f>
        <v>230.36478800000003</v>
      </c>
      <c r="G330" s="3">
        <f>0+(283.5-39.4)+(0+(-0.722925--0.10047))+0-22--0.0560999999999968</f>
        <v>221.53364499999998</v>
      </c>
      <c r="H330" s="3">
        <f>0+(284.7-36.5)+(0+(0-0))+0-23-0</f>
        <v>225.2</v>
      </c>
      <c r="I330" s="3">
        <f>0+(285.7-36.5)+(0+(-0.437121--0.055845))+0-24--0.0367200000000014</f>
        <v>224.85544399999998</v>
      </c>
      <c r="J330" s="3">
        <f>0+(308.1-55.3)+(0+(0.628524-0.112812))+0-25-0.0509999999999989</f>
        <v>228.26471200000003</v>
      </c>
      <c r="K330" s="3">
        <f>0+(272.7-20.1)+(0+(0-0))+0-25-0</f>
        <v>227.6</v>
      </c>
      <c r="L330" s="3">
        <f>0+(302.9-44.6)+(0+(0.154479-0.022746))+0-26-0.0132599999999974</f>
        <v>232.41847299999995</v>
      </c>
      <c r="M330" s="3">
        <f>0+(433.9-160.8)+(0+(0-0))+0-20-0</f>
        <v>253.09999999999997</v>
      </c>
      <c r="N330" s="3">
        <f>0+(512.6-219.9)+(0+(0-0))+0-21-0</f>
        <v>271.70000000000005</v>
      </c>
      <c r="O330" s="3">
        <f>0+(467.4-182.4)+(0+(-0.238374--0.093024))+0-1--0.000509999999999899</f>
        <v>283.85516000000001</v>
      </c>
      <c r="P330" s="3">
        <f>0+(541-254.4)+(0+(-0.82773--0.389232))+0-2--0.00306000000000012</f>
        <v>284.16456200000005</v>
      </c>
      <c r="Q330" s="3">
        <f>0+(524.3-233.4)+(0+(-0.802179--0.357102))+0-3--0.00459000000000017</f>
        <v>287.45951299999996</v>
      </c>
      <c r="R330" s="3">
        <f>0+(531-243.7)+(0+(-1.62486--0.745722))+0-1--0.00306000000000012</f>
        <v>285.423922</v>
      </c>
      <c r="S330" s="3">
        <f>0+(516.1-240.7)+(0+(0.263211-0.122757))+0-1-0.000509999999999899</f>
        <v>274.53994399999999</v>
      </c>
      <c r="T330" s="3">
        <f>0+(516-241.4)+(0+(-1.57896--0.738684))+0-2--0.00612000000000023</f>
        <v>271.76584400000002</v>
      </c>
      <c r="U330" s="3">
        <f>0+(545.9-273.8)+(0+(-0.278409--0.139638))+0-2--0.0010199999999998</f>
        <v>269.96224899999993</v>
      </c>
      <c r="V330" s="3">
        <f>34.8+(499-264.1)+(-0.070992+(-1.01796--0.538764))+0-3--0.00611999999999987</f>
        <v>266.15593200000001</v>
      </c>
      <c r="W330" s="3">
        <f>55.5+(377.1-161.4)+(0.028305+(0.192321-0.082314))+0-3-0.0015299999999997</f>
        <v>268.33678200000003</v>
      </c>
      <c r="X330" s="3">
        <f>128.5+(343.8-185.1)+(0+(0-0))+0-4-0</f>
        <v>283.20000000000005</v>
      </c>
      <c r="Y330" s="3">
        <f>143.5+(367.5-227.5)+(-0.43911+(-1.12455--0.69615))+0-4--0.0122400000000005</f>
        <v>278.64473000000004</v>
      </c>
      <c r="Z330" s="3">
        <f>144.3+(411-274.1)+(-0.220779+(-0.62883--0.419373))+0-4--0.00612000000000023</f>
        <v>276.77588400000002</v>
      </c>
      <c r="AA330" s="3">
        <f>156.6+(371-248.4)+(-0.319464+(-0.75684--0.506736))+0-4--0.00815999999999983</f>
        <v>274.63859199999996</v>
      </c>
      <c r="AB330" s="3">
        <f>152.4+(331.1-215)+(-0.155448+(-0.337722--0.2193))+0-4--0.00408000000000064</f>
        <v>264.23021</v>
      </c>
      <c r="AC330" s="3">
        <f>12.7+(366-118.4)+(-0.038862+(-1.11996--0.362304))+0-4--0.0122400000000005</f>
        <v>255.51572200000001</v>
      </c>
      <c r="AD330">
        <f t="shared" si="5"/>
        <v>6239.7061079999994</v>
      </c>
      <c r="AE330" s="3">
        <f>142+(360.3-212.4)+(0+(0-0))+0-3-0</f>
        <v>286.89999999999998</v>
      </c>
    </row>
    <row r="331" spans="1:31" s="2" customFormat="1" x14ac:dyDescent="0.25">
      <c r="A331">
        <v>89</v>
      </c>
      <c r="B331">
        <v>11</v>
      </c>
      <c r="C331">
        <v>25</v>
      </c>
      <c r="D331">
        <v>3</v>
      </c>
      <c r="E331">
        <v>1</v>
      </c>
      <c r="F331" s="3">
        <f>0+(260.2-20.6)+(0+(-0.796212--0.063036))+0-32--0.0979200000000037</f>
        <v>206.96474400000002</v>
      </c>
      <c r="G331" s="3">
        <f>0+(252.1-22.6)+(0+(0.128571-0.011526))+0-32-0.0163199999999968</f>
        <v>197.60072499999998</v>
      </c>
      <c r="H331" s="3">
        <f>0+(272.1-44.5)+(0+(-0.138771--0.022695))+0-32--0.0163199999999968</f>
        <v>195.50024400000004</v>
      </c>
      <c r="I331" s="3">
        <f>0+(286.5-61.5)+(0+(0-0))+0-32-0</f>
        <v>193</v>
      </c>
      <c r="J331" s="3">
        <f>0+(252.4-26.7)+(0+(-0.128724--0.013617))+0-32--0.0163199999999968</f>
        <v>193.60121300000003</v>
      </c>
      <c r="K331" s="3">
        <f>0+(238.9-11.7)+(0+(0-0))+0-32-0</f>
        <v>195.20000000000002</v>
      </c>
      <c r="L331" s="3">
        <f>0+(257.5-21.1)+(0+(-0.131325--0.010761))+0-15--0.00764999999999848</f>
        <v>221.28708600000002</v>
      </c>
      <c r="M331" s="3">
        <f>0+(330.9-80.2)+(0+(-0.168759--0.040902))+0-15--0.00764999999999848</f>
        <v>235.579793</v>
      </c>
      <c r="N331" s="3">
        <f>0+(383.9-109.8)+(0+(0.195789-0.055998))+0-15-0.00764999999999848</f>
        <v>259.23214099999996</v>
      </c>
      <c r="O331" s="3">
        <f>0+(460-180.8)+(0+(-0.9384--0.368832))+0-15--0.0305999999999993</f>
        <v>263.66103199999998</v>
      </c>
      <c r="P331" s="3">
        <f>0+(475.8-192.8)+(0+(-0.485316--0.196656))+0-15--0.0153000000000024</f>
        <v>267.72664000000003</v>
      </c>
      <c r="Q331" s="3">
        <f>0+(474.7-188.6)+(0+(0.484194-0.192372))+0-15-0.0153000000000024</f>
        <v>271.37652200000002</v>
      </c>
      <c r="R331" s="3">
        <f>0+(435.7-153)+(0+(-1.111035--0.39015))+0-7--0.017849999999999</f>
        <v>274.99696499999999</v>
      </c>
      <c r="S331" s="3">
        <f>0+(375.3-106.4)+(0+(-0.382806--0.108528))+0-8--0.00816000000000128</f>
        <v>260.63388199999997</v>
      </c>
      <c r="T331" s="3">
        <f>0+(382.6-114.2)+(0+(-0.195126--0.058242))+0-8--0.00407999999999919</f>
        <v>260.26719600000001</v>
      </c>
      <c r="U331" s="3">
        <f>0+(413.9-148.9)+(0+(0.211089-0.075939))+0-9-0.00458999999999909</f>
        <v>256.13056</v>
      </c>
      <c r="V331" s="3">
        <f>0+(415-150.1)+(0+(0-0))+0-9-0</f>
        <v>255.89999999999998</v>
      </c>
      <c r="W331" s="3">
        <f>0+(343.8-68.3)+(0+(-0.526014--0.104499))+0-10--0.0153000000000006</f>
        <v>265.09378500000003</v>
      </c>
      <c r="X331" s="3">
        <f>0+(429.9-134.2)+(0+(-0.657747--0.205326))+0-11--0.0168300000000006</f>
        <v>284.264409</v>
      </c>
      <c r="Y331" s="3">
        <f>0+(367.4-77.9)+(0+(-0.562122--0.119187))+0-11--0.0168300000000006</f>
        <v>278.07389500000005</v>
      </c>
      <c r="Z331" s="3">
        <f>0+(379.1-96.4)+(0+(-0.773364--0.196656))+0-5--0.0101999999999998</f>
        <v>277.13349200000005</v>
      </c>
      <c r="AA331" s="3">
        <f>0+(420.7-142.5)+(0+(-0.858228--0.2907))+0-6--0.0122399999999997</f>
        <v>271.64471200000003</v>
      </c>
      <c r="AB331" s="3">
        <f>0+(371.5-96.2)+(0+(-0.189465--0.049062))+0-14--0.00713999999999858</f>
        <v>261.16673700000001</v>
      </c>
      <c r="AC331" s="3">
        <f>0+(318-50.1)+(0+(-1.45962--0.229959))+0-15--0.0688500000000026</f>
        <v>251.73918899999995</v>
      </c>
      <c r="AD331">
        <f t="shared" si="5"/>
        <v>5897.7749620000013</v>
      </c>
      <c r="AE331" s="3">
        <f>0+(460.1-167.4)+(0+(0-0))+0-7-0</f>
        <v>285.70000000000005</v>
      </c>
    </row>
    <row r="332" spans="1:31" s="2" customFormat="1" x14ac:dyDescent="0.25">
      <c r="A332">
        <v>89</v>
      </c>
      <c r="B332">
        <v>11</v>
      </c>
      <c r="C332">
        <v>26</v>
      </c>
      <c r="D332">
        <v>4</v>
      </c>
      <c r="E332">
        <v>1</v>
      </c>
      <c r="F332" s="3">
        <f>0+(340.2-85.6)+(0+(-0.520506--0.130968))+0-16--0.0244800000000009</f>
        <v>238.23494200000002</v>
      </c>
      <c r="G332" s="3">
        <f>0+(277.6-31.4)+(0+(-0.424728--0.048042))+0-17--0.026010000000001</f>
        <v>228.84932400000002</v>
      </c>
      <c r="H332" s="3">
        <f>0+(276.7-29.8)+(0+(0.141117-0.015198))+0-18-0.00917999999999817</f>
        <v>229.016739</v>
      </c>
      <c r="I332" s="3">
        <f>0+(251.1-6.5)+(0+(-0.384183--0.009945))+0-20--0.0306000000000012</f>
        <v>224.256362</v>
      </c>
      <c r="J332" s="3">
        <f>0+(255.8-20.8)+(0+(0.130458-0.010608))+0-20-0.010199999999998</f>
        <v>215.10965000000002</v>
      </c>
      <c r="K332" s="3">
        <f>0+(292.1-55.3)+(0+(-0.148971--0.028203))+0-20--0.010199999999998</f>
        <v>216.68943200000001</v>
      </c>
      <c r="L332" s="3">
        <f>0+(319.6-68.2)+(0+(-0.325992--0.069564))+0-20--0.0204000000000032</f>
        <v>231.16397200000003</v>
      </c>
      <c r="M332" s="3">
        <f>0+(376.2-112.1)+(0+(-0.191862--0.057171))+0-20--0.010199999999998</f>
        <v>243.97550900000005</v>
      </c>
      <c r="N332" s="3">
        <f>0+(462-176)+(0+(0.94248-0.35904))+0-20-0.0407999999999991</f>
        <v>266.54264000000001</v>
      </c>
      <c r="O332" s="3">
        <f>0+(473.8-193.9)+(0+(-0.483276--0.197778))+0-9--0.00918000000000144</f>
        <v>270.62368199999997</v>
      </c>
      <c r="P332" s="3">
        <f>0+(486.6-201.4)+(0+(-0.248166--0.102714))+0-8--0.00407999999999919</f>
        <v>277.05862800000006</v>
      </c>
      <c r="Q332" s="3">
        <f>0+(475.6-186.3)+(0+(-0.970224--0.380052))+0-8--0.0163199999999997</f>
        <v>280.72614800000002</v>
      </c>
      <c r="R332" s="3">
        <f>0+(468.1-187.1)+(0+(-1.432386--0.572526))+0-8--0.0244800000000009</f>
        <v>272.16461999999996</v>
      </c>
      <c r="S332" s="3">
        <f>0+(455.6-183.6)+(0+(-0.464712--0.187272))+0-8--0.00816000000000128</f>
        <v>263.73071999999996</v>
      </c>
      <c r="T332" s="3">
        <f>0+(470.9-200.6)+(0+(0-0))+0-8-0</f>
        <v>262.29999999999995</v>
      </c>
      <c r="U332" s="3">
        <f>0+(438.2-172.5)+(0+(-0.446964--0.17595))+0-8--0.00816000000000128</f>
        <v>257.43714599999998</v>
      </c>
      <c r="V332" s="3">
        <f>0+(388.8-122.2)+(0+(0-0))+0-8-0</f>
        <v>258.60000000000002</v>
      </c>
      <c r="W332" s="3">
        <f>0+(378.8-105)+(0+(0-0))+0-8-0</f>
        <v>265.8</v>
      </c>
      <c r="X332" s="3">
        <f>0+(404.7-115)+(0+(-0.412794--0.1173))+0-8--0.00816000000000128</f>
        <v>281.41266599999994</v>
      </c>
      <c r="Y332" s="3">
        <f>0+(418.2-130.6)+(0+(-1.279692--0.399636))+0-8--0.0244800000000009</f>
        <v>278.74442399999998</v>
      </c>
      <c r="Z332" s="3">
        <f>0+(455.1-166.9)+(0+(-1.160505--0.425595))+0-8--0.0203999999999988</f>
        <v>279.48549000000003</v>
      </c>
      <c r="AA332" s="3">
        <f>0+(485.3-191.6)+(0+(-0.990012--0.390864))+0-8--0.0163199999999997</f>
        <v>285.11717200000004</v>
      </c>
      <c r="AB332" s="3">
        <f>0+(493.9-201.9)+(0+(-0.503778--0.205938))+0-8--0.00816000000000128</f>
        <v>283.71031999999997</v>
      </c>
      <c r="AC332" s="3">
        <f>0+(468.8-189.3)+(0+(-1.19544--0.482715))+0-9--0.0229499999999987</f>
        <v>269.810225</v>
      </c>
      <c r="AD332">
        <f t="shared" si="5"/>
        <v>6180.5598110000028</v>
      </c>
      <c r="AE332" s="3">
        <f>0+(408.5-121.1)+(0+(0-0))+0-8-0</f>
        <v>279.39999999999998</v>
      </c>
    </row>
    <row r="333" spans="1:31" s="2" customFormat="1" x14ac:dyDescent="0.25">
      <c r="A333">
        <v>89</v>
      </c>
      <c r="B333">
        <v>11</v>
      </c>
      <c r="C333">
        <v>27</v>
      </c>
      <c r="D333">
        <v>5</v>
      </c>
      <c r="E333">
        <v>3</v>
      </c>
      <c r="F333" s="3">
        <f>0+(404-142.6)+(0+(-1.0302--0.36363))+0-10--0.0254999999999985</f>
        <v>250.75892999999999</v>
      </c>
      <c r="G333" s="3">
        <f>0+(303.7-49.6)+(0+(-0.464661--0.075888))+0-12--0.0183600000000007</f>
        <v>241.72958700000001</v>
      </c>
      <c r="H333" s="3">
        <f>0+(289.1-38.4)+(0+(-0.884646--0.117504))+0-14--0.0428400000000016</f>
        <v>235.97569800000002</v>
      </c>
      <c r="I333" s="3">
        <f>0+(295.6-45.1)+(0+(0.150756-0.023001))+0-15-0.00764999999999848</f>
        <v>235.62010500000002</v>
      </c>
      <c r="J333" s="3">
        <f>0+(312-57.6)+(0+(0.63648-0.117504))+0-17-0.0346799999999993</f>
        <v>237.88429600000001</v>
      </c>
      <c r="K333" s="3">
        <f>0+(312-62.9)+(0+(0.95472-0.192474))+0-1-0.00306000000000012</f>
        <v>248.85918599999999</v>
      </c>
      <c r="L333" s="3">
        <f>0+(325.2-76.9)+(0+(-0.82926--0.196095))+0-17--0.0433499999999975</f>
        <v>230.710185</v>
      </c>
      <c r="M333" s="3">
        <f>0+(352.9-79.1)+(0+(0.359958-0.080682))+0-21-0.0214200000000034</f>
        <v>253.05785599999993</v>
      </c>
      <c r="N333" s="3">
        <f>0+(373.7-76)+(0+(0.571761-0.11628))+0-23-0.0351900000000013</f>
        <v>275.12029100000001</v>
      </c>
      <c r="O333" s="3">
        <f>0+(401.4-94.6)+(0+(0.614142-0.144738))+0-25-0.0382500000000014</f>
        <v>282.23115399999995</v>
      </c>
      <c r="P333" s="3">
        <f>0+(474.3-168.8)+(0+(-0.967572--0.344352))+0-23--0.046919999999999</f>
        <v>281.9237</v>
      </c>
      <c r="Q333" s="3">
        <f>0+(482.4-179.9)+(0+(-0.984096--0.366996))+0-13--0.0265199999999994</f>
        <v>288.90942000000001</v>
      </c>
      <c r="R333" s="3">
        <f>0+(447-160.5)+(0+(-1.13985--0.409275))+0-10--0.0254999999999985</f>
        <v>275.79492500000003</v>
      </c>
      <c r="S333" s="3">
        <f>0+(409.1-131.5)+(0+(-0.625923--0.201195))+0-10--0.0153000000000006</f>
        <v>267.19057200000003</v>
      </c>
      <c r="T333" s="3">
        <f>0+(425.5-148.9)+(0+(-0.217005--0.075939))+0-10--0.00509999999999899</f>
        <v>266.46403400000003</v>
      </c>
      <c r="U333" s="3">
        <f>0+(423-151.1)+(0+(-1.07865--0.385305))+0-11--0.0280499999999984</f>
        <v>260.23470499999996</v>
      </c>
      <c r="V333" s="3">
        <f>20+(413.8-172.4)+(0+(0-0))+0-9-0</f>
        <v>252.39999999999998</v>
      </c>
      <c r="W333" s="3">
        <f>60+(349.8-131.6)+(-0.1224+(-0.713592--0.268464))+0-9--0.0183599999999996</f>
        <v>268.65083200000004</v>
      </c>
      <c r="X333" s="3">
        <f>135.2+(363.2-204.9)+(-0.620568+(-1.667088--0.940491))+0-9--0.0413100000000016</f>
        <v>283.19414499999999</v>
      </c>
      <c r="Y333" s="3">
        <f>63.2+(396.8-169.9)+(-0.032232+(-0.202368--0.086649))+0-9--0.00458999999999909</f>
        <v>280.95663900000005</v>
      </c>
      <c r="Z333" s="3">
        <f>31.4+(358.4-104.3)+(-0.144126+(-1.645056--0.478737))+0-8--0.0367200000000014</f>
        <v>276.22627499999993</v>
      </c>
      <c r="AA333" s="3">
        <f>0+(350.6-70.8)+(0+(-0.178806--0.036108))+0-9--0.00458999999999909</f>
        <v>270.66189200000002</v>
      </c>
      <c r="AB333" s="3">
        <f>0+(379.1-94.8)+(0+(-0.966705--0.24174))+0-9--0.0229499999999987</f>
        <v>274.59798499999999</v>
      </c>
      <c r="AC333" s="3">
        <f>0+(377.5-98)+(0+(-0.962625--0.2499))+0-9--0.0229499999999987</f>
        <v>269.810225</v>
      </c>
      <c r="AD333">
        <f t="shared" si="5"/>
        <v>6308.9626370000005</v>
      </c>
      <c r="AE333" s="3">
        <f>60+(445.9-220.5)+(0+(0-0))+0-8.5-0</f>
        <v>276.89999999999998</v>
      </c>
    </row>
    <row r="334" spans="1:31" s="2" customFormat="1" x14ac:dyDescent="0.25">
      <c r="A334">
        <v>89</v>
      </c>
      <c r="B334">
        <v>11</v>
      </c>
      <c r="C334">
        <v>28</v>
      </c>
      <c r="D334">
        <v>6</v>
      </c>
      <c r="E334">
        <v>6</v>
      </c>
      <c r="F334" s="3">
        <f>0+(269-6.2)+(0+(-0.13719--0.003162))+0-32--0.0163199999999968</f>
        <v>230.68229200000002</v>
      </c>
      <c r="G334" s="3">
        <f>0+(294.1-40.9)+(0+(0-0))+0-30-0</f>
        <v>223.20000000000002</v>
      </c>
      <c r="H334" s="3">
        <f>0+(284.3-33.2)+(0+(-0.579972--0.067728))+0-32--0.0652799999999986</f>
        <v>218.65303600000001</v>
      </c>
      <c r="I334" s="3">
        <f>0+(280.6-30.7)+(0+(0.71553-0.078285))+0-32-0.0815999999999954</f>
        <v>218.45564500000003</v>
      </c>
      <c r="J334" s="3">
        <f>0+(254.5-3.6)+(0+(-0.25959--0.003672))+0-32--0.0326400000000051</f>
        <v>218.67672200000001</v>
      </c>
      <c r="K334" s="3">
        <f>0+(265.2-11.9)+(0+(0.135252-0.006069))+0-30-0.015299999999997</f>
        <v>223.413883</v>
      </c>
      <c r="L334" s="3">
        <f>0+(257.7-0)+(0+(-0.394281-0))+0-30--0.0459000000000017</f>
        <v>227.351619</v>
      </c>
      <c r="M334" s="3">
        <f>0+(341.2-64.8)+(0+(0-0))+0-30-0</f>
        <v>246.39999999999998</v>
      </c>
      <c r="N334" s="3">
        <f>0+(403.2-99.9)+(0+(0.205632-0.050949))+0-30-0.015299999999997</f>
        <v>273.43938299999991</v>
      </c>
      <c r="O334" s="3">
        <f>0+(419.4-102.5)+(0+(0.641682-0.156825))+0-30-0.0459000000000017</f>
        <v>287.33895699999994</v>
      </c>
      <c r="P334" s="3">
        <f>0+(373.3-59.8)+(0+(-0.951915--0.15249))+0-30--0.0764999999999956</f>
        <v>282.77707500000002</v>
      </c>
      <c r="Q334" s="3">
        <f>0+(368.9-60)+(0+(-0.940695--0.153))+0-30--0.0764999999999956</f>
        <v>278.188805</v>
      </c>
      <c r="R334" s="3">
        <f>0+(388.8-89.1)+(0+(-1.388016--0.318087))+0-23--0.0821100000000003</f>
        <v>275.71218100000004</v>
      </c>
      <c r="S334" s="3">
        <f>0+(346.7-58.7)+(0+(-0.176817--0.029937))+0-23--0.0117299999999977</f>
        <v>264.86484999999999</v>
      </c>
      <c r="T334" s="3">
        <f>0+(299-12.5)+(0+(-0.45747--0.019125))+0-23--0.0351900000000013</f>
        <v>263.09684499999997</v>
      </c>
      <c r="U334" s="3">
        <f>0+(276.9-1.7)+(0+(-0.706095--0.004335))+0-18--0.0458999999999974</f>
        <v>256.54414000000003</v>
      </c>
      <c r="V334" s="3">
        <f>40.4+(232.3-13.1)+(0+(0-0))+0-10-0</f>
        <v>249.60000000000002</v>
      </c>
      <c r="W334" s="3">
        <f>93.7+(200.1-32.3)+(-0.095574+(-0.204102--0.032946))+0-8--0.00816000000000128</f>
        <v>253.24143000000001</v>
      </c>
      <c r="X334" s="3">
        <f>135.7+(243.2-95.8)+(-0.276828+(-0.496128--0.195432))+0-8--0.0163199999999997</f>
        <v>274.53879599999999</v>
      </c>
      <c r="Y334" s="3">
        <f>115+(290.1-123.1)+(-0.17595+(-0.443853--0.188343))+0-8--0.0122400000000005</f>
        <v>273.58078</v>
      </c>
      <c r="Z334" s="3">
        <f>0+(312.2-35)+(0+(-0.159222--0.01785))+0-9--0.00458999999999909</f>
        <v>268.06321800000001</v>
      </c>
      <c r="AA334" s="3">
        <f>0+(329-57.5)+(0+(-0.50337--0.087975))+0-9--0.0137700000000005</f>
        <v>262.09837500000003</v>
      </c>
      <c r="AB334" s="3">
        <f>0+(401-129.5)+(0+(-1.22706--0.39627))+0-9--0.027540000000001</f>
        <v>261.69675000000001</v>
      </c>
      <c r="AC334" s="3">
        <f>0+(401.3-134.5)+(0+(-1.023315--0.342975))+0-9--0.0229499999999987</f>
        <v>257.14260999999999</v>
      </c>
      <c r="AD334">
        <f t="shared" si="5"/>
        <v>6088.7573919999995</v>
      </c>
      <c r="AE334" s="3">
        <f>136+(210.4-66)+(0+(0-0))+0-9-0</f>
        <v>271.39999999999998</v>
      </c>
    </row>
    <row r="335" spans="1:31" s="2" customFormat="1" x14ac:dyDescent="0.25">
      <c r="A335">
        <v>89</v>
      </c>
      <c r="B335">
        <v>11</v>
      </c>
      <c r="C335">
        <v>29</v>
      </c>
      <c r="D335">
        <v>7</v>
      </c>
      <c r="E335">
        <v>1</v>
      </c>
      <c r="F335" s="3">
        <f>0+(333-79.1)+(0+(-0.84915--0.201705))+0-8--0.0203999999999988</f>
        <v>245.272955</v>
      </c>
      <c r="G335" s="3">
        <f>0+(279.5-36.6)+(0+(-0.57018--0.074664))+0-8--0.0163199999999997</f>
        <v>234.420804</v>
      </c>
      <c r="H335" s="3">
        <f>0+(265.6-27.6)+(0+(-0.406368--0.042228))+0-9--0.0137700000000005</f>
        <v>228.64963000000003</v>
      </c>
      <c r="I335" s="3">
        <f>0+(234.8-0)+(0+(-0.478992-0))+0-8--0.0163199999999997</f>
        <v>226.33732800000001</v>
      </c>
      <c r="J335" s="3">
        <f>0+(232.7-0)+(0+(0.118677-0))+0-8-0.00407999999999919</f>
        <v>224.81459699999999</v>
      </c>
      <c r="K335" s="3">
        <f>0+(227.3-0)+(0+(0.115923-0))+0-8-0.00407999999999919</f>
        <v>219.41184300000003</v>
      </c>
      <c r="L335" s="3">
        <f>0+(312.6-89.9)+(0+(-0.79713--0.229245))+0-9--0.0229499999999987</f>
        <v>213.15506500000004</v>
      </c>
      <c r="M335" s="3">
        <f>0+(271.1-57.5)+(0+(-0.414783--0.087975))+0-9--0.0137700000000005</f>
        <v>204.28696200000002</v>
      </c>
      <c r="N335" s="3">
        <f>0+(289.8-65.8)+(0+(-0.443394--0.100674))+0-9--0.0137700000000005</f>
        <v>214.67104999999998</v>
      </c>
      <c r="O335" s="3">
        <f>0+(263.1-27.3)+(0+(0.134181-0.013923))+0-11-0.00560999999999888</f>
        <v>224.91464800000003</v>
      </c>
      <c r="P335" s="3">
        <f>0+(285.3-42.5)+(0+(-0.145503--0.021675))+0-13--0.00662999999999868</f>
        <v>229.68280200000001</v>
      </c>
      <c r="Q335" s="3">
        <f>9.1+(272.7-39)+(-0.018564+(-0.556308--0.07956))+0-14--0.0285599999999994</f>
        <v>228.33324799999997</v>
      </c>
      <c r="R335" s="3">
        <f>50.6+(264-75.7)+(-0.103224+(-0.53856--0.154428))+0-16--0.0326399999999993</f>
        <v>222.44528399999999</v>
      </c>
      <c r="S335" s="3">
        <f>50.5+(246.6-56.9)+(-0.128775+(-0.62883--0.145095))+0-18--0.0458999999999974</f>
        <v>221.63338999999999</v>
      </c>
      <c r="T335" s="3">
        <f>19.7+(273.1-52.9)+(-0.030141+(-0.417843--0.080937))+0-19--0.0290700000000011</f>
        <v>220.56202299999998</v>
      </c>
      <c r="U335" s="3">
        <f>11.8+(249-21.7)+(-0.024072+(-0.50796--0.044268))+0-20--0.0407999999999991</f>
        <v>218.65303600000001</v>
      </c>
      <c r="V335" s="3">
        <f>47.2+(242.2-45.2)+(-0.048144+(-0.247044--0.046104))+0-22--0.0224400000000035</f>
        <v>221.973356</v>
      </c>
      <c r="W335" s="3">
        <f>50.5+(260-50.4)+(-0.077265+(-0.3978--0.077112))+0-24--0.0367200000000014</f>
        <v>235.73876700000005</v>
      </c>
      <c r="X335" s="3">
        <f>93.8+(274.5-90.2)+(-0.191352+(-0.55998--0.184008))+0-26--0.0530399999999989</f>
        <v>251.58571600000005</v>
      </c>
      <c r="Y335" s="3">
        <f>125.3+(280-127.8)+(-0.319515+(-0.714--0.32589))+0-27--0.0688499999999961</f>
        <v>249.86122499999999</v>
      </c>
      <c r="Z335" s="3">
        <f>0+(317.2-40.6)+(0+(-0.323544--0.041412))+0-27--0.0275400000000043</f>
        <v>249.34540799999999</v>
      </c>
      <c r="AA335" s="3">
        <f>0+(315.4-42.2)+(0+(0.160854-0.021522))+0-23-0.0117299999999977</f>
        <v>250.32760200000001</v>
      </c>
      <c r="AB335" s="3">
        <f>0+(308.1-44.1)+(0+(-0.628524--0.089964))+0-25--0.0509999999999989</f>
        <v>238.51243999999997</v>
      </c>
      <c r="AC335" s="3">
        <f>0+(291-35.8)+(0+(-0.74205--0.09129))+0-24--0.0611999999999965</f>
        <v>230.61043999999998</v>
      </c>
      <c r="AD335">
        <f t="shared" si="5"/>
        <v>5505.1996189999991</v>
      </c>
      <c r="AE335" s="3">
        <f>137+(281.4-129.8)+(0+(0-0))+0-25-0</f>
        <v>263.59999999999997</v>
      </c>
    </row>
    <row r="336" spans="1:31" s="2" customFormat="1" x14ac:dyDescent="0.25">
      <c r="A336">
        <v>89</v>
      </c>
      <c r="B336">
        <v>11</v>
      </c>
      <c r="C336">
        <v>30</v>
      </c>
      <c r="D336">
        <v>1</v>
      </c>
      <c r="E336">
        <v>1</v>
      </c>
      <c r="F336" s="3">
        <f>0+(254.4-7.1)+(0+(-0.389232--0.010863))+0-27--0.0413100000000016</f>
        <v>219.96294100000003</v>
      </c>
      <c r="G336" s="3">
        <f>0+(245.5-5.2)+(0+(-0.626025--0.01326))+0-26--0.0662999999999962</f>
        <v>213.753535</v>
      </c>
      <c r="H336" s="3">
        <f>0+(241.6-5.8)+(0+(0.123216-0.002958))+0-27-0.0137699999999973</f>
        <v>208.906488</v>
      </c>
      <c r="I336" s="3">
        <f>0+(247.6-8.9)+(0+(-0.126276--0.004539))+0-27--0.0137699999999973</f>
        <v>211.59203299999999</v>
      </c>
      <c r="J336" s="3">
        <f>0+(258.9-15.2)+(0+(0.528156-0.031008))+0-27-0.0550799999999988</f>
        <v>217.14206799999999</v>
      </c>
      <c r="K336" s="3">
        <f>0+(261.5-21.3)+(0+(0.26673-0.021726))+0-27-0.0275400000000043</f>
        <v>213.41746399999997</v>
      </c>
      <c r="L336" s="3">
        <f>0+(324.6-74.5)+(0+(0-0))+0-27-0</f>
        <v>223.10000000000002</v>
      </c>
      <c r="M336" s="3">
        <f>0+(401.6-130.7)+(0+(0-0))+0-29-0</f>
        <v>241.90000000000003</v>
      </c>
      <c r="N336" s="3">
        <f>48+(479.5-250.8)+(0.09792+(0.97818-0.511632))+0-12-0.0244799999999995</f>
        <v>265.23998799999998</v>
      </c>
      <c r="O336" s="3">
        <f>107+(447.2-290.1)+(-0.05457+(-0.228072--0.147951))+0-11--0.00560999999999888</f>
        <v>252.97091899999998</v>
      </c>
      <c r="P336" s="3">
        <f>159+(392.4-304.2)+(-0.24327+(-0.600372--0.465426))+0-11--0.0168300000000006</f>
        <v>235.83861399999998</v>
      </c>
      <c r="Q336" s="3">
        <f>191+(394.3-346.4)+(-0.09741+(-0.201093--0.176664))+0-11--0.00560999999999888</f>
        <v>227.78377100000003</v>
      </c>
      <c r="R336" s="3">
        <f>151+(436.7-341.4)+(-0.07701+(-0.222717--0.174114))+0-9--0.00458999999999909</f>
        <v>237.17897700000003</v>
      </c>
      <c r="S336" s="3">
        <f>138+(441-335.8)+(-0.3519+(-1.12455--0.85629))+0-9--0.0229499999999987</f>
        <v>233.60279</v>
      </c>
      <c r="T336" s="3">
        <f>83+(450.5-273.6)+(-0.04233+(-0.229755--0.139536))+0-9--0.00458999999999909</f>
        <v>250.772041</v>
      </c>
      <c r="U336" s="3">
        <f>83+(424-240.7)+(-0.12699+(-0.64872--0.368271))+0-9--0.0137700000000005</f>
        <v>256.90633100000002</v>
      </c>
      <c r="V336" s="3">
        <f>58+(413.9-201.9)+(-0.11832+(-0.844356--0.411876))+0-9--0.0183599999999996</f>
        <v>260.46755999999999</v>
      </c>
      <c r="W336" s="3">
        <f>104+(279.1-143.9)+(-0.21216+(-0.569364--0.293556))+0-9--0.0183599999999996</f>
        <v>229.73039200000002</v>
      </c>
      <c r="X336" s="3">
        <f>105+(268.2-115.3)+(-0.16065+(-0.410346--0.176409))+0-9--0.0137700000000005</f>
        <v>248.51918299999997</v>
      </c>
      <c r="Y336" s="3">
        <f>85+(320.4-146)+(-0.21675+(-0.81702--0.3723))+0-9--0.0229499999999987</f>
        <v>249.76147999999998</v>
      </c>
      <c r="Z336" s="3">
        <f>37+(320.7-89.4)+(-0.05661+(-0.490671--0.136782))+0-8--0.0122400000000005</f>
        <v>259.90174099999996</v>
      </c>
      <c r="AA336" s="3">
        <f>0+(336.5-51.2)+(0+(-0.514845--0.078336))+0-9--0.0137700000000005</f>
        <v>275.87726100000003</v>
      </c>
      <c r="AB336" s="3">
        <f>0+(352.2-69.2)+(0+(-0.89811--0.17646))+0-9--0.0229499999999987</f>
        <v>273.30129999999997</v>
      </c>
      <c r="AC336" s="3">
        <f>0+(274.4-5.5)+(0+(-0.69972--0.014025))+0-9--0.0229499999999987</f>
        <v>259.23725499999995</v>
      </c>
      <c r="AD336">
        <f t="shared" si="5"/>
        <v>5766.8641320000006</v>
      </c>
      <c r="AE336" s="3">
        <f>141+(279.5-125.9)+(0+(0-0))+0-9-0</f>
        <v>285.60000000000002</v>
      </c>
    </row>
    <row r="337" spans="1:31" s="2" customFormat="1" x14ac:dyDescent="0.25">
      <c r="A337">
        <v>89</v>
      </c>
      <c r="B337">
        <v>12</v>
      </c>
      <c r="C337">
        <v>1</v>
      </c>
      <c r="D337">
        <v>2</v>
      </c>
      <c r="E337">
        <v>1</v>
      </c>
      <c r="F337" s="3">
        <f>0+(255.1-0)+(0+(-0.910707-0))+0-12--0.0428400000000002</f>
        <v>242.232133</v>
      </c>
      <c r="G337" s="3">
        <f>0+(258.3-3.2)+(0+(0-0))+0-14-0</f>
        <v>241.10000000000002</v>
      </c>
      <c r="H337" s="3">
        <f>0+(252.2-0)+(0+(-0.514488-0))+0-15--0.0305999999999993</f>
        <v>236.71611199999998</v>
      </c>
      <c r="I337" s="3">
        <f>0+(249.4-0)+(0+(0.63597-0))+0-17-0.0433499999999975</f>
        <v>232.99261999999999</v>
      </c>
      <c r="J337" s="3">
        <f>0+(254.4-0)+(0+(0-0))+0-19-0</f>
        <v>235.4</v>
      </c>
      <c r="K337" s="3">
        <f>0+(250.1-0)+(0+(0.255102-0))+0-20-0.0204000000000032</f>
        <v>230.33470199999999</v>
      </c>
      <c r="L337" s="3">
        <f>0+(318.9-58.7)+(0+(0.325278-0.059874))+0-20-0.0204000000000032</f>
        <v>240.44500399999998</v>
      </c>
      <c r="M337" s="3">
        <f>0+(348.7-68.5)+(0+(0.355674-0.06987))+0-20-0.0204000000000032</f>
        <v>260.46540399999998</v>
      </c>
      <c r="N337" s="3">
        <f>97+(290.4-94.4)+(0.14841+(0.444312-0.144432))+0-20-0.0306000000000012</f>
        <v>273.41768999999999</v>
      </c>
      <c r="O337" s="3">
        <f>206+(272.6-157.3)+(-0.21012+(-0.278052--0.160446))+0-20--0.0204000000000032</f>
        <v>300.99267400000002</v>
      </c>
      <c r="P337" s="3">
        <f>205.2+(281.1-162.5)+(-0.313956+(-0.430083--0.248625))+0-20--0.0306000000000012</f>
        <v>303.33518600000002</v>
      </c>
      <c r="Q337" s="3">
        <f>148+(312.5-134.5)+(-0.52836+(-1.115625--0.480165))+0-20--0.0714000000000003</f>
        <v>304.90758</v>
      </c>
      <c r="R337" s="3">
        <f>137.6+(334.9-151.2)+(-0.280704+(-0.683196--0.308448))+0-28--0.0571199999999988</f>
        <v>292.70166799999993</v>
      </c>
      <c r="S337" s="3">
        <f>136.9+(343.2-170.4)+(-0.279276+(-0.700128--0.347616))+0-29--0.0591599999999987</f>
        <v>280.12737200000004</v>
      </c>
      <c r="T337" s="3">
        <f>136.2+(347.2-173.9)+(-0.069462+(-0.177072--0.088689))+0-28--0.0142799999999972</f>
        <v>281.35643499999998</v>
      </c>
      <c r="U337" s="3">
        <f>135.6+(363.6-194.8)+(0.207468+(0.556308-0.298044))+0-29-0.0443700000000017</f>
        <v>275.82136199999997</v>
      </c>
      <c r="V337" s="3">
        <f>136+(344.4-173.8)+(0+(0-0))+0-30-0</f>
        <v>276.59999999999997</v>
      </c>
      <c r="W337" s="3">
        <f>136.3+(248.4-79.2)+(0+(0-0))+0-29-0</f>
        <v>276.5</v>
      </c>
      <c r="X337" s="3">
        <f>135.8+(208.1-25.1)+(-0.207774+(-0.318393--0.038403))+0-29--0.0443700000000017</f>
        <v>289.356606</v>
      </c>
      <c r="Y337" s="3">
        <f>135.5+(216.4-45.9)+(-0.27642+(-0.441456--0.093636))+0-30--0.0611999999999987</f>
        <v>275.43696</v>
      </c>
      <c r="Z337" s="3">
        <f>77.5+(276.8-53.5)+(-0.07905+(-0.282336--0.05457))+0-31--0.0316200000000049</f>
        <v>269.52480400000002</v>
      </c>
      <c r="AA337" s="3">
        <f>50.6+(329.9-69.5)+(0.025806+(0.168249-0.035445))+0-30-0.015299999999997</f>
        <v>281.14330999999999</v>
      </c>
      <c r="AB337" s="3">
        <f>24.5+(343.5-55.3)+(-0.062475+(-0.875925--0.141015))+0-30--0.0764999999999956</f>
        <v>281.97911499999998</v>
      </c>
      <c r="AC337" s="3">
        <f>0+(347.8-45.4)+(0+(0.177378-0.023154))+0-30-0.015299999999997</f>
        <v>272.53892400000001</v>
      </c>
      <c r="AD337">
        <f t="shared" si="5"/>
        <v>6455.4256610000011</v>
      </c>
      <c r="AE337" s="3">
        <f>136+(208.5-21.8)+(0+(0-0))+0-31-0</f>
        <v>291.7</v>
      </c>
    </row>
    <row r="338" spans="1:31" s="2" customFormat="1" x14ac:dyDescent="0.25">
      <c r="A338">
        <v>89</v>
      </c>
      <c r="B338">
        <v>12</v>
      </c>
      <c r="C338">
        <v>2</v>
      </c>
      <c r="D338">
        <v>3</v>
      </c>
      <c r="E338">
        <v>1</v>
      </c>
      <c r="F338" s="3">
        <f>0+(290.5-2)+(0+(-0.59262--0.00408))+0-30--0.0611999999999987</f>
        <v>257.97265999999996</v>
      </c>
      <c r="G338" s="3">
        <f>0+(291.1-16.9)+(0+(-0.593844--0.034476))+0-30--0.0611999999999987</f>
        <v>243.70183200000002</v>
      </c>
      <c r="H338" s="3">
        <f>0+(261.1-0)+(0+(0.133161-0))+0-30-0.015299999999997</f>
        <v>231.217861</v>
      </c>
      <c r="I338" s="3">
        <f>0+(279-13.6)+(0+(0.56916-0.027744))+0-30-0.0611999999999987</f>
        <v>235.88021600000002</v>
      </c>
      <c r="J338" s="3">
        <f>0+(262.4-0)+(0+(-0.133824-0))+0-30--0.015299999999997</f>
        <v>232.28147599999997</v>
      </c>
      <c r="K338" s="3">
        <f>0+(260-0)+(0+(0-0))+0-30-0</f>
        <v>230</v>
      </c>
      <c r="L338" s="3">
        <f>0+(276-18.6)+(0+(-0.56304--0.037944))+0-30--0.0611999999999987</f>
        <v>226.93610399999994</v>
      </c>
      <c r="M338" s="3">
        <f>0+(276-24.1)+(0+(-0.42228--0.036873))+0-30--0.0459000000000017</f>
        <v>221.56049300000001</v>
      </c>
      <c r="N338" s="3">
        <f>0+(303.9-39.9)+(0+(0.464967-0.061047))+0-30-0.0459000000000017</f>
        <v>234.35802000000004</v>
      </c>
      <c r="O338" s="3">
        <f>0+(305.2-25.9)+(0+(0.155652-0.013209))+0-30-0.015299999999997</f>
        <v>249.42714300000003</v>
      </c>
      <c r="P338" s="3">
        <f>0+(357.7-67.7)+(0+(-0.364854--0.069054))+0-30--0.0306000000000048</f>
        <v>259.73480000000001</v>
      </c>
      <c r="Q338" s="3">
        <f>0+(331.5-38.1)+(0+(-0.33813--0.038862))+0-30--0.0306000000000048</f>
        <v>263.13133199999999</v>
      </c>
      <c r="R338" s="3">
        <f>0+(343.6-55.6)+(0+(-1.051416--0.170136))+0-31--0.0948600000000036</f>
        <v>256.21357999999998</v>
      </c>
      <c r="S338" s="3">
        <f>0+(330.2-48.7)+(0+(-0.336804--0.049674))+0-32--0.0326400000000051</f>
        <v>249.24551000000002</v>
      </c>
      <c r="T338" s="3">
        <f>6.2+(318.1-45.7)+(0.006324+(0.324462-0.046614))+0-31-0.0316200000000049</f>
        <v>247.85255200000003</v>
      </c>
      <c r="U338" s="3">
        <f>43.6+(284.9-67.1)+(-0.088944+(-0.581196--0.136884))+0-32--0.0652799999999986</f>
        <v>228.93202399999998</v>
      </c>
      <c r="V338" s="3">
        <f>47.4+(274.7-63.8)+(0.048348+(0.280194-0.065076))+0-30-0.0306000000000048</f>
        <v>228.53286599999996</v>
      </c>
      <c r="W338" s="3">
        <f>50.5+(280.9-72.3)+(-0.05151+(-0.286518--0.073746))+0-30--0.0306000000000048</f>
        <v>228.86631799999998</v>
      </c>
      <c r="X338" s="3">
        <f>104.8+(270.4-91.3)+(-0.053448+(-0.137904--0.046563))+0-31--0.0158099999999969</f>
        <v>252.77102099999996</v>
      </c>
      <c r="Y338" s="3">
        <f>114.3+(268.8-95.2)+(-0.116586+(-0.274176--0.097104))+0-31--0.0316200000000049</f>
        <v>256.63796200000007</v>
      </c>
      <c r="Z338" s="3">
        <f>25.7+(313.3-51.8)+(-0.013107+(-0.159783--0.026418))+0-31--0.0158099999999969</f>
        <v>256.06933799999996</v>
      </c>
      <c r="AA338" s="3">
        <f>0+(350-46)+(0+(-0.1785--0.02346))+0-32--0.0163199999999968</f>
        <v>271.86128000000002</v>
      </c>
      <c r="AB338" s="3">
        <f>0+(359.6-59)+(0+(-0.733584--0.12036))+0-31--0.0632399999999986</f>
        <v>269.05001600000003</v>
      </c>
      <c r="AC338" s="3">
        <f>0+(315.9-27.5)+(0+(0-0))+0-31-0</f>
        <v>257.39999999999998</v>
      </c>
      <c r="AD338">
        <f t="shared" si="5"/>
        <v>5889.6344039999994</v>
      </c>
      <c r="AE338" s="3">
        <f>134+(260.8-109.5)+(0+(0-0))+0-30-0</f>
        <v>255.3</v>
      </c>
    </row>
    <row r="339" spans="1:31" s="2" customFormat="1" x14ac:dyDescent="0.25">
      <c r="A339">
        <v>89</v>
      </c>
      <c r="B339">
        <v>12</v>
      </c>
      <c r="C339">
        <v>3</v>
      </c>
      <c r="D339">
        <v>4</v>
      </c>
      <c r="E339">
        <v>1</v>
      </c>
      <c r="F339" s="3">
        <f>0+(292.8-21.6)+(0+(-0.298656--0.022032))+0-31--0.0316200000000049</f>
        <v>239.95499599999997</v>
      </c>
      <c r="G339" s="3">
        <f>0+(279.4-15.6)+(0+(0-0))+0-31-0</f>
        <v>232.79999999999995</v>
      </c>
      <c r="H339" s="3">
        <f>0+(287.5-26.4)+(0+(0-0))+0-31-0</f>
        <v>230.10000000000002</v>
      </c>
      <c r="I339" s="3">
        <f>0+(279.1-21.5)+(0+(-0.427023--0.032895))+0-31--0.0474300000000018</f>
        <v>226.25330199999999</v>
      </c>
      <c r="J339" s="3">
        <f>0+(297.6-37.8)+(0+(-0.607104--0.077112))+0-31--0.0632399999999986</f>
        <v>228.33324800000003</v>
      </c>
      <c r="K339" s="3">
        <f>0+(259.2-0)+(0+(0.264384-0))+0-31-0.0316200000000049</f>
        <v>228.43276399999999</v>
      </c>
      <c r="L339" s="3">
        <f>0+(260.6-0)+(0+(-0.265812-0))+0-31--0.0316200000000049</f>
        <v>229.36580800000004</v>
      </c>
      <c r="M339" s="3">
        <f>0+(341.7-25.6)+(0+(-0.522801--0.039168))+0-32--0.0489600000000018</f>
        <v>283.66532699999999</v>
      </c>
      <c r="N339" s="3">
        <f>0+(452.2-142.8)+(0+(0-0))+0-33-0</f>
        <v>276.39999999999998</v>
      </c>
      <c r="O339" s="3">
        <f>0+(521.1-196.5)+(0+(-0.531522--0.20043))+0-34--0.0346800000000054</f>
        <v>290.30358799999999</v>
      </c>
      <c r="P339" s="3">
        <f>0+(503.7-180.6)+(0+(-1.284435--0.46053))+0-32--0.0815999999999954</f>
        <v>290.35769499999998</v>
      </c>
      <c r="Q339" s="3">
        <f>0+(474.5-163.3)+(0+(-0.48399--0.166566))+0-31--0.0316200000000049</f>
        <v>279.914196</v>
      </c>
      <c r="R339" s="3">
        <f>0+(462.8-148.7)+(0+(-1.18014--0.379185))+0-32--0.0815999999999954</f>
        <v>281.38064500000002</v>
      </c>
      <c r="S339" s="3">
        <f>0+(493.3-187.7)+(0+(0-0))+0-31-0</f>
        <v>274.60000000000002</v>
      </c>
      <c r="T339" s="3">
        <f>0+(518-222.3)+(0+(0.26418-0.113373))+0-32-0.0163199999999968</f>
        <v>263.83448699999997</v>
      </c>
      <c r="U339" s="3">
        <f>0+(537.6-229)+(0+(0-0))+0-31-0</f>
        <v>277.60000000000002</v>
      </c>
      <c r="V339" s="3">
        <f>0+(542.4-202.8)+(0+(0-0))+0-31-0</f>
        <v>308.59999999999997</v>
      </c>
      <c r="W339" s="3">
        <f>32.6+(391.2-120.1)+(-0.016626+(-0.199512--0.061251))+0-31--0.0158099999999969</f>
        <v>272.56092300000006</v>
      </c>
      <c r="X339" s="3">
        <f>113+(373.8-177.8)+(-0.05763+(-0.190638--0.090678))+0-30--0.015299999999997</f>
        <v>278.85771</v>
      </c>
      <c r="Y339" s="3">
        <f>86.9+(460.1-223.3)+(-0.132957+(-0.703953--0.341649))+0-31--0.0474300000000018</f>
        <v>292.25216900000004</v>
      </c>
      <c r="Z339" s="3">
        <f>50.6+(535.7-277.2)+(-0.051612+(-0.546414--0.282744))+0-31--0.0316200000000049</f>
        <v>277.81633800000009</v>
      </c>
      <c r="AA339" s="3">
        <f>40.3+(547.7-252.4)+(-0.123318+(-1.675962--0.772344))+0-31--0.0948600000000036</f>
        <v>303.66792400000008</v>
      </c>
      <c r="AB339" s="3">
        <f>0+(510-197.5)+(0+(-1.0404--0.4029))+0-31--0.0632399999999986</f>
        <v>280.92574000000002</v>
      </c>
      <c r="AC339" s="3">
        <f>0+(454.1-152.6)+(0+(-1.389546--0.466956))+0-31--0.0948600000000036</f>
        <v>269.67226999999997</v>
      </c>
      <c r="AD339">
        <f t="shared" si="5"/>
        <v>6417.6491300000007</v>
      </c>
      <c r="AE339" s="3">
        <f>139+(387-206.8)+(0+(0-0))+0-30-0</f>
        <v>289.2</v>
      </c>
    </row>
    <row r="340" spans="1:31" s="2" customFormat="1" x14ac:dyDescent="0.25">
      <c r="A340">
        <v>89</v>
      </c>
      <c r="B340">
        <v>12</v>
      </c>
      <c r="C340">
        <v>4</v>
      </c>
      <c r="D340">
        <v>5</v>
      </c>
      <c r="E340">
        <v>1</v>
      </c>
      <c r="F340" s="3">
        <f>0+(435.3-136.9)+(0+(0.444006-0.139638))+0-32-0.0326400000000051</f>
        <v>266.67172799999997</v>
      </c>
      <c r="G340" s="3">
        <f>0+(374.3-110.5)+(0+(-0.763572--0.22542))+0-31--0.0632399999999986</f>
        <v>232.32508799999999</v>
      </c>
      <c r="H340" s="3">
        <f>0+(302.3-54.8)+(0+(0.154173-0.027948))+0-32-0.0163199999999968</f>
        <v>215.609905</v>
      </c>
      <c r="I340" s="3">
        <f>0+(279.7-42.9)+(0+(-0.570588--0.087516))+0-32--0.0652799999999986</f>
        <v>204.38220799999999</v>
      </c>
      <c r="J340" s="3">
        <f>0+(267.5-24.4)+(0+(-0.409275--0.037332))+0-32--0.0489600000000018</f>
        <v>210.777017</v>
      </c>
      <c r="K340" s="3">
        <f>0+(287.5-48.6)+(0+(0.146625-0.024786))+0-31-0.0158099999999969</f>
        <v>208.00602900000001</v>
      </c>
      <c r="L340" s="3">
        <f>0+(252.1-0)+(0+(-0.514284-0))+0-31--0.0632399999999986</f>
        <v>220.648956</v>
      </c>
      <c r="M340" s="3">
        <f>0+(320.6-34)+(0+(-0.327012--0.03468))+0-31--0.0316200000000049</f>
        <v>255.33928800000004</v>
      </c>
      <c r="N340" s="3">
        <f>0+(449-139.9)+(0+(0-0))+0-31-0</f>
        <v>278.10000000000002</v>
      </c>
      <c r="O340" s="3">
        <f>0+(522.3-230)+(0+(-0.266373--0.1173))+0-31--0.0158099999999969</f>
        <v>261.16673699999996</v>
      </c>
      <c r="P340" s="3">
        <f>0+(513.8-196.3)+(0+(-0.262038--0.100113))+0-31--0.0158099999999969</f>
        <v>286.35388499999993</v>
      </c>
      <c r="Q340" s="3">
        <f>0+(511.5-208.3)+(0+(-0.260865--0.106233))+0-31--0.0158099999999969</f>
        <v>272.06117799999998</v>
      </c>
      <c r="R340" s="3">
        <f>0+(550.2-248.9)+(0+(-1.40301--0.634695))+0-32--0.0815999999999954</f>
        <v>268.61328500000008</v>
      </c>
      <c r="S340" s="3">
        <f>0+(580.6-283.2)+(0+(-0.296106--0.144432))+0-32--0.0163199999999968</f>
        <v>265.26464600000003</v>
      </c>
      <c r="T340" s="3">
        <f>0+(593.7-300.2)+(0+(-1.513935--0.76551))+0-32--0.0815999999999954</f>
        <v>260.83317500000004</v>
      </c>
      <c r="U340" s="3">
        <f>0+(504.9-216.2)+(0+(-0.772497--0.330786))+0-32--0.0489600000000018</f>
        <v>256.30724900000001</v>
      </c>
      <c r="V340" s="3">
        <f>0+(456.7-172)+(0+(-2.096253--0.78948))+0-32--0.146880000000006</f>
        <v>251.54010699999998</v>
      </c>
      <c r="W340" s="3">
        <f>0+(382.3-93.7)+(0+(0-0))+0-32-0</f>
        <v>256.60000000000002</v>
      </c>
      <c r="X340" s="3">
        <f>0+(407.8-137.1)+(0+(-0.831912--0.279684))+0-32--0.0652799999999986</f>
        <v>238.21305200000003</v>
      </c>
      <c r="Y340" s="3">
        <f>0+(475-158.7)+(0+(0-0))+0-32-0</f>
        <v>284.3</v>
      </c>
      <c r="Z340" s="3">
        <f>0+(367.6-55.9)+(0+(0-0))+0-32-0</f>
        <v>279.70000000000005</v>
      </c>
      <c r="AA340" s="3">
        <f>0+(393.4-77.7)+(0+(-0.401268--0.079254))+0-32--0.0326400000000051</f>
        <v>283.41062599999998</v>
      </c>
      <c r="AB340" s="3">
        <f>0+(438.5-109.3)+(0+(-0.89454--0.222972))+0-32--0.0652799999999986</f>
        <v>296.59371199999998</v>
      </c>
      <c r="AC340" s="3">
        <f>0+(442.1-122.5)+(0+(-1.803768--0.4998))+0-32--0.130559999999997</f>
        <v>286.42659200000003</v>
      </c>
      <c r="AD340">
        <f t="shared" si="5"/>
        <v>6139.244463</v>
      </c>
      <c r="AE340" s="3">
        <f>0+(458.9-148.4)+(0+(0-0))+0-32-0</f>
        <v>278.5</v>
      </c>
    </row>
    <row r="341" spans="1:31" s="2" customFormat="1" x14ac:dyDescent="0.25">
      <c r="A341">
        <v>89</v>
      </c>
      <c r="B341">
        <v>12</v>
      </c>
      <c r="C341">
        <v>5</v>
      </c>
      <c r="D341">
        <v>6</v>
      </c>
      <c r="E341">
        <v>1</v>
      </c>
      <c r="F341" s="3">
        <f>0+(391.3-106.6)+(0+(-0.598689--0.163098))+0-32--0.0489600000000018</f>
        <v>252.31336900000005</v>
      </c>
      <c r="G341" s="3">
        <f>0+(333.5-57.9)+(0+(0.34017-0.059058))+0-31-0.0316200000000049</f>
        <v>244.84949200000003</v>
      </c>
      <c r="H341" s="3">
        <f>0+(273.6-14.1)+(0+(-0.837216--0.043146))+0-31--0.0948600000000036</f>
        <v>227.80079000000003</v>
      </c>
      <c r="I341" s="3">
        <f>0+(279.5-10.4)+(0+(0.28509-0.010608))+0-31-0.0316200000000049</f>
        <v>238.342862</v>
      </c>
      <c r="J341" s="3">
        <f>0+(263.7-0)+(0+(0.134487-0))+0-31-0.0158099999999969</f>
        <v>232.81867699999998</v>
      </c>
      <c r="K341" s="3">
        <f>0+(260.7-0)+(0+(0.797742-0))+0-30-0.0918000000000035</f>
        <v>231.40594200000001</v>
      </c>
      <c r="L341" s="3">
        <f>0+(259.3-0)+(0+(0-0))+0-31-0</f>
        <v>228.3</v>
      </c>
      <c r="M341" s="3">
        <f>0+(355.3-67.3)+(0+(0.543609-0.102969))+0-32-0.0489600000000018</f>
        <v>256.39167999999995</v>
      </c>
      <c r="N341" s="3">
        <f>81.7+(372.6-149.7)+(0+(0-0))+0-32-0</f>
        <v>272.60000000000002</v>
      </c>
      <c r="O341" s="3">
        <f>140.7+(318.4-154.7)+(0+(0-0))+0-32-0</f>
        <v>272.39999999999998</v>
      </c>
      <c r="P341" s="3">
        <f>140.4+(309.9-146.3)+(0+(0-0))+0-31-0</f>
        <v>273</v>
      </c>
      <c r="Q341" s="3">
        <f>139.5+(333.2-164.7)+(0.071145+(0.169932-0.083997))+0-32-0.0163199999999968</f>
        <v>276.14076</v>
      </c>
      <c r="R341" s="3">
        <f>138.9+(372.9-201.5)+(-0.141678+(-0.380358--0.20553))+0-32--0.0326400000000051</f>
        <v>278.01613399999997</v>
      </c>
      <c r="S341" s="3">
        <f>123.6+(393.7-220.9)+(-0.126072+(-0.401574--0.225318))+0-32--0.0326400000000051</f>
        <v>264.130312</v>
      </c>
      <c r="T341" s="3">
        <f>55.6+(399.9-155.6)+(-0.028356+(-0.203949--0.079356))+0-32--0.0163199999999968</f>
        <v>267.76337100000001</v>
      </c>
      <c r="U341" s="3">
        <f>55.6+(354.7-120.4)+(-0.056712+(-0.361794--0.122808))+0-32--0.0326400000000051</f>
        <v>257.63694199999998</v>
      </c>
      <c r="V341" s="3">
        <f>55.6+(331.4-94.4)+(-0.198492+(-1.183098--0.337008))+0-32--0.11424</f>
        <v>259.66965799999997</v>
      </c>
      <c r="W341" s="3">
        <f>55.6+(300.2-68.9)+(-0.028356+(-0.153102--0.035139))+0-32--0.0163199999999968</f>
        <v>254.77000099999998</v>
      </c>
      <c r="X341" s="3">
        <f>117.4+(247.4-55.2)+(-0.179622+(-0.378522--0.084456))+0-32--0.0489600000000018</f>
        <v>277.17527200000006</v>
      </c>
      <c r="Y341" s="3">
        <f>62.8+(248.8-8)+(-0.064056+(-0.253776--0.00816))+0-32--0.0326400000000051</f>
        <v>271.32296800000006</v>
      </c>
      <c r="Z341" s="3">
        <f>21+(275.4-0)+(-0.03213+(-0.421362-0))+0-31--0.0474300000000018</f>
        <v>264.99393800000001</v>
      </c>
      <c r="AA341" s="3">
        <f>0+(317.9-14.4)+(0+(0-0))+0-31-0</f>
        <v>272.5</v>
      </c>
      <c r="AB341" s="3">
        <f>0+(269.1-0)+(0+(-0.548964-0))+0-31--0.0632399999999986</f>
        <v>237.61427600000002</v>
      </c>
      <c r="AC341" s="3">
        <f>0+(297.9-4.3)+(0+(-0.759645--0.010965))+0-31--0.0790499999999955</f>
        <v>261.93036999999998</v>
      </c>
      <c r="AD341">
        <f t="shared" si="5"/>
        <v>6173.8868140000004</v>
      </c>
      <c r="AE341" s="3">
        <f>141+(247.7-73.9)+(0+(0-0))+0-32-0</f>
        <v>282.79999999999995</v>
      </c>
    </row>
    <row r="342" spans="1:31" s="2" customFormat="1" x14ac:dyDescent="0.25">
      <c r="A342">
        <v>89</v>
      </c>
      <c r="B342">
        <v>12</v>
      </c>
      <c r="C342">
        <v>6</v>
      </c>
      <c r="D342">
        <v>7</v>
      </c>
      <c r="E342">
        <v>1</v>
      </c>
      <c r="F342" s="3">
        <f>0+(335.5-68.7)+(0+(-0.34221--0.070074))+0-31--0.0316200000000049</f>
        <v>235.55948400000003</v>
      </c>
      <c r="G342" s="3">
        <f>0+(330.5-71.5)+(0+(-0.168555--0.036465))+0-31--0.0158099999999969</f>
        <v>227.88371999999998</v>
      </c>
      <c r="H342" s="3">
        <f>0+(242.9-1.4)+(0+(0-0))+0-31-0</f>
        <v>210.5</v>
      </c>
      <c r="I342" s="3">
        <f>0+(240.5-0)+(0+(0.367965-0))+0-32-0.0489600000000018</f>
        <v>208.819005</v>
      </c>
      <c r="J342" s="3">
        <f>0+(247.1-0)+(0+(-0.630105-0))+0-32--0.0815999999999954</f>
        <v>214.55149500000002</v>
      </c>
      <c r="K342" s="3">
        <f>0+(246.8-0)+(0+(0.377604-0))+0-32-0.0489600000000018</f>
        <v>215.12864400000001</v>
      </c>
      <c r="L342" s="3">
        <f>0+(235.4-0)+(0+(-0.240108-0))+0-32--0.0326400000000051</f>
        <v>203.19253200000003</v>
      </c>
      <c r="M342" s="3">
        <f>0+(233.7-0)+(0+(0.119187-0))+0-32-0.0163199999999968</f>
        <v>201.80286699999999</v>
      </c>
      <c r="N342" s="3">
        <f>0+(275.2-19)+(0+(-0.280704--0.01938))+0-32--0.0326400000000051</f>
        <v>223.971316</v>
      </c>
      <c r="O342" s="3">
        <f>0+(270.1-21.2)+(0+(0.137751-0.010812))+0-32-0.0163199999999968</f>
        <v>217.01061900000002</v>
      </c>
      <c r="P342" s="3">
        <f>0+(321.9-64.2)+(0+(0.328338-0.065484))+0-32-0.0326400000000051</f>
        <v>225.93021399999998</v>
      </c>
      <c r="Q342" s="3">
        <f>0+(367.4-108.7)+(0+(-0.749496--0.221748))+0-32--0.0652799999999986</f>
        <v>226.23753200000002</v>
      </c>
      <c r="R342" s="3">
        <f>0+(372.5-118.1)+(0+(-0.189975--0.060231))+0-32--0.0163199999999968</f>
        <v>222.28657600000003</v>
      </c>
      <c r="S342" s="3">
        <f>0+(370.4-120.9)+(0+(-1.133424--0.369954))+0-30--0.0918000000000035</f>
        <v>218.82832999999997</v>
      </c>
      <c r="T342" s="3">
        <f>0+(327.2-91.5)+(0+(-0.333744--0.09333))+0-30--0.0306000000000048</f>
        <v>205.49018599999999</v>
      </c>
      <c r="U342" s="3">
        <f>0+(309-80.4)+(0+(-0.94554--0.246024))+0-32--0.0979200000000037</f>
        <v>195.99840400000002</v>
      </c>
      <c r="V342" s="3">
        <f>0+(295.7-51.7)+(0+(-0.301614--0.052734))+0-32--0.0326400000000051</f>
        <v>211.78376</v>
      </c>
      <c r="W342" s="3">
        <f>0+(254.6-2)+(0+(-0.129846--0.00102))+0-31--0.0158099999999969</f>
        <v>221.48698399999998</v>
      </c>
      <c r="X342" s="3">
        <f>0+(246.5-0)+(0+(-0.377145-0))+0-31--0.0474300000000018</f>
        <v>215.17028499999998</v>
      </c>
      <c r="Y342" s="3">
        <f>0+(271-0)+(0+(0.13821-0))+0-32-0.0163199999999968</f>
        <v>239.12189000000001</v>
      </c>
      <c r="Z342" s="3">
        <f>0+(269-0)+(0+(-0.41157-0))+0-32--0.0489600000000018</f>
        <v>236.63739000000001</v>
      </c>
      <c r="AA342" s="3">
        <f>0+(293.3-9.8)+(0+(0.149583-0.004998))+0-32-0.0163199999999968</f>
        <v>251.628265</v>
      </c>
      <c r="AB342" s="3">
        <f>0+(304.4-29.8)+(0+(-0.310488--0.030396))+0-31--0.0316200000000049</f>
        <v>243.35152799999994</v>
      </c>
      <c r="AC342" s="3">
        <f>0+(322.7-51.9)+(0+(-0.658308--0.105876))+0-31--0.0632399999999986</f>
        <v>239.31080800000001</v>
      </c>
      <c r="AD342">
        <f t="shared" si="5"/>
        <v>5311.6818340000009</v>
      </c>
      <c r="AE342" s="3">
        <f>0+(272-0)+(0+(0-0))+0-32-0</f>
        <v>240</v>
      </c>
    </row>
    <row r="343" spans="1:31" s="2" customFormat="1" x14ac:dyDescent="0.25">
      <c r="A343">
        <v>89</v>
      </c>
      <c r="B343">
        <v>12</v>
      </c>
      <c r="C343">
        <v>7</v>
      </c>
      <c r="D343">
        <v>1</v>
      </c>
      <c r="E343">
        <v>1</v>
      </c>
      <c r="F343" s="3">
        <f>0+(261.7-0)+(0+(-0.266934-0))+0-32--0.0326400000000051</f>
        <v>229.46570600000001</v>
      </c>
      <c r="G343" s="3">
        <f>0+(256.8-0)+(0+(-0.261936-0))+0-33--0.0336600000000053</f>
        <v>223.57172400000002</v>
      </c>
      <c r="H343" s="3">
        <f>0+(233.1-0)+(0+(0.475524-0))+0-32-0.0652799999999986</f>
        <v>201.510244</v>
      </c>
      <c r="I343" s="3">
        <f>0+(243.3-0)+(0+(-0.248166-0))+0-32--0.0326400000000051</f>
        <v>211.08447400000003</v>
      </c>
      <c r="J343" s="3">
        <f>0+(245.6-0)+(0+(0.751536-0))+0-32-0.0979200000000037</f>
        <v>214.25361599999997</v>
      </c>
      <c r="K343" s="3">
        <f>0+(233.9-0)+(0+(0.119289-0))+0-32-0.0163199999999968</f>
        <v>202.00296900000001</v>
      </c>
      <c r="L343" s="3">
        <f>0+(278.7-37.2)+(0+(0.426411-0.056916))+0-32-0.0489600000000018</f>
        <v>209.82053500000001</v>
      </c>
      <c r="M343" s="3">
        <f>0+(418.5-140.1)+(0+(1.067175-0.357255))+0-32-0.0815999999999954</f>
        <v>247.02831999999998</v>
      </c>
      <c r="N343" s="3">
        <f>0+(477.6-162.8)+(0+(0.243576-0.083028))+0-33-0.0168299999999967</f>
        <v>281.94371800000005</v>
      </c>
      <c r="O343" s="3">
        <f>89.9+(390-180.5)+(0.045849+(0.1989-0.092055))+0-32-0.0163199999999968</f>
        <v>267.53637399999997</v>
      </c>
      <c r="P343" s="3">
        <f>140.4+(389.9-209.6)+(0.214812+(0.596547-0.320688))+0-32-0.0489600000000018</f>
        <v>289.14171099999999</v>
      </c>
      <c r="Q343" s="3">
        <f>140.4+(401.1-225.4)+(-0.071604+(-0.204561--0.114954))+0-32--0.0163199999999968</f>
        <v>283.95510900000005</v>
      </c>
      <c r="R343" s="3">
        <f>140.1+(482.4-304.3)+(-0.071451+(-0.246024--0.155193))+0-33--0.0168299999999967</f>
        <v>285.0545479999999</v>
      </c>
      <c r="S343" s="3">
        <f>135.9+(507.2-328)+(-0.207927+(-0.776016--0.50184))+0-32--0.0489600000000018</f>
        <v>282.66685700000005</v>
      </c>
      <c r="T343" s="3">
        <f>55.8+(552.9-304.3)+(0+(0-0))+0-32-0</f>
        <v>272.39999999999998</v>
      </c>
      <c r="U343" s="3">
        <f>55.6+(482.3-233.9)+(-0.056712+(-0.491946--0.238578))+0-32--0.0326400000000051</f>
        <v>271.72255999999999</v>
      </c>
      <c r="V343" s="3">
        <f>55.6+(482-235.8)+(0+(0-0))+0-32-0</f>
        <v>269.8</v>
      </c>
      <c r="W343" s="3">
        <f>55.6+(448.4-190.6)+(-0.113424+(-0.914736--0.388824))+0-29--0.0591599999999987</f>
        <v>283.81982399999998</v>
      </c>
      <c r="X343" s="3">
        <f>55.6+(430.9-161.8)+(-0.14178+(-1.098795--0.41259))+0-32--0.0815999999999954</f>
        <v>291.95361499999996</v>
      </c>
      <c r="Y343" s="3">
        <f>24.7+(466.8-156.7)+(-0.037791+(-0.714204--0.239751))+0-33--0.0504900000000019</f>
        <v>301.33824600000003</v>
      </c>
      <c r="Z343" s="3">
        <f>0+(435.6-116.8)+(0+(-0.222156--0.059568))+0-32--0.0163199999999968</f>
        <v>286.65373199999999</v>
      </c>
      <c r="AA343" s="3">
        <f>0+(482.8-151.8)+(0+(-0.492456--0.154836))+0-32--0.0326400000000051</f>
        <v>298.69502</v>
      </c>
      <c r="AB343" s="3">
        <f>0+(468.1-144.9)+(0+(-1.193655--0.369495))+0-32--0.0815999999999954</f>
        <v>290.45744000000002</v>
      </c>
      <c r="AC343" s="3">
        <f>0+(355.8-45)+(0+(-0.725832--0.0918))+0-32--0.0652799999999986</f>
        <v>278.23124799999999</v>
      </c>
      <c r="AD343">
        <f t="shared" si="5"/>
        <v>6274.1075900000014</v>
      </c>
      <c r="AE343" s="3">
        <f>55+(436.8-168.4)+(0+(0-0))+0-32-0</f>
        <v>291.39999999999998</v>
      </c>
    </row>
    <row r="344" spans="1:31" s="2" customFormat="1" x14ac:dyDescent="0.25">
      <c r="A344">
        <v>89</v>
      </c>
      <c r="B344">
        <v>12</v>
      </c>
      <c r="C344">
        <v>8</v>
      </c>
      <c r="D344">
        <v>2</v>
      </c>
      <c r="E344">
        <v>1</v>
      </c>
      <c r="F344" s="3">
        <f>0+(265-10)+(0+(-0.13515--0.0051))+0-32--0.0163199999999968</f>
        <v>222.88627</v>
      </c>
      <c r="G344" s="3">
        <f>0+(261.6-41.1)+(0+(0-0))+0-32-0</f>
        <v>188.50000000000003</v>
      </c>
      <c r="H344" s="3">
        <f>0+(241.9-27.8)+(0+(-0.370107--0.042534))+0-32--0.0489600000000018</f>
        <v>181.82138699999999</v>
      </c>
      <c r="I344" s="3">
        <f>0+(241-25)+(0+(-0.36873--0.03825))+0-32--0.0489600000000018</f>
        <v>183.71848</v>
      </c>
      <c r="J344" s="3">
        <f>0+(246.1-28.2)+(0+(-0.125511--0.014382))+0-32--0.0163199999999968</f>
        <v>185.80519100000001</v>
      </c>
      <c r="K344" s="3">
        <f>0+(256.6-25)+(0+(0.130866-0.01275))+0-32-0.0163199999999968</f>
        <v>199.701796</v>
      </c>
      <c r="L344" s="3">
        <f>0+(304-42.7)+(0+(-0.31008--0.043554))+0-31--0.0316200000000049</f>
        <v>230.06509400000002</v>
      </c>
      <c r="M344" s="3">
        <f>0+(337.8-68.1)+(0+(-0.172278--0.034731))+0-32--0.0163199999999968</f>
        <v>237.57877300000007</v>
      </c>
      <c r="N344" s="3">
        <f>0+(364.1-65.8)+(0+(-0.371382--0.067116))+0-32--0.0326400000000051</f>
        <v>266.02837400000004</v>
      </c>
      <c r="O344" s="3">
        <f>0+(396.7-59.2)+(0+(0.404634-0.060384))+0-29-0.0295800000000046</f>
        <v>308.81466999999998</v>
      </c>
      <c r="P344" s="3">
        <f>0+(418.5-87.6)+(0+(-0.85374--0.178704))+0-31--0.0632399999999986</f>
        <v>299.28820400000001</v>
      </c>
      <c r="Q344" s="3">
        <f>0+(446.3-100.8)+(0+(-0.682839--0.154224))+0-14--0.0214200000000008</f>
        <v>330.99280499999998</v>
      </c>
      <c r="R344" s="3">
        <f>0+(412-94)+(0+(-1.26072--0.28764))+0-32--0.0979200000000037</f>
        <v>285.12484000000001</v>
      </c>
      <c r="S344" s="3">
        <f>0+(374.8-80.8)+(0+(-0.573444--0.123624))+0-12--0.0183600000000007</f>
        <v>281.56853999999998</v>
      </c>
      <c r="T344" s="3">
        <f>0+(379.4-73)+(0+(-0.580482--0.11169))+0-12--0.0183600000000007</f>
        <v>293.94956799999994</v>
      </c>
      <c r="U344" s="3">
        <f>0+(395.9-87.7)+(0+(-0.403818--0.089454))+0-32--0.0326400000000051</f>
        <v>275.91827599999999</v>
      </c>
      <c r="V344" s="3">
        <f>0+(372.8-73.6)+(0+(-1.140768--0.225216))+0-32--0.0979200000000037</f>
        <v>266.38236800000004</v>
      </c>
      <c r="W344" s="3">
        <f>0+(296.4-14)+(0+(-0.453492--0.02142))+0-22--0.0336600000000013</f>
        <v>260.00158799999997</v>
      </c>
      <c r="X344" s="3">
        <f>0+(313.8-11.3)+(0+(-0.320076--0.011526))+0-13--0.0132600000000021</f>
        <v>289.20470999999998</v>
      </c>
      <c r="Y344" s="3">
        <f>0+(351.9-46.8)+(0+(-1.076814--0.143208))+0-32--0.0979200000000037</f>
        <v>272.26431399999996</v>
      </c>
      <c r="Z344" s="3">
        <f>0+(425.9-90.1)+(0+(-0.434418--0.091902))+0-31--0.0316200000000049</f>
        <v>304.489104</v>
      </c>
      <c r="AA344" s="3">
        <f>0+(449.6-112.8)+(0+(-0.687888--0.172584))+0-32--0.0489600000000018</f>
        <v>304.33365600000002</v>
      </c>
      <c r="AB344" s="3">
        <f>0+(334.4-52)+(0+(-0.85272--0.1326))+0-32--0.0815999999999954</f>
        <v>249.76147999999998</v>
      </c>
      <c r="AC344" s="3">
        <f>0+(278-24)+(0+(-0.7089--0.0612))+0-31--0.0790499999999955</f>
        <v>222.43135000000001</v>
      </c>
      <c r="AD344">
        <f t="shared" si="5"/>
        <v>6140.630838</v>
      </c>
      <c r="AE344" s="3">
        <f>0+(317.9-0)+(0+(0-0))+0-32-0</f>
        <v>285.89999999999998</v>
      </c>
    </row>
    <row r="345" spans="1:31" s="2" customFormat="1" x14ac:dyDescent="0.25">
      <c r="A345">
        <v>89</v>
      </c>
      <c r="B345">
        <v>12</v>
      </c>
      <c r="C345">
        <v>9</v>
      </c>
      <c r="D345">
        <v>3</v>
      </c>
      <c r="E345">
        <v>1</v>
      </c>
      <c r="F345" s="3">
        <f>0+(296.2-11.2)+(0+(0-0))+0-32-0</f>
        <v>253</v>
      </c>
      <c r="G345" s="3">
        <f>0+(282.4-11.2)+(0+(0-0))+0-32-0</f>
        <v>239.2</v>
      </c>
      <c r="H345" s="3">
        <f>0+(279.6-0)+(0+(0-0))+0-30-0</f>
        <v>249.60000000000002</v>
      </c>
      <c r="I345" s="3">
        <f>0+(298.7-17.1)+(0+(0-0))+0-31-0</f>
        <v>250.59999999999997</v>
      </c>
      <c r="J345" s="3">
        <f>0+(269.1-0)+(0+(0-0))+0-12-0</f>
        <v>257.10000000000002</v>
      </c>
      <c r="K345" s="3">
        <f>0+(323.4-67.2)+(0+(0-0))+0-32-0</f>
        <v>224.2</v>
      </c>
      <c r="L345" s="3">
        <f>0+(375.6-101.1)+(0+(0-0))+0-32-0</f>
        <v>242.5</v>
      </c>
      <c r="M345" s="3">
        <f>0+(390.7-98.8)+(0+(0-0))+0-27-0</f>
        <v>264.89999999999998</v>
      </c>
      <c r="N345" s="3">
        <f>0+(397.6-93.1)+(0+(0-0))+0-31-0</f>
        <v>273.5</v>
      </c>
      <c r="O345" s="3">
        <f>0+(369.2-63)+(0+(0-0))+0-31-0</f>
        <v>275.2</v>
      </c>
      <c r="P345" s="3">
        <f>0+(379.7-56.1)+(0+(-0.387294--0.057222))+0-31--0.0316200000000049</f>
        <v>292.30154800000003</v>
      </c>
      <c r="Q345" s="3">
        <f>0+(378.9-62.4)+(0+(-0.579717--0.095472))+0-32--0.0489600000000018</f>
        <v>284.06471500000004</v>
      </c>
      <c r="R345" s="3">
        <f>0+(380.5-60)+(0+(-0.77622--0.1224))+0-31--0.0632399999999986</f>
        <v>288.90942000000001</v>
      </c>
      <c r="S345" s="3">
        <f>0+(359.2-62.9)+(0+(-0.732768--0.128316))+0-16--0.0326399999999993</f>
        <v>279.72818800000005</v>
      </c>
      <c r="T345" s="3">
        <f>0+(381.8-82.5)+(0+(-0.194718--0.042075))+0-2--0.0010199999999998</f>
        <v>297.14837699999998</v>
      </c>
      <c r="U345" s="3">
        <f>0+(412.8-88.4)+(0+(0-0))+0-30-0</f>
        <v>294.39999999999998</v>
      </c>
      <c r="V345" s="3">
        <f>0+(397.3-82.4)+(0+(-1.215738--0.252144))+0-30--0.0918000000000035</f>
        <v>284.02820599999995</v>
      </c>
      <c r="W345" s="3">
        <f>0+(327.1-53)+(0+(-0.834105--0.13515))+0-31--0.0790499999999955</f>
        <v>242.48009500000001</v>
      </c>
      <c r="X345" s="3">
        <f>0+(310.6-15.5)+(0+(-0.633624--0.03162))+0-31--0.0632399999999986</f>
        <v>263.56123600000001</v>
      </c>
      <c r="Y345" s="3">
        <f>23.4+(294.8-18.6)+(-0.035802+(-0.451044--0.028458))+0-31--0.0474300000000018</f>
        <v>268.18904199999997</v>
      </c>
      <c r="Z345" s="3">
        <f>133.9+(203.1-36)+(-0.409734+(-0.621486--0.11016))+0-31--0.0948600000000036</f>
        <v>269.17379999999997</v>
      </c>
      <c r="AA345" s="3">
        <f>40.4+(274.2-8)+(-0.020604+(-0.139842--0.00408))+0-31--0.0158099999999969</f>
        <v>275.45944399999996</v>
      </c>
      <c r="AB345" s="3">
        <f>0+(314.9-13.1)+(0+(-0.642396--0.026724))+0-31--0.0632399999999986</f>
        <v>270.24756799999994</v>
      </c>
      <c r="AC345" s="3">
        <f>0+(295.4-18)+(0+(-1.054578--0.06426))+0-31--0.11067</f>
        <v>245.52035199999997</v>
      </c>
      <c r="AD345">
        <f t="shared" si="5"/>
        <v>6385.0119909999976</v>
      </c>
      <c r="AE345" s="3">
        <f>0+(326.4-0)+(0+(0-0))+0-31-0</f>
        <v>295.39999999999998</v>
      </c>
    </row>
    <row r="346" spans="1:31" s="2" customFormat="1" x14ac:dyDescent="0.25">
      <c r="A346">
        <v>89</v>
      </c>
      <c r="B346">
        <v>12</v>
      </c>
      <c r="C346">
        <v>10</v>
      </c>
      <c r="D346">
        <v>4</v>
      </c>
      <c r="E346">
        <v>1</v>
      </c>
      <c r="F346" s="3">
        <f>0+(295.6-0)+(0+(-0.603024-0))+0-32--0.0652799999999986</f>
        <v>263.06225599999999</v>
      </c>
      <c r="G346" s="3">
        <f>0+(302.6-0)+(0+(-0.462978-0))+0-31--0.0474300000000018</f>
        <v>271.18445200000002</v>
      </c>
      <c r="H346" s="3">
        <f>0+(313.6-25.6)+(0+(-0.639744--0.052224))+0-29--0.0591599999999987</f>
        <v>258.47164000000004</v>
      </c>
      <c r="I346" s="3">
        <f>0+(317.8-28.2)+(0+(-0.81039--0.07191))+0-32--0.0815999999999954</f>
        <v>256.94312000000002</v>
      </c>
      <c r="J346" s="3">
        <f>0+(308.6-34.6)+(0+(0-0))+0-31-0</f>
        <v>243</v>
      </c>
      <c r="K346" s="3">
        <f>0+(283.6-0)+(0+(-0.433908-0))+0-32--0.0489600000000018</f>
        <v>251.21505200000004</v>
      </c>
      <c r="L346" s="3">
        <f>0+(293-0)+(0+(-0.44829-0))+0-31--0.0474300000000018</f>
        <v>261.59914000000003</v>
      </c>
      <c r="M346" s="3">
        <f>0+(322.2-16.5)+(0+(0-0))+0-31-0</f>
        <v>274.7</v>
      </c>
      <c r="N346" s="3">
        <f>0+(380.1-44.9)+(0+(0.193851-0.022899))+0-31-0.0158099999999969</f>
        <v>304.35514200000006</v>
      </c>
      <c r="O346" s="3">
        <f>0+(406.5-61.2)+(0+(-0.207315--0.031212))+0-31--0.0158099999999969</f>
        <v>314.13970699999999</v>
      </c>
      <c r="P346" s="3">
        <f>0+(408.8-55.3)+(0+(0-0))+0-31-0</f>
        <v>322.5</v>
      </c>
      <c r="Q346" s="3">
        <f>0+(423.7-67.1)+(0+(-0.432174--0.068442))+0-31--0.0316200000000049</f>
        <v>325.26788800000003</v>
      </c>
      <c r="R346" s="3">
        <f>0+(390.2-53.6)+(0+(-0.99501--0.13668))+0-32--0.0815999999999954</f>
        <v>303.82326999999992</v>
      </c>
      <c r="S346" s="3">
        <f>0+(317-30.7)+(0+(0.16167-0.015657))+0-31-0.0158099999999969</f>
        <v>255.43020300000001</v>
      </c>
      <c r="T346" s="3">
        <f>0+(335.6-20)+(0+(-0.342312--0.0204))+0-32--0.0326400000000051</f>
        <v>283.31072800000004</v>
      </c>
      <c r="U346" s="3">
        <f>0+(361.6-39.8)+(0+(0-0))+0-32-0</f>
        <v>289.8</v>
      </c>
      <c r="V346" s="3">
        <f>0+(375.5-58.7)+(0+(-0.38301--0.059874))+0-17--0.0173400000000027</f>
        <v>299.49420400000002</v>
      </c>
      <c r="W346" s="3">
        <f>0+(304.8-26.9)+(0+(-0.310896--0.027438))+0-32--0.0326400000000051</f>
        <v>245.64918200000005</v>
      </c>
      <c r="X346" s="3">
        <f>0+(314.1-16)+(0+(-0.480573--0.02448))+0-32--0.0489600000000018</f>
        <v>265.69286700000004</v>
      </c>
      <c r="Y346" s="3">
        <f>0+(312.1-10)+(0+(-0.477513--0.0153))+0-32--0.0489600000000018</f>
        <v>269.68674700000003</v>
      </c>
      <c r="Z346" s="3">
        <f>0+(335.4-20.1)+(0+(-0.342108--0.020502))+0-32--0.0326400000000051</f>
        <v>283.011034</v>
      </c>
      <c r="AA346" s="3">
        <f>0+(378.1-49.8)+(0+(-0.771324--0.101592))+0-31--0.0632399999999986</f>
        <v>296.69350800000001</v>
      </c>
      <c r="AB346" s="3">
        <f>0+(416.3-77.4)+(0+(-1.273878--0.236844))+0-31--0.0948600000000036</f>
        <v>306.95782599999995</v>
      </c>
      <c r="AC346" s="3">
        <f>0+(371.9-73.9)+(0+(-0.379338--0.075378))+0-31--0.0316200000000049</f>
        <v>266.72766000000001</v>
      </c>
      <c r="AD346">
        <f t="shared" si="5"/>
        <v>6712.7156259999992</v>
      </c>
      <c r="AE346" s="3">
        <f>0+(329.5-0)+(0+(0-0))+0-32-0</f>
        <v>297.5</v>
      </c>
    </row>
    <row r="347" spans="1:31" s="2" customFormat="1" x14ac:dyDescent="0.25">
      <c r="A347">
        <v>89</v>
      </c>
      <c r="B347">
        <v>12</v>
      </c>
      <c r="C347">
        <v>11</v>
      </c>
      <c r="D347">
        <v>5</v>
      </c>
      <c r="E347">
        <v>1</v>
      </c>
      <c r="F347" s="3">
        <f>0+(272.2-30)+(0+(-0.555288--0.0612))+0-30--0.0611999999999987</f>
        <v>211.76711199999997</v>
      </c>
      <c r="G347" s="3">
        <f>0+(261.2-30)+(0+(-0.532848--0.0612))+0-32--0.0652799999999986</f>
        <v>198.793632</v>
      </c>
      <c r="H347" s="3">
        <f>0+(258.7-30)+(0+(-0.263874--0.0306))+0-32--0.0326400000000051</f>
        <v>196.49936600000001</v>
      </c>
      <c r="I347" s="3">
        <f>0+(260.6-30)+(0+(-0.265812--0.0306))+0-32--0.0326400000000051</f>
        <v>198.39742800000005</v>
      </c>
      <c r="J347" s="3">
        <f>0+(261.4-30)+(0+(0.399942-0.0459))+0-32-0.0489600000000018</f>
        <v>199.70508199999998</v>
      </c>
      <c r="K347" s="3">
        <f>0+(265.1-30)+(0+(-0.270402--0.0306))+0-32--0.0326400000000051</f>
        <v>202.89283800000004</v>
      </c>
      <c r="L347" s="3">
        <f>0+(278.2-30)+(0+(0-0))+0-32-0</f>
        <v>216.2</v>
      </c>
      <c r="M347" s="3">
        <f>0+(313.8-24.1)+(0+(0.160038-0.012291))+0-32-0.0163199999999968</f>
        <v>257.83142699999996</v>
      </c>
      <c r="N347" s="3">
        <f>0+(427.1-94.2)+(0+(-0.217821--0.048042))+0-32--0.0163199999999968</f>
        <v>300.74654100000004</v>
      </c>
      <c r="O347" s="3">
        <f>0+(451.6-107.9)+(0+(0.460632-0.110058))+0-32-0.0326400000000051</f>
        <v>312.01793400000003</v>
      </c>
      <c r="P347" s="3">
        <f>0+(486.1-129.2)+(0+(-0.247911--0.065892))+0-32--0.0163199999999968</f>
        <v>324.73430100000002</v>
      </c>
      <c r="Q347" s="3">
        <f>0+(473-106.5)+(0+(-0.48246--0.10863))+0-32--0.0326400000000051</f>
        <v>334.15881000000002</v>
      </c>
      <c r="R347" s="3">
        <f>0+(442.9-102.1)+(0+(-0.451758--0.104142))+0-31--0.0316200000000049</f>
        <v>309.48400399999997</v>
      </c>
      <c r="S347" s="3">
        <f>0+(408.6-78.7)+(0+(-0.208386--0.040137))+0-32--0.0163199999999968</f>
        <v>297.74807100000004</v>
      </c>
      <c r="T347" s="3">
        <f>0+(417.5-91.8)+(0+(-0.42585--0.093636))+0-32--0.0326400000000051</f>
        <v>293.40042599999998</v>
      </c>
      <c r="U347" s="3">
        <f>0+(453.2-109.8)+(0+(0.462264-0.111996))+0-32-0.0326400000000051</f>
        <v>311.71762799999999</v>
      </c>
      <c r="V347" s="3">
        <f>36.1+(435.1-122.5)+(-0.073644+(-0.887604--0.2499))+0-33--0.0673199999999986</f>
        <v>315.05597200000005</v>
      </c>
      <c r="W347" s="3">
        <f>94.6+(316.9-91.8)+(-0.192984+(-0.646476--0.187272))+0-33--0.0673199999999986</f>
        <v>286.1151319999999</v>
      </c>
      <c r="X347" s="3">
        <f>126.2+(354.2-116.1)+(-0.257448+(-0.722568--0.236844))+0-33--0.0673199999999986</f>
        <v>330.62414799999999</v>
      </c>
      <c r="Y347" s="3">
        <f>140.2+(373.8-143.6)+(-0.35751+(-0.95319--0.36618))+0-31--0.0790499999999955</f>
        <v>338.53452999999996</v>
      </c>
      <c r="Z347" s="3">
        <f>19.2+(383.9-82.9)+(-0.058752+(-1.174734--0.253674))+0-32--0.0979200000000037</f>
        <v>287.318108</v>
      </c>
      <c r="AA347" s="3">
        <f>0+(363.4-49.7)+(0+(-0.185334--0.025347))+0-32--0.0163199999999968</f>
        <v>281.556333</v>
      </c>
      <c r="AB347" s="3">
        <f>0+(396.4-70.9)+(0+(-0.808656--0.144636))+0-32--0.0652799999999986</f>
        <v>292.90125999999998</v>
      </c>
      <c r="AC347" s="3">
        <f>0+(386.1-95.1)+(0+(-0.984555--0.242505))+0-32--0.0815999999999954</f>
        <v>258.33954999999997</v>
      </c>
      <c r="AD347">
        <f t="shared" si="5"/>
        <v>6556.5396330000003</v>
      </c>
      <c r="AE347" s="3">
        <f>144+(334.4-153.4)+(0+(0-0))+0-32-0</f>
        <v>293</v>
      </c>
    </row>
    <row r="348" spans="1:31" s="2" customFormat="1" x14ac:dyDescent="0.25">
      <c r="A348">
        <v>89</v>
      </c>
      <c r="B348">
        <v>12</v>
      </c>
      <c r="C348">
        <v>12</v>
      </c>
      <c r="D348">
        <v>6</v>
      </c>
      <c r="E348">
        <v>1</v>
      </c>
      <c r="F348" s="3">
        <f>0+(295.9-0)+(0+(-0.754545-0))+0-32--0.0815999999999954</f>
        <v>263.22705499999995</v>
      </c>
      <c r="G348" s="3">
        <f>0+(287-0)+(0+(-0.43911-0))+0-32--0.0489600000000018</f>
        <v>254.60984999999997</v>
      </c>
      <c r="H348" s="3">
        <f>0+(308.2-9)+(0+(-0.157182--0.00459))+0-13--0.00662999999999868</f>
        <v>286.05403799999993</v>
      </c>
      <c r="I348" s="3">
        <f>0+(292.8-0)+(0+(-0.74664-0))+0-32--0.0815999999999954</f>
        <v>260.13495999999998</v>
      </c>
      <c r="J348" s="3">
        <f>0+(290.9-0)+(0+(0.741795-0))+0-32-0.0815999999999954</f>
        <v>259.56019500000002</v>
      </c>
      <c r="K348" s="3">
        <f>0+(280.6-0)+(0+(0.286212-0))+0-32-0.0326400000000051</f>
        <v>248.85357199999999</v>
      </c>
      <c r="L348" s="3">
        <f>0+(274.8-0)+(0+(-0.140148-0))+0-32--0.0163199999999968</f>
        <v>242.67617200000001</v>
      </c>
      <c r="M348" s="3">
        <f>0+(353.9-77.3)+(0+(0.180489-0.039423))+0-32-0.0163199999999968</f>
        <v>244.72474599999998</v>
      </c>
      <c r="N348" s="3">
        <f>0+(511.2-170.4)+(0+(0.521424-0.173808))+0-32-0.0326400000000051</f>
        <v>309.11497599999996</v>
      </c>
      <c r="O348" s="3">
        <f>0+(437.1-112.9)+(0+(0-0))+0-32-0</f>
        <v>292.20000000000005</v>
      </c>
      <c r="P348" s="3">
        <f>0+(366-49.1)+(0+(0.37332-0.050082))+0-32-0.0326400000000051</f>
        <v>285.19059799999997</v>
      </c>
      <c r="Q348" s="3">
        <f>0+(345.1-19.2)+(0+(0.176001-0.009792))+0-32-0.0163199999999968</f>
        <v>294.04988900000001</v>
      </c>
      <c r="R348" s="3">
        <f>0+(342.8-38.3)+(0+(-0.349656--0.039066))+0-32--0.0326400000000051</f>
        <v>272.22205000000002</v>
      </c>
      <c r="S348" s="3">
        <f>0+(334.5-32.8)+(0+(-1.02357--0.100368))+0-33--0.100980000000004</f>
        <v>267.87777799999998</v>
      </c>
      <c r="T348" s="3">
        <f>0+(349-48.8)+(0+(-0.71196--0.099552))+0-32--0.0652799999999986</f>
        <v>267.65287199999995</v>
      </c>
      <c r="U348" s="3">
        <f>0+(313.6-29.5)+(0+(0-0))+0-33-0</f>
        <v>251.10000000000002</v>
      </c>
      <c r="V348" s="3">
        <f>0+(289.4-11.5)+(0+(-0.295188--0.01173))+0-32--0.0326400000000051</f>
        <v>245.649182</v>
      </c>
      <c r="W348" s="3">
        <f>0+(263.1-15)+(0+(0.134181-0.00765))+0-32-0.0163199999999968</f>
        <v>216.21021100000002</v>
      </c>
      <c r="X348" s="3">
        <f>0+(374-86.3)+(0+(-0.19074--0.044013))+0-32--0.0163199999999968</f>
        <v>255.569593</v>
      </c>
      <c r="Y348" s="3">
        <f>0+(387.1-86.2)+(0+(-1.184526--0.263772))+0-32--0.0979200000000037</f>
        <v>268.07716600000003</v>
      </c>
      <c r="Z348" s="3">
        <f>0+(341-60.9)+(0+(-0.34782--0.062118))+0-32--0.0326400000000051</f>
        <v>247.84693800000002</v>
      </c>
      <c r="AA348" s="3">
        <f>0+(379.7-73.1)+(0+(-0.580941--0.111843))+0-30--0.0459000000000017</f>
        <v>276.17680200000007</v>
      </c>
      <c r="AB348" s="3">
        <f>0+(357.6-72.5)+(0+(-0.91188--0.184875))+0-32--0.0815999999999954</f>
        <v>252.45459500000001</v>
      </c>
      <c r="AC348" s="3">
        <f>0+(308.8-46)+(0+(-0.78744--0.1173))+0-28--0.0713999999999959</f>
        <v>234.20125999999999</v>
      </c>
      <c r="AD348">
        <f t="shared" si="5"/>
        <v>6295.4344979999996</v>
      </c>
      <c r="AE348" s="3">
        <f>0+(389.4-89.8)+(0+(0-0))+0-32-0</f>
        <v>267.59999999999997</v>
      </c>
    </row>
    <row r="349" spans="1:31" s="2" customFormat="1" x14ac:dyDescent="0.25">
      <c r="A349">
        <v>89</v>
      </c>
      <c r="B349">
        <v>12</v>
      </c>
      <c r="C349">
        <v>13</v>
      </c>
      <c r="D349">
        <v>7</v>
      </c>
      <c r="E349">
        <v>1</v>
      </c>
      <c r="F349" s="3">
        <f>0+(282.7-0)+(0+(-0.720885-0))+0-32--0.0815999999999954</f>
        <v>250.06071499999999</v>
      </c>
      <c r="G349" s="3">
        <f>0+(271.2-6.8)+(0+(-0.414936--0.010404))+0-32--0.0489600000000018</f>
        <v>232.04442799999995</v>
      </c>
      <c r="H349" s="3">
        <f>0+(258.7-0)+(0+(-0.527748-0))+0-33--0.0673199999999986</f>
        <v>225.23957200000001</v>
      </c>
      <c r="I349" s="3">
        <f>0+(292.5-46.9)+(0+(0.447525-0.071757))+0-32-0.0489600000000018</f>
        <v>213.92680799999999</v>
      </c>
      <c r="J349" s="3">
        <f>0+(277.3-27.6)+(0+(0.141423-0.014076))+0-30-0.015299999999997</f>
        <v>219.81204700000001</v>
      </c>
      <c r="K349" s="3">
        <f>0+(283.3-26.4)+(0+(0.288966-0.026928))+0-32-0.0326400000000051</f>
        <v>225.12939800000004</v>
      </c>
      <c r="L349" s="3">
        <f>0+(245.9-0)+(0+(-0.501636-0))+0-31--0.0632399999999986</f>
        <v>214.46160400000002</v>
      </c>
      <c r="M349" s="3">
        <f>0+(242-0)+(0+(0.12342-0))+0-31-0.0158099999999969</f>
        <v>211.10761000000002</v>
      </c>
      <c r="N349" s="3">
        <f>0+(274.8-0)+(0+(0-0))+0-32-0</f>
        <v>242.8</v>
      </c>
      <c r="O349" s="3">
        <f>0+(288-0)+(0+(0-0))+0-32-0</f>
        <v>256</v>
      </c>
      <c r="P349" s="3">
        <f>0+(282.5-0)+(0+(0.144075-0))+0-31-0.0158099999999969</f>
        <v>251.628265</v>
      </c>
      <c r="Q349" s="3">
        <f>0+(293.5-0)+(0+(0-0))+0-31-0</f>
        <v>262.5</v>
      </c>
      <c r="R349" s="3">
        <f>0+(275.3-14.7)+(0+(0-0))+0-32-0</f>
        <v>228.60000000000002</v>
      </c>
      <c r="S349" s="3">
        <f>0+(278-18.5)+(0+(0-0))+0-32-0</f>
        <v>227.5</v>
      </c>
      <c r="T349" s="3">
        <f>0+(262.2-23.4)+(0+(0-0))+0-32-0</f>
        <v>206.79999999999998</v>
      </c>
      <c r="U349" s="3">
        <f>0+(250.8-0)+(0+(0-0))+0-32-0</f>
        <v>218.8</v>
      </c>
      <c r="V349" s="3">
        <f>0+(269.8-13.9)+(0+(0-0))+0-32-0</f>
        <v>223.9</v>
      </c>
      <c r="W349" s="3">
        <f>0+(241-30)+(0+(0-0))+0-32-0</f>
        <v>179</v>
      </c>
      <c r="X349" s="3">
        <f>0+(252.9-50)+(0+(0-0))+0-32-0</f>
        <v>170.9</v>
      </c>
      <c r="Y349" s="3">
        <f>0+(259-30)+(0+(0-0))+0-32-0</f>
        <v>197</v>
      </c>
      <c r="Z349" s="3">
        <f>0+(257.8-30)+(0+(0-0))+0-32-0</f>
        <v>195.8</v>
      </c>
      <c r="AA349" s="3">
        <f>0+(284.6-52.7)+(0+(0-0))+0-32-0</f>
        <v>199.90000000000003</v>
      </c>
      <c r="AB349" s="3">
        <f>0+(296.5-25.9)+(0+(0-0))+0-32-0</f>
        <v>238.60000000000002</v>
      </c>
      <c r="AC349" s="3">
        <f>0+(269.6-20)+(0+(0-0))+0-32-0</f>
        <v>217.60000000000002</v>
      </c>
      <c r="AD349">
        <f t="shared" si="5"/>
        <v>5309.1104470000009</v>
      </c>
      <c r="AE349" s="3">
        <f>0+(282.3-0)+(0+(0-0))+0-32-0</f>
        <v>250.3</v>
      </c>
    </row>
    <row r="350" spans="1:31" s="2" customFormat="1" x14ac:dyDescent="0.25">
      <c r="A350">
        <v>89</v>
      </c>
      <c r="B350">
        <v>12</v>
      </c>
      <c r="C350">
        <v>14</v>
      </c>
      <c r="D350">
        <v>1</v>
      </c>
      <c r="E350">
        <v>1</v>
      </c>
      <c r="F350" s="3">
        <f>0+(260.5-0)+(0+(-0.398565-0))+0-32--0.0489600000000018</f>
        <v>228.15039499999997</v>
      </c>
      <c r="G350" s="3">
        <f>0+(264-0)+(0+(0.40392-0))+0-32-0.0489600000000018</f>
        <v>232.35496000000003</v>
      </c>
      <c r="H350" s="3">
        <f>0+(262.1-0)+(0+(0-0))+0-32-0</f>
        <v>230.10000000000002</v>
      </c>
      <c r="I350" s="3">
        <f>0+(255.7-0)+(0+(0.652035-0))+0-32-0.0815999999999954</f>
        <v>224.27043499999999</v>
      </c>
      <c r="J350" s="3">
        <f>0+(249.9-0)+(0+(0.764694-0))+0-32-0.0979200000000037</f>
        <v>218.56677399999998</v>
      </c>
      <c r="K350" s="3">
        <f>0+(289.3-39.6)+(0+(0-0))+0-32-0</f>
        <v>217.70000000000002</v>
      </c>
      <c r="L350" s="3">
        <f>0+(359.1-98.6)+(0+(0-0))+0-32-0</f>
        <v>228.5</v>
      </c>
      <c r="M350" s="3">
        <f>0+(416.3-132.9)+(0+(0-0))+0-32-0</f>
        <v>251.39999999999998</v>
      </c>
      <c r="N350" s="3">
        <f>0+(514.7-196.7)+(0+(0-0))+0-32-0</f>
        <v>286.00000000000006</v>
      </c>
      <c r="O350" s="3">
        <f>0+(484.2-163.3)+(0+(0-0))+0-32-0</f>
        <v>288.89999999999998</v>
      </c>
      <c r="P350" s="3">
        <f>0+(530.8-201.4)+(0+(0-0))+0-33-0</f>
        <v>296.39999999999998</v>
      </c>
      <c r="Q350" s="3">
        <f>0+(534.9-203.2)+(0+(0-0))+0-33-0</f>
        <v>298.7</v>
      </c>
      <c r="R350" s="3">
        <f>0+(583.2-228.1)+(0+(0-0))+0-33-0</f>
        <v>322.10000000000002</v>
      </c>
      <c r="S350" s="3">
        <f>0+(634.6-279.1)+(0+(0-0))+0-33-0</f>
        <v>322.5</v>
      </c>
      <c r="T350" s="3">
        <f>0+(674-316)+(0+(0-0))+0-32-0</f>
        <v>326</v>
      </c>
      <c r="U350" s="3">
        <f>0+(677.8-327.8)+(0+(0-0))+0-32-0</f>
        <v>317.99999999999994</v>
      </c>
      <c r="V350" s="3">
        <f>0+(633-287.3)+(0+(0-0))+0-33-0</f>
        <v>312.7</v>
      </c>
      <c r="W350" s="3">
        <f>0+(506.6-192)+(0+(0-0))+0-33-0</f>
        <v>281.60000000000002</v>
      </c>
      <c r="X350" s="3">
        <f>0+(489.6-159.8)+(0+(0-0))+0-33-0</f>
        <v>296.8</v>
      </c>
      <c r="Y350" s="3">
        <f>0+(504.6-172.3)+(0+(0-0))+0-32-0</f>
        <v>300.3</v>
      </c>
      <c r="Z350" s="3">
        <f>0+(472.4-150.3)+(0+(0-0))+0-33-0</f>
        <v>289.09999999999997</v>
      </c>
      <c r="AA350" s="3">
        <f>0+(467-147.5)+(0+(0-0))+0-33-0</f>
        <v>286.5</v>
      </c>
      <c r="AB350" s="3">
        <f>0+(534.1-209.2)+(0+(0-0))+0-33-0</f>
        <v>291.90000000000003</v>
      </c>
      <c r="AC350" s="3">
        <f>0+(488.9-186.2)+(0+(0-0))+0-33-0</f>
        <v>269.7</v>
      </c>
      <c r="AD350">
        <f t="shared" si="5"/>
        <v>6618.2425640000001</v>
      </c>
      <c r="AE350" s="3">
        <f>0+(491.7-165.5)+(0+(0-0))+0-33-0</f>
        <v>293.2</v>
      </c>
    </row>
    <row r="351" spans="1:31" s="2" customFormat="1" x14ac:dyDescent="0.25">
      <c r="A351">
        <v>89</v>
      </c>
      <c r="B351">
        <v>12</v>
      </c>
      <c r="C351">
        <v>15</v>
      </c>
      <c r="D351">
        <v>2</v>
      </c>
      <c r="E351">
        <v>1</v>
      </c>
      <c r="F351" s="3">
        <f>0+(407-118.8)+(0+(0-0))+0-32-0</f>
        <v>256.2</v>
      </c>
      <c r="G351" s="3">
        <f>0+(355.9-90.2)+(0+(0-0))+0-32-0</f>
        <v>233.7</v>
      </c>
      <c r="H351" s="3">
        <f>0+(411.8-141.6)+(0+(0-0))+0-32-0</f>
        <v>238.20000000000005</v>
      </c>
      <c r="I351" s="3">
        <f>0+(390.3-126.8)+(0+(0-0))+0-32-0</f>
        <v>231.5</v>
      </c>
      <c r="J351" s="3">
        <f>0+(385.2-123.1)+(0+(0-0))+0-32-0</f>
        <v>230.10000000000002</v>
      </c>
      <c r="K351" s="3">
        <f>0+(377.6-113.2)+(0+(0-0))+0-32-0</f>
        <v>232.40000000000003</v>
      </c>
      <c r="L351" s="3">
        <f>0+(367.4-97.9)+(0+(0-0))+0-32-0</f>
        <v>237.5</v>
      </c>
      <c r="M351" s="3">
        <f>0+(368.1-91.9)+(0+(0-0))+0-32-0</f>
        <v>244.20000000000005</v>
      </c>
      <c r="N351" s="3">
        <f>0+(511.4-208.9)+(0+(0-0))+0-32-0</f>
        <v>270.5</v>
      </c>
      <c r="O351" s="3">
        <f>7.6+(552.3-237.4)+(0+(0-0))+0-32-0</f>
        <v>290.5</v>
      </c>
      <c r="P351" s="3">
        <f>2.9+(541.2-226.4)+(0+(0-0))+0-32-0</f>
        <v>285.70000000000005</v>
      </c>
      <c r="Q351" s="3">
        <f>6.7+(581.2-245.3)+(0+(0-0))+0-32-0</f>
        <v>310.60000000000002</v>
      </c>
      <c r="R351" s="3">
        <f>0+(620.6-266.3)+(0+(-1.266024--0.543252))+0-32--0.0652799999999986</f>
        <v>321.64250799999996</v>
      </c>
      <c r="S351" s="3">
        <f>0+(536.7-222.8)+(0+(-0.273717--0.113628))+0-33--0.0168299999999967</f>
        <v>280.75674099999998</v>
      </c>
      <c r="T351" s="3">
        <f>2.8+(507.6-183.2)+(-0.004284+(-0.776628--0.280296))+0-33--0.0504900000000019</f>
        <v>293.74987400000009</v>
      </c>
      <c r="U351" s="3">
        <f>62.3+(498.4-236.1)+(-0.063546+(-0.508368--0.240822))+0-32--0.0326400000000051</f>
        <v>292.30154799999997</v>
      </c>
      <c r="V351" s="3">
        <f>0+(584.3-250.5)+(0+(-0.595986--0.25551))+0-32--0.0326400000000051</f>
        <v>301.49216399999995</v>
      </c>
      <c r="W351" s="3">
        <f>0+(600.4-278)+(0+(-1.837224--0.85068))+0-30--0.0918000000000035</f>
        <v>291.50525599999997</v>
      </c>
      <c r="X351" s="3">
        <f>0+(514.2-185.3)+(0+(-0.524484--0.189006))+0-33--0.0336600000000053</f>
        <v>295.59818200000001</v>
      </c>
      <c r="Y351" s="3">
        <f>0+(516.8-186)+(0+(-1.31784--0.4743))+0-33--0.0841499999999952</f>
        <v>297.04060999999996</v>
      </c>
      <c r="Z351" s="3">
        <f>0+(580.3-245.4)+(0+(-1.479765--0.62577))+0-33--0.0841499999999952</f>
        <v>301.130155</v>
      </c>
      <c r="AA351" s="3">
        <f>0+(558.4-227.6)+(0+(-0.854352--0.348228))+0-33--0.0504900000000019</f>
        <v>297.34436599999998</v>
      </c>
      <c r="AB351" s="3">
        <f>0+(460.1-158.5)+(0+(-0.234651--0.080835))+0-33--0.0168299999999967</f>
        <v>268.46301399999999</v>
      </c>
      <c r="AC351" s="3">
        <f>0+(336.8-71)+(0+(-0.85884--0.18105))+0-31--0.0790499999999955</f>
        <v>234.20125999999999</v>
      </c>
      <c r="AD351">
        <f t="shared" si="5"/>
        <v>6536.3256780000002</v>
      </c>
      <c r="AE351" s="3">
        <f>0+(524.7-200)+(0+(0-0))+0-33-0</f>
        <v>291.70000000000005</v>
      </c>
    </row>
    <row r="352" spans="1:31" s="2" customFormat="1" x14ac:dyDescent="0.25">
      <c r="A352">
        <v>89</v>
      </c>
      <c r="B352">
        <v>12</v>
      </c>
      <c r="C352">
        <v>16</v>
      </c>
      <c r="D352">
        <v>3</v>
      </c>
      <c r="E352">
        <v>1</v>
      </c>
      <c r="F352" s="3">
        <f>0+(291.4-44)+(0+(-0.445842--0.06732))+0-33--0.0504900000000019</f>
        <v>214.07196799999997</v>
      </c>
      <c r="G352" s="3">
        <f>0+(269.8-27.7)+(0+(-0.550392--0.056508))+0-31--0.0632399999999986</f>
        <v>210.66935600000002</v>
      </c>
      <c r="H352" s="3">
        <f>0+(326.2-85.5)+(0+(0.166362-0.043605))+0-33-0.0168299999999967</f>
        <v>207.805927</v>
      </c>
      <c r="I352" s="3">
        <f>0+(362.8-110.2)+(0+(0.185028-0.056202))+0-33-0.0168299999999967</f>
        <v>219.71199600000003</v>
      </c>
      <c r="J352" s="3">
        <f>0+(340-94.7)+(0+(-0.3468--0.096594))+0-33--0.0336600000000053</f>
        <v>212.08345400000002</v>
      </c>
      <c r="K352" s="3">
        <f>0+(365.8-111)+(0+(0.93279-0.28305))+0-33-0.0841499999999952</f>
        <v>222.36559000000003</v>
      </c>
      <c r="L352" s="3">
        <f>0+(437.6-167.2)+(0+(0-0))+0-33-0</f>
        <v>237.40000000000003</v>
      </c>
      <c r="M352" s="3">
        <f>0+(467-181.8)+(0+(0-0))+0-33-0</f>
        <v>252.2</v>
      </c>
      <c r="N352" s="3">
        <f>0+(449.4-150.7)+(0+(0-0))+0-33-0</f>
        <v>265.7</v>
      </c>
      <c r="O352" s="3">
        <f>0+(428.2-150)+(0+(0-0))+0-32-0</f>
        <v>246.2</v>
      </c>
      <c r="P352" s="3">
        <f>0+(425.4-142)+(0+(0-0))+0-33-0</f>
        <v>250.39999999999998</v>
      </c>
      <c r="Q352" s="3">
        <f>0+(430.3-144)+(0+(0-0))+0-31-0</f>
        <v>255.3</v>
      </c>
      <c r="R352" s="3">
        <f>0+(453-141.7)+(0+(0-0))+0-32-0</f>
        <v>279.3</v>
      </c>
      <c r="S352" s="3">
        <f>0+(437.5-127.5)+(0+(-0.223125--0.065025))+0-33--0.0168299999999967</f>
        <v>276.85872999999998</v>
      </c>
      <c r="T352" s="3">
        <f>0+(405.6-97.3)+(0+(-0.413712--0.099246))+0-33--0.0336600000000053</f>
        <v>275.01919400000003</v>
      </c>
      <c r="U352" s="3">
        <f>0+(432-131.4)+(0+(0.66096-0.201042))+0-32-0.0489600000000018</f>
        <v>269.01095800000002</v>
      </c>
      <c r="V352" s="3">
        <f>0+(441.8-150.4)+(0+(-0.901272--0.306816))+0-30--0.0611999999999987</f>
        <v>260.86674399999998</v>
      </c>
      <c r="W352" s="3">
        <f>0+(461.8-156)+(0+(-1.413108--0.47736))+0-31--0.0948600000000036</f>
        <v>273.959112</v>
      </c>
      <c r="X352" s="3">
        <f>0+(358.4-48.1)+(0+(-0.365568--0.049062))+0-29--0.0295800000000046</f>
        <v>281.01307399999996</v>
      </c>
      <c r="Y352" s="3">
        <f>0+(358.5-57.6)+(0+(-0.548505--0.088128))+0-30--0.0459000000000017</f>
        <v>270.485523</v>
      </c>
      <c r="Z352" s="3">
        <f>0+(372.9-72.3)+(0+(-1.331253--0.258111))+0-31--0.11067</f>
        <v>268.63752799999997</v>
      </c>
      <c r="AA352" s="3">
        <f>0+(363-58.8)+(0+(-0.74052--0.119952))+0-32--0.0652799999999986</f>
        <v>271.64471199999997</v>
      </c>
      <c r="AB352" s="3">
        <f>0+(371.1-60.2)+(0+(-0.567783--0.092106))+0-32--0.0489600000000018</f>
        <v>278.47328300000004</v>
      </c>
      <c r="AC352" s="3">
        <f>0+(295.3-5.2)+(0+(-0.753015--0.01326))+0-33--0.0841499999999952</f>
        <v>256.44439500000004</v>
      </c>
      <c r="AD352">
        <f t="shared" si="5"/>
        <v>6055.6215440000033</v>
      </c>
      <c r="AE352" s="3">
        <f>0+(349.7-43.6)+(0+(0-0))+0-29-0</f>
        <v>277.09999999999997</v>
      </c>
    </row>
    <row r="353" spans="1:31" s="2" customFormat="1" x14ac:dyDescent="0.25">
      <c r="A353">
        <v>89</v>
      </c>
      <c r="B353">
        <v>12</v>
      </c>
      <c r="C353">
        <v>17</v>
      </c>
      <c r="D353">
        <v>4</v>
      </c>
      <c r="E353">
        <v>1</v>
      </c>
      <c r="F353" s="3">
        <f>0+(336.6-46.6)+(0+(-0.85833--0.11883))+0-32--0.0815999999999954</f>
        <v>257.34209999999996</v>
      </c>
      <c r="G353" s="3">
        <f>0+(369.3-83.1)+(0+(-1.130058--0.254286))+0-32--0.0979200000000037</f>
        <v>253.42214800000008</v>
      </c>
      <c r="H353" s="3">
        <f>0+(320-45.4)+(0+(-0.3264--0.046308))+0-32--0.0326400000000051</f>
        <v>242.35254800000001</v>
      </c>
      <c r="I353" s="3">
        <f>0+(261.2-4.7)+(0+(0.133212-0.002397))+0-32-0.0163199999999968</f>
        <v>224.61449499999998</v>
      </c>
      <c r="J353" s="3">
        <f>0+(251.9-0)+(0+(-0.128469-0))+0-32--0.0163199999999968</f>
        <v>219.78785100000002</v>
      </c>
      <c r="K353" s="3">
        <f>0+(269.4-4.1)+(0+(0.274788-0.004182))+0-32-0.0326400000000051</f>
        <v>233.53796599999993</v>
      </c>
      <c r="L353" s="3">
        <f>0+(409-121.4)+(0+(-0.41718--0.123828))+0-32--0.0326400000000051</f>
        <v>255.33928800000001</v>
      </c>
      <c r="M353" s="3">
        <f>0+(392.2-87.9)+(0+(-0.200022--0.044829))+0-32--0.0163199999999968</f>
        <v>272.16112699999996</v>
      </c>
      <c r="N353" s="3">
        <f>0+(367.6-42)+(0+(-0.187476--0.02142))+0-32--0.0163199999999968</f>
        <v>293.450264</v>
      </c>
      <c r="O353" s="3">
        <f>0+(340.7-12.8)+(0+(-0.347514--0.013056))+0-32--0.0326400000000051</f>
        <v>295.59818200000001</v>
      </c>
      <c r="P353" s="3">
        <f>0+(362-14.5)+(0+(-0.55386--0.022185))+0-32--0.0489600000000018</f>
        <v>315.01728500000002</v>
      </c>
      <c r="Q353" s="3">
        <f>0+(379-43)+(0+(-0.19329--0.02193))+0-32--0.0163199999999968</f>
        <v>303.84496000000001</v>
      </c>
      <c r="R353" s="3">
        <f>0+(342.6-18.2)+(0+(-0.349452--0.018564))+0-32--0.0326400000000051</f>
        <v>292.10175200000003</v>
      </c>
      <c r="S353" s="3">
        <f>0+(332.8-15.3)+(0+(-0.339456--0.015606))+0-32--0.0326400000000051</f>
        <v>285.20879000000002</v>
      </c>
      <c r="T353" s="3">
        <f>0+(346.1-29.2)+(0+(-0.353022--0.029784))+0-33--0.0336600000000053</f>
        <v>283.61042200000003</v>
      </c>
      <c r="U353" s="3">
        <f>0+(335.6-20.7)+(0+(-0.171156--0.010557))+0-32--0.0163199999999968</f>
        <v>282.75572100000005</v>
      </c>
      <c r="V353" s="3">
        <f>0+(325.2-10.3)+(0+(0-0))+0-32-0</f>
        <v>282.89999999999998</v>
      </c>
      <c r="W353" s="3">
        <f>0+(293.4-0)+(0+(-0.74817-0))+0-32--0.0815999999999954</f>
        <v>260.73342999999994</v>
      </c>
      <c r="X353" s="3">
        <f>0+(311.7-0)+(0+(-0.158967-0))+0-33--0.0168299999999967</f>
        <v>278.55786299999994</v>
      </c>
      <c r="Y353" s="3">
        <f>0+(308.3-0)+(0+(-0.628932-0))+0-32--0.0652799999999986</f>
        <v>275.73634799999996</v>
      </c>
      <c r="Z353" s="3">
        <f>0+(297.8-0)+(0+(0.455634-0))+0-33-0.0504900000000019</f>
        <v>265.20514399999996</v>
      </c>
      <c r="AA353" s="3">
        <f>0+(298.2-0)+(0+(0.152082-0))+0-33-0.0168299999999967</f>
        <v>265.33525200000003</v>
      </c>
      <c r="AB353" s="3">
        <f>0+(329.8-10.3)+(0+(-0.672792--0.021012))+0-33--0.0673199999999986</f>
        <v>285.91554000000002</v>
      </c>
      <c r="AC353" s="3">
        <f>0+(295.4-2.3)+(0+(-0.602616--0.004692))+0-32--0.0652799999999986</f>
        <v>260.56735599999996</v>
      </c>
      <c r="AD353">
        <f t="shared" si="5"/>
        <v>6485.095832</v>
      </c>
      <c r="AE353" s="3">
        <f>0+(314.4-0)+(0+(0-0))+0-33-0</f>
        <v>281.39999999999998</v>
      </c>
    </row>
    <row r="354" spans="1:31" s="2" customFormat="1" x14ac:dyDescent="0.25">
      <c r="A354">
        <v>89</v>
      </c>
      <c r="B354">
        <v>12</v>
      </c>
      <c r="C354">
        <v>18</v>
      </c>
      <c r="D354">
        <v>5</v>
      </c>
      <c r="E354">
        <v>1</v>
      </c>
      <c r="F354" s="3">
        <f>0+(278.4-0)+(0+(-0.425952-0))+0-32--0.0489600000000018</f>
        <v>246.02300799999998</v>
      </c>
      <c r="G354" s="3">
        <f>0+(266.9-0)+(0+(-0.680595-0))+0-32--0.0815999999999954</f>
        <v>234.301005</v>
      </c>
      <c r="H354" s="3">
        <f>0+(261.4-0)+(0+(-0.133314-0))+0-32--0.0163199999999968</f>
        <v>229.283006</v>
      </c>
      <c r="I354" s="3">
        <f>0+(265.9-0)+(0+(-0.542436-0))+0-31--0.0632399999999986</f>
        <v>234.42080399999998</v>
      </c>
      <c r="J354" s="3">
        <f>0+(260.2-0)+(0+(-0.265404-0))+0-31--0.0316200000000049</f>
        <v>228.966216</v>
      </c>
      <c r="K354" s="3">
        <f>0+(253.8-0)+(0+(-0.258876-0))+0-31--0.0316200000000049</f>
        <v>222.57274400000003</v>
      </c>
      <c r="L354" s="3">
        <f>0+(256.1-0)+(0+(0-0))+0-31-0</f>
        <v>225.10000000000002</v>
      </c>
      <c r="M354" s="3">
        <f>0+(279.7-0)+(0+(-0.142647-0))+0-31--0.0158099999999969</f>
        <v>248.57316299999997</v>
      </c>
      <c r="N354" s="3">
        <f>0+(318.3-5.7)+(0+(0.324666-0.005814))+0-31-0.0316200000000049</f>
        <v>281.88723199999998</v>
      </c>
      <c r="O354" s="3">
        <f>0+(317.6-0)+(0+(-0.161976-0))+0-31--0.0158099999999969</f>
        <v>286.45383400000003</v>
      </c>
      <c r="P354" s="3">
        <f>0+(326.2-0)+(0+(-0.499086-0))+0-31--0.0474300000000018</f>
        <v>294.74834400000003</v>
      </c>
      <c r="Q354" s="3">
        <f>0+(304.7-0)+(0+(-0.466191-0))+0-31--0.0474300000000018</f>
        <v>273.28123900000003</v>
      </c>
      <c r="R354" s="3">
        <f>0+(311.8-0)+(0+(-0.79509-0))+0-32--0.0815999999999954</f>
        <v>279.08650999999998</v>
      </c>
      <c r="S354" s="3">
        <f>0+(305.9-0)+(0+(-0.624036-0))+0-32--0.0652799999999986</f>
        <v>273.34124399999996</v>
      </c>
      <c r="T354" s="3">
        <f>0+(305.5-0)+(0+(-0.31161-0))+0-32--0.0326400000000051</f>
        <v>273.22103000000004</v>
      </c>
      <c r="U354" s="3">
        <f>0+(295.8-0)+(0+(-0.603432-0))+0-32--0.0652799999999986</f>
        <v>263.26184799999999</v>
      </c>
      <c r="V354" s="3">
        <f>0+(295.3-0)+(0+(0.150603-0))+0-32-0.0163199999999968</f>
        <v>263.43428299999999</v>
      </c>
      <c r="W354" s="3">
        <f>0+(287.5-0)+(0+(-0.5865-0))+0-33--0.0673199999999986</f>
        <v>253.98081999999999</v>
      </c>
      <c r="X354" s="3">
        <f>0+(299.8-0)+(0+(-0.305796-0))+0-13--0.0132600000000021</f>
        <v>286.50746400000003</v>
      </c>
      <c r="Y354" s="3">
        <f>0+(304.6-0)+(0+(-0.77673-0))+0-33--0.0841499999999952</f>
        <v>270.90742000000006</v>
      </c>
      <c r="Z354" s="3">
        <f>0+(299-0)+(0+(0-0))+0-33-0</f>
        <v>266</v>
      </c>
      <c r="AA354" s="3">
        <f>0+(314.4-0)+(0+(-0.320688-0))+0-31--0.0316200000000049</f>
        <v>283.11093199999999</v>
      </c>
      <c r="AB354" s="3">
        <f>0+(303-0)+(0+(-0.77265-0))+0-32--0.0815999999999954</f>
        <v>270.30894999999998</v>
      </c>
      <c r="AC354" s="3">
        <f>0+(294.8-0)+(0+(-0.300696-0))+0-32--0.0326400000000051</f>
        <v>262.53194400000001</v>
      </c>
      <c r="AD354">
        <f t="shared" si="5"/>
        <v>6251.3030400000007</v>
      </c>
      <c r="AE354" s="3">
        <f>0+(315.1-0)+(0+(0-0))+0-33-0</f>
        <v>282.10000000000002</v>
      </c>
    </row>
    <row r="355" spans="1:31" s="2" customFormat="1" x14ac:dyDescent="0.25">
      <c r="A355">
        <v>89</v>
      </c>
      <c r="B355">
        <v>12</v>
      </c>
      <c r="C355">
        <v>19</v>
      </c>
      <c r="D355">
        <v>6</v>
      </c>
      <c r="E355">
        <v>1</v>
      </c>
      <c r="F355" s="3">
        <f>0+(282.7-0)+(0+(0-0))+0-32-0</f>
        <v>250.7</v>
      </c>
      <c r="G355" s="3">
        <f>0+(277.8-0)+(0+(0-0))+0-32-0</f>
        <v>245.8</v>
      </c>
      <c r="H355" s="3">
        <f>0+(268.8-0)+(0+(0-0))+0-32-0</f>
        <v>236.8</v>
      </c>
      <c r="I355" s="3">
        <f>0+(267.7-0)+(0+(0-0))+0-32-0</f>
        <v>235.7</v>
      </c>
      <c r="J355" s="3">
        <f>0+(269-0)+(0+(0-0))+0-32-0</f>
        <v>237</v>
      </c>
      <c r="K355" s="3">
        <f>0+(264.9-0)+(0+(0-0))+0-32-0</f>
        <v>232.89999999999998</v>
      </c>
      <c r="L355" s="3">
        <f>0+(269.7-0)+(0+(0-0))+0-33-0</f>
        <v>236.7</v>
      </c>
      <c r="M355" s="3">
        <f>0+(282-0)+(0+(0-0))+0-33-0</f>
        <v>249</v>
      </c>
      <c r="N355" s="3">
        <f>0+(307.9-0)+(0+(0-0))+0-34-0</f>
        <v>273.89999999999998</v>
      </c>
      <c r="O355" s="3">
        <f>0+(316.4-0)+(0+(0-0))+0-32-0</f>
        <v>284.39999999999998</v>
      </c>
      <c r="P355" s="3">
        <f>0+(309.6-0)+(0+(0-0))+0-32-0</f>
        <v>277.60000000000002</v>
      </c>
      <c r="Q355" s="3">
        <f>0+(312.5-0)+(0+(0-0))+0-31-0</f>
        <v>281.5</v>
      </c>
      <c r="R355" s="3">
        <f>0+(291.8-0)+(0+(-0.74409-0))+0-31--0.0790499999999955</f>
        <v>260.13495999999998</v>
      </c>
      <c r="S355" s="3">
        <f>0+(297.3-5.4)+(0+(0.454869-0.008262))+0-31-0.0474300000000018</f>
        <v>261.29917699999999</v>
      </c>
      <c r="T355" s="3">
        <f>0+(311.9-17.2)+(0+(-0.477207--0.026316))+0-31--0.0474300000000018</f>
        <v>263.296539</v>
      </c>
      <c r="U355" s="3">
        <f>0+(344-37.8)+(0+(-0.52632--0.057834))+0-31--0.0474300000000018</f>
        <v>274.77894400000002</v>
      </c>
      <c r="V355" s="3">
        <f>0+(325-15)+(0+(-0.49725--0.02295))+0-31--0.0474300000000018</f>
        <v>278.57312999999999</v>
      </c>
      <c r="W355" s="3">
        <f>0+(285-0)+(0+(0-0))+0-31-0</f>
        <v>254</v>
      </c>
      <c r="X355" s="3">
        <f>0+(293.2-0)+(0+(-0.299064-0))+0-31--0.0316200000000049</f>
        <v>261.93255600000003</v>
      </c>
      <c r="Y355" s="3">
        <f>0+(282.7-0)+(0+(-1.009239-0))+0-31--0.11067</f>
        <v>250.80143100000001</v>
      </c>
      <c r="Z355" s="3">
        <f>0+(283.4-0)+(0+(-0.578136-0))+0-31--0.0632399999999986</f>
        <v>251.88510400000001</v>
      </c>
      <c r="AA355" s="3">
        <f>0+(302.5-4.3)+(0+(-0.6171--0.008772))+0-31--0.0632399999999986</f>
        <v>266.65491200000002</v>
      </c>
      <c r="AB355" s="3">
        <f>0+(336-37.5)+(0+(-0.8568--0.095625))+0-31--0.0790499999999955</f>
        <v>266.81787500000002</v>
      </c>
      <c r="AC355" s="3">
        <f>0+(315.5-32.5)+(0+(-0.64362--0.0663))+0-31--0.0632399999999986</f>
        <v>251.48592000000002</v>
      </c>
      <c r="AD355">
        <f t="shared" si="5"/>
        <v>6183.6605479999989</v>
      </c>
      <c r="AE355" s="3">
        <f>0+(289-0)+(0+(0-0))+0-32-0</f>
        <v>257</v>
      </c>
    </row>
    <row r="356" spans="1:31" s="2" customFormat="1" x14ac:dyDescent="0.25">
      <c r="A356">
        <v>89</v>
      </c>
      <c r="B356">
        <v>12</v>
      </c>
      <c r="C356">
        <v>20</v>
      </c>
      <c r="D356">
        <v>7</v>
      </c>
      <c r="E356">
        <v>1</v>
      </c>
      <c r="F356" s="3">
        <f>0+(241.3-0)+(0+(0-0))+0-31-0</f>
        <v>210.3</v>
      </c>
      <c r="G356" s="3">
        <f>0+(183.7-0)+(0+(0-0))+0-31-0</f>
        <v>152.69999999999999</v>
      </c>
      <c r="H356" s="3">
        <f>0+(195.2-0)+(0+(0-0))+0-31-0</f>
        <v>164.2</v>
      </c>
      <c r="I356" s="3">
        <f>0+(201.1-17.7)+(0+(0-0))+0-31-0</f>
        <v>152.4</v>
      </c>
      <c r="J356" s="3">
        <f>0+(199.8-12.8)+(0+(0-0))+0-31-0</f>
        <v>156</v>
      </c>
      <c r="K356" s="3">
        <f>0+(215.4-22.5)+(0+(0-0))+0-31-0</f>
        <v>161.9</v>
      </c>
      <c r="L356" s="3">
        <f>0+(192.3-7.2)+(0+(0-0))+0-31-0</f>
        <v>154.10000000000002</v>
      </c>
      <c r="M356" s="3">
        <f>0+(183.2-0)+(0+(0-0))+0-31-0</f>
        <v>152.19999999999999</v>
      </c>
      <c r="N356" s="3">
        <f>0+(182.8-2.9)+(0+(0-0))+0-31-0</f>
        <v>148.9</v>
      </c>
      <c r="O356" s="3">
        <f>0+(208.7-37.4)+(0+(0-0))+0-31-0</f>
        <v>140.29999999999998</v>
      </c>
      <c r="P356" s="3">
        <f>0+(228.5-62.3)+(0+(0-0))+0-31-0</f>
        <v>135.19999999999999</v>
      </c>
      <c r="Q356" s="3">
        <f>0+(221.8-62.3)+(0+(0-0))+0-31-0</f>
        <v>128.5</v>
      </c>
      <c r="R356" s="3">
        <f>0+(255.2-76.1)+(0+(-0.65076--0.194055))+0-31--0.0790499999999955</f>
        <v>147.72234499999999</v>
      </c>
      <c r="S356" s="3">
        <f>0+(259.4-76.6)+(0+(-0.529176--0.156264))+0-31--0.0632399999999986</f>
        <v>151.49032799999998</v>
      </c>
      <c r="T356" s="3">
        <f>0+(326.4-141.1)+(0+(-0.332928--0.143922))+0-31--0.0316200000000049</f>
        <v>154.14261399999998</v>
      </c>
      <c r="U356" s="3">
        <f>0+(347.2-155.1)+(0+(-0.708288--0.316404))+0-31--0.0632399999999986</f>
        <v>160.771356</v>
      </c>
      <c r="V356" s="3">
        <f>0+(281.2-95)+(0+(0.286824-0.0969))+0-31-0.0316200000000049</f>
        <v>155.35830399999998</v>
      </c>
      <c r="W356" s="3">
        <f>0+(201.9-60.5)+(0+(-0.205938--0.06171))+0-31--0.0316200000000049</f>
        <v>110.28739200000001</v>
      </c>
      <c r="X356" s="3">
        <f>0+(280.9-131.4)+(0+(0-0))+0-31-0</f>
        <v>118.49999999999997</v>
      </c>
      <c r="Y356" s="3">
        <f>0+(226.1-50.8)+(0+(-0.691866--0.155448))+0-31--0.0948600000000036</f>
        <v>143.85844200000003</v>
      </c>
      <c r="Z356" s="3">
        <f>0+(196.9-22.3)+(0+(-0.200838--0.022746))+0-31--0.0316200000000049</f>
        <v>143.45352800000001</v>
      </c>
      <c r="AA356" s="3">
        <f>0+(217.2-21.7)+(0+(-0.110772--0.011067))+0-31--0.0158099999999969</f>
        <v>164.41610499999999</v>
      </c>
      <c r="AB356" s="3">
        <f>0+(257.4-54.6)+(0+(-0.262548--0.055692))+0-31--0.0316200000000049</f>
        <v>171.624764</v>
      </c>
      <c r="AC356" s="3">
        <f>0+(263.7-58)+(0+(-0.537948--0.11832))+0-31--0.0632399999999986</f>
        <v>174.34361200000001</v>
      </c>
      <c r="AD356">
        <f t="shared" si="5"/>
        <v>3652.6687900000002</v>
      </c>
      <c r="AE356" s="3">
        <f>0+(240.6-36.1)+(0+(0-0))+0-32-0</f>
        <v>172.5</v>
      </c>
    </row>
    <row r="357" spans="1:31" s="2" customFormat="1" x14ac:dyDescent="0.25">
      <c r="A357">
        <v>89</v>
      </c>
      <c r="B357">
        <v>12</v>
      </c>
      <c r="C357">
        <v>21</v>
      </c>
      <c r="D357">
        <v>1</v>
      </c>
      <c r="E357">
        <v>1</v>
      </c>
      <c r="F357" s="3">
        <f>0+(298.4-42.3)+(0+(-0.76092--0.107865))+0-32--0.0815999999999954</f>
        <v>223.52854499999998</v>
      </c>
      <c r="G357" s="3">
        <f>0+(235-5.7)+(0+(-0.2397--0.005814))+0-33--0.0336600000000053</f>
        <v>196.099774</v>
      </c>
      <c r="H357" s="3">
        <f>0+(235.9-0)+(0+(-0.360927-0))+0-32--0.0489600000000018</f>
        <v>203.588033</v>
      </c>
      <c r="I357" s="3">
        <f>0+(228.7-0)+(0+(0.349911-0))+0-33-0.0504900000000019</f>
        <v>195.99942099999998</v>
      </c>
      <c r="J357" s="3">
        <f>0+(226.5-0)+(0+(-0.115515-0))+0-32--0.0163199999999968</f>
        <v>194.40080500000002</v>
      </c>
      <c r="K357" s="3">
        <f>0+(237.5-0)+(0+(0-0))+0-33-0</f>
        <v>204.5</v>
      </c>
      <c r="L357" s="3">
        <f>0+(313.8-64.2)+(0+(-0.160038--0.032742))+0-33--0.0168299999999967</f>
        <v>216.48953400000002</v>
      </c>
      <c r="M357" s="3">
        <f>0+(433-142.3)+(0+(0-0))+0-33-0</f>
        <v>257.7</v>
      </c>
      <c r="N357" s="3">
        <f>0+(543.9-218.6)+(0+(0-0))+0-33-0</f>
        <v>292.29999999999995</v>
      </c>
      <c r="O357" s="3">
        <f>22+(554.5-265.3)+(0+(0-0))+0-33-0</f>
        <v>278.2</v>
      </c>
      <c r="P357" s="3">
        <f>56+(523.8-273.5)+(0.05712+(0.534276-0.27897))+0-33-0.0336600000000053</f>
        <v>273.57876599999997</v>
      </c>
      <c r="Q357" s="3">
        <f>68+(522.4-272.2)+(-0.06936+(-0.532848--0.277644))+0-33--0.0336600000000053</f>
        <v>284.90909599999998</v>
      </c>
      <c r="R357" s="3">
        <f>20+(521.6-225.1)+(-0.051+(-1.33008--0.574005))+0-32--0.0815999999999954</f>
        <v>283.77452499999998</v>
      </c>
      <c r="S357" s="3">
        <f>0+(516.2-213.8)+(0+(-1.053048--0.436152))+0-31--0.0632399999999986</f>
        <v>270.84634400000004</v>
      </c>
      <c r="T357" s="3">
        <f>0+(510-209.5)+(0+(0-0))+0-31-0</f>
        <v>269.5</v>
      </c>
      <c r="U357" s="3">
        <f>0+(530.7-218.1)+(0+(-0.270657--0.111231))+0-33--0.0168299999999967</f>
        <v>279.457404</v>
      </c>
      <c r="V357" s="3">
        <f>0+(501-193.7)+(0+(0.25551-0.098787))+0-33-0.0168299999999967</f>
        <v>274.43989300000004</v>
      </c>
      <c r="W357" s="3">
        <f>0+(390.6-99.7)+(0+(-0.199206--0.050847))+0-33--0.0168299999999967</f>
        <v>257.76847099999998</v>
      </c>
      <c r="X357" s="3">
        <f>0+(349-37.3)+(0+(-0.35598--0.038046))+0-33--0.0336600000000053</f>
        <v>278.41572600000001</v>
      </c>
      <c r="Y357" s="3">
        <f>0+(399-81.2)+(0+(-0.20349--0.041412))+0-33--0.0168299999999967</f>
        <v>284.65475199999997</v>
      </c>
      <c r="Z357" s="3">
        <f>0+(318-4.5)+(0+(-0.32436--0.00459))+0-33--0.0336600000000053</f>
        <v>280.21388999999999</v>
      </c>
      <c r="AA357" s="3">
        <f>0+(363.3-20.7)+(0+(-0.555849--0.031671))+0-33--0.0504900000000019</f>
        <v>309.12631200000004</v>
      </c>
      <c r="AB357" s="3">
        <f>0+(365.9-37.2)+(0+(-1.306263--0.132804))+0-33--0.11781</f>
        <v>294.64435100000003</v>
      </c>
      <c r="AC357" s="3">
        <f>0+(320.2-3.5)+(0+(-0.653208--0.00714))+0-33--0.0673199999999986</f>
        <v>283.12125199999997</v>
      </c>
      <c r="AD357">
        <f t="shared" si="5"/>
        <v>6187.2568940000001</v>
      </c>
      <c r="AE357" s="3">
        <f>0+(382-43.7)+(0+(0-0))+0-32-0</f>
        <v>306.3</v>
      </c>
    </row>
    <row r="358" spans="1:31" s="2" customFormat="1" x14ac:dyDescent="0.25">
      <c r="A358">
        <v>89</v>
      </c>
      <c r="B358">
        <v>12</v>
      </c>
      <c r="C358">
        <v>22</v>
      </c>
      <c r="D358">
        <v>2</v>
      </c>
      <c r="E358">
        <v>1</v>
      </c>
      <c r="F358" s="3">
        <f>0+(279.1-0)+(0+(-0.711705-0))+0-32--0.0815999999999954</f>
        <v>246.46989500000004</v>
      </c>
      <c r="G358" s="3">
        <f>0+(293.6-2.5)+(0+(-0.898416--0.00765))+0-33--0.100980000000004</f>
        <v>257.31021400000003</v>
      </c>
      <c r="H358" s="3">
        <f>0+(298.3-9.4)+(0+(-0.608532--0.019176))+0-33--0.0673199999999986</f>
        <v>255.37796400000002</v>
      </c>
      <c r="I358" s="3">
        <f>0+(269.8-1.1)+(0+(0.412794-0.001683))+0-33-0.0504900000000019</f>
        <v>236.060621</v>
      </c>
      <c r="J358" s="3">
        <f>0+(262.4-0)+(0+(-0.401472-0))+0-33--0.0504900000000019</f>
        <v>229.04901799999996</v>
      </c>
      <c r="K358" s="3">
        <f>0+(268.6-5.1)+(0+(0.547944-0.010404))+0-33-0.0673199999999986</f>
        <v>230.97021999999998</v>
      </c>
      <c r="L358" s="3">
        <f>0+(324.3-50.4)+(0+(-0.992358--0.154224))+0-32--0.0979200000000037</f>
        <v>241.15978600000003</v>
      </c>
      <c r="M358" s="3">
        <f>0+(368.9-83.8)+(0+(0.376278-0.085476))+0-32-0.0326400000000051</f>
        <v>253.35816199999994</v>
      </c>
      <c r="N358" s="3">
        <f>0+(441-130.5)+(0+(0.44982-0.13311))+0-32-0.0326400000000051</f>
        <v>278.78406999999999</v>
      </c>
      <c r="O358" s="3">
        <f>113.8+(394.1-187.8)+(0.058038+(0.200991-0.095778))+0-32-0.0163199999999968</f>
        <v>288.24693100000002</v>
      </c>
      <c r="P358" s="3">
        <f>96.9+(354.6-137.9)+(0.049419+(0.180846-0.070329))+0-32-0.0163199999999968</f>
        <v>281.74361600000003</v>
      </c>
      <c r="Q358" s="3">
        <f>121.9+(320.2-139.7)+(-0.186507+(-0.489906--0.213741))+0-32--0.0489600000000018</f>
        <v>269.986288</v>
      </c>
      <c r="R358" s="3">
        <f>70.8+(334.9-88.9)+(0+(0-0))+0-32-0</f>
        <v>284.79999999999995</v>
      </c>
      <c r="S358" s="3">
        <f>66+(338.7-77.3)+(0.03366+(0.172737-0.039423))+0-32-0.0163199999999968</f>
        <v>295.55065399999995</v>
      </c>
      <c r="T358" s="3">
        <f>65.7+(381.4-117.6)+(-0.067014+(-0.389028--0.119952))+0-32--0.0326400000000051</f>
        <v>297.19654999999995</v>
      </c>
      <c r="U358" s="3">
        <f>33.1+(466-181.7)+(0+(0-0))+0-33-0</f>
        <v>284.40000000000003</v>
      </c>
      <c r="V358" s="3">
        <f>43.5+(446.2-162.8)+(-0.110925+(-1.13781--0.41514))+0-33--0.0841499999999952</f>
        <v>293.150555</v>
      </c>
      <c r="W358" s="3">
        <f>55.6+(397.2-122.8)+(0+(0-0))+0-33-0</f>
        <v>297</v>
      </c>
      <c r="X358" s="3">
        <f>125.6+(243.4-53.9)+(-0.064056+(-0.124134--0.027489))+0-33--0.0168299999999967</f>
        <v>281.95612899999998</v>
      </c>
      <c r="Y358" s="3">
        <f>134.1+(307.9-114.5)+(-0.205173+(-0.471087--0.175185))+0-33--0.0504900000000019</f>
        <v>294.04941500000001</v>
      </c>
      <c r="Z358" s="3">
        <f>42.8+(369.1-83.7)+(-0.043656+(-0.376482--0.085374))+0-33--0.0336600000000053</f>
        <v>294.89889600000004</v>
      </c>
      <c r="AA358" s="3">
        <f>0+(469.5-124.6)+(0+(-0.718335--0.190638))+0-33--0.0504900000000019</f>
        <v>311.42279300000001</v>
      </c>
      <c r="AB358" s="3">
        <f>0+(526.7-180.6)+(0+(-0.537234--0.184212))+0-32--0.0326400000000051</f>
        <v>313.77961800000003</v>
      </c>
      <c r="AC358" s="3">
        <f>0+(412.9-103)+(0+(-0.631737--0.15759))+0-33--0.0504900000000019</f>
        <v>276.47634299999999</v>
      </c>
      <c r="AD358">
        <f t="shared" si="5"/>
        <v>6593.1977380000008</v>
      </c>
      <c r="AE358" s="3">
        <f>133+(310.7-90)+(0+(0-0))+0-33-0</f>
        <v>320.7</v>
      </c>
    </row>
    <row r="359" spans="1:31" s="2" customFormat="1" x14ac:dyDescent="0.25">
      <c r="A359">
        <v>89</v>
      </c>
      <c r="B359">
        <v>12</v>
      </c>
      <c r="C359">
        <v>23</v>
      </c>
      <c r="D359">
        <v>3</v>
      </c>
      <c r="E359">
        <v>1</v>
      </c>
      <c r="F359" s="3">
        <f>0+(302.7-27.3)+(0+(-1.54377--0.13923))+0-33--0.168300000000002</f>
        <v>241.16375999999997</v>
      </c>
      <c r="G359" s="3">
        <f>0+(267.2-0)+(0+(-0.817632-0))+0-33--0.100980000000004</f>
        <v>233.48334799999998</v>
      </c>
      <c r="H359" s="3">
        <f>0+(284.2-11)+(0+(-0.434826--0.01683))+0-33--0.0504900000000019</f>
        <v>239.83249399999997</v>
      </c>
      <c r="I359" s="3">
        <f>0+(282.8-11)+(0+(-0.432684--0.01683))+0-33--0.0504900000000019</f>
        <v>238.43463599999998</v>
      </c>
      <c r="J359" s="3">
        <f>0+(261.1-0)+(0+(0.266322-0))+0-33-0.0336600000000053</f>
        <v>228.33266200000003</v>
      </c>
      <c r="K359" s="3">
        <f>0+(248.2-17)+(0+(-0.126582--0.00867))+0-33--0.0168299999999967</f>
        <v>198.098918</v>
      </c>
      <c r="L359" s="3">
        <f>0+(231.8-31)+(0+(-0.118218--0.01581))+0-33--0.0168299999999967</f>
        <v>167.71442200000001</v>
      </c>
      <c r="M359" s="3">
        <f>0+(260.5-35.6)+(0+(0.53142-0.072624))+0-33-0.0673199999999986</f>
        <v>192.29147600000002</v>
      </c>
      <c r="N359" s="3">
        <f>0+(346.8-80.7)+(0+(0-0))+0-33-0</f>
        <v>233.10000000000002</v>
      </c>
      <c r="O359" s="3">
        <f>0+(445.2-125.3)+(0+(-0.908208--0.255612))+0-33--0.0673199999999986</f>
        <v>286.31472399999996</v>
      </c>
      <c r="P359" s="3">
        <f>0+(536.9-205.7)+(0+(-1.095276--0.419628))+0-33--0.0673199999999986</f>
        <v>297.59167199999996</v>
      </c>
      <c r="Q359" s="3">
        <f>0+(567.5-263.5)+(0+(-0.868275--0.403155))+0-33--0.0504900000000019</f>
        <v>270.58537000000001</v>
      </c>
      <c r="R359" s="3">
        <f>0+(586.4-251.3)+(0+(-1.196256--0.512652))+0-33--0.0673199999999986</f>
        <v>301.48371599999996</v>
      </c>
      <c r="S359" s="3">
        <f>0+(588.6-240.6)+(0+(0.600372-0.245412))+0-33-0.0336600000000053</f>
        <v>315.32130000000001</v>
      </c>
      <c r="T359" s="3">
        <f>0+(495.9-219.8)+(0+(-0.505818--0.224196))+0-33--0.0336600000000053</f>
        <v>242.85203799999994</v>
      </c>
      <c r="U359" s="3">
        <f>0+(533.2-226.5)+(0+(0-0))+0-33-0</f>
        <v>273.70000000000005</v>
      </c>
      <c r="V359" s="3">
        <f>0+(482.1-158.1)+(0+(-0.983484--0.322524))+0-32--0.0652799999999986</f>
        <v>291.40431999999998</v>
      </c>
      <c r="W359" s="3">
        <f>0+(346.6-37.2)+(0+(-0.176766--0.018972))+0-32--0.0163199999999968</f>
        <v>277.25852600000002</v>
      </c>
      <c r="X359" s="3">
        <f>0+(477-145)+(0+(-0.24327--0.07395))+0-32--0.0163199999999968</f>
        <v>299.84699999999998</v>
      </c>
      <c r="Y359" s="3">
        <f>0+(609.6-263)+(0+(-1.865376--0.80478))+0-32--0.0979200000000037</f>
        <v>313.63732400000004</v>
      </c>
      <c r="Z359" s="3">
        <f>0+(464.3-156.6)+(0+(-0.710379--0.239598))+0-32--0.0489600000000018</f>
        <v>275.27817900000008</v>
      </c>
      <c r="AA359" s="3">
        <f>0+(295-0)+(0+(-0.45135-0))+0-32--0.0489600000000018</f>
        <v>262.59761000000003</v>
      </c>
      <c r="AB359" s="3">
        <f>0+(306.6-28)+(0+(-0.625464--0.05712))+0-32--0.0652799999999986</f>
        <v>246.096936</v>
      </c>
      <c r="AC359" s="3">
        <f>0+(310-20)+(0+(-0.7905--0.051))+0-32--0.0815999999999954</f>
        <v>257.34209999999996</v>
      </c>
      <c r="AD359">
        <f t="shared" si="5"/>
        <v>6183.7625309999985</v>
      </c>
      <c r="AE359" s="3">
        <f>0+(563.6-237)+(0+(0-0))+0-33-0</f>
        <v>293.60000000000002</v>
      </c>
    </row>
    <row r="360" spans="1:31" s="2" customFormat="1" x14ac:dyDescent="0.25">
      <c r="A360">
        <v>89</v>
      </c>
      <c r="B360">
        <v>12</v>
      </c>
      <c r="C360">
        <v>24</v>
      </c>
      <c r="D360">
        <v>4</v>
      </c>
      <c r="E360">
        <v>1</v>
      </c>
      <c r="F360" s="3">
        <f>0+(293.2-25)+(0+(-0.897192--0.0765))+0-32--0.0979200000000037</f>
        <v>235.477228</v>
      </c>
      <c r="G360" s="3">
        <f>0+(277.3-34)+(0+(-0.707115--0.0867))+0-32--0.0815999999999954</f>
        <v>210.76118500000001</v>
      </c>
      <c r="H360" s="3">
        <f>0+(275.8-13)+(0+(0-0))+0-32-0</f>
        <v>230.8</v>
      </c>
      <c r="I360" s="3">
        <f>0+(265.4-6)+(0+(-0.812124--0.01836))+0-32--0.0979200000000037</f>
        <v>226.70415599999998</v>
      </c>
      <c r="J360" s="3">
        <f>0+(279.5-24)+(0+(0.427635-0.03672))+0-32-0.0489600000000018</f>
        <v>223.84195500000001</v>
      </c>
      <c r="K360" s="3">
        <f>0+(241.3-0)+(0+(-0.615315-0))+0-32--0.0815999999999954</f>
        <v>208.76628500000001</v>
      </c>
      <c r="L360" s="3">
        <f>0+(239.3-0)+(0+(-0.366129-0))+0-32--0.0489600000000018</f>
        <v>206.982831</v>
      </c>
      <c r="M360" s="3">
        <f>0+(266.8-1.8)+(0+(-0.272136--0.001836))+0-32--0.0326400000000051</f>
        <v>232.76233999999999</v>
      </c>
      <c r="N360" s="3">
        <f>0+(377-80.2)+(0+(0-0))+0-32-0</f>
        <v>264.8</v>
      </c>
      <c r="O360" s="3">
        <f>0+(354.1-61.8)+(0+(-0.361182--0.063036))+0-32--0.0326400000000051</f>
        <v>260.03449400000005</v>
      </c>
      <c r="P360" s="3">
        <f>0+(377.7-78.2)+(0+(-0.192627--0.039882))+0-32--0.0163199999999968</f>
        <v>267.36357500000003</v>
      </c>
      <c r="Q360" s="3">
        <f>0+(366-89.6)+(0+(-0.55998--0.137088))+0-32--0.0489600000000018</f>
        <v>244.02606799999998</v>
      </c>
      <c r="R360" s="3">
        <f>0+(304-43)+(0+(-0.31008--0.04386))+0-32--0.0326400000000051</f>
        <v>228.76642000000004</v>
      </c>
      <c r="S360" s="3">
        <f>0+(252.3-0)+(0+(-0.128673-0))+0-32--0.0163199999999968</f>
        <v>220.18764700000003</v>
      </c>
      <c r="T360" s="3">
        <f>0+(250.2-0)+(0+(-0.127602-0))+0-32--0.0163199999999968</f>
        <v>218.088718</v>
      </c>
      <c r="U360" s="3">
        <f>0+(242.5-0)+(0+(-0.371025-0))+0-32--0.0489600000000018</f>
        <v>210.17793499999999</v>
      </c>
      <c r="V360" s="3">
        <f>0+(256.9-0)+(0+(-1.048152-0))+0-32--0.130559999999997</f>
        <v>223.98240799999999</v>
      </c>
      <c r="W360" s="3">
        <f>0+(278.3-33)+(0+(0.141933-0.01683))+0-32-0.0163199999999968</f>
        <v>213.408783</v>
      </c>
      <c r="X360" s="3">
        <f>0+(350.9-80)+(0+(0.178959-0.0408))+0-32-0.0163199999999968</f>
        <v>239.02183899999994</v>
      </c>
      <c r="Y360" s="3">
        <f>0+(347.4-79)+(0+(-0.708696--0.16116))+0-32--0.0652799999999986</f>
        <v>235.917744</v>
      </c>
      <c r="Z360" s="3">
        <f>0+(285.5-27)+(0+(-0.29121--0.02754))+0-32--0.0326400000000051</f>
        <v>226.26897000000002</v>
      </c>
      <c r="AA360" s="3">
        <f>0+(265.7-0)+(0+(-0.271014-0))+0-32--0.0326400000000051</f>
        <v>233.46162600000002</v>
      </c>
      <c r="AB360" s="3">
        <f>0+(263.5-14.9)+(0+(-0.134385--0.007599))+0-32--0.0163199999999968</f>
        <v>216.48953399999999</v>
      </c>
      <c r="AC360" s="3">
        <f>0+(303.1-50.5)+(0+(-0.154581--0.025755))+0-32--0.0163199999999968</f>
        <v>220.48749400000003</v>
      </c>
      <c r="AD360">
        <f t="shared" si="5"/>
        <v>5498.5792350000011</v>
      </c>
      <c r="AE360" s="3">
        <f>0+(356.6-76)+(0+(0-0))+0-9-0</f>
        <v>271.60000000000002</v>
      </c>
    </row>
    <row r="361" spans="1:31" s="2" customFormat="1" x14ac:dyDescent="0.25">
      <c r="A361">
        <v>89</v>
      </c>
      <c r="B361">
        <v>12</v>
      </c>
      <c r="C361">
        <v>25</v>
      </c>
      <c r="D361">
        <v>5</v>
      </c>
      <c r="E361">
        <v>1</v>
      </c>
      <c r="F361" s="3">
        <f>0+(245.5-0)+(0+(-0.125205-0))+0-18--0.00917999999999817</f>
        <v>227.38397499999999</v>
      </c>
      <c r="G361" s="3">
        <f>0+(227.3-0)+(0+(-0.231846-0))+0-19--0.019380000000003</f>
        <v>208.08753400000003</v>
      </c>
      <c r="H361" s="3">
        <f>0+(222.2-0)+(0+(-0.453288-0))+0-21--0.0428399999999991</f>
        <v>200.78955200000001</v>
      </c>
      <c r="I361" s="3">
        <f>0+(230.7-0)+(0+(0.235314-0))+0-22-0.0224400000000035</f>
        <v>208.91287399999996</v>
      </c>
      <c r="J361" s="3">
        <f>0+(233.4-0)+(0+(0-0))+0-25-0</f>
        <v>208.4</v>
      </c>
      <c r="K361" s="3">
        <f>0+(242.4-9)+(0+(0.247248-0.00918))+0-27-0.0275400000000043</f>
        <v>206.61052799999999</v>
      </c>
      <c r="L361" s="3">
        <f>0+(256.1-26)+(0+(-0.653055--0.0663))+0-28--0.0713999999999959</f>
        <v>201.58464499999999</v>
      </c>
      <c r="M361" s="3">
        <f>0+(293-51)+(0+(0.29886-0.05202))+0-30-0.0306000000000048</f>
        <v>212.21624</v>
      </c>
      <c r="N361" s="3">
        <f>0+(308.1-46)+(0+(0.157131-0.02346))+0-30-0.015299999999997</f>
        <v>232.21837100000002</v>
      </c>
      <c r="O361" s="3">
        <f>0+(310.8-40)+(0+(-0.317016--0.0408))+0-30--0.0306000000000048</f>
        <v>240.55438400000003</v>
      </c>
      <c r="P361" s="3">
        <f>0+(320.3-42)+(0+(0.326706-0.04284))+0-30-0.0306000000000048</f>
        <v>248.55326600000001</v>
      </c>
      <c r="Q361" s="3">
        <f>0+(348.3-35.9)+(0+(0.532899-0.054927))+0-31-0.0474300000000018</f>
        <v>281.83054200000004</v>
      </c>
      <c r="R361" s="3">
        <f>0+(402.4-121.2)+(0+(-0.615672--0.185436))+0-30--0.0459000000000017</f>
        <v>250.815664</v>
      </c>
      <c r="S361" s="3">
        <f>0+(357.9-77.4)+(0+(-0.182529--0.039474))+0-31--0.0158099999999969</f>
        <v>249.37275499999998</v>
      </c>
      <c r="T361" s="3">
        <f>0+(352.8-71.8)+(0+(-0.539784--0.109854))+0-30--0.0459000000000017</f>
        <v>250.61596999999998</v>
      </c>
      <c r="U361" s="3">
        <f>0+(308-40.8)+(0+(-0.62832--0.083232))+0-31--0.0632399999999986</f>
        <v>235.71815199999998</v>
      </c>
      <c r="V361" s="3">
        <f>0+(269.3-0)+(0+(-0.274686-0))+0-31--0.0316200000000049</f>
        <v>238.05693400000004</v>
      </c>
      <c r="W361" s="3">
        <f>0+(264.8-0)+(0+(-0.810288-0))+0-30--0.0918000000000035</f>
        <v>234.081512</v>
      </c>
      <c r="X361" s="3">
        <f>0+(303.3-0)+(0+(0.154683-0))+0-31-0.0158099999999969</f>
        <v>272.438873</v>
      </c>
      <c r="Y361" s="3">
        <f>0+(293.7-0)+(0+(-0.748935-0))+0-31--0.0790499999999955</f>
        <v>262.03011499999997</v>
      </c>
      <c r="Z361" s="3">
        <f>0+(292.2-0)+(0+(-0.298044-0))+0-31--0.0316200000000049</f>
        <v>260.93357600000002</v>
      </c>
      <c r="AA361" s="3">
        <f>0+(275.1-0)+(0+(-0.701505-0))+0-32--0.0815999999999954</f>
        <v>242.48009500000003</v>
      </c>
      <c r="AB361" s="3">
        <f>0+(297.3-4.5)+(0+(-0.758115--0.011475))+0-32--0.0815999999999954</f>
        <v>260.13495999999998</v>
      </c>
      <c r="AC361" s="3">
        <f>0+(287.3-4.4)+(0+(-0.586092--0.008976))+0-32--0.0652799999999986</f>
        <v>250.38816400000005</v>
      </c>
      <c r="AD361">
        <f t="shared" si="5"/>
        <v>5684.2086810000001</v>
      </c>
      <c r="AE361" s="3">
        <f>0+(307.8-21)+(0+(0-0))+0-31-0</f>
        <v>255.8</v>
      </c>
    </row>
    <row r="362" spans="1:31" s="2" customFormat="1" x14ac:dyDescent="0.25">
      <c r="A362">
        <v>89</v>
      </c>
      <c r="B362">
        <v>12</v>
      </c>
      <c r="C362">
        <v>26</v>
      </c>
      <c r="D362">
        <v>6</v>
      </c>
      <c r="E362">
        <v>1</v>
      </c>
      <c r="F362" s="3">
        <f>0+(284.8-6)+(0+(-0.435744--0.00918))+0-32--0.0489600000000018</f>
        <v>246.42239600000002</v>
      </c>
      <c r="G362" s="3">
        <f>0+(252.5-9)+(0+(-0.25755--0.00918))+0-32--0.0326400000000051</f>
        <v>211.28427000000002</v>
      </c>
      <c r="H362" s="3">
        <f>0+(245.8-0)+(0+(-0.376074-0))+0-32--0.0489600000000018</f>
        <v>213.47288600000002</v>
      </c>
      <c r="I362" s="3">
        <f>0+(264.3-23)+(0+(0.134793-0.01173))+0-32-0.0163199999999968</f>
        <v>209.40674300000001</v>
      </c>
      <c r="J362" s="3">
        <f>0+(284.6-46)+(0+(-0.435438--0.07038))+0-32--0.0489600000000018</f>
        <v>206.28390200000001</v>
      </c>
      <c r="K362" s="3">
        <f>0+(263-21)+(0+(-0.13413--0.01071))+0-32--0.0163199999999968</f>
        <v>209.8929</v>
      </c>
      <c r="L362" s="3">
        <f>0+(242.2-0)+(0+(-0.494088-0))+0-32--0.0652799999999986</f>
        <v>209.77119199999999</v>
      </c>
      <c r="M362" s="3">
        <f>0+(250.8-2.2)+(0+(0.127908-0.001122))+0-32-0.0163199999999968</f>
        <v>216.71046600000003</v>
      </c>
      <c r="N362" s="3">
        <f>0+(276.4-7.1)+(0+(0.140964-0.003621))+0-32-0.0163199999999968</f>
        <v>237.42102299999993</v>
      </c>
      <c r="O362" s="3">
        <f>0+(297.5-32.5)+(0+(-0.455175--0.049725))+0-32--0.0489600000000018</f>
        <v>232.64351000000002</v>
      </c>
      <c r="P362" s="3">
        <f>0+(313.4-28)+(0+(-0.479502--0.04284))+0-32--0.0489600000000018</f>
        <v>253.01229799999996</v>
      </c>
      <c r="Q362" s="3">
        <f>0+(305.3-35.2)+(0+(-0.155703--0.017952))+0-32--0.0163199999999968</f>
        <v>237.97856900000005</v>
      </c>
      <c r="R362" s="3">
        <f>0+(314.6-38.9)+(0+(-0.481338--0.059517))+0-32--0.0489600000000018</f>
        <v>243.32713900000002</v>
      </c>
      <c r="S362" s="3">
        <f>0+(322.7-69.2)+(0+(0-0))+0-32-0</f>
        <v>221.5</v>
      </c>
      <c r="T362" s="3">
        <f>0+(332-64)+(0+(-0.50796--0.09792))+0-32--0.0489600000000018</f>
        <v>235.63892000000001</v>
      </c>
      <c r="U362" s="3">
        <f>0+(357.8-102.7)+(0+(-1.277346--0.366639))+0-32--0.11424</f>
        <v>222.30353300000002</v>
      </c>
      <c r="V362" s="3">
        <f>0+(315.3-89.5)+(0+(-0.321606--0.09129))+0-30--0.0306000000000048</f>
        <v>195.60028400000002</v>
      </c>
      <c r="W362" s="3">
        <f>0+(363.7-108)+(0+(-0.741948--0.22032))+0-32--0.0652799999999986</f>
        <v>223.243652</v>
      </c>
      <c r="X362" s="3">
        <f>0+(360.3-0)+(0+(0-0))+0-32-0</f>
        <v>328.3</v>
      </c>
      <c r="Y362" s="3">
        <f>0+(298.9-0)+(0+(-0.609756-0))+0-33--0.0673199999999986</f>
        <v>265.35756399999997</v>
      </c>
      <c r="Z362" s="3">
        <f>0+(293.4-0)+(0+(-0.448902-0))+0-32--0.0489600000000018</f>
        <v>261.00005800000002</v>
      </c>
      <c r="AA362" s="3">
        <f>0+(277.3-0)+(0+(-0.141423-0))+0-32--0.0163199999999968</f>
        <v>245.17489700000004</v>
      </c>
      <c r="AB362" s="3">
        <f>0+(233.4-0)+(0+(0.357102-0))+0-32-0.0489600000000018</f>
        <v>201.70814200000001</v>
      </c>
      <c r="AC362" s="3">
        <f>0+(244.3-39.4)+(0+(-0.622965--0.10047))+0-32--0.0815999999999954</f>
        <v>172.45910500000002</v>
      </c>
      <c r="AD362">
        <f t="shared" si="5"/>
        <v>5499.9134489999997</v>
      </c>
      <c r="AE362" s="3">
        <f>0+(313.5-10.1)+(0+(0-0))+0-32-0</f>
        <v>271.39999999999998</v>
      </c>
    </row>
    <row r="363" spans="1:31" s="2" customFormat="1" x14ac:dyDescent="0.25">
      <c r="A363">
        <v>89</v>
      </c>
      <c r="B363">
        <v>12</v>
      </c>
      <c r="C363">
        <v>27</v>
      </c>
      <c r="D363">
        <v>7</v>
      </c>
      <c r="E363">
        <v>1</v>
      </c>
      <c r="F363" s="3">
        <f>0+(302.4-46.2)+(0+(-0.616896--0.094248))+0-32--0.0652799999999986</f>
        <v>223.74263199999999</v>
      </c>
      <c r="G363" s="3">
        <f>0+(292-43)+(0+(-0.44676--0.06579))+0-32--0.0489600000000018</f>
        <v>216.66799</v>
      </c>
      <c r="H363" s="3">
        <f>0+(306.4-62.7)+(0+(-0.156264--0.031977))+0-32--0.0163199999999968</f>
        <v>211.59203299999999</v>
      </c>
      <c r="I363" s="3">
        <f>0+(246-2.8)+(0+(-0.37638--0.004284))+0-32--0.0489600000000018</f>
        <v>210.87686399999998</v>
      </c>
      <c r="J363" s="3">
        <f>0+(235-0)+(0+(0.11985-0))+0-32-0.0163199999999968</f>
        <v>203.10353000000001</v>
      </c>
      <c r="K363" s="3">
        <f>0+(248.3-22.9)+(0+(-0.379899--0.035037))+0-32--0.0489600000000018</f>
        <v>193.10409799999999</v>
      </c>
      <c r="L363" s="3">
        <f>0+(236.3-31)+(0+(-0.241026--0.03162))+0-32--0.0326400000000051</f>
        <v>173.12323400000002</v>
      </c>
      <c r="M363" s="3">
        <f>0+(223.6-17)+(0+(0-0))+0-22-0</f>
        <v>184.6</v>
      </c>
      <c r="N363" s="3">
        <f>0+(256.1-33.7)+(0+(0.130611-0.017187))+0-32-0.0163199999999968</f>
        <v>190.49710400000004</v>
      </c>
      <c r="O363" s="3">
        <f>0+(252.3-19.9)+(0+(-0.128673--0.010149))+0-32--0.0163199999999968</f>
        <v>200.29779600000001</v>
      </c>
      <c r="P363" s="3">
        <f>0+(283.6-47.5)+(0+(-0.578544--0.0969))+0-32--0.0652799999999986</f>
        <v>203.68363600000004</v>
      </c>
      <c r="Q363" s="3">
        <f>0+(313.1-70.2)+(0+(-0.638724--0.143208))+0-32--0.0652799999999986</f>
        <v>210.46976400000003</v>
      </c>
      <c r="R363" s="3">
        <f>0+(332.6-83.7)+(0+(-0.169626--0.042687))+0-32--0.0163199999999968</f>
        <v>216.78938100000005</v>
      </c>
      <c r="S363" s="3">
        <f>0+(324.5-85.7)+(0+(0.165495-0.043707))+0-32-0.0163199999999968</f>
        <v>206.90546800000001</v>
      </c>
      <c r="T363" s="3">
        <f>0+(283.4-51.9)+(0+(-0.72267--0.132345))+0-31--0.0790499999999955</f>
        <v>199.98872499999996</v>
      </c>
      <c r="U363" s="3">
        <f>0+(292.8-56.5)+(0+(-0.74664--0.144075))+0-32--0.0815999999999954</f>
        <v>203.77903500000002</v>
      </c>
      <c r="V363" s="3">
        <f>0+(265.8-32.8)+(0+(-0.406674--0.050184))+0-32--0.0489600000000018</f>
        <v>200.69246999999999</v>
      </c>
      <c r="W363" s="3">
        <f>0+(246.7-12)+(0+(-0.251634--0.01224))+0-32--0.0326400000000051</f>
        <v>202.493246</v>
      </c>
      <c r="X363" s="3">
        <f>0+(313.9-61)+(0+(0-0))+0-32-0</f>
        <v>220.89999999999998</v>
      </c>
      <c r="Y363" s="3">
        <f>0+(303.6-42)+(0+(-0.464508--0.06426))+0-32--0.0489600000000018</f>
        <v>229.24871200000004</v>
      </c>
      <c r="Z363" s="3">
        <f>0+(281-15.1)+(0+(-0.28662--0.015402))+0-31--0.0316200000000049</f>
        <v>234.660402</v>
      </c>
      <c r="AA363" s="3">
        <f>0+(287.9-27)+(0+(-0.293658--0.02754))+0-31--0.0316200000000049</f>
        <v>229.66550199999998</v>
      </c>
      <c r="AB363" s="3">
        <f>0+(331.3-74)+(0+(-0.675852--0.15096))+0-32--0.0652799999999986</f>
        <v>224.84038799999999</v>
      </c>
      <c r="AC363" s="3">
        <f>0+(287-37)+(0+(-0.58548--0.07548))+0-32--0.0652799999999986</f>
        <v>217.55528000000001</v>
      </c>
      <c r="AD363">
        <f t="shared" si="5"/>
        <v>5009.2772899999991</v>
      </c>
      <c r="AE363" s="3">
        <f>0+(307-62)+(0+(0-0))+0-32-0</f>
        <v>213</v>
      </c>
    </row>
    <row r="364" spans="1:31" s="2" customFormat="1" x14ac:dyDescent="0.25">
      <c r="A364">
        <v>89</v>
      </c>
      <c r="B364">
        <v>12</v>
      </c>
      <c r="C364">
        <v>28</v>
      </c>
      <c r="D364">
        <v>1</v>
      </c>
      <c r="E364">
        <v>6</v>
      </c>
      <c r="F364" s="3">
        <f>0+(261.5-108.1)+(0+(-0.53346--0.220524))+0-32--0.0652799999999986</f>
        <v>121.152344</v>
      </c>
      <c r="G364" s="3">
        <f>0+(270.8-131.4)+(0+(-0.69054--0.33507))+0-32--0.0815999999999954</f>
        <v>107.12613</v>
      </c>
      <c r="H364" s="3">
        <f>0+(265.2-108.1)+(0+(0.135252-0.055131))+0-32-0.0163199999999968</f>
        <v>125.16380099999999</v>
      </c>
      <c r="I364" s="3">
        <f>0+(245.4-108.1)+(0+(-0.62577--0.275655))+0-32--0.0815999999999954</f>
        <v>105.03148500000002</v>
      </c>
      <c r="J364" s="3">
        <f>0+(244.8-108.1)+(0+(0.249696-0.110262))+0-32-0.0326400000000051</f>
        <v>104.80679400000001</v>
      </c>
      <c r="K364" s="3">
        <f>0+(244.7-108.1)+(0+(0-0))+0-32-0</f>
        <v>104.6</v>
      </c>
      <c r="L364" s="3">
        <f>0+(256.7-115.4)+(0+(-0.392751--0.176562))+0-32--0.0489600000000018</f>
        <v>109.13277099999998</v>
      </c>
      <c r="M364" s="3">
        <f>0+(282.1-154.5)+(0+(-0.143871--0.078795))+0-32--0.0163199999999968</f>
        <v>95.551244000000011</v>
      </c>
      <c r="N364" s="3">
        <f>0+(324.2-203)+(0+(-0.165342--0.10353))+0-32--0.0163199999999968</f>
        <v>89.154507999999979</v>
      </c>
      <c r="O364" s="3">
        <f>0+(330.2-147.4)+(0+(-0.505206--0.225522))+0-32--0.0489600000000018</f>
        <v>150.56927599999997</v>
      </c>
      <c r="P364" s="3">
        <f>0+(354.3-112.5)+(0+(-0.180693--0.057375))+0-32--0.0163199999999968</f>
        <v>209.69300200000001</v>
      </c>
      <c r="Q364" s="3">
        <f>0+(318.5-77.2)+(0+(-0.64974--0.157488))+0-32--0.0652799999999986</f>
        <v>208.87302800000001</v>
      </c>
      <c r="R364" s="3">
        <f>0+(319.2-77)+(0+(-0.325584--0.07854))+0-32--0.0326400000000051</f>
        <v>209.98559600000002</v>
      </c>
      <c r="S364" s="3">
        <f>0+(329-87.5)+(0+(0-0))+0-32-0</f>
        <v>209.5</v>
      </c>
      <c r="T364" s="3">
        <f>0+(330.1-103.8)+(0+(0.168351-0.052938))+0-33-0.0168299999999967</f>
        <v>193.398583</v>
      </c>
      <c r="U364" s="3">
        <f>0+(333.3-103.8)+(0+(-0.169983--0.052938))+0-32--0.0163199999999968</f>
        <v>197.39927500000002</v>
      </c>
      <c r="V364" s="3">
        <f>0+(358.6-120.6)+(0+(-0.91443--0.30753))+0-32--0.0815999999999954</f>
        <v>205.47470000000004</v>
      </c>
      <c r="W364" s="3">
        <f>0+(378-175.4)+(0+(-0.77112--0.357816))+0-32--0.0652799999999986</f>
        <v>170.25197599999998</v>
      </c>
      <c r="X364" s="3">
        <f>0+(391.5-167.1)+(0+(-0.199665--0.085221))+0-32--0.0163199999999968</f>
        <v>192.30187600000002</v>
      </c>
      <c r="Y364" s="3">
        <f>0+(356-129.2)+(0+(-0.36312--0.131784))+0-32--0.0326400000000051</f>
        <v>194.60130400000003</v>
      </c>
      <c r="Z364" s="3">
        <f>0+(328.5-91.9)+(0+(-0.167535--0.046869))+0-32--0.0163199999999968</f>
        <v>204.495654</v>
      </c>
      <c r="AA364" s="3">
        <f>0+(345.4-90.4)+(0+(-0.528462--0.138312))+0-32--0.0489600000000018</f>
        <v>222.65880999999996</v>
      </c>
      <c r="AB364" s="3">
        <f>0+(372.4-115.9)+(0+(-0.569772--0.177327))+0-32--0.0489600000000018</f>
        <v>224.15651499999998</v>
      </c>
      <c r="AC364" s="3">
        <f>0+(377.9-130.2)+(0+(-0.578187--0.199206))+0-32--0.0489600000000018</f>
        <v>215.36997899999997</v>
      </c>
      <c r="AD364">
        <f t="shared" si="5"/>
        <v>3970.4486510000006</v>
      </c>
      <c r="AE364" s="3">
        <f>0+(371-126)+(0+(0-0))+0-32-0</f>
        <v>213</v>
      </c>
    </row>
    <row r="365" spans="1:31" s="2" customFormat="1" x14ac:dyDescent="0.25">
      <c r="A365">
        <v>89</v>
      </c>
      <c r="B365">
        <v>12</v>
      </c>
      <c r="C365">
        <v>29</v>
      </c>
      <c r="D365">
        <v>2</v>
      </c>
      <c r="E365">
        <v>2</v>
      </c>
      <c r="F365" s="3">
        <f>0+(340.3-90.4)+(0+(-0.520659--0.138312))+0-32--0.0489600000000018</f>
        <v>217.56661299999999</v>
      </c>
      <c r="G365" s="3">
        <f>0+(330.4-105.7)+(0+(-0.505512--0.161721))+0-32--0.0489600000000018</f>
        <v>192.40516899999997</v>
      </c>
      <c r="H365" s="3">
        <f>0+(307.7-99.6)+(0+(-0.627708--0.203184))+0-32--0.0652799999999986</f>
        <v>175.740756</v>
      </c>
      <c r="I365" s="3">
        <f>0+(310.5-106.5)+(0+(0.158355-0.054315))+0-32-0.0163199999999968</f>
        <v>172.08771999999999</v>
      </c>
      <c r="J365" s="3">
        <f>0+(301.2-97.5)+(0+(0.460836-0.149175))+0-32-0.0489600000000018</f>
        <v>171.96270099999998</v>
      </c>
      <c r="K365" s="3">
        <f>0+(303.1-99.9)+(0+(-0.309162--0.101898))+0-32--0.0326400000000051</f>
        <v>171.02537600000002</v>
      </c>
      <c r="L365" s="3">
        <f>0+(257.4-126.6)+(0+(-0.393822--0.193698))+0-32--0.0489600000000018</f>
        <v>98.648836000000003</v>
      </c>
      <c r="M365" s="3">
        <f>0+(297.5-172.8)+(0+(0.6069-0.352512))+0-32-0.0652799999999986</f>
        <v>92.889107999999993</v>
      </c>
      <c r="N365" s="3">
        <f>0+(330.8-173.4)+(0+(0-0))+0-32-0</f>
        <v>125.4</v>
      </c>
      <c r="O365" s="3">
        <f>0+(342.4-174.8)+(0+(-0.349248--0.178296))+0-32--0.0326400000000051</f>
        <v>135.46168799999998</v>
      </c>
      <c r="P365" s="3">
        <f>0+(398.7-229.7)+(0+(-0.813348--0.468588))+0-32--0.0652799999999986</f>
        <v>136.72051999999999</v>
      </c>
      <c r="Q365" s="3">
        <f>0+(362.9-178.8)+(0+(-0.555237--0.273564))+0-32--0.0489600000000018</f>
        <v>151.86728699999995</v>
      </c>
      <c r="R365" s="3">
        <f>0+(322.3-120.4)+(0+(-0.493119--0.184212))+0-32--0.0489600000000018</f>
        <v>169.64005299999999</v>
      </c>
      <c r="S365" s="3">
        <f>0+(327.5-120.6)+(0+(-0.835125--0.30753))+0-32--0.0815999999999954</f>
        <v>174.45400500000002</v>
      </c>
      <c r="T365" s="3">
        <f>0+(316.9-113.2)+(0+(-0.646476--0.230928))+0-32--0.0652799999999986</f>
        <v>171.34973199999999</v>
      </c>
      <c r="U365" s="3">
        <f>0+(308.2-106)+(0+(-0.471546--0.16218))+0-32--0.0489600000000018</f>
        <v>169.93959399999997</v>
      </c>
      <c r="V365" s="3">
        <f>0+(310.6-96.8)+(0+(0.158406-0.049368))+0-32-0.0163199999999968</f>
        <v>181.892718</v>
      </c>
      <c r="W365" s="3">
        <f>0+(301.8-97.4)+(0+(0-0))+0-32-0</f>
        <v>172.4</v>
      </c>
      <c r="X365" s="3">
        <f>0+(359.8-131.7)+(0+(0.183498-0.067167))+0-32-0.0163199999999968</f>
        <v>196.20001100000002</v>
      </c>
      <c r="Y365" s="3">
        <f>0+(351.5-116)+(0+(-0.896325--0.2958))+0-32--0.0815999999999954</f>
        <v>202.981075</v>
      </c>
      <c r="Z365" s="3">
        <f>0+(324.5-89.6)+(0+(-0.496485--0.137088))+0-32--0.0489600000000018</f>
        <v>202.589563</v>
      </c>
      <c r="AA365" s="3">
        <f>0+(304.1-53.8)+(0+(-0.310182--0.054876))+0-32--0.0326400000000051</f>
        <v>218.07733400000004</v>
      </c>
      <c r="AB365" s="3">
        <f>0+(292.3-67)+(0+(-0.149073--0.03417))+0-32--0.0163199999999968</f>
        <v>193.20141700000002</v>
      </c>
      <c r="AC365" s="3">
        <f>0+(326.9-90.2)+(0+(-0.666876--0.184008))+0-32--0.0652799999999986</f>
        <v>204.28241199999999</v>
      </c>
      <c r="AD365">
        <f t="shared" si="5"/>
        <v>4098.7836880000004</v>
      </c>
      <c r="AE365" s="3">
        <f>0+(351.4-102.1)+(0+(0-0))+0-32-0</f>
        <v>217.29999999999998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89</v>
      </c>
      <c r="B1">
        <v>1</v>
      </c>
      <c r="C1">
        <v>1</v>
      </c>
      <c r="D1">
        <v>2</v>
      </c>
      <c r="E1">
        <v>2</v>
      </c>
      <c r="F1" s="3">
        <f>0+(536.7-21.8)+(0+(0-0))+0-0-0</f>
        <v>514.90000000000009</v>
      </c>
      <c r="G1" s="3">
        <f>0+(468.9-2.7)+(0+(0-0))+0-0-0</f>
        <v>466.2</v>
      </c>
      <c r="H1" s="3">
        <f>0+(445.3-4.6)+(0+(0-0))+0-0-0</f>
        <v>440.7</v>
      </c>
      <c r="I1" s="3">
        <f>0+(440.3-10)+(0+(-0.224553--0.0051))+0-0-0</f>
        <v>430.08054700000002</v>
      </c>
      <c r="J1" s="3">
        <f>0+(439.6-10.2)+(0+(-1.12098--0.02601))+0-0-0</f>
        <v>428.30503000000004</v>
      </c>
      <c r="K1" s="3">
        <f>0+(439.1-8.9)+(0+(-0.223941--0.004539))+0-0-0</f>
        <v>429.98059800000004</v>
      </c>
      <c r="L1" s="3">
        <f>0+(428.1-14.2)+(0+(-1.091655--0.03621))+0-0-0</f>
        <v>412.84455500000001</v>
      </c>
      <c r="M1" s="3">
        <f>0+(421.5-2.4)+(0+(0.644895-0.003672))+0-0-0</f>
        <v>419.74122300000005</v>
      </c>
      <c r="N1" s="3">
        <f>0+(446.6-0)+(0+(0-0))+0-0-0</f>
        <v>446.6</v>
      </c>
      <c r="O1" s="3">
        <f>0+(480.2-6.6)+(0+(-0.979608--0.013464))+0-0-0</f>
        <v>472.63385599999998</v>
      </c>
      <c r="P1" s="3">
        <f>0+(483.6-8.5)+(0+(-1.23318--0.021675))+0-0-0</f>
        <v>473.88849500000003</v>
      </c>
      <c r="Q1" s="3">
        <f>0+(465.2-4.4)+(0+(-0.474504--0.004488))+0-0-0</f>
        <v>460.32998400000002</v>
      </c>
      <c r="R1" s="3">
        <f>0+(449.7-2.2)+(0+(-0.458694--0.002244))+0-0-0</f>
        <v>447.04354999999998</v>
      </c>
      <c r="S1" s="3">
        <f>0+(440.9-0)+(0+(0-0))+0-0-0</f>
        <v>440.9</v>
      </c>
      <c r="T1" s="3">
        <f>0+(432.8-0)+(0+(-0.662184-0))+0-0-0</f>
        <v>432.13781599999999</v>
      </c>
      <c r="U1" s="3">
        <f>0+(423.4-0)+(0+(-0.647802-0))+0-0-0</f>
        <v>422.75219799999996</v>
      </c>
      <c r="V1" s="3">
        <f>0+(427.6-2.1)+(0+(-0.654228--0.003213))+0-0-0</f>
        <v>424.84898500000003</v>
      </c>
      <c r="W1" s="3">
        <f>0+(447.8-8)+(0+(-0.456756--0.00816))+0-0-0</f>
        <v>439.351404</v>
      </c>
      <c r="X1" s="3">
        <f>0+(568-54.1)+(0+(-0.28968--0.027591))+0-0-0</f>
        <v>513.63791100000003</v>
      </c>
      <c r="Y1" s="3">
        <f>0+(776.3-192.5)+(0+(0-0))+0-0-0</f>
        <v>583.79999999999995</v>
      </c>
      <c r="Z1" s="3">
        <f>0+(763.7-190.5)+(0+(-0.389487--0.097155))+0-0-0</f>
        <v>572.90766800000006</v>
      </c>
      <c r="AA1" s="3">
        <f>0+(744.8-184.6)+(0+(-1.89924--0.47073))+0-0-0</f>
        <v>558.77148999999997</v>
      </c>
      <c r="AB1" s="3">
        <f>0+(699.2-154.9)+(0+(-0.713184--0.157998))+0-0-0</f>
        <v>543.74481400000002</v>
      </c>
      <c r="AC1" s="3">
        <f>0+(628-118.2)+(0+(-2.24196--0.421974))+0-0-0</f>
        <v>507.98001399999998</v>
      </c>
      <c r="AD1">
        <f t="shared" ref="AD1:AD64" si="0">SUM(F1:AC1)</f>
        <v>11284.080137999999</v>
      </c>
      <c r="AE1" s="3">
        <f>0+(795-196)+(0+(0-0))+0-0-0</f>
        <v>599</v>
      </c>
    </row>
    <row r="2" spans="1:31" s="2" customFormat="1" x14ac:dyDescent="0.25">
      <c r="A2">
        <v>89</v>
      </c>
      <c r="B2">
        <v>1</v>
      </c>
      <c r="C2">
        <v>2</v>
      </c>
      <c r="D2">
        <v>3</v>
      </c>
      <c r="E2">
        <v>2</v>
      </c>
      <c r="F2" s="3">
        <f>(G2+AC1)/2</f>
        <v>463.653997</v>
      </c>
      <c r="G2" s="3">
        <f>0+(431.4-11)+(0+(-1.10007--0.02805))+0-0-0</f>
        <v>419.32797999999997</v>
      </c>
      <c r="H2" s="3">
        <f>0+(437.3-9.7)+(0+(-1.338138--0.029682))+0-0-0</f>
        <v>426.29154400000004</v>
      </c>
      <c r="I2" s="3">
        <f>0+(416-9.6)+(0+(-0.42432--0.009792))+0-0-0</f>
        <v>405.98547199999996</v>
      </c>
      <c r="J2" s="3">
        <f>0+(416.8-15.7)+(0+(0-0))+0-0-0</f>
        <v>401.1</v>
      </c>
      <c r="K2" s="3">
        <f>0+(414.6-16)+(0+(0.422892-0.01632))+0-0-0</f>
        <v>399.00657200000001</v>
      </c>
      <c r="L2" s="3">
        <f>0+(415.9-15.7)+(0+(0.212109-0.008007))+0-0-0</f>
        <v>400.40410199999997</v>
      </c>
      <c r="M2" s="3">
        <f>0+(446.8-62)+(0+(-1.13934--0.1581))+0-0-0</f>
        <v>383.81876</v>
      </c>
      <c r="N2" s="3">
        <f>0+(420.9-35.4)+(0+(-0.429318--0.036108))+0-0-0</f>
        <v>385.10678999999999</v>
      </c>
      <c r="O2" s="3">
        <f>0+(419.7-5.9)+(0+(-0.428094--0.006018))+0-0-0</f>
        <v>413.37792400000001</v>
      </c>
      <c r="P2" s="3">
        <f>0+(450.1-12.2)+(0+(-0.459102--0.012444))+0-0-0</f>
        <v>437.45334200000002</v>
      </c>
      <c r="Q2" s="3">
        <f>0+(466.2-16.4)+(0+(-0.713286--0.025092))+0-0-0</f>
        <v>449.111806</v>
      </c>
      <c r="R2" s="3">
        <f>0+(475.9-17.2)+(0+(0-0))+0-0-0</f>
        <v>458.7</v>
      </c>
      <c r="S2" s="3">
        <f>0+(467.6-17.4)+(0+(-1.19238--0.04437))+0-0-0</f>
        <v>449.05199000000005</v>
      </c>
      <c r="T2" s="3">
        <f>0+(457.5-13.6)+(0+(-0.233325--0.006936))+0-0-0</f>
        <v>443.67361099999999</v>
      </c>
      <c r="U2" s="3">
        <f>0+(448.4-10)+(0+(-0.228684--0.0051))+0-0-0</f>
        <v>438.17641599999996</v>
      </c>
      <c r="V2" s="3">
        <f>0+(449.9-11.3)+(0+(-0.688347--0.017289))+0-0-0</f>
        <v>437.92894199999995</v>
      </c>
      <c r="W2" s="3">
        <f>0+(449.9-12.7)+(0+(-0.458898--0.012954))+0-0-0</f>
        <v>436.75405599999999</v>
      </c>
      <c r="X2" s="3">
        <f>0+(468.6-18.7)+(0+(0-0))+0-0-0</f>
        <v>449.90000000000003</v>
      </c>
      <c r="Y2" s="3">
        <f>0+(597.9-74.4)+(0+(-0.304929--0.037944))+0-0-0</f>
        <v>523.23301500000002</v>
      </c>
      <c r="Z2" s="3">
        <f>0+(771.2-176.2)+(0+(-1.573248--0.359448))+0-0-0</f>
        <v>593.78620000000001</v>
      </c>
      <c r="AA2" s="3">
        <f>0+(766.3-177)+(0+(-0.781626--0.18054))+0-0-0</f>
        <v>588.69891399999995</v>
      </c>
      <c r="AB2" s="3">
        <f>0+(746.7-168.3)+(0+(-1.142451--0.257499))+0-0-0</f>
        <v>577.51504800000009</v>
      </c>
      <c r="AC2" s="3">
        <f>0+(695.5-137.5)+(0+(-1.064115--0.210375))+0-0-0</f>
        <v>557.14625999999998</v>
      </c>
      <c r="AD2">
        <f t="shared" si="0"/>
        <v>10939.202740999999</v>
      </c>
      <c r="AE2" s="3">
        <f>0+(794-183)+(0+(0-0))+0-0-0</f>
        <v>611</v>
      </c>
    </row>
    <row r="3" spans="1:31" s="2" customFormat="1" x14ac:dyDescent="0.25">
      <c r="A3">
        <v>89</v>
      </c>
      <c r="B3">
        <v>1</v>
      </c>
      <c r="C3">
        <v>3</v>
      </c>
      <c r="D3">
        <v>4</v>
      </c>
      <c r="E3">
        <v>2</v>
      </c>
      <c r="F3" s="3">
        <f>0+(614.7-95)+(0+(-1.253988--0.1938))+0-0-0</f>
        <v>518.63981200000001</v>
      </c>
      <c r="G3" s="3">
        <f>0+(501.2-27.9)+(0+(-0.766836--0.042687))+0-0-0</f>
        <v>472.575851</v>
      </c>
      <c r="H3" s="3">
        <f>0+(449.1-9.9)+(0+(-1.374246--0.030294))+0-0-0</f>
        <v>437.85604800000004</v>
      </c>
      <c r="I3" s="3">
        <f>0+(427.3-0)+(0+(-0.435846-0))+0-0-0</f>
        <v>426.86415399999998</v>
      </c>
      <c r="J3" s="3">
        <f>0+(421.4-0)+(0+(-0.644742-0))+0-0-0</f>
        <v>420.75525799999997</v>
      </c>
      <c r="K3" s="3">
        <f>0+(424.3-0)+(0+(-0.216393-0))+0-0-0</f>
        <v>424.08360700000003</v>
      </c>
      <c r="L3" s="3">
        <f>0+(427.2-0)+(0+(-0.871488-0))+0-0-0</f>
        <v>426.32851199999999</v>
      </c>
      <c r="M3" s="3">
        <f>0+(406.1-0)+(0+(-0.621333-0))+0-0-0</f>
        <v>405.47866700000003</v>
      </c>
      <c r="N3" s="3">
        <f>0+(415.7-2.3)+(0+(0.212007-0.001173))+0-0-0</f>
        <v>413.61083399999995</v>
      </c>
      <c r="O3" s="3">
        <f>0+(458-10.3)+(0+(0-0))+0-0-0</f>
        <v>447.7</v>
      </c>
      <c r="P3" s="3">
        <f>0+(509.3-30.4)+(0+(0.259743-0.015504))+0-0-0</f>
        <v>479.14423900000003</v>
      </c>
      <c r="Q3" s="3">
        <f>0+(516.3-30.8)+(0+(-0.263313--0.015708))+0-0-0</f>
        <v>485.25239499999992</v>
      </c>
      <c r="R3" s="3">
        <f>0+(496-14.1)+(0+(-0.50592--0.014382))+0-0-0</f>
        <v>481.40846199999999</v>
      </c>
      <c r="S3" s="3">
        <f>0+(477.9-7.2)+(0+(-0.243729--0.003672))+0-0-0</f>
        <v>470.45994300000001</v>
      </c>
      <c r="T3" s="3">
        <f>0+(484.5-18.2)+(0+(0-0))+0-0-0</f>
        <v>466.3</v>
      </c>
      <c r="U3" s="3">
        <f>0+(469.5-8.8)+(0+(-0.718335--0.013464))+0-0-0</f>
        <v>459.99512899999996</v>
      </c>
      <c r="V3" s="3">
        <f>0+(491.2-30.4)+(0+(-0.501024--0.031008))+0-0-0</f>
        <v>460.32998400000002</v>
      </c>
      <c r="W3" s="3">
        <f>0+(467-4.2)+(0+(-0.47634--0.004284))+0-0-0</f>
        <v>462.327944</v>
      </c>
      <c r="X3" s="3">
        <f>0+(475.7-0)+(0+(0-0))+0-0-0</f>
        <v>475.7</v>
      </c>
      <c r="Y3" s="3">
        <f>0+(565.4-17.5)+(0+(0-0))+0-0-0</f>
        <v>547.9</v>
      </c>
      <c r="Z3" s="3">
        <f>0+(748.9-135.1)+(0+(-1.527756--0.275604))+0-0-0</f>
        <v>612.54784799999993</v>
      </c>
      <c r="AA3" s="3">
        <f>0+(736.8-135.6)+(0+(0-0))+0-0-0</f>
        <v>601.19999999999993</v>
      </c>
      <c r="AB3" s="3">
        <f>0+(705-118.8)+(0+(-0.35955--0.060588))+0-0-0</f>
        <v>585.90103800000009</v>
      </c>
      <c r="AC3" s="3">
        <f>0+(671.5-105.6)+(0+(-0.68493--0.107712))+0-0-0</f>
        <v>565.32278199999996</v>
      </c>
      <c r="AD3">
        <f t="shared" si="0"/>
        <v>11547.682507</v>
      </c>
      <c r="AE3" s="3">
        <f>0+(768-145)+(0+(0-0))+0-0-0</f>
        <v>623</v>
      </c>
    </row>
    <row r="4" spans="1:31" s="2" customFormat="1" x14ac:dyDescent="0.25">
      <c r="A4">
        <v>89</v>
      </c>
      <c r="B4">
        <v>1</v>
      </c>
      <c r="C4">
        <v>4</v>
      </c>
      <c r="D4">
        <v>5</v>
      </c>
      <c r="E4">
        <v>2</v>
      </c>
      <c r="F4" s="3">
        <f>0+(578.6-48.8)+(0+(-0.590172--0.049776))+0-0-0</f>
        <v>529.25960400000008</v>
      </c>
      <c r="G4" s="3">
        <f>0+(486.6-8.3)+(0+(-0.992664--0.016932))+0-0-0</f>
        <v>477.32426800000002</v>
      </c>
      <c r="H4" s="3">
        <f>0+(447.4-3.5)+(0+(-0.684522--0.005355))+0-0-0</f>
        <v>443.22083299999997</v>
      </c>
      <c r="I4" s="3">
        <f>0+(437.4-1.1)+(0+(0.446148-0.001122))+0-0-0</f>
        <v>436.74502599999994</v>
      </c>
      <c r="J4" s="3">
        <f>0+(444.2-10.6)+(0+(-0.226542--0.005406))+0-0-0</f>
        <v>433.37886399999996</v>
      </c>
      <c r="K4" s="3">
        <f>0+(434.9-4.6)+(0+(0.221799-0.002346))+0-0-0</f>
        <v>430.51945299999994</v>
      </c>
      <c r="L4" s="3">
        <f>0+(436.2-2.6)+(0+(-0.222462--0.001326))+0-0-0</f>
        <v>433.37886399999996</v>
      </c>
      <c r="M4" s="3">
        <f>0+(443.2-31.1)+(0+(-0.452064--0.031722))+0-0-0</f>
        <v>411.67965799999996</v>
      </c>
      <c r="N4" s="3">
        <f>0+(417.3-1.6)+(0+(0-0))+0-0-0</f>
        <v>415.7</v>
      </c>
      <c r="O4" s="3">
        <f>0+(449.3-0)+(0+(0.229143-0))+0-0-0</f>
        <v>449.52914300000003</v>
      </c>
      <c r="P4" s="3">
        <f>0+(481-0)+(0+(-0.98124-0))+0-0-0</f>
        <v>480.01875999999999</v>
      </c>
      <c r="Q4" s="3">
        <f>0+(500.9-1.9)+(0+(-0.510918--0.001938))+0-0-0</f>
        <v>498.49101999999999</v>
      </c>
      <c r="R4" s="3">
        <f>0+(510.2-7.8)+(0+(0-0))+0-0-0</f>
        <v>502.4</v>
      </c>
      <c r="S4" s="3">
        <f>0+(494.5-0)+(0+(0.252195-0))+0-0-0</f>
        <v>494.75219499999997</v>
      </c>
      <c r="T4" s="3">
        <f>0+(486.4-0)+(0+(-0.496128-0))+0-0-0</f>
        <v>485.90387199999998</v>
      </c>
      <c r="U4" s="3">
        <f>0+(481.2-0)+(0+(-0.736236-0))+0-0-0</f>
        <v>480.46376399999997</v>
      </c>
      <c r="V4" s="3">
        <f>0+(482-0)+(0+(0-0))+0-0-0</f>
        <v>482</v>
      </c>
      <c r="W4" s="3">
        <f>0+(494.4-0)+(0+(-0.252144-0))+0-0-0</f>
        <v>494.14785599999999</v>
      </c>
      <c r="X4" s="3">
        <f>0+(520.5-1.8)+(0+(-0.265455--0.000918))+0-0-0</f>
        <v>518.43546300000003</v>
      </c>
      <c r="Y4" s="3">
        <f>0+(605.9-22.9)+(0+(-0.309009--0.011679))+0-0-0</f>
        <v>582.70267000000001</v>
      </c>
      <c r="Z4" s="3">
        <f>0+(759.3-135.2)+(0+(-1.548972--0.275808))+0-0-0</f>
        <v>622.82683599999996</v>
      </c>
      <c r="AA4" s="3">
        <f>0+(737.7-125.9)+(0+(-0.752454--0.128418))+0-0-0</f>
        <v>611.17596400000002</v>
      </c>
      <c r="AB4" s="3">
        <f>0+(699.9-107.4)+(0+(0-0))+0-0-0</f>
        <v>592.5</v>
      </c>
      <c r="AC4" s="3">
        <f>0+(665.9-91.3)+(0+(-0.679218--0.093126))+0-0-0</f>
        <v>574.01390800000001</v>
      </c>
      <c r="AD4">
        <f t="shared" si="0"/>
        <v>11880.568021000001</v>
      </c>
      <c r="AE4" s="3">
        <f>0+(772-142)+(0+(0-0))+0-0-0</f>
        <v>630</v>
      </c>
    </row>
    <row r="5" spans="1:31" s="2" customFormat="1" x14ac:dyDescent="0.25">
      <c r="A5">
        <v>89</v>
      </c>
      <c r="B5">
        <v>1</v>
      </c>
      <c r="C5">
        <v>5</v>
      </c>
      <c r="D5">
        <v>6</v>
      </c>
      <c r="E5">
        <v>6</v>
      </c>
      <c r="F5" s="3">
        <f>0+(578.2-42.2)+(0+(-1.47441--0.10761))+0-0-0</f>
        <v>534.63319999999999</v>
      </c>
      <c r="G5" s="3">
        <f>0+(493.4-6.4)+(0+(-0.754902--0.009792))+0-0-0</f>
        <v>486.25488999999999</v>
      </c>
      <c r="H5" s="3">
        <f>0+(454.6-0)+(0+(-0.463692-0))+0-0-0</f>
        <v>454.13630800000004</v>
      </c>
      <c r="I5" s="3">
        <f>0+(495.6-48.6)+(0+(-0.252756--0.024786))+0-0-0</f>
        <v>446.77202999999997</v>
      </c>
      <c r="J5" s="3">
        <f>0+(477.3-34.9)+(0+(-0.243423--0.017799))+0-0-0</f>
        <v>442.17437600000005</v>
      </c>
      <c r="K5" s="3">
        <f>0+(461.8-20.1)+(0+(-0.235518--0.010251))+0-0-0</f>
        <v>441.47473300000001</v>
      </c>
      <c r="L5" s="3">
        <f>0+(483.9-35.4)+(0+(-0.987156--0.072216))+0-0-0</f>
        <v>447.58506</v>
      </c>
      <c r="M5" s="3">
        <f>0+(503.4-66.6)+(0+(0.256734-0.033966))+0-0-0</f>
        <v>437.02276799999993</v>
      </c>
      <c r="N5" s="3">
        <f>0+(476.5-29)+(0+(0.243015-0.01479))+0-0-0</f>
        <v>447.72822500000001</v>
      </c>
      <c r="O5" s="3">
        <f>0+(510.6-33.6)+(0+(0.260406-0.017136))+0-0-0</f>
        <v>477.24327</v>
      </c>
      <c r="P5" s="3">
        <f>0+(534-29.5)+(0+(0-0))+0-0-0</f>
        <v>504.5</v>
      </c>
      <c r="Q5" s="3">
        <f>0+(529-12.6)+(0+(0.53958-0.012852))+0-0-0</f>
        <v>516.92672800000003</v>
      </c>
      <c r="R5" s="3">
        <f>0+(540-25.7)+(0+(-0.2754--0.013107))+0-0-0</f>
        <v>514.03770699999995</v>
      </c>
      <c r="S5" s="3">
        <f>0+(553.6-46.8)+(0+(-0.564672--0.047736))+0-0-0</f>
        <v>506.28306400000002</v>
      </c>
      <c r="T5" s="3">
        <f>0+(530.7-39.3)+(0+(0.270657-0.020043))+0-0-0</f>
        <v>491.65061400000002</v>
      </c>
      <c r="U5" s="3">
        <f>0+(549.5-65.8)+(0+(-0.56049--0.067116))+0-0-0</f>
        <v>483.20662599999997</v>
      </c>
      <c r="V5" s="3">
        <f>0+(568.6-87.8)+(0+(0-0))+0-0-0</f>
        <v>480.8</v>
      </c>
      <c r="W5" s="3">
        <f>0+(555.8-73.4)+(0+(-0.850374--0.112302))+0-0-0</f>
        <v>481.66192799999999</v>
      </c>
      <c r="X5" s="3">
        <f>0+(559.7-64.4)+(0+(-1.141788--0.131376))+0-0-0</f>
        <v>494.28958800000009</v>
      </c>
      <c r="Y5" s="3">
        <f>0+(582.4-17.4)+(0+(-0.594048--0.017748))+0-0-0</f>
        <v>564.42370000000005</v>
      </c>
      <c r="Z5" s="3">
        <f>0+(754.9-119.8)+(0+(-1.154997--0.183294))+0-0-0</f>
        <v>634.12829699999998</v>
      </c>
      <c r="AA5" s="3">
        <f>0+(736.2-116)+(0+(0-0))+0-0-0</f>
        <v>620.20000000000005</v>
      </c>
      <c r="AB5" s="3">
        <f>0+(697.4-90.2)+(0+(-0.355674--0.046002))+0-0-0</f>
        <v>606.89032799999995</v>
      </c>
      <c r="AC5" s="3">
        <f>0+(661.6-71.1)+(0+(-0.674832--0.072522))+0-0-0</f>
        <v>589.89769000000001</v>
      </c>
      <c r="AD5">
        <f t="shared" si="0"/>
        <v>12103.921129999999</v>
      </c>
      <c r="AE5" s="3">
        <f>0+(762-107)+(0+(0-0))+0-0-0</f>
        <v>655</v>
      </c>
    </row>
    <row r="6" spans="1:31" s="2" customFormat="1" x14ac:dyDescent="0.25">
      <c r="A6">
        <v>89</v>
      </c>
      <c r="B6">
        <v>1</v>
      </c>
      <c r="C6">
        <v>6</v>
      </c>
      <c r="D6">
        <v>7</v>
      </c>
      <c r="E6">
        <v>1</v>
      </c>
      <c r="F6" s="3">
        <f>0+(589.3-33.9)+(0+(-0.300543--0.017289))+0-0-0</f>
        <v>555.11674599999992</v>
      </c>
      <c r="G6" s="3">
        <f>0+(570.5-66.7)+(0+(-0.58191--0.068034))+0-0-0</f>
        <v>503.28612400000003</v>
      </c>
      <c r="H6" s="3">
        <f>0+(576.2-107)+(0+(-0.881586--0.16371))+0-0-0</f>
        <v>468.48212400000006</v>
      </c>
      <c r="I6" s="3">
        <f>0+(545.5-90.9)+(0+(0-0))+0-0-0</f>
        <v>454.6</v>
      </c>
      <c r="J6" s="3">
        <f>0+(542.3-88.6)+(0+(-0.829719--0.135558))+0-0-0</f>
        <v>453.00583899999992</v>
      </c>
      <c r="K6" s="3">
        <f>0+(518.2-63.5)+(0+(0-0))+0-0-0</f>
        <v>454.70000000000005</v>
      </c>
      <c r="L6" s="3">
        <f>0+(531.5-70)+(0+(0.813195-0.1071))+0-0-0</f>
        <v>462.206095</v>
      </c>
      <c r="M6" s="3">
        <f>0+(556.5-117.7)+(0+(-1.70289--0.360162))+0-0-0</f>
        <v>437.45727199999999</v>
      </c>
      <c r="N6" s="3">
        <f>0+(569.7-123.5)+(0+(0.581094-0.12597))+0-0-0</f>
        <v>446.65512400000006</v>
      </c>
      <c r="O6" s="3">
        <f>0+(596.5-126)+(0+(0-0))+0-0-0</f>
        <v>470.5</v>
      </c>
      <c r="P6" s="3">
        <f>0+(586.6-85.2)+(0+(0-0))+0-0-0</f>
        <v>501.40000000000003</v>
      </c>
      <c r="Q6" s="3">
        <f>0+(538-20.7)+(0+(0.54876-0.021114))+0-0-0</f>
        <v>517.82764599999996</v>
      </c>
      <c r="R6" s="3">
        <f>0+(533.7-11.1)+(0+(0-0))+0-0-0</f>
        <v>522.6</v>
      </c>
      <c r="S6" s="3">
        <f>0+(532.3-14.1)+(0+(-0.814419--0.021573))+0-0-0</f>
        <v>517.40715399999988</v>
      </c>
      <c r="T6" s="3">
        <f>0+(549.5-37.7)+(0+(-0.840735--0.057681))+0-0-0</f>
        <v>511.01694600000002</v>
      </c>
      <c r="U6" s="3">
        <f>0+(544.9-42.5)+(0+(-0.833697--0.065025))+0-0-0</f>
        <v>501.631328</v>
      </c>
      <c r="V6" s="3">
        <f>0+(557.4-51.9)+(0+(-0.852822--0.079407))+0-0-0</f>
        <v>504.726585</v>
      </c>
      <c r="W6" s="3">
        <f>0+(557.9-45.2)+(0+(0-0))+0-0-0</f>
        <v>512.69999999999993</v>
      </c>
      <c r="X6" s="3">
        <f>0+(553.9-25.6)+(0+(-0.847467--0.039168))+0-0-0</f>
        <v>527.49170099999992</v>
      </c>
      <c r="Y6" s="3">
        <f>0+(603.3-16.1)+(0+(-0.923049--0.024633))+0-0-0</f>
        <v>586.30158399999993</v>
      </c>
      <c r="Z6" s="3">
        <f>0+(750.8-113.8)+(0+(-1.531632--0.232152))+0-0-0</f>
        <v>635.70051999999998</v>
      </c>
      <c r="AA6" s="3">
        <f>0+(778-150)+(0+(-0.79356--0.153))+0-0-0</f>
        <v>627.35943999999995</v>
      </c>
      <c r="AB6" s="3">
        <f>0+(752.6-135.9)+(0+(-0.383826--0.069309))+0-0-0</f>
        <v>616.38548300000002</v>
      </c>
      <c r="AC6" s="3">
        <f>0+(744.2-149.9)+(0+(0-0))+0-0-0</f>
        <v>594.30000000000007</v>
      </c>
      <c r="AD6">
        <f t="shared" si="0"/>
        <v>12382.857711000001</v>
      </c>
      <c r="AE6" s="3">
        <f>0+(746-94)+(0+(0-0))+0-0-0</f>
        <v>652</v>
      </c>
    </row>
    <row r="7" spans="1:31" s="2" customFormat="1" x14ac:dyDescent="0.25">
      <c r="A7">
        <v>89</v>
      </c>
      <c r="B7">
        <v>1</v>
      </c>
      <c r="C7">
        <v>7</v>
      </c>
      <c r="D7">
        <v>1</v>
      </c>
      <c r="E7">
        <v>1</v>
      </c>
      <c r="F7" s="3">
        <f>0+(666.8-104.4)+(0+(-0.340068--0.053244))+0-0-0</f>
        <v>562.11317599999995</v>
      </c>
      <c r="G7" s="3">
        <f>0+(562-44.2)+(0+(-0.85986--0.067626))+0-0-0</f>
        <v>517.00776599999995</v>
      </c>
      <c r="H7" s="3">
        <f>0+(545.4-57.7)+(0+(0-0))+0-0-0</f>
        <v>487.7</v>
      </c>
      <c r="I7" s="3">
        <f>0+(561.3-73.1)+(0+(-1.145052--0.149124))+0-0-0</f>
        <v>487.20407199999994</v>
      </c>
      <c r="J7" s="3">
        <f>0+(579.9-105.9)+(0+(0.295749-0.054009))+0-0-0</f>
        <v>474.24173999999999</v>
      </c>
      <c r="K7" s="3">
        <f>0+(584.4-108.9)+(0+(-0.298044--0.055539))+0-0-0</f>
        <v>475.25749500000001</v>
      </c>
      <c r="L7" s="3">
        <f>0+(598.6-109.4)+(0+(-0.610572--0.111588))+0-0-0</f>
        <v>488.70101600000004</v>
      </c>
      <c r="M7" s="3">
        <f>0+(632.2-126.5)+(0+(-1.289688--0.25806))+0-0-0</f>
        <v>504.66837200000003</v>
      </c>
      <c r="N7" s="3">
        <f>0+(636.8-112.3)+(0+(0.649536-0.114546))+0-0-0</f>
        <v>525.03498999999999</v>
      </c>
      <c r="O7" s="3">
        <f>0+(662.6-101.8)+(0+(-0.337926--0.051918))+0-0-0</f>
        <v>560.51399200000003</v>
      </c>
      <c r="P7" s="3">
        <f>0+(674.3-98.2)+(0+(0-0))+0-0-0</f>
        <v>576.09999999999991</v>
      </c>
      <c r="Q7" s="3">
        <f>0+(706.4-106)+(0+(-0.720528--0.10812))+0-0-0</f>
        <v>599.78759200000002</v>
      </c>
      <c r="R7" s="3">
        <f>0+(733.3-113.8)+(0+(-0.373983--0.058038))+0-0-0</f>
        <v>619.18405499999994</v>
      </c>
      <c r="S7" s="3">
        <f>0+(712.4-91.9)+(0+(-1.089972--0.140607))+0-0-0</f>
        <v>619.55063500000006</v>
      </c>
      <c r="T7" s="3">
        <f>0+(683.1-65.7)+(0+(-1.393524--0.134028))+0-0-0</f>
        <v>616.14050399999996</v>
      </c>
      <c r="U7" s="3">
        <f>0+(682-72.4)+(0+(-0.69564--0.073848))+0-0-0</f>
        <v>608.978208</v>
      </c>
      <c r="V7" s="3">
        <f>0+(687-80.9)+(0+(-1.75185--0.206295))+0-0-0</f>
        <v>604.55444499999999</v>
      </c>
      <c r="W7" s="3">
        <f>0+(689.4-92.2)+(0+(0-0))+0-0-0</f>
        <v>597.19999999999993</v>
      </c>
      <c r="X7" s="3">
        <f>0+(712.2-111.5)+(0+(-1.089666--0.170595))+0-0-0</f>
        <v>599.78092900000001</v>
      </c>
      <c r="Y7" s="3">
        <f>0+(777.2-130.5)+(0+(0-0))+0-0-0</f>
        <v>646.70000000000005</v>
      </c>
      <c r="Z7" s="3">
        <f>0+(852.4-153)+(0+(-0.869448--0.15606))+0-0-0</f>
        <v>698.68661199999997</v>
      </c>
      <c r="AA7" s="3">
        <f>0+(837.4-162.5)+(0+(-0.854148--0.16575))+0-0-0</f>
        <v>674.21160199999997</v>
      </c>
      <c r="AB7" s="3">
        <f>0+(811.5-154.3)+(0+(-0.413865--0.078693))+0-0-0</f>
        <v>656.8648280000001</v>
      </c>
      <c r="AC7" s="3">
        <f>0+(816.6-167.2)+(0+(-0.416466--0.085272))+0-0-0</f>
        <v>649.06880600000011</v>
      </c>
      <c r="AD7">
        <f t="shared" si="0"/>
        <v>13849.250834999999</v>
      </c>
      <c r="AE7" s="3">
        <f>0+(849-129)+(0+(0-0))+0-0-0</f>
        <v>720</v>
      </c>
    </row>
    <row r="8" spans="1:31" s="2" customFormat="1" x14ac:dyDescent="0.25">
      <c r="A8">
        <v>89</v>
      </c>
      <c r="B8">
        <v>1</v>
      </c>
      <c r="C8">
        <v>8</v>
      </c>
      <c r="D8">
        <v>2</v>
      </c>
      <c r="E8">
        <v>1</v>
      </c>
      <c r="F8" s="3">
        <f>0+(706.3-121.9)+(0+(-1.440852--0.248676))+0-0-0</f>
        <v>583.20782399999996</v>
      </c>
      <c r="G8" s="3">
        <f>0+(621.3-75.5)+(0+(-0.950589--0.115515))+0-0-0</f>
        <v>544.96492599999999</v>
      </c>
      <c r="H8" s="3">
        <f>0+(592.9-43.4)+(0+(-1.209516--0.088536))+0-0-0</f>
        <v>548.37901999999997</v>
      </c>
      <c r="I8" s="3">
        <f>0+(548.9-60.3)+(0+(-0.559878--0.061506))+0-0-0</f>
        <v>488.10162799999995</v>
      </c>
      <c r="J8" s="3">
        <f>0+(513.6-12)+(0+(0-0))+0-0-0</f>
        <v>501.6</v>
      </c>
      <c r="K8" s="3">
        <f>0+(490.6-13)+(0+(0.250206-0.00663))+0-0-0</f>
        <v>477.84357600000004</v>
      </c>
      <c r="L8" s="3">
        <f>0+(517.2-13)+(0+(0.527544-0.01326))+0-0-0</f>
        <v>504.71428400000002</v>
      </c>
      <c r="M8" s="3">
        <f>0+(515.7-21.2)+(0+(-0.263007--0.010812))+0-0-0</f>
        <v>494.24780500000008</v>
      </c>
      <c r="N8" s="3">
        <f>0+(598-76.5)+(0+(-0.30498--0.039015))+0-0-0</f>
        <v>521.23403499999995</v>
      </c>
      <c r="O8" s="3">
        <f>0+(623.3-73.8)+(0+(-0.635766--0.075276))+0-0-0</f>
        <v>548.93951000000004</v>
      </c>
      <c r="P8" s="3">
        <f>0+(645.3-67.5)+(0+(0-0))+0-0-0</f>
        <v>577.79999999999995</v>
      </c>
      <c r="Q8" s="3">
        <f>0+(670.3-67.9)+(0+(-0.683706--0.069258))+0-0-0</f>
        <v>601.78555199999994</v>
      </c>
      <c r="R8" s="3">
        <f>0+(648.3-52.4)+(0+(-0.991899--0.080172))+0-0-0</f>
        <v>594.98827299999994</v>
      </c>
      <c r="S8" s="3">
        <f>0+(623-39.6)+(0+(0-0))+0-0-0</f>
        <v>583.4</v>
      </c>
      <c r="T8" s="3">
        <f>0+(603.9-31.1)+(0+(-1.231956--0.063444))+0-0-0</f>
        <v>571.63148799999999</v>
      </c>
      <c r="U8" s="3">
        <f>0+(608.9-39.8)+(0+(-0.931617--0.060894))+0-0-0</f>
        <v>568.22927700000002</v>
      </c>
      <c r="V8" s="3">
        <f>0+(614.8-47.2)+(0+(-0.313548--0.024072))+0-0-0</f>
        <v>567.31052399999987</v>
      </c>
      <c r="W8" s="3">
        <f>0+(597.2-34.8)+(0+(-0.913716--0.053244))+0-0-0</f>
        <v>561.53952800000013</v>
      </c>
      <c r="X8" s="3">
        <f>0+(629.3-45.3)+(0+(-0.320943--0.023103))+0-0-0</f>
        <v>583.70216000000005</v>
      </c>
      <c r="Y8" s="3">
        <f>0+(713.4-70.3)+(0+(-0.727668--0.071706))+0-0-0</f>
        <v>642.44403799999998</v>
      </c>
      <c r="Z8" s="3">
        <f>0+(822-133.9)+(0+(-1.67688--0.273156))+0-0-0</f>
        <v>686.69627600000001</v>
      </c>
      <c r="AA8" s="3">
        <f>0+(836.6-161.9)+(0+(-0.426666--0.082569))+0-0-0</f>
        <v>674.35590300000001</v>
      </c>
      <c r="AB8" s="3">
        <f>0+(814.8-160)+(0+(-1.246644--0.2448))+0-0-0</f>
        <v>653.79815599999995</v>
      </c>
      <c r="AC8" s="3">
        <f>0+(773-138.9)+(0+(0.39423-0.070839))+0-0-0</f>
        <v>634.42339100000004</v>
      </c>
      <c r="AD8">
        <f t="shared" si="0"/>
        <v>13715.337174000002</v>
      </c>
      <c r="AE8" s="3">
        <f>0+(826-139)+(0+(0-0))+0-0-0</f>
        <v>687</v>
      </c>
    </row>
    <row r="9" spans="1:31" s="2" customFormat="1" x14ac:dyDescent="0.25">
      <c r="A9">
        <v>89</v>
      </c>
      <c r="B9">
        <v>1</v>
      </c>
      <c r="C9">
        <v>9</v>
      </c>
      <c r="D9">
        <v>3</v>
      </c>
      <c r="E9">
        <v>1</v>
      </c>
      <c r="F9" s="3">
        <f>0+(697.8-87.4)+(0+(-1.77939--0.22287))+0-0-0</f>
        <v>608.84348</v>
      </c>
      <c r="G9" s="3">
        <f>0+(602.7-36.8)+(0+(-1.536885--0.09384))+0-0-0</f>
        <v>564.45695500000011</v>
      </c>
      <c r="H9" s="3">
        <f>0+(626.2-95.7)+(0+(0-0))+0-0-0</f>
        <v>530.5</v>
      </c>
      <c r="I9" s="3">
        <f>0+(632-114.5)+(0+(-0.64464--0.11679))+0-0-0</f>
        <v>516.97215000000006</v>
      </c>
      <c r="J9" s="3">
        <f>0+(615.1-95.5)+(0+(-1.568505--0.243525))+0-0-0</f>
        <v>518.27502000000004</v>
      </c>
      <c r="K9" s="3">
        <f>0+(548.6-31)+(0+(-0.559572--0.03162))+0-0-0</f>
        <v>517.072048</v>
      </c>
      <c r="L9" s="3">
        <f>0+(559.1-38)+(0+(0-0))+0-0-0</f>
        <v>521.1</v>
      </c>
      <c r="M9" s="3">
        <f>0+(570.5-53.7)+(0+(-0.290955--0.027387))+0-0-0</f>
        <v>516.53643199999999</v>
      </c>
      <c r="N9" s="3">
        <f>0+(630.7-80.8)+(0+(-0.643314--0.082416))+0-0-0</f>
        <v>549.33910200000014</v>
      </c>
      <c r="O9" s="3">
        <f>0+(658.6-75.4)+(0+(-0.335886--0.038454))+0-0-0</f>
        <v>582.90256800000009</v>
      </c>
      <c r="P9" s="3">
        <f>0+(661.9-55.4)+(0+(0-0))+0-0-0</f>
        <v>606.5</v>
      </c>
      <c r="Q9" s="3">
        <f>0+(678.3-59.5)+(0+(0-0))+0-0-0</f>
        <v>618.79999999999995</v>
      </c>
      <c r="R9" s="3">
        <f>0+(682-66.8)+(0+(0-0))+0-0-0</f>
        <v>615.20000000000005</v>
      </c>
      <c r="S9" s="3">
        <f>0+(666.1-57.4)+(0+(-1.358844--0.117096))+0-0-0</f>
        <v>607.45825200000002</v>
      </c>
      <c r="T9" s="3">
        <f>0+(650.5-43.3)+(0+(-0.995265--0.066249))+0-0-0</f>
        <v>606.270984</v>
      </c>
      <c r="U9" s="3">
        <f>0+(661.7-64.4)+(0+(-0.337467--0.032844))+0-0-0</f>
        <v>596.99537700000008</v>
      </c>
      <c r="V9" s="3">
        <f>0+(650.2-57.9)+(0+(-1.326408--0.118116))+0-0-0</f>
        <v>591.09170800000004</v>
      </c>
      <c r="W9" s="3">
        <f>0+(644.3-63.3)+(0+(0.328593-0.032283))+0-0-0</f>
        <v>581.29630999999995</v>
      </c>
      <c r="X9" s="3">
        <f>0+(630.9-40.4)+(0+(-1.287036--0.082416))+0-0-0</f>
        <v>589.29538000000002</v>
      </c>
      <c r="Y9" s="3">
        <f>0+(672-30.7)+(0+(0.34272-0.015657))+0-0-0</f>
        <v>641.62706299999991</v>
      </c>
      <c r="Z9" s="3">
        <f>0+(853.9-139.6)+(0+(-1.741956--0.284784))+0-0-0</f>
        <v>712.84282799999994</v>
      </c>
      <c r="AA9" s="3">
        <f>0+(827.8-132.3)+(0+(-0.422178--0.067473))+0-0-0</f>
        <v>695.14529500000003</v>
      </c>
      <c r="AB9" s="3">
        <f>0+(826.3-141.6)+(0+(-0.842826--0.144432))+0-0-0</f>
        <v>684.00160599999992</v>
      </c>
      <c r="AC9" s="3">
        <f>0+(797-125.4)+(0+(-1.21941--0.191862))+0-0-0</f>
        <v>670.572452</v>
      </c>
      <c r="AD9">
        <f t="shared" si="0"/>
        <v>14243.095010000001</v>
      </c>
      <c r="AE9" s="3">
        <f>0+(861.8-134)+(0+(0-0))+0-0-0</f>
        <v>727.8</v>
      </c>
    </row>
    <row r="10" spans="1:31" s="2" customFormat="1" x14ac:dyDescent="0.25">
      <c r="A10">
        <v>89</v>
      </c>
      <c r="B10">
        <v>1</v>
      </c>
      <c r="C10">
        <v>10</v>
      </c>
      <c r="D10">
        <v>4</v>
      </c>
      <c r="E10">
        <v>1</v>
      </c>
      <c r="F10" s="3">
        <f>0+(707.1-78.6)+(0+(-1.442484--0.160344))+0-0-0</f>
        <v>627.21785999999997</v>
      </c>
      <c r="G10" s="3">
        <f>0+(600.3-18.2)+(0+(-1.530765--0.04641))+0-0-0</f>
        <v>580.61564499999986</v>
      </c>
      <c r="H10" s="3">
        <f>0+(636.3-86)+(0+(-1.298052--0.17544))+0-0-0</f>
        <v>549.17738799999995</v>
      </c>
      <c r="I10" s="3">
        <f>0+(623.3-83.6)+(0+(-0.635766--0.085272))+0-0-0</f>
        <v>539.14950599999997</v>
      </c>
      <c r="J10" s="3">
        <f>0+(608.4-74.7)+(0+(0-0))+0-0-0</f>
        <v>533.69999999999993</v>
      </c>
      <c r="K10" s="3">
        <f>0+(590.1-56.8)+(0+(-0.601902--0.057936))+0-0-0</f>
        <v>532.75603400000011</v>
      </c>
      <c r="L10" s="3">
        <f>0+(607.9-63.9)+(0+(-0.620058--0.065178))+0-0-0</f>
        <v>543.44511999999997</v>
      </c>
      <c r="M10" s="3">
        <f>0+(626.5-95)+(0+(-0.63903--0.0969))+0-0-0</f>
        <v>530.95786999999996</v>
      </c>
      <c r="N10" s="3">
        <f>0+(668.5-107.1)+(0+(0.68187-0.109242))+0-0-0</f>
        <v>561.97262799999999</v>
      </c>
      <c r="O10" s="3">
        <f>0+(708.9-106.2)+(0+(0.361539-0.054162))+0-0-0</f>
        <v>603.00737699999991</v>
      </c>
      <c r="P10" s="3">
        <f>0+(714.8-83.7)+(0+(-0.364548--0.042687))+0-0-0</f>
        <v>630.7781389999999</v>
      </c>
      <c r="Q10" s="3">
        <f>0+(693.3-62.5)+(0+(0.353583-0.031875))+0-0-0</f>
        <v>631.1217079999999</v>
      </c>
      <c r="R10" s="3">
        <f>0+(672.3-50.2)+(0+(-0.685746--0.051204))+0-0-0</f>
        <v>621.4654579999999</v>
      </c>
      <c r="S10" s="3">
        <f>0+(658.5-42.3)+(0+(-1.34334--0.086292))+0-0-0</f>
        <v>614.94295199999999</v>
      </c>
      <c r="T10" s="3">
        <f>0+(656.9-47.3)+(0+(0.670038-0.048246))+0-0-0</f>
        <v>610.22179200000005</v>
      </c>
      <c r="U10" s="3">
        <f>0+(666-66)+(0+(0-0))+0-0-0</f>
        <v>600</v>
      </c>
      <c r="V10" s="3">
        <f>0+(674.6-75.3)+(0+(-0.688092--0.076806))+0-0-0</f>
        <v>598.68871400000012</v>
      </c>
      <c r="W10" s="3">
        <f>0+(667-73.4)+(0+(-0.34017--0.037434))+0-0-0</f>
        <v>593.29726400000004</v>
      </c>
      <c r="X10" s="3">
        <f>0+(668-78.2)+(0+(-0.68136--0.079764))+0-0-0</f>
        <v>589.19840399999998</v>
      </c>
      <c r="Y10" s="3">
        <f>0+(728.3-83.4)+(0+(-1.114299--0.127602))+0-0-0</f>
        <v>643.91330299999993</v>
      </c>
      <c r="Z10" s="3">
        <f>0+(855-131.6)+(0+(-0.8721--0.134232))+0-0-0</f>
        <v>722.66213199999993</v>
      </c>
      <c r="AA10" s="3">
        <f>0+(823.4-120.6)+(0+(-1.679736--0.246024))+0-0-0</f>
        <v>701.36628799999994</v>
      </c>
      <c r="AB10" s="3">
        <f>0+(791.9-103.1)+(0+(-1.615476--0.210324))+0-0-0</f>
        <v>687.39484799999991</v>
      </c>
      <c r="AC10" s="3">
        <f>0+(773.8-95.8)+(0+(-1.183914--0.146574))+0-0-0</f>
        <v>676.96266000000003</v>
      </c>
      <c r="AD10">
        <f t="shared" si="0"/>
        <v>14524.013089999997</v>
      </c>
      <c r="AE10" s="3">
        <f>0+(876.5-136.2)+(0+(0-0))+0-0-0</f>
        <v>740.3</v>
      </c>
    </row>
    <row r="11" spans="1:31" s="2" customFormat="1" x14ac:dyDescent="0.25">
      <c r="A11">
        <v>89</v>
      </c>
      <c r="B11">
        <v>1</v>
      </c>
      <c r="C11">
        <v>11</v>
      </c>
      <c r="D11">
        <v>5</v>
      </c>
      <c r="E11">
        <v>1</v>
      </c>
      <c r="F11" s="3">
        <f>0+(701.2-63.3)+(0+(-1.78806--0.161415))+0-0-0</f>
        <v>636.27335500000004</v>
      </c>
      <c r="G11" s="3">
        <f>0+(635.8-49.1)+(0+(-0.972774--0.075123))+0-0-0</f>
        <v>585.80234899999994</v>
      </c>
      <c r="H11" s="3">
        <f>0+(654.3-107.3)+(0+(-1.334772--0.218892))+0-0-0</f>
        <v>545.88412000000005</v>
      </c>
      <c r="I11" s="3">
        <f>0+(684.3-149.2)+(0+(-1.395972--0.304368))+0-0-0</f>
        <v>534.00839599999995</v>
      </c>
      <c r="J11" s="3">
        <f>0+(661.8-132.5)+(0+(-1.012554--0.202725))+0-0-0</f>
        <v>528.49017099999992</v>
      </c>
      <c r="K11" s="3">
        <f>0+(648.8-115.7)+(0+(0-0))+0-0-0</f>
        <v>533.09999999999991</v>
      </c>
      <c r="L11" s="3">
        <f>0+(642.1-104)+(0+(-0.982413--0.15912))+0-0-0</f>
        <v>537.27670699999999</v>
      </c>
      <c r="M11" s="3">
        <f>0+(651.9-119.7)+(0+(0-0))+0-0-0</f>
        <v>532.19999999999993</v>
      </c>
      <c r="N11" s="3">
        <f>0+(700.1-138)+(0+(-0.357051--0.07038))+0-0-0</f>
        <v>561.81332900000007</v>
      </c>
      <c r="O11" s="3">
        <f>0+(709.4-111.5)+(0+(-0.361794--0.056865))+0-0-0</f>
        <v>597.59507099999996</v>
      </c>
      <c r="P11" s="3">
        <f>0+(732.3-106.4)+(0+(-2.240838--0.325584))+0-0-0</f>
        <v>623.98474599999997</v>
      </c>
      <c r="Q11" s="3">
        <f>0+(747.6-102.8)+(0+(0-0))+0-0-0</f>
        <v>644.80000000000007</v>
      </c>
      <c r="R11" s="3">
        <f>0+(735.2-86)+(0+(-0.749904--0.08772))+0-0-0</f>
        <v>648.53781600000002</v>
      </c>
      <c r="S11" s="3">
        <f>0+(751-118.1)+(0+(0-0))+0-0-0</f>
        <v>632.9</v>
      </c>
      <c r="T11" s="3">
        <f>0+(753.1-131.4)+(0+(-0.384081--0.067014))+0-0-0</f>
        <v>621.38293300000009</v>
      </c>
      <c r="U11" s="3">
        <f>0+(762.4-143.6)+(0+(-1.555296--0.292944))+0-0-0</f>
        <v>617.53764799999999</v>
      </c>
      <c r="V11" s="3">
        <f>0+(762.9-149.5)+(0+(-0.778158--0.15249))+0-0-0</f>
        <v>612.77433199999996</v>
      </c>
      <c r="W11" s="3">
        <f>0+(744.7-133.5)+(0+(-1.139391--0.204255))+0-0-0</f>
        <v>610.26486399999999</v>
      </c>
      <c r="X11" s="3">
        <f>0+(737.7-127.4)+(0+(-0.752454--0.129948))+0-0-0</f>
        <v>609.67749400000002</v>
      </c>
      <c r="Y11" s="3">
        <f>0+(681.2-39.9)+(0+(-0.347412--0.020349))+0-0-0</f>
        <v>640.97293700000012</v>
      </c>
      <c r="Z11" s="3">
        <f>0+(805.7-84.6)+(0+(-1.232721--0.129438))+0-0-0</f>
        <v>719.99671699999999</v>
      </c>
      <c r="AA11" s="3">
        <f>0+(791-83.8)+(0+(-1.21023--0.128214))+0-0-0</f>
        <v>706.11798400000009</v>
      </c>
      <c r="AB11" s="3">
        <f>0+(760.9-67.4)+(0+(-1.164177--0.103122))+0-0-0</f>
        <v>692.43894499999999</v>
      </c>
      <c r="AC11" s="3">
        <f>0+(741.2-65.4)+(0+(-1.134036--0.100062))+0-0-0</f>
        <v>674.76602600000012</v>
      </c>
      <c r="AD11">
        <f t="shared" si="0"/>
        <v>14648.595939999999</v>
      </c>
      <c r="AE11" s="3">
        <f>0+(824.9-87.1)+(0+(0-0))+0-0-0</f>
        <v>737.8</v>
      </c>
    </row>
    <row r="12" spans="1:31" s="2" customFormat="1" x14ac:dyDescent="0.25">
      <c r="A12">
        <v>89</v>
      </c>
      <c r="B12">
        <v>1</v>
      </c>
      <c r="C12">
        <v>12</v>
      </c>
      <c r="D12">
        <v>6</v>
      </c>
      <c r="E12">
        <v>2</v>
      </c>
      <c r="F12" s="3">
        <f>0+(641.5-11.9)+(0+(-1.30866--0.024276))+0-0-0</f>
        <v>628.31561599999998</v>
      </c>
      <c r="G12" s="3">
        <f>0+(647.6-69.6)+(0+(-0.330276--0.035496))+0-0-0</f>
        <v>577.70522000000005</v>
      </c>
      <c r="H12" s="3">
        <f>0+(673.9-123)+(0+(-1.031067--0.18819))+0-0-0</f>
        <v>550.05712299999993</v>
      </c>
      <c r="I12" s="3">
        <f>0+(666.6-133)+(0+(-1.359864--0.27132))+0-0-0</f>
        <v>532.51145600000007</v>
      </c>
      <c r="J12" s="3">
        <f>0+(626-88.8)+(0+(-0.63852--0.090576))+0-0-0</f>
        <v>536.65205600000002</v>
      </c>
      <c r="K12" s="3">
        <f>0+(601.7-69.5)+(0+(0-0))+0-0-0</f>
        <v>532.20000000000005</v>
      </c>
      <c r="L12" s="3">
        <f>0+(608.7-75.3)+(0+(-1.552185--0.192015))+0-0-0</f>
        <v>532.03983000000005</v>
      </c>
      <c r="M12" s="3">
        <f>0+(625.9-116.3)+(0+(0.638418-0.118626))+0-0-0</f>
        <v>510.11979199999996</v>
      </c>
      <c r="N12" s="3">
        <f>0+(701.2-170.2)+(0+(0.357612-0.086802))+0-0-0</f>
        <v>531.27080999999998</v>
      </c>
      <c r="O12" s="3">
        <f>0+(732.7-164.9)+(0+(0-0))+0-0-0</f>
        <v>567.80000000000007</v>
      </c>
      <c r="P12" s="3">
        <f>0+(747.1-157.3)+(0+(-0.381021--0.080223))+0-0-0</f>
        <v>589.49920199999997</v>
      </c>
      <c r="Q12" s="3">
        <f>0+(750.3-148.9)+(0+(0-0))+0-0-0</f>
        <v>601.4</v>
      </c>
      <c r="R12" s="3">
        <f>0+(746.7-147.1)+(0+(-0.761634--0.150042))+0-0-0</f>
        <v>598.98840800000005</v>
      </c>
      <c r="S12" s="3">
        <f>0+(749.9-157.2)+(0+(-1.529796--0.320688))+0-0-0</f>
        <v>591.49089200000003</v>
      </c>
      <c r="T12" s="3">
        <f>0+(751.8-174.2)+(0+(1.150254-0.266526))+0-0-0</f>
        <v>578.48372799999993</v>
      </c>
      <c r="U12" s="3">
        <f>0+(739.7-171.5)+(0+(-1.131741--0.262395))+0-0-0</f>
        <v>567.3306540000001</v>
      </c>
      <c r="V12" s="3">
        <f>0+(751.2-186.4)+(0+(-0.766224--0.190128))+0-0-0</f>
        <v>564.22390400000006</v>
      </c>
      <c r="W12" s="3">
        <f>0+(738.2-183.4)+(0+(-1.129446--0.280602))+0-0-0</f>
        <v>553.95115600000008</v>
      </c>
      <c r="X12" s="3">
        <f>0+(737.2-180.6)+(0+(-1.503888--0.368424))+0-0-0</f>
        <v>555.46453600000007</v>
      </c>
      <c r="Y12" s="3">
        <f>0+(652.6-48.2)+(0+(0-0))+0-0-0</f>
        <v>604.4</v>
      </c>
      <c r="Z12" s="3">
        <f>0+(771.2-77.2)+(0+(-1.573248--0.157488))+0-0-0</f>
        <v>692.58424000000002</v>
      </c>
      <c r="AA12" s="3">
        <f>0+(756.3-78)+(0+(-0.385713--0.03978))+0-0-0</f>
        <v>677.95406700000001</v>
      </c>
      <c r="AB12" s="3">
        <f>0+(731.9-72.2)+(0+(-0.746538--0.073644))+0-0-0</f>
        <v>659.02710599999989</v>
      </c>
      <c r="AC12" s="3">
        <f>0+(685.6-46.7)+(0+(-1.398624--0.095268))+0-0-0</f>
        <v>637.59664399999997</v>
      </c>
      <c r="AD12">
        <f t="shared" si="0"/>
        <v>13971.066439999999</v>
      </c>
      <c r="AE12" s="3">
        <f>0+(802.7-90.9)+(0+(0-0))+0-0-0</f>
        <v>711.80000000000007</v>
      </c>
    </row>
    <row r="13" spans="1:31" s="2" customFormat="1" x14ac:dyDescent="0.25">
      <c r="A13">
        <v>89</v>
      </c>
      <c r="B13">
        <v>1</v>
      </c>
      <c r="C13">
        <v>13</v>
      </c>
      <c r="D13">
        <v>7</v>
      </c>
      <c r="E13">
        <v>2</v>
      </c>
      <c r="F13" s="3">
        <f>0+(622.8-21.9)+(0+(-0.635256--0.022338))+0-0-0</f>
        <v>600.28708199999994</v>
      </c>
      <c r="G13" s="3">
        <f>0+(560.8-17.6)+(0+(-0.572016--0.017952))+0-0-0</f>
        <v>542.64593599999989</v>
      </c>
      <c r="H13" s="3">
        <f>0+(601.5-90.9)+(0+(-0.61353--0.092718))+0-0-0</f>
        <v>510.07918800000004</v>
      </c>
      <c r="I13" s="3">
        <f>0+(629.1-135.4)+(0+(-0.962523--0.207162))+0-0-0</f>
        <v>492.94463900000005</v>
      </c>
      <c r="J13" s="3">
        <f>0+(656.5-168.3)+(0+(-0.66963--0.171666))+0-0-0</f>
        <v>487.70203599999996</v>
      </c>
      <c r="K13" s="3">
        <f>0+(680.8-198.4)+(0+(0.347208-0.101184))+0-0-0</f>
        <v>482.64602399999995</v>
      </c>
      <c r="L13" s="3">
        <f>0+(683.3-209.4)+(0+(-1.045449--0.320382))+0-0-0</f>
        <v>473.17493299999995</v>
      </c>
      <c r="M13" s="3">
        <f>0+(633.8-184.8)+(0+(0-0))+0-0-0</f>
        <v>448.99999999999994</v>
      </c>
      <c r="N13" s="3">
        <f>0+(620.7-160.4)+(0+(0.633114-0.163608))+0-0-0</f>
        <v>460.76950600000009</v>
      </c>
      <c r="O13" s="3">
        <f>0+(619.1-142.6)+(0+(-0.315741--0.072726))+0-0-0</f>
        <v>476.25698499999999</v>
      </c>
      <c r="P13" s="3">
        <f>0+(613.9-133)+(0+(-0.313089--0.06783))+0-0-0</f>
        <v>480.654741</v>
      </c>
      <c r="Q13" s="3">
        <f>0+(616.7-147)+(0+(-0.629034--0.14994))+0-0-0</f>
        <v>469.22090600000007</v>
      </c>
      <c r="R13" s="3">
        <f>0+(620.4-157.8)+(0+(-0.632808--0.160956))+0-0-0</f>
        <v>462.12814799999995</v>
      </c>
      <c r="S13" s="3">
        <f>0+(627.2-176.3)+(0+(-0.319872--0.089913))+0-0-0</f>
        <v>450.67004100000003</v>
      </c>
      <c r="T13" s="3">
        <f>0+(640.7-196.6)+(0+(0-0))+0-0-0</f>
        <v>444.1</v>
      </c>
      <c r="U13" s="3">
        <f>0+(645.6-202.2)+(0+(0-0))+0-0-0</f>
        <v>443.40000000000003</v>
      </c>
      <c r="V13" s="3">
        <f>0+(631.2-191.1)+(0+(0-0))+0-0-0</f>
        <v>440.1</v>
      </c>
      <c r="W13" s="3">
        <f>0+(639.2-190.2)+(0+(-0.977976--0.291006))+0-0-0</f>
        <v>448.31303000000008</v>
      </c>
      <c r="X13" s="3">
        <f>0+(637-173.2)+(0+(-0.64974--0.176664))+0-0-0</f>
        <v>463.32692400000002</v>
      </c>
      <c r="Y13" s="3">
        <f>0+(657.3-129.8)+(0+(-0.670446--0.132396))+0-0-0</f>
        <v>526.96195</v>
      </c>
      <c r="Z13" s="3">
        <f>0+(662.3-27.8)+(0+(-1.688865--0.07089))+0-0-0</f>
        <v>632.882025</v>
      </c>
      <c r="AA13" s="3">
        <f>0+(666.8-29)+(0+(-1.020204--0.04437))+0-0-0</f>
        <v>636.82416599999999</v>
      </c>
      <c r="AB13" s="3">
        <f>0+(643.5-19.5)+(0+(-0.65637--0.01989))+0-0-0</f>
        <v>623.36351999999999</v>
      </c>
      <c r="AC13" s="3">
        <f>0+(632-31.1)+(0+(-0.96696--0.047583))+0-0-0</f>
        <v>599.98062299999992</v>
      </c>
      <c r="AD13">
        <f t="shared" si="0"/>
        <v>12097.432403000004</v>
      </c>
      <c r="AE13" s="3">
        <f>0+(690-26.2)+(0+(0-0))+0-0-0</f>
        <v>663.8</v>
      </c>
    </row>
    <row r="14" spans="1:31" s="2" customFormat="1" x14ac:dyDescent="0.25">
      <c r="A14">
        <v>89</v>
      </c>
      <c r="B14">
        <v>1</v>
      </c>
      <c r="C14">
        <v>14</v>
      </c>
      <c r="D14">
        <v>1</v>
      </c>
      <c r="E14">
        <v>1</v>
      </c>
      <c r="F14" s="3">
        <f>0+(560.2-9.6)+(0+(-0.571404--0.009792))+0-0-0</f>
        <v>550.03838800000005</v>
      </c>
      <c r="G14" s="3">
        <f>0+(608.4-105)+(0+(-1.241136--0.2142))+0-0-0</f>
        <v>502.373064</v>
      </c>
      <c r="H14" s="3">
        <f>0+(621.9-137.8)+(0+(-0.317169--0.070278))+0-0-0</f>
        <v>483.85310899999996</v>
      </c>
      <c r="I14" s="3">
        <f>0+(598.1-115.8)+(0+(-0.305031--0.059058))+0-0-0</f>
        <v>482.05402700000002</v>
      </c>
      <c r="J14" s="3">
        <f>0+(570.8-84.4)+(0+(0.291108-0.043044))+0-0-0</f>
        <v>486.64806399999998</v>
      </c>
      <c r="K14" s="3">
        <f>0+(608.8-121.2)+(0+(0.620976-0.123624))+0-0-0</f>
        <v>488.09735199999994</v>
      </c>
      <c r="L14" s="3">
        <f>0+(639.4-112.4)+(0+(-1.304376--0.229296))+0-0-0</f>
        <v>525.92492000000004</v>
      </c>
      <c r="M14" s="3">
        <f>0+(650.2-94.9)+(0+(0.331602-0.048399))+0-0-0</f>
        <v>555.58320300000003</v>
      </c>
      <c r="N14" s="3">
        <f>0+(675.9-58.7)+(0+(0-0))+0-0-0</f>
        <v>617.19999999999993</v>
      </c>
      <c r="O14" s="3">
        <f>0+(705.4-37.2)+(0+(-0.359754--0.018972))+0-0-0</f>
        <v>667.85921799999994</v>
      </c>
      <c r="P14" s="3">
        <f>0+(728.5-16.1)+(0+(0-0))+0-0-0</f>
        <v>712.4</v>
      </c>
      <c r="Q14" s="3">
        <f>0+(750.3-17.5)+(0+(0-0))+0-0-0</f>
        <v>732.8</v>
      </c>
      <c r="R14" s="3">
        <f>0+(749.2-23.4)+(0+(0-0))+0-0-0</f>
        <v>725.80000000000007</v>
      </c>
      <c r="S14" s="3">
        <f>0+(758.2-48.1)+(0+(-1.546728--0.098124))+0-0-0</f>
        <v>708.65139599999998</v>
      </c>
      <c r="T14" s="3">
        <f>0+(771.2-62.9)+(0+(0.393312-0.032079))+0-0-0</f>
        <v>708.66123300000004</v>
      </c>
      <c r="U14" s="3">
        <f>0+(760.7-63)+(0+(0.775914-0.06426))+0-0-0</f>
        <v>698.411654</v>
      </c>
      <c r="V14" s="3">
        <f>0+(764.7-65.7)+(0+(-0.389997--0.033507))+0-0-0</f>
        <v>698.64350999999999</v>
      </c>
      <c r="W14" s="3">
        <f>0+(768.4-68.5)+(0+(-1.175652--0.104805))+0-0-0</f>
        <v>698.82915300000002</v>
      </c>
      <c r="X14" s="3">
        <f>0+(770.3-81.9)+(0+(-2.357118--0.250614))+0-0-0</f>
        <v>686.293496</v>
      </c>
      <c r="Y14" s="3">
        <f>0+(765.4-26.3)+(0+(0.390354-0.013413))+0-0-0</f>
        <v>739.47694100000001</v>
      </c>
      <c r="Z14" s="3">
        <f>0+(837.5-7)+(0+(-0.85425--0.00714))+0-0-0</f>
        <v>829.65288999999996</v>
      </c>
      <c r="AA14" s="3">
        <f>0+(820.1-16.6)+(0+(-1.673004--0.033864))+0-0-0</f>
        <v>801.86086</v>
      </c>
      <c r="AB14" s="3">
        <f>0+(806.9-32.1)+(0+(-1.646076--0.065484))+0-0-0</f>
        <v>773.21940799999993</v>
      </c>
      <c r="AC14" s="3">
        <f>0+(759.5-14.3)+(0+(-0.77469--0.014586))+0-0-0</f>
        <v>744.43989600000009</v>
      </c>
      <c r="AD14">
        <f t="shared" si="0"/>
        <v>15618.771782</v>
      </c>
      <c r="AE14" s="3">
        <f>0+(848.1-6.5)+(0+(0-0))+0-0-0</f>
        <v>841.6</v>
      </c>
    </row>
    <row r="15" spans="1:31" s="2" customFormat="1" x14ac:dyDescent="0.25">
      <c r="A15">
        <v>89</v>
      </c>
      <c r="B15">
        <v>1</v>
      </c>
      <c r="C15">
        <v>15</v>
      </c>
      <c r="D15">
        <v>2</v>
      </c>
      <c r="E15">
        <v>1</v>
      </c>
      <c r="F15" s="3">
        <f>0+(741.7-34)+(0+(-2.269602--0.10404))+0-0-0</f>
        <v>705.53443800000002</v>
      </c>
      <c r="G15" s="3">
        <f>0+(662.4-17.7)+(0+(-0.675648--0.018054))+0-0-0</f>
        <v>644.04240599999991</v>
      </c>
      <c r="H15" s="3">
        <f>0+(665-39.9)+(0+(-0.33915--0.020349))+0-0-0</f>
        <v>624.78119900000002</v>
      </c>
      <c r="I15" s="3">
        <f>0+(670-51.8)+(0+(-1.3668--0.105672))+0-0-0</f>
        <v>616.93887200000006</v>
      </c>
      <c r="J15" s="3">
        <f>0+(659.6-49.4)+(0+(-0.672792--0.050388))+0-0-0</f>
        <v>609.57759600000009</v>
      </c>
      <c r="K15" s="3">
        <f>0+(642.6-31.8)+(0+(-0.983178--0.048654))+0-0-0</f>
        <v>609.86547600000006</v>
      </c>
      <c r="L15" s="3">
        <f>0+(655.7-27.1)+(0+(-0.334407--0.013821))+0-0-0</f>
        <v>628.27941399999997</v>
      </c>
      <c r="M15" s="3">
        <f>0+(713.5-61.1)+(0+(-1.45554--0.124644))+0-0-0</f>
        <v>651.06910399999992</v>
      </c>
      <c r="N15" s="3">
        <f>0+(749-38)+(0+(0-0))+0-0-0</f>
        <v>711</v>
      </c>
      <c r="O15" s="3">
        <f>0+(754.9-11)+(0+(0-0))+0-0-0</f>
        <v>743.9</v>
      </c>
      <c r="P15" s="3">
        <f>0+(786.5-11.3)+(0+(-0.401115--0.005763))+0-0-0</f>
        <v>774.80464800000004</v>
      </c>
      <c r="Q15" s="3">
        <f>0+(793.3-7.5)+(0+(-0.809166--0.00765))+0-0-0</f>
        <v>784.99848399999996</v>
      </c>
      <c r="R15" s="3">
        <f>0+(785.6-8.1)+(0+(-1.602624--0.016524))+0-0-0</f>
        <v>775.91390000000001</v>
      </c>
      <c r="S15" s="3">
        <f>0+(792.4-42)+(0+(-0.808248--0.04284))+0-0-0</f>
        <v>749.634592</v>
      </c>
      <c r="T15" s="3">
        <f>0+(787.8-44.2)+(0+(-1.205334--0.067626))+0-0-0</f>
        <v>742.46229199999993</v>
      </c>
      <c r="U15" s="3">
        <f>0+(797.4-63.4)+(0+(0-0))+0-0-0</f>
        <v>734</v>
      </c>
      <c r="V15" s="3">
        <f>0+(782.4-41.9)+(0+(-1.197072--0.064107))+0-0-0</f>
        <v>739.36703499999999</v>
      </c>
      <c r="W15" s="3">
        <f>0+(764.9-28.2)+(0+(0.390099-0.014382))+0-0-0</f>
        <v>737.07571699999994</v>
      </c>
      <c r="X15" s="3">
        <f>0+(753-20.6)+(0+(-1.92015--0.05253))+0-0-0</f>
        <v>730.53237999999999</v>
      </c>
      <c r="Y15" s="3">
        <f>0+(773.5-17.1)+(0+(0.78897-0.017442))+0-0-0</f>
        <v>757.17152799999997</v>
      </c>
      <c r="Z15" s="3">
        <f>0+(855-1.7)+(0+(-0.8721--0.001734))+0-0-0</f>
        <v>852.42963399999996</v>
      </c>
      <c r="AA15" s="3">
        <f>0+(819.4-1.5)+(0+(-2.08947--0.003825))+0-0-0</f>
        <v>815.81435499999998</v>
      </c>
      <c r="AB15" s="3">
        <f>0+(801.7-7)+(0+(-0.817734--0.00714))+0-0-0</f>
        <v>793.88940600000001</v>
      </c>
      <c r="AC15" s="3">
        <f>0+(799.2-32.6)+(0+(-1.222776--0.049878))+0-0-0</f>
        <v>765.42710199999999</v>
      </c>
      <c r="AD15">
        <f t="shared" si="0"/>
        <v>17298.509578000001</v>
      </c>
      <c r="AE15" s="3">
        <f>0+(854.4-0)+(0+(0-0))+0-0-0</f>
        <v>854.4</v>
      </c>
    </row>
    <row r="16" spans="1:31" s="2" customFormat="1" x14ac:dyDescent="0.25">
      <c r="A16">
        <v>89</v>
      </c>
      <c r="B16">
        <v>1</v>
      </c>
      <c r="C16">
        <v>16</v>
      </c>
      <c r="D16">
        <v>3</v>
      </c>
      <c r="E16">
        <v>1</v>
      </c>
      <c r="F16" s="3">
        <f>0+(728.2-46.3)+(0+(-1.485528--0.094452))+0-0-0</f>
        <v>680.50892400000009</v>
      </c>
      <c r="G16" s="3">
        <f>0+(756.6-81.5)+(0+(0-0))+0-0-0</f>
        <v>675.1</v>
      </c>
      <c r="H16" s="3">
        <f>0+(780.6-127.8)+(0+(-0.796212--0.130356))+0-0-0</f>
        <v>652.13414400000011</v>
      </c>
      <c r="I16" s="3">
        <f>0+(772.8-135.3)+(0+(-1.576512--0.276012))+0-0-0</f>
        <v>636.19949999999994</v>
      </c>
      <c r="J16" s="3">
        <f>0+(758.9-129.8)+(0+(0.387039-0.066198))+0-0-0</f>
        <v>629.42084099999988</v>
      </c>
      <c r="K16" s="3">
        <f>0+(745.7-107.9)+(0+(0-0))+0-0-0</f>
        <v>637.80000000000007</v>
      </c>
      <c r="L16" s="3">
        <f>0+(743.2-85)+(0+(-0.379032--0.04335))+0-0-0</f>
        <v>657.86431800000003</v>
      </c>
      <c r="M16" s="3">
        <f>0+(746.7-57.4)+(0+(-0.380817--0.029274))+0-0-0</f>
        <v>688.94845700000008</v>
      </c>
      <c r="N16" s="3">
        <f>0+(786.7-45.8)+(0+(0.401217-0.023358))+0-0-0</f>
        <v>741.27785900000003</v>
      </c>
      <c r="O16" s="3">
        <f>0+(817.1-39.4)+(0+(0.416721-0.020094))+0-0-0</f>
        <v>778.09662700000001</v>
      </c>
      <c r="P16" s="3">
        <f>0+(855.8-52.7)+(0+(0.436458-0.026877))+0-0-0</f>
        <v>803.50958099999991</v>
      </c>
      <c r="Q16" s="3">
        <f>0+(924.3-102.4)+(0+(-0.471393--0.052224))+0-0-0</f>
        <v>821.48083099999997</v>
      </c>
      <c r="R16" s="3">
        <f>0+(896.7-84.9)+(0+(0-0))+0-0-0</f>
        <v>811.80000000000007</v>
      </c>
      <c r="S16" s="3">
        <f>0+(836.8-50.4)+(0+(-1.707072--0.102816))+0-0-0</f>
        <v>784.79574400000001</v>
      </c>
      <c r="T16" s="3">
        <f>0+(810.8-44)+(0+(-0.413508--0.02244))+0-0-0</f>
        <v>766.40893199999994</v>
      </c>
      <c r="U16" s="3">
        <f>0+(830.7-68.5)+(0+(-0.847314--0.06987))+0-0-0</f>
        <v>761.4225560000001</v>
      </c>
      <c r="V16" s="3">
        <f>0+(796.2-40.6)+(0+(-0.406062--0.020706))+0-0-0</f>
        <v>755.21464400000002</v>
      </c>
      <c r="W16" s="3">
        <f>0+(814.2-39.6)+(0+(-0.830484--0.040392))+0-0-0</f>
        <v>773.80990800000006</v>
      </c>
      <c r="X16" s="3">
        <f>0+(811.6-43.1)+(0+(-2.06958--0.109905))+0-0-0</f>
        <v>766.54032500000005</v>
      </c>
      <c r="Y16" s="3">
        <f>0+(834.7-50.9)+(0+(-0.425697--0.025959))+0-0-0</f>
        <v>783.40026200000011</v>
      </c>
      <c r="Z16" s="3">
        <f>0+(895.9-27.6)+(0+(-1.370727--0.042228))+0-0-0</f>
        <v>866.97150099999999</v>
      </c>
      <c r="AA16" s="3">
        <f>0+(902.2-55.9)+(0+(-1.840488--0.114036))+0-0-0</f>
        <v>844.57354800000007</v>
      </c>
      <c r="AB16" s="3">
        <f>0+(873.1-66.6)+(0+(-0.890562--0.067932))+0-0-0</f>
        <v>805.67737</v>
      </c>
      <c r="AC16" s="3">
        <f>0+(833.6-56)+(0+(-1.700544--0.11424))+0-0-0</f>
        <v>776.01369599999998</v>
      </c>
      <c r="AD16">
        <f t="shared" si="0"/>
        <v>17898.969568</v>
      </c>
      <c r="AE16" s="3">
        <f>0+(910.1-28.5)+(0+(0-0))+0-0-0</f>
        <v>881.6</v>
      </c>
    </row>
    <row r="17" spans="1:31" s="2" customFormat="1" x14ac:dyDescent="0.25">
      <c r="A17">
        <v>89</v>
      </c>
      <c r="B17">
        <v>1</v>
      </c>
      <c r="C17">
        <v>17</v>
      </c>
      <c r="D17">
        <v>4</v>
      </c>
      <c r="E17">
        <v>1</v>
      </c>
      <c r="F17" s="3">
        <f>0+(812.3-87.7)+(0+(-1.242819--0.134181))+0-0-0</f>
        <v>723.49136199999987</v>
      </c>
      <c r="G17" s="3">
        <f>0+(809.9-124)+(0+(-2.065245--0.3162))+0-0-0</f>
        <v>684.15095499999995</v>
      </c>
      <c r="H17" s="3">
        <f>0+(794.7-122.7)+(0+(-1.215891--0.187731))+0-0-0</f>
        <v>670.97184000000004</v>
      </c>
      <c r="I17" s="3">
        <f>0+(784.4-138.3)+(0+(-2.00022--0.352665))+0-0-0</f>
        <v>644.4524449999999</v>
      </c>
      <c r="J17" s="3">
        <f>0+(781.4-143.8)+(0+(0-0))+0-0-0</f>
        <v>637.59999999999991</v>
      </c>
      <c r="K17" s="3">
        <f>0+(780.4-124.3)+(0+(0.796008-0.126786))+0-0-0</f>
        <v>656.76922200000001</v>
      </c>
      <c r="L17" s="3">
        <f>0+(770.9-94.7)+(0+(0-0))+0-0-0</f>
        <v>676.19999999999993</v>
      </c>
      <c r="M17" s="3">
        <f>0+(749.5-57.5)+(0+(-1.52898--0.1173))+0-0-0</f>
        <v>690.58831999999995</v>
      </c>
      <c r="N17" s="3">
        <f>0+(780.5-24.9)+(0+(0-0))+0-0-0</f>
        <v>755.6</v>
      </c>
      <c r="O17" s="3">
        <f>0+(852.8-55.9)+(0+(1.304784-0.085527))+0-0-0</f>
        <v>798.11925699999995</v>
      </c>
      <c r="P17" s="3">
        <f>0+(891.9-77.6)+(0+(0.454869-0.039576))+0-0-0</f>
        <v>814.71529299999997</v>
      </c>
      <c r="Q17" s="3">
        <f>0+(897.7-71.6)+(0+(-1.373481--0.109548))+0-0-0</f>
        <v>824.83606700000007</v>
      </c>
      <c r="R17" s="3">
        <f>0+(846.7-37)+(0+(-0.431817--0.01887))+0-0-0</f>
        <v>809.28705300000001</v>
      </c>
      <c r="S17" s="3">
        <f>0+(828.4-37.2)+(0+(-0.844968--0.037944))+0-0-0</f>
        <v>790.39297599999998</v>
      </c>
      <c r="T17" s="3">
        <f>0+(828.1-50.9)+(0+(-0.422331--0.025959))+0-0-0</f>
        <v>776.803628</v>
      </c>
      <c r="U17" s="3">
        <f>0+(840.9-78.5)+(0+(0.857718-0.08007))+0-0-0</f>
        <v>763.17764799999998</v>
      </c>
      <c r="V17" s="3">
        <f>0+(842.6-99.4)+(0+(0.859452-0.101388))+0-0-0</f>
        <v>743.95806400000004</v>
      </c>
      <c r="W17" s="3">
        <f>0+(861.3-89.6)+(0+(-1.317789--0.137088))+0-0-0</f>
        <v>770.51929899999993</v>
      </c>
      <c r="X17" s="3">
        <f>0+(842.4-83.9)+(0+(-0.859248--0.085578))+0-0-0</f>
        <v>757.72632999999996</v>
      </c>
      <c r="Y17" s="3">
        <f>0+(894.4-98.5)+(0+(-0.912288--0.10047))+0-0-0</f>
        <v>795.08818199999996</v>
      </c>
      <c r="Z17" s="3">
        <f>0+(949.5-72.5)+(0+(-0.96849--0.07395))+0-0-0</f>
        <v>876.10545999999999</v>
      </c>
      <c r="AA17" s="3">
        <f>0+(930.8-84.9)+(0+(-0.949416--0.086598))+0-0-0</f>
        <v>845.03718200000003</v>
      </c>
      <c r="AB17" s="3">
        <f>0+(853.5-36.6)+(0+(0-0))+0-0-0</f>
        <v>816.9</v>
      </c>
      <c r="AC17" s="3">
        <f>0+(839.7-53.7)+(0+(-0.428247--0.027387))+0-0-0</f>
        <v>785.59914000000003</v>
      </c>
      <c r="AD17">
        <f t="shared" si="0"/>
        <v>18108.089722999997</v>
      </c>
      <c r="AE17" s="3">
        <f>0+(956.7-60.6)+(0+(0-0))+0-0-0</f>
        <v>896.1</v>
      </c>
    </row>
    <row r="18" spans="1:31" s="2" customFormat="1" x14ac:dyDescent="0.25">
      <c r="A18">
        <v>89</v>
      </c>
      <c r="B18">
        <v>1</v>
      </c>
      <c r="C18">
        <v>18</v>
      </c>
      <c r="D18">
        <v>5</v>
      </c>
      <c r="E18">
        <v>1</v>
      </c>
      <c r="F18" s="3">
        <f>0+(795-62.1)+(0+(-1.21635--0.095013))+0-0-0</f>
        <v>731.77866299999994</v>
      </c>
      <c r="G18" s="3">
        <f>0+(807.8-125.8)+(0+(0.411978-0.064158))+0-0-0</f>
        <v>682.34781999999996</v>
      </c>
      <c r="H18" s="3">
        <f>0+(845.7-187.7)+(0+(-0.431307--0.095727))+0-0-0</f>
        <v>657.66441999999995</v>
      </c>
      <c r="I18" s="3">
        <f>0+(845.9-209.5)+(0+(-0.431409--0.106845))+0-0-0</f>
        <v>636.07543599999997</v>
      </c>
      <c r="J18" s="3">
        <f>0+(845.2-209.1)+(0+(-2.586312--0.639846))+0-0-0</f>
        <v>634.15353400000004</v>
      </c>
      <c r="K18" s="3">
        <f>0+(829.8-192.9)+(0+(0-0))+0-0-0</f>
        <v>636.9</v>
      </c>
      <c r="L18" s="3">
        <f>0+(818.7-154.7)+(0+(-0.835074--0.157794))+0-0-0</f>
        <v>663.32272</v>
      </c>
      <c r="M18" s="3">
        <f>0+(802.9-106.2)+(0+(-0.409479--0.054162))+0-0-0</f>
        <v>696.34468299999992</v>
      </c>
      <c r="N18" s="3">
        <f>0+(819.6-59.2)+(0+(0.417996-0.030192))+0-0-0</f>
        <v>760.78780399999994</v>
      </c>
      <c r="O18" s="3">
        <f>0+(845.3-60.1)+(0+(0-0))+0-0-0</f>
        <v>785.19999999999993</v>
      </c>
      <c r="P18" s="3">
        <f>0+(888-62.5)+(0+(0-0))+0-0-0</f>
        <v>825.5</v>
      </c>
      <c r="Q18" s="3">
        <f>0+(854.1-33.4)+(0+(-0.871182--0.034068))+0-0-0</f>
        <v>819.862886</v>
      </c>
      <c r="R18" s="3">
        <f>0+(841.7-35.4)+(0+(-1.287801--0.054162))+0-0-0</f>
        <v>805.06636100000003</v>
      </c>
      <c r="S18" s="3">
        <f>0+(794.8-10.4)+(0+(-1.216044--0.015912))+0-0-0</f>
        <v>783.19986799999992</v>
      </c>
      <c r="T18" s="3">
        <f>0+(794.3-17.5)+(0+(-1.215279--0.026775))+0-0-0</f>
        <v>775.61149599999999</v>
      </c>
      <c r="U18" s="3">
        <f>0+(801.7-20.9)+(0+(-1.226601--0.031977))+0-0-0</f>
        <v>779.60537600000009</v>
      </c>
      <c r="V18" s="3">
        <f>0+(803.2-23.1)+(0+(-0.409632--0.011781))+0-0-0</f>
        <v>779.70214900000008</v>
      </c>
      <c r="W18" s="3">
        <f>0+(799.5-27.1)+(0+(-2.038725--0.069105))+0-0-0</f>
        <v>770.43038000000001</v>
      </c>
      <c r="X18" s="3">
        <f>0+(832.7-59.6)+(0+(-1.274031--0.091188))+0-0-0</f>
        <v>771.91715699999997</v>
      </c>
      <c r="Y18" s="3">
        <f>0+(863.6-42)+(0+(-0.880872--0.04284))+0-0-0</f>
        <v>820.76196800000002</v>
      </c>
      <c r="Z18" s="3">
        <f>0+(916-17.8)+(0+(-3.27012--0.063546))+0-0-0</f>
        <v>894.993426</v>
      </c>
      <c r="AA18" s="3">
        <f>0+(875.7-12)+(0+(-1.339821--0.01836))+0-0-0</f>
        <v>862.37853900000005</v>
      </c>
      <c r="AB18" s="3">
        <f>0+(846.5-16.2)+(0+(-1.295145--0.024786))+0-0-0</f>
        <v>829.02964099999997</v>
      </c>
      <c r="AC18" s="3">
        <f>0+(832.9-35.5)+(0+(0.424779-0.018105))+0-0-0</f>
        <v>797.80667399999993</v>
      </c>
      <c r="AD18">
        <f t="shared" si="0"/>
        <v>18200.441000999999</v>
      </c>
      <c r="AE18" s="3">
        <f>0+(935.2-21.6)+(0+(0-0))+0-0-0</f>
        <v>913.6</v>
      </c>
    </row>
    <row r="19" spans="1:31" s="2" customFormat="1" x14ac:dyDescent="0.25">
      <c r="A19">
        <v>89</v>
      </c>
      <c r="B19">
        <v>1</v>
      </c>
      <c r="C19">
        <v>19</v>
      </c>
      <c r="D19">
        <v>6</v>
      </c>
      <c r="E19">
        <v>1</v>
      </c>
      <c r="F19" s="3">
        <f>0+(860.6-121.4)+(0+(-1.755624--0.247656))+0-0-0</f>
        <v>737.69203200000004</v>
      </c>
      <c r="G19" s="3">
        <f>0+(858.3-150.5)+(0+(-1.313199--0.230265))+0-0-0</f>
        <v>706.71706599999993</v>
      </c>
      <c r="H19" s="3">
        <f>0+(877.4-192.4)+(0+(-0.894948--0.196248))+0-0-0</f>
        <v>684.30129999999997</v>
      </c>
      <c r="I19" s="3">
        <f>0+(852.5-196.6)+(0+(-1.304325--0.300798))+0-0-0</f>
        <v>654.89647300000001</v>
      </c>
      <c r="J19" s="3">
        <f>0+(845.3-185.8)+(0+(0-0))+0-0-0</f>
        <v>659.5</v>
      </c>
      <c r="K19" s="3">
        <f>0+(823.2-164.1)+(0+(0.419832-0.083691))+0-0-0</f>
        <v>659.43614100000002</v>
      </c>
      <c r="L19" s="3">
        <f>0+(814.8-135.1)+(0+(-0.831096--0.137802))+0-0-0</f>
        <v>679.00670599999989</v>
      </c>
      <c r="M19" s="3">
        <f>0+(807.4-102.3)+(0+(-0.411774--0.052173))+0-0-0</f>
        <v>704.74039900000002</v>
      </c>
      <c r="N19" s="3">
        <f>0+(862.2-119.7)+(0+(-0.439722--0.061047))+0-0-0</f>
        <v>742.12132499999996</v>
      </c>
      <c r="O19" s="3">
        <f>0+(821.1-47.7)+(0+(1.256283-0.072981))+0-0-0</f>
        <v>774.583302</v>
      </c>
      <c r="P19" s="3">
        <f>0+(801.8-12.7)+(0+(0.817836-0.012954))+0-0-0</f>
        <v>789.90488199999993</v>
      </c>
      <c r="Q19" s="3">
        <f>0+(808.9-7.8)+(0+(0.412539-0.003978))+0-0-0</f>
        <v>801.50856099999999</v>
      </c>
      <c r="R19" s="3">
        <f>0+(807.2-12.3)+(0+(0-0))+0-0-0</f>
        <v>794.90000000000009</v>
      </c>
      <c r="S19" s="3">
        <f>0+(782.9-18.6)+(0+(-1.597116--0.037944))+0-0-0</f>
        <v>762.74082799999996</v>
      </c>
      <c r="T19" s="3">
        <f>0+(798-40.3)+(0+(1.22094-0.061659))+0-0-0</f>
        <v>758.85928100000001</v>
      </c>
      <c r="U19" s="3">
        <f>0+(826.6-81.7)+(0+(-0.421566--0.041667))+0-0-0</f>
        <v>744.52010099999995</v>
      </c>
      <c r="V19" s="3">
        <f>0+(880.2-124.6)+(0+(-0.448902--0.063546))+0-0-0</f>
        <v>755.21464400000002</v>
      </c>
      <c r="W19" s="3">
        <f>0+(866.5-129.2)+(0+(-0.88383--0.131784))+0-0-0</f>
        <v>736.547954</v>
      </c>
      <c r="X19" s="3">
        <f>0+(894.7-156.9)+(0+(-0.456297--0.080019))+0-0-0</f>
        <v>737.42372200000011</v>
      </c>
      <c r="Y19" s="3">
        <f>0+(880.2-99.5)+(0+(0.897804-0.10149))+0-0-0</f>
        <v>781.4963140000001</v>
      </c>
      <c r="Z19" s="3">
        <f>0+(879.1-39.7)+(0+(0.448341-0.020247))+0-0-0</f>
        <v>839.82809399999996</v>
      </c>
      <c r="AA19" s="3">
        <f>0+(904.7-89.7)+(0+(0-0))+0-0-0</f>
        <v>815</v>
      </c>
      <c r="AB19" s="3">
        <f>0+(927.5-143.5)+(0+(-1.419075--0.219555))+0-0-0</f>
        <v>782.80047999999999</v>
      </c>
      <c r="AC19" s="3">
        <f>0+(923.1-169.3)+(0+(0-0))+0-0-0</f>
        <v>753.8</v>
      </c>
      <c r="AD19">
        <f t="shared" si="0"/>
        <v>17857.539605000002</v>
      </c>
      <c r="AE19" s="3">
        <f>0+(901.2-52.1)+(0+(0-0))+0-0-0</f>
        <v>849.1</v>
      </c>
    </row>
    <row r="20" spans="1:31" s="2" customFormat="1" x14ac:dyDescent="0.25">
      <c r="A20">
        <v>89</v>
      </c>
      <c r="B20">
        <v>1</v>
      </c>
      <c r="C20">
        <v>20</v>
      </c>
      <c r="D20">
        <v>7</v>
      </c>
      <c r="E20">
        <v>1</v>
      </c>
      <c r="F20" s="3">
        <f>0+(839.6-130.2)+(0+(-0.856392--0.132804))+0-0-0</f>
        <v>708.67641200000014</v>
      </c>
      <c r="G20" s="3">
        <f>0+(820.6-146.3)+(0+(-1.674024--0.298452))+0-0-0</f>
        <v>672.92442799999992</v>
      </c>
      <c r="H20" s="3">
        <f>0+(854.1-194.6)+(0+(-0.871182--0.198492))+0-0-0</f>
        <v>658.82731000000001</v>
      </c>
      <c r="I20" s="3">
        <f>0+(876.2-222)+(0+(-0.446862--0.11322))+0-0-0</f>
        <v>653.86635799999999</v>
      </c>
      <c r="J20" s="3">
        <f>0+(921.3-276.7)+(0+(-0.939726--0.282234))+0-0-0</f>
        <v>643.94250799999986</v>
      </c>
      <c r="K20" s="3">
        <f>0+(911.9-286.5)+(0+(-0.465069--0.146115))+0-0-0</f>
        <v>625.08104600000001</v>
      </c>
      <c r="L20" s="3">
        <f>0+(903.9-299.4)+(0+(-1.843956--0.610776))+0-0-0</f>
        <v>603.26682000000005</v>
      </c>
      <c r="M20" s="3">
        <f>0+(888.4-306.9)+(0+(0-0))+0-0-0</f>
        <v>581.5</v>
      </c>
      <c r="N20" s="3">
        <f>0+(857.6-268.8)+(0+(-0.874752--0.274176))+0-0-0</f>
        <v>588.19942399999991</v>
      </c>
      <c r="O20" s="3">
        <f>0+(830.6-205.4)+(0+(1.270818-0.314262))+0-0-0</f>
        <v>626.15655600000002</v>
      </c>
      <c r="P20" s="3">
        <f>0+(838.6-176.9)+(0+(0.855372-0.180438))+0-0-0</f>
        <v>662.37493400000005</v>
      </c>
      <c r="Q20" s="3">
        <f>0+(853.6-174.2)+(0+(0.435336-0.088842))+0-0-0</f>
        <v>679.7464940000001</v>
      </c>
      <c r="R20" s="3">
        <f>0+(856.6-165)+(0+(0-0))+0-0-0</f>
        <v>691.6</v>
      </c>
      <c r="S20" s="3">
        <f>0+(842.7-174.1)+(0+(-0.429777--0.088791))+0-0-0</f>
        <v>668.25901399999998</v>
      </c>
      <c r="T20" s="3">
        <f>0+(852.5-202.4)+(0+(-0.86955--0.206448))+0-0-0</f>
        <v>649.43689800000004</v>
      </c>
      <c r="U20" s="3">
        <f>0+(839.7-201.5)+(0+(0.428247-0.102765))+0-0-0</f>
        <v>638.52548200000001</v>
      </c>
      <c r="V20" s="3">
        <f>0+(811.6-183.1)+(0+(-1.655664--0.373524))+0-0-0</f>
        <v>627.21785999999997</v>
      </c>
      <c r="W20" s="3">
        <f>0+(812-165.9)+(0+(-0.82824--0.169218))+0-0-0</f>
        <v>645.44097799999997</v>
      </c>
      <c r="X20" s="3">
        <f>0+(807.1-169.3)+(0+(-2.469726--0.518058))+0-0-0</f>
        <v>635.84833199999991</v>
      </c>
      <c r="Y20" s="3">
        <f>0+(746.8-91.3)+(0+(0-0))+0-0-0</f>
        <v>655.5</v>
      </c>
      <c r="Z20" s="3">
        <f>0+(858.7-110.7)+(0+(-0.437937--0.056457))+0-0-0</f>
        <v>747.61851999999999</v>
      </c>
      <c r="AA20" s="3">
        <f>0+(854.6-130.6)+(0+(-1.307538--0.199818))+0-0-0</f>
        <v>722.89228000000003</v>
      </c>
      <c r="AB20" s="3">
        <f>0+(880.7-153.8)+(0+(-1.347471--0.235314))+0-0-0</f>
        <v>725.78784300000007</v>
      </c>
      <c r="AC20" s="3">
        <f>0+(827.6-135.5)+(0+(-1.688304--0.27642))+0-0-0</f>
        <v>690.68811600000004</v>
      </c>
      <c r="AD20">
        <f t="shared" si="0"/>
        <v>15803.377613000001</v>
      </c>
      <c r="AE20" s="3">
        <f>0+(886.1-135.9)+(0+(0-0))+0-0-0</f>
        <v>750.2</v>
      </c>
    </row>
    <row r="21" spans="1:31" s="2" customFormat="1" x14ac:dyDescent="0.25">
      <c r="A21">
        <v>89</v>
      </c>
      <c r="B21">
        <v>1</v>
      </c>
      <c r="C21">
        <v>21</v>
      </c>
      <c r="D21">
        <v>1</v>
      </c>
      <c r="E21">
        <v>1</v>
      </c>
      <c r="F21" s="3">
        <f>0+(791.3-153.6)+(0+(-2.017815--0.39168))+0-0-0</f>
        <v>636.07386499999996</v>
      </c>
      <c r="G21" s="3">
        <f>0+(837.9-234.8)+(0+(-2.136645--0.59874))+0-0-0</f>
        <v>601.56209499999989</v>
      </c>
      <c r="H21" s="3">
        <f>0+(829.2-246.3)+(0+(-2.537352--0.753678))+0-0-0</f>
        <v>581.11632600000007</v>
      </c>
      <c r="I21" s="3">
        <f>0+(802.5-219.4)+(0+(-0.409275--0.111894))+0-0-0</f>
        <v>582.80261900000005</v>
      </c>
      <c r="J21" s="3">
        <f>0+(792.2-217.1)+(0+(-1.212066--0.332163))+0-0-0</f>
        <v>574.22009700000001</v>
      </c>
      <c r="K21" s="3">
        <f>0+(772.8-198.5)+(0+(-0.788256--0.20247))+0-0-0</f>
        <v>573.71421399999997</v>
      </c>
      <c r="L21" s="3">
        <f>0+(745.2-133.6)+(0+(-2.280312--0.408816))+0-0-0</f>
        <v>609.72850400000004</v>
      </c>
      <c r="M21" s="3">
        <f>0+(771.4-113.6)+(0+(0.393414-0.057936))+0-0-0</f>
        <v>658.13547799999992</v>
      </c>
      <c r="N21" s="3">
        <f>0+(835.1-111.7)+(0+(0-0))+0-0-0</f>
        <v>723.4</v>
      </c>
      <c r="O21" s="3">
        <f>0+(852.5-86.6)+(0+(-0.86955--0.088332))+0-0-0</f>
        <v>765.11878200000001</v>
      </c>
      <c r="P21" s="3">
        <f>0+(906.6-109.5)+(0+(0.462366-0.055845))+0-0-0</f>
        <v>797.50652100000002</v>
      </c>
      <c r="Q21" s="3">
        <f>0+(927-123.9)+(0+(0.47277-0.063189))+0-0-0</f>
        <v>803.50958100000003</v>
      </c>
      <c r="R21" s="3">
        <f>0+(929.5-134.3)+(0+(-0.94809--0.136986))+0-0-0</f>
        <v>794.38889600000005</v>
      </c>
      <c r="S21" s="3">
        <f>0+(952.8-172.5)+(0+(-2.42964--0.439875))+0-0-0</f>
        <v>778.31023499999992</v>
      </c>
      <c r="T21" s="3">
        <f>0+(947.9-179.3)+(0+(0.483429-0.091443))+0-0-0</f>
        <v>768.99198599999988</v>
      </c>
      <c r="U21" s="3">
        <f>0+(946.5-178.7)+(0+(-1.93086--0.364548))+0-0-0</f>
        <v>766.23368799999992</v>
      </c>
      <c r="V21" s="3">
        <f>0+(908.7-154)+(0+(0-0))+0-0-0</f>
        <v>754.7</v>
      </c>
      <c r="W21" s="3">
        <f>0+(883.6-120.6)+(0+(-1.802544--0.246024))+0-0-0</f>
        <v>761.44348000000002</v>
      </c>
      <c r="X21" s="3">
        <f>0+(854-99)+(0+(-0.87108--0.10098))+0-0-0</f>
        <v>754.22990000000004</v>
      </c>
      <c r="Y21" s="3">
        <f>0+(818.3-35.8)+(0+(-1.669332--0.073032))+0-0-0</f>
        <v>780.90369999999996</v>
      </c>
      <c r="Z21" s="3">
        <f>0+(852.6-18.6)+(0+(-1.304478--0.028458))+0-0-0</f>
        <v>832.72397999999998</v>
      </c>
      <c r="AA21" s="3">
        <f>0+(891-59.7)+(0+(-1.36323--0.091341))+0-0-0</f>
        <v>830.02811099999997</v>
      </c>
      <c r="AB21" s="3">
        <f>0+(899.6-98)+(0+(-1.376388--0.14994))+0-0-0</f>
        <v>800.37355200000002</v>
      </c>
      <c r="AC21" s="3">
        <f>0+(843.9-53.2)+(0+(-1.721556--0.108528))+0-0-0</f>
        <v>789.08697199999995</v>
      </c>
      <c r="AD21">
        <f t="shared" si="0"/>
        <v>17318.302582</v>
      </c>
      <c r="AE21" s="3">
        <f>0+(917.4-11.1)+(0+(0-0))+0-0-0</f>
        <v>906.3</v>
      </c>
    </row>
    <row r="22" spans="1:31" s="2" customFormat="1" x14ac:dyDescent="0.25">
      <c r="A22">
        <v>89</v>
      </c>
      <c r="B22">
        <v>1</v>
      </c>
      <c r="C22">
        <v>22</v>
      </c>
      <c r="D22">
        <v>2</v>
      </c>
      <c r="E22">
        <v>1</v>
      </c>
      <c r="F22" s="3">
        <f>0+(812.2-78.5)+(0+(-0.828444--0.08007))+0-0-0</f>
        <v>732.95162600000003</v>
      </c>
      <c r="G22" s="3">
        <f>0+(787.2-102.4)+(0+(-2.00736--0.26112))+0-0-0</f>
        <v>683.05376000000012</v>
      </c>
      <c r="H22" s="3">
        <f>0+(842.8-131.2)+(0+(-1.289484--0.200736))+0-0-0</f>
        <v>710.5112519999999</v>
      </c>
      <c r="I22" s="3">
        <f>0+(798.2-98.5)+(0+(-1.221246--0.150705))+0-0-0</f>
        <v>698.629459</v>
      </c>
      <c r="J22" s="3">
        <f>0+(767.9-80)+(0+(-1.958145--0.204))+0-0-0</f>
        <v>686.14585499999998</v>
      </c>
      <c r="K22" s="3">
        <f>0+(757.9-84.1)+(0+(0.773058-0.085782))+0-0-0</f>
        <v>674.48727599999995</v>
      </c>
      <c r="L22" s="3">
        <f>0+(768.4-66.1)+(0+(-1.95942--0.168555))+0-0-0</f>
        <v>700.5091349999999</v>
      </c>
      <c r="M22" s="3">
        <f>0+(788.3-49.9)+(0+(-0.402033--0.025449))+0-0-0</f>
        <v>738.023416</v>
      </c>
      <c r="N22" s="3">
        <f>0+(870.8-73.1)+(0+(0.444108-0.037281))+0-0-0</f>
        <v>798.10682699999995</v>
      </c>
      <c r="O22" s="3">
        <f>0+(874.6-73.4)+(0+(-0.446046--0.037434))+0-0-0</f>
        <v>800.7913880000001</v>
      </c>
      <c r="P22" s="3">
        <f>0+(871.8-53.2)+(0+(-0.444618--0.027132))+0-0-0</f>
        <v>818.18251399999986</v>
      </c>
      <c r="Q22" s="3">
        <f>0+(847.9-26)+(0+(0.432429-0.01326))+0-0-0</f>
        <v>822.31916899999999</v>
      </c>
      <c r="R22" s="3">
        <f>0+(873.3-51.8)+(0+(-1.336149--0.079254))+0-0-0</f>
        <v>820.24310500000001</v>
      </c>
      <c r="S22" s="3">
        <f>0+(868.3-68.8)+(0+(-1.328499--0.105264))+0-0-0</f>
        <v>798.27676499999995</v>
      </c>
      <c r="T22" s="3">
        <f>0+(867.2-74.4)+(0+(0-0))+0-0-0</f>
        <v>792.80000000000007</v>
      </c>
      <c r="U22" s="3">
        <f>0+(839.8-53.5)+(0+(0-0))+0-0-0</f>
        <v>786.3</v>
      </c>
      <c r="V22" s="3">
        <f>0+(819.7-9.4)+(0+(-0.418047--0.004794))+0-0-0</f>
        <v>809.88674700000001</v>
      </c>
      <c r="W22" s="3">
        <f>0+(815.7-7.3)+(0+(-2.496042--0.022338))+0-0-0</f>
        <v>805.92629600000009</v>
      </c>
      <c r="X22" s="3">
        <f>0+(778-11.2)+(0+(-0.39678--0.005712))+0-0-0</f>
        <v>766.40893199999994</v>
      </c>
      <c r="Y22" s="3">
        <f>0+(802.8-11.2)+(0+(-0.818856--0.011424))+0-0-0</f>
        <v>790.79256799999996</v>
      </c>
      <c r="Z22" s="3">
        <f>0+(938-43.9)+(0+(-2.87028--0.134334))+0-0-0</f>
        <v>891.36405400000001</v>
      </c>
      <c r="AA22" s="3">
        <f>0+(928.4-56.1)+(0+(-1.893936--0.114444))+0-0-0</f>
        <v>870.52050799999995</v>
      </c>
      <c r="AB22" s="3">
        <f>0+(889.6-53.9)+(0+(0-0))+0-0-0</f>
        <v>835.7</v>
      </c>
      <c r="AC22" s="3">
        <f>0+(865.3-61.5)+(0+(-0.441303--0.031365))+0-0-0</f>
        <v>803.39006199999994</v>
      </c>
      <c r="AD22">
        <f t="shared" si="0"/>
        <v>18635.320713999998</v>
      </c>
      <c r="AE22" s="3">
        <f>0+(962.8-59.8)+(0+(0-0))+0-0-0</f>
        <v>903</v>
      </c>
    </row>
    <row r="23" spans="1:31" s="2" customFormat="1" x14ac:dyDescent="0.25">
      <c r="A23">
        <v>89</v>
      </c>
      <c r="B23">
        <v>1</v>
      </c>
      <c r="C23">
        <v>23</v>
      </c>
      <c r="D23">
        <v>3</v>
      </c>
      <c r="E23">
        <v>1</v>
      </c>
      <c r="F23" s="3">
        <f>0+(754.1-17)+(0+(-1.153773--0.02601))+0-0-0</f>
        <v>735.97223700000006</v>
      </c>
      <c r="G23" s="3">
        <f>0+(797-97.9)+(0+(0-0))+0-0-0</f>
        <v>699.1</v>
      </c>
      <c r="H23" s="3">
        <f>0+(796.3-128)+(0+(-0.812226--0.13056))+0-0-0</f>
        <v>667.618334</v>
      </c>
      <c r="I23" s="3">
        <f>0+(776.7-117.3)+(0+(-0.396117--0.059823))+0-0-0</f>
        <v>659.06370600000014</v>
      </c>
      <c r="J23" s="3">
        <f>0+(737.6-79.1)+(0+(-1.504704--0.161364))+0-0-0</f>
        <v>657.15665999999999</v>
      </c>
      <c r="K23" s="3">
        <f>0+(706.7-48.6)+(0+(-0.360417--0.024786))+0-0-0</f>
        <v>657.76436899999999</v>
      </c>
      <c r="L23" s="3">
        <f>0+(702.5-12.7)+(0+(-0.358275--0.006477))+0-0-0</f>
        <v>689.44820199999992</v>
      </c>
      <c r="M23" s="3">
        <f>0+(720.3-0)+(0+(-0.734706-0))+0-0-0</f>
        <v>719.56529399999999</v>
      </c>
      <c r="N23" s="3">
        <f>0+(772.4-2.1)+(0+(-1.575696--0.004284))+0-0-0</f>
        <v>768.72858799999995</v>
      </c>
      <c r="O23" s="3">
        <f>0+(810.8-1.8)+(0+(-1.240524--0.002754))+0-0-0</f>
        <v>807.76223000000005</v>
      </c>
      <c r="P23" s="3">
        <f>0+(833.7-2.6)+(0+(-1.275561--0.003978))+0-0-0</f>
        <v>829.82841700000006</v>
      </c>
      <c r="Q23" s="3">
        <f>0+(834.6-0)+(0+(-0.851292-0))+0-0-0</f>
        <v>833.74870800000008</v>
      </c>
      <c r="R23" s="3">
        <f>0+(820.2-0)+(0+(0-0))+0-0-0</f>
        <v>820.2</v>
      </c>
      <c r="S23" s="3">
        <f>0+(812.1-2.4)+(0+(-0.414171--0.001224))+0-0-0</f>
        <v>809.28705300000001</v>
      </c>
      <c r="T23" s="3">
        <f>0+(817.5-16.9)+(0+(-0.83385--0.017238))+0-0-0</f>
        <v>799.78338800000006</v>
      </c>
      <c r="U23" s="3">
        <f>0+(790-0)+(0+(-0.8058-0))+0-0-0</f>
        <v>789.19420000000002</v>
      </c>
      <c r="V23" s="3">
        <f>0+(808.4-15)+(0+(-0.824568--0.0153))+0-0-0</f>
        <v>792.590732</v>
      </c>
      <c r="W23" s="3">
        <f>0+(831.2-25.7)+(0+(-0.423912--0.013107))+0-0-0</f>
        <v>805.08919500000002</v>
      </c>
      <c r="X23" s="3">
        <f>0+(852.7-55.1)+(0+(-0.434877--0.028101))+0-0-0</f>
        <v>797.19322399999999</v>
      </c>
      <c r="Y23" s="3">
        <f>0+(910.2-68.9)+(0+(0-0))+0-0-0</f>
        <v>841.30000000000007</v>
      </c>
      <c r="Z23" s="3">
        <f>0+(988.6-81.2)+(0+(-1.008372--0.082824))+0-0-0</f>
        <v>906.47445199999993</v>
      </c>
      <c r="AA23" s="3">
        <f>0+(1007.4-123)+(0+(-1.027548--0.12546))+0-0-0</f>
        <v>883.49791199999993</v>
      </c>
      <c r="AB23" s="3">
        <f>0+(906.8-62.6)+(0+(-1.849872--0.127704))+0-0-0</f>
        <v>842.47783199999992</v>
      </c>
      <c r="AC23" s="3">
        <f>0+(833.9-26.1)+(0+(-0.850578--0.026622))+0-0-0</f>
        <v>806.976044</v>
      </c>
      <c r="AD23">
        <f t="shared" si="0"/>
        <v>18619.820777000001</v>
      </c>
      <c r="AE23" s="3">
        <f>0+(969-48.4)+(0+(0-0))+0-0-0</f>
        <v>920.6</v>
      </c>
    </row>
    <row r="24" spans="1:31" s="2" customFormat="1" x14ac:dyDescent="0.25">
      <c r="A24">
        <v>89</v>
      </c>
      <c r="B24">
        <v>1</v>
      </c>
      <c r="C24">
        <v>24</v>
      </c>
      <c r="D24">
        <v>4</v>
      </c>
      <c r="E24">
        <v>1</v>
      </c>
      <c r="F24" s="3">
        <f>0+(828.7-84.3)+(0+(-1.267911--0.128979))+0-0-0</f>
        <v>743.26106800000014</v>
      </c>
      <c r="G24" s="3">
        <f>0+(780-71.2)+(0+(-1.1934--0.108936))+0-0-0</f>
        <v>707.71553599999993</v>
      </c>
      <c r="H24" s="3">
        <f>0+(778.1-86.8)+(0+(0.396831-0.044268))+0-0-0</f>
        <v>691.6525630000001</v>
      </c>
      <c r="I24" s="3">
        <f>0+(779.6-92.7)+(0+(-1.192788--0.141831))+0-0-0</f>
        <v>685.84904299999994</v>
      </c>
      <c r="J24" s="3">
        <f>0+(776.1-96)+(0+(-1.979055--0.2448))+0-0-0</f>
        <v>678.36574500000006</v>
      </c>
      <c r="K24" s="3">
        <f>0+(750.5-66.9)+(0+(-1.148265--0.102357))+0-0-0</f>
        <v>682.55409199999997</v>
      </c>
      <c r="L24" s="3">
        <f>0+(752.7-38.7)+(0+(-0.383877--0.019737))+0-0-0</f>
        <v>713.63585999999998</v>
      </c>
      <c r="M24" s="3">
        <f>0+(759.8-8.5)+(0+(0-0))+0-0-0</f>
        <v>751.3</v>
      </c>
      <c r="N24" s="3">
        <f>0+(827.4-21.8)+(0+(0-0))+0-0-0</f>
        <v>805.6</v>
      </c>
      <c r="O24" s="3">
        <f>0+(863.1-16.6)+(0+(-0.440181--0.008466))+0-0-0</f>
        <v>846.06828499999995</v>
      </c>
      <c r="P24" s="3">
        <f>0+(872.2-18.2)+(0+(0-0))+0-0-0</f>
        <v>854</v>
      </c>
      <c r="Q24" s="3">
        <f>0+(908.2-37.8)+(0+(0-0))+0-0-0</f>
        <v>870.40000000000009</v>
      </c>
      <c r="R24" s="3">
        <f>0+(920.6-61.3)+(0+(-1.408518--0.093789))+0-0-0</f>
        <v>857.98527100000001</v>
      </c>
      <c r="S24" s="3">
        <f>0+(857.2-39.8)+(0+(-0.874344--0.040596))+0-0-0</f>
        <v>816.56625200000008</v>
      </c>
      <c r="T24" s="3">
        <f>0+(861.1-43.1)+(0+(-0.439161--0.021981))+0-0-0</f>
        <v>817.58281999999997</v>
      </c>
      <c r="U24" s="3">
        <f>0+(866.5-52)+(0+(0.441915-0.02652))+0-0-0</f>
        <v>814.91539499999999</v>
      </c>
      <c r="V24" s="3">
        <f>0+(888.3-79.9)+(0+(-0.453033--0.040749))+0-0-0</f>
        <v>807.98771599999998</v>
      </c>
      <c r="W24" s="3">
        <f>0+(888.5-88.3)+(0+(-1.359405--0.135099))+0-0-0</f>
        <v>798.97569400000009</v>
      </c>
      <c r="X24" s="3">
        <f>0+(885.8-89.5)+(0+(-2.25879--0.228225))+0-0-0</f>
        <v>794.26943499999993</v>
      </c>
      <c r="Y24" s="3">
        <f>0+(904.6-87.5)+(0+(-0.922692--0.08925))+0-0-0</f>
        <v>816.26655800000003</v>
      </c>
      <c r="Z24" s="3">
        <f>0+(1084.3-177.4)+(0+(-2.211972--0.361896))+0-0-0</f>
        <v>905.04992400000003</v>
      </c>
      <c r="AA24" s="3">
        <f>0+(1116.6-226.1)+(0+(-2.84733--0.576555))+0-0-0</f>
        <v>888.22922499999993</v>
      </c>
      <c r="AB24" s="3">
        <f>0+(1039.2-190.7)+(0+(-2.119968--0.389028))+0-0-0</f>
        <v>846.76905999999997</v>
      </c>
      <c r="AC24" s="3">
        <f>0+(942.8-135.6)+(0+(-1.923312--0.276624))+0-0-0</f>
        <v>805.55331199999989</v>
      </c>
      <c r="AD24">
        <f t="shared" si="0"/>
        <v>19000.552853999998</v>
      </c>
      <c r="AE24" s="3">
        <f>0+(1118-197)+(0+(0-0))+0-0-0</f>
        <v>921</v>
      </c>
    </row>
    <row r="25" spans="1:31" s="2" customFormat="1" x14ac:dyDescent="0.25">
      <c r="A25">
        <v>89</v>
      </c>
      <c r="B25">
        <v>1</v>
      </c>
      <c r="C25">
        <v>25</v>
      </c>
      <c r="D25">
        <v>5</v>
      </c>
      <c r="E25">
        <v>1</v>
      </c>
      <c r="F25" s="3">
        <f>0+(847-91.5)+(0+(-1.29591--0.139995))+0-0-0</f>
        <v>754.34408499999995</v>
      </c>
      <c r="G25" s="3">
        <f>0+(757.5-35.5)+(0+(-1.158975--0.054315))+0-0-0</f>
        <v>720.89534000000003</v>
      </c>
      <c r="H25" s="3">
        <f>0+(730.6-36.5)+(0+(-0.745212--0.03723))+0-0-0</f>
        <v>693.39201800000001</v>
      </c>
      <c r="I25" s="3">
        <f>0+(745.8-52)+(0+(-0.760716--0.05304))+0-0-0</f>
        <v>693.09232399999996</v>
      </c>
      <c r="J25" s="3">
        <f>0+(728.8-37.6)+(0+(-0.743376--0.038352))+0-0-0</f>
        <v>690.49497599999995</v>
      </c>
      <c r="K25" s="3">
        <f>0+(696.4-14)+(0+(0.355164-0.00714))+0-0-0</f>
        <v>682.74802399999999</v>
      </c>
      <c r="L25" s="3">
        <f>0+(701.1-1.3)+(0+(-0.357561--0.000663))+0-0-0</f>
        <v>699.44310200000007</v>
      </c>
      <c r="M25" s="3">
        <f>0+(734.8-1.4)+(0+(0.374748-0.000714))+0-0-0</f>
        <v>733.77403400000003</v>
      </c>
      <c r="N25" s="3">
        <f>0+(810.9-17.3)+(0+(0-0))+0-0-0</f>
        <v>793.6</v>
      </c>
      <c r="O25" s="3">
        <f>0+(870.5-41)+(0+(-0.443955--0.02091))+0-0-0</f>
        <v>829.076955</v>
      </c>
      <c r="P25" s="3">
        <f>0+(930.9-58.5)+(0+(0.949518-0.05967))+0-0-0</f>
        <v>873.28984800000001</v>
      </c>
      <c r="Q25" s="3">
        <f>0+(916.9-47.1)+(0+(-1.402857--0.072063))+0-0-0</f>
        <v>868.46920599999999</v>
      </c>
      <c r="R25" s="3">
        <f>0+(896-27.7)+(0+(0.45696-0.014127))+0-0-0</f>
        <v>868.74283299999991</v>
      </c>
      <c r="S25" s="3">
        <f>0+(848.1-18.1)+(0+(-0.432531--0.009231))+0-0-0</f>
        <v>829.57669999999996</v>
      </c>
      <c r="T25" s="3">
        <f>0+(822.5-9.5)+(0+(0.419475-0.004845))+0-0-0</f>
        <v>813.41462999999999</v>
      </c>
      <c r="U25" s="3">
        <f>0+(821.6-10.1)+(0+(-1.257048--0.015453))+0-0-0</f>
        <v>810.25840500000004</v>
      </c>
      <c r="V25" s="3">
        <f>0+(835.1-26.5)+(0+(0-0))+0-0-0</f>
        <v>808.6</v>
      </c>
      <c r="W25" s="3">
        <f>0+(840.3-38.6)+(0+(-1.285659--0.059058))+0-0-0</f>
        <v>800.47339899999997</v>
      </c>
      <c r="X25" s="3">
        <f>0+(819.2-26.7)+(0+(-2.506752--0.081702))+0-0-0</f>
        <v>790.07494999999994</v>
      </c>
      <c r="Y25" s="3">
        <f>0+(824.9-17.2)+(0+(-0.841398--0.017544))+0-0-0</f>
        <v>806.87614599999995</v>
      </c>
      <c r="Z25" s="3">
        <f>0+(988.2-84.2)+(0+(-2.015928--0.171768))+0-0-0</f>
        <v>902.15584000000001</v>
      </c>
      <c r="AA25" s="3">
        <f>0+(996.6-106.9)+(0+(-1.524798--0.163557))+0-0-0</f>
        <v>888.3387590000001</v>
      </c>
      <c r="AB25" s="3">
        <f>0+(960.5-99.9)+(0+(-1.95942--0.203796))+0-0-0</f>
        <v>858.84437600000001</v>
      </c>
      <c r="AC25" s="3">
        <f>0+(876.9-62.4)+(0+(0-0))+0-0-0</f>
        <v>814.5</v>
      </c>
      <c r="AD25">
        <f t="shared" si="0"/>
        <v>19024.47595</v>
      </c>
      <c r="AE25" s="3">
        <f>0+(1036-119)+(0+(0-0))+0-0-0</f>
        <v>917</v>
      </c>
    </row>
    <row r="26" spans="1:31" s="2" customFormat="1" x14ac:dyDescent="0.25">
      <c r="A26">
        <v>89</v>
      </c>
      <c r="B26">
        <v>1</v>
      </c>
      <c r="C26">
        <v>26</v>
      </c>
      <c r="D26">
        <v>6</v>
      </c>
      <c r="E26">
        <v>1</v>
      </c>
      <c r="F26" s="3">
        <f>0+(776.6-14.3)+(0+(-1.188198--0.021879))+0-0-0</f>
        <v>761.13368100000002</v>
      </c>
      <c r="G26" s="3">
        <f>0+(802.7-86.2)+(0+(-0.409377--0.043962))+0-0-0</f>
        <v>716.13458500000002</v>
      </c>
      <c r="H26" s="3">
        <f>0+(846.2-154)+(0+(0-0))+0-0-0</f>
        <v>692.2</v>
      </c>
      <c r="I26" s="3">
        <f>0+(840.1-158.5)+(0+(-1.713804--0.32334))+0-0-0</f>
        <v>680.20953600000007</v>
      </c>
      <c r="J26" s="3">
        <f>0+(833.3-152.4)+(0+(-1.274949--0.233172))+0-0-0</f>
        <v>679.85822299999995</v>
      </c>
      <c r="K26" s="3">
        <f>0+(822.4-144.2)+(0+(0-0))+0-0-0</f>
        <v>678.2</v>
      </c>
      <c r="L26" s="3">
        <f>0+(816.1-122.1)+(0+(-2.497266--0.373626))+0-0-0</f>
        <v>691.87635999999998</v>
      </c>
      <c r="M26" s="3">
        <f>0+(814.8-99.4)+(0+(0.415548-0.050694))+0-0-0</f>
        <v>715.76485400000001</v>
      </c>
      <c r="N26" s="3">
        <f>0+(835-70.6)+(0+(0-0))+0-0-0</f>
        <v>764.4</v>
      </c>
      <c r="O26" s="3">
        <f>0+(835.7-38.1)+(0+(0.852414-0.038862))+0-0-0</f>
        <v>798.41355199999998</v>
      </c>
      <c r="P26" s="3">
        <f>0+(846.4-24)+(0+(-1.294992--0.03672))+0-0-0</f>
        <v>821.14172799999994</v>
      </c>
      <c r="Q26" s="3">
        <f>0+(833.6-11.4)+(0+(-1.275408--0.017442))+0-0-0</f>
        <v>820.94203400000004</v>
      </c>
      <c r="R26" s="3">
        <f>0+(823.4-16.8)+(0+(0-0))+0-0-0</f>
        <v>806.6</v>
      </c>
      <c r="S26" s="3">
        <f>0+(792.8-19.6)+(0+(-1.212984--0.029988))+0-0-0</f>
        <v>772.01700399999993</v>
      </c>
      <c r="T26" s="3">
        <f>0+(792.7-20.4)+(0+(-0.404277--0.010404))+0-0-0</f>
        <v>771.90612700000008</v>
      </c>
      <c r="U26" s="3">
        <f>0+(824.8-55.7)+(0+(-0.420648--0.028407))+0-0-0</f>
        <v>768.7077589999999</v>
      </c>
      <c r="V26" s="3">
        <f>0+(821.5-82.8)+(0+(-1.256895--0.126684))+0-0-0</f>
        <v>737.56978900000001</v>
      </c>
      <c r="W26" s="3">
        <f>0+(783.4-47.8)+(0+(-1.198602--0.073134))+0-0-0</f>
        <v>734.47453200000007</v>
      </c>
      <c r="X26" s="3">
        <f>0+(769.2-20.3)+(0+(-1.176876--0.031059))+0-0-0</f>
        <v>747.75418300000013</v>
      </c>
      <c r="Y26" s="3">
        <f>0+(772-12.1)+(0+(0.39372-0.006171))+0-0-0</f>
        <v>760.28754900000001</v>
      </c>
      <c r="Z26" s="3">
        <f>0+(878.2-21.8)+(0+(-0.895764--0.022236))+0-0-0</f>
        <v>855.52647200000013</v>
      </c>
      <c r="AA26" s="3">
        <f>0+(874.4-30.1)+(0+(-0.445944--0.015351))+0-0-0</f>
        <v>843.86940699999991</v>
      </c>
      <c r="AB26" s="3">
        <f>0+(835.6-19.2)+(0+(-0.852312--0.019584))+0-0-0</f>
        <v>815.567272</v>
      </c>
      <c r="AC26" s="3">
        <f>0+(839.1-57.4)+(0+(-2.567646--0.175644))+0-0-0</f>
        <v>779.307998</v>
      </c>
      <c r="AD26">
        <f t="shared" si="0"/>
        <v>18213.862644999997</v>
      </c>
      <c r="AE26" s="3">
        <f>0+(919.3-34.6)+(0+(0-0))+0-0-0</f>
        <v>884.69999999999993</v>
      </c>
    </row>
    <row r="27" spans="1:31" s="2" customFormat="1" x14ac:dyDescent="0.25">
      <c r="A27">
        <v>89</v>
      </c>
      <c r="B27">
        <v>1</v>
      </c>
      <c r="C27">
        <v>27</v>
      </c>
      <c r="D27">
        <v>7</v>
      </c>
      <c r="E27">
        <v>1</v>
      </c>
      <c r="F27" s="3">
        <f>0+(847.6-107.9)+(0+(-0.864552--0.110058))+0-0-0</f>
        <v>738.94550600000002</v>
      </c>
      <c r="G27" s="3">
        <f>0+(839-140.2)+(0+(-2.13945--0.35751))+0-0-0</f>
        <v>697.01805999999999</v>
      </c>
      <c r="H27" s="3">
        <f>0+(814.8-141.7)+(0+(-2.07774--0.361335))+0-0-0</f>
        <v>671.3835949999999</v>
      </c>
      <c r="I27" s="3">
        <f>0+(872.8-206.8)+(0+(-0.890256--0.210936))+0-0-0</f>
        <v>665.32068000000004</v>
      </c>
      <c r="J27" s="3">
        <f>0+(878.8-218.5)+(0+(0-0))+0-0-0</f>
        <v>660.3</v>
      </c>
      <c r="K27" s="3">
        <f>0+(838-191.2)+(0+(-1.70952--0.390048))+0-0-0</f>
        <v>645.48052799999994</v>
      </c>
      <c r="L27" s="3">
        <f>0+(853.3-224.8)+(0+(-3.046281--0.802536))+0-0-0</f>
        <v>626.25625500000001</v>
      </c>
      <c r="M27" s="3">
        <f>0+(875.3-261.6)+(0+(-1.785612--0.533664))+0-0-0</f>
        <v>612.44805199999996</v>
      </c>
      <c r="N27" s="3">
        <f>0+(853.3-209.9)+(0+(0-0))+0-0-0</f>
        <v>643.4</v>
      </c>
      <c r="O27" s="3">
        <f>0+(819.1-144.6)+(0+(0.835482-0.147492))+0-0-0</f>
        <v>675.18799000000001</v>
      </c>
      <c r="P27" s="3">
        <f>0+(789.4-102.2)+(0+(0-0))+0-0-0</f>
        <v>687.19999999999993</v>
      </c>
      <c r="Q27" s="3">
        <f>0+(747.1-50.5)+(0+(-0.762042--0.05151))+0-0-0</f>
        <v>695.88946800000008</v>
      </c>
      <c r="R27" s="3">
        <f>0+(732.4-34.2)+(0+(-0.747048--0.034884))+0-0-0</f>
        <v>697.4878359999999</v>
      </c>
      <c r="S27" s="3">
        <f>0+(738.8-55)+(0+(0-0))+0-0-0</f>
        <v>683.8</v>
      </c>
      <c r="T27" s="3">
        <f>0+(811.4-148.1)+(0+(-1.655256--0.302124))+0-0-0</f>
        <v>661.94686799999999</v>
      </c>
      <c r="U27" s="3">
        <f>0+(834.7-173.5)+(0+(-2.979879--0.619395))+0-0-0</f>
        <v>658.839516</v>
      </c>
      <c r="V27" s="3">
        <f>0+(805.4-150)+(0+(-2.464524--0.459))+0-0-0</f>
        <v>653.39447599999994</v>
      </c>
      <c r="W27" s="3">
        <f>0+(787.7-126.1)+(0+(-0.401727--0.064311))+0-0-0</f>
        <v>661.26258400000006</v>
      </c>
      <c r="X27" s="3">
        <f>0+(740.7-74.7)+(0+(-1.888785--0.190485))+0-0-0</f>
        <v>664.30169999999998</v>
      </c>
      <c r="Y27" s="3">
        <f>0+(773.3-92.7)+(0+(-0.788766--0.094554))+0-0-0</f>
        <v>679.90578799999992</v>
      </c>
      <c r="Z27" s="3">
        <f>0+(873.2-86.1)+(0+(-0.890664--0.087822))+0-0-0</f>
        <v>786.29715799999997</v>
      </c>
      <c r="AA27" s="3">
        <f>0+(886.7-94.4)+(0+(0-0))+0-0-0</f>
        <v>792.30000000000007</v>
      </c>
      <c r="AB27" s="3">
        <f>0+(856.8-96.6)+(0+(-1.310904--0.147798))+0-0-0</f>
        <v>759.03689399999996</v>
      </c>
      <c r="AC27" s="3">
        <f>0+(829.6-106)+(0+(-1.269288--0.16218))+0-0-0</f>
        <v>722.49289199999998</v>
      </c>
      <c r="AD27">
        <f t="shared" si="0"/>
        <v>16439.895845999996</v>
      </c>
      <c r="AE27" s="3">
        <f>0+(904.3-109.6)+(0+(0-0))+0-0-0</f>
        <v>794.69999999999993</v>
      </c>
    </row>
    <row r="28" spans="1:31" s="2" customFormat="1" x14ac:dyDescent="0.25">
      <c r="A28">
        <v>89</v>
      </c>
      <c r="B28">
        <v>1</v>
      </c>
      <c r="C28">
        <v>28</v>
      </c>
      <c r="D28">
        <v>1</v>
      </c>
      <c r="E28">
        <v>1</v>
      </c>
      <c r="F28" s="3">
        <f>0+(783.3-109.1)+(0+(-1.997415--0.278205))+0-0-0</f>
        <v>672.48078999999996</v>
      </c>
      <c r="G28" s="3">
        <f>0+(793.4-153.2)+(0+(-2.427804--0.468792))+0-0-0</f>
        <v>638.24098800000002</v>
      </c>
      <c r="H28" s="3">
        <f>0+(827.2-200)+(0+(-1.687488--0.408))+0-0-0</f>
        <v>625.92051200000003</v>
      </c>
      <c r="I28" s="3">
        <f>0+(845.2-221.8)+(0+(-0.862104--0.226236))+0-0-0</f>
        <v>622.76413200000013</v>
      </c>
      <c r="J28" s="3">
        <f>0+(839.6-218.1)+(0+(-1.284588--0.333693))+0-0-0</f>
        <v>620.54910500000005</v>
      </c>
      <c r="K28" s="3">
        <f>0+(843.6-213.6)+(0+(-0.860472--0.217872))+0-0-0</f>
        <v>629.35739999999998</v>
      </c>
      <c r="L28" s="3">
        <f>0+(849.8-188)+(0+(-0.433398--0.09588))+0-0-0</f>
        <v>661.46248199999991</v>
      </c>
      <c r="M28" s="3">
        <f>0+(839.6-125)+(0+(0.428196-0.06375))+0-0-0</f>
        <v>714.96444600000007</v>
      </c>
      <c r="N28" s="3">
        <f>0+(885.1-90.6)+(0+(-0.451401--0.046206))+0-0-0</f>
        <v>794.09480499999995</v>
      </c>
      <c r="O28" s="3">
        <f>0+(839.4-17)+(0+(0-0))+0-0-0</f>
        <v>822.4</v>
      </c>
      <c r="P28" s="3">
        <f>0+(853-0)+(0+(-1.30509-0))+0-0-0</f>
        <v>851.69491000000005</v>
      </c>
      <c r="Q28" s="3">
        <f>0+(871.5-7.4)+(0+(-1.333395--0.011322))+0-0-0</f>
        <v>862.77792699999998</v>
      </c>
      <c r="R28" s="3">
        <f>0+(895.8-39.7)+(0+(-1.370574--0.060741))+0-0-0</f>
        <v>854.79016699999988</v>
      </c>
      <c r="S28" s="3">
        <f>0+(910.4-80.9)+(0+(-2.32152--0.206295))+0-0-0</f>
        <v>827.38477499999999</v>
      </c>
      <c r="T28" s="3">
        <f>0+(864.6-46.4)+(0+(-1.322838--0.070992))+0-0-0</f>
        <v>816.94815400000005</v>
      </c>
      <c r="U28" s="3">
        <f>0+(857.1-51.1)+(0+(-0.437121--0.026061))+0-0-0</f>
        <v>805.58893999999998</v>
      </c>
      <c r="V28" s="3">
        <f>0+(909.4-102.6)+(0+(-0.927588--0.104652))+0-0-0</f>
        <v>805.97706399999993</v>
      </c>
      <c r="W28" s="3">
        <f>0+(879.9-71.2)+(0+(-0.448749--0.036312))+0-0-0</f>
        <v>808.28756299999998</v>
      </c>
      <c r="X28" s="3">
        <f>0+(872.9-68)+(0+(-1.335537--0.10404))+0-0-0</f>
        <v>803.66850299999999</v>
      </c>
      <c r="Y28" s="3">
        <f>0+(853.1-13.4)+(0+(-0.435081--0.006834))+0-0-0</f>
        <v>839.27175299999999</v>
      </c>
      <c r="Z28" s="3">
        <f>0+(940.6-10.4)+(0+(-1.918824--0.021216))+0-0-0</f>
        <v>928.30239200000005</v>
      </c>
      <c r="AA28" s="3">
        <f>0+(925.3-21.9)+(0+(-1.415709--0.033507))+0-0-0</f>
        <v>902.01779799999997</v>
      </c>
      <c r="AB28" s="3">
        <f>0+(909.6-44.6)+(0+(-0.927792--0.045492))+0-0-0</f>
        <v>864.11770000000001</v>
      </c>
      <c r="AC28" s="3">
        <f>0+(830.5-14.9)+(0+(-0.84711--0.015198))+0-0-0</f>
        <v>814.76808800000003</v>
      </c>
      <c r="AD28">
        <f t="shared" si="0"/>
        <v>18587.830393999997</v>
      </c>
      <c r="AE28" s="3">
        <f>0+(954.4-13.4)+(0+(0-0))+0-0-0</f>
        <v>941</v>
      </c>
    </row>
    <row r="29" spans="1:31" s="2" customFormat="1" x14ac:dyDescent="0.25">
      <c r="A29">
        <v>89</v>
      </c>
      <c r="B29">
        <v>1</v>
      </c>
      <c r="C29">
        <v>29</v>
      </c>
      <c r="D29">
        <v>2</v>
      </c>
      <c r="E29">
        <v>1</v>
      </c>
      <c r="F29" s="3">
        <f>0+(824.3-59.1)+(0+(-1.261179--0.090423))+0-0-0</f>
        <v>764.02924399999995</v>
      </c>
      <c r="G29" s="3">
        <f>0+(811.4-88.1)+(0+(-1.655256--0.179724))+0-0-0</f>
        <v>721.82446799999991</v>
      </c>
      <c r="H29" s="3">
        <f>0+(820.7-118.5)+(0+(-0.418557--0.060435))+0-0-0</f>
        <v>701.84187800000007</v>
      </c>
      <c r="I29" s="3">
        <f>0+(821.7-130.1)+(0+(-0.419067--0.066351))+0-0-0</f>
        <v>691.24728400000004</v>
      </c>
      <c r="J29" s="3">
        <f>0+(828.3-140.2)+(0+(-0.844866--0.143004))+0-0-0</f>
        <v>687.3981379999999</v>
      </c>
      <c r="K29" s="3">
        <f>0+(824-126.3)+(0+(-2.1012--0.322065))+0-0-0</f>
        <v>695.92086500000005</v>
      </c>
      <c r="L29" s="3">
        <f>0+(815.9-97.3)+(0+(-0.416109--0.049623))+0-0-0</f>
        <v>718.23351400000001</v>
      </c>
      <c r="M29" s="3">
        <f>0+(816.8-71.4)+(0+(-0.833136--0.072828))+0-0-0</f>
        <v>744.63969199999997</v>
      </c>
      <c r="N29" s="3">
        <f>0+(828.1-39.9)+(0+(-1.266993--0.061047))+0-0-0</f>
        <v>786.99405400000001</v>
      </c>
      <c r="O29" s="3">
        <f>0+(829.7-4)+(0+(0-0))+0-0-0</f>
        <v>825.7</v>
      </c>
      <c r="P29" s="3">
        <f>0+(852.4-1)+(0+(0-0))+0-0-0</f>
        <v>851.4</v>
      </c>
      <c r="Q29" s="3">
        <f>0+(859-0)+(0+(-0.87618-0))+0-0-0</f>
        <v>858.12382000000002</v>
      </c>
      <c r="R29" s="3">
        <f>0+(838.2-0)+(0+(-1.282446-0))+0-0-0</f>
        <v>836.917554</v>
      </c>
      <c r="S29" s="3">
        <f>0+(803.3-0)+(0+(-0.409683-0))+0-0-0</f>
        <v>802.89031699999998</v>
      </c>
      <c r="T29" s="3">
        <f>0+(838.9-24.4)+(0+(0.427839-0.012444))+0-0-0</f>
        <v>814.91539499999999</v>
      </c>
      <c r="U29" s="3">
        <f>0+(832.6-30.2)+(0+(-1.698504--0.061608))+0-0-0</f>
        <v>800.763104</v>
      </c>
      <c r="V29" s="3">
        <f>0+(835.2-28.2)+(0+(-0.425952--0.014382))+0-0-0</f>
        <v>806.58843000000002</v>
      </c>
      <c r="W29" s="3">
        <f>0+(824.3-23.3)+(0+(-1.261179--0.035649))+0-0-0</f>
        <v>799.77446999999995</v>
      </c>
      <c r="X29" s="3">
        <f>0+(830-30.3)+(0+(-1.2699--0.046359))+0-0-0</f>
        <v>798.47645900000009</v>
      </c>
      <c r="Y29" s="3">
        <f>0+(828.4-16.3)+(0+(-0.844968--0.016626))+0-0-0</f>
        <v>811.271658</v>
      </c>
      <c r="Z29" s="3">
        <f>0+(914-30.6)+(0+(-1.86456--0.062424))+0-0-0</f>
        <v>881.59786399999996</v>
      </c>
      <c r="AA29" s="3">
        <f>0+(907.5-40.6)+(0+(-2.314125--0.10353))+0-0-0</f>
        <v>864.68940499999997</v>
      </c>
      <c r="AB29" s="3">
        <f>0+(885.1-57.7)+(0+(-0.451401--0.029427))+0-0-0</f>
        <v>826.978026</v>
      </c>
      <c r="AC29" s="3">
        <f>0+(812.3-19.6)+(0+(-0.828546--0.019992))+0-0-0</f>
        <v>791.89144599999997</v>
      </c>
      <c r="AD29">
        <f t="shared" si="0"/>
        <v>18884.107085</v>
      </c>
      <c r="AE29" s="3">
        <f>0+(931.8-38)+(0+(0-0))+0-0-0</f>
        <v>893.8</v>
      </c>
    </row>
    <row r="30" spans="1:31" s="2" customFormat="1" x14ac:dyDescent="0.25">
      <c r="A30">
        <v>89</v>
      </c>
      <c r="B30">
        <v>1</v>
      </c>
      <c r="C30">
        <v>30</v>
      </c>
      <c r="D30">
        <v>3</v>
      </c>
      <c r="E30">
        <v>1</v>
      </c>
      <c r="F30" s="3">
        <f>0+(790-60.3)+(0+(-1.2087--0.092259))+0-0-0</f>
        <v>728.58355900000004</v>
      </c>
      <c r="G30" s="3">
        <f>0+(819.8-133.4)+(0+(-1.672392--0.272136))+0-0-0</f>
        <v>684.99974399999996</v>
      </c>
      <c r="H30" s="3">
        <f>0+(868.3-192.9)+(0+(0-0))+0-0-0</f>
        <v>675.4</v>
      </c>
      <c r="I30" s="3">
        <f>0+(874.1-205.9)+(0+(-1.783164--0.420036))+0-0-0</f>
        <v>666.83687200000008</v>
      </c>
      <c r="J30" s="3">
        <f>0+(821.3-158.4)+(0+(-0.837726--0.161568))+0-0-0</f>
        <v>662.22384199999999</v>
      </c>
      <c r="K30" s="3">
        <f>0+(797.9-135.8)+(0+(-1.220787--0.207774))+0-0-0</f>
        <v>661.08698699999991</v>
      </c>
      <c r="L30" s="3">
        <f>0+(803-107.5)+(0+(-0.81906--0.10965))+0-0-0</f>
        <v>694.79058999999995</v>
      </c>
      <c r="M30" s="3">
        <f>0+(789.1-62.2)+(0+(-0.402441--0.031722))+0-0-0</f>
        <v>726.52928099999997</v>
      </c>
      <c r="N30" s="3">
        <f>0+(797.6-28.4)+(0+(0-0))+0-0-0</f>
        <v>769.2</v>
      </c>
      <c r="O30" s="3">
        <f>0+(824.5-6.4)+(0+(0.420495-0.003264))+0-0-0</f>
        <v>818.51723100000004</v>
      </c>
      <c r="P30" s="3">
        <f>0+(844.4-11.2)+(0+(0-0))+0-0-0</f>
        <v>833.19999999999993</v>
      </c>
      <c r="Q30" s="3">
        <f>0+(850.6-15.4)+(0+(-0.433806--0.007854))+0-0-0</f>
        <v>834.77404799999999</v>
      </c>
      <c r="R30" s="3">
        <f>0+(838.4-10.5)+(0+(0.855168-0.01071))+0-0-0</f>
        <v>828.74445800000001</v>
      </c>
      <c r="S30" s="3">
        <f>0+(804.5-5.3)+(0+(0.410295-0.002703))+0-0-0</f>
        <v>799.60759200000007</v>
      </c>
      <c r="T30" s="3">
        <f>0+(794-0)+(0+(-0.40494-0))+0-0-0</f>
        <v>793.59505999999999</v>
      </c>
      <c r="U30" s="3">
        <f>0+(790.7-0)+(0+(-2.016285-0))+0-0-0</f>
        <v>788.68371500000001</v>
      </c>
      <c r="V30" s="3">
        <f>0+(801.7-8.8)+(0+(-0.817734--0.008976))+0-0-0</f>
        <v>792.09124200000008</v>
      </c>
      <c r="W30" s="3">
        <f>0+(788.1-9)+(0+(-2.009655--0.02295))+0-0-0</f>
        <v>777.11329499999999</v>
      </c>
      <c r="X30" s="3">
        <f>0+(777.9-2.9)+(0+(-1.983645--0.007395))+0-0-0</f>
        <v>773.02374999999995</v>
      </c>
      <c r="Y30" s="3">
        <f>0+(793.8-0)+(0+(-1.214514-0))+0-0-0</f>
        <v>792.58548599999995</v>
      </c>
      <c r="Z30" s="3">
        <f>0+(906.9-15.6)+(0+(-1.850076--0.031824))+0-0-0</f>
        <v>889.48174799999993</v>
      </c>
      <c r="AA30" s="3">
        <f>0+(902-28)+(0+(-2.76012--0.08568))+0-0-0</f>
        <v>871.32556</v>
      </c>
      <c r="AB30" s="3">
        <f>0+(880.2-35.3)+(0+(-2.24451--0.090015))+0-0-0</f>
        <v>842.74550500000009</v>
      </c>
      <c r="AC30" s="3">
        <f>0+(836.7-37.7)+(0+(-2.560302--0.115362))+0-0-0</f>
        <v>796.55506000000003</v>
      </c>
      <c r="AD30">
        <f t="shared" si="0"/>
        <v>18501.694624999996</v>
      </c>
      <c r="AE30" s="3">
        <f>0+(928.1-22.6)+(0+(0-0))+0-0-0</f>
        <v>905.5</v>
      </c>
    </row>
    <row r="31" spans="1:31" s="2" customFormat="1" x14ac:dyDescent="0.25">
      <c r="A31">
        <v>89</v>
      </c>
      <c r="B31">
        <v>1</v>
      </c>
      <c r="C31">
        <v>31</v>
      </c>
      <c r="D31">
        <v>4</v>
      </c>
      <c r="E31">
        <v>1</v>
      </c>
      <c r="F31" s="3">
        <f>0+(812.7-70.4)+(0+(-2.486862--0.215424))+0-0-0</f>
        <v>740.02856200000008</v>
      </c>
      <c r="G31" s="3">
        <f>0+(859.9-143.5)+(0+(-2.631294--0.43911))+0-0-0</f>
        <v>714.20781599999998</v>
      </c>
      <c r="H31" s="3">
        <f>0+(851.3-153.7)+(0+(-0.434163--0.078387))+0-0-0</f>
        <v>697.24422399999992</v>
      </c>
      <c r="I31" s="3">
        <f>0+(781.2-89.7)+(0+(-0.796824--0.091494))+0-0-0</f>
        <v>690.79467</v>
      </c>
      <c r="J31" s="3">
        <f>0+(784.4-99.7)+(0+(0-0))+0-0-0</f>
        <v>684.69999999999993</v>
      </c>
      <c r="K31" s="3">
        <f>0+(764.4-82.6)+(0+(-0.389844--0.042126))+0-0-0</f>
        <v>681.45228199999997</v>
      </c>
      <c r="L31" s="3">
        <f>0+(759.1-58.9)+(0+(-0.774282--0.060078))+0-0-0</f>
        <v>699.48579600000005</v>
      </c>
      <c r="M31" s="3">
        <f>0+(792.1-53.5)+(0+(-0.807942--0.05457))+0-0-0</f>
        <v>737.84662800000001</v>
      </c>
      <c r="N31" s="3">
        <f>0+(828.3-38)+(0+(-1.267299--0.05814))+0-0-0</f>
        <v>789.09084099999995</v>
      </c>
      <c r="O31" s="3">
        <f>0+(847.1-9.3)+(0+(-1.296063--0.014229))+0-0-0</f>
        <v>836.51816600000006</v>
      </c>
      <c r="P31" s="3">
        <f>0+(849.1-8.3)+(0+(0-0))+0-0-0</f>
        <v>840.80000000000007</v>
      </c>
      <c r="Q31" s="3">
        <f>0+(853.5-9.5)+(0+(0.435285-0.004845))+0-0-0</f>
        <v>844.43043999999998</v>
      </c>
      <c r="R31" s="3">
        <f>0+(835.3-10)+(0+(-0.426003--0.0051))+0-0-0</f>
        <v>824.879097</v>
      </c>
      <c r="S31" s="3">
        <f>0+(825.4-10.1)+(0+(-0.420954--0.005151))+0-0-0</f>
        <v>814.88419699999997</v>
      </c>
      <c r="T31" s="3">
        <f>0+(827.1-18)+(0+(0-0))+0-0-0</f>
        <v>809.1</v>
      </c>
      <c r="U31" s="3">
        <f>0+(840.8-35.3)+(0+(-1.286424--0.054009))+0-0-0</f>
        <v>804.26758500000005</v>
      </c>
      <c r="V31" s="3">
        <f>0+(836.5-35.4)+(0+(-1.279845--0.054162))+0-0-0</f>
        <v>799.87431700000002</v>
      </c>
      <c r="W31" s="3">
        <f>0+(824.7-33.5)+(0+(-2.102985--0.085425))+0-0-0</f>
        <v>789.18244000000004</v>
      </c>
      <c r="X31" s="3">
        <f>0+(826.7-43.5)+(0+(-1.686468--0.08874))+0-0-0</f>
        <v>781.60227200000008</v>
      </c>
      <c r="Y31" s="3">
        <f>0+(902.5-108.8)+(0+(-0.92055--0.110976))+0-0-0</f>
        <v>792.89042600000005</v>
      </c>
      <c r="Z31" s="3">
        <f>0+(958.4-63)+(0+(-1.466352--0.09639))+0-0-0</f>
        <v>894.03003799999999</v>
      </c>
      <c r="AA31" s="3">
        <f>0+(984-96.5)+(0+(-0.50184--0.049215))+0-0-0</f>
        <v>887.04737499999999</v>
      </c>
      <c r="AB31" s="3">
        <f>0+(956.5-105.4)+(0+(-2.439075--0.26877))+0-0-0</f>
        <v>848.92969500000004</v>
      </c>
      <c r="AC31" s="3">
        <f>0+(833.9-21.8)+(0+(-1.701156--0.044472))+0-0-0</f>
        <v>810.44331599999998</v>
      </c>
      <c r="AD31">
        <f t="shared" si="0"/>
        <v>18813.730183</v>
      </c>
      <c r="AE31" s="3">
        <f>0+(970.4-61.8)+(0+(0-0))+0-0-0</f>
        <v>908.6</v>
      </c>
    </row>
    <row r="32" spans="1:31" s="2" customFormat="1" x14ac:dyDescent="0.25">
      <c r="A32">
        <v>89</v>
      </c>
      <c r="B32">
        <v>2</v>
      </c>
      <c r="C32">
        <v>1</v>
      </c>
      <c r="D32">
        <v>5</v>
      </c>
      <c r="E32">
        <v>1</v>
      </c>
      <c r="F32" s="3">
        <f>0+(811.3-49.1)+(0+(-0.827526--0.050082))+0-0-0</f>
        <v>761.42255599999999</v>
      </c>
      <c r="G32" s="3">
        <f>0+(871.1-149.7)+(0+(-2.221305--0.381735))+0-0-0</f>
        <v>719.56043000000011</v>
      </c>
      <c r="H32" s="3">
        <f>0+(883.3-186.2)+(0+(0-0))+0-0-0</f>
        <v>697.09999999999991</v>
      </c>
      <c r="I32" s="3">
        <f>0+(873.7-184)+(0+(-1.336761--0.28152))+0-0-0</f>
        <v>688.64475900000002</v>
      </c>
      <c r="J32" s="3">
        <f>0+(798.3-109.3)+(0+(-1.221399--0.167229))+0-0-0</f>
        <v>687.94583</v>
      </c>
      <c r="K32" s="3">
        <f>0+(799-105.6)+(0+(-1.62996--0.215424))+0-0-0</f>
        <v>691.98546399999998</v>
      </c>
      <c r="L32" s="3">
        <f>0+(788.4-86.1)+(0+(-1.206252--0.131733))+0-0-0</f>
        <v>701.22548099999995</v>
      </c>
      <c r="M32" s="3">
        <f>0+(797.6-59.4)+(0+(0-0))+0-0-0</f>
        <v>738.2</v>
      </c>
      <c r="N32" s="3">
        <f>0+(868.9-77.1)+(0+(0.886278-0.078642))+0-0-0</f>
        <v>792.60763599999996</v>
      </c>
      <c r="O32" s="3">
        <f>0+(879.9-32.4)+(0+(1.794996-0.066096))+0-0-0</f>
        <v>849.22889999999995</v>
      </c>
      <c r="P32" s="3">
        <f>0+(889.1-22)+(0+(-0.453441--0.01122))+0-0-0</f>
        <v>866.657779</v>
      </c>
      <c r="Q32" s="3">
        <f>0+(913-54)+(0+(1.39689-0.08262))+0-0-0</f>
        <v>860.31426999999996</v>
      </c>
      <c r="R32" s="3">
        <f>0+(921.6-78.3)+(0+(0.470016-0.039933))+0-0-0</f>
        <v>843.73008300000004</v>
      </c>
      <c r="S32" s="3">
        <f>0+(921.1-97.5)+(0+(-1.879044--0.1989))+0-0-0</f>
        <v>821.91985599999998</v>
      </c>
      <c r="T32" s="3">
        <f>0+(868.7-42)+(0+(-0.443037--0.02142))+0-0-0</f>
        <v>826.27838300000008</v>
      </c>
      <c r="U32" s="3">
        <f>0+(874.7-49.1)+(0+(-0.446097--0.025041))+0-0-0</f>
        <v>825.178944</v>
      </c>
      <c r="V32" s="3">
        <f>0+(858.5-39.1)+(0+(-2.189175--0.099705))+0-0-0</f>
        <v>817.31052999999997</v>
      </c>
      <c r="W32" s="3">
        <f>0+(843.6-30.4)+(0+(-1.290708--0.046512))+0-0-0</f>
        <v>811.95580400000006</v>
      </c>
      <c r="X32" s="3">
        <f>0+(826.3-22.7)+(0+(-2.528478--0.069462))+0-0-0</f>
        <v>801.14098399999989</v>
      </c>
      <c r="Y32" s="3">
        <f>0+(830.1-21.4)+(0+(-0.423351--0.010914))+0-0-0</f>
        <v>808.28756300000009</v>
      </c>
      <c r="Z32" s="3">
        <f>0+(916.4-6.9)+(0+(-1.869456--0.014076))+0-0-0</f>
        <v>907.64462000000003</v>
      </c>
      <c r="AA32" s="3">
        <f>0+(941.9-46.7)+(0+(-2.882214--0.142902))+0-0-0</f>
        <v>892.46068799999989</v>
      </c>
      <c r="AB32" s="3">
        <f>0+(982.4-113.3)+(0+(-1.503072--0.173349))+0-0-0</f>
        <v>867.77027700000008</v>
      </c>
      <c r="AC32" s="3">
        <f>0+(922.1-99)+(0+(-0.940542--0.10098))+0-0-0</f>
        <v>822.26043800000002</v>
      </c>
      <c r="AD32">
        <f t="shared" si="0"/>
        <v>19100.831275</v>
      </c>
      <c r="AE32" s="3">
        <f>0+(932.3-10.6)+(0+(0-0))+0-0-0</f>
        <v>921.69999999999993</v>
      </c>
    </row>
    <row r="33" spans="1:31" s="2" customFormat="1" x14ac:dyDescent="0.25">
      <c r="A33">
        <v>89</v>
      </c>
      <c r="B33">
        <v>2</v>
      </c>
      <c r="C33">
        <v>2</v>
      </c>
      <c r="D33">
        <v>6</v>
      </c>
      <c r="E33">
        <v>1</v>
      </c>
      <c r="F33" s="3">
        <f>0+(912.2-153.9)+(0+(-0.930444--0.156978))+0-0-0</f>
        <v>757.52653400000008</v>
      </c>
      <c r="G33" s="3">
        <f>0+(943.5-226.5)+(0+(0-0))+0-0-0</f>
        <v>717</v>
      </c>
      <c r="H33" s="3">
        <f>0+(984.4-286.9)+(0+(-1.506132--0.438957))+0-0-0</f>
        <v>696.43282499999998</v>
      </c>
      <c r="I33" s="3">
        <f>0+(987.8-297.3)+(0+(-2.51889--0.758115))+0-0-0</f>
        <v>688.73922500000003</v>
      </c>
      <c r="J33" s="3">
        <f>0+(972.6-282.9)+(0+(0.496026-0.144279))+0-0-0</f>
        <v>690.05174700000009</v>
      </c>
      <c r="K33" s="3">
        <f>0+(958.5-268.7)+(0+(0-0))+0-0-0</f>
        <v>689.8</v>
      </c>
      <c r="L33" s="3">
        <f>0+(970-278.6)+(0+(-1.4841--0.426258))+0-0-0</f>
        <v>690.34215799999993</v>
      </c>
      <c r="M33" s="3">
        <f>0+(950.8-233.8)+(0+(-0.484908--0.119238))+0-0-0</f>
        <v>716.63432999999998</v>
      </c>
      <c r="N33" s="3">
        <f>0+(898-134.8)+(0+(0-0))+0-0-0</f>
        <v>763.2</v>
      </c>
      <c r="O33" s="3">
        <f>0+(868.1-67.9)+(0+(-0.885462--0.069258))+0-0-0</f>
        <v>799.38379600000007</v>
      </c>
      <c r="P33" s="3">
        <f>0+(881.6-56.2)+(0+(-0.899232--0.057324))+0-0-0</f>
        <v>824.55809199999999</v>
      </c>
      <c r="Q33" s="3">
        <f>0+(863.8-47.9)+(0+(-0.440538--0.024429))+5.2-0-0</f>
        <v>820.68389100000002</v>
      </c>
      <c r="R33" s="3">
        <f>0+(900.9-89.7)+(0+(-0.459459--0.045747))+0-0-0</f>
        <v>810.7862879999999</v>
      </c>
      <c r="S33" s="3">
        <f>0+(914.1-127.2)+(0+(-0.466191--0.064872))+0-0-0</f>
        <v>786.49868100000003</v>
      </c>
      <c r="T33" s="3">
        <f>0+(965.7-187.7)+(0+(-0.492507--0.095727))+0-0-0</f>
        <v>777.60321999999996</v>
      </c>
      <c r="U33" s="3">
        <f>0+(1009.9-255.9)+(0+(-0.515049--0.130509))+0-0-0</f>
        <v>753.61545999999998</v>
      </c>
      <c r="V33" s="3">
        <f>0+(1004.9-255.7)+(0+(-2.049996--0.521628))+0-0-0</f>
        <v>747.67163200000005</v>
      </c>
      <c r="W33" s="3">
        <f>0+(989-236.2)+(0+(-3.02634--0.722772))+0-0-0</f>
        <v>750.49643199999991</v>
      </c>
      <c r="X33" s="3">
        <f>0+(883.9-126.5)+(0+(-0.901578--0.12903))+0-0-0</f>
        <v>756.62745199999995</v>
      </c>
      <c r="Y33" s="3">
        <f>0+(879.9-81.3)+(0+(-0.448749--0.041463))+0-0-0</f>
        <v>798.19271400000002</v>
      </c>
      <c r="Z33" s="3">
        <f>0+(932.6-51.4)+(0+(-0.951252--0.052428))+0-0-0</f>
        <v>880.30117600000005</v>
      </c>
      <c r="AA33" s="3">
        <f>0+(912.4-60.6)+(0+(-0.465324--0.030906))+0-0-0</f>
        <v>851.3655819999999</v>
      </c>
      <c r="AB33" s="3">
        <f>0+(917.2-119)+(0+(0.467772-0.06069))+0-0-0</f>
        <v>798.60708199999999</v>
      </c>
      <c r="AC33" s="3">
        <f>0+(974.5-208.7)+(0+(0-0))+0-0-0</f>
        <v>765.8</v>
      </c>
      <c r="AD33">
        <f t="shared" si="0"/>
        <v>18331.918317</v>
      </c>
      <c r="AE33" s="3">
        <f>0+(948.3-56.5)+(0+(0-0))+0-0-0</f>
        <v>891.8</v>
      </c>
    </row>
    <row r="34" spans="1:31" s="2" customFormat="1" x14ac:dyDescent="0.25">
      <c r="A34">
        <v>89</v>
      </c>
      <c r="B34">
        <v>2</v>
      </c>
      <c r="C34">
        <v>3</v>
      </c>
      <c r="D34">
        <v>7</v>
      </c>
      <c r="E34">
        <v>1</v>
      </c>
      <c r="F34" s="3">
        <f>0+(915-182.7)+(0+(0.46665-0.093177))+0-0-0</f>
        <v>732.67347299999994</v>
      </c>
      <c r="G34" s="3">
        <f>0+(889.3-193)+(0+(-0.453543--0.09843))+0-0-0</f>
        <v>695.94488699999999</v>
      </c>
      <c r="H34" s="3">
        <f>0+(916.1-245.4)+(0+(-0.467211--0.125154))+0-0-0</f>
        <v>670.35794300000009</v>
      </c>
      <c r="I34" s="3">
        <f>0+(888-238.5)+(0+(0-0))+0-0-0</f>
        <v>649.5</v>
      </c>
      <c r="J34" s="3">
        <f>0+(896.1-242)+(0+(-1.828044--0.49368))+0-0-0</f>
        <v>652.76563599999997</v>
      </c>
      <c r="K34" s="3">
        <f>0+(893.5-243.4)+(0+(-1.367055--0.372402))+0-0-0</f>
        <v>649.10534700000005</v>
      </c>
      <c r="L34" s="3">
        <f>0+(890.5-265.5)+(0+(-2.72493--0.81243))+0-0-0</f>
        <v>623.08749999999998</v>
      </c>
      <c r="M34" s="3">
        <f>0+(862.8-254.1)+(0+(-1.320084--0.388773))+0-0-0</f>
        <v>607.76868899999988</v>
      </c>
      <c r="N34" s="3">
        <f>0+(866.9-243.3)+(0+(-0.442119--0.124083))+0-0-0</f>
        <v>623.2819639999999</v>
      </c>
      <c r="O34" s="3">
        <f>0+(882.9-223.2)+(0+(0.900558-0.227664))+0-0-0</f>
        <v>660.37289400000009</v>
      </c>
      <c r="P34" s="3">
        <f>0+(866.6-171.6)+(0+(-1.325898--0.262548))+0-0-0</f>
        <v>693.93664999999999</v>
      </c>
      <c r="Q34" s="3">
        <f>0+(871.5-125.2)+(0+(-0.88893--0.127704))+0-0-0</f>
        <v>745.53877399999999</v>
      </c>
      <c r="R34" s="3">
        <f>0+(823.9-119.5)+(0+(-0.840378--0.12189))+0-0-0</f>
        <v>703.681512</v>
      </c>
      <c r="S34" s="3">
        <f>0+(847.4-122.4)+(0+(0.432174-0.062424))+0-0-0</f>
        <v>725.36974999999995</v>
      </c>
      <c r="T34" s="3">
        <f>0+(871.7-144.3)+(0+(-2.222835--0.367965))+0-0-0</f>
        <v>725.54513000000009</v>
      </c>
      <c r="U34" s="3">
        <f>0+(872.5-161)+(0+(-1.7799--0.32844))+0-0-0</f>
        <v>710.04854</v>
      </c>
      <c r="V34" s="3">
        <f>0+(865.3-138.7)+(0+(-0.882606--0.141474))+3-0-0</f>
        <v>728.85886799999992</v>
      </c>
      <c r="W34" s="3">
        <f>0+(856.7-85.6)+(0+(-2.184585--0.21828))+0-0-0</f>
        <v>769.13369499999999</v>
      </c>
      <c r="X34" s="3">
        <f>0+(780.5-58)+(0+(-0.398055--0.02958))+0-0-0</f>
        <v>722.13152500000001</v>
      </c>
      <c r="Y34" s="3">
        <f>0+(761.8-52.8)+(0+(-1.554072--0.107712))+0-0-0</f>
        <v>707.55363999999997</v>
      </c>
      <c r="Z34" s="3">
        <f>0+(859.9-109.8)+(0+(-2.192745--0.27999))+0-0-0</f>
        <v>748.18724500000008</v>
      </c>
      <c r="AA34" s="3">
        <f>0+(873.8-151.8)+(0+(-0.891276--0.154836))+0-0-0</f>
        <v>721.26355999999998</v>
      </c>
      <c r="AB34" s="3">
        <f>0+(831.6-137.6)+(0+(-0.848232--0.140352))+0-0-0</f>
        <v>693.29211999999995</v>
      </c>
      <c r="AC34" s="3">
        <f>0+(732-105.2)+(0+(-0.74664--0.107304))+0-0-0</f>
        <v>626.160664</v>
      </c>
      <c r="AD34">
        <f t="shared" si="0"/>
        <v>16585.560006</v>
      </c>
      <c r="AE34" s="3">
        <f>0+(901.9-137)+(0+(0-0))+0-0-0</f>
        <v>764.9</v>
      </c>
    </row>
    <row r="35" spans="1:31" s="2" customFormat="1" x14ac:dyDescent="0.25">
      <c r="A35">
        <v>89</v>
      </c>
      <c r="B35">
        <v>2</v>
      </c>
      <c r="C35">
        <v>4</v>
      </c>
      <c r="D35">
        <v>1</v>
      </c>
      <c r="E35">
        <v>1</v>
      </c>
      <c r="F35" s="3">
        <f>0+(731.5-135)+(0+(-1.49226--0.2754))+0-0-0</f>
        <v>595.28314</v>
      </c>
      <c r="G35" s="3">
        <f>0+(735.6-167.7)+(0+(0.375156-0.085527))+0-0-0</f>
        <v>568.18962900000008</v>
      </c>
      <c r="H35" s="3">
        <f>0+(774.8-217.8)+(0+(0-0))+0-0-0</f>
        <v>557</v>
      </c>
      <c r="I35" s="3">
        <f>0+(751.2-198.8)+(0+(-1.532448--0.405552))+0-0-0</f>
        <v>551.2731040000001</v>
      </c>
      <c r="J35" s="3">
        <f>0+(741.3-180.8)+(0+(0.378063-0.092208))+0-0-0</f>
        <v>560.78585499999997</v>
      </c>
      <c r="K35" s="3">
        <f>0+(758.3-187.5)+(0+(0-0))+0-0-0</f>
        <v>570.79999999999995</v>
      </c>
      <c r="L35" s="3">
        <f>0+(752.3-154.3)+(0+(-1.918365--0.393465))+0-0-0</f>
        <v>596.4751</v>
      </c>
      <c r="M35" s="3">
        <f>0+(752-102.6)+(0+(-0.38352--0.052326))+0-0-0</f>
        <v>649.068806</v>
      </c>
      <c r="N35" s="3">
        <f>0+(797.3-91.1)+(0+(0.813246-0.092922))+0-0-0</f>
        <v>706.92032399999994</v>
      </c>
      <c r="O35" s="3">
        <f>0+(849-97.6)+(0+(-1.29897--0.149328))+0-0-0</f>
        <v>750.25035800000001</v>
      </c>
      <c r="P35" s="3">
        <f>0+(873.8-91.7)+(0+(-0.891276--0.093534))+0-0-0</f>
        <v>781.30225799999994</v>
      </c>
      <c r="Q35" s="3">
        <f>0+(898.2-109.2)+(0+(0.458082-0.055692))+0-0-0</f>
        <v>789.40238999999997</v>
      </c>
      <c r="R35" s="3">
        <f>0+(904.8-107.6)+(0+(-0.922896--0.109752))+0-0-0</f>
        <v>796.38685599999997</v>
      </c>
      <c r="S35" s="3">
        <f>0+(844.8-75.8)+(0+(-1.723392--0.154632))+0-0-0</f>
        <v>767.43124</v>
      </c>
      <c r="T35" s="3">
        <f>0+(814.1-67.4)+(0+(-0.830382--0.068748))+0-0-0</f>
        <v>745.93836600000009</v>
      </c>
      <c r="U35" s="3">
        <f>0+(828.5-71.2)+(0+(-1.267605--0.108936))+0-0-0</f>
        <v>756.14133099999992</v>
      </c>
      <c r="V35" s="3">
        <f>0+(833.6-81.1)+(0+(-0.425136--0.041361))+0-0-0</f>
        <v>752.11622499999999</v>
      </c>
      <c r="W35" s="3">
        <f>0+(814.5-61.2)+(0+(-1.66158--0.124848))+0-0-0</f>
        <v>751.76326799999993</v>
      </c>
      <c r="X35" s="3">
        <f>0+(816.1-73.7)+(0+(-1.248633--0.112761))+0-0-0</f>
        <v>741.26412800000003</v>
      </c>
      <c r="Y35" s="3">
        <f>0+(850.1-89.3)+(0+(-1.734204--0.182172))+0-0-0</f>
        <v>759.24796800000001</v>
      </c>
      <c r="Z35" s="3">
        <f>0+(930-87.7)+(0+(-1.4229--0.134181))+0-0-0</f>
        <v>841.01128099999994</v>
      </c>
      <c r="AA35" s="3">
        <f>0+(919.7-88.1)+(0+(-1.407141--0.134793))+0-0-0</f>
        <v>830.32765200000006</v>
      </c>
      <c r="AB35" s="3">
        <f>0+(903.2-110.8)+(0+(-2.30316--0.28254))+0-0-0</f>
        <v>790.37938000000008</v>
      </c>
      <c r="AC35" s="3">
        <f>0+(873-118.8)+(0+(-2.22615--0.30294))+0-0-0</f>
        <v>752.27679000000001</v>
      </c>
      <c r="AD35">
        <f t="shared" si="0"/>
        <v>16961.035449000003</v>
      </c>
      <c r="AE35" s="3">
        <f>0+(968.6-96.9)+(0+(0-0))+0-0-0</f>
        <v>871.7</v>
      </c>
    </row>
    <row r="36" spans="1:31" s="2" customFormat="1" x14ac:dyDescent="0.25">
      <c r="A36">
        <v>89</v>
      </c>
      <c r="B36">
        <v>2</v>
      </c>
      <c r="C36">
        <v>5</v>
      </c>
      <c r="D36">
        <v>2</v>
      </c>
      <c r="E36">
        <v>1</v>
      </c>
      <c r="F36" s="3">
        <f>0+(900.6-208.6)+(0+(-0.918612--0.212772))+0-0-0</f>
        <v>691.29416000000003</v>
      </c>
      <c r="G36" s="3">
        <f>0+(911.6-251.5)+(0+(-1.394748--0.384795))+0-0-0</f>
        <v>659.09004700000003</v>
      </c>
      <c r="H36" s="3">
        <f>0+(888.2-239.8)+(0+(-1.358946--0.366894))+0-0-0</f>
        <v>647.40794800000015</v>
      </c>
      <c r="I36" s="3">
        <f>0+(875.3-237.8)+(0+(-1.339209--0.363834))+0-0-0</f>
        <v>636.52462500000001</v>
      </c>
      <c r="J36" s="3">
        <f>0+(891.1-255.4)+(0+(1.363383-0.390762))+0-0-0</f>
        <v>636.67262100000005</v>
      </c>
      <c r="K36" s="3">
        <f>0+(874.6-241.7)+(0+(-2.23023--0.616335))+0-0-0</f>
        <v>631.28610500000013</v>
      </c>
      <c r="L36" s="3">
        <f>0+(913.5-260.5)+(0+(-2.329425--0.664275))+0-0-0</f>
        <v>651.33484999999996</v>
      </c>
      <c r="M36" s="3">
        <f>0+(980.4-298.5)+(0+(-1.000008--0.30447))+0-0-0</f>
        <v>681.20446199999992</v>
      </c>
      <c r="N36" s="3">
        <f>0+(1047.7-311.1)+(0+(1.068654-0.317322))+0-0-0</f>
        <v>737.35133200000007</v>
      </c>
      <c r="O36" s="3">
        <f>0+(996-224.2)+(0+(-0.50796--0.114342))+0-0-0</f>
        <v>771.40638200000001</v>
      </c>
      <c r="P36" s="3">
        <f>0+(927.8-137.8)+(0+(-1.419534--0.210834))+0-0-0</f>
        <v>788.79129999999998</v>
      </c>
      <c r="Q36" s="3">
        <f>0+(943.2-148.6)+(0+(-1.443096--0.227358))+0-0-0</f>
        <v>793.38426200000004</v>
      </c>
      <c r="R36" s="3">
        <f>0+(917.8-132.9)+(0+(0-0))+0-0-0</f>
        <v>784.9</v>
      </c>
      <c r="S36" s="3">
        <f>0+(893.6-131.1)+(0+(-1.822944--0.267444))+0-0-0</f>
        <v>760.94449999999995</v>
      </c>
      <c r="T36" s="3">
        <f>0+(908.5-152.1)+(0+(0-0))+0-0-0</f>
        <v>756.4</v>
      </c>
      <c r="U36" s="3">
        <f>0+(913.5-169)+(0+(-1.86354--0.34476))+0-0-0</f>
        <v>742.98122000000001</v>
      </c>
      <c r="V36" s="3">
        <f>0+(878.9-135.9)+(0+(-0.896478--0.138618))+0-0-0</f>
        <v>742.24213999999995</v>
      </c>
      <c r="W36" s="3">
        <f>0+(841-100.8)+(0+(-2.14455--0.25704))+0-0-0</f>
        <v>738.31249000000003</v>
      </c>
      <c r="X36" s="3">
        <f>0+(786.8-44.2)+(0+(-2.407608--0.135252))+0-0-0</f>
        <v>740.32764399999996</v>
      </c>
      <c r="Y36" s="3">
        <f>0+(784.2-19.8)+(0+(-0.399942--0.010098))+0-0-0</f>
        <v>764.01015600000005</v>
      </c>
      <c r="Z36" s="3">
        <f>0+(901.4-40.7)+(0+(-2.758284--0.124542))+0-0-0</f>
        <v>858.06625799999995</v>
      </c>
      <c r="AA36" s="3">
        <f>0+(950.8-105.4)+(0+(-3.879264--0.430032))+0-0-0</f>
        <v>841.95076799999993</v>
      </c>
      <c r="AB36" s="3">
        <f>0+(876.4-66.5)+(0+(-3.128748--0.237405))+0-0-0</f>
        <v>807.00865699999997</v>
      </c>
      <c r="AC36" s="3">
        <f>0+(790.8-22)+(0+(-1.613232--0.04488))+0-0-0</f>
        <v>767.23164799999995</v>
      </c>
      <c r="AD36">
        <f t="shared" si="0"/>
        <v>17630.123575000001</v>
      </c>
      <c r="AE36" s="3">
        <f>0+(961-97.4)+(0+(0-0))+0-0-0</f>
        <v>863.6</v>
      </c>
    </row>
    <row r="37" spans="1:31" s="2" customFormat="1" x14ac:dyDescent="0.25">
      <c r="A37">
        <v>89</v>
      </c>
      <c r="B37">
        <v>2</v>
      </c>
      <c r="C37">
        <v>6</v>
      </c>
      <c r="D37">
        <v>3</v>
      </c>
      <c r="E37">
        <v>1</v>
      </c>
      <c r="F37" s="3">
        <f>0+(894.2-172.9)+(0+(-2.28021--0.440895))+0-0-0</f>
        <v>719.46068500000001</v>
      </c>
      <c r="G37" s="3">
        <f>0+(928-240.9)+(0+(-1.89312--0.491436))+0-0-0</f>
        <v>685.69831599999998</v>
      </c>
      <c r="H37" s="3">
        <f>0+(948.5-274.7)+(0+(-3.386145--0.980679))+0-0-0</f>
        <v>671.39453399999991</v>
      </c>
      <c r="I37" s="3">
        <f>0+(950.1-279.9)+(0+(-0.969102--0.285498))+0-0-0</f>
        <v>669.5163960000001</v>
      </c>
      <c r="J37" s="3">
        <f>0+(905.8-242.5)+(0+(-1.847832--0.4947))+0-0-0</f>
        <v>661.94686799999999</v>
      </c>
      <c r="K37" s="3">
        <f>0+(892.1-230.7)+(0+(0.454971-0.117657))+0-0-0</f>
        <v>661.73731400000008</v>
      </c>
      <c r="L37" s="3">
        <f>0+(888.7-218.5)+(0+(-2.719422--0.66861))+0-0-0</f>
        <v>668.14918800000009</v>
      </c>
      <c r="M37" s="3">
        <f>0+(853.5-150.7)+(0+(-0.435285--0.076857))+0-0-0</f>
        <v>702.44157199999995</v>
      </c>
      <c r="N37" s="3">
        <f>0+(897.5-140.5)+(0+(-0.91545--0.14331))+0-0-0</f>
        <v>756.22785999999996</v>
      </c>
      <c r="O37" s="3">
        <f>0+(939.2-140.8)+(0+(-1.915968--0.287232))+0-0-0</f>
        <v>796.77126400000009</v>
      </c>
      <c r="P37" s="3">
        <f>0+(940.7-124.7)+(0+(0-0))+0-0-0</f>
        <v>816</v>
      </c>
      <c r="Q37" s="3">
        <f>0+(928.5-98.7)+(0+(-0.94707--0.100674))+0-0-0</f>
        <v>828.95360399999993</v>
      </c>
      <c r="R37" s="3">
        <f>0+(912.7-113.4)+(0+(-0.930954--0.115668))+0-0-0</f>
        <v>798.48471400000005</v>
      </c>
      <c r="S37" s="3">
        <f>0+(894.6-108.7)+(0+(-1.368738--0.166311))+0-0-0</f>
        <v>784.69757299999992</v>
      </c>
      <c r="T37" s="3">
        <f>0+(914.7-132.7)+(0+(-1.865988--0.270708))+0-0-0</f>
        <v>780.40472</v>
      </c>
      <c r="U37" s="3">
        <f>0+(899.1-130.3)+(0+(-1.375623--0.199359))+0-0-0</f>
        <v>767.62373600000001</v>
      </c>
      <c r="V37" s="3">
        <f>0+(889.1-126.6)+(0+(-1.360323--0.193698))+0-0-0</f>
        <v>761.33337500000005</v>
      </c>
      <c r="W37" s="3">
        <f>0+(837.9-82)+(0+(-0.854658--0.08364))+0-0-0</f>
        <v>755.12898199999995</v>
      </c>
      <c r="X37" s="3">
        <f>0+(812.4-65.8)+(0+(-1.657296--0.134232))+0-0-0</f>
        <v>745.07693600000005</v>
      </c>
      <c r="Y37" s="3">
        <f>0+(769.5-19.6)+(0+(-0.78489--0.019992))+0-0-0</f>
        <v>749.13510199999996</v>
      </c>
      <c r="Z37" s="3">
        <f>0+(885.3-23.9)+(0+(-1.354509--0.036567))+0-0-0</f>
        <v>860.08205799999996</v>
      </c>
      <c r="AA37" s="3">
        <f>0+(921.6-54.6)+(0+(0-0))+0-0-0</f>
        <v>867</v>
      </c>
      <c r="AB37" s="3">
        <f>0+(865.8-35.2)+(0+(-1.324674--0.053856))+0-0-0</f>
        <v>829.32918199999995</v>
      </c>
      <c r="AC37" s="3">
        <f>0+(835.1-46.8)+(0+(-0.851802--0.047736))+0-0-0</f>
        <v>787.49593400000003</v>
      </c>
      <c r="AD37">
        <f t="shared" si="0"/>
        <v>18124.089913</v>
      </c>
      <c r="AE37" s="3">
        <f>0+(918.8-34.2)+(0+(0-0))+0-0-0</f>
        <v>884.59999999999991</v>
      </c>
    </row>
    <row r="38" spans="1:31" s="2" customFormat="1" x14ac:dyDescent="0.25">
      <c r="A38">
        <v>89</v>
      </c>
      <c r="B38">
        <v>2</v>
      </c>
      <c r="C38">
        <v>7</v>
      </c>
      <c r="D38">
        <v>4</v>
      </c>
      <c r="E38">
        <v>1</v>
      </c>
      <c r="F38" s="3">
        <f>0+(888.6-154.9)+(0+(-1.812744--0.315996))+0-0-0</f>
        <v>732.20325200000002</v>
      </c>
      <c r="G38" s="3">
        <f>0+(900.3-198.8)+(0+(-3.214071--0.709716))+0-0-0</f>
        <v>698.99564499999997</v>
      </c>
      <c r="H38" s="3">
        <f>0+(876.5-197)+(0+(-1.341045--0.30141))+0-0-0</f>
        <v>678.46036500000002</v>
      </c>
      <c r="I38" s="3">
        <f>0+(882-206.2)+(0+(-0.89964--0.210324))+0-0-0</f>
        <v>675.11068399999999</v>
      </c>
      <c r="J38" s="3">
        <f>0+(873.9-202.2)+(0+(-2.674134--0.618732))+0-0-0</f>
        <v>669.64459800000009</v>
      </c>
      <c r="K38" s="3">
        <f>0+(861.5-195.2)+(0+(-0.87873--0.199104))+0-0-0</f>
        <v>665.62037399999997</v>
      </c>
      <c r="L38" s="3">
        <f>0+(894.1-210.6)+(0+(-2.735946--0.644436))+0-0-0</f>
        <v>681.40849000000003</v>
      </c>
      <c r="M38" s="3">
        <f>0+(913.1-186.9)+(0+(-1.397043--0.285957))+0-0-0</f>
        <v>725.08891400000005</v>
      </c>
      <c r="N38" s="3">
        <f>0+(931.9-152.4)+(0+(-0.475269--0.077724))+0-0-0</f>
        <v>779.10245499999996</v>
      </c>
      <c r="O38" s="3">
        <f>0+(953.1-137.8)+(0+(-1.458243--0.210834))+0-0-0</f>
        <v>814.05259100000001</v>
      </c>
      <c r="P38" s="3">
        <f>0+(938-104.5)+(0+(-1.43514--0.159885))+0-0-0</f>
        <v>832.22474499999998</v>
      </c>
      <c r="Q38" s="3">
        <f>0+(900.5-60.5)+(0+(0-0))+0-0-0</f>
        <v>840</v>
      </c>
      <c r="R38" s="3">
        <f>0+(947.3-130.8)+(0+(-1.449369--0.200124))+0-0-0</f>
        <v>815.25075500000003</v>
      </c>
      <c r="S38" s="3">
        <f>0+(938.2-150)+(0+(0-0))+0-0-0</f>
        <v>788.2</v>
      </c>
      <c r="T38" s="3">
        <f>0+(1017.4-227.9)+(0+(-1.037748--0.232458))+0-0-0</f>
        <v>788.69470999999999</v>
      </c>
      <c r="U38" s="3">
        <f>0+(1047.3-265.1)+(0+(-2.136492--0.540804))+0-0-0</f>
        <v>780.60431199999994</v>
      </c>
      <c r="V38" s="3">
        <f>0+(1014.7-237.3)+(0+(-1.552491--0.363069))+0-0-0</f>
        <v>776.21057800000005</v>
      </c>
      <c r="W38" s="3">
        <f>0+(911.5-139.7)+(0+(-1.85946--0.284988))+0-0-0</f>
        <v>770.22552799999994</v>
      </c>
      <c r="X38" s="3">
        <f>0+(853.9-108.8)+(0+(-1.306467--0.166464))+0-0-0</f>
        <v>743.95999700000004</v>
      </c>
      <c r="Y38" s="3">
        <f>0+(809.6-35.4)+(0+(-1.651584--0.072216))+0-0-0</f>
        <v>772.620632</v>
      </c>
      <c r="Z38" s="3">
        <f>0+(905.7-21.8)+(0+(-0.923814--0.022236))+0-0-0</f>
        <v>882.99842200000012</v>
      </c>
      <c r="AA38" s="3">
        <f>0+(917.8-45.6)+(0+(-1.872312--0.093024))+0-0-0</f>
        <v>870.42071199999998</v>
      </c>
      <c r="AB38" s="3">
        <f>0+(916.9-79.3)+(0+(-0.935238--0.080886))+0-0-0</f>
        <v>836.74564800000007</v>
      </c>
      <c r="AC38" s="3">
        <f>0+(913.7-110.8)+(0+(-0.931974--0.113016))+0-0-0</f>
        <v>802.08104200000014</v>
      </c>
      <c r="AD38">
        <f t="shared" si="0"/>
        <v>18419.924449000002</v>
      </c>
      <c r="AE38" s="3">
        <f>0+(956-38.3)+(0+(0-0))+0-0-0</f>
        <v>917.7</v>
      </c>
    </row>
    <row r="39" spans="1:31" s="2" customFormat="1" x14ac:dyDescent="0.25">
      <c r="A39">
        <v>89</v>
      </c>
      <c r="B39">
        <v>2</v>
      </c>
      <c r="C39">
        <v>8</v>
      </c>
      <c r="D39">
        <v>5</v>
      </c>
      <c r="E39">
        <v>1</v>
      </c>
      <c r="F39" s="3">
        <f>0+(905.9-147.2)+(0+(-0.462009--0.075072))+0-0-0</f>
        <v>758.31306300000006</v>
      </c>
      <c r="G39" s="3">
        <f>0+(903-191.2)+(0+(-0.46053--0.097512))+0-0-0</f>
        <v>711.43698199999994</v>
      </c>
      <c r="H39" s="3">
        <f>0+(880.2-182.5)+(0+(-0.897804--0.18615))+0-0-0</f>
        <v>696.98834600000009</v>
      </c>
      <c r="I39" s="3">
        <f>0+(867.5-182)+(0+(0-0))+0-0-0</f>
        <v>685.5</v>
      </c>
      <c r="J39" s="3">
        <f>0+(882.4-197.7)+(0+(-0.900048--0.201654))+0-0-0</f>
        <v>684.00160600000004</v>
      </c>
      <c r="K39" s="3">
        <f>0+(866.9-183.9)+(0+(-2.210595--0.468945))+0-0-0</f>
        <v>681.25834999999995</v>
      </c>
      <c r="L39" s="3">
        <f>0+(868.9-171.6)+(0+(-1.329417--0.262548))+0-0-0</f>
        <v>696.23313099999996</v>
      </c>
      <c r="M39" s="3">
        <f>0+(924.2-188.8)+(0+(0-0))+0-0-0</f>
        <v>735.40000000000009</v>
      </c>
      <c r="N39" s="3">
        <f>0+(996.7-197.9)+(0+(-1.016634--0.201858))+0-0-0</f>
        <v>797.98522400000002</v>
      </c>
      <c r="O39" s="3">
        <f>0+(983-150.7)+(0+(-0.50133--0.076857))+0-0-0</f>
        <v>831.87552699999992</v>
      </c>
      <c r="P39" s="3">
        <f>0+(941.6-91.5)+(0+(-1.440648--0.139995))+0-0-0</f>
        <v>848.79934700000001</v>
      </c>
      <c r="Q39" s="3">
        <f>0+(965.1-95.4)+(0+(-1.476603--0.145962))+0-0-0</f>
        <v>868.36935900000003</v>
      </c>
      <c r="R39" s="3">
        <f>0+(1013.6-186.4)+(0+(-1.550808--0.285192))+0-0-0</f>
        <v>825.93438400000002</v>
      </c>
      <c r="S39" s="3">
        <f>0+(1045-223.9)+(0+(-2.1318--0.456756))+0-0-0</f>
        <v>819.42495600000007</v>
      </c>
      <c r="T39" s="3">
        <f>0+(1053.5-238.1)+(0+(-0.537285--0.121431))+0-0-0</f>
        <v>814.98414600000001</v>
      </c>
      <c r="U39" s="3">
        <f>0+(1077.8-267.8)+(0+(-0.549678--0.136578))+0-0-0</f>
        <v>809.58690000000001</v>
      </c>
      <c r="V39" s="3">
        <f>0+(1030.3-223.9)+(0+(-2.627265--0.570945))+0-0-0</f>
        <v>804.34367999999995</v>
      </c>
      <c r="W39" s="3">
        <f>0+(943.5-132.8)+(0+(-1.92474--0.270912))+0-0-0</f>
        <v>809.04617200000007</v>
      </c>
      <c r="X39" s="3">
        <f>0+(940.3-122.3)+(0+(-1.918212--0.249492))+0-0-0</f>
        <v>816.33127999999999</v>
      </c>
      <c r="Y39" s="3">
        <f>0+(894.2-59.9)+(0+(-1.368126--0.091647))+0-0-0</f>
        <v>833.02352100000007</v>
      </c>
      <c r="Z39" s="3">
        <f>0+(886.5-0)+(0+(-1.356345-0))+0-0-0</f>
        <v>885.14365499999997</v>
      </c>
      <c r="AA39" s="3">
        <f>0+(874.9-14.7)+(0+(-0.892398--0.014994))+0-0-0</f>
        <v>859.32259599999998</v>
      </c>
      <c r="AB39" s="3">
        <f>0+(871.7-40.8)+(0+(-1.778268--0.083232))+0-0-0</f>
        <v>829.20496400000013</v>
      </c>
      <c r="AC39" s="3">
        <f>0+(874.9-94.2)+(0+(-1.784796--0.192168))+0-0-0</f>
        <v>779.10737199999994</v>
      </c>
      <c r="AD39">
        <f t="shared" si="0"/>
        <v>18881.614560999999</v>
      </c>
      <c r="AE39" s="3">
        <f>0+(893.9-3)+(0+(0-0))+0-0-0</f>
        <v>890.9</v>
      </c>
    </row>
    <row r="40" spans="1:31" s="2" customFormat="1" x14ac:dyDescent="0.25">
      <c r="A40">
        <v>89</v>
      </c>
      <c r="B40">
        <v>2</v>
      </c>
      <c r="C40">
        <v>9</v>
      </c>
      <c r="D40">
        <v>6</v>
      </c>
      <c r="E40">
        <v>1</v>
      </c>
      <c r="F40" s="3">
        <f>0+(885.1-160.6)+(0+(-0.451401--0.081906))+0-0-0</f>
        <v>724.13050499999997</v>
      </c>
      <c r="G40" s="3">
        <f>0+(929.1-223.6)+(0+(-1.421523--0.342108))+0-0-0</f>
        <v>704.42058499999996</v>
      </c>
      <c r="H40" s="3">
        <f>0+(981.3-295)+(0+(1.501389-0.45135))+0-0-0</f>
        <v>687.35003899999992</v>
      </c>
      <c r="I40" s="3">
        <f>0+(984.8-320.5)+(0+(-1.506744--0.490365))+0-0-0</f>
        <v>663.28362099999993</v>
      </c>
      <c r="J40" s="3">
        <f>0+(980.2-314.3)+(0+(0.499902-0.160293))+0-0-0</f>
        <v>666.23960900000009</v>
      </c>
      <c r="K40" s="3">
        <f>0+(977.4-305.2)+(0+(-1.495422--0.466956))+0-0-0</f>
        <v>671.17153400000007</v>
      </c>
      <c r="L40" s="3">
        <f>0+(927-261.8)+(0+(-1.89108--0.534072))+0-0-0</f>
        <v>663.84299200000009</v>
      </c>
      <c r="M40" s="3">
        <f>0+(902.8-222.6)+(0+(-1.381284--0.340578))+0-0-0</f>
        <v>679.15929399999993</v>
      </c>
      <c r="N40" s="3">
        <f>0+(921.1-199.5)+(0+(0-0))+0-0-0</f>
        <v>721.6</v>
      </c>
      <c r="O40" s="3">
        <f>0+(920.1-155.7)+(0+(-0.469251--0.079407))+0-0-0</f>
        <v>764.01015600000005</v>
      </c>
      <c r="P40" s="3">
        <f>0+(901.2-113.2)+(0+(-0.919224--0.115464))+0-0-0</f>
        <v>787.19623999999999</v>
      </c>
      <c r="Q40" s="3">
        <f>0+(873.7-73.4)+(0+(0-0))+0-0-0</f>
        <v>800.30000000000007</v>
      </c>
      <c r="R40" s="3">
        <f>0+(917.8-124.3)+(0+(-1.404234--0.190179))+0-0-0</f>
        <v>792.28594499999997</v>
      </c>
      <c r="S40" s="3">
        <f>0+(955.5-190.6)+(0+(-0.97461--0.194412))+0-0-0</f>
        <v>764.11980199999994</v>
      </c>
      <c r="T40" s="3">
        <f>0+(989.1-247.7)+(0+(-0.504441--0.126327))+0-0-0</f>
        <v>741.02188600000011</v>
      </c>
      <c r="U40" s="3">
        <f>0+(967.6-246.5)+(0+(-1.480428--0.377145))+0-0-0</f>
        <v>719.99671699999999</v>
      </c>
      <c r="V40" s="3">
        <f>0+(976.4-254.2)+(0+(-0.995928--0.259284))+0-0-0</f>
        <v>721.46335600000009</v>
      </c>
      <c r="W40" s="3">
        <f>0+(950.4-236.7)+(0+(-3.392928--0.845019))+0-0-0</f>
        <v>711.15209100000004</v>
      </c>
      <c r="X40" s="3">
        <f>0+(818.3-120)+(0+(0-0))+0-0-0</f>
        <v>698.3</v>
      </c>
      <c r="Y40" s="3">
        <f>0+(806.9-100.9)+(0+(-0.823038--0.102918))+0-0-0</f>
        <v>705.27988000000005</v>
      </c>
      <c r="Z40" s="3">
        <f>0+(932.5-159.1)+(0+(-2.377875--0.405705))+0-0-0</f>
        <v>771.42782999999997</v>
      </c>
      <c r="AA40" s="3">
        <f>0+(925.7-148.9)+(0+(-0.944214--0.151878))+0-0-0</f>
        <v>776.00766400000009</v>
      </c>
      <c r="AB40" s="3">
        <f>0+(925.8-170.7)+(0+(-1.888632--0.348228))+0-0-0</f>
        <v>753.55959599999994</v>
      </c>
      <c r="AC40" s="3">
        <f>0+(895.6-168.4)+(0+(-0.456756--0.085884))+0-0-0</f>
        <v>726.82912800000008</v>
      </c>
      <c r="AD40">
        <f t="shared" si="0"/>
        <v>17414.14847</v>
      </c>
      <c r="AE40" s="3">
        <f>0+(946.6-151.2)+(0+(0-0))+0-0-0</f>
        <v>795.40000000000009</v>
      </c>
    </row>
    <row r="41" spans="1:31" s="2" customFormat="1" x14ac:dyDescent="0.25">
      <c r="A41">
        <v>89</v>
      </c>
      <c r="B41">
        <v>2</v>
      </c>
      <c r="C41">
        <v>10</v>
      </c>
      <c r="D41">
        <v>7</v>
      </c>
      <c r="E41">
        <v>1</v>
      </c>
      <c r="F41" s="3">
        <f>0+(870.4-200.3)+(0+(0-0))+0-0-0</f>
        <v>670.09999999999991</v>
      </c>
      <c r="G41" s="3">
        <f>0+(920.5-282.7)+(0+(0-0))+0-0-0</f>
        <v>637.79999999999995</v>
      </c>
      <c r="H41" s="3">
        <f>0+(944.1-321.2)+(0+(0.962982-0.327624))+0-0-0</f>
        <v>623.53535800000009</v>
      </c>
      <c r="I41" s="3">
        <f>0+(901.7-290.8)+(0+(-0.459867--0.148308))+0-0-0</f>
        <v>610.5884410000001</v>
      </c>
      <c r="J41" s="3">
        <f>0+(890.6-290.7)+(0+(0.908412-0.296514))+0-0-0</f>
        <v>600.51189800000009</v>
      </c>
      <c r="K41" s="3">
        <f>0+(874-283.7)+(0+(-2.2287--0.723435))+0-0-0</f>
        <v>588.79473499999995</v>
      </c>
      <c r="L41" s="3">
        <f>0+(869.3-305)+(0+(-2.216715--0.77775))+0-0-0</f>
        <v>562.8610349999999</v>
      </c>
      <c r="M41" s="3">
        <f>0+(850.7-300)+(0+(-0.867714--0.306))+0-0-0</f>
        <v>550.13828599999999</v>
      </c>
      <c r="N41" s="3">
        <f>0+(835.7-262.7)+(0+(0.426207-0.133977))+0-0-0</f>
        <v>573.29223000000002</v>
      </c>
      <c r="O41" s="3">
        <f>0+(914.1-301.4)+(0+(-0.466191--0.153714))+0-0-0</f>
        <v>612.3875230000001</v>
      </c>
      <c r="P41" s="3">
        <f>0+(922-284.6)+(0+(-0.94044--0.290292))+0-0-0</f>
        <v>636.74985200000003</v>
      </c>
      <c r="Q41" s="3">
        <f>0+(950.6-306.1)+(0+(-1.454418--0.468333))+0-0-0</f>
        <v>643.513915</v>
      </c>
      <c r="R41" s="3">
        <f>0+(899.9-259.8)+(0+(0.458949-0.132498))+0-0-0</f>
        <v>640.42645099999993</v>
      </c>
      <c r="S41" s="3">
        <f>0+(906.9-275.4)+(0+(-0.925038--0.280908))+0-0-0</f>
        <v>630.85586999999998</v>
      </c>
      <c r="T41" s="3">
        <f>0+(911.1-296.3)+(0+(1.393983-0.453339))+0-0-0</f>
        <v>615.74064399999997</v>
      </c>
      <c r="U41" s="3">
        <f>0+(876.6-271)+(0+(-1.341198--0.41463))+0-0-0</f>
        <v>604.67343200000005</v>
      </c>
      <c r="V41" s="3">
        <f>0+(867-267)+(0+(-1.32651--0.40851))+0-0-0</f>
        <v>599.08199999999999</v>
      </c>
      <c r="W41" s="3">
        <f>0+(856.4-259.3)+(0+(-2.18382--0.661215))+0-0-0</f>
        <v>595.57739499999991</v>
      </c>
      <c r="X41" s="3">
        <f>0+(785.5-192.9)+(0+(-2.003025--0.491895))+0-0-0</f>
        <v>591.08887000000004</v>
      </c>
      <c r="Y41" s="3">
        <f>0+(712.4-83.9)+(0+(-0.363324--0.042789))+0-0-0</f>
        <v>628.17946500000005</v>
      </c>
      <c r="Z41" s="3">
        <f>0+(842.9-105.3)+(0+(-1.719516--0.214812))+0-0-0</f>
        <v>736.09529600000008</v>
      </c>
      <c r="AA41" s="3">
        <f>0+(841.3-91.6)+(0+(-0.858126--0.093432))+0-0-0</f>
        <v>748.93530599999997</v>
      </c>
      <c r="AB41" s="3">
        <f>0+(816.5-91.2)+(0+(-2.49849--0.279072))+0-0-0</f>
        <v>723.08058199999994</v>
      </c>
      <c r="AC41" s="3">
        <f>0+(810.5-129.9)+(0+(-0.82671--0.132498))+0-0-0</f>
        <v>679.90578800000003</v>
      </c>
      <c r="AD41">
        <f t="shared" si="0"/>
        <v>15103.914371999999</v>
      </c>
      <c r="AE41" s="3">
        <f>0+(865.9-95.6)+(0+(0-0))+0-0-0</f>
        <v>770.3</v>
      </c>
    </row>
    <row r="42" spans="1:31" s="2" customFormat="1" x14ac:dyDescent="0.25">
      <c r="A42">
        <v>89</v>
      </c>
      <c r="B42">
        <v>2</v>
      </c>
      <c r="C42">
        <v>11</v>
      </c>
      <c r="D42">
        <v>1</v>
      </c>
      <c r="E42">
        <v>1</v>
      </c>
      <c r="F42" s="3">
        <f>0+(884.3-267.8)+(0+(-1.803972--0.546312))+0-0-0</f>
        <v>615.24234000000001</v>
      </c>
      <c r="G42" s="3">
        <f>0+(915.9-332.9)+(0+(-2.335545--0.848895))+0-0-0</f>
        <v>581.51334999999995</v>
      </c>
      <c r="H42" s="3">
        <f>0+(901.6-329.8)+(0+(-0.919632--0.336396))+0-0-0</f>
        <v>571.2167639999999</v>
      </c>
      <c r="I42" s="3">
        <f>0+(876.3-309.7)+(0+(-1.787652--0.631788))+0-0-0</f>
        <v>565.44413599999996</v>
      </c>
      <c r="J42" s="3">
        <f>0+(871.6-297.1)+(0+(0-0))+0-0-0</f>
        <v>574.5</v>
      </c>
      <c r="K42" s="3">
        <f>0+(869.8-287.6)+(0+(-0.443598--0.146676))+0-0-0</f>
        <v>581.90307799999994</v>
      </c>
      <c r="L42" s="3">
        <f>0+(814.4-222.1)+(0+(-1.661376--0.453084))+0-0-0</f>
        <v>591.09170799999993</v>
      </c>
      <c r="M42" s="3">
        <f>0+(843.7-205.7)+(0+(-0.860574--0.209814))+0-0-0</f>
        <v>637.34924000000001</v>
      </c>
      <c r="N42" s="3">
        <f>0+(853.8-150.2)+(0+(-0.870876--0.153204))+0-0-0</f>
        <v>702.88232799999992</v>
      </c>
      <c r="O42" s="3">
        <f>0+(815.8-81.7)+(0+(-1.248174--0.125001))+0-0-0</f>
        <v>732.97682699999996</v>
      </c>
      <c r="P42" s="3">
        <f>0+(793.5-20.3)+(0+(-0.80937--0.020706))+0-0-0</f>
        <v>772.41133600000001</v>
      </c>
      <c r="Q42" s="3">
        <f>0+(792.2-15)+(0+(-0.404022--0.00765))+0-0-0</f>
        <v>776.803628</v>
      </c>
      <c r="R42" s="3">
        <f>0+(799.2-28.2)+(0+(-2.03796--0.07191))+0-0-0</f>
        <v>769.03395</v>
      </c>
      <c r="S42" s="3">
        <f>0+(814.4-64.3)+(0+(-0.830688--0.065586))+0-0-0</f>
        <v>749.33489800000007</v>
      </c>
      <c r="T42" s="3">
        <f>0+(825.4-88.6)+(0+(-0.420954--0.045186))+0-0-0</f>
        <v>736.42423199999996</v>
      </c>
      <c r="U42" s="3">
        <f>0+(830.4-87)+(0+(-2.11752--0.22185))+0-0-0</f>
        <v>741.50432999999998</v>
      </c>
      <c r="V42" s="3">
        <f>0+(846.1-128.4)+(0+(-2.157555--0.32742))+0-0-0</f>
        <v>715.869865</v>
      </c>
      <c r="W42" s="3">
        <f>0+(809.3-98.7)+(0+(-1.238229--0.151011))+0-0-0</f>
        <v>709.5127819999999</v>
      </c>
      <c r="X42" s="3">
        <f>0+(748.4-53.5)+(0+(-1.145052--0.081855))+0-0-0</f>
        <v>693.83680300000003</v>
      </c>
      <c r="Y42" s="3">
        <f>0+(708.2-16.9)+(0+(-0.361182--0.008619))+0-0-0</f>
        <v>690.94743700000004</v>
      </c>
      <c r="Z42" s="3">
        <f>0+(831.1-27.4)+(0+(-1.695444--0.055896))+0-0-0</f>
        <v>802.06045200000005</v>
      </c>
      <c r="AA42" s="3">
        <f>0+(868.4-57.8)+(0+(-0.885768--0.058956))+0-0-0</f>
        <v>809.773188</v>
      </c>
      <c r="AB42" s="3">
        <f>0+(858.4-77.5)+(0+(-0.875568--0.07905))+0-0-0</f>
        <v>780.10348199999999</v>
      </c>
      <c r="AC42" s="3">
        <f>0+(843.7-100.2)+(0+(-1.290861--0.153306))+0-0-0</f>
        <v>742.36244499999998</v>
      </c>
      <c r="AD42">
        <f t="shared" si="0"/>
        <v>16644.098598999997</v>
      </c>
      <c r="AE42" s="3">
        <f>0+(908.3-74.2)+(0+(0-0))+0-0-0</f>
        <v>834.09999999999991</v>
      </c>
    </row>
    <row r="43" spans="1:31" s="2" customFormat="1" x14ac:dyDescent="0.25">
      <c r="A43">
        <v>89</v>
      </c>
      <c r="B43">
        <v>2</v>
      </c>
      <c r="C43">
        <v>12</v>
      </c>
      <c r="D43">
        <v>2</v>
      </c>
      <c r="E43">
        <v>1</v>
      </c>
      <c r="F43" s="3">
        <f>0+(875.5-187.4)+(0+(0-0))+0-0-0</f>
        <v>688.1</v>
      </c>
      <c r="G43" s="3">
        <f>0+(933.5-276.5)+(0+(-0.476085--0.141015))+0-0-0</f>
        <v>656.66493000000003</v>
      </c>
      <c r="H43" s="3">
        <f>0+(940.7-302)+(0+(0-0))+0-0-0</f>
        <v>638.70000000000005</v>
      </c>
      <c r="I43" s="3">
        <f>0+(915.9-285.9)+(0+(-0.934218--0.291618))+0-0-0</f>
        <v>629.35739999999998</v>
      </c>
      <c r="J43" s="3">
        <f>0+(897.8-270.8)+(0+(-0.457878--0.138108))+0-0-0</f>
        <v>626.68023000000005</v>
      </c>
      <c r="K43" s="3">
        <f>0+(879.6-245.1)+(0+(-2.24298--0.625005))+0-0-0</f>
        <v>632.882025</v>
      </c>
      <c r="L43" s="3">
        <f>0+(835.1-174)+(0+(-0.851802--0.17748))+0-0-0</f>
        <v>660.42567800000006</v>
      </c>
      <c r="M43" s="3">
        <f>0+(813.5-103.9)+(0+(0-0))+0-0-0</f>
        <v>709.6</v>
      </c>
      <c r="N43" s="3">
        <f>0+(861.6-91.5)+(0+(-0.439416--0.046665))+0-0-0</f>
        <v>769.70724900000005</v>
      </c>
      <c r="O43" s="3">
        <f>0+(899.9-78.9)+(0+(0-0))+0-0-0</f>
        <v>821</v>
      </c>
      <c r="P43" s="3">
        <f>0+(928.5-85.5)+(0+(0.94707-0.08721))+0-0-0</f>
        <v>843.85986000000003</v>
      </c>
      <c r="Q43" s="3">
        <f>0+(962.5-108.6)+(0+(-0.490875--0.055386))+0-0-0</f>
        <v>853.46451100000002</v>
      </c>
      <c r="R43" s="3">
        <f>0+(984.6-123.6)+(0+(-1.506438--0.189108))+0-0-0</f>
        <v>859.68267000000003</v>
      </c>
      <c r="S43" s="3">
        <f>0+(946.5-114.1)+(0+(-1.93086--0.232764))+0-0-0</f>
        <v>830.70190400000001</v>
      </c>
      <c r="T43" s="3">
        <f>0+(927.2-109.7)+(0+(0.472872-0.055947))+0-0-0</f>
        <v>817.91692499999999</v>
      </c>
      <c r="U43" s="3">
        <f>0+(912.4-109.7)+(0+(-1.395972--0.167841))+0-0-0</f>
        <v>801.47186899999997</v>
      </c>
      <c r="V43" s="3">
        <f>0+(901.6-107.2)+(0+(-2.758896--0.328032))+0-0-0</f>
        <v>791.96913599999993</v>
      </c>
      <c r="W43" s="3">
        <f>0+(900.3-106.5)+(0+(-0.459153--0.054315))+0-0-0</f>
        <v>793.39516199999991</v>
      </c>
      <c r="X43" s="3">
        <f>0+(918.4-117.8)+(0+(-1.405152--0.180234))+0-0-0</f>
        <v>799.37508200000002</v>
      </c>
      <c r="Y43" s="3">
        <f>0+(927.2-131)+(0+(-0.945744--0.13362))+0-0-0</f>
        <v>795.38787600000001</v>
      </c>
      <c r="Z43" s="3">
        <f>0+(1012.4-151)+(0+(-3.614268--0.53907))+0-0-0</f>
        <v>858.32480199999998</v>
      </c>
      <c r="AA43" s="3">
        <f>0+(1024.3-178.2)+(0+(-2.089572--0.363528))+0-0-0</f>
        <v>844.37395599999991</v>
      </c>
      <c r="AB43" s="3">
        <f>0+(948.9-140.2)+(0+(-2.419695--0.35751))+0-0-0</f>
        <v>806.63781500000005</v>
      </c>
      <c r="AC43" s="3">
        <f>0+(884.1-124.7)+(0+(-2.254455--0.317985))+0-0-0</f>
        <v>757.46352999999999</v>
      </c>
      <c r="AD43">
        <f t="shared" si="0"/>
        <v>18287.142610000003</v>
      </c>
      <c r="AE43" s="3">
        <f>0+(1044.3-180.8)+(0+(0-0))+0-0-0</f>
        <v>863.5</v>
      </c>
    </row>
    <row r="44" spans="1:31" s="2" customFormat="1" x14ac:dyDescent="0.25">
      <c r="A44">
        <v>89</v>
      </c>
      <c r="B44">
        <v>2</v>
      </c>
      <c r="C44">
        <v>13</v>
      </c>
      <c r="D44">
        <v>3</v>
      </c>
      <c r="E44">
        <v>1</v>
      </c>
      <c r="F44" s="3">
        <f>0+(848.8-147.6)+(0+(-2.597328--0.451656))+0-0-0</f>
        <v>699.05432799999994</v>
      </c>
      <c r="G44" s="3">
        <f>0+(809.1-142.3)+(0+(-2.888487--0.508011))+0-0-0</f>
        <v>664.41952399999991</v>
      </c>
      <c r="H44" s="3">
        <f>0+(795.6-147.8)+(0+(-0.405756--0.075378))+0-0-0</f>
        <v>647.46962199999996</v>
      </c>
      <c r="I44" s="3">
        <f>0+(793.4-149.6)+(0+(-0.404634--0.076296))+0-0-0</f>
        <v>643.47166199999992</v>
      </c>
      <c r="J44" s="3">
        <f>0+(756.1-118.2)+(0+(-0.771222--0.120564))+0-0-0</f>
        <v>637.24934199999996</v>
      </c>
      <c r="K44" s="3">
        <f>0+(704-71)+(0+(-1.7952--0.18105))+0-0-0</f>
        <v>631.38585</v>
      </c>
      <c r="L44" s="3">
        <f>0+(682.9-46.5)+(0+(-2.089674--0.14229))+0-0-0</f>
        <v>634.45261599999992</v>
      </c>
      <c r="M44" s="3">
        <f>0+(758.7-82)+(0+(0.386937-0.04182))+0-0-0</f>
        <v>677.045117</v>
      </c>
      <c r="N44" s="3">
        <f>0+(869.5-136.3)+(0+(0-0))+0-0-0</f>
        <v>733.2</v>
      </c>
      <c r="O44" s="3">
        <f>0+(927.1-153)+(0+(-1.418463--0.23409))+0-0-0</f>
        <v>772.91562699999997</v>
      </c>
      <c r="P44" s="3">
        <f>0+(892.3-106.3)+(0+(0-0))+0-0-0</f>
        <v>786</v>
      </c>
      <c r="Q44" s="3">
        <f>0+(888.9-91.1)+(0+(-1.813356--0.185844))+0-0-0</f>
        <v>796.17248799999993</v>
      </c>
      <c r="R44" s="3">
        <f>0+(875.2-84.8)+(0+(-0.446352--0.043248))+0-0-0</f>
        <v>789.99689600000011</v>
      </c>
      <c r="S44" s="3">
        <f>0+(856.4-95.9)+(0+(-1.747056--0.195636))+0-0-0</f>
        <v>758.94857999999999</v>
      </c>
      <c r="T44" s="3">
        <f>0+(862.2-101.3)+(0+(-1.758888--0.206652))+0-0-0</f>
        <v>759.3477640000001</v>
      </c>
      <c r="U44" s="3">
        <f>0+(856.5-101.9)+(0+(-1.310445--0.155907))+0-0-0</f>
        <v>753.44546200000002</v>
      </c>
      <c r="V44" s="3">
        <f>0+(847.8-89.4)+(0+(-1.297134--0.136782))+0-0-0</f>
        <v>757.23964799999999</v>
      </c>
      <c r="W44" s="3">
        <f>0+(801.4-51)+(0+(0-0))+0-0-0</f>
        <v>750.4</v>
      </c>
      <c r="X44" s="3">
        <f>0+(781.2-38.4)+(0+(-1.593648--0.078336))+0-0-0</f>
        <v>741.28468800000007</v>
      </c>
      <c r="Y44" s="3">
        <f>0+(792.5-32.3)+(0+(0.404175-0.016473))+0-0-0</f>
        <v>760.58770200000004</v>
      </c>
      <c r="Z44" s="3">
        <f>0+(911.3-64.6)+(0+(-2.323815--0.16473))+0-0-0</f>
        <v>844.54091499999993</v>
      </c>
      <c r="AA44" s="3">
        <f>0+(923.4-81.8)+(0+(-2.35467--0.20859))+0-0-0</f>
        <v>839.45392000000004</v>
      </c>
      <c r="AB44" s="3">
        <f>0+(846.2-44.5)+(0+(-0.431562--0.022695))+0-0-0</f>
        <v>801.29113300000006</v>
      </c>
      <c r="AC44" s="3">
        <f>0+(812.9-48.2)+(0+(-0.414579--0.024582))+0-0-0</f>
        <v>764.31000299999994</v>
      </c>
      <c r="AD44">
        <f t="shared" si="0"/>
        <v>17643.682886999999</v>
      </c>
      <c r="AE44" s="3">
        <f>0+(945.6-84.1)+(0+(0-0))+0-0-0</f>
        <v>861.5</v>
      </c>
    </row>
    <row r="45" spans="1:31" s="2" customFormat="1" x14ac:dyDescent="0.25">
      <c r="A45">
        <v>89</v>
      </c>
      <c r="B45">
        <v>2</v>
      </c>
      <c r="C45">
        <v>14</v>
      </c>
      <c r="D45">
        <v>4</v>
      </c>
      <c r="E45">
        <v>1</v>
      </c>
      <c r="F45" s="3">
        <f>0+(826.2-110.4)+(0+(-1.685448--0.225216))+0-0-0</f>
        <v>714.33976800000005</v>
      </c>
      <c r="G45" s="3">
        <f>0+(856.5-179)+(0+(-1.74726--0.36516))+0-0-0</f>
        <v>676.11789999999996</v>
      </c>
      <c r="H45" s="3">
        <f>0+(886.8-231.4)+(0+(-1.356804--0.354042))+0-0-0</f>
        <v>654.39723800000002</v>
      </c>
      <c r="I45" s="3">
        <f>0+(885-236.7)+(0+(0.45135-0.120717))+0-0-0</f>
        <v>648.63063299999999</v>
      </c>
      <c r="J45" s="3">
        <f>0+(914.6-271.1)+(0+(1.865784-0.553044))+0-0-0</f>
        <v>644.81273999999996</v>
      </c>
      <c r="K45" s="3">
        <f>0+(919-273.2)+(0+(-0.46869--0.139332))+0-0-0</f>
        <v>645.470642</v>
      </c>
      <c r="L45" s="3">
        <f>0+(864.2-213.4)+(0+(-2.20371--0.54417))+0-0-0</f>
        <v>649.14046000000008</v>
      </c>
      <c r="M45" s="3">
        <f>0+(851.6-159.2)+(0+(0-0))+0-0-0</f>
        <v>692.40000000000009</v>
      </c>
      <c r="N45" s="3">
        <f>0+(792.1-52.6)+(0+(-0.807942--0.053652))+0-0-0</f>
        <v>738.74571000000003</v>
      </c>
      <c r="O45" s="3">
        <f>0+(809.4-26.5)+(0+(0.825588-0.02703))+0-0-0</f>
        <v>783.69855799999993</v>
      </c>
      <c r="P45" s="3">
        <f>0+(832.6-29.3)+(0+(-1.273878--0.044829))+0-0-0</f>
        <v>802.07095100000004</v>
      </c>
      <c r="Q45" s="3">
        <f>0+(844.7-35.8)+(0+(-0.861594--0.036516))+0-0-0</f>
        <v>808.07492200000013</v>
      </c>
      <c r="R45" s="3">
        <f>0+(853.1-50.5)+(0+(-1.740324--0.10302))+0-0-0</f>
        <v>800.96269600000005</v>
      </c>
      <c r="S45" s="3">
        <f>0+(825.1-49.6)+(0+(0-0))+0-0-0</f>
        <v>775.5</v>
      </c>
      <c r="T45" s="3">
        <f>0+(814.4-54)+(0+(0.830688-0.05508))+0-0-0</f>
        <v>761.17560800000001</v>
      </c>
      <c r="U45" s="3">
        <f>0+(807-53.9)+(0+(-0.41157--0.027489))+0-0-0</f>
        <v>752.71591899999999</v>
      </c>
      <c r="V45" s="3">
        <f>0+(799.5-48.9)+(0+(-0.81549--0.049878))+0-0-0</f>
        <v>749.83438799999999</v>
      </c>
      <c r="W45" s="3">
        <f>0+(795.8-44)+(0+(-1.623432--0.08976))+0-0-0</f>
        <v>750.26632799999993</v>
      </c>
      <c r="X45" s="3">
        <f>0+(787.5-44.6)+(0+(-2.008125--0.11373))+0-0-0</f>
        <v>741.00560499999995</v>
      </c>
      <c r="Y45" s="3">
        <f>0+(786.6-39.4)+(0+(-0.802332--0.040188))+0-0-0</f>
        <v>746.43785600000001</v>
      </c>
      <c r="Z45" s="3">
        <f>0+(872.2-25.5)+(0+(-1.779288--0.05202))+0-0-0</f>
        <v>844.97273200000006</v>
      </c>
      <c r="AA45" s="3">
        <f>0+(872.4-33)+(0+(-0.889848--0.03366))+0-0-0</f>
        <v>838.543812</v>
      </c>
      <c r="AB45" s="3">
        <f>0+(837.6-38.6)+(0+(-1.281528--0.059058))+0-0-0</f>
        <v>797.77752999999996</v>
      </c>
      <c r="AC45" s="3">
        <f>0+(789.8-32.7)+(0+(-0.805596--0.033354))+0-0-0</f>
        <v>756.3277579999999</v>
      </c>
      <c r="AD45">
        <f t="shared" si="0"/>
        <v>17773.419753999999</v>
      </c>
      <c r="AE45" s="3">
        <f>0+(901-32)+(0+(0-0))+0-0-0</f>
        <v>869</v>
      </c>
    </row>
    <row r="46" spans="1:31" s="2" customFormat="1" x14ac:dyDescent="0.25">
      <c r="A46">
        <v>89</v>
      </c>
      <c r="B46">
        <v>2</v>
      </c>
      <c r="C46">
        <v>15</v>
      </c>
      <c r="D46">
        <v>5</v>
      </c>
      <c r="E46">
        <v>1</v>
      </c>
      <c r="F46" s="3">
        <f>0+(837.2-130.1)+(0+(-0.426972--0.066351))+0-0-0</f>
        <v>706.73937899999999</v>
      </c>
      <c r="G46" s="3">
        <f>0+(828.7-153.8)+(0+(-1.267911--0.235314))+0-0-0</f>
        <v>673.86740300000008</v>
      </c>
      <c r="H46" s="3">
        <f>0+(847.5-188.5)+(0+(-0.86445--0.19227))+0-0-0</f>
        <v>658.32781999999997</v>
      </c>
      <c r="I46" s="3">
        <f>0+(833.6-182.1)+(0+(-1.700544--0.371484))+0-0-0</f>
        <v>650.17093999999997</v>
      </c>
      <c r="J46" s="3">
        <f>0+(814.7-173.6)+(0+(0.415497-0.088536))+0-0-0</f>
        <v>641.42696100000001</v>
      </c>
      <c r="K46" s="3">
        <f>0+(817.8-173.9)+(0+(0.417078-0.088689))+0-0-0</f>
        <v>644.22838899999999</v>
      </c>
      <c r="L46" s="3">
        <f>0+(803-153.6)+(0+(-1.63812--0.313344))+0-0-0</f>
        <v>648.07522399999993</v>
      </c>
      <c r="M46" s="3">
        <f>0+(800.9-114.8)+(0+(0-0))+0-0-0</f>
        <v>686.1</v>
      </c>
      <c r="N46" s="3">
        <f>0+(796.3-67.4)+(0+(-0.406113--0.034374))+0-0-0</f>
        <v>728.52826099999993</v>
      </c>
      <c r="O46" s="3">
        <f>0+(806.3-33)+(0+(0-0))+0-0-0</f>
        <v>773.3</v>
      </c>
      <c r="P46" s="3">
        <f>0+(833-43.4)+(0+(-0.84966--0.044268))+0-0-0</f>
        <v>788.79460800000004</v>
      </c>
      <c r="Q46" s="3">
        <f>0+(843.4-48.4)+(0+(-0.860268--0.049368))+0-0-0</f>
        <v>794.18910000000005</v>
      </c>
      <c r="R46" s="3">
        <f>0+(830.4-55.4)+(0+(-0.847008--0.056508))+0-0-0</f>
        <v>774.20950000000005</v>
      </c>
      <c r="S46" s="3">
        <f>0+(804.4-59)+(0+(0.410244-0.03009))+0-0-0</f>
        <v>745.78015399999992</v>
      </c>
      <c r="T46" s="3">
        <f>0+(802-64.5)+(0+(1.22706-0.098685))+0-0-0</f>
        <v>738.62837500000001</v>
      </c>
      <c r="U46" s="3">
        <f>0+(791.3-62.5)+(0+(-0.807126--0.06375))+0-0-0</f>
        <v>728.05662399999994</v>
      </c>
      <c r="V46" s="3">
        <f>0+(791.5-56)+(0+(-1.210995--0.08568))+0-0-0</f>
        <v>734.374685</v>
      </c>
      <c r="W46" s="3">
        <f>0+(779.9-51.7)+(0+(-1.193247--0.079101))+0-0-0</f>
        <v>727.08585399999993</v>
      </c>
      <c r="X46" s="3">
        <f>0+(780.8-45.6)+(0+(-1.99104--0.11628))+0-0-0</f>
        <v>733.32523999999989</v>
      </c>
      <c r="Y46" s="3">
        <f>0+(807.7-57.2)+(0+(-0.823854--0.058344))+0-0-0</f>
        <v>749.73449000000005</v>
      </c>
      <c r="Z46" s="3">
        <f>0+(860.2-32.5)+(0+(-0.438702--0.016575))+0-0-0</f>
        <v>827.277873</v>
      </c>
      <c r="AA46" s="3">
        <f>0+(869.8-39.6)+(0+(-2.21799--0.10098))+0-0-0</f>
        <v>828.08298999999988</v>
      </c>
      <c r="AB46" s="3">
        <f>0+(820.9-23.8)+(0+(-0.837318--0.024276))+0-0-0</f>
        <v>796.28695800000003</v>
      </c>
      <c r="AC46" s="3">
        <f>0+(790.3-36.1)+(0+(-1.209159--0.055233))+0-0-0</f>
        <v>753.04607399999998</v>
      </c>
      <c r="AD46">
        <f t="shared" si="0"/>
        <v>17529.636902000006</v>
      </c>
      <c r="AE46" s="3">
        <f>0+(897-43.5)+(0+(0-0))+0-0-0</f>
        <v>853.5</v>
      </c>
    </row>
    <row r="47" spans="1:31" s="2" customFormat="1" x14ac:dyDescent="0.25">
      <c r="A47">
        <v>89</v>
      </c>
      <c r="B47">
        <v>2</v>
      </c>
      <c r="C47">
        <v>16</v>
      </c>
      <c r="D47">
        <v>6</v>
      </c>
      <c r="E47">
        <v>1</v>
      </c>
      <c r="F47" s="3">
        <f>0+(843.5-140.1)+(0+(0-0))+0-0-0</f>
        <v>703.4</v>
      </c>
      <c r="G47" s="3">
        <f>0+(888.9-216.9)+(0+(0-0))+0-0-0</f>
        <v>672</v>
      </c>
      <c r="H47" s="3">
        <f>0+(895.3-242.3)+(0+(0-0))+0-0-0</f>
        <v>653</v>
      </c>
      <c r="I47" s="3">
        <f>0+(898.9-260)+(0+(0-0))+0-0-0</f>
        <v>638.9</v>
      </c>
      <c r="J47" s="3">
        <f>0+(905.1-274.4)+(0+(0-0))+0-0-0</f>
        <v>630.70000000000005</v>
      </c>
      <c r="K47" s="3">
        <f>0+(879.3-249.4)+(0+(0-0))+0-0-0</f>
        <v>629.9</v>
      </c>
      <c r="L47" s="3">
        <f>0+(892.8-264.6)+(0+(0-0))+0-0-0</f>
        <v>628.19999999999993</v>
      </c>
      <c r="M47" s="3">
        <f>0+(954.3-300.2)+(0+(0-0))+0-0-0</f>
        <v>654.09999999999991</v>
      </c>
      <c r="N47" s="3">
        <f>0+(945.2-241)+(0+(0-0))+0-0-0</f>
        <v>704.2</v>
      </c>
      <c r="O47" s="3">
        <f>0+(864.8-126.5)+(0+(0-0))+0-0-0</f>
        <v>738.3</v>
      </c>
      <c r="P47" s="3">
        <f>0+(830.9-77.8)+(0+(0-0))+0-0-0</f>
        <v>753.1</v>
      </c>
      <c r="Q47" s="3">
        <f>0+(856.1-90.8)+(0+(0-0))+0-0-0</f>
        <v>765.30000000000007</v>
      </c>
      <c r="R47" s="3">
        <f>0+(837.5-79.8)+(0+(0.427125-0.040698))+0-0-0</f>
        <v>758.08642700000007</v>
      </c>
      <c r="S47" s="3">
        <f>0+(819-88.2)+(0+(0-0))+0-0-0</f>
        <v>730.8</v>
      </c>
      <c r="T47" s="3">
        <f>0+(849.6-118.5)+(0+(-0.866592--0.12087))+0-0-0</f>
        <v>730.35427800000002</v>
      </c>
      <c r="U47" s="3">
        <f>0+(891.7-174.5)+(0+(-1.364301--0.266985))+0-0-0</f>
        <v>716.10268400000007</v>
      </c>
      <c r="V47" s="3">
        <f>0+(928.6-224.7)+(0+(-2.36793--0.572985))+0-0-0</f>
        <v>702.10505500000011</v>
      </c>
      <c r="W47" s="3">
        <f>0+(893.5-190.3)+(0+(-1.367055--0.291159))+0-0-0</f>
        <v>702.1241040000001</v>
      </c>
      <c r="X47" s="3">
        <f>0+(890.9-187.5)+(0+(-0.908718--0.19125))+0-0-0</f>
        <v>702.68253199999992</v>
      </c>
      <c r="Y47" s="3">
        <f>0+(855.6-136.9)+(0+(-0.872712--0.139638))+0-0-0</f>
        <v>717.96692600000006</v>
      </c>
      <c r="Z47" s="3">
        <f>0+(858.9-57.5)+(0+(-1.314117--0.087975))+0-0-0</f>
        <v>800.173858</v>
      </c>
      <c r="AA47" s="3">
        <f>0+(836.1-37.1)+(0+(-1.705644--0.075684))+0-0-0</f>
        <v>797.37004000000002</v>
      </c>
      <c r="AB47" s="3">
        <f>0+(797.6-26.5)+(0+(0.406776-0.013515))+0-0-0</f>
        <v>771.49326100000008</v>
      </c>
      <c r="AC47" s="3">
        <f>0+(814.9-76.8)+(0+(-0.831198--0.078336))+0-0-0</f>
        <v>737.34713799999997</v>
      </c>
      <c r="AD47">
        <f t="shared" si="0"/>
        <v>17037.706303000003</v>
      </c>
      <c r="AE47" s="3">
        <f>0+(867-41)+(0+(0-0))+0-0-0</f>
        <v>826</v>
      </c>
    </row>
    <row r="48" spans="1:31" s="2" customFormat="1" x14ac:dyDescent="0.25">
      <c r="A48">
        <v>89</v>
      </c>
      <c r="B48">
        <v>2</v>
      </c>
      <c r="C48">
        <v>17</v>
      </c>
      <c r="D48">
        <v>7</v>
      </c>
      <c r="E48">
        <v>1</v>
      </c>
      <c r="F48" s="3">
        <f>0+(844.6-159.8)+(0+(-0.861492--0.162996))+0-0-0</f>
        <v>684.10150399999998</v>
      </c>
      <c r="G48" s="3">
        <f>0+(893.3-241.5)+(0+(-1.366749--0.369495))+0-0-0</f>
        <v>650.80274599999996</v>
      </c>
      <c r="H48" s="3">
        <f>0+(923.5-298.1)+(0+(-1.88394--0.608124))+0-0-0</f>
        <v>624.12418400000001</v>
      </c>
      <c r="I48" s="3">
        <f>0+(936-319.9)+(0+(-0.47736--0.163149))+0-0-0</f>
        <v>615.78578900000002</v>
      </c>
      <c r="J48" s="3">
        <f>0+(915.7-303.8)+(0+(-1.401021--0.464814))+0-0-0</f>
        <v>610.96379300000012</v>
      </c>
      <c r="K48" s="3">
        <f>0+(899.4-294)+(0+(0-0))+0-0-0</f>
        <v>605.4</v>
      </c>
      <c r="L48" s="3">
        <f>0+(803.4-233.9)+(0+(-1.638936--0.477156))+0-0-0</f>
        <v>568.33821999999998</v>
      </c>
      <c r="M48" s="3">
        <f>0+(818-248.6)+(0+(-0.83436--0.253572))+0-0-0</f>
        <v>568.81921199999999</v>
      </c>
      <c r="N48" s="3">
        <f>0+(861.8-263)+(0+(-1.318554--0.40239))+0-0-0</f>
        <v>597.88383599999997</v>
      </c>
      <c r="O48" s="3">
        <f>0+(797.1-170.3)+(0+(0-0))+0-0-0</f>
        <v>626.79999999999995</v>
      </c>
      <c r="P48" s="3">
        <f>0+(708.3-63)+(0+(-0.361233--0.03213))+0-0-0</f>
        <v>644.97089699999992</v>
      </c>
      <c r="Q48" s="3">
        <f>0+(746.5-90.8)+(0+(0-0))+0-0-0</f>
        <v>655.7</v>
      </c>
      <c r="R48" s="3">
        <f>0+(789.9-136.7)+(0+(0-0))+0-0-0</f>
        <v>653.20000000000005</v>
      </c>
      <c r="S48" s="3">
        <f>0+(774.8-148.7)+(0+(0-0))+0-0-0</f>
        <v>626.09999999999991</v>
      </c>
      <c r="T48" s="3">
        <f>0+(775-174.6)+(0+(0-0))+0-0-0</f>
        <v>600.4</v>
      </c>
      <c r="U48" s="3">
        <f>0+(812.3-218.7)+(0+(0-0))+0-0-0</f>
        <v>593.59999999999991</v>
      </c>
      <c r="V48" s="3">
        <f>0+(811.2-206.7)+(0+(-2.06856--0.527085))+0-0-0</f>
        <v>602.95852500000001</v>
      </c>
      <c r="W48" s="3">
        <f>0+(821.8-207.1)+(0+(-1.257354--0.316863))+0-0-0</f>
        <v>613.75950899999998</v>
      </c>
      <c r="X48" s="3">
        <f>0+(799.4-173.2)+(0+(-0.815388--0.176664))+0-0-0</f>
        <v>625.56127600000002</v>
      </c>
      <c r="Y48" s="3">
        <f>0+(791.6-151.5)+(0+(-0.807432--0.15453))+0-0-0</f>
        <v>639.44709799999998</v>
      </c>
      <c r="Z48" s="3">
        <f>0+(815.8-89.3)+(0+(-2.08029--0.227715))+0-0-0</f>
        <v>724.647425</v>
      </c>
      <c r="AA48" s="3">
        <f>0+(889.4-140.3)+(0+(-0.907188--0.143106))+0-0-0</f>
        <v>748.33591799999988</v>
      </c>
      <c r="AB48" s="3">
        <f>0+(869-140.1)+(0+(-1.32957--0.214353))+0-0-0</f>
        <v>727.78478299999995</v>
      </c>
      <c r="AC48" s="3">
        <f>0+(846.3-163.1)+(0+(-0.431613--0.083181))+0-0-0</f>
        <v>682.85156799999993</v>
      </c>
      <c r="AD48">
        <f t="shared" si="0"/>
        <v>15292.336283000001</v>
      </c>
      <c r="AE48" s="3">
        <f>0+(902-132)+(0+(0-0))+0-0-0</f>
        <v>770</v>
      </c>
    </row>
    <row r="49" spans="1:31" s="2" customFormat="1" x14ac:dyDescent="0.25">
      <c r="A49">
        <v>89</v>
      </c>
      <c r="B49">
        <v>2</v>
      </c>
      <c r="C49">
        <v>18</v>
      </c>
      <c r="D49">
        <v>1</v>
      </c>
      <c r="E49">
        <v>1</v>
      </c>
      <c r="F49" s="3">
        <f>0+(860.8-233.7)+(0+(-1.317024--0.357561))+0-0-0</f>
        <v>626.14053699999988</v>
      </c>
      <c r="G49" s="3">
        <f>0+(861.5-263.5)+(0+(-0.439365--0.134385))+0-0-0</f>
        <v>597.69502</v>
      </c>
      <c r="H49" s="3">
        <f>0+(841.5-262.6)+(0+(-0.85833--0.267852))+0-0-0</f>
        <v>578.30952200000002</v>
      </c>
      <c r="I49" s="3">
        <f>0+(786.2-208.9)+(0+(-0.400962--0.106539))+0-0-0</f>
        <v>577.00557700000002</v>
      </c>
      <c r="J49" s="3">
        <f>0+(783.4-195)+(0+(0.399534-0.09945))+0-0-0</f>
        <v>588.70008399999995</v>
      </c>
      <c r="K49" s="3">
        <f>0+(780.2-188.4)+(0+(-0.795804--0.192168))+0-0-0</f>
        <v>591.19636400000002</v>
      </c>
      <c r="L49" s="3">
        <f>0+(783.3-168.2)+(0+(-0.399483--0.085782))+0-0-0</f>
        <v>614.78629899999987</v>
      </c>
      <c r="M49" s="3">
        <f>0+(810.9-133.4)+(0+(0-0))+0-0-0</f>
        <v>677.5</v>
      </c>
      <c r="N49" s="3">
        <f>0+(892-143.6)+(0+(-1.36476--0.219708))+0-0-0</f>
        <v>747.25494800000001</v>
      </c>
      <c r="O49" s="3">
        <f>0+(920.9-129.6)+(0+(0-0))+0-0-0</f>
        <v>791.3</v>
      </c>
      <c r="P49" s="3">
        <f>0+(955.9-145.7)+(0+(-0.975018--0.148614))+0-0-0</f>
        <v>809.37359600000002</v>
      </c>
      <c r="Q49" s="3">
        <f>0+(983.3-156.1)+(0+(-1.002966--0.159222))+0-0-0</f>
        <v>826.35625599999992</v>
      </c>
      <c r="R49" s="3">
        <f>0+(945.6-125.2)+(0+(-0.482256--0.063852))+0-0-0</f>
        <v>819.98159599999997</v>
      </c>
      <c r="S49" s="3">
        <f>0+(925.4-124.7)+(0+(-1.415862--0.190791))+0-0-0</f>
        <v>799.47492899999997</v>
      </c>
      <c r="T49" s="3">
        <f>0+(920.4-122.4)+(0+(-1.408212--0.187272))+0-0-0</f>
        <v>796.77905999999996</v>
      </c>
      <c r="U49" s="3">
        <f>0+(913.1-127.5)+(0+(-1.862724--0.2601))+0-0-0</f>
        <v>783.99737600000003</v>
      </c>
      <c r="V49" s="3">
        <f>0+(918.6-133.1)+(0+(-0.936972--0.135762))+0-0-0</f>
        <v>784.69879000000003</v>
      </c>
      <c r="W49" s="3">
        <f>0+(909.2-134.3)+(0+(-2.782152--0.410958))+0-0-0</f>
        <v>772.52880600000015</v>
      </c>
      <c r="X49" s="3">
        <f>0+(870.1-111.4)+(0+(-3.106257--0.397698))+0-0-0</f>
        <v>755.99144100000001</v>
      </c>
      <c r="Y49" s="3">
        <f>0+(902.7-128.1)+(0+(-1.841508--0.261324))+0-0-0</f>
        <v>773.01981599999999</v>
      </c>
      <c r="Z49" s="3">
        <f>0+(914.2-51.4)+(0+(-0.932484--0.052428))+0-0-0</f>
        <v>861.9199440000001</v>
      </c>
      <c r="AA49" s="3">
        <f>0+(909-52.5)+(0+(-1.39077--0.080325))+0-0-0</f>
        <v>855.18955500000004</v>
      </c>
      <c r="AB49" s="3">
        <f>0+(898.7-74.5)+(0+(-1.833348--0.15198))+0-0-0</f>
        <v>822.51863200000003</v>
      </c>
      <c r="AC49" s="3">
        <f>0+(947.6-158.5)+(0+(-0.966552--0.16167))+0-0-0</f>
        <v>788.295118</v>
      </c>
      <c r="AD49">
        <f t="shared" si="0"/>
        <v>17640.013266000002</v>
      </c>
      <c r="AE49" s="3">
        <f>0+(950.6-56.2)+(0+(0-0))+0-0-0</f>
        <v>894.4</v>
      </c>
    </row>
    <row r="50" spans="1:31" s="2" customFormat="1" x14ac:dyDescent="0.25">
      <c r="A50">
        <v>89</v>
      </c>
      <c r="B50">
        <v>2</v>
      </c>
      <c r="C50">
        <v>19</v>
      </c>
      <c r="D50">
        <v>2</v>
      </c>
      <c r="E50">
        <v>1</v>
      </c>
      <c r="F50" s="3">
        <f>0+(994.6-269.4)+(0+(-1.014492--0.274788))+0-0-0</f>
        <v>724.46029600000008</v>
      </c>
      <c r="G50" s="3">
        <f>0+(990.3-299)+(0+(-0.505053--0.15249))+0-0-0</f>
        <v>690.94743699999992</v>
      </c>
      <c r="H50" s="3">
        <f>0+(954.7-286.6)+(0+(0-0))+0-0-0</f>
        <v>668.1</v>
      </c>
      <c r="I50" s="3">
        <f>0+(943.8-285)+(0+(-0.481338--0.14535))+0-0-0</f>
        <v>658.46401199999991</v>
      </c>
      <c r="J50" s="3">
        <f>0+(928.9-265.9)+(0+(-0.947478--0.271218))+0-0-0</f>
        <v>662.32374000000004</v>
      </c>
      <c r="K50" s="3">
        <f>0+(917.5-257.1)+(0+(-2.339625--0.655605))+0-0-0</f>
        <v>658.71597999999994</v>
      </c>
      <c r="L50" s="3">
        <f>0+(917.5-253.6)+(0+(-2.339625--0.64668))+0-0-0</f>
        <v>662.20705499999997</v>
      </c>
      <c r="M50" s="3">
        <f>0+(893.9-183.8)+(0+(-0.911778--0.187476))+0-0-0</f>
        <v>709.37569799999994</v>
      </c>
      <c r="N50" s="3">
        <f>0+(890.4-125.1)+(0+(-1.362312--0.191403))+0-0-0</f>
        <v>764.1290909999999</v>
      </c>
      <c r="O50" s="3">
        <f>0+(898.9-93.5)+(0+(-0.458439--0.047685))+0-0-0</f>
        <v>804.98924599999998</v>
      </c>
      <c r="P50" s="3">
        <f>0+(922.4-99.4)+(0+(0-0))+0-0-0</f>
        <v>823</v>
      </c>
      <c r="Q50" s="3">
        <f>0+(948.5-121.3)+(0+(-0.483735--0.061863))+0-0-0</f>
        <v>826.77812800000004</v>
      </c>
      <c r="R50" s="3">
        <f>0+(937.4-116.9)+(0+(-0.956148--0.119238))+0-0-0</f>
        <v>819.66309000000001</v>
      </c>
      <c r="S50" s="3">
        <f>0+(927.5-136.2)+(0+(-1.419075--0.208386))+0-0-0</f>
        <v>790.08931099999995</v>
      </c>
      <c r="T50" s="3">
        <f>0+(958-183.1)+(0+(-0.97716--0.186762))+0-0-0</f>
        <v>774.109602</v>
      </c>
      <c r="U50" s="3">
        <f>0+(992.9-201.6)+(0+(-2.531895--0.51408))+0-0-0</f>
        <v>789.28218499999991</v>
      </c>
      <c r="V50" s="3">
        <f>0+(990.9-215.9)+(0+(-1.010718--0.220218))+0-0-0</f>
        <v>774.20950000000005</v>
      </c>
      <c r="W50" s="3">
        <f>0+(977.1-210.9)+(0+(-2.989926--0.645354))+0-0-0</f>
        <v>763.85542800000007</v>
      </c>
      <c r="X50" s="3">
        <f>0+(907.9-149.8)+(0+(-1.852116--0.305592))+0-0-0</f>
        <v>756.55347599999993</v>
      </c>
      <c r="Y50" s="3">
        <f>0+(883.1-125.7)+(0+(0-0))+0-0-0</f>
        <v>757.4</v>
      </c>
      <c r="Z50" s="3">
        <f>0+(912.2-55.9)+(0+(-1.860888--0.114036))+0-0-0</f>
        <v>854.55314800000008</v>
      </c>
      <c r="AA50" s="3">
        <f>0+(952.9-85.8)+(0+(-2.429895--0.21879))+0-0-0</f>
        <v>864.88889500000005</v>
      </c>
      <c r="AB50" s="3">
        <f>0+(973.4-137.8)+(0+(-1.489302--0.210834))+0-0-0</f>
        <v>834.32153199999993</v>
      </c>
      <c r="AC50" s="3">
        <f>0+(945.7-173.3)+(0+(-2.411535--0.441915))+0-0-0</f>
        <v>770.43038000000013</v>
      </c>
      <c r="AD50">
        <f t="shared" si="0"/>
        <v>18202.847230000003</v>
      </c>
      <c r="AE50" s="3">
        <f>0+(959.7-83)+(0+(0-0))+0-0-0</f>
        <v>876.7</v>
      </c>
    </row>
    <row r="51" spans="1:31" s="2" customFormat="1" x14ac:dyDescent="0.25">
      <c r="A51">
        <v>89</v>
      </c>
      <c r="B51">
        <v>2</v>
      </c>
      <c r="C51">
        <v>20</v>
      </c>
      <c r="D51">
        <v>3</v>
      </c>
      <c r="E51">
        <v>1</v>
      </c>
      <c r="F51" s="3">
        <f>0+(878.5-158.9)+(0+(-4.032315--0.729351))+0-0-0</f>
        <v>716.29703600000005</v>
      </c>
      <c r="G51" s="3">
        <f>0+(874.3-181.4)+(0+(-4.013037--0.832626))+0-0-0</f>
        <v>689.71958899999993</v>
      </c>
      <c r="H51" s="3">
        <f>0+(901.2-228.8)+(0+(0.459612-0.116688))+0-0-0</f>
        <v>672.74292400000013</v>
      </c>
      <c r="I51" s="3">
        <f>0+(911.3-239.3)+(0+(-3.253341--0.854301))+0-0-0</f>
        <v>669.60095999999999</v>
      </c>
      <c r="J51" s="3">
        <f>0+(899.3-228.4)+(0+(-0.458643--0.116484))+0-0-0</f>
        <v>670.55784099999994</v>
      </c>
      <c r="K51" s="3">
        <f>0+(874-209)+(0+(-2.2287--0.53295))+0-0-0</f>
        <v>663.30425000000002</v>
      </c>
      <c r="L51" s="3">
        <f>0+(908.9-231.2)+(0+(-1.390617--0.353736))+0-0-0</f>
        <v>676.66311900000005</v>
      </c>
      <c r="M51" s="3">
        <f>0+(922.2-195.5)+(0+(0.940644-0.19941))+0-0-0</f>
        <v>727.44123400000001</v>
      </c>
      <c r="N51" s="3">
        <f>0+(899.7-118.8)+(0+(0.917694-0.121176))+0-0-0</f>
        <v>781.69651800000008</v>
      </c>
      <c r="O51" s="3">
        <f>0+(884.8-50)+(0+(-1.353744--0.0765))+0-0-0</f>
        <v>833.52275599999996</v>
      </c>
      <c r="P51" s="3">
        <f>0+(840.6-3.8)+(0+(-0.857412--0.003876))+0-0-0</f>
        <v>835.94646400000011</v>
      </c>
      <c r="Q51" s="3">
        <f>0+(846.7-3)+(0+(-0.431817--0.00153))+0-0-0</f>
        <v>843.26971300000002</v>
      </c>
      <c r="R51" s="3">
        <f>0+(832.4-6.5)+(0+(-1.273572--0.009945))+0-0-0</f>
        <v>824.63637299999994</v>
      </c>
      <c r="S51" s="3">
        <f>0+(836.3-39.5)+(0+(-0.853026--0.04029))+0-0-0</f>
        <v>795.98726399999998</v>
      </c>
      <c r="T51" s="3">
        <f>0+(850.3-55)+(0+(-0.867306--0.0561))+0-0-0</f>
        <v>794.48879399999998</v>
      </c>
      <c r="U51" s="3">
        <f>0+(822.7-59.3)+(0+(0-0))+0-0-0</f>
        <v>763.40000000000009</v>
      </c>
      <c r="V51" s="3">
        <f>0+(799.1-24.6)+(0+(-2.037705--0.06273))+0-0-0</f>
        <v>772.52502500000003</v>
      </c>
      <c r="W51" s="3">
        <f>0+(832.4-46.9)+(0+(-2.12262--0.119595))+0-0-0</f>
        <v>783.49697500000002</v>
      </c>
      <c r="X51" s="3">
        <f>0+(797.9-48)+(0+(-2.441574--0.14688))+0-0-0</f>
        <v>747.60530599999993</v>
      </c>
      <c r="Y51" s="3">
        <f>0+(777.2-41.5)+(0+(-0.396372--0.021165))+0-0-0</f>
        <v>735.324793</v>
      </c>
      <c r="Z51" s="3">
        <f>0+(820.9-15.6)+(0+(-1.674636--0.031824))+0-0-0</f>
        <v>803.65718799999991</v>
      </c>
      <c r="AA51" s="3">
        <f>0+(829-1.6)+(0+(-2.53674--0.004896))+0-0-0</f>
        <v>824.868156</v>
      </c>
      <c r="AB51" s="3">
        <f>0+(801.3-4.7)+(0+(-1.634652--0.009588))+0-0-0</f>
        <v>794.97493599999996</v>
      </c>
      <c r="AC51" s="3">
        <f>0+(769.5-7.4)+(0+(-1.177335--0.011322))+0-0-0</f>
        <v>760.933987</v>
      </c>
      <c r="AD51">
        <f t="shared" si="0"/>
        <v>18182.661200999995</v>
      </c>
      <c r="AE51" s="3">
        <f>0+(848.2-5)+(0+(0-0))+0-0-0</f>
        <v>843.2</v>
      </c>
    </row>
    <row r="52" spans="1:31" s="2" customFormat="1" x14ac:dyDescent="0.25">
      <c r="A52">
        <v>89</v>
      </c>
      <c r="B52">
        <v>2</v>
      </c>
      <c r="C52">
        <v>21</v>
      </c>
      <c r="D52">
        <v>4</v>
      </c>
      <c r="E52">
        <v>1</v>
      </c>
      <c r="F52" s="3">
        <f>0+(731.3-21.2)+(0+(-0.372963--0.010812))+0-0-0</f>
        <v>709.73784899999987</v>
      </c>
      <c r="G52" s="3">
        <f>0+(715.2-37.9)+(0+(-0.729504--0.038658))+0-0-0</f>
        <v>676.6091540000001</v>
      </c>
      <c r="H52" s="3">
        <f>0+(692.6-39.1)+(0+(-1.76613--0.099705))+0-0-0</f>
        <v>651.833575</v>
      </c>
      <c r="I52" s="3">
        <f>0+(687.4-45.2)+(0+(-0.701148--0.046104))+0-0-0</f>
        <v>641.54495599999996</v>
      </c>
      <c r="J52" s="3">
        <f>0+(691.8-46.7)+(0+(0-0))+0-0-0</f>
        <v>645.09999999999991</v>
      </c>
      <c r="K52" s="3">
        <f>0+(692.1-45.3)+(0+(-1.411884--0.092412))+0-0-0</f>
        <v>645.48052800000005</v>
      </c>
      <c r="L52" s="3">
        <f>0+(706.1-43.3)+(0+(-1.080333--0.066249))+0-0-0</f>
        <v>661.78591600000004</v>
      </c>
      <c r="M52" s="3">
        <f>0+(732.9-32.8)+(0+(0-0))+0-0-0</f>
        <v>700.1</v>
      </c>
      <c r="N52" s="3">
        <f>0+(786-26.8)+(0+(0.80172-0.027336))+0-0-0</f>
        <v>759.9743840000001</v>
      </c>
      <c r="O52" s="3">
        <f>0+(818.4-19.5)+(0+(-0.417384--0.009945))+0-0-0</f>
        <v>798.49256100000002</v>
      </c>
      <c r="P52" s="3">
        <f>0+(832.6-12)+(0+(0.849252-0.01224))+0-0-0</f>
        <v>821.43701199999998</v>
      </c>
      <c r="Q52" s="3">
        <f>0+(834.9-12.8)+(0+(0.851598-0.013056))+0-0-0</f>
        <v>822.93854199999998</v>
      </c>
      <c r="R52" s="3">
        <f>0+(850.1-36.2)+(0+(-1.300653--0.055386))+0-0-0</f>
        <v>812.65473299999996</v>
      </c>
      <c r="S52" s="3">
        <f>0+(819.2-36.1)+(0+(-0.417792--0.018411))+0-0-0</f>
        <v>782.70061900000007</v>
      </c>
      <c r="T52" s="3">
        <f>0+(831.7-51.4)+(0+(-1.272501--0.078642))+0-0-0</f>
        <v>779.10614100000009</v>
      </c>
      <c r="U52" s="3">
        <f>0+(832.9-56.9)+(0+(-1.699116--0.116076))+0-0-0</f>
        <v>774.41696000000002</v>
      </c>
      <c r="V52" s="3">
        <f>0+(834.3-58.6)+(0+(-1.701972--0.119544))+0-0-0</f>
        <v>774.11757199999988</v>
      </c>
      <c r="W52" s="3">
        <f>0+(830.8-54.6)+(0+(-2.542248--0.167076))+0-0-0</f>
        <v>773.82482799999991</v>
      </c>
      <c r="X52" s="3">
        <f>0+(815.8-52.5)+(0+(-1.664232--0.1071))+0-0-0</f>
        <v>761.74286799999993</v>
      </c>
      <c r="Y52" s="3">
        <f>0+(814.6-42.4)+(0+(-0.830892--0.043248))+0-0-0</f>
        <v>771.41235600000005</v>
      </c>
      <c r="Z52" s="3">
        <f>0+(867.5-16)+(0+(-0.442425--0.00816))+0-0-0</f>
        <v>851.06573500000002</v>
      </c>
      <c r="AA52" s="3">
        <f>0+(855.5-0)+(0+(-1.308915-0))+0-0-0</f>
        <v>854.19108500000004</v>
      </c>
      <c r="AB52" s="3">
        <f>0+(804.6-14.9)+(0+(-1.231038--0.022797))+0-0-0</f>
        <v>788.491759</v>
      </c>
      <c r="AC52" s="3">
        <f>0+(752.2-10.9)+(0+(-1.534488--0.022236))+0-0-0</f>
        <v>739.78774800000008</v>
      </c>
      <c r="AD52">
        <f t="shared" si="0"/>
        <v>17998.546880999998</v>
      </c>
      <c r="AE52" s="3">
        <f>0+(873.1-8)+(0+(0-0))+0-0-0</f>
        <v>865.1</v>
      </c>
    </row>
    <row r="53" spans="1:31" s="2" customFormat="1" x14ac:dyDescent="0.25">
      <c r="A53">
        <v>89</v>
      </c>
      <c r="B53">
        <v>2</v>
      </c>
      <c r="C53">
        <v>22</v>
      </c>
      <c r="D53">
        <v>5</v>
      </c>
      <c r="E53">
        <v>1</v>
      </c>
      <c r="F53" s="3">
        <f>0+(718.5-23.4)+(0+(-0.366435--0.011934))+0-0-0</f>
        <v>694.745499</v>
      </c>
      <c r="G53" s="3">
        <f>0+(698.9-41.6)+(0+(-1.425756--0.084864))+0-0-0</f>
        <v>655.9591079999999</v>
      </c>
      <c r="H53" s="3">
        <f>0+(696.8-49.3)+(0+(-1.77684--0.125715))+0-0-0</f>
        <v>645.84887500000002</v>
      </c>
      <c r="I53" s="3">
        <f>0+(695.7-52.5)+(0+(-1.064421--0.080325))+0-0-0</f>
        <v>642.21590400000002</v>
      </c>
      <c r="J53" s="3">
        <f>0+(696.9-54.2)+(0+(-0.710838--0.055284))+0-0-0</f>
        <v>642.04444599999988</v>
      </c>
      <c r="K53" s="3">
        <f>0+(679.5-39.9)+(0+(-0.346545--0.020349))+0-0-0</f>
        <v>639.27380400000004</v>
      </c>
      <c r="L53" s="3">
        <f>0+(683.8-32.3)+(0+(-1.394952--0.065892))+0-0-0</f>
        <v>650.17093999999997</v>
      </c>
      <c r="M53" s="3">
        <f>0+(730-26.9)+(0+(-1.1169--0.041157))+0-0-0</f>
        <v>702.02425700000003</v>
      </c>
      <c r="N53" s="3">
        <f>0+(790.7-31.9)+(0+(0-0))+0-0-0</f>
        <v>758.80000000000007</v>
      </c>
      <c r="O53" s="3">
        <f>0+(818.8-16.2)+(0+(-0.835176--0.016524))+0-0-0</f>
        <v>801.78134799999987</v>
      </c>
      <c r="P53" s="3">
        <f>0+(834.2-12.4)+(0+(-0.850884--0.012648))+0-0-0</f>
        <v>820.96176400000002</v>
      </c>
      <c r="Q53" s="3">
        <f>0+(847.5-21.8)+(0+(0-0))+0-0-0</f>
        <v>825.7</v>
      </c>
      <c r="R53" s="3">
        <f>0+(850.7-34.3)+(0+(-0.867714--0.034986))+0-0-0</f>
        <v>815.56727200000012</v>
      </c>
      <c r="S53" s="3">
        <f>0+(840.8-44)+(0+(-0.857616--0.04488))+0-0-0</f>
        <v>795.98726399999998</v>
      </c>
      <c r="T53" s="3">
        <f>0+(858.8-56.5)+(0+(-0.437988--0.028815))+0-0-0</f>
        <v>801.89082699999994</v>
      </c>
      <c r="U53" s="3">
        <f>0+(867.4-67.1)+(0+(-1.327122--0.102663))+0-0-0</f>
        <v>799.07554099999993</v>
      </c>
      <c r="V53" s="3">
        <f>0+(870.7-63.9)+(0+(-0.444057--0.032589))+0-0-0</f>
        <v>806.38853200000005</v>
      </c>
      <c r="W53" s="3">
        <f>0+(857.8-48.3)+(0+(-2.624868--0.147798))+0-0-0</f>
        <v>807.02292999999997</v>
      </c>
      <c r="X53" s="3">
        <f>0+(808.5-31.4)+(0+(-1.64934--0.064056))+0-0-0</f>
        <v>775.51471600000002</v>
      </c>
      <c r="Y53" s="3">
        <f>0+(791.3-18.7)+(0+(-1.210689--0.028611))+0-0-0</f>
        <v>771.41792199999986</v>
      </c>
      <c r="Z53" s="3">
        <f>0+(838.9-12)+(0+(-1.711356--0.02448))+0-0-0</f>
        <v>825.21312399999999</v>
      </c>
      <c r="AA53" s="3">
        <f>0+(848.7-15.3)+(0+(-1.731348--0.031212))+0-0-0</f>
        <v>831.69986400000005</v>
      </c>
      <c r="AB53" s="3">
        <f>0+(833.4-19.6)+(0+(-0.850068--0.019992))+0-0-0</f>
        <v>812.96992399999999</v>
      </c>
      <c r="AC53" s="3">
        <f>0+(769.6-14.4)+(0+(-1.96248--0.03672))+0-0-0</f>
        <v>753.27424000000008</v>
      </c>
      <c r="AD53">
        <f t="shared" si="0"/>
        <v>18075.548100999997</v>
      </c>
      <c r="AE53" s="3">
        <f>0+(866.4-9.9)+(0+(0-0))+0-0-0</f>
        <v>856.5</v>
      </c>
    </row>
    <row r="54" spans="1:31" s="2" customFormat="1" x14ac:dyDescent="0.25">
      <c r="A54">
        <v>89</v>
      </c>
      <c r="B54">
        <v>2</v>
      </c>
      <c r="C54">
        <v>23</v>
      </c>
      <c r="D54">
        <v>6</v>
      </c>
      <c r="E54">
        <v>1</v>
      </c>
      <c r="F54" s="3">
        <f>0+(733.8-31.4)+(0+(-2.993904--0.128112))+0-0-0</f>
        <v>699.53420799999992</v>
      </c>
      <c r="G54" s="3">
        <f>0+(695.3-32.7)+(0+(-1.773015--0.083385))+0-0-0</f>
        <v>660.91036999999994</v>
      </c>
      <c r="H54" s="3">
        <f>0+(684-41.2)+(0+(-0.34884--0.021012))+0-0-0</f>
        <v>642.472172</v>
      </c>
      <c r="I54" s="3">
        <f>0+(683.2-45.5)+(0+(-1.74216--0.116025))+0-0-0</f>
        <v>636.07386500000007</v>
      </c>
      <c r="J54" s="3">
        <f>0+(689.6-50.3)+(0+(0-0))+0-0-0</f>
        <v>639.30000000000007</v>
      </c>
      <c r="K54" s="3">
        <f>0+(682.4-48.9)+(0+(-1.74012--0.124695))+0-0-0</f>
        <v>631.88457500000004</v>
      </c>
      <c r="L54" s="3">
        <f>0+(673.8-38.8)+(0+(-0.687276--0.039576))+0-0-0</f>
        <v>634.35230000000001</v>
      </c>
      <c r="M54" s="3">
        <f>0+(693.4-29.8)+(0+(0-0))+0-0-0</f>
        <v>663.6</v>
      </c>
      <c r="N54" s="3">
        <f>0+(749.4-29.3)+(0+(-0.382194--0.014943))+0-0-0</f>
        <v>719.73274900000001</v>
      </c>
      <c r="O54" s="3">
        <f>0+(776.9-11.9)+(0+(0-0))+0-0-0</f>
        <v>765</v>
      </c>
      <c r="P54" s="3">
        <f>0+(788.2-7.4)+(0+(-0.803964--0.007548))+0-0-0</f>
        <v>780.00358400000005</v>
      </c>
      <c r="Q54" s="3">
        <f>0+(807-28.1)+(0+(0-0))+0-0-0</f>
        <v>778.9</v>
      </c>
      <c r="R54" s="3">
        <f>0+(826.9-50.6)+(0+(-1.686876--0.103224))+0-0-0</f>
        <v>774.71634799999993</v>
      </c>
      <c r="S54" s="3">
        <f>0+(805.6-54.5)+(0+(-0.410856--0.027795))+0-0-0</f>
        <v>750.71693900000002</v>
      </c>
      <c r="T54" s="3">
        <f>0+(783.5-44.5)+(0+(-1.198755--0.068085))+0-0-0</f>
        <v>737.86932999999999</v>
      </c>
      <c r="U54" s="3">
        <f>0+(765-41.3)+(0+(-0.7803--0.042126))+0-0-0</f>
        <v>722.96182600000009</v>
      </c>
      <c r="V54" s="3">
        <f>0+(766.1-39.5)+(0+(-1.953555--0.100725))+0-0-0</f>
        <v>724.74716999999998</v>
      </c>
      <c r="W54" s="3">
        <f>0+(765.8-42)+(0+(-1.171674--0.06426))+0-0-0</f>
        <v>722.69258600000001</v>
      </c>
      <c r="X54" s="3">
        <f>0+(754.8-30.4)+(0+(-1.539792--0.062016))+0-0-0</f>
        <v>722.92222400000003</v>
      </c>
      <c r="Y54" s="3">
        <f>0+(787.8-71.2)+(0+(-1.607112--0.145248))+0-0-0</f>
        <v>715.13813599999992</v>
      </c>
      <c r="Z54" s="3">
        <f>0+(864.9-94.9)+(0+(-1.764396--0.193596))+0-0-0</f>
        <v>768.42920000000004</v>
      </c>
      <c r="AA54" s="3">
        <f>0+(915.8-136.8)+(0+(-1.868232--0.279072))+0-0-0</f>
        <v>777.41084000000001</v>
      </c>
      <c r="AB54" s="3">
        <f>0+(904.9-152.3)+(0+(-2.307495--0.388365))+0-0-0</f>
        <v>750.68086999999991</v>
      </c>
      <c r="AC54" s="3">
        <f>0+(837.5-118.4)+(0+(-1.281375--0.181152))+0-0-0</f>
        <v>717.99977699999999</v>
      </c>
      <c r="AD54">
        <f t="shared" si="0"/>
        <v>17138.049069000001</v>
      </c>
      <c r="AE54" s="3">
        <f>0+(884.6-85.9)+(0+(0-0))+0-0-0</f>
        <v>798.7</v>
      </c>
    </row>
    <row r="55" spans="1:31" s="2" customFormat="1" x14ac:dyDescent="0.25">
      <c r="A55">
        <v>89</v>
      </c>
      <c r="B55">
        <v>2</v>
      </c>
      <c r="C55">
        <v>24</v>
      </c>
      <c r="D55">
        <v>7</v>
      </c>
      <c r="E55">
        <v>1</v>
      </c>
      <c r="F55" s="3">
        <f>0+(895.1-230.1)+(0+(-0.456501--0.117351))+0-0-0</f>
        <v>664.66084999999998</v>
      </c>
      <c r="G55" s="3">
        <f>0+(917.9-274.3)+(0+(-1.404387--0.419679))+0-0-0</f>
        <v>642.61529199999995</v>
      </c>
      <c r="H55" s="3">
        <f>0+(926.4-311.8)+(0+(0-0))+0-0-0</f>
        <v>614.59999999999991</v>
      </c>
      <c r="I55" s="3">
        <f>0+(919.9-316)+(0+(-0.938298--0.32232))+0-0-0</f>
        <v>603.28402199999994</v>
      </c>
      <c r="J55" s="3">
        <f>0+(920.1-322.6)+(0+(-0.469251--0.164526))+0-0-0</f>
        <v>597.19527500000004</v>
      </c>
      <c r="K55" s="3">
        <f>0+(914.4-324.8)+(0+(-5.596128--1.987776))+0-0-0</f>
        <v>585.99164799999994</v>
      </c>
      <c r="L55" s="3">
        <f>0+(904.9-341.8)+(0+(-3.691992--1.394544))+0-0-0</f>
        <v>560.80255199999988</v>
      </c>
      <c r="M55" s="3">
        <f>0+(910.1-335.1)+(0+(-0.464151--0.170901))+0-0-0</f>
        <v>574.70675000000006</v>
      </c>
      <c r="N55" s="3">
        <f>0+(889.9-284.8)+(0+(-0.907698--0.290496))+0-0-0</f>
        <v>604.48279799999989</v>
      </c>
      <c r="O55" s="3">
        <f>0+(857.8-248.5)+(0+(-1.312434--0.380205))+0-0-0</f>
        <v>608.36777099999995</v>
      </c>
      <c r="P55" s="3">
        <f>0+(833.1-201.7)+(0+(-0.424881--0.102867))+0-0-0</f>
        <v>631.07798600000012</v>
      </c>
      <c r="Q55" s="3">
        <f>0+(848-211.3)+(0+(-1.72992--0.431052))+0-0-0</f>
        <v>635.40113200000008</v>
      </c>
      <c r="R55" s="3">
        <f>0+(887.1-251.2)+(0+(-0.904842--0.256224))+0-0-0</f>
        <v>635.25138200000004</v>
      </c>
      <c r="S55" s="3">
        <f>0+(903.7-280.2)+(0+(-1.843548--0.571608))+0-0-0</f>
        <v>622.22806000000003</v>
      </c>
      <c r="T55" s="3">
        <f>0+(916.1-300.7)+(0+(0-0))+0-0-0</f>
        <v>615.40000000000009</v>
      </c>
      <c r="U55" s="3">
        <f>0+(947.6-336.2)+(0+(-0.966552--0.342924))+0-0-0</f>
        <v>610.77637200000004</v>
      </c>
      <c r="V55" s="3">
        <f>0+(935.1-327.1)+(0+(-2.384505--0.834105))+0-0-0</f>
        <v>606.44960000000003</v>
      </c>
      <c r="W55" s="3">
        <f>0+(907.2-296.2)+(0+(-2.776032--0.906372))+0-0-0</f>
        <v>609.13034000000005</v>
      </c>
      <c r="X55" s="3">
        <f>0+(899.6-290.9)+(0+(-0.917592--0.296718))+0-0-0</f>
        <v>608.07912600000009</v>
      </c>
      <c r="Y55" s="3">
        <f>0+(880.4-268.2)+(0+(-1.796016--0.547128))+0-0-0</f>
        <v>610.95111200000008</v>
      </c>
      <c r="Z55" s="3">
        <f>0+(883.7-185.6)+(0+(-0.901374--0.189312))+0-0-0</f>
        <v>697.38793800000008</v>
      </c>
      <c r="AA55" s="3">
        <f>0+(857-125.1)+(0+(-1.31121--0.191403))+0-0-0</f>
        <v>730.78019299999994</v>
      </c>
      <c r="AB55" s="3">
        <f>0+(821.5-112.1)+(0+(-2.094825--0.285855))+0-0-0</f>
        <v>707.59102999999993</v>
      </c>
      <c r="AC55" s="3">
        <f>0+(816.7-151.3)+(0+(-0.416517--0.077163))+0-0-0</f>
        <v>665.06064600000013</v>
      </c>
      <c r="AD55">
        <f t="shared" si="0"/>
        <v>15042.271875000002</v>
      </c>
      <c r="AE55" s="3">
        <f>0+(918.3-152.4)+(0+(0-0))+0-0-0</f>
        <v>765.9</v>
      </c>
    </row>
    <row r="56" spans="1:31" s="2" customFormat="1" x14ac:dyDescent="0.25">
      <c r="A56">
        <v>89</v>
      </c>
      <c r="B56">
        <v>2</v>
      </c>
      <c r="C56">
        <v>25</v>
      </c>
      <c r="D56">
        <v>1</v>
      </c>
      <c r="E56">
        <v>1</v>
      </c>
      <c r="F56" s="3">
        <f>0+(910.6-288.1)+(0+(-0.464406--0.146931))+0-0-0</f>
        <v>622.18252500000006</v>
      </c>
      <c r="G56" s="3">
        <f>0+(917.1-330.1)+(0+(-0.467721--0.168351))+0-0-0</f>
        <v>586.70063000000005</v>
      </c>
      <c r="H56" s="3">
        <f>0+(888.9-322.6)+(0+(0.453339-0.164526))+0-0-0</f>
        <v>566.58881299999996</v>
      </c>
      <c r="I56" s="3">
        <f>0+(845.6-281.5)+(0+(-1.725024--0.57426))+0-0-0</f>
        <v>562.94923600000004</v>
      </c>
      <c r="J56" s="3">
        <f>0+(835.5-262.1)+(0+(1.278315-0.401013))+0-0-0</f>
        <v>574.27730199999996</v>
      </c>
      <c r="K56" s="3">
        <f>0+(822.3-243.4)+(0+(-0.838746--0.248268))+0-0-0</f>
        <v>578.30952200000002</v>
      </c>
      <c r="L56" s="3">
        <f>0+(827.3-230.3)+(0+(0.421923-0.117453))+0-0-0</f>
        <v>597.30447000000004</v>
      </c>
      <c r="M56" s="3">
        <f>0+(891.3-227.7)+(0+(-0.909126--0.232254))+0-0-0</f>
        <v>662.92312799999991</v>
      </c>
      <c r="N56" s="3">
        <f>0+(947.4-217.3)+(0+(-0.483174--0.110823))+0-0-0</f>
        <v>729.72764899999993</v>
      </c>
      <c r="O56" s="3">
        <f>0+(979.4-202.6)+(0+(-0.998988--0.206652))+0-0-0</f>
        <v>776.00766399999998</v>
      </c>
      <c r="P56" s="3">
        <f>0+(1010.3-212.8)+(0+(-1.030506--0.217056))+0-0-0</f>
        <v>796.68655000000001</v>
      </c>
      <c r="Q56" s="3">
        <f>0+(1025.1-218.2)+(0+(0-0))+0-0-0</f>
        <v>806.89999999999986</v>
      </c>
      <c r="R56" s="3">
        <f>0+(1067.7-265)+(0+(-1.633581--0.40545))+0-0-0</f>
        <v>801.47186900000008</v>
      </c>
      <c r="S56" s="3">
        <f>0+(1057.3-282.8)+(0+(-1.617669--0.432684))+0-0-0</f>
        <v>773.31501500000002</v>
      </c>
      <c r="T56" s="3">
        <f>0+(1076.3-301.6)+(0+(-2.195652--0.615264))+0-0-0</f>
        <v>773.11961199999996</v>
      </c>
      <c r="U56" s="3">
        <f>0+(1098.1-323.7)+(0+(0-0))+0-0-0</f>
        <v>774.39999999999986</v>
      </c>
      <c r="V56" s="3">
        <f>0+(1068.6-301.1)+(0+(-0.544986--0.153561))+0-0-0</f>
        <v>767.10857499999986</v>
      </c>
      <c r="W56" s="3">
        <f>0+(1053.3-282.9)+(0+(-3.223098--0.865674))+0-0-0</f>
        <v>768.04257599999994</v>
      </c>
      <c r="X56" s="3">
        <f>0+(955.6-196.4)+(0+(-0.974712--0.200328))+0-0-0</f>
        <v>758.42561599999999</v>
      </c>
      <c r="Y56" s="3">
        <f>0+(974.2-217.6)+(0+(-1.987368--0.443904))+0-0-0</f>
        <v>755.05653600000005</v>
      </c>
      <c r="Z56" s="3">
        <f>0+(1049.8-214.4)+(0+(-1.606194--0.328032))+0-0-0</f>
        <v>834.12183800000003</v>
      </c>
      <c r="AA56" s="3">
        <f>0+(1085.7-230.9)+(0+(-1.661121--0.353277))+0-0-0</f>
        <v>853.49215600000002</v>
      </c>
      <c r="AB56" s="3">
        <f>0+(1051.7-223.4)+(0+(-1.609101--0.341802))+0-0-0</f>
        <v>827.03270100000009</v>
      </c>
      <c r="AC56" s="3">
        <f>0+(1000.3-219.9)+(0+(-1.020306--0.224298))+0-0-0</f>
        <v>779.60399199999995</v>
      </c>
      <c r="AD56">
        <f t="shared" si="0"/>
        <v>17325.747975000002</v>
      </c>
      <c r="AE56" s="3">
        <f>0+(1094.5-210.9)+(0+(0-0))+0-0-0</f>
        <v>883.6</v>
      </c>
    </row>
    <row r="57" spans="1:31" s="2" customFormat="1" x14ac:dyDescent="0.25">
      <c r="A57">
        <v>89</v>
      </c>
      <c r="B57">
        <v>2</v>
      </c>
      <c r="C57">
        <v>26</v>
      </c>
      <c r="D57">
        <v>2</v>
      </c>
      <c r="E57">
        <v>1</v>
      </c>
      <c r="F57" s="3">
        <f>0+(916.2-194.8)+(0+(-1.401786--0.298044))+0-0-0</f>
        <v>720.29625800000008</v>
      </c>
      <c r="G57" s="3">
        <f>0+(915.5-230.6)+(0+(-1.400715--0.352818))+0-0-0</f>
        <v>683.85210299999994</v>
      </c>
      <c r="H57" s="3">
        <f>0+(922-257.6)+(0+(-2.3511--0.65688))+0-0-0</f>
        <v>662.70578</v>
      </c>
      <c r="I57" s="3">
        <f>0+(924-260)+(0+(-1.41372--0.3978))+0-0-0</f>
        <v>662.98407999999995</v>
      </c>
      <c r="J57" s="3">
        <f>0+(928.2-274.1)+(0+(-1.893528--0.559164))+0-0-0</f>
        <v>652.76563599999997</v>
      </c>
      <c r="K57" s="3">
        <f>0+(940.2-289.6)+(0+(-1.438506--0.443088))+0-0-0</f>
        <v>649.60458200000005</v>
      </c>
      <c r="L57" s="3">
        <f>0+(839.2-174)+(0+(-1.283976--0.26622))+0-0-0</f>
        <v>664.18224400000008</v>
      </c>
      <c r="M57" s="3">
        <f>0+(817.7-105.7)+(0+(-0.417027--0.053907))+0-0-0</f>
        <v>711.63688000000002</v>
      </c>
      <c r="N57" s="3">
        <f>0+(839.4-76.9)+(0+(-1.284282--0.117657))+0-0-0</f>
        <v>761.33337500000005</v>
      </c>
      <c r="O57" s="3">
        <f>0+(884.3-70)+(0+(-1.352979--0.1071))+0-0-0</f>
        <v>813.05412100000001</v>
      </c>
      <c r="P57" s="3">
        <f>0+(888.8-68.8)+(0+(-0.906576--0.070176))+0-0-0</f>
        <v>819.16359999999997</v>
      </c>
      <c r="Q57" s="3">
        <f>0+(913.3-84.3)+(0+(0-0))+0-0-0</f>
        <v>829</v>
      </c>
      <c r="R57" s="3">
        <f>0+(928.4-94.8)+(0+(-1.420452--0.145044))+0-0-0</f>
        <v>832.32459200000005</v>
      </c>
      <c r="S57" s="3">
        <f>0+(962.2-161.1)+(0+(0-0))+0-0-0</f>
        <v>801.1</v>
      </c>
      <c r="T57" s="3">
        <f>0+(1022.7-233.9)+(0+(0-0))+0-0-0</f>
        <v>788.80000000000007</v>
      </c>
      <c r="U57" s="3">
        <f>0+(1016.7-218.7)+(0+(-1.555551--0.334611))+0-0-0</f>
        <v>796.77905999999996</v>
      </c>
      <c r="V57" s="3">
        <f>0+(1004.3-209.6)+(0+(-2.560965--0.53448))+0-0-0</f>
        <v>792.67351499999995</v>
      </c>
      <c r="W57" s="3">
        <f>0+(922.1-145.5)+(0+(-2.351355--0.371025))+0-0-0</f>
        <v>774.61967000000004</v>
      </c>
      <c r="X57" s="3">
        <f>0+(934.4-170.9)+(0+(-2.38272--0.435795))+0-0-0</f>
        <v>761.55307500000004</v>
      </c>
      <c r="Y57" s="3">
        <f>0+(935.1-179)+(0+(-1.430703--0.27387))+0-0-0</f>
        <v>754.94316700000002</v>
      </c>
      <c r="Z57" s="3">
        <f>0+(940-109.8)+(0+(-1.9176--0.223992))+0-0-0</f>
        <v>828.50639200000001</v>
      </c>
      <c r="AA57" s="3">
        <f>0+(1008.5-154.7)+(0+(-2.05734--0.315588))+0-0-0</f>
        <v>852.05824799999994</v>
      </c>
      <c r="AB57" s="3">
        <f>0+(936.3-112)+(0+(0-0))+0-0-0</f>
        <v>824.3</v>
      </c>
      <c r="AC57" s="3">
        <f>0+(947.9-164.8)+(0+(0-0))+0-0-0</f>
        <v>783.09999999999991</v>
      </c>
      <c r="AD57">
        <f t="shared" si="0"/>
        <v>18221.336377999996</v>
      </c>
      <c r="AE57" s="3">
        <f>0+(1024.5-165.1)+(0+(0-0))+0-0-0</f>
        <v>859.4</v>
      </c>
    </row>
    <row r="58" spans="1:31" s="2" customFormat="1" x14ac:dyDescent="0.25">
      <c r="A58">
        <v>89</v>
      </c>
      <c r="B58">
        <v>2</v>
      </c>
      <c r="C58">
        <v>27</v>
      </c>
      <c r="D58">
        <v>3</v>
      </c>
      <c r="E58">
        <v>5</v>
      </c>
      <c r="F58" s="3">
        <f>0+(930.2-198.2)+(0+(-0.474402--0.101082))+0-0-0</f>
        <v>731.62667999999996</v>
      </c>
      <c r="G58" s="3">
        <f>0+(917.5-228.5)+(0+(-0.467925--0.116535))+0-0-0</f>
        <v>688.64860999999996</v>
      </c>
      <c r="H58" s="3">
        <f>0+(921.2-254.3)+(0+(-0.469812--0.129693))+0-0-0</f>
        <v>666.55988100000013</v>
      </c>
      <c r="I58" s="3">
        <f>0+(937.1-279.5)+(0+(-1.911684--0.57018))+0-0-0</f>
        <v>656.25849600000004</v>
      </c>
      <c r="J58" s="3">
        <f>0+(926.5-277.1)+(0+(0-0))+0-0-0</f>
        <v>649.4</v>
      </c>
      <c r="K58" s="3">
        <f>0+(955.1-311.3)+(0+(-2.435505--0.793815))+0-0-0</f>
        <v>642.15830999999991</v>
      </c>
      <c r="L58" s="3">
        <f>0+(923.4-298.6)+(0+(-0.470934--0.152286))+0-0-0</f>
        <v>624.4813519999999</v>
      </c>
      <c r="M58" s="3">
        <f>0+(903.2-270.3)+(0+(0.921264-0.275706))+0-0-0</f>
        <v>633.54555800000014</v>
      </c>
      <c r="N58" s="3">
        <f>0+(914.6-257.9)+(0+(-1.399338--0.394587))+0-0-0</f>
        <v>655.69524899999999</v>
      </c>
      <c r="O58" s="3">
        <f>0+(894.5-192.2)+(0+(0-0))+0-0-0</f>
        <v>702.3</v>
      </c>
      <c r="P58" s="3">
        <f>0+(948.5-210.1)+(0+(-1.93494--0.428604))+0-0-0</f>
        <v>736.89366399999994</v>
      </c>
      <c r="Q58" s="3">
        <f>0+(927.1-188.6)+(0+(-1.891284--0.384744))+0-0-0</f>
        <v>736.99346000000003</v>
      </c>
      <c r="R58" s="3">
        <f>0+(960.8-226.9)+(0+(-1.960032--0.462876))+0-0-0</f>
        <v>732.40284399999996</v>
      </c>
      <c r="S58" s="3">
        <f>0+(1000.4-311.4)+(0+(0-0))+0-0-0</f>
        <v>689</v>
      </c>
      <c r="T58" s="3">
        <f>0+(949.4-259)+(0+(-1.452582--0.39627))+0-0-0</f>
        <v>689.34368799999993</v>
      </c>
      <c r="U58" s="3">
        <f>0+(899-207.7)+(0+(-0.91698--0.211854))+0-0-0</f>
        <v>690.594874</v>
      </c>
      <c r="V58" s="3">
        <f>0+(853.5-169.4)+(0+(-1.305855--0.259182))+0-0-0</f>
        <v>683.05332699999997</v>
      </c>
      <c r="W58" s="3">
        <f>0+(879.4-205.5)+(0+(-0.896988--0.20961))+0-0-0</f>
        <v>673.21262200000001</v>
      </c>
      <c r="X58" s="3">
        <f>0+(875.4-192.2)+(0+(-1.785816--0.392088))+0-0-0</f>
        <v>681.80627200000004</v>
      </c>
      <c r="Y58" s="3">
        <f>0+(857.9-172.7)+(0+(0-0))+0-0-0</f>
        <v>685.2</v>
      </c>
      <c r="Z58" s="3">
        <f>0+(881.7-112.4)+(0+(-0.449667--0.057324))+0-0-0</f>
        <v>768.90765700000009</v>
      </c>
      <c r="AA58" s="3">
        <f>0+(904.9-96.9)+(0+(-1.845996--0.197676))+0-0-0</f>
        <v>806.35167999999999</v>
      </c>
      <c r="AB58" s="3">
        <f>0+(900.4-122.4)+(0+(-0.918408--0.124848))+0-0-0</f>
        <v>777.20644000000004</v>
      </c>
      <c r="AC58" s="3">
        <f>0+(932.4-197.7)+(0+(-0.475524--0.100827))+0-0-0</f>
        <v>734.32530300000008</v>
      </c>
      <c r="AD58">
        <f t="shared" si="0"/>
        <v>16735.965967</v>
      </c>
      <c r="AE58" s="3">
        <f>0+(942-109.4)+(0+(0-0))+0-0-0</f>
        <v>832.6</v>
      </c>
    </row>
    <row r="59" spans="1:31" s="2" customFormat="1" x14ac:dyDescent="0.25">
      <c r="A59">
        <v>89</v>
      </c>
      <c r="B59">
        <v>2</v>
      </c>
      <c r="C59">
        <v>28</v>
      </c>
      <c r="D59">
        <v>4</v>
      </c>
      <c r="E59">
        <v>1</v>
      </c>
      <c r="F59" s="3">
        <f>0+(952.8-272.7)+(0+(0-0))+0-0-0</f>
        <v>680.09999999999991</v>
      </c>
      <c r="G59" s="3">
        <f>0+(941.1-281.2)+(0+(-1.439883--0.430236))+0-0-0</f>
        <v>658.89035300000012</v>
      </c>
      <c r="H59" s="3">
        <f>0+(959.3-304.6)+(0+(0.489243-0.155346))+0-0-0</f>
        <v>655.03389699999991</v>
      </c>
      <c r="I59" s="3">
        <f>0+(937.5-300)+(0+(-0.95625--0.306))+0-0-0</f>
        <v>636.84974999999997</v>
      </c>
      <c r="J59" s="3">
        <f>0+(906.4-278.6)+(0+(0.462264-0.142086))+0-0-0</f>
        <v>628.12017800000001</v>
      </c>
      <c r="K59" s="3">
        <f>0+(890.6-255.6)+(0+(-1.816824--0.521424))+0-0-0</f>
        <v>633.70460000000003</v>
      </c>
      <c r="L59" s="3">
        <f>0+(926.8-269)+(0+(-1.890672--0.54876))+0-0-0</f>
        <v>656.45808799999998</v>
      </c>
      <c r="M59" s="3">
        <f>0+(925-218.8)+(0+(-0.9435--0.223176))+0-0-0</f>
        <v>705.47967600000004</v>
      </c>
      <c r="N59" s="3">
        <f>0+(806.7-32)+(0+(-1.234251--0.04896))+0-0-0</f>
        <v>773.51470900000004</v>
      </c>
      <c r="O59" s="3">
        <f>0+(833.6-23.3)+(0+(0.425136-0.011883))+0-0-0</f>
        <v>810.71325300000012</v>
      </c>
      <c r="P59" s="3">
        <f>0+(879.3-48.1)+(0+(-0.448443--0.024531))+0-0-0</f>
        <v>830.77608799999996</v>
      </c>
      <c r="Q59" s="3">
        <f>0+(894.7-52.2)+(0+(0-0))+0-0-0</f>
        <v>842.5</v>
      </c>
      <c r="R59" s="3">
        <f>0+(893.8-60.1)+(0+(-1.367514--0.091953))+0-0-0</f>
        <v>832.42443899999989</v>
      </c>
      <c r="S59" s="3">
        <f>0+(937.7-130.3)+(0+(-0.956454--0.132906))+0-0-0</f>
        <v>806.57645200000013</v>
      </c>
      <c r="T59" s="3">
        <f>0+(983.5-177.9)+(0+(0.501585-0.090729))+0-0-0</f>
        <v>806.01085599999999</v>
      </c>
      <c r="U59" s="3">
        <f>0+(1005-195.9)+(0+(-0.51255--0.099909))+0-0-0</f>
        <v>808.68735900000001</v>
      </c>
      <c r="V59" s="3">
        <f>0+(1004.5-202.6)+(0+(-1.536885--0.309978))+0-0-0</f>
        <v>800.67309299999999</v>
      </c>
      <c r="W59" s="3">
        <f>0+(933-143.9)+(0+(-2.85498--0.440334))+0-0-0</f>
        <v>786.68535400000007</v>
      </c>
      <c r="X59" s="3">
        <f>0+(908.7-131.6)+(0+(-2.317185--0.33558))+0-0-0</f>
        <v>775.11839500000008</v>
      </c>
      <c r="Y59" s="3">
        <f>0+(919-154.2)+(0+(-0.93738--0.157284))+0-0-0</f>
        <v>764.019904</v>
      </c>
      <c r="Z59" s="3">
        <f>0+(976.6-124.9)+(0+(-0.996132--0.127398))+0-0-0</f>
        <v>850.83126600000003</v>
      </c>
      <c r="AA59" s="3">
        <f>0+(1019.8-150.7)+(0+(-2.60049--0.384285))+0-0-0</f>
        <v>866.88379499999996</v>
      </c>
      <c r="AB59" s="3">
        <f>0+(1032.1-191.4)+(0+(-1.579113--0.292842))+0-0-0</f>
        <v>839.41372899999988</v>
      </c>
      <c r="AC59" s="3">
        <f>0+(1008.6-226)+(0+(-1.028772--0.23052))+0-0-0</f>
        <v>781.80174799999998</v>
      </c>
      <c r="AD59">
        <f t="shared" si="0"/>
        <v>18231.266982000001</v>
      </c>
      <c r="AE59" s="3">
        <f>0+(1056.8-135.8)+(0+(0-0))+0-0-0</f>
        <v>921</v>
      </c>
    </row>
    <row r="60" spans="1:31" s="2" customFormat="1" x14ac:dyDescent="0.25">
      <c r="A60">
        <v>89</v>
      </c>
      <c r="B60">
        <v>2</v>
      </c>
      <c r="C60">
        <v>29</v>
      </c>
      <c r="D60">
        <v>5</v>
      </c>
      <c r="E60">
        <v>1</v>
      </c>
      <c r="F60" s="3">
        <f>0+(996-271.1)+(0+(-1.52388--0.414783))+0-0-0</f>
        <v>723.79090299999996</v>
      </c>
      <c r="G60" s="3">
        <f>0+(987.5-306.3)+(0+(0.503625-0.156213))+0-0-0</f>
        <v>681.54741200000001</v>
      </c>
      <c r="H60" s="3">
        <f>0+(1024.9-352.4)+(0+(-1.568097--0.539172))+0-0-0</f>
        <v>671.47107500000016</v>
      </c>
      <c r="I60" s="3">
        <f>0+(972.6-322.5)+(0+(-1.488078--0.493425))+0-0-0</f>
        <v>649.10534700000005</v>
      </c>
      <c r="J60" s="3">
        <f>0+(914.1-251.4)+(0+(0.466191-0.128214))+0-0-0</f>
        <v>663.03797700000007</v>
      </c>
      <c r="K60" s="3">
        <f>0+(913-255.5)+(0+(-2.32815--0.651525))+0-0-0</f>
        <v>655.82337500000006</v>
      </c>
      <c r="L60" s="3">
        <f>0+(924.9-262.8)+(0+(0-0))+0-0-0</f>
        <v>662.09999999999991</v>
      </c>
      <c r="M60" s="3">
        <f>0+(876.1-150.1)+(0+(-1.340433--0.229653))+0-0-0</f>
        <v>724.88922000000002</v>
      </c>
      <c r="N60" s="3">
        <f>0+(941.4-180)+(0+(-0.960228--0.1836))+0-0-0</f>
        <v>760.62337200000002</v>
      </c>
      <c r="O60" s="3">
        <f>0+(1041.3-200)+(0+(-0.531063--0.102))+0-0-0</f>
        <v>840.87093699999991</v>
      </c>
      <c r="P60" s="3">
        <f>0+(1087.4-236.1)+(0+(-1.109148--0.240822))+0-0-0</f>
        <v>850.43167400000004</v>
      </c>
      <c r="Q60" s="3">
        <f>0+(1035.1-177.2)+(0+(-1.055802--0.180744))+0-0-0</f>
        <v>857.0249419999999</v>
      </c>
      <c r="R60" s="3">
        <f>0+(1013.3-167.5)+(0+(0-0))+0-0-0</f>
        <v>845.8</v>
      </c>
      <c r="S60" s="3">
        <f>0+(967.2-146)+(0+(-1.973088--0.29784))+0-0-0</f>
        <v>819.52475200000003</v>
      </c>
      <c r="T60" s="3">
        <f>0+(994.9-170.6)+(0+(0-0))+0-0-0</f>
        <v>824.3</v>
      </c>
      <c r="U60" s="3">
        <f>0+(1013.5-190)+(0+(-1.550655--0.2907))+0-0-0</f>
        <v>822.24004500000001</v>
      </c>
      <c r="V60" s="3">
        <f>0+(1011.6-194.7)+(0+(-2.063664--0.397188))+0-0-0</f>
        <v>815.2335240000001</v>
      </c>
      <c r="W60" s="3">
        <f>0+(1021.2-220.1)+(0+(-2.083248--0.449004))+0-0-0</f>
        <v>799.46575600000006</v>
      </c>
      <c r="X60" s="3">
        <f>0+(1003.1-212.1)+(0+(-2.557905--0.540855))+0-0-0</f>
        <v>788.98294999999996</v>
      </c>
      <c r="Y60" s="3">
        <f>0+(930.4-144.3)+(0+(-0.949008--0.147186))+0-0-0</f>
        <v>785.29817799999989</v>
      </c>
      <c r="Z60" s="3">
        <f>0+(1009.2-159.4)+(0+(-0.514692--0.081294))+0-0-0</f>
        <v>849.36660200000006</v>
      </c>
      <c r="AA60" s="3">
        <f>0+(1030.3-158.9)+(0+(-1.576359--0.243117))+0-0-0</f>
        <v>870.06675799999994</v>
      </c>
      <c r="AB60" s="3">
        <f>0+(1019.8-196.2)+(0+(-2.60049--0.50031))+0-0-0</f>
        <v>821.49981999999989</v>
      </c>
      <c r="AC60" s="3">
        <f>0+(979.8-204.1)+(0+(-1.998792--0.416364))+0-0-0</f>
        <v>774.11757199999988</v>
      </c>
      <c r="AD60">
        <f t="shared" si="0"/>
        <v>18556.612190999997</v>
      </c>
      <c r="AE60" s="3">
        <f>0+(1076.1-174.6)+(0+(0-0))+0-0-0</f>
        <v>901.49999999999989</v>
      </c>
    </row>
    <row r="61" spans="1:31" s="2" customFormat="1" x14ac:dyDescent="0.25">
      <c r="A61">
        <v>89</v>
      </c>
      <c r="B61">
        <v>2</v>
      </c>
      <c r="C61">
        <v>30</v>
      </c>
      <c r="D61">
        <v>6</v>
      </c>
      <c r="E61">
        <v>1</v>
      </c>
      <c r="F61" s="3">
        <f>0+(912.8-195.4)+(0+(-3.724224--0.797232))+0-0-0</f>
        <v>714.47300799999994</v>
      </c>
      <c r="G61" s="3">
        <f>0+(955.6-274)+(0+(-1.462068--0.41922))+0-0-0</f>
        <v>680.55715199999997</v>
      </c>
      <c r="H61" s="3">
        <f>0+(962-288.9)+(0+(-0.98124--0.294678))+0-0-0</f>
        <v>672.41343800000004</v>
      </c>
      <c r="I61" s="3">
        <f>0+(972.5-318.6)+(0+(-1.9839--0.649944))+0-0-0</f>
        <v>652.56604400000003</v>
      </c>
      <c r="J61" s="3">
        <f>0+(1004.8-359.4)+(0+(1.024896-0.366588))+0-0-0</f>
        <v>646.05830800000001</v>
      </c>
      <c r="K61" s="3">
        <f>0+(989.1-344.6)+(0+(-2.522205--0.87873))+0-0-0</f>
        <v>642.85652500000003</v>
      </c>
      <c r="L61" s="3">
        <f>0+(988.9-334.3)+(0+(-2.017356--0.681972))+0-0-0</f>
        <v>653.26461599999993</v>
      </c>
      <c r="M61" s="3">
        <f>0+(947.9-249.7)+(0+(0.966858-0.254694))+0-0-0</f>
        <v>698.91216400000008</v>
      </c>
      <c r="N61" s="3">
        <f>0+(974-229.7)+(0+(-0.99348--0.234294))+0-0-0</f>
        <v>743.54081399999995</v>
      </c>
      <c r="O61" s="3">
        <f>0+(1027.7-246.3)+(0+(-0.524127--0.125613))+0-0-0</f>
        <v>781.00148600000011</v>
      </c>
      <c r="P61" s="3">
        <f>0+(986.3-167.5)+(0+(0-0))+0-0-0</f>
        <v>818.8</v>
      </c>
      <c r="Q61" s="3">
        <f>0+(964-127.3)+(0+(0.98328-0.129846))+0-0-0</f>
        <v>837.55343400000004</v>
      </c>
      <c r="R61" s="3">
        <f>0+(941.8-119.8)+(0+(-1.921272--0.244392))+0-0-0</f>
        <v>820.32312000000002</v>
      </c>
      <c r="S61" s="3">
        <f>0+(964.1-176.9)+(0+(-1.475073--0.270657))+0-0-0</f>
        <v>785.99558400000001</v>
      </c>
      <c r="T61" s="3">
        <f>0+(1000-229.3)+(0+(-1.02--0.233886))+0-0-0</f>
        <v>769.91388600000005</v>
      </c>
      <c r="U61" s="3">
        <f>0+(1037.4-281.1)+(0+(-0.529074--0.143361))+0-0-0</f>
        <v>755.91428700000006</v>
      </c>
      <c r="V61" s="3">
        <f>0+(1034.9-280.1)+(0+(-1.583397--0.428553))+0-0-0</f>
        <v>753.64515600000004</v>
      </c>
      <c r="W61" s="3">
        <f>0+(1027.7-277.2)+(0+(-2.096508--0.565488))+0-0-0</f>
        <v>748.96897999999999</v>
      </c>
      <c r="X61" s="3">
        <f>0+(909.8-173.7)+(0+(-2.783988--0.531522))+0-0-0</f>
        <v>733.84753399999988</v>
      </c>
      <c r="Y61" s="3">
        <f>0+(813.7-82.9)+(0+(-1.244961--0.126837))+0-0-0</f>
        <v>729.6818760000001</v>
      </c>
      <c r="Z61" s="3">
        <f>0+(952.1-133)+(0+(-0.485571--0.06783))+0-0-0</f>
        <v>818.68225900000004</v>
      </c>
      <c r="AA61" s="3">
        <f>0+(1015.5-177.2)+(0+(-1.03581--0.180744))+0-0-0</f>
        <v>837.44493399999999</v>
      </c>
      <c r="AB61" s="3">
        <f>0+(986.2-184.3)+(0+(-1.508886--0.281979))+0-0-0</f>
        <v>800.67309300000011</v>
      </c>
      <c r="AC61" s="3">
        <f>0+(992.6-224.9)+(0+(-0.506226--0.114699))+0-0-0</f>
        <v>767.30847300000005</v>
      </c>
      <c r="AD61">
        <f t="shared" si="0"/>
        <v>17864.396171</v>
      </c>
      <c r="AE61" s="3">
        <f>0+(1041.6-170.4)+(0+(0-0))+0-0-0</f>
        <v>871.19999999999993</v>
      </c>
    </row>
    <row r="62" spans="1:31" s="2" customFormat="1" x14ac:dyDescent="0.25">
      <c r="A62">
        <v>89</v>
      </c>
      <c r="B62">
        <v>2</v>
      </c>
      <c r="C62">
        <v>31</v>
      </c>
      <c r="D62">
        <v>7</v>
      </c>
      <c r="E62">
        <v>1</v>
      </c>
      <c r="F62" s="3">
        <f>0+(962.2-229.3)+(0+(-0.490722--0.116943))+0-0-0</f>
        <v>732.52622100000008</v>
      </c>
      <c r="G62" s="3">
        <f>0+(997.8-307)+(0+(0.508878-0.15657))+0-0-0</f>
        <v>691.15230799999995</v>
      </c>
      <c r="H62" s="3">
        <f>0+(1017.2-354.9)+(0+(-2.075088--0.723996))+0-0-0</f>
        <v>660.94890800000007</v>
      </c>
      <c r="I62" s="3">
        <f>0+(987.2-335.9)+(0+(1.006944-0.342618))+0-0-0</f>
        <v>651.96432600000003</v>
      </c>
      <c r="J62" s="3">
        <f>0+(972.3-332.1)+(0+(-0.495873--0.169371))+0-0-0</f>
        <v>639.87349799999993</v>
      </c>
      <c r="K62" s="3">
        <f>0+(956.2-324.4)+(0+(-1.950648--0.661776))+0-0-0</f>
        <v>630.5111280000001</v>
      </c>
      <c r="L62" s="3">
        <f>0+(928.4-329.9)+(0+(-1.893936--0.672996))+0-0-0</f>
        <v>597.27905999999996</v>
      </c>
      <c r="M62" s="3">
        <f>0+(884.4-279.9)+(0+(-0.902088--0.285498))+0-0-0</f>
        <v>603.88341000000003</v>
      </c>
      <c r="N62" s="3">
        <f>0+(939.7-301.4)+(0+(-0.958494--0.307428))+0-0-0</f>
        <v>637.64893400000005</v>
      </c>
      <c r="O62" s="3">
        <f>0+(903.2-224.8)+(0+(-1.842528--0.458592))+0-0-0</f>
        <v>677.01606400000014</v>
      </c>
      <c r="P62" s="3">
        <f>0+(763.9-87.4)+(0+(-0.779178--0.089148))+0-0-0</f>
        <v>675.80997000000002</v>
      </c>
      <c r="Q62" s="3">
        <f>0+(829.5-127.2)+(0+(-0.84609--0.129744))+0-0-0</f>
        <v>701.58365399999991</v>
      </c>
      <c r="R62" s="3">
        <f>0+(866.9-175.5)+(0+(-1.768476--0.35802))+0-0-0</f>
        <v>689.98954400000002</v>
      </c>
      <c r="S62" s="3">
        <f>0+(915.4-227.9)+(0+(-0.466854--0.116229))+0-0-0</f>
        <v>687.14937499999996</v>
      </c>
      <c r="T62" s="3">
        <f>0+(929.1-255.1)+(0+(-0.947682--0.260202))+0-0-0</f>
        <v>673.31251999999995</v>
      </c>
      <c r="U62" s="3">
        <f>0+(906.4-238.7)+(0+(-2.773584--0.730422))+0-0-0</f>
        <v>665.65683799999999</v>
      </c>
      <c r="V62" s="3">
        <f>0+(880.9-213.2)+(0+(-1.797036--0.434928))+0-0-0</f>
        <v>666.33789200000001</v>
      </c>
      <c r="W62" s="3">
        <f>0+(844.3-180.8)+(0+(-1.291779--0.276624))+0-0-0</f>
        <v>662.48484499999995</v>
      </c>
      <c r="X62" s="3">
        <f>0+(779.8-117.2)+(0+(-2.783886--0.418404))+0-0-0</f>
        <v>660.23451799999987</v>
      </c>
      <c r="Y62" s="3">
        <f>0+(728.5-67.9)+(0+(-0.74307--0.069258))+0-0-0</f>
        <v>659.92618800000002</v>
      </c>
      <c r="Z62" s="3">
        <f>0+(850-112.1)+(0+(-1.3005--0.171513))+0-0-0</f>
        <v>736.77101299999993</v>
      </c>
      <c r="AA62" s="3">
        <f>0+(886.3-96.8)+(0+(-1.356039--0.148104))+0-0-0</f>
        <v>788.29206499999998</v>
      </c>
      <c r="AB62" s="3">
        <f>0+(882.4-110.1)+(0+(-1.800096--0.224604))+0-0-0</f>
        <v>770.7245079999999</v>
      </c>
      <c r="AC62" s="3">
        <f>0+(853.7-127.1)+(0+(-1.306161--0.194463))+0-0-0</f>
        <v>725.48830199999998</v>
      </c>
      <c r="AD62">
        <f t="shared" si="0"/>
        <v>16286.565088999998</v>
      </c>
      <c r="AE62" s="3">
        <f>0+(895.1-82.4)+(0+(0-0))+0-0-0</f>
        <v>812.7</v>
      </c>
    </row>
    <row r="63" spans="1:31" s="2" customFormat="1" x14ac:dyDescent="0.25">
      <c r="A63">
        <v>89</v>
      </c>
      <c r="B63">
        <v>3</v>
      </c>
      <c r="C63">
        <v>1</v>
      </c>
      <c r="D63">
        <v>1</v>
      </c>
      <c r="E63">
        <v>1</v>
      </c>
      <c r="F63" s="3">
        <f>0+(857.3-180.7)+(0+(-0.874446--0.184314))+0-0-0</f>
        <v>675.90986799999996</v>
      </c>
      <c r="G63" s="3">
        <f>0+(904.9-265.4)+(0+(1.384497-0.406062))+0-0-0</f>
        <v>640.47843499999999</v>
      </c>
      <c r="H63" s="3">
        <f>0+(914.8-290.8)+(0+(-2.33274--0.74154))+0-0-0</f>
        <v>622.40880000000004</v>
      </c>
      <c r="I63" s="3">
        <f>0+(930.8-312)+(0+(-0.474708--0.15912))+0-0-0</f>
        <v>618.48441199999991</v>
      </c>
      <c r="J63" s="3">
        <f>0+(944.7-320.8)+(0+(0.481797-0.163608))+0-0-0</f>
        <v>624.21818900000005</v>
      </c>
      <c r="K63" s="3">
        <f>0+(951-321.9)+(0+(-2.42505--0.820845))+0-0-0</f>
        <v>627.49579500000004</v>
      </c>
      <c r="L63" s="3">
        <f>0+(914.3-196)+(0+(0-0))+0-0-0</f>
        <v>718.3</v>
      </c>
      <c r="M63" s="3">
        <f>0+(999-200.1)+(0+(0.50949-0.102051))+0-0-0</f>
        <v>799.30743899999993</v>
      </c>
      <c r="N63" s="3">
        <f>0+(1046.5-209.7)+(0+(0-0))+0-0-0</f>
        <v>836.8</v>
      </c>
      <c r="O63" s="3">
        <f>0+(1050.9-180.1)+(0+(-1.071918--0.183702))+0-0-0</f>
        <v>869.91178400000013</v>
      </c>
      <c r="P63" s="3">
        <f>0+(1050.1-180.1)+(0+(-2.677755--0.459255))+0-0-0</f>
        <v>867.78149999999994</v>
      </c>
      <c r="Q63" s="3">
        <f>0+(1102.1-180.1)+(0+(-0.562071--0.091851))+0-0-0</f>
        <v>921.52977999999985</v>
      </c>
      <c r="R63" s="3">
        <f>0+(1109.3-227.6)+(0+(-1.131486--0.232152))+0-0-0</f>
        <v>880.80066599999998</v>
      </c>
      <c r="S63" s="3">
        <f>0+(1091.4-248)+(0+(-1.669842--0.37944))+0-0-0</f>
        <v>842.10959800000012</v>
      </c>
      <c r="T63" s="3">
        <f>0+(1129.1-284.5)+(0+(0.575841-0.145095))+0-0-0</f>
        <v>845.03074599999991</v>
      </c>
      <c r="U63" s="3">
        <f>0+(1119.3-265.7)+(0+(-2.854215--0.677535))+0-0-0</f>
        <v>851.42331999999988</v>
      </c>
      <c r="V63" s="3">
        <f>0+(1161.7-312.9)+(0+(-1.184934--0.319158))+0-0-0</f>
        <v>847.93422400000009</v>
      </c>
      <c r="W63" s="3">
        <f>0+(1172.5-335.3)+(0+(-2.989875--0.855015))+0-0-0</f>
        <v>835.06514000000004</v>
      </c>
      <c r="X63" s="3">
        <f>0+(1122.5-309.7)+(0+(-2.2899--0.631788))+0-0-0</f>
        <v>811.14188799999999</v>
      </c>
      <c r="Y63" s="3">
        <f>0+(1040.8-236.1)+(0+(-2.123232--0.481644))+0-0-0</f>
        <v>803.05841199999998</v>
      </c>
      <c r="Z63" s="3">
        <f>0+(1062.5-182.3)+(0+(-2.709375--0.464865))+0-0-0</f>
        <v>877.95549000000005</v>
      </c>
      <c r="AA63" s="3">
        <f>0+(1066-157.3)+(0+(-3.80562--0.561561))+0-0-0</f>
        <v>905.45594100000005</v>
      </c>
      <c r="AB63" s="3">
        <f>0+(998.5-123.5)+(0+(-2.03694--0.25194))+0-0-0</f>
        <v>873.21500000000003</v>
      </c>
      <c r="AC63" s="3">
        <f>0+(1001.7-167.1)+(0+(-1.021734--0.170442))+0-0-0</f>
        <v>833.74870800000008</v>
      </c>
      <c r="AD63">
        <f t="shared" si="0"/>
        <v>19029.565135000001</v>
      </c>
      <c r="AE63" s="3">
        <f>0+(1088-160.7)+(0+(0-0))+0-0-0</f>
        <v>927.3</v>
      </c>
    </row>
    <row r="64" spans="1:31" s="2" customFormat="1" x14ac:dyDescent="0.25">
      <c r="A64">
        <v>89</v>
      </c>
      <c r="B64">
        <v>3</v>
      </c>
      <c r="C64">
        <v>2</v>
      </c>
      <c r="D64">
        <v>2</v>
      </c>
      <c r="E64">
        <v>1</v>
      </c>
      <c r="F64" s="3">
        <f>0+(1045.8-271.9)+(0+(-1.066716--0.277338))+0-0-0</f>
        <v>773.11062199999992</v>
      </c>
      <c r="G64" s="3">
        <f>0+(1077.8-342.4)+(0+(-2.74839--0.87312))+0-0-0</f>
        <v>733.52472999999998</v>
      </c>
      <c r="H64" s="3">
        <f>0+(1061.4-347.9)+(0+(-1.623942--0.532287))+0-0-0</f>
        <v>712.40834500000017</v>
      </c>
      <c r="I64" s="3">
        <f>0+(995.3-287.5)+(0+(-1.522809--0.439875))+0-0-0</f>
        <v>706.71706599999993</v>
      </c>
      <c r="J64" s="3">
        <f>0+(1001.6-299.3)+(0+(-1.021632--0.305286))+0-0-0</f>
        <v>701.58365399999991</v>
      </c>
      <c r="K64" s="3">
        <f>0+(1013.8-318.1)+(0+(-1.551114--0.486693))+0-0-0</f>
        <v>694.63557899999989</v>
      </c>
      <c r="L64" s="3">
        <f>0+(976.8-270.6)+(0+(-0.498168--0.138006))+0-0-0</f>
        <v>705.83983799999999</v>
      </c>
      <c r="M64" s="3">
        <f>0+(984-226.9)+(0+(-0.50184--0.115719))+0-0-0</f>
        <v>756.71387900000002</v>
      </c>
      <c r="N64" s="3">
        <f>0+(1048.7-230.3)+(0+(-0.534837--0.117453))+0-0-0</f>
        <v>817.98261600000012</v>
      </c>
      <c r="O64" s="3">
        <f>0+(1058.1-196)+(0+(-1.079262--0.19992))+0-0-0</f>
        <v>861.22065799999996</v>
      </c>
      <c r="P64" s="3">
        <f>0+(1108.9-215.4)+(0+(-3.393234--0.659124))+0-0-0</f>
        <v>890.76589000000013</v>
      </c>
      <c r="Q64" s="3">
        <f>0+(1054.5-162.9)+(0+(-0.537795--0.083079))+0-0-0</f>
        <v>891.14528400000006</v>
      </c>
      <c r="R64" s="3">
        <f>0+(1057.8-173.8)+(0+(-1.078956--0.177276))+0-0-0</f>
        <v>883.09831999999994</v>
      </c>
      <c r="S64" s="3">
        <f>0+(1080.8-234.1)+(0+(-2.75604--0.596955))+0-0-0</f>
        <v>844.54091499999993</v>
      </c>
      <c r="T64" s="3">
        <f>0+(1117.9-252.3)+(0+(0-0))+0-0-0</f>
        <v>865.60000000000014</v>
      </c>
      <c r="U64" s="3">
        <f>0+(1128.4-272.5)+(0+(-1.726452--0.416925))+0-0-0</f>
        <v>854.59047300000009</v>
      </c>
      <c r="V64" s="3">
        <f>0+(1163-274.3)+(0+(-2.37252--0.559572))+0-0-0</f>
        <v>886.88705200000004</v>
      </c>
      <c r="W64" s="3">
        <f>0+(1089.6-257.8)+(0+(-3.334176--0.788868))+0-0-0</f>
        <v>829.25469199999998</v>
      </c>
      <c r="X64" s="3">
        <f>0+(1010.1-186.1)+(0+(-2.575755--0.474555))+0-0-0</f>
        <v>821.89880000000005</v>
      </c>
      <c r="Y64" s="3">
        <f>0+(980.1-165.2)+(0+(-0.499851--0.084252))+0-0-0</f>
        <v>814.48440100000005</v>
      </c>
      <c r="Z64" s="3">
        <f>0+(1009-121.9)+(0+(-0.51459--0.062169))+0-0-0</f>
        <v>886.64757900000006</v>
      </c>
      <c r="AA64" s="3">
        <f>0+(1084.4-166.4)+(0+(-1.659132--0.254592))+0-0-0</f>
        <v>916.59546000000012</v>
      </c>
      <c r="AB64" s="3">
        <f>0+(1112.9-220.1)+(0+(-2.837895--0.561255))+0-0-0</f>
        <v>890.52336000000003</v>
      </c>
      <c r="AC64" s="3">
        <f>0+(1097.4-248.9)+(0+(-1.119348--0.253878))+0-0-0</f>
        <v>847.63453000000015</v>
      </c>
      <c r="AD64">
        <f t="shared" si="0"/>
        <v>19587.403742999999</v>
      </c>
      <c r="AE64" s="3">
        <f>0+(1103.2-168.2)+(0+(0-0))+0-0-0</f>
        <v>935</v>
      </c>
    </row>
    <row r="65" spans="1:31" s="2" customFormat="1" x14ac:dyDescent="0.25">
      <c r="A65">
        <v>89</v>
      </c>
      <c r="B65">
        <v>3</v>
      </c>
      <c r="C65">
        <v>3</v>
      </c>
      <c r="D65">
        <v>3</v>
      </c>
      <c r="E65">
        <v>1</v>
      </c>
      <c r="F65" s="3">
        <f>0+(1022.3-256)+(0+(-1.564119--0.39168))+0-0-0</f>
        <v>765.1275609999999</v>
      </c>
      <c r="G65" s="3">
        <f>0+(1079.6-338.9)+(0+(-0.550596--0.172839))+0-0-0</f>
        <v>740.32224299999996</v>
      </c>
      <c r="H65" s="3">
        <f>0+(1083.9-369.2)+(0+(-0.552789--0.188292))+0-0-0</f>
        <v>714.33550300000002</v>
      </c>
      <c r="I65" s="3">
        <f>0+(1118.6-419.2)+(0+(-1.140972--0.427584))+0-0-0</f>
        <v>698.68661199999985</v>
      </c>
      <c r="J65" s="3">
        <f>0+(1097-395.6)+(0+(-2.79735--1.00878))+0-0-0</f>
        <v>699.61142999999993</v>
      </c>
      <c r="K65" s="3">
        <f>0+(1103.5-396.8)+(0+(-1.688355--0.607104))+0-0-0</f>
        <v>705.61874900000009</v>
      </c>
      <c r="L65" s="3">
        <f>0+(1112.3-382.8)+(0+(-0.567273--0.195228))+0-0-0</f>
        <v>729.12795500000004</v>
      </c>
      <c r="M65" s="3">
        <f>0+(1064.6-282.3)+(0+(0-0))+0-0-0</f>
        <v>782.3</v>
      </c>
      <c r="N65" s="3">
        <f>0+(1151.4-300.2)+(0+(-0.587214--0.153102))+0-0-0</f>
        <v>850.76588800000002</v>
      </c>
      <c r="O65" s="3">
        <f>0+(1133.2-248.2)+(0+(-0.577932--0.126582))+0-0-0</f>
        <v>884.54864999999995</v>
      </c>
      <c r="P65" s="3">
        <f>0+(1109.1-194.1)+(0+(-0.565641--0.098991))+0-0-0</f>
        <v>914.53334999999993</v>
      </c>
      <c r="Q65" s="3">
        <f>0+(1068.6-141.6)+(0+(-1.089972--0.144432))+0-0-0</f>
        <v>926.05445999999984</v>
      </c>
      <c r="R65" s="3">
        <f>0+(1083.8-172.2)+(0+(-1.105476--0.175644))+0-0-0</f>
        <v>910.67016799999988</v>
      </c>
      <c r="S65" s="3">
        <f>0+(1127-248.2)+(0+(-1.14954--0.253164))+0-0-0</f>
        <v>877.90362399999992</v>
      </c>
      <c r="T65" s="3">
        <f>0+(1135.6-241.8)+(0+(0-0))+0-0-0</f>
        <v>893.8</v>
      </c>
      <c r="U65" s="3">
        <f>0+(1132.9-252)+(0+(-1.155558--0.25704))+0-0-0</f>
        <v>880.00148200000012</v>
      </c>
      <c r="V65" s="3">
        <f>0+(1137.1-263.5)+(0+(-3.479526--0.80631))+0-0-0</f>
        <v>870.92678399999988</v>
      </c>
      <c r="W65" s="3">
        <f>0+(1149.6-289.3)+(0+(-2.345184--0.590172))+0-0-0</f>
        <v>858.54498799999999</v>
      </c>
      <c r="X65" s="3">
        <f>0+(1043.1-190.9)+(0+(-3.191886--0.584154))+0-0-0</f>
        <v>849.59226799999988</v>
      </c>
      <c r="Y65" s="3">
        <f>0+(974.1-140.8)+(0+(-2.483955--0.35904))+0-0-0</f>
        <v>831.17508499999997</v>
      </c>
      <c r="Z65" s="3">
        <f>0+(1039.9-143.1)+(0+(-1.591047--0.218943))+0-0-0</f>
        <v>895.42789600000003</v>
      </c>
      <c r="AA65" s="3">
        <f>0+(1056.2-123)+(0+(-3.770634--0.43911))+0-0-0</f>
        <v>929.8684760000001</v>
      </c>
      <c r="AB65" s="3">
        <f>0+(1098.4-200)+(0+(-2.240736--0.408))+0-0-0</f>
        <v>896.56726400000014</v>
      </c>
      <c r="AC65" s="3">
        <f>0+(1061.8-214.1)+(0+(-2.70759--0.545955))+0-0-0</f>
        <v>845.53836499999989</v>
      </c>
      <c r="AD65">
        <f t="shared" ref="AD65:AD128" si="1">SUM(F65:AC65)</f>
        <v>19951.048801000001</v>
      </c>
      <c r="AE65" s="3">
        <f>0+(1050.4-96.5)+(0+(0-0))+0-0-0</f>
        <v>953.90000000000009</v>
      </c>
    </row>
    <row r="66" spans="1:31" s="2" customFormat="1" x14ac:dyDescent="0.25">
      <c r="A66">
        <v>89</v>
      </c>
      <c r="B66">
        <v>3</v>
      </c>
      <c r="C66">
        <v>4</v>
      </c>
      <c r="D66">
        <v>4</v>
      </c>
      <c r="E66">
        <v>1</v>
      </c>
      <c r="F66" s="3">
        <f>0+(1047.6-259.5)+(0+(-1.602828--0.397035))+0-0-0</f>
        <v>786.89420699999994</v>
      </c>
      <c r="G66" s="3">
        <f>0+(1083-325.7)+(0+(-1.65699--0.498321))+0-0-0</f>
        <v>756.14133099999992</v>
      </c>
      <c r="H66" s="3">
        <f>0+(1108.7-382.2)+(0+(-1.130874--0.389844))+0-0-0</f>
        <v>725.75896999999998</v>
      </c>
      <c r="I66" s="3">
        <f>0+(1059.5-339.8)+(0+(-3.24207--1.039788))+0-0-0</f>
        <v>717.49771800000008</v>
      </c>
      <c r="J66" s="3">
        <f>0+(999.9-283.1)+(0+(-1.019898--0.288762))+0-0-0</f>
        <v>716.06886399999996</v>
      </c>
      <c r="K66" s="3">
        <f>0+(1009.5-290.7)+(0+(-2.574225--0.741285))+0-0-0</f>
        <v>716.96705999999995</v>
      </c>
      <c r="L66" s="3">
        <f>0+(1044.9-319.1)+(0+(-2.664495--0.813705))+0-0-0</f>
        <v>723.94921000000011</v>
      </c>
      <c r="M66" s="3">
        <f>0+(1057.7-236.1)+(0+(-2.157708--0.481644))+0-0-0</f>
        <v>819.92393600000003</v>
      </c>
      <c r="N66" s="3">
        <f>0+(1058.1-189.5)+(0+(-1.079262--0.19329))+0-0-0</f>
        <v>867.71402799999987</v>
      </c>
      <c r="O66" s="3">
        <f>0+(1092.1-207.8)+(0+(-1.670913--0.317934))+0-0-0</f>
        <v>882.94702099999995</v>
      </c>
      <c r="P66" s="3">
        <f>0+(1078.3-170.5)+(0+(-0.549933--0.086955))+0-0-0</f>
        <v>907.33702199999993</v>
      </c>
      <c r="Q66" s="3">
        <f>0+(1089.9-177)+(0+(-0.555849--0.09027))+0-0-0</f>
        <v>912.43442100000004</v>
      </c>
      <c r="R66" s="3">
        <f>0+(1086.3-173)+(0+(-1.108026--0.17646))+0-0-0</f>
        <v>912.36843399999998</v>
      </c>
      <c r="S66" s="3">
        <f>0+(1087.2-228.3)+(0+(-1.108944--0.232866))+0-0-0</f>
        <v>858.02392200000008</v>
      </c>
      <c r="T66" s="3">
        <f>0+(1118.8-251.1)+(0+(-1.711764--0.384183))+0-0-0</f>
        <v>866.37241899999992</v>
      </c>
      <c r="U66" s="3">
        <f>0+(1138.7-265.8)+(0+(0.580737-0.135558))+0-0-0</f>
        <v>873.34517900000014</v>
      </c>
      <c r="V66" s="3">
        <f>0+(1123.5-250.8)+(0+(0.572985-0.127908))+0-0-0</f>
        <v>873.14507700000001</v>
      </c>
      <c r="W66" s="3">
        <f>0+(1040.5-180.5)+(0+(-2.12262--0.36822))+0-0-0</f>
        <v>858.24559999999997</v>
      </c>
      <c r="X66" s="3">
        <f>0+(974.1-130.3)+(0+(-2.980746--0.398718))+0-0-0</f>
        <v>841.21797199999992</v>
      </c>
      <c r="Y66" s="3">
        <f>0+(923.1-89.5)+(0+(-2.353905--0.228225))+0-0-0</f>
        <v>831.47432000000003</v>
      </c>
      <c r="Z66" s="3">
        <f>0+(1031.6-133.6)+(0+(-3.156696--0.408816))+0-0-0</f>
        <v>895.25211999999988</v>
      </c>
      <c r="AA66" s="3">
        <f>0+(1089.3-148.2)+(0+(-4.444344--0.604656))+0-0-0</f>
        <v>937.26031199999989</v>
      </c>
      <c r="AB66" s="3">
        <f>0+(1053-150.4)+(0+(-0.53703--0.076704))+0-0-0</f>
        <v>902.13967400000001</v>
      </c>
      <c r="AC66" s="3">
        <f>0+(1053.2-195.1)+(0+(-2.68566--0.497505))+0-0-0</f>
        <v>855.91184499999997</v>
      </c>
      <c r="AD66">
        <f t="shared" si="1"/>
        <v>20038.390661999994</v>
      </c>
      <c r="AE66" s="3">
        <f>0+(1094.4-132.3)+(0+(0-0))+0-0-0</f>
        <v>962.10000000000014</v>
      </c>
    </row>
    <row r="67" spans="1:31" s="2" customFormat="1" x14ac:dyDescent="0.25">
      <c r="A67">
        <v>89</v>
      </c>
      <c r="B67">
        <v>3</v>
      </c>
      <c r="C67">
        <v>5</v>
      </c>
      <c r="D67">
        <v>5</v>
      </c>
      <c r="E67">
        <v>1</v>
      </c>
      <c r="F67" s="3">
        <f>0+(1035.3-243.8)+(0+(-2.112012--0.497352))+0-0-0</f>
        <v>789.88534000000004</v>
      </c>
      <c r="G67" s="3">
        <f>0+(1041.9-286.9)+(0+(0.531369-0.146319))+0-0-0</f>
        <v>755.38505000000009</v>
      </c>
      <c r="H67" s="3">
        <f>0+(1093.4-345.6)+(0+(-2.78817--0.88128))+0-0-0</f>
        <v>745.89311000000009</v>
      </c>
      <c r="I67" s="3">
        <f>0+(1055.3-327.5)+(0+(-1.614609--0.501075))+0-0-0</f>
        <v>726.686466</v>
      </c>
      <c r="J67" s="3">
        <f>0+(1053.3-320.4)+(0+(-0.537183--0.163404))+0-0-0</f>
        <v>732.52622099999996</v>
      </c>
      <c r="K67" s="3">
        <f>0+(1012.4-284)+(0+(-3.097944--0.86904))+0-0-0</f>
        <v>726.17109600000003</v>
      </c>
      <c r="L67" s="3">
        <f>0+(1010.8-272.2)+(0+(-2.062032--0.555288))+0-0-0</f>
        <v>737.09325599999988</v>
      </c>
      <c r="M67" s="3">
        <f>0+(1022.1-240.8)+(0+(-1.042542--0.245616))+0-0-0</f>
        <v>780.50307399999997</v>
      </c>
      <c r="N67" s="3">
        <f>0+(1039.9-193.3)+(0+(0.530349-0.098583))+0-0-0</f>
        <v>847.03176600000018</v>
      </c>
      <c r="O67" s="3">
        <f>0+(1039.2-148)+(0+(-2.119968--0.30192))+0-0-0</f>
        <v>889.38195200000007</v>
      </c>
      <c r="P67" s="3">
        <f>0+(1046.5-143.7)+(0+(0-0))+0-0-0</f>
        <v>902.8</v>
      </c>
      <c r="Q67" s="3">
        <f>0+(1084.8-144.4)+(0+(-0.553248--0.073644))+0-0-0</f>
        <v>939.92039599999998</v>
      </c>
      <c r="R67" s="3">
        <f>0+(1071-159.8)+(0+(-0.54621--0.081498))+0-0-0</f>
        <v>910.73528800000008</v>
      </c>
      <c r="S67" s="3">
        <f>0+(1078.8-209.9)+(0+(-0.550188--0.107049))+0-0-0</f>
        <v>868.456861</v>
      </c>
      <c r="T67" s="3">
        <f>0+(1092.4-201.9)+(0+(-1.114248--0.205938))+0-0-0</f>
        <v>889.59169000000009</v>
      </c>
      <c r="U67" s="3">
        <f>0+(1097.8-213.8)+(0+(-0.559878--0.109038))+0-0-0</f>
        <v>883.54916000000003</v>
      </c>
      <c r="V67" s="3">
        <f>0+(1078.2-195.3)+(0+(-1.649646--0.298809))+0-0-0</f>
        <v>881.54916300000014</v>
      </c>
      <c r="W67" s="3">
        <f>0+(1056.2-183)+(0+(-3.770634--0.65331))+0-0-0</f>
        <v>870.08267599999999</v>
      </c>
      <c r="X67" s="3">
        <f>0+(1025.6-171.2)+(0+(-3.661392--0.611184))+0-0-0</f>
        <v>851.34979199999987</v>
      </c>
      <c r="Y67" s="3">
        <f>0+(958.3-124.7)+(0+(-1.954932--0.254388))+0-0-0</f>
        <v>831.89945599999987</v>
      </c>
      <c r="Z67" s="3">
        <f>0+(1012.7-103.7)+(0+(-1.032954--0.105774))+0-0-0</f>
        <v>908.07281999999998</v>
      </c>
      <c r="AA67" s="3">
        <f>0+(1080.8-162.9)+(0+(-3.307248--0.498474))+0-0-0</f>
        <v>915.09122600000001</v>
      </c>
      <c r="AB67" s="3">
        <f>0+(1095.8-218.2)+(0+(0.558858-0.111282))+0-0-0</f>
        <v>878.04757599999994</v>
      </c>
      <c r="AC67" s="3">
        <f>0+(1019.8-203)+(0+(-0.520098--0.10353))+0-0-0</f>
        <v>816.38343199999997</v>
      </c>
      <c r="AD67">
        <f t="shared" si="1"/>
        <v>20078.086866999998</v>
      </c>
      <c r="AE67" s="3">
        <f>0+(1148.5-179.4)+(0+(0-0))+0-0-0</f>
        <v>969.1</v>
      </c>
    </row>
    <row r="68" spans="1:31" s="2" customFormat="1" x14ac:dyDescent="0.25">
      <c r="A68">
        <v>89</v>
      </c>
      <c r="B68">
        <v>3</v>
      </c>
      <c r="C68">
        <v>6</v>
      </c>
      <c r="D68">
        <v>6</v>
      </c>
      <c r="E68">
        <v>1</v>
      </c>
      <c r="F68" s="3">
        <f>0+(1015.8-229.9)+(0+(-2.072232--0.468996))+0-0-0</f>
        <v>784.29676399999994</v>
      </c>
      <c r="G68" s="3">
        <f>0+(995.6-215.3)+(0+(-0.507756--0.109803))+0-0-0</f>
        <v>779.90204699999992</v>
      </c>
      <c r="H68" s="3">
        <f>0+(1031.9-277.8)+(0+(-1.052538--0.283356))+0-0-0</f>
        <v>753.33081800000014</v>
      </c>
      <c r="I68" s="3">
        <f>0+(1042.4-297.6)+(0+(-3.189744--0.910656))+0-0-0</f>
        <v>742.52091200000007</v>
      </c>
      <c r="J68" s="3">
        <f>0+(1029.4-290.5)+(0+(-1.574982--0.444465))+0-0-0</f>
        <v>737.76948300000004</v>
      </c>
      <c r="K68" s="3">
        <f>0+(1020.1-296)+(0+(-4.162008--1.20768))+0-0-0</f>
        <v>721.14567199999999</v>
      </c>
      <c r="L68" s="3">
        <f>0+(996.1-275.2)+(0+(-1.016022--0.280704))+0-0-0</f>
        <v>720.16468200000008</v>
      </c>
      <c r="M68" s="3">
        <f>0+(929.7-165.2)+(0+(0-0))+0-0-0</f>
        <v>764.5</v>
      </c>
      <c r="N68" s="3">
        <f>0+(956.2-132.4)+(0+(0.975324-0.135048))+0-0-0</f>
        <v>824.64027600000009</v>
      </c>
      <c r="O68" s="3">
        <f>0+(1050.3-173)+(0+(-1.071306--0.17646))+0-0-0</f>
        <v>876.40515399999992</v>
      </c>
      <c r="P68" s="3">
        <f>0+(1005.2-120.9)+(0+(-0.512652--0.061659))+0-0-0</f>
        <v>883.84900700000003</v>
      </c>
      <c r="Q68" s="3">
        <f>0+(995.6-105.5)+(0+(0-0))+0-0-0</f>
        <v>890.1</v>
      </c>
      <c r="R68" s="3">
        <f>0+(1011.2-129.9)+(0+(-1.547136--0.198747))+0-0-0</f>
        <v>879.95161100000007</v>
      </c>
      <c r="S68" s="3">
        <f>0+(1043-193.7)+(0+(-1.06386--0.197574))+0-0-0</f>
        <v>848.43371400000001</v>
      </c>
      <c r="T68" s="3">
        <f>0+(1050.7-198.9)+(0+(-1.071714--0.202878))+0-0-0</f>
        <v>850.93116400000008</v>
      </c>
      <c r="U68" s="3">
        <f>0+(1065.5-217.1)+(0+(-1.08681--0.221442))+0-0-0</f>
        <v>847.53463199999999</v>
      </c>
      <c r="V68" s="3">
        <f>0+(1065.6-216.4)+(0+(-0.543456--0.110364))+0-0-0</f>
        <v>848.76690799999994</v>
      </c>
      <c r="W68" s="3">
        <f>0+(1030-206.7)+(0+(-2.6265--0.527085))+0-0-0</f>
        <v>821.20058499999993</v>
      </c>
      <c r="X68" s="3">
        <f>0+(968.4-154.5)+(0+(-2.46942--0.393975))+0-0-0</f>
        <v>811.82455500000003</v>
      </c>
      <c r="Y68" s="3">
        <f>0+(953-153)+(0+(-0.97206--0.15606))+0-0-0</f>
        <v>799.18399999999997</v>
      </c>
      <c r="Z68" s="3">
        <f>0+(1085.5-203.8)+(0+(-1.660815--0.311814))+0-0-0</f>
        <v>880.350999</v>
      </c>
      <c r="AA68" s="3">
        <f>0+(1075.5-161.9)+(0+(-1.645515--0.247707))+0-0-0</f>
        <v>912.20219199999997</v>
      </c>
      <c r="AB68" s="3">
        <f>0+(1027.7-140.4)+(0+(-2.096508--0.286416))+0-0-0</f>
        <v>885.48990800000001</v>
      </c>
      <c r="AC68" s="3">
        <f>0+(994.3-153.6)+(0+(-2.028372--0.313344))+0-0-0</f>
        <v>838.98497199999997</v>
      </c>
      <c r="AD68">
        <f t="shared" si="1"/>
        <v>19703.480055</v>
      </c>
      <c r="AE68" s="3">
        <f>0+(1120.9-187.1)+(0+(0-0))+0-0-0</f>
        <v>933.80000000000007</v>
      </c>
    </row>
    <row r="69" spans="1:31" s="2" customFormat="1" x14ac:dyDescent="0.25">
      <c r="A69">
        <v>89</v>
      </c>
      <c r="B69">
        <v>3</v>
      </c>
      <c r="C69">
        <v>7</v>
      </c>
      <c r="D69">
        <v>7</v>
      </c>
      <c r="E69">
        <v>1</v>
      </c>
      <c r="F69" s="3">
        <f>0+(940.7-167.3)+(0+(1.919028-0.341292))+0-0-0</f>
        <v>774.97773600000005</v>
      </c>
      <c r="G69" s="3">
        <f>0+(970.1-218.1)+(0+(0.989502-0.222462))+0-0-0</f>
        <v>752.76703999999995</v>
      </c>
      <c r="H69" s="3">
        <f>0+(996.1-273.4)+(0+(1.016022-0.278868))+0-0-0</f>
        <v>723.43715400000008</v>
      </c>
      <c r="I69" s="3">
        <f>0+(1004.5-302.8)+(0+(0-0))+0-0-0</f>
        <v>701.7</v>
      </c>
      <c r="J69" s="3">
        <f>0+(1054.1-353.9)+(0+(1.075182-0.360978))+0-0-0</f>
        <v>700.91420399999993</v>
      </c>
      <c r="K69" s="3">
        <f>0+(1049.9-367.7)+(0+(-1.606347--0.562581))+0-0-0</f>
        <v>681.15623400000004</v>
      </c>
      <c r="L69" s="3">
        <f>0+(978.8-330.7)+(0+(-1.497564--0.505971))+0-0-0</f>
        <v>647.10840699999994</v>
      </c>
      <c r="M69" s="3">
        <f>0+(956.1-297.6)+(0+(-0.975222--0.303552))+0-0-0</f>
        <v>657.82833000000005</v>
      </c>
      <c r="N69" s="3">
        <f>0+(976.8-275.3)+(0+(-1.494504--0.421209))+0-0-0</f>
        <v>700.42670499999997</v>
      </c>
      <c r="O69" s="3">
        <f>0+(937-254.9)+(0+(-1.43361--0.389997))+0-0-0</f>
        <v>681.05638699999997</v>
      </c>
      <c r="P69" s="3">
        <f>0+(939.8-191)+(0+(0-0))+0-0-0</f>
        <v>748.8</v>
      </c>
      <c r="Q69" s="3">
        <f>0+(881.2-127.9)+(0+(-0.449412--0.065229))+0-0-0</f>
        <v>752.91581700000006</v>
      </c>
      <c r="R69" s="3">
        <f>0+(909.4-161.5)+(0+(0-0))+0-0-0</f>
        <v>747.9</v>
      </c>
      <c r="S69" s="3">
        <f>0+(947.8-221.4)+(0+(-0.483378--0.112914))+0-0-0</f>
        <v>726.02953600000001</v>
      </c>
      <c r="T69" s="3">
        <f>0+(956.1-243.9)+(0+(0-0))+0-0-0</f>
        <v>712.2</v>
      </c>
      <c r="U69" s="3">
        <f>0+(978.9-263.3)+(0+(0.499239-0.134283))+0-0-0</f>
        <v>715.96495599999992</v>
      </c>
      <c r="V69" s="3">
        <f>0+(937.5-241.2)+(0+(-2.86875--0.738072))+0-0-0</f>
        <v>694.16932199999997</v>
      </c>
      <c r="W69" s="3">
        <f>0+(890.5-182.9)+(0+(-2.72493--0.559674))+0-0-0</f>
        <v>705.43474400000002</v>
      </c>
      <c r="X69" s="3">
        <f>0+(910.5-199.7)+(0+(-1.85742--0.407388))+0-0-0</f>
        <v>709.34996799999999</v>
      </c>
      <c r="Y69" s="3">
        <f>0+(840.3-125.1)+(0+(-1.285659--0.191403))+0-0-0</f>
        <v>714.10574399999996</v>
      </c>
      <c r="Z69" s="3">
        <f>0+(937.5-158.7)+(0+(-1.434375--0.242811))+0-0-0</f>
        <v>777.60843599999998</v>
      </c>
      <c r="AA69" s="3">
        <f>0+(972.5-128.4)+(0+(-0.99195--0.130968))+0-0-0</f>
        <v>843.23901799999999</v>
      </c>
      <c r="AB69" s="3">
        <f>0+(980.8-159.3)+(0+(-1.000416--0.162486))+0-0-0</f>
        <v>820.66206999999997</v>
      </c>
      <c r="AC69" s="3">
        <f>0+(987.1-204.4)+(0+(-2.013684--0.416976))+0-0-0</f>
        <v>781.10329200000001</v>
      </c>
      <c r="AD69">
        <f t="shared" si="1"/>
        <v>17470.855100000001</v>
      </c>
      <c r="AE69" s="3">
        <f>0+(1008-150.3)+(0+(0-0))+0-0-0</f>
        <v>857.7</v>
      </c>
    </row>
    <row r="70" spans="1:31" s="2" customFormat="1" x14ac:dyDescent="0.25">
      <c r="A70">
        <v>89</v>
      </c>
      <c r="B70">
        <v>3</v>
      </c>
      <c r="C70">
        <v>8</v>
      </c>
      <c r="D70">
        <v>1</v>
      </c>
      <c r="E70">
        <v>1</v>
      </c>
      <c r="F70" s="3">
        <f>0+(952.4-222.5)+(0+(-1.457172--0.340425))+0-0-0</f>
        <v>728.78325299999995</v>
      </c>
      <c r="G70" s="3">
        <f>0+(1038.4-341)+(0+(-3.707088--1.21737))+0-0-0</f>
        <v>694.91028200000005</v>
      </c>
      <c r="H70" s="3">
        <f>0+(1083.8-403.7)+(0+(-2.210952--0.823548))+0-0-0</f>
        <v>678.71259599999996</v>
      </c>
      <c r="I70" s="3">
        <f>0+(1060.7-391.7)+(0+(-0.540957--0.199767))+0-0-0</f>
        <v>668.65881000000002</v>
      </c>
      <c r="J70" s="3">
        <f>0+(1030.2-357.3)+(0+(0-0))+0-0-0</f>
        <v>672.90000000000009</v>
      </c>
      <c r="K70" s="3">
        <f>0+(1009.9-330.2)+(0+(-2.575245--0.84201))+0-0-0</f>
        <v>677.96676500000001</v>
      </c>
      <c r="L70" s="3">
        <f>0+(966.9-264.2)+(0+(-0.493119--0.134742))+0-0-0</f>
        <v>702.34162300000003</v>
      </c>
      <c r="M70" s="3">
        <f>0+(938.5-152.6)+(0+(0-0))+0-0-0</f>
        <v>785.9</v>
      </c>
      <c r="N70" s="3">
        <f>0+(980.5-135)+(0+(-1.500165--0.20655))+0-0-0</f>
        <v>844.20638499999995</v>
      </c>
      <c r="O70" s="3">
        <f>0+(1022.3-118.5)+(0+(-0.521373--0.060435))+0-0-0</f>
        <v>903.3390619999999</v>
      </c>
      <c r="P70" s="3">
        <f>0+(991.2-71.9)+(0+(0-0))+0-0-0</f>
        <v>919.30000000000007</v>
      </c>
      <c r="Q70" s="3">
        <f>0+(1019.6-76.7)+(0+(-0.519996--0.039117))+0-0-0</f>
        <v>942.41912100000002</v>
      </c>
      <c r="R70" s="3">
        <f>0+(1026-69.3)+(0+(0-0))+0-0-0</f>
        <v>956.7</v>
      </c>
      <c r="S70" s="3">
        <f>0+(1032.7-80)+(0+(0.526677-0.0408))+0-0-0</f>
        <v>953.185877</v>
      </c>
      <c r="T70" s="3">
        <f>0+(1050.5-80.6)+(0+(0-0))+0-0-0</f>
        <v>969.9</v>
      </c>
      <c r="U70" s="3">
        <f>0+(1066.6-108.7)+(0+(-0.543966--0.055437))+0-0-0</f>
        <v>957.41147099999989</v>
      </c>
      <c r="V70" s="3">
        <f>0+(1059-114.8)+(0+(-1.62027--0.175644))+0-0-0</f>
        <v>942.75537400000007</v>
      </c>
      <c r="W70" s="3">
        <f>0+(1082.9-152.2)+(0+(-3.865953--0.543354))+0-0-0</f>
        <v>927.37740100000008</v>
      </c>
      <c r="X70" s="3">
        <f>0+(1083.8-171.7)+(0+(-2.76369--0.437835))+0-0-0</f>
        <v>909.77414499999986</v>
      </c>
      <c r="Y70" s="3">
        <f>0+(1029.8-139.6)+(0+(-0.525198--0.071196))+0-0-0</f>
        <v>889.74599799999999</v>
      </c>
      <c r="Z70" s="3">
        <f>0+(1070.9-127.5)+(0+(-0.546159--0.065025))+0-0-0</f>
        <v>942.91886600000009</v>
      </c>
      <c r="AA70" s="3">
        <f>0+(1101.3-163.6)+(0+(-1.123326--0.166872))+0-0-0</f>
        <v>936.74354599999992</v>
      </c>
      <c r="AB70" s="3">
        <f>0+(1132.7-227.9)+(0+(-2.888385--0.581145))+0-0-0</f>
        <v>902.49276000000009</v>
      </c>
      <c r="AC70" s="3">
        <f>0+(1089-240.3)+(0+(-2.22156--0.490212))+0-0-0</f>
        <v>846.96865200000002</v>
      </c>
      <c r="AD70">
        <f t="shared" si="1"/>
        <v>20355.411986999999</v>
      </c>
      <c r="AE70" s="3">
        <f>0+(1105.3-142)+(0+(0-0))+0-0-0</f>
        <v>963.3</v>
      </c>
    </row>
    <row r="71" spans="1:31" s="2" customFormat="1" x14ac:dyDescent="0.25">
      <c r="A71">
        <v>89</v>
      </c>
      <c r="B71">
        <v>3</v>
      </c>
      <c r="C71">
        <v>9</v>
      </c>
      <c r="D71">
        <v>2</v>
      </c>
      <c r="E71">
        <v>1</v>
      </c>
      <c r="F71" s="3">
        <f>0+(1017.2-235.4)+(0+(-1.556316--0.360162))+0-0-0</f>
        <v>780.60384600000009</v>
      </c>
      <c r="G71" s="3">
        <f>0+(1015.4-251.1)+(0+(-1.035708--0.256122))+0-0-0</f>
        <v>763.52041399999996</v>
      </c>
      <c r="H71" s="3">
        <f>0+(1025.4-273)+(0+(-0.522954--0.13923))+0-0-0</f>
        <v>752.01627600000006</v>
      </c>
      <c r="I71" s="3">
        <f>0+(999.6-260.2)+(0+(-2.039184--0.530808))+0-0-0</f>
        <v>737.89162400000009</v>
      </c>
      <c r="J71" s="3">
        <f>0+(1007-274.3)+(0+(-0.51357--0.139893))+0-0-0</f>
        <v>732.326323</v>
      </c>
      <c r="K71" s="3">
        <f>0+(1049.8-321.4)+(0+(-1.606194--0.491742))+0-0-0</f>
        <v>727.28554799999995</v>
      </c>
      <c r="L71" s="3">
        <f>0+(1013-266.8)+(0+(-2.06652--0.544272))+0-0-0</f>
        <v>744.67775200000005</v>
      </c>
      <c r="M71" s="3">
        <f>0+(1014.6-198.4)+(0+(0-0))+0-0-0</f>
        <v>816.2</v>
      </c>
      <c r="N71" s="3">
        <f>0+(1018.8-152.1)+(0+(0.519588-0.077571))+0-0-0</f>
        <v>867.1420169999999</v>
      </c>
      <c r="O71" s="3">
        <f>0+(1049.9-160)+(0+(-0.535449--0.0816))+0-0-0</f>
        <v>889.4461510000001</v>
      </c>
      <c r="P71" s="3">
        <f>0+(1113.5-180.4)+(0+(0.567885-0.092004))+0-0-0</f>
        <v>933.57588099999998</v>
      </c>
      <c r="Q71" s="3">
        <f>0+(1112.1-162.2)+(0+(0-0))+0-0-0</f>
        <v>949.89999999999986</v>
      </c>
      <c r="R71" s="3">
        <f>0+(1093.6-158.6)+(0+(-1.115472--0.161772))+0-0-0</f>
        <v>934.04629999999986</v>
      </c>
      <c r="S71" s="3">
        <f>0+(1113.9-215.2)+(0+(-1.136178--0.219504))+0-0-0</f>
        <v>897.7833260000001</v>
      </c>
      <c r="T71" s="3">
        <f>0+(1156.2-226.1)+(0+(0-0))+0-0-0</f>
        <v>930.1</v>
      </c>
      <c r="U71" s="3">
        <f>0+(1130.1-225.3)+(0+(0.576351-0.114903))+0-0-0</f>
        <v>905.26144799999997</v>
      </c>
      <c r="V71" s="3">
        <f>0+(1111.8-212.9)+(0+(-1.701054--0.325737))+0-0-0</f>
        <v>897.52468299999998</v>
      </c>
      <c r="W71" s="3">
        <f>0+(1143.4-250.1)+(0+(-1.749402--0.382653))+0-0-0</f>
        <v>891.93325100000004</v>
      </c>
      <c r="X71" s="3">
        <f>0+(1045.7-172.8)+(0+(-4.266456--0.705024))+0-0-0</f>
        <v>869.33856800000012</v>
      </c>
      <c r="Y71" s="3">
        <f>0+(980-111.3)+(0+(-0.4998--0.056763))+0-0-0</f>
        <v>868.25696300000004</v>
      </c>
      <c r="Z71" s="3">
        <f>0+(1095-144.3)+(0+(0-0))+0-0-0</f>
        <v>950.7</v>
      </c>
      <c r="AA71" s="3">
        <f>0+(1082.2-148.1)+(0+(-1.655766--0.226593))+0-0-0</f>
        <v>932.67082700000003</v>
      </c>
      <c r="AB71" s="3">
        <f>0+(1103.5-194.4)+(0+(-1.688355--0.297432))+0-0-0</f>
        <v>907.70907699999998</v>
      </c>
      <c r="AC71" s="3">
        <f>0+(1107.3-257.7)+(0+(-2.823615--0.657135))+0-0-0</f>
        <v>847.43351999999993</v>
      </c>
      <c r="AD71">
        <f t="shared" si="1"/>
        <v>20527.343795000001</v>
      </c>
      <c r="AE71" s="3">
        <f>0+(1106.2-119.2)+(0+(0-0))+0-0-0</f>
        <v>987</v>
      </c>
    </row>
    <row r="72" spans="1:31" s="2" customFormat="1" x14ac:dyDescent="0.25">
      <c r="A72">
        <v>89</v>
      </c>
      <c r="B72">
        <v>3</v>
      </c>
      <c r="C72">
        <v>10</v>
      </c>
      <c r="D72">
        <v>3</v>
      </c>
      <c r="E72">
        <v>1</v>
      </c>
      <c r="F72" s="3">
        <f>0+(1081-289.9)+(0+(-0.55131--0.147849))+0-0-0</f>
        <v>790.69653900000003</v>
      </c>
      <c r="G72" s="3">
        <f>0+(1086.4-318.7)+(0+(-1.108128--0.325074))+0-0-0</f>
        <v>766.91694600000005</v>
      </c>
      <c r="H72" s="3">
        <f>0+(1123.7-356.7)+(0+(0-0))+0-0-0</f>
        <v>767</v>
      </c>
      <c r="I72" s="3">
        <f>0+(1132.2-387.9)+(0+(-1.732266--0.593487))+0-0-0</f>
        <v>743.16122100000007</v>
      </c>
      <c r="J72" s="3">
        <f>0+(1123.9-378.8)+(0+(-1.719567--0.579564))+0-0-0</f>
        <v>743.95999700000016</v>
      </c>
      <c r="K72" s="3">
        <f>0+(1122.2-374.9)+(0+(-1.144644--0.382398))+0-0-0</f>
        <v>746.53775400000006</v>
      </c>
      <c r="L72" s="3">
        <f>0+(1108.7-339.6)+(0+(0-0))+0-0-0</f>
        <v>769.1</v>
      </c>
      <c r="M72" s="3">
        <f>0+(1093.1-274)+(0+(0.557481-0.13974))+0-0-0</f>
        <v>819.51774099999989</v>
      </c>
      <c r="N72" s="3">
        <f>0+(1117.3-232.9)+(0+(1.139646-0.237558))+0-0-0</f>
        <v>885.30208800000003</v>
      </c>
      <c r="O72" s="3">
        <f>0+(1179.5-276.4)+(0+(0-0))+0-0-0</f>
        <v>903.1</v>
      </c>
      <c r="P72" s="3">
        <f>0+(1188.5-268.8)+(0+(0.606135-0.137088))+0-0-0</f>
        <v>920.16904700000009</v>
      </c>
      <c r="Q72" s="3">
        <f>0+(1142-276)+(0+(0.58242-0.14076))+0-0-0</f>
        <v>866.44165999999996</v>
      </c>
      <c r="R72" s="3">
        <f>0+(1124.9-240)+(0+(-1.147398--0.2448))+0-0-0</f>
        <v>883.99740200000008</v>
      </c>
      <c r="S72" s="3">
        <f>0+(1120.1-219)+(0+(-1.142502--0.22338))+0-0-0</f>
        <v>900.18087799999989</v>
      </c>
      <c r="T72" s="3">
        <f>0+(1146.1-238.9)+(0+(-0.584511--0.121839))+0-0-0</f>
        <v>906.73732799999993</v>
      </c>
      <c r="U72" s="3">
        <f>0+(1157-256.2)+(0+(-1.18014--0.261324))+0-0-0</f>
        <v>899.88118399999996</v>
      </c>
      <c r="V72" s="3">
        <f>0+(1165.6-279.4)+(0+(-2.377824--0.569976))+0-0-0</f>
        <v>884.3921519999999</v>
      </c>
      <c r="W72" s="3">
        <f>0+(1177.6-307.2)+(0+(-3.603456--0.940032))+0-0-0</f>
        <v>867.7365759999999</v>
      </c>
      <c r="X72" s="3">
        <f>0+(1174.7-292.6)+(0+(-2.995485--0.74613))+0-0-0</f>
        <v>879.85064499999999</v>
      </c>
      <c r="Y72" s="3">
        <f>0+(1121.6-270.6)+(0+(-1.144032--0.276012))+0-0-0</f>
        <v>850.13197999999988</v>
      </c>
      <c r="Z72" s="3">
        <f>0+(1107.3-197.8)+(0+(-1.129446--0.201756))+0-0-0</f>
        <v>908.57231000000002</v>
      </c>
      <c r="AA72" s="3">
        <f>0+(1056.5-155.8)+(0+(-0.538815--0.079458))+0-0-0</f>
        <v>900.24064300000009</v>
      </c>
      <c r="AB72" s="3">
        <f>0+(1078.4-172.6)+(0+(-1.099968--0.176052))+0-0-0</f>
        <v>904.87608400000011</v>
      </c>
      <c r="AC72" s="3">
        <f>0+(1065-214.6)+(0+(-1.62945--0.328338))+0-0-0</f>
        <v>849.09888799999999</v>
      </c>
      <c r="AD72">
        <f t="shared" si="1"/>
        <v>20357.599063000001</v>
      </c>
      <c r="AE72" s="3">
        <f>0+(1133.5-124.5)+(0+(0-0))+0-0-0</f>
        <v>1009</v>
      </c>
    </row>
    <row r="73" spans="1:31" s="2" customFormat="1" x14ac:dyDescent="0.25">
      <c r="A73">
        <v>89</v>
      </c>
      <c r="B73">
        <v>3</v>
      </c>
      <c r="C73">
        <v>11</v>
      </c>
      <c r="D73">
        <v>4</v>
      </c>
      <c r="E73">
        <v>1</v>
      </c>
      <c r="F73" s="3">
        <f>0+(1110.3-316.5)+(0+(-2.831265--0.807075))+0-0-0</f>
        <v>791.77580999999998</v>
      </c>
      <c r="G73" s="3">
        <f>0+(1150.8-353.7)+(0+(-1.760724--0.541161))+0-0-0</f>
        <v>795.88043699999992</v>
      </c>
      <c r="H73" s="3">
        <f>0+(1137.6-356.3)+(0+(-1.740528--0.545139))+0-0-0</f>
        <v>780.10461099999998</v>
      </c>
      <c r="I73" s="3">
        <f>0+(1149.1-378.3)+(0+(0-0))+0-0-0</f>
        <v>770.8</v>
      </c>
      <c r="J73" s="3">
        <f>0+(1125.9-365.8)+(0+(0.574209-0.186558))+0-0-0</f>
        <v>760.48765100000014</v>
      </c>
      <c r="K73" s="3">
        <f>0+(1122.8-363.3)+(0+(-3.435768--1.111698))+0-0-0</f>
        <v>757.17592999999999</v>
      </c>
      <c r="L73" s="3">
        <f>0+(1026.5-319.6)+(0+(-0.523515--0.162996))+0-0-0</f>
        <v>706.53948100000002</v>
      </c>
      <c r="M73" s="3">
        <f>0+(1113-312)+(0+(-2.27052--0.63648))+0-0-0</f>
        <v>799.36595999999997</v>
      </c>
      <c r="N73" s="3">
        <f>0+(1182.2-303.6)+(0+(0.602922-0.154836))+0-0-0</f>
        <v>879.04808600000001</v>
      </c>
      <c r="O73" s="3">
        <f>0+(1200.1-298.7)+(0+(0.612051-0.152337))+0-0-0</f>
        <v>901.85971399999983</v>
      </c>
      <c r="P73" s="3">
        <f>0+(1220.7-280.9)+(0+(-1.245114--0.286518))+0-0-0</f>
        <v>938.84140400000001</v>
      </c>
      <c r="Q73" s="3">
        <f>0+(1180.6-224.8)+(0+(-0.602106--0.114648))+0-0-0</f>
        <v>955.31254200000001</v>
      </c>
      <c r="R73" s="3">
        <f>0+(1118.8-186.8)+(0+(0.570588-0.095268))+0-0-0</f>
        <v>932.47532000000001</v>
      </c>
      <c r="S73" s="3">
        <f>0+(1136.1-237)+(0+(-0.579411--0.12087))+0-0-0</f>
        <v>898.64145899999994</v>
      </c>
      <c r="T73" s="3">
        <f>0+(1151.4-243.5)+(0+(1.174428-0.24837))+0-0-0</f>
        <v>908.8260580000001</v>
      </c>
      <c r="U73" s="3">
        <f>0+(1110.1-224.6)+(0+(-1.698453--0.343638))+0-0-0</f>
        <v>884.14518499999986</v>
      </c>
      <c r="V73" s="3">
        <f>0+(1096.4-214.3)+(0+(-1.118328--0.218586))+0-0-0</f>
        <v>881.20025800000019</v>
      </c>
      <c r="W73" s="3">
        <f>0+(1105.6-225.1)+(0+(-2.81928--0.574005))+0-0-0</f>
        <v>878.25472499999989</v>
      </c>
      <c r="X73" s="3">
        <f>0+(1086.4-215)+(0+(-2.77032--0.54825))+0-0-0</f>
        <v>869.17793000000006</v>
      </c>
      <c r="Y73" s="3">
        <f>0+(1059.4-197.3)+(0+(-0.540294--0.100623))+0-0-0</f>
        <v>861.66032900000016</v>
      </c>
      <c r="Z73" s="3">
        <f>0+(1087.2-135.4)+(0+(-1.108944--0.138108))+0-0-0</f>
        <v>950.82916400000011</v>
      </c>
      <c r="AA73" s="3">
        <f>0+(1063.1-106.1)+(0+(-0.542181--0.054111))+0-0-0</f>
        <v>956.51192999999989</v>
      </c>
      <c r="AB73" s="3">
        <f>0+(1066.3-149.6)+(0+(-0.543813--0.076296))+0-0-0</f>
        <v>916.23248299999989</v>
      </c>
      <c r="AC73" s="3">
        <f>0+(1106.5-235.3)+(0+(-2.25726--0.480012))+0-0-0</f>
        <v>869.42275200000006</v>
      </c>
      <c r="AD73">
        <f t="shared" si="1"/>
        <v>20644.569218999997</v>
      </c>
      <c r="AE73" s="3">
        <f>0+(1097.9-109.8)+(0+(0-0))+0-0-0</f>
        <v>988.10000000000014</v>
      </c>
    </row>
    <row r="74" spans="1:31" s="2" customFormat="1" x14ac:dyDescent="0.25">
      <c r="A74">
        <v>89</v>
      </c>
      <c r="B74">
        <v>3</v>
      </c>
      <c r="C74">
        <v>12</v>
      </c>
      <c r="D74">
        <v>5</v>
      </c>
      <c r="E74">
        <v>1</v>
      </c>
      <c r="F74" s="3">
        <f>0+(1010.1-208.6)+(0+(-0.515151--0.106386))+0-0-0</f>
        <v>801.09123499999998</v>
      </c>
      <c r="G74" s="3">
        <f>0+(998.4-220.8)+(0+(-1.018368--0.225216))+0-0-0</f>
        <v>776.80684799999995</v>
      </c>
      <c r="H74" s="3">
        <f>0+(1041.6-287.5)+(0+(-0.531216--0.146625))+0-0-0</f>
        <v>753.71540899999991</v>
      </c>
      <c r="I74" s="3">
        <f>0+(1050.2-307.9)+(0+(-2.142408--0.628116))+0-0-0</f>
        <v>740.78570800000011</v>
      </c>
      <c r="J74" s="3">
        <f>0+(1061.1-286.2)+(0+(0.541161-0.145962))+0-0-0</f>
        <v>775.29519899999991</v>
      </c>
      <c r="K74" s="3">
        <f>0+(1029.9-287.2)+(0+(-2.100996--0.585888))+0-0-0</f>
        <v>741.18489199999999</v>
      </c>
      <c r="L74" s="3">
        <f>0+(1004.3-248.6)+(0+(-2.048772--0.507144))+0-0-0</f>
        <v>754.15837199999999</v>
      </c>
      <c r="M74" s="3">
        <f>0+(973.3-142.2)+(0+(0.496383-0.072522))+0-0-0</f>
        <v>831.5238609999999</v>
      </c>
      <c r="N74" s="3">
        <f>0+(1005.6-141.5)+(0+(-1.538568--0.216495))+0-0-0</f>
        <v>862.77792699999998</v>
      </c>
      <c r="O74" s="3">
        <f>0+(1065.2-155.4)+(0+(-1.086504--0.158508))+0-0-0</f>
        <v>908.87200400000006</v>
      </c>
      <c r="P74" s="3">
        <f>0+(1137.6-203.2)+(0+(0-0))+0-0-0</f>
        <v>934.39999999999986</v>
      </c>
      <c r="Q74" s="3">
        <f>0+(1080.4-135.8)+(0+(0.551004-0.069258))+0-0-0</f>
        <v>945.08174600000018</v>
      </c>
      <c r="R74" s="3">
        <f>0+(1033.4-81.4)+(0+(1.054068-0.083028))+0-0-0</f>
        <v>952.97104000000013</v>
      </c>
      <c r="S74" s="3">
        <f>0+(1013.3-115.3)+(0+(-0.516783--0.058803))+0-0-0</f>
        <v>897.54201999999998</v>
      </c>
      <c r="T74" s="3">
        <f>0+(1028.6-112.4)+(0+(-1.573758--0.171972))+0-0-0</f>
        <v>914.79821399999992</v>
      </c>
      <c r="U74" s="3">
        <f>0+(1020.7-110.2)+(0+(0-0))+0-0-0</f>
        <v>910.5</v>
      </c>
      <c r="V74" s="3">
        <f>0+(999.7-87.2)+(0+(-0.509847--0.044472))+0-0-0</f>
        <v>912.03462500000001</v>
      </c>
      <c r="W74" s="3">
        <f>0+(1020.9-112.3)+(0+(-1.041318--0.114546))+0-0-0</f>
        <v>907.67322799999999</v>
      </c>
      <c r="X74" s="3">
        <f>0+(995.2-95.5)+(0+(-1.522656--0.146115))+0-0-0</f>
        <v>898.32345900000007</v>
      </c>
      <c r="Y74" s="3">
        <f>0+(949.6-69)+(0+(0-0))+0-0-0</f>
        <v>880.6</v>
      </c>
      <c r="Z74" s="3">
        <f>0+(1027.8-87.1)+(0+(0-0))+0-0-0</f>
        <v>940.69999999999993</v>
      </c>
      <c r="AA74" s="3">
        <f>0+(1064.4-80.8)+(0+(-1.085688--0.082416))+0-0-0</f>
        <v>982.5967280000001</v>
      </c>
      <c r="AB74" s="3">
        <f>0+(1071.9-113.7)+(0+(-1.093338--0.115974))+0-0-0</f>
        <v>957.22263600000008</v>
      </c>
      <c r="AC74" s="3">
        <f>0+(1081-174)+(0+(-1.65393--0.26622))+0-0-0</f>
        <v>905.61229000000003</v>
      </c>
      <c r="AD74">
        <f t="shared" si="1"/>
        <v>20886.267441</v>
      </c>
      <c r="AE74" s="3">
        <f>0+(1074.7-83.8)+(0+(0-0))+0-0-0</f>
        <v>990.90000000000009</v>
      </c>
    </row>
    <row r="75" spans="1:31" s="2" customFormat="1" x14ac:dyDescent="0.25">
      <c r="A75">
        <v>89</v>
      </c>
      <c r="B75">
        <v>3</v>
      </c>
      <c r="C75">
        <v>13</v>
      </c>
      <c r="D75">
        <v>6</v>
      </c>
      <c r="E75">
        <v>1</v>
      </c>
      <c r="F75" s="3">
        <f>0+(1070-223.3)+(0+(0-0))+0-0-0</f>
        <v>846.7</v>
      </c>
      <c r="G75" s="3">
        <f>0+(1039.5-238.4)+(0+(-0.530145--0.121584))+0-0-0</f>
        <v>800.69143900000006</v>
      </c>
      <c r="H75" s="3">
        <f>0+(1107.5-327.8)+(0+(-1.12965--0.334356))+0-0-0</f>
        <v>778.90470600000003</v>
      </c>
      <c r="I75" s="3">
        <f>0+(1106.4-341.5)+(0+(-1.128528--0.34833))+0-0-0</f>
        <v>764.11980200000005</v>
      </c>
      <c r="J75" s="3">
        <f>0+(1043.8-284.6)+(0+(-1.064676--0.290292))+0-0-0</f>
        <v>758.42561599999988</v>
      </c>
      <c r="K75" s="3">
        <f>0+(1029-272.7)+(0+(-1.04958--0.278154))+0-0-0</f>
        <v>755.52857399999994</v>
      </c>
      <c r="L75" s="3">
        <f>0+(965.4-210.6)+(0+(-0.492354--0.107406))+0-0-0</f>
        <v>754.41505199999995</v>
      </c>
      <c r="M75" s="3">
        <f>0+(965.9-166.5)+(0+(0-0))+0-0-0</f>
        <v>799.4</v>
      </c>
      <c r="N75" s="3">
        <f>0+(1002.2-147.6)+(0+(1.022244-0.150552))+0-0-0</f>
        <v>855.47169200000008</v>
      </c>
      <c r="O75" s="3">
        <f>0+(1081.7-186.2)+(0+(-0.551667--0.094962))+0-0-0</f>
        <v>895.04329499999994</v>
      </c>
      <c r="P75" s="3">
        <f>0+(1036.1-110.8)+(0+(0-0))+0-0-0</f>
        <v>925.3</v>
      </c>
      <c r="Q75" s="3">
        <f>0+(984.4-48.3)+(0+(1.004088-0.049266))+0-0-0</f>
        <v>937.05482200000006</v>
      </c>
      <c r="R75" s="3">
        <f>0+(960.3-41.7)+(0+(0-0))+0-0-0</f>
        <v>918.59999999999991</v>
      </c>
      <c r="S75" s="3">
        <f>0+(959.7-75.8)+(0+(-0.978894--0.077316))+0-0-0</f>
        <v>882.99842200000012</v>
      </c>
      <c r="T75" s="3">
        <f>0+(984.1-110.5)+(0+(-1.003782--0.11271))+0-0-0</f>
        <v>872.70892800000001</v>
      </c>
      <c r="U75" s="3">
        <f>0+(1009.4-132.3)+(0+(-0.514794--0.067473))+0-0-0</f>
        <v>876.65267899999992</v>
      </c>
      <c r="V75" s="3">
        <f>0+(991.8-125.9)+(0+(-2.52909--0.321045))+0-0-0</f>
        <v>863.69195500000001</v>
      </c>
      <c r="W75" s="3">
        <f>0+(1008.7-148.7)+(0+(-2.572185--0.379185))+0-0-0</f>
        <v>857.80700000000002</v>
      </c>
      <c r="X75" s="3">
        <f>0+(948.3-105.5)+(0+(-1.934532--0.21522))+0-0-0</f>
        <v>841.08068800000001</v>
      </c>
      <c r="Y75" s="3">
        <f>0+(904.3-74.7)+(0+(0-0))+0-0-0</f>
        <v>829.59999999999991</v>
      </c>
      <c r="Z75" s="3">
        <f>0+(995.1-103.9)+(0+(-1.522503--0.158967))+0-0-0</f>
        <v>889.83646400000009</v>
      </c>
      <c r="AA75" s="3">
        <f>0+(1000.3-67.3)+(0+(-1.530459--0.102969))+0-0-0</f>
        <v>931.57250999999997</v>
      </c>
      <c r="AB75" s="3">
        <f>0+(1033.8-126.2)+(0+(-0.527238--0.064362))+0-0-0</f>
        <v>907.13712399999986</v>
      </c>
      <c r="AC75" s="3">
        <f>0+(1093.7-228.4)+(0+(-1.673361--0.349452))+0-0-0</f>
        <v>863.97609100000011</v>
      </c>
      <c r="AD75">
        <f t="shared" si="1"/>
        <v>20406.716859000004</v>
      </c>
      <c r="AE75" s="3">
        <f>0+(1014-61)+(0+(0-0))+0-0-0</f>
        <v>953</v>
      </c>
    </row>
    <row r="76" spans="1:31" s="2" customFormat="1" x14ac:dyDescent="0.25">
      <c r="A76">
        <v>89</v>
      </c>
      <c r="B76">
        <v>3</v>
      </c>
      <c r="C76">
        <v>14</v>
      </c>
      <c r="D76">
        <v>7</v>
      </c>
      <c r="E76">
        <v>4</v>
      </c>
      <c r="F76" s="3">
        <f>0+(1013-199.9)+(0+(0-0))+0-0-0</f>
        <v>813.1</v>
      </c>
      <c r="G76" s="3">
        <f>0+(1029-251.8)+(0+(-0.52479--0.128418))+0-0-0</f>
        <v>776.803628</v>
      </c>
      <c r="H76" s="3">
        <f>0+(1067.1-316.3)+(0+(1.088442-0.322626))+0-0-0</f>
        <v>751.56581599999993</v>
      </c>
      <c r="I76" s="3">
        <f>0+(1085.9-343.2)+(0+(-1.107618--0.350064))+0-0-0</f>
        <v>741.94244600000002</v>
      </c>
      <c r="J76" s="3">
        <f>0+(1042.7-308.1)+(0+(0-0))+0-0-0</f>
        <v>734.6</v>
      </c>
      <c r="K76" s="3">
        <f>0+(1037-332.9)+(0+(0-0))+0-0-0</f>
        <v>704.1</v>
      </c>
      <c r="L76" s="3">
        <f>0+(951.7-306)+(0+(0-0))+0-0-0</f>
        <v>645.70000000000005</v>
      </c>
      <c r="M76" s="3">
        <f>0+(898.5-247.9)+(0+(-1.374705--0.379287))+0-0-0</f>
        <v>649.60458200000005</v>
      </c>
      <c r="N76" s="3">
        <f>0+(692.6-8.6)+(0+(-0.706452--0.008772))+0-0-0</f>
        <v>683.30232000000001</v>
      </c>
      <c r="O76" s="3">
        <f>0+(724.9-7.9)+(0+(-0.369699--0.004029))+0-0-0</f>
        <v>716.63432999999998</v>
      </c>
      <c r="P76" s="3">
        <f>0+(759.8-21.1)+(0+(0.387498-0.010761))+0-0-0</f>
        <v>739.07673699999998</v>
      </c>
      <c r="Q76" s="3">
        <f>0+(764.4-4.3)+(0+(0-0))+0-0-0</f>
        <v>760.1</v>
      </c>
      <c r="R76" s="3">
        <f>0+(761.2-0)+(0+(-0.776424-0))+0-0-0</f>
        <v>760.42357600000003</v>
      </c>
      <c r="S76" s="3">
        <f>0+(749.6-0)+(0+(-0.764592-0))+0-0-0</f>
        <v>748.83540800000003</v>
      </c>
      <c r="T76" s="3">
        <f>0+(738.4-0)+(0+(-0.753168-0))+0-0-0</f>
        <v>737.64683200000002</v>
      </c>
      <c r="U76" s="3">
        <f>0+(737.4-7.1)+(0+(-0.752148--0.007242))+0-0-0</f>
        <v>729.55509399999994</v>
      </c>
      <c r="V76" s="3">
        <f>0+(732.8-7.5)+(0+(-0.747456--0.00765))+0-0-0</f>
        <v>724.56019399999991</v>
      </c>
      <c r="W76" s="3">
        <f>0+(734.9-7)+(0+(-1.124397--0.01071))+0-0-0</f>
        <v>726.78631299999995</v>
      </c>
      <c r="X76" s="3">
        <f>0+(731.2-0)+(0+(-0.745824-0))+0-0-0</f>
        <v>730.45417600000007</v>
      </c>
      <c r="Y76" s="3">
        <f>0+(797.1-62.5)+(0+(-0.406521--0.031875))+0-0-0</f>
        <v>734.22535400000004</v>
      </c>
      <c r="Z76" s="3">
        <f>0+(944.1-146.6)+(0+(-0.481491--0.074766))+0-0-0</f>
        <v>797.09327499999995</v>
      </c>
      <c r="AA76" s="3">
        <f>0+(978.8-117.9)+(0+(-0.499188--0.060129))+0-0-0</f>
        <v>860.46094099999993</v>
      </c>
      <c r="AB76" s="3">
        <f>0+(965.4-123.4)+(0+(-1.477062--0.188802))+0-0-0</f>
        <v>840.71173999999996</v>
      </c>
      <c r="AC76" s="3">
        <f>0+(962.4-157.2)+(0+(-0.981648--0.160344))+0-0-0</f>
        <v>804.37869599999999</v>
      </c>
      <c r="AD76">
        <f t="shared" si="1"/>
        <v>17911.661457999999</v>
      </c>
      <c r="AE76" s="3">
        <f>0+(985.9-101.8)+(0+(0-0))+0-0-0</f>
        <v>884.1</v>
      </c>
    </row>
    <row r="77" spans="1:31" s="2" customFormat="1" x14ac:dyDescent="0.25">
      <c r="A77">
        <v>89</v>
      </c>
      <c r="B77">
        <v>3</v>
      </c>
      <c r="C77">
        <v>15</v>
      </c>
      <c r="D77">
        <v>1</v>
      </c>
      <c r="E77">
        <v>4</v>
      </c>
      <c r="F77" s="3">
        <f>0+(949.9-196.8)+(0+(-1.453347--0.301104))+0-0-0</f>
        <v>751.94775699999991</v>
      </c>
      <c r="G77" s="3">
        <f>0+(893.9-187.4)+(0+(0-0))+0-0-0</f>
        <v>706.5</v>
      </c>
      <c r="H77" s="3">
        <f>0+(923.8-242.9)+(0+(0.942276-0.247758))+0-0-0</f>
        <v>681.59451799999999</v>
      </c>
      <c r="I77" s="3">
        <f>0+(961.5-277.3)+(0+(-0.98073--0.282846))+0-0-0</f>
        <v>683.502116</v>
      </c>
      <c r="J77" s="3">
        <f>0+(955.5-277.6)+(0+(0-0))+0-0-0</f>
        <v>677.9</v>
      </c>
      <c r="K77" s="3">
        <f>0+(961.6-294.1)+(0+(-1.961664--0.599964))+0-0-0</f>
        <v>666.13829999999996</v>
      </c>
      <c r="L77" s="3">
        <f>0+(971.3-303.7)+(0+(-0.990726--0.309774))+0-0-0</f>
        <v>666.91904799999986</v>
      </c>
      <c r="M77" s="3">
        <f>0+(808.3-114.8)+(0+(0-0))+0-0-0</f>
        <v>693.5</v>
      </c>
      <c r="N77" s="3">
        <f>0+(772.7-21)+(0+(0.394077-0.01071))+0-0-0</f>
        <v>752.08336700000007</v>
      </c>
      <c r="O77" s="3">
        <f>0+(813-20.2)+(0+(0.41463-0.010302))+0-0-0</f>
        <v>793.20432799999992</v>
      </c>
      <c r="P77" s="3">
        <f>0+(840.4-10.5)+(0+(1.285812-0.016065))+0-0-0</f>
        <v>831.16974700000003</v>
      </c>
      <c r="Q77" s="3">
        <f>0+(834.3-0)+(0+(0.850986-0))+0-0-0</f>
        <v>835.15098599999999</v>
      </c>
      <c r="R77" s="3">
        <f>0+(832-0)+(0+(0-0))+0-0-0</f>
        <v>832</v>
      </c>
      <c r="S77" s="3">
        <f>0+(814.8-0)+(0+(-0.415548-0))+0-0-0</f>
        <v>814.38445200000001</v>
      </c>
      <c r="T77" s="3">
        <f>0+(821.9-0)+(0+(0-0))+0-0-0</f>
        <v>821.9</v>
      </c>
      <c r="U77" s="3">
        <f>0+(809.9-0)+(0+(-0.826098-0))+0-0-0</f>
        <v>809.07390199999998</v>
      </c>
      <c r="V77" s="3">
        <f>0+(809.6-0)+(0+(-0.412896-0))+0-0-0</f>
        <v>809.18710399999998</v>
      </c>
      <c r="W77" s="3">
        <f>0+(821.5-1.7)+(0+(-2.094825--0.004335))+0-0-0</f>
        <v>817.70950999999991</v>
      </c>
      <c r="X77" s="3">
        <f>0+(837.6-21.6)+(0+(-1.281528--0.033048))+0-0-0</f>
        <v>814.75152000000003</v>
      </c>
      <c r="Y77" s="3">
        <f>0+(880.6-62)+(0+(-2.694636--0.18972))+0-0-0</f>
        <v>816.09508400000004</v>
      </c>
      <c r="Z77" s="3">
        <f>0+(894.5-24.9)+(0+(-0.456195--0.012699))+0-0-0</f>
        <v>869.15650400000004</v>
      </c>
      <c r="AA77" s="3">
        <f>0+(906-0)+(0+(-2.3103-0))+0-0-0</f>
        <v>903.68970000000002</v>
      </c>
      <c r="AB77" s="3">
        <f>0+(941.3-59.1)+(0+(-0.960126--0.060282))+0-0-0</f>
        <v>881.3001559999999</v>
      </c>
      <c r="AC77" s="3">
        <f>0+(1025.6-187.9)+(0+(-2.092224--0.383316))+0-0-0</f>
        <v>835.99109199999998</v>
      </c>
      <c r="AD77">
        <f t="shared" si="1"/>
        <v>18764.849191000001</v>
      </c>
      <c r="AE77" s="3">
        <f>0+(937.2-0)+(0+(0-0))+0-0-0</f>
        <v>937.2</v>
      </c>
    </row>
    <row r="78" spans="1:31" s="2" customFormat="1" x14ac:dyDescent="0.25">
      <c r="A78">
        <v>89</v>
      </c>
      <c r="B78">
        <v>3</v>
      </c>
      <c r="C78">
        <v>16</v>
      </c>
      <c r="D78">
        <v>2</v>
      </c>
      <c r="E78">
        <v>1</v>
      </c>
      <c r="F78" s="3">
        <f>0+(980.2-200.3)+(0+(-2.49951--0.510765))+0-0-0</f>
        <v>777.9112550000001</v>
      </c>
      <c r="G78" s="3">
        <f>0+(973.7-219.7)+(0+(-1.489761--0.336141))+0-0-0</f>
        <v>752.84637999999995</v>
      </c>
      <c r="H78" s="3">
        <f>0+(1018.4-281.6)+(0+(0.519384-0.143616))+0-0-0</f>
        <v>737.17576799999995</v>
      </c>
      <c r="I78" s="3">
        <f>0+(1034.7-311.6)+(0+(-2.638485--0.79458))+0-0-0</f>
        <v>721.25609500000007</v>
      </c>
      <c r="J78" s="3">
        <f>0+(969.2-250.6)+(0+(0-0))+0-0-0</f>
        <v>718.6</v>
      </c>
      <c r="K78" s="3">
        <f>0+(1039.8-315.6)+(0+(-2.65149--0.80478))+0-0-0</f>
        <v>722.3532899999999</v>
      </c>
      <c r="L78" s="3">
        <f>0+(1032.3-281.5)+(0+(0.526473-0.143565))+0-0-0</f>
        <v>751.182908</v>
      </c>
      <c r="M78" s="3">
        <f>0+(1102.7-282.1)+(0+(-0.562377--0.143871))+0-0-0</f>
        <v>820.18149400000004</v>
      </c>
      <c r="N78" s="3">
        <f>0+(1179.2-284.2)+(0+(0-0))+0-0-0</f>
        <v>895</v>
      </c>
      <c r="O78" s="3">
        <f>0+(1189.3-255.1)+(0+(0.606543-0.130101))+0-0-0</f>
        <v>934.67644199999995</v>
      </c>
      <c r="P78" s="3">
        <f>0+(1075.2-119.5)+(0+(0-0))+0-0-0</f>
        <v>955.7</v>
      </c>
      <c r="Q78" s="3">
        <f>0+(974.2-24.6)+(0+(0.496842-0.012546))+0-0-0</f>
        <v>950.08429599999999</v>
      </c>
      <c r="R78" s="3">
        <f>0+(949.2-0)+(0+(-0.484092-0))+0-0-0</f>
        <v>948.71590800000001</v>
      </c>
      <c r="S78" s="3">
        <f>0+(941.3-0)+(0+(-0.960126-0))+0-0-0</f>
        <v>940.33987400000001</v>
      </c>
      <c r="T78" s="3">
        <f>0+(935.7-0)+(0+(-0.954414-0))+0-0-0</f>
        <v>934.745586</v>
      </c>
      <c r="U78" s="3">
        <f>0+(933.3-0)+(0+(-0.951966-0))+0-0-0</f>
        <v>932.34803399999998</v>
      </c>
      <c r="V78" s="3">
        <f>0+(951.9-11.4)+(0+(-1.941876--0.023256))+0-0-0</f>
        <v>938.58137999999997</v>
      </c>
      <c r="W78" s="3">
        <f>0+(951.9-19.1)+(0+(-2.427345--0.048705))+0-0-0</f>
        <v>930.42135999999994</v>
      </c>
      <c r="X78" s="3">
        <f>0+(925.8-15.6)+(0+(-2.832948--0.047736))+0-0-0</f>
        <v>907.41478799999993</v>
      </c>
      <c r="Y78" s="3">
        <f>0+(971.6-83)+(0+(-1.982064--0.16932))+0-0-0</f>
        <v>886.78725600000007</v>
      </c>
      <c r="Z78" s="3">
        <f>0+(1072.8-118.9)+(0+(0-0))+0-0-0</f>
        <v>953.9</v>
      </c>
      <c r="AA78" s="3">
        <f>0+(1073.9-73.4)+(0+(-2.738445--0.18717))+0-0-0</f>
        <v>997.94872500000008</v>
      </c>
      <c r="AB78" s="3">
        <f>0+(1086.3-119.7)+(0+(-2.216052--0.244188))+0-0-0</f>
        <v>964.62813599999993</v>
      </c>
      <c r="AC78" s="3">
        <f>0+(1097.8-186.6)+(0+(-3.359268--0.570996))+0-0-0</f>
        <v>908.41172799999993</v>
      </c>
      <c r="AD78">
        <f t="shared" si="1"/>
        <v>20981.210703000001</v>
      </c>
      <c r="AE78" s="3">
        <f>0+(1084.7-76.9)+(0+(0-0))+0-0-0</f>
        <v>1007.8000000000001</v>
      </c>
    </row>
    <row r="79" spans="1:31" s="2" customFormat="1" x14ac:dyDescent="0.25">
      <c r="A79">
        <v>89</v>
      </c>
      <c r="B79">
        <v>3</v>
      </c>
      <c r="C79">
        <v>17</v>
      </c>
      <c r="D79">
        <v>3</v>
      </c>
      <c r="E79">
        <v>1</v>
      </c>
      <c r="F79" s="3">
        <f>0+(1090.2-243.2)+(0+(0-0))+0-0-0</f>
        <v>847</v>
      </c>
      <c r="G79" s="3">
        <f>0+(1135.1-326.8)+(0+(-1.157802--0.333336))+0-0-0</f>
        <v>807.47553399999993</v>
      </c>
      <c r="H79" s="3">
        <f>0+(1185.8-388.6)+(0+(0-0))+0-0-0</f>
        <v>797.19999999999993</v>
      </c>
      <c r="I79" s="3">
        <f>0+(1204.1-412.7)+(0+(-1.842273--0.631431))+0-0-0</f>
        <v>790.18915799999991</v>
      </c>
      <c r="J79" s="3">
        <f>0+(1194.9-417.5)+(0+(-0.609399--0.212925))+0-0-0</f>
        <v>777.00352600000008</v>
      </c>
      <c r="K79" s="3">
        <f>0+(1209-440.4)+(0+(-2.46636--0.898416))+0-0-0</f>
        <v>767.03205600000001</v>
      </c>
      <c r="L79" s="3">
        <f>0+(1179.5-407.2)+(0+(-1.20309--0.415344))+0-0-0</f>
        <v>771.51225399999998</v>
      </c>
      <c r="M79" s="3">
        <f>0+(1242.5-407.2)+(0+(0-0))+0-0-0</f>
        <v>835.3</v>
      </c>
      <c r="N79" s="3">
        <f>0+(1302.9-405.5)+(0+(-0.664479--0.206805))+0-0-0</f>
        <v>896.94232600000009</v>
      </c>
      <c r="O79" s="3">
        <f>0+(1292.5-355.4)+(0+(-1.31835--0.362508))+0-0-0</f>
        <v>936.14415800000006</v>
      </c>
      <c r="P79" s="3">
        <f>0+(1185.6-216.2)+(0+(-0.604656--0.110262))+0-0-0</f>
        <v>968.90560599999981</v>
      </c>
      <c r="Q79" s="3">
        <f>0+(1099.4-117.4)+(0+(0-0))+0-0-0</f>
        <v>982.00000000000011</v>
      </c>
      <c r="R79" s="3">
        <f>0+(1029.7-61.1)+(0+(-1.050294--0.062322))+0-0-0</f>
        <v>967.61202800000001</v>
      </c>
      <c r="S79" s="3">
        <f>0+(995.2-50.6)+(0+(-1.522656--0.077418))+0-0-0</f>
        <v>943.15476200000001</v>
      </c>
      <c r="T79" s="3">
        <f>0+(1013.1-57.2)+(0+(-1.033362--0.058344))+0-0-0</f>
        <v>954.924982</v>
      </c>
      <c r="U79" s="3">
        <f>0+(1015.8-58.8)+(0+(-0.518058--0.029988))+0-0-0</f>
        <v>956.51193000000001</v>
      </c>
      <c r="V79" s="3">
        <f>0+(1007.7-49.7)+(0+(-1.027854--0.050694))+0-0-0</f>
        <v>957.02283999999997</v>
      </c>
      <c r="W79" s="3">
        <f>0+(1013.1-69)+(0+(-2.066724--0.14076))+0-0-0</f>
        <v>942.174036</v>
      </c>
      <c r="X79" s="3">
        <f>0+(1046.3-109.6)+(0+(-2.134452--0.223584))+0-0-0</f>
        <v>934.78913199999988</v>
      </c>
      <c r="Y79" s="3">
        <f>0+(1073.2-151.7)+(0+(-1.641996--0.232101))+0-0-0</f>
        <v>920.09010499999999</v>
      </c>
      <c r="Z79" s="3">
        <f>0+(1140.2-179)+(0+(-1.744506--0.27387))+0-0-0</f>
        <v>959.72936400000003</v>
      </c>
      <c r="AA79" s="3">
        <f>0+(1116.5-116.1)+(0+(-1.13883--0.118422))+0-0-0</f>
        <v>999.379592</v>
      </c>
      <c r="AB79" s="3">
        <f>0+(1138.9-150.9)+(0+(-1.742517--0.230877))+0-0-0</f>
        <v>986.48836000000006</v>
      </c>
      <c r="AC79" s="3">
        <f>0+(1124-187.8)+(0+(-1.71972--0.287334))+0-0-0</f>
        <v>934.76761400000009</v>
      </c>
      <c r="AD79">
        <f t="shared" si="1"/>
        <v>21633.349363000001</v>
      </c>
      <c r="AE79" s="3">
        <f>0+(1112.5-113)+(0+(0-0))+0-0-0</f>
        <v>999.5</v>
      </c>
    </row>
    <row r="80" spans="1:31" s="2" customFormat="1" x14ac:dyDescent="0.25">
      <c r="A80">
        <v>89</v>
      </c>
      <c r="B80">
        <v>3</v>
      </c>
      <c r="C80">
        <v>18</v>
      </c>
      <c r="D80">
        <v>4</v>
      </c>
      <c r="E80">
        <v>1</v>
      </c>
      <c r="F80" s="3">
        <f>0+(1170.6-298.1)+(0+(-1.791018--0.456093))+0-0-0</f>
        <v>871.16507499999989</v>
      </c>
      <c r="G80" s="3">
        <f>0+(1171.9-343.2)+(0+(-2.988345--0.87516))+0-0-0</f>
        <v>826.586815</v>
      </c>
      <c r="H80" s="3">
        <f>0+(1193.7-385.8)+(0+(0-0))+0-0-0</f>
        <v>807.90000000000009</v>
      </c>
      <c r="I80" s="3">
        <f>0+(1177.6-387.2)+(0+(-2.402304--0.789888))+0-0-0</f>
        <v>788.78758399999981</v>
      </c>
      <c r="J80" s="3">
        <f>0+(1162.1-379.1)+(0+(-0.592671--0.193341))+0-0-0</f>
        <v>782.60066999999992</v>
      </c>
      <c r="K80" s="3">
        <f>0+(1137.8-358.8)+(0+(-3.481668--1.097928))+0-0-0</f>
        <v>776.61626000000001</v>
      </c>
      <c r="L80" s="3">
        <f>0+(1134.8-339)+(0+(-1.157496--0.34578))+0-0-0</f>
        <v>794.98828399999991</v>
      </c>
      <c r="M80" s="3">
        <f>0+(1076.7-238.4)+(0+(0-0))+0-0-0</f>
        <v>838.30000000000007</v>
      </c>
      <c r="N80" s="3">
        <f>0+(1257.6-346)+(0+(-1.282752--0.35292))+0-0-0</f>
        <v>910.67016799999988</v>
      </c>
      <c r="O80" s="3">
        <f>0+(1302-349.3)+(0+(1.99206-0.534429))+0-0-0</f>
        <v>954.15763100000004</v>
      </c>
      <c r="P80" s="3">
        <f>0+(1203.9-216)+(0+(-1.227978--0.22032))+0-0-0</f>
        <v>986.8923420000001</v>
      </c>
      <c r="Q80" s="3">
        <f>0+(1145.3-138.6)+(0+(1.168206-0.141372))+0-0-0</f>
        <v>1007.7268339999999</v>
      </c>
      <c r="R80" s="3">
        <f>0+(1032.7-47.8)+(0+(-1.580031--0.073134))+0-0-0</f>
        <v>983.39310300000011</v>
      </c>
      <c r="S80" s="3">
        <f>0+(1030.1-67.3)+(0+(-1.050702--0.068646))+0-0-0</f>
        <v>961.8179439999999</v>
      </c>
      <c r="T80" s="3">
        <f>0+(1040.6-70.4)+(0+(0.530706-0.035904))+0-0-0</f>
        <v>970.69480199999998</v>
      </c>
      <c r="U80" s="3">
        <f>0+(1048.7-74.1)+(0+(0-0))+0-0-0</f>
        <v>974.6</v>
      </c>
      <c r="V80" s="3">
        <f>0+(1028.7-61.5)+(0+(0-0))+0-0-0</f>
        <v>967.2</v>
      </c>
      <c r="W80" s="3">
        <f>0+(1049.9-102.9)+(0+(-2.141796--0.209916))+0-0-0</f>
        <v>945.06812000000014</v>
      </c>
      <c r="X80" s="3">
        <f>0+(1069.8-158.6)+(0+(-2.182392--0.323544))+0-0-0</f>
        <v>909.34115199999997</v>
      </c>
      <c r="Y80" s="3">
        <f>0+(1064.5-156)+(0+(-4.34316--0.63648))+0-0-0</f>
        <v>904.79331999999999</v>
      </c>
      <c r="Z80" s="3">
        <f>0+(1102.7-149.1)+(0+(-2.249508--0.304164))+0-0-0</f>
        <v>951.65465600000005</v>
      </c>
      <c r="AA80" s="3">
        <f>0+(1049-61.9)+(0+(-1.06998--0.063138))+0-0-0</f>
        <v>986.09315800000002</v>
      </c>
      <c r="AB80" s="3">
        <f>0+(1015.5-58.9)+(0+(-1.553715--0.090117))+0-0-0</f>
        <v>955.13640199999998</v>
      </c>
      <c r="AC80" s="3">
        <f>0+(1059.3-139.1)+(0+(-2.160972--0.283764))+0-0-0</f>
        <v>918.32279199999994</v>
      </c>
      <c r="AD80">
        <f t="shared" si="1"/>
        <v>21774.507111999996</v>
      </c>
      <c r="AE80" s="3">
        <f>0+(1060.7-47.2)+(0+(0-0))+0-0-0</f>
        <v>1013.5</v>
      </c>
    </row>
    <row r="81" spans="1:31" s="2" customFormat="1" x14ac:dyDescent="0.25">
      <c r="A81">
        <v>89</v>
      </c>
      <c r="B81">
        <v>3</v>
      </c>
      <c r="C81">
        <v>19</v>
      </c>
      <c r="D81">
        <v>5</v>
      </c>
      <c r="E81">
        <v>1</v>
      </c>
      <c r="F81" s="3">
        <f>0+(1131.3-268.7)+(0+(-1.730889--0.411111))+0-0-0</f>
        <v>861.28022199999987</v>
      </c>
      <c r="G81" s="3">
        <f>0+(1228.1-404.6)+(0+(-2.505324--0.825384))+0-0-0</f>
        <v>821.8200599999999</v>
      </c>
      <c r="H81" s="3">
        <f>0+(1260.8-451)+(0+(-1.286016--0.46002))+0-0-0</f>
        <v>808.97400399999992</v>
      </c>
      <c r="I81" s="3">
        <f>0+(1222.6-422.9)+(0+(-3.11763--1.078395))+0-0-0</f>
        <v>797.66076499999997</v>
      </c>
      <c r="J81" s="3">
        <f>0+(1138.4-358.4)+(0+(1.161168-0.365568))+0-0-0</f>
        <v>780.79560000000015</v>
      </c>
      <c r="K81" s="3">
        <f>0+(1145.4-369.3)+(0+(-2.92077--0.941715))+0-0-0</f>
        <v>774.12094500000012</v>
      </c>
      <c r="L81" s="3">
        <f>0+(1170.6-383)+(0+(-0.597006--0.19533))+0-0-0</f>
        <v>787.19832399999996</v>
      </c>
      <c r="M81" s="3">
        <f>0+(1185-334.4)+(0+(1.2087-0.341088))+0-0-0</f>
        <v>851.46761200000003</v>
      </c>
      <c r="N81" s="3">
        <f>0+(1225.8-321.3)+(0+(0-0))+0-0-0</f>
        <v>904.5</v>
      </c>
      <c r="O81" s="3">
        <f>0+(1258.2-313.3)+(0+(0-0))+0-0-0</f>
        <v>944.90000000000009</v>
      </c>
      <c r="P81" s="3">
        <f>0+(1198.9-228)+(0+(-1.222878--0.23256))+0-0-0</f>
        <v>969.90968200000009</v>
      </c>
      <c r="Q81" s="3">
        <f>0+(1134.9-146.9)+(0+(1.157598-0.149838))+0-0-0</f>
        <v>989.00776000000008</v>
      </c>
      <c r="R81" s="3">
        <f>0+(1100.7-102.9)+(0+(-1.684071--0.157437))+0-0-0</f>
        <v>996.27336600000012</v>
      </c>
      <c r="S81" s="3">
        <f>0+(1062.3-81.8)+(0+(-0.541773--0.041718))+0-0-0</f>
        <v>979.99994500000003</v>
      </c>
      <c r="T81" s="3">
        <f>0+(1062.1-67.8)+(0+(-0.541671--0.034578))+0-0-0</f>
        <v>993.7929069999999</v>
      </c>
      <c r="U81" s="3">
        <f>0+(1053.3-90.6)+(0+(-1.074366--0.092412))+0-0-0</f>
        <v>961.71804599999996</v>
      </c>
      <c r="V81" s="3">
        <f>0+(1080.6-130.6)+(0+(-1.653318--0.199818))+0-0-0</f>
        <v>948.54649999999992</v>
      </c>
      <c r="W81" s="3">
        <f>0+(1110.5-180.4)+(0+(-1.699065--0.276012))+0-0-0</f>
        <v>928.67694700000004</v>
      </c>
      <c r="X81" s="3">
        <f>0+(1176.4-244.8)+(0+(-2.99982--0.62424))+0-0-0</f>
        <v>929.22442000000012</v>
      </c>
      <c r="Y81" s="3">
        <f>0+(1071.1-170.9)+(0+(-2.731305--0.435795))+0-0-0</f>
        <v>897.9044899999999</v>
      </c>
      <c r="Z81" s="3">
        <f>0+(1078-124.3)+(0+(-1.09956--0.126786))+0-0-0</f>
        <v>952.72722600000009</v>
      </c>
      <c r="AA81" s="3">
        <f>0+(1086.8-86.9)+(0+(-1.662804--0.132957))+0-0-0</f>
        <v>998.37015299999996</v>
      </c>
      <c r="AB81" s="3">
        <f>0+(1083.1-113.4)+(0+(-2.761905--0.28917))+0-0-0</f>
        <v>967.22726499999999</v>
      </c>
      <c r="AC81" s="3">
        <f>0+(1126.8-219.9)+(0+(0-0))+0-0-0</f>
        <v>906.9</v>
      </c>
      <c r="AD81">
        <f t="shared" si="1"/>
        <v>21752.996239</v>
      </c>
      <c r="AE81" s="3">
        <f>0+(1100.2-77)+(0+(0-0))+0-0-0</f>
        <v>1023.2</v>
      </c>
    </row>
    <row r="82" spans="1:31" s="2" customFormat="1" x14ac:dyDescent="0.25">
      <c r="A82">
        <v>89</v>
      </c>
      <c r="B82">
        <v>3</v>
      </c>
      <c r="C82">
        <v>20</v>
      </c>
      <c r="D82">
        <v>6</v>
      </c>
      <c r="E82">
        <v>1</v>
      </c>
      <c r="F82" s="3">
        <f>0+(1182-344.5)+(0+(-1.20564--0.35139))+0-0-0</f>
        <v>836.64575000000002</v>
      </c>
      <c r="G82" s="3">
        <f>0+(1200.9-402.9)+(0+(1.837377-0.616437))+0-0-0</f>
        <v>799.22094000000016</v>
      </c>
      <c r="H82" s="3">
        <f>0+(1228.5-435.7)+(0+(0-0))+0-0-0</f>
        <v>792.8</v>
      </c>
      <c r="I82" s="3">
        <f>0+(1242.9-455)+(0+(0.633879-0.23205))+0-0-0</f>
        <v>788.30182900000011</v>
      </c>
      <c r="J82" s="3">
        <f>0+(1243.5-446.3)+(0+(-1.26837--0.455226))+0-0-0</f>
        <v>796.38685600000008</v>
      </c>
      <c r="K82" s="3">
        <f>0+(1245.8-465.1)+(0+(-1.906074--0.711603))+0-0-0</f>
        <v>779.50552899999991</v>
      </c>
      <c r="L82" s="3">
        <f>0+(1258-468.3)+(0+(-0.64158--0.238833))+0-0-0</f>
        <v>789.29725300000007</v>
      </c>
      <c r="M82" s="3">
        <f>0+(1201.6-387.2)+(0+(0.612816-0.197472))+0-0-0</f>
        <v>814.81534399999987</v>
      </c>
      <c r="N82" s="3">
        <f>0+(1188.8-353)+(0+(1.212576-0.36006))+0-0-0</f>
        <v>836.65251599999999</v>
      </c>
      <c r="O82" s="3">
        <f>0+(1205.6-327.5)+(0+(2.459424-0.6681))+0-0-0</f>
        <v>879.89132399999994</v>
      </c>
      <c r="P82" s="3">
        <f>0+(1126.5-238.1)+(0+(1.14903-0.242862))+0-0-0</f>
        <v>889.30616799999996</v>
      </c>
      <c r="Q82" s="3">
        <f>0+(1063.1-143.6)+(0+(1.084362-0.146472))+0-0-0</f>
        <v>920.43788999999992</v>
      </c>
      <c r="R82" s="3">
        <f>0+(930.9-75.6)+(0+(0.474759-0.038556))+0-0-0</f>
        <v>855.73620299999993</v>
      </c>
      <c r="S82" s="3">
        <f>0+(935.6-74)+(0+(0-0))+0-0-0</f>
        <v>861.6</v>
      </c>
      <c r="T82" s="3">
        <f>0+(940-86.3)+(0+(0-0))+0-0-0</f>
        <v>853.7</v>
      </c>
      <c r="U82" s="3">
        <f>0+(971.3-112.8)+(0+(-0.495363--0.057528))+0-0-0</f>
        <v>858.06216500000005</v>
      </c>
      <c r="V82" s="3">
        <f>0+(972.4-120.4)+(0+(-0.991848--0.122808))+0-0-0</f>
        <v>851.13095999999996</v>
      </c>
      <c r="W82" s="3">
        <f>0+(1041.2-182.5)+(0+(-1.593036--0.279225))+0-0-0</f>
        <v>857.38618900000006</v>
      </c>
      <c r="X82" s="3">
        <f>0+(1106.1-254.1)+(0+(-2.820555--0.647955))+0-0-0</f>
        <v>849.8273999999999</v>
      </c>
      <c r="Y82" s="3">
        <f>0+(1125.6-266.8)+(0+(-1.722168--0.408204))+0-0-0</f>
        <v>857.4860359999999</v>
      </c>
      <c r="Z82" s="3">
        <f>0+(1121.5-270)+(0+(-0.571965--0.1377))+0-0-0</f>
        <v>851.06573500000002</v>
      </c>
      <c r="AA82" s="3">
        <f>0+(1004.6-124.5)+(0+(-1.024692--0.12699))+0-0-0</f>
        <v>879.20229800000004</v>
      </c>
      <c r="AB82" s="3">
        <f>0+(1013.5-135.1)+(0+(-1.03377--0.137802))+0-0-0</f>
        <v>877.50403199999994</v>
      </c>
      <c r="AC82" s="3">
        <f>0+(1069.4-215.6)+(0+(-0.545394--0.109956))+0-0-0</f>
        <v>853.36456200000009</v>
      </c>
      <c r="AD82">
        <f t="shared" si="1"/>
        <v>20229.326979000001</v>
      </c>
      <c r="AE82" s="3">
        <f>0+(1050.4-72.1)+(0+(0-0))+0-0-0</f>
        <v>978.30000000000007</v>
      </c>
    </row>
    <row r="83" spans="1:31" s="2" customFormat="1" x14ac:dyDescent="0.25">
      <c r="A83">
        <v>89</v>
      </c>
      <c r="B83">
        <v>3</v>
      </c>
      <c r="C83">
        <v>21</v>
      </c>
      <c r="D83">
        <v>7</v>
      </c>
      <c r="E83">
        <v>1</v>
      </c>
      <c r="F83" s="3">
        <f>0+(1021.9-169.6)+(0+(0-0))+0-0-0</f>
        <v>852.3</v>
      </c>
      <c r="G83" s="3">
        <f>0+(1081.9-264.1)+(0+(-1.655307--0.404073))+0-0-0</f>
        <v>816.54876600000011</v>
      </c>
      <c r="H83" s="3">
        <f>0+(1119.9-322.9)+(0+(0-0))+0-0-0</f>
        <v>797.00000000000011</v>
      </c>
      <c r="I83" s="3">
        <f>0+(1087.5-310.2)+(0+(0-0))+0-0-0</f>
        <v>777.3</v>
      </c>
      <c r="J83" s="3">
        <f>0+(1051.7-293.3)+(0+(1.072734-0.299166))+0-0-0</f>
        <v>759.17356800000005</v>
      </c>
      <c r="K83" s="3">
        <f>0+(1011.9-267.2)+(0+(-2.064276--0.545088))+0-0-0</f>
        <v>743.18081200000006</v>
      </c>
      <c r="L83" s="3">
        <f>0+(993-265.9)+(0+(0-0))+0-0-0</f>
        <v>727.1</v>
      </c>
      <c r="M83" s="3">
        <f>0+(983.5-254.3)+(0+(-1.504755--0.389079))+0-0-0</f>
        <v>728.08432400000004</v>
      </c>
      <c r="N83" s="3">
        <f>0+(953.2-215.3)+(0+(0-0))+0-0-0</f>
        <v>737.90000000000009</v>
      </c>
      <c r="O83" s="3">
        <f>0+(963.9-178.2)+(0+(0-0))+0-0-0</f>
        <v>785.7</v>
      </c>
      <c r="P83" s="3">
        <f>0+(1003.6-178)+(0+(-0.511836--0.09078))+0-0-0</f>
        <v>825.178944</v>
      </c>
      <c r="Q83" s="3">
        <f>0+(964.4-134.4)+(0+(1.475532-0.205632))+0-0-0</f>
        <v>831.26990000000001</v>
      </c>
      <c r="R83" s="3">
        <f>0+(894.9-72.8)+(0+(0-0))+0-0-0</f>
        <v>822.1</v>
      </c>
      <c r="S83" s="3">
        <f>0+(837.6-26.1)+(0+(0-0))+0-0-0</f>
        <v>811.5</v>
      </c>
      <c r="T83" s="3">
        <f>0+(843.3-41.1)+(0+(-0.860166--0.041922))+0-0-0</f>
        <v>801.38175599999988</v>
      </c>
      <c r="U83" s="3">
        <f>0+(849.7-59)+(0+(0-0))+0-0-0</f>
        <v>790.7</v>
      </c>
      <c r="V83" s="3">
        <f>0+(853.7-59.6)+(0+(0-0))+0-0-0</f>
        <v>794.1</v>
      </c>
      <c r="W83" s="3">
        <f>0+(864.8-73.1)+(0+(0.441048-0.037281))+0-0-0</f>
        <v>792.10376699999995</v>
      </c>
      <c r="X83" s="3">
        <f>0+(885.6-103.7)+(0+(-0.451656--0.052887))+0-0-0</f>
        <v>781.50123099999996</v>
      </c>
      <c r="Y83" s="3">
        <f>0+(863.3-116.7)+(0+(0-0))+0-0-0</f>
        <v>746.59999999999991</v>
      </c>
      <c r="Z83" s="3">
        <f>0+(968-136.5)+(0+(-0.49368--0.069615))+0-0-0</f>
        <v>831.07593499999996</v>
      </c>
      <c r="AA83" s="3">
        <f>0+(959.8-52.1)+(0+(0.489498-0.026571))+0-0-0</f>
        <v>908.16292699999997</v>
      </c>
      <c r="AB83" s="3">
        <f>0+(927.5-53)+(0+(-0.94605--0.05406))+0-0-0</f>
        <v>873.60801000000004</v>
      </c>
      <c r="AC83" s="3">
        <f>0+(942.8-102.8)+(0+(-1.442484--0.157284))+0-0-0</f>
        <v>838.71479999999997</v>
      </c>
      <c r="AD83">
        <f t="shared" si="1"/>
        <v>19172.284740000006</v>
      </c>
      <c r="AE83" s="3">
        <f>0+(955.4-48.5)+(0+(0-0))+0-0-0</f>
        <v>906.9</v>
      </c>
    </row>
    <row r="84" spans="1:31" s="2" customFormat="1" x14ac:dyDescent="0.25">
      <c r="A84">
        <v>89</v>
      </c>
      <c r="B84">
        <v>3</v>
      </c>
      <c r="C84">
        <v>22</v>
      </c>
      <c r="D84">
        <v>1</v>
      </c>
      <c r="E84">
        <v>1</v>
      </c>
      <c r="F84" s="3">
        <f>0+(952.2-160.4)+(0+(-0.971244--0.163608))+0-0-0</f>
        <v>790.99236400000007</v>
      </c>
      <c r="G84" s="3">
        <f>0+(988.9-236.7)+(0+(-1.513017--0.362151))+0-0-0</f>
        <v>751.04913400000009</v>
      </c>
      <c r="H84" s="3">
        <f>0+(1028.3-295)+(0+(-0.524433--0.15045))+0-0-0</f>
        <v>732.926017</v>
      </c>
      <c r="I84" s="3">
        <f>0+(1038.8-319)+(0+(-1.059576--0.32538))+0-0-0</f>
        <v>719.06580399999996</v>
      </c>
      <c r="J84" s="3">
        <f>0+(1026.8-307.9)+(0+(-2.61834--0.785145))+0-0-0</f>
        <v>717.06680499999993</v>
      </c>
      <c r="K84" s="3">
        <f>0+(1013.9-297.8)+(0+(-2.068356--0.607512))+0-0-0</f>
        <v>714.63915599999996</v>
      </c>
      <c r="L84" s="3">
        <f>0+(1016.3-270)+(0+(-1.554939--0.4131))+0-0-0</f>
        <v>745.15816099999995</v>
      </c>
      <c r="M84" s="3">
        <f>0+(1009.8-202.1)+(0+(0-0))+0-0-0</f>
        <v>807.69999999999993</v>
      </c>
      <c r="N84" s="3">
        <f>0+(1196.3-304.4)+(0+(0-0))+0-0-0</f>
        <v>891.9</v>
      </c>
      <c r="O84" s="3">
        <f>0+(1172.9-225.6)+(0+(0.598179-0.115056))+0-0-0</f>
        <v>947.78312300000005</v>
      </c>
      <c r="P84" s="3">
        <f>0+(1066.4-78.9)+(0+(1.087728-0.080478))+0-0-0</f>
        <v>988.50725000000011</v>
      </c>
      <c r="Q84" s="3">
        <f>0+(1002.8-4.6)+(0+(-0.511428--0.002346))+0-0-0</f>
        <v>997.6909179999999</v>
      </c>
      <c r="R84" s="3">
        <f>0+(998.9-0)+(0+(1.528317-0))+0-0-0</f>
        <v>1000.428317</v>
      </c>
      <c r="S84" s="3">
        <f>0+(991.3-5.1)+(0+(-0.505563--0.002601))+0-0-0</f>
        <v>985.69703799999991</v>
      </c>
      <c r="T84" s="3">
        <f>0+(1013.4-12.1)+(0+(1.550502-0.018513))+0-0-0</f>
        <v>1002.8319889999999</v>
      </c>
      <c r="U84" s="3">
        <f>0+(1009.3-27.1)+(0+(0-0))+0-0-0</f>
        <v>982.19999999999993</v>
      </c>
      <c r="V84" s="3">
        <f>0+(999.2-28.6)+(0+(0.509592-0.014586))+0-0-0</f>
        <v>971.09500600000001</v>
      </c>
      <c r="W84" s="3">
        <f>0+(1001.6-37.4)+(0+(-0.510816--0.019074))+0-0-0</f>
        <v>963.708258</v>
      </c>
      <c r="X84" s="3">
        <f>0+(1041.1-108.3)+(0+(-1.061922--0.110466))+0-0-0</f>
        <v>931.84854399999995</v>
      </c>
      <c r="Y84" s="3">
        <f>0+(1029.6-117.5)+(0+(-0.525096--0.059925))+0-0-0</f>
        <v>911.63482899999985</v>
      </c>
      <c r="Z84" s="3">
        <f>0+(1114.5-141.4)+(0+(-1.13679--0.144228))+0-0-0</f>
        <v>972.107438</v>
      </c>
      <c r="AA84" s="3">
        <f>0+(1087.3-54.5)+(0+(-0.554523--0.027795))+0-0-0</f>
        <v>1032.2732719999999</v>
      </c>
      <c r="AB84" s="3">
        <f>0+(1061.6-51.2)+(0+(-0.541416--0.026112))+0-0-0</f>
        <v>1009.8846959999998</v>
      </c>
      <c r="AC84" s="3">
        <f>0+(1049.1-92.5)+(0+(-0.535041--0.047175))+0-0-0</f>
        <v>956.11213399999986</v>
      </c>
      <c r="AD84">
        <f t="shared" si="1"/>
        <v>21524.300252999998</v>
      </c>
      <c r="AE84" s="3">
        <f>0+(1068.4-33.5)+(0+(0-0))+0-0-0</f>
        <v>1034.9000000000001</v>
      </c>
    </row>
    <row r="85" spans="1:31" s="2" customFormat="1" x14ac:dyDescent="0.25">
      <c r="A85">
        <v>89</v>
      </c>
      <c r="B85">
        <v>3</v>
      </c>
      <c r="C85">
        <v>23</v>
      </c>
      <c r="D85">
        <v>2</v>
      </c>
      <c r="E85">
        <v>1</v>
      </c>
      <c r="F85" s="3">
        <f>0+(1093.7-198.1)+(0+(-0.557787--0.101031))+0-0-0</f>
        <v>895.14324399999998</v>
      </c>
      <c r="G85" s="3">
        <f>0+(1158.3-310.1)+(0+(-2.362932--0.632604))+0-0-0</f>
        <v>846.46967199999995</v>
      </c>
      <c r="H85" s="3">
        <f>0+(1246.5-420)+(0+(-1.907145--0.6426))+0-0-0</f>
        <v>825.235455</v>
      </c>
      <c r="I85" s="3">
        <f>0+(1213.2-399.1)+(0+(0-0))+0-0-0</f>
        <v>814.1</v>
      </c>
      <c r="J85" s="3">
        <f>0+(1217.6-405.3)+(0+(0.620976-0.206703))+0-0-0</f>
        <v>812.71427299999993</v>
      </c>
      <c r="K85" s="3">
        <f>0+(1146-351.8)+(0+(-2.33784--0.717672))+0-0-0</f>
        <v>792.57983200000001</v>
      </c>
      <c r="L85" s="3">
        <f>0+(1091-303.7)+(0+(1.66923-0.464661))+0-0-0</f>
        <v>788.50456899999995</v>
      </c>
      <c r="M85" s="3">
        <f>0+(1092.8-254.3)+(0+(0.557328-0.129693))+0-0-0</f>
        <v>838.92763500000001</v>
      </c>
      <c r="N85" s="3">
        <f>0+(1198.7-289.6)+(0+(-1.834011--0.443088))+0-0-0</f>
        <v>907.70907699999998</v>
      </c>
      <c r="O85" s="3">
        <f>0+(1198.4-241.7)+(0+(-1.222368--0.246534))+0-0-0</f>
        <v>955.72416600000008</v>
      </c>
      <c r="P85" s="3">
        <f>0+(1106.4-115.1)+(0+(-0.564264--0.058701))+0-0-0</f>
        <v>990.79443700000002</v>
      </c>
      <c r="Q85" s="3">
        <f>0+(1032-20.8)+(0+(0-0))+0-0-0</f>
        <v>1011.2</v>
      </c>
      <c r="R85" s="3">
        <f>0+(1036.6-20.8)+(0+(-1.057332--0.021216))+0-0-0</f>
        <v>1014.763884</v>
      </c>
      <c r="S85" s="3">
        <f>0+(1011.7-17.9)+(0+(-1.547901--0.027387))+0-0-0</f>
        <v>992.27948600000002</v>
      </c>
      <c r="T85" s="3">
        <f>0+(1015.7-21.2)+(0+(-0.518007--0.010812))+0-0-0</f>
        <v>993.99280499999998</v>
      </c>
      <c r="U85" s="3">
        <f>0+(1015-20.9)+(0+(0.51765-0.010659))+0-0-0</f>
        <v>994.60699099999999</v>
      </c>
      <c r="V85" s="3">
        <f>0+(1011.4-21)+(0+(-0.515814--0.01071))+0-0-0</f>
        <v>989.89489600000002</v>
      </c>
      <c r="W85" s="3">
        <f>0+(1054.8-75.3)+(0+(-0.537948--0.038403))+0-0-0</f>
        <v>979.00045499999999</v>
      </c>
      <c r="X85" s="3">
        <f>0+(1096.6-148.7)+(0+(-1.677798--0.227511))+0-0-0</f>
        <v>946.44971299999986</v>
      </c>
      <c r="Y85" s="3">
        <f>0+(1102.4-173.4)+(0+(-1.124448--0.176868))+0-0-0</f>
        <v>928.0524200000001</v>
      </c>
      <c r="Z85" s="3">
        <f>0+(1096.1-130.8)+(0+(-0.559011--0.066708))+0-0-0</f>
        <v>964.80769699999996</v>
      </c>
      <c r="AA85" s="3">
        <f>0+(1036.5-9.6)+(0+(0-0))+0-0-0</f>
        <v>1026.9000000000001</v>
      </c>
      <c r="AB85" s="3">
        <f>0+(1012.4-2.6)+(0+(-0.516324--0.001326))+0-0-0</f>
        <v>1009.285002</v>
      </c>
      <c r="AC85" s="3">
        <f>0+(1023.2-59.3)+(0+(-1.565496--0.090729))+0-0-0</f>
        <v>962.42523300000005</v>
      </c>
      <c r="AD85">
        <f t="shared" si="1"/>
        <v>22281.560942000004</v>
      </c>
      <c r="AE85" s="3">
        <f>0+(1033.9-5)+(0+(0-0))+0-0-0</f>
        <v>1028.9000000000001</v>
      </c>
    </row>
    <row r="86" spans="1:31" s="2" customFormat="1" x14ac:dyDescent="0.25">
      <c r="A86">
        <v>89</v>
      </c>
      <c r="B86">
        <v>3</v>
      </c>
      <c r="C86">
        <v>24</v>
      </c>
      <c r="D86">
        <v>3</v>
      </c>
      <c r="E86">
        <v>1</v>
      </c>
      <c r="F86" s="3">
        <f>0+(1051.4-150.9)+(0+(-1.072428--0.153918))+0-0-0</f>
        <v>899.58149000000014</v>
      </c>
      <c r="G86" s="3">
        <f>0+(1102.7-261.1)+(0+(0-0))+0-0-0</f>
        <v>841.6</v>
      </c>
      <c r="H86" s="3">
        <f>0+(1156.6-333.1)+(0+(-1.179732--0.339762))+0-0-0</f>
        <v>822.66002999999989</v>
      </c>
      <c r="I86" s="3">
        <f>0+(1186.3-371.9)+(0+(1.210026-0.379338))+0-0-0</f>
        <v>815.23068799999999</v>
      </c>
      <c r="J86" s="3">
        <f>0+(1211.6-401.5)+(0+(-0.617916--0.204765))+0-0-0</f>
        <v>809.68684899999994</v>
      </c>
      <c r="K86" s="3">
        <f>0+(1210.1-412)+(0+(-1.234302--0.42024))+0-0-0</f>
        <v>797.28593799999987</v>
      </c>
      <c r="L86" s="3">
        <f>0+(1178.7-385.1)+(0+(0.601137-0.196401))+0-0-0</f>
        <v>794.00473599999998</v>
      </c>
      <c r="M86" s="3">
        <f>0+(1122.1-279.7)+(0+(0.572271-0.142647))+0-0-0</f>
        <v>842.82962399999985</v>
      </c>
      <c r="N86" s="3">
        <f>0+(1146.8-238.3)+(0+(-1.169736--0.243066))+0-0-0</f>
        <v>907.57333000000006</v>
      </c>
      <c r="O86" s="3">
        <f>0+(1182.7-217.3)+(0+(0-0))+0-0-0</f>
        <v>965.40000000000009</v>
      </c>
      <c r="P86" s="3">
        <f>0+(1091.3-89.4)+(0+(1.113126-0.091188))+0-0-0</f>
        <v>1002.921938</v>
      </c>
      <c r="Q86" s="3">
        <f>0+(1019.3-1.7)+(0+(0.519843-0.000867))+0-0-0</f>
        <v>1018.1189759999999</v>
      </c>
      <c r="R86" s="3">
        <f>0+(1023.7-7.4)+(0+(0.522087-0.003774))+0-0-0</f>
        <v>1016.8183130000001</v>
      </c>
      <c r="S86" s="3">
        <f>0+(988.2-5.8)+(0+(-1.007964--0.005916))+0-0-0</f>
        <v>981.39795200000015</v>
      </c>
      <c r="T86" s="3">
        <f>0+(997.2-10.4)+(0+(1.017144-0.010608))+0-0-0</f>
        <v>987.80653600000005</v>
      </c>
      <c r="U86" s="3">
        <f>0+(974.5-13.5)+(0+(1.98798-0.02754))+11-0-0</f>
        <v>973.96043999999995</v>
      </c>
      <c r="V86" s="3">
        <f>0+(970.5-13.9)+(0+(-0.494955--0.007089))+7.3-0-0</f>
        <v>963.41213399999992</v>
      </c>
      <c r="W86" s="3">
        <f>0+(968-7.2)+(0+(-0.98736--0.007344))+0-0-0</f>
        <v>959.81998399999998</v>
      </c>
      <c r="X86" s="3">
        <f>0+(960.2-13.8)+(0+(-1.958808--0.028152))+0-0-0</f>
        <v>944.46934400000009</v>
      </c>
      <c r="Y86" s="3">
        <f>0+(1016.8-86.9)+(0+(0-0))+0-0-0</f>
        <v>929.9</v>
      </c>
      <c r="Z86" s="3">
        <f>0+(1017.3-51.4)+(0+(0.518823-0.026214))+0-0-0</f>
        <v>966.39260899999999</v>
      </c>
      <c r="AA86" s="3">
        <f>0+(1023.4-0)+(0+(-0.521934-0))+0-0-0</f>
        <v>1022.878066</v>
      </c>
      <c r="AB86" s="3">
        <f>0+(1002.3-0)+(0+(-1.533519-0))+0-0-0</f>
        <v>1000.766481</v>
      </c>
      <c r="AC86" s="3">
        <f>0+(1027.5-57.8)+(0+(-1.04805--0.058956))+0-0-0</f>
        <v>968.71090600000002</v>
      </c>
      <c r="AD86">
        <f t="shared" si="1"/>
        <v>22233.226364000002</v>
      </c>
      <c r="AE86" s="3">
        <f>0+(1030.3-1)+(0+(0-0))+0-0-0</f>
        <v>1029.3</v>
      </c>
    </row>
    <row r="87" spans="1:31" s="2" customFormat="1" x14ac:dyDescent="0.25">
      <c r="A87">
        <v>89</v>
      </c>
      <c r="B87">
        <v>3</v>
      </c>
      <c r="C87">
        <v>25</v>
      </c>
      <c r="D87">
        <v>4</v>
      </c>
      <c r="E87">
        <v>1</v>
      </c>
      <c r="F87" s="3">
        <f>0+(1099.8-197.9)+(0+(-1.682694--0.302787))+0-0-0</f>
        <v>900.52009299999997</v>
      </c>
      <c r="G87" s="3">
        <f>0+(1123.3-266.9)+(0+(0-0))+0-0-0</f>
        <v>856.4</v>
      </c>
      <c r="H87" s="3">
        <f>0+(1169.6-337.3)+(0+(-1.192992--0.344046))+0-0-0</f>
        <v>831.451054</v>
      </c>
      <c r="I87" s="3">
        <f>0+(1129.7-314.1)+(0+(-0.576147--0.160191))+0-0-0</f>
        <v>815.18404399999997</v>
      </c>
      <c r="J87" s="3">
        <f>0+(1097.6-294.2)+(0+(-1.119552--0.300084))+0-0-0</f>
        <v>802.58053199999983</v>
      </c>
      <c r="K87" s="3">
        <f>0+(1135.5-329.5)+(0+(-2.895525--0.840225))+0-0-0</f>
        <v>803.94470000000001</v>
      </c>
      <c r="L87" s="3">
        <f>0+(1115.8-307)+(0+(-2.84529--0.78285))+0-0-0</f>
        <v>806.73755999999992</v>
      </c>
      <c r="M87" s="3">
        <f>0+(1075.5-219.9)+(0+(1.09701-0.224298))+0-0-0</f>
        <v>856.472712</v>
      </c>
      <c r="N87" s="3">
        <f>0+(1080.5-167.5)+(0+(0.551055-0.085425))+0-0-0</f>
        <v>913.46563000000003</v>
      </c>
      <c r="O87" s="3">
        <f>0+(1108-145.3)+(0+(0.56508-0.074103))+0-0-0</f>
        <v>963.19097700000009</v>
      </c>
      <c r="P87" s="3">
        <f>0+(1081.4-76.3)+(0+(-0.551514--0.038913))+0-0-0</f>
        <v>1004.5873990000001</v>
      </c>
      <c r="Q87" s="3">
        <f>0+(1023-0)+(0+(0-0))+0-0-0</f>
        <v>1023</v>
      </c>
      <c r="R87" s="3">
        <f>0+(1026-0)+(0+(-1.04652-0))+0-0-0</f>
        <v>1024.9534799999999</v>
      </c>
      <c r="S87" s="3">
        <f>0+(999.8-0)+(0+(-1.019796-0))+0-0-0</f>
        <v>998.78020399999991</v>
      </c>
      <c r="T87" s="3">
        <f>0+(1007.3-0)+(0+(0-0))+0-0-0</f>
        <v>1007.3</v>
      </c>
      <c r="U87" s="3">
        <f>0+(997.3-0)+(0+(1.017246-0))+0-0-0</f>
        <v>998.31724599999995</v>
      </c>
      <c r="V87" s="3">
        <f>0+(997.4-0)+(0+(-1.017348-0))+0-0-0</f>
        <v>996.38265200000001</v>
      </c>
      <c r="W87" s="3">
        <f>0+(986-7.4)+(0+(-1.50858--0.011322))+0-0-0</f>
        <v>977.10274200000003</v>
      </c>
      <c r="X87" s="3">
        <f>0+(1064.5-110.5)+(0+(-1.628685--0.169065))+0-0-0</f>
        <v>952.54038000000003</v>
      </c>
      <c r="Y87" s="3">
        <f>0+(1096.7-168.8)+(0+(-1.118634--0.172176))+0-0-0</f>
        <v>926.95354200000008</v>
      </c>
      <c r="Z87" s="3">
        <f>0+(1110.6-132.5)+(0+(-0.566406--0.067575))+0-0-0</f>
        <v>977.60116899999991</v>
      </c>
      <c r="AA87" s="3">
        <f>0+(1036.6-17.5)+(0+(-1.585998--0.026775))+0-0-0</f>
        <v>1017.5407769999999</v>
      </c>
      <c r="AB87" s="3">
        <f>0+(1022.4-26.5)+(0+(-1.564272--0.040545))+0-0-0</f>
        <v>994.37627299999997</v>
      </c>
      <c r="AC87" s="3">
        <f>0+(1032.2-74.5)+(0+(-1.052844--0.07599))+0-0-0</f>
        <v>956.72314600000004</v>
      </c>
      <c r="AD87">
        <f t="shared" si="1"/>
        <v>22406.106312</v>
      </c>
      <c r="AE87" s="3">
        <f>0+(1037.7-26.3)+(0+(0-0))+0-0-0</f>
        <v>1011.4000000000001</v>
      </c>
    </row>
    <row r="88" spans="1:31" s="2" customFormat="1" x14ac:dyDescent="0.25">
      <c r="A88">
        <v>89</v>
      </c>
      <c r="B88">
        <v>3</v>
      </c>
      <c r="C88">
        <v>26</v>
      </c>
      <c r="D88">
        <v>5</v>
      </c>
      <c r="E88">
        <v>1</v>
      </c>
      <c r="F88" s="3">
        <f>0+(1019-114.3)+(0+(-1.03938--0.116586))+0-0-0</f>
        <v>903.77720600000009</v>
      </c>
      <c r="G88" s="3">
        <f>0+(1121.9-262)+(0+(-0.572169--0.13362))+0-0-0</f>
        <v>859.46145100000012</v>
      </c>
      <c r="H88" s="3">
        <f>0+(1192-356.9)+(0+(-1.21584--0.364038))+0-0-0</f>
        <v>834.248198</v>
      </c>
      <c r="I88" s="3">
        <f>0+(1205-386.9)+(0+(-1.84365--0.591957))+0-0-0</f>
        <v>816.84830699999998</v>
      </c>
      <c r="J88" s="3">
        <f>0+(1180.7-367.2)+(0+(-0.602157--0.187272))+0-0-0</f>
        <v>813.08511499999997</v>
      </c>
      <c r="K88" s="3">
        <f>0+(1177.7-374.4)+(0+(-3.003135--0.95472))+0-0-0</f>
        <v>801.25158500000009</v>
      </c>
      <c r="L88" s="3">
        <f>0+(1086.9-287.2)+(0+(-0.554319--0.146472))+0-0-0</f>
        <v>799.2921530000001</v>
      </c>
      <c r="M88" s="3">
        <f>0+(1026.6-173.1)+(0+(-0.523566--0.088281))+0-0-0</f>
        <v>853.06471499999986</v>
      </c>
      <c r="N88" s="3">
        <f>0+(1108.8-196.8)+(0+(-1.130976--0.200736))+0-0-0</f>
        <v>911.06975999999997</v>
      </c>
      <c r="O88" s="3">
        <f>0+(1133.2-174.8)+(0+(-0.577932--0.089148))+0-0-0</f>
        <v>957.91121600000008</v>
      </c>
      <c r="P88" s="3">
        <f>0+(1109.1-105.7)+(0+(0-0))+0-0-0</f>
        <v>1003.3999999999999</v>
      </c>
      <c r="Q88" s="3">
        <f>0+(1049-48.9)+(0+(-1.06998--0.049878))+0-0-0</f>
        <v>999.07989800000007</v>
      </c>
      <c r="R88" s="3">
        <f>0+(994.7-9.1)+(0+(0-0))+0-0-0</f>
        <v>985.6</v>
      </c>
      <c r="S88" s="3">
        <f>0+(980.6-0)+(0+(0-0))+0-0-0</f>
        <v>980.6</v>
      </c>
      <c r="T88" s="3">
        <f>0+(1000.6-5.2)+(0+(0-0))+0-0-0</f>
        <v>995.4</v>
      </c>
      <c r="U88" s="3">
        <f>0+(1001.1-5.2)+(0+(-0.510561--0.002652))+0-0-0</f>
        <v>995.39209099999994</v>
      </c>
      <c r="V88" s="3">
        <f>0+(945.9-3.5)+(0+(0.964818-0.00357))+0-0-0</f>
        <v>943.36124799999993</v>
      </c>
      <c r="W88" s="3">
        <f>0+(916.9-12.2)+(0+(-2.338095--0.03111))+0-0-0</f>
        <v>902.39301499999988</v>
      </c>
      <c r="X88" s="3">
        <f>0+(946.5-32)+(0+(-2.413575--0.0816))+0-0-0</f>
        <v>912.16802499999994</v>
      </c>
      <c r="Y88" s="3">
        <f>0+(910.4-15.3)+(0+(-0.928608--0.015606))+0-0-0</f>
        <v>894.18699800000002</v>
      </c>
      <c r="Z88" s="3">
        <f>0+(1035-60.3)+(0+(0-0))+0-0-0</f>
        <v>974.7</v>
      </c>
      <c r="AA88" s="3">
        <f>0+(1056-34.9)+(0+(-1.61568--0.053397))+0-0-0</f>
        <v>1019.537717</v>
      </c>
      <c r="AB88" s="3">
        <f>0+(1004.8-26.2)+(0+(-0.512448--0.013362))+0-0-0</f>
        <v>978.10091399999988</v>
      </c>
      <c r="AC88" s="3">
        <f>0+(1005.8-77.6)+(0+(-0.512958--0.039576))+0-0-0</f>
        <v>927.72661799999992</v>
      </c>
      <c r="AD88">
        <f t="shared" si="1"/>
        <v>22061.656230000001</v>
      </c>
      <c r="AE88" s="3">
        <f>0+(1025.8-43.6)+(0+(0-0))+0-0-0</f>
        <v>982.19999999999993</v>
      </c>
    </row>
    <row r="89" spans="1:31" s="2" customFormat="1" x14ac:dyDescent="0.25">
      <c r="A89">
        <v>89</v>
      </c>
      <c r="B89">
        <v>3</v>
      </c>
      <c r="C89">
        <v>27</v>
      </c>
      <c r="D89">
        <v>6</v>
      </c>
      <c r="E89">
        <v>1</v>
      </c>
      <c r="F89" s="3">
        <f>0+(1053.5-160)+(0+(-1.07457--0.1632))+0-0-0</f>
        <v>892.58862999999997</v>
      </c>
      <c r="G89" s="3">
        <f>0+(1108.8-257.8)+(0+(0-0))+0-0-0</f>
        <v>851</v>
      </c>
      <c r="H89" s="3">
        <f>0+(1136.5-318)+(0+(-1.738845--0.48654))+0-0-0</f>
        <v>817.24769500000002</v>
      </c>
      <c r="I89" s="3">
        <f>0+(1187.5-375.3)+(0+(-1.21125--0.382806))+0-0-0</f>
        <v>811.37155600000006</v>
      </c>
      <c r="J89" s="3">
        <f>0+(1259.3-448.6)+(0+(-1.284486--0.457572))+0-0-0</f>
        <v>809.87308599999994</v>
      </c>
      <c r="K89" s="3">
        <f>0+(1218.3-426.1)+(0+(-3.106665--1.086555))+0-0-0</f>
        <v>790.17988999999989</v>
      </c>
      <c r="L89" s="3">
        <f>0+(1149.9-362.4)+(0+(-2.932245--0.92412))+0-0-0</f>
        <v>785.49187500000016</v>
      </c>
      <c r="M89" s="3">
        <f>0+(1173.6-338.9)+(0+(1.795608-0.518517))+0-0-0</f>
        <v>835.97709099999997</v>
      </c>
      <c r="N89" s="3">
        <f>0+(1308.8-411.1)+(0+(0-0))+0-0-0</f>
        <v>897.69999999999993</v>
      </c>
      <c r="O89" s="3">
        <f>0+(1277.4-337.9)+(0+(1.954422-0.516987))+0-0-0</f>
        <v>940.93743500000016</v>
      </c>
      <c r="P89" s="3">
        <f>0+(1151.3-190.9)+(0+(0-0))+0-0-0</f>
        <v>960.4</v>
      </c>
      <c r="Q89" s="3">
        <f>0+(1075.1-111.3)+(0+(1.096602-0.113526))+0-0-0</f>
        <v>964.78307599999994</v>
      </c>
      <c r="R89" s="3">
        <f>0+(1039.6-70.8)+(0+(0-0))+0-0-0</f>
        <v>968.8</v>
      </c>
      <c r="S89" s="3">
        <f>0+(1033.7-98.3)+(0+(0-0))+0-0-0</f>
        <v>935.40000000000009</v>
      </c>
      <c r="T89" s="3">
        <f>0+(1047.5-108.4)+(0+(0-0))+0-0-0</f>
        <v>939.1</v>
      </c>
      <c r="U89" s="3">
        <f>0+(1085.6-143.9)+(0+(-1.107312--0.146778))+0-0-0</f>
        <v>940.73946599999988</v>
      </c>
      <c r="V89" s="3">
        <f>0+(1100.4-163.2)+(0+(0-0))+0-0-0</f>
        <v>937.2</v>
      </c>
      <c r="W89" s="3">
        <f>0+(1107.7-183.7)+(0+(-2.824635--0.468435))+0-0-0</f>
        <v>921.64380000000006</v>
      </c>
      <c r="X89" s="3">
        <f>0+(1051-160.1)+(0+(-2.14404--0.326604))+0-0-0</f>
        <v>889.08256399999993</v>
      </c>
      <c r="Y89" s="3">
        <f>0+(1046.8-178.2)+(0+(-0.533868--0.090882))+0-0-0</f>
        <v>868.15701399999989</v>
      </c>
      <c r="Z89" s="3">
        <f>0+(1110.6-202.7)+(0+(-0.566406--0.103377))+0-0-0</f>
        <v>907.43697099999986</v>
      </c>
      <c r="AA89" s="3">
        <f>0+(1143.2-172.8)+(0+(-2.91516--0.44064))+0-0-0</f>
        <v>967.92548000000011</v>
      </c>
      <c r="AB89" s="3">
        <f>0+(1148-183.4)+(0+(-0.58548--0.093534))+0-0-0</f>
        <v>964.10805400000004</v>
      </c>
      <c r="AC89" s="3">
        <f>0+(1170-244.5)+(0+(-2.3868--0.49878))+0-0-0</f>
        <v>923.61198000000002</v>
      </c>
      <c r="AD89">
        <f t="shared" si="1"/>
        <v>21520.755663</v>
      </c>
      <c r="AE89" s="3">
        <f>0+(1162.2-169)+(0+(0-0))+0-0-0</f>
        <v>993.2</v>
      </c>
    </row>
    <row r="90" spans="1:31" s="2" customFormat="1" x14ac:dyDescent="0.25">
      <c r="A90">
        <v>89</v>
      </c>
      <c r="B90">
        <v>3</v>
      </c>
      <c r="C90">
        <v>28</v>
      </c>
      <c r="D90">
        <v>7</v>
      </c>
      <c r="E90">
        <v>1</v>
      </c>
      <c r="F90" s="3">
        <f>0+(1134.5-261.5)+(0+(-1.735785--0.400095))+0-0-0</f>
        <v>871.66431</v>
      </c>
      <c r="G90" s="3">
        <f>0+(1076-251.7)+(0+(-1.09752--0.256734))+0-0-0</f>
        <v>823.45921399999997</v>
      </c>
      <c r="H90" s="3">
        <f>0+(1119.7-318.8)+(0+(-1.713141--0.487764))+0-0-0</f>
        <v>799.67462300000011</v>
      </c>
      <c r="I90" s="3">
        <f>0+(1193.8-406.5)+(0+(-1.826514--0.621945))+0-0-0</f>
        <v>786.09543099999996</v>
      </c>
      <c r="J90" s="3">
        <f>0+(1181-411.8)+(0+(-1.80693--0.630054))+0-0-0</f>
        <v>768.02312400000005</v>
      </c>
      <c r="K90" s="3">
        <f>0+(1154.4-417.3)+(0+(-1.766232--0.638469))+0-0-0</f>
        <v>735.97223700000018</v>
      </c>
      <c r="L90" s="3">
        <f>0+(1138.4-431.3)+(0+(0-0))+0-0-0</f>
        <v>707.10000000000014</v>
      </c>
      <c r="M90" s="3">
        <f>0+(1155.9-431.7)+(0+(0-0))+0-0-0</f>
        <v>724.2</v>
      </c>
      <c r="N90" s="3">
        <f>0+(1158.8-422.6)+(0+(-2.363952--0.862104))+0-0-0</f>
        <v>734.69815199999994</v>
      </c>
      <c r="O90" s="3">
        <f>0+(1192-416.7)+(0+(-1.82376--0.637551))+0-0-0</f>
        <v>774.11379099999999</v>
      </c>
      <c r="P90" s="3">
        <f>0+(1218.8-406.1)+(0+(0-0))+0-0-0</f>
        <v>812.69999999999993</v>
      </c>
      <c r="Q90" s="3">
        <f>0+(1270.7-425.1)+(0+(0-0))+0-0-0</f>
        <v>845.6</v>
      </c>
      <c r="R90" s="3">
        <f>0+(1271.9-424.1)+(0+(-0.648669--0.216291))+0-0-0</f>
        <v>847.3676220000001</v>
      </c>
      <c r="S90" s="3">
        <f>0+(1190.5-360.7)+(0+(-0.607155--0.183957))+0-0-0</f>
        <v>829.376802</v>
      </c>
      <c r="T90" s="3">
        <f>0+(1143.1-329.8)+(0+(-0.582981--0.168198))+0-0-0</f>
        <v>812.8852169999999</v>
      </c>
      <c r="U90" s="3">
        <f>0+(1069-269.2)+(0+(-1.09038--0.274584))+0-0-0</f>
        <v>798.98420399999998</v>
      </c>
      <c r="V90" s="3">
        <f>0+(1055.8-264.2)+(0+(-0.538458--0.134742))+0-0-0</f>
        <v>791.19628399999988</v>
      </c>
      <c r="W90" s="3">
        <f>0+(1068.3-270.3)+(0+(-1.634499--0.413559))+0-0-0</f>
        <v>796.77905999999996</v>
      </c>
      <c r="X90" s="3">
        <f>0+(1045.9-251.6)+(0+(-2.667045--0.64158))+0-0-0</f>
        <v>792.27453500000001</v>
      </c>
      <c r="Y90" s="3">
        <f>0+(1024.1-228.1)+(0+(-1.044582--0.232662))+0-0-0</f>
        <v>795.1880799999999</v>
      </c>
      <c r="Z90" s="3">
        <f>0+(1022.2-181.5)+(0+(-0.521322--0.092565))+0-0-0</f>
        <v>840.27124300000003</v>
      </c>
      <c r="AA90" s="3">
        <f>0+(1093.5-200.5)+(0+(-1.673055--0.306765))+0-0-0</f>
        <v>891.63370999999995</v>
      </c>
      <c r="AB90" s="3">
        <f>0+(1092.3-222.6)+(0+(-1.114146--0.227052))+0-0-0</f>
        <v>868.81290599999988</v>
      </c>
      <c r="AC90" s="3">
        <f>0+(1092.6-249)+(0+(-2.228904--0.50796))+0-0-0</f>
        <v>841.87905599999988</v>
      </c>
      <c r="AD90">
        <f t="shared" si="1"/>
        <v>19289.949601</v>
      </c>
      <c r="AE90" s="3">
        <f>0+(1132.1-213.1)+(0+(0-0))+0-0-0</f>
        <v>918.99999999999989</v>
      </c>
    </row>
    <row r="91" spans="1:31" s="2" customFormat="1" x14ac:dyDescent="0.25">
      <c r="A91">
        <v>89</v>
      </c>
      <c r="B91">
        <v>3</v>
      </c>
      <c r="C91">
        <v>29</v>
      </c>
      <c r="D91">
        <v>1</v>
      </c>
      <c r="E91">
        <v>1</v>
      </c>
      <c r="F91" s="3">
        <f>0+(1082.3-274.5)+(0+(-1.103946--0.27999))+0-0-0</f>
        <v>806.976044</v>
      </c>
      <c r="G91" s="3">
        <f>0+(1095.4-336.9)+(0+(-2.234616--0.687276))+0-0-0</f>
        <v>756.95266000000015</v>
      </c>
      <c r="H91" s="3">
        <f>0+(1099.6-359.1)+(0+(-1.682388--0.549423))+0-0-0</f>
        <v>739.36703499999987</v>
      </c>
      <c r="I91" s="3">
        <f>0+(1097.4-363.2)+(0+(-3.358044--1.111392))+0-0-0</f>
        <v>731.95334800000001</v>
      </c>
      <c r="J91" s="3">
        <f>0+(1094.9-369.9)+(0+(0-0))+0-0-0</f>
        <v>725.00000000000011</v>
      </c>
      <c r="K91" s="3">
        <f>0+(1113.5-395)+(0+(-0.567885--0.20145))+0-0-0</f>
        <v>718.13356499999998</v>
      </c>
      <c r="L91" s="3">
        <f>0+(1172.9-420.4)+(0+(-0.598179--0.214404))+0-0-0</f>
        <v>752.1162250000001</v>
      </c>
      <c r="M91" s="3">
        <f>0+(1171.6-349.6)+(0+(-1.195032--0.356592))+0-0-0</f>
        <v>821.16155999999989</v>
      </c>
      <c r="N91" s="3">
        <f>0+(1292.4-393.8)+(0+(0.659124-0.200838))+0-0-0</f>
        <v>899.05828600000018</v>
      </c>
      <c r="O91" s="3">
        <f>0+(1299.3-342.7)+(0+(0.662643-0.174777))+0-0-0</f>
        <v>957.08786599999996</v>
      </c>
      <c r="P91" s="3">
        <f>0+(1218.9-236.3)+(0+(-1.243278--0.241026))+0-0-0</f>
        <v>981.59774800000014</v>
      </c>
      <c r="Q91" s="3">
        <f>0+(1149.1-145.3)+(0+(1.172082-0.148206))+0-0-0</f>
        <v>1004.8238759999999</v>
      </c>
      <c r="R91" s="3">
        <f>0+(1057.1-53.5)+(0+(-1.078242--0.05457))+0-0-0</f>
        <v>1002.5763279999999</v>
      </c>
      <c r="S91" s="3">
        <f>0+(1022.5-44.1)+(0+(0-0))+0-0-0</f>
        <v>978.4</v>
      </c>
      <c r="T91" s="3">
        <f>0+(1021.7-43.4)+(0+(-0.521067--0.022134))+0-0-0</f>
        <v>977.8010670000001</v>
      </c>
      <c r="U91" s="3">
        <f>0+(1043.4-62)+(0+(-1.064268--0.06324))+0-0-0</f>
        <v>980.39897200000007</v>
      </c>
      <c r="V91" s="3">
        <f>0+(1070.3-84.8)+(0+(0.545853-0.043248))+0-0-0</f>
        <v>986.00260500000002</v>
      </c>
      <c r="W91" s="3">
        <f>0+(1096.1-127)+(0+(-2.236044--0.25908))+0-0-0</f>
        <v>967.12303599999996</v>
      </c>
      <c r="X91" s="3">
        <f>0+(1111-193.5)+(0+(-3.39966--0.59211))+0-0-0</f>
        <v>914.69245000000001</v>
      </c>
      <c r="Y91" s="3">
        <f>0+(1136.6-209.9)+(0+(-0.579666--0.107049))+0-0-0</f>
        <v>926.22738299999992</v>
      </c>
      <c r="Z91" s="3">
        <f>0+(1150.7-185.7)+(0+(0-0))+0-0-0</f>
        <v>965</v>
      </c>
      <c r="AA91" s="3">
        <f>0+(1071.4-62.9)+(0+(0-0))+0-0-0</f>
        <v>1008.5000000000001</v>
      </c>
      <c r="AB91" s="3">
        <f>0+(1067.5-82.3)+(0+(-1.633275--0.125919))+0-0-0</f>
        <v>983.69264400000009</v>
      </c>
      <c r="AC91" s="3">
        <f>0+(1112.7-169.4)+(0+(-1.134954--0.172788))+0-0-0</f>
        <v>942.33783400000004</v>
      </c>
      <c r="AD91">
        <f t="shared" si="1"/>
        <v>21526.980532000001</v>
      </c>
      <c r="AE91" s="3">
        <f>0+(1089.6-44.3)+(0+(0-0))+0-0-0</f>
        <v>1045.3</v>
      </c>
    </row>
    <row r="92" spans="1:31" s="2" customFormat="1" x14ac:dyDescent="0.25">
      <c r="A92">
        <v>89</v>
      </c>
      <c r="B92">
        <v>3</v>
      </c>
      <c r="C92">
        <v>30</v>
      </c>
      <c r="D92">
        <v>2</v>
      </c>
      <c r="E92">
        <v>1</v>
      </c>
      <c r="F92" s="3">
        <f>0+(1193.5-308)+(0+(-2.43474--0.62832))+0-0-0</f>
        <v>883.69358</v>
      </c>
      <c r="G92" s="3">
        <f>0+(1165.5-326.6)+(0+(-0.594405--0.166566))+0-0-0</f>
        <v>838.47216100000003</v>
      </c>
      <c r="H92" s="3">
        <f>0+(1165.8-347.9)+(0+(0.594558-0.177429))+0-0-0</f>
        <v>818.31712900000002</v>
      </c>
      <c r="I92" s="3">
        <f>0+(1181.1-372.8)+(0+(-1.807083--0.570384))+0-0-0</f>
        <v>807.06330099999991</v>
      </c>
      <c r="J92" s="3">
        <f>0+(1187-384.6)+(0+(-1.81611--0.588438))+0-0-0</f>
        <v>801.17232799999999</v>
      </c>
      <c r="K92" s="3">
        <f>0+(1202.7-400.9)+(0+(-2.453508--0.817836))+0-0-0</f>
        <v>800.16432800000007</v>
      </c>
      <c r="L92" s="3">
        <f>0+(1232.6-365.1)+(0+(0.628626-0.186201))+0-0-0</f>
        <v>867.94242499999984</v>
      </c>
      <c r="M92" s="3">
        <f>0+(1223.5-312.3)+(0+(0-0))+0-0-0</f>
        <v>911.2</v>
      </c>
      <c r="N92" s="3">
        <f>0+(1278.1-354)+(0+(1.303662-0.36108))+0-0-0</f>
        <v>925.04258199999992</v>
      </c>
      <c r="O92" s="3">
        <f>0+(1324.3-330.7)+(0+(1.350786-0.337314))+0-0-0</f>
        <v>994.61347199999989</v>
      </c>
      <c r="P92" s="3">
        <f>0+(1285.6-267.2)+(0+(0.655656-0.136272))+0-0-0</f>
        <v>1018.9193839999998</v>
      </c>
      <c r="Q92" s="3">
        <f>0+(1192.8-174.2)+(0+(0.608328-0.088842))+0-0-0</f>
        <v>1019.1194859999999</v>
      </c>
      <c r="R92" s="3">
        <f>0+(1103.4-97.6)+(0+(0.562734-0.049776))+0-0-0</f>
        <v>1006.3129580000001</v>
      </c>
      <c r="S92" s="3">
        <f>0+(1095.3-99.8)+(0+(0-0))+0-0-0</f>
        <v>995.5</v>
      </c>
      <c r="T92" s="3">
        <f>0+(1086.8-93.5)+(0+(0.554268-0.047685))+0-0-0</f>
        <v>993.80658299999993</v>
      </c>
      <c r="U92" s="3">
        <f>0+(1102.7-98.9)+(0+(-1.124754--0.100878))+0-0-0</f>
        <v>1002.7761240000001</v>
      </c>
      <c r="V92" s="3">
        <f>0+(1128.4-139.8)+(0+(-1.150968--0.142596))+0-0-0</f>
        <v>987.59162800000013</v>
      </c>
      <c r="W92" s="3">
        <f>0+(1168.8-200.1)+(0+(-1.192176--0.204102))+0-0-0</f>
        <v>967.71192599999995</v>
      </c>
      <c r="X92" s="3">
        <f>0+(1213.6-276.8)+(0+(-1.856808--0.423504))+0-0-0</f>
        <v>935.36669599999993</v>
      </c>
      <c r="Y92" s="3">
        <f>0+(1198.2-255.4)+(0+(-0.611082--0.130254))+0-0-0</f>
        <v>942.31917200000009</v>
      </c>
      <c r="Z92" s="3">
        <f>0+(1149.5-171.6)+(0+(0-0))+0-0-0</f>
        <v>977.9</v>
      </c>
      <c r="AA92" s="3">
        <f>0+(1053.3-53.3)+(0+(-1.074366--0.054366))+0-0-0</f>
        <v>998.98</v>
      </c>
      <c r="AB92" s="3">
        <f>0+(1037.7-57.4)+(0+(-0.529227--0.029274))+0-0-0</f>
        <v>979.80004700000006</v>
      </c>
      <c r="AC92" s="3">
        <f>0+(1043.5-100.1)+(0+(0-0))+0-0-0</f>
        <v>943.4</v>
      </c>
      <c r="AD92">
        <f t="shared" si="1"/>
        <v>22417.185310000001</v>
      </c>
      <c r="AE92" s="3">
        <f>0+(1058-55.8)+(0+(0-0))+0-0-0</f>
        <v>1002.2</v>
      </c>
    </row>
    <row r="93" spans="1:31" s="2" customFormat="1" x14ac:dyDescent="0.25">
      <c r="A93">
        <v>89</v>
      </c>
      <c r="B93">
        <v>3</v>
      </c>
      <c r="C93">
        <v>31</v>
      </c>
      <c r="D93">
        <v>3</v>
      </c>
      <c r="E93">
        <v>1</v>
      </c>
      <c r="F93" s="3">
        <f>0+(1139.8-242.8)+(0+(-0.581298--0.123828))+0-0-0</f>
        <v>896.54253000000006</v>
      </c>
      <c r="G93" s="3">
        <f>0+(1178.3-326.5)+(0+(0.600933-0.166515))+0-0-0</f>
        <v>852.23441800000001</v>
      </c>
      <c r="H93" s="3">
        <f>0+(1184.3-352.2)+(0+(0.603993-0.179622))+0-0-0</f>
        <v>832.52437099999986</v>
      </c>
      <c r="I93" s="3">
        <f>0+(1174.6-358.7)+(0+(1.198092-0.365874))+0-0-0</f>
        <v>816.73221799999988</v>
      </c>
      <c r="J93" s="3">
        <f>0+(1180.1-377.8)+(0+(2.407404-0.770712))+0-0-0</f>
        <v>803.93669199999999</v>
      </c>
      <c r="K93" s="3">
        <f>0+(1168.4-363)+(0+(0-0))+0-0-0</f>
        <v>805.40000000000009</v>
      </c>
      <c r="L93" s="3">
        <f>0+(1135.5-320.9)+(0+(-0.579105--0.163659))+0-0-0</f>
        <v>814.18455400000005</v>
      </c>
      <c r="M93" s="3">
        <f>0+(1208.6-335.1)+(0+(0-0))+0-0-0</f>
        <v>873.49999999999989</v>
      </c>
      <c r="N93" s="3">
        <f>0+(1304.4-380.7)+(0+(1.330488-0.388314))+0-0-0</f>
        <v>924.64217400000007</v>
      </c>
      <c r="O93" s="3">
        <f>0+(1341.9-371.8)+(0+(1.368738-0.379236))+0-0-0</f>
        <v>971.08950200000015</v>
      </c>
      <c r="P93" s="3">
        <f>0+(1231.1-221.8)+(0+(0-0))+0-0-0</f>
        <v>1009.3</v>
      </c>
      <c r="Q93" s="3">
        <f>0+(1142.8-125.4)+(0+(0-0))+0-0-0</f>
        <v>1017.4</v>
      </c>
      <c r="R93" s="3">
        <f>0+(1060.1-81.4)+(0+(0.540651-0.041514))+0-0-0</f>
        <v>979.19913699999995</v>
      </c>
      <c r="S93" s="3">
        <f>0+(1063.2-91.8)+(0+(0-0))+0-0-0</f>
        <v>971.40000000000009</v>
      </c>
      <c r="T93" s="3">
        <f>0+(983.3-9.6)+(0+(0.501483-0.004896))+0-0-0</f>
        <v>974.19658699999991</v>
      </c>
      <c r="U93" s="3">
        <f>0+(956.4-8.3)+(0+(-0.487764--0.004233))+0-0-0</f>
        <v>947.61646900000005</v>
      </c>
      <c r="V93" s="3">
        <f>0+(1064.5-111.9)+(0+(1.08579-0.114138))+0-0-0</f>
        <v>953.57165199999997</v>
      </c>
      <c r="W93" s="3">
        <f>0+(1077.4-153.2)+(0+(0.549474-0.078132))+0-0-0</f>
        <v>924.6713420000001</v>
      </c>
      <c r="X93" s="3">
        <f>0+(1164.5-235.9)+(0+(0-0))+0-0-0</f>
        <v>928.6</v>
      </c>
      <c r="Y93" s="3">
        <f>0+(1075.5-172)+(0+(1.09701-0.17544))+0-0-0</f>
        <v>904.42156999999997</v>
      </c>
      <c r="Z93" s="3">
        <f>0+(1152.5-171.8)+(0+(0-0))+0-0-0</f>
        <v>980.7</v>
      </c>
      <c r="AA93" s="3">
        <f>0+(1097.7-80.4)+(0+(-0.559827--0.041004))+0-0-0</f>
        <v>1016.7811770000001</v>
      </c>
      <c r="AB93" s="3">
        <f>0+(1131.5-138)+(0+(0-0))+0-0-0</f>
        <v>993.5</v>
      </c>
      <c r="AC93" s="3">
        <f>0+(1190.4-231.8)+(0+(-1.821312--0.354654))+0-0-0</f>
        <v>957.13334200000008</v>
      </c>
      <c r="AD93">
        <f t="shared" si="1"/>
        <v>22149.277735</v>
      </c>
      <c r="AE93" s="3">
        <f>0+(1093.9-69.9)+(0+(0-0))+0-0-0</f>
        <v>1024</v>
      </c>
    </row>
    <row r="94" spans="1:31" s="2" customFormat="1" x14ac:dyDescent="0.25">
      <c r="A94">
        <v>89</v>
      </c>
      <c r="B94">
        <v>4</v>
      </c>
      <c r="C94">
        <v>1</v>
      </c>
      <c r="D94">
        <v>4</v>
      </c>
      <c r="E94">
        <v>1</v>
      </c>
      <c r="F94" s="3">
        <f>0+(1206.2-312.5)+(0+(-3.07581--0.796875))+0-0-0</f>
        <v>891.421065</v>
      </c>
      <c r="G94" s="3">
        <f>0+(1188.3-354.6)+(0+(-1.818099--0.542538))+0-0-0</f>
        <v>832.42443899999989</v>
      </c>
      <c r="H94" s="3">
        <f>0+(1194-383.9)+(0+(-2.43576--0.783156))+0-0-0</f>
        <v>808.44739600000003</v>
      </c>
      <c r="I94" s="3">
        <f>0+(1198-399.2)+(0+(-1.83294--0.610776))+0-0-0</f>
        <v>797.57783599999993</v>
      </c>
      <c r="J94" s="3">
        <f>0+(1248-438.7)+(0+(-0.63648--0.223737))+0-0-0</f>
        <v>808.88725699999998</v>
      </c>
      <c r="K94" s="3">
        <f>0+(1225.6-421)+(0+(-2.500224--0.85884))+0-0-0</f>
        <v>802.95861599999989</v>
      </c>
      <c r="L94" s="3">
        <f>0+(1257.9-455.5)+(0+(0.641529-0.232305))+0-0-0</f>
        <v>802.80922400000009</v>
      </c>
      <c r="M94" s="3">
        <f>0+(1226.2-359.3)+(0+(1.250724-0.366486))+0-0-0</f>
        <v>867.78423800000007</v>
      </c>
      <c r="N94" s="3">
        <f>0+(1255.2-336.8)+(0+(-0.640152--0.171768))+0-0-0</f>
        <v>917.93161600000008</v>
      </c>
      <c r="O94" s="3">
        <f>0+(1314.6-346.2)+(0+(1.340892-0.353124))+0-0-0</f>
        <v>969.38776799999982</v>
      </c>
      <c r="P94" s="3">
        <f>0+(1239-232.1)+(0+(0.63189-0.118371))+0-0-0</f>
        <v>1007.413519</v>
      </c>
      <c r="Q94" s="3">
        <f>0+(1136.4-106)+(0+(0-0))+0-0-0</f>
        <v>1030.4000000000001</v>
      </c>
      <c r="R94" s="3">
        <f>0+(1066.4-43.4)+(0+(-0.543864--0.022134))+0-0-0</f>
        <v>1022.4782700000001</v>
      </c>
      <c r="S94" s="3">
        <f>0+(1070.1-76.3)+(0+(-1.091502--0.077826))+0-0-0</f>
        <v>992.78632399999992</v>
      </c>
      <c r="T94" s="3">
        <f>0+(1149.8-140)+(0+(0.586398-0.0714))+0-0-0</f>
        <v>1010.3149979999999</v>
      </c>
      <c r="U94" s="3">
        <f>0+(1122.7-98.7)+(0+(1.717731-0.151011))+0-0-0</f>
        <v>1025.56672</v>
      </c>
      <c r="V94" s="3">
        <f>0+(1067.7-72.2)+(0+(-1.089054--0.073644))+0-0-0</f>
        <v>994.48459000000003</v>
      </c>
      <c r="W94" s="3">
        <f>0+(1060.7-80.6)+(0+(-1.081914--0.082212))+0-0-0</f>
        <v>979.10029800000007</v>
      </c>
      <c r="X94" s="3">
        <f>0+(1096.4-145.2)+(0+(-1.677492--0.222156))+0-0-0</f>
        <v>949.74466400000006</v>
      </c>
      <c r="Y94" s="3">
        <f>0+(1055.8-119.9)+(0+(0.538458-0.061149))+0-0-0</f>
        <v>936.37730899999997</v>
      </c>
      <c r="Z94" s="3">
        <f>0+(1068.5-100.9)+(0+(-1.634805--0.154377))+0-0-0</f>
        <v>966.11957200000006</v>
      </c>
      <c r="AA94" s="3">
        <f>0+(1030.8-11.9)+(0+(-0.525708--0.006069))+0-0-0</f>
        <v>1018.380361</v>
      </c>
      <c r="AB94" s="3">
        <f>0+(1071.5-72.9)+(0+(0-0))+0-0-0</f>
        <v>998.6</v>
      </c>
      <c r="AC94" s="3">
        <f>0+(1092.4-131.3)+(0+(-0.557124--0.066963))+0-0-0</f>
        <v>960.60983900000019</v>
      </c>
      <c r="AD94">
        <f t="shared" si="1"/>
        <v>22392.005918999999</v>
      </c>
      <c r="AE94" s="3">
        <f>0+(1031.6-3)+(0+(0-0))+0-0-0</f>
        <v>1028.5999999999999</v>
      </c>
    </row>
    <row r="95" spans="1:31" s="2" customFormat="1" x14ac:dyDescent="0.25">
      <c r="A95">
        <v>89</v>
      </c>
      <c r="B95">
        <v>4</v>
      </c>
      <c r="C95">
        <v>2</v>
      </c>
      <c r="D95">
        <v>5</v>
      </c>
      <c r="E95">
        <v>1</v>
      </c>
      <c r="F95" s="3">
        <f>0+(1127.9-223.1)+(0+(0-0))+0-0-0</f>
        <v>904.80000000000007</v>
      </c>
      <c r="G95" s="3">
        <f>0+(1162.2-308.7)+(0+(-1.185444--0.314874))+0-0-0</f>
        <v>852.62942999999996</v>
      </c>
      <c r="H95" s="3">
        <f>0+(1165.1-335.3)+(0+(0-0))+0-0-0</f>
        <v>829.8</v>
      </c>
      <c r="I95" s="3">
        <f>0+(1189.7-370.7)+(0+(-1.213494--0.378114))+0-0-0</f>
        <v>818.16462000000001</v>
      </c>
      <c r="J95" s="3">
        <f>0+(1208-391)+(0+(-0.61608--0.19941))+0-0-0</f>
        <v>816.58333000000005</v>
      </c>
      <c r="K95" s="3">
        <f>0+(1193.6-389.6)+(0+(-1.217472--0.397392))+0-0-0</f>
        <v>803.17991999999992</v>
      </c>
      <c r="L95" s="3">
        <f>0+(1168.7-356.8)+(0+(-0.596037--0.181968))+0-0-0</f>
        <v>811.48593100000005</v>
      </c>
      <c r="M95" s="3">
        <f>0+(1218.9-359.4)+(0+(-0.621639--0.183294))+0-0-0</f>
        <v>859.06165500000009</v>
      </c>
      <c r="N95" s="3">
        <f>0+(1250.1-324.4)+(0+(0-0))+0-0-0</f>
        <v>925.69999999999993</v>
      </c>
      <c r="O95" s="3">
        <f>0+(1211.4-245)+(0+(-1.853442--0.37485))+0-0-0</f>
        <v>964.92140800000004</v>
      </c>
      <c r="P95" s="3">
        <f>0+(1132-138)+(0+(0.57732-0.07038))+0-0-0</f>
        <v>994.50693999999999</v>
      </c>
      <c r="Q95" s="3">
        <f>0+(1041.4-30.3)+(0+(-0.531114--0.015453))+0-0-0</f>
        <v>1010.5843390000001</v>
      </c>
      <c r="R95" s="3">
        <f>0+(1020.3-0)+(0+(0.520353-0))+0-0-0</f>
        <v>1020.820353</v>
      </c>
      <c r="S95" s="3">
        <f>0+(992.4-0)+(0+(-0.506124-0))+0-0-0</f>
        <v>991.89387599999998</v>
      </c>
      <c r="T95" s="3">
        <f>0+(1001.3-0)+(0+(1.021326-0))+0-0-0</f>
        <v>1002.321326</v>
      </c>
      <c r="U95" s="3">
        <f>0+(996.3-0)+(0+(0.508113-0))+0-0-0</f>
        <v>996.80811299999993</v>
      </c>
      <c r="V95" s="3">
        <f>0+(981.3-0)+(0+(0-0))+0-0-0</f>
        <v>981.3</v>
      </c>
      <c r="W95" s="3">
        <f>0+(1037.7-74)+(0+(-0.529227--0.03774))+0-0-0</f>
        <v>963.20851300000004</v>
      </c>
      <c r="X95" s="3">
        <f>0+(1093.4-149)+(0+(-1.672902--0.22797))+0-0-0</f>
        <v>942.9550680000001</v>
      </c>
      <c r="Y95" s="3">
        <f>0+(1092.7-176)+(0+(-1.114554--0.17952))+0-0-0</f>
        <v>915.76496600000007</v>
      </c>
      <c r="Z95" s="3">
        <f>0+(1087-125.6)+(0+(0-0))+0-0-0</f>
        <v>961.4</v>
      </c>
      <c r="AA95" s="3">
        <f>0+(1065-49.6)+(0+(-1.62945--0.075888))+0-0-0</f>
        <v>1013.8464379999999</v>
      </c>
      <c r="AB95" s="3">
        <f>0+(1065.2-59.3)+(0+(-1.086504--0.060486))+0-0-0</f>
        <v>1004.8739820000001</v>
      </c>
      <c r="AC95" s="3">
        <f>0+(1112.8-149.2)+(0+(-0.567528--0.076092))+0-0-0</f>
        <v>963.10856399999989</v>
      </c>
      <c r="AD95">
        <f t="shared" si="1"/>
        <v>22349.718771999997</v>
      </c>
      <c r="AE95" s="3">
        <f>0+(1072.4-38.8)+(0+(0-0))+0-0-0</f>
        <v>1033.6000000000001</v>
      </c>
    </row>
    <row r="96" spans="1:31" s="2" customFormat="1" x14ac:dyDescent="0.25">
      <c r="A96">
        <v>89</v>
      </c>
      <c r="B96">
        <v>4</v>
      </c>
      <c r="C96">
        <v>3</v>
      </c>
      <c r="D96">
        <v>6</v>
      </c>
      <c r="E96">
        <v>1</v>
      </c>
      <c r="F96" s="3">
        <f>0+(1150.5-239.9)+(0+(-2.34702--0.489396))+0-0-0</f>
        <v>908.74237600000004</v>
      </c>
      <c r="G96" s="3">
        <f>0+(1198.2-338.3)+(0+(-3.05541--0.862665))+0-0-0</f>
        <v>857.70725500000015</v>
      </c>
      <c r="H96" s="3">
        <f>0+(1286.6-446.9)+(0+(-0.656166--0.227919))+0-0-0</f>
        <v>839.27175299999988</v>
      </c>
      <c r="I96" s="3">
        <f>0+(1284.5-459.3)+(0+(-1.31019--0.468486))+0-0-0</f>
        <v>824.358296</v>
      </c>
      <c r="J96" s="3">
        <f>0+(1244.7-427.2)+(0+(-0.634797--0.217872))+0-0-0</f>
        <v>817.08307500000001</v>
      </c>
      <c r="K96" s="3">
        <f>0+(1225.1-427.3)+(0+(-1.874403--0.653769))+0-0-0</f>
        <v>796.57936599999994</v>
      </c>
      <c r="L96" s="3">
        <f>0+(1181.8-395.4)+(0+(0-0))+0-0-0</f>
        <v>786.4</v>
      </c>
      <c r="M96" s="3">
        <f>0+(1178.6-347.9)+(0+(-0.601086--0.177429))+0-0-0</f>
        <v>830.27634299999988</v>
      </c>
      <c r="N96" s="3">
        <f>0+(1206.1-324.2)+(0+(0-0))+0-0-0</f>
        <v>881.89999999999986</v>
      </c>
      <c r="O96" s="3">
        <f>0+(1243.1-328.9)+(0+(0.633981-0.167739))+0-0-0</f>
        <v>914.6662419999999</v>
      </c>
      <c r="P96" s="3">
        <f>0+(1233.7-279.5)+(0+(1.258374-0.28509))+0-0-0</f>
        <v>955.17328400000008</v>
      </c>
      <c r="Q96" s="3">
        <f>0+(1142.4-174.2)+(0+(1.747872-0.266526))+0-0-0</f>
        <v>969.68134600000008</v>
      </c>
      <c r="R96" s="3">
        <f>0+(1060.2-109.6)+(0+(0.540702-0.055896))+0-0-0</f>
        <v>951.08480600000007</v>
      </c>
      <c r="S96" s="3">
        <f>0+(1027-99)+(0+(1.04754-0.10098))+0-0-0</f>
        <v>928.94655999999998</v>
      </c>
      <c r="T96" s="3">
        <f>0+(1029.6-94.5)+(0+(-1.575288--0.144585))+0-0-0</f>
        <v>933.66929699999991</v>
      </c>
      <c r="U96" s="3">
        <f>0+(1052.1-133.1)+(0+(-0.536571--0.067881))+0-0-0</f>
        <v>918.53130999999985</v>
      </c>
      <c r="V96" s="3">
        <f>0+(1064.6-157.9)+(0+(-2.171784--0.322116))+0-0-0</f>
        <v>904.85033199999998</v>
      </c>
      <c r="W96" s="3">
        <f>0+(1101.4-206.7)+(0+(-2.246856--0.421668))+0-0-0</f>
        <v>892.87481200000002</v>
      </c>
      <c r="X96" s="3">
        <f>0+(1099.8-216.9)+(0+(-1.682694--0.331857))+0-0-0</f>
        <v>881.54916300000002</v>
      </c>
      <c r="Y96" s="3">
        <f>0+(1054.8-192.4)+(0+(-0.537948--0.098124))+0-0-0</f>
        <v>861.96017599999993</v>
      </c>
      <c r="Z96" s="3">
        <f>0+(1042-135.5)+(0+(-0.53142--0.069105))+0-0-0</f>
        <v>906.03768500000001</v>
      </c>
      <c r="AA96" s="3">
        <f>0+(1085.2-125.4)+(0+(-2.213808--0.255816))+0-0-0</f>
        <v>957.84200800000008</v>
      </c>
      <c r="AB96" s="3">
        <f>0+(1083-152)+(0+(-0.55233--0.07752))+0-0-0</f>
        <v>930.52518999999995</v>
      </c>
      <c r="AC96" s="3">
        <f>0+(1084.6-187.1)+(0+(0.553146-0.095421))+0-0-0</f>
        <v>897.95772499999987</v>
      </c>
      <c r="AD96">
        <f t="shared" si="1"/>
        <v>21347.668399999999</v>
      </c>
      <c r="AE96" s="3">
        <f>0+(1103.4-112.9)+(0+(0-0))+0-0-0</f>
        <v>990.50000000000011</v>
      </c>
    </row>
    <row r="97" spans="1:31" s="2" customFormat="1" x14ac:dyDescent="0.25">
      <c r="A97">
        <v>89</v>
      </c>
      <c r="B97">
        <v>4</v>
      </c>
      <c r="C97">
        <v>4</v>
      </c>
      <c r="D97">
        <v>7</v>
      </c>
      <c r="E97">
        <v>1</v>
      </c>
      <c r="F97" s="3">
        <f>0+(1093.9-237.6)+(0+(0.557889-0.121176))+0-0-0</f>
        <v>856.73671300000012</v>
      </c>
      <c r="G97" s="3">
        <f>0+(1111-295.4)+(0+(-0.56661--0.150654))+0-0-0</f>
        <v>815.18404399999997</v>
      </c>
      <c r="H97" s="3">
        <f>0+(1074.7-291.6)+(0+(-1.096194--0.297432))+0-0-0</f>
        <v>782.30123800000001</v>
      </c>
      <c r="I97" s="3">
        <f>0+(1005.7-244.2)+(0+(0.512907-0.124542))+0-0-0</f>
        <v>761.88836500000002</v>
      </c>
      <c r="J97" s="3">
        <f>0+(995.2-249.1)+(0+(-1.015104--0.254082))+0-0-0</f>
        <v>745.338978</v>
      </c>
      <c r="K97" s="3">
        <f>0+(1063.3-332.2)+(0+(-1.626849--0.508266))+0-0-0</f>
        <v>729.98141699999996</v>
      </c>
      <c r="L97" s="3">
        <f>0+(1030.7-316.1)+(0+(-1.051314--0.322422))+0-0-0</f>
        <v>713.87110800000005</v>
      </c>
      <c r="M97" s="3">
        <f>0+(1035.4-342.8)+(0+(-2.112216--0.699312))+0-0-0</f>
        <v>691.18709600000011</v>
      </c>
      <c r="N97" s="3">
        <f>0+(1070.5-340.7)+(0+(-0.545955--0.173757))+0-0-0</f>
        <v>729.42780199999993</v>
      </c>
      <c r="O97" s="3">
        <f>0+(1080.4-316.1)+(0+(0.551004-0.161211))+0-0-0</f>
        <v>764.68979300000012</v>
      </c>
      <c r="P97" s="3">
        <f>0+(1093.3-301.3)+(0+(-2.787915--0.768315))+0-0-0</f>
        <v>789.98040000000003</v>
      </c>
      <c r="Q97" s="3">
        <f>0+(1124.3-316.4)+(0+(0.573393-0.161364))+0-0-0</f>
        <v>808.31202899999994</v>
      </c>
      <c r="R97" s="3">
        <f>0+(1094.6-284.8)+(0+(-0.558246--0.145248))+0-0-0</f>
        <v>809.38700199999994</v>
      </c>
      <c r="S97" s="3">
        <f>0+(1097.9-302)+(0+(0-0))+0-0-0</f>
        <v>795.90000000000009</v>
      </c>
      <c r="T97" s="3">
        <f>0+(1105.8-311.8)+(0+(-1.691874--0.477054))+0-0-0</f>
        <v>792.78517999999997</v>
      </c>
      <c r="U97" s="3">
        <f>0+(1132.9-343.4)+(0+(1.733337-0.525402))+0-0-0</f>
        <v>790.70793500000013</v>
      </c>
      <c r="V97" s="3">
        <f>0+(1150.6-347.5)+(0+(-1.173612--0.35445))+0-0-0</f>
        <v>802.2808379999999</v>
      </c>
      <c r="W97" s="3">
        <f>0+(1077.3-287.5)+(0+(-2.197692--0.5865))+0-0-0</f>
        <v>788.18880799999999</v>
      </c>
      <c r="X97" s="3">
        <f>0+(951.6-172.6)+(0+(-0.485316--0.088026))+0-0-0</f>
        <v>778.60271</v>
      </c>
      <c r="Y97" s="3">
        <f>0+(944.3-169.7)+(0+(-0.963186--0.173094))+0-0-0</f>
        <v>773.80990799999995</v>
      </c>
      <c r="Z97" s="3">
        <f>0+(947.1-135.9)+(0+(-0.966042--0.138618))+0-0-0</f>
        <v>810.37257600000009</v>
      </c>
      <c r="AA97" s="3">
        <f>0+(990.9-111.2)+(0+(-1.516077--0.170136))+0-0-0</f>
        <v>878.35405899999989</v>
      </c>
      <c r="AB97" s="3">
        <f>0+(989.8-119.3)+(0+(-1.009596--0.121686))+0-0-0</f>
        <v>869.61208999999997</v>
      </c>
      <c r="AC97" s="3">
        <f>0+(984.4-143.2)+(0+(-1.004088--0.146064))+0-0-0</f>
        <v>840.34197600000005</v>
      </c>
      <c r="AD97">
        <f t="shared" si="1"/>
        <v>18919.242064999999</v>
      </c>
      <c r="AE97" s="3">
        <f>0+(1013.2-113)+(0+(0-0))+0-0-0</f>
        <v>900.2</v>
      </c>
    </row>
    <row r="98" spans="1:31" s="2" customFormat="1" x14ac:dyDescent="0.25">
      <c r="A98">
        <v>89</v>
      </c>
      <c r="B98">
        <v>4</v>
      </c>
      <c r="C98">
        <v>5</v>
      </c>
      <c r="D98">
        <v>1</v>
      </c>
      <c r="E98">
        <v>3</v>
      </c>
      <c r="F98" s="3">
        <f>0+(953.8-158.1)+(0+(-1.459314--0.241893))+0-0-0</f>
        <v>794.48257899999999</v>
      </c>
      <c r="G98" s="3">
        <f>0+(913.1-164.1)+(0+(-1.862724--0.334764))+0-0-0</f>
        <v>747.47203999999999</v>
      </c>
      <c r="H98" s="3">
        <f>0+(939.3-225.7)+(0+(-0.479043--0.115107))+0-0-0</f>
        <v>713.23606399999994</v>
      </c>
      <c r="I98" s="3">
        <f>0+(990.5-288.9)+(0+(-1.515465--0.442017))+0-0-0</f>
        <v>700.52655200000004</v>
      </c>
      <c r="J98" s="3">
        <f>0+(1013.7-309.3)+(0+(-1.033974--0.315486))+0-0-0</f>
        <v>703.68151200000011</v>
      </c>
      <c r="K98" s="3">
        <f>0+(975.2-259.9)+(0+(-3.481464--0.927843))+0-0-0</f>
        <v>712.74637900000005</v>
      </c>
      <c r="L98" s="3">
        <f>0+(952.5-254.7)+(0+(-0.97155--0.259794))+0-0-0</f>
        <v>697.08824399999992</v>
      </c>
      <c r="M98" s="3">
        <f>0+(955.5-228.6)+(0+(-1.94922--0.466344))+0-0-0</f>
        <v>725.41712399999994</v>
      </c>
      <c r="N98" s="3">
        <f>0+(974.7-205.4)+(0+(-0.994194--0.209508))+0-0-0</f>
        <v>768.5153140000001</v>
      </c>
      <c r="O98" s="3">
        <f>0+(1012.3-199.5)+(0+(-1.032546--0.20349))+0-0-0</f>
        <v>811.97094399999992</v>
      </c>
      <c r="P98" s="3">
        <f>0+(1062.8-205.6)+(0+(-1.626084--0.314568))+0-0-0</f>
        <v>855.88848399999995</v>
      </c>
      <c r="Q98" s="3">
        <f>0+(1039.4-164.7)+(0+(-1.060188--0.167994))+0-0-0</f>
        <v>873.80780600000003</v>
      </c>
      <c r="R98" s="3">
        <f>0+(1013.7-134.3)+(0+(-1.033974--0.136986))+0-0-0</f>
        <v>878.50301200000013</v>
      </c>
      <c r="S98" s="3">
        <f>0+(977.7-130.6)+(0+(-1.495881--0.199818))+0-0-0</f>
        <v>845.80393700000002</v>
      </c>
      <c r="T98" s="3">
        <f>0+(951.8-106.4)+(0+(0-0))+0-0-0</f>
        <v>845.4</v>
      </c>
      <c r="U98" s="3">
        <f>0+(943.2-97.7)+(0+(-0.481032--0.049827))+0-0-0</f>
        <v>845.06879500000002</v>
      </c>
      <c r="V98" s="3">
        <f>0+(981.6-129)+(0+(-2.50308--0.32895))+0-0-0</f>
        <v>850.42587000000003</v>
      </c>
      <c r="W98" s="3">
        <f>0+(995.1-146.8)+(0+(-1.522503--0.224604))+0-0-0</f>
        <v>847.00210099999993</v>
      </c>
      <c r="X98" s="3">
        <f>0+(927.5-94.2)+(0+(-1.419075--0.144126))+0-0-0</f>
        <v>832.02505099999996</v>
      </c>
      <c r="Y98" s="3">
        <f>0+(905.5-86.9)+(0+(0-0))+0-0-0</f>
        <v>818.6</v>
      </c>
      <c r="Z98" s="3">
        <f>0+(915.2-67.5)+(0+(0-0))+0-0-0</f>
        <v>847.7</v>
      </c>
      <c r="AA98" s="3">
        <f>0+(978.6-66.8)+(0+(-0.998172--0.068136))+0-0-0</f>
        <v>910.8699640000001</v>
      </c>
      <c r="AB98" s="3">
        <f>0+(999.4-93.8)+(0+(0-0))+0-0-0</f>
        <v>905.6</v>
      </c>
      <c r="AC98" s="3">
        <f>0+(1048.2-167.5)+(0+(1.069164-0.17085))+0-0-0</f>
        <v>881.59831400000007</v>
      </c>
      <c r="AD98">
        <f t="shared" si="1"/>
        <v>19413.430086</v>
      </c>
      <c r="AE98" s="3">
        <f>0+(994.9-68.6)+(0+(0-0))+0-0-0</f>
        <v>926.3</v>
      </c>
    </row>
    <row r="99" spans="1:31" s="2" customFormat="1" x14ac:dyDescent="0.25">
      <c r="A99">
        <v>89</v>
      </c>
      <c r="B99">
        <v>4</v>
      </c>
      <c r="C99">
        <v>6</v>
      </c>
      <c r="D99">
        <v>2</v>
      </c>
      <c r="E99">
        <v>1</v>
      </c>
      <c r="F99" s="3">
        <f>0+(1080.2-244.1)+(0+(0-0))+0-0-0</f>
        <v>836.1</v>
      </c>
      <c r="G99" s="3">
        <f>0+(1116.9-326.7)+(0+(-1.708857--0.499851))+0-0-0</f>
        <v>788.990994</v>
      </c>
      <c r="H99" s="3">
        <f>0+(1111.3-346.8)+(0+(-2.833815--0.88434))+0-0-0</f>
        <v>762.55052499999999</v>
      </c>
      <c r="I99" s="3">
        <f>0+(1088.4-335.5)+(0+(-2.77542--0.855525))+0-0-0</f>
        <v>750.98010500000009</v>
      </c>
      <c r="J99" s="3">
        <f>0+(1086.2-334.1)+(0+(-0.553962--0.170391))+0-0-0</f>
        <v>751.71642900000006</v>
      </c>
      <c r="K99" s="3">
        <f>0+(1101.2-348.2)+(0+(-2.246448--0.710328))+0-0-0</f>
        <v>751.46388000000002</v>
      </c>
      <c r="L99" s="3">
        <f>0+(1122.7-357.9)+(0+(-0.572577--0.182529))+0-0-0</f>
        <v>764.40995200000009</v>
      </c>
      <c r="M99" s="3">
        <f>0+(1107-288.2)+(0+(0.56457-0.146982))+0-0-0</f>
        <v>819.21758799999998</v>
      </c>
      <c r="N99" s="3">
        <f>0+(1092.7-205.9)+(0+(-1.114554--0.210018))+0-0-0</f>
        <v>885.89546400000006</v>
      </c>
      <c r="O99" s="3">
        <f>0+(1181.2-237)+(0+(0.602412-0.12087))+0-0-0</f>
        <v>944.68154200000004</v>
      </c>
      <c r="P99" s="3">
        <f>0+(1219.1-233.4)+(0+(0-0))+0-0-0</f>
        <v>985.69999999999993</v>
      </c>
      <c r="Q99" s="3">
        <f>0+(1134.7-119.6)+(0+(1.157394-0.121992))+0-0-0</f>
        <v>1016.135402</v>
      </c>
      <c r="R99" s="3">
        <f>0+(1045.6-35.9)+(0+(0-0))+0-0-0</f>
        <v>1009.6999999999999</v>
      </c>
      <c r="S99" s="3">
        <f>0+(985.3-1.8)+(0+(-0.502503--0.000918))+0-0-0</f>
        <v>982.99841500000002</v>
      </c>
      <c r="T99" s="3">
        <f>0+(996.1-4.7)+(0+(0-0))+0-0-0</f>
        <v>991.4</v>
      </c>
      <c r="U99" s="3">
        <f>0+(1006.7-11.4)+(0+(-1.026834--0.011628))+0-0-0</f>
        <v>994.28479400000003</v>
      </c>
      <c r="V99" s="3">
        <f>0+(992.6-12.4)+(0+(0-0))+0-0-0</f>
        <v>980.2</v>
      </c>
      <c r="W99" s="3">
        <f>0+(996.1-29.6)+(0+(-1.016022--0.030192))+0-0-0</f>
        <v>965.51417000000004</v>
      </c>
      <c r="X99" s="3">
        <f>0+(1049.2-102)+(0+(-2.140368--0.20808))+0-0-0</f>
        <v>945.26771200000007</v>
      </c>
      <c r="Y99" s="3">
        <f>0+(1012.2-84.3)+(0+(-0.516222--0.042993))+0-0-0</f>
        <v>927.42677100000014</v>
      </c>
      <c r="Z99" s="3">
        <f>0+(1066.3-103.1)+(0+(-0.543813--0.052581))+0-0-0</f>
        <v>962.70876799999996</v>
      </c>
      <c r="AA99" s="3">
        <f>0+(1073-50.6)+(0+(0-0))+0-0-0</f>
        <v>1022.4</v>
      </c>
      <c r="AB99" s="3">
        <f>0+(1064.7-67.5)+(0+(-0.542997--0.034425))+0-0-0</f>
        <v>996.69142800000009</v>
      </c>
      <c r="AC99" s="3">
        <f>0+(1095.7-129.8)+(0+(-0.558807--0.066198))+0-0-0</f>
        <v>965.40739100000008</v>
      </c>
      <c r="AD99">
        <f t="shared" si="1"/>
        <v>21801.841330000003</v>
      </c>
      <c r="AE99" s="3">
        <f>0+(1074.2-35.3)+(0+(0-0))+0-0-0</f>
        <v>1038.9000000000001</v>
      </c>
    </row>
    <row r="100" spans="1:31" s="2" customFormat="1" x14ac:dyDescent="0.25">
      <c r="A100">
        <v>89</v>
      </c>
      <c r="B100">
        <v>4</v>
      </c>
      <c r="C100">
        <v>7</v>
      </c>
      <c r="D100">
        <v>3</v>
      </c>
      <c r="E100">
        <v>1</v>
      </c>
      <c r="F100" s="3">
        <f>0+(1116.3-200.4)+(0+(-1.138626--0.204408))+0-0-0</f>
        <v>914.96578199999999</v>
      </c>
      <c r="G100" s="3">
        <f>0+(1129.2-272.8)+(0+(-0.575892--0.139128))+0-0-0</f>
        <v>855.96323600000005</v>
      </c>
      <c r="H100" s="3">
        <f>0+(1128-301.5)+(0+(-1.72584--0.461295))+0-0-0</f>
        <v>825.235455</v>
      </c>
      <c r="I100" s="3">
        <f>0+(1170-352.1)+(0+(-1.1934--0.359142))+0-0-0</f>
        <v>817.065742</v>
      </c>
      <c r="J100" s="3">
        <f>0+(1122.5-315.5)+(0+(-2.862375--0.804525))+0-0-0</f>
        <v>804.94214999999997</v>
      </c>
      <c r="K100" s="3">
        <f>0+(1083.3-288.3)+(0+(-2.209932--0.588132))+0-0-0</f>
        <v>793.37819999999999</v>
      </c>
      <c r="L100" s="3">
        <f>0+(1080.4-276.9)+(0+(-2.204016--0.564876))+0-0-0</f>
        <v>801.86086000000012</v>
      </c>
      <c r="M100" s="3">
        <f>0+(1047.1-190)+(0+(-0.534021--0.0969))+0-0-0</f>
        <v>856.66287899999986</v>
      </c>
      <c r="N100" s="3">
        <f>0+(1110.3-197.5)+(0+(0-0))+0-0-0</f>
        <v>912.8</v>
      </c>
      <c r="O100" s="3">
        <f>0+(1140.7-176.6)+(0+(-1.163514--0.180132))+0-0-0</f>
        <v>963.11661800000002</v>
      </c>
      <c r="P100" s="3">
        <f>0+(1137.5-126.7)+(0+(-1.740375--0.193851))+0-0-0</f>
        <v>1009.253476</v>
      </c>
      <c r="Q100" s="3">
        <f>0+(1098.8-78.5)+(0+(-0.560388--0.040035))+0-0-0</f>
        <v>1019.779647</v>
      </c>
      <c r="R100" s="3">
        <f>0+(1017.7-0)+(0+(0-0))+0-0-0</f>
        <v>1017.7</v>
      </c>
      <c r="S100" s="3">
        <f>0+(991.4-0)+(0+(0-0))+0-0-0</f>
        <v>991.4</v>
      </c>
      <c r="T100" s="3">
        <f>0+(1001.3-0)+(0+(-1.021326-0))+0-0-0</f>
        <v>1000.2786739999999</v>
      </c>
      <c r="U100" s="3">
        <f>0+(998.7-1.3)+(0+(1.528011-0.001989))+0-0-0</f>
        <v>998.9260220000001</v>
      </c>
      <c r="V100" s="3">
        <f>0+(998.6-0)+(0+(0.509286-0))+0-0-0</f>
        <v>999.109286</v>
      </c>
      <c r="W100" s="3">
        <f>0+(988.1-20.9)+(0+(-1.007862--0.021318))+0-0-0</f>
        <v>966.21345600000006</v>
      </c>
      <c r="X100" s="3">
        <f>0+(1043.4-109.7)+(0+(-2.66067--0.279735))+17.3-0-0</f>
        <v>948.61906499999998</v>
      </c>
      <c r="Y100" s="3">
        <f>0+(1060.1-124.6)+(0+(-1.081302--0.127092))+0-0-0</f>
        <v>934.5457899999999</v>
      </c>
      <c r="Z100" s="3">
        <f>0+(1076.1-103.2)+(0+(-0.548811--0.052632))+0-0-0</f>
        <v>972.40382099999988</v>
      </c>
      <c r="AA100" s="3">
        <f>0+(1046.7-18.8)+(0+(-1.601451--0.028764))+0-0-0</f>
        <v>1026.327313</v>
      </c>
      <c r="AB100" s="3">
        <f>0+(1045.1-31.3)+(0+(-2.132004--0.063852))+0-0-0</f>
        <v>1011.7318479999999</v>
      </c>
      <c r="AC100" s="3">
        <f>0+(1049.7-70.8)+(0+(-2.141388--0.144432))+0-0-0</f>
        <v>976.90304400000014</v>
      </c>
      <c r="AD100">
        <f t="shared" si="1"/>
        <v>22419.182363999997</v>
      </c>
      <c r="AE100" s="3">
        <f>0+(1056.1-20.1)+(0+(0-0))+0-0-0</f>
        <v>1036</v>
      </c>
    </row>
    <row r="101" spans="1:31" s="2" customFormat="1" x14ac:dyDescent="0.25">
      <c r="A101">
        <v>89</v>
      </c>
      <c r="B101">
        <v>4</v>
      </c>
      <c r="C101">
        <v>8</v>
      </c>
      <c r="D101">
        <v>4</v>
      </c>
      <c r="E101">
        <v>1</v>
      </c>
      <c r="F101" s="3">
        <f>0+(1105.9-187.8)+(0+(-2.820045--0.47889))+0-0-0</f>
        <v>915.75884500000018</v>
      </c>
      <c r="G101" s="3">
        <f>0+(1168.9-296.9)+(0+(-0.596139--0.151419))+0-0-0</f>
        <v>871.55528000000015</v>
      </c>
      <c r="H101" s="3">
        <f>0+(1162.4-318.1)+(0+(-1.185648--0.324462))+0-0-0</f>
        <v>843.43881400000009</v>
      </c>
      <c r="I101" s="3">
        <f>0+(1159.9-331.3)+(0+(-2.957745--0.844815))+0-0-0</f>
        <v>826.48707000000013</v>
      </c>
      <c r="J101" s="3">
        <f>0+(1132.5-316.2)+(0+(-2.3103--0.645048))+0-0-0</f>
        <v>814.63474799999995</v>
      </c>
      <c r="K101" s="3">
        <f>0+(1138-326.1)+(0+(-2.9019--0.831555))+0-0-0</f>
        <v>809.829655</v>
      </c>
      <c r="L101" s="3">
        <f>0+(1087.1-274)+(0+(-1.663263--0.41922))+0-0-0</f>
        <v>811.85595699999988</v>
      </c>
      <c r="M101" s="3">
        <f>0+(1011.6-155.6)+(0+(0-0))+0-0-0</f>
        <v>856</v>
      </c>
      <c r="N101" s="3">
        <f>0+(1090-164.2)+(0+(-1.6677--0.251226))+0-0-0</f>
        <v>924.38352599999996</v>
      </c>
      <c r="O101" s="3">
        <f>0+(1190.5-205.2)+(0+(0.607155-0.104652))+0-0-0</f>
        <v>985.802503</v>
      </c>
      <c r="P101" s="3">
        <f>0+(1135.4-107.3)+(0+(0.579054-0.054723))+0-0-0</f>
        <v>1028.6243310000002</v>
      </c>
      <c r="Q101" s="3">
        <f>0+(1056.1-5.5)+(0+(1.077222-0.00561))+0-0-0</f>
        <v>1051.6716119999999</v>
      </c>
      <c r="R101" s="3">
        <f>0+(1047.3-0)+(0+(0.534123-0))+0-0-0</f>
        <v>1047.8341229999999</v>
      </c>
      <c r="S101" s="3">
        <f>0+(1027-0)+(0+(-0.52377-0))+0-0-0</f>
        <v>1026.47623</v>
      </c>
      <c r="T101" s="3">
        <f>0+(1022.8-0)+(0+(1.043256-0))+0-0-0</f>
        <v>1023.843256</v>
      </c>
      <c r="U101" s="3">
        <f>0+(1003.6-0)+(0+(-1.023672-0))+0-0-0</f>
        <v>1002.576328</v>
      </c>
      <c r="V101" s="3">
        <f>0+(1004.2-0)+(0+(0-0))+0-0-0</f>
        <v>1004.2</v>
      </c>
      <c r="W101" s="3">
        <f>0+(992.6-1.4)+(0+(-2.024904--0.002856))+0-0-0</f>
        <v>989.177952</v>
      </c>
      <c r="X101" s="3">
        <f>0+(981.8-11.7)+(0+(-2.002872--0.023868))+0-0-0</f>
        <v>968.12099599999988</v>
      </c>
      <c r="Y101" s="3">
        <f>0+(1025.2-75.8)+(0+(-0.522852--0.038658))+0-0-0</f>
        <v>948.91580600000009</v>
      </c>
      <c r="Z101" s="3">
        <f>0+(1043.2-66.6)+(0+(0.532032-0.033966))+0-0-0</f>
        <v>977.09806600000002</v>
      </c>
      <c r="AA101" s="3">
        <f>0+(1036.4-0)+(0+(-1.057128-0))+0-0-0</f>
        <v>1035.3428720000002</v>
      </c>
      <c r="AB101" s="3">
        <f>0+(1011-0)+(0+(0.51561-0))+0-0-0</f>
        <v>1011.51561</v>
      </c>
      <c r="AC101" s="3">
        <f>0+(1009.8-29.4)+(0+(-0.514998--0.014994))+0-0-0</f>
        <v>979.89999599999999</v>
      </c>
      <c r="AD101">
        <f t="shared" si="1"/>
        <v>22755.043576000004</v>
      </c>
      <c r="AE101" s="3">
        <f>0+(1054.6-0)+(0+(0-0))+0-0-0</f>
        <v>1054.5999999999999</v>
      </c>
    </row>
    <row r="102" spans="1:31" s="2" customFormat="1" x14ac:dyDescent="0.25">
      <c r="A102">
        <v>89</v>
      </c>
      <c r="B102">
        <v>4</v>
      </c>
      <c r="C102">
        <v>9</v>
      </c>
      <c r="D102">
        <v>5</v>
      </c>
      <c r="E102">
        <v>1</v>
      </c>
      <c r="F102" s="3">
        <f>0+(1047.1-116.9)+(0+(-3.204126--0.357714))+0-0-0</f>
        <v>927.35358799999995</v>
      </c>
      <c r="G102" s="3">
        <f>0+(1093-210.1)+(0+(0.55743-0.107151))+0-0-0</f>
        <v>883.350279</v>
      </c>
      <c r="H102" s="3">
        <f>0+(1137-277.2)+(0+(-2.31948--0.565488))+0-0-0</f>
        <v>858.04600799999992</v>
      </c>
      <c r="I102" s="3">
        <f>0+(1138.7-294.7)+(0+(-1.161474--0.300594))+0-0-0</f>
        <v>843.13912000000005</v>
      </c>
      <c r="J102" s="3">
        <f>0+(1142.7-308.8)+(0+(-0.582777--0.157488))+0-0-0</f>
        <v>833.47471100000007</v>
      </c>
      <c r="K102" s="3">
        <f>0+(1124.2-302.7)+(0+(-2.293368--0.617508))+0-0-0</f>
        <v>819.82413999999994</v>
      </c>
      <c r="L102" s="3">
        <f>0+(1103.9-287.8)+(0+(0-0))+0-0-0</f>
        <v>816.10000000000014</v>
      </c>
      <c r="M102" s="3">
        <f>0+(1094.9-231.4)+(0+(0.558399-0.118014))+0-0-0</f>
        <v>863.94038500000011</v>
      </c>
      <c r="N102" s="3">
        <f>0+(1154-216.6)+(0+(-1.17708--0.220932))+0-0-0</f>
        <v>936.44385199999999</v>
      </c>
      <c r="O102" s="3">
        <f>0+(1166-193.4)+(0+(1.18932-0.197268))+0-0-0</f>
        <v>973.59205199999997</v>
      </c>
      <c r="P102" s="3">
        <f>0+(1085.5-67.4)+(0+(0-0))+0-0-0</f>
        <v>1018.1</v>
      </c>
      <c r="Q102" s="3">
        <f>0+(1034.9-0)+(0+(1.055598-0))+0-0-0</f>
        <v>1035.955598</v>
      </c>
      <c r="R102" s="3">
        <f>0+(953.1-0)+(0+(-0.486081-0))+55-0-0</f>
        <v>1007.613919</v>
      </c>
      <c r="S102" s="3">
        <f>0+(930.9-0)+(0+(0.949518-0))+55-0-0</f>
        <v>986.84951799999999</v>
      </c>
      <c r="T102" s="3">
        <f>0+(939.1-0)+(0+(0.478941-0))+55-0-0</f>
        <v>994.57894099999999</v>
      </c>
      <c r="U102" s="3">
        <f>0+(994.9-0)+(0+(0.507399-0))+0-0-0</f>
        <v>995.40739899999994</v>
      </c>
      <c r="V102" s="3">
        <f>0+(1013.3-0)+(0+(-1.550349-0))+0-0-0</f>
        <v>1011.749651</v>
      </c>
      <c r="W102" s="3">
        <f>0+(993.9-0)+(0+(-2.027556-0))+0-0-0</f>
        <v>991.87244399999997</v>
      </c>
      <c r="X102" s="3">
        <f>0+(970-0)+(0+(-1.9788-0))+0-0-0</f>
        <v>968.02120000000002</v>
      </c>
      <c r="Y102" s="3">
        <f>0+(1004.6-53.2)+(0+(-2.049384--0.108528))+0-0-0</f>
        <v>949.45914399999992</v>
      </c>
      <c r="Z102" s="3">
        <f>0+(1034.8-53.1)+(0+(0.527748-0.027081))+0-0-0</f>
        <v>982.20066699999995</v>
      </c>
      <c r="AA102" s="3">
        <f>0+(1037.5-0)+(0+(0-0))+0-0-0</f>
        <v>1037.5</v>
      </c>
      <c r="AB102" s="3">
        <f>0+(1015.1-0)+(0+(-0.517701-0))+0-0-0</f>
        <v>1014.582299</v>
      </c>
      <c r="AC102" s="3">
        <f>0+(995.2-6.4)+(0+(-0.507552--0.003264))+0-0-0</f>
        <v>988.29571200000009</v>
      </c>
      <c r="AD102">
        <f t="shared" si="1"/>
        <v>22737.450627000002</v>
      </c>
      <c r="AE102" s="3">
        <f>0+(1056.4-0)+(0+(0-0))+0-0-0</f>
        <v>1056.4000000000001</v>
      </c>
    </row>
    <row r="103" spans="1:31" s="2" customFormat="1" x14ac:dyDescent="0.25">
      <c r="A103">
        <v>89</v>
      </c>
      <c r="B103">
        <v>4</v>
      </c>
      <c r="C103">
        <v>10</v>
      </c>
      <c r="D103">
        <v>6</v>
      </c>
      <c r="E103">
        <v>1</v>
      </c>
      <c r="F103" s="3">
        <f>0+(971.1-38.6)+(0+(-1.485783--0.059058))+0-0-0</f>
        <v>931.07327499999997</v>
      </c>
      <c r="G103" s="3">
        <f>0+(1055.8-173.3)+(0+(-0.538458--0.088383))+0-0-0</f>
        <v>882.04992500000003</v>
      </c>
      <c r="H103" s="3">
        <f>0+(1149-293.4)+(0+(-1.75797--0.448902))+0-0-0</f>
        <v>854.290932</v>
      </c>
      <c r="I103" s="3">
        <f>0+(1133.3-301)+(0+(0-0))+0-0-0</f>
        <v>832.3</v>
      </c>
      <c r="J103" s="3">
        <f>0+(1067-241.1)+(0+(1.08834-0.245922))+0-0-0</f>
        <v>826.74241799999993</v>
      </c>
      <c r="K103" s="3">
        <f>0+(1087-269.1)+(0+(-2.21748--0.548964))+0-0-0</f>
        <v>816.23148400000002</v>
      </c>
      <c r="L103" s="3">
        <f>0+(1108.3-305.7)+(0+(-1.130466--0.311814))+0-0-0</f>
        <v>801.78134799999987</v>
      </c>
      <c r="M103" s="3">
        <f>0+(1084.5-235.1)+(0+(1.659285-0.359703))+0-0-0</f>
        <v>850.69958199999996</v>
      </c>
      <c r="N103" s="3">
        <f>0+(1107.2-189.9)+(0+(-0.564672--0.096849))+0-0-0</f>
        <v>916.83217700000012</v>
      </c>
      <c r="O103" s="3">
        <f>0+(1139.4-178.4)+(0+(0-0))+0-0-0</f>
        <v>961.00000000000011</v>
      </c>
      <c r="P103" s="3">
        <f>0+(1084.4-84.4)+(0+(2.76522-0.21522))+0-0-0</f>
        <v>1002.5500000000001</v>
      </c>
      <c r="Q103" s="3">
        <f>0+(1011.3-1.2)+(0+(0.515763-0.000612))+0-0-0</f>
        <v>1010.6151509999999</v>
      </c>
      <c r="R103" s="3">
        <f>0+(1015.5-0)+(0+(0.517905-0))+0-0-0</f>
        <v>1016.017905</v>
      </c>
      <c r="S103" s="3">
        <f>0+(985.6-0)+(0+(0-0))+0-0-0</f>
        <v>985.6</v>
      </c>
      <c r="T103" s="3">
        <f>0+(983.9-0)+(0+(0-0))+0-0-0</f>
        <v>983.9</v>
      </c>
      <c r="U103" s="3">
        <f>0+(983.3-0)+(0+(-1.504449-0))+0-0-0</f>
        <v>981.79555099999993</v>
      </c>
      <c r="V103" s="3">
        <f>0+(979.5-0)+(0+(0-0))+0-0-0</f>
        <v>979.5</v>
      </c>
      <c r="W103" s="3">
        <f>0+(996.7-33.8)+(0+(-2.541585--0.08619))+0-0-0</f>
        <v>960.44460500000014</v>
      </c>
      <c r="X103" s="3">
        <f>0+(1076.7-142.4)+(0+(-2.196468--0.290496))+0-0-0</f>
        <v>932.39402800000005</v>
      </c>
      <c r="Y103" s="3">
        <f>0+(1078.5-173.2)+(0+(-2.20014--0.353328))+0-0-0</f>
        <v>903.45318799999995</v>
      </c>
      <c r="Z103" s="3">
        <f>0+(1110.4-170.1)+(0+(-0.566304--0.086751))+0-0-0</f>
        <v>939.82044700000006</v>
      </c>
      <c r="AA103" s="3">
        <f>0+(1082.4-79.8)+(0+(-1.104048--0.081396))+0-0-0</f>
        <v>1001.5773480000001</v>
      </c>
      <c r="AB103" s="3">
        <f>0+(1052.3-70.1)+(0+(-1.073346--0.071502))+0-0-0</f>
        <v>981.19815599999993</v>
      </c>
      <c r="AC103" s="3">
        <f>0+(1079.6-124.8)+(0+(-0.550596--0.063648))+0-0-0</f>
        <v>954.31305199999997</v>
      </c>
      <c r="AD103">
        <f t="shared" si="1"/>
        <v>22306.180571999994</v>
      </c>
      <c r="AE103" s="3">
        <f>0+(1078.6-61.7)+(0+(0-0))+0-0-0</f>
        <v>1016.8999999999999</v>
      </c>
    </row>
    <row r="104" spans="1:31" s="2" customFormat="1" x14ac:dyDescent="0.25">
      <c r="A104">
        <v>89</v>
      </c>
      <c r="B104">
        <v>4</v>
      </c>
      <c r="C104">
        <v>11</v>
      </c>
      <c r="D104">
        <v>7</v>
      </c>
      <c r="E104">
        <v>1</v>
      </c>
      <c r="F104" s="3">
        <f>0+(1069.1-158.5)+(0+(0-0))+0-0-0</f>
        <v>910.59999999999991</v>
      </c>
      <c r="G104" s="3">
        <f>0+(1074-204.8)+(0+(-1.09548--0.208896))+0-0-0</f>
        <v>868.31341600000007</v>
      </c>
      <c r="H104" s="3">
        <f>0+(1111.6-274.4)+(0+(0-0))+0-0-0</f>
        <v>837.19999999999993</v>
      </c>
      <c r="I104" s="3">
        <f>0+(1137.4-320.9)+(0+(-2.320296--0.654636))+0-0-0</f>
        <v>814.83434000000011</v>
      </c>
      <c r="J104" s="3">
        <f>0+(1173.4-365.6)+(0+(-1.196868--0.372912))+0-0-0</f>
        <v>806.97604400000012</v>
      </c>
      <c r="K104" s="3">
        <f>0+(1092.6-309.9)+(0+(-2.78613--0.790245))+0-0-0</f>
        <v>780.70411499999989</v>
      </c>
      <c r="L104" s="3">
        <f>0+(1050.5-317.2)+(0+(-1.07151--0.323544))+0-0-0</f>
        <v>732.55203399999994</v>
      </c>
      <c r="M104" s="3">
        <f>0+(1047.9-312.2)+(0+(0-0))+0-0-0</f>
        <v>735.7</v>
      </c>
      <c r="N104" s="3">
        <f>0+(1090.4-328.7)+(0+(0-0))+0-0-0</f>
        <v>761.7</v>
      </c>
      <c r="O104" s="3">
        <f>0+(1165.5-377.5)+(0+(-1.18881--0.38505))+0-0-0</f>
        <v>787.19623999999999</v>
      </c>
      <c r="P104" s="3">
        <f>0+(1177.8-355.1)+(0+(0-0))+0-0-0</f>
        <v>822.69999999999993</v>
      </c>
      <c r="Q104" s="3">
        <f>0+(1136.4-288.8)+(0+(-0.579564--0.147288))+0-0-0</f>
        <v>847.16772400000013</v>
      </c>
      <c r="R104" s="3">
        <f>0+(1158.8-298)+(0+(-0.590988--0.15198))+0-0-0</f>
        <v>860.36099200000001</v>
      </c>
      <c r="S104" s="3">
        <f>0+(1142.3-291.7)+(0+(1.165146-0.297534))+0-0-0</f>
        <v>851.46761199999992</v>
      </c>
      <c r="T104" s="3">
        <f>0+(1127.7-283.7)+(0+(-0.575127--0.144687))+0-0-0</f>
        <v>843.56956000000002</v>
      </c>
      <c r="U104" s="3">
        <f>0+(1143.9-302.7)+(0+(-0.583389--0.154377))+0-0-0</f>
        <v>840.7709880000001</v>
      </c>
      <c r="V104" s="3">
        <f>0+(1142.3-301.8)+(0+(0.582573-0.153918))+0-0-0</f>
        <v>840.92865500000005</v>
      </c>
      <c r="W104" s="3">
        <f>0+(1133.8-297.3)+(0+(-2.312952--0.606492))+0-0-0</f>
        <v>834.79354000000001</v>
      </c>
      <c r="X104" s="3">
        <f>0+(1097-273.4)+(0+(-0.55947--0.139434))+0-0-0</f>
        <v>823.17996400000004</v>
      </c>
      <c r="Y104" s="3">
        <f>0+(1064.4-259.7)+(0+(-1.628532--0.397341))+0-0-0</f>
        <v>803.46880900000008</v>
      </c>
      <c r="Z104" s="3">
        <f>0+(1054.7-226)+(0+(0-0))+0-0-0</f>
        <v>828.7</v>
      </c>
      <c r="AA104" s="3">
        <f>0+(1077.3-171.6)+(0+(-0.549423--0.087516))+0-0-0</f>
        <v>905.23809299999994</v>
      </c>
      <c r="AB104" s="3">
        <f>0+(1043-150.7)+(0+(-1.06386--0.153714))+0-0-0</f>
        <v>891.3898539999999</v>
      </c>
      <c r="AC104" s="3">
        <f>0+(1057.9-187.9)+(0+(0.539529-0.095829))+0-0-0</f>
        <v>870.44370000000015</v>
      </c>
      <c r="AD104">
        <f t="shared" si="1"/>
        <v>19899.955680000003</v>
      </c>
      <c r="AE104" s="3">
        <f>0+(1077-152.4)+(0+(0-0))+0-0-0</f>
        <v>924.6</v>
      </c>
    </row>
    <row r="105" spans="1:31" s="2" customFormat="1" x14ac:dyDescent="0.25">
      <c r="A105">
        <v>89</v>
      </c>
      <c r="B105">
        <v>4</v>
      </c>
      <c r="C105">
        <v>12</v>
      </c>
      <c r="D105">
        <v>1</v>
      </c>
      <c r="E105">
        <v>1</v>
      </c>
      <c r="F105" s="3">
        <f>0+(1088.1-261.4)+(0+(1.109862-0.266628))+0-0-0</f>
        <v>827.54323399999998</v>
      </c>
      <c r="G105" s="3">
        <f>0+(1090.1-304.5)+(0+(-0.555951--0.155295))+0-0-0</f>
        <v>785.19934399999988</v>
      </c>
      <c r="H105" s="3">
        <f>0+(1108.5-349.3)+(0+(-0.565335--0.178143))+0-0-0</f>
        <v>758.81280800000002</v>
      </c>
      <c r="I105" s="3">
        <f>0+(1146.3-395.8)+(0+(0-0))+0-0-0</f>
        <v>750.5</v>
      </c>
      <c r="J105" s="3">
        <f>0+(1159.8-413.9)+(0+(-1.774494--0.633267))+0-0-0</f>
        <v>744.75877300000002</v>
      </c>
      <c r="K105" s="3">
        <f>0+(1154.4-412.5)+(0+(-2.94372--1.051875))+0-0-0</f>
        <v>740.0081550000001</v>
      </c>
      <c r="L105" s="3">
        <f>0+(1133.5-373.8)+(0+(0-0))+0-0-0</f>
        <v>759.7</v>
      </c>
      <c r="M105" s="3">
        <f>0+(1165.3-332.5)+(0+(1.188606-0.33915))+0-0-0</f>
        <v>833.64945599999999</v>
      </c>
      <c r="N105" s="3">
        <f>0+(1269.1-348.3)+(0+(0.647241-0.177633))+0-0-0</f>
        <v>921.26960799999995</v>
      </c>
      <c r="O105" s="3">
        <f>0+(1270.6-301.9)+(0+(1.944018-0.461907))+0-0-0</f>
        <v>970.18211099999996</v>
      </c>
      <c r="P105" s="3">
        <f>0+(1205.5-209.1)+(0+(2.45922-0.426564))+0-0-0</f>
        <v>998.43265599999995</v>
      </c>
      <c r="Q105" s="3">
        <f>0+(1105.7-76.9)+(0+(-0.563907--0.039219))+0-0-0</f>
        <v>1028.275312</v>
      </c>
      <c r="R105" s="3">
        <f>0+(1063.4-37.2)+(0+(0-0))+0-0-0</f>
        <v>1026.2</v>
      </c>
      <c r="S105" s="3">
        <f>0+(1018.1-20)+(0+(0-0))+0-0-0</f>
        <v>998.1</v>
      </c>
      <c r="T105" s="3">
        <f>0+(1010-1.8)+(0+(0.5151-0.000918))+0-0-0</f>
        <v>1008.7141820000001</v>
      </c>
      <c r="U105" s="3">
        <f>0+(1013.6-4.8)+(0+(0.516936-0.002448))+0-0-0</f>
        <v>1009.3144880000001</v>
      </c>
      <c r="V105" s="3">
        <f>0+(1014.6-4.3)+(0+(1.034892-0.004386))+0-0-0</f>
        <v>1011.330506</v>
      </c>
      <c r="W105" s="3">
        <f>0+(1006.2-12.2)+(0+(0-0))+0-0-0</f>
        <v>994</v>
      </c>
      <c r="X105" s="3">
        <f>0+(1060.3-100.7)+(0+(-1.081506--0.102714))+0-0-0</f>
        <v>958.62120799999991</v>
      </c>
      <c r="Y105" s="3">
        <f>0+(1083.3-141.3)+(0+(0-0))+0-0-0</f>
        <v>942</v>
      </c>
      <c r="Z105" s="3">
        <f>0+(1119.7-152.8)+(0+(-0.571047--0.077928))+0-0-0</f>
        <v>966.40688100000011</v>
      </c>
      <c r="AA105" s="3">
        <f>0+(1071.7-56.3)+(0+(-1.093134--0.057426))+0-0-0</f>
        <v>1014.3642920000001</v>
      </c>
      <c r="AB105" s="3">
        <f>0+(1070.6-75.6)+(0+(0-0))+0-0-0</f>
        <v>994.99999999999989</v>
      </c>
      <c r="AC105" s="3">
        <f>0+(1087.1-118.2)+(0+(-0.554421--0.060282))+0-0-0</f>
        <v>968.40586099999985</v>
      </c>
      <c r="AD105">
        <f t="shared" si="1"/>
        <v>22010.788874999995</v>
      </c>
      <c r="AE105" s="3">
        <f>0+(1079.8-43)+(0+(0-0))+0-0-0</f>
        <v>1036.8</v>
      </c>
    </row>
    <row r="106" spans="1:31" s="2" customFormat="1" x14ac:dyDescent="0.25">
      <c r="A106">
        <v>89</v>
      </c>
      <c r="B106">
        <v>4</v>
      </c>
      <c r="C106">
        <v>13</v>
      </c>
      <c r="D106">
        <v>2</v>
      </c>
      <c r="E106">
        <v>1</v>
      </c>
      <c r="F106" s="3">
        <f>0+(1121.2-206.1)+(0+(-1.143624--0.210222))+0-0-0</f>
        <v>914.16659800000002</v>
      </c>
      <c r="G106" s="3">
        <f>0+(1157.2-293.9)+(0+(-1.180344--0.299778))+0-0-0</f>
        <v>862.41943400000002</v>
      </c>
      <c r="H106" s="3">
        <f>0+(1180-339.1)+(0+(0-0))+0-0-0</f>
        <v>840.9</v>
      </c>
      <c r="I106" s="3">
        <f>0+(1210.1-382.3)+(0+(0-0))+0-0-0</f>
        <v>827.8</v>
      </c>
      <c r="J106" s="3">
        <f>0+(1169.8-353.7)+(0+(1.789794-0.541161))+0-0-0</f>
        <v>817.34863299999995</v>
      </c>
      <c r="K106" s="3">
        <f>0+(1082.9-274.9)+(0+(-0.552279--0.140199))+0-0-0</f>
        <v>807.58792000000017</v>
      </c>
      <c r="L106" s="3">
        <f>0+(1111.9-308.7)+(0+(0-0))+0-0-0</f>
        <v>803.2</v>
      </c>
      <c r="M106" s="3">
        <f>0+(1115.4-259.6)+(0+(-1.706562--0.397188))+0-0-0</f>
        <v>854.49062600000002</v>
      </c>
      <c r="N106" s="3">
        <f>0+(1195.7-276.6)+(0+(-1.219614--0.282132))+0-0-0</f>
        <v>918.16251799999998</v>
      </c>
      <c r="O106" s="3">
        <f>0+(1172.1-200.8)+(0+(-1.793313--0.307224))+0-0-0</f>
        <v>969.81391099999996</v>
      </c>
      <c r="P106" s="3">
        <f>0+(1172.8-157.7)+(0+(-0.598128--0.080427))+0-0-0</f>
        <v>1014.5822989999999</v>
      </c>
      <c r="Q106" s="3">
        <f>0+(1100-72.1)+(0+(-0.561--0.036771))+0-0-0</f>
        <v>1027.375771</v>
      </c>
      <c r="R106" s="3">
        <f>0+(1045.3-14.4)+(0+(1.066206-0.014688))+0-0-0</f>
        <v>1031.9515179999999</v>
      </c>
      <c r="S106" s="3">
        <f>0+(1009.4-0)+(0+(0.514794-0))+0-0-0</f>
        <v>1009.914794</v>
      </c>
      <c r="T106" s="3">
        <f>0+(1015.6-0)+(0+(0.517956-0))+0-0-0</f>
        <v>1016.117956</v>
      </c>
      <c r="U106" s="3">
        <f>0+(1015.8-1.9)+(0+(0.518058-0.000969))+6.6-0-0</f>
        <v>1021.0170890000001</v>
      </c>
      <c r="V106" s="3">
        <f>0+(991.4-2.4)+(0+(-0.505614--0.001224))+22-0-0</f>
        <v>1010.4956100000001</v>
      </c>
      <c r="W106" s="3">
        <f>0+(980.3-12.2)+(0+(-1.499859--0.018666))+20.2-0-0</f>
        <v>986.81880699999999</v>
      </c>
      <c r="X106" s="3">
        <f>0+(1050.1-91.1)+(0+(-1.071102--0.092922))+0-0-0</f>
        <v>958.02181999999993</v>
      </c>
      <c r="Y106" s="3">
        <f>0+(1116-178.6)+(0+(-0.56916--0.091086))+0-0-0</f>
        <v>936.92192599999998</v>
      </c>
      <c r="Z106" s="3">
        <f>0+(1110.6-142)+(0+(1.132812-0.14484))+0-0-0</f>
        <v>969.58797199999992</v>
      </c>
      <c r="AA106" s="3">
        <f>0+(1073.3-48.7)+(0+(0-0))+0-0-0</f>
        <v>1024.5999999999999</v>
      </c>
      <c r="AB106" s="3">
        <f>0+(1054.5-47.4)+(0+(-0.537795--0.024174))+0-0-0</f>
        <v>1006.5863790000001</v>
      </c>
      <c r="AC106" s="3">
        <f>0+(1080.3-105.6)+(0+(0.550953-0.053856))+0-0-0</f>
        <v>975.19709699999999</v>
      </c>
      <c r="AD106">
        <f t="shared" si="1"/>
        <v>22605.078677999998</v>
      </c>
      <c r="AE106" s="3">
        <f>0+(1082.1-47.1)+(0+(0-0))+0-0-0</f>
        <v>1035</v>
      </c>
    </row>
    <row r="107" spans="1:31" s="2" customFormat="1" x14ac:dyDescent="0.25">
      <c r="A107">
        <v>89</v>
      </c>
      <c r="B107">
        <v>4</v>
      </c>
      <c r="C107">
        <v>14</v>
      </c>
      <c r="D107">
        <v>3</v>
      </c>
      <c r="E107">
        <v>1</v>
      </c>
      <c r="F107" s="3">
        <f>0+(1112.1-193.4)+(0+(0.567171-0.098634))+0-0-0</f>
        <v>919.1685369999999</v>
      </c>
      <c r="G107" s="3">
        <f>0+(1157.9-276.3)+(0+(-0.590529--0.140913))+0-0-0</f>
        <v>881.15038400000014</v>
      </c>
      <c r="H107" s="3">
        <f>0+(1160.8-309.5)+(0+(-1.184016--0.31569))+0-0-0</f>
        <v>850.43167399999993</v>
      </c>
      <c r="I107" s="3">
        <f>0+(1190.8-358.5)+(0+(-0.607308--0.182835))+0-0-0</f>
        <v>831.87552699999992</v>
      </c>
      <c r="J107" s="3">
        <f>0+(1210.8-376.9)+(0+(-1.235016--0.384438))+0-0-0</f>
        <v>833.04942199999994</v>
      </c>
      <c r="K107" s="3">
        <f>0+(1181.5-352)+(0+(-3.012825--0.8976))+0-0-0</f>
        <v>827.38477499999999</v>
      </c>
      <c r="L107" s="3">
        <f>0+(1087.1-273.4)+(0+(-2.217684--0.557736))+0-0-0</f>
        <v>812.04005199999995</v>
      </c>
      <c r="M107" s="3">
        <f>0+(1214.4-340.5)+(0+(0-0))+0-0-0</f>
        <v>873.90000000000009</v>
      </c>
      <c r="N107" s="3">
        <f>0+(1259.3-327.9)+(0+(0-0))+0-0-0</f>
        <v>931.4</v>
      </c>
      <c r="O107" s="3">
        <f>0+(1220.2-243.1)+(0+(0.622302-0.123981))+0-0-0</f>
        <v>977.59832100000006</v>
      </c>
      <c r="P107" s="3">
        <f>0+(1132.1-121.4)+(0+(0.577371-0.061914))+0-0-0</f>
        <v>1011.2154569999999</v>
      </c>
      <c r="Q107" s="3">
        <f>0+(1035-0)+(0+(1.0557-0))+0-0-0</f>
        <v>1036.0556999999999</v>
      </c>
      <c r="R107" s="3">
        <f>0+(1043.3-0)+(0+(1.596249-0))+0-0-0</f>
        <v>1044.8962489999999</v>
      </c>
      <c r="S107" s="3">
        <f>0+(1003-0)+(0+(1.02306-0))+10-0-0</f>
        <v>1014.02306</v>
      </c>
      <c r="T107" s="3">
        <f>0+(996.4-0)+(0+(1.524492-0))+23.3-0-0</f>
        <v>1021.2244919999999</v>
      </c>
      <c r="U107" s="3">
        <f>0+(1005.5-0)+(0+(1.538415-0))+22.2-0-0</f>
        <v>1029.238415</v>
      </c>
      <c r="V107" s="3">
        <f>0+(1003.6-0)+(0+(0-0))+20-0-0</f>
        <v>1023.6</v>
      </c>
      <c r="W107" s="3">
        <f>0+(988.5-0)+(0+(-1.00827-0))+8.4-0-0</f>
        <v>995.89172999999994</v>
      </c>
      <c r="X107" s="3">
        <f>0+(970.7-0)+(0+(-0.990114-0))+2.2-0-0</f>
        <v>971.90988600000014</v>
      </c>
      <c r="Y107" s="3">
        <f>0+(1004.7-76.4)+(0+(-0.512397--0.038964))+5.4-0-0</f>
        <v>933.22656700000005</v>
      </c>
      <c r="Z107" s="3">
        <f>0+(1044.2-61.1)+(0+(1.065084-0.062322))+0-0-0</f>
        <v>984.10276199999998</v>
      </c>
      <c r="AA107" s="3">
        <f>0+(1048.4-0)+(0+(-0.534684-0))+0-0-0</f>
        <v>1047.8653160000001</v>
      </c>
      <c r="AB107" s="3">
        <f>0+(1028.7-0)+(0+(0-0))+0-0-0</f>
        <v>1028.7</v>
      </c>
      <c r="AC107" s="3">
        <f>0+(1010.4-16.1)+(0+(-1.030608--0.016422))+0-0-0</f>
        <v>993.28581399999996</v>
      </c>
      <c r="AD107">
        <f t="shared" si="1"/>
        <v>22873.23414</v>
      </c>
      <c r="AE107" s="3">
        <f>0+(1066.8-0)+(0+(0-0))+0-0-0</f>
        <v>1066.8</v>
      </c>
    </row>
    <row r="108" spans="1:31" s="2" customFormat="1" x14ac:dyDescent="0.25">
      <c r="A108">
        <v>89</v>
      </c>
      <c r="B108">
        <v>4</v>
      </c>
      <c r="C108">
        <v>15</v>
      </c>
      <c r="D108">
        <v>4</v>
      </c>
      <c r="E108">
        <v>1</v>
      </c>
      <c r="F108" s="3">
        <f>0+(1039.8-96.2)+(0+(-2.121192--0.196248))+0-0-0</f>
        <v>941.67505599999993</v>
      </c>
      <c r="G108" s="3">
        <f>0+(1074.2-177)+(0+(1.643526-0.27081))+0-0-0</f>
        <v>898.57271600000001</v>
      </c>
      <c r="H108" s="3">
        <f>0+(1035.5-178.1)+(0+(0-0))+0-0-0</f>
        <v>857.4</v>
      </c>
      <c r="I108" s="3">
        <f>0+(1047.6-200.2)+(0+(-0.534276--0.102102))+0-0-0</f>
        <v>846.96782599999983</v>
      </c>
      <c r="J108" s="3">
        <f>0+(1068.4-223.5)+(0+(-2.179536--0.45594))+0-0-0</f>
        <v>843.17640400000005</v>
      </c>
      <c r="K108" s="3">
        <f>0+(1073.5-246.5)+(0+(-1.642455--0.377145))+0-0-0</f>
        <v>825.73469</v>
      </c>
      <c r="L108" s="3">
        <f>0+(1108.8-281.8)+(0+(-1.130976--0.287436))+0-0-0</f>
        <v>826.15646000000004</v>
      </c>
      <c r="M108" s="3">
        <f>0+(1145-266.1)+(0+(0-0))+0-0-0</f>
        <v>878.9</v>
      </c>
      <c r="N108" s="3">
        <f>0+(1258.6-301.7)+(0+(0.641886-0.153867))+0-0-0</f>
        <v>957.38801899999987</v>
      </c>
      <c r="O108" s="3">
        <f>0+(1202.1-205.5)+(0+(2.452284-0.41922))+0-0-0</f>
        <v>998.63306399999988</v>
      </c>
      <c r="P108" s="3">
        <f>0+(1123.3-80.3)+(0+(1.145766-0.081906))+0-0-0</f>
        <v>1044.06386</v>
      </c>
      <c r="Q108" s="3">
        <f>0+(1057.9-0)+(0+(0.539529-0))+0-0-0</f>
        <v>1058.439529</v>
      </c>
      <c r="R108" s="3">
        <f>0+(1047.5-0)+(0+(0.534225-0))+0-0-0</f>
        <v>1048.0342250000001</v>
      </c>
      <c r="S108" s="3">
        <f>0+(1026-0)+(0+(0.52326-0))+0-0-0</f>
        <v>1026.5232599999999</v>
      </c>
      <c r="T108" s="3">
        <f>0+(1036.6-0)+(0+(1.057332-0))+0-0-0</f>
        <v>1037.657332</v>
      </c>
      <c r="U108" s="3">
        <f>0+(1031.7-0)+(0+(1.578501-0))+0-0-0</f>
        <v>1033.278501</v>
      </c>
      <c r="V108" s="3">
        <f>0+(1023.5-0)+(0+(1.04397-0))+0-0-0</f>
        <v>1024.5439699999999</v>
      </c>
      <c r="W108" s="3">
        <f>0+(1012.2-0)+(0+(0.516222-0))+0-0-0</f>
        <v>1012.716222</v>
      </c>
      <c r="X108" s="3">
        <f>0+(996.9-0)+(0+(-0.508419-0))+0-0-0</f>
        <v>996.39158099999997</v>
      </c>
      <c r="Y108" s="3">
        <f>0+(1050.7-78.2)+(0+(0-0))+0-0-0</f>
        <v>972.5</v>
      </c>
      <c r="Z108" s="3">
        <f>0+(1076.1-73.1)+(0+(1.097622-0.074562))+0-0-0</f>
        <v>1004.0230599999999</v>
      </c>
      <c r="AA108" s="3">
        <f>0+(1059.8-0)+(0+(0-0))+0-0-0</f>
        <v>1059.8</v>
      </c>
      <c r="AB108" s="3">
        <f>0+(1038.4-0)+(0+(0.529584-0))+0-0-0</f>
        <v>1038.9295840000002</v>
      </c>
      <c r="AC108" s="3">
        <f>0+(1008.4-5.2)+(0+(-1.542852--0.007956))+0-0-0</f>
        <v>1001.6651039999999</v>
      </c>
      <c r="AD108">
        <f t="shared" si="1"/>
        <v>23233.170462999999</v>
      </c>
      <c r="AE108" s="3">
        <f>0+(1082.3-0)+(0+(0-0))+0-0-0</f>
        <v>1082.3</v>
      </c>
    </row>
    <row r="109" spans="1:31" s="2" customFormat="1" x14ac:dyDescent="0.25">
      <c r="A109">
        <v>89</v>
      </c>
      <c r="B109">
        <v>4</v>
      </c>
      <c r="C109">
        <v>16</v>
      </c>
      <c r="D109">
        <v>5</v>
      </c>
      <c r="E109">
        <v>1</v>
      </c>
      <c r="F109" s="3">
        <f>0+(1005.1-44.8)+(0+(-1.025202--0.045696))+0-0-0</f>
        <v>959.32049400000005</v>
      </c>
      <c r="G109" s="3">
        <f>0+(1057.9-152.3)+(0+(-0.539529--0.077673))+0-0-0</f>
        <v>905.13814400000012</v>
      </c>
      <c r="H109" s="3">
        <f>0+(1121-240.3)+(0+(0-0))+0-0-0</f>
        <v>880.7</v>
      </c>
      <c r="I109" s="3">
        <f>0+(1176.8-299.9)+(0+(-0.600168--0.152949))+0-0-0</f>
        <v>876.45278099999996</v>
      </c>
      <c r="J109" s="3">
        <f>0+(1163.1-307.4)+(0+(0-0))+0-0-0</f>
        <v>855.69999999999993</v>
      </c>
      <c r="K109" s="3">
        <f>0+(1152.9-307.6)+(0+(-2.939895--0.78438))+0-0-0</f>
        <v>843.14448500000003</v>
      </c>
      <c r="L109" s="3">
        <f>0+(1163.5-327.1)+(0+(-1.18677--0.333642))+0-0-0</f>
        <v>835.54687200000001</v>
      </c>
      <c r="M109" s="3">
        <f>0+(1164.6-279.3)+(0+(0.593946-0.142443))+0-0-0</f>
        <v>885.75150299999996</v>
      </c>
      <c r="N109" s="3">
        <f>0+(1230.4-278.5)+(0+(0.627504-0.142035))+0-0-0</f>
        <v>952.38546900000006</v>
      </c>
      <c r="O109" s="3">
        <f>0+(1119.1-119.9)+(0+(0.570741-0.061149))+0-0-0</f>
        <v>999.70959199999993</v>
      </c>
      <c r="P109" s="3">
        <f>0+(1018.4-8.3)+(0+(1.038768-0.008466))+0-0-0</f>
        <v>1011.130302</v>
      </c>
      <c r="Q109" s="3">
        <f>0+(1027-0)+(0+(0-0))+0-0-0</f>
        <v>1027</v>
      </c>
      <c r="R109" s="3">
        <f>0+(1016-0)+(0+(1.55448-0))+17.3-0-0</f>
        <v>1034.85448</v>
      </c>
      <c r="S109" s="3">
        <f>0+(990.8-0)+(0+(0.505308-0))+26-0-0</f>
        <v>1017.305308</v>
      </c>
      <c r="T109" s="3">
        <f>0+(990.8-0)+(0+(0-0))+26-0-0</f>
        <v>1016.8</v>
      </c>
      <c r="U109" s="3">
        <f>0+(1011.3-0)+(0+(-1.031526-0))+26-0-0</f>
        <v>1036.268474</v>
      </c>
      <c r="V109" s="3">
        <f>0+(1005.6-0)+(0+(-0.512856-0))+4.3-0-0</f>
        <v>1009.3871439999999</v>
      </c>
      <c r="W109" s="3">
        <f>0+(1002.3-1.7)+(0+(1.022346-0.001734))+0-0-0</f>
        <v>1001.6206119999999</v>
      </c>
      <c r="X109" s="3">
        <f>0+(988.8-6.5)+(0+(-0.504288--0.003315))+0-0-0</f>
        <v>981.79902699999991</v>
      </c>
      <c r="Y109" s="3">
        <f>0+(976.8-22.4)+(0+(0-0))+0-0-0</f>
        <v>954.4</v>
      </c>
      <c r="Z109" s="3">
        <f>0+(1025.5-38)+(0+(0.523005-0.01938))+0-0-0</f>
        <v>988.00362500000006</v>
      </c>
      <c r="AA109" s="3">
        <f>0+(1049.8-8.6)+(0+(0-0))+0-0-0</f>
        <v>1041.2</v>
      </c>
      <c r="AB109" s="3">
        <f>0+(1054.4-16.5)+(0+(0.537744-0.008415))+0-0-0</f>
        <v>1038.4293290000001</v>
      </c>
      <c r="AC109" s="3">
        <f>0+(1011.2-4.4)+(0+(0-0))+0-0-0</f>
        <v>1006.8000000000001</v>
      </c>
      <c r="AD109">
        <f t="shared" si="1"/>
        <v>23158.847641</v>
      </c>
      <c r="AE109" s="3">
        <f>0+(1071.1-15.1)+(0+(0-0))+0-0-0</f>
        <v>1056</v>
      </c>
    </row>
    <row r="110" spans="1:31" s="2" customFormat="1" x14ac:dyDescent="0.25">
      <c r="A110">
        <v>89</v>
      </c>
      <c r="B110">
        <v>4</v>
      </c>
      <c r="C110">
        <v>17</v>
      </c>
      <c r="D110">
        <v>6</v>
      </c>
      <c r="E110">
        <v>1</v>
      </c>
      <c r="F110" s="3">
        <f>0+(979.3-30.6)+(0+(0.499443-0.015606))+0-0-0</f>
        <v>949.18383699999993</v>
      </c>
      <c r="G110" s="3">
        <f>0+(990.9-102.4)+(0+(0-0))+0-0-0</f>
        <v>888.5</v>
      </c>
      <c r="H110" s="3">
        <f>0+(1014.9-160.8)+(0+(0.517599-0.082008))+0-0-0</f>
        <v>854.53559099999995</v>
      </c>
      <c r="I110" s="3">
        <f>0+(1050.5-211.5)+(0+(1.07151-0.21573))+0-0-0</f>
        <v>839.85577999999998</v>
      </c>
      <c r="J110" s="3">
        <f>0+(1049.4-209.8)+(0+(0.535194-0.106998))+0-0-0</f>
        <v>840.02819600000009</v>
      </c>
      <c r="K110" s="3">
        <f>0+(1055-234.8)+(0+(0-0))+0-0-0</f>
        <v>820.2</v>
      </c>
      <c r="L110" s="3">
        <f>0+(1071.9-277.6)+(0+(-1.640007--0.424728))+0-0-0</f>
        <v>793.08472100000006</v>
      </c>
      <c r="M110" s="3">
        <f>0+(1134.9-300.1)+(0+(-1.736397--0.459153))+0-0-0</f>
        <v>833.52275600000007</v>
      </c>
      <c r="N110" s="3">
        <f>0+(1225.1-320)+(0+(-2.499204--0.6528))+0-0-0</f>
        <v>903.2535959999999</v>
      </c>
      <c r="O110" s="3">
        <f>0+(1211-260.4)+(0+(-0.61761--0.132804))+0-0-0</f>
        <v>950.11519399999997</v>
      </c>
      <c r="P110" s="3">
        <f>0+(1139.7-165.8)+(0+(0.581247-0.084558))+0-0-0</f>
        <v>974.39668900000004</v>
      </c>
      <c r="Q110" s="3">
        <f>0+(1068-74.9)+(0+(1.08936-0.076398))+6.7-0-0</f>
        <v>1000.8129620000001</v>
      </c>
      <c r="R110" s="3">
        <f>0+(1022.1-51)+(0+(1.042542-0.05202))+20-0-0</f>
        <v>992.09052200000008</v>
      </c>
      <c r="S110" s="3">
        <f>0+(971.7-43)+(0+(0-0))+20-0-0</f>
        <v>948.7</v>
      </c>
      <c r="T110" s="3">
        <f>0+(941-19.8)+(0+(0.47991-0.010098))+20-0-0</f>
        <v>941.66981200000009</v>
      </c>
      <c r="U110" s="3">
        <f>0+(943.5-22.4)+(0+(0.481185-0.011424))+20-0-0</f>
        <v>941.56976099999997</v>
      </c>
      <c r="V110" s="3">
        <f>0+(952.9-25.6)+(0+(0-0))+20-0-0</f>
        <v>947.3</v>
      </c>
      <c r="W110" s="3">
        <f>0+(990.3-70.9)+(0+(-0.505053--0.036159))+0-0-0</f>
        <v>918.931106</v>
      </c>
      <c r="X110" s="3">
        <f>0+(1019.2-123.4)+(0+(-1.559376--0.188802))+0-0-0</f>
        <v>894.42942600000003</v>
      </c>
      <c r="Y110" s="3">
        <f>0+(1039.3-165.7)+(0+(-0.530043--0.084507))+0-0-0</f>
        <v>873.15446399999996</v>
      </c>
      <c r="Z110" s="3">
        <f>0+(1057.5-144.8)+(0+(0-0))+0-0-0</f>
        <v>912.7</v>
      </c>
      <c r="AA110" s="3">
        <f>0+(1045.5-51.5)+(0+(-2.13282--0.10506))+0-0-0</f>
        <v>991.97224000000006</v>
      </c>
      <c r="AB110" s="3">
        <f>0+(1056.8-67.1)+(0+(-0.538968--0.034221))+0-0-0</f>
        <v>989.19525299999998</v>
      </c>
      <c r="AC110" s="3">
        <f>0+(1065.6-110.6)+(0+(0.543456-0.056406))+0-0-0</f>
        <v>955.48704999999984</v>
      </c>
      <c r="AD110">
        <f t="shared" si="1"/>
        <v>21954.688956000002</v>
      </c>
      <c r="AE110" s="3">
        <f>0+(1059.7-42.3)+(0+(0-0))+0-0-0</f>
        <v>1017.4000000000001</v>
      </c>
    </row>
    <row r="111" spans="1:31" s="2" customFormat="1" x14ac:dyDescent="0.25">
      <c r="A111">
        <v>89</v>
      </c>
      <c r="B111">
        <v>4</v>
      </c>
      <c r="C111">
        <v>18</v>
      </c>
      <c r="D111">
        <v>7</v>
      </c>
      <c r="E111">
        <v>1</v>
      </c>
      <c r="F111" s="3">
        <f>0+(1023.1-169.3)+(0+(0-0))+0-0-0</f>
        <v>853.8</v>
      </c>
      <c r="G111" s="3">
        <f>0+(1098.9-240.3)+(0+(-0.560439--0.122553))+0-0-0</f>
        <v>858.16211400000009</v>
      </c>
      <c r="H111" s="3">
        <f>0+(1087.6-257.5)+(0+(0.554676-0.131325))+0-0-0</f>
        <v>830.52335099999993</v>
      </c>
      <c r="I111" s="3">
        <f>0+(1069.3-260.2)+(0+(0.545343-0.132702))+0-0-0</f>
        <v>809.51264099999992</v>
      </c>
      <c r="J111" s="3">
        <f>0+(1091-300.9)+(0+(0.55641-0.153459))+0-0-0</f>
        <v>790.50295100000005</v>
      </c>
      <c r="K111" s="3">
        <f>0+(1044.9-283.7)+(0+(-1.598697--0.434061))+0-0-0</f>
        <v>760.03536400000007</v>
      </c>
      <c r="L111" s="3">
        <f>0+(1041.5-316.6)+(0+(0-0))+0-0-0</f>
        <v>724.9</v>
      </c>
      <c r="M111" s="3">
        <f>0+(1050.3-325.6)+(0+(0-0))+0-0-0</f>
        <v>724.69999999999993</v>
      </c>
      <c r="N111" s="3">
        <f>0+(1068.6-310.3)+(0+(-1.089972--0.316506))+0-0-0</f>
        <v>757.52653399999997</v>
      </c>
      <c r="O111" s="3">
        <f>0+(1132-314.9)+(0+(0-0))+0-0-0</f>
        <v>817.1</v>
      </c>
      <c r="P111" s="3">
        <f>0+(1176.6-333.4)+(0+(1.200132-0.340068))+0-0-0</f>
        <v>844.0600639999999</v>
      </c>
      <c r="Q111" s="3">
        <f>0+(1147.1-294.9)+(0+(0-0))+0-0-0</f>
        <v>852.19999999999993</v>
      </c>
      <c r="R111" s="3">
        <f>0+(1103.1-276.8)+(0+(0.562581-0.141168))+12-0-0</f>
        <v>838.72141299999998</v>
      </c>
      <c r="S111" s="3">
        <f>0+(1056.3-238.6)+(0+(1.077426-0.243372))+12-0-0</f>
        <v>830.53405399999997</v>
      </c>
      <c r="T111" s="3">
        <f>0+(1030.8-204.4)+(0+(0.525708-0.104244))+12-0-0</f>
        <v>838.82146399999999</v>
      </c>
      <c r="U111" s="3">
        <f>0+(921.4-97.5)+(0+(-0.939828--0.09945))+12-0-0</f>
        <v>835.05962199999999</v>
      </c>
      <c r="V111" s="3">
        <f>0+(942.5-125.7)+(0+(-0.480675--0.064107))+12-0-0</f>
        <v>828.38343199999997</v>
      </c>
      <c r="W111" s="3">
        <f>0+(1033.6-215.4)+(0+(-0.527136--0.109854))+5-0-0</f>
        <v>822.78271799999993</v>
      </c>
      <c r="X111" s="3">
        <f>0+(1100.4-271.6)+(0+(-1.122408--0.277032))+0-0-0</f>
        <v>827.95462400000008</v>
      </c>
      <c r="Y111" s="3">
        <f>0+(1053.9-237.6)+(0+(-1.612467--0.363528))+0-0-0</f>
        <v>815.05106100000012</v>
      </c>
      <c r="Z111" s="3">
        <f>0+(1090.8-235.3)+(0+(0.556308-0.120003))+0-0-0</f>
        <v>855.93630499999995</v>
      </c>
      <c r="AA111" s="3">
        <f>0+(1095.3-168.3)+(0+(-0.558603--0.085833))+0-0-0</f>
        <v>926.52723000000003</v>
      </c>
      <c r="AB111" s="3">
        <f>0+(1081.7-163.7)+(0+(0-0))+0-0-0</f>
        <v>918</v>
      </c>
      <c r="AC111" s="3">
        <f>0+(1056.8-166.9)+(0+(0.538968-0.085119))+0-0-0</f>
        <v>890.35384899999997</v>
      </c>
      <c r="AD111">
        <f t="shared" si="1"/>
        <v>19851.148791</v>
      </c>
      <c r="AE111" s="3">
        <f>0+(1122.4-165.5)+(0+(0-0))+0-0-0</f>
        <v>956.90000000000009</v>
      </c>
    </row>
    <row r="112" spans="1:31" s="2" customFormat="1" x14ac:dyDescent="0.25">
      <c r="A112">
        <v>89</v>
      </c>
      <c r="B112">
        <v>4</v>
      </c>
      <c r="C112">
        <v>19</v>
      </c>
      <c r="D112">
        <v>1</v>
      </c>
      <c r="E112">
        <v>3</v>
      </c>
      <c r="F112" s="3">
        <f>0+(1034.3-179.7)+(0+(-2.109972--0.366588))+0-0-0</f>
        <v>852.85661599999992</v>
      </c>
      <c r="G112" s="3">
        <f>0+(1057.4-243.2)+(0+(-1.617822--0.372096))+0-0-0</f>
        <v>812.95427400000005</v>
      </c>
      <c r="H112" s="3">
        <f>0+(1069-276.6)+(0+(-1.09038--0.282132))+0-0-0</f>
        <v>791.59175199999993</v>
      </c>
      <c r="I112" s="3">
        <f>0+(1021.2-250.6)+(0+(-1.041624--0.255612))+0-0-0</f>
        <v>769.81398799999999</v>
      </c>
      <c r="J112" s="3">
        <f>0+(998.7-226.7)+(0+(-1.018674--0.231234))+0-0-0</f>
        <v>771.21256000000005</v>
      </c>
      <c r="K112" s="3">
        <f>0+(1091.3-326.8)+(0+(0-0))+0-0-0</f>
        <v>764.5</v>
      </c>
      <c r="L112" s="3">
        <f>0+(1080.1-334.7)+(0+(0-0))+0-0-0</f>
        <v>745.39999999999986</v>
      </c>
      <c r="M112" s="3">
        <f>0+(1076.6-309.3)+(0+(-1.647198--0.473229))+0-0-0</f>
        <v>766.1260309999999</v>
      </c>
      <c r="N112" s="3">
        <f>0+(1100.7-288.9)+(0+(-0.561357--0.147339))+0-0-0</f>
        <v>811.38598200000001</v>
      </c>
      <c r="O112" s="3">
        <f>0+(1170.2-341)+(0+(1.193604-0.34782))+0-0-0</f>
        <v>830.04578400000003</v>
      </c>
      <c r="P112" s="3">
        <f>0+(1180.8-312)+(0+(1.204416-0.31824))+0-0-0</f>
        <v>869.68617599999993</v>
      </c>
      <c r="Q112" s="3">
        <f>0+(1101.6-144)+(0+(1.123632-0.14688))+0-0-0</f>
        <v>958.57675199999994</v>
      </c>
      <c r="R112" s="3">
        <f>0+(1036.7-133)+(0+(0-0))+40-0-0</f>
        <v>943.7</v>
      </c>
      <c r="S112" s="3">
        <f>0+(1007.1-116.2)+(0+(0-0))+40-0-0</f>
        <v>930.9</v>
      </c>
      <c r="T112" s="3">
        <f>0+(993.7-115.8)+(0+(0.506787-0.059058))+40-0-0</f>
        <v>918.34772900000007</v>
      </c>
      <c r="U112" s="3">
        <f>0+(964.6-87.1)+(0+(0-0))+40-0-0</f>
        <v>917.5</v>
      </c>
      <c r="V112" s="3">
        <f>0+(922.5-48.2)+(0+(0-0))+40-0-0</f>
        <v>914.3</v>
      </c>
      <c r="W112" s="3">
        <f>0+(929.9-64.7)+(0+(-0.948498--0.065994))+40-0-0</f>
        <v>904.31749599999989</v>
      </c>
      <c r="X112" s="3">
        <f>0+(1008.5-146.2)+(0+(0-0))+40-0-0</f>
        <v>902.3</v>
      </c>
      <c r="Y112" s="3">
        <f>0+(1040.2-167.8)+(0+(0.530502-0.085578))+0-0-0</f>
        <v>872.84492400000011</v>
      </c>
      <c r="Z112" s="3">
        <f>0+(1104-199.2)+(0+(0-0))+0-0-0</f>
        <v>904.8</v>
      </c>
      <c r="AA112" s="3">
        <f>0+(1077.6-107.8)+(0+(-0.549576--0.054978))+0-0-0</f>
        <v>969.30540199999996</v>
      </c>
      <c r="AB112" s="3">
        <f>0+(1053.2-91.5)+(0+(0-0))+0-0-0</f>
        <v>961.7</v>
      </c>
      <c r="AC112" s="3">
        <f>0+(1041.1-103.5)+(0+(0-0))+0-0-0</f>
        <v>937.59999999999991</v>
      </c>
      <c r="AD112">
        <f t="shared" si="1"/>
        <v>20821.765465999993</v>
      </c>
      <c r="AE112" s="3">
        <f>0+(1089.3-96.3)+(0+(0-0))+0-0-0</f>
        <v>993</v>
      </c>
    </row>
    <row r="113" spans="1:31" s="2" customFormat="1" x14ac:dyDescent="0.25">
      <c r="A113">
        <v>89</v>
      </c>
      <c r="B113">
        <v>4</v>
      </c>
      <c r="C113">
        <v>20</v>
      </c>
      <c r="D113">
        <v>2</v>
      </c>
      <c r="E113">
        <v>1</v>
      </c>
      <c r="F113" s="3">
        <f>0+(1059.9-158.2)+(0+(0-0))+0-0-0</f>
        <v>901.7</v>
      </c>
      <c r="G113" s="3">
        <f>0+(1115.7-258.3)+(0+(-1.707021--0.395199))+0-0-0</f>
        <v>856.08817800000008</v>
      </c>
      <c r="H113" s="3">
        <f>0+(1129.5-302.5)+(0+(-1.15209--0.30855))+0-0-0</f>
        <v>826.15646000000004</v>
      </c>
      <c r="I113" s="3">
        <f>0+(1136.5-322.9)+(0+(-1.738845--0.494037))+0-0-0</f>
        <v>812.35519199999999</v>
      </c>
      <c r="J113" s="3">
        <f>0+(1148-339.9)+(0+(0-0))+0-0-0</f>
        <v>808.1</v>
      </c>
      <c r="K113" s="3">
        <f>0+(1175.6-375.5)+(0+(0-0))+0-0-0</f>
        <v>800.09999999999991</v>
      </c>
      <c r="L113" s="3">
        <f>0+(1152.8-348.4)+(0+(-1.175856--0.355368))+0-0-0</f>
        <v>803.57951200000002</v>
      </c>
      <c r="M113" s="3">
        <f>0+(1201.7-323)+(0+(-0.612867--0.16473))+0-0-0</f>
        <v>878.25186300000007</v>
      </c>
      <c r="N113" s="3">
        <f>0+(1281.5-334.1)+(0+(0.653565-0.170391))+0-0-0</f>
        <v>947.88317399999994</v>
      </c>
      <c r="O113" s="3">
        <f>0+(1159.9-174.9)+(0+(0.591549-0.089199))+0-0-0</f>
        <v>985.50235000000009</v>
      </c>
      <c r="P113" s="3">
        <f>0+(1077.8-61.5)+(0+(1.099356-0.06273))+0-0-0</f>
        <v>1017.3366259999999</v>
      </c>
      <c r="Q113" s="3">
        <f>0+(1032.1-39.4)+(0+(1.052742-0.040188))+31.7-0-0</f>
        <v>1025.412554</v>
      </c>
      <c r="R113" s="3">
        <f>0+(958.1-0)+(0+(0.488631-0))+95-0-0</f>
        <v>1053.5886310000001</v>
      </c>
      <c r="S113" s="3">
        <f>0+(926.8-0)+(0+(0.472668-0))+95-0-0</f>
        <v>1022.272668</v>
      </c>
      <c r="T113" s="3">
        <f>0+(930-0)+(0+(0.4743-0))+95-0-0</f>
        <v>1025.4742999999999</v>
      </c>
      <c r="U113" s="3">
        <f>0+(931.4-0)+(0+(0.950028-0))+95-0-0</f>
        <v>1027.3500279999998</v>
      </c>
      <c r="V113" s="3">
        <f>0+(932.3-0)+(0+(0-0))+95-0-0</f>
        <v>1027.3</v>
      </c>
      <c r="W113" s="3">
        <f>0+(925.3-0)+(0+(-1.887612-0))+95-0-0</f>
        <v>1018.412388</v>
      </c>
      <c r="X113" s="3">
        <f>0+(911.6-0)+(0+(0-0))+39.6-0-0</f>
        <v>951.2</v>
      </c>
      <c r="Y113" s="3">
        <f>0+(987.1-64.6)+(0+(-0.503421--0.032946))+0-0-0</f>
        <v>922.02952500000004</v>
      </c>
      <c r="Z113" s="3">
        <f>0+(1021.3-53.6)+(0+(0.520863-0.027336))+0-0-0</f>
        <v>968.1935269999999</v>
      </c>
      <c r="AA113" s="3">
        <f>0+(1029.9-0)+(0+(-1.050498-0))+0-0-0</f>
        <v>1028.849502</v>
      </c>
      <c r="AB113" s="3">
        <f>0+(1012.5-0)+(0+(-0.516375-0))+0-0-0</f>
        <v>1011.983625</v>
      </c>
      <c r="AC113" s="3">
        <f>0+(992.8-0)+(0+(-0.506328-0))+0-0-0</f>
        <v>992.2936719999999</v>
      </c>
      <c r="AD113">
        <f t="shared" si="1"/>
        <v>22711.413775000005</v>
      </c>
      <c r="AE113" s="3">
        <f>0+(1034.5-0)+(0+(0-0))+0-0-0</f>
        <v>1034.5</v>
      </c>
    </row>
    <row r="114" spans="1:31" s="2" customFormat="1" x14ac:dyDescent="0.25">
      <c r="A114">
        <v>89</v>
      </c>
      <c r="B114">
        <v>4</v>
      </c>
      <c r="C114">
        <v>21</v>
      </c>
      <c r="D114">
        <v>3</v>
      </c>
      <c r="E114">
        <v>1</v>
      </c>
      <c r="F114" s="3">
        <f>0+(1011.7-54.4)+(0+(-1.031934--0.055488))+0-0-0</f>
        <v>956.32355400000006</v>
      </c>
      <c r="G114" s="3">
        <f>0+(1105.6-181.9)+(0+(-0.563856--0.092769))+0-0-0</f>
        <v>923.22891299999992</v>
      </c>
      <c r="H114" s="3">
        <f>0+(1142.9-257.2)+(0+(-2.331516--0.524688))+0-0-0</f>
        <v>883.89317200000005</v>
      </c>
      <c r="I114" s="3">
        <f>0+(1194.3-327.4)+(0+(1.218186-0.333948))+0-0-0</f>
        <v>867.78423799999996</v>
      </c>
      <c r="J114" s="3">
        <f>0+(1232.7-376.8)+(0+(-1.257354--0.384336))+0-0-0</f>
        <v>855.02698200000009</v>
      </c>
      <c r="K114" s="3">
        <f>0+(1216.6-377.4)+(0+(-1.240932--0.384948))+0-0-0</f>
        <v>838.3440159999999</v>
      </c>
      <c r="L114" s="3">
        <f>0+(1225-398)+(0+(0-0))+0-0-0</f>
        <v>827</v>
      </c>
      <c r="M114" s="3">
        <f>0+(1263.1-396.5)+(0+(0-0))+0-0-0</f>
        <v>866.59999999999991</v>
      </c>
      <c r="N114" s="3">
        <f>0+(1322.6-385.4)+(0+(0-0))+0-0-0</f>
        <v>937.19999999999993</v>
      </c>
      <c r="O114" s="3">
        <f>0+(1215.9-229)+(0+(0-0))+0-0-0</f>
        <v>986.90000000000009</v>
      </c>
      <c r="P114" s="3">
        <f>0+(1122.3-110.5)+(0+(0-0))+0-0-0</f>
        <v>1011.8</v>
      </c>
      <c r="Q114" s="3">
        <f>0+(1032.4-5.4)+(0+(2.106096-0.011016))+20-0-0</f>
        <v>1049.0950800000001</v>
      </c>
      <c r="R114" s="3">
        <f>0+(981-0)+(0+(-1.00062-0))+40-0-0</f>
        <v>1019.99938</v>
      </c>
      <c r="S114" s="3">
        <f>0+(948.8-0)+(0+(0.483888-0))+40-0-0</f>
        <v>989.28388799999993</v>
      </c>
      <c r="T114" s="3">
        <f>0+(956-0)+(0+(0.48756-0))+40-0-0</f>
        <v>996.48756000000003</v>
      </c>
      <c r="U114" s="3">
        <f>0+(951.9-0)+(0+(0.970938-0))+40-0-0</f>
        <v>992.87093800000002</v>
      </c>
      <c r="V114" s="3">
        <f>0+(951.5-0)+(0+(-0.485265-0))+40-0-0</f>
        <v>991.01473499999997</v>
      </c>
      <c r="W114" s="3">
        <f>0+(937-0)+(0+(-1.43361-0))+40-0-0</f>
        <v>975.56638999999996</v>
      </c>
      <c r="X114" s="3">
        <f>0+(934.8-0)+(0+(-1.430244-0))+13.3-0-0</f>
        <v>946.66975599999989</v>
      </c>
      <c r="Y114" s="3">
        <f>0+(993.7-68.2)+(0+(-0.506787--0.034782))+0-0-0</f>
        <v>925.02799500000003</v>
      </c>
      <c r="Z114" s="3">
        <f>0+(1018.6-57.4)+(0+(0.519486-0.029274))+0-0-0</f>
        <v>961.69021200000009</v>
      </c>
      <c r="AA114" s="3">
        <f>0+(1017-0)+(0+(-0.51867-0))+0-0-0</f>
        <v>1016.48133</v>
      </c>
      <c r="AB114" s="3">
        <f>0+(1014.5-0)+(0+(-0.517395-0))+0-0-0</f>
        <v>1013.982605</v>
      </c>
      <c r="AC114" s="3">
        <f>0+(1000.2-0)+(0+(0-0))+0-0-0</f>
        <v>1000.2</v>
      </c>
      <c r="AD114">
        <f t="shared" si="1"/>
        <v>22832.470744000002</v>
      </c>
      <c r="AE114" s="3">
        <f>0+(1025.9-0)+(0+(0-0))+0-0-0</f>
        <v>1025.9000000000001</v>
      </c>
    </row>
    <row r="115" spans="1:31" s="2" customFormat="1" x14ac:dyDescent="0.25">
      <c r="A115">
        <v>89</v>
      </c>
      <c r="B115">
        <v>4</v>
      </c>
      <c r="C115">
        <v>22</v>
      </c>
      <c r="D115">
        <v>4</v>
      </c>
      <c r="E115">
        <v>1</v>
      </c>
      <c r="F115" s="3">
        <f>0+(1014.2-64.5)+(0+(0-0))+0-0-0</f>
        <v>949.7</v>
      </c>
      <c r="G115" s="3">
        <f>0+(1063.6-163.6)+(0+(-1.084872--0.166872))+0-0-0</f>
        <v>899.08199999999988</v>
      </c>
      <c r="H115" s="3">
        <f>0+(1128.7-255.8)+(0+(0.575637-0.130458))+0-0-0</f>
        <v>873.34517900000014</v>
      </c>
      <c r="I115" s="3">
        <f>0+(1138.2-275.6)+(0+(0-0))+0-0-0</f>
        <v>862.6</v>
      </c>
      <c r="J115" s="3">
        <f>0+(1131.6-281)+(0+(1.731348-0.42993))+0-0-0</f>
        <v>851.90141799999992</v>
      </c>
      <c r="K115" s="3">
        <f>0+(1152.4-310.6)+(0+(0-0))+0-0-0</f>
        <v>841.80000000000007</v>
      </c>
      <c r="L115" s="3">
        <f>0+(1129.2-301.4)+(0+(-0.575892--0.153714))+0-0-0</f>
        <v>827.37782200000004</v>
      </c>
      <c r="M115" s="3">
        <f>0+(1175-299.8)+(0+(0-0))+0-0-0</f>
        <v>875.2</v>
      </c>
      <c r="N115" s="3">
        <f>0+(1206-269.5)+(0+(2.46024-0.54978))+0-0-0</f>
        <v>938.41045999999994</v>
      </c>
      <c r="O115" s="3">
        <f>0+(1134.6-159.9)+(0+(0-0))+0-0-0</f>
        <v>974.69999999999993</v>
      </c>
      <c r="P115" s="3">
        <f>0+(1039.1-27.3)+(0+(1.589823-0.041769))+0-0-0</f>
        <v>1013.3480539999999</v>
      </c>
      <c r="Q115" s="3">
        <f>0+(1017.5-0)+(0+(0.518925-0))+0-0-0</f>
        <v>1018.018925</v>
      </c>
      <c r="R115" s="3">
        <f>0+(970.5-0)+(0+(-0.98991-0))+26.7-0-0</f>
        <v>996.21009000000004</v>
      </c>
      <c r="S115" s="3">
        <f>0+(919.1-0)+(0+(0-0))+40-0-0</f>
        <v>959.1</v>
      </c>
      <c r="T115" s="3">
        <f>0+(934.7-0)+(0+(1.430091-0))+40-0-0</f>
        <v>976.13009099999999</v>
      </c>
      <c r="U115" s="3">
        <f>0+(910.7-0)+(0+(-0.464457-0))+40-0-0</f>
        <v>950.23554300000001</v>
      </c>
      <c r="V115" s="3">
        <f>0+(911.1-0)+(0+(-0.464661-0))+40-0-0</f>
        <v>950.63533900000004</v>
      </c>
      <c r="W115" s="3">
        <f>0+(904-0)+(0+(-2.76624-0))+40-0-0</f>
        <v>941.23375999999996</v>
      </c>
      <c r="X115" s="3">
        <f>0+(988.7-50.4)+(0+(-2.016948--0.102816))+0-0-0</f>
        <v>936.38586800000007</v>
      </c>
      <c r="Y115" s="3">
        <f>0+(1050.8-116.3)+(0+(-1.607724--0.177939))+0-0-0</f>
        <v>933.07021499999996</v>
      </c>
      <c r="Z115" s="3">
        <f>0+(1060.6-85.3)+(0+(0.540906-0.043503))+0-0-0</f>
        <v>975.79740299999992</v>
      </c>
      <c r="AA115" s="3">
        <f>0+(1030.3-0)+(0+(-2.101812-0))+0-0-0</f>
        <v>1028.1981879999998</v>
      </c>
      <c r="AB115" s="3">
        <f>0+(1023.6-0)+(0+(-2.088144-0))+0-0-0</f>
        <v>1021.5118560000001</v>
      </c>
      <c r="AC115" s="3">
        <f>0+(1052.8-54.9)+(0+(1.073856-0.055998))+0-0-0</f>
        <v>998.91785800000002</v>
      </c>
      <c r="AD115">
        <f t="shared" si="1"/>
        <v>22592.910069000005</v>
      </c>
      <c r="AE115" s="3">
        <f>0+(1038-0)+(0+(0-0))+0-0-0</f>
        <v>1038</v>
      </c>
    </row>
    <row r="116" spans="1:31" s="2" customFormat="1" x14ac:dyDescent="0.25">
      <c r="A116">
        <v>89</v>
      </c>
      <c r="B116">
        <v>4</v>
      </c>
      <c r="C116">
        <v>23</v>
      </c>
      <c r="D116">
        <v>5</v>
      </c>
      <c r="E116">
        <v>1</v>
      </c>
      <c r="F116" s="3">
        <f>0+(1079.8-139.8)+(0+(-1.101396--0.142596))+0-0-0</f>
        <v>939.0412</v>
      </c>
      <c r="G116" s="3">
        <f>0+(1129.9-236.5)+(0+(-0.576249--0.120615))+0-0-0</f>
        <v>892.94436600000006</v>
      </c>
      <c r="H116" s="3">
        <f>0+(1158-285.5)+(0+(-1.18116--0.29121))+0-0-0</f>
        <v>871.61005</v>
      </c>
      <c r="I116" s="3">
        <f>0+(1213.2-353.6)+(0+(-1.237464--0.360672))+0-0-0</f>
        <v>858.723208</v>
      </c>
      <c r="J116" s="3">
        <f>0+(1163-312.9)+(0+(1.77939-0.478737))+0-0-0</f>
        <v>851.40065300000003</v>
      </c>
      <c r="K116" s="3">
        <f>0+(1085.3-255.2)+(0+(-1.107006--0.260304))+0-0-0</f>
        <v>829.25329799999986</v>
      </c>
      <c r="L116" s="3">
        <f>0+(1070.4-249.1)+(0+(-0.545904--0.127041))+0-0-0</f>
        <v>820.88113700000008</v>
      </c>
      <c r="M116" s="3">
        <f>0+(1107.4-248.2)+(0+(1.694322-0.379746))+0-0-0</f>
        <v>860.51457600000003</v>
      </c>
      <c r="N116" s="3">
        <f>0+(1111-190.5)+(0+(-0.56661--0.097155))+0-0-0</f>
        <v>920.03054499999996</v>
      </c>
      <c r="O116" s="3">
        <f>0+(1235.5-260.8)+(0+(1.26021-0.266016))+0-0-0</f>
        <v>975.69419400000004</v>
      </c>
      <c r="P116" s="3">
        <f>0+(1155.7-167.8)+(0+(0.589407-0.085578))+20.8-0-0</f>
        <v>1009.203829</v>
      </c>
      <c r="Q116" s="3">
        <f>0+(1124.5-152)+(0+(-0.573495--0.07752))+50-0-0</f>
        <v>1022.004025</v>
      </c>
      <c r="R116" s="3">
        <f>0+(1018.3-93.8)+(0+(-1.038666--0.095676))+50-0-0</f>
        <v>973.55700999999999</v>
      </c>
      <c r="S116" s="3">
        <f>0+(972.6-60.6)+(0+(0-0))+50-0-0</f>
        <v>962</v>
      </c>
      <c r="T116" s="3">
        <f>0+(924.8-25.4)+(0+(0.471648-0.012954))+50-0-0</f>
        <v>949.85869400000001</v>
      </c>
      <c r="U116" s="3">
        <f>0+(901.1-0)+(0+(-0.459561-0))+50-0-0</f>
        <v>950.64043900000001</v>
      </c>
      <c r="V116" s="3">
        <f>0+(911.1-15)+(0+(-0.929322--0.0153))+50-0-0</f>
        <v>945.18597799999998</v>
      </c>
      <c r="W116" s="3">
        <f>0+(988.7-86.7)+(0+(1.512711-0.132651))+50-0-0</f>
        <v>953.38005999999996</v>
      </c>
      <c r="X116" s="3">
        <f>0+(1060.8-121.1)+(0+(-1.082016--0.123522))+8.3-0-0</f>
        <v>947.04150599999991</v>
      </c>
      <c r="Y116" s="3">
        <f>0+(1041.2-94.2)+(0+(0.531012-0.048042))+0-0-0</f>
        <v>947.48297000000002</v>
      </c>
      <c r="Z116" s="3">
        <f>0+(1086.5-98.8)+(0+(1.10823-0.100776))+0-0-0</f>
        <v>988.7074540000001</v>
      </c>
      <c r="AA116" s="3">
        <f>0+(1046.2-12.1)+(0+(-1.600686--0.018513))+0-0-0</f>
        <v>1032.5178270000001</v>
      </c>
      <c r="AB116" s="3">
        <f>0+(1035.1-11.8)+(0+(-0.527901--0.006018))+0-0-0</f>
        <v>1022.778117</v>
      </c>
      <c r="AC116" s="3">
        <f>0+(1057.4-56.9)+(0+(-0.539274--0.029019))+0-0-0</f>
        <v>999.98974500000008</v>
      </c>
      <c r="AD116">
        <f t="shared" si="1"/>
        <v>22524.440881000002</v>
      </c>
      <c r="AE116" s="3">
        <f>0+(1042.3-0)+(0+(0-0))+0-0-0</f>
        <v>1042.3</v>
      </c>
    </row>
    <row r="117" spans="1:31" s="2" customFormat="1" x14ac:dyDescent="0.25">
      <c r="A117">
        <v>89</v>
      </c>
      <c r="B117">
        <v>4</v>
      </c>
      <c r="C117">
        <v>24</v>
      </c>
      <c r="D117">
        <v>6</v>
      </c>
      <c r="E117">
        <v>1</v>
      </c>
      <c r="F117" s="3">
        <f>0+(1068.6-120.5)+(0+(-0.544986--0.061455))+0-0-0</f>
        <v>947.61646899999994</v>
      </c>
      <c r="G117" s="3">
        <f>0+(1136.6-229.5)+(0+(-0.579666--0.117045))+0-0-0</f>
        <v>906.6373789999999</v>
      </c>
      <c r="H117" s="3">
        <f>0+(1135.1-258.1)+(0+(2.315604-0.526524))+0-0-0</f>
        <v>878.7890799999999</v>
      </c>
      <c r="I117" s="3">
        <f>0+(1135.3-275.2)+(0+(-1.158006--0.280704))+0-0-0</f>
        <v>859.22269799999992</v>
      </c>
      <c r="J117" s="3">
        <f>0+(1067-213.7)+(0+(-0.54417--0.108987))+0-0-0</f>
        <v>852.8648169999999</v>
      </c>
      <c r="K117" s="3">
        <f>0+(1041.9-205.8)+(0+(-1.062738--0.209916))+0-0-0</f>
        <v>835.24717800000019</v>
      </c>
      <c r="L117" s="3">
        <f>0+(1048.8-230.6)+(0+(-1.069776--0.235212))+0-0-0</f>
        <v>817.36543599999993</v>
      </c>
      <c r="M117" s="3">
        <f>0+(1049.8-206.3)+(0+(-0.535398--0.105213))+0-0-0</f>
        <v>843.06981499999995</v>
      </c>
      <c r="N117" s="3">
        <f>0+(1107.8-210.7)+(0+(0.564978-0.107457))+0-0-0</f>
        <v>897.55752099999995</v>
      </c>
      <c r="O117" s="3">
        <f>0+(1142.7-196)+(0+(2.913885-0.4998))+0-0-0</f>
        <v>949.11408500000005</v>
      </c>
      <c r="P117" s="3">
        <f>0+(1150.8-177.9)+(0+(0.586908-0.090729))+35-0-0</f>
        <v>1008.396179</v>
      </c>
      <c r="Q117" s="3">
        <f>0+(1119.2-158.9)+(0+(0.570792-0.081039))+57.5-0-0</f>
        <v>1018.289753</v>
      </c>
      <c r="R117" s="3">
        <f>0+(999-82.6)+(0+(-0.50949--0.042126))+80-0-0</f>
        <v>995.932636</v>
      </c>
      <c r="S117" s="3">
        <f>0+(968.8-84.4)+(0+(-0.988176--0.086088))+80-0-0</f>
        <v>963.49791199999993</v>
      </c>
      <c r="T117" s="3">
        <f>0+(967.3-84.3)+(0+(-0.493323--0.042993))+80-0-0</f>
        <v>962.54966999999999</v>
      </c>
      <c r="U117" s="3">
        <f>0+(966.3-97.8)+(0+(-0.492813--0.049878))+80-0-0</f>
        <v>948.05706499999997</v>
      </c>
      <c r="V117" s="3">
        <f>0+(1000-122.3)+(0+(0-0))+40-0-0</f>
        <v>917.7</v>
      </c>
      <c r="W117" s="3">
        <f>0+(1041.7-150)+(0+(-1.062534--0.153))+0-0-0</f>
        <v>890.79046600000004</v>
      </c>
      <c r="X117" s="3">
        <f>0+(1084.1-182.7)+(0+(-2.764455--0.465885))+0-0-0</f>
        <v>899.10142999999982</v>
      </c>
      <c r="Y117" s="3">
        <f>0+(985.5-98.1)+(0+(-0.502605--0.050031))+0-0-0</f>
        <v>886.94742599999995</v>
      </c>
      <c r="Z117" s="3">
        <f>0+(1039.2-106.5)+(0+(-1.059984--0.10863))+0-0-0</f>
        <v>931.74864600000001</v>
      </c>
      <c r="AA117" s="3">
        <f>0+(1056-68.7)+(0+(-1.61568--0.105111))+0-0-0</f>
        <v>985.78943099999992</v>
      </c>
      <c r="AB117" s="3">
        <f>0+(1078.2-108.5)+(0+(-0.549882--0.055335))+0-0-0</f>
        <v>969.20545300000003</v>
      </c>
      <c r="AC117" s="3">
        <f>0+(1082.8-131.1)+(0+(-1.656684--0.200583))+0-0-0</f>
        <v>950.24389899999994</v>
      </c>
      <c r="AD117">
        <f t="shared" si="1"/>
        <v>22115.734443999998</v>
      </c>
      <c r="AE117" s="3">
        <f>0+(1058-58.2)+(0+(0-0))+0-0-0</f>
        <v>999.8</v>
      </c>
    </row>
    <row r="118" spans="1:31" s="2" customFormat="1" x14ac:dyDescent="0.25">
      <c r="A118">
        <v>89</v>
      </c>
      <c r="B118">
        <v>4</v>
      </c>
      <c r="C118">
        <v>25</v>
      </c>
      <c r="D118">
        <v>7</v>
      </c>
      <c r="E118">
        <v>1</v>
      </c>
      <c r="F118" s="3">
        <f>0+(1078-170.1)+(0+(1.64934-0.260253))+0-0-0</f>
        <v>909.28908699999999</v>
      </c>
      <c r="G118" s="3">
        <f>0+(1067.3-197.2)+(0+(-0.544323--0.100572))+0-0-0</f>
        <v>869.65624899999989</v>
      </c>
      <c r="H118" s="3">
        <f>0+(1060.9-225.9)+(0+(0.541059-0.115209))+0-0-0</f>
        <v>835.42585000000008</v>
      </c>
      <c r="I118" s="3">
        <f>0+(1088.1-263)+(0+(0.554931-0.13413))+0-0-0</f>
        <v>825.52080099999989</v>
      </c>
      <c r="J118" s="3">
        <f>0+(1106.7-293.1)+(0+(-1.693251--0.448443))+0-0-0</f>
        <v>812.35519199999999</v>
      </c>
      <c r="K118" s="3">
        <f>0+(1088.9-298.5)+(0+(-3.332034--0.91341))+0-0-0</f>
        <v>787.98137600000007</v>
      </c>
      <c r="L118" s="3">
        <f>0+(1112.7-364.5)+(0+(-2.837385--0.929475))+0-0-0</f>
        <v>746.29209000000003</v>
      </c>
      <c r="M118" s="3">
        <f>0+(1110.6-358.8)+(0+(0-0))+0-0-0</f>
        <v>751.8</v>
      </c>
      <c r="N118" s="3">
        <f>0+(1095.8-319.3)+(0+(-1.117716--0.325686))+0-0-0</f>
        <v>775.70797000000005</v>
      </c>
      <c r="O118" s="3">
        <f>0+(1108.1-293.5)+(0+(-1.130262--0.29937))+0-0-0</f>
        <v>813.76910799999996</v>
      </c>
      <c r="P118" s="3">
        <f>0+(1140.9-293.8)+(0+(-0.581859--0.149838))+0-0-0</f>
        <v>846.66797900000017</v>
      </c>
      <c r="Q118" s="3">
        <f>0+(1183.5-306.4)+(0+(-1.20717--0.312528))+0-0-0</f>
        <v>876.20535800000005</v>
      </c>
      <c r="R118" s="3">
        <f>0+(1067.8-236.4)+(0+(-0.544578--0.120564))+35-0-0</f>
        <v>865.97598599999992</v>
      </c>
      <c r="S118" s="3">
        <f>0+(1082.5-265.9)+(0+(-0.552075--0.135609))+35-0-0</f>
        <v>851.18353400000001</v>
      </c>
      <c r="T118" s="3">
        <f>0+(1159.3-351.7)+(0+(1.182486-0.358734))+35-0-0</f>
        <v>843.42375199999992</v>
      </c>
      <c r="U118" s="3">
        <f>0+(1170.5-367.6)+(0+(-1.19391--0.374952))+35-0-0</f>
        <v>837.08104200000002</v>
      </c>
      <c r="V118" s="3">
        <f>0+(1200.7-392.2)+(0+(1.224714-0.400044))+35-0-0</f>
        <v>844.32466999999997</v>
      </c>
      <c r="W118" s="3">
        <f>0+(1168.9-349.2)+(0+(-1.192278--0.356184))+5.8-0-0</f>
        <v>824.663906</v>
      </c>
      <c r="X118" s="3">
        <f>0+(1107.6-281.8)+(0+(-3.954132--1.006026))+0-0-0</f>
        <v>822.8518939999999</v>
      </c>
      <c r="Y118" s="3">
        <f>0+(1065.7-251.2)+(0+(1.087014-0.256224))+0-0-0</f>
        <v>815.33078999999998</v>
      </c>
      <c r="Z118" s="3">
        <f>0+(1124.7-267.4)+(0+(-1.720791--0.409122))+0-0-0</f>
        <v>855.98833100000002</v>
      </c>
      <c r="AA118" s="3">
        <f>0+(1193.8-257.3)+(0+(-1.217676--0.262446))+0-0-0</f>
        <v>935.54476999999997</v>
      </c>
      <c r="AB118" s="3">
        <f>0+(1157.3-234.2)+(0+(0-0))+0-0-0</f>
        <v>923.09999999999991</v>
      </c>
      <c r="AC118" s="3">
        <f>0+(1153.5-264.2)+(0+(-1.17657--0.269484))+0-0-0</f>
        <v>888.39291399999991</v>
      </c>
      <c r="AD118">
        <f t="shared" si="1"/>
        <v>20158.532648999997</v>
      </c>
      <c r="AE118" s="3">
        <f>0+(1217-255.4)+(0+(0-0))+0-0-0</f>
        <v>961.6</v>
      </c>
    </row>
    <row r="119" spans="1:31" s="2" customFormat="1" x14ac:dyDescent="0.25">
      <c r="A119">
        <v>89</v>
      </c>
      <c r="B119">
        <v>4</v>
      </c>
      <c r="C119">
        <v>26</v>
      </c>
      <c r="D119">
        <v>1</v>
      </c>
      <c r="E119">
        <v>1</v>
      </c>
      <c r="F119" s="3">
        <f>0+(952.5-285.5)+(0+(-1.457325--0.436815))+0-0-0</f>
        <v>665.97949000000006</v>
      </c>
      <c r="G119" s="3">
        <f>0+(881.5-254.7)+(0+(-1.348695--0.389691))+0-0-0</f>
        <v>625.8409959999999</v>
      </c>
      <c r="H119" s="3">
        <f>0+(908.8-339.5)+(0+(-0.463488--0.173145))+0-0-0</f>
        <v>569.00965699999995</v>
      </c>
      <c r="I119" s="3">
        <f>0+(930.7-383.1)+(0+(-2.847942--1.172286))+0-0-0</f>
        <v>545.92434400000002</v>
      </c>
      <c r="J119" s="3">
        <f>0+(892.6-362.2)+(0+(-0.910452--0.369444))+0-0-0</f>
        <v>529.85899200000006</v>
      </c>
      <c r="K119" s="3">
        <f>0+(868.2-342)+(0+(-1.771128--0.69768))+0-0-0</f>
        <v>525.12655200000006</v>
      </c>
      <c r="L119" s="3">
        <f>0+(905.8-346.1)+(0+(-2.30979--0.882555))+0-0-0</f>
        <v>558.27276499999994</v>
      </c>
      <c r="M119" s="3">
        <f>0+(917.5-323.9)+(0+(0.467925-0.165189))+0-0-0</f>
        <v>593.902736</v>
      </c>
      <c r="N119" s="3">
        <f>0+(1048-341.8)+(0+(0-0))+0-0-0</f>
        <v>706.2</v>
      </c>
      <c r="O119" s="3">
        <f>0+(1074.9-329.8)+(0+(0.548199-0.168198))+0-0-0</f>
        <v>745.48000100000013</v>
      </c>
      <c r="P119" s="3">
        <f>0+(1058.2-325.4)+(0+(0.539682-0.165954))+75-0-0</f>
        <v>808.1737280000001</v>
      </c>
      <c r="Q119" s="3">
        <f>0+(970.3-210.3)+(0+(0-0))+75-0-0</f>
        <v>835</v>
      </c>
      <c r="R119" s="3">
        <f>0+(939.2-183.5)+(0+(0-0))+75-0-0</f>
        <v>830.7</v>
      </c>
      <c r="S119" s="3">
        <f>0+(916.6-187.5)+(0+(0-0))+75-0-0</f>
        <v>804.1</v>
      </c>
      <c r="T119" s="3">
        <f>0+(911.7-192)+(0+(0.464967-0.09792))+75-0-0</f>
        <v>795.067047</v>
      </c>
      <c r="U119" s="3">
        <f>0+(931.7-212.5)+(0+(0.950334-0.21675))+75-0-0</f>
        <v>794.933584</v>
      </c>
      <c r="V119" s="3">
        <f>0+(931.4-210.2)+(0+(-0.475014--0.107202))+75-0-0</f>
        <v>795.83218800000009</v>
      </c>
      <c r="W119" s="3">
        <f>0+(929.4-182.5)+(0+(0-0))+18.8-0-0</f>
        <v>765.69999999999993</v>
      </c>
      <c r="X119" s="3">
        <f>0+(960.1-239.7)+(0+(-1.468953--0.366741))+0-0-0</f>
        <v>719.29778800000008</v>
      </c>
      <c r="Y119" s="3">
        <f>0+(914.2-228.3)+(0+(0-0))+0-0-0</f>
        <v>685.90000000000009</v>
      </c>
      <c r="Z119" s="3">
        <f>0+(898.9-169.6)+(0+(0-0))+0-0-0</f>
        <v>729.3</v>
      </c>
      <c r="AA119" s="3">
        <f>0+(961.6-128.2)+(0+(-1.471248--0.196146))+0-0-0</f>
        <v>832.12489800000014</v>
      </c>
      <c r="AB119" s="3">
        <f>0+(973.6-162)+(0+(-1.986144--0.33048))+0-0-0</f>
        <v>809.94433600000002</v>
      </c>
      <c r="AC119" s="3">
        <f>0+(986.1-215.9)+(0+(-2.011644--0.440436))+0-0-0</f>
        <v>768.62879200000009</v>
      </c>
      <c r="AD119">
        <f t="shared" si="1"/>
        <v>17040.297894000003</v>
      </c>
      <c r="AE119" s="3">
        <f>0+(1147.8-133.7)+(0+(0-0))+0-0-0</f>
        <v>1014.0999999999999</v>
      </c>
    </row>
    <row r="120" spans="1:31" s="2" customFormat="1" x14ac:dyDescent="0.25">
      <c r="A120">
        <v>89</v>
      </c>
      <c r="B120">
        <v>4</v>
      </c>
      <c r="C120">
        <v>27</v>
      </c>
      <c r="D120">
        <v>2</v>
      </c>
      <c r="E120">
        <v>1</v>
      </c>
      <c r="F120" s="3">
        <f>0+(1251.9-317.1)+(0+(-2.553876--0.646884))+0-0-0</f>
        <v>932.89300800000012</v>
      </c>
      <c r="G120" s="3">
        <f>0+(1222.3-349.7)+(0+(-0.623373--0.178347))+0-0-0</f>
        <v>872.15497399999992</v>
      </c>
      <c r="H120" s="3">
        <f>0+(1223-379.5)+(0+(0-0))+0-0-0</f>
        <v>843.5</v>
      </c>
      <c r="I120" s="3">
        <f>0+(1204.2-375.4)+(0+(-1.842426--0.574362))+0-0-0</f>
        <v>827.53193600000009</v>
      </c>
      <c r="J120" s="3">
        <f>0+(1146.5-321)+(0+(-1.16943--0.32742))+0-0-0</f>
        <v>824.65799000000004</v>
      </c>
      <c r="K120" s="3">
        <f>0+(1135.6-321.1)+(0+(-2.89578--0.818805))+0-0-0</f>
        <v>812.42302499999994</v>
      </c>
      <c r="L120" s="3">
        <f>0+(1185.6-384.1)+(0+(-2.418624--0.783564))+0-0-0</f>
        <v>799.86493999999993</v>
      </c>
      <c r="M120" s="3">
        <f>0+(1171.1-337.3)+(0+(-0.597261--0.172023))+0-0-0</f>
        <v>833.37476199999992</v>
      </c>
      <c r="N120" s="3">
        <f>0+(1228.8-325.1)+(0+(-1.253376--0.331602))+0-0-0</f>
        <v>902.7782259999999</v>
      </c>
      <c r="O120" s="3">
        <f>0+(1241.8-294.1)+(0+(0.633318-0.149991))+0-0-0</f>
        <v>948.18332699999996</v>
      </c>
      <c r="P120" s="3">
        <f>0+(1224.3-234.4)+(0+(0.624393-0.119544))+10-0-0</f>
        <v>1000.404849</v>
      </c>
      <c r="Q120" s="3">
        <f>0+(1182.4-184.3)+(0+(1.206048-0.187986))+30-0-0</f>
        <v>1029.118062</v>
      </c>
      <c r="R120" s="3">
        <f>0+(1168.9-147.7)+(0+(0.596139-0.075327))+30-0-0</f>
        <v>1051.720812</v>
      </c>
      <c r="S120" s="3">
        <f>0+(1155.3-160.2)+(0+(0.589203-0.081702))+30-0-0</f>
        <v>1025.607501</v>
      </c>
      <c r="T120" s="3">
        <f>0+(1140.2-157.1)+(0+(1.163004-0.160242))+30-0-0</f>
        <v>1014.102762</v>
      </c>
      <c r="U120" s="3">
        <f>0+(1159.2-173.4)+(0+(1.182384-0.176868))+30-0-0</f>
        <v>1016.8055160000001</v>
      </c>
      <c r="V120" s="3">
        <f>0+(1171.3-172.3)+(0+(0.597363-0.087873))+30-0-0</f>
        <v>1029.5094899999999</v>
      </c>
      <c r="W120" s="3">
        <f>0+(1142-152.4)+(0+(0-0))+5-0-0</f>
        <v>994.6</v>
      </c>
      <c r="X120" s="3">
        <f>0+(1161.2-161.1)+(0+(-1.776636--0.246483))+0-0-0</f>
        <v>998.56984699999998</v>
      </c>
      <c r="Y120" s="3">
        <f>0+(1121.6-150.2)+(0+(-0.572016--0.076602))+0-0-0</f>
        <v>970.90458599999988</v>
      </c>
      <c r="Z120" s="3">
        <f>0+(1161.1-185.1)+(0+(0.592161-0.094401))+0-0-0</f>
        <v>976.49775999999986</v>
      </c>
      <c r="AA120" s="3">
        <f>0+(1103.3-112.3)+(0+(0-0))+0-0-0</f>
        <v>991</v>
      </c>
      <c r="AB120" s="3">
        <f>0+(1173.1-131.3)+(0+(-2.393124--0.267852))+0-0-0</f>
        <v>1039.674728</v>
      </c>
      <c r="AC120" s="3">
        <f>0+(1224.7-208.4)+(0+(-1.249194--0.212568))+0-0-0</f>
        <v>1015.2633740000001</v>
      </c>
      <c r="AD120">
        <f t="shared" si="1"/>
        <v>22751.141475000004</v>
      </c>
      <c r="AE120" s="3">
        <f>0+(1155.1-95.6)+(0+(0-0))+0-0-0</f>
        <v>1059.5</v>
      </c>
    </row>
    <row r="121" spans="1:31" s="2" customFormat="1" x14ac:dyDescent="0.25">
      <c r="A121">
        <v>89</v>
      </c>
      <c r="B121">
        <v>4</v>
      </c>
      <c r="C121">
        <v>28</v>
      </c>
      <c r="D121">
        <v>3</v>
      </c>
      <c r="E121">
        <v>1</v>
      </c>
      <c r="F121" s="3">
        <f>0+(1124.9-296.4)+(0+(-1.721097--0.453492))+0-0-0</f>
        <v>827.23239500000011</v>
      </c>
      <c r="G121" s="3">
        <f>0+(1132.2-347.8)+(0+(-1.154844--0.354756))+0-0-0</f>
        <v>783.59991200000013</v>
      </c>
      <c r="H121" s="3">
        <f>0+(1093.7-347.2)+(0+(-2.231148--0.708288))+0-0-0</f>
        <v>744.97713999999996</v>
      </c>
      <c r="I121" s="3">
        <f>0+(1070.1-338.3)+(0+(-1.637253--0.517599))+0-0-0</f>
        <v>730.68034599999999</v>
      </c>
      <c r="J121" s="3">
        <f>0+(1047.7-321.5)+(0+(-1.068654--0.32793))+0-0-0</f>
        <v>725.45927600000005</v>
      </c>
      <c r="K121" s="3">
        <f>0+(1009.8-294.1)+(0+(-2.059992--0.599964))+0-0-0</f>
        <v>714.23997199999997</v>
      </c>
      <c r="L121" s="3">
        <f>0+(1026.1-303.6)+(0+(-2.093244--0.619344))+0-0-0</f>
        <v>721.02609999999993</v>
      </c>
      <c r="M121" s="3">
        <f>0+(1067-309.1)+(0+(-1.63251--0.472923))+0-0-0</f>
        <v>756.74041299999999</v>
      </c>
      <c r="N121" s="3">
        <f>0+(1166.2-337.8)+(0+(0.594762-0.172278))+0-0-0</f>
        <v>828.82248400000014</v>
      </c>
      <c r="O121" s="3">
        <f>0+(1150.1-268.5)+(0+(0.586551-0.136935))+0-0-0</f>
        <v>882.0496159999999</v>
      </c>
      <c r="P121" s="3">
        <f>0+(1109.4-176.5)+(0+(0-0))+0-0-0</f>
        <v>932.90000000000009</v>
      </c>
      <c r="Q121" s="3">
        <f>0+(1027.1-57.1)+(0+(0.523821-0.029121))+0-0-0</f>
        <v>970.49469999999985</v>
      </c>
      <c r="R121" s="3">
        <f>0+(1049-30.9)+(0+(-0.53499--0.015759))+0-0-0</f>
        <v>1017.580769</v>
      </c>
      <c r="S121" s="3">
        <f>0+(1034.7-29.9)+(0+(-0.527697--0.015249))+0-0-0</f>
        <v>1004.2875520000001</v>
      </c>
      <c r="T121" s="3">
        <f>0+(1017.6-31.9)+(0+(1.037952-0.032538))+0-0-0</f>
        <v>986.70541400000002</v>
      </c>
      <c r="U121" s="3">
        <f>0+(1016.4-35.2)+(0+(0.518364-0.017952))+0-0-0</f>
        <v>981.70041199999991</v>
      </c>
      <c r="V121" s="3">
        <f>0+(1031-34.9)+(0+(-1.05162--0.035598))+0-0-0</f>
        <v>995.083978</v>
      </c>
      <c r="W121" s="3">
        <f>0+(1020.7-49.8)+(0+(-2.082228--0.101592))+0-0-0</f>
        <v>968.91936400000009</v>
      </c>
      <c r="X121" s="3">
        <f>0+(1094.6-118)+(0+(-2.232984--0.24072))+0-0-0</f>
        <v>974.60773599999993</v>
      </c>
      <c r="Y121" s="3">
        <f>0+(1093.4-144.6)+(0+(0-0))+0-0-0</f>
        <v>948.80000000000007</v>
      </c>
      <c r="Z121" s="3">
        <f>0+(1079.2-101.9)+(0+(0.550392-0.051969))+0-0-0</f>
        <v>977.79842300000007</v>
      </c>
      <c r="AA121" s="3">
        <f>0+(1044.4-31.8)+(0+(-1.065288--0.032436))+0-0-0</f>
        <v>1011.5671480000001</v>
      </c>
      <c r="AB121" s="3">
        <f>0+(1088.9-60.6)+(0+(-0.555339--0.030906))+0-0-0</f>
        <v>1027.7755670000001</v>
      </c>
      <c r="AC121" s="3">
        <f>0+(1134.2-118.7)+(0+(0-0))+0-0-0</f>
        <v>1015.5</v>
      </c>
      <c r="AD121">
        <f t="shared" si="1"/>
        <v>21528.548717000001</v>
      </c>
      <c r="AE121" s="3">
        <f>0+(1040.9-20)+(0+(0-0))+0-0-0</f>
        <v>1020.9000000000001</v>
      </c>
    </row>
    <row r="122" spans="1:31" s="2" customFormat="1" x14ac:dyDescent="0.25">
      <c r="A122">
        <v>89</v>
      </c>
      <c r="B122">
        <v>4</v>
      </c>
      <c r="C122">
        <v>29</v>
      </c>
      <c r="D122">
        <v>4</v>
      </c>
      <c r="E122">
        <v>1</v>
      </c>
      <c r="F122" s="3">
        <f>0+(1173.5-212.4)+(0+(-2.39394--0.433296))+0-0-0</f>
        <v>959.13935600000002</v>
      </c>
      <c r="G122" s="3">
        <f>0+(1169.3-283.8)+(0+(-3.578058--0.868428))+0-0-0</f>
        <v>882.79037000000005</v>
      </c>
      <c r="H122" s="3">
        <f>0+(1210.3-345.7)+(0+(-1.851759--0.528921))+0-0-0</f>
        <v>863.27716199999986</v>
      </c>
      <c r="I122" s="3">
        <f>0+(1208.5-348.9)+(0+(-1.849005--0.533817))+0-0-0</f>
        <v>858.28481199999999</v>
      </c>
      <c r="J122" s="3">
        <f>0+(1212.7-361.6)+(0+(1.236954-0.368832))+0-0-0</f>
        <v>851.96812199999999</v>
      </c>
      <c r="K122" s="3">
        <f>0+(1191.3-384.8)+(0+(-1.215126--0.392496))+0-0-0</f>
        <v>805.67737</v>
      </c>
      <c r="L122" s="3">
        <f>0+(1232.1-364.1)+(0+(-3.770226--1.114146))+0-0-0</f>
        <v>865.34391999999991</v>
      </c>
      <c r="M122" s="3">
        <f>0+(1241.3-385)+(0+(0.633063-0.19635))+0-0-0</f>
        <v>856.73671300000001</v>
      </c>
      <c r="N122" s="3">
        <f>0+(1241.8-313.2)+(0+(0.633318-0.159732))+0-0-0</f>
        <v>929.07358599999986</v>
      </c>
      <c r="O122" s="3">
        <f>0+(1237.9-283.7)+(0+(1.262658-0.289374))+0-0-0</f>
        <v>955.17328400000008</v>
      </c>
      <c r="P122" s="3">
        <f>0+(1120.2-132.1)+(0+(1.142604-0.134742))+0-0-0</f>
        <v>989.10786200000007</v>
      </c>
      <c r="Q122" s="3">
        <f>0+(1031.3-42.5)+(0+(0.525963-0.021675))+0-0-0</f>
        <v>989.30428799999993</v>
      </c>
      <c r="R122" s="3">
        <f>0+(1061.2-15.9)+(0+(1.623636-0.024327))+0-0-0</f>
        <v>1046.8993089999999</v>
      </c>
      <c r="S122" s="3">
        <f>0+(1037.1-12.7)+(0+(0.528921-0.006477))+0-0-0</f>
        <v>1024.9224439999998</v>
      </c>
      <c r="T122" s="3">
        <f>0+(1022.1-14)+(0+(2.085084-0.02856))+0-0-0</f>
        <v>1010.156524</v>
      </c>
      <c r="U122" s="3">
        <f>0+(1013.2-20.8)+(0+(0.516732-0.010608))+0-0-0</f>
        <v>992.90612400000009</v>
      </c>
      <c r="V122" s="3">
        <f>0+(1026.5-20.2)+(0+(-0.523515--0.010302))+0-0-0</f>
        <v>1005.786787</v>
      </c>
      <c r="W122" s="3">
        <f>0+(987.9-19.4)+(0+(-1.511487--0.029682))+0-0-0</f>
        <v>967.01819499999999</v>
      </c>
      <c r="X122" s="3">
        <f>0+(1072.9-102.6)+(0+(-1.641537--0.156978))+0-0-0</f>
        <v>968.81544100000008</v>
      </c>
      <c r="Y122" s="3">
        <f>0+(1093.3-138.9)+(0+(-1.672749--0.212517))+0-0-0</f>
        <v>952.93976799999996</v>
      </c>
      <c r="Z122" s="3">
        <f>0+(1085.8-103.9)+(0+(0-0))+0-0-0</f>
        <v>981.9</v>
      </c>
      <c r="AA122" s="3">
        <f>0+(1032.6-0)+(0+(-0.526626-0))+0-0-0</f>
        <v>1032.0733739999998</v>
      </c>
      <c r="AB122" s="3">
        <f>0+(1034.2-11.9)+(0+(-1.054884--0.012138))+0-0-0</f>
        <v>1021.2572540000001</v>
      </c>
      <c r="AC122" s="3">
        <f>0+(1105.2-108.8)+(0+(1.127304-0.110976))+0-0-0</f>
        <v>997.41632800000014</v>
      </c>
      <c r="AD122">
        <f t="shared" si="1"/>
        <v>22807.968393000003</v>
      </c>
      <c r="AE122" s="3">
        <f>0+(1033.7-0)+(0+(0-0))+0-0-0</f>
        <v>1033.7</v>
      </c>
    </row>
    <row r="123" spans="1:31" s="2" customFormat="1" x14ac:dyDescent="0.25">
      <c r="A123">
        <v>89</v>
      </c>
      <c r="B123">
        <v>4</v>
      </c>
      <c r="C123">
        <v>30</v>
      </c>
      <c r="D123">
        <v>5</v>
      </c>
      <c r="E123">
        <v>1</v>
      </c>
      <c r="F123" s="3">
        <f>0+(1127.8-190.2)+(0+(0-0))+0-0-0</f>
        <v>937.59999999999991</v>
      </c>
      <c r="G123" s="3">
        <f>0+(1068.1-180.3)+(0+(-0.544731--0.091953))+0-0-0</f>
        <v>887.34722199999999</v>
      </c>
      <c r="H123" s="3">
        <f>0+(1091.3-210.5)+(0+(0.556563-0.107355))+0-0-0</f>
        <v>881.24920799999995</v>
      </c>
      <c r="I123" s="3">
        <f>0+(1122.3-243.9)+(0+(-0.572373--0.124389))+0-0-0</f>
        <v>877.95201599999996</v>
      </c>
      <c r="J123" s="3">
        <f>0+(1065-230.3)+(0+(-1.0863--0.234906))+0-0-0</f>
        <v>833.84860600000002</v>
      </c>
      <c r="K123" s="3">
        <f>0+(1079.2-261.2)+(0+(-0.550392--0.133212))+0-0-0</f>
        <v>817.58281999999997</v>
      </c>
      <c r="L123" s="3">
        <f>0+(1149.6-297.3)+(0+(-0.586296--0.151623))+0-0-0</f>
        <v>851.86532699999998</v>
      </c>
      <c r="M123" s="3">
        <f>0+(1180.1-298.2)+(0+(-0.601851--0.152082))+0-0-0</f>
        <v>881.45023099999992</v>
      </c>
      <c r="N123" s="3">
        <f>0+(1221-333.9)+(0+(-0.62271--0.170289))+0-0-0</f>
        <v>886.64757900000006</v>
      </c>
      <c r="O123" s="3">
        <f>0+(1203.1-273.5)+(0+(0-0))+0-0-0</f>
        <v>929.59999999999991</v>
      </c>
      <c r="P123" s="3">
        <f>0+(1180.5-225.4)+(0+(-0.602055--0.114954))+0-0-0</f>
        <v>954.61289899999997</v>
      </c>
      <c r="Q123" s="3">
        <f>0+(1088.4-91.2)+(0+(0.555084-0.046512))+0-0-0</f>
        <v>997.708572</v>
      </c>
      <c r="R123" s="3">
        <f>0+(1055.2-47.8)+(0+(-0.538152--0.024378))+0-0-0</f>
        <v>1006.8862260000001</v>
      </c>
      <c r="S123" s="3">
        <f>0+(997.5-32.5)+(0+(-0.508725--0.016575))+0-0-0</f>
        <v>964.50784999999996</v>
      </c>
      <c r="T123" s="3">
        <f>0+(981.2-12.1)+(0+(1.501236-0.018513))+10-0-0</f>
        <v>980.58272299999999</v>
      </c>
      <c r="U123" s="3">
        <f>0+(993-15.7)+(0+(0-0))+30-0-0</f>
        <v>1007.3</v>
      </c>
      <c r="V123" s="3">
        <f>0+(985.9-15.7)+(0+(-0.502809--0.008007))+30-0-0</f>
        <v>999.70519799999988</v>
      </c>
      <c r="W123" s="3">
        <f>0+(963.9-20.7)+(0+(-1.474767--0.031671))+20-0-0</f>
        <v>961.75690399999996</v>
      </c>
      <c r="X123" s="3">
        <f>0+(1001.6-40.4)+(0+(-1.532448--0.061812))+0-0-0</f>
        <v>959.72936400000003</v>
      </c>
      <c r="Y123" s="3">
        <f>0+(995-71.5)+(0+(0.50745-0.036465))+0-0-0</f>
        <v>923.97098500000004</v>
      </c>
      <c r="Z123" s="3">
        <f>0+(1062.9-108.5)+(0+(1.084158-0.11067))+0-0-0</f>
        <v>955.37348800000007</v>
      </c>
      <c r="AA123" s="3">
        <f>0+(1028.3-14.2)+(0+(-0.524433--0.007242))+0-0-0</f>
        <v>1013.5828089999999</v>
      </c>
      <c r="AB123" s="3">
        <f>0+(1055.2-35.5)+(0+(-0.538152--0.018105))+0-0-0</f>
        <v>1019.1799530000001</v>
      </c>
      <c r="AC123" s="3">
        <f>0+(1086.9-89.6)+(0+(-1.108638--0.091392))+0-0-0</f>
        <v>996.28275400000007</v>
      </c>
      <c r="AD123">
        <f t="shared" si="1"/>
        <v>22526.322733999998</v>
      </c>
      <c r="AE123" s="3">
        <f>0+(1034.7-0)+(0+(0-0))+0-0-0</f>
        <v>1034.7</v>
      </c>
    </row>
    <row r="124" spans="1:31" s="2" customFormat="1" x14ac:dyDescent="0.25">
      <c r="A124">
        <v>89</v>
      </c>
      <c r="B124">
        <v>4</v>
      </c>
      <c r="C124">
        <v>31</v>
      </c>
      <c r="D124">
        <v>6</v>
      </c>
      <c r="E124">
        <v>1</v>
      </c>
      <c r="F124" s="3">
        <f>0+(1104-173.3)+(0+(-1.12608--0.176766))+0-0-0</f>
        <v>929.75068600000009</v>
      </c>
      <c r="G124" s="3">
        <f>0+(1161.1-274.5)+(0+(1.184322-0.27999))+0-0-0</f>
        <v>887.50433199999986</v>
      </c>
      <c r="H124" s="3">
        <f>0+(1191.9-330.9)+(0+(-2.431476--0.675036))+0-0-0</f>
        <v>859.24356000000012</v>
      </c>
      <c r="I124" s="3">
        <f>0+(1201.2-353.9)+(0+(-3.06306--0.902445))+0-0-0</f>
        <v>845.13938500000006</v>
      </c>
      <c r="J124" s="3">
        <f>0+(1155-320.2)+(0+(0.58905-0.163302))+0-0-0</f>
        <v>835.22574799999995</v>
      </c>
      <c r="K124" s="3">
        <f>0+(1134.5-311.4)+(0+(-2.892975--0.79407))+0-0-0</f>
        <v>821.00109500000008</v>
      </c>
      <c r="L124" s="3">
        <f>0+(1197-385.7)+(0+(-1.22094--0.393414))+0-0-0</f>
        <v>810.47247399999992</v>
      </c>
      <c r="M124" s="3">
        <f>0+(1191.4-347.5)+(0+(-0.607614--0.177225))+0-0-0</f>
        <v>843.4696110000001</v>
      </c>
      <c r="N124" s="3">
        <f>0+(1200.5-308.7)+(0+(0.612255-0.157437))+0-0-0</f>
        <v>892.254818</v>
      </c>
      <c r="O124" s="3">
        <f>0+(1242.6-303)+(0+(0-0))+0-0-0</f>
        <v>939.59999999999991</v>
      </c>
      <c r="P124" s="3">
        <f>0+(1131.2-168.7)+(0+(0-0))+0-0-0</f>
        <v>962.5</v>
      </c>
      <c r="Q124" s="3">
        <f>0+(1047.6-78.6)+(0+(0-0))+0-0-0</f>
        <v>968.99999999999989</v>
      </c>
      <c r="R124" s="3">
        <f>0+(931.3-25)+(0+(0.474963-0.01275))+0-0-0</f>
        <v>906.76221299999997</v>
      </c>
      <c r="S124" s="3">
        <f>0+(910.5-23.3)+(0+(0.464355-0.011883))+0-0-0</f>
        <v>887.65247199999999</v>
      </c>
      <c r="T124" s="3">
        <f>0+(889.5-5.5)+(0+(0.90729-0.00561))+0-0-0</f>
        <v>884.90168000000006</v>
      </c>
      <c r="U124" s="3">
        <f>0+(890.3-12.9)+(0+(0-0))+0-0-0</f>
        <v>877.4</v>
      </c>
      <c r="V124" s="3">
        <f>0+(901.9-29)+(0+(0-0))+0-0-0</f>
        <v>872.9</v>
      </c>
      <c r="W124" s="3">
        <f>0+(935.6-80.8)+(0+(-0.954312--0.082416))+0-0-0</f>
        <v>853.92810400000008</v>
      </c>
      <c r="X124" s="3">
        <f>0+(945.6-111)+(0+(-2.893536--0.33966))+0-0-0</f>
        <v>832.04612400000008</v>
      </c>
      <c r="Y124" s="3">
        <f>0+(940.4-121.2)+(0+(-0.479604--0.061812))+0-0-0</f>
        <v>818.78220799999997</v>
      </c>
      <c r="Z124" s="3">
        <f>0+(987.9-123.3)+(0+(-2.015316--0.251532))+0-0-0</f>
        <v>862.83621600000004</v>
      </c>
      <c r="AA124" s="3">
        <f>0+(932.7-43.9)+(0+(-1.902708--0.089556))+0-0-0</f>
        <v>886.98684800000012</v>
      </c>
      <c r="AB124" s="3">
        <f>0+(899.2-29.2)+(0+(0-0))+0-0-0</f>
        <v>870</v>
      </c>
      <c r="AC124" s="3">
        <f>0+(897.2-47.1)+(0+(-0.915144--0.048042))+0-0-0</f>
        <v>849.23289799999998</v>
      </c>
      <c r="AD124">
        <f t="shared" si="1"/>
        <v>20998.590472</v>
      </c>
      <c r="AE124" s="3">
        <f>0+(1036.5-29.1)+(0+(0-0))+0-0-0</f>
        <v>1007.4</v>
      </c>
    </row>
    <row r="125" spans="1:31" s="2" customFormat="1" x14ac:dyDescent="0.25">
      <c r="A125">
        <v>89</v>
      </c>
      <c r="B125">
        <v>5</v>
      </c>
      <c r="C125">
        <v>1</v>
      </c>
      <c r="D125">
        <v>7</v>
      </c>
      <c r="E125">
        <v>1</v>
      </c>
      <c r="F125" s="3">
        <f>0+(1078.7-126.1)+(0+(-0.550137--0.064311))+0-0-0</f>
        <v>952.11417400000005</v>
      </c>
      <c r="G125" s="3">
        <f>0+(1098.1-246.2)+(0+(-3.360186--0.753372))+0-0-0</f>
        <v>849.29318599999988</v>
      </c>
      <c r="H125" s="3">
        <f>0+(1132.2-320.7)+(0+(-2.88711--0.817785))+0-0-0</f>
        <v>809.43067499999995</v>
      </c>
      <c r="I125" s="3">
        <f>0+(1148-338.4)+(0+(0.58548-0.172584))+0-0-0</f>
        <v>810.01289600000007</v>
      </c>
      <c r="J125" s="3">
        <f>0+(1077.7-285.8)+(0+(-0.549627--0.145758))+0-0-0</f>
        <v>791.4961310000001</v>
      </c>
      <c r="K125" s="3">
        <f>0+(1066.5-287.5)+(0+(-1.08783--0.29325))+0-0-0</f>
        <v>778.20542</v>
      </c>
      <c r="L125" s="3">
        <f>0+(1100.7-375.7)+(0+(-0.561357--0.191607))+0-0-0</f>
        <v>724.63025000000005</v>
      </c>
      <c r="M125" s="3">
        <f>0+(1050.6-318.4)+(0+(-0.535806--0.162384))+0-0-0</f>
        <v>731.82657799999993</v>
      </c>
      <c r="N125" s="3">
        <f>0+(1041.4-296.3)+(0+(0-0))+0-0-0</f>
        <v>745.10000000000014</v>
      </c>
      <c r="O125" s="3">
        <f>0+(1048.2-264)+(0+(0.534582-0.13464))+0-0-0</f>
        <v>784.59994200000006</v>
      </c>
      <c r="P125" s="3">
        <f>0+(1016.5-200)+(0+(-1.03683--0.204))+0-0-0</f>
        <v>815.66717000000006</v>
      </c>
      <c r="Q125" s="3">
        <f>0+(1071.9-234.3)+(0+(0.546669-0.119493))+0-0-0</f>
        <v>838.02717600000017</v>
      </c>
      <c r="R125" s="3">
        <f>0+(1033.8-194)+(0+(-1.054476--0.19788))+0-0-0</f>
        <v>838.94340399999999</v>
      </c>
      <c r="S125" s="3">
        <f>0+(1000.3-165.9)+(0+(-0.510153--0.084609))+0-0-0</f>
        <v>833.97445600000003</v>
      </c>
      <c r="T125" s="3">
        <f>0+(969.7-144.2)+(0+(-0.989094--0.147084))+0-0-0</f>
        <v>824.65799000000004</v>
      </c>
      <c r="U125" s="3">
        <f>0+(973.4-149.4)+(0+(0-0))+0-0-0</f>
        <v>824</v>
      </c>
      <c r="V125" s="3">
        <f>0+(970.6-147.6)+(0+(0-0))+0-0-0</f>
        <v>823</v>
      </c>
      <c r="W125" s="3">
        <f>0+(1041-203.3)+(0+(-2.12364--0.414732))+0-0-0</f>
        <v>835.99109200000009</v>
      </c>
      <c r="X125" s="3">
        <f>0+(1020.9-223.5)+(0+(-1.041318--0.22797))+0-0-0</f>
        <v>796.58665199999996</v>
      </c>
      <c r="Y125" s="3">
        <f>0+(1050.3-240.1)+(0+(0-0))+0-0-0</f>
        <v>810.19999999999993</v>
      </c>
      <c r="Z125" s="3">
        <f>0+(1096.2-252.6)+(0+(-1.118124--0.257652))+0-0-0</f>
        <v>842.73952800000006</v>
      </c>
      <c r="AA125" s="3">
        <f>0+(1112.5-219.6)+(0+(0-0))+0-0-0</f>
        <v>892.9</v>
      </c>
      <c r="AB125" s="3">
        <f>0+(1110.4-209.1)+(0+(-1.132608--0.213282))+0-0-0</f>
        <v>900.38067400000011</v>
      </c>
      <c r="AC125" s="3">
        <f>0+(1094.1-228.7)+(0+(-0.557991--0.116637))+0-0-0</f>
        <v>864.95864599999982</v>
      </c>
      <c r="AD125">
        <f t="shared" si="1"/>
        <v>19718.736040000003</v>
      </c>
      <c r="AE125" s="3">
        <f>0+(1135.7-202.5)+(0+(0-0))+0-0-0</f>
        <v>933.2</v>
      </c>
    </row>
    <row r="126" spans="1:31" s="2" customFormat="1" x14ac:dyDescent="0.25">
      <c r="A126">
        <v>89</v>
      </c>
      <c r="B126">
        <v>5</v>
      </c>
      <c r="C126">
        <v>2</v>
      </c>
      <c r="D126">
        <v>1</v>
      </c>
      <c r="E126">
        <v>1</v>
      </c>
      <c r="F126" s="3">
        <f>0+(1060.3-243.9)+(0+(-0.540753--0.124389))+0-0-0</f>
        <v>815.98363599999993</v>
      </c>
      <c r="G126" s="3">
        <f>0+(1013.7-240.7)+(0+(0.516987-0.122757))+0-0-0</f>
        <v>773.39422999999999</v>
      </c>
      <c r="H126" s="3">
        <f>0+(1058-308.6)+(0+(0.53958-0.157386))+0-0-0</f>
        <v>749.782194</v>
      </c>
      <c r="I126" s="3">
        <f>0+(1105.7-362.7)+(0+(-1.127814--0.369954))+0-0-0</f>
        <v>742.24213999999995</v>
      </c>
      <c r="J126" s="3">
        <f>0+(1080.5-342.7)+(0+(0-0))+0-0-0</f>
        <v>737.8</v>
      </c>
      <c r="K126" s="3">
        <f>0+(1059.6-321.9)+(0+(-1.080792--0.328338))+0-0-0</f>
        <v>736.94754599999999</v>
      </c>
      <c r="L126" s="3">
        <f>0+(1072.8-335.2)+(0+(0-0))+0-0-0</f>
        <v>737.59999999999991</v>
      </c>
      <c r="M126" s="3">
        <f>0+(1075.9-297.3)+(0+(1.097418-0.303246))+0-0-0</f>
        <v>779.39417200000014</v>
      </c>
      <c r="N126" s="3">
        <f>0+(1143.2-308.6)+(0+(-1.166064--0.314772))+0-0-0</f>
        <v>833.74870800000008</v>
      </c>
      <c r="O126" s="3">
        <f>0+(1175.6-289.8)+(0+(0-0))+0-0-0</f>
        <v>885.8</v>
      </c>
      <c r="P126" s="3">
        <f>0+(1138.2-217.9)+(0+(0.580482-0.111129))+0-0-0</f>
        <v>920.76935300000002</v>
      </c>
      <c r="Q126" s="3">
        <f>0+(1106.7-192.9)+(0+(0-0))+45-0-0</f>
        <v>958.80000000000007</v>
      </c>
      <c r="R126" s="3">
        <f>0+(1105.9-177.7)+(0+(0.564009-0.090627))+60-0-0</f>
        <v>988.67338200000006</v>
      </c>
      <c r="S126" s="3">
        <f>0+(1060-147.1)+(0+(0.5406-0.075021))+60-0-0</f>
        <v>973.36557900000003</v>
      </c>
      <c r="T126" s="3">
        <f>0+(1022.1-102.3)+(0+(0.521271-0.052173))+60-0-0</f>
        <v>980.2690980000001</v>
      </c>
      <c r="U126" s="3">
        <f>0+(992.8-83.1)+(0+(0.506328-0.042381))+60-0-0</f>
        <v>970.16394699999989</v>
      </c>
      <c r="V126" s="3">
        <f>0+(1006.8-105.2)+(0+(-2.053872--0.214608))+60-0-0</f>
        <v>959.76073599999995</v>
      </c>
      <c r="W126" s="3">
        <f>0+(1030.7-127.4)+(0+(-1.051314--0.129948))+25-0-0</f>
        <v>927.37863400000003</v>
      </c>
      <c r="X126" s="3">
        <f>0+(1068-172.2)+(0+(-2.17872--0.351288))+0-0-0</f>
        <v>893.97256799999991</v>
      </c>
      <c r="Y126" s="3">
        <f>0+(1046.7-168.4)+(0+(-1.067634--0.171768))+0-0-0</f>
        <v>877.40413400000011</v>
      </c>
      <c r="Z126" s="3">
        <f>0+(1110.6-175.8)+(0+(-1.132812--0.179316))+0-0-0</f>
        <v>933.84650399999998</v>
      </c>
      <c r="AA126" s="3">
        <f>0+(1077-94.5)+(0+(-0.54927--0.048195))+0-0-0</f>
        <v>981.99892499999999</v>
      </c>
      <c r="AB126" s="3">
        <f>0+(1080.9-115.9)+(0+(0-0))+0-0-0</f>
        <v>965.00000000000011</v>
      </c>
      <c r="AC126" s="3">
        <f>0+(1077.7-130)+(0+(-0.549627--0.0663))+0-0-0</f>
        <v>947.21667300000001</v>
      </c>
      <c r="AD126">
        <f t="shared" si="1"/>
        <v>21071.312158999997</v>
      </c>
      <c r="AE126" s="3">
        <f>0+(1085.9-74.8)+(0+(0-0))+0-0-0</f>
        <v>1011.1000000000001</v>
      </c>
    </row>
    <row r="127" spans="1:31" s="2" customFormat="1" x14ac:dyDescent="0.25">
      <c r="A127">
        <v>89</v>
      </c>
      <c r="B127">
        <v>5</v>
      </c>
      <c r="C127">
        <v>3</v>
      </c>
      <c r="D127">
        <v>2</v>
      </c>
      <c r="E127">
        <v>1</v>
      </c>
      <c r="F127" s="3">
        <f>0+(1096.8-208.3)+(0+(-1.678104--0.318699))+0-0-0</f>
        <v>887.14059499999996</v>
      </c>
      <c r="G127" s="3">
        <f>0+(1074.4-230.3)+(0+(-2.191776--0.469812))+0-0-0</f>
        <v>842.37803600000018</v>
      </c>
      <c r="H127" s="3">
        <f>0+(1111.6-291.6)+(0+(-1.133832--0.297432))+0-0-0</f>
        <v>819.16359999999986</v>
      </c>
      <c r="I127" s="3">
        <f>0+(1059.9-255.3)+(0+(0-0))+0-0-0</f>
        <v>804.60000000000014</v>
      </c>
      <c r="J127" s="3">
        <f>0+(1039.7-244.2)+(0+(0-0))+0-0-0</f>
        <v>795.5</v>
      </c>
      <c r="K127" s="3">
        <f>0+(1042.3-262.1)+(0+(-1.594719--0.401013))+0-0-0</f>
        <v>779.00629399999991</v>
      </c>
      <c r="L127" s="3">
        <f>0+(1043.8-229.7)+(0+(0.532338-0.117147))+0-0-0</f>
        <v>814.51519099999996</v>
      </c>
      <c r="M127" s="3">
        <f>0+(1024.1-183)+(0+(1.044582-0.18666))+0-0-0</f>
        <v>841.95792199999994</v>
      </c>
      <c r="N127" s="3">
        <f>0+(1040.1-183)+(0+(1.060902-0.18666))+0-0-0</f>
        <v>857.97424199999989</v>
      </c>
      <c r="O127" s="3">
        <f>0+(1176.1-275.4)+(0+(1.199622-0.280908))+0-0-0</f>
        <v>901.61871399999995</v>
      </c>
      <c r="P127" s="3">
        <f>0+(1160.2-223)+(0+(1.775106-0.34119))+0-0-0</f>
        <v>938.633916</v>
      </c>
      <c r="Q127" s="3">
        <f>0+(1118.5-164.4)+(0+(0-0))+0-0-0</f>
        <v>954.1</v>
      </c>
      <c r="R127" s="3">
        <f>0+(1086.9-129.9)+(0+(-1.108638--0.132498))+0-0-0</f>
        <v>956.02386000000013</v>
      </c>
      <c r="S127" s="3">
        <f>0+(1033-104.7)+(0+(-0.52683--0.053397))+0-0-0</f>
        <v>927.82656699999995</v>
      </c>
      <c r="T127" s="3">
        <f>0+(1024.5-82.7)+(0+(0.522495-0.042177))+0-0-0</f>
        <v>942.28031799999997</v>
      </c>
      <c r="U127" s="3">
        <f>0+(1001.6-58.6)+(0+(1.021632-0.059772))+0-0-0</f>
        <v>943.96186</v>
      </c>
      <c r="V127" s="3">
        <f>0+(1014-75.5)+(0+(-0.51714--0.038505))+0-0-0</f>
        <v>938.02136499999995</v>
      </c>
      <c r="W127" s="3">
        <f>0+(1051-126)+(0+(-2.68005--0.3213))+0-0-0</f>
        <v>922.64125000000001</v>
      </c>
      <c r="X127" s="3">
        <f>0+(1047.5-143.8)+(0+(-2.671125--0.36669))+0-0-0</f>
        <v>901.39556500000003</v>
      </c>
      <c r="Y127" s="3">
        <f>0+(1025.7-148)+(0+(-1.046214--0.15096))+0-0-0</f>
        <v>876.80474600000002</v>
      </c>
      <c r="Z127" s="3">
        <f>0+(1070.3-140.7)+(0+(-1.637559--0.215271))+0-0-0</f>
        <v>928.17771199999993</v>
      </c>
      <c r="AA127" s="3">
        <f>0+(1106.8-122.6)+(0+(-1.128936--0.125052))+0-0-0</f>
        <v>983.19611599999996</v>
      </c>
      <c r="AB127" s="3">
        <f>0+(1085.2-127.7)+(0+(-0.553452--0.065127))+0-0-0</f>
        <v>957.01167499999997</v>
      </c>
      <c r="AC127" s="3">
        <f>0+(1072-140.7)+(0+(0-0))+0-0-0</f>
        <v>931.3</v>
      </c>
      <c r="AD127">
        <f t="shared" si="1"/>
        <v>21445.229544000002</v>
      </c>
      <c r="AE127" s="3">
        <f>0+(1126.7-128.2)+(0+(0-0))+0-0-0</f>
        <v>998.5</v>
      </c>
    </row>
    <row r="128" spans="1:31" s="2" customFormat="1" x14ac:dyDescent="0.25">
      <c r="A128">
        <v>89</v>
      </c>
      <c r="B128">
        <v>5</v>
      </c>
      <c r="C128">
        <v>4</v>
      </c>
      <c r="D128">
        <v>3</v>
      </c>
      <c r="E128">
        <v>1</v>
      </c>
      <c r="F128" s="3">
        <f>0+(1090.6-212.4)+(0+(0.556206-0.108324))+0-0-0</f>
        <v>878.64788199999998</v>
      </c>
      <c r="G128" s="3">
        <f>0+(1129.9-288.5)+(0+(0.576249-0.147135))+0-0-0</f>
        <v>841.82911400000012</v>
      </c>
      <c r="H128" s="3">
        <f>0+(1074.7-258.4)+(0+(-0.548097--0.131784))+0-0-0</f>
        <v>815.88368700000012</v>
      </c>
      <c r="I128" s="3">
        <f>0+(1059.6-257.1)+(0+(-1.621188--0.393363))+0-0-0</f>
        <v>801.27217499999983</v>
      </c>
      <c r="J128" s="3">
        <f>0+(1051.4-254.6)+(0+(-1.608642--0.389538))+0-0-0</f>
        <v>795.58089600000005</v>
      </c>
      <c r="K128" s="3">
        <f>0+(1035.7-246.8)+(0+(-1.056414--0.251736))+0-0-0</f>
        <v>788.09532200000012</v>
      </c>
      <c r="L128" s="3">
        <f>0+(1051.1-273.7)+(0+(-1.608183--0.418761))+0-0-0</f>
        <v>776.21057799999983</v>
      </c>
      <c r="M128" s="3">
        <f>0+(1064.6-246.9)+(0+(0-0))+0-0-0</f>
        <v>817.69999999999993</v>
      </c>
      <c r="N128" s="3">
        <f>0+(1112.2-249.7)+(0+(0.567222-0.127347))+0-0-0</f>
        <v>862.93987500000003</v>
      </c>
      <c r="O128" s="3">
        <f>0+(1193.8-309.6)+(0+(0-0))+0-0-0</f>
        <v>884.19999999999993</v>
      </c>
      <c r="P128" s="3">
        <f>0+(1135.2-198.2)+(0+(0-0))+0-0-0</f>
        <v>937</v>
      </c>
      <c r="Q128" s="3">
        <f>0+(1077.3-123.7)+(0+(0-0))+0-0-0</f>
        <v>953.59999999999991</v>
      </c>
      <c r="R128" s="3">
        <f>0+(1046.4-75.8)+(0+(0-0))+0-0-0</f>
        <v>970.60000000000014</v>
      </c>
      <c r="S128" s="3">
        <f>0+(978.4-44.9)+(0+(0-0))+0-0-0</f>
        <v>933.5</v>
      </c>
      <c r="T128" s="3">
        <f>0+(946.8-18.7)+(0+(0.482868-0.009537))+0-0-0</f>
        <v>928.57333099999994</v>
      </c>
      <c r="U128" s="3">
        <f>0+(927.2-2.4)+(0+(-0.472872--0.001224))+0-0-0</f>
        <v>924.32835200000011</v>
      </c>
      <c r="V128" s="3">
        <f>0+(931.3-5.4)+(0+(-0.949926--0.005508))+0-0-0</f>
        <v>924.95558199999994</v>
      </c>
      <c r="W128" s="3">
        <f>0+(948.9-42.1)+(0+(-0.967878--0.042942))+0-0-0</f>
        <v>905.87506399999995</v>
      </c>
      <c r="X128" s="3">
        <f>0+(995.5-106.9)+(0+(-2.03082--0.218076))+0-0-0</f>
        <v>886.78725600000007</v>
      </c>
      <c r="Y128" s="3">
        <f>0+(971.3-101.7)+(0+(-0.495363--0.051867))+0-0-0</f>
        <v>869.15650399999993</v>
      </c>
      <c r="Z128" s="3">
        <f>0+(1056.1-125.5)+(0+(-0.538611--0.064005))+0-0-0</f>
        <v>930.12539399999991</v>
      </c>
      <c r="AA128" s="3">
        <f>0+(1095.8-122.4)+(0+(-1.117716--0.124848))+0-0-0</f>
        <v>972.40713199999993</v>
      </c>
      <c r="AB128" s="3">
        <f>0+(1072.8-116.2)+(0+(-0.547128--0.059262))+0-0-0</f>
        <v>956.11213399999986</v>
      </c>
      <c r="AC128" s="3">
        <f>0+(1071.4-138.8)+(0+(0-0))+0-0-0</f>
        <v>932.60000000000014</v>
      </c>
      <c r="AD128">
        <f t="shared" si="1"/>
        <v>21287.980277999999</v>
      </c>
      <c r="AE128" s="3">
        <f>0+(1133.5-128.2)+(0+(0-0))+0-0-0</f>
        <v>1005.3</v>
      </c>
    </row>
    <row r="129" spans="1:31" s="2" customFormat="1" x14ac:dyDescent="0.25">
      <c r="A129">
        <v>89</v>
      </c>
      <c r="B129">
        <v>5</v>
      </c>
      <c r="C129">
        <v>5</v>
      </c>
      <c r="D129">
        <v>4</v>
      </c>
      <c r="E129">
        <v>3</v>
      </c>
      <c r="F129" s="3">
        <f>0+(1055.9-164.1)+(0+(-1.077018--0.167382))+0-0-0</f>
        <v>890.89036400000009</v>
      </c>
      <c r="G129" s="3">
        <f>0+(1081.1-228.6)+(0+(-2.756805--0.58293))+0-0-0</f>
        <v>850.32612499999993</v>
      </c>
      <c r="H129" s="3">
        <f>0+(1100.9-275.3)+(0+(-1.122918--0.280806))+0-0-0</f>
        <v>824.75788800000009</v>
      </c>
      <c r="I129" s="3">
        <f>0+(1137.4-334.2)+(0+(0-0))+0-0-0</f>
        <v>803.2</v>
      </c>
      <c r="J129" s="3">
        <f>0+(1175.9-373.1)+(0+(1.199418-0.380562))+0-0-0</f>
        <v>803.61885600000005</v>
      </c>
      <c r="K129" s="3">
        <f>0+(1187.2-405.7)+(0+(-1.816416--0.620721))+0-0-0</f>
        <v>780.304305</v>
      </c>
      <c r="L129" s="3">
        <f>0+(1066-321)+(0+(-1.63098--0.49113))+0-0-0</f>
        <v>743.86014999999998</v>
      </c>
      <c r="M129" s="3">
        <f>0+(1059.2-310.8)+(0+(1.080384-0.317016))+0-0-0</f>
        <v>749.1633680000001</v>
      </c>
      <c r="N129" s="3">
        <f>0+(1069.6-299.1)+(0+(-1.090992--0.305082))+0-0-0</f>
        <v>769.71408999999994</v>
      </c>
      <c r="O129" s="3">
        <f>0+(1126.1-328.9)+(0+(0.574311-0.167739))+0-0-0</f>
        <v>797.60657199999991</v>
      </c>
      <c r="P129" s="3">
        <f>0+(1153.9-315.7)+(0+(1.765467-0.483021))+0-0-0</f>
        <v>839.4824460000001</v>
      </c>
      <c r="Q129" s="3">
        <f>0+(1122.2-264.1)+(0+(0.572322-0.134691))+0-0-0</f>
        <v>858.53763100000003</v>
      </c>
      <c r="R129" s="3">
        <f>0+(1108-248.1)+(0+(0-0))+0-0-0</f>
        <v>859.9</v>
      </c>
      <c r="S129" s="3">
        <f>0+(1057.6-199.3)+(0+(0.539376-0.101643))+0-0-0</f>
        <v>858.73773299999993</v>
      </c>
      <c r="T129" s="3">
        <f>0+(1051.3-193.2)+(0+(0.536163-0.098532))+0-0-0</f>
        <v>858.53763099999992</v>
      </c>
      <c r="U129" s="3">
        <f>0+(1024.4-172.4)+(0+(-1.044888--0.175848))+0-0-0</f>
        <v>851.13096000000007</v>
      </c>
      <c r="V129" s="3">
        <f>0+(1013.9-160.5)+(0+(-1.034178--0.16371))+0-0-0</f>
        <v>852.52953200000002</v>
      </c>
      <c r="W129" s="3">
        <f>0+(1018.2-192.2)+(0+(-2.59641--0.49011))+0-0-0</f>
        <v>823.89369999999997</v>
      </c>
      <c r="X129" s="3">
        <f>0+(1051.5-228.2)+(0+(-2.681325--0.58191))+0-0-0</f>
        <v>821.20058499999993</v>
      </c>
      <c r="Y129" s="3">
        <f>0+(1007.9-202.9)+(0+(0-0))+0-0-0</f>
        <v>805</v>
      </c>
      <c r="Z129" s="3">
        <f>0+(1061.7-199.6)+(0+(0.541467-0.101796))+0-0-0</f>
        <v>862.539671</v>
      </c>
      <c r="AA129" s="3">
        <f>0+(1019.8-98.4)+(0+(0-0))+0-0-0</f>
        <v>921.4</v>
      </c>
      <c r="AB129" s="3">
        <f>0+(1033.4-126.6)+(0+(-0.527034--0.064566))+0-0-0</f>
        <v>906.33753200000012</v>
      </c>
      <c r="AC129" s="3">
        <f>0+(1031.6-150.6)+(0+(0-0))+0-0-0</f>
        <v>880.99999999999989</v>
      </c>
      <c r="AD129">
        <f t="shared" ref="AD129:AD192" si="2">SUM(F129:AC129)</f>
        <v>20013.669139000001</v>
      </c>
      <c r="AE129" s="3">
        <f>0+(1062.6-104.2)+(0+(0-0))+0-0-0</f>
        <v>958.39999999999986</v>
      </c>
    </row>
    <row r="130" spans="1:31" s="2" customFormat="1" x14ac:dyDescent="0.25">
      <c r="A130">
        <v>89</v>
      </c>
      <c r="B130">
        <v>5</v>
      </c>
      <c r="C130">
        <v>6</v>
      </c>
      <c r="D130">
        <v>5</v>
      </c>
      <c r="E130">
        <v>1</v>
      </c>
      <c r="F130" s="3">
        <f>0+(1023.3-190.9)+(0+(0-0))+0-0-0</f>
        <v>832.4</v>
      </c>
      <c r="G130" s="3">
        <f>0+(1042.2-249.9)+(0+(-1.063044--0.254898))+0-0-0</f>
        <v>791.4918540000001</v>
      </c>
      <c r="H130" s="3">
        <f>0+(1050.3-283.2)+(0+(0-0))+0-0-0</f>
        <v>767.09999999999991</v>
      </c>
      <c r="I130" s="3">
        <f>0+(1085-326.3)+(0+(0.55335-0.166413))+0-0-0</f>
        <v>759.08693700000003</v>
      </c>
      <c r="J130" s="3">
        <f>0+(1086.9-334.4)+(0+(0-0))+0-0-0</f>
        <v>752.50000000000011</v>
      </c>
      <c r="K130" s="3">
        <f>0+(1092.2-347.4)+(0+(0-0))+0-0-0</f>
        <v>744.80000000000007</v>
      </c>
      <c r="L130" s="3">
        <f>0+(1059.6-325.4)+(0+(0-0))+0-0-0</f>
        <v>734.19999999999993</v>
      </c>
      <c r="M130" s="3">
        <f>0+(1004.3-239.2)+(0+(1.024386-0.243984))+0-0-0</f>
        <v>765.88040199999989</v>
      </c>
      <c r="N130" s="3">
        <f>0+(1084.7-270.9)+(0+(0.553197-0.138159))+0-0-0</f>
        <v>814.21503800000005</v>
      </c>
      <c r="O130" s="3">
        <f>0+(1104.5-237.5)+(0+(0.563295-0.121125))+0-0-0</f>
        <v>867.44217000000003</v>
      </c>
      <c r="P130" s="3">
        <f>0+(1099-185)+(0+(-0.56049--0.09435))+0-0-0</f>
        <v>913.53386</v>
      </c>
      <c r="Q130" s="3">
        <f>0+(1092-176.3)+(0+(0.55692-0.089913))+50-0-0</f>
        <v>966.16700700000001</v>
      </c>
      <c r="R130" s="3">
        <f>0+(1017.1-116.4)+(0+(0.518721-0.059364))+60-0-0</f>
        <v>961.159357</v>
      </c>
      <c r="S130" s="3">
        <f>0+(953.7-70.7)+(0+(0.486387-0.036057))+60-0-0</f>
        <v>943.45033000000001</v>
      </c>
      <c r="T130" s="3">
        <f>0+(930.5-47.8)+(0+(0.94911-0.048756))+60-0-0</f>
        <v>943.60035400000004</v>
      </c>
      <c r="U130" s="3">
        <f>0+(912.9-26.3)+(0+(0.465579-0.013413))+60-0-0</f>
        <v>947.05216600000006</v>
      </c>
      <c r="V130" s="3">
        <f>0+(936.4-44.2)+(0+(0-0))+60-0-0</f>
        <v>952.19999999999993</v>
      </c>
      <c r="W130" s="3">
        <f>0+(952-70.9)+(0+(-0.48552--0.036159))+10-0-0</f>
        <v>890.65063900000007</v>
      </c>
      <c r="X130" s="3">
        <f>0+(991.1-121.3)+(0+(-1.010922--0.123726))+0-0-0</f>
        <v>868.91280400000005</v>
      </c>
      <c r="Y130" s="3">
        <f>0+(961.6-111.6)+(0+(-0.490416--0.056916))+0-0-0</f>
        <v>849.56650000000002</v>
      </c>
      <c r="Z130" s="3">
        <f>0+(1058.6-162.2)+(0+(-0.539886--0.082722))+0-0-0</f>
        <v>895.94283599999983</v>
      </c>
      <c r="AA130" s="3">
        <f>0+(1044.5-91.5)+(0+(-1.598085--0.139995))+0-0-0</f>
        <v>951.54191000000003</v>
      </c>
      <c r="AB130" s="3">
        <f>0+(1069.9-133.3)+(0+(-0.545649--0.067983))+0-0-0</f>
        <v>936.12233400000014</v>
      </c>
      <c r="AC130" s="3">
        <f>0+(1107.1-216.5)+(0+(0-0))+0-0-0</f>
        <v>890.59999999999991</v>
      </c>
      <c r="AD130">
        <f t="shared" si="2"/>
        <v>20739.616497999996</v>
      </c>
      <c r="AE130" s="3">
        <f>0+(1072-101)+(0+(0-0))+0-0-0</f>
        <v>971</v>
      </c>
    </row>
    <row r="131" spans="1:31" s="2" customFormat="1" x14ac:dyDescent="0.25">
      <c r="A131">
        <v>89</v>
      </c>
      <c r="B131">
        <v>5</v>
      </c>
      <c r="C131">
        <v>7</v>
      </c>
      <c r="D131">
        <v>6</v>
      </c>
      <c r="E131">
        <v>1</v>
      </c>
      <c r="F131" s="3">
        <f>0+(1055.4-226.2)+(0+(-0.538254--0.115362))+0-0-0</f>
        <v>828.777108</v>
      </c>
      <c r="G131" s="3">
        <f>0+(1090.8-298.6)+(0+(-2.225232--0.609144))+0-0-0</f>
        <v>790.58391199999994</v>
      </c>
      <c r="H131" s="3">
        <f>0+(1129.9-356.9)+(0+(-1.152498--0.364038))+0-0-0</f>
        <v>772.21154000000013</v>
      </c>
      <c r="I131" s="3">
        <f>0+(1131-374)+(0+(0-0))+0-0-0</f>
        <v>757</v>
      </c>
      <c r="J131" s="3">
        <f>0+(1110.8-357.3)+(0+(0-0))+0-0-0</f>
        <v>753.5</v>
      </c>
      <c r="K131" s="3">
        <f>0+(1079.8-326.6)+(0+(-1.101396--0.333132))+0-0-0</f>
        <v>752.43173599999989</v>
      </c>
      <c r="L131" s="3">
        <f>0+(1102.8-361.2)+(0+(-3.374568--1.105272))+0-0-0</f>
        <v>739.33070399999986</v>
      </c>
      <c r="M131" s="3">
        <f>0+(1131.2-372.6)+(0+(0.576912-0.190026))+0-0-0</f>
        <v>758.98688600000003</v>
      </c>
      <c r="N131" s="3">
        <f>0+(1133.5-324.6)+(0+(1.734255-0.496638))+0-0-0</f>
        <v>810.13761699999998</v>
      </c>
      <c r="O131" s="3">
        <f>0+(1176.2-322.1)+(0+(0.599862-0.164271))+0-0-0</f>
        <v>854.53559100000007</v>
      </c>
      <c r="P131" s="3">
        <f>0+(1112.5-228.3)+(0+(-0.567375--0.116433))+0-0-0</f>
        <v>883.74905799999999</v>
      </c>
      <c r="Q131" s="3">
        <f>0+(1041.4-145.2)+(0+(0.531114-0.074052))+0-0-0</f>
        <v>896.657062</v>
      </c>
      <c r="R131" s="3">
        <f>0+(990.7-103.6)+(0+(0-0))+0-0-0</f>
        <v>887.1</v>
      </c>
      <c r="S131" s="3">
        <f>0+(956.1-90.1)+(0+(-0.487611--0.045951))+0-0-0</f>
        <v>865.55834000000004</v>
      </c>
      <c r="T131" s="3">
        <f>0+(979-110.4)+(0+(0-0))+0-0-0</f>
        <v>868.6</v>
      </c>
      <c r="U131" s="3">
        <f>0+(980.9-114.4)+(0+(-0.500259--0.058344))+0-0-0</f>
        <v>866.05808500000001</v>
      </c>
      <c r="V131" s="3">
        <f>0+(997.2-133)+(0+(-1.525716--0.20349))+0-0-0</f>
        <v>862.87777400000004</v>
      </c>
      <c r="W131" s="3">
        <f>0+(1085.6-225.6)+(0+(-1.107312--0.230112))+0-0-0</f>
        <v>859.12279999999987</v>
      </c>
      <c r="X131" s="3">
        <f>0+(1086.9-254.4)+(0+(-2.771595--0.64872))+0-0-0</f>
        <v>830.37712500000009</v>
      </c>
      <c r="Y131" s="3">
        <f>0+(1049.7-233.7)+(0+(-1.606041--0.357561))+0-0-0</f>
        <v>814.75152000000003</v>
      </c>
      <c r="Z131" s="3">
        <f>0+(1100.8-219.7)+(0+(0-0))+0-0-0</f>
        <v>881.09999999999991</v>
      </c>
      <c r="AA131" s="3">
        <f>0+(1109.3-172.4)+(0+(-1.131486--0.175848))+0-0-0</f>
        <v>935.94436199999996</v>
      </c>
      <c r="AB131" s="3">
        <f>0+(1084-174.6)+(0+(0-0))+0-0-0</f>
        <v>909.4</v>
      </c>
      <c r="AC131" s="3">
        <f>0+(1082.3-196.2)+(0+(-1.655919--0.300186))+0-0-0</f>
        <v>884.74426699999992</v>
      </c>
      <c r="AD131">
        <f t="shared" si="2"/>
        <v>20063.535486999997</v>
      </c>
      <c r="AE131" s="3">
        <f>0+(1141-180.1)+(0+(0-0))+0-0-0</f>
        <v>960.9</v>
      </c>
    </row>
    <row r="132" spans="1:31" s="2" customFormat="1" x14ac:dyDescent="0.25">
      <c r="A132">
        <v>89</v>
      </c>
      <c r="B132">
        <v>5</v>
      </c>
      <c r="C132">
        <v>8</v>
      </c>
      <c r="D132">
        <v>7</v>
      </c>
      <c r="E132">
        <v>1</v>
      </c>
      <c r="F132" s="3">
        <f>0+(1080-237.2)+(0+(-2.754--0.60486))+0-0-0</f>
        <v>840.65085999999997</v>
      </c>
      <c r="G132" s="3">
        <f>0+(1042.9-241)+(0+(0.531879-0.12291))+0-0-0</f>
        <v>802.30896900000005</v>
      </c>
      <c r="H132" s="3">
        <f>0+(1105-331.5)+(0+(0-0))+0-0-0</f>
        <v>773.5</v>
      </c>
      <c r="I132" s="3">
        <f>0+(1143.7-384.4)+(0+(-2.916435--0.98022))+0-0-0</f>
        <v>757.36378500000012</v>
      </c>
      <c r="J132" s="3">
        <f>0+(1148.5-403.7)+(0+(-1.757205--0.617661))+0-0-0</f>
        <v>743.66045599999995</v>
      </c>
      <c r="K132" s="3">
        <f>0+(1140.4-402.6)+(0+(-4.071228--1.437282))+0-0-0</f>
        <v>735.16605400000003</v>
      </c>
      <c r="L132" s="3">
        <f>0+(1031.6-337.8)+(0+(-2.104464--0.689112))+0-0-0</f>
        <v>692.38464799999997</v>
      </c>
      <c r="M132" s="3">
        <f>0+(998-314)+(0+(0.50898-0.16014))+0-0-0</f>
        <v>684.34884</v>
      </c>
      <c r="N132" s="3">
        <f>0+(1037.7-327.5)+(0+(0-0))+0-0-0</f>
        <v>710.2</v>
      </c>
      <c r="O132" s="3">
        <f>0+(1091-355.7)+(0+(0-0))+0-0-0</f>
        <v>735.3</v>
      </c>
      <c r="P132" s="3">
        <f>0+(1085.5-328.9)+(0+(0.553605-0.167739))+0-0-0</f>
        <v>756.98586599999999</v>
      </c>
      <c r="Q132" s="3">
        <f>0+(1110.8-333.5)+(0+(0.566508-0.170085))+0-0-0</f>
        <v>777.69642299999998</v>
      </c>
      <c r="R132" s="3">
        <f>0+(1115.5-313.8)+(0+(0-0))+0-0-0</f>
        <v>801.7</v>
      </c>
      <c r="S132" s="3">
        <f>0+(1085-287.2)+(0+(-1.1067--0.292944))+0-0-0</f>
        <v>796.98624399999994</v>
      </c>
      <c r="T132" s="3">
        <f>0+(1076-282.6)+(0+(0.54876-0.144126))+0-0-0</f>
        <v>793.80463399999996</v>
      </c>
      <c r="U132" s="3">
        <f>0+(1086.9-297.9)+(0+(-1.662957--0.455787))+0-0-0</f>
        <v>787.79283000000009</v>
      </c>
      <c r="V132" s="3">
        <f>0+(1094.1-313.4)+(0+(-0.557991--0.159834))+0-0-0</f>
        <v>780.30184299999996</v>
      </c>
      <c r="W132" s="3">
        <f>0+(1067.6-291.8)+(0+(-0.544476--0.148818))+0-0-0</f>
        <v>775.40434199999993</v>
      </c>
      <c r="X132" s="3">
        <f>0+(1010.8-240.6)+(0+(-2.57754--0.61353))+0-0-0</f>
        <v>768.2359899999999</v>
      </c>
      <c r="Y132" s="3">
        <f>0+(1015.8-260.9)+(0+(-1.036116--0.266118))+0-0-0</f>
        <v>754.13000199999999</v>
      </c>
      <c r="Z132" s="3">
        <f>0+(1055.6-239.9)+(0+(-1.615068--0.367047))+0-0-0</f>
        <v>814.45197899999994</v>
      </c>
      <c r="AA132" s="3">
        <f>0+(1135.5-258.2)+(0+(-3.47463--0.790092))+0-0-0</f>
        <v>874.61546199999998</v>
      </c>
      <c r="AB132" s="3">
        <f>0+(1096.3-237.8)+(0+(-1.118226--0.242556))+0-0-0</f>
        <v>857.62432999999999</v>
      </c>
      <c r="AC132" s="3">
        <f>0+(1163.3-326)+(0+(-0.593283--0.16626))+0-0-0</f>
        <v>836.87297699999999</v>
      </c>
      <c r="AD132">
        <f t="shared" si="2"/>
        <v>18651.486533999996</v>
      </c>
      <c r="AE132" s="3">
        <f>0+(1136.1-230)+(0+(0-0))+0-0-0</f>
        <v>906.09999999999991</v>
      </c>
    </row>
    <row r="133" spans="1:31" s="2" customFormat="1" x14ac:dyDescent="0.25">
      <c r="A133">
        <v>89</v>
      </c>
      <c r="B133">
        <v>5</v>
      </c>
      <c r="C133">
        <v>9</v>
      </c>
      <c r="D133">
        <v>1</v>
      </c>
      <c r="E133">
        <v>1</v>
      </c>
      <c r="F133" s="3">
        <f>0+(1151.5-358.4)+(0+(-2.34906--0.731136))+0-0-0</f>
        <v>791.48207600000001</v>
      </c>
      <c r="G133" s="3">
        <f>0+(1106.5-354.7)+(0+(-3.38589--1.085382))+0-0-0</f>
        <v>749.49949199999992</v>
      </c>
      <c r="H133" s="3">
        <f>0+(1142.2-406.8)+(0+(-2.330088--0.829872))+0-0-0</f>
        <v>733.89978400000007</v>
      </c>
      <c r="I133" s="3">
        <f>0+(1143.2-419.1)+(0+(-1.166064--0.427482))+0-0-0</f>
        <v>723.36141800000007</v>
      </c>
      <c r="J133" s="3">
        <f>0+(1072.1-349.2)+(0+(1.093542-0.356184))+0-0-0</f>
        <v>723.63735799999984</v>
      </c>
      <c r="K133" s="3">
        <f>0+(1066.4-348.8)+(0+(0.543864-0.177888))+0-0-0</f>
        <v>717.96597600000018</v>
      </c>
      <c r="L133" s="3">
        <f>0+(1102.9-375.5)+(0+(0-0))+0-0-0</f>
        <v>727.40000000000009</v>
      </c>
      <c r="M133" s="3">
        <f>0+(1107.1-328.7)+(0+(0-0))+0-0-0</f>
        <v>778.39999999999986</v>
      </c>
      <c r="N133" s="3">
        <f>0+(1131.2-293)+(0+(-1.153824--0.29886))+0-0-0</f>
        <v>837.34503600000005</v>
      </c>
      <c r="O133" s="3">
        <f>0+(1169.2-280)+(0+(-1.192584--0.2856))+0-0-0</f>
        <v>888.29301600000008</v>
      </c>
      <c r="P133" s="3">
        <f>0+(1181.9-255.9)+(0+(1.808307-0.391527))+0-0-0</f>
        <v>927.41678000000013</v>
      </c>
      <c r="Q133" s="3">
        <f>0+(1210.3-251.3)+(0+(1.234506-0.256326))+0-0-0</f>
        <v>959.97817999999995</v>
      </c>
      <c r="R133" s="3">
        <f>0+(1174.3-229.8)+(0+(0-0))+0-0-0</f>
        <v>944.5</v>
      </c>
      <c r="S133" s="3">
        <f>0+(1102.2-180.1)+(0+(-1.686366--0.275553))+0-0-0</f>
        <v>920.68918700000006</v>
      </c>
      <c r="T133" s="3">
        <f>0+(1093.9-150.1)+(0+(-0.557889--0.076551))+0-0-0</f>
        <v>943.31866200000002</v>
      </c>
      <c r="U133" s="3">
        <f>0+(1088.9-137.9)+(0+(-0.555339--0.070329))+0-0-0</f>
        <v>950.51499000000013</v>
      </c>
      <c r="V133" s="3">
        <f>0+(1087-159.3)+(0+(-0.55437--0.081243))+0-0-0</f>
        <v>927.22687300000007</v>
      </c>
      <c r="W133" s="3">
        <f>0+(1156.4-235.7)+(0+(-1.179528--0.240414))+0-0-0</f>
        <v>919.76088600000003</v>
      </c>
      <c r="X133" s="3">
        <f>0+(1167.3-264.5)+(0+(-2.381292--0.53958))+0-0-0</f>
        <v>900.95828799999992</v>
      </c>
      <c r="Y133" s="3">
        <f>0+(1151.8-275.1)+(0+(0-0))+0-0-0</f>
        <v>876.69999999999993</v>
      </c>
      <c r="Z133" s="3">
        <f>0+(1190.8-258.2)+(0+(-0.607308--0.131682))+0-0-0</f>
        <v>932.12437399999988</v>
      </c>
      <c r="AA133" s="3">
        <f>0+(1161.2-192.1)+(0+(-1.776636--0.293913))+0-0-0</f>
        <v>967.61727700000006</v>
      </c>
      <c r="AB133" s="3">
        <f>0+(1113.1-175.5)+(0+(-1.135362--0.17901))+0-0-0</f>
        <v>936.64364799999987</v>
      </c>
      <c r="AC133" s="3">
        <f>0+(1176.6-259.7)+(0+(-1.200132--0.264894))+0-0-0</f>
        <v>915.96476199999984</v>
      </c>
      <c r="AD133">
        <f t="shared" si="2"/>
        <v>20694.698063</v>
      </c>
      <c r="AE133" s="3">
        <f>0+(1175.7-187.1)+(0+(0-0))+0-0-0</f>
        <v>988.6</v>
      </c>
    </row>
    <row r="134" spans="1:31" s="2" customFormat="1" x14ac:dyDescent="0.25">
      <c r="A134">
        <v>89</v>
      </c>
      <c r="B134">
        <v>5</v>
      </c>
      <c r="C134">
        <v>10</v>
      </c>
      <c r="D134">
        <v>2</v>
      </c>
      <c r="E134">
        <v>1</v>
      </c>
      <c r="F134" s="3">
        <f>0+(1198.1-333.9)+(0+(-2.444124--0.681156))+0-0-0</f>
        <v>862.43703199999993</v>
      </c>
      <c r="G134" s="3">
        <f>0+(1239.8-416.1)+(0+(-3.16149--1.061055))+0-0-0</f>
        <v>821.59956499999998</v>
      </c>
      <c r="H134" s="3">
        <f>0+(1241.1-440.5)+(0+(0.632961-0.224655))+0-0-0</f>
        <v>801.00830599999995</v>
      </c>
      <c r="I134" s="3">
        <f>0+(1283.7-494.3)+(0+(-1.964061--0.756279))+0-0-0</f>
        <v>788.19221800000014</v>
      </c>
      <c r="J134" s="3">
        <f>0+(1189.9-404.7)+(0+(-1.213698--0.412794))+0-0-0</f>
        <v>784.3990960000001</v>
      </c>
      <c r="K134" s="3">
        <f>0+(1198.4-425)+(0+(-0.611184--0.21675))+0-0-0</f>
        <v>773.00556600000004</v>
      </c>
      <c r="L134" s="3">
        <f>0+(1211.8-433.4)+(0+(-1.236036--0.442068))+0-0-0</f>
        <v>777.60603200000003</v>
      </c>
      <c r="M134" s="3">
        <f>0+(1210.6-401)+(0+(0-0))+0-0-0</f>
        <v>809.59999999999991</v>
      </c>
      <c r="N134" s="3">
        <f>0+(1221.7-354)+(0+(-1.246134--0.36108))+0-0-0</f>
        <v>866.81494600000008</v>
      </c>
      <c r="O134" s="3">
        <f>0+(1191.7-294.1)+(0+(-1.215534--0.299982))+0-0-0</f>
        <v>896.68444799999997</v>
      </c>
      <c r="P134" s="3">
        <f>0+(1244.2-312.2)+(0+(-0.634542--0.159222))+0-0-0</f>
        <v>931.52467999999999</v>
      </c>
      <c r="Q134" s="3">
        <f>0+(1283.6-332.1)+(0+(-1.309272--0.338742))+0-0-0</f>
        <v>950.52946999999983</v>
      </c>
      <c r="R134" s="3">
        <f>0+(1235.7-293.4)+(0+(-0.630207--0.149634))+0-0-0</f>
        <v>941.81942700000002</v>
      </c>
      <c r="S134" s="3">
        <f>0+(1180-258.6)+(0+(-1.2036--0.263772))+0-0-0</f>
        <v>920.46017199999994</v>
      </c>
      <c r="T134" s="3">
        <f>0+(1146.2-211.9)+(0+(-1.169124--0.216138))+0-0-0</f>
        <v>933.34701400000006</v>
      </c>
      <c r="U134" s="3">
        <f>0+(1145.5-217.6)+(0+(-0.584205--0.110976))+0-0-0</f>
        <v>927.42677100000003</v>
      </c>
      <c r="V134" s="3">
        <f>0+(1110.8-190.1)+(0+(-1.699524--0.290853))+0-0-0</f>
        <v>919.29132899999991</v>
      </c>
      <c r="W134" s="3">
        <f>0+(1149.6-244.6)+(0+(-2.345184--0.498984))+0-0-0</f>
        <v>903.15379999999993</v>
      </c>
      <c r="X134" s="3">
        <f>0+(1087-205.4)+(0+(-3.32622--0.628524))+0-0-0</f>
        <v>878.90230400000007</v>
      </c>
      <c r="Y134" s="3">
        <f>0+(1140.6-280.4)+(0+(-2.326824--0.572016))+0-0-0</f>
        <v>858.44519199999991</v>
      </c>
      <c r="Z134" s="3">
        <f>0+(1158.4-235.4)+(0+(0-0))+0-0-0</f>
        <v>923.00000000000011</v>
      </c>
      <c r="AA134" s="3">
        <f>0+(1101.7-142.7)+(0+(-2.247468--0.291108))+0-0-0</f>
        <v>957.04363999999998</v>
      </c>
      <c r="AB134" s="3">
        <f>0+(1133.7-193.1)+(0+(-1.734561--0.295443))+0-0-0</f>
        <v>939.16088200000002</v>
      </c>
      <c r="AC134" s="3">
        <f>0+(1110.9-203.3)+(0+(-1.699677--0.311049))+0-0-0</f>
        <v>906.2113720000001</v>
      </c>
      <c r="AD134">
        <f t="shared" si="2"/>
        <v>21071.663262000002</v>
      </c>
      <c r="AE134" s="3">
        <f>0+(1121.4-143.4)+(0+(0-0))+0-0-0</f>
        <v>978.00000000000011</v>
      </c>
    </row>
    <row r="135" spans="1:31" s="2" customFormat="1" x14ac:dyDescent="0.25">
      <c r="A135">
        <v>89</v>
      </c>
      <c r="B135">
        <v>5</v>
      </c>
      <c r="C135">
        <v>11</v>
      </c>
      <c r="D135">
        <v>3</v>
      </c>
      <c r="E135">
        <v>1</v>
      </c>
      <c r="F135" s="3">
        <f>0+(1155.5-296.1)+(0+(-2.946525--0.755055))+0-0-0</f>
        <v>857.20853</v>
      </c>
      <c r="G135" s="3">
        <f>0+(1190.8-366)+(0+(-2.429232--0.74664))+0-0-0</f>
        <v>823.11740799999995</v>
      </c>
      <c r="H135" s="3">
        <f>0+(1198.9-403.3)+(0+(-1.834317--0.617049))+0-0-0</f>
        <v>794.38273200000015</v>
      </c>
      <c r="I135" s="3">
        <f>0+(1205.6-412.4)+(0+(-1.844568--0.630972))+0-0-0</f>
        <v>791.98640399999988</v>
      </c>
      <c r="J135" s="3">
        <f>0+(1104.3-320.4)+(0+(1.689579-0.490212))+0-0-0</f>
        <v>785.09936700000003</v>
      </c>
      <c r="K135" s="3">
        <f>0+(1125.1-344.6)+(0+(-1.721403--0.527238))+0-0-0</f>
        <v>779.30583499999989</v>
      </c>
      <c r="L135" s="3">
        <f>0+(1172.8-399.2)+(0+(-2.99064--1.01796))+0-0-0</f>
        <v>771.62731999999994</v>
      </c>
      <c r="M135" s="3">
        <f>0+(1171.1-362.9)+(0+(0-0))+0-0-0</f>
        <v>808.19999999999993</v>
      </c>
      <c r="N135" s="3">
        <f>0+(1219.7-370.5)+(0+(0.622047-0.188955))+0-0-0</f>
        <v>849.63309200000003</v>
      </c>
      <c r="O135" s="3">
        <f>0+(1238.8-344)+(0+(-1.263576--0.35088))+0-0-0</f>
        <v>893.88730399999997</v>
      </c>
      <c r="P135" s="3">
        <f>0+(1238.1-311)+(0+(0-0))+0-0-0</f>
        <v>927.09999999999991</v>
      </c>
      <c r="Q135" s="3">
        <f>0+(1220.5-262.7)+(0+(0-0))+0-0-0</f>
        <v>957.8</v>
      </c>
      <c r="R135" s="3">
        <f>0+(1187.9-238.6)+(0+(-0.605829--0.121686))+0-0-0</f>
        <v>948.81585700000005</v>
      </c>
      <c r="S135" s="3">
        <f>0+(1142.6-221.2)+(0+(0-0))+0-0-0</f>
        <v>921.39999999999986</v>
      </c>
      <c r="T135" s="3">
        <f>0+(1097.7-169.2)+(0+(-1.119654--0.172584))+0-0-0</f>
        <v>927.55292999999995</v>
      </c>
      <c r="U135" s="3">
        <f>0+(1094.5-165.5)+(0+(-0.558195--0.084405))+0-0-0</f>
        <v>928.52620999999999</v>
      </c>
      <c r="V135" s="3">
        <f>0+(1099-185.1)+(0+(-1.12098--0.188802))+0-0-0</f>
        <v>912.96782199999996</v>
      </c>
      <c r="W135" s="3">
        <f>0+(1121.7-214)+(0+(-4.004469--0.76398))+0-0-0</f>
        <v>904.45951100000002</v>
      </c>
      <c r="X135" s="3">
        <f>0+(1113.9-230.6)+(0+(-2.840445--0.58803))+0-0-0</f>
        <v>881.04758500000003</v>
      </c>
      <c r="Y135" s="3">
        <f>0+(1112.1-253.6)+(0+(-1.134342--0.258672))+0-0-0</f>
        <v>857.62432999999987</v>
      </c>
      <c r="Z135" s="3">
        <f>0+(1136.8-147)+(0+(-1.159536--0.14994))+0-0-0</f>
        <v>988.79040399999997</v>
      </c>
      <c r="AA135" s="3">
        <f>0+(1114.1-152)+(0+(-2.272764--0.31008))+0-0-0</f>
        <v>960.13731599999994</v>
      </c>
      <c r="AB135" s="3">
        <f>0+(1096.2-149.5)+(0+(-2.236248--0.30498))+0-0-0</f>
        <v>944.768732</v>
      </c>
      <c r="AC135" s="3">
        <f>0+(1134.3-213.4)+(0+(0-0))+0-0-0</f>
        <v>920.9</v>
      </c>
      <c r="AD135">
        <f t="shared" si="2"/>
        <v>21136.338689</v>
      </c>
      <c r="AE135" s="3">
        <f>0+(1147.1-145)+(0+(0-0))+0-0-0</f>
        <v>1002.0999999999999</v>
      </c>
    </row>
    <row r="136" spans="1:31" s="2" customFormat="1" x14ac:dyDescent="0.25">
      <c r="A136">
        <v>89</v>
      </c>
      <c r="B136">
        <v>5</v>
      </c>
      <c r="C136">
        <v>12</v>
      </c>
      <c r="D136">
        <v>4</v>
      </c>
      <c r="E136">
        <v>1</v>
      </c>
      <c r="F136" s="3">
        <f>0+(1177.3-313.2)+(0+(-0.600423--0.159732))+0-0-0</f>
        <v>863.65930899999989</v>
      </c>
      <c r="G136" s="3">
        <f>0+(1106.7-284.2)+(0+(-1.128834--0.289884))+0-0-0</f>
        <v>821.66105000000005</v>
      </c>
      <c r="H136" s="3">
        <f>0+(1106.7-308.5)+(0+(0.564417-0.157335))+0-0-0</f>
        <v>798.60708199999999</v>
      </c>
      <c r="I136" s="3">
        <f>0+(1126.5-337.2)+(0+(0-0))+0-0-0</f>
        <v>789.3</v>
      </c>
      <c r="J136" s="3">
        <f>0+(1125-351.5)+(0+(-0.57375--0.179265))+0-0-0</f>
        <v>773.10551499999997</v>
      </c>
      <c r="K136" s="3">
        <f>0+(1133.4-358.5)+(0+(1.156068-0.36567))+0-0-0</f>
        <v>775.69039800000007</v>
      </c>
      <c r="L136" s="3">
        <f>0+(1109.6-329.3)+(0+(-1.697688--0.503829))+0-0-0</f>
        <v>779.10614099999998</v>
      </c>
      <c r="M136" s="3">
        <f>0+(1058.5-250)+(0+(-0.539835--0.1275))+0-0-0</f>
        <v>808.08766500000002</v>
      </c>
      <c r="N136" s="3">
        <f>0+(1082.9-223.9)+(0+(0-0))+0-0-0</f>
        <v>859.00000000000011</v>
      </c>
      <c r="O136" s="3">
        <f>0+(1115.5-214.9)+(0+(0.568905-0.109599))+0-0-0</f>
        <v>901.05930599999999</v>
      </c>
      <c r="P136" s="3">
        <f>0+(1110.2-176.4)+(0+(-1.132404--0.179928))+0-0-0</f>
        <v>932.84752400000002</v>
      </c>
      <c r="Q136" s="3">
        <f>0+(1024.9-92.3)+(0+(-0.522699--0.047073))+0-0-0</f>
        <v>932.1243740000001</v>
      </c>
      <c r="R136" s="3">
        <f>0+(969.4-49.3)+(0+(0-0))+0-0-0</f>
        <v>920.1</v>
      </c>
      <c r="S136" s="3">
        <f>0+(931.4-24.4)+(0+(0-0))+0-0-0</f>
        <v>907</v>
      </c>
      <c r="T136" s="3">
        <f>0+(911.8-0)+(0+(0.465018-0))+0-0-0</f>
        <v>912.26501799999994</v>
      </c>
      <c r="U136" s="3">
        <f>0+(905.3-0)+(0+(0.461703-0))+0-0-0</f>
        <v>905.7617029999999</v>
      </c>
      <c r="V136" s="3">
        <f>0+(909.3-0)+(0+(0.463743-0))+0-0-0</f>
        <v>909.76374299999998</v>
      </c>
      <c r="W136" s="3">
        <f>0+(939.4-37.6)+(0+(0-0))+0-0-0</f>
        <v>901.8</v>
      </c>
      <c r="X136" s="3">
        <f>0+(988.2-104.4)+(0+(-0.503982--0.053244))+0-0-0</f>
        <v>883.34926200000007</v>
      </c>
      <c r="Y136" s="3">
        <f>0+(976.9-103.2)+(0+(1.494657-0.157896))+0-0-0</f>
        <v>875.03676099999996</v>
      </c>
      <c r="Z136" s="3">
        <f>0+(1086.1-144.9)+(0+(0.553911-0.073899))+0-0-0</f>
        <v>941.68001199999992</v>
      </c>
      <c r="AA136" s="3">
        <f>0+(1122.3-142.7)+(0+(-1.717119--0.218331))+0-0-0</f>
        <v>978.10121199999992</v>
      </c>
      <c r="AB136" s="3">
        <f>0+(1101.2-155.5)+(0+(-1.123224--0.15861))+0-0-0</f>
        <v>944.73538600000006</v>
      </c>
      <c r="AC136" s="3">
        <f>0+(1146.5-227)+(0+(-2.923575--0.57885))+0-0-0</f>
        <v>917.15527499999996</v>
      </c>
      <c r="AD136">
        <f t="shared" si="2"/>
        <v>21030.996736000005</v>
      </c>
      <c r="AE136" s="3">
        <f>0+(1147.7-145.5)+(0+(0-0))+0-0-0</f>
        <v>1002.2</v>
      </c>
    </row>
    <row r="137" spans="1:31" s="2" customFormat="1" x14ac:dyDescent="0.25">
      <c r="A137">
        <v>89</v>
      </c>
      <c r="B137">
        <v>5</v>
      </c>
      <c r="C137">
        <v>13</v>
      </c>
      <c r="D137">
        <v>5</v>
      </c>
      <c r="E137">
        <v>1</v>
      </c>
      <c r="F137" s="3">
        <f>0+(1183.4-311.7)+(0+(-1.207068--0.317934))+0-0-0</f>
        <v>870.81086600000003</v>
      </c>
      <c r="G137" s="3">
        <f>0+(1144.3-323.9)+(0+(-1.167186--0.330378))+0-0-0</f>
        <v>819.56319199999996</v>
      </c>
      <c r="H137" s="3">
        <f>0+(1148.7-341)+(0+(-0.585837--0.17391))+0-0-0</f>
        <v>807.28807300000005</v>
      </c>
      <c r="I137" s="3">
        <f>0+(1131.3-336.9)+(0+(-2.307852--0.687276))+0-0-0</f>
        <v>792.77942399999995</v>
      </c>
      <c r="J137" s="3">
        <f>0+(1084.7-297.8)+(0+(-2.765985--0.75939))+0-0-0</f>
        <v>784.89340500000014</v>
      </c>
      <c r="K137" s="3">
        <f>0+(1068.6-283.7)+(0+(-2.179944--0.578748))+0-0-0</f>
        <v>783.2988039999999</v>
      </c>
      <c r="L137" s="3">
        <f>0+(1100.8-261.6)+(0+(-2.245632--0.533664))+0-0-0</f>
        <v>837.48803199999998</v>
      </c>
      <c r="M137" s="3">
        <f>0+(1080.3-160)+(0+(1.101906-0.1632))+0-0-0</f>
        <v>921.23870599999998</v>
      </c>
      <c r="N137" s="3">
        <f>0+(1038.1-162.6)+(0+(-0.529431--0.082926))+0-0-0</f>
        <v>875.05349499999988</v>
      </c>
      <c r="O137" s="3">
        <f>0+(1061.8-145.9)+(0+(-0.541518--0.074409))+0-0-0</f>
        <v>915.43289099999993</v>
      </c>
      <c r="P137" s="3">
        <f>0+(1083.7-140)+(0+(2.763435-0.357))+0-0-0</f>
        <v>946.10643500000003</v>
      </c>
      <c r="Q137" s="3">
        <f>0+(1056.8-132)+(0+(0-0))+0-0-0</f>
        <v>924.8</v>
      </c>
      <c r="R137" s="3">
        <f>0+(1027.2-111.6)+(0+(1.047744-0.113832))+0-0-0</f>
        <v>916.53391199999999</v>
      </c>
      <c r="S137" s="3">
        <f>0+(1002.5-71.3)+(0+(-1.02255--0.072726))+0-0-0</f>
        <v>930.25017600000001</v>
      </c>
      <c r="T137" s="3">
        <f>0+(988.4-49.3)+(0+(0-0))+0-0-0</f>
        <v>939.1</v>
      </c>
      <c r="U137" s="3">
        <f>0+(981.2-44.5)+(0+(0-0))+0-0-0</f>
        <v>936.7</v>
      </c>
      <c r="V137" s="3">
        <f>0+(990.3-59.5)+(0+(-0.505053--0.030345))+0-0-0</f>
        <v>930.32529199999999</v>
      </c>
      <c r="W137" s="3">
        <f>0+(1037.9-117.3)+(0+(-1.058658--0.119646))+0-0-0</f>
        <v>919.66098800000009</v>
      </c>
      <c r="X137" s="3">
        <f>0+(1079.9-179.1)+(0+(-2.202996--0.365364))+0-0-0</f>
        <v>898.96236800000008</v>
      </c>
      <c r="Y137" s="3">
        <f>0+(1023.9-141)+(0+(-0.522189--0.07191))+0-0-0</f>
        <v>882.44972099999995</v>
      </c>
      <c r="Z137" s="3">
        <f>0+(1123.2-169.6)+(0+(-1.718496--0.259488))+0-0-0</f>
        <v>952.14099199999998</v>
      </c>
      <c r="AA137" s="3">
        <f>0+(1163.5-176.8)+(0+(-1.780155--0.270504))+0-0-0</f>
        <v>985.19034900000008</v>
      </c>
      <c r="AB137" s="3">
        <f>0+(1170.5-216.3)+(0+(0.596955-0.110313))+0-0-0</f>
        <v>954.68664200000001</v>
      </c>
      <c r="AC137" s="3">
        <f>0+(1157.1-222.8)+(0+(-1.770363--0.340884))+0-0-0</f>
        <v>932.87052099999994</v>
      </c>
      <c r="AD137">
        <f t="shared" si="2"/>
        <v>21457.624284000001</v>
      </c>
      <c r="AE137" s="3">
        <f>0+(1178.4-170.4)+(0+(0-0))+0-0-0</f>
        <v>1008.0000000000001</v>
      </c>
    </row>
    <row r="138" spans="1:31" s="2" customFormat="1" x14ac:dyDescent="0.25">
      <c r="A138">
        <v>89</v>
      </c>
      <c r="B138">
        <v>5</v>
      </c>
      <c r="C138">
        <v>14</v>
      </c>
      <c r="D138">
        <v>6</v>
      </c>
      <c r="E138">
        <v>1</v>
      </c>
      <c r="F138" s="3">
        <f>0+(1090.7-213.8)+(0+(-0.556257--0.109038))+0-0-0</f>
        <v>876.45278100000007</v>
      </c>
      <c r="G138" s="3">
        <f>0+(1127.8-294.2)+(0+(-0.575178--0.150042))+0-0-0</f>
        <v>833.17486399999996</v>
      </c>
      <c r="H138" s="3">
        <f>0+(1120.2-308.7)+(0+(-1.142604--0.314874))+0-0-0</f>
        <v>810.67227000000003</v>
      </c>
      <c r="I138" s="3">
        <f>0+(1117.2-323)+(0+(-1.139544--0.32946))+0-0-0</f>
        <v>793.38991600000008</v>
      </c>
      <c r="J138" s="3">
        <f>0+(1117.4-330.5)+(0+(-2.279496--0.67422))+0-0-0</f>
        <v>785.29472400000009</v>
      </c>
      <c r="K138" s="3">
        <f>0+(1091-310.1)+(0+(-2.78205--0.790755))+0-0-0</f>
        <v>778.90870499999994</v>
      </c>
      <c r="L138" s="3">
        <f>0+(1073.9-300.7)+(0+(-1.643067--0.460071))+0-0-0</f>
        <v>772.01700400000004</v>
      </c>
      <c r="M138" s="3">
        <f>0+(1052.1-254.5)+(0+(-0.536571--0.129795))+0-0-0</f>
        <v>797.19322399999987</v>
      </c>
      <c r="N138" s="3">
        <f>0+(1020.9-176.8)+(0+(0.520659-0.090168))+0-0-0</f>
        <v>844.53049099999987</v>
      </c>
      <c r="O138" s="3">
        <f>0+(1042.4-161.2)+(0+(-0.531624--0.082212))+0-0-0</f>
        <v>880.75058799999999</v>
      </c>
      <c r="P138" s="3">
        <f>0+(1055.9-135.8)+(0+(0.538509-0.069258))+0-0-0</f>
        <v>920.56925100000012</v>
      </c>
      <c r="Q138" s="3">
        <f>0+(1020.7-79.7)+(0+(-0.520557--0.040647))+0-0-0</f>
        <v>940.52008999999998</v>
      </c>
      <c r="R138" s="3">
        <f>0+(974-43.9)+(0+(0-0))+0-0-0</f>
        <v>930.1</v>
      </c>
      <c r="S138" s="3">
        <f>0+(922-22.1)+(0+(-1.41066--0.033813))+0-0-0</f>
        <v>898.52315299999998</v>
      </c>
      <c r="T138" s="3">
        <f>0+(901.7-2.9)+(0+(0-0))+0-0-0</f>
        <v>898.80000000000007</v>
      </c>
      <c r="U138" s="3">
        <f>0+(890.3-0)+(0+(-2.270265-0))+0-0-0</f>
        <v>888.02973499999996</v>
      </c>
      <c r="V138" s="3">
        <f>0+(891.4-0)+(0+(0.454614-0))+0-0-0</f>
        <v>891.85461399999997</v>
      </c>
      <c r="W138" s="3">
        <f>0+(949.3-68.5)+(0+(-1.452429--0.104805))+0-0-0</f>
        <v>879.45237599999996</v>
      </c>
      <c r="X138" s="3">
        <f>0+(997-125.3)+(0+(-2.03388--0.255612))+0-0-0</f>
        <v>869.92173200000002</v>
      </c>
      <c r="Y138" s="3">
        <f>0+(978.2-118.2)+(0+(-0.498882--0.060282))+0-0-0</f>
        <v>859.56140000000005</v>
      </c>
      <c r="Z138" s="3">
        <f>0+(1027.5-98.7)+(0+(-1.572075--0.151011))+0-0-0</f>
        <v>927.37893599999995</v>
      </c>
      <c r="AA138" s="3">
        <f>0+(1080.2-111)+(0+(-1.652706--0.16983))+0-0-0</f>
        <v>967.71712400000001</v>
      </c>
      <c r="AB138" s="3">
        <f>0+(1058-116.3)+(0+(-2.15832--0.237252))+0-0-0</f>
        <v>939.77893200000005</v>
      </c>
      <c r="AC138" s="3">
        <f>0+(1092.9-180.9)+(0+(-0.557379--0.092259))+0-0-0</f>
        <v>911.53488000000016</v>
      </c>
      <c r="AD138">
        <f t="shared" si="2"/>
        <v>20896.126789999998</v>
      </c>
      <c r="AE138" s="3">
        <f>0+(1110.9-110.2)+(0+(0-0))+0-0-0</f>
        <v>1000.7</v>
      </c>
    </row>
    <row r="139" spans="1:31" s="2" customFormat="1" x14ac:dyDescent="0.25">
      <c r="A139">
        <v>89</v>
      </c>
      <c r="B139">
        <v>5</v>
      </c>
      <c r="C139">
        <v>15</v>
      </c>
      <c r="D139">
        <v>7</v>
      </c>
      <c r="E139">
        <v>1</v>
      </c>
      <c r="F139" s="3">
        <f>0+(1058.1-196)+(0+(-1.618893--0.29988))+0-0-0</f>
        <v>860.78098699999987</v>
      </c>
      <c r="G139" s="3">
        <f>0+(1021-200.9)+(0+(-1.56213--0.307377))+0-0-0</f>
        <v>818.84524699999997</v>
      </c>
      <c r="H139" s="3">
        <f>0+(1033.4-246.4)+(0+(0-0))+0-0-0</f>
        <v>787.00000000000011</v>
      </c>
      <c r="I139" s="3">
        <f>0+(1043.6-265.6)+(0+(-1.596708--0.406368))+0-0-0</f>
        <v>776.80965999999989</v>
      </c>
      <c r="J139" s="3">
        <f>0+(1052.3-285.1)+(0+(-0.536673--0.145401))+0-0-0</f>
        <v>766.80872799999997</v>
      </c>
      <c r="K139" s="3">
        <f>0+(1043.1-287.7)+(0+(-2.659905--0.733635))+0-0-0</f>
        <v>753.47372999999982</v>
      </c>
      <c r="L139" s="3">
        <f>0+(994-268.9)+(0+(-2.5347--0.685695))+0-0-0</f>
        <v>723.25099499999999</v>
      </c>
      <c r="M139" s="3">
        <f>0+(970.8-235.3)+(0+(0-0))+0-0-0</f>
        <v>735.5</v>
      </c>
      <c r="N139" s="3">
        <f>0+(956.3-204.7)+(0+(-1.950852--0.417588))+0-0-0</f>
        <v>750.06673599999988</v>
      </c>
      <c r="O139" s="3">
        <f>0+(945-195)+(0+(0.9639-0.1989))+0-0-0</f>
        <v>750.76499999999999</v>
      </c>
      <c r="P139" s="3">
        <f>0+(966-127)+(0+(0-0))+0-0-0</f>
        <v>839</v>
      </c>
      <c r="Q139" s="3">
        <f>0+(946.5-135.3)+(0+(-0.482715--0.069003))+0-0-0</f>
        <v>810.78628800000001</v>
      </c>
      <c r="R139" s="3">
        <f>0+(926.3-85)+(0+(-1.417239--0.13005))+0-0-0</f>
        <v>840.01281099999994</v>
      </c>
      <c r="S139" s="3">
        <f>0+(871.7-55)+(0+(-0.444567--0.02805))+0-0-0</f>
        <v>816.28348300000005</v>
      </c>
      <c r="T139" s="3">
        <f>0+(860.4-47.6)+(0+(-1.316412--0.072828))+0-0-0</f>
        <v>811.5564159999999</v>
      </c>
      <c r="U139" s="3">
        <f>0+(848.8-41.2)+(0+(-0.432888--0.021012))+0-0-0</f>
        <v>807.1881239999999</v>
      </c>
      <c r="V139" s="3">
        <f>0+(848.4-45.3)+(0+(-2.16342--0.115515))+0-0-0</f>
        <v>801.05209500000001</v>
      </c>
      <c r="W139" s="3">
        <f>0+(874.1-56.5)+(0+(-2.228955--0.144075))+0-0-0</f>
        <v>815.51512000000002</v>
      </c>
      <c r="X139" s="3">
        <f>0+(899.5-81.9)+(0+(-1.376235--0.125307))+0-0-0</f>
        <v>816.34907199999998</v>
      </c>
      <c r="Y139" s="3">
        <f>0+(891.3-79.8)+(0+(0-0))+0-0-0</f>
        <v>811.5</v>
      </c>
      <c r="Z139" s="3">
        <f>0+(935.2-36.6)+(0+(0.476952-0.018666))+0-0-0</f>
        <v>899.05828600000007</v>
      </c>
      <c r="AA139" s="3">
        <f>0+(935.9-0)+(0+(-0.477309-0))+0-0-0</f>
        <v>935.42269099999999</v>
      </c>
      <c r="AB139" s="3">
        <f>0+(938.5-14.9)+(0+(0-0))+0-0-0</f>
        <v>923.6</v>
      </c>
      <c r="AC139" s="3">
        <f>0+(928.2-44.5)+(0+(-1.420146--0.068085))+0-0-0</f>
        <v>882.347939</v>
      </c>
      <c r="AD139">
        <f t="shared" si="2"/>
        <v>19532.973407999998</v>
      </c>
      <c r="AE139" s="3">
        <f>0+(927.4-0)+(0+(0-0))+0-0-0</f>
        <v>927.4</v>
      </c>
    </row>
    <row r="140" spans="1:31" s="2" customFormat="1" x14ac:dyDescent="0.25">
      <c r="A140">
        <v>89</v>
      </c>
      <c r="B140">
        <v>5</v>
      </c>
      <c r="C140">
        <v>16</v>
      </c>
      <c r="D140">
        <v>1</v>
      </c>
      <c r="E140">
        <v>1</v>
      </c>
      <c r="F140" s="3">
        <f>0+(933.1-113.3)+(0+(-0.475881--0.057783))+0-0-0</f>
        <v>819.38190200000008</v>
      </c>
      <c r="G140" s="3">
        <f>0+(1033.8-263.2)+(0+(-0.527238--0.134232))+0-0-0</f>
        <v>770.2069939999999</v>
      </c>
      <c r="H140" s="3">
        <f>0+(1060.1-304.8)+(0+(-0.540651--0.155448))+0-0-0</f>
        <v>754.91479699999991</v>
      </c>
      <c r="I140" s="3">
        <f>0+(1068.6-319.1)+(0+(-1.089972--0.325482))+0-0-0</f>
        <v>748.73550999999986</v>
      </c>
      <c r="J140" s="3">
        <f>0+(1064.4-318.7)+(0+(-1.628532--0.487611))+0-0-0</f>
        <v>744.559079</v>
      </c>
      <c r="K140" s="3">
        <f>0+(1048.7-307.3)+(0+(-1.604511--0.470169))+0-0-0</f>
        <v>740.26565800000014</v>
      </c>
      <c r="L140" s="3">
        <f>0+(1069.1-313)+(0+(-2.726205--0.79815))+0-0-0</f>
        <v>754.17194499999994</v>
      </c>
      <c r="M140" s="3">
        <f>0+(1064.6-253.6)+(0+(0-0))+0-0-0</f>
        <v>810.99999999999989</v>
      </c>
      <c r="N140" s="3">
        <f>0+(1114.3-238.5)+(0+(-0.568293--0.121635))+0-0-0</f>
        <v>875.353342</v>
      </c>
      <c r="O140" s="3">
        <f>0+(1204.2-272.2)+(0+(0-0))+0-0-0</f>
        <v>932</v>
      </c>
      <c r="P140" s="3">
        <f>0+(1205.9-209.1)+(0+(0.615009-0.106641))+0-0-0</f>
        <v>997.30836800000009</v>
      </c>
      <c r="Q140" s="3">
        <f>0+(1138.8-115.6)+(0+(-0.580788--0.058956))+0-0-0</f>
        <v>1022.6781679999999</v>
      </c>
      <c r="R140" s="3">
        <f>0+(1041.7-41.9)+(0+(0.531267-0.021369))+0-0-0</f>
        <v>1000.3098980000001</v>
      </c>
      <c r="S140" s="3">
        <f>0+(990.4-5.5)+(0+(-1.515312--0.008415))+0-0-0</f>
        <v>983.393103</v>
      </c>
      <c r="T140" s="3">
        <f>0+(986.4-0)+(0+(0-0))+0-0-0</f>
        <v>986.4</v>
      </c>
      <c r="U140" s="3">
        <f>0+(963.7-0)+(0+(0-0))+0-0-0</f>
        <v>963.7</v>
      </c>
      <c r="V140" s="3">
        <f>0+(963-0)+(0+(-1.96452-0))+0-0-0</f>
        <v>961.03548000000001</v>
      </c>
      <c r="W140" s="3">
        <f>0+(956.2-8.4)+(0+(-0.975324--0.008568))+0-0-0</f>
        <v>946.83324400000004</v>
      </c>
      <c r="X140" s="3">
        <f>0+(1026.7-92.2)+(0+(-1.570851--0.141066))+0-0-0</f>
        <v>933.07021499999996</v>
      </c>
      <c r="Y140" s="3">
        <f>0+(1005.2-85.8)+(0+(0-0))+0-0-0</f>
        <v>919.40000000000009</v>
      </c>
      <c r="Z140" s="3">
        <f>0+(1082-97.2)+(0+(0-0))+0-0-0</f>
        <v>984.8</v>
      </c>
      <c r="AA140" s="3">
        <f>0+(1076-74.1)+(0+(0-0))+0-0-0</f>
        <v>1001.9</v>
      </c>
      <c r="AB140" s="3">
        <f>0+(1082.4-97.8)+(0+(1.104048-0.099756))+0-0-0</f>
        <v>985.6042920000001</v>
      </c>
      <c r="AC140" s="3">
        <f>0+(1109.2-148.8)+(0+(-0.565692--0.075888))+0-0-0</f>
        <v>959.91019600000004</v>
      </c>
      <c r="AD140">
        <f t="shared" si="2"/>
        <v>21596.932191000004</v>
      </c>
      <c r="AE140" s="3">
        <f>0+(1076.5-67.9)+(0+(0-0))+0-0-0</f>
        <v>1008.6</v>
      </c>
    </row>
    <row r="141" spans="1:31" s="2" customFormat="1" x14ac:dyDescent="0.25">
      <c r="A141">
        <v>89</v>
      </c>
      <c r="B141">
        <v>5</v>
      </c>
      <c r="C141">
        <v>17</v>
      </c>
      <c r="D141">
        <v>2</v>
      </c>
      <c r="E141">
        <v>1</v>
      </c>
      <c r="F141" s="3">
        <f>0+(1094.8-193.7)+(0+(-2.233392--0.395148))+0-0-0</f>
        <v>899.26175599999988</v>
      </c>
      <c r="G141" s="3">
        <f>0+(1120.1-261.7)+(0+(-0.571251--0.133467))+0-0-0</f>
        <v>857.9622159999999</v>
      </c>
      <c r="H141" s="3">
        <f>0+(1150.1-314.3)+(0+(0-0))+0-0-0</f>
        <v>835.8</v>
      </c>
      <c r="I141" s="3">
        <f>0+(1132.3-310.5)+(0+(-1.732419--0.475065))+0-0-0</f>
        <v>820.54264599999999</v>
      </c>
      <c r="J141" s="3">
        <f>0+(1138.2-319.5)+(0+(-1.160964--0.32589))+0-0-0</f>
        <v>817.86492600000008</v>
      </c>
      <c r="K141" s="3">
        <f>0+(1111.3-296.8)+(0+(-1.133526--0.302736))+0-0-0</f>
        <v>813.66921000000002</v>
      </c>
      <c r="L141" s="3">
        <f>0+(1122.2-304.7)+(0+(-2.289288--0.621588))+0-0-0</f>
        <v>815.83230000000003</v>
      </c>
      <c r="M141" s="3">
        <f>0+(1098.6-246.5)+(0+(0-0))+0-0-0</f>
        <v>852.09999999999991</v>
      </c>
      <c r="N141" s="3">
        <f>0+(1099.3-194.7)+(0+(-0.560643--0.099297))+0-0-0</f>
        <v>904.13865399999986</v>
      </c>
      <c r="O141" s="3">
        <f>0+(1133-180.2)+(0+(-1.73349--0.275706))+0-0-0</f>
        <v>951.34221600000001</v>
      </c>
      <c r="P141" s="3">
        <f>0+(1282.5-213)+(0+(0-0))+0-0-0</f>
        <v>1069.5</v>
      </c>
      <c r="Q141" s="3">
        <f>0+(1135.3-97.7)+(0+(0-0))+0-0-0</f>
        <v>1037.5999999999999</v>
      </c>
      <c r="R141" s="3">
        <f>0+(1005.4-1.2)+(0+(0.512754-0.000612))+0-0-0</f>
        <v>1004.712142</v>
      </c>
      <c r="S141" s="3">
        <f>0+(997.5-0)+(0+(-0.508725-0))+0-0-0</f>
        <v>996.99127499999997</v>
      </c>
      <c r="T141" s="3">
        <f>0+(1000.8-0)+(0+(0.510408-0))+0-0-0</f>
        <v>1001.3104079999999</v>
      </c>
      <c r="U141" s="3">
        <f>0+(976.3-0)+(0+(-0.497913-0))+0-0-0</f>
        <v>975.80208699999991</v>
      </c>
      <c r="V141" s="3">
        <f>0+(974.7-0)+(0+(-0.497097-0))+0-0-0</f>
        <v>974.20290299999999</v>
      </c>
      <c r="W141" s="3">
        <f>0+(1001-39.7)+(0+(-1.53153--0.060741))+0-0-0</f>
        <v>959.82921099999999</v>
      </c>
      <c r="X141" s="3">
        <f>0+(1086.7-132.9)+(0+(-2.771085--0.338895))+0-0-0</f>
        <v>951.36781000000008</v>
      </c>
      <c r="Y141" s="3">
        <f>0+(1041-116.3)+(0+(-1.06182--0.118626))+0-0-0</f>
        <v>923.7568060000001</v>
      </c>
      <c r="Z141" s="3">
        <f>0+(1095.9-94.9)+(0+(-0.558909--0.048399))+0-0-0</f>
        <v>1000.4894900000002</v>
      </c>
      <c r="AA141" s="3">
        <f>0+(1076-60.2)+(0+(-1.64628--0.092106))+0-0-0</f>
        <v>1014.245826</v>
      </c>
      <c r="AB141" s="3">
        <f>0+(1084.2-91)+(0+(0-0))+0-0-0</f>
        <v>993.2</v>
      </c>
      <c r="AC141" s="3">
        <f>0+(1110.4-144)+(0+(-1.132608--0.14688))+0-0-0</f>
        <v>965.4142720000001</v>
      </c>
      <c r="AD141">
        <f t="shared" si="2"/>
        <v>22436.936153999999</v>
      </c>
      <c r="AE141" s="3">
        <f>0+(1075.8-42.5)+(0+(0-0))+0-0-0</f>
        <v>1033.3</v>
      </c>
    </row>
    <row r="142" spans="1:31" s="2" customFormat="1" x14ac:dyDescent="0.25">
      <c r="A142">
        <v>89</v>
      </c>
      <c r="B142">
        <v>5</v>
      </c>
      <c r="C142">
        <v>18</v>
      </c>
      <c r="D142">
        <v>3</v>
      </c>
      <c r="E142">
        <v>1</v>
      </c>
      <c r="F142" s="3">
        <f>0+(1127.9-217.3)+(0+(-2.876145--0.554115))+0-0-0</f>
        <v>908.2779700000001</v>
      </c>
      <c r="G142" s="3">
        <f>0+(1101.4-244.1)+(0+(-1.123428--0.248982))+0-0-0</f>
        <v>856.42555400000003</v>
      </c>
      <c r="H142" s="3">
        <f>0+(1088.1-253.4)+(0+(-0.554931--0.129234))+0-0-0</f>
        <v>834.27430299999992</v>
      </c>
      <c r="I142" s="3">
        <f>0+(1072-250)+(0+(0.54672-0.1275))+0-0-0</f>
        <v>822.41922</v>
      </c>
      <c r="J142" s="3">
        <f>0+(1092.8-273.3)+(0+(1.671984-0.418149))+0-0-0</f>
        <v>820.75383499999998</v>
      </c>
      <c r="K142" s="3">
        <f>0+(1101.9-288.1)+(0+(-0.561969--0.146931))+0-0-0</f>
        <v>813.38496200000009</v>
      </c>
      <c r="L142" s="3">
        <f>0+(1111.8-297.6)+(0+(-1.701054--0.455328))+0-0-0</f>
        <v>812.95427399999994</v>
      </c>
      <c r="M142" s="3">
        <f>0+(1111.3-273.1)+(0+(0-0))+0-0-0</f>
        <v>838.19999999999993</v>
      </c>
      <c r="N142" s="3">
        <f>0+(1168.3-274.3)+(0+(1.191666-0.279786))+0-0-0</f>
        <v>894.91188</v>
      </c>
      <c r="O142" s="3">
        <f>0+(1189.7-240)+(0+(-1.213494--0.2448))+0-0-0</f>
        <v>948.73130600000002</v>
      </c>
      <c r="P142" s="3">
        <f>0+(1179.9-184.3)+(0+(1.805247-0.281979))+0-0-0</f>
        <v>997.12326800000017</v>
      </c>
      <c r="Q142" s="3">
        <f>0+(1080.3-72.9)+(0+(0.550953-0.037179))+0-0-0</f>
        <v>1007.913774</v>
      </c>
      <c r="R142" s="3">
        <f>0+(965.3-0)+(0+(-0.984606-0))+0-0-0</f>
        <v>964.31539399999997</v>
      </c>
      <c r="S142" s="3">
        <f>0+(958.3-0)+(0+(0.488733-0))+0-0-0</f>
        <v>958.78873299999998</v>
      </c>
      <c r="T142" s="3">
        <f>0+(976-0)+(0+(0-0))+0-0-0</f>
        <v>976</v>
      </c>
      <c r="U142" s="3">
        <f>0+(973.1-0)+(0+(0-0))+0-0-0</f>
        <v>973.1</v>
      </c>
      <c r="V142" s="3">
        <f>0+(975.1-0)+(0+(-0.497301-0))+0-0-0</f>
        <v>974.60269900000003</v>
      </c>
      <c r="W142" s="3">
        <f>0+(962.4-0)+(0+(-0.981648-0))+0-0-0</f>
        <v>961.41835200000003</v>
      </c>
      <c r="X142" s="3">
        <f>0+(1040.6-88.5)+(0+(-2.65353--0.225675))+0-0-0</f>
        <v>949.67214499999989</v>
      </c>
      <c r="Y142" s="3">
        <f>0+(1001.5-77.3)+(0+(-1.02153--0.078846))+0-0-0</f>
        <v>923.25731600000006</v>
      </c>
      <c r="Z142" s="3">
        <f>0+(1076.4-72.8)+(0+(-0.548964--0.037128))+0-0-0</f>
        <v>1003.0881640000001</v>
      </c>
      <c r="AA142" s="3">
        <f>0+(1054.4-22)+(0+(-2.150976--0.04488))+0-0-0</f>
        <v>1030.2939040000001</v>
      </c>
      <c r="AB142" s="3">
        <f>0+(1071-74.2)+(0+(-1.09242--0.075684))+0-0-0</f>
        <v>995.78326399999992</v>
      </c>
      <c r="AC142" s="3">
        <f>0+(1093.3-119.3)+(0+(-1.115166--0.121686))+0-0-0</f>
        <v>973.00652000000002</v>
      </c>
      <c r="AD142">
        <f t="shared" si="2"/>
        <v>22238.696837000003</v>
      </c>
      <c r="AE142" s="3">
        <f>0+(1057.2-11.1)+(0+(0-0))+0-0-0</f>
        <v>1046.1000000000001</v>
      </c>
    </row>
    <row r="143" spans="1:31" s="2" customFormat="1" x14ac:dyDescent="0.25">
      <c r="A143">
        <v>89</v>
      </c>
      <c r="B143">
        <v>5</v>
      </c>
      <c r="C143">
        <v>19</v>
      </c>
      <c r="D143">
        <v>4</v>
      </c>
      <c r="E143">
        <v>1</v>
      </c>
      <c r="F143" s="3">
        <f>0+(1088.1-167.8)+(0+(-1.109862--0.171156))+0-0-0</f>
        <v>919.36129399999993</v>
      </c>
      <c r="G143" s="3">
        <f>0+(1109.1-228.5)+(0+(-1.131282--0.23307))+0-0-0</f>
        <v>879.70178799999996</v>
      </c>
      <c r="H143" s="3">
        <f>0+(1155.8-295)+(0+(-2.357832--0.6018))+0-0-0</f>
        <v>859.04396799999995</v>
      </c>
      <c r="I143" s="3">
        <f>0+(1158.9-315.9)+(0+(0.591039-0.161109))+0-0-0</f>
        <v>843.42993000000013</v>
      </c>
      <c r="J143" s="3">
        <f>0+(1181.2-340.5)+(0+(2.409648-0.69462))+0-0-0</f>
        <v>842.41502800000001</v>
      </c>
      <c r="K143" s="3">
        <f>0+(1206.4-377.3)+(0+(1.230528-0.384846))+0-0-0</f>
        <v>829.94568200000015</v>
      </c>
      <c r="L143" s="3">
        <f>0+(1194.2-360.9)+(0+(-1.218084--0.368118))+0-0-0</f>
        <v>832.45003400000007</v>
      </c>
      <c r="M143" s="3">
        <f>0+(1207.6-341.3)+(0+(1.231752-0.348126))+0-0-0</f>
        <v>867.183626</v>
      </c>
      <c r="N143" s="3">
        <f>0+(1284.6-369.9)+(0+(1.965438-0.565947))+0-0-0</f>
        <v>916.09949099999994</v>
      </c>
      <c r="O143" s="3">
        <f>0+(1314.8-345.5)+(0+(2.682192-0.70482))+0-0-0</f>
        <v>971.2773719999999</v>
      </c>
      <c r="P143" s="3">
        <f>0+(1250.9-241)+(0+(1.275918-0.24582))+0-0-0</f>
        <v>1010.930098</v>
      </c>
      <c r="Q143" s="3">
        <f>0+(1120.5-104.2)+(0+(0-0))+0-0-0</f>
        <v>1016.3</v>
      </c>
      <c r="R143" s="3">
        <f>0+(1051.1-39.5)+(0+(0.536061-0.020145))+0-0-0</f>
        <v>1012.1159159999999</v>
      </c>
      <c r="S143" s="3">
        <f>0+(980.9-0)+(0+(0-0))+0-0-0</f>
        <v>980.9</v>
      </c>
      <c r="T143" s="3">
        <f>0+(980.7-0)+(0+(0-0))+0-0-0</f>
        <v>980.7</v>
      </c>
      <c r="U143" s="3">
        <f>0+(980.4-0)+(0+(0.500004-0))+0-0-0</f>
        <v>980.90000399999997</v>
      </c>
      <c r="V143" s="3">
        <f>0+(977.8-0)+(0+(0.997356-0))+0-0-0</f>
        <v>978.79735599999992</v>
      </c>
      <c r="W143" s="3">
        <f>0+(977.8-0)+(0+(-1.994712-0))+0-0-0</f>
        <v>975.8052879999999</v>
      </c>
      <c r="X143" s="3">
        <f>0+(1004.6-38.6)+(0+(-2.56173--0.09843))+0-0-0</f>
        <v>963.5367</v>
      </c>
      <c r="Y143" s="3">
        <f>0+(981.8-33.3)+(0+(1.001436-0.033966))+0-0-0</f>
        <v>949.46747000000005</v>
      </c>
      <c r="Z143" s="3">
        <f>0+(1074.5-47)+(0+(0-0))+0-0-0</f>
        <v>1027.5</v>
      </c>
      <c r="AA143" s="3">
        <f>0+(1069.5-25.7)+(0+(-1.09089--0.026214))+0-0-0</f>
        <v>1042.735324</v>
      </c>
      <c r="AB143" s="3">
        <f>0+(1088.8-70.3)+(0+(-0.555288--0.035853))+0-0-0</f>
        <v>1017.980565</v>
      </c>
      <c r="AC143" s="3">
        <f>0+(1117.1-121.4)+(0+(-2.278884--0.247656))+0-0-0</f>
        <v>993.66877199999988</v>
      </c>
      <c r="AD143">
        <f t="shared" si="2"/>
        <v>22692.245706000005</v>
      </c>
      <c r="AE143" s="3">
        <f>0+(1086.7-22.2)+(0+(0-0))+0-0-0</f>
        <v>1064.5</v>
      </c>
    </row>
    <row r="144" spans="1:31" s="2" customFormat="1" x14ac:dyDescent="0.25">
      <c r="A144">
        <v>89</v>
      </c>
      <c r="B144">
        <v>5</v>
      </c>
      <c r="C144">
        <v>20</v>
      </c>
      <c r="D144">
        <v>5</v>
      </c>
      <c r="E144">
        <v>1</v>
      </c>
      <c r="F144" s="3">
        <f>0+(1168.9-230.4)+(0+(-2.384556--0.470016))+0-0-0</f>
        <v>936.58546000000013</v>
      </c>
      <c r="G144" s="3">
        <f>0+(1180.3-285.8)+(0+(-1.805859--0.437274))+0-0-0</f>
        <v>893.13141499999995</v>
      </c>
      <c r="H144" s="3">
        <f>0+(1140.8-278.2)+(0+(-2.327232--0.567528))+0-0-0</f>
        <v>860.84029599999985</v>
      </c>
      <c r="I144" s="3">
        <f>0+(1124.7-275.2)+(0+(-2.867985--0.70176))+0-0-0</f>
        <v>847.33377499999995</v>
      </c>
      <c r="J144" s="3">
        <f>0+(1116.5-262.6)+(0+(-3.41649--0.803556))+0-0-0</f>
        <v>851.28706599999998</v>
      </c>
      <c r="K144" s="3">
        <f>0+(1100.5-262.1)+(0+(-2.24502--0.534684))+0-0-0</f>
        <v>836.68966399999999</v>
      </c>
      <c r="L144" s="3">
        <f>0+(1092.2-254.2)+(0+(-3.342132--0.777852))+0-0-0</f>
        <v>835.43571999999995</v>
      </c>
      <c r="M144" s="3">
        <f>0+(1067-201)+(0+(-1.63251--0.30753))+0-0-0</f>
        <v>864.67502000000002</v>
      </c>
      <c r="N144" s="3">
        <f>0+(1097.4-174.8)+(0+(0-0))+0-0-0</f>
        <v>922.60000000000014</v>
      </c>
      <c r="O144" s="3">
        <f>0+(1196.5-235.2)+(0+(-0.610215--0.119952))+0-0-0</f>
        <v>960.80973699999993</v>
      </c>
      <c r="P144" s="3">
        <f>0+(1239.2-220.7)+(0+(1.895976-0.337671))+0-0-0</f>
        <v>1020.058305</v>
      </c>
      <c r="Q144" s="3">
        <f>0+(1130.9-103.1)+(0+(-0.576759--0.052581))+0-0-0</f>
        <v>1027.2758220000003</v>
      </c>
      <c r="R144" s="3">
        <f>0+(1023.4-4.8)+(0+(0.521934-0.002448))+0-0-0</f>
        <v>1019.1194860000001</v>
      </c>
      <c r="S144" s="3">
        <f>0+(1001-0)+(0+(0-0))+0-0-0</f>
        <v>1001</v>
      </c>
      <c r="T144" s="3">
        <f>0+(1002.1-0)+(0+(0.511071-0))+0-0-0</f>
        <v>1002.611071</v>
      </c>
      <c r="U144" s="3">
        <f>0+(1009.6-0)+(0+(0-0))+0-0-0</f>
        <v>1009.6</v>
      </c>
      <c r="V144" s="3">
        <f>0+(984.9-0)+(0+(-2.009196-0))+0-0-0</f>
        <v>982.890804</v>
      </c>
      <c r="W144" s="3">
        <f>0+(969.9-0)+(0+(-1.978596-0))+0-0-0</f>
        <v>967.92140399999994</v>
      </c>
      <c r="X144" s="3">
        <f>0+(980.1-0)+(0+(-2.999106-0))+0-0-0</f>
        <v>977.10089400000004</v>
      </c>
      <c r="Y144" s="3">
        <f>0+(1006.8-52.1)+(0+(0.513468-0.026571))+0-0-0</f>
        <v>955.18689699999993</v>
      </c>
      <c r="Z144" s="3">
        <f>0+(1039-0)+(0+(1.05978-0))+0-0-0</f>
        <v>1040.05978</v>
      </c>
      <c r="AA144" s="3">
        <f>0+(1047.9-0)+(0+(-1.603287-0))+0-0-0</f>
        <v>1046.2967130000002</v>
      </c>
      <c r="AB144" s="3">
        <f>0+(1011.9-0)+(0+(0-0))+0-0-0</f>
        <v>1011.9</v>
      </c>
      <c r="AC144" s="3">
        <f>0+(997.7-18.7)+(0+(-1.526481--0.028611))+0-0-0</f>
        <v>977.50212999999997</v>
      </c>
      <c r="AD144">
        <f t="shared" si="2"/>
        <v>22847.911458999999</v>
      </c>
      <c r="AE144" s="3">
        <f>0+(1077-0)+(0+(0-0))+0-0-0</f>
        <v>1077</v>
      </c>
    </row>
    <row r="145" spans="1:31" s="2" customFormat="1" x14ac:dyDescent="0.25">
      <c r="A145">
        <v>89</v>
      </c>
      <c r="B145">
        <v>5</v>
      </c>
      <c r="C145">
        <v>21</v>
      </c>
      <c r="D145">
        <v>6</v>
      </c>
      <c r="E145">
        <v>8</v>
      </c>
      <c r="F145" s="3">
        <f>0+(1081.6-118.1)+(0+(-2.206464--0.240924))+0-0-0</f>
        <v>961.53445999999985</v>
      </c>
      <c r="G145" s="3">
        <f>0+(1130.1-238.4)+(0+(-2.305404--0.486336))+0-0-0</f>
        <v>889.88093199999992</v>
      </c>
      <c r="H145" s="3">
        <f>0+(1161.9-294.1)+(0+(0-0))+0-0-0</f>
        <v>867.80000000000007</v>
      </c>
      <c r="I145" s="3">
        <f>0+(1153.4-296.2)+(0+(1.176468-0.302124))+0-0-0</f>
        <v>858.074344</v>
      </c>
      <c r="J145" s="3">
        <f>0+(1228.2-341.5)+(0+(-1.879146--0.522495))+0-0-0</f>
        <v>885.34334899999999</v>
      </c>
      <c r="K145" s="3">
        <f>0+(1206.1-351.6)+(0+(-3.075555--0.89658))+0-0-0</f>
        <v>852.32102499999985</v>
      </c>
      <c r="L145" s="3">
        <f>0+(1174-341.9)+(0+(-4.78992--1.394952))+0-0-0</f>
        <v>828.70503200000007</v>
      </c>
      <c r="M145" s="3">
        <f>0+(1155.5-320.7)+(0+(1.17861-0.327114))+0-0-0</f>
        <v>835.65149599999995</v>
      </c>
      <c r="N145" s="3">
        <f>0+(1190.8-299.3)+(0+(1.214616-0.305286))+0-0-0</f>
        <v>892.40932999999995</v>
      </c>
      <c r="O145" s="3">
        <f>0+(1181.7-258.3)+(0+(2.410668-0.526932))+0-0-0</f>
        <v>925.28373600000009</v>
      </c>
      <c r="P145" s="3">
        <f>0+(1108.6-145.9)+(0+(1.130772-0.148818))+0-0-0</f>
        <v>963.68195399999991</v>
      </c>
      <c r="Q145" s="3">
        <f>0+(1035-57.1)+(0+(0-0))+0-0-0</f>
        <v>977.9</v>
      </c>
      <c r="R145" s="3">
        <f>0+(1051.9-83.7)+(0+(1.072938-0.085374))+0-0-0</f>
        <v>969.18756400000007</v>
      </c>
      <c r="S145" s="3">
        <f>0+(1041.7-89.5)+(0+(0-0))+0-0-0</f>
        <v>952.2</v>
      </c>
      <c r="T145" s="3">
        <f>0+(1050.7-99.5)+(0+(0-0))+0-0-0</f>
        <v>951.2</v>
      </c>
      <c r="U145" s="3">
        <f>0+(1048.6-110.9)+(0+(-0.534786--0.056559))+0-0-0</f>
        <v>937.22177299999998</v>
      </c>
      <c r="V145" s="3">
        <f>0+(1068.4-112.9)+(0+(-0.544884--0.057579))+0-0-0</f>
        <v>955.01269500000012</v>
      </c>
      <c r="W145" s="3">
        <f>0+(1090.1-162.2)+(0+(-1.667853--0.248166))+0-0-0</f>
        <v>926.48031299999991</v>
      </c>
      <c r="X145" s="3">
        <f>0+(1099.1-184.9)+(0+(-2.242164--0.377196))+0-0-0</f>
        <v>912.33503199999996</v>
      </c>
      <c r="Y145" s="3">
        <f>0+(1073.1-147)+(0+(0.547281-0.07497))+0-0-0</f>
        <v>926.5723109999999</v>
      </c>
      <c r="Z145" s="3">
        <f>0+(1053.7-74.3)+(0+(1.074774-0.075786))+0-0-0</f>
        <v>980.39898800000014</v>
      </c>
      <c r="AA145" s="3">
        <f>0+(1069.7-62.7)+(0+(-0.545547--0.031977))+0-0-0</f>
        <v>1006.48643</v>
      </c>
      <c r="AB145" s="3">
        <f>0+(1053.3-73)+(0+(-0.537183--0.03723))+0-0-0</f>
        <v>979.80004699999995</v>
      </c>
      <c r="AC145" s="3">
        <f>0+(1069-110.5)+(0+(0.54519-0.056355))+0-0-0</f>
        <v>958.98883499999999</v>
      </c>
      <c r="AD145">
        <f t="shared" si="2"/>
        <v>22194.469646000001</v>
      </c>
      <c r="AE145" s="3">
        <f>0+(1103-66.4)+(0+(0-0))+0-0-0</f>
        <v>1036.5999999999999</v>
      </c>
    </row>
    <row r="146" spans="1:31" s="2" customFormat="1" x14ac:dyDescent="0.25">
      <c r="A146">
        <v>89</v>
      </c>
      <c r="B146">
        <v>5</v>
      </c>
      <c r="C146">
        <v>22</v>
      </c>
      <c r="D146">
        <v>7</v>
      </c>
      <c r="E146">
        <v>1</v>
      </c>
      <c r="F146" s="3">
        <f>0+(1103.6-209.1)+(0+(0.562836-0.106641))+0-0-0</f>
        <v>894.95619499999987</v>
      </c>
      <c r="G146" s="3">
        <f>0+(1161.5-297.6)+(0+(-1.18473--0.303552))+0-0-0</f>
        <v>863.018822</v>
      </c>
      <c r="H146" s="3">
        <f>0+(1205.1-373)+(0+(-0.614601--0.19023))+0-0-0</f>
        <v>831.67562899999996</v>
      </c>
      <c r="I146" s="3">
        <f>0+(1242-409.9)+(0+(0-0))+0-0-0</f>
        <v>832.1</v>
      </c>
      <c r="J146" s="3">
        <f>0+(1306.4-448.1)+(0+(-0.666264--0.228531))+0-0-0</f>
        <v>857.86226700000009</v>
      </c>
      <c r="K146" s="3">
        <f>0+(1298.1-499.3)+(0+(-1.324062--0.509286))+0-0-0</f>
        <v>797.9852239999999</v>
      </c>
      <c r="L146" s="3">
        <f>0+(1294.3-528.8)+(0+(-2.640372--1.078752))+0-0-0</f>
        <v>763.93838000000005</v>
      </c>
      <c r="M146" s="3">
        <f>0+(1281.6-536.1)+(0+(-0.653616--0.273411))+0-0-0</f>
        <v>745.11979499999984</v>
      </c>
      <c r="N146" s="3">
        <f>0+(1252.3-487.3)+(0+(-1.916019--0.745569))+0-0-0</f>
        <v>763.82955000000004</v>
      </c>
      <c r="O146" s="3">
        <f>0+(1228.1-460.2)+(0+(0.626331-0.234702))+0-0-0</f>
        <v>768.29162899999983</v>
      </c>
      <c r="P146" s="3">
        <f>0+(1258.1-429)+(0+(-1.283262--0.43758))+0-0-0</f>
        <v>828.2543179999999</v>
      </c>
      <c r="Q146" s="3">
        <f>0+(1262.2-433.3)+(0+(0-0))+0-0-0</f>
        <v>828.90000000000009</v>
      </c>
      <c r="R146" s="3">
        <f>0+(1199.6-379.9)+(0+(0.611796-0.193749))+0-0-0</f>
        <v>820.11804699999993</v>
      </c>
      <c r="S146" s="3">
        <f>0+(1143.5-324)+(0+(0-0))+0-0-0</f>
        <v>819.5</v>
      </c>
      <c r="T146" s="3">
        <f>0+(1115.8-290.6)+(0+(0.569058-0.148206))+0-0-0</f>
        <v>825.6208519999999</v>
      </c>
      <c r="U146" s="3">
        <f>0+(1119.2-296.9)+(0+(0-0))+0-0-0</f>
        <v>822.30000000000007</v>
      </c>
      <c r="V146" s="3">
        <f>0+(1121.2-297.3)+(0+(-1.715436--0.454869))+0-0-0</f>
        <v>822.63943300000005</v>
      </c>
      <c r="W146" s="3">
        <f>0+(1154.7-338.9)+(0+(-1.766691--0.518517))+0-0-0</f>
        <v>814.55182600000012</v>
      </c>
      <c r="X146" s="3">
        <f>0+(1122.5-315.2)+(0+(-2.2899--0.643008))+0-0-0</f>
        <v>805.65310799999997</v>
      </c>
      <c r="Y146" s="3">
        <f>0+(1118.4-302.4)+(0+(-1.140768--0.308448))+0-0-0</f>
        <v>815.16768000000013</v>
      </c>
      <c r="Z146" s="3">
        <f>0+(1085.2-181)+(0+(-0.553452--0.09231))+0-0-0</f>
        <v>903.73885800000005</v>
      </c>
      <c r="AA146" s="3">
        <f>0+(1105.9-180.6)+(0+(-2.820045--0.46053))+0-0-0</f>
        <v>922.94048500000008</v>
      </c>
      <c r="AB146" s="3">
        <f>0+(1151.8-247)+(0+(-1.174836--0.25194))+0-0-0</f>
        <v>903.87710399999992</v>
      </c>
      <c r="AC146" s="3">
        <f>0+(1140-275.9)+(0+(0.5814-0.140709))+0-0-0</f>
        <v>864.54069100000004</v>
      </c>
      <c r="AD146">
        <f t="shared" si="2"/>
        <v>19916.579892999998</v>
      </c>
      <c r="AE146" s="3">
        <f>0+(1115.4-151.3)+(0+(0-0))+0-0-0</f>
        <v>964.10000000000014</v>
      </c>
    </row>
    <row r="147" spans="1:31" s="2" customFormat="1" x14ac:dyDescent="0.25">
      <c r="A147">
        <v>89</v>
      </c>
      <c r="B147">
        <v>5</v>
      </c>
      <c r="C147">
        <v>23</v>
      </c>
      <c r="D147">
        <v>1</v>
      </c>
      <c r="E147">
        <v>1</v>
      </c>
      <c r="F147" s="3">
        <f>0+(1100.1-266.1)+(0+(-2.244204--0.542844))+0-0-0</f>
        <v>832.29863999999986</v>
      </c>
      <c r="G147" s="3">
        <f>0+(1141.8-339.8)+(0+(0.582318-0.173298))+0-0-0</f>
        <v>802.40902000000006</v>
      </c>
      <c r="H147" s="3">
        <f>0+(1211.1-434.7)+(0+(-1.235322--0.443394))+0-0-0</f>
        <v>775.60807199999988</v>
      </c>
      <c r="I147" s="3">
        <f>0+(1235.4-452.1)+(0+(-2.520216--0.922284))+0-0-0</f>
        <v>781.70206800000005</v>
      </c>
      <c r="J147" s="3">
        <f>0+(1210.9-398)+(0+(-0.617559--0.20298))+0-0-0</f>
        <v>812.48542100000009</v>
      </c>
      <c r="K147" s="3">
        <f>0+(1191-416.2)+(0+(-1.21482--0.424524))+0-0-0</f>
        <v>774.00970399999994</v>
      </c>
      <c r="L147" s="3">
        <f>0+(1212-431.2)+(0+(-1.23624--0.439824))+0-0-0</f>
        <v>780.00358399999993</v>
      </c>
      <c r="M147" s="3">
        <f>0+(1227.3-413.5)+(0+(-0.625923--0.210885))+0-0-0</f>
        <v>813.38496199999997</v>
      </c>
      <c r="N147" s="3">
        <f>0+(1379.2-487.1)+(0+(0.703392-0.248421))+0-0-0</f>
        <v>892.55497100000002</v>
      </c>
      <c r="O147" s="3">
        <f>0+(1332.6-390.3)+(0+(-2.038878--0.597159))+0-0-0</f>
        <v>940.85828099999992</v>
      </c>
      <c r="P147" s="3">
        <f>0+(1258.7-298.6)+(0+(0.641937-0.152286))+0-0-0</f>
        <v>960.589651</v>
      </c>
      <c r="Q147" s="3">
        <f>0+(1180.1-201.7)+(0+(1.805553-0.308601))+0-0-0</f>
        <v>979.89695199999983</v>
      </c>
      <c r="R147" s="3">
        <f>0+(1114-146)+(0+(0.56814-0.07446))+0-0-0</f>
        <v>968.49368000000004</v>
      </c>
      <c r="S147" s="3">
        <f>0+(1070.9-120.6)+(0+(0.546159-0.061506))+0-0-0</f>
        <v>950.78465300000005</v>
      </c>
      <c r="T147" s="3">
        <f>0+(1040.6-90.4)+(0+(0.530706-0.046104))+0-0-0</f>
        <v>950.68460199999993</v>
      </c>
      <c r="U147" s="3">
        <f>0+(1065.1-107.5)+(0+(-0.543201--0.054825))+0-0-0</f>
        <v>957.11162399999989</v>
      </c>
      <c r="V147" s="3">
        <f>0+(1095.3-147.8)+(0+(0-0))+0-0-0</f>
        <v>947.5</v>
      </c>
      <c r="W147" s="3">
        <f>0+(1106.7-177.9)+(0+(-2.822085--0.453645))+0-0-0</f>
        <v>926.4315600000001</v>
      </c>
      <c r="X147" s="3">
        <f>0+(1080.8-166)+(0+(-1.102416--0.16932))+0-0-0</f>
        <v>913.86690399999998</v>
      </c>
      <c r="Y147" s="3">
        <f>0+(1081.3-174.7)+(0+(-1.102926--0.178194))+0-0-0</f>
        <v>905.67526799999996</v>
      </c>
      <c r="Z147" s="3">
        <f>0+(1102.2-124.2)+(0+(-0.562122--0.063342))+0-0-0</f>
        <v>977.50121999999999</v>
      </c>
      <c r="AA147" s="3">
        <f>0+(1073.2-84.7)+(0+(-2.189328--0.172788))+0-0-0</f>
        <v>986.48346000000004</v>
      </c>
      <c r="AB147" s="3">
        <f>0+(1112.2-139)+(0+(-1.134444--0.14178))+0-0-0</f>
        <v>972.20733600000005</v>
      </c>
      <c r="AC147" s="3">
        <f>0+(1153.9-212.5)+(0+(-1.176978--0.21675))+0-0-0</f>
        <v>940.43977200000006</v>
      </c>
      <c r="AD147">
        <f t="shared" si="2"/>
        <v>21542.981404999999</v>
      </c>
      <c r="AE147" s="3">
        <f>0+(1115.6-90.3)+(0+(0-0))+0-0-0</f>
        <v>1025.3</v>
      </c>
    </row>
    <row r="148" spans="1:31" s="2" customFormat="1" x14ac:dyDescent="0.25">
      <c r="A148">
        <v>89</v>
      </c>
      <c r="B148">
        <v>5</v>
      </c>
      <c r="C148">
        <v>24</v>
      </c>
      <c r="D148">
        <v>2</v>
      </c>
      <c r="E148">
        <v>1</v>
      </c>
      <c r="F148" s="3">
        <f>0+(1210.1-325.1)+(0+(-1.851453--0.497403))+0-0-0</f>
        <v>883.64594999999986</v>
      </c>
      <c r="G148" s="3">
        <f>0+(1310.4-458.5)+(0+(-0.668304--0.233835))+0-0-0</f>
        <v>851.46553100000006</v>
      </c>
      <c r="H148" s="3">
        <f>0+(1316.6-477.9)+(0+(0.671466-0.243729))+0-0-0</f>
        <v>839.12773699999991</v>
      </c>
      <c r="I148" s="3">
        <f>0+(1310.2-483.7)+(0+(-2.672808--0.986748))+0-0-0</f>
        <v>824.81394</v>
      </c>
      <c r="J148" s="3">
        <f>0+(1302.2-454.9)+(0+(0.664122-0.231999))+0-0-0</f>
        <v>847.73212300000012</v>
      </c>
      <c r="K148" s="3">
        <f>0+(1311.8-497.8)+(0+(-2.007054--0.761634))+0-0-0</f>
        <v>812.75458000000003</v>
      </c>
      <c r="L148" s="3">
        <f>0+(1304.3-492.4)+(0+(-2.660772--1.004496))+0-0-0</f>
        <v>810.24372399999993</v>
      </c>
      <c r="M148" s="3">
        <f>0+(1329.4-490.9)+(0+(-1.355988--0.500718))+0-0-0</f>
        <v>837.6447300000001</v>
      </c>
      <c r="N148" s="3">
        <f>0+(1387.6-523.7)+(0+(1.415352-0.534174))+0-0-0</f>
        <v>864.78117799999984</v>
      </c>
      <c r="O148" s="3">
        <f>0+(1338-450.8)+(0+(-2.72952--0.919632))+0-0-0</f>
        <v>885.39011200000004</v>
      </c>
      <c r="P148" s="3">
        <f>0+(1301.3-364.1)+(0+(1.990989-0.557073))+0-0-0</f>
        <v>938.63391599999989</v>
      </c>
      <c r="Q148" s="3">
        <f>0+(1194.4-233.1)+(0+(-1.218288--0.237762))+0-0-0</f>
        <v>960.31947400000001</v>
      </c>
      <c r="R148" s="3">
        <f>0+(1156.1-179.9)+(0+(0-0))+0-0-0</f>
        <v>976.19999999999993</v>
      </c>
      <c r="S148" s="3">
        <f>0+(1106.9-157.1)+(0+(-1.129038--0.160242))+0-0-0</f>
        <v>948.83120400000007</v>
      </c>
      <c r="T148" s="3">
        <f>0+(1071.1-89.5)+(0+(0.546261-0.045645))+0-0-0</f>
        <v>982.10061599999995</v>
      </c>
      <c r="U148" s="3">
        <f>0+(1035.4-90.6)+(0+(-0.528054--0.046206))+0-0-0</f>
        <v>944.31815200000005</v>
      </c>
      <c r="V148" s="3">
        <f>0+(1041.7-93.8)+(0+(-1.062534--0.095676))+0-0-0</f>
        <v>946.93314200000009</v>
      </c>
      <c r="W148" s="3">
        <f>0+(1119.1-188.2)+(0+(0-0))+0-0-0</f>
        <v>930.89999999999986</v>
      </c>
      <c r="X148" s="3">
        <f>0+(1103.8-180.6)+(0+(-1.125876--0.184212))+0-0-0</f>
        <v>922.25833599999999</v>
      </c>
      <c r="Y148" s="3">
        <f>0+(1078.1-156.8)+(0+(0-0))+0-0-0</f>
        <v>921.3</v>
      </c>
      <c r="Z148" s="3">
        <f>0+(1158.6-161.4)+(0+(-1.181772--0.164628))+0-0-0</f>
        <v>996.1828559999999</v>
      </c>
      <c r="AA148" s="3">
        <f>0+(1135.2-129.4)+(0+(-1.157904--0.131988))+0-0-0</f>
        <v>1004.774084</v>
      </c>
      <c r="AB148" s="3">
        <f>0+(1171.8-180.3)+(0+(-1.195236--0.183906))+0-0-0</f>
        <v>990.48866999999996</v>
      </c>
      <c r="AC148" s="3">
        <f>0+(1229.8-265.9)+(0+(-1.254396--0.271218))+0-0-0</f>
        <v>962.91682200000002</v>
      </c>
      <c r="AD148">
        <f t="shared" si="2"/>
        <v>21883.756876999996</v>
      </c>
      <c r="AE148" s="3">
        <f>0+(1155.7-114.7)+(0+(0-0))+0-0-0</f>
        <v>1041</v>
      </c>
    </row>
    <row r="149" spans="1:31" s="2" customFormat="1" x14ac:dyDescent="0.25">
      <c r="A149">
        <v>89</v>
      </c>
      <c r="B149">
        <v>5</v>
      </c>
      <c r="C149">
        <v>25</v>
      </c>
      <c r="D149">
        <v>3</v>
      </c>
      <c r="E149">
        <v>1</v>
      </c>
      <c r="F149" s="3">
        <f>0+(1130.8-236.4)+(0+(-4.036956--0.843948))+0-0-0</f>
        <v>891.20699200000001</v>
      </c>
      <c r="G149" s="3">
        <f>0+(1129.5-289.2)+(0+(-2.880225--0.73746))+0-0-0</f>
        <v>838.1572349999999</v>
      </c>
      <c r="H149" s="3">
        <f>0+(1244.5-417.2)+(0+(-0.634695--0.212772))+0-0-0</f>
        <v>826.87807699999996</v>
      </c>
      <c r="I149" s="3">
        <f>0+(1228.7-421.5)+(0+(0.626637-0.214965))+0-0-0</f>
        <v>807.611672</v>
      </c>
      <c r="J149" s="3">
        <f>0+(1235.1-398.6)+(0+(0.629901-0.203286))+0-0-0</f>
        <v>836.92661499999986</v>
      </c>
      <c r="K149" s="3">
        <f>0+(1310-493.9)+(0+(-2.6724--1.007556))+0-0-0</f>
        <v>814.43515600000001</v>
      </c>
      <c r="L149" s="3">
        <f>0+(1296.1-493)+(0+(-2.644044--1.00572))+0-0-0</f>
        <v>801.4616759999999</v>
      </c>
      <c r="M149" s="3">
        <f>0+(1281-459.4)+(0+(0-0))+0-0-0</f>
        <v>821.6</v>
      </c>
      <c r="N149" s="3">
        <f>0+(1318-431.4)+(0+(0-0))+0-0-0</f>
        <v>886.6</v>
      </c>
      <c r="O149" s="3">
        <f>0+(1329-398.1)+(0+(0-0))+0-0-0</f>
        <v>930.9</v>
      </c>
      <c r="P149" s="3">
        <f>0+(1261.2-342.5)+(0+(1.929636-0.524025))+0-0-0</f>
        <v>920.10561100000007</v>
      </c>
      <c r="Q149" s="3">
        <f>0+(1193.6-225.5)+(0+(1.217472-0.23001))+0-0-0</f>
        <v>969.08746199999996</v>
      </c>
      <c r="R149" s="3">
        <f>0+(1126-155.7)+(0+(2.29704-0.317628))+0-0-0</f>
        <v>972.27941199999998</v>
      </c>
      <c r="S149" s="3">
        <f>0+(1072.3-131.6)+(0+(-1.093746--0.134232))+0-0-0</f>
        <v>939.74048599999992</v>
      </c>
      <c r="T149" s="3">
        <f>0+(1069.6-112.1)+(0+(1.090992-0.114342))+0-0-0</f>
        <v>958.47664999999984</v>
      </c>
      <c r="U149" s="3">
        <f>0+(1060.8-103.3)+(0+(1.082016-0.105366))+0-0-0</f>
        <v>958.47664999999995</v>
      </c>
      <c r="V149" s="3">
        <f>0+(1036.8-96.2)+(0+(-2.115072--0.196248))+0-0-0</f>
        <v>938.68117599999994</v>
      </c>
      <c r="W149" s="3">
        <f>0+(1065-131.2)+(0+(-1.0863--0.133824))+0-0-0</f>
        <v>932.84752399999991</v>
      </c>
      <c r="X149" s="3">
        <f>0+(1108.9-182.6)+(0+(-1.131078--0.186252))+0-0-0</f>
        <v>925.35517400000003</v>
      </c>
      <c r="Y149" s="3">
        <f>0+(1142.8-206.8)+(0+(0.582828-0.105468))+0-0-0</f>
        <v>936.47735999999998</v>
      </c>
      <c r="Z149" s="3">
        <f>0+(1138.6-129.4)+(0+(-0.580686--0.065994))+0-0-0</f>
        <v>1008.685308</v>
      </c>
      <c r="AA149" s="3">
        <f>0+(1120-104.4)+(0+(0-0))+0-0-0</f>
        <v>1015.6</v>
      </c>
      <c r="AB149" s="3">
        <f>0+(1166.7-167.1)+(0+(-1.190034--0.170442))+0-0-0</f>
        <v>998.58040800000003</v>
      </c>
      <c r="AC149" s="3">
        <f>0+(1191-219.6)+(0+(-1.21482--0.223992))+0-0-0</f>
        <v>970.40917200000001</v>
      </c>
      <c r="AD149">
        <f t="shared" si="2"/>
        <v>21900.579816000005</v>
      </c>
      <c r="AE149" s="3">
        <f>0+(1142.9-91.8)+(0+(0-0))+0-0-0</f>
        <v>1051.1000000000001</v>
      </c>
    </row>
    <row r="150" spans="1:31" s="2" customFormat="1" x14ac:dyDescent="0.25">
      <c r="A150">
        <v>89</v>
      </c>
      <c r="B150">
        <v>5</v>
      </c>
      <c r="C150">
        <v>26</v>
      </c>
      <c r="D150">
        <v>4</v>
      </c>
      <c r="E150">
        <v>1</v>
      </c>
      <c r="F150" s="3">
        <f>0+(1232-300.3)+(0+(-2.51328--0.612612))+0-0-0</f>
        <v>929.79933200000005</v>
      </c>
      <c r="G150" s="3">
        <f>0+(1264.7-389.5)+(0+(-1.289994--0.39729))+0-0-0</f>
        <v>874.30729600000006</v>
      </c>
      <c r="H150" s="3">
        <f>0+(1300.2-456.4)+(0+(-0.663102--0.232764))+0-0-0</f>
        <v>843.36966200000006</v>
      </c>
      <c r="I150" s="3">
        <f>0+(1231.4-395.2)+(0+(-2.512056--0.806208))+0-0-0</f>
        <v>834.4941520000001</v>
      </c>
      <c r="J150" s="3">
        <f>0+(1206-358.1)+(0+(1.23012-0.365262))+0-0-0</f>
        <v>848.764858</v>
      </c>
      <c r="K150" s="3">
        <f>0+(1217.2-391.8)+(0+(-1.241544--0.399636))+0-0-0</f>
        <v>824.5580920000001</v>
      </c>
      <c r="L150" s="3">
        <f>0+(1235.4-423.7)+(0+(-2.520216--0.864348))+0-0-0</f>
        <v>810.04413199999999</v>
      </c>
      <c r="M150" s="3">
        <f>0+(1219.6-375.3)+(0+(0.621996-0.191403))+0-0-0</f>
        <v>844.730593</v>
      </c>
      <c r="N150" s="3">
        <f>0+(1309.8-402.3)+(0+(0-0))+0-0-0</f>
        <v>907.5</v>
      </c>
      <c r="O150" s="3">
        <f>0+(1367.6-431.9)+(0+(0-0))+0-0-0</f>
        <v>935.69999999999993</v>
      </c>
      <c r="P150" s="3">
        <f>0+(1306.5-321.5)+(0+(1.33263-0.32793))+0-0-0</f>
        <v>986.00469999999996</v>
      </c>
      <c r="Q150" s="3">
        <f>0+(1187.2-189.4)+(0+(1.210944-0.193188))+0-0-0</f>
        <v>998.81775600000003</v>
      </c>
      <c r="R150" s="3">
        <f>0+(1117.3-123.2)+(0+(0-0))+0-0-0</f>
        <v>994.09999999999991</v>
      </c>
      <c r="S150" s="3">
        <f>0+(1105.6-125.1)+(0+(0-0))+0-0-0</f>
        <v>980.49999999999989</v>
      </c>
      <c r="T150" s="3">
        <f>0+(1098.9-124.2)+(0+(0-0))+0-0-0</f>
        <v>974.7</v>
      </c>
      <c r="U150" s="3">
        <f>0+(1116.9-126.7)+(0+(-0.569619--0.064617))+0-0-0</f>
        <v>989.69499800000006</v>
      </c>
      <c r="V150" s="3">
        <f>0+(1097.5-127)+(0+(-0.559725--0.06477))+0-0-0</f>
        <v>970.005045</v>
      </c>
      <c r="W150" s="3">
        <f>0+(1096.7-143.3)+(0+(-2.237268--0.292332))+0-0-0</f>
        <v>951.45506400000011</v>
      </c>
      <c r="X150" s="3">
        <f>0+(1155.2-208.7)+(0+(-1.767456--0.319311))+0-0-0</f>
        <v>945.05185500000005</v>
      </c>
      <c r="Y150" s="3">
        <f>0+(1147.4-197.1)+(0+(0.585174-0.100521))+0-0-0</f>
        <v>950.78465300000005</v>
      </c>
      <c r="Z150" s="3">
        <f>0+(1121.8-98.9)+(0+(-0.572118--0.050439))+0-0-0</f>
        <v>1022.378321</v>
      </c>
      <c r="AA150" s="3">
        <f>0+(1106.7-82.4)+(0+(-1.693251--0.126072))+0-0-0</f>
        <v>1022.7328209999999</v>
      </c>
      <c r="AB150" s="3">
        <f>0+(1154.7-146.3)+(0+(0.588897-0.074613))+0-0-0</f>
        <v>1008.9142840000001</v>
      </c>
      <c r="AC150" s="3">
        <f>0+(1201.6-218.6)+(0+(0-0))+0-0-0</f>
        <v>982.99999999999989</v>
      </c>
      <c r="AD150">
        <f t="shared" si="2"/>
        <v>22431.407614000003</v>
      </c>
      <c r="AE150" s="3">
        <f>0+(1135.8-76)+(0+(0-0))+0-0-0</f>
        <v>1059.8</v>
      </c>
    </row>
    <row r="151" spans="1:31" s="2" customFormat="1" x14ac:dyDescent="0.25">
      <c r="A151">
        <v>89</v>
      </c>
      <c r="B151">
        <v>5</v>
      </c>
      <c r="C151">
        <v>27</v>
      </c>
      <c r="D151">
        <v>5</v>
      </c>
      <c r="E151">
        <v>1</v>
      </c>
      <c r="F151" s="3">
        <f>0+(1199.8-275.3)+(0+(-1.835694--0.421209))+0-0-0</f>
        <v>923.08551499999999</v>
      </c>
      <c r="G151" s="3">
        <f>0+(1251.5-367.2)+(0+(-0.638265--0.187272))+0-0-0</f>
        <v>883.84900699999992</v>
      </c>
      <c r="H151" s="3">
        <f>0+(1306.2-450.3)+(0+(-0.666162--0.229653))+0-0-0</f>
        <v>855.46349100000009</v>
      </c>
      <c r="I151" s="3">
        <f>0+(1323.8-476.3)+(0+(0-0))+0-0-0</f>
        <v>847.5</v>
      </c>
      <c r="J151" s="3">
        <f>0+(1300.1-436.9)+(0+(-1.989153--0.668457))+0-0-0</f>
        <v>861.87930399999993</v>
      </c>
      <c r="K151" s="3">
        <f>0+(1333.6-490.2)+(0+(-2.040408--0.750006))+0-0-0</f>
        <v>842.10959799999989</v>
      </c>
      <c r="L151" s="3">
        <f>0+(1349.1-517.3)+(0+(-1.376082--0.527646))+0-0-0</f>
        <v>830.95156399999996</v>
      </c>
      <c r="M151" s="3">
        <f>0+(1226-376.2)+(0+(0.62526-0.191862))+0-0-0</f>
        <v>850.23339799999997</v>
      </c>
      <c r="N151" s="3">
        <f>0+(1284.3-376.2)+(0+(-1.309986--0.383724))+0-0-0</f>
        <v>907.17373799999996</v>
      </c>
      <c r="O151" s="3">
        <f>0+(1445.6-494)+(0+(0-0))+0-0-0</f>
        <v>951.59999999999991</v>
      </c>
      <c r="P151" s="3">
        <f>0+(1329.8-382.9)+(0+(1.356396-0.390558))+0-0-0</f>
        <v>947.86583799999994</v>
      </c>
      <c r="Q151" s="3">
        <f>0+(1249.2-252.2)+(0+(0-0))+0-0-0</f>
        <v>997</v>
      </c>
      <c r="R151" s="3">
        <f>0+(1133.3-123.7)+(0+(0.577983-0.063087))+0-0-0</f>
        <v>1010.1148959999999</v>
      </c>
      <c r="S151" s="3">
        <f>0+(1069.9-108)+(0+(0-0))+0-0-0</f>
        <v>961.90000000000009</v>
      </c>
      <c r="T151" s="3">
        <f>0+(1115.8-119.8)+(0+(0.569058-0.061098))+0-0-0</f>
        <v>996.50796000000003</v>
      </c>
      <c r="U151" s="3">
        <f>0+(1126.8-143.3)+(0+(0-0))+0-0-0</f>
        <v>983.5</v>
      </c>
      <c r="V151" s="3">
        <f>0+(1075.6-102.2)+(0+(-0.548556--0.052122))+0-0-0</f>
        <v>972.90356599999984</v>
      </c>
      <c r="W151" s="3">
        <f>0+(1080-117.3)+(0+(-1.1016--0.119646))+0-0-0</f>
        <v>961.71804600000007</v>
      </c>
      <c r="X151" s="3">
        <f>0+(1135.3-174.2)+(0+(-0.579003--0.088842))+0-0-0</f>
        <v>960.60983899999997</v>
      </c>
      <c r="Y151" s="3">
        <f>0+(1136.4-184.1)+(0+(0-0))+0-0-0</f>
        <v>952.30000000000007</v>
      </c>
      <c r="Z151" s="3">
        <f>0+(1127.5-93.7)+(0+(0-0))+0-0-0</f>
        <v>1033.8</v>
      </c>
      <c r="AA151" s="3">
        <f>0+(1131.3-72)+(0+(-1.730889--0.11016))+0-0-0</f>
        <v>1057.679271</v>
      </c>
      <c r="AB151" s="3">
        <f>0+(1133-108.3)+(0+(-0.57783--0.055233))+0-0-0</f>
        <v>1024.1774030000001</v>
      </c>
      <c r="AC151" s="3">
        <f>0+(1168.4-182.5)+(0+(-1.191768--0.18615))+0-0-0</f>
        <v>984.89438200000006</v>
      </c>
      <c r="AD151">
        <f t="shared" si="2"/>
        <v>22598.816815999999</v>
      </c>
      <c r="AE151" s="3">
        <f>0+(1151.2-76.8)+(0+(0-0))+0-0-0</f>
        <v>1074.4000000000001</v>
      </c>
    </row>
    <row r="152" spans="1:31" s="2" customFormat="1" x14ac:dyDescent="0.25">
      <c r="A152">
        <v>89</v>
      </c>
      <c r="B152">
        <v>5</v>
      </c>
      <c r="C152">
        <v>28</v>
      </c>
      <c r="D152">
        <v>6</v>
      </c>
      <c r="E152">
        <v>1</v>
      </c>
      <c r="F152" s="3">
        <f>0+(1139.2-220.4)+(0+(-1.161984--0.224808))+0-0-0</f>
        <v>917.86282400000005</v>
      </c>
      <c r="G152" s="3">
        <f>0+(1135.1-265.5)+(0+(-1.736703--0.406215))+0-0-0</f>
        <v>868.26951199999996</v>
      </c>
      <c r="H152" s="3">
        <f>0+(1149.1-325.5)+(0+(0.586041-0.166005))+0-0-0</f>
        <v>824.02003599999989</v>
      </c>
      <c r="I152" s="3">
        <f>0+(1163.5-358.5)+(0+(0-0))+0-0-0</f>
        <v>805</v>
      </c>
      <c r="J152" s="3">
        <f>0+(1160.5-324.3)+(0+(0-0))+0-0-0</f>
        <v>836.2</v>
      </c>
      <c r="K152" s="3">
        <f>0+(1195.1-377.3)+(0+(-2.438004--0.769692))+0-0-0</f>
        <v>816.13168799999994</v>
      </c>
      <c r="L152" s="3">
        <f>0+(1213.6-415.8)+(0+(-2.475744--0.848232))+0-0-0</f>
        <v>796.17248799999993</v>
      </c>
      <c r="M152" s="3">
        <f>0+(1203.8-376.7)+(0+(-1.227876--0.384234))+0-0-0</f>
        <v>826.25635799999986</v>
      </c>
      <c r="N152" s="3">
        <f>0+(1192.6-311.3)+(0+(-0.608226--0.158763))+0-0-0</f>
        <v>880.85053699999992</v>
      </c>
      <c r="O152" s="3">
        <f>0+(1186.9-226.7)+(0+(1.210638-0.231234))+0-0-0</f>
        <v>961.17940400000009</v>
      </c>
      <c r="P152" s="3">
        <f>0+(1158.6-129.5)+(0+(1.181772-0.13209))+0-0-0</f>
        <v>1030.149682</v>
      </c>
      <c r="Q152" s="3">
        <f>0+(1133-30.4)+(0+(0-0))+0-0-0</f>
        <v>1102.5999999999999</v>
      </c>
      <c r="R152" s="3">
        <f>0+(1076.3-75)+(0+(0-0))+0-0-0</f>
        <v>1001.3</v>
      </c>
      <c r="S152" s="3">
        <f>0+(1068.4-100.4)+(0+(-0.544884--0.051204))+0-0-0</f>
        <v>967.50632000000007</v>
      </c>
      <c r="T152" s="3">
        <f>0+(1050.9-104.1)+(0+(0.535959-0.053091))+0-0-0</f>
        <v>947.28286800000012</v>
      </c>
      <c r="U152" s="3">
        <f>0+(1058.9-99.4)+(0+(1.080078-0.101388))+0-0-0</f>
        <v>960.47869000000014</v>
      </c>
      <c r="V152" s="3">
        <f>0+(1055.8-92.5)+(0+(-0.538458--0.047175))+0-0-0</f>
        <v>962.808717</v>
      </c>
      <c r="W152" s="3">
        <f>0+(1099.2-149.8)+(0+(-1.681776--0.229194))+0-0-0</f>
        <v>947.94741800000008</v>
      </c>
      <c r="X152" s="3">
        <f>0+(1089.1-161.6)+(0+(-1.666323--0.247248))+0-0-0</f>
        <v>926.08092499999987</v>
      </c>
      <c r="Y152" s="3">
        <f>0+(1079.5-166.9)+(0+(-0.550545--0.085119))+0-0-0</f>
        <v>912.13457400000004</v>
      </c>
      <c r="Z152" s="3">
        <f>0+(1101.6-88.9)+(0+(0.561816-0.045339))+0-0-0</f>
        <v>1013.2164769999999</v>
      </c>
      <c r="AA152" s="3">
        <f>0+(1104.9-73.8)+(0+(-1.690497--0.112914))+0-0-0</f>
        <v>1029.5224170000001</v>
      </c>
      <c r="AB152" s="3">
        <f>0+(1088.6-95.7)+(0+(-1.110372--0.097614))+0-0-0</f>
        <v>991.8872419999999</v>
      </c>
      <c r="AC152" s="3">
        <f>0+(1115.8-144.2)+(0+(0-0))+0-0-0</f>
        <v>971.59999999999991</v>
      </c>
      <c r="AD152">
        <f t="shared" si="2"/>
        <v>22296.458176999997</v>
      </c>
      <c r="AE152" s="3">
        <f>0+(1125.2-69.4)+(0+(0-0))+0-0-0</f>
        <v>1055.8</v>
      </c>
    </row>
    <row r="153" spans="1:31" s="2" customFormat="1" x14ac:dyDescent="0.25">
      <c r="A153">
        <v>89</v>
      </c>
      <c r="B153">
        <v>5</v>
      </c>
      <c r="C153">
        <v>29</v>
      </c>
      <c r="D153">
        <v>7</v>
      </c>
      <c r="E153">
        <v>1</v>
      </c>
      <c r="F153" s="3">
        <f>0+(1144.5-233.2)+(0+(-1.16739--0.237864))+0-0-0</f>
        <v>910.37047399999994</v>
      </c>
      <c r="G153" s="3">
        <f>0+(1131.5-258.6)+(0+(1.15413-0.263772))+0-0-0</f>
        <v>873.79035799999997</v>
      </c>
      <c r="H153" s="3">
        <f>0+(1177.6-330.8)+(0+(-0.600576--0.168708))+0-0-0</f>
        <v>846.36813199999995</v>
      </c>
      <c r="I153" s="3">
        <f>0+(1179.4-366.2)+(0+(-3.00747--0.93381))+0-0-0</f>
        <v>811.12634000000003</v>
      </c>
      <c r="J153" s="3">
        <f>0+(1214.7-377.5)+(0+(0.619497-0.192525))+0-0-0</f>
        <v>837.62697200000002</v>
      </c>
      <c r="K153" s="3">
        <f>0+(1201.7-396.6)+(0+(-4.290069--1.415862))+0-0-0</f>
        <v>802.22579300000007</v>
      </c>
      <c r="L153" s="3">
        <f>0+(1123.3-381)+(0+(-2.291532--0.77724))+0-0-0</f>
        <v>740.785708</v>
      </c>
      <c r="M153" s="3">
        <f>0+(1083.5-350.6)+(0+(-0.552585--0.178806))+0-0-0</f>
        <v>732.52622099999996</v>
      </c>
      <c r="N153" s="3">
        <f>0+(1066.8-307.4)+(0+(-0.544068--0.156774))+0-0-0</f>
        <v>759.01270599999998</v>
      </c>
      <c r="O153" s="3">
        <f>0+(1073.8-289)+(0+(0-0))+0-0-0</f>
        <v>784.8</v>
      </c>
      <c r="P153" s="3">
        <f>0+(1107.2-257)+(0+(0.564672-0.13107))+0-0-0</f>
        <v>850.633602</v>
      </c>
      <c r="Q153" s="3">
        <f>0+(1123.2-266.4)+(0+(-1.145664--0.271728))+0-0-0</f>
        <v>855.92606400000011</v>
      </c>
      <c r="R153" s="3">
        <f>0+(1024-197.4)+(0+(-0.52224--0.100674))+0-0-0</f>
        <v>826.17843400000004</v>
      </c>
      <c r="S153" s="3">
        <f>0+(983.4-127)+(0+(0-0))+0-0-0</f>
        <v>856.4</v>
      </c>
      <c r="T153" s="3">
        <f>0+(970.8-112.6)+(0+(0-0))+0-0-0</f>
        <v>858.19999999999993</v>
      </c>
      <c r="U153" s="3">
        <f>0+(966.4-111.2)+(0+(-0.492864--0.056712))+0-0-0</f>
        <v>854.76384799999994</v>
      </c>
      <c r="V153" s="3">
        <f>0+(971.1-115.9)+(0+(-1.485783--0.177327))+0-0-0</f>
        <v>853.89154400000007</v>
      </c>
      <c r="W153" s="3">
        <f>0+(1038.6-182.8)+(0+(-0.529686--0.093228))+0-0-0</f>
        <v>855.36354199999994</v>
      </c>
      <c r="X153" s="3">
        <f>0+(1041.5-201.3)+(0+(-3.718155--0.718641))+0-0-0</f>
        <v>837.20048600000007</v>
      </c>
      <c r="Y153" s="3">
        <f>0+(979.2-121.4)+(0+(-0.499392--0.061914))+0-0-0</f>
        <v>857.36252200000001</v>
      </c>
      <c r="Z153" s="3">
        <f>0+(1043.6-84.1)+(0+(0-0))+0-0-0</f>
        <v>959.49999999999989</v>
      </c>
      <c r="AA153" s="3">
        <f>0+(1021.8-59.7)+(0+(0-0))+0-0-0</f>
        <v>962.09999999999991</v>
      </c>
      <c r="AB153" s="3">
        <f>0+(1036.3-79.6)+(0+(-1.057026--0.081192))+0-0-0</f>
        <v>955.72416599999997</v>
      </c>
      <c r="AC153" s="3">
        <f>0+(1065.8-140.9)+(0+(-1.087116--0.143718))+0-0-0</f>
        <v>923.95660199999998</v>
      </c>
      <c r="AD153">
        <f t="shared" si="2"/>
        <v>20405.833513999998</v>
      </c>
      <c r="AE153" s="3">
        <f>0+(1044.9-60)+(0+(0-0))+0-0-0</f>
        <v>984.90000000000009</v>
      </c>
    </row>
    <row r="154" spans="1:31" s="2" customFormat="1" x14ac:dyDescent="0.25">
      <c r="A154">
        <v>89</v>
      </c>
      <c r="B154">
        <v>5</v>
      </c>
      <c r="C154">
        <v>30</v>
      </c>
      <c r="D154">
        <v>1</v>
      </c>
      <c r="E154">
        <v>1</v>
      </c>
      <c r="F154" s="3">
        <f>0+(1058.1-208.7)+(0+(-1.618893--0.319311))+0-0-0</f>
        <v>848.10041799999988</v>
      </c>
      <c r="G154" s="3">
        <f>0+(1113.3-332.8)+(0+(-1.135566--0.339456))+0-0-0</f>
        <v>779.70389</v>
      </c>
      <c r="H154" s="3">
        <f>0+(1120.2-415.2)+(0+(-1.713906--0.635256))+0-0-0</f>
        <v>703.92134999999996</v>
      </c>
      <c r="I154" s="3">
        <f>0+(1117.3-400)+(0+(-0.569823--0.204))+0-0-0</f>
        <v>716.93417699999998</v>
      </c>
      <c r="J154" s="3">
        <f>0+(1124.6-359.8)+(0+(-2.86773--0.91749))+0-0-0</f>
        <v>762.84975999999995</v>
      </c>
      <c r="K154" s="3">
        <f>0+(1139.4-390.1)+(0+(-1.743282--0.596853))+0-0-0</f>
        <v>748.15357100000006</v>
      </c>
      <c r="L154" s="3">
        <f>0+(1126.2-348)+(0+(-1.723086--0.53244))+0-0-0</f>
        <v>777.00935400000003</v>
      </c>
      <c r="M154" s="3">
        <f>0+(1189.9-397.4)+(0+(2.427396-0.810696))+0-0-0</f>
        <v>794.11670000000015</v>
      </c>
      <c r="N154" s="3">
        <f>0+(1279.7-429.8)+(0+(1.305294-0.438396))+0-0-0</f>
        <v>850.76689800000008</v>
      </c>
      <c r="O154" s="3">
        <f>0+(1261.2-355.5)+(0+(0.643212-0.181305))+0-0-0</f>
        <v>906.16190700000004</v>
      </c>
      <c r="P154" s="3">
        <f>0+(1215.1-249.1)+(0+(1.859103-0.381123))+0-0-0</f>
        <v>967.47797999999989</v>
      </c>
      <c r="Q154" s="3">
        <f>0+(1200.7-126.4)+(0+(2.449428-0.257856))+0-0-0</f>
        <v>1076.4915719999999</v>
      </c>
      <c r="R154" s="3">
        <f>0+(1133.8-96.3)+(0+(1.156476-0.098226))+0-0-0</f>
        <v>1038.55825</v>
      </c>
      <c r="S154" s="3">
        <f>0+(1120.1-104.9)+(0+(-0.571251--0.053499))+0-0-0</f>
        <v>1014.682248</v>
      </c>
      <c r="T154" s="3">
        <f>0+(1134.2-104.9)+(0+(0.578442-0.053499))+0-0-0</f>
        <v>1029.8249429999998</v>
      </c>
      <c r="U154" s="3">
        <f>0+(1119.6-101.8)+(0+(0-0))+0-0-0</f>
        <v>1017.8</v>
      </c>
      <c r="V154" s="3">
        <f>0+(1124-105.7)+(0+(0-0))+0-0-0</f>
        <v>1018.3</v>
      </c>
      <c r="W154" s="3">
        <f>0+(1107.9-142.4)+(0+(0-0))+0-0-0</f>
        <v>965.50000000000011</v>
      </c>
      <c r="X154" s="3">
        <f>0+(1123.7-142.3)+(0+(0-0))+0-0-0</f>
        <v>981.40000000000009</v>
      </c>
      <c r="Y154" s="3">
        <f>0+(1130.1-148.4)+(0+(0.576351-0.075684))+0-0-0</f>
        <v>982.20066699999995</v>
      </c>
      <c r="Z154" s="3">
        <f>0+(1141.3-89.4)+(0+(0-0))+0-0-0</f>
        <v>1051.8999999999999</v>
      </c>
      <c r="AA154" s="3">
        <f>0+(1126.4-76.2)+(0+(-1.148928--0.077724))+0-0-0</f>
        <v>1049.128796</v>
      </c>
      <c r="AB154" s="3">
        <f>0+(1167.7-164.6)+(0+(0-0))+0-0-0</f>
        <v>1003.1</v>
      </c>
      <c r="AC154" s="3">
        <f>0+(1194-244.9)+(0+(-1.82682--0.374697))+0-0-0</f>
        <v>947.64787699999999</v>
      </c>
      <c r="AD154">
        <f t="shared" si="2"/>
        <v>22031.730358000001</v>
      </c>
      <c r="AE154" s="3">
        <f>0+(1158.8-76.8)+(0+(0-0))+0-0-0</f>
        <v>1082</v>
      </c>
    </row>
    <row r="155" spans="1:31" s="2" customFormat="1" x14ac:dyDescent="0.25">
      <c r="A155">
        <v>89</v>
      </c>
      <c r="B155">
        <v>5</v>
      </c>
      <c r="C155">
        <v>31</v>
      </c>
      <c r="D155">
        <v>2</v>
      </c>
      <c r="E155">
        <v>1</v>
      </c>
      <c r="F155" s="3">
        <f>0+(1199.3-308.8)+(0+(-1.223286--0.314976))+0-0-0</f>
        <v>889.59168999999997</v>
      </c>
      <c r="G155" s="3">
        <f>0+(1234.3-426)+(0+(-1.258986--0.43452))+0-0-0</f>
        <v>807.47553399999993</v>
      </c>
      <c r="H155" s="3">
        <f>0+(1284.7-523.8)+(0+(0.655197-0.267138))+0-0-0</f>
        <v>761.28805900000009</v>
      </c>
      <c r="I155" s="3">
        <f>0+(1309.2-570.2)+(0+(-0.667692--0.290802))+0-0-0</f>
        <v>738.62311</v>
      </c>
      <c r="J155" s="3">
        <f>0+(1305-520.8)+(0+(-1.3311--0.531216))+0-0-0</f>
        <v>783.40011600000003</v>
      </c>
      <c r="K155" s="3">
        <f>0+(1280.2-492.3)+(0+(-0.652902--0.251073))+0-0-0</f>
        <v>787.49817100000007</v>
      </c>
      <c r="L155" s="3">
        <f>0+(1265.3-458.8)+(0+(-3.871818--1.403928))+0-0-0</f>
        <v>804.03210999999999</v>
      </c>
      <c r="M155" s="3">
        <f>0+(1293.7-485.1)+(0+(0-0))+0-0-0</f>
        <v>808.6</v>
      </c>
      <c r="N155" s="3">
        <f>0+(1346.9-461.9)+(0+(0-0))+0-0-0</f>
        <v>885.00000000000011</v>
      </c>
      <c r="O155" s="3">
        <f>0+(1404-466)+(0+(0-0))+0-0-0</f>
        <v>938</v>
      </c>
      <c r="P155" s="3">
        <f>0+(1415.3-462.2)+(0+(1.443606-0.471444))+0-0-0</f>
        <v>954.07216199999993</v>
      </c>
      <c r="Q155" s="3">
        <f>0+(1448.5-397.6)+(0+(-1.47747--0.405552))+0-0-0</f>
        <v>1049.828082</v>
      </c>
      <c r="R155" s="3">
        <f>0+(1340.9-329)+(0+(1.367718-0.33558))+0-0-0</f>
        <v>1012.9321380000001</v>
      </c>
      <c r="S155" s="3">
        <f>0+(1347-368.3)+(0+(-2.06091--0.563499))+0-0-0</f>
        <v>977.20258899999999</v>
      </c>
      <c r="T155" s="3">
        <f>0+(1415.3-403.7)+(0+(-0.721803--0.205887))+0-0-0</f>
        <v>1011.084084</v>
      </c>
      <c r="U155" s="3">
        <f>0+(1427.1-413.4)+(0+(0-0))+0-0-0</f>
        <v>1013.6999999999999</v>
      </c>
      <c r="V155" s="3">
        <f>0+(1426.6-427.6)+(0+(-1.455132--0.436152))+0-0-0</f>
        <v>997.98101999999983</v>
      </c>
      <c r="W155" s="3">
        <f>0+(1430-449.9)+(0+(-2.1879--0.688347))+0-0-0</f>
        <v>978.60044700000003</v>
      </c>
      <c r="X155" s="3">
        <f>0+(1399.2-458.7)+(0+(-1.427184--0.467874))+0-0-0</f>
        <v>939.54069000000004</v>
      </c>
      <c r="Y155" s="3">
        <f>0+(1413.3-437.2)+(0+(-1.441566--0.445944))+0-0-0</f>
        <v>975.10437799999988</v>
      </c>
      <c r="Z155" s="3">
        <f>0+(1307.1-282)+(0+(-0.666621--0.14382))+0-0-0</f>
        <v>1024.5771989999998</v>
      </c>
      <c r="AA155" s="3">
        <f>0+(1223.1-195.9)+(0+(-1.871343--0.299727))+0-0-0</f>
        <v>1025.6283839999999</v>
      </c>
      <c r="AB155" s="3">
        <f>0+(1292.5-279.1)+(0+(0-0))+0-0-0</f>
        <v>1013.4</v>
      </c>
      <c r="AC155" s="3">
        <f>0+(1371.5-395.6)+(0+(-0.699465--0.201756))+0-0-0</f>
        <v>975.40229099999999</v>
      </c>
      <c r="AD155">
        <f t="shared" si="2"/>
        <v>22152.562254</v>
      </c>
      <c r="AE155" s="3">
        <f>0+(1220.4-194.2)+(0+(0-0))+0-0-0</f>
        <v>1026.2</v>
      </c>
    </row>
    <row r="156" spans="1:31" s="2" customFormat="1" x14ac:dyDescent="0.25">
      <c r="A156">
        <v>89</v>
      </c>
      <c r="B156">
        <v>6</v>
      </c>
      <c r="C156">
        <v>1</v>
      </c>
      <c r="D156">
        <v>3</v>
      </c>
      <c r="E156">
        <v>1</v>
      </c>
      <c r="F156" s="3">
        <f>0+(1388-455.1)+(0+(0-0))+0-0-0</f>
        <v>932.9</v>
      </c>
      <c r="G156" s="3">
        <f>0+(1423.1-539.7)+(0+(-2.903124--1.100988))+0-0-0</f>
        <v>881.59786399999984</v>
      </c>
      <c r="H156" s="3">
        <f>0+(1484.7-618.8)+(0+(2.271591-0.946764))+0-0-0</f>
        <v>867.22482700000012</v>
      </c>
      <c r="I156" s="3">
        <f>0+(1524-658.1)+(0+(-1.55448--0.671262))+0-0-0</f>
        <v>865.01678199999992</v>
      </c>
      <c r="J156" s="3">
        <f>0+(1495-615.2)+(0+(-0.76245--0.313752))+0-0-0</f>
        <v>879.35130199999992</v>
      </c>
      <c r="K156" s="3">
        <f>0+(1435.8-584.9)+(0+(-0.732258--0.298299))+0-0-0</f>
        <v>850.46604100000002</v>
      </c>
      <c r="L156" s="3">
        <f>0+(1390.8-546.7)+(0+(-1.418616--0.557634))+0-0-0</f>
        <v>843.23901799999987</v>
      </c>
      <c r="M156" s="3">
        <f>0+(1413.6-536.2)+(0+(1.441872-0.546924))+0-0-0</f>
        <v>878.29494799999986</v>
      </c>
      <c r="N156" s="3">
        <f>0+(1465.7-545.7)+(0+(0.747507-0.278307))+0-0-0</f>
        <v>920.4692</v>
      </c>
      <c r="O156" s="3">
        <f>0+(1511.9-553.6)+(0+(0.771069-0.282336))+0-0-0</f>
        <v>958.78873300000009</v>
      </c>
      <c r="P156" s="3">
        <f>0+(1551.5-558.9)+(0+(0-0))+0-0-0</f>
        <v>992.6</v>
      </c>
      <c r="Q156" s="3">
        <f>0+(1490.3-502.8)+(0+(0.760053-0.256428))+0-0-0</f>
        <v>988.00362500000006</v>
      </c>
      <c r="R156" s="3">
        <f>0+(1486.7-459.3)+(0+(0.758217-0.234243))+0-0-0</f>
        <v>1027.923974</v>
      </c>
      <c r="S156" s="3">
        <f>0+(1470.6-477.6)+(0+(0-0))+0-0-0</f>
        <v>992.99999999999989</v>
      </c>
      <c r="T156" s="3">
        <f>0+(1482.4-478.8)+(0+(0-0))+0-0-0</f>
        <v>1003.6000000000001</v>
      </c>
      <c r="U156" s="3">
        <f>0+(1478.1-464.6)+(0+(0.753831-0.236946))+0-0-0</f>
        <v>1014.0168849999999</v>
      </c>
      <c r="V156" s="3">
        <f>0+(1485.9-473.8)+(0+(0.757809-0.241638))+0-0-0</f>
        <v>1012.6161710000001</v>
      </c>
      <c r="W156" s="3">
        <f>0+(1491.9-504.3)+(0+(-0.760869--0.257193))+0-0-0</f>
        <v>987.0963240000001</v>
      </c>
      <c r="X156" s="3">
        <f>0+(1465.4-500.6)+(0+(-2.242062--0.765918))+0-0-0</f>
        <v>963.32385600000009</v>
      </c>
      <c r="Y156" s="3">
        <f>0+(1406.6-414.4)+(0+(-2.152098--0.634032))+0-0-0</f>
        <v>990.68193399999996</v>
      </c>
      <c r="Z156" s="3">
        <f>0+(1424.3-364.4)+(0+(-0.726393--0.185844))+0-0-0</f>
        <v>1059.359451</v>
      </c>
      <c r="AA156" s="3">
        <f>0+(1414.5-359.5)+(0+(-1.44279--0.36669))+0-0-0</f>
        <v>1053.9239</v>
      </c>
      <c r="AB156" s="3">
        <f>0+(1449.4-413.8)+(0+(0-0))+0-0-0</f>
        <v>1035.6000000000001</v>
      </c>
      <c r="AC156" s="3">
        <f>0+(1422.6-436.2)+(0+(-1.451052--0.444924))+0-0-0</f>
        <v>985.39387199999987</v>
      </c>
      <c r="AD156">
        <f t="shared" si="2"/>
        <v>22984.488706999997</v>
      </c>
      <c r="AE156" s="3">
        <f>0+(1421.5-341.9)+(0+(0-0))+0-0-0</f>
        <v>1079.5999999999999</v>
      </c>
    </row>
    <row r="157" spans="1:31" s="2" customFormat="1" x14ac:dyDescent="0.25">
      <c r="A157">
        <v>89</v>
      </c>
      <c r="B157">
        <v>6</v>
      </c>
      <c r="C157">
        <v>2</v>
      </c>
      <c r="D157">
        <v>4</v>
      </c>
      <c r="E157">
        <v>1</v>
      </c>
      <c r="F157" s="3">
        <f>0+(1324.2-416.7)+(0+(-0.675342--0.212517))+0-0-0</f>
        <v>907.03717500000005</v>
      </c>
      <c r="G157" s="3">
        <f>0+(1293.9-436.1)+(0+(-1.979667--0.667233))+0-0-0</f>
        <v>856.48756600000002</v>
      </c>
      <c r="H157" s="3">
        <f>0+(1368.3-470)+(0+(-0.697833--0.2397))+0-0-0</f>
        <v>897.84186699999998</v>
      </c>
      <c r="I157" s="3">
        <f>0+(1378.4-512.3)+(0+(0.702984-0.261273))+0-0-0</f>
        <v>866.54171100000019</v>
      </c>
      <c r="J157" s="3">
        <f>0+(1380.8-482.8)+(0+(0-0))+0-0-0</f>
        <v>898</v>
      </c>
      <c r="K157" s="3">
        <f>0+(1287.4-456.6)+(0+(-3.28287--1.16433))+0-0-0</f>
        <v>828.68146000000002</v>
      </c>
      <c r="L157" s="3">
        <f>0+(1257.9-407.4)+(0+(0-0))+0-0-0</f>
        <v>850.50000000000011</v>
      </c>
      <c r="M157" s="3">
        <f>0+(1334-438)+(0+(-1.36068--0.44676))+0-0-0</f>
        <v>895.08608000000004</v>
      </c>
      <c r="N157" s="3">
        <f>0+(1363.9-427.3)+(0+(0-0))+0-0-0</f>
        <v>936.60000000000014</v>
      </c>
      <c r="O157" s="3">
        <f>0+(1368.5-420.7)+(0+(0.697935-0.214557))+0-0-0</f>
        <v>948.28337799999997</v>
      </c>
      <c r="P157" s="3">
        <f>0+(1390.3-391)+(0+(0.709053-0.19941))+0-0-0</f>
        <v>999.80964299999994</v>
      </c>
      <c r="Q157" s="3">
        <f>0+(1359.1-342.5)+(0+(0-0))+0-0-0</f>
        <v>1016.5999999999999</v>
      </c>
      <c r="R157" s="3">
        <f>0+(1347.8-326.6)+(0+(-0.687378--0.166566))+0-0-0</f>
        <v>1020.679188</v>
      </c>
      <c r="S157" s="3">
        <f>0+(1361-353)+(0+(-0.69411--0.18003))+0-0-0</f>
        <v>1007.48592</v>
      </c>
      <c r="T157" s="3">
        <f>0+(1383.8-368.3)+(0+(0.705738-0.187833))+0-0-0</f>
        <v>1016.017905</v>
      </c>
      <c r="U157" s="3">
        <f>0+(1379.7-368.4)+(0+(-1.407294--0.375768))+0-0-0</f>
        <v>1010.2684740000001</v>
      </c>
      <c r="V157" s="3">
        <f>0+(1387.7-388.3)+(0+(0-0))+0-0-0</f>
        <v>999.40000000000009</v>
      </c>
      <c r="W157" s="3">
        <f>0+(1381-415.1)+(0+(-2.81724--0.846804))+0-0-0</f>
        <v>963.92956400000003</v>
      </c>
      <c r="X157" s="3">
        <f>0+(1382.6-408.4)+(0+(1.410252-0.416568))+0-0-0</f>
        <v>975.19368399999996</v>
      </c>
      <c r="Y157" s="3">
        <f>0+(1366.8-382.9)+(0+(0.697068-0.195279))+0-0-0</f>
        <v>984.40178900000001</v>
      </c>
      <c r="Z157" s="3">
        <f>0+(1375.9-327.3)+(0+(-1.403418--0.333846))+0-0-0</f>
        <v>1047.530428</v>
      </c>
      <c r="AA157" s="3">
        <f>0+(1352.6-304.7)+(0+(-2.069478--0.466191))+0-0-0</f>
        <v>1046.296713</v>
      </c>
      <c r="AB157" s="3">
        <f>0+(1381.4-334.8)+(0+(-2.113542--0.512244))+0-0-0</f>
        <v>1044.9987020000001</v>
      </c>
      <c r="AC157" s="3">
        <f>0+(1300-344)+(0+(-1.326--0.35088))+0-0-0</f>
        <v>955.02488000000005</v>
      </c>
      <c r="AD157">
        <f t="shared" si="2"/>
        <v>22972.696126999999</v>
      </c>
      <c r="AE157" s="3">
        <f>0+(1372.9-320.2)+(0+(0-0))+0-0-0</f>
        <v>1052.7</v>
      </c>
    </row>
    <row r="158" spans="1:31" s="2" customFormat="1" x14ac:dyDescent="0.25">
      <c r="A158">
        <v>89</v>
      </c>
      <c r="B158">
        <v>6</v>
      </c>
      <c r="C158">
        <v>3</v>
      </c>
      <c r="D158">
        <v>5</v>
      </c>
      <c r="E158">
        <v>1</v>
      </c>
      <c r="F158" s="3">
        <f>0+(1305.1-359.1)+(0+(-0.665601--0.183141))+0-0-0</f>
        <v>945.51753999999994</v>
      </c>
      <c r="G158" s="3">
        <f>0+(1384.4-459)+(0+(-1.412088--0.46818))+0-0-0</f>
        <v>924.45609200000013</v>
      </c>
      <c r="H158" s="3">
        <f>0+(1358.2-473.1)+(0+(0-0))+0-0-0</f>
        <v>885.1</v>
      </c>
      <c r="I158" s="3">
        <f>0+(1373.6-490.3)+(0+(-2.802144--1.000212))+0-0-0</f>
        <v>881.49806799999999</v>
      </c>
      <c r="J158" s="3">
        <f>0+(1415.2-513.5)+(0+(0-0))+0-0-0</f>
        <v>901.7</v>
      </c>
      <c r="K158" s="3">
        <f>0+(1309-455.6)+(0+(-0.66759--0.232356))+0-0-0</f>
        <v>852.96476599999994</v>
      </c>
      <c r="L158" s="3">
        <f>0+(1292.5-435.2)+(0+(-3.295875--1.10976))+0-0-0</f>
        <v>855.11388499999998</v>
      </c>
      <c r="M158" s="3">
        <f>0+(1291.7-410)+(0+(-1.976301--0.6273))+0-0-0</f>
        <v>880.350999</v>
      </c>
      <c r="N158" s="3">
        <f>0+(1385.3-429.8)+(0+(0.706503-0.219198))+0-0-0</f>
        <v>955.98730499999999</v>
      </c>
      <c r="O158" s="3">
        <f>0+(1428.3-437.3)+(0+(-0.728433--0.223023))+0-0-0</f>
        <v>990.49459000000002</v>
      </c>
      <c r="P158" s="3">
        <f>0+(1431.6-432.9)+(0+(0-0))+0-0-0</f>
        <v>998.69999999999993</v>
      </c>
      <c r="Q158" s="3">
        <f>0+(1406.4-378.9)+(0+(0-0))+0-0-0</f>
        <v>1027.5</v>
      </c>
      <c r="R158" s="3">
        <f>0+(1381.5-373)+(0+(0-0))+0-0-0</f>
        <v>1008.5</v>
      </c>
      <c r="S158" s="3">
        <f>0+(1355.9-382.6)+(0+(-1.383018--0.390252))+0-0-0</f>
        <v>972.30723400000011</v>
      </c>
      <c r="T158" s="3">
        <f>0+(1389.1-391.5)+(0+(0-0))+0-0-0</f>
        <v>997.59999999999991</v>
      </c>
      <c r="U158" s="3">
        <f>0+(1408.9-414.2)+(0+(-0.718539--0.211242))+0-0-0</f>
        <v>994.19270300000005</v>
      </c>
      <c r="V158" s="3">
        <f>0+(1418.8-440.6)+(0+(0.723588-0.224706))+0-0-0</f>
        <v>978.69888199999991</v>
      </c>
      <c r="W158" s="3">
        <f>0+(1447.6-475.2)+(0+(-0.738276--0.242352))+0-0-0</f>
        <v>971.90407599999992</v>
      </c>
      <c r="X158" s="3">
        <f>0+(1312.8-380.9)+(0+(-1.339056--0.388518))+0-0-0</f>
        <v>930.94946199999993</v>
      </c>
      <c r="Y158" s="3">
        <f>0+(1314.6-371.2)+(0+(-0.670446--0.189312))+0-0-0</f>
        <v>942.91886599999987</v>
      </c>
      <c r="Z158" s="3">
        <f>0+(1341.7-336.7)+(0+(-2.052801--0.515151))+0-0-0</f>
        <v>1003.46235</v>
      </c>
      <c r="AA158" s="3">
        <f>0+(1360.6-352.7)+(0+(-0.693906--0.179877))+0-0-0</f>
        <v>1007.3859709999998</v>
      </c>
      <c r="AB158" s="3">
        <f>0+(1364.8-370.9)+(0+(-2.088144--0.567477))+0-0-0</f>
        <v>992.37933299999997</v>
      </c>
      <c r="AC158" s="3">
        <f>0+(1331-365.1)+(0+(-0.67881--0.186201))+0-0-0</f>
        <v>965.40739099999996</v>
      </c>
      <c r="AD158">
        <f t="shared" si="2"/>
        <v>22865.089513000006</v>
      </c>
      <c r="AE158" s="3">
        <f>0+(1363.8-343.9)+(0+(0-0))+0-0-0</f>
        <v>1019.9</v>
      </c>
    </row>
    <row r="159" spans="1:31" s="2" customFormat="1" x14ac:dyDescent="0.25">
      <c r="A159">
        <v>89</v>
      </c>
      <c r="B159">
        <v>6</v>
      </c>
      <c r="C159">
        <v>4</v>
      </c>
      <c r="D159">
        <v>6</v>
      </c>
      <c r="E159">
        <v>1</v>
      </c>
      <c r="F159" s="3">
        <f>0+(1310.7-407)+(0+(-2.673828--0.83028))+0-0-0</f>
        <v>901.85645199999999</v>
      </c>
      <c r="G159" s="3">
        <f>0+(1373.5-517.7)+(0+(-4.20291--1.584162))+0-0-0</f>
        <v>853.18125199999997</v>
      </c>
      <c r="H159" s="3">
        <f>0+(1399.6-563.3)+(0+(-1.427592--0.574566))+0-0-0</f>
        <v>835.44697399999995</v>
      </c>
      <c r="I159" s="3">
        <f>0+(1400.1-574.1)+(0+(2.856204-1.171164))+0-0-0</f>
        <v>827.68503999999984</v>
      </c>
      <c r="J159" s="3">
        <f>0+(1376.4-515.9)+(0+(0-0))+0-0-0</f>
        <v>860.50000000000011</v>
      </c>
      <c r="K159" s="3">
        <f>0+(1349.8-506.4)+(0+(-3.44199--1.29132))+0-0-0</f>
        <v>841.24932999999999</v>
      </c>
      <c r="L159" s="3">
        <f>0+(1317.5-511.1)+(0+(-3.359625--1.303305))+0-0-0</f>
        <v>804.34367999999995</v>
      </c>
      <c r="M159" s="3">
        <f>0+(1322.4-514.7)+(0+(0-0))+0-0-0</f>
        <v>807.7</v>
      </c>
      <c r="N159" s="3">
        <f>0+(1361.9-502.3)+(0+(-0.694569--0.256173))+0-0-0</f>
        <v>859.16160400000012</v>
      </c>
      <c r="O159" s="3">
        <f>0+(1374.6-472.6)+(0+(-0.701046--0.241026))+0-0-0</f>
        <v>901.5399799999999</v>
      </c>
      <c r="P159" s="3">
        <f>0+(1359.4-416.7)+(0+(-2.079882--0.637551))+0-0-0</f>
        <v>941.25766900000008</v>
      </c>
      <c r="Q159" s="3">
        <f>0+(1361-413.3)+(0+(0-0))+0-0-0</f>
        <v>947.7</v>
      </c>
      <c r="R159" s="3">
        <f>0+(1347.6-416.4)+(0+(1.374552-0.424728))+0-0-0</f>
        <v>932.14982399999997</v>
      </c>
      <c r="S159" s="3">
        <f>0+(1354.1-439.5)+(0+(0.690591-0.224145))+0-0-0</f>
        <v>915.06644599999993</v>
      </c>
      <c r="T159" s="3">
        <f>0+(1359.8-443.2)+(0+(-1.386996--0.452064))+0-0-0</f>
        <v>915.66506799999991</v>
      </c>
      <c r="U159" s="3">
        <f>0+(1372.7-459)+(0+(-2.100231--0.70227))+0-0-0</f>
        <v>912.30203900000004</v>
      </c>
      <c r="V159" s="3">
        <f>0+(1381.2-474.4)+(0+(-2.817648--0.967776))+0-0-0</f>
        <v>904.95012800000006</v>
      </c>
      <c r="W159" s="3">
        <f>0+(1387.6-495.2)+(0+(-3.53838--1.26276))+0-0-0</f>
        <v>890.12437999999986</v>
      </c>
      <c r="X159" s="3">
        <f>0+(1316.9-439.2)+(0+(-1.343238--0.447984))+0-0-0</f>
        <v>876.80474600000002</v>
      </c>
      <c r="Y159" s="3">
        <f>0+(1262.4-357.3)+(0+(0.643824-0.182223))+0-0-0</f>
        <v>905.56160100000011</v>
      </c>
      <c r="Z159" s="3">
        <f>0+(1240.2-286.1)+(0+(-1.897506--0.437733))+0-0-0</f>
        <v>952.64022699999998</v>
      </c>
      <c r="AA159" s="3">
        <f>0+(1330.1-365.9)+(0+(-3.391755--0.933045))+0-0-0</f>
        <v>961.74128999999994</v>
      </c>
      <c r="AB159" s="3">
        <f>0+(1348.3-395)+(0+(-0.687633--0.20145))+0-0-0</f>
        <v>952.81381699999997</v>
      </c>
      <c r="AC159" s="3">
        <f>0+(1345.9-410.2)+(0+(-2.745636--0.836808))+0-0-0</f>
        <v>933.79117200000007</v>
      </c>
      <c r="AD159">
        <f t="shared" si="2"/>
        <v>21435.232719</v>
      </c>
      <c r="AE159" s="3">
        <f>0+(1304-272.4)+(0+(0-0))+0-0-0</f>
        <v>1031.5999999999999</v>
      </c>
    </row>
    <row r="160" spans="1:31" s="2" customFormat="1" x14ac:dyDescent="0.25">
      <c r="A160">
        <v>89</v>
      </c>
      <c r="B160">
        <v>6</v>
      </c>
      <c r="C160">
        <v>5</v>
      </c>
      <c r="D160">
        <v>7</v>
      </c>
      <c r="E160">
        <v>1</v>
      </c>
      <c r="F160" s="3">
        <f>0+(1230.6-351.1)+(0+(-0.627606--0.179061))+0-0-0</f>
        <v>879.05145499999992</v>
      </c>
      <c r="G160" s="3">
        <f>0+(1150.8-331.2)+(0+(-0.586908--0.168912))+0-0-0</f>
        <v>819.18200399999989</v>
      </c>
      <c r="H160" s="3">
        <f>0+(1189.9-389)+(0+(-3.641094--1.19034))+0-0-0</f>
        <v>798.44924600000013</v>
      </c>
      <c r="I160" s="3">
        <f>0+(1152.2-376.8)+(0+(1.762866-0.576504))+0-0-0</f>
        <v>776.58636200000012</v>
      </c>
      <c r="J160" s="3">
        <f>0+(1111.7-303.9)+(0+(-2.267868--0.619956))+0-0-0</f>
        <v>806.15208800000005</v>
      </c>
      <c r="K160" s="3">
        <f>0+(1125.8-364.3)+(0+(-0.574158--0.185793))+0-0-0</f>
        <v>761.11163499999998</v>
      </c>
      <c r="L160" s="3">
        <f>0+(1095.6-361.9)+(0+(0-0))+0-0-0</f>
        <v>733.69999999999993</v>
      </c>
      <c r="M160" s="3">
        <f>0+(1071.4-357.4)+(0+(0-0))+0-0-0</f>
        <v>714.00000000000011</v>
      </c>
      <c r="N160" s="3">
        <f>0+(1048.8-314.9)+(0+(0-0))+0-0-0</f>
        <v>733.9</v>
      </c>
      <c r="O160" s="3">
        <f>0+(1095.3-340.5)+(0+(-1.117206--0.34731))+0-0-0</f>
        <v>754.03010399999994</v>
      </c>
      <c r="P160" s="3">
        <f>0+(1136-354.6)+(0+(-1.15872--0.361692))+0-0-0</f>
        <v>780.60297200000002</v>
      </c>
      <c r="Q160" s="3">
        <f>0+(1102.5-300.2)+(0+(0-0))+0-0-0</f>
        <v>802.3</v>
      </c>
      <c r="R160" s="3">
        <f>0+(1081.1-261.9)+(0+(-0.551361--0.133569))+0-0-0</f>
        <v>818.78220799999997</v>
      </c>
      <c r="S160" s="3">
        <f>0+(1067.2-266.8)+(0+(-1.088544--0.272136))+0-0-0</f>
        <v>799.58359200000007</v>
      </c>
      <c r="T160" s="3">
        <f>0+(1081-280.3)+(0+(-1.65393--0.428859))+0-0-0</f>
        <v>799.47492900000009</v>
      </c>
      <c r="U160" s="3">
        <f>0+(1078.1-282.6)+(0+(-2.199324--0.576504))+0-0-0</f>
        <v>793.87717999999984</v>
      </c>
      <c r="V160" s="3">
        <f>0+(1065.6-278.2)+(0+(-1.086912--0.283764))+0-0-0</f>
        <v>786.5968519999999</v>
      </c>
      <c r="W160" s="3">
        <f>0+(1067.2-282.4)+(0+(1.088544-0.288048))+0-0-0</f>
        <v>785.60049600000002</v>
      </c>
      <c r="X160" s="3">
        <f>0+(956.6-167.9)+(0+(0-0))+0-0-0</f>
        <v>788.7</v>
      </c>
      <c r="Y160" s="3">
        <f>0+(1004-176.7)+(0+(0-0))+0-0-0</f>
        <v>827.3</v>
      </c>
      <c r="Z160" s="3">
        <f>0+(1134.7-240.5)+(0+(-0.578697--0.122655))+0-0-0</f>
        <v>893.74395800000002</v>
      </c>
      <c r="AA160" s="3">
        <f>0+(1154-252)+(0+(-0.58854--0.12852))+0-0-0</f>
        <v>901.53998000000001</v>
      </c>
      <c r="AB160" s="3">
        <f>0+(1188.9-296.7)+(0+(-1.212678--0.302634))+0-0-0</f>
        <v>891.28995600000007</v>
      </c>
      <c r="AC160" s="3">
        <f>0+(1116.7-247.8)+(0+(0-0))+0-0-0</f>
        <v>868.90000000000009</v>
      </c>
      <c r="AD160">
        <f t="shared" si="2"/>
        <v>19314.455017000004</v>
      </c>
      <c r="AE160" s="3">
        <f>0+(1180.3-249.5)+(0+(0-0))+0-0-0</f>
        <v>930.8</v>
      </c>
    </row>
    <row r="161" spans="1:31" s="2" customFormat="1" x14ac:dyDescent="0.25">
      <c r="A161">
        <v>89</v>
      </c>
      <c r="B161">
        <v>6</v>
      </c>
      <c r="C161">
        <v>6</v>
      </c>
      <c r="D161">
        <v>1</v>
      </c>
      <c r="E161">
        <v>1</v>
      </c>
      <c r="F161" s="3">
        <f>0+(1116-294.6)+(0+(-0.56916--0.150246))+0-0-0</f>
        <v>820.981086</v>
      </c>
      <c r="G161" s="3">
        <f>0+(1109.3-330.7)+(0+(0-0))+0-0-0</f>
        <v>778.59999999999991</v>
      </c>
      <c r="H161" s="3">
        <f>0+(1116.6-362)+(0+(-2.277864--0.73848))+0-0-0</f>
        <v>753.06061599999987</v>
      </c>
      <c r="I161" s="3">
        <f>0+(1149.9-390.2)+(0+(0-0))+0-0-0</f>
        <v>759.7</v>
      </c>
      <c r="J161" s="3">
        <f>0+(1103.4-313.4)+(0+(-1.125468--0.319668))+0-0-0</f>
        <v>789.19420000000014</v>
      </c>
      <c r="K161" s="3">
        <f>0+(1085-309)+(0+(-2.76675--0.78795))+0-0-0</f>
        <v>774.02120000000002</v>
      </c>
      <c r="L161" s="3">
        <f>0+(1108.4-326.2)+(0+(-3.391704--0.998172))+0-0-0</f>
        <v>779.806468</v>
      </c>
      <c r="M161" s="3">
        <f>0+(1136.9-324.7)+(0+(0.579819-0.165597))+0-0-0</f>
        <v>812.61422200000004</v>
      </c>
      <c r="N161" s="3">
        <f>0+(1205.1-330.5)+(0+(0-0))+0-0-0</f>
        <v>874.59999999999991</v>
      </c>
      <c r="O161" s="3">
        <f>0+(1298.6-374.6)+(0+(-0.662286--0.191046))+0-0-0</f>
        <v>923.52875999999992</v>
      </c>
      <c r="P161" s="3">
        <f>0+(1332.8-366.4)+(0+(1.359456-0.373728))+0-0-0</f>
        <v>967.38572799999997</v>
      </c>
      <c r="Q161" s="3">
        <f>0+(1333.5-357.9)+(0+(0.680085-0.182529))+0-0-0</f>
        <v>976.09755600000005</v>
      </c>
      <c r="R161" s="3">
        <f>0+(1320-339.7)+(0+(0.6732-0.173247))+0-0-0</f>
        <v>980.79995299999996</v>
      </c>
      <c r="S161" s="3">
        <f>0+(1352.9-397.7)+(0+(0-0))+0-0-0</f>
        <v>955.2</v>
      </c>
      <c r="T161" s="3">
        <f>0+(1365-404)+(0+(0-0))+0-0-0</f>
        <v>961</v>
      </c>
      <c r="U161" s="3">
        <f>0+(1380-414.2)+(0+(-2.8152--0.844968))+0-0-0</f>
        <v>963.82976799999994</v>
      </c>
      <c r="V161" s="3">
        <f>0+(1383-424.2)+(0+(-3.52665--1.08171))+0-0-0</f>
        <v>956.35505999999998</v>
      </c>
      <c r="W161" s="3">
        <f>0+(1357.6-410.1)+(0+(-2.769504--0.836604))+0-0-0</f>
        <v>945.56709999999987</v>
      </c>
      <c r="X161" s="3">
        <f>0+(1271.4-333.5)+(0+(-1.945242--0.510255))+0-0-0</f>
        <v>936.46501300000011</v>
      </c>
      <c r="Y161" s="3">
        <f>0+(1262-306)+(0+(0.64362-0.15606))+0-0-0</f>
        <v>956.48756000000003</v>
      </c>
      <c r="Z161" s="3">
        <f>0+(1283.8-279.1)+(0+(-2.618952--0.569364))+0-0-0</f>
        <v>1002.650412</v>
      </c>
      <c r="AA161" s="3">
        <f>0+(1263.3-254.6)+(0+(-3.865698--0.779076))+0-0-0</f>
        <v>1005.6133779999999</v>
      </c>
      <c r="AB161" s="3">
        <f>0+(1108.7-124.5)+(0+(-1.130874--0.12699))+0-0-0</f>
        <v>983.19611600000007</v>
      </c>
      <c r="AC161" s="3">
        <f>0+(1101.7-143.8)+(0+(-1.123734--0.146676))+0-0-0</f>
        <v>956.92294200000003</v>
      </c>
      <c r="AD161">
        <f t="shared" si="2"/>
        <v>21613.677137999999</v>
      </c>
      <c r="AE161" s="3">
        <f>0+(1286.8-258.2)+(0+(0-0))+0-0-0</f>
        <v>1028.5999999999999</v>
      </c>
    </row>
    <row r="162" spans="1:31" s="2" customFormat="1" x14ac:dyDescent="0.25">
      <c r="A162">
        <v>89</v>
      </c>
      <c r="B162">
        <v>6</v>
      </c>
      <c r="C162">
        <v>7</v>
      </c>
      <c r="D162">
        <v>2</v>
      </c>
      <c r="E162">
        <v>1</v>
      </c>
      <c r="F162" s="3">
        <f>0+(1212.5-311)+(0+(-1.23675--0.31722))+0-0-0</f>
        <v>900.58046999999999</v>
      </c>
      <c r="G162" s="3">
        <f>0+(1293.1-481.4)+(0+(-2.637924--0.982056))+0-0-0</f>
        <v>810.04413199999988</v>
      </c>
      <c r="H162" s="3">
        <f>0+(1331.5-513.6)+(0+(-3.395325--1.30968))+0-0-0</f>
        <v>815.81435499999998</v>
      </c>
      <c r="I162" s="3">
        <f>0+(1363.1-462.7)+(0+(-1.390362--0.471954))+0-0-0</f>
        <v>899.48159199999986</v>
      </c>
      <c r="J162" s="3">
        <f>0+(1326.3-455.7)+(0+(2.705652-0.929628))+0-0-0</f>
        <v>872.37602399999992</v>
      </c>
      <c r="K162" s="3">
        <f>0+(1300.2-455.4)+(0+(-1.989306--0.696762))+0-0-0</f>
        <v>843.50745600000005</v>
      </c>
      <c r="L162" s="3">
        <f>0+(1322.9-497.9)+(0+(0-0))+0-0-0</f>
        <v>825.00000000000011</v>
      </c>
      <c r="M162" s="3">
        <f>0+(1283.8-437.7)+(0+(0-0))+0-0-0</f>
        <v>846.09999999999991</v>
      </c>
      <c r="N162" s="3">
        <f>0+(1270.2-404.8)+(0+(1.295604-0.412896))+0-0-0</f>
        <v>866.28270800000007</v>
      </c>
      <c r="O162" s="3">
        <f>0+(1315-384.7)+(0+(-0.67065--0.196197))+0-0-0</f>
        <v>929.82554699999991</v>
      </c>
      <c r="P162" s="3">
        <f>0+(1288.9-333.1)+(0+(0-0))+0-0-0</f>
        <v>955.80000000000007</v>
      </c>
      <c r="Q162" s="3">
        <f>0+(1312.7-340.5)+(0+(0.669477-0.173655))+0-0-0</f>
        <v>972.69582200000002</v>
      </c>
      <c r="R162" s="3">
        <f>0+(1352.5-382.4)+(0+(-2.069325--0.585072))+0-0-0</f>
        <v>968.61574700000006</v>
      </c>
      <c r="S162" s="3">
        <f>0+(1339.1-365.7)+(0+(-2.048823--0.559521))+0-0-0</f>
        <v>971.91069799999991</v>
      </c>
      <c r="T162" s="3">
        <f>0+(1353.3-395.6)+(0+(-2.070549--0.605268))+0-0-0</f>
        <v>956.23471899999993</v>
      </c>
      <c r="U162" s="3">
        <f>0+(1345.2-374.1)+(0+(-1.372104--0.381582))+0-0-0</f>
        <v>970.10947799999997</v>
      </c>
      <c r="V162" s="3">
        <f>0+(1317.5-332.9)+(0+(-5.3754--1.358232))+0-0-0</f>
        <v>980.58283200000005</v>
      </c>
      <c r="W162" s="3">
        <f>0+(1274.2-330.8)+(0+(-2.599368--0.674832))+0-0-0</f>
        <v>941.4754640000001</v>
      </c>
      <c r="X162" s="3">
        <f>0+(1254.6-354.4)+(0+(-1.279692--0.361488))+0-0-0</f>
        <v>899.28179599999999</v>
      </c>
      <c r="Y162" s="3">
        <f>0+(1256.5-296.3)+(0+(0.640815-0.151113))+0-0-0</f>
        <v>960.68970200000001</v>
      </c>
      <c r="Z162" s="3">
        <f>0+(1202.7-194.3)+(0+(-1.840131--0.297279))+0-0-0</f>
        <v>1006.8571480000001</v>
      </c>
      <c r="AA162" s="3">
        <f>0+(1207.2-202.7)+(0+(-3.694032--0.620262))+0-0-0</f>
        <v>1001.42623</v>
      </c>
      <c r="AB162" s="3">
        <f>0+(1259-272)+(0+(-1.92627--0.41616))+0-0-0</f>
        <v>985.48988999999995</v>
      </c>
      <c r="AC162" s="3">
        <f>0+(1200.2-250.7)+(0+(-1.224204--0.255714))+0-0-0</f>
        <v>948.53151000000003</v>
      </c>
      <c r="AD162">
        <f t="shared" si="2"/>
        <v>22128.713319999999</v>
      </c>
      <c r="AE162" s="3">
        <f>0+(1251.6-218.1)+(0+(0-0))+0-0-0</f>
        <v>1033.5</v>
      </c>
    </row>
    <row r="163" spans="1:31" s="2" customFormat="1" x14ac:dyDescent="0.25">
      <c r="A163">
        <v>89</v>
      </c>
      <c r="B163">
        <v>6</v>
      </c>
      <c r="C163">
        <v>8</v>
      </c>
      <c r="D163">
        <v>3</v>
      </c>
      <c r="E163">
        <v>1</v>
      </c>
      <c r="F163" s="3">
        <f>0+(1238.8-248.9)+(0+(-1.263576--0.253878))+0-0-0</f>
        <v>988.89030200000002</v>
      </c>
      <c r="G163" s="3">
        <f>0+(1293.8-298.6)+(0+(-0.659838--0.152286))+0-0-0</f>
        <v>994.6924479999999</v>
      </c>
      <c r="H163" s="3">
        <f>0+(1288.4-285.4)+(0+(0-0))+0-0-0</f>
        <v>1003.0000000000001</v>
      </c>
      <c r="I163" s="3">
        <f>0+(1291.9-288.3)+(0+(-1.317738--0.294066))+0-0-0</f>
        <v>1002.5763280000001</v>
      </c>
      <c r="J163" s="3">
        <f>0+(1263.7-287.5)+(0+(0.644487-0.146625))+0-0-0</f>
        <v>976.6978620000001</v>
      </c>
      <c r="K163" s="3">
        <f>0+(1252.6-301.4)+(0+(-2.555304--0.614856))+0-0-0</f>
        <v>949.25955199999999</v>
      </c>
      <c r="L163" s="3">
        <f>0+(1262.6-314)+(0+(-3.863556--0.96084))+0-0-0</f>
        <v>945.69728399999985</v>
      </c>
      <c r="M163" s="3">
        <f>0+(1236.4-283.4)+(0+(1.261128-0.289068))+0-0-0</f>
        <v>953.97206000000017</v>
      </c>
      <c r="N163" s="3">
        <f>0+(1211-240.1)+(0+(0.61761-0.122451))+0-0-0</f>
        <v>971.39515899999992</v>
      </c>
      <c r="O163" s="3">
        <f>0+(1315.6-251.6)+(0+(0-0))+0-0-0</f>
        <v>1064</v>
      </c>
      <c r="P163" s="3">
        <f>0+(1294.2-201.2)+(0+(2.640168-0.410448))+0-0-0</f>
        <v>1095.22972</v>
      </c>
      <c r="Q163" s="3">
        <f>0+(1189.9-87.5)+(0+(1.213698-0.08925))+0-0-0</f>
        <v>1103.5244480000001</v>
      </c>
      <c r="R163" s="3">
        <f>0+(1158.7-53)+(0+(-0.590937--0.02703))+0-0-0</f>
        <v>1105.1360930000001</v>
      </c>
      <c r="S163" s="3">
        <f>0+(1147.8-53)+(0+(0-0))+0-0-0</f>
        <v>1094.8</v>
      </c>
      <c r="T163" s="3">
        <f>0+(1120-29)+(0+(0.5712-0.01479))+0-0-0</f>
        <v>1091.5564099999999</v>
      </c>
      <c r="U163" s="3">
        <f>0+(1096.1-23.6)+(0+(0.559011-0.012036))+0-0-0</f>
        <v>1073.046975</v>
      </c>
      <c r="V163" s="3">
        <f>0+(1086.9-40.4)+(0+(-1.662957--0.061812))+0-0-0</f>
        <v>1044.8988549999999</v>
      </c>
      <c r="W163" s="3">
        <f>0+(1118.5-87.4)+(0+(-1.711305--0.133722))+0-0-0</f>
        <v>1029.5224169999999</v>
      </c>
      <c r="X163" s="3">
        <f>0+(1120.9-117.3)+(0+(-0.571659--0.059823))+0-0-0</f>
        <v>1003.0881640000001</v>
      </c>
      <c r="Y163" s="3">
        <f>0+(1132.3-98.1)+(0+(0.577473-0.050031))+0-0-0</f>
        <v>1034.7274420000001</v>
      </c>
      <c r="Z163" s="3">
        <f>0+(1061.9-35.1)+(0+(-0.541569--0.017901))+0-0-0</f>
        <v>1026.2763320000001</v>
      </c>
      <c r="AA163" s="3">
        <f>0+(1125.9-78.2)+(0+(0-0))+0-0-0</f>
        <v>1047.7</v>
      </c>
      <c r="AB163" s="3">
        <f>0+(1168.9-134.9)+(0+(-1.192278--0.137598))+0-0-0</f>
        <v>1032.94532</v>
      </c>
      <c r="AC163" s="3">
        <f>0+(1208.3-168.7)+(0+(0-0))+0-0-0</f>
        <v>1039.5999999999999</v>
      </c>
      <c r="AD163">
        <f t="shared" si="2"/>
        <v>24672.233170999996</v>
      </c>
      <c r="AE163" s="3">
        <f>0+(1090.7-48.5)+(0+(0-0))+0-0-0</f>
        <v>1042.2</v>
      </c>
    </row>
    <row r="164" spans="1:31" s="2" customFormat="1" x14ac:dyDescent="0.25">
      <c r="A164">
        <v>89</v>
      </c>
      <c r="B164">
        <v>6</v>
      </c>
      <c r="C164">
        <v>9</v>
      </c>
      <c r="D164">
        <v>4</v>
      </c>
      <c r="E164">
        <v>1</v>
      </c>
      <c r="F164" s="3">
        <f>0+(1147.2-160)+(0+(-2.92536--0.408))+0-0-0</f>
        <v>984.68263999999999</v>
      </c>
      <c r="G164" s="3">
        <f>0+(1164.6-201.5)+(0+(-2.375784--0.41106))+0-0-0</f>
        <v>961.13527599999986</v>
      </c>
      <c r="H164" s="3">
        <f>0+(1245.8-266.2)+(0+(-1.906074--0.407286))+0-0-0</f>
        <v>978.10121199999992</v>
      </c>
      <c r="I164" s="3">
        <f>0+(1242.1-257)+(0+(-3.167355--0.65535))+0-0-0</f>
        <v>982.58799499999986</v>
      </c>
      <c r="J164" s="3">
        <f>0+(1220.2-252)+(0+(0-0))+0-0-0</f>
        <v>968.2</v>
      </c>
      <c r="K164" s="3">
        <f>0+(1196.5-243.9)+(0+(-3.051075--0.621945))+0-0-0</f>
        <v>950.17087000000004</v>
      </c>
      <c r="L164" s="3">
        <f>0+(1175.1-234.8)+(0+(-2.397204--0.478992))+0-0-0</f>
        <v>938.38178799999991</v>
      </c>
      <c r="M164" s="3">
        <f>0+(1161.2-218.4)+(0+(0-0))+0-0-0</f>
        <v>942.80000000000007</v>
      </c>
      <c r="N164" s="3">
        <f>0+(1124.7-172)+(0+(0.573597-0.08772))+0-0-0</f>
        <v>953.185877</v>
      </c>
      <c r="O164" s="3">
        <f>0+(1239.9-216.9)+(0+(0-0))+0-0-0</f>
        <v>1023.0000000000001</v>
      </c>
      <c r="P164" s="3">
        <f>0+(1266.2-217.1)+(0+(0.645762-0.110721))+0-0-0</f>
        <v>1049.6350410000002</v>
      </c>
      <c r="Q164" s="3">
        <f>0+(1150.9-98.4)+(0+(1.760877-0.150552))+0-0-0</f>
        <v>1054.1103250000001</v>
      </c>
      <c r="R164" s="3">
        <f>0+(1082.6-27)+(0+(0.552126-0.01377))+0-0-0</f>
        <v>1056.1383559999999</v>
      </c>
      <c r="S164" s="3">
        <f>0+(1008.1-4.7)+(0+(0-0))+0-0-0</f>
        <v>1003.4</v>
      </c>
      <c r="T164" s="3">
        <f>0+(965.8-76.2)+(0+(0.492558-0.038862))+0-0-0</f>
        <v>890.05369599999995</v>
      </c>
      <c r="U164" s="3">
        <f>0+(964.3-77.9)+(0+(-2.458965--0.198645))+0-0-0</f>
        <v>884.13968</v>
      </c>
      <c r="V164" s="3">
        <f>0+(945.8-81.7)+(0+(-0.964716--0.083334))+0-0-0</f>
        <v>863.21861799999988</v>
      </c>
      <c r="W164" s="3">
        <f>0+(924.2-61)+(0+(-0.942684--0.06222))+0-0-0</f>
        <v>862.31953600000008</v>
      </c>
      <c r="X164" s="3">
        <f>0+(947.3-71.8)+(0+(-0.966246--0.073236))+0-0-0</f>
        <v>874.60699</v>
      </c>
      <c r="Y164" s="3">
        <f>0+(970.5-47.5)+(0+(-0.98991--0.04845))+0-0-0</f>
        <v>922.05853999999999</v>
      </c>
      <c r="Z164" s="3">
        <f>0+(1007.5-56.2)+(0+(0-0))+0-0-0</f>
        <v>951.3</v>
      </c>
      <c r="AA164" s="3">
        <f>0+(994.1-77.1)+(0+(-2.027964--0.157284))+0-0-0</f>
        <v>915.12932000000001</v>
      </c>
      <c r="AB164" s="3">
        <f>0+(1041.8-125.4)+(0+(0-0))+0-0-0</f>
        <v>916.4</v>
      </c>
      <c r="AC164" s="3">
        <f>0+(1046.6-133.1)+(0+(-2.66883--0.339405))+0-0-0</f>
        <v>911.17057499999987</v>
      </c>
      <c r="AD164">
        <f t="shared" si="2"/>
        <v>22835.926334999996</v>
      </c>
      <c r="AE164" s="3">
        <f>85+(995.2-122.9)+(0+(0-0))+0-0-0</f>
        <v>957.30000000000007</v>
      </c>
    </row>
    <row r="165" spans="1:31" s="2" customFormat="1" x14ac:dyDescent="0.25">
      <c r="A165">
        <v>89</v>
      </c>
      <c r="B165">
        <v>6</v>
      </c>
      <c r="C165">
        <v>10</v>
      </c>
      <c r="D165">
        <v>5</v>
      </c>
      <c r="E165">
        <v>5</v>
      </c>
      <c r="F165" s="3">
        <f>0+(1066.4-233.8)+(0+(-1.631592--0.357714))+0-0-0</f>
        <v>831.32612200000017</v>
      </c>
      <c r="G165" s="3">
        <f>0+(1071-256.8)+(0+(-1.63863--0.392904))+0-0-0</f>
        <v>812.95427400000005</v>
      </c>
      <c r="H165" s="3">
        <f>0+(1089.8-299.8)+(0+(-0.555798--0.152898))+0-0-0</f>
        <v>789.59709999999995</v>
      </c>
      <c r="I165" s="3">
        <f>0+(1115.7-335)+(0+(-1.138014--0.3417))+0-0-0</f>
        <v>779.90368599999999</v>
      </c>
      <c r="J165" s="3">
        <f>0+(1055.2-325.8)+(0+(-2.152608--0.664632))+0-0-0</f>
        <v>727.91202400000009</v>
      </c>
      <c r="K165" s="3">
        <f>0+(1007.2-322.4)+(0+(-2.56836--0.82212))+0-0-0</f>
        <v>683.05376000000001</v>
      </c>
      <c r="L165" s="3">
        <f>0+(1008.9-361.9)+(0+(-2.572695--0.922845))+0-0-0</f>
        <v>645.35014999999999</v>
      </c>
      <c r="M165" s="3">
        <f>0+(908.2-316.3)+(0+(0-0))+0-0-0</f>
        <v>591.90000000000009</v>
      </c>
      <c r="N165" s="3">
        <f>0+(884-293.2)+(0+(-0.90168--0.299064))+0-0-0</f>
        <v>590.19738399999994</v>
      </c>
      <c r="O165" s="3">
        <f>0+(925.6-272.1)+(0+(-0.944112--0.277542))+0-0-0</f>
        <v>652.83343000000002</v>
      </c>
      <c r="P165" s="3">
        <f>0+(924.3-274.8)+(0+(-0.471393--0.140148))+0-0-0</f>
        <v>649.16875500000003</v>
      </c>
      <c r="Q165" s="3">
        <f>0+(883-229.6)+(0+(0.90066-0.234192))+0-0-0</f>
        <v>654.06646799999999</v>
      </c>
      <c r="R165" s="3">
        <f>0+(945.6-277.6)+(0+(-0.482256--0.141576))+0-0-0</f>
        <v>667.65931999999998</v>
      </c>
      <c r="S165" s="3">
        <f>0+(950.5-258.5)+(0+(-0.484755--0.131835))+0-0-0</f>
        <v>691.64707999999996</v>
      </c>
      <c r="T165" s="3">
        <f>0+(943.7-233.3)+(0+(0-0))+0-0-0</f>
        <v>710.40000000000009</v>
      </c>
      <c r="U165" s="3">
        <f>0+(962.1-221)+(0+(-1.962684--0.45084))+0-0-0</f>
        <v>739.58815600000003</v>
      </c>
      <c r="V165" s="3">
        <f>0+(969.4-231.2)+(0+(-0.494394--0.117912))+0-0-0</f>
        <v>737.82351800000004</v>
      </c>
      <c r="W165" s="3">
        <f>0+(978.8-251.8)+(0+(-0.998376--0.256836))+0-0-0</f>
        <v>726.25846000000001</v>
      </c>
      <c r="X165" s="3">
        <f>0+(935.9-199)+(0+(-0.954618--0.20298))+0-0-0</f>
        <v>736.14836200000002</v>
      </c>
      <c r="Y165" s="3">
        <f>0+(921.9-132.5)+(0+(0-0))+0-0-0</f>
        <v>789.4</v>
      </c>
      <c r="Z165" s="3">
        <f>0+(881.5-5)+(0+(-0.449565--0.00255))+0-0-0</f>
        <v>876.05298500000004</v>
      </c>
      <c r="AA165" s="3">
        <f>0+(889-8)+(0+(-1.36017--0.01224))+0-0-0</f>
        <v>879.65206999999998</v>
      </c>
      <c r="AB165" s="3">
        <f>0+(901-26.8)+(0+(0.45951-0.013668))+0-0-0</f>
        <v>874.64584200000002</v>
      </c>
      <c r="AC165" s="3">
        <f>0+(946.7-131.9)+(0+(-0.482817--0.067269))+0-0-0</f>
        <v>814.38445200000012</v>
      </c>
      <c r="AD165">
        <f t="shared" si="2"/>
        <v>17651.923397999999</v>
      </c>
      <c r="AE165" s="3">
        <f>0+(915.6-16.3)+(0+(0-0))+0-0-0</f>
        <v>899.30000000000007</v>
      </c>
    </row>
    <row r="166" spans="1:31" s="2" customFormat="1" x14ac:dyDescent="0.25">
      <c r="A166">
        <v>89</v>
      </c>
      <c r="B166">
        <v>6</v>
      </c>
      <c r="C166">
        <v>11</v>
      </c>
      <c r="D166">
        <v>6</v>
      </c>
      <c r="E166">
        <v>6</v>
      </c>
      <c r="F166" s="3">
        <f>0+(991.1-177)+(0+(0-0))+0-0-0</f>
        <v>814.1</v>
      </c>
      <c r="G166" s="3">
        <f>0+(1051.4-304.7)+(0+(-0.536214--0.155397))+0-0-0</f>
        <v>746.31918300000007</v>
      </c>
      <c r="H166" s="3">
        <f>0+(1128.4-401)+(0+(0.575484-0.20451))+0-0-0</f>
        <v>727.77097400000014</v>
      </c>
      <c r="I166" s="3">
        <f>0+(1138.3-404.2)+(0+(0-0))+0-0-0</f>
        <v>734.09999999999991</v>
      </c>
      <c r="J166" s="3">
        <f>0+(1074.3-308.4)+(0+(0-0))+0-0-0</f>
        <v>765.9</v>
      </c>
      <c r="K166" s="3">
        <f>0+(1076.4-326.7)+(0+(0-0))+0-0-0</f>
        <v>749.7</v>
      </c>
      <c r="L166" s="3">
        <f>0+(1045.1-320.7)+(0+(-2.132004--0.654228))+0-0-0</f>
        <v>722.92222399999991</v>
      </c>
      <c r="M166" s="3">
        <f>0+(1038.8-279.8)+(0+(0.529788-0.142698))+0-0-0</f>
        <v>759.38708999999994</v>
      </c>
      <c r="N166" s="3">
        <f>0+(1007.4-198.5)+(0+(-0.513774--0.101235))+0-0-0</f>
        <v>808.48746099999994</v>
      </c>
      <c r="O166" s="3">
        <f>0+(1033.7-157.4)+(0+(1.054374-0.160548))+0-0-0</f>
        <v>877.19382600000006</v>
      </c>
      <c r="P166" s="3">
        <f>0+(948.7-23.4)+(0+(0.967674-0.023868))+0-0-0</f>
        <v>926.24380600000006</v>
      </c>
      <c r="Q166" s="3">
        <f>0+(932.1-12.2)+(0+(0.475371-0.006222))+0-0-0</f>
        <v>920.36914899999999</v>
      </c>
      <c r="R166" s="3">
        <f>0+(941.6-11.4)+(0+(0.480216-0.005814))+0-0-0</f>
        <v>930.6744020000001</v>
      </c>
      <c r="S166" s="3">
        <f>0+(917.1-0)+(0+(-0.467721-0))+0-0-0</f>
        <v>916.63227900000004</v>
      </c>
      <c r="T166" s="3">
        <f>0+(917.2-0)+(0+(0.467772-0))+0-0-0</f>
        <v>917.66777200000001</v>
      </c>
      <c r="U166" s="3">
        <f>0+(896-5)+(0+(-0.45696--0.00255))+0-0-0</f>
        <v>890.54558999999995</v>
      </c>
      <c r="V166" s="3">
        <f>0+(856.3-54.5)+(0+(-1.310139--0.083385))+0-0-0</f>
        <v>800.57324599999993</v>
      </c>
      <c r="W166" s="3">
        <f>0+(883.1-98.3)+(0+(0-0))+0-0-0</f>
        <v>784.80000000000007</v>
      </c>
      <c r="X166" s="3">
        <f>0+(870-99)+(0+(0.4437-0.05049))+0-0-0</f>
        <v>771.39320999999995</v>
      </c>
      <c r="Y166" s="3">
        <f>0+(910.1-40)+(0+(0.928302-0.0408))+0-0-0</f>
        <v>870.98750200000006</v>
      </c>
      <c r="Z166" s="3">
        <f>0+(1014.6-33.1)+(0+(-0.517446--0.016881))+0-0-0</f>
        <v>980.99943499999995</v>
      </c>
      <c r="AA166" s="3">
        <f>0+(1006-30.1)+(0+(0.51306-0.015351))+0-0-0</f>
        <v>976.39770899999996</v>
      </c>
      <c r="AB166" s="3">
        <f>0+(936-15)+(0+(-0.95472--0.0153))+0-0-0</f>
        <v>920.06057999999996</v>
      </c>
      <c r="AC166" s="3">
        <f>0+(941.6-35)+(0+(0.960432-0.0357))+0-0-0</f>
        <v>907.52473199999997</v>
      </c>
      <c r="AD166">
        <f t="shared" si="2"/>
        <v>20220.750170000007</v>
      </c>
      <c r="AE166" s="3">
        <f>0+(1017.4-33.6)+(0+(0-0))+0-0-0</f>
        <v>983.8</v>
      </c>
    </row>
    <row r="167" spans="1:31" s="2" customFormat="1" x14ac:dyDescent="0.25">
      <c r="A167">
        <v>89</v>
      </c>
      <c r="B167">
        <v>6</v>
      </c>
      <c r="C167">
        <v>12</v>
      </c>
      <c r="D167">
        <v>7</v>
      </c>
      <c r="E167">
        <v>1</v>
      </c>
      <c r="F167" s="3">
        <f>0+(926.2-103.9)+(0+(0-0))+0-0-0</f>
        <v>822.30000000000007</v>
      </c>
      <c r="G167" s="3">
        <f>0+(1048.9-237.2)+(0+(0.534939-0.120972))+0-0-0</f>
        <v>812.113967</v>
      </c>
      <c r="H167" s="3">
        <f>0+(1106-298)+(0+(0-0))+0-0-0</f>
        <v>808</v>
      </c>
      <c r="I167" s="3">
        <f>0+(1109.2-311.9)+(0+(2.82846-0.795345))+0-0-0</f>
        <v>799.33311500000002</v>
      </c>
      <c r="J167" s="3">
        <f>0+(1133.5-328.6)+(0+(-1.15617--0.335172))+0-0-0</f>
        <v>804.07900199999995</v>
      </c>
      <c r="K167" s="3">
        <f>0+(1089.2-317.7)+(0+(-2.77746--0.810135))+0-0-0</f>
        <v>769.53267500000004</v>
      </c>
      <c r="L167" s="3">
        <f>0+(1030.6-310)+(0+(-2.62803--0.7905))+0-0-0</f>
        <v>718.76246999999989</v>
      </c>
      <c r="M167" s="3">
        <f>0+(1060.5-340.2)+(0+(-2.16342--0.694008))+0-0-0</f>
        <v>718.83058799999992</v>
      </c>
      <c r="N167" s="3">
        <f>0+(1046.5-303.5)+(0+(0.533715-0.154785))+0-0-0</f>
        <v>743.37892999999997</v>
      </c>
      <c r="O167" s="3">
        <f>0+(1056.4-295.7)+(0+(0-0))+0-0-0</f>
        <v>760.7</v>
      </c>
      <c r="P167" s="3">
        <f>0+(1058.1-258.7)+(0+(-0.539631--0.131937))+0-0-0</f>
        <v>798.99230599999987</v>
      </c>
      <c r="Q167" s="3">
        <f>0+(1035.5-211)+(0+(-0.528105--0.10761))+0-0-0</f>
        <v>824.07950500000004</v>
      </c>
      <c r="R167" s="3">
        <f>0+(1014.1-194.6)+(0+(-0.517191--0.099246))+0-0-0</f>
        <v>819.08205499999997</v>
      </c>
      <c r="S167" s="3">
        <f>0+(972.4-168.8)+(0+(-0.991848--0.172176))+0-0-0</f>
        <v>802.78032799999994</v>
      </c>
      <c r="T167" s="3">
        <f>0+(936.2-178)+(0+(0-0))+0-0-0</f>
        <v>758.2</v>
      </c>
      <c r="U167" s="3">
        <f>0+(952.5-185.2)+(0+(-1.457325--0.283356))+0-0-0</f>
        <v>766.1260309999999</v>
      </c>
      <c r="V167" s="3">
        <f>0+(975.5-198.8)+(0+(-0.497505--0.101388))+0-0-0</f>
        <v>776.30388300000004</v>
      </c>
      <c r="W167" s="3">
        <f>0+(990.2-273.9)+(0+(-1.515006--0.419067))+0-0-0</f>
        <v>715.20406100000002</v>
      </c>
      <c r="X167" s="3">
        <f>0+(1002.4-196.1)+(0+(-2.55612--0.500055))+0-0-0</f>
        <v>804.24393499999996</v>
      </c>
      <c r="Y167" s="3">
        <f>0+(1021.2-71.6)+(0+(0-0))+0-0-0</f>
        <v>949.6</v>
      </c>
      <c r="Z167" s="3">
        <f>0+(956.1-9.8)+(0+(-0.975222--0.009996))+0-0-0</f>
        <v>945.33477400000004</v>
      </c>
      <c r="AA167" s="3">
        <f>0+(950.7-22.7)+(0+(-1.939428--0.046308))+0-0-0</f>
        <v>926.10688000000005</v>
      </c>
      <c r="AB167" s="3">
        <f>0+(950.3-55.9)+(0+(-0.484653--0.028509))+0-0-0</f>
        <v>893.94385599999998</v>
      </c>
      <c r="AC167" s="3">
        <f>0+(964.7-78.1)+(0+(-0.491997--0.039831))+0-0-0</f>
        <v>886.14783399999999</v>
      </c>
      <c r="AD167">
        <f t="shared" si="2"/>
        <v>19423.176195000004</v>
      </c>
      <c r="AE167" s="3">
        <f>0+(986.6-26.4)+(0+(0-0))+0-0-0</f>
        <v>960.2</v>
      </c>
    </row>
    <row r="168" spans="1:31" s="2" customFormat="1" x14ac:dyDescent="0.25">
      <c r="A168">
        <v>89</v>
      </c>
      <c r="B168">
        <v>6</v>
      </c>
      <c r="C168">
        <v>13</v>
      </c>
      <c r="D168">
        <v>1</v>
      </c>
      <c r="E168">
        <v>1</v>
      </c>
      <c r="F168" s="3">
        <f>0+(1012.2-161.2)+(0+(-1.548666--0.246636))+0-0-0</f>
        <v>849.69797000000005</v>
      </c>
      <c r="G168" s="3">
        <f>0+(1090.7-258.9)+(0+(-1.668771--0.396117))+0-0-0</f>
        <v>830.52734600000008</v>
      </c>
      <c r="H168" s="3">
        <f>0+(1156.3-327.1)+(0+(-1.179426--0.333642))+0-0-0</f>
        <v>828.35421599999995</v>
      </c>
      <c r="I168" s="3">
        <f>0+(1212.4-403.4)+(0+(0.618324-0.205734))+0-0-0</f>
        <v>809.41259000000014</v>
      </c>
      <c r="J168" s="3">
        <f>0+(1218.9-424)+(0+(0.621639-0.21624))+0-0-0</f>
        <v>795.30539900000008</v>
      </c>
      <c r="K168" s="3">
        <f>0+(1205.9-410.5)+(0+(-3.075045--1.046775))+0-0-0</f>
        <v>793.37173000000007</v>
      </c>
      <c r="L168" s="3">
        <f>0+(1240.2-446.2)+(0+(-4.427514--1.592934))+0-0-0</f>
        <v>791.16542000000004</v>
      </c>
      <c r="M168" s="3">
        <f>0+(1244-396.4)+(0+(0-0))+0-0-0</f>
        <v>847.6</v>
      </c>
      <c r="N168" s="3">
        <f>0+(1242.8-377.1)+(0+(0-0))+0-0-0</f>
        <v>865.69999999999993</v>
      </c>
      <c r="O168" s="3">
        <f>0+(1283-359.4)+(0+(0.65433-0.183294))+0-0-0</f>
        <v>924.07103600000005</v>
      </c>
      <c r="P168" s="3">
        <f>0+(1190.1-238.8)+(0+(1.820853-0.365364))+0-0-0</f>
        <v>952.7554889999999</v>
      </c>
      <c r="Q168" s="3">
        <f>0+(1107.1-129)+(0+(2.258484-0.26316))+0-0-0</f>
        <v>980.09532399999989</v>
      </c>
      <c r="R168" s="3">
        <f>0+(1081.8-81.6)+(0+(0-0))+0-0-0</f>
        <v>1000.1999999999999</v>
      </c>
      <c r="S168" s="3">
        <f>0+(1057.5-88)+(0+(-1.617975--0.13464))+0-0-0</f>
        <v>968.01666499999999</v>
      </c>
      <c r="T168" s="3">
        <f>0+(1057.5-80)+(0+(0-0))+0-0-0</f>
        <v>977.5</v>
      </c>
      <c r="U168" s="3">
        <f>0+(1061.8-85)+(0+(0-0))+0-0-0</f>
        <v>976.8</v>
      </c>
      <c r="V168" s="3">
        <f>0+(1036-80)+(0+(-1.05672--0.0816))+0-0-0</f>
        <v>955.02488000000005</v>
      </c>
      <c r="W168" s="3">
        <f>0+(1145.2-177.3)+(0+(-1.752156--0.271269))+0-0-0</f>
        <v>966.41911300000004</v>
      </c>
      <c r="X168" s="3">
        <f>0+(1158.7-208.5)+(0+(-3.545622--0.63801))+0-0-0</f>
        <v>947.29238800000007</v>
      </c>
      <c r="Y168" s="3">
        <f>0+(1191-181.9)+(0+(-2.42964--0.371076))+0-0-0</f>
        <v>1007.041436</v>
      </c>
      <c r="Z168" s="3">
        <f>0+(1174.6-152.7)+(0+(-2.396184--0.311508))+0-0-0</f>
        <v>1019.8153239999999</v>
      </c>
      <c r="AA168" s="3">
        <f>0+(1174.8-132.3)+(0+(-1.797444--0.202419))+0-0-0</f>
        <v>1040.9049749999999</v>
      </c>
      <c r="AB168" s="3">
        <f>0+(1172.4-190.9)+(0+(-1.195848--0.194718))+0-0-0</f>
        <v>980.49887000000012</v>
      </c>
      <c r="AC168" s="3">
        <f>0+(1254.4-312.3)+(0+(-1.919232--0.477819))+0-0-0</f>
        <v>940.65858700000013</v>
      </c>
      <c r="AD168">
        <f t="shared" si="2"/>
        <v>22048.228758000001</v>
      </c>
      <c r="AE168" s="3">
        <f>0+(1174.4-138.8)+(0+(0-0))+0-0-0</f>
        <v>1035.6000000000001</v>
      </c>
    </row>
    <row r="169" spans="1:31" s="2" customFormat="1" x14ac:dyDescent="0.25">
      <c r="A169">
        <v>89</v>
      </c>
      <c r="B169">
        <v>6</v>
      </c>
      <c r="C169">
        <v>14</v>
      </c>
      <c r="D169">
        <v>2</v>
      </c>
      <c r="E169">
        <v>1</v>
      </c>
      <c r="F169" s="3">
        <f>0+(1255.3-232.9)+(0+(-0.640203--0.118779))+0-0-0</f>
        <v>1021.878576</v>
      </c>
      <c r="G169" s="3">
        <f>0+(1311.3-293.9)+(0+(-2.006289--0.449667))+0-0-0</f>
        <v>1015.843378</v>
      </c>
      <c r="H169" s="3">
        <f>0+(1404.1-364.5)+(0+(0-0))+0-0-0</f>
        <v>1039.5999999999999</v>
      </c>
      <c r="I169" s="3">
        <f>0+(1387.1-364.2)+(0+(0-0))+0-0-0</f>
        <v>1022.8999999999999</v>
      </c>
      <c r="J169" s="3">
        <f>0+(1367.2-351.5)+(0+(2.789088-0.71706))+0-0-0</f>
        <v>1017.7720280000001</v>
      </c>
      <c r="K169" s="3">
        <f>0+(1396.4-386.3)+(0+(-1.424328--0.394026))+0-0-0</f>
        <v>1009.0696980000001</v>
      </c>
      <c r="L169" s="3">
        <f>0+(1386.5-382)+(0+(-2.82846--0.77928))+0-0-0</f>
        <v>1002.45082</v>
      </c>
      <c r="M169" s="3">
        <f>0+(1362.8-349.4)+(0+(2.085084-0.534582))+0-0-0</f>
        <v>1014.950502</v>
      </c>
      <c r="N169" s="3">
        <f>0+(1315.2-288.9)+(0+(-0.670752--0.147339))+0-0-0</f>
        <v>1025.7765870000003</v>
      </c>
      <c r="O169" s="3">
        <f>0+(1409.5-343.7)+(0+(0-0))+0-0-0</f>
        <v>1065.8</v>
      </c>
      <c r="P169" s="3">
        <f>0+(1341.7-244.8)+(0+(2.052801-0.374544))+0-0-0</f>
        <v>1098.5782570000001</v>
      </c>
      <c r="Q169" s="3">
        <f>0+(1286.6-138.5)+(0+(0.656166-0.070635))+0-0-0</f>
        <v>1148.6855309999999</v>
      </c>
      <c r="R169" s="3">
        <f>0+(1195.4-102.5)+(0+(0.609654-0.052275))+0-0-0</f>
        <v>1093.4573790000002</v>
      </c>
      <c r="S169" s="3">
        <f>0+(1187.1-127.9)+(0+(-0.605421--0.065229))+0-0-0</f>
        <v>1058.6598079999999</v>
      </c>
      <c r="T169" s="3">
        <f>0+(1173.8-118.5)+(0+(0.598638-0.060435))+0-0-0</f>
        <v>1055.838203</v>
      </c>
      <c r="U169" s="3">
        <f>0+(1128-83.7)+(0+(-1.72584--0.128061))+0-0-0</f>
        <v>1042.702221</v>
      </c>
      <c r="V169" s="3">
        <f>0+(1146-117.9)+(0+(0-0))+0-0-0</f>
        <v>1028.0999999999999</v>
      </c>
      <c r="W169" s="3">
        <f>0+(1187.2-191.6)+(0+(-2.421888--0.390864))+0-0-0</f>
        <v>993.56897600000002</v>
      </c>
      <c r="X169" s="3">
        <f>0+(1258.4-260.2)+(0+(-1.925352--0.398106))+0-0-0</f>
        <v>996.67275400000005</v>
      </c>
      <c r="Y169" s="3">
        <f>0+(1226.1-172.7)+(0+(-0.625311--0.088077))+0-0-0</f>
        <v>1052.862766</v>
      </c>
      <c r="Z169" s="3">
        <f>0+(1165.7-119.9)+(0+(-1.189014--0.122298))+0-0-0</f>
        <v>1044.7332839999999</v>
      </c>
      <c r="AA169" s="3">
        <f>0+(1186.2-148.1)+(0+(-1.209924--0.151062))+0-0-0</f>
        <v>1037.041138</v>
      </c>
      <c r="AB169" s="3">
        <f>0+(1213.2-172.9)+(0+(-0.618732--0.088179))+0-0-0</f>
        <v>1039.7694469999999</v>
      </c>
      <c r="AC169" s="3">
        <f>0+(1204.5-177.1)+(0+(-1.842885--0.270963))+0-0-0</f>
        <v>1025.828078</v>
      </c>
      <c r="AD169">
        <f t="shared" si="2"/>
        <v>24952.53943099999</v>
      </c>
      <c r="AE169" s="3">
        <f>0+(1160.2-131.6)+(0+(0-0))+0-0-0</f>
        <v>1028.6000000000001</v>
      </c>
    </row>
    <row r="170" spans="1:31" s="2" customFormat="1" x14ac:dyDescent="0.25">
      <c r="A170">
        <v>89</v>
      </c>
      <c r="B170">
        <v>6</v>
      </c>
      <c r="C170">
        <v>15</v>
      </c>
      <c r="D170">
        <v>3</v>
      </c>
      <c r="E170">
        <v>1</v>
      </c>
      <c r="F170" s="3">
        <f>0+(1274-263)+(0+(-1.94922--0.40239))+0-0-0</f>
        <v>1009.45317</v>
      </c>
      <c r="G170" s="3">
        <f>0+(1334.5-342.7)+(0+(-2.041785--0.524331))+0-0-0</f>
        <v>990.28254599999991</v>
      </c>
      <c r="H170" s="3">
        <f>0+(1374.3-402.7)+(0+(-1.401786--0.410754))+0-0-0</f>
        <v>970.60896799999989</v>
      </c>
      <c r="I170" s="3">
        <f>0+(1366.1-397)+(0+(-2.090133--0.60741))+0-0-0</f>
        <v>967.61727699999994</v>
      </c>
      <c r="J170" s="3">
        <f>0+(1291.4-345.3)+(0+(-1.317228--0.352206))+0-0-0</f>
        <v>945.13497800000016</v>
      </c>
      <c r="K170" s="3">
        <f>0+(1295.4-358.9)+(0+(-2.642616--0.732156))+0-0-0</f>
        <v>934.58954000000017</v>
      </c>
      <c r="L170" s="3">
        <f>0+(1352.6-396.6)+(0+(-6.208434--1.820394))+0-0-0</f>
        <v>951.61195999999984</v>
      </c>
      <c r="M170" s="3">
        <f>0+(1352-395.4)+(0+(-2.06856--0.604962))+0-0-0</f>
        <v>955.13640199999998</v>
      </c>
      <c r="N170" s="3">
        <f>0+(1350.6-369.6)+(0+(-1.377612--0.376992))+0-0-0</f>
        <v>979.99937999999986</v>
      </c>
      <c r="O170" s="3">
        <f>0+(1350.4-298.8)+(0+(-2.066112--0.457164))+0-0-0</f>
        <v>1049.9910520000001</v>
      </c>
      <c r="P170" s="3">
        <f>0+(1358.4-291.1)+(0+(-2.771136--0.593844))+0-0-0</f>
        <v>1065.1227080000001</v>
      </c>
      <c r="Q170" s="3">
        <f>0+(1347-275.3)+(0+(2.06091-0.421209))+0-0-0</f>
        <v>1073.3397010000001</v>
      </c>
      <c r="R170" s="3">
        <f>0+(1265.2-176.5)+(0+(0-0))+0-0-0</f>
        <v>1088.7</v>
      </c>
      <c r="S170" s="3">
        <f>0+(1190.2-136)+(0+(0-0))+0-0-0</f>
        <v>1054.2</v>
      </c>
      <c r="T170" s="3">
        <f>0+(1160.9-91.7)+(0+(0.592059-0.046767))+0-0-0</f>
        <v>1069.7452920000001</v>
      </c>
      <c r="U170" s="3">
        <f>0+(1191-96.9)+(0+(-1.21482--0.098838))+0-0-0</f>
        <v>1092.9840179999999</v>
      </c>
      <c r="V170" s="3">
        <f>0+(1214-126.2)+(0+(-1.23828--0.128724))+0-0-0</f>
        <v>1086.6904439999998</v>
      </c>
      <c r="W170" s="3">
        <f>0+(1251.6-176)+(0+(-1.914948--0.26928))+0-0-0</f>
        <v>1073.954332</v>
      </c>
      <c r="X170" s="3">
        <f>0+(1259.5-193)+(0+(-1.28469--0.19686))+0-0-0</f>
        <v>1065.4121700000001</v>
      </c>
      <c r="Y170" s="3">
        <f>0+(1241.3-147.6)+(0+(0.633063-0.075276))+0-0-0</f>
        <v>1094.257787</v>
      </c>
      <c r="Z170" s="3">
        <f>0+(1194.7-114.1)+(0+(-0.609297--0.058191))+0-0-0</f>
        <v>1080.0488940000002</v>
      </c>
      <c r="AA170" s="3">
        <f>0+(1239.4-153.8)+(0+(-1.896282--0.235314))+0-0-0</f>
        <v>1083.9390320000002</v>
      </c>
      <c r="AB170" s="3">
        <f>0+(1244.5-172.8)+(0+(0-0))+0-0-0</f>
        <v>1071.7</v>
      </c>
      <c r="AC170" s="3">
        <f>0+(1236.9-192.3)+(0+(-0.630819--0.098073))+0-0-0</f>
        <v>1044.067254</v>
      </c>
      <c r="AD170">
        <f t="shared" si="2"/>
        <v>24798.586905</v>
      </c>
      <c r="AE170" s="3">
        <f>0+(1241-204.7)+(0+(0-0))+0-0-0</f>
        <v>1036.3</v>
      </c>
    </row>
    <row r="171" spans="1:31" s="2" customFormat="1" x14ac:dyDescent="0.25">
      <c r="A171">
        <v>89</v>
      </c>
      <c r="B171">
        <v>6</v>
      </c>
      <c r="C171">
        <v>16</v>
      </c>
      <c r="D171">
        <v>4</v>
      </c>
      <c r="E171">
        <v>1</v>
      </c>
      <c r="F171" s="3">
        <f>0+(1295.9-384.2)+(0+(-1.321818--0.391884))+0-0-0</f>
        <v>910.77006600000004</v>
      </c>
      <c r="G171" s="3">
        <f>0+(1343.5-439.3)+(0+(-3.425925--1.120215))+0-0-0</f>
        <v>901.89429000000007</v>
      </c>
      <c r="H171" s="3">
        <f>0+(1353.1-467.5)+(0+(0.690081-0.238425))+0-0-0</f>
        <v>886.05165599999987</v>
      </c>
      <c r="I171" s="3">
        <f>0+(1333.4-459.6)+(0+(-3.40017--1.17198))+0-0-0</f>
        <v>871.57181000000003</v>
      </c>
      <c r="J171" s="3">
        <f>0+(1289.6-448)+(0+(0.657696-0.22848))+0-0-0</f>
        <v>842.02921599999991</v>
      </c>
      <c r="K171" s="3">
        <f>0+(1279.2-428.5)+(0+(-3.26196--1.092675))+0-0-0</f>
        <v>848.5307150000001</v>
      </c>
      <c r="L171" s="3">
        <f>0+(1301-467.8)+(0+(-3.31755--1.19289))+0-0-0</f>
        <v>831.0753400000001</v>
      </c>
      <c r="M171" s="3">
        <f>0+(1347.5-534.6)+(0+(0-0))+0-0-0</f>
        <v>812.9</v>
      </c>
      <c r="N171" s="3">
        <f>0+(1371.2-482.5)+(0+(0.699312-0.246075))+0-0-0</f>
        <v>889.15323699999999</v>
      </c>
      <c r="O171" s="3">
        <f>0+(1385.6-452.3)+(0+(2.119968-0.692019))+0-0-0</f>
        <v>934.72794899999997</v>
      </c>
      <c r="P171" s="3">
        <f>0+(1363.7-418.3)+(0+(-0.695487--0.213333))+0-0-0</f>
        <v>944.91784600000005</v>
      </c>
      <c r="Q171" s="3">
        <f>0+(1340.5-448.5)+(0+(0.683655-0.228735))+0-0-0</f>
        <v>892.45492000000002</v>
      </c>
      <c r="R171" s="3">
        <f>0+(1283.1-396.6)+(0+(0.654381-0.202266))+0-0-0</f>
        <v>886.95211499999994</v>
      </c>
      <c r="S171" s="3">
        <f>0+(1214.3-335.5)+(0+(-1.238586--0.34221))+0-0-0</f>
        <v>877.90362399999992</v>
      </c>
      <c r="T171" s="3">
        <f>0+(1202.5-281.1)+(0+(0-0))+0-0-0</f>
        <v>921.4</v>
      </c>
      <c r="U171" s="3">
        <f>0+(1187.5-243)+(0+(-0.605625--0.12393))+0-0-0</f>
        <v>944.01830500000005</v>
      </c>
      <c r="V171" s="3">
        <f>0+(1203.5-224.8)+(0+(-1.22757--0.229296))+0-0-0</f>
        <v>977.70172600000001</v>
      </c>
      <c r="W171" s="3">
        <f>0+(1252.4-309.2)+(0+(-0.638724--0.157692))+0-0-0</f>
        <v>942.71896800000002</v>
      </c>
      <c r="X171" s="3">
        <f>0+(1247.1-260.1)+(0+(0-0))+0-0-0</f>
        <v>986.99999999999989</v>
      </c>
      <c r="Y171" s="3">
        <f>0+(1230.8-202.1)+(0+(-1.255416--0.206142))+0-0-0</f>
        <v>1027.6507260000001</v>
      </c>
      <c r="Z171" s="3">
        <f>0+(1163.4-162.3)+(0+(-1.780002--0.248319))+0-0-0</f>
        <v>999.56831700000009</v>
      </c>
      <c r="AA171" s="3">
        <f>0+(1162.4-231.8)+(0+(-1.778472--0.354654))+0-0-0</f>
        <v>929.17618200000015</v>
      </c>
      <c r="AB171" s="3">
        <f>0+(1210.2-290)+(0+(-0.617202--0.1479))+0-0-0</f>
        <v>919.73069800000007</v>
      </c>
      <c r="AC171" s="3">
        <f>0+(1251.5-322.8)+(0+(-1.27653--0.329256))+0-0-0</f>
        <v>927.75272600000005</v>
      </c>
      <c r="AD171">
        <f t="shared" si="2"/>
        <v>21907.650431999995</v>
      </c>
      <c r="AE171" s="3">
        <f>0+(1172.1-146.5)+(0+(0-0))+0-0-0</f>
        <v>1025.5999999999999</v>
      </c>
    </row>
    <row r="172" spans="1:31" s="2" customFormat="1" x14ac:dyDescent="0.25">
      <c r="A172">
        <v>89</v>
      </c>
      <c r="B172">
        <v>6</v>
      </c>
      <c r="C172">
        <v>17</v>
      </c>
      <c r="D172">
        <v>5</v>
      </c>
      <c r="E172">
        <v>1</v>
      </c>
      <c r="F172" s="3">
        <f>0+(1277.4-441.4)+(0+(-0.651474--0.225114))+0-0-0</f>
        <v>835.57364000000007</v>
      </c>
      <c r="G172" s="3">
        <f>0+(1385.3-521.4)+(0+(-2.826012--1.063656))+0-0-0</f>
        <v>862.13764400000002</v>
      </c>
      <c r="H172" s="3">
        <f>0+(1436.2-544.4)+(0+(-2.197386--0.832932))+0-0-0</f>
        <v>890.43554600000004</v>
      </c>
      <c r="I172" s="3">
        <f>0+(1351.5-521)+(0+(-2.067795--0.79713))+0-0-0</f>
        <v>829.22933499999999</v>
      </c>
      <c r="J172" s="3">
        <f>0+(1340-513.5)+(0+(0.6834-0.261885))+0-0-0</f>
        <v>826.921515</v>
      </c>
      <c r="K172" s="3">
        <f>0+(1339.6-517.3)+(0+(-2.049588--0.791469))+0-0-0</f>
        <v>821.04188099999999</v>
      </c>
      <c r="L172" s="3">
        <f>0+(1310.9-464.1)+(0+(-0.668559--0.236691))+0-0-0</f>
        <v>846.36813200000006</v>
      </c>
      <c r="M172" s="3">
        <f>0+(1323.8-432.1)+(0+(-0.675138--0.220371))+0-0-0</f>
        <v>891.24523299999998</v>
      </c>
      <c r="N172" s="3">
        <f>0+(1274.1-397.4)+(0+(-1.949373--0.608022))+0-0-0</f>
        <v>875.3586489999999</v>
      </c>
      <c r="O172" s="3">
        <f>0+(1285.1-353.4)+(0+(-1.310802--0.360468))+0-0-0</f>
        <v>930.74966599999993</v>
      </c>
      <c r="P172" s="3">
        <f>0+(1309.2-336.6)+(0+(-2.003076--0.514998))+0-0-0</f>
        <v>971.11192200000005</v>
      </c>
      <c r="Q172" s="3">
        <f>0+(1293.6-304.8)+(0+(-0.659736--0.155448))+0-0-0</f>
        <v>988.29571199999998</v>
      </c>
      <c r="R172" s="3">
        <f>0+(1242.2-256.9)+(0+(-0.633522--0.131019))+0-0-0</f>
        <v>984.79749700000002</v>
      </c>
      <c r="S172" s="3">
        <f>0+(1212.5-250.6)+(0+(-1.23675--0.255612))+0-0-0</f>
        <v>960.91886199999999</v>
      </c>
      <c r="T172" s="3">
        <f>0+(1208.2-237.8)+(0+(-0.616182--0.121278))+0-0-0</f>
        <v>969.90509600000007</v>
      </c>
      <c r="U172" s="3">
        <f>0+(1205.6-233.5)+(0+(0.614856-0.119085))+0-0-0</f>
        <v>972.5957709999999</v>
      </c>
      <c r="V172" s="3">
        <f>0+(1218.1-257.8)+(0+(-1.863693--0.394434))+0-0-0</f>
        <v>958.83074099999999</v>
      </c>
      <c r="W172" s="3">
        <f>0+(1255.5-319.7)+(0+(-1.28061--0.326094))+0-0-0</f>
        <v>934.84548399999994</v>
      </c>
      <c r="X172" s="3">
        <f>0+(1206.3-258.3)+(0+(-2.460852--0.526932))+0-0-0</f>
        <v>946.06608000000006</v>
      </c>
      <c r="Y172" s="3">
        <f>0+(1198.3-173.9)+(0+(-0.611133--0.088689))+0-0-0</f>
        <v>1023.8775559999999</v>
      </c>
      <c r="Z172" s="3">
        <f>0+(1142.4-142.2)+(0+(-1.747872--0.217566))+0-0-0</f>
        <v>998.66969400000005</v>
      </c>
      <c r="AA172" s="3">
        <f>0+(1170.8-178.2)+(0+(-1.194216--0.181764))+0-0-0</f>
        <v>991.58754799999986</v>
      </c>
      <c r="AB172" s="3">
        <f>0+(1200.5-229.5)+(0+(0.612255-0.117045))+0-0-0</f>
        <v>971.49521000000004</v>
      </c>
      <c r="AC172" s="3">
        <f>0+(1235.2-308.8)+(0+(-2.519808--0.629952))+0-0-0</f>
        <v>924.51014400000008</v>
      </c>
      <c r="AD172">
        <f t="shared" si="2"/>
        <v>22206.568557999999</v>
      </c>
      <c r="AE172" s="3">
        <f>0+(1141.3-125)+(0+(0-0))+0-0-0</f>
        <v>1016.3</v>
      </c>
    </row>
    <row r="173" spans="1:31" s="2" customFormat="1" x14ac:dyDescent="0.25">
      <c r="A173">
        <v>89</v>
      </c>
      <c r="B173">
        <v>6</v>
      </c>
      <c r="C173">
        <v>18</v>
      </c>
      <c r="D173">
        <v>6</v>
      </c>
      <c r="E173">
        <v>1</v>
      </c>
      <c r="F173" s="3">
        <f>0+(1255.7-361.9)+(0+(0-0))+0-0-0</f>
        <v>893.80000000000007</v>
      </c>
      <c r="G173" s="3">
        <f>0+(1297.4-489.7)+(0+(-1.323348--0.499494))+0-0-0</f>
        <v>806.87614600000006</v>
      </c>
      <c r="H173" s="3">
        <f>0+(1354.1-540.6)+(0+(0-0))+0-0-0</f>
        <v>813.49999999999989</v>
      </c>
      <c r="I173" s="3">
        <f>0+(1383.7-546.6)+(0+(-1.411374--0.557532))+0-0-0</f>
        <v>836.24615800000004</v>
      </c>
      <c r="J173" s="3">
        <f>0+(1331.3-486.1)+(0+(0.678963-0.247911))+0-0-0</f>
        <v>845.63105199999995</v>
      </c>
      <c r="K173" s="3">
        <f>0+(1298.4-478.7)+(0+(0-0))+0-0-0</f>
        <v>819.7</v>
      </c>
      <c r="L173" s="3">
        <f>0+(1236.1-427.5)+(0+(-1.260822--0.43605))+0-0-0</f>
        <v>807.77522799999986</v>
      </c>
      <c r="M173" s="3">
        <f>0+(1214.1-409.4)+(0+(0.619191-0.208794))+0-0-0</f>
        <v>805.11039699999992</v>
      </c>
      <c r="N173" s="3">
        <f>0+(1218-339.9)+(0+(-0.62118--0.173349))+0-0-0</f>
        <v>877.65216900000007</v>
      </c>
      <c r="O173" s="3">
        <f>0+(1243.9-348.8)+(0+(0-0))+0-0-0</f>
        <v>895.10000000000014</v>
      </c>
      <c r="P173" s="3">
        <f>0+(1285.5-283.1)+(0+(0.655605-0.144381))+0-0-0</f>
        <v>1002.9112239999999</v>
      </c>
      <c r="Q173" s="3">
        <f>0+(1147.9-201)+(0+(0.585429-0.10251))+0-0-0</f>
        <v>947.38291900000013</v>
      </c>
      <c r="R173" s="3">
        <f>0+(1153-245.2)+(0+(-1.17606--0.250104))+0-0-0</f>
        <v>906.87404399999991</v>
      </c>
      <c r="S173" s="3">
        <f>0+(1185.7-264.9)+(0+(-2.418828--0.540396))+0-0-0</f>
        <v>918.92156800000009</v>
      </c>
      <c r="T173" s="3">
        <f>0+(1251.6-343.7)+(0+(-1.276632--0.350574))+0-0-0</f>
        <v>906.97394199999985</v>
      </c>
      <c r="U173" s="3">
        <f>0+(1273.9-323.7)+(0+(0-0))+0-0-0</f>
        <v>950.2</v>
      </c>
      <c r="V173" s="3">
        <f>0+(1208.7-308.6)+(0+(-1.232874--0.314772))+0-0-0</f>
        <v>899.18189800000005</v>
      </c>
      <c r="W173" s="3">
        <f>0+(1226.9-332)+(0+(-2.502876--0.67728))+0-0-0</f>
        <v>893.07440400000007</v>
      </c>
      <c r="X173" s="3">
        <f>0+(1241.4-303.2)+(0+(1.266228-0.309264))+0-0-0</f>
        <v>939.15696400000002</v>
      </c>
      <c r="Y173" s="3">
        <f>0+(1202-215.8)+(0+(0.61302-0.110058))+0-0-0</f>
        <v>986.70296200000007</v>
      </c>
      <c r="Z173" s="3">
        <f>0+(1207.6-216.3)+(0+(-1.231752--0.220626))+0-0-0</f>
        <v>990.28887399999996</v>
      </c>
      <c r="AA173" s="3">
        <f>0+(1195-236.9)+(0+(-1.2189--0.241638))+0-0-0</f>
        <v>957.12273800000003</v>
      </c>
      <c r="AB173" s="3">
        <f>0+(1199.2-296.5)+(0+(-1.223184--0.30243))+0-0-0</f>
        <v>901.77924600000006</v>
      </c>
      <c r="AC173" s="3">
        <f>0+(1210.5-261.6)+(0+(0-0))+0-0-0</f>
        <v>948.9</v>
      </c>
      <c r="AD173">
        <f t="shared" si="2"/>
        <v>21550.861933</v>
      </c>
      <c r="AE173" s="3">
        <f>0+(1223-215.6)+(0+(0-0))+0-0-0</f>
        <v>1007.4</v>
      </c>
    </row>
    <row r="174" spans="1:31" s="2" customFormat="1" x14ac:dyDescent="0.25">
      <c r="A174">
        <v>89</v>
      </c>
      <c r="B174">
        <v>6</v>
      </c>
      <c r="C174">
        <v>19</v>
      </c>
      <c r="D174">
        <v>7</v>
      </c>
      <c r="E174">
        <v>3</v>
      </c>
      <c r="F174" s="3">
        <f>0+(1071.2-187)+(0+(-2.185248--0.38148))+0-0-0</f>
        <v>882.39623200000005</v>
      </c>
      <c r="G174" s="3">
        <f>0+(1085.1-257.7)+(0+(-1.660203--0.394281))+0-0-0</f>
        <v>826.13407799999982</v>
      </c>
      <c r="H174" s="3">
        <f>0+(1060.7-267.1)+(0+(-1.622871--0.408663))+0-0-0</f>
        <v>792.38579200000004</v>
      </c>
      <c r="I174" s="3">
        <f>0+(1021.5-244.4)+(0+(-0.520965--0.124644))+0-0-0</f>
        <v>776.70367900000008</v>
      </c>
      <c r="J174" s="3">
        <f>0+(1018-254.5)+(0+(0-0))+0-0-0</f>
        <v>763.5</v>
      </c>
      <c r="K174" s="3">
        <f>0+(1003.8-254.7)+(0+(0-0))+0-0-0</f>
        <v>749.09999999999991</v>
      </c>
      <c r="L174" s="3">
        <f>0+(1006.9-290.5)+(0+(-3.594633--1.037085))+0-0-0</f>
        <v>713.84245199999998</v>
      </c>
      <c r="M174" s="3">
        <f>0+(1011.8-332)+(0+(-0.516018--0.16932))+0-0-0</f>
        <v>679.45330200000001</v>
      </c>
      <c r="N174" s="3">
        <f>0+(1000.6-311.6)+(0+(2.55153-0.79458))+0-0-0</f>
        <v>690.75694999999996</v>
      </c>
      <c r="O174" s="3">
        <f>0+(1010.3-292.6)+(0+(-0.515253--0.149226))+0-0-0</f>
        <v>717.3339729999999</v>
      </c>
      <c r="P174" s="3">
        <f>0+(1052.4-317.9)+(0+(-1.073448--0.324258))+0-0-0</f>
        <v>733.75081000000011</v>
      </c>
      <c r="Q174" s="3">
        <f>0+(1079.8-331.7)+(0+(-0.550698--0.169167))+0-0-0</f>
        <v>747.71846899999991</v>
      </c>
      <c r="R174" s="3">
        <f>0+(1072.2-326.6)+(0+(-1.640466--0.499698))+0-0-0</f>
        <v>744.45923200000004</v>
      </c>
      <c r="S174" s="3">
        <f>0+(1066.4-325.7)+(0+(-1.087728--0.332214))+0-0-0</f>
        <v>739.9444860000001</v>
      </c>
      <c r="T174" s="3">
        <f>0+(1056.3-309.7)+(0+(-1.077426--0.315894))+0-0-0</f>
        <v>745.83846799999992</v>
      </c>
      <c r="U174" s="3">
        <f>0+(1031.9-284.1)+(0+(-0.526269--0.144891))+0-0-0</f>
        <v>747.41862200000003</v>
      </c>
      <c r="V174" s="3">
        <f>0+(1010.9-276.4)+(0+(-1.546677--0.422892))+0-0-0</f>
        <v>733.376215</v>
      </c>
      <c r="W174" s="3">
        <f>0+(1016.7-282.7)+(0+(-3.111102--0.865062))+0-0-0</f>
        <v>731.75396000000001</v>
      </c>
      <c r="X174" s="3">
        <f>0+(1032-298.5)+(0+(-1.05264--0.30447))+0-0-0</f>
        <v>732.75183000000004</v>
      </c>
      <c r="Y174" s="3">
        <f>0+(938.7-149.6)+(0+(-0.957474--0.152592))+0-0-0</f>
        <v>788.295118</v>
      </c>
      <c r="Z174" s="3">
        <f>0+(1073.7-198.6)+(0+(-2.190348--0.405144))+0-0-0</f>
        <v>873.314796</v>
      </c>
      <c r="AA174" s="3">
        <f>0+(1106.7-246.8)+(0+(-2.257668--0.503472))+0-0-0</f>
        <v>858.14580400000011</v>
      </c>
      <c r="AB174" s="3">
        <f>0+(1099.7-277.3)+(0+(-0.560847--0.141423))+0-0-0</f>
        <v>821.98057600000004</v>
      </c>
      <c r="AC174" s="3">
        <f>0+(1079.4-270.1)+(0+(-1.651482--0.413253))+0-0-0</f>
        <v>808.06177100000002</v>
      </c>
      <c r="AD174">
        <f t="shared" si="2"/>
        <v>18398.416615000002</v>
      </c>
      <c r="AE174" s="3">
        <f>0+(1129.5-233.3)+(0+(0-0))+0-0-0</f>
        <v>896.2</v>
      </c>
    </row>
    <row r="175" spans="1:31" s="2" customFormat="1" x14ac:dyDescent="0.25">
      <c r="A175">
        <v>89</v>
      </c>
      <c r="B175">
        <v>6</v>
      </c>
      <c r="C175">
        <v>20</v>
      </c>
      <c r="D175">
        <v>1</v>
      </c>
      <c r="E175">
        <v>1</v>
      </c>
      <c r="F175" s="3">
        <f>0+(1042.6-318.2)+(0+(-2.126904--0.649128))+0-0-0</f>
        <v>722.92222399999991</v>
      </c>
      <c r="G175" s="3">
        <f>0+(1034.1-332.4)+(0+(-1.582173--0.508572))+0-0-0</f>
        <v>700.62639899999988</v>
      </c>
      <c r="H175" s="3">
        <f>0+(970.3-266.7)+(0+(-2.969118--0.816102))+0-0-0</f>
        <v>701.44698399999993</v>
      </c>
      <c r="I175" s="3">
        <f>0+(965.4-248.6)+(0+(-0.984708--0.253572))+0-0-0</f>
        <v>716.06886399999996</v>
      </c>
      <c r="J175" s="3">
        <f>0+(969.2-254.1)+(0+(-0.988584--0.259182))+0-0-0</f>
        <v>714.37059799999997</v>
      </c>
      <c r="K175" s="3">
        <f>0+(988-269.9)+(0+(0-0))+0-0-0</f>
        <v>718.1</v>
      </c>
      <c r="L175" s="3">
        <f>0+(984.7-260)+(0+(-3.515379--0.9282))+0-0-0</f>
        <v>722.11282100000005</v>
      </c>
      <c r="M175" s="3">
        <f>0+(990.3-215.1)+(0+(-1.515159--0.329103))+0-0-0</f>
        <v>774.01394399999992</v>
      </c>
      <c r="N175" s="3">
        <f>0+(1025.7-218.8)+(0+(-1.569321--0.334764))+0-0-0</f>
        <v>805.6654430000001</v>
      </c>
      <c r="O175" s="3">
        <f>0+(1129.7-287.4)+(0+(-0.576147--0.146574))+0-0-0</f>
        <v>841.87042700000006</v>
      </c>
      <c r="P175" s="3">
        <f>0+(1167-284.6)+(0+(-1.19034--0.290292))+0-0-0</f>
        <v>881.49995200000001</v>
      </c>
      <c r="Q175" s="3">
        <f>0+(1110.3-247.7)+(0+(-0.566253--0.126327))+0-0-0</f>
        <v>862.1600739999999</v>
      </c>
      <c r="R175" s="3">
        <f>0+(1021.1-145.8)+(0+(-0.520761--0.074358))+0-0-0</f>
        <v>874.85359699999992</v>
      </c>
      <c r="S175" s="3">
        <f>0+(1009.3-136.6)+(0+(-1.029486--0.139332))+0-0-0</f>
        <v>871.80984599999988</v>
      </c>
      <c r="T175" s="3">
        <f>0+(1046.2-230.4)+(0+(0.533562-0.117504))+0-0-0</f>
        <v>816.21605800000009</v>
      </c>
      <c r="U175" s="3">
        <f>0+(1095.1-248.4)+(0+(-1.117002--0.253368))+0-0-0</f>
        <v>845.83636599999988</v>
      </c>
      <c r="V175" s="3">
        <f>0+(1107.3-267)+(0+(0-0))+0-0-0</f>
        <v>840.3</v>
      </c>
      <c r="W175" s="3">
        <f>0+(1081.9-230.3)+(0+(-2.758845--0.587265))+0-0-0</f>
        <v>849.42842000000019</v>
      </c>
      <c r="X175" s="3">
        <f>0+(974.1-169.1)+(0+(-2.980746--0.517446))+0-0-0</f>
        <v>802.5367</v>
      </c>
      <c r="Y175" s="3">
        <f>0+(978.3-68.9)+(0+(-0.498933--0.035139))+0-0-0</f>
        <v>908.93620599999997</v>
      </c>
      <c r="Z175" s="3">
        <f>0+(970.9-63.1)+(0+(-0.990318--0.064362))+0-0-0</f>
        <v>906.87404399999991</v>
      </c>
      <c r="AA175" s="3">
        <f>0+(996.1-102.7)+(0+(-2.032044--0.209508))+0-0-0</f>
        <v>891.57746399999996</v>
      </c>
      <c r="AB175" s="3">
        <f>0+(1081.3-224.9)+(0+(-1.654389--0.344097))+0-0-0</f>
        <v>855.08970799999997</v>
      </c>
      <c r="AC175" s="3">
        <f>0+(1174.5-356.4)+(0+(-2.994975--0.90882))+0-0-0</f>
        <v>816.01384500000006</v>
      </c>
      <c r="AD175">
        <f t="shared" si="2"/>
        <v>19440.329983999996</v>
      </c>
      <c r="AE175" s="3">
        <f>0+(1013.8-65.5)+(0+(0-0))+0-0-0</f>
        <v>948.3</v>
      </c>
    </row>
    <row r="176" spans="1:31" s="2" customFormat="1" x14ac:dyDescent="0.25">
      <c r="A176">
        <v>89</v>
      </c>
      <c r="B176">
        <v>6</v>
      </c>
      <c r="C176">
        <v>21</v>
      </c>
      <c r="D176">
        <v>2</v>
      </c>
      <c r="E176">
        <v>1</v>
      </c>
      <c r="F176" s="3">
        <f>0+(1206.8-413.1)+(0+(-1.846404--0.632043))+0-0-0</f>
        <v>792.48563899999988</v>
      </c>
      <c r="G176" s="3">
        <f>0+(1258.7-490.8)+(0+(-0.641937--0.250308))+0-0-0</f>
        <v>767.50837100000012</v>
      </c>
      <c r="H176" s="3">
        <f>0+(1200.7-462.5)+(0+(-1.224714--0.47175))+0-0-0</f>
        <v>737.44703600000003</v>
      </c>
      <c r="I176" s="3">
        <f>0+(1149.9-413.8)+(0+(-1.759347--0.633114))+0-0-0</f>
        <v>734.97376700000018</v>
      </c>
      <c r="J176" s="3">
        <f>0+(1098.2-365)+(0+(-1.680246--0.55845))+0-0-0</f>
        <v>732.07820400000003</v>
      </c>
      <c r="K176" s="3">
        <f>0+(1092.6-372.4)+(0+(0-0))+0-0-0</f>
        <v>720.19999999999993</v>
      </c>
      <c r="L176" s="3">
        <f>0+(1102.5-344.4)+(0+(-2.811375--0.87822))+0-0-0</f>
        <v>756.16684499999997</v>
      </c>
      <c r="M176" s="3">
        <f>0+(1108.5-353)+(0+(0-0))+0-0-0</f>
        <v>755.5</v>
      </c>
      <c r="N176" s="3">
        <f>0+(1132.9-289.7)+(0+(0.577779-0.147747))+0-0-0</f>
        <v>843.63003200000003</v>
      </c>
      <c r="O176" s="3">
        <f>0+(1266.3-405.4)+(0+(-1.937439--0.620262))+0-0-0</f>
        <v>859.58282299999996</v>
      </c>
      <c r="P176" s="3">
        <f>0+(1359-453.2)+(0+(0-0))+0-0-0</f>
        <v>905.8</v>
      </c>
      <c r="Q176" s="3">
        <f>0+(1459.1-505.9)+(0+(0-0))+0-0-0</f>
        <v>953.19999999999993</v>
      </c>
      <c r="R176" s="3">
        <f>0+(1442.8-481.6)+(0+(-2.207484--0.736848))+0-0-0</f>
        <v>959.72936399999992</v>
      </c>
      <c r="S176" s="3">
        <f>0+(1471.1-536.7)+(0+(-3.751305--1.368585))+0-0-0</f>
        <v>932.01727999999991</v>
      </c>
      <c r="T176" s="3">
        <f>0+(1504.8-563.6)+(0+(0-0))+0-0-0</f>
        <v>941.19999999999993</v>
      </c>
      <c r="U176" s="3">
        <f>0+(1496.8-553.4)+(0+(1.526736-0.564468))+0-0-0</f>
        <v>944.36226799999997</v>
      </c>
      <c r="V176" s="3">
        <f>0+(1473.4-544.4)+(0+(-3.005736--1.110576))+0-0-0</f>
        <v>927.10484000000008</v>
      </c>
      <c r="W176" s="3">
        <f>0+(1421.4-507.9)+(0+(-2.899656--1.036116))+0-0-0</f>
        <v>911.63646000000017</v>
      </c>
      <c r="X176" s="3">
        <f>0+(1309.6-412.1)+(0+(-0.667896--0.210171))+0-0-0</f>
        <v>897.0422749999999</v>
      </c>
      <c r="Y176" s="3">
        <f>0+(1232.5-294.7)+(0+(-0.628575--0.150297))+0-0-0</f>
        <v>937.32172199999991</v>
      </c>
      <c r="Z176" s="3">
        <f>0+(1265.1-272.3)+(0+(-1.935603--0.416619))+0-0-0</f>
        <v>991.28101599999991</v>
      </c>
      <c r="AA176" s="3">
        <f>0+(1341.4-369.9)+(0+(-4.788798--1.320543))+0-0-0</f>
        <v>968.03174500000011</v>
      </c>
      <c r="AB176" s="3">
        <f>0+(1268-341.8)+(0+(-0.64668--0.174318))+0-0-0</f>
        <v>925.72763800000007</v>
      </c>
      <c r="AC176" s="3">
        <f>0+(1350.5-458.1)+(0+(-1.37751--0.467262))+0-0-0</f>
        <v>891.48975199999995</v>
      </c>
      <c r="AD176">
        <f t="shared" si="2"/>
        <v>20785.517077000004</v>
      </c>
      <c r="AE176" s="3">
        <f>0+(1319.1-314.8)+(0+(0-0))+0-0-0</f>
        <v>1004.3</v>
      </c>
    </row>
    <row r="177" spans="1:31" s="2" customFormat="1" x14ac:dyDescent="0.25">
      <c r="A177">
        <v>89</v>
      </c>
      <c r="B177">
        <v>6</v>
      </c>
      <c r="C177">
        <v>22</v>
      </c>
      <c r="D177">
        <v>3</v>
      </c>
      <c r="E177">
        <v>1</v>
      </c>
      <c r="F177" s="3">
        <f>0+(1365.1-519.6)+(0+(-2.784804--1.059984))+0-0-0</f>
        <v>843.77517999999986</v>
      </c>
      <c r="G177" s="3">
        <f>0+(1291.1-491.3)+(0+(-0.658461--0.250563))+0-0-0</f>
        <v>799.39210199999991</v>
      </c>
      <c r="H177" s="3">
        <f>0+(1252.1-473.7)+(0+(-1.277142--0.483174))+0-0-0</f>
        <v>777.60603199999991</v>
      </c>
      <c r="I177" s="3">
        <f>0+(1253.4-486.3)+(0+(-1.917702--0.744039))+0-0-0</f>
        <v>765.9263370000001</v>
      </c>
      <c r="J177" s="3">
        <f>0+(1231.9-465.9)+(0+(-1.256538--0.475218))+0-0-0</f>
        <v>765.21868000000006</v>
      </c>
      <c r="K177" s="3">
        <f>0+(1226.5-470.5)+(0+(2.50206-0.95982))+0-0-0</f>
        <v>757.54223999999999</v>
      </c>
      <c r="L177" s="3">
        <f>0+(1189.3-407.8)+(0+(-2.426172--0.831912))+0-0-0</f>
        <v>779.90574000000004</v>
      </c>
      <c r="M177" s="3">
        <f>0+(1154-345)+(0+(1.76562-0.52785))+0-0-0</f>
        <v>810.23776999999995</v>
      </c>
      <c r="N177" s="3">
        <f>0+(1234-377.3)+(0+(-0.62934--0.192423))+0-0-0</f>
        <v>856.26308300000005</v>
      </c>
      <c r="O177" s="3">
        <f>0+(1320-419.6)+(0+(0.6732-0.213996))+0-0-0</f>
        <v>900.85920399999998</v>
      </c>
      <c r="P177" s="3">
        <f>0+(1323.4-387.8)+(0+(1.349868-0.395556))+0-0-0</f>
        <v>936.5543120000001</v>
      </c>
      <c r="Q177" s="3">
        <f>0+(1352.7-404.3)+(0+(-0.689877--0.206193))+0-0-0</f>
        <v>947.91631600000005</v>
      </c>
      <c r="R177" s="3">
        <f>0+(1341.1-393.9)+(0+(0-0))+0-0-0</f>
        <v>947.19999999999993</v>
      </c>
      <c r="S177" s="3">
        <f>0+(1346.2-430.5)+(0+(-1.373124--0.43911))+0-0-0</f>
        <v>914.765986</v>
      </c>
      <c r="T177" s="3">
        <f>0+(1332.1-410.2)+(0+(0-0))+0-0-0</f>
        <v>921.89999999999986</v>
      </c>
      <c r="U177" s="3">
        <f>0+(1374.9-449)+(0+(0-0))+0-0-0</f>
        <v>925.90000000000009</v>
      </c>
      <c r="V177" s="3">
        <f>0+(1360.4-437.5)+(0+(-3.46902--1.115625))+0-0-0</f>
        <v>920.54660500000011</v>
      </c>
      <c r="W177" s="3">
        <f>0+(1340.9-433)+(0+(-4.103154--1.32498))+0-0-0</f>
        <v>905.12182600000006</v>
      </c>
      <c r="X177" s="3">
        <f>0+(1210-316.4)+(0+(-1.8513--0.484092))+0-0-0</f>
        <v>892.23279200000002</v>
      </c>
      <c r="Y177" s="3">
        <f>0+(1261.3-318.4)+(0+(-1.286526--0.324768))+0-0-0</f>
        <v>941.93824199999995</v>
      </c>
      <c r="Z177" s="3">
        <f>0+(1227.5-213.1)+(0+(-1.878075--0.326043))+0-0-0</f>
        <v>1012.8479679999999</v>
      </c>
      <c r="AA177" s="3">
        <f>0+(1231.9-265.7)+(0+(-1.884807--0.406521))+0-0-0</f>
        <v>964.72171400000002</v>
      </c>
      <c r="AB177" s="3">
        <f>0+(1270.2-338.8)+(0+(-2.591208--0.691152))+0-0-0</f>
        <v>929.49994400000014</v>
      </c>
      <c r="AC177" s="3">
        <f>0+(1337.4-450)+(0+(-1.364148--0.459))+0-0-0</f>
        <v>886.49485200000004</v>
      </c>
      <c r="AD177">
        <f t="shared" si="2"/>
        <v>21104.366924999998</v>
      </c>
      <c r="AE177" s="3">
        <f>0+(1235.1-203)+(0+(0-0))+0-0-0</f>
        <v>1032.0999999999999</v>
      </c>
    </row>
    <row r="178" spans="1:31" s="2" customFormat="1" x14ac:dyDescent="0.25">
      <c r="A178">
        <v>89</v>
      </c>
      <c r="B178">
        <v>6</v>
      </c>
      <c r="C178">
        <v>23</v>
      </c>
      <c r="D178">
        <v>4</v>
      </c>
      <c r="E178">
        <v>1</v>
      </c>
      <c r="F178" s="3">
        <f>0+(1335.7-485)+(0+(-2.043621--0.74205))+0-0-0</f>
        <v>849.39842900000008</v>
      </c>
      <c r="G178" s="3">
        <f>0+(1324.9-514.1)+(0+(-2.027097--0.786573))+0-0-0</f>
        <v>809.55947600000002</v>
      </c>
      <c r="H178" s="3">
        <f>0+(1257.3-467.7)+(0+(-0.641223--0.238527))+0-0-0</f>
        <v>789.19730399999992</v>
      </c>
      <c r="I178" s="3">
        <f>0+(1223.8-448.8)+(0+(-1.872414--0.686664))+0-0-0</f>
        <v>773.81425000000002</v>
      </c>
      <c r="J178" s="3">
        <f>0+(1201.5-432.5)+(0+(-3.063825--1.102875))+0-0-0</f>
        <v>767.03904999999997</v>
      </c>
      <c r="K178" s="3">
        <f>0+(1193.7-427.3)+(0+(-0.608787--0.217923))+0-0-0</f>
        <v>766.00913600000013</v>
      </c>
      <c r="L178" s="3">
        <f>0+(1217.4-430.3)+(0+(-2.483496--0.877812))+0-0-0</f>
        <v>785.49431600000014</v>
      </c>
      <c r="M178" s="3">
        <f>0+(1255.8-443.9)+(0+(0-0))+0-0-0</f>
        <v>811.9</v>
      </c>
      <c r="N178" s="3">
        <f>0+(1279.1-411.1)+(0+(-1.304682--0.419322))+0-0-0</f>
        <v>867.11463999999989</v>
      </c>
      <c r="O178" s="3">
        <f>0+(1366.9-452.7)+(0+(-2.091357--0.692631))+0-0-0</f>
        <v>912.80127400000003</v>
      </c>
      <c r="P178" s="3">
        <f>0+(1400.6-447.2)+(0+(-0.714306--0.228072))+0-0-0</f>
        <v>952.9137659999999</v>
      </c>
      <c r="Q178" s="3">
        <f>0+(1366-405.2)+(0+(-1.39332--0.413304))+0-0-0</f>
        <v>959.81998399999998</v>
      </c>
      <c r="R178" s="3">
        <f>0+(1323.2-363.6)+(0+(-3.37416--0.92718))+0-0-0</f>
        <v>957.15301999999997</v>
      </c>
      <c r="S178" s="3">
        <f>0+(1335-406.2)+(0+(-2.7234--0.828648))+0-0-0</f>
        <v>926.90524799999992</v>
      </c>
      <c r="T178" s="3">
        <f>0+(1331.8-398.8)+(0+(-0.679218--0.203388))+0-0-0</f>
        <v>932.52417000000003</v>
      </c>
      <c r="U178" s="3">
        <f>0+(1337.4-412.6)+(0+(-2.728296--0.841704))+0-0-0</f>
        <v>922.91340800000012</v>
      </c>
      <c r="V178" s="3">
        <f>0+(1350.8-431.2)+(0+(-1.377816--0.439824))+0-0-0</f>
        <v>918.6620079999999</v>
      </c>
      <c r="W178" s="3">
        <f>0+(1370.1-458.3)+(0+(-1.397502--0.467466))+0-0-0</f>
        <v>910.86996399999998</v>
      </c>
      <c r="X178" s="3">
        <f>0+(1268.9-372.2)+(0+(-1.294278--0.379644))+0-0-0</f>
        <v>895.78536600000007</v>
      </c>
      <c r="Y178" s="3">
        <f>0+(1239.6-294)+(0+(-1.896588--0.44982))+0-0-0</f>
        <v>944.15323199999989</v>
      </c>
      <c r="Z178" s="3">
        <f>0+(1251.7-256.1)+(0+(-1.915101--0.391833))+0-0-0</f>
        <v>994.07673199999999</v>
      </c>
      <c r="AA178" s="3">
        <f>0+(1262-301.2)+(0+(-3.2181--0.76806))+0-0-0</f>
        <v>958.34996000000001</v>
      </c>
      <c r="AB178" s="3">
        <f>0+(1272.6-349.2)+(0+(-1.298052--0.356184))+0-0-0</f>
        <v>922.45813199999986</v>
      </c>
      <c r="AC178" s="3">
        <f>0+(1294.2-400.9)+(0+(-1.320084--0.408918))+0-0-0</f>
        <v>892.38883400000009</v>
      </c>
      <c r="AD178">
        <f t="shared" si="2"/>
        <v>21221.301699000003</v>
      </c>
      <c r="AE178" s="3">
        <f>0+(1266.1-227.8)+(0+(0-0))+0-0-0</f>
        <v>1038.3</v>
      </c>
    </row>
    <row r="179" spans="1:31" s="2" customFormat="1" x14ac:dyDescent="0.25">
      <c r="A179">
        <v>89</v>
      </c>
      <c r="B179">
        <v>6</v>
      </c>
      <c r="C179">
        <v>24</v>
      </c>
      <c r="D179">
        <v>5</v>
      </c>
      <c r="E179">
        <v>1</v>
      </c>
      <c r="F179" s="3">
        <f>0+(1356.5-510.1)+(0+(-1.38363--0.520302))+0-0-0</f>
        <v>845.53667199999995</v>
      </c>
      <c r="G179" s="3">
        <f>0+(1246.9-439)+(0+(-0.635919--0.22389))+0-0-0</f>
        <v>807.48797100000013</v>
      </c>
      <c r="H179" s="3">
        <f>0+(1189-409.2)+(0+(1.81917-0.626076))+0-0-0</f>
        <v>780.99309399999993</v>
      </c>
      <c r="I179" s="3">
        <f>0+(1269.1-492)+(0+(0-0))+0-0-0</f>
        <v>777.09999999999991</v>
      </c>
      <c r="J179" s="3">
        <f>0+(1292.3-521.7)+(0+(-1.318146--0.532134))+0-0-0</f>
        <v>769.81398799999988</v>
      </c>
      <c r="K179" s="3">
        <f>0+(1330.3-572.6)+(0+(0-0))+0-0-0</f>
        <v>757.69999999999993</v>
      </c>
      <c r="L179" s="3">
        <f>0+(1323-547.7)+(0+(-2.02419--0.837981))+0-0-0</f>
        <v>774.11379099999999</v>
      </c>
      <c r="M179" s="3">
        <f>0+(1265.2-461.9)+(0+(-1.290504--0.471138))+0-0-0</f>
        <v>802.48063400000012</v>
      </c>
      <c r="N179" s="3">
        <f>0+(1335.1-477.1)+(0+(0.680901-0.243321))+0-0-0</f>
        <v>858.43757999999991</v>
      </c>
      <c r="O179" s="3">
        <f>0+(1400.8-506.6)+(0+(-0.714408--0.258366))+0-0-0</f>
        <v>893.74395799999991</v>
      </c>
      <c r="P179" s="3">
        <f>0+(1428.6-498.4)+(0+(0-0))+0-0-0</f>
        <v>930.19999999999993</v>
      </c>
      <c r="Q179" s="3">
        <f>0+(1413-473.5)+(0+(0.72063-0.241485))+0-0-0</f>
        <v>939.97914500000002</v>
      </c>
      <c r="R179" s="3">
        <f>0+(1323.5-384)+(0+(-0.674985--0.19584))+0-0-0</f>
        <v>939.02085499999998</v>
      </c>
      <c r="S179" s="3">
        <f>0+(1289.7-384.9)+(0+(-0.657747--0.196299))+0-0-0</f>
        <v>904.33855200000005</v>
      </c>
      <c r="T179" s="3">
        <f>0+(1319.7-415.1)+(0+(-2.019141--0.635103))+0-0-0</f>
        <v>903.21596199999999</v>
      </c>
      <c r="U179" s="3">
        <f>0+(1298.5-394.5)+(0+(1.32447-0.40239))+0-0-0</f>
        <v>904.92208000000005</v>
      </c>
      <c r="V179" s="3">
        <f>0+(1274.6-385.3)+(0+(0-0))+0-0-0</f>
        <v>889.3</v>
      </c>
      <c r="W179" s="3">
        <f>0+(1272.8-396.5)+(0+(-2.596512--0.80886))+0-0-0</f>
        <v>874.51234799999997</v>
      </c>
      <c r="X179" s="3">
        <f>0+(1208.1-339.2)+(0+(0.616131-0.172992))+0-0-0</f>
        <v>869.34313899999984</v>
      </c>
      <c r="Y179" s="3">
        <f>0+(1203.3-297.1)+(0+(-0.613683--0.151521))+0-0-0</f>
        <v>905.7378379999999</v>
      </c>
      <c r="Z179" s="3">
        <f>0+(1183.7-243)+(0+(-3.018435--0.61965))+0-0-0</f>
        <v>938.30121500000007</v>
      </c>
      <c r="AA179" s="3">
        <f>0+(1239.9-330)+(0+(-3.161745--0.8415))+0-0-0</f>
        <v>907.57975500000009</v>
      </c>
      <c r="AB179" s="3">
        <f>0+(1252.4-372)+(0+(-2.554896--0.75888))+0-0-0</f>
        <v>878.60398400000008</v>
      </c>
      <c r="AC179" s="3">
        <f>0+(1317.9-483.7)+(0+(-0.672129--0.246687))+0-0-0</f>
        <v>833.77455800000007</v>
      </c>
      <c r="AD179">
        <f t="shared" si="2"/>
        <v>20686.237119000001</v>
      </c>
      <c r="AE179" s="3">
        <f>0+(1251.9-280)+(0+(0-0))+0-0-0</f>
        <v>971.90000000000009</v>
      </c>
    </row>
    <row r="180" spans="1:31" s="2" customFormat="1" x14ac:dyDescent="0.25">
      <c r="A180">
        <v>89</v>
      </c>
      <c r="B180">
        <v>6</v>
      </c>
      <c r="C180">
        <v>25</v>
      </c>
      <c r="D180">
        <v>6</v>
      </c>
      <c r="E180">
        <v>1</v>
      </c>
      <c r="F180" s="3">
        <f>0+(1316.5-525.3)+(0+(-3.357075--1.339515))+0-0-0</f>
        <v>789.18244000000004</v>
      </c>
      <c r="G180" s="3">
        <f>0+(1250.1-483.9)+(0+(-2.550204--0.987156))+0-0-0</f>
        <v>764.63695199999995</v>
      </c>
      <c r="H180" s="3">
        <f>0+(1213.3-467.4)+(0+(0.618783-0.238374))+0-0-0</f>
        <v>746.28040899999996</v>
      </c>
      <c r="I180" s="3">
        <f>0+(1246.6-506)+(0+(-3.814596--1.54836))+0-0-0</f>
        <v>738.33376399999986</v>
      </c>
      <c r="J180" s="3">
        <f>0+(1243.1-508.5)+(0+(0.633981-0.259335))+0-0-0</f>
        <v>734.97464599999989</v>
      </c>
      <c r="K180" s="3">
        <f>0+(1229.8-504.1)+(0+(0-0))+0-0-0</f>
        <v>725.69999999999993</v>
      </c>
      <c r="L180" s="3">
        <f>0+(1210.8-465.8)+(0+(-3.08754--1.18779))+0-0-0</f>
        <v>743.10024999999996</v>
      </c>
      <c r="M180" s="3">
        <f>0+(1186.4-434.5)+(0+(0.605064-0.221595))+0-0-0</f>
        <v>752.28346900000008</v>
      </c>
      <c r="N180" s="3">
        <f>0+(1271.9-465.9)+(0+(-1.297338--0.475218))+0-0-0</f>
        <v>805.17788000000007</v>
      </c>
      <c r="O180" s="3">
        <f>0+(1342-496.1)+(0+(-0.68442--0.253011))+0-0-0</f>
        <v>845.46859099999995</v>
      </c>
      <c r="P180" s="3">
        <f>0+(1381.3-509)+(0+(-2.113389--0.77877))+0-0-0</f>
        <v>870.96538099999998</v>
      </c>
      <c r="Q180" s="3">
        <f>0+(1390.9-486.8)+(0+(-3.546795--1.24134))+0-0-0</f>
        <v>901.79454500000008</v>
      </c>
      <c r="R180" s="3">
        <f>0+(1347.1-462.3)+(0+(-7.557231--2.593503))+0-0-0</f>
        <v>879.83627200000001</v>
      </c>
      <c r="S180" s="3">
        <f>0+(1297.4-454.1)+(0+(-1.323348--0.463182))+0-0-0</f>
        <v>842.43983400000002</v>
      </c>
      <c r="T180" s="3">
        <f>0+(1343.3-495.6)+(0+(-1.370166--0.505512))+0-0-0</f>
        <v>846.83534599999996</v>
      </c>
      <c r="U180" s="3">
        <f>0+(1307.3-463.7)+(0+(-0.666723--0.236487))+0-0-0</f>
        <v>843.16976399999987</v>
      </c>
      <c r="V180" s="3">
        <f>0+(1207.1-367.5)+(0+(-1.231242--0.37485))+0-0-0</f>
        <v>838.74360799999988</v>
      </c>
      <c r="W180" s="3">
        <f>0+(1094.8-312.2)+(0+(-2.79174--0.79611))+0-0-0</f>
        <v>780.6043699999999</v>
      </c>
      <c r="X180" s="3">
        <f>0+(1137.5-378.1)+(0+(-0.580125--0.192831))+0-0-0</f>
        <v>759.01270599999998</v>
      </c>
      <c r="Y180" s="3">
        <f>0+(1230.7-417.7)+(0+(0-0))+0-0-0</f>
        <v>813</v>
      </c>
      <c r="Z180" s="3">
        <f>0+(1184.2-389.8)+(0+(-0.603942--0.198798))+0-0-0</f>
        <v>793.99485600000014</v>
      </c>
      <c r="AA180" s="3">
        <f>0+(1158-398.4)+(0+(-1.77174--0.609552))+0-0-0</f>
        <v>758.43781200000001</v>
      </c>
      <c r="AB180" s="3">
        <f>0+(1151.2-421)+(0+(-2.348448--0.85884))+0-0-0</f>
        <v>728.71039200000007</v>
      </c>
      <c r="AC180" s="3">
        <f>0+(1196.8-498.1)+(0+(-1.831104--0.762093))+0-0-0</f>
        <v>697.63098899999989</v>
      </c>
      <c r="AD180">
        <f t="shared" si="2"/>
        <v>19000.314276000005</v>
      </c>
      <c r="AE180" s="3">
        <f>118+(1237.2-403.2)+(0+(0-0))+0-0-0</f>
        <v>952</v>
      </c>
    </row>
    <row r="181" spans="1:31" s="2" customFormat="1" x14ac:dyDescent="0.25">
      <c r="A181">
        <v>89</v>
      </c>
      <c r="B181">
        <v>6</v>
      </c>
      <c r="C181">
        <v>26</v>
      </c>
      <c r="D181">
        <v>7</v>
      </c>
      <c r="E181">
        <v>1</v>
      </c>
      <c r="F181" s="3">
        <f>0+(1110-449.9)+(0+(-2.2644--0.917796))+0-0-0</f>
        <v>658.75339600000007</v>
      </c>
      <c r="G181" s="3">
        <f>0+(1141.4-509.4)+(0+(-2.91057--1.29897))+0-0-0</f>
        <v>630.38840000000016</v>
      </c>
      <c r="H181" s="3">
        <f>0+(1112.7-507.5)+(0+(0.567477-0.258825))+0-0-0</f>
        <v>605.5086520000001</v>
      </c>
      <c r="I181" s="3">
        <f>0+(1049.7-373.1)+(0+(0.535347-0.190281))+0-0-0</f>
        <v>676.945066</v>
      </c>
      <c r="J181" s="3">
        <f>0+(1051.8-356.4)+(0+(0-0))+0-0-0</f>
        <v>695.4</v>
      </c>
      <c r="K181" s="3">
        <f>0+(1034.5-356.6)+(0+(0.527595-0.181866))+0-0-0</f>
        <v>678.24572899999998</v>
      </c>
      <c r="L181" s="3">
        <f>0+(1031.9-359.5)+(0+(-2.631345--0.916725))+0-0-0</f>
        <v>670.68538000000012</v>
      </c>
      <c r="M181" s="3">
        <f>0+(1054.1-392.4)+(0+(-1.612773--0.600372))+0-0-0</f>
        <v>660.68759899999998</v>
      </c>
      <c r="N181" s="3">
        <f>0+(1010.1-328.1)+(0+(0-0))+0-0-0</f>
        <v>682</v>
      </c>
      <c r="O181" s="3">
        <f>0+(951.6-236.2)+(0+(-0.485316--0.120462))+0-0-0</f>
        <v>715.03514600000005</v>
      </c>
      <c r="P181" s="3">
        <f>0+(1038.2-291.4)+(0+(-1.058964--0.297228))+0-0-0</f>
        <v>746.03826400000003</v>
      </c>
      <c r="Q181" s="3">
        <f>0+(1121.8-367.3)+(0+(-1.716354--0.561969))+0-0-0</f>
        <v>753.34561499999995</v>
      </c>
      <c r="R181" s="3">
        <f>0+(1183.3-465.8)+(0+(0-0))+0-0-0</f>
        <v>717.5</v>
      </c>
      <c r="S181" s="3">
        <f>0+(1210.4-522)+(0+(-1.234608--0.53244))+0-0-0</f>
        <v>687.69783200000006</v>
      </c>
      <c r="T181" s="3">
        <f>0+(1239-554.1)+(0+(-2.52756--1.130364))+0-0-0</f>
        <v>683.50280399999997</v>
      </c>
      <c r="U181" s="3">
        <f>0+(1204.1-516.3)+(0+(-1.228182--0.526626))+0-0-0</f>
        <v>687.09844399999997</v>
      </c>
      <c r="V181" s="3">
        <f>0+(1183.6-502)+(0+(-1.207272--0.51204))+0-0-0</f>
        <v>680.90476799999988</v>
      </c>
      <c r="W181" s="3">
        <f>0+(1122.4-446.6)+(0+(-0.572424--0.227766))+0-0-0</f>
        <v>675.45534200000009</v>
      </c>
      <c r="X181" s="3">
        <f>0+(1003.7-327.7)+(0+(-1.535661--0.501381))+0-0-0</f>
        <v>674.96572000000003</v>
      </c>
      <c r="Y181" s="3">
        <f>0+(950.2-203.3)+(0+(-1.453806--0.311049))+0-0-0</f>
        <v>745.75724300000013</v>
      </c>
      <c r="Z181" s="3">
        <f>0+(1011.1-208.8)+(0+(0-0))+0-0-0</f>
        <v>802.3</v>
      </c>
      <c r="AA181" s="3">
        <f>0+(1013.1-231.3)+(0+(-3.616767--0.825741))+0-0-0</f>
        <v>779.00897399999997</v>
      </c>
      <c r="AB181" s="3">
        <f>0+(1041.2-295.5)+(0+(-2.124048--0.60282))+0-0-0</f>
        <v>744.17877200000009</v>
      </c>
      <c r="AC181" s="3">
        <f>0+(993.4-273.2)+(0+(-1.013268--0.278664))+0-0-0</f>
        <v>719.46539600000006</v>
      </c>
      <c r="AD181">
        <f t="shared" si="2"/>
        <v>16770.868541999997</v>
      </c>
      <c r="AE181" s="3">
        <f>45+(1047.5-189.7)+(0+(0-0))+0-0-0</f>
        <v>902.8</v>
      </c>
    </row>
    <row r="182" spans="1:31" s="2" customFormat="1" x14ac:dyDescent="0.25">
      <c r="A182">
        <v>89</v>
      </c>
      <c r="B182">
        <v>6</v>
      </c>
      <c r="C182">
        <v>27</v>
      </c>
      <c r="D182">
        <v>1</v>
      </c>
      <c r="E182">
        <v>1</v>
      </c>
      <c r="F182" s="3">
        <f>45+(1066-387.4)+(-0.06885+(-1.63098--0.592722))+0-0-0</f>
        <v>722.49289199999998</v>
      </c>
      <c r="G182" s="3">
        <f>45+(1048.2-404.4)+(-0.0918+(-2.138328--0.824976))+0-0-0</f>
        <v>687.39484800000002</v>
      </c>
      <c r="H182" s="3">
        <f>45+(1031-402)+(-0.0918+(-2.10324--0.82008))+0-0-0</f>
        <v>672.62504000000001</v>
      </c>
      <c r="I182" s="3">
        <f>45+(1024.3-400.4)+(-0.02295+(-0.522393--0.204204))+0-0-0</f>
        <v>668.55886099999998</v>
      </c>
      <c r="J182" s="3">
        <f>45+(938.1-322.6)+(0.02295+(0.478431-0.164526))+0-0-0</f>
        <v>660.83685500000001</v>
      </c>
      <c r="K182" s="3">
        <f>45+(928.1-308.8)+(0.02295+(0.473331-0.157488))+0-0-0</f>
        <v>664.63879299999996</v>
      </c>
      <c r="L182" s="3">
        <f>45.3+(933-272.9)+(-0.115515+(-2.37915--0.695895))+0-0-0</f>
        <v>703.60122999999999</v>
      </c>
      <c r="M182" s="3">
        <f>45.1+(931.2-226)+(-0.092004+(-1.899648--0.46104))+0-0-0</f>
        <v>748.76938800000005</v>
      </c>
      <c r="N182" s="3">
        <f>45.1+(1084.8-315.7)+(0+(0-0))+0-0-0</f>
        <v>814.19999999999993</v>
      </c>
      <c r="O182" s="3">
        <f>45.1+(1229.9-413.9)+(0+(0-0))+0-0-0</f>
        <v>861.10000000000014</v>
      </c>
      <c r="P182" s="3">
        <f>105.2+(1204.1-413.4)+(-0.053652+(-0.614091--0.210834))+0-0-0</f>
        <v>895.44309099999998</v>
      </c>
      <c r="Q182" s="3">
        <f>117+(1234.3-438.8)+(-0.23868+(-2.517972--0.895152))+0-0-0</f>
        <v>910.63850000000002</v>
      </c>
      <c r="R182" s="3">
        <f>116.3+(1266.3-473.5)+(-0.118626+(-1.291626--0.48297))+0-0-0</f>
        <v>908.17271799999992</v>
      </c>
      <c r="S182" s="3">
        <f>115.4+(1275.4-516.1)+(-0.353124+(-3.902724--1.579266))+0-0-0</f>
        <v>872.02341799999999</v>
      </c>
      <c r="T182" s="3">
        <f>114.6+(1331-561.7)+(-0.116892+(-1.35762--0.572934))+0-0-0</f>
        <v>882.99842200000001</v>
      </c>
      <c r="U182" s="3">
        <f>114+(1316.5-553.9)+(-0.17442+(-2.014245--0.847467))+0-0-0</f>
        <v>875.25880200000006</v>
      </c>
      <c r="V182" s="3">
        <f>113.7+(1302.9-543.1)+(-0.115974+(-1.328958--0.553962))+0-0-0</f>
        <v>872.60903000000008</v>
      </c>
      <c r="W182" s="3">
        <f>114+(1238.7-493.9)+(-0.23256+(-2.526948--1.007556))+0-0-0</f>
        <v>857.04804800000011</v>
      </c>
      <c r="X182" s="3">
        <f>114.8+(1123.2-385.8)+(-0.175644+(-1.718496--0.590274))+0-0-0</f>
        <v>850.89613400000007</v>
      </c>
      <c r="Y182" s="3">
        <f>116.6+(1149-353)+(-0.059466+(-0.58599--0.18003))+0-0-0</f>
        <v>912.13457400000004</v>
      </c>
      <c r="Z182" s="3">
        <f>89.7+(1147.6-282.4)+(-0.182988+(-2.341104--0.576096))+0-0-0</f>
        <v>952.95200399999999</v>
      </c>
      <c r="AA182" s="3">
        <f>0+(1127.6-204.2)+(0+(0.575076-0.104142))+0-0-0</f>
        <v>923.87093399999992</v>
      </c>
      <c r="AB182" s="3">
        <f>0+(1114.8-238)+(0+(-2.274192--0.48552))+0-0-0</f>
        <v>875.01132799999993</v>
      </c>
      <c r="AC182" s="3">
        <f>0+(1169-326.7)+(0+(-2.38476--0.666468))+0-0-0</f>
        <v>840.58170799999994</v>
      </c>
      <c r="AD182">
        <f t="shared" si="2"/>
        <v>19633.856618000002</v>
      </c>
      <c r="AE182" s="3">
        <f>120+(1166.6-306.2)+(0+(0-0))+0-0-0</f>
        <v>980.39999999999986</v>
      </c>
    </row>
    <row r="183" spans="1:31" s="2" customFormat="1" x14ac:dyDescent="0.25">
      <c r="A183">
        <v>89</v>
      </c>
      <c r="B183">
        <v>6</v>
      </c>
      <c r="C183">
        <v>28</v>
      </c>
      <c r="D183">
        <v>2</v>
      </c>
      <c r="E183">
        <v>1</v>
      </c>
      <c r="F183" s="3">
        <f>22.4+(1137.1-369.1)+(0+(0-0))+0-0-0</f>
        <v>790.39999999999986</v>
      </c>
      <c r="G183" s="3">
        <f>44.9+(1255.4-535.9)+(-0.022899+(-0.640254--0.273309))+0-0-0</f>
        <v>764.01015600000005</v>
      </c>
      <c r="H183" s="3">
        <f>45+(1172.3-474.4)+(-0.02295+(-0.597873--0.241944))+0-0-0</f>
        <v>742.52112099999999</v>
      </c>
      <c r="I183" s="3">
        <f>45.4+(1145.9-462)+(-0.046308+(-1.168818--0.47124))+0-0-0</f>
        <v>728.55611400000009</v>
      </c>
      <c r="J183" s="3">
        <f>45+(1150.4-460.4)+(-0.02295+(-0.586704--0.234804))+0-0-0</f>
        <v>734.62515000000008</v>
      </c>
      <c r="K183" s="3">
        <f>45.1+(1109.2-426.4)+(-0.046002+(-1.131384--0.434928))+0-0-0</f>
        <v>727.15754200000003</v>
      </c>
      <c r="L183" s="3">
        <f>45.1+(1051.6-341.1)+(-0.115005+(-2.68158--0.869805))+0-0-0</f>
        <v>753.6732199999999</v>
      </c>
      <c r="M183" s="3">
        <f>44.9+(1020.8-286.7)+(0+(0-0))+0-0-0</f>
        <v>778.99999999999989</v>
      </c>
      <c r="N183" s="3">
        <f>45+(1174.3-389)+(-0.0459+(-1.197786--0.39678))+0-0-0</f>
        <v>829.45309399999996</v>
      </c>
      <c r="O183" s="3">
        <f>45.1+(1193.1-390.5)+(-0.115005+(-3.042405--0.995775))+0-0-0</f>
        <v>845.53836499999989</v>
      </c>
      <c r="P183" s="3">
        <f>44.9+(1244.3-394.3)+(0+(0-0))+0-0-0</f>
        <v>894.9</v>
      </c>
      <c r="Q183" s="3">
        <f>45.1+(1195.4-328.8)+(-0.069003+(-1.828962--0.503064))+0-0-0</f>
        <v>910.30509900000015</v>
      </c>
      <c r="R183" s="3">
        <f>68+(1164.3-332.8)+(-0.10404+(-1.781379--0.509184))+0-0-0</f>
        <v>898.12376500000005</v>
      </c>
      <c r="S183" s="3">
        <f>116.7+(1176.1-420.4)+(-0.238068+(-2.399244--0.857616))+0-0-0</f>
        <v>870.62030400000003</v>
      </c>
      <c r="T183" s="3">
        <f>78.8+(1225.1-419)+(0.040188+(0.624801-0.21369))+0-0-0</f>
        <v>885.35129899999981</v>
      </c>
      <c r="U183" s="3">
        <f>45.1+(1226.8-399.9)+(-0.046002+(-1.251336--0.407898))+0-0-0</f>
        <v>871.11055999999996</v>
      </c>
      <c r="V183" s="3">
        <f>45.1+(1207.2-380.1)+(-0.115005+(-3.07836--0.969255))+0-0-0</f>
        <v>869.97589000000005</v>
      </c>
      <c r="W183" s="3">
        <f>45.1+(1149.3-328.6)+(-0.092004+(-2.344572--0.670344))+0-0-0</f>
        <v>864.03376800000001</v>
      </c>
      <c r="X183" s="3">
        <f>45.1+(1063.9-241.6)+(0.023001+(0.542589-0.123216))+0-0-0</f>
        <v>867.84237400000006</v>
      </c>
      <c r="Y183" s="3">
        <f>62.9+(1057.2-204.2)+(-0.032079+(-0.539172--0.104142))+0-0-0</f>
        <v>915.43289099999993</v>
      </c>
      <c r="Z183" s="3">
        <f>118.8+(1060.3-240)+(-0.181764+(-1.622259--0.3672))+0-0-0</f>
        <v>937.66317699999991</v>
      </c>
      <c r="AA183" s="3">
        <f>120.2+(1065-284)+(-0.245208+(-2.1726--0.57936))+0-0-0</f>
        <v>899.36155200000007</v>
      </c>
      <c r="AB183" s="3">
        <f>121.4+(1047.2-315.1)+(-0.371484+(-3.204432--0.964206))+0-0-0</f>
        <v>850.88828999999998</v>
      </c>
      <c r="AC183" s="3">
        <f>120.3+(1045.4-357.9)+(-0.061353+(-0.533154--0.182529))+0-0-0</f>
        <v>807.38802200000009</v>
      </c>
      <c r="AD183">
        <f t="shared" si="2"/>
        <v>20037.931752999993</v>
      </c>
      <c r="AE183" s="3">
        <f>118+(1095.4-237.3)+(0+(0-0))+0-0-0</f>
        <v>976.10000000000014</v>
      </c>
    </row>
    <row r="184" spans="1:31" s="2" customFormat="1" x14ac:dyDescent="0.25">
      <c r="A184">
        <v>89</v>
      </c>
      <c r="B184">
        <v>6</v>
      </c>
      <c r="C184">
        <v>29</v>
      </c>
      <c r="D184">
        <v>3</v>
      </c>
      <c r="E184">
        <v>1</v>
      </c>
      <c r="F184" s="3">
        <f>122+(1039-379.9)+(-0.24888+(-2.11956--0.774996))+0-0-0</f>
        <v>779.50655600000005</v>
      </c>
      <c r="G184" s="3">
        <f>122.4+(1069.6-445.7)+(0+(0-0))+0-0-0</f>
        <v>746.29999999999984</v>
      </c>
      <c r="H184" s="3">
        <f>123.6+(1057.8-453.4)+(-0.189108+(-1.618434--0.693702))+0-0-0</f>
        <v>726.88616000000002</v>
      </c>
      <c r="I184" s="3">
        <f>122.2+(1052.6-448.8)+(-0.124644+(-1.073652--0.457776))+0-0-0</f>
        <v>725.25948000000005</v>
      </c>
      <c r="J184" s="3">
        <f>123.2+(1017.1-430.3)+(0.062832+(0.518721-0.219453))+0-0-0</f>
        <v>710.36210000000005</v>
      </c>
      <c r="K184" s="3">
        <f>123.6+(1004.2-421.7)+(0+(0-0))+0-0-0</f>
        <v>706.1</v>
      </c>
      <c r="L184" s="3">
        <f>122.3+(998.8-386)+(-0.374238+(-3.056328--1.18116))+0-0-0</f>
        <v>732.85059399999989</v>
      </c>
      <c r="M184" s="3">
        <f>48.4+(1009.4-293.9)+(0+(0-0))+0-0-0</f>
        <v>763.9</v>
      </c>
      <c r="N184" s="3">
        <f>48.1+(997.4-219)+(-0.024531+(-0.508674--0.11169))+0-0-0</f>
        <v>826.078485</v>
      </c>
      <c r="O184" s="3">
        <f>48.1+(1061.5-242.5)+(-0.024531+(-0.541365--0.123675))+0-0-0</f>
        <v>866.657779</v>
      </c>
      <c r="P184" s="3">
        <f>91+(1123-330.4)+(0+(0-0))+0-0-0</f>
        <v>883.6</v>
      </c>
      <c r="Q184" s="3">
        <f>120+(1210.2-417.9)+(-0.1836+(-1.851606--0.639387))+0-0-0</f>
        <v>910.90418100000011</v>
      </c>
      <c r="R184" s="3">
        <f>113+(1240.3-458.7)+(-0.05763+(-0.632553--0.233937))+0-0-0</f>
        <v>894.14375399999994</v>
      </c>
      <c r="S184" s="3">
        <f>114+(1261.6-499.1)+(-0.40698+(-4.503912--1.781787))+0-0-0</f>
        <v>873.3708949999999</v>
      </c>
      <c r="T184" s="3">
        <f>114+(1296.6-521.2)+(0.05814+(0.661266-0.265812))+0-0-0</f>
        <v>889.85359399999982</v>
      </c>
      <c r="U184" s="3">
        <f>121+(1284.8-510.2)+(-0.24684+(-2.620992--1.040808))+0-0-0</f>
        <v>893.77297599999986</v>
      </c>
      <c r="V184" s="3">
        <f>119+(1264.3-497.8)+(-0.24276+(-2.579172--1.015512))+0-0-0</f>
        <v>883.69358</v>
      </c>
      <c r="W184" s="3">
        <f>109+(1233.7-480.7)+(-0.27795+(-3.145935--1.225785))+0-0-0</f>
        <v>859.80190000000005</v>
      </c>
      <c r="X184" s="3">
        <f>116+(1214.2-474.7)+(-0.05916+(-0.619242--0.242097))+0-0-0</f>
        <v>855.06369500000005</v>
      </c>
      <c r="Y184" s="3">
        <f>121+(1148.1-342.9)+(0.06171+(0.585531-0.174879))+0-0-0</f>
        <v>926.67236199999991</v>
      </c>
      <c r="Z184" s="3">
        <f>117+(1116.3-280)+(-0.23868+(-2.277252--0.5712))+0-0-0</f>
        <v>951.35526799999991</v>
      </c>
      <c r="AA184" s="3">
        <f>122+(1145.5-349.3)+(-0.37332+(-3.50523--1.068858))+0-0-0</f>
        <v>915.390308</v>
      </c>
      <c r="AB184" s="3">
        <f>121+(1171.4-408)+(-0.24684+(-2.389656--0.83232))+0-0-0</f>
        <v>882.59582400000011</v>
      </c>
      <c r="AC184" s="3">
        <f>117+(1133-403.2)+(-0.23868+(-2.31132--0.822528))+0-0-0</f>
        <v>845.07252799999992</v>
      </c>
      <c r="AD184">
        <f t="shared" si="2"/>
        <v>20049.192019000002</v>
      </c>
      <c r="AE184" s="3">
        <f>117+(1137.9-273.7)+(0+(0-0))+0-0-0</f>
        <v>981.2</v>
      </c>
    </row>
    <row r="185" spans="1:31" s="2" customFormat="1" x14ac:dyDescent="0.25">
      <c r="A185">
        <v>89</v>
      </c>
      <c r="B185">
        <v>6</v>
      </c>
      <c r="C185">
        <v>30</v>
      </c>
      <c r="D185">
        <v>4</v>
      </c>
      <c r="E185">
        <v>1</v>
      </c>
      <c r="F185" s="3">
        <f>120+(1159.5-489)+(-0.1836+(-1.774035--0.74817))+0-0-0</f>
        <v>789.29053499999998</v>
      </c>
      <c r="G185" s="3">
        <f>112+(1137.6-493.5)+(-0.17136+(-1.740528--0.755055))+0-0-0</f>
        <v>754.9431669999999</v>
      </c>
      <c r="H185" s="3">
        <f>55+(1118.8-422.7)+(0+(0-0))+0-0-0</f>
        <v>751.09999999999991</v>
      </c>
      <c r="I185" s="3">
        <f>55+(1098.1-417.1)+(-0.02805+(-0.560031--0.212721))+0-0-0</f>
        <v>735.62463999999989</v>
      </c>
      <c r="J185" s="3">
        <f>55+(1094.7-428.1)+(-0.02805+(-0.558297--0.218331))+0-0-0</f>
        <v>721.23198400000001</v>
      </c>
      <c r="K185" s="3">
        <f>55+(1081.8-414.4)+(0.02805+(0.551718-0.211344))+0-0-0</f>
        <v>722.76842399999998</v>
      </c>
      <c r="L185" s="3">
        <f>55+(1077.9-380.8)+(-0.0561+(-1.099458--0.388416))+0-0-0</f>
        <v>751.3328580000001</v>
      </c>
      <c r="M185" s="3">
        <f>55+(1054.1-331.4)+(-0.0561+(-1.075182--0.338028))+0-0-0</f>
        <v>776.90674599999988</v>
      </c>
      <c r="N185" s="3">
        <f>55+(1040.7-264.9)+(0.02805+(0.530757-0.135099))+0-0-0</f>
        <v>831.2237080000001</v>
      </c>
      <c r="O185" s="3">
        <f>55+(1104-276.6)+(-0.0561+(-1.12608--0.282132))+0-0-0</f>
        <v>881.49995200000001</v>
      </c>
      <c r="P185" s="3">
        <f>78+(1110.9-286.9)+(-0.03978+(-0.566559--0.146319))+0-0-0</f>
        <v>901.53998000000013</v>
      </c>
      <c r="Q185" s="3">
        <f>115.4+(1099.1-305.3)+(0+(0-0))+0-0-0</f>
        <v>909.19999999999993</v>
      </c>
      <c r="R185" s="3">
        <f>114.6+(1048.5-262.5)+(0.058446+(0.534735-0.133875))+0-0-0</f>
        <v>901.05930599999999</v>
      </c>
      <c r="S185" s="3">
        <f>114.1+(1031-278.2)+(-0.290955+(-2.62905--0.70941))+0-0-0</f>
        <v>864.68940499999997</v>
      </c>
      <c r="T185" s="3">
        <f>112.9+(1063.5-306.9)+(0.115158+(1.08477-0.313038))+0-0-0</f>
        <v>870.38688999999999</v>
      </c>
      <c r="U185" s="3">
        <f>112.9+(1068.3-306.7)+(-0.115158+(-1.089666--0.312834))+0-0-0</f>
        <v>873.60800999999992</v>
      </c>
      <c r="V185" s="3">
        <f>113+(1068.8-309)+(-0.23052+(-2.180352--0.63036))+0-0-0</f>
        <v>871.01948799999991</v>
      </c>
      <c r="W185" s="3">
        <f>113.3+(1035.6-285.5)+(-0.115566+(-1.056312--0.29121))+0-0-0</f>
        <v>862.51933199999985</v>
      </c>
      <c r="X185" s="3">
        <f>114+(1021.8-283.7)+(-0.11628+(-1.042236--0.289374))+0-0-0</f>
        <v>851.2308579999999</v>
      </c>
      <c r="Y185" s="3">
        <f>115.5+(1009.1-171.7)+(0+(0-0))+0-0-0</f>
        <v>952.90000000000009</v>
      </c>
      <c r="Z185" s="3">
        <f>116.9+(964.7-133.8)+(-0.298095+(-2.459985--0.34119))+0-0-0</f>
        <v>945.3831100000001</v>
      </c>
      <c r="AA185" s="3">
        <f>117.2+(969.4-190.4)+(-0.358632+(-2.966364--0.582624))+0-0-0</f>
        <v>893.457628</v>
      </c>
      <c r="AB185" s="3">
        <f>117.6+(994.1-191.4)+(-0.119952+(-1.013982--0.195228))+0-0-0</f>
        <v>919.36129400000004</v>
      </c>
      <c r="AC185" s="3">
        <f>117.7+(976-287.6)+(-0.120054+(-0.99552--0.293352))+0-0-0</f>
        <v>805.27777800000001</v>
      </c>
      <c r="AD185">
        <f t="shared" si="2"/>
        <v>20137.555092999995</v>
      </c>
      <c r="AE185" s="3">
        <f>117+(986.8-115)+(0+(0-0))+0-0-0</f>
        <v>988.8</v>
      </c>
    </row>
    <row r="186" spans="1:31" s="2" customFormat="1" x14ac:dyDescent="0.25">
      <c r="A186">
        <v>89</v>
      </c>
      <c r="B186">
        <v>6</v>
      </c>
      <c r="C186">
        <v>31</v>
      </c>
      <c r="D186">
        <v>5</v>
      </c>
      <c r="E186">
        <v>1</v>
      </c>
      <c r="F186" s="3">
        <f>118.4+(1051.1-378.6)+(-0.120768+(-1.072122--0.386172))+0-0-0</f>
        <v>790.09328199999982</v>
      </c>
      <c r="G186" s="3">
        <f>119.6+(1043.7-428.1)+(-0.182988+(-1.596861--0.654993))+0-0-0</f>
        <v>734.07514400000002</v>
      </c>
      <c r="H186" s="3">
        <f>120.2+(1056.1-418)+(-0.183906+(-1.615833--0.63954))+0-0-0</f>
        <v>757.13980099999992</v>
      </c>
      <c r="I186" s="3">
        <f>120.8+(998.2-413.6)+(0.123216+(1.018164-0.421872))+0-0-0</f>
        <v>706.119508</v>
      </c>
      <c r="J186" s="3">
        <f>120.8+(973.1-371.7)+(-0.061608+(-0.496281--0.189567))+0-0-0</f>
        <v>721.83167800000001</v>
      </c>
      <c r="K186" s="3">
        <f>120.4+(960.9-328)+(-0.122808+(-0.980118--0.33456))+0-0-0</f>
        <v>752.53163399999994</v>
      </c>
      <c r="L186" s="3">
        <f>69+(937.6-224.9)+(-0.07038+(-0.956352--0.229398))+0-0-0</f>
        <v>780.90266600000007</v>
      </c>
      <c r="M186" s="3">
        <f>45.1+(908.8-114.5)+(0+(0-0))+0-0-0</f>
        <v>839.4</v>
      </c>
      <c r="N186" s="3">
        <f>54.4+(921.9-111.4)+(0.027744+(0.470169-0.056814))+0-0-0</f>
        <v>865.34109899999999</v>
      </c>
      <c r="O186" s="3">
        <f>116.1+(999.6-210.2)+(0+(0-0))+0-0-0</f>
        <v>905.50000000000011</v>
      </c>
      <c r="P186" s="3">
        <f>115+(1024.6-213.9)+(0.1173+(1.045092-0.218178))+0-0-0</f>
        <v>926.64421399999992</v>
      </c>
      <c r="Q186" s="3">
        <f>114.2+(944.3-124.4)+(-0.058242+(-0.481593--0.063444))+0-0-0</f>
        <v>933.62360899999999</v>
      </c>
      <c r="R186" s="3">
        <f>113.6+(929.9-135.7)+(-0.463488+(-3.793992--0.553656))+0-0-0</f>
        <v>904.09617600000001</v>
      </c>
      <c r="S186" s="3">
        <f>112.7+(955.7-176.6)+(-0.057477+(-0.487407--0.090066))+0-0-0</f>
        <v>891.34518200000002</v>
      </c>
      <c r="T186" s="3">
        <f>112.1+(975.6-189.6)+(-0.057171+(-0.497556--0.096696))+0-0-0</f>
        <v>897.64196900000002</v>
      </c>
      <c r="U186" s="3">
        <f>112+(986.7-202.9)+(-0.17136+(-1.509651--0.310437))+0-0-0</f>
        <v>894.42942600000003</v>
      </c>
      <c r="V186" s="3">
        <f>112.6+(1003.4-225)+(0+(0-0))+0-0-0</f>
        <v>891</v>
      </c>
      <c r="W186" s="3">
        <f>113.3+(924.2-155)+(-0.057783+(-0.471342--0.07905))+0-0-0</f>
        <v>882.04992500000003</v>
      </c>
      <c r="X186" s="3">
        <f>115+(948.7-117.4)+(-0.05865+(-0.483837--0.059874))+0-0-0</f>
        <v>945.81738700000005</v>
      </c>
      <c r="Y186" s="3">
        <f>115.9+(976.2-115.4)+(0.059109+(0.497862-0.058854))+0-0-0</f>
        <v>977.19811700000002</v>
      </c>
      <c r="Z186" s="3">
        <f>116.6+(974.1-146.1)+(-0.118932+(-0.993582--0.149022))+0-0-0</f>
        <v>943.63650800000005</v>
      </c>
      <c r="AA186" s="3">
        <f>117.5+(1004.4-224.8)+(-0.35955+(-3.073464--0.687888))+0-0-0</f>
        <v>894.35487399999988</v>
      </c>
      <c r="AB186" s="3">
        <f>117.7+(959.5-220.9)+(-0.240108+(-1.95738--0.450636))+0-0-0</f>
        <v>854.55314800000008</v>
      </c>
      <c r="AC186" s="3">
        <f>117.9+(987.2-283.1)+(-0.240516+(-2.013888--0.577524))+0-0-0</f>
        <v>820.32312000000002</v>
      </c>
      <c r="AD186">
        <f t="shared" si="2"/>
        <v>20509.648467000003</v>
      </c>
      <c r="AE186" s="3">
        <f>117+(1006.6-114.2)+(0+(0-0))+0-0-0</f>
        <v>1009.4</v>
      </c>
    </row>
    <row r="187" spans="1:31" s="2" customFormat="1" x14ac:dyDescent="0.25">
      <c r="A187">
        <v>89</v>
      </c>
      <c r="B187">
        <v>7</v>
      </c>
      <c r="C187">
        <v>1</v>
      </c>
      <c r="D187">
        <v>6</v>
      </c>
      <c r="E187">
        <v>1</v>
      </c>
      <c r="F187" s="3">
        <f>119.2+(1031-373.4)+(-0.121584+(-1.05162--0.380868))+0-0-0</f>
        <v>776.00766400000009</v>
      </c>
      <c r="G187" s="3">
        <f>119.6+(992.8-370.6)+(-0.182988+(-1.518984--0.567018))+0-0-0</f>
        <v>740.66504599999996</v>
      </c>
      <c r="H187" s="3">
        <f>120.3+(984.3-373.6)+(-0.061353+(-0.501993--0.190536))+0-0-0</f>
        <v>730.62718999999993</v>
      </c>
      <c r="I187" s="3">
        <f>121.3+(939.1-324.8)+(0.061863+(0.478941-0.165648))+0-0-0</f>
        <v>735.97515599999986</v>
      </c>
      <c r="J187" s="3">
        <f>88.1+(911.1-273.2)+(-0.134793+(-1.393983--0.417996))+0-0-0</f>
        <v>724.88922000000014</v>
      </c>
      <c r="K187" s="3">
        <f>48+(901.1-225.2)+(-0.04896+(-0.919122--0.229704))+0-0-0</f>
        <v>723.16162200000008</v>
      </c>
      <c r="L187" s="3">
        <f>48.2+(871.3-187.7)+(0.024582+(0.444363-0.095727))+0-0-0</f>
        <v>732.17321799999991</v>
      </c>
      <c r="M187" s="3">
        <f>47.9+(931.2-196.8)+(0+(0-0))+0-0-0</f>
        <v>782.30000000000007</v>
      </c>
      <c r="N187" s="3">
        <f>45.8+(1013.5-227.2)+(0.023358+(0.516885-0.115872))+0-0-0</f>
        <v>832.52437099999986</v>
      </c>
      <c r="O187" s="3">
        <f>71.9+(1100.4-304.9)+(-0.036669+(-0.561204--0.155499))+0-0-0</f>
        <v>866.95762600000012</v>
      </c>
      <c r="P187" s="3">
        <f>113.7+(1063.8-302.1)+(-0.057987+(-0.542538--0.154071))+0-0-0</f>
        <v>874.95354599999996</v>
      </c>
      <c r="Q187" s="3">
        <f>112.8+(968.3-192.5)+(-0.057528+(-0.493833--0.098175))+0-0-0</f>
        <v>888.14681399999995</v>
      </c>
      <c r="R187" s="3">
        <f>111.8+(972.5-217.5)+(-0.057018+(-0.495975--0.110925))+0-0-0</f>
        <v>866.35793200000001</v>
      </c>
      <c r="S187" s="3">
        <f>111.2+(1088-349.1)+(-0.170136+(-1.66464--0.534123))+0-0-0</f>
        <v>848.79934700000001</v>
      </c>
      <c r="T187" s="3">
        <f>111.3+(1138.4-394.7)+(-0.170289+(-1.741752--0.603891))+0-0-0</f>
        <v>853.69185000000004</v>
      </c>
      <c r="U187" s="3">
        <f>106.8+(1117.4-373.1)+(-0.326808+(-3.419244--1.141686))+0-0-0</f>
        <v>848.495634</v>
      </c>
      <c r="V187" s="3">
        <f>44.2+(1086.6-295.8)+(-0.135252+(-3.324996--0.905148))+0-0-0</f>
        <v>832.44489999999996</v>
      </c>
      <c r="W187" s="3">
        <f>44.1+(1010.6-230)+(-0.044982+(-1.030812--0.2346))+0-0-0</f>
        <v>823.85880600000007</v>
      </c>
      <c r="X187" s="3">
        <f>85.9+(1031.9-217.3)+(0+(0-0))+0-0-0</f>
        <v>900.50000000000011</v>
      </c>
      <c r="Y187" s="3">
        <f>113.1+(1059-254.1)+(-0.230724+(-2.16036--0.518364))+0-0-0</f>
        <v>916.12728000000004</v>
      </c>
      <c r="Z187" s="3">
        <f>113.6+(1053.7-274.2)+(-0.28968+(-2.686935--0.69921))+0-0-0</f>
        <v>890.82259499999998</v>
      </c>
      <c r="AA187" s="3">
        <f>55.1+(1004.8-203.6)+(-0.112404+(-2.049792--0.415344))+0-0-0</f>
        <v>854.55314799999996</v>
      </c>
      <c r="AB187" s="3">
        <f>45.1+(970.7-197.4)+(0+(0-0))+0-0-0</f>
        <v>818.40000000000009</v>
      </c>
      <c r="AC187" s="3">
        <f>45.3+(996.2-248.6)+(-0.046206+(-1.016124--0.253572))+0-0-0</f>
        <v>792.09124199999997</v>
      </c>
      <c r="AD187">
        <f t="shared" si="2"/>
        <v>19654.524207000002</v>
      </c>
      <c r="AE187" s="3">
        <f>113+(1093.6-243.4)+(0+(0-0))+0-0-0</f>
        <v>963.19999999999993</v>
      </c>
    </row>
    <row r="188" spans="1:31" s="2" customFormat="1" x14ac:dyDescent="0.25">
      <c r="A188">
        <v>89</v>
      </c>
      <c r="B188">
        <v>7</v>
      </c>
      <c r="C188">
        <v>2</v>
      </c>
      <c r="D188">
        <v>7</v>
      </c>
      <c r="E188">
        <v>1</v>
      </c>
      <c r="F188" s="3">
        <f>45.1+(988.1-276.8)+(-0.092004+(-2.015724--0.564672))+0-0-0</f>
        <v>754.856944</v>
      </c>
      <c r="G188" s="3">
        <f>44.9+(965.3-292.2)+(-0.091596+(-1.969212--0.596088))+0-0-0</f>
        <v>716.53527999999983</v>
      </c>
      <c r="H188" s="3">
        <f>45.1+(932.9-281.1)+(-0.023001+(-0.475779--0.143361))+0-0-0</f>
        <v>696.54458099999999</v>
      </c>
      <c r="I188" s="3">
        <f>45.1+(943.1-307.5)+(-0.069003+(-1.442943--0.470475))+0-0-0</f>
        <v>679.65852900000004</v>
      </c>
      <c r="J188" s="3">
        <f>45.1+(916.1-282)+(0.023001+(0.467211-0.14382))+0-0-0</f>
        <v>679.54639200000008</v>
      </c>
      <c r="K188" s="3">
        <f>45.1+(888.4-262)+(-0.138006+(-2.718504--0.80172))+0-0-0</f>
        <v>669.44520999999997</v>
      </c>
      <c r="L188" s="3">
        <f>45+(843-246.8)+(-0.0459+(-0.85986--0.251736))+0-0-0</f>
        <v>640.545976</v>
      </c>
      <c r="M188" s="3">
        <f>45.1+(866.8-260.9)+(-0.069003+(-1.326204--0.399177))+0-0-0</f>
        <v>650.00396999999998</v>
      </c>
      <c r="N188" s="3">
        <f>45+(917.9-283.7)+(-0.06885+(-1.404387--0.434061))+0-0-0</f>
        <v>678.16082400000005</v>
      </c>
      <c r="O188" s="3">
        <f>45.2+(972.7-298.3)+(-0.092208+(-1.984308--0.608532))+0-0-0</f>
        <v>718.13201600000014</v>
      </c>
      <c r="P188" s="3">
        <f>76+(966.2-308)+(-0.11628+(-1.478286--0.47124))+0-0-0</f>
        <v>733.07667400000003</v>
      </c>
      <c r="Q188" s="3">
        <f>114.8+(943-311.7)+(0.058548+(0.48093-0.158967))+0-0-0</f>
        <v>746.48051099999986</v>
      </c>
      <c r="R188" s="3">
        <f>115+(933.8-304.7)+(0+(0-0))+0-0-0</f>
        <v>744.09999999999991</v>
      </c>
      <c r="S188" s="3">
        <f>114.6+(1019.1-401.4)+(-0.116892+(-1.039482--0.409428))+0-0-0</f>
        <v>731.55305400000009</v>
      </c>
      <c r="T188" s="3">
        <f>73.2+(1058.7-403.9)+(0.037332+(0.539937-0.205989))+0-0-0</f>
        <v>728.37128000000007</v>
      </c>
      <c r="U188" s="3">
        <f>45.1+(1062.5-385.8)+(-0.046002+(-1.08375--0.393516))+0-0-0</f>
        <v>721.06376400000011</v>
      </c>
      <c r="V188" s="3">
        <f>45.1+(1050.6-375.3)+(-0.069003+(-1.607418--0.574209))+0-0-0</f>
        <v>719.29778799999997</v>
      </c>
      <c r="W188" s="3">
        <f>45.1+(925.9-249.9)+(-0.115005+(-2.361045--0.637245))+0-0-0</f>
        <v>719.26119500000004</v>
      </c>
      <c r="X188" s="3">
        <f>93+(859.2-146.3)+(-0.09486+(-0.876384--0.149226))+0-0-0</f>
        <v>805.07798200000013</v>
      </c>
      <c r="Y188" s="3">
        <f>119.2+(883.3-153.6)+(-0.121584+(-0.900966--0.156672))+0-0-0</f>
        <v>848.03412200000002</v>
      </c>
      <c r="Z188" s="3">
        <f>120.4+(882-178.2)+(-0.061404+(-0.44982--0.090882))+0-0-0</f>
        <v>823.77965799999993</v>
      </c>
      <c r="AA188" s="3">
        <f>120.7+(893.5-225.4)+(-0.061557+(-0.455685--0.114954))+0-0-0</f>
        <v>788.39771200000007</v>
      </c>
      <c r="AB188" s="3">
        <f>121.2+(891.1-263.9)+(-0.30906+(-2.272305--0.672945))+0-0-0</f>
        <v>746.49158000000011</v>
      </c>
      <c r="AC188" s="3">
        <f>121.4+(920.2-328)+(-0.123828+(-0.938604--0.33456))+0-0-0</f>
        <v>712.87212799999998</v>
      </c>
      <c r="AD188">
        <f t="shared" si="2"/>
        <v>17451.28717</v>
      </c>
      <c r="AE188" s="3">
        <f>119+(913.6-156.5)+(0+(0-0))+0-0-0</f>
        <v>876.1</v>
      </c>
    </row>
    <row r="189" spans="1:31" s="2" customFormat="1" x14ac:dyDescent="0.25">
      <c r="A189">
        <v>89</v>
      </c>
      <c r="B189">
        <v>7</v>
      </c>
      <c r="C189">
        <v>3</v>
      </c>
      <c r="D189">
        <v>1</v>
      </c>
      <c r="E189">
        <v>1</v>
      </c>
      <c r="F189" s="3">
        <f>121.8+(981.8-426.4)+(-0.186354+(-1.502154--0.652392))+0-0-0</f>
        <v>676.16388399999994</v>
      </c>
      <c r="G189" s="3">
        <f>96+(925.2-397.8)+(-0.19584+(-1.887408--0.811512))+0-0-0</f>
        <v>622.12826400000006</v>
      </c>
      <c r="H189" s="3">
        <f>45.1+(906.7-320.9)+(-0.046002+(-0.924834--0.327318))+0-0-0</f>
        <v>630.25648200000012</v>
      </c>
      <c r="I189" s="3">
        <f>16.5+(903.7-296.8)+(0.01683+(0.921774-0.302736))+0-0-0</f>
        <v>624.03586800000005</v>
      </c>
      <c r="J189" s="3">
        <f>45.2+(870.9-289.4)+(-0.092208+(-1.776636--0.590376))+0-0-0</f>
        <v>625.42153200000007</v>
      </c>
      <c r="K189" s="3">
        <f>45.1+(839.7-245.6)+(-0.069003+(-1.284741--0.375768))+0-0-0</f>
        <v>638.22202400000003</v>
      </c>
      <c r="L189" s="3">
        <f>45+(812.4-189.9)+(-0.0459+(-0.828648--0.193698))+0-0-0</f>
        <v>666.81915000000004</v>
      </c>
      <c r="M189" s="3">
        <f>45.2+(914.3-223.6)+(0.023052+(0.466293-0.114036))+0-0-0</f>
        <v>736.27530899999999</v>
      </c>
      <c r="N189" s="3">
        <f>22.5+(957.3-168.6)+(0+(0-0))+0-0-0</f>
        <v>811.19999999999993</v>
      </c>
      <c r="O189" s="3">
        <f>0+(1064.8-209.1)+(0+(-0.543048--0.106641))+0-0-0</f>
        <v>855.2635929999999</v>
      </c>
      <c r="P189" s="3">
        <f>0+(1077.1-201.6)+(0+(-0.549321--0.102816))+0-0-0</f>
        <v>875.05349499999988</v>
      </c>
      <c r="Q189" s="3">
        <f>0+(1059.1-171.1)+(0+(0.540141-0.087261))+0-0-0</f>
        <v>888.45287999999994</v>
      </c>
      <c r="R189" s="3">
        <f>61.7+(1058.9-276)+(0+(0-0))+0-0-0</f>
        <v>844.60000000000014</v>
      </c>
      <c r="S189" s="3">
        <f>112.9+(1088-346)+(0+(0-0))+0-0-0</f>
        <v>854.9</v>
      </c>
      <c r="T189" s="3">
        <f>112.4+(1100.5-355.4)+(-0.114648+(-1.12251--0.362508))+0-0-0</f>
        <v>856.62535000000003</v>
      </c>
      <c r="U189" s="3">
        <f>112.5+(1099.1-332.4)+(-0.172125+(-1.681623--0.508572))+0-0-0</f>
        <v>877.85482399999989</v>
      </c>
      <c r="V189" s="3">
        <f>112.9+(1090.1-326.8)+(-0.172737+(-1.667853--0.500004))+0-0-0</f>
        <v>874.8594139999999</v>
      </c>
      <c r="W189" s="3">
        <f>114+(1031.1-283.1)+(0.05814+(0.525861-0.144381))+0-0-0</f>
        <v>862.43961999999988</v>
      </c>
      <c r="X189" s="3">
        <f>115.8+(1031.8-216.8)+(-0.236232+(-2.104872--0.442272))+0-0-0</f>
        <v>928.90116799999998</v>
      </c>
      <c r="Y189" s="3">
        <f>116.5+(1048.7-218)+(0+(0-0))+0-0-0</f>
        <v>947.2</v>
      </c>
      <c r="Z189" s="3">
        <f>117+(1057.2-259.2)+(0.11934+(1.078344-0.264384))+0-0-0</f>
        <v>915.93330000000003</v>
      </c>
      <c r="AA189" s="3">
        <f>118.6+(1105.4-355.1)+(-0.181458+(-1.691262--0.543303))+0-0-0</f>
        <v>867.57058300000006</v>
      </c>
      <c r="AB189" s="3">
        <f>119.5+(1078.2-382)+(-0.304725+(-2.74941--0.9741))+0-0-0</f>
        <v>813.61996500000009</v>
      </c>
      <c r="AC189" s="3">
        <f>120.2+(1083-423.9)+(-0.30651+(-2.76165--1.080945))+0-0-0</f>
        <v>777.31278500000008</v>
      </c>
      <c r="AD189">
        <f t="shared" si="2"/>
        <v>19071.109490000003</v>
      </c>
      <c r="AE189" s="3">
        <f>118+(1076.6-210.3)+(0+(0-0))+0-0-0</f>
        <v>984.3</v>
      </c>
    </row>
    <row r="190" spans="1:31" s="2" customFormat="1" x14ac:dyDescent="0.25">
      <c r="A190">
        <v>89</v>
      </c>
      <c r="B190">
        <v>7</v>
      </c>
      <c r="C190">
        <v>4</v>
      </c>
      <c r="D190">
        <v>2</v>
      </c>
      <c r="E190">
        <v>1</v>
      </c>
      <c r="F190" s="3">
        <f>68.9+(1148.2-474.7)+(-0.070278+(-1.171164--0.484194))+0-0-0</f>
        <v>741.64275199999997</v>
      </c>
      <c r="G190" s="3">
        <f>45+(1132.7-462.6)+(-0.11475+(-2.888385--1.17963))+0-0-0</f>
        <v>713.27649500000007</v>
      </c>
      <c r="H190" s="3">
        <f>45.2+(1048.6-389.8)+(-0.069156+(-1.604358--0.596394))+0-0-0</f>
        <v>702.92287999999996</v>
      </c>
      <c r="I190" s="3">
        <f>45+(1041.8-391.7)+(-0.02295+(-0.531318--0.199767))+0-0-0</f>
        <v>694.74549899999988</v>
      </c>
      <c r="J190" s="3">
        <f>45.1+(1000.3-361)+(0+(0-0))+0-0-0</f>
        <v>684.4</v>
      </c>
      <c r="K190" s="3">
        <f>45.1+(997.3-353.6)+(0+(0-0))+0-0-0</f>
        <v>688.8</v>
      </c>
      <c r="L190" s="3">
        <f>45.1+(981.9-328.4)+(-0.023001+(-0.500769--0.167484))+0-0-0</f>
        <v>698.24371400000007</v>
      </c>
      <c r="M190" s="3">
        <f>45.2+(1099-369)+(-0.046104+(-1.12098--0.37638))+0-0-0</f>
        <v>774.40929600000004</v>
      </c>
      <c r="N190" s="3">
        <f>45.1+(1138.5-356.1)+(0+(0-0))+0-0-0</f>
        <v>827.5</v>
      </c>
      <c r="O190" s="3">
        <f>77.1+(1180.4-379.6)+(-0.039321+(-0.602004--0.193596))+0-0-0</f>
        <v>877.45227100000011</v>
      </c>
      <c r="P190" s="3">
        <f>114.5+(1137.1-343.2)+(0+(0-0))+0-0-0</f>
        <v>908.39999999999986</v>
      </c>
      <c r="Q190" s="3">
        <f>113.1+(1120.8-303.5)+(0.057681+(0.571608-0.154785))+0-0-0</f>
        <v>930.874504</v>
      </c>
      <c r="R190" s="3">
        <f>113+(1085.4-309)+(-0.05763+(-0.553554--0.15759))+0-0-0</f>
        <v>888.94640600000014</v>
      </c>
      <c r="S190" s="3">
        <f>112.2+(1110.4-354.3)+(0.057222+(0.566304-0.180693))+0-0-0</f>
        <v>868.74283300000013</v>
      </c>
      <c r="T190" s="3">
        <f>112.6+(1216.9-458.4)+(-0.057426+(-0.620619--0.233784))+0-0-0</f>
        <v>870.65573900000015</v>
      </c>
      <c r="U190" s="3">
        <f>112.8+(1223.2-441.8)+(-0.115056+(-1.247664--0.450636))+0-0-0</f>
        <v>893.287916</v>
      </c>
      <c r="V190" s="3">
        <f>112.9+(1182.4-425.5)+(-0.172737+(-1.809072--0.651015))+0-0-0</f>
        <v>868.4692060000001</v>
      </c>
      <c r="W190" s="3">
        <f>113.7+(1159.1-406)+(0+(0-0))+0-0-0</f>
        <v>866.8</v>
      </c>
      <c r="X190" s="3">
        <f>115+(1085.7-258.4)+(-0.1173+(-1.107414--0.263568))+0-0-0</f>
        <v>941.33885400000008</v>
      </c>
      <c r="Y190" s="3">
        <f>116.4+(1092.6-260.5)+(-0.178092+(-1.671678--0.398565))+0-0-0</f>
        <v>947.04879499999993</v>
      </c>
      <c r="Z190" s="3">
        <f>117+(1129.2-324.3)+(-0.11934+(-1.151784--0.330786))+0-0-0</f>
        <v>920.95966200000009</v>
      </c>
      <c r="AA190" s="3">
        <f>118.6+(1184-414.9)+(0.060486+(0.60384-0.211599))+0-0-0</f>
        <v>888.15272700000003</v>
      </c>
      <c r="AB190" s="3">
        <f>118.3+(1158.1-441.9)+(0+(0-0))+0-0-0</f>
        <v>834.49999999999989</v>
      </c>
      <c r="AC190" s="3">
        <f>59.5+(1144.1-420)+(-0.06069+(-1.166982--0.4284))+0-0-0</f>
        <v>782.80072799999994</v>
      </c>
      <c r="AD190">
        <f t="shared" si="2"/>
        <v>19814.370276999998</v>
      </c>
      <c r="AE190" s="3">
        <f>116+(1103.2-233.8)+(0+(0-0))+0-0-0</f>
        <v>985.40000000000009</v>
      </c>
    </row>
    <row r="191" spans="1:31" s="2" customFormat="1" x14ac:dyDescent="0.25">
      <c r="A191">
        <v>89</v>
      </c>
      <c r="B191">
        <v>7</v>
      </c>
      <c r="C191">
        <v>5</v>
      </c>
      <c r="D191">
        <v>3</v>
      </c>
      <c r="E191">
        <v>1</v>
      </c>
      <c r="F191" s="3">
        <f>47.1+(1185.6-476.9)+(-0.072063+(-1.813968--0.729657))+0-0-0</f>
        <v>754.64362599999993</v>
      </c>
      <c r="G191" s="3">
        <f>47.3+(1154.4-473)+(0+(0-0))+0-0-0</f>
        <v>728.7</v>
      </c>
      <c r="H191" s="3">
        <f>47+(1141.1-474.3)+(-0.04794+(-1.163922--0.483786))+0-0-0</f>
        <v>713.07192399999997</v>
      </c>
      <c r="I191" s="3">
        <f>47.1+(1127.7-469.5)+(0.024021+(0.575127-0.239445))+0-0-0</f>
        <v>705.65970300000004</v>
      </c>
      <c r="J191" s="3">
        <f>42.5+(1074.7-421.9)+(0.021675+(0.548097-0.215169))+0-0-0</f>
        <v>695.65460300000007</v>
      </c>
      <c r="K191" s="3">
        <f>0+(1004.1-300.4)+(0+(-3.584637--1.072428))+0-0-0</f>
        <v>701.18779100000006</v>
      </c>
      <c r="L191" s="3">
        <f>0+(958.8-241.1)+(0+(0.488988-0.122961))+0-0-0</f>
        <v>718.06602699999996</v>
      </c>
      <c r="M191" s="3">
        <f>0+(1015.8-242)+(0+(1.036116-0.24684))+0-0-0</f>
        <v>774.58927599999993</v>
      </c>
      <c r="N191" s="3">
        <f>0+(1110.7-278.7)+(0+(0-0))+0-0-0</f>
        <v>832</v>
      </c>
      <c r="O191" s="3">
        <f>49.2+(1236.4-405.1)+(0+(0-0))+0-0-0</f>
        <v>880.50000000000011</v>
      </c>
      <c r="P191" s="3">
        <f>116+(1232.8-453.2)+(0.11832+(1.257456-0.462264))+0-0-0</f>
        <v>896.51351199999988</v>
      </c>
      <c r="Q191" s="3">
        <f>115.6+(1209.3-413.5)+(0.176868+(1.850229-0.632655))+0-0-0</f>
        <v>912.794442</v>
      </c>
      <c r="R191" s="3">
        <f>115.3+(1198.8-429.6)+(-0.117606+(-1.222776--0.438192))+0-0-0</f>
        <v>883.59780999999987</v>
      </c>
      <c r="S191" s="3">
        <f>114.3+(1258.5-501.7)+(-0.058293+(-0.641835--0.255867))+0-0-0</f>
        <v>870.65573899999993</v>
      </c>
      <c r="T191" s="3">
        <f>113.9+(1286.3-523.1)+(-0.116178+(-1.312026--0.533562))+0-0-0</f>
        <v>876.20535799999993</v>
      </c>
      <c r="U191" s="3">
        <f>114.8+(1270.6-500.9)+(-0.234192+(-2.592024--1.021836))+0-0-0</f>
        <v>882.69561999999985</v>
      </c>
      <c r="V191" s="3">
        <f>115.8+(1233.9-473.8)+(-0.29529+(-3.146445--1.20819))+0-0-0</f>
        <v>873.66645500000004</v>
      </c>
      <c r="W191" s="3">
        <f>67.8+(1197.6-379.7)+(-0.034578+(-0.610776--0.193647))+0-0-0</f>
        <v>885.24829299999976</v>
      </c>
      <c r="X191" s="3">
        <f>94.1+(1171.7-312)+(0.047991+(0.597567-0.15912))+0-0-0</f>
        <v>954.28643800000009</v>
      </c>
      <c r="Y191" s="3">
        <f>118.8+(1197-344.4)+(-0.363528+(-3.66282--1.053864))+0-0-0</f>
        <v>968.42751599999997</v>
      </c>
      <c r="Z191" s="3">
        <f>119.3+(1185.9-389.3)+(-0.182529+(-1.814427--0.595629))+0-0-0</f>
        <v>914.49867300000005</v>
      </c>
      <c r="AA191" s="3">
        <f>119.5+(1222.7-468.8)+(-0.24378+(-2.494308--0.956352))+0-0-0</f>
        <v>871.61826400000007</v>
      </c>
      <c r="AB191" s="3">
        <f>120.3+(1206.3-496.7)+(-0.245412+(-2.460852--1.013268))+0-0-0</f>
        <v>828.20700399999987</v>
      </c>
      <c r="AC191" s="3">
        <f>120.6+(1166.4-505.1)+(-0.30753+(-2.97432--1.288005))+0-0-0</f>
        <v>779.90615500000013</v>
      </c>
      <c r="AD191">
        <f t="shared" si="2"/>
        <v>19902.394229000001</v>
      </c>
      <c r="AE191" s="3">
        <f>120+(1159.6-313.7)+(0+(0-0))+0-0-0</f>
        <v>965.89999999999986</v>
      </c>
    </row>
    <row r="192" spans="1:31" s="2" customFormat="1" x14ac:dyDescent="0.25">
      <c r="A192">
        <v>89</v>
      </c>
      <c r="B192">
        <v>7</v>
      </c>
      <c r="C192">
        <v>6</v>
      </c>
      <c r="D192">
        <v>4</v>
      </c>
      <c r="E192">
        <v>1</v>
      </c>
      <c r="F192" s="3">
        <f>102.6+(1191-553.1)+(-0.209304+(-2.42964--1.128324))+0-0-0</f>
        <v>738.98937999999998</v>
      </c>
      <c r="G192" s="3">
        <f>45.2+(1218.2-547.8)+(-0.069156+(-1.863846--0.838134))+0-0-0</f>
        <v>714.50513200000012</v>
      </c>
      <c r="H192" s="3">
        <f>45.2+(1187.8-526.3)+(-0.046104+(-1.211556--0.536826))+0-0-0</f>
        <v>705.97916600000008</v>
      </c>
      <c r="I192" s="3">
        <f>42.8+(1101.4-448.9)+(-0.043656+(-1.123428--0.457878))+0-0-0</f>
        <v>694.59079400000007</v>
      </c>
      <c r="J192" s="3">
        <f>0+(1000.4-300.2)+(0+(2.040816-0.612408))+0-0-0</f>
        <v>701.62840800000004</v>
      </c>
      <c r="K192" s="3">
        <f>0+(937.6-237.6)+(0+(-1.912704--0.484704))+0-0-0</f>
        <v>698.572</v>
      </c>
      <c r="L192" s="3">
        <f>0+(920.3-193.5)+(0+(0.469353-0.098685))+0-0-0</f>
        <v>727.17066799999998</v>
      </c>
      <c r="M192" s="3">
        <f>0+(962.7-194.6)+(0+(-0.490977--0.099246))+0-0-0</f>
        <v>767.70826899999997</v>
      </c>
      <c r="N192" s="3">
        <f>0+(1082.6-232.4)+(0+(0-0))+0-0-0</f>
        <v>850.19999999999993</v>
      </c>
      <c r="O192" s="3">
        <f>0+(1098.1-205.3)+(0+(-2.240124--0.418812))+0-0-0</f>
        <v>890.97868799999992</v>
      </c>
      <c r="P192" s="3">
        <f>0+(1143.2-249.9)+(0+(-0.583032--0.127449))+0-0-0</f>
        <v>892.84441700000002</v>
      </c>
      <c r="Q192" s="3">
        <f>0+(1174-262.7)+(0+(2.39496-0.535908))+0-0-0</f>
        <v>913.15905199999997</v>
      </c>
      <c r="R192" s="3">
        <f>0+(1146.6-264)+(0+(-1.169532--0.26928))+0-0-0</f>
        <v>881.69974799999989</v>
      </c>
      <c r="S192" s="3">
        <f>74.3+(1174.2-380.4)+(0.037893+(0.598842-0.194004))+0-0-0</f>
        <v>868.542731</v>
      </c>
      <c r="T192" s="3">
        <f>112.6+(1218.9-443.1)+(-0.229704+(-2.486556--0.903924))+0-0-0</f>
        <v>886.58766400000013</v>
      </c>
      <c r="U192" s="3">
        <f>114.3+(1229.1-466.4)+(-0.291465+(-3.134205--1.18932))+0-0-0</f>
        <v>874.76364999999987</v>
      </c>
      <c r="V192" s="3">
        <f>115.2+(1157.5-407.4)+(-0.29376+(-2.951625--1.03887))+0-0-0</f>
        <v>863.0934850000001</v>
      </c>
      <c r="W192" s="3">
        <f>56.1+(1098.6-294.9)+(-0.085833+(-1.680858--0.451197))+0-0-0</f>
        <v>858.48450600000001</v>
      </c>
      <c r="X192" s="3">
        <f>82.5+(1095-235.5)+(0+(0-0))+0-0-0</f>
        <v>942</v>
      </c>
      <c r="Y192" s="3">
        <f>118.1+(1098.3-272.2)+(-0.180693+(-1.680399--0.416466))+0-0-0</f>
        <v>942.75537399999996</v>
      </c>
      <c r="Z192" s="3">
        <f>118.5+(1122-333.6)+(-0.181305+(-1.71666--0.510408))+0-0-0</f>
        <v>905.51244299999996</v>
      </c>
      <c r="AA192" s="3">
        <f>107.8+(1080.5-314.6)+(-0.109956+(-1.10211--0.320892))+0-0-0</f>
        <v>872.80882599999995</v>
      </c>
      <c r="AB192" s="3">
        <f>45+(1060.7-284.7)+(-0.0459+(-1.081914--0.290394))+0-0-0</f>
        <v>820.16258000000005</v>
      </c>
      <c r="AC192" s="3">
        <f>45.2+(1081.5-355.6)+(-0.046104+(-1.10313--0.362712))+0-0-0</f>
        <v>770.31347800000003</v>
      </c>
      <c r="AD192">
        <f t="shared" si="2"/>
        <v>19783.050458999998</v>
      </c>
      <c r="AE192" s="3">
        <f>117+(1136.4-264)+(0+(0-0))+0-0-0</f>
        <v>989.40000000000009</v>
      </c>
    </row>
    <row r="193" spans="1:31" s="2" customFormat="1" x14ac:dyDescent="0.25">
      <c r="A193">
        <v>89</v>
      </c>
      <c r="B193">
        <v>7</v>
      </c>
      <c r="C193">
        <v>7</v>
      </c>
      <c r="D193">
        <v>5</v>
      </c>
      <c r="E193">
        <v>1</v>
      </c>
      <c r="F193" s="3">
        <f>45.3+(1161.9-471.9)+(-0.138618+(-3.555414--1.444014))+0-0-0</f>
        <v>733.04998200000011</v>
      </c>
      <c r="G193" s="3">
        <f>45.1+(1176.3-508.6)+(-0.138006+(-3.599478--1.556316))+0-0-0</f>
        <v>710.618832</v>
      </c>
      <c r="H193" s="3">
        <f>45.2+(1084.6-430.6)+(0+(0-0))+0-0-0</f>
        <v>699.19999999999993</v>
      </c>
      <c r="I193" s="3">
        <f>45.1+(1069.3-417)+(-0.046002+(-1.090686--0.42534))+0-0-0</f>
        <v>696.68865199999993</v>
      </c>
      <c r="J193" s="3">
        <f>45.1+(1051.2-410.4)+(0.069003+(1.608336-0.627912))+0-0-0</f>
        <v>686.94942700000013</v>
      </c>
      <c r="K193" s="3">
        <f>45.1+(1024.9-382.6)+(-0.069003+(-1.568097--0.585378))+0-0-0</f>
        <v>686.34827800000005</v>
      </c>
      <c r="L193" s="3">
        <f>45.2+(1007.4-331.3)+(-0.046104+(-1.027548--0.337926))+0-0-0</f>
        <v>720.56427399999995</v>
      </c>
      <c r="M193" s="3">
        <f>45+(1072.7-348.7)+(0+(0-0))+0-0-0</f>
        <v>769</v>
      </c>
      <c r="N193" s="3">
        <f>45.1+(1107.6-325.3)+(0+(0-0))+0-0-0</f>
        <v>827.4</v>
      </c>
      <c r="O193" s="3">
        <f>45.3+(1135.5-311.3)+(-0.046206+(-1.15821--0.317526))+0-0-0</f>
        <v>868.61311000000001</v>
      </c>
      <c r="P193" s="3">
        <f>45.1+(1160.2-303.7)+(-0.069003+(-1.775106--0.464661))+0-0-0</f>
        <v>900.220552</v>
      </c>
      <c r="Q193" s="3">
        <f>98.5+(1161.9-357.6)+(-0.10047+(-1.185138--0.364752))+0-0-0</f>
        <v>901.87914400000011</v>
      </c>
      <c r="R193" s="3">
        <f>114.2+(1167.8-392.4)+(-0.116484+(-1.191156--0.400248))+0-0-0</f>
        <v>888.69260800000006</v>
      </c>
      <c r="S193" s="3">
        <f>113.7+(1174.6-413.7)+(0+(0-0))+0-0-0</f>
        <v>874.59999999999991</v>
      </c>
      <c r="T193" s="3">
        <f>113.2+(1177.7-425.9)+(-0.115464+(-1.201254--0.434418))+0-0-0</f>
        <v>864.11770000000013</v>
      </c>
      <c r="U193" s="3">
        <f>113+(1157.7-408.4)+(-0.11526+(-1.180854--0.416568))+0-0-0</f>
        <v>861.42045400000006</v>
      </c>
      <c r="V193" s="3">
        <f>113.3+(1111.6-364.6)+(-0.231132+(-2.267664--0.743784))+0-0-0</f>
        <v>858.54498799999988</v>
      </c>
      <c r="W193" s="3">
        <f>114.2+(1007.1-259.2)+(0.058242+(0.513621-0.132192))+0-0-0</f>
        <v>862.53967100000011</v>
      </c>
      <c r="X193" s="3">
        <f>115.1+(1020.3-197.6)+(0.058701+(0.520353-0.100776))+0-0-0</f>
        <v>938.278278</v>
      </c>
      <c r="Y193" s="3">
        <f>116.5+(1088.3-258.6)+(-0.23766+(-2.220132--0.527544))+0-0-0</f>
        <v>944.26975199999993</v>
      </c>
      <c r="Z193" s="3">
        <f>116.8+(1046.6-254.1)+(-0.059568+(-0.533766--0.129591))+0-0-0</f>
        <v>908.83625699999982</v>
      </c>
      <c r="AA193" s="3">
        <f>117.4+(1039-293.1)+(-0.179622+(-1.58967--0.448443))+0-0-0</f>
        <v>861.979151</v>
      </c>
      <c r="AB193" s="3">
        <f>117.4+(1055-348.3)+(-0.239496+(-2.1522--0.710532))+0-0-0</f>
        <v>822.41883600000006</v>
      </c>
      <c r="AC193" s="3">
        <f>67.2+(1059.6-346.6)+(-0.137088+(-2.161584--0.707064))+0-0-0</f>
        <v>778.60839199999998</v>
      </c>
      <c r="AD193">
        <f t="shared" ref="AD193:AD256" si="3">SUM(F193:AC193)</f>
        <v>19664.838338000001</v>
      </c>
      <c r="AE193" s="3">
        <f>117+(1094.3-224.4)+(0+(0-0))+0-0-0</f>
        <v>986.9</v>
      </c>
    </row>
    <row r="194" spans="1:31" s="2" customFormat="1" x14ac:dyDescent="0.25">
      <c r="A194">
        <v>89</v>
      </c>
      <c r="B194">
        <v>7</v>
      </c>
      <c r="C194">
        <v>8</v>
      </c>
      <c r="D194">
        <v>6</v>
      </c>
      <c r="E194">
        <v>1</v>
      </c>
      <c r="F194" s="3">
        <f>47+(1109-415)+(-0.07191+(-1.69677--0.63495))+0-0-0</f>
        <v>739.86626999999999</v>
      </c>
      <c r="G194" s="3">
        <f>47.1+(1118-446.6)+(-0.096084+(-2.28072--0.911064))+0-0-0</f>
        <v>717.03426000000002</v>
      </c>
      <c r="H194" s="3">
        <f>47.1+(1074.2-432.4)+(-0.048042+(-1.095684--0.441048))+0-0-0</f>
        <v>688.1973220000001</v>
      </c>
      <c r="I194" s="3">
        <f>47.1+(1073.4-439)+(-0.024021+(-0.547434--0.22389))+0-0-0</f>
        <v>681.15243500000008</v>
      </c>
      <c r="J194" s="3">
        <f>47.1+(982.3-344.6)+(-0.048042+(-1.001946--0.351492))+0-0-0</f>
        <v>684.10150399999998</v>
      </c>
      <c r="K194" s="3">
        <f>47.1+(952-314)+(-0.096084+(-1.94208--0.64056))+0-0-0</f>
        <v>683.70239600000002</v>
      </c>
      <c r="L194" s="3">
        <f>47.1+(920.7-270.9)+(0+(0-0))+0-0-0</f>
        <v>696.90000000000009</v>
      </c>
      <c r="M194" s="3">
        <f>46.7+(967.1-273.4)+(-0.023817+(-0.493221--0.139434))+0-0-0</f>
        <v>740.02239600000007</v>
      </c>
      <c r="N194" s="3">
        <f>45+(1043.3-305.8)+(-0.02295+(-0.532083--0.155958))+0-0-0</f>
        <v>782.10092499999996</v>
      </c>
      <c r="O194" s="3">
        <f>80.7+(1067.3-318.3)+(-0.123471+(-1.632969--0.486999))+0-0-0</f>
        <v>828.43055900000002</v>
      </c>
      <c r="P194" s="3">
        <f>115.8+(1073-343.4)+(-0.059058+(-0.54723--0.175134))+0-0-0</f>
        <v>844.96884599999998</v>
      </c>
      <c r="Q194" s="3">
        <f>115.3+(1024.9-282.7)+(-0.058803+(-0.522699--0.144177))+0-0-0</f>
        <v>857.06267500000001</v>
      </c>
      <c r="R194" s="3">
        <f>114.2+(1020.7-298.8)+(0+(0-0))+0-0-0</f>
        <v>836.10000000000014</v>
      </c>
      <c r="S194" s="3">
        <f>113.8+(1038.3-347.3)+(-0.058038+(-0.529533--0.177123))+0-0-0</f>
        <v>804.38955199999998</v>
      </c>
      <c r="T194" s="3">
        <f>113.3+(1091-390.7)+(-0.057783+(-0.55641--0.199257))+0-0-0</f>
        <v>813.1850639999999</v>
      </c>
      <c r="U194" s="3">
        <f>112.9+(1085.5-395.4)+(-0.057579+(-0.553605--0.201654))+0-0-0</f>
        <v>802.59046999999998</v>
      </c>
      <c r="V194" s="3">
        <f>88.4+(1037.6-335.1)+(-0.270504+(-3.175056--1.025406))+0-0-0</f>
        <v>788.47984599999984</v>
      </c>
      <c r="W194" s="3">
        <f>45.1+(977.1-234.7)+(0.023001+(0.498321-0.119697))+0-0-0</f>
        <v>787.90162500000008</v>
      </c>
      <c r="X194" s="3">
        <f>85.1+(958.9-164.2)+(0+(0-0))+0-0-0</f>
        <v>879.80000000000007</v>
      </c>
      <c r="Y194" s="3">
        <f>116.5+(1020.5-247.4)+(-0.23766+(-2.08182--0.504696))+0-0-0</f>
        <v>887.78521599999999</v>
      </c>
      <c r="Z194" s="3">
        <f>73.4+(996.1-202.8)+(-0.149736+(-2.032044--0.413712))+0-0-0</f>
        <v>864.93193199999996</v>
      </c>
      <c r="AA194" s="3">
        <f>45+(955.4-180.5)+(-0.0459+(-0.974508--0.18411))+0-0-0</f>
        <v>819.06370199999992</v>
      </c>
      <c r="AB194" s="3">
        <f>45+(950.6-209.2)+(-0.06885+(-1.454418--0.320076))+0-0-0</f>
        <v>785.19680800000015</v>
      </c>
      <c r="AC194" s="3">
        <f>45+(964-257.3)+(-0.11475+(-2.4582--0.656115))+0-0-0</f>
        <v>749.78316500000005</v>
      </c>
      <c r="AD194">
        <f t="shared" si="3"/>
        <v>18762.746967999999</v>
      </c>
      <c r="AE194" s="3">
        <f>117+(1043.2-226.2)+(0+(0-0))+0-0-0</f>
        <v>934</v>
      </c>
    </row>
    <row r="195" spans="1:31" s="2" customFormat="1" x14ac:dyDescent="0.25">
      <c r="A195">
        <v>89</v>
      </c>
      <c r="B195">
        <v>7</v>
      </c>
      <c r="C195">
        <v>9</v>
      </c>
      <c r="D195">
        <v>7</v>
      </c>
      <c r="E195">
        <v>1</v>
      </c>
      <c r="F195" s="3">
        <f>44.9+(943-270.5)+(-0.022899+(-0.48093--0.137955))+0-0-0</f>
        <v>717.03412600000001</v>
      </c>
      <c r="G195" s="3">
        <f>45.3+(939.6-296.6)+(-0.115515+(-2.39598--0.75633))+0-0-0</f>
        <v>686.54483499999992</v>
      </c>
      <c r="H195" s="3">
        <f>45.3+(977.2-348.1)+(0+(0-0))+0-0-0</f>
        <v>674.4</v>
      </c>
      <c r="I195" s="3">
        <f>44.9+(942.6-321.3)+(-0.091596+(-1.922904--0.655452))+0-0-0</f>
        <v>664.8409519999999</v>
      </c>
      <c r="J195" s="3">
        <f>45.1+(892.4-280.5)+(-0.069003+(-1.365372--0.429165))+0-0-0</f>
        <v>655.99478999999997</v>
      </c>
      <c r="K195" s="3">
        <f>44.9+(862.7-255.1)+(-0.114495+(-2.199885--0.650505))+0-0-0</f>
        <v>650.83612500000004</v>
      </c>
      <c r="L195" s="3">
        <f>45.2+(915.4-322.8)+(-0.069156+(-1.400562--0.493884))+0-0-0</f>
        <v>636.82416599999999</v>
      </c>
      <c r="M195" s="3">
        <f>45.2+(883.1-279.4)+(-0.069156+(-1.351143--0.427482))+0-0-0</f>
        <v>647.90718300000015</v>
      </c>
      <c r="N195" s="3">
        <f>45.2+(964-322.5)+(-0.023052+(-0.49164--0.164475))+0-0-0</f>
        <v>686.349783</v>
      </c>
      <c r="O195" s="3">
        <f>73.1+(955.2-303.2)+(-0.074562+(-0.974304--0.309264))+0-0-0</f>
        <v>724.36039800000003</v>
      </c>
      <c r="P195" s="3">
        <f>93+(995.3-348.2)+(-0.04743+(-0.507603--0.177582))+0-0-0</f>
        <v>739.72254899999996</v>
      </c>
      <c r="Q195" s="3">
        <f>0+(993-240.6)+(0+(-1.01286--0.245412))+0-0-0</f>
        <v>751.63255200000003</v>
      </c>
      <c r="R195" s="3">
        <f>0+(972-229.6)+(0+(-1.48716--0.351288))+0-0-0</f>
        <v>741.26412800000003</v>
      </c>
      <c r="S195" s="3">
        <f>0+(956.4-227.6)+(0+(-1.463292--0.348228))+0-0-0</f>
        <v>727.68493599999999</v>
      </c>
      <c r="T195" s="3">
        <f>0+(916.6-208.9)+(0+(-2.33733--0.532695))+0-0-0</f>
        <v>705.89536500000008</v>
      </c>
      <c r="U195" s="3">
        <f>0+(911.1-182.4)+(0+(-1.393983--0.279072))+0-0-0</f>
        <v>727.58508900000004</v>
      </c>
      <c r="V195" s="3">
        <f>0+(835.4-129.3)+(0+(-1.278162--0.197829))+0-0-0</f>
        <v>705.01966699999991</v>
      </c>
      <c r="W195" s="3">
        <f>0+(875-74.6)+(0+(0-0))+0-0-0</f>
        <v>800.4</v>
      </c>
      <c r="X195" s="3">
        <f>0+(991-148.8)+(0+(-0.50541--0.075888))+0-0-0</f>
        <v>841.77047800000003</v>
      </c>
      <c r="Y195" s="3">
        <f>0+(1045.8-206.2)+(0+(-1.066716--0.210324))+0-0-0</f>
        <v>838.74360799999988</v>
      </c>
      <c r="Z195" s="3">
        <f>0+(984.3-181.4)+(0+(-2.007972--0.370056))+0-0-0</f>
        <v>801.26208399999996</v>
      </c>
      <c r="AA195" s="3">
        <f>0+(985.7-207.4)+(0+(-1.508121--0.317322))+0-0-0</f>
        <v>777.1092010000001</v>
      </c>
      <c r="AB195" s="3">
        <f>0+(987.9-242.4)+(0+(-2.519145--0.61812))+0-0-0</f>
        <v>743.598975</v>
      </c>
      <c r="AC195" s="3">
        <f>0+(989.7-290.3)+(0+(-2.523735--0.740265))+0-0-0</f>
        <v>697.61653000000013</v>
      </c>
      <c r="AD195">
        <f t="shared" si="3"/>
        <v>17344.397519999999</v>
      </c>
      <c r="AE195" s="3">
        <f>0+(1089-210.3)+(0+(0-0))+0-0-0</f>
        <v>878.7</v>
      </c>
    </row>
    <row r="196" spans="1:31" s="2" customFormat="1" x14ac:dyDescent="0.25">
      <c r="A196">
        <v>89</v>
      </c>
      <c r="B196">
        <v>7</v>
      </c>
      <c r="C196">
        <v>10</v>
      </c>
      <c r="D196">
        <v>1</v>
      </c>
      <c r="E196">
        <v>1</v>
      </c>
      <c r="F196" s="3">
        <f>0+(952.2-299)+(0+(-2.913732--0.91494))+0-0-0</f>
        <v>651.20120800000007</v>
      </c>
      <c r="G196" s="3">
        <f>0+(992.6-361)+(0+(-1.518678--0.55233))+0-0-0</f>
        <v>630.63365199999998</v>
      </c>
      <c r="H196" s="3">
        <f>0+(1002.6-385.1)+(0+(-2.55663--0.982005))+0-0-0</f>
        <v>615.92537500000003</v>
      </c>
      <c r="I196" s="3">
        <f>0+(1027-413.1)+(0+(-0.52377--0.210681))+0-0-0</f>
        <v>613.58691099999999</v>
      </c>
      <c r="J196" s="3">
        <f>0+(995.3-379.8)+(0+(-1.015206--0.387396))+0-0-0</f>
        <v>614.87219000000005</v>
      </c>
      <c r="K196" s="3">
        <f>0+(922.2-288.1)+(0+(-1.881288--0.587724))+0-0-0</f>
        <v>632.80643600000008</v>
      </c>
      <c r="L196" s="3">
        <f>0+(908.2-248.8)+(0+(0.463182-0.126888))+0-0-0</f>
        <v>659.73629400000004</v>
      </c>
      <c r="M196" s="3">
        <f>0+(918.8-188.1)+(0+(-0.468588--0.095931))+0-0-0</f>
        <v>730.32734299999993</v>
      </c>
      <c r="N196" s="3">
        <f>0+(987.8-182.9)+(0+(-0.503778--0.093279))+0-0-0</f>
        <v>804.48950100000002</v>
      </c>
      <c r="O196" s="3">
        <f>0+(1108.2-268.1)+(0+(-0.565182--0.136731))+0-0-0</f>
        <v>839.67154900000003</v>
      </c>
      <c r="P196" s="3">
        <f>0+(1138.7-271.9)+(0+(0-0))+0-0-0</f>
        <v>866.80000000000007</v>
      </c>
      <c r="Q196" s="3">
        <f>85.7+(1074.2-281)+(0.043707+(0.547842-0.14331))+0-0-0</f>
        <v>879.34823900000004</v>
      </c>
      <c r="R196" s="3">
        <f>113.8+(1125.3-347.3)+(0+(0-0))+0-0-0</f>
        <v>891.8</v>
      </c>
      <c r="S196" s="3">
        <f>113.5+(1124.1-384.3)+(0+(0-0))+0-0-0</f>
        <v>853.3</v>
      </c>
      <c r="T196" s="3">
        <f>113.4+(1194.6-447.6)+(-0.231336+(-2.436984--0.913104))+0-0-0</f>
        <v>858.64478399999985</v>
      </c>
      <c r="U196" s="3">
        <f>113.4+(1198.5-462.3)+(-0.347004+(-3.66741--1.414638))+0-0-0</f>
        <v>847.000224</v>
      </c>
      <c r="V196" s="3">
        <f>112.5+(1146.4-409.3)+(-0.286875+(-2.92332--1.043715))+0-0-0</f>
        <v>847.43352000000016</v>
      </c>
      <c r="W196" s="3">
        <f>61.2+(1057.1-277.9)+(0.093636+(1.617363-0.425187))+0-0-0</f>
        <v>841.68581199999994</v>
      </c>
      <c r="X196" s="3">
        <f>116.3+(966.2-150)+(-0.059313+(-0.492762--0.0765))+0-0-0</f>
        <v>932.02442499999995</v>
      </c>
      <c r="Y196" s="3">
        <f>117.5+(1010.3-189.1)+(-0.299625+(-2.576265--0.482205))+0-0-0</f>
        <v>936.30631499999993</v>
      </c>
      <c r="Z196" s="3">
        <f>118.2+(1024.9-247.2)+(-0.180846+(-1.568097--0.378216))+0-0-0</f>
        <v>894.5292730000001</v>
      </c>
      <c r="AA196" s="3">
        <f>119+(1051-313.9)+(-0.24276+(-2.14404--0.640356))+0-0-0</f>
        <v>854.35355600000003</v>
      </c>
      <c r="AB196" s="3">
        <f>117.3+(1020.6-319)+(-0.239292+(-2.082024--0.65076))+0-0-0</f>
        <v>817.22944399999994</v>
      </c>
      <c r="AC196" s="3">
        <f>45.8+(1006.7-286.5)+(-0.140148+(-3.080502--0.87669))+0-0-0</f>
        <v>763.65603999999996</v>
      </c>
      <c r="AD196">
        <f t="shared" si="3"/>
        <v>18877.362090999999</v>
      </c>
      <c r="AE196" s="3">
        <f>118+(1039.2-188.1)+(0+(0-0))+0-0-0</f>
        <v>969.1</v>
      </c>
    </row>
    <row r="197" spans="1:31" s="2" customFormat="1" x14ac:dyDescent="0.25">
      <c r="A197">
        <v>89</v>
      </c>
      <c r="B197">
        <v>7</v>
      </c>
      <c r="C197">
        <v>11</v>
      </c>
      <c r="D197">
        <v>2</v>
      </c>
      <c r="E197">
        <v>1</v>
      </c>
      <c r="F197" s="3">
        <f>45.2+(980.3-306.6)+(-0.046104+(-0.999906--0.312732))+0-0-0</f>
        <v>718.16672199999994</v>
      </c>
      <c r="G197" s="3">
        <f>45+(966.3-318.9)+(-0.02295+(-0.492813--0.162639))+0-0-0</f>
        <v>692.046876</v>
      </c>
      <c r="H197" s="3">
        <f>45.2+(1002.5-371)+(-0.11526+(-2.556375--0.94605))+0-0-0</f>
        <v>674.97441500000002</v>
      </c>
      <c r="I197" s="3">
        <f>45+(1034.1-399.2)+(-0.0459+(-1.054782--0.407184))+0-0-0</f>
        <v>679.20650199999989</v>
      </c>
      <c r="J197" s="3">
        <f>45+(965.1-334.5)+(0+(0-0))+0-0-0</f>
        <v>675.6</v>
      </c>
      <c r="K197" s="3">
        <f>45.2+(910.9-280.1)+(-0.023052+(-0.464559--0.142851))+0-0-0</f>
        <v>675.65524000000005</v>
      </c>
      <c r="L197" s="3">
        <f>45+(902.8-252.1)+(0.02295+(0.460428-0.128571))+0-0-0</f>
        <v>696.05480699999998</v>
      </c>
      <c r="M197" s="3">
        <f>45.1+(905.4-197.8)+(-0.023001+(-0.461754--0.100878))+0-0-0</f>
        <v>752.31612299999995</v>
      </c>
      <c r="N197" s="3">
        <f>45+(950.7-191.5)+(0.02295+(0.484857-0.097665))+0-0-0</f>
        <v>804.610142</v>
      </c>
      <c r="O197" s="3">
        <f>45.3+(996.7-208.5)+(-0.046206+(-1.016634--0.21267))+0-0-0</f>
        <v>832.64982999999995</v>
      </c>
      <c r="P197" s="3">
        <f>45.1+(1044.6-229.3)+(-0.046002+(-1.065492--0.233886))+0-0-0</f>
        <v>859.52239199999997</v>
      </c>
      <c r="Q197" s="3">
        <f>109.5+(1038.8-283.9)+(0.055845+(0.529788-0.144789))+0-0-0</f>
        <v>864.84084399999995</v>
      </c>
      <c r="R197" s="3">
        <f>115+(1044.3-299.9)+(-0.05865+(-0.532593--0.152949))+0-0-0</f>
        <v>858.96170599999994</v>
      </c>
      <c r="S197" s="3">
        <f>114.1+(1089.9-358.2)+(0.058191+(0.555849-0.182682))+0-0-0</f>
        <v>846.23135800000011</v>
      </c>
      <c r="T197" s="3">
        <f>113.8+(1147.3-404.9)+(-0.174114+(-1.755369--0.619497))+0-0-0</f>
        <v>854.89001399999995</v>
      </c>
      <c r="U197" s="3">
        <f>113.9+(1161.4-424.9)+(-0.290445+(-2.96157--1.083495))+0-0-0</f>
        <v>848.23148000000015</v>
      </c>
      <c r="V197" s="3">
        <f>114.2+(1156.3-426.1)+(-0.174726+(-1.769139--0.651933))+0-0-0</f>
        <v>843.108068</v>
      </c>
      <c r="W197" s="3">
        <f>114.9+(1036.6-307.3)+(-0.292995+(-2.64333--0.783615))+0-0-0</f>
        <v>842.04728999999998</v>
      </c>
      <c r="X197" s="3">
        <f>116.8+(1002.4-195.4)+(-0.119136+(-1.022448--0.199308))+0-0-0</f>
        <v>922.85772399999996</v>
      </c>
      <c r="Y197" s="3">
        <f>118.1+(1016.2-220.4)+(-0.180693+(-1.554786--0.337212))+0-0-0</f>
        <v>912.50173300000006</v>
      </c>
      <c r="Z197" s="3">
        <f>118.5+(1043.9-277.8)+(-0.24174+(-2.129556--0.566712))+0-0-0</f>
        <v>882.79541600000016</v>
      </c>
      <c r="AA197" s="3">
        <f>119.1+(1054.5-331.1)+(-0.242964+(-2.15118--0.675444))+0-0-0</f>
        <v>840.78129999999999</v>
      </c>
      <c r="AB197" s="3">
        <f>57.9+(1036.9-288.7)+(-0.147645+(-2.644095--0.736185))+0-0-0</f>
        <v>804.044445</v>
      </c>
      <c r="AC197" s="3">
        <f>45.1+(1000.8-285.4)+(-0.069003+(-1.531224--0.436662))+0-0-0</f>
        <v>759.33643500000005</v>
      </c>
      <c r="AD197">
        <f t="shared" si="3"/>
        <v>19141.430862000001</v>
      </c>
      <c r="AE197" s="3">
        <f>118+(1013.5-198)+(0+(0-0))+0-0-0</f>
        <v>933.5</v>
      </c>
    </row>
    <row r="198" spans="1:31" s="2" customFormat="1" x14ac:dyDescent="0.25">
      <c r="A198">
        <v>89</v>
      </c>
      <c r="B198">
        <v>7</v>
      </c>
      <c r="C198">
        <v>12</v>
      </c>
      <c r="D198">
        <v>3</v>
      </c>
      <c r="E198">
        <v>5</v>
      </c>
      <c r="F198" s="3">
        <f>45.1+(1000.6-329.4)+(-0.046002+(-1.020612--0.335988))+0-0-0</f>
        <v>715.56937400000004</v>
      </c>
      <c r="G198" s="3">
        <f>45.2+(1006-361.6)+(-0.046104+(-1.02612--0.368832))+0-0-0</f>
        <v>688.89660800000001</v>
      </c>
      <c r="H198" s="3">
        <f>45.1+(992.5-366.7)+(-0.115005+(-2.530875--0.935085))+0-0-0</f>
        <v>669.18920500000002</v>
      </c>
      <c r="I198" s="3">
        <f>45.1+(948.1-319.6)+(0.046002+(0.967062-0.325992))+0-0-0</f>
        <v>674.28707199999997</v>
      </c>
      <c r="J198" s="3">
        <f>45+(946.6-319.9)+(-0.02295+(-0.482766--0.163149))+0-0-0</f>
        <v>671.35743300000001</v>
      </c>
      <c r="K198" s="3">
        <f>45+(944-325.7)+(-0.0459+(-0.96288--0.332214))+0-0-0</f>
        <v>662.62343399999997</v>
      </c>
      <c r="L198" s="3">
        <f>45+(864.5-255.5)+(-0.0918+(-1.76358--0.52122))+0-0-0</f>
        <v>652.66584</v>
      </c>
      <c r="M198" s="3">
        <f>45+(859.5-222.1)+(0.0459+(0.87669-0.226542))+0-0-0</f>
        <v>683.096048</v>
      </c>
      <c r="N198" s="3">
        <f>45.1+(865.8-183.2)+(0+(0-0))+0-0-0</f>
        <v>727.69999999999993</v>
      </c>
      <c r="O198" s="3">
        <f>45+(876.4-149.2)+(-0.06885+(-1.340892--0.228276))+0-0-0</f>
        <v>771.01853400000005</v>
      </c>
      <c r="P198" s="3">
        <f>45.1+(886.6-139.2)+(0+(0-0))+0-0-0</f>
        <v>792.50000000000011</v>
      </c>
      <c r="Q198" s="3">
        <f>106.4+(885.8-191.2)+(0+(0-0))+0-0-0</f>
        <v>800.99999999999989</v>
      </c>
      <c r="R198" s="3">
        <f>115.2+(1021.8-356.2)+(-0.117504+(-1.042236--0.363324))+0-0-0</f>
        <v>780.00358399999993</v>
      </c>
      <c r="S198" s="3">
        <f>114.4+(1060-414.7)+(0.116688+(1.0812-0.422994))+0-0-0</f>
        <v>760.47489399999995</v>
      </c>
      <c r="T198" s="3">
        <f>114.3+(1092.6-437.1)+(-0.174879+(-1.671678--0.668763))+0-0-0</f>
        <v>768.62220599999989</v>
      </c>
      <c r="U198" s="3">
        <f>114.4+(1078.5-419.7)+(-0.350064+(-3.30021--1.284282))+0-0-0</f>
        <v>770.83400799999993</v>
      </c>
      <c r="V198" s="3">
        <f>114.3+(963.2-312.9)+(-0.291465+(-2.45616--0.797895))+0-0-0</f>
        <v>762.65026999999998</v>
      </c>
      <c r="W198" s="3">
        <f>115.1+(949.6-282.1)+(0+(0-0))+0-0-0</f>
        <v>782.6</v>
      </c>
      <c r="X198" s="3">
        <f>116.7+(973.8-210.8)+(-0.178551+(-1.489914--0.322524))+0-0-0</f>
        <v>878.35405900000001</v>
      </c>
      <c r="Y198" s="3">
        <f>117.5+(987.7-221.6)+(-0.179775+(-1.511181--0.339048))+0-0-0</f>
        <v>882.24809200000004</v>
      </c>
      <c r="Z198" s="3">
        <f>118.6+(978.6-246.1)+(-0.181458+(-1.497258--0.376533))+0-0-0</f>
        <v>849.79781700000001</v>
      </c>
      <c r="AA198" s="3">
        <f>118.5+(997.2-296.8)+(-0.302175+(-2.54286--0.75684))+0-0-0</f>
        <v>816.81180500000005</v>
      </c>
      <c r="AB198" s="3">
        <f>67.4+(942.2-222.5)+(-0.103122+(-1.441566--0.340425))+0-0-0</f>
        <v>785.89573700000005</v>
      </c>
      <c r="AC198" s="3">
        <f>45.1+(962.8-272.4)+(-0.069003+(-1.473084--0.416772))+0-0-0</f>
        <v>734.374685</v>
      </c>
      <c r="AD198">
        <f t="shared" si="3"/>
        <v>18082.570704999998</v>
      </c>
      <c r="AE198" s="3">
        <f>117+(1004-220.6)+(0+(0-0))+0-0-0</f>
        <v>900.4</v>
      </c>
    </row>
    <row r="199" spans="1:31" s="2" customFormat="1" x14ac:dyDescent="0.25">
      <c r="A199">
        <v>89</v>
      </c>
      <c r="B199">
        <v>7</v>
      </c>
      <c r="C199">
        <v>13</v>
      </c>
      <c r="D199">
        <v>4</v>
      </c>
      <c r="E199">
        <v>1</v>
      </c>
      <c r="F199" s="3">
        <f>45.2+(1045-399.7)+(0+(0-0))+0-0-0</f>
        <v>690.5</v>
      </c>
      <c r="G199" s="3">
        <f>45.2+(1075.5-445.8)+(-0.023052+(-0.548505--0.227358))+0-0-0</f>
        <v>674.55580100000009</v>
      </c>
      <c r="H199" s="3">
        <f>45+(1047.5-435.6)+(0.02295+(0.534225-0.222156))+0-0-0</f>
        <v>657.23501899999997</v>
      </c>
      <c r="I199" s="3">
        <f>45.4+(1022.1-413.3)+(0.092616+(2.085084-0.843132))+0-0-0</f>
        <v>655.53456799999992</v>
      </c>
      <c r="J199" s="3">
        <f>45.2+(990.4-382)+(-0.069156+(-1.515312--0.58446))+0-0-0</f>
        <v>652.59999200000004</v>
      </c>
      <c r="K199" s="3">
        <f>45+(954.1-340.4)+(-0.06885+(-1.459773--0.520812))+0-0-0</f>
        <v>657.6921890000001</v>
      </c>
      <c r="L199" s="3">
        <f>13.6+(899.1-229.3)+(0+(0-0))+0-0-0</f>
        <v>683.4</v>
      </c>
      <c r="M199" s="3">
        <f>0+(933.3-187.9)+(0+(0.475983-0.095829))+0-0-0</f>
        <v>745.78015399999992</v>
      </c>
      <c r="N199" s="3">
        <f>0+(1012.3-186.8)+(0+(0-0))+0-0-0</f>
        <v>825.5</v>
      </c>
      <c r="O199" s="3">
        <f>0+(1043.6-171.7)+(0+(-1.596708--0.262701))+0-0-0</f>
        <v>870.56599299999982</v>
      </c>
      <c r="P199" s="3">
        <f>0+(1077.2-203.7)+(0+(0.549372-0.103887))+0-0-0</f>
        <v>873.94548499999996</v>
      </c>
      <c r="Q199" s="3">
        <f>0+(1112.3-263.3)+(0+(0-0))+0-0-0</f>
        <v>849</v>
      </c>
      <c r="R199" s="3">
        <f>0+(1181.9-340.7)+(0+(-0.602769--0.173757))+0-0-0</f>
        <v>840.7709880000001</v>
      </c>
      <c r="S199" s="3">
        <f>0+(1274.4-416.3)+(0+(1.949832-0.636939))+0-0-0</f>
        <v>859.41289300000017</v>
      </c>
      <c r="T199" s="3">
        <f>0+(1282.2-440.8)+(0+(-0.653922--0.224808))+0-0-0</f>
        <v>840.97088600000006</v>
      </c>
      <c r="U199" s="3">
        <f>103+(1280.1-517.5)+(-0.21012+(-2.611404--1.0557))+0-0-0</f>
        <v>863.83417599999996</v>
      </c>
      <c r="V199" s="3">
        <f>115.3+(1205.5-461.8)+(-0.176409+(-1.844415--0.706554))+0-0-0</f>
        <v>857.68573000000004</v>
      </c>
      <c r="W199" s="3">
        <f>117.6+(1149.3-410.5)+(-0.179928+(-1.758429--0.628065))+0-0-0</f>
        <v>855.08970799999997</v>
      </c>
      <c r="X199" s="3">
        <f>117.8+(1201.5-379.4)+(0.060078+(0.612765-0.193494))+0-0-0</f>
        <v>940.37934899999993</v>
      </c>
      <c r="Y199" s="3">
        <f>118.5+(1186.2-373)+(-0.24174+(-2.419848--0.76092))+0-0-0</f>
        <v>929.79933200000005</v>
      </c>
      <c r="Z199" s="3">
        <f>119.5+(1185.1-407.4)+(0.060945+(0.604401-0.207774))+0-0-0</f>
        <v>897.65757199999996</v>
      </c>
      <c r="AA199" s="3">
        <f>119.4+(1154-424.7)+(-0.182682+(-1.76562--0.649791))+0-0-0</f>
        <v>847.40148899999997</v>
      </c>
      <c r="AB199" s="3">
        <f>120.1+(1127.8-439.1)+(-0.245004+(-2.300712--0.895764))+0-0-0</f>
        <v>807.15004799999997</v>
      </c>
      <c r="AC199" s="3">
        <f>121.2+(1138.5-483.2)+(-0.123624+(-1.16127--0.492864))+0-0-0</f>
        <v>775.70797000000005</v>
      </c>
      <c r="AD199">
        <f t="shared" si="3"/>
        <v>19152.169341999997</v>
      </c>
      <c r="AE199" s="3">
        <f>121+(1193-367.4)+(0+(0-0))+0-0-0</f>
        <v>946.6</v>
      </c>
    </row>
    <row r="200" spans="1:31" s="2" customFormat="1" x14ac:dyDescent="0.25">
      <c r="A200">
        <v>89</v>
      </c>
      <c r="B200">
        <v>7</v>
      </c>
      <c r="C200">
        <v>14</v>
      </c>
      <c r="D200">
        <v>5</v>
      </c>
      <c r="E200">
        <v>1</v>
      </c>
      <c r="F200" s="3">
        <f>61.8+(1127.6-452.9)+(-0.063036+(-1.150152--0.461958))+0-0-0</f>
        <v>735.74876999999992</v>
      </c>
      <c r="G200" s="3">
        <f>48+(1182.6-531.6)+(-0.02448+(-0.603126--0.271116))+0-0-0</f>
        <v>698.64350999999988</v>
      </c>
      <c r="H200" s="3">
        <f>48.1+(1192.6-553)+(-0.073593+(-1.824678--0.84609))+0-0-0</f>
        <v>686.64781899999991</v>
      </c>
      <c r="I200" s="3">
        <f>48.1+(1224.8-574.6)+(-0.049062+(-1.249296--0.586092))+0-0-0</f>
        <v>697.58773399999995</v>
      </c>
      <c r="J200" s="3">
        <f>48.1+(1125.4-491.8)+(-0.024531+(-0.573954--0.250818))+0-0-0</f>
        <v>681.35233300000016</v>
      </c>
      <c r="K200" s="3">
        <f>48.3+(1075.3-446.1)+(-0.098532+(-2.193612--0.910044))+0-0-0</f>
        <v>676.11789999999985</v>
      </c>
      <c r="L200" s="3">
        <f>48.1+(1000.9-355.5)+(-0.024531+(-0.510459--0.181305))+0-0-0</f>
        <v>693.14631499999996</v>
      </c>
      <c r="M200" s="3">
        <f>48.1+(975.4-277.1)+(0.024531+(0.497454-0.141321))+0-0-0</f>
        <v>746.780664</v>
      </c>
      <c r="N200" s="3">
        <f>85.6+(955-241.5)+(0.087312+(0.9741-0.24633))+0-0-0</f>
        <v>799.91508199999998</v>
      </c>
      <c r="O200" s="3">
        <f>82.7+(1110.4-357.9)+(-0.042177+(-0.566304--0.182529))+0-0-0</f>
        <v>834.77404800000011</v>
      </c>
      <c r="P200" s="3">
        <f>45.2+(1169.8-399)+(-0.069156+(-1.789794--0.61047))+0-0-0</f>
        <v>814.75152000000003</v>
      </c>
      <c r="Q200" s="3">
        <f>98.1+(1198-424.8)+(0+(0-0))+0-0-0</f>
        <v>871.30000000000007</v>
      </c>
      <c r="R200" s="3">
        <f>116.2+(1274.1-531.2)+(0.059262+(0.649791-0.270912))+0-0-0</f>
        <v>859.53814099999988</v>
      </c>
      <c r="S200" s="3">
        <f>117+(1261.7-544.7)+(0.05967+(0.643467-0.277797))+0-0-0</f>
        <v>834.42534000000001</v>
      </c>
      <c r="T200" s="3">
        <f>117.5+(1235.7-499.5)+(-0.299625+(-3.151035--1.273725))+0-0-0</f>
        <v>851.52306500000009</v>
      </c>
      <c r="U200" s="3">
        <f>89.2+(1226.1-464.4)+(-0.090984+(-1.250622--0.473688))+0-0-0</f>
        <v>850.03208199999995</v>
      </c>
      <c r="V200" s="3">
        <f>45+(1201.6-405.9)+(-0.0918+(-2.451264--0.828036))+0-0-0</f>
        <v>838.98497199999997</v>
      </c>
      <c r="W200" s="3">
        <f>45.2+(1192-384.2)+(-0.023052+(-0.60792--0.195942))+0-0-0</f>
        <v>852.56497000000002</v>
      </c>
      <c r="X200" s="3">
        <f>64.6+(1109.4-282.5)+(-0.065892+(-1.131588--0.28815))+0-0-0</f>
        <v>890.59067000000016</v>
      </c>
      <c r="Y200" s="3">
        <f>77.6+(1093.3-266.4)+(-0.158304+(-2.230332--0.543456))+0-0-0</f>
        <v>902.65481999999997</v>
      </c>
      <c r="Z200" s="3">
        <f>45+(995.5-156.1)+(-0.0459+(-1.01541--0.159222))+0-0-0</f>
        <v>883.49791199999993</v>
      </c>
      <c r="AA200" s="3">
        <f>45+(1013-217.3)+(-0.16065+(-3.61641--0.775761))+0-0-0</f>
        <v>837.69870100000003</v>
      </c>
      <c r="AB200" s="3">
        <f>1.3+(1113.6-304)+(-0.001326+(-1.135872--0.31008))+0-0-0</f>
        <v>810.07288199999982</v>
      </c>
      <c r="AC200" s="3">
        <f>0+(1136.8-375)+(0+(-2.319072--0.765))+0-0-0</f>
        <v>760.24592799999994</v>
      </c>
      <c r="AD200">
        <f t="shared" si="3"/>
        <v>19108.595178</v>
      </c>
      <c r="AE200" s="3">
        <f>121+(1123.5-282.4)+(0+(0-0))+0-0-0</f>
        <v>962.1</v>
      </c>
    </row>
    <row r="201" spans="1:31" s="2" customFormat="1" x14ac:dyDescent="0.25">
      <c r="A201">
        <v>89</v>
      </c>
      <c r="B201">
        <v>7</v>
      </c>
      <c r="C201">
        <v>15</v>
      </c>
      <c r="D201">
        <v>6</v>
      </c>
      <c r="E201">
        <v>1</v>
      </c>
      <c r="F201" s="3">
        <f>0+(1144-413.7)+(0+(-1.75032--0.632961))+0-0-0</f>
        <v>729.18264099999999</v>
      </c>
      <c r="G201" s="3">
        <f>0+(1163.1-467.4)+(0+(-0.593181--0.238374))+0-0-0</f>
        <v>695.34519299999988</v>
      </c>
      <c r="H201" s="3">
        <f>0+(1115.3-450.5)+(0+(-1.706409--0.689265))+0-0-0</f>
        <v>663.78285599999992</v>
      </c>
      <c r="I201" s="3">
        <f>0+(1101.3-437.4)+(0+(-2.808315--1.11537))+0-0-0</f>
        <v>662.20705499999997</v>
      </c>
      <c r="J201" s="3">
        <f>0+(1129.9-464.5)+(0+(-0.576249--0.236895))+0-0-0</f>
        <v>665.06064600000013</v>
      </c>
      <c r="K201" s="3">
        <f>0+(1067.7-406)+(0+(-1.633581--0.62118))+0-0-0</f>
        <v>660.68759900000009</v>
      </c>
      <c r="L201" s="3">
        <f>0+(985.7-309.9)+(0+(1.005414-0.316098))+0-0-0</f>
        <v>676.48931600000003</v>
      </c>
      <c r="M201" s="3">
        <f>0+(1047.8-309.6)+(0+(0.534378-0.157896))+0-0-0</f>
        <v>738.57648199999994</v>
      </c>
      <c r="N201" s="3">
        <f>0+(1104.7-340.9)+(0+(-0.563397--0.173859))+0-0-0</f>
        <v>763.41046200000005</v>
      </c>
      <c r="O201" s="3">
        <f>0+(1171-357.3)+(0+(0-0))+0-0-0</f>
        <v>813.7</v>
      </c>
      <c r="P201" s="3">
        <f>0+(1186.6-355.6)+(0+(-0.605166--0.181356))+0-0-0</f>
        <v>830.57618999999988</v>
      </c>
      <c r="Q201" s="3">
        <f>0+(1207.5-370.3)+(0+(-0.615825--0.188853))+0-0-0</f>
        <v>836.77302800000007</v>
      </c>
      <c r="R201" s="3">
        <f>0+(1274.3-438.8)+(0+(-1.949679--0.671364))+0-0-0</f>
        <v>834.22168499999998</v>
      </c>
      <c r="S201" s="3">
        <f>0+(1264.6-460.5)+(0+(-1.289892--0.46971))+0-0-0</f>
        <v>803.27981799999986</v>
      </c>
      <c r="T201" s="3">
        <f>0+(1245.5-443.8)+(0+(-2.54082--0.905352))+0-0-0</f>
        <v>800.0645320000001</v>
      </c>
      <c r="U201" s="3">
        <f>0+(1214.1-415.8)+(0+(-4.334337--1.484406))+0-0-0</f>
        <v>795.45006899999998</v>
      </c>
      <c r="V201" s="3">
        <f>0+(1135.7-345.8)+(0+(-1.158414--0.352716))+0-0-0</f>
        <v>789.09430200000008</v>
      </c>
      <c r="W201" s="3">
        <f>0+(1072.4-285.6)+(0+(-1.093848--0.291312))+0-0-0</f>
        <v>785.99746400000004</v>
      </c>
      <c r="X201" s="3">
        <f>0+(1100.5-216.3)+(0+(-1.683765--0.330939))+0-0-0</f>
        <v>882.847174</v>
      </c>
      <c r="Y201" s="3">
        <f>0+(1066.2-200.5)+(0+(-1.631286--0.306765))+0-0-0</f>
        <v>864.37547900000004</v>
      </c>
      <c r="Z201" s="3">
        <f>0+(1010.5-171)+(0+(0.515355-0.08721))+0-0-0</f>
        <v>839.92814499999997</v>
      </c>
      <c r="AA201" s="3">
        <f>0+(972.8-170.7)+(0+(-1.984512--0.348228))+0-0-0</f>
        <v>800.46371599999986</v>
      </c>
      <c r="AB201" s="3">
        <f>0+(1030.9-257.6)+(0+(-1.051518--0.262752))+0-0-0</f>
        <v>772.51123400000006</v>
      </c>
      <c r="AC201" s="3">
        <f>0+(992.1-257.5)+(0+(-2.023884--0.5253))+0-0-0</f>
        <v>733.10141599999997</v>
      </c>
      <c r="AD201">
        <f t="shared" si="3"/>
        <v>18437.126502000003</v>
      </c>
      <c r="AE201" s="3">
        <f>0+(1096-187.5)+(0+(0-0))+0-0-0</f>
        <v>908.5</v>
      </c>
    </row>
    <row r="202" spans="1:31" s="2" customFormat="1" x14ac:dyDescent="0.25">
      <c r="A202">
        <v>89</v>
      </c>
      <c r="B202">
        <v>7</v>
      </c>
      <c r="C202">
        <v>16</v>
      </c>
      <c r="D202">
        <v>7</v>
      </c>
      <c r="E202">
        <v>1</v>
      </c>
      <c r="F202" s="3">
        <f>0+(1026.6-321.4)+(0+(-1.570698--0.491742))+0-0-0</f>
        <v>704.12104399999998</v>
      </c>
      <c r="G202" s="3">
        <f>0+(1015.2-337.4)+(0+(-0.517752--0.172074))+0-0-0</f>
        <v>677.45432200000005</v>
      </c>
      <c r="H202" s="3">
        <f>0+(1000.8-343.7)+(0+(0-0))+0-0-0</f>
        <v>657.09999999999991</v>
      </c>
      <c r="I202" s="3">
        <f>0+(1014.8-364.7)+(0+(0.517548-0.185997))+0-0-0</f>
        <v>650.4315509999999</v>
      </c>
      <c r="J202" s="3">
        <f>0+(957-314.6)+(0+(0-0))+0-0-0</f>
        <v>642.4</v>
      </c>
      <c r="K202" s="3">
        <f>0+(909.7-282)+(0+(-2.319735--0.7191))+0-0-0</f>
        <v>626.09936500000003</v>
      </c>
      <c r="L202" s="3">
        <f>0+(881.5-278.6)+(0+(-2.247825--0.71043))+0-0-0</f>
        <v>601.36260500000003</v>
      </c>
      <c r="M202" s="3">
        <f>0+(901.1-293.6)+(0+(1.378683-0.449208))+0-0-0</f>
        <v>608.42947500000002</v>
      </c>
      <c r="N202" s="3">
        <f>0+(914.9-272.8)+(0+(-0.933198--0.278256))+0-0-0</f>
        <v>641.4450579999999</v>
      </c>
      <c r="O202" s="3">
        <f>0+(882.9-195.8)+(0+(-0.900558--0.199716))+0-0-0</f>
        <v>686.39915799999994</v>
      </c>
      <c r="P202" s="3">
        <f>0+(883.7-180.2)+(0+(-1.352061--0.275706))+0-0-0</f>
        <v>702.42364499999996</v>
      </c>
      <c r="Q202" s="3">
        <f>0+(1097.6-387.8)+(0+(-0.559776--0.197778))+0-0-0</f>
        <v>709.43800199999998</v>
      </c>
      <c r="R202" s="3">
        <f>0+(1146.3-449.3)+(0+(-1.753839--0.687429))+0-0-0</f>
        <v>695.93358999999998</v>
      </c>
      <c r="S202" s="3">
        <f>0+(1222.2-535.8)+(0+(0-0))+0-0-0</f>
        <v>686.40000000000009</v>
      </c>
      <c r="T202" s="3">
        <f>6.5+(1239.7-563.3)+(-0.009945+(-1.896741--0.861849))+0-0-0</f>
        <v>681.85516300000006</v>
      </c>
      <c r="U202" s="3">
        <f>7.6+(1155.1-485)+(-0.015504+(-2.356404--0.9894))+0-0-0</f>
        <v>676.3174919999999</v>
      </c>
      <c r="V202" s="3">
        <f>0+(1095.8-422.4)+(0+(-2.235432--0.861696))+0-0-0</f>
        <v>672.02626399999997</v>
      </c>
      <c r="W202" s="3">
        <f>0+(1022.4-319.5)+(0+(-2.60712--0.814725))+0-0-0</f>
        <v>701.10760499999992</v>
      </c>
      <c r="X202" s="3">
        <f>20.8+(950.5-188.8)+(-0.042432+(-1.93902--0.385152))+0-0-0</f>
        <v>780.90369999999996</v>
      </c>
      <c r="Y202" s="3">
        <f>45.1+(944.2-206.9)+(-0.046002+(-0.963084--0.211038))+0-0-0</f>
        <v>781.6019520000001</v>
      </c>
      <c r="Z202" s="3">
        <f>45.2+(993.9-273.2)+(-0.069156+(-1.520667--0.417996))+0-0-0</f>
        <v>764.72817300000008</v>
      </c>
      <c r="AA202" s="3">
        <f>5.1+(1008.7-275)+(-0.007803+(-1.543311--0.42075))+0-0-0</f>
        <v>737.66963600000008</v>
      </c>
      <c r="AB202" s="3">
        <f>0+(1042.9-338.1)+(0+(-2.659395--0.862155))+0-0-0</f>
        <v>703.00276000000008</v>
      </c>
      <c r="AC202" s="3">
        <f>0+(1002.9-344.5)+(0+(-1.022958--0.35139))+0-0-0</f>
        <v>657.728432</v>
      </c>
      <c r="AD202">
        <f t="shared" si="3"/>
        <v>16446.378992000002</v>
      </c>
      <c r="AE202" s="3">
        <f>45+(951.6-204.4)+(0+(0-0))+0-0-0</f>
        <v>792.2</v>
      </c>
    </row>
    <row r="203" spans="1:31" s="2" customFormat="1" x14ac:dyDescent="0.25">
      <c r="A203">
        <v>89</v>
      </c>
      <c r="B203">
        <v>7</v>
      </c>
      <c r="C203">
        <v>17</v>
      </c>
      <c r="D203">
        <v>1</v>
      </c>
      <c r="E203">
        <v>1</v>
      </c>
      <c r="F203" s="3">
        <f>0+(1064.7-448.7)+(0+(-2.714985--1.144185))+0-0-0</f>
        <v>614.42920000000004</v>
      </c>
      <c r="G203" s="3">
        <f>0+(1119.7-520.1)+(0+(-2.855235--1.326255))+0-0-0</f>
        <v>598.07101999999998</v>
      </c>
      <c r="H203" s="3">
        <f>0+(1091.8-505.1)+(0+(-0.556818--0.257601))+0-0-0</f>
        <v>586.40078299999993</v>
      </c>
      <c r="I203" s="3">
        <f>0+(980.4-388.4)+(0+(-2.000016--0.792336))+0-0-0</f>
        <v>590.79232000000002</v>
      </c>
      <c r="J203" s="3">
        <f>0+(908.8-316.6)+(0+(-0.463488--0.161466))+0-0-0</f>
        <v>591.89797799999997</v>
      </c>
      <c r="K203" s="3">
        <f>0+(872.9-266.5)+(0+(0-0))+0-0-0</f>
        <v>606.4</v>
      </c>
      <c r="L203" s="3">
        <f>0+(849.7-211.2)+(0+(0.433347-0.107712))+0-0-0</f>
        <v>638.82563500000003</v>
      </c>
      <c r="M203" s="3">
        <f>0+(1015.9-315.2)+(0+(-0.518109--0.160752))+0-0-0</f>
        <v>700.34264300000007</v>
      </c>
      <c r="N203" s="3">
        <f>0+(1060.3-287.5)+(0+(-0.540753--0.146625))+0-0-0</f>
        <v>772.40587199999993</v>
      </c>
      <c r="O203" s="3">
        <f>0+(1177.1-370.4)+(0+(-1.200642--0.377808))+0-0-0</f>
        <v>805.87716599999999</v>
      </c>
      <c r="P203" s="3">
        <f>0+(1179.1-347.2)+(0+(-0.601341--0.177072))+0-0-0</f>
        <v>831.47573099999988</v>
      </c>
      <c r="Q203" s="3">
        <f>0+(1157.9-312.8)+(0+(-1.181058--0.319056))+0-0-0</f>
        <v>844.23799800000018</v>
      </c>
      <c r="R203" s="3">
        <f>0+(1221.9-400.1)+(0+(-0.623169--0.204051))+0-0-0</f>
        <v>821.38088200000004</v>
      </c>
      <c r="S203" s="3">
        <f>0+(1255.6-439.9)+(0+(-1.280712--0.448698))+0-0-0</f>
        <v>814.86798599999997</v>
      </c>
      <c r="T203" s="3">
        <f>0+(1291.8-471.3)+(0+(-1.317636--0.480726))+0-0-0</f>
        <v>819.66309000000001</v>
      </c>
      <c r="U203" s="3">
        <f>0+(1292.9-472.7)+(0+(-2.637516--0.964308))+0-0-0</f>
        <v>818.526792</v>
      </c>
      <c r="V203" s="3">
        <f>0+(1216.4-411.1)+(0+(-3.722184--1.257966))+0-0-0</f>
        <v>802.83578200000011</v>
      </c>
      <c r="W203" s="3">
        <f>0+(1139.6-306.7)+(0+(-1.162392--0.312834))+0-0-0</f>
        <v>832.05044199999986</v>
      </c>
      <c r="X203" s="3">
        <f>0+(1085.2-177.4)+(0+(-1.660356--0.271422))+0-0-0</f>
        <v>906.41106600000012</v>
      </c>
      <c r="Y203" s="3">
        <f>0+(1102.6-215.6)+(0+(-2.81163--0.54978))+0-0-0</f>
        <v>884.73814999999991</v>
      </c>
      <c r="Z203" s="3">
        <f>0+(1130.4-279.7)+(0+(-1.729512--0.427941))+0-0-0</f>
        <v>849.39842900000008</v>
      </c>
      <c r="AA203" s="3">
        <f>0+(1118.9-306.2)+(0+(-2.853195--0.78081))+0-0-0</f>
        <v>810.62761499999999</v>
      </c>
      <c r="AB203" s="3">
        <f>0+(1103.2-337.3)+(0+(-2.81316--0.860115))+0-0-0</f>
        <v>763.94695500000012</v>
      </c>
      <c r="AC203" s="3">
        <f>0+(972.9-249.8)+(0+(0-0))+0-0-0</f>
        <v>723.09999999999991</v>
      </c>
      <c r="AD203">
        <f t="shared" si="3"/>
        <v>18028.703535000001</v>
      </c>
      <c r="AE203" s="3">
        <f>0+(1074.2-252.6)+(0+(0-0))+0-0-0</f>
        <v>821.6</v>
      </c>
    </row>
    <row r="204" spans="1:31" s="2" customFormat="1" x14ac:dyDescent="0.25">
      <c r="A204">
        <v>89</v>
      </c>
      <c r="B204">
        <v>7</v>
      </c>
      <c r="C204">
        <v>18</v>
      </c>
      <c r="D204">
        <v>2</v>
      </c>
      <c r="E204">
        <v>1</v>
      </c>
      <c r="F204" s="3">
        <f>0+(1092.1-400.8)+(0+(0-0))+0-0-0</f>
        <v>691.3</v>
      </c>
      <c r="G204" s="3">
        <f>0+(1048.3-370.2)+(0+(0-0))+0-0-0</f>
        <v>678.09999999999991</v>
      </c>
      <c r="H204" s="3">
        <f>0+(1012.4-361)+(0+(0-0))+0-0-0</f>
        <v>651.4</v>
      </c>
      <c r="I204" s="3">
        <f>0+(966.6-327.7)+(0+(0-0))+0-0-0</f>
        <v>638.90000000000009</v>
      </c>
      <c r="J204" s="3">
        <f>0+(992.5-348.1)+(0+(0-0))+0-0-0</f>
        <v>644.4</v>
      </c>
      <c r="K204" s="3">
        <f>0+(1008.4-359.3)+(0+(0-0))+0-0-0</f>
        <v>649.09999999999991</v>
      </c>
      <c r="L204" s="3">
        <f>0+(960.4-295.8)+(0+(0-0))+0-0-0</f>
        <v>664.59999999999991</v>
      </c>
      <c r="M204" s="3">
        <f>0+(944.6-221.2)+(0+(0-0))+0-0-0</f>
        <v>723.40000000000009</v>
      </c>
      <c r="N204" s="3">
        <f>0+(1083.7-311.9)+(0+(0-0))+0-0-0</f>
        <v>771.80000000000007</v>
      </c>
      <c r="O204" s="3">
        <f>0+(1214.9-401.7)+(0+(0-0))+0-0-0</f>
        <v>813.2</v>
      </c>
      <c r="P204" s="3">
        <f>0+(1224.7-383.4)+(0+(0-0))+0-0-0</f>
        <v>841.30000000000007</v>
      </c>
      <c r="Q204" s="3">
        <f>0+(1224-374.1)+(0+(0-0))+0-0-0</f>
        <v>849.9</v>
      </c>
      <c r="R204" s="3">
        <f>26.1+(1222.1-430)+(-0.013311+(-0.623271--0.2193))+0-0-0</f>
        <v>817.78271799999993</v>
      </c>
      <c r="S204" s="3">
        <f>115+(1217.9-534.8)+(-0.1173+(-1.242258--0.545496))+0-0-0</f>
        <v>797.2859380000001</v>
      </c>
      <c r="T204" s="3">
        <f>112.5+(1235.1-543.8)+(-0.11475+(-1.259802--0.554676))+0-0-0</f>
        <v>802.98012399999993</v>
      </c>
      <c r="U204" s="3">
        <f>115.3+(1207.9-543.9)+(-0.235212+(-2.464116--1.109556))+0-0-0</f>
        <v>777.71022800000003</v>
      </c>
      <c r="V204" s="3">
        <f>115.8+(1207.7-525.5)+(-0.177174+(-1.847781--0.804015))+0-0-0</f>
        <v>796.77905999999996</v>
      </c>
      <c r="W204" s="3">
        <f>117.2+(1200.6-497)+(0+(0-0))+0-0-0</f>
        <v>820.8</v>
      </c>
      <c r="X204" s="3">
        <f>118.8+(1179.5-391.6)+(-0.060588+(-0.601545--0.199716))+0-0-0</f>
        <v>906.23758299999997</v>
      </c>
      <c r="Y204" s="3">
        <f>119.8+(1162.8-396.4)+(-0.183294+(-1.779084--0.606492))+0-0-0</f>
        <v>884.84411399999988</v>
      </c>
      <c r="Z204" s="3">
        <f>120.9+(1184.5-445.8)+(-0.369954+(-3.62457--1.364148))+0-0-0</f>
        <v>856.96962400000007</v>
      </c>
      <c r="AA204" s="3">
        <f>120.8+(1160.2-475.2)+(-0.123216+(-1.183404--0.484704))+0-0-0</f>
        <v>804.97808399999997</v>
      </c>
      <c r="AB204" s="3">
        <f>97.2+(1183-504.6)+(-0.297432+(-3.61998--1.544076))+0-0-0</f>
        <v>773.22666400000003</v>
      </c>
      <c r="AC204" s="3">
        <f>0+(1156.2-422.9)+(0+(-2.94831--1.078395))+0-0-0</f>
        <v>731.43008500000008</v>
      </c>
      <c r="AD204">
        <f t="shared" si="3"/>
        <v>18388.424222000001</v>
      </c>
      <c r="AE204" s="3">
        <f>120+(1168.8-382.9)+(0+(0-0))+0-0-0</f>
        <v>905.9</v>
      </c>
    </row>
    <row r="205" spans="1:31" s="2" customFormat="1" x14ac:dyDescent="0.25">
      <c r="A205">
        <v>89</v>
      </c>
      <c r="B205">
        <v>7</v>
      </c>
      <c r="C205">
        <v>19</v>
      </c>
      <c r="D205">
        <v>3</v>
      </c>
      <c r="E205">
        <v>1</v>
      </c>
      <c r="F205" s="3">
        <f>0+(1195.6-502.2)+(0+(0.609756-0.256122))+0-0-0</f>
        <v>693.75363399999992</v>
      </c>
      <c r="G205" s="3">
        <f>0+(1114.4-450.6)+(0+(-2.273376--0.919224))+0-0-0</f>
        <v>662.44584800000007</v>
      </c>
      <c r="H205" s="3">
        <f>0+(1070.4-415.9)+(0+(-2.183616--0.848436))+0-0-0</f>
        <v>653.16482000000008</v>
      </c>
      <c r="I205" s="3">
        <f>0+(1016.9-375.3)+(0+(-1.037238--0.382806))+0-0-0</f>
        <v>640.94556799999987</v>
      </c>
      <c r="J205" s="3">
        <f>0+(995.4-354.2)+(0+(-1.015308--0.361284))+0-0-0</f>
        <v>640.545976</v>
      </c>
      <c r="K205" s="3">
        <f>0+(994.5-349.8)+(0+(0.507195-0.178398))+0-0-0</f>
        <v>645.02879700000005</v>
      </c>
      <c r="L205" s="3">
        <f>0+(941.3-276.2)+(0+(-0.960126--0.281724))+0-0-0</f>
        <v>664.4215979999999</v>
      </c>
      <c r="M205" s="3">
        <f>0+(998-284.7)+(0+(0.50898-0.145197))+0-0-0</f>
        <v>713.66378299999997</v>
      </c>
      <c r="N205" s="3">
        <f>0+(1066.1-294.5)+(0+(-0.543711--0.150195))+0-0-0</f>
        <v>771.20648399999993</v>
      </c>
      <c r="O205" s="3">
        <f>0+(1110.9-293.6)+(0+(0-0))+0-0-0</f>
        <v>817.30000000000007</v>
      </c>
      <c r="P205" s="3">
        <f>0+(1136.5-312.8)+(0+(0-0))+0-0-0</f>
        <v>823.7</v>
      </c>
      <c r="Q205" s="3">
        <f>108.6+(1102.6-399.8)+(0+(0-0))+0-0-0</f>
        <v>811.4</v>
      </c>
      <c r="R205" s="3">
        <f>118.9+(1229.8-531.7)+(-0.121278+(-1.254396--0.542334))+0-0-0</f>
        <v>816.16665999999987</v>
      </c>
      <c r="S205" s="3">
        <f>117.5+(1303.9-617)+(0+(0-0))+0-0-0</f>
        <v>804.40000000000009</v>
      </c>
      <c r="T205" s="3">
        <f>116.9+(1279.9-594.8)+(-0.119238+(-1.305498--0.606696))+0-0-0</f>
        <v>801.18196000000012</v>
      </c>
      <c r="U205" s="3">
        <f>116.8+(1340-637.3)+(-0.238272+(-2.7336--1.300092))+0-0-0</f>
        <v>817.82821999999999</v>
      </c>
      <c r="V205" s="3">
        <f>117.3+(1327.8-627.6)+(-0.239292+(-2.708712--1.280304))+0-0-0</f>
        <v>815.83229999999992</v>
      </c>
      <c r="W205" s="3">
        <f>80.4+(1300.4-541.3)+(0.082008+(1.326408-0.552126))+0-0-0</f>
        <v>840.35629000000006</v>
      </c>
      <c r="X205" s="3">
        <f>110.7+(1217.1-432.4)+(-0.169371+(-1.862163--0.661572))+0-0-0</f>
        <v>894.03003799999999</v>
      </c>
      <c r="Y205" s="3">
        <f>120.6+(1214.2-456.6)+(-0.246024+(-2.476968--0.931464))+0-0-0</f>
        <v>876.40847200000007</v>
      </c>
      <c r="Z205" s="3">
        <f>122.3+(1242.6-525.7)+(-0.187119+(-1.901178--0.804321))+0-0-0</f>
        <v>837.91602399999977</v>
      </c>
      <c r="AA205" s="3">
        <f>125.3+(1237-561.1)+(-0.127806+(-1.26174--0.572322))+0-0-0</f>
        <v>800.38277599999992</v>
      </c>
      <c r="AB205" s="3">
        <f>125.3+(1226.5-583.4)+(-0.127806+(-1.25103--0.595068))+0-0-0</f>
        <v>767.61623199999997</v>
      </c>
      <c r="AC205" s="3">
        <f>125.2+(1159.3-565.9)+(-0.063852+(-0.591243--0.288609))+0-0-0</f>
        <v>718.23351400000001</v>
      </c>
      <c r="AD205">
        <f t="shared" si="3"/>
        <v>18327.928994000002</v>
      </c>
      <c r="AE205" s="3">
        <f>120+(1220.7-426.2)+(0+(0-0))+0-0-0</f>
        <v>914.5</v>
      </c>
    </row>
    <row r="206" spans="1:31" s="2" customFormat="1" x14ac:dyDescent="0.25">
      <c r="A206">
        <v>89</v>
      </c>
      <c r="B206">
        <v>7</v>
      </c>
      <c r="C206">
        <v>20</v>
      </c>
      <c r="D206">
        <v>4</v>
      </c>
      <c r="E206">
        <v>1</v>
      </c>
      <c r="F206" s="3">
        <f>125.5+(1154.2-601.3)+(-0.25602+(-2.354568--1.226652))+0-0-0</f>
        <v>677.01606400000014</v>
      </c>
      <c r="G206" s="3">
        <f>125.7+(1085.4-549.6)+(-0.064107+(-0.553554--0.280296))+0-0-0</f>
        <v>661.16263500000014</v>
      </c>
      <c r="H206" s="3">
        <f>126.3+(1061.1-536.2)+(-0.193239+(-1.623483--0.820386))+0-0-0</f>
        <v>650.20366399999978</v>
      </c>
      <c r="I206" s="3">
        <f>126.5+(1048.2-537.5)+(-0.193545+(-1.603746--0.822375))+0-0-0</f>
        <v>636.22508400000004</v>
      </c>
      <c r="J206" s="3">
        <f>126.9+(1037.6-519.6)+(-0.129438+(-1.058352--0.529992))+0-0-0</f>
        <v>644.24220199999991</v>
      </c>
      <c r="K206" s="3">
        <f>127.6+(1017.4-493.9)+(0+(0-0))+0-0-0</f>
        <v>651.1</v>
      </c>
      <c r="L206" s="3">
        <f>127.8+(946.8-408.5)+(0+(0-0))+0-0-0</f>
        <v>666.09999999999991</v>
      </c>
      <c r="M206" s="3">
        <f>127.9+(1043.2-456.2)+(0.065229+(0.532032-0.232662))+0-0-0</f>
        <v>715.26459899999998</v>
      </c>
      <c r="N206" s="3">
        <f>127+(1026-406)+(0+(0-0))+0-0-0</f>
        <v>747</v>
      </c>
      <c r="O206" s="3">
        <f>127+(1062.8-439)+(0+(0-0))+0-0-0</f>
        <v>750.8</v>
      </c>
      <c r="P206" s="3">
        <f>127+(1118.6-432)+(-0.32385+(-2.85243--1.1016))+0-0-0</f>
        <v>811.52531999999997</v>
      </c>
      <c r="Q206" s="3">
        <f>124.2+(1192.6-461.3)+(0+(0-0))+0-0-0</f>
        <v>855.5</v>
      </c>
      <c r="R206" s="3">
        <f>123.5+(1221.6-541.3)+(0+(0-0))+0-0-0</f>
        <v>803.8</v>
      </c>
      <c r="S206" s="3">
        <f>122.3+(1292.9-610.3)+(0+(0-0))+0-0-0</f>
        <v>804.90000000000009</v>
      </c>
      <c r="T206" s="3">
        <f>121.9+(1302.3-620.3)+(-0.310845+(-3.320865--1.581765))+0-0-0</f>
        <v>801.850055</v>
      </c>
      <c r="U206" s="3">
        <f>121.4+(1302.8-626.3)+(-0.123828+(-1.328856--0.638826))+0-0-0</f>
        <v>797.086142</v>
      </c>
      <c r="V206" s="3">
        <f>121.4+(1260.4-584.2)+(-0.371484+(-3.856824--1.787652))+0-0-0</f>
        <v>795.15934400000003</v>
      </c>
      <c r="W206" s="3">
        <f>121.9+(1172-472.2)+(-0.248676+(-2.39088--0.963288))+0-0-0</f>
        <v>820.02373199999988</v>
      </c>
      <c r="X206" s="3">
        <f>123+(1186-411.4)+(-0.25092+(-2.41944--0.839256))+0-0-0</f>
        <v>895.76889600000004</v>
      </c>
      <c r="Y206" s="3">
        <f>123.8+(1193.6-441.8)+(-0.189414+(-1.826208--0.675954))+0-0-0</f>
        <v>874.26033199999995</v>
      </c>
      <c r="Z206" s="3">
        <f>125.4+(1161.7-437.2)+(-0.191862+(-1.777401--0.668916))+0-0-0</f>
        <v>848.59965299999999</v>
      </c>
      <c r="AA206" s="3">
        <f>88.4+(1119.3-394.9)+(-0.270504+(-3.425058--1.208394))+0-0-0</f>
        <v>810.31283199999996</v>
      </c>
      <c r="AB206" s="3">
        <f>48.1+(1069.4-351)+(-0.098124+(-2.181576--0.71604))+0-0-0</f>
        <v>764.93634000000009</v>
      </c>
      <c r="AC206" s="3">
        <f>48.1+(1136.2-457.6)+(-0.122655+(-2.89731--1.16688))+0-0-0</f>
        <v>724.84691500000008</v>
      </c>
      <c r="AD206">
        <f t="shared" si="3"/>
        <v>18207.683809000002</v>
      </c>
      <c r="AE206" s="3">
        <f>122+(1206.3-443.4)+(0+(0-0))+0-0-0</f>
        <v>884.9</v>
      </c>
    </row>
    <row r="207" spans="1:31" s="2" customFormat="1" x14ac:dyDescent="0.25">
      <c r="A207">
        <v>89</v>
      </c>
      <c r="B207">
        <v>7</v>
      </c>
      <c r="C207">
        <v>21</v>
      </c>
      <c r="D207">
        <v>5</v>
      </c>
      <c r="E207">
        <v>1</v>
      </c>
      <c r="F207" s="3">
        <f>48.1+(1091.5-440.1)+(-0.024531+(-0.556665--0.224451))+0-0-0</f>
        <v>699.14325499999995</v>
      </c>
      <c r="G207" s="3">
        <f>48.1+(1048.8-417.9)+(-0.073593+(-1.604664--0.639387))+0-0-0</f>
        <v>677.96113000000003</v>
      </c>
      <c r="H207" s="3">
        <f>48.1+(1018.7-411)+(-0.073593+(-1.558611--0.62883))+0-0-0</f>
        <v>654.79662600000006</v>
      </c>
      <c r="I207" s="3">
        <f>48.1+(1017.3-412.4)+(-0.073593+(-1.556469--0.630972))+0-0-0</f>
        <v>652.00090999999998</v>
      </c>
      <c r="J207" s="3">
        <f>48.1+(1012.1-407.8)+(0+(0-0))+0-0-0</f>
        <v>652.4</v>
      </c>
      <c r="K207" s="3">
        <f>48.1+(976-372.2)+(-0.098124+(-1.99104--0.759288))+0-0-0</f>
        <v>650.57012399999996</v>
      </c>
      <c r="L207" s="3">
        <f>48.1+(967.3-345.2)+(-0.073593+(-1.479969--0.528156))+0-0-0</f>
        <v>669.17459399999996</v>
      </c>
      <c r="M207" s="3">
        <f>48.1+(956.1-285.3)+(0.049062+(0.975222-0.291006))+0-0-0</f>
        <v>719.63327800000002</v>
      </c>
      <c r="N207" s="3">
        <f>52.4+(1002.3-276.1)+(-0.053448+(-1.022346--0.281622))+0-0-0</f>
        <v>777.80582799999991</v>
      </c>
      <c r="O207" s="3">
        <f>124.2+(1117.2-423.4)+(-0.190026+(-1.709316--0.647802))+0-0-0</f>
        <v>816.74846000000014</v>
      </c>
      <c r="P207" s="3">
        <f>122.6+(1187.9-480.3)+(-0.187578+(-1.817487--0.734859))+0-0-0</f>
        <v>828.92979400000013</v>
      </c>
      <c r="Q207" s="3">
        <f>121.5+(1270.5-526.3)+(0.061965+(0.647955-0.268413))+0-0-0</f>
        <v>866.14150700000005</v>
      </c>
      <c r="R207" s="3">
        <f>120.7+(1236.8-502.7)+(-0.369342+(-3.784608--1.538262))+0-0-0</f>
        <v>852.18431199999998</v>
      </c>
      <c r="S207" s="3">
        <f>120.1+(1179.3-457)+(-0.061251+(-0.601443--0.23307))+0-0-0</f>
        <v>841.97037599999999</v>
      </c>
      <c r="T207" s="3">
        <f>119.8+(1190.3-502.8)+(-0.122196+(-1.214106--0.512856))+0-0-0</f>
        <v>806.47655399999996</v>
      </c>
      <c r="U207" s="3">
        <f>107+(1189.3-490)+(-0.10914+(-1.213086--0.4998))+0-0-0</f>
        <v>805.477574</v>
      </c>
      <c r="V207" s="3">
        <f>45.1+(1184.3-424.2)+(-0.092004+(-2.415972--0.865368))+0-0-0</f>
        <v>803.55739199999994</v>
      </c>
      <c r="W207" s="3">
        <f>45.1+(1079.4-296.4)+(-0.023001+(-0.550494--0.151164))+0-0-0</f>
        <v>827.67766900000015</v>
      </c>
      <c r="X207" s="3">
        <f>110.5+(1030.6-237.6)+(-0.22542+(-2.102424--0.484704))+0-0-0</f>
        <v>901.65685999999994</v>
      </c>
      <c r="Y207" s="3">
        <f>50.3+(1010.4-178.1)+(-0.102612+(-2.061216--0.363324))+0-0-0</f>
        <v>880.79949599999986</v>
      </c>
      <c r="Z207" s="3">
        <f>30.9+(993.3-172.5)+(-0.078795+(-2.532915--0.439875))+0-0-0</f>
        <v>849.52816499999994</v>
      </c>
      <c r="AA207" s="3">
        <f>0+(936.3-119.8)+(0+(-1.432539--0.183294))+0-0-0</f>
        <v>815.25075500000003</v>
      </c>
      <c r="AB207" s="3">
        <f>0+(977.7-203.7)+(0+(-1.495881--0.311661))+0-0-0</f>
        <v>772.81578000000002</v>
      </c>
      <c r="AC207" s="3">
        <f>0+(1025.8-292.1)+(0+(-2.61579--0.744855))+0-0-0</f>
        <v>731.8290649999999</v>
      </c>
      <c r="AD207">
        <f t="shared" si="3"/>
        <v>18554.529503999998</v>
      </c>
      <c r="AE207" s="3">
        <f>122+(1034.2-181.6)+(0+(0-0))+0-0-0</f>
        <v>974.6</v>
      </c>
    </row>
    <row r="208" spans="1:31" s="2" customFormat="1" x14ac:dyDescent="0.25">
      <c r="A208">
        <v>89</v>
      </c>
      <c r="B208">
        <v>7</v>
      </c>
      <c r="C208">
        <v>22</v>
      </c>
      <c r="D208">
        <v>6</v>
      </c>
      <c r="E208">
        <v>1</v>
      </c>
      <c r="F208" s="3">
        <f>0+(1007.1-309.3)+(0+(-3.595347--1.104201))+0-0-0</f>
        <v>695.308854</v>
      </c>
      <c r="G208" s="3">
        <f>0+(1084.4-412.7)+(0+(-1.106088--0.420954))+0-0-0</f>
        <v>671.0148660000001</v>
      </c>
      <c r="H208" s="3">
        <f>0+(1036.3-368.5)+(0+(-1.585539--0.563805))+0-0-0</f>
        <v>666.77826599999992</v>
      </c>
      <c r="I208" s="3">
        <f>0+(939-280.5)+(0+(-0.95778--0.28611))+0-0-0</f>
        <v>657.82833000000005</v>
      </c>
      <c r="J208" s="3">
        <f>0+(924-273.4)+(0+(0.47124-0.139434))+0-0-0</f>
        <v>650.93180600000005</v>
      </c>
      <c r="K208" s="3">
        <f>0+(906-255.6)+(0+(-1.38618--0.391068))+0-0-0</f>
        <v>649.40488800000003</v>
      </c>
      <c r="L208" s="3">
        <f>0+(901-241.4)+(0+(-0.91902--0.246228))+0-0-0</f>
        <v>658.92720800000006</v>
      </c>
      <c r="M208" s="3">
        <f>0+(946.2-243.8)+(0+(0.965124-0.248676))+0-0-0</f>
        <v>703.1164480000001</v>
      </c>
      <c r="N208" s="3">
        <f>0+(913.3-146)+(0+(-0.465783--0.07446))+0-0-0</f>
        <v>766.9086769999999</v>
      </c>
      <c r="O208" s="3">
        <f>0+(942.5-144.5)+(0+(0.480675-0.073695))+0-0-0</f>
        <v>798.40697999999998</v>
      </c>
      <c r="P208" s="3">
        <f>29.7+(883.2-99.1)+(-0.030294+(-0.900864--0.101082))+0-0-0</f>
        <v>812.96992400000011</v>
      </c>
      <c r="Q208" s="3">
        <f>119.7+(909.7-222.8)+(0.122094+(0.927894-0.227256))+0-0-0</f>
        <v>807.42273200000011</v>
      </c>
      <c r="R208" s="3">
        <f>119.1+(890.2-224.3)+(-0.425187+(-3.178014--0.800751))+0-0-0</f>
        <v>782.19755000000009</v>
      </c>
      <c r="S208" s="3">
        <f>64.3+(937.4-242)+(-0.196758+(-2.868444--0.74052))+0-0-0</f>
        <v>757.37531799999988</v>
      </c>
      <c r="T208" s="3">
        <f>48.1+(997.8-285.2)+(-0.049062+(-1.017756--0.290904))+0-0-0</f>
        <v>759.92408599999999</v>
      </c>
      <c r="U208" s="3">
        <f>48.1+(966.9-261.1)+(-0.122655+(-2.465595--0.665805))+0-0-0</f>
        <v>751.97755499999994</v>
      </c>
      <c r="V208" s="3">
        <f>48.1+(903.5-200.7)+(0.024531+(0.460785-0.102357))+0-0-0</f>
        <v>751.28295900000001</v>
      </c>
      <c r="W208" s="3">
        <f>53.4+(825.7-102.6)+(-0.054468+(-0.842214--0.104652))+0-0-0</f>
        <v>775.70797000000005</v>
      </c>
      <c r="X208" s="3">
        <f>119.6+(893.6-151.1)+(-0.121992+(-0.911472--0.154122))+0-0-0</f>
        <v>861.22065800000007</v>
      </c>
      <c r="Y208" s="3">
        <f>121+(892.3-167.7)+(-0.24684+(-1.820292--0.342108))+0-0-0</f>
        <v>843.87497599999995</v>
      </c>
      <c r="Z208" s="3">
        <f>121+(886.4-185.6)+(-0.12342+(-0.904128--0.189312))+0-0-0</f>
        <v>820.9617639999999</v>
      </c>
      <c r="AA208" s="3">
        <f>123.1+(840.4-174.5)+(-0.313905+(-2.14302--0.444975))+0-0-0</f>
        <v>786.98805000000004</v>
      </c>
      <c r="AB208" s="3">
        <f>122.4+(847.8-212.9)+(-0.062424+(-0.432378--0.108579))+0-0-0</f>
        <v>756.91377699999998</v>
      </c>
      <c r="AC208" s="3">
        <f>122.9+(877.1-280.6)+(-0.376074+(-2.683926--0.858636))+0-0-0</f>
        <v>717.19863599999996</v>
      </c>
      <c r="AD208">
        <f t="shared" si="3"/>
        <v>17904.642278000003</v>
      </c>
      <c r="AE208" s="3">
        <f>120+(905.4-159)+(0+(0-0))+0-0-0</f>
        <v>866.4</v>
      </c>
    </row>
    <row r="209" spans="1:31" s="2" customFormat="1" x14ac:dyDescent="0.25">
      <c r="A209">
        <v>89</v>
      </c>
      <c r="B209">
        <v>7</v>
      </c>
      <c r="C209">
        <v>23</v>
      </c>
      <c r="D209">
        <v>7</v>
      </c>
      <c r="E209">
        <v>1</v>
      </c>
      <c r="F209" s="3">
        <f>123.4+(922.1-374.5)+(-0.125868+(-0.940542--0.38199))+0-0-0</f>
        <v>670.31557999999995</v>
      </c>
      <c r="G209" s="3">
        <f>123.5+(920.5-392.4)+(-0.188955+(-1.408365--0.600372))+0-0-0</f>
        <v>650.60305200000005</v>
      </c>
      <c r="H209" s="3">
        <f>123.7+(874.9-370.2)+(0+(0-0))+0-0-0</f>
        <v>628.4</v>
      </c>
      <c r="I209" s="3">
        <f>123.7+(851.2-354.5)+(-0.063087+(-0.434112--0.180795))+0-0-0</f>
        <v>620.08359600000006</v>
      </c>
      <c r="J209" s="3">
        <f>124.7+(840.9-361.8)+(0.063597+(0.428859-0.184518))+0-0-0</f>
        <v>604.10793799999999</v>
      </c>
      <c r="K209" s="3">
        <f>125.8+(805.3-324.9)+(-0.192474+(-1.232109--0.497097))+0-0-0</f>
        <v>605.27251399999989</v>
      </c>
      <c r="L209" s="3">
        <f>48.7+(803.3-270.6)+(-0.074511+(-1.229049--0.414018))+0-0-0</f>
        <v>580.51045799999997</v>
      </c>
      <c r="M209" s="3">
        <f>45.1+(914.4-362.4)+(0+(0-0))+0-0-0</f>
        <v>597.1</v>
      </c>
      <c r="N209" s="3">
        <f>45.1+(963.6-367.9)+(0+(0-0))+0-0-0</f>
        <v>640.80000000000007</v>
      </c>
      <c r="O209" s="3">
        <f>45.1+(975.7-347.9)+(-0.115005+(-2.488035--0.887145))+0-0-0</f>
        <v>671.18410500000005</v>
      </c>
      <c r="P209" s="3">
        <f>113.2+(962.9-371.5)+(-0.230928+(-1.964316--0.75786))+0-0-0</f>
        <v>703.16261600000007</v>
      </c>
      <c r="Q209" s="3">
        <f>119.6+(919.2-332.7)+(-0.121992+(-0.937584--0.339354))+0-0-0</f>
        <v>705.37977799999999</v>
      </c>
      <c r="R209" s="3">
        <f>118.3+(945.9-369.3)+(-0.120666+(-0.964818--0.376686))+0-0-0</f>
        <v>694.19120199999986</v>
      </c>
      <c r="S209" s="3">
        <f>116.7+(945.7-404.6)+(0+(0-0))+0-0-0</f>
        <v>657.80000000000007</v>
      </c>
      <c r="T209" s="3">
        <f>115.8+(991.2-445.9)+(-0.059058+(-0.505512--0.227409))+0-0-0</f>
        <v>660.76283899999999</v>
      </c>
      <c r="U209" s="3">
        <f>115.4+(965.3-425.8)+(-0.235416+(-1.969212--0.868632))+0-0-0</f>
        <v>653.56400399999995</v>
      </c>
      <c r="V209" s="3">
        <f>115.4+(930.1-385.1)+(-0.117708+(-0.948702--0.392802))+0-0-0</f>
        <v>659.72639200000003</v>
      </c>
      <c r="W209" s="3">
        <f>74.9+(863.1-245.3)+(-0.152796+(-1.760724--0.500412))+0-0-0</f>
        <v>691.28689199999997</v>
      </c>
      <c r="X209" s="3">
        <f>118.3+(845.6-169.5)+(-0.120666+(-0.862512--0.17289))+0-0-0</f>
        <v>793.58971199999996</v>
      </c>
      <c r="Y209" s="3">
        <f>118.5+(848-189)+(-0.24174+(-1.72992--0.38556))+0-0-0</f>
        <v>775.91390000000001</v>
      </c>
      <c r="Z209" s="3">
        <f>120+(823.7-181.1)+(0+(0-0))+0-0-0</f>
        <v>762.6</v>
      </c>
      <c r="AA209" s="3">
        <f>121+(860.8-248.6)+(-0.18513+(-1.317024--0.380358))+0-0-0</f>
        <v>732.07820399999991</v>
      </c>
      <c r="AB209" s="3">
        <f>121.2+(889.8-309.3)+(0+(0-0))+0-0-0</f>
        <v>701.7</v>
      </c>
      <c r="AC209" s="3">
        <f>122+(910-369.6)+(-0.37332+(-2.7846--1.130976))+0-0-0</f>
        <v>660.37305600000002</v>
      </c>
      <c r="AD209">
        <f t="shared" si="3"/>
        <v>16120.505838000001</v>
      </c>
      <c r="AE209" s="3">
        <f>119+(885.5-231.6)+(0+(0-0))+0-0-0</f>
        <v>772.9</v>
      </c>
    </row>
    <row r="210" spans="1:31" s="2" customFormat="1" x14ac:dyDescent="0.25">
      <c r="A210">
        <v>89</v>
      </c>
      <c r="B210">
        <v>7</v>
      </c>
      <c r="C210">
        <v>24</v>
      </c>
      <c r="D210">
        <v>1</v>
      </c>
      <c r="E210">
        <v>1</v>
      </c>
      <c r="F210" s="3">
        <f>121.7+(950.3-451.1)+(-0.310335+(-2.423265--1.150305))+0-0-0</f>
        <v>619.31670499999996</v>
      </c>
      <c r="G210" s="3">
        <f>122.3+(935.3-460.3)+(-0.311865+(-2.385015--1.173765))+0-0-0</f>
        <v>595.77688499999999</v>
      </c>
      <c r="H210" s="3">
        <f>122.5+(937.2-470.6)+(-0.062475+(-0.477972--0.240006))+0-0-0</f>
        <v>588.79955900000004</v>
      </c>
      <c r="I210" s="3">
        <f>122.6+(937-468.9)+(0.062526+(0.47787-0.239139))+0-0-0</f>
        <v>591.00125700000001</v>
      </c>
      <c r="J210" s="3">
        <f>123.2+(956.4-479.9)+(-0.125664+(-0.975528--0.489498))+0-0-0</f>
        <v>599.0883060000001</v>
      </c>
      <c r="K210" s="3">
        <f>124.3+(874.5-389.1)+(-0.063393+(-0.445995--0.198441))+0-0-0</f>
        <v>609.38905299999988</v>
      </c>
      <c r="L210" s="3">
        <f>124.2+(902-383.6)+(0.063342+(0.46002-0.195636))+0-0-0</f>
        <v>642.92772600000001</v>
      </c>
      <c r="M210" s="3">
        <f>123.5+(984.4-394.7)+(0.12597+(1.004088-0.402594))+0-0-0</f>
        <v>713.9274640000001</v>
      </c>
      <c r="N210" s="3">
        <f>122.3+(1018.9-358)+(-0.062373+(-0.519639--0.18258))+0-0-0</f>
        <v>782.80056799999988</v>
      </c>
      <c r="O210" s="3">
        <f>120.3+(1055.8-349.9)+(0+(0-0))+0-0-0</f>
        <v>826.19999999999993</v>
      </c>
      <c r="P210" s="3">
        <f>118.4+(1048.5-333.6)+(0+(0-0))+0-0-0</f>
        <v>833.3</v>
      </c>
      <c r="Q210" s="3">
        <f>117.4+(1053.6-322.7)+(-0.119748+(-1.074672--0.329154))+0-0-0</f>
        <v>847.43473399999982</v>
      </c>
      <c r="R210" s="3">
        <f>116.3+(1065-346.8)+(-0.059313+(-0.54315--0.176868))+0-0-0</f>
        <v>834.07440499999996</v>
      </c>
      <c r="S210" s="3">
        <f>115.5+(1064.6-370.4)+(0.058905+(0.542946-0.188904))+0-0-0</f>
        <v>810.11294699999996</v>
      </c>
      <c r="T210" s="3">
        <f>115+(1126.3-429.3)+(0+(0-0))+0-0-0</f>
        <v>812</v>
      </c>
      <c r="U210" s="3">
        <f>114.7+(1113.9-418.8)+(-0.116994+(-1.136178--0.427176))+0-0-0</f>
        <v>808.97400400000015</v>
      </c>
      <c r="V210" s="3">
        <f>114.8+(1089.9-394.2)+(0.058548+(0.555849-0.201042))+0-0-0</f>
        <v>810.91335500000002</v>
      </c>
      <c r="W210" s="3">
        <f>116.3+(1096.5-371.1)+(-0.059313+(-0.559215--0.189261))+0-0-0</f>
        <v>841.27073299999995</v>
      </c>
      <c r="X210" s="3">
        <f>118+(1014.4-208.2)+(-0.3009+(-2.58672--0.53091))+0-0-0</f>
        <v>921.84329000000002</v>
      </c>
      <c r="Y210" s="3">
        <f>118.1+(1024.7-253.5)+(0.060231+(0.522597-0.129285))+0-0-0</f>
        <v>889.75354300000004</v>
      </c>
      <c r="Z210" s="3">
        <f>118.9+(1074.3-326.7)+(0+(0-0))+0-0-0</f>
        <v>866.49999999999989</v>
      </c>
      <c r="AA210" s="3">
        <f>119.6+(1100.3-398)+(0+(0-0))+0-0-0</f>
        <v>821.9</v>
      </c>
      <c r="AB210" s="3">
        <f>120.5+(1064.6-402.1)+(-0.24582+(-2.171784--0.820284))+0-0-0</f>
        <v>781.40267999999992</v>
      </c>
      <c r="AC210" s="3">
        <f>84+(946.4-290.4)+(-0.2142+(-2.41332--0.74052))+0-0-0</f>
        <v>738.11300000000006</v>
      </c>
      <c r="AD210">
        <f t="shared" si="3"/>
        <v>18186.820213999999</v>
      </c>
      <c r="AE210" s="3">
        <f>120+(1031-199.7)+(0+(0-0))+0-0-0</f>
        <v>951.3</v>
      </c>
    </row>
    <row r="211" spans="1:31" s="2" customFormat="1" x14ac:dyDescent="0.25">
      <c r="A211">
        <v>89</v>
      </c>
      <c r="B211">
        <v>7</v>
      </c>
      <c r="C211">
        <v>25</v>
      </c>
      <c r="D211">
        <v>2</v>
      </c>
      <c r="E211">
        <v>1</v>
      </c>
      <c r="F211" s="3">
        <f>45.2+(960.2-300.3)+(-0.069156+(-1.469106--0.459459))+0-0-0</f>
        <v>704.02119700000014</v>
      </c>
      <c r="G211" s="3">
        <f>45.1+(992.2-361.4)+(-0.069003+(-1.518066--0.552942))+0-0-0</f>
        <v>674.86587300000008</v>
      </c>
      <c r="H211" s="3">
        <f>45.1+(1011.8-393.8)+(-0.069003+(-1.548054--0.602514))+0-0-0</f>
        <v>662.08545700000002</v>
      </c>
      <c r="I211" s="3">
        <f>45.1+(986.2-372)+(-0.023001+(-0.502962--0.18972))+0-0-0</f>
        <v>658.9637570000001</v>
      </c>
      <c r="J211" s="3">
        <f>45.1+(953.6-342.8)+(0.023001+(0.486336-0.174828))+0-0-0</f>
        <v>656.234509</v>
      </c>
      <c r="K211" s="3">
        <f>45.1+(904.5-289)+(-0.023001+(-0.461295--0.14739))+0-0-0</f>
        <v>660.26309400000002</v>
      </c>
      <c r="L211" s="3">
        <f>45.1+(884.2-241.5)+(-0.023001+(-0.450942--0.123165))+0-0-0</f>
        <v>687.44922200000008</v>
      </c>
      <c r="M211" s="3">
        <f>47.2+(936.7-248.4)+(0.024072+(0.477717-0.126684))+0-0-0</f>
        <v>735.87510500000008</v>
      </c>
      <c r="N211" s="3">
        <f>48.1+(1045.5-293)+(0.073593+(1.599615-0.44829))+0-0-0</f>
        <v>801.82491800000003</v>
      </c>
      <c r="O211" s="3">
        <f>111.9+(1148.9-419.3)+(0+(0-0))+0-0-0</f>
        <v>841.50000000000011</v>
      </c>
      <c r="P211" s="3">
        <f>117.9+(1135.8-397)+(-0.060129+(-0.579258--0.20247))+0-0-0</f>
        <v>856.26308299999994</v>
      </c>
      <c r="Q211" s="3">
        <f>116.6+(1114.4-389.4)+(-0.059466+(-0.568344--0.198594))+0-0-0</f>
        <v>841.17078400000014</v>
      </c>
      <c r="R211" s="3">
        <f>115.8+(1135.9-408.4)+(0+(0-0))+0-0-0</f>
        <v>843.30000000000007</v>
      </c>
      <c r="S211" s="3">
        <f>115.4+(1149.6-448.3)+(-0.058854+(-0.586296--0.228633))+0-0-0</f>
        <v>816.28348299999993</v>
      </c>
      <c r="T211" s="3">
        <f>115+(1184.1-469.2)+(0+(0-0))+0-0-0</f>
        <v>829.89999999999986</v>
      </c>
      <c r="U211" s="3">
        <f>114.9+(1144.4-432.8)+(-0.175797+(-1.750932--0.662184))+0-0-0</f>
        <v>825.23545500000012</v>
      </c>
      <c r="V211" s="3">
        <f>49.5+(1074.4-298.4)+(-0.05049+(-1.095888--0.304368))+0-0-0</f>
        <v>824.65799000000015</v>
      </c>
      <c r="W211" s="3">
        <f>71.9+(1039.4-253.8)+(-0.036669+(-0.530094--0.129438))+0-0-0</f>
        <v>857.06267500000013</v>
      </c>
      <c r="X211" s="3">
        <f>118.1+(1054.3-236.3)+(-0.180693+(-1.613079--0.361539))+0-0-0</f>
        <v>934.66776700000003</v>
      </c>
      <c r="Y211" s="3">
        <f>115+(1079-285)+(-0.2346+(-2.20116--0.5814))+0-0-0</f>
        <v>907.14563999999996</v>
      </c>
      <c r="Z211" s="3">
        <f>11.6+(1083.1-180.7)+(-0.017748+(-1.657143--0.276471))+0-0-0</f>
        <v>912.6015799999999</v>
      </c>
      <c r="AA211" s="3">
        <f>0+(1111-269.8)+(0+(-0.56661--0.137598))+0-0-0</f>
        <v>840.7709880000001</v>
      </c>
      <c r="AB211" s="3">
        <f>0+(1086.1-273.4)+(0+(-1.661733--0.418302))+0-0-0</f>
        <v>811.45656899999994</v>
      </c>
      <c r="AC211" s="3">
        <f>0+(1007-274.6)+(0+(-0.51357--0.140046))+0-0-0</f>
        <v>732.026476</v>
      </c>
      <c r="AD211">
        <f t="shared" si="3"/>
        <v>18915.625622</v>
      </c>
      <c r="AE211" s="3">
        <f>117+(1085.5-271.6)+(0+(0-0))+0-0-0</f>
        <v>930.9</v>
      </c>
    </row>
    <row r="212" spans="1:31" s="2" customFormat="1" x14ac:dyDescent="0.25">
      <c r="A212">
        <v>89</v>
      </c>
      <c r="B212">
        <v>7</v>
      </c>
      <c r="C212">
        <v>26</v>
      </c>
      <c r="D212">
        <v>3</v>
      </c>
      <c r="E212">
        <v>1</v>
      </c>
      <c r="F212" s="3">
        <f>0+(1011.6-297.5)+(0+(-2.063664--0.6069))+0-0-0</f>
        <v>712.643236</v>
      </c>
      <c r="G212" s="3">
        <f>0+(918.5-229.3)+(0+(0.468435-0.116943))+0-0-0</f>
        <v>689.55149200000005</v>
      </c>
      <c r="H212" s="3">
        <f>0+(909.3-238.2)+(0+(-0.927486--0.242964))+0-0-0</f>
        <v>670.41547799999989</v>
      </c>
      <c r="I212" s="3">
        <f>0+(876.8-212.9)+(0+(-1.788672--0.434316))+0-0-0</f>
        <v>662.54564399999992</v>
      </c>
      <c r="J212" s="3">
        <f>0+(870.2-214.1)+(0+(1.331406-0.327573))+0-0-0</f>
        <v>657.10383300000001</v>
      </c>
      <c r="K212" s="3">
        <f>0+(848.1-179.4)+(0+(-1.297593--0.274482))+0-0-0</f>
        <v>667.67688900000007</v>
      </c>
      <c r="L212" s="3">
        <f>0+(879.6-158.3)+(0+(0.897192-0.161466))+0-0-0</f>
        <v>722.03572599999995</v>
      </c>
      <c r="M212" s="3">
        <f>0+(943.4-193.2)+(0+(0.481134-0.098532))+0-0-0</f>
        <v>750.58260200000007</v>
      </c>
      <c r="N212" s="3">
        <f>0+(1013.7-203)+(0+(1.033974-0.20706))+0-0-0</f>
        <v>811.52691400000003</v>
      </c>
      <c r="O212" s="3">
        <f>0+(1006.5-148.8)+(0+(0-0))+0-0-0</f>
        <v>857.7</v>
      </c>
      <c r="P212" s="3">
        <f>0+(1023.5-166.3)+(0+(0-0))+0-0-0</f>
        <v>857.2</v>
      </c>
      <c r="Q212" s="3">
        <f>0+(1066.9-190.9)+(0+(0-0))+0-0-0</f>
        <v>876.00000000000011</v>
      </c>
      <c r="R212" s="3">
        <f>0+(1097.9-258.2)+(0+(1.119858-0.263364))+0-0-0</f>
        <v>840.55649400000004</v>
      </c>
      <c r="S212" s="3">
        <f>0+(1122.5-290.8)+(0+(0.572475-0.148308))+0-0-0</f>
        <v>832.12416700000006</v>
      </c>
      <c r="T212" s="3">
        <f>0+(1132-292.8)+(0+(-1.73196--0.447984))+0-0-0</f>
        <v>837.91602399999999</v>
      </c>
      <c r="U212" s="3">
        <f>0+(1111.2-275.7)+(0+(-0.566712--0.140607))+0-0-0</f>
        <v>835.07389499999999</v>
      </c>
      <c r="V212" s="3">
        <f>0+(1087.8-250.9)+(0+(-1.109556--0.255918))+0-0-0</f>
        <v>836.04636199999993</v>
      </c>
      <c r="W212" s="3">
        <f>70+(1056.3-263.7)+(0.0357+(0.538713-0.134487))+0-0-0</f>
        <v>863.03992599999992</v>
      </c>
      <c r="X212" s="3">
        <f>116.9+(1065.2-237.4)+(-0.178857+(-1.629756--0.363222))+0-0-0</f>
        <v>943.25460900000007</v>
      </c>
      <c r="Y212" s="3">
        <f>118.7+(1068.6-287.7)+(0+(0-0))+0-0-0</f>
        <v>899.59999999999991</v>
      </c>
      <c r="Z212" s="3">
        <f>120.1+(1081.2-325.4)+(0+(0-0))+0-0-0</f>
        <v>875.90000000000009</v>
      </c>
      <c r="AA212" s="3">
        <f>120.6+(1099.2-381.4)+(-0.30753+(-2.80296--0.97257))+0-0-0</f>
        <v>836.26208000000008</v>
      </c>
      <c r="AB212" s="3">
        <f>121.8+(1075.1-395.8)+(-0.124236+(-1.096602--0.403716))+0-0-0</f>
        <v>800.28287799999987</v>
      </c>
      <c r="AC212" s="3">
        <f>122.4+(998.9-369.1)+(-0.374544+(-3.056634--1.129446))+0-0-0</f>
        <v>749.89826799999992</v>
      </c>
      <c r="AD212">
        <f t="shared" si="3"/>
        <v>19084.936516999998</v>
      </c>
      <c r="AE212" s="3">
        <f>118+(1085.1-248.6)+(0+(0-0))+0-0-0</f>
        <v>954.49999999999989</v>
      </c>
    </row>
    <row r="213" spans="1:31" s="2" customFormat="1" x14ac:dyDescent="0.25">
      <c r="A213">
        <v>89</v>
      </c>
      <c r="B213">
        <v>7</v>
      </c>
      <c r="C213">
        <v>27</v>
      </c>
      <c r="D213">
        <v>4</v>
      </c>
      <c r="E213">
        <v>1</v>
      </c>
      <c r="F213" s="3">
        <f>123.1+(1038-449.8)+(-0.125562+(-1.05876--0.458796))+0-0-0</f>
        <v>710.57447400000012</v>
      </c>
      <c r="G213" s="3">
        <f>123.5+(986.6-423.4)+(-0.062985+(-0.503166--0.215934))+0-0-0</f>
        <v>686.349783</v>
      </c>
      <c r="H213" s="3">
        <f>124.1+(995.5-449.7)+(-0.189873+(-1.523115--0.688041))+0-0-0</f>
        <v>668.87505299999998</v>
      </c>
      <c r="I213" s="3">
        <f>124.2+(992.5-442.7)+(-0.063342+(-0.506175--0.225777))+0-0-0</f>
        <v>673.65625999999997</v>
      </c>
      <c r="J213" s="3">
        <f>125.1+(967.5-419.1)+(0.127602+(0.98685-0.427482))+0-0-0</f>
        <v>674.18696999999997</v>
      </c>
      <c r="K213" s="3">
        <f>124.7+(945.5-399.6)+(0.127194+(0.96441-0.407592))+0-0-0</f>
        <v>671.28401200000008</v>
      </c>
      <c r="L213" s="3">
        <f>125.5+(908.6-344.3)+(0+(0-0))+0-0-0</f>
        <v>689.8</v>
      </c>
      <c r="M213" s="3">
        <f>125.8+(888-271.1)+(0.128316+(0.90576-0.276522))+0-0-0</f>
        <v>743.45755399999996</v>
      </c>
      <c r="N213" s="3">
        <f>124.7+(963-283.1)+(0.063597+(0.49113-0.144381))+0-0-0</f>
        <v>805.01034600000003</v>
      </c>
      <c r="O213" s="3">
        <f>123.3+(1000.5-286.2)+(0.251532+(2.04102-0.583848))+0-0-0</f>
        <v>839.30870399999992</v>
      </c>
      <c r="P213" s="3">
        <f>121.5+(1034.3-294.6)+(-0.061965+(-0.527493--0.150246))+0-0-0</f>
        <v>860.76078799999993</v>
      </c>
      <c r="Q213" s="3">
        <f>119.2+(1020.5-277)+(0.060792+(0.520455-0.14127))+0-0-0</f>
        <v>863.13997700000004</v>
      </c>
      <c r="R213" s="3">
        <f>118+(1032.4-304.9)+(-0.3009+(-2.63262--0.777495))+0-0-0</f>
        <v>843.34397500000011</v>
      </c>
      <c r="S213" s="3">
        <f>117+(1032.9-324.2)+(0+(0-0))+0-0-0</f>
        <v>825.7</v>
      </c>
      <c r="T213" s="3">
        <f>116.4+(1091.8-381.9)+(-0.059364+(-0.556818--0.194769))+0-0-0</f>
        <v>825.87858699999992</v>
      </c>
      <c r="U213" s="3">
        <f>91.4+(1048.2-313.6)+(-0.139842+(-1.603746--0.479808))+0-0-0</f>
        <v>824.73622</v>
      </c>
      <c r="V213" s="3">
        <f>43.8+(1026.4-252.6)+(0+(0-0))+0-0-0</f>
        <v>817.6</v>
      </c>
      <c r="W213" s="3">
        <f>63.8+(998-203.3)+(0.065076+(1.01796-0.207366))+0-0-0</f>
        <v>859.37567000000001</v>
      </c>
      <c r="X213" s="3">
        <f>118.7+(1076.6-258.2)+(0+(0-0))+0-0-0</f>
        <v>937.09999999999991</v>
      </c>
      <c r="Y213" s="3">
        <f>120+(1093.8-308.6)+(-0.0612+(-0.557838--0.157386))+0-0-0</f>
        <v>904.73834799999997</v>
      </c>
      <c r="Z213" s="3">
        <f>121.2+(1102-346.5)+(-0.123624+(-1.12404--0.35343))+0-0-0</f>
        <v>875.80576600000006</v>
      </c>
      <c r="AA213" s="3">
        <f>95.7+(1100.7-355.6)+(-0.097614+(-1.122714--0.362712))+0-0-0</f>
        <v>839.94238400000006</v>
      </c>
      <c r="AB213" s="3">
        <f>45.1+(1055.1-301.5)+(-0.092004+(-2.152404--0.61506))+0-0-0</f>
        <v>797.07065199999988</v>
      </c>
      <c r="AC213" s="3">
        <f>24.2+(994-272.5)+(-0.037026+(-1.52082--0.416925))+0-0-0</f>
        <v>744.559079</v>
      </c>
      <c r="AD213">
        <f t="shared" si="3"/>
        <v>18982.254602000001</v>
      </c>
      <c r="AE213" s="3">
        <f>120+(1097.8-268.2)+(0+(0-0))+0-0-0</f>
        <v>949.59999999999991</v>
      </c>
    </row>
    <row r="214" spans="1:31" s="2" customFormat="1" x14ac:dyDescent="0.25">
      <c r="A214">
        <v>89</v>
      </c>
      <c r="B214">
        <v>7</v>
      </c>
      <c r="C214">
        <v>28</v>
      </c>
      <c r="D214">
        <v>5</v>
      </c>
      <c r="E214">
        <v>1</v>
      </c>
      <c r="F214" s="3">
        <f>0+(941.3-237.7)+(0+(-2.880378--0.727362))+0-0-0</f>
        <v>701.44698399999993</v>
      </c>
      <c r="G214" s="3">
        <f>0+(902.6-218.5)+(0+(-0.920652--0.22287))+0-0-0</f>
        <v>683.40221800000006</v>
      </c>
      <c r="H214" s="3">
        <f>0+(856.3-185.3)+(0+(-1.310139--0.283509))+0-0-0</f>
        <v>669.97337000000005</v>
      </c>
      <c r="I214" s="3">
        <f>0+(845.5-175.9)+(0+(-0.86241--0.179418))+0-0-0</f>
        <v>668.91700800000001</v>
      </c>
      <c r="J214" s="3">
        <f>0+(843.1-183.4)+(0+(0.429981-0.093534))+0-0-0</f>
        <v>660.03644700000007</v>
      </c>
      <c r="K214" s="3">
        <f>0+(867.2-199.5)+(0+(-0.442272--0.101745))+0-0-0</f>
        <v>667.35947300000009</v>
      </c>
      <c r="L214" s="3">
        <f>0+(812.1-123.9)+(0+(-2.070855--0.315945))+0-0-0</f>
        <v>686.44509000000005</v>
      </c>
      <c r="M214" s="3">
        <f>0+(824.7-84.3)+(0+(0.841194-0.085986))+0-0-0</f>
        <v>741.15520800000013</v>
      </c>
      <c r="N214" s="3">
        <f>0+(975.6-166.2)+(0+(0.497556-0.084762))+0-0-0</f>
        <v>809.81279400000005</v>
      </c>
      <c r="O214" s="3">
        <f>0+(991.9-155)+(0+(0-0))+0-0-0</f>
        <v>836.9</v>
      </c>
      <c r="P214" s="3">
        <f>0+(1000.9-148.6)+(0+(1.531377-0.227358))+0-0-0</f>
        <v>853.60401899999999</v>
      </c>
      <c r="Q214" s="3">
        <f>0+(1030.5-172.6)+(0+(-0.525555--0.088026))+0-0-0</f>
        <v>857.46247099999994</v>
      </c>
      <c r="R214" s="3">
        <f>0+(1087.8-241.5)+(0+(-1.664334--0.369495))+0-0-0</f>
        <v>845.00516099999993</v>
      </c>
      <c r="S214" s="3">
        <f>0+(1122.8-300.7)+(0+(0-0))+0-0-0</f>
        <v>822.09999999999991</v>
      </c>
      <c r="T214" s="3">
        <f>0+(1135-309.9)+(0+(-0.57885--0.158049))+0-0-0</f>
        <v>824.67919900000004</v>
      </c>
      <c r="U214" s="3">
        <f>0+(1135.4-320.4)+(0+(-1.158108--0.326808))+0-0-0</f>
        <v>814.16870000000006</v>
      </c>
      <c r="V214" s="3">
        <f>0+(1099.1-268.5)+(0+(-0.560541--0.136935))+0-0-0</f>
        <v>830.17639399999996</v>
      </c>
      <c r="W214" s="3">
        <f>0+(1047-184.2)+(0+(-1.60191--0.281826))+0-0-0</f>
        <v>861.479916</v>
      </c>
      <c r="X214" s="3">
        <f>0+(1056.2-127.3)+(0+(-0.538662--0.064923))+0-0-0</f>
        <v>928.42626100000007</v>
      </c>
      <c r="Y214" s="3">
        <f>0+(1071.7-162.2)+(0+(-1.093134--0.165444))+0-0-0</f>
        <v>908.57231000000002</v>
      </c>
      <c r="Z214" s="3">
        <f>0+(1029.9-143.6)+(0+(-1.575747--0.219708))+0-0-0</f>
        <v>884.94396100000006</v>
      </c>
      <c r="AA214" s="3">
        <f>0+(1028.5-182.9)+(0+(-0.524535--0.093279))+0-0-0</f>
        <v>845.16874400000006</v>
      </c>
      <c r="AB214" s="3">
        <f>0+(1001.1-194.6)+(0+(-4.084488--0.793968))+0-0-0</f>
        <v>803.20947999999999</v>
      </c>
      <c r="AC214" s="3">
        <f>0+(967.6-206.8)+(0+(-1.480428--0.316404))+0-0-0</f>
        <v>759.63597599999991</v>
      </c>
      <c r="AD214">
        <f t="shared" si="3"/>
        <v>18964.081184000002</v>
      </c>
      <c r="AE214" s="3">
        <f>0+(1063.2-132.1)+(0+(0-0))+0-0-0</f>
        <v>931.1</v>
      </c>
    </row>
    <row r="215" spans="1:31" s="2" customFormat="1" x14ac:dyDescent="0.25">
      <c r="A215">
        <v>89</v>
      </c>
      <c r="B215">
        <v>7</v>
      </c>
      <c r="C215">
        <v>29</v>
      </c>
      <c r="D215">
        <v>6</v>
      </c>
      <c r="E215">
        <v>1</v>
      </c>
      <c r="F215" s="3">
        <f>0+(971.3-243.8)+(0+(-1.981452--0.497352))+0-0-0</f>
        <v>726.01589999999999</v>
      </c>
      <c r="G215" s="3">
        <f>0+(908.8-206.5)+(0+(-1.390464--0.315945))+0-0-0</f>
        <v>701.22548099999995</v>
      </c>
      <c r="H215" s="3">
        <f>0+(842.4-155.2)+(0+(-0.859248--0.158304))+0-0-0</f>
        <v>686.499056</v>
      </c>
      <c r="I215" s="3">
        <f>0+(822.2-143.2)+(0+(0-0))+0-0-0</f>
        <v>679</v>
      </c>
      <c r="J215" s="3">
        <f>0+(817.4-148.6)+(0+(0-0))+0-0-0</f>
        <v>668.8</v>
      </c>
      <c r="K215" s="3">
        <f>0+(815.5-133.1)+(0+(-1.66362--0.271524))+0-0-0</f>
        <v>681.00790399999994</v>
      </c>
      <c r="L215" s="3">
        <f>0+(819.2-120.3)+(0+(-0.417792--0.061353))+0-0-0</f>
        <v>698.54356100000007</v>
      </c>
      <c r="M215" s="3">
        <f>0+(792.9-55.4)+(0+(-0.404379--0.028254))+0-0-0</f>
        <v>737.123875</v>
      </c>
      <c r="N215" s="3">
        <f>0+(887.6-88.3)+(0+(-0.905352--0.090066))+0-0-0</f>
        <v>798.48471400000005</v>
      </c>
      <c r="O215" s="3">
        <f>0+(966.8-131.9)+(0+(0.493068-0.067269))+0-0-0</f>
        <v>835.32579899999996</v>
      </c>
      <c r="P215" s="3">
        <f>0+(965-111)+(0+(0.49215-0.05661))+0-0-0</f>
        <v>854.43553999999995</v>
      </c>
      <c r="Q215" s="3">
        <f>0+(858.3-12.1)+(0+(-0.437733--0.006171))+0-0-0</f>
        <v>845.76843799999995</v>
      </c>
      <c r="R215" s="3">
        <f>0+(857-35.2)+(0+(-2.18535--0.08976))+0-0-0</f>
        <v>819.70440999999994</v>
      </c>
      <c r="S215" s="3">
        <f>0+(877.7-81.9)+(0+(0-0))+0-0-0</f>
        <v>795.80000000000007</v>
      </c>
      <c r="T215" s="3">
        <f>0+(918.5-131.2)+(0+(0.468435-0.066912))+0-0-0</f>
        <v>787.70152299999995</v>
      </c>
      <c r="U215" s="3">
        <f>0+(896.9-114.1)+(0+(-2.287095--0.290955))+0-0-0</f>
        <v>780.80385999999999</v>
      </c>
      <c r="V215" s="3">
        <f>0+(840-59.2)+(0+(-1.7136--0.120768))+0-0-0</f>
        <v>779.20716799999991</v>
      </c>
      <c r="W215" s="3">
        <f>0+(838-9.8)+(0+(0.42738-0.004998))+0-0-0</f>
        <v>828.62238200000002</v>
      </c>
      <c r="X215" s="3">
        <f>0+(999.9-103.6)+(0+(1.019898-0.105672))+0-0-0</f>
        <v>897.21422599999994</v>
      </c>
      <c r="Y215" s="3">
        <f>0+(989.2-104.2)+(0+(-2.52246--0.26571))+0-0-0</f>
        <v>882.74324999999999</v>
      </c>
      <c r="Z215" s="3">
        <f>0+(955.9-104)+(0+(-1.950036--0.21216))+0-0-0</f>
        <v>850.16212399999995</v>
      </c>
      <c r="AA215" s="3">
        <f>0+(972.3-157.1)+(0+(-0.991746--0.160242))+0-0-0</f>
        <v>814.36849599999994</v>
      </c>
      <c r="AB215" s="3">
        <f>0+(937.2-149.1)+(0+(-1.433916--0.228123))+0-0-0</f>
        <v>786.89420700000005</v>
      </c>
      <c r="AC215" s="3">
        <f>0+(903.4-157.7)+(0+(0-0))+0-0-0</f>
        <v>745.7</v>
      </c>
      <c r="AD215">
        <f t="shared" si="3"/>
        <v>18681.151913999998</v>
      </c>
      <c r="AE215" s="3">
        <f>0+(1021.2-116.3)+(0+(0-0))+0-0-0</f>
        <v>904.90000000000009</v>
      </c>
    </row>
    <row r="216" spans="1:31" s="2" customFormat="1" x14ac:dyDescent="0.25">
      <c r="A216">
        <v>89</v>
      </c>
      <c r="B216">
        <v>7</v>
      </c>
      <c r="C216">
        <v>30</v>
      </c>
      <c r="D216">
        <v>7</v>
      </c>
      <c r="E216">
        <v>1</v>
      </c>
      <c r="F216" s="3">
        <f>0+(893.6-194.6)+(0+(0.455736-0.099246))+0-0-0</f>
        <v>699.35649000000001</v>
      </c>
      <c r="G216" s="3">
        <f>0+(874.7-189.6)+(0+(-1.784388--0.386784))+0-0-0</f>
        <v>683.70239600000002</v>
      </c>
      <c r="H216" s="3">
        <f>0+(856.7-185.9)+(0+(-2.184585--0.474045))+0-0-0</f>
        <v>669.08946000000003</v>
      </c>
      <c r="I216" s="3">
        <f>0+(854.2-203.3)+(0+(-1.306926--0.311049))+0-0-0</f>
        <v>649.90412300000014</v>
      </c>
      <c r="J216" s="3">
        <f>0+(849.6-200.7)+(0+(0-0))+0-0-0</f>
        <v>648.90000000000009</v>
      </c>
      <c r="K216" s="3">
        <f>0+(852.5-208.9)+(0+(0-0))+0-0-0</f>
        <v>643.6</v>
      </c>
      <c r="L216" s="3">
        <f>0+(840.5-219.6)+(0+(-1.285965--0.335988))+0-0-0</f>
        <v>619.95002299999999</v>
      </c>
      <c r="M216" s="3">
        <f>0+(823.8-192.3)+(0+(0.420138-0.098073))+0-0-0</f>
        <v>631.82206499999995</v>
      </c>
      <c r="N216" s="3">
        <f>0+(823.4-155.4)+(0+(0-0))+0-0-0</f>
        <v>668</v>
      </c>
      <c r="O216" s="3">
        <f>0+(902.6-202.3)+(0+(0-0))+0-0-0</f>
        <v>700.3</v>
      </c>
      <c r="P216" s="3">
        <f>0+(888.7-162.4)+(0+(-1.359711--0.248472))+0-0-0</f>
        <v>725.18876100000011</v>
      </c>
      <c r="Q216" s="3">
        <f>0+(839.3-109.3)+(0+(0-0))+0-0-0</f>
        <v>730</v>
      </c>
      <c r="R216" s="3">
        <f>0+(856.9-127.2)+(0+(-0.437019--0.064872))+0-0-0</f>
        <v>729.32785299999989</v>
      </c>
      <c r="S216" s="3">
        <f>0+(852-149.2)+(0+(-1.73808--0.304368))+0-0-0</f>
        <v>701.36628799999994</v>
      </c>
      <c r="T216" s="3">
        <f>0+(826.8-134.7)+(0+(-1.265004--0.206091))+0-0-0</f>
        <v>691.04108699999995</v>
      </c>
      <c r="U216" s="3">
        <f>0+(825.6-135.9)+(0+(-2.10528--0.346545))+0-0-0</f>
        <v>687.94126500000004</v>
      </c>
      <c r="V216" s="3">
        <f>0+(801.6-108)+(0+(-0.817632--0.11016))+0-0-0</f>
        <v>692.89252799999997</v>
      </c>
      <c r="W216" s="3">
        <f>0+(775.4-41.6)+(0+(0.790908-0.042432))+0-0-0</f>
        <v>734.54847599999994</v>
      </c>
      <c r="X216" s="3">
        <f>0+(1011.8-202.9)+(0+(1.548054-0.310437))+0-0-0</f>
        <v>810.13761699999998</v>
      </c>
      <c r="Y216" s="3">
        <f>0+(1009.9-208)+(0+(0.515049-0.10608))+0-0-0</f>
        <v>802.30896899999993</v>
      </c>
      <c r="Z216" s="3">
        <f>0+(961.5-181.2)+(0+(0.490365-0.092412))+0-0-0</f>
        <v>780.69795299999998</v>
      </c>
      <c r="AA216" s="3">
        <f>0+(924.5-174)+(0+(-0.94299--0.17748))+0-0-0</f>
        <v>749.73449000000005</v>
      </c>
      <c r="AB216" s="3">
        <f>0+(866.9-148.2)+(0+(-1.326357--0.226746))+0-0-0</f>
        <v>717.60038900000006</v>
      </c>
      <c r="AC216" s="3">
        <f>0+(883.1-196.9)+(0+(-0.900762--0.200838))+0-0-0</f>
        <v>685.50007600000004</v>
      </c>
      <c r="AD216">
        <f t="shared" si="3"/>
        <v>16852.910308999999</v>
      </c>
      <c r="AE216" s="3">
        <f>0+(1042.4-211.3)+(0+(0-0))+0-0-0</f>
        <v>831.10000000000014</v>
      </c>
    </row>
    <row r="217" spans="1:31" s="2" customFormat="1" x14ac:dyDescent="0.25">
      <c r="A217">
        <v>89</v>
      </c>
      <c r="B217">
        <v>8</v>
      </c>
      <c r="C217">
        <v>1</v>
      </c>
      <c r="D217">
        <v>1</v>
      </c>
      <c r="E217">
        <v>1</v>
      </c>
      <c r="F217" s="3">
        <f>0+(838.1-197.5)+(0+(-0.854862--0.20145))+0-0-0</f>
        <v>639.94658800000002</v>
      </c>
      <c r="G217" s="3">
        <f>0+(800.7-187.1)+(0+(-1.225071--0.286263))+0-0-0</f>
        <v>612.66119200000003</v>
      </c>
      <c r="H217" s="3">
        <f>0+(815.6-209)+(0+(-1.247868--0.31977))+0-0-0</f>
        <v>605.67190200000005</v>
      </c>
      <c r="I217" s="3">
        <f>0+(820.8-217.8)+(0+(-1.255824--0.333234))+0-0-0</f>
        <v>602.07740999999999</v>
      </c>
      <c r="J217" s="3">
        <f>0+(830.1-222.1)+(0+(-1.693404--0.453084))+0-0-0</f>
        <v>606.75968</v>
      </c>
      <c r="K217" s="3">
        <f>0+(810.4-192.5)+(0+(0-0))+0-0-0</f>
        <v>617.9</v>
      </c>
      <c r="L217" s="3">
        <f>0+(832.5-187.5)+(0+(-0.424575--0.095625))+0-0-0</f>
        <v>644.67105000000004</v>
      </c>
      <c r="M217" s="3">
        <f>0+(861.9-143.9)+(0+(1.318707-0.220167))+0-0-0</f>
        <v>719.09853999999996</v>
      </c>
      <c r="N217" s="3">
        <f>0+(892.2-115.7)+(0+(0-0))+0-0-0</f>
        <v>776.5</v>
      </c>
      <c r="O217" s="3">
        <f>0+(943.3-98.2)+(0+(-0.481083--0.050082))+0-0-0</f>
        <v>844.66899899999987</v>
      </c>
      <c r="P217" s="3">
        <f>0+(1009.5-179.1)+(0+(1.544535-0.274023))+0-0-0</f>
        <v>831.67051200000003</v>
      </c>
      <c r="Q217" s="3">
        <f>0+(1099.4-250.3)+(0+(0-0))+0-0-0</f>
        <v>849.10000000000014</v>
      </c>
      <c r="R217" s="3">
        <f>0+(1144.5-324.9)+(0+(-1.751085--0.497097))+0-0-0</f>
        <v>818.34601199999997</v>
      </c>
      <c r="S217" s="3">
        <f>0+(1176.4-374)+(0+(-3.599784--1.14444))+0-0-0</f>
        <v>799.94465600000012</v>
      </c>
      <c r="T217" s="3">
        <f>0+(1206.3-404.5)+(0+(0-0))+0-0-0</f>
        <v>801.8</v>
      </c>
      <c r="U217" s="3">
        <f>0+(1196.1-375.8)+(0+(-1.220022--0.383316))+0-0-0</f>
        <v>819.46329399999991</v>
      </c>
      <c r="V217" s="3">
        <f>0+(1016-198.3)+(0+(-1.55448--0.303399))+0-0-0</f>
        <v>816.44891900000005</v>
      </c>
      <c r="W217" s="3">
        <f>0+(972.5-114.8)+(0+(0.495975-0.058548))+0-0-0</f>
        <v>858.137427</v>
      </c>
      <c r="X217" s="3">
        <f>0+(972.1-43.9)+(0+(-1.487313--0.067167))+0-0-0</f>
        <v>926.779854</v>
      </c>
      <c r="Y217" s="3">
        <f>0+(1003.7-96.8)+(0+(-1.023774--0.098736))+0-0-0</f>
        <v>905.97496200000012</v>
      </c>
      <c r="Z217" s="3">
        <f>0+(1012.8-138.6)+(0+(-1.549584--0.212058))+0-0-0</f>
        <v>872.86247399999991</v>
      </c>
      <c r="AA217" s="3">
        <f>0+(1014.4-185.9)+(0+(-1.034688--0.189618))+0-0-0</f>
        <v>827.65493000000004</v>
      </c>
      <c r="AB217" s="3">
        <f>0+(1021.9-230)+(0+(-2.605845--0.5865))+0-0-0</f>
        <v>789.88065499999993</v>
      </c>
      <c r="AC217" s="3">
        <f>0+(1014.6-256.7)+(0+(-2.58723--0.654585))+0-0-0</f>
        <v>755.96735500000011</v>
      </c>
      <c r="AD217">
        <f t="shared" si="3"/>
        <v>18343.986410999998</v>
      </c>
      <c r="AE217" s="3">
        <f>0+(981.4-52.1)+(0+(0-0))+0-0-0</f>
        <v>929.3</v>
      </c>
    </row>
    <row r="218" spans="1:31" s="2" customFormat="1" x14ac:dyDescent="0.25">
      <c r="A218">
        <v>89</v>
      </c>
      <c r="B218">
        <v>8</v>
      </c>
      <c r="C218">
        <v>2</v>
      </c>
      <c r="D218">
        <v>2</v>
      </c>
      <c r="E218">
        <v>1</v>
      </c>
      <c r="F218" s="3">
        <f>0+(937.7-222.1)+(0+(-1.912908--0.453084))+0-0-0</f>
        <v>714.140176</v>
      </c>
      <c r="G218" s="3">
        <f>0+(929.3-228.1)+(0+(-0.473943--0.116331))+0-0-0</f>
        <v>700.84238799999991</v>
      </c>
      <c r="H218" s="3">
        <f>0+(946.4-255.2)+(0+(-2.41332--0.65076))+0-0-0</f>
        <v>689.43744000000004</v>
      </c>
      <c r="I218" s="3">
        <f>0+(942.7-267.2)+(0+(2.403885-0.68136))+0-0-0</f>
        <v>677.22252500000002</v>
      </c>
      <c r="J218" s="3">
        <f>0+(911.1-231.8)+(0+(0.929322-0.236436))+0-0-0</f>
        <v>679.992886</v>
      </c>
      <c r="K218" s="3">
        <f>0+(879.5-193.2)+(0+(-0.89709--0.197064))+0-0-0</f>
        <v>685.59997399999997</v>
      </c>
      <c r="L218" s="3">
        <f>0+(966.6-253.4)+(0+(-0.985932--0.258468))+0-0-0</f>
        <v>712.47253599999999</v>
      </c>
      <c r="M218" s="3">
        <f>0+(999.4-244.8)+(0+(1.019388-0.249696))+0-0-0</f>
        <v>755.36969199999987</v>
      </c>
      <c r="N218" s="3">
        <f>0+(1051.6-239)+(0+(-1.608948--0.36567))+0-0-0</f>
        <v>811.35672199999988</v>
      </c>
      <c r="O218" s="3">
        <f>0+(1026.5-181.8)+(0+(-1.570545--0.278154))+0-0-0</f>
        <v>843.40760900000009</v>
      </c>
      <c r="P218" s="3">
        <f>0+(1022.3-179.3)+(0+(-1.564119--0.274329))+0-0-0</f>
        <v>841.71020999999996</v>
      </c>
      <c r="Q218" s="3">
        <f>0+(993.8-159.1)+(0+(-2.53419--0.405705))+0-0-0</f>
        <v>832.57151499999998</v>
      </c>
      <c r="R218" s="3">
        <f>0+(1006.8-174.5)+(0+(-2.56734--0.444975))+0-0-0</f>
        <v>830.17763500000001</v>
      </c>
      <c r="S218" s="3">
        <f>0+(1093-282.9)+(0+(-1.11486--0.288558))+0-0-0</f>
        <v>809.27369799999997</v>
      </c>
      <c r="T218" s="3">
        <f>0+(1137.9-327.2)+(0+(-2.321316--0.667488))+0-0-0</f>
        <v>809.04617200000007</v>
      </c>
      <c r="U218" s="3">
        <f>0+(1107.5-290.6)+(0+(-2.2593--0.592824))+0-0-0</f>
        <v>815.23352399999999</v>
      </c>
      <c r="V218" s="3">
        <f>0+(984.6-161.4)+(0+(0.502146-0.082314))+0-0-0</f>
        <v>823.61983200000009</v>
      </c>
      <c r="W218" s="3">
        <f>0+(963.1-105.8)+(0+(0-0))+0-0-0</f>
        <v>857.30000000000007</v>
      </c>
      <c r="X218" s="3">
        <f>0+(1093-166.3)+(0+(-2.22972--0.339252))+0-0-0</f>
        <v>924.80953199999999</v>
      </c>
      <c r="Y218" s="3">
        <f>0+(1015.3-112.6)+(0+(-2.071212--0.229704))+0-0-0</f>
        <v>900.85849199999996</v>
      </c>
      <c r="Z218" s="3">
        <f>0+(952.1-75.8)+(0+(-0.971142--0.077316))+0-0-0</f>
        <v>875.40617400000008</v>
      </c>
      <c r="AA218" s="3">
        <f>0+(954.2-119.5)+(0+(-0.973284--0.12189))+0-0-0</f>
        <v>833.84860600000002</v>
      </c>
      <c r="AB218" s="3">
        <f>0+(956.7-146)+(0+(-2.439585--0.3723))+0-0-0</f>
        <v>808.63271500000008</v>
      </c>
      <c r="AC218" s="3">
        <f>0+(922-164.2)+(0+(-2.3511--0.41871))+0-0-0</f>
        <v>755.8676099999999</v>
      </c>
      <c r="AD218">
        <f t="shared" si="3"/>
        <v>18988.197662999999</v>
      </c>
      <c r="AE218" s="3">
        <f>0+(1087-159.2)+(0+(0-0))+0-0-0</f>
        <v>927.8</v>
      </c>
    </row>
    <row r="219" spans="1:31" s="2" customFormat="1" x14ac:dyDescent="0.25">
      <c r="A219">
        <v>89</v>
      </c>
      <c r="B219">
        <v>8</v>
      </c>
      <c r="C219">
        <v>3</v>
      </c>
      <c r="D219">
        <v>3</v>
      </c>
      <c r="E219">
        <v>1</v>
      </c>
      <c r="F219" s="3">
        <f>0+(899.6-189.5)+(0+(-1.376388--0.289935))+0-0-0</f>
        <v>709.01354700000002</v>
      </c>
      <c r="G219" s="3">
        <f>0+(928.7-242.4)+(0+(-2.368185--0.61812))+0-0-0</f>
        <v>684.54993500000012</v>
      </c>
      <c r="H219" s="3">
        <f>0+(879-212.5)+(0+(-0.89658--0.21675))+0-0-0</f>
        <v>665.82016999999996</v>
      </c>
      <c r="I219" s="3">
        <f>0+(872.3-203.1)+(0+(0-0))+0-0-0</f>
        <v>669.19999999999993</v>
      </c>
      <c r="J219" s="3">
        <f>0+(845.8-180.9)+(0+(0.431358-0.092259))+0-0-0</f>
        <v>665.23909900000001</v>
      </c>
      <c r="K219" s="3">
        <f>0+(845.8-173.8)+(0+(-0.862716--0.177276))+0-0-0</f>
        <v>671.31456000000003</v>
      </c>
      <c r="L219" s="3">
        <f>0+(877.5-169.4)+(0+(-0.447525--0.086394))+0-0-0</f>
        <v>707.73886900000002</v>
      </c>
      <c r="M219" s="3">
        <f>0+(886.4-134.6)+(0+(1.356192-0.205938))+0-0-0</f>
        <v>752.95025399999997</v>
      </c>
      <c r="N219" s="3">
        <f>0+(973.7-166.8)+(0+(-0.496587--0.085068))+0-0-0</f>
        <v>806.48848100000009</v>
      </c>
      <c r="O219" s="3">
        <f>0+(1002.7-174.5)+(0+(-0.511377--0.088995))+0-0-0</f>
        <v>827.77761800000007</v>
      </c>
      <c r="P219" s="3">
        <f>0+(1079.4-237.4)+(0+(0-0))+0-0-0</f>
        <v>842.00000000000011</v>
      </c>
      <c r="Q219" s="3">
        <f>0+(1098-246.1)+(0+(-1.11996--0.251022))+0-0-0</f>
        <v>851.03106200000002</v>
      </c>
      <c r="R219" s="3">
        <f>0+(1136-298.2)+(0+(-3.47616--0.912492))+0-0-0</f>
        <v>835.23633199999995</v>
      </c>
      <c r="S219" s="3">
        <f>0+(1167.4-353.4)+(0+(-2.381496--0.720936))+0-0-0</f>
        <v>812.33944000000008</v>
      </c>
      <c r="T219" s="3">
        <f>0+(1144-330.9)+(0+(-1.75032--0.506277))+0-0-0</f>
        <v>811.85595699999999</v>
      </c>
      <c r="U219" s="3">
        <f>0+(1120.6-298.2)+(0+(1.143012-0.304164))+0-0-0</f>
        <v>823.23884799999985</v>
      </c>
      <c r="V219" s="3">
        <f>0+(1095.1-269)+(0+(0-0))+0-0-0</f>
        <v>826.09999999999991</v>
      </c>
      <c r="W219" s="3">
        <f>0+(980.6-114.6)+(0+(0.500106-0.058446))+0-0-0</f>
        <v>866.44165999999996</v>
      </c>
      <c r="X219" s="3">
        <f>0+(1123.3-197.2)+(0+(-0.572883--0.100572))+0-0-0</f>
        <v>925.62768899999992</v>
      </c>
      <c r="Y219" s="3">
        <f>0+(1123.9-217.8)+(0+(-2.292756--0.444312))+0-0-0</f>
        <v>904.25155600000016</v>
      </c>
      <c r="Z219" s="3">
        <f>0+(1068.9-193.8)+(0+(-1.090278--0.197676))+0-0-0</f>
        <v>874.20739800000013</v>
      </c>
      <c r="AA219" s="3">
        <f>0+(1061.1-227.3)+(0+(-0.541161--0.115923))+0-0-0</f>
        <v>833.37476199999992</v>
      </c>
      <c r="AB219" s="3">
        <f>0+(993.7-189.9)+(0+(-1.520361--0.290547))+0-0-0</f>
        <v>802.57018600000004</v>
      </c>
      <c r="AC219" s="3">
        <f>0+(975.7-217.1)+(0+(-2.488035--0.553605))+0-0-0</f>
        <v>756.66557</v>
      </c>
      <c r="AD219">
        <f t="shared" si="3"/>
        <v>18925.032993000001</v>
      </c>
      <c r="AE219" s="3">
        <f>0+(1159.8-211)+(0+(0-0))+0-0-0</f>
        <v>948.8</v>
      </c>
    </row>
    <row r="220" spans="1:31" s="2" customFormat="1" x14ac:dyDescent="0.25">
      <c r="A220">
        <v>89</v>
      </c>
      <c r="B220">
        <v>8</v>
      </c>
      <c r="C220">
        <v>4</v>
      </c>
      <c r="D220">
        <v>4</v>
      </c>
      <c r="E220">
        <v>1</v>
      </c>
      <c r="F220" s="3">
        <f>0+(938.2-234.4)+(0+(-1.913928--0.478176))+0-0-0</f>
        <v>702.36424800000009</v>
      </c>
      <c r="G220" s="3">
        <f>0+(885.9-200.3)+(0+(0-0))+0-0-0</f>
        <v>685.59999999999991</v>
      </c>
      <c r="H220" s="3">
        <f>0+(876.8-217.5)+(0+(0.447168-0.110925))+0-0-0</f>
        <v>659.63624299999992</v>
      </c>
      <c r="I220" s="3">
        <f>0+(848.2-192)+(0+(0.865164-0.19584))+0-0-0</f>
        <v>656.86932400000001</v>
      </c>
      <c r="J220" s="3">
        <f>0+(834.2-170.1)+(0+(-0.850884--0.173502))+0-0-0</f>
        <v>663.42261800000006</v>
      </c>
      <c r="K220" s="3">
        <f>0+(816.4-135.9)+(0+(-0.832728--0.138618))+0-0-0</f>
        <v>679.80588999999998</v>
      </c>
      <c r="L220" s="3">
        <f>0+(799.9-100.2)+(0+(-1.223847--0.153306))+0-0-0</f>
        <v>698.62945899999988</v>
      </c>
      <c r="M220" s="3">
        <f>0+(843.1-96.7)+(0+(-0.429981--0.049317))+0-0-0</f>
        <v>746.01933599999995</v>
      </c>
      <c r="N220" s="3">
        <f>0+(905.6-94.6)+(0+(0-0))+0-0-0</f>
        <v>811</v>
      </c>
      <c r="O220" s="3">
        <f>0+(991-136.9)+(0+(0.50541-0.069819))+0-0-0</f>
        <v>854.53559100000007</v>
      </c>
      <c r="P220" s="3">
        <f>0+(964.4-105.5)+(0+(0-0))+0-0-0</f>
        <v>858.9</v>
      </c>
      <c r="Q220" s="3">
        <f>0+(1011.3-158.6)+(0+(-0.515763--0.080886))+0-0-0</f>
        <v>852.2651229999999</v>
      </c>
      <c r="R220" s="3">
        <f>0+(1080-232.8)+(0+(-1.6524--0.356184))+0-0-0</f>
        <v>845.90378400000009</v>
      </c>
      <c r="S220" s="3">
        <f>0+(1068.9-250.1)+(0+(-2.180556--0.510204))+0-0-0</f>
        <v>817.12964800000009</v>
      </c>
      <c r="T220" s="3">
        <f>0+(1021.4-218.9)+(0+(-2.60457--0.558195))+0-0-0</f>
        <v>800.45362499999999</v>
      </c>
      <c r="U220" s="3">
        <f>0+(1049.1-201.2)+(0+(-2.140164--0.410448))+0-0-0</f>
        <v>846.17028399999981</v>
      </c>
      <c r="V220" s="3">
        <f>0+(986.2-143.2)+(0+(-0.502962--0.073032))+0-0-0</f>
        <v>842.57006999999999</v>
      </c>
      <c r="W220" s="3">
        <f>0+(903.7-36.2)+(0+(0-0))+0-0-0</f>
        <v>867.5</v>
      </c>
      <c r="X220" s="3">
        <f>0+(1060.9-116.6)+(0+(-1.623177--0.178398))+0-0-0</f>
        <v>942.85522100000003</v>
      </c>
      <c r="Y220" s="3">
        <f>0+(1058.7-151.5)+(0+(-3.239622--0.46359))+0-0-0</f>
        <v>904.42396800000006</v>
      </c>
      <c r="Z220" s="3">
        <f>0+(1050.2-160)+(0+(-1.606806--0.2448))+0-0-0</f>
        <v>888.83799400000009</v>
      </c>
      <c r="AA220" s="3">
        <f>0+(1018.2-213.5)+(0+(0.519282-0.108885))+4.1-0-0</f>
        <v>809.21039700000006</v>
      </c>
      <c r="AB220" s="3">
        <f>0+(1078.2-231.3)+(0+(-1.099764--0.235926))+0-0-0</f>
        <v>846.0361620000001</v>
      </c>
      <c r="AC220" s="3">
        <f>0+(1016.1-244.6)+(0+(-2.072844--0.498984))+0-0-0</f>
        <v>769.92614000000003</v>
      </c>
      <c r="AD220">
        <f t="shared" si="3"/>
        <v>19050.065125000001</v>
      </c>
      <c r="AE220" s="3">
        <f>0+(1105.1-145.9)+(0+(0-0))+0-0-0</f>
        <v>959.19999999999993</v>
      </c>
    </row>
    <row r="221" spans="1:31" s="2" customFormat="1" x14ac:dyDescent="0.25">
      <c r="A221">
        <v>89</v>
      </c>
      <c r="B221">
        <v>8</v>
      </c>
      <c r="C221">
        <v>5</v>
      </c>
      <c r="D221">
        <v>5</v>
      </c>
      <c r="E221">
        <v>1</v>
      </c>
      <c r="F221" s="3">
        <f>0+(1012.5-271.9)+(0+(-1.03275--0.277338))+0-0-0</f>
        <v>739.84458800000004</v>
      </c>
      <c r="G221" s="3">
        <f>0+(972-268.8)+(0+(-2.4786--0.68544))+0-0-0</f>
        <v>701.4068400000001</v>
      </c>
      <c r="H221" s="3">
        <f>0+(968.8-286)+(0+(-0.494088--0.14586))+0-0-0</f>
        <v>682.45177200000001</v>
      </c>
      <c r="I221" s="3">
        <f>0+(965.9-279.7)+(0+(-0.492609--0.142647))+0-0-0</f>
        <v>685.85003800000004</v>
      </c>
      <c r="J221" s="3">
        <f>0+(922.9-241)+(0+(2.353395-0.61455))+0-0-0</f>
        <v>683.63884499999995</v>
      </c>
      <c r="K221" s="3">
        <f>0+(885.2-205.4)+(0+(0.451452-0.104754))+0-0-0</f>
        <v>680.14669800000001</v>
      </c>
      <c r="L221" s="3">
        <f>0+(835.1-154)+(0+(-1.277703--0.23562))+0-0-0</f>
        <v>680.05791699999997</v>
      </c>
      <c r="M221" s="3">
        <f>0+(933.5-179.5)+(0+(0.95217-0.18309))+0-0-0</f>
        <v>754.76908000000003</v>
      </c>
      <c r="N221" s="3">
        <f>0+(1003.5-183.2)+(0+(-1.535355--0.280296))+0-0-0</f>
        <v>819.04494099999999</v>
      </c>
      <c r="O221" s="3">
        <f>0+(1073.3-195.4)+(0+(0-0))+0-0-0</f>
        <v>877.9</v>
      </c>
      <c r="P221" s="3">
        <f>0+(1061.7-206.3)+(0+(0-0))+0-0-0</f>
        <v>855.40000000000009</v>
      </c>
      <c r="Q221" s="3">
        <f>0+(1050.5-190.9)+(0+(-0.535755--0.097359))+0-0-0</f>
        <v>859.16160400000001</v>
      </c>
      <c r="R221" s="3">
        <f>0+(1051.9-204.9)+(0+(-2.682345--0.522495))+0-0-0</f>
        <v>844.84015000000011</v>
      </c>
      <c r="S221" s="3">
        <f>0+(1047.4-229.1)+(0+(-1.602522--0.350523))+0-0-0</f>
        <v>817.04800100000011</v>
      </c>
      <c r="T221" s="3">
        <f>0+(1005.6-181.9)+(0+(-1.538568--0.278307))+0-0-0</f>
        <v>822.43973900000003</v>
      </c>
      <c r="U221" s="3">
        <f>0+(1005.8-181.9)+(0+(-2.56479--0.463845))+0-0-0</f>
        <v>821.79905499999995</v>
      </c>
      <c r="V221" s="3">
        <f>0+(968.6-139.6)+(0+(-2.46993--0.35598))+0-0-0</f>
        <v>826.88604999999995</v>
      </c>
      <c r="W221" s="3">
        <f>0+(931.3-70.1)+(0+(-0.949926--0.071502))+0-0-0</f>
        <v>860.32157599999994</v>
      </c>
      <c r="X221" s="3">
        <f>0+(1041.9-134)+(0+(-1.062738--0.13668))+0-0-0</f>
        <v>906.97394200000008</v>
      </c>
      <c r="Y221" s="3">
        <f>0+(1043.9-164.3)+(0+(-1.597167--0.251379))+0-0-0</f>
        <v>878.25421200000017</v>
      </c>
      <c r="Z221" s="3">
        <f>0+(1003.7-152.6)+(0+(-1.023774--0.155652))+0-0-0</f>
        <v>850.23187800000005</v>
      </c>
      <c r="AA221" s="3">
        <f>0+(910.8-92.8)+(0+(-2.32254--0.23664))+0-0-0</f>
        <v>815.91409999999996</v>
      </c>
      <c r="AB221" s="3">
        <f>0+(910.6-137.8)+(0+(0.464406-0.070278))+0-0-0</f>
        <v>773.19412799999998</v>
      </c>
      <c r="AC221" s="3">
        <f>0+(918.1-168.5)+(0+(-2.341155--0.429675))+0-0-0</f>
        <v>747.68852000000004</v>
      </c>
      <c r="AD221">
        <f t="shared" si="3"/>
        <v>18985.263674000002</v>
      </c>
      <c r="AE221" s="3">
        <f>0+(1045.4-140)+(0+(0-0))+0-0-0</f>
        <v>905.40000000000009</v>
      </c>
    </row>
    <row r="222" spans="1:31" s="2" customFormat="1" x14ac:dyDescent="0.25">
      <c r="A222">
        <v>89</v>
      </c>
      <c r="B222">
        <v>8</v>
      </c>
      <c r="C222">
        <v>6</v>
      </c>
      <c r="D222">
        <v>6</v>
      </c>
      <c r="E222">
        <v>1</v>
      </c>
      <c r="F222" s="3">
        <f>0+(879.7-171.7)+(0+(-1.794588--0.350268))+0-0-0</f>
        <v>706.55568000000005</v>
      </c>
      <c r="G222" s="3">
        <f>0+(886.1-188.4)+(0+(0.451911-0.096084))+0-0-0</f>
        <v>698.05582700000002</v>
      </c>
      <c r="H222" s="3">
        <f>0+(863.1-179.5)+(0+(0.440181-0.091545))+0-0-0</f>
        <v>683.94863600000008</v>
      </c>
      <c r="I222" s="3">
        <f>0+(837.5-161.2)+(0+(-0.85425--0.164424))+0-0-0</f>
        <v>675.61017399999992</v>
      </c>
      <c r="J222" s="3">
        <f>0+(811.9-135)+(0+(-0.414069--0.06885))+0-0-0</f>
        <v>676.55478099999993</v>
      </c>
      <c r="K222" s="3">
        <f>0+(803.3-128)+(0+(-0.819366--0.13056))+0-0-0</f>
        <v>674.61119399999995</v>
      </c>
      <c r="L222" s="3">
        <f>0+(839.1-145.5)+(0+(-0.855882--0.14841))+0-0-0</f>
        <v>692.89252799999997</v>
      </c>
      <c r="M222" s="3">
        <f>0+(822.7-105.9)+(0+(-0.419577--0.054009))+0-0-0</f>
        <v>716.43443200000002</v>
      </c>
      <c r="N222" s="3">
        <f>0+(951.8-171.2)+(0+(1.456254-0.261936))+0-0-0</f>
        <v>781.79431799999986</v>
      </c>
      <c r="O222" s="3">
        <f>0+(986.1-172.8)+(0+(1.005822-0.176256))+0-0-0</f>
        <v>814.12956599999995</v>
      </c>
      <c r="P222" s="3">
        <f>0+(1023-199.8)+(0+(-2.08692--0.407592))+0-0-0</f>
        <v>821.52067199999999</v>
      </c>
      <c r="Q222" s="3">
        <f>0+(1006.2-181.3)+(0+(-1.026324--0.184926))+0-0-0</f>
        <v>824.05860200000006</v>
      </c>
      <c r="R222" s="3">
        <f>0+(1005.5-196.5)+(0+(-4.10244--0.80172))+0-0-0</f>
        <v>805.69928000000004</v>
      </c>
      <c r="S222" s="3">
        <f>0+(993-209.3)+(0+(0-0))+0-0-0</f>
        <v>783.7</v>
      </c>
      <c r="T222" s="3">
        <f>0+(1000.3-220.3)+(0+(0-0))+0-0-0</f>
        <v>780</v>
      </c>
      <c r="U222" s="3">
        <f>0+(1006.4-189.2)+(0+(-1.539792--0.289476))+0-0-0</f>
        <v>815.94968400000005</v>
      </c>
      <c r="V222" s="3">
        <f>0+(968.9-161)+(0+(0-0))+0-0-0</f>
        <v>807.9</v>
      </c>
      <c r="W222" s="3">
        <f>0+(879.1-60.5)+(0+(-1.345023--0.092565))+0-0-0</f>
        <v>817.34754199999998</v>
      </c>
      <c r="X222" s="3">
        <f>0+(956.5-94.4)+(0+(-2.439075--0.24072))+0-0-0</f>
        <v>859.90164500000003</v>
      </c>
      <c r="Y222" s="3">
        <f>0+(938.6-104)+(0+(-3.829488--0.42432))+0-0-0</f>
        <v>831.19483200000002</v>
      </c>
      <c r="Z222" s="3">
        <f>0+(923.6-108.1)+(0+(-0.942072--0.110262))+0-0-0</f>
        <v>814.66818999999998</v>
      </c>
      <c r="AA222" s="3">
        <f>0+(925.7-137)+(0+(-1.888428--0.27948))+0-0-0</f>
        <v>787.09105199999999</v>
      </c>
      <c r="AB222" s="3">
        <f>0+(877-108.6)+(0+(-2.68362--0.332316))+0-0-0</f>
        <v>766.04869599999995</v>
      </c>
      <c r="AC222" s="3">
        <f>0+(890-160)+(0+(-0.4539--0.0816))+0-0-0</f>
        <v>729.6277</v>
      </c>
      <c r="AD222">
        <f t="shared" si="3"/>
        <v>18365.295031000001</v>
      </c>
      <c r="AE222" s="3">
        <f>0+(967.4-94.8)+(0+(0-0))+0-0-0</f>
        <v>872.6</v>
      </c>
    </row>
    <row r="223" spans="1:31" s="2" customFormat="1" x14ac:dyDescent="0.25">
      <c r="A223">
        <v>89</v>
      </c>
      <c r="B223">
        <v>8</v>
      </c>
      <c r="C223">
        <v>7</v>
      </c>
      <c r="D223">
        <v>7</v>
      </c>
      <c r="E223">
        <v>1</v>
      </c>
      <c r="F223" s="3">
        <f>0+(779.5-102.2)+(0+(-1.987725--0.26061))+0-0-0</f>
        <v>675.57288499999993</v>
      </c>
      <c r="G223" s="3">
        <f>0+(761.3-106.7)+(0+(-2.329578--0.326502))+0-0-0</f>
        <v>652.59692399999994</v>
      </c>
      <c r="H223" s="3">
        <f>0+(741.7-114.8)+(0+(-1.134801--0.175644))+0-0-0</f>
        <v>625.94084300000009</v>
      </c>
      <c r="I223" s="3">
        <f>0+(722.2-105.8)+(0+(-0.368322--0.053958))+0-0-0</f>
        <v>616.08563600000014</v>
      </c>
      <c r="J223" s="3">
        <f>0+(739-116.4)+(0+(0-0))+0-0-0</f>
        <v>622.6</v>
      </c>
      <c r="K223" s="3">
        <f>0+(730-110.5)+(0+(-0.3723--0.056355))+0-0-0</f>
        <v>619.18405499999994</v>
      </c>
      <c r="L223" s="3">
        <f>0+(726.5-125)+(0+(-0.370515--0.06375))+0-0-0</f>
        <v>601.19323499999996</v>
      </c>
      <c r="M223" s="3">
        <f>0+(737.2-122.8)+(0+(-0.375972--0.062628))+0-0-0</f>
        <v>614.08665600000006</v>
      </c>
      <c r="N223" s="3">
        <f>0+(781.8-148.5)+(0+(-1.196154--0.227205))+0-0-0</f>
        <v>632.331051</v>
      </c>
      <c r="O223" s="3">
        <f>0+(860.5-172.9)+(0+(-0.87771--0.176358))+0-0-0</f>
        <v>686.89864799999998</v>
      </c>
      <c r="P223" s="3">
        <f>0+(873.2-184.4)+(0+(-0.890664--0.188088))+0-0-0</f>
        <v>688.09742400000005</v>
      </c>
      <c r="Q223" s="3">
        <f>0+(836.4-146.6)+(0+(-0.853128--0.149532))+0-0-0</f>
        <v>689.09640400000001</v>
      </c>
      <c r="R223" s="3">
        <f>0+(803.9-132.5)+(0+(-0.819978--0.13515))+0-0-0</f>
        <v>670.71517199999994</v>
      </c>
      <c r="S223" s="3">
        <f>0+(812.7-155.3)+(0+(-0.828954--0.158406))+0-0-0</f>
        <v>656.72945200000004</v>
      </c>
      <c r="T223" s="3">
        <f>0+(803.6-147.8)+(0+(-1.639344--0.301512))+0-0-0</f>
        <v>654.46216799999991</v>
      </c>
      <c r="U223" s="3">
        <f>0+(801.3-151)+(0+(-0.408663--0.07701))+0-0-0</f>
        <v>649.96834699999999</v>
      </c>
      <c r="V223" s="3">
        <f>0+(785.7-119)+(0+(0.400707-0.06069))+0-0-0</f>
        <v>667.04001700000003</v>
      </c>
      <c r="W223" s="3">
        <f>0+(816.8-64.5)+(0+(-0.416568--0.032895))+0-0-0</f>
        <v>751.91632699999991</v>
      </c>
      <c r="X223" s="3">
        <f>0+(896.1-99.5)+(0+(-1.828044--0.20298))+0-0-0</f>
        <v>794.97493600000007</v>
      </c>
      <c r="Y223" s="3">
        <f>0+(865.2-103)+(0+(0.882504-0.10506))+0-0-0</f>
        <v>762.97744399999999</v>
      </c>
      <c r="Z223" s="3">
        <f>0+(857.1-111.6)+(0+(-1.311363--0.170748))+0-0-0</f>
        <v>744.35938499999997</v>
      </c>
      <c r="AA223" s="3">
        <f>0+(865.2-146.2)+(0+(-0.882504--0.149124))+0-0-0</f>
        <v>718.26661999999999</v>
      </c>
      <c r="AB223" s="3">
        <f>0+(797.9-118.7)+(0+(-0.813858--0.121074))+0-0-0</f>
        <v>678.50721599999997</v>
      </c>
      <c r="AC223" s="3">
        <f>0+(797.5-159.4)+(0+(-2.033625--0.40647))+0-0-0</f>
        <v>636.47284500000001</v>
      </c>
      <c r="AD223">
        <f t="shared" si="3"/>
        <v>16110.073689999999</v>
      </c>
      <c r="AE223" s="3">
        <f>0+(939.4-104.6)+(0+(0-0))+0-0-0</f>
        <v>834.8</v>
      </c>
    </row>
    <row r="224" spans="1:31" s="2" customFormat="1" x14ac:dyDescent="0.25">
      <c r="A224">
        <v>89</v>
      </c>
      <c r="B224">
        <v>8</v>
      </c>
      <c r="C224">
        <v>8</v>
      </c>
      <c r="D224">
        <v>1</v>
      </c>
      <c r="E224">
        <v>1</v>
      </c>
      <c r="F224" s="3">
        <f>0+(790.1-194.1)+(0+(-0.402951--0.098991))+0-0-0</f>
        <v>595.69604000000004</v>
      </c>
      <c r="G224" s="3">
        <f>0+(756.4-169.1)+(0+(-0.385764--0.086241))+0-0-0</f>
        <v>587.00047699999993</v>
      </c>
      <c r="H224" s="3">
        <f>0+(768.7-197)+(0+(-1.176111--0.30141))+0-0-0</f>
        <v>570.82529900000009</v>
      </c>
      <c r="I224" s="3">
        <f>0+(806-231.9)+(0+(0.41106-0.118269))+0-0-0</f>
        <v>574.39279099999999</v>
      </c>
      <c r="J224" s="3">
        <f>0+(811.1-232.9)+(0+(-1.654644--0.475116))+0-0-0</f>
        <v>577.02047200000004</v>
      </c>
      <c r="K224" s="3">
        <f>0+(768.1-184.4)+(0+(0-0))+0-0-0</f>
        <v>583.70000000000005</v>
      </c>
      <c r="L224" s="3">
        <f>0+(760.9-125.1)+(0+(0-0))+0-0-0</f>
        <v>635.79999999999995</v>
      </c>
      <c r="M224" s="3">
        <f>0+(859.2-152.9)+(0+(-0.438192--0.077979))+0-0-0</f>
        <v>705.93978700000002</v>
      </c>
      <c r="N224" s="3">
        <f>0+(938.4-153.1)+(0+(-1.435752--0.234243))+0-0-0</f>
        <v>784.09849099999997</v>
      </c>
      <c r="O224" s="3">
        <f>0+(905.3-83.5)+(0+(-0.923406--0.08517))+0-0-0</f>
        <v>820.9617639999999</v>
      </c>
      <c r="P224" s="3">
        <f>0+(876.2-38.8)+(0+(-1.787448--0.079152))+0-0-0</f>
        <v>835.69170400000007</v>
      </c>
      <c r="Q224" s="3">
        <f>0+(855.3-3.8)+(0+(-0.436203--0.001938))+0-0-0</f>
        <v>851.06573500000002</v>
      </c>
      <c r="R224" s="3">
        <f>0+(850-35.7)+(0+(-0.867--0.036414))+0-0-0</f>
        <v>813.46941399999992</v>
      </c>
      <c r="S224" s="3">
        <f>0+(908.5-90.6)+(0+(-1.85334--0.184824))+0-0-0</f>
        <v>816.23148400000002</v>
      </c>
      <c r="T224" s="3">
        <f>0+(899.7-96.1)+(0+(0-0))+0-0-0</f>
        <v>803.6</v>
      </c>
      <c r="U224" s="3">
        <f>0+(868.8-72.7)+(0+(-1.772352--0.148308))+0-0-0</f>
        <v>794.47595599999988</v>
      </c>
      <c r="V224" s="3">
        <f>0+(916.6-85.1)+(0+(-1.402398--0.130203))+0-0-0</f>
        <v>830.22780499999999</v>
      </c>
      <c r="W224" s="3">
        <f>0+(945-57.5)+(0+(0-0))+0-0-0</f>
        <v>887.5</v>
      </c>
      <c r="X224" s="3">
        <f>0+(924.7-14)+(0+(-1.414791--0.02142))+0-0-0</f>
        <v>909.30662900000004</v>
      </c>
      <c r="Y224" s="3">
        <f>0+(909-9.9)+(0+(-2.31795--0.025245))+0-0-0</f>
        <v>896.80729500000007</v>
      </c>
      <c r="Z224" s="3">
        <f>0+(889.6-18.6)+(0+(-1.814784--0.037944))+0-0-0</f>
        <v>869.22316000000001</v>
      </c>
      <c r="AA224" s="3">
        <f>0+(888.3-51.3)+(0+(-1.359099--0.078489))+0-0-0</f>
        <v>835.71938999999998</v>
      </c>
      <c r="AB224" s="3">
        <f>0+(867.1-87.8)+(0+(-2.211105--0.22389))+0-0-0</f>
        <v>777.31278500000008</v>
      </c>
      <c r="AC224" s="3">
        <f>0+(866.5-123.7)+(0+(-2.65149--0.378522))+0-0-0</f>
        <v>740.52703199999996</v>
      </c>
      <c r="AD224">
        <f t="shared" si="3"/>
        <v>18096.593509999999</v>
      </c>
      <c r="AE224" s="3">
        <f>0+(922-12.8)+(0+(0-0))+0-0-0</f>
        <v>909.2</v>
      </c>
    </row>
    <row r="225" spans="1:31" s="2" customFormat="1" x14ac:dyDescent="0.25">
      <c r="A225">
        <v>89</v>
      </c>
      <c r="B225">
        <v>8</v>
      </c>
      <c r="C225">
        <v>9</v>
      </c>
      <c r="D225">
        <v>2</v>
      </c>
      <c r="E225">
        <v>1</v>
      </c>
      <c r="F225" s="3">
        <f>0+(927.7-235.3)+(0+(-1.419381--0.360009))+0-0-0</f>
        <v>691.34062800000004</v>
      </c>
      <c r="G225" s="3">
        <f>0+(917.6-245.9)+(0+(-0.935952--0.250818))+0-0-0</f>
        <v>671.0148660000001</v>
      </c>
      <c r="H225" s="3">
        <f>0+(879.6-211.7)+(0+(-1.794384--0.431868))+0-0-0</f>
        <v>666.53748400000006</v>
      </c>
      <c r="I225" s="3">
        <f>0+(849.6-190.9)+(0+(-1.299888--0.292077))+0-0-0</f>
        <v>657.6921890000001</v>
      </c>
      <c r="J225" s="3">
        <f>0+(832.4-169.9)+(0+(0-0))+0-0-0</f>
        <v>662.5</v>
      </c>
      <c r="K225" s="3">
        <f>0+(779-151.9)+(0+(0-0))+0-0-0</f>
        <v>627.1</v>
      </c>
      <c r="L225" s="3">
        <f>0+(781.2-106.2)+(0+(-0.796824--0.108324))+0-0-0</f>
        <v>674.31150000000002</v>
      </c>
      <c r="M225" s="3">
        <f>0+(841.9-110.2)+(0+(0-0))+0-0-0</f>
        <v>731.69999999999993</v>
      </c>
      <c r="N225" s="3">
        <f>0+(907.7-127.4)+(0+(-0.925854--0.129948))+0-0-0</f>
        <v>779.50409400000012</v>
      </c>
      <c r="O225" s="3">
        <f>0+(970.7-163.6)+(0+(-0.495057--0.083436))+0-0-0</f>
        <v>806.68837900000005</v>
      </c>
      <c r="P225" s="3">
        <f>0+(938.1-122)+(0+(-0.956862--0.12444))+0-0-0</f>
        <v>815.26757800000007</v>
      </c>
      <c r="Q225" s="3">
        <f>0+(891.5-62.4)+(0+(-1.81866--0.127296))+0-0-0</f>
        <v>827.408636</v>
      </c>
      <c r="R225" s="3">
        <f>0+(937.5-103.6)+(0+(-0.478125--0.052836))+0-0-0</f>
        <v>833.47471099999996</v>
      </c>
      <c r="S225" s="3">
        <f>0+(972.1-159.8)+(0+(-0.991542--0.162996))+0-0-0</f>
        <v>811.47145399999999</v>
      </c>
      <c r="T225" s="3">
        <f>0+(995.1-180.2)+(0+(-0.507501--0.091902))+0-0-0</f>
        <v>814.48440100000005</v>
      </c>
      <c r="U225" s="3">
        <f>0+(969.9-155.6)+(0+(-2.473245--0.39678))+0-0-0</f>
        <v>812.22353499999997</v>
      </c>
      <c r="V225" s="3">
        <f>0+(952.7-138.2)+(0+(0-0))+0-0-0</f>
        <v>814.5</v>
      </c>
      <c r="W225" s="3">
        <f>0+(936-52.4)+(0+(-0.95472--0.053448))+0-0-0</f>
        <v>882.69872800000007</v>
      </c>
      <c r="X225" s="3">
        <f>0+(922.9-14.4)+(0+(-1.882716--0.029376))+0-0-0</f>
        <v>906.64666</v>
      </c>
      <c r="Y225" s="3">
        <f>0+(899.6-17.2)+(0+(-1.835184--0.035088))+0-0-0</f>
        <v>880.59990399999992</v>
      </c>
      <c r="Z225" s="3">
        <f>0+(882.7-21.8)+(0+(-0.900354--0.022236))+0-0-0</f>
        <v>860.02188200000012</v>
      </c>
      <c r="AA225" s="3">
        <f>0+(849.4-29)+(0+(-1.299582--0.04437))+0-0-0</f>
        <v>819.14478799999995</v>
      </c>
      <c r="AB225" s="3">
        <f>0+(887.4-106.5)+(0+(-1.810296--0.21726))+0-0-0</f>
        <v>779.30696399999999</v>
      </c>
      <c r="AC225" s="3">
        <f>0+(908.1-173.9)+(0+(-1.852524--0.354756))+0-0-0</f>
        <v>732.70223200000009</v>
      </c>
      <c r="AD225">
        <f t="shared" si="3"/>
        <v>18558.340613</v>
      </c>
      <c r="AE225" s="3">
        <f>0+(926.2-11.7)+(0+(0-0))+0-0-0</f>
        <v>914.5</v>
      </c>
    </row>
    <row r="226" spans="1:31" s="2" customFormat="1" x14ac:dyDescent="0.25">
      <c r="A226">
        <v>89</v>
      </c>
      <c r="B226">
        <v>8</v>
      </c>
      <c r="C226">
        <v>10</v>
      </c>
      <c r="D226">
        <v>3</v>
      </c>
      <c r="E226">
        <v>1</v>
      </c>
      <c r="F226" s="3">
        <f>0+(905.6-207.2)+(0+(-0.461856--0.105672))+0-0-0</f>
        <v>698.04381600000011</v>
      </c>
      <c r="G226" s="3">
        <f>0+(931.8-251)+(0+(-2.37609--0.64005))+0-0-0</f>
        <v>679.06395999999995</v>
      </c>
      <c r="H226" s="3">
        <f>0+(902.4-230.5)+(0+(-0.920448--0.23511))+0-0-0</f>
        <v>671.21466199999998</v>
      </c>
      <c r="I226" s="3">
        <f>0+(830.1-164.5)+(0+(0.846702-0.16779))+0-0-0</f>
        <v>666.27891199999999</v>
      </c>
      <c r="J226" s="3">
        <f>0+(834.6-162.4)+(0+(-1.702584--0.331296))+0-0-0</f>
        <v>670.828712</v>
      </c>
      <c r="K226" s="3">
        <f>0+(812-134.7)+(0+(1.24236-0.206091))+0-0-0</f>
        <v>678.3362689999999</v>
      </c>
      <c r="L226" s="3">
        <f>0+(766.1-59)+(0+(-1.172133--0.09027))+0-0-0</f>
        <v>706.01813700000002</v>
      </c>
      <c r="M226" s="3">
        <f>0+(832-78.4)+(0+(0-0))+0-0-0</f>
        <v>753.6</v>
      </c>
      <c r="N226" s="3">
        <f>0+(920.9-111.3)+(0+(-0.939318--0.113526))+0-0-0</f>
        <v>808.77420800000004</v>
      </c>
      <c r="O226" s="3">
        <f>0+(934.5-95.3)+(0+(-2.382975--0.243015))+0-0-0</f>
        <v>837.06004000000007</v>
      </c>
      <c r="P226" s="3">
        <f>0+(920-63.8)+(0+(-1.4076--0.097614))+0-0-0</f>
        <v>854.89001400000006</v>
      </c>
      <c r="Q226" s="3">
        <f>0+(930.7-72.7)+(0+(0-0))+0-0-0</f>
        <v>858</v>
      </c>
      <c r="R226" s="3">
        <f>0+(893.2-46.4)+(0+(-3.188724--0.165648))+0-0-0</f>
        <v>843.77692400000012</v>
      </c>
      <c r="S226" s="3">
        <f>0+(956.2-90.5)+(0+(0-0))+0-0-0</f>
        <v>865.7</v>
      </c>
      <c r="T226" s="3">
        <f>0+(925.4-77.4)+(0+(-1.415862--0.118422))+0-0-0</f>
        <v>846.70255999999995</v>
      </c>
      <c r="U226" s="3">
        <f>0+(875.9-63)+(0+(-2.680254--0.19278))+0-0-0</f>
        <v>810.41252599999996</v>
      </c>
      <c r="V226" s="3">
        <f>0+(870.7-54.1)+(0+(0-0))+0-0-0</f>
        <v>816.6</v>
      </c>
      <c r="W226" s="3">
        <f>0+(936.2-57)+(0+(0.477462-0.02907))+0-0-0</f>
        <v>879.64839200000006</v>
      </c>
      <c r="X226" s="3">
        <f>0+(924.5-14.4)+(0+(-1.88598--0.029376))+0-0-0</f>
        <v>908.24339600000008</v>
      </c>
      <c r="Y226" s="3">
        <f>0+(914-17.2)+(0+(-2.3307--0.04386))+0-0-0</f>
        <v>894.51315999999997</v>
      </c>
      <c r="Z226" s="3">
        <f>0+(930.5-59)+(0+(0-0))+0-0-0</f>
        <v>871.5</v>
      </c>
      <c r="AA226" s="3">
        <f>0+(956.9-119.3)+(0+(-0.976038--0.121686))+0-0-0</f>
        <v>836.74564800000007</v>
      </c>
      <c r="AB226" s="3">
        <f>0+(938.4-130.8)+(0+(-2.39292--0.33354))+0-0-0</f>
        <v>805.54061999999988</v>
      </c>
      <c r="AC226" s="3">
        <f>0+(903.4-145.6)+(0+(-0.460734--0.074256))+0-0-0</f>
        <v>757.41352199999994</v>
      </c>
      <c r="AD226">
        <f t="shared" si="3"/>
        <v>19018.905478000001</v>
      </c>
      <c r="AE226" s="3">
        <f>0+(932.9-19.7)+(0+(0-0))+0-0-0</f>
        <v>913.19999999999993</v>
      </c>
    </row>
    <row r="227" spans="1:31" s="2" customFormat="1" x14ac:dyDescent="0.25">
      <c r="A227">
        <v>89</v>
      </c>
      <c r="B227">
        <v>8</v>
      </c>
      <c r="C227">
        <v>11</v>
      </c>
      <c r="D227">
        <v>4</v>
      </c>
      <c r="E227">
        <v>1</v>
      </c>
      <c r="F227" s="3">
        <f>0+(867-136.9)+(0+(0.44217-0.069819))+0-0-0</f>
        <v>730.472351</v>
      </c>
      <c r="G227" s="3">
        <f>0+(819.6-115.7)+(0+(-1.253988--0.177021))+0-0-0</f>
        <v>702.82303300000001</v>
      </c>
      <c r="H227" s="3">
        <f>0+(789.9-116.1)+(0+(-1.208547--0.177633))+0-0-0</f>
        <v>672.7690859999999</v>
      </c>
      <c r="I227" s="3">
        <f>0+(765-96.9)+(0+(0.7803-0.098838))+0-0-0</f>
        <v>668.78146200000003</v>
      </c>
      <c r="J227" s="3">
        <f>0+(762-91.3)+(0+(0.38862-0.046563))+0-0-0</f>
        <v>671.042057</v>
      </c>
      <c r="K227" s="3">
        <f>0+(744-69.7)+(0+(0-0))+0-0-0</f>
        <v>674.3</v>
      </c>
      <c r="L227" s="3">
        <f>0+(747.2-53.4)+(0+(0.381072-0.027234))+0-0-0</f>
        <v>694.15383800000006</v>
      </c>
      <c r="M227" s="3">
        <f>0+(858.4-111.3)+(0+(-0.437784--0.056763))+0-0-0</f>
        <v>746.71897899999999</v>
      </c>
      <c r="N227" s="3">
        <f>0+(844.7-47.9)+(0+(-1.292391--0.073287))+0-0-0</f>
        <v>795.58089600000005</v>
      </c>
      <c r="O227" s="3">
        <f>0+(883.9-62.2)+(0+(-0.901578--0.063444))+0-0-0</f>
        <v>820.86186599999996</v>
      </c>
      <c r="P227" s="3">
        <f>0+(918.9-73.9)+(0+(0-0))+0-0-0</f>
        <v>845</v>
      </c>
      <c r="Q227" s="3">
        <f>0+(932.3-80.4)+(0+(-1.901892--0.164016))+0-0-0</f>
        <v>850.16212399999995</v>
      </c>
      <c r="R227" s="3">
        <f>0+(909.1-65.8)+(0+(0.927282-0.067116))+0-0-0</f>
        <v>844.16016600000012</v>
      </c>
      <c r="S227" s="3">
        <f>0+(845.4-34.2)+(0+(-1.724616--0.069768))+0-0-0</f>
        <v>809.54515199999992</v>
      </c>
      <c r="T227" s="3">
        <f>0+(827.9-18)+(0+(-0.844458--0.01836))+0-0-0</f>
        <v>809.07390199999998</v>
      </c>
      <c r="U227" s="3">
        <f>0+(832.3-24.1)+(0+(-2.122365--0.061455))+0-0-0</f>
        <v>806.1390899999999</v>
      </c>
      <c r="V227" s="3">
        <f>0+(854.5-30.1)+(0+(1.307385-0.046053))+0-0-0</f>
        <v>825.66133200000002</v>
      </c>
      <c r="W227" s="3">
        <f>0+(964.9-84.3)+(0+(-1.476297--0.128979))+0-0-0</f>
        <v>879.25268200000005</v>
      </c>
      <c r="X227" s="3">
        <f>0+(1111-211.4)+(0+(-2.83305--0.53907))+0-0-0</f>
        <v>897.30601999999999</v>
      </c>
      <c r="Y227" s="3">
        <f>0+(1030.6-160.4)+(0+(-1.051212--0.163608))+0-0-0</f>
        <v>869.31239599999992</v>
      </c>
      <c r="Z227" s="3">
        <f>0+(1015.1-163.6)+(0+(-0.517701--0.083436))+0-0-0</f>
        <v>851.06573500000002</v>
      </c>
      <c r="AA227" s="3">
        <f>0+(1040.9-215.1)+(0+(-1.592577--0.329103))+0-0-0</f>
        <v>824.53652600000009</v>
      </c>
      <c r="AB227" s="3">
        <f>0+(999.9-217.9)+(0+(-1.019898--0.222258))+0-0-0</f>
        <v>781.20236</v>
      </c>
      <c r="AC227" s="3">
        <f>0+(891.1-153)+(0+(-0.908922--0.15606))+0-0-0</f>
        <v>737.34713799999997</v>
      </c>
      <c r="AD227">
        <f t="shared" si="3"/>
        <v>18807.268190999999</v>
      </c>
      <c r="AE227" s="3">
        <f>0+(1149.7-246.9)+(0+(0-0))+0-0-0</f>
        <v>902.80000000000007</v>
      </c>
    </row>
    <row r="228" spans="1:31" s="2" customFormat="1" x14ac:dyDescent="0.25">
      <c r="A228">
        <v>89</v>
      </c>
      <c r="B228">
        <v>8</v>
      </c>
      <c r="C228">
        <v>12</v>
      </c>
      <c r="D228">
        <v>5</v>
      </c>
      <c r="E228">
        <v>1</v>
      </c>
      <c r="F228" s="3">
        <f>0+(789.9-88.4)+(0+(-0.402849--0.045084))+0-0-0</f>
        <v>701.14223500000003</v>
      </c>
      <c r="G228" s="3">
        <f>0+(781.6-108)+(0+(-1.99308--0.2754))+0-0-0</f>
        <v>671.88232000000005</v>
      </c>
      <c r="H228" s="3">
        <f>0+(753.6-93.5)+(0+(-0.768672--0.09537))+0-0-0</f>
        <v>659.42669799999999</v>
      </c>
      <c r="I228" s="3">
        <f>0+(767.7-114.4)+(0+(0-0))+0-0-0</f>
        <v>653.30000000000007</v>
      </c>
      <c r="J228" s="3">
        <f>0+(766.4-118.7)+(0+(-1.563456--0.242148))+0-0-0</f>
        <v>646.37869199999989</v>
      </c>
      <c r="K228" s="3">
        <f>0+(775.7-114)+(0+(-0.791214--0.11628))+0-0-0</f>
        <v>661.02506600000004</v>
      </c>
      <c r="L228" s="3">
        <f>0+(762.8-79.7)+(0+(0.778056-0.081294))+0-0-0</f>
        <v>683.79676199999994</v>
      </c>
      <c r="M228" s="3">
        <f>0+(771.4-40.2)+(0+(-0.393414--0.020502))+0-0-0</f>
        <v>730.82708799999989</v>
      </c>
      <c r="N228" s="3">
        <f>0+(835.3-46.7)+(0+(-0.852006--0.047634))+0-0-0</f>
        <v>787.79562799999997</v>
      </c>
      <c r="O228" s="3">
        <f>0+(889.3-67.3)+(0+(-0.453543--0.034323))+0-0-0</f>
        <v>821.58078</v>
      </c>
      <c r="P228" s="3">
        <f>0+(899.4-51.7)+(0+(-1.834776--0.105468))+0-0-0</f>
        <v>845.97069199999999</v>
      </c>
      <c r="Q228" s="3">
        <f>0+(865.9-32.4)+(0+(0.883218-0.033048))+0-0-0</f>
        <v>834.35017000000005</v>
      </c>
      <c r="R228" s="3">
        <f>0+(853.4-34.3)+(0+(-0.870468--0.034986))+0-0-0</f>
        <v>818.26451800000007</v>
      </c>
      <c r="S228" s="3">
        <f>0+(812.2-13.9)+(0+(0.828444-0.014178))+0-0-0</f>
        <v>799.11426600000004</v>
      </c>
      <c r="T228" s="3">
        <f>0+(815.7-29.8)+(0+(0.832014-0.030396))+0-0-0</f>
        <v>786.70161800000005</v>
      </c>
      <c r="U228" s="3">
        <f>0+(806.1-32.7)+(0+(0.822222-0.033354))+0-0-0</f>
        <v>774.18886799999996</v>
      </c>
      <c r="V228" s="3">
        <f>0+(825.7-24)+(0+(0-0))+0-0-0</f>
        <v>801.7</v>
      </c>
      <c r="W228" s="3">
        <f>0+(939.6-60.1)+(0+(-0.958392--0.061302))+0-0-0</f>
        <v>878.60290999999995</v>
      </c>
      <c r="X228" s="3">
        <f>0+(1097.4-213.1)+(0+(-1.679022--0.326043))+0-0-0</f>
        <v>882.94702100000006</v>
      </c>
      <c r="Y228" s="3">
        <f>0+(1049.2-156.6)+(0+(-2.67546--0.39933))+0-0-0</f>
        <v>890.32387000000006</v>
      </c>
      <c r="Z228" s="3">
        <f>0+(951-140.3)+(0+(-2.42505--0.357765))+0-0-0</f>
        <v>808.63271500000008</v>
      </c>
      <c r="AA228" s="3">
        <f>0+(988-164)+(0+(-3.02328--0.50184))+0-0-0</f>
        <v>821.47856000000002</v>
      </c>
      <c r="AB228" s="3">
        <f>0+(981.1-208.5)+(0+(-1.000722--0.21267))+0-0-0</f>
        <v>771.81194800000003</v>
      </c>
      <c r="AC228" s="3">
        <f>0+(916.1-164.9)+(0+(-1.401633--0.252297))+0-0-0</f>
        <v>750.0506640000001</v>
      </c>
      <c r="AD228">
        <f t="shared" si="3"/>
        <v>18481.293088999995</v>
      </c>
      <c r="AE228" s="3">
        <f>0+(1123.4-211.4)+(0+(0-0))+0-0-0</f>
        <v>912.00000000000011</v>
      </c>
    </row>
    <row r="229" spans="1:31" s="2" customFormat="1" x14ac:dyDescent="0.25">
      <c r="A229">
        <v>89</v>
      </c>
      <c r="B229">
        <v>8</v>
      </c>
      <c r="C229">
        <v>13</v>
      </c>
      <c r="D229">
        <v>6</v>
      </c>
      <c r="E229">
        <v>1</v>
      </c>
      <c r="F229" s="3">
        <f>0+(814.1-98.2)+(0+(-0.415191--0.050082))+0-0-0</f>
        <v>715.53489100000002</v>
      </c>
      <c r="G229" s="3">
        <f>0+(820.6-120.6)+(0+(-0.837012--0.123012))+0-0-0</f>
        <v>699.28599999999994</v>
      </c>
      <c r="H229" s="3">
        <f>0+(760-86.7)+(0+(-0.3876--0.044217))+0-0-0</f>
        <v>672.95661699999994</v>
      </c>
      <c r="I229" s="3">
        <f>0+(745.2-70.8)+(0+(0-0))+0-0-0</f>
        <v>674.40000000000009</v>
      </c>
      <c r="J229" s="3">
        <f>0+(746.4-71.5)+(0+(1.522656-0.14586))+0-0-0</f>
        <v>676.27679599999999</v>
      </c>
      <c r="K229" s="3">
        <f>0+(713.6-40.1)+(0+(-0.363936--0.020451))+0-0-0</f>
        <v>673.15651500000001</v>
      </c>
      <c r="L229" s="3">
        <f>0+(748.5-61.5)+(0+(-1.52694--0.12546))+0-0-0</f>
        <v>685.59852000000001</v>
      </c>
      <c r="M229" s="3">
        <f>0+(765.7-51.6)+(0+(-0.781014--0.052632))+0-0-0</f>
        <v>713.37161800000001</v>
      </c>
      <c r="N229" s="3">
        <f>0+(841.9-88.5)+(0+(-0.429369--0.045135))+0-0-0</f>
        <v>753.01576599999999</v>
      </c>
      <c r="O229" s="3">
        <f>0+(890.5-114.4)+(0+(-1.362465--0.175032))+0-0-0</f>
        <v>774.91256699999997</v>
      </c>
      <c r="P229" s="3">
        <f>0+(901.1-105.2)+(0+(0-0))+0-0-0</f>
        <v>795.9</v>
      </c>
      <c r="Q229" s="3">
        <f>0+(884.9-82.3)+(0+(0-0))+0-0-0</f>
        <v>802.6</v>
      </c>
      <c r="R229" s="3">
        <f>0+(858.3-53.4)+(0+(-1.313199--0.081702))+0-0-0</f>
        <v>803.66850299999999</v>
      </c>
      <c r="S229" s="3">
        <f>0+(871.2-108)+(0+(-1.777248--0.22032))+0-0-0</f>
        <v>761.64307200000007</v>
      </c>
      <c r="T229" s="3">
        <f>0+(845.6-82.9)+(0+(0.431256-0.042279))+0-0-0</f>
        <v>763.088977</v>
      </c>
      <c r="U229" s="3">
        <f>0+(841.5-82.8)+(0+(-2.145825--0.21114))+0-0-0</f>
        <v>756.7653150000001</v>
      </c>
      <c r="V229" s="3">
        <f>0+(849.8-107.1)+(0+(-1.300194--0.163863))+0-0-0</f>
        <v>741.56366899999989</v>
      </c>
      <c r="W229" s="3">
        <f>0+(877.3-48.4)+(0+(-0.894846--0.049368))+0-0-0</f>
        <v>828.05452200000002</v>
      </c>
      <c r="X229" s="3">
        <f>0+(923.5-45)+(0+(-1.88394--0.0918))+0-0-0</f>
        <v>876.70785999999998</v>
      </c>
      <c r="Y229" s="3">
        <f>0+(907.1-45.5)+(0+(-2.313105--0.116025))+0-0-0</f>
        <v>859.40291999999999</v>
      </c>
      <c r="Z229" s="3">
        <f>0+(960.9-140.9)+(0+(-1.470177--0.215577))+0-0-0</f>
        <v>818.74540000000002</v>
      </c>
      <c r="AA229" s="3">
        <f>0+(1024.7-233)+(0+(-0.522597--0.11883))+0-0-0</f>
        <v>791.29623300000003</v>
      </c>
      <c r="AB229" s="3">
        <f>0+(915.1-151.8)+(0+(-1.866804--0.309672))+0-0-0</f>
        <v>761.74286799999993</v>
      </c>
      <c r="AC229" s="3">
        <f>0+(793.4-63.7)+(0+(-2.02317--0.162435))+0-0-0</f>
        <v>727.83926499999995</v>
      </c>
      <c r="AD229">
        <f t="shared" si="3"/>
        <v>18127.527893999999</v>
      </c>
      <c r="AE229" s="3">
        <f>0+(928-65.6)+(0+(0-0))+0-0-0</f>
        <v>862.4</v>
      </c>
    </row>
    <row r="230" spans="1:31" s="2" customFormat="1" x14ac:dyDescent="0.25">
      <c r="A230">
        <v>89</v>
      </c>
      <c r="B230">
        <v>8</v>
      </c>
      <c r="C230">
        <v>14</v>
      </c>
      <c r="D230">
        <v>7</v>
      </c>
      <c r="E230">
        <v>1</v>
      </c>
      <c r="F230" s="3">
        <f>0+(802.9-117.3)+(0+(-0.818958--0.119646))+0-0-0</f>
        <v>684.90068800000006</v>
      </c>
      <c r="G230" s="3">
        <f>0+(865.9-218.9)+(0+(-0.441609--0.111639))+0-0-0</f>
        <v>646.67003</v>
      </c>
      <c r="H230" s="3">
        <f>0+(829.1-195.5)+(0+(-0.422841--0.099705))+0-0-0</f>
        <v>633.27686400000005</v>
      </c>
      <c r="I230" s="3">
        <f>0+(796.4-171.7)+(0+(-0.812328--0.175134))+0-0-0</f>
        <v>624.06280600000002</v>
      </c>
      <c r="J230" s="3">
        <f>0+(765.4-151.3)+(0+(-1.171062--0.231489))+0-0-0</f>
        <v>613.16042699999991</v>
      </c>
      <c r="K230" s="3">
        <f>0+(766.4-156)+(0+(0.781728-0.15912))+0-0-0</f>
        <v>611.02260799999999</v>
      </c>
      <c r="L230" s="3">
        <f>0+(744.2-137.3)+(0+(-1.89771--0.350115))+0-0-0</f>
        <v>605.35240500000009</v>
      </c>
      <c r="M230" s="3">
        <f>0+(782.1-183.9)+(0+(0-0))+0-0-0</f>
        <v>598.20000000000005</v>
      </c>
      <c r="N230" s="3">
        <f>0+(862.8-215.5)+(0+(-0.440028--0.109905))+0-0-0</f>
        <v>646.969877</v>
      </c>
      <c r="O230" s="3">
        <f>0+(905-218.4)+(0+(0.46155-0.111384))+0-0-0</f>
        <v>686.95016599999997</v>
      </c>
      <c r="P230" s="3">
        <f>0+(886.3-183.7)+(0+(-0.904026--0.187374))+0-0-0</f>
        <v>701.88334799999996</v>
      </c>
      <c r="Q230" s="3">
        <f>0+(911.3-200.7)+(0+(-2.323815--0.511785))+0-0-0</f>
        <v>708.78796999999986</v>
      </c>
      <c r="R230" s="3">
        <f>0+(942.5-250)+(0+(-0.96135--0.255))+0-0-0</f>
        <v>691.79364999999996</v>
      </c>
      <c r="S230" s="3">
        <f>0+(936.3-257.9)+(0+(-1.432539--0.394587))+0-0-0</f>
        <v>677.36204799999996</v>
      </c>
      <c r="T230" s="3">
        <f>0+(972.7-308.5)+(0+(-0.992154--0.31467))+0-0-0</f>
        <v>663.522516</v>
      </c>
      <c r="U230" s="3">
        <f>0+(946.1-312)+(0+(-1.447533--0.47736))+0-0-0</f>
        <v>633.12982699999998</v>
      </c>
      <c r="V230" s="3">
        <f>0+(895.1-262.7)+(0+(-0.913002--0.267954))+0-0-0</f>
        <v>631.75495200000012</v>
      </c>
      <c r="W230" s="3">
        <f>0+(791.2-57.3)+(0+(-0.403512--0.029223))+0-0-0</f>
        <v>733.52571100000011</v>
      </c>
      <c r="X230" s="3">
        <f>0+(912.2-136.6)+(0+(-0.930444--0.139332))+0-0-0</f>
        <v>774.80888800000002</v>
      </c>
      <c r="Y230" s="3">
        <f>0+(894.8-135.8)+(0+(-0.912696--0.138516))+0-0-0</f>
        <v>758.22582</v>
      </c>
      <c r="Z230" s="3">
        <f>0+(855.2-114.7)+(0+(-1.308456--0.175491))+0-0-0</f>
        <v>739.36703499999999</v>
      </c>
      <c r="AA230" s="3">
        <f>0+(888.5-169)+(0+(-0.90627--0.17238))+0-0-0</f>
        <v>718.76611000000003</v>
      </c>
      <c r="AB230" s="3">
        <f>0+(868.6-172.6)+(0+(-0.442986--0.088026))+0-0-0</f>
        <v>695.64503999999999</v>
      </c>
      <c r="AC230" s="3">
        <f>0+(793.1-139)+(0+(-2.022405--0.35445))+0-0-0</f>
        <v>652.43204500000002</v>
      </c>
      <c r="AD230">
        <f t="shared" si="3"/>
        <v>16131.570830999997</v>
      </c>
      <c r="AE230" s="3">
        <f>0+(945.1-137.7)+(0+(0-0))+0-0-0</f>
        <v>807.40000000000009</v>
      </c>
    </row>
    <row r="231" spans="1:31" s="2" customFormat="1" x14ac:dyDescent="0.25">
      <c r="A231">
        <v>89</v>
      </c>
      <c r="B231">
        <v>8</v>
      </c>
      <c r="C231">
        <v>15</v>
      </c>
      <c r="D231">
        <v>1</v>
      </c>
      <c r="E231">
        <v>1</v>
      </c>
      <c r="F231" s="3">
        <f>0+(716.9-95.1)+(0+(-1.828095--0.242505))+0-0-0</f>
        <v>620.21440999999993</v>
      </c>
      <c r="G231" s="3">
        <f>0+(697.2-107.1)+(0+(-2.844576--0.436968))+0-0-0</f>
        <v>587.69239200000004</v>
      </c>
      <c r="H231" s="3">
        <f>0+(696.5-115.1)+(0+(-1.42086--0.234804))+0-0-0</f>
        <v>580.21394399999997</v>
      </c>
      <c r="I231" s="3">
        <f>0+(685-102.3)+(0+(0.6987-0.104346))+0-0-0</f>
        <v>583.294354</v>
      </c>
      <c r="J231" s="3">
        <f>0+(686.3-97)+(0+(-0.350013--0.04947))+0-0-0</f>
        <v>588.99945700000001</v>
      </c>
      <c r="K231" s="3">
        <f>0+(671.3-83.3)+(0+(-1.027089--0.127449))+0-0-0</f>
        <v>587.10036000000002</v>
      </c>
      <c r="L231" s="3">
        <f>0+(689.5-57.1)+(0+(0-0))+0-0-0</f>
        <v>632.4</v>
      </c>
      <c r="M231" s="3">
        <f>0+(760.6-62.1)+(0+(-0.387906--0.031671))+0-0-0</f>
        <v>698.14376500000003</v>
      </c>
      <c r="N231" s="3">
        <f>0+(871.6-102.9)+(0+(0.444516-0.052479))+0-0-0</f>
        <v>769.092037</v>
      </c>
      <c r="O231" s="3">
        <f>0+(906.4-107.2)+(0+(0.924528-0.109344))+0-0-0</f>
        <v>800.01518399999998</v>
      </c>
      <c r="P231" s="3">
        <f>0+(872.5-54.2)+(0+(0-0))+0-0-0</f>
        <v>818.3</v>
      </c>
      <c r="Q231" s="3">
        <f>0+(874.8-45.6)+(0+(-1.338444--0.069768))+0-0-0</f>
        <v>827.9313239999999</v>
      </c>
      <c r="R231" s="3">
        <f>0+(920.7-88.5)+(0+(-3.286899--0.315945))+0-0-0</f>
        <v>829.22904600000004</v>
      </c>
      <c r="S231" s="3">
        <f>0+(898-83.8)+(0+(-0.45798--0.042738))+0-0-0</f>
        <v>813.78475800000001</v>
      </c>
      <c r="T231" s="3">
        <f>0+(891-77.1)+(0+(-1.81764--0.157284))+0-0-0</f>
        <v>812.239644</v>
      </c>
      <c r="U231" s="3">
        <f>0+(905.5-101.2)+(0+(0-0))+0-0-0</f>
        <v>804.3</v>
      </c>
      <c r="V231" s="3">
        <f>0+(949.7-125.1)+(0+(-0.484347--0.063801))+0-0-0</f>
        <v>824.17945400000008</v>
      </c>
      <c r="W231" s="3">
        <f>0+(956.8-61.9)+(0+(-0.487968--0.031569))+0-0-0</f>
        <v>894.44360099999994</v>
      </c>
      <c r="X231" s="3">
        <f>0+(1124.9-209.4)+(0+(-2.868495--0.53397))+0-0-0</f>
        <v>913.16547500000013</v>
      </c>
      <c r="Y231" s="3">
        <f>0+(1095.1-190.3)+(0+(-3.351006--0.582318))+0-0-0</f>
        <v>902.03131199999996</v>
      </c>
      <c r="Z231" s="3">
        <f>0+(1034.7-154.7)+(0+(-1.583091--0.236691))+0-0-0</f>
        <v>878.65359999999998</v>
      </c>
      <c r="AA231" s="3">
        <f>0+(988.2-141.7)+(0+(-1.511946--0.216801))+0-0-0</f>
        <v>845.20485499999995</v>
      </c>
      <c r="AB231" s="3">
        <f>0+(992.7-190.4)+(0+(-1.518831--0.291312))+0-0-0</f>
        <v>801.07248100000004</v>
      </c>
      <c r="AC231" s="3">
        <f>0+(883.1-130.1)+(0+(-1.801524--0.265404))+0-0-0</f>
        <v>751.46388000000002</v>
      </c>
      <c r="AD231">
        <f t="shared" si="3"/>
        <v>18163.165332999994</v>
      </c>
      <c r="AE231" s="3">
        <f>0+(1106.9-163.6)+(0+(0-0))+0-0-0</f>
        <v>943.30000000000007</v>
      </c>
    </row>
    <row r="232" spans="1:31" s="2" customFormat="1" x14ac:dyDescent="0.25">
      <c r="A232">
        <v>89</v>
      </c>
      <c r="B232">
        <v>8</v>
      </c>
      <c r="C232">
        <v>16</v>
      </c>
      <c r="D232">
        <v>2</v>
      </c>
      <c r="E232">
        <v>1</v>
      </c>
      <c r="F232" s="3">
        <f>0+(825.8-113.4)+(0+(-0.842316--0.115668))+0-0-0</f>
        <v>711.67335200000002</v>
      </c>
      <c r="G232" s="3">
        <f>0+(761.1-73.6)+(0+(-0.388161--0.037536))+0-0-0</f>
        <v>687.14937499999996</v>
      </c>
      <c r="H232" s="3">
        <f>0+(725.1-45.9)+(0+(-1.109403--0.070227))+0-0-0</f>
        <v>678.16082400000005</v>
      </c>
      <c r="I232" s="3">
        <f>0+(719.6-42.2)+(0+(-0.733992--0.043044))+0-0-0</f>
        <v>676.70905199999993</v>
      </c>
      <c r="J232" s="3">
        <f>0+(721.6-45.9)+(0+(0.736032-0.046818))+0-0-0</f>
        <v>676.38921400000004</v>
      </c>
      <c r="K232" s="3">
        <f>0+(725.3-49)+(0+(1.849515-0.12495))+0-0-0</f>
        <v>678.02456499999994</v>
      </c>
      <c r="L232" s="3">
        <f>0+(777.9-77)+(0+(-1.190187--0.11781))+0-0-0</f>
        <v>699.82762300000002</v>
      </c>
      <c r="M232" s="3">
        <f>0+(848.4-102.3)+(0+(-2.16342--0.260865))+0-0-0</f>
        <v>744.19744500000002</v>
      </c>
      <c r="N232" s="3">
        <f>0+(935.1-120)+(0+(1.430703-0.1836))+0-0-0</f>
        <v>816.34710300000006</v>
      </c>
      <c r="O232" s="3">
        <f>0+(1011.7-167.3)+(0+(-1.547901--0.255969))+0-0-0</f>
        <v>843.10806800000012</v>
      </c>
      <c r="P232" s="3">
        <f>0+(982.8-141.4)+(0+(-0.501228--0.072114))+0-0-0</f>
        <v>840.97088599999995</v>
      </c>
      <c r="Q232" s="3">
        <f>0+(1016.6-152.7)+(0+(-0.518466--0.077877))+0-0-0</f>
        <v>863.45941100000005</v>
      </c>
      <c r="R232" s="3">
        <f>0+(1046.9-207.9)+(0+(-2.135676--0.424116))+0-0-0</f>
        <v>837.28844000000015</v>
      </c>
      <c r="S232" s="3">
        <f>0+(1021.7-209.3)+(0+(0-0))+0-0-0</f>
        <v>812.40000000000009</v>
      </c>
      <c r="T232" s="3">
        <f>0+(1032.2-210)+(0+(1.052844-0.2142))+0-0-0</f>
        <v>823.03864400000009</v>
      </c>
      <c r="U232" s="3">
        <f>0+(1075.8-252.7)+(0+(-1.097316--0.257754))+0-0-0</f>
        <v>822.26043799999991</v>
      </c>
      <c r="V232" s="3">
        <f>0+(1039-214)+(0+(-0.52989--0.10914))+0-0-0</f>
        <v>824.57925</v>
      </c>
      <c r="W232" s="3">
        <f>0+(1165.9-264.6)+(0+(-0.594609--0.134946))+0-0-0</f>
        <v>900.84033700000009</v>
      </c>
      <c r="X232" s="3">
        <f>0+(1321.4-389.4)+(0+(-0.673914--0.198594))+0-0-0</f>
        <v>931.5246800000001</v>
      </c>
      <c r="Y232" s="3">
        <f>0+(1220.9-310.3)+(0+(-3.113295--0.791265))+0-0-0</f>
        <v>908.2779700000001</v>
      </c>
      <c r="Z232" s="3">
        <f>0+(1148.3-262)+(0+(-2.928165--0.6681))+0-0-0</f>
        <v>884.0399349999999</v>
      </c>
      <c r="AA232" s="3">
        <f>0+(1112.3-263.4)+(0+(-1.134546--0.268668))+0-0-0</f>
        <v>848.03412200000002</v>
      </c>
      <c r="AB232" s="3">
        <f>0+(1091-280.3)+(0+(-1.11282--0.285906))+0-0-0</f>
        <v>809.87308600000006</v>
      </c>
      <c r="AC232" s="3">
        <f>0+(977.7-204.6)+(0+(-2.493135--0.52173))+0-0-0</f>
        <v>771.12859500000002</v>
      </c>
      <c r="AD232">
        <f t="shared" si="3"/>
        <v>19089.302415000002</v>
      </c>
      <c r="AE232" s="3">
        <f>0+(1331.4-392.2)+(0+(0-0))+0-0-0</f>
        <v>939.2</v>
      </c>
    </row>
    <row r="233" spans="1:31" s="2" customFormat="1" x14ac:dyDescent="0.25">
      <c r="A233">
        <v>89</v>
      </c>
      <c r="B233">
        <v>8</v>
      </c>
      <c r="C233">
        <v>17</v>
      </c>
      <c r="D233">
        <v>3</v>
      </c>
      <c r="E233">
        <v>1</v>
      </c>
      <c r="F233" s="3">
        <f>0+(815.9-90.7)+(0+(-1.248327--0.138771))+0-0-0</f>
        <v>724.09044399999993</v>
      </c>
      <c r="G233" s="3">
        <f>0+(790.3-81.3)+(0+(-1.612212--0.165852))+0-0-0</f>
        <v>707.55363999999997</v>
      </c>
      <c r="H233" s="3">
        <f>0+(732.7-49.5)+(0+(-1.121031--0.075735))+0-0-0</f>
        <v>682.15470400000004</v>
      </c>
      <c r="I233" s="3">
        <f>0+(699-25.6)+(0+(-0.35649--0.013056))+0-0-0</f>
        <v>673.05656599999998</v>
      </c>
      <c r="J233" s="3">
        <f>0+(689.9-17)+(0+(-0.351849--0.00867))+0-0-0</f>
        <v>672.55682100000001</v>
      </c>
      <c r="K233" s="3">
        <f>0+(705.9-25.8)+(0+(0-0))+0-0-0</f>
        <v>680.1</v>
      </c>
      <c r="L233" s="3">
        <f>0+(776.8-64.2)+(0+(-0.792336--0.065484))+0-0-0</f>
        <v>711.8731479999999</v>
      </c>
      <c r="M233" s="3">
        <f>0+(933.1-170.8)+(0+(-1.427643--0.261324))+0-0-0</f>
        <v>761.13368099999991</v>
      </c>
      <c r="N233" s="3">
        <f>0+(1090.2-266.8)+(0+(-1.112004--0.272136))+0-0-0</f>
        <v>822.56013200000007</v>
      </c>
      <c r="O233" s="3">
        <f>0+(1139.6-279.7)+(0+(0-0))+0-0-0</f>
        <v>859.89999999999986</v>
      </c>
      <c r="P233" s="3">
        <f>0+(1166.7-295.4)+(0+(0-0))+0-0-0</f>
        <v>871.30000000000007</v>
      </c>
      <c r="Q233" s="3">
        <f>0+(1217.3-342.5)+(0+(-1.862469--0.524025))+0-0-0</f>
        <v>873.46155599999997</v>
      </c>
      <c r="R233" s="3">
        <f>0+(1183.3-322.7)+(0+(-3.017415--0.822885))+0-0-0</f>
        <v>858.40546999999992</v>
      </c>
      <c r="S233" s="3">
        <f>0+(1204.6-359)+(0+(0.614346-0.18309))+0-0-0</f>
        <v>846.03125599999987</v>
      </c>
      <c r="T233" s="3">
        <f>0+(1187.5-347.4)+(0+(-1.21125--0.354348))+0-0-0</f>
        <v>839.24309800000003</v>
      </c>
      <c r="U233" s="3">
        <f>0+(1168.2-328)+(0+(0-0))+0-0-0</f>
        <v>840.2</v>
      </c>
      <c r="V233" s="3">
        <f>0+(1133.8-279.8)+(0+(-0.578238--0.142698))+0-0-0</f>
        <v>853.56446000000005</v>
      </c>
      <c r="W233" s="3">
        <f>0+(1250.2-320.6)+(0+(0-0))+0-0-0</f>
        <v>929.6</v>
      </c>
      <c r="X233" s="3">
        <f>0+(1321-375.3)+(0+(-1.34742--0.382806))+0-0-0</f>
        <v>944.73538600000006</v>
      </c>
      <c r="Y233" s="3">
        <f>0+(1311.4-380.7)+(0+(-3.34407--0.970785))+0-0-0</f>
        <v>928.32671500000004</v>
      </c>
      <c r="Z233" s="3">
        <f>0+(1328.4-429.5)+(0+(-2.032452--0.657135))+0-0-0</f>
        <v>897.5246830000001</v>
      </c>
      <c r="AA233" s="3">
        <f>0+(1305.6-439.7)+(0+(-1.331712--0.448494))+0-0-0</f>
        <v>865.01678199999981</v>
      </c>
      <c r="AB233" s="3">
        <f>0+(1205.7-373.2)+(0+(-3.074535--0.95166))+0-0-0</f>
        <v>830.37712499999998</v>
      </c>
      <c r="AC233" s="3">
        <f>0+(1090.9-295.5)+(0+(-2.225436--0.60282))+0-0-0</f>
        <v>793.7773840000001</v>
      </c>
      <c r="AD233">
        <f t="shared" si="3"/>
        <v>19466.543051000001</v>
      </c>
      <c r="AE233" s="3">
        <f>0+(1401.2-442)+(0+(0-0))+0-0-0</f>
        <v>959.2</v>
      </c>
    </row>
    <row r="234" spans="1:31" s="2" customFormat="1" x14ac:dyDescent="0.25">
      <c r="A234">
        <v>89</v>
      </c>
      <c r="B234">
        <v>8</v>
      </c>
      <c r="C234">
        <v>18</v>
      </c>
      <c r="D234">
        <v>4</v>
      </c>
      <c r="E234">
        <v>1</v>
      </c>
      <c r="F234" s="3">
        <f>0+(989.3-239.5)+(0+(-2.018172--0.48858))+0-0-0</f>
        <v>748.27040799999997</v>
      </c>
      <c r="G234" s="3">
        <f>0+(868.6-138.9)+(0+(0-0))+0-0-0</f>
        <v>729.7</v>
      </c>
      <c r="H234" s="3">
        <f>0+(822.4-120.1)+(0+(-0.419424--0.061251))+0-0-0</f>
        <v>701.94182699999999</v>
      </c>
      <c r="I234" s="3">
        <f>0+(819.9-118.5)+(0+(0.836298-0.12087))+0-0-0</f>
        <v>702.11542799999995</v>
      </c>
      <c r="J234" s="3">
        <f>0+(824-127)+(0+(0.42024-0.06477))+0-0-0</f>
        <v>697.35546999999997</v>
      </c>
      <c r="K234" s="3">
        <f>0+(835.7-138.7)+(0+(0-0))+0-0-0</f>
        <v>697</v>
      </c>
      <c r="L234" s="3">
        <f>0+(915.7-189)+(0+(0.467007-0.09639))+0-0-0</f>
        <v>727.07061700000008</v>
      </c>
      <c r="M234" s="3">
        <f>0+(1004.7-237.7)+(0+(0-0))+0-0-0</f>
        <v>767</v>
      </c>
      <c r="N234" s="3">
        <f>0+(1109-276.3)+(0+(0.56559-0.140913))+0-0-0</f>
        <v>833.12467700000002</v>
      </c>
      <c r="O234" s="3">
        <f>0+(1105.6-241.7)+(0+(-1.691568--0.369801))+0-0-0</f>
        <v>862.57823299999984</v>
      </c>
      <c r="P234" s="3">
        <f>0+(1089.9-219.3)+(0+(0-0))+0-0-0</f>
        <v>870.60000000000014</v>
      </c>
      <c r="Q234" s="3">
        <f>0+(1082.7-208.2)+(0+(-2.760885--0.53091))+0-0-0</f>
        <v>872.27002500000003</v>
      </c>
      <c r="R234" s="3">
        <f>5.7+(1076.5-234.1)+(0+(0-0))+0-0-0</f>
        <v>848.1</v>
      </c>
      <c r="S234" s="3">
        <f>121.1+(902-188)+(0+(0-0))+0-0-0</f>
        <v>835.1</v>
      </c>
      <c r="T234" s="3">
        <f>121.3+(893.4-176.5)+(0.061863+(0.455634-0.090015))+0-0-0</f>
        <v>838.62748199999999</v>
      </c>
      <c r="U234" s="3">
        <f>48.3+(967.3-173.5)+(0+(0-0))+0-0-0</f>
        <v>842.09999999999991</v>
      </c>
      <c r="V234" s="3">
        <f>45.1+(987.8-191.8)+(0.046002+(1.007556-0.195636))+0-0-0</f>
        <v>841.95792200000005</v>
      </c>
      <c r="W234" s="3">
        <f>73.9+(996.7-155.1)+(0.037689+(0.508317-0.079101))+0-0-0</f>
        <v>915.966905</v>
      </c>
      <c r="X234" s="3">
        <f>125.2+(1006.7-190.6)+(-0.191556+(-1.540251--0.291618))+0-0-0</f>
        <v>939.85981100000004</v>
      </c>
      <c r="Y234" s="3">
        <f>127+(979.2-187)+(-0.32385+(-2.49696--0.47685))+0-0-0</f>
        <v>916.85604000000001</v>
      </c>
      <c r="Z234" s="3">
        <f>127.6+(962-194.4)+(-0.065076+(-0.49062--0.099144))+0-0-0</f>
        <v>894.74344800000006</v>
      </c>
      <c r="AA234" s="3">
        <f>127.8+(922.9-199.4)+(-0.130356+(-0.941358--0.203388))+0-0-0</f>
        <v>850.43167399999993</v>
      </c>
      <c r="AB234" s="3">
        <f>106.9+(950.6-234.8)+(-0.327114+(-2.908836--0.718488))+0-0-0</f>
        <v>820.18253799999991</v>
      </c>
      <c r="AC234" s="3">
        <f>0+(1010-224.9)+(0+(-2.5755--0.573495))+0-0-0</f>
        <v>783.09799499999997</v>
      </c>
      <c r="AD234">
        <f t="shared" si="3"/>
        <v>19536.050500000001</v>
      </c>
      <c r="AE234" s="3">
        <f>125+(1011.9-197.9)+(0+(0-0))+0-0-0</f>
        <v>939</v>
      </c>
    </row>
    <row r="235" spans="1:31" s="2" customFormat="1" x14ac:dyDescent="0.25">
      <c r="A235">
        <v>89</v>
      </c>
      <c r="B235">
        <v>8</v>
      </c>
      <c r="C235">
        <v>19</v>
      </c>
      <c r="D235">
        <v>5</v>
      </c>
      <c r="E235">
        <v>1</v>
      </c>
      <c r="F235" s="3">
        <f>0+(996.6-251.1)+(0+(-1.524798--0.384183))+0-0-0</f>
        <v>744.35938499999997</v>
      </c>
      <c r="G235" s="3">
        <f>0+(948.1-223.9)+(0+(-0.967062--0.228378))+0-0-0</f>
        <v>723.46131600000001</v>
      </c>
      <c r="H235" s="3">
        <f>0+(900.4-195)+(0+(0-0))+0-0-0</f>
        <v>705.4</v>
      </c>
      <c r="I235" s="3">
        <f>0+(885.5-186.6)+(0+(-1.80642--0.380664))+0-0-0</f>
        <v>697.474244</v>
      </c>
      <c r="J235" s="3">
        <f>0+(881.1-178.5)+(0+(2.246805-0.455175))+0-0-0</f>
        <v>704.39163000000008</v>
      </c>
      <c r="K235" s="3">
        <f>0+(887.2-181.9)+(0+(-1.357416--0.278307))+0-0-0</f>
        <v>704.22089100000005</v>
      </c>
      <c r="L235" s="3">
        <f>0+(911.8-176.7)+(0+(-2.32509--0.450585))+0-0-0</f>
        <v>733.22549499999991</v>
      </c>
      <c r="M235" s="3">
        <f>0+(993-225.5)+(0+(-0.50643--0.115005))+0-0-0</f>
        <v>767.10857499999997</v>
      </c>
      <c r="N235" s="3">
        <f>0+(1124.9-293.3)+(0+(0-0))+0-0-0</f>
        <v>831.60000000000014</v>
      </c>
      <c r="O235" s="3">
        <f>0+(1166.4-295.3)+(0+(0-0))+0-0-0</f>
        <v>871.10000000000014</v>
      </c>
      <c r="P235" s="3">
        <f>0+(1138.5-259.3)+(0+(0.580635-0.132243))+0-0-0</f>
        <v>879.64839200000006</v>
      </c>
      <c r="Q235" s="3">
        <f>0+(1143.9-265.3)+(0+(-3.500334--0.811818))+0-0-0</f>
        <v>875.91148400000009</v>
      </c>
      <c r="R235" s="3">
        <f>0+(1146.8-280)+(0+(-1.169736--0.2856))+0-0-0</f>
        <v>865.91586399999994</v>
      </c>
      <c r="S235" s="3">
        <f>0+(1094.2-249)+(0+(0-0))+0-0-0</f>
        <v>845.2</v>
      </c>
      <c r="T235" s="3">
        <f>0+(1045.8-208.5)+(0+(-1.066716--0.21267))+0-0-0</f>
        <v>836.44595399999992</v>
      </c>
      <c r="U235" s="3">
        <f>0+(1091-250.6)+(0+(-1.66923--0.383418))+0-0-0</f>
        <v>839.11418800000001</v>
      </c>
      <c r="V235" s="3">
        <f>0+(1118.2-279.6)+(0+(0.570282-0.142596))+0-0-0</f>
        <v>839.02768600000002</v>
      </c>
      <c r="W235" s="3">
        <f>0+(1205.2-282)+(0+(0.614652-0.14382))+0-0-0</f>
        <v>923.67083200000002</v>
      </c>
      <c r="X235" s="3">
        <f>0+(1365.5-414.6)+(0+(0-0))+0-0-0</f>
        <v>950.9</v>
      </c>
      <c r="Y235" s="3">
        <f>0+(1288.6-366.6)+(0+(-3.943116--1.121796))+0-0-0</f>
        <v>919.17867999999987</v>
      </c>
      <c r="Z235" s="3">
        <f>0+(1225.1-332.4)+(0+(-1.249602--0.339048))+0-0-0</f>
        <v>891.78944599999988</v>
      </c>
      <c r="AA235" s="3">
        <f>0+(1250.2-395.5)+(0+(0.637602-0.201705))+0-0-0</f>
        <v>855.135897</v>
      </c>
      <c r="AB235" s="3">
        <f>0+(1196-371)+(0+(-2.43984--0.75684))+0-0-0</f>
        <v>823.31700000000001</v>
      </c>
      <c r="AC235" s="3">
        <f>0+(1052.5-264.5)+(0+(-1.610325--0.404685))+0-0-0</f>
        <v>786.79435999999998</v>
      </c>
      <c r="AD235">
        <f t="shared" si="3"/>
        <v>19614.391318999998</v>
      </c>
      <c r="AE235" s="3">
        <f>0+(1418.9-459.5)+(0+(0-0))+0-0-0</f>
        <v>959.40000000000009</v>
      </c>
    </row>
    <row r="236" spans="1:31" s="2" customFormat="1" x14ac:dyDescent="0.25">
      <c r="A236">
        <v>89</v>
      </c>
      <c r="B236">
        <v>8</v>
      </c>
      <c r="C236">
        <v>20</v>
      </c>
      <c r="D236">
        <v>6</v>
      </c>
      <c r="E236">
        <v>1</v>
      </c>
      <c r="F236" s="3">
        <f>0+(889-153.5)+(0+(-0.90678--0.15657))+0-0-0</f>
        <v>734.74978999999996</v>
      </c>
      <c r="G236" s="3">
        <f>0+(864.5-150.1)+(0+(-1.322685--0.229653))+0-0-0</f>
        <v>713.30696799999998</v>
      </c>
      <c r="H236" s="3">
        <f>0+(838.9-135.8)+(0+(-1.283517--0.207774))+0-0-0</f>
        <v>702.02425699999992</v>
      </c>
      <c r="I236" s="3">
        <f>0+(849.5-146.6)+(0+(0.433245-0.074766))+0-0-0</f>
        <v>703.25847899999997</v>
      </c>
      <c r="J236" s="3">
        <f>0+(853.1-151.4)+(0+(1.305243-0.231642))+0-0-0</f>
        <v>702.7736010000001</v>
      </c>
      <c r="K236" s="3">
        <f>0+(872.9-172.4)+(0+(0.890358-0.175848))+0-0-0</f>
        <v>701.21451000000002</v>
      </c>
      <c r="L236" s="3">
        <f>0+(941.8-221.4)+(0+(-0.480318--0.112914))+0-0-0</f>
        <v>720.03259600000001</v>
      </c>
      <c r="M236" s="3">
        <f>0+(979.8-248.2)+(0+(1.499094-0.379746))+0-0-0</f>
        <v>732.71934799999985</v>
      </c>
      <c r="N236" s="3">
        <f>0+(968.6-184.7)+(0+(1.481958-0.282591))+0-0-0</f>
        <v>785.09936700000014</v>
      </c>
      <c r="O236" s="3">
        <f>0+(1077.8-249.7)+(0+(1.099356-0.254694))+0-0-0</f>
        <v>828.94466199999988</v>
      </c>
      <c r="P236" s="3">
        <f>0+(1131.5-286.6)+(0+(1.731195-0.438498))+0-0-0</f>
        <v>846.19269699999995</v>
      </c>
      <c r="Q236" s="3">
        <f>0+(995.8-165.6)+(0+(-1.015716--0.168912))+0-0-0</f>
        <v>829.35319599999991</v>
      </c>
      <c r="R236" s="3">
        <f>0+(911.5-98.1)+(0+(-0.92973--0.100062))+0-0-0</f>
        <v>812.57033200000001</v>
      </c>
      <c r="S236" s="3">
        <f>0+(900.5-132)+(0+(-1.83702--0.26928))+0-0-0</f>
        <v>766.93226000000004</v>
      </c>
      <c r="T236" s="3">
        <f>0+(923.4-148.8)+(0+(-1.883736--0.303552))+0-0-0</f>
        <v>773.01981599999988</v>
      </c>
      <c r="U236" s="3">
        <f>0+(859.6-96.2)+(0+(-1.315188--0.147186))+0-0-0</f>
        <v>762.23199799999998</v>
      </c>
      <c r="V236" s="3">
        <f>0+(900.7-128.5)+(0+(0.918714-0.13107))+0-0-0</f>
        <v>772.98764400000005</v>
      </c>
      <c r="W236" s="3">
        <f>0+(951.8-94)+(0+(-0.485418--0.04794))+0-0-0</f>
        <v>857.3625219999999</v>
      </c>
      <c r="X236" s="3">
        <f>0+(1032.5-153.3)+(0+(-2.632875--0.390915))+0-0-0</f>
        <v>876.9580400000001</v>
      </c>
      <c r="Y236" s="3">
        <f>0+(973.8-120.1)+(0+(-1.489914--0.183753))+0-0-0</f>
        <v>852.39383899999996</v>
      </c>
      <c r="Z236" s="3">
        <f>0+(1017.9-184.9)+(0+(-0.519129--0.094299))+0-0-0</f>
        <v>832.57516999999996</v>
      </c>
      <c r="AA236" s="3">
        <f>0+(1100.3-295.7)+(0+(-1.683459--0.452421))+0-0-0</f>
        <v>803.3689619999999</v>
      </c>
      <c r="AB236" s="3">
        <f>0+(1107.3-328.5)+(0+(-1.694169--0.502605))+0-0-0</f>
        <v>777.60843599999998</v>
      </c>
      <c r="AC236" s="3">
        <f>0+(1049.3-293.7)+(0+(-2.140572--0.599148))+0-0-0</f>
        <v>754.0585759999999</v>
      </c>
      <c r="AD236">
        <f t="shared" si="3"/>
        <v>18641.737065999994</v>
      </c>
      <c r="AE236" s="3">
        <f>0+(1069.8-156.4)+(0+(0-0))+0-0-0</f>
        <v>913.4</v>
      </c>
    </row>
    <row r="237" spans="1:31" s="2" customFormat="1" x14ac:dyDescent="0.25">
      <c r="A237">
        <v>89</v>
      </c>
      <c r="B237">
        <v>8</v>
      </c>
      <c r="C237">
        <v>21</v>
      </c>
      <c r="D237">
        <v>7</v>
      </c>
      <c r="E237">
        <v>1</v>
      </c>
      <c r="F237" s="3">
        <f>0+(848.2-146.7)+(0+(-1.297746--0.224451))+0-0-0</f>
        <v>700.42670499999997</v>
      </c>
      <c r="G237" s="3">
        <f>0+(763.6-82.3)+(0+(-1.168308--0.125919))+0-0-0</f>
        <v>680.25761100000011</v>
      </c>
      <c r="H237" s="3">
        <f>0+(760.2-94.7)+(0+(-0.775404--0.096594))+0-0-0</f>
        <v>664.82119</v>
      </c>
      <c r="I237" s="3">
        <f>0+(736.2-82.3)+(0+(-1.126386--0.125919))+0-0-0</f>
        <v>652.89953300000013</v>
      </c>
      <c r="J237" s="3">
        <f>0+(725.6-81.4)+(0+(-0.370056--0.041514))+0-0-0</f>
        <v>643.87145800000008</v>
      </c>
      <c r="K237" s="3">
        <f>0+(714.3-80.7)+(0+(-0.364293--0.041157))+0-0-0</f>
        <v>633.27686399999993</v>
      </c>
      <c r="L237" s="3">
        <f>0+(744.3-107.6)+(0+(-2.657151--0.384132))+0-0-0</f>
        <v>634.42698099999996</v>
      </c>
      <c r="M237" s="3">
        <f>0+(768.7-142)+(0+(0.392037-0.07242))+0-0-0</f>
        <v>627.01961700000004</v>
      </c>
      <c r="N237" s="3">
        <f>0+(864-211.7)+(0+(-1.32192--0.323901))+0-0-0</f>
        <v>651.30198099999996</v>
      </c>
      <c r="O237" s="3">
        <f>0+(940.9-255)+(0+(-0.959718--0.2601))+0-0-0</f>
        <v>685.20038199999999</v>
      </c>
      <c r="P237" s="3">
        <f>0+(984.9-279.7)+(0+(-0.502299--0.142647))+0-0-0</f>
        <v>704.84034800000006</v>
      </c>
      <c r="Q237" s="3">
        <f>0+(896-180.2)+(0+(-0.45696--0.091902))+0-0-0</f>
        <v>715.43494199999998</v>
      </c>
      <c r="R237" s="3">
        <f>0+(878.4-170.7)+(0+(-1.791936--0.348228))+0-0-0</f>
        <v>706.25629200000003</v>
      </c>
      <c r="S237" s="3">
        <f>0+(809.6-122.8)+(0+(1.651584-0.250512))+0-0-0</f>
        <v>688.20107200000007</v>
      </c>
      <c r="T237" s="3">
        <f>0+(788.7-108.5)+(0+(-1.206711--0.166005))+0-0-0</f>
        <v>679.15929400000005</v>
      </c>
      <c r="U237" s="3">
        <f>0+(751.2-70.3)+(0+(-0.383112--0.035853))+0-0-0</f>
        <v>680.55274100000008</v>
      </c>
      <c r="V237" s="3">
        <f>0+(749.5-79.8)+(0+(-0.382245--0.040698))+0-0-0</f>
        <v>669.35845300000005</v>
      </c>
      <c r="W237" s="3">
        <f>0+(852.8-87.4)+(0+(-1.304784--0.133722))+0-0-0</f>
        <v>764.22893799999997</v>
      </c>
      <c r="X237" s="3">
        <f>0+(1067.3-266.9)+(0+(-3.810261--0.952833))+0-0-0</f>
        <v>797.54257199999995</v>
      </c>
      <c r="Y237" s="3">
        <f>0+(1063.2-274.3)+(0+(-1.626696--0.419679))+0-0-0</f>
        <v>787.69298300000014</v>
      </c>
      <c r="Z237" s="3">
        <f>0+(1039-261.4)+(0+(-2.11956--0.533256))+0-0-0</f>
        <v>776.01369599999998</v>
      </c>
      <c r="AA237" s="3">
        <f>0+(1044.9-280.8)+(0+(-1.065798--0.286416))+0-0-0</f>
        <v>763.32061800000008</v>
      </c>
      <c r="AB237" s="3">
        <f>0+(1022.2-278.8)+(0+(-1.563966--0.426564))+0-0-0</f>
        <v>742.26259800000014</v>
      </c>
      <c r="AC237" s="3">
        <f>0+(911.5-214.6)+(0+(-1.394595--0.328338))+0-0-0</f>
        <v>695.83374300000003</v>
      </c>
      <c r="AD237">
        <f t="shared" si="3"/>
        <v>16744.200612000001</v>
      </c>
      <c r="AE237" s="3">
        <f>0+(1112.2-288.5)+(0+(0-0))+0-0-0</f>
        <v>823.7</v>
      </c>
    </row>
    <row r="238" spans="1:31" s="2" customFormat="1" x14ac:dyDescent="0.25">
      <c r="A238">
        <v>89</v>
      </c>
      <c r="B238">
        <v>8</v>
      </c>
      <c r="C238">
        <v>22</v>
      </c>
      <c r="D238">
        <v>1</v>
      </c>
      <c r="E238">
        <v>1</v>
      </c>
      <c r="F238" s="3">
        <f>0+(891.3-232)+(0+(0.909126-0.23664))+0-0-0</f>
        <v>659.972486</v>
      </c>
      <c r="G238" s="3">
        <f>0+(821.3-177.2)+(0+(0-0))+0-0-0</f>
        <v>644.09999999999991</v>
      </c>
      <c r="H238" s="3">
        <f>0+(788.8-161.5)+(0+(0.402288-0.082365))+0-0-0</f>
        <v>627.61992299999997</v>
      </c>
      <c r="I238" s="3">
        <f>0+(792-164.9)+(0+(0.80784-0.168198))+0-0-0</f>
        <v>627.739642</v>
      </c>
      <c r="J238" s="3">
        <f>0+(785.7-161.5)+(0+(0.801414-0.16473))+0-0-0</f>
        <v>624.83668399999999</v>
      </c>
      <c r="K238" s="3">
        <f>0+(817.5-176.4)+(0+(-0.416925--0.089964))+0-0-0</f>
        <v>640.77303900000004</v>
      </c>
      <c r="L238" s="3">
        <f>0+(870.4-189.9)+(0+(-1.331712--0.290547))+0-0-0</f>
        <v>679.45883500000002</v>
      </c>
      <c r="M238" s="3">
        <f>0+(983.2-238.2)+(0+(-0.501432--0.121482))+0-0-0</f>
        <v>744.62004999999999</v>
      </c>
      <c r="N238" s="3">
        <f>0+(1032.8-226.5)+(0+(-1.053456--0.23103))+0-0-0</f>
        <v>805.477574</v>
      </c>
      <c r="O238" s="3">
        <f>0+(1071.3-223)+(0+(-1.639089--0.34119))+0-0-0</f>
        <v>847.00210099999993</v>
      </c>
      <c r="P238" s="3">
        <f>0+(1036.6-181.2)+(0+(0-0))+0-0-0</f>
        <v>855.39999999999986</v>
      </c>
      <c r="Q238" s="3">
        <f>0+(1054.9-191.9)+(0+(-0.537999--0.097869))+0-0-0</f>
        <v>862.55987000000016</v>
      </c>
      <c r="R238" s="3">
        <f>0+(1038.6-189.1)+(0+(-2.118744--0.385764))+0-0-0</f>
        <v>847.76701999999989</v>
      </c>
      <c r="S238" s="3">
        <f>0+(1064.8-232)+(0+(-1.086096--0.23664))+0-0-0</f>
        <v>831.95054399999992</v>
      </c>
      <c r="T238" s="3">
        <f>0+(1034.7-204.2)+(0+(-0.527697--0.104142))+0-0-0</f>
        <v>830.07644500000004</v>
      </c>
      <c r="U238" s="3">
        <f>0+(1012.3-202.1)+(0+(0.516273-0.103071))+0-0-0</f>
        <v>810.61320199999989</v>
      </c>
      <c r="V238" s="3">
        <f>0+(1019.6-188.2)+(0+(1.039992-0.191964))+0-0-0</f>
        <v>832.24802800000009</v>
      </c>
      <c r="W238" s="3">
        <f>0+(1162.9-238.4)+(0+(0-0))+0-0-0</f>
        <v>924.50000000000011</v>
      </c>
      <c r="X238" s="3">
        <f>0+(1307.9-358.2)+(0+(-0.667029--0.182682))+0-0-0</f>
        <v>949.21565300000009</v>
      </c>
      <c r="Y238" s="3">
        <f>0+(1222-310.3)+(0+(-2.49288--0.633012))+0-0-0</f>
        <v>909.84013200000004</v>
      </c>
      <c r="Z238" s="3">
        <f>0+(1217.8-326.9)+(0+(-0.621078--0.166719))+0-0-0</f>
        <v>890.44564100000002</v>
      </c>
      <c r="AA238" s="3">
        <f>0+(1247.4-386.2)+(0+(-1.908522--0.590886))+0-0-0</f>
        <v>859.88236400000005</v>
      </c>
      <c r="AB238" s="3">
        <f>0+(1187.4-355.7)+(0+(-3.02787--0.907035))+0-0-0</f>
        <v>829.57916499999999</v>
      </c>
      <c r="AC238" s="3">
        <f>0+(1107.8-329)+(0+(-2.82489--0.83895))+0-0-0</f>
        <v>776.81405999999993</v>
      </c>
      <c r="AD238">
        <f t="shared" si="3"/>
        <v>18912.492458000001</v>
      </c>
      <c r="AE238" s="3">
        <f>0+(1300.8-342)+(0+(0-0))+0-0-0</f>
        <v>958.8</v>
      </c>
    </row>
    <row r="239" spans="1:31" s="2" customFormat="1" x14ac:dyDescent="0.25">
      <c r="A239">
        <v>89</v>
      </c>
      <c r="B239">
        <v>8</v>
      </c>
      <c r="C239">
        <v>23</v>
      </c>
      <c r="D239">
        <v>2</v>
      </c>
      <c r="E239">
        <v>1</v>
      </c>
      <c r="F239" s="3">
        <f>0+(1038.7-298.8)+(0+(-2.118948--0.609552))+0-0-0</f>
        <v>738.39060400000005</v>
      </c>
      <c r="G239" s="3">
        <f>0+(921.8-207.3)+(0+(-2.35059--0.528615))+0-0-0</f>
        <v>712.67802500000005</v>
      </c>
      <c r="H239" s="3">
        <f>0+(839.6-141)+(0+(-0.428196--0.07191))+0-0-0</f>
        <v>698.24371400000007</v>
      </c>
      <c r="I239" s="3">
        <f>0+(805.9-111.8)+(0+(-0.822018--0.114036))+0-0-0</f>
        <v>693.39201800000001</v>
      </c>
      <c r="J239" s="3">
        <f>0+(805-115.3)+(0+(-0.8211--0.117606))+0-0-0</f>
        <v>688.99650600000007</v>
      </c>
      <c r="K239" s="3">
        <f>0+(819.2-129.5)+(0+(1.253376-0.198135))+0-0-0</f>
        <v>690.75524100000007</v>
      </c>
      <c r="L239" s="3">
        <f>0+(905.9-186.1)+(0+(0-0))+0-0-0</f>
        <v>719.8</v>
      </c>
      <c r="M239" s="3">
        <f>0+(907.5-149.9)+(0+(0.462825-0.076449))+0-0-0</f>
        <v>757.98637600000006</v>
      </c>
      <c r="N239" s="3">
        <f>0+(992.5-174.2)+(0+(-2.0247--0.355368))+0-0-0</f>
        <v>816.6306679999999</v>
      </c>
      <c r="O239" s="3">
        <f>0+(1082.3-236.3)+(0+(0-0))+0-0-0</f>
        <v>846</v>
      </c>
      <c r="P239" s="3">
        <f>0+(1116.7-251.7)+(0+(-0.569517--0.128367))+0-0-0</f>
        <v>864.55885000000001</v>
      </c>
      <c r="Q239" s="3">
        <f>0+(1117.4-249.3)+(0+(-1.709622--0.381429))+0-0-0</f>
        <v>866.77180700000008</v>
      </c>
      <c r="R239" s="3">
        <f>0+(1130.1-275)+(0+(-2.305404--0.561))+0-0-0</f>
        <v>853.35559599999988</v>
      </c>
      <c r="S239" s="3">
        <f>0+(1063.3-237.4)+(0+(-1.084566--0.242148))+0-0-0</f>
        <v>825.05758200000002</v>
      </c>
      <c r="T239" s="3">
        <f>0+(1021.5-190.1)+(0+(-0.520965--0.096951))+0-0-0</f>
        <v>830.97598599999992</v>
      </c>
      <c r="U239" s="3">
        <f>0+(1041-214.4)+(0+(-1.06182--0.218688))+0-0-0</f>
        <v>825.75686800000005</v>
      </c>
      <c r="V239" s="3">
        <f>0+(1067.3-228.2)+(0+(0-0))+0-0-0</f>
        <v>839.09999999999991</v>
      </c>
      <c r="W239" s="3">
        <f>0+(1203.3-280)+(0+(1.841049-0.4284))+0-0-0</f>
        <v>924.71264899999994</v>
      </c>
      <c r="X239" s="3">
        <f>0+(1309.1-363.7)+(0+(-2.670564--0.741948))+0-0-0</f>
        <v>943.47138399999983</v>
      </c>
      <c r="Y239" s="3">
        <f>0+(1266.4-338.1)+(0+(-3.22932--0.862155))+0-0-0</f>
        <v>925.93283500000007</v>
      </c>
      <c r="Z239" s="3">
        <f>0+(1189-297.5)+(0+(-1.21278--0.30345))+0-0-0</f>
        <v>890.59067000000005</v>
      </c>
      <c r="AA239" s="3">
        <f>0+(1193.8-334.1)+(0+(-1.826514--0.511173))+0-0-0</f>
        <v>858.38465899999994</v>
      </c>
      <c r="AB239" s="3">
        <f>0+(1138-305.9)+(0+(-2.32152--0.624036))+0-0-0</f>
        <v>830.40251599999999</v>
      </c>
      <c r="AC239" s="3">
        <f>0+(979.7-204)+(0+(-2.498235--0.5202))+0-0-0</f>
        <v>773.72196500000007</v>
      </c>
      <c r="AD239">
        <f t="shared" si="3"/>
        <v>19415.666518999995</v>
      </c>
      <c r="AE239" s="3">
        <f>0+(1310-370.9)+(0+(0-0))+0-0-0</f>
        <v>939.1</v>
      </c>
    </row>
    <row r="240" spans="1:31" s="2" customFormat="1" x14ac:dyDescent="0.25">
      <c r="A240">
        <v>89</v>
      </c>
      <c r="B240">
        <v>8</v>
      </c>
      <c r="C240">
        <v>24</v>
      </c>
      <c r="D240">
        <v>3</v>
      </c>
      <c r="E240">
        <v>1</v>
      </c>
      <c r="F240" s="3">
        <f>0+(844.2-116.2)+(0+(-2.15271--0.29631))+0-0-0</f>
        <v>726.14359999999999</v>
      </c>
      <c r="G240" s="3">
        <f>0+(793.8-76.9)+(0+(-1.619352--0.156876))+0-0-0</f>
        <v>715.43752399999994</v>
      </c>
      <c r="H240" s="3">
        <f>0+(756.6-58.6)+(0+(-1.157598--0.089658))+0-0-0</f>
        <v>696.93205999999998</v>
      </c>
      <c r="I240" s="3">
        <f>0+(774.4-77.1)+(0+(0-0))+0-0-0</f>
        <v>697.3</v>
      </c>
      <c r="J240" s="3">
        <f>0+(768.8-65.2)+(0+(-0.392088--0.033252))+0-0-0</f>
        <v>703.24116399999991</v>
      </c>
      <c r="K240" s="3">
        <f>0+(743.9-43.1)+(0+(1.138167-0.065943))+0-0-0</f>
        <v>701.87222399999996</v>
      </c>
      <c r="L240" s="3">
        <f>0+(788.7-64.8)+(0+(-0.402237--0.033048))+0-0-0</f>
        <v>723.53081100000009</v>
      </c>
      <c r="M240" s="3">
        <f>0+(848-87.1)+(0+(-0.86496--0.088842))+0-0-0</f>
        <v>760.12388199999998</v>
      </c>
      <c r="N240" s="3">
        <f>0+(949.9-121.4)+(0+(-0.484449--0.061914))+0-0-0</f>
        <v>828.07746499999996</v>
      </c>
      <c r="O240" s="3">
        <f>0+(1009-149.6)+(0+(-0.51459--0.076296))+0-0-0</f>
        <v>858.96170599999994</v>
      </c>
      <c r="P240" s="3">
        <f>0+(1037.3-162.1)+(0+(-1.058046--0.165342))+0-0-0</f>
        <v>874.30729599999995</v>
      </c>
      <c r="Q240" s="3">
        <f>0+(1053.9-172.9)+(0+(-2.149956--0.352716))+0-0-0</f>
        <v>879.20276000000013</v>
      </c>
      <c r="R240" s="3">
        <f>0+(1039.9-162.7)+(0+(-2.651745--0.414885))+0-0-0</f>
        <v>874.96314000000007</v>
      </c>
      <c r="S240" s="3">
        <f>0+(1039.3-204.4)+(0+(-0.530043--0.104244))+0-0-0</f>
        <v>834.47420099999999</v>
      </c>
      <c r="T240" s="3">
        <f>0+(1029.3-204.2)+(0+(-1.049886--0.208284))+0-0-0</f>
        <v>824.25839799999994</v>
      </c>
      <c r="U240" s="3">
        <f>0+(1052.6-211.9)+(0+(-0.536826--0.108069))+0-0-0</f>
        <v>840.27124299999991</v>
      </c>
      <c r="V240" s="3">
        <f>0+(1034.2-193.3)+(0+(0-0))+0-0-0</f>
        <v>840.90000000000009</v>
      </c>
      <c r="W240" s="3">
        <f>0+(1132.3-177.5)+(0+(-1.732419--0.271575))+0-0-0</f>
        <v>953.339156</v>
      </c>
      <c r="X240" s="3">
        <f>0+(1210.3-237.6)+(0+(-3.086265--0.60588))+0-0-0</f>
        <v>970.21961499999998</v>
      </c>
      <c r="Y240" s="3">
        <f>0+(1149.8-224.4)+(0+(-3.518388--0.686664))+0-0-0</f>
        <v>922.56827599999997</v>
      </c>
      <c r="Z240" s="3">
        <f>0+(1103.3-203.9)+(0+(-1.688049--0.311967))+0-0-0</f>
        <v>898.02391799999998</v>
      </c>
      <c r="AA240" s="3">
        <f>0+(1141.4-271)+(0+(-2.91057--0.69105))+0-0-0</f>
        <v>868.1804800000001</v>
      </c>
      <c r="AB240" s="3">
        <f>0+(1124.4-285.7)+(0+(-2.293776--0.582828))+0-0-0</f>
        <v>836.98905200000002</v>
      </c>
      <c r="AC240" s="3">
        <f>0+(1025.5-238.1)+(0+(-2.615025--0.607155))+0-0-0</f>
        <v>785.39212999999995</v>
      </c>
      <c r="AD240">
        <f t="shared" si="3"/>
        <v>19614.710101000001</v>
      </c>
      <c r="AE240" s="3">
        <f>0+(1262.3-279.8)+(0+(0-0))+0-0-0</f>
        <v>982.5</v>
      </c>
    </row>
    <row r="241" spans="1:31" s="2" customFormat="1" x14ac:dyDescent="0.25">
      <c r="A241">
        <v>89</v>
      </c>
      <c r="B241">
        <v>8</v>
      </c>
      <c r="C241">
        <v>25</v>
      </c>
      <c r="D241">
        <v>4</v>
      </c>
      <c r="E241">
        <v>1</v>
      </c>
      <c r="F241" s="3">
        <f>0+(923.1-172.1)+(0+(-2.353905--0.438855))+0-0-0</f>
        <v>749.08495000000005</v>
      </c>
      <c r="G241" s="3">
        <f>0+(885.7-162.3)+(0+(-0.451707--0.082773))+0-0-0</f>
        <v>723.03106600000012</v>
      </c>
      <c r="H241" s="3">
        <f>0+(828-124.6)+(0+(-2.1114--0.31773))+0-0-0</f>
        <v>701.60632999999996</v>
      </c>
      <c r="I241" s="3">
        <f>0+(794.5-92)+(0+(0.81039-0.09384))+0-0-0</f>
        <v>703.21654999999998</v>
      </c>
      <c r="J241" s="3">
        <f>0+(785.5-86.4)+(0+(0-0))+0-0-0</f>
        <v>699.1</v>
      </c>
      <c r="K241" s="3">
        <f>0+(764.2-66.9)+(0+(-0.389742--0.034119))+0-0-0</f>
        <v>696.94437700000003</v>
      </c>
      <c r="L241" s="3">
        <f>0+(832.2-106)+(0+(0.424422-0.05406))+0-0-0</f>
        <v>726.57036200000005</v>
      </c>
      <c r="M241" s="3">
        <f>0+(829.7-73)+(0+(0.423147-0.03723))+0-0-0</f>
        <v>757.08591699999999</v>
      </c>
      <c r="N241" s="3">
        <f>0+(882.1-69.4)+(0+(1.349613-0.106182))+0-0-0</f>
        <v>813.94343100000003</v>
      </c>
      <c r="O241" s="3">
        <f>0+(981.8-105.5)+(0+(-1.502154--0.161415))+0-0-0</f>
        <v>874.95926099999997</v>
      </c>
      <c r="P241" s="3">
        <f>0+(1038.8-171.4)+(0+(0-0))+0-0-0</f>
        <v>867.4</v>
      </c>
      <c r="Q241" s="3">
        <f>0+(1110.1-235.4)+(0+(-1.698453--0.360162))+0-0-0</f>
        <v>873.36170899999991</v>
      </c>
      <c r="R241" s="3">
        <f>0+(1020.6-155.4)+(0+(-2.082024--0.317016))+0-0-0</f>
        <v>863.43499200000008</v>
      </c>
      <c r="S241" s="3">
        <f>0+(967.8-129.7)+(0+(-0.493578--0.066147))+0-0-0</f>
        <v>837.67256899999995</v>
      </c>
      <c r="T241" s="3">
        <f>0+(898.9-67.1)+(0+(-1.375317--0.102663))+0-0-0</f>
        <v>830.52734599999997</v>
      </c>
      <c r="U241" s="3">
        <f>0+(910.1-80.9)+(0+(-2.320755--0.206295))+0-0-0</f>
        <v>827.08554000000004</v>
      </c>
      <c r="V241" s="3">
        <f>0+(923.1-86.7)+(0+(-1.883124--0.176868))+0-0-0</f>
        <v>834.69374399999992</v>
      </c>
      <c r="W241" s="3">
        <f>0+(969.5-52.9)+(0+(0-0))+0-0-0</f>
        <v>916.6</v>
      </c>
      <c r="X241" s="3">
        <f>0+(1022.6-94.6)+(0+(-2.086104--0.192984))+0-0-0</f>
        <v>926.10688000000005</v>
      </c>
      <c r="Y241" s="3">
        <f>0+(1036.7-131.4)+(0+(-3.172302--0.402084))+0-0-0</f>
        <v>902.52978200000007</v>
      </c>
      <c r="Z241" s="3">
        <f>0+(1018.3-142.4)+(0+(-1.038666--0.145248))+0-0-0</f>
        <v>875.00658199999998</v>
      </c>
      <c r="AA241" s="3">
        <f>0+(1039.6-194.4)+(0+(-1.590588--0.297432))+0-0-0</f>
        <v>843.90684399999998</v>
      </c>
      <c r="AB241" s="3">
        <f>0+(996-176)+(0+(-2.5398--0.4488))+0-0-0</f>
        <v>817.90899999999999</v>
      </c>
      <c r="AC241" s="3">
        <f>0+(920.8-142.7)+(0+(0-0))+0-0-0</f>
        <v>778.09999999999991</v>
      </c>
      <c r="AD241">
        <f t="shared" si="3"/>
        <v>19439.877232000003</v>
      </c>
      <c r="AE241" s="3">
        <f>0+(1028.4-92.1)+(0+(0-0))+0-0-0</f>
        <v>936.30000000000007</v>
      </c>
    </row>
    <row r="242" spans="1:31" s="2" customFormat="1" x14ac:dyDescent="0.25">
      <c r="A242">
        <v>89</v>
      </c>
      <c r="B242">
        <v>8</v>
      </c>
      <c r="C242">
        <v>26</v>
      </c>
      <c r="D242">
        <v>5</v>
      </c>
      <c r="E242">
        <v>3</v>
      </c>
      <c r="F242" s="3">
        <f>0+(875.6-136.6)+(0+(-1.786224--0.278664))+0-0-0</f>
        <v>737.49243999999999</v>
      </c>
      <c r="G242" s="3">
        <f>0+(783.1-81.7)+(0+(0-0))+0-0-0</f>
        <v>701.4</v>
      </c>
      <c r="H242" s="3">
        <f>0+(735.5-55.4)+(0+(-1.875525--0.14127))+0-0-0</f>
        <v>678.36574500000006</v>
      </c>
      <c r="I242" s="3">
        <f>0+(707.5-41.5)+(0+(-1.4433--0.08466))+0-0-0</f>
        <v>664.64135999999996</v>
      </c>
      <c r="J242" s="3">
        <f>0+(712.8-55.2)+(0+(1.090584-0.084456))+0-0-0</f>
        <v>658.6061279999999</v>
      </c>
      <c r="K242" s="3">
        <f>0+(727.1-71.3)+(0+(-0.370821--0.036363))+0-0-0</f>
        <v>655.46554200000003</v>
      </c>
      <c r="L242" s="3">
        <f>0+(766-108.7)+(0+(0.39066-0.055437))+0-0-0</f>
        <v>657.635223</v>
      </c>
      <c r="M242" s="3">
        <f>0+(773.1-125.9)+(0+(-0.788562--0.128418))+0-0-0</f>
        <v>646.5398560000001</v>
      </c>
      <c r="N242" s="3">
        <f>0+(810.7-132.5)+(0+(0-0))+0-0-0</f>
        <v>678.2</v>
      </c>
      <c r="O242" s="3">
        <f>0+(866.3-154.8)+(0+(-1.767252--0.315792))+0-0-0</f>
        <v>710.04854</v>
      </c>
      <c r="P242" s="3">
        <f>0+(922-196.1)+(0+(-1.41066--0.300033))+0-0-0</f>
        <v>724.78937299999996</v>
      </c>
      <c r="Q242" s="3">
        <f>0+(916-186.1)+(0+(-1.86864--0.379644))+0-0-0</f>
        <v>728.41100399999993</v>
      </c>
      <c r="R242" s="3">
        <f>0+(928.9-211.3)+(0+(-0.947478--0.215526))+0-0-0</f>
        <v>716.86804799999993</v>
      </c>
      <c r="S242" s="3">
        <f>0+(875.7-183.2)+(0+(-0.893214--0.186864))+0-0-0</f>
        <v>691.79364999999996</v>
      </c>
      <c r="T242" s="3">
        <f>0+(838.7-152.7)+(0+(-0.427737--0.077877))+0-0-0</f>
        <v>685.65013999999996</v>
      </c>
      <c r="U242" s="3">
        <f>0+(846.7-149.6)+(0+(-0.431817--0.076296))+0-0-0</f>
        <v>696.74447900000007</v>
      </c>
      <c r="V242" s="3">
        <f>0+(814.3-106.2)+(0+(-1.661172--0.216648))+0-0-0</f>
        <v>706.65547599999991</v>
      </c>
      <c r="W242" s="3">
        <f>0+(863-76)+(0+(-1.32039--0.11628))+0-0-0</f>
        <v>785.79588999999999</v>
      </c>
      <c r="X242" s="3">
        <f>0+(932.3-115.5)+(0+(-2.377365--0.294525))+0-0-0</f>
        <v>814.71715999999992</v>
      </c>
      <c r="Y242" s="3">
        <f>0+(900.7-99.3)+(0+(-0.918714--0.101286))+0-0-0</f>
        <v>800.58257200000014</v>
      </c>
      <c r="Z242" s="3">
        <f>0+(882.5-100.4)+(0+(-0.90015--0.102408))+0-0-0</f>
        <v>781.30225800000005</v>
      </c>
      <c r="AA242" s="3">
        <f>0+(874.1-111.7)+(0+(-1.783164--0.227868))+0-0-0</f>
        <v>760.84470399999998</v>
      </c>
      <c r="AB242" s="3">
        <f>0+(828.7-87.1)+(0+(-2.113185--0.222105))+0-0-0</f>
        <v>739.70892000000003</v>
      </c>
      <c r="AC242" s="3">
        <f>0+(855.6-135.8)+(0+(-1.745424--0.277032))+0-0-0</f>
        <v>718.33160799999996</v>
      </c>
      <c r="AD242">
        <f t="shared" si="3"/>
        <v>17140.590115999999</v>
      </c>
      <c r="AE242" s="3">
        <f>0+(934.5-115.9)+(0+(0-0))+0-0-0</f>
        <v>818.6</v>
      </c>
    </row>
    <row r="243" spans="1:31" s="2" customFormat="1" x14ac:dyDescent="0.25">
      <c r="A243">
        <v>89</v>
      </c>
      <c r="B243">
        <v>8</v>
      </c>
      <c r="C243">
        <v>27</v>
      </c>
      <c r="D243">
        <v>6</v>
      </c>
      <c r="E243">
        <v>6</v>
      </c>
      <c r="F243" s="3">
        <f>0+(822.2-134.7)+(0+(-2.09661--0.343485))+0-0-0</f>
        <v>685.74687500000005</v>
      </c>
      <c r="G243" s="3">
        <f>0+(753.9-104.8)+(0+(-1.537956--0.213792))+0-0-0</f>
        <v>647.77583600000003</v>
      </c>
      <c r="H243" s="3">
        <f>0+(700-74.9)+(0+(-1.428--0.152796))+0-0-0</f>
        <v>623.82479599999999</v>
      </c>
      <c r="I243" s="3">
        <f>0+(687.4-61.6)+(0+(0.701148-0.062832))+0-0-0</f>
        <v>626.43831599999999</v>
      </c>
      <c r="J243" s="3">
        <f>0+(684.3-60.9)+(0+(-1.046979--0.093177))+0-0-0</f>
        <v>622.44619799999998</v>
      </c>
      <c r="K243" s="3">
        <f>0+(682.4-52.3)+(0+(-0.348024--0.026673))+0-0-0</f>
        <v>629.77864899999997</v>
      </c>
      <c r="L243" s="3">
        <f>0+(736.9-94.7)+(0+(-2.254914--0.289782))+0-0-0</f>
        <v>640.23486799999989</v>
      </c>
      <c r="M243" s="3">
        <f>0+(761.8-101.6)+(0+(0-0))+0-0-0</f>
        <v>660.19999999999993</v>
      </c>
      <c r="N243" s="3">
        <f>0+(866.4-144)+(0+(-0.883728--0.14688))+0-0-0</f>
        <v>721.66315199999997</v>
      </c>
      <c r="O243" s="3">
        <f>0+(900.9-139.2)+(0+(0.918918-0.141984))+0-0-0</f>
        <v>762.47693400000003</v>
      </c>
      <c r="P243" s="3">
        <f>0+(919.6-135.9)+(0+(-1.875984--0.277236))+0-0-0</f>
        <v>782.10125200000004</v>
      </c>
      <c r="Q243" s="3">
        <f>0+(914.6-118.2)+(0+(-1.865784--0.241128))+0-0-0</f>
        <v>794.77534400000002</v>
      </c>
      <c r="R243" s="3">
        <f>0+(890.6-102.4)+(0+(-1.362618--0.156672))+0-0-0</f>
        <v>786.99405400000001</v>
      </c>
      <c r="S243" s="3">
        <f>0+(888.3-132.2)+(0+(-1.359099--0.202266))+0-0-0</f>
        <v>754.9431669999999</v>
      </c>
      <c r="T243" s="3">
        <f>0+(862.7-112.8)+(0+(0.439977-0.057528))+0-0-0</f>
        <v>750.28244900000004</v>
      </c>
      <c r="U243" s="3">
        <f>0+(850.3-102)+(0+(0.433653-0.05202))+0-0-0</f>
        <v>748.68163299999992</v>
      </c>
      <c r="V243" s="3">
        <f>0+(842.5-82.5)+(0+(0-0))+0-0-0</f>
        <v>760</v>
      </c>
      <c r="W243" s="3">
        <f>0+(923.7-87.7)+(0+(0-0))+0-0-0</f>
        <v>836</v>
      </c>
      <c r="X243" s="3">
        <f>0+(980.9-121.6)+(0+(-1.500777--0.186048))+0-0-0</f>
        <v>857.9852709999999</v>
      </c>
      <c r="Y243" s="3">
        <f>0+(937.1-99.1)+(0+(-0.955842--0.101082))+0-0-0</f>
        <v>837.14523999999994</v>
      </c>
      <c r="Z243" s="3">
        <f>0+(897.3-77.1)+(0+(-0.457623--0.039321))+0-0-0</f>
        <v>819.78169799999989</v>
      </c>
      <c r="AA243" s="3">
        <f>0+(891.6-106.6)+(0+(-0.454716--0.054366))+0-0-0</f>
        <v>784.59965</v>
      </c>
      <c r="AB243" s="3">
        <f>0+(862.1-97.3)+(0+(-1.319013--0.148869))+0-0-0</f>
        <v>763.62985600000002</v>
      </c>
      <c r="AC243" s="3">
        <f>0+(805.3-71.3)+(0+(-0.821406--0.072726))+0-0-0</f>
        <v>733.25131999999996</v>
      </c>
      <c r="AD243">
        <f t="shared" si="3"/>
        <v>17630.756558000001</v>
      </c>
      <c r="AE243" s="3">
        <f>0+(990.9-129.2)+(0+(0-0))+0-0-0</f>
        <v>861.7</v>
      </c>
    </row>
    <row r="244" spans="1:31" s="2" customFormat="1" x14ac:dyDescent="0.25">
      <c r="A244">
        <v>89</v>
      </c>
      <c r="B244">
        <v>8</v>
      </c>
      <c r="C244">
        <v>28</v>
      </c>
      <c r="D244">
        <v>7</v>
      </c>
      <c r="E244">
        <v>1</v>
      </c>
      <c r="F244" s="3">
        <f>0+(753.5-76.7)+(0+(-1.53714--0.156468))+0-0-0</f>
        <v>675.41932799999995</v>
      </c>
      <c r="G244" s="3">
        <f>0+(704.8-53.2)+(0+(-1.79724--0.13566))+0-0-0</f>
        <v>649.93841999999995</v>
      </c>
      <c r="H244" s="3">
        <f>0+(674.1-37)+(0+(-1.718955--0.09435))+0-0-0</f>
        <v>635.47539500000005</v>
      </c>
      <c r="I244" s="3">
        <f>0+(658.3-28.3)+(0+(-0.335733--0.014433))+0-0-0</f>
        <v>629.67870000000005</v>
      </c>
      <c r="J244" s="3">
        <f>0+(651-25)+(0+(0.66402-0.0255))+0-0-0</f>
        <v>626.63851999999997</v>
      </c>
      <c r="K244" s="3">
        <f>0+(646.6-24.4)+(0+(-0.329766--0.012444))+0-0-0</f>
        <v>621.88267800000006</v>
      </c>
      <c r="L244" s="3">
        <f>0+(674.8-50.6)+(0+(-1.376592--0.103224))+0-0-0</f>
        <v>622.92663199999993</v>
      </c>
      <c r="M244" s="3">
        <f>0+(707.8-91.5)+(0+(1.082934-0.139995))+0-0-0</f>
        <v>617.24293899999998</v>
      </c>
      <c r="N244" s="3">
        <f>0+(770.9-122.4)+(0+(0-0))+0-0-0</f>
        <v>648.5</v>
      </c>
      <c r="O244" s="3">
        <f>0+(807.5-127.4)+(0+(-0.411825--0.064974))+0-0-0</f>
        <v>679.75314900000001</v>
      </c>
      <c r="P244" s="3">
        <f>0+(806-101.1)+(0+(0.41106-0.051561))+0-0-0</f>
        <v>705.25949900000001</v>
      </c>
      <c r="Q244" s="3">
        <f>0+(806.5-92.3)+(0+(0.411315-0.047073))+0-0-0</f>
        <v>714.56424200000004</v>
      </c>
      <c r="R244" s="3">
        <f>0+(800.3-95)+(0+(-2.040765--0.24225))+0-0-0</f>
        <v>703.501485</v>
      </c>
      <c r="S244" s="3">
        <f>0+(771.4-95)+(0+(-1.180242--0.14535))+0-0-0</f>
        <v>675.36510799999996</v>
      </c>
      <c r="T244" s="3">
        <f>0+(764.7-90.1)+(0+(0.389997-0.045951))+0-0-0</f>
        <v>674.94404600000007</v>
      </c>
      <c r="U244" s="3">
        <f>0+(751.4-88.3)+(0+(-1.532856--0.180132))+0-0-0</f>
        <v>661.74727600000006</v>
      </c>
      <c r="V244" s="3">
        <f>0+(713-44.9)+(0+(0.36363-0.022899))+0-0-0</f>
        <v>668.44073100000003</v>
      </c>
      <c r="W244" s="3">
        <f>0+(825.9-62.7)+(0+(0-0))+0-0-0</f>
        <v>763.19999999999993</v>
      </c>
      <c r="X244" s="3">
        <f>0+(910.7-115.3)+(0+(-1.857828--0.235212))+0-0-0</f>
        <v>793.7773840000001</v>
      </c>
      <c r="Y244" s="3">
        <f>0+(896.1-117.4)+(0+(-0.914022--0.119748))+0-0-0</f>
        <v>777.90572600000007</v>
      </c>
      <c r="Z244" s="3">
        <f>0+(868.8-98.5)+(0+(-0.886176--0.10047))+0-0-0</f>
        <v>769.51429399999995</v>
      </c>
      <c r="AA244" s="3">
        <f>0+(890.9-139.3)+(0+(-0.454359--0.071043))+0-0-0</f>
        <v>751.21668399999987</v>
      </c>
      <c r="AB244" s="3">
        <f>0+(835.3-115)+(0+(-1.278009--0.17595))+0-0-0</f>
        <v>719.1979409999999</v>
      </c>
      <c r="AC244" s="3">
        <f>0+(844.1-155.8)+(0+(0-0))+0-0-0</f>
        <v>688.3</v>
      </c>
      <c r="AD244">
        <f t="shared" si="3"/>
        <v>16474.390177000005</v>
      </c>
      <c r="AE244" s="3">
        <f>0+(921.9-111.5)+(0+(0-0))+0-0-0</f>
        <v>810.4</v>
      </c>
    </row>
    <row r="245" spans="1:31" s="2" customFormat="1" x14ac:dyDescent="0.25">
      <c r="A245">
        <v>89</v>
      </c>
      <c r="B245">
        <v>8</v>
      </c>
      <c r="C245">
        <v>29</v>
      </c>
      <c r="D245">
        <v>1</v>
      </c>
      <c r="E245">
        <v>1</v>
      </c>
      <c r="F245" s="3">
        <f>0+(687.2-43.1)+(0+(-1.401888--0.087924))+0-0-0</f>
        <v>642.78603599999997</v>
      </c>
      <c r="G245" s="3">
        <f>0+(631.7-12)+(0+(-0.966501--0.01836))+0-0-0</f>
        <v>618.75185900000008</v>
      </c>
      <c r="H245" s="3">
        <f>0+(610.9-5.1)+(0+(-0.934677--0.007803))+0-0-0</f>
        <v>604.87312599999996</v>
      </c>
      <c r="I245" s="3">
        <f>0+(615.7-12)+(0+(0.942021-0.01836))+0-0-0</f>
        <v>604.62366100000008</v>
      </c>
      <c r="J245" s="3">
        <f>0+(636.6-22)+(0+(-0.973998--0.03366))+0-0-0</f>
        <v>613.65966200000003</v>
      </c>
      <c r="K245" s="3">
        <f>0+(641.6-20.6)+(0+(-0.327216--0.010506))+0-0-0</f>
        <v>620.68329000000006</v>
      </c>
      <c r="L245" s="3">
        <f>0+(720.2-65.3)+(0+(-1.469208--0.133212))+0-0-0</f>
        <v>653.56400400000007</v>
      </c>
      <c r="M245" s="3">
        <f>0+(752.8-41.1)+(0+(1.151784-0.062883))+0-0-0</f>
        <v>712.7889009999999</v>
      </c>
      <c r="N245" s="3">
        <f>0+(841.5-47.2)+(0+(0.429165-0.024072))+0-0-0</f>
        <v>794.70509299999992</v>
      </c>
      <c r="O245" s="3">
        <f>0+(941.7-107.9)+(0+(-0.960534--0.110058))+0-0-0</f>
        <v>832.94952400000011</v>
      </c>
      <c r="P245" s="3">
        <f>0+(958.6-108.4)+(0+(0-0))+0-0-0</f>
        <v>850.2</v>
      </c>
      <c r="Q245" s="3">
        <f>0+(977.2-124.2)+(0+(0-0))+0-0-0</f>
        <v>853</v>
      </c>
      <c r="R245" s="3">
        <f>0+(944-98.4)+(0+(-1.92576--0.200736))+0-0-0</f>
        <v>843.87497600000006</v>
      </c>
      <c r="S245" s="3">
        <f>0+(904.5-88.1)+(0+(1.383885-0.134793))+0-0-0</f>
        <v>817.649092</v>
      </c>
      <c r="T245" s="3">
        <f>0+(903.3-82)+(0+(0-0))+0-0-0</f>
        <v>821.3</v>
      </c>
      <c r="U245" s="3">
        <f>0+(910.5-86.6)+(0+(-0.92871--0.088332))+0-0-0</f>
        <v>823.05962199999999</v>
      </c>
      <c r="V245" s="3">
        <f>0+(926.9-93.7)+(0+(0.472719-0.047787))+0-0-0</f>
        <v>833.62493199999994</v>
      </c>
      <c r="W245" s="3">
        <f>0+(1073-154)+(0+(-1.09446--0.15708))+0-0-0</f>
        <v>918.06262000000004</v>
      </c>
      <c r="X245" s="3">
        <f>0+(1133.3-197.7)+(0+(-1.733949--0.302481))+0-0-0</f>
        <v>934.16853199999991</v>
      </c>
      <c r="Y245" s="3">
        <f>0+(1116.5-203.7)+(0+(-0.569415--0.103887))+0-0-0</f>
        <v>912.33447200000001</v>
      </c>
      <c r="Z245" s="3">
        <f>0+(1074.1-185)+(0+(-0.547791--0.09435))+0-0-0</f>
        <v>888.64655899999991</v>
      </c>
      <c r="AA245" s="3">
        <f>0+(1070.9-216.6)+(0+(-1.092318--0.220932))+0-0-0</f>
        <v>853.42861400000004</v>
      </c>
      <c r="AB245" s="3">
        <f>0+(945.9-131.6)+(0+(-0.482409--0.067116))+0-0-0</f>
        <v>813.88470699999993</v>
      </c>
      <c r="AC245" s="3">
        <f>0+(834.6-63.7)+(0+(-1.702584--0.129948))+0-0-0</f>
        <v>769.32736399999999</v>
      </c>
      <c r="AD245">
        <f t="shared" si="3"/>
        <v>18631.946646000004</v>
      </c>
      <c r="AE245" s="3">
        <f>0+(1156.4-210.7)+(0+(0-0))+0-0-0</f>
        <v>945.7</v>
      </c>
    </row>
    <row r="246" spans="1:31" s="2" customFormat="1" x14ac:dyDescent="0.25">
      <c r="A246">
        <v>89</v>
      </c>
      <c r="B246">
        <v>8</v>
      </c>
      <c r="C246">
        <v>30</v>
      </c>
      <c r="D246">
        <v>2</v>
      </c>
      <c r="E246">
        <v>1</v>
      </c>
      <c r="F246" s="3">
        <f>0+(755.5-36.8)+(0+(-0.385305--0.018768))+0-0-0</f>
        <v>718.33346300000005</v>
      </c>
      <c r="G246" s="3">
        <f>0+(767.2-59.6)+(0+(-1.173816--0.091188))+0-0-0</f>
        <v>706.51737200000002</v>
      </c>
      <c r="H246" s="3">
        <f>0+(730.4-37.5)+(0+(-0.372504--0.019125))+0-0-0</f>
        <v>692.54662099999996</v>
      </c>
      <c r="I246" s="3">
        <f>0+(709-26.1)+(0+(-0.36159--0.013311))+0-0-0</f>
        <v>682.55172099999993</v>
      </c>
      <c r="J246" s="3">
        <f>0+(727.2-40.3)+(0+(1.483488-0.082212))+0-0-0</f>
        <v>688.30127600000014</v>
      </c>
      <c r="K246" s="3">
        <f>0+(741.6-51.1)+(0+(0.378216-0.026061))+0-0-0</f>
        <v>690.85215500000004</v>
      </c>
      <c r="L246" s="3">
        <f>0+(782-67.3)+(0+(0-0))+0-0-0</f>
        <v>714.7</v>
      </c>
      <c r="M246" s="3">
        <f>0+(806-57.3)+(0+(-1.23318--0.087669))+0-0-0</f>
        <v>747.55448899999999</v>
      </c>
      <c r="N246" s="3">
        <f>0+(830.2-25.6)+(0+(0.846804-0.026112))+0-0-0</f>
        <v>805.42069200000003</v>
      </c>
      <c r="O246" s="3">
        <f>0+(912.3-67.2)+(0+(-1.395819--0.102816))+0-0-0</f>
        <v>843.80699699999991</v>
      </c>
      <c r="P246" s="3">
        <f>0+(961-75.6)+(0+(0.49011-0.038556))+0-0-0</f>
        <v>885.85155399999996</v>
      </c>
      <c r="Q246" s="3">
        <f>0+(939-72.9)+(0+(-0.95778--0.074358))+0-0-0</f>
        <v>865.21657800000003</v>
      </c>
      <c r="R246" s="3">
        <f>0+(907.9-60.9)+(0+(-2.315145--0.155295))+0-0-0</f>
        <v>844.84014999999999</v>
      </c>
      <c r="S246" s="3">
        <f>0+(878.4-56.1)+(0+(-0.447984--0.028611))+0-0-0</f>
        <v>821.880627</v>
      </c>
      <c r="T246" s="3">
        <f>0+(880.9-51.1)+(0+(-1.347777--0.078183))+0-0-0</f>
        <v>828.53040599999997</v>
      </c>
      <c r="U246" s="3">
        <f>0+(899.5-72.6)+(0+(0.458745-0.037026))+0-0-0</f>
        <v>827.32171900000003</v>
      </c>
      <c r="V246" s="3">
        <f>0+(911.1-67.3)+(0+(-0.464661--0.034323))+0-0-0</f>
        <v>843.36966200000006</v>
      </c>
      <c r="W246" s="3">
        <f>0+(1054-126.4)+(0+(0-0))+0-0-0</f>
        <v>927.6</v>
      </c>
      <c r="X246" s="3">
        <f>0+(1113.1-178.8)+(0+(-2.270724--0.364752))+0-0-0</f>
        <v>932.39402799999993</v>
      </c>
      <c r="Y246" s="3">
        <f>0+(1061.7-148.4)+(0+(-2.165868--0.302736))+0-0-0</f>
        <v>911.43686800000012</v>
      </c>
      <c r="Z246" s="3">
        <f>0+(1010.6-120.9)+(0+(-2.57703--0.308295))+0-0-0</f>
        <v>887.43126500000005</v>
      </c>
      <c r="AA246" s="3">
        <f>0+(1000.9-155.3)+(0+(-1.531377--0.237609))+0-0-0</f>
        <v>844.30623199999991</v>
      </c>
      <c r="AB246" s="3">
        <f>0+(910.8-98.8)+(0+(-1.393524--0.151164))+0-0-0</f>
        <v>810.75764000000004</v>
      </c>
      <c r="AC246" s="3">
        <f>0+(817.7-49.3)+(0+(-1.251081--0.075429))+0-0-0</f>
        <v>767.22434800000008</v>
      </c>
      <c r="AD246">
        <f t="shared" si="3"/>
        <v>19288.745863</v>
      </c>
      <c r="AE246" s="3">
        <f>0+(1142-189.3)+(0+(0-0))+0-0-0</f>
        <v>952.7</v>
      </c>
    </row>
    <row r="247" spans="1:31" s="2" customFormat="1" x14ac:dyDescent="0.25">
      <c r="A247">
        <v>89</v>
      </c>
      <c r="B247">
        <v>9</v>
      </c>
      <c r="C247">
        <v>1</v>
      </c>
      <c r="D247">
        <v>3</v>
      </c>
      <c r="E247">
        <v>1</v>
      </c>
      <c r="F247" s="3">
        <f>0+(768.6-42.3)+(0+(-1.95993--0.107865))+0-0-0</f>
        <v>724.44793500000003</v>
      </c>
      <c r="G247" s="3">
        <f>0+(742.7-40.6)+(0+(-0.378777--0.020706))+0-0-0</f>
        <v>701.74192900000003</v>
      </c>
      <c r="H247" s="3">
        <f>0+(715.5-26.3)+(0+(-1.094715--0.040239))+0-0-0</f>
        <v>688.14552400000002</v>
      </c>
      <c r="I247" s="3">
        <f>0+(706.2-22.2)+(0+(-0.360162--0.011322))+0-0-0</f>
        <v>683.65116</v>
      </c>
      <c r="J247" s="3">
        <f>0+(713.3-31.7)+(0+(0.363783-0.016167))+0-0-0</f>
        <v>681.94761599999993</v>
      </c>
      <c r="K247" s="3">
        <f>0+(713.1-32)+(0+(-1.091043--0.04896))+0-0-0</f>
        <v>680.05791699999997</v>
      </c>
      <c r="L247" s="3">
        <f>0+(782.5-62.7)+(0+(0-0))+0-0-0</f>
        <v>719.8</v>
      </c>
      <c r="M247" s="3">
        <f>0+(854.6-92.4)+(0+(-0.435846--0.047124))+0-0-0</f>
        <v>761.81127800000002</v>
      </c>
      <c r="N247" s="3">
        <f>0+(900.4-83.8)+(0+(-1.836816--0.170952))+0-0-0</f>
        <v>814.93413599999997</v>
      </c>
      <c r="O247" s="3">
        <f>0+(968.3-124)+(0+(-1.481499--0.18972))+0-0-0</f>
        <v>843.00822099999993</v>
      </c>
      <c r="P247" s="3">
        <f>0+(1000.2-127.6)+(0+(-1.020204--0.130152))+0-0-0</f>
        <v>871.70994800000005</v>
      </c>
      <c r="Q247" s="3">
        <f>0+(1020.7-142.2)+(0+(-1.041114--0.145044))+0-0-0</f>
        <v>877.60392999999999</v>
      </c>
      <c r="R247" s="3">
        <f>0+(1050.2-190)+(0+(-0.535602--0.0969))+0-0-0</f>
        <v>859.76129800000001</v>
      </c>
      <c r="S247" s="3">
        <f>0+(1001.4-166.2)+(0+(-1.532142--0.254286))+0-0-0</f>
        <v>833.922144</v>
      </c>
      <c r="T247" s="3">
        <f>0+(987.6-150.5)+(0+(0-0))+0-0-0</f>
        <v>837.1</v>
      </c>
      <c r="U247" s="3">
        <f>0+(986.9-154.7)+(0+(0.503319-0.078897))+0-0-0</f>
        <v>832.6244220000001</v>
      </c>
      <c r="V247" s="3">
        <f>0+(1005-157.2)+(0+(0-0))+0-0-0</f>
        <v>847.8</v>
      </c>
      <c r="W247" s="3">
        <f>0+(1077-183.6)+(0+(-0.54927--0.093636))+0-0-0</f>
        <v>892.94436599999995</v>
      </c>
      <c r="X247" s="3">
        <f>0+(1166-226.2)+(0+(-2.9733--0.57681))+0-0-0</f>
        <v>937.40350999999998</v>
      </c>
      <c r="Y247" s="3">
        <f>0+(1090-200.7)+(0+(-0.5559--0.102357))+0-0-0</f>
        <v>888.84645699999999</v>
      </c>
      <c r="Z247" s="3">
        <f>0+(1069.5-187.6)+(0+(-1.636335--0.287028))+0-0-0</f>
        <v>880.55069300000002</v>
      </c>
      <c r="AA247" s="3">
        <f>0+(1034.2-183.7)+(0+(-2.109768--0.374748))+0-0-0</f>
        <v>848.76498000000004</v>
      </c>
      <c r="AB247" s="3">
        <f>0+(963.6-140.7)+(0+(-1.965744--0.287028))+0-0-0</f>
        <v>821.22128400000008</v>
      </c>
      <c r="AC247" s="3">
        <f>0+(878.6-100.9)+(0+(-3.136602--0.360213))+0-0-0</f>
        <v>774.92361100000005</v>
      </c>
      <c r="AD247">
        <f t="shared" si="3"/>
        <v>19304.722358999996</v>
      </c>
      <c r="AE247" s="3">
        <f>50+(1140.7-237.8)+(0+(0-0))+0-0-0</f>
        <v>952.90000000000009</v>
      </c>
    </row>
    <row r="248" spans="1:31" s="2" customFormat="1" x14ac:dyDescent="0.25">
      <c r="A248">
        <v>89</v>
      </c>
      <c r="B248">
        <v>9</v>
      </c>
      <c r="C248">
        <v>2</v>
      </c>
      <c r="D248">
        <v>4</v>
      </c>
      <c r="E248">
        <v>1</v>
      </c>
      <c r="F248" s="3">
        <f>0+(811-84)+(0+(-1.24083--0.12852))+0-0-0</f>
        <v>725.88769000000002</v>
      </c>
      <c r="G248" s="3">
        <f>0+(742.1-36.1)+(0+(-0.756942--0.036822))+0-0-0</f>
        <v>705.27988000000005</v>
      </c>
      <c r="H248" s="3">
        <f>0+(712.1-25.5)+(0+(-1.089513--0.039015))+0-0-0</f>
        <v>685.54950200000007</v>
      </c>
      <c r="I248" s="3">
        <f>0+(707.7-21.1)+(0+(-1.082781--0.032283))+0-0-0</f>
        <v>685.54950200000007</v>
      </c>
      <c r="J248" s="3">
        <f>0+(707.6-29.4)+(0+(0-0))+0-0-0</f>
        <v>678.2</v>
      </c>
      <c r="K248" s="3">
        <f>0+(698.5-23.3)+(0+(-1.42494--0.047532))+0-0-0</f>
        <v>673.8225920000001</v>
      </c>
      <c r="L248" s="3">
        <f>0+(753.1-37.7)+(0+(-0.384081--0.019227))+0-0-0</f>
        <v>715.03514599999994</v>
      </c>
      <c r="M248" s="3">
        <f>0+(834-78.3)+(0+(-0.42534--0.039933))+0-0-0</f>
        <v>755.31459300000006</v>
      </c>
      <c r="N248" s="3">
        <f>0+(903.6-97.7)+(0+(0.460836-0.049827))+0-0-0</f>
        <v>806.31100900000001</v>
      </c>
      <c r="O248" s="3">
        <f>0+(965.3-125.4)+(0+(-1.476909--0.191862))+0-0-0</f>
        <v>838.61495300000001</v>
      </c>
      <c r="P248" s="3">
        <f>0+(992.5-141.8)+(0+(0.506175-0.072318))+0-0-0</f>
        <v>851.13385700000003</v>
      </c>
      <c r="Q248" s="3">
        <f>0+(980.4-118.3)+(0+(-2.000016--0.241332))+0-0-0</f>
        <v>860.34131600000001</v>
      </c>
      <c r="R248" s="3">
        <f>0+(1018.6-177.3)+(0+(-0.519486--0.090423))+0-0-0</f>
        <v>840.87093699999991</v>
      </c>
      <c r="S248" s="3">
        <f>0+(1022.7-194.7)+(0+(1.043154-0.198594))+0-0-0</f>
        <v>828.84456</v>
      </c>
      <c r="T248" s="3">
        <f>0+(1002.4-160.8)+(0+(1.022448-0.164016))+0-0-0</f>
        <v>842.4584319999999</v>
      </c>
      <c r="U248" s="3">
        <f>0+(945.3-119.2)+(0+(0.482103-0.060792))+0-0-0</f>
        <v>826.52131099999986</v>
      </c>
      <c r="V248" s="3">
        <f>0+(941.5-111.8)+(0+(-0.96033--0.114036))+0-0-0</f>
        <v>828.8537060000001</v>
      </c>
      <c r="W248" s="3">
        <f>0+(1114.6-189.2)+(0+(0.568446-0.096492))+0-0-0</f>
        <v>925.87195399999985</v>
      </c>
      <c r="X248" s="3">
        <f>0+(1181.3-250.3)+(0+(-1.807389--0.382959))+0-0-0</f>
        <v>929.57556999999997</v>
      </c>
      <c r="Y248" s="3">
        <f>0+(1173.3-264.9)+(0+(-1.795149--0.405297))+0-0-0</f>
        <v>907.01014799999996</v>
      </c>
      <c r="Z248" s="3">
        <f>0+(1115.3-233.2)+(0+(-1.137606--0.237864))+0-0-0</f>
        <v>881.20025799999996</v>
      </c>
      <c r="AA248" s="3">
        <f>0+(1114.4-265.3)+(0+(-1.705032--0.405909))+0-0-0</f>
        <v>847.80087700000013</v>
      </c>
      <c r="AB248" s="3">
        <f>0+(1125-303.9)+(0+(-2.295--0.619956))+0-0-0</f>
        <v>819.42495600000007</v>
      </c>
      <c r="AC248" s="3">
        <f>0+(993.7-212.2)+(0+(-1.013574--0.216444))+0-0-0</f>
        <v>780.70286999999996</v>
      </c>
      <c r="AD248">
        <f t="shared" si="3"/>
        <v>19240.175618999998</v>
      </c>
      <c r="AE248" s="3">
        <f>0+(1189.6-259.1)+(0+(0-0))+0-0-0</f>
        <v>930.49999999999989</v>
      </c>
    </row>
    <row r="249" spans="1:31" s="2" customFormat="1" x14ac:dyDescent="0.25">
      <c r="A249">
        <v>89</v>
      </c>
      <c r="B249">
        <v>9</v>
      </c>
      <c r="C249">
        <v>3</v>
      </c>
      <c r="D249">
        <v>5</v>
      </c>
      <c r="E249">
        <v>1</v>
      </c>
      <c r="F249" s="3">
        <f>0+(858.5-127.6)+(0+(-1.75134--0.260304))+0-0-0</f>
        <v>729.40896399999997</v>
      </c>
      <c r="G249" s="3">
        <f>0+(807.2-99.8)+(0+(-1.235016--0.152694))+0-0-0</f>
        <v>706.31767800000011</v>
      </c>
      <c r="H249" s="3">
        <f>0+(805.6-112.4)+(0+(-2.05428--0.28662))+0-0-0</f>
        <v>691.43234000000007</v>
      </c>
      <c r="I249" s="3">
        <f>0+(797.4-105.5)+(0+(-0.406674--0.053805))+0-0-0</f>
        <v>691.54713099999992</v>
      </c>
      <c r="J249" s="3">
        <f>0+(792.3-99.3)+(0+(0-0))+0-0-0</f>
        <v>693</v>
      </c>
      <c r="K249" s="3">
        <f>0+(778.4-93.3)+(0+(-1.190952--0.142749))+0-0-0</f>
        <v>684.05179700000008</v>
      </c>
      <c r="L249" s="3">
        <f>0+(873.1-145.3)+(0+(-1.335843--0.222309))+0-0-0</f>
        <v>726.686466</v>
      </c>
      <c r="M249" s="3">
        <f>0+(940.7-186.3)+(0+(-1.439271--0.285039))+0-0-0</f>
        <v>753.24576800000011</v>
      </c>
      <c r="N249" s="3">
        <f>0+(1012.3-205.7)+(0+(-1.032546--0.209814))+0-0-0</f>
        <v>805.77726799999994</v>
      </c>
      <c r="O249" s="3">
        <f>0+(936.9-98)+(0+(0-0))+0-0-0</f>
        <v>838.9</v>
      </c>
      <c r="P249" s="3">
        <f>0+(927.8-71.8)+(0+(-0.946356--0.073236))+0-0-0</f>
        <v>855.12688000000003</v>
      </c>
      <c r="Q249" s="3">
        <f>0+(922.1-68.6)+(0+(-0.940542--0.069972))+0-0-0</f>
        <v>852.62942999999996</v>
      </c>
      <c r="R249" s="3">
        <f>0+(902.1-68.6)+(0+(-0.460071--0.034986))+0-0-0</f>
        <v>833.07491500000003</v>
      </c>
      <c r="S249" s="3">
        <f>0+(856-44.1)+(0+(-0.87312--0.044982))+0-0-0</f>
        <v>811.07186200000001</v>
      </c>
      <c r="T249" s="3">
        <f>0+(837.3-26.3)+(0+(-0.854046--0.026826))+0-0-0</f>
        <v>810.17277999999999</v>
      </c>
      <c r="U249" s="3">
        <f>0+(844.1-31.8)+(0+(0.430491-0.016218))+0-0-0</f>
        <v>812.71427300000005</v>
      </c>
      <c r="V249" s="3">
        <f>0+(874-56.3)+(0+(0-0))+0-0-0</f>
        <v>817.7</v>
      </c>
      <c r="W249" s="3">
        <f>0+(1221.9-304.2)+(0+(0-0))+0-0-0</f>
        <v>917.7</v>
      </c>
      <c r="X249" s="3">
        <f>0+(1280.8-350.5)+(0+(-1.959624--0.536265))+0-0-0</f>
        <v>928.87664099999995</v>
      </c>
      <c r="Y249" s="3">
        <f>0+(1226.5-322.9)+(0+(-2.50206--0.658716))+0-0-0</f>
        <v>901.75665600000002</v>
      </c>
      <c r="Z249" s="3">
        <f>0+(1156.1-284.2)+(0+(-3.537666--0.869652))+0-0-0</f>
        <v>869.23198599999989</v>
      </c>
      <c r="AA249" s="3">
        <f>0+(1125.7-287.9)+(0+(-2.296428--0.587316))+0-0-0</f>
        <v>836.09088800000006</v>
      </c>
      <c r="AB249" s="3">
        <f>0+(1028.2-211)+(0+(-1.048764--0.21522))+0-0-0</f>
        <v>816.36645600000008</v>
      </c>
      <c r="AC249" s="3">
        <f>0+(872.2-91.4)+(0+(-1.779288--0.186456))+0-0-0</f>
        <v>779.20716800000002</v>
      </c>
      <c r="AD249">
        <f t="shared" si="3"/>
        <v>19162.087347000001</v>
      </c>
      <c r="AE249" s="3">
        <f>0+(1313.2-374.2)+(0+(0-0))+0-0-0</f>
        <v>939</v>
      </c>
    </row>
    <row r="250" spans="1:31" s="2" customFormat="1" x14ac:dyDescent="0.25">
      <c r="A250">
        <v>89</v>
      </c>
      <c r="B250">
        <v>9</v>
      </c>
      <c r="C250">
        <v>4</v>
      </c>
      <c r="D250">
        <v>6</v>
      </c>
      <c r="E250">
        <v>3</v>
      </c>
      <c r="F250" s="3">
        <f>0+(779.1-47)+(0+(0-0))+0-0-0</f>
        <v>732.1</v>
      </c>
      <c r="G250" s="3">
        <f>0+(816-120.5)+(0+(0-0))+0-0-0</f>
        <v>695.5</v>
      </c>
      <c r="H250" s="3">
        <f>0+(793.6-115.4)+(0+(0-0))+0-0-0</f>
        <v>678.2</v>
      </c>
      <c r="I250" s="3">
        <f>0+(774.8-101.7)+(0+(0-0))+0-0-0</f>
        <v>673.09999999999991</v>
      </c>
      <c r="J250" s="3">
        <f>0+(759.4-93.6)+(0+(-0.387294--0.047736))+0-0-0</f>
        <v>665.46044199999994</v>
      </c>
      <c r="K250" s="3">
        <f>0+(752-104)+(0+(1.15056-0.15912))+0-0-0</f>
        <v>648.99144000000001</v>
      </c>
      <c r="L250" s="3">
        <f>0+(787.1-141.3)+(0+(0-0))+0-0-0</f>
        <v>645.79999999999995</v>
      </c>
      <c r="M250" s="3">
        <f>0+(790.1-143.9)+(0+(-0.805902--0.146778))+0-0-0</f>
        <v>645.54087600000003</v>
      </c>
      <c r="N250" s="3">
        <f>0+(832.6-151.2)+(0+(-0.849252--0.154224))+0-0-0</f>
        <v>680.70497200000011</v>
      </c>
      <c r="O250" s="3">
        <f>0+(851.4-129.9)+(0+(-1.302642--0.198747))+0-0-0</f>
        <v>720.39610500000003</v>
      </c>
      <c r="P250" s="3">
        <f>0+(811.9-66.6)+(0+(-0.828138--0.067932))+0-0-0</f>
        <v>744.53979399999992</v>
      </c>
      <c r="Q250" s="3">
        <f>0+(794.9-54.4)+(0+(-0.810798--0.055488))+0-0-0</f>
        <v>739.74468999999999</v>
      </c>
      <c r="R250" s="3">
        <f>0+(775.5-44.4)+(0+(-1.977525--0.11322))+0-0-0</f>
        <v>729.23569500000008</v>
      </c>
      <c r="S250" s="3">
        <f>0+(749.3-39.7)+(0+(0.764286-0.040494))+0-0-0</f>
        <v>710.32379199999991</v>
      </c>
      <c r="T250" s="3">
        <f>0+(739.6-32.7)+(0+(-1.88598--0.083385))+0-0-0</f>
        <v>705.09740499999998</v>
      </c>
      <c r="U250" s="3">
        <f>0+(746.7-49.2)+(0+(0-0))+0-0-0</f>
        <v>697.5</v>
      </c>
      <c r="V250" s="3">
        <f>0+(782.2-64.7)+(0+(-1.196766--0.098991))+0-0-0</f>
        <v>716.40222500000004</v>
      </c>
      <c r="W250" s="3">
        <f>0+(891.1-84.2)+(0+(0.454461-0.042942))+0-0-0</f>
        <v>807.31151899999998</v>
      </c>
      <c r="X250" s="3">
        <f>0+(934.3-109)+(0+(0-0))+0-0-0</f>
        <v>825.3</v>
      </c>
      <c r="Y250" s="3">
        <f>0+(890.9-85)+(0+(-2.271795--0.21675))+0-0-0</f>
        <v>803.84495500000003</v>
      </c>
      <c r="Z250" s="3">
        <f>0+(847.3-65.3)+(0+(-0.432123--0.033303))+0-0-0</f>
        <v>781.60118</v>
      </c>
      <c r="AA250" s="3">
        <f>0+(855.1-89.4)+(0+(-0.436101--0.045594))+0-0-0</f>
        <v>765.30949300000009</v>
      </c>
      <c r="AB250" s="3">
        <f>0+(803.1-69.5)+(0+(-0.819162--0.07089))+0-0-0</f>
        <v>732.85172799999998</v>
      </c>
      <c r="AC250" s="3">
        <f>0+(759.5-58.1)+(0+(-1.54938--0.118524))+0-0-0</f>
        <v>699.96914400000003</v>
      </c>
      <c r="AD250">
        <f t="shared" si="3"/>
        <v>17244.825454999998</v>
      </c>
      <c r="AE250" s="3">
        <f>0+(935.2-119.1)+(0+(0-0))+0-0-0</f>
        <v>816.1</v>
      </c>
    </row>
    <row r="251" spans="1:31" s="2" customFormat="1" x14ac:dyDescent="0.25">
      <c r="A251">
        <v>89</v>
      </c>
      <c r="B251">
        <v>9</v>
      </c>
      <c r="C251">
        <v>5</v>
      </c>
      <c r="D251">
        <v>7</v>
      </c>
      <c r="E251">
        <v>1</v>
      </c>
      <c r="F251" s="3">
        <f>0+(762.9-98.5)+(0+(-1.167237--0.150705))+0-0-0</f>
        <v>663.38346799999999</v>
      </c>
      <c r="G251" s="3">
        <f>0+(766.2-138.8)+(0+(-1.172286--0.212364))+0-0-0</f>
        <v>626.44007800000009</v>
      </c>
      <c r="H251" s="3">
        <f>0+(740.8-124.6)+(0+(-1.133424--0.190638))+0-0-0</f>
        <v>615.25721399999998</v>
      </c>
      <c r="I251" s="3">
        <f>0+(715.9-111.4)+(0+(-0.730218--0.113628))+0-0-0</f>
        <v>603.88341000000003</v>
      </c>
      <c r="J251" s="3">
        <f>0+(710-102.7)+(0+(0.7242-0.104754))+0-0-0</f>
        <v>607.91944599999999</v>
      </c>
      <c r="K251" s="3">
        <f>0+(687.9-85.1)+(0+(0.350829-0.043401))+0-0-0</f>
        <v>603.10742799999991</v>
      </c>
      <c r="L251" s="3">
        <f>0+(723.7-120.2)+(0+(-1.476348--0.245208))+0-0-0</f>
        <v>602.26886000000002</v>
      </c>
      <c r="M251" s="3">
        <f>0+(733-144.6)+(0+(-0.74766--0.147492))+0-0-0</f>
        <v>587.79983199999992</v>
      </c>
      <c r="N251" s="3">
        <f>0+(728.1-115)+(0+(0.371331-0.05865))+0-0-0</f>
        <v>613.41268100000002</v>
      </c>
      <c r="O251" s="3">
        <f>0+(780.9-140)+(0+(0-0))+0-0-0</f>
        <v>640.9</v>
      </c>
      <c r="P251" s="3">
        <f>0+(768.2-108.2)+(0+(-0.391782--0.055182))+0-0-0</f>
        <v>659.66340000000002</v>
      </c>
      <c r="Q251" s="3">
        <f>0+(761.5-89.2)+(0+(-3.10692--0.363936))+0-0-0</f>
        <v>669.55701599999998</v>
      </c>
      <c r="R251" s="3">
        <f>0+(745.7-89.6)+(0+(-1.140921--0.137088))+0-0-0</f>
        <v>655.09616700000004</v>
      </c>
      <c r="S251" s="3">
        <f>0+(757.5-106.5)+(0+(-0.77265--0.10863))+0-0-0</f>
        <v>650.33597999999995</v>
      </c>
      <c r="T251" s="3">
        <f>0+(751.7-126.1)+(0+(-0.383367--0.064311))+0-0-0</f>
        <v>625.28094399999998</v>
      </c>
      <c r="U251" s="3">
        <f>0+(770.7-135.9)+(0+(-0.786114--0.138618))+0-0-0</f>
        <v>634.15250400000002</v>
      </c>
      <c r="V251" s="3">
        <f>0+(734.7-81.6)+(0+(0-0))+0-0-0</f>
        <v>653.1</v>
      </c>
      <c r="W251" s="3">
        <f>0+(804-47.3)+(0+(-0.41004--0.024123))+0-0-0</f>
        <v>756.3140830000001</v>
      </c>
      <c r="X251" s="3">
        <f>0+(887.9-101.9)+(0+(-0.452829--0.051969))+0-0-0</f>
        <v>785.59914000000003</v>
      </c>
      <c r="Y251" s="3">
        <f>0+(857.2-86.7)+(0+(-1.311516--0.132651))+0-0-0</f>
        <v>769.32113500000003</v>
      </c>
      <c r="Z251" s="3">
        <f>0+(834.4-83.7)+(0+(-0.851088--0.085374))+0-0-0</f>
        <v>749.93428599999993</v>
      </c>
      <c r="AA251" s="3">
        <f>0+(840.6-113.4)+(0+(-1.714824--0.231336))+0-0-0</f>
        <v>725.71651200000008</v>
      </c>
      <c r="AB251" s="3">
        <f>0+(838.8-125.8)+(0+(-1.283364--0.192474))+0-0-0</f>
        <v>711.90911000000006</v>
      </c>
      <c r="AC251" s="3">
        <f>0+(820.1-144.3)+(0+(-2.509506--0.441558))+0-0-0</f>
        <v>673.73205199999995</v>
      </c>
      <c r="AD251">
        <f t="shared" si="3"/>
        <v>15884.084745999999</v>
      </c>
      <c r="AE251" s="3">
        <f>0+(897.9-99.3)+(0+(0-0))+0-0-0</f>
        <v>798.6</v>
      </c>
    </row>
    <row r="252" spans="1:31" s="2" customFormat="1" x14ac:dyDescent="0.25">
      <c r="A252">
        <v>89</v>
      </c>
      <c r="B252">
        <v>9</v>
      </c>
      <c r="C252">
        <v>6</v>
      </c>
      <c r="D252">
        <v>1</v>
      </c>
      <c r="E252">
        <v>1</v>
      </c>
      <c r="F252" s="3">
        <f>0+(744.2-125.9)+(0+(0-0))+0-0-0</f>
        <v>618.30000000000007</v>
      </c>
      <c r="G252" s="3">
        <f>0+(698-94.9)+(0+(0-0))+0-0-0</f>
        <v>603.1</v>
      </c>
      <c r="H252" s="3">
        <f>0+(671.6-88.9)+(0+(0.342516-0.045339))+0-0-0</f>
        <v>582.99717700000008</v>
      </c>
      <c r="I252" s="3">
        <f>0+(671.6-84)+(0+(0.685032-0.08568))+0-0-0</f>
        <v>588.19935199999998</v>
      </c>
      <c r="J252" s="3">
        <f>0+(675.3-91.5)+(0+(0-0))+0-0-0</f>
        <v>583.79999999999995</v>
      </c>
      <c r="K252" s="3">
        <f>0+(694.9-102.2)+(0+(-0.708798--0.104244))+0-0-0</f>
        <v>592.09544599999992</v>
      </c>
      <c r="L252" s="3">
        <f>0+(778.4-132.1)+(0+(-1.98492--0.336855))+0-0-0</f>
        <v>644.65193499999998</v>
      </c>
      <c r="M252" s="3">
        <f>0+(790.2-104.8)+(0+(0.403002-0.053448))+0-0-0</f>
        <v>685.7495540000001</v>
      </c>
      <c r="N252" s="3">
        <f>0+(855.7-91)+(0+(0-0))+0-0-0</f>
        <v>764.7</v>
      </c>
      <c r="O252" s="3">
        <f>0+(938.6-126.4)+(0+(1.436058-0.193392))+0-0-0</f>
        <v>813.44266600000003</v>
      </c>
      <c r="P252" s="3">
        <f>0+(911.7-76.4)+(0+(0-0))+0-0-0</f>
        <v>835.30000000000007</v>
      </c>
      <c r="Q252" s="3">
        <f>0+(871.7-46.6)+(0+(-0.444567--0.023766))+0-0-0</f>
        <v>824.67919900000004</v>
      </c>
      <c r="R252" s="3">
        <f>0+(815.7-9.7)+(0+(-0.416007--0.004947))+0-0-0</f>
        <v>805.58893999999998</v>
      </c>
      <c r="S252" s="3">
        <f>0+(793.3-4.3)+(0+(-0.404583--0.002193))+0-0-0</f>
        <v>788.59761000000003</v>
      </c>
      <c r="T252" s="3">
        <f>0+(798.1-10.2)+(0+(-0.814062--0.010404))+0-0-0</f>
        <v>787.09634199999994</v>
      </c>
      <c r="U252" s="3">
        <f>0+(801.1-13.9)+(0+(-0.408561--0.007089))+0-0-0</f>
        <v>786.79852800000003</v>
      </c>
      <c r="V252" s="3">
        <f>0+(797.4-3.8)+(0+(-0.813348--0.003876))+0-0-0</f>
        <v>792.79052799999999</v>
      </c>
      <c r="W252" s="3">
        <f>0+(922.7-38.4)+(0+(0.941154-0.039168))+0-0-0</f>
        <v>885.20198600000003</v>
      </c>
      <c r="X252" s="3">
        <f>0+(976.8-80.6)+(0+(-0.996336--0.082212))+0-0-0</f>
        <v>895.28587599999992</v>
      </c>
      <c r="Y252" s="3">
        <f>0+(933.4-58)+(0+(-1.904136--0.11832))+0-0-0</f>
        <v>873.61418400000002</v>
      </c>
      <c r="Z252" s="3">
        <f>0+(896.3-37.9)+(0+(-2.285565--0.096645))+0-0-0</f>
        <v>856.21107999999992</v>
      </c>
      <c r="AA252" s="3">
        <f>0+(948.7-114.3)+(0+(0.483837-0.058293))+0-0-0</f>
        <v>834.82554400000004</v>
      </c>
      <c r="AB252" s="3">
        <f>0+(973.8-167.2)+(0+(-1.986552--0.341088))+0-0-0</f>
        <v>804.95453599999996</v>
      </c>
      <c r="AC252" s="3">
        <f>0+(986.4-223)+(0+(-1.509192--0.34119))+0-0-0</f>
        <v>762.23199799999998</v>
      </c>
      <c r="AD252">
        <f t="shared" si="3"/>
        <v>18010.212481000002</v>
      </c>
      <c r="AE252" s="3">
        <f>0+(1000.8-84.2)+(0+(0-0))+0-0-0</f>
        <v>916.59999999999991</v>
      </c>
    </row>
    <row r="253" spans="1:31" s="2" customFormat="1" x14ac:dyDescent="0.25">
      <c r="A253">
        <v>89</v>
      </c>
      <c r="B253">
        <v>9</v>
      </c>
      <c r="C253">
        <v>7</v>
      </c>
      <c r="D253">
        <v>2</v>
      </c>
      <c r="E253">
        <v>1</v>
      </c>
      <c r="F253" s="3">
        <f>0+(886.8-156.8)+(0+(-0.452268--0.079968))+0-0-0</f>
        <v>729.6277</v>
      </c>
      <c r="G253" s="3">
        <f>0+(772.3-77.3)+(0+(-1.969365--0.197115))+0-0-0</f>
        <v>693.22775000000001</v>
      </c>
      <c r="H253" s="3">
        <f>0+(743.6-69.1)+(0+(-0.379236--0.035241))+0-0-0</f>
        <v>674.15600500000005</v>
      </c>
      <c r="I253" s="3">
        <f>4.1+(716.7-44.8)+(-0.002091+(-0.365517--0.022848))+0-0-0</f>
        <v>675.65524000000016</v>
      </c>
      <c r="J253" s="3">
        <f>0+(705.5-29.2)+(0+(-0.71961--0.029784))+0-0-0</f>
        <v>675.61017399999992</v>
      </c>
      <c r="K253" s="3">
        <f>0+(733.1-56.3)+(0+(0-0))+0-0-0</f>
        <v>676.80000000000007</v>
      </c>
      <c r="L253" s="3">
        <f>0+(823.3-110.7)+(0+(-1.679532--0.225828))+0-0-0</f>
        <v>711.14629599999989</v>
      </c>
      <c r="M253" s="3">
        <f>0+(868.5-134.7)+(0+(-0.442935--0.068697))+0-0-0</f>
        <v>733.42576199999996</v>
      </c>
      <c r="N253" s="3">
        <f>0+(838.5-99)+(0+(0-0))+0-0-0</f>
        <v>739.5</v>
      </c>
      <c r="O253" s="3">
        <f>0+(836-11)+(0+(0.42636-0.00561))+0-0-0</f>
        <v>825.42075</v>
      </c>
      <c r="P253" s="3">
        <f>0+(821.5-0)+(0+(0.83793-0))+0-0-0</f>
        <v>822.33793000000003</v>
      </c>
      <c r="Q253" s="3">
        <f>0+(836.2-5)+(0+(0-0))+0-0-0</f>
        <v>831.2</v>
      </c>
      <c r="R253" s="3">
        <f>0+(821.6-3.4)+(0+(-2.09508--0.00867))+0-0-0</f>
        <v>816.11359000000004</v>
      </c>
      <c r="S253" s="3">
        <f>0+(837.4-33.1)+(0+(-1.281222--0.050643))+0-0-0</f>
        <v>803.06942099999992</v>
      </c>
      <c r="T253" s="3">
        <f>0+(850.2-58.7)+(0+(0.433602-0.029937))+0-0-0</f>
        <v>791.90366500000005</v>
      </c>
      <c r="U253" s="3">
        <f>3.6+(862.9-75.6)+(0.003672+(0.880158-0.077112))+0-0-0</f>
        <v>791.70671800000002</v>
      </c>
      <c r="V253" s="3">
        <f>31.8+(846.6-80.9)+(-0.016218+(-0.431766--0.041259))+0-0-0</f>
        <v>797.09327499999995</v>
      </c>
      <c r="W253" s="3">
        <f>16.7+(891.9-19.4)+(0.008517+(0.454869-0.009894))+0-0-0</f>
        <v>889.65349200000003</v>
      </c>
      <c r="X253" s="3">
        <f>0+(947.6-37.5)+(0+(-3.382932--0.133875))+0-0-0</f>
        <v>906.85094300000003</v>
      </c>
      <c r="Y253" s="3">
        <f>0+(910.8-23.9)+(0+(-1.858032--0.048756))+0-0-0</f>
        <v>885.09072400000002</v>
      </c>
      <c r="Z253" s="3">
        <f>0+(859.3-5.1)+(0+(-0.438243--0.002601))+0-0-0</f>
        <v>853.7643579999999</v>
      </c>
      <c r="AA253" s="3">
        <f>0+(825.6-3.1)+(0+(-1.263168--0.004743))+0-0-0</f>
        <v>821.24157500000001</v>
      </c>
      <c r="AB253" s="3">
        <f>0+(834.9-27.9)+(0+(-0.851598--0.028458))+0-0-0</f>
        <v>806.17686000000003</v>
      </c>
      <c r="AC253" s="3">
        <f>0+(770.7-2.6)+(0+(-1.572228--0.005304))+0-0-0</f>
        <v>766.53307600000005</v>
      </c>
      <c r="AD253">
        <f t="shared" si="3"/>
        <v>18717.305303999998</v>
      </c>
      <c r="AE253" s="3">
        <f>0+(955.9-53.6)+(0+(0-0))+0-0-0</f>
        <v>902.3</v>
      </c>
    </row>
    <row r="254" spans="1:31" s="2" customFormat="1" x14ac:dyDescent="0.25">
      <c r="A254">
        <v>89</v>
      </c>
      <c r="B254">
        <v>9</v>
      </c>
      <c r="C254">
        <v>8</v>
      </c>
      <c r="D254">
        <v>3</v>
      </c>
      <c r="E254">
        <v>1</v>
      </c>
      <c r="F254" s="3">
        <f>0+(767.5-53.7)+(0+(-1.5657--0.109548))+0-0-0</f>
        <v>712.34384799999998</v>
      </c>
      <c r="G254" s="3">
        <f>0+(730.8-41.6)+(0+(-0.372708--0.021216))+0-0-0</f>
        <v>688.84850799999992</v>
      </c>
      <c r="H254" s="3">
        <f>0+(690-23.3)+(0+(0.3519-0.011883))+0-0-0</f>
        <v>667.04001700000003</v>
      </c>
      <c r="I254" s="3">
        <f>0+(682.1-19.7)+(0+(-0.695742--0.020094))+0-0-0</f>
        <v>661.72435199999995</v>
      </c>
      <c r="J254" s="3">
        <f>0+(706.5-38.1)+(0+(0.360315-0.019431))+0-0-0</f>
        <v>668.74088399999994</v>
      </c>
      <c r="K254" s="3">
        <f>0+(701.5-30.3)+(0+(0.357765-0.015453))+0-0-0</f>
        <v>671.54231200000004</v>
      </c>
      <c r="L254" s="3">
        <f>0+(757.3-48.1)+(0+(0-0))+0-0-0</f>
        <v>709.19999999999993</v>
      </c>
      <c r="M254" s="3">
        <f>0+(768.8-28.8)+(0+(-1.96044--0.07344))+0-0-0</f>
        <v>738.11300000000006</v>
      </c>
      <c r="N254" s="3">
        <f>0+(878.9-89.2)+(0+(1.344717-0.136476))+0-0-0</f>
        <v>790.90824099999998</v>
      </c>
      <c r="O254" s="3">
        <f>0+(886.6-58.4)+(0+(-1.356498--0.089352))+0-0-0</f>
        <v>826.93285400000002</v>
      </c>
      <c r="P254" s="3">
        <f>0+(905.7-69.7)+(0+(0.461907-0.035547))+0-0-0</f>
        <v>836.42636000000005</v>
      </c>
      <c r="Q254" s="3">
        <f>0+(878.9-53.4)+(0+(-2.241195--0.13617))+0-0-0</f>
        <v>823.39497500000004</v>
      </c>
      <c r="R254" s="3">
        <f>0+(852.5-35.5)+(0+(-0.86955--0.03621))+0-0-0</f>
        <v>816.16665999999998</v>
      </c>
      <c r="S254" s="3">
        <f>0+(854.8-61.9)+(0+(0-0))+0-0-0</f>
        <v>792.9</v>
      </c>
      <c r="T254" s="3">
        <f>76.4+(902.5-185)+(0+(0-0))+0-0-0</f>
        <v>793.9</v>
      </c>
      <c r="U254" s="3">
        <f>30.8+(915.5-133.5)+(0.015708+(0.466905-0.068085))+0-0-0</f>
        <v>813.21452799999997</v>
      </c>
      <c r="V254" s="3">
        <f>0+(869.1-63.2)+(0+(1.329723-0.096696))+0-0-0</f>
        <v>807.13302699999997</v>
      </c>
      <c r="W254" s="3">
        <f>0+(917-23.9)+(0+(1.40301-0.036567))+0-0-0</f>
        <v>894.46644300000003</v>
      </c>
      <c r="X254" s="3">
        <f>0+(897.1-3.1)+(0+(-1.830084--0.006324))+0-0-0</f>
        <v>892.17624000000001</v>
      </c>
      <c r="Y254" s="3">
        <f>0+(895.5-28.9)+(0+(-1.370115--0.044217))+0-0-0</f>
        <v>865.27410199999997</v>
      </c>
      <c r="Z254" s="3">
        <f>0+(885.8-35.8)+(0+(-1.355274--0.054774))+0-0-0</f>
        <v>848.69949999999994</v>
      </c>
      <c r="AA254" s="3">
        <f>0+(848.9-18.4)+(0+(-0.865878--0.018768))+0-0-0</f>
        <v>829.65288999999996</v>
      </c>
      <c r="AB254" s="3">
        <f>0+(802.4-3.4)+(0+(0-0))+0-0-0</f>
        <v>799</v>
      </c>
      <c r="AC254" s="3">
        <f>0+(793.7-26.6)+(0+(-2.023935--0.06783))+0-0-0</f>
        <v>765.14389500000004</v>
      </c>
      <c r="AD254">
        <f t="shared" si="3"/>
        <v>18712.942636000003</v>
      </c>
      <c r="AE254" s="3">
        <f>0+(935-7.7)+(0+(0-0))+0-0-0</f>
        <v>927.3</v>
      </c>
    </row>
    <row r="255" spans="1:31" s="2" customFormat="1" x14ac:dyDescent="0.25">
      <c r="A255">
        <v>89</v>
      </c>
      <c r="B255">
        <v>9</v>
      </c>
      <c r="C255">
        <v>9</v>
      </c>
      <c r="D255">
        <v>4</v>
      </c>
      <c r="E255">
        <v>1</v>
      </c>
      <c r="F255" s="3">
        <f>0+(775.9-50)+(0+(-1.582836--0.102))+0-0-0</f>
        <v>724.41916400000002</v>
      </c>
      <c r="G255" s="3">
        <f>0+(696.5-7.3)+(0+(-0.71043--0.007446))+0-0-0</f>
        <v>688.49701600000003</v>
      </c>
      <c r="H255" s="3">
        <f>0+(710.2-34.7)+(0+(-1.086606--0.053091))+0-0-0</f>
        <v>674.46648500000003</v>
      </c>
      <c r="I255" s="3">
        <f>0+(709-47.7)+(0+(-0.72318--0.048654))+0-0-0</f>
        <v>660.62547399999994</v>
      </c>
      <c r="J255" s="3">
        <f>0+(690.9-24.5)+(0+(-0.704718--0.02499))+0-0-0</f>
        <v>665.72027200000002</v>
      </c>
      <c r="K255" s="3">
        <f>0+(683.9-13.3)+(0+(0-0))+0-0-0</f>
        <v>670.6</v>
      </c>
      <c r="L255" s="3">
        <f>0+(747.8-39.7)+(0+(-0.762756--0.040494))+0-0-0</f>
        <v>707.37773799999991</v>
      </c>
      <c r="M255" s="3">
        <f>0+(774.7-34.6)+(0+(-0.395097--0.017646))+0-0-0</f>
        <v>739.72254900000007</v>
      </c>
      <c r="N255" s="3">
        <f>0+(856.2-56.9)+(0+(0.436662-0.029019))+0-0-0</f>
        <v>799.70764300000008</v>
      </c>
      <c r="O255" s="3">
        <f>0+(875.5-39.2)+(0+(0-0))+0-0-0</f>
        <v>836.3</v>
      </c>
      <c r="P255" s="3">
        <f>0+(932.6-60.7)+(0+(-0.475626--0.030957))+0-0-0</f>
        <v>871.455331</v>
      </c>
      <c r="Q255" s="3">
        <f>0+(921.2-54.6)+(0+(-0.939624--0.055692))+0-0-0</f>
        <v>865.71606800000006</v>
      </c>
      <c r="R255" s="3">
        <f>0+(845.2-22.6)+(0+(-0.431052--0.011526))+0-0-0</f>
        <v>822.180474</v>
      </c>
      <c r="S255" s="3">
        <f>0+(801.2-4.7)+(0+(0-0))+0-0-0</f>
        <v>796.5</v>
      </c>
      <c r="T255" s="3">
        <f>0+(801.2-15)+(0+(-1.225836--0.02295))+0-0-0</f>
        <v>784.99711400000001</v>
      </c>
      <c r="U255" s="3">
        <f>0+(821.6-17.6)+(0+(-1.257048--0.026928))+0-0-0</f>
        <v>802.76987999999994</v>
      </c>
      <c r="V255" s="3">
        <f>0+(841.3-14.9)+(0+(-1.287189--0.022797))+0-0-0</f>
        <v>825.13560799999993</v>
      </c>
      <c r="W255" s="3">
        <f>0+(990.1-74.8)+(0+(-1.009902--0.076296))+0-0-0</f>
        <v>914.36639400000001</v>
      </c>
      <c r="X255" s="3">
        <f>0+(1034.7-113.5)+(0+(-2.110788--0.23154))+0-0-0</f>
        <v>919.32075200000008</v>
      </c>
      <c r="Y255" s="3">
        <f>0+(977.3-88.4)+(0+(-1.993692--0.180336))+0-0-0</f>
        <v>887.08664399999998</v>
      </c>
      <c r="Z255" s="3">
        <f>0+(944.5-78.8)+(0+(-0.96339--0.080376))+0-0-0</f>
        <v>864.81698600000004</v>
      </c>
      <c r="AA255" s="3">
        <f>0+(926.1-89.8)+(0+(-1.416933--0.137394))+0-0-0</f>
        <v>835.02046100000007</v>
      </c>
      <c r="AB255" s="3">
        <f>0+(895.7-78.7)+(0+(-1.370421--0.120411))+0-0-0</f>
        <v>815.74999000000003</v>
      </c>
      <c r="AC255" s="3">
        <f>0+(929.2-146.4)+(0+(-2.36946--0.37332))+0-0-0</f>
        <v>780.8038600000001</v>
      </c>
      <c r="AD255">
        <f t="shared" si="3"/>
        <v>18953.355903000003</v>
      </c>
      <c r="AE255" s="3">
        <f>0+(1049.1-121)+(0+(0-0))+0-0-0</f>
        <v>928.09999999999991</v>
      </c>
    </row>
    <row r="256" spans="1:31" s="2" customFormat="1" x14ac:dyDescent="0.25">
      <c r="A256">
        <v>89</v>
      </c>
      <c r="B256">
        <v>9</v>
      </c>
      <c r="C256">
        <v>10</v>
      </c>
      <c r="D256">
        <v>5</v>
      </c>
      <c r="E256">
        <v>1</v>
      </c>
      <c r="F256" s="3">
        <f>0+(812.8-70.2)+(0+(-2.07264--0.17901))+0-0-0</f>
        <v>740.70636999999988</v>
      </c>
      <c r="G256" s="3">
        <f>0+(748.3-41.9)+(0+(0-0))+0-0-0</f>
        <v>706.4</v>
      </c>
      <c r="H256" s="3">
        <f>0+(745.8-39.8)+(0+(-0.380358--0.020298))+0-0-0</f>
        <v>705.63994000000002</v>
      </c>
      <c r="I256" s="3">
        <f>0+(746.2-41.6)+(0+(-0.380562--0.021216))+0-0-0</f>
        <v>704.24065400000006</v>
      </c>
      <c r="J256" s="3">
        <f>0+(742.7-40.3)+(0+(0.757554-0.041106))+0-0-0</f>
        <v>703.1164480000001</v>
      </c>
      <c r="K256" s="3">
        <f>0+(763.6-60.6)+(0+(-0.778872--0.061812))+0-0-0</f>
        <v>702.28294000000005</v>
      </c>
      <c r="L256" s="3">
        <f>0+(852.9-112.6)+(0+(-0.434979--0.057426))+0-0-0</f>
        <v>739.92244699999992</v>
      </c>
      <c r="M256" s="3">
        <f>0+(893.6-126)+(0+(0-0))+0-0-0</f>
        <v>767.6</v>
      </c>
      <c r="N256" s="3">
        <f>0+(910.2-95.6)+(0+(-0.464202--0.048756))+0-0-0</f>
        <v>814.18455400000005</v>
      </c>
      <c r="O256" s="3">
        <f>0+(900.7-46.7)+(0+(-1.837428--0.095268))+0-0-0</f>
        <v>852.25783999999999</v>
      </c>
      <c r="P256" s="3">
        <f>0+(884-14.6)+(0+(0.45084-0.007446))+0-0-0</f>
        <v>869.84339399999999</v>
      </c>
      <c r="Q256" s="3">
        <f>0+(872.9-3.5)+(0+(-0.445179--0.001785))+0-0-0</f>
        <v>868.95660599999997</v>
      </c>
      <c r="R256" s="3">
        <f>0+(858-0)+(0+(-2.1879-0))+0-0-0</f>
        <v>855.81209999999999</v>
      </c>
      <c r="S256" s="3">
        <f>0+(829.1-7.2)+(0+(0-0))+0-0-0</f>
        <v>821.9</v>
      </c>
      <c r="T256" s="3">
        <f>0+(838.3-33.9)+(0+(0-0))+0-0-0</f>
        <v>804.4</v>
      </c>
      <c r="U256" s="3">
        <f>0+(830.9-9.6)+(0+(-0.423759--0.004896))+0-0-0</f>
        <v>820.88113699999997</v>
      </c>
      <c r="V256" s="3">
        <f>0+(833.7-0)+(0+(0.850374-0))+0-0-0</f>
        <v>834.55037400000003</v>
      </c>
      <c r="W256" s="3">
        <f>0+(947.9-18.5)+(0+(0-0))+0-0-0</f>
        <v>929.4</v>
      </c>
      <c r="X256" s="3">
        <f>0+(988.1-46.1)+(0+(-2.015724--0.094044))+0-0-0</f>
        <v>940.07831999999996</v>
      </c>
      <c r="Y256" s="3">
        <f>0+(957.8-40)+(0+(-1.465434--0.0612))+0-0-0</f>
        <v>916.39576599999998</v>
      </c>
      <c r="Z256" s="3">
        <f>0+(987.8-92.4)+(0+(-0.503778--0.047124))+0-0-0</f>
        <v>894.94334600000002</v>
      </c>
      <c r="AA256" s="3">
        <f>0+(951-95)+(0+(0-0))+0-0-0</f>
        <v>856</v>
      </c>
      <c r="AB256" s="3">
        <f>0+(904.9-78.6)+(0+(-1.845996--0.160344))+0-0-0</f>
        <v>824.61434799999995</v>
      </c>
      <c r="AC256" s="3">
        <f>0+(913.2-116.7)+(0+(-1.397196--0.178551))+0-0-0</f>
        <v>795.28135499999996</v>
      </c>
      <c r="AD256">
        <f t="shared" si="3"/>
        <v>19469.407939000001</v>
      </c>
      <c r="AE256" s="3">
        <f>0+(982.3-54.3)+(0+(0-0))+0-0-0</f>
        <v>928</v>
      </c>
    </row>
    <row r="257" spans="1:31" s="2" customFormat="1" x14ac:dyDescent="0.25">
      <c r="A257">
        <v>89</v>
      </c>
      <c r="B257">
        <v>9</v>
      </c>
      <c r="C257">
        <v>11</v>
      </c>
      <c r="D257">
        <v>6</v>
      </c>
      <c r="E257">
        <v>1</v>
      </c>
      <c r="F257" s="3">
        <f>0+(839.8-106.4)+(0+(-0.856596--0.108528))+0-0-0</f>
        <v>732.65193199999999</v>
      </c>
      <c r="G257" s="3">
        <f>0+(747.2-38.9)+(0+(0.762144-0.039678))+0-0-0</f>
        <v>709.02246600000012</v>
      </c>
      <c r="H257" s="3">
        <f>0+(713.8-28.9)+(0+(1.092114-0.044217))+0-0-0</f>
        <v>685.94789700000001</v>
      </c>
      <c r="I257" s="3">
        <f>0+(714.8-32)+(0+(-0.364548--0.01632))+0-0-0</f>
        <v>682.45177200000001</v>
      </c>
      <c r="J257" s="3">
        <f>0+(712.4-31.8)+(0+(0.363324-0.016218))+0-0-0</f>
        <v>680.94710600000008</v>
      </c>
      <c r="K257" s="3">
        <f>0+(747.8-67.2)+(0+(0-0))+0-0-0</f>
        <v>680.59999999999991</v>
      </c>
      <c r="L257" s="3">
        <f>0+(827.1-123.5)+(0+(-0.843642--0.12597))+0-0-0</f>
        <v>702.88232800000003</v>
      </c>
      <c r="M257" s="3">
        <f>0+(875.8-126.7)+(0+(0.446658-0.064617))+0-0-0</f>
        <v>749.48204099999987</v>
      </c>
      <c r="N257" s="3">
        <f>0+(797.5-26.8)+(0+(0-0))+0-0-0</f>
        <v>770.7</v>
      </c>
      <c r="O257" s="3">
        <f>0+(870.3-52.1)+(0+(-1.775412--0.106284))+0-0-0</f>
        <v>816.53087199999993</v>
      </c>
      <c r="P257" s="3">
        <f>0+(908.9-80.4)+(0+(-1.390617--0.123012))+0-0-0</f>
        <v>827.232395</v>
      </c>
      <c r="Q257" s="3">
        <f>0+(905.5-77.3)+(0+(-0.461805--0.039423))+0-0-0</f>
        <v>827.77761800000007</v>
      </c>
      <c r="R257" s="3">
        <f>0+(887.6-63.8)+(0+(-1.810704--0.130152))+0-0-0</f>
        <v>822.11944800000003</v>
      </c>
      <c r="S257" s="3">
        <f>0+(884.2-86.5)+(0+(-0.901884--0.08823))+0-0-0</f>
        <v>796.886346</v>
      </c>
      <c r="T257" s="3">
        <f>0+(863.6-67.8)+(0+(-0.880872--0.069156))+0-0-0</f>
        <v>794.98828400000002</v>
      </c>
      <c r="U257" s="3">
        <f>0+(845.7-54.9)+(0+(-0.431307--0.027999))+0-0-0</f>
        <v>790.39669200000003</v>
      </c>
      <c r="V257" s="3">
        <f>0+(823-40.5)+(0+(-2.09865--0.103275))+0-0-0</f>
        <v>780.50462500000003</v>
      </c>
      <c r="W257" s="3">
        <f>0+(956.3-92.1)+(0+(0-0))+0-0-0</f>
        <v>864.19999999999993</v>
      </c>
      <c r="X257" s="3">
        <f>0+(1026.6-147.4)+(0+(-3.664962--0.526218))+0-0-0</f>
        <v>876.06125599999996</v>
      </c>
      <c r="Y257" s="3">
        <f>0+(988.8-129.5)+(0+(-1.512864--0.198135))+0-0-0</f>
        <v>857.9852709999999</v>
      </c>
      <c r="Z257" s="3">
        <f>0+(924-94.6)+(0+(-1.41372--0.144738))+0-0-0</f>
        <v>828.13101799999993</v>
      </c>
      <c r="AA257" s="3">
        <f>0+(882.4-84.3)+(0+(-2.25012--0.214965))+0-0-0</f>
        <v>796.06484499999999</v>
      </c>
      <c r="AB257" s="3">
        <f>0+(781-16.3)+(0+(0-0))+0-0-0</f>
        <v>764.7</v>
      </c>
      <c r="AC257" s="3">
        <f>0+(739.4-9.4)+(0+(-1.131282--0.014382))+0-0-0</f>
        <v>728.88310000000001</v>
      </c>
      <c r="AD257">
        <f t="shared" ref="AD257:AD320" si="4">SUM(F257:AC257)</f>
        <v>18567.147311999997</v>
      </c>
      <c r="AE257" s="3">
        <f>0+(1053.1-155)+(0+(0-0))+0-0-0</f>
        <v>898.09999999999991</v>
      </c>
    </row>
    <row r="258" spans="1:31" s="2" customFormat="1" x14ac:dyDescent="0.25">
      <c r="A258">
        <v>89</v>
      </c>
      <c r="B258">
        <v>9</v>
      </c>
      <c r="C258">
        <v>12</v>
      </c>
      <c r="D258">
        <v>7</v>
      </c>
      <c r="E258">
        <v>1</v>
      </c>
      <c r="F258" s="3">
        <f>0+(723.1-16.4)+(0+(-2.212686--0.050184))+0-0-0</f>
        <v>704.53749800000003</v>
      </c>
      <c r="G258" s="3">
        <f>0+(736-35)+(0+(0-0))+0-0-0</f>
        <v>701</v>
      </c>
      <c r="H258" s="3">
        <f>0+(712.2-44)+(0+(-0.363222--0.02244))+0-0-0</f>
        <v>667.85921800000006</v>
      </c>
      <c r="I258" s="3">
        <f>0+(716-55.5)+(0+(0.36516-0.028305))+0-0-0</f>
        <v>660.83685500000001</v>
      </c>
      <c r="J258" s="3">
        <f>0+(719.1-55.3)+(0+(0-0))+0-0-0</f>
        <v>663.80000000000007</v>
      </c>
      <c r="K258" s="3">
        <f>0+(728.5-82.6)+(0+(1.114605-0.126378))+0-0-0</f>
        <v>646.88822700000003</v>
      </c>
      <c r="L258" s="3">
        <f>0+(791.2-151)+(0+(-0.807024--0.15402))+0-0-0</f>
        <v>639.54699600000004</v>
      </c>
      <c r="M258" s="3">
        <f>0+(798.6-169.6)+(0+(-2.03643--0.43248))+0-0-0</f>
        <v>627.39604999999995</v>
      </c>
      <c r="N258" s="3">
        <f>0+(864.3-206.5)+(0+(0.440793-0.105315))+0-0-0</f>
        <v>658.13547799999992</v>
      </c>
      <c r="O258" s="3">
        <f>3.6+(883.1-188.4)+(0.001836+(0.450381-0.096084))+0-0-0</f>
        <v>698.65613300000007</v>
      </c>
      <c r="P258" s="3">
        <f>111.8+(938.1-359.6)+(-0.228072+(-1.913724--0.733584))+0-0-0</f>
        <v>688.89178799999991</v>
      </c>
      <c r="Q258" s="3">
        <f>121.5+(943.6-371.1)+(-0.061965+(-0.481236--0.189261))+0-0-0</f>
        <v>693.64606000000003</v>
      </c>
      <c r="R258" s="3">
        <f>52.8+(928.7-289)+(-0.080784+(-1.420911--0.44217))+0-0-0</f>
        <v>691.44047499999999</v>
      </c>
      <c r="S258" s="3">
        <f>0+(957.6-277.9)+(0+(-1.465128--0.425187))+0-0-0</f>
        <v>678.66005900000005</v>
      </c>
      <c r="T258" s="3">
        <f>0+(926.5-255.1)+(0+(0.472515-0.130101))+0-0-0</f>
        <v>671.74241399999994</v>
      </c>
      <c r="U258" s="3">
        <f>0+(911.9-249.1)+(0+(-0.930138--0.254082))+0-0-0</f>
        <v>662.12394399999994</v>
      </c>
      <c r="V258" s="3">
        <f>0+(911.4-227.4)+(0+(-0.929628--0.231948))+0-0-0</f>
        <v>683.30232000000001</v>
      </c>
      <c r="W258" s="3">
        <f>0+(991.4-212.4)+(0+(0-0))+0-0-0</f>
        <v>779</v>
      </c>
      <c r="X258" s="3">
        <f>0+(1093.4-287.4)+(0+(-1.115268--0.293148))+0-0-0</f>
        <v>805.17788000000007</v>
      </c>
      <c r="Y258" s="3">
        <f>0+(1144.2-352.3)+(0+(-0.583542--0.179673))+0-0-0</f>
        <v>791.4961310000001</v>
      </c>
      <c r="Z258" s="3">
        <f>0+(1108.8-326.6)+(0+(-1.130976--0.333132))+0-0-0</f>
        <v>781.40215599999988</v>
      </c>
      <c r="AA258" s="3">
        <f>0+(1119.7-355)+(0+(-1.142094--0.3621))+0-0-0</f>
        <v>763.92000600000006</v>
      </c>
      <c r="AB258" s="3">
        <f>0+(1071.1-331.6)+(0+(0-0))+0-0-0</f>
        <v>739.49999999999989</v>
      </c>
      <c r="AC258" s="3">
        <f>0+(990.3-295.1)+(0+(-2.525265--0.752505))+0-0-0</f>
        <v>693.42723999999998</v>
      </c>
      <c r="AD258">
        <f t="shared" si="4"/>
        <v>16792.386928</v>
      </c>
      <c r="AE258" s="3">
        <f>0+(1071.7-266.5)+(0+(0-0))+0-0-0</f>
        <v>805.2</v>
      </c>
    </row>
    <row r="259" spans="1:31" s="2" customFormat="1" x14ac:dyDescent="0.25">
      <c r="A259">
        <v>89</v>
      </c>
      <c r="B259">
        <v>9</v>
      </c>
      <c r="C259">
        <v>13</v>
      </c>
      <c r="D259">
        <v>1</v>
      </c>
      <c r="E259">
        <v>1</v>
      </c>
      <c r="F259" s="3">
        <f>0+(916.7-316.1)+(0+(-2.805102--0.967266))+0-0-0</f>
        <v>598.76216399999998</v>
      </c>
      <c r="G259" s="3">
        <f>0+(856.2-254.1)+(0+(-1.746648--0.518364))+0-0-0</f>
        <v>600.87171599999999</v>
      </c>
      <c r="H259" s="3">
        <f>0+(792.2-199.9)+(0+(-1.616088--0.407796))+0-0-0</f>
        <v>591.09170800000004</v>
      </c>
      <c r="I259" s="3">
        <f>0+(768-158.5)+(0+(-0.78336--0.16167))+0-0-0</f>
        <v>608.87831000000006</v>
      </c>
      <c r="J259" s="3">
        <f>0+(744.9-127.7)+(0+(0-0))+0-0-0</f>
        <v>617.19999999999993</v>
      </c>
      <c r="K259" s="3">
        <f>0+(790-179.6)+(0+(0.4029-0.091596))+0-0-0</f>
        <v>610.71130399999993</v>
      </c>
      <c r="L259" s="3">
        <f>0+(918.5-253.4)+(0+(-1.87374--0.516936))+0-0-0</f>
        <v>663.74319600000001</v>
      </c>
      <c r="M259" s="3">
        <f>0+(955.8-239.9)+(0+(-0.974916--0.244698))+0-0-0</f>
        <v>715.16978199999994</v>
      </c>
      <c r="N259" s="3">
        <f>0+(1023.3-261.6)+(0+(0-0))+0-0-0</f>
        <v>761.69999999999993</v>
      </c>
      <c r="O259" s="3">
        <f>0+(1004.5-205.6)+(0+(1.536885-0.314568))+0-0-0</f>
        <v>800.12231699999995</v>
      </c>
      <c r="P259" s="3">
        <f>0+(1040.7-186.1)+(0+(-1.592271--0.284733))+0-0-0</f>
        <v>853.292462</v>
      </c>
      <c r="Q259" s="3">
        <f>0+(938.3-96.9)+(0+(0-0))+0-0-0</f>
        <v>841.4</v>
      </c>
      <c r="R259" s="3">
        <f>31.5+(935.7-163.5)+(-0.09639+(-2.863242--0.50031))+0-0-0</f>
        <v>801.240678</v>
      </c>
      <c r="S259" s="3">
        <f>48.1+(980.3-273.7)+(-0.073593+(-1.499859--0.418761))+0-0-0</f>
        <v>753.54530899999997</v>
      </c>
      <c r="T259" s="3">
        <f>48.1+(862.2-105.4)+(0+(0-0))+0-0-0</f>
        <v>804.90000000000009</v>
      </c>
      <c r="U259" s="3">
        <f>48.2+(913.5-181)+(0+(0-0))+0-0-0</f>
        <v>780.7</v>
      </c>
      <c r="V259" s="3">
        <f>48.1+(892.1-151.2)+(-0.024531+(-0.454971--0.077112))+0-0-0</f>
        <v>788.59761000000015</v>
      </c>
      <c r="W259" s="3">
        <f>96.8+(952-173.9)+(0.148104+(1.45656-0.266067))+0-0-0</f>
        <v>876.23859700000003</v>
      </c>
      <c r="X259" s="3">
        <f>92.8+(1035.4-272)+(-0.189312+(-2.112216--0.55488))+0-0-0</f>
        <v>854.453352</v>
      </c>
      <c r="Y259" s="3">
        <f>48.1+(1013.1-218.8)+(-0.122655+(-2.583405--0.55794))+0-0-0</f>
        <v>840.25188000000003</v>
      </c>
      <c r="Z259" s="3">
        <f>1.7+(988.7-151.8)+(0+(0-0))+0-0-0</f>
        <v>838.60000000000014</v>
      </c>
      <c r="AA259" s="3">
        <f>0+(1062.2-287.3)+(0+(-2.70861--0.732615))+0-0-0</f>
        <v>772.92400500000008</v>
      </c>
      <c r="AB259" s="3">
        <f>0+(965.1-202.7)+(0+(-0.984402--0.206754))+0-0-0</f>
        <v>761.62235200000009</v>
      </c>
      <c r="AC259" s="3">
        <f>0+(869.1-133.6)+(0+(-2.216205--0.34068))+0-0-0</f>
        <v>733.62447499999996</v>
      </c>
      <c r="AD259">
        <f t="shared" si="4"/>
        <v>17869.641217</v>
      </c>
      <c r="AE259" s="3">
        <f>126+(1009.8-208.8)+(0+(0-0))+0-0-0</f>
        <v>927</v>
      </c>
    </row>
    <row r="260" spans="1:31" s="2" customFormat="1" x14ac:dyDescent="0.25">
      <c r="A260">
        <v>89</v>
      </c>
      <c r="B260">
        <v>9</v>
      </c>
      <c r="C260">
        <v>14</v>
      </c>
      <c r="D260">
        <v>2</v>
      </c>
      <c r="E260">
        <v>1</v>
      </c>
      <c r="F260" s="3">
        <f>0+(855.7-138)+(0+(-1.745628--0.28152))+0-0-0</f>
        <v>716.23589200000004</v>
      </c>
      <c r="G260" s="3">
        <f>0+(786.7-91)+(0+(0-0))+0-0-0</f>
        <v>695.7</v>
      </c>
      <c r="H260" s="3">
        <f>0+(772.9-100.9)+(0+(-0.394179--0.051459))+0-0-0</f>
        <v>671.65728000000001</v>
      </c>
      <c r="I260" s="3">
        <f>0+(743.8-81.1)+(0+(0-0))+0-0-0</f>
        <v>662.69999999999993</v>
      </c>
      <c r="J260" s="3">
        <f>0+(751.9-88)+(0+(-0.766938--0.08976))+0-0-0</f>
        <v>663.22282199999995</v>
      </c>
      <c r="K260" s="3">
        <f>0+(757.9-98.7)+(0+(0-0))+0-0-0</f>
        <v>659.19999999999993</v>
      </c>
      <c r="L260" s="3">
        <f>0+(784.9-93.9)+(0+(-0.800598--0.095778))+0-0-0</f>
        <v>690.29517999999996</v>
      </c>
      <c r="M260" s="3">
        <f>0+(799.3-63.3)+(0+(-0.815286--0.064566))+0-0-0</f>
        <v>735.24928</v>
      </c>
      <c r="N260" s="3">
        <f>0+(855.7-71.6)+(0+(0.436407-0.036516))+0-0-0</f>
        <v>784.49989100000005</v>
      </c>
      <c r="O260" s="3">
        <f>0+(883.5-50.6)+(0+(0.450585-0.025806))+0-0-0</f>
        <v>833.32477899999992</v>
      </c>
      <c r="P260" s="3">
        <f>0+(882.1-27)+(0+(-0.449871--0.01377))+0-0-0</f>
        <v>854.66389900000001</v>
      </c>
      <c r="Q260" s="3">
        <f>0+(889.2-37.3)+(0+(-1.360476--0.057069))+0-0-0</f>
        <v>850.5965930000001</v>
      </c>
      <c r="R260" s="3">
        <f>0+(906.3-67.4)+(0+(-1.386639--0.103122))+0-0-0</f>
        <v>837.61648300000002</v>
      </c>
      <c r="S260" s="3">
        <f>0+(880.9-69.7)+(0+(-0.449259--0.035547))+0-0-0</f>
        <v>810.7862879999999</v>
      </c>
      <c r="T260" s="3">
        <f>0+(826.3-13)+(0+(-0.421413--0.00663))+0-0-0</f>
        <v>812.8852169999999</v>
      </c>
      <c r="U260" s="3">
        <f>24+(788.8-13)+(0+(0-0))+0-0-0</f>
        <v>799.8</v>
      </c>
      <c r="V260" s="3">
        <f>103+(662.4-20.4)+(-0.26265+(-1.68912--0.05202))+0-0-0</f>
        <v>743.10024999999996</v>
      </c>
      <c r="W260" s="3">
        <f>125+(902-118.7)+(0+(0-0))+0-0-0</f>
        <v>908.3</v>
      </c>
      <c r="X260" s="3">
        <f>127+(1034.2-242.1)+(-0.32385+(-2.63721--0.617355))+0-0-0</f>
        <v>916.75629500000002</v>
      </c>
      <c r="Y260" s="3">
        <f>128+(977.9-219.2)+(-0.13056+(-0.997458--0.223584))+0-0-0</f>
        <v>885.79556600000001</v>
      </c>
      <c r="Z260" s="3">
        <f>75+(994.1-203.4)+(-0.19125+(-2.534955--0.51867))+0-0-0</f>
        <v>863.49246500000004</v>
      </c>
      <c r="AA260" s="3">
        <f>0+(1048.6-209.2)+(0+(-1.069572--0.213384))+0-0-0</f>
        <v>838.54381199999989</v>
      </c>
      <c r="AB260" s="3">
        <f>0+(952.3-134.7)+(0+(-2.428365--0.343485))+0-0-0</f>
        <v>815.51511999999991</v>
      </c>
      <c r="AC260" s="3">
        <f>0+(942.9-170.9)+(0+(-0.961758--0.174318))+0-0-0</f>
        <v>771.21256000000005</v>
      </c>
      <c r="AD260">
        <f t="shared" si="4"/>
        <v>18821.149671999996</v>
      </c>
      <c r="AE260" s="3">
        <f>127+(965.2-163.1)+(0+(0-0))+0-0-0</f>
        <v>929.1</v>
      </c>
    </row>
    <row r="261" spans="1:31" s="2" customFormat="1" x14ac:dyDescent="0.25">
      <c r="A261">
        <v>89</v>
      </c>
      <c r="B261">
        <v>9</v>
      </c>
      <c r="C261">
        <v>15</v>
      </c>
      <c r="D261">
        <v>3</v>
      </c>
      <c r="E261">
        <v>1</v>
      </c>
      <c r="F261" s="3">
        <f>0+(906.7-159.5)+(0+(-1.387251--0.244035))+0-0-0</f>
        <v>746.05678399999999</v>
      </c>
      <c r="G261" s="3">
        <f>0+(818.8-96.4)+(0+(-0.835176--0.098328))+0-0-0</f>
        <v>721.66315199999997</v>
      </c>
      <c r="H261" s="3">
        <f>0+(782.4-82.8)+(0+(-1.197072--0.126684))+0-0-0</f>
        <v>698.52961200000004</v>
      </c>
      <c r="I261" s="3">
        <f>0+(770-77.4)+(0+(-1.1781--0.118422))+0-0-0</f>
        <v>691.54032200000006</v>
      </c>
      <c r="J261" s="3">
        <f>0+(765.3-67.3)+(0+(-0.390303--0.034323))+0-0-0</f>
        <v>697.64401999999995</v>
      </c>
      <c r="K261" s="3">
        <f>0+(761.7-74.2)+(0+(0-0))+0-0-0</f>
        <v>687.5</v>
      </c>
      <c r="L261" s="3">
        <f>0+(798.5-83.3)+(0+(-0.407235--0.042483))+0-0-0</f>
        <v>714.83524800000009</v>
      </c>
      <c r="M261" s="3">
        <f>0+(766.3-21.7)+(0+(0-0))+0-0-0</f>
        <v>744.59999999999991</v>
      </c>
      <c r="N261" s="3">
        <f>0+(844.2-54.8)+(0+(0-0))+0-0-0</f>
        <v>789.40000000000009</v>
      </c>
      <c r="O261" s="3">
        <f>0+(920-9.1)+(0+(1.4076-0.013923))+0-0-0</f>
        <v>912.293677</v>
      </c>
      <c r="P261" s="3">
        <f>0+(897.2-26.7)+(0+(-0.915144--0.027234))+0-0-0</f>
        <v>869.61208999999997</v>
      </c>
      <c r="Q261" s="3">
        <f>28+(865.9-30.3)+(-0.04284+(-1.324827--0.046359))+0-0-0</f>
        <v>862.27869199999998</v>
      </c>
      <c r="R261" s="3">
        <f>122.4+(760.3-21.2)+(-0.436968+(-2.714271--0.075684))+0-0-0</f>
        <v>858.42444499999988</v>
      </c>
      <c r="S261" s="3">
        <f>122+(768.3-56.3)+(-0.06222+(-0.391833--0.028713))+0-0-0</f>
        <v>833.57465999999999</v>
      </c>
      <c r="T261" s="3">
        <f>122+(771.5-51.6)+(-0.18666+(-1.180395--0.078948))+0-0-0</f>
        <v>840.61189300000001</v>
      </c>
      <c r="U261" s="3">
        <f>256+(726.9-65.5)+(-0.39168+(-1.112157--0.100215))+0-0-0</f>
        <v>915.99637799999994</v>
      </c>
      <c r="V261" s="3">
        <f>256+(792.6-120.1)+(-0.39168+(-1.212678--0.183753))+0-0-0</f>
        <v>927.07939499999998</v>
      </c>
      <c r="W261" s="3">
        <f>256+(876.5-175.4)+(0.13056+(0.447015-0.089454))+0-0-0</f>
        <v>957.588121</v>
      </c>
      <c r="X261" s="3">
        <f>256+(889.2-213.7)+(-0.26112+(-0.906984--0.217974))+0-0-0</f>
        <v>930.54987000000006</v>
      </c>
      <c r="Y261" s="3">
        <f>254.8+(881.3-232.6)+(-0.909636+(-3.146241--0.830382))+0-0-0</f>
        <v>900.27450499999998</v>
      </c>
      <c r="Z261" s="3">
        <f>139.4+(961-210.3)+(-0.213282+(-1.47033--0.321759))+0-0-0</f>
        <v>888.73814700000003</v>
      </c>
      <c r="AA261" s="3">
        <f>0+(1101.2-250.5)+(0+(-1.684836--0.383265))+0-0-0</f>
        <v>849.39842900000008</v>
      </c>
      <c r="AB261" s="3">
        <f>0+(1058.8-236.1)+(0+(-2.159952--0.481644))+0-0-0</f>
        <v>821.02169199999992</v>
      </c>
      <c r="AC261" s="3">
        <f>0+(988.7-204.7)+(0+(-3.025422--0.626382))+0-0-0</f>
        <v>781.60095999999999</v>
      </c>
      <c r="AD261">
        <f t="shared" si="4"/>
        <v>19640.812092</v>
      </c>
      <c r="AE261" s="3">
        <f>253+(938.5-253.7)+(0+(0-0))+0-0-0</f>
        <v>937.8</v>
      </c>
    </row>
    <row r="262" spans="1:31" s="2" customFormat="1" x14ac:dyDescent="0.25">
      <c r="A262">
        <v>89</v>
      </c>
      <c r="B262">
        <v>9</v>
      </c>
      <c r="C262">
        <v>16</v>
      </c>
      <c r="D262">
        <v>4</v>
      </c>
      <c r="E262">
        <v>1</v>
      </c>
      <c r="F262" s="3">
        <f>0+(815-91.1)+(0+(-1.24695--0.139383))+0-0-0</f>
        <v>722.79243299999996</v>
      </c>
      <c r="G262" s="3">
        <f>0+(716.7-25.5)+(0+(-0.731034--0.02601))+0-0-0</f>
        <v>690.49497600000007</v>
      </c>
      <c r="H262" s="3">
        <f>0+(697.6-26.7)+(0+(0-0))+0-0-0</f>
        <v>670.9</v>
      </c>
      <c r="I262" s="3">
        <f>0+(730.6-64.4)+(0+(-0.745212--0.065688))+0-0-0</f>
        <v>665.52047600000003</v>
      </c>
      <c r="J262" s="3">
        <f>0+(717.2-55.4)+(0+(-0.731544--0.056508))+0-0-0</f>
        <v>661.12496400000009</v>
      </c>
      <c r="K262" s="3">
        <f>0+(779.3-118.2)+(0+(-0.397443--0.060282))+0-0-0</f>
        <v>660.76283899999987</v>
      </c>
      <c r="L262" s="3">
        <f>0+(773.8-73.6)+(0+(-1.183914--0.112608))+0-0-0</f>
        <v>699.12869399999988</v>
      </c>
      <c r="M262" s="3">
        <f>0+(791.1-61)+(0+(0-0))+0-0-0</f>
        <v>730.1</v>
      </c>
      <c r="N262" s="3">
        <f>0+(864.8-73.8)+(0+(-1.323144--0.112914))+0-0-0</f>
        <v>789.78976999999998</v>
      </c>
      <c r="O262" s="3">
        <f>104.6+(920.2-193.1)+(0.160038+(1.407906-0.295443))+0-0-0</f>
        <v>832.97250100000008</v>
      </c>
      <c r="P262" s="3">
        <f>198.9+(898.3-239.2)+(-0.304317+(-1.374399--0.365976))+0-0-0</f>
        <v>856.68725999999992</v>
      </c>
      <c r="Q262" s="3">
        <f>209.4+(828.6-181.6)+(-0.213588+(-0.845172--0.185232))+0-0-0</f>
        <v>855.52647200000001</v>
      </c>
      <c r="R262" s="3">
        <f>141.8+(822.6-113)+(-0.144636+(-0.839052--0.11526))+0-0-0</f>
        <v>850.5315720000001</v>
      </c>
      <c r="S262" s="3">
        <f>99.2+(803.5-80.6)+(-0.050592+(-0.409785--0.041106))+0-0-0</f>
        <v>821.68072900000004</v>
      </c>
      <c r="T262" s="3">
        <f>99.1+(749.9-36.5)+(0.050541+(0.382449-0.018615))+0-0-0</f>
        <v>812.91437499999995</v>
      </c>
      <c r="U262" s="3">
        <f>99.1+(782.9-72.1)+(0.050541+(0.399279-0.036771))+0-0-0</f>
        <v>810.31304899999998</v>
      </c>
      <c r="V262" s="3">
        <f>99.1+(764.5-29.9)+(-0.252705+(-1.949475--0.076245))+0-0-0</f>
        <v>831.57406500000002</v>
      </c>
      <c r="W262" s="3">
        <f>193+(784-59.3)+(0+(0-0))+0-0-0</f>
        <v>917.7</v>
      </c>
      <c r="X262" s="3">
        <f>250.6+(794.9-117.4)+(-0.766836+(-2.432394--0.359244))+0-0-0</f>
        <v>925.26001400000007</v>
      </c>
      <c r="Y262" s="3">
        <f>59.8+(924.4-88.6)+(-0.121992+(-1.885776--0.180744))+0-0-0</f>
        <v>893.77297599999986</v>
      </c>
      <c r="Z262" s="3">
        <f>0+(900.7-31.4)+(0+(-1.378071--0.048042))+0-0-0</f>
        <v>867.9699710000001</v>
      </c>
      <c r="AA262" s="3">
        <f>0+(953.1-110)+(0+(-1.458243--0.1683))+0-0-0</f>
        <v>841.81005700000003</v>
      </c>
      <c r="AB262" s="3">
        <f>0+(909.1-99.8)+(0+(-1.854564--0.203592))+0-0-0</f>
        <v>807.64902800000004</v>
      </c>
      <c r="AC262" s="3">
        <f>0+(922.9-152.4)+(0+(-2.353395--0.38862))+0-0-0</f>
        <v>768.53522499999997</v>
      </c>
      <c r="AD262">
        <f t="shared" si="4"/>
        <v>18985.511446</v>
      </c>
      <c r="AE262" s="3">
        <f>246+(821.7-152.3)+(0+(0-0))+0-0-0</f>
        <v>915.40000000000009</v>
      </c>
    </row>
    <row r="263" spans="1:31" s="2" customFormat="1" x14ac:dyDescent="0.25">
      <c r="A263">
        <v>89</v>
      </c>
      <c r="B263">
        <v>9</v>
      </c>
      <c r="C263">
        <v>17</v>
      </c>
      <c r="D263">
        <v>5</v>
      </c>
      <c r="E263">
        <v>1</v>
      </c>
      <c r="F263" s="3">
        <f>0+(835.4-107.2)+(0+(-2.556324--0.328032))+0-0-0</f>
        <v>725.97170799999992</v>
      </c>
      <c r="G263" s="3">
        <f>0+(694-7.2)+(0+(-1.41576--0.014688))+0-0-0</f>
        <v>685.39892799999996</v>
      </c>
      <c r="H263" s="3">
        <f>0+(680.3-7.8)+(0+(-1.734765--0.01989))+0-0-0</f>
        <v>670.78512499999999</v>
      </c>
      <c r="I263" s="3">
        <f>0+(680.2-18.3)+(0+(0-0))+0-0-0</f>
        <v>661.90000000000009</v>
      </c>
      <c r="J263" s="3">
        <f>0+(716.4-54.1)+(0+(0.365364-0.027591))+0-0-0</f>
        <v>662.63777299999992</v>
      </c>
      <c r="K263" s="3">
        <f>0+(766.9-102.1)+(0+(-0.782238--0.104142))+0-0-0</f>
        <v>664.12190399999997</v>
      </c>
      <c r="L263" s="3">
        <f>0+(914.1-200.3)+(0+(0-0))+0-0-0</f>
        <v>713.8</v>
      </c>
      <c r="M263" s="3">
        <f>0+(965.1-224.7)+(0+(-0.984402--0.229194))+0-0-0</f>
        <v>739.64479200000005</v>
      </c>
      <c r="N263" s="3">
        <f>0+(930.6-131.7)+(0+(-1.423818--0.201501))+0-0-0</f>
        <v>797.67768300000012</v>
      </c>
      <c r="O263" s="3">
        <f>54.4+(888.1-98.5)+(-0.055488+(-0.905862--0.10047))+0-0-0</f>
        <v>843.13912000000005</v>
      </c>
      <c r="P263" s="3">
        <f>126.3+(805.2-66.8)+(-0.193239+(-1.231956--0.102204))+0-0-0</f>
        <v>863.37700900000004</v>
      </c>
      <c r="Q263" s="3">
        <f>119.1+(768.9-35)+(-0.182223+(-1.176417--0.05355))+0-0-0</f>
        <v>851.69491000000005</v>
      </c>
      <c r="R263" s="3">
        <f>124.7+(768.3-50.9)+(-0.317985+(-1.959165--0.129795))+0-0-0</f>
        <v>839.95264500000008</v>
      </c>
      <c r="S263" s="3">
        <f>123.9+(753-55.2)+(-0.126378+(-0.76806--0.056304))+0-0-0</f>
        <v>820.86186599999996</v>
      </c>
      <c r="T263" s="3">
        <f>123.4+(749.5-52.4)+(-0.125868+(-0.76449--0.053448))+0-0-0</f>
        <v>819.66309000000001</v>
      </c>
      <c r="U263" s="3">
        <f>76+(772-26.1)+(-0.07752+(-0.78744--0.026622))+0-0-0</f>
        <v>821.06166199999996</v>
      </c>
      <c r="V263" s="3">
        <f>49.8+(803.4-9.9)+(-0.101592+(-1.638936--0.020196))+0-0-0</f>
        <v>841.57966799999997</v>
      </c>
      <c r="W263" s="3">
        <f>127.9+(830.3-16)+(-0.065229+(-0.423453--0.00816))+0-0-0</f>
        <v>941.71947799999998</v>
      </c>
      <c r="X263" s="3">
        <f>130.1+(877-64.4)+(-0.199053+(-1.34181--0.098532))+0-0-0</f>
        <v>941.25766900000008</v>
      </c>
      <c r="Y263" s="3">
        <f>86.6+(895.9-70.5)+(-0.176664+(-1.827636--0.14382))+0-0-0</f>
        <v>910.13951999999995</v>
      </c>
      <c r="Z263" s="3">
        <f>50.1+(992.1-152.4)+(0.025551+(0.505971-0.077724))+0-0-0</f>
        <v>890.25379800000007</v>
      </c>
      <c r="AA263" s="3">
        <f>28.3+(1013.8-188.1)+(-0.028866+(-1.034076--0.191862))+0-0-0</f>
        <v>853.12891999999988</v>
      </c>
      <c r="AB263" s="3">
        <f>0+(1041-204.8)+(0+(-2.65455--0.52224))+0-0-0</f>
        <v>834.06769000000008</v>
      </c>
      <c r="AC263" s="3">
        <f>0+(904.2-114.1)+(0+(-0.922284--0.116382))+0-0-0</f>
        <v>789.29409800000008</v>
      </c>
      <c r="AD263">
        <f t="shared" si="4"/>
        <v>19183.129055999998</v>
      </c>
      <c r="AE263" s="3">
        <f>128+(890.5-70.1)+(0+(0-0))+0-0-0</f>
        <v>948.4</v>
      </c>
    </row>
    <row r="264" spans="1:31" s="2" customFormat="1" x14ac:dyDescent="0.25">
      <c r="A264">
        <v>89</v>
      </c>
      <c r="B264">
        <v>9</v>
      </c>
      <c r="C264">
        <v>18</v>
      </c>
      <c r="D264">
        <v>6</v>
      </c>
      <c r="E264">
        <v>1</v>
      </c>
      <c r="F264" s="3">
        <f>0+(837.2-105.5)+(0+(0.426972-0.053805))+0-0-0</f>
        <v>732.07316700000001</v>
      </c>
      <c r="G264" s="3">
        <f>0+(777-66.9)+(0+(-0.39627--0.034119))+0-0-0</f>
        <v>709.73784899999998</v>
      </c>
      <c r="H264" s="3">
        <f>0+(699.4-17)+(0+(-0.356694--0.00867))+0-0-0</f>
        <v>682.05197599999997</v>
      </c>
      <c r="I264" s="3">
        <f>0+(688.1-10.2)+(0+(0-0))+0-0-0</f>
        <v>677.9</v>
      </c>
      <c r="J264" s="3">
        <f>0+(698.9-26.2)+(0+(1.069317-0.040086))+0-0-0</f>
        <v>673.72923099999991</v>
      </c>
      <c r="K264" s="3">
        <f>0+(707.5-32.6)+(0+(0.360825-0.016626))+0-0-0</f>
        <v>675.24419899999998</v>
      </c>
      <c r="L264" s="3">
        <f>0+(746.5-47.5)+(0+(-1.52286--0.0969))+0-0-0</f>
        <v>697.57403999999997</v>
      </c>
      <c r="M264" s="3">
        <f>0+(756-40.3)+(0+(-0.77112--0.041106))+0-0-0</f>
        <v>714.96998600000006</v>
      </c>
      <c r="N264" s="3">
        <f>0+(758.3-5.1)+(0+(1.546932-0.010404))+0-0-0</f>
        <v>754.73652799999991</v>
      </c>
      <c r="O264" s="3">
        <f>0+(837.3-23.2)+(0+(-0.427023--0.011832))+0-0-0</f>
        <v>813.68480899999986</v>
      </c>
      <c r="P264" s="3">
        <f>0+(882.7-58.4)+(0+(0.450177-0.029784))+0-0-0</f>
        <v>824.72039300000006</v>
      </c>
      <c r="Q264" s="3">
        <f>0+(894.9-70.6)+(0+(-0.456399--0.036006))+0-0-0</f>
        <v>823.87960699999996</v>
      </c>
      <c r="R264" s="3">
        <f>0+(841.9-38.9)+(0+(-2.146845--0.099195))+0-0-0</f>
        <v>800.95235000000002</v>
      </c>
      <c r="S264" s="3">
        <f>0+(867.3-75.3)+(0+(-0.884646--0.076806))+0-0-0</f>
        <v>791.19215999999994</v>
      </c>
      <c r="T264" s="3">
        <f>0+(823.7-44.5)+(0+(-0.420087--0.022695))+0-0-0</f>
        <v>778.80260800000008</v>
      </c>
      <c r="U264" s="3">
        <f>0+(777.2-20.4)+(0+(-0.792744--0.020808))+0-0-0</f>
        <v>756.02806400000009</v>
      </c>
      <c r="V264" s="3">
        <f>0+(787-12.6)+(0+(0-0))+0-0-0</f>
        <v>774.4</v>
      </c>
      <c r="W264" s="3">
        <f>0+(1038.1-152.9)+(0+(0.529431-0.077979))+0-0-0</f>
        <v>885.65145199999995</v>
      </c>
      <c r="X264" s="3">
        <f>0+(1095.8-216.8)+(0+(0-0))+0-0-0</f>
        <v>879</v>
      </c>
      <c r="Y264" s="3">
        <f>0+(1045.5-190.1)+(0+(-1.599615--0.290853))+0-0-0</f>
        <v>854.09123799999998</v>
      </c>
      <c r="Z264" s="3">
        <f>0+(990.9-150.8)+(0+(-1.010718--0.153816))+0-0-0</f>
        <v>839.24309799999992</v>
      </c>
      <c r="AA264" s="3">
        <f>0+(922.9-117)+(0+(0.470679-0.05967))+0-0-0</f>
        <v>806.31100900000001</v>
      </c>
      <c r="AB264" s="3">
        <f>0+(821.3-49.1)+(0+(-2.094315--0.125205))+0-0-0</f>
        <v>770.23088999999993</v>
      </c>
      <c r="AC264" s="3">
        <f>0+(749.1-6.3)+(0+(-3.056328--0.025704))+0-0-0</f>
        <v>739.76937600000008</v>
      </c>
      <c r="AD264">
        <f t="shared" si="4"/>
        <v>18455.974029999998</v>
      </c>
      <c r="AE264" s="3">
        <f>0+(1122.4-221.5)+(0+(0-0))+0-0-0</f>
        <v>900.90000000000009</v>
      </c>
    </row>
    <row r="265" spans="1:31" s="2" customFormat="1" x14ac:dyDescent="0.25">
      <c r="A265">
        <v>89</v>
      </c>
      <c r="B265">
        <v>9</v>
      </c>
      <c r="C265">
        <v>19</v>
      </c>
      <c r="D265">
        <v>7</v>
      </c>
      <c r="E265">
        <v>1</v>
      </c>
      <c r="F265" s="3">
        <f>0+(759.6-49.1)+(0+(0-0))+0-0-0</f>
        <v>710.5</v>
      </c>
      <c r="G265" s="3">
        <f>0+(662.9-1.9)+(0+(-1.014237--0.002907))+0-0-0</f>
        <v>659.98866999999996</v>
      </c>
      <c r="H265" s="3">
        <f>0+(710.8-51.8)+(0+(-0.725016--0.052836))+0-0-0</f>
        <v>658.32781999999997</v>
      </c>
      <c r="I265" s="3">
        <f>0+(672-19.5)+(0+(0.34272-0.009945))+0-0-0</f>
        <v>652.83277499999997</v>
      </c>
      <c r="J265" s="3">
        <f>0+(659.5-15.1)+(0+(-1.681725--0.038505))+0-0-0</f>
        <v>642.75677999999994</v>
      </c>
      <c r="K265" s="3">
        <f>0+(656.9-15.7)+(0+(0.335019-0.008007))+0-0-0</f>
        <v>641.5270119999999</v>
      </c>
      <c r="L265" s="3">
        <f>0+(688.1-45.6)+(0+(-0.701862--0.046512))+0-0-0</f>
        <v>641.84465</v>
      </c>
      <c r="M265" s="3">
        <f>0+(714.5-84.6)+(0+(-1.093185--0.129438))+0-0-0</f>
        <v>628.93625299999997</v>
      </c>
      <c r="N265" s="3">
        <f>0+(742.4-88)+(0+(-0.757248--0.08976))+0-0-0</f>
        <v>653.73251199999993</v>
      </c>
      <c r="O265" s="3">
        <f>0+(773.2-83.8)+(0+(-1.182996--0.128214))+0-0-0</f>
        <v>688.34521800000005</v>
      </c>
      <c r="P265" s="3">
        <f>0+(809.2-103.4)+(0+(-1.650768--0.210936))+0-0-0</f>
        <v>704.36016800000004</v>
      </c>
      <c r="Q265" s="3">
        <f>0+(851.7-137)+(0+(-0.868734--0.13974))+0-0-0</f>
        <v>713.9710060000001</v>
      </c>
      <c r="R265" s="3">
        <f>0+(831.4-122.8)+(0+(-1.272042--0.187884))+0-0-0</f>
        <v>707.51584200000002</v>
      </c>
      <c r="S265" s="3">
        <f>0+(791-104.7)+(0+(-1.61364--0.213588))+0-0-0</f>
        <v>684.89994799999999</v>
      </c>
      <c r="T265" s="3">
        <f>0+(795.6-115.2)+(0+(-0.811512--0.117504))+0-0-0</f>
        <v>679.70599199999992</v>
      </c>
      <c r="U265" s="3">
        <f>0+(777.1-108.1)+(0+(0-0))+0-0-0</f>
        <v>669</v>
      </c>
      <c r="V265" s="3">
        <f>0+(830.2-144.4)+(0+(-2.11701--0.36822))+0-0-0</f>
        <v>684.05121000000008</v>
      </c>
      <c r="W265" s="3">
        <f>0+(1100.9-312.1)+(0+(0.561459-0.159171))+0-0-0</f>
        <v>789.20228800000007</v>
      </c>
      <c r="X265" s="3">
        <f>0+(1202.1-399.8)+(0+(-0.613071--0.203898))+0-0-0</f>
        <v>801.89082699999994</v>
      </c>
      <c r="Y265" s="3">
        <f>0+(1175.4-384.3)+(0+(-1.798362--0.587979))+0-0-0</f>
        <v>789.88961700000016</v>
      </c>
      <c r="Z265" s="3">
        <f>0+(1128.1-361.3)+(0+(-0.575331--0.184263))+0-0-0</f>
        <v>766.40893199999994</v>
      </c>
      <c r="AA265" s="3">
        <f>0+(1104.7-352.4)+(0+(0-0))+0-0-0</f>
        <v>752.30000000000007</v>
      </c>
      <c r="AB265" s="3">
        <f>0+(1035.8-297.5)+(0+(-1.056516--0.30345))+0-0-0</f>
        <v>737.54693399999996</v>
      </c>
      <c r="AC265" s="3">
        <f>0+(901.7-196.1)+(0+(-2.759202--0.600066))+0-0-0</f>
        <v>703.44086400000003</v>
      </c>
      <c r="AD265">
        <f t="shared" si="4"/>
        <v>16762.975317999997</v>
      </c>
      <c r="AE265" s="3">
        <f>0+(1210.8-398.3)+(0+(0-0))+0-0-0</f>
        <v>812.5</v>
      </c>
    </row>
    <row r="266" spans="1:31" s="2" customFormat="1" x14ac:dyDescent="0.25">
      <c r="A266">
        <v>89</v>
      </c>
      <c r="B266">
        <v>9</v>
      </c>
      <c r="C266">
        <v>20</v>
      </c>
      <c r="D266">
        <v>1</v>
      </c>
      <c r="E266">
        <v>1</v>
      </c>
      <c r="F266" s="3">
        <f>0+(778.5-124.7)+(0+(-1.191105--0.190791))+0-0-0</f>
        <v>652.79968599999995</v>
      </c>
      <c r="G266" s="3">
        <f>0+(729.2-106.2)+(0+(1.115676-0.162486))+0-0-0</f>
        <v>623.95318999999995</v>
      </c>
      <c r="H266" s="3">
        <f>0+(690.1-67.6)+(0+(-0.703902--0.068952))+0-0-0</f>
        <v>621.86505</v>
      </c>
      <c r="I266" s="3">
        <f>0+(709.1-87.6)+(0+(0-0))+0-0-0</f>
        <v>621.5</v>
      </c>
      <c r="J266" s="3">
        <f>0+(696.1-82.1)+(0+(-0.355011--0.041871))+0-0-0</f>
        <v>613.68686000000002</v>
      </c>
      <c r="K266" s="3">
        <f>0+(707.1-82.2)+(0+(1.803105-0.20961))+0-0-0</f>
        <v>626.49349499999994</v>
      </c>
      <c r="L266" s="3">
        <f>0+(768.1-93.2)+(0+(-0.391731--0.047532))+0-0-0</f>
        <v>674.55580099999997</v>
      </c>
      <c r="M266" s="3">
        <f>0+(807.3-74.4)+(0+(-0.411723--0.037944))+0-0-0</f>
        <v>732.52622099999996</v>
      </c>
      <c r="N266" s="3">
        <f>0+(928.4-149.5)+(0+(0-0))+0-0-0</f>
        <v>778.9</v>
      </c>
      <c r="O266" s="3">
        <f>39.8+(1004.1-219.1)+(-0.040596+(-1.024182--0.223482))+0-0-0</f>
        <v>823.9587039999999</v>
      </c>
      <c r="P266" s="3">
        <f>50+(1059.4-268.4)+(0.0255+(0.540294-0.136884))+0-0-0</f>
        <v>841.42891000000009</v>
      </c>
      <c r="Q266" s="3">
        <f>60.7+(1084.8-290.9)+(-0.154785+(-2.76624--0.741795))+0-0-0</f>
        <v>852.42077000000006</v>
      </c>
      <c r="R266" s="3">
        <f>27.6+(1033.4-220.4)+(-0.056304+(-2.108136--0.449616))+0-0-0</f>
        <v>838.88517600000011</v>
      </c>
      <c r="S266" s="3">
        <f>0+(945.6-128.5)+(0+(-1.929024--0.26214))+0-0-0</f>
        <v>815.43311600000004</v>
      </c>
      <c r="T266" s="3">
        <f>0+(911.9-90.8)+(0+(1.860276-0.185232))+0-0-0</f>
        <v>822.77504399999998</v>
      </c>
      <c r="U266" s="3">
        <f>0+(920-105.9)+(0+(-2.346--0.270045))+0-0-0</f>
        <v>812.024045</v>
      </c>
      <c r="V266" s="3">
        <f>0+(941-95.5)+(0+(-1.43973--0.146115))+0-0-0</f>
        <v>844.20638499999995</v>
      </c>
      <c r="W266" s="3">
        <f>0+(1176.5-245.7)+(0+(-1.800045--0.375921))+0-0-0</f>
        <v>929.37587599999995</v>
      </c>
      <c r="X266" s="3">
        <f>107.4+(1098.5-298.2)+(-0.219096+(-2.24094--0.608328))+0-0-0</f>
        <v>905.8482919999999</v>
      </c>
      <c r="Y266" s="3">
        <f>89.9+(941.3-155.2)+(-0.137547+(-1.440189--0.237456))+0-0-0</f>
        <v>874.65971999999988</v>
      </c>
      <c r="Z266" s="3">
        <f>90.3+(854.9-88.6)+(-0.184212+(-1.743996--0.180744))+0-0-0</f>
        <v>854.85253599999987</v>
      </c>
      <c r="AA266" s="3">
        <f>34.2+(905.8-111.5)+(-0.052326+(-1.385874--0.170595))+0-0-0</f>
        <v>827.232395</v>
      </c>
      <c r="AB266" s="3">
        <f>0+(914-102.1)+(0+(-1.86456--0.208284))+0-0-0</f>
        <v>810.24372399999993</v>
      </c>
      <c r="AC266" s="3">
        <f>0+(984.8-204.3)+(0+(-1.506744--0.312579))+0-0-0</f>
        <v>779.305835</v>
      </c>
      <c r="AD266">
        <f t="shared" si="4"/>
        <v>18578.930830999998</v>
      </c>
      <c r="AE266" s="3">
        <f>120+(1217.9-324.8)+(0+(0-0))+0-0-0</f>
        <v>1013.1000000000001</v>
      </c>
    </row>
    <row r="267" spans="1:31" s="2" customFormat="1" x14ac:dyDescent="0.25">
      <c r="A267">
        <v>89</v>
      </c>
      <c r="B267">
        <v>9</v>
      </c>
      <c r="C267">
        <v>21</v>
      </c>
      <c r="D267">
        <v>2</v>
      </c>
      <c r="E267">
        <v>1</v>
      </c>
      <c r="F267" s="3">
        <f>0+(842.6-106.2)+(0+(-2.14863--0.27081))+0-0-0</f>
        <v>734.52217999999993</v>
      </c>
      <c r="G267" s="3">
        <f>0+(742.5-36.9)+(0+(-0.378675--0.018819))+0-0-0</f>
        <v>705.24014399999999</v>
      </c>
      <c r="H267" s="3">
        <f>0+(691.4-8.1)+(0+(-1.410456--0.016524))+0-0-0</f>
        <v>681.906068</v>
      </c>
      <c r="I267" s="3">
        <f>0+(669.5-1.2)+(0+(1.024335-0.001836))+0-0-0</f>
        <v>669.32249899999999</v>
      </c>
      <c r="J267" s="3">
        <f>0+(675.3-2.1)+(0+(1.722015-0.005355))+0-0-0</f>
        <v>674.91665999999998</v>
      </c>
      <c r="K267" s="3">
        <f>0+(676.3-1.3)+(0+(1.034739-0.001989))+0-0-0</f>
        <v>676.03274999999996</v>
      </c>
      <c r="L267" s="3">
        <f>0+(695.5-1)+(0+(-0.354705--0.00051))+0-0-0</f>
        <v>694.145805</v>
      </c>
      <c r="M267" s="3">
        <f>0+(724.7-0)+(0+(-0.369597-0))+0-0-0</f>
        <v>724.33040300000005</v>
      </c>
      <c r="N267" s="3">
        <f>0+(779.2-0)+(0+(0-0))+0-0-0</f>
        <v>779.2</v>
      </c>
      <c r="O267" s="3">
        <f>0+(834.1-55.3)+(0+(-1.276173--0.084609))+0-0-0</f>
        <v>777.6084360000001</v>
      </c>
      <c r="P267" s="3">
        <f>67.3+(824.4-37)+(-0.034323+(-0.420444--0.01887))+0-0-0</f>
        <v>854.26410299999998</v>
      </c>
      <c r="Q267" s="3">
        <f>83.6+(847.7-66.3)+(-0.127908+(-1.296981--0.101439))+0-0-0</f>
        <v>863.67655000000013</v>
      </c>
      <c r="R267" s="3">
        <f>47.9+(891.1-96.2)+(-0.195432+(-3.635688--0.392496))+0-0-0</f>
        <v>839.36137599999995</v>
      </c>
      <c r="S267" s="3">
        <f>47.9+(800-27.5)+(-0.024429+(-0.408--0.014025))+0-0-0</f>
        <v>819.98159599999997</v>
      </c>
      <c r="T267" s="3">
        <f>85.2+(723.6-7.8)+(-0.130356+(-1.107108--0.011934))+0-0-0</f>
        <v>799.77447000000006</v>
      </c>
      <c r="U267" s="3">
        <f>0+(812.8-1.6)+(0+(1.243584-0.002448))+0-0-0</f>
        <v>812.44113599999991</v>
      </c>
      <c r="V267" s="3">
        <f>0+(834.9-2.9)+(0+(-2.128995--0.007395))+0-0-0</f>
        <v>829.87840000000006</v>
      </c>
      <c r="W267" s="3">
        <f>0+(946.2-39.6)+(0+(0.482562-0.020196))+0-0-0</f>
        <v>907.062366</v>
      </c>
      <c r="X267" s="3">
        <f>27.1+(953.6-83.8)+(-0.041463+(-1.459008--0.128214))+0-0-0</f>
        <v>895.5277430000001</v>
      </c>
      <c r="Y267" s="3">
        <f>50.1+(895.2-67.7)+(-0.076653+(-1.369656--0.103581))+0-0-0</f>
        <v>876.25727200000006</v>
      </c>
      <c r="Z267" s="3">
        <f>73.3+(830.4-48.8)+(-0.074766+(-0.847008--0.049776))+0-0-0</f>
        <v>854.02800200000001</v>
      </c>
      <c r="AA267" s="3">
        <f>0+(963-141.7)+(0+(0-0))+0-0-0</f>
        <v>821.3</v>
      </c>
      <c r="AB267" s="3">
        <f>0+(890.5-86.2)+(0+(-1.362465--0.131886))+0-0-0</f>
        <v>803.06942099999992</v>
      </c>
      <c r="AC267" s="3">
        <f>0+(788.9-21)+(0+(-0.804678--0.02142))+0-0-0</f>
        <v>767.11674199999993</v>
      </c>
      <c r="AD267">
        <f t="shared" si="4"/>
        <v>18860.964121999998</v>
      </c>
      <c r="AE267" s="3">
        <f>0+(1030.1-98.2)+(0+(0-0))+0-0-0</f>
        <v>931.89999999999986</v>
      </c>
    </row>
    <row r="268" spans="1:31" s="2" customFormat="1" x14ac:dyDescent="0.25">
      <c r="A268">
        <v>89</v>
      </c>
      <c r="B268">
        <v>9</v>
      </c>
      <c r="C268">
        <v>22</v>
      </c>
      <c r="D268">
        <v>3</v>
      </c>
      <c r="E268">
        <v>1</v>
      </c>
      <c r="F268" s="3">
        <f>0+(819.7-79.1)+(0+(-2.508282--0.242046))+0-0-0</f>
        <v>738.33376399999997</v>
      </c>
      <c r="G268" s="3">
        <f>0+(699-9.8)+(0+(-2.49543--0.034986))+0-0-0</f>
        <v>686.73955599999999</v>
      </c>
      <c r="H268" s="3">
        <f>0+(689.3-11.3)+(0+(-1.054629--0.017289))+0-0-0</f>
        <v>676.96266000000003</v>
      </c>
      <c r="I268" s="3">
        <f>0+(673.1-12.1)+(0+(0-0))+0-0-0</f>
        <v>661</v>
      </c>
      <c r="J268" s="3">
        <f>0+(669.8-13.9)+(0+(-0.341598--0.007089))+0-0-0</f>
        <v>655.56549099999995</v>
      </c>
      <c r="K268" s="3">
        <f>0+(678.6-13.9)+(0+(0.692172-0.014178))+0-0-0</f>
        <v>665.37799400000006</v>
      </c>
      <c r="L268" s="3">
        <f>0+(706.2-13.4)+(0+(-0.720324--0.013668))+0-0-0</f>
        <v>692.09334400000012</v>
      </c>
      <c r="M268" s="3">
        <f>0+(733.6-4.6)+(0+(0.374136-0.002346))+0-0-0</f>
        <v>729.37179000000003</v>
      </c>
      <c r="N268" s="3">
        <f>0+(804.7-15.8)+(0+(-0.820794--0.016116))+0-0-0</f>
        <v>788.09532200000012</v>
      </c>
      <c r="O268" s="3">
        <f>0+(854.6-1.6)+(0+(0-0))+0-0-0</f>
        <v>853</v>
      </c>
      <c r="P268" s="3">
        <f>0+(875-6)+(0+(0-0))+0-0-0</f>
        <v>869</v>
      </c>
      <c r="Q268" s="3">
        <f>0+(883-0)+(0+(0-0))+0-0-0</f>
        <v>883</v>
      </c>
      <c r="R268" s="3">
        <f>72.1+(784.7-0)+(0+(0-0))+0-0-0</f>
        <v>856.80000000000007</v>
      </c>
      <c r="S268" s="3">
        <f>90.2+(732.3-6.9)+(0+(0-0))+0-0-0</f>
        <v>815.6</v>
      </c>
      <c r="T268" s="3">
        <f>90.2+(758.9-57)+(0+(0-0))+0-0-0</f>
        <v>792.1</v>
      </c>
      <c r="U268" s="3">
        <f>5+(719.7-21.3)+(0+(0-0))+0-0-0</f>
        <v>703.40000000000009</v>
      </c>
      <c r="V268" s="3">
        <f>0+(794.8-0)+(0+(0-0))+0-0-0</f>
        <v>794.8</v>
      </c>
      <c r="W268" s="3">
        <f>0+(924.6-52.6)+(0+(0-0))+0-0-0</f>
        <v>872</v>
      </c>
      <c r="X268" s="3">
        <f>0+(987.8-97.7)+(0+(0-0))+0-0-0</f>
        <v>890.09999999999991</v>
      </c>
      <c r="Y268" s="3">
        <f>0+(916.9-48.9)+(0+(0-0))+0-0-0</f>
        <v>868</v>
      </c>
      <c r="Z268" s="3">
        <f>0+(877.5-43.6)+(0+(0-0))+0-0-0</f>
        <v>833.9</v>
      </c>
      <c r="AA268" s="3">
        <f>0+(896.2-83.8)+(0+(0-0))+0-0-0</f>
        <v>812.40000000000009</v>
      </c>
      <c r="AB268" s="3">
        <f>0+(825-38.8)+(0+(0-0))+0-0-0</f>
        <v>786.2</v>
      </c>
      <c r="AC268" s="3">
        <f>0+(815.7-56.5)+(0+(0-0))+0-0-0</f>
        <v>759.2</v>
      </c>
      <c r="AD268">
        <f t="shared" si="4"/>
        <v>18683.039921</v>
      </c>
      <c r="AE268" s="3">
        <f>0+(1023.2-122.7)+(0+(0-0))+0-0-0</f>
        <v>900.5</v>
      </c>
    </row>
    <row r="269" spans="1:31" s="2" customFormat="1" x14ac:dyDescent="0.25">
      <c r="A269">
        <v>89</v>
      </c>
      <c r="B269">
        <v>9</v>
      </c>
      <c r="C269">
        <v>23</v>
      </c>
      <c r="D269">
        <v>4</v>
      </c>
      <c r="E269">
        <v>1</v>
      </c>
      <c r="F269" s="3">
        <f>0+(735.2-9.8)+(0+(0-0))+0-0-0</f>
        <v>725.40000000000009</v>
      </c>
      <c r="G269" s="3">
        <f>0+(708.2-23.1)+(0+(0-0))+0-0-0</f>
        <v>685.1</v>
      </c>
      <c r="H269" s="3">
        <f>0+(718.6-50.2)+(0+(0-0))+0-0-0</f>
        <v>668.4</v>
      </c>
      <c r="I269" s="3">
        <f>0+(731.2-72.1)+(0+(0-0))+0-0-0</f>
        <v>659.1</v>
      </c>
      <c r="J269" s="3">
        <f>0+(742.1-91.6)+(0+(0-0))+0-0-0</f>
        <v>650.5</v>
      </c>
      <c r="K269" s="3">
        <f>0+(746.3-99.3)+(0+(0-0))+0-0-0</f>
        <v>647</v>
      </c>
      <c r="L269" s="3">
        <f>0+(741.7-63)+(0+(0-0))+0-0-0</f>
        <v>678.7</v>
      </c>
      <c r="M269" s="3">
        <f>0+(752.8-54.3)+(0+(0-0))+0-0-0</f>
        <v>698.5</v>
      </c>
      <c r="N269" s="3">
        <f>0+(820.6-76.9)+(0+(0-0))+0-0-0</f>
        <v>743.7</v>
      </c>
      <c r="O269" s="3">
        <f>0+(802.7-11.2)+(0+(0-0))+0-0-0</f>
        <v>791.5</v>
      </c>
      <c r="P269" s="3">
        <f>0+(809.4-8.7)+(0+(0-0))+0-0-0</f>
        <v>800.69999999999993</v>
      </c>
      <c r="Q269" s="3">
        <f>0+(803.6-9.8)+(0+(0-0))+0-0-0</f>
        <v>793.80000000000007</v>
      </c>
      <c r="R269" s="3">
        <f>0+(798.3-12.7)+(0+(-2.035665--0.032385))+0-0-0</f>
        <v>783.59671999999989</v>
      </c>
      <c r="S269" s="3">
        <f>0+(763.8-11.3)+(0+(-0.389538--0.005763))+0-0-0</f>
        <v>752.11622499999999</v>
      </c>
      <c r="T269" s="3">
        <f>0+(748.4-7.4)+(0+(-1.145052--0.011322))+0-0-0</f>
        <v>739.86626999999999</v>
      </c>
      <c r="U269" s="3">
        <f>0+(740.8-5.9)+(0+(-1.88904--0.015045))+0-0-0</f>
        <v>733.02600499999994</v>
      </c>
      <c r="V269" s="3">
        <f>0+(754.4-9.5)+(0+(-1.92372--0.024225))+0-0-0</f>
        <v>743.00050499999998</v>
      </c>
      <c r="W269" s="3">
        <f>0+(862.1-30.1)+(0+(-0.879342--0.030702))+0-0-0</f>
        <v>831.15135999999995</v>
      </c>
      <c r="X269" s="3">
        <f>0+(943.9-115.8)+(0+(-2.406945--0.29529))+0-0-0</f>
        <v>825.98834499999998</v>
      </c>
      <c r="Y269" s="3">
        <f>0+(921-121.7)+(0+(-0.46971--0.062067))+0-0-0</f>
        <v>798.89235699999995</v>
      </c>
      <c r="Z269" s="3">
        <f>0+(860.7-85)+(0+(-1.755828--0.1734))+0-0-0</f>
        <v>774.117572</v>
      </c>
      <c r="AA269" s="3">
        <f>0+(822.8-73)+(0+(0-0))+0-0-0</f>
        <v>749.8</v>
      </c>
      <c r="AB269" s="3">
        <f>0+(765.3-34.6)+(0+(-1.561212--0.070584))+0-0-0</f>
        <v>729.20937199999992</v>
      </c>
      <c r="AC269" s="3">
        <f>0+(724.1-15.8)+(0+(-0.369291--0.008058))+0-0-0</f>
        <v>707.9387670000001</v>
      </c>
      <c r="AD269">
        <f t="shared" si="4"/>
        <v>17711.103497999997</v>
      </c>
      <c r="AE269" s="3">
        <f>0+(899-62.6)+(0+(0-0))+0-0-0</f>
        <v>836.4</v>
      </c>
    </row>
    <row r="270" spans="1:31" s="2" customFormat="1" x14ac:dyDescent="0.25">
      <c r="A270">
        <v>89</v>
      </c>
      <c r="B270">
        <v>9</v>
      </c>
      <c r="C270">
        <v>24</v>
      </c>
      <c r="D270">
        <v>5</v>
      </c>
      <c r="E270">
        <v>5</v>
      </c>
      <c r="F270" s="3">
        <f>0+(727.4-53.9)+(0+(-0.741948--0.054978))+0-0-0</f>
        <v>672.81303000000003</v>
      </c>
      <c r="G270" s="3">
        <f>0+(732.3-104.1)+(0+(0.746946-0.106182))+0-0-0</f>
        <v>628.84076399999992</v>
      </c>
      <c r="H270" s="3">
        <f>0+(716.5-103.1)+(0+(0-0))+0-0-0</f>
        <v>613.4</v>
      </c>
      <c r="I270" s="3">
        <f>0+(685.8-83.8)+(0+(0.349758-0.042738))+0-0-0</f>
        <v>602.30701999999997</v>
      </c>
      <c r="J270" s="3">
        <f>0+(680.1-85.5)+(0+(0.346851-0.043605))+0-0-0</f>
        <v>594.90324599999997</v>
      </c>
      <c r="K270" s="3">
        <f>0+(703.7-119.4)+(0+(-0.358887--0.060894))+0-0-0</f>
        <v>584.00200700000005</v>
      </c>
      <c r="L270" s="3">
        <f>0+(705.8-136.2)+(0+(-0.359958--0.069462))+0-0-0</f>
        <v>569.30950399999995</v>
      </c>
      <c r="M270" s="3">
        <f>0+(746.9-200.8)+(0+(-0.761838--0.204816))+0-0-0</f>
        <v>545.54297799999995</v>
      </c>
      <c r="N270" s="3">
        <f>0+(796.6-242.9)+(0+(0.812532-0.247758))+0-0-0</f>
        <v>554.2647740000001</v>
      </c>
      <c r="O270" s="3">
        <f>0+(867.3-294.4)+(0+(0.442323-0.150144))+0-0-0</f>
        <v>573.19217900000001</v>
      </c>
      <c r="P270" s="3">
        <f>0+(870-296.8)+(0+(-1.7748--0.605472))+0-0-0</f>
        <v>572.0306720000001</v>
      </c>
      <c r="Q270" s="3">
        <f>0+(836.5-267.8)+(0+(-2.133075--0.68289))+0-0-0</f>
        <v>567.24981500000001</v>
      </c>
      <c r="R270" s="3">
        <f>0+(788.1-226.7)+(0+(-0.803862--0.231234))+0-0-0</f>
        <v>560.82737200000008</v>
      </c>
      <c r="S270" s="3">
        <f>0+(708-165.5)+(0+(-1.08324--0.253215))+0-0-0</f>
        <v>541.66997500000002</v>
      </c>
      <c r="T270" s="3">
        <f>0+(720.1-187.6)+(0+(-1.469004--0.382704))+0-0-0</f>
        <v>531.41369999999995</v>
      </c>
      <c r="U270" s="3">
        <f>0+(757.7-224)+(0+(-1.159281--0.34272))+0-0-0</f>
        <v>532.88343900000007</v>
      </c>
      <c r="V270" s="3">
        <f>0+(725-187.9)+(0+(0.7395-0.191658))+0-0-0</f>
        <v>537.64784199999997</v>
      </c>
      <c r="W270" s="3">
        <f>0+(719-94.6)+(0+(-0.36669--0.048246))+0-0-0</f>
        <v>624.08155599999998</v>
      </c>
      <c r="X270" s="3">
        <f>0+(734.1-90.5)+(0+(-2.246346--0.27693))+0-0-0</f>
        <v>641.630584</v>
      </c>
      <c r="Y270" s="3">
        <f>0+(660.5-45.5)+(0+(-1.34742--0.09282))+0-0-0</f>
        <v>613.74540000000002</v>
      </c>
      <c r="Z270" s="3">
        <f>0+(658.4-63.5)+(0+(0.335784-0.032385))+0-0-0</f>
        <v>595.20339899999999</v>
      </c>
      <c r="AA270" s="3">
        <f>0+(801.2-194.8)+(0+(-0.408612--0.099348))+0-0-0</f>
        <v>606.09073600000011</v>
      </c>
      <c r="AB270" s="3">
        <f>0+(817-184.8)+(0+(-0.83334--0.188496))+0-0-0</f>
        <v>631.55515600000001</v>
      </c>
      <c r="AC270" s="3">
        <f>0+(759.7-181.9)+(0+(-1.162341--0.278307))+0-0-0</f>
        <v>576.91596600000003</v>
      </c>
      <c r="AD270">
        <f t="shared" si="4"/>
        <v>14071.521113999997</v>
      </c>
      <c r="AE270" s="3">
        <f>0+(755-100)+(0+(0-0))+0-0-0</f>
        <v>655</v>
      </c>
    </row>
    <row r="271" spans="1:31" s="2" customFormat="1" x14ac:dyDescent="0.25">
      <c r="A271">
        <v>89</v>
      </c>
      <c r="B271">
        <v>9</v>
      </c>
      <c r="C271">
        <v>25</v>
      </c>
      <c r="D271">
        <v>6</v>
      </c>
      <c r="E271">
        <v>5</v>
      </c>
      <c r="F271" s="3">
        <f>0+(728-175.9)+(0+(-1.48512--0.358836))+0-0-0</f>
        <v>550.97371599999997</v>
      </c>
      <c r="G271" s="3">
        <f>0+(671.5-155.3)+(0+(-1.027395--0.237609))+0-0-0</f>
        <v>515.410214</v>
      </c>
      <c r="H271" s="3">
        <f>0+(676.3-182.7)+(0+(-0.689826--0.186354))+0-0-0</f>
        <v>493.09652799999998</v>
      </c>
      <c r="I271" s="3">
        <f>0+(655.9-175.1)+(0+(-1.672545--0.446505))+0-0-0</f>
        <v>479.57395999999994</v>
      </c>
      <c r="J271" s="3">
        <f>0+(629.7-149.9)+(0+(-0.642294--0.152898))+0-0-0</f>
        <v>479.31060400000007</v>
      </c>
      <c r="K271" s="3">
        <f>0+(621-151.8)+(0+(0-0))+0-0-0</f>
        <v>469.2</v>
      </c>
      <c r="L271" s="3">
        <f>0+(646.8-182.9)+(0+(-1.319472--0.373116))+0-0-0</f>
        <v>462.953644</v>
      </c>
      <c r="M271" s="3">
        <f>0+(650.8-209.6)+(0+(-0.663816--0.213792))+0-0-0</f>
        <v>440.74997599999995</v>
      </c>
      <c r="N271" s="3">
        <f>0+(654.8-219.4)+(0+(-0.333948--0.111894))+0-0-0</f>
        <v>435.17794599999996</v>
      </c>
      <c r="O271" s="3">
        <f>0+(649.4-207.2)+(0+(0.662388-0.211344))+0-0-0</f>
        <v>442.65104400000001</v>
      </c>
      <c r="P271" s="3">
        <f>0+(629.6-196.2)+(0+(-2.247672--0.700434))+0-0-0</f>
        <v>431.85276200000004</v>
      </c>
      <c r="Q271" s="3">
        <f>0+(596-175.2)+(0+(-0.60792--0.178704))+0-0-0</f>
        <v>420.37078400000001</v>
      </c>
      <c r="R271" s="3">
        <f>0+(600.8-196.4)+(0+(0.306408-0.100164))+0-0-0</f>
        <v>404.606244</v>
      </c>
      <c r="S271" s="3">
        <f>0+(628-211.3)+(0+(-0.64056--0.215526))+0-0-0</f>
        <v>416.27496600000001</v>
      </c>
      <c r="T271" s="3">
        <f>0+(678.6-249.1)+(0+(-1.73043--0.635205))+0-0-0</f>
        <v>428.40477499999997</v>
      </c>
      <c r="U271" s="3">
        <f>0+(681.7-237.1)+(0+(0-0))+0-0-0</f>
        <v>444.6</v>
      </c>
      <c r="V271" s="3">
        <f>0+(630.8-162)+(0+(-0.965124--0.24786))+0-0-0</f>
        <v>468.08273599999995</v>
      </c>
      <c r="W271" s="3">
        <f>0+(675.1-108.8)+(0+(-1.721505--0.27744))+0-0-0</f>
        <v>564.85593500000004</v>
      </c>
      <c r="X271" s="3">
        <f>0+(683.2-94.3)+(0+(-0.696864--0.096186))+0-0-0</f>
        <v>588.29932200000007</v>
      </c>
      <c r="Y271" s="3">
        <f>0+(643.1-42.8)+(0+(0-0))+0-0-0</f>
        <v>600.30000000000007</v>
      </c>
      <c r="Z271" s="3">
        <f>0+(645-46.3)+(0+(-0.98685--0.070839))+0-0-0</f>
        <v>597.78398900000002</v>
      </c>
      <c r="AA271" s="3">
        <f>0+(734.8-127.9)+(0+(0.374748-0.065229))+0-0-0</f>
        <v>607.209519</v>
      </c>
      <c r="AB271" s="3">
        <f>0+(756.9-159.6)+(0+(-0.772038--0.162792))+0-0-0</f>
        <v>596.69075399999997</v>
      </c>
      <c r="AC271" s="3">
        <f>0+(734.2-159.2)+(0+(-0.748884--0.162384))+0-0-0</f>
        <v>574.4135</v>
      </c>
      <c r="AD271">
        <f t="shared" si="4"/>
        <v>11912.842918</v>
      </c>
      <c r="AE271" s="3">
        <f>0+(705.1-108.2)+(0+(0-0))+0-0-0</f>
        <v>596.9</v>
      </c>
    </row>
    <row r="272" spans="1:31" s="2" customFormat="1" x14ac:dyDescent="0.25">
      <c r="A272">
        <v>89</v>
      </c>
      <c r="B272">
        <v>9</v>
      </c>
      <c r="C272">
        <v>26</v>
      </c>
      <c r="D272">
        <v>7</v>
      </c>
      <c r="E272">
        <v>1</v>
      </c>
      <c r="F272" s="3">
        <f>0+(691.2-190.3)+(0+(-1.057536--0.291159))+0-0-0</f>
        <v>500.13362300000006</v>
      </c>
      <c r="G272" s="3">
        <f>0+(679-189.8)+(0+(0-0))+0-0-0</f>
        <v>489.2</v>
      </c>
      <c r="H272" s="3">
        <f>0+(673-187.4)+(0+(-2.40261--0.669018))+0-0-0</f>
        <v>483.86640800000004</v>
      </c>
      <c r="I272" s="3">
        <f>0+(656.6-177.3)+(0+(0-0))+0-0-0</f>
        <v>479.3</v>
      </c>
      <c r="J272" s="3">
        <f>0+(661.2-177.8)+(0+(0-0))+0-0-0</f>
        <v>483.40000000000003</v>
      </c>
      <c r="K272" s="3">
        <f>0+(664.6-180.6)+(0+(1.016838-0.276318))+0-0-0</f>
        <v>484.74052</v>
      </c>
      <c r="L272" s="3">
        <f>0+(703.1-216)+(0+(-1.075743--0.33048))+0-0-0</f>
        <v>486.354737</v>
      </c>
      <c r="M272" s="3">
        <f>0+(739.8-240)+(0+(-1.131894--0.3672))+0-0-0</f>
        <v>499.03530599999993</v>
      </c>
      <c r="N272" s="3">
        <f>0+(733.3-235.8)+(0+(0-0))+0-0-0</f>
        <v>497.49999999999994</v>
      </c>
      <c r="O272" s="3">
        <f>0+(716-170.5)+(0+(0.36516-0.086955))+0-0-0</f>
        <v>545.77820499999996</v>
      </c>
      <c r="P272" s="3">
        <f>0+(738.4-170.5)+(0+(-1.88292--0.434775))+0-0-0</f>
        <v>566.45185500000002</v>
      </c>
      <c r="Q272" s="3">
        <f>0+(719.1-137.1)+(0+(-0.733482--0.139842))+0-0-0</f>
        <v>581.40635999999995</v>
      </c>
      <c r="R272" s="3">
        <f>0+(691.9-101)+(0+(-0.352869--0.05151))+0-0-0</f>
        <v>590.59864099999993</v>
      </c>
      <c r="S272" s="3">
        <f>0+(683.4-99.4)+(0+(-1.045602--0.152082))+0-0-0</f>
        <v>583.10648000000003</v>
      </c>
      <c r="T272" s="3">
        <f>0+(700.4-119.1)+(0+(-1.071612--0.182223))+0-0-0</f>
        <v>580.4106109999999</v>
      </c>
      <c r="U272" s="3">
        <f>0+(718.2-115.9)+(0+(-1.098846--0.177327))+0-0-0</f>
        <v>601.37848100000008</v>
      </c>
      <c r="V272" s="3">
        <f>0+(708.5-88.4)+(0+(-1.084005--0.135252))+0-0-0</f>
        <v>619.15124700000001</v>
      </c>
      <c r="W272" s="3">
        <f>0+(709.7-0)+(0+(-0.361947-0))+0-0-0</f>
        <v>709.33805300000006</v>
      </c>
      <c r="X272" s="3">
        <f>0+(728.8-0)+(0+(-1.486752-0))+0-0-0</f>
        <v>727.31324799999993</v>
      </c>
      <c r="Y272" s="3">
        <f>0+(718.4-1.6)+(0+(-1.099152--0.002448))+0-0-0</f>
        <v>715.70329599999991</v>
      </c>
      <c r="Z272" s="3">
        <f>0+(710-1.8)+(0+(-1.4484--0.003672))+0-0-0</f>
        <v>706.75527199999999</v>
      </c>
      <c r="AA272" s="3">
        <f>0+(723.9-26.4)+(0+(-0.738378--0.026928))+0-0-0</f>
        <v>696.78854999999999</v>
      </c>
      <c r="AB272" s="3">
        <f>0+(748-80)+(0+(-1.9074--0.204))+0-0-0</f>
        <v>666.29660000000001</v>
      </c>
      <c r="AC272" s="3">
        <f>0+(782.4-138.5)+(0+(-1.197072--0.211905))+0-0-0</f>
        <v>642.91483299999993</v>
      </c>
      <c r="AD272">
        <f t="shared" si="4"/>
        <v>13936.922326</v>
      </c>
      <c r="AE272" s="3">
        <f>0+(743.2-0)+(0+(0-0))+0-0-0</f>
        <v>743.2</v>
      </c>
    </row>
    <row r="273" spans="1:31" s="2" customFormat="1" x14ac:dyDescent="0.25">
      <c r="A273">
        <v>89</v>
      </c>
      <c r="B273">
        <v>9</v>
      </c>
      <c r="C273">
        <v>27</v>
      </c>
      <c r="D273">
        <v>1</v>
      </c>
      <c r="E273">
        <v>1</v>
      </c>
      <c r="F273" s="3">
        <f>0+(712.6-109.2)+(0+(-1.090278--0.167076))+0-0-0</f>
        <v>602.47679800000003</v>
      </c>
      <c r="G273" s="3">
        <f>0+(722.8-144.6)+(0+(-1.84314--0.36873))+0-0-0</f>
        <v>576.7255899999999</v>
      </c>
      <c r="H273" s="3">
        <f>0+(733.1-163.6)+(0+(-0.747762--0.166872))+0-0-0</f>
        <v>568.91911000000005</v>
      </c>
      <c r="I273" s="3">
        <f>0+(700.2-136.9)+(0+(-0.714204--0.139638))+0-0-0</f>
        <v>562.72543400000006</v>
      </c>
      <c r="J273" s="3">
        <f>0+(768.5-203.7)+(0+(0-0))+0-0-0</f>
        <v>564.79999999999995</v>
      </c>
      <c r="K273" s="3">
        <f>0+(792.1-217.9)+(0+(-0.807942--0.222258))+0-0-0</f>
        <v>573.61431600000003</v>
      </c>
      <c r="L273" s="3">
        <f>0+(833.6-200.7)+(0+(0-0))+0-0-0</f>
        <v>632.90000000000009</v>
      </c>
      <c r="M273" s="3">
        <f>0+(881.9-197.9)+(0+(0-0))+0-0-0</f>
        <v>684</v>
      </c>
      <c r="N273" s="3">
        <f>0+(962.6-217.4)+(0+(0-0))+0-0-0</f>
        <v>745.2</v>
      </c>
      <c r="O273" s="3">
        <f>0+(874.4-83.6)+(0+(0-0))+0-0-0</f>
        <v>790.8</v>
      </c>
      <c r="P273" s="3">
        <f>0+(807.7-6.1)+(0+(0-0))+0-0-0</f>
        <v>801.6</v>
      </c>
      <c r="Q273" s="3">
        <f>0+(803.6-10)+(0+(0-0))+0-0-0</f>
        <v>793.6</v>
      </c>
      <c r="R273" s="3">
        <f>0+(809.7-27)+(0+(-0.412947--0.01377))+0-0-0</f>
        <v>782.30082300000004</v>
      </c>
      <c r="S273" s="3">
        <f>0+(857-79.3)+(0+(-0.43707--0.040443))+0-0-0</f>
        <v>777.30337300000008</v>
      </c>
      <c r="T273" s="3">
        <f>0+(850.8-64.2)+(0+(0-0))+0-0-0</f>
        <v>786.59999999999991</v>
      </c>
      <c r="U273" s="3">
        <f>0+(832.1-29.4)+(0+(1.273113-0.044982))+0-0-0</f>
        <v>803.92813100000001</v>
      </c>
      <c r="V273" s="3">
        <f>0+(824.9-0)+(0+(0.841398-0))+0-0-0</f>
        <v>825.741398</v>
      </c>
      <c r="W273" s="3">
        <f>0+(918.5-8.4)+(0+(0-0))+0-0-0</f>
        <v>910.1</v>
      </c>
      <c r="X273" s="3">
        <f>0+(886.5-18.5)+(0+(-0.452115--0.009435))+0-0-0</f>
        <v>867.55732</v>
      </c>
      <c r="Y273" s="3">
        <f>0+(852.4-18.1)+(0+(-2.17362--0.046155))+0-0-0</f>
        <v>832.17253499999993</v>
      </c>
      <c r="Z273" s="3">
        <f>0+(889.5-7.8)+(0+(0.453645-0.003978))+0-0-0</f>
        <v>882.14966700000002</v>
      </c>
      <c r="AA273" s="3">
        <f>0+(838.7-43.8)+(0+(-0.427737--0.022338))+0-0-0</f>
        <v>794.4946010000001</v>
      </c>
      <c r="AB273" s="3">
        <f>0+(855.5-95.9)+(0+(-0.87261--0.097818))+0-0-0</f>
        <v>758.82520799999998</v>
      </c>
      <c r="AC273" s="3">
        <f>0+(865.1-126.3)+(0+(-0.441201--0.064413))+0-0-0</f>
        <v>738.42321200000004</v>
      </c>
      <c r="AD273">
        <f t="shared" si="4"/>
        <v>17656.957516000002</v>
      </c>
      <c r="AE273" s="3">
        <f>0+(899.2-17)+(0+(0-0))+0-0-0</f>
        <v>882.2</v>
      </c>
    </row>
    <row r="274" spans="1:31" s="2" customFormat="1" x14ac:dyDescent="0.25">
      <c r="A274">
        <v>89</v>
      </c>
      <c r="B274">
        <v>9</v>
      </c>
      <c r="C274">
        <v>28</v>
      </c>
      <c r="D274">
        <v>2</v>
      </c>
      <c r="E274">
        <v>1</v>
      </c>
      <c r="F274" s="3">
        <f>0+(810.4-116.5)+(0+(0-0))+0-0-0</f>
        <v>693.9</v>
      </c>
      <c r="G274" s="3">
        <f>0+(769.1-119)+(0+(-1.176723--0.18207))+0-0-0</f>
        <v>649.10534700000005</v>
      </c>
      <c r="H274" s="3">
        <f>0+(752.9-129)+(0+(-1.151937--0.19737))+0-0-0</f>
        <v>622.94543299999998</v>
      </c>
      <c r="I274" s="3">
        <f>0+(768.2-128)+(0+(0-0))+0-0-0</f>
        <v>640.20000000000005</v>
      </c>
      <c r="J274" s="3">
        <f>0+(787.6-134.6)+(0+(0-0))+0-0-0</f>
        <v>653</v>
      </c>
      <c r="K274" s="3">
        <f>0+(789.3-191.7)+(0+(-1.207629--0.293301))+0-0-0</f>
        <v>596.68567199999995</v>
      </c>
      <c r="L274" s="3">
        <f>0+(861.6-205)+(0+(0-0))+0-0-0</f>
        <v>656.6</v>
      </c>
      <c r="M274" s="3">
        <f>0+(904.3-195.2)+(0+(0-0))+0-0-0</f>
        <v>709.09999999999991</v>
      </c>
      <c r="N274" s="3">
        <f>0+(954.5-205.6)+(0+(-0.486795--0.104856))+0-0-0</f>
        <v>748.51806099999999</v>
      </c>
      <c r="O274" s="3">
        <f>0+(955.6-136.4)+(0+(0-0))+0-0-0</f>
        <v>819.2</v>
      </c>
      <c r="P274" s="3">
        <f>0+(886.6-35.1)+(0+(0-0))+0-0-0</f>
        <v>851.5</v>
      </c>
      <c r="Q274" s="3">
        <f>0+(822.9-18)+(0+(-1.678716--0.03672))+0-0-0</f>
        <v>803.25800400000003</v>
      </c>
      <c r="R274" s="3">
        <f>0+(772.4-15.3)+(0+(-1.181772--0.023409))+0-0-0</f>
        <v>755.94163700000001</v>
      </c>
      <c r="S274" s="3">
        <f>0+(782.9-29)+(0+(-0.798558--0.02958))+0-0-0</f>
        <v>753.13102200000003</v>
      </c>
      <c r="T274" s="3">
        <f>0+(787.2-20.9)+(0+(-0.802944--0.021318))+0-0-0</f>
        <v>765.51837400000011</v>
      </c>
      <c r="U274" s="3">
        <f>0+(771.7-58.7)+(0+(-0.787134--0.059874))+0-0-0</f>
        <v>712.27274</v>
      </c>
      <c r="V274" s="3">
        <f>53+(787.5-18.4)+(0+(0-0))+0-0-0</f>
        <v>822.1</v>
      </c>
      <c r="W274" s="3">
        <f>113.2+(821.7-11.2)+(-0.057732+(-0.419067--0.005712))+0-0-0</f>
        <v>923.22891300000003</v>
      </c>
      <c r="X274" s="3">
        <f>77.1+(875.1-47.2)+(-0.117963+(-1.338903--0.072216))+0-0-0</f>
        <v>903.61535000000003</v>
      </c>
      <c r="Y274" s="3">
        <f>54.9+(888.1-38.1)+(-0.083997+(-1.358793--0.058293))+0-0-0</f>
        <v>903.51550299999997</v>
      </c>
      <c r="Z274" s="3">
        <f>54.9+(771.7-13.8)+(-0.027999+(-0.393567--0.007038))+0-0-0</f>
        <v>812.38547200000005</v>
      </c>
      <c r="AA274" s="3">
        <f>55+(770.4-33.5)+(-0.08415+(-1.178712--0.051255))+0-0-0</f>
        <v>790.68839300000002</v>
      </c>
      <c r="AB274" s="3">
        <f>18.7+(793.1-31.1)+(-0.028611+(-1.213443--0.047583))+0-0-0</f>
        <v>779.50552900000002</v>
      </c>
      <c r="AC274" s="3">
        <f>0+(838.8-133.5)+(0+(-0.855576--0.13617))+0-0-0</f>
        <v>704.58059399999991</v>
      </c>
      <c r="AD274">
        <f t="shared" si="4"/>
        <v>18070.496044</v>
      </c>
      <c r="AE274" s="3">
        <f>134+(749.9-25.9)+(0+(0-0))+0-0-0</f>
        <v>858</v>
      </c>
    </row>
    <row r="275" spans="1:31" s="2" customFormat="1" x14ac:dyDescent="0.25">
      <c r="A275">
        <v>89</v>
      </c>
      <c r="B275">
        <v>9</v>
      </c>
      <c r="C275">
        <v>29</v>
      </c>
      <c r="D275">
        <v>3</v>
      </c>
      <c r="E275">
        <v>1</v>
      </c>
      <c r="F275" s="3">
        <f>0+(794.7-77)+(0+(-2.026485--0.19635))+0-0-0</f>
        <v>715.869865</v>
      </c>
      <c r="G275" s="3">
        <f>0+(751-124.7)+(0+(0.38301-0.063597))+0-0-0</f>
        <v>626.61941300000001</v>
      </c>
      <c r="H275" s="3">
        <f>0+(781.5-151.3)+(0+(-0.79713--0.154326))+0-0-0</f>
        <v>629.55719600000009</v>
      </c>
      <c r="I275" s="3">
        <f>0+(772.2-155.3)+(0+(-0.393822--0.079203))+0-0-0</f>
        <v>616.5853810000001</v>
      </c>
      <c r="J275" s="3">
        <f>0+(782.1-163.4)+(0+(0.797742-0.166668))+0-0-0</f>
        <v>619.33107400000006</v>
      </c>
      <c r="K275" s="3">
        <f>0+(823.7-163.8)+(0+(-1.680348--0.334152))+0-0-0</f>
        <v>658.55380400000013</v>
      </c>
      <c r="L275" s="3">
        <f>0+(852.8-170.6)+(0+(-0.869856--0.174012))+0-0-0</f>
        <v>681.50415599999997</v>
      </c>
      <c r="M275" s="3">
        <f>0+(899.9-192)+(0+(-0.458949--0.09792))+0-0-0</f>
        <v>707.53897099999995</v>
      </c>
      <c r="N275" s="3">
        <f>0+(938.8-162)+(0+(-1.436364--0.24786))+0-0-0</f>
        <v>775.61149599999999</v>
      </c>
      <c r="O275" s="3">
        <f>0+(929.1-118)+(0+(-0.947682--0.12036))+0-0-0</f>
        <v>810.27267800000004</v>
      </c>
      <c r="P275" s="3">
        <f>7.4+(893.7-97)+(-0.011322+(-1.367361--0.14841))+0-0-0</f>
        <v>802.86972700000001</v>
      </c>
      <c r="Q275" s="3">
        <f>54+(839.4-78.5)+(-0.08262+(-1.284282--0.120105))+0-0-0</f>
        <v>813.65320299999996</v>
      </c>
      <c r="R275" s="3">
        <f>53.1+(775.1-31.8)+(-0.054162+(-0.790602--0.032436))+0-0-0</f>
        <v>795.58767200000011</v>
      </c>
      <c r="S275" s="3">
        <f>53+(756.3-23.4)+(-0.10812+(-1.542852--0.047736))+0-0-0</f>
        <v>784.29676399999994</v>
      </c>
      <c r="T275" s="3">
        <f>53+(759.5-36.7)+(-0.08109+(-1.162035--0.056151))+0-0-0</f>
        <v>774.61302599999999</v>
      </c>
      <c r="U275" s="3">
        <f>53+(753.4-44.4)+(-0.08109+(-1.152702--0.067932))+0-0-0</f>
        <v>760.83414000000005</v>
      </c>
      <c r="V275" s="3">
        <f>53+(729.4-0)+(-0.08109+(-1.115982-0))+0-0-0</f>
        <v>781.20292799999993</v>
      </c>
      <c r="W275" s="3">
        <f>89.2+(776.8-0)+(0.045492+(0.396168-0))+0-0-0</f>
        <v>866.44165999999996</v>
      </c>
      <c r="X275" s="3">
        <f>130.8+(755.5-10.2)+(-0.400248+(-2.31183--0.031212))+0-0-0</f>
        <v>873.41913399999987</v>
      </c>
      <c r="Y275" s="3">
        <f>80.5+(777-5.2)+(-0.08211+(-0.79254--0.005304))+0-0-0</f>
        <v>851.430654</v>
      </c>
      <c r="Z275" s="3">
        <f>53+(772.5-3.1)+(-0.05406+(-0.78795--0.003162))+0-0-0</f>
        <v>821.56115199999999</v>
      </c>
      <c r="AA275" s="3">
        <f>53.1+(760.8-14.2)+(-0.108324+(-1.552032--0.028968))+0-0-0</f>
        <v>798.06861199999992</v>
      </c>
      <c r="AB275" s="3">
        <f>52.9+(786.3-51.2)+(-0.107916+(-1.604052--0.104448))+0-0-0</f>
        <v>786.39247999999986</v>
      </c>
      <c r="AC275" s="3">
        <f>52.4+(810.6-111.5)+(-0.080172+(-1.240218--0.170595))+0-0-0</f>
        <v>750.35020499999996</v>
      </c>
      <c r="AD275">
        <f t="shared" si="4"/>
        <v>18102.165391000002</v>
      </c>
      <c r="AE275" s="3">
        <f>128+(766.1-16.8)+(0+(0-0))+0-0-0</f>
        <v>877.30000000000007</v>
      </c>
    </row>
    <row r="276" spans="1:31" s="2" customFormat="1" x14ac:dyDescent="0.25">
      <c r="A276">
        <v>89</v>
      </c>
      <c r="B276">
        <v>9</v>
      </c>
      <c r="C276">
        <v>30</v>
      </c>
      <c r="D276">
        <v>4</v>
      </c>
      <c r="E276">
        <v>1</v>
      </c>
      <c r="F276" s="3">
        <f>0+(745.5-48.9)+(0+(-0.76041--0.049878))+0-0-0</f>
        <v>695.88946800000008</v>
      </c>
      <c r="G276" s="3">
        <f>0+(738.1-70.6)+(0+(0.752862-0.072012))+0-0-0</f>
        <v>668.18084999999996</v>
      </c>
      <c r="H276" s="3">
        <f>0+(725.9-85.8)+(0+(-0.740418--0.087516))+0-0-0</f>
        <v>639.44709799999998</v>
      </c>
      <c r="I276" s="3">
        <f>0+(742.1-98.4)+(0+(-1.892355--0.25092))+0-0-0</f>
        <v>642.05856500000004</v>
      </c>
      <c r="J276" s="3">
        <f>0+(726-85.1)+(0+(-0.74052--0.086802))+0-0-0</f>
        <v>640.24628199999995</v>
      </c>
      <c r="K276" s="3">
        <f>0+(730.2-82.5)+(0+(-0.372402--0.042075))+0-0-0</f>
        <v>647.36967300000003</v>
      </c>
      <c r="L276" s="3">
        <f>0+(847.5-159.9)+(0+(-1.7289--0.326196))+0-0-0</f>
        <v>686.19729600000005</v>
      </c>
      <c r="M276" s="3">
        <f>0+(875.4-152.8)+(0+(-1.785816--0.311712))+0-0-0</f>
        <v>721.1258959999999</v>
      </c>
      <c r="N276" s="3">
        <f>0+(835.6-71.6)+(0+(-0.426156--0.036516))+0-0-0</f>
        <v>763.61036000000001</v>
      </c>
      <c r="O276" s="3">
        <f>9.6+(778.2-0)+(-0.02448+(-1.98441-0))+0-0-0</f>
        <v>785.79111000000012</v>
      </c>
      <c r="P276" s="3">
        <f>132+(681.2-4.4)+(-0.06732+(-0.347412--0.002244))+0-0-0</f>
        <v>808.38751200000002</v>
      </c>
      <c r="Q276" s="3">
        <f>135.5+(698.4-10.2)+(-0.207315+(-1.068552--0.015606))+0-0-0</f>
        <v>822.43973899999992</v>
      </c>
      <c r="R276" s="3">
        <f>97.9+(742.7-41.8)+(-0.199716+(-1.515108--0.085272))+0-0-0</f>
        <v>797.17044800000008</v>
      </c>
      <c r="S276" s="3">
        <f>53.8+(743.4-7.2)+(-0.027438+(-0.379134--0.003672))+0-0-0</f>
        <v>789.59709999999984</v>
      </c>
      <c r="T276" s="3">
        <f>52.2+(729.9-2.6)+(-0.106488+(-1.488996--0.005304))+0-0-0</f>
        <v>777.90981999999997</v>
      </c>
      <c r="U276" s="3">
        <f>51+(717.2-0)+(-0.07803+(-1.097316-0))+0-0-0</f>
        <v>767.02465400000006</v>
      </c>
      <c r="V276" s="3">
        <f>51+(734.8-0)+(0+(0-0))+0-0-0</f>
        <v>785.8</v>
      </c>
      <c r="W276" s="3">
        <f>109+(770.9-30.2)+(0.11118+(0.786318-0.030804))+0-0-0</f>
        <v>850.56669399999998</v>
      </c>
      <c r="X276" s="3">
        <f>131+(730.8-11.5)+(-0.40086+(-2.236248--0.03519))+0-0-0</f>
        <v>847.698082</v>
      </c>
      <c r="Y276" s="3">
        <f>120.7+(703.6-5.8)+(-0.430899+(-2.511852--0.020706))+0-0-0</f>
        <v>815.57795500000009</v>
      </c>
      <c r="Z276" s="3">
        <f>5.6+(796.1-8)+(-0.01428+(-2.030055--0.0204))+0-0-0</f>
        <v>791.67606499999999</v>
      </c>
      <c r="AA276" s="3">
        <f>0+(828.9-70.3)+(0+(0.422739-0.035853))+0-0-0</f>
        <v>758.98688600000003</v>
      </c>
      <c r="AB276" s="3">
        <f>0+(843.6-73.2)+(0+(-1.290708--0.111996))+0-0-0</f>
        <v>769.22128799999996</v>
      </c>
      <c r="AC276" s="3">
        <f>0+(929.7-167.9)+(0+(-1.896588--0.342516))+0-0-0</f>
        <v>760.24592800000005</v>
      </c>
      <c r="AD276">
        <f t="shared" si="4"/>
        <v>18032.218769000003</v>
      </c>
      <c r="AE276" s="3">
        <f>130+(767.1-17)+(0+(0-0))+0-0-0</f>
        <v>880.1</v>
      </c>
    </row>
    <row r="277" spans="1:31" s="2" customFormat="1" x14ac:dyDescent="0.25">
      <c r="A277">
        <v>89</v>
      </c>
      <c r="B277">
        <v>10</v>
      </c>
      <c r="C277">
        <v>1</v>
      </c>
      <c r="D277">
        <v>5</v>
      </c>
      <c r="E277">
        <v>1</v>
      </c>
      <c r="F277" s="3">
        <f>0+(837.8-116.7)+(0+(0.427278-0.059517))+0-0-0</f>
        <v>721.46776099999988</v>
      </c>
      <c r="G277" s="3">
        <f>0+(767-74)+(0+(-1.17351--0.11322))+0-0-0</f>
        <v>691.93970999999999</v>
      </c>
      <c r="H277" s="3">
        <f>0+(684.4-34.4)+(0+(-0.698088--0.035088))+0-0-0</f>
        <v>649.33699999999999</v>
      </c>
      <c r="I277" s="3">
        <f>0+(680.2-29.9)+(0+(-0.346902--0.015249))+0-0-0</f>
        <v>649.96834700000011</v>
      </c>
      <c r="J277" s="3">
        <f>0+(668.3-27.7)+(0+(-0.340833--0.014127))+0-0-0</f>
        <v>640.27329399999996</v>
      </c>
      <c r="K277" s="3">
        <f>0+(701.6-55.4)+(0+(0-0))+0-0-0</f>
        <v>646.20000000000005</v>
      </c>
      <c r="L277" s="3">
        <f>0+(820.6-121.9)+(0+(-2.09253--0.310845))+0-0-0</f>
        <v>696.91831500000001</v>
      </c>
      <c r="M277" s="3">
        <f>31.6+(873.3-167)+(-0.016116+(-0.445383--0.08517))+0-0-0</f>
        <v>737.52367099999992</v>
      </c>
      <c r="N277" s="3">
        <f>53.8+(756.1-56.6)+(0.027438+(0.385611-0.028866))+0-0-0</f>
        <v>753.68418299999996</v>
      </c>
      <c r="O277" s="3">
        <f>51.1+(736.9-6.6)+(0.026061+(0.375819-0.003366))+0-0-0</f>
        <v>781.79851399999995</v>
      </c>
      <c r="P277" s="3">
        <f>96.2+(694.7-3)+(-0.147186+(-1.062891--0.00459))+0-0-0</f>
        <v>786.69451300000014</v>
      </c>
      <c r="Q277" s="3">
        <f>132.7+(672.9-1.6)+(-0.135354+(-0.686358--0.001632))+0-0-0</f>
        <v>803.17992000000004</v>
      </c>
      <c r="R277" s="3">
        <f>129+(672.5-21.5)+(-0.13158+(-0.68595--0.02193))+0-0-0</f>
        <v>779.20439999999996</v>
      </c>
      <c r="S277" s="3">
        <f>49.9+(708.2-7)+(-0.050898+(-0.722364--0.00714))+0-0-0</f>
        <v>750.33387800000003</v>
      </c>
      <c r="T277" s="3">
        <f>49.1+(720.6-6.4)+(0.125205+(1.83753-0.01632))+0-0-0</f>
        <v>765.24641500000007</v>
      </c>
      <c r="U277" s="3">
        <f>49.1+(707.2-4.9)+(0.025041+(0.360672-0.002499))+0-0-0</f>
        <v>751.78321400000004</v>
      </c>
      <c r="V277" s="3">
        <f>49+(726.2-7.1)+(-0.07497+(-1.111086--0.010863))+0-0-0</f>
        <v>766.92480699999999</v>
      </c>
      <c r="W277" s="3">
        <f>112.8+(801.1-54.7)+(-0.057528+(-0.408561--0.027897))+0-0-0</f>
        <v>858.76180799999997</v>
      </c>
      <c r="X277" s="3">
        <f>131.9+(808-79.1)+(-0.269076+(-1.64832--0.161364))+0-0-0</f>
        <v>859.04396799999995</v>
      </c>
      <c r="Y277" s="3">
        <f>19.5+(841.9-25.1)+(-0.049725+(-2.146845--0.064005))+0-0-0</f>
        <v>834.16743499999995</v>
      </c>
      <c r="Z277" s="3">
        <f>0+(835.8-18.6)+(0+(-1.278774--0.028458))+0-0-0</f>
        <v>815.94968399999993</v>
      </c>
      <c r="AA277" s="3">
        <f>0+(868.1-82.1)+(0+(0-0))+0-0-0</f>
        <v>786</v>
      </c>
      <c r="AB277" s="3">
        <f>0+(809-42.8)+(0+(-2.06295--0.10914))+0-0-0</f>
        <v>764.24619000000007</v>
      </c>
      <c r="AC277" s="3">
        <f>0+(785.2-48.8)+(0+(-1.201356--0.074664))+0-0-0</f>
        <v>735.27330800000004</v>
      </c>
      <c r="AD277">
        <f t="shared" si="4"/>
        <v>18025.920335000003</v>
      </c>
      <c r="AE277" s="3">
        <f>131+(828.3-84.3)+(0+(0-0))+0-0-0</f>
        <v>875</v>
      </c>
    </row>
    <row r="278" spans="1:31" s="2" customFormat="1" x14ac:dyDescent="0.25">
      <c r="A278">
        <v>89</v>
      </c>
      <c r="B278">
        <v>10</v>
      </c>
      <c r="C278">
        <v>2</v>
      </c>
      <c r="D278">
        <v>6</v>
      </c>
      <c r="E278">
        <v>1</v>
      </c>
      <c r="F278" s="3">
        <f>0+(742.5-44.1)+(0+(-1.893375--0.112455))+0-0-0</f>
        <v>696.61907999999994</v>
      </c>
      <c r="G278" s="3">
        <f>0+(751.9-82.8)+(0+(0-0))+0-0-0</f>
        <v>669.1</v>
      </c>
      <c r="H278" s="3">
        <f>0+(712.3-60)+(0+(-1.816365--0.153))+0-0-0</f>
        <v>650.63663499999996</v>
      </c>
      <c r="I278" s="3">
        <f>0+(687.4-37.4)+(0+(0.350574-0.019074))+0-0-0</f>
        <v>650.33150000000001</v>
      </c>
      <c r="J278" s="3">
        <f>0+(680.7-30.8)+(0+(1.041471-0.047124))+0-0-0</f>
        <v>650.89434700000004</v>
      </c>
      <c r="K278" s="3">
        <f>0+(687.4-41)+(0+(1.402296-0.08364))+0-0-0</f>
        <v>647.71865600000001</v>
      </c>
      <c r="L278" s="3">
        <f>0+(747-71.3)+(0+(1.90485-0.181815))+0-0-0</f>
        <v>677.42303500000003</v>
      </c>
      <c r="M278" s="3">
        <f>21.9+(801.2-116.8)+(-0.011169+(-0.408612--0.059568))+0-0-0</f>
        <v>705.93978700000002</v>
      </c>
      <c r="N278" s="3">
        <f>54.2+(748.9-69.7)+(-0.055284+(-0.763878--0.071094))+0-0-0</f>
        <v>732.65193199999999</v>
      </c>
      <c r="O278" s="3">
        <f>94.1+(720.9-53.2)+(-0.047991+(-0.367659--0.027132))+0-0-0</f>
        <v>761.41148199999998</v>
      </c>
      <c r="P278" s="3">
        <f>130+(683.7-30.1)+(0.1326+(0.697374-0.030702))+0-0-0</f>
        <v>784.399272</v>
      </c>
      <c r="Q278" s="3">
        <f>128.9+(657.9-15.3)+(-0.065739+(-0.335529--0.007803))+0-0-0</f>
        <v>771.10653500000001</v>
      </c>
      <c r="R278" s="3">
        <f>58+(699.4-3.7)+(-0.08874+(-1.070082--0.005661))+0-0-0</f>
        <v>752.54683899999998</v>
      </c>
      <c r="S278" s="3">
        <f>50.1+(686.9-3.1)+(-0.051102+(-0.700638--0.003162))+0-0-0</f>
        <v>733.15142200000003</v>
      </c>
      <c r="T278" s="3">
        <f>49.9+(700.5-27.6)+(-0.025449+(-0.357255--0.014076))+0-0-0</f>
        <v>722.43137200000001</v>
      </c>
      <c r="U278" s="3">
        <f>50.1+(703.2-40.6)+(0.051102+(0.717264-0.041412))+0-0-0</f>
        <v>713.42695400000002</v>
      </c>
      <c r="V278" s="3">
        <f>52.1+(672.6-0)+(-0.079713+(-1.029078-0))+0-0-0</f>
        <v>723.59120900000005</v>
      </c>
      <c r="W278" s="3">
        <f>130.1+(698.4-14.7)+(-0.199053+(-1.068552--0.022491))+0-0-0</f>
        <v>812.55488600000001</v>
      </c>
      <c r="X278" s="3">
        <f>130.5+(739.8-47.5)+(-0.13311+(-0.754596--0.04845))+0-0-0</f>
        <v>821.96074399999998</v>
      </c>
      <c r="Y278" s="3">
        <f>126.7+(686.2-18.1)+(-0.064617+(-0.349962--0.009231))+0-0-0</f>
        <v>794.39465200000006</v>
      </c>
      <c r="Z278" s="3">
        <f>55+(724.6-5.7)+(-0.02805+(-0.369546--0.002907))+0-0-0</f>
        <v>773.50531100000001</v>
      </c>
      <c r="AA278" s="3">
        <f>45.7+(716.9-12.7)+(-0.139842+(-2.193714--0.038862))+0-0-0</f>
        <v>747.60530599999993</v>
      </c>
      <c r="AB278" s="3">
        <f>0+(728.2-4.4)+(0+(-1.114146--0.006732))+0-0-0</f>
        <v>722.69258600000012</v>
      </c>
      <c r="AC278" s="3">
        <f>0+(773.4-76.7)+(0+(-1.183302--0.117351))+0-0-0</f>
        <v>695.63404899999989</v>
      </c>
      <c r="AD278">
        <f t="shared" si="4"/>
        <v>17411.727591000003</v>
      </c>
      <c r="AE278" s="3">
        <f>131+(763.6-46.1)+(0+(0-0))+0-0-0</f>
        <v>848.5</v>
      </c>
    </row>
    <row r="279" spans="1:31" s="2" customFormat="1" x14ac:dyDescent="0.25">
      <c r="A279">
        <v>89</v>
      </c>
      <c r="B279">
        <v>10</v>
      </c>
      <c r="C279">
        <v>3</v>
      </c>
      <c r="D279">
        <v>7</v>
      </c>
      <c r="E279">
        <v>1</v>
      </c>
      <c r="F279" s="3">
        <f>0+(719-59.7)+(0+(0-0))+0-0-0</f>
        <v>659.3</v>
      </c>
      <c r="G279" s="3">
        <f>0+(662.2-28.3)+(0+(-1.68861--0.072165))+0-0-0</f>
        <v>632.28355500000009</v>
      </c>
      <c r="H279" s="3">
        <f>0+(693.6-78.2)+(0+(0.707472-0.079764))+0-0-0</f>
        <v>616.02770799999996</v>
      </c>
      <c r="I279" s="3">
        <f>0+(679.8-69.6)+(0+(0-0))+0-0-0</f>
        <v>610.19999999999993</v>
      </c>
      <c r="J279" s="3">
        <f>0+(673.9-76.9)+(0+(0-0))+0-0-0</f>
        <v>597</v>
      </c>
      <c r="K279" s="3">
        <f>0+(686.7-87.9)+(0+(-0.350217--0.044829))+0-0-0</f>
        <v>598.49461200000007</v>
      </c>
      <c r="L279" s="3">
        <f>0+(734.4-133.2)+(0+(-0.374544--0.067932))+0-0-0</f>
        <v>600.89338800000007</v>
      </c>
      <c r="M279" s="3">
        <f>0+(708.1-120.3)+(0+(-1.805655--0.306765))+0-0-0</f>
        <v>586.30111000000011</v>
      </c>
      <c r="N279" s="3">
        <f>0+(684.7-100.8)+(0+(0.698394-0.102816))+0-0-0</f>
        <v>584.49557800000014</v>
      </c>
      <c r="O279" s="3">
        <f>0+(759.7-147.4)+(0+(0.387447-0.075174))+0-0-0</f>
        <v>612.61227300000007</v>
      </c>
      <c r="P279" s="3">
        <f>100.9+(660.5-139)+(-0.308754+(-2.02113--0.42534))+0-0-0</f>
        <v>620.49545599999999</v>
      </c>
      <c r="Q279" s="3">
        <f>131.5+(606.5-133.6)+(-0.13413+(-0.61863--0.136272))+0-0-0</f>
        <v>603.78351199999997</v>
      </c>
      <c r="R279" s="3">
        <f>130.7+(605.1-148)+(-0.133314+(-0.617202--0.15096))+0-0-0</f>
        <v>587.20044399999995</v>
      </c>
      <c r="S279" s="3">
        <f>129.6+(587.2-128)+(-0.264384+(-1.197888--0.26112))+0-0-0</f>
        <v>587.59884800000009</v>
      </c>
      <c r="T279" s="3">
        <f>129.1+(586.4-114)+(-0.329205+(-1.49532--0.2907))+0-0-0</f>
        <v>599.96617500000002</v>
      </c>
      <c r="U279" s="3">
        <f>129.1+(576.8-98)+(0+(0-0))+0-0-0</f>
        <v>607.9</v>
      </c>
      <c r="V279" s="3">
        <f>129.6+(580.9-100)+(-0.066096+(-0.296259--0.051))+0-0-0</f>
        <v>610.18864499999995</v>
      </c>
      <c r="W279" s="3">
        <f>132+(619-11.8)+(-0.06732+(-0.31569--0.006018))+0-0-0</f>
        <v>738.82300800000007</v>
      </c>
      <c r="X279" s="3">
        <f>66.3+(718.2-10.9)+(-0.169065+(-1.83141--0.027795))+0-0-0</f>
        <v>771.62732000000005</v>
      </c>
      <c r="Y279" s="3">
        <f>0+(722.1-8.7)+(0+(0.368271-0.004437))+0-0-0</f>
        <v>713.76383399999997</v>
      </c>
      <c r="Z279" s="3">
        <f>0+(745.3-47.3)+(0+(0.380103-0.024123))+0-0-0</f>
        <v>698.35598000000005</v>
      </c>
      <c r="AA279" s="3">
        <f>0+(879.6-179.8)+(0+(0-0))+0-0-0</f>
        <v>699.8</v>
      </c>
      <c r="AB279" s="3">
        <f>0+(844-147)+(0+(-1.29132--0.22491))+0-0-0</f>
        <v>695.93358999999998</v>
      </c>
      <c r="AC279" s="3">
        <f>0+(778.9-114.8)+(0+(-0.794478--0.117096))+0-0-0</f>
        <v>663.42261800000006</v>
      </c>
      <c r="AD279">
        <f t="shared" si="4"/>
        <v>15296.467653999998</v>
      </c>
      <c r="AE279" s="3">
        <f>132+(618.8-12.7)+(0+(0-0))+0-0-0</f>
        <v>738.09999999999991</v>
      </c>
    </row>
    <row r="280" spans="1:31" s="2" customFormat="1" x14ac:dyDescent="0.25">
      <c r="A280">
        <v>89</v>
      </c>
      <c r="B280">
        <v>10</v>
      </c>
      <c r="C280">
        <v>4</v>
      </c>
      <c r="D280">
        <v>1</v>
      </c>
      <c r="E280">
        <v>1</v>
      </c>
      <c r="F280" s="3">
        <f>0+(744.4-117.5)+(0+(-1.518576--0.2397))+0-0-0</f>
        <v>625.62112400000001</v>
      </c>
      <c r="G280" s="3">
        <f>0+(736.1-140.1)+(0+(0-0))+0-0-0</f>
        <v>596</v>
      </c>
      <c r="H280" s="3">
        <f>0+(729.5-140.4)+(0+(-1.116135--0.214812))+0-0-0</f>
        <v>588.19867699999998</v>
      </c>
      <c r="I280" s="3">
        <f>0+(733.9-148.9)+(0+(1.122867-0.227817))+0-0-0</f>
        <v>585.89504999999997</v>
      </c>
      <c r="J280" s="3">
        <f>0+(735.6-146.7)+(0+(-0.375156--0.074817))+0-0-0</f>
        <v>588.59966100000008</v>
      </c>
      <c r="K280" s="3">
        <f>0+(743.4-149.7)+(0+(1.516536-0.305388))+0-0-0</f>
        <v>594.91114800000003</v>
      </c>
      <c r="L280" s="3">
        <f>0+(827.4-188)+(0+(0.421974-0.09588))+0-0-0</f>
        <v>639.72609399999999</v>
      </c>
      <c r="M280" s="3">
        <f>10.9+(821.6-142)+(-0.016677+(-1.257048--0.21726))+0-0-0</f>
        <v>689.443535</v>
      </c>
      <c r="N280" s="3">
        <f>100.3+(717.5-78.9)+(-0.153459+(-1.097775--0.120717))+0-0-0</f>
        <v>737.76948299999992</v>
      </c>
      <c r="O280" s="3">
        <f>58.6+(733.1-3.9)+(0.029886+(0.373881-0.001989))+0-0-0</f>
        <v>788.2017780000001</v>
      </c>
      <c r="P280" s="3">
        <f>0+(838.6-35.7)+(0+(-1.283058--0.054621))+0-0-0</f>
        <v>801.67156299999999</v>
      </c>
      <c r="Q280" s="3">
        <f>0+(864.6-43.1)+(0+(-1.763784--0.087924))+0-0-0</f>
        <v>819.82413999999994</v>
      </c>
      <c r="R280" s="3">
        <f>0+(837.7-30.1)+(0+(-2.563362--0.092106))+0-0-0</f>
        <v>805.12874399999998</v>
      </c>
      <c r="S280" s="3">
        <f>0+(796.8-11.5)+(0+(-1.219104--0.017595))+0-0-0</f>
        <v>784.09849099999997</v>
      </c>
      <c r="T280" s="3">
        <f>0+(780.8-3.2)+(0+(-1.592832--0.006528))+0-0-0</f>
        <v>776.01369599999987</v>
      </c>
      <c r="U280" s="3">
        <f>0+(770.5-0)+(0+(0-0))+0-0-0</f>
        <v>770.5</v>
      </c>
      <c r="V280" s="3">
        <f>0+(747.2-0)+(0+(-2.286432-0))+0-0-0</f>
        <v>744.91356800000005</v>
      </c>
      <c r="W280" s="3">
        <f>0+(862.6-0)+(0+(-0.879852-0))+0-0-0</f>
        <v>861.72014799999999</v>
      </c>
      <c r="X280" s="3">
        <f>0+(869.3-7.1)+(0+(-1.773372--0.014484))+0-0-0</f>
        <v>860.44111199999998</v>
      </c>
      <c r="Y280" s="3">
        <f>0+(810.6-0)+(0+(-0.413406-0))+0-0-0</f>
        <v>810.18659400000001</v>
      </c>
      <c r="Z280" s="3">
        <f>0+(828.5-0)+(0+(-1.267605-0))+0-0-0</f>
        <v>827.232395</v>
      </c>
      <c r="AA280" s="3">
        <f>0+(819.7-0)+(0+(-1.672188-0))+0-0-0</f>
        <v>818.02781200000004</v>
      </c>
      <c r="AB280" s="3">
        <f>0+(792.4-7)+(0+(-1.212372--0.01071))+0-0-0</f>
        <v>784.19833799999992</v>
      </c>
      <c r="AC280" s="3">
        <f>0+(837.3-58.4)+(0+(-0.854046--0.059568))+0-0-0</f>
        <v>778.10552199999995</v>
      </c>
      <c r="AD280">
        <f t="shared" si="4"/>
        <v>17676.428673000002</v>
      </c>
      <c r="AE280" s="3">
        <f>0+(904-19.4)+(0+(0-0))+0-0-0</f>
        <v>884.6</v>
      </c>
    </row>
    <row r="281" spans="1:31" s="2" customFormat="1" x14ac:dyDescent="0.25">
      <c r="A281">
        <v>89</v>
      </c>
      <c r="B281">
        <v>10</v>
      </c>
      <c r="C281">
        <v>5</v>
      </c>
      <c r="D281">
        <v>2</v>
      </c>
      <c r="E281">
        <v>1</v>
      </c>
      <c r="F281" s="3">
        <f>0+(789.7-95.9)+(0+(-0.402747--0.048909))+0-0-0</f>
        <v>693.44616200000007</v>
      </c>
      <c r="G281" s="3">
        <f>0+(803.4-120.6)+(0+(-0.409734--0.061506))+0-0-0</f>
        <v>682.45177200000001</v>
      </c>
      <c r="H281" s="3">
        <f>0+(791.3-113.2)+(0+(-1.210689--0.173196))+0-0-0</f>
        <v>677.06250699999987</v>
      </c>
      <c r="I281" s="3">
        <f>0+(772.7-113.2)+(0+(-0.788154--0.115464))+0-0-0</f>
        <v>658.82731000000001</v>
      </c>
      <c r="J281" s="3">
        <f>0+(772.9-115.4)+(0+(1.182537-0.176562))+0-0-0</f>
        <v>658.50597500000003</v>
      </c>
      <c r="K281" s="3">
        <f>0+(824.4-103.6)+(0+(0.840888-0.105672))+0-0-0</f>
        <v>721.53521599999999</v>
      </c>
      <c r="L281" s="3">
        <f>0+(854.4-152.6)+(0+(-0.435744--0.077826))+0-0-0</f>
        <v>701.44208199999991</v>
      </c>
      <c r="M281" s="3">
        <f>0+(881-150.2)+(0+(-0.89862--0.153204))+0-0-0</f>
        <v>730.05458399999998</v>
      </c>
      <c r="N281" s="3">
        <f>0+(871.8-121.2)+(0+(-2.22309--0.30906))+0-0-0</f>
        <v>748.68596999999988</v>
      </c>
      <c r="O281" s="3">
        <f>0+(850.3-43.4)+(0+(-1.300959--0.066402))+0-0-0</f>
        <v>805.66544299999998</v>
      </c>
      <c r="P281" s="3">
        <f>0+(815.9-2.6)+(0+(0.416109-0.001326))+0-0-0</f>
        <v>813.71478300000001</v>
      </c>
      <c r="Q281" s="3">
        <f>3.1+(823.2-3.1)+(-0.004743+(-1.259496--0.004743))+0-0-0</f>
        <v>821.94050400000003</v>
      </c>
      <c r="R281" s="3">
        <f>125.9+(675.7-6.2)+(-0.192627+(-1.033821--0.009486))+0-0-0</f>
        <v>794.18303800000001</v>
      </c>
      <c r="S281" s="3">
        <f>131.1+(662-21.5)+(0.200583+(1.01286-0.032895))+0-0-0</f>
        <v>772.78054800000007</v>
      </c>
      <c r="T281" s="3">
        <f>131.4+(654.4-14)+(-0.268056+(-1.334976--0.02856))+0-0-0</f>
        <v>770.22552799999994</v>
      </c>
      <c r="U281" s="3">
        <f>131.7+(678.7-45.2)+(0+(0-0))+0-0-0</f>
        <v>765.2</v>
      </c>
      <c r="V281" s="3">
        <f>133.1+(648.9-5.6)+(-0.135762+(-0.661878--0.005712))+0-0-0</f>
        <v>775.60807199999999</v>
      </c>
      <c r="W281" s="3">
        <f>134.8+(721.6-12.2)+(-0.137496+(-0.736032--0.012444))+0-0-0</f>
        <v>843.33891600000004</v>
      </c>
      <c r="X281" s="3">
        <f>135.6+(789.4-64.7)+(-0.414936+(-2.415564--0.197982))+0-0-0</f>
        <v>857.66748199999995</v>
      </c>
      <c r="Y281" s="3">
        <f>135.4+(775.6-76.2)+(0.069054+(0.395556-0.038862))+0-0-0</f>
        <v>835.22574799999995</v>
      </c>
      <c r="Z281" s="3">
        <f>135.4+(739.4-61.3)+(-0.207162+(-1.131282--0.093789))+0-0-0</f>
        <v>812.25534500000003</v>
      </c>
      <c r="AA281" s="3">
        <f>135.7+(797.2-141.4)+(-0.276828+(-1.626288--0.288456))+0-0-0</f>
        <v>789.88534000000004</v>
      </c>
      <c r="AB281" s="3">
        <f>32.3+(867.6-123.4)+(-0.016473+(-0.442476--0.062934))+0-0-0</f>
        <v>776.10398499999997</v>
      </c>
      <c r="AC281" s="3">
        <f>0+(791.9-46.4)+(0+(-3.634821--0.212976))+0-0-0</f>
        <v>742.07815500000004</v>
      </c>
      <c r="AD281">
        <f t="shared" si="4"/>
        <v>18247.884464999999</v>
      </c>
      <c r="AE281" s="3">
        <f>135+(803.4-76.8)+(0+(0-0))+0-0-0</f>
        <v>861.6</v>
      </c>
    </row>
    <row r="282" spans="1:31" s="2" customFormat="1" x14ac:dyDescent="0.25">
      <c r="A282">
        <v>89</v>
      </c>
      <c r="B282">
        <v>10</v>
      </c>
      <c r="C282">
        <v>6</v>
      </c>
      <c r="D282">
        <v>3</v>
      </c>
      <c r="E282">
        <v>1</v>
      </c>
      <c r="F282" s="3">
        <f>0+(777.9-56.7)+(0+(-1.586916--0.115668))+0-0-0</f>
        <v>719.72875199999999</v>
      </c>
      <c r="G282" s="3">
        <f>0+(785.7-95.8)+(0+(-0.400707--0.048858))+0-0-0</f>
        <v>689.54815100000008</v>
      </c>
      <c r="H282" s="3">
        <f>0+(776.3-93.8)+(0+(-0.791826--0.095676))+0-0-0</f>
        <v>681.80385000000001</v>
      </c>
      <c r="I282" s="3">
        <f>0+(797.8-124)+(0+(0.406878-0.06324))+0-0-0</f>
        <v>674.14363800000001</v>
      </c>
      <c r="J282" s="3">
        <f>0+(839.2-163.6)+(0+(-1.283976--0.250308))+0-0-0</f>
        <v>674.56633199999999</v>
      </c>
      <c r="K282" s="3">
        <f>0+(865.9-185.5)+(0+(1.324827-0.283815))+0-0-0</f>
        <v>681.441012</v>
      </c>
      <c r="L282" s="3">
        <f>34.2+(876.5-204.8)+(-0.017442+(-0.447015--0.104448))+0-0-0</f>
        <v>705.5399910000001</v>
      </c>
      <c r="M282" s="3">
        <f>66.5+(815.1-150)+(0.06783+(0.831402-0.153))+0-0-0</f>
        <v>732.34623199999999</v>
      </c>
      <c r="N282" s="3">
        <f>138.3+(730.9-96.7)+(0+(0-0))+0-0-0</f>
        <v>772.5</v>
      </c>
      <c r="O282" s="3">
        <f>137.6+(679.1-17.6)+(-0.210528+(-1.039023--0.026928))+0-0-0</f>
        <v>797.87737700000002</v>
      </c>
      <c r="P282" s="3">
        <f>116.8+(717.7-14.8)+(-0.178704+(-1.098081--0.022644))+0-0-0</f>
        <v>818.44585900000004</v>
      </c>
      <c r="Q282" s="3">
        <f>50+(785.4-0)+(-0.0255+(-0.400554-0))+0-0-0</f>
        <v>834.97394599999996</v>
      </c>
      <c r="R282" s="3">
        <f>49.9+(773.5-0)+(-0.076347+(-1.183455-0))+0-0-0</f>
        <v>822.14019799999994</v>
      </c>
      <c r="S282" s="3">
        <f>50+(765.4-17.9)+(-0.0765+(-1.171062--0.027387))+0-0-0</f>
        <v>796.27982499999996</v>
      </c>
      <c r="T282" s="3">
        <f>49.9+(723-0)+(-0.025449+(-0.36873-0))+0-0-0</f>
        <v>772.50582099999997</v>
      </c>
      <c r="U282" s="3">
        <f>49.9+(709-0)+(0.076347+(1.08477-0))+0-0-0</f>
        <v>760.06111699999997</v>
      </c>
      <c r="V282" s="3">
        <f>51.3+(740.1-23.3)+(-0.104652+(-1.509804--0.047532))+0-0-0</f>
        <v>766.53307600000005</v>
      </c>
      <c r="W282" s="3">
        <f>80.3+(803.9-56.5)+(-0.122859+(-1.229967--0.086445))+0-0-0</f>
        <v>826.43361899999991</v>
      </c>
      <c r="X282" s="3">
        <f>135+(754.8-51.4)+(-0.06885+(-0.384948--0.026214))+0-0-0</f>
        <v>837.97241599999995</v>
      </c>
      <c r="Y282" s="3">
        <f>135.5+(734.3-51.8)+(-0.069105+(-0.374493--0.026418))+0-0-0</f>
        <v>817.58281999999997</v>
      </c>
      <c r="Z282" s="3">
        <f>75.5+(733.6-0)+(-0.07701+(-0.748272-0))+0-0-0</f>
        <v>808.27471800000001</v>
      </c>
      <c r="AA282" s="3">
        <f>0+(786.5-0)+(0+(-0.401115-0))+0-0-0</f>
        <v>786.098885</v>
      </c>
      <c r="AB282" s="3">
        <f>0+(756.8-0)+(0+(-0.771936-0))+0-0-0</f>
        <v>756.02806399999997</v>
      </c>
      <c r="AC282" s="3">
        <f>0+(776-47)+(0+(-0.79152--0.04794))+0-0-0</f>
        <v>728.25642000000005</v>
      </c>
      <c r="AD282">
        <f t="shared" si="4"/>
        <v>18261.082118999999</v>
      </c>
      <c r="AE282" s="3">
        <f>135+(755.8-61.6)+(0+(0-0))+0-0-0</f>
        <v>829.19999999999993</v>
      </c>
    </row>
    <row r="283" spans="1:31" s="2" customFormat="1" x14ac:dyDescent="0.25">
      <c r="A283">
        <v>89</v>
      </c>
      <c r="B283">
        <v>10</v>
      </c>
      <c r="C283">
        <v>7</v>
      </c>
      <c r="D283">
        <v>4</v>
      </c>
      <c r="E283">
        <v>1</v>
      </c>
      <c r="F283" s="3">
        <f>0+(742-44.3)+(0+(-1.8921--0.112965))+0-0-0</f>
        <v>695.92086500000005</v>
      </c>
      <c r="G283" s="3">
        <f>0+(749-71.6)+(0+(0-0))+0-0-0</f>
        <v>677.4</v>
      </c>
      <c r="H283" s="3">
        <f>0+(779.2-101.8)+(0+(-0.794784--0.103836))+0-0-0</f>
        <v>676.70905200000004</v>
      </c>
      <c r="I283" s="3">
        <f>0+(753-87)+(0+(0-0))+0-0-0</f>
        <v>666</v>
      </c>
      <c r="J283" s="3">
        <f>0+(763.4-101.3)+(0+(0.389334-0.051663))+0-0-0</f>
        <v>662.43767100000002</v>
      </c>
      <c r="K283" s="3">
        <f>0+(799.5-138.4)+(0+(0-0))+0-0-0</f>
        <v>661.1</v>
      </c>
      <c r="L283" s="3">
        <f>0+(902-217)+(0+(-0.92004--0.22134))+0-0-0</f>
        <v>684.30129999999997</v>
      </c>
      <c r="M283" s="3">
        <f>0+(885.5-164.1)+(0+(-0.451605--0.083691))+0-0-0</f>
        <v>721.03208599999994</v>
      </c>
      <c r="N283" s="3">
        <f>0+(795.4-33.2)+(0+(2.839578-0.118524))+0-0-0</f>
        <v>764.92105399999991</v>
      </c>
      <c r="O283" s="3">
        <f>0+(813.1-16.9)+(0+(0-0))+0-0-0</f>
        <v>796.2</v>
      </c>
      <c r="P283" s="3">
        <f>0+(845.1-43.3)+(0+(-0.862002--0.044166))+0-0-0</f>
        <v>800.98216400000001</v>
      </c>
      <c r="Q283" s="3">
        <f>0+(868.7-57.3)+(0+(-0.886074--0.058446))+0-0-0</f>
        <v>810.57237200000009</v>
      </c>
      <c r="R283" s="3">
        <f>0+(849.7-61.1)+(0+(-1.300041--0.093483))+0-0-0</f>
        <v>787.39344200000005</v>
      </c>
      <c r="S283" s="3">
        <f>0+(826.2-57.5)+(0+(-1.685448--0.1173))+0-0-0</f>
        <v>767.13185200000009</v>
      </c>
      <c r="T283" s="3">
        <f>0+(832.5-66.3)+(0+(1.273725-0.101439))+0-0-0</f>
        <v>767.37228600000003</v>
      </c>
      <c r="U283" s="3">
        <f>5.2+(785.8-51.7)+(-0.010608+(-1.603032--0.105468))+0-0-0</f>
        <v>737.79182800000001</v>
      </c>
      <c r="V283" s="3">
        <f>49.9+(791.9-65.5)+(-0.050898+(-0.807738--0.06681))+0-0-0</f>
        <v>775.50817399999994</v>
      </c>
      <c r="W283" s="3">
        <f>105.2+(877.6-134.7)+(-0.053652+(-0.447576--0.068697))+0-0-0</f>
        <v>847.6674690000001</v>
      </c>
      <c r="X283" s="3">
        <f>132.8+(776-81.5)+(-0.203184+(-1.18728--0.124695))+0-0-0</f>
        <v>826.03423099999998</v>
      </c>
      <c r="Y283" s="3">
        <f>109.2+(762.7-62.5)+(-0.27846+(-1.944885--0.159375))+0-0-0</f>
        <v>807.33603000000005</v>
      </c>
      <c r="Z283" s="3">
        <f>54.1+(787.2-32.3)+(0+(0-0))+0-0-0</f>
        <v>809.00000000000011</v>
      </c>
      <c r="AA283" s="3">
        <f>0+(757.9-0)+(0+(-1.159587-0))+0-0-0</f>
        <v>756.74041299999999</v>
      </c>
      <c r="AB283" s="3">
        <f>0+(696-0)+(0+(-1.06488-0))+0-0-0</f>
        <v>694.93511999999998</v>
      </c>
      <c r="AC283" s="3">
        <f>0+(755.8-32)+(0+(-2.312748--0.09792))+0-0-0</f>
        <v>721.58517199999994</v>
      </c>
      <c r="AD283">
        <f t="shared" si="4"/>
        <v>17916.072581</v>
      </c>
      <c r="AE283" s="3">
        <f>132+(817.8-122.1)+(0+(0-0))+0-0-0</f>
        <v>827.69999999999993</v>
      </c>
    </row>
    <row r="284" spans="1:31" s="2" customFormat="1" x14ac:dyDescent="0.25">
      <c r="A284">
        <v>89</v>
      </c>
      <c r="B284">
        <v>10</v>
      </c>
      <c r="C284">
        <v>8</v>
      </c>
      <c r="D284">
        <v>5</v>
      </c>
      <c r="E284">
        <v>1</v>
      </c>
      <c r="F284" s="3">
        <f>0+(744.9-31.8)+(0+(0-0))+0-0-0</f>
        <v>713.1</v>
      </c>
      <c r="G284" s="3">
        <f>0+(683.9-29.9)+(0+(-0.697578--0.030498))+0-0-0</f>
        <v>653.33291999999994</v>
      </c>
      <c r="H284" s="3">
        <f>0+(687-34.5)+(0+(-0.70074--0.03519))+0-0-0</f>
        <v>651.83444999999995</v>
      </c>
      <c r="I284" s="3">
        <f>0+(689.2-48.5)+(0+(-0.702984--0.04947))+0-0-0</f>
        <v>640.04648600000007</v>
      </c>
      <c r="J284" s="3">
        <f>0+(694-52.8)+(0+(-0.35394--0.026928))+0-0-0</f>
        <v>640.87298800000008</v>
      </c>
      <c r="K284" s="3">
        <f>0+(690.6-55.2)+(0+(-0.704412--0.056304))+0-0-0</f>
        <v>634.751892</v>
      </c>
      <c r="L284" s="3">
        <f>0+(799.6-141)+(0+(-0.407796--0.07191))+0-0-0</f>
        <v>658.26411400000006</v>
      </c>
      <c r="M284" s="3">
        <f>1.6+(841.8-151.1)+(-0.001632+(-0.858636--0.154122))+0-0-0</f>
        <v>691.59385399999996</v>
      </c>
      <c r="N284" s="3">
        <f>52+(805.6-105.7)+(0+(0-0))+0-0-0</f>
        <v>751.9</v>
      </c>
      <c r="O284" s="3">
        <f>52+(771.9-48.3)+(0.05304+(0.787338-0.049266))+0-0-0</f>
        <v>776.39111200000002</v>
      </c>
      <c r="P284" s="3">
        <f>51.9+(819.6-53.4)+(-0.026469+(-0.417996--0.027234))+0-0-0</f>
        <v>817.68276900000001</v>
      </c>
      <c r="Q284" s="3">
        <f>107.2+(764.8-77.2)+(0+(0-0))+0-0-0</f>
        <v>794.8</v>
      </c>
      <c r="R284" s="3">
        <f>127.2+(741-78.7)+(-0.194616+(-1.13373--0.120411))+0-0-0</f>
        <v>788.29206499999998</v>
      </c>
      <c r="S284" s="3">
        <f>126.2+(659.1-48.5)+(0+(0-0))+0-0-0</f>
        <v>736.80000000000007</v>
      </c>
      <c r="T284" s="3">
        <f>125.3+(696.7-55.7)+(0+(0-0))+0-0-0</f>
        <v>766.3</v>
      </c>
      <c r="U284" s="3">
        <f>125.2+(685.1-55.7)+(0+(0-0))+0-0-0</f>
        <v>754.6</v>
      </c>
      <c r="V284" s="3">
        <f>126.2+(696.7-99.2)+(-0.257448+(-1.421268--0.202368))+0-0-0</f>
        <v>722.22365200000002</v>
      </c>
      <c r="W284" s="3">
        <f>129.7+(881.6-124.7)+(0+(0-0))+0-0-0</f>
        <v>886.59999999999991</v>
      </c>
      <c r="X284" s="3">
        <f>130.5+(790.8-53)+(-0.332775+(-2.01654--0.13515))+0-0-0</f>
        <v>866.08583499999997</v>
      </c>
      <c r="Y284" s="3">
        <f>101.9+(766.5-39.5)+(-0.415752+(-3.12732--0.16116))+0-0-0</f>
        <v>825.51808800000003</v>
      </c>
      <c r="Z284" s="3">
        <f>0+(819.4-0)+(0+(0-0))+0-0-0</f>
        <v>819.4</v>
      </c>
      <c r="AA284" s="3">
        <f>0+(807.4-0)+(0+(-0.823548-0))+0-0-0</f>
        <v>806.57645200000002</v>
      </c>
      <c r="AB284" s="3">
        <f>0+(771.6-0)+(0+(-0.787032-0))+0-0-0</f>
        <v>770.81296800000007</v>
      </c>
      <c r="AC284" s="3">
        <f>0+(786.3-38.6)+(0+(-2.005065--0.09843))+0-0-0</f>
        <v>745.79336499999988</v>
      </c>
      <c r="AD284">
        <f t="shared" si="4"/>
        <v>17913.57301</v>
      </c>
      <c r="AE284" s="3">
        <f>129+(807.2-81.3)+(0+(0-0))+0-0-0</f>
        <v>854.90000000000009</v>
      </c>
    </row>
    <row r="285" spans="1:31" s="2" customFormat="1" x14ac:dyDescent="0.25">
      <c r="A285">
        <v>89</v>
      </c>
      <c r="B285">
        <v>10</v>
      </c>
      <c r="C285">
        <v>9</v>
      </c>
      <c r="D285">
        <v>6</v>
      </c>
      <c r="E285">
        <v>1</v>
      </c>
      <c r="F285" s="3">
        <f>0+(789.8-93.9)+(0+(-1.208394--0.143667))+0-0-0</f>
        <v>694.83527300000003</v>
      </c>
      <c r="G285" s="3">
        <f>0+(768.3-103.7)+(0+(0.391833-0.052887))+0-0-0</f>
        <v>664.93894599999987</v>
      </c>
      <c r="H285" s="3">
        <f>0+(809.8-162.1)+(0+(-1.651992--0.330684))+0-0-0</f>
        <v>646.37869199999989</v>
      </c>
      <c r="I285" s="3">
        <f>0+(815.8-169)+(0+(-0.832116--0.17238))+0-0-0</f>
        <v>646.140264</v>
      </c>
      <c r="J285" s="3">
        <f>0+(815.4-170.9)+(0+(-1.247562--0.261477))+0-0-0</f>
        <v>643.513915</v>
      </c>
      <c r="K285" s="3">
        <f>0+(794.9-158.6)+(0+(0-0))+0-0-0</f>
        <v>636.29999999999995</v>
      </c>
      <c r="L285" s="3">
        <f>0+(813.4-133.8)+(0+(-1.244502--0.204714))+0-0-0</f>
        <v>678.56021199999986</v>
      </c>
      <c r="M285" s="3">
        <f>67.2+(775.1-124.6)+(0.068544+(0.790602-0.127092))+0-0-0</f>
        <v>718.43205399999999</v>
      </c>
      <c r="N285" s="3">
        <f>132.8+(680-102.3)+(0.067728+(0.3468-0.052173))+0-0-0</f>
        <v>710.86235499999998</v>
      </c>
      <c r="O285" s="3">
        <f>133.3+(685.3-89.4)+(-0.339915+(-1.747515--0.22797))+0-0-0</f>
        <v>727.34054000000003</v>
      </c>
      <c r="P285" s="3">
        <f>131.1+(704.9-60.5)+(0+(0-0))+0-0-0</f>
        <v>775.5</v>
      </c>
      <c r="Q285" s="3">
        <f>128.4+(703.5-69.5)+(-0.130968+(-0.71757--0.07089))+0-0-0</f>
        <v>761.62235199999998</v>
      </c>
      <c r="R285" s="3">
        <f>126.2+(661.2-56.3)+(-0.257448+(-1.348848--0.114852))+0-0-0</f>
        <v>729.60855600000014</v>
      </c>
      <c r="S285" s="3">
        <f>51.6+(626.4-12.6)+(-0.078948+(-0.958392--0.019278))+0-0-0</f>
        <v>664.38193799999999</v>
      </c>
      <c r="T285" s="3">
        <f>87.8+(607.9-42.9)+(-0.044778+(-0.310029--0.021879))+0-0-0</f>
        <v>652.46707199999992</v>
      </c>
      <c r="U285" s="3">
        <f>73+(623.7-51.3)+(-0.03723+(-0.318087--0.026163))+0-0-0</f>
        <v>645.07084600000007</v>
      </c>
      <c r="V285" s="3">
        <f>50+(585.1-24.5)+(-0.102+(-1.193604--0.04998))+0-0-0</f>
        <v>609.354376</v>
      </c>
      <c r="W285" s="3">
        <f>110.4+(636.4-41.2)+(-0.168912+(-0.973692--0.063036))+0-0-0</f>
        <v>704.52043199999991</v>
      </c>
      <c r="X285" s="3">
        <f>131.8+(621.7-24.7)+(-0.403308+(-1.902402--0.075582))+0-0-0</f>
        <v>726.56987199999992</v>
      </c>
      <c r="Y285" s="3">
        <f>132.5+(586.7-16)+(0+(0-0))+0-0-0</f>
        <v>703.2</v>
      </c>
      <c r="Z285" s="3">
        <f>132.5+(589.6-8.3)+(-0.202725+(-0.902088--0.012699))+0-0-0</f>
        <v>712.70788600000003</v>
      </c>
      <c r="AA285" s="3">
        <f>132.2+(610.9-12.1)+(-0.067422+(-0.311559--0.006171))+0-0-0</f>
        <v>730.62719000000004</v>
      </c>
      <c r="AB285" s="3">
        <f>133.4+(653-73.9)+(-0.272136+(-1.33212--0.150756))+0-0-0</f>
        <v>711.04650000000004</v>
      </c>
      <c r="AC285" s="3">
        <f>46.2+(712.8-108)+(-0.141372+(-2.181168--0.33048))+0-0-0</f>
        <v>649.00793999999996</v>
      </c>
      <c r="AD285">
        <f t="shared" si="4"/>
        <v>16542.987211</v>
      </c>
      <c r="AE285" s="3">
        <f>131+(666.4-1.8)+(0+(0-0))+0-0-0</f>
        <v>795.6</v>
      </c>
    </row>
    <row r="286" spans="1:31" s="2" customFormat="1" x14ac:dyDescent="0.25">
      <c r="A286">
        <v>89</v>
      </c>
      <c r="B286">
        <v>10</v>
      </c>
      <c r="C286">
        <v>10</v>
      </c>
      <c r="D286">
        <v>7</v>
      </c>
      <c r="E286">
        <v>1</v>
      </c>
      <c r="F286" s="3">
        <f>0+(784.9-113.2)+(0+(0-0))+0-0-0</f>
        <v>671.69999999999993</v>
      </c>
      <c r="G286" s="3">
        <f>0+(787.8-161.2)+(0+(-0.803556--0.164424))+0-0-0</f>
        <v>625.96086799999989</v>
      </c>
      <c r="H286" s="3">
        <f>0+(799.7-195.9)+(0+(0-0))+0-0-0</f>
        <v>603.80000000000007</v>
      </c>
      <c r="I286" s="3">
        <f>0+(807-191.8)+(0+(-1.23471--0.293454))+0-0-0</f>
        <v>614.25874400000009</v>
      </c>
      <c r="J286" s="3">
        <f>0+(793.5-172.6)+(0+(-0.80937--0.176052))+0-0-0</f>
        <v>620.26668199999995</v>
      </c>
      <c r="K286" s="3">
        <f>0+(784.5-176.9)+(0+(0.400095-0.090219))+0-0-0</f>
        <v>607.90987600000005</v>
      </c>
      <c r="L286" s="3">
        <f>0+(778.9-180.2)+(0+(0-0))+0-0-0</f>
        <v>598.70000000000005</v>
      </c>
      <c r="M286" s="3">
        <f>9.6+(768.4-207.7)+(-0.009792+(-0.783768--0.211854))+0-0-0</f>
        <v>569.71829400000001</v>
      </c>
      <c r="N286" s="3">
        <f>55+(693.3-178.4)+(-0.08415+(-1.060749--0.272952))+0-0-0</f>
        <v>569.028053</v>
      </c>
      <c r="O286" s="3">
        <f>87.4+(619.5-133)+(-0.044574+(-0.315945--0.06783))+0-0-0</f>
        <v>573.60731099999998</v>
      </c>
      <c r="P286" s="3">
        <f>131+(593.6-98.6)+(-0.33405+(-1.51368--0.25143))+0-0-0</f>
        <v>624.40369999999996</v>
      </c>
      <c r="Q286" s="3">
        <f>130.2+(559.1-47.3)+(0.066402+(0.285141-0.024123))+0-0-0</f>
        <v>642.32741999999996</v>
      </c>
      <c r="R286" s="3">
        <f>109.8+(569.9-47.2)+(-0.111996+(-0.581298--0.048144))+0-0-0</f>
        <v>631.85484999999994</v>
      </c>
      <c r="S286" s="3">
        <f>50.4+(599.9-34.5)+(-0.154224+(-1.835694--0.10557))+0-0-0</f>
        <v>613.91565199999991</v>
      </c>
      <c r="T286" s="3">
        <f>52.8+(581.4-29.6)+(0.053856+(0.593028-0.030192))+0-0-0</f>
        <v>605.21669199999985</v>
      </c>
      <c r="U286" s="3">
        <f>53+(572.5-16)+(-0.02703+(-0.291975--0.00816))+0-0-0</f>
        <v>609.18915500000003</v>
      </c>
      <c r="V286" s="3">
        <f>53.1+(572.4-23)+(-0.027081+(-0.291924--0.01173))+0-0-0</f>
        <v>602.192725</v>
      </c>
      <c r="W286" s="3">
        <f>109.4+(594.8-48.4)+(0.055794+(0.303348-0.024684))+0-0-0</f>
        <v>656.134458</v>
      </c>
      <c r="X286" s="3">
        <f>131.9+(630.8-79.1)+(-0.201807+(-0.965124--0.121023))+0-0-0</f>
        <v>682.55409199999986</v>
      </c>
      <c r="Y286" s="3">
        <f>132.2+(661.4-103.4)+(-0.067422+(-0.337314--0.052734))+0-0-0</f>
        <v>689.84799800000008</v>
      </c>
      <c r="Z286" s="3">
        <f>131.4+(673.8-100.7)+(0.067014+(0.343638-0.051357))+0-0-0</f>
        <v>704.85929499999986</v>
      </c>
      <c r="AA286" s="3">
        <f>132+(696.1-115.2)+(-0.20196+(-1.065033--0.176256))+0-0-0</f>
        <v>711.80926299999999</v>
      </c>
      <c r="AB286" s="3">
        <f>58.9+(840-207)+(-0.150195+(-2.142--0.52785))+0-0-0</f>
        <v>690.13565499999993</v>
      </c>
      <c r="AC286" s="3">
        <f>0+(841.5-181)+(0+(-0.429165--0.09231))+0-0-0</f>
        <v>660.16314499999999</v>
      </c>
      <c r="AD286">
        <f t="shared" si="4"/>
        <v>15179.553928000001</v>
      </c>
      <c r="AE286" s="3">
        <f>131+(663.3-53.6)+(0+(0-0))+0-0-0</f>
        <v>740.69999999999993</v>
      </c>
    </row>
    <row r="287" spans="1:31" s="2" customFormat="1" x14ac:dyDescent="0.25">
      <c r="A287">
        <v>89</v>
      </c>
      <c r="B287">
        <v>10</v>
      </c>
      <c r="C287">
        <v>11</v>
      </c>
      <c r="D287">
        <v>1</v>
      </c>
      <c r="E287">
        <v>1</v>
      </c>
      <c r="F287" s="3">
        <f>0+(794.4-167.9)+(0+(-2.02572--0.428145))+0-0-0</f>
        <v>624.90242499999999</v>
      </c>
      <c r="G287" s="3">
        <f>0+(759.1-141.3)+(0+(-1.935705--0.360315))+0-0-0</f>
        <v>616.22460999999998</v>
      </c>
      <c r="H287" s="3">
        <f>0+(766.2-135.2)+(0+(-1.563048--0.275808))+0-0-0</f>
        <v>629.71276</v>
      </c>
      <c r="I287" s="3">
        <f>0+(759-131)+(0+(-0.77418--0.13362))+0-0-0</f>
        <v>627.35943999999995</v>
      </c>
      <c r="J287" s="3">
        <f>0+(717.1-124.2)+(0+(0-0))+0-0-0</f>
        <v>592.9</v>
      </c>
      <c r="K287" s="3">
        <f>0+(722.2-127.9)+(0+(1.104966-0.195687))+0-0-0</f>
        <v>595.20927900000004</v>
      </c>
      <c r="L287" s="3">
        <f>40.6+(809.5-217.6)+(-0.041412+(-0.82569--0.221952))+0-0-0</f>
        <v>631.85485000000006</v>
      </c>
      <c r="M287" s="3">
        <f>54.9+(801.3-164.2)+(0.027999+(0.408663-0.083742))+0-0-0</f>
        <v>692.35291999999993</v>
      </c>
      <c r="N287" s="3">
        <f>91.1+(819.3-116.5)+(-0.092922+(-0.835686--0.11883))+0-0-0</f>
        <v>793.09022199999993</v>
      </c>
      <c r="O287" s="3">
        <f>130.3+(994.3-325.6)+(0+(0-0))+0-0-0</f>
        <v>799</v>
      </c>
      <c r="P287" s="3">
        <f>129.5+(1040.3-363)+(0.066045+(0.530553-0.18513))+0-0-0</f>
        <v>807.21146799999997</v>
      </c>
      <c r="Q287" s="3">
        <f>129+(1023.8-338.6)+(-0.26316+(-2.088552--0.690744))+0-0-0</f>
        <v>812.53903199999991</v>
      </c>
      <c r="R287" s="3">
        <f>128.6+(939.4-280.1)+(-0.196758+(-1.437282--0.428553))+0-0-0</f>
        <v>786.69451300000003</v>
      </c>
      <c r="S287" s="3">
        <f>128.3+(866.4-234.3)+(-0.130866+(-0.883728--0.238986))+0-0-0</f>
        <v>759.62439199999983</v>
      </c>
      <c r="T287" s="3">
        <f>128.1+(826.9-182.2)+(-0.195993+(-1.265157--0.278766))+0-0-0</f>
        <v>771.61761600000011</v>
      </c>
      <c r="U287" s="3">
        <f>128.8+(769-133.6)+(0.131376+(0.78438-0.136272))+0-0-0</f>
        <v>764.97948400000007</v>
      </c>
      <c r="V287" s="3">
        <f>129.8+(751.7-100.6)+(0+(0-0))+0-0-0</f>
        <v>780.90000000000009</v>
      </c>
      <c r="W287" s="3">
        <f>131.2+(869-137.5)+(-0.33456+(-2.21595--0.350625))+0-0-0</f>
        <v>860.50011500000005</v>
      </c>
      <c r="X287" s="3">
        <f>132.5+(916.4-202.4)+(-0.337875+(-2.33682--0.51612))+0-0-0</f>
        <v>844.34142499999996</v>
      </c>
      <c r="Y287" s="3">
        <f>132.8+(869.6-171.1)+(-0.135456+(-0.886992--0.174522))+0-0-0</f>
        <v>830.45207399999993</v>
      </c>
      <c r="Z287" s="3">
        <f>133.2+(817.5-125.9)+(-0.135864+(-0.83385--0.128418))+0-0-0</f>
        <v>823.9587039999999</v>
      </c>
      <c r="AA287" s="3">
        <f>134.1+(815.1-164.4)+(-0.205173+(-1.247103--0.251532))+0-0-0</f>
        <v>783.59925600000008</v>
      </c>
      <c r="AB287" s="3">
        <f>133.7+(806.5-171.8)+(-0.068187+(-0.411315--0.087618))+0-0-0</f>
        <v>768.00811600000009</v>
      </c>
      <c r="AC287" s="3">
        <f>126.8+(839.7-208.5)+(-0.32334+(-2.141235--0.531675))+0-0-0</f>
        <v>756.06709999999998</v>
      </c>
      <c r="AD287">
        <f t="shared" si="4"/>
        <v>17753.099801</v>
      </c>
      <c r="AE287" s="3">
        <f>132+(945.4-214.1)+(0+(0-0))+0-0-0</f>
        <v>863.3</v>
      </c>
    </row>
    <row r="288" spans="1:31" s="2" customFormat="1" x14ac:dyDescent="0.25">
      <c r="A288">
        <v>89</v>
      </c>
      <c r="B288">
        <v>10</v>
      </c>
      <c r="C288">
        <v>12</v>
      </c>
      <c r="D288">
        <v>2</v>
      </c>
      <c r="E288">
        <v>1</v>
      </c>
      <c r="F288" s="3">
        <f>0+(867.6-165.5)+(0+(-1.327428--0.253215))+0-0-0</f>
        <v>701.02578700000004</v>
      </c>
      <c r="G288" s="3">
        <f>0+(785.5-128.6)+(0+(0-0))+0-0-0</f>
        <v>656.9</v>
      </c>
      <c r="H288" s="3">
        <f>0+(793.4-156)+(0+(-2.02317--0.3978))+0-0-0</f>
        <v>635.77463</v>
      </c>
      <c r="I288" s="3">
        <f>0+(778.2-139.6)+(0+(1.190646-0.213588))+0-0-0</f>
        <v>639.57705800000008</v>
      </c>
      <c r="J288" s="3">
        <f>0+(790.1-145.3)+(0+(-1.611804--0.296412))+0-0-0</f>
        <v>643.48460799999998</v>
      </c>
      <c r="K288" s="3">
        <f>0+(804.8-152)+(0+(-0.410448--0.07752))+0-0-0</f>
        <v>652.46707199999992</v>
      </c>
      <c r="L288" s="3">
        <f>1.3+(843.6-183)+(-0.001326+(-0.860472--0.18666))+0-0-0</f>
        <v>661.22486200000003</v>
      </c>
      <c r="M288" s="3">
        <f>64.9+(793.4-147.3)+(-0.033099+(-0.404634--0.075123))+0-0-0</f>
        <v>710.63738999999987</v>
      </c>
      <c r="N288" s="3">
        <f>134.9+(719.1-93.1)+(-0.068799+(-0.366741--0.047481))+0-0-0</f>
        <v>760.51194099999998</v>
      </c>
      <c r="O288" s="3">
        <f>134.1+(814.1-154)+(-0.205173+(-1.245573--0.23562))+0-0-0</f>
        <v>792.98487399999999</v>
      </c>
      <c r="P288" s="3">
        <f>133.4+(835.2-163.4)+(0.204102+(1.277856-0.250002))+0-0-0</f>
        <v>806.43195600000001</v>
      </c>
      <c r="Q288" s="3">
        <f>132.7+(716.1-46)+(-0.338385+(-1.826055--0.1173))+0-0-0</f>
        <v>800.75285999999994</v>
      </c>
      <c r="R288" s="3">
        <f>131.8+(751.4-89)+(-0.33609+(-1.91607--0.22695))+0-0-0</f>
        <v>792.17479000000003</v>
      </c>
      <c r="S288" s="3">
        <f>131.1+(696-68)+(0+(0-0))+0-0-0</f>
        <v>759.1</v>
      </c>
      <c r="T288" s="3">
        <f>131+(618.4-4.1)+(-0.06681+(-0.315384--0.002091))+0-0-0</f>
        <v>744.91989699999999</v>
      </c>
      <c r="U288" s="3">
        <f>91.5+(656.7-14.1)+(-0.233325+(-1.674585--0.035955))+0-0-0</f>
        <v>732.22804500000007</v>
      </c>
      <c r="V288" s="3">
        <f>55+(698.2-12.2)+(-0.14025+(-1.78041--0.03111))+0-0-0</f>
        <v>739.11045000000001</v>
      </c>
      <c r="W288" s="3">
        <f>111.9+(744.1-51.1)+(-0.285345+(-1.897455--0.130305))+0-0-0</f>
        <v>802.84750499999996</v>
      </c>
      <c r="X288" s="3">
        <f>133.6+(708.3-15.5)+(-0.408816+(-2.167398--0.04743))+0-0-0</f>
        <v>823.871216</v>
      </c>
      <c r="Y288" s="3">
        <f>118.3+(713-25)+(-0.301665+(-1.81815--0.06375))+0-0-0</f>
        <v>804.24393499999996</v>
      </c>
      <c r="Z288" s="3">
        <f>9.3+(770.4-0)+(-0.014229+(-1.178712-0))+0-0-0</f>
        <v>778.50705899999991</v>
      </c>
      <c r="AA288" s="3">
        <f>0+(775.2-5.5)+(0+(0-0))+0-0-0</f>
        <v>769.7</v>
      </c>
      <c r="AB288" s="3">
        <f>0+(811.6-51.1)+(0+(-1.241748--0.078183))+0-0-0</f>
        <v>759.33643500000005</v>
      </c>
      <c r="AC288" s="3">
        <f>0+(851.7-123.6)+(0+(-1.737468--0.252144))+0-0-0</f>
        <v>726.61467600000003</v>
      </c>
      <c r="AD288">
        <f t="shared" si="4"/>
        <v>17694.427046000001</v>
      </c>
      <c r="AE288" s="3">
        <f>133+(717.3-30.6)+(0+(0-0))+0-0-0</f>
        <v>819.69999999999993</v>
      </c>
    </row>
    <row r="289" spans="1:31" s="2" customFormat="1" x14ac:dyDescent="0.25">
      <c r="A289">
        <v>89</v>
      </c>
      <c r="B289">
        <v>10</v>
      </c>
      <c r="C289">
        <v>13</v>
      </c>
      <c r="D289">
        <v>3</v>
      </c>
      <c r="E289">
        <v>1</v>
      </c>
      <c r="F289" s="3">
        <f>0+(831.2-146.4)+(0+(-1.695648--0.298656))+0-0-0</f>
        <v>683.40300800000011</v>
      </c>
      <c r="G289" s="3">
        <f>0+(857.4-191.8)+(0+(-0.874548--0.195636))+0-0-0</f>
        <v>664.92108799999994</v>
      </c>
      <c r="H289" s="3">
        <f>0+(856.6-205.8)+(0+(-0.873732--0.209916))+0-0-0</f>
        <v>650.13618399999996</v>
      </c>
      <c r="I289" s="3">
        <f>0+(823.4-175.2)+(0+(-1.259802--0.268056))+0-0-0</f>
        <v>647.20825400000001</v>
      </c>
      <c r="J289" s="3">
        <f>0+(822.4-182.1)+(0+(1.258272-0.278613))+0-0-0</f>
        <v>641.27965899999992</v>
      </c>
      <c r="K289" s="3">
        <f>0+(855.6-215.5)+(0+(0-0))+0-0-0</f>
        <v>640.1</v>
      </c>
      <c r="L289" s="3">
        <f>0+(855.6-215.5)+(0+(0-0))+0-0-0</f>
        <v>640.1</v>
      </c>
      <c r="M289" s="3">
        <f>1.9+(890.1-218)+(-0.001938+(-0.907902--0.22236))+0-0-0</f>
        <v>673.31251999999995</v>
      </c>
      <c r="N289" s="3">
        <f>55+(898.9-240.3)+(-0.02805+(-0.458439--0.122553))+0-0-0</f>
        <v>713.23606399999994</v>
      </c>
      <c r="O289" s="3">
        <f>136.9+(869.8-226.7)+(-0.139638+(-0.887196--0.231234))+0-0-0</f>
        <v>779.20439999999985</v>
      </c>
      <c r="P289" s="3">
        <f>136.1+(770.9-73.1)+(-0.277644+(-1.572636--0.149124))+0-0-0</f>
        <v>832.19884400000001</v>
      </c>
      <c r="Q289" s="3">
        <f>134.4+(725-68.3)+(-0.205632+(-1.10925--0.104499))+0-0-0</f>
        <v>789.88961700000004</v>
      </c>
      <c r="R289" s="3">
        <f>133+(694.2-60.1)+(-0.27132+(-1.416168--0.122604))+0-0-0</f>
        <v>765.53511600000002</v>
      </c>
      <c r="S289" s="3">
        <f>131.7+(690.4-79.8)+(-0.134334+(-0.704208--0.081396))+0-0-0</f>
        <v>741.54285399999992</v>
      </c>
      <c r="T289" s="3">
        <f>130.6+(714.9-96.2)+(-0.066606+(-0.364599--0.049062))+0-0-0</f>
        <v>748.91785699999991</v>
      </c>
      <c r="U289" s="3">
        <f>93.8+(726-74.7)+(-0.095676+(-0.74052--0.076194))+0-0-0</f>
        <v>744.33999799999992</v>
      </c>
      <c r="V289" s="3">
        <f>55+(720.3-30.5)+(-0.14025+(-1.836765--0.077775))+0-0-0</f>
        <v>742.90075999999999</v>
      </c>
      <c r="W289" s="3">
        <f>104.1+(758.9-49.9)+(-0.265455+(-1.935195--0.127245))+0-0-0</f>
        <v>811.02659500000004</v>
      </c>
      <c r="X289" s="3">
        <f>134+(716.6-17.9)+(-0.27336+(-1.461864--0.036516))+0-0-0</f>
        <v>831.00129200000003</v>
      </c>
      <c r="Y289" s="3">
        <f>134.5+(680.3-1.3)+(-0.13719+(-0.693906--0.001326))+0-0-0</f>
        <v>812.67022999999995</v>
      </c>
      <c r="Z289" s="3">
        <f>58.9+(728.8-0)+(-0.060078+(-0.743376-0))+0-0-0</f>
        <v>786.89654599999994</v>
      </c>
      <c r="AA289" s="3">
        <f>0+(776.5-4.6)+(0+(0.396015-0.002346))+0-0-0</f>
        <v>772.29366900000002</v>
      </c>
      <c r="AB289" s="3">
        <f>0+(755.5-2.8)+(0+(-1.155915--0.004284))+0-0-0</f>
        <v>751.54836900000009</v>
      </c>
      <c r="AC289" s="3">
        <f>0+(775.2-57.9)+(0+(-1.97676--0.147645))+0-0-0</f>
        <v>715.47088500000007</v>
      </c>
      <c r="AD289">
        <f t="shared" si="4"/>
        <v>17579.133809000003</v>
      </c>
      <c r="AE289" s="3">
        <f>135+(745.1-48.9)+(0+(0-0))+0-0-0</f>
        <v>831.2</v>
      </c>
    </row>
    <row r="290" spans="1:31" s="2" customFormat="1" x14ac:dyDescent="0.25">
      <c r="A290">
        <v>89</v>
      </c>
      <c r="B290">
        <v>10</v>
      </c>
      <c r="C290">
        <v>14</v>
      </c>
      <c r="D290">
        <v>4</v>
      </c>
      <c r="E290">
        <v>1</v>
      </c>
      <c r="F290" s="3">
        <f>0+(821.7-140)+(0+(-1.676268--0.2856))+0-0-0</f>
        <v>680.30933200000004</v>
      </c>
      <c r="G290" s="3">
        <f>0+(797.5-143.8)+(0+(-0.81345--0.146676))+0-0-0</f>
        <v>653.03322600000001</v>
      </c>
      <c r="H290" s="3">
        <f>0+(781.9-140.8)+(0+(0-0))+0-0-0</f>
        <v>641.09999999999991</v>
      </c>
      <c r="I290" s="3">
        <f>0+(772.2-125.2)+(0+(-0.787644--0.127704))+0-0-0</f>
        <v>646.34005999999999</v>
      </c>
      <c r="J290" s="3">
        <f>0+(779.1-139.9)+(0+(1.589364-0.285396))+0-0-0</f>
        <v>640.5039680000001</v>
      </c>
      <c r="K290" s="3">
        <f>0+(809.1-170.3)+(0+(0.412641-0.086853))+0-0-0</f>
        <v>639.12578799999994</v>
      </c>
      <c r="L290" s="3">
        <f>0+(848.6-176.4)+(0+(-0.865572--0.179928))+0-0-0</f>
        <v>671.51435600000002</v>
      </c>
      <c r="M290" s="3">
        <f>0+(853-147.1)+(0+(-1.30509--0.225063))+0-0-0</f>
        <v>704.819973</v>
      </c>
      <c r="N290" s="3">
        <f>15.3+(801.4-84.4)+(-0.015606+(-0.817428--0.086088))+0-0-0</f>
        <v>731.55305399999997</v>
      </c>
      <c r="O290" s="3">
        <f>118.4+(773.9-126.3)+(-0.120768+(-0.789378--0.128826))+0-0-0</f>
        <v>765.21867999999995</v>
      </c>
      <c r="P290" s="3">
        <f>130.2+(735.6-82.3)+(-0.066402+(-0.375156--0.041973))+0-0-0</f>
        <v>783.100415</v>
      </c>
      <c r="Q290" s="3">
        <f>129.8+(724.4-61.1)+(-0.264792+(-1.477776--0.124644))+0-0-0</f>
        <v>791.48207599999989</v>
      </c>
      <c r="R290" s="3">
        <f>129.2+(683-23.5)+(-0.131784+(-0.69666--0.02397))+0-0-0</f>
        <v>787.89552600000002</v>
      </c>
      <c r="S290" s="3">
        <f>129.1+(673.1-35.2)+(-0.131682+(-0.686562--0.035904))+0-0-0</f>
        <v>766.21766000000002</v>
      </c>
      <c r="T290" s="3">
        <f>128.6+(720.5-82.7)+(-0.065586+(-0.367455--0.042177))+0-0-0</f>
        <v>766.00913600000001</v>
      </c>
      <c r="U290" s="3">
        <f>128.6+(719.5-77.9)+(0+(0-0))+0-0-0</f>
        <v>770.2</v>
      </c>
      <c r="V290" s="3">
        <f>129.8+(671.8-18.8)+(-0.264792+(-1.370472--0.038352))+0-0-0</f>
        <v>781.20308799999998</v>
      </c>
      <c r="W290" s="3">
        <f>130.6+(805.2-101.3)+(0+(0-0))+0-0-0</f>
        <v>834.50000000000011</v>
      </c>
      <c r="X290" s="3">
        <f>131.3+(761.4-52.4)+(-0.133926+(-0.776628--0.053448))+0-0-0</f>
        <v>839.44289399999991</v>
      </c>
      <c r="Y290" s="3">
        <f>63.9+(780.9-18.3)+(-0.032589+(-0.398259--0.009333))+0-0-0</f>
        <v>826.078485</v>
      </c>
      <c r="Z290" s="3">
        <f>0+(809.7-2)+(0+(-2.064735--0.0051))+0-0-0</f>
        <v>805.64036500000009</v>
      </c>
      <c r="AA290" s="3">
        <f>0+(794-5)+(0+(0-0))+0-0-0</f>
        <v>789</v>
      </c>
      <c r="AB290" s="3">
        <f>0+(791.9-13.1)+(0+(-0.403869--0.006681))+0-0-0</f>
        <v>778.40281199999993</v>
      </c>
      <c r="AC290" s="3">
        <f>0+(838.8-78.1)+(0+(-1.283364--0.119493))+0-0-0</f>
        <v>759.53612899999996</v>
      </c>
      <c r="AD290">
        <f t="shared" si="4"/>
        <v>17852.227022999999</v>
      </c>
      <c r="AE290" s="3">
        <f>129+(772.9-70.8)+(0+(0-0))+0-0-0</f>
        <v>831.1</v>
      </c>
    </row>
    <row r="291" spans="1:31" s="2" customFormat="1" x14ac:dyDescent="0.25">
      <c r="A291">
        <v>89</v>
      </c>
      <c r="B291">
        <v>10</v>
      </c>
      <c r="C291">
        <v>15</v>
      </c>
      <c r="D291">
        <v>5</v>
      </c>
      <c r="E291">
        <v>1</v>
      </c>
      <c r="F291" s="3">
        <f>0+(841.3-123.3)+(0+(-1.716252--0.251532))+0-0-0</f>
        <v>716.53527999999994</v>
      </c>
      <c r="G291" s="3">
        <f>0+(834.6-144.9)+(0+(-0.851292--0.147798))+0-0-0</f>
        <v>688.99650600000007</v>
      </c>
      <c r="H291" s="3">
        <f>0+(838.8-159.5)+(0+(-0.427788--0.081345))+0-0-0</f>
        <v>678.95355699999993</v>
      </c>
      <c r="I291" s="3">
        <f>0+(812.9-136.2)+(0+(-0.414579--0.069462))+0-0-0</f>
        <v>676.35488300000009</v>
      </c>
      <c r="J291" s="3">
        <f>0+(795.1-128.6)+(0+(-0.405501--0.065586))+0-0-0</f>
        <v>666.16008499999998</v>
      </c>
      <c r="K291" s="3">
        <f>0+(782.2-131.9)+(0+(-0.797844--0.134538))+0-0-0</f>
        <v>649.63669400000003</v>
      </c>
      <c r="L291" s="3">
        <f>0+(828.4-142.2)+(0+(-0.844968--0.145044))+0-0-0</f>
        <v>685.50007600000004</v>
      </c>
      <c r="M291" s="3">
        <f>0+(846.8-132)+(0+(-0.863736--0.13464))+0-0-0</f>
        <v>714.07090399999993</v>
      </c>
      <c r="N291" s="3">
        <f>0+(855-105.8)+(0+(-1.7442--0.215832))+0-0-0</f>
        <v>747.67163200000005</v>
      </c>
      <c r="O291" s="3">
        <f>47+(769.5-34.3)+(-0.02397+(-0.392445--0.017493))+0-0-0</f>
        <v>781.80107800000008</v>
      </c>
      <c r="P291" s="3">
        <f>131.2+(685.7-7)+(-0.066912+(-0.349707--0.00357))+0-0-0</f>
        <v>809.48695100000009</v>
      </c>
      <c r="Q291" s="3">
        <f>131.3+(688.4-7)+(-0.066963+(-0.351084--0.00357))+0-0-0</f>
        <v>812.28552300000001</v>
      </c>
      <c r="R291" s="3">
        <f>130.5+(677-0)+(-0.13311+(-0.69054-0))+0-0-0</f>
        <v>806.67634999999996</v>
      </c>
      <c r="S291" s="3">
        <f>129.1+(658.7-0)+(-0.197523+(-1.007811-0))+0-0-0</f>
        <v>786.59466600000007</v>
      </c>
      <c r="T291" s="3">
        <f>128.9+(658.5-11.7)+(-0.131478+(-0.67167--0.011934))+0-0-0</f>
        <v>774.90878599999996</v>
      </c>
      <c r="U291" s="3">
        <f>130.2+(633.4-8.4)+(0.33201+(1.61517-0.02142))+0-0-0</f>
        <v>757.12576000000001</v>
      </c>
      <c r="V291" s="3">
        <f>129.7+(664.2-21.3)+(-0.198441+(-1.016226--0.032589))+0-0-0</f>
        <v>771.41792200000009</v>
      </c>
      <c r="W291" s="3">
        <f>131.5+(746.9-63.7)+(0.067065+(0.380919-0.032487))+0-0-0</f>
        <v>815.11549699999989</v>
      </c>
      <c r="X291" s="3">
        <f>132.2+(738.6-41.5)+(-0.269688+(-1.506744--0.08466))+0-0-0</f>
        <v>827.60822799999994</v>
      </c>
      <c r="Y291" s="3">
        <f>84.2+(777.4-47.5)+(-0.128826+(-1.189422--0.072675))+0-0-0</f>
        <v>812.85442699999999</v>
      </c>
      <c r="Z291" s="3">
        <f>54.8+(750.5-17.7)+(-0.027948+(-0.382755--0.009027))+0-0-0</f>
        <v>787.19832399999996</v>
      </c>
      <c r="AA291" s="3">
        <f>52.1+(720.5-7.8)+(-0.079713+(-1.102365--0.011934))+0-0-0</f>
        <v>763.62985600000002</v>
      </c>
      <c r="AB291" s="3">
        <f>52.1+(694.7-1.6)+(-0.132855+(-1.771485--0.00408))+0-0-0</f>
        <v>743.29974000000004</v>
      </c>
      <c r="AC291" s="3">
        <f>21.6+(705.3-5.5)+(-0.05508+(-1.798515--0.014025))+0-0-0</f>
        <v>719.56043</v>
      </c>
      <c r="AD291">
        <f t="shared" si="4"/>
        <v>17993.443155000001</v>
      </c>
      <c r="AE291" s="3">
        <f>132+(764.5-65.6)+(0+(0-0))+0-0-0</f>
        <v>830.9</v>
      </c>
    </row>
    <row r="292" spans="1:31" s="2" customFormat="1" x14ac:dyDescent="0.25">
      <c r="A292">
        <v>89</v>
      </c>
      <c r="B292">
        <v>10</v>
      </c>
      <c r="C292">
        <v>16</v>
      </c>
      <c r="D292">
        <v>6</v>
      </c>
      <c r="E292">
        <v>1</v>
      </c>
      <c r="F292" s="3">
        <f>0+(754.9-67.7)+(0+(-0.769998--0.069054))+0-0-0</f>
        <v>686.49905599999988</v>
      </c>
      <c r="G292" s="3">
        <f>0+(723.7-57.2)+(0+(-1.107261--0.087516))+0-0-0</f>
        <v>665.48025500000006</v>
      </c>
      <c r="H292" s="3">
        <f>0+(708-61.8)+(0+(-1.44432--0.126072))+0-0-0</f>
        <v>644.88175200000001</v>
      </c>
      <c r="I292" s="3">
        <f>0+(685.7-49.4)+(0+(-1.049121--0.075582))+0-0-0</f>
        <v>635.32646100000011</v>
      </c>
      <c r="J292" s="3">
        <f>0+(684.4-46.8)+(0+(-0.349044--0.023868))+0-0-0</f>
        <v>637.27482399999997</v>
      </c>
      <c r="K292" s="3">
        <f>0+(689.1-61.7)+(0+(0-0))+0-0-0</f>
        <v>627.4</v>
      </c>
      <c r="L292" s="3">
        <f>0+(711.3-65.8)+(0+(-0.362763--0.033558))+0-0-0</f>
        <v>645.170795</v>
      </c>
      <c r="M292" s="3">
        <f>0+(778.7-108.4)+(0+(0-0))+0-0-0</f>
        <v>670.30000000000007</v>
      </c>
      <c r="N292" s="3">
        <f>24.1+(835.1-156.5)+(-0.012291+(-0.425901--0.079815))+0-0-0</f>
        <v>702.34162300000003</v>
      </c>
      <c r="O292" s="3">
        <f>91.3+(727.2-86.5)+(-0.093126+(-0.741744--0.08823))+0-0-0</f>
        <v>731.25336000000004</v>
      </c>
      <c r="P292" s="3">
        <f>134.3+(681.7-60.7)+(0+(0-0))+0-0-0</f>
        <v>755.3</v>
      </c>
      <c r="Q292" s="3">
        <f>134.1+(643.1-25.8)+(-0.136782+(-0.655962--0.026316))+0-0-0</f>
        <v>750.63357200000007</v>
      </c>
      <c r="R292" s="3">
        <f>133.7+(651.6-47.1)+(-0.409122+(-1.993896--0.144126))+0-0-0</f>
        <v>735.9411080000001</v>
      </c>
      <c r="S292" s="3">
        <f>133.9+(614.5-35.8)+(-0.204867+(-0.940185--0.054774))+0-0-0</f>
        <v>711.50972200000001</v>
      </c>
      <c r="T292" s="3">
        <f>102.8+(618.7-13.9)+(-0.104856+(-0.631074--0.014178))+0-0-0</f>
        <v>706.87824799999999</v>
      </c>
      <c r="U292" s="3">
        <f>55+(655-12.7)+(0+(0-0))+0-0-0</f>
        <v>697.3</v>
      </c>
      <c r="V292" s="3">
        <f>111.9+(591.2-0)+(-0.114138+(-0.603024-0))+0-0-0</f>
        <v>702.38283799999999</v>
      </c>
      <c r="W292" s="3">
        <f>133.4+(652.1-19.2)+(0+(0-0))+0-0-0</f>
        <v>766.3</v>
      </c>
      <c r="X292" s="3">
        <f>85.4+(703.7-0)+(-0.21777+(-1.794435-0))+0-0-0</f>
        <v>787.08779500000003</v>
      </c>
      <c r="Y292" s="3">
        <f>55+(722.8-5.4)+(-0.08415+(-1.105884--0.008262))+0-0-0</f>
        <v>771.21822799999995</v>
      </c>
      <c r="Z292" s="3">
        <f>50.2+(707.4-4.5)+(-0.025602+(-0.360774--0.002295))+0-0-0</f>
        <v>752.71591899999999</v>
      </c>
      <c r="AA292" s="3">
        <f>50+(703.2-11.8)+(-0.051+(-0.717264--0.012036))+0-0-0</f>
        <v>740.64377200000013</v>
      </c>
      <c r="AB292" s="3">
        <f>23.5+(712.3-10.1)+(-0.011985+(-0.363273--0.005151))+0-0-0</f>
        <v>725.32989299999997</v>
      </c>
      <c r="AC292" s="3">
        <f>0+(784.2-72.7)+(0+(-1.199826--0.111231))+0-0-0</f>
        <v>710.41140499999995</v>
      </c>
      <c r="AD292">
        <f t="shared" si="4"/>
        <v>16959.580625999999</v>
      </c>
      <c r="AE292" s="3">
        <f>131+(684.9-7)+(0+(0-0))+0-0-0</f>
        <v>808.9</v>
      </c>
    </row>
    <row r="293" spans="1:31" s="2" customFormat="1" x14ac:dyDescent="0.25">
      <c r="A293">
        <v>89</v>
      </c>
      <c r="B293">
        <v>10</v>
      </c>
      <c r="C293">
        <v>17</v>
      </c>
      <c r="D293">
        <v>7</v>
      </c>
      <c r="E293">
        <v>1</v>
      </c>
      <c r="F293" s="3">
        <f>0+(839.9-153.2)+(0+(-0.428349--0.078132))+0-0-0</f>
        <v>686.349783</v>
      </c>
      <c r="G293" s="3">
        <f>0+(747-98.8)+(0+(-1.14291--0.151164))+0-0-0</f>
        <v>647.20825400000001</v>
      </c>
      <c r="H293" s="3">
        <f>0+(683.4-61.3)+(0+(0-0))+0-0-0</f>
        <v>622.1</v>
      </c>
      <c r="I293" s="3">
        <f>0+(669.8-54.5)+(0+(0.341598-0.027795))+0-0-0</f>
        <v>615.61380299999996</v>
      </c>
      <c r="J293" s="3">
        <f>0+(659.6-54)+(0+(-0.672792--0.05508))+0-0-0</f>
        <v>604.98228800000004</v>
      </c>
      <c r="K293" s="3">
        <f>0+(649.1-52.2)+(0+(0.331041-0.026622))+0-0-0</f>
        <v>597.20441900000003</v>
      </c>
      <c r="L293" s="3">
        <f>0+(686.8-91.7)+(0+(-1.75134--0.233835))+0-0-0</f>
        <v>593.58249499999988</v>
      </c>
      <c r="M293" s="3">
        <f>0+(690.2-114.8)+(0+(0-0))+0-0-0</f>
        <v>575.40000000000009</v>
      </c>
      <c r="N293" s="3">
        <f>0+(710.1-131.9)+(0+(0-0))+0-0-0</f>
        <v>578.20000000000005</v>
      </c>
      <c r="O293" s="3">
        <f>0+(736-138)+(0+(1.50144-0.28152))+0-0-0</f>
        <v>599.21992</v>
      </c>
      <c r="P293" s="3">
        <f>0+(770.6-140.2)+(0+(-1.179018--0.214506))+0-0-0</f>
        <v>629.43548800000008</v>
      </c>
      <c r="Q293" s="3">
        <f>0+(745.2-91)+(0+(-0.380052--0.04641))+0-0-0</f>
        <v>653.86635799999999</v>
      </c>
      <c r="R293" s="3">
        <f>0+(731.1-67.8)+(0+(-1.118583--0.103734))+0-0-0</f>
        <v>662.28515100000004</v>
      </c>
      <c r="S293" s="3">
        <f>0+(725-94.8)+(0+(-0.7395--0.096696))+0-0-0</f>
        <v>629.55719600000009</v>
      </c>
      <c r="T293" s="3">
        <f>0+(699-91.7)+(0+(0.71298-0.093534))+0-0-0</f>
        <v>607.91944599999999</v>
      </c>
      <c r="U293" s="3">
        <f>0+(687.6-88.3)+(0+(0-0))+0-0-0</f>
        <v>599.30000000000007</v>
      </c>
      <c r="V293" s="3">
        <f>0+(671.9-53.5)+(0+(-2.056014--0.16371))+0-0-0</f>
        <v>616.50769600000001</v>
      </c>
      <c r="W293" s="3">
        <f>0+(708.1-18.2)+(0+(-0.361131--0.009282))+0-0-0</f>
        <v>689.54815099999996</v>
      </c>
      <c r="X293" s="3">
        <f>0+(797.9-67.6)+(0+(-1.220787--0.103428))+0-0-0</f>
        <v>729.18264099999999</v>
      </c>
      <c r="Y293" s="3">
        <f>0+(784.7-69.3)+(0+(0-0))+0-0-0</f>
        <v>715.40000000000009</v>
      </c>
      <c r="Z293" s="3">
        <f>0+(825.2-113.4)+(0+(-1.683408--0.231336))+0-0-0</f>
        <v>710.34792800000002</v>
      </c>
      <c r="AA293" s="3">
        <f>0+(864.1-159.3)+(0+(-0.440691--0.081243))+0-0-0</f>
        <v>704.44055199999991</v>
      </c>
      <c r="AB293" s="3">
        <f>0+(835.9-148.4)+(0+(-0.426309--0.075684))+0-0-0</f>
        <v>687.14937499999996</v>
      </c>
      <c r="AC293" s="3">
        <f>0+(850.4-186.2)+(0+(-1.301112--0.284886))+0-0-0</f>
        <v>663.18377400000008</v>
      </c>
      <c r="AD293">
        <f t="shared" si="4"/>
        <v>15417.984718</v>
      </c>
      <c r="AE293" s="3">
        <f>0+(805.5-78.8)+(0+(0-0))+0-0-0</f>
        <v>726.7</v>
      </c>
    </row>
    <row r="294" spans="1:31" s="2" customFormat="1" x14ac:dyDescent="0.25">
      <c r="A294">
        <v>89</v>
      </c>
      <c r="B294">
        <v>10</v>
      </c>
      <c r="C294">
        <v>18</v>
      </c>
      <c r="D294">
        <v>1</v>
      </c>
      <c r="E294">
        <v>1</v>
      </c>
      <c r="F294" s="3">
        <f>0+(781.9-147.7)+(0+(-1.993845--0.376635))+0-0-0</f>
        <v>632.58279000000005</v>
      </c>
      <c r="G294" s="3">
        <f>0+(680.9-76.6)+(0+(-0.694518--0.078132))+0-0-0</f>
        <v>603.68361399999992</v>
      </c>
      <c r="H294" s="3">
        <f>0+(661-73.1)+(0+(-1.68555--0.186405))+0-0-0</f>
        <v>586.40085499999998</v>
      </c>
      <c r="I294" s="3">
        <f>0+(626.7-43.9)+(0+(-0.639234--0.044778))+0-0-0</f>
        <v>582.20554400000003</v>
      </c>
      <c r="J294" s="3">
        <f>0+(645.2-67)+(0+(-0.329052--0.03417))+0-0-0</f>
        <v>577.90511800000002</v>
      </c>
      <c r="K294" s="3">
        <f>0+(642.4-59.5)+(0+(-0.655248--0.06069))+0-0-0</f>
        <v>582.30544199999997</v>
      </c>
      <c r="L294" s="3">
        <f>0+(730.9-108.8)+(0+(-0.372759--0.055488))+0-0-0</f>
        <v>621.78272900000002</v>
      </c>
      <c r="M294" s="3">
        <f>54.3+(743.1-112.8)+(0.027693+(0.378981-0.057528))+0-0-0</f>
        <v>684.94914600000004</v>
      </c>
      <c r="N294" s="3">
        <f>133.5+(689.4-90.1)+(0+(0-0))+0-0-0</f>
        <v>732.8</v>
      </c>
      <c r="O294" s="3">
        <f>133.8+(668.4-23.9)+(-0.068238+(-0.340884--0.012189))+0-0-0</f>
        <v>777.90306699999996</v>
      </c>
      <c r="P294" s="3">
        <f>132.8+(669.1-9.6)+(-0.135456+(-0.682482--0.009792))+0-0-0</f>
        <v>791.49185399999999</v>
      </c>
      <c r="Q294" s="3">
        <f>132.9+(674.7-6.6)+(-0.067779+(-0.344097--0.003366))+0-0-0</f>
        <v>800.59149000000002</v>
      </c>
      <c r="R294" s="3">
        <f>133.1+(645.3-10.9)+(-0.067881+(-0.329103--0.005559))+0-0-0</f>
        <v>767.10857499999997</v>
      </c>
      <c r="S294" s="3">
        <f>132.6+(640.8-28.1)+(-0.135252+(-0.653616--0.028662))+0-0-0</f>
        <v>744.53979399999992</v>
      </c>
      <c r="T294" s="3">
        <f>132.4+(668.3-48.9)+(-0.135048+(-0.681666--0.049878))+0-0-0</f>
        <v>751.03316399999994</v>
      </c>
      <c r="U294" s="3">
        <f>132.5+(685.6-57.8)+(0+(0-0))+0-0-0</f>
        <v>760.30000000000007</v>
      </c>
      <c r="V294" s="3">
        <f>132.2+(648.6-12.3)+(0+(0-0))+0-0-0</f>
        <v>768.5</v>
      </c>
      <c r="W294" s="3">
        <f>131.5+(686.7-6)+(0.13413+(0.700434-0.00612))+0-0-0</f>
        <v>813.02844400000004</v>
      </c>
      <c r="X294" s="3">
        <f>132.1+(708.7-8.7)+(-0.202113+(-1.084311--0.013311))+0-0-0</f>
        <v>830.82688700000006</v>
      </c>
      <c r="Y294" s="3">
        <f>64.9+(769.6-10.9)+(-0.132396+(-1.569984--0.022236))+0-0-0</f>
        <v>821.91985599999998</v>
      </c>
      <c r="Z294" s="3">
        <f>0+(801.7-13.2)+(0+(-0.817734--0.013464))+0-0-0</f>
        <v>787.69573000000003</v>
      </c>
      <c r="AA294" s="3">
        <f>0+(819-37.2)+(0+(-0.83538--0.037944))+0-0-0</f>
        <v>781.00256400000001</v>
      </c>
      <c r="AB294" s="3">
        <f>0+(909-134.3)+(0+(-0.46359--0.068493))+0-0-0</f>
        <v>774.30490300000008</v>
      </c>
      <c r="AC294" s="3">
        <f>0+(953.5-211.7)+(0+(-1.94514--0.431868))+0-0-0</f>
        <v>740.28672799999993</v>
      </c>
      <c r="AD294">
        <f t="shared" si="4"/>
        <v>17315.148293999999</v>
      </c>
      <c r="AE294" s="3">
        <f>136+(704.6-20.2)+(0+(0-0))+0-0-0</f>
        <v>820.4</v>
      </c>
    </row>
    <row r="295" spans="1:31" s="2" customFormat="1" x14ac:dyDescent="0.25">
      <c r="A295">
        <v>89</v>
      </c>
      <c r="B295">
        <v>10</v>
      </c>
      <c r="C295">
        <v>19</v>
      </c>
      <c r="D295">
        <v>2</v>
      </c>
      <c r="E295">
        <v>1</v>
      </c>
      <c r="F295" s="3">
        <f>0+(869.1-156.4)+(0+(-1.329723--0.239292))+0-0-0</f>
        <v>711.60956900000008</v>
      </c>
      <c r="G295" s="3">
        <f>0+(789-108.8)+(0+(-2.41434--0.332928))+0-0-0</f>
        <v>678.11858800000005</v>
      </c>
      <c r="H295" s="3">
        <f>0+(765.7-112.6)+(0+(0.390507-0.057426))+0-0-0</f>
        <v>653.43308100000002</v>
      </c>
      <c r="I295" s="3">
        <f>0+(768.5-116.3)+(0+(-1.175805--0.177939))+0-0-0</f>
        <v>651.202134</v>
      </c>
      <c r="J295" s="3">
        <f>0+(781.3-123.2)+(0+(0.796926-0.125664))+0-0-0</f>
        <v>658.77126199999987</v>
      </c>
      <c r="K295" s="3">
        <f>0+(783.1-119.7)+(0+(-0.798762--0.122094))+0-0-0</f>
        <v>662.72333200000003</v>
      </c>
      <c r="L295" s="3">
        <f>0+(840.1-142.4)+(0+(-1.713804--0.290496))+0-0-0</f>
        <v>696.27669200000003</v>
      </c>
      <c r="M295" s="3">
        <f>46.2+(840.3-157.6)+(-0.070686+(-1.285659--0.241128))+0-0-0</f>
        <v>727.78478299999995</v>
      </c>
      <c r="N295" s="3">
        <f>108.3+(822.3-169.8)+(0.055233+(0.419373-0.086598))+0-0-0</f>
        <v>761.18800799999997</v>
      </c>
      <c r="O295" s="3">
        <f>133.2+(734.3-87.1)+(-0.067932+(-0.374493--0.044421))+0-0-0</f>
        <v>780.00199599999985</v>
      </c>
      <c r="P295" s="3">
        <f>132.9+(679-10.3)+(0+(0-0))+0-0-0</f>
        <v>801.6</v>
      </c>
      <c r="Q295" s="3">
        <f>132.2+(675.9-0)+(0+(0-0))+0-0-0</f>
        <v>808.09999999999991</v>
      </c>
      <c r="R295" s="3">
        <f>131.6+(670.4-0)+(-0.268464+(-1.367616-0))+0-0-0</f>
        <v>800.36392000000001</v>
      </c>
      <c r="S295" s="3">
        <f>131.7+(655.1-14.1)+(-0.134334+(-0.668202--0.014382))+0-0-0</f>
        <v>771.91184600000008</v>
      </c>
      <c r="T295" s="3">
        <f>125.1+(677.8-29)+(-0.255204+(-1.382712--0.05916))+0-0-0</f>
        <v>772.32124399999998</v>
      </c>
      <c r="U295" s="3">
        <f>48.5+(734-16.3)+(0+(0-0))+0-0-0</f>
        <v>766.2</v>
      </c>
      <c r="V295" s="3">
        <f>88.2+(685.5-0)+(0+(0-0))+0-0-0</f>
        <v>773.7</v>
      </c>
      <c r="W295" s="3">
        <f>131.5+(689.1-1.1)+(0+(0-0))+0-0-0</f>
        <v>819.5</v>
      </c>
      <c r="X295" s="3">
        <f>131.8+(717.5-10.8)+(-0.201654+(-1.097775--0.016524))+0-0-0</f>
        <v>837.21709499999997</v>
      </c>
      <c r="Y295" s="3">
        <f>132+(699.8-12.5)+(-0.20196+(-1.070694--0.019125))+0-0-0</f>
        <v>818.046471</v>
      </c>
      <c r="Z295" s="3">
        <f>78.3+(763.5-37)+(-0.079866+(-0.77877--0.03774))+0-0-0</f>
        <v>803.97910400000001</v>
      </c>
      <c r="AA295" s="3">
        <f>50.1+(807.4-63.6)+(-0.051102+(-0.823548--0.064872))+0-0-0</f>
        <v>793.09022199999993</v>
      </c>
      <c r="AB295" s="3">
        <f>3.7+(816.2-43.9)+(-0.007548+(-1.665048--0.089556))+0-0-0</f>
        <v>774.41696000000013</v>
      </c>
      <c r="AC295" s="3">
        <f>0+(860.3-113.1)+(0+(-0.438753--0.057681))+0-0-0</f>
        <v>746.81892799999991</v>
      </c>
      <c r="AD295">
        <f t="shared" si="4"/>
        <v>18068.375235000003</v>
      </c>
      <c r="AE295" s="3">
        <f>131+(733.1-14.4)+(0+(0-0))+0-0-0</f>
        <v>849.7</v>
      </c>
    </row>
    <row r="296" spans="1:31" s="2" customFormat="1" x14ac:dyDescent="0.25">
      <c r="A296">
        <v>89</v>
      </c>
      <c r="B296">
        <v>10</v>
      </c>
      <c r="C296">
        <v>20</v>
      </c>
      <c r="D296">
        <v>3</v>
      </c>
      <c r="E296">
        <v>1</v>
      </c>
      <c r="F296" s="3">
        <f>0+(796.9-77.7)+(0+(-1.219257--0.118881))+0-0-0</f>
        <v>718.09962399999995</v>
      </c>
      <c r="G296" s="3">
        <f>0+(723.7-59.8)+(0+(-1.107261--0.091494))+0-0-0</f>
        <v>662.88423300000011</v>
      </c>
      <c r="H296" s="3">
        <f>0+(743-95)+(0+(1.13679-0.14535))+0-0-0</f>
        <v>648.99144000000001</v>
      </c>
      <c r="I296" s="3">
        <f>0+(747.8-98)+(0+(-0.762756--0.09996))+0-0-0</f>
        <v>649.137204</v>
      </c>
      <c r="J296" s="3">
        <f>0+(753.4-103.7)+(0+(-0.768468--0.105774))+0-0-0</f>
        <v>649.03730599999994</v>
      </c>
      <c r="K296" s="3">
        <f>0+(772.3-132.8)+(0+(0-0))+0-0-0</f>
        <v>639.5</v>
      </c>
      <c r="L296" s="3">
        <f>0+(840.3-175.8)+(0+(-0.428553--0.089658))+0-0-0</f>
        <v>664.16110500000002</v>
      </c>
      <c r="M296" s="3">
        <f>0+(850.8-162.3)+(0+(0.867816-0.165546))+0-0-0</f>
        <v>689.20227</v>
      </c>
      <c r="N296" s="3">
        <f>80+(724.6-80.1)+(0+(0-0))+0-0-0</f>
        <v>724.5</v>
      </c>
      <c r="O296" s="3">
        <f>137.5+(619-3.9)+(0+(0-0))+0-0-0</f>
        <v>752.6</v>
      </c>
      <c r="P296" s="3">
        <f>137.8+(630.8-8.1)+(-0.140556+(-0.643416--0.008262))+0-0-0</f>
        <v>759.72429</v>
      </c>
      <c r="Q296" s="3">
        <f>137.8+(648.7-22.3)+(-0.070278+(-0.330837--0.011373))+0-0-0</f>
        <v>763.81025800000009</v>
      </c>
      <c r="R296" s="3">
        <f>60.7+(703.7-1.4)+(-0.216699+(-2.512209--0.004998))+0-0-0</f>
        <v>760.27609000000007</v>
      </c>
      <c r="S296" s="3">
        <f>54.9+(684.6-0)+(-0.027999+(-0.349146-0))+0-0-0</f>
        <v>739.12285499999996</v>
      </c>
      <c r="T296" s="3">
        <f>55+(684.6-0)+(0+(0-0))+0-0-0</f>
        <v>739.6</v>
      </c>
      <c r="U296" s="3">
        <f>54.9+(669.3-0)+(0+(0-0))+0-0-0</f>
        <v>724.19999999999993</v>
      </c>
      <c r="V296" s="3">
        <f>55+(670.5-0)+(-0.14025+(-1.709775-0))+0-0-0</f>
        <v>723.64997500000004</v>
      </c>
      <c r="W296" s="3">
        <f>117.3+(706.1-27.8)+(0+(0-0))+0-0-0</f>
        <v>795.6</v>
      </c>
      <c r="X296" s="3">
        <f>137.7+(737.9-46.9)+(-0.280908+(-1.505316--0.095676))+0-0-0</f>
        <v>827.00945200000001</v>
      </c>
      <c r="Y296" s="3">
        <f>76.1+(743.9-18)+(-0.116433+(-1.138167--0.02754))+0-0-0</f>
        <v>800.77293999999995</v>
      </c>
      <c r="Z296" s="3">
        <f>55+(785.3-55.3)+(-0.02805+(-0.400503--0.028203))+0-0-0</f>
        <v>784.59965</v>
      </c>
      <c r="AA296" s="3">
        <f>2.8+(801.5-41.7)+(0.002856+(0.81753-0.042534))+0-0-0</f>
        <v>763.37785199999996</v>
      </c>
      <c r="AB296" s="3">
        <f>0+(788.1-48)+(0+(-0.803862--0.04896))+0-0-0</f>
        <v>739.34509800000001</v>
      </c>
      <c r="AC296" s="3">
        <f>0+(807.8-87.5)+(0+(-0.823956--0.08925))+0-0-0</f>
        <v>719.56529399999999</v>
      </c>
      <c r="AD296">
        <f t="shared" si="4"/>
        <v>17438.766936000004</v>
      </c>
      <c r="AE296" s="3">
        <f>138+(755.5-83)+(0+(0-0))+0-0-0</f>
        <v>810.5</v>
      </c>
    </row>
    <row r="297" spans="1:31" s="2" customFormat="1" x14ac:dyDescent="0.25">
      <c r="A297">
        <v>89</v>
      </c>
      <c r="B297">
        <v>10</v>
      </c>
      <c r="C297">
        <v>21</v>
      </c>
      <c r="D297">
        <v>4</v>
      </c>
      <c r="E297">
        <v>1</v>
      </c>
      <c r="F297" s="3">
        <f>0+(883.6-192)+(0+(-0.901272--0.19584))+0-0-0</f>
        <v>690.89456800000005</v>
      </c>
      <c r="G297" s="3">
        <f>0+(852.2-173.9)+(0+(-0.869244--0.177378))+0-0-0</f>
        <v>677.60813400000006</v>
      </c>
      <c r="H297" s="3">
        <f>0+(830.1-164.8)+(0+(0.423351-0.084048))+0-0-0</f>
        <v>665.63930299999993</v>
      </c>
      <c r="I297" s="3">
        <f>0+(820.5-162.3)+(0+(0.418455-0.082773))+0-0-0</f>
        <v>658.53568200000007</v>
      </c>
      <c r="J297" s="3">
        <f>0+(838.3-175.8)+(0+(0.855066-0.179316))+0-0-0</f>
        <v>663.17574999999999</v>
      </c>
      <c r="K297" s="3">
        <f>0+(758.8-106.3)+(0+(-0.386988--0.054213))+0-0-0</f>
        <v>652.16722500000003</v>
      </c>
      <c r="L297" s="3">
        <f>32.1+(811.4-163.1)+(-0.098226+(-2.482884--0.499086))+0-0-0</f>
        <v>678.31797599999993</v>
      </c>
      <c r="M297" s="3">
        <f>52.2+(832.1-166)+(0+(0-0))+0-0-0</f>
        <v>718.30000000000007</v>
      </c>
      <c r="N297" s="3">
        <f>90.4+(736-81.2)+(-0.092208+(-0.75072--0.082824))+0-0-0</f>
        <v>744.43989599999998</v>
      </c>
      <c r="O297" s="3">
        <f>127.6+(739.6-86.6)+(-0.065076+(-0.377196--0.044166))+0-0-0</f>
        <v>780.20189400000004</v>
      </c>
      <c r="P297" s="3">
        <f>137.6+(772-103.6)+(0.070176+(0.39372-0.052836))+0-0-0</f>
        <v>806.41106000000002</v>
      </c>
      <c r="Q297" s="3">
        <f>138.3+(778.3-117.1)+(-0.211599+(-1.190799--0.179163))+0-0-0</f>
        <v>798.27676499999995</v>
      </c>
      <c r="R297" s="3">
        <f>138.1+(806.4-154.4)+(-0.352155+(-2.05632--0.39372))+0-0-0</f>
        <v>788.08524499999999</v>
      </c>
      <c r="S297" s="3">
        <f>137.8+(788.3-159)+(0+(0-0))+0-0-0</f>
        <v>767.09999999999991</v>
      </c>
      <c r="T297" s="3">
        <f>137.8+(756.8-125.6)+(0.070278+(0.385968-0.064056))+0-0-0</f>
        <v>769.39219000000003</v>
      </c>
      <c r="U297" s="3">
        <f>138.1+(730.4-101.4)+(0+(0-0))+0-0-0</f>
        <v>767.1</v>
      </c>
      <c r="V297" s="3">
        <f>138.7+(693.7-67.2)+(-0.070737+(-0.353787--0.034272))+0-0-0</f>
        <v>764.80974800000001</v>
      </c>
      <c r="W297" s="3">
        <f>139.1+(757.1-76.1)+(0.070941+(0.386121-0.038811))+0-0-0</f>
        <v>820.51825100000008</v>
      </c>
      <c r="X297" s="3">
        <f>139.1+(866.2-165.6)+(-0.212823+(-1.325286--0.253368))+0-0-0</f>
        <v>838.41525899999999</v>
      </c>
      <c r="Y297" s="3">
        <f>138.5+(818.8-139.9)+(-0.28254+(-1.670352--0.285396))+0-0-0</f>
        <v>815.73250399999995</v>
      </c>
      <c r="Z297" s="3">
        <f>138.5+(756.8-94.9)+(-0.28254+(-1.543872--0.193596))+0-0-0</f>
        <v>798.76718399999993</v>
      </c>
      <c r="AA297" s="3">
        <f>138.6+(772.7-133.2)+(-0.282744+(-1.576308--0.271728))+0-0-0</f>
        <v>776.51267600000006</v>
      </c>
      <c r="AB297" s="3">
        <f>48.7+(843.2-116.9)+(-0.074511+(-1.290096--0.178857))+0-0-0</f>
        <v>773.81425000000013</v>
      </c>
      <c r="AC297" s="3">
        <f>0+(871.3-121.2)+(0+(-3.110541--0.432684))+0-0-0</f>
        <v>747.42214299999989</v>
      </c>
      <c r="AD297">
        <f t="shared" si="4"/>
        <v>17961.637703</v>
      </c>
      <c r="AE297" s="3">
        <f>140+(866-164.1)+(0+(0-0))+0-0-0</f>
        <v>841.9</v>
      </c>
    </row>
    <row r="298" spans="1:31" s="2" customFormat="1" x14ac:dyDescent="0.25">
      <c r="A298">
        <v>89</v>
      </c>
      <c r="B298">
        <v>10</v>
      </c>
      <c r="C298">
        <v>22</v>
      </c>
      <c r="D298">
        <v>5</v>
      </c>
      <c r="E298">
        <v>1</v>
      </c>
      <c r="F298" s="3">
        <f>0+(851.2-148.1)+(0+(0.868224-0.151062))+0-0-0</f>
        <v>703.81716200000005</v>
      </c>
      <c r="G298" s="3">
        <f>0+(788.9-113.2)+(0+(0-0))+0-0-0</f>
        <v>675.69999999999993</v>
      </c>
      <c r="H298" s="3">
        <f>0+(797.9-125)+(0+(0-0))+0-0-0</f>
        <v>672.9</v>
      </c>
      <c r="I298" s="3">
        <f>0+(790-118.2)+(0+(0-0))+0-0-0</f>
        <v>671.8</v>
      </c>
      <c r="J298" s="3">
        <f>0+(753.2-99.3)+(0+(1.92066-0.253215))+0-0-0</f>
        <v>655.56744500000013</v>
      </c>
      <c r="K298" s="3">
        <f>0+(769.7-117.8)+(0+(0-0))+0-0-0</f>
        <v>651.90000000000009</v>
      </c>
      <c r="L298" s="3">
        <f>0+(837.9-155.5)+(0+(-0.427329--0.079305))+0-0-0</f>
        <v>682.05197599999997</v>
      </c>
      <c r="M298" s="3">
        <f>0+(810.1-96.2)+(0+(0.413151-0.049062))+0-0-0</f>
        <v>714.26408900000001</v>
      </c>
      <c r="N298" s="3">
        <f>0+(810.4-62.9)+(0+(1.653216-0.128316))+0-0-0</f>
        <v>749.0249</v>
      </c>
      <c r="O298" s="3">
        <f>0+(826-35.5)+(0+(0.84252-0.03621))+0-0-0</f>
        <v>791.30631000000005</v>
      </c>
      <c r="P298" s="3">
        <f>0+(875.4-66.4)+(0+(1.785816-0.135456))+0-0-0</f>
        <v>810.65035999999998</v>
      </c>
      <c r="Q298" s="3">
        <f>0+(883.6-71.8)+(0+(0-0))+0-0-0</f>
        <v>811.80000000000007</v>
      </c>
      <c r="R298" s="3">
        <f>0+(853.7-58.1)+(0+(-1.306161--0.088893))+0-0-0</f>
        <v>794.38273200000003</v>
      </c>
      <c r="S298" s="3">
        <f>0+(812.5-50.4)+(0+(-1.6575--0.102816))+0-0-0</f>
        <v>760.54531600000007</v>
      </c>
      <c r="T298" s="3">
        <f>0+(808.2-53.2)+(0+(0-0))+0-0-0</f>
        <v>755</v>
      </c>
      <c r="U298" s="3">
        <f>0+(792.4-42.5)+(0+(-0.808248--0.04335))+0-0-0</f>
        <v>749.13510199999996</v>
      </c>
      <c r="V298" s="3">
        <f>0+(780.3-16.6)+(0+(-2.387718--0.050796))+0-0-0</f>
        <v>761.36307799999997</v>
      </c>
      <c r="W298" s="3">
        <f>0+(785.9-0)+(0+(-0.400809-0))+0-0-0</f>
        <v>785.499191</v>
      </c>
      <c r="X298" s="3">
        <f>0+(843.7-23.1)+(0+(-1.290861--0.035343))+0-0-0</f>
        <v>819.34448199999997</v>
      </c>
      <c r="Y298" s="3">
        <f>0+(846.4-53.3)+(0+(-0.863328--0.054366))+0-0-0</f>
        <v>792.29103800000007</v>
      </c>
      <c r="Z298" s="3">
        <f>0+(930-146)+(0+(-0.4743--0.07446))+0-0-0</f>
        <v>783.60015999999996</v>
      </c>
      <c r="AA298" s="3">
        <f>0+(924.8-159.3)+(0+(-0.471648--0.081243))+0-0-0</f>
        <v>765.10959500000001</v>
      </c>
      <c r="AB298" s="3">
        <f>0+(893.1-134.9)+(0+(-0.455481--0.068799))+0-0-0</f>
        <v>757.81331800000009</v>
      </c>
      <c r="AC298" s="3">
        <f>0+(897.6-163.7)+(0+(-0.915552--0.166974))+0-0-0</f>
        <v>733.15142200000014</v>
      </c>
      <c r="AD298">
        <f t="shared" si="4"/>
        <v>17848.017675999999</v>
      </c>
      <c r="AE298" s="3">
        <f>0+(841.9-22.2)+(0+(0-0))+0-0-0</f>
        <v>819.69999999999993</v>
      </c>
    </row>
    <row r="299" spans="1:31" s="2" customFormat="1" x14ac:dyDescent="0.25">
      <c r="A299">
        <v>89</v>
      </c>
      <c r="B299">
        <v>10</v>
      </c>
      <c r="C299">
        <v>23</v>
      </c>
      <c r="D299">
        <v>6</v>
      </c>
      <c r="E299">
        <v>1</v>
      </c>
      <c r="F299" s="3">
        <f>0+(927.5-226)+(0+(-1.419075--0.34578))+0-0-0</f>
        <v>700.42670499999997</v>
      </c>
      <c r="G299" s="3">
        <f>0+(815.5-150.1)+(0+(0-0))+0-0-0</f>
        <v>665.4</v>
      </c>
      <c r="H299" s="3">
        <f>0+(733.6-63.9)+(0+(0.374136-0.032589))+0-0-0</f>
        <v>670.04154700000004</v>
      </c>
      <c r="I299" s="3">
        <f>0+(706.5-55.4)+(0+(0.360315-0.028254))+0-0-0</f>
        <v>651.43206099999998</v>
      </c>
      <c r="J299" s="3">
        <f>0+(726.4-64.4)+(0+(0.740928-0.065688))+0-0-0</f>
        <v>662.67524000000003</v>
      </c>
      <c r="K299" s="3">
        <f>0+(704.7-74.8)+(0+(0.718794-0.076296))+0-0-0</f>
        <v>630.54249800000014</v>
      </c>
      <c r="L299" s="3">
        <f>0+(725.3-78.5)+(0+(0-0))+0-0-0</f>
        <v>646.79999999999995</v>
      </c>
      <c r="M299" s="3">
        <f>0+(743.7-82.8)+(0+(-0.379287--0.042228))+0-0-0</f>
        <v>660.56294100000014</v>
      </c>
      <c r="N299" s="3">
        <f>0+(739.3-42)+(0+(-0.754086--0.04284))+0-0-0</f>
        <v>696.58875399999999</v>
      </c>
      <c r="O299" s="3">
        <f>0+(721.6-4.4)+(0+(0.368016-0.002244))+0-0-0</f>
        <v>717.56577200000004</v>
      </c>
      <c r="P299" s="3">
        <f>13.3+(724.6-5)+(0.013566+(0.739092-0.0051))+0-0-0</f>
        <v>733.647558</v>
      </c>
      <c r="Q299" s="3">
        <f>97.4+(671.1-13)+(-0.049674+(-0.342261--0.00663))+0-0-0</f>
        <v>755.11469499999998</v>
      </c>
      <c r="R299" s="3">
        <f>0+(763.1-37.7)+(0+(-0.389181--0.019227))+0-0-0</f>
        <v>725.03004599999997</v>
      </c>
      <c r="S299" s="3">
        <f>28.9+(703.5-11.6)+(0+(0-0))+0-0-0</f>
        <v>720.8</v>
      </c>
      <c r="T299" s="3">
        <f>119.2+(627.3-45.3)+(-0.243168+(-1.279692--0.092412))+0-0-0</f>
        <v>699.76955200000009</v>
      </c>
      <c r="U299" s="3">
        <f>138.7+(667.3-101.2)+(0+(0-0))+0-0-0</f>
        <v>704.8</v>
      </c>
      <c r="V299" s="3">
        <f>139.3+(660.4-91.4)+(-0.071043+(-0.336804--0.046614))+0-0-0</f>
        <v>707.93876699999998</v>
      </c>
      <c r="W299" s="3">
        <f>139.7+(606.1-4.3)+(0+(0-0))+0-0-0</f>
        <v>741.5</v>
      </c>
      <c r="X299" s="3">
        <f>140.3+(678.1-33.8)+(-0.143106+(-0.691662--0.034476))+0-0-0</f>
        <v>783.79970800000012</v>
      </c>
      <c r="Y299" s="3">
        <f>141.8+(627.9-9.2)+(-0.144636+(-0.640458--0.009384))+0-0-0</f>
        <v>759.72429</v>
      </c>
      <c r="Z299" s="3">
        <f>141.4+(607.7-5.1)+(-0.144228+(-0.619854--0.005202))+0-0-0</f>
        <v>743.24112000000002</v>
      </c>
      <c r="AA299" s="3">
        <f>142+(611-11)+(0.14484+(0.62322-0.01122))+0-0-0</f>
        <v>742.75684000000001</v>
      </c>
      <c r="AB299" s="3">
        <f>142+(721.6-129.1)+(-0.14484+(-0.736032--0.131682))+0-0-0</f>
        <v>733.75081</v>
      </c>
      <c r="AC299" s="3">
        <f>103.7+(751.6-154.1)+(-0.158661+(-1.149948--0.235773))+0-0-0</f>
        <v>700.12716399999999</v>
      </c>
      <c r="AD299">
        <f t="shared" si="4"/>
        <v>16954.036068000001</v>
      </c>
      <c r="AE299" s="3">
        <f>140+(678.7-44.2)+(0+(0-0))+0-0-0</f>
        <v>774.5</v>
      </c>
    </row>
    <row r="300" spans="1:31" s="2" customFormat="1" x14ac:dyDescent="0.25">
      <c r="A300">
        <v>89</v>
      </c>
      <c r="B300">
        <v>10</v>
      </c>
      <c r="C300">
        <v>24</v>
      </c>
      <c r="D300">
        <v>7</v>
      </c>
      <c r="E300">
        <v>1</v>
      </c>
      <c r="F300" s="3">
        <f>0+(860.4-182.5)+(0+(0-0))+0-0-0</f>
        <v>677.9</v>
      </c>
      <c r="G300" s="3">
        <f>0+(865.8-218.7)+(0+(-1.324674--0.334611))+0-0-0</f>
        <v>646.10993699999995</v>
      </c>
      <c r="H300" s="3">
        <f>0+(794.7-173.1)+(0+(-0.405297--0.088281))+0-0-0</f>
        <v>621.28298400000006</v>
      </c>
      <c r="I300" s="3">
        <f>0+(748.9-133)+(0+(0.381939-0.06783))+0-0-0</f>
        <v>616.21410900000001</v>
      </c>
      <c r="J300" s="3">
        <f>0+(704.2-103.9)+(0+(0.359142-0.052989))+0-0-0</f>
        <v>600.60615300000006</v>
      </c>
      <c r="K300" s="3">
        <f>0+(714.2-123.7)+(0+(1.456968-0.252348))+0-0-0</f>
        <v>591.70461999999998</v>
      </c>
      <c r="L300" s="3">
        <f>0+(728.1-142.4)+(0+(-1.113993--0.217872))+0-0-0</f>
        <v>584.80387900000005</v>
      </c>
      <c r="M300" s="3">
        <f>0+(765.9-179.9)+(0+(-1.562436--0.366996))+0-0-0</f>
        <v>584.80456000000004</v>
      </c>
      <c r="N300" s="3">
        <f>0+(787.8-196.4)+(0+(1.205334-0.300492))+0-0-0</f>
        <v>592.30484200000001</v>
      </c>
      <c r="O300" s="3">
        <f>0+(837.6-216.9)+(0+(-0.854352--0.221238))+0-0-0</f>
        <v>620.06688600000007</v>
      </c>
      <c r="P300" s="3">
        <f>0+(897.8-259.2)+(0+(-0.915756--0.264384))+0-0-0</f>
        <v>637.94862799999987</v>
      </c>
      <c r="Q300" s="3">
        <f>0+(947.3-294.3)+(0+(-1.449369--0.450279))+0-0-0</f>
        <v>652.00090999999998</v>
      </c>
      <c r="R300" s="3">
        <f>0+(929.6-275.4)+(0+(-1.896384--0.561816))+0-0-0</f>
        <v>652.86543200000006</v>
      </c>
      <c r="S300" s="3">
        <f>0+(918-282.1)+(0+(-1.40454--0.431613))+0-0-0</f>
        <v>634.92707299999995</v>
      </c>
      <c r="T300" s="3">
        <f>0+(870.9-241.4)+(0+(-0.444159--0.123114))+0-0-0</f>
        <v>629.17895499999997</v>
      </c>
      <c r="U300" s="3">
        <f>0+(799.1-180.8)+(0+(-2.037705--0.46104))+0-0-0</f>
        <v>616.72333499999991</v>
      </c>
      <c r="V300" s="3">
        <f>0+(775.6-151.9)+(0+(-1.97778--0.387345))+0-0-0</f>
        <v>622.10956500000009</v>
      </c>
      <c r="W300" s="3">
        <f>0+(812.6-124)+(0+(-1.243278--0.18972))+0-0-0</f>
        <v>687.54644200000007</v>
      </c>
      <c r="X300" s="3">
        <f>0+(1026.6-286)+(0+(-0.523566--0.14586))+0-0-0</f>
        <v>740.22229399999992</v>
      </c>
      <c r="Y300" s="3">
        <f>0+(1048.9-312.9)+(0+(-1.604817--0.478737))+0-0-0</f>
        <v>734.87392000000011</v>
      </c>
      <c r="Z300" s="3">
        <f>0+(1010.4-286.2)+(0+(0.515304-0.145962))+0-0-0</f>
        <v>724.56934200000001</v>
      </c>
      <c r="AA300" s="3">
        <f>0+(1063.6-345.4)+(0+(-0.542436--0.176154))+0-0-0</f>
        <v>717.83371799999998</v>
      </c>
      <c r="AB300" s="3">
        <f>0+(1028.4-329)+(0+(-1.573452--0.50337))+0-0-0</f>
        <v>698.32991800000013</v>
      </c>
      <c r="AC300" s="3">
        <f>0+(997.5-325.4)+(0+(1.01745-0.331908))+0-0-0</f>
        <v>672.78554200000008</v>
      </c>
      <c r="AD300">
        <f t="shared" si="4"/>
        <v>15557.713044</v>
      </c>
      <c r="AE300" s="3">
        <f>0+(965.6-243)+(0+(0-0))+0-0-0</f>
        <v>722.6</v>
      </c>
    </row>
    <row r="301" spans="1:31" s="2" customFormat="1" x14ac:dyDescent="0.25">
      <c r="A301">
        <v>89</v>
      </c>
      <c r="B301">
        <v>10</v>
      </c>
      <c r="C301">
        <v>25</v>
      </c>
      <c r="D301">
        <v>1</v>
      </c>
      <c r="E301">
        <v>1</v>
      </c>
      <c r="F301" s="3">
        <f>0+(842.1-213)+(0+(-1.288413--0.32589))+0-0-0</f>
        <v>628.13747699999999</v>
      </c>
      <c r="G301" s="3">
        <f>0+(777-175.4)+(0+(0-0))+0-0-0</f>
        <v>601.6</v>
      </c>
      <c r="H301" s="3">
        <f>0+(752.9-157.4)+(0+(-0.767958--0.160548))+0-0-0</f>
        <v>594.89259000000004</v>
      </c>
      <c r="I301" s="3">
        <f>0+(740.1-151.6)+(0+(0.754902-0.154632))+0-0-0</f>
        <v>589.10027000000002</v>
      </c>
      <c r="J301" s="3">
        <f>0+(732-141.9)+(0+(0.74664-0.144738))+0-0-0</f>
        <v>590.70190200000002</v>
      </c>
      <c r="K301" s="3">
        <f>0+(727.6-131.7)+(0+(-0.742152--0.134334))+0-0-0</f>
        <v>595.29218200000014</v>
      </c>
      <c r="L301" s="3">
        <f>0+(797.2-147.7)+(0+(-1.219716--0.225981))+0-0-0</f>
        <v>648.50626499999998</v>
      </c>
      <c r="M301" s="3">
        <f>0+(915.3-207.2)+(0+(-0.466803--0.105672))+0-0-0</f>
        <v>707.73886899999991</v>
      </c>
      <c r="N301" s="3">
        <f>0+(889.6-138)+(0+(0.453696-0.07038))+0-0-0</f>
        <v>751.98331600000006</v>
      </c>
      <c r="O301" s="3">
        <f>0+(855.7-81.3)+(0+(0.436407-0.041463))+0-0-0</f>
        <v>774.7949440000001</v>
      </c>
      <c r="P301" s="3">
        <f>0+(871.9-71.1)+(0+(0-0))+0-0-0</f>
        <v>800.8</v>
      </c>
      <c r="Q301" s="3">
        <f>0+(848.6-44.4)+(0+(0-0))+0-0-0</f>
        <v>804.2</v>
      </c>
      <c r="R301" s="3">
        <f>0+(789.8-0)+(0+(-0.402798-0))+0-0-0</f>
        <v>789.39720199999999</v>
      </c>
      <c r="S301" s="3">
        <f>0+(768.7-0)+(0+(0-0))+0-0-0</f>
        <v>768.7</v>
      </c>
      <c r="T301" s="3">
        <f>0+(774.6-4)+(0+(0.395046-0.00204))+0-0-0</f>
        <v>770.99300600000004</v>
      </c>
      <c r="U301" s="3">
        <f>0+(772.1-0)+(0+(0.393771-0))+0-0-0</f>
        <v>772.49377100000004</v>
      </c>
      <c r="V301" s="3">
        <f>63.9+(723.2-0)+(-0.032589+(-0.368832-0))+0-0-0</f>
        <v>786.698579</v>
      </c>
      <c r="W301" s="3">
        <f>135.4+(738.6-47.9)+(0.069054+(0.376686-0.024429))+0-0-0</f>
        <v>826.52131099999997</v>
      </c>
      <c r="X301" s="3">
        <f>136.2+(764.6-58.2)+(-0.277848+(-1.559784--0.118728))+0-0-0</f>
        <v>840.88109599999996</v>
      </c>
      <c r="Y301" s="3">
        <f>136.1+(728-46.4)+(-0.069411+(-0.37128--0.023664))+0-0-0</f>
        <v>817.28297300000008</v>
      </c>
      <c r="Z301" s="3">
        <f>76.4+(729-0)+(-0.19482+(-1.85895-0))+0-0-0</f>
        <v>803.34622999999999</v>
      </c>
      <c r="AA301" s="3">
        <f>0+(779.4-0)+(0+(-1.192482-0))+0-0-0</f>
        <v>778.20751799999994</v>
      </c>
      <c r="AB301" s="3">
        <f>0+(806.5-37.2)+(0+(-0.82263--0.037944))+0-0-0</f>
        <v>768.51531399999999</v>
      </c>
      <c r="AC301" s="3">
        <f>0+(873.4-121.8)+(0+(-2.22717--0.31059))+0-0-0</f>
        <v>749.68342000000007</v>
      </c>
      <c r="AD301">
        <f t="shared" si="4"/>
        <v>17560.468234999997</v>
      </c>
      <c r="AE301" s="3">
        <f>137+(770.6-73.3)+(0+(0-0))+0-0-0</f>
        <v>834.30000000000007</v>
      </c>
    </row>
    <row r="302" spans="1:31" s="2" customFormat="1" x14ac:dyDescent="0.25">
      <c r="A302">
        <v>89</v>
      </c>
      <c r="B302">
        <v>10</v>
      </c>
      <c r="C302">
        <v>26</v>
      </c>
      <c r="D302">
        <v>2</v>
      </c>
      <c r="E302">
        <v>1</v>
      </c>
      <c r="F302" s="3">
        <f>0+(828.6-98.5)+(0+(-0.422586--0.050235))+0-0-0</f>
        <v>729.72764900000004</v>
      </c>
      <c r="G302" s="3">
        <f>0+(804.2-114.4)+(0+(-0.820284--0.116688))+0-0-0</f>
        <v>689.09640400000012</v>
      </c>
      <c r="H302" s="3">
        <f>0+(805.3-128.3)+(0+(-1.232109--0.196299))+0-0-0</f>
        <v>675.96419000000003</v>
      </c>
      <c r="I302" s="3">
        <f>0+(780.6-105.7)+(0+(-0.796212--0.107814))+0-0-0</f>
        <v>674.21160199999997</v>
      </c>
      <c r="J302" s="3">
        <f>0+(772.8-111.3)+(0+(-1.97064--0.283815))+0-0-0</f>
        <v>659.813175</v>
      </c>
      <c r="K302" s="3">
        <f>0+(766.4-138.3)+(0+(0.781728-0.141066))+0-0-0</f>
        <v>628.74066199999993</v>
      </c>
      <c r="L302" s="3">
        <f>0+(869.9-212.9)+(0+(-2.661894--0.651474))+0-0-0</f>
        <v>654.98958000000005</v>
      </c>
      <c r="M302" s="3">
        <f>0+(905.2-213.1)+(0+(-0.461652--0.108681))+0-0-0</f>
        <v>691.747029</v>
      </c>
      <c r="N302" s="3">
        <f>46+(834.7-172.4)+(-0.09384+(-1.702788--0.351696))+0-0-0</f>
        <v>706.85506800000007</v>
      </c>
      <c r="O302" s="3">
        <f>131.4+(743.8-129.4)+(0+(0-0))+0-0-0</f>
        <v>745.8</v>
      </c>
      <c r="P302" s="3">
        <f>137.3+(712-90.5)+(-0.140046+(-0.72624--0.09231))+0-0-0</f>
        <v>758.02602400000001</v>
      </c>
      <c r="Q302" s="3">
        <f>137.4+(678.2-42.1)+(-0.140148+(-0.691764--0.042942))+0-0-0</f>
        <v>772.71103000000005</v>
      </c>
      <c r="R302" s="3">
        <f>100.2+(707.8-37)+(0+(0-0))+0-0-0</f>
        <v>771</v>
      </c>
      <c r="S302" s="3">
        <f>55+(722-45.9)+(-0.02805+(-0.36822--0.023409))+0-0-0</f>
        <v>730.72713900000008</v>
      </c>
      <c r="T302" s="3">
        <f>55+(756.7-80.3)+(-0.0561+(-0.771834--0.081906))+0-0-0</f>
        <v>730.65397200000007</v>
      </c>
      <c r="U302" s="3">
        <f>55+(770.8-100.2)+(-0.0561+(-0.786216--0.102204))+0-0-0</f>
        <v>724.85988799999996</v>
      </c>
      <c r="V302" s="3">
        <f>55+(726.8-58.7)+(-0.1122+(-1.482672--0.119748))+0-0-0</f>
        <v>721.62487599999986</v>
      </c>
      <c r="W302" s="3">
        <f>75.4+(701.7-0)+(0+(0-0))+0-0-0</f>
        <v>777.1</v>
      </c>
      <c r="X302" s="3">
        <f>139.4+(681.5-0)+(-0.071094+(-0.347565-0))+0-0-0</f>
        <v>820.48134099999993</v>
      </c>
      <c r="Y302" s="3">
        <f>139.9+(670.2-0)+(-0.356745+(-1.70901-0))+0-0-0</f>
        <v>808.03424500000006</v>
      </c>
      <c r="Z302" s="3">
        <f>130.7+(661.2-0)+(-0.199971+(-1.011636-0))+0-0-0</f>
        <v>790.68839300000013</v>
      </c>
      <c r="AA302" s="3">
        <f>43.1+(737.1-3.2)+(-0.087924+(-1.503684--0.006528))+0-0-0</f>
        <v>775.41492000000005</v>
      </c>
      <c r="AB302" s="3">
        <f>0+(825.3-63.7)+(0+(0-0))+0-0-0</f>
        <v>761.59999999999991</v>
      </c>
      <c r="AC302" s="3">
        <f>0+(941.9-195.2)+(0+(-3.362583--0.696864))+0-0-0</f>
        <v>744.03428100000008</v>
      </c>
      <c r="AD302">
        <f t="shared" si="4"/>
        <v>17543.901468</v>
      </c>
      <c r="AE302" s="3">
        <f>138+(677.5-36)+(0+(0-0))+0-0-0</f>
        <v>779.5</v>
      </c>
    </row>
    <row r="303" spans="1:31" s="2" customFormat="1" x14ac:dyDescent="0.25">
      <c r="A303">
        <v>89</v>
      </c>
      <c r="B303">
        <v>10</v>
      </c>
      <c r="C303">
        <v>27</v>
      </c>
      <c r="D303">
        <v>3</v>
      </c>
      <c r="E303">
        <v>1</v>
      </c>
      <c r="F303" s="3">
        <f>0+(946.6-236.3)+(0+(-0.965532--0.241026))+0-0-0</f>
        <v>709.57549399999994</v>
      </c>
      <c r="G303" s="3">
        <f>0+(878-201.3)+(0+(-2.2389--0.513315))+0-0-0</f>
        <v>674.97441500000002</v>
      </c>
      <c r="H303" s="3">
        <f>0+(842.9-184.5)+(0+(0.859758-0.18819))+0-0-0</f>
        <v>659.07156799999996</v>
      </c>
      <c r="I303" s="3">
        <f>0+(847.1-189.5)+(0+(0-0))+0-0-0</f>
        <v>657.6</v>
      </c>
      <c r="J303" s="3">
        <f>0+(837.4-178.6)+(0+(0.427074-0.091086))+0-0-0</f>
        <v>659.135988</v>
      </c>
      <c r="K303" s="3">
        <f>0+(819.3-160.9)+(0+(-2.089215--0.410295))+0-0-0</f>
        <v>656.72108000000003</v>
      </c>
      <c r="L303" s="3">
        <f>0+(884.7-179.4)+(0+(0-0))+0-0-0</f>
        <v>705.30000000000007</v>
      </c>
      <c r="M303" s="3">
        <f>2.8+(942.6-209.4)+(-0.004284+(-1.442178--0.320382))+0-0-0</f>
        <v>734.87392</v>
      </c>
      <c r="N303" s="3">
        <f>81.7+(826.4-167.3)+(-0.125001+(-1.264392--0.255969))+0-0-0</f>
        <v>739.66657599999996</v>
      </c>
      <c r="O303" s="3">
        <f>139.4+(774.2-133.8)+(0.071094+(0.394842-0.068238))+0-0-0</f>
        <v>780.19769800000006</v>
      </c>
      <c r="P303" s="3">
        <f>140.6+(716.6-55.2)+(-0.35853+(-1.82733--0.14076))+0-0-0</f>
        <v>799.95489999999995</v>
      </c>
      <c r="Q303" s="3">
        <f>228.2+(636.7-62.9)+(0.116382+(0.324717-0.032079))+0-0-0</f>
        <v>802.40902000000006</v>
      </c>
      <c r="R303" s="3">
        <f>188.8+(685.7-85.1)+(-0.48144+(-1.748535--0.217005))+0-0-0</f>
        <v>787.3870300000001</v>
      </c>
      <c r="S303" s="3">
        <f>127.3+(708.6-75)+(0+(0-0))+0-0-0</f>
        <v>760.9</v>
      </c>
      <c r="T303" s="3">
        <f>115+(724.9-88.1)+(-0.17595+(-1.109097--0.134793))+0-0-0</f>
        <v>750.64974599999994</v>
      </c>
      <c r="U303" s="3">
        <f>189.8+(712.3-154.1)+(-0.193596+(-0.726546--0.157182))+0-0-0</f>
        <v>747.23703999999998</v>
      </c>
      <c r="V303" s="3">
        <f>187.1+(669-118.4)+(-0.095421+(-0.34119--0.060384))+0-0-0</f>
        <v>737.32377300000007</v>
      </c>
      <c r="W303" s="3">
        <f>227+(659.6-112.9)+(-0.11577+(-0.336396--0.057579))+0-0-0</f>
        <v>773.30541300000004</v>
      </c>
      <c r="X303" s="3">
        <f>276+(628-87.7)+(-0.42228+(-0.96084--0.134181))+0-0-0</f>
        <v>815.051061</v>
      </c>
      <c r="Y303" s="3">
        <f>276.9+(610.9-77.3)+(-0.423657+(-0.934677--0.118269))+0-0-0</f>
        <v>809.25993500000004</v>
      </c>
      <c r="Z303" s="3">
        <f>220.1+(672.9-91.1)+(0+(0-0))+0-0-0</f>
        <v>801.9</v>
      </c>
      <c r="AA303" s="3">
        <f>190.2+(698.1-97.4)+(0.097002+(0.356031-0.049674))+0-0-0</f>
        <v>791.30335900000011</v>
      </c>
      <c r="AB303" s="3">
        <f>108.6+(759.2-89.4)+(-0.110772+(-0.774384--0.091188))+0-0-0</f>
        <v>777.60603200000014</v>
      </c>
      <c r="AC303" s="3">
        <f>4.4+(847.4-88.3)+(-0.004488+(-0.864348--0.090066))+0-0-0</f>
        <v>762.72122999999999</v>
      </c>
      <c r="AD303">
        <f t="shared" si="4"/>
        <v>17894.125277999996</v>
      </c>
      <c r="AE303" s="3">
        <f>276+(637.4-132.9)+(0+(0-0))+0-0-0</f>
        <v>780.5</v>
      </c>
    </row>
    <row r="304" spans="1:31" s="2" customFormat="1" x14ac:dyDescent="0.25">
      <c r="A304">
        <v>89</v>
      </c>
      <c r="B304">
        <v>10</v>
      </c>
      <c r="C304">
        <v>28</v>
      </c>
      <c r="D304">
        <v>4</v>
      </c>
      <c r="E304">
        <v>1</v>
      </c>
      <c r="F304" s="3">
        <f>0+(852.2-113.4)+(0+(-2.607732--0.347004))+0-0-0</f>
        <v>736.5392720000001</v>
      </c>
      <c r="G304" s="3">
        <f>0+(816.7-118.3)+(0+(-0.416517--0.060333))+0-0-0</f>
        <v>698.04381600000011</v>
      </c>
      <c r="H304" s="3">
        <f>0+(803.3-124.3)+(0+(-0.409683--0.063393))+0-0-0</f>
        <v>678.65371000000005</v>
      </c>
      <c r="I304" s="3">
        <f>0+(814.7-127.6)+(0+(-1.246491--0.195228))+0-0-0</f>
        <v>686.04873700000007</v>
      </c>
      <c r="J304" s="3">
        <f>0+(813.9-130.5)+(0+(0-0))+0-0-0</f>
        <v>683.4</v>
      </c>
      <c r="K304" s="3">
        <f>0+(806.3-128)+(0+(0-0))+0-0-0</f>
        <v>678.3</v>
      </c>
      <c r="L304" s="3">
        <f>0+(812.4-113.1)+(0+(-2.07162--0.288405))+0-0-0</f>
        <v>697.51678499999991</v>
      </c>
      <c r="M304" s="3">
        <f>0+(849.2-125.5)+(0+(0.866184-0.12801))+0-0-0</f>
        <v>724.438174</v>
      </c>
      <c r="N304" s="3">
        <f>88.4+(745.2-82.3)+(0.045084+(0.380052-0.041973))+0-0-0</f>
        <v>751.68316300000004</v>
      </c>
      <c r="O304" s="3">
        <f>179.5+(605.1-0)+(-0.274635+(-0.925803-0))+0-0-0</f>
        <v>783.39956200000006</v>
      </c>
      <c r="P304" s="3">
        <f>239.9+(562.2-5)+(-0.122349+(-0.286722--0.00255))+0-0-0</f>
        <v>796.69347900000002</v>
      </c>
      <c r="Q304" s="3">
        <f>278.5+(599-75)+(-0.28407+(-0.61098--0.0765))+0-0-0</f>
        <v>801.68145000000004</v>
      </c>
      <c r="R304" s="3">
        <f>278.9+(630.1-115.4)+(-0.568956+(-1.285404--0.235416))+0-0-0</f>
        <v>791.98105599999997</v>
      </c>
      <c r="S304" s="3">
        <f>240.1+(645.8-115.7)+(0+(0-0))+0-0-0</f>
        <v>770.19999999999993</v>
      </c>
      <c r="T304" s="3">
        <f>239.9+(571.7-50.7)+(0+(0-0))+0-0-0</f>
        <v>760.9</v>
      </c>
      <c r="U304" s="3">
        <f>280.5+(492.7-34)+(-0.28611+(-0.502554--0.03468))+0-0-0</f>
        <v>738.4460160000001</v>
      </c>
      <c r="V304" s="3">
        <f>281.7+(522.9-63.4)+(-0.862002+(-1.600074--0.194004))+0-0-0</f>
        <v>738.93192800000008</v>
      </c>
      <c r="W304" s="3">
        <f>238.4+(685.4-138.1)+(-0.243168+(-0.699108--0.140862))+0-0-0</f>
        <v>784.89858599999991</v>
      </c>
      <c r="X304" s="3">
        <f>253.3+(659.2-81.2)+(-0.387549+(-1.008576--0.124236))+0-0-0</f>
        <v>830.02811099999997</v>
      </c>
      <c r="Y304" s="3">
        <f>134.8+(802.2-119.7)+(-0.137496+(-0.818244--0.122094))+0-0-0</f>
        <v>816.46635399999991</v>
      </c>
      <c r="Z304" s="3">
        <f>107.2+(875.4-167.6)+(-0.164016+(-1.339362--0.256428))+0-0-0</f>
        <v>813.75305000000003</v>
      </c>
      <c r="AA304" s="3">
        <f>107.1+(896.2-200.8)+(-0.054621+(-0.457062--0.102408))+0-0-0</f>
        <v>802.09072500000013</v>
      </c>
      <c r="AB304" s="3">
        <f>72.2+(927.4-204.3)+(-0.036822+(-0.472974--0.104193))+0-0-0</f>
        <v>794.89439699999991</v>
      </c>
      <c r="AC304" s="3">
        <f>55+(921.4-208.2)+(-0.08415+(-1.409742--0.318546))+0-0-0</f>
        <v>767.02465400000006</v>
      </c>
      <c r="AD304">
        <f t="shared" si="4"/>
        <v>18126.013025</v>
      </c>
      <c r="AE304" s="3">
        <f>280+(668.5-129.5)+(0+(0-0))+0-0-0</f>
        <v>819</v>
      </c>
    </row>
    <row r="305" spans="1:31" s="2" customFormat="1" x14ac:dyDescent="0.25">
      <c r="A305">
        <v>89</v>
      </c>
      <c r="B305">
        <v>10</v>
      </c>
      <c r="C305">
        <v>29</v>
      </c>
      <c r="D305">
        <v>5</v>
      </c>
      <c r="E305">
        <v>1</v>
      </c>
      <c r="F305" s="3">
        <f>55.1+(816.7-129.8)+(-0.140505+(-2.082585--0.33099))+0-0-0</f>
        <v>740.10790000000009</v>
      </c>
      <c r="G305" s="3">
        <f>54.9+(745.6-77.1)+(0.083997+(1.140768-0.117963))+0-0-0</f>
        <v>724.50680199999999</v>
      </c>
      <c r="H305" s="3">
        <f>55+(743.4-85.3)+(-0.08415+(-1.137402--0.130509))+0-0-0</f>
        <v>712.00895700000001</v>
      </c>
      <c r="I305" s="3">
        <f>55+(711.9-58.1)+(0.02805+(0.363069-0.029631))+0-0-0</f>
        <v>709.16148799999996</v>
      </c>
      <c r="J305" s="3">
        <f>55+(689.8-45)+(-0.14025+(-1.75899--0.11475))+0-0-0</f>
        <v>698.01550999999995</v>
      </c>
      <c r="K305" s="3">
        <f>55.1+(651.7-21.1)+(0.028101+(0.332367-0.010761))+0-0-0</f>
        <v>686.04970700000001</v>
      </c>
      <c r="L305" s="3">
        <f>55+(685.7-26)+(0.02805+(0.349707-0.01326))+0-0-0</f>
        <v>715.06449700000007</v>
      </c>
      <c r="M305" s="3">
        <f>55.1+(747.8-63)+(0+(0-0))+0-0-0</f>
        <v>739.9</v>
      </c>
      <c r="N305" s="3">
        <f>88.5+(680.9-4.7)+(0.135405+(1.041777-0.007191))+0-0-0</f>
        <v>765.86999099999991</v>
      </c>
      <c r="O305" s="3">
        <f>234.5+(662.8-89.7)+(0+(0-0))+0-0-0</f>
        <v>807.59999999999991</v>
      </c>
      <c r="P305" s="3">
        <f>273.2+(618.5-82.4)+(-0.557328+(-1.26174--0.168096))+0-0-0</f>
        <v>807.64902799999993</v>
      </c>
      <c r="Q305" s="3">
        <f>192.5+(769.1-158.2)+(-0.098175+(-0.392241--0.080682))+0-0-0</f>
        <v>802.99026600000013</v>
      </c>
      <c r="R305" s="3">
        <f>134+(814.1-159.6)+(-0.20502+(-1.245573--0.244188))+0-0-0</f>
        <v>787.29359499999998</v>
      </c>
      <c r="S305" s="3">
        <f>142.1+(739.3-126)+(-0.144942+(-0.754086--0.12852))+0-0-0</f>
        <v>754.62949200000003</v>
      </c>
      <c r="T305" s="3">
        <f>188.3+(619.7-55.1)+(0+(0-0))+0-0-0</f>
        <v>752.90000000000009</v>
      </c>
      <c r="U305" s="3">
        <f>188.6+(625.3-57.3)+(0+(0-0))+0-0-0</f>
        <v>756.6</v>
      </c>
      <c r="V305" s="3">
        <f>190.3+(640-80.8)+(0+(0-0))+0-0-0</f>
        <v>749.5</v>
      </c>
      <c r="W305" s="3">
        <f>190.1+(618.7-29.9)+(-0.387804+(-1.262148--0.060996))+0-0-0</f>
        <v>777.31104400000004</v>
      </c>
      <c r="X305" s="3">
        <f>136.7+(807.5-114.2)+(-0.139434+(-0.82365--0.116484))+0-0-0</f>
        <v>829.15340000000003</v>
      </c>
      <c r="Y305" s="3">
        <f>87.3+(829.2-94.8)+(-0.222615+(-2.11446--0.24174))+0-0-0</f>
        <v>819.60466500000007</v>
      </c>
      <c r="Z305" s="3">
        <f>25.9+(919.5-144)+(0+(0-0))+0-0-0</f>
        <v>801.4</v>
      </c>
      <c r="AA305" s="3">
        <f>0+(1012.4-223)+(0+(1.032648-0.22746))+0-0-0</f>
        <v>790.20518800000002</v>
      </c>
      <c r="AB305" s="3">
        <f>0+(1014.8-228.8)+(0+(1.035096-0.233376))+0-0-0</f>
        <v>786.80172000000005</v>
      </c>
      <c r="AC305" s="3">
        <f>0+(953-184)+(0+(-1.94412--0.37536))+0-0-0</f>
        <v>767.43124</v>
      </c>
      <c r="AD305">
        <f t="shared" si="4"/>
        <v>18281.754489999999</v>
      </c>
      <c r="AE305" s="3">
        <f>136+(813.3-149.3)+(0+(0-0))+0-0-0</f>
        <v>800</v>
      </c>
    </row>
    <row r="306" spans="1:31" s="2" customFormat="1" x14ac:dyDescent="0.25">
      <c r="A306">
        <v>89</v>
      </c>
      <c r="B306">
        <v>10</v>
      </c>
      <c r="C306">
        <v>30</v>
      </c>
      <c r="D306">
        <v>6</v>
      </c>
      <c r="E306">
        <v>1</v>
      </c>
      <c r="F306" s="3">
        <f>0+(866.7-148)+(0+(-0.884034--0.15096))+0-0-0</f>
        <v>717.96692600000006</v>
      </c>
      <c r="G306" s="3">
        <f>0+(759.6-59.3)+(0+(0-0))+0-0-0</f>
        <v>700.30000000000007</v>
      </c>
      <c r="H306" s="3">
        <f>0+(741.8-59)+(0+(0-0))+0-0-0</f>
        <v>682.8</v>
      </c>
      <c r="I306" s="3">
        <f>0+(763.4-80.8)+(0+(-0.389334--0.041208))+0-0-0</f>
        <v>682.25187400000004</v>
      </c>
      <c r="J306" s="3">
        <f>0+(761.2-70.3)+(0+(-0.776424--0.071706))+0-0-0</f>
        <v>690.19528200000013</v>
      </c>
      <c r="K306" s="3">
        <f>0+(755.5-62.7)+(0+(1.54122-0.127908))+0-0-0</f>
        <v>694.21331199999997</v>
      </c>
      <c r="L306" s="3">
        <f>0+(776.7-69.1)+(0+(0.396117-0.035241))+0-0-0</f>
        <v>707.96087599999998</v>
      </c>
      <c r="M306" s="3">
        <f>0+(829.5-107.1)+(0+(-1.269135--0.163863))+0-0-0</f>
        <v>721.29472799999996</v>
      </c>
      <c r="N306" s="3">
        <f>0+(855-107.3)+(0+(0-0))+0-0-0</f>
        <v>747.7</v>
      </c>
      <c r="O306" s="3">
        <f>0+(870.5-97.4)+(0+(1.77582-0.198696))+0-0-0</f>
        <v>774.67712400000005</v>
      </c>
      <c r="P306" s="3">
        <f>0+(919.5-140.5)+(0+(0.468945-0.071655))+0-0-0</f>
        <v>779.39729</v>
      </c>
      <c r="Q306" s="3">
        <f>0+(936.9-158.7)+(0+(-1.911276--0.323748))+0-0-0</f>
        <v>776.61247200000003</v>
      </c>
      <c r="R306" s="3">
        <f>0+(884.7-124.1)+(0+(0.902394-0.126582))+0-0-0</f>
        <v>761.375812</v>
      </c>
      <c r="S306" s="3">
        <f>0+(863.2-136.3)+(0+(-0.880464--0.139026))+0-0-0</f>
        <v>726.15856200000007</v>
      </c>
      <c r="T306" s="3">
        <f>0+(830.6-115.3)+(0+(-0.423606--0.058803))+0-0-0</f>
        <v>714.93519700000002</v>
      </c>
      <c r="U306" s="3">
        <f>0+(803.8-97.6)+(0+(-0.409938--0.049776))+0-0-0</f>
        <v>705.83983799999999</v>
      </c>
      <c r="V306" s="3">
        <f>0+(805.6-100)+(0+(0.410856-0.051))+0-0-0</f>
        <v>705.95985600000006</v>
      </c>
      <c r="W306" s="3">
        <f>0+(774.6-33.6)+(0+(-0.395046--0.017136))+0-0-0</f>
        <v>740.62208999999996</v>
      </c>
      <c r="X306" s="3">
        <f>0+(903.5-105.5)+(0+(-1.84314--0.21522))+0-0-0</f>
        <v>796.37207999999998</v>
      </c>
      <c r="Y306" s="3">
        <f>0+(867.7-90)+(0+(-1.327581--0.1377))+0-0-0</f>
        <v>776.51011900000003</v>
      </c>
      <c r="Z306" s="3">
        <f>0+(858.3-95.9)+(0+(-2.188665--0.244545))+0-0-0</f>
        <v>760.45587999999998</v>
      </c>
      <c r="AA306" s="3">
        <f>0+(974.4-218.8)+(0+(0.993888-0.223176))+0-0-0</f>
        <v>756.37071199999991</v>
      </c>
      <c r="AB306" s="3">
        <f>0+(986.4-241.1)+(0+(1.509192-0.368883))+0-0-0</f>
        <v>746.44030899999996</v>
      </c>
      <c r="AC306" s="3">
        <f>0+(986.3-262.4)+(0+(-1.509039--0.401472))+0-0-0</f>
        <v>722.79243299999996</v>
      </c>
      <c r="AD306">
        <f t="shared" si="4"/>
        <v>17589.202772000001</v>
      </c>
      <c r="AE306" s="3">
        <f>0+(903.8-133.1)+(0+(0-0))+0-0-0</f>
        <v>770.69999999999993</v>
      </c>
    </row>
    <row r="307" spans="1:31" s="2" customFormat="1" x14ac:dyDescent="0.25">
      <c r="A307">
        <v>89</v>
      </c>
      <c r="B307">
        <v>11</v>
      </c>
      <c r="C307">
        <v>1</v>
      </c>
      <c r="D307">
        <v>7</v>
      </c>
      <c r="E307">
        <v>1</v>
      </c>
      <c r="F307" s="3">
        <f>0+(903.8-216.8)+(0+(-2.30469--0.55284))+0-0-0</f>
        <v>685.24815000000001</v>
      </c>
      <c r="G307" s="3">
        <f>0+(810.8-149)+(0+(-0.827016--0.15198))+0-0-0</f>
        <v>661.12496399999998</v>
      </c>
      <c r="H307" s="3">
        <f>0+(773.9-134.3)+(0+(-2.368134--0.410958))+0-0-0</f>
        <v>637.64282399999991</v>
      </c>
      <c r="I307" s="3">
        <f>0+(731.5-93.7)+(0+(0-0))+0-0-0</f>
        <v>637.79999999999995</v>
      </c>
      <c r="J307" s="3">
        <f>0+(730.8-92.3)+(0+(-0.372708--0.047073))+0-0-0</f>
        <v>638.17436499999997</v>
      </c>
      <c r="K307" s="3">
        <f>0+(716.1-86.4)+(0+(0-0))+0-0-0</f>
        <v>629.70000000000005</v>
      </c>
      <c r="L307" s="3">
        <f>0+(729-90.4)+(0+(-3.7179--0.46104))+0-0-0</f>
        <v>635.34314000000006</v>
      </c>
      <c r="M307" s="3">
        <f>0+(713.2-88)+(0+(0.727464-0.08976))+0-0-0</f>
        <v>625.83770400000003</v>
      </c>
      <c r="N307" s="3">
        <f>0+(746.6-126.7)+(0+(-1.90383--0.323085))+0-0-0</f>
        <v>618.319255</v>
      </c>
      <c r="O307" s="3">
        <f>0+(844-194.3)+(0+(-0.43044--0.099093))+0-0-0</f>
        <v>649.36865299999999</v>
      </c>
      <c r="P307" s="3">
        <f>0+(862.3-203.8)+(0+(-1.759092--0.415752))+0-0-0</f>
        <v>657.15665999999999</v>
      </c>
      <c r="Q307" s="3">
        <f>0+(863.3-212.3)+(0+(-1.320849--0.324819))+0-0-0</f>
        <v>650.00396999999998</v>
      </c>
      <c r="R307" s="3">
        <f>0+(876.2-233.5)+(0+(0.446862-0.119085))+0-0-0</f>
        <v>643.02777700000001</v>
      </c>
      <c r="S307" s="3">
        <f>0+(851.4-226.2)+(0+(-1.736856--0.461448))+0-0-0</f>
        <v>623.92459200000008</v>
      </c>
      <c r="T307" s="3">
        <f>0+(819.6-202.5)+(0+(-0.417996--0.103275))+0-0-0</f>
        <v>616.78527900000006</v>
      </c>
      <c r="U307" s="3">
        <f>0+(786.5-177.8)+(0+(-1.203345--0.272034))+0-0-0</f>
        <v>607.76868899999999</v>
      </c>
      <c r="V307" s="3">
        <f>0+(796-182.3)+(0+(-1.62384--0.371892))+0-0-0</f>
        <v>612.44805200000008</v>
      </c>
      <c r="W307" s="3">
        <f>0+(730.9-69)+(0+(0.372759-0.03519))+0-0-0</f>
        <v>662.23756900000001</v>
      </c>
      <c r="X307" s="3">
        <f>0+(902-190.7)+(0+(-1.38006--0.291771))+0-0-0</f>
        <v>710.21171099999992</v>
      </c>
      <c r="Y307" s="3">
        <f>0+(918.1-200.2)+(0+(-0.468231--0.102102))+0-0-0</f>
        <v>717.53387100000009</v>
      </c>
      <c r="Z307" s="3">
        <f>0+(902.3-188.3)+(0+(-1.840692--0.384132))+0-0-0</f>
        <v>712.54344000000003</v>
      </c>
      <c r="AA307" s="3">
        <f>0+(985.8-277.4)+(0+(1.508274-0.424422))+0-0-0</f>
        <v>709.48385199999996</v>
      </c>
      <c r="AB307" s="3">
        <f>0+(980.5-282.5)+(0+(-2.00022--0.5763))+0-0-0</f>
        <v>696.57608000000005</v>
      </c>
      <c r="AC307" s="3">
        <f>0+(891.5-214.7)+(0+(-0.90933--0.218994))+0-0-0</f>
        <v>676.10966399999995</v>
      </c>
      <c r="AD307">
        <f t="shared" si="4"/>
        <v>15714.370260999998</v>
      </c>
      <c r="AE307" s="3">
        <f>0+(923.9-208)+(0+(0-0))+0-0-0</f>
        <v>715.9</v>
      </c>
    </row>
    <row r="308" spans="1:31" s="2" customFormat="1" x14ac:dyDescent="0.25">
      <c r="A308">
        <v>89</v>
      </c>
      <c r="B308">
        <v>11</v>
      </c>
      <c r="C308">
        <v>2</v>
      </c>
      <c r="D308">
        <v>1</v>
      </c>
      <c r="E308">
        <v>1</v>
      </c>
      <c r="F308" s="3">
        <f>0+(798.8-156.9)+(0+(-2.851716--0.560133))+0-0-0</f>
        <v>639.60841700000003</v>
      </c>
      <c r="G308" s="3">
        <f>0+(699.4-82.5)+(0+(-1.426776--0.1683))+0-0-0</f>
        <v>615.641524</v>
      </c>
      <c r="H308" s="3">
        <f>0+(695.7-97.6)+(0+(0.354807-0.049776))+0-0-0</f>
        <v>598.40503100000001</v>
      </c>
      <c r="I308" s="3">
        <f>0+(690.7-102.8)+(0+(0-0))+0-0-0</f>
        <v>587.90000000000009</v>
      </c>
      <c r="J308" s="3">
        <f>0+(736.5-144.3)+(0+(-1.126845--0.220779))+0-0-0</f>
        <v>591.29393400000004</v>
      </c>
      <c r="K308" s="3">
        <f>0+(741.7-135.8)+(0+(0.378267-0.069258))+0-0-0</f>
        <v>606.20900900000004</v>
      </c>
      <c r="L308" s="3">
        <f>0+(770.1-116.2)+(0+(0.392751-0.059262))+0-0-0</f>
        <v>654.23348899999996</v>
      </c>
      <c r="M308" s="3">
        <f>0+(824.5-127.1)+(0+(-0.84099--0.129642))+0-0-0</f>
        <v>696.68865199999993</v>
      </c>
      <c r="N308" s="3">
        <f>0+(897.1-151.2)+(0+(-0.915042--0.154224))+0-0-0</f>
        <v>745.13918200000012</v>
      </c>
      <c r="O308" s="3">
        <f>0+(992.9-198.1)+(0+(-0.506379--0.101031))+0-0-0</f>
        <v>794.39465199999995</v>
      </c>
      <c r="P308" s="3">
        <f>90.6+(930.7-227.6)+(-0.184824+(-1.898628--0.464304))+0-0-0</f>
        <v>792.08085200000005</v>
      </c>
      <c r="Q308" s="3">
        <f>135.8+(899.4-238.7)+(-0.207774+(-1.376082--0.365211))+0-0-0</f>
        <v>795.28135499999996</v>
      </c>
      <c r="R308" s="3">
        <f>136.6+(873.4-231.5)+(-0.34833+(-2.22717--0.590325))+0-0-0</f>
        <v>776.51482499999997</v>
      </c>
      <c r="S308" s="3">
        <f>136.6+(897.1-271.4)+(0.139332+(0.915042-0.276828))+0-0-0</f>
        <v>763.0775460000001</v>
      </c>
      <c r="T308" s="3">
        <f>124.2+(801-177.4)+(-0.063342+(-0.40851--0.090474))+0-0-0</f>
        <v>747.41862200000003</v>
      </c>
      <c r="U308" s="3">
        <f>54+(829-136.3)+(0.02754+(0.42279-0.069513))+0-0-0</f>
        <v>747.08081700000002</v>
      </c>
      <c r="V308" s="3">
        <f>130+(760.9-145.3)+(0+(0-0))+0-0-0</f>
        <v>745.59999999999991</v>
      </c>
      <c r="W308" s="3">
        <f>138.5+(683.6-35.3)+(0.211905+(1.045908-0.054009))+0-0-0</f>
        <v>788.00380400000006</v>
      </c>
      <c r="X308" s="3">
        <f>139.3+(803.6-113.4)+(-0.213129+(-1.229508--0.173502))+0-0-0</f>
        <v>828.23086499999999</v>
      </c>
      <c r="Y308" s="3">
        <f>138.9+(767.6-94.9)+(-0.212517+(-1.174428--0.145197))+0-0-0</f>
        <v>810.35825199999999</v>
      </c>
      <c r="Z308" s="3">
        <f>139.2+(795.1-143.6)+(-0.283968+(-1.622004--0.292944))+0-0-0</f>
        <v>789.08697200000006</v>
      </c>
      <c r="AA308" s="3">
        <f>140.5+(885.2-245.3)+(-0.071655+(-0.451452--0.125103))+0-0-0</f>
        <v>780.00199600000008</v>
      </c>
      <c r="AB308" s="3">
        <f>95.4+(888.4-208.3)+(-0.194616+(-1.812336--0.424932))+0-0-0</f>
        <v>773.91797999999994</v>
      </c>
      <c r="AC308" s="3">
        <f>11.5+(880.5-147.4)+(-0.04692+(-3.59244--0.601392))+0-0-0</f>
        <v>741.56203200000004</v>
      </c>
      <c r="AD308">
        <f t="shared" si="4"/>
        <v>17407.729808000004</v>
      </c>
      <c r="AE308" s="3">
        <f>139+(825.3-149.4)+(0+(0-0))+0-0-0</f>
        <v>814.9</v>
      </c>
    </row>
    <row r="309" spans="1:31" s="2" customFormat="1" x14ac:dyDescent="0.25">
      <c r="A309">
        <v>89</v>
      </c>
      <c r="B309">
        <v>11</v>
      </c>
      <c r="C309">
        <v>3</v>
      </c>
      <c r="D309">
        <v>2</v>
      </c>
      <c r="E309">
        <v>1</v>
      </c>
      <c r="F309" s="3">
        <f>0+(864.2-148.1)+(0+(-1.322226--0.226593))+0-0-0</f>
        <v>715.004367</v>
      </c>
      <c r="G309" s="3">
        <f>0+(813.1-125.1)+(0+(-1.658724--0.255204))+0-0-0</f>
        <v>686.59648000000004</v>
      </c>
      <c r="H309" s="3">
        <f>0+(796.6-113.9)+(0+(-2.03133--0.290445))+0-0-0</f>
        <v>680.959115</v>
      </c>
      <c r="I309" s="3">
        <f>0+(713.9-42)+(0+(0.364089-0.02142))+0-0-0</f>
        <v>672.24266899999998</v>
      </c>
      <c r="J309" s="3">
        <f>0+(749.1-89.2)+(0+(0.764082-0.090984))+0-0-0</f>
        <v>660.57309799999996</v>
      </c>
      <c r="K309" s="3">
        <f>0+(769.8-108.3)+(0+(0-0))+0-0-0</f>
        <v>661.5</v>
      </c>
      <c r="L309" s="3">
        <f>0+(784.5-101.2)+(0+(-1.60038--0.206448))+0-0-0</f>
        <v>681.906068</v>
      </c>
      <c r="M309" s="3">
        <f>0+(812-101.5)+(0+(-0.82824--0.10353))+0-0-0</f>
        <v>709.77529000000004</v>
      </c>
      <c r="N309" s="3">
        <f>0+(828.2-82.3)+(0+(0-0))+0-0-0</f>
        <v>745.90000000000009</v>
      </c>
      <c r="O309" s="3">
        <f>0+(822.7-34.7)+(0+(-0.419577--0.017697))+0-0-0</f>
        <v>787.59811999999999</v>
      </c>
      <c r="P309" s="3">
        <f>0+(834.3-44.1)+(0+(-0.425493--0.022491))+0-0-0</f>
        <v>789.79699799999992</v>
      </c>
      <c r="Q309" s="3">
        <f>0+(854.3-44.1)+(0+(-0.871386--0.044982))+0-0-0</f>
        <v>809.37359599999991</v>
      </c>
      <c r="R309" s="3">
        <f>0+(834.5-51.6)+(0+(-0.425595--0.026316))+0-0-0</f>
        <v>782.500721</v>
      </c>
      <c r="S309" s="3">
        <f>0+(820.2-23.7)+(0+(-0.418302--0.012087))+0-0-0</f>
        <v>796.09378500000003</v>
      </c>
      <c r="T309" s="3">
        <f>0+(776.6-39.2)+(0+(-1.98033--0.09996))+0-0-0</f>
        <v>735.51963000000001</v>
      </c>
      <c r="U309" s="3">
        <f>0+(770.9-41.8)+(0+(0.393159-0.021318))+0-0-0</f>
        <v>729.47184100000004</v>
      </c>
      <c r="V309" s="3">
        <f>0+(769.5-47)+(0+(-1.177335--0.07191))+0-0-0</f>
        <v>721.39457500000003</v>
      </c>
      <c r="W309" s="3">
        <f>0+(752.6-7)+(0+(-0.767652--0.00714))+0-0-0</f>
        <v>744.83948800000007</v>
      </c>
      <c r="X309" s="3">
        <f>0+(912-107.8)+(0+(-1.86048--0.219912))+0-0-0</f>
        <v>802.55943200000002</v>
      </c>
      <c r="Y309" s="3">
        <f>0+(891.8-97.6)+(0+(-1.819272--0.199104))+0-0-0</f>
        <v>792.5798319999999</v>
      </c>
      <c r="Z309" s="3">
        <f>0+(899.4-122.9)+(0+(-0.458694--0.062679))+0-0-0</f>
        <v>776.10398499999997</v>
      </c>
      <c r="AA309" s="3">
        <f>0+(976.6-217.4)+(0+(-0.498066--0.110874))+0-0-0</f>
        <v>758.81280800000002</v>
      </c>
      <c r="AB309" s="3">
        <f>0+(1004.6-251.6)+(0+(0-0))+0-0-0</f>
        <v>753</v>
      </c>
      <c r="AC309" s="3">
        <f>0+(905.4-178.4)+(0+(-2.30877--0.45492))+0-0-0</f>
        <v>725.14615000000003</v>
      </c>
      <c r="AD309">
        <f t="shared" si="4"/>
        <v>17719.248048000001</v>
      </c>
      <c r="AE309" s="3">
        <f>0+(932-118.2)+(0+(0-0))+0-0-0</f>
        <v>813.8</v>
      </c>
    </row>
    <row r="310" spans="1:31" s="2" customFormat="1" x14ac:dyDescent="0.25">
      <c r="A310">
        <v>89</v>
      </c>
      <c r="B310">
        <v>11</v>
      </c>
      <c r="C310">
        <v>4</v>
      </c>
      <c r="D310">
        <v>3</v>
      </c>
      <c r="E310">
        <v>1</v>
      </c>
      <c r="F310" s="3">
        <f>0+(842.3-146.7)+(0+(-0.859146--0.149634))+0-0-0</f>
        <v>694.89048799999989</v>
      </c>
      <c r="G310" s="3">
        <f>0+(798.6-131.7)+(0+(-0.407286--0.067167))+0-0-0</f>
        <v>666.55988100000013</v>
      </c>
      <c r="H310" s="3">
        <f>0+(779.3-126.3)+(0+(-0.794886--0.128826))+0-0-0</f>
        <v>652.33393999999998</v>
      </c>
      <c r="I310" s="3">
        <f>0+(751.5-111.6)+(0+(0.76653-0.113832))+0-0-0</f>
        <v>640.55269799999996</v>
      </c>
      <c r="J310" s="3">
        <f>0+(769.1-122.4)+(0+(0.784482-0.124848))+0-0-0</f>
        <v>647.35963400000003</v>
      </c>
      <c r="K310" s="3">
        <f>0+(782.4-135.9)+(0+(1.596096-0.277236))+0-0-0</f>
        <v>647.81885999999997</v>
      </c>
      <c r="L310" s="3">
        <f>0+(809.8-138.6)+(0+(-1.238994--0.212058))+0-0-0</f>
        <v>670.17306399999995</v>
      </c>
      <c r="M310" s="3">
        <f>0+(776.2-69.1)+(0+(-1.97931--0.176205))+0-0-0</f>
        <v>705.29689500000006</v>
      </c>
      <c r="N310" s="3">
        <f>0+(868.6-76)+(0+(0-0))+0-0-0</f>
        <v>792.6</v>
      </c>
      <c r="O310" s="3">
        <f>0+(1006.3-113.4)+(0+(0-0))+0-0-0</f>
        <v>892.9</v>
      </c>
      <c r="P310" s="3">
        <f>0+(956.1-137.5)+(0+(-1.950444--0.2805))+0-0-0</f>
        <v>816.93005600000004</v>
      </c>
      <c r="Q310" s="3">
        <f>0+(933-142.4)+(0+(-2.37915--0.36312))+0-0-0</f>
        <v>788.58397000000002</v>
      </c>
      <c r="R310" s="3">
        <f>0+(935.8-155.4)+(0+(-1.909032--0.317016))+0-0-0</f>
        <v>778.80798400000003</v>
      </c>
      <c r="S310" s="3">
        <f>0+(918.6-161.2)+(0+(-0.468486--0.082212))+0-0-0</f>
        <v>757.01372600000013</v>
      </c>
      <c r="T310" s="3">
        <f>0+(888.1-136.4)+(0+(0-0))+0-0-0</f>
        <v>751.7</v>
      </c>
      <c r="U310" s="3">
        <f>0+(901.3-159.3)+(0+(1.378989-0.243729))+0-0-0</f>
        <v>743.13526000000002</v>
      </c>
      <c r="V310" s="3">
        <f>0+(849.7-113.3)+(0+(0-0))+0-0-0</f>
        <v>736.40000000000009</v>
      </c>
      <c r="W310" s="3">
        <f>0+(819-46)+(0+(0-0))+0-0-0</f>
        <v>773</v>
      </c>
      <c r="X310" s="3">
        <f>0+(973.3-151.3)+(0+(-1.489149--0.231489))+0-0-0</f>
        <v>820.74234000000001</v>
      </c>
      <c r="Y310" s="3">
        <f>0+(929.3-130)+(0+(-1.421829--0.1989))+0-0-0</f>
        <v>798.07707099999993</v>
      </c>
      <c r="Z310" s="3">
        <f>0+(876-101.5)+(0+(-1.34028--0.155295))+0-0-0</f>
        <v>773.31501500000002</v>
      </c>
      <c r="AA310" s="3">
        <f>0+(981-210.9)+(0+(-0.50031--0.107559))+0-0-0</f>
        <v>769.70724900000005</v>
      </c>
      <c r="AB310" s="3">
        <f>0+(976.5-224.7)+(0+(-0.99603--0.229194))+0-0-0</f>
        <v>751.03316399999994</v>
      </c>
      <c r="AC310" s="3">
        <f>0+(980.2-252.5)+(0+(0-0))+0-0-0</f>
        <v>727.7</v>
      </c>
      <c r="AD310">
        <f t="shared" si="4"/>
        <v>17796.631295000003</v>
      </c>
      <c r="AE310" s="3">
        <f>0+(973.5-167.3)+(0+(0-0))+0-0-0</f>
        <v>806.2</v>
      </c>
    </row>
    <row r="311" spans="1:31" s="2" customFormat="1" x14ac:dyDescent="0.25">
      <c r="A311">
        <v>89</v>
      </c>
      <c r="B311">
        <v>11</v>
      </c>
      <c r="C311">
        <v>5</v>
      </c>
      <c r="D311">
        <v>4</v>
      </c>
      <c r="E311">
        <v>5</v>
      </c>
      <c r="F311" s="3">
        <f>0+(897.4-207.4)+(0+(-0.457674--0.105774))+0-0-0</f>
        <v>689.6481</v>
      </c>
      <c r="G311" s="3">
        <f>0+(817-157.1)+(0+(-1.25001--0.240363))+0-0-0</f>
        <v>658.890353</v>
      </c>
      <c r="H311" s="3">
        <f>0+(774.1-149.8)+(0+(0.789582-0.152796))+0-0-0</f>
        <v>624.93678599999998</v>
      </c>
      <c r="I311" s="3">
        <f>0+(773.6-150.8)+(0+(-0.394536--0.076908))+0-0-0</f>
        <v>622.48237199999994</v>
      </c>
      <c r="J311" s="3">
        <f>0+(757.9-141.3)+(0+(-0.386529--0.072063))+0-0-0</f>
        <v>616.28553399999987</v>
      </c>
      <c r="K311" s="3">
        <f>0+(756.2-151.6)+(0+(0.385662-0.077316))+0-0-0</f>
        <v>604.90834600000005</v>
      </c>
      <c r="L311" s="3">
        <f>0+(747.7-144.7)+(0+(-2.287962--0.442782))+0-0-0</f>
        <v>601.15481999999997</v>
      </c>
      <c r="M311" s="3">
        <f>0+(761.4-169)+(0+(-1.94157--0.43095))+0-0-0</f>
        <v>590.88937999999996</v>
      </c>
      <c r="N311" s="3">
        <f>0+(766.7-172.1)+(0+(-0.782034--0.175542))+0-0-0</f>
        <v>593.99350800000002</v>
      </c>
      <c r="O311" s="3">
        <f>0+(856.7-236.5)+(0+(-1.747668--0.48246))+0-0-0</f>
        <v>618.93479200000002</v>
      </c>
      <c r="P311" s="3">
        <f>0+(917.2-273.6)+(0+(-1.403316--0.418608))+0-0-0</f>
        <v>642.61529200000007</v>
      </c>
      <c r="Q311" s="3">
        <f>0+(929.2-271.9)+(0+(-2.36946--0.693345))+0-0-0</f>
        <v>655.62388500000009</v>
      </c>
      <c r="R311" s="3">
        <f>0+(913.3-271.1)+(0+(-2.794698--0.829566))+0-0-0</f>
        <v>640.23486799999989</v>
      </c>
      <c r="S311" s="3">
        <f>0+(898.1-273)+(0+(-0.916062--0.27846))+0-0-0</f>
        <v>624.46239800000001</v>
      </c>
      <c r="T311" s="3">
        <f>0+(934.7-297.7)+(0+(-2.383485--0.759135))+0-0-0</f>
        <v>635.37564999999995</v>
      </c>
      <c r="U311" s="3">
        <f>0+(921.7-295)+(0+(0.940134-0.3009))+0-0-0</f>
        <v>627.33923400000003</v>
      </c>
      <c r="V311" s="3">
        <f>0+(938.5-303.9)+(0+(0.95727-0.309978))+0-0-0</f>
        <v>635.24729200000002</v>
      </c>
      <c r="W311" s="3">
        <f>0+(776.1-98.2)+(0+(0-0))+0-0-0</f>
        <v>677.9</v>
      </c>
      <c r="X311" s="3">
        <f>0+(869.1-137)+(0+(-0.443241--0.06987))+0-0-0</f>
        <v>731.726629</v>
      </c>
      <c r="Y311" s="3">
        <f>0+(793.4-69.6)+(0+(-1.618536--0.141984))+0-0-0</f>
        <v>722.32344799999998</v>
      </c>
      <c r="Z311" s="3">
        <f>0+(821-102.6)+(0+(0-0))+0-0-0</f>
        <v>718.4</v>
      </c>
      <c r="AA311" s="3">
        <f>0+(924.7-213.6)+(0+(0-0))+0-0-0</f>
        <v>711.1</v>
      </c>
      <c r="AB311" s="3">
        <f>0+(918.4-216.6)+(0+(-2.810304--0.662796))+0-0-0</f>
        <v>699.65249199999994</v>
      </c>
      <c r="AC311" s="3">
        <f>0+(986.4-317)+(0+(-1.006128--0.32334))+0-0-0</f>
        <v>668.71721200000002</v>
      </c>
      <c r="AD311">
        <f t="shared" si="4"/>
        <v>15612.842390999998</v>
      </c>
      <c r="AE311" s="3">
        <f>0+(869.2-132.7)+(0+(0-0))+0-0-0</f>
        <v>736.5</v>
      </c>
    </row>
    <row r="312" spans="1:31" s="2" customFormat="1" x14ac:dyDescent="0.25">
      <c r="A312">
        <v>89</v>
      </c>
      <c r="B312">
        <v>11</v>
      </c>
      <c r="C312">
        <v>6</v>
      </c>
      <c r="D312">
        <v>5</v>
      </c>
      <c r="E312">
        <v>1</v>
      </c>
      <c r="F312" s="3">
        <f>0+(920.2-279.8)+(0+(-1.407906--0.428094))+0-0-0</f>
        <v>639.42018800000005</v>
      </c>
      <c r="G312" s="3">
        <f>0+(828.1-209)+(0+(-0.422331--0.10659))+0-0-0</f>
        <v>618.78425900000002</v>
      </c>
      <c r="H312" s="3">
        <f>0+(805.1-194.9)+(0+(0.410601-0.099399))+0-0-0</f>
        <v>610.51120200000003</v>
      </c>
      <c r="I312" s="3">
        <f>0+(764.4-153.4)+(0+(0-0))+0-0-0</f>
        <v>611</v>
      </c>
      <c r="J312" s="3">
        <f>0+(760.8-144.3)+(0+(1.552032-0.294372))+0-0-0</f>
        <v>617.75765999999999</v>
      </c>
      <c r="K312" s="3">
        <f>0+(746.8-140.1)+(0+(0.380868-0.071451))+0-0-0</f>
        <v>607.00941699999998</v>
      </c>
      <c r="L312" s="3">
        <f>0+(809-174.8)+(0+(-0.82518--0.178296))+0-0-0</f>
        <v>633.55311600000005</v>
      </c>
      <c r="M312" s="3">
        <f>0+(841.9-163.3)+(0+(0.858738-0.166566))+0-0-0</f>
        <v>679.29217199999994</v>
      </c>
      <c r="N312" s="3">
        <f>0+(903.4-181.7)+(0+(-0.460734--0.092667))+0-0-0</f>
        <v>721.33193300000005</v>
      </c>
      <c r="O312" s="3">
        <f>82+(838.3-159.4)+(-0.08364+(-0.855066--0.162588))+0-0-0</f>
        <v>760.12388199999998</v>
      </c>
      <c r="P312" s="3">
        <f>184+(778.8-183.3)+(0.18768+(0.794376-0.186966))+0-0-0</f>
        <v>780.29508999999996</v>
      </c>
      <c r="Q312" s="3">
        <f>265+(719.7-183.7)+(0.13515+(0.367047-0.093687))+0-0-0</f>
        <v>801.40850999999998</v>
      </c>
      <c r="R312" s="3">
        <f>265+(697.8-215.7)+(-0.67575+(-1.77939--0.550035))+0-0-0</f>
        <v>745.19489499999986</v>
      </c>
      <c r="S312" s="3">
        <f>265+(687.7-204.2)+(0+(0-0))+0-0-0</f>
        <v>748.5</v>
      </c>
      <c r="T312" s="3">
        <f>265+(679.6-184)+(0+(0-0))+0-0-0</f>
        <v>760.6</v>
      </c>
      <c r="U312" s="3">
        <f>265+(632.8-138.1)+(-0.13515+(-0.322728--0.070431))+0-0-0</f>
        <v>759.31255299999998</v>
      </c>
      <c r="V312" s="3">
        <f>233.5+(533.9-7.2)+(-0.47634+(-1.089156--0.014688))+0-0-0</f>
        <v>758.64919199999997</v>
      </c>
      <c r="W312" s="3">
        <f>234.1+(574.8-23.3)+(-0.477564+(-1.172592--0.047532))+0-0-0</f>
        <v>783.99737600000003</v>
      </c>
      <c r="X312" s="3">
        <f>264+(640-74.2)+(0.13464+(0.3264-0.037842))+0-0-0</f>
        <v>830.22319799999991</v>
      </c>
      <c r="Y312" s="3">
        <f>264.6+(635.5-93.9)+(0.134946+(0.324105-0.047889))+0-0-0</f>
        <v>806.61116200000004</v>
      </c>
      <c r="Z312" s="3">
        <f>210.9+(678.2-95.1)+(-0.537795+(-1.72941--0.242505))+0-0-0</f>
        <v>791.97529999999995</v>
      </c>
      <c r="AA312" s="3">
        <f>72.5+(928.7-220.9)+(0+(0-0))+0-0-0</f>
        <v>780.30000000000007</v>
      </c>
      <c r="AB312" s="3">
        <f>55+(941-225.6)+(-0.14025+(-2.39955--0.57528))+0-0-0</f>
        <v>768.43547999999998</v>
      </c>
      <c r="AC312" s="3">
        <f>53.5+(926.5-230.6)+(-0.16371+(-2.83509--0.705636))+0-0-0</f>
        <v>747.10683599999993</v>
      </c>
      <c r="AD312">
        <f t="shared" si="4"/>
        <v>17361.393420999997</v>
      </c>
      <c r="AE312" s="3">
        <f>264+(645.6-78.9)+(0+(0-0))+0-0-0</f>
        <v>830.7</v>
      </c>
    </row>
    <row r="313" spans="1:31" s="2" customFormat="1" x14ac:dyDescent="0.25">
      <c r="A313">
        <v>89</v>
      </c>
      <c r="B313">
        <v>11</v>
      </c>
      <c r="C313">
        <v>7</v>
      </c>
      <c r="D313">
        <v>6</v>
      </c>
      <c r="E313">
        <v>1</v>
      </c>
      <c r="F313" s="3">
        <f>1.4+(944.5-242.4)+(-0.002142+(-1.445085--0.370872))+0-0-0</f>
        <v>702.42364499999996</v>
      </c>
      <c r="G313" s="3">
        <f>0+(853.8-174.3)+(0+(1.741752-0.355572))+0-0-0</f>
        <v>680.88617999999997</v>
      </c>
      <c r="H313" s="3">
        <f>0+(802.3-156.2)+(0+(1.227519-0.238986))+0-0-0</f>
        <v>647.08853299999987</v>
      </c>
      <c r="I313" s="3">
        <f>0+(821.2-168.9)+(0+(0.418812-0.086139))+0-0-0</f>
        <v>652.63267300000007</v>
      </c>
      <c r="J313" s="3">
        <f>0+(811.1-162)+(0+(0-0))+0-0-0</f>
        <v>649.1</v>
      </c>
      <c r="K313" s="3">
        <f>0+(836.6-193.1)+(0+(0-0))+0-0-0</f>
        <v>643.5</v>
      </c>
      <c r="L313" s="3">
        <f>0+(925.8-254.3)+(0+(0.944316-0.259386))+0-0-0</f>
        <v>672.18493000000001</v>
      </c>
      <c r="M313" s="3">
        <f>0+(927.8-239.5)+(0+(-0.473178--0.122145))+0-0-0</f>
        <v>687.94896699999993</v>
      </c>
      <c r="N313" s="3">
        <f>88.9+(790.6-161.9)+(-0.090678+(-0.806412--0.165138))+0-0-0</f>
        <v>716.86804800000004</v>
      </c>
      <c r="O313" s="3">
        <f>133.4+(773.6-146.9)+(-0.272136+(-1.578144--0.299676))+0-0-0</f>
        <v>758.549396</v>
      </c>
      <c r="P313" s="3">
        <f>132.5+(785-155.5)+(-0.067575+(-0.40035--0.079305))+0-0-0</f>
        <v>761.61138000000005</v>
      </c>
      <c r="Q313" s="3">
        <f>131.9+(861.6-218.2)+(0+(0-0))+0-0-0</f>
        <v>775.30000000000007</v>
      </c>
      <c r="R313" s="3">
        <f>131.1+(878.3-252.7)+(-0.267444+(-1.791732--0.515508))+0-0-0</f>
        <v>755.15633199999991</v>
      </c>
      <c r="S313" s="3">
        <f>65.7+(873-207.5)+(-0.234549+(-3.11661--0.740775))+0-0-0</f>
        <v>728.58961600000009</v>
      </c>
      <c r="T313" s="3">
        <f>50+(885.4-213.5)+(-0.1275+(-2.25777--0.544425))+0-0-0</f>
        <v>720.05915500000003</v>
      </c>
      <c r="U313" s="3">
        <f>50+(923.3-249.3)+(-0.051+(-0.941766--0.254286))+0-0-0</f>
        <v>723.26152000000002</v>
      </c>
      <c r="V313" s="3">
        <f>50.1+(922.3-257.1)+(-0.102204+(-1.881492--0.524484))+0-0-0</f>
        <v>713.84078799999997</v>
      </c>
      <c r="W313" s="3">
        <f>66.3+(877.1-187.7)+(0.033813+(0.447321-0.095727))+0-0-0</f>
        <v>756.08540700000003</v>
      </c>
      <c r="X313" s="3">
        <f>132.5+(902.6-239.9)+(-0.337875+(-2.30163--0.611745))+0-0-0</f>
        <v>793.1722400000001</v>
      </c>
      <c r="Y313" s="3">
        <f>132.4+(924.5-243.4)+(-0.202572+(-1.414485--0.372402))+0-0-0</f>
        <v>812.25534500000003</v>
      </c>
      <c r="Z313" s="3">
        <f>132.7+(898.6-254.1)+(-0.067677+(-0.458286--0.129591))+0-0-0</f>
        <v>776.803628</v>
      </c>
      <c r="AA313" s="3">
        <f>91.4+(1017.2-338.8)+(-0.093228+(-1.037544--0.345576))+0-0-0</f>
        <v>769.01480400000003</v>
      </c>
      <c r="AB313" s="3">
        <f>1.4+(1096.5-375.8)+(-0.002856+(-2.23686--0.766632))+0-0-0</f>
        <v>720.62691600000005</v>
      </c>
      <c r="AC313" s="3">
        <f>0+(1049.1-325.4)+(0+(0-0))+0-0-0</f>
        <v>723.69999999999993</v>
      </c>
      <c r="AD313">
        <f t="shared" si="4"/>
        <v>17340.659503000003</v>
      </c>
      <c r="AE313" s="3">
        <f>135+(934.5-248)+(0+(0-0))+0-0-0</f>
        <v>821.5</v>
      </c>
    </row>
    <row r="314" spans="1:31" s="2" customFormat="1" x14ac:dyDescent="0.25">
      <c r="A314">
        <v>89</v>
      </c>
      <c r="B314">
        <v>11</v>
      </c>
      <c r="C314">
        <v>8</v>
      </c>
      <c r="D314">
        <v>7</v>
      </c>
      <c r="E314">
        <v>1</v>
      </c>
      <c r="F314" s="3">
        <f>0+(1032.2-335.3)+(0+(-2.63211--0.855015))+0-0-0</f>
        <v>695.12290500000006</v>
      </c>
      <c r="G314" s="3">
        <f>0+(865.7-201.2)+(0+(-1.324521--0.307836))+0-0-0</f>
        <v>663.48331499999995</v>
      </c>
      <c r="H314" s="3">
        <f>0+(836.9-189.2)+(0+(-0.426819--0.096492))+0-0-0</f>
        <v>647.36967300000003</v>
      </c>
      <c r="I314" s="3">
        <f>0+(875.6-229.2)+(0+(-0.446556--0.116892))+0-0-0</f>
        <v>646.07033600000011</v>
      </c>
      <c r="J314" s="3">
        <f>0+(806.1-171.7)+(0+(0.411111-0.087567))+0-0-0</f>
        <v>634.72354400000006</v>
      </c>
      <c r="K314" s="3">
        <f>0+(789-164.4)+(0+(-1.20717--0.251532))+0-0-0</f>
        <v>623.644362</v>
      </c>
      <c r="L314" s="3">
        <f>0+(801.6-181.8)+(0+(-0.817632--0.185436))+0-0-0</f>
        <v>619.16780399999993</v>
      </c>
      <c r="M314" s="3">
        <f>0+(781.4-183.1)+(0+(0-0))+0-0-0</f>
        <v>598.29999999999995</v>
      </c>
      <c r="N314" s="3">
        <f>0+(781.9-182.4)+(0+(-0.797538--0.186048))+0-0-0</f>
        <v>598.88851</v>
      </c>
      <c r="O314" s="3">
        <f>0+(837.2-214.4)+(0+(1.280916-0.328032))+0-0-0</f>
        <v>623.75288400000011</v>
      </c>
      <c r="P314" s="3">
        <f>0+(854.8-210)+(0+(-1.307844--0.3213))+0-0-0</f>
        <v>643.81345599999997</v>
      </c>
      <c r="Q314" s="3">
        <f>0+(900.1-235)+(0+(-0.918102--0.2397))+0-0-0</f>
        <v>664.42159800000002</v>
      </c>
      <c r="R314" s="3">
        <f>0+(849.7-199.6)+(0+(-3.900123--0.916164))+0-0-0</f>
        <v>647.116041</v>
      </c>
      <c r="S314" s="3">
        <f>0+(853.4-226.7)+(0+(0-0))+0-0-0</f>
        <v>626.70000000000005</v>
      </c>
      <c r="T314" s="3">
        <f>0+(830.8-202.8)+(0+(-0.423708--0.103428))+0-0-0</f>
        <v>627.67971999999997</v>
      </c>
      <c r="U314" s="3">
        <f>0+(771.4-158.6)+(0+(-0.393414--0.080886))+0-0-0</f>
        <v>612.48747199999991</v>
      </c>
      <c r="V314" s="3">
        <f>0+(790.2-175.7)+(0+(-1.209006--0.268821))+0-0-0</f>
        <v>613.55981499999996</v>
      </c>
      <c r="W314" s="3">
        <f>0+(829.2-169.9)+(0+(-1.691568--0.346596))+0-0-0</f>
        <v>657.95502800000008</v>
      </c>
      <c r="X314" s="3">
        <f>0+(1013.3-274.6)+(0+(-2.067132--0.560184))+0-0-0</f>
        <v>737.19305199999997</v>
      </c>
      <c r="Y314" s="3">
        <f>0+(992.1-261.1)+(0+(-1.517913--0.399483))+0-0-0</f>
        <v>729.88157000000001</v>
      </c>
      <c r="Z314" s="3">
        <f>0+(977.8-249.7)+(0+(-0.997356--0.254694))+0-0-0</f>
        <v>727.35733799999991</v>
      </c>
      <c r="AA314" s="3">
        <f>0+(1027.3-312.2)+(0+(-0.523923--0.159222))+0-0-0</f>
        <v>714.73529899999994</v>
      </c>
      <c r="AB314" s="3">
        <f>0+(1082.3-376.2)+(0+(-1.103946--0.383724))+0-0-0</f>
        <v>705.37977799999987</v>
      </c>
      <c r="AC314" s="3">
        <f>0+(1020.6-337.8)+(0+(-3.643542--1.205946))+0-0-0</f>
        <v>680.36240399999997</v>
      </c>
      <c r="AD314">
        <f t="shared" si="4"/>
        <v>15739.165904000003</v>
      </c>
      <c r="AE314" s="3">
        <f>0+(1033.9-281.9)+(0+(0-0))+0-0-0</f>
        <v>752.00000000000011</v>
      </c>
    </row>
    <row r="315" spans="1:31" s="2" customFormat="1" x14ac:dyDescent="0.25">
      <c r="A315">
        <v>89</v>
      </c>
      <c r="B315">
        <v>11</v>
      </c>
      <c r="C315">
        <v>9</v>
      </c>
      <c r="D315">
        <v>1</v>
      </c>
      <c r="E315">
        <v>1</v>
      </c>
      <c r="F315" s="3">
        <f>0+(937.7-309.2)+(0+(0-0))+0-0-0</f>
        <v>628.5</v>
      </c>
      <c r="G315" s="3">
        <f>0+(843.9-231.5)+(0+(-3.012723--0.826455))+0-0-0</f>
        <v>610.21373199999994</v>
      </c>
      <c r="H315" s="3">
        <f>0+(839.9-239.9)+(0+(-0.428349--0.122349))+0-0-0</f>
        <v>599.69399999999996</v>
      </c>
      <c r="I315" s="3">
        <f>0+(818.9-217.5)+(0+(-1.252917--0.332775))+0-0-0</f>
        <v>600.47985799999992</v>
      </c>
      <c r="J315" s="3">
        <f>0+(796.3-195.8)+(0+(0-0))+0-0-0</f>
        <v>600.5</v>
      </c>
      <c r="K315" s="3">
        <f>0+(780.4-178)+(0+(0-0))+0-0-0</f>
        <v>602.4</v>
      </c>
      <c r="L315" s="3">
        <f>0+(909.9-258.8)+(0+(0-0))+0-0-0</f>
        <v>651.09999999999991</v>
      </c>
      <c r="M315" s="3">
        <f>0+(894-197)+(0+(-2.2797--0.50235))+0-0-0</f>
        <v>695.22265000000004</v>
      </c>
      <c r="N315" s="3">
        <f>0+(875.5-131.6)+(0+(0.446505-0.067116))+0-0-0</f>
        <v>744.27938899999992</v>
      </c>
      <c r="O315" s="3">
        <f>0+(920.2-147)+(0+(-0.469302--0.07497))+0-0-0</f>
        <v>772.80566800000008</v>
      </c>
      <c r="P315" s="3">
        <f>0+(945.5-154.6)+(0+(-0.96441--0.157692))+0-0-0</f>
        <v>790.09328199999993</v>
      </c>
      <c r="Q315" s="3">
        <f>0+(986.9-176.4)+(0+(-2.516595--0.44982))+0-0-0</f>
        <v>808.43322499999999</v>
      </c>
      <c r="R315" s="3">
        <f>0+(1014.9-221)+(0+(0-0))+0-0-0</f>
        <v>793.9</v>
      </c>
      <c r="S315" s="3">
        <f>0+(1018.8-238.3)+(0+(-2.078352--0.486132))+0-0-0</f>
        <v>778.90778</v>
      </c>
      <c r="T315" s="3">
        <f>0+(991.9-213.2)+(0+(1.517607-0.326196))+0-0-0</f>
        <v>779.89141100000006</v>
      </c>
      <c r="U315" s="3">
        <f>0+(982.4-216.2)+(0+(-1.503072--0.330786))+0-0-0</f>
        <v>765.02771400000006</v>
      </c>
      <c r="V315" s="3">
        <f>0+(1021-251.4)+(0+(1.56213-0.384642))+0-0-0</f>
        <v>770.77748800000006</v>
      </c>
      <c r="W315" s="3">
        <f>0+(1023.2-228.9)+(0+(-1.565496--0.350217))+0-0-0</f>
        <v>793.08472100000006</v>
      </c>
      <c r="X315" s="3">
        <f>0+(1116.8-278.1)+(0+(-3.417408--0.850986))+0-0-0</f>
        <v>836.13357799999994</v>
      </c>
      <c r="Y315" s="3">
        <f>0+(1124.4-287.3)+(0+(-4.014108--1.025661))+0-0-0</f>
        <v>834.11155300000019</v>
      </c>
      <c r="Z315" s="3">
        <f>0+(1097.5-282.5)+(0+(0.559725-0.144075))+0-0-0</f>
        <v>815.41565000000003</v>
      </c>
      <c r="AA315" s="3">
        <f>0+(1124.8-327.4)+(0+(-0.573648--0.166974))+0-0-0</f>
        <v>796.99332600000002</v>
      </c>
      <c r="AB315" s="3">
        <f>0+(1059.2-279.1)+(0+(-0.540192--0.142341))+0-0-0</f>
        <v>779.70214900000008</v>
      </c>
      <c r="AC315" s="3">
        <f>0+(988.6-234.7)+(0+(-0.504186--0.119697))+0-0-0</f>
        <v>753.51551100000006</v>
      </c>
      <c r="AD315">
        <f t="shared" si="4"/>
        <v>17601.182685000003</v>
      </c>
      <c r="AE315" s="3">
        <f>0+(1143.2-302.1)+(0+(0-0))+0-0-0</f>
        <v>841.1</v>
      </c>
    </row>
    <row r="316" spans="1:31" s="2" customFormat="1" x14ac:dyDescent="0.25">
      <c r="A316">
        <v>89</v>
      </c>
      <c r="B316">
        <v>11</v>
      </c>
      <c r="C316">
        <v>10</v>
      </c>
      <c r="D316">
        <v>2</v>
      </c>
      <c r="E316">
        <v>1</v>
      </c>
      <c r="F316" s="3">
        <f>0+(910.4-194.6)+(0+(0.464304-0.099246))+0-0-0</f>
        <v>716.16505799999993</v>
      </c>
      <c r="G316" s="3">
        <f>0+(774.6-89.6)+(0+(0-0))+0-0-0</f>
        <v>685</v>
      </c>
      <c r="H316" s="3">
        <f>0+(706-38.5)+(0+(-1.08018--0.058905))+0-0-0</f>
        <v>666.47872500000005</v>
      </c>
      <c r="I316" s="3">
        <f>0+(686.4-26.6)+(0+(-1.75032--0.06783))+0-0-0</f>
        <v>658.11750999999992</v>
      </c>
      <c r="J316" s="3">
        <f>0+(686.1-38.3)+(0+(0.699822-0.039066))+0-0-0</f>
        <v>648.46075600000006</v>
      </c>
      <c r="K316" s="3">
        <f>0+(704.2-58.9)+(0+(-1.436568--0.120156))+0-0-0</f>
        <v>643.98358800000005</v>
      </c>
      <c r="L316" s="3">
        <f>0+(786.1-110.2)+(0+(1.603644-0.224808))+0-0-0</f>
        <v>677.27883599999996</v>
      </c>
      <c r="M316" s="3">
        <f>0+(836.7-122.7)+(0+(0.426717-0.062577))+0-0-0</f>
        <v>714.36414000000002</v>
      </c>
      <c r="N316" s="3">
        <f>0+(853.4-105)+(0+(-2.17617--0.26775))+0-0-0</f>
        <v>746.49158</v>
      </c>
      <c r="O316" s="3">
        <f>0+(863.3-92.9)+(0+(0.440283-0.047379))+0-0-0</f>
        <v>770.79290400000002</v>
      </c>
      <c r="P316" s="3">
        <f>0+(898.4-105.8)+(0+(-0.916368--0.107916))+0-0-0</f>
        <v>791.79154800000003</v>
      </c>
      <c r="Q316" s="3">
        <f>0+(927.4-129.9)+(0+(0-0))+0-0-0</f>
        <v>797.5</v>
      </c>
      <c r="R316" s="3">
        <f>0+(926.1-139.5)+(0+(-1.416933--0.213435))+0-0-0</f>
        <v>785.39650200000005</v>
      </c>
      <c r="S316" s="3">
        <f>0+(916.2-160.4)+(0+(-0.934524--0.163608))+7.9-0-0</f>
        <v>762.92908399999999</v>
      </c>
      <c r="T316" s="3">
        <f>0+(907-163.7)+(0+(-0.92514--0.166974))+10.8-0-0</f>
        <v>753.34183399999995</v>
      </c>
      <c r="U316" s="3">
        <f>0+(891.1-140.8)+(0+(0.454461-0.071808))+0-0-0</f>
        <v>750.68265299999996</v>
      </c>
      <c r="V316" s="3">
        <f>9.2+(887.2-148.1)+(-0.009384+(-0.904944--0.151062))+0-0-0</f>
        <v>747.53673400000002</v>
      </c>
      <c r="W316" s="3">
        <f>97.1+(816.8-139.5)+(0+(0-0))+0-0-0</f>
        <v>774.4</v>
      </c>
      <c r="X316" s="3">
        <f>127.8+(972.2-271)+(-0.130356+(-0.991644--0.27642))+0-0-0</f>
        <v>828.15441999999996</v>
      </c>
      <c r="Y316" s="3">
        <f>128+(981-288.6)+(-0.19584+(-1.50093--0.441558))+0-0-0</f>
        <v>819.14478799999995</v>
      </c>
      <c r="Z316" s="3">
        <f>12.2+(1038.5-251.1)+(-0.024888+(-2.11854--0.512244))+0-0-0</f>
        <v>797.96881600000006</v>
      </c>
      <c r="AA316" s="3">
        <f>0+(1093.8-306.9)+(0+(-0.557838--0.156519))+0-0-0</f>
        <v>786.49868100000003</v>
      </c>
      <c r="AB316" s="3">
        <f>0+(1056.8-281.8)+(0+(-2.155872--0.574872))+0-0-0</f>
        <v>773.41899999999998</v>
      </c>
      <c r="AC316" s="3">
        <f>0+(984.9-243.5)+(0+(-1.004598--0.24837))+0-0-0</f>
        <v>740.64377200000001</v>
      </c>
      <c r="AD316">
        <f t="shared" si="4"/>
        <v>17836.540928999999</v>
      </c>
      <c r="AE316" s="3">
        <f>135+(937.2-247.8)+(0+(0-0))+0-0-0</f>
        <v>824.40000000000009</v>
      </c>
    </row>
    <row r="317" spans="1:31" s="2" customFormat="1" x14ac:dyDescent="0.25">
      <c r="A317">
        <v>89</v>
      </c>
      <c r="B317">
        <v>11</v>
      </c>
      <c r="C317">
        <v>11</v>
      </c>
      <c r="D317">
        <v>3</v>
      </c>
      <c r="E317">
        <v>1</v>
      </c>
      <c r="F317" s="3">
        <f>0+(914.2-201.1)+(0+(-2.33121--0.512805))+0-0-0</f>
        <v>711.28159500000004</v>
      </c>
      <c r="G317" s="3">
        <f>0+(804.6-117.6)+(0+(-1.641384--0.239904))+0-0-0</f>
        <v>685.59852000000001</v>
      </c>
      <c r="H317" s="3">
        <f>0+(767.1-92.2)+(0+(-1.564884--0.188088))+0-0-0</f>
        <v>673.52320399999996</v>
      </c>
      <c r="I317" s="3">
        <f>0+(744.9-62.5)+(0+(-1.899495--0.159375))+0-0-0</f>
        <v>680.65987999999993</v>
      </c>
      <c r="J317" s="3">
        <f>0+(752.9-77.3)+(0+(1.535916-0.157692))+0-0-0</f>
        <v>676.97822400000007</v>
      </c>
      <c r="K317" s="3">
        <f>0+(763.4-89.1)+(0+(1.94667-0.227205))+0-0-0</f>
        <v>676.01946499999997</v>
      </c>
      <c r="L317" s="3">
        <f>0+(863.2-162.2)+(0+(1.320696-0.248166))+0-0-0</f>
        <v>702.07253000000003</v>
      </c>
      <c r="M317" s="3">
        <f>0+(896-171.9)+(0+(1.37088-0.263007))+0-0-0</f>
        <v>725.20787300000006</v>
      </c>
      <c r="N317" s="3">
        <f>0+(855.9-98.7)+(0+(0.873018-0.100674))+0-0-0</f>
        <v>757.97234399999991</v>
      </c>
      <c r="O317" s="3">
        <f>0+(888-95.4)+(0+(-1.81152--0.194616))+0-0-0</f>
        <v>790.98309600000005</v>
      </c>
      <c r="P317" s="3">
        <f>0+(937-123.9)+(0+(1.43361-0.189567))+0-0-0</f>
        <v>814.34404300000006</v>
      </c>
      <c r="Q317" s="3">
        <f>0+(963.8-150.7)+(0+(-1.474614--0.230571))+0-0-0</f>
        <v>811.85595699999988</v>
      </c>
      <c r="R317" s="3">
        <f>0+(916.3-132.5)+(0+(-3.271191--0.473025))+0-0-0</f>
        <v>781.00183399999992</v>
      </c>
      <c r="S317" s="3">
        <f>0+(906.8-144.4)+(0+(-0.462468--0.073644))+0-0-0</f>
        <v>762.01117599999998</v>
      </c>
      <c r="T317" s="3">
        <f>0+(881.1-121.1)+(0+(-1.348083--0.185283))+0-0-0</f>
        <v>758.83720000000005</v>
      </c>
      <c r="U317" s="3">
        <f>0+(898.3-142.7)+(0+(-1.374399--0.218331))+0-0-0</f>
        <v>754.4439319999999</v>
      </c>
      <c r="V317" s="3">
        <f>0+(914.8-169.8)+(0+(-2.799288--0.519588))+0-0-0</f>
        <v>742.72029999999995</v>
      </c>
      <c r="W317" s="3">
        <f>0+(864-89.9)+(0+(-3.08448--0.320943))+0-0-0</f>
        <v>771.33646299999998</v>
      </c>
      <c r="X317" s="3">
        <f>0+(1027.5-200.5)+(0+(-3.14415--0.61353))+0-0-0</f>
        <v>824.46938</v>
      </c>
      <c r="Y317" s="3">
        <f>0+(1021.2-199.8)+(0+(1.041624-0.203796))+0-0-0</f>
        <v>822.23782800000004</v>
      </c>
      <c r="Z317" s="3">
        <f>0+(965.1-169.6)+(0+(-0.984402--0.172992))+0-0-0</f>
        <v>794.68858999999998</v>
      </c>
      <c r="AA317" s="3">
        <f>0+(972.8-210.4)+(0+(-1.984512--0.429216))+0-0-0</f>
        <v>760.84470399999998</v>
      </c>
      <c r="AB317" s="3">
        <f>0+(926.2-171.3)+(0+(-2.834172--0.524178))+0-0-0</f>
        <v>752.59000600000013</v>
      </c>
      <c r="AC317" s="3">
        <f>0+(859.1-122.2)+(0+(-3.505128--0.498576))+0-0-0</f>
        <v>733.89344799999992</v>
      </c>
      <c r="AD317">
        <f t="shared" si="4"/>
        <v>17965.571592</v>
      </c>
      <c r="AE317" s="3">
        <f>0+(1038.7-217.4)+(0+(0-0))+0-0-0</f>
        <v>821.30000000000007</v>
      </c>
    </row>
    <row r="318" spans="1:31" s="2" customFormat="1" x14ac:dyDescent="0.25">
      <c r="A318">
        <v>89</v>
      </c>
      <c r="B318">
        <v>11</v>
      </c>
      <c r="C318">
        <v>12</v>
      </c>
      <c r="D318">
        <v>4</v>
      </c>
      <c r="E318">
        <v>1</v>
      </c>
      <c r="F318" s="3">
        <f>0+(847.2-147.6)+(0+(-0.864144--0.150552))+0-0-0</f>
        <v>698.88640800000007</v>
      </c>
      <c r="G318" s="3">
        <f>0+(794-124)+(0+(-2.42964--0.37944))+0-0-0</f>
        <v>667.94979999999998</v>
      </c>
      <c r="H318" s="3">
        <f>0+(743-100.6)+(0+(-1.13679--0.153918))+0-0-0</f>
        <v>641.41712799999993</v>
      </c>
      <c r="I318" s="3">
        <f>0+(752-104)+(0+(0-0))+0-0-0</f>
        <v>648</v>
      </c>
      <c r="J318" s="3">
        <f>0+(755-109.2)+(0+(-1.92525--0.27846))+0-0-0</f>
        <v>644.15320999999994</v>
      </c>
      <c r="K318" s="3">
        <f>0+(811.4-164.2)+(0+(-1.655256--0.334968))+0-0-0</f>
        <v>645.87971200000004</v>
      </c>
      <c r="L318" s="3">
        <f>0+(864.2-189.9)+(0+(-2.20371--0.484245))+0-0-0</f>
        <v>672.58053500000005</v>
      </c>
      <c r="M318" s="3">
        <f>0+(847.8-150.7)+(0+(1.297134-0.230571))+0-0-0</f>
        <v>698.16656299999988</v>
      </c>
      <c r="N318" s="3">
        <f>0+(906.4-68.5)+(0+(-0.462264--0.034935))+0-0-0</f>
        <v>837.47267099999999</v>
      </c>
      <c r="O318" s="3">
        <f>0+(923.2-148.4)+(0+(0.470832-0.075684))+0-0-0</f>
        <v>775.19514800000002</v>
      </c>
      <c r="P318" s="3">
        <f>0+(995.4-205.2)+(0+(-1.522962--0.313956))+0-0-0</f>
        <v>788.990994</v>
      </c>
      <c r="Q318" s="3">
        <f>0+(1033.3-225.8)+(0+(-2.107932--0.460632))+0-0-0</f>
        <v>805.85270000000003</v>
      </c>
      <c r="R318" s="3">
        <f>0+(1048.6-258)+(0+(-1.604358--0.39474))+0-0-0</f>
        <v>789.39038199999993</v>
      </c>
      <c r="S318" s="3">
        <f>0+(978.5-216.2)+(0+(-0.499035--0.110262))+0-0-0</f>
        <v>761.91122699999994</v>
      </c>
      <c r="T318" s="3">
        <f>0+(943.8-190.6)+(0+(0.481338-0.097206))+0-0-0</f>
        <v>753.58413199999995</v>
      </c>
      <c r="U318" s="3">
        <f>0+(924.1-181.5)+(0+(-1.413873--0.277695))+0-0-0</f>
        <v>741.46382200000005</v>
      </c>
      <c r="V318" s="3">
        <f>0+(926.8-180.6)+(0+(0-0))+0-0-0</f>
        <v>746.19999999999993</v>
      </c>
      <c r="W318" s="3">
        <f>0+(859.4-101.9)+(0+(-0.876588--0.103938))+0-0-0</f>
        <v>756.72735</v>
      </c>
      <c r="X318" s="3">
        <f>0+(1021.8-207.4)+(0+(-3.126708--0.634644))+0-0-0</f>
        <v>811.90793599999995</v>
      </c>
      <c r="Y318" s="3">
        <f>0+(1034.1-238.9)+(0+(-1.582173--0.365517))+0-0-0</f>
        <v>793.98334399999999</v>
      </c>
      <c r="Z318" s="3">
        <f>0+(1016.6-241.1)+(0+(-1.036932--0.245922))+0-0-0</f>
        <v>774.70898999999997</v>
      </c>
      <c r="AA318" s="3">
        <f>0+(1033.9-278.6)+(0+(-1.054578--0.284172))+0-0-0</f>
        <v>754.52959400000009</v>
      </c>
      <c r="AB318" s="3">
        <f>0+(1013.7-269.2)+(0+(-1.550961--0.411876))+0-0-0</f>
        <v>743.36091499999998</v>
      </c>
      <c r="AC318" s="3">
        <f>0+(1037.2-313)+(0+(-1.057944--0.31926))+0-0-0</f>
        <v>723.46131600000001</v>
      </c>
      <c r="AD318">
        <f t="shared" si="4"/>
        <v>17675.773877</v>
      </c>
      <c r="AE318" s="3">
        <f>0+(1048.4-239.5)+(0+(0-0))+0-0-0</f>
        <v>808.90000000000009</v>
      </c>
    </row>
    <row r="319" spans="1:31" s="2" customFormat="1" x14ac:dyDescent="0.25">
      <c r="A319">
        <v>89</v>
      </c>
      <c r="B319">
        <v>11</v>
      </c>
      <c r="C319">
        <v>13</v>
      </c>
      <c r="D319">
        <v>5</v>
      </c>
      <c r="E319">
        <v>5</v>
      </c>
      <c r="F319" s="3">
        <f>0+(998.9-306.7)+(0+(-1.528317--0.469251))+0-0-0</f>
        <v>691.14093400000002</v>
      </c>
      <c r="G319" s="3">
        <f>0+(914.3-251.9)+(0+(0.466293-0.128469))+0-0-0</f>
        <v>662.73782399999993</v>
      </c>
      <c r="H319" s="3">
        <f>0+(853.8-207.1)+(0+(-0.870876--0.211242))+0-0-0</f>
        <v>646.04036599999995</v>
      </c>
      <c r="I319" s="3">
        <f>0+(824.1-187.3)+(0+(0.840582-0.191046))+0-0-0</f>
        <v>637.44953599999997</v>
      </c>
      <c r="J319" s="3">
        <f>0+(813.3-190.7)+(0+(0.829566-0.194514))+0-0-0</f>
        <v>623.23505199999988</v>
      </c>
      <c r="K319" s="3">
        <f>0+(789.7-180.2)+(0+(1.208241-0.275706))+0-0-0</f>
        <v>610.43253500000003</v>
      </c>
      <c r="L319" s="3">
        <f>0+(829.1-222.3)+(0+(0-0))+0-0-0</f>
        <v>606.79999999999995</v>
      </c>
      <c r="M319" s="3">
        <f>0+(853.8-268.8)+(0+(-2.17719--0.68544))+0-0-0</f>
        <v>583.50824999999998</v>
      </c>
      <c r="N319" s="3">
        <f>0+(828.5-242.4)+(0+(-0.422535--0.123624))+0-0-0</f>
        <v>585.80108900000005</v>
      </c>
      <c r="O319" s="3">
        <f>0+(869.4-258.8)+(0+(1.330182-0.395964))+0-0-0</f>
        <v>611.5342179999999</v>
      </c>
      <c r="P319" s="3">
        <f>0+(882.7-259.4)+(0+(-2.701062--0.793764))+0-0-0</f>
        <v>621.3927020000001</v>
      </c>
      <c r="Q319" s="3">
        <f>0+(947.3-323.5)+(0+(-1.449369--0.494955))+0-0-0</f>
        <v>622.84558599999991</v>
      </c>
      <c r="R319" s="3">
        <f>0+(954.6-318.4)+(0+(0-0))+0-0-0</f>
        <v>636.20000000000005</v>
      </c>
      <c r="S319" s="3">
        <f>0+(942.2-327.4)+(0+(-0.961044--0.333948))+0-0-0</f>
        <v>614.17290400000002</v>
      </c>
      <c r="T319" s="3">
        <f>0+(929.4-314.1)+(0+(-1.421982--0.480573))+0-0-0</f>
        <v>614.35859099999993</v>
      </c>
      <c r="U319" s="3">
        <f>0+(914-298.4)+(0+(-1.86456--0.608736))+0-0-0</f>
        <v>614.34417600000006</v>
      </c>
      <c r="V319" s="3">
        <f>0+(931.1-312.3)+(0+(0-0))+0-0-0</f>
        <v>618.79999999999995</v>
      </c>
      <c r="W319" s="3">
        <f>0+(929.5-279.6)+(0+(0-0))+0-0-0</f>
        <v>649.9</v>
      </c>
      <c r="X319" s="3">
        <f>0+(1040.8-319.3)+(0+(-2.123232--0.651372))+0-0-0</f>
        <v>720.02814000000001</v>
      </c>
      <c r="Y319" s="3">
        <f>0+(1069.7-342)+(0+(-1.091094--0.34884))+0-0-0</f>
        <v>726.95774600000004</v>
      </c>
      <c r="Z319" s="3">
        <f>0+(1072.3-355.5)+(0+(0-0))+0-0-0</f>
        <v>716.8</v>
      </c>
      <c r="AA319" s="3">
        <f>0+(1113.3-408.5)+(0+(0.567783-0.208335))+0-0-0</f>
        <v>705.159448</v>
      </c>
      <c r="AB319" s="3">
        <f>0+(1087.1-385.9)+(0+(-0.554421--0.196809))+0-0-0</f>
        <v>700.84238799999991</v>
      </c>
      <c r="AC319" s="3">
        <f>0+(1076.8-402.7)+(0+(-3.295008--1.232262))+0-0-0</f>
        <v>672.03725399999996</v>
      </c>
      <c r="AD319">
        <f t="shared" si="4"/>
        <v>15492.518738999997</v>
      </c>
      <c r="AE319" s="3">
        <f>0+(1058.7-323.5)+(0+(0-0))+0-0-0</f>
        <v>735.2</v>
      </c>
    </row>
    <row r="320" spans="1:31" s="2" customFormat="1" x14ac:dyDescent="0.25">
      <c r="A320">
        <v>89</v>
      </c>
      <c r="B320">
        <v>11</v>
      </c>
      <c r="C320">
        <v>14</v>
      </c>
      <c r="D320">
        <v>6</v>
      </c>
      <c r="E320">
        <v>6</v>
      </c>
      <c r="F320" s="3">
        <f>0+(1016.7-384)+(0+(-0.518517--0.19584))+0-0-0</f>
        <v>632.37732300000005</v>
      </c>
      <c r="G320" s="3">
        <f>0+(930.5-318)+(0+(0-0))+0-0-0</f>
        <v>612.5</v>
      </c>
      <c r="H320" s="3">
        <f>0+(874.3-268.8)+(0+(-2.675358--0.822528))+0-0-0</f>
        <v>603.64716999999996</v>
      </c>
      <c r="I320" s="3">
        <f>0+(813.6-215.2)+(0+(1.659744-0.439008))+0-0-0</f>
        <v>599.62073600000008</v>
      </c>
      <c r="J320" s="3">
        <f>0+(814.7-214.9)+(0+(0.415497-0.109599))+0-0-0</f>
        <v>600.10589800000002</v>
      </c>
      <c r="K320" s="3">
        <f>0+(822.2-223.4)+(0+(1.677288-0.455736))+0-0-0</f>
        <v>600.02155200000004</v>
      </c>
      <c r="L320" s="3">
        <f>0+(845.1-223)+(0+(0.431001-0.11373))+0-0-0</f>
        <v>622.41727100000003</v>
      </c>
      <c r="M320" s="3">
        <f>0+(832.1-211.7)+(0+(-0.424371--0.107967))+0-0-0</f>
        <v>620.08359600000006</v>
      </c>
      <c r="N320" s="3">
        <f>0+(819-172.8)+(0+(-0.41769--0.088128))+0-0-0</f>
        <v>645.87043800000004</v>
      </c>
      <c r="O320" s="3">
        <f>0+(814.7-136.1)+(0+(0.830994-0.138822))+0-0-0</f>
        <v>679.29217200000005</v>
      </c>
      <c r="P320" s="3">
        <f>0+(866.6-174.5)+(0+(-0.441966--0.088995))+0-0-0</f>
        <v>691.747029</v>
      </c>
      <c r="Q320" s="3">
        <f>0+(895.5-187.5)+(0+(0-0))+0-0-0</f>
        <v>708</v>
      </c>
      <c r="R320" s="3">
        <f>0+(837.9-173.9)+(0+(-1.281987--0.266067))+0-0-0</f>
        <v>662.98407999999995</v>
      </c>
      <c r="S320" s="3">
        <f>0+(783.1-161.3)+(0+(-1.996905--0.411315))+0-0-0</f>
        <v>620.21440999999993</v>
      </c>
      <c r="T320" s="3">
        <f>0+(824.2-167.5)+(0+(-1.261026--0.256275))+0-0-0</f>
        <v>655.69524899999999</v>
      </c>
      <c r="U320" s="3">
        <f>0+(817.4-163.9)+(0+(-3.751866--0.752301))+0-0-0</f>
        <v>650.50043500000004</v>
      </c>
      <c r="V320" s="3">
        <f>0+(855.9-198.2)+(0+(-0.873018--0.202164))+0-0-0</f>
        <v>657.02914600000008</v>
      </c>
      <c r="W320" s="3">
        <f>0+(782.3-98)+(0+(0.398973-0.04998))+0-0-0</f>
        <v>684.6489929999999</v>
      </c>
      <c r="X320" s="3">
        <f>0+(905.7-158.7)+(0+(-1.385721--0.242811))+0-0-0</f>
        <v>745.85708999999997</v>
      </c>
      <c r="Y320" s="3">
        <f>0+(907.2-167.1)+(0+(-2.31336--0.426105))+0-0-0</f>
        <v>738.21274500000004</v>
      </c>
      <c r="Z320" s="3">
        <f>0+(855.7-127.2)+(0+(-1.309221--0.194616))+0-0-0</f>
        <v>727.38539500000002</v>
      </c>
      <c r="AA320" s="3">
        <f>0+(929.4-210.2)+(0+(-1.421982--0.321606))+0-0-0</f>
        <v>718.09962400000006</v>
      </c>
      <c r="AB320" s="3">
        <f>0+(971-261.1)+(0+(-0.49521--0.133161))+0-0-0</f>
        <v>709.53795100000002</v>
      </c>
      <c r="AC320" s="3">
        <f>0+(921.1-233.7)+(0+(-0.939522--0.238374))+0-0-0</f>
        <v>686.6988520000001</v>
      </c>
      <c r="AD320">
        <f t="shared" si="4"/>
        <v>15872.547155000004</v>
      </c>
      <c r="AE320" s="3">
        <f>0+(878.9-153.2)+(0+(0-0))+0-0-0</f>
        <v>725.7</v>
      </c>
    </row>
    <row r="321" spans="1:31" s="2" customFormat="1" x14ac:dyDescent="0.25">
      <c r="A321">
        <v>89</v>
      </c>
      <c r="B321">
        <v>11</v>
      </c>
      <c r="C321">
        <v>15</v>
      </c>
      <c r="D321">
        <v>7</v>
      </c>
      <c r="E321">
        <v>5</v>
      </c>
      <c r="F321" s="3">
        <f>0+(856.7-196.9)+(0+(-0.436917--0.100419))+0-0-0</f>
        <v>659.46350200000006</v>
      </c>
      <c r="G321" s="3">
        <f>0+(825.3-192.8)+(0+(-0.420903--0.098328))+0-0-0</f>
        <v>632.17742499999997</v>
      </c>
      <c r="H321" s="3">
        <f>0+(774.7-168)+(0+(-1.580388--0.34272))+0-0-0</f>
        <v>605.46233200000006</v>
      </c>
      <c r="I321" s="3">
        <f>0+(756.2-151.4)+(0+(-1.542648--0.308856))+0-0-0</f>
        <v>603.56620800000007</v>
      </c>
      <c r="J321" s="3">
        <f>0+(758.7-158.1)+(0+(0-0))+0-0-0</f>
        <v>600.6</v>
      </c>
      <c r="K321" s="3">
        <f>0+(753.1-159.1)+(0+(1.920405-0.405705))+0-0-0</f>
        <v>595.51469999999995</v>
      </c>
      <c r="L321" s="3">
        <f>0+(787.9-196.8)+(0+(-0.803658--0.200736))+0-0-0</f>
        <v>590.49707799999987</v>
      </c>
      <c r="M321" s="3">
        <f>0+(798.3-239.6)+(0+(-0.407133--0.122196))+0-0-0</f>
        <v>558.41506299999992</v>
      </c>
      <c r="N321" s="3">
        <f>0+(809.1-249.1)+(0+(-0.412641--0.127041))+0-0-0</f>
        <v>559.71439999999996</v>
      </c>
      <c r="O321" s="3">
        <f>0+(873.6-270.9)+(0+(-0.891072--0.276318))+0-0-0</f>
        <v>602.0852460000001</v>
      </c>
      <c r="P321" s="3">
        <f>0+(938-339.9)+(0+(-3.34866--1.213443))+0-0-0</f>
        <v>595.96478300000001</v>
      </c>
      <c r="Q321" s="3">
        <f>0+(934.8-327.8)+(0+(0-0))+0-0-0</f>
        <v>607</v>
      </c>
      <c r="R321" s="3">
        <f>0+(934.4-314.5)+(0+(0-0))+0-0-0</f>
        <v>619.9</v>
      </c>
      <c r="S321" s="3">
        <f>0+(915.2-308.5)+(0+(-0.466752--0.157335))+0-0-0</f>
        <v>606.39058299999999</v>
      </c>
      <c r="T321" s="3">
        <f>0+(892.8-293.6)+(0+(-0.910656--0.299472))+0-0-0</f>
        <v>598.58881599999995</v>
      </c>
      <c r="U321" s="3">
        <f>0+(898.5-303.7)+(0+(-0.91647--0.309774))+0-0-0</f>
        <v>594.1933039999999</v>
      </c>
      <c r="V321" s="3">
        <f>0+(878.2-281.6)+(0+(-0.447882--0.143616))+0-0-0</f>
        <v>596.29573400000004</v>
      </c>
      <c r="W321" s="3">
        <f>0+(887.8-243.8)+(0+(-0.905556--0.248676))+0-0-0</f>
        <v>643.34312</v>
      </c>
      <c r="X321" s="3">
        <f>0+(1052.6-341.8)+(0+(-1.073652--0.348636))+0-0-0</f>
        <v>710.07498399999997</v>
      </c>
      <c r="Y321" s="3">
        <f>0+(1023.5-318.8)+(0+(-0.521985--0.162588))+0-0-0</f>
        <v>704.3406030000001</v>
      </c>
      <c r="Z321" s="3">
        <f>0+(1006.6-292.9)+(0+(-1.540098--0.448137))+0-0-0</f>
        <v>712.60803900000008</v>
      </c>
      <c r="AA321" s="3">
        <f>0+(1030.2-343.3)+(0+(0-0))+0-0-0</f>
        <v>686.90000000000009</v>
      </c>
      <c r="AB321" s="3">
        <f>0+(1035.7-339.6)+(0+(-2.641035--0.86598))+0-0-0</f>
        <v>694.32494500000007</v>
      </c>
      <c r="AC321" s="3">
        <f>0+(1014.8-351.7)+(0+(-2.58774--0.896835))+0-0-0</f>
        <v>661.40909499999987</v>
      </c>
      <c r="AD321">
        <f t="shared" ref="AD321:AD365" si="5">SUM(F321:AC321)</f>
        <v>15038.829959999999</v>
      </c>
      <c r="AE321" s="3">
        <f>0+(1063.4-372.5)+(0+(0-0))+0-0-0</f>
        <v>690.90000000000009</v>
      </c>
    </row>
    <row r="322" spans="1:31" s="2" customFormat="1" x14ac:dyDescent="0.25">
      <c r="A322">
        <v>89</v>
      </c>
      <c r="B322">
        <v>11</v>
      </c>
      <c r="C322">
        <v>16</v>
      </c>
      <c r="D322">
        <v>1</v>
      </c>
      <c r="E322">
        <v>1</v>
      </c>
      <c r="F322" s="3">
        <f>0+(899.3-273.6)+(0+(-0.458643--0.139536))+0-0-0</f>
        <v>625.3808929999999</v>
      </c>
      <c r="G322" s="3">
        <f>0+(807.3-205.9)+(0+(1.235169-0.315027))+0-0-0</f>
        <v>602.32014200000003</v>
      </c>
      <c r="H322" s="3">
        <f>0+(751.9-153.6)+(0+(-1.533876--0.313344))+0-0-0</f>
        <v>597.07946799999991</v>
      </c>
      <c r="I322" s="3">
        <f>0+(745.3-146.5)+(0+(-1.140309--0.224145))+0-0-0</f>
        <v>597.88383599999997</v>
      </c>
      <c r="J322" s="3">
        <f>0+(728.8-133.7)+(0+(-1.115064--0.204561))+0-0-0</f>
        <v>594.18949699999996</v>
      </c>
      <c r="K322" s="3">
        <f>0+(745.8-148.1)+(0+(0-0))+0-0-0</f>
        <v>597.69999999999993</v>
      </c>
      <c r="L322" s="3">
        <f>0+(812.3-177)+(0+(0.414273-0.09027))+0-0-0</f>
        <v>635.6240029999999</v>
      </c>
      <c r="M322" s="3">
        <f>0+(852.5-182.9)+(0+(-0.434775--0.093279))+0-0-0</f>
        <v>669.25850400000002</v>
      </c>
      <c r="N322" s="3">
        <f>0+(905.7-188.1)+(0+(0.923814-0.191862))+0-0-0</f>
        <v>718.331952</v>
      </c>
      <c r="O322" s="3">
        <f>0+(968.1-206)+(0+(0.987462-0.21012))+0-0-0</f>
        <v>762.877342</v>
      </c>
      <c r="P322" s="3">
        <f>87.9+(916-228.6)+(0.179316+(1.86864-0.466344))+0-0-0</f>
        <v>776.8816119999999</v>
      </c>
      <c r="Q322" s="3">
        <f>140.1+(896.8-254)+(-0.357255+(-2.28684--0.6477))+0-0-0</f>
        <v>780.90360499999997</v>
      </c>
      <c r="R322" s="3">
        <f>139.8+(886.6-251.4)+(-0.213894+(-1.356498--0.384642))+0-0-0</f>
        <v>773.81425000000002</v>
      </c>
      <c r="S322" s="3">
        <f>106.6+(885.4-233.7)+(-0.217464+(-1.806216--0.476748))+0-0-0</f>
        <v>756.7530680000001</v>
      </c>
      <c r="T322" s="3">
        <f>55+(881.3-180.5)+(-0.0561+(-0.898926--0.18411))+0-0-0</f>
        <v>755.0290839999999</v>
      </c>
      <c r="U322" s="3">
        <f>78.8+(858.3-186.8)+(0.120564+(1.313199-0.285804))+0-0-0</f>
        <v>751.44795899999997</v>
      </c>
      <c r="V322" s="3">
        <f>139.3+(797.2-187.7)+(-0.213129+(-1.219716--0.287181))+0-0-0</f>
        <v>747.65433599999994</v>
      </c>
      <c r="W322" s="3">
        <f>140.2+(722.4-106.4)+(0+(0-0))+0-0-0</f>
        <v>756.2</v>
      </c>
      <c r="X322" s="3">
        <f>140.7+(902.2-213.7)+(-0.215271+(-1.380366--0.326961))+0-0-0</f>
        <v>827.93132400000002</v>
      </c>
      <c r="Y322" s="3">
        <f>141.3+(888.1-219.2)+(-0.072063+(-0.452931--0.111792))+0-0-0</f>
        <v>809.78679800000009</v>
      </c>
      <c r="Z322" s="3">
        <f>112.9+(869.9-190.5)+(-0.230316+(-1.774596--0.38862))+0-0-0</f>
        <v>790.68370799999991</v>
      </c>
      <c r="AA322" s="3">
        <f>50+(942-212.5)+(-0.0255+(-0.48042--0.108375))+0-0-0</f>
        <v>779.10245499999996</v>
      </c>
      <c r="AB322" s="3">
        <f>50+(928.7-212.8)+(-0.1275+(-2.368185--0.54264))+0-0-0</f>
        <v>763.94695500000012</v>
      </c>
      <c r="AC322" s="3">
        <f>44.1+(896.5-212.5)+(-0.089964+(-1.82886--0.4335))+0-0-0</f>
        <v>726.61467600000003</v>
      </c>
      <c r="AD322">
        <f t="shared" si="5"/>
        <v>17197.395466999998</v>
      </c>
      <c r="AE322" s="3">
        <f>141+(923.7-233.5)+(0+(0-0))+0-0-0</f>
        <v>831.2</v>
      </c>
    </row>
    <row r="323" spans="1:31" s="2" customFormat="1" x14ac:dyDescent="0.25">
      <c r="A323">
        <v>89</v>
      </c>
      <c r="B323">
        <v>11</v>
      </c>
      <c r="C323">
        <v>17</v>
      </c>
      <c r="D323">
        <v>2</v>
      </c>
      <c r="E323">
        <v>1</v>
      </c>
      <c r="F323" s="3">
        <f>0+(858.9-168.2)+(0+(-0.876078--0.171564))+0-0-0</f>
        <v>689.99548600000003</v>
      </c>
      <c r="G323" s="3">
        <f>0+(722.9-62)+(0+(-0.737358--0.06324))+0-0-0</f>
        <v>660.22588199999996</v>
      </c>
      <c r="H323" s="3">
        <f>0+(706.6-64.6)+(0+(-0.360366--0.032946))+0-0-0</f>
        <v>641.67258000000004</v>
      </c>
      <c r="I323" s="3">
        <f>0+(678.2-32.7)+(0+(1.72941-0.083385))+0-0-0</f>
        <v>647.14602500000001</v>
      </c>
      <c r="J323" s="3">
        <f>0+(703.3-60.3)+(0+(-1.076049--0.092259))+0-0-0</f>
        <v>642.01621</v>
      </c>
      <c r="K323" s="3">
        <f>0+(702-59.5)+(0+(0-0))+0-0-0</f>
        <v>642.5</v>
      </c>
      <c r="L323" s="3">
        <f>0+(752.4-81.5)+(0+(-0.767448--0.08313))+0-0-0</f>
        <v>670.21568200000002</v>
      </c>
      <c r="M323" s="3">
        <f>0+(773.3-82.2)+(0+(-0.788766--0.083844))+0-0-0</f>
        <v>690.3950779999999</v>
      </c>
      <c r="N323" s="3">
        <f>0+(808.3-70.2)+(0+(-0.412233--0.035802))+0-0-0</f>
        <v>737.72356899999988</v>
      </c>
      <c r="O323" s="3">
        <f>0+(824.9-50.8)+(0+(0.420699-0.025908))+0-0-0</f>
        <v>774.49479100000008</v>
      </c>
      <c r="P323" s="3">
        <f>0+(846.5-59.1)+(0+(-1.72686--0.120564))+0-0-0</f>
        <v>785.79370399999993</v>
      </c>
      <c r="Q323" s="3">
        <f>0+(869.2-76.6)+(0+(-1.773168--0.156264))+0-0-0</f>
        <v>790.98309600000005</v>
      </c>
      <c r="R323" s="3">
        <f>0+(848.2-75.7)+(0+(-1.730328--0.154428))+0-0-0</f>
        <v>770.92409999999995</v>
      </c>
      <c r="S323" s="3">
        <f>0+(875.2-130.9)+(0+(-1.339056--0.200277))+0-0-0</f>
        <v>743.16122100000007</v>
      </c>
      <c r="T323" s="3">
        <f>0+(881.1-126.4)+(0+(-0.898722--0.128928))+0-0-0</f>
        <v>753.930206</v>
      </c>
      <c r="U323" s="3">
        <f>0+(873.4-123.8)+(0+(-2.672604--0.378828))+0-0-0</f>
        <v>747.30622400000004</v>
      </c>
      <c r="V323" s="3">
        <f>0+(809.3-67.7)+(0+(0-0))+0-0-0</f>
        <v>741.59999999999991</v>
      </c>
      <c r="W323" s="3">
        <f>0+(780.1-9.2)+(0+(-1.193553--0.014076))+0-0-0</f>
        <v>769.72052299999996</v>
      </c>
      <c r="X323" s="3">
        <f>0+(973.1-128.5)+(0+(0-0))+0-0-0</f>
        <v>844.6</v>
      </c>
      <c r="Y323" s="3">
        <f>0+(991.4-137.2)+(0+(-3.539298--0.489804))+0-0-0</f>
        <v>851.15050600000006</v>
      </c>
      <c r="Z323" s="3">
        <f>0+(933.4-104.3)+(0+(-0.476034--0.053193))+0-0-0</f>
        <v>828.67715900000007</v>
      </c>
      <c r="AA323" s="3">
        <f>0+(948.1-154)+(0+(-2.417655--0.3927))+0-0-0</f>
        <v>792.07504500000005</v>
      </c>
      <c r="AB323" s="3">
        <f>0+(926.5-181.6)+(0+(-0.94503--0.185232))+0-0-0</f>
        <v>744.14020199999993</v>
      </c>
      <c r="AC323" s="3">
        <f>0+(881-163.8)+(0+(-1.79724--0.334152))+0-0-0</f>
        <v>715.73691200000007</v>
      </c>
      <c r="AD323">
        <f t="shared" si="5"/>
        <v>17676.184201</v>
      </c>
      <c r="AE323" s="3">
        <f>0+(1004.2-149.2)+(0+(0-0))+0-0-0</f>
        <v>855</v>
      </c>
    </row>
    <row r="324" spans="1:31" s="2" customFormat="1" x14ac:dyDescent="0.25">
      <c r="A324">
        <v>89</v>
      </c>
      <c r="B324">
        <v>11</v>
      </c>
      <c r="C324">
        <v>18</v>
      </c>
      <c r="D324">
        <v>3</v>
      </c>
      <c r="E324">
        <v>1</v>
      </c>
      <c r="F324" s="3">
        <f>0+(763.2-35.7)+(0+(-1.556928--0.072828))+0-0-0</f>
        <v>726.01589999999999</v>
      </c>
      <c r="G324" s="3">
        <f>0+(767.8-88.7)+(0+(-0.391578--0.045237))+0-0-0</f>
        <v>678.75365899999986</v>
      </c>
      <c r="H324" s="3">
        <f>0+(764.5-101.3)+(0+(0.389895-0.051663))+0-0-0</f>
        <v>663.53823199999999</v>
      </c>
      <c r="I324" s="3">
        <f>0+(773.4-109.2)+(0+(-1.97217--0.27846))+0-0-0</f>
        <v>662.50628999999992</v>
      </c>
      <c r="J324" s="3">
        <f>0+(792.6-121.7)+(0+(-0.808452--0.124134))+0-0-0</f>
        <v>670.21568200000002</v>
      </c>
      <c r="K324" s="3">
        <f>0+(808.1-130.5)+(0+(-0.412131--0.066555))+0-0-0</f>
        <v>677.25442399999997</v>
      </c>
      <c r="L324" s="3">
        <f>0+(796.7-100.2)+(0+(-2.437902--0.306612))+0-0-0</f>
        <v>694.36870999999996</v>
      </c>
      <c r="M324" s="3">
        <f>0+(723-39.5)+(0+(0-0))+0-0-0</f>
        <v>683.5</v>
      </c>
      <c r="N324" s="3">
        <f>0+(764.6-29.7)+(0+(1.169838-0.045441))+0-0-0</f>
        <v>736.02439700000002</v>
      </c>
      <c r="O324" s="3">
        <f>134+(710.6-49.8)+(0+(0-0))+0-0-0</f>
        <v>794.80000000000007</v>
      </c>
      <c r="P324" s="3">
        <f>154+(720.9-65.1)+(0+(0-0))+0-0-0</f>
        <v>809.8</v>
      </c>
      <c r="Q324" s="3">
        <f>147+(708.1-69.2)+(0+(0-0))+0-0-0</f>
        <v>785.9</v>
      </c>
      <c r="R324" s="3">
        <f>138+(716.9-83.6)+(-0.3519+(-1.828095--0.21318))+0-0-0</f>
        <v>769.33318499999996</v>
      </c>
      <c r="S324" s="3">
        <f>182+(628.5-108.7)+(-0.18564+(-0.64107--0.110874))+0-0-0</f>
        <v>701.08416399999999</v>
      </c>
      <c r="T324" s="3">
        <f>249+(593.4-99.3)+(-0.12699+(-0.302634--0.050643))+0-0-0</f>
        <v>742.72101899999996</v>
      </c>
      <c r="U324" s="3">
        <f>264+(601.6-97.9)+(-0.26928+(-0.613632--0.099858))+0-0-0</f>
        <v>766.91694600000005</v>
      </c>
      <c r="V324" s="3">
        <f>133+(664.2-48.3)+(0.06783+(0.338742-0.024633))+0-0-0</f>
        <v>749.28193900000008</v>
      </c>
      <c r="W324" s="3">
        <f>126+(605.8-1.6)+(-0.06426+(-0.308958--0.000816))+0-0-0</f>
        <v>729.82759799999997</v>
      </c>
      <c r="X324" s="3">
        <f>126+(765.5-73.4)+(-0.25704+(-1.56162--0.149736))+0-0-0</f>
        <v>816.43107600000008</v>
      </c>
      <c r="Y324" s="3">
        <f>127+(793-98.2)+(-0.25908+(-1.61772--0.200328))+0-0-0</f>
        <v>820.12352799999996</v>
      </c>
      <c r="Z324" s="3">
        <f>127+(868.4-196.9)+(-0.19431+(-1.328652--0.301257))+0-0-0</f>
        <v>797.27829499999996</v>
      </c>
      <c r="AA324" s="3">
        <f>127+(951.4-308.4)+(-0.32385+(-2.42607--0.78642))+0-0-0</f>
        <v>768.03650000000005</v>
      </c>
      <c r="AB324" s="3">
        <f>77+(985.8-289)+(-0.15708+(-2.011032--0.58956))+0-0-0</f>
        <v>772.22144800000001</v>
      </c>
      <c r="AC324" s="3">
        <f>0+(955.4-213.8)+(0+(-4.385286--0.981342))+0-0-0</f>
        <v>738.19605599999988</v>
      </c>
      <c r="AD324">
        <f t="shared" si="5"/>
        <v>17754.129047999999</v>
      </c>
      <c r="AE324" s="3">
        <f>126+(798.2-113.5)+(0+(0-0))+0-0-0</f>
        <v>810.7</v>
      </c>
    </row>
    <row r="325" spans="1:31" s="2" customFormat="1" x14ac:dyDescent="0.25">
      <c r="A325">
        <v>89</v>
      </c>
      <c r="B325">
        <v>11</v>
      </c>
      <c r="C325">
        <v>19</v>
      </c>
      <c r="D325">
        <v>4</v>
      </c>
      <c r="E325">
        <v>1</v>
      </c>
      <c r="F325" s="3">
        <f>0+(838.7-145.5)+(0+(1.710948-0.29682))+0-0-0</f>
        <v>694.61412800000005</v>
      </c>
      <c r="G325" s="3">
        <f>0+(799-126.2)+(0+(0.81498-0.128724))+0-0-0</f>
        <v>673.48625599999991</v>
      </c>
      <c r="H325" s="3">
        <f>0+(766.6-112.6)+(0+(-0.781932--0.114852))+0-0-0</f>
        <v>653.33291999999994</v>
      </c>
      <c r="I325" s="3">
        <f>0+(722.5-70.8)+(0+(-1.842375--0.18054))+0-0-0</f>
        <v>650.03816500000005</v>
      </c>
      <c r="J325" s="3">
        <f>0+(687.5-40.5)+(0+(0.350625-0.020655))+0-0-0</f>
        <v>647.32997</v>
      </c>
      <c r="K325" s="3">
        <f>0+(699.4-60.4)+(0+(1.426776-0.123216))+0-0-0</f>
        <v>640.30355999999995</v>
      </c>
      <c r="L325" s="3">
        <f>0+(794.2-118.8)+(0+(-1.620168--0.242352))+0-0-0</f>
        <v>674.02218400000004</v>
      </c>
      <c r="M325" s="3">
        <f>0+(794.4-96.6)+(0+(-0.405144--0.049266))+0-0-0</f>
        <v>697.44412199999999</v>
      </c>
      <c r="N325" s="3">
        <f>0+(833.7-97.1)+(0+(0.850374-0.099042))+0-0-0</f>
        <v>737.35133200000007</v>
      </c>
      <c r="O325" s="3">
        <f>38.3+(865.3-135.9)+(0.019533+(0.441303-0.069309))+0-0-0</f>
        <v>768.09152699999993</v>
      </c>
      <c r="P325" s="3">
        <f>135.5+(764.6-150.7)+(-0.27642+(-1.559784--0.307428))+0-0-0</f>
        <v>747.8712240000001</v>
      </c>
      <c r="Q325" s="3">
        <f>135+(851.4-195.5)+(-0.2754+(-1.736856--0.39882))+0-0-0</f>
        <v>789.286564</v>
      </c>
      <c r="R325" s="3">
        <f>134+(829.2-186.9)+(-0.20502+(-1.268676--0.285957))+0-0-0</f>
        <v>775.1122610000001</v>
      </c>
      <c r="S325" s="3">
        <f>55+(810.8-170)+(0+(0-0))+0-0-0</f>
        <v>695.8</v>
      </c>
      <c r="T325" s="3">
        <f>50+(815.5-187.5)+(0+(0-0))+0-0-0</f>
        <v>678</v>
      </c>
      <c r="U325" s="3">
        <f>50+(883.5-186.7)+(-0.051+(-0.90117--0.190434))+0-0-0</f>
        <v>746.03826399999991</v>
      </c>
      <c r="V325" s="3">
        <f>50+(889.5-191.8)+(-0.0765+(-1.360935--0.293454))+0-0-0</f>
        <v>746.55601899999999</v>
      </c>
      <c r="W325" s="3">
        <f>55+(848.3-153)+(0.02805+(0.432633-0.07803))+0-0-0</f>
        <v>750.68265299999996</v>
      </c>
      <c r="X325" s="3">
        <f>135.6+(886.1-193)+(-0.138312+(-0.903822--0.19686))+0-0-0</f>
        <v>827.85472600000003</v>
      </c>
      <c r="Y325" s="3">
        <f>64.9+(1000.4-246.5)+(-0.099297+(-1.530612--0.377145))+0-0-0</f>
        <v>817.547236</v>
      </c>
      <c r="Z325" s="3">
        <f>45.2+(975.4-222.6)+(-0.11526+(-2.48727--0.56763))+0-0-0</f>
        <v>795.96510000000001</v>
      </c>
      <c r="AA325" s="3">
        <f>0+(1009.4-233.3)+(0+(0-0))+0-0-0</f>
        <v>776.09999999999991</v>
      </c>
      <c r="AB325" s="3">
        <f>0+(1036.6-270.6)+(0+(-0.528666--0.138006))+0-0-0</f>
        <v>765.60933999999986</v>
      </c>
      <c r="AC325" s="3">
        <f>0+(975.3-237.4)+(0+(-2.984418--0.726444))+0-0-0</f>
        <v>735.64202599999999</v>
      </c>
      <c r="AD325">
        <f t="shared" si="5"/>
        <v>17484.079577</v>
      </c>
      <c r="AE325" s="3">
        <f>136+(929.5-222.1)+(0+(0-0))+0-0-0</f>
        <v>843.4</v>
      </c>
    </row>
    <row r="326" spans="1:31" s="2" customFormat="1" x14ac:dyDescent="0.25">
      <c r="A326">
        <v>89</v>
      </c>
      <c r="B326">
        <v>11</v>
      </c>
      <c r="C326">
        <v>20</v>
      </c>
      <c r="D326">
        <v>5</v>
      </c>
      <c r="E326">
        <v>1</v>
      </c>
      <c r="F326" s="3">
        <f>0+(979.6-276.4)+(0+(-0.999192--0.281928))+0-0-0</f>
        <v>702.48273600000005</v>
      </c>
      <c r="G326" s="3">
        <f>0+(949.4-265.5)+(0+(-2.905164--0.81243))+0-0-0</f>
        <v>681.80726600000003</v>
      </c>
      <c r="H326" s="3">
        <f>0+(889.7-223.5)+(0+(0.453747-0.113985))+0-0-0</f>
        <v>666.539762</v>
      </c>
      <c r="I326" s="3">
        <f>0+(873.5-210.9)+(0+(-2.227425--0.537795))+0-0-0</f>
        <v>660.91037000000006</v>
      </c>
      <c r="J326" s="3">
        <f>0+(852.9-190.6)+(0+(-0.434979--0.097206))+0-0-0</f>
        <v>661.96222699999998</v>
      </c>
      <c r="K326" s="3">
        <f>0+(850.3-193.7)+(0+(-0.433653--0.098787))+0-0-0</f>
        <v>656.26513399999988</v>
      </c>
      <c r="L326" s="3">
        <f>0+(869.7-188.4)+(0+(-0.443547--0.096084))+0-0-0</f>
        <v>680.95253700000012</v>
      </c>
      <c r="M326" s="3">
        <f>0+(828.5-127.1)+(0+(1.267605-0.194463))+0-0-0</f>
        <v>702.47314199999994</v>
      </c>
      <c r="N326" s="3">
        <f>0+(892-142)+(0+(0.90984-0.14484))+0-0-0</f>
        <v>750.76499999999999</v>
      </c>
      <c r="O326" s="3">
        <f>0+(872.8-91.3)+(0+(-0.445128--0.046563))+0-0-0</f>
        <v>781.10143500000004</v>
      </c>
      <c r="P326" s="3">
        <f>0+(865.8-81.1)+(0+(-0.883116--0.082722))+0-0-0</f>
        <v>783.89960599999995</v>
      </c>
      <c r="Q326" s="3">
        <f>25+(843.9-130.9)+(-0.051+(-1.721556--0.267036))+0-0-0</f>
        <v>736.49447999999995</v>
      </c>
      <c r="R326" s="3">
        <f>116+(826.2-176.4)+(-0.35496+(-2.528172--0.539784))+0-0-0</f>
        <v>763.45665200000008</v>
      </c>
      <c r="S326" s="3">
        <f>135+(798.2-175.4)+(-0.06885+(-0.407082--0.089454))+0-0-0</f>
        <v>757.41352200000006</v>
      </c>
      <c r="T326" s="3">
        <f>135+(747.2-126.3)+(0+(0-0))+0-0-0</f>
        <v>755.90000000000009</v>
      </c>
      <c r="U326" s="3">
        <f>135+(688-80.6)+(-0.2754+(-1.40352--0.164424))+0-0-0</f>
        <v>740.88550399999997</v>
      </c>
      <c r="V326" s="3">
        <f>135+(709.3-93.7)+(-0.4131+(-2.170458--0.286722))+0-0-0</f>
        <v>748.30316399999992</v>
      </c>
      <c r="W326" s="3">
        <f>91+(779.2-39.8)+(-0.09282+(-0.794784--0.040596))+0-0-0</f>
        <v>829.55299200000013</v>
      </c>
      <c r="X326" s="3">
        <f>3+(931.3-107.6)+(-0.01071+(-3.324741--0.384132))+0-0-0</f>
        <v>823.74868099999992</v>
      </c>
      <c r="Y326" s="3">
        <f>0+(919.1-108.4)+(0+(-1.406223--0.165852))+0-0-0</f>
        <v>809.45962900000006</v>
      </c>
      <c r="Z326" s="3">
        <f>0+(898.8-109)+(0+(-2.750328--0.33354))+0-0-0</f>
        <v>787.38321199999996</v>
      </c>
      <c r="AA326" s="3">
        <f>0+(931.7-157.2)+(0+(-1.425501--0.240516))+0-0-0</f>
        <v>773.31501500000002</v>
      </c>
      <c r="AB326" s="3">
        <f>0+(930-164.5)+(0+(-2.3715--0.419475))+0-0-0</f>
        <v>763.54797499999995</v>
      </c>
      <c r="AC326" s="3">
        <f>0+(972.5-233.1)+(0+(-0.495975--0.118881))+0-0-0</f>
        <v>739.02290599999992</v>
      </c>
      <c r="AD326">
        <f t="shared" si="5"/>
        <v>17757.642947</v>
      </c>
      <c r="AE326" s="3">
        <f>0+(946-137.3)+(0+(0-0))+0-0-0</f>
        <v>808.7</v>
      </c>
    </row>
    <row r="327" spans="1:31" s="2" customFormat="1" x14ac:dyDescent="0.25">
      <c r="A327">
        <v>89</v>
      </c>
      <c r="B327">
        <v>11</v>
      </c>
      <c r="C327">
        <v>21</v>
      </c>
      <c r="D327">
        <v>6</v>
      </c>
      <c r="E327">
        <v>1</v>
      </c>
      <c r="F327" s="3">
        <f>0+(918-220.5)+(0+(-2.80908--0.67473))+0-0-0</f>
        <v>695.36564999999996</v>
      </c>
      <c r="G327" s="3">
        <f>0+(821.8-146.1)+(0+(0.838236-0.149022))+0-0-0</f>
        <v>676.38921399999992</v>
      </c>
      <c r="H327" s="3">
        <f>0+(819.7-163.7)+(0+(-0.836094--0.166974))+0-0-0</f>
        <v>655.33087999999998</v>
      </c>
      <c r="I327" s="3">
        <f>0+(840.6-195.4)+(0+(1.714824-0.398616))+0-0-0</f>
        <v>646.51620800000001</v>
      </c>
      <c r="J327" s="3">
        <f>0+(834.1-195.4)+(0+(2.126955-0.49827))+0-0-0</f>
        <v>640.32868500000006</v>
      </c>
      <c r="K327" s="3">
        <f>0+(858.3-234.6)+(0+(-0.875466--0.239292))+0-0-0</f>
        <v>623.06382599999995</v>
      </c>
      <c r="L327" s="3">
        <f>0+(919.8-268.5)+(0+(-2.34549--0.684675))+0-0-0</f>
        <v>649.639185</v>
      </c>
      <c r="M327" s="3">
        <f>0+(896.6-216.9)+(0+(-0.914532--0.221238))+0-0-0</f>
        <v>679.00670600000001</v>
      </c>
      <c r="N327" s="3">
        <f>0+(889.5-174.8)+(0+(-0.90729--0.178296))+0-0-0</f>
        <v>713.9710060000001</v>
      </c>
      <c r="O327" s="3">
        <f>0+(858-110.4)+(0+(0-0))+0-0-0</f>
        <v>747.6</v>
      </c>
      <c r="P327" s="3">
        <f>0+(834.2-70)+(0+(-1.701768--0.1428))+0-0-0</f>
        <v>762.641032</v>
      </c>
      <c r="Q327" s="3">
        <f>0+(789.2-57.7)+(0+(-2.817444--0.205989))+0-0-0</f>
        <v>728.88854500000002</v>
      </c>
      <c r="R327" s="3">
        <f>0+(817.9-59.3)+(0+(-0.834258--0.060486))+0-0-0</f>
        <v>757.82622800000001</v>
      </c>
      <c r="S327" s="3">
        <f>0+(837.2-107.9)+(0+(0.426972-0.055029))+0-0-0</f>
        <v>729.67194300000006</v>
      </c>
      <c r="T327" s="3">
        <f>0+(846.7-122)+(0+(-0.431817--0.06222))+0-0-0</f>
        <v>724.33040300000005</v>
      </c>
      <c r="U327" s="3">
        <f>0+(814.3-97.7)+(0+(-2.491758--0.298962))+0-0-0</f>
        <v>714.40720399999987</v>
      </c>
      <c r="V327" s="3">
        <f>0+(805.9-100.3)+(0+(2.055045-0.255765))+0-0-0</f>
        <v>707.39927999999998</v>
      </c>
      <c r="W327" s="3">
        <f>0+(774.3-71.8)+(0+(-0.394893--0.036618))+0-0-0</f>
        <v>702.14172499999995</v>
      </c>
      <c r="X327" s="3">
        <f>0+(924.5-91.6)+(0+(-1.414485--0.140148))+0-0-0</f>
        <v>831.62566300000003</v>
      </c>
      <c r="Y327" s="3">
        <f>0+(948.1-104.1)+(0+(-0.967062--0.106182))+0-0-0</f>
        <v>843.13912000000005</v>
      </c>
      <c r="Z327" s="3">
        <f>0+(908.7-94.6)+(0+(-3.707496--0.385968))+0-0-0</f>
        <v>810.77847200000008</v>
      </c>
      <c r="AA327" s="3">
        <f>0+(974.2-128.8)+(0+(-0.496842--0.065688))+0-0-0</f>
        <v>844.9688460000001</v>
      </c>
      <c r="AB327" s="3">
        <f>0+(960.6-151.5)+(0+(-2.44953--0.386325))+0-0-0</f>
        <v>807.03679499999998</v>
      </c>
      <c r="AC327" s="3">
        <f>0+(1003.2-253.9)+(0+(0-0))+0-0-0</f>
        <v>749.30000000000007</v>
      </c>
      <c r="AD327">
        <f t="shared" si="5"/>
        <v>17441.366615999996</v>
      </c>
      <c r="AE327" s="3">
        <f>0+(972.6-119)+(0+(0-0))+0-0-0</f>
        <v>853.6</v>
      </c>
    </row>
    <row r="328" spans="1:31" s="2" customFormat="1" x14ac:dyDescent="0.25">
      <c r="A328">
        <v>89</v>
      </c>
      <c r="B328">
        <v>11</v>
      </c>
      <c r="C328">
        <v>22</v>
      </c>
      <c r="D328">
        <v>7</v>
      </c>
      <c r="E328">
        <v>2</v>
      </c>
      <c r="F328" s="3">
        <f>0+(982.4-234.5)+(0+(-0.501024--0.119595))+0-0-0</f>
        <v>747.51857099999995</v>
      </c>
      <c r="G328" s="3">
        <f>0+(898.7-206.7)+(0+(-0.458337--0.105417))+0-0-0</f>
        <v>691.64707999999996</v>
      </c>
      <c r="H328" s="3">
        <f>0+(826.4-195.3)+(0+(0-0))+0-0-0</f>
        <v>631.09999999999991</v>
      </c>
      <c r="I328" s="3">
        <f>0+(793.6-185.6)+(0+(-1.214208--0.283968))+0-0-0</f>
        <v>607.06975999999997</v>
      </c>
      <c r="J328" s="3">
        <f>0+(818.1-217.4)+(0+(-1.668924--0.443496))+0-0-0</f>
        <v>599.47457200000008</v>
      </c>
      <c r="K328" s="3">
        <f>0+(774.2-215.2)+(0+(0.394842-0.109752))+0-0-0</f>
        <v>559.28508999999997</v>
      </c>
      <c r="L328" s="3">
        <f>0+(748.6-168.9)+(0+(-2.672502--0.602973))+0-0-0</f>
        <v>577.63047100000006</v>
      </c>
      <c r="M328" s="3">
        <f>0+(689.9-119.7)+(0+(0-0))+0-0-0</f>
        <v>570.19999999999993</v>
      </c>
      <c r="N328" s="3">
        <f>0+(708.5-133.4)+(0+(1.084005-0.204102))+0-0-0</f>
        <v>575.97990300000004</v>
      </c>
      <c r="O328" s="3">
        <f>0+(722.2-105.2)+(0+(0.736644-0.107304))+0-0-0</f>
        <v>617.62933999999996</v>
      </c>
      <c r="P328" s="3">
        <f>0+(697.3-60.7)+(0+(0.355623-0.030957))+0-0-0</f>
        <v>636.92466599999989</v>
      </c>
      <c r="Q328" s="3">
        <f>0+(682.3-42.1)+(0+(0.347973-0.021471))+0-0-0</f>
        <v>640.52650199999994</v>
      </c>
      <c r="R328" s="3">
        <f>0+(658.9-38.8)+(0+(-1.008117--0.059364))+0-0-0</f>
        <v>619.15124700000001</v>
      </c>
      <c r="S328" s="3">
        <f>0+(617.9-26.8)+(0+(-1.890774--0.082008))+0-0-0</f>
        <v>589.29123400000003</v>
      </c>
      <c r="T328" s="3">
        <f>0+(648.4-67.7)+(0+(-1.322736--0.138108))+0-0-0</f>
        <v>579.51537199999996</v>
      </c>
      <c r="U328" s="3">
        <f>0+(701-97.1)+(0+(-0.35751--0.049521))+0-0-0</f>
        <v>603.59201099999996</v>
      </c>
      <c r="V328" s="3">
        <f>0+(726.1-93.6)+(0+(-0.370311--0.047736))+0-0-0</f>
        <v>632.17742499999997</v>
      </c>
      <c r="W328" s="3">
        <f>0+(751.5-112.1)+(0+(-1.149795--0.171513))+0-0-0</f>
        <v>638.42171799999994</v>
      </c>
      <c r="X328" s="3">
        <f>0+(962.8-177.9)+(0+(-0.982056--0.181458))+0-0-0</f>
        <v>784.09940199999994</v>
      </c>
      <c r="Y328" s="3">
        <f>0+(1000.4-190.6)+(0+(-1.020408--0.194412))+0-0-0</f>
        <v>808.97400399999992</v>
      </c>
      <c r="Z328" s="3">
        <f>0+(928.2-140.7)+(0+(-1.420146--0.215271))+0-0-0</f>
        <v>786.29512499999998</v>
      </c>
      <c r="AA328" s="3">
        <f>0+(946.2-142.8)+(0+(1.447686-0.218484))+0-0-0</f>
        <v>804.62920200000008</v>
      </c>
      <c r="AB328" s="3">
        <f>0+(934.5-165.9)+(0+(-1.429785--0.253827))+0-0-0</f>
        <v>767.42404199999999</v>
      </c>
      <c r="AC328" s="3">
        <f>0+(924.5-200.1)+(0+(-2.357475--0.510255))+0-0-0</f>
        <v>722.55277999999998</v>
      </c>
      <c r="AD328">
        <f t="shared" si="5"/>
        <v>15791.109517000001</v>
      </c>
      <c r="AE328" s="3">
        <f>0+(1011.1-197.1)+(0+(0-0))+0-0-0</f>
        <v>814</v>
      </c>
    </row>
    <row r="329" spans="1:31" s="2" customFormat="1" x14ac:dyDescent="0.25">
      <c r="A329">
        <v>89</v>
      </c>
      <c r="B329">
        <v>11</v>
      </c>
      <c r="C329">
        <v>23</v>
      </c>
      <c r="D329">
        <v>1</v>
      </c>
      <c r="E329">
        <v>1</v>
      </c>
      <c r="F329" s="3">
        <f>0+(848-226.2)+(0+(-2.59488--0.692172))+0-0-0</f>
        <v>619.89729199999999</v>
      </c>
      <c r="G329" s="3">
        <f>0+(760.3-159.5)+(0+(-1.551012--0.32538))+0-0-0</f>
        <v>599.57436799999994</v>
      </c>
      <c r="H329" s="3">
        <f>0+(772.7-178.4)+(0+(-1.576308--0.363936))+0-0-0</f>
        <v>593.08762800000011</v>
      </c>
      <c r="I329" s="3">
        <f>0+(818-228.6)+(0+(0-0))+0-0-0</f>
        <v>589.4</v>
      </c>
      <c r="J329" s="3">
        <f>0+(825.8-237.7)+(0+(1.263474-0.363681))+0-0-0</f>
        <v>588.99979299999995</v>
      </c>
      <c r="K329" s="3">
        <f>0+(828.2-241.7)+(0+(2.534292-0.739602))+0-0-0</f>
        <v>588.29468999999995</v>
      </c>
      <c r="L329" s="3">
        <f>0+(894.2-267)+(0+(-3.192294--0.95319))+0-0-0</f>
        <v>624.96089600000005</v>
      </c>
      <c r="M329" s="3">
        <f>0+(931.9-274.8)+(0+(0.950538-0.280296))+0-0-0</f>
        <v>657.77024199999994</v>
      </c>
      <c r="N329" s="3">
        <f>0+(934.1-233.8)+(0+(-2.381955--0.59619))+0-0-0</f>
        <v>698.51423499999999</v>
      </c>
      <c r="O329" s="3">
        <f>0+(957.1-210.1)+(0+(1.464363-0.321453))+0-0-0</f>
        <v>748.14291000000003</v>
      </c>
      <c r="P329" s="3">
        <f>0+(952.1-188.8)+(0+(0.485571-0.096288))+0-0-0</f>
        <v>763.68928299999993</v>
      </c>
      <c r="Q329" s="3">
        <f>0+(1008.1-239.6)+(0+(-1.028262--0.244392))+0-0-0</f>
        <v>767.71613000000002</v>
      </c>
      <c r="R329" s="3">
        <f>0+(1004.7-239.2)+(0+(-2.561985--0.60996))+0-0-0</f>
        <v>763.54797499999995</v>
      </c>
      <c r="S329" s="3">
        <f>0+(966.8-215.3)+(0+(-0.986136--0.219606))+0-0-0</f>
        <v>750.73347000000001</v>
      </c>
      <c r="T329" s="3">
        <f>0+(942-188.1)+(0+(0-0))+0-0-0</f>
        <v>753.9</v>
      </c>
      <c r="U329" s="3">
        <f>0+(929.3-191)+(0+(-1.421829--0.29223))+0-0-0</f>
        <v>737.17040099999997</v>
      </c>
      <c r="V329" s="3">
        <f>0+(887.9-223)+(0+(-1.811316--0.45492))+0-0-0</f>
        <v>663.54360399999996</v>
      </c>
      <c r="W329" s="3">
        <f>0+(842.1-174.5)+(0+(-0.429471--0.088995))+0-0-0</f>
        <v>667.25952400000006</v>
      </c>
      <c r="X329" s="3">
        <f>0+(1009-278.2)+(0+(-1.02918--0.283764))+0-0-0</f>
        <v>730.05458399999998</v>
      </c>
      <c r="Y329" s="3">
        <f>0+(1127.7-294.5)+(0+(-0.575127--0.150195))+0-0-0</f>
        <v>832.77506800000003</v>
      </c>
      <c r="Z329" s="3">
        <f>0+(1089.7-268.7)+(0+(-2.222988--0.548148))+0-0-0</f>
        <v>819.32515999999998</v>
      </c>
      <c r="AA329" s="3">
        <f>0+(1101.7-294.6)+(0+(0.561867-0.150246))+0-0-0</f>
        <v>807.51162099999999</v>
      </c>
      <c r="AB329" s="3">
        <f>0+(1049.4-272.3)+(0+(-2.140776--0.555492))+0-0-0</f>
        <v>775.51471600000013</v>
      </c>
      <c r="AC329" s="3">
        <f>0+(988.6-245)+(0+(-2.52093--0.62475))+0-0-0</f>
        <v>741.70382000000006</v>
      </c>
      <c r="AD329">
        <f t="shared" si="5"/>
        <v>16883.087409999996</v>
      </c>
      <c r="AE329" s="3">
        <f>142+(1026.3-315.5)+(0+(0-0))+0-0-0</f>
        <v>852.8</v>
      </c>
    </row>
    <row r="330" spans="1:31" s="2" customFormat="1" x14ac:dyDescent="0.25">
      <c r="A330">
        <v>89</v>
      </c>
      <c r="B330">
        <v>11</v>
      </c>
      <c r="C330">
        <v>24</v>
      </c>
      <c r="D330">
        <v>2</v>
      </c>
      <c r="E330">
        <v>1</v>
      </c>
      <c r="F330" s="3">
        <f>0+(972.9-264.4)+(0+(-0.992358--0.269688))+0-0-0</f>
        <v>707.77733000000001</v>
      </c>
      <c r="G330" s="3">
        <f>0+(825.8-140.1)+(0+(-2.10579--0.357255))+0-0-0</f>
        <v>683.95146499999998</v>
      </c>
      <c r="H330" s="3">
        <f>0+(736.8-71.6)+(0+(0-0))+0-0-0</f>
        <v>665.19999999999993</v>
      </c>
      <c r="I330" s="3">
        <f>0+(718.5-53.1)+(0+(-1.099305--0.081243))+0-0-0</f>
        <v>664.38193799999999</v>
      </c>
      <c r="J330" s="3">
        <f>0+(746.6-89.7)+(0+(1.523064-0.182988))+0-0-0</f>
        <v>658.24007599999993</v>
      </c>
      <c r="K330" s="3">
        <f>0+(769.8-123)+(0+(0-0))+0-0-0</f>
        <v>646.79999999999995</v>
      </c>
      <c r="L330" s="3">
        <f>0+(851.1-174.1)+(0+(0.434061-0.088791))+0-0-0</f>
        <v>677.34527000000003</v>
      </c>
      <c r="M330" s="3">
        <f>0+(852.1-147.7)+(0+(0-0))+0-0-0</f>
        <v>704.40000000000009</v>
      </c>
      <c r="N330" s="3">
        <f>0+(876.8-133.5)+(0+(0-0))+0-0-0</f>
        <v>743.3</v>
      </c>
      <c r="O330" s="3">
        <f>0+(910.8-128.8)+(0+(-0.464508--0.065688))+0-0-0</f>
        <v>781.60118</v>
      </c>
      <c r="P330" s="3">
        <f>0+(968.7-174.4)+(0+(-1.482111--0.266832))+0-0-0</f>
        <v>793.08472100000006</v>
      </c>
      <c r="Q330" s="3">
        <f>0+(985.8-181.8)+(0+(-1.508274--0.278154))+0-0-0</f>
        <v>802.76987999999994</v>
      </c>
      <c r="R330" s="3">
        <f>0+(963.1-179.2)+(0+(-2.947086--0.548352))+0-0-0</f>
        <v>781.5012660000001</v>
      </c>
      <c r="S330" s="3">
        <f>0+(924.6-164.8)+(0+(0.471546-0.084048))+0-0-0</f>
        <v>760.18749800000001</v>
      </c>
      <c r="T330" s="3">
        <f>0+(883.6-124.9)+(0+(-2.703816--0.382194))+0-0-0</f>
        <v>756.378378</v>
      </c>
      <c r="U330" s="3">
        <f>0+(891.3-144.2)+(0+(-0.454563--0.073542))+0-0-0</f>
        <v>746.71897899999988</v>
      </c>
      <c r="V330" s="3">
        <f>0+(927.7-179.4)+(0+(-1.892508--0.365976))+0-0-0</f>
        <v>746.77346800000009</v>
      </c>
      <c r="W330" s="3">
        <f>0+(870.1-111.3)+(0+(0.443751-0.056763))+0-0-0</f>
        <v>759.18698800000004</v>
      </c>
      <c r="X330" s="3">
        <f>0+(1015.5-178.5)+(0+(0-0))+0-0-0</f>
        <v>837</v>
      </c>
      <c r="Y330" s="3">
        <f>0+(1014.9-189.2)+(0+(-3.105594--0.578952))+0-0-0</f>
        <v>823.17335800000001</v>
      </c>
      <c r="Z330" s="3">
        <f>0+(1013.3-201.4)+(0+(-1.550349--0.308142))+0-0-0</f>
        <v>810.65779299999997</v>
      </c>
      <c r="AA330" s="3">
        <f>0+(1040-247.9)+(0+(-2.1216--0.505716))+0-0-0</f>
        <v>790.48411599999997</v>
      </c>
      <c r="AB330" s="3">
        <f>0+(1057.2-280.6)+(0+(-1.078344--0.286212))+0-0-0</f>
        <v>775.80786799999998</v>
      </c>
      <c r="AC330" s="3">
        <f>0+(974-225.3)+(0+(-2.98044--0.689418))+0-0-0</f>
        <v>746.40897800000005</v>
      </c>
      <c r="AD330">
        <f t="shared" si="5"/>
        <v>17863.130549999994</v>
      </c>
      <c r="AE330" s="3">
        <f>0+(1031.3-212.1)+(0+(0-0))+0-0-0</f>
        <v>819.19999999999993</v>
      </c>
    </row>
    <row r="331" spans="1:31" s="2" customFormat="1" x14ac:dyDescent="0.25">
      <c r="A331">
        <v>89</v>
      </c>
      <c r="B331">
        <v>11</v>
      </c>
      <c r="C331">
        <v>25</v>
      </c>
      <c r="D331">
        <v>3</v>
      </c>
      <c r="E331">
        <v>1</v>
      </c>
      <c r="F331" s="3">
        <f>0+(891.9-179.3)+(0+(-2.729214--0.548658))+0-0-0</f>
        <v>710.41944399999988</v>
      </c>
      <c r="G331" s="3">
        <f>0+(832.8-146.2)+(0+(0.424728-0.074562))+0-0-0</f>
        <v>686.95016599999985</v>
      </c>
      <c r="H331" s="3">
        <f>0+(764.6-91.2)+(0+(-0.389946--0.046512))+0-0-0</f>
        <v>673.05656599999998</v>
      </c>
      <c r="I331" s="3">
        <f>0+(781.5-120)+(0+(0-0))+0-0-0</f>
        <v>661.5</v>
      </c>
      <c r="J331" s="3">
        <f>0+(777.5-133.6)+(0+(-0.396525--0.068136))+0-0-0</f>
        <v>643.57161099999996</v>
      </c>
      <c r="K331" s="3">
        <f>0+(787.2-145.9)+(0+(0-0))+0-0-0</f>
        <v>641.30000000000007</v>
      </c>
      <c r="L331" s="3">
        <f>0+(815.6-150.8)+(0+(-0.415956--0.076908))+0-0-0</f>
        <v>664.46095199999991</v>
      </c>
      <c r="M331" s="3">
        <f>0+(842.8-146.7)+(0+(-0.429828--0.074817))+0-0-0</f>
        <v>695.74498899999992</v>
      </c>
      <c r="N331" s="3">
        <f>0+(887.7-137.1)+(0+(0.452727-0.069921))+0-0-0</f>
        <v>750.98280599999998</v>
      </c>
      <c r="O331" s="3">
        <f>0+(918-137.4)+(0+(-1.87272--0.280296))+0-0-0</f>
        <v>779.00757599999997</v>
      </c>
      <c r="P331" s="3">
        <f>0+(950.9-161.4)+(0+(-0.969918--0.164628))+0-0-0</f>
        <v>788.69470999999999</v>
      </c>
      <c r="Q331" s="3">
        <f>0+(1020.1-180)+(0+(1.040502-0.1836))+0-0-0</f>
        <v>840.95690200000001</v>
      </c>
      <c r="R331" s="3">
        <f>0+(988.6-197.1)+(0+(-2.52093--0.502605))+0-0-0</f>
        <v>789.481675</v>
      </c>
      <c r="S331" s="3">
        <f>0+(943.8-173.1)+(0+(-0.962676--0.176562))+0-0-0</f>
        <v>769.91388599999993</v>
      </c>
      <c r="T331" s="3">
        <f>0+(928-158.8)+(0+(-0.47328--0.080988))+0-0-0</f>
        <v>768.80770800000005</v>
      </c>
      <c r="U331" s="3">
        <f>0+(910.9-149)+(0+(0.464559-0.07599))+0-0-0</f>
        <v>762.28856899999994</v>
      </c>
      <c r="V331" s="3">
        <f>0+(883.2-130.4)+(0+(0-0))+0-0-0</f>
        <v>752.80000000000007</v>
      </c>
      <c r="W331" s="3">
        <f>0+(835.2-93.3)+(0+(-1.277856--0.142749))+0-0-0</f>
        <v>740.76489300000014</v>
      </c>
      <c r="X331" s="3">
        <f>0+(1011.4-199)+(0+(-1.547442--0.30447))+0-0-0</f>
        <v>811.15702799999997</v>
      </c>
      <c r="Y331" s="3">
        <f>0+(961.3-246.5)+(0+(-1.470789--0.377145))+0-0-0</f>
        <v>713.70635599999991</v>
      </c>
      <c r="Z331" s="3">
        <f>0+(972.5-199)+(0+(-1.9839--0.40596))+0-0-0</f>
        <v>771.92205999999999</v>
      </c>
      <c r="AA331" s="3">
        <f>0+(1045.9-248.7)+(0+(-2.133636--0.507348))+0-0-0</f>
        <v>795.573712</v>
      </c>
      <c r="AB331" s="3">
        <f>0+(1022.6-248.9)+(0+(-0.521526--0.126939))+0-0-0</f>
        <v>773.30541300000004</v>
      </c>
      <c r="AC331" s="3">
        <f>0+(1008.4-261.6)+(0+(-4.628556--1.200744))+0-0-0</f>
        <v>743.37218799999994</v>
      </c>
      <c r="AD331">
        <f t="shared" si="5"/>
        <v>17729.73921</v>
      </c>
      <c r="AE331" s="3">
        <f>40+(1071.5-266.6)+(0+(0-0))+0-0-0</f>
        <v>844.9</v>
      </c>
    </row>
    <row r="332" spans="1:31" s="2" customFormat="1" x14ac:dyDescent="0.25">
      <c r="A332">
        <v>89</v>
      </c>
      <c r="B332">
        <v>11</v>
      </c>
      <c r="C332">
        <v>26</v>
      </c>
      <c r="D332">
        <v>4</v>
      </c>
      <c r="E332">
        <v>1</v>
      </c>
      <c r="F332" s="3">
        <f>0+(994-288.3)+(0+(-1.52082--0.441099))+0-0-0</f>
        <v>704.6202790000001</v>
      </c>
      <c r="G332" s="3">
        <f>0+(874.6-188.9)+(0+(-1.338138--0.289017))+0-0-0</f>
        <v>684.65087900000003</v>
      </c>
      <c r="H332" s="3">
        <f>0+(842.2-179.4)+(0+(0.429522-0.091494))+0-0-0</f>
        <v>663.13802800000008</v>
      </c>
      <c r="I332" s="3">
        <f>0+(812.5-163.7)+(0+(-1.243125--0.250461))+0-0-0</f>
        <v>647.80733599999996</v>
      </c>
      <c r="J332" s="3">
        <f>0+(820-165.9)+(0+(0.4182-0.084609))+0-0-0</f>
        <v>654.43359099999998</v>
      </c>
      <c r="K332" s="3">
        <f>0+(844.2-191.5)+(0+(-0.430542--0.097665))+0-0-0</f>
        <v>652.36712299999999</v>
      </c>
      <c r="L332" s="3">
        <f>0+(900.8-225)+(0+(-0.918816--0.2295))+0-0-0</f>
        <v>675.11068399999999</v>
      </c>
      <c r="M332" s="3">
        <f>0+(885.2-182.5)+(0+(-0.451452--0.093075))+0-0-0</f>
        <v>702.34162300000003</v>
      </c>
      <c r="N332" s="3">
        <f>0+(902.6-159.7)+(0+(1.841304-0.325788))+0-0-0</f>
        <v>744.41551600000014</v>
      </c>
      <c r="O332" s="3">
        <f>0+(926.2-142.4)+(0+(-0.944724--0.145248))+0-0-0</f>
        <v>783.00052400000004</v>
      </c>
      <c r="P332" s="3">
        <f>0+(924-119.1)+(0+(-0.47124--0.060741))+0-0-0</f>
        <v>804.48950100000002</v>
      </c>
      <c r="Q332" s="3">
        <f>0+(893-81.6)+(0+(-1.82172--0.166464))+0-0-0</f>
        <v>809.74474399999997</v>
      </c>
      <c r="R332" s="3">
        <f>0+(889-99.4)+(0+(-2.72034--0.304164))+0-0-0</f>
        <v>787.18382400000007</v>
      </c>
      <c r="S332" s="3">
        <f>0+(891.2-121.3)+(0+(-0.909024--0.123726))+0-0-0</f>
        <v>769.11470200000008</v>
      </c>
      <c r="T332" s="3">
        <f>0+(872.8-108.6)+(0+(0-0))+0-0-0</f>
        <v>764.19999999999993</v>
      </c>
      <c r="U332" s="3">
        <f>0+(873.4-111.1)+(0+(-0.890868--0.113322))+0-0-0</f>
        <v>761.52245399999993</v>
      </c>
      <c r="V332" s="3">
        <f>0+(884-117.7)+(0+(0-0))+0-0-0</f>
        <v>766.3</v>
      </c>
      <c r="W332" s="3">
        <f>0+(866.9-98.4)+(0+(0-0))+0-0-0</f>
        <v>768.5</v>
      </c>
      <c r="X332" s="3">
        <f>0+(923-82.2)+(0+(-0.94146--0.083844))+0-0-0</f>
        <v>839.94238399999995</v>
      </c>
      <c r="Y332" s="3">
        <f>0+(969.5-143)+(0+(-2.96667--0.43758))+0-0-0</f>
        <v>823.97091</v>
      </c>
      <c r="Z332" s="3">
        <f>0+(959.4-158.7)+(0+(-2.44647--0.404685))+0-0-0</f>
        <v>798.65821500000004</v>
      </c>
      <c r="AA332" s="3">
        <f>0+(1074.9-277.9)+(0+(-2.192796--0.566916))+0-0-0</f>
        <v>795.37412000000006</v>
      </c>
      <c r="AB332" s="3">
        <f>0+(1081.8-303.5)+(0+(-1.103436--0.30957))+0-0-0</f>
        <v>777.50613399999997</v>
      </c>
      <c r="AC332" s="3">
        <f>0+(1067.2-317.8)+(0+(-2.72136--0.81039))+0-0-0</f>
        <v>747.48903000000007</v>
      </c>
      <c r="AD332">
        <f t="shared" si="5"/>
        <v>17925.881601000001</v>
      </c>
      <c r="AE332" s="3">
        <f>0+(955.7-134.8)+(0+(0-0))+0-0-0</f>
        <v>820.90000000000009</v>
      </c>
    </row>
    <row r="333" spans="1:31" s="2" customFormat="1" x14ac:dyDescent="0.25">
      <c r="A333">
        <v>89</v>
      </c>
      <c r="B333">
        <v>11</v>
      </c>
      <c r="C333">
        <v>27</v>
      </c>
      <c r="D333">
        <v>5</v>
      </c>
      <c r="E333">
        <v>3</v>
      </c>
      <c r="F333" s="3">
        <f>0+(1017.1-317.9)+(0+(-2.593605--0.810645))+0-0-0</f>
        <v>697.41704000000004</v>
      </c>
      <c r="G333" s="3">
        <f>0+(897.2-225.4)+(0+(-1.372716--0.344862))+0-0-0</f>
        <v>670.77214600000002</v>
      </c>
      <c r="H333" s="3">
        <f>0+(827.2-163.3)+(0+(-2.531232--0.499698))+0-0-0</f>
        <v>661.86846600000013</v>
      </c>
      <c r="I333" s="3">
        <f>0+(795.2-138.9)+(0+(0.405552-0.070839))+0-0-0</f>
        <v>656.63471300000003</v>
      </c>
      <c r="J333" s="3">
        <f>0+(794.4-148.8)+(0+(1.620576-0.303552))+0-0-0</f>
        <v>646.91702399999986</v>
      </c>
      <c r="K333" s="3">
        <f>0+(777.3-139.5)+(0+(2.378538-0.42687))+0-0-0</f>
        <v>639.751668</v>
      </c>
      <c r="L333" s="3">
        <f>0+(833.5-165.2)+(0+(-2.125425--0.42126))+0-0-0</f>
        <v>666.59583499999997</v>
      </c>
      <c r="M333" s="3">
        <f>0+(868.5-168)+(0+(0.88587-0.17136))+0-0-0</f>
        <v>701.21451000000002</v>
      </c>
      <c r="N333" s="3">
        <f>0+(904.1-161.2)+(0+(1.383273-0.246636))+0-0-0</f>
        <v>744.03663700000004</v>
      </c>
      <c r="O333" s="3">
        <f>0+(846.9-52.7)+(0+(1.295757-0.080631))+0-0-0</f>
        <v>795.41512599999999</v>
      </c>
      <c r="P333" s="3">
        <f>0+(852.1-45.1)+(0+(-1.738284--0.092004))+0-0-0</f>
        <v>805.35371999999995</v>
      </c>
      <c r="Q333" s="3">
        <f>0+(840.8-30.8)+(0+(-1.715232--0.062832))+0-0-0</f>
        <v>808.34760000000006</v>
      </c>
      <c r="R333" s="3">
        <f>0+(826.3-26.4)+(0+(-2.107065--0.06732))+0-0-0</f>
        <v>797.86025499999994</v>
      </c>
      <c r="S333" s="3">
        <f>0+(814.4-39.8)+(0+(-1.246032--0.060894))+0-0-0</f>
        <v>773.41486199999997</v>
      </c>
      <c r="T333" s="3">
        <f>0+(812.6-52.6)+(0+(-0.414426--0.026826))+0-0-0</f>
        <v>759.61239999999998</v>
      </c>
      <c r="U333" s="3">
        <f>0+(818.3-63.8)+(0+(-2.086665--0.16269))+0-0-0</f>
        <v>752.57602499999996</v>
      </c>
      <c r="V333" s="3">
        <f>0+(850.4-82.6)+(0+(0-0))+0-0-0</f>
        <v>767.8</v>
      </c>
      <c r="W333" s="3">
        <f>50+(838.1-115.6)+(-0.102+(-1.709724--0.235824))+0-0-0</f>
        <v>770.92409999999995</v>
      </c>
      <c r="X333" s="3">
        <f>50+(818.7-116.2)+(-0.2295+(-3.757833--0.533358))+0-0-0</f>
        <v>749.04602499999999</v>
      </c>
      <c r="Y333" s="3">
        <f>50+(949.4-172.8)+(-0.0255+(-0.484194--0.088128))+0-0-0</f>
        <v>826.17843399999992</v>
      </c>
      <c r="Z333" s="3">
        <f>0+(969.1-193.8)+(0+(-4.448169--0.889542))+0-0-0</f>
        <v>771.74137299999995</v>
      </c>
      <c r="AA333" s="3">
        <f>0+(1059.8-263)+(0+(-0.540498--0.13413))+0-0-0</f>
        <v>796.39363199999991</v>
      </c>
      <c r="AB333" s="3">
        <f>0+(1096.8-307.5)+(0+(-2.79684--0.784125))+0-0-0</f>
        <v>787.287285</v>
      </c>
      <c r="AC333" s="3">
        <f>0+(1081-311.9)+(0+(-2.75655--0.795345))+0-0-0</f>
        <v>767.13879500000007</v>
      </c>
      <c r="AD333">
        <f t="shared" si="5"/>
        <v>17814.297670999997</v>
      </c>
      <c r="AE333" s="3">
        <f>135+(963.2-220)+(0+(0-0))+0-0-0</f>
        <v>878.2</v>
      </c>
    </row>
    <row r="334" spans="1:31" s="2" customFormat="1" x14ac:dyDescent="0.25">
      <c r="A334">
        <v>89</v>
      </c>
      <c r="B334">
        <v>11</v>
      </c>
      <c r="C334">
        <v>28</v>
      </c>
      <c r="D334">
        <v>6</v>
      </c>
      <c r="E334">
        <v>6</v>
      </c>
      <c r="F334" s="3">
        <f>0+(967.4-249.1)+(0+(-0.493374--0.127041))+0-0-0</f>
        <v>717.9336669999999</v>
      </c>
      <c r="G334" s="3">
        <f>0+(882.2-190.5)+(0+(0-0))+0-0-0</f>
        <v>691.7</v>
      </c>
      <c r="H334" s="3">
        <f>0+(802.1-131.5)+(0+(-1.636284--0.26826))+0-0-0</f>
        <v>669.23197600000003</v>
      </c>
      <c r="I334" s="3">
        <f>0+(787-119.9)+(0+(2.00685-0.305745))+0-0-0</f>
        <v>668.80110500000001</v>
      </c>
      <c r="J334" s="3">
        <f>0+(757.6-97.2)+(0+(-0.772752--0.099144))+0-0-0</f>
        <v>659.72639200000003</v>
      </c>
      <c r="K334" s="3">
        <f>0+(751.7-101)+(0+(0.383367-0.05151))+0-0-0</f>
        <v>651.03185700000006</v>
      </c>
      <c r="L334" s="3">
        <f>0+(741.5-80.7)+(0+(-1.134495--0.123471))+0-0-0</f>
        <v>659.78897599999993</v>
      </c>
      <c r="M334" s="3">
        <f>0+(815.8-123.9)+(0+(0-0))+0-0-0</f>
        <v>691.9</v>
      </c>
      <c r="N334" s="3">
        <f>0+(925.4-198.5)+(0+(0.471954-0.101235))+0-0-0</f>
        <v>727.27071899999999</v>
      </c>
      <c r="O334" s="3">
        <f>0+(910.2-152.3)+(0+(1.392606-0.233019))+0-0-0</f>
        <v>759.05958700000008</v>
      </c>
      <c r="P334" s="3">
        <f>0+(870.6-75)+(0+(-2.22003--0.19125))+0-0-0</f>
        <v>793.57122000000004</v>
      </c>
      <c r="Q334" s="3">
        <f>0+(859.9-79.9)+(0+(-2.192745--0.203745))+0-0-0</f>
        <v>778.01099999999997</v>
      </c>
      <c r="R334" s="3">
        <f>0+(847.9-73.9)+(0+(-3.027003--0.263823))+0-0-0</f>
        <v>771.23681999999997</v>
      </c>
      <c r="S334" s="3">
        <f>0+(832.1-92.9)+(0+(-0.424371--0.047379))+0-0-0</f>
        <v>738.82300800000007</v>
      </c>
      <c r="T334" s="3">
        <f>0+(788.5-56.5)+(0+(-1.206405--0.086445))+0-0-0</f>
        <v>730.88004000000001</v>
      </c>
      <c r="U334" s="3">
        <f>0+(761.3-31.6)+(0+(-1.941315--0.08058))+0-0-0</f>
        <v>727.83926499999995</v>
      </c>
      <c r="V334" s="3">
        <f>0+(754.7-32.7)+(0+(0-0))+0-0-0</f>
        <v>722</v>
      </c>
      <c r="W334" s="3">
        <f>0+(762.2-36.8)+(0+(-0.777444--0.037536))+0-0-0</f>
        <v>724.66009200000008</v>
      </c>
      <c r="X334" s="3">
        <f>0+(866.2-66.9)+(0+(-1.767048--0.136476))+0-0-0</f>
        <v>797.66942800000004</v>
      </c>
      <c r="Y334" s="3">
        <f>0+(881-89.6)+(0+(-1.34793--0.137088))+0-0-0</f>
        <v>790.18915800000002</v>
      </c>
      <c r="Z334" s="3">
        <f>0+(901-129.1)+(0+(-0.45951--0.065841))+0-0-0</f>
        <v>771.50633099999993</v>
      </c>
      <c r="AA334" s="3">
        <f>0+(963.2-200.6)+(0+(-1.473696--0.306918))+0-0-0</f>
        <v>761.433222</v>
      </c>
      <c r="AB334" s="3">
        <f>0+(941-188.9)+(0+(-2.87946--0.578034))+0-0-0</f>
        <v>749.79857400000003</v>
      </c>
      <c r="AC334" s="3">
        <f>0+(878.6-154)+(0+(-2.24043--0.3927))+0-0-0</f>
        <v>722.75227000000007</v>
      </c>
      <c r="AD334">
        <f t="shared" si="5"/>
        <v>17476.814706999998</v>
      </c>
      <c r="AE334" s="3">
        <f>0+(920.9-93.4)+(0+(0-0))+0-0-0</f>
        <v>827.5</v>
      </c>
    </row>
    <row r="335" spans="1:31" s="2" customFormat="1" x14ac:dyDescent="0.25">
      <c r="A335">
        <v>89</v>
      </c>
      <c r="B335">
        <v>11</v>
      </c>
      <c r="C335">
        <v>29</v>
      </c>
      <c r="D335">
        <v>7</v>
      </c>
      <c r="E335">
        <v>1</v>
      </c>
      <c r="F335" s="3">
        <f>0+(751.1-74.3)+(0+(-1.915305--0.189465))+0-0-0</f>
        <v>675.07416000000012</v>
      </c>
      <c r="G335" s="3">
        <f>0+(736.1-90.7)+(0+(-1.501644--0.185028))+0-0-0</f>
        <v>644.08338400000002</v>
      </c>
      <c r="H335" s="3">
        <f>0+(710-87.7)+(0+(-1.0863--0.134181))+0-0-0</f>
        <v>621.34788099999992</v>
      </c>
      <c r="I335" s="3">
        <f>0+(689.5-72.7)+(0+(-1.40658--0.148308))+0-0-0</f>
        <v>615.54172799999992</v>
      </c>
      <c r="J335" s="3">
        <f>0+(707.2-97.4)+(0+(0.360672-0.049674))+0-0-0</f>
        <v>610.11099800000011</v>
      </c>
      <c r="K335" s="3">
        <f>0+(716.6-121.1)+(0+(0.365466-0.061761))+0-0-0</f>
        <v>595.80370500000004</v>
      </c>
      <c r="L335" s="3">
        <f>0+(749.2-145.9)+(0+(-1.91046--0.372045))+0-0-0</f>
        <v>601.76158500000008</v>
      </c>
      <c r="M335" s="3">
        <f>0+(728.8-144.6)+(0+(-1.115064--0.221238))+0-0-0</f>
        <v>583.30617399999994</v>
      </c>
      <c r="N335" s="3">
        <f>0+(774.8-163)+(0+(-1.185444--0.24939))+0-0-0</f>
        <v>610.86394599999994</v>
      </c>
      <c r="O335" s="3">
        <f>0+(803.9-156.7)+(0+(0.409989-0.079917))+0-0-0</f>
        <v>647.53007200000002</v>
      </c>
      <c r="P335" s="3">
        <f>0+(843.4-184.5)+(0+(-0.430134--0.094095))+0-0-0</f>
        <v>658.56396099999995</v>
      </c>
      <c r="Q335" s="3">
        <f>0+(868.4-207.6)+(0+(-1.771536--0.423504))+0-0-0</f>
        <v>659.45196799999997</v>
      </c>
      <c r="R335" s="3">
        <f>0+(837.2-194.5)+(0+(-1.707888--0.39678))+0-0-0</f>
        <v>641.38889200000006</v>
      </c>
      <c r="S335" s="3">
        <f>0+(808-179.5)+(0+(-2.0604--0.457725))+0-0-0</f>
        <v>626.89732500000002</v>
      </c>
      <c r="T335" s="3">
        <f>0+(815.3-192)+(0+(-1.247409--0.29376))+0-0-0</f>
        <v>622.34635099999991</v>
      </c>
      <c r="U335" s="3">
        <f>0+(798.1-180.1)+(0+(-1.628124--0.367404))+0-0-0</f>
        <v>616.73928000000001</v>
      </c>
      <c r="V335" s="3">
        <f>0+(773.4-159.7)+(0+(-0.788868--0.162894))+0-0-0</f>
        <v>613.074026</v>
      </c>
      <c r="W335" s="3">
        <f>0+(675.6-90.2)+(0+(-1.033668--0.138006))+0-0-0</f>
        <v>584.50433799999996</v>
      </c>
      <c r="X335" s="3">
        <f>0+(796.9-169)+(0+(-1.625676--0.34476))+0-0-0</f>
        <v>626.61908399999993</v>
      </c>
      <c r="Y335" s="3">
        <f>0+(877.5-202.8)+(0+(-2.237625--0.51714))+0-0-0</f>
        <v>672.97951499999999</v>
      </c>
      <c r="Z335" s="3">
        <f>0+(868-150.5)+(0+(-0.88536--0.15351))+0-0-0</f>
        <v>716.76814999999999</v>
      </c>
      <c r="AA335" s="3">
        <f>0+(922.3-220.7)+(0+(0.470373-0.112557))+0-0-0</f>
        <v>701.95781599999987</v>
      </c>
      <c r="AB335" s="3">
        <f>0+(914.2-211.2)+(0+(-1.864968--0.430848))+0-0-0</f>
        <v>701.56587999999999</v>
      </c>
      <c r="AC335" s="3">
        <f>0+(962.4-290.5)+(0+(-2.45412--0.740775))+0-0-0</f>
        <v>670.18665499999997</v>
      </c>
      <c r="AD335">
        <f t="shared" si="5"/>
        <v>15318.466874</v>
      </c>
      <c r="AE335" s="3">
        <f>130+(832.5-233.5)+(0+(0-0))+0-0-0</f>
        <v>729</v>
      </c>
    </row>
    <row r="336" spans="1:31" s="2" customFormat="1" x14ac:dyDescent="0.25">
      <c r="A336">
        <v>89</v>
      </c>
      <c r="B336">
        <v>11</v>
      </c>
      <c r="C336">
        <v>30</v>
      </c>
      <c r="D336">
        <v>1</v>
      </c>
      <c r="E336">
        <v>1</v>
      </c>
      <c r="F336" s="3">
        <f>0+(964.7-334.4)+(0+(-1.475991--0.511632))+0-0-0</f>
        <v>629.33564100000012</v>
      </c>
      <c r="G336" s="3">
        <f>0+(847.3-239)+(0+(-2.160615--0.60945))+0-0-0</f>
        <v>606.74883499999999</v>
      </c>
      <c r="H336" s="3">
        <f>0+(860.4-264.8)+(0+(0.438804-0.135048))+0-0-0</f>
        <v>595.90375599999993</v>
      </c>
      <c r="I336" s="3">
        <f>0+(880-285.6)+(0+(-0.4488--0.145656))+0-0-0</f>
        <v>594.096856</v>
      </c>
      <c r="J336" s="3">
        <f>0+(880.5-282.6)+(0+(1.79622-0.576504))+0-0-0</f>
        <v>599.11971599999993</v>
      </c>
      <c r="K336" s="3">
        <f>0+(907.7-308.8)+(0+(0.925854-0.314976))+0-0-0</f>
        <v>599.51087800000005</v>
      </c>
      <c r="L336" s="3">
        <f>0+(1020.6-371.4)+(0+(0-0))+0-0-0</f>
        <v>649.20000000000005</v>
      </c>
      <c r="M336" s="3">
        <f>0+(1028.8-348)+(0+(0-0))+0-0-0</f>
        <v>680.8</v>
      </c>
      <c r="N336" s="3">
        <f>91+(1031.3-373.4)+(0.18564+(2.103852-0.761736))+0-0-0</f>
        <v>750.42775599999993</v>
      </c>
      <c r="O336" s="3">
        <f>135+(1051.4-394.3)+(-0.06885+(-0.536214--0.201093))+0-0-0</f>
        <v>791.69602900000018</v>
      </c>
      <c r="P336" s="3">
        <f>134+(1111.8-435.8)+(-0.20502+(-1.701054--0.666774))+0-0-0</f>
        <v>808.76070000000004</v>
      </c>
      <c r="Q336" s="3">
        <f>133.4+(1158.9-471.4)+(-0.068034+(-0.591039--0.240414))+0-0-0</f>
        <v>820.48134100000004</v>
      </c>
      <c r="R336" s="3">
        <f>132.5+(1127.6-454.2)+(-0.067575+(-0.575076--0.231642))+0-0-0</f>
        <v>805.48899099999983</v>
      </c>
      <c r="S336" s="3">
        <f>132.2+(1086.5-441.9)+(-0.33711+(-2.770575--1.126845))+0-0-0</f>
        <v>774.81916000000001</v>
      </c>
      <c r="T336" s="3">
        <f>133.5+(1070.2-425.1)+(-0.068085+(-0.545802--0.216801))+0-0-0</f>
        <v>778.20291400000008</v>
      </c>
      <c r="U336" s="3">
        <f>133.5+(1097.7-436.2)+(-0.204255+(-1.679481--0.667386))+0-0-0</f>
        <v>793.78364999999997</v>
      </c>
      <c r="V336" s="3">
        <f>133.5+(1257.5-570.6)+(-0.27234+(-2.5653--1.164024))+0-0-0</f>
        <v>818.72638399999994</v>
      </c>
      <c r="W336" s="3">
        <f>107.1+(1146.1-440.2)+(-0.218484+(-2.338044--0.898008))+0-0-0</f>
        <v>811.34147999999993</v>
      </c>
      <c r="X336" s="3">
        <f>120.2+(1264.9-519.7)+(-0.183906+(-1.935297--0.795141))+0-0-0</f>
        <v>864.07593800000006</v>
      </c>
      <c r="Y336" s="3">
        <f>127.3+(1297.4-547.2)+(-0.324615+(-3.30837--1.39536))+0-0-0</f>
        <v>875.26237500000002</v>
      </c>
      <c r="Z336" s="3">
        <f>50+(1309.6-509.4)+(-0.0765+(-2.003688--0.779382))+0-0-0</f>
        <v>848.89919399999997</v>
      </c>
      <c r="AA336" s="3">
        <f>21.7+(1311.8-505.5)+(-0.033201+(-2.007054--0.773415))+0-0-0</f>
        <v>826.73316</v>
      </c>
      <c r="AB336" s="3">
        <f>0+(1290-483)+(0+(-3.2895--1.23165))+0-0-0</f>
        <v>804.94214999999997</v>
      </c>
      <c r="AC336" s="3">
        <f>0+(1235.6-458.4)+(0+(-3.15078--1.16892))+0-0-0</f>
        <v>775.21813999999995</v>
      </c>
      <c r="AD336">
        <f t="shared" si="5"/>
        <v>17903.575043999997</v>
      </c>
      <c r="AE336" s="3">
        <f>132+(1304.4-578.7)+(0+(0-0))+0-0-0</f>
        <v>857.7</v>
      </c>
    </row>
    <row r="337" spans="1:31" s="2" customFormat="1" x14ac:dyDescent="0.25">
      <c r="A337">
        <v>89</v>
      </c>
      <c r="B337">
        <v>12</v>
      </c>
      <c r="C337">
        <v>1</v>
      </c>
      <c r="D337">
        <v>2</v>
      </c>
      <c r="E337">
        <v>1</v>
      </c>
      <c r="F337" s="3">
        <f>0+(1100.1-366.4)+(0+(-3.927357--1.308048))+0-0-0</f>
        <v>731.08069099999989</v>
      </c>
      <c r="G337" s="3">
        <f>0+(1033.9-328.3)+(0+(0-0))+0-0-0</f>
        <v>705.60000000000014</v>
      </c>
      <c r="H337" s="3">
        <f>0+(1035.9-343.9)+(0+(-2.113236--0.701556))+0-0-0</f>
        <v>690.58832000000007</v>
      </c>
      <c r="I337" s="3">
        <f>0+(1009.2-329.4)+(0+(2.57346-0.83997))+0-0-0</f>
        <v>681.53349000000003</v>
      </c>
      <c r="J337" s="3">
        <f>0+(1013.6-325.7)+(0+(0-0))+0-0-0</f>
        <v>687.90000000000009</v>
      </c>
      <c r="K337" s="3">
        <f>0+(1000.5-323.2)+(0+(1.02051-0.329664))+0-0-0</f>
        <v>677.99084599999992</v>
      </c>
      <c r="L337" s="3">
        <f>0+(1048.8-345.2)+(0+(1.069776-0.352104))+0-0-0</f>
        <v>704.3176719999999</v>
      </c>
      <c r="M337" s="3">
        <f>0+(1084.5-351.2)+(0+(1.10619-0.358224))+0-0-0</f>
        <v>734.04796599999997</v>
      </c>
      <c r="N337" s="3">
        <f>37.6+(1146.3-403.3)+(0.057528+(1.753839-0.617049))+0-0-0</f>
        <v>781.79431799999998</v>
      </c>
      <c r="O337" s="3">
        <f>128.2+(1204.9-499.8)+(-0.130764+(-1.228998--0.509796))+0-0-0</f>
        <v>832.45003400000019</v>
      </c>
      <c r="P337" s="3">
        <f>128.1+(1213-500.2)+(-0.195993+(-1.85589--0.765306))+0-0-0</f>
        <v>839.61342300000001</v>
      </c>
      <c r="Q337" s="3">
        <f>128.2+(1138.6-423.4)+(-0.457674+(-4.064802--1.511538))+0-0-0</f>
        <v>840.38906199999985</v>
      </c>
      <c r="R337" s="3">
        <f>127.7+(1171.8-476.9)+(-0.260508+(-2.390472--0.972876))+0-0-0</f>
        <v>820.92189600000006</v>
      </c>
      <c r="S337" s="3">
        <f>127.9+(1187.3-495.1)+(-0.260916+(-2.422092--1.010004))+0-0-0</f>
        <v>818.42699599999992</v>
      </c>
      <c r="T337" s="3">
        <f>96.5+(1209.1-485.7)+(-0.049215+(-0.616641--0.247707))+0-0-0</f>
        <v>819.48185099999989</v>
      </c>
      <c r="U337" s="3">
        <f>50.1+(1266.2-486.1)+(0.076653+(1.937286-0.743733))+0-0-0</f>
        <v>831.47020600000008</v>
      </c>
      <c r="V337" s="3">
        <f>50.1+(1242.9-484.8)+(0+(0-0))+0-0-0</f>
        <v>808.20000000000016</v>
      </c>
      <c r="W337" s="3">
        <f>78.3+(1152.3-409.6)+(0+(0-0))+0-0-0</f>
        <v>820.99999999999989</v>
      </c>
      <c r="X337" s="3">
        <f>127.2+(1232.8-482.2)+(-0.194616+(-1.886184--0.737766))+0-0-0</f>
        <v>876.45696599999997</v>
      </c>
      <c r="Y337" s="3">
        <f>126.2+(1235.4-506.3)+(-0.257448+(-2.520216--1.032852))+0-0-0</f>
        <v>853.55518800000016</v>
      </c>
      <c r="Z337" s="3">
        <f>76.9+(1270.1-534.3)+(-0.078438+(-1.295502--0.544986))+0-0-0</f>
        <v>811.87104599999998</v>
      </c>
      <c r="AA337" s="3">
        <f>45.1+(1390.7-634.8)+(0.023001+(0.709257-0.323748))+0-0-0</f>
        <v>801.40851000000009</v>
      </c>
      <c r="AB337" s="3">
        <f>21.8+(1359.5-595.8)+(-0.05559+(-3.466725--1.51929))+0-0-0</f>
        <v>783.49697500000002</v>
      </c>
      <c r="AC337" s="3">
        <f>0+(1295.6-508.8)+(0+(0.660756-0.259488))+0-0-0</f>
        <v>787.20126799999991</v>
      </c>
      <c r="AD337">
        <f t="shared" si="5"/>
        <v>18740.796724000003</v>
      </c>
      <c r="AE337" s="3">
        <f>130+(1232.2-533.6)+(0+(0-0))+0-0-0</f>
        <v>828.6</v>
      </c>
    </row>
    <row r="338" spans="1:31" s="2" customFormat="1" x14ac:dyDescent="0.25">
      <c r="A338">
        <v>89</v>
      </c>
      <c r="B338">
        <v>12</v>
      </c>
      <c r="C338">
        <v>2</v>
      </c>
      <c r="D338">
        <v>3</v>
      </c>
      <c r="E338">
        <v>1</v>
      </c>
      <c r="F338" s="3">
        <f>0+(1186.5-465.3)+(0+(-2.42046--0.949212))+0-0-0</f>
        <v>719.7287520000001</v>
      </c>
      <c r="G338" s="3">
        <f>0+(1086.5-385.5)+(0+(-2.21646--0.78642))+0-0-0</f>
        <v>699.56996000000004</v>
      </c>
      <c r="H338" s="3">
        <f>0+(1026.6-346.8)+(0+(0.523566-0.176868))+0-0-0</f>
        <v>680.1466979999999</v>
      </c>
      <c r="I338" s="3">
        <f>0+(989.8-317.4)+(0+(2.019192-0.647496))+0-0-0</f>
        <v>673.77169600000002</v>
      </c>
      <c r="J338" s="3">
        <f>0+(967-307.4)+(0+(-0.49317--0.156774))+0-0-0</f>
        <v>659.26360399999999</v>
      </c>
      <c r="K338" s="3">
        <f>0+(967.5-314.2)+(0+(0-0))+0-0-0</f>
        <v>653.29999999999995</v>
      </c>
      <c r="L338" s="3">
        <f>0+(947.7-293.4)+(0+(-1.933308--0.598536))+0-0-0</f>
        <v>652.96522800000002</v>
      </c>
      <c r="M338" s="3">
        <f>0+(982.3-331.4)+(0+(-1.502919--0.507042))+0-0-0</f>
        <v>649.90412300000003</v>
      </c>
      <c r="N338" s="3">
        <f>0+(1015.9-337.5)+(0+(1.554327-0.516375))+0-0-0</f>
        <v>679.437952</v>
      </c>
      <c r="O338" s="3">
        <f>35.7+(1049.6-360.1)+(0.018207+(0.535296-0.183651))+0-0-0</f>
        <v>725.56985199999997</v>
      </c>
      <c r="P338" s="3">
        <f>95.3+(984.1-344.8)+(-0.097206+(-1.003782--0.351696))+0-0-0</f>
        <v>733.85070799999994</v>
      </c>
      <c r="Q338" s="3">
        <f>129.7+(982.5-365.6)+(-0.132294+(-1.00215--0.372912))+0-0-0</f>
        <v>745.83846799999992</v>
      </c>
      <c r="R338" s="3">
        <f>129.7+(994.7-383)+(-0.396882+(-3.043782--1.17198))+0-0-0</f>
        <v>739.13131600000008</v>
      </c>
      <c r="S338" s="3">
        <f>57+(1116.1-445)+(-0.05814+(-1.138422--0.4539))+0-0-0</f>
        <v>727.35733799999991</v>
      </c>
      <c r="T338" s="3">
        <f>50.1+(1133.2-455.4)+(0.051102+(1.155864-0.464508))+0-0-0</f>
        <v>728.64245800000015</v>
      </c>
      <c r="U338" s="3">
        <f>50.1+(1150-480.2)+(-0.102204+(-2.346--0.979608))+0-0-0</f>
        <v>718.43140399999993</v>
      </c>
      <c r="V338" s="3">
        <f>49.1+(1160-494.1)+(0.050082+(1.1832-0.503982))+0-0-0</f>
        <v>715.72929999999997</v>
      </c>
      <c r="W338" s="3">
        <f>48+(1124.1-447.6)+(-0.04896+(-1.146582--0.456552))+0-0-0</f>
        <v>723.76100999999994</v>
      </c>
      <c r="X338" s="3">
        <f>102.9+(1201.4-517.2)+(-0.052479+(-0.612714--0.263772))+0-0-0</f>
        <v>786.698579</v>
      </c>
      <c r="Y338" s="3">
        <f>110.4+(1179.5-500.4)+(-0.112608+(-1.20309--0.510408))+0-0-0</f>
        <v>788.69470999999999</v>
      </c>
      <c r="Z338" s="3">
        <f>119.1+(1115.2-456.6)+(-0.060741+(-0.568752--0.232866))+0-0-0</f>
        <v>777.30337300000008</v>
      </c>
      <c r="AA338" s="3">
        <f>88.8+(1147.2-466.2)+(-0.045288+(-0.585072--0.237762))+0-0-0</f>
        <v>769.40740199999993</v>
      </c>
      <c r="AB338" s="3">
        <f>0+(1202-446.5)+(0+(-2.45208--0.91086))+0-0-0</f>
        <v>753.95878000000005</v>
      </c>
      <c r="AC338" s="3">
        <f>0+(1118.8-395)+(0+(0-0))+0-0-0</f>
        <v>723.8</v>
      </c>
      <c r="AD338">
        <f t="shared" si="5"/>
        <v>17226.262711000003</v>
      </c>
      <c r="AE338" s="3">
        <f>131+(1191-538.4)+(0+(0-0))+0-0-0</f>
        <v>783.6</v>
      </c>
    </row>
    <row r="339" spans="1:31" s="2" customFormat="1" x14ac:dyDescent="0.25">
      <c r="A339">
        <v>89</v>
      </c>
      <c r="B339">
        <v>12</v>
      </c>
      <c r="C339">
        <v>3</v>
      </c>
      <c r="D339">
        <v>4</v>
      </c>
      <c r="E339">
        <v>1</v>
      </c>
      <c r="F339" s="3">
        <f>0+(944.1-255.6)+(0+(-0.962982--0.260712))+0-0-0</f>
        <v>687.79773</v>
      </c>
      <c r="G339" s="3">
        <f>0+(851.5-193)+(0+(0-0))+0-0-0</f>
        <v>658.5</v>
      </c>
      <c r="H339" s="3">
        <f>0+(775.3-135.1)+(0+(0-0))+0-0-0</f>
        <v>640.19999999999993</v>
      </c>
      <c r="I339" s="3">
        <f>0+(750.7-116.2)+(0+(-1.148571--0.177786))+0-0-0</f>
        <v>633.52921500000002</v>
      </c>
      <c r="J339" s="3">
        <f>0+(742.9-110.9)+(0+(-1.515516--0.226236))+0-0-0</f>
        <v>630.71072000000004</v>
      </c>
      <c r="K339" s="3">
        <f>0+(769.7-135.6)+(0+(0.785094-0.138312))+0-0-0</f>
        <v>634.74678200000005</v>
      </c>
      <c r="L339" s="3">
        <f>0+(818.4-158.6)+(0+(-0.834768--0.161772))+0-0-0</f>
        <v>659.12700399999994</v>
      </c>
      <c r="M339" s="3">
        <f>0+(839.5-143.5)+(0+(-1.284435--0.219555))+0-0-0</f>
        <v>694.93511999999998</v>
      </c>
      <c r="N339" s="3">
        <f>0+(989.1-241.3)+(0+(0-0))+0-0-0</f>
        <v>747.8</v>
      </c>
      <c r="O339" s="3">
        <f>0+(1099.4-327.7)+(0+(-1.121388--0.334254))+0-0-0</f>
        <v>770.91286600000001</v>
      </c>
      <c r="P339" s="3">
        <f>0+(1125.7-338.4)+(0+(-2.870535--0.86292))+0-0-0</f>
        <v>785.29238500000008</v>
      </c>
      <c r="Q339" s="3">
        <f>50+(1081.9-339.3)+(-0.051+(-1.103538--0.346086))+0-0-0</f>
        <v>791.79154800000015</v>
      </c>
      <c r="R339" s="3">
        <f>48.6+(1048.6-327.3)+(-0.12393+(-2.67393--0.834615))+0-0-0</f>
        <v>767.93675499999995</v>
      </c>
      <c r="S339" s="3">
        <f>48+(1067.9-358)+(0+(0-0))+0-0-0</f>
        <v>757.90000000000009</v>
      </c>
      <c r="T339" s="3">
        <f>48+(1043.8-337.4)+(0.02448+(0.532338-0.172074))+0-0-0</f>
        <v>754.78474399999993</v>
      </c>
      <c r="U339" s="3">
        <f>47.9+(1040-336.8)+(0+(0-0))+0-0-0</f>
        <v>751.1</v>
      </c>
      <c r="V339" s="3">
        <f>55.3+(1025.4-334.7)+(0+(0-0))+0-0-0</f>
        <v>746</v>
      </c>
      <c r="W339" s="3">
        <f>131.8+(835.7-217.2)+(-0.067218+(-0.426207--0.110772))+0-0-0</f>
        <v>749.91734699999995</v>
      </c>
      <c r="X339" s="3">
        <f>131.8+(1027.4-338.5)+(-0.067218+(-0.523974--0.172635))+0-0-0</f>
        <v>820.28144300000008</v>
      </c>
      <c r="Y339" s="3">
        <f>83.7+(1146.6-401.7)+(-0.128061+(-1.754298--0.614601))+0-0-0</f>
        <v>827.33224199999995</v>
      </c>
      <c r="Z339" s="3">
        <f>50.1+(1122.7-368.9)+(-0.051102+(-1.145154--0.376278))+0-0-0</f>
        <v>803.0800220000001</v>
      </c>
      <c r="AA339" s="3">
        <f>27.6+(1185.7-416.4)+(-0.084456+(-3.628242--1.274184))+0-0-0</f>
        <v>794.46148600000004</v>
      </c>
      <c r="AB339" s="3">
        <f>0+(1154.7-380.7)+(0+(-2.355588--0.776628))+0-0-0</f>
        <v>772.42103999999995</v>
      </c>
      <c r="AC339" s="3">
        <f>0+(1060.4-313.3)+(0+(-3.244824--0.958698))+0-0-0</f>
        <v>744.81387400000017</v>
      </c>
      <c r="AD339">
        <f t="shared" si="5"/>
        <v>17625.372323000003</v>
      </c>
      <c r="AE339" s="3">
        <f>133+(1105.1-418.7)+(0+(0-0))+0-0-0</f>
        <v>819.39999999999986</v>
      </c>
    </row>
    <row r="340" spans="1:31" s="2" customFormat="1" x14ac:dyDescent="0.25">
      <c r="A340">
        <v>89</v>
      </c>
      <c r="B340">
        <v>12</v>
      </c>
      <c r="C340">
        <v>4</v>
      </c>
      <c r="D340">
        <v>5</v>
      </c>
      <c r="E340">
        <v>1</v>
      </c>
      <c r="F340" s="3">
        <f>0+(1012.9-303.3)+(0+(1.033158-0.309366))+0-0-0</f>
        <v>710.32379199999991</v>
      </c>
      <c r="G340" s="3">
        <f>0+(924.3-246.5)+(0+(-1.885572--0.50286))+0-0-0</f>
        <v>676.41728799999999</v>
      </c>
      <c r="H340" s="3">
        <f>0+(876.1-207.6)+(0+(0.446811-0.105876))+0-0-0</f>
        <v>668.84093499999994</v>
      </c>
      <c r="I340" s="3">
        <f>0+(862.8-189.6)+(0+(-1.760112--0.386784))+0-0-0</f>
        <v>671.82667199999992</v>
      </c>
      <c r="J340" s="3">
        <f>0+(852-189.5)+(0+(-1.30356--0.289935))+0-0-0</f>
        <v>661.48637499999995</v>
      </c>
      <c r="K340" s="3">
        <f>0+(875.9-208.7)+(0+(0.446709-0.106437))+0-0-0</f>
        <v>667.54027200000007</v>
      </c>
      <c r="L340" s="3">
        <f>0+(873.7-196.1)+(0+(-1.782348--0.400044))+0-0-0</f>
        <v>676.21769600000005</v>
      </c>
      <c r="M340" s="3">
        <f>14.8+(853-146.3)+(-0.015096+(-0.87006--0.149226))+0-0-0</f>
        <v>720.76406999999995</v>
      </c>
      <c r="N340" s="3">
        <f>76.3+(898-206.6)+(0+(0-0))+0-0-0</f>
        <v>767.69999999999993</v>
      </c>
      <c r="O340" s="3">
        <f>133.7+(984.7-315.8)+(-0.068187+(-0.502197--0.161058))+0-0-0</f>
        <v>802.19067400000017</v>
      </c>
      <c r="P340" s="3">
        <f>133+(1020.7-340.6)+(-0.06783+(-0.520557--0.173706))+0-0-0</f>
        <v>812.68531900000005</v>
      </c>
      <c r="Q340" s="3">
        <f>133.1+(1037.3-352.8)+(-0.067881+(-0.529023--0.179928))+0-0-0</f>
        <v>817.18302400000005</v>
      </c>
      <c r="R340" s="3">
        <f>74+(1092.5-374)+(-0.1887+(-2.785875--0.9537))+0-0-0</f>
        <v>790.47912499999995</v>
      </c>
      <c r="S340" s="3">
        <f>50+(1108.8-399.1)+(-0.0255+(-0.565488--0.203541))+0-0-0</f>
        <v>759.31255299999998</v>
      </c>
      <c r="T340" s="3">
        <f>50+(1090.2-388.6)+(-0.1275+(-2.78001--0.99093))+0-0-0</f>
        <v>749.68342000000007</v>
      </c>
      <c r="U340" s="3">
        <f>50+(1069.7-374.4)+(-0.0765+(-1.636641--0.572832))+0-0-0</f>
        <v>744.15969100000007</v>
      </c>
      <c r="V340" s="3">
        <f>50+(1052.1-361.3)+(-0.2295+(-4.829139--1.658367))+0-0-0</f>
        <v>737.39972799999998</v>
      </c>
      <c r="W340" s="3">
        <f>50+(965.1-279.7)+(0+(0-0))+0-0-0</f>
        <v>735.40000000000009</v>
      </c>
      <c r="X340" s="3">
        <f>93.9+(1043.7-341.4)+(-0.191556+(-2.129148--0.696456))+0-0-0</f>
        <v>794.57575200000008</v>
      </c>
      <c r="Y340" s="3">
        <f>117.1+(1057.8-369.1)+(0+(0-0))+0-0-0</f>
        <v>805.8</v>
      </c>
      <c r="Z340" s="3">
        <f>2.3+(1145-357.3)+(0+(0-0))+0-0-0</f>
        <v>790</v>
      </c>
      <c r="AA340" s="3">
        <f>0+(1181.3-402.8)+(0+(-1.204926--0.410856))+0-0-0</f>
        <v>777.70592999999997</v>
      </c>
      <c r="AB340" s="3">
        <f>0+(1144-389)+(0+(-2.33376--0.79356))+0-0-0</f>
        <v>753.45979999999997</v>
      </c>
      <c r="AC340" s="3">
        <f>0+(1070.5-333.1)+(0+(-4.36764--1.359048))+0-0-0</f>
        <v>734.39140799999996</v>
      </c>
      <c r="AD340">
        <f t="shared" si="5"/>
        <v>17825.543524000001</v>
      </c>
      <c r="AE340" s="3">
        <f>131+(1052.2-366.6)+(0+(0-0))+0-0-0</f>
        <v>816.6</v>
      </c>
    </row>
    <row r="341" spans="1:31" s="2" customFormat="1" x14ac:dyDescent="0.25">
      <c r="A341">
        <v>89</v>
      </c>
      <c r="B341">
        <v>12</v>
      </c>
      <c r="C341">
        <v>5</v>
      </c>
      <c r="D341">
        <v>6</v>
      </c>
      <c r="E341">
        <v>1</v>
      </c>
      <c r="F341" s="3">
        <f>0+(940.3-240.4)+(0+(-1.438659--0.367812))+0-0-0</f>
        <v>698.82915300000002</v>
      </c>
      <c r="G341" s="3">
        <f>0+(840.2-168.9)+(0+(0.857004-0.172278))+0-0-0</f>
        <v>671.98472600000002</v>
      </c>
      <c r="H341" s="3">
        <f>0+(796.2-136.4)+(0+(-2.436372--0.417384))+0-0-0</f>
        <v>657.78101200000003</v>
      </c>
      <c r="I341" s="3">
        <f>0+(790.7-138.7)+(0+(0.806514-0.141474))+0-0-0</f>
        <v>652.66503999999998</v>
      </c>
      <c r="J341" s="3">
        <f>0+(773.3-123)+(0+(0.394383-0.06273))+0-0-0</f>
        <v>650.63165299999991</v>
      </c>
      <c r="K341" s="3">
        <f>0+(760-115.3)+(0+(2.3256-0.352818))+0-0-0</f>
        <v>646.6727820000001</v>
      </c>
      <c r="L341" s="3">
        <f>0+(851.9-185.2)+(0+(0-0))+0-0-0</f>
        <v>666.7</v>
      </c>
      <c r="M341" s="3">
        <f>0+(938.6-251.7)+(0+(1.436058-0.385101))+0-0-0</f>
        <v>687.95095700000013</v>
      </c>
      <c r="N341" s="3">
        <f>112.3+(947.3-322.8)+(0+(0-0))+0-0-0</f>
        <v>736.8</v>
      </c>
      <c r="O341" s="3">
        <f>131.2+(957.3-314.7)+(0+(0-0))+0-0-0</f>
        <v>773.8</v>
      </c>
      <c r="P341" s="3">
        <f>132+(1002.1-349.4)+(0+(0-0))+0-0-0</f>
        <v>784.7</v>
      </c>
      <c r="Q341" s="3">
        <f>131.8+(1041.3-375.8)+(0.067218+(0.531063-0.191658))+0-0-0</f>
        <v>797.70662299999992</v>
      </c>
      <c r="R341" s="3">
        <f>123.1+(1020-359.6)+(-0.125562+(-1.0404--0.366792))+0-0-0</f>
        <v>782.70083</v>
      </c>
      <c r="S341" s="3">
        <f>50.1+(1056.8-344.2)+(-0.051102+(-1.077936--0.351084))+0-0-0</f>
        <v>761.92204599999991</v>
      </c>
      <c r="T341" s="3">
        <f>50+(1024.8-322.9)+(-0.0255+(-0.522648--0.164679))+0-0-0</f>
        <v>751.51653099999999</v>
      </c>
      <c r="U341" s="3">
        <f>50+(1014.1-326.8)+(-0.051+(-1.034382--0.333336))+0-0-0</f>
        <v>736.547954</v>
      </c>
      <c r="V341" s="3">
        <f>50.1+(1009.3-330.4)+(-0.178857+(-3.603201--1.179528))+0-0-0</f>
        <v>726.39747</v>
      </c>
      <c r="W341" s="3">
        <f>50+(933.7-256.6)+(-0.0255+(-0.476187--0.130866))+0-0-0</f>
        <v>726.72917900000004</v>
      </c>
      <c r="X341" s="3">
        <f>108.5+(1039.3-355.3)+(-0.166005+(-1.590129--0.543609))+0-0-0</f>
        <v>791.28747499999997</v>
      </c>
      <c r="Y341" s="3">
        <f>56.5+(1187.6-436.7)+(-0.05763+(-1.211352--0.445434))+0-0-0</f>
        <v>806.5764519999999</v>
      </c>
      <c r="Z341" s="3">
        <f>19.7+(1196.8-428.9)+(-0.030141+(-1.831104--0.656217))+0-0-0</f>
        <v>786.39497200000005</v>
      </c>
      <c r="AA341" s="3">
        <f>0+(1255.5-483.3)+(0+(0-0))+0-0-0</f>
        <v>772.2</v>
      </c>
      <c r="AB341" s="3">
        <f>0+(1192-438.2)+(0+(-2.43168--0.893928))+0-0-0</f>
        <v>752.262248</v>
      </c>
      <c r="AC341" s="3">
        <f>0+(1100.8-377.9)+(0+(-2.80704--0.963645))+0-0-0</f>
        <v>721.05660499999999</v>
      </c>
      <c r="AD341">
        <f t="shared" si="5"/>
        <v>17541.813707999998</v>
      </c>
      <c r="AE341" s="3">
        <f>132+(1080.6-404.7)+(0+(0-0))+0-0-0</f>
        <v>807.89999999999986</v>
      </c>
    </row>
    <row r="342" spans="1:31" s="2" customFormat="1" x14ac:dyDescent="0.25">
      <c r="A342">
        <v>89</v>
      </c>
      <c r="B342">
        <v>12</v>
      </c>
      <c r="C342">
        <v>6</v>
      </c>
      <c r="D342">
        <v>7</v>
      </c>
      <c r="E342">
        <v>1</v>
      </c>
      <c r="F342" s="3">
        <f>0+(975.1-290.7)+(0+(-0.994602--0.296514))+0-0-0</f>
        <v>683.70191200000011</v>
      </c>
      <c r="G342" s="3">
        <f>0+(936.1-279.9)+(0+(-0.477411--0.142749))+0-0-0</f>
        <v>655.86533800000007</v>
      </c>
      <c r="H342" s="3">
        <f>0+(895.7-254.8)+(0+(0-0))+0-0-0</f>
        <v>640.90000000000009</v>
      </c>
      <c r="I342" s="3">
        <f>0+(864.4-240.9)+(0+(1.322532-0.368577))+0-0-0</f>
        <v>624.45395499999995</v>
      </c>
      <c r="J342" s="3">
        <f>0+(841.1-223)+(0+(-2.144805--0.56865))+0-0-0</f>
        <v>616.52384500000005</v>
      </c>
      <c r="K342" s="3">
        <f>0+(841.8-233.1)+(0+(1.287954-0.356643))+0-0-0</f>
        <v>609.63131099999998</v>
      </c>
      <c r="L342" s="3">
        <f>0+(854.3-252)+(0+(-0.871386--0.25704))+0-0-0</f>
        <v>601.685654</v>
      </c>
      <c r="M342" s="3">
        <f>0+(863.7-284.5)+(0+(0.440487-0.145095))+0-0-0</f>
        <v>579.49539200000004</v>
      </c>
      <c r="N342" s="3">
        <f>0+(973.7-353.6)+(0+(-0.993174--0.360672))+0-0-0</f>
        <v>619.46749799999998</v>
      </c>
      <c r="O342" s="3">
        <f>0+(989.4-344.6)+(0+(0.504594-0.175746))+0-0-0</f>
        <v>645.12884799999995</v>
      </c>
      <c r="P342" s="3">
        <f>0+(968.5-308.5)+(0+(0.98787-0.31467))+0-0-0</f>
        <v>660.67319999999995</v>
      </c>
      <c r="Q342" s="3">
        <f>0+(977.5-305.4)+(0+(-1.9941--0.623016))+0-0-0</f>
        <v>670.72891600000003</v>
      </c>
      <c r="R342" s="3">
        <f>0+(967.8-309.1)+(0+(-0.493578--0.157641))+0-0-0</f>
        <v>658.36406299999999</v>
      </c>
      <c r="S342" s="3">
        <f>0+(1034.1-386.2)+(0+(-3.164346--1.181772))+0-0-0</f>
        <v>645.91742599999986</v>
      </c>
      <c r="T342" s="3">
        <f>0+(1039.7-394.9)+(0+(-1.060494--0.402798))+0-0-0</f>
        <v>644.14230400000008</v>
      </c>
      <c r="U342" s="3">
        <f>0+(1009.7-371.9)+(0+(-3.089682--1.138014))+0-0-0</f>
        <v>635.84833200000003</v>
      </c>
      <c r="V342" s="3">
        <f>0+(970.1-343.1)+(0+(-0.989502--0.349962))+0-0-0</f>
        <v>626.36045999999999</v>
      </c>
      <c r="W342" s="3">
        <f>0+(872.8-229.2)+(0+(-0.445128--0.116892))+0-0-0</f>
        <v>643.27176399999996</v>
      </c>
      <c r="X342" s="3">
        <f>0+(1000.6-282.1)+(0+(-1.530918--0.431613))+0-0-0</f>
        <v>717.40069500000004</v>
      </c>
      <c r="Y342" s="3">
        <f>0+(1079.9-340.2)+(0+(0.550749-0.173502))+0-0-0</f>
        <v>740.07724700000006</v>
      </c>
      <c r="Z342" s="3">
        <f>0+(1042.1-316.3)+(0+(-1.594413--0.483939))+0-0-0</f>
        <v>724.689526</v>
      </c>
      <c r="AA342" s="3">
        <f>0+(1075.3-360.4)+(0+(0.548403-0.183804))+0-0-0</f>
        <v>715.26459899999998</v>
      </c>
      <c r="AB342" s="3">
        <f>0+(1011.1-314.4)+(0+(-1.031322--0.320688))+0-0-0</f>
        <v>695.98936600000002</v>
      </c>
      <c r="AC342" s="3">
        <f>0+(1008.2-340.7)+(0+(-2.056728--0.695028))+0-0-0</f>
        <v>666.13829999999996</v>
      </c>
      <c r="AD342">
        <f t="shared" si="5"/>
        <v>15721.719951000001</v>
      </c>
      <c r="AE342" s="3">
        <f>0+(1089.6-346.8)+(0+(0-0))+0-0-0</f>
        <v>742.8</v>
      </c>
    </row>
    <row r="343" spans="1:31" s="2" customFormat="1" x14ac:dyDescent="0.25">
      <c r="A343">
        <v>89</v>
      </c>
      <c r="B343">
        <v>12</v>
      </c>
      <c r="C343">
        <v>7</v>
      </c>
      <c r="D343">
        <v>1</v>
      </c>
      <c r="E343">
        <v>1</v>
      </c>
      <c r="F343" s="3">
        <f>0+(984.2-352.4)+(0+(-1.003884--0.359448))+0-0-0</f>
        <v>631.15556400000003</v>
      </c>
      <c r="G343" s="3">
        <f>0+(918.2-308.1)+(0+(-0.936564--0.314262))+0-0-0</f>
        <v>609.47769800000003</v>
      </c>
      <c r="H343" s="3">
        <f>0+(922.1-325.5)+(0+(1.881084-0.66402))+0-0-0</f>
        <v>597.81706400000007</v>
      </c>
      <c r="I343" s="3">
        <f>0+(930.1-328.6)+(0+(-0.948702--0.335172))+0-0-0</f>
        <v>600.88647000000003</v>
      </c>
      <c r="J343" s="3">
        <f>0+(937.7-339.3)+(0+(2.869362-1.038258))+0-0-0</f>
        <v>600.23110400000007</v>
      </c>
      <c r="K343" s="3">
        <f>0+(944-339.4)+(0+(0.48144-0.173094))+0-0-0</f>
        <v>604.90834600000005</v>
      </c>
      <c r="L343" s="3">
        <f>0+(1052.4-406.9)+(0+(1.610172-0.622557))+0-0-0</f>
        <v>646.48761500000012</v>
      </c>
      <c r="M343" s="3">
        <f>18.3+(1098.9-429.2)+(0.046665+(2.802195-1.09446))+0-0-0</f>
        <v>689.75440000000003</v>
      </c>
      <c r="N343" s="3">
        <f>124.9+(1001.6-384.6)+(0.063699+(0.510816-0.196146))+0-0-0</f>
        <v>742.278369</v>
      </c>
      <c r="O343" s="3">
        <f>131.3+(1112-436.2)+(0.066963+(0.56712-0.222462))+0-0-0</f>
        <v>807.51162099999988</v>
      </c>
      <c r="P343" s="3">
        <f>131.4+(1154.4-480.1)+(0.201042+(1.766232-0.734553))+0-0-0</f>
        <v>806.93272100000002</v>
      </c>
      <c r="Q343" s="3">
        <f>131.4+(1161-472.8)+(-0.067014+(-0.59211--0.241128))+0-0-0</f>
        <v>819.18200400000001</v>
      </c>
      <c r="R343" s="3">
        <f>130.7+(1112.6-438.4)+(-0.066657+(-0.567426--0.223584))+0-0-0</f>
        <v>804.4895009999999</v>
      </c>
      <c r="S343" s="3">
        <f>127.6+(1072.2-422.7)+(-0.195228+(-1.640466--0.646731))+0-0-0</f>
        <v>775.91103700000008</v>
      </c>
      <c r="T343" s="3">
        <f>50.4+(1064.3-345.2)+(0+(0-0))+0-0-0</f>
        <v>769.49999999999989</v>
      </c>
      <c r="U343" s="3">
        <f>50+(1119.2-380.8)+(-0.051+(-1.141584--0.388416))+0-0-0</f>
        <v>787.59583200000009</v>
      </c>
      <c r="V343" s="3">
        <f>50.1+(1193.8-445.7)+(0+(0-0))+0-0-0</f>
        <v>798.19999999999993</v>
      </c>
      <c r="W343" s="3">
        <f>50+(1232.8-469.9)+(-0.102+(-2.514912--0.958596))+0-0-0</f>
        <v>811.24168399999996</v>
      </c>
      <c r="X343" s="3">
        <f>52.1+(1327.6-515.8)+(-0.132855+(-3.38538--1.31529))+0-0-0</f>
        <v>861.69705499999998</v>
      </c>
      <c r="Y343" s="3">
        <f>16.7+(1367.9-531.2)+(-0.025551+(-2.092887--0.812736))+0-0-0</f>
        <v>852.09429800000009</v>
      </c>
      <c r="Z343" s="3">
        <f>0+(1354.1-548.9)+(0+(-0.690591--0.279939))+0-0-0</f>
        <v>804.7893479999999</v>
      </c>
      <c r="AA343" s="3">
        <f>0+(1330-541.3)+(0+(-1.3566--0.552126))+0-0-0</f>
        <v>787.89552600000002</v>
      </c>
      <c r="AB343" s="3">
        <f>0+(1276-511.1)+(0+(-3.2538--1.303305))+0-0-0</f>
        <v>762.94950499999993</v>
      </c>
      <c r="AC343" s="3">
        <f>0+(1216.3-479.8)+(0+(-2.481252--0.978792))+0-0-0</f>
        <v>734.99753999999996</v>
      </c>
      <c r="AD343">
        <f t="shared" si="5"/>
        <v>17707.984302000001</v>
      </c>
      <c r="AE343" s="3">
        <f>55+(1352.1-538.4)+(0+(0-0))+0-0-0</f>
        <v>868.69999999999993</v>
      </c>
    </row>
    <row r="344" spans="1:31" s="2" customFormat="1" x14ac:dyDescent="0.25">
      <c r="A344">
        <v>89</v>
      </c>
      <c r="B344">
        <v>12</v>
      </c>
      <c r="C344">
        <v>8</v>
      </c>
      <c r="D344">
        <v>2</v>
      </c>
      <c r="E344">
        <v>1</v>
      </c>
      <c r="F344" s="3">
        <f>0+(1119.1-428.5)+(0+(-0.570741--0.218535))+0-0-0</f>
        <v>690.24779399999989</v>
      </c>
      <c r="G344" s="3">
        <f>0+(1009.1-347.4)+(0+(0-0))+0-0-0</f>
        <v>661.7</v>
      </c>
      <c r="H344" s="3">
        <f>0+(982.9-333.8)+(0+(-1.503837--0.510714))+0-0-0</f>
        <v>648.10687699999994</v>
      </c>
      <c r="I344" s="3">
        <f>0+(996.7-350.4)+(0+(-1.524951--0.536112))+0-0-0</f>
        <v>645.31116100000008</v>
      </c>
      <c r="J344" s="3">
        <f>0+(991.6-343.8)+(0+(-0.505716--0.175338))+0-0-0</f>
        <v>647.46962199999996</v>
      </c>
      <c r="K344" s="3">
        <f>0+(996.8-348.6)+(0+(0.508368-0.177786))+0-0-0</f>
        <v>648.53058199999998</v>
      </c>
      <c r="L344" s="3">
        <f>0+(1042.7-363.3)+(0+(-1.063554--0.370566))+0-0-0</f>
        <v>678.70701200000008</v>
      </c>
      <c r="M344" s="3">
        <f>0+(1157.8-441)+(0+(-0.590478--0.22491))+0-0-0</f>
        <v>716.4344319999999</v>
      </c>
      <c r="N344" s="3">
        <f>21.6+(1089.2-357.7)+(-0.022032+(-1.110984--0.364854))+0-0-0</f>
        <v>752.33183800000006</v>
      </c>
      <c r="O344" s="3">
        <f>118.4+(1066.9-376.4)+(0.120768+(1.088238-0.383928))+0-0-0</f>
        <v>809.72507800000005</v>
      </c>
      <c r="P344" s="3">
        <f>131.7+(1106.3-394)+(-0.268668+(-2.256852--0.80376))+0-0-0</f>
        <v>842.27823999999998</v>
      </c>
      <c r="Q344" s="3">
        <f>132.7+(1119.5-412.5)+(-0.203031+(-1.712835--0.631125))+0-0-0</f>
        <v>838.41525899999999</v>
      </c>
      <c r="R344" s="3">
        <f>68.7+(1157.9-405.4)+(-0.210222+(-3.543174--1.240524))+0-0-0</f>
        <v>818.68712800000014</v>
      </c>
      <c r="S344" s="3">
        <f>50+(1134.2-390.9)+(-0.0765+(-1.735326--0.598077))+0-0-0</f>
        <v>792.08625100000006</v>
      </c>
      <c r="T344" s="3">
        <f>49.9+(1159.5-413.1)+(-0.076347+(-1.774035--0.632043))+0-0-0</f>
        <v>795.08166099999994</v>
      </c>
      <c r="U344" s="3">
        <f>55.1+(1186.7-450.4)+(-0.056202+(-1.210434--0.459408))+0-0-0</f>
        <v>790.59277200000008</v>
      </c>
      <c r="V344" s="3">
        <f>50.1+(1206.1-465.8)+(-0.153306+(-3.690666--1.425348))+0-0-0</f>
        <v>787.98137599999995</v>
      </c>
      <c r="W344" s="3">
        <f>51.1+(1209.7-480.7)+(-0.078183+(-1.850841--0.735471))+0-0-0</f>
        <v>778.90644700000007</v>
      </c>
      <c r="X344" s="3">
        <f>51.5+(1328-533.8)+(-0.05253+(-1.35456--0.544476))+0-0-0</f>
        <v>844.83738600000004</v>
      </c>
      <c r="Y344" s="3">
        <f>43.6+(1394.3-577.8)+(-0.133416+(-4.266558--1.768068))+0-0-0</f>
        <v>857.46809400000006</v>
      </c>
      <c r="Z344" s="3">
        <f>0+(1375.5-523.5)+(0+(-1.40301--0.53397))+0-0-0</f>
        <v>851.13095999999996</v>
      </c>
      <c r="AA344" s="3">
        <f>0+(1328.6-499.6)+(0+(-2.032758--0.764388))+0-0-0</f>
        <v>827.73162999999988</v>
      </c>
      <c r="AB344" s="3">
        <f>0+(1264.8-457.9)+(0+(-3.22524--1.167645))+0-0-0</f>
        <v>804.84240499999999</v>
      </c>
      <c r="AC344" s="3">
        <f>0+(1160.2-390.6)+(0+(-2.95851--0.99603))+0-0-0</f>
        <v>767.63751999999999</v>
      </c>
      <c r="AD344">
        <f t="shared" si="5"/>
        <v>18296.241524999998</v>
      </c>
      <c r="AE344" s="3">
        <f>50+(1371.5-585.7)+(0+(0-0))+0-0-0</f>
        <v>835.8</v>
      </c>
    </row>
    <row r="345" spans="1:31" s="2" customFormat="1" x14ac:dyDescent="0.25">
      <c r="A345">
        <v>89</v>
      </c>
      <c r="B345">
        <v>12</v>
      </c>
      <c r="C345">
        <v>9</v>
      </c>
      <c r="D345">
        <v>3</v>
      </c>
      <c r="E345">
        <v>1</v>
      </c>
      <c r="F345" s="3">
        <f>0+(1084.8-352.1)+(0+(0-0))+0-0-0</f>
        <v>732.69999999999993</v>
      </c>
      <c r="G345" s="3">
        <f>0+(966.3-250.1)+(0+(0-0))+0-0-0</f>
        <v>716.19999999999993</v>
      </c>
      <c r="H345" s="3">
        <f>0+(918.6-235.9)+(0+(0-0))+0-0-0</f>
        <v>682.7</v>
      </c>
      <c r="I345" s="3">
        <f>0+(936.5-246.3)+(0+(0-0))+0-0-0</f>
        <v>690.2</v>
      </c>
      <c r="J345" s="3">
        <f>0+(921.2-242.1)+(0+(0-0))+0-0-0</f>
        <v>679.1</v>
      </c>
      <c r="K345" s="3">
        <f>0+(959.1-283.9)+(0+(0-0))+0-0-0</f>
        <v>675.2</v>
      </c>
      <c r="L345" s="3">
        <f>0+(1049.4-341.4)+(0+(0-0))+0-0-0</f>
        <v>708.00000000000011</v>
      </c>
      <c r="M345" s="3">
        <f>10.1+(1128.6-391.3)+(0+(0-0))+0-0-0</f>
        <v>747.4</v>
      </c>
      <c r="N345" s="3">
        <f>70.4+(1098.5-384.2)+(0+(0-0))+0-0-0</f>
        <v>784.69999999999993</v>
      </c>
      <c r="O345" s="3">
        <f>131.8+(1052.4-367)+(0+(0-0))+0-0-0</f>
        <v>817.2</v>
      </c>
      <c r="P345" s="3">
        <f>132.4+(1070.6-379.5)+(-0.135048+(-1.092012--0.38709))+0-0-0</f>
        <v>822.66002999999989</v>
      </c>
      <c r="Q345" s="3">
        <f>132.1+(1080.7-383.8)+(-0.202113+(-1.653471--0.587214))+0-0-0</f>
        <v>827.73163000000011</v>
      </c>
      <c r="R345" s="3">
        <f>79.6+(1101-385)+(-0.162384+(-2.24604--0.7854))+0-0-0</f>
        <v>793.97697600000004</v>
      </c>
      <c r="S345" s="3">
        <f>50+(1134.9-392.3)+(-0.102+(-2.315196--0.800292))+0-0-0</f>
        <v>790.98309600000016</v>
      </c>
      <c r="T345" s="3">
        <f>50.1+(1115.4-373.1)+(-0.025551+(-0.568854--0.190281))+0-0-0</f>
        <v>791.99587600000007</v>
      </c>
      <c r="U345" s="3">
        <f>50+(1090.7-354.8)+(0+(0-0))+0-0-0</f>
        <v>785.90000000000009</v>
      </c>
      <c r="V345" s="3">
        <f>50.1+(1068.4-342.2)+(-0.153306+(-3.269304--1.047132))+0-0-0</f>
        <v>773.92452200000002</v>
      </c>
      <c r="W345" s="3">
        <f>50+(1039.5-310.4)+(-0.1275+(-2.650725--0.79152))+0-0-0</f>
        <v>777.11329499999999</v>
      </c>
      <c r="X345" s="3">
        <f>107.3+(1169.4-423.2)+(-0.218892+(-2.385576--0.863328))+0-0-0</f>
        <v>851.75886000000003</v>
      </c>
      <c r="Y345" s="3">
        <f>97.4+(1245.1-476.1)+(-0.149022+(-1.905003--0.728433))+0-0-0</f>
        <v>865.07440799999983</v>
      </c>
      <c r="Z345" s="3">
        <f>7.8+(1311.7-478.3)+(-0.023868+(-4.013802--1.463598))+0-0-0</f>
        <v>838.62592800000004</v>
      </c>
      <c r="AA345" s="3">
        <f>0+(1333.9-513)+(0+(-0.680289--0.26163))+0-0-0</f>
        <v>820.48134100000004</v>
      </c>
      <c r="AB345" s="3">
        <f>0+(1275.5-475.9)+(0+(-2.60202--0.970836))+0-0-0</f>
        <v>797.96881600000006</v>
      </c>
      <c r="AC345" s="3">
        <f>0+(1201.8-429.6)+(0+(-4.290426--1.533672))+0-0-0</f>
        <v>769.44324599999993</v>
      </c>
      <c r="AD345">
        <f t="shared" si="5"/>
        <v>18541.038023999998</v>
      </c>
      <c r="AE345" s="3">
        <f>131+(1201.2-482.3)+(0+(0-0))+0-0-0</f>
        <v>849.90000000000009</v>
      </c>
    </row>
    <row r="346" spans="1:31" s="2" customFormat="1" x14ac:dyDescent="0.25">
      <c r="A346">
        <v>89</v>
      </c>
      <c r="B346">
        <v>12</v>
      </c>
      <c r="C346">
        <v>10</v>
      </c>
      <c r="D346">
        <v>4</v>
      </c>
      <c r="E346">
        <v>1</v>
      </c>
      <c r="F346" s="3">
        <f>0+(1096.7-365.7)+(0+(-2.237268--0.746028))+0-0-0</f>
        <v>729.50876000000005</v>
      </c>
      <c r="G346" s="3">
        <f>0+(1048.6-329.5)+(0+(-1.604358--0.504135))+0-0-0</f>
        <v>717.99977699999988</v>
      </c>
      <c r="H346" s="3">
        <f>0+(978.4-276)+(0+(-1.995936--0.56304))+0-0-0</f>
        <v>700.96710399999995</v>
      </c>
      <c r="I346" s="3">
        <f>0+(965.5-262.8)+(0+(-2.462025--0.67014))+0-0-0</f>
        <v>700.90811500000007</v>
      </c>
      <c r="J346" s="3">
        <f>0+(1010.3-319.3)+(0+(0-0))+0-0-0</f>
        <v>691</v>
      </c>
      <c r="K346" s="3">
        <f>0+(1066.9-374.2)+(0+(-1.632357--0.572526))+0-0-0</f>
        <v>691.64016900000001</v>
      </c>
      <c r="L346" s="3">
        <f>0+(1115.8-408.8)+(0+(-1.707174--0.625464))+0-0-0</f>
        <v>705.91828999999996</v>
      </c>
      <c r="M346" s="3">
        <f>0+(1162.3-419.4)+(0+(0-0))+0-0-0</f>
        <v>742.9</v>
      </c>
      <c r="N346" s="3">
        <f>78.6+(1136.5-420.8)+(0.040086+(0.579615-0.214608))+0-0-0</f>
        <v>794.70509300000003</v>
      </c>
      <c r="O346" s="3">
        <f>134+(1083.1-384.1)+(-0.06834+(-0.552381--0.195891))+0-0-0</f>
        <v>832.57516999999984</v>
      </c>
      <c r="P346" s="3">
        <f>134+(1100.7-404)+(0+(0-0))+0-0-0</f>
        <v>830.7</v>
      </c>
      <c r="Q346" s="3">
        <f>134+(1105.7-405.4)+(-0.13668+(-1.127814--0.413508))+0-0-0</f>
        <v>833.44901400000003</v>
      </c>
      <c r="R346" s="3">
        <f>78.5+(1159.7-400.1)+(-0.200175+(-2.957235--1.020255))+0-0-0</f>
        <v>835.96284500000002</v>
      </c>
      <c r="S346" s="3">
        <f>50.1+(1203.3-437.4)+(0.025551+(0.613683-0.223074))+0-0-0</f>
        <v>816.41615999999999</v>
      </c>
      <c r="T346" s="3">
        <f>50.1+(1137.4-390.9)+(-0.051102+(-1.160148--0.398718))+0-0-0</f>
        <v>795.7874680000001</v>
      </c>
      <c r="U346" s="3">
        <f>50+(1148.6-403)+(0+(0-0))+0-0-0</f>
        <v>795.59999999999991</v>
      </c>
      <c r="V346" s="3">
        <f>50+(1146.8-387.7)+(-0.051+(-1.169736--0.395454))+0-0-0</f>
        <v>808.27471799999989</v>
      </c>
      <c r="W346" s="3">
        <f>50+(1141.1-379.3)+(-0.051+(-1.163922--0.386886))+0-0-0</f>
        <v>810.97196399999996</v>
      </c>
      <c r="X346" s="3">
        <f>96.4+(1184.5-424.1)+(-0.147492+(-1.812285--0.648873))+0-0-0</f>
        <v>855.4890959999999</v>
      </c>
      <c r="Y346" s="3">
        <f>134.8+(1180.7-456.5)+(-0.206244+(-1.806471--0.698445))+0-0-0</f>
        <v>857.68573000000004</v>
      </c>
      <c r="Z346" s="3">
        <f>135.8+(1143.4-431.2)+(-0.138516+(-1.166268--0.439824))+0-0-0</f>
        <v>847.13504</v>
      </c>
      <c r="AA346" s="3">
        <f>136.1+(1135.1-436.1)+(-0.277644+(-2.315604--0.889644))+0-0-0</f>
        <v>833.39639599999987</v>
      </c>
      <c r="AB346" s="3">
        <f>120.9+(1144.3-457)+(-0.369954+(-3.501558--1.39842))+0-0-0</f>
        <v>805.72690799999998</v>
      </c>
      <c r="AC346" s="3">
        <f>2.5+(1131.6-362.5)+(-0.00255+(-1.154232--0.36975))+0-0-0</f>
        <v>770.81296799999996</v>
      </c>
      <c r="AD346">
        <f t="shared" si="5"/>
        <v>18805.530784999999</v>
      </c>
      <c r="AE346" s="3">
        <f>135+(1194.9-493.6)+(0+(0-0))+0-0-0</f>
        <v>836.30000000000007</v>
      </c>
    </row>
    <row r="347" spans="1:31" s="2" customFormat="1" x14ac:dyDescent="0.25">
      <c r="A347">
        <v>89</v>
      </c>
      <c r="B347">
        <v>12</v>
      </c>
      <c r="C347">
        <v>11</v>
      </c>
      <c r="D347">
        <v>5</v>
      </c>
      <c r="E347">
        <v>1</v>
      </c>
      <c r="F347" s="3">
        <f>0+(977.8-249.1)+(0+(-1.994712--0.508164))+0-0-0</f>
        <v>727.21345199999996</v>
      </c>
      <c r="G347" s="3">
        <f>0+(907.2-208.2)+(0+(-1.850688--0.424728))+0-0-0</f>
        <v>697.57403999999997</v>
      </c>
      <c r="H347" s="3">
        <f>0+(870.8-175.7)+(0+(-0.888216--0.179214))+0-0-0</f>
        <v>694.39099799999985</v>
      </c>
      <c r="I347" s="3">
        <f>0+(850.3-160.6)+(0+(-0.867306--0.163812))+0-0-0</f>
        <v>688.99650599999995</v>
      </c>
      <c r="J347" s="3">
        <f>0+(842.8-159)+(0+(1.289484-0.24327))+0-0-0</f>
        <v>684.84621399999992</v>
      </c>
      <c r="K347" s="3">
        <f>0+(857.9-172.8)+(0+(-0.875058--0.176256))+0-0-0</f>
        <v>684.40119799999991</v>
      </c>
      <c r="L347" s="3">
        <f>24.3+(892.5-219.6)+(0+(0-0))+0-0-0</f>
        <v>697.19999999999993</v>
      </c>
      <c r="M347" s="3">
        <f>50+(938.2-258.4)+(0.0255+(0.478482-0.131784))+0-0-0</f>
        <v>730.17219800000009</v>
      </c>
      <c r="N347" s="3">
        <f>68.5+(1037.2-319.9)+(-0.034935+(-0.528972--0.163149))+0-0-0</f>
        <v>785.39924200000007</v>
      </c>
      <c r="O347" s="3">
        <f>135.9+(992.1-308.3)+(0.138618+(1.011942-0.314466))+0-0-0</f>
        <v>820.53609399999993</v>
      </c>
      <c r="P347" s="3">
        <f>135.9+(1018.5-310.8)+(-0.069309+(-0.519435--0.158508))+0-0-0</f>
        <v>843.16976399999999</v>
      </c>
      <c r="Q347" s="3">
        <f>136.1+(1058.2-327.1)+(-0.138822+(-1.079364--0.333642))+0-0-0</f>
        <v>866.31545600000004</v>
      </c>
      <c r="R347" s="3">
        <f>123.7+(1065.3-362)+(-0.126174+(-1.086606--0.36924))+0-0-0</f>
        <v>826.15646000000004</v>
      </c>
      <c r="S347" s="3">
        <f>50.1+(1135.8-381.6)+(-0.025551+(-0.579258--0.194616))+0-0-0</f>
        <v>803.88980699999991</v>
      </c>
      <c r="T347" s="3">
        <f>50+(1140.1-375.7)+(-0.051+(-1.162902--0.383214))+0-0-0</f>
        <v>813.56931199999985</v>
      </c>
      <c r="U347" s="3">
        <f>50.1+(1149.3-397.4)+(0.051102+(1.172286-0.405348))+0-0-0</f>
        <v>802.81804</v>
      </c>
      <c r="V347" s="3">
        <f>50.1+(1123.7-392)+(-0.102204+(-2.292348--0.79968))+0-0-0</f>
        <v>780.20512800000006</v>
      </c>
      <c r="W347" s="3">
        <f>50+(1063-350.2)+(-0.102+(-2.16852--0.714408))+0-0-0</f>
        <v>761.24388799999997</v>
      </c>
      <c r="X347" s="3">
        <f>116.1+(1062-363.9)+(-0.236844+(-2.16648--0.742356))+0-0-0</f>
        <v>812.53903200000002</v>
      </c>
      <c r="Y347" s="3">
        <f>137.4+(1084.9-396.7)+(-0.35037+(-2.766495--1.011585))+0-0-0</f>
        <v>823.49472000000003</v>
      </c>
      <c r="Z347" s="3">
        <f>55+(1122.2-365.4)+(-0.1683+(-3.433932--1.118124))+0-0-0</f>
        <v>809.31589200000008</v>
      </c>
      <c r="AA347" s="3">
        <f>0+(1175.3-382.6)+(0+(-0.599403--0.195126))+0-0-0</f>
        <v>792.29572299999995</v>
      </c>
      <c r="AB347" s="3">
        <f>0+(1241-456.3)+(0+(-2.53164--0.930852))+0-0-0</f>
        <v>783.09921200000008</v>
      </c>
      <c r="AC347" s="3">
        <f>0+(1122.7-379.5)+(0+(-2.862885--0.967725))+0-0-0</f>
        <v>741.30484000000001</v>
      </c>
      <c r="AD347">
        <f t="shared" si="5"/>
        <v>18470.147216000001</v>
      </c>
      <c r="AE347" s="3">
        <f>138+(1099-402.6)+(0+(0-0))+0-0-0</f>
        <v>834.4</v>
      </c>
    </row>
    <row r="348" spans="1:31" s="2" customFormat="1" x14ac:dyDescent="0.25">
      <c r="A348">
        <v>89</v>
      </c>
      <c r="B348">
        <v>12</v>
      </c>
      <c r="C348">
        <v>12</v>
      </c>
      <c r="D348">
        <v>6</v>
      </c>
      <c r="E348">
        <v>1</v>
      </c>
      <c r="F348" s="3">
        <f>0+(1035.1-327.9)+(0+(-2.639505--0.836145))+0-0-0</f>
        <v>705.39663999999993</v>
      </c>
      <c r="G348" s="3">
        <f>0+(902.6-221.6)+(0+(-1.380978--0.339048))+0-0-0</f>
        <v>679.95807000000002</v>
      </c>
      <c r="H348" s="3">
        <f>0+(881.8-225.8)+(0+(-0.449718--0.115158))+0-0-0</f>
        <v>655.66543999999999</v>
      </c>
      <c r="I348" s="3">
        <f>0+(881.4-215.4)+(0+(-2.24757--0.54927))+0-0-0</f>
        <v>664.30169999999998</v>
      </c>
      <c r="J348" s="3">
        <f>0+(893.7-229.3)+(0+(2.278935-0.584715))+0-0-0</f>
        <v>666.09422000000006</v>
      </c>
      <c r="K348" s="3">
        <f>0+(877.4-227.2)+(0+(0.894948-0.231744))+0-0-0</f>
        <v>650.863204</v>
      </c>
      <c r="L348" s="3">
        <f>0+(936.5-271.4)+(0+(-0.477615--0.138414))+0-0-0</f>
        <v>664.76079900000002</v>
      </c>
      <c r="M348" s="3">
        <f>17.5+(1007.5-330.4)+(0.008925+(0.513825-0.168504))+0-0-0</f>
        <v>694.95424600000001</v>
      </c>
      <c r="N348" s="3">
        <f>106.5+(1024.1-392.3)+(0.10863+(1.044582-0.400146))+0-0-0</f>
        <v>739.05306599999994</v>
      </c>
      <c r="O348" s="3">
        <f>136.6+(1020.3-383)+(0+(0-0))+0-0-0</f>
        <v>773.9</v>
      </c>
      <c r="P348" s="3">
        <f>136.6+(1061.2-416.2)+(0.139332+(1.082424-0.424524))+0-0-0</f>
        <v>782.39723200000003</v>
      </c>
      <c r="Q348" s="3">
        <f>25+(1191.7-432.3)+(0.01275+(0.607767-0.220473))+0-0-0</f>
        <v>784.80004400000007</v>
      </c>
      <c r="R348" s="3">
        <f>0+(1210-444.2)+(0+(-1.2342--0.453084))+0-0-0</f>
        <v>765.01888399999996</v>
      </c>
      <c r="S348" s="3">
        <f>47.2+(1129.4-436.6)+(-0.144432+(-3.455964--1.335996))+0-0-0</f>
        <v>737.73560000000009</v>
      </c>
      <c r="T348" s="3">
        <f>50+(1103.5-416.3)+(-0.102+(-2.25114--0.849252))+0-0-0</f>
        <v>735.69611200000008</v>
      </c>
      <c r="U348" s="3">
        <f>50.1+(1093.8-409.6)+(0+(0-0))+0-0-0</f>
        <v>734.3</v>
      </c>
      <c r="V348" s="3">
        <f>50+(1096.2-412.6)+(-0.051+(-1.118124--0.420852))+0-0-0</f>
        <v>732.85172799999998</v>
      </c>
      <c r="W348" s="3">
        <f>50.1+(1018.2-343.1)+(0.025551+(0.519282-0.174981))+0-0-0</f>
        <v>725.56985200000008</v>
      </c>
      <c r="X348" s="3">
        <f>121.7+(1058.1-395.7)+(-0.062067+(-0.539631--0.201807))+0-0-0</f>
        <v>783.70010899999988</v>
      </c>
      <c r="Y348" s="3">
        <f>130.2+(1143.1-474)+(-0.398412+(-3.497886--1.45044))+0-0-0</f>
        <v>796.85414199999991</v>
      </c>
      <c r="Z348" s="3">
        <f>17.4+(1194.5-438.2)+(-0.017748+(-1.21839--0.446964))+0-0-0</f>
        <v>772.91082599999993</v>
      </c>
      <c r="AA348" s="3">
        <f>0+(1228.6-470.5)+(0+(-1.879758--0.719865))+0-0-0</f>
        <v>756.9401069999999</v>
      </c>
      <c r="AB348" s="3">
        <f>0+(1172.5-439)+(0+(-2.989875--1.11945))+0-0-0</f>
        <v>731.62957500000005</v>
      </c>
      <c r="AC348" s="3">
        <f>0+(1063.5-352.6)+(0+(-2.711925--0.89913))+0-0-0</f>
        <v>709.08720499999993</v>
      </c>
      <c r="AD348">
        <f t="shared" si="5"/>
        <v>17444.438800999997</v>
      </c>
      <c r="AE348" s="3">
        <f>137+(1131-466.8)+(0+(0-0))+0-0-0</f>
        <v>801.2</v>
      </c>
    </row>
    <row r="349" spans="1:31" s="2" customFormat="1" x14ac:dyDescent="0.25">
      <c r="A349">
        <v>89</v>
      </c>
      <c r="B349">
        <v>12</v>
      </c>
      <c r="C349">
        <v>13</v>
      </c>
      <c r="D349">
        <v>7</v>
      </c>
      <c r="E349">
        <v>1</v>
      </c>
      <c r="F349" s="3">
        <f>0+(980.2-294.7)+(0+(-2.49951--0.751485))+0-0-0</f>
        <v>683.75197500000002</v>
      </c>
      <c r="G349" s="3">
        <f>0+(864.2-210.8)+(0+(-1.322226--0.322524))+0-0-0</f>
        <v>652.40029800000013</v>
      </c>
      <c r="H349" s="3">
        <f>0+(825.4-193.1)+(0+(-1.683816--0.393924))+0-0-0</f>
        <v>631.01010799999995</v>
      </c>
      <c r="I349" s="3">
        <f>0+(796.1-173.4)+(0+(1.218033-0.265302))+0-0-0</f>
        <v>623.65273100000002</v>
      </c>
      <c r="J349" s="3">
        <f>0+(795.4-173.2)+(0+(0.405654-0.088332))+0-0-0</f>
        <v>622.51732200000004</v>
      </c>
      <c r="K349" s="3">
        <f>0+(782.8-165.7)+(0+(0.798456-0.169014))+0-0-0</f>
        <v>617.72944199999995</v>
      </c>
      <c r="L349" s="3">
        <f>0+(798.5-195.1)+(0+(-1.62894--0.398004))+0-0-0</f>
        <v>602.16906399999993</v>
      </c>
      <c r="M349" s="3">
        <f>0+(827.1-220.4)+(0+(0.421821-0.112404))+0-0-0</f>
        <v>607.0094170000001</v>
      </c>
      <c r="N349" s="3">
        <f>0+(859.8-238.1)+(0+(0-0))+0-0-0</f>
        <v>621.69999999999993</v>
      </c>
      <c r="O349" s="3">
        <f>0+(950.4-296.6)+(0+(0-0))+0-0-0</f>
        <v>653.79999999999995</v>
      </c>
      <c r="P349" s="3">
        <f>85+(915.9-323)+(0.04335+(0.467109-0.16473))+0-0-0</f>
        <v>678.24572899999998</v>
      </c>
      <c r="Q349" s="3">
        <f>132.7+(855-305.1)+(0+(0-0))+0-0-0</f>
        <v>682.59999999999991</v>
      </c>
      <c r="R349" s="3">
        <f>51.1+(922.2-297.5)+(0+(0-0))+0-0-0</f>
        <v>675.80000000000007</v>
      </c>
      <c r="S349" s="3">
        <f>50.1+(891.8-293.8)+(0+(0-0))+0-0-0</f>
        <v>648.1</v>
      </c>
      <c r="T349" s="3">
        <f>50+(891.5-307.8)+(0+(0-0))+0-0-0</f>
        <v>633.70000000000005</v>
      </c>
      <c r="U349" s="3">
        <f>50.1+(928.5-344.3)+(0+(0-0))+0-0-0</f>
        <v>634.30000000000007</v>
      </c>
      <c r="V349" s="3">
        <f>50.1+(930.1-342.7)+(0+(0-0))+0-0-0</f>
        <v>637.50000000000011</v>
      </c>
      <c r="W349" s="3">
        <f>50+(861.4-271.8)+(0+(0-0))+0-0-0</f>
        <v>639.59999999999991</v>
      </c>
      <c r="X349" s="3">
        <f>120.8+(926.3-338.5)+(0+(0-0))+0-0-0</f>
        <v>708.59999999999991</v>
      </c>
      <c r="Y349" s="3">
        <f>110.3+(1052.2-423.4)+(0+(0-0))+0-0-0</f>
        <v>739.1</v>
      </c>
      <c r="Z349" s="3">
        <f>50+(1121.6-441.1)+(0+(0-0))+0-0-0</f>
        <v>730.49999999999989</v>
      </c>
      <c r="AA349" s="3">
        <f>64.8+(1086-430.6)+(0+(0-0))+0-0-0</f>
        <v>720.19999999999993</v>
      </c>
      <c r="AB349" s="3">
        <f>136.2+(975.2-407.6)+(0+(0-0))+0-0-0</f>
        <v>703.8</v>
      </c>
      <c r="AC349" s="3">
        <f>136.4+(880.8-343.2)+(0+(0-0))+0-0-0</f>
        <v>673.99999999999989</v>
      </c>
      <c r="AD349">
        <f t="shared" si="5"/>
        <v>15821.786086000002</v>
      </c>
      <c r="AE349" s="3">
        <f>134+(1022.3-415)+(0+(0-0))+0-0-0</f>
        <v>741.3</v>
      </c>
    </row>
    <row r="350" spans="1:31" s="2" customFormat="1" x14ac:dyDescent="0.25">
      <c r="A350">
        <v>89</v>
      </c>
      <c r="B350">
        <v>12</v>
      </c>
      <c r="C350">
        <v>14</v>
      </c>
      <c r="D350">
        <v>1</v>
      </c>
      <c r="E350">
        <v>1</v>
      </c>
      <c r="F350" s="3">
        <f>18.9+(911.3-288.1)+(-0.028917+(-1.394289--0.440793))+0-0-0</f>
        <v>641.11758699999996</v>
      </c>
      <c r="G350" s="3">
        <f>0+(890.1-281.9)+(0+(1.361853-0.431307))+0-0-0</f>
        <v>609.13054600000009</v>
      </c>
      <c r="H350" s="3">
        <f>0+(862.5-265.7)+(0+(0-0))+0-0-0</f>
        <v>596.79999999999995</v>
      </c>
      <c r="I350" s="3">
        <f>0+(876.4-280.7)+(0+(2.23482-0.715785))+0-0-0</f>
        <v>597.21903500000008</v>
      </c>
      <c r="J350" s="3">
        <f>0+(876-274.2)+(0+(2.68056-0.839052))+0-0-0</f>
        <v>603.64150799999993</v>
      </c>
      <c r="K350" s="3">
        <f>0+(874.8-267)+(0+(0-0))+0-0-0</f>
        <v>607.79999999999995</v>
      </c>
      <c r="L350" s="3">
        <f>0+(932.8-296)+(0+(0-0))+0-0-0</f>
        <v>636.79999999999995</v>
      </c>
      <c r="M350" s="3">
        <f>0+(980.2-301.5)+(0+(0-0))+0-0-0</f>
        <v>678.7</v>
      </c>
      <c r="N350" s="3">
        <f>56.4+(955.3-273)+(0+(0-0))+0-0-0</f>
        <v>738.69999999999993</v>
      </c>
      <c r="O350" s="3">
        <f>137+(937.1-302.6)+(0+(0-0))+0-0-0</f>
        <v>771.5</v>
      </c>
      <c r="P350" s="3">
        <f>136.4+(1009.7-343.4)+(0+(0-0))+0-0-0</f>
        <v>802.7</v>
      </c>
      <c r="Q350" s="3">
        <f>135.5+(1044.3-371.7)+(0+(0-0))+0-0-0</f>
        <v>808.09999999999991</v>
      </c>
      <c r="R350" s="3">
        <f>134.5+(1014.8-357.7)+(0+(0-0))+0-0-0</f>
        <v>791.59999999999991</v>
      </c>
      <c r="S350" s="3">
        <f>133.9+(980.9-349.7)+(0+(0-0))+0-0-0</f>
        <v>765.1</v>
      </c>
      <c r="T350" s="3">
        <f>133.3+(957.5-327.7)+(0+(0-0))+0-0-0</f>
        <v>763.09999999999991</v>
      </c>
      <c r="U350" s="3">
        <f>133+(957.4-321.7)+(0+(0-0))+0-0-0</f>
        <v>768.7</v>
      </c>
      <c r="V350" s="3">
        <f>133.1+(953.3-325.9)+(0+(0-0))+0-0-0</f>
        <v>760.5</v>
      </c>
      <c r="W350" s="3">
        <f>133.8+(899.7-286.7)+(0+(0-0))+0-0-0</f>
        <v>746.8</v>
      </c>
      <c r="X350" s="3">
        <f>134.9+(980.3-300.8)+(0+(0-0))+0-0-0</f>
        <v>814.4</v>
      </c>
      <c r="Y350" s="3">
        <f>135.4+(1081-376.5)+(0+(0-0))+0-0-0</f>
        <v>839.9</v>
      </c>
      <c r="Z350" s="3">
        <f>88.7+(1123.5-388.7)+(0+(0-0))+0-0-0</f>
        <v>823.5</v>
      </c>
      <c r="AA350" s="3">
        <f>50+(1154.3-399.9)+(0+(0-0))+0-0-0</f>
        <v>804.4</v>
      </c>
      <c r="AB350" s="3">
        <f>34.4+(1116.8-363.6)+(0+(0-0))+0-0-0</f>
        <v>787.59999999999991</v>
      </c>
      <c r="AC350" s="3">
        <f>0+(1107.2-352.8)+(0+(0-0))+0-0-0</f>
        <v>754.40000000000009</v>
      </c>
      <c r="AD350">
        <f t="shared" si="5"/>
        <v>17512.208676000002</v>
      </c>
      <c r="AE350" s="3">
        <f>135+(1074.9-371.9)+(0+(0-0))+0-0-0</f>
        <v>838.00000000000011</v>
      </c>
    </row>
    <row r="351" spans="1:31" s="2" customFormat="1" x14ac:dyDescent="0.25">
      <c r="A351">
        <v>89</v>
      </c>
      <c r="B351">
        <v>12</v>
      </c>
      <c r="C351">
        <v>15</v>
      </c>
      <c r="D351">
        <v>2</v>
      </c>
      <c r="E351">
        <v>1</v>
      </c>
      <c r="F351" s="3">
        <f>0+(1009.8-299.4)+(0+(0-0))+0-0-0</f>
        <v>710.4</v>
      </c>
      <c r="G351" s="3">
        <f>0+(888.2-207.2)+(0+(0-0))+0-0-0</f>
        <v>681</v>
      </c>
      <c r="H351" s="3">
        <f>0+(865.5-193)+(0+(0-0))+0-0-0</f>
        <v>672.5</v>
      </c>
      <c r="I351" s="3">
        <f>0+(848.2-184.4)+(0+(0-0))+0-0-0</f>
        <v>663.80000000000007</v>
      </c>
      <c r="J351" s="3">
        <f>0+(849.4-186.3)+(0+(0-0))+0-0-0</f>
        <v>663.09999999999991</v>
      </c>
      <c r="K351" s="3">
        <f>0+(834.2-183.2)+(0+(0-0))+0-0-0</f>
        <v>651</v>
      </c>
      <c r="L351" s="3">
        <f>0+(926.2-244.5)+(0+(0-0))+0-0-0</f>
        <v>681.7</v>
      </c>
      <c r="M351" s="3">
        <f>0+(981.8-269.3)+(0+(0-0))+0-0-0</f>
        <v>712.5</v>
      </c>
      <c r="N351" s="3">
        <f>21.1+(954.1-224.5)+(0+(0-0))+0-0-0</f>
        <v>750.7</v>
      </c>
      <c r="O351" s="3">
        <f>86.5+(982.3-276.8)+(0+(0-0))+0-0-0</f>
        <v>792</v>
      </c>
      <c r="P351" s="3">
        <f>133.2+(934.1-259.4)+(0+(0-0))+0-0-0</f>
        <v>807.90000000000009</v>
      </c>
      <c r="Q351" s="3">
        <f>131.8+(947-268.6)+(0+(0-0))+0-0-0</f>
        <v>810.2</v>
      </c>
      <c r="R351" s="3">
        <f>130.3+(921.6-261)+(-0.265812+(-1.880064--0.53244))+0-0-0</f>
        <v>789.28656400000011</v>
      </c>
      <c r="S351" s="3">
        <f>129.1+(895.1-261)+(-0.065841+(-0.456501--0.13311))+0-0-0</f>
        <v>762.81076800000005</v>
      </c>
      <c r="T351" s="3">
        <f>127.4+(854.7-218.3)+(-0.194922+(-1.307691--0.333999))+0-0-0</f>
        <v>762.63138600000002</v>
      </c>
      <c r="U351" s="3">
        <f>128+(834.5-207.3)+(-0.13056+(-0.85119--0.211446))+0-0-0</f>
        <v>754.42969600000004</v>
      </c>
      <c r="V351" s="3">
        <f>127.8+(825.1-208.4)+(-0.130356+(-0.841602--0.212568))+0-0-0</f>
        <v>743.74060999999995</v>
      </c>
      <c r="W351" s="3">
        <f>127.9+(796.1-170.5)+(-0.391374+(-2.436066--0.52173))+0-0-0</f>
        <v>751.19429000000002</v>
      </c>
      <c r="X351" s="3">
        <f>129.6+(846.2-174.9)+(-0.132192+(-0.863124--0.178398))+0-0-0</f>
        <v>800.0830820000001</v>
      </c>
      <c r="Y351" s="3">
        <f>130.6+(938.8-241.9)+(-0.33303+(-2.39394--0.616845))+0-0-0</f>
        <v>825.38987499999996</v>
      </c>
      <c r="Z351" s="3">
        <f>72+(1034.5-292.8)+(-0.1836+(-2.637975--0.74664))+0-0-0</f>
        <v>811.62506500000006</v>
      </c>
      <c r="AA351" s="3">
        <f>0+(1167.7-359.9)+(0+(-1.786581--0.550647))+0-0-0</f>
        <v>806.56406600000003</v>
      </c>
      <c r="AB351" s="3">
        <f>0+(1106.1-324)+(0+(-0.564111--0.16524))+0-0-0</f>
        <v>781.70112899999992</v>
      </c>
      <c r="AC351" s="3">
        <f>0+(1108.5-284.4)+(0+(-2.826675--0.72522))+0-0-0</f>
        <v>821.99854500000004</v>
      </c>
      <c r="AD351">
        <f t="shared" si="5"/>
        <v>18008.255076000001</v>
      </c>
      <c r="AE351" s="3">
        <f>130+(912.5-239.3)+(0+(0-0))+0-0-0</f>
        <v>803.2</v>
      </c>
    </row>
    <row r="352" spans="1:31" s="2" customFormat="1" x14ac:dyDescent="0.25">
      <c r="A352">
        <v>89</v>
      </c>
      <c r="B352">
        <v>12</v>
      </c>
      <c r="C352">
        <v>16</v>
      </c>
      <c r="D352">
        <v>3</v>
      </c>
      <c r="E352">
        <v>1</v>
      </c>
      <c r="F352" s="3">
        <f>0+(948.6-254.8)+(0+(-1.451358--0.389844))+0-0-0</f>
        <v>692.73848599999997</v>
      </c>
      <c r="G352" s="3">
        <f>0+(878.9-208.9)+(0+(-1.792956--0.426156))+0-0-0</f>
        <v>668.63319999999999</v>
      </c>
      <c r="H352" s="3">
        <f>0+(870.3-203.8)+(0+(0.443853-0.103938))+0-0-0</f>
        <v>666.83991500000002</v>
      </c>
      <c r="I352" s="3">
        <f>0+(871.7-203.5)+(0+(0.444567-0.103785))+0-0-0</f>
        <v>668.54078200000004</v>
      </c>
      <c r="J352" s="3">
        <f>0+(854.9-198.3)+(0+(-0.871998--0.202266))+0-0-0</f>
        <v>655.93026799999996</v>
      </c>
      <c r="K352" s="3">
        <f>0+(857.4-200.4)+(0+(2.18637-0.51102))+0-0-0</f>
        <v>658.67534999999998</v>
      </c>
      <c r="L352" s="3">
        <f>0+(912-207.6)+(0+(0-0))+0-0-0</f>
        <v>704.4</v>
      </c>
      <c r="M352" s="3">
        <f>8+(938.7-245.2)+(0+(0-0))+0-0-0</f>
        <v>701.5</v>
      </c>
      <c r="N352" s="3">
        <f>93.6+(967.3-205)+(0+(0-0))+0-0-0</f>
        <v>855.9</v>
      </c>
      <c r="O352" s="3">
        <f>131.9+(946.8-261.3)+(0+(0-0))+0-0-0</f>
        <v>817.4</v>
      </c>
      <c r="P352" s="3">
        <f>131+(971.8-288.9)+(0+(0-0))+0-0-0</f>
        <v>813.9</v>
      </c>
      <c r="Q352" s="3">
        <f>130+(959.2-298.9)+(0+(0-0))+0-0-0</f>
        <v>790.30000000000007</v>
      </c>
      <c r="R352" s="3">
        <f>130.3+(1055.4-377.5)+(0+(0-0))+0-0-0</f>
        <v>808.2</v>
      </c>
      <c r="S352" s="3">
        <f>129.8+(1055.8-397.4)+(-0.066198+(-0.538458--0.202674))+0-0-0</f>
        <v>787.79801800000007</v>
      </c>
      <c r="T352" s="3">
        <f>62.8+(1096.2-374.5)+(-0.064056+(-1.118124--0.38199))+0-0-0</f>
        <v>783.69980999999996</v>
      </c>
      <c r="U352" s="3">
        <f>50+(1121.5-398.6)+(0.0765+(1.715895-0.609858))+0-0-0</f>
        <v>774.082537</v>
      </c>
      <c r="V352" s="3">
        <f>50+(1114.4-394)+(-0.102+(-2.273376--0.80376))+0-0-0</f>
        <v>768.82838400000014</v>
      </c>
      <c r="W352" s="3">
        <f>50+(1040.2-320.5)+(-0.153+(-3.183012--0.98073))+0-0-0</f>
        <v>767.34471800000006</v>
      </c>
      <c r="X352" s="3">
        <f>98.5+(1054.6-309.7)+(-0.10047+(-1.075692--0.315894))+0-0-0</f>
        <v>842.53973199999984</v>
      </c>
      <c r="Y352" s="3">
        <f>130.1+(1242.7-523.7)+(-0.199053+(-1.901331--0.801261))+0-0-0</f>
        <v>847.80087700000001</v>
      </c>
      <c r="Z352" s="3">
        <f>97.2+(1206.1-471.9)+(-0.347004+(-4.305777--1.684683))+0-0-0</f>
        <v>828.43190199999992</v>
      </c>
      <c r="AA352" s="3">
        <f>0+(1229-416.7)+(0+(-2.50716--0.850068))+0-0-0</f>
        <v>810.64290799999992</v>
      </c>
      <c r="AB352" s="3">
        <f>0+(1164.9-381.8)+(0+(-1.782297--0.584154))+0-0-0</f>
        <v>781.90185700000018</v>
      </c>
      <c r="AC352" s="3">
        <f>0+(1072.2-313.5)+(0+(-2.73411--0.799425))+0-0-0</f>
        <v>756.7653150000001</v>
      </c>
      <c r="AD352">
        <f t="shared" si="5"/>
        <v>18252.794059</v>
      </c>
      <c r="AE352" s="3">
        <f>130+(1109.2-397.5)+(0+(0-0))+0-0-0</f>
        <v>841.7</v>
      </c>
    </row>
    <row r="353" spans="1:31" s="2" customFormat="1" x14ac:dyDescent="0.25">
      <c r="A353">
        <v>89</v>
      </c>
      <c r="B353">
        <v>12</v>
      </c>
      <c r="C353">
        <v>17</v>
      </c>
      <c r="D353">
        <v>4</v>
      </c>
      <c r="E353">
        <v>1</v>
      </c>
      <c r="F353" s="3">
        <f>0+(992.3-273.5)+(0+(-2.530365--0.697425))+0-0-0</f>
        <v>716.96705999999995</v>
      </c>
      <c r="G353" s="3">
        <f>0+(912-220.2)+(0+(-2.79072--0.673812))+0-0-0</f>
        <v>689.68309199999999</v>
      </c>
      <c r="H353" s="3">
        <f>0+(917.3-241.4)+(0+(-0.935646--0.246228))+0-0-0</f>
        <v>675.21058199999993</v>
      </c>
      <c r="I353" s="3">
        <f>0+(909.5-235.9)+(0+(0.463845-0.120309))+0-0-0</f>
        <v>673.94353599999999</v>
      </c>
      <c r="J353" s="3">
        <f>0+(886.5-216.2)+(0+(-0.452115--0.110262))+0-0-0</f>
        <v>669.95814699999994</v>
      </c>
      <c r="K353" s="3">
        <f>0+(905.9-245)+(0+(0.924018-0.2499))+0-0-0</f>
        <v>661.574118</v>
      </c>
      <c r="L353" s="3">
        <f>0+(987.1-306.5)+(0+(-1.006842--0.31263))+0-0-0</f>
        <v>679.90578800000003</v>
      </c>
      <c r="M353" s="3">
        <f>35.7+(1020.4-330.7)+(-0.018207+(-0.520404--0.168657))+0-0-0</f>
        <v>725.03004600000008</v>
      </c>
      <c r="N353" s="3">
        <f>73.4+(985.5-281.2)+(-0.037434+(-0.502605--0.143412))+0-0-0</f>
        <v>777.30337299999997</v>
      </c>
      <c r="O353" s="3">
        <f>128.9+(996.1-308)+(-0.131478+(-1.016022--0.31416))+0-0-0</f>
        <v>816.16665999999998</v>
      </c>
      <c r="P353" s="3">
        <f>128+(974.4-307.8)+(-0.19584+(-1.490832--0.470934))+0-0-0</f>
        <v>793.38426199999992</v>
      </c>
      <c r="Q353" s="3">
        <f>127.8+(1007-302.2)+(-0.065178+(-0.51357--0.154122))+0-0-0</f>
        <v>832.17537399999992</v>
      </c>
      <c r="R353" s="3">
        <f>93.9+(1014.7-285.5)+(-0.095778+(-1.034994--0.29121))+0-0-0</f>
        <v>822.26043800000002</v>
      </c>
      <c r="S353" s="3">
        <f>48.1+(1080.4-330)+(-0.049062+(-1.102008--0.3366))+0-0-0</f>
        <v>797.68553000000009</v>
      </c>
      <c r="T353" s="3">
        <f>48+(1106.2-359.6)+(-0.04896+(-1.128324--0.366792))+0-0-0</f>
        <v>793.78950800000007</v>
      </c>
      <c r="U353" s="3">
        <f>48+(1109.6-356.8)+(-0.02448+(-0.565896--0.181968))+0-0-0</f>
        <v>800.39159199999995</v>
      </c>
      <c r="V353" s="3">
        <f>48+(1126.8-370.5)+(0+(0-0))+0-0-0</f>
        <v>804.3</v>
      </c>
      <c r="W353" s="3">
        <f>48+(1039-288.1)+(-0.1224+(-2.64945--0.734655))+0-0-0</f>
        <v>796.86280499999998</v>
      </c>
      <c r="X353" s="3">
        <f>48+(1163.8-371.6)+(-0.02448+(-0.593538--0.189516))+0-0-0</f>
        <v>839.77149799999995</v>
      </c>
      <c r="Y353" s="3">
        <f>14.4+(1264.2-423.1)+(-0.029376+(-2.578968--0.863124))+0-0-0</f>
        <v>853.75477999999998</v>
      </c>
      <c r="Z353" s="3">
        <f>0+(1249.1-404.1)+(0+(1.911123-0.618273))+0-0-0</f>
        <v>846.29284999999993</v>
      </c>
      <c r="AA353" s="3">
        <f>0+(1294.4-483.2)+(0+(0.660144-0.246432))+0-0-0</f>
        <v>811.61371200000008</v>
      </c>
      <c r="AB353" s="3">
        <f>0+(1230.4-443)+(0+(-2.510016--0.90372))+0-0-0</f>
        <v>785.79370400000005</v>
      </c>
      <c r="AC353" s="3">
        <f>0+(1130.1-378.1)+(0+(-2.305404--0.771324))+0-0-0</f>
        <v>750.46591999999987</v>
      </c>
      <c r="AD353">
        <f t="shared" si="5"/>
        <v>18414.284374999996</v>
      </c>
      <c r="AE353" s="3">
        <f>50+(1235.3-424.3)+(0+(0-0))+0-0-0</f>
        <v>861</v>
      </c>
    </row>
    <row r="354" spans="1:31" s="2" customFormat="1" x14ac:dyDescent="0.25">
      <c r="A354">
        <v>89</v>
      </c>
      <c r="B354">
        <v>12</v>
      </c>
      <c r="C354">
        <v>18</v>
      </c>
      <c r="D354">
        <v>5</v>
      </c>
      <c r="E354">
        <v>1</v>
      </c>
      <c r="F354" s="3">
        <f>0+(1011-292.1)+(0+(-1.54683--0.446913))+0-0-0</f>
        <v>717.80008299999997</v>
      </c>
      <c r="G354" s="3">
        <f>0+(872.8-189.6)+(0+(-2.22564--0.48348))+0-0-0</f>
        <v>681.45783999999992</v>
      </c>
      <c r="H354" s="3">
        <f>0+(816.7-142.7)+(0+(-0.416517--0.072777))+0-0-0</f>
        <v>673.65625999999997</v>
      </c>
      <c r="I354" s="3">
        <f>0+(778.8-112.3)+(0+(-1.588752--0.229092))+0-0-0</f>
        <v>665.14034000000004</v>
      </c>
      <c r="J354" s="3">
        <f>0+(735-107.9)+(0+(-0.7497--0.110058))+0-0-0</f>
        <v>626.46035800000004</v>
      </c>
      <c r="K354" s="3">
        <f>0+(767.5-114)+(0+(-0.78285--0.11628))+0-0-0</f>
        <v>652.83343000000002</v>
      </c>
      <c r="L354" s="3">
        <f>0+(823.6-153.9)+(0+(0-0))+0-0-0</f>
        <v>669.7</v>
      </c>
      <c r="M354" s="3">
        <f>0+(944.2-228.1)+(0+(-0.481542--0.116331))+0-0-0</f>
        <v>715.73478899999998</v>
      </c>
      <c r="N354" s="3">
        <f>0+(1088.8-318.1)+(0+(1.110576-0.324462))+0-0-0</f>
        <v>771.48611399999993</v>
      </c>
      <c r="O354" s="3">
        <f>37.1+(1102.6-332.8)+(-0.018921+(-0.562326--0.169728))+0-0-0</f>
        <v>806.48848099999998</v>
      </c>
      <c r="P354" s="3">
        <f>56.9+(1168.4-394.1)+(-0.087057+(-1.787652--0.602973))+0-0-0</f>
        <v>829.92826400000001</v>
      </c>
      <c r="Q354" s="3">
        <f>124.6+(1137.2-427.8)+(-0.190638+(-1.739916--0.654534))+0-0-0</f>
        <v>832.7239800000001</v>
      </c>
      <c r="R354" s="3">
        <f>45.4+(1208.8-445.2)+(-0.11577+(-3.08244--1.13526))+0-0-0</f>
        <v>806.93704999999989</v>
      </c>
      <c r="S354" s="3">
        <f>45+(1196.8-452.7)+(-0.0918+(-2.441472--0.923508))+0-0-0</f>
        <v>787.49023599999987</v>
      </c>
      <c r="T354" s="3">
        <f>45.1+(1178-431.9)+(-0.046002+(-1.20156--0.440538))+0-0-0</f>
        <v>790.39297600000009</v>
      </c>
      <c r="U354" s="3">
        <f>45+(1175.3-427.3)+(-0.0918+(-2.397612--0.871692))+0-0-0</f>
        <v>791.38228000000004</v>
      </c>
      <c r="V354" s="3">
        <f>45.1+(1138.4-368.2)+(0.023001+(0.580584-0.187782))+0-0-0</f>
        <v>815.71580300000005</v>
      </c>
      <c r="W354" s="3">
        <f>46.9+(1033.7-275.7)+(-0.095676+(-2.108748--0.562428))+0-0-0</f>
        <v>803.25800400000003</v>
      </c>
      <c r="X354" s="3">
        <f>90.9+(1079.2-325.2)+(-0.092718+(-1.100784--0.331704))+0-0-0</f>
        <v>844.03820199999996</v>
      </c>
      <c r="Y354" s="3">
        <f>85.1+(1163.2-389.1)+(-0.217005+(-2.96616--0.992205))+0-0-0</f>
        <v>857.00904000000003</v>
      </c>
      <c r="Z354" s="3">
        <f>0+(1203.4-363)+(0+(0-0))+0-0-0</f>
        <v>840.40000000000009</v>
      </c>
      <c r="AA354" s="3">
        <f>0+(1164.4-355.6)+(0+(-1.187688--0.362712))+0-0-0</f>
        <v>807.97502400000008</v>
      </c>
      <c r="AB354" s="3">
        <f>0+(1116.5-335.5)+(0+(-2.847075--0.855525))+0-0-0</f>
        <v>779.00845000000004</v>
      </c>
      <c r="AC354" s="3">
        <f>0+(1144.2-382.8)+(0+(-1.167084--0.390456))+0-0-0</f>
        <v>760.62337200000013</v>
      </c>
      <c r="AD354">
        <f t="shared" si="5"/>
        <v>18327.640376000007</v>
      </c>
      <c r="AE354" s="3">
        <f>130+(1097.9-368.7)+(0+(0-0))+0-0-0</f>
        <v>859.2</v>
      </c>
    </row>
    <row r="355" spans="1:31" s="2" customFormat="1" x14ac:dyDescent="0.25">
      <c r="A355">
        <v>89</v>
      </c>
      <c r="B355">
        <v>12</v>
      </c>
      <c r="C355">
        <v>19</v>
      </c>
      <c r="D355">
        <v>6</v>
      </c>
      <c r="E355">
        <v>1</v>
      </c>
      <c r="F355" s="3">
        <f>0+(946.9-229.4)+(0+(0-0))+0-0-0</f>
        <v>717.5</v>
      </c>
      <c r="G355" s="3">
        <f>0+(828.1-147.7)+(0+(0-0))+0-0-0</f>
        <v>680.40000000000009</v>
      </c>
      <c r="H355" s="3">
        <f>0+(766.8-103.5)+(0+(0-0))+0-0-0</f>
        <v>663.3</v>
      </c>
      <c r="I355" s="3">
        <f>0+(754.8-90.1)+(0+(0-0))+0-0-0</f>
        <v>664.69999999999993</v>
      </c>
      <c r="J355" s="3">
        <f>0+(750.5-87)+(0+(0-0))+0-0-0</f>
        <v>663.5</v>
      </c>
      <c r="K355" s="3">
        <f>0+(712.6-57.4)+(0+(0-0))+0-0-0</f>
        <v>655.20000000000005</v>
      </c>
      <c r="L355" s="3">
        <f>0+(757.4-90.7)+(0+(0-0))+0-0-0</f>
        <v>666.69999999999993</v>
      </c>
      <c r="M355" s="3">
        <f>0+(812.5-109.3)+(0+(0-0))+0-0-0</f>
        <v>703.2</v>
      </c>
      <c r="N355" s="3">
        <f>101+(868.2-220.6)+(0+(0-0))+0-0-0</f>
        <v>748.6</v>
      </c>
      <c r="O355" s="3">
        <f>129.9+(934.3-276.7)+(0+(0-0))+0-0-0</f>
        <v>787.49999999999989</v>
      </c>
      <c r="P355" s="3">
        <f>128.6+(926.6-255.6)+(0+(0-0))+0-0-0</f>
        <v>799.6</v>
      </c>
      <c r="Q355" s="3">
        <f>127.4+(912.7-240.8)+(0+(0-0))+0-0-0</f>
        <v>799.30000000000007</v>
      </c>
      <c r="R355" s="3">
        <f>126.1+(880.7-224.7)+(-0.321555+(-2.245785--0.572985))+0-0-0</f>
        <v>780.10564499999998</v>
      </c>
      <c r="S355" s="3">
        <f>125.2+(827.6-190.6)+(0.191556+(1.266228-0.291618))+0-0-0</f>
        <v>763.36616600000002</v>
      </c>
      <c r="T355" s="3">
        <f>124.6+(791-154.8)+(-0.190638+(-1.21023--0.236844))+0-0-0</f>
        <v>759.63597600000003</v>
      </c>
      <c r="U355" s="3">
        <f>124.6+(787.7-157.2)+(-0.190638+(-1.205181--0.240516))+0-0-0</f>
        <v>753.94469700000002</v>
      </c>
      <c r="V355" s="3">
        <f>125.9+(781.7-158.6)+(-0.192627+(-1.196001--0.242658))+0-0-0</f>
        <v>747.85402999999997</v>
      </c>
      <c r="W355" s="3">
        <f>127.4+(728.3-102.9)+(0+(0-0))+0-0-0</f>
        <v>752.8</v>
      </c>
      <c r="X355" s="3">
        <f>129+(836-169.1)+(-0.13158+(-0.85272--0.172482))+0-0-0</f>
        <v>795.08818199999996</v>
      </c>
      <c r="Y355" s="3">
        <f>130.2+(965.6-281.8)+(-0.464814+(-3.447192--1.006026))+0-0-0</f>
        <v>811.09402</v>
      </c>
      <c r="Z355" s="3">
        <f>131.1+(918.6-247.9)+(-0.267444+(-1.873944--0.505716))+0-0-0</f>
        <v>800.16432800000007</v>
      </c>
      <c r="AA355" s="3">
        <f>130.7+(888.6-230.2)+(-0.266628+(-1.812744--0.469608))+0-0-0</f>
        <v>787.4902360000001</v>
      </c>
      <c r="AB355" s="3">
        <f>67.5+(879.7-185.6)+(-0.172125+(-2.243235--0.47328))+0-0-0</f>
        <v>759.65791999999999</v>
      </c>
      <c r="AC355" s="3">
        <f>0+(924.4-194.5)+(0+(-1.885776--0.39678))+0-0-0</f>
        <v>728.41100399999993</v>
      </c>
      <c r="AD355">
        <f t="shared" si="5"/>
        <v>17789.112204000001</v>
      </c>
      <c r="AE355" s="3">
        <f>130+(982.3-289.7)+(0+(0-0))+0-0-0</f>
        <v>822.59999999999991</v>
      </c>
    </row>
    <row r="356" spans="1:31" s="2" customFormat="1" x14ac:dyDescent="0.25">
      <c r="A356">
        <v>89</v>
      </c>
      <c r="B356">
        <v>12</v>
      </c>
      <c r="C356">
        <v>20</v>
      </c>
      <c r="D356">
        <v>7</v>
      </c>
      <c r="E356">
        <v>1</v>
      </c>
      <c r="F356" s="3">
        <f>0+(915.7-214.4)+(0+(0-0))+0-0-0</f>
        <v>701.30000000000007</v>
      </c>
      <c r="G356" s="3">
        <f>0+(904.4-228.2)+(0+(0-0))+0-0-0</f>
        <v>676.2</v>
      </c>
      <c r="H356" s="3">
        <f>0+(885.8-226.5)+(0+(0-0))+0-0-0</f>
        <v>659.3</v>
      </c>
      <c r="I356" s="3">
        <f>0+(898.1-236.6)+(0+(0-0))+0-0-0</f>
        <v>661.5</v>
      </c>
      <c r="J356" s="3">
        <f>0+(892.3-244.8)+(0+(0-0))+0-0-0</f>
        <v>647.5</v>
      </c>
      <c r="K356" s="3">
        <f>0+(874.6-233.6)+(0+(0-0))+0-0-0</f>
        <v>641</v>
      </c>
      <c r="L356" s="3">
        <f>0+(889.2-265.3)+(0+(0-0))+0-0-0</f>
        <v>623.90000000000009</v>
      </c>
      <c r="M356" s="3">
        <f>0+(914.4-292.6)+(0+(0-0))+0-0-0</f>
        <v>621.79999999999995</v>
      </c>
      <c r="N356" s="3">
        <f>0+(977.4-338.4)+(0+(0-0))+0-0-0</f>
        <v>639</v>
      </c>
      <c r="O356" s="3">
        <f>0+(1060.4-389.1)+(0+(0-0))+0-0-0</f>
        <v>671.30000000000007</v>
      </c>
      <c r="P356" s="3">
        <f>22.3+(1046-400.1)+(0+(0-0))+0-0-0</f>
        <v>668.19999999999993</v>
      </c>
      <c r="Q356" s="3">
        <f>126.7+(977.7-422)+(0+(0-0))+0-0-0</f>
        <v>682.40000000000009</v>
      </c>
      <c r="R356" s="3">
        <f>120.7+(944.3-402.3)+(-0.307785+(-2.407965--1.025865))+0-0-0</f>
        <v>661.01011500000004</v>
      </c>
      <c r="S356" s="3">
        <f>48+(960.6-357.9)+(-0.09792+(-1.959624--0.730116))+0-0-0</f>
        <v>649.37257199999999</v>
      </c>
      <c r="T356" s="3">
        <f>48+(955.9-354.8)+(-0.04896+(-0.975018--0.361896))+0-0-0</f>
        <v>648.43791799999985</v>
      </c>
      <c r="U356" s="3">
        <f>48+(931-334.8)+(-0.09792+(-1.89924--0.682992))+0-0-0</f>
        <v>642.88583200000005</v>
      </c>
      <c r="V356" s="3">
        <f>48+(918.4-334.1)+(0.04896+(0.936768-0.340782))+0-0-0</f>
        <v>632.94494599999996</v>
      </c>
      <c r="W356" s="3">
        <f>48.1+(902.7-305.6)+(-0.049062+(-0.920754--0.311712))+0-0-0</f>
        <v>644.54189600000007</v>
      </c>
      <c r="X356" s="3">
        <f>115.7+(904-299)+(0+(0-0))+0-0-0</f>
        <v>720.7</v>
      </c>
      <c r="Y356" s="3">
        <f>129.4+(1053.8-419.9)+(-0.395964+(-3.224628--1.284894))+0-0-0</f>
        <v>760.96430199999998</v>
      </c>
      <c r="Z356" s="3">
        <f>49.8+(1118.1-419.9)+(-0.050796+(-1.140462--0.428298))+0-0-0</f>
        <v>747.23703999999987</v>
      </c>
      <c r="AA356" s="3">
        <f>49+(1140.2-453.7)+(-0.02499+(-0.581502--0.231387))+0-0-0</f>
        <v>735.12489500000004</v>
      </c>
      <c r="AB356" s="3">
        <f>20.4+(1129.6-419.3)+(-0.020808+(-1.152192--0.427686))+0-0-0</f>
        <v>729.95468599999992</v>
      </c>
      <c r="AC356" s="3">
        <f>0+(1076.4-385.6)+(0+(-2.195856--0.786624))+0-0-0</f>
        <v>689.39076800000009</v>
      </c>
      <c r="AD356">
        <f t="shared" si="5"/>
        <v>16155.964970000003</v>
      </c>
      <c r="AE356" s="3">
        <f>132+(1060.3-416.7)+(0+(0-0))+0-0-0</f>
        <v>775.59999999999991</v>
      </c>
    </row>
    <row r="357" spans="1:31" s="2" customFormat="1" x14ac:dyDescent="0.25">
      <c r="A357">
        <v>89</v>
      </c>
      <c r="B357">
        <v>12</v>
      </c>
      <c r="C357">
        <v>21</v>
      </c>
      <c r="D357">
        <v>1</v>
      </c>
      <c r="E357">
        <v>1</v>
      </c>
      <c r="F357" s="3">
        <f>0+(1011.1-366.6)+(0+(-2.578305--0.93483))+0-0-0</f>
        <v>642.85652500000003</v>
      </c>
      <c r="G357" s="3">
        <f>0+(940.4-316.3)+(0+(-0.959208--0.322626))+0-0-0</f>
        <v>623.46341799999993</v>
      </c>
      <c r="H357" s="3">
        <f>0+(902.8-286.4)+(0+(-1.381284--0.438192))+0-0-0</f>
        <v>615.456908</v>
      </c>
      <c r="I357" s="3">
        <f>0+(885-276.9)+(0+(1.35405-0.423657))+0-0-0</f>
        <v>609.030393</v>
      </c>
      <c r="J357" s="3">
        <f>0+(892.7-285.2)+(0+(-0.455277--0.145452))+0-0-0</f>
        <v>607.19017499999995</v>
      </c>
      <c r="K357" s="3">
        <f>0+(901.6-285.4)+(0+(0-0))+0-0-0</f>
        <v>616.20000000000005</v>
      </c>
      <c r="L357" s="3">
        <f>0+(984.3-335.8)+(0+(-0.501993--0.171258))+0-0-0</f>
        <v>648.169265</v>
      </c>
      <c r="M357" s="3">
        <f>0+(1054.7-355.3)+(0+(0-0))+0-0-0</f>
        <v>699.40000000000009</v>
      </c>
      <c r="N357" s="3">
        <f>58.5+(1163-456.5)+(0+(0-0))+0-0-0</f>
        <v>765</v>
      </c>
      <c r="O357" s="3">
        <f>131.4+(1224.9-544.5)+(0+(0-0))+0-0-0</f>
        <v>811.80000000000007</v>
      </c>
      <c r="P357" s="3">
        <f>129.7+(1261.1-563.5)+(0.132294+(1.286322-0.57477))+0-0-0</f>
        <v>828.14384599999994</v>
      </c>
      <c r="Q357" s="3">
        <f>129.1+(1273.1-569.5)+(-0.131682+(-1.298562--0.58089))+0-0-0</f>
        <v>831.85064599999998</v>
      </c>
      <c r="R357" s="3">
        <f>100.1+(1273-560.4)+(-0.255255+(-3.24615--1.42902))+0-0-0</f>
        <v>810.62761499999999</v>
      </c>
      <c r="S357" s="3">
        <f>0+(1340.5-539.7)+(0+(-2.73462--1.100988))+0-0-0</f>
        <v>799.16636799999992</v>
      </c>
      <c r="T357" s="3">
        <f>18.7+(1300.8-532.8)+(0+(0-0))+0-0-0</f>
        <v>786.7</v>
      </c>
      <c r="U357" s="3">
        <f>48.1+(1251.4-514)+(-0.024531+(-0.638214--0.26214))+0-0-0</f>
        <v>785.09939500000007</v>
      </c>
      <c r="V357" s="3">
        <f>48+(1274.9-525.3)+(0.02448+(0.650199-0.267903))+0-0-0</f>
        <v>798.00677600000017</v>
      </c>
      <c r="W357" s="3">
        <f>48.1+(1173.2-437.4)+(-0.024531+(-0.598332--0.223074))+0-0-0</f>
        <v>783.50021100000004</v>
      </c>
      <c r="X357" s="3">
        <f>103.5+(1186.8-463.4)+(-0.10557+(-1.210536--0.472668))+0-0-0</f>
        <v>826.05656199999999</v>
      </c>
      <c r="Y357" s="3">
        <f>74.5+(1322.2-536.5)+(-0.037995+(-0.674322--0.273615))+0-0-0</f>
        <v>859.76129800000001</v>
      </c>
      <c r="Z357" s="3">
        <f>0+(1350.4-510.3)+(0+(-1.377408--0.520506))+0-0-0</f>
        <v>839.24309800000015</v>
      </c>
      <c r="AA357" s="3">
        <f>0+(1385.3-558.7)+(0+(-2.119509--0.854811))+0-0-0</f>
        <v>825.33530199999996</v>
      </c>
      <c r="AB357" s="3">
        <f>0+(1321.3-521)+(0+(-4.717041--1.85997))+0-0-0</f>
        <v>797.44292899999994</v>
      </c>
      <c r="AC357" s="3">
        <f>0+(1157.9-391.4)+(0+(-2.362116--0.798456))+0-0-0</f>
        <v>764.93634000000009</v>
      </c>
      <c r="AD357">
        <f t="shared" si="5"/>
        <v>17974.437070000004</v>
      </c>
      <c r="AE357" s="3">
        <f>128+(1279-558.2)+(0+(0-0))+0-0-0</f>
        <v>848.8</v>
      </c>
    </row>
    <row r="358" spans="1:31" s="2" customFormat="1" x14ac:dyDescent="0.25">
      <c r="A358">
        <v>89</v>
      </c>
      <c r="B358">
        <v>12</v>
      </c>
      <c r="C358">
        <v>22</v>
      </c>
      <c r="D358">
        <v>2</v>
      </c>
      <c r="E358">
        <v>1</v>
      </c>
      <c r="F358" s="3">
        <f>0+(1021.7-304.3)+(0+(-2.605335--0.775965))+0-0-0</f>
        <v>715.57063000000005</v>
      </c>
      <c r="G358" s="3">
        <f>0+(1023.6-324.8)+(0+(-3.132216--0.993888))+0-0-0</f>
        <v>696.66167199999995</v>
      </c>
      <c r="H358" s="3">
        <f>0+(1022.3-341.2)+(0+(-2.085492--0.696048))+0-0-0</f>
        <v>679.71055599999988</v>
      </c>
      <c r="I358" s="3">
        <f>0+(1014.8-337.9)+(0+(1.552644-0.516987))+0-0-0</f>
        <v>677.93565699999999</v>
      </c>
      <c r="J358" s="3">
        <f>0+(989.8-308.6)+(0+(-1.514394--0.472158))+0-0-0</f>
        <v>680.15776399999993</v>
      </c>
      <c r="K358" s="3">
        <f>0+(992.9-322.4)+(0+(2.025516-0.657696))+0-0-0</f>
        <v>671.86782000000005</v>
      </c>
      <c r="L358" s="3">
        <f>35.9+(1002.3-349.6)+(-0.109854+(-3.067038--1.069776))+0-0-0</f>
        <v>686.49288399999989</v>
      </c>
      <c r="M358" s="3">
        <f>94.5+(941.4-309.3)+(0.09639+(0.960228-0.315486))+0-0-0</f>
        <v>727.3411319999999</v>
      </c>
      <c r="N358" s="3">
        <f>131.9+(960.1-309.2)+(0.134538+(0.979302-0.315384))+0-0-0</f>
        <v>783.59845600000006</v>
      </c>
      <c r="O358" s="3">
        <f>131.7+(990-329.3)+(0.067167+(0.5049-0.167943))+0-0-0</f>
        <v>792.80412400000012</v>
      </c>
      <c r="P358" s="3">
        <f>132.1+(1104.1-386.3)+(0.067371+(0.563091-0.197013))+0-0-0</f>
        <v>850.33344899999997</v>
      </c>
      <c r="Q358" s="3">
        <f>132.1+(1057.8-342.8)+(-0.202113+(-1.618434--0.524484))+0-0-0</f>
        <v>845.80393700000002</v>
      </c>
      <c r="R358" s="3">
        <f>132.8+(1061.3-361.9)+(0+(0-0))+0-0-0</f>
        <v>832.2</v>
      </c>
      <c r="S358" s="3">
        <f>133.2+(1012.6-342)+(0.067932+(0.516426-0.17442))+0-0-0</f>
        <v>804.20993799999997</v>
      </c>
      <c r="T358" s="3">
        <f>134.7+(976.9-299)+(-0.137394+(-0.996438--0.30498))+0-0-0</f>
        <v>811.77114799999993</v>
      </c>
      <c r="U358" s="3">
        <f>135.6+(963.5-300.8)+(0+(0-0))+0-0-0</f>
        <v>798.30000000000007</v>
      </c>
      <c r="V358" s="3">
        <f>136.1+(980-314.3)+(-0.347055+(-2.499--0.801465))+0-0-0</f>
        <v>799.7554100000001</v>
      </c>
      <c r="W358" s="3">
        <f>136.6+(939.5-325)+(0+(0-0))+0-0-0</f>
        <v>751.1</v>
      </c>
      <c r="X358" s="3">
        <f>137+(987.4-345)+(-0.06987+(-0.503574--0.17595))+0-0-0</f>
        <v>779.00250599999993</v>
      </c>
      <c r="Y358" s="3">
        <f>136.7+(1060.2-352)+(-0.209151+(-1.622106--0.53856))+0-0-0</f>
        <v>843.60730300000012</v>
      </c>
      <c r="Z358" s="3">
        <f>71.8+(1119-366.4)+(-0.073236+(-1.14138--0.373728))+0-0-0</f>
        <v>823.55911200000003</v>
      </c>
      <c r="AA358" s="3">
        <f>50+(1169.9-412.7)+(-0.0765+(-1.789947--0.631431))+0-0-0</f>
        <v>805.96498400000007</v>
      </c>
      <c r="AB358" s="3">
        <f>44.3+(1165.4-422.4)+(-0.045186+(-1.188708--0.430848))+0-0-0</f>
        <v>786.49695400000007</v>
      </c>
      <c r="AC358" s="3">
        <f>0+(1106.9-355.1)+(0+(-1.693557--0.543303))+0-0-0</f>
        <v>750.64974600000005</v>
      </c>
      <c r="AD358">
        <f t="shared" si="5"/>
        <v>18394.895182</v>
      </c>
      <c r="AE358" s="3">
        <f>137+(1016.1-383)+(0+(0-0))+0-0-0</f>
        <v>770.1</v>
      </c>
    </row>
    <row r="359" spans="1:31" s="2" customFormat="1" x14ac:dyDescent="0.25">
      <c r="A359">
        <v>89</v>
      </c>
      <c r="B359">
        <v>12</v>
      </c>
      <c r="C359">
        <v>23</v>
      </c>
      <c r="D359">
        <v>3</v>
      </c>
      <c r="E359">
        <v>1</v>
      </c>
      <c r="F359" s="3">
        <f>0+(916.3-213.9)+(0+(-4.67313--1.09089))+0-0-0</f>
        <v>698.81776000000002</v>
      </c>
      <c r="G359" s="3">
        <f>0+(832.3-177.4)+(0+(-2.546838--0.542844))+0-0-0</f>
        <v>652.89600599999994</v>
      </c>
      <c r="H359" s="3">
        <f>0+(826.5-163.1)+(0+(-1.264545--0.249543))+0-0-0</f>
        <v>662.384998</v>
      </c>
      <c r="I359" s="3">
        <f>0+(792-133.4)+(0+(-1.21176--0.204102))+0-0-0</f>
        <v>657.59234200000003</v>
      </c>
      <c r="J359" s="3">
        <f>0+(770.9-119.3)+(0+(0.786318-0.121686))+0-0-0</f>
        <v>652.26463200000001</v>
      </c>
      <c r="K359" s="3">
        <f>0+(795.1-156.9)+(0+(-0.405501--0.080019))+0-0-0</f>
        <v>637.87451800000008</v>
      </c>
      <c r="L359" s="3">
        <f>0+(847.3-196.3)+(0+(-0.432123--0.100113))+0-0-0</f>
        <v>650.66799000000003</v>
      </c>
      <c r="M359" s="3">
        <f>18.9+(870.8-234.1)+(0.038556+(1.776432-0.477564))+0-0-0</f>
        <v>656.93742399999996</v>
      </c>
      <c r="N359" s="3">
        <f>72.3+(1006.9-332.5)+(0+(0-0))+0-0-0</f>
        <v>746.69999999999993</v>
      </c>
      <c r="O359" s="3">
        <f>135.2+(1095.7-424.6)+(-0.275808+(-2.235228--0.866184))+0-0-0</f>
        <v>804.65514799999994</v>
      </c>
      <c r="P359" s="3">
        <f>137.4+(1098.2-441.1)+(-0.280296+(-2.240328--0.899844))+0-0-0</f>
        <v>792.87922000000003</v>
      </c>
      <c r="Q359" s="3">
        <f>2.3+(1211.8-435)+(-0.003519+(-1.854054--0.66555))+0-0-0</f>
        <v>777.90797699999996</v>
      </c>
      <c r="R359" s="3">
        <f>0+(1176.8-413.4)+(0+(-2.400672--0.843336))+0-0-0</f>
        <v>761.84266400000001</v>
      </c>
      <c r="S359" s="3">
        <f>0+(1152.9-415.9)+(0+(1.175958-0.424218))+0-0-0</f>
        <v>737.75174000000015</v>
      </c>
      <c r="T359" s="3">
        <f>0+(1158.5-412.4)+(0+(-1.18167--0.420648))+0-0-0</f>
        <v>745.338978</v>
      </c>
      <c r="U359" s="3">
        <f>0+(1152.1-423.1)+(0+(0-0))+0-0-0</f>
        <v>728.99999999999989</v>
      </c>
      <c r="V359" s="3">
        <f>0+(1165.4-411.5)+(0+(-2.377416--0.83946))+0-0-0</f>
        <v>752.36204400000008</v>
      </c>
      <c r="W359" s="3">
        <f>0+(1162.2-403.2)+(0+(-0.592722--0.205632))+0-0-0</f>
        <v>758.61291000000006</v>
      </c>
      <c r="X359" s="3">
        <f>0+(1199.4-445.2)+(0+(-0.611694--0.227052))+0-0-0</f>
        <v>753.81535800000006</v>
      </c>
      <c r="Y359" s="3">
        <f>0+(1271.8-467.1)+(0+(-3.891708--1.429326))+0-0-0</f>
        <v>802.23761799999988</v>
      </c>
      <c r="Z359" s="3">
        <f>0+(1390.1-480.5)+(0+(-2.126853--0.735165))+0-0-0</f>
        <v>908.20831199999986</v>
      </c>
      <c r="AA359" s="3">
        <f>0+(1300.9-528.3)+(0+(-1.990377--0.808299))+0-0-0</f>
        <v>771.41792200000009</v>
      </c>
      <c r="AB359" s="3">
        <f>0+(1273.5-526.2)+(0+(-2.59794--1.073448))+0-0-0</f>
        <v>745.77550799999995</v>
      </c>
      <c r="AC359" s="3">
        <f>0+(1130-427.5)+(0+(-2.8815--1.090125))+0-0-0</f>
        <v>700.70862499999998</v>
      </c>
      <c r="AD359">
        <f t="shared" si="5"/>
        <v>17558.649693999996</v>
      </c>
      <c r="AE359" s="3">
        <f>0+(1297-479.2)+(0+(0-0))+0-0-0</f>
        <v>817.8</v>
      </c>
    </row>
    <row r="360" spans="1:31" s="2" customFormat="1" x14ac:dyDescent="0.25">
      <c r="A360">
        <v>89</v>
      </c>
      <c r="B360">
        <v>12</v>
      </c>
      <c r="C360">
        <v>24</v>
      </c>
      <c r="D360">
        <v>4</v>
      </c>
      <c r="E360">
        <v>1</v>
      </c>
      <c r="F360" s="3">
        <f>0+(936.1-311.3)+(0+(-2.864466--0.952578))+0-0-0</f>
        <v>622.88811199999998</v>
      </c>
      <c r="G360" s="3">
        <f>0+(883.7-240.1)+(0+(-2.253435--0.612255))+0-0-0</f>
        <v>641.95882000000006</v>
      </c>
      <c r="H360" s="3">
        <f>0+(875.5-208.4)+(0+(0-0))+0-0-0</f>
        <v>667.1</v>
      </c>
      <c r="I360" s="3">
        <f>0+(844.4-194)+(0+(-2.583864--0.59364))+0-0-0</f>
        <v>648.40977599999997</v>
      </c>
      <c r="J360" s="3">
        <f>0+(852.8-191.9)+(0+(1.304784-0.293607))+0-0-0</f>
        <v>661.91117699999995</v>
      </c>
      <c r="K360" s="3">
        <f>0+(855.2-208.4)+(0+(-2.18076--0.53142))+0-0-0</f>
        <v>645.15066000000002</v>
      </c>
      <c r="L360" s="3">
        <f>0+(918.4-246.4)+(0+(-1.405152--0.376992))+0-0-0</f>
        <v>670.97184000000004</v>
      </c>
      <c r="M360" s="3">
        <f>0+(1035.3-350.1)+(0+(-1.056006--0.357102))+0-0-0</f>
        <v>684.50109599999996</v>
      </c>
      <c r="N360" s="3">
        <f>0+(1234-460.4)+(0+(0-0))+0-0-0</f>
        <v>773.6</v>
      </c>
      <c r="O360" s="3">
        <f>0+(1396.7-553.9)+(0+(-1.424634--0.564978))+0-0-0</f>
        <v>841.9403440000001</v>
      </c>
      <c r="P360" s="3">
        <f>0+(1326.7-555.8)+(0+(-0.676617--0.283458))+0-0-0</f>
        <v>770.50684100000012</v>
      </c>
      <c r="Q360" s="3">
        <f>0+(1310.2-535.1)+(0+(-2.004606--0.818703))+0-0-0</f>
        <v>773.91409699999997</v>
      </c>
      <c r="R360" s="3">
        <f>27.1+(1215-490.1)+(-0.027642+(-1.2393--0.499902))+0-0-0</f>
        <v>751.23296000000005</v>
      </c>
      <c r="S360" s="3">
        <f>50+(1096.9-380.6)+(-0.0255+(-0.559419--0.194106))+0-0-0</f>
        <v>765.90918700000009</v>
      </c>
      <c r="T360" s="3">
        <f>50.1+(998.6-301.9)+(-0.025551+(-0.509286--0.153969))+0-0-0</f>
        <v>746.4191320000001</v>
      </c>
      <c r="U360" s="3">
        <f>50+(965.4-278.7)+(-0.0765+(-1.477062--0.426411))+0-0-0</f>
        <v>735.57284900000002</v>
      </c>
      <c r="V360" s="3">
        <f>50.1+(857.7-201.6)+(-0.204408+(-3.499416--0.822528))+0-0-0</f>
        <v>703.31870400000003</v>
      </c>
      <c r="W360" s="3">
        <f>50.1+(699.1-75.3)+(0.025551+(0.356541-0.038403))+0-0-0</f>
        <v>674.24368900000013</v>
      </c>
      <c r="X360" s="3">
        <f>50+(775.9-89.2)+(0.0255+(0.395709-0.045492))+0-0-0</f>
        <v>737.07571699999994</v>
      </c>
      <c r="Y360" s="3">
        <f>25+(962.7-231.8)+(-0.051+(-1.963908--0.472872))+0-0-0</f>
        <v>754.35796400000004</v>
      </c>
      <c r="Z360" s="3">
        <f>0+(1028.5-283.2)+(0+(-1.04907--0.288864))+0-0-0</f>
        <v>744.53979399999992</v>
      </c>
      <c r="AA360" s="3">
        <f>0+(1051.3-320.9)+(0+(-1.072326--0.327318))+0-0-0</f>
        <v>729.65499199999999</v>
      </c>
      <c r="AB360" s="3">
        <f>0+(1015.9-293.6)+(0+(-0.518109--0.149736))+0-0-0</f>
        <v>721.93162699999993</v>
      </c>
      <c r="AC360" s="3">
        <f>0+(985.2-271.6)+(0+(-0.502452--0.138516))+0-0-0</f>
        <v>713.23606400000006</v>
      </c>
      <c r="AD360">
        <f t="shared" si="5"/>
        <v>17180.345442000002</v>
      </c>
      <c r="AE360" s="3">
        <f>55+(959.9-241.3)+(0+(0-0))+0-0-0</f>
        <v>773.59999999999991</v>
      </c>
    </row>
    <row r="361" spans="1:31" s="2" customFormat="1" x14ac:dyDescent="0.25">
      <c r="A361">
        <v>89</v>
      </c>
      <c r="B361">
        <v>12</v>
      </c>
      <c r="C361">
        <v>25</v>
      </c>
      <c r="D361">
        <v>5</v>
      </c>
      <c r="E361">
        <v>1</v>
      </c>
      <c r="F361" s="3">
        <f>0+(859.1-209)+(0+(-0.438141--0.10659))+0-0-0</f>
        <v>649.76844900000003</v>
      </c>
      <c r="G361" s="3">
        <f>0+(806.4-137.1)+(0+(-0.822528--0.139842))+0-0-0</f>
        <v>668.61731399999996</v>
      </c>
      <c r="H361" s="3">
        <f>0+(742-125.3)+(0+(-1.51368--0.255612))+0-0-0</f>
        <v>615.44193200000007</v>
      </c>
      <c r="I361" s="3">
        <f>0+(750.6-143.8)+(0+(0.765612-0.146676))+0-0-0</f>
        <v>607.41893599999992</v>
      </c>
      <c r="J361" s="3">
        <f>0+(754.6-140.4)+(0+(0-0))+0-0-0</f>
        <v>614.20000000000005</v>
      </c>
      <c r="K361" s="3">
        <f>0+(738.8-115.6)+(0+(0.753576-0.117912))+0-0-0</f>
        <v>623.83566399999995</v>
      </c>
      <c r="L361" s="3">
        <f>0+(756.1-131.2)+(0+(-1.928055--0.33456))+0-0-0</f>
        <v>623.30650500000013</v>
      </c>
      <c r="M361" s="3">
        <f>0+(813.4-139.6)+(0+(0.829668-0.142392))+0-0-0</f>
        <v>674.48727599999995</v>
      </c>
      <c r="N361" s="3">
        <f>0+(901.1-192)+(0+(0.459561-0.09792))+0-0-0</f>
        <v>709.46164099999999</v>
      </c>
      <c r="O361" s="3">
        <f>0+(1017.6-262.6)+(0+(-1.037952--0.267852))+0-0-0</f>
        <v>754.22990000000004</v>
      </c>
      <c r="P361" s="3">
        <f>0+(1058.7-291.3)+(0+(1.079874-0.297126))+0-0-0</f>
        <v>768.18274800000006</v>
      </c>
      <c r="Q361" s="3">
        <f>0+(1024.1-285.2)+(0+(1.566873-0.436356))+0-0-0</f>
        <v>740.03051699999992</v>
      </c>
      <c r="R361" s="3">
        <f>0+(966.2-253.6)+(0+(-1.478286--0.388008))+0-0-0</f>
        <v>711.50972200000001</v>
      </c>
      <c r="S361" s="3">
        <f>0+(984.3-262.3)+(0+(-0.501993--0.133773))+0-0-0</f>
        <v>721.63178000000005</v>
      </c>
      <c r="T361" s="3">
        <f>0+(959.6-245)+(0+(-1.468188--0.37485))+0-0-0</f>
        <v>713.50666200000001</v>
      </c>
      <c r="U361" s="3">
        <f>0+(993.7-292.8)+(0+(-2.027148--0.597312))+0-0-0</f>
        <v>699.47016400000007</v>
      </c>
      <c r="V361" s="3">
        <f>0+(991.4-292.4)+(0+(-1.011228--0.298248))+0-0-0</f>
        <v>698.28701999999998</v>
      </c>
      <c r="W361" s="3">
        <f>23.6+(916.3-248.8)+(-0.072216+(-2.803878--0.761328))+0-0-0</f>
        <v>688.98523399999999</v>
      </c>
      <c r="X361" s="3">
        <f>91.8+(952-302.8)+(0.046818+(0.48552-0.154428))+0-0-0</f>
        <v>741.37791000000004</v>
      </c>
      <c r="Y361" s="3">
        <f>133+(1043.3-395.7)+(-0.33915+(-2.660415--1.009035))+0-0-0</f>
        <v>778.60946999999987</v>
      </c>
      <c r="Z361" s="3">
        <f>134.5+(1020.6-385.5)+(-0.13719+(-1.041012--0.39321))+0-0-0</f>
        <v>768.81500800000003</v>
      </c>
      <c r="AA361" s="3">
        <f>135.7+(1037.6-413.4)+(-0.346035+(-2.64588--1.05417))+0-0-0</f>
        <v>757.96225499999991</v>
      </c>
      <c r="AB361" s="3">
        <f>53.3+(1031.9-342.8)+(-0.135915+(-2.631345--0.87414))+0-0-0</f>
        <v>740.50688000000014</v>
      </c>
      <c r="AC361" s="3">
        <f>0+(958.5-249)+(0+(-1.95534--0.50796))+0-0-0</f>
        <v>708.05262000000005</v>
      </c>
      <c r="AD361">
        <f t="shared" si="5"/>
        <v>16777.695606999998</v>
      </c>
      <c r="AE361" s="3">
        <f>132+(1043.3-404.9)+(0+(0-0))+0-0-0</f>
        <v>770.4</v>
      </c>
    </row>
    <row r="362" spans="1:31" s="2" customFormat="1" x14ac:dyDescent="0.25">
      <c r="A362">
        <v>89</v>
      </c>
      <c r="B362">
        <v>12</v>
      </c>
      <c r="C362">
        <v>26</v>
      </c>
      <c r="D362">
        <v>6</v>
      </c>
      <c r="E362">
        <v>1</v>
      </c>
      <c r="F362" s="3">
        <f>0+(792.4-128.2)+(0+(-1.212372--0.196146))+0-0-0</f>
        <v>663.18377400000008</v>
      </c>
      <c r="G362" s="3">
        <f>0+(675.6-42.7)+(0+(-0.689112--0.043554))+0-0-0</f>
        <v>632.25444199999993</v>
      </c>
      <c r="H362" s="3">
        <f>0+(662.9-57.1)+(0+(-1.014237--0.087363))+0-0-0</f>
        <v>604.87312599999996</v>
      </c>
      <c r="I362" s="3">
        <f>0+(669.2-73.9)+(0+(0.341292-0.037689))+0-0-0</f>
        <v>595.60360300000002</v>
      </c>
      <c r="J362" s="3">
        <f>0+(652.3-57)+(0+(-0.998019--0.08721))+0-0-0</f>
        <v>594.38919099999998</v>
      </c>
      <c r="K362" s="3">
        <f>0+(658.7-59.4)+(0+(-0.335937--0.030294))+0-0-0</f>
        <v>598.99435700000004</v>
      </c>
      <c r="L362" s="3">
        <f>0+(724-123.5)+(0+(-1.47696--0.25194))+0-0-0</f>
        <v>599.27498000000003</v>
      </c>
      <c r="M362" s="3">
        <f>13.2+(766.4-166.4)+(0.006732+(0.390864-0.084864))+0-0-0</f>
        <v>613.51273200000003</v>
      </c>
      <c r="N362" s="3">
        <f>50.1+(800.2-205)+(0.025551+(0.408102-0.10455))+0-0-0</f>
        <v>645.6291030000001</v>
      </c>
      <c r="O362" s="3">
        <f>50+(909.4-255.9)+(-0.0765+(-1.391382--0.391527))+0-0-0</f>
        <v>702.42364499999996</v>
      </c>
      <c r="P362" s="3">
        <f>118.5+(832.2-254.9)+(-0.181305+(-1.273266--0.389997))+0-0-0</f>
        <v>694.73542600000007</v>
      </c>
      <c r="Q362" s="3">
        <f>129.4+(800.8-276.7)+(-0.065994+(-0.408408--0.141117))+0-0-0</f>
        <v>653.16671499999984</v>
      </c>
      <c r="R362" s="3">
        <f>80.7+(839.9-271.3)+(-0.123471+(-1.285047--0.415089))+0-0-0</f>
        <v>648.30657099999996</v>
      </c>
      <c r="S362" s="3">
        <f>48.1+(857.2-256)+(0+(0-0))+0-0-0</f>
        <v>649.30000000000007</v>
      </c>
      <c r="T362" s="3">
        <f>48+(854.8-263.1)+(-0.07344+(-1.307844--0.402543))+0-0-0</f>
        <v>638.72125899999992</v>
      </c>
      <c r="U362" s="3">
        <f>48.1+(813.1-230)+(-0.171717+(-2.902767--0.8211))+0-0-0</f>
        <v>628.94661600000006</v>
      </c>
      <c r="V362" s="3">
        <f>48+(791.9-217.4)+(-0.04896+(-0.807738--0.221748))+0-0-0</f>
        <v>621.86505</v>
      </c>
      <c r="W362" s="3">
        <f>48+(781.3-219.2)+(-0.09792+(-1.593852--0.447168))+0-0-0</f>
        <v>608.85539599999993</v>
      </c>
      <c r="X362" s="3">
        <f>48+(838.8-215.7)+(0+(0-0))+0-0-0</f>
        <v>671.09999999999991</v>
      </c>
      <c r="Y362" s="3">
        <f>40.1+(1040.1-359.8)+(-0.081804+(-2.121804--0.733992))+0-0-0</f>
        <v>718.930384</v>
      </c>
      <c r="Z362" s="3">
        <f>0+(1069.4-354.3)+(0+(-1.636182--0.542079))+0-0-0</f>
        <v>714.00589700000012</v>
      </c>
      <c r="AA362" s="3">
        <f>0+(1069.2-366.9)+(0+(-0.545292--0.187119))+0-0-0</f>
        <v>701.9418270000001</v>
      </c>
      <c r="AB362" s="3">
        <f>0+(1116.9-431.3)+(0+(1.708857-0.659889))+0-0-0</f>
        <v>686.64896800000008</v>
      </c>
      <c r="AC362" s="3">
        <f>0+(1088.2-425)+(0+(-2.77491--1.08375))+0-0-0</f>
        <v>661.50884000000008</v>
      </c>
      <c r="AD362">
        <f t="shared" si="5"/>
        <v>15548.171902</v>
      </c>
      <c r="AE362" s="3">
        <f>50+(986-302)+(0+(0-0))+0-0-0</f>
        <v>734</v>
      </c>
    </row>
    <row r="363" spans="1:31" s="2" customFormat="1" x14ac:dyDescent="0.25">
      <c r="A363">
        <v>89</v>
      </c>
      <c r="B363">
        <v>12</v>
      </c>
      <c r="C363">
        <v>27</v>
      </c>
      <c r="D363">
        <v>7</v>
      </c>
      <c r="E363">
        <v>1</v>
      </c>
      <c r="F363" s="3">
        <f>0+(992.3-374.6)+(0+(-2.024292--0.764184))+0-0-0</f>
        <v>616.43989199999999</v>
      </c>
      <c r="G363" s="3">
        <f>0+(921.4-323.3)+(0+(-1.409742--0.494649))+0-0-0</f>
        <v>597.18490699999995</v>
      </c>
      <c r="H363" s="3">
        <f>0+(854.6-272.8)+(0+(-0.435846--0.139128))+0-0-0</f>
        <v>581.5032819999999</v>
      </c>
      <c r="I363" s="3">
        <f>0+(752.4-187.5)+(0+(-1.151172--0.286875))+0-0-0</f>
        <v>564.03570300000001</v>
      </c>
      <c r="J363" s="3">
        <f>0+(722.3-161.9)+(0+(0.368373-0.082569))+0-0-0</f>
        <v>560.68580399999996</v>
      </c>
      <c r="K363" s="3">
        <f>0+(771.8-216.4)+(0+(-1.180854--0.331092))+0-0-0</f>
        <v>554.55023799999992</v>
      </c>
      <c r="L363" s="3">
        <f>0+(755.7-221)+(0+(-0.770814--0.22542))+0-0-0</f>
        <v>534.15460600000006</v>
      </c>
      <c r="M363" s="3">
        <f>0+(786.7-251.1)+(0+(0-0))+0-0-0</f>
        <v>535.6</v>
      </c>
      <c r="N363" s="3">
        <f>13.3+(843.1-298.2)+(0.006783+(0.429981-0.152082))+0-0-0</f>
        <v>558.48468200000002</v>
      </c>
      <c r="O363" s="3">
        <f>50.1+(919.4-373.3)+(-0.025551+(-0.468894--0.190383))+0-0-0</f>
        <v>595.89593799999989</v>
      </c>
      <c r="P363" s="3">
        <f>50.1+(978.2-412.6)+(-0.102204+(-1.995528--0.841704))+0-0-0</f>
        <v>614.44397200000003</v>
      </c>
      <c r="Q363" s="3">
        <f>50.1+(1002.2-425.9)+(-0.102204+(-2.044488--0.868836))+0-0-0</f>
        <v>625.12214400000005</v>
      </c>
      <c r="R363" s="3">
        <f>50.1+(990.5-426.8)+(-0.025551+(-0.505155--0.217668))+0-0-0</f>
        <v>613.48696200000006</v>
      </c>
      <c r="S363" s="3">
        <f>50+(970.9-423.3)+(0.0255+(0.495159-0.215883))+0-0-0</f>
        <v>597.90477599999986</v>
      </c>
      <c r="T363" s="3">
        <f>48.5+(930-395.9)+(-0.123675+(-2.3715--1.009545))+0-0-0</f>
        <v>581.11437000000001</v>
      </c>
      <c r="U363" s="3">
        <f>48+(907.5-377)+(-0.1224+(-2.314125--0.96135))+0-0-0</f>
        <v>577.02482499999996</v>
      </c>
      <c r="V363" s="3">
        <f>48.1+(918.2-386.2)+(-0.073593+(-1.404846--0.590886))+0-0-0</f>
        <v>579.212447</v>
      </c>
      <c r="W363" s="3">
        <f>48.1+(890.1-353)+(-0.049062+(-0.907902--0.36006))+0-0-0</f>
        <v>584.60309600000005</v>
      </c>
      <c r="X363" s="3">
        <f>48.1+(908.6-316.8)+(0+(0-0))+0-0-0</f>
        <v>639.9</v>
      </c>
      <c r="Y363" s="3">
        <f>48.1+(1094.4-447.3)+(-0.073593+(-1.674432--0.684369))+0-0-0</f>
        <v>694.13634400000012</v>
      </c>
      <c r="Z363" s="3">
        <f>48+(1055.3-422.3)+(-0.04896+(-1.076406--0.430746))+0-0-0</f>
        <v>680.30538000000001</v>
      </c>
      <c r="AA363" s="3">
        <f>22.5+(1064.4-425)+(-0.02295+(-1.085688--0.4335))+0-0-0</f>
        <v>661.22486200000014</v>
      </c>
      <c r="AB363" s="3">
        <f>0+(1024.2-378.4)+(0+(-2.089368--0.771936))+0-0-0</f>
        <v>644.48256800000001</v>
      </c>
      <c r="AC363" s="3">
        <f>0+(932.3-321.4)+(0+(-1.901892--0.655656))+0-0-0</f>
        <v>609.65376400000002</v>
      </c>
      <c r="AD363">
        <f t="shared" si="5"/>
        <v>14401.150562000001</v>
      </c>
      <c r="AE363" s="3">
        <f>48+(1116.8-453.4)+(0+(0-0))+0-0-0</f>
        <v>711.4</v>
      </c>
    </row>
    <row r="364" spans="1:31" s="2" customFormat="1" x14ac:dyDescent="0.25">
      <c r="A364">
        <v>89</v>
      </c>
      <c r="B364">
        <v>12</v>
      </c>
      <c r="C364">
        <v>28</v>
      </c>
      <c r="D364">
        <v>1</v>
      </c>
      <c r="E364">
        <v>6</v>
      </c>
      <c r="F364" s="3">
        <f>0+(856.8-284.7)+(0+(-1.747872--0.580788))+0-0-0</f>
        <v>570.93291599999986</v>
      </c>
      <c r="G364" s="3">
        <f>0+(826.2-278.2)+(0+(-2.10681--0.70941))+0-0-0</f>
        <v>546.60260000000005</v>
      </c>
      <c r="H364" s="3">
        <f>0+(754-225.9)+(0+(0.38454-0.115209))+0-0-0</f>
        <v>528.36933099999999</v>
      </c>
      <c r="I364" s="3">
        <f>0+(751.4-231.3)+(0+(-1.91607--0.589815))+0-0-0</f>
        <v>518.77374499999996</v>
      </c>
      <c r="J364" s="3">
        <f>0+(806.6-287.9)+(0+(0.822732-0.293658))+0-0-0</f>
        <v>519.22907400000008</v>
      </c>
      <c r="K364" s="3">
        <f>0+(846.2-332)+(0+(0-0))+0-0-0</f>
        <v>514.20000000000005</v>
      </c>
      <c r="L364" s="3">
        <f>0+(895.9-388)+(0+(-1.370727--0.59364))+0-0-0</f>
        <v>507.12291299999998</v>
      </c>
      <c r="M364" s="3">
        <f>0+(942.4-415.6)+(0+(-0.480624--0.211956))+0-0-0</f>
        <v>526.53133199999991</v>
      </c>
      <c r="N364" s="3">
        <f>0+(1054.4-487.3)+(0+(-0.537744--0.248523))+0-0-0</f>
        <v>566.81077900000014</v>
      </c>
      <c r="O364" s="3">
        <f>9.6+(1078.3-473.9)+(-0.014688+(-1.649799--0.725067))+0-0-0</f>
        <v>613.06057999999996</v>
      </c>
      <c r="P364" s="3">
        <f>48+(1076-509.2)+(-0.02448+(-0.54876--0.259692))+0-0-0</f>
        <v>614.48645199999999</v>
      </c>
      <c r="Q364" s="3">
        <f>48+(1028.6-469.5)+(-0.09792+(-2.098344--0.95778))+0-0-0</f>
        <v>605.86151599999994</v>
      </c>
      <c r="R364" s="3">
        <f>48.1+(1006.7-452.2)+(-0.049062+(-1.026834--0.461244))+0-0-0</f>
        <v>601.98534800000004</v>
      </c>
      <c r="S364" s="3">
        <f>48+(956.9-424.2)+(0+(0-0))+0-0-0</f>
        <v>580.70000000000005</v>
      </c>
      <c r="T364" s="3">
        <f>48.1+(935.4-402.4)+(0.024531+(0.477054-0.205224))+0-0-0</f>
        <v>581.39636100000007</v>
      </c>
      <c r="U364" s="3">
        <f>46.1+(937.6-407.6)+(-0.023511+(-0.478176--0.207876))+0-0-0</f>
        <v>575.80618900000002</v>
      </c>
      <c r="V364" s="3">
        <f>46+(941.1-422.8)+(-0.1173+(-2.399805--1.07814))+0-0-0</f>
        <v>562.8610349999999</v>
      </c>
      <c r="W364" s="3">
        <f>46+(879.4-369.9)+(-0.09384+(-1.793976--0.754596))+0-0-0</f>
        <v>554.36677999999995</v>
      </c>
      <c r="X364" s="3">
        <f>46+(987.9-412.9)+(-0.02346+(-0.503829--0.210579))+0-0-0</f>
        <v>620.68329000000006</v>
      </c>
      <c r="Y364" s="3">
        <f>47.5+(1114.7-488.1)+(-0.04845+(-1.136994--0.497862))+0-0-0</f>
        <v>673.412418</v>
      </c>
      <c r="Z364" s="3">
        <f>48.1+(1096.2-488.4)+(-0.024531+(-0.559062--0.249084))+0-0-0</f>
        <v>655.56549100000007</v>
      </c>
      <c r="AA364" s="3">
        <f>48+(1112.9-505.9)+(-0.07344+(-1.702737--0.774027))+0-0-0</f>
        <v>653.99785000000008</v>
      </c>
      <c r="AB364" s="3">
        <f>48+(1063.8-473.5)+(-0.07344+(-1.627614--0.724455))+0-0-0</f>
        <v>637.32340099999999</v>
      </c>
      <c r="AC364" s="3">
        <f>48+(1009.7-447.6)+(-0.07344+(-1.544841--0.684828))+0-0-0</f>
        <v>609.16654700000004</v>
      </c>
      <c r="AD364">
        <f t="shared" si="5"/>
        <v>13939.245948000002</v>
      </c>
      <c r="AE364" s="3">
        <f>50+(1135.3-497)+(0+(0-0))+0-0-0</f>
        <v>688.3</v>
      </c>
    </row>
    <row r="365" spans="1:31" s="2" customFormat="1" x14ac:dyDescent="0.25">
      <c r="A365">
        <v>89</v>
      </c>
      <c r="B365">
        <v>12</v>
      </c>
      <c r="C365">
        <v>29</v>
      </c>
      <c r="D365">
        <v>2</v>
      </c>
      <c r="E365">
        <v>2</v>
      </c>
      <c r="F365" s="3">
        <f>2.4+(926.6-368.2)+(-0.003672+(-1.417698--0.563346))+0-0-0</f>
        <v>559.94197600000007</v>
      </c>
      <c r="G365" s="3">
        <f>0+(832.1-302.7)+(0+(-1.273113--0.463131))+0-0-0</f>
        <v>528.5900180000001</v>
      </c>
      <c r="H365" s="3">
        <f>0+(788.8-285.9)+(0+(-1.609152--0.583236))+0-0-0</f>
        <v>501.87408399999998</v>
      </c>
      <c r="I365" s="3">
        <f>0+(748.1-241.7)+(0+(0.381531-0.123267))+0-0-0</f>
        <v>506.65826400000003</v>
      </c>
      <c r="J365" s="3">
        <f>0+(743.5-239)+(0+(1.137555-0.36567))+0-0-0</f>
        <v>505.271885</v>
      </c>
      <c r="K365" s="3">
        <f>0+(744.7-248.5)+(0+(-0.759594--0.25347))+0-0-0</f>
        <v>495.69387600000005</v>
      </c>
      <c r="L365" s="3">
        <f>0+(757.9-273.6)+(0+(-1.159587--0.418608))+0-0-0</f>
        <v>483.55902099999997</v>
      </c>
      <c r="M365" s="3">
        <f>0+(734.1-246.4)+(0+(1.497564-0.502656))+0-0-0</f>
        <v>488.69490800000005</v>
      </c>
      <c r="N365" s="3">
        <f>0+(875-360.6)+(0+(0-0))+0-0-0</f>
        <v>514.4</v>
      </c>
      <c r="O365" s="3">
        <f>0+(971.5-440.2)+(0+(-0.99093--0.449004))+0-0-0</f>
        <v>530.75807399999997</v>
      </c>
      <c r="P365" s="3">
        <f>0+(942.3-397.4)+(0+(-1.922292--0.810696))+0-0-0</f>
        <v>543.78840400000001</v>
      </c>
      <c r="Q365" s="3">
        <f>0+(949.6-404)+(0+(-1.452888--0.61812))+0-0-0</f>
        <v>544.76523199999997</v>
      </c>
      <c r="R365" s="3">
        <f>0+(957.5-411.5)+(0+(-1.464975--0.629595))+0-0-0</f>
        <v>545.16462000000001</v>
      </c>
      <c r="S365" s="3">
        <f>0+(887.4-356.4)+(0+(-2.26287--0.90882))+0-0-0</f>
        <v>529.64594999999997</v>
      </c>
      <c r="T365" s="3">
        <f>0+(821-297.5)+(0+(-1.67484--0.6069))+0-0-0</f>
        <v>522.43205999999998</v>
      </c>
      <c r="U365" s="3">
        <f>0+(763.9-246.6)+(0+(-1.168767--0.377298))+0-0-0</f>
        <v>516.50853099999995</v>
      </c>
      <c r="V365" s="3">
        <f>0+(740-223.2)+(0+(0.3774-0.113832))+0-0-0</f>
        <v>517.06356799999992</v>
      </c>
      <c r="W365" s="3">
        <f>0+(719.8-201.5)+(0+(0-0))+0-0-0</f>
        <v>518.29999999999995</v>
      </c>
      <c r="X365" s="3">
        <f>0+(775.7-202.3)+(0+(0.395607-0.103173))+0-0-0</f>
        <v>573.69243400000005</v>
      </c>
      <c r="Y365" s="3">
        <f>0+(939.6-312.4)+(0+(-2.39598--0.79662))+0-0-0</f>
        <v>625.60064</v>
      </c>
      <c r="Z365" s="3">
        <f>0+(905.3-297.4)+(0+(-1.385109--0.455022))+0-0-0</f>
        <v>606.96991300000002</v>
      </c>
      <c r="AA365" s="3">
        <f>0+(948.4-345.3)+(0+(-0.967368--0.352206))+0-0-0</f>
        <v>602.48483799999985</v>
      </c>
      <c r="AB365" s="3">
        <f>0+(959.1-364.6)+(0+(-0.489141--0.185946))+0-0-0</f>
        <v>594.19680500000004</v>
      </c>
      <c r="AC365" s="3">
        <f>0+(881.1-301.7)+(0+(-1.797444--0.615468))+0-0-0</f>
        <v>578.21802400000013</v>
      </c>
      <c r="AD365">
        <f t="shared" si="5"/>
        <v>12934.273125000002</v>
      </c>
      <c r="AE365" s="3">
        <f>0+(971.4-332.4)+(0+(0-0))+0-0-0</f>
        <v>639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89</v>
      </c>
      <c r="B1">
        <v>1</v>
      </c>
      <c r="C1">
        <v>1</v>
      </c>
      <c r="D1">
        <v>2</v>
      </c>
      <c r="E1">
        <v>2</v>
      </c>
      <c r="F1" s="3">
        <f>959.2+(331.1-87.1)+(0+(0-0))+0-24-0</f>
        <v>1179.2</v>
      </c>
      <c r="G1" s="3">
        <f>937+(222.1-128)+(0+(0-0))+0-24.5-0</f>
        <v>1006.5999999999999</v>
      </c>
      <c r="H1" s="3">
        <f>937+(170.9-164.3)+(0+(0-0))+0-22.9-0</f>
        <v>920.7</v>
      </c>
      <c r="I1" s="3">
        <f>936.2+(160.3-183.7)+(-0.477462+(-0.081753--0.093687))+0-24.7--0.0125969999999975</f>
        <v>887.6470690000001</v>
      </c>
      <c r="J1" s="3">
        <f>936.3+(157.3-189.6)+(-2.387565+(-0.401115--0.48348))+0-24.2--0.0617099999999965</f>
        <v>877.55650999999989</v>
      </c>
      <c r="K1" s="3">
        <f>936.9+(170.9-190)+(-0.477819+(-0.087159--0.0969))+0-24--0.0122399999999976</f>
        <v>893.34416199999998</v>
      </c>
      <c r="L1" s="3">
        <f>916.7+(189.7-213.4)+(-2.337585+(-0.483735--0.54417))+0-22.7--0.0578849999999967</f>
        <v>868.08073499999989</v>
      </c>
      <c r="M1" s="3">
        <f>895.3+(210.5-191)+(1.369809+(0.322065-0.29223))+0-24.1-0.0368730000000014</f>
        <v>892.06277099999988</v>
      </c>
      <c r="N1" s="3">
        <f>895.3+(209.6-129.3)+(0+(0-0))+0-23.9-0</f>
        <v>951.69999999999993</v>
      </c>
      <c r="O1" s="3">
        <f>893.5+(259.5-116)+(-1.82274+(-0.52938--0.23664))+0-20.1--0.0410039999999991</f>
        <v>1014.8255240000001</v>
      </c>
      <c r="P1" s="3">
        <f>894.7+(271.3-119.3)+(-2.281485+(-0.691815--0.304215))+0-19.8--0.0504899999999971</f>
        <v>1024.2814050000002</v>
      </c>
      <c r="Q1" s="3">
        <f>895.3+(263.6-129.4)+(-0.913206+(-0.268872--0.131988))+0-20--0.0204000000000032</f>
        <v>1008.47031</v>
      </c>
      <c r="R1" s="3">
        <f>895.3+(251.2-129.6)+(-0.913206+(-0.256224--0.132192))+0-19.1--0.019482000000003</f>
        <v>996.78224399999999</v>
      </c>
      <c r="S1" s="3">
        <f>894.3+(226.2-125.6)+(0+(0-0))+0-17.7-0</f>
        <v>977.19999999999993</v>
      </c>
      <c r="T1" s="3">
        <f>894.8+(218.6-129.7)+(-1.369044+(-0.334458--0.198441))+0-18--0.027540000000001</f>
        <v>964.22247900000002</v>
      </c>
      <c r="U1" s="3">
        <f>895.6+(207.5-131)+(-1.370268+(-0.317475--0.20043))+0-18.5--0.0283050000000011</f>
        <v>952.1409920000001</v>
      </c>
      <c r="V1" s="3">
        <f>890.1+(197.4-105.6)+(-1.361853+(-0.302022--0.161568))+0-19.4--0.0296820000000011</f>
        <v>961.02737500000012</v>
      </c>
      <c r="W1" s="3">
        <f>889.1+(222.7-83.6)+(-0.906882+(-0.227154--0.085272))+0-18--0.0183600000000029</f>
        <v>1009.1695960000002</v>
      </c>
      <c r="X1" s="3">
        <f>943.1+(352.2-75.3)+(-0.480981+(-0.179622--0.038403))+0-18.7--0.0095369999999981</f>
        <v>1200.6873369999998</v>
      </c>
      <c r="Y1" s="3">
        <f>965.2+(661.2-92.2)+(0+(0-0))+0-20.2-0</f>
        <v>1514</v>
      </c>
      <c r="Z1" s="3">
        <f>964.4+(666.4-91.9)+(-0.491844+(-0.339864--0.046869))+0-18.8--0.00958799999999809</f>
        <v>1519.3247490000001</v>
      </c>
      <c r="AA1" s="3">
        <f>958.1+(638.4-88.7)+(-2.443155+(-1.62792--0.226185))+0-19.5--0.0497249999999972</f>
        <v>1484.504835</v>
      </c>
      <c r="AB1" s="3">
        <f>962.6+(560-87.3)+(-0.981852+(-0.5712--0.089046))+0-18.4--0.0187680000000029</f>
        <v>1415.4547619999998</v>
      </c>
      <c r="AC1" s="3">
        <f>940.5+(424.1-86.2)+(-3.357585+(-1.514037--0.307734))+0-17.8--0.0635460000000003</f>
        <v>1256.0996580000003</v>
      </c>
      <c r="AD1">
        <f t="shared" ref="AD1:AD64" si="0">SUM(F1:AC1)</f>
        <v>25775.082513000001</v>
      </c>
      <c r="AE1" s="3">
        <f>945.5+(667-94)+(0+(0-0))+0-17-0</f>
        <v>1501.5</v>
      </c>
    </row>
    <row r="2" spans="1:31" s="2" customFormat="1" x14ac:dyDescent="0.25">
      <c r="A2">
        <v>89</v>
      </c>
      <c r="B2">
        <v>1</v>
      </c>
      <c r="C2">
        <v>2</v>
      </c>
      <c r="D2">
        <v>3</v>
      </c>
      <c r="E2">
        <v>2</v>
      </c>
      <c r="F2" s="3">
        <f>(G2+AC1)/2</f>
        <v>1134.2557040000002</v>
      </c>
      <c r="G2" s="3">
        <f>938+(184-99)+(-2.3919+(-0.4692--0.25245))+0-8--0.0203999999999988</f>
        <v>1012.41175</v>
      </c>
      <c r="H2" s="3">
        <f>935.4+(172.1-130.1)+(-2.862324+(-0.526626--0.398106))+0-18.9--0.0578340000000022</f>
        <v>955.56698999999992</v>
      </c>
      <c r="I2" s="3">
        <f>922+(162.5-159.1)+(-0.94044+(-0.16575--0.162282))+0-17.8--0.0181560000000028</f>
        <v>906.67424800000003</v>
      </c>
      <c r="J2" s="3">
        <f>907.7+(164-174.7)+(0+(0-0))+0-17.2-0</f>
        <v>879.8</v>
      </c>
      <c r="K2" s="3">
        <f>909.6+(165.8-178.8)+(0.927792+(0.169116-0.182376))+0-17.3-0.0176460000000028</f>
        <v>880.19688600000006</v>
      </c>
      <c r="L2" s="3">
        <f>908.2+(181-187.9)+(0.463182+(0.09231-0.095829))+0-17.4-0.00887399999999823</f>
        <v>884.35078900000008</v>
      </c>
      <c r="M2" s="3">
        <f>902.3+(196.7-218.8)+(-2.300865+(-0.501585--0.55794))+0-17.6--0.0448799999999975</f>
        <v>860.40036999999995</v>
      </c>
      <c r="N2" s="3">
        <f>868.7+(155.3-153.3)+(-0.886074+(-0.158406--0.156366))+0-18.2--0.0185640000000029</f>
        <v>851.63045</v>
      </c>
      <c r="O2" s="3">
        <f>870.8+(168.2-104)+(-0.888216+(-0.171564--0.10608))+0-18.7--0.019074000000003</f>
        <v>915.36537399999997</v>
      </c>
      <c r="P2" s="3">
        <f>895+(200.8-83.4)+(-0.9129+(-0.204816--0.085068))+0-19.8--0.0201960000000032</f>
        <v>991.58754800000008</v>
      </c>
      <c r="Q2" s="3">
        <f>922.1+(209.9-80.2)+(-1.410813+(-0.321147--0.122706))+0-19.6--0.0299880000000011</f>
        <v>1030.6207340000001</v>
      </c>
      <c r="R2" s="3">
        <f>922.9+(181.6-71.4)+(0+(0-0))+0-17.5-0</f>
        <v>1015.5999999999999</v>
      </c>
      <c r="S2" s="3">
        <f>922.2+(177.5-70.5)+(-2.35161+(-0.452625--0.179775))+0-15.5--0.0395249999999977</f>
        <v>1011.1150650000001</v>
      </c>
      <c r="T2" s="3">
        <f>909.2+(169.5-71.3)+(-0.463692+(-0.086445--0.036363))+0-16.3--0.00831299999999835</f>
        <v>990.59453900000017</v>
      </c>
      <c r="U2" s="3">
        <f>919.6+(142.4-70.9)+(-0.468996+(-0.072624--0.036159))+0-17.9--0.00912899999999818</f>
        <v>972.70366800000011</v>
      </c>
      <c r="V2" s="3">
        <f>920.3+(142.3-72.8)+(-1.408059+(-0.217719--0.111384))+0-18.8--0.0287640000000011</f>
        <v>969.51436999999999</v>
      </c>
      <c r="W2" s="3">
        <f>919+(152.4-61.1)+(-0.93738+(-0.155448--0.062322))+0-18.5--0.018870000000003</f>
        <v>990.788364</v>
      </c>
      <c r="X2" s="3">
        <f>919.3+(200-61.7)+(0+(0-0))+0-16.1-0</f>
        <v>1041.5</v>
      </c>
      <c r="Y2" s="3">
        <f>923.1+(354.5-54.1)+(-0.470781+(-0.180795--0.027591))+0-17.1--0.00872099999999827</f>
        <v>1205.7847360000001</v>
      </c>
      <c r="Z2" s="3">
        <f>946.2+(644.3-67.8)+(-1.930248+(-1.314372--0.138312))+0-18.1--0.0369239999999992</f>
        <v>1501.5306160000002</v>
      </c>
      <c r="AA2" s="3">
        <f>946.8+(636.4-79.9)+(-0.965736+(-0.649128--0.081498))+0-17.5--0.0178500000000028</f>
        <v>1484.284484</v>
      </c>
      <c r="AB2" s="3">
        <f>944.7+(601-85.6)+(-1.445391+(-0.91953--0.130968))+0-18--0.027540000000001</f>
        <v>1439.893587</v>
      </c>
      <c r="AC2" s="3">
        <f>945.6+(514.6-86.9)+(-1.446768+(-0.787338--0.132957))+0-17.9--0.027387000000001</f>
        <v>1353.3262380000001</v>
      </c>
      <c r="AD2">
        <f t="shared" si="0"/>
        <v>25279.496510000001</v>
      </c>
      <c r="AE2" s="3">
        <f>950+(660-57)+(0+(0-0))+0-17-0</f>
        <v>1536</v>
      </c>
    </row>
    <row r="3" spans="1:31" s="2" customFormat="1" x14ac:dyDescent="0.25">
      <c r="A3">
        <v>89</v>
      </c>
      <c r="B3">
        <v>1</v>
      </c>
      <c r="C3">
        <v>3</v>
      </c>
      <c r="D3">
        <v>4</v>
      </c>
      <c r="E3">
        <v>2</v>
      </c>
      <c r="F3" s="3">
        <f>893.1+(394.5-87.9)+(-1.821924+(-0.80478--0.179316))+0-18--0.0367199999999992</f>
        <v>1179.2893320000001</v>
      </c>
      <c r="G3" s="3">
        <f>889.9+(230.9-91.5)+(-1.361547+(-0.353277--0.139995))+0-18.7--0.0286110000000011</f>
        <v>1009.053782</v>
      </c>
      <c r="H3" s="3">
        <f>889.9+(163.9-120)+(-2.723094+(-0.501534--0.3672))+0-17.2--0.052632000000002</f>
        <v>913.7952039999999</v>
      </c>
      <c r="I3" s="3">
        <f>892.1+(135-134.2)+(-0.909942+(-0.1377--0.136884))+0-17.4--0.0177480000000028</f>
        <v>874.60699000000011</v>
      </c>
      <c r="J3" s="3">
        <f>891.9+(123.6-136.5)+(-1.364607+(-0.189108--0.208845))+0-17.1--0.026163000000001</f>
        <v>860.58129299999996</v>
      </c>
      <c r="K3" s="3">
        <f>892.7+(114.7-132.9)+(-0.455277+(-0.058497--0.067779))+0-18.2--0.00928199999999815</f>
        <v>855.8632869999999</v>
      </c>
      <c r="L3" s="3">
        <f>891.4+(118.6-122.4)+(-1.818456+(-0.241944--0.249696))+0-21.1--0.0430439999999991</f>
        <v>864.73233999999991</v>
      </c>
      <c r="M3" s="3">
        <f>890.6+(92.3-127.3)+(-1.362618+(-0.141219--0.194769))+0-25.6--0.0391680000000015</f>
        <v>828.73009999999999</v>
      </c>
      <c r="N3" s="3">
        <f>892.2+(91.5-119.1)+(0.455022+(0.046665-0.060741))+0-27-0.0137699999999973</f>
        <v>838.02717600000005</v>
      </c>
      <c r="O3" s="3">
        <f>893.5+(130.6-84.2)+(0+(0-0))+0-27.2-0</f>
        <v>912.69999999999993</v>
      </c>
      <c r="P3" s="3">
        <f>895.4+(202.4-74)+(0.456654+(0.103224-0.03774))+0-24.8-0.0126479999999975</f>
        <v>999.50949000000003</v>
      </c>
      <c r="Q3" s="3">
        <f>900.1+(235.4-76.2)+(-0.459051+(-0.120054--0.038862))+0-23--0.0117299999999977</f>
        <v>1035.771487</v>
      </c>
      <c r="R3" s="3">
        <f>908.6+(244.4-75)+(-0.926772+(-0.249288--0.0765))+0-26.5--0.0270300000000042</f>
        <v>1050.4274699999999</v>
      </c>
      <c r="S3" s="3">
        <f>908.5+(258.3-97.3)+(-0.463335+(-0.131733--0.049623))+0-27.2--0.0138719999999972</f>
        <v>1041.768427</v>
      </c>
      <c r="T3" s="3">
        <f>909.2+(245-110.6)+(0+(0-0))+0-28.8-0</f>
        <v>1014.8000000000002</v>
      </c>
      <c r="U3" s="3">
        <f>906.1+(230.7-108.6)+(-1.386333+(-0.352971--0.166158))+0-30.1--0.0460530000000017</f>
        <v>996.5729070000001</v>
      </c>
      <c r="V3" s="3">
        <f>905.7+(231.7-111.1)+(-0.923814+(-0.236334--0.113322))+0-29.7--0.0302940000000047</f>
        <v>995.58346799999993</v>
      </c>
      <c r="W3" s="3">
        <f>902.8+(231.1-101.7)+(-0.920856+(-0.235722--0.103734))+0-29.4--0.0299880000000047</f>
        <v>1001.7771439999998</v>
      </c>
      <c r="X3" s="3">
        <f>903.4+(300.5-122.1)+(0+(0-0))+0-27.5-0</f>
        <v>1054.3</v>
      </c>
      <c r="Y3" s="3">
        <f>937.5+(394.8-75.9)+(0+(0-0))+0-28.4-0</f>
        <v>1228</v>
      </c>
      <c r="Z3" s="3">
        <f>941.2+(702.5-82.7)+(-1.920048+(-1.4331--0.168708))+0-29.3--0.0597719999999987</f>
        <v>1528.5753320000001</v>
      </c>
      <c r="AA3" s="3">
        <f>942.6+(693.3-84.7)+(0+(0-0))+0-29.9-0</f>
        <v>1521.2999999999997</v>
      </c>
      <c r="AB3" s="3">
        <f>943.6+(637.3-86.1)+(-0.481236+(-0.325023--0.043911))+0-27.6--0.0140759999999972</f>
        <v>1466.451728</v>
      </c>
      <c r="AC3" s="3">
        <f>927.4+(554.5-85.1)+(-0.945948+(-0.56559--0.086802))+0-25.9--0.0264180000000041</f>
        <v>1369.5016819999998</v>
      </c>
      <c r="AD3">
        <f t="shared" si="0"/>
        <v>25441.718638999999</v>
      </c>
      <c r="AE3" s="3">
        <f>944+(703-85)+(0+(0-0))+0-30-0</f>
        <v>1532</v>
      </c>
    </row>
    <row r="4" spans="1:31" s="2" customFormat="1" x14ac:dyDescent="0.25">
      <c r="A4">
        <v>89</v>
      </c>
      <c r="B4">
        <v>1</v>
      </c>
      <c r="C4">
        <v>4</v>
      </c>
      <c r="D4">
        <v>5</v>
      </c>
      <c r="E4">
        <v>2</v>
      </c>
      <c r="F4" s="3">
        <f>923.8+(399.9-83.1)+(-0.942276+(-0.407898--0.084762))+0-26.9--0.0274380000000043</f>
        <v>1212.4620259999999</v>
      </c>
      <c r="G4" s="3">
        <f>923.7+(247.8-110.6)+(-1.884348+(-0.505512--0.225624))+0-27.4--0.0558959999999988</f>
        <v>1031.39166</v>
      </c>
      <c r="H4" s="3">
        <f>923.5+(201.1-149.7)+(-1.412955+(-0.307683--0.229041))+0-27.3--0.0417690000000016</f>
        <v>946.15017200000011</v>
      </c>
      <c r="I4" s="3">
        <f>924.2+(193.4-178.4)+(0.942684+(0.197268-0.181968))+0-27.4-0.0279480000000044</f>
        <v>912.73003600000004</v>
      </c>
      <c r="J4" s="3">
        <f>924.1+(194.1-193)+(-0.471291+(-0.098991--0.09843))+0-27.6--0.0140759999999972</f>
        <v>897.14222400000006</v>
      </c>
      <c r="K4" s="3">
        <f>924.4+(189.9-192.4)+(0.471444+(0.096849-0.098124))+0-26.5-0.0135149999999973</f>
        <v>895.85665400000005</v>
      </c>
      <c r="L4" s="3">
        <f>923.7+(187.6-176.3)+(-0.471087+(-0.095676--0.089913))+0-27.5--0.0140249999999972</f>
        <v>907.03717499999993</v>
      </c>
      <c r="M4" s="3">
        <f>925.4+(170.3-184.1)+(-0.943908+(-0.173706--0.187782))+0-28.9--0.0294780000000046</f>
        <v>881.79964600000005</v>
      </c>
      <c r="N4" s="3">
        <f>922.4+(164.5-163.8)+(0+(0-0))+0-30.3-0</f>
        <v>892.8</v>
      </c>
      <c r="O4" s="3">
        <f>921.3+(191.1-120.2)+(0.469863+(0.097461-0.061302))+0-27.6-0.0140759999999972</f>
        <v>965.09194599999989</v>
      </c>
      <c r="P4" s="3">
        <f>923.1+(281.4-120.1)+(-1.883124+(-0.574056--0.245004))+0-10.6--0.0216239999999995</f>
        <v>1071.6094480000002</v>
      </c>
      <c r="Q4" s="3">
        <f>933+(306-110.1)+(-0.95166+(-0.31212--0.112302))+0-9.6--0.00979200000000153</f>
        <v>1118.1583140000002</v>
      </c>
      <c r="R4" s="3">
        <f>940.7+(317.3-111.6)+(0+(0-0))+0-24.9-0</f>
        <v>1121.5</v>
      </c>
      <c r="S4" s="3">
        <f>940.7+(298.4-119.2)+(0.479757+(0.152184-0.060792))+0-25.6-0.0130559999999974</f>
        <v>1094.8580930000003</v>
      </c>
      <c r="T4" s="3">
        <f>939.2+(269.8-118)+(-0.957984+(-0.275196--0.12036))+0-27.3--0.0278460000000044</f>
        <v>1062.6150259999999</v>
      </c>
      <c r="U4" s="3">
        <f>936.8+(252.7-111.4)+(-1.433304+(-0.386631--0.170442))+0-27.4--0.0419220000000016</f>
        <v>1049.092429</v>
      </c>
      <c r="V4" s="3">
        <f>935.4+(273.3-127.8)+(0+(0-0))+0-27.5-0</f>
        <v>1053.4000000000001</v>
      </c>
      <c r="W4" s="3">
        <f>936.2+(278.5-120.5)+(-0.477462+(-0.142035--0.061455))+0-27.1--0.0138209999999973</f>
        <v>1066.5557790000003</v>
      </c>
      <c r="X4" s="3">
        <f>936.1+(311.3-116)+(-0.477411+(-0.158763--0.05916))+0-27--0.0137699999999973</f>
        <v>1103.8367560000002</v>
      </c>
      <c r="Y4" s="3">
        <f>936.2+(439.5-69.5)+(-0.477462+(-0.224145--0.035445))+0-27.9--0.0142289999999972</f>
        <v>1277.6480669999999</v>
      </c>
      <c r="Z4" s="3">
        <f>940.9+(724.9-83.8)+(-1.919436+(-1.478796--0.170952))+0-26.5--0.0540599999999988</f>
        <v>1552.3267799999999</v>
      </c>
      <c r="AA4" s="3">
        <f>944.5+(711.2-85.8)+(-0.96339+(-0.725424--0.087516))+0-28.6--0.0291720000000046</f>
        <v>1539.7278740000002</v>
      </c>
      <c r="AB4" s="3">
        <f>947.5+(639.5-85.2)+(0+(0-0))+0-27.9-0</f>
        <v>1473.8999999999999</v>
      </c>
      <c r="AC4" s="3">
        <f>946.7+(531.9-85.2)+(-0.965634+(-0.542538--0.086904))+0-28.1--0.0286620000000045</f>
        <v>1363.9073940000001</v>
      </c>
      <c r="AD4">
        <f t="shared" si="0"/>
        <v>26491.597499000003</v>
      </c>
      <c r="AE4" s="3">
        <f>945+(734-86)+(0+(0-0))+0-26-0</f>
        <v>1567</v>
      </c>
    </row>
    <row r="5" spans="1:31" s="2" customFormat="1" x14ac:dyDescent="0.25">
      <c r="A5">
        <v>89</v>
      </c>
      <c r="B5">
        <v>1</v>
      </c>
      <c r="C5">
        <v>5</v>
      </c>
      <c r="D5">
        <v>6</v>
      </c>
      <c r="E5">
        <v>6</v>
      </c>
      <c r="F5" s="3">
        <f>926.7+(390.7-85.5)+(-2.363085+(-0.996285--0.218025))+0-26.9--0.0685949999999961</f>
        <v>1201.92725</v>
      </c>
      <c r="G5" s="3">
        <f>928.1+(272.5-131.9)+(-1.419993+(-0.416925--0.201807))+0-26.8--0.0410040000000016</f>
        <v>1040.305893</v>
      </c>
      <c r="H5" s="3">
        <f>925.6+(219-160.8)+(-0.944112+(-0.22338--0.164016))+0-26.3--0.0268260000000042</f>
        <v>956.52335000000005</v>
      </c>
      <c r="I5" s="3">
        <f>926+(239.4-208.9)+(-0.47226+(-0.122094--0.106539))+0-27.3--0.0139229999999972</f>
        <v>928.72610800000007</v>
      </c>
      <c r="J5" s="3">
        <f>924.8+(214.4-197.8)+(-0.471648+(-0.109344--0.100878))+0-27.5--0.0140249999999972</f>
        <v>913.43391099999997</v>
      </c>
      <c r="K5" s="3">
        <f>924.8+(202.9-186.9)+(-0.471648+(-0.103479--0.095319))+0-27.5--0.0140249999999972</f>
        <v>912.83421699999985</v>
      </c>
      <c r="L5" s="3">
        <f>926.8+(205.3-174)+(-1.890672+(-0.418812--0.35496))+0-27.1--0.0552839999999988</f>
        <v>929.10075999999992</v>
      </c>
      <c r="M5" s="3">
        <f>927.4+(193-178.7)+(0.472974+(0.09843-0.091137))+0-28.1-0.0143309999999971</f>
        <v>914.06593600000008</v>
      </c>
      <c r="N5" s="3">
        <f>926.6+(185.2-147.5)+(0.472566+(0.094452-0.075225))+0-29-0.0147899999999971</f>
        <v>935.77700300000004</v>
      </c>
      <c r="O5" s="3">
        <f>925.7+(238.8-117.1)+(0.472107+(0.121788-0.059721))+0-29.7-0.015146999999997</f>
        <v>1018.219027</v>
      </c>
      <c r="P5" s="3">
        <f>939.9+(318.1-120)+(0+(0-0))+0-29.1-0</f>
        <v>1108.9000000000001</v>
      </c>
      <c r="Q5" s="3">
        <f>947.4+(332.1-108)+(0.966348+(0.338742-0.11016))+0-29.2-0.0297840000000047</f>
        <v>1143.465146</v>
      </c>
      <c r="R5" s="3">
        <f>950.3+(332.9-106.3)+(-0.484653+(-0.169779--0.054213))+0-27.6--0.0140759999999972</f>
        <v>1148.713857</v>
      </c>
      <c r="S5" s="3">
        <f>948.6+(318.4-116.2)+(-0.967572+(-0.324768--0.118524))+0-26.6--0.0271320000000042</f>
        <v>1123.053316</v>
      </c>
      <c r="T5" s="3">
        <f>946.8+(296.2-122.7)+(0.482868+(0.151062-0.062577))+0-27.7-0.0141269999999972</f>
        <v>1093.157226</v>
      </c>
      <c r="U5" s="3">
        <f>946.7+(297.9-138.9)+(-0.965634+(-0.303858--0.141678))+0-28.6--0.0291720000000046</f>
        <v>1076.0013580000002</v>
      </c>
      <c r="V5" s="3">
        <f>945.7+(298.1-143.5)+(0+(0-0))+0-28.7-0</f>
        <v>1071.6000000000001</v>
      </c>
      <c r="W5" s="3">
        <f>944.6+(299.2-136.2)+(-1.445238+(-0.457776--0.208386))+0-28.4--0.0434520000000016</f>
        <v>1077.5488239999997</v>
      </c>
      <c r="X5" s="3">
        <f>946.1+(317.5-130.4)+(-1.930044+(-0.6477--0.266016))+0-26--0.0530399999999989</f>
        <v>1104.9413120000002</v>
      </c>
      <c r="Y5" s="3">
        <f>945.6+(431.1-82)+(-0.964512+(-0.439722--0.08364))+0-25.8--0.0263160000000041</f>
        <v>1267.605722</v>
      </c>
      <c r="Z5" s="3">
        <f>945.9+(728.5-81.6)+(-1.447227+(-1.114605--0.124848))+0-27.2--0.0416160000000016</f>
        <v>1563.2046319999999</v>
      </c>
      <c r="AA5" s="3">
        <f>946.5+(712.1-75.5)+(0+(0-0))+0-27.1-0</f>
        <v>1556</v>
      </c>
      <c r="AB5" s="3">
        <f>949+(634.9-75.2)+(-0.48399+(-0.323799--0.038352))+0-27.5--0.0140249999999972</f>
        <v>1480.4445879999998</v>
      </c>
      <c r="AC5" s="3">
        <f>947.9+(531.6-73.5)+(-0.966858+(-0.542232--0.07497))+0-27.6--0.0281520000000044</f>
        <v>1376.9940320000003</v>
      </c>
      <c r="AD5">
        <f t="shared" si="0"/>
        <v>26942.543467999996</v>
      </c>
      <c r="AE5" s="3">
        <f>944+(674-104)+(0+(0-0))+0-28-0</f>
        <v>1486</v>
      </c>
    </row>
    <row r="6" spans="1:31" s="2" customFormat="1" x14ac:dyDescent="0.25">
      <c r="A6">
        <v>89</v>
      </c>
      <c r="B6">
        <v>1</v>
      </c>
      <c r="C6">
        <v>6</v>
      </c>
      <c r="D6">
        <v>7</v>
      </c>
      <c r="E6">
        <v>1</v>
      </c>
      <c r="F6" s="3">
        <f>938.7+(399.3-78.8)+(-0.478737+(-0.203643--0.040188))+0-28.2--0.0143819999999971</f>
        <v>1230.37219</v>
      </c>
      <c r="G6" s="3">
        <f>932.1+(285.2-125.8)+(-0.950742+(-0.290904--0.128316))+0-28.6--0.0291720000000046</f>
        <v>1061.8158420000002</v>
      </c>
      <c r="H6" s="3">
        <f>932.5+(234.6-167.5)+(-1.426725+(-0.358938--0.256275))+0-27.8--0.0425340000000016</f>
        <v>970.31314600000007</v>
      </c>
      <c r="I6" s="3">
        <f>933.9+(228.1-200.3)+(0+(0-0))+0-28-0</f>
        <v>933.69999999999993</v>
      </c>
      <c r="J6" s="3">
        <f>934.2+(219.8-214.2)+(-1.429326+(-0.336294--0.327726))+0-28.2--0.0431460000000016</f>
        <v>910.20525199999997</v>
      </c>
      <c r="K6" s="3">
        <f>933+(187.6-187.6)+(0+(0-0))+0-28-0</f>
        <v>905</v>
      </c>
      <c r="L6" s="3">
        <f>934.3+(189-171.6)+(1.429479+(0.28917-0.262548))+0-28.6-0.0437580000000017</f>
        <v>924.51234299999987</v>
      </c>
      <c r="M6" s="3">
        <f>934.5+(184.3-197.3)+(-2.85957+(-0.563958--0.603738))+0-28.9--0.0884340000000033</f>
        <v>889.86864400000002</v>
      </c>
      <c r="N6" s="3">
        <f>934+(216.5-212.9)+(0.95268+(0.22083-0.217158))+0-29.8-0.0303960000000048</f>
        <v>908.72595600000011</v>
      </c>
      <c r="O6" s="3">
        <f>933.2+(277.9-190)+(0+(0-0))+0-29-0</f>
        <v>992.1</v>
      </c>
      <c r="P6" s="3">
        <f>933.7+(308.3-128.1)+(0+(0-0))+0-29.9-0</f>
        <v>1084</v>
      </c>
      <c r="Q6" s="3">
        <f>929.6+(316-95.3)+(0.948192+(0.32232-0.097206))+0-29.4-0.0299880000000047</f>
        <v>1122.0433179999998</v>
      </c>
      <c r="R6" s="3">
        <f>931.4+(311.9-97.8)+(0+(0-0))+0-26.7-0</f>
        <v>1118.8</v>
      </c>
      <c r="S6" s="3">
        <f>929.3+(295.5-105.6)+(-1.421829+(-0.452115--0.161568))+0-25.1--0.0384030000000015</f>
        <v>1092.4260270000002</v>
      </c>
      <c r="T6" s="3">
        <f>928.3+(277.5-117.2)+(-1.420299+(-0.424575--0.179316))+0-27.8--0.0425340000000016</f>
        <v>1059.176976</v>
      </c>
      <c r="U6" s="3">
        <f>929.1+(266.6-126.8)+(-1.421523+(-0.407898--0.194004))+0-30.1--0.0460530000000017</f>
        <v>1037.2106360000002</v>
      </c>
      <c r="V6" s="3">
        <f>927.9+(263-128.3)+(-1.419687+(-0.40239--0.196299))+0-29.5--0.0451350000000017</f>
        <v>1031.5193569999999</v>
      </c>
      <c r="W6" s="3">
        <f>926+(279.5-121.6)+(0+(0-0))+0-29.5-0</f>
        <v>1054.4000000000001</v>
      </c>
      <c r="X6" s="3">
        <f>925.7+(317.1-105.3)+(-1.416321+(-0.485163--0.161109))+0-26.1--0.0399330000000015</f>
        <v>1109.699558</v>
      </c>
      <c r="Y6" s="3">
        <f>942.3+(427-79.4)+(-1.441719+(-0.65331--0.121482))+0-27.4--0.0419220000000016</f>
        <v>1260.5683750000001</v>
      </c>
      <c r="Z6" s="3">
        <f>930.2+(710.9-78.6)+(-1.897608+(-1.450236--0.160344))+0-29--0.0591599999999987</f>
        <v>1530.37166</v>
      </c>
      <c r="AA6" s="3">
        <f>835.6+(789.7-80.5)+(-0.852312+(-0.805494--0.08211))+0-28.8--0.0293760000000046</f>
        <v>1514.4536800000001</v>
      </c>
      <c r="AB6" s="3">
        <f>833.3+(717.9-81.9)+(-0.424983+(-0.366129--0.041769))+0-28.3--0.0144329999999971</f>
        <v>1440.2650900000001</v>
      </c>
      <c r="AC6" s="3">
        <f>832.8+(566.8-80.8)+(0+(0-0))+0-26.1-0</f>
        <v>1292.7</v>
      </c>
      <c r="AD6">
        <f t="shared" si="0"/>
        <v>26474.248050000002</v>
      </c>
      <c r="AE6" s="3">
        <f>966+(660-78)+(0+(0-0))+0-32-0</f>
        <v>1516</v>
      </c>
    </row>
    <row r="7" spans="1:31" s="2" customFormat="1" x14ac:dyDescent="0.25">
      <c r="A7">
        <v>89</v>
      </c>
      <c r="B7">
        <v>1</v>
      </c>
      <c r="C7">
        <v>7</v>
      </c>
      <c r="D7">
        <v>1</v>
      </c>
      <c r="E7">
        <v>1</v>
      </c>
      <c r="F7" s="3">
        <f>802.1+(456.4-85.7)+(-0.409071+(-0.232764--0.043707))+0-26.8--0.0136679999999973</f>
        <v>1145.41554</v>
      </c>
      <c r="G7" s="3">
        <f>797.2+(302.9-88.3)+(-1.219716+(-0.463437--0.135099))+0-27.9--0.0426870000000016</f>
        <v>982.394633</v>
      </c>
      <c r="H7" s="3">
        <f>798.1+(259.2-98.5)+(0+(0-0))+0-28.5-0</f>
        <v>930.3</v>
      </c>
      <c r="I7" s="3">
        <f>795.4+(234.4-107.6)+(-1.622616+(-0.478176--0.219504))+0-26.1--0.0532439999999989</f>
        <v>894.27195599999993</v>
      </c>
      <c r="J7" s="3">
        <f>799.9+(219.4-108)+(0.407949+(0.111894-0.05508))+0-27.8-0.0141779999999972</f>
        <v>883.95058499999993</v>
      </c>
      <c r="K7" s="3">
        <f>798.5+(215-94.8)+(-0.407235+(-0.10965--0.048348))+0-28--0.0142799999999972</f>
        <v>890.24574300000006</v>
      </c>
      <c r="L7" s="3">
        <f>797.4+(236.2-86.1)+(-0.813348+(-0.240924--0.087822))+0-27.1--0.0276420000000043</f>
        <v>919.46119199999998</v>
      </c>
      <c r="M7" s="3">
        <f>808+(246.6-88.3)+(-1.64832+(-0.503064--0.180132))+0-27.7--0.0565079999999988</f>
        <v>936.68525599999987</v>
      </c>
      <c r="N7" s="3">
        <f>861+(250.1-74.8)+(0.87822+(0.255102-0.076296))+0-29.5-0.0300900000000047</f>
        <v>1007.8269359999999</v>
      </c>
      <c r="O7" s="3">
        <f>861.1+(339.2-59.7)+(-0.439161+(-0.172992--0.030447))+0-30.4--0.0155039999999969</f>
        <v>1109.6337979999998</v>
      </c>
      <c r="P7" s="3">
        <f>916.4+(402.1-69.9)+(0+(0-0))+0-27.8-0</f>
        <v>1220.8</v>
      </c>
      <c r="Q7" s="3">
        <f>941.1+(438.7-86.9)+(-0.959922+(-0.447474--0.088638))+0-29.9--0.0304980000000048</f>
        <v>1261.7117400000002</v>
      </c>
      <c r="R7" s="3">
        <f>943.6+(459.6-95.6)+(-0.481236+(-0.234396--0.048756))+0-28.8--0.0146879999999971</f>
        <v>1278.1478119999999</v>
      </c>
      <c r="S7" s="3">
        <f>939.2+(424.7-80.5)+(-1.436976+(-0.649791--0.123165))+0-26.3--0.0402390000000015</f>
        <v>1255.176637</v>
      </c>
      <c r="T7" s="3">
        <f>884.1+(405.3-59.4)+(-1.803564+(-0.826812--0.121176))+0-27.6--0.0563039999999988</f>
        <v>1199.9471040000001</v>
      </c>
      <c r="U7" s="3">
        <f>876.5+(392.5-55.4)+(-0.89403+(-0.40035--0.056508))+0-29--0.0295800000000046</f>
        <v>1183.3917079999999</v>
      </c>
      <c r="V7" s="3">
        <f>874.7+(411.5-60.9)+(-2.230485+(-1.049325--0.155295))+0-28.2--0.0719099999999959</f>
        <v>1194.0473950000001</v>
      </c>
      <c r="W7" s="3">
        <f>879.5+(439.5-64)+(0+(0-0))+0-27.6-0</f>
        <v>1227.4000000000001</v>
      </c>
      <c r="X7" s="3">
        <f>882.6+(483.6-62.3)+(-1.350378+(-0.739908--0.095319))+0-26.9--0.0411570000000016</f>
        <v>1275.04619</v>
      </c>
      <c r="Y7" s="3">
        <f>960.7+(555-70.9)+(0+(0-0))+0-28.9-0</f>
        <v>1415.9</v>
      </c>
      <c r="Z7" s="3">
        <f>1097.8+(632.9-84.6)+(-1.119756+(-0.645558--0.086292))+0-29.7--0.0302940000000047</f>
        <v>1614.7512719999997</v>
      </c>
      <c r="AA7" s="3">
        <f>1044.9+(650.7-89.9)+(-1.065798+(-0.663714--0.091698))+0-29.6--0.0301920000000047</f>
        <v>1574.4923780000004</v>
      </c>
      <c r="AB7" s="3">
        <f>1009+(595-90.1)+(-0.51459+(-0.30345--0.045951))+0-13.3--0.00678299999999865</f>
        <v>1499.8346940000001</v>
      </c>
      <c r="AC7" s="3">
        <f>885.2+(596.5-86.7)+(-0.451452+(-0.304215--0.044217))+0-12.3--0.00627299999999875</f>
        <v>1381.994823</v>
      </c>
      <c r="AD7">
        <f t="shared" si="0"/>
        <v>28282.827392000007</v>
      </c>
      <c r="AE7" s="3">
        <f>1170+(563-86)+(0+(0-0))+0-31-0</f>
        <v>1616</v>
      </c>
    </row>
    <row r="8" spans="1:31" s="2" customFormat="1" x14ac:dyDescent="0.25">
      <c r="A8">
        <v>89</v>
      </c>
      <c r="B8">
        <v>1</v>
      </c>
      <c r="C8">
        <v>8</v>
      </c>
      <c r="D8">
        <v>2</v>
      </c>
      <c r="E8">
        <v>1</v>
      </c>
      <c r="F8" s="3">
        <f>841.3+(481-86.6)+(-1.716252+(-0.98124--0.176664))+0-19.8--0.0403919999999991</f>
        <v>1213.419564</v>
      </c>
      <c r="G8" s="3">
        <f>877+(282.2-82.9)+(-1.34181+(-0.431766--0.126837))+0-18.5--0.0283050000000011</f>
        <v>1056.181566</v>
      </c>
      <c r="H8" s="3">
        <f>923.7+(202.9-117.8)+(-1.884348+(-0.413916--0.240312))+0-18.9--0.0385559999999992</f>
        <v>987.88060400000006</v>
      </c>
      <c r="I8" s="3">
        <f>928.9+(174.2-127.7)+(-0.947478+(-0.177684--0.130254))+0-25.6--0.0261120000000041</f>
        <v>948.83120399999996</v>
      </c>
      <c r="J8" s="3">
        <f>929.2+(137.6-123.7)+(0+(0-0))+0-11.6-0</f>
        <v>931.5</v>
      </c>
      <c r="K8" s="3">
        <f>929.3+(136.6-125.4)+(0.473943+(0.069666-0.063954))+0-5-0.00254999999999949</f>
        <v>935.97710499999994</v>
      </c>
      <c r="L8" s="3">
        <f>929.6+(148.7-119.1)+(0.948192+(0.151674-0.121482))+0-7.4-0.00754800000000118</f>
        <v>952.77083600000003</v>
      </c>
      <c r="M8" s="3">
        <f>929.3+(155.4-117.6)+(-0.473943+(-0.079254--0.059976))+0-7.6--0.00387599999999923</f>
        <v>959.01065499999993</v>
      </c>
      <c r="N8" s="3">
        <f>940.4+(207-112.9)+(-0.479604+(-0.10557--0.057579))+0-7.6--0.00387599999999923</f>
        <v>1026.3762810000001</v>
      </c>
      <c r="O8" s="3">
        <f>949.4+(272.1-77.8)+(-0.968388+(-0.277542--0.079356))+0-7.7--0.00785400000000123</f>
        <v>1134.8412799999999</v>
      </c>
      <c r="P8" s="3">
        <f>946.5+(347.6-62.6)+(0+(0-0))+3.2-7.7-0</f>
        <v>1227</v>
      </c>
      <c r="Q8" s="3">
        <f>973.9+(374.6-61.1)+(-0.993378+(-0.382092--0.062322))+0-0-0</f>
        <v>1286.0868520000001</v>
      </c>
      <c r="R8" s="3">
        <f>1104.9+(289.2-62.2)+(-1.690497+(-0.442476--0.095166))+0-2.4--0.00367200000000014</f>
        <v>1327.4658650000001</v>
      </c>
      <c r="S8" s="3">
        <f>1063.9+(298.5-66.3)+(0+(0-0))+0-4.1-0</f>
        <v>1292.0000000000002</v>
      </c>
      <c r="T8" s="3">
        <f>1065.1+(263.7-71.4)+(-2.172804+(-0.537948--0.145656))+0-5.9--0.0120359999999997</f>
        <v>1248.9469399999998</v>
      </c>
      <c r="U8" s="3">
        <f>1067.1+(249.1-88.8)+(-1.632663+(-0.381123--0.135864))+0-2.3--0.00351900000000013</f>
        <v>1223.2255970000001</v>
      </c>
      <c r="V8" s="3">
        <f>1066.5+(260-91.9)+(-0.543915+(-0.1326--0.046869))+0-8.5--0.00433499999999914</f>
        <v>1225.4746889999999</v>
      </c>
      <c r="W8" s="3">
        <f>1066.9+(279.7-80.3)+(-1.632357+(-0.427941--0.122859))+0-20.7--0.0316710000000012</f>
        <v>1243.6942320000001</v>
      </c>
      <c r="X8" s="3">
        <f>1098.9+(297.9-72.6)+(-0.560439+(-0.151929--0.037026))+0-19--0.00968999999999807</f>
        <v>1304.5343480000001</v>
      </c>
      <c r="Y8" s="3">
        <f>1136.4+(399.8-72.7)+(-1.159128+(-0.407796--0.074154))+0-25--0.025500000000004</f>
        <v>1437.0327299999999</v>
      </c>
      <c r="Z8" s="3">
        <f>1227.1+(520.2-80.6)+(-2.503284+(-1.061208--0.164424))+0-25.3--0.0516119999999989</f>
        <v>1638.0515439999999</v>
      </c>
      <c r="AA8" s="3">
        <f>1132.7+(570.7-83.4)+(-0.577677+(-0.291057--0.042534))+0-26--0.0132599999999974</f>
        <v>1593.18706</v>
      </c>
      <c r="AB8" s="3">
        <f>1046.1+(570.7-88.2)+(-1.600533+(-0.873171--0.134946))+0-18.8--0.0287640000000011</f>
        <v>1507.4900059999998</v>
      </c>
      <c r="AC8" s="3">
        <f>1013.2+(506.9-89.4)+(0.516732+(0.258519-0.045594))+0-23.2-0.0118319999999976</f>
        <v>1408.2178250000002</v>
      </c>
      <c r="AD8">
        <f t="shared" si="0"/>
        <v>29109.196783000003</v>
      </c>
      <c r="AE8" s="3">
        <f>1233+(515-86)+(0+(0-0))+0-26-0</f>
        <v>1636</v>
      </c>
    </row>
    <row r="9" spans="1:31" s="2" customFormat="1" x14ac:dyDescent="0.25">
      <c r="A9">
        <v>89</v>
      </c>
      <c r="B9">
        <v>1</v>
      </c>
      <c r="C9">
        <v>9</v>
      </c>
      <c r="D9">
        <v>3</v>
      </c>
      <c r="E9">
        <v>1</v>
      </c>
      <c r="F9" s="3">
        <f>934.2+(410.1-93.5)+(-2.38221+(-1.045755--0.238425))+0-25.2--0.0642599999999963</f>
        <v>1222.4747200000002</v>
      </c>
      <c r="G9" s="3">
        <f>934.7+(268.9-103.4)+(-2.383485+(-0.685695--0.26367))+0-26.6--0.0678299999999961</f>
        <v>1070.8623200000002</v>
      </c>
      <c r="H9" s="3">
        <f>934.5+(224.8-136.4)+(0+(0-0))+0-27.5-0</f>
        <v>995.4</v>
      </c>
      <c r="I9" s="3">
        <f>934+(198.6-146.6)+(-0.95268+(-0.202572--0.149532))+0-27.4--0.0279480000000044</f>
        <v>957.62222800000006</v>
      </c>
      <c r="J9" s="3">
        <f>934.9+(174.8-141.7)+(-2.383995+(-0.44574--0.361335))+0-27.9--0.0711449999999959</f>
        <v>937.70274500000005</v>
      </c>
      <c r="K9" s="3">
        <f>934.6+(166.5-136.6)+(-0.953292+(-0.16983--0.139332))+0-27.2--0.0277440000000043</f>
        <v>936.34395399999994</v>
      </c>
      <c r="L9" s="3">
        <f>934.5+(179.3-125.6)+(0+(0-0))+0-26.9-0</f>
        <v>961.30000000000007</v>
      </c>
      <c r="M9" s="3">
        <f>934.9+(176.7-115.7)+(-0.476799+(-0.090117--0.059007))+0-27.4--0.0139739999999972</f>
        <v>968.00606499999992</v>
      </c>
      <c r="N9" s="3">
        <f>942.4+(207.7-89.5)+(-0.961248+(-0.211854--0.09129))+0-27.7--0.0282540000000044</f>
        <v>1031.846442</v>
      </c>
      <c r="O9" s="3">
        <f>954.9+(271.1-72.1)+(-0.486999+(-0.138261--0.036771))+0-27.3--0.0139229999999972</f>
        <v>1126.0254340000001</v>
      </c>
      <c r="P9" s="3">
        <f>955.1+(333.2-71.2)+(0+(0-0))+0-26.6-0</f>
        <v>1190.5</v>
      </c>
      <c r="Q9" s="3">
        <f>954.2+(373.4-60.9)+(0+(0-0))+0-24.3-0</f>
        <v>1242.4000000000001</v>
      </c>
      <c r="R9" s="3">
        <f>952.7+(389-63.4)+(0+(0-0))+0-26.6-0</f>
        <v>1251.7000000000003</v>
      </c>
      <c r="S9" s="3">
        <f>952.4+(366.7-66.7)+(-1.942896+(-0.748068--0.136068))+0-23.1--0.047123999999999</f>
        <v>1226.792228</v>
      </c>
      <c r="T9" s="3">
        <f>951.9+(317.3-63.5)+(-1.456407+(-0.485469--0.097155))+0-18.8--0.0287640000000011</f>
        <v>1185.0840430000001</v>
      </c>
      <c r="U9" s="3">
        <f>950.6+(317.9-65.5)+(-0.484806+(-0.162129--0.033405))+0-26.1--0.0133109999999974</f>
        <v>1176.2997809999999</v>
      </c>
      <c r="V9" s="3">
        <f>948.8+(317.6-63.2)+(-1.935552+(-0.647904--0.128928))+0-26.5--0.0540599999999988</f>
        <v>1174.299532</v>
      </c>
      <c r="W9" s="3">
        <f>950+(316.6-64.5)+(0.4845+(0.161466-0.032895))+0-26.5-0.0135149999999973</f>
        <v>1176.1995559999998</v>
      </c>
      <c r="X9" s="3">
        <f>977.6+(311.6-76.3)+(-1.994304+(-0.635664--0.155652))+0-27.2--0.0554879999999988</f>
        <v>1183.281172</v>
      </c>
      <c r="Y9" s="3">
        <f>1090.7+(332.1-73.5)+(0.556257+(0.169371-0.037485))+0-28-0.0142799999999972</f>
        <v>1321.9738630000002</v>
      </c>
      <c r="Z9" s="3">
        <f>1142.5+(613.2-82.2)+(-2.3307+(-1.250928--0.167688))+0-29.1--0.0593639999999987</f>
        <v>1641.0454240000001</v>
      </c>
      <c r="AA9" s="3">
        <f>1143.3+(597.6-86.2)+(-0.583083+(-0.304776--0.043962))+0-28.7--0.0146369999999971</f>
        <v>1625.17074</v>
      </c>
      <c r="AB9" s="3">
        <f>1049.4+(615-85.2)+(-1.070388+(-0.6273--0.086904))+0-28.8--0.0293760000000046</f>
        <v>1548.8185920000001</v>
      </c>
      <c r="AC9" s="3">
        <f>1009+(534.8-86.6)+(-1.54377+(-0.818244--0.132498))+0-26.7--0.0408510000000015</f>
        <v>1428.3113349999996</v>
      </c>
      <c r="AD9">
        <f t="shared" si="0"/>
        <v>28579.460174</v>
      </c>
      <c r="AE9" s="3">
        <f>1133+(604.1-78.7)+(0+(0-0))+0-28.8-0</f>
        <v>1629.6000000000001</v>
      </c>
    </row>
    <row r="10" spans="1:31" s="2" customFormat="1" x14ac:dyDescent="0.25">
      <c r="A10">
        <v>89</v>
      </c>
      <c r="B10">
        <v>1</v>
      </c>
      <c r="C10">
        <v>10</v>
      </c>
      <c r="D10">
        <v>4</v>
      </c>
      <c r="E10">
        <v>1</v>
      </c>
      <c r="F10" s="3">
        <f>988.7+(396.1-91.6)+(-2.016948+(-0.808044--0.186864))+0-26.2--0.0534479999999989</f>
        <v>1264.4153199999998</v>
      </c>
      <c r="G10" s="3">
        <f>930.1+(281.2-91.4)+(-2.371755+(-0.71706--0.23307))+0-26.7--0.0680849999999961</f>
        <v>1090.4123399999999</v>
      </c>
      <c r="H10" s="3">
        <f>929.8+(227.7-126.7)+(-1.896792+(-0.464508--0.258468))+0-27.2--0.0554879999999988</f>
        <v>1001.5526559999998</v>
      </c>
      <c r="I10" s="3">
        <f>930+(186.3-126.1)+(-0.9486+(-0.190026--0.128622))+0-27.2--0.0277440000000043</f>
        <v>962.01774</v>
      </c>
      <c r="J10" s="3">
        <f>929+(170.3-126.7)+(0+(0-0))+0-27-0</f>
        <v>945.6</v>
      </c>
      <c r="K10" s="3">
        <f>929.1+(173-123.7)+(-0.947682+(-0.17646--0.126174))+0-27--0.0275400000000043</f>
        <v>950.42957200000001</v>
      </c>
      <c r="L10" s="3">
        <f>928.7+(180-108.3)+(-0.947274+(-0.1836--0.110466))+0-26.7--0.0272340000000043</f>
        <v>972.70682600000009</v>
      </c>
      <c r="M10" s="3">
        <f>928.7+(175.3-102.9)+(-0.947274+(-0.178806--0.104958))+0-26.8--0.0273360000000043</f>
        <v>973.30621400000007</v>
      </c>
      <c r="N10" s="3">
        <f>929.9+(227.7-86.9)+(0.948498+(0.232254-0.088638))+0-27.2-0.0277440000000043</f>
        <v>1044.5643700000001</v>
      </c>
      <c r="O10" s="3">
        <f>934.7+(306.9-69.2)+(0.476697+(0.156519-0.035292))+0-27.2-0.0138719999999972</f>
        <v>1145.784052</v>
      </c>
      <c r="P10" s="3">
        <f>951.6+(355.3-69.7)+(-0.485316+(-0.181203--0.035547))+0-25.2--0.0128519999999974</f>
        <v>1211.3818800000001</v>
      </c>
      <c r="Q10" s="3">
        <f>949.1+(380.5-62.1)+(0.484041+(0.194055-0.031671))+0-25.4-0.0129539999999974</f>
        <v>1242.7334709999998</v>
      </c>
      <c r="R10" s="3">
        <f>952.5+(377.7-64)+(-0.97155+(-0.385254--0.06528))+0-24.8--0.025296000000004</f>
        <v>1240.1337720000001</v>
      </c>
      <c r="S10" s="3">
        <f>952.6+(352.4-64.8)+(-1.943304+(-0.718896--0.132192))+0-21.6--0.0440639999999991</f>
        <v>1216.1140560000001</v>
      </c>
      <c r="T10" s="3">
        <f>951.7+(307.7-60.3)+(0.970734+(0.313854-0.061506))+0-16.1-0.0164220000000026</f>
        <v>1184.2066600000001</v>
      </c>
      <c r="U10" s="3">
        <f>950.3+(285.2-57.1)+(0+(0-0))+0-11.9-0</f>
        <v>1166.4999999999998</v>
      </c>
      <c r="V10" s="3">
        <f>948.5+(299.5-57.9)+(-0.96747+(-0.30549--0.059058))+0-25.3--0.025806000000004</f>
        <v>1163.6119040000001</v>
      </c>
      <c r="W10" s="3">
        <f>950.3+(314.6-60.2)+(-0.484653+(-0.160446--0.030702))+0-23.9--0.0121889999999976</f>
        <v>1180.1977919999999</v>
      </c>
      <c r="X10" s="3">
        <f>961.9+(380.9-68.7)+(-0.981138+(-0.388518--0.070074))+0-24.7--0.0251940000000039</f>
        <v>1248.1256119999998</v>
      </c>
      <c r="Y10" s="3">
        <f>1089.9+(444.9-77)+(-1.667547+(-0.680697--0.11781))+0-27.6--0.0422280000000016</f>
        <v>1428.0117940000002</v>
      </c>
      <c r="Z10" s="3">
        <f>1205.4+(563-81.6)+(-1.229508+(-0.57426--0.083232))+0-28.2--0.0287640000000045</f>
        <v>1656.908228</v>
      </c>
      <c r="AA10" s="3">
        <f>1209.3+(525-82.9)+(-2.466972+(-1.071--0.169116))+0-28.7--0.0585479999999987</f>
        <v>1619.389692</v>
      </c>
      <c r="AB10" s="3">
        <f>1179.1+(478.9-76.4)+(-2.405364+(-0.976956--0.155856))+0-26.6--0.0542639999999988</f>
        <v>1551.8278</v>
      </c>
      <c r="AC10" s="3">
        <f>1018.5+(505.2-79.4)+(-1.558305+(-0.772956--0.121482))+0-27.3--0.0417690000000016</f>
        <v>1414.8319899999999</v>
      </c>
      <c r="AD10">
        <f t="shared" si="0"/>
        <v>28874.763741000006</v>
      </c>
      <c r="AE10" s="3">
        <f>1197.4+(574.1-76.7)+(0+(0-0))+0-27.2-0</f>
        <v>1667.6000000000001</v>
      </c>
    </row>
    <row r="11" spans="1:31" s="2" customFormat="1" x14ac:dyDescent="0.25">
      <c r="A11">
        <v>89</v>
      </c>
      <c r="B11">
        <v>1</v>
      </c>
      <c r="C11">
        <v>11</v>
      </c>
      <c r="D11">
        <v>5</v>
      </c>
      <c r="E11">
        <v>1</v>
      </c>
      <c r="F11" s="3">
        <f>964.5+(400.2-82.3)+(-2.459475+(-1.02051--0.209865))+0-26.2--0.0668099999999962</f>
        <v>1252.9966900000002</v>
      </c>
      <c r="G11" s="3">
        <f>940+(270.8-88.4)+(-1.4382+(-0.414324--0.135252))+0-26.1--0.0399330000000015</f>
        <v>1094.6226610000001</v>
      </c>
      <c r="H11" s="3">
        <f>939.1+(204.8-122.2)+(-1.915764+(-0.417792--0.249288))+0-26.8--0.0546719999999988</f>
        <v>992.87040400000012</v>
      </c>
      <c r="I11" s="3">
        <f>938.8+(172.4-126.4)+(-1.915152+(-0.351696--0.257856))+0-26.6--0.0542639999999988</f>
        <v>956.24527199999989</v>
      </c>
      <c r="J11" s="3">
        <f>939.7+(159.2-121.2)+(-1.437741+(-0.243576--0.185436))+0-26.5--0.0405450000000015</f>
        <v>949.74466399999994</v>
      </c>
      <c r="K11" s="3">
        <f>940.2+(159.9-117.1)+(0+(0-0))+0-27.2-0</f>
        <v>955.8</v>
      </c>
      <c r="L11" s="3">
        <f>940.6+(168.9-106.9)+(-1.439118+(-0.258417--0.163557))+0-27--0.0413100000000016</f>
        <v>974.10733199999993</v>
      </c>
      <c r="M11" s="3">
        <f>940.4+(165.1-102.2)+(0+(0-0))+0-27.8-0</f>
        <v>975.5</v>
      </c>
      <c r="N11" s="3">
        <f>939.6+(251.7-107.6)+(-0.479196+(-0.128367--0.054876))+0-29.3--0.014942999999997</f>
        <v>1053.8622559999999</v>
      </c>
      <c r="O11" s="3">
        <f>986.7+(275.7-82.6)+(-0.503217+(-0.140607--0.042126))+0-29.2--0.014891999999997</f>
        <v>1150.0131939999999</v>
      </c>
      <c r="P11" s="3">
        <f>1011.4+(310.5-64.7)+(-3.094884+(-0.95013--0.197982))+0-29.5--0.0902700000000034</f>
        <v>1223.9432380000001</v>
      </c>
      <c r="Q11" s="3">
        <f>1011.8+(341.2-63.2)+(0+(0-0))+0-28.8-0</f>
        <v>1261</v>
      </c>
      <c r="R11" s="3">
        <f>1051.3+(310.3-65.5)+(-1.072326+(-0.316506--0.06681))+0-27.2--0.0277440000000043</f>
        <v>1267.6057219999998</v>
      </c>
      <c r="S11" s="3">
        <f>1079.6+(290.9-65.9)+(0+(0-0))+0-26.2-0</f>
        <v>1278.3999999999999</v>
      </c>
      <c r="T11" s="3">
        <f>1053.2+(270.8-63.6)+(-0.537132+(-0.138108--0.032436))+0-27.3--0.0139229999999972</f>
        <v>1232.471119</v>
      </c>
      <c r="U11" s="3">
        <f>1031.5+(282.2-62.9)+(-2.10426+(-0.575688--0.128316))+0-27.6--0.0563039999999988</f>
        <v>1220.7046720000001</v>
      </c>
      <c r="V11" s="3">
        <f>986+(295.5-60.6)+(-1.00572+(-0.30141--0.061812))+0-26.2--0.0267240000000042</f>
        <v>1193.4814060000001</v>
      </c>
      <c r="W11" s="3">
        <f>979.5+(294.1-59)+(-1.498635+(-0.449973--0.09027))+0-27.3--0.0417690000000016</f>
        <v>1185.4834309999999</v>
      </c>
      <c r="X11" s="3">
        <f>988.3+(327.9-61)+(-1.008066+(-0.334458--0.06222))+0-27.4--0.0279480000000044</f>
        <v>1226.5476439999998</v>
      </c>
      <c r="Y11" s="3">
        <f>1054+(413.2-63.4)+(-0.53754+(-0.210732--0.032334))+0-26.3--0.0134129999999973</f>
        <v>1376.7974749999998</v>
      </c>
      <c r="Z11" s="3">
        <f>1187.7+(555.3-69.2)+(-1.817181+(-0.849609--0.105876))+0-26.4--0.0403920000000015</f>
        <v>1644.8794780000001</v>
      </c>
      <c r="AA11" s="3">
        <f>1151.5+(560.7-70.3)+(-1.761795+(-0.857871--0.107559))+0-24.9--0.0380970000000014</f>
        <v>1614.5259900000001</v>
      </c>
      <c r="AB11" s="3">
        <f>1123.8+(519.8-73.9)+(-1.719414+(-0.795294--0.113067))+0-27.4--0.0419220000000016</f>
        <v>1539.9402809999999</v>
      </c>
      <c r="AC11" s="3">
        <f>1127+(466.4-74.4)+(-1.72431+(-0.713592--0.113832))+0-26.9--0.0411570000000016</f>
        <v>1489.8170870000001</v>
      </c>
      <c r="AD11">
        <f t="shared" si="0"/>
        <v>29111.360015999991</v>
      </c>
      <c r="AE11" s="3">
        <f>1192+(603.6-69.7)+(0+(0-0))+0-26.8-0</f>
        <v>1699.1000000000001</v>
      </c>
    </row>
    <row r="12" spans="1:31" s="2" customFormat="1" x14ac:dyDescent="0.25">
      <c r="A12">
        <v>89</v>
      </c>
      <c r="B12">
        <v>1</v>
      </c>
      <c r="C12">
        <v>12</v>
      </c>
      <c r="D12">
        <v>6</v>
      </c>
      <c r="E12">
        <v>2</v>
      </c>
      <c r="F12" s="3">
        <f>1092.3+(318.1-101.9)+(-2.228292+(-0.648924--0.207876))+0-26.7--0.0544679999999988</f>
        <v>1279.1851280000001</v>
      </c>
      <c r="G12" s="3">
        <f>948.1+(313.7-131.6)+(-0.483531+(-0.159987--0.067116))+0-27--0.0137699999999973</f>
        <v>1102.6373680000002</v>
      </c>
      <c r="H12" s="3">
        <f>935+(277.8-164.1)+(-1.43055+(-0.425034--0.251073))+0-25.8--0.0394740000000015</f>
        <v>1021.3349630000001</v>
      </c>
      <c r="I12" s="3">
        <f>932.2+(259.6-186)+(-1.901688+(-0.529584--0.37944))+0-26.5--0.0540599999999988</f>
        <v>977.30222800000013</v>
      </c>
      <c r="J12" s="3">
        <f>759.7+(305.1-109.5)+(-0.774894+(-0.311202--0.11169))+0-26.8--0.0273360000000043</f>
        <v>927.55293000000006</v>
      </c>
      <c r="K12" s="3">
        <f>611.9+(378-72.1)+(0+(0-0))+0-26.9-0</f>
        <v>890.9</v>
      </c>
      <c r="L12" s="3">
        <f>607+(395-69.8)+(-1.54785+(-1.00725--0.17799))+0-26.2--0.0668099999999962</f>
        <v>903.68970000000002</v>
      </c>
      <c r="M12" s="3">
        <f>612.8+(361.2-68.6)+(0.625056+(0.368424-0.069972))+0-27.1-0.0276420000000043</f>
        <v>879.19586599999991</v>
      </c>
      <c r="N12" s="3">
        <f>611.8+(417.7-67.1)+(0.312018+(0.213027-0.034221))+0-28.2-0.0143819999999971</f>
        <v>934.67644199999995</v>
      </c>
      <c r="O12" s="3">
        <f>630.8+(494.7-64)+(0+(0-0))+0-29.4-0</f>
        <v>1032.0999999999999</v>
      </c>
      <c r="P12" s="3">
        <f>631.3+(564.1-62.2)+(-0.321963+(-0.287691--0.031722))+0-28.6--0.0145859999999971</f>
        <v>1104.0366540000002</v>
      </c>
      <c r="Q12" s="3">
        <f>631.9+(624.9-60.6)+(0+(0-0))+0-29.6-0</f>
        <v>1166.5999999999999</v>
      </c>
      <c r="R12" s="3">
        <f>627.2+(624.8-62.1)+(-0.639744+(-0.637296--0.063342))+0-27.4--0.0279480000000044</f>
        <v>1161.3142499999999</v>
      </c>
      <c r="S12" s="3">
        <f>623.2+(620.7-61.8)+(-1.271328+(-1.266228--0.126072))+0-26.8--0.0546719999999988</f>
        <v>1152.9431880000002</v>
      </c>
      <c r="T12" s="3">
        <f>623.4+(572.3-59.5)+(0.953802+(0.875619-0.091035))+0-27.2-0.0416160000000016</f>
        <v>1110.6967699999998</v>
      </c>
      <c r="U12" s="3">
        <f>622.8+(551-60.5)+(-0.952884+(-0.84303--0.092565))+0-29.3--0.0448290000000017</f>
        <v>1082.34148</v>
      </c>
      <c r="V12" s="3">
        <f>658.8+(519.7-60.3)+(-0.671976+(-0.530094--0.061506))+0-27.3--0.0278460000000044</f>
        <v>1089.787282</v>
      </c>
      <c r="W12" s="3">
        <f>795.8+(428.1-75.6)+(-1.217574+(-0.654993--0.115668))+0-26.9--0.0411570000000016</f>
        <v>1119.684258</v>
      </c>
      <c r="X12" s="3">
        <f>947.7+(359.5-118)+(-1.933308+(-0.73338--0.24072))+0-25.7--0.0524279999999989</f>
        <v>1161.12646</v>
      </c>
      <c r="Y12" s="3">
        <f>1026.8+(388.3-95.8)+(0+(0-0))+0-27.5-0</f>
        <v>1291.8</v>
      </c>
      <c r="Z12" s="3">
        <f>1080.5+(659.8-81.7)+(-2.20422+(-1.345992--0.166668))+0-28.1--0.0573239999999988</f>
        <v>1627.1737800000001</v>
      </c>
      <c r="AA12" s="3">
        <f>1082.1+(628.2-79.5)+(-0.551871+(-0.320382--0.040545))+0-27.7--0.0141269999999972</f>
        <v>1602.2824189999999</v>
      </c>
      <c r="AB12" s="3">
        <f>1037.9+(616.6-80)+(-1.058658+(-0.628932--0.0816))+0-28.3--0.0288660000000045</f>
        <v>1544.6228760000001</v>
      </c>
      <c r="AC12" s="3">
        <f>1015.5+(518.2-76.1)+(-2.07162+(-1.057128--0.155244))+0-27.3--0.0556919999999988</f>
        <v>1427.3821879999998</v>
      </c>
      <c r="AD12">
        <f t="shared" si="0"/>
        <v>27590.366230000003</v>
      </c>
      <c r="AE12" s="3">
        <f>1078+(686.5-83.2)+(0+(0-0))+0-26-0</f>
        <v>1655.3</v>
      </c>
    </row>
    <row r="13" spans="1:31" s="2" customFormat="1" x14ac:dyDescent="0.25">
      <c r="A13">
        <v>89</v>
      </c>
      <c r="B13">
        <v>1</v>
      </c>
      <c r="C13">
        <v>13</v>
      </c>
      <c r="D13">
        <v>7</v>
      </c>
      <c r="E13">
        <v>2</v>
      </c>
      <c r="F13" s="3">
        <f>941.8+(440.3-83)+(-0.960636+(-0.449106--0.08466))+0-26.7--0.0272340000000043</f>
        <v>1271.1021519999997</v>
      </c>
      <c r="G13" s="3">
        <f>941.6+(315.6-122.1)+(-0.960432+(-0.321912--0.124542))+0-26.1--0.0266220000000042</f>
        <v>1107.8688200000004</v>
      </c>
      <c r="H13" s="3">
        <f>957.9+(285.2-190.8)+(-0.977058+(-0.290904--0.194616))+0-26.5--0.0270300000000042</f>
        <v>1024.753684</v>
      </c>
      <c r="I13" s="3">
        <f>974.5+(270.3-239.5)+(-1.490985+(-0.413559--0.366435))+0-26.6--0.0406980000000015</f>
        <v>977.20258899999999</v>
      </c>
      <c r="J13" s="3">
        <f>1061.1+(269.9-317.5)+(-1.082322+(-0.275298--0.32385))+0-26.9--0.0274380000000043</f>
        <v>985.59366799999987</v>
      </c>
      <c r="K13" s="3">
        <f>1141.4+(259.6-374.5)+(0.582114+(0.132396-0.190995))+0-26.1-0.0133109999999974</f>
        <v>1000.910204</v>
      </c>
      <c r="L13" s="3">
        <f>1102.6+(270.9-330.2)+(-1.686978+(-0.414477--0.505206))+0-26.5--0.0405450000000015</f>
        <v>1015.244296</v>
      </c>
      <c r="M13" s="3">
        <f>1061.2+(236.3-319.9)+(0+(0-0))+0-25.3-0</f>
        <v>952.30000000000018</v>
      </c>
      <c r="N13" s="3">
        <f>1018+(264-272.1)+(1.03836+(0.26928-0.277542))+0-25.8-0.0263160000000041</f>
        <v>985.10378200000002</v>
      </c>
      <c r="O13" s="3">
        <f>993+(266.2-237.7)+(-0.50643+(-0.135762--0.121227))+0-26.9--0.0137189999999973</f>
        <v>994.09275400000001</v>
      </c>
      <c r="P13" s="3">
        <f>991.8+(263.6-231.8)+(-0.505818+(-0.134436--0.118218))+0-25.5--0.0130049999999974</f>
        <v>997.59096899999997</v>
      </c>
      <c r="Q13" s="3">
        <f>991.3+(257.1-241.9)+(-1.011126+(-0.262242--0.246738))+0-27.6--0.0281520000000044</f>
        <v>977.901522</v>
      </c>
      <c r="R13" s="3">
        <f>995.5+(221.6-270.9)+(-1.01541+(-0.226032--0.276318))+0-26.4--0.0269280000000042</f>
        <v>918.86180400000012</v>
      </c>
      <c r="S13" s="3">
        <f>1007.6+(210.9-280.3)+(-0.513876+(-0.107559--0.142953))+0-25.9--0.0132089999999974</f>
        <v>911.83472700000004</v>
      </c>
      <c r="T13" s="3">
        <f>1006.1+(206.7-299.4)+(0+(0-0))+0-26.9-0</f>
        <v>886.50000000000011</v>
      </c>
      <c r="U13" s="3">
        <f>1008.3+(200.1-320.9)+(0+(0-0))+0-27.1-0</f>
        <v>860.4</v>
      </c>
      <c r="V13" s="3">
        <f>1010.2+(203.4-352.4)+(0+(0-0))+0-27.5-0</f>
        <v>833.7</v>
      </c>
      <c r="W13" s="3">
        <f>1109+(195.8-413.3)+(-1.69677+(-0.299574--0.632349))+0-27.6--0.0422280000000016</f>
        <v>862.57823299999995</v>
      </c>
      <c r="X13" s="3">
        <f>1127.9+(199.1-377.9)+(-1.150458+(-0.203082--0.385458))+0-27.2--0.0277440000000043</f>
        <v>920.95966200000009</v>
      </c>
      <c r="Y13" s="3">
        <f>1132.1+(234.5-262.7)+(-1.154742+(-0.23919--0.267954))+0-26.4--0.0269280000000042</f>
        <v>1076.4009499999997</v>
      </c>
      <c r="Z13" s="3">
        <f>1194.4+(399.2-85.1)+(-3.04572+(-1.01796--0.217005))+0-27.3--0.069614999999996</f>
        <v>1477.4229399999999</v>
      </c>
      <c r="AA13" s="3">
        <f>1206.9+(470.9-80.1)+(-1.846557+(-0.720477--0.122553))+0-26.2--0.0400860000000015</f>
        <v>1569.095605</v>
      </c>
      <c r="AB13" s="3">
        <f>1209.2+(424.4-84.8)+(-1.233384+(-0.432888--0.086496))+0-26--0.0265200000000041</f>
        <v>1521.2467439999998</v>
      </c>
      <c r="AC13" s="3">
        <f>1109+(407.9-83.2)+(-1.69677+(-0.624087--0.127296))+0-25.4--0.0388620000000015</f>
        <v>1406.145301</v>
      </c>
      <c r="AD13">
        <f t="shared" si="0"/>
        <v>25534.810406000001</v>
      </c>
      <c r="AE13" s="3">
        <f>1210+(452.6-79.3)+(0+(0-0))+0-28-0</f>
        <v>1555.3</v>
      </c>
    </row>
    <row r="14" spans="1:31" s="2" customFormat="1" x14ac:dyDescent="0.25">
      <c r="A14">
        <v>89</v>
      </c>
      <c r="B14">
        <v>1</v>
      </c>
      <c r="C14">
        <v>14</v>
      </c>
      <c r="D14">
        <v>1</v>
      </c>
      <c r="E14">
        <v>1</v>
      </c>
      <c r="F14" s="3">
        <f>1025.2+(245-100.4)+(-1.045704+(-0.2499--0.102408))+0-25.6--0.0261120000000041</f>
        <v>1143.0329160000001</v>
      </c>
      <c r="G14" s="3">
        <f>941.8+(221.8-155.9)+(-1.921272+(-0.452472--0.318036))+0-26.4--0.0538559999999988</f>
        <v>979.29814799999997</v>
      </c>
      <c r="H14" s="3">
        <f>863.9+(236.4-155.3)+(-0.440589+(-0.120564--0.079203))+0-26.6--0.0135659999999973</f>
        <v>917.93161599999996</v>
      </c>
      <c r="I14" s="3">
        <f>858.4+(230.5-174.6)+(-0.437784+(-0.117555--0.089046))+0-26.7--0.0136169999999973</f>
        <v>887.14732399999991</v>
      </c>
      <c r="J14" s="3">
        <f>858.7+(223.5-173.3)+(0.437937+(0.113985-0.088383))+0-27.1-0.0138209999999973</f>
        <v>882.24971800000003</v>
      </c>
      <c r="K14" s="3">
        <f>860.1+(241.6-175.5)+(0.877302+(0.246432-0.17901))+0-26.9-0.0274380000000043</f>
        <v>900.21728600000006</v>
      </c>
      <c r="L14" s="3">
        <f>855+(245.7-130.3)+(-1.7442+(-0.501228--0.265812))+0-26.7--0.0544679999999988</f>
        <v>941.77485200000001</v>
      </c>
      <c r="M14" s="3">
        <f>881+(254.2-119)+(0.44931+(0.129642-0.06069))+0-27.4-0.0139739999999972</f>
        <v>989.30428800000016</v>
      </c>
      <c r="N14" s="3">
        <f>937.5+(308-108.1)+(0+(0-0))+0-28.7-0</f>
        <v>1108.7</v>
      </c>
      <c r="O14" s="3">
        <f>948.1+(405.9-83.8)+(-0.483531+(-0.207009--0.042738))+0-29.1--0.014840999999997</f>
        <v>1240.4670390000001</v>
      </c>
      <c r="P14" s="3">
        <f>953.4+(460.4-73.5)+(0+(0-0))+0-29.4-0</f>
        <v>1310.8999999999999</v>
      </c>
      <c r="Q14" s="3">
        <f>948.8+(538.6-63.8)+(0+(0-0))+0-29.2-0</f>
        <v>1394.3999999999999</v>
      </c>
      <c r="R14" s="3">
        <f>949.1+(499.5-64.7)+(0+(0-0))+0-26.7-0</f>
        <v>1357.2</v>
      </c>
      <c r="S14" s="3">
        <f>937.3+(473.5-62)+(-1.912092+(-0.96594--0.12648))+0-27--0.0550799999999988</f>
        <v>1319.1035280000001</v>
      </c>
      <c r="T14" s="3">
        <f>937.9+(453.3-74.2)+(0.478329+(0.231183-0.037842))+0-28-0.0142799999999972</f>
        <v>1289.6573899999999</v>
      </c>
      <c r="U14" s="3">
        <f>939+(442.1-79.5)+(0.95778+(0.450942-0.08109))+0-29.4-0.0299880000000047</f>
        <v>1273.4976439999998</v>
      </c>
      <c r="V14" s="3">
        <f>935.5+(447.8-79.2)+(-0.477105+(-0.228378--0.040392))+0-28.9--0.0147389999999971</f>
        <v>1274.5496479999997</v>
      </c>
      <c r="W14" s="3">
        <f>954.8+(457.3-76.7)+(-1.460844+(-0.699669--0.117351))+0-28.2--0.0431460000000016</f>
        <v>1305.1999840000001</v>
      </c>
      <c r="X14" s="3">
        <f>1154.6+(310.3-105.7)+(-3.533076+(-0.949518--0.323442))+0-27.3--0.0835380000000032</f>
        <v>1327.824386</v>
      </c>
      <c r="Y14" s="3">
        <f>1458.5+(253.3-200.7)+(0.743835+(0.129183-0.102357))+0-26.9-0.0137189999999973</f>
        <v>1484.9569419999998</v>
      </c>
      <c r="Z14" s="3">
        <f>1716+(311.6-185.7)+(-1.75032+(-0.317832--0.189414))+0-29--0.0295800000000046</f>
        <v>1811.0508419999999</v>
      </c>
      <c r="AA14" s="3">
        <f>1715.8+(305.6-192.9)+(-3.500232+(-0.623424--0.393516))+0-29.2--0.0595679999999987</f>
        <v>1795.629428</v>
      </c>
      <c r="AB14" s="3">
        <f>1500.3+(341.9-128.6)+(-3.060612+(-0.697476--0.262344))+0-29--0.0591599999999987</f>
        <v>1681.1634159999999</v>
      </c>
      <c r="AC14" s="3">
        <f>1233.8+(390.2-96)+(-1.258476+(-0.398004--0.09792))+0-28.4--0.0289680000000045</f>
        <v>1498.070408</v>
      </c>
      <c r="AD14">
        <f t="shared" si="0"/>
        <v>30113.326803</v>
      </c>
      <c r="AE14" s="3">
        <f>1733.4+(329.7-179.6)+(0+(0-0))+0-26.8-0</f>
        <v>1856.7</v>
      </c>
    </row>
    <row r="15" spans="1:31" s="2" customFormat="1" x14ac:dyDescent="0.25">
      <c r="A15">
        <v>89</v>
      </c>
      <c r="B15">
        <v>1</v>
      </c>
      <c r="C15">
        <v>15</v>
      </c>
      <c r="D15">
        <v>2</v>
      </c>
      <c r="E15">
        <v>1</v>
      </c>
      <c r="F15" s="3">
        <f>959+(404-85.3)+(-2.93454+(-1.23624--0.261018))+0-26.1--0.079866000000003</f>
        <v>1247.7701040000002</v>
      </c>
      <c r="G15" s="3">
        <f>937.6+(296.6-117.9)+(-0.956352+(-0.302532--0.120258))+0-25.4--0.025908000000004</f>
        <v>1089.787282</v>
      </c>
      <c r="H15" s="3">
        <f>937.5+(254.5-150.6)+(-0.478125+(-0.129795--0.076806))+0-25.5--0.0130049999999974</f>
        <v>1015.3818910000002</v>
      </c>
      <c r="I15" s="3">
        <f>940.6+(252.8-177)+(-1.918824+(-0.515712--0.36108))+0-26.3--0.0536519999999989</f>
        <v>988.08019600000011</v>
      </c>
      <c r="J15" s="3">
        <f>939.7+(248.8-185.6)+(-0.958494+(-0.253776--0.189312))+0-26.7--0.0272340000000043</f>
        <v>975.20427600000005</v>
      </c>
      <c r="K15" s="3">
        <f>940.3+(245.3-176.9)+(-1.438659+(-0.375309--0.270657))+0-26.3--0.0402390000000015</f>
        <v>980.896928</v>
      </c>
      <c r="L15" s="3">
        <f>941+(262.2-144.2)+(-0.47991+(-0.133722--0.073542))+0-26.9--0.0137189999999973</f>
        <v>1031.573629</v>
      </c>
      <c r="M15" s="3">
        <f>943.3+(275.9-115.9)+(-1.924332+(-0.562836--0.236436))+0-28.7--0.0585479999999987</f>
        <v>1072.4078159999999</v>
      </c>
      <c r="N15" s="3">
        <f>954.6+(345.6-87.8)+(0+(0-0))+0-29-0</f>
        <v>1183.4000000000001</v>
      </c>
      <c r="O15" s="3">
        <f>976.1+(421.8-68.7)+(0+(0-0))+0-29.1-0</f>
        <v>1300.1000000000001</v>
      </c>
      <c r="P15" s="3">
        <f>1045.8+(429.5-75.7)+(-0.533358+(-0.219045--0.038607))+0-26.5--0.0135149999999973</f>
        <v>1372.399719</v>
      </c>
      <c r="Q15" s="3">
        <f>1126.7+(394-76)+(-1.149234+(-0.40188--0.07752))+0-26.9--0.0274380000000043</f>
        <v>1416.353844</v>
      </c>
      <c r="R15" s="3">
        <f>1217.6+(326.2-114.7)+(-2.483904+(-0.665448--0.233988))+0-27.3--0.0556919999999988</f>
        <v>1398.9403279999999</v>
      </c>
      <c r="S15" s="3">
        <f>1214.3+(320.3-128.4)+(-1.238586+(-0.326706--0.130968))+0-27.1--0.0276420000000043</f>
        <v>1377.6933180000001</v>
      </c>
      <c r="T15" s="3">
        <f>1191.7+(299.9-139.1)+(-1.823301+(-0.458847--0.212823))+0-27.3--0.0417690000000016</f>
        <v>1323.172444</v>
      </c>
      <c r="U15" s="3">
        <f>1171.1+(286.7-145.3)+(0+(0-0))+0-29.5-0</f>
        <v>1283</v>
      </c>
      <c r="V15" s="3">
        <f>1097.7+(336.7-93)+(-1.679481+(-0.515151--0.14229))+0-28.8--0.0440640000000017</f>
        <v>1310.5917220000001</v>
      </c>
      <c r="W15" s="3">
        <f>1080.7+(348.7-79.8)+(0.551157+(0.177837-0.040698))+0-28.9-0.0147389999999971</f>
        <v>1321.3735569999999</v>
      </c>
      <c r="X15" s="3">
        <f>1103.9+(343.9-79)+(-2.814945+(-0.876945--0.20145))+0-27.6--0.070379999999996</f>
        <v>1337.7799400000001</v>
      </c>
      <c r="Y15" s="3">
        <f>1626.8+(160.7-277.2)+(1.659336+(0.163914-0.282744))+0-27.9-0.0284580000000044</f>
        <v>1483.9120479999999</v>
      </c>
      <c r="Z15" s="3">
        <f>1994.8+(160.9-301.1)+(-2.034696+(-0.164118--0.307122))+0-29.2--0.0297840000000047</f>
        <v>1823.538092</v>
      </c>
      <c r="AA15" s="3">
        <f>2000.6+(158.8-314.4)+(-5.10153+(-0.40494--0.80172))+0-29.2--0.0744599999999958</f>
        <v>1811.1697099999999</v>
      </c>
      <c r="AB15" s="3">
        <f>1786.7+(164.1-213.2)+(-1.822434+(-0.167382--0.217464))+0-28.6--0.0291720000000046</f>
        <v>1707.2568200000003</v>
      </c>
      <c r="AC15" s="3">
        <f>1243.5+(346.2-79.2)+(-1.902555+(-0.529686--0.121176))+0-29.4--0.0449820000000017</f>
        <v>1478.8339169999997</v>
      </c>
      <c r="AD15">
        <f t="shared" si="0"/>
        <v>31330.617580999995</v>
      </c>
      <c r="AE15" s="3">
        <f>1989+(150.2-314.8)+(0+(0-0))+0-29.6-0</f>
        <v>1794.8000000000002</v>
      </c>
    </row>
    <row r="16" spans="1:31" s="2" customFormat="1" x14ac:dyDescent="0.25">
      <c r="A16">
        <v>89</v>
      </c>
      <c r="B16">
        <v>1</v>
      </c>
      <c r="C16">
        <v>16</v>
      </c>
      <c r="D16">
        <v>3</v>
      </c>
      <c r="E16">
        <v>1</v>
      </c>
      <c r="F16" s="3">
        <f>967.4+(372.3-84.6)+(-1.973496+(-0.759492--0.172584))+0-28.3--0.0577319999999988</f>
        <v>1224.2973279999999</v>
      </c>
      <c r="G16" s="3">
        <f>961+(255-104.6)+(0+(0-0))+0-27.6-0</f>
        <v>1083.8000000000002</v>
      </c>
      <c r="H16" s="3">
        <f>961.6+(222.4-128.6)+(-0.980832+(-0.226848--0.131172))+0-27.5--0.0280500000000044</f>
        <v>1026.8515419999999</v>
      </c>
      <c r="I16" s="3">
        <f>962.1+(211.2-141.3)+(-1.962684+(-0.430848--0.288252))+0-27.3--0.0556919999999988</f>
        <v>1002.6504120000001</v>
      </c>
      <c r="J16" s="3">
        <f>961.4+(209.2-145.9)+(0.490314+(0.106692-0.074409))+0-25.9-0.0132089999999974</f>
        <v>999.30938800000001</v>
      </c>
      <c r="K16" s="3">
        <f>962.3+(211.3-138.1)+(0+(0-0))+0-25.8-0</f>
        <v>1009.7</v>
      </c>
      <c r="L16" s="3">
        <f>963.1+(229.4-114.2)+(-0.491181+(-0.116994--0.058242))+0-26--0.0132599999999974</f>
        <v>1051.7633269999999</v>
      </c>
      <c r="M16" s="3">
        <f>963.1+(256.8-99.8)+(-0.491181+(-0.130968--0.050898))+0-27.4--0.0139739999999972</f>
        <v>1092.1427229999997</v>
      </c>
      <c r="N16" s="3">
        <f>960.2+(342.9-72.6)+(0.489702+(0.174879-0.037026))+0-29.3-0.014942999999997</f>
        <v>1201.8126120000002</v>
      </c>
      <c r="O16" s="3">
        <f>1029.2+(381.3-64)+(0.524892+(0.194463-0.03264))+0-28.5-0.0145349999999971</f>
        <v>1318.67218</v>
      </c>
      <c r="P16" s="3">
        <f>1110.6+(363.6-64.7)+(0.566406+(0.185436-0.032997))+0-29.7-0.015146999999997</f>
        <v>1380.503698</v>
      </c>
      <c r="Q16" s="3">
        <f>1077.9+(421.3-62.4)+(-0.549729+(-0.214863--0.031824))+0-30.4--0.0155039999999969</f>
        <v>1405.682736</v>
      </c>
      <c r="R16" s="3">
        <f>1221.7+(302.2-91.3)+(0+(0-0))+0-28.8-0</f>
        <v>1403.8</v>
      </c>
      <c r="S16" s="3">
        <f>1337+(208.7-119.9)+(-2.72748+(-0.425748--0.244596))+0-27.4--0.0558959999999988</f>
        <v>1395.547264</v>
      </c>
      <c r="T16" s="3">
        <f>1468+(131.1-222.7)+(-0.74868+(-0.066861--0.113577))+0-27.7--0.0141269999999972</f>
        <v>1348.0121629999999</v>
      </c>
      <c r="U16" s="3">
        <f>1477.5+(131-234.7)+(-1.50705+(-0.13362--0.239394))+0-29.2--0.0297840000000047</f>
        <v>1343.2285079999999</v>
      </c>
      <c r="V16" s="3">
        <f>1332.6+(158.9-127)+(-0.679626+(-0.081039--0.06477))+0-29.5--0.015044999999997</f>
        <v>1334.31915</v>
      </c>
      <c r="W16" s="3">
        <f>1167.1+(255.4-72.9)+(-1.190442+(-0.260508--0.074358))+0-29.7--0.0302940000000047</f>
        <v>1318.5537019999997</v>
      </c>
      <c r="X16" s="3">
        <f>1182.6+(241.1-92.5)+(-3.01563+(-0.614805--0.235875))+0-27.3--0.069614999999996</f>
        <v>1300.5750549999998</v>
      </c>
      <c r="Y16" s="3">
        <f>1618.5+(160.7-320.4)+(-0.825435+(-0.081957--0.163404))+0-28.3--0.0144329999999971</f>
        <v>1429.7704450000001</v>
      </c>
      <c r="Z16" s="3">
        <f>1946.6+(175-269.9)+(-2.978298+(-0.26775--0.412947))+0-29.5--0.0451350000000017</f>
        <v>1819.4120339999999</v>
      </c>
      <c r="AA16" s="3">
        <f>1987.1+(140.2-265.7)+(-4.053684+(-0.286008--0.542028))+0-28--0.0571199999999988</f>
        <v>1829.8594559999999</v>
      </c>
      <c r="AB16" s="3">
        <f>1711.1+(206.2-161.1)+(-1.745322+(-0.210324--0.164322))+0-29.7--0.0302940000000047</f>
        <v>1724.7389699999997</v>
      </c>
      <c r="AC16" s="3">
        <f>1277+(344.6-89)+(-2.60508+(-0.702984--0.18156))+0-28.3--0.0577319999999988</f>
        <v>1501.2312279999999</v>
      </c>
      <c r="AD16">
        <f t="shared" si="0"/>
        <v>31546.233920999995</v>
      </c>
      <c r="AE16" s="3">
        <f>1900+(179.2-257.1)+(0+(0-0))+0-28-0</f>
        <v>1794.1</v>
      </c>
    </row>
    <row r="17" spans="1:31" s="2" customFormat="1" x14ac:dyDescent="0.25">
      <c r="A17">
        <v>89</v>
      </c>
      <c r="B17">
        <v>1</v>
      </c>
      <c r="C17">
        <v>17</v>
      </c>
      <c r="D17">
        <v>4</v>
      </c>
      <c r="E17">
        <v>1</v>
      </c>
      <c r="F17" s="3">
        <f>1017.3+(359.8-88.8)+(-1.556469+(-0.550494--0.135864))+0-26.7--0.0408510000000015</f>
        <v>1259.6697519999998</v>
      </c>
      <c r="G17" s="3">
        <f>963.2+(270.9-102.4)+(-2.45616+(-0.690795--0.26112))+0-26.1--0.0665549999999962</f>
        <v>1102.7807200000002</v>
      </c>
      <c r="H17" s="3">
        <f>962.5+(227.5-120.1)+(-1.472625+(-0.348075--0.183753))+0-26.6--0.0406980000000015</f>
        <v>1041.7037510000002</v>
      </c>
      <c r="I17" s="3">
        <f>962.2+(217.7-135.4)+(-2.45361+(-0.555135--0.34527))+0-27--0.0688499999999961</f>
        <v>1014.9053749999999</v>
      </c>
      <c r="J17" s="3">
        <f>962.5+(216.2-146.4)+(0+(0-0))+0-27.3-0</f>
        <v>1005</v>
      </c>
      <c r="K17" s="3">
        <f>962.9+(211.4-138.7)+(0.982158+(0.215628-0.141474))+0-26.7-0.0272340000000043</f>
        <v>1009.9290779999998</v>
      </c>
      <c r="L17" s="3">
        <f>963.1+(224.8-109)+(0+(0-0))+0-26.8-0</f>
        <v>1052.1000000000001</v>
      </c>
      <c r="M17" s="3">
        <f>963.8+(242.8-89)+(-1.966152+(-0.495312--0.18156))+0-27.6--0.0563039999999988</f>
        <v>1087.7764</v>
      </c>
      <c r="N17" s="3">
        <f>972.3+(337.8-73.1)+(0+(0-0))+0-28.7-0</f>
        <v>1208.3</v>
      </c>
      <c r="O17" s="3">
        <f>980.3+(446.2-69)+(1.499859+(0.682686-0.10557))+0-29.1-0.0445230000000017</f>
        <v>1330.432452</v>
      </c>
      <c r="P17" s="3">
        <f>980.7+(512-71.3)+(0.500157+(0.26112-0.036363))+0-29.6-0.015095999999997</f>
        <v>1392.509818</v>
      </c>
      <c r="Q17" s="3">
        <f>1078.3+(443.3-60.4)+(-1.649799+(-0.678249--0.092412))+0-29.6--0.0452880000000017</f>
        <v>1429.4096520000001</v>
      </c>
      <c r="R17" s="3">
        <f>1120.3+(383.9-48.1)+(-0.571353+(-0.195789--0.024531))+0-27.2--0.0138719999999972</f>
        <v>1428.171261</v>
      </c>
      <c r="S17" s="3">
        <f>1119.2+(347.6-44.2)+(-1.141584+(-0.354552--0.045084))+0-26.3--0.0268260000000042</f>
        <v>1394.8757740000003</v>
      </c>
      <c r="T17" s="3">
        <f>1116.6+(294.4-45.4)+(-0.569466+(-0.150144--0.023154))+0-27.5--0.0140249999999972</f>
        <v>1337.417569</v>
      </c>
      <c r="U17" s="3">
        <f>1112+(315.8-61.8)+(1.13424+(0.322116-0.063036))+0-26.9-0.0274380000000043</f>
        <v>1340.4658819999997</v>
      </c>
      <c r="V17" s="3">
        <f>1102.6+(324.6-68.3)+(1.124652+(0.331092-0.069666))+0-27.7-0.0282540000000044</f>
        <v>1332.5578239999998</v>
      </c>
      <c r="W17" s="3">
        <f>1102.4+(322.4-72.1)+(-1.686672+(-0.493272--0.110313))+0-28.2--0.0431460000000016</f>
        <v>1322.4735149999999</v>
      </c>
      <c r="X17" s="3">
        <f>1146.7+(305.8-87.7)+(-1.169634+(-0.311916--0.089454))+0-27.1--0.0276420000000043</f>
        <v>1336.3355460000002</v>
      </c>
      <c r="Y17" s="3">
        <f>1554.2+(240.4-308.7)+(-1.585284+(-0.245208--0.314874))+0-27.7--0.0282540000000044</f>
        <v>1456.7126360000002</v>
      </c>
      <c r="Z17" s="3">
        <f>1979.5+(250.4-358.1)+(-2.01909+(-0.255408--0.365262))+0-28.7--0.0292740000000046</f>
        <v>1841.2200379999999</v>
      </c>
      <c r="AA17" s="3">
        <f>1896+(284.6-288.5)+(-1.93392+(-0.290292--0.29427))+0-29.2--0.0297840000000047</f>
        <v>1860.9998419999999</v>
      </c>
      <c r="AB17" s="3">
        <f>1379.6+(464.5-76.7)+(0+(0-0))+0-29-0</f>
        <v>1738.3999999999999</v>
      </c>
      <c r="AC17" s="3">
        <f>993.7+(604.7-71.6)+(-0.506787+(-0.308397--0.036516))+0-28--0.0142799999999972</f>
        <v>1498.0356120000004</v>
      </c>
      <c r="AD17">
        <f t="shared" si="0"/>
        <v>31822.182497000009</v>
      </c>
      <c r="AE17" s="3">
        <f>1959.5+(234.4-318.5)+(0+(0-0))+0-29.6-0</f>
        <v>1845.8000000000002</v>
      </c>
    </row>
    <row r="18" spans="1:31" s="2" customFormat="1" x14ac:dyDescent="0.25">
      <c r="A18">
        <v>89</v>
      </c>
      <c r="B18">
        <v>1</v>
      </c>
      <c r="C18">
        <v>18</v>
      </c>
      <c r="D18">
        <v>5</v>
      </c>
      <c r="E18">
        <v>1</v>
      </c>
      <c r="F18" s="3">
        <f>958.5+(414.6-79)+(-1.466505+(-0.634338--0.12087))+0-29--0.0443700000000017</f>
        <v>1263.164397</v>
      </c>
      <c r="G18" s="3">
        <f>950.2+(293.8-105.4)+(0.484602+(0.149838-0.053754))+0-29.5-0.015044999999997</f>
        <v>1109.6656410000001</v>
      </c>
      <c r="H18" s="3">
        <f>948.9+(272.8-140.7)+(-0.483939+(-0.139128--0.071757))+0-28.3--0.0144329999999971</f>
        <v>1052.163123</v>
      </c>
      <c r="I18" s="3">
        <f>949.5+(265.2-159.9)+(-0.484245+(-0.135252--0.081549))+0-27.9--0.0142289999999972</f>
        <v>1026.3762809999998</v>
      </c>
      <c r="J18" s="3">
        <f>949.7+(260.3-165.1)+(-2.906082+(-0.796518--0.505206))+0-26.9--0.0823140000000031</f>
        <v>1014.8849200000001</v>
      </c>
      <c r="K18" s="3">
        <f>949.2+(261.8-152.7)+(0+(0-0))+0-26.3-0</f>
        <v>1032.0000000000002</v>
      </c>
      <c r="L18" s="3">
        <f>948.8+(266-119)+(-0.967776+(-0.27132--0.12138))+0-26.2--0.0267240000000042</f>
        <v>1068.509008</v>
      </c>
      <c r="M18" s="3">
        <f>948.9+(281.5-100.8)+(-0.483939+(-0.143565--0.051408))+0-26.3--0.0134129999999973</f>
        <v>1102.7373169999998</v>
      </c>
      <c r="N18" s="3">
        <f>968.2+(351.4-68.7)+(0.493782+(0.179214-0.035037))+0-26.3-0.0134129999999973</f>
        <v>1225.2245460000001</v>
      </c>
      <c r="O18" s="3">
        <f>993.7+(433.3-54.5)+(0+(0-0))+0-29.3-0</f>
        <v>1343.2</v>
      </c>
      <c r="P18" s="3">
        <f>1011.8+(456.6-52.8)+(0+(0-0))+0-27.4-0</f>
        <v>1388.1999999999998</v>
      </c>
      <c r="Q18" s="3">
        <f>1328.5+(213.2-73.5)+(-1.35507+(-0.217464--0.07497))+0-28.3--0.0288660000000045</f>
        <v>1438.4313020000002</v>
      </c>
      <c r="R18" s="3">
        <f>1481.1+(128.6-125.5)+(-2.266083+(-0.196758--0.192015))+0-28.8--0.0440640000000017</f>
        <v>1453.1732379999999</v>
      </c>
      <c r="S18" s="3">
        <f>1415.8+(146.6-94.1)+(-2.166174+(-0.224298--0.143973))+0-27.7--0.0423810000000016</f>
        <v>1438.3958819999998</v>
      </c>
      <c r="T18" s="3">
        <f>1286.9+(196.3-69.9)+(-1.968957+(-0.300339--0.106947))+0-26.9--0.0411570000000016</f>
        <v>1384.2788080000003</v>
      </c>
      <c r="U18" s="3">
        <f>1288.7+(195.9-71.1)+(-1.971711+(-0.299727--0.108783))+0-27.7--0.0423810000000016</f>
        <v>1383.6797259999998</v>
      </c>
      <c r="V18" s="3">
        <f>1290.3+(209-59.7)+(-0.658053+(-0.10659--0.030447))+0-27.3--0.0139229999999972</f>
        <v>1411.5797269999998</v>
      </c>
      <c r="W18" s="3">
        <f>1292.7+(238.6-70.2)+(-3.296385+(-0.60843--0.17901))+0-27--0.0688499999999961</f>
        <v>1430.4430449999998</v>
      </c>
      <c r="X18" s="3">
        <f>1261+(324-72.3)+(-1.92933+(-0.49572--0.110619))+0-25.3--0.0387090000000015</f>
        <v>1485.124278</v>
      </c>
      <c r="Y18" s="3">
        <f>1491.4+(236.4-77.8)+(-1.521228+(-0.241128--0.079356))+0-27.8--0.0283560000000044</f>
        <v>1620.5453560000001</v>
      </c>
      <c r="Z18" s="3">
        <f>1855+(168.3-130.8)+(-6.62235+(-0.600831--0.466956))+0-29.1--0.103887</f>
        <v>1856.747662</v>
      </c>
      <c r="AA18" s="3">
        <f>1869.6+(165.4-178.1)+(-2.860488+(-0.253062--0.272493))+0-29.5--0.0451350000000017</f>
        <v>1824.6040779999998</v>
      </c>
      <c r="AB18" s="3">
        <f>1630.7+(228.7-119.4)+(-2.494971+(-0.349911--0.182682))+0-30--0.0459000000000017</f>
        <v>1707.3837000000001</v>
      </c>
      <c r="AC18" s="3">
        <f>1170.9+(407.7-76.3)+(0.597159+(0.207927-0.038913))+0-30.4-0.0155039999999969</f>
        <v>1472.6506690000001</v>
      </c>
      <c r="AD18">
        <f t="shared" si="0"/>
        <v>32533.162703999995</v>
      </c>
      <c r="AE18" s="3">
        <f>1868.5+(183.8-127.4)+(0+(0-0))+0-28-0</f>
        <v>1896.9</v>
      </c>
    </row>
    <row r="19" spans="1:31" s="2" customFormat="1" x14ac:dyDescent="0.25">
      <c r="A19">
        <v>89</v>
      </c>
      <c r="B19">
        <v>1</v>
      </c>
      <c r="C19">
        <v>19</v>
      </c>
      <c r="D19">
        <v>6</v>
      </c>
      <c r="E19">
        <v>1</v>
      </c>
      <c r="F19" s="3">
        <f>1103.7+(301.7-118.9)+(-2.251548+(-0.615468--0.242556))+0-29.1--0.0593639999999987</f>
        <v>1254.8349040000001</v>
      </c>
      <c r="G19" s="3">
        <f>965.7+(296.9-122.3)+(-1.477521+(-0.454257--0.187119))+0-29.2--0.0446760000000017</f>
        <v>1109.4000169999999</v>
      </c>
      <c r="H19" s="3">
        <f>965.8+(268.6-149.4)+(-0.985116+(-0.273972--0.152388))+0-27.6--0.0281520000000044</f>
        <v>1056.3214520000001</v>
      </c>
      <c r="I19" s="3">
        <f>966.4+(252.3-154.3)+(-1.478592+(-0.386019--0.236079))+0-27.6--0.0422280000000016</f>
        <v>1035.2136960000003</v>
      </c>
      <c r="J19" s="3">
        <f>966.6+(237.6-152.7)+(0+(0-0))+0-28.2-0</f>
        <v>1023.3</v>
      </c>
      <c r="K19" s="3">
        <f>966.9+(233.3-137.5)+(0.493119+(0.118983-0.070125))+0-28.4-0.0144839999999971</f>
        <v>1034.827493</v>
      </c>
      <c r="L19" s="3">
        <f>968+(249.6-113)+(-0.98736+(-0.254592--0.11526))+0-28.2--0.0287640000000045</f>
        <v>1075.3020719999997</v>
      </c>
      <c r="M19" s="3">
        <f>967.8+(260.7-87.2)+(-0.493578+(-0.132957--0.044472))+0-27.6--0.0140759999999972</f>
        <v>1113.1320129999999</v>
      </c>
      <c r="N19" s="3">
        <f>1283.5+(197.9-212)+(-0.654585+(-0.100929--0.10812))+0-29.1--0.014840999999997</f>
        <v>1239.667447</v>
      </c>
      <c r="O19" s="3">
        <f>1612.4+(103.6-323.6)+(2.466972+(0.158508-0.495108))+0-29.3-0.0448290000000017</f>
        <v>1365.1855430000003</v>
      </c>
      <c r="P19" s="3">
        <f>1695.7+(96.2-307.3)+(1.729614+(0.098124-0.313446))+0-29.2-0.0297840000000047</f>
        <v>1456.8845079999999</v>
      </c>
      <c r="Q19" s="3">
        <f>1688.4+(104.3-270.3)+(0.861084+(0.053193-0.137853))+0-29.5-0.015044999999997</f>
        <v>1493.6613789999999</v>
      </c>
      <c r="R19" s="3">
        <f>1688.6+(133.2-337.9)+(0+(0-0))+0-28-0</f>
        <v>1455.8999999999999</v>
      </c>
      <c r="S19" s="3">
        <f>1684.1+(146-372.1)+(-3.435564+(-0.29784--0.759084))+0-27--0.0550799999999988</f>
        <v>1428.0807600000001</v>
      </c>
      <c r="T19" s="3">
        <f>1684.8+(122.2-412.9)+(2.577744+(0.186966-0.631737))+0-27.4-0.0419220000000016</f>
        <v>1368.7910509999997</v>
      </c>
      <c r="U19" s="3">
        <f>1679.6+(106.2-423.8)+(-0.856596+(-0.054162--0.216138))+0-27.7--0.0141269999999972</f>
        <v>1333.6195069999999</v>
      </c>
      <c r="V19" s="3">
        <f>1671.3+(99-412.3)+(-0.852363+(-0.05049--0.210273))+0-27.5--0.0140249999999972</f>
        <v>1329.821445</v>
      </c>
      <c r="W19" s="3">
        <f>1644+(155.3-433.1)+(-1.67688+(-0.158406--0.441762))+0-27.6--0.0281520000000044</f>
        <v>1337.2346280000002</v>
      </c>
      <c r="X19" s="3">
        <f>1589.6+(245.6-474.6)+(-0.810696+(-0.125256--0.242046))+0-26.5--0.0135149999999973</f>
        <v>1333.419609</v>
      </c>
      <c r="Y19" s="3">
        <f>1687.7+(239.9-478.1)+(1.721454+(0.244698-0.487662))+0-25.3-0.025806000000004</f>
        <v>1425.6526839999999</v>
      </c>
      <c r="Z19" s="3">
        <f>1727.3+(292.8-242.6)+(0.880923+(0.149328-0.123726))+0-15.5-0.00790499999999843</f>
        <v>1762.8986200000002</v>
      </c>
      <c r="AA19" s="3">
        <f>1734.3+(302.6-257.8)+(0+(0-0))+0-14-0</f>
        <v>1765.1</v>
      </c>
      <c r="AB19" s="3">
        <f>1732.7+(272-302.9)+(-2.651031+(-0.41616--0.463437))+0-28.8--0.0440640000000017</f>
        <v>1670.4403100000002</v>
      </c>
      <c r="AC19" s="3">
        <f>1577.3+(265.3-294.3)+(0+(0-0))+0-28.7-0</f>
        <v>1519.6</v>
      </c>
      <c r="AD19">
        <f t="shared" si="0"/>
        <v>31988.289138</v>
      </c>
      <c r="AE19" s="3">
        <f>1719+(313.4-226.6)+(0+(0-0))+0-18.8-0</f>
        <v>1787</v>
      </c>
    </row>
    <row r="20" spans="1:31" s="2" customFormat="1" x14ac:dyDescent="0.25">
      <c r="A20">
        <v>89</v>
      </c>
      <c r="B20">
        <v>1</v>
      </c>
      <c r="C20">
        <v>20</v>
      </c>
      <c r="D20">
        <v>7</v>
      </c>
      <c r="E20">
        <v>1</v>
      </c>
      <c r="F20" s="3">
        <f>1198.8+(320-197)+(-1.222776+(-0.3264--0.20094))+0-27.5--0.0280500000000044</f>
        <v>1292.9798139999998</v>
      </c>
      <c r="G20" s="3">
        <f>961+(362.8-173.4)+(-1.96044+(-0.740112--0.353736))+0-26.5--0.0540599999999988</f>
        <v>1121.607244</v>
      </c>
      <c r="H20" s="3">
        <f>961.1+(331.5-212.5)+(-0.980322+(-0.33813--0.21675))+0-25.9--0.0264180000000041</f>
        <v>1053.1247159999998</v>
      </c>
      <c r="I20" s="3">
        <f>962.2+(316-236.1)+(-0.490722+(-0.16116--0.120411))+0-26.3--0.0134129999999973</f>
        <v>1015.2819420000002</v>
      </c>
      <c r="J20" s="3">
        <f>963.6+(322.8-249.7)+(-0.982872+(-0.329256--0.254694))+0-26.2--0.0267240000000042</f>
        <v>1009.46929</v>
      </c>
      <c r="K20" s="3">
        <f>964.9+(316.1-244.1)+(-0.492099+(-0.161211--0.124491))+0-26.2--0.0133619999999973</f>
        <v>1010.184543</v>
      </c>
      <c r="L20" s="3">
        <f>961.3+(314.5-239.3)+(-1.961052+(-0.64158--0.488172))+0-26.9--0.0548759999999988</f>
        <v>1007.5404160000001</v>
      </c>
      <c r="M20" s="3">
        <f>961.8+(290-255.9)+(0+(0-0))+0-28.9-0</f>
        <v>967</v>
      </c>
      <c r="N20" s="3">
        <f>951.1+(323.2-213.2)+(-0.970122+(-0.329664--0.217464))+0-28.7--0.0292740000000046</f>
        <v>1031.3469519999999</v>
      </c>
      <c r="O20" s="3">
        <f>957.3+(368.2-172.6)+(1.464669+(0.563346-0.264078))+0-28.4-0.0434520000000016</f>
        <v>1126.2204849999998</v>
      </c>
      <c r="P20" s="3">
        <f>970.4+(409.2-143)+(0.989808+(0.417384-0.14586))+0-28.6-0.0291720000000046</f>
        <v>1209.23216</v>
      </c>
      <c r="Q20" s="3">
        <f>966.2+(394.3-95.1)+(0.492762+(0.201093-0.048501))+0-28.5-0.0145349999999971</f>
        <v>1237.5308190000001</v>
      </c>
      <c r="R20" s="3">
        <f>961.6+(385.9-95.7)+(0+(0-0))+0-27.6-0</f>
        <v>1224.2</v>
      </c>
      <c r="S20" s="3">
        <f>960.6+(353-92.8)+(-0.489906+(-0.18003--0.047328))+0-26.9--0.0137189999999973</f>
        <v>1193.291111</v>
      </c>
      <c r="T20" s="3">
        <f>959.1+(322.5-105.8)+(-0.978282+(-0.32895--0.107916))+0-27.6--0.0281520000000044</f>
        <v>1147.0288360000002</v>
      </c>
      <c r="U20" s="3">
        <f>959.9+(295-104.2)+(0.489549+(0.15045-0.053142))+0-29.3-0.014942999999997</f>
        <v>1121.9719140000002</v>
      </c>
      <c r="V20" s="3">
        <f>961.9+(300.9-101.6)+(-1.962276+(-0.613836--0.207264))+0-29.4--0.0599759999999987</f>
        <v>1129.4911279999999</v>
      </c>
      <c r="W20" s="3">
        <f>962.1+(315.9-112.4)+(-0.981342+(-0.322218--0.114648))+0-30.1--0.0307020000000048</f>
        <v>1134.3417899999999</v>
      </c>
      <c r="X20" s="3">
        <f>987.8+(321.8-128.5)+(-3.022668+(-0.984708--0.39321))+0-28.2--0.0862920000000033</f>
        <v>1149.3721259999998</v>
      </c>
      <c r="Y20" s="3">
        <f>1060.9+(332.3-110.2)+(0+(0-0))+0-27.3-0</f>
        <v>1255.7</v>
      </c>
      <c r="Z20" s="3">
        <f>1098.3+(639-78.5)+(-0.560133+(-0.32589--0.040035))+0-27--0.0137699999999973</f>
        <v>1630.9677819999999</v>
      </c>
      <c r="AA20" s="3">
        <f>1101.7+(709.4-83)+(-1.685601+(-1.085382--0.12699))+0-27.2--0.0416160000000016</f>
        <v>1698.2976229999999</v>
      </c>
      <c r="AB20" s="3">
        <f>1101.9+(607.5-78.9)+(-1.685907+(-0.929475--0.120717))+0-26.8--0.0410040000000016</f>
        <v>1601.246339</v>
      </c>
      <c r="AC20" s="3">
        <f>1053.2+(496-93.8)+(-2.148528+(-1.01184--0.191352))+0-27.1--0.0552839999999988</f>
        <v>1425.3862680000002</v>
      </c>
      <c r="AD20">
        <f t="shared" si="0"/>
        <v>28792.813298000001</v>
      </c>
      <c r="AE20" s="3">
        <f>1101+(686.6-76.7)+(0+(0-0))+0-26.4-0</f>
        <v>1684.5</v>
      </c>
    </row>
    <row r="21" spans="1:31" s="2" customFormat="1" x14ac:dyDescent="0.25">
      <c r="A21">
        <v>89</v>
      </c>
      <c r="B21">
        <v>1</v>
      </c>
      <c r="C21">
        <v>21</v>
      </c>
      <c r="D21">
        <v>1</v>
      </c>
      <c r="E21">
        <v>1</v>
      </c>
      <c r="F21" s="3">
        <f>970.3+(379.1-116.5)+(-2.474265+(-0.966705--0.297075))+0-27.4--0.069869999999996</f>
        <v>1202.4259750000001</v>
      </c>
      <c r="G21" s="3">
        <f>954.2+(321.4-184.9)+(-2.43321+(-0.81957--0.471495))+0-27.4--0.069869999999996</f>
        <v>1060.588585</v>
      </c>
      <c r="H21" s="3">
        <f>950.8+(290.6-211.2)+(-2.909448+(-0.889236--0.646272))+0-27--0.0826200000000031</f>
        <v>1000.1302080000002</v>
      </c>
      <c r="I21" s="3">
        <f>956+(270.5-230.9)+(-0.48756+(-0.137955--0.117759))+0-27.1--0.0138209999999973</f>
        <v>968.00606500000004</v>
      </c>
      <c r="J21" s="3">
        <f>955.3+(267-225.7)+(-1.461609+(-0.40851--0.345321))+0-27.3--0.0417690000000016</f>
        <v>967.81697099999997</v>
      </c>
      <c r="K21" s="3">
        <f>955.9+(270.1-217.4)+(-0.975018+(-0.275502--0.221748))+0-26.8--0.0273360000000043</f>
        <v>980.79856400000006</v>
      </c>
      <c r="L21" s="3">
        <f>976.4+(272.2-182)+(-2.987784+(-0.832932--0.55692))+0-27.5--0.0841500000000032</f>
        <v>1035.9203539999999</v>
      </c>
      <c r="M21" s="3">
        <f>1065.9+(247.4-180.1)+(0.543609+(0.126174-0.091851))+0-28.6-0.0145859999999971</f>
        <v>1105.163346</v>
      </c>
      <c r="N21" s="3">
        <f>1059.2+(296.5-101.6)+(0+(0-0))+0-29.4-0</f>
        <v>1224.7</v>
      </c>
      <c r="O21" s="3">
        <f>1352.4+(190.7-154.5)+(-1.379448+(-0.194514--0.15759))+0-28.4--0.0289680000000045</f>
        <v>1358.8125960000002</v>
      </c>
      <c r="P21" s="3">
        <f>1636.5+(142-278.6)+(0.834615+(0.07242-0.142086))+0-30.3-0.0154529999999969</f>
        <v>1470.349496</v>
      </c>
      <c r="Q21" s="3">
        <f>1778+(202.5-390.4)+(0.90678+(0.103275-0.199104))+0-30.5-0.0155549999999969</f>
        <v>1560.3953959999999</v>
      </c>
      <c r="R21" s="3">
        <f>1835.5+(200-496.6)+(-1.87221+(-0.204--0.506532))+0-27.9--0.0284580000000044</f>
        <v>1509.4587799999999</v>
      </c>
      <c r="S21" s="3">
        <f>1806.4+(208.5-506.5)+(-4.60632+(-0.531675--1.291575))+0-27.3--0.069614999999996</f>
        <v>1477.3231949999999</v>
      </c>
      <c r="T21" s="3">
        <f>1647.8+(219.6-436.3)+(0.840378+(0.111996-0.222513))+0-27.4-0.0139739999999972</f>
        <v>1404.4158869999999</v>
      </c>
      <c r="U21" s="3">
        <f>1631.6+(238-451.4)+(-3.328464+(-0.48552--0.920856))+0-27.4--0.0558959999999988</f>
        <v>1387.9627679999999</v>
      </c>
      <c r="V21" s="3">
        <f>1642.4+(230.8-446)+(0+(0-0))+0-27.6-0</f>
        <v>1399.6000000000001</v>
      </c>
      <c r="W21" s="3">
        <f>1637.6+(227-427.7)+(-3.340704+(-0.46308--0.872508))+0-27.6--0.0563039999999988</f>
        <v>1406.4250279999999</v>
      </c>
      <c r="X21" s="3">
        <f>1646.1+(196.2-367.1)+(-1.679022+(-0.200124--0.374442))+0-27.1--0.0276420000000043</f>
        <v>1446.622938</v>
      </c>
      <c r="Y21" s="3">
        <f>1725+(197.6-365.1)+(-3.519+(-0.403104--0.744804))+0-27.9--0.0569159999999988</f>
        <v>1526.4796159999999</v>
      </c>
      <c r="Z21" s="3">
        <f>1831.9+(281.1-259.2)+(-2.802807+(-0.430083--0.396576))+0-28.8--0.0440640000000017</f>
        <v>1822.2077500000003</v>
      </c>
      <c r="AA21" s="3">
        <f>1803+(304.8-254.7)+(-2.75859+(-0.466344--0.389691))+0-28--0.0428400000000016</f>
        <v>1822.307597</v>
      </c>
      <c r="AB21" s="3">
        <f>1834.6+(247.6-338.5)+(-2.806938+(-0.378828--0.517905))+0-29.1--0.0445230000000017</f>
        <v>1711.976662</v>
      </c>
      <c r="AC21" s="3">
        <f>1399.3+(313.3-176)+(-2.854572+(-0.639132--0.35904))+0-28.9--0.0589559999999987</f>
        <v>1504.624292</v>
      </c>
      <c r="AD21">
        <f t="shared" si="0"/>
        <v>32354.512069000004</v>
      </c>
      <c r="AE21" s="3">
        <f>1842+(301.7-239.4)+(0+(0-0))+0-28.4-0</f>
        <v>1875.8999999999999</v>
      </c>
    </row>
    <row r="22" spans="1:31" s="2" customFormat="1" x14ac:dyDescent="0.25">
      <c r="A22">
        <v>89</v>
      </c>
      <c r="B22">
        <v>1</v>
      </c>
      <c r="C22">
        <v>22</v>
      </c>
      <c r="D22">
        <v>2</v>
      </c>
      <c r="E22">
        <v>1</v>
      </c>
      <c r="F22" s="3">
        <f>954.7+(422-117.2)+(-0.973794+(-0.43044--0.119544))+0-27.9--0.0284580000000044</f>
        <v>1230.343768</v>
      </c>
      <c r="G22" s="3">
        <f>943+(356.4-164.6)+(-2.40465+(-0.90882--0.41973))+0-28--0.0713999999999959</f>
        <v>1103.97766</v>
      </c>
      <c r="H22" s="3">
        <f>944.8+(313.4-200.8)+(-1.445544+(-0.479502--0.307224))+0-26.3--0.0402390000000015</f>
        <v>1029.5224169999999</v>
      </c>
      <c r="I22" s="3">
        <f>753.6+(379.1-129.2)+(-1.153008+(-0.580023--0.197676))+0-26.2--0.0400860000000015</f>
        <v>975.80473099999995</v>
      </c>
      <c r="J22" s="3">
        <f>614.5+(445.1-92.2)+(-1.566975+(-1.135005--0.23511))+0-26.2--0.0668099999999962</f>
        <v>938.79994000000011</v>
      </c>
      <c r="K22" s="3">
        <f>622.5+(450.4-91.8)+(0.63495+(0.459408-0.093636))+0-26.5-0.0270300000000042</f>
        <v>955.57369199999994</v>
      </c>
      <c r="L22" s="3">
        <f>617.4+(493.5-91.7)+(-1.57437+(-1.258425--0.233835))+0-26.5--0.0675749999999962</f>
        <v>990.16861500000005</v>
      </c>
      <c r="M22" s="3">
        <f>647.4+(481-90.9)+(-0.330174+(-0.24531--0.046359))+0-26.4--0.0134639999999973</f>
        <v>1010.584339</v>
      </c>
      <c r="N22" s="3">
        <f>1009.1+(331.1-128.4)+(0.514641+(0.168861-0.065484))+0-28.7-0.0146369999999971</f>
        <v>1183.7033809999998</v>
      </c>
      <c r="O22" s="3">
        <f>1146.4+(332.5-149.5)+(-0.584664+(-0.169575--0.076245))+0-29.9--0.015248999999997</f>
        <v>1298.8372550000001</v>
      </c>
      <c r="P22" s="3">
        <f>1240+(327.1-157.7)+(-0.6324+(-0.166821--0.080427))+0-29--0.0147899999999971</f>
        <v>1379.6959960000002</v>
      </c>
      <c r="Q22" s="3">
        <f>1313.2+(308.4-178.7)+(0.669732+(0.157284-0.091137))+0-29.7-0.015146999999997</f>
        <v>1413.920732</v>
      </c>
      <c r="R22" s="3">
        <f>1422.6+(275.5-239.5)+(-2.176578+(-0.421515--0.366435))+0-27.4--0.0419220000000016</f>
        <v>1429.010264</v>
      </c>
      <c r="S22" s="3">
        <f>1266.1+(306.7-176.6)+(-1.937133+(-0.469251--0.270198))+0-26.6--0.0406980000000015</f>
        <v>1367.504512</v>
      </c>
      <c r="T22" s="3">
        <f>1279.5+(267.3-206.3)+(0+(0-0))+0-28-0</f>
        <v>1312.5</v>
      </c>
      <c r="U22" s="3">
        <f>1230.8+(264.6-194.2)+(0+(0-0))+0-27.6-0</f>
        <v>1273.6000000000001</v>
      </c>
      <c r="V22" s="3">
        <f>1223.2+(261.1-158)+(-0.623832+(-0.133161--0.08058))+0-28.3--0.0144329999999971</f>
        <v>1297.3380200000004</v>
      </c>
      <c r="W22" s="3">
        <f>1219.2+(259.5-161.9)+(-3.730752+(-0.79407--0.495414))+0-27.7--0.0847620000000032</f>
        <v>1285.1553539999998</v>
      </c>
      <c r="X22" s="3">
        <f>1202+(296-134.8)+(-0.61302+(-0.15096--0.068748))+0-28.4--0.0144839999999971</f>
        <v>1334.119252</v>
      </c>
      <c r="Y22" s="3">
        <f>1422.5+(250.5-170.5)+(-1.45095+(-0.25551--0.17391))+0-29.1--0.0296820000000046</f>
        <v>1471.8971320000003</v>
      </c>
      <c r="Z22" s="3">
        <f>1607.7+(291.3-116.1)+(-4.919562+(-0.891378--0.355266))+0-29.9--0.0914940000000034</f>
        <v>1747.63582</v>
      </c>
      <c r="AA22" s="3">
        <f>1613.4+(301.9-97.6)+(-3.291336+(-0.615876--0.199104))+0-29.8--0.0607919999999987</f>
        <v>1784.252684</v>
      </c>
      <c r="AB22" s="3">
        <f>1452.1+(348-96.3)+(0+(0-0))+0-28.5-0</f>
        <v>1675.3</v>
      </c>
      <c r="AC22" s="3">
        <f>1079.8+(497.3-93.5)+(-0.550698+(-0.253623--0.047685))+0-28.6--0.0145859999999971</f>
        <v>1454.2579499999999</v>
      </c>
      <c r="AD22">
        <f t="shared" si="0"/>
        <v>30943.503513999996</v>
      </c>
      <c r="AE22" s="3">
        <f>1616.9+(325.9-96.4)+(0+(0-0))+0-29.6-0</f>
        <v>1816.8000000000002</v>
      </c>
    </row>
    <row r="23" spans="1:31" s="2" customFormat="1" x14ac:dyDescent="0.25">
      <c r="A23">
        <v>89</v>
      </c>
      <c r="B23">
        <v>1</v>
      </c>
      <c r="C23">
        <v>23</v>
      </c>
      <c r="D23">
        <v>3</v>
      </c>
      <c r="E23">
        <v>1</v>
      </c>
      <c r="F23" s="3">
        <f>951.9+(401.4-104.2)+(-1.456407+(-0.614142--0.159426))+0-28--0.0428400000000016</f>
        <v>1219.2317169999999</v>
      </c>
      <c r="G23" s="3">
        <f>952.6+(307.8-154.5)+(0+(0-0))+0-28.3-0</f>
        <v>1077.6000000000001</v>
      </c>
      <c r="H23" s="3">
        <f>950.5+(270.4-169.4)+(-0.96951+(-0.275808--0.172788))+0-28.6--0.0291720000000046</f>
        <v>1021.8566420000001</v>
      </c>
      <c r="I23" s="3">
        <f>949.4+(255.1-171)+(-0.484194+(-0.130101--0.08721))+0-27.7--0.0141269999999972</f>
        <v>1005.287042</v>
      </c>
      <c r="J23" s="3">
        <f>948.6+(247.3-169.4)+(-1.935144+(-0.504492--0.345576))+0-27.8--0.0567119999999988</f>
        <v>996.66265200000009</v>
      </c>
      <c r="K23" s="3">
        <f>949.8+(248.3-157.8)+(-0.484398+(-0.126633--0.080478))+0-26.7--0.0136169999999973</f>
        <v>1013.0830639999998</v>
      </c>
      <c r="L23" s="3">
        <f>948.4+(257.8-120.6)+(-0.483684+(-0.131478--0.061506))+0-27.7--0.0141269999999972</f>
        <v>1057.3604709999997</v>
      </c>
      <c r="M23" s="3">
        <f>1030.4+(226.5-109.5)+(-1.051008+(-0.23103--0.11169))+0-29.1--0.0296820000000046</f>
        <v>1117.1593340000002</v>
      </c>
      <c r="N23" s="3">
        <f>1213.7+(152.1-100.6)+(-2.475948+(-0.310284--0.205224))+0-28.4--0.0579359999999988</f>
        <v>1234.2769279999998</v>
      </c>
      <c r="O23" s="3">
        <f>1443+(94.7-114.2)+(-2.20779+(-0.144891--0.174726))+0-26.6--0.0406980000000015</f>
        <v>1394.762743</v>
      </c>
      <c r="P23" s="3">
        <f>1590.7+(62.8-146.9)+(-2.433771+(-0.096084--0.224757))+0-27.1--0.0414630000000016</f>
        <v>1477.2363650000002</v>
      </c>
      <c r="Q23" s="3">
        <f>1728.9+(32.3-196)+(-1.763478+(-0.032946--0.19992))+0-27.1--0.0276420000000043</f>
        <v>1536.5311380000001</v>
      </c>
      <c r="R23" s="3">
        <f>1786.2+(24.6-236.4)+(0+(0-0))+0-26-0</f>
        <v>1548.4</v>
      </c>
      <c r="S23" s="3">
        <f>1815+(16.2-278.1)+(-0.92565+(-0.008262--0.141831))+0-26.3--0.0134129999999973</f>
        <v>1526.0213319999998</v>
      </c>
      <c r="T23" s="3">
        <f>1804+(11.1-302.7)+(-1.84008+(-0.011322--0.308754))+0-27.7--0.0282540000000044</f>
        <v>1483.185606</v>
      </c>
      <c r="U23" s="3">
        <f>1573.5+(52.1-164.5)+(-1.60497+(-0.053142--0.16779))+0-28.5--0.0290700000000045</f>
        <v>1431.1387479999999</v>
      </c>
      <c r="V23" s="3">
        <f>1429.6+(136.9-84.6)+(-1.458192+(-0.139638--0.086292))+0-28.6--0.0291720000000046</f>
        <v>1451.817634</v>
      </c>
      <c r="W23" s="3">
        <f>1356.7+(213.3-71.1)+(-0.691917+(-0.108783--0.036261))+0-28.5--0.0145349999999971</f>
        <v>1469.6500960000001</v>
      </c>
      <c r="X23" s="3">
        <f>1239+(334.9-81.2)+(-0.63189+(-0.170799--0.041412))+0-27.5--0.0140249999999972</f>
        <v>1464.4527479999999</v>
      </c>
      <c r="Y23" s="3">
        <f>1149.8+(463.8-86.6)+(0+(0-0))+0-28.4-0</f>
        <v>1498.6</v>
      </c>
      <c r="Z23" s="3">
        <f>1513+(438.7-137.3)+(-1.54326+(-0.447474--0.140046))+0-29.8--0.0303960000000048</f>
        <v>1782.7797080000003</v>
      </c>
      <c r="AA23" s="3">
        <f>1437.9+(473.1-109.7)+(-1.466658+(-0.482562--0.111894))+0-30--0.0306000000000048</f>
        <v>1769.4932740000002</v>
      </c>
      <c r="AB23" s="3">
        <f>1435.8+(357.1-118.8)+(-2.929032+(-0.728484--0.242352))+0-29.3--0.0597719999999987</f>
        <v>1641.444608</v>
      </c>
      <c r="AC23" s="3">
        <f>1215.1+(377.2-110.9)+(-1.239402+(-0.384744--0.113118))+0-29.6--0.0301920000000047</f>
        <v>1450.319164</v>
      </c>
      <c r="AD23">
        <f t="shared" si="0"/>
        <v>32668.351014000003</v>
      </c>
      <c r="AE23" s="3">
        <f>1569+(399.8-169.8)+(0+(0-0))+0-28.4-0</f>
        <v>1770.6</v>
      </c>
    </row>
    <row r="24" spans="1:31" s="2" customFormat="1" x14ac:dyDescent="0.25">
      <c r="A24">
        <v>89</v>
      </c>
      <c r="B24">
        <v>1</v>
      </c>
      <c r="C24">
        <v>24</v>
      </c>
      <c r="D24">
        <v>4</v>
      </c>
      <c r="E24">
        <v>1</v>
      </c>
      <c r="F24" s="3">
        <f>913.8+(343.1-114.7)+(-1.398114+(-0.524943--0.175491))+0-28--0.0428400000000016</f>
        <v>1112.4952740000001</v>
      </c>
      <c r="G24" s="3">
        <f>761.5+(393.7-119.6)+(-1.165095+(-0.602361--0.182988))+0-28.2--0.0431460000000016</f>
        <v>1005.8586779999998</v>
      </c>
      <c r="H24" s="3">
        <f>761.7+(375.2-130.3)+(0.388467+(0.191352-0.066453))+0-26.6-0.0135659999999973</f>
        <v>980.49980000000005</v>
      </c>
      <c r="I24" s="3">
        <f>711.4+(369.2-127.2)+(-1.088442+(-0.564876--0.194616))+0-27--0.0413100000000016</f>
        <v>924.98260799999991</v>
      </c>
      <c r="J24" s="3">
        <f>712+(390.4-111.5)+(-1.8156+(-0.99552--0.284325))+0-27.8--0.070889999999996</f>
        <v>960.64409499999999</v>
      </c>
      <c r="K24" s="3">
        <f>711.8+(394.7-104)+(-1.089054+(-0.603891--0.15912))+0-27.3--0.0417690000000016</f>
        <v>973.70794400000011</v>
      </c>
      <c r="L24" s="3">
        <f>771.1+(413.2-80.7)+(-0.393261+(-0.210732--0.041157))+0-28.1--0.0143309999999971</f>
        <v>1074.951495</v>
      </c>
      <c r="M24" s="3">
        <f>979.8+(295.7-77.4)+(0+(0-0))+0-29.4-0</f>
        <v>1168.6999999999998</v>
      </c>
      <c r="N24" s="3">
        <f>1143.8+(232.6-100.8)+(0+(0-0))+0-28.5-0</f>
        <v>1247.0999999999999</v>
      </c>
      <c r="O24" s="3">
        <f>1146.9+(284.8-66.5)+(-0.584919+(-0.145248--0.033915))+0-30.3--0.0154529999999969</f>
        <v>1334.2192010000001</v>
      </c>
      <c r="P24" s="3">
        <f>1133+(360.2-74.4)+(0+(0-0))+0-29.1-0</f>
        <v>1389.7</v>
      </c>
      <c r="Q24" s="3">
        <f>1130.4+(393.9-69.3)+(0+(0-0))+0-28.8-0</f>
        <v>1426.2</v>
      </c>
      <c r="R24" s="3">
        <f>1125.7+(388.8-75.9)+(-1.722321+(-0.594864--0.116127))+0-27.2--0.0416160000000016</f>
        <v>1409.2405579999997</v>
      </c>
      <c r="S24" s="3">
        <f>1118.1+(359.3-66.3)+(-1.140462+(-0.366486--0.067626))+0-26.7--0.0272340000000043</f>
        <v>1382.9879119999998</v>
      </c>
      <c r="T24" s="3">
        <f>1063.5+(366.1-64.8)+(-0.542385+(-0.186711--0.033048))+0-27.7--0.0141269999999972</f>
        <v>1336.4180789999998</v>
      </c>
      <c r="U24" s="3">
        <f>1002.1+(411.8-65.5)+(0.511071+(0.210018-0.033405))+0-29.6-0.015095999999997</f>
        <v>1319.4725880000001</v>
      </c>
      <c r="V24" s="3">
        <f>922.9+(488.9-69.5)+(-0.470679+(-0.249339--0.035445))+0-30.3--0.0154529999999969</f>
        <v>1311.33088</v>
      </c>
      <c r="W24" s="3">
        <f>885.1+(523.1-69.7)+(-1.354203+(-0.800343--0.106641))+0-29.7--0.0454410000000017</f>
        <v>1306.797536</v>
      </c>
      <c r="X24" s="3">
        <f>888.2+(533.2-69.4)+(-2.26491+(-1.35966--0.17697))+0-28.9--0.0736949999999958</f>
        <v>1319.726095</v>
      </c>
      <c r="Y24" s="3">
        <f>892.5+(598.3-73.1)+(-0.91035+(-0.610266--0.074562))+0-28.1--0.0286620000000045</f>
        <v>1388.1826079999998</v>
      </c>
      <c r="Z24" s="3">
        <f>1023.5+(848.1-84.3)+(-2.08794+(-1.730124--0.171972))+0-30--0.0611999999999987</f>
        <v>1753.7151080000003</v>
      </c>
      <c r="AA24" s="3">
        <f>914.4+(995.1-88.8)+(-2.33172+(-2.537505--0.22644))+0-29.4--0.0749699999999957</f>
        <v>1786.7321849999998</v>
      </c>
      <c r="AB24" s="3">
        <f>899.1+(890.9-89)+(-1.834164+(-1.817436--0.18156))+0-28.9--0.0589559999999987</f>
        <v>1668.6889160000001</v>
      </c>
      <c r="AC24" s="3">
        <f>831.9+(756.8-97.4)+(-1.697076+(-1.543872--0.198696))+0-28.6--0.0583439999999988</f>
        <v>1459.7160920000001</v>
      </c>
      <c r="AD24">
        <f t="shared" si="0"/>
        <v>31042.067652000002</v>
      </c>
      <c r="AE24" s="3">
        <f>1028+(916-87)+(0+(0-0))+0-29-0</f>
        <v>1828</v>
      </c>
    </row>
    <row r="25" spans="1:31" s="2" customFormat="1" x14ac:dyDescent="0.25">
      <c r="A25">
        <v>89</v>
      </c>
      <c r="B25">
        <v>1</v>
      </c>
      <c r="C25">
        <v>25</v>
      </c>
      <c r="D25">
        <v>5</v>
      </c>
      <c r="E25">
        <v>1</v>
      </c>
      <c r="F25" s="3">
        <f>697.8+(644.4-91.1)+(-1.067634+(-0.985932--0.139383))+0-27.7--0.0423810000000016</f>
        <v>1221.5281979999997</v>
      </c>
      <c r="G25" s="3">
        <f>690.9+(495.1-85.5)+(-1.057077+(-0.757503--0.130815))+0-27.1--0.0414630000000016</f>
        <v>1071.7576980000001</v>
      </c>
      <c r="H25" s="3">
        <f>685+(440.7-80.8)+(-0.6987+(-0.449514--0.082416))+0-27.9--0.0284580000000044</f>
        <v>1015.96266</v>
      </c>
      <c r="I25" s="3">
        <f>684.1+(422.9-85.7)+(-0.697782+(-0.431358--0.087414))+0-27.2--0.0277440000000043</f>
        <v>993.08601799999985</v>
      </c>
      <c r="J25" s="3">
        <f>684.2+(408.9-87.1)+(-0.697884+(-0.417078--0.088842))+0-26.7--0.0272340000000043</f>
        <v>978.30111399999998</v>
      </c>
      <c r="K25" s="3">
        <f>762.8+(364.3-103.6)+(0.389028+(0.185793-0.052836))+0-26.9-0.0137189999999973</f>
        <v>997.10826600000007</v>
      </c>
      <c r="L25" s="3">
        <f>874+(326.9-127)+(-0.44574+(-0.166719--0.06477))+0-27.8--0.0141779999999972</f>
        <v>1045.566489</v>
      </c>
      <c r="M25" s="3">
        <f>938.9+(308.9-120.5)+(0.478839+(0.157539-0.061455))+0-27.5-0.0140249999999972</f>
        <v>1100.3608979999999</v>
      </c>
      <c r="N25" s="3">
        <f>983.3+(380.8-83.2)+(0+(0-0))+0-28.8-0</f>
        <v>1252.1000000000001</v>
      </c>
      <c r="O25" s="3">
        <f>981+(472.6-63.3)+(-0.50031+(-0.241026--0.032283))+0-29.2--0.014891999999997</f>
        <v>1360.4058389999998</v>
      </c>
      <c r="P25" s="3">
        <f>1014.5+(470.8-58.3)+(1.03479+(0.480216-0.059466))+0-29.5-0.0300900000000047</f>
        <v>1398.92545</v>
      </c>
      <c r="Q25" s="3">
        <f>1070.9+(439.3-51)+(-1.638477+(-0.672129--0.07803))+0-29.4--0.0449820000000017</f>
        <v>1427.6124059999997</v>
      </c>
      <c r="R25" s="3">
        <f>1115+(415-60.2)+(0.56865+(0.21165-0.030702))+0-27.4-0.0139739999999972</f>
        <v>1443.135624</v>
      </c>
      <c r="S25" s="3">
        <f>1131.6+(375.1-63.4)+(-0.577116+(-0.191301--0.032334))+0-27--0.0137699999999973</f>
        <v>1415.577687</v>
      </c>
      <c r="T25" s="3">
        <f>1140.9+(322.3-70.4)+(0.581859+(0.164373-0.035904))+0-27.4-0.0139739999999972</f>
        <v>1366.096354</v>
      </c>
      <c r="U25" s="3">
        <f>1138.7+(318.4-65.5)+(-1.742211+(-0.487152--0.100215))+0-28.6--0.0437580000000017</f>
        <v>1360.91461</v>
      </c>
      <c r="V25" s="3">
        <f>1036.3+(403.8-48.8)+(0+(0-0))+0-25.4-0</f>
        <v>1365.8999999999999</v>
      </c>
      <c r="W25" s="3">
        <f>1003.5+(423.1-48.7)+(-1.535355+(-0.647343--0.074511))+0-29--0.0443700000000017</f>
        <v>1346.8361830000001</v>
      </c>
      <c r="X25" s="3">
        <f>1005+(403.7-50.3)+(-3.0753+(-1.235322--0.153918))+0-27.7--0.0847620000000032</f>
        <v>1326.628058</v>
      </c>
      <c r="Y25" s="3">
        <f>1058.8+(402.9-60.4)+(-1.079976+(-0.410958--0.061608))+0-27.7--0.0282540000000044</f>
        <v>1372.198928</v>
      </c>
      <c r="Z25" s="3">
        <f>1259+(601.6-72.1)+(-2.56836+(-1.227264--0.147084))+0-29--0.0591599999999987</f>
        <v>1755.9106200000001</v>
      </c>
      <c r="AA25" s="3">
        <f>1251.7+(673.9-80)+(-1.915101+(-1.031067--0.1224))+0-28.2--0.0431460000000016</f>
        <v>1814.6193779999999</v>
      </c>
      <c r="AB25" s="3">
        <f>1117.1+(695.7-79.8)+(-2.278884+(-1.419228--0.162792))+0-28.8--0.0587519999999987</f>
        <v>1700.723432</v>
      </c>
      <c r="AC25" s="3">
        <f>996+(607.3-81.6)+(0+(0-0))+0-28.3-0</f>
        <v>1493.3999999999999</v>
      </c>
      <c r="AD25">
        <f t="shared" si="0"/>
        <v>31624.655910000001</v>
      </c>
      <c r="AE25" s="3">
        <f>1282+(686-79)+(0+(0-0))+0-32-0</f>
        <v>1857</v>
      </c>
    </row>
    <row r="26" spans="1:31" s="2" customFormat="1" x14ac:dyDescent="0.25">
      <c r="A26">
        <v>89</v>
      </c>
      <c r="B26">
        <v>1</v>
      </c>
      <c r="C26">
        <v>26</v>
      </c>
      <c r="D26">
        <v>6</v>
      </c>
      <c r="E26">
        <v>1</v>
      </c>
      <c r="F26" s="3">
        <f>965.7+(424.7-99.7)+(-1.477521+(-0.649791--0.152541))+0-27.9--0.0426870000000016</f>
        <v>1260.8679160000002</v>
      </c>
      <c r="G26" s="3">
        <f>956.5+(337.4-145.7)+(-0.487815+(-0.172074--0.074307))+0-27.9--0.0142289999999972</f>
        <v>1119.7286469999999</v>
      </c>
      <c r="H26" s="3">
        <f>956.2+(312.1-186.6)+(0+(0-0))+0-27.9-0</f>
        <v>1053.8</v>
      </c>
      <c r="I26" s="3">
        <f>956.6+(297.7-198.7)+(-1.951464+(-0.607308--0.405348))+0-26.8--0.0546719999999988</f>
        <v>1026.7012479999999</v>
      </c>
      <c r="J26" s="3">
        <f>957+(291.2-207.3)+(-1.46421+(-0.445536--0.317169))+0-26.5--0.0405450000000015</f>
        <v>1012.8479680000002</v>
      </c>
      <c r="K26" s="3">
        <f>957+(294.1-198.3)+(0+(0-0))+0-27.3-0</f>
        <v>1025.5</v>
      </c>
      <c r="L26" s="3">
        <f>958+(307-170.5)+(-2.93148+(-0.93942--0.52173))+0-27.2--0.0832320000000031</f>
        <v>1064.0340619999999</v>
      </c>
      <c r="M26" s="3">
        <f>985.6+(287.3-136.4)+(0.502656+(0.146523-0.069564))+0-28.1-0.0143309999999971</f>
        <v>1108.9652840000001</v>
      </c>
      <c r="N26" s="3">
        <f>1063.6+(298.5-79.3)+(0+(0-0))+0-28.8-0</f>
        <v>1254</v>
      </c>
      <c r="O26" s="3">
        <f>1093.7+(365.8-65.4)+(1.115574+(0.373116-0.066708))+0-17.7-0.0180540000000028</f>
        <v>1377.803928</v>
      </c>
      <c r="P26" s="3">
        <f>1188.7+(317.1-68.7)+(-1.818711+(-0.485163--0.105111))+0-9.2--0.0140760000000005</f>
        <v>1425.7153129999999</v>
      </c>
      <c r="Q26" s="3">
        <f>1310.1+(249.2-79.3)+(-2.004453+(-0.381276--0.121329))+0-8.4--0.0128520000000005</f>
        <v>1469.348452</v>
      </c>
      <c r="R26" s="3">
        <f>1299.4+(243.5-70.5)+(0+(0-0))+0-13.3-0</f>
        <v>1459.1000000000001</v>
      </c>
      <c r="S26" s="3">
        <f>1277.9+(240.9-69.1)+(-1.955187+(-0.368577--0.105723))+0-26.5--0.0405450000000015</f>
        <v>1421.022504</v>
      </c>
      <c r="T26" s="3">
        <f>1281.5+(201.2-93.2)+(-0.653565+(-0.102612--0.047532))+0-27.3--0.0139229999999972</f>
        <v>1361.5052780000001</v>
      </c>
      <c r="U26" s="3">
        <f>1321.4+(181.3-127.6)+(-0.673914+(-0.092463--0.065076))+0-27.1--0.0138209999999973</f>
        <v>1347.3125200000002</v>
      </c>
      <c r="V26" s="3">
        <f>1320.2+(181.2-131.2)+(-2.019906+(-0.277236--0.200736))+0-26.7--0.0408510000000015</f>
        <v>1341.4444450000001</v>
      </c>
      <c r="W26" s="3">
        <f>1218.2+(229.6-100.1)+(-1.863846+(-0.351288--0.153153))+0-27.3--0.0417690000000016</f>
        <v>1318.379788</v>
      </c>
      <c r="X26" s="3">
        <f>1158.5+(262.4-92.2)+(-1.772505+(-0.401472--0.141066))+0-27.6--0.0422280000000016</f>
        <v>1299.1093170000001</v>
      </c>
      <c r="Y26" s="3">
        <f>1285.4+(223.5-125)+(0.655554+(0.113985-0.06375))+0-29.5-0.015044999999997</f>
        <v>1355.0907440000001</v>
      </c>
      <c r="Z26" s="3">
        <f>1605.9+(273.5-134.4)+(-1.638018+(-0.27897--0.137088))+0-29.9--0.0304980000000048</f>
        <v>1713.350598</v>
      </c>
      <c r="AA26" s="3">
        <f>1562.2+(349.8-109.8)+(-0.796722+(-0.178398--0.055998))+0-29.5--0.015044999999997</f>
        <v>1771.7959230000001</v>
      </c>
      <c r="AB26" s="3">
        <f>1499.3+(340.6-137.9)+(-1.529286+(-0.347412--0.140658))+0-30.2--0.0308040000000048</f>
        <v>1670.0947639999999</v>
      </c>
      <c r="AC26" s="3">
        <f>1459+(279.9-193.8)+(-4.46454+(-0.856494--0.593028))+0-30.1--0.0921060000000035</f>
        <v>1510.3641</v>
      </c>
      <c r="AD26">
        <f t="shared" si="0"/>
        <v>31767.882799000003</v>
      </c>
      <c r="AE26" s="3">
        <f>1617.5+(323.2-106.2)+(0+(0-0))+0-31.2-0</f>
        <v>1803.3</v>
      </c>
    </row>
    <row r="27" spans="1:31" s="2" customFormat="1" x14ac:dyDescent="0.25">
      <c r="A27">
        <v>89</v>
      </c>
      <c r="B27">
        <v>1</v>
      </c>
      <c r="C27">
        <v>27</v>
      </c>
      <c r="D27">
        <v>7</v>
      </c>
      <c r="E27">
        <v>1</v>
      </c>
      <c r="F27" s="3">
        <f>1288.9+(262.6-217.9)+(-1.314678+(-0.267852--0.222258))+0-28.7--0.0292740000000046</f>
        <v>1303.5690020000002</v>
      </c>
      <c r="G27" s="3">
        <f>1088+(286.9-217)+(-2.7744+(-0.731595--0.55335))+0-27.8--0.070889999999996</f>
        <v>1127.218245</v>
      </c>
      <c r="H27" s="3">
        <f>1086.4+(266.3-277.9)+(-2.77032+(-0.679065--0.708645))+0-28.1--0.0716549999999959</f>
        <v>1044.0309150000003</v>
      </c>
      <c r="I27" s="3">
        <f>1084.1+(263.2-316.9)+(-1.105782+(-0.268464--0.323238))+0-26.7--0.0272340000000043</f>
        <v>1002.6762259999999</v>
      </c>
      <c r="J27" s="3">
        <f>1031.1+(268.1-283.7)+(0+(0-0))+0-26.7-0</f>
        <v>988.8</v>
      </c>
      <c r="K27" s="3">
        <f>959.3+(280.1-215.9)+(-1.956972+(-0.571404--0.440436))+0-27.6--0.0563039999999988</f>
        <v>993.86836399999993</v>
      </c>
      <c r="L27" s="3">
        <f>959.8+(286.6-230.2)+(-3.426486+(-1.023162--0.821814))+0-27.1--0.0967470000000004</f>
        <v>985.56891300000007</v>
      </c>
      <c r="M27" s="3">
        <f>983.3+(231.2-228.5)+(-2.005932+(-0.471648--0.46614))+0-29.6--0.0603839999999987</f>
        <v>954.44894399999998</v>
      </c>
      <c r="N27" s="3">
        <f>999.8+(237.8-169.4)+(0+(0-0))+0-30.2-0</f>
        <v>1038</v>
      </c>
      <c r="O27" s="3">
        <f>1065.7+(234.5-130)+(1.087014+(0.23919-0.1326))+0-30.3-0.0309060000000048</f>
        <v>1141.0626980000002</v>
      </c>
      <c r="P27" s="3">
        <f>1065.5+(250.6-86)+(0+(0-0))+0-28.1-0</f>
        <v>1202</v>
      </c>
      <c r="Q27" s="3">
        <f>1077.7+(251.1-64.5)+(-1.099254+(-0.256122--0.06579))+0-30.8--0.0314160000000049</f>
        <v>1232.2418299999999</v>
      </c>
      <c r="R27" s="3">
        <f>1079.5+(234.1-65.6)+(-1.10109+(-0.238782--0.066912))+0-29.6--0.0301920000000047</f>
        <v>1217.157232</v>
      </c>
      <c r="S27" s="3">
        <f>1073.9+(217.3-76.8)+(0+(0-0))+0-28.3-0</f>
        <v>1186.1000000000001</v>
      </c>
      <c r="T27" s="3">
        <f>1056.1+(207.8-95.8)+(-2.154444+(-0.423912--0.195432))+0-27.8--0.0567119999999988</f>
        <v>1137.973788</v>
      </c>
      <c r="U27" s="3">
        <f>1003.8+(239.7-97.3)+(-3.583566+(-0.855729--0.347361))+0-28.8--0.102816</f>
        <v>1113.4108819999999</v>
      </c>
      <c r="V27" s="3">
        <f>1017.4+(229-92.4)+(-3.113244+(-0.70074--0.282744))+0-28.1--0.0859860000000033</f>
        <v>1122.4547460000001</v>
      </c>
      <c r="W27" s="3">
        <f>1021+(246.8-97.8)+(-0.52071+(-0.125868--0.049878))+0-28.1--0.0143309999999971</f>
        <v>1141.3176310000001</v>
      </c>
      <c r="X27" s="3">
        <f>1019.1+(265.3-99.5)+(-2.598705+(-0.676515--0.253725))+0-27.6--0.070379999999996</f>
        <v>1154.3488850000001</v>
      </c>
      <c r="Y27" s="3">
        <f>1196.1+(225.5-155.2)+(-1.220022+(-0.23001--0.158304))+0-29.5--0.0300900000000047</f>
        <v>1235.6383619999999</v>
      </c>
      <c r="Z27" s="3">
        <f>1642.5+(234-227.3)+(-1.67535+(-0.23868--0.231846))+0-29--0.0295800000000046</f>
        <v>1618.5473959999999</v>
      </c>
      <c r="AA27" s="3">
        <f>1623.3+(314.6-169.9)+(0+(0-0))+0-29.9-0</f>
        <v>1738.1</v>
      </c>
      <c r="AB27" s="3">
        <f>1450+(351.9-130.7)+(-2.2185+(-0.538407--0.199971))+0-30--0.0459000000000017</f>
        <v>1638.6889640000002</v>
      </c>
      <c r="AC27" s="3">
        <f>1292.9+(321.2-136.7)+(-1.978137+(-0.491436--0.209151))+0-30.3--0.0463590000000018</f>
        <v>1444.885937</v>
      </c>
      <c r="AD27">
        <f t="shared" si="0"/>
        <v>28762.108959999998</v>
      </c>
      <c r="AE27" s="3">
        <f>1715.9+(300.8-192.7)+(0+(0-0))+0-30.4-0</f>
        <v>1793.6</v>
      </c>
    </row>
    <row r="28" spans="1:31" s="2" customFormat="1" x14ac:dyDescent="0.25">
      <c r="A28">
        <v>89</v>
      </c>
      <c r="B28">
        <v>1</v>
      </c>
      <c r="C28">
        <v>28</v>
      </c>
      <c r="D28">
        <v>1</v>
      </c>
      <c r="E28">
        <v>1</v>
      </c>
      <c r="F28" s="3">
        <f>1102.1+(296.6-147)+(-2.810355+(-0.75633--0.37485))+0-28.6--0.0729299999999959</f>
        <v>1219.9810949999999</v>
      </c>
      <c r="G28" s="3">
        <f>945.2+(315.9-158.5)+(-2.892312+(-0.966654--0.48501))+0-27.4--0.0838440000000032</f>
        <v>1071.9098879999999</v>
      </c>
      <c r="H28" s="3">
        <f>956.4+(281.9-186.4)+(-1.951056+(-0.575076--0.380256))+0-27.6--0.0563039999999988</f>
        <v>1022.2104279999998</v>
      </c>
      <c r="I28" s="3">
        <f>955.2+(275-202.7)+(-0.974304+(-0.2805--0.206754))+0-28.2--0.0287640000000045</f>
        <v>998.28071399999988</v>
      </c>
      <c r="J28" s="3">
        <f>929.4+(282.8-194.5)+(-1.421982+(-0.432684--0.297585))+0-28.4--0.0434520000000016</f>
        <v>987.78637100000003</v>
      </c>
      <c r="K28" s="3">
        <f>989.2+(250-205.3)+(-1.008984+(-0.255--0.209406))+0-27.8--0.0283560000000044</f>
        <v>1005.0737780000002</v>
      </c>
      <c r="L28" s="3">
        <f>1009.3+(242.6-177.1)+(-0.514743+(-0.123726--0.090321))+0-27.6--0.0140759999999972</f>
        <v>1046.6659279999999</v>
      </c>
      <c r="M28" s="3">
        <f>1009.7+(249.8-126.2)+(0.514947+(0.127398-0.064362))+0-29.3-0.014942999999997</f>
        <v>1104.56304</v>
      </c>
      <c r="N28" s="3">
        <f>1152.2+(255.7-106.3)+(-0.587622+(-0.130407--0.054213))+0-30.5--0.0155549999999969</f>
        <v>1270.4517389999999</v>
      </c>
      <c r="O28" s="3">
        <f>1421.3+(172.8-145.3)+(0+(0-0))+0-31.5-0</f>
        <v>1417.3</v>
      </c>
      <c r="P28" s="3">
        <f>1522.1+(148.7-161.6)+(-2.328813+(-0.227511--0.247248))+0-31--0.0474300000000018</f>
        <v>1475.9383539999999</v>
      </c>
      <c r="Q28" s="3">
        <f>1801.3+(145.3-391.1)+(-2.755989+(-0.222309--0.598383))+0-30.5--0.0466650000000018</f>
        <v>1522.6667500000001</v>
      </c>
      <c r="R28" s="3">
        <f>1890.2+(156.3-485.7)+(-2.892006+(-0.239139--0.743121))+0-28.5--0.0436050000000016</f>
        <v>1529.9555810000002</v>
      </c>
      <c r="S28" s="3">
        <f>1909.5+(153.5-527.6)+(-4.869225+(-0.391425--1.34538))+0-28.5--0.0726749999999959</f>
        <v>1503.057405</v>
      </c>
      <c r="T28" s="3">
        <f>1831.2+(148.9-500.8)+(-2.801736+(-0.227817--0.766224))+0-28.5--0.0436050000000016</f>
        <v>1448.5802760000001</v>
      </c>
      <c r="U28" s="3">
        <f>1780.3+(144.8-473)+(-0.907953+(-0.073848--0.24123))+0-28.3--0.0144329999999971</f>
        <v>1423.073862</v>
      </c>
      <c r="V28" s="3">
        <f>1838.7+(148.2-513.5)+(-1.875474+(-0.151164--0.52377))+0-28.2--0.0287640000000045</f>
        <v>1443.7258959999999</v>
      </c>
      <c r="W28" s="3">
        <f>1664.5+(154.4-343.3)+(-0.848895+(-0.078744--0.175083))+0-27.7--0.0141269999999972</f>
        <v>1447.1615709999999</v>
      </c>
      <c r="X28" s="3">
        <f>1619.7+(193.1-337.7)+(-2.478141+(-0.295443--0.516681))+0-28.6--0.0437580000000017</f>
        <v>1444.2868550000003</v>
      </c>
      <c r="Y28" s="3">
        <f>1621.7+(201-250.7)+(-0.827067+(-0.10251--0.127857))+0-29.6--0.015095999999997</f>
        <v>1541.6133760000002</v>
      </c>
      <c r="Z28" s="3">
        <f>1817.1+(238.6-178)+(-3.706884+(-0.486744--0.36312))+0-28.9--0.0589559999999987</f>
        <v>1845.0284479999998</v>
      </c>
      <c r="AA28" s="3">
        <f>1789.3+(285-143.9)+(-2.737629+(-0.43605--0.220167))+0-29.3--0.0448290000000017</f>
        <v>1898.1913169999998</v>
      </c>
      <c r="AB28" s="3">
        <f>1355.5+(495.8-67.1)+(-1.38261+(-0.505716--0.068442))+0-30.1--0.0307020000000048</f>
        <v>1752.3108180000002</v>
      </c>
      <c r="AC28" s="3">
        <f>1293.1+(389.1-95.7)+(-1.318962+(-0.396882--0.097614))+0-29.3--0.0298860000000047</f>
        <v>1555.611656</v>
      </c>
      <c r="AD28">
        <f t="shared" si="0"/>
        <v>32975.425146000001</v>
      </c>
      <c r="AE28" s="3">
        <f>1940+(223.9-217.9)+(0+(0-0))+0-24.8-0</f>
        <v>1921.2</v>
      </c>
    </row>
    <row r="29" spans="1:31" s="2" customFormat="1" x14ac:dyDescent="0.25">
      <c r="A29">
        <v>89</v>
      </c>
      <c r="B29">
        <v>1</v>
      </c>
      <c r="C29">
        <v>29</v>
      </c>
      <c r="D29">
        <v>2</v>
      </c>
      <c r="E29">
        <v>1</v>
      </c>
      <c r="F29" s="3">
        <f>1233.2+(284-170)+(-1.886796+(-0.43452--0.2601))+0-28.2--0.0431460000000016</f>
        <v>1316.9819299999999</v>
      </c>
      <c r="G29" s="3">
        <f>1238.2+(238.6-270.5)+(-2.525928+(-0.486744--0.55182))+0-27.6--0.0563039999999988</f>
        <v>1176.2954520000001</v>
      </c>
      <c r="H29" s="3">
        <f>1237.1+(235.3-329.4)+(-0.630921+(-0.120003--0.167994))+0-26.6--0.0135659999999973</f>
        <v>1115.8306360000001</v>
      </c>
      <c r="I29" s="3">
        <f>1238.9+(231.7-348.8)+(-0.631839+(-0.118167--0.177888))+0-27.2--0.0138719999999972</f>
        <v>1094.0417540000001</v>
      </c>
      <c r="J29" s="3">
        <f>1238.3+(231.3-354.2)+(-1.263066+(-0.235926--0.361284))+0-27.1--0.0276420000000043</f>
        <v>1087.1899340000002</v>
      </c>
      <c r="K29" s="3">
        <f>1238+(234.1-342)+(-3.1569+(-0.596955--0.8721))+0-27.4--0.069869999999996</f>
        <v>1099.8881149999997</v>
      </c>
      <c r="L29" s="3">
        <f>1239.3+(238.5-303.6)+(-0.632043+(-0.121635--0.154836))+0-28.5--0.0145349999999971</f>
        <v>1145.1156929999997</v>
      </c>
      <c r="M29" s="3">
        <f>1287.6+(214.8-253.6)+(-1.313352+(-0.219096--0.258672))+0-29.3--0.0298860000000047</f>
        <v>1218.25611</v>
      </c>
      <c r="N29" s="3">
        <f>1432.5+(211.4-235.6)+(-2.191725+(-0.323442--0.360468))+0-30.6--0.0468180000000018</f>
        <v>1375.5921190000001</v>
      </c>
      <c r="O29" s="3">
        <f>1497.5+(219.7-194.9)+(0+(0-0))+0-30.7-0</f>
        <v>1491.6</v>
      </c>
      <c r="P29" s="3">
        <f>1572.4+(197.7-200.1)+(0+(0-0))+0-30.2-0</f>
        <v>1539.8</v>
      </c>
      <c r="Q29" s="3">
        <f>1635.5+(207.7-217.7)+(-1.66821+(-0.211854--0.222054))+0-30.2--0.0308040000000048</f>
        <v>1593.6727939999998</v>
      </c>
      <c r="R29" s="3">
        <f>1633.2+(195.2-228.7)+(-2.498796+(-0.298656--0.349911))+0-28.5--0.0436050000000016</f>
        <v>1568.7960640000001</v>
      </c>
      <c r="S29" s="3">
        <f>1635.7+(186.6-249.7)+(-0.834207+(-0.095166--0.127347))+0-27.8--0.0141779999999972</f>
        <v>1544.012152</v>
      </c>
      <c r="T29" s="3">
        <f>1634.7+(185.5-304.7)+(0.833697+(0.094605-0.155397))+0-28.7-0.0146369999999971</f>
        <v>1487.558268</v>
      </c>
      <c r="U29" s="3">
        <f>1620.4+(176.8-278.1)+(-3.305616+(-0.360672--0.567324))+0-29--0.0591599999999987</f>
        <v>1487.0601960000001</v>
      </c>
      <c r="V29" s="3">
        <f>1516.2+(162.9-180.6)+(-0.773262+(-0.083079--0.092106))+0-28.3--0.0144329999999971</f>
        <v>1469.450198</v>
      </c>
      <c r="W29" s="3">
        <f>1508.7+(141.7-146.4)+(-2.308311+(-0.216801--0.223992))+0-28.4--0.0434520000000016</f>
        <v>1473.3423319999997</v>
      </c>
      <c r="X29" s="3">
        <f>1608.1+(158.7-223.6)+(-2.460393+(-0.242811--0.342108))+0-28.8--0.0440640000000017</f>
        <v>1512.0829679999997</v>
      </c>
      <c r="Y29" s="3">
        <f>1646.2+(179.1-184.4)+(-1.679124+(-0.182682--0.188088))+0-29.2--0.0297840000000047</f>
        <v>1610.0560660000001</v>
      </c>
      <c r="Z29" s="3">
        <f>1649.7+(323.7-90)+(-3.365388+(-0.660348--0.1836))+0-30.1--0.0614039999999987</f>
        <v>1849.5192680000002</v>
      </c>
      <c r="AA29" s="3">
        <f>1567.1+(413.2-78.2)+(-3.996105+(-1.05366--0.19941))+0-30.4--0.0775199999999956</f>
        <v>1866.9271649999998</v>
      </c>
      <c r="AB29" s="3">
        <f>1330.9+(499.9-77.6)+(-0.678759+(-0.254949--0.039576))+0-31--0.0158099999999969</f>
        <v>1721.3216780000002</v>
      </c>
      <c r="AC29" s="3">
        <f>1277.4+(359.1-99.9)+(-1.302948+(-0.366282--0.101898))+0-30.4--0.0310080000000048</f>
        <v>1504.6636759999999</v>
      </c>
      <c r="AD29">
        <f t="shared" si="0"/>
        <v>34349.054567999992</v>
      </c>
      <c r="AE29" s="3">
        <f>1647.5+(353.1-79.9)+(0+(0-0))+0-32-0</f>
        <v>1888.7</v>
      </c>
    </row>
    <row r="30" spans="1:31" s="2" customFormat="1" x14ac:dyDescent="0.25">
      <c r="A30">
        <v>89</v>
      </c>
      <c r="B30">
        <v>1</v>
      </c>
      <c r="C30">
        <v>30</v>
      </c>
      <c r="D30">
        <v>3</v>
      </c>
      <c r="E30">
        <v>1</v>
      </c>
      <c r="F30" s="3">
        <f>1259.8+(245-186.5)+(-1.927494+(-0.37485--0.285345))+0-29.2--0.0446760000000017</f>
        <v>1287.1276769999999</v>
      </c>
      <c r="G30" s="3">
        <f>1250.2+(237.1-302.3)+(-2.550408+(-0.483684--0.616692))+0-28.6--0.0583439999999988</f>
        <v>1154.0409440000001</v>
      </c>
      <c r="H30" s="3">
        <f>1256.2+(241.8-368.2)+(0+(0-0))+0-28.2-0</f>
        <v>1101.6000000000001</v>
      </c>
      <c r="I30" s="3">
        <f>1254.3+(239.5-391.9)+(-2.558772+(-0.48858--0.799476))+0-27.4--0.0558959999999988</f>
        <v>1072.3080200000002</v>
      </c>
      <c r="J30" s="3">
        <f>1253.8+(230.4-390.1)+(-1.278876+(-0.235008--0.397902))+0-28.4--0.0289680000000045</f>
        <v>1064.6129859999999</v>
      </c>
      <c r="K30" s="3">
        <f>1254+(249.6-412.7)+(-1.91862+(-0.381888--0.631431))+0-25.7--0.0393210000000015</f>
        <v>1063.570244</v>
      </c>
      <c r="L30" s="3">
        <f>1270.6+(216.3-346.6)+(-1.296012+(-0.220626--0.353532))+0-27.8--0.0283560000000044</f>
        <v>1111.3652500000001</v>
      </c>
      <c r="M30" s="3">
        <f>1305.3+(169.5-267.8)+(-0.665703+(-0.086445--0.136578))+0-28.3--0.0144329999999971</f>
        <v>1178.0988630000002</v>
      </c>
      <c r="N30" s="3">
        <f>1319.7+(168.2-123)+(0+(0-0))+0-30.4-0</f>
        <v>1334.5</v>
      </c>
      <c r="O30" s="3">
        <f>1384.4+(195.6-84.9)+(0.706044+(0.099756-0.043299))+0-30.7-0.0156569999999969</f>
        <v>1465.1468440000001</v>
      </c>
      <c r="P30" s="3">
        <f>1380.6+(225.8-79.5)+(0+(0-0))+0-30.7-0</f>
        <v>1496.1999999999998</v>
      </c>
      <c r="Q30" s="3">
        <f>1375.2+(255.7-62.6)+(-0.701352+(-0.130407--0.031926))+0-30.5--0.0155549999999969</f>
        <v>1537.0157219999999</v>
      </c>
      <c r="R30" s="3">
        <f>1389.8+(257.9-78.7)+(1.417596+(0.263058-0.080274))+0-29.8-0.0303960000000048</f>
        <v>1540.769984</v>
      </c>
      <c r="S30" s="3">
        <f>1389.7+(241.4-93.1)+(0.708747+(0.123114-0.047481))+0-28.3-0.0144329999999971</f>
        <v>1510.469947</v>
      </c>
      <c r="T30" s="3">
        <f>1388.6+(231-130.6)+(-0.708186+(-0.11781--0.066606))+0-29.1--0.014840999999997</f>
        <v>1459.1554510000001</v>
      </c>
      <c r="U30" s="3">
        <f>1395.3+(224.8-129.5)+(-3.558015+(-0.57324--0.330225))+0-30.4--0.0775199999999956</f>
        <v>1456.4764899999998</v>
      </c>
      <c r="V30" s="3">
        <f>1286.2+(283.2-76)+(-1.311924+(-0.288864--0.07752))+0-29.9--0.0304980000000048</f>
        <v>1462.0072300000002</v>
      </c>
      <c r="W30" s="3">
        <f>1282.7+(311.6-80.9)+(-3.270885+(-0.79458--0.206295))+0-30--0.0764999999999956</f>
        <v>1479.61733</v>
      </c>
      <c r="X30" s="3">
        <f>1367.1+(282.4-105.5)+(-3.486105+(-0.72012--0.269025))+0-28.3--0.0721649999999959</f>
        <v>1511.834965</v>
      </c>
      <c r="Y30" s="3">
        <f>1547.3+(272.8-186.6)+(-2.367369+(-0.417384--0.285498))+0-29.1--0.0445230000000017</f>
        <v>1601.9452680000002</v>
      </c>
      <c r="Z30" s="3">
        <f>1670.6+(339.9-132.5)+(-3.408024+(-0.693396--0.2703))+0-29.6--0.0603839999999987</f>
        <v>1844.6292639999999</v>
      </c>
      <c r="AA30" s="3">
        <f>1543.6+(423.7-100.6)+(-4.723416+(-1.296522--0.307836))+0-29.9--0.0914940000000034</f>
        <v>1831.1793919999998</v>
      </c>
      <c r="AB30" s="3">
        <f>1396.3+(439.4-87.5)+(-3.560565+(-1.12047--0.223125))+0-29.8--0.0759899999999957</f>
        <v>1714.0180799999998</v>
      </c>
      <c r="AC30" s="3">
        <f>1303.7+(358.1-112.6)+(-3.989322+(-1.095786--0.344556))+0-29.6--0.0905760000000034</f>
        <v>1514.9500240000002</v>
      </c>
      <c r="AD30">
        <f t="shared" si="0"/>
        <v>33792.639974999998</v>
      </c>
      <c r="AE30" s="3">
        <f>1693+(377-115.8)+(0+(0-0))+0-28.4-0</f>
        <v>1925.8</v>
      </c>
    </row>
    <row r="31" spans="1:31" s="2" customFormat="1" x14ac:dyDescent="0.25">
      <c r="A31">
        <v>89</v>
      </c>
      <c r="B31">
        <v>1</v>
      </c>
      <c r="C31">
        <v>31</v>
      </c>
      <c r="D31">
        <v>4</v>
      </c>
      <c r="E31">
        <v>1</v>
      </c>
      <c r="F31" s="3">
        <f>1267.9+(298.9-235.3)+(-3.879774+(-0.914634--0.720018))+0-28.4--0.0869040000000033</f>
        <v>1299.1125139999999</v>
      </c>
      <c r="G31" s="3">
        <f>1262.4+(274.7-359.2)+(-3.862944+(-0.840582--1.099152))+0-28.5--0.0872100000000033</f>
        <v>1145.882836</v>
      </c>
      <c r="H31" s="3">
        <f>1262.3+(262.6-419.6)+(-0.643773+(-0.133926--0.213996))+0-28.1--0.0143309999999971</f>
        <v>1076.6506280000001</v>
      </c>
      <c r="I31" s="3">
        <f>1262.8+(251.4-428)+(-1.288056+(-0.256428--0.43656))+0-27.8--0.0283560000000044</f>
        <v>1057.3204320000002</v>
      </c>
      <c r="J31" s="3">
        <f>1262+(250.4-436.3)+(0+(0-0))+0-27.6-0</f>
        <v>1048.5</v>
      </c>
      <c r="K31" s="3">
        <f>1263+(251.9-417.7)+(-0.64413+(-0.128469--0.213027))+0-27.4--0.0139739999999972</f>
        <v>1069.254402</v>
      </c>
      <c r="L31" s="3">
        <f>1262.5+(253.6-395.5)+(-1.28775+(-0.258672--0.40341))+0-28--0.0285600000000045</f>
        <v>1091.4855479999999</v>
      </c>
      <c r="M31" s="3">
        <f>1334.8+(245.4-406.9)+(-1.361496+(-0.250308--0.415038))+0-28.3--0.0288660000000045</f>
        <v>1143.8321000000001</v>
      </c>
      <c r="N31" s="3">
        <f>1392.7+(233.6-293.5)+(-2.130831+(-0.357408--0.449055))+0-29.4--0.0449820000000017</f>
        <v>1301.4057979999998</v>
      </c>
      <c r="O31" s="3">
        <f>1401.6+(256.2-201.5)+(-2.144448+(-0.391986--0.308295))+0-30.2--0.0462060000000017</f>
        <v>1423.9180669999998</v>
      </c>
      <c r="P31" s="3">
        <f>1401.3+(278.8-144.1)+(0+(0-0))+0-30.4-0</f>
        <v>1505.6</v>
      </c>
      <c r="Q31" s="3">
        <f>1405.4+(288.8-137.1)+(0.716754+(0.147288-0.069921))+0-30.8-0.0157079999999969</f>
        <v>1527.0784130000002</v>
      </c>
      <c r="R31" s="3">
        <f>1404.1+(273.1-132.2)+(-0.716091+(-0.139281--0.067422))+0-28.9--0.0147389999999971</f>
        <v>1515.326789</v>
      </c>
      <c r="S31" s="3">
        <f>1403.4+(267.3-146.2)+(-0.715734+(-0.136323--0.074562))+0-28.7--0.0146369999999971</f>
        <v>1495.0371419999999</v>
      </c>
      <c r="T31" s="3">
        <f>1413.7+(258.4-201.7)+(0+(0-0))+0-29.1-0</f>
        <v>1441.3000000000002</v>
      </c>
      <c r="U31" s="3">
        <f>1419.8+(259-207.3)+(-2.172294+(-0.39627--0.317169))+0-30.4--0.0465120000000018</f>
        <v>1438.8951169999998</v>
      </c>
      <c r="V31" s="3">
        <f>1417.9+(250.1-200.8)+(-2.169387+(-0.382653--0.307224))+0-30--0.0459000000000017</f>
        <v>1435.0010840000002</v>
      </c>
      <c r="W31" s="3">
        <f>1418.4+(250.5-214.9)+(-3.61692+(-0.638775--0.547995))+0-29.5--0.0752249999999957</f>
        <v>1420.8675250000001</v>
      </c>
      <c r="X31" s="3">
        <f>1434.6+(246.5-254.6)+(-2.926584+(-0.50286--0.519384))+0-28.4--0.0579359999999988</f>
        <v>1395.2478759999999</v>
      </c>
      <c r="Y31" s="3">
        <f>1745+(234.3-508.3)+(-1.7799+(-0.238986--0.518466))+0-28.7--0.0292740000000046</f>
        <v>1440.8288539999999</v>
      </c>
      <c r="Z31" s="3">
        <f>2143.8+(233.7-540.3)+(-3.280014+(-0.357561--0.826659))+0-29.3--0.0448290000000017</f>
        <v>1805.1339130000003</v>
      </c>
      <c r="AA31" s="3">
        <f>2221.1+(251.1-547.1)+(-1.132761+(-0.128061--0.279021))+0-29.1--0.014840999999997</f>
        <v>1895.03304</v>
      </c>
      <c r="AB31" s="3">
        <f>2160.9+(244.8-566.8)+(-5.510295+(-0.62424--1.44534))+0-29.8--0.0759899999999957</f>
        <v>1804.4867950000003</v>
      </c>
      <c r="AC31" s="3">
        <f>1584.2+(273.4-240)+(-3.231768+(-0.557736--0.4896))+0-29.5--0.0601799999999987</f>
        <v>1584.8602759999999</v>
      </c>
      <c r="AD31">
        <f t="shared" si="0"/>
        <v>33362.059149000008</v>
      </c>
      <c r="AE31" s="3">
        <f>2220.6+(228.1-504.6)+(0+(0-0))+0-31.6-0</f>
        <v>1912.5</v>
      </c>
    </row>
    <row r="32" spans="1:31" s="2" customFormat="1" x14ac:dyDescent="0.25">
      <c r="A32">
        <v>89</v>
      </c>
      <c r="B32">
        <v>2</v>
      </c>
      <c r="C32">
        <v>1</v>
      </c>
      <c r="D32">
        <v>5</v>
      </c>
      <c r="E32">
        <v>1</v>
      </c>
      <c r="F32" s="3">
        <f>1259.5+(303.4-202.7)+(-1.28469+(-0.309468--0.206754))+0-29.5--0.0300900000000047</f>
        <v>1329.342686</v>
      </c>
      <c r="G32" s="3">
        <f>1254.7+(282-322)+(-3.199485+(-0.7191--0.8211))+0-30.2--0.0770099999999956</f>
        <v>1181.479525</v>
      </c>
      <c r="H32" s="3">
        <f>1253.4+(268.5-376)+(0+(0-0))+0-28.9-0</f>
        <v>1117</v>
      </c>
      <c r="I32" s="3">
        <f>1255.7+(263.3-398.5)+(-1.921221+(-0.402849--0.609705))+0-27.9--0.0426870000000016</f>
        <v>1090.928322</v>
      </c>
      <c r="J32" s="3">
        <f>1255.3+(249.5-395.6)+(-1.920609+(-0.381735--0.605268))+0-27.5--0.0420750000000016</f>
        <v>1080.044999</v>
      </c>
      <c r="K32" s="3">
        <f>1254.3+(253.3-377.7)+(-2.558772+(-0.516732--0.770508))+0-28.4--0.0579359999999988</f>
        <v>1099.2529399999999</v>
      </c>
      <c r="L32" s="3">
        <f>1255.3+(252.9-355.2)+(-1.920609+(-0.386937--0.543456))+0-28.2--0.0431460000000016</f>
        <v>1123.079056</v>
      </c>
      <c r="M32" s="3">
        <f>1259.2+(261.4-309.9)+(0+(0-0))+0-27-0</f>
        <v>1183.7</v>
      </c>
      <c r="N32" s="3">
        <f>1274.5+(289.6-210.8)+(1.29999+(0.295392-0.215016))+0-28-0.0285600000000045</f>
        <v>1326.6518060000001</v>
      </c>
      <c r="O32" s="3">
        <f>1275.4+(326.4-123.8)+(2.601816+(0.665856-0.252552))+0-25.7-0.0524279999999989</f>
        <v>1455.262692</v>
      </c>
      <c r="P32" s="3">
        <f>1332.5+(322.3-120.5)+(-0.679575+(-0.164373--0.061455))+0-27.9--0.0142289999999972</f>
        <v>1505.6317359999998</v>
      </c>
      <c r="Q32" s="3">
        <f>1405.5+(289.6-133)+(2.150415+(0.443088-0.20349))+0-28.1-0.0429930000000016</f>
        <v>1536.3470199999999</v>
      </c>
      <c r="R32" s="3">
        <f>1419.5+(295.4-154.9)+(0.723945+(0.150654-0.078999))+0-28.1-0.0143309999999971</f>
        <v>1532.6812689999999</v>
      </c>
      <c r="S32" s="3">
        <f>1585.2+(266.2-292.4)+(-3.233808+(-0.543048--0.596496))+0-28.2--0.0575279999999988</f>
        <v>1527.6771679999999</v>
      </c>
      <c r="T32" s="3">
        <f>1613+(259.6-360.7)+(-0.82263+(-0.132396--0.183957))+0-28.9--0.0147389999999971</f>
        <v>1482.2436700000001</v>
      </c>
      <c r="U32" s="3">
        <f>1643.8+(222.6-352.1)+(-0.838338+(-0.113526--0.179571))+0-28.8--0.0146879999999971</f>
        <v>1484.742395</v>
      </c>
      <c r="V32" s="3">
        <f>1639.9+(198.6-321)+(-4.181745+(-0.50643--0.81855))+0-28.5--0.0726749999999959</f>
        <v>1485.2030499999998</v>
      </c>
      <c r="W32" s="3">
        <f>1645+(189.8-315.5)+(-2.51685+(-0.290394--0.482715))+0-28.8--0.0440640000000017</f>
        <v>1488.219535</v>
      </c>
      <c r="X32" s="3">
        <f>1639.8+(196.4-299.3)+(-5.017788+(-0.600984--0.915858))+0-28.3--0.0865980000000033</f>
        <v>1503.983684</v>
      </c>
      <c r="Y32" s="3">
        <f>1753.7+(169.6-303.4)+(-0.894387+(-0.086496--0.154734))+0-28.3--0.0144329999999971</f>
        <v>1590.7882840000002</v>
      </c>
      <c r="Z32" s="3">
        <f>1895.9+(239.3-254.2)+(-3.867636+(-0.488172--0.518568))+0-28.9--0.0589559999999987</f>
        <v>1848.3217159999999</v>
      </c>
      <c r="AA32" s="3">
        <f>1842.2+(261.6-196)+(-5.637132+(-0.800496--0.59976))+0-28.9--0.0884340000000033</f>
        <v>1873.150566</v>
      </c>
      <c r="AB32" s="3">
        <f>1810.9+(220.9-239.9)+(-2.770677+(-0.337977--0.367047))+0-28.2--0.0431460000000016</f>
        <v>1761.0015390000001</v>
      </c>
      <c r="AC32" s="3">
        <f>1409.6+(317.2-148)+(-1.437792+(-0.323544--0.15096))+0-28.7--0.0292740000000046</f>
        <v>1548.5188979999998</v>
      </c>
      <c r="AD32">
        <f t="shared" si="0"/>
        <v>34155.252555999999</v>
      </c>
      <c r="AE32" s="3">
        <f>1920.5+(273-247.5)+(0+(0-0))+0-28-0</f>
        <v>1918</v>
      </c>
    </row>
    <row r="33" spans="1:31" s="2" customFormat="1" x14ac:dyDescent="0.25">
      <c r="A33">
        <v>89</v>
      </c>
      <c r="B33">
        <v>2</v>
      </c>
      <c r="C33">
        <v>2</v>
      </c>
      <c r="D33">
        <v>6</v>
      </c>
      <c r="E33">
        <v>1</v>
      </c>
      <c r="F33" s="3">
        <f>1243.3+(290.4-178.2)+(-1.268166+(-0.296208--0.181764))+0-28.1--0.0286620000000045</f>
        <v>1326.0460519999999</v>
      </c>
      <c r="G33" s="3">
        <f>1205.1+(254.9-244.3)+(0+(0-0))+0-27.8-0</f>
        <v>1187.8999999999999</v>
      </c>
      <c r="H33" s="3">
        <f>1171.2+(248.4-272.8)+(-1.791936+(-0.380052--0.417384))+0-28.9--0.0442170000000017</f>
        <v>1116.1896129999998</v>
      </c>
      <c r="I33" s="3">
        <f>1156.3+(255.2-287)+(-2.948565+(-0.65076--0.73185))+0-28.6--0.0729299999999959</f>
        <v>1093.1054550000001</v>
      </c>
      <c r="J33" s="3">
        <f>1155.9+(257.4-293)+(0.589509+(0.131274-0.14943))+0-28.2-0.0143819999999971</f>
        <v>1092.6569710000001</v>
      </c>
      <c r="K33" s="3">
        <f>1158.7+(260.9-288.4)+(0+(0-0))+0-27.9-0</f>
        <v>1103.3</v>
      </c>
      <c r="L33" s="3">
        <f>1164.7+(270-264.3)+(-1.781991+(-0.4131--0.404379))+0-28.1--0.0429930000000016</f>
        <v>1140.5522810000002</v>
      </c>
      <c r="M33" s="3">
        <f>1180.5+(264.6-212.5)+(-0.602055+(-0.134946--0.108375))+0-28--0.0142799999999972</f>
        <v>1203.9856540000001</v>
      </c>
      <c r="N33" s="3">
        <f>1269.4+(271.1-164.3)+(0+(0-0))+0-28-0</f>
        <v>1348.2</v>
      </c>
      <c r="O33" s="3">
        <f>1335.1+(303.8-131.6)+(-1.361802+(-0.309876--0.134232))+0-28.8--0.0293760000000046</f>
        <v>1476.9919299999999</v>
      </c>
      <c r="P33" s="3">
        <f>1476.9+(271.2-163.5)+(-1.506438+(-0.276624--0.16677))+0-28.9--0.0294780000000046</f>
        <v>1554.113186</v>
      </c>
      <c r="Q33" s="3">
        <f>1580+(242.4-198.5)+(-0.8058+(-0.123624--0.101235))+0-28.9--0.0147389999999971</f>
        <v>1594.1865499999999</v>
      </c>
      <c r="R33" s="3">
        <f>1717+(217.9-314.4)+(-0.87567+(-0.111129--0.160344))+0-28--0.0142799999999972</f>
        <v>1591.6878250000002</v>
      </c>
      <c r="S33" s="3">
        <f>1767+(205.7-368.4)+(-0.90117+(-0.104907--0.187884))+0-28--0.0142799999999972</f>
        <v>1575.496087</v>
      </c>
      <c r="T33" s="3">
        <f>1825+(185.2-463.2)+(-0.93075+(-0.094452--0.236232))+0-28.8--0.0146879999999971</f>
        <v>1517.425718</v>
      </c>
      <c r="U33" s="3">
        <f>1908.5+(153.8-538.2)+(-0.973335+(-0.078438--0.274482))+0-29.7--0.015146999999997</f>
        <v>1493.6378559999998</v>
      </c>
      <c r="V33" s="3">
        <f>1953.3+(82.8-510.8)+(-3.984732+(-0.168912--1.042032))+0-30.6--0.0624239999999987</f>
        <v>1491.6508120000001</v>
      </c>
      <c r="W33" s="3">
        <f>1823.4+(88.9-386.1)+(-5.579604+(-0.272034--1.181466))+0-30.5--0.0933300000000035</f>
        <v>1491.1231579999999</v>
      </c>
      <c r="X33" s="3">
        <f>1572.9+(149.8-213)+(-1.604358+(-0.152796--0.21726))+0-28.8--0.0293760000000046</f>
        <v>1479.389482</v>
      </c>
      <c r="Y33" s="3">
        <f>1631.6+(182-251.2)+(-0.832116+(-0.09282--0.128112))+0-28.9--0.0147389999999971</f>
        <v>1532.7179149999997</v>
      </c>
      <c r="Z33" s="3">
        <f>2076.2+(170.7-416.4)+(-2.117724+(-0.174114--0.424728))+0-30.5--0.0311100000000049</f>
        <v>1798.1639999999998</v>
      </c>
      <c r="AA33" s="3">
        <f>2052.2+(183.6-384.5)+(-1.046622+(-0.093636--0.196095))+0-29.7--0.015146999999997</f>
        <v>1820.6709839999999</v>
      </c>
      <c r="AB33" s="3">
        <f>2038.4+(179.6-460)+(1.039584+(0.091596-0.2346))+0-30-0.015299999999997</f>
        <v>1728.8812800000001</v>
      </c>
      <c r="AC33" s="3">
        <f>2002.2+(188.5-602.1)+(0+(0-0))+0-30.3-0</f>
        <v>1558.3</v>
      </c>
      <c r="AD33">
        <f t="shared" si="0"/>
        <v>34316.372809</v>
      </c>
      <c r="AE33" s="3">
        <f>2097.6+(170-385.8)+(0+(0-0))+0-31.2-0</f>
        <v>1850.6</v>
      </c>
    </row>
    <row r="34" spans="1:31" s="2" customFormat="1" x14ac:dyDescent="0.25">
      <c r="A34">
        <v>89</v>
      </c>
      <c r="B34">
        <v>2</v>
      </c>
      <c r="C34">
        <v>3</v>
      </c>
      <c r="D34">
        <v>7</v>
      </c>
      <c r="E34">
        <v>1</v>
      </c>
      <c r="F34" s="3">
        <f>1404.6+(265.1-243.5)+(0.716346+(0.135201-0.124185))+0-28.7-0.0146369999999971</f>
        <v>1398.2127249999999</v>
      </c>
      <c r="G34" s="3">
        <f>896.7+(409.8-128.5)+(-0.457317+(-0.208998--0.065535))+0-29.4--0.014993999999997</f>
        <v>1148.0142139999998</v>
      </c>
      <c r="H34" s="3">
        <f>742.4+(445.5-116.3)+(-0.378624+(-0.227205--0.059313))+0-28.8--0.0146879999999971</f>
        <v>1042.2681719999998</v>
      </c>
      <c r="I34" s="3">
        <f>742.6+(418.3-121.5)+(0+(0-0))+0-28.4-0</f>
        <v>1011.0000000000001</v>
      </c>
      <c r="J34" s="3">
        <f>743.2+(414.9-126.8)+(-1.516128+(-0.846396--0.258672))+0-28.3--0.0577319999999988</f>
        <v>1000.95388</v>
      </c>
      <c r="K34" s="3">
        <f>742.4+(418.4-126.9)+(-1.135872+(-0.640152--0.194157))+0-28.1--0.0429930000000016</f>
        <v>1004.261126</v>
      </c>
      <c r="L34" s="3">
        <f>738.3+(417.5-126.6)+(-2.259198+(-1.27755--0.387396))+0-28.3--0.0865980000000033</f>
        <v>997.83724599999994</v>
      </c>
      <c r="M34" s="3">
        <f>741.8+(380.5-118.8)+(-1.134954+(-0.582165--0.181764))+0-25.8--0.0394740000000015</f>
        <v>976.20411900000011</v>
      </c>
      <c r="N34" s="3">
        <f>742+(436.6-96.6)+(-0.37842+(-0.222666--0.049266))+0-29.8--0.015197999999997</f>
        <v>1051.6633780000002</v>
      </c>
      <c r="O34" s="3">
        <f>740.8+(515.9-75.2)+(0.755616+(0.526218-0.076704))+0-30.9-0.0315180000000049</f>
        <v>1151.773612</v>
      </c>
      <c r="P34" s="3">
        <f>830.8+(512.5-71.4)+(-1.271124+(-0.784125--0.109242))+0-30.2--0.0462060000000017</f>
        <v>1239.800199</v>
      </c>
      <c r="Q34" s="3">
        <f>939.6+(474.4-75.2)+(-0.958392+(-0.483888--0.076704))+0-29.7--0.0302940000000047</f>
        <v>1307.7647179999999</v>
      </c>
      <c r="R34" s="3">
        <f>984.1+(430.8-73.1)+(-1.003782+(-0.439416--0.074562))+0-28.3--0.0288660000000045</f>
        <v>1312.1602300000004</v>
      </c>
      <c r="S34" s="3">
        <f>1004.9+(386.1-80.9)+(0.512499+(0.196911-0.041259))+0-28.7-0.0146369999999971</f>
        <v>1282.053514</v>
      </c>
      <c r="T34" s="3">
        <f>1000.4+(346-90.9)+(-2.55102+(-0.8823--0.231795))+0-30.3--0.0772649999999956</f>
        <v>1222.07574</v>
      </c>
      <c r="U34" s="3">
        <f>906+(398.4-85.9)+(-1.84824+(-0.812736--0.175236))+0-31.1--0.0634439999999986</f>
        <v>1184.9777039999999</v>
      </c>
      <c r="V34" s="3">
        <f>897.7+(394.6-73.6)+(-0.915654+(-0.402492--0.075072))+0-30.8--0.0314160000000049</f>
        <v>1186.6883420000001</v>
      </c>
      <c r="W34" s="3">
        <f>929.1+(386.9-80.2)+(-2.369205+(-0.986595--0.20451))+0-30.5--0.0777749999999956</f>
        <v>1202.2264849999999</v>
      </c>
      <c r="X34" s="3">
        <f>962.3+(388.3-78.6)+(-0.490773+(-0.198033--0.040086))+0-29--0.0147899999999971</f>
        <v>1242.36607</v>
      </c>
      <c r="Y34" s="3">
        <f>1061+(388.6-78.8)+(-2.16444+(-0.792744--0.160752))+0-29--0.0591599999999987</f>
        <v>1339.0627279999999</v>
      </c>
      <c r="Z34" s="3">
        <f>1112+(576.9-76.6)+(-2.8356+(-1.471095--0.19533))+0-29.3--0.0747149999999958</f>
        <v>1578.96335</v>
      </c>
      <c r="AA34" s="3">
        <f>1047.2+(687.9-83)+(-1.068144+(-0.701658--0.08466))+0-29--0.0295800000000046</f>
        <v>1621.4444379999998</v>
      </c>
      <c r="AB34" s="3">
        <f>951.6+(703.3-85.9)+(-0.970632+(-0.717366--0.087618))+0-30--0.0306000000000048</f>
        <v>1537.43022</v>
      </c>
      <c r="AC34" s="3">
        <f>943.5+(533.9-89.5)+(-0.96237+(-0.544578--0.09129))+0-29.3--0.0298860000000047</f>
        <v>1357.2142280000003</v>
      </c>
      <c r="AD34">
        <f t="shared" si="0"/>
        <v>29396.416438</v>
      </c>
      <c r="AE34" s="3">
        <f>1113.9+(639.5-83.7)+(0+(0-0))+0-30.4-0</f>
        <v>1639.3</v>
      </c>
    </row>
    <row r="35" spans="1:31" s="2" customFormat="1" x14ac:dyDescent="0.25">
      <c r="A35">
        <v>89</v>
      </c>
      <c r="B35">
        <v>2</v>
      </c>
      <c r="C35">
        <v>4</v>
      </c>
      <c r="D35">
        <v>1</v>
      </c>
      <c r="E35">
        <v>1</v>
      </c>
      <c r="F35" s="3">
        <f>805.1+(472-108.6)+(-1.642404+(-0.96288--0.221544))+0-28.6--0.0583439999999988</f>
        <v>1137.5746040000001</v>
      </c>
      <c r="G35" s="3">
        <f>820.6+(372.4-164.2)+(0.418506+(0.189924-0.083742))+0-28.7-0.0146369999999971</f>
        <v>1000.6100509999999</v>
      </c>
      <c r="H35" s="3">
        <f>823.8+(344.1-192.2)+(0+(0-0))+0-27.8-0</f>
        <v>947.90000000000009</v>
      </c>
      <c r="I35" s="3">
        <f>818.4+(328.2-185.4)+(-1.669536+(-0.669528--0.378216))+0-28.2--0.0575279999999988</f>
        <v>931.09667999999988</v>
      </c>
      <c r="J35" s="3">
        <f>817.4+(316.3-179)+(0.416874+(0.161313-0.09129))+0-27.5-0.0140249999999972</f>
        <v>927.6728720000001</v>
      </c>
      <c r="K35" s="3">
        <f>816.9+(326.6-179.2)+(0+(0-0))+0-27.3-0</f>
        <v>937</v>
      </c>
      <c r="L35" s="3">
        <f>817.1+(342.7-156)+(-2.083605+(-0.873885--0.3978))+0-28.3--0.0721649999999959</f>
        <v>973.01247499999999</v>
      </c>
      <c r="M35" s="3">
        <f>818.3+(374.7-124.1)+(-0.417333+(-0.191097--0.063291))+0-28.5--0.0145349999999971</f>
        <v>1039.8693959999998</v>
      </c>
      <c r="N35" s="3">
        <f>831.5+(450.5-61.9)+(0.84813+(0.45951-0.063138))+0-29.4-0.0299880000000047</f>
        <v>1191.9145139999998</v>
      </c>
      <c r="O35" s="3">
        <f>838.3+(569.9-52)+(-1.282599+(-0.871947--0.07956))+0-29.2--0.0446760000000017</f>
        <v>1324.9696899999997</v>
      </c>
      <c r="P35" s="3">
        <f>841.6+(659.2-64.7)+(-0.858432+(-0.672384--0.065994))+0-27.5--0.0280500000000044</f>
        <v>1407.1632279999999</v>
      </c>
      <c r="Q35" s="3">
        <f>879.6+(686.2-62.2)+(0.448596+(0.349962-0.031722))+0-28-0.0142799999999972</f>
        <v>1476.3525559999998</v>
      </c>
      <c r="R35" s="3">
        <f>964.4+(595.8-62)+(-0.983688+(-0.607716--0.06324))+0-27.9--0.0284580000000044</f>
        <v>1468.8002939999997</v>
      </c>
      <c r="S35" s="3">
        <f>1030.8+(499.7-63)+(-2.102832+(-1.019388--0.12852))+0-27.9--0.0569159999999988</f>
        <v>1436.6632159999999</v>
      </c>
      <c r="T35" s="3">
        <f>1172.5+(324.1-99.8)+(-1.19595+(-0.330582--0.101796))+0-28.5--0.0290700000000045</f>
        <v>1366.9043340000001</v>
      </c>
      <c r="U35" s="3">
        <f>1188.9+(307.8-118.9)+(-1.819017+(-0.470934--0.181917))+0-30.1--0.0460530000000017</f>
        <v>1345.6380190000002</v>
      </c>
      <c r="V35" s="3">
        <f>1223.2+(297.6-146.6)+(-0.623832+(-0.151776--0.074766))+0-29.9--0.015248999999997</f>
        <v>1343.614407</v>
      </c>
      <c r="W35" s="3">
        <f>1299.2+(259-165.7)+(-2.650368+(-0.52836--0.338028))+0-28.2--0.0575279999999988</f>
        <v>1361.516828</v>
      </c>
      <c r="X35" s="3">
        <f>1331.5+(268.2-198.3)+(-2.037195+(-0.410346--0.303399))+0-26.9--0.0411570000000016</f>
        <v>1372.397015</v>
      </c>
      <c r="Y35" s="3">
        <f>1566.6+(248.8-334.1)+(-3.195864+(-0.507552--0.681564))+0-27.8--0.0567119999999988</f>
        <v>1450.53486</v>
      </c>
      <c r="Z35" s="3">
        <f>1851.7+(251.6-337.1)+(-2.833101+(-0.384948--0.515763))+0-30.3--0.0463590000000018</f>
        <v>1733.2440730000001</v>
      </c>
      <c r="AA35" s="3">
        <f>1576+(375.9-160.7)+(-2.41128+(-0.575127--0.245871))+0-28.3--0.0432990000000016</f>
        <v>1760.202763</v>
      </c>
      <c r="AB35" s="3">
        <f>1483.2+(371.4-163.3)+(-3.78216+(-0.94707--0.416415))+0-29.5--0.0752249999999957</f>
        <v>1657.56241</v>
      </c>
      <c r="AC35" s="3">
        <f>1313.6+(351-162.4)+(-3.34968+(-0.89505--0.41412))+0-30.3--0.0772649999999956</f>
        <v>1468.1466549999998</v>
      </c>
      <c r="AD35">
        <f t="shared" si="0"/>
        <v>31060.360940000002</v>
      </c>
      <c r="AE35" s="3">
        <f>1885.5+(245.2-292.5)+(0+(0-0))+0-29.2-0</f>
        <v>1809</v>
      </c>
    </row>
    <row r="36" spans="1:31" s="2" customFormat="1" x14ac:dyDescent="0.25">
      <c r="A36">
        <v>89</v>
      </c>
      <c r="B36">
        <v>2</v>
      </c>
      <c r="C36">
        <v>5</v>
      </c>
      <c r="D36">
        <v>2</v>
      </c>
      <c r="E36">
        <v>1</v>
      </c>
      <c r="F36" s="3">
        <f>1243.2+(306.6-263.2)+(-1.268064+(-0.312732--0.268464))+0-29.2--0.0297840000000047</f>
        <v>1256.1174520000002</v>
      </c>
      <c r="G36" s="3">
        <f>1238.5+(279.5-381.8)+(-1.894905+(-0.427635--0.584154))+0-28.4--0.0434520000000016</f>
        <v>1106.1050659999999</v>
      </c>
      <c r="H36" s="3">
        <f>1238.7+(261-422.5)+(-1.895211+(-0.39933--0.646425))+0-27.5--0.0420750000000016</f>
        <v>1048.093959</v>
      </c>
      <c r="I36" s="3">
        <f>1239.7+(257.4-451.9)+(-1.896741+(-0.393822--0.691407))+0-26.4--0.0403920000000015</f>
        <v>1017.2412360000001</v>
      </c>
      <c r="J36" s="3">
        <f>1241.6+(256.4-469.9)+(1.899648+(0.392292-0.718947))+0-18.7-0.0286110000000011</f>
        <v>1010.9443819999999</v>
      </c>
      <c r="K36" s="3">
        <f>1242.4+(256.6-458.1)+(-3.16812+(-0.65433--1.168155))+0-9.9--0.0252449999999986</f>
        <v>1028.37095</v>
      </c>
      <c r="L36" s="3">
        <f>1242.6+(256.9-436.8)+(-3.16863+(-0.655095--1.11384))+0-7.1--0.018104999999999</f>
        <v>1052.90822</v>
      </c>
      <c r="M36" s="3">
        <f>1242.6+(307.8-433.8)+(-1.267452+(-0.313956--0.442476))+0-6.8--0.00693600000000108</f>
        <v>1108.6680039999999</v>
      </c>
      <c r="N36" s="3">
        <f>1258.5+(351.1-365.1)+(1.28367+(0.358122-0.372402))+0-6.7-0.00683400000000107</f>
        <v>1239.0625559999999</v>
      </c>
      <c r="O36" s="3">
        <f>1262.4+(350.2-243.1)+(-0.643824+(-0.178602--0.123981))+0-6.1--0.00311099999999938</f>
        <v>1362.7046660000001</v>
      </c>
      <c r="P36" s="3">
        <f>1281.8+(300.3-155.9)+(-1.961154+(-0.459459--0.238527))+0-6--0.00918000000000035</f>
        <v>1418.027094</v>
      </c>
      <c r="Q36" s="3">
        <f>1359.5+(272-178.5)+(-2.080035+(-0.41616--0.273105))+0-6.2--0.00948600000000036</f>
        <v>1444.5863959999999</v>
      </c>
      <c r="R36" s="3">
        <f>1384.6+(264.9-200.3)+(0+(0-0))+0-2.5-0</f>
        <v>1446.6999999999998</v>
      </c>
      <c r="S36" s="3">
        <f>1314.2+(289.3-178.1)+(-2.680968+(-0.590172--0.363324))+0-2.1--0.00428399999999991</f>
        <v>1420.3964680000004</v>
      </c>
      <c r="T36" s="3">
        <f>1309.7+(279.4-208.1)+(0+(0-0))+0-1.9-0</f>
        <v>1379.1</v>
      </c>
      <c r="U36" s="3">
        <f>1311.1+(272.4-218.1)+(-2.674644+(-0.555696--0.444924))+0-2.1--0.00428399999999991</f>
        <v>1360.5188680000001</v>
      </c>
      <c r="V36" s="3">
        <f>1303.9+(278.8-216.2)+(-1.329978+(-0.284376--0.220524))+0-2.3--0.00234600000000037</f>
        <v>1362.8085160000001</v>
      </c>
      <c r="W36" s="3">
        <f>1297.5+(279.2-221)+(-3.308625+(-0.71196--0.56355))+0-1.9--0.00484499999999972</f>
        <v>1350.34781</v>
      </c>
      <c r="X36" s="3">
        <f>1298.1+(280.1-224.5)+(-3.972186+(-0.857106--0.68697))+0-2.1--0.00642600000000024</f>
        <v>1347.4641039999999</v>
      </c>
      <c r="Y36" s="3">
        <f>1301.1+(288.7-185.3)+(-0.663561+(-0.147237--0.094503))+0-6.8--0.00346799999999931</f>
        <v>1396.9871730000002</v>
      </c>
      <c r="Z36" s="3">
        <f>1334.8+(469-80.3)+(-4.084488+(-1.43514--0.245718))+0-24--0.0734400000000028</f>
        <v>1694.29953</v>
      </c>
      <c r="AA36" s="3">
        <f>1258.5+(644.4-82.6)+(-5.13468+(-2.629152--0.337008))+0-26.7--0.108935999999998</f>
        <v>1786.2821120000001</v>
      </c>
      <c r="AB36" s="3">
        <f>1242.7+(549.7-81.4)+(-4.436439+(-1.962429--0.290598))+0-27.7--0.0988890000000004</f>
        <v>1677.2906190000001</v>
      </c>
      <c r="AC36" s="3">
        <f>1245.5+(378.5-112)+(-2.54082+(-0.77214--0.22848))+0-27.4--0.0558959999999988</f>
        <v>1481.571416</v>
      </c>
      <c r="AD36">
        <f t="shared" si="0"/>
        <v>31796.596596999996</v>
      </c>
      <c r="AE36" s="3">
        <f>1356+(573.5-83)+(0+(0-0))+0-29-0</f>
        <v>1817.5</v>
      </c>
    </row>
    <row r="37" spans="1:31" s="2" customFormat="1" x14ac:dyDescent="0.25">
      <c r="A37">
        <v>89</v>
      </c>
      <c r="B37">
        <v>2</v>
      </c>
      <c r="C37">
        <v>6</v>
      </c>
      <c r="D37">
        <v>3</v>
      </c>
      <c r="E37">
        <v>1</v>
      </c>
      <c r="F37" s="3">
        <f>1226.9+(311.5-250.2)+(-3.128595+(-0.794325--0.63801))+0-27.4--0.069869999999996</f>
        <v>1257.5849599999999</v>
      </c>
      <c r="G37" s="3">
        <f>1225.5+(289.1-370.7)+(-2.50002+(-0.589764--0.756228))+0-27.3--0.0556919999999988</f>
        <v>1114.322136</v>
      </c>
      <c r="H37" s="3">
        <f>1223.3+(278.1-419.8)+(-4.367181+(-0.992817--1.498686))+0-26.8--0.0956760000000004</f>
        <v>1051.0343639999999</v>
      </c>
      <c r="I37" s="3">
        <f>1229.7+(273.7-444.1)+(-1.254294+(-0.279174--0.452982))+0-26.6--0.0271320000000042</f>
        <v>1031.6466459999999</v>
      </c>
      <c r="J37" s="3">
        <f>1227.1+(270.4-446.7)+(-2.503284+(-0.551616--0.911268))+0-27.1--0.0552839999999988</f>
        <v>1021.6116519999999</v>
      </c>
      <c r="K37" s="3">
        <f>1230.8+(271.4-436)+(0.627708+(0.138414-0.22236))+0-27.7-0.0141269999999972</f>
        <v>1039.0296349999999</v>
      </c>
      <c r="L37" s="3">
        <f>1232.5+(270.2-416.3)+(-3.77145+(-0.826812--1.273878))+0-27.5--0.0841500000000032</f>
        <v>1055.659766</v>
      </c>
      <c r="M37" s="3">
        <f>1231.8+(261.7-358.5)+(-0.628218+(-0.133467--0.182835))+0-27.3--0.0139229999999972</f>
        <v>1107.1350729999999</v>
      </c>
      <c r="N37" s="3">
        <f>1249.2+(283.8-252.8)+(-1.274184+(-0.289476--0.257856))+0-28.1--0.0286620000000045</f>
        <v>1250.822858</v>
      </c>
      <c r="O37" s="3">
        <f>1264.7+(309.6-189)+(-2.579988+(-0.631584--0.38556))+0-28.9--0.0589559999999987</f>
        <v>1353.6329440000002</v>
      </c>
      <c r="P37" s="3">
        <f>1281.5+(329.5-161.2)+(0+(0-0))+0-28.3-0</f>
        <v>1421.5</v>
      </c>
      <c r="Q37" s="3">
        <f>1284.6+(337.2-137.2)+(-1.310292+(-0.343944--0.139944))+0-28.5--0.0290700000000045</f>
        <v>1454.6147779999999</v>
      </c>
      <c r="R37" s="3">
        <f>1280.7+(334.7-141.6)+(-1.306314+(-0.341394--0.144432))+0-24.5--0.0249900000000039</f>
        <v>1447.8217140000002</v>
      </c>
      <c r="S37" s="3">
        <f>1277.8+(324-153.9)+(-1.955034+(-0.49572--0.235467))+0-24.3--0.0371790000000014</f>
        <v>1421.4218919999998</v>
      </c>
      <c r="T37" s="3">
        <f>1277.6+(306.5-189.1)+(-2.606304+(-0.62526--0.385764))+0-27.4--0.0558959999999988</f>
        <v>1364.8100959999999</v>
      </c>
      <c r="U37" s="3">
        <f>1274.3+(308.1-195.3)+(-1.949679+(-0.471393--0.298809))+0-28.4--0.0434520000000016</f>
        <v>1356.6211889999997</v>
      </c>
      <c r="V37" s="3">
        <f>1272+(308.3-195.3)+(-1.94616+(-0.471699--0.298809))+0-29--0.0443700000000017</f>
        <v>1353.9253200000001</v>
      </c>
      <c r="W37" s="3">
        <f>1277.2+(255.2-148.8)+(-1.302744+(-0.260304--0.151776))+0-29.7--0.0302940000000047</f>
        <v>1352.5190219999997</v>
      </c>
      <c r="X37" s="3">
        <f>1278.8+(263.9-153.3)+(-2.608752+(-0.538356--0.312732))+0-26.3--0.0536519999999989</f>
        <v>1360.3192759999999</v>
      </c>
      <c r="Y37" s="3">
        <f>1324.9+(286.9-153)+(-1.351398+(-0.292638--0.15606))+0-26.3--0.0268260000000042</f>
        <v>1431.0388500000004</v>
      </c>
      <c r="Z37" s="3">
        <f>1410.4+(413.1-92.5)+(-2.157912+(-0.632043--0.141525))+0-28--0.0428400000000016</f>
        <v>1700.3944100000001</v>
      </c>
      <c r="AA37" s="3">
        <f>1384.6+(498.8-76.5)+(0+(0-0))+0-29-0</f>
        <v>1777.8999999999999</v>
      </c>
      <c r="AB37" s="3">
        <f>1343.5+(440.2-81.3)+(-2.055555+(-0.673506--0.124389))+0-29.6--0.0452880000000017</f>
        <v>1670.2406160000003</v>
      </c>
      <c r="AC37" s="3">
        <f>1305.3+(342.6-128.8)+(-1.331406+(-0.349452--0.131376))+0-28.9--0.0294780000000046</f>
        <v>1488.6799959999998</v>
      </c>
      <c r="AD37">
        <f t="shared" si="0"/>
        <v>31884.287193</v>
      </c>
      <c r="AE37" s="3">
        <f>1471+(439.5-82.3)+(0+(0-0))+0-29.6-0</f>
        <v>1798.6000000000001</v>
      </c>
    </row>
    <row r="38" spans="1:31" s="2" customFormat="1" x14ac:dyDescent="0.25">
      <c r="A38">
        <v>89</v>
      </c>
      <c r="B38">
        <v>2</v>
      </c>
      <c r="C38">
        <v>7</v>
      </c>
      <c r="D38">
        <v>4</v>
      </c>
      <c r="E38">
        <v>1</v>
      </c>
      <c r="F38" s="3">
        <f>1237.1+(297.9-245.3)+(-2.523684+(-0.607716--0.500412))+0-26.9--0.0548759999999988</f>
        <v>1260.2238879999998</v>
      </c>
      <c r="G38" s="3">
        <f>1182.4+(287.6-320.6)+(-4.221168+(-1.026732--1.144542))+0-26.6--0.0949620000000004</f>
        <v>1118.791604</v>
      </c>
      <c r="H38" s="3">
        <f>1184.2+(273.7-371.7)+(-1.811826+(-0.418761--0.568701))+0-26--0.0397800000000015</f>
        <v>1058.577894</v>
      </c>
      <c r="I38" s="3">
        <f>1184.7+(267.1-397.1)+(-1.208394+(-0.272442--0.405042))+0-27--0.0275400000000043</f>
        <v>1026.651746</v>
      </c>
      <c r="J38" s="3">
        <f>1184.5+(265.8-402.4)+(-3.62457+(-0.813348--1.231344))+0-27.7--0.0847620000000032</f>
        <v>1017.078188</v>
      </c>
      <c r="K38" s="3">
        <f>1185.2+(268.2-389)+(-1.208904+(-0.273564--0.39678))+0-28--0.0285600000000045</f>
        <v>1035.3428720000002</v>
      </c>
      <c r="L38" s="3">
        <f>1185.9+(273.2-369)+(-3.628854+(-0.835992--1.12914))+0-28.3--0.0865980000000033</f>
        <v>1058.5508920000002</v>
      </c>
      <c r="M38" s="3">
        <f>1187.3+(257.6-287.6)+(-1.816569+(-0.394128--0.440028))+0-27.4--0.0419220000000016</f>
        <v>1128.171253</v>
      </c>
      <c r="N38" s="3">
        <f>1240.5+(256.6-195.4)+(-0.632655+(-0.130866--0.099654))+0-29.1--0.014840999999997</f>
        <v>1271.9509740000001</v>
      </c>
      <c r="O38" s="3">
        <f>1341.6+(248.1-178.2)+(-2.052648+(-0.379593--0.272646))+0-30.1--0.0460530000000017</f>
        <v>1379.286458</v>
      </c>
      <c r="P38" s="3">
        <f>1441.8+(215.1-179.6)+(-2.205954+(-0.329103--0.274788))+0-29.9--0.0457470000000017</f>
        <v>1445.1854779999996</v>
      </c>
      <c r="Q38" s="3">
        <f>1441.9+(219.9-163.3)+(0+(0-0))+0-30.2-0</f>
        <v>1468.3</v>
      </c>
      <c r="R38" s="3">
        <f>1628.3+(204.1-328.7)+(-2.491299+(-0.312273--0.502911))+0-28.9--0.0442170000000017</f>
        <v>1472.5435559999999</v>
      </c>
      <c r="S38" s="3">
        <f>1559.9+(204.6-296.1)+(0+(0-0))+0-28.1-0</f>
        <v>1440.3000000000002</v>
      </c>
      <c r="T38" s="3">
        <f>1745.4+(186.4-506.4)+(-1.780308+(-0.190128--0.516528))+0-28.3--0.0288660000000045</f>
        <v>1395.6749580000003</v>
      </c>
      <c r="U38" s="3">
        <f>1838.5+(175.3-590.2)+(-3.75054+(-0.357612--1.204008))+0-29.2--0.0595679999999987</f>
        <v>1391.5554239999997</v>
      </c>
      <c r="V38" s="3">
        <f>1789.3+(165.4-509.9)+(-2.737629+(-0.253062--0.780147))+0-29.7--0.0454410000000017</f>
        <v>1412.9348969999999</v>
      </c>
      <c r="W38" s="3">
        <f>1536.4+(165.8-276.3)+(-3.134256+(-0.338232--0.563652))+0-28.9--0.0589559999999987</f>
        <v>1394.15012</v>
      </c>
      <c r="X38" s="3">
        <f>1434.8+(200.1-199.1)+(-2.195244+(-0.306153--0.304623))+0-27.8--0.0425340000000016</f>
        <v>1405.8457599999999</v>
      </c>
      <c r="Y38" s="3">
        <f>1361.7+(266.6-123.1)+(-2.777868+(-0.543864--0.251124))+0-27.7--0.0565079999999988</f>
        <v>1474.4858999999999</v>
      </c>
      <c r="Z38" s="3">
        <f>1633.8+(283.6-148)+(-1.666476+(-0.289272--0.15096))+0-28.6--0.0291720000000046</f>
        <v>1739.0243840000003</v>
      </c>
      <c r="AA38" s="3">
        <f>1782.6+(254-200.4)+(-3.636504+(-0.51816--0.408816))+0-27.7--0.0565079999999988</f>
        <v>1804.8106599999996</v>
      </c>
      <c r="AB38" s="3">
        <f>1424.3+(384-96.1)+(-1.452786+(-0.39168--0.098022))+0-28.8--0.0293760000000046</f>
        <v>1681.6829319999997</v>
      </c>
      <c r="AC38" s="3">
        <f>1299.3+(358.5-124.1)+(-1.325286+(-0.36567--0.126582))+0-27.7--0.0282540000000044</f>
        <v>1504.46388</v>
      </c>
      <c r="AD38">
        <f t="shared" si="0"/>
        <v>32385.583717999994</v>
      </c>
      <c r="AE38" s="3">
        <f>1618.6+(341.8-103)+(0+(0-0))+0-26.4-0</f>
        <v>1830.9999999999998</v>
      </c>
    </row>
    <row r="39" spans="1:31" s="2" customFormat="1" x14ac:dyDescent="0.25">
      <c r="A39">
        <v>89</v>
      </c>
      <c r="B39">
        <v>2</v>
      </c>
      <c r="C39">
        <v>8</v>
      </c>
      <c r="D39">
        <v>5</v>
      </c>
      <c r="E39">
        <v>1</v>
      </c>
      <c r="F39" s="3">
        <f>1164.8+(300.5-184)+(-0.594048+(-0.153255--0.09384))+0-29--0.0147899999999971</f>
        <v>1251.6613269999998</v>
      </c>
      <c r="G39" s="3">
        <f>1214.2+(248.1-315)+(-0.619242+(-0.126531--0.16065))+0-27.8--0.0141779999999972</f>
        <v>1118.9290549999998</v>
      </c>
      <c r="H39" s="3">
        <f>1240.2+(235.5-388.8)+(-1.265004+(-0.24021--0.396576))+0-28.7--0.0292740000000046</f>
        <v>1057.1206360000001</v>
      </c>
      <c r="I39" s="3">
        <f>1240.4+(232.5-412.5)+(0+(0-0))+0-28.6-0</f>
        <v>1031.8000000000002</v>
      </c>
      <c r="J39" s="3">
        <f>1241.6+(235.7-423.1)+(-1.266432+(-0.240414--0.431562))+0-27.4--0.0279480000000044</f>
        <v>1025.7526639999996</v>
      </c>
      <c r="K39" s="3">
        <f>1241.8+(237.5-413.6)+(-3.16659+(-0.605625--1.05468))+0-27.6--0.070379999999996</f>
        <v>1035.4528449999998</v>
      </c>
      <c r="L39" s="3">
        <f>1243.6+(238.5-390.6)+(-1.902708+(-0.364905--0.597618))+0-27.8--0.0425340000000016</f>
        <v>1062.072539</v>
      </c>
      <c r="M39" s="3">
        <f>1243.5+(229.4-311.2)+(0+(0-0))+0-29.3-0</f>
        <v>1132.4000000000001</v>
      </c>
      <c r="N39" s="3">
        <f>1271.3+(235.2-200.7)+(-1.296726+(-0.239904--0.204714))+0-29.7--0.0302940000000047</f>
        <v>1274.7983779999997</v>
      </c>
      <c r="O39" s="3">
        <f>1379.9+(212.6-173.1)+(-0.703749+(-0.108426--0.088281))+0-31.3--0.0159629999999968</f>
        <v>1387.3920690000002</v>
      </c>
      <c r="P39" s="3">
        <f>1433.2+(203.2-121.5)+(-2.192796+(-0.310896--0.185895))+0-30.3--0.0463590000000018</f>
        <v>1482.3285620000001</v>
      </c>
      <c r="Q39" s="3">
        <f>1666.5+(142.9-251.8)+(-2.549745+(-0.218637--0.385254))+0-29.9--0.0457470000000017</f>
        <v>1525.3626189999998</v>
      </c>
      <c r="R39" s="3">
        <f>1906.5+(146.9-500.5)+(-2.916945+(-0.224757--0.765765))+0-28.8--0.0440640000000017</f>
        <v>1521.768127</v>
      </c>
      <c r="S39" s="3">
        <f>2082.9+(160.5-712.2)+(-4.249116+(-0.32742--1.452888))+0-28.2--0.0575279999999988</f>
        <v>1499.93388</v>
      </c>
      <c r="T39" s="3">
        <f>2100.4+(154.5-778.6)+(-1.071204+(-0.078795--0.397086))+0-29.8--0.015197999999997</f>
        <v>1445.7622850000002</v>
      </c>
      <c r="U39" s="3">
        <f>2075.4+(154.8-758.7)+(-1.058454+(-0.078948--0.386937))+0-30.6--0.0156059999999969</f>
        <v>1440.1651409999999</v>
      </c>
      <c r="V39" s="3">
        <f>1937.9+(166.1-597.4)+(-4.941645+(-0.423555--1.52337))+0-30.5--0.0777749999999956</f>
        <v>1472.335945</v>
      </c>
      <c r="W39" s="3">
        <f>1751+(153-367.2)+(-3.57204+(-0.31212--0.749088))+0-31.1--0.0634439999999986</f>
        <v>1502.6283719999999</v>
      </c>
      <c r="X39" s="3">
        <f>1798.4+(151.1-415.7)+(-3.668736+(-0.308244--0.848028))+0-29.2--0.0595679999999987</f>
        <v>1501.530616</v>
      </c>
      <c r="Y39" s="3">
        <f>1866.6+(161.8-437.8)+(-2.855898+(-0.247554--0.669834))+0-28.8--0.0440640000000017</f>
        <v>1559.4104459999999</v>
      </c>
      <c r="Z39" s="3">
        <f>1951.9+(141.1-304.6)+(-2.986407+(-0.215883--0.466038))+0-29.4--0.0449820000000017</f>
        <v>1756.30873</v>
      </c>
      <c r="AA39" s="3">
        <f>1831.4+(187.7-203.6)+(-1.868028+(-0.191454--0.207672))+0-29.5--0.0300900000000047</f>
        <v>1784.1782800000001</v>
      </c>
      <c r="AB39" s="3">
        <f>1560.9+(266.4-153.1)+(-3.184236+(-0.543456--0.312324))+0-29--0.0591599999999987</f>
        <v>1641.8437920000001</v>
      </c>
      <c r="AC39" s="3">
        <f>1447.7+(242.3-193.6)+(-2.953308+(-0.494292--0.394944))+0-28.6--0.0583439999999988</f>
        <v>1464.8056880000001</v>
      </c>
      <c r="AD39">
        <f t="shared" si="0"/>
        <v>32975.741995999997</v>
      </c>
      <c r="AE39" s="3">
        <f>1999+(137.3-284.7)+(0+(0-0))+0-30.4-0</f>
        <v>1821.1999999999998</v>
      </c>
    </row>
    <row r="40" spans="1:31" s="2" customFormat="1" x14ac:dyDescent="0.25">
      <c r="A40">
        <v>89</v>
      </c>
      <c r="B40">
        <v>2</v>
      </c>
      <c r="C40">
        <v>9</v>
      </c>
      <c r="D40">
        <v>6</v>
      </c>
      <c r="E40">
        <v>1</v>
      </c>
      <c r="F40" s="3">
        <f>1246.3+(260-228.1)+(-0.635613+(-0.1326--0.116331))+0-27.9--0.0142289999999972</f>
        <v>1249.662347</v>
      </c>
      <c r="G40" s="3">
        <f>1240.7+(256.6-355)+(-1.898271+(-0.392598--0.54315))+0-28--0.0428400000000016</f>
        <v>1112.5951210000003</v>
      </c>
      <c r="H40" s="3">
        <f>1240.7+(251.6-422.9)+(1.898271+(0.384948-0.647037))+0-28.1-0.0429930000000016</f>
        <v>1042.8931890000001</v>
      </c>
      <c r="I40" s="3">
        <f>1225.7+(252.2-434.7)+(-1.875321+(-0.385866--0.665091))+0-27.8--0.0425340000000016</f>
        <v>1013.8464380000001</v>
      </c>
      <c r="J40" s="3">
        <f>1191.6+(253.4-414.9)+(0.607716+(0.129234-0.211599))+0-28.5-0.0145349999999971</f>
        <v>1002.1108159999999</v>
      </c>
      <c r="K40" s="3">
        <f>1192.3+(254.4-403.9)+(-1.824219+(-0.389232--0.617967))+0-27.8--0.0425340000000016</f>
        <v>1013.4470500000001</v>
      </c>
      <c r="L40" s="3">
        <f>1188.7+(254.5-378.7)+(-2.424948+(-0.51918--0.772548))+0-28.9--0.0589559999999987</f>
        <v>1033.487376</v>
      </c>
      <c r="M40" s="3">
        <f>1198.5+(250.4-333.6)+(-1.833705+(-0.383112--0.510408))+0-28.5--0.0436050000000016</f>
        <v>1085.1371960000001</v>
      </c>
      <c r="N40" s="3">
        <f>1245.1+(229.2-222)+(0+(0-0))+0-30.2-0</f>
        <v>1222.0999999999999</v>
      </c>
      <c r="O40" s="3">
        <f>1328.4+(211.2-171.8)+(-0.677484+(-0.107712--0.087618))+0-31.5--0.0160649999999968</f>
        <v>1335.6184870000002</v>
      </c>
      <c r="P40" s="3">
        <f>1440+(185.9-167)+(-1.4688+(-0.189618--0.17034))+0-31.4--0.032028000000005</f>
        <v>1426.04395</v>
      </c>
      <c r="Q40" s="3">
        <f>1472.7+(173.4-164.8)+(0+(0-0))+0-31.3-0</f>
        <v>1450</v>
      </c>
      <c r="R40" s="3">
        <f>1665.6+(140.1-351.5)+(-2.548368+(-0.214353--0.537795))+0-29.1--0.0445230000000017</f>
        <v>1422.9195969999998</v>
      </c>
      <c r="S40" s="3">
        <f>1819.8+(129.3-504.8)+(-1.856196+(-0.131886--0.514896))+0-27.9--0.0284580000000044</f>
        <v>1414.9552719999999</v>
      </c>
      <c r="T40" s="3">
        <f>1934.2+(119.7-650.9)+(-0.986442+(-0.061047--0.331959))+0-29.1--0.014840999999997</f>
        <v>1373.1993110000001</v>
      </c>
      <c r="U40" s="3">
        <f>1932.2+(123.2-678.4)+(-2.956266+(-0.188496--1.037952))+0-30.3--0.0463590000000018</f>
        <v>1344.639549</v>
      </c>
      <c r="V40" s="3">
        <f>1932.6+(130.1-685.2)+(-1.971252+(-0.132702--0.698904))+0-30.4--0.0310080000000048</f>
        <v>1345.7259579999998</v>
      </c>
      <c r="W40" s="3">
        <f>1824.4+(114.9-520.3)+(-6.513108+(-0.410193--1.857471))+0-30.5--0.108885</f>
        <v>1383.5430550000001</v>
      </c>
      <c r="X40" s="3">
        <f>1615.4+(101.8-319.6)+(0+(0-0))+0-29.2-0</f>
        <v>1368.4</v>
      </c>
      <c r="Y40" s="3">
        <f>1615.5+(160.3-291.1)+(-1.64781+(-0.163506--0.296922))+0-29.5--0.0300900000000047</f>
        <v>1453.715696</v>
      </c>
      <c r="Z40" s="3">
        <f>1906.6+(157.9-355.1)+(-4.86183+(-0.402645--0.905505))+0-30--0.0764999999999956</f>
        <v>1675.1175299999998</v>
      </c>
      <c r="AA40" s="3">
        <f>1783.1+(227.4-243.7)+(-1.818762+(-0.231948--0.248574))+0-29.7--0.0302940000000047</f>
        <v>1735.3281579999998</v>
      </c>
      <c r="AB40" s="3">
        <f>1623.4+(274-204.9)+(-3.311736+(-0.55896--0.417996))+0-29--0.0591599999999987</f>
        <v>1660.10646</v>
      </c>
      <c r="AC40" s="3">
        <f>1342.7+(350.9-175.5)+(-0.684777+(-0.178959--0.089505))+0-30.1--0.0153509999999969</f>
        <v>1487.2411199999999</v>
      </c>
      <c r="AD40">
        <f t="shared" si="0"/>
        <v>31651.833675999998</v>
      </c>
      <c r="AE40" s="3">
        <f>2000+(180.1-272.6)+(0+(0-0))+0-30.4-0</f>
        <v>1877.1</v>
      </c>
    </row>
    <row r="41" spans="1:31" s="2" customFormat="1" x14ac:dyDescent="0.25">
      <c r="A41">
        <v>89</v>
      </c>
      <c r="B41">
        <v>2</v>
      </c>
      <c r="C41">
        <v>10</v>
      </c>
      <c r="D41">
        <v>7</v>
      </c>
      <c r="E41">
        <v>1</v>
      </c>
      <c r="F41" s="3">
        <f>1249.5+(295.2-232.2)+(0+(0-0))+0-29.2-0</f>
        <v>1283.3</v>
      </c>
      <c r="G41" s="3">
        <f>1243.3+(266.7-355.4)+(0+(0-0))+0-28.2-0</f>
        <v>1126.3999999999999</v>
      </c>
      <c r="H41" s="3">
        <f>1244.2+(258.8-424.3)+(1.269084+(0.263976-0.432786))+0-28.2-0.0287640000000045</f>
        <v>1051.57151</v>
      </c>
      <c r="I41" s="3">
        <f>1239.8+(246.7-440.4)+(-0.632298+(-0.125817--0.224604))+0-27.8--0.0141779999999972</f>
        <v>1017.7806669999999</v>
      </c>
      <c r="J41" s="3">
        <f>1196.9+(247.4-420.3)+(1.220838+(0.252348-0.428706))+0-27.4-0.0279480000000044</f>
        <v>997.61653200000001</v>
      </c>
      <c r="K41" s="3">
        <f>1197.7+(248.3-422.2)+(-3.054135+(-0.633165--1.07661))+0-28--0.0713999999999959</f>
        <v>993.26071000000013</v>
      </c>
      <c r="L41" s="3">
        <f>1198.3+(243.8-443.5)+(-3.055665+(-0.62169--1.130925))+0-28--0.0713999999999959</f>
        <v>968.12496999999996</v>
      </c>
      <c r="M41" s="3">
        <f>1197.4+(198.6-422.4)+(-1.221348+(-0.202572--0.430848))+0-28.7--0.0292740000000046</f>
        <v>943.93620200000009</v>
      </c>
      <c r="N41" s="3">
        <f>1198+(188-350.2)+(0.61098+(0.09588-0.178602))+0-30-0.015299999999997</f>
        <v>1006.312958</v>
      </c>
      <c r="O41" s="3">
        <f>1199.9+(217.2-281.2)+(-0.611949+(-0.110772--0.143412))+0-29.5--0.015044999999997</f>
        <v>1105.8357360000002</v>
      </c>
      <c r="P41" s="3">
        <f>1148.6+(280.7-221.5)+(-1.171572+(-0.286314--0.22593))+0-29.8--0.0303960000000048</f>
        <v>1176.79844</v>
      </c>
      <c r="Q41" s="3">
        <f>1248.2+(253.5-259.9)+(-1.909746+(-0.387855--0.397647))+0-30.2--0.0462060000000017</f>
        <v>1209.7462520000001</v>
      </c>
      <c r="R41" s="3">
        <f>1262.7+(236-264.1)+(0.643977+(0.12036-0.134691))+0-29.1-0.014840999999997</f>
        <v>1206.1148050000002</v>
      </c>
      <c r="S41" s="3">
        <f>1260.6+(241.3-290.3)+(-1.285812+(-0.246126--0.296106))+0-29.4--0.0299880000000047</f>
        <v>1180.9941559999997</v>
      </c>
      <c r="T41" s="3">
        <f>1256.8+(228.4-316.6)+(1.922904+(0.349452-0.484398))+0-29.3-0.0448290000000017</f>
        <v>1141.0431289999999</v>
      </c>
      <c r="U41" s="3">
        <f>1256+(222.3-336.5)+(-1.92168+(-0.340119--0.514845))+0-30.2--0.0462060000000017</f>
        <v>1109.8992519999999</v>
      </c>
      <c r="V41" s="3">
        <f>1254.6+(219.5-333.8)+(-1.919538+(-0.335835--0.510714))+0-28.5--0.0436050000000016</f>
        <v>1110.0989460000001</v>
      </c>
      <c r="W41" s="3">
        <f>1255.6+(208.3-313.4)+(-3.20178+(-0.531165--0.79917))+0-30.1--0.0767549999999956</f>
        <v>1117.5429800000002</v>
      </c>
      <c r="X41" s="3">
        <f>1242.1+(202.5-245)+(-3.167355+(-0.516375--0.62475))+0-29.1--0.0742049999999958</f>
        <v>1167.5152249999999</v>
      </c>
      <c r="Y41" s="3">
        <f>1209+(256.7-161)+(-0.61659+(-0.130917--0.08211))+0-29.8--0.015197999999997</f>
        <v>1274.2498010000002</v>
      </c>
      <c r="Z41" s="3">
        <f>1281.5+(413.4-108.4)+(-2.61426+(-0.843336--0.221136))+0-30.3--0.0618119999999987</f>
        <v>1553.0253519999999</v>
      </c>
      <c r="AA41" s="3">
        <f>1279.6+(485.6-73.5)+(-1.305192+(-0.495312--0.07497))+0-29.2--0.0297840000000047</f>
        <v>1660.8042499999999</v>
      </c>
      <c r="AB41" s="3">
        <f>1273.1+(434-79.8)+(-3.895686+(-1.32804--0.244188))+0-29--0.0887400000000034</f>
        <v>1593.4092019999998</v>
      </c>
      <c r="AC41" s="3">
        <f>1263.5+(323.2-160.2)+(-1.28877+(-0.329664--0.163404))+0-28.5--0.0290700000000045</f>
        <v>1396.57404</v>
      </c>
      <c r="AD41">
        <f t="shared" si="0"/>
        <v>28391.955115000004</v>
      </c>
      <c r="AE41" s="3">
        <f>1276.5+(510.1-74.1)+(0+(0-0))+0-30.4-0</f>
        <v>1682.1</v>
      </c>
    </row>
    <row r="42" spans="1:31" s="2" customFormat="1" x14ac:dyDescent="0.25">
      <c r="A42">
        <v>89</v>
      </c>
      <c r="B42">
        <v>2</v>
      </c>
      <c r="C42">
        <v>11</v>
      </c>
      <c r="D42">
        <v>1</v>
      </c>
      <c r="E42">
        <v>1</v>
      </c>
      <c r="F42" s="3">
        <f>1240.5+(274.7-297.7)+(-2.53062+(-0.560388--0.607308))+0-28--0.0571199999999988</f>
        <v>1187.0734199999999</v>
      </c>
      <c r="G42" s="3">
        <f>1239.8+(269.8-425.8)+(-3.16149+(-0.68799--1.08579))+0-28.2--0.0719099999999959</f>
        <v>1052.9082199999998</v>
      </c>
      <c r="H42" s="3">
        <f>1240.7+(249.2-462.9)+(-1.265514+(-0.254184--0.472158))+0-28--0.0285600000000045</f>
        <v>997.98101999999994</v>
      </c>
      <c r="I42" s="3">
        <f>1240.1+(218.9-466.2)+(-2.529804+(-0.446556--0.951048))+0-28.3--0.0577319999999988</f>
        <v>962.53242</v>
      </c>
      <c r="J42" s="3">
        <f>1239.2+(211.4-465)+(0+(0-0))+0-28.8-0</f>
        <v>956.80000000000007</v>
      </c>
      <c r="K42" s="3">
        <f>1239.1+(212.8-455)+(-0.631941+(-0.108528--0.23205))+0-28.6--0.0145859999999971</f>
        <v>967.80616699999985</v>
      </c>
      <c r="L42" s="3">
        <f>1239.8+(209.7-424.8)+(-2.529192+(-0.427788--0.866592))+0-26.5--0.0540599999999988</f>
        <v>996.16367199999991</v>
      </c>
      <c r="M42" s="3">
        <f>1240.7+(213.9-368.3)+(-1.265514+(-0.218178--0.375666))+0-27.1--0.0276420000000043</f>
        <v>1058.119616</v>
      </c>
      <c r="N42" s="3">
        <f>1237.8+(209.6-227.6)+(-1.262556+(-0.213792--0.232152))+0-28.3--0.0288660000000045</f>
        <v>1190.28467</v>
      </c>
      <c r="O42" s="3">
        <f>1257.7+(202.4-122.6)+(-1.924281+(-0.309672--0.187578))+0-28.7--0.0439110000000017</f>
        <v>1306.797536</v>
      </c>
      <c r="P42" s="3">
        <f>1261.2+(231.5-91.4)+(-1.286424+(-0.23613--0.093228))+0-28.6--0.0291720000000046</f>
        <v>1371.2998460000001</v>
      </c>
      <c r="Q42" s="3">
        <f>1254.3+(258.5-86.3)+(-0.639693+(-0.131835--0.044013))+0-28--0.0142799999999972</f>
        <v>1397.7867650000001</v>
      </c>
      <c r="R42" s="3">
        <f>1243.6+(260.4-93.9)+(-3.17118+(-0.66402--0.239445))+0-25.7--0.0655349999999963</f>
        <v>1380.8697799999998</v>
      </c>
      <c r="S42" s="3">
        <f>1242.8+(242.1-103.3)+(-1.267656+(-0.246942--0.105366))+0-23.3--0.0237660000000037</f>
        <v>1356.914534</v>
      </c>
      <c r="T42" s="3">
        <f>1244.8+(206.2-133.1)+(-0.634848+(-0.105162--0.067881))+0-23.8--0.0121379999999976</f>
        <v>1293.4400089999999</v>
      </c>
      <c r="U42" s="3">
        <f>1241.5+(194.9-129.9)+(-3.165825+(-0.496995--0.331245))+0-28.1--0.0716549999999959</f>
        <v>1275.1400800000001</v>
      </c>
      <c r="V42" s="3">
        <f>1240.2+(216.2-145.2)+(-3.16251+(-0.55131--0.37026))+0-30.4--0.0775199999999956</f>
        <v>1277.53396</v>
      </c>
      <c r="W42" s="3">
        <f>1239.2+(235.9-160.6)+(-1.895976+(-0.360927--0.245718))+0-29.9--0.0457470000000017</f>
        <v>1282.6345619999997</v>
      </c>
      <c r="X42" s="3">
        <f>1239.6+(246.4-166.5)+(-1.896588+(-0.376992--0.254745))+0-28.5--0.0436050000000016</f>
        <v>1289.02477</v>
      </c>
      <c r="Y42" s="3">
        <f>1248.8+(290.8-157.4)+(-0.636888+(-0.148308--0.080274))+0-29.7--0.015146999999997</f>
        <v>1351.8102250000002</v>
      </c>
      <c r="Z42" s="3">
        <f>1254.8+(493.5-78.9)+(-2.559792+(-1.00674--0.160956))+0-30.6--0.0624239999999987</f>
        <v>1635.456848</v>
      </c>
      <c r="AA42" s="3">
        <f>1256.8+(605.1-75.3)+(-1.281936+(-0.617202--0.076806))+0-29.4--0.0299880000000047</f>
        <v>1755.4076559999999</v>
      </c>
      <c r="AB42" s="3">
        <f>1258.5+(518.8-83.3)+(-1.28367+(-0.529176--0.084966))+0-30--0.0306000000000048</f>
        <v>1662.3027200000001</v>
      </c>
      <c r="AC42" s="3">
        <f>1156.4+(451.9-98.6)+(-1.769292+(-0.691407--0.150858))+0-28.9--0.0442170000000017</f>
        <v>1478.5343759999998</v>
      </c>
      <c r="AD42">
        <f t="shared" si="0"/>
        <v>30484.622872</v>
      </c>
      <c r="AE42" s="3">
        <f>1248.3+(617.5-74.1)+(0+(0-0))+0-30.8-0</f>
        <v>1760.8999999999999</v>
      </c>
    </row>
    <row r="43" spans="1:31" s="2" customFormat="1" x14ac:dyDescent="0.25">
      <c r="A43">
        <v>89</v>
      </c>
      <c r="B43">
        <v>2</v>
      </c>
      <c r="C43">
        <v>12</v>
      </c>
      <c r="D43">
        <v>2</v>
      </c>
      <c r="E43">
        <v>1</v>
      </c>
      <c r="F43" s="3">
        <f>923.4+(431.6-116.9)+(0+(0-0))+0-27.5-0</f>
        <v>1210.5999999999999</v>
      </c>
      <c r="G43" s="3">
        <f>921+(355-187.4)+(-0.46971+(-0.18105--0.095574))+0-26.9--0.0137189999999973</f>
        <v>1061.1585329999998</v>
      </c>
      <c r="H43" s="3">
        <f>922.2+(321.6-208.5)+(0+(0-0))+0-26.7-0</f>
        <v>1008.6000000000001</v>
      </c>
      <c r="I43" s="3">
        <f>922.2+(304.2-220)+(-0.940644+(-0.310284--0.2244))+0-28.2--0.0287640000000045</f>
        <v>977.20223600000008</v>
      </c>
      <c r="J43" s="3">
        <f>923+(302.4-219.3)+(-0.47073+(-0.154224--0.111843))+0-27.3--0.0139229999999972</f>
        <v>978.30081199999995</v>
      </c>
      <c r="K43" s="3">
        <f>923.9+(301.6-205.3)+(-2.355945+(-0.76908--0.523515))+0-27.9--0.0711449999999959</f>
        <v>989.76963500000011</v>
      </c>
      <c r="L43" s="3">
        <f>921+(297.1-178.3)+(-0.93942+(-0.303042--0.181866))+0-27.2--0.0277440000000043</f>
        <v>1011.5671479999999</v>
      </c>
      <c r="M43" s="3">
        <f>921.6+(320.3-131.1)+(0+(0-0))+0-28.5-0</f>
        <v>1082.3</v>
      </c>
      <c r="N43" s="3">
        <f>921.9+(422.3-77.7)+(-0.470169+(-0.215373--0.039627))+0-29.8--0.015197999999997</f>
        <v>1236.069283</v>
      </c>
      <c r="O43" s="3">
        <f>941.1+(509.9-63.8)+(0+(0-0))+0-31-0</f>
        <v>1356.2</v>
      </c>
      <c r="P43" s="3">
        <f>946.5+(572.3-59.6)+(0.96543+(0.583746-0.060792))+0-30.9-0.0315180000000049</f>
        <v>1429.7568659999997</v>
      </c>
      <c r="Q43" s="3">
        <f>945.2+(623.3-59.3)+(-0.482052+(-0.317883--0.030243))+0-30.4--0.0155039999999969</f>
        <v>1478.0458119999998</v>
      </c>
      <c r="R43" s="3">
        <f>945.1+(634.3-60.8)+(-1.446003+(-0.970479--0.093024))+0-29.3--0.0448290000000017</f>
        <v>1487.0213709999998</v>
      </c>
      <c r="S43" s="3">
        <f>942.5+(597.8-59.8)+(-1.9227+(-1.219512--0.121992))+0-29.7--0.0605879999999987</f>
        <v>1447.8403679999999</v>
      </c>
      <c r="T43" s="3">
        <f>945.7+(524.1-57.8)+(0.482307+(0.267291-0.029478))+0-29.5-0.015044999999997</f>
        <v>1383.2050749999999</v>
      </c>
      <c r="U43" s="3">
        <f>944.6+(502.7-69.7)+(-1.445238+(-0.769131--0.106641))+0-29--0.0443700000000017</f>
        <v>1346.536642</v>
      </c>
      <c r="V43" s="3">
        <f>941.7+(508.5-69.6)+(-2.881602+(-1.55601--0.212976))+0-30.3--0.0927180000000035</f>
        <v>1346.1680820000001</v>
      </c>
      <c r="W43" s="3">
        <f>944.9+(516.3-69.7)+(-0.481899+(-0.263313--0.035547))+0-30.5--0.0155549999999969</f>
        <v>1360.3058899999999</v>
      </c>
      <c r="X43" s="3">
        <f>946.6+(535.1-68.5)+(-1.448298+(-0.818703--0.104805))+0-29--0.0443700000000017</f>
        <v>1382.0821740000001</v>
      </c>
      <c r="Y43" s="3">
        <f>966.3+(595.9-71.3)+(-0.985626+(-0.607818--0.072726))+0-29.3--0.0298860000000047</f>
        <v>1460.1091680000002</v>
      </c>
      <c r="Z43" s="3">
        <f>981.8+(802.7-78.5)+(-3.505026+(-2.865639--0.280245))+0-30.6--0.109242</f>
        <v>1669.4188220000001</v>
      </c>
      <c r="AA43" s="3">
        <f>981.4+(860.6-85.5)+(-2.002056+(-1.755624--0.17442))+0-29.3--0.0597719999999987</f>
        <v>1723.676512</v>
      </c>
      <c r="AB43" s="3">
        <f>985+(737.4-83.9)+(-2.51175+(-1.88037--0.213945))+0-30.3--0.0772649999999956</f>
        <v>1604.0990899999999</v>
      </c>
      <c r="AC43" s="3">
        <f>835.5+(693-93.5)+(-2.130525+(-1.76715--0.238425))+0-29.3--0.0747149999999958</f>
        <v>1402.1154650000001</v>
      </c>
      <c r="AD43">
        <f t="shared" si="0"/>
        <v>31432.148983999992</v>
      </c>
      <c r="AE43" s="3">
        <f>977.5+(872.4-81.9)+(0+(0-0))+0-30.8-0</f>
        <v>1737.2</v>
      </c>
    </row>
    <row r="44" spans="1:31" s="2" customFormat="1" x14ac:dyDescent="0.25">
      <c r="A44">
        <v>89</v>
      </c>
      <c r="B44">
        <v>2</v>
      </c>
      <c r="C44">
        <v>13</v>
      </c>
      <c r="D44">
        <v>3</v>
      </c>
      <c r="E44">
        <v>1</v>
      </c>
      <c r="F44" s="3">
        <f>690.1+(620.9-88.4)+(-2.111706+(-1.899954--0.270504))+0-27.7--0.0847620000000032</f>
        <v>1191.2436059999998</v>
      </c>
      <c r="G44" s="3">
        <f>627.5+(518.6-81.8)+(-2.240175+(-1.851402--0.292026))+0-27--0.0963900000000004</f>
        <v>1033.5968389999998</v>
      </c>
      <c r="H44" s="3">
        <f>627.1+(421.9-83.9)+(-0.319821+(-0.215169--0.042789))+0-24.9--0.0126989999999975</f>
        <v>939.72049800000002</v>
      </c>
      <c r="I44" s="3">
        <f>627+(398.5-85.3)+(-0.31977+(-0.203235--0.043503))+0-26.9--0.0137189999999973</f>
        <v>912.83421700000008</v>
      </c>
      <c r="J44" s="3">
        <f>627.2+(399.4-75)+(-0.639744+(-0.407388--0.0765))+0-28--0.0285600000000045</f>
        <v>922.65792799999997</v>
      </c>
      <c r="K44" s="3">
        <f>626.9+(410.8-68.8)+(-1.598595+(-1.04754--0.17544))+0-27.2--0.0693599999999961</f>
        <v>939.29866499999991</v>
      </c>
      <c r="L44" s="3">
        <f>627.6+(414.3-69.3)+(-1.920456+(-1.267758--0.212058))+0-26.8--0.0820080000000031</f>
        <v>942.9058520000001</v>
      </c>
      <c r="M44" s="3">
        <f>628.1+(490.9-70.3)+(0.320331+(0.250359-0.035853))+0-28.2-0.0143819999999971</f>
        <v>1021.020455</v>
      </c>
      <c r="N44" s="3">
        <f>640.8+(625.7-70)+(0+(0-0))+0-30.4-0</f>
        <v>1166.0999999999999</v>
      </c>
      <c r="O44" s="3">
        <f>726.7+(659.3-66.9)+(-1.111851+(-1.008729--0.102357))+0-30.4--0.0465120000000018</f>
        <v>1286.7282889999997</v>
      </c>
      <c r="P44" s="3">
        <f>960.7+(504.7-68.3)+(0+(0-0))+0-30.6-0</f>
        <v>1366.5</v>
      </c>
      <c r="Q44" s="3">
        <f>1042+(469.5-65.7)+(-2.12568+(-0.95778--0.134028))+0-31.1--0.0634439999999986</f>
        <v>1411.814012</v>
      </c>
      <c r="R44" s="3">
        <f>1061.6+(447.9-67)+(-0.541416+(-0.228429--0.03417))+0-29.8--0.015197999999997</f>
        <v>1411.9795230000002</v>
      </c>
      <c r="S44" s="3">
        <f>1061.5+(429.6-69.4)+(-2.16546+(-0.876384--0.141576))+0-28.4--0.0579359999999988</f>
        <v>1390.4576679999998</v>
      </c>
      <c r="T44" s="3">
        <f>1042.7+(381.7-67.3)+(-2.127108+(-0.778668--0.137292))+0-27.8--0.0567119999999988</f>
        <v>1326.5882280000001</v>
      </c>
      <c r="U44" s="3">
        <f>1037.3+(377.5-66.8)+(-1.587069+(-0.577575--0.102204))+0-29.9--0.0457470000000017</f>
        <v>1316.0833069999999</v>
      </c>
      <c r="V44" s="3">
        <f>1047.6+(388.2-68.7)+(-1.602828+(-0.593946--0.105111))+0-30.2--0.0462060000000017</f>
        <v>1334.8545429999999</v>
      </c>
      <c r="W44" s="3">
        <f>1054.5+(378.9-65.4)+(0+(0-0))+0-28.9-0</f>
        <v>1339.1</v>
      </c>
      <c r="X44" s="3">
        <f>1104.9+(344.3-69.1)+(-2.253996+(-0.702372--0.140964))+0-28.6--0.0583439999999988</f>
        <v>1348.7429400000003</v>
      </c>
      <c r="Y44" s="3">
        <f>1155+(346.8-73)+(0.58905+(0.176868-0.03723))+0-28.3-0.0144329999999971</f>
        <v>1401.2142549999999</v>
      </c>
      <c r="Z44" s="3">
        <f>1210.9+(564-75.5)+(-3.087795+(-1.4382--0.192525))+0-29.4--0.0749699999999957</f>
        <v>1665.7414999999999</v>
      </c>
      <c r="AA44" s="3">
        <f>1263.7+(621.7-78.2)+(-3.222435+(-1.585335--0.19941))+0-29--0.0739499999999958</f>
        <v>1773.6655900000001</v>
      </c>
      <c r="AB44" s="3">
        <f>1320.8+(479.5-79.4)+(-0.673608+(-0.244545--0.040494))+0-28.2--0.0143819999999971</f>
        <v>1691.8367230000001</v>
      </c>
      <c r="AC44" s="3">
        <f>1179.2+(445.3-83)+(-0.601392+(-0.227103--0.04233))+0-28.6--0.0145859999999971</f>
        <v>1512.1284210000001</v>
      </c>
      <c r="AD44">
        <f t="shared" si="0"/>
        <v>30646.813059</v>
      </c>
      <c r="AE44" s="3">
        <f>1263.7+(619.4-79.3)+(0+(0-0))+0-29.2-0</f>
        <v>1774.6000000000001</v>
      </c>
    </row>
    <row r="45" spans="1:31" s="2" customFormat="1" x14ac:dyDescent="0.25">
      <c r="A45">
        <v>89</v>
      </c>
      <c r="B45">
        <v>2</v>
      </c>
      <c r="C45">
        <v>14</v>
      </c>
      <c r="D45">
        <v>4</v>
      </c>
      <c r="E45">
        <v>1</v>
      </c>
      <c r="F45" s="3">
        <f>949.4+(417-96.3)+(-1.936776+(-0.85068--0.196452))+0-27.9--0.0569159999999988</f>
        <v>1239.6659119999997</v>
      </c>
      <c r="G45" s="3">
        <f>944.9+(336-153.6)+(-1.927596+(-0.68544--0.313344))+0-27.8--0.0567119999999988</f>
        <v>1097.25702</v>
      </c>
      <c r="H45" s="3">
        <f>946.7+(309.9-183.5)+(-1.448451+(-0.474147--0.280755))+0-27.7--0.0423810000000016</f>
        <v>1043.8005379999997</v>
      </c>
      <c r="I45" s="3">
        <f>945.8+(227.4-142.3)+(0.482358+(0.115974-0.072573))+18-10.1-0.00515099999999898</f>
        <v>1039.320608</v>
      </c>
      <c r="J45" s="3">
        <f>947.8+(257.4-190.1)+(1.933512+(0.525096-0.387804))+2.3-1.9-0.00387599999999992</f>
        <v>1017.5669279999998</v>
      </c>
      <c r="K45" s="3">
        <f>977.5+(276.8-221.6)+(-0.498525+(-0.141168--0.113016))+0-4.7--0.00239699999999952</f>
        <v>1027.4757199999999</v>
      </c>
      <c r="L45" s="3">
        <f>1097.4+(262.8-304)+(-2.79837+(-0.67014--0.7752))+0-16.8--0.0428399999999976</f>
        <v>1036.74953</v>
      </c>
      <c r="M45" s="3">
        <f>1199+(270.6-347.1)+(0+(0-0))+0-19.5-0</f>
        <v>1103</v>
      </c>
      <c r="N45" s="3">
        <f>1285.3+(285.1-300)+(-1.311006+(-0.290802--0.306))+0-11.7--0.0119340000000019</f>
        <v>1257.4161260000001</v>
      </c>
      <c r="O45" s="3">
        <f>1285.6+(291.1-198.6)+(1.311312+(0.296922-0.202572))+0-7.5-0.0076500000000012</f>
        <v>1371.9980119999998</v>
      </c>
      <c r="P45" s="3">
        <f>1282.3+(288.8-136.2)+(-1.961919+(-0.441864--0.208386))+0-8.1--0.0123930000000005</f>
        <v>1424.6169960000002</v>
      </c>
      <c r="Q45" s="3">
        <f>1281.8+(335.3-140.6)+(-1.307436+(-0.342006--0.143412))+0-8.1--0.00826200000000129</f>
        <v>1466.9022320000001</v>
      </c>
      <c r="R45" s="3">
        <f>1279.1+(343.9-135.1)+(-2.609364+(-0.701556--0.275604))+0-23--0.046919999999999</f>
        <v>1461.9116039999999</v>
      </c>
      <c r="S45" s="3">
        <f>1280.4+(324.9-147.7)+(0+(0-0))+0-9.4-0</f>
        <v>1448.2</v>
      </c>
      <c r="T45" s="3">
        <f>1282.2+(268.7-151.1)+(1.307844+(0.274074-0.154122))+0-5.9-0.00601800000000094</f>
        <v>1395.3217779999998</v>
      </c>
      <c r="U45" s="3">
        <f>1277.9+(267.4-169.3)+(-0.651729+(-0.136374--0.086343))+0-5.5--0.00280499999999944</f>
        <v>1369.8010450000002</v>
      </c>
      <c r="V45" s="3">
        <f>1279+(295.9-169.8)+(-1.30458+(-0.301818--0.173196))+0-15.5--0.0158100000000025</f>
        <v>1388.1826080000001</v>
      </c>
      <c r="W45" s="3">
        <f>1281.8+(306.8-170.9)+(-2.614872+(-0.625872--0.348636))+0-28.7--0.0585479999999987</f>
        <v>1386.16644</v>
      </c>
      <c r="X45" s="3">
        <f>1297.2+(320-184.3)+(-3.30786+(-0.816--0.469965))+0-28.9--0.0736949999999958</f>
        <v>1400.4198000000001</v>
      </c>
      <c r="Y45" s="3">
        <f>1370.6+(352.1-217.4)+(-1.398012+(-0.359142--0.221748))+0-27.6--0.0281520000000044</f>
        <v>1476.1927460000002</v>
      </c>
      <c r="Z45" s="3">
        <f>1415.7+(484.4-170.3)+(-2.888028+(-0.988176--0.347412))+0-29--0.0591599999999987</f>
        <v>1697.3303679999999</v>
      </c>
      <c r="AA45" s="3">
        <f>1385.3+(580.1-138.8)+(-1.413006+(-0.591702--0.141576))+0-29--0.0295800000000046</f>
        <v>1795.7664479999999</v>
      </c>
      <c r="AB45" s="3">
        <f>1292.9+(555.9-137)+(-1.978137+(-0.850527--0.20961))+0-29.4--0.0449820000000017</f>
        <v>1679.825928</v>
      </c>
      <c r="AC45" s="3">
        <f>1289.5+(423.1-195.5)+(-1.31529+(-0.431562--0.19941))+0-28.8--0.0293760000000046</f>
        <v>1486.7819339999999</v>
      </c>
      <c r="AD45">
        <f t="shared" si="0"/>
        <v>32111.670320999998</v>
      </c>
      <c r="AE45" s="3">
        <f>1418.7+(576.5-149)+(0+(0-0))+0-31-0</f>
        <v>1815.2</v>
      </c>
    </row>
    <row r="46" spans="1:31" s="2" customFormat="1" x14ac:dyDescent="0.25">
      <c r="A46">
        <v>89</v>
      </c>
      <c r="B46">
        <v>2</v>
      </c>
      <c r="C46">
        <v>15</v>
      </c>
      <c r="D46">
        <v>5</v>
      </c>
      <c r="E46">
        <v>1</v>
      </c>
      <c r="F46" s="3">
        <f>1254.6+(334.3-304.3)+(-0.639846+(-0.170493--0.155193))+0-27.8--0.0141779999999972</f>
        <v>1256.1590319999998</v>
      </c>
      <c r="G46" s="3">
        <f>1244.2+(197.3-322.3)+(-1.903626+(-0.301869--0.493119))+17-2.5--0.00382500000000014</f>
        <v>1131.9914490000001</v>
      </c>
      <c r="H46" s="3">
        <f>1243.8+(262.2-446.6)+(-1.268676+(-0.267444--0.455532))+0-2.6--0.00265200000000041</f>
        <v>1055.7220639999998</v>
      </c>
      <c r="I46" s="3">
        <f>1243.4+(260.1-455.7)+(-2.536536+(-0.530604--0.929628))+0-7.2--0.0146879999999997</f>
        <v>1038.4771760000001</v>
      </c>
      <c r="J46" s="3">
        <f>1244.7+(258.1-459.3)+(0.634797+(0.131631-0.234243))+0-17.9-0.00912899999999818</f>
        <v>1026.1230559999999</v>
      </c>
      <c r="K46" s="3">
        <f>1244.5+(257.4-457.3)+(0.634695+(0.131274-0.233223))+0-12.3-0.00627299999999875</f>
        <v>1032.8264730000001</v>
      </c>
      <c r="L46" s="3">
        <f>1247.5+(258.7-441.2)+(-2.5449+(-0.527748--0.900048))+0-26.9--0.0548759999999988</f>
        <v>1035.9822759999997</v>
      </c>
      <c r="M46" s="3">
        <f>1259.5+(266.2-384.6)+(0+(0-0))+0-27.4-0</f>
        <v>1113.6999999999998</v>
      </c>
      <c r="N46" s="3">
        <f>1309.8+(266.9-278.1)+(-0.667998+(-0.136119--0.141831))+0-30.2--0.0154019999999969</f>
        <v>1267.7531159999999</v>
      </c>
      <c r="O46" s="3">
        <f>1331+(268.4-188.7)+(0+(0-0))+0-29.1-0</f>
        <v>1381.6000000000001</v>
      </c>
      <c r="P46" s="3">
        <f>1336.7+(281.7-161.7)+(-1.363434+(-0.287334--0.164934))+0-30.6--0.0312120000000049</f>
        <v>1424.6453780000002</v>
      </c>
      <c r="Q46" s="3">
        <f>1396.4+(246.8-156.2)+(-1.424328+(-0.251736--0.159324))+0-31--0.0316200000000049</f>
        <v>1454.5148799999999</v>
      </c>
      <c r="R46" s="3">
        <f>1417.7+(258.7-174.4)+(-1.446054+(-0.263874--0.177888))+0-28.8--0.0293760000000046</f>
        <v>1471.697336</v>
      </c>
      <c r="S46" s="3">
        <f>1411.6+(270-188.7)+(0.719916+(0.1377-0.096237))+0-28.1-0.0143309999999971</f>
        <v>1465.5470479999999</v>
      </c>
      <c r="T46" s="3">
        <f>1405.8+(228.8-189.7)+(2.150874+(0.350064-0.290241))+0-29.7-0.0454410000000017</f>
        <v>1417.365256</v>
      </c>
      <c r="U46" s="3">
        <f>1409.5+(207.9-189.2)+(-1.43769+(-0.212058--0.192984))+0-29.1--0.0296820000000046</f>
        <v>1397.6729180000002</v>
      </c>
      <c r="V46" s="3">
        <f>1418.9+(163.1-165.9)+(-2.170917+(-0.249543--0.253827))+0-29.3--0.0448290000000017</f>
        <v>1384.6781960000001</v>
      </c>
      <c r="W46" s="3">
        <f>1398.1+(160.4-133.2)+(-2.139093+(-0.245412--0.203796))+0-29.6--0.0452880000000017</f>
        <v>1393.5645790000001</v>
      </c>
      <c r="X46" s="3">
        <f>1401.4+(123.7-122.2)+(-3.57357+(-0.315435--0.31161))+0-27.6--0.070379999999996</f>
        <v>1371.792985</v>
      </c>
      <c r="Y46" s="3">
        <f>1401.6+(233-155.9)+(-1.429632+(-0.23766--0.159018))+0-28.4--0.0289680000000045</f>
        <v>1448.8206939999998</v>
      </c>
      <c r="Z46" s="3">
        <f>1403.6+(427.2-117.2)+(-0.715836+(-0.217872--0.059772))+0-27.6--0.0140759999999972</f>
        <v>1685.14014</v>
      </c>
      <c r="AA46" s="3">
        <f>1363.6+(547.7-102.3)+(-3.47718+(-1.396635--0.260865))+0-29.9--0.0762449999999957</f>
        <v>1774.5632949999999</v>
      </c>
      <c r="AB46" s="3">
        <f>1323.3+(510.8-114)+(-1.349766+(-0.521016--0.11628))+0-28.9--0.0294780000000046</f>
        <v>1689.4749759999997</v>
      </c>
      <c r="AC46" s="3">
        <f>1280+(388.1-146.4)+(-1.9584+(-0.593793--0.223992))+0-27.4--0.0419220000000016</f>
        <v>1492.013721</v>
      </c>
      <c r="AD46">
        <f t="shared" si="0"/>
        <v>32211.826044000001</v>
      </c>
      <c r="AE46" s="3">
        <f>1399+(509.3-100.2)+(0+(0-0))+0-29.2-0</f>
        <v>1778.8999999999999</v>
      </c>
    </row>
    <row r="47" spans="1:31" s="2" customFormat="1" x14ac:dyDescent="0.25">
      <c r="A47">
        <v>89</v>
      </c>
      <c r="B47">
        <v>2</v>
      </c>
      <c r="C47">
        <v>16</v>
      </c>
      <c r="D47">
        <v>6</v>
      </c>
      <c r="E47">
        <v>1</v>
      </c>
      <c r="F47" s="3">
        <f>1151.3+(300.7-164.4)+(0+(0-0))+1.8-21.2-0</f>
        <v>1268.1999999999998</v>
      </c>
      <c r="G47" s="3">
        <f>1139.9+(196.3-221.4)+(0+(0-0))+9-0-0</f>
        <v>1123.8000000000002</v>
      </c>
      <c r="H47" s="3">
        <f>1140.9+(262.4-341.6)+(0+(0-0))+0-4-0</f>
        <v>1057.7</v>
      </c>
      <c r="I47" s="3">
        <f>1141.1+(259.6-369.4)+(0+(0-0))+0-13.7-0</f>
        <v>1017.5999999999999</v>
      </c>
      <c r="J47" s="3">
        <f>1141.1+(263.5-371.1)+(0+(0-0))+0-29.2-0</f>
        <v>1004.3</v>
      </c>
      <c r="K47" s="3">
        <f>1140.6+(266.9-355.4)+(0+(0-0))+0-28.2-0</f>
        <v>1023.8999999999999</v>
      </c>
      <c r="L47" s="3">
        <f>1135.9+(263.5-365.7)+(0+(0-0))+0-29.1-0</f>
        <v>1004.6</v>
      </c>
      <c r="M47" s="3">
        <f>1180.3+(265.1-335.6)+(0+(0-0))+0-29.3-0</f>
        <v>1080.5</v>
      </c>
      <c r="N47" s="3">
        <f>1188.4+(269.8-204.8)+(0+(0-0))+0-30.8-0</f>
        <v>1222.6000000000001</v>
      </c>
      <c r="O47" s="3">
        <f>1259.8+(260.6-154.7)+(0+(0-0))+0-30.1-0</f>
        <v>1335.6000000000001</v>
      </c>
      <c r="P47" s="3">
        <f>1378+(201.1-164.4)+(0+(0-0))+0-26-0</f>
        <v>1388.7</v>
      </c>
      <c r="Q47" s="3">
        <f>1388.5+(202.8-171.8)+(0+(0-0))+0-11.1-0</f>
        <v>1408.4</v>
      </c>
      <c r="R47" s="3">
        <f>1388.5+(182.3-166.2)+(0.708135+(0.092973-0.084762))+0-5.7-0.00290699999999942</f>
        <v>1399.6134389999997</v>
      </c>
      <c r="S47" s="3">
        <f>1363.7+(175.8-163.8)+(0+(0-0))+0-12.8-0</f>
        <v>1362.9</v>
      </c>
      <c r="T47" s="3">
        <f>1379.5+(119.5-164.2)+(-1.40709+(-0.12189--0.167484))+0-24.5--0.0249900000000039</f>
        <v>1308.9634940000001</v>
      </c>
      <c r="U47" s="3">
        <f>1379.4+(114.6-162.4)+(-2.110482+(-0.175338--0.248472))+0-25.5--0.0390150000000015</f>
        <v>1304.1016670000001</v>
      </c>
      <c r="V47" s="3">
        <f>1376.2+(121-165.3)+(-3.50931+(-0.30855--0.421515))+0-27.6--0.070379999999996</f>
        <v>1300.974035</v>
      </c>
      <c r="W47" s="3">
        <f>1294.9+(207-155.8)+(-1.981197+(-0.31671--0.238374))+0-28.2--0.0431460000000016</f>
        <v>1315.883613</v>
      </c>
      <c r="X47" s="3">
        <f>1296.9+(248.8-140.8)+(-1.322838+(-0.253776--0.143616))+0-27.5--0.0280500000000044</f>
        <v>1375.995052</v>
      </c>
      <c r="Y47" s="3">
        <f>1304.6+(269.9-130)+(-1.330692+(-0.275298--0.1326))+0-29.8--0.0303960000000048</f>
        <v>1413.257006</v>
      </c>
      <c r="Z47" s="3">
        <f>1329.2+(444.7-108.5)+(-2.033676+(-0.680391--0.166005))+0-30.1--0.0460530000000017</f>
        <v>1632.7979910000001</v>
      </c>
      <c r="AA47" s="3">
        <f>1284.4+(566.4-100.4)+(-2.620176+(-1.155456--0.204816))+0-29.7--0.0605879999999987</f>
        <v>1717.1897720000002</v>
      </c>
      <c r="AB47" s="3">
        <f>1276.5+(499.3-119.3)+(0.651015+(0.254643-0.060843))+0-28.9-0.0147389999999971</f>
        <v>1628.4300759999999</v>
      </c>
      <c r="AC47" s="3">
        <f>1253.2+(399.3-144.5)+(-1.278264+(-0.407286--0.14739))+0-28--0.0285600000000045</f>
        <v>1478.4903999999999</v>
      </c>
      <c r="AD47">
        <f t="shared" si="0"/>
        <v>31174.496544999998</v>
      </c>
      <c r="AE47" s="3">
        <f>1344.5+(504.5-101)+(0+(0-0))+0-28.4-0</f>
        <v>1719.6</v>
      </c>
    </row>
    <row r="48" spans="1:31" s="2" customFormat="1" x14ac:dyDescent="0.25">
      <c r="A48">
        <v>89</v>
      </c>
      <c r="B48">
        <v>2</v>
      </c>
      <c r="C48">
        <v>17</v>
      </c>
      <c r="D48">
        <v>7</v>
      </c>
      <c r="E48">
        <v>1</v>
      </c>
      <c r="F48" s="3">
        <f>1152.2+(333.5-182.7)+(-1.175244+(-0.34017--0.186354))+0-27.3--0.0278460000000044</f>
        <v>1274.398786</v>
      </c>
      <c r="G48" s="3">
        <f>927.2+(368.4-176.9)+(-1.418616+(-0.563652--0.270657))+0-27.8--0.0425340000000016</f>
        <v>1089.2309230000001</v>
      </c>
      <c r="H48" s="3">
        <f>920+(340.6-218)+(-1.8768+(-0.694824--0.44472))+0-27.6--0.0563039999999988</f>
        <v>1012.9293999999999</v>
      </c>
      <c r="I48" s="3">
        <f>920+(322.6-228.6)+(-0.4692+(-0.164526--0.116586))+0-28.3--0.0144329999999971</f>
        <v>985.19729300000006</v>
      </c>
      <c r="J48" s="3">
        <f>920+(319.4-231.5)+(-1.4076+(-0.488682--0.354195))+0-28.1--0.0429930000000016</f>
        <v>978.30090599999994</v>
      </c>
      <c r="K48" s="3">
        <f>920.2+(226.3-215.4)+(0+(0-0))+9.3-15.1-0</f>
        <v>925.3</v>
      </c>
      <c r="L48" s="3">
        <f>916.8+(250.1-229.6)+(-1.870272+(-0.510204--0.468384))+13.6-1.1--0.00224399999999995</f>
        <v>947.89015199999994</v>
      </c>
      <c r="M48" s="3">
        <f>917.6+(266.3-262.5)+(-0.935952+(-0.271626--0.26775))+0-5.4--0.00550800000000086</f>
        <v>915.06568000000004</v>
      </c>
      <c r="N48" s="3">
        <f>919.5+(297.8-222)+(-1.406835+(-0.455634--0.33966))+0-7.5--0.0114750000000004</f>
        <v>986.28866599999992</v>
      </c>
      <c r="O48" s="3">
        <f>926.1+(321.6-148.7)+(0+(0-0))+0-19.1-0</f>
        <v>1079.9000000000001</v>
      </c>
      <c r="P48" s="3">
        <f>937.7+(339.6-116.1)+(-0.478227+(-0.173196--0.059211))+0-29.1--0.014840999999997</f>
        <v>1131.5226290000001</v>
      </c>
      <c r="Q48" s="3">
        <f>939.2+(353.8-105.7)+(0+(0-0))+0-30.8-0</f>
        <v>1156.5000000000002</v>
      </c>
      <c r="R48" s="3">
        <f>951.2+(336.2-99.4)+(0+(0-0))+0-29.2-0</f>
        <v>1158.8</v>
      </c>
      <c r="S48" s="3">
        <f>947+(316.8-103.7)+(0+(0-0))+0-28.9-0</f>
        <v>1131.1999999999998</v>
      </c>
      <c r="T48" s="3">
        <f>948.5+(291.5-119.2)+(0+(0-0))+0-28.8-0</f>
        <v>1092</v>
      </c>
      <c r="U48" s="3">
        <f>948.1+(292.7-146.5)+(0+(0-0))+0-27.9-0</f>
        <v>1066.3999999999999</v>
      </c>
      <c r="V48" s="3">
        <f>946.8+(300.7-155.5)+(-2.41434+(-0.766785--0.396525))+0-28.6--0.0729299999999959</f>
        <v>1060.6883300000002</v>
      </c>
      <c r="W48" s="3">
        <f>947.5+(300.4-157.3)+(-1.449675+(-0.459612--0.240669))+0-28.3--0.0432990000000016</f>
        <v>1060.674681</v>
      </c>
      <c r="X48" s="3">
        <f>948.2+(320.7-146.9)+(-0.967164+(-0.327114--0.149838))+0-27.9--0.0284580000000044</f>
        <v>1092.9840179999999</v>
      </c>
      <c r="Y48" s="3">
        <f>970.5+(329.4-153.5)+(-0.98991+(-0.335988--0.15657))+0-29.2--0.0297840000000047</f>
        <v>1116.0604560000002</v>
      </c>
      <c r="Z48" s="3">
        <f>1050.9+(454.7-88.6)+(-2.679795+(-1.159485--0.22593))+0-30.8--0.0785399999999955</f>
        <v>1382.6651899999999</v>
      </c>
      <c r="AA48" s="3">
        <f>1081.1+(657.2-96.4)+(-1.102722+(-0.670344--0.098328))+0-29.3--0.0298860000000047</f>
        <v>1610.9551480000002</v>
      </c>
      <c r="AB48" s="3">
        <f>1079.2+(600.9-96.2)+(-1.651176+(-0.919377--0.147186))+0-29.8--0.0455940000000017</f>
        <v>1551.722227</v>
      </c>
      <c r="AC48" s="3">
        <f>1073.2+(445.7-96.1)+(-0.547332+(-0.227307--0.049011))+0-29.5--0.015044999999997</f>
        <v>1392.5894170000004</v>
      </c>
      <c r="AD48">
        <f t="shared" si="0"/>
        <v>27199.263901999999</v>
      </c>
      <c r="AE48" s="3">
        <f>1076.5+(649.5-94.5)+(0+(0-0))+0-26.8-0</f>
        <v>1604.7</v>
      </c>
    </row>
    <row r="49" spans="1:31" s="2" customFormat="1" x14ac:dyDescent="0.25">
      <c r="A49">
        <v>89</v>
      </c>
      <c r="B49">
        <v>2</v>
      </c>
      <c r="C49">
        <v>18</v>
      </c>
      <c r="D49">
        <v>1</v>
      </c>
      <c r="E49">
        <v>1</v>
      </c>
      <c r="F49" s="3">
        <f>981.5+(340.5-133)+(-1.501695+(-0.520965--0.20349))+0-28.9--0.0442170000000017</f>
        <v>1158.3250469999998</v>
      </c>
      <c r="G49" s="3">
        <f>922.2+(304.7-183.8)+(-0.470322+(-0.155397--0.093738))+0-28.5--0.0145349999999971</f>
        <v>1014.0825539999998</v>
      </c>
      <c r="H49" s="3">
        <f>920.2+(282.9-227.1)+(-0.938604+(-0.288558--0.231642))+0-22.2--0.0226440000000035</f>
        <v>952.82712399999991</v>
      </c>
      <c r="I49" s="3">
        <f>828.3+(297-180.3)+(-0.422433+(-0.15147--0.091953))+0-18.3--0.00933299999999814</f>
        <v>926.22738300000003</v>
      </c>
      <c r="J49" s="3">
        <f>722.8+(329.1-119.7)+(0.368628+(0.167841-0.061047))+0-25-0.0127499999999975</f>
        <v>907.66267200000004</v>
      </c>
      <c r="K49" s="3">
        <f>675.2+(369.1-94.5)+(-0.688704+(-0.376482--0.09639))+0-27.8--0.0283560000000044</f>
        <v>921.05956000000015</v>
      </c>
      <c r="L49" s="3">
        <f>683.6+(354.4-90.3)+(-0.348636+(-0.180744--0.046053))+0-28.2--0.0143819999999971</f>
        <v>919.03105499999992</v>
      </c>
      <c r="M49" s="3">
        <f>802.5+(317.2-92.2)+(0+(0-0))+0-28.3-0</f>
        <v>999.2</v>
      </c>
      <c r="N49" s="3">
        <f>849.8+(402.2-63.3)+(-1.300194+(-0.615366--0.096849))+0-30--0.0459000000000017</f>
        <v>1156.927189</v>
      </c>
      <c r="O49" s="3">
        <f>868+(537.3-63.8)+(0+(0-0))+0-28.7-0</f>
        <v>1312.8</v>
      </c>
      <c r="P49" s="3">
        <f>863.2+(580.3-60.5)+(-0.880464+(-0.591906--0.06171))+0-29.4--0.0299880000000047</f>
        <v>1352.2193279999999</v>
      </c>
      <c r="Q49" s="3">
        <f>861.2+(624-57.3)+(-0.878424+(-0.63648--0.058446))+0-29.8--0.0303960000000048</f>
        <v>1396.6739380000001</v>
      </c>
      <c r="R49" s="3">
        <f>951.6+(511.8-52.3)+(-0.485316+(-0.261018--0.026673))+0-28.3--0.0144329999999971</f>
        <v>1382.0947719999999</v>
      </c>
      <c r="S49" s="3">
        <f>1025+(416.6-54.1)+(-1.56825+(-0.637398--0.082773))+0-27.4--0.0419220000000016</f>
        <v>1358.019047</v>
      </c>
      <c r="T49" s="3">
        <f>1042+(345.2-52.1)+(-1.59426+(-0.528156--0.079713))+0-28.2--0.0431460000000016</f>
        <v>1304.9004429999998</v>
      </c>
      <c r="U49" s="3">
        <f>1113+(312.1-64.7)+(-2.27052+(-0.636684--0.131988))+0-27.3--0.0556919999999988</f>
        <v>1330.380476</v>
      </c>
      <c r="V49" s="3">
        <f>1118+(311.2-58.7)+(-1.14036+(-0.317424--0.059874))+0-28.1--0.0286620000000045</f>
        <v>1341.0307520000001</v>
      </c>
      <c r="W49" s="3">
        <f>1143+(310.6-55.6)+(-3.49758+(-0.950436--0.170136))+0-28.3--0.0865980000000033</f>
        <v>1365.508718</v>
      </c>
      <c r="X49" s="3">
        <f>1280.4+(256.5-112.2)+(-4.571028+(-0.915705--0.400554))+0-27.5--0.0981750000000004</f>
        <v>1392.2119960000002</v>
      </c>
      <c r="Y49" s="3">
        <f>1483.8+(245.9-251.3)+(-3.026952+(-0.501636--0.512652))+0-29.1--0.0593639999999987</f>
        <v>1446.3434279999999</v>
      </c>
      <c r="Z49" s="3">
        <f>1655.4+(270.4-224.6)+(-1.688508+(-0.275808--0.229092))+0-30.3--0.0309060000000048</f>
        <v>1669.195682</v>
      </c>
      <c r="AA49" s="3">
        <f>1536+(391.8-120.4)+(-2.35008+(-0.599454--0.184212))+0-24.1--0.0368730000000014</f>
        <v>1780.5715510000002</v>
      </c>
      <c r="AB49" s="3">
        <f>1406.6+(411.1-109.5)+(-2.869464+(-0.838644--0.22338))+0-26.8--0.0546719999999988</f>
        <v>1677.9699439999999</v>
      </c>
      <c r="AC49" s="3">
        <f>1269.4+(407.5-149.7)+(-1.294788+(-0.41565--0.152694))+0-26.7--0.0272340000000043</f>
        <v>1498.96949</v>
      </c>
      <c r="AD49">
        <f t="shared" si="0"/>
        <v>30564.232148999999</v>
      </c>
      <c r="AE49" s="3">
        <f>1690+(320.8-182.4)+(0+(0-0))+0-30-0</f>
        <v>1798.4</v>
      </c>
    </row>
    <row r="50" spans="1:31" s="2" customFormat="1" x14ac:dyDescent="0.25">
      <c r="A50">
        <v>89</v>
      </c>
      <c r="B50">
        <v>2</v>
      </c>
      <c r="C50">
        <v>19</v>
      </c>
      <c r="D50">
        <v>2</v>
      </c>
      <c r="E50">
        <v>1</v>
      </c>
      <c r="F50" s="3">
        <f>1231.2+(287.4-232.1)+(-1.255824+(-0.293148--0.236742))+0-27.1--0.0276420000000043</f>
        <v>1258.1154120000001</v>
      </c>
      <c r="G50" s="3">
        <f>1078.5+(278.7-234.7)+(-0.550035+(-0.142137--0.119697))+0-26.6--0.0135659999999973</f>
        <v>1095.3410910000002</v>
      </c>
      <c r="H50" s="3">
        <f>1011.7+(276.4-237.3)+(0+(0-0))+0-27.2-0</f>
        <v>1023.5999999999999</v>
      </c>
      <c r="I50" s="3">
        <f>972.4+(257.4-204.5)+(-0.495924+(-0.131274--0.104295))+0-28.1--0.0143309999999971</f>
        <v>996.69142799999986</v>
      </c>
      <c r="J50" s="3">
        <f>969.9+(252.5-205.9)+(-0.989298+(-0.25755--0.210018))+0-28.5--0.0290700000000045</f>
        <v>986.99224000000004</v>
      </c>
      <c r="K50" s="3">
        <f>971.6+(261.8-205.9)+(-2.47758+(-0.66759--0.525045))+0-28.7--0.0731849999999958</f>
        <v>996.25306</v>
      </c>
      <c r="L50" s="3">
        <f>971.4+(265.7-211.5)+(-2.47707+(-0.677535--0.539325))+0-27.6--0.070379999999996</f>
        <v>995.4550999999999</v>
      </c>
      <c r="M50" s="3">
        <f>1062.6+(256.2-220.3)+(-1.083852+(-0.261324--0.224706))+0-28.4--0.0289680000000045</f>
        <v>1069.0084979999999</v>
      </c>
      <c r="N50" s="3">
        <f>1117.2+(265.1-141.8)+(-1.709316+(-0.405603--0.216954))+0-30.2--0.0462060000000017</f>
        <v>1208.4482409999998</v>
      </c>
      <c r="O50" s="3">
        <f>1205.4+(258.4-109.3)+(-0.614754+(-0.131784--0.055743))+0-30.6--0.0156059999999969</f>
        <v>1323.224811</v>
      </c>
      <c r="P50" s="3">
        <f>1304.4+(233.7-120.8)+(0+(0-0))+0-30-0</f>
        <v>1387.3000000000002</v>
      </c>
      <c r="Q50" s="3">
        <f>1367+(186.7-156.9)+(-0.69717+(-0.095217--0.080019))+0-29.2--0.014891999999997</f>
        <v>1366.9025239999999</v>
      </c>
      <c r="R50" s="3">
        <f>1376.8+(200.7-140.2)+(-1.404336+(-0.204714--0.143004))+0-26.2--0.0267240000000042</f>
        <v>1409.660678</v>
      </c>
      <c r="S50" s="3">
        <f>1322.8+(214.8-129.9)+(-2.023884+(-0.328644--0.198747))+0-27.1--0.0414630000000016</f>
        <v>1378.4876820000002</v>
      </c>
      <c r="T50" s="3">
        <f>1368.3+(184.8-191.6)+(-1.395666+(-0.188496--0.195432))+0-27.9--0.0284580000000044</f>
        <v>1332.239728</v>
      </c>
      <c r="U50" s="3">
        <f>1405.4+(192.2-226.1)+(-3.58377+(-0.49011--0.576555))+0-28.9--0.0736949999999958</f>
        <v>1339.1763699999999</v>
      </c>
      <c r="V50" s="3">
        <f>1409.6+(198.6-237.5)+(-1.437792+(-0.202572--0.24225))+0-29.5--0.0300900000000047</f>
        <v>1339.8319759999997</v>
      </c>
      <c r="W50" s="3">
        <f>1408.8+(219.2-257.6)+(-4.310928+(-0.670752--0.788256))+0-29.9--0.0914940000000034</f>
        <v>1336.3980699999997</v>
      </c>
      <c r="X50" s="3">
        <f>1345.5+(266.5-230.6)+(-2.74482+(-0.54366--0.470424))+0-28.8--0.0587519999999987</f>
        <v>1349.840696</v>
      </c>
      <c r="Y50" s="3">
        <f>1349.4+(271.5-195.7)+(0+(0-0))+0-28.4-0</f>
        <v>1396.8</v>
      </c>
      <c r="Z50" s="3">
        <f>1399.9+(382-122.3)+(-2.855796+(-0.77928--0.249492))+0-28.4--0.0579359999999988</f>
        <v>1627.8723519999999</v>
      </c>
      <c r="AA50" s="3">
        <f>1413.2+(486.9-79.8)+(-3.60366+(-1.241595--0.20349))+0-28.5--0.0726749999999959</f>
        <v>1787.2309099999998</v>
      </c>
      <c r="AB50" s="3">
        <f>1411+(436.6-124.6)+(-2.15883+(-0.667998--0.190638))+0-28.3--0.0432990000000016</f>
        <v>1692.107109</v>
      </c>
      <c r="AC50" s="3">
        <f>1325+(375-181.1)+(-3.37875+(-0.95625--0.461805))+0-28.6--0.0729299999999959</f>
        <v>1486.4997350000003</v>
      </c>
      <c r="AD50">
        <f t="shared" si="0"/>
        <v>31183.477711</v>
      </c>
      <c r="AE50" s="3">
        <f>1421+(488.3-71.4)+(0+(0-0))+0-30-0</f>
        <v>1807.9</v>
      </c>
    </row>
    <row r="51" spans="1:31" s="2" customFormat="1" x14ac:dyDescent="0.25">
      <c r="A51">
        <v>89</v>
      </c>
      <c r="B51">
        <v>2</v>
      </c>
      <c r="C51">
        <v>20</v>
      </c>
      <c r="D51">
        <v>3</v>
      </c>
      <c r="E51">
        <v>1</v>
      </c>
      <c r="F51" s="3">
        <f>1254.9+(273.9-248.4)+(-5.759991+(-1.257201--1.140156))+0-27.9--0.128061000000005</f>
        <v>1246.751025</v>
      </c>
      <c r="G51" s="3">
        <f>1211.3+(258.1-336)+(-5.559867+(-1.184679--1.54224))+0-27.6--0.126684000000005</f>
        <v>1100.7243780000003</v>
      </c>
      <c r="H51" s="3">
        <f>1185.7+(245-366)+(0.604707+(0.12495-0.18666))+0-27.8-0.0141779999999972</f>
        <v>1037.4288190000002</v>
      </c>
      <c r="I51" s="3">
        <f>1183.6+(244.6-385.3)+(-4.225452+(-0.873222--1.375521))+0-27.4--0.0978180000000004</f>
        <v>1011.8746649999999</v>
      </c>
      <c r="J51" s="3">
        <f>1183.2+(241.2-387.7)+(-0.603432+(-0.123012--0.197727))+0-27.8--0.0141779999999972</f>
        <v>1008.3854610000002</v>
      </c>
      <c r="K51" s="3">
        <f>1183.8+(240.5-387.2)+(-3.01869+(-0.613275--0.98736))+0-28--0.0713999999999959</f>
        <v>1006.526795</v>
      </c>
      <c r="L51" s="3">
        <f>1186.6+(241.2-370.4)+(-1.815498+(-0.369036--0.566712))+0-27.3--0.0417690000000016</f>
        <v>1028.5239469999999</v>
      </c>
      <c r="M51" s="3">
        <f>1223+(227.5-323.8)+(1.24746+(0.23205-0.330276))+0-27.9-0.0284580000000044</f>
        <v>1099.9207759999999</v>
      </c>
      <c r="N51" s="3">
        <f>1328+(192.5-229.5)+(1.35456+(0.19635-0.23409))+0-30.7-0.0313140000000049</f>
        <v>1261.5855059999999</v>
      </c>
      <c r="O51" s="3">
        <f>1385.8+(175.4-143.1)+(-2.120274+(-0.268362--0.218943))+0-31.1--0.0475830000000018</f>
        <v>1384.87789</v>
      </c>
      <c r="P51" s="3">
        <f>1382.2+(215.6-124.4)+(-1.409844+(-0.219912--0.126888))+0-31.3--0.031926000000005</f>
        <v>1440.6290580000002</v>
      </c>
      <c r="Q51" s="3">
        <f>1424.2+(195.5-134.3)+(-0.726342+(-0.099705--0.068493))+0-31--0.0158099999999969</f>
        <v>1453.6582560000002</v>
      </c>
      <c r="R51" s="3">
        <f>1811.5+(129.4-440)+(-2.771595+(-0.197982--0.6732))+0-29.3--0.0448290000000017</f>
        <v>1469.3484520000002</v>
      </c>
      <c r="S51" s="3">
        <f>1963.3+(125.2-622.7)+(-2.002566+(-0.127704--0.635154))+0-29.5--0.0300900000000047</f>
        <v>1434.8349739999999</v>
      </c>
      <c r="T51" s="3">
        <f>1958+(129-677)+(-1.99716+(-0.13158--0.69054))+0-30.1--0.0307020000000048</f>
        <v>1378.4925020000001</v>
      </c>
      <c r="U51" s="3">
        <f>1894.9+(129.6-609.4)+(0+(0-0))+0-31.5-0</f>
        <v>1383.6000000000001</v>
      </c>
      <c r="V51" s="3">
        <f>1873.3+(130-583.8)+(-4.776915+(-0.3315--1.48869))+0-31--0.0790499999999955</f>
        <v>1384.959325</v>
      </c>
      <c r="W51" s="3">
        <f>1876.7+(157.8-591)+(-4.785585+(-0.40239--1.50705))+0-30.7--0.0782849999999955</f>
        <v>1409.1973600000001</v>
      </c>
      <c r="X51" s="3">
        <f>1825.8+(202.9-578.6)+(-5.586948+(-0.620874--1.770516))+0-28.8--0.0881280000000033</f>
        <v>1416.950822</v>
      </c>
      <c r="Y51" s="3">
        <f>1842.7+(210.4-550.2)+(-0.939777+(-0.107304--0.280602))+0-29.1--0.014840999999997</f>
        <v>1473.0483620000002</v>
      </c>
      <c r="Z51" s="3">
        <f>1932.7+(247.7-478.2)+(-3.942708+(-0.505308--0.975528))+0-29.5--0.0601799999999987</f>
        <v>1669.2876919999999</v>
      </c>
      <c r="AA51" s="3">
        <f>1931.3+(252.3-358.6)+(-5.909778+(-0.772038--1.097316))+0-29.4--0.0899640000000034</f>
        <v>1790.105464</v>
      </c>
      <c r="AB51" s="3">
        <f>1748.7+(260.3-287.6)+(-3.567348+(-0.531012--0.586704))+0-29--0.0591599999999987</f>
        <v>1688.9475040000002</v>
      </c>
      <c r="AC51" s="3">
        <f>1394.1+(326.7-196.8)+(-2.132973+(-0.499851--0.301104))+0-25.3--0.0387090000000015</f>
        <v>1496.4069890000001</v>
      </c>
      <c r="AD51">
        <f t="shared" si="0"/>
        <v>32076.066021999999</v>
      </c>
      <c r="AE51" s="3">
        <f>1940.4+(260.5-361.2)+(0+(0-0))+0-30.8-0</f>
        <v>1808.9</v>
      </c>
    </row>
    <row r="52" spans="1:31" s="2" customFormat="1" x14ac:dyDescent="0.25">
      <c r="A52">
        <v>89</v>
      </c>
      <c r="B52">
        <v>2</v>
      </c>
      <c r="C52">
        <v>21</v>
      </c>
      <c r="D52">
        <v>4</v>
      </c>
      <c r="E52">
        <v>1</v>
      </c>
      <c r="F52" s="3">
        <f>1124.7+(321.2-163.6)+(-0.573597+(-0.163812--0.083436))+0-28.9--0.0147389999999971</f>
        <v>1252.7607659999999</v>
      </c>
      <c r="G52" s="3">
        <f>1112.5+(270.5-239.1)+(-1.13475+(-0.27591--0.243882))+0-29.6--0.0301920000000047</f>
        <v>1113.1634140000001</v>
      </c>
      <c r="H52" s="3">
        <f>1100.2+(257.6-290.7)+(-2.80551+(-0.65688--0.741285))+0-27.7--0.070634999999996</f>
        <v>1036.74953</v>
      </c>
      <c r="I52" s="3">
        <f>1153.2+(250.1-358)+(-1.176264+(-0.255102--0.36516))+0-27.7--0.0282540000000044</f>
        <v>1016.562048</v>
      </c>
      <c r="J52" s="3">
        <f>1149.7+(250.1-358.3)+(0+(0-0))+0-27.8-0</f>
        <v>1013.7</v>
      </c>
      <c r="K52" s="3">
        <f>1151+(251.1-351.3)+(-2.34804+(-0.512244--0.716652))+0-28.4--0.0579359999999988</f>
        <v>1020.314304</v>
      </c>
      <c r="L52" s="3">
        <f>1150.6+(247.3-354.7)+(-1.760418+(-0.378369--0.542691))+0-28.3--0.0432990000000016</f>
        <v>1013.3472029999999</v>
      </c>
      <c r="M52" s="3">
        <f>1169.1+(240-296.9)+(0+(0-0))+0-28.2-0</f>
        <v>1083.9999999999998</v>
      </c>
      <c r="N52" s="3">
        <f>1225.1+(211.1-167.7)+(1.249602+(0.215322-0.171054))+0-29-0.0295800000000046</f>
        <v>1240.7642900000001</v>
      </c>
      <c r="O52" s="3">
        <f>1291+(247-148.5)+(-0.65841+(-0.12597--0.075735))+0-29--0.0147899999999971</f>
        <v>1359.806145</v>
      </c>
      <c r="P52" s="3">
        <f>1314.3+(260.7-131.3)+(1.340586+(0.265914-0.133926))+0-28.7-0.0292740000000046</f>
        <v>1416.4432999999997</v>
      </c>
      <c r="Q52" s="3">
        <f>1465.2+(215.5-204.4)+(1.494504+(0.21981-0.208488))+0-27.7-0.0282540000000044</f>
        <v>1450.0775719999999</v>
      </c>
      <c r="R52" s="3">
        <f>1905.7+(189.5-594.6)+(-2.915721+(-0.289935--0.909738))+0-29.1--0.0445230000000017</f>
        <v>1469.248605</v>
      </c>
      <c r="S52" s="3">
        <f>1847.5+(172.2-547.6)+(-0.942225+(-0.087822--0.279276))+0-28.4--0.0144839999999971</f>
        <v>1442.9637129999999</v>
      </c>
      <c r="T52" s="3">
        <f>1954.9+(173.5-717.9)+(-2.990997+(-0.265455--1.098387))+0-24.2--0.0370260000000014</f>
        <v>1384.1789609999998</v>
      </c>
      <c r="U52" s="3">
        <f>1964.4+(181.6-743.6)+(-4.007376+(-0.370464--1.516944))+0-22.5--0.045899999999999</f>
        <v>1377.0850040000003</v>
      </c>
      <c r="V52" s="3">
        <f>1960.6+(182.3-724.5)+(-3.999624+(-0.371892--1.47798))+0-29.3--0.0597719999999987</f>
        <v>1386.2662359999999</v>
      </c>
      <c r="W52" s="3">
        <f>1908.5+(186.7-664.4)+(-5.84001+(-0.571302--2.033064))+0-28.1--0.0859860000000033</f>
        <v>1398.4077380000001</v>
      </c>
      <c r="X52" s="3">
        <f>1870.6+(186.2-646.3)+(-3.816024+(-0.379848--1.318452))+0-28.7--0.0585479999999987</f>
        <v>1378.9811279999999</v>
      </c>
      <c r="Y52" s="3">
        <f>1852.4+(186.5-591.4)+(-1.889448+(-0.19023--0.603228))+0-28.3--0.0288660000000045</f>
        <v>1417.752416</v>
      </c>
      <c r="Z52" s="3">
        <f>1985.5+(242.8-536.5)+(-1.012605+(-0.123828--0.273615))+0-28.6--0.0145859999999971</f>
        <v>1662.351768</v>
      </c>
      <c r="AA52" s="3">
        <f>1998.8+(247.9-409.1)+(-3.058164+(-0.379287--0.625923))+0-29.4--0.0449820000000017</f>
        <v>1805.4334539999998</v>
      </c>
      <c r="AB52" s="3">
        <f>2002.7+(243-504.2)+(-3.064131+(-0.37179--0.771426))+0-28.9--0.0442170000000017</f>
        <v>1709.9797219999998</v>
      </c>
      <c r="AC52" s="3">
        <f>1576.4+(250.7-288.9)+(-3.215856+(-0.511428--0.589356))+0-30.2--0.0616079999999987</f>
        <v>1504.9236799999999</v>
      </c>
      <c r="AD52">
        <f t="shared" si="0"/>
        <v>31955.260997000001</v>
      </c>
      <c r="AE52" s="3">
        <f>2000.5+(251.9-393.4)+(0+(0-0))+0-29.2-0</f>
        <v>1829.8</v>
      </c>
    </row>
    <row r="53" spans="1:31" s="2" customFormat="1" x14ac:dyDescent="0.25">
      <c r="A53">
        <v>89</v>
      </c>
      <c r="B53">
        <v>2</v>
      </c>
      <c r="C53">
        <v>22</v>
      </c>
      <c r="D53">
        <v>5</v>
      </c>
      <c r="E53">
        <v>1</v>
      </c>
      <c r="F53" s="3">
        <f>1231.2+(281.2-227.2)+(-0.627912+(-0.143412--0.115872))+0-28.9--0.0147389999999971</f>
        <v>1255.6592869999999</v>
      </c>
      <c r="G53" s="3">
        <f>1220.2+(263.4-353.8)+(-2.489208+(-0.537336--0.721752))+0-29.1--0.0593639999999987</f>
        <v>1098.4545720000001</v>
      </c>
      <c r="H53" s="3">
        <f>1235.1+(252.8-415.3)+(-3.149505+(-0.64464--1.059015))+0-28.2--0.0719099999999959</f>
        <v>1041.7367799999997</v>
      </c>
      <c r="I53" s="3">
        <f>1242.8+(247.7-431.4)+(-1.901484+(-0.378981--0.660042))+0-28.1--0.0429930000000016</f>
        <v>1029.42257</v>
      </c>
      <c r="J53" s="3">
        <f>1238.3+(248-443.5)+(-1.263066+(-0.25296--0.45237))+0-27.3--0.0278460000000044</f>
        <v>1014.4641899999999</v>
      </c>
      <c r="K53" s="3">
        <f>1244.6+(245.3-424.2)+(-0.634746+(-0.125103--0.216342))+0-27.9--0.0142289999999972</f>
        <v>1037.2707219999995</v>
      </c>
      <c r="L53" s="3">
        <f>1229.8+(244.2-409)+(-2.508792+(-0.498168--0.83436))+0-28.1--0.0573239999999988</f>
        <v>1034.7847240000001</v>
      </c>
      <c r="M53" s="3">
        <f>1268.6+(236.8-371.3)+(-1.940958+(-0.362304--0.568089))+0-27.7--0.0423810000000016</f>
        <v>1104.7072079999998</v>
      </c>
      <c r="N53" s="3">
        <f>1307.1+(240.1-294.1)+(0+(0-0))+0-28.4-0</f>
        <v>1224.6999999999998</v>
      </c>
      <c r="O53" s="3">
        <f>1367.8+(211.8-184.4)+(-1.395156+(-0.216036--0.188088))+0-29.7--0.0302940000000047</f>
        <v>1364.1071899999999</v>
      </c>
      <c r="P53" s="3">
        <f>1406.8+(207.1-160.5)+(-1.434936+(-0.211242--0.16371))+0-31.1--0.031722000000005</f>
        <v>1420.849254</v>
      </c>
      <c r="Q53" s="3">
        <f>1617.4+(189.5-314.5)+(0+(0-0))+0-29.9-0</f>
        <v>1462.5</v>
      </c>
      <c r="R53" s="3">
        <f>1811.7+(188-457)+(-1.847934+(-0.19176--0.46614))+0-28--0.0285600000000045</f>
        <v>1513.155006</v>
      </c>
      <c r="S53" s="3">
        <f>1774.2+(191.4-516.6)+(-1.809684+(-0.195228--0.526932))+0-28--0.0285600000000045</f>
        <v>1419.5505800000001</v>
      </c>
      <c r="T53" s="3">
        <f>1794.1+(179.2-584.6)+(-0.914991+(-0.091392--0.298146))+0-29.3--0.014942999999997</f>
        <v>1358.7067059999997</v>
      </c>
      <c r="U53" s="3">
        <f>1944.2+(162.9-701)+(-2.974626+(-0.249237--1.07253))+0-29.8--0.0455940000000017</f>
        <v>1374.1942609999999</v>
      </c>
      <c r="V53" s="3">
        <f>1951.2+(163.2-704.2)+(-0.995112+(-0.083232--0.359142))+0-31.3--0.0159629999999968</f>
        <v>1378.1967610000002</v>
      </c>
      <c r="W53" s="3">
        <f>1822.5+(178.5-597.8)+(-5.57685+(-0.54621--1.829268))+0-30.7--0.0939420000000036</f>
        <v>1368.30015</v>
      </c>
      <c r="X53" s="3">
        <f>1609.9+(217.8-460.3)+(-3.284196+(-0.444312--0.939012))+0-28.1--0.0573239999999988</f>
        <v>1336.5678280000002</v>
      </c>
      <c r="Y53" s="3">
        <f>1594.4+(236.9-435.3)+(-2.439432+(-0.362457--0.666009))+0-28.1--0.0429930000000016</f>
        <v>1365.8071130000001</v>
      </c>
      <c r="Z53" s="3">
        <f>1800.7+(240.3-396.8)+(-3.673428+(-0.490212--0.809472))+0-26.7--0.0544679999999988</f>
        <v>1614.2003</v>
      </c>
      <c r="AA53" s="3">
        <f>1928+(261.5-333.7)+(-3.93312+(-0.53346--0.680748))+0-30.3--0.0618119999999987</f>
        <v>1821.7759799999999</v>
      </c>
      <c r="AB53" s="3">
        <f>1743.5+(288.1-271.8)+(-1.77837+(-0.293862--0.277236))+0-30.6--0.0312120000000049</f>
        <v>1727.4362160000001</v>
      </c>
      <c r="AC53" s="3">
        <f>1548.1+(267.8-256.7)+(-3.947655+(-0.68289--0.654585))+0-27.7--0.070634999999996</f>
        <v>1527.5946749999998</v>
      </c>
      <c r="AD53">
        <f t="shared" si="0"/>
        <v>31894.142072999995</v>
      </c>
      <c r="AE53" s="3">
        <f>1991+(241.8-382.2)+(0+(0-0))+0-30-0</f>
        <v>1820.6</v>
      </c>
    </row>
    <row r="54" spans="1:31" s="2" customFormat="1" x14ac:dyDescent="0.25">
      <c r="A54">
        <v>89</v>
      </c>
      <c r="B54">
        <v>2</v>
      </c>
      <c r="C54">
        <v>23</v>
      </c>
      <c r="D54">
        <v>6</v>
      </c>
      <c r="E54">
        <v>1</v>
      </c>
      <c r="F54" s="3">
        <f>1351.8+(262.8-285.7)+(-5.515344+(-1.072224--1.165656))+0-27.3--0.111383999999998</f>
        <v>1296.2894720000002</v>
      </c>
      <c r="G54" s="3">
        <f>1247.3+(263.4-340.4)+(-3.180615+(-0.67167--0.86802))+0-27.8--0.070889999999996</f>
        <v>1139.5866249999999</v>
      </c>
      <c r="H54" s="3">
        <f>1254.9+(251.1-409.9)+(-0.639999+(-0.128061--0.209049))+0-27.7--0.0141269999999972</f>
        <v>1067.855116</v>
      </c>
      <c r="I54" s="3">
        <f>1299.2+(245.9-475.7)+(-3.31296+(-0.627045--1.213035))+0-28.6--0.0729299999999959</f>
        <v>1038.1459600000003</v>
      </c>
      <c r="J54" s="3">
        <f>1348.5+(239.6-532.1)+(0+(0-0))+0-28.3-0</f>
        <v>1027.7</v>
      </c>
      <c r="K54" s="3">
        <f>1364.8+(240.3-526.2)+(-3.48024+(-0.612765--1.34181))+0-28.3--0.0721649999999959</f>
        <v>1047.9209699999999</v>
      </c>
      <c r="L54" s="3">
        <f>1248.1+(244.2-422.9)+(-1.273062+(-0.249084--0.431358))+0-28.4--0.0289680000000045</f>
        <v>1039.9381799999999</v>
      </c>
      <c r="M54" s="3">
        <f>1248.2+(250.1-361.4)+(0+(0-0))+0-28.2-0</f>
        <v>1108.7</v>
      </c>
      <c r="N54" s="3">
        <f>1264.9+(265-244)+(-0.645099+(-0.13515--0.12444))+0-29.2--0.014891999999997</f>
        <v>1256.0590829999999</v>
      </c>
      <c r="O54" s="3">
        <f>1335.2+(264.6-175.4)+(0+(0-0))+0-31-0</f>
        <v>1393.4</v>
      </c>
      <c r="P54" s="3">
        <f>1412.8+(249.9-202.9)+(-1.441056+(-0.254898--0.206958))+0-25.3--0.025806000000004</f>
        <v>1433.0368100000001</v>
      </c>
      <c r="Q54" s="3">
        <f>1741.5+(204.4-465.9)+(0+(0-0))+0-11.9-0</f>
        <v>1468.1</v>
      </c>
      <c r="R54" s="3">
        <f>2036.5+(155-712.8)+(-4.15446+(-0.3162--1.454112))+0-10.7--0.0218279999999995</f>
        <v>1465.0052799999999</v>
      </c>
      <c r="S54" s="3">
        <f>1942.4+(208.1-686.7)+(-0.990624+(-0.106131--0.350217))+0-27.1--0.0138209999999973</f>
        <v>1435.9672830000002</v>
      </c>
      <c r="T54" s="3">
        <f>1668.7+(197-471.3)+(-2.553111+(-0.30141--0.721089))+0-27.6--0.0422280000000016</f>
        <v>1364.7087960000001</v>
      </c>
      <c r="U54" s="3">
        <f>1576.3+(192.6-392.5)+(-1.607826+(-0.196452--0.40035))+0-28.1--0.0286620000000045</f>
        <v>1346.9247339999999</v>
      </c>
      <c r="V54" s="3">
        <f>1589.6+(205.8-408.7)+(-4.05348+(-0.52479--1.042185))+0-27.6--0.070379999999996</f>
        <v>1355.6342949999998</v>
      </c>
      <c r="W54" s="3">
        <f>1594.4+(240.8-457.6)+(-2.439432+(-0.368424--0.700128))+0-27--0.0413100000000016</f>
        <v>1348.5335820000003</v>
      </c>
      <c r="X54" s="3">
        <f>1586.2+(216.8-440.8)+(-3.235848+(-0.442272--0.899232))+0-27.4--0.0558959999999988</f>
        <v>1332.077008</v>
      </c>
      <c r="Y54" s="3">
        <f>1694.5+(224.9-435)+(-3.45678+(-0.458796--0.8874))+0-28.9--0.0589559999999987</f>
        <v>1452.53078</v>
      </c>
      <c r="Z54" s="3">
        <f>1623+(283.3-302.7)+(-3.31092+(-0.577932--0.617508))+0-29.4--0.0599759999999987</f>
        <v>1570.9886319999998</v>
      </c>
      <c r="AA54" s="3">
        <f>1662.9+(357.5-246.1)+(-3.392316+(-0.7293--0.502044))+0-30.6--0.0624239999999987</f>
        <v>1740.1428520000002</v>
      </c>
      <c r="AB54" s="3">
        <f>1544.2+(369.7-221.1)+(-3.93771+(-0.942735--0.563805))+0-29.7--0.0757349999999957</f>
        <v>1658.8590949999998</v>
      </c>
      <c r="AC54" s="3">
        <f>1490.1+(300.8-253.6)+(-2.279853+(-0.460224--0.388008))+0-28.6--0.0437580000000017</f>
        <v>1506.391689</v>
      </c>
      <c r="AD54">
        <f t="shared" si="0"/>
        <v>31894.496242000001</v>
      </c>
      <c r="AE54" s="3">
        <f>1667+(336-235.5)+(0+(0-0))+0-27-0</f>
        <v>1740.5</v>
      </c>
    </row>
    <row r="55" spans="1:31" s="2" customFormat="1" x14ac:dyDescent="0.25">
      <c r="A55">
        <v>89</v>
      </c>
      <c r="B55">
        <v>2</v>
      </c>
      <c r="C55">
        <v>24</v>
      </c>
      <c r="D55">
        <v>7</v>
      </c>
      <c r="E55">
        <v>1</v>
      </c>
      <c r="F55" s="3">
        <f>1461.2+(275.2-393.8)+(-0.745212+(-0.140352--0.200838))+0-28.1--0.0143309999999971</f>
        <v>1313.8296050000001</v>
      </c>
      <c r="G55" s="3">
        <f>1448.4+(254.4-524.2)+(-2.216052+(-0.389232--0.802026))+0-28.3--0.0432990000000016</f>
        <v>1148.540041</v>
      </c>
      <c r="H55" s="3">
        <f>1451+(248-593.1)+(0+(0-0))+0-29.5-0</f>
        <v>1076.4000000000001</v>
      </c>
      <c r="I55" s="3">
        <f>1446.9+(244.4-625)+(-1.475838+(-0.249288--0.6375))+0-24.9--0.025398000000004</f>
        <v>1040.3377720000001</v>
      </c>
      <c r="J55" s="3">
        <f>1454.3+(244.9-657.1)+(-0.741693+(-0.124899--0.335121))+0-13.8--0.0070379999999986</f>
        <v>1027.7755669999999</v>
      </c>
      <c r="K55" s="3">
        <f>1447.9+(245-660)+(-8.861148+(-1.4994--4.0392))+0-7.9--0.048347999999999</f>
        <v>1018.7270000000002</v>
      </c>
      <c r="L55" s="3">
        <f>1465.2+(248.5-721.5)+(-5.978016+(-1.01388--2.94372))+0-7.6--0.0310079999999993</f>
        <v>980.58283200000005</v>
      </c>
      <c r="M55" s="3">
        <f>1470.8+(246.9-711.8)+(-0.750108+(-0.125919--0.363018))+0-7.9--0.0040289999999992</f>
        <v>997.49101999999993</v>
      </c>
      <c r="N55" s="3">
        <f>1467.4+(235.7-615.6)+(-1.496748+(-0.240414--0.627912))+0-8.7--0.00887400000000139</f>
        <v>1077.6996240000001</v>
      </c>
      <c r="O55" s="3">
        <f>1475.7+(249.3-536.2)+(-2.257821+(-0.381429--0.820386))+0-8.7--0.0133110000000005</f>
        <v>1178.2944469999998</v>
      </c>
      <c r="P55" s="3">
        <f>1476+(251.3-454.8)+(-0.75276+(-0.128163--0.231948))+0-16.5--0.00841499999999833</f>
        <v>1255.3594399999999</v>
      </c>
      <c r="Q55" s="3">
        <f>1500.7+(257.4-454.2)+(-3.061428+(-0.525096--0.926568))+0-21.5--0.0438599999999991</f>
        <v>1279.7839040000001</v>
      </c>
      <c r="R55" s="3">
        <f>1499.9+(254.8-468.4)+(-1.529898+(-0.259896--0.477768))+0-18.5--0.018870000000003</f>
        <v>1266.5068440000002</v>
      </c>
      <c r="S55" s="3">
        <f>1497.2+(252.8-497.7)+(-3.054288+(-0.515712--1.015308))+0-10.9--0.0222359999999995</f>
        <v>1238.8675440000002</v>
      </c>
      <c r="T55" s="3">
        <f>1499.7+(246.9-507.6)+(0+(0-0))+0-25.1-0</f>
        <v>1213.9000000000001</v>
      </c>
      <c r="U55" s="3">
        <f>1498.8+(231.5-532.1)+(-1.528776+(-0.23613--0.542742))+0-27.8--0.0283560000000044</f>
        <v>1169.2061919999999</v>
      </c>
      <c r="V55" s="3">
        <f>1483.9+(233-531.3)+(-3.783945+(-0.59415--1.354815))+0-28.4--0.0724199999999959</f>
        <v>1154.2491399999999</v>
      </c>
      <c r="W55" s="3">
        <f>1485+(254.2-528.5)+(-4.5441+(-0.777852--1.61721))+0-28.7--0.0878220000000033</f>
        <v>1178.3830800000001</v>
      </c>
      <c r="X55" s="3">
        <f>1489.7+(260.5-531.3)+(-1.519494+(-0.26571--0.541926))+0-28.3--0.0288660000000045</f>
        <v>1189.3855880000003</v>
      </c>
      <c r="Y55" s="3">
        <f>1488.6+(262.6-503.3)+(-3.036744+(-0.535704--1.026732))+0-29.3--0.0597719999999987</f>
        <v>1216.1140559999999</v>
      </c>
      <c r="Z55" s="3">
        <f>1508.1+(298.8-326)+(-1.538262+(-0.304776--0.33252))+0-30.8--0.0314160000000049</f>
        <v>1448.6208979999999</v>
      </c>
      <c r="AA55" s="3">
        <f>1511.4+(403.3-202.8)+(-2.312442+(-0.617049--0.310284))+0-30.6--0.0468180000000018</f>
        <v>1678.7276110000003</v>
      </c>
      <c r="AB55" s="3">
        <f>1504.6+(368.8-210.1)+(-3.83673+(-0.94044--0.535755))+0-30.1--0.0767549999999956</f>
        <v>1629.0353400000001</v>
      </c>
      <c r="AC55" s="3">
        <f>1405.4+(311.7-238)+(-0.716754+(-0.158967--0.12138))+0-29.7--0.015146999999997</f>
        <v>1448.6608060000001</v>
      </c>
      <c r="AD55">
        <f t="shared" si="0"/>
        <v>29226.478351000002</v>
      </c>
      <c r="AE55" s="3">
        <f>1488+(357.7-235.8)+(0+(0-0))+0-27-0</f>
        <v>1582.9</v>
      </c>
    </row>
    <row r="56" spans="1:31" s="2" customFormat="1" x14ac:dyDescent="0.25">
      <c r="A56">
        <v>89</v>
      </c>
      <c r="B56">
        <v>2</v>
      </c>
      <c r="C56">
        <v>25</v>
      </c>
      <c r="D56">
        <v>1</v>
      </c>
      <c r="E56">
        <v>1</v>
      </c>
      <c r="F56" s="3">
        <f>1321+(272.9-361.8)+(-0.67371+(-0.139179--0.184518))+0-28.8--0.0146879999999971</f>
        <v>1202.6863169999999</v>
      </c>
      <c r="G56" s="3">
        <f>1202.4+(261.6-365.2)+(-0.613224+(-0.133416--0.186252))+0-28.4--0.0144839999999971</f>
        <v>1069.854096</v>
      </c>
      <c r="H56" s="3">
        <f>1085.5+(266.3-316.4)+(0.553605+(0.135813-0.161364))+0-28.2-0.0143819999999971</f>
        <v>1007.7136720000002</v>
      </c>
      <c r="I56" s="3">
        <f>1025.3+(259.3-293.5)+(-2.091612+(-0.528972--0.59874))+0-28--0.0571199999999988</f>
        <v>961.13527599999998</v>
      </c>
      <c r="J56" s="3">
        <f>1037.1+(248.2-290.4)+(1.586763+(0.379746-0.444312))+0-27.5-0.0420750000000016</f>
        <v>968.88012199999991</v>
      </c>
      <c r="K56" s="3">
        <f>1037.6+(251.2-276.5)+(-1.058352+(-0.256224--0.28203))+0-27.6--0.0281520000000044</f>
        <v>983.69560599999988</v>
      </c>
      <c r="L56" s="3">
        <f>1041.8+(251.2-284.8)+(0.531318+(0.128112-0.145248))+0-27.5-0.0140249999999972</f>
        <v>981.20015699999999</v>
      </c>
      <c r="M56" s="3">
        <f>1087.9+(258.8-243.2)+(-1.109658+(-0.263976--0.248064))+0-28.8--0.0293760000000046</f>
        <v>1073.6038060000001</v>
      </c>
      <c r="N56" s="3">
        <f>1151+(329.5-187.5)+(-0.58701+(-0.168045--0.095625))+0-30.2--0.0154019999999969</f>
        <v>1262.155972</v>
      </c>
      <c r="O56" s="3">
        <f>1236.9+(346.9-163.3)+(-1.261638+(-0.353838--0.166566))+0-30.1--0.0307020000000048</f>
        <v>1388.981792</v>
      </c>
      <c r="P56" s="3">
        <f>1513+(254.5-272.5)+(-1.54326+(-0.25959--0.27795))+0-30--0.0306000000000048</f>
        <v>1463.5057000000002</v>
      </c>
      <c r="Q56" s="3">
        <f>1796.1+(248.2-505)+(0+(0-0))+0-30.9-0</f>
        <v>1508.3999999999999</v>
      </c>
      <c r="R56" s="3">
        <f>2044.6+(247.2-724.3)+(-3.128238+(-0.378216--1.108179))+0-29.4--0.0449820000000017</f>
        <v>1535.7467069999998</v>
      </c>
      <c r="S56" s="3">
        <f>1943.5+(243.3-643.5)+(-2.973555+(-0.372249--0.984555))+0-27.8--0.0425340000000016</f>
        <v>1513.1812849999999</v>
      </c>
      <c r="T56" s="3">
        <f>1827.2+(222.2-575.2)+(-3.727488+(-0.453288--1.173408))+0-28.4--0.0579359999999988</f>
        <v>1442.8505679999998</v>
      </c>
      <c r="U56" s="3">
        <f>1820.6+(218.7-569.1)+(0+(0-0))+0-30.5-0</f>
        <v>1439.6999999999998</v>
      </c>
      <c r="V56" s="3">
        <f>1789.8+(217.9-538.9)+(-0.912798+(-0.111129--0.274839))+0-30.2--0.0154019999999969</f>
        <v>1437.8663139999999</v>
      </c>
      <c r="W56" s="3">
        <f>1639.5+(210.7-377.3)+(-5.01687+(-0.644742--1.154538))+0-30.5--0.0933300000000035</f>
        <v>1437.9862559999999</v>
      </c>
      <c r="X56" s="3">
        <f>1375.8+(243-165.4)+(-1.403316+(-0.24786--0.168708))+0-28.4--0.0289680000000045</f>
        <v>1423.5464999999999</v>
      </c>
      <c r="Y56" s="3">
        <f>1374.2+(266.6-180.9)+(-2.803368+(-0.543864--0.369036))+0-28.3--0.0577319999999988</f>
        <v>1428.6795360000001</v>
      </c>
      <c r="Z56" s="3">
        <f>1739.1+(269.2-329)+(-2.660823+(-0.411876--0.50337))+0-28.2--0.0431460000000016</f>
        <v>1648.573817</v>
      </c>
      <c r="AA56" s="3">
        <f>1776.1+(359.3-280.4)+(-2.717433+(-0.549729--0.429012))+0-27.7--0.0423810000000016</f>
        <v>1824.5042309999999</v>
      </c>
      <c r="AB56" s="3">
        <f>1404.8+(462.5-116.9)+(-2.149344+(-0.707625--0.178857))+0-30--0.0459000000000017</f>
        <v>1717.7677880000001</v>
      </c>
      <c r="AC56" s="3">
        <f>1180+(453.2-88.7)+(-1.2036+(-0.462264--0.090474))+0-30.6--0.0312120000000049</f>
        <v>1512.3558220000002</v>
      </c>
      <c r="AD56">
        <f t="shared" si="0"/>
        <v>32234.571339999999</v>
      </c>
      <c r="AE56" s="3">
        <f>1829.1+(337-307.3)+(0+(0-0))+0-27-0</f>
        <v>1831.8</v>
      </c>
    </row>
    <row r="57" spans="1:31" s="2" customFormat="1" x14ac:dyDescent="0.25">
      <c r="A57">
        <v>89</v>
      </c>
      <c r="B57">
        <v>2</v>
      </c>
      <c r="C57">
        <v>26</v>
      </c>
      <c r="D57">
        <v>2</v>
      </c>
      <c r="E57">
        <v>1</v>
      </c>
      <c r="F57" s="3">
        <f>964.1+(400.1-77.8)+(-1.475073+(-0.612153--0.119034))+0-30.5--0.0466650000000018</f>
        <v>1253.9784730000001</v>
      </c>
      <c r="G57" s="3">
        <f>919.7+(323.5-109.4)+(-1.407141+(-0.494955--0.167382))+0-29.3--0.0448290000000017</f>
        <v>1102.810115</v>
      </c>
      <c r="H57" s="3">
        <f>850.4+(320.2-118.3)+(-2.16852+(-0.81651--0.301665))+0-28.6--0.0729299999999959</f>
        <v>1021.0895649999999</v>
      </c>
      <c r="I57" s="3">
        <f>905.4+(266.6-143.4)+(-1.385262+(-0.407898--0.219402))+0-28.5--0.0436050000000016</f>
        <v>998.56984699999987</v>
      </c>
      <c r="J57" s="3">
        <f>1013.5+(218.9-192.8)+(-2.06754+(-0.446556--0.393312))+0-28.7--0.0585479999999987</f>
        <v>1008.8377639999999</v>
      </c>
      <c r="K57" s="3">
        <f>1054.5+(217.6-219.6)+(-1.613385+(-0.332928--0.335988))+0-28.8--0.0440640000000017</f>
        <v>1022.133739</v>
      </c>
      <c r="L57" s="3">
        <f>928.5+(249.9-149.5)+(-1.420605+(-0.382347--0.228735))+0-28.9--0.0442170000000017</f>
        <v>998.47</v>
      </c>
      <c r="M57" s="3">
        <f>872+(299.4-71.9)+(-0.44472+(-0.152694--0.036669))+0-29.9--0.015248999999997</f>
        <v>1069.054504</v>
      </c>
      <c r="N57" s="3">
        <f>890.7+(425.2-42.1)+(-1.362771+(-0.650556--0.064413))+0-31.7--0.0485010000000018</f>
        <v>1240.1995869999998</v>
      </c>
      <c r="O57" s="3">
        <f>988.7+(446.1-38.1)+(-1.512711+(-0.682533--0.058293))+0-30--0.0459000000000017</f>
        <v>1364.6089490000002</v>
      </c>
      <c r="P57" s="3">
        <f>1238+(306.4-83)+(-1.26276+(-0.312528--0.08466))+0-30.5--0.0311100000000049</f>
        <v>1429.440482</v>
      </c>
      <c r="Q57" s="3">
        <f>1352.1+(279.3-110.2)+(0+(0-0))+0-31.7-0</f>
        <v>1489.4999999999998</v>
      </c>
      <c r="R57" s="3">
        <f>1355.4+(288.6-111.8)+(-2.073762+(-0.441558--0.171054))+0-29.7--0.0454410000000017</f>
        <v>1500.2011749999999</v>
      </c>
      <c r="S57" s="3">
        <f>1339.3+(239.8-106.8)+(0+(0-0))+0-29.6-0</f>
        <v>1442.7</v>
      </c>
      <c r="T57" s="3">
        <f>1384.1+(195.6-157.9)+(0+(0-0))+0-29.7-0</f>
        <v>1392.1</v>
      </c>
      <c r="U57" s="3">
        <f>1319.8+(227.6-145.7)+(-2.019294+(-0.348228--0.222921))+0-28.3--0.0432990000000016</f>
        <v>1371.2986980000001</v>
      </c>
      <c r="V57" s="3">
        <f>1432.5+(148.3-163.6)+(-3.652875+(-0.378165--0.41718))+0-30.4--0.0775199999999956</f>
        <v>1383.2636600000001</v>
      </c>
      <c r="W57" s="3">
        <f>1368.2+(176.6-135.3)+(-3.48891+(-0.45033--0.345015))+0-30.9--0.0787949999999955</f>
        <v>1375.0845699999998</v>
      </c>
      <c r="X57" s="3">
        <f>1399.2+(179-188.6)+(-3.56796+(-0.45645--0.48093))+0-29.4--0.0749699999999957</f>
        <v>1356.7314899999999</v>
      </c>
      <c r="Y57" s="3">
        <f>1416.4+(224.3-258.7)+(-2.167092+(-0.343179--0.395811))+0-29--0.0443700000000017</f>
        <v>1350.9299100000001</v>
      </c>
      <c r="Z57" s="3">
        <f>1485.9+(309.5-206.1)+(-3.031236+(-0.63138--0.420444))+0-29.4--0.0599759999999987</f>
        <v>1556.7178040000001</v>
      </c>
      <c r="AA57" s="3">
        <f>1516.2+(429.3-107.4)+(-3.093048+(-0.875772--0.219096))+0-29.7--0.0605879999999987</f>
        <v>1804.7108639999999</v>
      </c>
      <c r="AB57" s="3">
        <f>1408.9+(418.5-80.2)+(0+(0-0))+0-29.3-0</f>
        <v>1717.9</v>
      </c>
      <c r="AC57" s="3">
        <f>1388.2+(300.5-131.3)+(0+(0-0))+0-29.8-0</f>
        <v>1527.6000000000001</v>
      </c>
      <c r="AD57">
        <f t="shared" si="0"/>
        <v>31777.931195999994</v>
      </c>
      <c r="AE57" s="3">
        <f>1528.7+(426.5-102.6)+(0+(0-0))+0-30.8-0</f>
        <v>1821.8</v>
      </c>
    </row>
    <row r="58" spans="1:31" s="2" customFormat="1" x14ac:dyDescent="0.25">
      <c r="A58">
        <v>89</v>
      </c>
      <c r="B58">
        <v>2</v>
      </c>
      <c r="C58">
        <v>27</v>
      </c>
      <c r="D58">
        <v>3</v>
      </c>
      <c r="E58">
        <v>5</v>
      </c>
      <c r="F58" s="3">
        <f>1192.1+(296.6-171.6)+(-0.607971+(-0.151266--0.087516))+0-27--0.0137699999999973</f>
        <v>1289.442049</v>
      </c>
      <c r="G58" s="3">
        <f>1124.8+(270.3-229.6)+(-0.573648+(-0.137853--0.117096))+0-28--0.0142799999999972</f>
        <v>1136.919875</v>
      </c>
      <c r="H58" s="3">
        <f>1058+(271.4-244.9)+(-0.53958+(-0.138414--0.124899))+0-27.9--0.0142289999999972</f>
        <v>1056.0611339999998</v>
      </c>
      <c r="I58" s="3">
        <f>1058.5+(261.7-262.2)+(-2.15934+(-0.533868--0.534888))+0-28.1--0.0573239999999988</f>
        <v>1027.7990040000002</v>
      </c>
      <c r="J58" s="3">
        <f>1053.8+(250.1-267)+(0+(0-0))+0-28.6-0</f>
        <v>1008.2999999999998</v>
      </c>
      <c r="K58" s="3">
        <f>1054.9+(257.9-276.1)+(-2.689995+(-0.657645--0.704055))+0-28.1--0.0716549999999959</f>
        <v>1006.02807</v>
      </c>
      <c r="L58" s="3">
        <f>1056.6+(208.8-282.6)+(-0.538866+(-0.106488--0.144126))+0-28.3--0.0144329999999971</f>
        <v>954.01320500000008</v>
      </c>
      <c r="M58" s="3">
        <f>1058.1+(225.7-261.2)+(1.079262+(0.230214-0.266424))+0-29.1-0.0296820000000046</f>
        <v>994.5133699999999</v>
      </c>
      <c r="N58" s="3">
        <f>1115.5+(265.4-234.9)+(-1.706715+(-0.406062--0.359397))+0-30.2--0.0462060000000017</f>
        <v>1114.0928259999998</v>
      </c>
      <c r="O58" s="3">
        <f>1156.9+(283.7-183)+(0+(0-0))+0-30.1-0</f>
        <v>1227.5000000000002</v>
      </c>
      <c r="P58" s="3">
        <f>1150.7+(342.8-160.6)+(-2.347428+(-0.699312--0.327624))+0-31.1--0.0634439999999986</f>
        <v>1299.1443280000001</v>
      </c>
      <c r="Q58" s="3">
        <f>1151.2+(346.2-144.5)+(-2.348448+(-0.706248--0.29478))+0-31.4--0.0640559999999986</f>
        <v>1318.80414</v>
      </c>
      <c r="R58" s="3">
        <f>1294+(269.5-219)+(-2.63976+(-0.54978--0.44676))+0-29.7--0.0605879999999987</f>
        <v>1312.117808</v>
      </c>
      <c r="S58" s="3">
        <f>1529.3+(219.1-403.7)+(0+(0-0))+0-29.2-0</f>
        <v>1315.5</v>
      </c>
      <c r="T58" s="3">
        <f>1392.3+(212.3-303.6)+(-2.130219+(-0.324819--0.464508))+0-29.7--0.0454410000000017</f>
        <v>1269.3549109999999</v>
      </c>
      <c r="U58" s="3">
        <f>1279.6+(235.1-223.9)+(-1.305192+(-0.239802--0.228378))+0-30.7--0.0313140000000049</f>
        <v>1258.8146979999999</v>
      </c>
      <c r="V58" s="3">
        <f>1278.8+(222.9-217.2)+(-1.956564+(-0.341037--0.332316))+0-30.9--0.0472770000000018</f>
        <v>1251.6819919999998</v>
      </c>
      <c r="W58" s="3">
        <f>1278.6+(235.5-242.4)+(-1.304172+(-0.24021--0.247248))+0-31.8--0.0324360000000051</f>
        <v>1238.6353019999999</v>
      </c>
      <c r="X58" s="3">
        <f>1278.6+(236.5-261.4)+(-2.608344+(-0.48246--0.533256))+0-28--0.0571199999999988</f>
        <v>1223.1995719999998</v>
      </c>
      <c r="Y58" s="3">
        <f>1292.6+(230.8-252.3)+(0+(0-0))+0-24-0</f>
        <v>1247.0999999999999</v>
      </c>
      <c r="Z58" s="3">
        <f>1436.4+(296.4-258.4)+(-0.732564+(-0.151164--0.131784))+0-28.9--0.0147389999999971</f>
        <v>1444.7627949999999</v>
      </c>
      <c r="AA58" s="3">
        <f>1530.8+(392.7-180.2)+(-3.122832+(-0.801108--0.367608))+0-28.6--0.0583439999999988</f>
        <v>1711.202012</v>
      </c>
      <c r="AB58" s="3">
        <f>1540.3+(348.4-196.7)+(-1.571106+(-0.355368--0.200634))+0-29.2--0.0297840000000047</f>
        <v>1661.103944</v>
      </c>
      <c r="AC58" s="3">
        <f>1513.8+(297.5-287.1)+(-0.772038+(-0.151725--0.146421))+0-27.7--0.0141269999999972</f>
        <v>1495.7367849999996</v>
      </c>
      <c r="AD58">
        <f t="shared" si="0"/>
        <v>29861.827819999999</v>
      </c>
      <c r="AE58" s="3">
        <f>1532.5+(414.3-190.6)+(0+(0-0))+0-26-0</f>
        <v>1730.2</v>
      </c>
    </row>
    <row r="59" spans="1:31" s="2" customFormat="1" x14ac:dyDescent="0.25">
      <c r="A59">
        <v>89</v>
      </c>
      <c r="B59">
        <v>2</v>
      </c>
      <c r="C59">
        <v>28</v>
      </c>
      <c r="D59">
        <v>4</v>
      </c>
      <c r="E59">
        <v>1</v>
      </c>
      <c r="F59" s="3">
        <f>1272+(267-259.4)+(0+(0-0))+0-27.4-0</f>
        <v>1252.1999999999998</v>
      </c>
      <c r="G59" s="3">
        <f>1174+(258-311.8)+(-1.79622+(-0.39474--0.477054))+0-27.4--0.0419220000000016</f>
        <v>1091.1280160000001</v>
      </c>
      <c r="H59" s="3">
        <f>1172.2+(231.8-347.3)+(0.597822+(0.118218-0.177123))+0-20-0.010199999999998</f>
        <v>1037.2287170000002</v>
      </c>
      <c r="I59" s="3">
        <f>1170.7+(226.3-354.2)+(-1.194114+(-0.230826--0.361284))+0-27.3--0.0278460000000044</f>
        <v>1014.4641900000001</v>
      </c>
      <c r="J59" s="3">
        <f>1174.8+(223.8-357.2)+(0.599148+(0.114138-0.182172))+0-28.4-0.0144839999999971</f>
        <v>1013.51663</v>
      </c>
      <c r="K59" s="3">
        <f>1172.9+(224.7-341.5)+(-2.392716+(-0.458388--0.69666))+0-28.7--0.0585479999999987</f>
        <v>1025.3041040000001</v>
      </c>
      <c r="L59" s="3">
        <f>1168.2+(232.6-380.4)+(-2.383128+(-0.474504--0.776016))+0-28.4--0.0579359999999988</f>
        <v>989.9763200000001</v>
      </c>
      <c r="M59" s="3">
        <f>1173.1+(258-287.7)+(-1.196562+(-0.26316--0.293454))+0-28.3--0.0288660000000045</f>
        <v>1113.9625980000001</v>
      </c>
      <c r="N59" s="3">
        <f>1180.2+(281.2-140)+(-1.805706+(-0.430236--0.2142))+0-29.9--0.0457470000000017</f>
        <v>1289.524005</v>
      </c>
      <c r="O59" s="3">
        <f>1430.9+(276.2-256.6)+(0.729759+(0.140862-0.130866))+0-30.1-0.0153509999999969</f>
        <v>1421.1244040000001</v>
      </c>
      <c r="P59" s="3">
        <f>1676.7+(277-453.1)+(-0.855117+(-0.14127--0.231081))+0-29.7--0.015146999999997</f>
        <v>1470.1498409999999</v>
      </c>
      <c r="Q59" s="3">
        <f>1728+(252.8-432.8)+(0+(0-0))+0-29.6-0</f>
        <v>1518.4</v>
      </c>
      <c r="R59" s="3">
        <f>1776.9+(250.8-432.2)+(-2.718657+(-0.383724--0.661266))+0-29.6--0.0452880000000017</f>
        <v>1563.504173</v>
      </c>
      <c r="S59" s="3">
        <f>1829.4+(191.1-515)+(-1.865988+(-0.194922--0.5253))+0-27.7--0.0282540000000044</f>
        <v>1476.2926440000001</v>
      </c>
      <c r="T59" s="3">
        <f>1928.5+(191.3-660.8)+(0.983535+(0.097563-0.337008))+0-30.3-0.0154529999999969</f>
        <v>1429.428637</v>
      </c>
      <c r="U59" s="3">
        <f>1933.6+(162-676.5)+(-0.986136+(-0.08262--0.345015))+0-31.2--0.0159119999999968</f>
        <v>1387.1921709999999</v>
      </c>
      <c r="V59" s="3">
        <f>1927.2+(169.2-610.7)+(-2.948616+(-0.258876--0.934371))+0-29.4--0.0449820000000017</f>
        <v>1454.0718609999999</v>
      </c>
      <c r="W59" s="3">
        <f>1755.8+(157.2-437.9)+(-5.372748+(-0.481032--1.339974))+0-29.7--0.0908820000000034</f>
        <v>1440.9770759999999</v>
      </c>
      <c r="X59" s="3">
        <f>1605.6+(157.5-319.5)+(-4.09428+(-0.401625--0.814725))+0-28.7--0.0731849999999958</f>
        <v>1411.2920049999998</v>
      </c>
      <c r="Y59" s="3">
        <f>1548.3+(178.5-275)+(-1.579266+(-0.18207--0.2805))+0-28.8--0.0293760000000046</f>
        <v>1421.54854</v>
      </c>
      <c r="Z59" s="3">
        <f>1814.4+(247.7-418.8)+(-1.850688+(-0.252654--0.427176))+0-30.4--0.0310080000000048</f>
        <v>1611.2548420000001</v>
      </c>
      <c r="AA59" s="3">
        <f>2104.8+(260-467.2)+(-5.36724+(-0.663--1.19136))+0-30.1--0.0767549999999956</f>
        <v>1862.7378750000003</v>
      </c>
      <c r="AB59" s="3">
        <f>1998.5+(240-438.5)+(-3.057705+(-0.3672--0.670905))+0-30.8--0.0471240000000018</f>
        <v>1766.4931240000001</v>
      </c>
      <c r="AC59" s="3">
        <f>1656.1+(296.4-342)+(-1.689222+(-0.302328--0.34884))+0-28.9--0.0294780000000046</f>
        <v>1579.9867679999998</v>
      </c>
      <c r="AD59">
        <f t="shared" si="0"/>
        <v>32641.758540999996</v>
      </c>
      <c r="AE59" s="3">
        <f>2106.5+(240.9-505.6)+(0+(0-0))+0-28.4-0</f>
        <v>1813.3999999999999</v>
      </c>
    </row>
    <row r="60" spans="1:31" s="2" customFormat="1" x14ac:dyDescent="0.25">
      <c r="A60">
        <v>89</v>
      </c>
      <c r="B60">
        <v>2</v>
      </c>
      <c r="C60">
        <v>29</v>
      </c>
      <c r="D60">
        <v>5</v>
      </c>
      <c r="E60">
        <v>1</v>
      </c>
      <c r="F60" s="3">
        <f>1288.5+(282.9-246.4)+(-1.971405+(-0.432837--0.376992))+0-28.2--0.0431460000000016</f>
        <v>1294.8158959999998</v>
      </c>
      <c r="G60" s="3">
        <f>1253.3+(231.4-307.9)+(0.639183+(0.118014-0.157029))+0-28.8-0.0146879999999971</f>
        <v>1148.58548</v>
      </c>
      <c r="H60" s="3">
        <f>1252.7+(214.6-349.9)+(-1.916631+(-0.328338--0.535347))+0-29.2--0.0446760000000017</f>
        <v>1086.5350539999999</v>
      </c>
      <c r="I60" s="3">
        <f>1167.9+(216.2-284.1)+(-1.786887+(-0.330786--0.434673))+0-29.1--0.0445230000000017</f>
        <v>1069.2615230000001</v>
      </c>
      <c r="J60" s="3">
        <f>1093.7+(223.3-236.3)+(0.557787+(0.113883-0.120513))+0-29-0.0147899999999971</f>
        <v>1052.2363670000002</v>
      </c>
      <c r="K60" s="3">
        <f>1093.5+(237.3-239.4)+(-2.788425+(-0.605115--0.61047))+0-27.9--0.0711449999999959</f>
        <v>1060.7880749999999</v>
      </c>
      <c r="L60" s="3">
        <f>1094.2+(239.4-257.9)+(0+(0-0))+0-28.5-0</f>
        <v>1047.2</v>
      </c>
      <c r="M60" s="3">
        <f>1133.6+(233.8-196)+(-1.734408+(-0.357714--0.29988))+0-29.2--0.0446760000000017</f>
        <v>1140.4524339999998</v>
      </c>
      <c r="N60" s="3">
        <f>1375.7+(238.5-260.2)+(-1.403214+(-0.24327--0.265404))+0-30.9--0.0315180000000049</f>
        <v>1321.7504379999998</v>
      </c>
      <c r="O60" s="3">
        <f>1747.9+(203.9-451.4)+(-0.891429+(-0.103989--0.230214))+0-32--0.0163199999999968</f>
        <v>1467.651116</v>
      </c>
      <c r="P60" s="3">
        <f>1921.5+(189.7-513.6)+(-1.95993+(-0.193494--0.523872))+0-30.4--0.0310080000000048</f>
        <v>1565.6014559999996</v>
      </c>
      <c r="Q60" s="3">
        <f>1924.4+(176.3-478.6)+(-1.962888+(-0.179826--0.488172))+2-19.7--0.0200940000000031</f>
        <v>1602.7655520000001</v>
      </c>
      <c r="R60" s="3">
        <f>1966.7+(171.4-532.2)+(0+(0-0))+0-13.7-0</f>
        <v>1592.2</v>
      </c>
      <c r="S60" s="3">
        <f>1865.4+(160.1-448.8)+(-3.805416+(-0.326604--0.915552))+0-27.9--0.0569159999999988</f>
        <v>1545.6404479999999</v>
      </c>
      <c r="T60" s="3">
        <f>1869.5+(157-505.4)+(0+(0-0))+0-29.1-0</f>
        <v>1492</v>
      </c>
      <c r="U60" s="3">
        <f>1867.9+(179.4-555.8)+(-2.857887+(-0.274482--0.850374))+0-31.3--0.0478890000000018</f>
        <v>1457.9658939999999</v>
      </c>
      <c r="V60" s="3">
        <f>1864.6+(179.2-557.2)+(-3.803784+(-0.365568--1.136688))+0-30--0.0611999999999987</f>
        <v>1453.6285359999999</v>
      </c>
      <c r="W60" s="3">
        <f>1781.5+(198.5-499.8)+(-3.63426+(-0.40494--1.019592))+0-27.7--0.0565079999999988</f>
        <v>1449.5368999999998</v>
      </c>
      <c r="X60" s="3">
        <f>1624.3+(244.7-407.4)+(-4.141965+(-0.623985--1.03887))+0-27.8--0.070889999999996</f>
        <v>1430.14381</v>
      </c>
      <c r="Y60" s="3">
        <f>1442.2+(268.7-271.5)+(-1.471044+(-0.274074--0.27693))+0-29.1--0.0296820000000046</f>
        <v>1408.8614940000002</v>
      </c>
      <c r="Z60" s="3">
        <f>1896.2+(257.7-539.8)+(-0.967062+(-0.131427--0.275298))+0-29.6--0.015095999999997</f>
        <v>1583.6919050000004</v>
      </c>
      <c r="AA60" s="3">
        <f>2063.3+(260.6-498.7)+(-3.156849+(-0.398718--0.763011))+0-30.8--0.0471240000000018</f>
        <v>1791.6545680000002</v>
      </c>
      <c r="AB60" s="3">
        <f>2026+(253.6-501.9)+(-5.1663+(-0.64668--1.279845))+0-29.9--0.0762449999999957</f>
        <v>1743.34311</v>
      </c>
      <c r="AC60" s="3">
        <f>1681.1+(258.1-374.6)+(-3.429444+(-0.526524--0.764184))+0-30.7--0.0626279999999987</f>
        <v>1530.7708439999997</v>
      </c>
      <c r="AD60">
        <f t="shared" si="0"/>
        <v>33337.080900000008</v>
      </c>
      <c r="AE60" s="3">
        <f>2028+(262.1-546.3)+(0+(0-0))+0-30.8-0</f>
        <v>1713.0000000000002</v>
      </c>
    </row>
    <row r="61" spans="1:31" s="2" customFormat="1" x14ac:dyDescent="0.25">
      <c r="A61">
        <v>89</v>
      </c>
      <c r="B61">
        <v>2</v>
      </c>
      <c r="C61">
        <v>30</v>
      </c>
      <c r="D61">
        <v>6</v>
      </c>
      <c r="E61">
        <v>1</v>
      </c>
      <c r="F61" s="3">
        <f>1456.7+(170-294.6)+(-5.943336+(-0.6936--1.201968))+0-29.8--0.121583999999997</f>
        <v>1296.9866159999999</v>
      </c>
      <c r="G61" s="3">
        <f>1320+(140.7-290.8)+(-2.0196+(-0.215271--0.444924))+0-28.4--0.0434520000000016</f>
        <v>1139.7535049999999</v>
      </c>
      <c r="H61" s="3">
        <f>1255.2+(139.7-289.8)+(-1.280304+(-0.142494--0.295596))+0-28.3--0.0288660000000045</f>
        <v>1075.7016640000002</v>
      </c>
      <c r="I61" s="3">
        <f>1254.8+(136.9-325.9)+(-2.559792+(-0.279276--0.664836))+0-21--0.0428399999999991</f>
        <v>1042.6686079999999</v>
      </c>
      <c r="J61" s="3">
        <f>1297.4+(98.8-357.7)+(1.323348+(0.100776-0.364854))+0-9.3-0.00948600000000148</f>
        <v>1030.2497840000001</v>
      </c>
      <c r="K61" s="3">
        <f>1319.8+(99.3-358.6)+(-3.36549+(-0.253215--0.91443))+0-18.2--0.0464099999999974</f>
        <v>1039.6421349999998</v>
      </c>
      <c r="L61" s="3">
        <f>1319.1+(107.2-405.9)+(-2.690964+(-0.218688--0.828036))+0-20.7--0.0422279999999991</f>
        <v>997.66061199999979</v>
      </c>
      <c r="M61" s="3">
        <f>1350+(115.5-351.6)+(1.377+(0.11781-0.358632))+0-27-0.0275400000000043</f>
        <v>1088.008638</v>
      </c>
      <c r="N61" s="3">
        <f>1558.5+(56.2-337.9)+(-1.58967+(-0.057324--0.344658))+0-27--0.0275400000000043</f>
        <v>1248.525204</v>
      </c>
      <c r="O61" s="3">
        <f>1938.5+(16-524)+(-0.988635+(-0.00816--0.26724))+0-30.3--0.0154529999999969</f>
        <v>1399.4858980000001</v>
      </c>
      <c r="P61" s="3">
        <f>2158+(8.9-650.4)+(0+(0-0))+0-30.8-0</f>
        <v>1485.7</v>
      </c>
      <c r="Q61" s="3">
        <f>2184.4+(9.5-645.5)+(2.228088+(0.00969-0.65841))+0-30.5-0.0311100000000049</f>
        <v>1519.4482580000001</v>
      </c>
      <c r="R61" s="3">
        <f>2175.6+(8.4-641.2)+(-4.438224+(-0.017136--1.308048))+0-29.1--0.0593639999999987</f>
        <v>1510.6120519999997</v>
      </c>
      <c r="S61" s="3">
        <f>2192.3+(9.4-706.2)+(-3.354219+(-0.014382--1.080486))+0-28.1--0.0429930000000016</f>
        <v>1465.1548780000001</v>
      </c>
      <c r="T61" s="3">
        <f>2195+(11.6-762.6)+(-2.2389+(-0.011832--0.777852))+0-28.9--0.0294780000000046</f>
        <v>1413.6565979999998</v>
      </c>
      <c r="U61" s="3">
        <f>2193.7+(13.1-771.4)+(-1.118787+(-0.006681--0.393414))+0-30.4--0.0155039999999969</f>
        <v>1404.2834499999997</v>
      </c>
      <c r="V61" s="3">
        <f>2185.2+(11.2-766.5)+(-3.343356+(-0.017136--1.172745))+0-30.1--0.0460530000000017</f>
        <v>1397.658306</v>
      </c>
      <c r="W61" s="3">
        <f>2144.9+(11.3-731.1)+(-4.375596+(-0.023052--1.491444))+0-30.5--0.0622199999999987</f>
        <v>1391.7550159999998</v>
      </c>
      <c r="X61" s="3">
        <f>1813.8+(9.9-428.9)+(-5.550228+(-0.030294--1.312434))+0-29.3--0.0896580000000034</f>
        <v>1361.3215700000001</v>
      </c>
      <c r="Y61" s="3">
        <f>1692.2+(11.9-325.6)+(-2.589066+(-0.018207--0.498168))+0-29.1--0.0445230000000017</f>
        <v>1347.3354180000001</v>
      </c>
      <c r="Z61" s="3">
        <f>2012+(102.1-543.9)+(-1.02612+(-0.052071--0.277389))+0-30.4--0.0155039999999969</f>
        <v>1539.0147019999999</v>
      </c>
      <c r="AA61" s="3">
        <f>2258.4+(158.8-568.3)+(-2.303568+(-0.161976--0.579666))+0-31.3--0.031926000000005</f>
        <v>1815.7460480000002</v>
      </c>
      <c r="AB61" s="3">
        <f>2066.2+(182-490.7)+(-3.161286+(-0.27846--0.750771))+0-28.7--0.0439110000000017</f>
        <v>1726.1549359999997</v>
      </c>
      <c r="AC61" s="3">
        <f>1885.8+(178.9-469.2)+(-0.961758+(-0.091239--0.239292))+0-29--0.0147899999999971</f>
        <v>1565.7010849999999</v>
      </c>
      <c r="AD61">
        <f t="shared" si="0"/>
        <v>32302.224981000003</v>
      </c>
      <c r="AE61" s="3">
        <f>2246.5+(169.8-578.1)+(0+(0-0))+0-32-0</f>
        <v>1806.2</v>
      </c>
    </row>
    <row r="62" spans="1:31" s="2" customFormat="1" x14ac:dyDescent="0.25">
      <c r="A62">
        <v>89</v>
      </c>
      <c r="B62">
        <v>2</v>
      </c>
      <c r="C62">
        <v>31</v>
      </c>
      <c r="D62">
        <v>7</v>
      </c>
      <c r="E62">
        <v>1</v>
      </c>
      <c r="F62" s="3">
        <f>1580.8+(153.6-367.8)+(-0.806208+(-0.078336--0.187578))+0-27.9--0.0142289999999972</f>
        <v>1338.0172629999997</v>
      </c>
      <c r="G62" s="3">
        <f>1452.4+(151.2-411.3)+(0.740724+(0.077112-0.209763))+0-27.5-0.0140249999999972</f>
        <v>1165.3940480000003</v>
      </c>
      <c r="H62" s="3">
        <f>1447.3+(155.5-491.2)+(-2.952492+(-0.31722--1.002048))+0-28.7--0.0585479999999987</f>
        <v>1080.6908839999999</v>
      </c>
      <c r="I62" s="3">
        <f>1451.4+(147.6-514.9)+(1.480428+(0.150552-0.525198))+0-28.7-0.0292740000000046</f>
        <v>1056.4765080000002</v>
      </c>
      <c r="J62" s="3">
        <f>1452.3+(147.8-533.4)+(-0.740673+(-0.075378--0.272034))+0-28.2--0.0143819999999971</f>
        <v>1037.9703650000001</v>
      </c>
      <c r="K62" s="3">
        <f>1450.8+(148-531.9)+(-2.959632+(-0.30192--1.085076))+0-29.4--0.0599759999999987</f>
        <v>1035.3834999999999</v>
      </c>
      <c r="L62" s="3">
        <f>1305.1+(144.7-444.9)+(-2.662404+(-0.295188--0.907596))+0-28.1--0.0573239999999988</f>
        <v>974.80732799999987</v>
      </c>
      <c r="M62" s="3">
        <f>1275.8+(133.6-386.6)+(-1.301316+(-0.136272--0.394332))+0-29.5--0.0300900000000047</f>
        <v>992.28683399999989</v>
      </c>
      <c r="N62" s="3">
        <f>1275.3+(117.4-276)+(-1.300806+(-0.119748--0.28152))+0-31.4--0.032028000000005</f>
        <v>1084.192994</v>
      </c>
      <c r="O62" s="3">
        <f>1281.1+(124.2-190.4)+(-2.613444+(-0.253368--0.388416))+0-30.2--0.0616079999999987</f>
        <v>1182.2832119999998</v>
      </c>
      <c r="P62" s="3">
        <f>1293.2+(167.9-170.1)+(-1.319064+(-0.171258--0.173502))+0-30.9--0.0315180000000049</f>
        <v>1258.8146979999999</v>
      </c>
      <c r="Q62" s="3">
        <f>1379.2+(176.3-206.7)+(-1.406784+(-0.179826--0.210834))+0-31--0.0316200000000049</f>
        <v>1316.4558440000001</v>
      </c>
      <c r="R62" s="3">
        <f>1604.8+(89.7-364.3)+(-3.273792+(-0.182988--0.743172))+0-29.7--0.0605879999999987</f>
        <v>1297.8469799999998</v>
      </c>
      <c r="S62" s="3">
        <f>1717.1+(84.3-470.8)+(-0.875721+(-0.042993--0.240108))+0-28.1--0.0143309999999971</f>
        <v>1301.8357250000001</v>
      </c>
      <c r="T62" s="3">
        <f>1791.2+(86-593.9)+(-1.827024+(-0.08772--0.605778))+0-29.6--0.0301920000000047</f>
        <v>1252.4212260000002</v>
      </c>
      <c r="U62" s="3">
        <f>1849.5+(104.7-693.6)+(-5.65947+(-0.320382--2.122416))+0-31.2--0.0954720000000036</f>
        <v>1225.6380359999998</v>
      </c>
      <c r="V62" s="3">
        <f>1816.5+(121.2-677.8)+(-3.70566+(-0.247248--1.382712))+0-27.5--0.0560999999999988</f>
        <v>1229.8859040000002</v>
      </c>
      <c r="W62" s="3">
        <f>1758.7+(128.5-614.3)+(-2.690811+(-0.196605--0.939879))+0-27.2--0.0416160000000016</f>
        <v>1243.794079</v>
      </c>
      <c r="X62" s="3">
        <f>1610.8+(154.1-491)+(-5.750556+(-0.550137--1.75287))+0-28.3--0.101031</f>
        <v>1241.1532079999999</v>
      </c>
      <c r="Y62" s="3">
        <f>1625.8+(168.2-497.6)+(-1.658316+(-0.171564--0.507552))+0-28.4--0.0289680000000045</f>
        <v>1266.7066399999999</v>
      </c>
      <c r="Z62" s="3">
        <f>1991.3+(178.2-689.6)+(-3.046689+(-0.272646--1.055088))+0-27.9--0.0426870000000016</f>
        <v>1449.7784399999998</v>
      </c>
      <c r="AA62" s="3">
        <f>2214.3+(199.4-654.8)+(-3.387879+(-0.305082--1.001844))+0-27.8--0.0425340000000016</f>
        <v>1728.451417</v>
      </c>
      <c r="AB62" s="3">
        <f>2183.2+(216.4-689.6)+(-4.453728+(-0.441456--1.406784))+0-28.4--0.0579359999999988</f>
        <v>1678.1695359999997</v>
      </c>
      <c r="AC62" s="3">
        <f>1860.5+(229.5-551.6)+(-2.846565+(-0.351135--0.843948))+0-28--0.0428400000000016</f>
        <v>1508.0890880000002</v>
      </c>
      <c r="AD62">
        <f t="shared" si="0"/>
        <v>29946.543756999999</v>
      </c>
      <c r="AE62" s="3">
        <f>2174.4+(190.5-597.3)+(0+(0-0))+0-25.6-0</f>
        <v>1742.0000000000002</v>
      </c>
    </row>
    <row r="63" spans="1:31" s="2" customFormat="1" x14ac:dyDescent="0.25">
      <c r="A63">
        <v>89</v>
      </c>
      <c r="B63">
        <v>3</v>
      </c>
      <c r="C63">
        <v>1</v>
      </c>
      <c r="D63">
        <v>1</v>
      </c>
      <c r="E63">
        <v>1</v>
      </c>
      <c r="F63" s="3">
        <f>1624.6+(159-489.5)+(-1.657092+(-0.16218--0.49929))+0-28.8--0.0293760000000046</f>
        <v>1264.0093939999999</v>
      </c>
      <c r="G63" s="3">
        <f>1583.1+(143.5-585.8)+(2.422143+(0.219555-0.896274))+0-28.6-0.0437580000000017</f>
        <v>1113.901666</v>
      </c>
      <c r="H63" s="3">
        <f>1437.7+(148.2-510.9)+(-3.666135+(-0.37791--1.302795))+0-29.1--0.0742049999999958</f>
        <v>1043.2329549999999</v>
      </c>
      <c r="I63" s="3">
        <f>1453.2+(143.7-551)+(-0.741132+(-0.073287--0.28101))+0-29--0.0147899999999971</f>
        <v>1016.3813810000001</v>
      </c>
      <c r="J63" s="3">
        <f>1498.9+(137.1-591.5)+(0.764439+(0.069921-0.301665))+0-28.5-0.0145349999999971</f>
        <v>1016.5181600000001</v>
      </c>
      <c r="K63" s="3">
        <f>1528.8+(134.3-588.6)+(-3.89844+(-0.342465--1.50093))+0-29.2--0.0744599999999958</f>
        <v>1042.634485</v>
      </c>
      <c r="L63" s="3">
        <f>1532.1+(133.9-477.4)+(0+(0-0))+0-29.8-0</f>
        <v>1158.8</v>
      </c>
      <c r="M63" s="3">
        <f>1680.4+(140.1-438.1)+(0.857004+(0.071451-0.223431))+0-31.1-0.0158609999999968</f>
        <v>1351.9891630000002</v>
      </c>
      <c r="N63" s="3">
        <f>1774.6+(146.4-400.8)+(0+(0-0))+0-29.9-0</f>
        <v>1490.2999999999997</v>
      </c>
      <c r="O63" s="3">
        <f>1998.8+(133-523.3)+(-2.038776+(-0.13566--0.533766))+0-31.8--0.0324360000000051</f>
        <v>1575.091766</v>
      </c>
      <c r="P63" s="3">
        <f>2008.5+(134-522.5)+(-5.121675+(-0.3417--1.332375))+0-31.8--0.0810899999999954</f>
        <v>1584.1500899999999</v>
      </c>
      <c r="Q63" s="3">
        <f>2230+(133-658.7)+(-1.1373+(-0.06783--0.335937))+0-31.8--0.0162179999999968</f>
        <v>1671.647025</v>
      </c>
      <c r="R63" s="3">
        <f>2387.8+(169.4-839.6)+(-2.435556+(-0.172788--0.856392))+0-35.1--0.0358020000000056</f>
        <v>1680.7838500000003</v>
      </c>
      <c r="S63" s="3">
        <f>2356+(144.1-861.6)+(-3.60468+(-0.220473--1.318248))+0-29.3--0.0448290000000017</f>
        <v>1606.737924</v>
      </c>
      <c r="T63" s="3">
        <f>2329.8+(143.1-899.8)+(1.188198+(0.072981-0.458898))+0-30.3-0.0154529999999969</f>
        <v>1543.5868280000004</v>
      </c>
      <c r="U63" s="3">
        <f>2250+(140-807.1)+(-5.7375+(-0.357--2.058105))+0-31.1--0.0793049999999955</f>
        <v>1547.8429100000001</v>
      </c>
      <c r="V63" s="3">
        <f>2212.8+(122.7-764.3)+(-2.257056+(-0.125154--0.779586))+0-30.9--0.0315180000000049</f>
        <v>1538.7288940000001</v>
      </c>
      <c r="W63" s="3">
        <f>2210.9+(124.5-772.9)+(-5.637795+(-0.317475--1.970895))+0-31.7--0.0808349999999954</f>
        <v>1526.8964599999999</v>
      </c>
      <c r="X63" s="3">
        <f>2042.1+(122.3-628.9)+(-4.165884+(-0.249492--1.282956))+0-29.3--0.0597719999999987</f>
        <v>1503.1273520000002</v>
      </c>
      <c r="Y63" s="3">
        <f>1983.8+(155.7-617.7)+(-4.046952+(-0.317628--1.260108))+0-29.6--0.0603839999999987</f>
        <v>1489.1559119999999</v>
      </c>
      <c r="Z63" s="3">
        <f>2171.2+(185.9-656.3)+(-5.53656+(-0.474045--1.673565))+0-30.9--0.0787949999999955</f>
        <v>1665.6417549999996</v>
      </c>
      <c r="AA63" s="3">
        <f>2197.2+(213.5-436)+(-7.844004+(-0.762195--1.55652))+0-30.3--0.108171</f>
        <v>1937.458492</v>
      </c>
      <c r="AB63" s="3">
        <f>1862.1+(276.7-249.6)+(-3.798684+(-0.564468--0.509184))+0-30--0.0611999999999987</f>
        <v>1855.407232</v>
      </c>
      <c r="AC63" s="3">
        <f>1758.2+(234.9-298.9)+(-1.793364+(-0.239598--0.304878))+0-28.6--0.0291720000000046</f>
        <v>1663.9010880000001</v>
      </c>
      <c r="AD63">
        <f t="shared" si="0"/>
        <v>34887.924781999995</v>
      </c>
      <c r="AE63" s="3">
        <f>2208+(209.7-426.7)+(0+(0-0))+0-28.8-0</f>
        <v>1962.2</v>
      </c>
    </row>
    <row r="64" spans="1:31" s="2" customFormat="1" x14ac:dyDescent="0.25">
      <c r="A64">
        <v>89</v>
      </c>
      <c r="B64">
        <v>3</v>
      </c>
      <c r="C64">
        <v>2</v>
      </c>
      <c r="D64">
        <v>2</v>
      </c>
      <c r="E64">
        <v>1</v>
      </c>
      <c r="F64" s="3">
        <f>1605.5+(157.1-344.7)+(-1.63761+(-0.160242--0.351594))+0-27.9--0.0284580000000044</f>
        <v>1388.5822000000001</v>
      </c>
      <c r="G64" s="3">
        <f>1588.5+(146.4-477.8)+(-4.050675+(-0.37332--1.21839))+0-27--0.0688499999999961</f>
        <v>1226.9632449999997</v>
      </c>
      <c r="H64" s="3">
        <f>1589.3+(169.8-569.5)+(-2.431629+(-0.259794--0.871335))+0-27.3--0.0417690000000016</f>
        <v>1160.5216809999999</v>
      </c>
      <c r="I64" s="3">
        <f>1586.9+(170.2-606.4)+(-2.427957+(-0.260406--0.927792))+0-28.7--0.0439110000000017</f>
        <v>1120.28334</v>
      </c>
      <c r="J64" s="3">
        <f>1613+(169.9-633.3)+(-1.64526+(-0.173298--0.645966))+0-27.7--0.0282540000000044</f>
        <v>1120.755662</v>
      </c>
      <c r="K64" s="3">
        <f>1601.6+(166.5-600.3)+(-2.450448+(-0.254745--0.918459))+0-28.3--0.0432990000000016</f>
        <v>1137.7565649999999</v>
      </c>
      <c r="L64" s="3">
        <f>1525.7+(146-540.1)+(-0.778107+(-0.07446--0.275451))+0-29.2--0.014891999999997</f>
        <v>1101.8377759999998</v>
      </c>
      <c r="M64" s="3">
        <f>1568.2+(147-469.9)+(-0.799782+(-0.07497--0.239649))+0-29.3--0.014942999999997</f>
        <v>1215.3798400000001</v>
      </c>
      <c r="N64" s="3">
        <f>1624.8+(164.4-350.3)+(-0.828648+(-0.083844--0.178653))+0-31.2--0.0159119999999968</f>
        <v>1406.9820729999999</v>
      </c>
      <c r="O64" s="3">
        <f>1679.1+(180.3-295.1)+(-1.712682+(-0.183906--0.301002))+0-31.3--0.031926000000005</f>
        <v>1531.4363400000002</v>
      </c>
      <c r="P64" s="3">
        <f>1791.4+(180.5-336.4)+(-5.481684+(-0.55233--1.029384))+0-31.2--0.0954720000000036</f>
        <v>1599.390842</v>
      </c>
      <c r="Q64" s="3">
        <f>1897+(181-400.2)+(-0.96747+(-0.09231--0.204102))+0-31.6--0.0161159999999968</f>
        <v>1645.3604380000002</v>
      </c>
      <c r="R64" s="3">
        <f>1981.7+(193.8-496.8)+(-2.021334+(-0.197676--0.506736))+0-31.6--0.032232000000005</f>
        <v>1645.4199580000002</v>
      </c>
      <c r="S64" s="3">
        <f>2020.6+(185.8-580.8)+(-5.15253+(-0.47379--1.48104))+0-29.4--0.0749699999999957</f>
        <v>1592.1296899999998</v>
      </c>
      <c r="T64" s="3">
        <f>2079.8+(161.4-672.9)+(0+(0-0))+0-29.1-0</f>
        <v>1539.2000000000003</v>
      </c>
      <c r="U64" s="3">
        <f>2101.7+(156.1-678.4)+(-3.215601+(-0.238833--1.037952))+0-29.3--0.0448290000000017</f>
        <v>1547.7283469999998</v>
      </c>
      <c r="V64" s="3">
        <f>2101.3+(154.5-673.1)+(-4.286652+(-0.31518--1.373124))+0-29.5--0.0601799999999987</f>
        <v>1550.0314720000001</v>
      </c>
      <c r="W64" s="3">
        <f>2037.2+(112.4-582.2)+(-6.233832+(-0.343944--1.781532))+0-29.5--0.0902700000000034</f>
        <v>1533.1940260000001</v>
      </c>
      <c r="X64" s="3">
        <f>1998.7+(118.4-554.5)+(-5.096685+(-0.30192--1.413975))+0-29.7--0.0757349999999957</f>
        <v>1528.9911049999998</v>
      </c>
      <c r="Y64" s="3">
        <f>1900.5+(118.8-481.8)+(-0.969255+(-0.060588--0.245718))+0-29.9--0.015248999999997</f>
        <v>1506.831124</v>
      </c>
      <c r="Z64" s="3">
        <f>2084.2+(191.6-565.8)+(-1.062942+(-0.097716--0.288558))+0-31.1--0.0158609999999968</f>
        <v>1678.0437610000001</v>
      </c>
      <c r="AA64" s="3">
        <f>2330.4+(207.2-569.8)+(-3.565512+(-0.317016--0.871794))+0-30.5--0.0466650000000018</f>
        <v>1934.3359310000003</v>
      </c>
      <c r="AB64" s="3">
        <f>2289.1+(201.1-597.8)+(-5.837205+(-0.512805--1.52439))+0-29.9--0.0762449999999957</f>
        <v>1857.7506249999999</v>
      </c>
      <c r="AC64" s="3">
        <f>2018.6+(164.3-496.5)+(-2.058972+(-0.167586--0.50643))+0-29.1--0.0296820000000046</f>
        <v>1655.6095540000001</v>
      </c>
      <c r="AD64">
        <f t="shared" si="0"/>
        <v>35224.515595000004</v>
      </c>
      <c r="AE64" s="3">
        <f>2380.1+(205-628.3)+(0+(0-0))+0-29.6-0</f>
        <v>1927.2</v>
      </c>
    </row>
    <row r="65" spans="1:31" s="2" customFormat="1" x14ac:dyDescent="0.25">
      <c r="A65">
        <v>89</v>
      </c>
      <c r="B65">
        <v>3</v>
      </c>
      <c r="C65">
        <v>3</v>
      </c>
      <c r="D65">
        <v>3</v>
      </c>
      <c r="E65">
        <v>1</v>
      </c>
      <c r="F65" s="3">
        <f>1688.2+(132.4-408.6)+(-2.582946+(-0.202572--0.625158))+0-28.8--0.0440640000000017</f>
        <v>1381.0837039999999</v>
      </c>
      <c r="G65" s="3">
        <f>1635.7+(162.1-554)+(-0.834207+(-0.082671--0.28254))+0-29.3--0.014942999999997</f>
        <v>1213.8806050000001</v>
      </c>
      <c r="H65" s="3">
        <f>1636.9+(170.4-621.1)+(-0.834819+(-0.086904--0.316761))+0-27.9--0.0142289999999972</f>
        <v>1157.709267</v>
      </c>
      <c r="I65" s="3">
        <f>1633.4+(170.7-644.2)+(-1.666068+(-0.174114--0.657084))+0-28.5--0.0290700000000045</f>
        <v>1130.2459720000002</v>
      </c>
      <c r="J65" s="3">
        <f>1629.5+(159.2-641.4)+(-4.155225+(-0.40596--1.63557))+0-27.5--0.070124999999996</f>
        <v>1116.9445099999998</v>
      </c>
      <c r="K65" s="3">
        <f>1613.2+(144.7-625.3)+(-2.468196+(-0.221391--0.956709))+0-19.8--0.0302940000000011</f>
        <v>1111.0974160000001</v>
      </c>
      <c r="L65" s="3">
        <f>1551.8+(144.3-586)+(-0.791418+(-0.073593--0.29886))+0-7.9--0.0040289999999992</f>
        <v>1101.6378779999998</v>
      </c>
      <c r="M65" s="3">
        <f>1606.4+(121.2-494.7)+(0+(0-0))+0-5.3-0</f>
        <v>1227.6000000000001</v>
      </c>
      <c r="N65" s="3">
        <f>1731.5+(107.2-430.1)+(-0.883065+(-0.054672--0.219351))+0-5--0.00254999999999949</f>
        <v>1402.8841639999998</v>
      </c>
      <c r="O65" s="3">
        <f>1872.6+(116.5-436.4)+(-0.955026+(-0.059415--0.222564))+0-3.9--0.0019889999999996</f>
        <v>1548.0101119999997</v>
      </c>
      <c r="P65" s="3">
        <f>1954.2+(100.3-433)+(-0.996642+(-0.051153--0.22083))+0-1.2--0.000611999999999878</f>
        <v>1619.473647</v>
      </c>
      <c r="Q65" s="3">
        <f>2128.5+(32.7-505.1)+(-2.17107+(-0.033354--0.515202))+0-1.4--0.00142800000000022</f>
        <v>1653.0122059999999</v>
      </c>
      <c r="R65" s="3">
        <f>2306.5+(36.8-674.4)+(-2.35263+(-0.037536--0.687888))+0-1.1--0.00112200000000018</f>
        <v>1666.0988440000001</v>
      </c>
      <c r="S65" s="3">
        <f>2353.8+(35.2-777.3)+(-2.400876+(-0.035904--0.792846))+0-1.4--0.00142800000000022</f>
        <v>1608.6574940000003</v>
      </c>
      <c r="T65" s="3">
        <f>2363.4+(23.1-814.9)+(0+(0-0))+0-1.9-0</f>
        <v>1569.7</v>
      </c>
      <c r="U65" s="3">
        <f>2383.3+(18.3-837.2)+(-2.430966+(-0.018666--0.853944))+0-2.5--0.0025500000000004</f>
        <v>1560.3068619999999</v>
      </c>
      <c r="V65" s="3">
        <f>2383.2+(18.7-830.6)+(-7.292592+(-0.057222--2.541636))+0-2.5--0.00765000000000029</f>
        <v>1563.9994719999997</v>
      </c>
      <c r="W65" s="3">
        <f>2385.9+(19-839.5)+(-4.867236+(-0.03876--1.71258))+0-2.1--0.00428399999999991</f>
        <v>1560.1108680000002</v>
      </c>
      <c r="X65" s="3">
        <f>2090.5+(20.8-567.9)+(-6.39693+(-0.063648--1.737774))+0-1.9--0.00581400000000022</f>
        <v>1536.7830100000001</v>
      </c>
      <c r="Y65" s="3">
        <f>1953.1+(31.7-468.1)+(-4.980405+(-0.080835--1.193655))+0-3--0.00764999999999957</f>
        <v>1509.8400649999999</v>
      </c>
      <c r="Z65" s="3">
        <f>2189+(140.4-653.2)+(-3.34917+(-0.214812--0.999396))+0-3.8--0.00581400000000022</f>
        <v>1669.841228</v>
      </c>
      <c r="AA65" s="3">
        <f>2359.1+(156.5-556.4)+(-8.421987+(-0.558705--1.986348))+0-6.2--0.0221340000000001</f>
        <v>1946.0277899999999</v>
      </c>
      <c r="AB65" s="3">
        <f>2357.7+(112.2-587)+(-4.809708+(-0.228888--1.19748))+0-6.5--0.0132599999999997</f>
        <v>1872.5721439999998</v>
      </c>
      <c r="AC65" s="3">
        <f>2029.2+(89-451.5)+(-5.17446+(-0.22695--1.151325))+0-7.7--0.0196349999999989</f>
        <v>1654.7695500000002</v>
      </c>
      <c r="AD65">
        <f t="shared" ref="AD65:AD128" si="1">SUM(F65:AC65)</f>
        <v>35382.286807999997</v>
      </c>
      <c r="AE65" s="3">
        <f>2356.1+(157.7-566.3)+(0+(0-0))+0-4-0</f>
        <v>1943.5</v>
      </c>
    </row>
    <row r="66" spans="1:31" s="2" customFormat="1" x14ac:dyDescent="0.25">
      <c r="A66">
        <v>89</v>
      </c>
      <c r="B66">
        <v>3</v>
      </c>
      <c r="C66">
        <v>4</v>
      </c>
      <c r="D66">
        <v>4</v>
      </c>
      <c r="E66">
        <v>1</v>
      </c>
      <c r="F66" s="3">
        <f>1753.3+(119.1-460.5)+(-2.682549+(-0.182223--0.704565))+0-8.1--0.0123930000000005</f>
        <v>1401.6521860000003</v>
      </c>
      <c r="G66" s="3">
        <f>1678.1+(119.5-540.5)+(-2.567493+(-0.182835--0.826965))+0-12.9--0.0197370000000007</f>
        <v>1242.2963739999998</v>
      </c>
      <c r="H66" s="3">
        <f>1667.6+(117.6-587.9)+(-1.700952+(-0.119952--0.599658))+0-26.5--0.0270300000000042</f>
        <v>1169.6057839999999</v>
      </c>
      <c r="I66" s="3">
        <f>1570.5+(131.5-534.4)+(-4.80573+(-0.40239--1.635264))+0-28.6--0.0875160000000033</f>
        <v>1135.51466</v>
      </c>
      <c r="J66" s="3">
        <f>1561.9+(123.5-525.9)+(-1.593138+(-0.12597--0.536418))+0-27.6--0.0281520000000044</f>
        <v>1130.7454620000001</v>
      </c>
      <c r="K66" s="3">
        <f>1556.3+(121.9-507)+(-3.968565+(-0.310845--1.29285))+0-27.7--0.070634999999996</f>
        <v>1140.5840749999998</v>
      </c>
      <c r="L66" s="3">
        <f>1563.5+(113.5-518.3)+(-3.986925+(-0.289425--1.321665))+0-28.3--0.0721649999999959</f>
        <v>1127.5174800000002</v>
      </c>
      <c r="M66" s="3">
        <f>1630.4+(112.9-476.9)+(-3.326016+(-0.230316--0.972876))+0-29.7--0.0605879999999987</f>
        <v>1234.177132</v>
      </c>
      <c r="N66" s="3">
        <f>1710.4+(64.9-329.7)+(-1.744608+(-0.066198--0.336294))+0-28.5--0.0290700000000045</f>
        <v>1415.6545580000002</v>
      </c>
      <c r="O66" s="3">
        <f>1926.7+(32.7-377)+(-2.947851+(-0.050031--0.57681))+0-28.5--0.0436050000000016</f>
        <v>1551.5225330000001</v>
      </c>
      <c r="P66" s="3">
        <f>2042.7+(34.5-428.5)+(-1.041777+(-0.017595--0.218535))+0-28.6--0.0145859999999971</f>
        <v>1619.2737490000002</v>
      </c>
      <c r="Q66" s="3">
        <f>2161.7+(32-446)+(-1.102467+(-0.01632--0.22746))+0-30--0.015299999999997</f>
        <v>1716.8239729999998</v>
      </c>
      <c r="R66" s="3">
        <f>2382.7+(30.2-716.3)+(-2.430354+(-0.030804--0.730626))+0-27.5--0.0280500000000044</f>
        <v>1667.3975179999998</v>
      </c>
      <c r="S66" s="3">
        <f>2380+(29.2-763.4)+(-2.4276+(-0.029784--0.778668))+0-25.9--0.0264180000000041</f>
        <v>1618.2477020000001</v>
      </c>
      <c r="T66" s="3">
        <f>2376+(30-806.5)+(-3.63528+(-0.0459--1.233945))+0-26.2--0.0400860000000015</f>
        <v>1570.8928509999998</v>
      </c>
      <c r="U66" s="3">
        <f>2383.4+(27.2-812.7)+(1.215534+(0.013872-0.414477))+0-26.2-0.0133619999999973</f>
        <v>1572.501567</v>
      </c>
      <c r="V66" s="3">
        <f>2387.7+(20.1-802)+(1.217727+(0.010251-0.40902))+0-26.6-0.0135659999999973</f>
        <v>1580.0053919999998</v>
      </c>
      <c r="W66" s="3">
        <f>2125.4+(20.7-570.9)+(-4.335816+(-0.042228--1.164636))+0-27.6--0.0563039999999988</f>
        <v>1544.4428960000002</v>
      </c>
      <c r="X66" s="3">
        <f>1942.3+(36.5-431.9)+(-5.943438+(-0.11169--1.321614))+0-28--0.0856800000000032</f>
        <v>1514.252166</v>
      </c>
      <c r="Y66" s="3">
        <f>1878.5+(52.3-408.9)+(-4.790175+(-0.133365--1.042695))+0-27.8--0.070889999999996</f>
        <v>1490.2900450000002</v>
      </c>
      <c r="Z66" s="3">
        <f>2130.3+(196.2-639.7)+(-6.518718+(-0.600372--1.957482))+0-30.7--0.0939420000000036</f>
        <v>1651.0323340000002</v>
      </c>
      <c r="AA66" s="3">
        <f>2265.2+(226.1-518.1)+(-9.242016+(-0.922488--2.113848))+0-29.9--0.121991999999997</f>
        <v>1935.3713359999999</v>
      </c>
      <c r="AB66" s="3">
        <f>1939.9+(262.3-304.5)+(-0.989349+(-0.133773--0.155295))+0-29.3--0.014942999999997</f>
        <v>1867.4471160000001</v>
      </c>
      <c r="AC66" s="3">
        <f>1777.5+(227.6-320.3)+(-4.532625+(-0.58038--0.816765))+0-30.6--0.0780299999999956</f>
        <v>1649.98179</v>
      </c>
      <c r="AD66">
        <f t="shared" si="1"/>
        <v>35547.230679</v>
      </c>
      <c r="AE66" s="3">
        <f>2270+(228.6-534.4)+(0+(0-0))+0-30.4-0</f>
        <v>1933.8</v>
      </c>
    </row>
    <row r="67" spans="1:31" s="2" customFormat="1" x14ac:dyDescent="0.25">
      <c r="A67">
        <v>89</v>
      </c>
      <c r="B67">
        <v>3</v>
      </c>
      <c r="C67">
        <v>5</v>
      </c>
      <c r="D67">
        <v>5</v>
      </c>
      <c r="E67">
        <v>1</v>
      </c>
      <c r="F67" s="3">
        <f>1729.3+(117.5-432.2)+(-3.527772+(-0.2397--0.881688))+0-28.5--0.0581399999999988</f>
        <v>1383.2723559999999</v>
      </c>
      <c r="G67" s="3">
        <f>1666.6+(107.4-509.8)+(0.849966+(0.054774-0.259998))+0-27.9-0.0142289999999972</f>
        <v>1236.9305129999998</v>
      </c>
      <c r="H67" s="3">
        <f>1648+(108.5-551.2)+(-4.2024+(-0.276675--1.40556))+0-28.6--0.0729299999999959</f>
        <v>1173.699415</v>
      </c>
      <c r="I67" s="3">
        <f>1544.1+(102.2-495.3)+(-2.362473+(-0.156366--0.757809))+0-26.1--0.0399330000000015</f>
        <v>1123.1789030000002</v>
      </c>
      <c r="J67" s="3">
        <f>1543.8+(105.2-498.7)+(-0.787338+(-0.053652--0.254337))+0-28.4--0.0144839999999971</f>
        <v>1121.3278309999998</v>
      </c>
      <c r="K67" s="3">
        <f>1544.2+(102.8-485)+(-4.725252+(-0.314568--1.4841))+0-28.1--0.0859860000000033</f>
        <v>1130.4302660000001</v>
      </c>
      <c r="L67" s="3">
        <f>1553.8+(103.9-512)+(-3.169752+(-0.211956--1.04448))+0-28.7--0.0585479999999987</f>
        <v>1114.7213199999997</v>
      </c>
      <c r="M67" s="3">
        <f>1724.6+(105.3-565.8)+(-1.759092+(-0.107406--0.577116))+0-30.2--0.0308040000000048</f>
        <v>1232.6414219999999</v>
      </c>
      <c r="N67" s="3">
        <f>1835.6+(105.1-471.3)+(0.936156+(0.053601-0.240363))+0-30.8-0.0157079999999969</f>
        <v>1439.3336859999999</v>
      </c>
      <c r="O67" s="3">
        <f>1965.9+(105.9-465.9)+(-4.010436+(-0.216036--0.950436))+0-30.8--0.0628319999999987</f>
        <v>1571.8867960000002</v>
      </c>
      <c r="P67" s="3">
        <f>2066.4+(79-478.9)+(0+(0-0))+0-30.3-0</f>
        <v>1636.2</v>
      </c>
      <c r="Q67" s="3">
        <f>2259.1+(42-599.9)+(-1.152141+(-0.02142--0.305949))+0-28.9--0.0147389999999971</f>
        <v>1671.4471269999997</v>
      </c>
      <c r="R67" s="3">
        <f>2375.5+(40.1-711.5)+(-1.211505+(-0.020451--0.362865))+0-25.6--0.0130559999999974</f>
        <v>1677.643965</v>
      </c>
      <c r="S67" s="3">
        <f>2366.5+(33.8-746.8)+(-1.206915+(-0.017238--0.380868))+0-26--0.0132599999999974</f>
        <v>1626.669975</v>
      </c>
      <c r="T67" s="3">
        <f>2359.1+(24.6-763.8)+(-2.406282+(-0.025092--0.779076))+0-27.2--0.0277440000000043</f>
        <v>1591.0754460000001</v>
      </c>
      <c r="U67" s="3">
        <f>2355.6+(19-767)+(-1.201356+(-0.00969--0.39117))+0-28.1--0.0143309999999971</f>
        <v>1578.6944550000001</v>
      </c>
      <c r="V67" s="3">
        <f>2357.8+(19.5-773.9)+(-3.607434+(-0.029835--1.184067))+0-29.1--0.0445230000000017</f>
        <v>1571.8913210000003</v>
      </c>
      <c r="W67" s="3">
        <f>2347.6+(20.9-777.4)+(-8.380932+(-0.074613--2.775318))+0-28.8--0.102816</f>
        <v>1556.722589</v>
      </c>
      <c r="X67" s="3">
        <f>2122.6+(20.6-577.2)+(-7.577682+(-0.073542--2.060604))+0-26.7--0.0953190000000004</f>
        <v>1533.804699</v>
      </c>
      <c r="Y67" s="3">
        <f>1988.8+(44.1-480.3)+(-4.057152+(-0.089964--0.979812))+0-27.2--0.0554879999999988</f>
        <v>1522.2881839999998</v>
      </c>
      <c r="Z67" s="3">
        <f>2168.6+(185.3-655.7)+(-2.211972+(-0.189006--0.668814))+0-28.3--0.0288660000000045</f>
        <v>1668.196702</v>
      </c>
      <c r="AA67" s="3">
        <f>2456.2+(197.1-681.2)+(-7.515972+(-0.603126--2.084472))+0-29.9--0.0914940000000034</f>
        <v>1936.2568679999999</v>
      </c>
      <c r="AB67" s="3">
        <f>2330.9+(186.9-613.5)+(1.188759+(0.095319-0.312885))+0-29.7-0.015146999999997</f>
        <v>1875.5560460000002</v>
      </c>
      <c r="AC67" s="3">
        <f>1962.5+(132.3-399.2)+(-1.000875+(-0.067473--0.203592))+0-28.9--0.0147389999999971</f>
        <v>1665.8499829999998</v>
      </c>
      <c r="AD67">
        <f t="shared" si="1"/>
        <v>35639.719868</v>
      </c>
      <c r="AE67" s="3">
        <f>2524+(210.4-746)+(0+(0-0))+0-30.4-0</f>
        <v>1958</v>
      </c>
    </row>
    <row r="68" spans="1:31" s="2" customFormat="1" x14ac:dyDescent="0.25">
      <c r="A68">
        <v>89</v>
      </c>
      <c r="B68">
        <v>3</v>
      </c>
      <c r="C68">
        <v>6</v>
      </c>
      <c r="D68">
        <v>6</v>
      </c>
      <c r="E68">
        <v>1</v>
      </c>
      <c r="F68" s="3">
        <f>1741.7+(85.1-405.4)+(-3.553068+(-0.173604--0.827016))+0-27.6--0.0563039999999988</f>
        <v>1390.9566480000001</v>
      </c>
      <c r="G68" s="3">
        <f>1670.9+(41.9-456.8)+(-0.852159+(-0.021369--0.232968))+0-27.4--0.0139739999999972</f>
        <v>1227.9734139999998</v>
      </c>
      <c r="H68" s="3">
        <f>1669.3+(32.1-518.9)+(-1.702686+(-0.032742--0.529278))+0-25.6--0.0261120000000041</f>
        <v>1155.7199620000001</v>
      </c>
      <c r="I68" s="3">
        <f>1665.3+(31.5-539.9)+(-5.095818+(-0.09639--1.652094))+0-26.4--0.080784000000003</f>
        <v>1127.0406700000001</v>
      </c>
      <c r="J68" s="3">
        <f>1667.4+(20.7-542)+(-2.551122+(-0.031671--0.82926))+0-26.4--0.0403920000000015</f>
        <v>1117.9868590000001</v>
      </c>
      <c r="K68" s="3">
        <f>1652.5+(21-524.4)+(-6.7422+(-0.08568--2.139552))+0-26.4--0.107711999999998</f>
        <v>1118.1193839999999</v>
      </c>
      <c r="L68" s="3">
        <f>1571.6+(45.7-490.3)+(-1.603032+(-0.046614--0.500106))+0-26.3--0.0268260000000042</f>
        <v>1099.5772860000002</v>
      </c>
      <c r="M68" s="3">
        <f>1554+(64.7-387.8)+(0+(0-0))+0-26.5-0</f>
        <v>1204.4000000000001</v>
      </c>
      <c r="N68" s="3">
        <f>1600.5+(72.3-255.3)+(1.63251+(0.073746-0.260406))+0-23.7-0.0241740000000038</f>
        <v>1395.2216760000001</v>
      </c>
      <c r="O68" s="3">
        <f>2135.6+(10.2-583.3)+(-2.178312+(-0.010404--0.594966))+0-20--0.0204000000000032</f>
        <v>1540.9266500000001</v>
      </c>
      <c r="P68" s="3">
        <f>2322.4+(0-667.6)+(-1.184424+(0--0.340476))+0-28.9--0.0147389999999971</f>
        <v>1625.0707910000001</v>
      </c>
      <c r="Q68" s="3">
        <f>2306.4+(0-614.3)+(0+(0-0))+0-29.8-0</f>
        <v>1662.3000000000002</v>
      </c>
      <c r="R68" s="3">
        <f>2338.3+(0-657.8)+(-3.577599+(0--1.006434))+0-29.5--0.0451350000000017</f>
        <v>1648.4739700000002</v>
      </c>
      <c r="S68" s="3">
        <f>2358+(0-740.2)+(-2.40516+(0--0.755004))+0-19.4--0.0197880000000031</f>
        <v>1596.769632</v>
      </c>
      <c r="T68" s="3">
        <f>2359.7+(0-807.8)+(-2.406894+(0--0.823956))+0-9.9--0.0100980000000016</f>
        <v>1540.4271599999997</v>
      </c>
      <c r="U68" s="3">
        <f>2357.6+(0-812.7)+(-2.404752+(0--0.828954))+0-21.9--0.0223380000000035</f>
        <v>1521.4465399999997</v>
      </c>
      <c r="V68" s="3">
        <f>2352.6+(0-797.1)+(-1.199826+(0--0.406521))+0-27.3--0.0139229999999972</f>
        <v>1527.4206180000001</v>
      </c>
      <c r="W68" s="3">
        <f>2324.5+(0-786.3)+(-5.927475+(0--2.005065))+0-28--0.0713999999999959</f>
        <v>1506.3489900000002</v>
      </c>
      <c r="X68" s="3">
        <f>2166.2+(0-637.8)+(-5.52381+(0--1.62639))+0-28.4--0.0724199999999959</f>
        <v>1496.1749999999997</v>
      </c>
      <c r="Y68" s="3">
        <f>2004.2+(41.9-555)+(-2.044284+(-0.042738--0.5661))+0-29--0.0295800000000046</f>
        <v>1460.6086579999999</v>
      </c>
      <c r="Z68" s="3">
        <f>2253.9+(210.3-831.4)+(-3.448467+(-0.321759--1.272042))+0-30.2--0.0462060000000017</f>
        <v>1600.1480220000001</v>
      </c>
      <c r="AA68" s="3">
        <f>2311.9+(203-573.8)+(-3.537207+(-0.31059--0.877914))+0-23.2--0.0354960000000013</f>
        <v>1914.9656130000001</v>
      </c>
      <c r="AB68" s="3">
        <f>2109.6+(211.7-451.7)+(-4.303584+(-0.431868--0.921468))+0-9.1--0.0185639999999996</f>
        <v>1856.7045800000001</v>
      </c>
      <c r="AC68" s="3">
        <f>1805.3+(213.4-337.9)+(-3.682812+(-0.435336--0.689316))+0-6.4--0.0130559999999997</f>
        <v>1670.9842239999998</v>
      </c>
      <c r="AD68">
        <f t="shared" si="1"/>
        <v>35005.766346999997</v>
      </c>
      <c r="AE68" s="3">
        <f>2392.3+(196.7-663.7)+(0+(0-0))+0-30.4-0</f>
        <v>1894.9</v>
      </c>
    </row>
    <row r="69" spans="1:31" s="2" customFormat="1" x14ac:dyDescent="0.25">
      <c r="A69">
        <v>89</v>
      </c>
      <c r="B69">
        <v>3</v>
      </c>
      <c r="C69">
        <v>7</v>
      </c>
      <c r="D69">
        <v>7</v>
      </c>
      <c r="E69">
        <v>1</v>
      </c>
      <c r="F69" s="3">
        <f>1803+(64.1-406.8)+(3.67812+(0.130764-0.829872))+0-12-0.0244799999999995</f>
        <v>1451.2545319999999</v>
      </c>
      <c r="G69" s="3">
        <f>1701+(39.2-441.4)+(1.73502+(0.039984-0.450228))+0-25.8-0.0263160000000041</f>
        <v>1274.29846</v>
      </c>
      <c r="H69" s="3">
        <f>1620.1+(34.6-464.4)+(1.652502+(0.035292-0.473688))+0-25.6-0.0261120000000041</f>
        <v>1165.8879939999999</v>
      </c>
      <c r="I69" s="3">
        <f>1547.4+(25.5-439.7)+(0+(0-0))+0-26.2-0</f>
        <v>1107</v>
      </c>
      <c r="J69" s="3">
        <f>1545.9+(18.1-443.4)+(1.576818+(0.018462-0.452268))+0-25-0.025500000000004</f>
        <v>1096.7175120000002</v>
      </c>
      <c r="K69" s="3">
        <f>1546.9+(13.6-431.9)+(-2.366757+(-0.020808--0.660807))+0-25.1--0.0384030000000015</f>
        <v>1101.8116450000002</v>
      </c>
      <c r="L69" s="3">
        <f>1469.8+(16.8-429.1)+(-2.248794+(-0.025704--0.656523))+0-24.8--0.0379440000000014</f>
        <v>1031.1199690000001</v>
      </c>
      <c r="M69" s="3">
        <f>1463.5+(26.9-400.6)+(-1.49277+(-0.027438--0.408612))+0-26.2--0.0267240000000042</f>
        <v>1062.515128</v>
      </c>
      <c r="N69" s="3">
        <f>1483.9+(30.2-311.5)+(-2.270367+(-0.046206--0.476595))+0-27.5--0.0420750000000016</f>
        <v>1173.3020970000002</v>
      </c>
      <c r="O69" s="3">
        <f>1522.8+(29.8-232.6)+(-2.329884+(-0.045594--0.355878))+0-28.4--0.0434520000000016</f>
        <v>1289.6238519999997</v>
      </c>
      <c r="P69" s="3">
        <f>1572.5+(46.8-206.6)+(0+(0-0))+0-29.3-0</f>
        <v>1383.4</v>
      </c>
      <c r="Q69" s="3">
        <f>1561.4+(58.8-178.2)+(-0.796314+(-0.029988--0.090882))+0-26.9--0.0137189999999973</f>
        <v>1414.378299</v>
      </c>
      <c r="R69" s="3">
        <f>1690.2+(5.8-258.5)+(0+(0-0))+0-9.8-0</f>
        <v>1427.7</v>
      </c>
      <c r="S69" s="3">
        <f>1804.6+(0-378.3)+(-0.920346+(0--0.192933))+0-6.5--0.00331499999999934</f>
        <v>1419.0759019999998</v>
      </c>
      <c r="T69" s="3">
        <f>1804.7+(0-423.9)+(0+(0-0))+0-6.6-0</f>
        <v>1374.2000000000003</v>
      </c>
      <c r="U69" s="3">
        <f>1764.8+(0-408.6)+(0.900048+(0-0.208386))+0-18-0.00917999999999817</f>
        <v>1338.8824819999998</v>
      </c>
      <c r="V69" s="3">
        <f>1680.3+(7.1-333.8)+(-5.141718+(-0.021726--1.021428))+0-24.7--0.0755820000000029</f>
        <v>1324.8335659999998</v>
      </c>
      <c r="W69" s="3">
        <f>1570+(38.2-284.7)+(-4.8042+(-0.116892--0.871182))+0-27.4--0.0838440000000032</f>
        <v>1292.133934</v>
      </c>
      <c r="X69" s="3">
        <f>1577.9+(35.4-299.9)+(-3.218916+(-0.072216--0.611796))+0-29.3--0.0597719999999987</f>
        <v>1281.4804360000003</v>
      </c>
      <c r="Y69" s="3">
        <f>1633.5+(18.4-287.9)+(-2.499255+(-0.028152--0.440487))+0-28.2--0.0431460000000016</f>
        <v>1333.756226</v>
      </c>
      <c r="Z69" s="3">
        <f>1852.9+(212.7-520.5)+(-2.834937+(-0.325431--0.796365))+0-30.6--0.0468180000000018</f>
        <v>1512.1828150000003</v>
      </c>
      <c r="AA69" s="3">
        <f>1908.1+(232.6-315.9)+(-1.946262+(-0.237252--0.322218))+0-30.2--0.0308040000000048</f>
        <v>1792.7695079999999</v>
      </c>
      <c r="AB69" s="3">
        <f>1902.2+(237.5-329.1)+(-1.940244+(-0.24225--0.335682))+0-29.6--0.0301920000000047</f>
        <v>1779.1833799999999</v>
      </c>
      <c r="AC69" s="3">
        <f>1807.7+(169.8-316)+(-3.687708+(-0.346392--0.64464))+0-28.6--0.0583439999999988</f>
        <v>1629.568884</v>
      </c>
      <c r="AD69">
        <f t="shared" si="1"/>
        <v>32057.076621000007</v>
      </c>
      <c r="AE69" s="3">
        <f>1902+(233.5-320.9)+(0+(0-0))+0-28-0</f>
        <v>1786.6</v>
      </c>
    </row>
    <row r="70" spans="1:31" s="2" customFormat="1" x14ac:dyDescent="0.25">
      <c r="A70">
        <v>89</v>
      </c>
      <c r="B70">
        <v>3</v>
      </c>
      <c r="C70">
        <v>8</v>
      </c>
      <c r="D70">
        <v>1</v>
      </c>
      <c r="E70">
        <v>1</v>
      </c>
      <c r="F70" s="3">
        <f>1659.8+(36.5-268.8)+(-2.539494+(-0.055845--0.411264))+0-27.2--0.0416160000000016</f>
        <v>1398.157541</v>
      </c>
      <c r="G70" s="3">
        <f>1575+(64.4-388.2)+(-5.62275+(-0.229908--1.385874))+0-27.6--0.0985320000000004</f>
        <v>1219.2317480000002</v>
      </c>
      <c r="H70" s="3">
        <f>1554.9+(54.6-430.1)+(-3.171996+(-0.111384--0.877404))+0-26.9--0.0548759999999988</f>
        <v>1150.1488999999999</v>
      </c>
      <c r="I70" s="3">
        <f>1567.7+(30.5-446.1)+(-0.799527+(-0.015555--0.227511))+0-26.4--0.0134639999999973</f>
        <v>1125.1258929999997</v>
      </c>
      <c r="J70" s="3">
        <f>1608.2+(22.6-467.8)+(0+(0-0))+0-24.4-0</f>
        <v>1138.5999999999999</v>
      </c>
      <c r="K70" s="3">
        <f>1648.2+(23-489.9)+(-4.20291+(-0.05865--1.249245))+0-25.3--0.0645149999999963</f>
        <v>1153.0522000000003</v>
      </c>
      <c r="L70" s="3">
        <f>1603+(32.4-465.6)+(-0.81753+(-0.016524--0.237456))+0-26--0.0132599999999974</f>
        <v>1143.2166619999998</v>
      </c>
      <c r="M70" s="3">
        <f>1592.4+(31.3-361.1)+(0+(0-0))+0-28-0</f>
        <v>1234.6000000000001</v>
      </c>
      <c r="N70" s="3">
        <f>1716.7+(37.2-304.6)+(-2.626551+(-0.056916--0.466038))+0-29.2--0.0446760000000017</f>
        <v>1417.9272469999999</v>
      </c>
      <c r="O70" s="3">
        <f>1963.3+(43.7-404.6)+(-1.001283+(-0.022287--0.206346))+0-29.1--0.014840999999997</f>
        <v>1572.497617</v>
      </c>
      <c r="P70" s="3">
        <f>2146.3+(37.3-497.6)+(0+(0-0))+0-29.2-0</f>
        <v>1656.8000000000002</v>
      </c>
      <c r="Q70" s="3">
        <f>2376.9+(49.6-683.8)+(-1.212219+(-0.025296--0.348738))+0-30.5--0.0155549999999969</f>
        <v>1711.3267780000003</v>
      </c>
      <c r="R70" s="3">
        <f>2348+(37.7-647)+(0+(0-0))+0-28.3-0</f>
        <v>1710.4</v>
      </c>
      <c r="S70" s="3">
        <f>2349.6+(39.2-688.7)+(1.198296+(0.019992-0.351237))+0-27.9-0.0142289999999972</f>
        <v>1673.0528219999999</v>
      </c>
      <c r="T70" s="3">
        <f>2347.3+(40.1-736.7)+(0+(0-0))+0-28-0</f>
        <v>1622.7000000000003</v>
      </c>
      <c r="U70" s="3">
        <f>2345.3+(40.1-732.3)+(-1.196103+(-0.020451--0.373473))+0-28.2--0.0143819999999971</f>
        <v>1624.0713010000004</v>
      </c>
      <c r="V70" s="3">
        <f>2340.5+(48.4-695.5)+(-3.580965+(-0.074052--1.064115))+0-29.4--0.0449820000000017</f>
        <v>1661.45408</v>
      </c>
      <c r="W70" s="3">
        <f>2324.1+(49.8-677.6)+(-8.297037+(-0.177786--2.419032))+0-29.9--0.106743</f>
        <v>1660.4509519999997</v>
      </c>
      <c r="X70" s="3">
        <f>2124.9+(39.5-524.4)+(-5.418495+(-0.100725--1.33722))+0-28.1--0.0716549999999959</f>
        <v>1607.789655</v>
      </c>
      <c r="Y70" s="3">
        <f>1963.4+(84.1-389.2)+(-1.001334+(-0.042891--0.198492))+0-27.3--0.0139229999999972</f>
        <v>1630.1681900000001</v>
      </c>
      <c r="Z70" s="3">
        <f>2071.7+(198-497.3)+(-1.056567+(-0.10098--0.253623))+0-30.8--0.0157079999999969</f>
        <v>1740.7117839999999</v>
      </c>
      <c r="AA70" s="3">
        <f>2393.7+(198.8-576.6)+(-2.441574+(-0.202776--0.588132))+0-30.6--0.0312120000000049</f>
        <v>1983.2749940000001</v>
      </c>
      <c r="AB70" s="3">
        <f>2407.8+(186-632.4)+(-6.13989+(-0.4743--1.61262))+0-31--0.0790499999999955</f>
        <v>1925.4774800000002</v>
      </c>
      <c r="AC70" s="3">
        <f>2010.6+(179.6-430.4)+(-4.101624+(-0.366384--0.878016))+0-29.6--0.0603839999999987</f>
        <v>1726.670392</v>
      </c>
      <c r="AD70">
        <f t="shared" si="1"/>
        <v>36486.906236000003</v>
      </c>
      <c r="AE70" s="3">
        <f>2411.2+(190.1-557.8)+(0+(0-0))+0-32-0</f>
        <v>2011.5</v>
      </c>
    </row>
    <row r="71" spans="1:31" s="2" customFormat="1" x14ac:dyDescent="0.25">
      <c r="A71">
        <v>89</v>
      </c>
      <c r="B71">
        <v>3</v>
      </c>
      <c r="C71">
        <v>9</v>
      </c>
      <c r="D71">
        <v>2</v>
      </c>
      <c r="E71">
        <v>1</v>
      </c>
      <c r="F71" s="3">
        <f>1666.4+(77.9-280.7)+(-2.549592+(-0.119187--0.429471))+0-27.6--0.0422280000000016</f>
        <v>1433.8029200000003</v>
      </c>
      <c r="G71" s="3">
        <f>1583.3+(56-325.2)+(-1.614966+(-0.05712--0.331704))+0-25.9--0.0264180000000041</f>
        <v>1286.8860359999996</v>
      </c>
      <c r="H71" s="3">
        <f>1586.3+(35.3-367.2)+(-0.809013+(-0.018003--0.187272))+0-26.9--0.0137189999999973</f>
        <v>1226.873975</v>
      </c>
      <c r="I71" s="3">
        <f>1585.2+(31.7-402.9)+(-3.233808+(-0.064668--0.821916))+0-27--0.0550799999999988</f>
        <v>1184.57852</v>
      </c>
      <c r="J71" s="3">
        <f>1589+(33.6-416.4)+(-0.81039+(-0.017136--0.212364))+0-27--0.0137699999999973</f>
        <v>1178.598608</v>
      </c>
      <c r="K71" s="3">
        <f>1564.6+(66.8-404)+(-2.393838+(-0.102204--0.61812))+0-27--0.0413100000000016</f>
        <v>1198.563388</v>
      </c>
      <c r="L71" s="3">
        <f>1526.9+(76.8-400.1)+(-3.114876+(-0.156672--0.816204))+0-27.7--0.0565079999999988</f>
        <v>1173.501164</v>
      </c>
      <c r="M71" s="3">
        <f>1571.8+(76.5-347.8)+(0+(0-0))+0-27.7-0</f>
        <v>1272.8</v>
      </c>
      <c r="N71" s="3">
        <f>1657.1+(129.8-305.8)+(0.845121+(0.066198-0.155958))+0-31.2-0.0159119999999968</f>
        <v>1450.6394489999998</v>
      </c>
      <c r="O71" s="3">
        <f>1924.1+(100-426.3)+(-0.981291+(-0.051--0.217413))+0-32--0.0163199999999968</f>
        <v>1565.001442</v>
      </c>
      <c r="P71" s="3">
        <f>2300.3+(67.5-664.8)+(1.173153+(0.034425-0.339048))+0-31.2-0.0159119999999968</f>
        <v>1672.6526180000001</v>
      </c>
      <c r="Q71" s="3">
        <f>2462.8+(62.3-754.7)+(0+(0-0))+0-31.8-0</f>
        <v>1738.6000000000001</v>
      </c>
      <c r="R71" s="3">
        <f>2474.5+(62-786)+(-2.52399+(-0.06324--0.80172))+0-29.5--0.0300900000000047</f>
        <v>1719.24458</v>
      </c>
      <c r="S71" s="3">
        <f>2473.9+(48.8-829.5)+(-2.523378+(-0.049776--0.84609))+0-27.5--0.0280500000000044</f>
        <v>1664.000986</v>
      </c>
      <c r="T71" s="3">
        <f>2488.9+(56-876.4)+(0+(0-0))+0-29.2-0</f>
        <v>1639.3</v>
      </c>
      <c r="U71" s="3">
        <f>2474.9+(55.5-861.5)+(1.262199+(0.028305-0.439365))+0-29.6-0.015095999999997</f>
        <v>1640.1360430000002</v>
      </c>
      <c r="V71" s="3">
        <f>2474.8+(52.6-841.8)+(-3.786444+(-0.080478--1.287954))+0-29.8--0.0455940000000017</f>
        <v>1653.2666260000003</v>
      </c>
      <c r="W71" s="3">
        <f>2478.9+(58.5-865.4)+(-3.792717+(-0.089505--1.324062))+0-30.5--0.0466650000000018</f>
        <v>1638.988505</v>
      </c>
      <c r="X71" s="3">
        <f>2235.1+(62.7-607.2)+(-9.119208+(-0.255816--2.477376))+0-29--0.118319999999997</f>
        <v>1654.8206720000001</v>
      </c>
      <c r="Y71" s="3">
        <f>2063+(82.8-446.4)+(-1.05213+(-0.042228--0.227664))+0-29.4--0.014993999999997</f>
        <v>1669.1482999999998</v>
      </c>
      <c r="Z71" s="3">
        <f>2290.8+(180-649.8)+(0+(0-0))+0-30.1-0</f>
        <v>1790.9000000000003</v>
      </c>
      <c r="AA71" s="3">
        <f>2420.6+(198.7-621.4)+(-3.703518+(-0.304011--0.950742))+0-31.3--0.0478890000000018</f>
        <v>1963.5911019999999</v>
      </c>
      <c r="AB71" s="3">
        <f>2382+(173.5-632.7)+(-3.64446+(-0.265455--0.968031))+0-30.8--0.0471240000000018</f>
        <v>1889.1052399999999</v>
      </c>
      <c r="AC71" s="3">
        <f>2047.1+(165.7-508.1)+(-5.220105+(-0.422535--1.295655))+0-29.5--0.0752249999999957</f>
        <v>1670.92824</v>
      </c>
      <c r="AD71">
        <f t="shared" si="1"/>
        <v>36975.928414000002</v>
      </c>
      <c r="AE71" s="3">
        <f>2422+(203-602.8)+(0+(0-0))+0-33.6-0</f>
        <v>1988.6000000000001</v>
      </c>
    </row>
    <row r="72" spans="1:31" s="2" customFormat="1" x14ac:dyDescent="0.25">
      <c r="A72">
        <v>89</v>
      </c>
      <c r="B72">
        <v>3</v>
      </c>
      <c r="C72">
        <v>10</v>
      </c>
      <c r="D72">
        <v>3</v>
      </c>
      <c r="E72">
        <v>1</v>
      </c>
      <c r="F72" s="3">
        <f>1786.3+(57.7-393.7)+(-0.911013+(-0.029427--0.200787))+0-26.7--0.0136169999999973</f>
        <v>1422.8739639999999</v>
      </c>
      <c r="G72" s="3">
        <f>1762.8+(40.4-511.3)+(-1.798056+(-0.041208--0.521526))+0-28.1--0.0286620000000045</f>
        <v>1262.5109239999999</v>
      </c>
      <c r="H72" s="3">
        <f>1745.7+(38-559.1)+(0+(0-0))+0-27.3-0</f>
        <v>1197.3</v>
      </c>
      <c r="I72" s="3">
        <f>1662.4+(39.3-506.8)+(-2.543472+(-0.060129--0.775404))+0-27.9--0.0426870000000016</f>
        <v>1165.2144900000001</v>
      </c>
      <c r="J72" s="3">
        <f>1661.2+(43.6-504.5)+(-2.541636+(-0.066708--0.771885))+0-27.6--0.0422280000000016</f>
        <v>1170.9057690000002</v>
      </c>
      <c r="K72" s="3">
        <f>1653.4+(44.3-473.7)+(-1.686468+(-0.045186--0.483174))+0-27.9--0.0284580000000044</f>
        <v>1194.8799779999999</v>
      </c>
      <c r="L72" s="3">
        <f>1572.9+(58.5-409.4)+(0+(0-0))+0-26-0</f>
        <v>1196</v>
      </c>
      <c r="M72" s="3">
        <f>1681+(19.6-401.5)+(0.85731+(0.009996-0.204765))+0-26.1-0.0133109999999974</f>
        <v>1273.64923</v>
      </c>
      <c r="N72" s="3">
        <f>1898.8+(5.7-418.5)+(1.936776+(0.005814-0.42687))+0-22.3-0.0227460000000036</f>
        <v>1465.192974</v>
      </c>
      <c r="O72" s="3">
        <f>2243.9+(2.4-624.1)+(0+(0-0))+0-24.2-0</f>
        <v>1598</v>
      </c>
      <c r="P72" s="3">
        <f>2449.8+(21.9-785)+(1.249398+(0.011169-0.40035))+0-26.4-0.0134639999999973</f>
        <v>1661.1467530000002</v>
      </c>
      <c r="Q72" s="3">
        <f>2489.1+(41.1-797.7)+(1.269441+(0.020961-0.406827))+0-29.1-0.014840999999997</f>
        <v>1704.2687340000002</v>
      </c>
      <c r="R72" s="3">
        <f>2476.9+(22.9-783.1)+(-2.526438+(-0.023358--0.798762))+0-26.9--0.0274380000000043</f>
        <v>1688.0764040000001</v>
      </c>
      <c r="S72" s="3">
        <f>2472.3+(23-811.4)+(-2.521746+(-0.02346--0.827628))+0-26.5--0.0270300000000042</f>
        <v>1655.7094520000001</v>
      </c>
      <c r="T72" s="3">
        <f>2476+(22.9-857)+(-1.26276+(-0.011679--0.43707))+0-26.8--0.0136679999999973</f>
        <v>1614.2762990000001</v>
      </c>
      <c r="U72" s="3">
        <f>2472.1+(38.6-855.3)+(-2.521542+(-0.039372--0.872406))+0-26.1--0.0266220000000042</f>
        <v>1627.6381140000003</v>
      </c>
      <c r="V72" s="3">
        <f>2469+(38.8-847)+(-5.03676+(-0.079152--1.72788))+0-26.4--0.0538559999999988</f>
        <v>1631.0658239999998</v>
      </c>
      <c r="W72" s="3">
        <f>2461.9+(38.5-846.5)+(-7.533414+(-0.11781--2.59029))+0-27.7--0.0847620000000032</f>
        <v>1621.2238279999999</v>
      </c>
      <c r="X72" s="3">
        <f>2239+(80.2-692)+(-5.70945+(-0.20451--1.7646))+0-28.2--0.0719099999999959</f>
        <v>1594.92255</v>
      </c>
      <c r="Y72" s="3">
        <f>2022.3+(181.4-604.7)+(-2.062746+(-0.185028--0.616794))+0-29.7--0.0302940000000047</f>
        <v>1567.699314</v>
      </c>
      <c r="Z72" s="3">
        <f>2059+(236.3-584.9)+(-2.10018+(-0.241026--0.596598))+0-31.1--0.031722000000005</f>
        <v>1677.5871140000002</v>
      </c>
      <c r="AA72" s="3">
        <f>2141.8+(237.3-375.5)+(-1.092318+(-0.121023--0.191505))+0-31.5--0.0160649999999968</f>
        <v>1971.0942290000003</v>
      </c>
      <c r="AB72" s="3">
        <f>2031.2+(245-332.8)+(-2.071824+(-0.2499--0.339456))+0-31.2--0.031824000000005</f>
        <v>1910.249556</v>
      </c>
      <c r="AC72" s="3">
        <f>1911.3+(213-369.8)+(-2.924289+(-0.32589--0.565794))+0-31.6--0.0483480000000018</f>
        <v>1720.2639630000001</v>
      </c>
      <c r="AD72">
        <f t="shared" si="1"/>
        <v>36591.749463</v>
      </c>
      <c r="AE72" s="3">
        <f>2185.2+(210.9-380.9)+(0+(0-0))+0-32-0</f>
        <v>1983.1999999999998</v>
      </c>
    </row>
    <row r="73" spans="1:31" s="2" customFormat="1" x14ac:dyDescent="0.25">
      <c r="A73">
        <v>89</v>
      </c>
      <c r="B73">
        <v>3</v>
      </c>
      <c r="C73">
        <v>11</v>
      </c>
      <c r="D73">
        <v>4</v>
      </c>
      <c r="E73">
        <v>1</v>
      </c>
      <c r="F73" s="3">
        <f>1802.3+(167.3-446.3)+(-4.595865+(-0.426615--1.138065))+0-31.9--0.0813449999999954</f>
        <v>1487.5969299999999</v>
      </c>
      <c r="G73" s="3">
        <f>1800+(155.2-604)+(-2.754+(-0.237456--0.92412))+0-31.1--0.0475830000000018</f>
        <v>1318.0802470000001</v>
      </c>
      <c r="H73" s="3">
        <f>1704.2+(154.6-585.6)+(-2.607426+(-0.236538--0.895968))+0-30.1--0.0460530000000017</f>
        <v>1241.1980570000001</v>
      </c>
      <c r="I73" s="3">
        <f>1657.5+(158.4-587.6)+(0+(0-0))+0-30.1-0</f>
        <v>1198.2</v>
      </c>
      <c r="J73" s="3">
        <f>1540.9+(157.3-493.4)+(0.785859+(0.080223-0.251634))+0-29.1-0.014840999999997</f>
        <v>1176.2996070000004</v>
      </c>
      <c r="K73" s="3">
        <f>1542.4+(156.5-478.3)+(-4.719744+(-0.47889--1.463598))+0-28.9--0.0884340000000033</f>
        <v>1188.053398</v>
      </c>
      <c r="L73" s="3">
        <f>1540.1+(151.5-482)+(-0.785451+(-0.077265--0.24582))+0-29.3--0.014942999999997</f>
        <v>1179.6980469999999</v>
      </c>
      <c r="M73" s="3">
        <f>1696.1+(167.2-525.8)+(-3.460044+(-0.341088--1.072632))+0-30.8--0.0628319999999987</f>
        <v>1304.0343320000002</v>
      </c>
      <c r="N73" s="3">
        <f>1936.6+(190.9-586.9)+(0.987666+(0.097359-0.299319))+0-30.3-0.0154529999999969</f>
        <v>1511.0702529999999</v>
      </c>
      <c r="O73" s="3">
        <f>2033.1+(191.9-625.5)+(1.036881+(0.097869-0.319005))+0-32.3-0.0164729999999967</f>
        <v>1567.9992720000002</v>
      </c>
      <c r="P73" s="3">
        <f>2319.7+(184.3-747)+(-2.366094+(-0.187986--0.76194))+0-31.8--0.0324360000000051</f>
        <v>1723.4402959999998</v>
      </c>
      <c r="Q73" s="3">
        <f>2323.2+(187.4-693.3)+(-1.184832+(-0.095574--0.353583))+0-31.1--0.0158609999999968</f>
        <v>1785.2890379999999</v>
      </c>
      <c r="R73" s="3">
        <f>2313.4+(179-704.1)+(1.179834+(0.09129-0.359091))+0-28.7-0.0146369999999971</f>
        <v>1760.4973960000002</v>
      </c>
      <c r="S73" s="3">
        <f>2309.9+(188.3-771.1)+(-1.178049+(-0.096033--0.393261))+0-18.2--0.00928199999999815</f>
        <v>1708.0284610000001</v>
      </c>
      <c r="T73" s="3">
        <f>2310+(186.2-830.6)+(2.3562+(0.189924-0.847212))+0-9.5-0.00969000000000152</f>
        <v>1657.7892219999999</v>
      </c>
      <c r="U73" s="3">
        <f>2302.7+(180.2-815.6)+(-3.523131+(-0.275706--1.247868))+0-12.1--0.0185130000000007</f>
        <v>1652.6675439999999</v>
      </c>
      <c r="V73" s="3">
        <f>2303.4+(182.1-800.8)+(-2.349468+(-0.185742--0.816816))+0-28.3--0.0288660000000045</f>
        <v>1654.7104720000004</v>
      </c>
      <c r="W73" s="3">
        <f>2302.8+(171.6-798.3)+(-5.87214+(-0.43758--2.035665))+0-28.8--0.0734399999999958</f>
        <v>1643.0993850000002</v>
      </c>
      <c r="X73" s="3">
        <f>2137.2+(180.5-681.9)+(-5.44986+(-0.460275--1.738845))+0-28.1--0.0716549999999959</f>
        <v>1603.6003649999998</v>
      </c>
      <c r="Y73" s="3">
        <f>2001.5+(220-623)+(-1.020765+(-0.1122--0.31773))+0-27.9--0.0142289999999972</f>
        <v>1569.7989939999998</v>
      </c>
      <c r="Z73" s="3">
        <f>2168.1+(177-649)+(-2.211462+(-0.18054--0.66198))+0-29.3--0.0298860000000047</f>
        <v>1665.099864</v>
      </c>
      <c r="AA73" s="3">
        <f>2373.4+(79.4-434.5)+(-1.210434+(-0.040494--0.221595))+0-27.3--0.0139229999999972</f>
        <v>1989.9845900000003</v>
      </c>
      <c r="AB73" s="3">
        <f>2381.3+(69.8-452.9)+(-1.214463+(-0.035598--0.230979))+0-26.8--0.0136679999999973</f>
        <v>1970.3945860000003</v>
      </c>
      <c r="AC73" s="3">
        <f>2282.4+(42.9-505.5)+(-4.656096+(-0.087516--1.03122))+0-26.8--0.0546719999999988</f>
        <v>1789.3422800000003</v>
      </c>
      <c r="AD73">
        <f t="shared" si="1"/>
        <v>37345.972635999999</v>
      </c>
      <c r="AE73" s="3">
        <f>2371+(75.9-463.5)+(0+(0-0))+0-28-0</f>
        <v>1955.4</v>
      </c>
    </row>
    <row r="74" spans="1:31" s="2" customFormat="1" x14ac:dyDescent="0.25">
      <c r="A74">
        <v>89</v>
      </c>
      <c r="B74">
        <v>3</v>
      </c>
      <c r="C74">
        <v>12</v>
      </c>
      <c r="D74">
        <v>5</v>
      </c>
      <c r="E74">
        <v>1</v>
      </c>
      <c r="F74" s="3">
        <f>1815+(39-296.3)+(-0.92565+(-0.01989--0.151113))+0-25.3--0.0129029999999974</f>
        <v>1531.6184760000001</v>
      </c>
      <c r="G74" s="3">
        <f>1764.4+(27.8-406.1)+(-1.799688+(-0.028356--0.414222))+0-28.7--0.0292740000000046</f>
        <v>1356.0154520000001</v>
      </c>
      <c r="H74" s="3">
        <f>1755.6+(22.4-462.5)+(-0.895356+(-0.011424--0.235875))+0-27.8--0.0141779999999972</f>
        <v>1287.043273</v>
      </c>
      <c r="I74" s="3">
        <f>1758.4+(19.1-497.6)+(-3.587136+(-0.038964--1.015104))+0-27.9--0.0569159999999988</f>
        <v>1249.4459200000001</v>
      </c>
      <c r="J74" s="3">
        <f>1727.3+(19.9-468.3)+(0.880923+(0.010149-0.238833))+0-27.3-0.0139229999999972</f>
        <v>1252.2383159999999</v>
      </c>
      <c r="K74" s="3">
        <f>1689.9+(30.4-429.7)+(-3.447396+(-0.062016--0.876588))+0-27.5--0.0560999999999988</f>
        <v>1260.5232760000001</v>
      </c>
      <c r="L74" s="3">
        <f>1728.7+(16-466.6)+(-3.526548+(-0.03264--0.951864))+0-25.8--0.0526319999999989</f>
        <v>1249.7453079999998</v>
      </c>
      <c r="M74" s="3">
        <f>1644.6+(39.9-313.1)+(0.838746+(0.020349-0.159681))+0-26.4-0.0134639999999973</f>
        <v>1345.6859499999998</v>
      </c>
      <c r="N74" s="3">
        <f>1827.4+(21.4-298.9)+(-2.795922+(-0.032742--0.457317))+0-28.8--0.0440640000000017</f>
        <v>1518.7727170000001</v>
      </c>
      <c r="O74" s="3">
        <f>2137.4+(19.8-454.4)+(-2.180148+(-0.020196--0.463488))+0-30.3--0.0309060000000048</f>
        <v>1670.7940500000002</v>
      </c>
      <c r="P74" s="3">
        <f>2247.2+(23.5-502)+(0+(0-0))+0-27.1-0</f>
        <v>1741.6</v>
      </c>
      <c r="Q74" s="3">
        <f>2368.4+(29-561.8)+(1.207884+(0.01479-0.286518))+0-28.3-0.0144329999999971</f>
        <v>1808.2217230000001</v>
      </c>
      <c r="R74" s="3">
        <f>2381.6+(19.8-558.9)+(2.429232+(0.020196-0.570078))+0-28.7-0.0292740000000046</f>
        <v>1815.6500759999999</v>
      </c>
      <c r="S74" s="3">
        <f>2368.5+(13-609.9)+(-1.207935+(-0.00663--0.311049))+0-28.7--0.0146369999999971</f>
        <v>1742.0111209999998</v>
      </c>
      <c r="T74" s="3">
        <f>2372.1+(19.2-639.3)+(-3.629313+(-0.029376--0.978129))+0-29.2--0.0446760000000017</f>
        <v>1720.1641159999999</v>
      </c>
      <c r="U74" s="3">
        <f>2361.8+(20.4-611.9)+(0+(0-0))+0-30.8-0</f>
        <v>1739.5000000000002</v>
      </c>
      <c r="V74" s="3">
        <f>2355.8+(16.7-603)+(-1.201458+(-0.008517--0.30753))+0-30.7--0.0156569999999969</f>
        <v>1737.9132120000002</v>
      </c>
      <c r="W74" s="3">
        <f>2372+(18.7-627.9)+(-2.41944+(-0.019074--0.640458))+0-31.3--0.031926000000005</f>
        <v>1729.7338700000003</v>
      </c>
      <c r="X74" s="3">
        <f>2161+(20-463.3)+(-3.30633+(-0.0306--0.708849))+0-29.4--0.0449820000000017</f>
        <v>1685.7169009999998</v>
      </c>
      <c r="Y74" s="3">
        <f>2046.7+(32.5-410)+(0+(0-0))+0-29.1-0</f>
        <v>1640.1000000000001</v>
      </c>
      <c r="Z74" s="3">
        <f>2206.2+(50-524)+(0+(0-0))+0-27.4-0</f>
        <v>1704.7999999999997</v>
      </c>
      <c r="AA74" s="3">
        <f>2402+(57.5-424.4)+(-2.45004+(-0.05865--0.432888))+0-13.8--0.0140760000000022</f>
        <v>2019.2382739999998</v>
      </c>
      <c r="AB74" s="3">
        <f>2418.1+(41.2-461.1)+(-2.466462+(-0.042024--0.470322))+0-7.6--0.00775200000000121</f>
        <v>1988.5695879999998</v>
      </c>
      <c r="AC74" s="3">
        <f>2328.2+(47.5-530.6)+(-3.562146+(-0.072675--0.811818))+0-15--0.0229500000000009</f>
        <v>1827.299947</v>
      </c>
      <c r="AD74">
        <f t="shared" si="1"/>
        <v>38622.401566</v>
      </c>
      <c r="AE74" s="3">
        <f>2406.4+(62.3-409.3)+(0+(0-0))+0-8.8-0</f>
        <v>2050.6</v>
      </c>
    </row>
    <row r="75" spans="1:31" s="2" customFormat="1" x14ac:dyDescent="0.25">
      <c r="A75">
        <v>89</v>
      </c>
      <c r="B75">
        <v>3</v>
      </c>
      <c r="C75">
        <v>13</v>
      </c>
      <c r="D75">
        <v>6</v>
      </c>
      <c r="E75">
        <v>1</v>
      </c>
      <c r="F75" s="3">
        <f>1979.1+(18.5-405.1)+(0+(0-0))+0-21.1-0</f>
        <v>1571.4</v>
      </c>
      <c r="G75" s="3">
        <f>1776.4+(8.3-371.7)+(-0.905964+(-0.004233--0.189567))+0-26.5--0.0135149999999973</f>
        <v>1385.7928850000001</v>
      </c>
      <c r="H75" s="3">
        <f>1755+(7.5-447.5)+(-1.7901+(-0.00765--0.45645))+0-26.9--0.0274380000000043</f>
        <v>1286.7861379999999</v>
      </c>
      <c r="I75" s="3">
        <f>1761+(3.1-487.8)+(-1.79622+(-0.003162--0.497556))+0-27--0.0275400000000043</f>
        <v>1248.0257140000001</v>
      </c>
      <c r="J75" s="3">
        <f>1674.5+(27.2-437.9)+(-1.70799+(-0.027744--0.446658))+0-28.6--0.0291720000000046</f>
        <v>1233.940096</v>
      </c>
      <c r="K75" s="3">
        <f>1650.5+(38.8-411.5)+(-1.68351+(-0.039576--0.41973))+0-28.7--0.0292740000000046</f>
        <v>1247.825918</v>
      </c>
      <c r="L75" s="3">
        <f>1647.6+(23.1-416)+(-0.840276+(-0.011781--0.21216))+0-28.2--0.0143819999999971</f>
        <v>1225.8744849999998</v>
      </c>
      <c r="M75" s="3">
        <f>1735.5+(8.7-377.2)+(0+(0-0))+0-29-0</f>
        <v>1338</v>
      </c>
      <c r="N75" s="3">
        <f>1801.1+(28-293.8)+(1.837122+(0.02856-0.299676))+0-30.3-0.0309060000000048</f>
        <v>1506.5351000000001</v>
      </c>
      <c r="O75" s="3">
        <f>2106.9+(13.2-434.5)+(-1.074519+(-0.006732--0.221595))+0-31.5--0.0160649999999968</f>
        <v>1653.2564090000001</v>
      </c>
      <c r="P75" s="3">
        <f>2409.5+(13.7-621.3)+(0+(0-0))+0-31.6-0</f>
        <v>1770.3000000000002</v>
      </c>
      <c r="Q75" s="3">
        <f>2407.7+(14.9-560.1)+(2.455854+(0.015198-0.571302))+0-31.9-0.0325380000000051</f>
        <v>1832.4672119999998</v>
      </c>
      <c r="R75" s="3">
        <f>2421.9+(13.6-586.2)+(0+(0-0))+0-29.6-0</f>
        <v>1819.7000000000003</v>
      </c>
      <c r="S75" s="3">
        <f>2401.4+(13.4-607.3)+(-2.449428+(-0.013668--0.619446))+0-29--0.0295800000000046</f>
        <v>1776.6859299999999</v>
      </c>
      <c r="T75" s="3">
        <f>2383.4+(13.7-658.3)+(-2.431068+(-0.013974--0.671466))+0-28.2--0.0287640000000045</f>
        <v>1708.855188</v>
      </c>
      <c r="U75" s="3">
        <f>2367.6+(13.9-676.4)+(-1.207476+(-0.007089--0.344964))+0-30.1--0.0153509999999969</f>
        <v>1674.1457499999999</v>
      </c>
      <c r="V75" s="3">
        <f>2362.2+(15.2-673.1)+(-6.02361+(-0.03876--1.716405))+0-30.3--0.0772649999999956</f>
        <v>1669.7312999999997</v>
      </c>
      <c r="W75" s="3">
        <f>2366.5+(6-709.4)+(-6.034575+(-0.0153--1.80897))+0-29.6--0.0754799999999957</f>
        <v>1629.3345749999999</v>
      </c>
      <c r="X75" s="3">
        <f>2107.8+(26.1-502.2)+(-4.299912+(-0.053244--1.024488))+0-29.2--0.0595679999999987</f>
        <v>1599.2309</v>
      </c>
      <c r="Y75" s="3">
        <f>2007.8+(41.4-439.5)+(0+(0-0))+0-28.8-0</f>
        <v>1580.8999999999999</v>
      </c>
      <c r="Z75" s="3">
        <f>2276.4+(5.6-552.6)+(-3.482892+(-0.008568--0.845478))+0-28.4--0.0434520000000016</f>
        <v>1698.3974699999999</v>
      </c>
      <c r="AA75" s="3">
        <f>2440+(25.8-427.7)+(-3.7332+(-0.039474--0.654381))+0-28.3--0.0432990000000016</f>
        <v>2006.7250059999999</v>
      </c>
      <c r="AB75" s="3">
        <f>2450.6+(15.8-471.4)+(-1.249806+(-0.008058--0.240414))+0-28--0.0142799999999972</f>
        <v>1965.99683</v>
      </c>
      <c r="AC75" s="3">
        <f>2390.5+(36.4-571.5)+(-3.657465+(-0.055692--0.874395))+0-27.8--0.0425340000000016</f>
        <v>1824.803772</v>
      </c>
      <c r="AD75">
        <f t="shared" si="1"/>
        <v>38254.710678000003</v>
      </c>
      <c r="AE75" s="3">
        <f>2437+(28-440)+(0+(0-0))+0-28-0</f>
        <v>1997</v>
      </c>
    </row>
    <row r="76" spans="1:31" s="2" customFormat="1" x14ac:dyDescent="0.25">
      <c r="A76">
        <v>89</v>
      </c>
      <c r="B76">
        <v>3</v>
      </c>
      <c r="C76">
        <v>14</v>
      </c>
      <c r="D76">
        <v>7</v>
      </c>
      <c r="E76">
        <v>4</v>
      </c>
      <c r="F76" s="3">
        <f>1882.8+(79.3-379.6)+(0+(0-0))+0-27.1-0</f>
        <v>1555.4</v>
      </c>
      <c r="G76" s="3">
        <f>1778.9+(71.4-418.5)+(-0.907239+(-0.036414--0.213435))+0-27.7--0.0141269999999972</f>
        <v>1403.3839090000001</v>
      </c>
      <c r="H76" s="3">
        <f>1698.7+(130.2-503.4)+(1.732674+(0.132804-0.513468))+0-28-0.0285600000000045</f>
        <v>1298.8234500000001</v>
      </c>
      <c r="I76" s="3">
        <f>1638.4+(131.9-498)+(-1.671168+(-0.134538--0.50796))+0-28.4--0.0289680000000045</f>
        <v>1242.6312220000002</v>
      </c>
      <c r="J76" s="3">
        <f>1643.5+(133.8-519.3)+(0+(0-0))+0-28-0</f>
        <v>1230</v>
      </c>
      <c r="K76" s="3">
        <f>1604.5+(136.8-490.4)+(0+(0-0))+0-28.2-0</f>
        <v>1222.7</v>
      </c>
      <c r="L76" s="3">
        <f>1512.1+(136-472)+(0+(0-0))+0-30-0</f>
        <v>1146.0999999999999</v>
      </c>
      <c r="M76" s="3">
        <f>1509.5+(141.3-444)+(-2.309535+(-0.216189--0.67932))+0-30--0.0459000000000017</f>
        <v>1174.9994960000001</v>
      </c>
      <c r="N76" s="3">
        <f>1493.1+(144.7-357.3)+(-1.522962+(-0.147594--0.364446))+0-30.5--0.0311100000000049</f>
        <v>1248.7249999999999</v>
      </c>
      <c r="O76" s="3">
        <f>1518.1+(142.6-271.9)+(-0.774231+(-0.072726--0.138669))+0-30.6--0.0156059999999969</f>
        <v>1357.5073179999999</v>
      </c>
      <c r="P76" s="3">
        <f>1717.3+(141.3-382.2)+(0.875823+(0.072063-0.194922))+0-30.2-0.0154019999999969</f>
        <v>1446.9375620000001</v>
      </c>
      <c r="Q76" s="3">
        <f>1744.7+(143.7-361.5)+(0+(0-0))+0-30.1-0</f>
        <v>1496.8000000000002</v>
      </c>
      <c r="R76" s="3">
        <f>1749.3+(120.5-341.2)+(-1.784286+(-0.12291--0.348024))+0-29.3--0.0298860000000047</f>
        <v>1497.770714</v>
      </c>
      <c r="S76" s="3">
        <f>1753.9+(101.8-364.5)+(-1.788978+(-0.103836--0.37179))+0-28.5--0.0290700000000045</f>
        <v>1461.2080460000002</v>
      </c>
      <c r="T76" s="3">
        <f>1752.4+(88.1-369.9)+(-1.787448+(-0.089862--0.377298))+0-28.7--0.0292740000000046</f>
        <v>1440.4292620000001</v>
      </c>
      <c r="U76" s="3">
        <f>1743+(68.2-365.5)+(-1.77786+(-0.069564--0.37281))+0-29.6--0.0301920000000047</f>
        <v>1414.6555780000001</v>
      </c>
      <c r="V76" s="3">
        <f>1767.4+(49.6-385.9)+(-1.802748+(-0.050592--0.393618))+0-29.9--0.0304980000000048</f>
        <v>1399.7707760000001</v>
      </c>
      <c r="W76" s="3">
        <f>1765.7+(45.8-374.5)+(-2.701521+(-0.070074--0.572985))+0-25.5--0.0390150000000015</f>
        <v>1409.3404050000001</v>
      </c>
      <c r="X76" s="3">
        <f>1646+(44.4-282.6)+(-1.67892+(-0.045288--0.288252))+0-15.8--0.0161160000000025</f>
        <v>1390.58016</v>
      </c>
      <c r="Y76" s="3">
        <f>1616.1+(74.3-283.5)+(-0.824211+(-0.037893--0.144585))+0-26.8--0.0136679999999973</f>
        <v>1379.3961489999999</v>
      </c>
      <c r="Z76" s="3">
        <f>1801.7+(233-598.7)+(-0.918867+(-0.11883--0.305337))+0-29.3--0.014942999999997</f>
        <v>1405.982583</v>
      </c>
      <c r="AA76" s="3">
        <f>2118.1+(253.1-540.1)+(-1.080231+(-0.129081--0.275451))+0-28.7--0.0146369999999971</f>
        <v>1801.4807759999999</v>
      </c>
      <c r="AB76" s="3">
        <f>2113.6+(258-475)+(-3.233808+(-0.39474--0.72675))+0-28.7--0.0439110000000017</f>
        <v>1865.0421129999997</v>
      </c>
      <c r="AC76" s="3">
        <f>1959.8+(251.7-440.6)+(-1.998996+(-0.256734--0.449412))+0-27.3--0.0278460000000044</f>
        <v>1741.8215279999999</v>
      </c>
      <c r="AD76">
        <f t="shared" si="1"/>
        <v>34031.486047000006</v>
      </c>
      <c r="AE76" s="3">
        <f>2144+(241.2-503.3)+(0+(0-0))+0-31.6-0</f>
        <v>1850.3000000000002</v>
      </c>
    </row>
    <row r="77" spans="1:31" s="2" customFormat="1" x14ac:dyDescent="0.25">
      <c r="A77">
        <v>89</v>
      </c>
      <c r="B77">
        <v>3</v>
      </c>
      <c r="C77">
        <v>15</v>
      </c>
      <c r="D77">
        <v>1</v>
      </c>
      <c r="E77">
        <v>4</v>
      </c>
      <c r="F77" s="3">
        <f>1632+(246-403.4)+(-2.49696+(-0.37638--0.617202))+0-26.9--0.0411570000000016</f>
        <v>1445.485019</v>
      </c>
      <c r="G77" s="3">
        <f>1333.2+(258.3-265.4)+(0+(0-0))+0-27.5-0</f>
        <v>1298.6000000000001</v>
      </c>
      <c r="H77" s="3">
        <f>1314.3+(228.3-293.1)+(1.340586+(0.232866-0.298962))+0-28-0.0285600000000045</f>
        <v>1222.74593</v>
      </c>
      <c r="I77" s="3">
        <f>1330.2+(212.7-327.5)+(-1.356804+(-0.216954--0.33405))+0-27.4--0.0279480000000044</f>
        <v>1186.7882399999999</v>
      </c>
      <c r="J77" s="3">
        <f>1319+(216.5-327.7)+(0+(0-0))+0-27.6-0</f>
        <v>1180.2</v>
      </c>
      <c r="K77" s="3">
        <f>1317.5+(212.2-333.6)+(-2.6877+(-0.432888--0.680544))+0-23.2--0.047327999999999</f>
        <v>1170.507284</v>
      </c>
      <c r="L77" s="3">
        <f>1265.8+(207.9-308.4)+(-1.291116+(-0.212058--0.314568))+0-27.8--0.0283560000000044</f>
        <v>1136.3397500000001</v>
      </c>
      <c r="M77" s="3">
        <f>1207.5+(209.8-200.2)+(0+(0-0))+0-28.4-0</f>
        <v>1188.6999999999998</v>
      </c>
      <c r="N77" s="3">
        <f>1273+(243.4-170.8)+(0.64923+(0.124134-0.087108))+0-29.6-0.015095999999997</f>
        <v>1316.6711599999999</v>
      </c>
      <c r="O77" s="3">
        <f>1372.1+(250.7-178)+(0.699771+(0.127857-0.09078))+0-30.2-0.0154019999999969</f>
        <v>1415.3214459999999</v>
      </c>
      <c r="P77" s="3">
        <f>1658.9+(181.5-260.3)+(2.538117+(0.277695-0.398259))+0-30.8-0.0471240000000018</f>
        <v>1551.6704290000002</v>
      </c>
      <c r="Q77" s="3">
        <f>1883.2+(188.4-405.5)+(1.920864+(0.192168-0.41361))+0-30.6-0.0312120000000049</f>
        <v>1637.16821</v>
      </c>
      <c r="R77" s="3">
        <f>1904+(226.6-429.1)+(0+(0-0))+0-29.3-0</f>
        <v>1672.2</v>
      </c>
      <c r="S77" s="3">
        <f>1951.7+(236.1-514.2)+(-0.995367+(-0.120411--0.262242))+0-27.8--0.0141779999999972</f>
        <v>1644.9606419999998</v>
      </c>
      <c r="T77" s="3">
        <f>1966+(236.3-557.9)+(0+(0-0))+0-28-0</f>
        <v>1616.4</v>
      </c>
      <c r="U77" s="3">
        <f>1966.7+(219.4-547.3)+(-2.006034+(-0.223788--0.558246))+0-28.9--0.0294780000000046</f>
        <v>1608.2579020000001</v>
      </c>
      <c r="V77" s="3">
        <f>1889.2+(229.1-462.5)+(-0.963492+(-0.116841--0.235875))+0-28.8--0.0146879999999971</f>
        <v>1626.1702299999999</v>
      </c>
      <c r="W77" s="3">
        <f>1872.6+(238-498.5)+(-4.77513+(-0.6069--1.271175))+0-29.1--0.0742049999999958</f>
        <v>1578.96335</v>
      </c>
      <c r="X77" s="3">
        <f>1935.9+(247.6-574.1)+(-2.961927+(-0.378828--0.878373))+0-28.8--0.0440640000000017</f>
        <v>1578.1816820000001</v>
      </c>
      <c r="Y77" s="3">
        <f>1845.3+(252.7-513.5)+(-5.646618+(-0.773262--1.57131))+0-29.2--0.0893520000000034</f>
        <v>1550.5407819999998</v>
      </c>
      <c r="Z77" s="3">
        <f>1912.2+(260.8-504.7)+(-0.975222+(-0.133008--0.257397))+0-29.9--0.015248999999997</f>
        <v>1637.5644160000002</v>
      </c>
      <c r="AA77" s="3">
        <f>2065.3+(271-379.6)+(-5.266515+(-0.69105--0.96798))+0-30.1--0.0767549999999956</f>
        <v>1921.6871700000004</v>
      </c>
      <c r="AB77" s="3">
        <f>2115.8+(265-442.4)+(-2.158116+(-0.2703--0.451248))+0-27.3--0.0278460000000044</f>
        <v>1909.1506780000002</v>
      </c>
      <c r="AC77" s="3">
        <f>2107.1+(256.2-566.4)+(-4.298484+(-0.522648--1.155456))+0-28.3--0.0577319999999988</f>
        <v>1764.9920559999998</v>
      </c>
      <c r="AD77">
        <f t="shared" si="1"/>
        <v>35859.266376000007</v>
      </c>
      <c r="AE77" s="3">
        <f>2083.4+(266.7-394.3)+(0+(0-0))+0-30-0</f>
        <v>1925.8000000000002</v>
      </c>
    </row>
    <row r="78" spans="1:31" s="2" customFormat="1" x14ac:dyDescent="0.25">
      <c r="A78">
        <v>89</v>
      </c>
      <c r="B78">
        <v>3</v>
      </c>
      <c r="C78">
        <v>16</v>
      </c>
      <c r="D78">
        <v>2</v>
      </c>
      <c r="E78">
        <v>1</v>
      </c>
      <c r="F78" s="3">
        <f>1800.6+(226.1-467.1)+(-4.59153+(-0.576555--1.191105))+0-28.6--0.0729299999999959</f>
        <v>1527.0959500000001</v>
      </c>
      <c r="G78" s="3">
        <f>1471.4+(213.9-329.4)+(-2.251242+(-0.327267--0.503982))+0-28.5--0.0436050000000016</f>
        <v>1325.3690780000002</v>
      </c>
      <c r="H78" s="3">
        <f>1486.4+(205.5-406.4)+(0.758064+(0.104805-0.207264))+0-28.9-0.0147389999999971</f>
        <v>1257.2408659999999</v>
      </c>
      <c r="I78" s="3">
        <f>1478.4+(210.8-425.5)+(-3.76992+(-0.53754--1.085025))+0-28.6--0.0729299999999959</f>
        <v>1231.9504950000003</v>
      </c>
      <c r="J78" s="3">
        <f>1441.1+(215.9-405.8)+(0+(0-0))+0-28.5-0</f>
        <v>1222.6999999999998</v>
      </c>
      <c r="K78" s="3">
        <f>1504.4+(215.4-462.2)+(-3.83622+(-0.54927--1.17861))+0-28.5--0.0726749999999959</f>
        <v>1225.9657950000001</v>
      </c>
      <c r="L78" s="3">
        <f>1452.1+(226.3-442.8)+(0.740571+(0.115413-0.225828))+0-28.3-0.0144329999999971</f>
        <v>1207.9157229999998</v>
      </c>
      <c r="M78" s="3">
        <f>1512.2+(232.2-385.6)+(-0.771222+(-0.118422--0.196656))+0-28.4--0.0144839999999971</f>
        <v>1329.7214959999999</v>
      </c>
      <c r="N78" s="3">
        <f>1793+(238.5-481.2)+(0+(0-0))+0-22.5-0</f>
        <v>1527.8</v>
      </c>
      <c r="O78" s="3">
        <f>2148.5+(247.3-669.4)+(1.095735+(0.126123-0.341394))+0-27.2-0.0138719999999972</f>
        <v>1700.0665920000001</v>
      </c>
      <c r="P78" s="3">
        <f>2177.2+(248.9-580.9)+(0+(0-0))+0-28.8-0</f>
        <v>1816.3999999999999</v>
      </c>
      <c r="Q78" s="3">
        <f>2173.6+(252.9-510.4)+(1.108536+(0.128979-0.260304))+0-30.3-0.0154529999999969</f>
        <v>1886.7617579999999</v>
      </c>
      <c r="R78" s="3">
        <f>2168.7+(252.4-497.7)+(-1.106037+(-0.128724--0.253827))+0-28.4--0.0144839999999971</f>
        <v>1894.0335499999999</v>
      </c>
      <c r="S78" s="3">
        <f>2179.9+(251.2-523.1)+(-2.223498+(-0.256224--0.533562))+0-26.7--0.0272340000000043</f>
        <v>1879.3810739999999</v>
      </c>
      <c r="T78" s="3">
        <f>2181.8+(250.7-560.3)+(-2.225436+(-0.255714--0.571506))+0-29--0.0295800000000046</f>
        <v>1841.3199360000001</v>
      </c>
      <c r="U78" s="3">
        <f>2193.7+(249.3-570.1)+(-2.237574+(-0.254286--0.581502))+0-28.2--0.0287640000000045</f>
        <v>1842.8184059999996</v>
      </c>
      <c r="V78" s="3">
        <f>2309.4+(244.3-692.2)+(-4.711176+(-0.498372--1.412088))+0-27.8--0.0567119999999988</f>
        <v>1829.9592520000001</v>
      </c>
      <c r="W78" s="3">
        <f>2314.4+(240.4-746.1)+(-5.90172+(-0.61302--1.902555))+0-27.3--0.069614999999996</f>
        <v>1776.85743</v>
      </c>
      <c r="X78" s="3">
        <f>2061.7+(239.5-531.4)+(-6.308802+(-0.73287--1.626084))+0-26.4--0.080784000000003</f>
        <v>1738.0651959999996</v>
      </c>
      <c r="Y78" s="3">
        <f>2044+(243.1-556.7)+(-4.16976+(-0.495924--1.135668))+0-27.9--0.0569159999999988</f>
        <v>1699.0269000000001</v>
      </c>
      <c r="Z78" s="3">
        <f>2278.6+(251.1-694.9)+(0+(0-0))+0-29.8-0</f>
        <v>1805</v>
      </c>
      <c r="AA78" s="3">
        <f>2406.3+(259.6-558.3)+(-6.136065+(-0.66198--1.423665))+0-29.7--0.0757349999999957</f>
        <v>2072.6013550000002</v>
      </c>
      <c r="AB78" s="3">
        <f>2413.7+(258.5-599.8)+(-4.923948+(-0.52734--1.223592))+0-30.3--0.0618119999999987</f>
        <v>2037.9341159999997</v>
      </c>
      <c r="AC78" s="3">
        <f>2250.3+(251.2-608.7)+(-6.885918+(-0.768672--1.862622))+0-28.4--0.0869040000000033</f>
        <v>1858.6949360000001</v>
      </c>
      <c r="AD78">
        <f t="shared" si="1"/>
        <v>39534.67990399999</v>
      </c>
      <c r="AE78" s="3">
        <f>2380.4+(256.9-553.7)+(0+(0-0))+0-30-0</f>
        <v>2053.6</v>
      </c>
    </row>
    <row r="79" spans="1:31" s="2" customFormat="1" x14ac:dyDescent="0.25">
      <c r="A79">
        <v>89</v>
      </c>
      <c r="B79">
        <v>3</v>
      </c>
      <c r="C79">
        <v>17</v>
      </c>
      <c r="D79">
        <v>3</v>
      </c>
      <c r="E79">
        <v>1</v>
      </c>
      <c r="F79" s="3">
        <f>2020+(234-629.3)+(0+(0-0))+0-27.7-0</f>
        <v>1597</v>
      </c>
      <c r="G79" s="3">
        <f>1987.1+(229.5-762.9)+(-2.026842+(-0.23409--0.778158))+0-26.9--0.0274380000000043</f>
        <v>1425.3446639999997</v>
      </c>
      <c r="H79" s="3">
        <f>1743.1+(231.9-612.3)+(0+(0-0))+0-27.4-0</f>
        <v>1335.2999999999997</v>
      </c>
      <c r="I79" s="3">
        <f>1665.3+(234.5-580.1)+(-2.547909+(-0.358785--0.887553))+0-27.3--0.0417690000000016</f>
        <v>1290.4226279999998</v>
      </c>
      <c r="J79" s="3">
        <f>1626.4+(234.2-553.9)+(-0.829464+(-0.119442--0.282489))+0-28--0.0142799999999972</f>
        <v>1278.0478630000002</v>
      </c>
      <c r="K79" s="3">
        <f>1620.8+(234.7-547.4)+(-3.306432+(-0.478788--1.116696))+0-27.8--0.0567119999999988</f>
        <v>1277.6881880000001</v>
      </c>
      <c r="L79" s="3">
        <f>1621.9+(234.1-574.4)+(-1.654338+(-0.238782--0.585888))+0-28--0.0285600000000045</f>
        <v>1252.321328</v>
      </c>
      <c r="M79" s="3">
        <f>1839.7+(236.9-671.8)+(0+(0-0))+0-26.1-0</f>
        <v>1378.7000000000003</v>
      </c>
      <c r="N79" s="3">
        <f>2178.4+(244-807.4)+(-1.110984+(-0.12444--0.411774))+0-27.1--0.0138209999999973</f>
        <v>1587.0901710000001</v>
      </c>
      <c r="O79" s="3">
        <f>2332.4+(251.4-838.4)+(-2.379048+(-0.256428--0.855168))+0-29.5--0.0300900000000047</f>
        <v>1714.149782</v>
      </c>
      <c r="P79" s="3">
        <f>2376.5+(255.8-810.9)+(-1.212015+(-0.130458--0.413559))+0-29.7--0.015146999999997</f>
        <v>1790.786233</v>
      </c>
      <c r="Q79" s="3">
        <f>2452.9+(254.9-843.1)+(0+(0-0))+38-29.9-0</f>
        <v>1872.8</v>
      </c>
      <c r="R79" s="3">
        <f>2460.1+(257.2-827.3)+(-2.509302+(-0.262344--0.843846))+0-29.4--0.0299880000000047</f>
        <v>1858.702188</v>
      </c>
      <c r="S79" s="3">
        <f>2452.6+(255.9-823.4)+(-3.752478+(-0.391527--1.259802))+0-28.3--0.0432990000000016</f>
        <v>1853.9590959999998</v>
      </c>
      <c r="T79" s="3">
        <f>2448.1+(257.6-855.3)+(-2.497062+(-0.262752--0.872406))+0-29.1--0.0296820000000046</f>
        <v>1819.4422740000002</v>
      </c>
      <c r="U79" s="3">
        <f>2423.6+(256-829.2)+(-1.236036+(-0.13056--0.422892))+0-29.7--0.015146999999997</f>
        <v>1819.7714429999999</v>
      </c>
      <c r="V79" s="3">
        <f>2294.6+(229.1-671.8)+(-2.340492+(-0.233682--0.685236))+0-30.2--0.0308040000000048</f>
        <v>1819.841866</v>
      </c>
      <c r="W79" s="3">
        <f>2269.7+(222.1-662.1)+(-4.630188+(-0.453084--1.350684))+0-29.3--0.0597719999999987</f>
        <v>1796.7271839999999</v>
      </c>
      <c r="X79" s="3">
        <f>2190.7+(218.9-651.1)+(-4.469028+(-0.446556--1.328244))+0-28.2--0.0575279999999988</f>
        <v>1726.7701879999997</v>
      </c>
      <c r="Y79" s="3">
        <f>2160.3+(227.8-669.1)+(-3.305259+(-0.348534--1.023723))+0-28.2--0.0431460000000016</f>
        <v>1688.2130760000002</v>
      </c>
      <c r="Z79" s="3">
        <f>2397.9+(244.1-842.6)+(-3.668787+(-0.373473--1.289178))+0-28.5--0.0436050000000016</f>
        <v>1768.1905230000002</v>
      </c>
      <c r="AA79" s="3">
        <f>2560.5+(259.8-751.8)+(-2.61171+(-0.264996--0.766836))+0-27.7--0.0282540000000044</f>
        <v>2038.7183840000002</v>
      </c>
      <c r="AB79" s="3">
        <f>2544.3+(253.7-759.9)+(-3.892779+(-0.388161--1.162647))+0-28.1--0.0429930000000016</f>
        <v>2006.9247000000003</v>
      </c>
      <c r="AC79" s="3">
        <f>2293.5+(243.1-698)+(-3.509055+(-0.371943--1.06794))+0-27.8--0.0425340000000016</f>
        <v>1808.0294759999999</v>
      </c>
      <c r="AD79">
        <f t="shared" si="1"/>
        <v>39804.941255000005</v>
      </c>
      <c r="AE79" s="3">
        <f>2556.8+(247.3-729.5)+(0+(0-0))+0-27.6-0</f>
        <v>2047.0000000000005</v>
      </c>
    </row>
    <row r="80" spans="1:31" s="2" customFormat="1" x14ac:dyDescent="0.25">
      <c r="A80">
        <v>89</v>
      </c>
      <c r="B80">
        <v>3</v>
      </c>
      <c r="C80">
        <v>18</v>
      </c>
      <c r="D80">
        <v>4</v>
      </c>
      <c r="E80">
        <v>1</v>
      </c>
      <c r="F80" s="3">
        <f>2083+(238.2-717)+(-3.18699+(-0.364446--1.09701))+0-27.3--0.0417690000000016</f>
        <v>1574.487343</v>
      </c>
      <c r="G80" s="3">
        <f>1856.5+(222.8-676.3)+(-4.734075+(-0.56814--1.724565))+0-27.7--0.070634999999996</f>
        <v>1371.792985</v>
      </c>
      <c r="H80" s="3">
        <f>1857.4+(233.1-766.4)+(0+(0-0))+0-27.2-0</f>
        <v>1296.9000000000001</v>
      </c>
      <c r="I80" s="3">
        <f>1864.2+(237-826.4)+(-3.802968+(-0.48348--1.685856))+0-26.5--0.0540599999999988</f>
        <v>1245.7534680000001</v>
      </c>
      <c r="J80" s="3">
        <f>1864.7+(244.6-837.8)+(-0.950997+(-0.124746--0.427278))+0-27--0.0137699999999973</f>
        <v>1243.865305</v>
      </c>
      <c r="K80" s="3">
        <f>1761.4+(244.7-758.5)+(-5.389884+(-0.748782--2.32101))+0-27.1--0.0829260000000031</f>
        <v>1216.7652700000003</v>
      </c>
      <c r="L80" s="3">
        <f>1717.1+(244.1-745.1)+(-1.751442+(-0.248982--0.760002))+0-27.3--0.0278460000000044</f>
        <v>1187.5874239999998</v>
      </c>
      <c r="M80" s="3">
        <f>1715.5+(243.8-616.7)+(0+(0-0))+0-28.1-0</f>
        <v>1314.5</v>
      </c>
      <c r="N80" s="3">
        <f>2143.3+(251.5-816.9)+(-2.186166+(-0.25653--0.833238))+0-29.8--0.0303960000000048</f>
        <v>1546.5209380000003</v>
      </c>
      <c r="O80" s="3">
        <f>2471.6+(253.3-973.5)+(3.781548+(0.387549-1.489455))+0-29.5-0.0451350000000017</f>
        <v>1724.5345069999998</v>
      </c>
      <c r="P80" s="3">
        <f>2535.3+(253-927.6)+(-2.586006+(-0.25806--0.946152))+0-29.9--0.0304980000000048</f>
        <v>1828.9325840000004</v>
      </c>
      <c r="Q80" s="3">
        <f>2540.1+(256.8-887.2)+(2.590902+(0.261936-0.904944))+0-29.3-0.0298860000000047</f>
        <v>1882.3180079999997</v>
      </c>
      <c r="R80" s="3">
        <f>2529.8+(258.2-858.5)+(-3.870594+(-0.395046--1.313505))+0-27.6--0.0422280000000016</f>
        <v>1898.9900930000003</v>
      </c>
      <c r="S80" s="3">
        <f>2536+(256.4-903)+(-2.58672+(-0.261528--0.92106))+0-27.5--0.0280500000000044</f>
        <v>1860.0008620000001</v>
      </c>
      <c r="T80" s="3">
        <f>2545+(243.9-979.5)+(1.29795+(0.124389-0.499545))+0-27.9-0.0142289999999972</f>
        <v>1782.4085650000002</v>
      </c>
      <c r="U80" s="3">
        <f>2542.4+(255.9-951.9)+(0+(0-0))+0-29.2-0</f>
        <v>1817.2</v>
      </c>
      <c r="V80" s="3">
        <f>2498.7+(256-905.9)+(0+(0-0))+0-29.7-0</f>
        <v>1819.0999999999997</v>
      </c>
      <c r="W80" s="3">
        <f>2509.1+(252.3-947.8)+(-5.118564+(-0.514692--1.933512))+0-29.8--0.0607919999999987</f>
        <v>1780.1610479999999</v>
      </c>
      <c r="X80" s="3">
        <f>2375.6+(240-866)+(-4.846224+(-0.4896--1.76664))+0-28.6--0.0583439999999988</f>
        <v>1717.4891600000001</v>
      </c>
      <c r="Y80" s="3">
        <f>2215.6+(246.9-788.4)+(-9.039648+(-1.007352--3.216672))+0-28.6--0.116687999999998</f>
        <v>1638.7863600000001</v>
      </c>
      <c r="Z80" s="3">
        <f>2414+(252.8-929.8)+(-4.92456+(-0.515712--1.896792))+0-29.2--0.0595679999999987</f>
        <v>1704.3160879999998</v>
      </c>
      <c r="AA80" s="3">
        <f>2591.2+(250.3-783.2)+(-2.643024+(-0.255306--0.798864))+0-29.4--0.0299880000000047</f>
        <v>2026.8305219999995</v>
      </c>
      <c r="AB80" s="3">
        <f>2560.3+(253.3-770.2)+(-3.917259+(-0.387549--1.178406))+0-29.4--0.0449820000000017</f>
        <v>2010.9185799999998</v>
      </c>
      <c r="AC80" s="3">
        <f>2444.8+(250.5-823)+(-4.987392+(-0.51102--1.67892))+0-29.2--0.0595679999999987</f>
        <v>1839.340076</v>
      </c>
      <c r="AD80">
        <f t="shared" si="1"/>
        <v>39329.499186000001</v>
      </c>
      <c r="AE80" s="3">
        <f>2586.5+(237.9-750.5)+(0+(0-0))+0-32.4-0</f>
        <v>2041.5</v>
      </c>
    </row>
    <row r="81" spans="1:31" s="2" customFormat="1" x14ac:dyDescent="0.25">
      <c r="A81">
        <v>89</v>
      </c>
      <c r="B81">
        <v>3</v>
      </c>
      <c r="C81">
        <v>19</v>
      </c>
      <c r="D81">
        <v>5</v>
      </c>
      <c r="E81">
        <v>1</v>
      </c>
      <c r="F81" s="3">
        <f>2198.6+(250.3-823.3)+(-3.363858+(-0.382959--1.259649))+0-27.5--0.0420750000000016</f>
        <v>1595.6549069999999</v>
      </c>
      <c r="G81" s="3">
        <f>2000.3+(250-808)+(-4.080612+(-0.51--1.64832))+0-26.9--0.0548759999999988</f>
        <v>1412.5125839999998</v>
      </c>
      <c r="H81" s="3">
        <f>1886.2+(249.1-784.5)+(-1.923924+(-0.254082--0.80019))+0-26.6--0.0271320000000042</f>
        <v>1322.8493160000003</v>
      </c>
      <c r="I81" s="3">
        <f>1888.7+(249.9-821.8)+(-4.816185+(-0.637245--2.09559))+0-26.8--0.0683399999999961</f>
        <v>1286.7105000000004</v>
      </c>
      <c r="J81" s="3">
        <f>1892.5+(249-833.8)+(1.93035+(0.25398-0.850476))+0-27-0.0275400000000043</f>
        <v>1282.006314</v>
      </c>
      <c r="K81" s="3">
        <f>1893.3+(249.5-831.7)+(-4.827915+(-0.636225--2.120835))+0-27--0.0688499999999961</f>
        <v>1280.8255449999997</v>
      </c>
      <c r="L81" s="3">
        <f>1863.2+(242.8-835.3)+(-0.950232+(-0.123828--0.426003))+0-27.5--0.0140249999999972</f>
        <v>1242.5659679999999</v>
      </c>
      <c r="M81" s="3">
        <f>1957.6+(239.5-817.7)+(1.996752+(0.24429-0.834054))+0-28.9-0.0294780000000046</f>
        <v>1351.8775099999998</v>
      </c>
      <c r="N81" s="3">
        <f>2185.1+(248.6-853.1)+(0+(0-0))+0-30.5-0</f>
        <v>1550.1</v>
      </c>
      <c r="O81" s="3">
        <f>2371.7+(248.4-888.5)+(0+(0-0))+0-30.9-0</f>
        <v>1700.6999999999998</v>
      </c>
      <c r="P81" s="3">
        <f>2403+(250.5-829.8)+(-2.45106+(-0.25551--0.846396))+0-29.7--0.0302940000000047</f>
        <v>1792.17012</v>
      </c>
      <c r="Q81" s="3">
        <f>2479.2+(255.7-844.5)+(2.528784+(0.260814-0.86139))+0-30.1-0.0307020000000048</f>
        <v>1862.197506</v>
      </c>
      <c r="R81" s="3">
        <f>2516.6+(254.7-856.7)+(-3.850398+(-0.389691--1.310751))+0-29.2--0.0446760000000017</f>
        <v>1882.5153379999999</v>
      </c>
      <c r="S81" s="3">
        <f>2518.8+(254.8-897.4)+(-1.284588+(-0.129948--0.457674))+0-27.8--0.0141779999999972</f>
        <v>1847.4573160000002</v>
      </c>
      <c r="T81" s="3">
        <f>2525.9+(251.6-972.3)+(-1.288209+(-0.128316--0.495873))+0-28.5--0.0145349999999971</f>
        <v>1775.7938830000003</v>
      </c>
      <c r="U81" s="3">
        <f>2528.6+(246.4-998.9)+(-2.579172+(-0.251328--1.018878))+0-28.7--0.0292740000000046</f>
        <v>1745.6176519999999</v>
      </c>
      <c r="V81" s="3">
        <f>2520.7+(244.1-986.8)+(-3.856671+(-0.373473--1.509804))+0-29.2--0.0446760000000017</f>
        <v>1746.1243359999999</v>
      </c>
      <c r="W81" s="3">
        <f>2521+(244.8-1000.6)+(-3.85713+(-0.374544--1.530918))+0-29.6--0.0452880000000017</f>
        <v>1732.9445320000002</v>
      </c>
      <c r="X81" s="3">
        <f>2512.2+(242.7-982.8)+(-6.40611+(-0.618885--2.50614))+0-27.6--0.070379999999996</f>
        <v>1740.0515249999999</v>
      </c>
      <c r="Y81" s="3">
        <f>2121+(243.3-664.9)+(-5.40855+(-0.620415--1.695495))+0-27.7--0.070634999999996</f>
        <v>1667.437165</v>
      </c>
      <c r="Z81" s="3">
        <f>2366.8+(241.6-840)+(-2.414136+(-0.246432--0.8568))+0-28.7--0.0292740000000046</f>
        <v>1737.925506</v>
      </c>
      <c r="AA81" s="3">
        <f>2617.6+(250-799.8)+(-4.004928+(-0.3825--1.223694))+0-28.9--0.0442170000000017</f>
        <v>2035.7804829999998</v>
      </c>
      <c r="AB81" s="3">
        <f>2608+(248.8-812.6)+(-6.6504+(-0.63444--2.07213))+0-28.7--0.0731849999999958</f>
        <v>2010.360475</v>
      </c>
      <c r="AC81" s="3">
        <f>2547.1+(141.6-935.4)+(0+(0-0))+0-1.6-0</f>
        <v>1751.7</v>
      </c>
      <c r="AD81">
        <f t="shared" si="1"/>
        <v>39353.878481</v>
      </c>
      <c r="AE81" s="3">
        <f>2617+(246.8-780.5)+(0+(0-0))+0-28.4-0</f>
        <v>2054.9</v>
      </c>
    </row>
    <row r="82" spans="1:31" s="2" customFormat="1" x14ac:dyDescent="0.25">
      <c r="A82">
        <v>89</v>
      </c>
      <c r="B82">
        <v>3</v>
      </c>
      <c r="C82">
        <v>20</v>
      </c>
      <c r="D82">
        <v>6</v>
      </c>
      <c r="E82">
        <v>1</v>
      </c>
      <c r="F82" s="3">
        <f>2427.9+(221.3-1036.8)+(-2.476458+(-0.225726--1.057536))+0-27--0.0275400000000043</f>
        <v>1583.7828920000002</v>
      </c>
      <c r="G82" s="3">
        <f>2235.2+(158-946.1)+(3.419856+(0.24174-1.447533))+0-28-0.0428400000000016</f>
        <v>1421.2712229999997</v>
      </c>
      <c r="H82" s="3">
        <f>2117.2+(154.1-917.9)+(0+(0-0))+0-28-0</f>
        <v>1325.3999999999999</v>
      </c>
      <c r="I82" s="3">
        <f>2101.6+(154.5-931.5)+(1.071816+(0.078795-0.475065))+0-28-0.0142799999999972</f>
        <v>1297.2612659999998</v>
      </c>
      <c r="J82" s="3">
        <f>2096.2+(157.4-943.1)+(-2.138124+(-0.160548--0.961962))+0-29--0.0295800000000046</f>
        <v>1280.1928699999996</v>
      </c>
      <c r="K82" s="3">
        <f>2065.1+(164.1-921.3)+(-3.159603+(-0.251073--1.409589))+0-29--0.0443700000000017</f>
        <v>1276.9432830000001</v>
      </c>
      <c r="L82" s="3">
        <f>1977.8+(152.2-887.6)+(-1.008678+(-0.077622--0.452676))+0-29--0.0147899999999971</f>
        <v>1212.7811659999998</v>
      </c>
      <c r="M82" s="3">
        <f>2054.3+(136.1-843)+(1.047693+(0.069411-0.42993))+0-31-0.0158099999999969</f>
        <v>1317.0713639999999</v>
      </c>
      <c r="N82" s="3">
        <f>2145.6+(98.7-710.7)+(2.188512+(0.100674-0.724914))+0-32-0.0326400000000051</f>
        <v>1503.1316320000001</v>
      </c>
      <c r="O82" s="3">
        <f>2372.1+(77.1-787.9)+(4.839084+(0.157284-1.607316))+0-26-0.0530399999999989</f>
        <v>1638.6360119999999</v>
      </c>
      <c r="P82" s="3">
        <f>2513.9+(86.1-821.7)+(2.564178+(0.087822-0.838134))+0-31-0.0316200000000049</f>
        <v>1749.0822460000002</v>
      </c>
      <c r="Q82" s="3">
        <f>2513.3+(85.7-754.6)+(2.563566+(0.087414-0.769692))+0-31-0.0316200000000049</f>
        <v>1815.2496680000002</v>
      </c>
      <c r="R82" s="3">
        <f>2507.3+(88-721.2)+(1.278723+(0.04488-0.367812))+0-29-0.0147899999999971</f>
        <v>1846.0410010000003</v>
      </c>
      <c r="S82" s="3">
        <f>2502.3+(95.7-758.1)+(0+(0-0))+0-29-0</f>
        <v>1810.9</v>
      </c>
      <c r="T82" s="3">
        <f>2479+(82.9-780.4)+(0+(0-0))+0-31-0</f>
        <v>1750.5</v>
      </c>
      <c r="U82" s="3">
        <f>2474.8+(71.4-786.9)+(-1.262148+(-0.036414--0.401319))+0-31--0.0158099999999969</f>
        <v>1727.4185670000004</v>
      </c>
      <c r="V82" s="3">
        <f>2469.8+(74-792.7)+(-2.519196+(-0.07548--0.808554))+0-30--0.0306000000000048</f>
        <v>1719.3444780000002</v>
      </c>
      <c r="W82" s="3">
        <f>2465.1+(68.9-805.3)+(-3.771603+(-0.105417--1.232109))+0-31--0.0474300000000018</f>
        <v>1695.1025189999998</v>
      </c>
      <c r="X82" s="3">
        <f>2458.6+(53.3-834)+(-6.26943+(-0.135915--2.1267))+0-29--0.0739499999999958</f>
        <v>1644.6953049999997</v>
      </c>
      <c r="Y82" s="3">
        <f>2418.9+(64.6-848.2)+(-3.700917+(-0.098838--1.297746))+0-31--0.0474300000000018</f>
        <v>1601.8454210000002</v>
      </c>
      <c r="Z82" s="3">
        <f>2461.1+(246.4-971.4)+(-1.255161+(-0.125664--0.495414))+0-30--0.015299999999997</f>
        <v>1705.229889</v>
      </c>
      <c r="AA82" s="3">
        <f>2477.6+(228.4-671.2)+(-2.527152+(-0.232968--0.684624))+0-30--0.0306000000000048</f>
        <v>2002.7551039999998</v>
      </c>
      <c r="AB82" s="3">
        <f>2480.2+(201.1-641.6)+(-2.529804+(-0.205122--0.654432))+0-31--0.0316200000000049</f>
        <v>2006.6511259999997</v>
      </c>
      <c r="AC82" s="3">
        <f>2468.6+(215.1-786.5)+(-1.258986+(-0.109701--0.401115))+0-29--0.0147899999999971</f>
        <v>1867.2472179999997</v>
      </c>
      <c r="AD82">
        <f t="shared" si="1"/>
        <v>38798.53424999999</v>
      </c>
      <c r="AE82" s="3">
        <f>2472.6+(231.5-628.2)+(0+(0-0))+0-105-0</f>
        <v>1970.8999999999996</v>
      </c>
    </row>
    <row r="83" spans="1:31" s="2" customFormat="1" x14ac:dyDescent="0.25">
      <c r="A83">
        <v>89</v>
      </c>
      <c r="B83">
        <v>3</v>
      </c>
      <c r="C83">
        <v>21</v>
      </c>
      <c r="D83">
        <v>7</v>
      </c>
      <c r="E83">
        <v>1</v>
      </c>
      <c r="F83" s="3">
        <f>2239.3+(152-733.5)+(0+(0-0))+0-28.5-0</f>
        <v>1629.3000000000002</v>
      </c>
      <c r="G83" s="3">
        <f>2053.6+(169.2-756.9)+(-3.142008+(-0.258876--1.158057))+0-28.5--0.0436050000000016</f>
        <v>1435.2007779999999</v>
      </c>
      <c r="H83" s="3">
        <f>1742.6+(170.6-574.6)+(0+(0-0))+0-28.5-0</f>
        <v>1310.0999999999999</v>
      </c>
      <c r="I83" s="3">
        <f>1556.7+(168.7-447.8)+(0+(0-0))+0-28-0</f>
        <v>1249.5999999999999</v>
      </c>
      <c r="J83" s="3">
        <f>1527.4+(164.9-436.5)+(1.557948+(0.168198-0.44523))+0-28-0.0285600000000045</f>
        <v>1229.0523560000001</v>
      </c>
      <c r="K83" s="3">
        <f>1514.2+(170.6-438.9)+(-3.088968+(-0.348024--0.895356))+0-27.5--0.0560999999999988</f>
        <v>1215.9144640000002</v>
      </c>
      <c r="L83" s="3">
        <f>1522.7+(139.9-504.9)+(0+(0-0))+0-28.5-0</f>
        <v>1129.2</v>
      </c>
      <c r="M83" s="3">
        <f>1518+(130.3-448.1)+(-2.32254+(-0.199359--0.685593))+0-28--0.0428400000000016</f>
        <v>1170.4065340000002</v>
      </c>
      <c r="N83" s="3">
        <f>1527.7+(172.2-366)+(0+(0-0))+0-30-0</f>
        <v>1303.9000000000001</v>
      </c>
      <c r="O83" s="3">
        <f>1533.6+(215-326)+(0+(0-0))+0-30-0</f>
        <v>1392.6</v>
      </c>
      <c r="P83" s="3">
        <f>1541.9+(234-247.9)+(-0.786369+(-0.11934--0.126429))+0-30--0.015299999999997</f>
        <v>1497.2360200000001</v>
      </c>
      <c r="Q83" s="3">
        <f>1610.1+(217.6-244.3)+(2.463453+(0.332928-0.373779))+0-29.5-0.0451350000000017</f>
        <v>1556.2774669999999</v>
      </c>
      <c r="R83" s="3">
        <f>1651.4+(198.1-274.3)+(0+(0-0))+0-27.3-0</f>
        <v>1547.9</v>
      </c>
      <c r="S83" s="3">
        <f>1644+(177.1-259.9)+(0+(0-0))+0-26.7-0</f>
        <v>1534.5</v>
      </c>
      <c r="T83" s="3">
        <f>1640.7+(162.8-259.9)+(-1.673514+(-0.166056--0.265098))+0-29.4--0.0299880000000047</f>
        <v>1512.655516</v>
      </c>
      <c r="U83" s="3">
        <f>1640.1+(153.1-280)+(0+(0-0))+0-29.1-0</f>
        <v>1484.1</v>
      </c>
      <c r="V83" s="3">
        <f>1639.6+(144.8-285.8)+(0+(0-0))+0-27.9-0</f>
        <v>1470.6999999999998</v>
      </c>
      <c r="W83" s="3">
        <f>1654.4+(132.9-296.5)+(0.843744+(0.067779-0.151215))+0-27.3-0.0139229999999972</f>
        <v>1464.2463850000001</v>
      </c>
      <c r="X83" s="3">
        <f>1758.4+(101-369)+(-0.896784+(-0.05151--0.18819))+0-27--0.0137699999999973</f>
        <v>1462.6536660000002</v>
      </c>
      <c r="Y83" s="3">
        <f>1869.4+(206.3-560.3)+(0+(0-0))+0-30-0</f>
        <v>1485.4</v>
      </c>
      <c r="Z83" s="3">
        <f>2023.3+(294.8-767.3)+(-1.031883+(-0.150348--0.391323))+0-30.3--0.0154529999999969</f>
        <v>1519.724545</v>
      </c>
      <c r="AA83" s="3">
        <f>2172.3+(302.9-605.6)+(1.107873+(0.154479-0.308856))+0-29.6-0.015095999999997</f>
        <v>1840.9384000000002</v>
      </c>
      <c r="AB83" s="3">
        <f>2180.9+(317.1-573.9)+(-2.224518+(-0.323442--0.585378))+0-27.8--0.0283560000000044</f>
        <v>1894.3657740000001</v>
      </c>
      <c r="AC83" s="3">
        <f>2094+(304.6-605.5)+(-3.20382+(-0.466038--0.926415))+0-27.9--0.0426870000000016</f>
        <v>1762.4992439999999</v>
      </c>
      <c r="AD83">
        <f t="shared" si="1"/>
        <v>35098.471148999997</v>
      </c>
      <c r="AE83" s="3">
        <f>2170.1+(295.9-531.7)+(0+(0-0))+0-30-0</f>
        <v>1904.2999999999997</v>
      </c>
    </row>
    <row r="84" spans="1:31" s="2" customFormat="1" x14ac:dyDescent="0.25">
      <c r="A84">
        <v>89</v>
      </c>
      <c r="B84">
        <v>3</v>
      </c>
      <c r="C84">
        <v>22</v>
      </c>
      <c r="D84">
        <v>1</v>
      </c>
      <c r="E84">
        <v>1</v>
      </c>
      <c r="F84" s="3">
        <f>1856.5+(186.1-489.7)+(-1.89363+(-0.189822--0.499494))+0-27--0.0275400000000043</f>
        <v>1524.3435820000002</v>
      </c>
      <c r="G84" s="3">
        <f>1671.8+(192.9-486.2)+(-2.557854+(-0.295137--0.743886))+0-28--0.0428400000000016</f>
        <v>1348.4337350000001</v>
      </c>
      <c r="H84" s="3">
        <f>1679.2+(192.4-580.3)+(-0.856392+(-0.098124--0.295953))+0-27--0.0137699999999973</f>
        <v>1263.6552070000002</v>
      </c>
      <c r="I84" s="3">
        <f>1720.9+(192.6-654.5)+(-1.755318+(-0.196452--0.66759))+0-27--0.0275400000000043</f>
        <v>1230.7433599999999</v>
      </c>
      <c r="J84" s="3">
        <f>1748.6+(194.4-677.5)+(-4.45893+(-0.49572--1.727625))+0-31--0.0790499999999955</f>
        <v>1231.3520250000001</v>
      </c>
      <c r="K84" s="3">
        <f>1776.9+(191.5-703.2)+(-3.624876+(-0.39066--1.434528))+0-28--0.0571199999999988</f>
        <v>1234.6761119999999</v>
      </c>
      <c r="L84" s="3">
        <f>1790+(178.8-714.5)+(-2.7387+(-0.273564--1.093185))+0-27--0.0413100000000016</f>
        <v>1225.422231</v>
      </c>
      <c r="M84" s="3">
        <f>1869.6+(158.7-662.3)+(0+(0-0))+0-30-0</f>
        <v>1336</v>
      </c>
      <c r="N84" s="3">
        <f>2343+(148-885.1)+(0+(0-0))+0-30-0</f>
        <v>1575.9</v>
      </c>
      <c r="O84" s="3">
        <f>2516.4+(157.8-900.1)+(1.283364+(0.080478-0.459051))+0-31-0.0158099999999969</f>
        <v>1743.988981</v>
      </c>
      <c r="P84" s="3">
        <f>2510.4+(157.1-792.4)+(2.560608+(0.160242-0.808248))+0-31-0.0316200000000049</f>
        <v>1845.9809820000003</v>
      </c>
      <c r="Q84" s="3">
        <f>2502.3+(156-711.7)+(-1.276173+(-0.07956--0.362967))+0-28.5--0.0145349999999971</f>
        <v>1917.1217690000001</v>
      </c>
      <c r="R84" s="3">
        <f>2519.3+(146.2-708.7)+(3.854529+(0.223686-1.084311))+0-28.5-0.0436050000000016</f>
        <v>1931.250299</v>
      </c>
      <c r="S84" s="3">
        <f>2546.6+(204.4-811.8)+(-1.298766+(-0.104244--0.414018))+0-28--0.0142799999999972</f>
        <v>1910.2252879999999</v>
      </c>
      <c r="T84" s="3">
        <f>2529.6+(212.3-845.8)+(3.870288+(0.324819-1.294074))+0-29.5-0.0451350000000017</f>
        <v>1869.4558979999999</v>
      </c>
      <c r="U84" s="3">
        <f>2527.9+(180.9-826.5)+(0+(0-0))+0-30.5-0</f>
        <v>1851.8000000000002</v>
      </c>
      <c r="V84" s="3">
        <f>2525.2+(140.1-755.2)+(1.287852+(0.071451-0.385152))+0-28-0.0142799999999972</f>
        <v>1883.0598709999997</v>
      </c>
      <c r="W84" s="3">
        <f>2526.3+(137.9-783.4)+(-1.288413+(-0.070329--0.399534))+0-30.5--0.0155549999999969</f>
        <v>1849.3563470000001</v>
      </c>
      <c r="X84" s="3">
        <f>2508.1+(136.2-799)+(-2.558262+(-0.138924--0.81498))+0-28.5--0.0290700000000045</f>
        <v>1814.946864</v>
      </c>
      <c r="Y84" s="3">
        <f>2345.7+(131.6-695.9)+(-1.196307+(-0.067116--0.354909))+0-30.5--0.0155549999999969</f>
        <v>1750.0070409999998</v>
      </c>
      <c r="Z84" s="3">
        <f>2413.4+(288.6-881)+(-2.461668+(-0.294372--0.89862))+0-28.5--0.0290700000000045</f>
        <v>1790.67165</v>
      </c>
      <c r="AA84" s="3">
        <f>2576.4+(239.4-700.9)+(-1.313964+(-0.122094--0.357459))+0-30.5--0.0155549999999969</f>
        <v>2083.3369560000001</v>
      </c>
      <c r="AB84" s="3">
        <f>2560.9+(249.5-681.6)+(-1.306059+(-0.127245--0.347616))+0-30--0.015299999999997</f>
        <v>2097.7296120000001</v>
      </c>
      <c r="AC84" s="3">
        <f>2476.3+(235.6-745)+(-1.262913+(-0.120156--0.37995))+0-27.5--0.0140249999999972</f>
        <v>1938.4109060000001</v>
      </c>
      <c r="AD84">
        <f t="shared" si="1"/>
        <v>40247.868716000004</v>
      </c>
      <c r="AE84" s="3">
        <f>2530.9+(242.1-639.6)+(0+(0-0))+0-30-0</f>
        <v>2103.4</v>
      </c>
    </row>
    <row r="85" spans="1:31" s="2" customFormat="1" x14ac:dyDescent="0.25">
      <c r="A85">
        <v>89</v>
      </c>
      <c r="B85">
        <v>3</v>
      </c>
      <c r="C85">
        <v>23</v>
      </c>
      <c r="D85">
        <v>2</v>
      </c>
      <c r="E85">
        <v>1</v>
      </c>
      <c r="F85" s="3">
        <f>2403.5+(136.5-834.5)+(-1.225785+(-0.069615--0.425595))+0-28--0.0142799999999972</f>
        <v>1676.6444750000001</v>
      </c>
      <c r="G85" s="3">
        <f>2242.7+(155.2-864.2)+(-4.575108+(-0.316608--1.762968))+0-27--0.0550799999999988</f>
        <v>1503.6263319999998</v>
      </c>
      <c r="H85" s="3">
        <f>2256.3+(171.2-997.7)+(-3.452139+(-0.261936--1.526481))+0-27--0.0413100000000016</f>
        <v>1400.6537160000003</v>
      </c>
      <c r="I85" s="3">
        <f>2206.4+(171.1-988.4)+(0+(0-0))+0-28-0</f>
        <v>1361.1000000000001</v>
      </c>
      <c r="J85" s="3">
        <f>2138.2+(170.5-931)+(1.090482+(0.086955-0.47481))+0-29-0.0147899999999971</f>
        <v>1349.3878369999998</v>
      </c>
      <c r="K85" s="3">
        <f>2019.4+(172.9-832.8)+(-4.119576+(-0.352716--1.698912))+0-29--0.0591599999999987</f>
        <v>1327.7857799999999</v>
      </c>
      <c r="L85" s="3">
        <f>1911.6+(150.4-752.6)+(2.924748+(0.230112-1.151478))+0-29-0.0443700000000017</f>
        <v>1282.3590119999999</v>
      </c>
      <c r="M85" s="3">
        <f>1965.8+(144.5-690.8)+(1.002558+(0.073695-0.352308))+0-29-0.0147899999999971</f>
        <v>1391.209155</v>
      </c>
      <c r="N85" s="3">
        <f>2165.1+(143.6-701.1)+(-3.312603+(-0.219708--1.072683))+0-30--0.0459000000000017</f>
        <v>1575.1862719999999</v>
      </c>
      <c r="O85" s="3">
        <f>2483.3+(145.1-854.5)+(-2.532966+(-0.148002--0.87159))+0-29--0.0295800000000046</f>
        <v>1743.1202020000001</v>
      </c>
      <c r="P85" s="3">
        <f>2518.4+(139.2-760.4)+(-1.284384+(-0.070992--0.387804))+0-29--0.0147899999999971</f>
        <v>1867.247218</v>
      </c>
      <c r="Q85" s="3">
        <f>2492.5+(140.3-671.9)+(0+(0-0))+0-30-0</f>
        <v>1930.9</v>
      </c>
      <c r="R85" s="3">
        <f>2565+(136.4-715.2)+(-2.6163+(-0.139128--0.729504))+0-28--0.0285600000000045</f>
        <v>1956.2026359999998</v>
      </c>
      <c r="S85" s="3">
        <f>2553.8+(136.8-747.8)+(-3.907314+(-0.209304--1.144134))+0-28--0.0428400000000016</f>
        <v>1911.8703560000004</v>
      </c>
      <c r="T85" s="3">
        <f>2542.8+(137.4-774.7)+(-1.296828+(-0.070074--0.395097))+0-26--0.0132599999999974</f>
        <v>1878.541455</v>
      </c>
      <c r="U85" s="3">
        <f>2532.6+(137.2-761)+(1.291626+(0.069972-0.38811))+0-30-0.015299999999997</f>
        <v>1879.758188</v>
      </c>
      <c r="V85" s="3">
        <f>2521.9+(141.9-758.9)+(-1.286169+(-0.072369--0.387039))+0-30--0.015299999999997</f>
        <v>1873.9438010000001</v>
      </c>
      <c r="W85" s="3">
        <f>2521.2+(190-835)+(-1.285812+(-0.0969--0.42585))+0-30--0.015299999999997</f>
        <v>1845.2584379999998</v>
      </c>
      <c r="X85" s="3">
        <f>2506+(197.4-861.5)+(-3.83418+(-0.302022--1.318095))+0-30--0.0459000000000017</f>
        <v>1809.1277930000001</v>
      </c>
      <c r="Y85" s="3">
        <f>2377.9+(194.8-798.2)+(-2.425458+(-0.198696--0.814164))+0-30--0.0306000000000048</f>
        <v>1742.7206100000001</v>
      </c>
      <c r="Z85" s="3">
        <f>2412.4+(204.8-829.1)+(-1.230324+(-0.104448--0.422841))+0-30--0.015299999999997</f>
        <v>1757.2033690000001</v>
      </c>
      <c r="AA85" s="3">
        <f>2472.9+(239.3-597.9)+(0+(0-0))+0-28-0</f>
        <v>2086.3000000000002</v>
      </c>
      <c r="AB85" s="3">
        <f>2478.9+(234.8-576.8)+(-1.264239+(-0.119748--0.294168))+0-27--0.0137699999999973</f>
        <v>2108.8239510000003</v>
      </c>
      <c r="AC85" s="3">
        <f>2453+(206.2-660)+(-3.75309+(-0.315486--1.0098))+0-28--0.0428400000000016</f>
        <v>1968.184064</v>
      </c>
      <c r="AD85">
        <f t="shared" si="1"/>
        <v>41227.15466</v>
      </c>
      <c r="AE85" s="3">
        <f>2486.7+(237-557.1)+(0+(0-0))+0-30-0</f>
        <v>2136.6</v>
      </c>
    </row>
    <row r="86" spans="1:31" s="2" customFormat="1" x14ac:dyDescent="0.25">
      <c r="A86">
        <v>89</v>
      </c>
      <c r="B86">
        <v>3</v>
      </c>
      <c r="C86">
        <v>24</v>
      </c>
      <c r="D86">
        <v>3</v>
      </c>
      <c r="E86">
        <v>1</v>
      </c>
      <c r="F86" s="3">
        <f>2250.6+(128-661.7)+(-2.295612+(-0.13056--0.674934))+0-27.9--0.0284580000000044</f>
        <v>1687.2772199999997</v>
      </c>
      <c r="G86" s="3">
        <f>2095.9+(158.7-733.2)+(0+(0-0))+0-27.6-0</f>
        <v>1493.8000000000002</v>
      </c>
      <c r="H86" s="3">
        <f>2092.9+(156-826.3)+(-2.134758+(-0.15912--0.842826))+0-28.2--0.0287640000000045</f>
        <v>1392.9777120000001</v>
      </c>
      <c r="I86" s="3">
        <f>2099.2+(141.3-856.3)+(2.141184+(0.144126-0.873426))+0-28.5-0.0290700000000045</f>
        <v>1357.0828139999999</v>
      </c>
      <c r="J86" s="3">
        <f>2090.5+(144.5-862.3)+(-1.066155+(-0.073695--0.439773))+0-27.9--0.0142289999999972</f>
        <v>1344.1141519999999</v>
      </c>
      <c r="K86" s="3">
        <f>2022.4+(145.8-802.6)+(-2.062848+(-0.148716--0.818652))+0-28.5--0.0290700000000045</f>
        <v>1335.7361580000002</v>
      </c>
      <c r="L86" s="3">
        <f>1896.2+(118.8-702.5)+(0.967062+(0.060588-0.358275))+0-28.2-0.0143819999999971</f>
        <v>1284.9549929999998</v>
      </c>
      <c r="M86" s="3">
        <f>1975.7+(91-626.3)+(1.007607+(0.04641-0.319413))+0-29.7-0.015146999999997</f>
        <v>1411.419457</v>
      </c>
      <c r="N86" s="3">
        <f>2318.5+(79-754.5)+(-2.36487+(-0.08058--0.76959))+0-30.9--0.0315180000000049</f>
        <v>1610.4556579999999</v>
      </c>
      <c r="O86" s="3">
        <f>2487.5+(81.6-750.8)+(0+(0-0))+0-30.6-0</f>
        <v>1787.7000000000003</v>
      </c>
      <c r="P86" s="3">
        <f>2487.5+(92.1-634.3)+(2.53725+(0.093942-0.646986))+0-30.6-0.0312120000000049</f>
        <v>1916.6529940000003</v>
      </c>
      <c r="Q86" s="3">
        <f>2500.4+(93-601.1)+(1.275204+(0.04743-0.306561))+0-30-0.015299999999997</f>
        <v>1963.3007730000002</v>
      </c>
      <c r="R86" s="3">
        <f>2540.7+(118.9-634.7)+(1.295757+(0.060639-0.323697))+0-31-0.0158099999999969</f>
        <v>1994.9168889999996</v>
      </c>
      <c r="S86" s="3">
        <f>2538.4+(128.1-683.4)+(-2.589168+(-0.130662--0.697068))+0-32--0.0326400000000051</f>
        <v>1949.109878</v>
      </c>
      <c r="T86" s="3">
        <f>2499.4+(127.6-669.8)+(2.549388+(0.130152-0.683196))+0-32-0.0326400000000051</f>
        <v>1927.1637040000003</v>
      </c>
      <c r="U86" s="3">
        <f>2467.6+(126.3-663.5)+(5.033904+(0.257652-1.35354))+27.5-31-0.0632399999999986</f>
        <v>1930.774776</v>
      </c>
      <c r="V86" s="3">
        <f>2467.9+(128-659.9)+(-1.258629+(-0.06528--0.336549))+18.3-30--0.015299999999997</f>
        <v>1923.3279399999999</v>
      </c>
      <c r="W86" s="3">
        <f>2455+(119.8-645.7)+(-2.5041+(-0.122196--0.658614))+0-34--0.0346800000000054</f>
        <v>1893.1669979999999</v>
      </c>
      <c r="X86" s="3">
        <f>2464+(115-700.4)+(-5.02656+(-0.2346--1.428816))+0-33--0.0673199999999986</f>
        <v>1841.8349760000001</v>
      </c>
      <c r="Y86" s="3">
        <f>2418.9+(114.8-709.7)+(0+(0-0))+0-34-0</f>
        <v>1790</v>
      </c>
      <c r="Z86" s="3">
        <f>2408.1+(188-749)+(1.228131+(0.09588-0.38199))+0-34-0.0173399999999966</f>
        <v>1814.0246809999999</v>
      </c>
      <c r="AA86" s="3">
        <f>2432.7+(204.4-483.3)+(-1.240677+(-0.104244--0.246483))+0-33--0.0168299999999967</f>
        <v>2119.7183919999998</v>
      </c>
      <c r="AB86" s="3">
        <f>2491.7+(204.5-537.5)+(-3.812301+(-0.312885--0.822375))+0-30--0.0459000000000017</f>
        <v>2125.4430889999999</v>
      </c>
      <c r="AC86" s="3">
        <f>2542.1+(178.8-703.6)+(-2.592942+(-0.182376--0.717672))+0-28--0.0285600000000045</f>
        <v>1987.2709139999999</v>
      </c>
      <c r="AD86">
        <f t="shared" si="1"/>
        <v>41882.224168000001</v>
      </c>
      <c r="AE86" s="3">
        <f>2449.6+(206.5-457.8)+(0+(0-0))+0-30-0</f>
        <v>2168.2999999999997</v>
      </c>
    </row>
    <row r="87" spans="1:31" s="2" customFormat="1" x14ac:dyDescent="0.25">
      <c r="A87">
        <v>89</v>
      </c>
      <c r="B87">
        <v>3</v>
      </c>
      <c r="C87">
        <v>25</v>
      </c>
      <c r="D87">
        <v>4</v>
      </c>
      <c r="E87">
        <v>1</v>
      </c>
      <c r="F87" s="3">
        <f>2375.8+(162.8-764.3)+(-3.634974+(-0.249084--1.169379))+0-28--0.0428400000000016</f>
        <v>1743.6281610000003</v>
      </c>
      <c r="G87" s="3">
        <f>2153.5+(143.5-736.6)+(0+(0-0))+0-28-0</f>
        <v>1532.4</v>
      </c>
      <c r="H87" s="3">
        <f>2126.2+(139-795.4)+(-2.168724+(-0.14178--0.811308))+0-28--0.0285600000000045</f>
        <v>1440.3293639999997</v>
      </c>
      <c r="I87" s="3">
        <f>2048.7+(117.6-748.1)+(-1.044837+(-0.059976--0.381531))+0-28--0.0142799999999972</f>
        <v>1389.490998</v>
      </c>
      <c r="J87" s="3">
        <f>1987.7+(135.3-724.5)+(-2.027454+(-0.138006--0.73899))+0-28--0.0285600000000045</f>
        <v>1369.1020899999999</v>
      </c>
      <c r="K87" s="3">
        <f>1967.9+(127.8-723.1)+(-5.018145+(-0.32589--1.843905))+0-28--0.0713999999999959</f>
        <v>1341.17127</v>
      </c>
      <c r="L87" s="3">
        <f>1826.5+(121.6-614.9)+(-4.657575+(-0.31008--1.567995))+0-28--0.0713999999999959</f>
        <v>1301.87174</v>
      </c>
      <c r="M87" s="3">
        <f>1846+(103-500.2)+(1.88292+(0.10506-0.510204))+0-29-0.0295800000000046</f>
        <v>1421.248196</v>
      </c>
      <c r="N87" s="3">
        <f>1907.6+(97.5-361)+(0.972876+(0.049725-0.18411))+0-30-0.015299999999997</f>
        <v>1614.9231909999999</v>
      </c>
      <c r="O87" s="3">
        <f>2153.5+(102.8-448)+(1.098285+(0.052428-0.22848))+0-31-0.0158099999999969</f>
        <v>1778.2064229999999</v>
      </c>
      <c r="P87" s="3">
        <f>2449.2+(105.1-605.1)+(-1.249092+(-0.053601--0.308601))+0-30--0.015299999999997</f>
        <v>1918.2212079999999</v>
      </c>
      <c r="Q87" s="3">
        <f>2472.6+(105.3-557.6)+(0+(0-0))+0-31-0</f>
        <v>1989.3</v>
      </c>
      <c r="R87" s="3">
        <f>2528+(89.1-564.1)+(-2.57856+(-0.090882--0.575382))+0-29--0.0295800000000046</f>
        <v>2021.93552</v>
      </c>
      <c r="S87" s="3">
        <f>2511+(84.5-565.8)+(-2.56122+(-0.08619--0.577116))+0-28--0.0285600000000045</f>
        <v>1999.6582659999999</v>
      </c>
      <c r="T87" s="3">
        <f>2499.9+(88.7-595.2)+(0+(0-0))+0-29-0</f>
        <v>1964.4</v>
      </c>
      <c r="U87" s="3">
        <f>2487.3+(88.4-584.9)+(2.537046+(0.090168-0.596598))+0-30-0.0306000000000048</f>
        <v>1962.8000160000001</v>
      </c>
      <c r="V87" s="3">
        <f>2470.9+(86.8-568.1)+(-2.520318+(-0.088536--0.579462))+0-30--0.0306000000000048</f>
        <v>1957.6012080000003</v>
      </c>
      <c r="W87" s="3">
        <f>2474.4+(88.4-610.3)+(-3.785832+(-0.135252--0.933759))+0-30--0.0459000000000017</f>
        <v>1919.558575</v>
      </c>
      <c r="X87" s="3">
        <f>2468.1+(85.7-698.3)+(-3.776193+(-0.131121--1.068399))+4.1-29--0.0443700000000017</f>
        <v>1827.8054549999999</v>
      </c>
      <c r="Y87" s="3">
        <f>2353.1+(76.5-643.1)+(-2.400162+(-0.07803--0.655962))+14-28--0.0285600000000045</f>
        <v>1770.70633</v>
      </c>
      <c r="Z87" s="3">
        <f>2344.2+(238.3-709)+(-1.195542+(-0.121533--0.36159))+0-30--0.015299999999997</f>
        <v>1842.5598149999998</v>
      </c>
      <c r="AA87" s="3">
        <f>2397+(233.9-501.9)+(-3.66741+(-0.357867--0.767907))+0-29--0.0443700000000017</f>
        <v>2096.7870000000003</v>
      </c>
      <c r="AB87" s="3">
        <f>2418+(212.9-494.3)+(-3.69954+(-0.325737--0.756279))+0-30--0.0459000000000017</f>
        <v>2103.376902</v>
      </c>
      <c r="AC87" s="3">
        <f>2310.8+(233.2-547.7)+(-2.357016+(-0.237864--0.558654))+0-28--0.0285600000000045</f>
        <v>1966.2923340000002</v>
      </c>
      <c r="AD87">
        <f t="shared" si="1"/>
        <v>42273.374062000003</v>
      </c>
      <c r="AE87" s="3">
        <f>2361.1+(235.2-511.5)+(0+(0-0))+0-40-0</f>
        <v>2044.7999999999997</v>
      </c>
    </row>
    <row r="88" spans="1:31" s="2" customFormat="1" x14ac:dyDescent="0.25">
      <c r="A88">
        <v>89</v>
      </c>
      <c r="B88">
        <v>3</v>
      </c>
      <c r="C88">
        <v>26</v>
      </c>
      <c r="D88">
        <v>5</v>
      </c>
      <c r="E88">
        <v>1</v>
      </c>
      <c r="F88" s="3">
        <f>2090.9+(97.9-461.4)+(-2.132718+(-0.099858--0.470628))+0-28--0.0285600000000045</f>
        <v>1697.666612</v>
      </c>
      <c r="G88" s="3">
        <f>2068.3+(84.8-609.1)+(-1.054833+(-0.043248--0.310641))+0-28--0.0142799999999972</f>
        <v>1515.22684</v>
      </c>
      <c r="H88" s="3">
        <f>2062.4+(84.6-689.9)+(-2.103648+(-0.086292--0.703698))+0-27--0.0275400000000043</f>
        <v>1428.6412980000002</v>
      </c>
      <c r="I88" s="3">
        <f>2063.2+(88.8-743.6)+(-3.156696+(-0.135864--1.137708))+0-28--0.0428400000000016</f>
        <v>1378.2879879999998</v>
      </c>
      <c r="J88" s="3">
        <f>2077.9+(94.5-784.6)+(-1.059729+(-0.048195--0.400146))+0-27--0.0137699999999973</f>
        <v>1360.1059920000002</v>
      </c>
      <c r="K88" s="3">
        <f>2032.8+(101.1-753.4)+(-5.18364+(-0.257805--1.92117))+0-27--0.0688499999999961</f>
        <v>1350.0485749999998</v>
      </c>
      <c r="L88" s="3">
        <f>1846.2+(96.7-607.6)+(-0.941562+(-0.049317--0.309876))+0-28--0.0142799999999972</f>
        <v>1306.6332770000001</v>
      </c>
      <c r="M88" s="3">
        <f>1822.8+(89.9-462.3)+(-0.929628+(-0.045849--0.235773))+0-30--0.015299999999997</f>
        <v>1419.675596</v>
      </c>
      <c r="N88" s="3">
        <f>1976.2+(106-441.7)+(-2.015724+(-0.10812--0.450534))+0-29--0.0295800000000046</f>
        <v>1609.85627</v>
      </c>
      <c r="O88" s="3">
        <f>2146.9+(119.2-445.3)+(-1.094919+(-0.060792--0.227103))+0-31--0.0158099999999969</f>
        <v>1788.8872020000003</v>
      </c>
      <c r="P88" s="3">
        <f>2441+(107.2-598.4)+(0+(0-0))+0-30-0</f>
        <v>1919.8</v>
      </c>
      <c r="Q88" s="3">
        <f>2519.1+(102-607)+(-2.569482+(-0.10404--0.61914))+0-26--0.0265200000000041</f>
        <v>1986.0721379999998</v>
      </c>
      <c r="R88" s="3">
        <f>2533+(91.9-587.1)+(0+(0-0))+0-28-0</f>
        <v>2009.8</v>
      </c>
      <c r="S88" s="3">
        <f>2517.3+(48-593.6)+(0+(0-0))+0-28-0</f>
        <v>1943.7000000000003</v>
      </c>
      <c r="T88" s="3">
        <f>2488.1+(82.7-621.6)+(0+(0-0))+0-28-0</f>
        <v>1921.1999999999998</v>
      </c>
      <c r="U88" s="3">
        <f>2423.3+(72.4-564.7)+(-1.235883+(-0.036924--0.287997))+0-28--0.0142799999999972</f>
        <v>1902.0294700000002</v>
      </c>
      <c r="V88" s="3">
        <f>2323.2+(74.9-475.9)+(2.369664+(0.076398-0.485418))+0-28-0.0285600000000045</f>
        <v>1896.1320839999998</v>
      </c>
      <c r="W88" s="3">
        <f>2354.5+(66.2-522.8)+(-6.003975+(-0.16881--1.33314))+0-28--0.0713999999999959</f>
        <v>1865.1317550000001</v>
      </c>
      <c r="X88" s="3">
        <f>2262.8+(71.1-472.6)+(-5.77014+(-0.181305--1.20513))+0-28--0.0713999999999959</f>
        <v>1828.6250850000001</v>
      </c>
      <c r="Y88" s="3">
        <f>1925.1+(86.1-244.6)+(-1.963602+(-0.087822--0.249492))+0-30--0.0306000000000048</f>
        <v>1734.8286679999999</v>
      </c>
      <c r="Z88" s="3">
        <f>2200.9+(165.8-629.9)+(0+(0-0))+0-31-0</f>
        <v>1705.8000000000002</v>
      </c>
      <c r="AA88" s="3">
        <f>2522.7+(245.1-670.2)+(-3.859731+(-0.375003--1.025406))+0-31--0.0474300000000018</f>
        <v>2063.4381020000001</v>
      </c>
      <c r="AB88" s="3">
        <f>2341.1+(245-506.4)+(-1.193961+(-0.12495--0.258264))+0-30--0.015299999999997</f>
        <v>2048.6546530000001</v>
      </c>
      <c r="AC88" s="3">
        <f>2236.6+(239.4-553.6)+(-1.140666+(-0.122094--0.282336))+0-30--0.015299999999997</f>
        <v>1891.4348759999998</v>
      </c>
      <c r="AD88">
        <f t="shared" si="1"/>
        <v>41571.676481000002</v>
      </c>
      <c r="AE88" s="3">
        <f>2529.1+(244.3-667.4)+(0+(0-0))+0-31-0</f>
        <v>2075</v>
      </c>
    </row>
    <row r="89" spans="1:31" s="2" customFormat="1" x14ac:dyDescent="0.25">
      <c r="A89">
        <v>89</v>
      </c>
      <c r="B89">
        <v>3</v>
      </c>
      <c r="C89">
        <v>27</v>
      </c>
      <c r="D89">
        <v>6</v>
      </c>
      <c r="E89">
        <v>1</v>
      </c>
      <c r="F89" s="3">
        <f>2187.5+(167.4-665.2)+(-2.23125+(-0.170748--0.678504))+0-28--0.0285600000000045</f>
        <v>1660.0050659999997</v>
      </c>
      <c r="G89" s="3">
        <f>2047.8+(159.3-720.6)+(0+(0-0))+0-28-0</f>
        <v>1458.5</v>
      </c>
      <c r="H89" s="3">
        <f>2007.8+(163.3-769.3)+(-3.071934+(-0.249849--1.177029))+0-28--0.0428400000000016</f>
        <v>1371.6980860000001</v>
      </c>
      <c r="I89" s="3">
        <f>2010.1+(161.4-809)+(-2.050302+(-0.164628--0.82518))+0-28--0.0285600000000045</f>
        <v>1333.1388099999999</v>
      </c>
      <c r="J89" s="3">
        <f>2009.2+(166.9-822.8)+(-2.049384+(-0.170238--0.839256))+0-28--0.0285600000000045</f>
        <v>1323.9481940000001</v>
      </c>
      <c r="K89" s="3">
        <f>1893.4+(173.9-707.6)+(-4.82817+(-0.443445--1.80438))+0-28--0.0713999999999959</f>
        <v>1328.304165</v>
      </c>
      <c r="L89" s="3">
        <f>1783.4+(166.5-642.5)+(-4.54767+(-0.424575--1.638375))+0-28--0.0713999999999959</f>
        <v>1276.1375300000002</v>
      </c>
      <c r="M89" s="3">
        <f>1908.3+(185.4-683.3)+(2.919699+(0.283662-1.045449))+0-29-0.0443700000000017</f>
        <v>1383.5135419999999</v>
      </c>
      <c r="N89" s="3">
        <f>2176.5+(210-781)+(0+(0-0))+0-31-0</f>
        <v>1574.5</v>
      </c>
      <c r="O89" s="3">
        <f>2433.7+(226.9-876.6)+(3.723561+(0.347157-1.341198))+0-30-0.0459000000000017</f>
        <v>1756.6836199999998</v>
      </c>
      <c r="P89" s="3">
        <f>2427.7+(219.1-761.3)+(0+(0-0))+0-30-0</f>
        <v>1855.5</v>
      </c>
      <c r="Q89" s="3">
        <f>2485.8+(230.1-781.5)+(2.535516+(0.234702-0.79713))+0-30-0.0306000000000048</f>
        <v>1906.342488</v>
      </c>
      <c r="R89" s="3">
        <f>2553.8+(244.2-853.7)+(0+(0-0))+0-30-0</f>
        <v>1914.3000000000002</v>
      </c>
      <c r="S89" s="3">
        <f>2568.8+(250.4-923.9)+(0+(0-0))+0-30-0</f>
        <v>1865.3000000000002</v>
      </c>
      <c r="T89" s="3">
        <f>2548.3+(250.5-982.9)+(0+(0-0))+0-30-0</f>
        <v>1785.9</v>
      </c>
      <c r="U89" s="3">
        <f>2555.3+(250.5-1039.6)+(-2.606406+(-0.25551--1.060392))+0-30--0.0306000000000048</f>
        <v>1734.4290760000004</v>
      </c>
      <c r="V89" s="3">
        <f>2548.9+(250.6-1051.7)+(0+(0-0))+0-30-0</f>
        <v>1717.8000000000002</v>
      </c>
      <c r="W89" s="3">
        <f>2406.6+(247.9-926.6)+(-6.13683+(-0.632145--2.36283))+0-30--0.0764999999999956</f>
        <v>1693.5703549999998</v>
      </c>
      <c r="X89" s="3">
        <f>2022.6+(250.7-599.4)+(-4.126104+(-0.511428--1.222776))+0-30--0.0611999999999987</f>
        <v>1640.5464440000001</v>
      </c>
      <c r="Y89" s="3">
        <f>2017+(256.7-639)+(-1.02867+(-0.130917--0.32589))+0-30--0.015299999999997</f>
        <v>1603.881603</v>
      </c>
      <c r="Z89" s="3">
        <f>2296.9+(254.5-842.8)+(-1.171419+(-0.129795--0.429828))+0-30--0.015299999999997</f>
        <v>1677.7439140000001</v>
      </c>
      <c r="AA89" s="3">
        <f>2517+(261.6-782.1)+(-6.41835+(-0.66708--1.994355))+0-30--0.0764999999999956</f>
        <v>1961.4854249999999</v>
      </c>
      <c r="AB89" s="3">
        <f>2522.3+(260.5-807.8)+(-1.286373+(-0.132855--0.411978))+0-30--0.015299999999997</f>
        <v>1944.0080500000001</v>
      </c>
      <c r="AC89" s="3">
        <f>2489.3+(251.2-903.8)+(-5.078172+(-0.512448--1.843752))+0-30--0.0611999999999987</f>
        <v>1803.0143320000004</v>
      </c>
      <c r="AD89">
        <f t="shared" si="1"/>
        <v>39570.250699999997</v>
      </c>
      <c r="AE89" s="3">
        <f>2501.3+(261-754)+(0+(0-0))+0-27-0</f>
        <v>1981.3000000000002</v>
      </c>
    </row>
    <row r="90" spans="1:31" s="2" customFormat="1" x14ac:dyDescent="0.25">
      <c r="A90">
        <v>89</v>
      </c>
      <c r="B90">
        <v>3</v>
      </c>
      <c r="C90">
        <v>28</v>
      </c>
      <c r="D90">
        <v>7</v>
      </c>
      <c r="E90">
        <v>1</v>
      </c>
      <c r="F90" s="3">
        <f>2266.4+(236.2-863.4)+(-3.467592+(-0.361386--1.321002))+0-28.2--0.0431460000000016</f>
        <v>1608.5351699999999</v>
      </c>
      <c r="G90" s="3">
        <f>1900.3+(233.2-697.5)+(-1.938306+(-0.237864--0.71145))+0-28.5--0.0290700000000045</f>
        <v>1406.0643500000001</v>
      </c>
      <c r="H90" s="3">
        <f>1789.3+(241-692.2)+(-2.737629+(-0.36873--1.059066))+0-28.5--0.0436050000000016</f>
        <v>1307.5963119999999</v>
      </c>
      <c r="I90" s="3">
        <f>1721+(238.2-665.2)+(-2.63313+(-0.364446--1.017756))+0-28.2--0.0431460000000016</f>
        <v>1263.8633259999999</v>
      </c>
      <c r="J90" s="3">
        <f>1678.6+(272-640.3)+(-2.568258+(-0.41616--0.979659))+0-28.8--0.0440640000000017</f>
        <v>1279.539305</v>
      </c>
      <c r="K90" s="3">
        <f>1659.6+(259.5-659.3)+(-2.539188+(-0.397035--1.008729))+0-28.8--0.0440640000000017</f>
        <v>1229.1165699999999</v>
      </c>
      <c r="L90" s="3">
        <f>1623.5+(256.1-698.7)+(0+(0-0))+0-28.2-0</f>
        <v>1152.7</v>
      </c>
      <c r="M90" s="3">
        <f>1634.1+(256.5-686.7)+(0+(0-0))+0-30-0</f>
        <v>1173.8999999999999</v>
      </c>
      <c r="N90" s="3">
        <f>1676.4+(257.2-639.8)+(-3.419856+(-0.524688--1.305192))+0-27--0.0550799999999988</f>
        <v>1264.2157280000004</v>
      </c>
      <c r="O90" s="3">
        <f>1699.8+(267-603.5)+(-2.600694+(-0.40851--0.923355))+0-29.4--0.0449820000000017</f>
        <v>1331.8591329999997</v>
      </c>
      <c r="P90" s="3">
        <f>1777.7+(274.6-569.4)+(0+(0-0))+0-29.1-0</f>
        <v>1453.8000000000002</v>
      </c>
      <c r="Q90" s="3">
        <f>2074.8+(263.5-803.3)+(0+(0-0))+0-29.4-0</f>
        <v>1505.6000000000001</v>
      </c>
      <c r="R90" s="3">
        <f>2413.4+(258.2-1093.3)+(-1.230834+(-0.131682--0.557583))+0-29.4--0.014993999999997</f>
        <v>1548.1100610000001</v>
      </c>
      <c r="S90" s="3">
        <f>2423.2+(259.8-1093.9)+(-1.235832+(-0.132498--0.557889))+0-29.4--0.014993999999997</f>
        <v>1558.9045529999994</v>
      </c>
      <c r="T90" s="3">
        <f>2416.6+(259.8-1120)+(-1.232466+(-0.132498--0.5712))+0-29.4--0.014993999999997</f>
        <v>1526.2212299999997</v>
      </c>
      <c r="U90" s="3">
        <f>2272.1+(253.8-1032.7)+(-2.317542+(-0.258876--1.053354))+0-29.4--0.0299880000000047</f>
        <v>1462.3069239999998</v>
      </c>
      <c r="V90" s="3">
        <f>2254.1+(248.4-1004.2)+(-1.149591+(-0.126684--0.512142))+0-29.4--0.014993999999997</f>
        <v>1468.1508609999996</v>
      </c>
      <c r="W90" s="3">
        <f>2213.5+(248.7-956.4)+(-3.386655+(-0.380511--1.463292))+0-29.4--0.0449820000000017</f>
        <v>1474.1411079999998</v>
      </c>
      <c r="X90" s="3">
        <f>2053+(262.2-834.8)+(-5.23515+(-0.66861--2.12874))+0-29.4--0.0749699999999957</f>
        <v>1447.2999499999999</v>
      </c>
      <c r="Y90" s="3">
        <f>2041.1+(263.2-816.7)+(-2.081922+(-0.268464--0.833034))+0-29.4--0.0299880000000047</f>
        <v>1456.7126359999997</v>
      </c>
      <c r="Z90" s="3">
        <f>2058.1+(261.1-745.9)+(-1.049631+(-0.133161--0.380409))+0-29.4--0.014993999999997</f>
        <v>1543.1126109999998</v>
      </c>
      <c r="AA90" s="3">
        <f>2393.5+(262.3-799.9)+(-3.662055+(-0.401319--1.223847))+0-29.4--0.0449820000000017</f>
        <v>1823.7054549999998</v>
      </c>
      <c r="AB90" s="3">
        <f>2514.2+(264.1-913.2)+(-2.564484+(-0.269382--0.931464))+0-29.4--0.0299880000000047</f>
        <v>1833.8275859999999</v>
      </c>
      <c r="AC90" s="3">
        <f>2479.9+(257.1-1009.5)+(-5.058996+(-0.524484--2.05938))+0-29.4--0.0599759999999987</f>
        <v>1694.6358759999998</v>
      </c>
      <c r="AD90">
        <f t="shared" si="1"/>
        <v>34813.918745000003</v>
      </c>
      <c r="AE90" s="3">
        <f>2428+(263.1-849.9)+(0+(0-0))+0-24-0</f>
        <v>1817.2</v>
      </c>
    </row>
    <row r="91" spans="1:31" s="2" customFormat="1" x14ac:dyDescent="0.25">
      <c r="A91">
        <v>89</v>
      </c>
      <c r="B91">
        <v>3</v>
      </c>
      <c r="C91">
        <v>29</v>
      </c>
      <c r="D91">
        <v>1</v>
      </c>
      <c r="E91">
        <v>1</v>
      </c>
      <c r="F91" s="3">
        <f>2288.6+(250.9-1025)+(-2.334372+(-0.255918--1.0455))+0-27.7--0.0282540000000044</f>
        <v>1485.2834640000001</v>
      </c>
      <c r="G91" s="3">
        <f>1976.7+(251-893.6)+(-4.032468+(-0.51204--1.822944))+0-28--0.0571199999999988</f>
        <v>1303.4355559999999</v>
      </c>
      <c r="H91" s="3">
        <f>1877+(246.7-868)+(-2.87181+(-0.377451--1.32804))+0-27.6--0.0422280000000016</f>
        <v>1226.2210070000001</v>
      </c>
      <c r="I91" s="3">
        <f>1813.8+(242.1-830.4)+(-5.550228+(-0.740826--2.541024))+0-7.5--0.0229500000000009</f>
        <v>1214.2729200000001</v>
      </c>
      <c r="J91" s="3">
        <f>1875.1+(246.2-903.5)+(0+(0-0))+0-6-0</f>
        <v>1211.8</v>
      </c>
      <c r="K91" s="3">
        <f>1876.5+(241.3-899.8)+(-0.957015+(-0.123063--0.458898))+0-6--0.00305999999999939</f>
        <v>1211.3818799999999</v>
      </c>
      <c r="L91" s="3">
        <f>1871.3+(241.6-926.9)+(-0.954363+(-0.123216--0.472719))+0-7--0.00356999999999929</f>
        <v>1178.3987100000002</v>
      </c>
      <c r="M91" s="3">
        <f>1976.2+(253.4-938.1)+(-2.015724+(-0.258468--0.956862))+0-7--0.00714000000000112</f>
        <v>1283.1898099999999</v>
      </c>
      <c r="N91" s="3">
        <f>2300.2+(256.3-1040.9)+(1.173102+(0.130713-0.530859))+0-8-0.00407999999999919</f>
        <v>1508.3688759999998</v>
      </c>
      <c r="O91" s="3">
        <f>2434.8+(257.6-1027.5)+(1.241748+(0.131376-0.524025))+0-8-0.00407999999999919</f>
        <v>1657.7450190000002</v>
      </c>
      <c r="P91" s="3">
        <f>2526.3+(244.6-986.3)+(-2.576826+(-0.249492--1.006026))+0-6--0.00612000000000096</f>
        <v>1776.7858280000003</v>
      </c>
      <c r="Q91" s="3">
        <f>2597.9+(257.1-988.5)+(2.649858+(0.262242-1.00827))+0-5-0.0051000000000008</f>
        <v>1863.3987299999999</v>
      </c>
      <c r="R91" s="3">
        <f>2583.9+(242.9-948.3)+(-2.635578+(-0.247758--0.967266))+0-5--0.0051000000000008</f>
        <v>1871.5890300000001</v>
      </c>
      <c r="S91" s="3">
        <f>2579+(241.3-958.2)+(0+(0-0))+0-5-0</f>
        <v>1857.1</v>
      </c>
      <c r="T91" s="3">
        <f>2553.3+(265.6-990.6)+(-1.302183+(-0.135456--0.505206))+0-12--0.00611999999999878</f>
        <v>1815.3736870000002</v>
      </c>
      <c r="U91" s="3">
        <f>2524.3+(262.6-985.7)+(-2.574786+(-0.267852--1.005414))+0-27--0.0275400000000043</f>
        <v>1772.3903160000002</v>
      </c>
      <c r="V91" s="3">
        <f>2540.2+(261.8-1011.2)+(1.295502+(0.133518-0.515712))+0-27-0.0137699999999973</f>
        <v>1764.6995379999996</v>
      </c>
      <c r="W91" s="3">
        <f>2531.3+(261.9-1011.6)+(-5.163852+(-0.534276--2.063664))+0-27--0.0550799999999988</f>
        <v>1751.0206160000002</v>
      </c>
      <c r="X91" s="3">
        <f>2473.1+(259-955.3)+(-7.567686+(-0.79254--2.923218))+0-27.5--0.0841500000000032</f>
        <v>1743.9471419999998</v>
      </c>
      <c r="Y91" s="3">
        <f>2324.1+(263.7-864.6)+(-1.185291+(-0.134487--0.440946))+0-29--0.0147899999999971</f>
        <v>1693.3359579999997</v>
      </c>
      <c r="Z91" s="3">
        <f>2445.9+(265.4-937.8)+(0+(0-0))+0-29-0</f>
        <v>1744.5</v>
      </c>
      <c r="AA91" s="3">
        <f>2495.8+(265.8-728.1)+(0+(0-0))+0-30-0</f>
        <v>2003.5000000000002</v>
      </c>
      <c r="AB91" s="3">
        <f>2498.3+(263.7-744.1)+(-3.822399+(-0.403461--1.138473))+0-28.5--0.0436050000000016</f>
        <v>1986.3562180000001</v>
      </c>
      <c r="AC91" s="3">
        <f>2501.9+(261.9-905.8)+(-2.551938+(-0.267138--0.923916))+0-28--0.0285600000000045</f>
        <v>1828.1333999999999</v>
      </c>
      <c r="AD91">
        <f t="shared" si="1"/>
        <v>38752.227705000005</v>
      </c>
      <c r="AE91" s="3">
        <f>2501.9+(266.8-713.6)+(0+(0-0))+0-30-0</f>
        <v>2025.1</v>
      </c>
    </row>
    <row r="92" spans="1:31" s="2" customFormat="1" x14ac:dyDescent="0.25">
      <c r="A92">
        <v>89</v>
      </c>
      <c r="B92">
        <v>3</v>
      </c>
      <c r="C92">
        <v>30</v>
      </c>
      <c r="D92">
        <v>2</v>
      </c>
      <c r="E92">
        <v>1</v>
      </c>
      <c r="F92" s="3">
        <f>2464.4+(248.6-1099.3)+(-5.027376+(-0.507144--2.242572))+0-30--0.0611999999999987</f>
        <v>1580.4692520000003</v>
      </c>
      <c r="G92" s="3">
        <f>2252.7+(253.5-1065.2)+(-1.148877+(-0.129285--0.543252))+0-27--0.0137699999999973</f>
        <v>1413.2788599999999</v>
      </c>
      <c r="H92" s="3">
        <f>2213.5+(253.9-1122.5)+(1.128885+(0.129489-0.572475))+0-30-0.015299999999997</f>
        <v>1315.5705990000001</v>
      </c>
      <c r="I92" s="3">
        <f>2039.4+(251.6-1009.8)+(-3.120282+(-0.384948--1.544994))+0-27--0.0413100000000016</f>
        <v>1252.2810740000004</v>
      </c>
      <c r="J92" s="3">
        <f>1844.7+(252.9-890.6)+(-2.822391+(-0.386937--1.362618))+0-28--0.0428400000000016</f>
        <v>1177.19613</v>
      </c>
      <c r="K92" s="3">
        <f>1843.2+(253.5-901.8)+(-3.760128+(-0.51714--1.839672))+0-28--0.0571199999999988</f>
        <v>1164.519524</v>
      </c>
      <c r="L92" s="3">
        <f>1803.6+(255.7-878.5)+(0.919836+(0.130407-0.448035))+0-27-0.0137699999999973</f>
        <v>1154.388438</v>
      </c>
      <c r="M92" s="3">
        <f>1813+(262.8-801.5)+(0+(0-0))+0-30-0</f>
        <v>1244.3</v>
      </c>
      <c r="N92" s="3">
        <f>1931.3+(267.3-749.3)+(1.969926+(0.272646-0.764286))+0-30-0.0306000000000048</f>
        <v>1420.7476859999999</v>
      </c>
      <c r="O92" s="3">
        <f>2253.1+(263.3-881.8)+(2.298162+(0.268566-0.899436))+0-29-0.0295800000000046</f>
        <v>1607.2377120000001</v>
      </c>
      <c r="P92" s="3">
        <f>2457.1+(263-957.6)+(1.253121+(0.13413-0.488376))+0-30-0.015299999999997</f>
        <v>1733.3835750000001</v>
      </c>
      <c r="Q92" s="3">
        <f>2502.6+(269-936.2)+(1.276326+(0.13719-0.477462))+0-30-0.015299999999997</f>
        <v>1806.3207539999999</v>
      </c>
      <c r="R92" s="3">
        <f>2515.2+(266.6-916.9)+(1.282752+(0.135966-0.467619))+0-28-0.0142799999999972</f>
        <v>1837.8368189999999</v>
      </c>
      <c r="S92" s="3">
        <f>2559.1+(258.7-981.2)+(0+(0-0))+0-27-0</f>
        <v>1809.6</v>
      </c>
      <c r="T92" s="3">
        <f>2535.8+(258.9-991.1)+(1.293258+(0.132039-0.505461))+0-30-0.015299999999997</f>
        <v>1774.5045360000001</v>
      </c>
      <c r="U92" s="3">
        <f>2523.9+(260.2-968.8)+(-2.574378+(-0.265404--0.988176))+0-30--0.0306000000000048</f>
        <v>1783.4789940000003</v>
      </c>
      <c r="V92" s="3">
        <f>2523.5+(261.2-981.2)+(-2.57397+(-0.266424--1.000824))+0-30--0.0306000000000048</f>
        <v>1771.69103</v>
      </c>
      <c r="W92" s="3">
        <f>2462.6+(261.4-961)+(-2.511852+(-0.266628--0.98022))+0-30.6--0.0312120000000049</f>
        <v>1730.6329520000002</v>
      </c>
      <c r="X92" s="3">
        <f>2418.8+(258.6-991.6)+(-3.700764+(-0.395658--1.517148))+0-19--0.0290700000000011</f>
        <v>1664.2497960000003</v>
      </c>
      <c r="Y92" s="3">
        <f>2399.4+(260.3-1006)+(-1.223694+(-0.132753--0.51306))+0-24--0.0122399999999976</f>
        <v>1628.8688530000002</v>
      </c>
      <c r="Z92" s="3">
        <f>2441.3+(263.9-995.5)+(0+(0-0))+0-27-0</f>
        <v>1682.7000000000003</v>
      </c>
      <c r="AA92" s="3">
        <f>2444.3+(264.3-731.1)+(-2.493186+(-0.269586--0.745722))+0-27.6--0.0281520000000044</f>
        <v>1947.9111020000005</v>
      </c>
      <c r="AB92" s="3">
        <f>2429.1+(261-704.4)+(-1.238841+(-0.13311--0.359244))+0-28--0.0142799999999972</f>
        <v>1956.7015729999998</v>
      </c>
      <c r="AC92" s="3">
        <f>2403.1+(254.7-824.8)+(0+(0-0))+0-27.6-0</f>
        <v>1805.4</v>
      </c>
      <c r="AD92">
        <f t="shared" si="1"/>
        <v>38263.269259000001</v>
      </c>
      <c r="AE92" s="3">
        <f>2449.6+(263-704)+(0+(0-0))+0-27.6-0</f>
        <v>1981</v>
      </c>
    </row>
    <row r="93" spans="1:31" s="2" customFormat="1" x14ac:dyDescent="0.25">
      <c r="A93">
        <v>89</v>
      </c>
      <c r="B93">
        <v>3</v>
      </c>
      <c r="C93">
        <v>31</v>
      </c>
      <c r="D93">
        <v>3</v>
      </c>
      <c r="E93">
        <v>1</v>
      </c>
      <c r="F93" s="3">
        <f>2367.5+(250-1016.9)+(-1.207425+(-0.1275--0.518619))+0-27--0.0137699999999973</f>
        <v>1572.797464</v>
      </c>
      <c r="G93" s="3">
        <f>2201.5+(251.9-1035.3)+(1.122765+(0.128469-0.528003))+0-28-0.0142799999999972</f>
        <v>1390.8089509999998</v>
      </c>
      <c r="H93" s="3">
        <f>2049.5+(250.3-963)+(1.045245+(0.127653-0.49113))+0-28-0.0142799999999972</f>
        <v>1309.4674879999998</v>
      </c>
      <c r="I93" s="3">
        <f>1802.9+(244-756.1)+(1.838958+(0.24888-0.771222))+0-28-0.0285600000000045</f>
        <v>1264.0880560000003</v>
      </c>
      <c r="J93" s="3">
        <f>1679+(252.1-657.2)+(3.42516+(0.514284-1.340688))+0-28-0.0571199999999988</f>
        <v>1248.4416360000002</v>
      </c>
      <c r="K93" s="3">
        <f>1677.9+(245.7-666)+(0+(0-0))+0-28-0</f>
        <v>1229.6000000000001</v>
      </c>
      <c r="L93" s="3">
        <f>1662.9+(247.6-671)+(-0.848079+(-0.126276--0.34221))+0-28--0.0142799999999972</f>
        <v>1210.8821350000001</v>
      </c>
      <c r="M93" s="3">
        <f>1838+(244.2-731.4)+(0+(0-0))+0-31-0</f>
        <v>1319.8</v>
      </c>
      <c r="N93" s="3">
        <f>2221.4+(251.2-903.7)+(2.265828+(0.256224-0.921774))+0-30-0.0306000000000048</f>
        <v>1540.4696779999999</v>
      </c>
      <c r="O93" s="3">
        <f>2485.2+(261.4-1009.3)+(2.534904+(0.266628-1.029486))+0-31-0.0316200000000049</f>
        <v>1708.0404259999998</v>
      </c>
      <c r="P93" s="3">
        <f>2502.7+(274.7-918.9)+(0+(0-0))+0-31.5-0</f>
        <v>1826.9999999999998</v>
      </c>
      <c r="Q93" s="3">
        <f>2522.5+(273.2-902.3)+(0+(0-0))+0-31-0</f>
        <v>1862.4</v>
      </c>
      <c r="R93" s="3">
        <f>2559.5+(271.2-906.7)+(1.305345+(0.138312-0.462417))+0-30-0.015299999999997</f>
        <v>1894.96594</v>
      </c>
      <c r="S93" s="3">
        <f>2553.7+(270.9-928.3)+(0+(0-0))+0-30-0</f>
        <v>1866.2999999999997</v>
      </c>
      <c r="T93" s="3">
        <f>2451.1+(274.9-856.4)+(1.250061+(0.140199-0.436764))+0-30-0.015299999999997</f>
        <v>1840.538196</v>
      </c>
      <c r="U93" s="3">
        <f>2332.3+(279.9-739.1)+(-1.189473+(-0.142749--0.376941))+0-30--0.015299999999997</f>
        <v>1842.1600190000001</v>
      </c>
      <c r="V93" s="3">
        <f>2532.1+(273.7-936.7)+(2.582742+(0.279174-0.955434))+0-28-0.0285600000000045</f>
        <v>1842.977922</v>
      </c>
      <c r="W93" s="3">
        <f>2558.2+(276.7-989.8)+(1.304682+(0.141117-0.504798))+0-28-0.0142799999999972</f>
        <v>1818.0267209999997</v>
      </c>
      <c r="X93" s="3">
        <f>2511.9+(273-987.5)+(0+(0-0))+0-27-0</f>
        <v>1770.4</v>
      </c>
      <c r="Y93" s="3">
        <f>2326+(275.7-839.3)+(2.37252+(0.281214-0.856086))+0-30-0.0306000000000048</f>
        <v>1734.167048</v>
      </c>
      <c r="Z93" s="3">
        <f>2441.5+(271.2-908)+(0+(0-0))+0-30-0</f>
        <v>1774.7</v>
      </c>
      <c r="AA93" s="3">
        <f>2602.7+(283.5-781.8)+(-1.327377+(-0.144585--0.398718))+0-28--0.0142799999999972</f>
        <v>2075.3410359999993</v>
      </c>
      <c r="AB93" s="3">
        <f>2620.8+(271.1-809.6)+(0+(0-0))+0-27-0</f>
        <v>2055.3000000000002</v>
      </c>
      <c r="AC93" s="3">
        <f>2606.8+(262.7-957)+(-3.988404+(-0.401931--1.46421))+0-28--0.0428400000000016</f>
        <v>1881.6167150000003</v>
      </c>
      <c r="AD93">
        <f t="shared" si="1"/>
        <v>39880.289430999997</v>
      </c>
      <c r="AE93" s="3">
        <f>2586.2+(276.4-765.7)+(0+(0-0))+0-30-0</f>
        <v>2066.8999999999996</v>
      </c>
    </row>
    <row r="94" spans="1:31" s="2" customFormat="1" x14ac:dyDescent="0.25">
      <c r="A94">
        <v>89</v>
      </c>
      <c r="B94">
        <v>4</v>
      </c>
      <c r="C94">
        <v>1</v>
      </c>
      <c r="D94">
        <v>4</v>
      </c>
      <c r="E94">
        <v>1</v>
      </c>
      <c r="F94" s="3">
        <f>2344.3+(232.7-913.7)+(-5.977965+(-0.593385--2.329935))+0-28--0.0713999999999959</f>
        <v>1631.1299850000003</v>
      </c>
      <c r="G94" s="3">
        <f>2193.8+(230.5-939.7)+(-3.356514+(-0.352665--1.437741))+0-28--0.0428400000000016</f>
        <v>1454.3714020000002</v>
      </c>
      <c r="H94" s="3">
        <f>2155.6+(240.6-990.7)+(-4.397424+(-0.490824--2.021028))+0-28--0.0571199999999988</f>
        <v>1374.6898999999999</v>
      </c>
      <c r="I94" s="3">
        <f>2042.4+(252-928.5)+(-3.124872+(-0.38556--1.420605))+0-28--0.0428400000000016</f>
        <v>1335.8530130000001</v>
      </c>
      <c r="J94" s="3">
        <f>1917.1+(254.6-832.8)+(-0.977721+(-0.129846--0.424728))+0-27--0.0137699999999973</f>
        <v>1311.2309310000001</v>
      </c>
      <c r="K94" s="3">
        <f>1820.9+(253.1-750.3)+(-3.714636+(-0.516324--1.530612))+0-27--0.0550799999999988</f>
        <v>1294.0547320000003</v>
      </c>
      <c r="L94" s="3">
        <f>1801.1+(258.8-769.9)+(0.918561+(0.131988-0.392649))+0-29-0.0147899999999971</f>
        <v>1261.64311</v>
      </c>
      <c r="M94" s="3">
        <f>1852.8+(267.5-727.5)+(1.889856+(0.27285-0.74205))+0-31-0.0316200000000049</f>
        <v>1363.189036</v>
      </c>
      <c r="N94" s="3">
        <f>2139.3+(271.1-820.4)+(-1.091043+(-0.138261--0.418404))+0-31--0.0158099999999969</f>
        <v>1558.2049100000004</v>
      </c>
      <c r="O94" s="3">
        <f>2416.7+(272.9-924.2)+(2.465034+(0.278358-0.942684))+0-31-0.0316200000000049</f>
        <v>1736.1690879999996</v>
      </c>
      <c r="P94" s="3">
        <f>2444+(273.5-851)+(1.24644+(0.139485-0.43401))+0-31-0.0158099999999969</f>
        <v>1836.436105</v>
      </c>
      <c r="Q94" s="3">
        <f>2464.6+(271.1-802)+(0+(0-0))+0-31-0</f>
        <v>1902.6999999999998</v>
      </c>
      <c r="R94" s="3">
        <f>2458.4+(233.4-717.9)+(-1.253784+(-0.119034--0.366129))+0-31--0.0158099999999969</f>
        <v>1941.9091210000001</v>
      </c>
      <c r="S94" s="3">
        <f>2442.9+(270.8-796.3)+(-2.491758+(-0.276216--0.812226))+0-31--0.0316200000000049</f>
        <v>1884.475872</v>
      </c>
      <c r="T94" s="3">
        <f>2430.4+(273.9-830.3)+(1.239504+(0.139689-0.423453))+0-31-0.0158099999999969</f>
        <v>1843.93993</v>
      </c>
      <c r="U94" s="3">
        <f>2425.8+(273.5-822.2)+(3.711474+(0.418455-1.257966))+0-31-0.0474300000000018</f>
        <v>1848.9245330000001</v>
      </c>
      <c r="V94" s="3">
        <f>2283.5+(277.4-675.2)+(-2.32917+(-0.282948--0.688704))+0-31--0.0316200000000049</f>
        <v>1852.8082059999997</v>
      </c>
      <c r="W94" s="3">
        <f>2165.8+(278.8-618.8)+(-2.209116+(-0.284376--0.631176))+0-31--0.0316200000000049</f>
        <v>1792.9693040000002</v>
      </c>
      <c r="X94" s="3">
        <f>2132.6+(276.7-617.2)+(-3.262878+(-0.423351--0.944316))+0-30--0.0459000000000017</f>
        <v>1759.4039869999999</v>
      </c>
      <c r="Y94" s="3">
        <f>1958.5+(267.2-489.2)+(0.998835+(0.136272-0.249492))+0-30-0.015299999999997</f>
        <v>1707.3703149999999</v>
      </c>
      <c r="Z94" s="3">
        <f>2137.7+(274.2-631.7)+(-3.270681+(-0.419526--0.966501))+0-28--0.0428400000000016</f>
        <v>1749.5191339999999</v>
      </c>
      <c r="AA94" s="3">
        <f>2174.8+(294.3-413.8)+(-1.109148+(-0.150093--0.211038))+0-28--0.0142799999999972</f>
        <v>2026.2660770000005</v>
      </c>
      <c r="AB94" s="3">
        <f>2169.6+(308.7-423.9)+(0+(0-0))+0-28-0</f>
        <v>2026.4</v>
      </c>
      <c r="AC94" s="3">
        <f>2143.2+(271.4-500.9)+(-1.093032+(-0.138414--0.255459))+0-28--0.0142799999999972</f>
        <v>1884.7382929999999</v>
      </c>
      <c r="AD94">
        <f t="shared" si="1"/>
        <v>40378.396984000006</v>
      </c>
      <c r="AE94" s="3">
        <f>2171.4+(302.1-380.8)+(0+(0-0))+0-26.5-0</f>
        <v>2066.2000000000003</v>
      </c>
    </row>
    <row r="95" spans="1:31" s="2" customFormat="1" x14ac:dyDescent="0.25">
      <c r="A95">
        <v>89</v>
      </c>
      <c r="B95">
        <v>4</v>
      </c>
      <c r="C95">
        <v>2</v>
      </c>
      <c r="D95">
        <v>5</v>
      </c>
      <c r="E95">
        <v>1</v>
      </c>
      <c r="F95" s="3">
        <f>2091.8+(230.9-628.2)+(0+(0-0))+0-27.3-0</f>
        <v>1667.2</v>
      </c>
      <c r="G95" s="3">
        <f>2022.1+(241.9-766.6)+(-2.062542+(-0.246738--0.781932))+0-27.6--0.0281520000000044</f>
        <v>1468.300804</v>
      </c>
      <c r="H95" s="3">
        <f>1849.9+(253.4-738.5)+(0+(0-0))+0-27.9-0</f>
        <v>1336.9</v>
      </c>
      <c r="I95" s="3">
        <f>1826.3+(254.8-761.3)+(-1.862826+(-0.259896--0.776526))+0-27.3--0.0278460000000044</f>
        <v>1291.18165</v>
      </c>
      <c r="J95" s="3">
        <f>1828.4+(255.7-776.7)+(-0.932484+(-0.130407--0.396117))+0-27--0.0137699999999973</f>
        <v>1279.7469960000001</v>
      </c>
      <c r="K95" s="3">
        <f>1787.5+(255.5-745.7)+(-1.82325+(-0.26061--0.760614))+0-27.9--0.0284580000000044</f>
        <v>1268.1052119999999</v>
      </c>
      <c r="L95" s="3">
        <f>1680.1+(240.5-665.2)+(-0.856851+(-0.122655--0.339252))+0-28--0.0142799999999972</f>
        <v>1226.774026</v>
      </c>
      <c r="M95" s="3">
        <f>1805.8+(239.6-681.8)+(-0.920958+(-0.122196--0.347718))+0-30--0.015299999999997</f>
        <v>1332.919864</v>
      </c>
      <c r="N95" s="3">
        <f>1999.4+(241.3-688.4)+(0+(0-0))+0-30-0</f>
        <v>1522.3000000000002</v>
      </c>
      <c r="O95" s="3">
        <f>2082.4+(253.1-633.9)+(-3.186072+(-0.387243--0.969867))+0-31--0.0474300000000018</f>
        <v>1668.0439820000001</v>
      </c>
      <c r="P95" s="3">
        <f>2158.5+(259.8-599.4)+(1.100835+(0.132498-0.305694))+0-31-0.0158099999999969</f>
        <v>1788.811829</v>
      </c>
      <c r="Q95" s="3">
        <f>2179+(258.8-534.9)+(-1.11129+(-0.131988--0.272799))+0-31--0.0158099999999969</f>
        <v>1870.9453310000001</v>
      </c>
      <c r="R95" s="3">
        <f>2140+(269-479.5)+(1.0914+(0.13719-0.244545))+0-30-0.015299999999997</f>
        <v>1900.4687449999999</v>
      </c>
      <c r="S95" s="3">
        <f>2180.2+(270.5-544.6)+(-1.111902+(-0.137955--0.277746))+0-29--0.0147899999999971</f>
        <v>1876.1426789999998</v>
      </c>
      <c r="T95" s="3">
        <f>2210.4+(268.1-628.9)+(2.254608+(0.273462-0.641478))+0-29-0.0295800000000046</f>
        <v>1822.4570120000003</v>
      </c>
      <c r="U95" s="3">
        <f>2200.6+(258.8-618.4)+(1.122306+(0.131988-0.315384))+0-30-0.015299999999997</f>
        <v>1811.9236100000001</v>
      </c>
      <c r="V95" s="3">
        <f>2166.3+(237.3-599.1)+(0+(0-0))+0-30-0</f>
        <v>1774.5000000000002</v>
      </c>
      <c r="W95" s="3">
        <f>2165.5+(239.9-641.7)+(-1.104405+(-0.122349--0.327267))+0-30--0.015299999999997</f>
        <v>1732.8158129999999</v>
      </c>
      <c r="X95" s="3">
        <f>2164.6+(247.6-665)+(-3.311838+(-0.378828--1.01745))+0-28--0.0428400000000016</f>
        <v>1716.569624</v>
      </c>
      <c r="Y95" s="3">
        <f>2020.6+(248.3-564.1)+(-2.061012+(-0.253266--0.575382))+0-27--0.0275400000000043</f>
        <v>1676.0886439999999</v>
      </c>
      <c r="Z95" s="3">
        <f>2115.2+(259-635.8)+(0+(0-0))+0-29-0</f>
        <v>1709.3999999999999</v>
      </c>
      <c r="AA95" s="3">
        <f>2212.1+(267-486.4)+(-3.384513+(-0.40851--0.744192))+0-28--0.0428400000000016</f>
        <v>1961.6940089999998</v>
      </c>
      <c r="AB95" s="3">
        <f>2216.9+(267.2-497.6)+(-2.261238+(-0.272544--0.507552))+0-28--0.0285600000000045</f>
        <v>1956.50233</v>
      </c>
      <c r="AC95" s="3">
        <f>2214.3+(261.6-640.4)+(-1.129293+(-0.133416--0.326604))+0-29--0.0147899999999971</f>
        <v>1805.5786850000002</v>
      </c>
      <c r="AD95">
        <f t="shared" si="1"/>
        <v>39465.370845000005</v>
      </c>
      <c r="AE95" s="3">
        <f>2209.5+(265.1-462)+(0+(0-0))+0-11-0</f>
        <v>2001.6</v>
      </c>
    </row>
    <row r="96" spans="1:31" s="2" customFormat="1" x14ac:dyDescent="0.25">
      <c r="A96">
        <v>89</v>
      </c>
      <c r="B96">
        <v>4</v>
      </c>
      <c r="C96">
        <v>3</v>
      </c>
      <c r="D96">
        <v>6</v>
      </c>
      <c r="E96">
        <v>1</v>
      </c>
      <c r="F96" s="3">
        <f>2127+(228.3-753.5)+(-4.33908+(-0.465732--1.53714))+0-28.2--0.0575279999999988</f>
        <v>1570.389856</v>
      </c>
      <c r="G96" s="3">
        <f>2047.3+(244.4-875.2)+(-5.220615+(-0.62322--2.23176))+0-28.2--0.0719099999999959</f>
        <v>1384.7598349999998</v>
      </c>
      <c r="H96" s="3">
        <f>2160.4+(242.2-1055.2)+(-1.101804+(-0.123522--0.538152))+0-28.8--0.0146879999999971</f>
        <v>1317.9275140000002</v>
      </c>
      <c r="I96" s="3">
        <f>2129.8+(243.2-1060.7)+(-2.172396+(-0.248064--1.081914))+0-28.2--0.0287640000000045</f>
        <v>1282.7902180000001</v>
      </c>
      <c r="J96" s="3">
        <f>2001.2+(240.3-945.1)+(-1.020612+(-0.122553--0.482001))+0-28.2--0.0143819999999971</f>
        <v>1267.553218</v>
      </c>
      <c r="K96" s="3">
        <f>1933+(229.9-872.1)+(-2.95749+(-0.351747--1.334313))+0-28.2--0.0431460000000016</f>
        <v>1260.6682219999998</v>
      </c>
      <c r="L96" s="3">
        <f>1924+(216.9-894.4)+(0+(0-0))+0-28.2-0</f>
        <v>1218.3</v>
      </c>
      <c r="M96" s="3">
        <f>1863.5+(228.6-744.3)+(-0.950385+(-0.116586--0.379593))+0-30.9--0.0157589999999969</f>
        <v>1316.2283809999999</v>
      </c>
      <c r="N96" s="3">
        <f>1961.2+(233.8-670.1)+(0+(0-0))+0-30.3-0</f>
        <v>1494.6000000000001</v>
      </c>
      <c r="O96" s="3">
        <f>2249.4+(236.4-817.5)+(1.147194+(0.120564-0.416925))+0-30.6-0.0156059999999969</f>
        <v>1638.5352270000003</v>
      </c>
      <c r="P96" s="3">
        <f>2487+(228.7-932)+(2.53674+(0.233274-0.95064))+0-30.2-0.0308040000000048</f>
        <v>1755.2885699999999</v>
      </c>
      <c r="Q96" s="3">
        <f>2487.2+(228-859.7)+(3.805416+(0.34884-1.315341))+0-30-0.0459000000000017</f>
        <v>1828.2930149999997</v>
      </c>
      <c r="R96" s="3">
        <f>2434.4+(229.8-800.1)+(1.241544+(0.117198-0.408051))+0-100-0.0509999999999899</f>
        <v>1764.9996910000002</v>
      </c>
      <c r="S96" s="3">
        <f>2434.4+(227.6-853.5)+(2.483088+(0.232152-0.87057))+0-99-0.100980000000016</f>
        <v>1711.24369</v>
      </c>
      <c r="T96" s="3">
        <f>2423.2+(225-888.4)+(-3.707496+(-0.34425--1.359252))+0-99--0.151470000000006</f>
        <v>1658.2589759999998</v>
      </c>
      <c r="U96" s="3">
        <f>2421.2+(203.4-920.8)+(-1.234812+(-0.103734--0.469608))+0-87--0.0443699999999912</f>
        <v>1615.9754319999997</v>
      </c>
      <c r="V96" s="3">
        <f>2412.8+(221.8-912.3)+(-4.922112+(-0.452472--1.861092))+0-103--0.210119999999996</f>
        <v>1615.9966280000001</v>
      </c>
      <c r="W96" s="3">
        <f>2406.4+(225.9-934.4)+(-4.909056+(-0.460836--1.906176))+0-102--0.208079999999996</f>
        <v>1592.6443640000002</v>
      </c>
      <c r="X96" s="3">
        <f>2227.9+(217.5-776.4)+(-3.408687+(-0.332775--1.187892))+0-95--0.145350000000006</f>
        <v>1571.59178</v>
      </c>
      <c r="Y96" s="3">
        <f>2030.7+(220-624.9)+(-1.035657+(-0.1122--0.318699))+0-97--0.0494699999999902</f>
        <v>1528.0203120000001</v>
      </c>
      <c r="Z96" s="3">
        <f>2087.5+(247.6-649.2)+(-1.064625+(-0.126276--0.331092))+0-114--0.0581399999999884</f>
        <v>1571.0983310000001</v>
      </c>
      <c r="AA96" s="3">
        <f>2430.5+(260.7-711.2)+(-4.95822+(-0.531828--1.450848))+0-117--0.238679999999995</f>
        <v>1859.19948</v>
      </c>
      <c r="AB96" s="3">
        <f>2438.9+(259-744.2)+(-1.243839+(-0.13209--0.379542))+0-114--0.0581399999999884</f>
        <v>1838.7617530000002</v>
      </c>
      <c r="AC96" s="3">
        <f>2353.4+(258.8-794.1)+(1.200234+(0.131988-0.404991))+0-115-0.0586499999999883</f>
        <v>1703.9685810000001</v>
      </c>
      <c r="AD96">
        <f t="shared" si="1"/>
        <v>37367.093074000004</v>
      </c>
      <c r="AE96" s="3">
        <f>2444.2+(260.8-685.6)+(0+(0-0))+0-28-0</f>
        <v>1991.3999999999999</v>
      </c>
    </row>
    <row r="97" spans="1:31" s="2" customFormat="1" x14ac:dyDescent="0.25">
      <c r="A97">
        <v>89</v>
      </c>
      <c r="B97">
        <v>4</v>
      </c>
      <c r="C97">
        <v>4</v>
      </c>
      <c r="D97">
        <v>7</v>
      </c>
      <c r="E97">
        <v>1</v>
      </c>
      <c r="F97" s="3">
        <f>2008.9+(222.8-649.7)+(1.024539+(0.113628-0.331347))+0-1.2-0.000611999999999878</f>
        <v>1581.6062079999999</v>
      </c>
      <c r="G97" s="3">
        <f>1799.1+(238.9-645.2)+(-0.917541+(-0.121839--0.329052))+0-3.3--0.00168299999999967</f>
        <v>1388.7913549999998</v>
      </c>
      <c r="H97" s="3">
        <f>1770.6+(243.2-723.7)+(-1.806012+(-0.248064--0.738174))+0-10.2--0.0104040000000016</f>
        <v>1278.5945019999999</v>
      </c>
      <c r="I97" s="3">
        <f>1743.2+(236.3-724.6)+(0.889032+(0.120513-0.369546))+0-27.6-0.0140759999999972</f>
        <v>1227.9259230000002</v>
      </c>
      <c r="J97" s="3">
        <f>1735.2+(237.3-737.9)+(-1.769904+(-0.242046--0.752658))+0-27.3--0.0278460000000044</f>
        <v>1206.0685540000002</v>
      </c>
      <c r="K97" s="3">
        <f>1735.4+(238.8-745.9)+(-2.655162+(-0.365364--1.141227))+0-27.6--0.0422280000000016</f>
        <v>1198.8629290000003</v>
      </c>
      <c r="L97" s="3">
        <f>1557.2+(247.2-648.6)+(-1.588344+(-0.252144--0.661572))+0-28--0.0285600000000045</f>
        <v>1126.6496439999999</v>
      </c>
      <c r="M97" s="3">
        <f>1509.4+(228.7-566.3)+(-3.079176+(-0.466548--1.155252))+0-28.3--0.0577319999999988</f>
        <v>1141.1672600000002</v>
      </c>
      <c r="N97" s="3">
        <f>1603.4+(190.2-517.7)+(-0.817734+(-0.097002--0.264027))+0-29.4--0.014993999999997</f>
        <v>1245.8642849999999</v>
      </c>
      <c r="O97" s="3">
        <f>1822.4+(182.8-618.3)+(0.929424+(0.093228-0.315333))+0-29.4-0.014993999999997</f>
        <v>1358.1923250000002</v>
      </c>
      <c r="P97" s="3">
        <f>1902.8+(186.1-594.4)+(-4.85214+(-0.474555--1.51572))+0-30--0.0764999999999956</f>
        <v>1460.7655249999998</v>
      </c>
      <c r="Q97" s="3">
        <f>1927.9+(183.1-560.4)+(0.983229+(0.093381-0.285804))+0-30.3-0.0154529999999969</f>
        <v>1521.0753530000002</v>
      </c>
      <c r="R97" s="3">
        <f>2047.2+(197.8-684.8)+(-1.044072+(-0.100878--0.349248))+0-28.3--0.0144329999999971</f>
        <v>1531.1187310000003</v>
      </c>
      <c r="S97" s="3">
        <f>2130+(255.3-854.3)+(0+(0-0))+0-27.3-0</f>
        <v>1503.7</v>
      </c>
      <c r="T97" s="3">
        <f>2122+(259.9-879.2)+(-3.24666+(-0.397647--1.345176))+0-30--0.0459000000000017</f>
        <v>1470.4467689999999</v>
      </c>
      <c r="U97" s="3">
        <f>2133+(234.3-902.7)+(3.26349+(0.358479-1.381131))+0-29.9-0.0457470000000017</f>
        <v>1436.8950909999999</v>
      </c>
      <c r="V97" s="3">
        <f>2124.1+(235.5-887)+(-2.166582+(-0.24021--0.90474))+0-29.7--0.0302940000000047</f>
        <v>1441.4282419999997</v>
      </c>
      <c r="W97" s="3">
        <f>1998.4+(241.1-780)+(-4.076736+(-0.491844--1.5912))+0-27.9--0.0569159999999988</f>
        <v>1428.6795359999999</v>
      </c>
      <c r="X97" s="3">
        <f>1691.8+(232.1-489.1)+(-0.862818+(-0.118371--0.249441))+0-28.2--0.0143819999999971</f>
        <v>1405.8826340000001</v>
      </c>
      <c r="Y97" s="3">
        <f>1681.6+(229.2-478.8)+(-1.715232+(-0.233784--0.488376))+0-30--0.0306000000000048</f>
        <v>1400.56996</v>
      </c>
      <c r="Z97" s="3">
        <f>1835+(257.8-611)+(-1.8717+(-0.262956--0.62322))+0-29.4--0.0299880000000047</f>
        <v>1450.9185519999999</v>
      </c>
      <c r="AA97" s="3">
        <f>2147.1+(256.7-585.4)+(-3.285063+(-0.392751--0.895662))+0-30--0.0459000000000017</f>
        <v>1785.6637479999999</v>
      </c>
      <c r="AB97" s="3">
        <f>2139.6+(256.2-534.8)+(-2.182392+(-0.261324--0.545496))+0-28.8--0.0293760000000046</f>
        <v>1830.331156</v>
      </c>
      <c r="AC97" s="3">
        <f>2049.8+(255.5-563.3)+(-2.090796+(-0.26061--0.574566))+0-28.2--0.0287640000000045</f>
        <v>1712.0519240000001</v>
      </c>
      <c r="AD97">
        <f t="shared" si="1"/>
        <v>34133.250205999997</v>
      </c>
      <c r="AE97" s="3">
        <f>2183+(253-554.8)+(0+(0-0))+0-28-0</f>
        <v>1853.2</v>
      </c>
    </row>
    <row r="98" spans="1:31" s="2" customFormat="1" x14ac:dyDescent="0.25">
      <c r="A98">
        <v>89</v>
      </c>
      <c r="B98">
        <v>4</v>
      </c>
      <c r="C98">
        <v>5</v>
      </c>
      <c r="D98">
        <v>1</v>
      </c>
      <c r="E98">
        <v>3</v>
      </c>
      <c r="F98" s="3">
        <f>1832.9+(89.7-394.2)+(-2.804337+(-0.137241--0.603126))+0-28.5--0.0436050000000016</f>
        <v>1497.6051530000002</v>
      </c>
      <c r="G98" s="3">
        <f>1625.2+(88.8-371.4)+(-3.315408+(-0.181152--0.757656))+0-28.8--0.0587519999999987</f>
        <v>1311.119848</v>
      </c>
      <c r="H98" s="3">
        <f>1624.2+(85.3-457.9)+(-0.828342+(-0.043503--0.233529))+0-27.9--0.0142289999999972</f>
        <v>1223.0759129999999</v>
      </c>
      <c r="I98" s="3">
        <f>1618.4+(79.2-491.4)+(-2.476152+(-0.121176--0.751842))+0-29.1--0.0445230000000017</f>
        <v>1175.2990370000002</v>
      </c>
      <c r="J98" s="3">
        <f>1693+(82-570.5)+(-1.72686+(-0.08364--0.58191))+0-28.5--0.0290700000000045</f>
        <v>1174.8004800000001</v>
      </c>
      <c r="K98" s="3">
        <f>1711.2+(78.2-592)+(-6.108984+(-0.279174--2.11344))+0-28.2--0.100674</f>
        <v>1165.0259560000002</v>
      </c>
      <c r="L98" s="3">
        <f>1643.6+(73.6-567.5)+(-1.676472+(-0.075072--0.57885))+0-28--0.0285600000000045</f>
        <v>1120.5558659999997</v>
      </c>
      <c r="M98" s="3">
        <f>1646.4+(53.6-462.6)+(-3.358656+(-0.109344--0.943704))+0-28--0.0571199999999988</f>
        <v>1206.932824</v>
      </c>
      <c r="N98" s="3">
        <f>1781.3+(53.5-486.7)+(-1.816926+(-0.05457--0.496434))+0-30--0.0306000000000048</f>
        <v>1316.7555379999999</v>
      </c>
      <c r="O98" s="3">
        <f>1824.7+(69.8-390.1)+(-1.861194+(-0.071196--0.397902))+0-30--0.0306000000000048</f>
        <v>1472.8961120000001</v>
      </c>
      <c r="P98" s="3">
        <f>1927.6+(69.4-366)+(-2.949228+(-0.106182--0.55998))+0-31--0.0474300000000018</f>
        <v>1597.5520000000001</v>
      </c>
      <c r="Q98" s="3">
        <f>1970.9+(69.9-359)+(-2.010318+(-0.071298--0.36618))+0-31--0.0316200000000049</f>
        <v>1649.1161840000002</v>
      </c>
      <c r="R98" s="3">
        <f>2113.7+(54.2-440)+(-2.155974+(-0.055284--0.4488))+0-28--0.0285600000000045</f>
        <v>1698.1661019999999</v>
      </c>
      <c r="S98" s="3">
        <f>2136.6+(53.4-494.8)+(-3.268998+(-0.081702--0.757044))+0-28--0.0428400000000016</f>
        <v>1664.6491839999999</v>
      </c>
      <c r="T98" s="3">
        <f>2155+(33.3-550.9)+(0+(0-0))+0-30-0</f>
        <v>1607.4</v>
      </c>
      <c r="U98" s="3">
        <f>2148.6+(47.6-540.1)+(-1.095786+(-0.024276--0.275451))+0-29--0.0147899999999971</f>
        <v>1626.2701789999999</v>
      </c>
      <c r="V98" s="3">
        <f>2146.5+(48.4-544.6)+(-5.473575+(-0.12342--1.38873))+0-29--0.0739499999999958</f>
        <v>1617.1656849999999</v>
      </c>
      <c r="W98" s="3">
        <f>2129.8+(48.6-524.4)+(-3.258594+(-0.074358--0.802332))+0-30--0.0459000000000017</f>
        <v>1621.5152800000003</v>
      </c>
      <c r="X98" s="3">
        <f>1933.6+(57.9-356.6)+(-2.958408+(-0.088587--0.545598))+0-28--0.0428400000000016</f>
        <v>1604.4414429999999</v>
      </c>
      <c r="Y98" s="3">
        <f>1834.4+(84.8-306)+(0+(0-0))+0-28-0</f>
        <v>1585.2</v>
      </c>
      <c r="Z98" s="3">
        <f>1877.4+(135.2-370.7)+(0+(0-0))+0-28-0</f>
        <v>1613.9</v>
      </c>
      <c r="AA98" s="3">
        <f>2092.3+(162.8-318)+(-2.134146+(-0.166056--0.32436))+0-27--0.0275400000000043</f>
        <v>1908.1516980000001</v>
      </c>
      <c r="AB98" s="3">
        <f>2160.3+(185.9-383.8)+(0+(0-0))+0-28-0</f>
        <v>1934.4</v>
      </c>
      <c r="AC98" s="3">
        <f>2150+(163.5-504.4)+(2.193+(0.16677-0.514488))+0-28-0.0285600000000045</f>
        <v>1782.9167219999999</v>
      </c>
      <c r="AD98">
        <f t="shared" si="1"/>
        <v>36174.911204000004</v>
      </c>
      <c r="AE98" s="3">
        <f>2167.5+(153.2-330.9)+(0+(0-0))+0-28-0</f>
        <v>1961.8</v>
      </c>
    </row>
    <row r="99" spans="1:31" s="2" customFormat="1" x14ac:dyDescent="0.25">
      <c r="A99">
        <v>89</v>
      </c>
      <c r="B99">
        <v>4</v>
      </c>
      <c r="C99">
        <v>6</v>
      </c>
      <c r="D99">
        <v>2</v>
      </c>
      <c r="E99">
        <v>1</v>
      </c>
      <c r="F99" s="3">
        <f>2083.6+(77.7-552.5)+(0+(0-0))+0-28.5-0</f>
        <v>1580.3</v>
      </c>
      <c r="G99" s="3">
        <f>1993+(61.6-651.7)+(-3.04929+(-0.094248--0.997101))+0-28.5--0.0436050000000016</f>
        <v>1372.2971680000001</v>
      </c>
      <c r="H99" s="3">
        <f>1966.9+(71.8-724.7)+(-5.015595+(-0.18309--1.847985))+0-28.8--0.0734399999999958</f>
        <v>1281.92274</v>
      </c>
      <c r="I99" s="3">
        <f>1872.4+(74.4-669)+(-4.77462+(-0.18972--1.70595))+0-29.1--0.0742049999999958</f>
        <v>1245.5158150000002</v>
      </c>
      <c r="J99" s="3">
        <f>1837.3+(74.4-656)+(-0.937023+(-0.037944--0.33456))+0-28.8--0.0146879999999971</f>
        <v>1226.2742809999997</v>
      </c>
      <c r="K99" s="3">
        <f>1789.1+(80.4-618.7)+(-3.649764+(-0.164016--1.262148))+0-28.8--0.0587519999999987</f>
        <v>1219.5071199999998</v>
      </c>
      <c r="L99" s="3">
        <f>1734.3+(86.3-591.9)+(-0.884493+(-0.044013--0.301869))+0-29--0.0147899999999971</f>
        <v>1199.0881529999999</v>
      </c>
      <c r="M99" s="3">
        <f>1825+(121.2-583.4)+(0.93075+(0.061812-0.297534))+0-29-0.0147899999999971</f>
        <v>1334.4802380000001</v>
      </c>
      <c r="N99" s="3">
        <f>1927.5+(127.9-510.9)+(-1.96605+(-0.130458--0.521118))+0-30--0.0306000000000048</f>
        <v>1512.9552100000001</v>
      </c>
      <c r="O99" s="3">
        <f>2235.9+(128.6-677.7)+(1.140309+(0.065586-0.345627))+0-30-0.015299999999997</f>
        <v>1657.6449680000001</v>
      </c>
      <c r="P99" s="3">
        <f>2497+(126.4-796.3)+(0+(0-0))+0-31-0</f>
        <v>1796.1</v>
      </c>
      <c r="Q99" s="3">
        <f>2500.5+(117.6-718.2)+(2.55051+(0.119952-0.732564))+0-30-0.0306000000000048</f>
        <v>1871.8072979999999</v>
      </c>
      <c r="R99" s="3">
        <f>2489.3+(114.2-673.8)+(0+(0-0))+0-28-0</f>
        <v>1901.7000000000003</v>
      </c>
      <c r="S99" s="3">
        <f>2486.9+(99.9-695.1)+(-1.268319+(-0.050949--0.354501))+0-28--0.0142799999999972</f>
        <v>1862.7495130000002</v>
      </c>
      <c r="T99" s="3">
        <f>2499.8+(98-726.6)+(0+(0-0))+0-30-0</f>
        <v>1841.2000000000003</v>
      </c>
      <c r="U99" s="3">
        <f>2506.9+(97.8-759.1)+(-2.557038+(-0.099756--0.774282))+0-30--0.0306000000000048</f>
        <v>1813.7480880000001</v>
      </c>
      <c r="V99" s="3">
        <f>2502.8+(96-740.7)+(0+(0-0))+0-30-0</f>
        <v>1828.1000000000001</v>
      </c>
      <c r="W99" s="3">
        <f>2501+(107.7-777.4)+(-2.55102+(-0.109854--0.792948))+0-30--0.0306000000000048</f>
        <v>1799.4626740000003</v>
      </c>
      <c r="X99" s="3">
        <f>2370.5+(122.8-722.1)+(-4.83582+(-0.250512--1.473084))+0-28--0.0571199999999988</f>
        <v>1739.6438719999996</v>
      </c>
      <c r="Y99" s="3">
        <f>2030.7+(145.2-473.4)+(-1.035657+(-0.074052--0.241434))+0-29--0.0147899999999971</f>
        <v>1672.6465149999999</v>
      </c>
      <c r="Z99" s="3">
        <f>2219.3+(156.8-624.3)+(-1.131843+(-0.079968--0.318393))+0-27--0.0137699999999973</f>
        <v>1723.9203520000001</v>
      </c>
      <c r="AA99" s="3">
        <f>2480.2+(174.1-608)+(0+(0-0))+0-29-0</f>
        <v>2017.2999999999997</v>
      </c>
      <c r="AB99" s="3">
        <f>2479.5+(177.7-583.8)+(-1.264545+(-0.090627--0.297738))+0-30--0.015299999999997</f>
        <v>2042.3578660000003</v>
      </c>
      <c r="AC99" s="3">
        <f>2484.5+(175.5-728.9)+(-1.267095+(-0.089505--0.371739))+0-30--0.015299999999997</f>
        <v>1900.130439</v>
      </c>
      <c r="AD99">
        <f t="shared" si="1"/>
        <v>39440.852310000009</v>
      </c>
      <c r="AE99" s="3">
        <f>2476.4+(186.9-572.8)+(0+(0-0))+0-29.7-0</f>
        <v>2060.8000000000002</v>
      </c>
    </row>
    <row r="100" spans="1:31" s="2" customFormat="1" x14ac:dyDescent="0.25">
      <c r="A100">
        <v>89</v>
      </c>
      <c r="B100">
        <v>4</v>
      </c>
      <c r="C100">
        <v>7</v>
      </c>
      <c r="D100">
        <v>3</v>
      </c>
      <c r="E100">
        <v>1</v>
      </c>
      <c r="F100" s="3">
        <f>2438.6+(103.4-848.6)+(-2.487372+(-0.105468--0.865572))+0-31--0.0316200000000049</f>
        <v>1660.7043519999997</v>
      </c>
      <c r="G100" s="3">
        <f>2170.6+(102.2-785.5)+(-1.107006+(-0.052122--0.400605))+0-29--0.0147899999999971</f>
        <v>1457.5562669999999</v>
      </c>
      <c r="H100" s="3">
        <f>2070.5+(103.3-801.7)+(-3.167865+(-0.158049--1.226601))+0-28--0.0428400000000016</f>
        <v>1342.043527</v>
      </c>
      <c r="I100" s="3">
        <f>2053+(103.6-819.4)+(-2.09406+(-0.105672--0.835788))+0-28--0.0285600000000045</f>
        <v>1307.8646160000001</v>
      </c>
      <c r="J100" s="3">
        <f>2050.4+(96.7-835.4)+(-5.22852+(-0.246585--2.13027))+0-19--0.0484499999999972</f>
        <v>1289.4036150000002</v>
      </c>
      <c r="K100" s="3">
        <f>1958.9+(94.7-763.9)+(-3.996156+(-0.193188--1.558356))+0-18--0.0367199999999992</f>
        <v>1269.1057320000004</v>
      </c>
      <c r="L100" s="3">
        <f>1945+(75.8-767.2)+(-3.9678+(-0.154632--1.565088))+0-6.3--0.0128519999999997</f>
        <v>1244.755508</v>
      </c>
      <c r="M100" s="3">
        <f>1963+(79.7-676.8)+(-1.00113+(-0.040647--0.345168))+0-5.4--0.00275399999999945</f>
        <v>1359.806145</v>
      </c>
      <c r="N100" s="3">
        <f>2148+(84.7-679.6)+(0+(0-0))+0-4.8-0</f>
        <v>1548.3</v>
      </c>
      <c r="O100" s="3">
        <f>2329.7+(93.9-700.1)+(-2.376294+(-0.095778--0.714102))+0-3.9--0.00397800000000062</f>
        <v>1717.8460079999998</v>
      </c>
      <c r="P100" s="3">
        <f>2434.6+(92.5-694.7)+(-3.724938+(-0.141525--1.062891))+0-3.6--0.00550800000000021</f>
        <v>1826.0019359999999</v>
      </c>
      <c r="Q100" s="3">
        <f>2472.1+(94-669.7)+(-1.260771+(-0.04794--0.341547))+0-1.2--0.000611999999999878</f>
        <v>1894.233448</v>
      </c>
      <c r="R100" s="3">
        <f>2395.4+(61-599.1)+(0+(0-0))+0-1.2-0</f>
        <v>1856.1000000000001</v>
      </c>
      <c r="S100" s="3">
        <f>2352.9+(95.6-557.1)+(0+(0-0))+0-1.2-0</f>
        <v>1890.2</v>
      </c>
      <c r="T100" s="3">
        <f>2463.4+(96-698.7)+(-2.512668+(-0.09792--0.712674))+0-0-0</f>
        <v>1858.8020860000001</v>
      </c>
      <c r="U100" s="3">
        <f>2463.7+(92.6-692.6)+(3.769461+(0.141678-1.059678))+0-1.2-0.00183600000000007</f>
        <v>1865.3496249999998</v>
      </c>
      <c r="V100" s="3">
        <f>2449.5+(95-678.6)+(1.249245+(0.04845-0.346086))+0-1.2-0.000611999999999878</f>
        <v>1865.650997</v>
      </c>
      <c r="W100" s="3">
        <f>2449.8+(93.6-707.4)+(-2.498796+(-0.095472--0.721548))+0-1.2--0.00122400000000019</f>
        <v>1832.9285040000002</v>
      </c>
      <c r="X100" s="3">
        <f>2432.1+(93.4-717.5)+(-6.201855+(-0.23817--1.829625))+0-1.2--0.00305999999999983</f>
        <v>1802.1926599999999</v>
      </c>
      <c r="Y100" s="3">
        <f>2237.5+(121.8-603.4)+(-2.28225+(-0.124236--0.615468))+0-2.4--0.00244800000000038</f>
        <v>1751.7114300000001</v>
      </c>
      <c r="Z100" s="3">
        <f>2355.3+(126.6-724.3)+(-1.201203+(-0.064566--0.369393))+0-2.1--0.00107099999999979</f>
        <v>1754.6046950000004</v>
      </c>
      <c r="AA100" s="3">
        <f>2463.7+(190.1-576.7)+(-3.769461+(-0.290853--0.882351))+0-2.1--0.00321300000000012</f>
        <v>2071.8252499999999</v>
      </c>
      <c r="AB100" s="3">
        <f>2463.2+(203.1-550)+(-5.024928+(-0.414324--1.122))+0-3--0.00611999999999987</f>
        <v>2108.9888679999999</v>
      </c>
      <c r="AC100" s="3">
        <f>2461.8+(161.5-656.6)+(-5.022072+(-0.32946--1.339464))+0-2.7--0.00550799999999988</f>
        <v>1959.9934400000002</v>
      </c>
      <c r="AD100">
        <f t="shared" si="1"/>
        <v>40535.968709000001</v>
      </c>
      <c r="AE100" s="3">
        <f>2471.9+(203.3-554.7)+(0+(0-0))+0-3-0</f>
        <v>2117.5</v>
      </c>
    </row>
    <row r="101" spans="1:31" s="2" customFormat="1" x14ac:dyDescent="0.25">
      <c r="A101">
        <v>89</v>
      </c>
      <c r="B101">
        <v>4</v>
      </c>
      <c r="C101">
        <v>8</v>
      </c>
      <c r="D101">
        <v>4</v>
      </c>
      <c r="E101">
        <v>1</v>
      </c>
      <c r="F101" s="3">
        <f>2412.2+(78.4-783.8)+(-6.15111+(-0.19992--1.99869))+0-4.2--0.0107099999999994</f>
        <v>1698.2583699999998</v>
      </c>
      <c r="G101" s="3">
        <f>2352.8+(78.9-909.8)+(-1.199928+(-0.040239--0.463998))+0-23.7--0.0120869999999976</f>
        <v>1497.4359180000001</v>
      </c>
      <c r="H101" s="3">
        <f>2226.8+(85.8-875.8)+(-2.271336+(-0.087516--0.893316))+0-25.5--0.0260100000000041</f>
        <v>1409.8604740000003</v>
      </c>
      <c r="I101" s="3">
        <f>2179.4+(91.2-878.8)+(-5.55747+(-0.23256--2.24094))+0-28.5--0.0726749999999959</f>
        <v>1359.8235850000001</v>
      </c>
      <c r="J101" s="3">
        <f>1995.3+(88.8-719.1)+(-4.070412+(-0.181152--1.466964))+0-28.5--0.0581399999999988</f>
        <v>1333.7735400000001</v>
      </c>
      <c r="K101" s="3">
        <f>1970.4+(92.8-699.3)+(-5.02452+(-0.23664--1.783215))+0-29--0.0739499999999958</f>
        <v>1331.496005</v>
      </c>
      <c r="L101" s="3">
        <f>1969+(81.4-725.3)+(-3.01257+(-0.124542--1.109709))+0-28.5--0.0436050000000016</f>
        <v>1294.6162019999999</v>
      </c>
      <c r="M101" s="3">
        <f>2018.2+(103.8-677.7)+(0+(0-0))+0-28.5-0</f>
        <v>1415.8</v>
      </c>
      <c r="N101" s="3">
        <f>2196.3+(110.1-669.3)+(-3.360339+(-0.168453--1.024029))+0-31.2--0.0477360000000018</f>
        <v>1603.4429730000004</v>
      </c>
      <c r="O101" s="3">
        <f>2365.4+(114.3-684.5)+(1.206354+(0.058293-0.349095))+0-31.4-0.0160139999999968</f>
        <v>1764.6995379999998</v>
      </c>
      <c r="P101" s="3">
        <f>2459+(110.3-658.4)+(1.25409+(0.056253-0.335784))+0-31-0.0158099999999969</f>
        <v>1880.858749</v>
      </c>
      <c r="Q101" s="3">
        <f>2459.5+(111.3-566.3)+(2.50869+(0.113526-0.577626))+0-31-0.0316200000000049</f>
        <v>1975.51297</v>
      </c>
      <c r="R101" s="3">
        <f>2455.7+(111.6-545.4)+(1.252407+(0.056916-0.278154))+0-28-0.0142799999999972</f>
        <v>1994.9168889999999</v>
      </c>
      <c r="S101" s="3">
        <f>2468.2+(87.3-568.3)+(-1.258782+(-0.044523--0.289833))+0-28--0.0142799999999972</f>
        <v>1958.2008079999998</v>
      </c>
      <c r="T101" s="3">
        <f>2473+(80.5-600.7)+(2.52246+(0.08211-0.612714))+0-29-0.0295800000000046</f>
        <v>1925.7622760000002</v>
      </c>
      <c r="U101" s="3">
        <f>2465.3+(81.4-593.8)+(-2.514606+(-0.083028--0.605676))+0-31--0.0316200000000049</f>
        <v>1919.939662</v>
      </c>
      <c r="V101" s="3">
        <f>2456.9+(77.6-566.3)+(0+(0-0))+0-29-0</f>
        <v>1939.2000000000003</v>
      </c>
      <c r="W101" s="3">
        <f>2460.9+(69.8-607.4)+(-5.020236+(-0.142392--1.239096))+0-29--0.0591599999999987</f>
        <v>1890.4356280000002</v>
      </c>
      <c r="X101" s="3">
        <f>2438.2+(59.4-613.2)+(-4.973928+(-0.121176--1.250928))+0-30--0.0611999999999987</f>
        <v>1850.6170239999997</v>
      </c>
      <c r="Y101" s="3">
        <f>2404.9+(56.6-631.9)+(-1.226499+(-0.028866--0.322269))+0-30--0.015299999999997</f>
        <v>1798.6822040000002</v>
      </c>
      <c r="Z101" s="3">
        <f>2409.4+(140.9-711.3)+(1.228794+(0.071859-0.362763))+0-31-0.0158099999999969</f>
        <v>1808.9220799999998</v>
      </c>
      <c r="AA101" s="3">
        <f>2447.4+(166.4-474.9)+(-2.496348+(-0.169728--0.484398))+0-28--0.0285600000000045</f>
        <v>2108.7468820000004</v>
      </c>
      <c r="AB101" s="3">
        <f>2494.4+(158.5-497.1)+(1.272144+(0.080835-0.253521))+0-28-0.0142799999999972</f>
        <v>2128.8851780000005</v>
      </c>
      <c r="AC101" s="3">
        <f>2483.8+(74.3-565.2)+(-1.266738+(-0.037893--0.288252))+0-28--0.0142799999999972</f>
        <v>1963.8979010000003</v>
      </c>
      <c r="AD101">
        <f t="shared" si="1"/>
        <v>41853.784855999998</v>
      </c>
      <c r="AE101" s="3">
        <f>2450.9+(166.6-435.8)+(0+(0-0))+0-28-0</f>
        <v>2153.6999999999998</v>
      </c>
    </row>
    <row r="102" spans="1:31" s="2" customFormat="1" x14ac:dyDescent="0.25">
      <c r="A102">
        <v>89</v>
      </c>
      <c r="B102">
        <v>4</v>
      </c>
      <c r="C102">
        <v>9</v>
      </c>
      <c r="D102">
        <v>5</v>
      </c>
      <c r="E102">
        <v>1</v>
      </c>
      <c r="F102" s="3">
        <f>2414+(13.1-650.5)+(-7.38684+(-0.040086--1.99053))+0-27.6--0.0844560000000032</f>
        <v>1743.64806</v>
      </c>
      <c r="G102" s="3">
        <f>2166.5+(9-608.9)+(1.104915+(0.00459-0.310539))+0-28-0.0142799999999972</f>
        <v>1539.3846859999999</v>
      </c>
      <c r="H102" s="3">
        <f>2123.1+(0-652.2)+(-4.331124+(0--1.330488))+0-28--0.0571199999999988</f>
        <v>1439.9564839999998</v>
      </c>
      <c r="I102" s="3">
        <f>2070.5+(8-660.1)+(-2.11191+(-0.00816--0.673302))+0-29--0.0295800000000046</f>
        <v>1387.982812</v>
      </c>
      <c r="J102" s="3">
        <f>2039.4+(15-652.2)+(-1.040094+(-0.00765--0.332622))+0-29--0.0147899999999971</f>
        <v>1372.4996679999999</v>
      </c>
      <c r="K102" s="3">
        <f>1911.9+(36-568.9)+(-3.900276+(-0.07344--1.160556))+0-27--0.0550799999999988</f>
        <v>1349.2419200000002</v>
      </c>
      <c r="L102" s="3">
        <f>1886.5+(46.3-596.6)+(0+(0-0))+0-29-0</f>
        <v>1307.1999999999998</v>
      </c>
      <c r="M102" s="3">
        <f>1989.3+(38.6-594.4)+(1.014543+(0.019686-0.303144))+0-29-0.0147899999999971</f>
        <v>1405.2162949999999</v>
      </c>
      <c r="N102" s="3">
        <f>2164.8+(96.7-637.2)+(-2.208096+(-0.098634--0.649944))+0-31--0.0316200000000049</f>
        <v>1591.6748340000001</v>
      </c>
      <c r="O102" s="3">
        <f>2344.9+(130.7-655.5)+(2.391798+(0.133314-0.66861))+0-32-0.0326400000000051</f>
        <v>1789.9238620000003</v>
      </c>
      <c r="P102" s="3">
        <f>2413.6+(108.2-599.9)+(0+(0-0))+0-32-0</f>
        <v>1889.8999999999999</v>
      </c>
      <c r="Q102" s="3">
        <f>2427.3+(114.3-551.7)+(2.475846+(0.116586-0.562734))+0-31.5-0.032130000000005</f>
        <v>1960.3975680000001</v>
      </c>
      <c r="R102" s="3">
        <f>2436.1+(113.7-557)+(-1.242411+(-0.057987--0.28407))+66-30--0.015299999999997</f>
        <v>2027.798972</v>
      </c>
      <c r="S102" s="3">
        <f>2454.9+(117.5-618.8)+(2.503998+(0.11985-0.631176))+66-30-0.0306000000000048</f>
        <v>1991.5620720000002</v>
      </c>
      <c r="T102" s="3">
        <f>2451.8+(99.5-625)+(1.250418+(0.050745-0.31875))+55-30-0.015299999999997</f>
        <v>1952.2671130000001</v>
      </c>
      <c r="U102" s="3">
        <f>2449.1+(90.6-601.5)+(1.249041+(0.046206-0.306765))+0-30-0.015299999999997</f>
        <v>1909.1731819999998</v>
      </c>
      <c r="V102" s="3">
        <f>2443.4+(82.7-572.9)+(-3.738402+(-0.126531--0.876537))+0-30--0.0459000000000017</f>
        <v>1920.2575040000002</v>
      </c>
      <c r="W102" s="3">
        <f>2449+(73.9-599.1)+(-4.99596+(-0.150756--1.222164))+0-30--0.0611999999999987</f>
        <v>1889.9366480000001</v>
      </c>
      <c r="X102" s="3">
        <f>2437.6+(69.5-618.7)+(-4.972704+(-0.14178--1.262148))+0-30--0.0611999999999987</f>
        <v>1854.608864</v>
      </c>
      <c r="Y102" s="3">
        <f>2354.8+(62.5-596.6)+(-4.803792+(-0.1275--1.217064))+0-30--0.0611999999999987</f>
        <v>1787.0469720000003</v>
      </c>
      <c r="Z102" s="3">
        <f>2419+(118.9-749)+(1.23369+(0.060639-0.38199))+0-30-0.015299999999997</f>
        <v>1759.797039</v>
      </c>
      <c r="AA102" s="3">
        <f>2494+(166.8-514.9)+(0+(0-0))+0-30-0</f>
        <v>2115.9</v>
      </c>
      <c r="AB102" s="3">
        <f>2494.4+(164-481.7)+(-1.272144+(-0.08364--0.245667))+0-30--0.015299999999997</f>
        <v>2145.6051830000001</v>
      </c>
      <c r="AC102" s="3">
        <f>2500.3+(132.3-579.7)+(-1.275153+(-0.067473--0.295647))+0-30--0.015299999999997</f>
        <v>2021.8683209999999</v>
      </c>
      <c r="AD102">
        <f t="shared" si="1"/>
        <v>42152.848059000004</v>
      </c>
      <c r="AE102" s="3">
        <f>2488.5+(167.8-456.3)+(0+(0-0))+0-27-0</f>
        <v>2173</v>
      </c>
    </row>
    <row r="103" spans="1:31" s="2" customFormat="1" x14ac:dyDescent="0.25">
      <c r="A103">
        <v>89</v>
      </c>
      <c r="B103">
        <v>4</v>
      </c>
      <c r="C103">
        <v>10</v>
      </c>
      <c r="D103">
        <v>6</v>
      </c>
      <c r="E103">
        <v>1</v>
      </c>
      <c r="F103" s="3">
        <f>2369.2+(60.4-652.3)+(-3.624876+(-0.092412--0.998019))+0-28--0.0428400000000016</f>
        <v>1746.6235709999999</v>
      </c>
      <c r="G103" s="3">
        <f>2237.8+(73.3-738.6)+(-1.141278+(-0.037383--0.376686))+0-27--0.0137699999999973</f>
        <v>1544.7117949999999</v>
      </c>
      <c r="H103" s="3">
        <f>2171.3+(79.2-778.4)+(-3.322089+(-0.121176--1.190952))+0-28--0.0428400000000016</f>
        <v>1441.8905270000005</v>
      </c>
      <c r="I103" s="3">
        <f>2084.8+(92.3-751.7)+(0+(0-0))+0-28-0</f>
        <v>1397.4</v>
      </c>
      <c r="J103" s="3">
        <f>2129.3+(99.7-829.3)+(2.171886+(0.101694-0.845886))+0-28-0.0285600000000045</f>
        <v>1373.0991340000003</v>
      </c>
      <c r="K103" s="3">
        <f>2109.7+(88.6-821)+(-4.303788+(-0.180744--1.67484))+0-28--0.0571199999999988</f>
        <v>1346.5474279999996</v>
      </c>
      <c r="L103" s="3">
        <f>2024.4+(76-756.4)+(-2.064888+(-0.07752--0.771528))+0-28.5--0.0290700000000045</f>
        <v>1314.1581900000001</v>
      </c>
      <c r="M103" s="3">
        <f>2031+(56.2-659.8)+(3.10743+(0.085986-1.009494))+0-28.2-0.0431460000000016</f>
        <v>1401.340776</v>
      </c>
      <c r="N103" s="3">
        <f>2174.4+(57.2-601.3)+(-1.108944+(-0.029172--0.306663))+0-27.9--0.0142289999999972</f>
        <v>1601.582776</v>
      </c>
      <c r="O103" s="3">
        <f>2342.7+(63.8-621.9)+(0+(0-0))+0-31.2-0</f>
        <v>1753.3999999999999</v>
      </c>
      <c r="P103" s="3">
        <f>2476.6+(93-656.4)+(6.31533+(0.23715-1.67382))+0-30.3-0.0772649999999956</f>
        <v>1887.701395</v>
      </c>
      <c r="Q103" s="3">
        <f>2471.3+(81.3-579.5)+(1.260363+(0.041463-0.295545))+0-30.9-0.0157589999999969</f>
        <v>1943.1905220000001</v>
      </c>
      <c r="R103" s="3">
        <f>2468.3+(87.6-567)+(1.258833+(0.044676-0.28917))+0-28.2-0.0143819999999971</f>
        <v>1961.699957</v>
      </c>
      <c r="S103" s="3">
        <f>2470.3+(74.3-592.7)+(0+(0-0))+0-29.1-0</f>
        <v>1922.8000000000002</v>
      </c>
      <c r="T103" s="3">
        <f>2485.2+(61.4-624.1)+(0+(0-0))+0-30.3-0</f>
        <v>1892.1999999999998</v>
      </c>
      <c r="U103" s="3">
        <f>2498.6+(64.8-637.9)+(-3.822858+(-0.099144--0.975987))+0-30.3--0.0463590000000018</f>
        <v>1892.300344</v>
      </c>
      <c r="V103" s="3">
        <f>2486.1+(48.6-656)+(0+(0-0))+0-30-0</f>
        <v>1848.6999999999998</v>
      </c>
      <c r="W103" s="3">
        <f>2477.6+(57.1-661)+(-6.31788+(-0.145605--1.68555))+0-29.1--0.0742049999999958</f>
        <v>1839.8962699999997</v>
      </c>
      <c r="X103" s="3">
        <f>2491.8+(76-744.7)+(-5.083272+(-0.15504--1.519188))+0-30.3--0.0618119999999987</f>
        <v>1789.1426880000001</v>
      </c>
      <c r="Y103" s="3">
        <f>2372.2+(48.9-677.4)+(-4.839288+(-0.099756--1.381896))+0-16.4--0.0334559999999993</f>
        <v>1723.7763079999995</v>
      </c>
      <c r="Z103" s="3">
        <f>2480+(63.8-770)+(-1.2648+(-0.032538--0.3927))+0-10.8--0.0055079999999989</f>
        <v>1762.10087</v>
      </c>
      <c r="AA103" s="3">
        <f>2535.5+(69.6-542.5)+(-2.58621+(-0.070992--0.55335))+0-8.4--0.00856800000000134</f>
        <v>2052.1047159999998</v>
      </c>
      <c r="AB103" s="3">
        <f>2520.1+(68.1-506.5)+(-2.570502+(-0.069462--0.51663))+0-6--0.00612000000000096</f>
        <v>2073.5827859999999</v>
      </c>
      <c r="AC103" s="3">
        <f>2518.8+(64.1-622)+(-1.284588+(-0.032691--0.31722))+0-12.7--0.00647699999999871</f>
        <v>1947.206418</v>
      </c>
      <c r="AD103">
        <f t="shared" si="1"/>
        <v>41457.156471000002</v>
      </c>
      <c r="AE103" s="3">
        <f>2528.4+(70.3-459.6)+(0+(0-0))+0-9.6-0</f>
        <v>2129.5</v>
      </c>
    </row>
    <row r="104" spans="1:31" s="2" customFormat="1" x14ac:dyDescent="0.25">
      <c r="A104">
        <v>89</v>
      </c>
      <c r="B104">
        <v>4</v>
      </c>
      <c r="C104">
        <v>11</v>
      </c>
      <c r="D104">
        <v>7</v>
      </c>
      <c r="E104">
        <v>1</v>
      </c>
      <c r="F104" s="3">
        <f>2439.4+(4.2-680.1)+(0+(0-0))+0-28.2-0</f>
        <v>1735.3</v>
      </c>
      <c r="G104" s="3">
        <f>2308.5+(9-740.4)+(-2.35467+(-0.00918--0.755208))+0-29.1--0.0296820000000046</f>
        <v>1546.4210400000002</v>
      </c>
      <c r="H104" s="3">
        <f>2309.3+(9-853.7)+(0+(0-0))+0-27.6-0</f>
        <v>1437.0000000000002</v>
      </c>
      <c r="I104" s="3">
        <f>2302.9+(14-901.2)+(-4.697916+(-0.02856--1.838448))+0-27.9--0.0569159999999988</f>
        <v>1384.9688879999999</v>
      </c>
      <c r="J104" s="3">
        <f>2309.9+(14.9-945.7)+(-2.356098+(-0.015198--0.964614))+0-27.9--0.0284580000000044</f>
        <v>1349.8217759999998</v>
      </c>
      <c r="K104" s="3">
        <f>2137+(13.5-787)+(-5.44935+(-0.034425--2.00685))+0-28.5--0.0726749999999959</f>
        <v>1331.59575</v>
      </c>
      <c r="L104" s="3">
        <f>2005.2+(2-729.9)+(-2.045304+(-0.00204--0.744498))+0-28--0.0285600000000045</f>
        <v>1248.0257140000001</v>
      </c>
      <c r="M104" s="3">
        <f>2008+(3-714.8)+(0+(0-0))+0-29-0</f>
        <v>1267.2</v>
      </c>
      <c r="N104" s="3">
        <f>2028.3+(54.8-696.1)+(0+(0-0))+0-30-0</f>
        <v>1357</v>
      </c>
      <c r="O104" s="3">
        <f>2066.8+(88.6-656.7)+(-2.108136+(-0.090372--0.669834))+0-9--0.00918000000000144</f>
        <v>1488.1805060000004</v>
      </c>
      <c r="P104" s="3">
        <f>2064.8+(108.7-575.3)+(0+(0-0))+0-10-0</f>
        <v>1588.2000000000003</v>
      </c>
      <c r="Q104" s="3">
        <f>2131.4+(108.2-558.1)+(-1.087014+(-0.055182--0.284631))+0-29--0.0147899999999971</f>
        <v>1651.6572249999999</v>
      </c>
      <c r="R104" s="3">
        <f>2401.7+(129.6-803.9)+(-1.224867+(-0.066096--0.409989))+0-26.5--0.0135149999999973</f>
        <v>1700.032541</v>
      </c>
      <c r="S104" s="3">
        <f>2439.3+(173.6-880.7)+(2.488086+(0.177072-0.898314))+0-26.5-0.0270300000000042</f>
        <v>1707.4398140000003</v>
      </c>
      <c r="T104" s="3">
        <f>2427.5+(185.8-907)+(-1.238025+(-0.094758--0.46257))+0-26.5--0.0135149999999973</f>
        <v>1678.9433020000001</v>
      </c>
      <c r="U104" s="3">
        <f>2464.9+(234.2-999.9)+(-1.257099+(-0.119442--0.509949))+0-30--0.015299999999997</f>
        <v>1668.348708</v>
      </c>
      <c r="V104" s="3">
        <f>2464.8+(231.7-1011.8)+(1.257048+(0.118167-0.516018))+0-29-0.0147899999999971</f>
        <v>1656.5444070000003</v>
      </c>
      <c r="W104" s="3">
        <f>2400.5+(226.2-943.5)+(-4.89702+(-0.461448--1.92474))+0-28--0.0571199999999988</f>
        <v>1651.823392</v>
      </c>
      <c r="X104" s="3">
        <f>2247.5+(219.5-840)+(-1.146225+(-0.111945--0.4284))+0-27--0.0137699999999973</f>
        <v>1599.184</v>
      </c>
      <c r="Y104" s="3">
        <f>2226.7+(217.4-848.2)+(-3.406851+(-0.332622--1.297746))+0-27.5--0.0420750000000016</f>
        <v>1566.0003479999998</v>
      </c>
      <c r="Z104" s="3">
        <f>2225.1+(246.4-850.6)+(0+(0-0))+0-28-0</f>
        <v>1592.8999999999999</v>
      </c>
      <c r="AA104" s="3">
        <f>2344+(251.3-654.8)+(-1.19544+(-0.128163--0.333948))+0-28--0.0142799999999972</f>
        <v>1911.524625</v>
      </c>
      <c r="AB104" s="3">
        <f>2348.2+(226.2-572.8)+(-2.395164+(-0.230724--0.584256))+0-28--0.0285600000000045</f>
        <v>1971.5869279999999</v>
      </c>
      <c r="AC104" s="3">
        <f>2345.6+(243-681.8)+(1.196256+(0.12393-0.347718))+0-27.5-0.0140249999999972</f>
        <v>1880.2584429999999</v>
      </c>
      <c r="AD104">
        <f t="shared" si="1"/>
        <v>37969.957407000002</v>
      </c>
      <c r="AE104" s="3">
        <f>2341.4+(251.9-584.4)+(0+(0-0))+0-28-0</f>
        <v>1980.9</v>
      </c>
    </row>
    <row r="105" spans="1:31" s="2" customFormat="1" x14ac:dyDescent="0.25">
      <c r="A105">
        <v>89</v>
      </c>
      <c r="B105">
        <v>4</v>
      </c>
      <c r="C105">
        <v>12</v>
      </c>
      <c r="D105">
        <v>1</v>
      </c>
      <c r="E105">
        <v>1</v>
      </c>
      <c r="F105" s="3">
        <f>2287.7+(196.9-797.5)+(2.333454+(0.200838-0.81345))+0-28-0.0285600000000045</f>
        <v>1660.7922819999999</v>
      </c>
      <c r="G105" s="3">
        <f>2180.2+(202.2-846.4)+(-1.111902+(-0.103122--0.431664))+0-27--0.0137699999999973</f>
        <v>1508.2304099999999</v>
      </c>
      <c r="H105" s="3">
        <f>2107.2+(218.9-917.6)+(-1.074672+(-0.111639--0.467976))+0-27--0.0137699999999973</f>
        <v>1380.7954349999998</v>
      </c>
      <c r="I105" s="3">
        <f>2083.8+(226.3-949)+(0+(0-0))+0-27-0</f>
        <v>1334.1000000000001</v>
      </c>
      <c r="J105" s="3">
        <f>2076.4+(230.9-957.5)+(-3.176892+(-0.353277--1.464975))+0-27--0.0413100000000016</f>
        <v>1320.7761160000002</v>
      </c>
      <c r="K105" s="3">
        <f>1960.1+(231.1-839.5)+(-4.998255+(-0.589305--2.140725))+0-27.5--0.070124999999996</f>
        <v>1320.8232899999998</v>
      </c>
      <c r="L105" s="3">
        <f>1824+(231.6-743.4)+(0+(0-0))+0-27-0</f>
        <v>1285.2</v>
      </c>
      <c r="M105" s="3">
        <f>1874.8+(228.7-677)+(1.912296+(0.233274-0.69054))+0-29-0.0295800000000046</f>
        <v>1398.9254500000002</v>
      </c>
      <c r="N105" s="3">
        <f>2151.4+(232.9-736)+(1.097214+(0.118779-0.37536))+0-31-0.0158099999999969</f>
        <v>1618.1248230000001</v>
      </c>
      <c r="O105" s="3">
        <f>2305.7+(247.5-743.4)+(3.527721+(0.378675-1.137402))+0-30-0.0459000000000017</f>
        <v>1782.5230939999997</v>
      </c>
      <c r="P105" s="3">
        <f>2438.7+(253-766.9)+(4.974948+(0.51612-1.564476))+0-31-0.0632399999999986</f>
        <v>1897.6633519999998</v>
      </c>
      <c r="Q105" s="3">
        <f>2460.1+(253.1-711.1)+(-1.254651+(-0.129081--0.362661))+0-31--0.0158099999999969</f>
        <v>1970.0947390000001</v>
      </c>
      <c r="R105" s="3">
        <f>2521.9+(258.3-741.1)+(0+(0-0))+0-29-0</f>
        <v>2010.1000000000001</v>
      </c>
      <c r="S105" s="3">
        <f>2549.1+(262.7-797.4)+(0+(0-0))+0-29-0</f>
        <v>1985.3999999999999</v>
      </c>
      <c r="T105" s="3">
        <f>2541.7+(268.7-824.8)+(1.296267+(0.137037-0.420648))+0-29-0.0147899999999971</f>
        <v>1957.5978660000001</v>
      </c>
      <c r="U105" s="3">
        <f>2534.1+(266.7-811.1)+(1.292391+(0.136017-0.413661))+0-30-0.015299999999997</f>
        <v>1960.6994469999997</v>
      </c>
      <c r="V105" s="3">
        <f>2502.2+(265.7-781.4)+(2.552244+(0.271014-0.797028))+0-31-0.0316200000000049</f>
        <v>1957.4946099999997</v>
      </c>
      <c r="W105" s="3">
        <f>2484.8+(257-782.3)+(0+(0-0))+0-31-0</f>
        <v>1928.5000000000002</v>
      </c>
      <c r="X105" s="3">
        <f>2476.7+(241.6-802.3)+(-2.526234+(-0.246432--0.818346))+0-29--0.0295800000000046</f>
        <v>1885.0752599999998</v>
      </c>
      <c r="Y105" s="3">
        <f>2436.9+(231.3-805.7)+(0+(0-0))+0-29-0</f>
        <v>1833.5</v>
      </c>
      <c r="Z105" s="3">
        <f>2461+(265.7-864.5)+(-1.25511+(-0.135507--0.440895))+0-30--0.015299999999997</f>
        <v>1831.265578</v>
      </c>
      <c r="AA105" s="3">
        <f>2544.4+(267.8-664.5)+(-2.595288+(-0.273156--0.67779))+0-29--0.0295800000000046</f>
        <v>2116.5389260000002</v>
      </c>
      <c r="AB105" s="3">
        <f>2552.8+(275.3-648.4)+(0+(0-0))+0-31-0</f>
        <v>2148.7000000000003</v>
      </c>
      <c r="AC105" s="3">
        <f>2474.6+(238.7-668.4)+(-1.262046+(-0.121737--0.340884))+0-28--0.0142799999999972</f>
        <v>2015.8713809999999</v>
      </c>
      <c r="AD105">
        <f t="shared" si="1"/>
        <v>42108.792058999992</v>
      </c>
      <c r="AE105" s="3">
        <f>2546.4+(268.8-638.7)+(0+(0-0))+0-31-0</f>
        <v>2145.5</v>
      </c>
    </row>
    <row r="106" spans="1:31" s="2" customFormat="1" x14ac:dyDescent="0.25">
      <c r="A106">
        <v>89</v>
      </c>
      <c r="B106">
        <v>4</v>
      </c>
      <c r="C106">
        <v>13</v>
      </c>
      <c r="D106">
        <v>2</v>
      </c>
      <c r="E106">
        <v>1</v>
      </c>
      <c r="F106" s="3">
        <f>2425.9+(162.4-776.1)+(-2.474418+(-0.165648--0.791622))+0-28.5--0.0290700000000045</f>
        <v>1781.8806260000001</v>
      </c>
      <c r="G106" s="3">
        <f>2202.8+(194.5-789.9)+(-2.246856+(-0.19839--0.805698))+0-28--0.0285600000000045</f>
        <v>1577.789012</v>
      </c>
      <c r="H106" s="3">
        <f>2060.6+(216.4-785.4)+(0+(0-0))+0-28-0</f>
        <v>1463.6</v>
      </c>
      <c r="I106" s="3">
        <f>1979.2+(218.3-767.8)+(0+(0-0))+0-28-0</f>
        <v>1401.7</v>
      </c>
      <c r="J106" s="3">
        <f>1964+(214.9-771.7)+(3.00492+(0.328797-1.180701))+0-28-0.0428400000000016</f>
        <v>1381.3101759999997</v>
      </c>
      <c r="K106" s="3">
        <f>1935.2+(199.9-741.9)+(-0.986952+(-0.101949--0.378369))+0-28--0.0142799999999972</f>
        <v>1364.5037480000001</v>
      </c>
      <c r="L106" s="3">
        <f>1895.2+(198.1-744)+(0+(0-0))+0-29-0</f>
        <v>1320.3000000000002</v>
      </c>
      <c r="M106" s="3">
        <f>2113.5+(198.8-811.3)+(-3.233655+(-0.304164--1.241289))+0-29--0.0443700000000017</f>
        <v>1469.74784</v>
      </c>
      <c r="N106" s="3">
        <f>2209.5+(238.6-783.1)+(-2.25369+(-0.243372--0.798762))+0-31--0.0316200000000049</f>
        <v>1632.33332</v>
      </c>
      <c r="O106" s="3">
        <f>2429.9+(243.4-812.7)+(-3.717747+(-0.372402--1.243431))+0-31--0.0474300000000018</f>
        <v>1826.800712</v>
      </c>
      <c r="P106" s="3">
        <f>2656+(246.2-874.1)+(-1.35456+(-0.125562--0.445791))+0-31--0.0158099999999969</f>
        <v>1996.0814789999999</v>
      </c>
      <c r="Q106" s="3">
        <f>2660.7+(251-847.2)+(-1.356957+(-0.12801--0.432072))+0-32--0.0163199999999968</f>
        <v>2031.4634250000001</v>
      </c>
      <c r="R106" s="3">
        <f>2647.1+(258-838.7)+(2.700042+(0.26316-0.855474))+0-30-0.0306000000000048</f>
        <v>2038.4771279999995</v>
      </c>
      <c r="S106" s="3">
        <f>2642+(249.2-854.1)+(1.34742+(0.127092-0.435591))+0-29-0.0147899999999971</f>
        <v>2009.124131</v>
      </c>
      <c r="T106" s="3">
        <f>2631.5+(254-863.1)+(1.342065+(0.12954-0.440181))+0-30-0.015299999999997</f>
        <v>1993.4161240000001</v>
      </c>
      <c r="U106" s="3">
        <f>2623.7+(252-846.3)+(1.338087+(0.12852-0.431613))+0-30-0.015299999999997</f>
        <v>2000.4196939999999</v>
      </c>
      <c r="V106" s="3">
        <f>2562.4+(259.5-795.1)+(-1.306824+(-0.132345--0.405501))+0-31--0.0158099999999969</f>
        <v>1994.7821420000002</v>
      </c>
      <c r="W106" s="3">
        <f>2485.7+(259.6-765)+(-3.803121+(-0.397188--1.17045))+0-31--0.0474300000000018</f>
        <v>1946.3175709999998</v>
      </c>
      <c r="X106" s="3">
        <f>2485+(257-799.9)+(-2.5347+(-0.26214--0.815898))+0-31--0.0316200000000049</f>
        <v>1909.150678</v>
      </c>
      <c r="Y106" s="3">
        <f>2491.7+(247.9-863.7)+(-1.270767+(-0.126429--0.440487))+0-31--0.0158099999999969</f>
        <v>1843.9591009999997</v>
      </c>
      <c r="Z106" s="3">
        <f>2512.4+(268.2-887.2)+(2.562648+(0.273564-0.904944))+0-31-0.0316200000000049</f>
        <v>1864.2996480000002</v>
      </c>
      <c r="AA106" s="3">
        <f>2536+(277.6-617.4)+(0+(0-0))+0-31-0</f>
        <v>2165.1999999999998</v>
      </c>
      <c r="AB106" s="3">
        <f>2549+(277.7-600.6)+(-1.29999+(-0.141627--0.306306))+0-30--0.015299999999997</f>
        <v>2194.9799889999999</v>
      </c>
      <c r="AC106" s="3">
        <f>2506.6+(231.7-671.7)+(1.278366+(0.118167-0.342567))+0-30-0.015299999999997</f>
        <v>2037.6386659999998</v>
      </c>
      <c r="AD106">
        <f t="shared" si="1"/>
        <v>43245.275209999993</v>
      </c>
      <c r="AE106" s="3">
        <f>2541+(277.3-562.6)+(0+(0-0))+0-26-0</f>
        <v>2229.6999999999998</v>
      </c>
    </row>
    <row r="107" spans="1:31" s="2" customFormat="1" x14ac:dyDescent="0.25">
      <c r="A107">
        <v>89</v>
      </c>
      <c r="B107">
        <v>4</v>
      </c>
      <c r="C107">
        <v>14</v>
      </c>
      <c r="D107">
        <v>3</v>
      </c>
      <c r="E107">
        <v>1</v>
      </c>
      <c r="F107" s="3">
        <f>2463.4+(144.7-764.6)+(1.256334+(0.073797-0.389946))+0-29-0.0147899999999971</f>
        <v>1815.425395</v>
      </c>
      <c r="G107" s="3">
        <f>2339.8+(180.6-874.3)+(-1.193298+(-0.092106--0.445893))+0-28--0.0142799999999972</f>
        <v>1617.2747690000006</v>
      </c>
      <c r="H107" s="3">
        <f>2057.8+(206.4-737.4)+(-2.098956+(-0.210528--0.752148))+0-28--0.0285600000000045</f>
        <v>1497.2712240000001</v>
      </c>
      <c r="I107" s="3">
        <f>2039.1+(203.5-769.2)+(-1.039941+(-0.103785--0.392292))+0-27--0.0137699999999973</f>
        <v>1445.6623359999999</v>
      </c>
      <c r="J107" s="3">
        <f>2015.6+(205.3-760.5)+(-2.055912+(-0.209406--0.77571))+0-29--0.0295800000000046</f>
        <v>1429.9399719999997</v>
      </c>
      <c r="K107" s="3">
        <f>1942.3+(206.1-680.5)+(-4.952865+(-0.525555--1.735275))+0-29--0.0739499999999958</f>
        <v>1435.2308050000001</v>
      </c>
      <c r="L107" s="3">
        <f>1757.7+(207.8-551.8)+(-3.585708+(-0.423912--1.125672))+0-28.5--0.0581399999999988</f>
        <v>1382.3741920000002</v>
      </c>
      <c r="M107" s="3">
        <f>1964.6+(217-664.6)+(0+(0-0))+0-28.2-0</f>
        <v>1488.8</v>
      </c>
      <c r="N107" s="3">
        <f>2247.8+(228.1-749.2)+(0+(0-0))+0-28.5-0</f>
        <v>1698.2000000000003</v>
      </c>
      <c r="O107" s="3">
        <f>2371.6+(229-713.1)+(1.209516+(0.11679-0.363681))+0-31-0.0158099999999969</f>
        <v>1857.4468149999998</v>
      </c>
      <c r="P107" s="3">
        <f>2486.6+(193.1-686.1)+(1.268166+(0.098481-0.349911))+0-30-0.015299999999997</f>
        <v>1964.6014359999999</v>
      </c>
      <c r="Q107" s="3">
        <f>2514.5+(204.2-627.7)+(2.56479+(0.208284-0.640254))+0-31-0.0316200000000049</f>
        <v>2062.1011999999996</v>
      </c>
      <c r="R107" s="3">
        <f>2500.2+(214.4-628)+(3.825306+(0.328032-0.96084))+0-29-0.0443700000000017</f>
        <v>2060.7481279999997</v>
      </c>
      <c r="S107" s="3">
        <f>2479.7+(218-643.3)+(2.529294+(0.22236-0.656166))+0-29-0.0295800000000046</f>
        <v>2027.4659079999997</v>
      </c>
      <c r="T107" s="3">
        <f>2449.4+(238.6-638.7)+(3.747582+(0.365058-0.977211))+0-30-0.0459000000000017</f>
        <v>2022.389529</v>
      </c>
      <c r="U107" s="3">
        <f>2416.4+(241.5-605.6)+(3.697092+(0.369495-0.926568))+0-31-0.0474300000000018</f>
        <v>2024.392589</v>
      </c>
      <c r="V107" s="3">
        <f>2366.2+(241.5-554.2)+(0+(0-0))+0-30-0</f>
        <v>2023.5</v>
      </c>
      <c r="W107" s="3">
        <f>2369.4+(231.2-591.7)+(-2.416788+(-0.235824--0.603534))+0-30--0.0306000000000048</f>
        <v>1976.8815220000001</v>
      </c>
      <c r="X107" s="3">
        <f>2332.7+(231.3-585.9)+(-2.379354+(-0.235926--0.597618))+0-31--0.0316200000000049</f>
        <v>1945.1139579999999</v>
      </c>
      <c r="Y107" s="3">
        <f>2235.7+(217.9-565.4)+(-1.140207+(-0.111129--0.288354))+0-30--0.015299999999997</f>
        <v>1857.2523179999998</v>
      </c>
      <c r="Z107" s="3">
        <f>2313.6+(224-631.4)+(2.359872+(0.22848-0.644028))+0-29-0.0295800000000046</f>
        <v>1879.114744</v>
      </c>
      <c r="AA107" s="3">
        <f>2374.2+(242.7-435.1)+(-1.210842+(-0.123777--0.221901))+0-30--0.015299999999997</f>
        <v>2150.7025819999999</v>
      </c>
      <c r="AB107" s="3">
        <f>2523+(249.1-541.3)+(0+(0-0))+0-30-0</f>
        <v>2200.8000000000002</v>
      </c>
      <c r="AC107" s="3">
        <f>2532.5+(240.6-659.2)+(-2.58315+(-0.245412--0.672384))+0-29--0.0295800000000046</f>
        <v>2082.7734019999998</v>
      </c>
      <c r="AD107">
        <f t="shared" si="1"/>
        <v>43945.462823999995</v>
      </c>
      <c r="AE107" s="3">
        <f>2352+(283.5-432.9)+(0+(0-0))+0-20-0</f>
        <v>2182.6</v>
      </c>
    </row>
    <row r="108" spans="1:31" s="2" customFormat="1" x14ac:dyDescent="0.25">
      <c r="A108">
        <v>89</v>
      </c>
      <c r="B108">
        <v>4</v>
      </c>
      <c r="C108">
        <v>15</v>
      </c>
      <c r="D108">
        <v>4</v>
      </c>
      <c r="E108">
        <v>1</v>
      </c>
      <c r="F108" s="3">
        <f>2532.4+(202.5-811.1)+(-5.166096+(-0.4131--1.654644))+0-28--0.0571199999999988</f>
        <v>1891.9325680000002</v>
      </c>
      <c r="G108" s="3">
        <f>2432.8+(198.6-945.9)+(3.722184+(0.303858-1.447227))+0-28-0.0428400000000016</f>
        <v>1660.0359750000002</v>
      </c>
      <c r="H108" s="3">
        <f>2303.2+(202.3-919.4)+(0+(0-0))+0-29-0</f>
        <v>1557.1</v>
      </c>
      <c r="I108" s="3">
        <f>2194.5+(204.3-869.9)+(-1.119195+(-0.104193--0.443649))+0-28--0.0142799999999972</f>
        <v>1500.1345410000001</v>
      </c>
      <c r="J108" s="3">
        <f>2195.2+(208.1-906.6)+(-4.478208+(-0.424524--1.849464))+0-28--0.0571199999999988</f>
        <v>1465.7038519999999</v>
      </c>
      <c r="K108" s="3">
        <f>2098.6+(213-836.3)+(-3.210858+(-0.32589--1.279539))+0-28--0.0428400000000016</f>
        <v>1445.0856309999999</v>
      </c>
      <c r="L108" s="3">
        <f>2079.2+(213.7-865.1)+(-2.120784+(-0.217974--0.882402))+0-29--0.0295800000000046</f>
        <v>1397.3732239999997</v>
      </c>
      <c r="M108" s="3">
        <f>2176.6+(199.8-839)+(0+(0-0))+0-29-0</f>
        <v>1508.3999999999999</v>
      </c>
      <c r="N108" s="3">
        <f>2330.9+(192.1-768.3)+(1.188759+(0.097971-0.391833))+0-32-0.0163199999999968</f>
        <v>1723.5785770000002</v>
      </c>
      <c r="O108" s="3">
        <f>2392.8+(196.1-659.9)+(4.881312+(0.400044-1.346196))+0-32-0.0652799999999986</f>
        <v>1900.8698800000002</v>
      </c>
      <c r="P108" s="3">
        <f>2469.3+(192.8-627.5)+(2.518686+(0.196656-0.64005))+0-32-0.0326400000000051</f>
        <v>2004.6426520000002</v>
      </c>
      <c r="Q108" s="3">
        <f>2505.2+(211.7-620)+(1.277652+(0.107967-0.3162))+0-31-0.0158099999999969</f>
        <v>2066.9536089999997</v>
      </c>
      <c r="R108" s="3">
        <f>2494.1+(267.4-602.2)+(1.271991+(0.136374-0.307122))+0-28.5-0.0145349999999971</f>
        <v>2131.886708</v>
      </c>
      <c r="S108" s="3">
        <f>2479.2+(269.5-604.4)+(1.264392+(0.137445-0.308244))+0-28.5-0.0145349999999971</f>
        <v>2116.879058</v>
      </c>
      <c r="T108" s="3">
        <f>2471.2+(248.9-621.3)+(2.520624+(0.253878-0.633726))+0-30.9-0.0315180000000049</f>
        <v>2070.009258</v>
      </c>
      <c r="U108" s="3">
        <f>2467.7+(237.1-614.7)+(3.775581+(0.362763-0.940491))+0-31-0.0474300000000018</f>
        <v>2062.250423</v>
      </c>
      <c r="V108" s="3">
        <f>2475.6+(227.3-596.2)+(2.525112+(0.231846-0.608124))+0-31-0.0316200000000049</f>
        <v>2077.8172139999997</v>
      </c>
      <c r="W108" s="3">
        <f>2481.9+(215.5-654.5)+(1.265769+(0.109905-0.333795))+0-30.3-0.0154529999999969</f>
        <v>2013.6264260000003</v>
      </c>
      <c r="X108" s="3">
        <f>2486.4+(214.2-716.4)+(-1.268064+(-0.109242--0.365364))+0-31.2--0.0159119999999968</f>
        <v>1952.00397</v>
      </c>
      <c r="Y108" s="3">
        <f>2483.2+(221.6-781)+(0+(0-0))+0-30-0</f>
        <v>1893.7999999999997</v>
      </c>
      <c r="Z108" s="3">
        <f>2499.6+(266.4-829.8)+(2.549592+(0.271728-0.846396))+0-29-0.0295800000000046</f>
        <v>1909.145344</v>
      </c>
      <c r="AA108" s="3">
        <f>2502.5+(291.6-550.1)+(0+(0-0))+0-29-0</f>
        <v>2215</v>
      </c>
      <c r="AB108" s="3">
        <f>2508+(287.7-540.2)+(1.27908+(0.146727-0.275502))+0-29-0.0147899999999971</f>
        <v>2227.6355149999999</v>
      </c>
      <c r="AC108" s="3">
        <f>2419.9+(276.5-567.5)+(-3.702447+(-0.423045--0.868275))+0-28.8--0.0440640000000017</f>
        <v>2096.8868470000002</v>
      </c>
      <c r="AD108">
        <f t="shared" si="1"/>
        <v>44888.751272000001</v>
      </c>
      <c r="AE108" s="3">
        <f>2498.4+(286.5-510.9)+(0+(0-0))+0-30-0</f>
        <v>2244</v>
      </c>
    </row>
    <row r="109" spans="1:31" s="2" customFormat="1" x14ac:dyDescent="0.25">
      <c r="A109">
        <v>89</v>
      </c>
      <c r="B109">
        <v>4</v>
      </c>
      <c r="C109">
        <v>16</v>
      </c>
      <c r="D109">
        <v>5</v>
      </c>
      <c r="E109">
        <v>1</v>
      </c>
      <c r="F109" s="3">
        <f>2238.9+(212.6-563.2)+(-2.283678+(-0.216852--0.574464))+0-30--0.0306000000000048</f>
        <v>1856.4045340000002</v>
      </c>
      <c r="G109" s="3">
        <f>2165+(220.1-719.8)+(-1.10415+(-0.112251--0.367098))+0-30--0.015299999999997</f>
        <v>1634.4659970000002</v>
      </c>
      <c r="H109" s="3">
        <f>2164.3+(221.7-826.8)+(0+(0-0))+0-30-0</f>
        <v>1529.2000000000003</v>
      </c>
      <c r="I109" s="3">
        <f>2173.7+(222.1-889.4)+(-1.108587+(-0.113271--0.453594))+0-30--0.015299999999997</f>
        <v>1475.6470359999998</v>
      </c>
      <c r="J109" s="3">
        <f>2059.3+(221.7-791.2)+(0+(0-0))+0-30-0</f>
        <v>1459.8000000000002</v>
      </c>
      <c r="K109" s="3">
        <f>1830.5+(220.5-579.8)+(-4.667775+(-0.562275--1.47849))+0-30--0.0764999999999956</f>
        <v>1437.52494</v>
      </c>
      <c r="L109" s="3">
        <f>1752.1+(219.9-545.6)+(-1.787142+(-0.224298--0.556512))+0-30--0.0306000000000048</f>
        <v>1394.9756719999998</v>
      </c>
      <c r="M109" s="3">
        <f>1820.5+(225.5-525.9)+(0.928455+(0.115005-0.268209))+0-30-0.015299999999997</f>
        <v>1490.8599509999999</v>
      </c>
      <c r="N109" s="3">
        <f>2152.2+(231.9-635.6)+(1.097622+(0.118269-0.324156))+0-30-0.015299999999997</f>
        <v>1719.3764349999997</v>
      </c>
      <c r="O109" s="3">
        <f>2195.5+(217.3-489.5)+(1.119705+(0.110823-0.249645))+0-30-0.015299999999997</f>
        <v>1894.2655829999999</v>
      </c>
      <c r="P109" s="3">
        <f>2263.7+(213.2-428.4)+(2.308974+(0.217464-0.436968))+0-30-0.0306000000000048</f>
        <v>2020.5588699999998</v>
      </c>
      <c r="Q109" s="3">
        <f>2247.8+(207.3-347.1)+(0+(0-0))+0-30-0</f>
        <v>2078</v>
      </c>
      <c r="R109" s="3">
        <f>2231.2+(236.6-330.9)+(3.413736+(0.361998-0.506277))+0-30-0.0459000000000017</f>
        <v>2110.1235569999994</v>
      </c>
      <c r="S109" s="3">
        <f>2220.5+(234.4-327.2)+(1.132455+(0.119544-0.166872))+0-30-0.015299999999997</f>
        <v>2098.7698269999996</v>
      </c>
      <c r="T109" s="3">
        <f>2206.6+(234.1-331.8)+(0+(0-0))+0-30-0</f>
        <v>2078.9</v>
      </c>
      <c r="U109" s="3">
        <f>2194.9+(232.3-319.5)+(-2.238798+(-0.236946--0.32589))+0-30--0.0306000000000048</f>
        <v>2075.5807460000005</v>
      </c>
      <c r="V109" s="3">
        <f>2183.7+(230.4-312.9)+(-1.113687+(-0.117504--0.159579))+0-30--0.015299999999997</f>
        <v>2070.1436879999997</v>
      </c>
      <c r="W109" s="3">
        <f>2182.4+(227.3-339.6)+(2.226048+(0.231846-0.346392))+0-30-0.0306000000000048</f>
        <v>2042.1809020000001</v>
      </c>
      <c r="X109" s="3">
        <f>2189.9+(227.3-411.2)+(-1.116849+(-0.115923--0.209712))+0-30--0.015299999999997</f>
        <v>1974.99224</v>
      </c>
      <c r="Y109" s="3">
        <f>2208.3+(222.5-505.4)+(0+(0-0))+0-30-0</f>
        <v>1895.4</v>
      </c>
      <c r="Z109" s="3">
        <f>2234.1+(216.3-526.8)+(1.139391+(0.110313-0.268668))+0-30-0.015299999999997</f>
        <v>1894.5657359999998</v>
      </c>
      <c r="AA109" s="3">
        <f>2244.2+(271.8-309.3)+(0+(0-0))+0-30-0</f>
        <v>2176.6999999999998</v>
      </c>
      <c r="AB109" s="3">
        <f>2236.1+(282.6-266.6)+(1.140411+(0.144126-0.135966))+0-30-0.015299999999997</f>
        <v>2223.2332710000001</v>
      </c>
      <c r="AC109" s="3">
        <f>2242.6+(235.9-349.2)+(0+(0-0))+0-30-0</f>
        <v>2099.2999999999997</v>
      </c>
      <c r="AD109">
        <f t="shared" si="1"/>
        <v>44730.968985</v>
      </c>
      <c r="AE109" s="3">
        <f>2246.5+(295.6-271.5)+(0+(0-0))+0-28-0</f>
        <v>2242.6</v>
      </c>
    </row>
    <row r="110" spans="1:31" s="2" customFormat="1" x14ac:dyDescent="0.25">
      <c r="A110">
        <v>89</v>
      </c>
      <c r="B110">
        <v>4</v>
      </c>
      <c r="C110">
        <v>17</v>
      </c>
      <c r="D110">
        <v>6</v>
      </c>
      <c r="E110">
        <v>1</v>
      </c>
      <c r="F110" s="3">
        <f>2224.4+(118.8-409.9)+(1.134444+(0.060588-0.209049))+0-29-0.0147899999999971</f>
        <v>1905.2711930000003</v>
      </c>
      <c r="G110" s="3">
        <f>2089.6+(173.7-536.3)+(0+(0-0))+0-29-0</f>
        <v>1698</v>
      </c>
      <c r="H110" s="3">
        <f>2031.9+(198.8-627.7)+(1.036269+(0.101388-0.320127))+0-29-0.0147899999999971</f>
        <v>1574.8027400000001</v>
      </c>
      <c r="I110" s="3">
        <f>2051+(201.7-715.9)+(2.09202+(0.205734-0.730218))+0-28-0.0285600000000045</f>
        <v>1510.338976</v>
      </c>
      <c r="J110" s="3">
        <f>1998.2+(208-689.2)+(1.019082+(0.10608-0.351492))+0-29-0.0147899999999971</f>
        <v>1488.7588800000001</v>
      </c>
      <c r="K110" s="3">
        <f>1738.7+(203.8-455.4)+(0+(0-0))+0-29-0</f>
        <v>1458.1000000000001</v>
      </c>
      <c r="L110" s="3">
        <f>1570.9+(180.7-351.4)+(-2.403477+(-0.276471--0.537642))+0-28--0.0428400000000016</f>
        <v>1370.1005340000002</v>
      </c>
      <c r="M110" s="3">
        <f>1876.4+(232.5-585.1)+(-2.870892+(-0.355725--0.895203))+0-28--0.0428400000000016</f>
        <v>1493.5114260000003</v>
      </c>
      <c r="N110" s="3">
        <f>2141.9+(248.1-666)+(-4.369476+(-0.506124--1.35864))+0-30--0.0611999999999987</f>
        <v>1690.5442400000002</v>
      </c>
      <c r="O110" s="3">
        <f>2180.7+(219.7-526.7)+(-1.112157+(-0.112047--0.268617))+0-31--0.0158099999999969</f>
        <v>1841.760223</v>
      </c>
      <c r="P110" s="3">
        <f>2236.6+(211.1-464.4)+(1.140666+(0.107661-0.236844))+0-32-0.0163199999999968</f>
        <v>1952.295163</v>
      </c>
      <c r="Q110" s="3">
        <f>2223.8+(225.1-386.6)+(2.268276+(0.229602-0.394332))+0-31-0.0316200000000049</f>
        <v>2033.371926</v>
      </c>
      <c r="R110" s="3">
        <f>2219.7+(220.4-370.6)+(2.264094+(0.224808-0.378012))+0-29-0.0295800000000046</f>
        <v>2042.58131</v>
      </c>
      <c r="S110" s="3">
        <f>2319.6+(192.8-464)+(0+(0-0))+0-29-0</f>
        <v>2019.4</v>
      </c>
      <c r="T110" s="3">
        <f>2310.8+(185.1-482.3)+(1.178508+(0.094401-0.245973))+0-30-0.015299999999997</f>
        <v>1984.6116360000001</v>
      </c>
      <c r="U110" s="3">
        <f>2295.4+(182.8-471.7)+(1.170654+(0.093228-0.240567))+0-31-0.0158099999999969</f>
        <v>1976.5075049999998</v>
      </c>
      <c r="V110" s="3">
        <f>2244.2+(188-431.5)+(0+(0-0))+0-30-0</f>
        <v>1970.6999999999998</v>
      </c>
      <c r="W110" s="3">
        <f>2277.6+(189-493.2)+(-1.161576+(-0.09639--0.251532))+0-30--0.015299999999997</f>
        <v>1942.408866</v>
      </c>
      <c r="X110" s="3">
        <f>2272.6+(185.5-536.3)+(-3.477078+(-0.283815--0.820539))+0-31--0.0474300000000018</f>
        <v>1887.907076</v>
      </c>
      <c r="Y110" s="3">
        <f>2142.1+(183.7-471.4)+(-1.092471+(-0.093687--0.240414))+0-29--0.0147899999999971</f>
        <v>1824.4690459999997</v>
      </c>
      <c r="Z110" s="3">
        <f>2165.7+(262.6-555.1)+(0+(0-0))+0-29-0</f>
        <v>1844.1999999999998</v>
      </c>
      <c r="AA110" s="3">
        <f>2171.1+(318.6-339.3)+(-4.429044+(-0.649944--0.692172))+0-30--0.0611999999999987</f>
        <v>2116.074384</v>
      </c>
      <c r="AB110" s="3">
        <f>2120.9+(349.9-310.6)+(-1.081659+(-0.178449--0.158406))+0-29--0.0147899999999971</f>
        <v>2130.1130880000001</v>
      </c>
      <c r="AC110" s="3">
        <f>2272.5+(271.2-475.1)+(1.158975+(0.138312-0.242301))+0-28-0.0142799999999972</f>
        <v>2041.6407059999999</v>
      </c>
      <c r="AD110">
        <f t="shared" si="1"/>
        <v>43797.468917999999</v>
      </c>
      <c r="AE110" s="3">
        <f>2180.9+(353.2-313.4)+(0+(0-0))+0-30-0</f>
        <v>2190.7000000000003</v>
      </c>
    </row>
    <row r="111" spans="1:31" s="2" customFormat="1" x14ac:dyDescent="0.25">
      <c r="A111">
        <v>89</v>
      </c>
      <c r="B111">
        <v>4</v>
      </c>
      <c r="C111">
        <v>18</v>
      </c>
      <c r="D111">
        <v>7</v>
      </c>
      <c r="E111">
        <v>1</v>
      </c>
      <c r="F111" s="3">
        <f>2385.5+(174.7-718.5)+(0+(0-0))+0-19-0</f>
        <v>1822.7</v>
      </c>
      <c r="G111" s="3">
        <f>2401.2+(190.7-908.6)+(-1.224612+(-0.097257--0.463386))+0-8--0.00407999999999919</f>
        <v>1674.4455969999997</v>
      </c>
      <c r="H111" s="3">
        <f>2291.9+(205.5-934.5)+(1.168869+(0.104805-0.476595))+0-7.5-0.00382499999999924</f>
        <v>1556.193254</v>
      </c>
      <c r="I111" s="3">
        <f>2055.4+(208.7-752.5)+(1.048254+(0.106437-0.383775))+0-27-0.0137699999999973</f>
        <v>1485.3571460000001</v>
      </c>
      <c r="J111" s="3">
        <f>1923.7+(200.7-640.4)+(0.981087+(0.102357-0.326604))+0-28-0.0142799999999972</f>
        <v>1456.7425599999999</v>
      </c>
      <c r="K111" s="3">
        <f>1708+(197.5-443.1)+(-2.61324+(-0.302175--0.677943))+0-27.5--0.0420750000000016</f>
        <v>1432.7046030000001</v>
      </c>
      <c r="L111" s="3">
        <f>1618.2+(225.1-489.4)+(0+(0-0))+0-27-0</f>
        <v>1326.9</v>
      </c>
      <c r="M111" s="3">
        <f>1669.5+(238.9-552.3)+(0+(0-0))+0-29.1-0</f>
        <v>1327</v>
      </c>
      <c r="N111" s="3">
        <f>1740.5+(239.2-528.2)+(-1.77531+(-0.243984--0.538764))+0-30.9--0.0315180000000049</f>
        <v>1419.1509879999999</v>
      </c>
      <c r="O111" s="3">
        <f>1998.6+(245.5-656.3)+(0+(0-0))+0-31.2-0</f>
        <v>1556.6</v>
      </c>
      <c r="P111" s="3">
        <f>2102.5+(260.7-641.2)+(2.14455+(0.265914-0.654024))+0-31.5-0.032130000000005</f>
        <v>1692.2243100000001</v>
      </c>
      <c r="Q111" s="3">
        <f>2082.7+(210.5-564.3)+(0+(0-0))+48.3-30.6-0</f>
        <v>1746.6</v>
      </c>
      <c r="R111" s="3">
        <f>2143.4+(208-593.3)+(1.093134+(0.10608-0.302583))+45.8-31-0.0158099999999969</f>
        <v>1773.7808210000001</v>
      </c>
      <c r="S111" s="3">
        <f>2174.4+(267.5-596.3)+(2.217888+(0.27285-0.608226))+0-28-0.0285600000000045</f>
        <v>1819.4539520000001</v>
      </c>
      <c r="T111" s="3">
        <f>2158.2+(239.8-605.8)+(1.100682+(0.122298-0.308958))+0-29-0.0147899999999971</f>
        <v>1764.0992319999998</v>
      </c>
      <c r="U111" s="3">
        <f>2150.4+(230.8-596.7)+(-2.193408+(-0.235416--0.608634))+0-30--0.0306000000000048</f>
        <v>1752.7104100000001</v>
      </c>
      <c r="V111" s="3">
        <f>2240.6+(227.2-683.9)+(-1.142706+(-0.115872--0.348789))+0-27--0.0137699999999973</f>
        <v>1756.0039809999998</v>
      </c>
      <c r="W111" s="3">
        <f>2183.9+(224.2-647.8)+(-1.113789+(-0.114342--0.330378))+0-29--0.0147899999999971</f>
        <v>1730.4170370000002</v>
      </c>
      <c r="X111" s="3">
        <f>2079.1+(213.8-573)+(-2.120682+(-0.218076--0.58446))+0-30--0.0306000000000048</f>
        <v>1688.1763019999999</v>
      </c>
      <c r="Y111" s="3">
        <f>1908.1+(211.2-436.4)+(-2.919393+(-0.323136--0.667692))+0-30--0.0459000000000017</f>
        <v>1650.371063</v>
      </c>
      <c r="Z111" s="3">
        <f>1981.1+(235.8-523.9)+(1.010361+(0.120258-0.267189))+0-29-0.0147899999999971</f>
        <v>1664.8486400000002</v>
      </c>
      <c r="AA111" s="3">
        <f>2121.8+(319.1-447.6)+(-1.082118+(-0.162741--0.228276))+0-8--0.00407999999999919</f>
        <v>1984.287497</v>
      </c>
      <c r="AB111" s="3">
        <f>2151.3+(326.6-423.1)+(0+(0-0))+0-7-0</f>
        <v>2047.8000000000002</v>
      </c>
      <c r="AC111" s="3">
        <f>2128+(304.3-468.3)+(1.08528+(0.155193-0.238833))+0-6-0.00305999999999939</f>
        <v>1958.9985799999999</v>
      </c>
      <c r="AD111">
        <f t="shared" si="1"/>
        <v>40087.56597299999</v>
      </c>
      <c r="AE111" s="3">
        <f>2133.9+(326.1-420.6)+(0+(0-0))+0-3-0</f>
        <v>2036.4</v>
      </c>
    </row>
    <row r="112" spans="1:31" s="2" customFormat="1" x14ac:dyDescent="0.25">
      <c r="A112">
        <v>89</v>
      </c>
      <c r="B112">
        <v>4</v>
      </c>
      <c r="C112">
        <v>19</v>
      </c>
      <c r="D112">
        <v>1</v>
      </c>
      <c r="E112">
        <v>3</v>
      </c>
      <c r="F112" s="3">
        <f>2036.3+(267.8-529.2)+(-4.154052+(-0.546312--1.079568))+0-7--0.0142799999999997</f>
        <v>1764.293484</v>
      </c>
      <c r="G112" s="3">
        <f>2057.6+(261.8-693.4)+(-3.148128+(-0.400554--1.060902))+0-13--0.0198900000000008</f>
        <v>1610.5321100000001</v>
      </c>
      <c r="H112" s="3">
        <f>1944.3+(262.1-673.4)+(-1.983186+(-0.267342--0.686868))+0-29--0.0295800000000046</f>
        <v>1502.4659199999999</v>
      </c>
      <c r="I112" s="3">
        <f>1790.5+(261.4-569)+(-1.82631+(-0.266628--0.58038))+0-29--0.0295800000000046</f>
        <v>1452.4170220000001</v>
      </c>
      <c r="J112" s="3">
        <f>1703.1+(262.1-519)+(-1.737162+(-0.267342--0.52938))+0-30--0.0306000000000048</f>
        <v>1414.7554759999998</v>
      </c>
      <c r="K112" s="3">
        <f>1639.5+(250.7-475)+(0+(0-0))+0-29-0</f>
        <v>1386.2</v>
      </c>
      <c r="L112" s="3">
        <f>1615.8+(220.3-485.5)+(0+(0-0))+0-29-0</f>
        <v>1321.6</v>
      </c>
      <c r="M112" s="3">
        <f>1707.8+(206.8-501.5)+(-2.612934+(-0.316404--0.767295))+0-28.5--0.0436050000000016</f>
        <v>1382.4815619999999</v>
      </c>
      <c r="N112" s="3">
        <f>1860.1+(214.8-531.2)+(-0.948651+(-0.109548--0.270912))+0-31--0.0158099999999969</f>
        <v>1511.9285229999998</v>
      </c>
      <c r="O112" s="3">
        <f>2114.2+(246.5-660.6)+(2.156484+(0.25143-0.673812))+0-31-0.0316200000000049</f>
        <v>1670.8024819999998</v>
      </c>
      <c r="P112" s="3">
        <f>2332.1+(252.8-708.9)+(2.378742+(0.257856-0.723078))+0-32-0.0326400000000051</f>
        <v>1845.8808800000002</v>
      </c>
      <c r="Q112" s="3">
        <f>2396.4+(227.4-657.5)+(2.444328+(0.231948-0.67065))+0-30-0.0306000000000048</f>
        <v>1938.275026</v>
      </c>
      <c r="R112" s="3">
        <f>2404.3+(215.1-625.1)+(0+(0-0))+0-28-0</f>
        <v>1966.3000000000002</v>
      </c>
      <c r="S112" s="3">
        <f>2434.7+(222.2-676.6)+(0+(0-0))+0-30-0</f>
        <v>1950.2999999999997</v>
      </c>
      <c r="T112" s="3">
        <f>2381.1+(226-660.9)+(1.214361+(0.11526-0.337059))+0-30-0.015299999999997</f>
        <v>1917.1772619999997</v>
      </c>
      <c r="U112" s="3">
        <f>2397.1+(219-673.7)+(0+(0-0))+0-30-0</f>
        <v>1912.3999999999999</v>
      </c>
      <c r="V112" s="3">
        <f>2326.7+(224.4-609.4)+(0+(0-0))+0-30-0</f>
        <v>1911.6999999999998</v>
      </c>
      <c r="W112" s="3">
        <f>2315.9+(216.1-613.1)+(-2.362218+(-0.220422--0.625362))+0-31--0.0316200000000049</f>
        <v>1885.974342</v>
      </c>
      <c r="X112" s="3">
        <f>2305.6+(259.9-661.4)+(0+(0-0))+0-29-0</f>
        <v>1875.1</v>
      </c>
      <c r="Y112" s="3">
        <f>2159.8+(240.7-569.7)+(1.101498+(0.122757-0.290547))+0-29-0.0147899999999971</f>
        <v>1802.7189180000003</v>
      </c>
      <c r="Z112" s="3">
        <f>2315+(297.5-750.5)+(0+(0-0))+0-30-0</f>
        <v>1832</v>
      </c>
      <c r="AA112" s="3">
        <f>2494+(293-622)+(-1.27194+(-0.14943--0.31722))+0-29--0.0147899999999971</f>
        <v>2134.9106400000001</v>
      </c>
      <c r="AB112" s="3">
        <f>2507+(241.5-530.1)+(0+(0-0))+0-29-0</f>
        <v>2189.4</v>
      </c>
      <c r="AC112" s="3">
        <f>2510.6+(214.1-606.9)+(0+(0-0))+0-29-0</f>
        <v>2088.8000000000002</v>
      </c>
      <c r="AD112">
        <f t="shared" si="1"/>
        <v>42268.413647000008</v>
      </c>
      <c r="AE112" s="3">
        <f>2480+(290.7-541.2)+(0+(0-0))+0-30.5-0</f>
        <v>2199</v>
      </c>
    </row>
    <row r="113" spans="1:31" s="2" customFormat="1" x14ac:dyDescent="0.25">
      <c r="A113">
        <v>89</v>
      </c>
      <c r="B113">
        <v>4</v>
      </c>
      <c r="C113">
        <v>20</v>
      </c>
      <c r="D113">
        <v>2</v>
      </c>
      <c r="E113">
        <v>1</v>
      </c>
      <c r="F113" s="3">
        <f>2534.2+(186.3-809.1)+(0+(0-0))+0-28-0</f>
        <v>1883.3999999999999</v>
      </c>
      <c r="G113" s="3">
        <f>2510.2+(212-1008.1)+(-3.840606+(-0.32436--1.542393))+0-29--0.0443700000000017</f>
        <v>1682.5217969999999</v>
      </c>
      <c r="H113" s="3">
        <f>2445.2+(227.1-1073.2)+(-2.494104+(-0.231642--1.094664))+0-28--0.0285600000000045</f>
        <v>1569.4974779999998</v>
      </c>
      <c r="I113" s="3">
        <f>2407.1+(251.9-1109.5)+(-3.682863+(-0.385407--1.697535))+0-29--0.0443700000000017</f>
        <v>1518.1736350000001</v>
      </c>
      <c r="J113" s="3">
        <f>2357.1+(250.1-1074.2)+(0+(0-0))+0-29-0</f>
        <v>1504</v>
      </c>
      <c r="K113" s="3">
        <f>2210.8+(254.9-933.8)+(0+(0-0))+0-30-0</f>
        <v>1501.9</v>
      </c>
      <c r="L113" s="3">
        <f>1892.2+(254.1-690.9)+(-1.930044+(-0.259182--0.704718))+0-29--0.0295800000000046</f>
        <v>1424.945072</v>
      </c>
      <c r="M113" s="3">
        <f>2079.7+(244.3-769.6)+(-1.060647+(-0.124593--0.392496))+0-30--0.015299999999997</f>
        <v>1523.6225559999998</v>
      </c>
      <c r="N113" s="3">
        <f>2392.8+(226.9-869.7)+(1.220328+(0.115719-0.443547))+0-34-0.0173399999999966</f>
        <v>1716.8751599999998</v>
      </c>
      <c r="O113" s="3">
        <f>2553.8+(220.7-834.5)+(1.302438+(0.112557-0.425595))+0-31-0.0158099999999969</f>
        <v>1909.9735900000001</v>
      </c>
      <c r="P113" s="3">
        <f>2557.8+(228.5-721.4)+(2.608956+(0.23307-0.735828))+0-29-0.0295800000000046</f>
        <v>2037.9766180000001</v>
      </c>
      <c r="Q113" s="3">
        <f>2530.9+(243.6-651.8)+(2.581518+(0.248472-0.664836))+25-28-0.0285600000000045</f>
        <v>2121.8365939999999</v>
      </c>
      <c r="R113" s="3">
        <f>2438.4+(257.4-532.6)+(1.243584+(0.131274-0.271626))+75-29.7-0.015146999999997</f>
        <v>2209.5880849999999</v>
      </c>
      <c r="S113" s="3">
        <f>2355.3+(266.5-503.6)+(1.201203+(0.135915-0.256836))+75-29.4-0.014993999999997</f>
        <v>2164.865288</v>
      </c>
      <c r="T113" s="3">
        <f>2331.6+(276.4-510.4)+(1.189116+(0.140964-0.260304))+75-29.1-0.014840999999997</f>
        <v>2144.5549349999997</v>
      </c>
      <c r="U113" s="3">
        <f>2320.2+(290.1-502)+(2.366604+(0.295902-0.51204))+75-29.7-0.0302940000000047</f>
        <v>2155.7201719999998</v>
      </c>
      <c r="V113" s="3">
        <f>2388.8+(296.2-566.7)+(0+(0-0))+75-28.8-0</f>
        <v>2164.5</v>
      </c>
      <c r="W113" s="3">
        <f>2391.5+(288.6-600.6)+(-4.87866+(-0.588744--1.225224))+75-28.8--0.0587519999999987</f>
        <v>2121.5165719999995</v>
      </c>
      <c r="X113" s="3">
        <f>2412.4+(277.5-673.5)+(0+(0-0))+12.5-28.8-0</f>
        <v>2000.1000000000001</v>
      </c>
      <c r="Y113" s="3">
        <f>2442.5+(260.1-753)+(-1.245675+(-0.132651--0.38403))+0-19.8--0.010097999999998</f>
        <v>1928.8158019999998</v>
      </c>
      <c r="Z113" s="3">
        <f>2461.1+(282.5-780.2)+(1.255161+(0.144075-0.397902))+0-28.5-0.0145349999999971</f>
        <v>1935.8867989999999</v>
      </c>
      <c r="AA113" s="3">
        <f>2510.9+(298.8-547.2)+(-2.561118+(-0.304776--0.558144))+0-29.1--0.0296820000000046</f>
        <v>2231.121932</v>
      </c>
      <c r="AB113" s="3">
        <f>2540+(301.2-559.2)+(-1.2954+(-0.153612--0.285192))+0-30.6--0.0156059999999969</f>
        <v>2250.2517859999998</v>
      </c>
      <c r="AC113" s="3">
        <f>2551.9+(291.6-667.4)+(-1.301469+(-0.148716--0.340374))+0-30--0.015299999999997</f>
        <v>2145.0054890000006</v>
      </c>
      <c r="AD113">
        <f t="shared" si="1"/>
        <v>45846.649360000003</v>
      </c>
      <c r="AE113" s="3">
        <f>2511.6+(304.4-535.3)+(0+(0-0))+0-28.5-0</f>
        <v>2252.1999999999998</v>
      </c>
    </row>
    <row r="114" spans="1:31" s="2" customFormat="1" x14ac:dyDescent="0.25">
      <c r="A114">
        <v>89</v>
      </c>
      <c r="B114">
        <v>4</v>
      </c>
      <c r="C114">
        <v>21</v>
      </c>
      <c r="D114">
        <v>3</v>
      </c>
      <c r="E114">
        <v>1</v>
      </c>
      <c r="F114" s="3">
        <f>2511.2+(280.8-794.6)+(-2.561424+(-0.286416--0.810492))+0-91--0.0928200000000145</f>
        <v>1904.4554719999999</v>
      </c>
      <c r="G114" s="3">
        <f>2497.7+(276.1-957.5)+(-1.273827+(-0.140811--0.488325))+0-90--0.0458999999999909</f>
        <v>1725.4195869999999</v>
      </c>
      <c r="H114" s="3">
        <f>2386.7+(262-989.7)+(-4.868868+(-0.53448--2.018988))+0-86--0.175439999999996</f>
        <v>1569.7910799999997</v>
      </c>
      <c r="I114" s="3">
        <f>2302.3+(264-965.9)+(2.348346+(0.26928-0.985218))+0-93-0.0948600000000148</f>
        <v>1508.9375480000001</v>
      </c>
      <c r="J114" s="3">
        <f>2191.9+(275.3-884.3)+(-2.235738+(-0.280806--0.901986))+0-99--0.100980000000016</f>
        <v>1482.386422</v>
      </c>
      <c r="K114" s="3">
        <f>2004.8+(266.8-719.5)+(-2.044896+(-0.272136--0.73389))+0-90--0.0918000000000144</f>
        <v>1460.6086579999999</v>
      </c>
      <c r="L114" s="3">
        <f>2013.8+(262-773)+(0+(0-0))+0-94-0</f>
        <v>1408.8</v>
      </c>
      <c r="M114" s="3">
        <f>2227.4+(258.9-898.9)+(0+(0-0))+0-94-0</f>
        <v>1493.4</v>
      </c>
      <c r="N114" s="3">
        <f>2481.8+(270.2-945.7)+(0+(0-0))+0-96-0</f>
        <v>1710.3000000000002</v>
      </c>
      <c r="O114" s="3">
        <f>2492.7+(279.9-801.6)+(0+(0-0))+0-95-0</f>
        <v>1875.9999999999998</v>
      </c>
      <c r="P114" s="3">
        <f>2505.7+(274.3-705.6)+(0+(0-0))+0-89-0</f>
        <v>1985.3999999999996</v>
      </c>
      <c r="Q114" s="3">
        <f>2463.2+(286.6-579.1)+(5.024928+(0.584664-1.181364))+0-97-0.197879999999996</f>
        <v>2077.9303479999999</v>
      </c>
      <c r="R114" s="3">
        <f>2450.7+(305.5-577.2)+(-2.499714+(-0.31161--0.588744))+58.7-30--0.0306000000000048</f>
        <v>2205.5080199999998</v>
      </c>
      <c r="S114" s="3">
        <f>2446.4+(304.8-609.6)+(1.247664+(0.155448-0.310896))+88-29-0.0147899999999971</f>
        <v>2201.6774259999997</v>
      </c>
      <c r="T114" s="3">
        <f>2433.7+(306.6-613.2)+(1.241187+(0.156366-0.312732))+88-31-0.0158099999999969</f>
        <v>2185.169011</v>
      </c>
      <c r="U114" s="3">
        <f>2383.6+(304.2-538.2)+(2.431272+(0.310284-0.548964))+88-31-0.0316200000000049</f>
        <v>2208.7609719999996</v>
      </c>
      <c r="V114" s="3">
        <f>2379+(301.8-541)+(-1.21329+(-0.153918--0.27591))+88-29--0.0147899999999971</f>
        <v>2197.7234920000005</v>
      </c>
      <c r="W114" s="3">
        <f>2373.4+(290.4-568.6)+(-3.631302+(-0.444312--0.869958))+88-30--0.0459000000000017</f>
        <v>2150.0402439999998</v>
      </c>
      <c r="X114" s="3">
        <f>2414.9+(252.2-650.3)+(-3.694797+(-0.385866--0.994959))+29.3-30--0.0459000000000017</f>
        <v>2013.0601960000001</v>
      </c>
      <c r="Y114" s="3">
        <f>2414.8+(247.9-708.8)+(-1.231548+(-0.126429--0.361488))+0-31--0.0158099999999969</f>
        <v>1921.9193210000001</v>
      </c>
      <c r="Z114" s="3">
        <f>2441.8+(277.9-767.3)+(1.245318+(0.141729-0.391323))+0-31-0.0158099999999969</f>
        <v>1922.3799140000001</v>
      </c>
      <c r="AA114" s="3">
        <f>2500+(321.4-564.4)+(-1.275+(-0.163914--0.287844))+0-29--0.0147899999999971</f>
        <v>2226.8637200000003</v>
      </c>
      <c r="AB114" s="3">
        <f>2475.6+(333.4-521.9)+(-1.262556+(-0.170034--0.266169))+0-31--0.0158099999999969</f>
        <v>2254.9493889999999</v>
      </c>
      <c r="AC114" s="3">
        <f>2355.5+(305.8-512.4)+(0+(0-0))+0-31-0</f>
        <v>2117.9</v>
      </c>
      <c r="AD114">
        <f t="shared" si="1"/>
        <v>45809.380819999998</v>
      </c>
      <c r="AE114" s="3">
        <f>2497.5+(327.3-530.6)+(0+(0-0))+0-29-0</f>
        <v>2265.1999999999998</v>
      </c>
    </row>
    <row r="115" spans="1:31" s="2" customFormat="1" x14ac:dyDescent="0.25">
      <c r="A115">
        <v>89</v>
      </c>
      <c r="B115">
        <v>4</v>
      </c>
      <c r="C115">
        <v>22</v>
      </c>
      <c r="D115">
        <v>4</v>
      </c>
      <c r="E115">
        <v>1</v>
      </c>
      <c r="F115" s="3">
        <f>2364+(234.8-668.7)+(0+(0-0))+0-28.5-0</f>
        <v>1901.6</v>
      </c>
      <c r="G115" s="3">
        <f>2382.6+(257-873.7)+(-2.430252+(-0.26214--0.891174))+0-28.8--0.0293760000000046</f>
        <v>1735.3281579999998</v>
      </c>
      <c r="H115" s="3">
        <f>2415.4+(264.1-1024.2)+(1.231854+(0.134691-0.522342))+0-28.2-0.0143819999999971</f>
        <v>1627.9298210000002</v>
      </c>
      <c r="I115" s="3">
        <f>2365.1+(262.6-1020.2)+(0+(0-0))+0-28.8-0</f>
        <v>1578.7</v>
      </c>
      <c r="J115" s="3">
        <f>2276.1+(261.3-952.3)+(3.482433+(0.399789-1.457019))+0-29.1-0.0445230000000017</f>
        <v>1558.38068</v>
      </c>
      <c r="K115" s="3">
        <f>2125.8+(258.7-805.9)+(0+(0-0))+0-28.8-0</f>
        <v>1549.8000000000002</v>
      </c>
      <c r="L115" s="3">
        <f>1898.9+(245.4-636.6)+(-0.968439+(-0.125154--0.324666))+0-28.5--0.0145349999999971</f>
        <v>1478.445608</v>
      </c>
      <c r="M115" s="3">
        <f>1993.5+(215.4-631.8)+(0+(0-0))+0-27.5-0</f>
        <v>1549.6</v>
      </c>
      <c r="N115" s="3">
        <f>2275.8+(232.1-723.5)+(4.642632+(0.473484-1.47594))+0-29-0.0591599999999987</f>
        <v>1758.9810160000002</v>
      </c>
      <c r="O115" s="3">
        <f>2447.7+(229.5-723)+(0+(0-0))+0-29-0</f>
        <v>1925.1999999999998</v>
      </c>
      <c r="P115" s="3">
        <f>2444.5+(235.1-628.9)+(3.740085+(0.359703-0.962217))+0-26-0.0397800000000015</f>
        <v>2027.797791</v>
      </c>
      <c r="Q115" s="3">
        <f>2445.1+(240.3-579.8)+(1.247001+(0.122553-0.295698))+0-26-0.0132599999999974</f>
        <v>2080.6605959999997</v>
      </c>
      <c r="R115" s="3">
        <f>2518.8+(247.5-635.5)+(-2.569176+(-0.25245--0.64821))+53.3-24--0.0244800000000038</f>
        <v>2157.9510640000003</v>
      </c>
      <c r="S115" s="3">
        <f>2501.3+(244.6-638.4)+(0+(0-0))+80-23-0</f>
        <v>2164.5</v>
      </c>
      <c r="T115" s="3">
        <f>2488.5+(233.7-636.6)+(3.807405+(0.357561-0.973998))+80-24-0.0367200000000014</f>
        <v>2144.7542479999997</v>
      </c>
      <c r="U115" s="3">
        <f>2473.3+(227.6-597)+(-1.261383+(-0.116076--0.30447))+80-24--0.0122399999999976</f>
        <v>2158.8392510000003</v>
      </c>
      <c r="V115" s="3">
        <f>2457.2+(227.5-575.5)+(-1.253172+(-0.116025--0.293505))+80-23--0.0117299999999977</f>
        <v>2165.1360380000001</v>
      </c>
      <c r="W115" s="3">
        <f>2433.8+(219.5-577.6)+(-7.447428+(-0.67167--1.767456))+80-28--0.0856800000000032</f>
        <v>2121.4340380000003</v>
      </c>
      <c r="X115" s="3">
        <f>2431.5+(201-630.2)+(-4.96026+(-0.41004--1.285608))+0-10--0.0203999999999996</f>
        <v>1988.2357080000002</v>
      </c>
      <c r="Y115" s="3">
        <f>2444.5+(207.3-709.3)+(-3.740085+(-0.317169--1.085229))+0-7--0.0107100000000004</f>
        <v>1932.538685</v>
      </c>
      <c r="Z115" s="3">
        <f>2443.8+(264.7-747.9)+(1.246338+(0.134997-0.381429))+0-6-0.00305999999999939</f>
        <v>1955.5968460000001</v>
      </c>
      <c r="AA115" s="3">
        <f>2507.6+(310.5-547)+(-5.115504+(-0.63342--1.11588))+0-20--0.0407999999999991</f>
        <v>2246.507756</v>
      </c>
      <c r="AB115" s="3">
        <f>2532.8+(311.6-547.5)+(-5.166912+(-0.635664--1.1169))+0-28--0.0571199999999988</f>
        <v>2264.271444</v>
      </c>
      <c r="AC115" s="3">
        <f>2542.1+(302.8-684.3)+(2.592942+(0.308856-0.697986))+0-29-0.0295800000000046</f>
        <v>2133.7742320000002</v>
      </c>
      <c r="AD115">
        <f t="shared" si="1"/>
        <v>46205.962980000004</v>
      </c>
      <c r="AE115" s="3">
        <f>2514.5+(306-521)+(0+(0-0))+0-25-0</f>
        <v>2274.5</v>
      </c>
    </row>
    <row r="116" spans="1:31" s="2" customFormat="1" x14ac:dyDescent="0.25">
      <c r="A116">
        <v>89</v>
      </c>
      <c r="B116">
        <v>4</v>
      </c>
      <c r="C116">
        <v>23</v>
      </c>
      <c r="D116">
        <v>5</v>
      </c>
      <c r="E116">
        <v>1</v>
      </c>
      <c r="F116" s="3">
        <f>2551.5+(236.1-850.4)+(-2.60253+(-0.240822--0.867408))+0-28.8--0.0293760000000046</f>
        <v>1906.453432</v>
      </c>
      <c r="G116" s="3">
        <f>2552.3+(250.7-1046.7)+(-1.301673+(-0.127857--0.533817))+0-29--0.0147899999999971</f>
        <v>1726.4190770000002</v>
      </c>
      <c r="H116" s="3">
        <f>2551+(257.4-1142.5)+(-2.60202+(-0.262548--1.16535))+0-23--0.0234600000000037</f>
        <v>1641.2242420000002</v>
      </c>
      <c r="I116" s="3">
        <f>2417+(254.2-1057.9)+(-2.46534+(-0.259284--1.079058))+0-28--0.0285600000000045</f>
        <v>1583.682994</v>
      </c>
      <c r="J116" s="3">
        <f>2391.7+(271.4-1070.1)+(3.659301+(0.415242-1.637253))+0-28-0.0428400000000016</f>
        <v>1567.39445</v>
      </c>
      <c r="K116" s="3">
        <f>2286.8+(259.9-963.4)+(-2.332536+(-0.265098--0.982668))+0-28--0.0285600000000045</f>
        <v>1553.7135940000001</v>
      </c>
      <c r="L116" s="3">
        <f>2030.6+(250.4-771.9)+(-1.035606+(-0.127704--0.393669))+0-28--0.0142799999999972</f>
        <v>1480.3446389999999</v>
      </c>
      <c r="M116" s="3">
        <f>2203.5+(237.4-844.9)+(3.371355+(0.363222-1.292697))+0-29-0.0443700000000017</f>
        <v>1569.39751</v>
      </c>
      <c r="N116" s="3">
        <f>2317.3+(228.9-759)+(-1.181823+(-0.116739--0.38709))+0-30--0.015299999999997</f>
        <v>1756.3038280000003</v>
      </c>
      <c r="O116" s="3">
        <f>2532.8+(265.4-845.1)+(2.583456+(0.270708-0.862002))+0-30-0.0306000000000048</f>
        <v>1925.0615620000001</v>
      </c>
      <c r="P116" s="3">
        <f>2556.9+(265-860.2)+(1.304019+(0.13515-0.438702))+41.7-30-0.015299999999997</f>
        <v>1974.3851670000001</v>
      </c>
      <c r="Q116" s="3">
        <f>2553.4+(263-870)+(-1.302234+(-0.13413--0.4437))+100-32--0.0163199999999968</f>
        <v>2013.4236559999999</v>
      </c>
      <c r="R116" s="3">
        <f>2567.2+(262.2-871.2)+(-2.618544+(-0.267444--0.888624))+100-29--0.0295800000000046</f>
        <v>2027.2322159999999</v>
      </c>
      <c r="S116" s="3">
        <f>2534.9+(238.7-863.3)+(0+(0-0))+100-29-0</f>
        <v>1981.3000000000002</v>
      </c>
      <c r="T116" s="3">
        <f>2521.1+(230.9-840.6)+(1.285761+(0.117759-0.428706))+100-20-0.010199999999998</f>
        <v>1992.3646139999998</v>
      </c>
      <c r="U116" s="3">
        <f>2517.1+(238.2-789.2)+(-1.283721+(-0.121482--0.402492))+100-9--0.00458999999999909</f>
        <v>2056.1018789999998</v>
      </c>
      <c r="V116" s="3">
        <f>2513.4+(245.8-764.5)+(-2.563668+(-0.250716--0.77979))+100-5--0.0051000000000008</f>
        <v>2087.6705059999999</v>
      </c>
      <c r="W116" s="3">
        <f>2512.1+(231.2-816.1)+(3.843513+(0.353736-1.248633))+100-4-0.00612000000000023</f>
        <v>2026.1424959999997</v>
      </c>
      <c r="X116" s="3">
        <f>2507.6+(218.9-797.9)+(-2.557752+(-0.223278--0.813858))+33.3-2--0.00204000000000032</f>
        <v>1957.9348680000001</v>
      </c>
      <c r="Y116" s="3">
        <f>2388.7+(229.4-697.2)+(1.218237+(0.116994-0.355572))+0-2-0.0010199999999998</f>
        <v>1919.8786389999998</v>
      </c>
      <c r="Z116" s="3">
        <f>2487.1+(311.6-846.3)+(2.536842+(0.317832-0.863226))+0-2-0.00204000000000032</f>
        <v>1952.389408</v>
      </c>
      <c r="AA116" s="3">
        <f>2552.6+(338.5-655.4)+(-3.905478+(-0.517905--1.002762))+0-2--0.00306000000000012</f>
        <v>2230.2824389999996</v>
      </c>
      <c r="AB116" s="3">
        <f>2581+(340.4-679.2)+(-1.31631+(-0.173604--0.346392))+0-2--0.0010199999999998</f>
        <v>2239.0574980000001</v>
      </c>
      <c r="AC116" s="3">
        <f>2581.1+(336.2-801.2)+(-1.316361+(-0.171462--0.408612))+0-2--0.0010199999999998</f>
        <v>2113.0218089999998</v>
      </c>
      <c r="AD116">
        <f t="shared" si="1"/>
        <v>45281.180523000003</v>
      </c>
      <c r="AE116" s="3">
        <f>2551+(340.1-631)+(0+(0-0))+0-2-0</f>
        <v>2258.1</v>
      </c>
    </row>
    <row r="117" spans="1:31" s="2" customFormat="1" x14ac:dyDescent="0.25">
      <c r="A117">
        <v>89</v>
      </c>
      <c r="B117">
        <v>4</v>
      </c>
      <c r="C117">
        <v>24</v>
      </c>
      <c r="D117">
        <v>6</v>
      </c>
      <c r="E117">
        <v>1</v>
      </c>
      <c r="F117" s="3">
        <f>2519.5+(257.2-890.4)+(-1.284945+(-0.131172--0.454104))+0-3--0.0015299999999997</f>
        <v>1882.3395169999999</v>
      </c>
      <c r="G117" s="3">
        <f>2475.5+(274.4-1049.4)+(-1.262505+(-0.139944--0.535194))+0-2--0.0010199999999998</f>
        <v>1697.6337649999998</v>
      </c>
      <c r="H117" s="3">
        <f>2320.9+(274.5-1004.7)+(4.734636+(0.55998-2.049588))+0-3-0.00611999999999987</f>
        <v>1590.9389080000001</v>
      </c>
      <c r="I117" s="3">
        <f>2210.6+(267.6-921)+(-2.254812+(-0.272952--0.93942))+0-4--0.00408000000000064</f>
        <v>1551.6157359999997</v>
      </c>
      <c r="J117" s="3">
        <f>1893.2+(263-658.9)+(-0.965532+(-0.13413--0.336039))+0-2--0.0010199999999998</f>
        <v>1494.5373970000001</v>
      </c>
      <c r="K117" s="3">
        <f>1813.9+(260-592.6)+(-1.850178+(-0.2652--0.604452))+0-9--0.00918000000000144</f>
        <v>1470.7982540000003</v>
      </c>
      <c r="L117" s="3">
        <f>1816+(250.9-623.8)+(-1.85232+(-0.255918--0.636276))+0-24--0.0244800000000038</f>
        <v>1417.6525179999999</v>
      </c>
      <c r="M117" s="3">
        <f>1847.7+(230-565.1)+(-0.942327+(-0.1173--0.288201))+0-29--0.0147899999999971</f>
        <v>1482.8433639999998</v>
      </c>
      <c r="N117" s="3">
        <f>2155.1+(214.2-681.9)+(1.099101+(0.109242-0.347769))+0-32-0.0163199999999968</f>
        <v>1656.244254</v>
      </c>
      <c r="O117" s="3">
        <f>2355.1+(241.4-740.1)+(6.005505+(0.61557-1.887255))+0-31-0.0790499999999955</f>
        <v>1830.0547699999997</v>
      </c>
      <c r="P117" s="3">
        <f>2516.1+(240.2-775.1)+(1.283211+(0.122502-0.395301))+37.5-30-0.015299999999997</f>
        <v>1989.6951119999999</v>
      </c>
      <c r="Q117" s="3">
        <f>2559.1+(247.9-793.7)+(1.305141+(0.126429-0.404787))+105-31-0.0158099999999969</f>
        <v>2088.3109729999996</v>
      </c>
      <c r="R117" s="3">
        <f>2543.3+(256.6-791.7)+(-1.297083+(-0.130866--0.403767))+120-29--0.0147899999999971</f>
        <v>2098.1906080000003</v>
      </c>
      <c r="S117" s="3">
        <f>2527+(260-826.5)+(-2.57754+(-0.2652--0.84303))+140-29--0.0295800000000046</f>
        <v>2069.5298699999998</v>
      </c>
      <c r="T117" s="3">
        <f>2514.8+(262.1-791.3)+(-1.282548+(-0.133671--0.403563))+95-30--0.015299999999997</f>
        <v>2049.6026440000005</v>
      </c>
      <c r="U117" s="3">
        <f>2479.3+(253.8-766.4)+(-1.264443+(-0.129438--0.390864))+70-30--0.015299999999997</f>
        <v>2005.7122830000003</v>
      </c>
      <c r="V117" s="3">
        <f>2449.7+(255.3-751)+(0+(0-0))+52.5-29-0</f>
        <v>1977.4999999999998</v>
      </c>
      <c r="W117" s="3">
        <f>2421.1+(257.8-743.8)+(-2.469522+(-0.262956--0.758676))+0-29--0.0295800000000046</f>
        <v>1904.1557779999998</v>
      </c>
      <c r="X117" s="3">
        <f>2335.5+(262.8-721.4)+(-5.955525+(-0.67014--1.83957))+0-29--0.0739499999999958</f>
        <v>1843.1878550000001</v>
      </c>
      <c r="Y117" s="3">
        <f>2195.9+(292.6-670.3)+(-1.119909+(-0.149226--0.341853))+0-28--0.0142799999999972</f>
        <v>1789.2869980000003</v>
      </c>
      <c r="Z117" s="3">
        <f>2296.8+(305.3-744.4)+(-2.342736+(-0.311406--0.759288))+0-28--0.0285600000000045</f>
        <v>1827.8337060000003</v>
      </c>
      <c r="AA117" s="3">
        <f>2470.5+(319.1-656.3)+(-3.779865+(-0.488223--1.004139))+0-29--0.0443700000000017</f>
        <v>2101.0804210000001</v>
      </c>
      <c r="AB117" s="3">
        <f>2472.8+(320.2-669.2)+(-1.261128+(-0.163302--0.341292))+0-28--0.0142799999999972</f>
        <v>2094.7311420000001</v>
      </c>
      <c r="AC117" s="3">
        <f>2427.5+(314.2-733.6)+(-3.714075+(-0.480726--1.122408))+0-29--0.0443700000000017</f>
        <v>1976.0719770000001</v>
      </c>
      <c r="AD117">
        <f t="shared" si="1"/>
        <v>43889.547850000003</v>
      </c>
      <c r="AE117" s="3">
        <f>2493.5+(324.9-652.6)+(0+(0-0))+0-24-0</f>
        <v>2141.8000000000002</v>
      </c>
    </row>
    <row r="118" spans="1:31" s="2" customFormat="1" x14ac:dyDescent="0.25">
      <c r="A118">
        <v>89</v>
      </c>
      <c r="B118">
        <v>4</v>
      </c>
      <c r="C118">
        <v>25</v>
      </c>
      <c r="D118">
        <v>7</v>
      </c>
      <c r="E118">
        <v>1</v>
      </c>
      <c r="F118" s="3">
        <f>2291+(241.8-737.6)+(3.50523+(0.369954-1.128528))+0-28-0.0428400000000016</f>
        <v>1769.903816</v>
      </c>
      <c r="G118" s="3">
        <f>2125.3+(246.2-744.1)+(-1.083903+(-0.125562--0.379491))+0-28--0.0142799999999972</f>
        <v>1598.5843060000002</v>
      </c>
      <c r="H118" s="3">
        <f>2085.8+(251.3-809.9)+(1.063758+(0.128163-0.413049))+0-27-0.0137699999999973</f>
        <v>1500.9651020000003</v>
      </c>
      <c r="I118" s="3">
        <f>2039.3+(257.4-815.2)+(1.040043+(0.131274-0.415752))+0-28-0.0142799999999972</f>
        <v>1454.2412849999998</v>
      </c>
      <c r="J118" s="3">
        <f>1994.5+(262.8-799.8)+(-3.051585+(-0.402084--1.223694))+0-28--0.0428400000000016</f>
        <v>1427.3128650000001</v>
      </c>
      <c r="K118" s="3">
        <f>1918.4+(263.8-744.3)+(-5.870304+(-0.807228--2.277558))+0-28--0.0856800000000032</f>
        <v>1405.5857060000001</v>
      </c>
      <c r="L118" s="3">
        <f>1830.6+(266.7-742.8)+(-4.66803+(-0.680085--1.89414))+0-28--0.0713999999999959</f>
        <v>1323.1174250000001</v>
      </c>
      <c r="M118" s="3">
        <f>1830.7+(246-745)+(0+(0-0))+0-30-0</f>
        <v>1301.7</v>
      </c>
      <c r="N118" s="3">
        <f>1911.5+(238.2-728.8)+(-1.94973+(-0.242964--0.743376))+0-30--0.0306000000000048</f>
        <v>1389.4812820000002</v>
      </c>
      <c r="O118" s="3">
        <f>2148.6+(251.9-842.1)+(-2.191572+(-0.256938--0.858942))+0-31--0.0316200000000049</f>
        <v>1525.8420519999997</v>
      </c>
      <c r="P118" s="3">
        <f>2169.2+(265.1-783.5)+(-1.106292+(-0.135201--0.399585))+0-31.5--0.0160649999999968</f>
        <v>1618.4741569999996</v>
      </c>
      <c r="Q118" s="3">
        <f>2287.5+(241.6-787.1)+(-2.33325+(-0.246432--0.802842))+0-31--0.0316200000000049</f>
        <v>1709.25478</v>
      </c>
      <c r="R118" s="3">
        <f>2237.5+(274.4-746)+(-1.141125+(-0.139944--0.38046))+0-29--0.0147899999999971</f>
        <v>1736.014181</v>
      </c>
      <c r="S118" s="3">
        <f>2291.6+(265.3-810.4)+(-1.168716+(-0.135303--0.413304))+0-28--0.0142799999999972</f>
        <v>1717.6235650000001</v>
      </c>
      <c r="T118" s="3">
        <f>2337.2+(246.3-850.8)+(2.383944+(0.251226-0.867816))+0-30-0.0306000000000048</f>
        <v>1704.4367539999998</v>
      </c>
      <c r="U118" s="3">
        <f>2281.3+(241-801.8)+(-2.326926+(-0.24582--0.817836))+0-31--0.0316200000000049</f>
        <v>1687.7767100000001</v>
      </c>
      <c r="V118" s="3">
        <f>2264.7+(231.5-804.2)+(2.309994+(0.23613-0.820284))+0-30-0.0306000000000048</f>
        <v>1663.6952399999998</v>
      </c>
      <c r="W118" s="3">
        <f>2246+(238.8-802.7)+(-2.29092+(-0.243576--0.818754))+0-27--0.0275400000000043</f>
        <v>1653.4117979999999</v>
      </c>
      <c r="X118" s="3">
        <f>2109.4+(258.6-687.2)+(-7.530558+(-0.923202--2.453304))+0-30--0.1071</f>
        <v>1644.9066440000001</v>
      </c>
      <c r="Y118" s="3">
        <f>2073.6+(134.3-572.3)+(2.115072+(0.136986-0.583746))+0-29-0.0295800000000046</f>
        <v>1608.238732</v>
      </c>
      <c r="Z118" s="3">
        <f>2202.6+(202.6-705.1)+(-3.369978+(-0.309978--1.078803))+0-28--0.0428400000000016</f>
        <v>1669.5416869999999</v>
      </c>
      <c r="AA118" s="3">
        <f>2483.5+(229.2-702.5)+(-2.53317+(-0.233784--0.71655))+0-29--0.0295800000000046</f>
        <v>1979.1791759999999</v>
      </c>
      <c r="AB118" s="3">
        <f>2411.6+(249.7-614.1)+(0+(0-0))+0-28-0</f>
        <v>2019.1999999999998</v>
      </c>
      <c r="AC118" s="3">
        <f>2392.7+(219.6-684.8)+(-2.440554+(-0.223992--0.698496))+0-28--0.0285600000000045</f>
        <v>1897.56251</v>
      </c>
      <c r="AD118">
        <f t="shared" si="1"/>
        <v>39006.049772999999</v>
      </c>
      <c r="AE118" s="3">
        <f>2499.2+(222-662.8)+(0+(0-0))+0-27.5-0</f>
        <v>2030.8999999999996</v>
      </c>
    </row>
    <row r="119" spans="1:31" s="2" customFormat="1" x14ac:dyDescent="0.25">
      <c r="A119">
        <v>89</v>
      </c>
      <c r="B119">
        <v>4</v>
      </c>
      <c r="C119">
        <v>26</v>
      </c>
      <c r="D119">
        <v>1</v>
      </c>
      <c r="E119">
        <v>1</v>
      </c>
      <c r="F119" s="3">
        <f>2300.4+(106-510.8)+(-3.519612+(-0.16218--0.781524))+0-28--0.0428400000000016</f>
        <v>1864.7425720000001</v>
      </c>
      <c r="G119" s="3">
        <f>2063.7+(101.6-441.9)+(-3.157461+(-0.155448--0.676107))+0-28--0.0428400000000016</f>
        <v>1692.8060379999999</v>
      </c>
      <c r="H119" s="3">
        <f>2058.4+(108.8-491.8)+(-1.049784+(-0.055488--0.250818))+0-28--0.0142799999999972</f>
        <v>1646.5598260000002</v>
      </c>
      <c r="I119" s="3">
        <f>2054.4+(107.9-499.4)+(-6.286464+(-0.330174--1.528164))+0-28--0.0856800000000032</f>
        <v>1629.8972060000001</v>
      </c>
      <c r="J119" s="3">
        <f>2059.1+(143.6-527)+(-2.100282+(-0.146472--0.53754))+0-28--0.0285600000000045</f>
        <v>1646.0193459999998</v>
      </c>
      <c r="K119" s="3">
        <f>2057.8+(119.7-536.1)+(-4.197912+(-0.244188--1.093644))+0-28--0.0571199999999988</f>
        <v>1610.1086640000001</v>
      </c>
      <c r="L119" s="3">
        <f>2057.5+(89.2-551.4)+(-5.246625+(-0.22746--1.40607))+0-29--0.0739499999999958</f>
        <v>1562.3059349999999</v>
      </c>
      <c r="M119" s="3">
        <f>2202.9+(127.6-631.8)+(1.123479+(0.065076-0.322218))+0-30-0.015299999999997</f>
        <v>1669.5510370000002</v>
      </c>
      <c r="N119" s="3">
        <f>2274.3+(93.6-514.3)+(0+(0-0))+0-28-0</f>
        <v>1825.6000000000004</v>
      </c>
      <c r="O119" s="3">
        <f>2347.5+(200.7-547)+(1.197225+(0.102357-0.27897))+0-32-0.0163199999999968</f>
        <v>1970.2042920000001</v>
      </c>
      <c r="P119" s="3">
        <f>2502.1+(184.8-695.1)+(1.276071+(0.094248-0.354501))+160-32-0.0163199999999968</f>
        <v>2120.7994979999999</v>
      </c>
      <c r="Q119" s="3">
        <f>2504.6+(198.2-658.5)+(0+(0-0))+160-31.5-0</f>
        <v>2172.8000000000002</v>
      </c>
      <c r="R119" s="3">
        <f>2529.9+(226.6-669.2)+(0+(0-0))+160-30-0</f>
        <v>2217.3000000000002</v>
      </c>
      <c r="S119" s="3">
        <f>2578.1+(240.5-728.8)+(0+(0-0))+160-28-0</f>
        <v>2221.8000000000002</v>
      </c>
      <c r="T119" s="3">
        <f>2609.7+(263.3-787.7)+(1.330947+(0.134283-0.401727))+160-28-0.0142799999999972</f>
        <v>2218.3492229999997</v>
      </c>
      <c r="U119" s="3">
        <f>2596.1+(274.2-797.2)+(2.648022+(0.279684-0.813144))+160-31-0.0316200000000049</f>
        <v>2204.1829419999999</v>
      </c>
      <c r="V119" s="3">
        <f>2589.9+(272.7-780.8)+(-1.320849+(-0.139077--0.398208))+160-31--0.0158099999999969</f>
        <v>2209.7540920000001</v>
      </c>
      <c r="W119" s="3">
        <f>2589.3+(279.3-717.1)+(0+(0-0))+0-31-0</f>
        <v>2120.5</v>
      </c>
      <c r="X119" s="3">
        <f>2528.3+(283.3-677.9)+(-3.868299+(-0.433449--1.037187))+0-29--0.0443700000000017</f>
        <v>2101.4798090000004</v>
      </c>
      <c r="Y119" s="3">
        <f>2459.3+(293.7-659.6)+(0+(0-0))+0-30-0</f>
        <v>2063.4</v>
      </c>
      <c r="Z119" s="3">
        <f>2436.5+(302.1-611.6)+(0+(0-0))+0-30-0</f>
        <v>2097</v>
      </c>
      <c r="AA119" s="3">
        <f>2639.9+(314.2-592.3)+(-4.039047+(-0.480726--0.906219))+0-29--0.0443700000000017</f>
        <v>2329.2308160000002</v>
      </c>
      <c r="AB119" s="3">
        <f>2614.1+(328.5-591.7)+(-5.332764+(-0.67014--1.207068))+0-29--0.0591599999999987</f>
        <v>2317.1633239999996</v>
      </c>
      <c r="AC119" s="3">
        <f>2522.7+(316.9-633.3)+(-5.146308+(-0.646476--1.291932))+0-28--0.0571199999999988</f>
        <v>2173.8562679999995</v>
      </c>
      <c r="AD119">
        <f t="shared" si="1"/>
        <v>47685.410887999999</v>
      </c>
      <c r="AE119" s="3">
        <f>2635.5+(328.3-754.2)+(0+(0-0))+0-28.5-0</f>
        <v>2181.1</v>
      </c>
    </row>
    <row r="120" spans="1:31" s="2" customFormat="1" x14ac:dyDescent="0.25">
      <c r="A120">
        <v>89</v>
      </c>
      <c r="B120">
        <v>4</v>
      </c>
      <c r="C120">
        <v>27</v>
      </c>
      <c r="D120">
        <v>2</v>
      </c>
      <c r="E120">
        <v>1</v>
      </c>
      <c r="F120" s="3">
        <f>2463.9+(262-963.7)+(-5.026356+(-0.53448--1.965948))+0-29--0.0591599999999987</f>
        <v>1729.664272</v>
      </c>
      <c r="G120" s="3">
        <f>2272.8+(281.4-970.9)+(-1.159128+(-0.143514--0.495159))+0-28--0.0142799999999972</f>
        <v>1554.5067970000002</v>
      </c>
      <c r="H120" s="3">
        <f>2159.6+(272.5-932.1)+(0+(0-0))+0-28-0</f>
        <v>1472</v>
      </c>
      <c r="I120" s="3">
        <f>2090.2+(274-894.5)+(-3.198006+(-0.41922--1.368585))+0-28--0.0428400000000016</f>
        <v>1439.494199</v>
      </c>
      <c r="J120" s="3">
        <f>2078.3+(274.2-901.8)+(-2.119866+(-0.279684--0.919836))+0-29--0.0295800000000046</f>
        <v>1420.2498660000001</v>
      </c>
      <c r="K120" s="3">
        <f>2078.1+(278.8-903)+(-5.299155+(-0.71094--2.30265))+0-27--0.0688499999999961</f>
        <v>1423.2614049999997</v>
      </c>
      <c r="L120" s="3">
        <f>2079.1+(266-925.1)+(-4.241364+(-0.54264--1.887204))+0-28--0.0571199999999988</f>
        <v>1389.16032</v>
      </c>
      <c r="M120" s="3">
        <f>2143+(271.2-903.7)+(-1.09293+(-0.138312--0.460887))+0-31--0.0158099999999969</f>
        <v>1478.745455</v>
      </c>
      <c r="N120" s="3">
        <f>2218.1+(276.1-823)+(-2.262462+(-0.281622--0.83946))+0-31--0.0316200000000049</f>
        <v>1638.5269959999998</v>
      </c>
      <c r="O120" s="3">
        <f>2334+(284.5-803)+(1.19034+(0.145095-0.40953))+0-31-0.0158099999999969</f>
        <v>1785.410095</v>
      </c>
      <c r="P120" s="3">
        <f>2481.3+(291.4-889.7)+(1.265463+(0.148614-0.453747))+50-30-0.015299999999997</f>
        <v>1903.9450300000001</v>
      </c>
      <c r="Q120" s="3">
        <f>2479.2+(298-910.4)+(2.528784+(0.30396-0.928608))+150-31-0.0316200000000049</f>
        <v>1987.6725159999999</v>
      </c>
      <c r="R120" s="3">
        <f>2473.8+(303.3-894.7)+(1.261638+(0.154683-0.456297))+150-28-0.0142799999999972</f>
        <v>2005.345744</v>
      </c>
      <c r="S120" s="3">
        <f>2470.3+(306.4-914.3)+(1.259853+(0.156264-0.466293))+150-30-0.015299999999997</f>
        <v>1983.3345240000001</v>
      </c>
      <c r="T120" s="3">
        <f>2500.7+(307.4-970.1)+(2.550714+(0.313548-0.989502))+150-32-0.0326400000000051</f>
        <v>1957.8421199999998</v>
      </c>
      <c r="U120" s="3">
        <f>2550.2+(310.6-995.5)+(2.601204+(0.316812-1.01541))+150-31-0.0316200000000049</f>
        <v>1986.1709859999999</v>
      </c>
      <c r="V120" s="3">
        <f>2540.5+(310.1-986.2)+(1.295655+(0.158151-0.502962))+150-31-0.0158099999999969</f>
        <v>1984.335034</v>
      </c>
      <c r="W120" s="3">
        <f>2523.6+(286.2-923.1)+(0+(0-0))+25-30-0</f>
        <v>1881.6999999999998</v>
      </c>
      <c r="X120" s="3">
        <f>2479.8+(265.8-857.2)+(-3.794094+(-0.406674--1.311516))+0-31--0.0474300000000018</f>
        <v>1854.5581780000002</v>
      </c>
      <c r="Y120" s="3">
        <f>2322.8+(259.7-745.1)+(-1.184628+(-0.132447--0.380001))+0-31--0.0158099999999969</f>
        <v>1805.4787360000003</v>
      </c>
      <c r="Z120" s="3">
        <f>2426+(292.9-824.7)+(1.23726+(0.149379-0.420597))+0-31-0.0158099999999969</f>
        <v>1864.1502319999997</v>
      </c>
      <c r="AA120" s="3">
        <f>2572.4+(315.6-648.2)+(0+(0-0))+0-29-0</f>
        <v>2210.8000000000002</v>
      </c>
      <c r="AB120" s="3">
        <f>2524.8+(332.3-688.6)+(-5.150592+(-0.677892--1.404744))+0-29--0.0591599999999987</f>
        <v>2135.1354199999996</v>
      </c>
      <c r="AC120" s="3">
        <f>2519.7+(332.5-829.1)+(-2.570094+(-0.33915--0.845682))+0-29--0.0295800000000046</f>
        <v>1992.0660179999998</v>
      </c>
      <c r="AD120">
        <f t="shared" si="1"/>
        <v>42883.553942999999</v>
      </c>
      <c r="AE120" s="3">
        <f>2565.8+(317-658.8)+(0+(0-0))+0-29-0</f>
        <v>2195</v>
      </c>
    </row>
    <row r="121" spans="1:31" s="2" customFormat="1" x14ac:dyDescent="0.25">
      <c r="A121">
        <v>89</v>
      </c>
      <c r="B121">
        <v>4</v>
      </c>
      <c r="C121">
        <v>28</v>
      </c>
      <c r="D121">
        <v>3</v>
      </c>
      <c r="E121">
        <v>1</v>
      </c>
      <c r="F121" s="3">
        <f>2500+(286-849.9)+(-3.825+(-0.43758--1.300347))+0-29--0.0443700000000017</f>
        <v>1904.182137</v>
      </c>
      <c r="G121" s="3">
        <f>2331.9+(294.7-890.1)+(-2.378538+(-0.300594--0.907902))+0-29--0.0295800000000046</f>
        <v>1705.7583499999998</v>
      </c>
      <c r="H121" s="3">
        <f>2204.9+(289.7-840.5)+(-4.497996+(-0.590988--1.71462))+0-29--0.0591599999999987</f>
        <v>1621.7847960000001</v>
      </c>
      <c r="I121" s="3">
        <f>2127.4+(288-805.3)+(-3.254922+(-0.44064--1.232109))+0-28--0.0428400000000016</f>
        <v>1579.6793870000001</v>
      </c>
      <c r="J121" s="3">
        <f>2048+(286.1-749.1)+(-2.08896+(-0.291822--0.764082))+0-29--0.0295800000000046</f>
        <v>1554.4128799999999</v>
      </c>
      <c r="K121" s="3">
        <f>1899.4+(281.6-612.2)+(-3.874776+(-0.574464--1.248888))+0-30--0.0611999999999987</f>
        <v>1535.6608480000002</v>
      </c>
      <c r="L121" s="3">
        <f>1897.6+(272.4-645.5)+(-3.871104+(-0.555696--1.31682))+0-30--0.0611999999999987</f>
        <v>1491.4512200000001</v>
      </c>
      <c r="M121" s="3">
        <f>2020.8+(254.8-673.2)+(-3.091824+(-0.389844--1.029996))+0-29--0.0443700000000017</f>
        <v>1570.992698</v>
      </c>
      <c r="N121" s="3">
        <f>2307.2+(238.1-758.2)+(1.176672+(0.121431-0.386682))+0-28-0.0142799999999972</f>
        <v>1759.9971409999998</v>
      </c>
      <c r="O121" s="3">
        <f>2477.1+(235.1-795.5)+(1.263321+(0.119901-0.405705))+0-28-0.0142799999999972</f>
        <v>1889.6632369999998</v>
      </c>
      <c r="P121" s="3">
        <f>2491.5+(245.6-732.8)+(0+(0-0))+0-30-0</f>
        <v>1974.3000000000002</v>
      </c>
      <c r="Q121" s="3">
        <f>2475.4+(255.8-670)+(1.262454+(0.130458-0.3417))+0-32-0.0163199999999968</f>
        <v>2030.2348920000002</v>
      </c>
      <c r="R121" s="3">
        <f>2538.6+(254.3-752.8)+(-1.294686+(-0.129693--0.383928))+0-32--0.0163199999999968</f>
        <v>2007.0758689999998</v>
      </c>
      <c r="S121" s="3">
        <f>2526.7+(264-773.6)+(-1.288617+(-0.13464--0.394536))+0-31--0.0158099999999969</f>
        <v>1985.0870890000001</v>
      </c>
      <c r="T121" s="3">
        <f>2511.6+(270-781.8)+(2.561832+(0.2754-0.797436))+0-30-0.0306000000000048</f>
        <v>1971.8091959999999</v>
      </c>
      <c r="U121" s="3">
        <f>2488.1+(271.1-740.2)+(1.268931+(0.138261-0.377502))+0-28-0.0142799999999972</f>
        <v>1992.01541</v>
      </c>
      <c r="V121" s="3">
        <f>2476.6+(260.4-726.4)+(-2.526132+(-0.265608--0.740928))+0-28--0.0285600000000045</f>
        <v>1980.5777479999999</v>
      </c>
      <c r="W121" s="3">
        <f>2449+(257.7-707.4)+(-4.99596+(-0.525708--1.443096))+0-28--0.0571199999999988</f>
        <v>1967.278548</v>
      </c>
      <c r="X121" s="3">
        <f>2442.7+(253.8-773.6)+(-4.983108+(-0.517752--1.578144))+0-27--0.0550799999999988</f>
        <v>1892.0323639999999</v>
      </c>
      <c r="Y121" s="3">
        <f>2412.3+(256.5-800.9)+(0+(0-0))+0-26-0</f>
        <v>1841.9</v>
      </c>
      <c r="Z121" s="3">
        <f>2429.7+(314-826.6)+(1.239147+(0.16014-0.421566))+0-30-0.015299999999997</f>
        <v>1888.0624209999999</v>
      </c>
      <c r="AA121" s="3">
        <f>2563+(318.1-665.9)+(-2.61426+(-0.324462--0.679218))+0-31--0.0316200000000049</f>
        <v>2181.9721159999999</v>
      </c>
      <c r="AB121" s="3">
        <f>2483.4+(302.5-617.8)+(-1.266534+(-0.154275--0.315078))+14-32--0.0163199999999968</f>
        <v>2149.0105890000004</v>
      </c>
      <c r="AC121" s="3">
        <f>2487.4+(258.1-700.3)+(0+(0-0))+0-32-0</f>
        <v>2013.2000000000003</v>
      </c>
      <c r="AD121">
        <f t="shared" si="1"/>
        <v>44488.138935999996</v>
      </c>
      <c r="AE121" s="3">
        <f>2557.4+(336.1-650.1)+(0+(0-0))+0-32-0</f>
        <v>2211.4</v>
      </c>
    </row>
    <row r="122" spans="1:31" s="2" customFormat="1" x14ac:dyDescent="0.25">
      <c r="A122">
        <v>89</v>
      </c>
      <c r="B122">
        <v>4</v>
      </c>
      <c r="C122">
        <v>29</v>
      </c>
      <c r="D122">
        <v>4</v>
      </c>
      <c r="E122">
        <v>1</v>
      </c>
      <c r="F122" s="3">
        <f>2480.7+(180.9-841.1)+(-5.060628+(-0.369036--1.715844))+0-27.9--0.0569159999999988</f>
        <v>1788.9430959999997</v>
      </c>
      <c r="G122" s="3">
        <f>2372.3+(200.7-913.9)+(-7.259238+(-0.614142--2.796534))+0-28--0.0856800000000032</f>
        <v>1626.1088340000001</v>
      </c>
      <c r="H122" s="3">
        <f>2195.9+(222.5-860.4)+(-3.359727+(-0.340425--1.316412))+0-27--0.0413100000000016</f>
        <v>1528.6575700000001</v>
      </c>
      <c r="I122" s="3">
        <f>2087+(237.6-823.6)+(-3.19311+(-0.363528--1.260108))+0-28--0.0428400000000016</f>
        <v>1470.74631</v>
      </c>
      <c r="J122" s="3">
        <f>2058.3+(241.7-830.3)+(2.099466+(0.246534-0.846906))+0-24-0.0244800000000038</f>
        <v>1447.1746140000002</v>
      </c>
      <c r="K122" s="3">
        <f>2049.2+(227.4-780.8)+(-2.090184+(-0.231948--0.796416))+0-29--0.0295800000000046</f>
        <v>1465.3038639999995</v>
      </c>
      <c r="L122" s="3">
        <f>1874.9+(218.9-673.9)+(-5.737194+(-0.669834--2.062134))+0-27--0.0826200000000031</f>
        <v>1388.6377259999999</v>
      </c>
      <c r="M122" s="3">
        <f>2012.7+(195.4-668)+(1.026477+(0.099654-0.34068))+0-30-0.015299999999997</f>
        <v>1510.8701509999999</v>
      </c>
      <c r="N122" s="3">
        <f>2173.3+(186.5-641.3)+(1.108383+(0.095115-0.327063))+0-31-0.0158099999999969</f>
        <v>1688.360625</v>
      </c>
      <c r="O122" s="3">
        <f>2428+(192.4-742.8)+(2.47656+(0.196248-0.757656))+0-32-0.0326400000000051</f>
        <v>1847.482512</v>
      </c>
      <c r="P122" s="3">
        <f>2451.6+(192.4-660.1)+(2.500632+(0.196248-0.673302))+0-31-0.0316200000000049</f>
        <v>1954.8919579999999</v>
      </c>
      <c r="Q122" s="3">
        <f>2488.1+(193-625.9)+(1.268931+(0.09843-0.319209))+0-32-0.0163199999999968</f>
        <v>2024.2318319999997</v>
      </c>
      <c r="R122" s="3">
        <f>2518.6+(196.5-665.9)+(3.853458+(0.300645-1.018827))+0-30-0.0459000000000017</f>
        <v>2022.2893759999997</v>
      </c>
      <c r="S122" s="3">
        <f>2508.7+(191.5-688.7)+(1.279437+(0.097665-0.351237))+0-30-0.015299999999997</f>
        <v>1982.5105649999998</v>
      </c>
      <c r="T122" s="3">
        <f>2501.3+(197.4-702.3)+(5.102652+(0.402696-1.432692))+0-30-0.0611999999999987</f>
        <v>1970.411456</v>
      </c>
      <c r="U122" s="3">
        <f>2478+(207.8-675.3)+(1.26378+(0.105978-0.344403))+0-31-0.0158099999999969</f>
        <v>1980.5095449999999</v>
      </c>
      <c r="V122" s="3">
        <f>2471.5+(206.3-660.4)+(-1.260465+(-0.105213--0.336804))+0-31--0.0158099999999969</f>
        <v>1985.3869360000001</v>
      </c>
      <c r="W122" s="3">
        <f>2485.6+(195.2-664.7)+(-3.802968+(-0.298656--1.016991))+0-31--0.0474300000000018</f>
        <v>1982.062797</v>
      </c>
      <c r="X122" s="3">
        <f>2493.7+(246.5-794.7)+(-3.815361+(-0.377145--1.215891))+0-30--0.0459000000000017</f>
        <v>1912.5692849999998</v>
      </c>
      <c r="Y122" s="3">
        <f>2428.9+(264.7-818.1)+(-3.716217+(-0.404991--1.251693))+0-30--0.0459000000000017</f>
        <v>1842.676385</v>
      </c>
      <c r="Z122" s="3">
        <f>2408.8+(299.4-798.3)+(0+(0-0))+0-31-0</f>
        <v>1878.9</v>
      </c>
      <c r="AA122" s="3">
        <f>2429.5+(332.4-575.3)+(-1.239045+(-0.169524--0.293403))+0-28--0.0142799999999972</f>
        <v>2157.4991139999997</v>
      </c>
      <c r="AB122" s="3">
        <f>2456+(339-623.9)+(-2.50512+(-0.34578--0.636378))+0-28--0.0285600000000045</f>
        <v>2140.9140379999999</v>
      </c>
      <c r="AC122" s="3">
        <f>2469.3+(328.8-769.4)+(2.518686+(0.335376-0.784788))+0-28-0.0285600000000045</f>
        <v>2002.7407140000003</v>
      </c>
      <c r="AD122">
        <f t="shared" si="1"/>
        <v>43599.879303000002</v>
      </c>
      <c r="AE122" s="3">
        <f>2397.3+(336.6-512.8)+(0+(0-0))+0-31-0</f>
        <v>2190.1000000000004</v>
      </c>
    </row>
    <row r="123" spans="1:31" s="2" customFormat="1" x14ac:dyDescent="0.25">
      <c r="A123">
        <v>89</v>
      </c>
      <c r="B123">
        <v>4</v>
      </c>
      <c r="C123">
        <v>30</v>
      </c>
      <c r="D123">
        <v>5</v>
      </c>
      <c r="E123">
        <v>1</v>
      </c>
      <c r="F123" s="3">
        <f>2469.5+(234.1-882.8)+(0+(0-0))+0-27-0</f>
        <v>1793.8000000000002</v>
      </c>
      <c r="G123" s="3">
        <f>2297+(267.3-927.5)+(-1.17147+(-0.136323--0.473025))+0-28--0.0142799999999972</f>
        <v>1607.9795120000001</v>
      </c>
      <c r="H123" s="3">
        <f>1926.9+(272.5-703.7)+(0.982719+(0.138975-0.358887))+0-29-0.0147899999999971</f>
        <v>1467.4480170000002</v>
      </c>
      <c r="I123" s="3">
        <f>1836.2+(271-681.1)+(-0.936462+(-0.13821--0.347361))+0-28--0.0142799999999972</f>
        <v>1397.3869689999999</v>
      </c>
      <c r="J123" s="3">
        <f>1737.2+(280.2-554.8)+(-1.771944+(-0.285804--0.565896))+0-29--0.0295800000000046</f>
        <v>1432.1377279999999</v>
      </c>
      <c r="K123" s="3">
        <f>1725.4+(276.7-539.5)+(-0.879954+(-0.141117--0.275145))+0-28--0.0142799999999972</f>
        <v>1433.8683540000002</v>
      </c>
      <c r="L123" s="3">
        <f>1750.8+(264.1-629.2)+(-0.892908+(-0.134691--0.320892))+0-28--0.0142799999999972</f>
        <v>1357.0075729999999</v>
      </c>
      <c r="M123" s="3">
        <f>1909.5+(267.1-643.6)+(-0.973845+(-0.136221--0.328236))+0-28--0.0142799999999972</f>
        <v>1504.2324500000002</v>
      </c>
      <c r="N123" s="3">
        <f>2160.8+(278.3-699.6)+(-1.102008+(-0.141933--0.356796))+0-30--0.015299999999997</f>
        <v>1708.6281550000003</v>
      </c>
      <c r="O123" s="3">
        <f>2336.8+(275.9-744.1)+(0+(0-0))+0-31-0</f>
        <v>1837.6000000000001</v>
      </c>
      <c r="P123" s="3">
        <f>2619.6+(244.7-845.1)+(-1.335996+(-0.124797--0.431001))+0-31--0.0158099999999969</f>
        <v>1987.1860179999999</v>
      </c>
      <c r="Q123" s="3">
        <f>2624.6+(236.7-824.7)+(1.338546+(0.120717-0.420597))+0-31-0.0158099999999969</f>
        <v>2006.6228559999997</v>
      </c>
      <c r="R123" s="3">
        <f>2621.6+(228.2-862.4)+(-1.337016+(-0.116382--0.439824))+37.5-29.8--0.015197999999997</f>
        <v>1994.1016239999999</v>
      </c>
      <c r="S123" s="3">
        <f>2628.8+(230.4-899.1)+(-1.340688+(-0.117504--0.458541))+75-29.8--0.015197999999997</f>
        <v>2004.3155470000002</v>
      </c>
      <c r="T123" s="3">
        <f>2616.5+(212.4-890.6)+(4.003245+(0.324972-1.362618))+75-30.3-0.0463590000000018</f>
        <v>1985.9192400000002</v>
      </c>
      <c r="U123" s="3">
        <f>2611.3+(210.2-862)+(0+(0-0))+75-28.8-0</f>
        <v>2005.7000000000003</v>
      </c>
      <c r="V123" s="3">
        <f>2583.6+(206.8-813.4)+(-1.317636+(-0.105468--0.414834))+75-28.2--0.0143819999999971</f>
        <v>2022.8061119999998</v>
      </c>
      <c r="W123" s="3">
        <f>2553.1+(204.1-778.2)+(-3.906243+(-0.312273--1.190646))+50-28.5--0.0436050000000016</f>
        <v>1997.5157350000002</v>
      </c>
      <c r="X123" s="3">
        <f>2355.1+(198.5-616.9)+(-3.603303+(-0.303705--0.943857))+0-25.2--0.0385560000000015</f>
        <v>1908.5754049999998</v>
      </c>
      <c r="Y123" s="3">
        <f>2302.1+(193.8-615.8)+(1.174071+(0.098838-0.314058))+0-27.9-0.0142289999999972</f>
        <v>1853.144622</v>
      </c>
      <c r="Z123" s="3">
        <f>2435.8+(260-757.6)+(2.484516+(0.2652-0.772752))+0-28.5-0.0290700000000045</f>
        <v>1911.6478940000002</v>
      </c>
      <c r="AA123" s="3">
        <f>2570.7+(277.1-613.8)+(-1.311057+(-0.141321--0.313038))+0-28.8--0.0146879999999971</f>
        <v>2204.0753479999998</v>
      </c>
      <c r="AB123" s="3">
        <f>2578.9+(258.4-619.5)+(-1.315239+(-0.131784--0.315945))+0-29.1--0.014840999999997</f>
        <v>2187.5837630000005</v>
      </c>
      <c r="AC123" s="3">
        <f>2583.4+(218.1-724)+(-2.635068+(-0.222462--0.73848))+0-27.6--0.0281520000000044</f>
        <v>2047.8091020000004</v>
      </c>
      <c r="AD123">
        <f t="shared" si="1"/>
        <v>43657.092023999998</v>
      </c>
      <c r="AE123" s="3">
        <f>2568.8+(285.4-595.1)+(0+(0-0))+0-30-0</f>
        <v>2229.1000000000004</v>
      </c>
    </row>
    <row r="124" spans="1:31" s="2" customFormat="1" x14ac:dyDescent="0.25">
      <c r="A124">
        <v>89</v>
      </c>
      <c r="B124">
        <v>4</v>
      </c>
      <c r="C124">
        <v>31</v>
      </c>
      <c r="D124">
        <v>6</v>
      </c>
      <c r="E124">
        <v>1</v>
      </c>
      <c r="F124" s="3">
        <f>2543.9+(87.7-794.4)+(-2.594778+(-0.089454--0.810288))+0-28--0.0285600000000045</f>
        <v>1807.3546160000003</v>
      </c>
      <c r="G124" s="3">
        <f>2539.9+(58.5-921.5)+(2.590698+(0.05967-0.93993))+0-29-0.0295800000000046</f>
        <v>1649.5808580000003</v>
      </c>
      <c r="H124" s="3">
        <f>2451.3+(58.1-920)+(-5.000652+(-0.118524--1.8768))+0-29--0.0591599999999987</f>
        <v>1557.2167840000002</v>
      </c>
      <c r="I124" s="3">
        <f>2371.1+(56.5-896.3)+(-6.046305+(-0.144075--2.285565))+0-29--0.0739499999999958</f>
        <v>1498.4691349999998</v>
      </c>
      <c r="J124" s="3">
        <f>2328.3+(64.7-872)+(1.187433+(0.032997-0.44472))+0-29-0.0147899999999971</f>
        <v>1492.7609200000002</v>
      </c>
      <c r="K124" s="3">
        <f>2087.4+(86.1-680.2)+(-5.32287+(-0.219555--1.73451))+0-28--0.0713999999999959</f>
        <v>1461.5634850000001</v>
      </c>
      <c r="L124" s="3">
        <f>2082+(102.7-735)+(-2.12364+(-0.104754--0.7497))+0-27--0.0275400000000043</f>
        <v>1421.2488460000002</v>
      </c>
      <c r="M124" s="3">
        <f>2090+(68.7-652.1)+(-1.0659+(-0.035037--0.332571))+0-28--0.0142799999999972</f>
        <v>1477.845914</v>
      </c>
      <c r="N124" s="3">
        <f>2250.5+(64.6-628.1)+(1.147755+(0.032946-0.320331))+0-28-0.0142799999999972</f>
        <v>1659.84609</v>
      </c>
      <c r="O124" s="3">
        <f>2437.1+(117.4-688.8)+(0+(0-0))+0-29-0</f>
        <v>1836.6999999999998</v>
      </c>
      <c r="P124" s="3">
        <f>2492+(160.5-655.4)+(0+(0-0))+0-29-0</f>
        <v>1968.1</v>
      </c>
      <c r="Q124" s="3">
        <f>2539.6+(163.8-661.1)+(0+(0-0))+0-28-0</f>
        <v>2014.3</v>
      </c>
      <c r="R124" s="3">
        <f>2561.1+(139.6-609.7)+(1.306161+(0.071196-0.310947))+0-27.6-0.0140759999999972</f>
        <v>2064.4523340000001</v>
      </c>
      <c r="S124" s="3">
        <f>2648+(98.5-684.1)+(1.35048+(0.050235-0.348891))+0-27.6-0.0140759999999972</f>
        <v>2035.8377480000004</v>
      </c>
      <c r="T124" s="3">
        <f>2643.1+(72.2-672.1)+(2.695962+(0.073644-0.685542))+0-28.2-0.0287640000000045</f>
        <v>2017.0552999999998</v>
      </c>
      <c r="U124" s="3">
        <f>2635.2+(49.5-682.1)+(0+(0-0))+0-28.5-0</f>
        <v>1974.1</v>
      </c>
      <c r="V124" s="3">
        <f>2632+(48.8-679.5)+(0+(0-0))+0-28.2-0</f>
        <v>1973.1</v>
      </c>
      <c r="W124" s="3">
        <f>2634.9+(72.3-683)+(-2.687598+(-0.073746--0.69666))+0-28.5--0.0290700000000045</f>
        <v>1993.6643860000001</v>
      </c>
      <c r="X124" s="3">
        <f>2506.5+(86.7-591.5)+(-7.66989+(-0.265302--1.80999))+0-27.9--0.0853740000000032</f>
        <v>1967.760172</v>
      </c>
      <c r="Y124" s="3">
        <f>2335+(117.7-575.4)+(-1.19085+(-0.060027--0.293454))+0-27.9--0.0142289999999972</f>
        <v>1848.4568059999997</v>
      </c>
      <c r="Z124" s="3">
        <f>2559.5+(139.2-732.1)+(-5.22138+(-0.283968--1.493484))+0-28.2--0.0575279999999988</f>
        <v>1934.4456639999999</v>
      </c>
      <c r="AA124" s="3">
        <f>2584+(125.7-442.3)+(-5.27136+(-0.256428--0.902292))+0-29.1--0.0593639999999987</f>
        <v>2233.7338680000003</v>
      </c>
      <c r="AB124" s="3">
        <f>2470.1+(145.1-342.8)+(0+(0-0))+0-28.2-0</f>
        <v>2244.2000000000003</v>
      </c>
      <c r="AC124" s="3">
        <f>2433.7+(119.5-410.9)+(-2.482374+(-0.12189--0.419118))+0-28.5--0.0290700000000045</f>
        <v>2111.643924</v>
      </c>
      <c r="AD124">
        <f t="shared" si="1"/>
        <v>44243.436849999998</v>
      </c>
      <c r="AE124" s="3">
        <f>2581.7+(164.8-518.5)+(0+(0-0))+0-28.2-0</f>
        <v>2199.8000000000002</v>
      </c>
    </row>
    <row r="125" spans="1:31" s="2" customFormat="1" x14ac:dyDescent="0.25">
      <c r="A125">
        <v>89</v>
      </c>
      <c r="B125">
        <v>5</v>
      </c>
      <c r="C125">
        <v>1</v>
      </c>
      <c r="D125">
        <v>7</v>
      </c>
      <c r="E125">
        <v>1</v>
      </c>
      <c r="F125" s="3">
        <f>2408.7+(13.2-649.7)+(-1.228437+(-0.006732--0.331347))+0-28--0.0142799999999972</f>
        <v>1743.3104579999999</v>
      </c>
      <c r="G125" s="3">
        <f>2468.5+(42.6-835.2)+(-7.55361+(-0.130356--2.555712))+0-28--0.0856800000000032</f>
        <v>1642.857426</v>
      </c>
      <c r="H125" s="3">
        <f>2507.6+(54.8-983.8)+(-6.39438+(-0.13974--2.50869))+0-29--0.0739499999999958</f>
        <v>1545.64852</v>
      </c>
      <c r="I125" s="3">
        <f>2394.4+(52.6-949.4)+(1.221144+(0.026826-0.484194))+0-27-0.0137699999999973</f>
        <v>1471.3500060000001</v>
      </c>
      <c r="J125" s="3">
        <f>2120+(40.9-702.2)+(-1.0812+(-0.020859--0.358122))+0-28--0.0142799999999972</f>
        <v>1429.970343</v>
      </c>
      <c r="K125" s="3">
        <f>2023.6+(41.8-637.6)+(-2.064072+(-0.042636--0.650352))+0-27--0.0275400000000043</f>
        <v>1399.3711839999999</v>
      </c>
      <c r="L125" s="3">
        <f>2020.7+(40-709.1)+(-1.030557+(-0.0204--0.361641))+0-27--0.0137699999999973</f>
        <v>1323.924454</v>
      </c>
      <c r="M125" s="3">
        <f>2021.1+(29.2-711.9)+(-1.030761+(-0.014892--0.363069))+0-28--0.0142799999999972</f>
        <v>1309.7316960000003</v>
      </c>
      <c r="N125" s="3">
        <f>2098.5+(38.2-712.2)+(0+(0-0))+0-29-0</f>
        <v>1395.5</v>
      </c>
      <c r="O125" s="3">
        <f>2181.2+(66.7-685.4)+(1.112412+(0.034017-0.349554))+0-29-0.0147899999999971</f>
        <v>1534.2820850000001</v>
      </c>
      <c r="P125" s="3">
        <f>2174.7+(96.2-606.4)+(-2.218194+(-0.098124--0.618528))+0-28--0.0285600000000045</f>
        <v>1634.8307699999998</v>
      </c>
      <c r="Q125" s="3">
        <f>2280.4+(109.6-656.1)+(1.163004+(0.055896-0.334611))+0-28-0.0142799999999972</f>
        <v>1706.7700090000001</v>
      </c>
      <c r="R125" s="3">
        <f>2372.7+(155.7-743.5)+(-2.420154+(-0.158814--0.75837))+0-27.9--0.0284580000000044</f>
        <v>1755.2078599999998</v>
      </c>
      <c r="S125" s="3">
        <f>2326.3+(198.7-777.7)+(-1.186413+(-0.101337--0.396627))+0-27.3--0.0139229999999972</f>
        <v>1719.1228000000001</v>
      </c>
      <c r="T125" s="3">
        <f>2303.9+(173.9-758.4)+(-2.349978+(-0.177378--0.773568))+0-27.6--0.0281520000000044</f>
        <v>1690.0743640000003</v>
      </c>
      <c r="U125" s="3">
        <f>2322.1+(168.3-782)+(0+(0-0))+0-27.9-0</f>
        <v>1680.4999999999998</v>
      </c>
      <c r="V125" s="3">
        <f>2259.8+(168.7-733.2)+(0+(0-0))+0-27.6-0</f>
        <v>1667.7000000000003</v>
      </c>
      <c r="W125" s="3">
        <f>2180.9+(122-638)+(-4.449036+(-0.24888--1.30152))+0-27.6--0.0563039999999988</f>
        <v>1633.959908</v>
      </c>
      <c r="X125" s="3">
        <f>2045.5+(115.9-518.9)+(-2.08641+(-0.118218--0.529278))+0-27--0.0275400000000043</f>
        <v>1613.8521900000001</v>
      </c>
      <c r="Y125" s="3">
        <f>2057.8+(147.6-603.8)+(0+(0-0))+0-27-0</f>
        <v>1574.6000000000004</v>
      </c>
      <c r="Z125" s="3">
        <f>2252.4+(259.5-816.2)+(-2.297448+(-0.26469--0.832524))+0-27.6--0.0281520000000044</f>
        <v>1666.3985380000001</v>
      </c>
      <c r="AA125" s="3">
        <f>2519.6+(265-753.8)+(0+(0-0))+0-26.4-0</f>
        <v>2004.3999999999999</v>
      </c>
      <c r="AB125" s="3">
        <f>2490.5+(264.7-739.8)+(-2.54031+(-0.269994--0.754596))+0-27.9--0.0284580000000044</f>
        <v>1985.4727499999999</v>
      </c>
      <c r="AC125" s="3">
        <f>2464+(262.8-795.6)+(-1.25664+(-0.134028--0.405756))+0-27.9--0.0142289999999972</f>
        <v>1902.3293169999999</v>
      </c>
      <c r="AD125">
        <f t="shared" si="1"/>
        <v>39031.164678000008</v>
      </c>
      <c r="AE125" s="3">
        <f>2523.2+(267.5-734.6)+(0+(0-0))+0-27-0</f>
        <v>2029.1</v>
      </c>
    </row>
    <row r="126" spans="1:31" s="2" customFormat="1" x14ac:dyDescent="0.25">
      <c r="A126">
        <v>89</v>
      </c>
      <c r="B126">
        <v>5</v>
      </c>
      <c r="C126">
        <v>2</v>
      </c>
      <c r="D126">
        <v>1</v>
      </c>
      <c r="E126">
        <v>1</v>
      </c>
      <c r="F126" s="3">
        <f>2381.9+(222.3-900.5)+(-1.214769+(-0.113373--0.459255))+0-28--0.0142799999999972</f>
        <v>1674.8453930000001</v>
      </c>
      <c r="G126" s="3">
        <f>2267.2+(223.8-955.9)+(1.156272+(0.114138-0.487509))+0-28-0.0142799999999972</f>
        <v>1507.8686209999998</v>
      </c>
      <c r="H126" s="3">
        <f>2148.1+(226.1-943.8)+(1.095531+(0.115311-0.481338))+0-27-0.0137699999999973</f>
        <v>1404.115734</v>
      </c>
      <c r="I126" s="3">
        <f>2161.9+(241-1000)+(-2.205138+(-0.24582--1.02))+0-27--0.0275400000000043</f>
        <v>1374.4965820000002</v>
      </c>
      <c r="J126" s="3">
        <f>2047.7+(248.8-912.5)+(0+(0-0))+0-28-0</f>
        <v>1356</v>
      </c>
      <c r="K126" s="3">
        <f>1855.2+(242.4-716.1)+(-1.892304+(-0.247248--0.730422))+0-28--0.0285600000000045</f>
        <v>1352.11943</v>
      </c>
      <c r="L126" s="3">
        <f>1762.1+(227.9-651.8)+(0+(0-0))+0-28-0</f>
        <v>1310.1999999999998</v>
      </c>
      <c r="M126" s="3">
        <f>1852.6+(219.8-663)+(1.889652+(0.224196-0.67626))+0-28-0.0285600000000045</f>
        <v>1382.8090279999999</v>
      </c>
      <c r="N126" s="3">
        <f>2080.6+(211.3-696.1)+(-2.122212+(-0.215526--0.710022))+0-27--0.0275400000000043</f>
        <v>1567.199824</v>
      </c>
      <c r="O126" s="3">
        <f>2344.7+(216.3-795.8)+(0+(0-0))+0-27-0</f>
        <v>1738.1999999999998</v>
      </c>
      <c r="P126" s="3">
        <f>2541.4+(201.5-861.8)+(1.296114+(0.102765-0.439518))+0-29-0.0147899999999971</f>
        <v>1853.0445710000001</v>
      </c>
      <c r="Q126" s="3">
        <f>2566.7+(208-842.1)+(0+(0-0))+105-28-0</f>
        <v>2009.6</v>
      </c>
      <c r="R126" s="3">
        <f>2547+(210.5-907.8)+(1.29897+(0.107355-0.462978))+140-29-0.0147899999999971</f>
        <v>1961.628557</v>
      </c>
      <c r="S126" s="3">
        <f>2560+(208.4-919)+(1.3056+(0.106284-0.46869))+140-29-0.0147899999999971</f>
        <v>1961.3284040000001</v>
      </c>
      <c r="T126" s="3">
        <f>2549.5+(209.2-915.2)+(1.300245+(0.106692-0.466752))+140-29-0.0147899999999971</f>
        <v>1955.425395</v>
      </c>
      <c r="U126" s="3">
        <f>2542.3+(209.7-878.5)+(1.296573+(0.106947-0.448035))+119.2-29-0.0147899999999971</f>
        <v>1964.6406950000003</v>
      </c>
      <c r="V126" s="3">
        <f>2657.8+(213.2-961.1)+(-5.421912+(-0.434928--1.960644))+90-28--0.0571199999999988</f>
        <v>1968.0609240000001</v>
      </c>
      <c r="W126" s="3">
        <f>2640.3+(213-914.6)+(-2.693106+(-0.21726--0.932892))+7.5-28--0.0285600000000045</f>
        <v>1916.2510860000002</v>
      </c>
      <c r="X126" s="3">
        <f>2595.4+(207.3-893.1)+(-5.294616+(-0.422892--1.821924))+0-28--0.0571199999999988</f>
        <v>1877.761536</v>
      </c>
      <c r="Y126" s="3">
        <f>2432.9+(207.9-801.3)+(-2.481558+(-0.212058--0.817326))+0-28--0.0285600000000045</f>
        <v>1809.65227</v>
      </c>
      <c r="Z126" s="3">
        <f>2541.8+(256-879.4)+(-2.592636+(-0.26112--0.896988))+0-28--0.0285600000000045</f>
        <v>1888.4717920000001</v>
      </c>
      <c r="AA126" s="3">
        <f>2624.7+(268.6-679.8)+(-1.338597+(-0.136986--0.346698))+0-27--0.0137699999999973</f>
        <v>2185.3848849999999</v>
      </c>
      <c r="AB126" s="3">
        <f>2585.9+(279.2-680.9)+(0+(0-0))+0-28-0</f>
        <v>2156.2000000000003</v>
      </c>
      <c r="AC126" s="3">
        <f>2494.5+(273.1-718.6)+(-1.272195+(-0.139281--0.366486))+0-28--0.0142799999999972</f>
        <v>2019.96929</v>
      </c>
      <c r="AD126">
        <f t="shared" si="1"/>
        <v>42195.274016999989</v>
      </c>
      <c r="AE126" s="3">
        <f>2620.2+(323.5-596.6)+(0+(0-0))+0-29-0</f>
        <v>2318.1</v>
      </c>
    </row>
    <row r="127" spans="1:31" s="2" customFormat="1" x14ac:dyDescent="0.25">
      <c r="A127">
        <v>89</v>
      </c>
      <c r="B127">
        <v>5</v>
      </c>
      <c r="C127">
        <v>3</v>
      </c>
      <c r="D127">
        <v>2</v>
      </c>
      <c r="E127">
        <v>1</v>
      </c>
      <c r="F127" s="3">
        <f>2168.7+(248.6-629.9)+(-3.318111+(-0.380358--0.963747))+0-28--0.0428400000000016</f>
        <v>1756.708118</v>
      </c>
      <c r="G127" s="3">
        <f>1959.2+(241.2-610.3)+(-3.996768+(-0.492048--1.245012))+0-27--0.0550799999999988</f>
        <v>1559.9112760000003</v>
      </c>
      <c r="H127" s="3">
        <f>1948.3+(242.7-689.8)+(-1.987266+(-0.247554--0.703596))+0-28--0.0285600000000045</f>
        <v>1471.697336</v>
      </c>
      <c r="I127" s="3">
        <f>1742.4+(251.1-529.3)+(0+(0-0))+0-28-0</f>
        <v>1436.2000000000003</v>
      </c>
      <c r="J127" s="3">
        <f>1719.9+(252.4-537.6)+(0+(0-0))+0-28-0</f>
        <v>1406.7</v>
      </c>
      <c r="K127" s="3">
        <f>1719.3+(250.6-539.8)+(-2.630529+(-0.383418--0.825894))+0-28--0.0428400000000016</f>
        <v>1399.9547869999999</v>
      </c>
      <c r="L127" s="3">
        <f>1708+(238.3-497.2)+(0.87108+(0.121533-0.253572))+0-28-0.0142799999999972</f>
        <v>1421.8247609999999</v>
      </c>
      <c r="M127" s="3">
        <f>1779.6+(230.2-524.9)+(1.815192+(0.234804-0.535398))+0-28-0.0285600000000045</f>
        <v>1458.3860379999999</v>
      </c>
      <c r="N127" s="3">
        <f>1929.5+(231.2-542.9)+(1.96809+(0.235824-0.553758))+0-28-0.0285600000000045</f>
        <v>1591.4215959999999</v>
      </c>
      <c r="O127" s="3">
        <f>2280.5+(230.2-745.6)+(2.32611+(0.234804-0.760512))+0-28-0.0285600000000045</f>
        <v>1738.871842</v>
      </c>
      <c r="P127" s="3">
        <f>2519+(238-845.2)+(3.85407+(0.36414-1.293156))+0-29-0.0443700000000017</f>
        <v>1885.6806839999999</v>
      </c>
      <c r="Q127" s="3">
        <f>2641.6+(252.5-927.4)+(0+(0-0))+0-29-0</f>
        <v>1937.6999999999998</v>
      </c>
      <c r="R127" s="3">
        <f>2651.2+(252.5-914.2)+(-2.704224+(-0.25755--0.932484))+0-28--0.0285600000000045</f>
        <v>1959.4992699999998</v>
      </c>
      <c r="S127" s="3">
        <f>2642.3+(258.1-935.3)+(-1.347573+(-0.131631--0.477003))+0-28--0.0142799999999972</f>
        <v>1936.1120790000004</v>
      </c>
      <c r="T127" s="3">
        <f>2637.1+(268.7-967.6)+(1.344921+(0.137037-0.493476))+0-27-0.0137699999999973</f>
        <v>1912.1747119999998</v>
      </c>
      <c r="U127" s="3">
        <f>2604.3+(264.6-920.4)+(2.656386+(0.269892-0.938808))+0-28-0.0285600000000045</f>
        <v>1922.4589100000003</v>
      </c>
      <c r="V127" s="3">
        <f>2598.3+(265.8-909.6)+(-1.325133+(-0.135558--0.463896))+0-28--0.0142799999999972</f>
        <v>1925.5174850000003</v>
      </c>
      <c r="W127" s="3">
        <f>2585.8+(266.7-920)+(-6.59379+(-0.680085--2.346))+0-28--0.0713999999999959</f>
        <v>1899.6435250000002</v>
      </c>
      <c r="X127" s="3">
        <f>2446.8+(229.1-799.2)+(-6.23934+(-0.584205--2.03796))+0-27--0.0688499999999961</f>
        <v>1844.9832650000001</v>
      </c>
      <c r="Y127" s="3">
        <f>2217.1+(235.8-636.8)+(-2.261442+(-0.240516--0.649536))+0-27--0.0275400000000043</f>
        <v>1787.275118</v>
      </c>
      <c r="Z127" s="3">
        <f>2391.3+(265.5-794.7)+(-3.658689+(-0.406215--1.215891))+0-28--0.0428400000000016</f>
        <v>1831.2938270000002</v>
      </c>
      <c r="AA127" s="3">
        <f>2645.2+(286.2-764.8)+(-2.698104+(-0.291924--0.780096))+0-28--0.0285600000000045</f>
        <v>2136.4186279999999</v>
      </c>
      <c r="AB127" s="3">
        <f>2593.6+(282.2-731.9)+(-1.322736+(-0.143922--0.373269))+0-28--0.0142799999999972</f>
        <v>2114.8208909999998</v>
      </c>
      <c r="AC127" s="3">
        <f>2570.7+(261.1-814)+(0+(0-0))+0-29-0</f>
        <v>1988.7999999999997</v>
      </c>
      <c r="AD127">
        <f t="shared" si="1"/>
        <v>42324.05414800001</v>
      </c>
      <c r="AE127" s="3">
        <f>2658.6+(270.6-767.3)+(0+(0-0))+0-28-0</f>
        <v>2133.9</v>
      </c>
    </row>
    <row r="128" spans="1:31" s="2" customFormat="1" x14ac:dyDescent="0.25">
      <c r="A128">
        <v>89</v>
      </c>
      <c r="B128">
        <v>5</v>
      </c>
      <c r="C128">
        <v>4</v>
      </c>
      <c r="D128">
        <v>3</v>
      </c>
      <c r="E128">
        <v>1</v>
      </c>
      <c r="F128" s="3">
        <f>2428.1+(58.3-783.7)+(1.238331+(0.029733-0.399687))+0-28-0.0142799999999972</f>
        <v>1675.5540969999997</v>
      </c>
      <c r="G128" s="3">
        <f>2209.1+(43.4-745.6)+(1.126641+(0.022134-0.380256))+0-28-0.0142799999999972</f>
        <v>1479.6542389999997</v>
      </c>
      <c r="H128" s="3">
        <f>2074.8+(57-743.8)+(-1.058148+(-0.02907--0.379338))+0-28.5--0.0145349999999971</f>
        <v>1358.8066550000003</v>
      </c>
      <c r="I128" s="3">
        <f>2006.6+(54.2-718.7)+(-3.070098+(-0.082926--1.099611))+0-28.5--0.0436050000000016</f>
        <v>1311.5901919999999</v>
      </c>
      <c r="J128" s="3">
        <f>1916.4+(48.7-642.6)+(-2.932092+(-0.074511--0.983178))+0-28--0.0428400000000016</f>
        <v>1292.519415</v>
      </c>
      <c r="K128" s="3">
        <f>1853.7+(51.1-575.6)+(-1.890774+(-0.052122--0.587112))+0-28.5--0.0290700000000045</f>
        <v>1299.373286</v>
      </c>
      <c r="L128" s="3">
        <f>1838.8+(110.7-549.2)+(-2.813364+(-0.169371--0.840276))+0-27.3--0.0417690000000016</f>
        <v>1370.89931</v>
      </c>
      <c r="M128" s="3">
        <f>1909.4+(80.1-543.5)+(0+(0-0))+0-28.2-0</f>
        <v>1417.8</v>
      </c>
      <c r="N128" s="3">
        <f>2102.3+(105.5-569.3)+(1.072173+(0.053805-0.290343))+0-28.5-0.0145349999999971</f>
        <v>1610.8211000000001</v>
      </c>
      <c r="O128" s="3">
        <f>2310.5+(129.8-646.3)+(0+(0-0))+0-28.8-0</f>
        <v>1765.2</v>
      </c>
      <c r="P128" s="3">
        <f>2433.3+(134-644.1)+(0+(0-0))+0-28.5-0</f>
        <v>1894.7000000000003</v>
      </c>
      <c r="Q128" s="3">
        <f>2515.3+(138.5-703.6)+(0+(0-0))+0-27.3-0</f>
        <v>1922.9000000000003</v>
      </c>
      <c r="R128" s="3">
        <f>2552.6+(124.6-714.6)+(0+(0-0))+0-28-0</f>
        <v>1934.6</v>
      </c>
      <c r="S128" s="3">
        <f>2551.1+(127.2-707.9)+(0+(0-0))+0-28-0</f>
        <v>1942.4</v>
      </c>
      <c r="T128" s="3">
        <f>2549.1+(90.2-696.9)+(1.300041+(0.046002-0.355419))+0-28-0.0142799999999972</f>
        <v>1915.376344</v>
      </c>
      <c r="U128" s="3">
        <f>2541.3+(44.5-616.8)+(-1.296063+(-0.022695--0.314568))+0-28--0.0142799999999972</f>
        <v>1940.0100900000002</v>
      </c>
      <c r="V128" s="3">
        <f>2591.1+(43.2-668.2)+(-2.642922+(-0.044064--0.681564))+0-29--0.0295800000000046</f>
        <v>1935.1241579999999</v>
      </c>
      <c r="W128" s="3">
        <f>2632.3+(47.4-717.8)+(-2.684946+(-0.048348--0.732156))+0-27--0.0275400000000043</f>
        <v>1932.9264020000001</v>
      </c>
      <c r="X128" s="3">
        <f>2542.3+(41.7-685)+(-5.186292+(-0.085068--1.3974))+0-27--0.0550799999999988</f>
        <v>1868.1811200000004</v>
      </c>
      <c r="Y128" s="3">
        <f>2221.9+(71.3-478.2)+(-1.133169+(-0.036363--0.243882))+0-28--0.0142799999999972</f>
        <v>1786.0886300000002</v>
      </c>
      <c r="Z128" s="3">
        <f>2418.5+(123.4-655.8)+(-1.233435+(-0.062934--0.334458))+0-29--0.0147899999999971</f>
        <v>1856.1528789999998</v>
      </c>
      <c r="AA128" s="3">
        <f>2633.2+(115.5-558.3)+(-2.685864+(-0.11781--0.569466))+0-29--0.0295800000000046</f>
        <v>2159.1953719999997</v>
      </c>
      <c r="AB128" s="3">
        <f>2453.2+(132.1-435.7)+(-1.251132+(-0.067371--0.222207))+0-27--0.0137699999999973</f>
        <v>2121.5174739999998</v>
      </c>
      <c r="AC128" s="3">
        <f>2395.6+(109.7-478.7)+(0+(0-0))+0-28-0</f>
        <v>1998.6</v>
      </c>
      <c r="AD128">
        <f t="shared" si="1"/>
        <v>41789.990763000009</v>
      </c>
      <c r="AE128" s="3">
        <f>2718.7+(119.1-616.2)+(0+(0-0))+0-29-0</f>
        <v>2192.6</v>
      </c>
    </row>
    <row r="129" spans="1:31" s="2" customFormat="1" x14ac:dyDescent="0.25">
      <c r="A129">
        <v>89</v>
      </c>
      <c r="B129">
        <v>5</v>
      </c>
      <c r="C129">
        <v>5</v>
      </c>
      <c r="D129">
        <v>4</v>
      </c>
      <c r="E129">
        <v>3</v>
      </c>
      <c r="F129" s="3">
        <f>2224.7+(53.6-470)+(-2.269194+(-0.054672--0.4794))+0-28.2--0.0287640000000045</f>
        <v>1778.2842979999996</v>
      </c>
      <c r="G129" s="3">
        <f>2205+(74.7-641.2)+(-5.62275+(-0.190485--1.63506))+0-25.8--0.0657899999999963</f>
        <v>1608.5876150000001</v>
      </c>
      <c r="H129" s="3">
        <f>2211.2+(79.1-776.6)+(-2.255424+(-0.080682--0.792132))+0-28.8--0.0293760000000046</f>
        <v>1483.3854019999999</v>
      </c>
      <c r="I129" s="3">
        <f>2206.1+(83.6-818)+(0+(0-0))+0-28.2-0</f>
        <v>1443.4999999999998</v>
      </c>
      <c r="J129" s="3">
        <f>2079.4+(97.1-732.1)+(2.120988+(0.099042-0.746742))+0-27.6-0.0281520000000044</f>
        <v>1418.245136</v>
      </c>
      <c r="K129" s="3">
        <f>2000.6+(92.1-658)+(-3.060918+(-0.140913--1.00674))+0-27.3--0.0417690000000016</f>
        <v>1405.2466779999997</v>
      </c>
      <c r="L129" s="3">
        <f>1616.6+(113.9-367)+(-2.473398+(-0.174267--0.56151))+0-28--0.0428400000000016</f>
        <v>1333.4566850000001</v>
      </c>
      <c r="M129" s="3">
        <f>1621.5+(94.9-352.7)+(1.65393+(0.096798-0.359754))+0-27-0.0275400000000043</f>
        <v>1338.0634339999999</v>
      </c>
      <c r="N129" s="3">
        <f>1709.1+(102.1-331.9)+(-1.743282+(-0.104142--0.338538))+0-28--0.0285600000000045</f>
        <v>1449.8196739999998</v>
      </c>
      <c r="O129" s="3">
        <f>1877.4+(95.9-372.3)+(0.957474+(0.048909-0.189873))+0-29-0.0147899999999971</f>
        <v>1572.8017200000002</v>
      </c>
      <c r="P129" s="3">
        <f>2047.1+(87.8-409.1)+(3.132063+(0.134334-0.625923))+0-28-0.0428400000000016</f>
        <v>1700.3976339999999</v>
      </c>
      <c r="Q129" s="3">
        <f>2286.9+(58.2-538.2)+(1.166319+(0.029682-0.274482))+0-29-0.0147899999999971</f>
        <v>1778.8067290000001</v>
      </c>
      <c r="R129" s="3">
        <f>2372+(64.8-599.9)+(0+(0-0))+0-30-0</f>
        <v>1806.9</v>
      </c>
      <c r="S129" s="3">
        <f>2391.5+(64-635)+(1.219665+(0.03264-0.32385))+0-29-0.0147899999999971</f>
        <v>1792.413665</v>
      </c>
      <c r="T129" s="3">
        <f>2378.6+(69.6-635.4)+(1.213086+(0.035496-0.324054))+0-31-0.0158099999999969</f>
        <v>1782.7087179999999</v>
      </c>
      <c r="U129" s="3">
        <f>2350.3+(65.5-599.1)+(-2.397306+(-0.06681--0.611082))+0-31--0.0316200000000049</f>
        <v>1783.8785860000003</v>
      </c>
      <c r="V129" s="3">
        <f>2324.5+(62.7-577)+(-2.37099+(-0.063954--0.58854))+0-29--0.0295800000000046</f>
        <v>1779.383176</v>
      </c>
      <c r="W129" s="3">
        <f>2318.4+(57.4-584)+(-5.91192+(-0.14637--1.4892))+0-30--0.0764999999999956</f>
        <v>1757.3074100000001</v>
      </c>
      <c r="X129" s="3">
        <f>2304.2+(49-576.5)+(-5.87571+(-0.12495--1.470075))+0-30--0.0764999999999956</f>
        <v>1742.2459149999997</v>
      </c>
      <c r="Y129" s="3">
        <f>2230.4+(39.8-531.6)+(0+(0-0))+0-31-0</f>
        <v>1707.6000000000001</v>
      </c>
      <c r="Z129" s="3">
        <f>2315.1+(89.6-616.7)+(1.180701+(0.045696-0.314517))+0-31-0.0158099999999969</f>
        <v>1757.89607</v>
      </c>
      <c r="AA129" s="3">
        <f>2347.2+(138-419.5)+(0+(0-0))+0-29-0</f>
        <v>2036.6999999999998</v>
      </c>
      <c r="AB129" s="3">
        <f>2336+(142.9-425.7)+(-1.19136+(-0.072879--0.217107))+0-31--0.0158099999999969</f>
        <v>2021.1686779999998</v>
      </c>
      <c r="AC129" s="3">
        <f>2215.7+(127.7-413.2)+(0+(0-0))+0-31-0</f>
        <v>1899.1999999999998</v>
      </c>
      <c r="AD129">
        <f t="shared" ref="AD129:AD192" si="2">SUM(F129:AC129)</f>
        <v>40177.997222999991</v>
      </c>
      <c r="AE129" s="3">
        <f>2339.7+(171.3-413.4)+(0+(0-0))+0-24-0</f>
        <v>2073.6</v>
      </c>
    </row>
    <row r="130" spans="1:31" s="2" customFormat="1" x14ac:dyDescent="0.25">
      <c r="A130">
        <v>89</v>
      </c>
      <c r="B130">
        <v>5</v>
      </c>
      <c r="C130">
        <v>6</v>
      </c>
      <c r="D130">
        <v>5</v>
      </c>
      <c r="E130">
        <v>1</v>
      </c>
      <c r="F130" s="3">
        <f>2088.9+(55.2-410.9)+(0+(0-0))+0-22-0</f>
        <v>1711.2</v>
      </c>
      <c r="G130" s="3">
        <f>2089.6+(47.7-577.8)+(-2.131392+(-0.048654--0.589356))+0-18.5--0.018870000000003</f>
        <v>1539.4281800000001</v>
      </c>
      <c r="H130" s="3">
        <f>2071.3+(66.8-685.6)+(0+(0-0))+0-19-0</f>
        <v>1433.5</v>
      </c>
      <c r="I130" s="3">
        <f>2011.8+(70-680.2)+(1.026018+(0.0357-0.346902))+0-18.5-0.00943499999999812</f>
        <v>1383.8053809999999</v>
      </c>
      <c r="J130" s="3">
        <f>2020.6+(67.4-703)+(0+(0-0))+0-19-0</f>
        <v>1366</v>
      </c>
      <c r="K130" s="3">
        <f>1931.1+(67.8-614.1)+(0+(0-0))+0-19-0</f>
        <v>1365.7999999999997</v>
      </c>
      <c r="L130" s="3">
        <f>1781.4+(53.3-494.3)+(0+(0-0))+0-19-0</f>
        <v>1321.4</v>
      </c>
      <c r="M130" s="3">
        <f>1772.2+(33.5-403.1)+(1.807644+(0.03417-0.411162))+0-20-0.0204000000000032</f>
        <v>1384.0102519999998</v>
      </c>
      <c r="N130" s="3">
        <f>2027.1+(36-463.6)+(1.033821+(0.01836-0.236436))+0-20-0.010199999999998</f>
        <v>1580.3055450000002</v>
      </c>
      <c r="O130" s="3">
        <f>2184.9+(31.5-483.4)+(1.114299+(0.016065-0.246534))+0-9-0.00458999999999909</f>
        <v>1724.87924</v>
      </c>
      <c r="P130" s="3">
        <f>2057.1+(98.9-337.8)+(-1.049121+(-0.050439--0.172278))+0-8--0.00407999999999919</f>
        <v>1809.2767979999996</v>
      </c>
      <c r="Q130" s="3">
        <f>2078.8+(76.7-377.9)+(1.060188+(0.039117-0.192729))+116.7-5-0.00254999999999949</f>
        <v>1890.2040260000003</v>
      </c>
      <c r="R130" s="3">
        <f>2071.2+(62.3-366.7)+(1.056312+(0.031773-0.187017))+140-4.9-0.0024989999999995</f>
        <v>1902.7985689999996</v>
      </c>
      <c r="S130" s="3">
        <f>2064.5+(57.9-350.4)+(1.052895+(0.029529-0.178704))+140-3.6-0.00183599999999963</f>
        <v>1909.3018840000002</v>
      </c>
      <c r="T130" s="3">
        <f>2064.6+(58.3-359.1)+(2.105892+(0.059466-0.366282))+140-3-0.00306000000000048</f>
        <v>1902.596016</v>
      </c>
      <c r="U130" s="3">
        <f>2068.9+(59.2-348)+(1.055139+(0.030192-0.17748))+140-3-0.0015299999999997</f>
        <v>1918.0063210000001</v>
      </c>
      <c r="V130" s="3">
        <f>2063.2+(54.1-344.3)+(0+(0-0))+140-3-0</f>
        <v>1909.9999999999998</v>
      </c>
      <c r="W130" s="3">
        <f>2064.6+(64.6-344.4)+(-1.052946+(-0.032946--0.175644))+93.3-3--0.0015299999999997</f>
        <v>1874.191282</v>
      </c>
      <c r="X130" s="3">
        <f>2102.4+(67.4-337.9)+(-2.144448+(-0.068748--0.344658))+0-3--0.00306000000000048</f>
        <v>1827.0345220000002</v>
      </c>
      <c r="Y130" s="3">
        <f>2046.2+(44.3-313.4)+(-1.043562+(-0.022593--0.159834))+0-3--0.0015299999999997</f>
        <v>1773.1952090000002</v>
      </c>
      <c r="Z130" s="3">
        <f>2288.3+(93.9-515.6)+(-1.167033+(-0.047889--0.262956))+0-2.9--0.00147899999999971</f>
        <v>1862.749513</v>
      </c>
      <c r="AA130" s="3">
        <f>2399.5+(152.7-405)+(-3.671235+(-0.233631--0.61965))+0-0.9--0.00137700000000005</f>
        <v>2143.0161609999996</v>
      </c>
      <c r="AB130" s="3">
        <f>2381.5+(145.4-424.7)+(-1.214565+(-0.074154--0.216597))+0-0.9--0.000458999999999909</f>
        <v>2100.2283369999996</v>
      </c>
      <c r="AC130" s="3">
        <f>2425.7+(105.8-544.8)+(0+(0-0))+0-0.9-0</f>
        <v>1985.7999999999997</v>
      </c>
      <c r="AD130">
        <f t="shared" si="2"/>
        <v>41618.727236000006</v>
      </c>
      <c r="AE130" s="3">
        <f>2390.9+(161-405)+(0+(0-0))+0-1-0</f>
        <v>2145.9</v>
      </c>
    </row>
    <row r="131" spans="1:31" s="2" customFormat="1" x14ac:dyDescent="0.25">
      <c r="A131">
        <v>89</v>
      </c>
      <c r="B131">
        <v>5</v>
      </c>
      <c r="C131">
        <v>7</v>
      </c>
      <c r="D131">
        <v>6</v>
      </c>
      <c r="E131">
        <v>1</v>
      </c>
      <c r="F131" s="3">
        <f>2239.2+(34.9-524.5)+(-1.141992+(-0.017799--0.267495))+0-1--0.000509999999999899</f>
        <v>1747.708214</v>
      </c>
      <c r="G131" s="3">
        <f>2190.9+(49.4-692)+(-4.469436+(-0.100776--1.41168))+0-1--0.00203999999999996</f>
        <v>1544.1435080000003</v>
      </c>
      <c r="H131" s="3">
        <f>2167.9+(57.3-764.9)+(-2.211258+(-0.058446--0.780198))+0-1--0.00102000000000016</f>
        <v>1457.8115140000002</v>
      </c>
      <c r="I131" s="3">
        <f>2029.6+(72.3-699)+(0+(0-0))+0-1-0</f>
        <v>1401.8999999999999</v>
      </c>
      <c r="J131" s="3">
        <f>1960.5+(76.6-651.8)+(0+(0-0))+0-1-0</f>
        <v>1384.3000000000002</v>
      </c>
      <c r="K131" s="3">
        <f>1889.7+(80.6-590.9)+(-1.927494+(-0.082212--0.602718))+0-1--0.00102000000000016</f>
        <v>1376.9940320000001</v>
      </c>
      <c r="L131" s="3">
        <f>1765.6+(86.3-519.1)+(-5.402736+(-0.264078--1.588446))+0-1--0.00306000000000012</f>
        <v>1327.724692</v>
      </c>
      <c r="M131" s="3">
        <f>1809.1+(58-481.5)+(0.922641+(0.02958-0.245565))+0-1-0.000509999999999899</f>
        <v>1385.3061459999999</v>
      </c>
      <c r="N131" s="3">
        <f>1908.1+(57.8-402.8)+(2.919393+(0.088434-0.616284))+0-1-0.00153000000000006</f>
        <v>1564.4900129999999</v>
      </c>
      <c r="O131" s="3">
        <f>2295.5+(74.6-573.6)+(1.170705+(0.038046-0.292536))+0-1.5-0.000764999999999848</f>
        <v>1795.91545</v>
      </c>
      <c r="P131" s="3">
        <f>2323.3+(84.4-579.5)+(-1.184883+(-0.043044--0.295545))+0-1--0.000509999999999899</f>
        <v>1826.2681280000004</v>
      </c>
      <c r="Q131" s="3">
        <f>2317.4+(88.3-523.7)+(1.181874+(0.045033-0.267087))+0-2-0.0010199999999998</f>
        <v>1880.9588000000001</v>
      </c>
      <c r="R131" s="3">
        <f>2341.6+(76.4-520.5)+(0+(0-0))+0-2-0</f>
        <v>1895.5</v>
      </c>
      <c r="S131" s="3">
        <f>2395.5+(71.1-596.3)+(-1.221705+(-0.036261--0.304113))+0-0.8--0.000407999999999919</f>
        <v>1868.5465550000004</v>
      </c>
      <c r="T131" s="3">
        <f>2391.9+(66.1-633.1)+(0+(0-0))+0-0-0</f>
        <v>1824.9</v>
      </c>
      <c r="U131" s="3">
        <f>2379.5+(64-614.2)+(-1.213545+(-0.03264--0.313242))+0-0.8--0.000407999999999919</f>
        <v>1827.5674650000001</v>
      </c>
      <c r="V131" s="3">
        <f>2373.9+(61.8-607)+(-3.632067+(-0.094554--0.92871))+0-0.8--0.00122400000000005</f>
        <v>1825.1033130000001</v>
      </c>
      <c r="W131" s="3">
        <f>2364.5+(57-618.4)+(-2.41179+(-0.05814--0.630768))+0-0.8--0.000816000000000128</f>
        <v>1800.461654</v>
      </c>
      <c r="X131" s="3">
        <f>2256.8+(57.2-561.5)+(-5.75484+(-0.14586--1.431825))+0-0.8--0.00203999999999988</f>
        <v>1747.2331650000003</v>
      </c>
      <c r="Y131" s="3">
        <f>2205.5+(86.8-561.7)+(-3.374415+(-0.132804--0.859401))+0-0.8--0.00122400000000005</f>
        <v>1727.1534060000001</v>
      </c>
      <c r="Z131" s="3">
        <f>2335.3+(133.3-672.8)+(0+(0-0))+0-0.9-0</f>
        <v>1794.9</v>
      </c>
      <c r="AA131" s="3">
        <f>2432.4+(133.7-484.1)+(-2.481048+(-0.136374--0.493782))+0-0.9--0.000918000000000144</f>
        <v>2078.9772780000003</v>
      </c>
      <c r="AB131" s="3">
        <f>2308.1+(172-409)+(0+(0-0))+0-0.9-0</f>
        <v>2070.1999999999998</v>
      </c>
      <c r="AC131" s="3">
        <f>2178+(215.3-449.7)+(-3.33234+(-0.329409--0.688041))+0-0.9--0.00137700000000005</f>
        <v>1939.7276689999999</v>
      </c>
      <c r="AD131">
        <f t="shared" si="2"/>
        <v>41093.791001999998</v>
      </c>
      <c r="AE131" s="3">
        <f>2421.5+(142.1-484.7)+(0+(0-0))+0-1-0</f>
        <v>2077.9</v>
      </c>
    </row>
    <row r="132" spans="1:31" s="2" customFormat="1" x14ac:dyDescent="0.25">
      <c r="A132">
        <v>89</v>
      </c>
      <c r="B132">
        <v>5</v>
      </c>
      <c r="C132">
        <v>8</v>
      </c>
      <c r="D132">
        <v>7</v>
      </c>
      <c r="E132">
        <v>1</v>
      </c>
      <c r="F132" s="3">
        <f>2211.6+(169.8-647.6)+(-5.63958+(-0.43299--1.65138))+0-0.9--0.00229499999999987</f>
        <v>1728.4811049999998</v>
      </c>
      <c r="G132" s="3">
        <f>2108.4+(174.7-728.1)+(1.075284+(0.089097-0.371331))+0-0.9-0.000458999999999909</f>
        <v>1554.8925909999998</v>
      </c>
      <c r="H132" s="3">
        <f>2014.8+(191.9-771)+(0+(0-0))+0-0.9-0</f>
        <v>1434.7999999999997</v>
      </c>
      <c r="I132" s="3">
        <f>2007.9+(209.7-814)+(-5.120145+(-0.534735--2.0757))+0-0.9--0.00229499999999987</f>
        <v>1399.1231150000001</v>
      </c>
      <c r="J132" s="3">
        <f>2024.8+(212.1-857.9)+(-3.097944+(-0.324513--1.312587))+0-0.9--0.00137700000000005</f>
        <v>1375.991507</v>
      </c>
      <c r="K132" s="3">
        <f>1960.5+(210.6-799.4)+(-6.998985+(-0.751842--2.853858))+0-0.9--0.00321300000000001</f>
        <v>1365.906244</v>
      </c>
      <c r="L132" s="3">
        <f>1674.5+(186.2-572.4)+(-3.41598+(-0.379848--1.167696))+0-0.9--0.00183599999999996</f>
        <v>1284.7737039999997</v>
      </c>
      <c r="M132" s="3">
        <f>1682.4+(137.2-556.5)+(0.858024+(0.069972-0.283815))+0-0.9-0.000458999999999909</f>
        <v>1262.8437219999998</v>
      </c>
      <c r="N132" s="3">
        <f>1678.3+(103.4-424.5)+(0+(0-0))+0-1.2-0</f>
        <v>1355.9999999999998</v>
      </c>
      <c r="O132" s="3">
        <f>1710.5+(116.2-368.8)+(0+(0-0))+0-1.2-0</f>
        <v>1456.7</v>
      </c>
      <c r="P132" s="3">
        <f>1777.4+(152-356.5)+(0.906474+(0.07752-0.181815))+0-0-0</f>
        <v>1573.7021790000001</v>
      </c>
      <c r="Q132" s="3">
        <f>2021.8+(134.8-513.6)+(1.031118+(0.068748-0.261936))+0-0.9-0.000458999999999909</f>
        <v>1642.9374709999997</v>
      </c>
      <c r="R132" s="3">
        <f>2132.6+(133.3-580.7)+(0+(0-0))+0-0-0</f>
        <v>1685.1999999999998</v>
      </c>
      <c r="S132" s="3">
        <f>2116.2+(133.2-578.9)+(-2.158524+(-0.135864--0.590478))+0-0-0</f>
        <v>1668.7960899999998</v>
      </c>
      <c r="T132" s="3">
        <f>2121.7+(133.3-613.1)+(1.082067+(0.067983-0.312681))+0-1-0.000509999999999899</f>
        <v>1641.7368589999999</v>
      </c>
      <c r="U132" s="3">
        <f>2142.5+(127.1-648.8)+(-3.278025+(-0.194463--0.992664))+0-0-0</f>
        <v>1618.3201760000002</v>
      </c>
      <c r="V132" s="3">
        <f>2111.8+(122.2-613.4)+(-1.077018+(-0.062322--0.312834))+0-0-0</f>
        <v>1619.773494</v>
      </c>
      <c r="W132" s="3">
        <f>2024.3+(115.2-537.8)+(-1.032393+(-0.058752--0.274278))+0-0-0</f>
        <v>1600.883133</v>
      </c>
      <c r="X132" s="3">
        <f>1722.8+(154.2-301.2)+(-4.39314+(-0.39321--0.76806))+0-0-0</f>
        <v>1571.78171</v>
      </c>
      <c r="Y132" s="3">
        <f>1732.5+(139.7-330.2)+(-1.76715+(-0.142494--0.336804))+0-0-0</f>
        <v>1540.42716</v>
      </c>
      <c r="Z132" s="3">
        <f>1825.1+(191.9-429)+(-2.792403+(-0.293607--0.65637))+0-0-0</f>
        <v>1585.5703599999999</v>
      </c>
      <c r="AA132" s="3">
        <f>2169.2+(227.8-492.8)+(-6.637752+(-0.697068--1.507968))+0-0-0</f>
        <v>1898.3731479999999</v>
      </c>
      <c r="AB132" s="3">
        <f>2199.7+(222.6-510.2)+(-2.243694+(-0.227052--0.520404))+0-0-0</f>
        <v>1910.1496579999998</v>
      </c>
      <c r="AC132" s="3">
        <f>2341+(219.3-755.2)+(-1.19391+(-0.111843--0.385152))+0-1--0.000509999999999899</f>
        <v>1803.179909</v>
      </c>
      <c r="AD132">
        <f t="shared" si="2"/>
        <v>37580.343335000005</v>
      </c>
      <c r="AE132" s="3">
        <f>2248.3+(280.8-475.6)+(0+(0-0))+0-1-0</f>
        <v>2052.5</v>
      </c>
    </row>
    <row r="133" spans="1:31" s="2" customFormat="1" x14ac:dyDescent="0.25">
      <c r="A133">
        <v>89</v>
      </c>
      <c r="B133">
        <v>5</v>
      </c>
      <c r="C133">
        <v>9</v>
      </c>
      <c r="D133">
        <v>1</v>
      </c>
      <c r="E133">
        <v>1</v>
      </c>
      <c r="F133" s="3">
        <f>2264.3+(210.5-819.4)+(-4.619172+(-0.42942--1.671576))+0-0.6--0.00122399999999997</f>
        <v>1651.4242080000004</v>
      </c>
      <c r="G133" s="3">
        <f>2096.8+(210.6-826.7)+(-6.416208+(-0.644436--2.529702))+0-0.6--0.00183600000000007</f>
        <v>1475.5708940000002</v>
      </c>
      <c r="H133" s="3">
        <f>1978.6+(221.5-820.1)+(-4.036344+(-0.45186--1.673004))+0-0.6--0.00122399999999997</f>
        <v>1376.5860240000002</v>
      </c>
      <c r="I133" s="3">
        <f>1870+(221.6-745.8)+(-1.9074+(-0.226032--0.760716))+0-0.6--0.000612000000000096</f>
        <v>1343.8278960000002</v>
      </c>
      <c r="J133" s="3">
        <f>1765.8+(218.7-667.4)+(1.801116+(0.223074-0.680748))+0-0.6-0.000612000000000096</f>
        <v>1317.84283</v>
      </c>
      <c r="K133" s="3">
        <f>1772.6+(224.6-670.8)+(0.904026+(0.114546-0.342108))+0-0.1-0.0000509999999999899</f>
        <v>1326.9764130000001</v>
      </c>
      <c r="L133" s="3">
        <f>1775.1+(223.3-686.3)+(0+(0-0))+0-0.6-0</f>
        <v>1311.5</v>
      </c>
      <c r="M133" s="3">
        <f>1877.5+(194.7-685.9)+(0+(0-0))+0-0.6-0</f>
        <v>1385.7</v>
      </c>
      <c r="N133" s="3">
        <f>2048.6+(159.7-620.6)+(-2.089572+(-0.162894--0.633012))+0-1.2--0.00122400000000019</f>
        <v>1584.88177</v>
      </c>
      <c r="O133" s="3">
        <f>2012+(162.6-451.9)+(-2.05224+(-0.165852--0.460938))+0-0.6--0.000612000000000096</f>
        <v>1720.3434580000003</v>
      </c>
      <c r="P133" s="3">
        <f>2172.7+(170.6-513.8)+(3.324231+(0.261018-0.786114))+0-0.6-0.000918000000000035</f>
        <v>1831.6982170000001</v>
      </c>
      <c r="Q133" s="3">
        <f>2337.5+(183.7-609.8)+(2.38425+(0.187374-0.621996))+0-0.6-0.000612000000000096</f>
        <v>1912.7490160000002</v>
      </c>
      <c r="R133" s="3">
        <f>2443.5+(186.6-698.7)+(0+(0-0))+0-0.6-0</f>
        <v>1930.8000000000002</v>
      </c>
      <c r="S133" s="3">
        <f>2579.3+(188.5-844.3)+(-3.946329+(-0.288405--1.291779))+0-0.6--0.000918000000000035</f>
        <v>1919.9579630000003</v>
      </c>
      <c r="T133" s="3">
        <f>2682.8+(192.1-970.2)+(-1.368228+(-0.097971--0.494802))+0-0.6--0.000305999999999939</f>
        <v>1903.1289090000002</v>
      </c>
      <c r="U133" s="3">
        <f>2677.9+(195.5-947.4)+(-1.365729+(-0.099705--0.483174))+0-0-0</f>
        <v>1925.01774</v>
      </c>
      <c r="V133" s="3">
        <f>2674.9+(194.2-937.3)+(-1.364199+(-0.099042--0.478023))+0-0-0</f>
        <v>1930.8147820000002</v>
      </c>
      <c r="W133" s="3">
        <f>2687.8+(176.6-964)+(-2.741556+(-0.180132--0.98328))+0-0-0</f>
        <v>1898.4615920000001</v>
      </c>
      <c r="X133" s="3">
        <f>2557.8+(156-845.9)+(-5.217912+(-0.31824--1.725636))+0-0-0</f>
        <v>1864.0894840000001</v>
      </c>
      <c r="Y133" s="3">
        <f>2481.5+(162.2-852)+(0+(0-0))+0-0.6-0</f>
        <v>1791.1000000000001</v>
      </c>
      <c r="Z133" s="3">
        <f>2643.1+(261.7-1023)+(-1.347981+(-0.133467--0.52173))+0-0.6--0.000305999999999939</f>
        <v>1880.2405879999999</v>
      </c>
      <c r="AA133" s="3">
        <f>2633.7+(270.4-734.8)+(-4.029561+(-0.413712--1.124244))+0-0.9--0.00137700000000005</f>
        <v>2165.0823479999999</v>
      </c>
      <c r="AB133" s="3">
        <f>2526.9+(272.5-674.1)+(-2.577438+(-0.27795--0.687582))+0-0.6--0.000612000000000096</f>
        <v>2122.5328060000002</v>
      </c>
      <c r="AC133" s="3">
        <f>2531.1+(266.8-808.6)+(-2.581722+(-0.272136--0.824772))+0-0.6--0.000612000000000096</f>
        <v>1986.6715260000001</v>
      </c>
      <c r="AD133">
        <f t="shared" si="2"/>
        <v>41556.998464000011</v>
      </c>
      <c r="AE133" s="3">
        <f>2593.9+(269.8-699.1)+(0+(0-0))+0-0-0</f>
        <v>2164.6</v>
      </c>
    </row>
    <row r="134" spans="1:31" s="2" customFormat="1" x14ac:dyDescent="0.25">
      <c r="A134">
        <v>89</v>
      </c>
      <c r="B134">
        <v>5</v>
      </c>
      <c r="C134">
        <v>10</v>
      </c>
      <c r="D134">
        <v>2</v>
      </c>
      <c r="E134">
        <v>1</v>
      </c>
      <c r="F134" s="3">
        <f>2391.3+(203-854.2)+(-4.878252+(-0.41412--1.742568))+0-0.6--0.00122399999999997</f>
        <v>1735.9514200000003</v>
      </c>
      <c r="G134" s="3">
        <f>2311.1+(221.9-946.6)+(-5.893305+(-0.565845--2.41383))+0-0.6--0.00152999999999991</f>
        <v>1581.75621</v>
      </c>
      <c r="H134" s="3">
        <f>2306.4+(230.9-962.5)+(1.176264+(0.117759-0.490875))+0-0.6-0.000305999999999939</f>
        <v>1575.0028420000003</v>
      </c>
      <c r="I134" s="3">
        <f>2259.8+(220.2-943.1)+(-3.457494+(-0.336906--1.442943))+0-0.6--0.000918000000000035</f>
        <v>1533.9494610000002</v>
      </c>
      <c r="J134" s="3">
        <f>1993.8+(212.6-733.6)+(-2.033676+(-0.216852--0.748272))+0-0.6--0.000612000000000096</f>
        <v>1470.6983560000001</v>
      </c>
      <c r="K134" s="3">
        <f>1972.9+(228.7-719.5)+(-1.006179+(-0.116637--0.366945))+0-0.6--0.000305999999999939</f>
        <v>1480.7444350000001</v>
      </c>
      <c r="L134" s="3">
        <f>1973.1+(229.9-741.4)+(-2.012562+(-0.234498--0.756228))+0-0.6--0.000612000000000096</f>
        <v>1459.5097800000001</v>
      </c>
      <c r="M134" s="3">
        <f>2173+(226.4-855.2)+(0+(0-0))+0-0.6-0</f>
        <v>1543.6</v>
      </c>
      <c r="N134" s="3">
        <f>2377+(205.6-866)+(-2.42454+(-0.209712--0.88332))+0-0.6--0.000612000000000096</f>
        <v>1714.2496800000001</v>
      </c>
      <c r="O134" s="3">
        <f>2366.1+(209.3-696.7)+(-2.413422+(-0.213486--0.710634))+0-0.6--0.000612000000000096</f>
        <v>1876.184338</v>
      </c>
      <c r="P134" s="3">
        <f>2452.8+(223-681.2)+(-1.250928+(-0.11373--0.347412))+0-0.6--0.000305999999999939</f>
        <v>1992.98306</v>
      </c>
      <c r="Q134" s="3">
        <f>2616.8+(227-774.2)+(-2.669136+(-0.23154--0.789684))+0-0.6--0.000612000000000096</f>
        <v>2066.8896200000004</v>
      </c>
      <c r="R134" s="3">
        <f>2654.7+(242.3-843.4)+(-1.353897+(-0.123573--0.430134))+0-0.6--0.000305999999999939</f>
        <v>2051.9529699999998</v>
      </c>
      <c r="S134" s="3">
        <f>2658.4+(252.9-880.8)+(-2.711568+(-0.257958--0.898416))+0-0.6--0.000612000000000096</f>
        <v>2027.829502</v>
      </c>
      <c r="T134" s="3">
        <f>2658.9+(254.7-911.6)+(-2.712078+(-0.259794--0.929832))+0-0.6--0.000612000000000096</f>
        <v>1999.3585720000001</v>
      </c>
      <c r="U134" s="3">
        <f>2654.1+(256-917.2)+(-1.353591+(-0.13056--0.467772))+0-0.6--0.000305999999999939</f>
        <v>1991.2839269999999</v>
      </c>
      <c r="V134" s="3">
        <f>2645.5+(256-911)+(-4.047615+(-0.39168--1.39383))+0-0.9--0.00137700000000005</f>
        <v>1986.555912</v>
      </c>
      <c r="W134" s="3">
        <f>2622.8+(255.8-895.8)+(-5.350512+(-0.521832--1.827432))+0-0.6--0.00122399999999997</f>
        <v>1978.1563120000003</v>
      </c>
      <c r="X134" s="3">
        <f>2287.2+(256.2-627.6)+(-6.998832+(-0.783972--1.920456))+0-0.6--0.00183600000000007</f>
        <v>1909.3394879999996</v>
      </c>
      <c r="Y134" s="3">
        <f>2301.9+(226.1-683.8)+(-4.695876+(-0.461244--1.394952))+0-0.6--0.00122399999999997</f>
        <v>1839.8390560000005</v>
      </c>
      <c r="Z134" s="3">
        <f>2557.7+(257.1-854.1)+(0+(0-0))+0-0.6-0</f>
        <v>1960.1</v>
      </c>
      <c r="AA134" s="3">
        <f>2632.3+(249.6-658.1)+(-5.369892+(-0.509184--1.342524))+0-0.9--0.00183599999999996</f>
        <v>2218.365284</v>
      </c>
      <c r="AB134" s="3">
        <f>2562.3+(238.3-611.1)+(-3.920319+(-0.364599--0.934983))+0-0.3--0.000459000000000017</f>
        <v>2185.8505239999995</v>
      </c>
      <c r="AC134" s="3">
        <f>2288.9+(223-495.2)+(-3.502017+(-0.34119--0.757656))+0-0.6--0.000918000000000035</f>
        <v>2013.0153670000002</v>
      </c>
      <c r="AD134">
        <f t="shared" si="2"/>
        <v>44193.166116</v>
      </c>
      <c r="AE134" s="3">
        <f>2652.8+(261.5-823.4)+(0+(0-0))+0-1-0</f>
        <v>2089.9</v>
      </c>
    </row>
    <row r="135" spans="1:31" s="2" customFormat="1" x14ac:dyDescent="0.25">
      <c r="A135">
        <v>89</v>
      </c>
      <c r="B135">
        <v>5</v>
      </c>
      <c r="C135">
        <v>11</v>
      </c>
      <c r="D135">
        <v>3</v>
      </c>
      <c r="E135">
        <v>1</v>
      </c>
      <c r="F135" s="3">
        <f>2247.5+(170.3-617.6)+(-5.731125+(-0.434265--1.57488))+0-0.6--0.00152999999999991</f>
        <v>1795.0110200000001</v>
      </c>
      <c r="G135" s="3">
        <f>2235.8+(195.4-795.5)+(-4.561032+(-0.398616--1.62282))+0-0.6--0.00122399999999997</f>
        <v>1631.7643960000005</v>
      </c>
      <c r="H135" s="3">
        <f>2093+(206.4-756.5)+(-3.20229+(-0.315792--1.157445))+0-0.6--0.000918000000000035</f>
        <v>1539.9402810000001</v>
      </c>
      <c r="I135" s="3">
        <f>2026.4+(224.5-746.5)+(-3.100392+(-0.343485--1.142145))+0-0.6--0.000918000000000035</f>
        <v>1501.4991860000002</v>
      </c>
      <c r="J135" s="3">
        <f>1859.7+(233-632.8)+(2.845341+(0.35649-0.968184))+0-0.6-0.000918000000000035</f>
        <v>1461.5327290000002</v>
      </c>
      <c r="K135" s="3">
        <f>1858.4+(234.9-633.7)+(-2.843352+(-0.359397--0.969561))+0-0.6--0.000918000000000035</f>
        <v>1456.76773</v>
      </c>
      <c r="L135" s="3">
        <f>1864.1+(216.4-638.3)+(-4.753455+(-0.55182--1.627665))+0-0-0</f>
        <v>1438.5223899999999</v>
      </c>
      <c r="M135" s="3">
        <f>1937.7+(201.3-633.3)+(0+(0-0))+0-0-0</f>
        <v>1505.7</v>
      </c>
      <c r="N135" s="3">
        <f>2182.8+(201.7-689.6)+(1.113228+(0.102867-0.351696))+0-0-0</f>
        <v>1695.7643990000001</v>
      </c>
      <c r="O135" s="3">
        <f>2266.2+(209.2-640.8)+(-2.311524+(-0.213384--0.653616))+0-0-0</f>
        <v>1832.7287079999999</v>
      </c>
      <c r="P135" s="3">
        <f>2389.5+(211.8-672.9)+(0+(0-0))+0-0-0</f>
        <v>1928.4</v>
      </c>
      <c r="Q135" s="3">
        <f>2481.8+(191.4-671.8)+(0+(0-0))+0-0-0</f>
        <v>2001.4</v>
      </c>
      <c r="R135" s="3">
        <f>2491.1+(179.4-643.7)+(-1.270461+(-0.091494--0.328287))+0-0-0</f>
        <v>2025.7663319999997</v>
      </c>
      <c r="S135" s="3">
        <f>2499.7+(172.7-678.6)+(0+(0-0))+0-0-0</f>
        <v>1993.7999999999997</v>
      </c>
      <c r="T135" s="3">
        <f>2498+(152.2-691.8)+(-2.54796+(-0.155244--0.705636))+0-0-0</f>
        <v>1956.4024320000001</v>
      </c>
      <c r="U135" s="3">
        <f>2491.9+(148.1-670.8)+(-1.270869+(-0.075531--0.342108))+0-0.9--0.000458999999999909</f>
        <v>1967.2961670000002</v>
      </c>
      <c r="V135" s="3">
        <f>2487.8+(149.1-654.1)+(-2.537556+(-0.152082--0.667182))+0-0.6--0.000612000000000096</f>
        <v>1980.1781560000004</v>
      </c>
      <c r="W135" s="3">
        <f>2518.1+(151.6-686.9)+(-8.989617+(-0.541212--2.452233))+0-0.6--0.00214200000000001</f>
        <v>1975.123546</v>
      </c>
      <c r="X135" s="3">
        <f>2393+(160.7-622.8)+(-6.10215+(-0.409785--1.58814))+0-0-0</f>
        <v>1925.9762050000002</v>
      </c>
      <c r="Y135" s="3">
        <f>2290.8+(204.4-612.6)+(-2.336616+(-0.208488--0.624852))+0-0.6--0.000612000000000096</f>
        <v>1880.0803600000004</v>
      </c>
      <c r="Z135" s="3">
        <f>2360.3+(270-667.1)+(-2.407506+(-0.2754--0.680442))+0-1.2--0.00122400000000019</f>
        <v>1959.9987600000004</v>
      </c>
      <c r="AA135" s="3">
        <f>2450.2+(280.7-489.1)+(-4.998408+(-0.572628--0.997764))+0-1.2--0.00244799999999995</f>
        <v>2236.029176</v>
      </c>
      <c r="AB135" s="3">
        <f>2305.7+(309-401.5)+(-4.703628+(-0.63036--0.81906))+0-1.2--0.00244799999999995</f>
        <v>2207.4875200000001</v>
      </c>
      <c r="AC135" s="3">
        <f>2243.1+(268.2-438.2)+(0+(0-0))+0-0.6-0</f>
        <v>2072.5</v>
      </c>
      <c r="AD135">
        <f t="shared" si="2"/>
        <v>43969.669493000001</v>
      </c>
      <c r="AE135" s="3">
        <f>2452.8+(279.5-570.7)+(0+(0-0))+0-0.6-0</f>
        <v>2161.0000000000005</v>
      </c>
    </row>
    <row r="136" spans="1:31" s="2" customFormat="1" x14ac:dyDescent="0.25">
      <c r="A136">
        <v>89</v>
      </c>
      <c r="B136">
        <v>5</v>
      </c>
      <c r="C136">
        <v>12</v>
      </c>
      <c r="D136">
        <v>4</v>
      </c>
      <c r="E136">
        <v>1</v>
      </c>
      <c r="F136" s="3">
        <f>2188.8+(208.6-623.7)+(-1.116288+(-0.106386--0.318087))+0-0.6--0.000305999999999939</f>
        <v>1772.1957190000003</v>
      </c>
      <c r="G136" s="3">
        <f>1971.7+(204-610.5)+(-2.011134+(-0.20808--0.62271))+0-0.6--0.000612000000000096</f>
        <v>1563.0041080000001</v>
      </c>
      <c r="H136" s="3">
        <f>1894.4+(203-647)+(0.966144+(0.10353-0.32997))+0-0.9-0.000458999999999909</f>
        <v>1450.239245</v>
      </c>
      <c r="I136" s="3">
        <f>1868.6+(218.7-663.2)+(0+(0-0))+0-0.6-0</f>
        <v>1423.5</v>
      </c>
      <c r="J136" s="3">
        <f>1861.4+(214.1-686.1)+(-0.949314+(-0.109191--0.349911))+0-0.9--0.000458999999999909</f>
        <v>1387.7918650000001</v>
      </c>
      <c r="K136" s="3">
        <f>1863.4+(210.9-692.6)+(1.900668+(0.215118-0.706452))+0-0.6-0.000612000000000096</f>
        <v>1382.508722</v>
      </c>
      <c r="L136" s="3">
        <f>1705.6+(193.7-520.8)+(-2.609568+(-0.296361--0.796824))+0-0-0</f>
        <v>1376.390895</v>
      </c>
      <c r="M136" s="3">
        <f>1615.1+(178.5-363.3)+(-0.823701+(-0.091035--0.185283))+0-0.9--0.000458999999999909</f>
        <v>1428.671006</v>
      </c>
      <c r="N136" s="3">
        <f>1849.1+(174.3-409.1)+(0+(0-0))+0-1.2-0</f>
        <v>1613.1</v>
      </c>
      <c r="O136" s="3">
        <f>2069.1+(175.1-475.2)+(1.055241+(0.089301-0.242352))+0-0.9-0.000458999999999909</f>
        <v>1769.0017309999998</v>
      </c>
      <c r="P136" s="3">
        <f>2097.5+(187.7-394.4)+(-2.13945+(-0.191454--0.402288))+0-0.9--0.000918000000000144</f>
        <v>1887.9723019999999</v>
      </c>
      <c r="Q136" s="3">
        <f>2238.8+(161.4-449.4)+(-1.141788+(-0.082314--0.229194))+0-1.2--0.000611999999999878</f>
        <v>1948.6057040000003</v>
      </c>
      <c r="R136" s="3">
        <f>2247.7+(156.7-388)+(0+(0-0))+0-0.9-0</f>
        <v>2015.4999999999998</v>
      </c>
      <c r="S136" s="3">
        <f>2264.2+(154.7-431.4)+(0+(0-0))+0-0.4-0</f>
        <v>1987.0999999999997</v>
      </c>
      <c r="T136" s="3">
        <f>2257.7+(154.5-458.5)+(1.151427+(0.078795-0.233835))+0-0.4-0.000203999999999959</f>
        <v>1954.2961829999997</v>
      </c>
      <c r="U136" s="3">
        <f>2267.2+(150.4-456.8)+(1.156272+(0.076704-0.232968))+0-0-0</f>
        <v>1961.8000079999997</v>
      </c>
      <c r="V136" s="3">
        <f>2232.2+(146.7-429.6)+(1.138422+(0.074817-0.219096))+0-0-0</f>
        <v>1950.2941429999996</v>
      </c>
      <c r="W136" s="3">
        <f>2242.8+(147.9-449.7)+(0+(0-0))+0-0.6-0</f>
        <v>1940.4000000000003</v>
      </c>
      <c r="X136" s="3">
        <f>2233.6+(142.7-461)+(-1.139136+(-0.072777--0.23511))+0-0-0</f>
        <v>1914.3231969999999</v>
      </c>
      <c r="Y136" s="3">
        <f>2171.2+(143.8-470.8)+(3.321936+(0.220014-0.720324))+0-0.6-0.000918000000000035</f>
        <v>1846.4207079999999</v>
      </c>
      <c r="Z136" s="3">
        <f>2384.1+(235.2-640.6)+(1.215891+(0.119952-0.326706))+0-0.6-0.000305999999999939</f>
        <v>1979.108831</v>
      </c>
      <c r="AA136" s="3">
        <f>2583.5+(249.7-590.4)+(-3.952755+(-0.382041--0.903312))+0-0.9--0.00137700000000005</f>
        <v>2238.469893</v>
      </c>
      <c r="AB136" s="3">
        <f>2456.2+(245.2-528.7)+(-2.505324+(-0.250104--0.539274))+0-0.6--0.000612000000000096</f>
        <v>2169.8844579999995</v>
      </c>
      <c r="AC136" s="3">
        <f>2481.6+(214-633.8)+(-6.32808+(-0.5457--1.61619))+0-0.9--0.00229499999999987</f>
        <v>2055.6447049999997</v>
      </c>
      <c r="AD136">
        <f t="shared" si="2"/>
        <v>43016.223422999996</v>
      </c>
      <c r="AE136" s="3">
        <f>2613.8+(252-703.2)+(0+(0-0))+0-1-0</f>
        <v>2161.6000000000004</v>
      </c>
    </row>
    <row r="137" spans="1:31" s="2" customFormat="1" x14ac:dyDescent="0.25">
      <c r="A137">
        <v>89</v>
      </c>
      <c r="B137">
        <v>5</v>
      </c>
      <c r="C137">
        <v>13</v>
      </c>
      <c r="D137">
        <v>5</v>
      </c>
      <c r="E137">
        <v>1</v>
      </c>
      <c r="F137" s="3">
        <f>2286.7+(168.3-691.7)+(-2.332434+(-0.171666--0.705534))+0-0.9--0.000918000000000144</f>
        <v>1760.6023519999997</v>
      </c>
      <c r="G137" s="3">
        <f>2139.6+(211-781.2)+(-2.182392+(-0.21522--0.796824))+0-0.2--0.000204000000000032</f>
        <v>1567.5994159999998</v>
      </c>
      <c r="H137" s="3">
        <f>2143.3+(242.6-880.7)+(-1.093083+(-0.123726--0.449157))+0-0.2--0.00010199999999998</f>
        <v>1504.2324500000002</v>
      </c>
      <c r="I137" s="3">
        <f>2102.4+(244.6-896.5)+(-4.288896+(-0.498984--1.82886))+0-0.2--0.000407999999999991</f>
        <v>1447.3413880000001</v>
      </c>
      <c r="J137" s="3">
        <f>1932+(245-796.9)+(-4.9266+(-0.62475--2.032095))+0-0.2--0.000509999999999971</f>
        <v>1376.381255</v>
      </c>
      <c r="K137" s="3">
        <f>1899.4+(235.3-768.3)+(-3.874776+(-0.480012--1.567332))+0-0.3--0.000611999999999987</f>
        <v>1363.3131560000002</v>
      </c>
      <c r="L137" s="3">
        <f>1897.4+(204.8-709.9)+(-3.870696+(-0.417792--1.448196))+0-0.5--0.00101999999999998</f>
        <v>1388.960728</v>
      </c>
      <c r="M137" s="3">
        <f>1911.4+(184.3-624.7)+(1.949628+(0.187986-0.637194))+0-0.5-0.00051000000000008</f>
        <v>1471.99991</v>
      </c>
      <c r="N137" s="3">
        <f>2032.3+(180.3-595.5)+(-1.036473+(-0.091953--0.303705))+0-1--0.000509999999999899</f>
        <v>1615.275789</v>
      </c>
      <c r="O137" s="3">
        <f>2123.6+(182.8-512.1)+(-1.083036+(-0.093228--0.261171))+0-1.2--0.000611999999999878</f>
        <v>1792.1855189999999</v>
      </c>
      <c r="P137" s="3">
        <f>2207.1+(182.3-510.3)+(5.628105+(0.464865-1.301265))+0-1.2-0.00305999999999983</f>
        <v>1882.688645</v>
      </c>
      <c r="Q137" s="3">
        <f>2303.3+(179.6-539.4)+(0+(0-0))+0-1.2-0</f>
        <v>1942.3000000000002</v>
      </c>
      <c r="R137" s="3">
        <f>2317.6+(173.2-525.6)+(2.363952+(0.176664-0.536112))+0-1-0.00102000000000016</f>
        <v>1966.2034839999999</v>
      </c>
      <c r="S137" s="3">
        <f>2361.7+(163.7-586.4)+(-2.408934+(-0.166974--0.598128))+0-1--0.00102000000000016</f>
        <v>1936.0232399999998</v>
      </c>
      <c r="T137" s="3">
        <f>2479.7+(166.2-735.1)+(0+(0-0))+0-3-0</f>
        <v>1907.7999999999997</v>
      </c>
      <c r="U137" s="3">
        <f>2537.3+(166.5-766.3)+(0+(0-0))+0-3-0</f>
        <v>1934.5000000000002</v>
      </c>
      <c r="V137" s="3">
        <f>2533.4+(167.4-770.5)+(-1.292034+(-0.085374--0.392955))+0-3--0.0015299999999997</f>
        <v>1926.3170770000002</v>
      </c>
      <c r="W137" s="3">
        <f>2531.3+(166.8-802.5)+(-2.581926+(-0.170136--0.81855))+0-3--0.00306000000000048</f>
        <v>1890.6695480000001</v>
      </c>
      <c r="X137" s="3">
        <f>2446.1+(162.2-740.4)+(-4.990044+(-0.330888--1.510416))+0-3--0.00611999999999987</f>
        <v>1861.0956039999999</v>
      </c>
      <c r="Y137" s="3">
        <f>2107.5+(192.1-502)+(-1.074825+(-0.097971--0.25602))+0-3--0.0015299999999997</f>
        <v>1793.6847539999999</v>
      </c>
      <c r="Z137" s="3">
        <f>2480+(253.2-820.8)+(-3.7944+(-0.387396--1.255824))+0-3--0.00459000000000017</f>
        <v>1906.4786180000001</v>
      </c>
      <c r="AA137" s="3">
        <f>2740.8+(261.9-813)+(-4.193424+(-0.400707--1.24389))+0-3--0.00459000000000017</f>
        <v>2183.3543490000002</v>
      </c>
      <c r="AB137" s="3">
        <f>2685.6+(263.8-812.7)+(1.369656+(0.134538-0.414477))+0-3-0.0015299999999997</f>
        <v>2134.7881869999997</v>
      </c>
      <c r="AC137" s="3">
        <f>2557.9+(262-808.1)+(-3.913587+(-0.40086--1.236393))+0-4--0.00612000000000023</f>
        <v>2004.7280660000001</v>
      </c>
      <c r="AD137">
        <f t="shared" si="2"/>
        <v>42558.523535</v>
      </c>
      <c r="AE137" s="3">
        <f>2775.9+(266.2-827.2)+(0+(0-0))+0-3-0</f>
        <v>2211.9</v>
      </c>
    </row>
    <row r="138" spans="1:31" s="2" customFormat="1" x14ac:dyDescent="0.25">
      <c r="A138">
        <v>89</v>
      </c>
      <c r="B138">
        <v>5</v>
      </c>
      <c r="C138">
        <v>14</v>
      </c>
      <c r="D138">
        <v>6</v>
      </c>
      <c r="E138">
        <v>1</v>
      </c>
      <c r="F138" s="3">
        <f>2393.3+(178.6-784)+(-1.220583+(-0.091086--0.39984))+0-4.5--0.00229499999999954</f>
        <v>1782.4904660000002</v>
      </c>
      <c r="G138" s="3">
        <f>2153.7+(206-761.5)+(-1.098387+(-0.10506--0.388365))+0-1.5--0.000764999999999848</f>
        <v>1595.8856829999997</v>
      </c>
      <c r="H138" s="3">
        <f>2151.9+(213.4-857.4)+(-2.194938+(-0.217668--0.874548))+0-3--0.00306000000000048</f>
        <v>1503.365002</v>
      </c>
      <c r="I138" s="3">
        <f>2142.1+(213.2-891.8)+(-2.184942+(-0.217464--0.909636))+0-0.6--0.000612000000000096</f>
        <v>1461.4078420000001</v>
      </c>
      <c r="J138" s="3">
        <f>2146.1+(211.5-910.9)+(-4.378044+(-0.43146--1.858236))+0-0.6--0.00122399999999997</f>
        <v>1443.149956</v>
      </c>
      <c r="K138" s="3">
        <f>2039.9+(211.4-812.7)+(-5.201745+(-0.53907--2.072385))+0-0.6--0.00152999999999991</f>
        <v>1434.3331000000001</v>
      </c>
      <c r="L138" s="3">
        <f>1838.9+(199.6-638.6)+(-2.813517+(-0.305388--0.977058))+0-0.6--0.000918000000000035</f>
        <v>1397.159071</v>
      </c>
      <c r="M138" s="3">
        <f>1867.9+(157.5-590.1)+(-0.952629+(-0.080325--0.300951))+0-0.6--0.000305999999999939</f>
        <v>1433.9683030000001</v>
      </c>
      <c r="N138" s="3">
        <f>2006.6+(155.6-542.7)+(1.023366+(0.079356-0.276777))+0-0.6-0.000305999999999939</f>
        <v>1619.7256390000002</v>
      </c>
      <c r="O138" s="3">
        <f>2089.3+(174.5-490.5)+(-1.065543+(-0.088995--0.250155))+0-0.6--0.000305999999999939</f>
        <v>1771.7959230000001</v>
      </c>
      <c r="P138" s="3">
        <f>2199.7+(174.1-500.8)+(1.121847+(0.088791-0.255408))+0-0.6-0.000305999999999939</f>
        <v>1873.354924</v>
      </c>
      <c r="Q138" s="3">
        <f>2309.7+(167.9-523.4)+(-1.177947+(-0.085629--0.266934))+0-0.6--0.000305999999999939</f>
        <v>1952.6036639999998</v>
      </c>
      <c r="R138" s="3">
        <f>2431+(155.5-609.5)+(0+(0-0))+0-2.1-0</f>
        <v>1974.9</v>
      </c>
      <c r="S138" s="3">
        <f>2404.6+(151.9-605.6)+(-3.679038+(-0.232407--0.926568))+0-2.1--0.00321300000000012</f>
        <v>1945.8183359999998</v>
      </c>
      <c r="T138" s="3">
        <f>2340.9+(157.5-601.3)+(0+(0-0))+0-2.1-0</f>
        <v>1895.0000000000002</v>
      </c>
      <c r="U138" s="3">
        <f>2305.4+(159.6-579.2)+(-5.87877+(-0.40698--1.47696))+0-3--0.00764999999999957</f>
        <v>1877.9988600000001</v>
      </c>
      <c r="V138" s="3">
        <f>2313.4+(159.1-579.7)+(1.179834+(0.081141-0.295647))+0-3.3-0.00168299999999967</f>
        <v>1890.4636450000003</v>
      </c>
      <c r="W138" s="3">
        <f>2412.2+(140-682.2)+(-3.690666+(-0.2142--1.043766))+0-2.4--0.00367200000000014</f>
        <v>1864.7425719999997</v>
      </c>
      <c r="X138" s="3">
        <f>2356.1+(132.6-681)+(-4.806444+(-0.270504--1.38924))+0-2.7--0.00550799999999988</f>
        <v>1801.3177999999998</v>
      </c>
      <c r="Y138" s="3">
        <f>2249.5+(131.3-602.9)+(-1.147245+(-0.066963--0.307479))+0-3.6--0.00183599999999963</f>
        <v>1773.3951070000001</v>
      </c>
      <c r="Z138" s="3">
        <f>2381.7+(224.9-679.2)+(-3.644001+(-0.344097--1.039176))+0-3.6--0.00550800000000021</f>
        <v>1920.8565859999997</v>
      </c>
      <c r="AA138" s="3">
        <f>2596.7+(250.5-673.3)+(-3.972951+(-0.383265--1.030149))+0-3.6--0.00550800000000021</f>
        <v>2166.979441</v>
      </c>
      <c r="AB138" s="3">
        <f>2431.5+(240.8-562.9)+(-4.96026+(-0.491232--1.148316))+0-4.2--0.00856799999999982</f>
        <v>2100.9053920000006</v>
      </c>
      <c r="AC138" s="3">
        <f>2441.1+(227.1-679.3)+(-1.244961+(-0.115821--0.346443))+0-4.5--0.00229499999999954</f>
        <v>1983.387956</v>
      </c>
      <c r="AD138">
        <f t="shared" si="2"/>
        <v>42465.005268000001</v>
      </c>
      <c r="AE138" s="3">
        <f>2653.3+(256.1-733.1)+(0+(0-0))+0-2-0</f>
        <v>2174.3000000000002</v>
      </c>
    </row>
    <row r="139" spans="1:31" s="2" customFormat="1" x14ac:dyDescent="0.25">
      <c r="A139">
        <v>89</v>
      </c>
      <c r="B139">
        <v>5</v>
      </c>
      <c r="C139">
        <v>15</v>
      </c>
      <c r="D139">
        <v>7</v>
      </c>
      <c r="E139">
        <v>1</v>
      </c>
      <c r="F139" s="3">
        <f>2332.7+(151.8-699.6)+(-3.569031+(-0.232254--1.070388))+0-15.5--0.0237150000000009</f>
        <v>1766.692818</v>
      </c>
      <c r="G139" s="3">
        <f>1976.4+(192-572.3)+(-3.023892+(-0.29376--0.875619))+0-25--0.0382500000000014</f>
        <v>1568.6962170000002</v>
      </c>
      <c r="H139" s="3">
        <f>1883+(196.9-565.1)+(0+(0-0))+0-27-0</f>
        <v>1487.8</v>
      </c>
      <c r="I139" s="3">
        <f>1754.9+(194.9-490.9)+(-2.684997+(-0.298197--0.751077))+0-26--0.0397800000000015</f>
        <v>1430.7076630000001</v>
      </c>
      <c r="J139" s="3">
        <f>1670.8+(198.1-443.1)+(-0.852108+(-0.101031--0.225981))+0-26--0.0132599999999974</f>
        <v>1399.086102</v>
      </c>
      <c r="K139" s="3">
        <f>1557.3+(218.3-369.1)+(-3.971115+(-0.556665--0.941205))+0-8--0.0203999999999988</f>
        <v>1394.9338250000001</v>
      </c>
      <c r="L139" s="3">
        <f>1510.3+(241-407.9)+(-3.851265+(-0.61455--1.040145))+0-7--0.017849999999999</f>
        <v>1332.99218</v>
      </c>
      <c r="M139" s="3">
        <f>1513.7+(230.8-427.1)+(0+(0-0))+0-6-0</f>
        <v>1311.4</v>
      </c>
      <c r="N139" s="3">
        <f>1594.3+(219.2-423.2)+(-3.252372+(-0.447168--0.863328))+0-6--0.0122399999999997</f>
        <v>1381.476028</v>
      </c>
      <c r="O139" s="3">
        <f>1719.1+(229-437.6)+(1.753482+(0.23358-0.446352))+0-6-0.00612000000000096</f>
        <v>1506.03459</v>
      </c>
      <c r="P139" s="3">
        <f>1813.9+(240.1-436.9)+(0+(0-0))+0-7-0</f>
        <v>1610.1000000000001</v>
      </c>
      <c r="Q139" s="3">
        <f>1842.2+(253.4-398)+(-0.939522+(-0.129234--0.20298))+0-6--0.00305999999999939</f>
        <v>1690.737284</v>
      </c>
      <c r="R139" s="3">
        <f>1884.3+(287.2-409.2)+(-2.882979+(-0.439416--0.626076))+0-22--0.0336600000000013</f>
        <v>1737.6373410000001</v>
      </c>
      <c r="S139" s="3">
        <f>1887.9+(277.6-415.6)+(-0.962829+(-0.141576--0.211956))+0-25.5--0.0130049999999974</f>
        <v>1723.5205560000002</v>
      </c>
      <c r="T139" s="3">
        <f>1954.1+(223.9-456.8)+(-2.989773+(-0.342567--0.698904))+0-28--0.0428400000000016</f>
        <v>1690.6094039999998</v>
      </c>
      <c r="U139" s="3">
        <f>1948.8+(195-438.7)+(-0.993888+(-0.09945--0.223737))+0-29--0.0147899999999971</f>
        <v>1675.2451889999998</v>
      </c>
      <c r="V139" s="3">
        <f>1934+(197.9-425.3)+(-4.9317+(-0.504645--1.084515))+0-29--0.0739499999999958</f>
        <v>1673.3221199999998</v>
      </c>
      <c r="W139" s="3">
        <f>1914.3+(229.5-454.8)+(-4.881465+(-0.585225--1.15974))+0-29--0.0739499999999958</f>
        <v>1655.7670000000001</v>
      </c>
      <c r="X139" s="3">
        <f>1917.5+(222.6-472.6)+(-2.933775+(-0.340578--0.723078))+0-30--0.0459000000000017</f>
        <v>1634.994625</v>
      </c>
      <c r="Y139" s="3">
        <f>1896.9+(211.8-466.1)+(0+(0-0))+0-29-0</f>
        <v>1613.6000000000001</v>
      </c>
      <c r="Z139" s="3">
        <f>1960.6+(316.2-479.3)+(0.999906+(0.161262-0.244443))+0-29-0.0147899999999971</f>
        <v>1769.4019350000001</v>
      </c>
      <c r="AA139" s="3">
        <f>2069.6+(361.5-334.4)+(-1.055496+(-0.184365--0.170544))+0-28--0.0142799999999972</f>
        <v>2067.6449629999997</v>
      </c>
      <c r="AB139" s="3">
        <f>2120.4+(340.8-396.3)+(0+(0-0))+0-29-0</f>
        <v>2035.9</v>
      </c>
      <c r="AC139" s="3">
        <f>2105+(309.1-443.9)+(-3.22065+(-0.472923--0.679167))+0-27--0.0413100000000016</f>
        <v>1940.2269040000001</v>
      </c>
      <c r="AD139">
        <f t="shared" si="2"/>
        <v>39098.526744000003</v>
      </c>
      <c r="AE139" s="3">
        <f>2108+(334.6-374.4)+(0+(0-0))+0-20-0</f>
        <v>2048.1999999999998</v>
      </c>
    </row>
    <row r="140" spans="1:31" s="2" customFormat="1" x14ac:dyDescent="0.25">
      <c r="A140">
        <v>89</v>
      </c>
      <c r="B140">
        <v>5</v>
      </c>
      <c r="C140">
        <v>16</v>
      </c>
      <c r="D140">
        <v>1</v>
      </c>
      <c r="E140">
        <v>1</v>
      </c>
      <c r="F140" s="3">
        <f>2084.4+(189.1-533.9)+(-1.063044+(-0.096441--0.272289))+0-27--0.0137699999999973</f>
        <v>1711.7265740000003</v>
      </c>
      <c r="G140" s="3">
        <f>2057.4+(213.2-693.7)+(-1.049274+(-0.108732--0.353787))+0-25--0.0127499999999975</f>
        <v>1551.1085310000001</v>
      </c>
      <c r="H140" s="3">
        <f>2051.7+(229.4-793.2)+(-1.046367+(-0.116994--0.404532))+0-28.5--0.0145349999999971</f>
        <v>1458.6557059999996</v>
      </c>
      <c r="I140" s="3">
        <f>2047.4+(235.4-834.5)+(-2.088348+(-0.240108--0.85119))+0-27--0.0275400000000043</f>
        <v>1419.8502740000001</v>
      </c>
      <c r="J140" s="3">
        <f>1966.8+(234.3-774)+(-3.009204+(-0.358479--1.18422))+0-27--0.0413100000000016</f>
        <v>1397.9578469999999</v>
      </c>
      <c r="K140" s="3">
        <f>1864.2+(237.4-667.3)+(-2.852226+(-0.363222--1.020969))+0-27--0.0413100000000016</f>
        <v>1405.1468310000002</v>
      </c>
      <c r="L140" s="3">
        <f>1800.4+(234.7-619)+(-4.59102+(-0.598485--1.57845))+0-26.4--0.0673199999999962</f>
        <v>1386.1562650000001</v>
      </c>
      <c r="M140" s="3">
        <f>1870.7+(221.4-630.2)+(0+(0-0))+0-27-0</f>
        <v>1434.9</v>
      </c>
      <c r="N140" s="3">
        <f>2168.2+(223.2-717.3)+(-1.105782+(-0.113832--0.365823))+0-29--0.0147899999999971</f>
        <v>1644.2609989999999</v>
      </c>
      <c r="O140" s="3">
        <f>2459.6+(231.4-856.9)+(0+(0-0))+0-29-0</f>
        <v>1805.1</v>
      </c>
      <c r="P140" s="3">
        <f>2605.8+(232.9-860.6)+(1.328958+(0.118779-0.438906))+0-29-0.0147899999999971</f>
        <v>1950.0940410000003</v>
      </c>
      <c r="Q140" s="3">
        <f>2631.3+(253.6-816.5)+(-1.341963+(-0.129336--0.416415))+0-27--0.0137699999999973</f>
        <v>2040.358886</v>
      </c>
      <c r="R140" s="3">
        <f>2643.9+(254.1-820.4)+(1.348389+(0.129591-0.418404))+0-25-0.0127499999999975</f>
        <v>2053.6468260000006</v>
      </c>
      <c r="S140" s="3">
        <f>2679.1+(240.6-838)+(-4.099023+(-0.368118--1.28214))+0-27--0.0413100000000016</f>
        <v>2051.5563090000001</v>
      </c>
      <c r="T140" s="3">
        <f>2669.6+(224.4-832.9)+(0+(0-0))+0-27-0</f>
        <v>2034.1</v>
      </c>
      <c r="U140" s="3">
        <f>2640.9+(69.6-650.1)+(0+(0-0))+0-10-0</f>
        <v>2050.4</v>
      </c>
      <c r="V140" s="3">
        <f>2600.4+(69.5-632.3)+(-5.304816+(-0.14178--1.289892))+0-8--0.0163199999999997</f>
        <v>2025.4596160000001</v>
      </c>
      <c r="W140" s="3">
        <f>2559.9+(66.4-622.5)+(-2.611098+(-0.067728--0.63495))+0-10--0.0102000000000016</f>
        <v>1991.7663240000002</v>
      </c>
      <c r="X140" s="3">
        <f>2545.1+(72.3-644.5)+(-3.894003+(-0.110619--0.986085))+0-25--0.0382500000000014</f>
        <v>1944.919713</v>
      </c>
      <c r="Y140" s="3">
        <f>2478.9+(67.6-639.6)+(0+(0-0))+0-27-0</f>
        <v>1879.9</v>
      </c>
      <c r="Z140" s="3">
        <f>2633.5+(109.5-697.3)+(0+(0-0))+0-28-0</f>
        <v>2017.7</v>
      </c>
      <c r="AA140" s="3">
        <f>2715.6+(115-541.7)+(0+(0-0))+0-20-0</f>
        <v>2268.8999999999996</v>
      </c>
      <c r="AB140" s="3">
        <f>2720.9+(115.2-585.7)+(2.775318+(0.117504-0.597414))+0-27-0.0275400000000043</f>
        <v>2225.667868</v>
      </c>
      <c r="AC140" s="3">
        <f>2668.2+(112.8-665.1)+(-1.360782+(-0.057528--0.339201))+0-26--0.0132599999999974</f>
        <v>2088.834151</v>
      </c>
      <c r="AD140">
        <f t="shared" si="2"/>
        <v>43838.166761</v>
      </c>
      <c r="AE140" s="3">
        <f>2711.1+(118.9-537)+(0+(0-0))+0-27.6-0</f>
        <v>2265.4</v>
      </c>
    </row>
    <row r="141" spans="1:31" s="2" customFormat="1" x14ac:dyDescent="0.25">
      <c r="A141">
        <v>89</v>
      </c>
      <c r="B141">
        <v>5</v>
      </c>
      <c r="C141">
        <v>17</v>
      </c>
      <c r="D141">
        <v>2</v>
      </c>
      <c r="E141">
        <v>1</v>
      </c>
      <c r="F141" s="3">
        <f>2559.2+(44.6-713)+(-5.220768+(-0.090984--1.45452))+0-27--0.0550799999999988</f>
        <v>1859.9978479999997</v>
      </c>
      <c r="G141" s="3">
        <f>2439.5+(42.3-784.4)+(-1.244145+(-0.021573--0.400044))+0-26.1--0.0133109999999974</f>
        <v>1670.4476370000002</v>
      </c>
      <c r="H141" s="3">
        <f>2304.7+(40.1-760.3)+(0+(0-0))+0-25.2-0</f>
        <v>1559.3</v>
      </c>
      <c r="I141" s="3">
        <f>2271+(39.8-777.4)+(-3.47463+(-0.060894--1.189422))+0-25.2--0.0385560000000015</f>
        <v>1505.892454</v>
      </c>
      <c r="J141" s="3">
        <f>2215+(47.4-746.5)+(-2.2593+(-0.048348--0.76143))+0-18.3--0.0186660000000029</f>
        <v>1496.0724480000001</v>
      </c>
      <c r="K141" s="3">
        <f>2040.4+(44.7-591.9)+(-2.081208+(-0.045594--0.603738))+0-8.4--0.00856800000000134</f>
        <v>1483.2855040000002</v>
      </c>
      <c r="L141" s="3">
        <f>1910.2+(48.2-487.4)+(-3.896808+(-0.098328--0.994296))+0-6.3--0.0128519999999997</f>
        <v>1461.7120120000002</v>
      </c>
      <c r="M141" s="3">
        <f>1958.6+(40.3-473.1)+(0+(0-0))+0-7.2-0</f>
        <v>1518.6</v>
      </c>
      <c r="N141" s="3">
        <f>2266.8+(39.9-581.6)+(-1.156068+(-0.020349--0.296616))+0-7.8--0.00397799999999921</f>
        <v>1716.4241770000001</v>
      </c>
      <c r="O141" s="3">
        <f>2548.8+(41.3-705.3)+(-3.899664+(-0.063189--1.079109))+0-2--0.00306000000000012</f>
        <v>1879.9193160000002</v>
      </c>
      <c r="P141" s="3">
        <f>2648.1+(45.6-677.8)+(0+(0-0))+0-18.9-0</f>
        <v>1997</v>
      </c>
      <c r="Q141" s="3">
        <f>2667.9+(45.3-613.2)+(0+(0-0))+0-26.7-0</f>
        <v>2073.3000000000002</v>
      </c>
      <c r="R141" s="3">
        <f>2687.5+(37.9-619.8)+(1.370625+(0.019329-0.316098))+0-26-0.0132599999999974</f>
        <v>2080.6605959999997</v>
      </c>
      <c r="S141" s="3">
        <f>2686.4+(48.1-635.9)+(-1.370064+(-0.024531--0.324309))+0-26.4--0.0134639999999973</f>
        <v>2071.1431780000003</v>
      </c>
      <c r="T141" s="3">
        <f>2671.6+(52.9-655.3)+(1.362516+(0.026979-0.334203))+0-27.3-0.0139229999999972</f>
        <v>2042.9413689999999</v>
      </c>
      <c r="U141" s="3">
        <f>2664.4+(52-649.6)+(-1.358844+(-0.02652--0.331296))+0-28--0.0142799999999972</f>
        <v>2037.7602120000004</v>
      </c>
      <c r="V141" s="3">
        <f>2665.6+(51.4-640)+(-1.359456+(-0.026214--0.3264))+0-28.5--0.0145349999999971</f>
        <v>2047.4552649999998</v>
      </c>
      <c r="W141" s="3">
        <f>2666.3+(43.5-673)+(-4.079439+(-0.066555--1.02969))+0-29.1--0.0445230000000017</f>
        <v>2004.6282190000004</v>
      </c>
      <c r="X141" s="3">
        <f>2612.2+(33-663.3)+(-6.66111+(-0.08415--1.691415))+0-29.4--0.0749699999999957</f>
        <v>1947.5211249999998</v>
      </c>
      <c r="Y141" s="3">
        <f>2597.1+(34-668.3)+(-2.649042+(-0.03468--0.681666))+0-29.1--0.0296820000000046</f>
        <v>1931.7276260000001</v>
      </c>
      <c r="Z141" s="3">
        <f>2660.4+(57.5-629)+(-1.356804+(-0.029325--0.32079))+0-28.5--0.0145349999999971</f>
        <v>2059.3491959999997</v>
      </c>
      <c r="AA141" s="3">
        <f>2674+(96.4-491)+(-4.09122+(-0.147492--0.75123))+0-28.5--0.0436050000000016</f>
        <v>2247.4561229999999</v>
      </c>
      <c r="AB141" s="3">
        <f>2703.3+(112.9-572.7)+(0+(0-0))+0-28.5-0</f>
        <v>2215</v>
      </c>
      <c r="AC141" s="3">
        <f>2667.9+(95-625.7)+(-2.721258+(-0.0969--0.638214))+0-29.1--0.0296820000000046</f>
        <v>2105.9497379999998</v>
      </c>
      <c r="AD141">
        <f t="shared" si="2"/>
        <v>45013.544043000009</v>
      </c>
      <c r="AE141" s="3">
        <f>2700.1+(112.5-455.8)+(0+(0-0))+0-29-0</f>
        <v>2327.7999999999997</v>
      </c>
    </row>
    <row r="142" spans="1:31" s="2" customFormat="1" x14ac:dyDescent="0.25">
      <c r="A142">
        <v>89</v>
      </c>
      <c r="B142">
        <v>5</v>
      </c>
      <c r="C142">
        <v>18</v>
      </c>
      <c r="D142">
        <v>3</v>
      </c>
      <c r="E142">
        <v>1</v>
      </c>
      <c r="F142" s="3">
        <f>2594.7+(25.2-704.3)+(-6.616485+(-0.06426--1.795965))+0-28.5--0.0726749999999959</f>
        <v>1882.2878949999997</v>
      </c>
      <c r="G142" s="3">
        <f>2407.4+(27.8-721.7)+(-2.455548+(-0.028356--0.736134))+0-28--0.0285600000000045</f>
        <v>1683.78079</v>
      </c>
      <c r="H142" s="3">
        <f>2238.9+(34.3-654.6)+(-1.141839+(-0.017493--0.333846))+0-27--0.0137699999999973</f>
        <v>1590.788284</v>
      </c>
      <c r="I142" s="3">
        <f>2106.8+(46.7-579.4)+(1.074468+(0.023817-0.295494))+0-27.4-0.0139739999999972</f>
        <v>1547.4888170000004</v>
      </c>
      <c r="J142" s="3">
        <f>2109.7+(46.9-613)+(3.227841+(0.071757-0.93789))+0-26.7-0.0408510000000015</f>
        <v>1519.2208569999998</v>
      </c>
      <c r="K142" s="3">
        <f>2099.7+(43.5-607.7)+(-1.070847+(-0.022185--0.309927))+0-27.6--0.0140759999999972</f>
        <v>1507.1309709999998</v>
      </c>
      <c r="L142" s="3">
        <f>1991.4+(43.7-515.1)+(-3.046842+(-0.066861--0.788103))+0-28--0.0428400000000016</f>
        <v>1489.7172400000002</v>
      </c>
      <c r="M142" s="3">
        <f>2151.4+(44.7-618.7)+(0+(0-0))+0-27-0</f>
        <v>1550.4</v>
      </c>
      <c r="N142" s="3">
        <f>2481.1+(43.7-731.5)+(2.530722+(0.044574-0.74613))+0-28-0.0285600000000045</f>
        <v>1767.100606</v>
      </c>
      <c r="O142" s="3">
        <f>2556.5+(43.8-671.1)+(-2.60763+(-0.044676--0.684522))+0-28.5--0.0290700000000045</f>
        <v>1898.7612859999999</v>
      </c>
      <c r="P142" s="3">
        <f>2637.7+(51.8-623.6)+(4.035681+(0.079254-0.954108))+0-29-0.0443700000000017</f>
        <v>2040.0164569999997</v>
      </c>
      <c r="Q142" s="3">
        <f>2690.3+(47.2-600.5)+(1.372053+(0.024072-0.306255))+0-29.5-0.015044999999997</f>
        <v>2108.5748249999997</v>
      </c>
      <c r="R142" s="3">
        <f>2578.5+(45.7-437.1)+(-2.63007+(-0.046614--0.445842))+0-28--0.0285600000000045</f>
        <v>2156.8977180000002</v>
      </c>
      <c r="S142" s="3">
        <f>2374.2+(57.7-342.1)+(1.210842+(0.029427-0.174471))+0-29-0.0147899999999971</f>
        <v>2061.8510079999996</v>
      </c>
      <c r="T142" s="3">
        <f>2354.4+(58.2-354.8)+(0+(0-0))+0-29-0</f>
        <v>2028.8000000000002</v>
      </c>
      <c r="U142" s="3">
        <f>2432.9+(53.9-413.7)+(0+(0-0))+4-29-0</f>
        <v>2048.1</v>
      </c>
      <c r="V142" s="3">
        <f>2590.9+(52.4-551.2)+(-1.321359+(-0.026724--0.281112))+0-26--0.0132599999999974</f>
        <v>2065.0462889999999</v>
      </c>
      <c r="W142" s="3">
        <f>2646.8+(47.4-642.3)+(-2.699736+(-0.048348--0.655146))+0-28--0.0285600000000045</f>
        <v>2021.8356220000003</v>
      </c>
      <c r="X142" s="3">
        <f>2616.9+(46.5-658.7)+(-6.673095+(-0.118575--1.679685))+0-29--0.0739499999999958</f>
        <v>1970.661965</v>
      </c>
      <c r="Y142" s="3">
        <f>2582.1+(45.3-691)+(-2.633742+(-0.046206--0.70482))+0-28--0.0285600000000045</f>
        <v>1906.4534319999998</v>
      </c>
      <c r="Z142" s="3">
        <f>2593.7+(103.4-626.1)+(-1.322787+(-0.052734--0.319311))+0-29--0.0147899999999971</f>
        <v>2040.9585799999998</v>
      </c>
      <c r="AA142" s="3">
        <f>2579.2+(147-440)+(-5.261568+(-0.29988--0.8976))+0-29--0.0591599999999987</f>
        <v>2252.5953119999995</v>
      </c>
      <c r="AB142" s="3">
        <f>2596.6+(150.2-523.6)+(-2.648532+(-0.153204--0.534072))+0-29--0.0295800000000046</f>
        <v>2191.9619159999997</v>
      </c>
      <c r="AC142" s="3">
        <f>2507.1+(159.9-580.1)+(-2.557242+(-0.163098--0.591702))+0-28--0.0285600000000045</f>
        <v>2056.7999219999997</v>
      </c>
      <c r="AD142">
        <f t="shared" si="2"/>
        <v>45387.229791999998</v>
      </c>
      <c r="AE142" s="3">
        <f>2566.2+(135.4-433.2)+(0+(0-0))+0-30-0</f>
        <v>2238.3999999999996</v>
      </c>
    </row>
    <row r="143" spans="1:31" s="2" customFormat="1" x14ac:dyDescent="0.25">
      <c r="A143">
        <v>89</v>
      </c>
      <c r="B143">
        <v>5</v>
      </c>
      <c r="C143">
        <v>19</v>
      </c>
      <c r="D143">
        <v>4</v>
      </c>
      <c r="E143">
        <v>1</v>
      </c>
      <c r="F143" s="3">
        <f>2343.4+(78-587.7)+(-2.390268+(-0.07956--0.599454))+0-29--0.0295800000000046</f>
        <v>1802.8592059999999</v>
      </c>
      <c r="G143" s="3">
        <f>2146.1+(111.2-556.3)+(-2.189022+(-0.113424--0.567426))+0-27--0.0275400000000043</f>
        <v>1672.29252</v>
      </c>
      <c r="H143" s="3">
        <f>2114.7+(203.3-739.5)+(-4.313988+(-0.414732--1.50858))+0-26--0.0530399999999989</f>
        <v>1549.3328999999999</v>
      </c>
      <c r="I143" s="3">
        <f>2182.9+(203.6-857.6)+(1.113279+(0.103836-0.437376))+0-27-0.0137699999999973</f>
        <v>1502.6659690000001</v>
      </c>
      <c r="J143" s="3">
        <f>2086.9+(198.8-784.6)+(4.257276+(0.405552-1.600584))+0-26-0.0530399999999989</f>
        <v>1478.1092040000001</v>
      </c>
      <c r="K143" s="3">
        <f>2089.7+(196.2-790.3)+(2.131494+(0.200124-0.806106))+0-27-0.0275400000000043</f>
        <v>1470.0979719999998</v>
      </c>
      <c r="L143" s="3">
        <f>1971.2+(215.8-690.1)+(-2.010624+(-0.220116--0.703902))+0-27--0.0275400000000043</f>
        <v>1468.4007020000001</v>
      </c>
      <c r="M143" s="3">
        <f>2055.2+(203.5-717.7)+(2.096304+(0.20757-0.732054))+0-29-0.0295800000000046</f>
        <v>1513.5422399999998</v>
      </c>
      <c r="N143" s="3">
        <f>2341.9+(185.9-809.7)+(3.583107+(0.284427-1.238841))+0-30-0.0459000000000017</f>
        <v>1690.6827929999999</v>
      </c>
      <c r="O143" s="3">
        <f>2618+(193.5-906.8)+(5.34072+(0.39474-1.849872))+0-29-0.0591599999999987</f>
        <v>1879.5264280000001</v>
      </c>
      <c r="P143" s="3">
        <f>2634+(198.1-792.9)+(2.68668+(0.202062-0.808758))+0-28-0.0285600000000045</f>
        <v>2013.251424</v>
      </c>
      <c r="Q143" s="3">
        <f>2609.4+(201.9-680.7)+(0+(0-0))+0-28.5-0</f>
        <v>2102.1</v>
      </c>
      <c r="R143" s="3">
        <f>2618.1+(194-679.6)+(1.335231+(0.09894-0.346596))+0-27.6-0.0140759999999972</f>
        <v>2105.9734990000002</v>
      </c>
      <c r="S143" s="3">
        <f>2620+(138.5-640)+(0+(0-0))+0-27.6-0</f>
        <v>2090.9</v>
      </c>
      <c r="T143" s="3">
        <f>2604.5+(129.4-656.1)+(0+(0-0))+0-30-0</f>
        <v>2047.8000000000002</v>
      </c>
      <c r="U143" s="3">
        <f>2590.6+(126.5-605.3)+(1.321206+(0.064515-0.308703))+0-29.7-0.015146999999997</f>
        <v>2083.1618710000002</v>
      </c>
      <c r="V143" s="3">
        <f>2602.7+(123.8-630.5)+(2.654754+(0.126276-0.64311))+0-29.7-0.0302940000000047</f>
        <v>2068.4076260000002</v>
      </c>
      <c r="W143" s="3">
        <f>2591+(93.9-653.9)+(-5.28564+(-0.191556--1.333956))+0-29.1--0.0593639999999987</f>
        <v>1997.8161239999999</v>
      </c>
      <c r="X143" s="3">
        <f>2588.8+(84-697.7)+(-6.60144+(-0.2142--1.779135))+0-27.9--0.0711449999999959</f>
        <v>1942.2346399999999</v>
      </c>
      <c r="Y143" s="3">
        <f>2413.6+(120.3-618)+(2.461872+(0.122706-0.63036))+0-29.4-0.0299880000000047</f>
        <v>1888.4242299999999</v>
      </c>
      <c r="Z143" s="3">
        <f>2648.2+(212.4-785.2)+(0+(0-0))+0-28.8-0</f>
        <v>2046.5999999999997</v>
      </c>
      <c r="AA143" s="3">
        <f>2680.8+(224.7-614.6)+(-2.734416+(-0.229194--0.626892))+0-28.2--0.0287640000000045</f>
        <v>2260.3920460000004</v>
      </c>
      <c r="AB143" s="3">
        <f>2680.8+(217.9-657)+(-1.367208+(-0.111129--0.33507))+0-27.9--0.0142289999999972</f>
        <v>2212.6709620000001</v>
      </c>
      <c r="AC143" s="3">
        <f>2548+(216-657.4)+(-5.19792+(-0.44064--1.341096))+0-27.9--0.0569159999999988</f>
        <v>2074.4594519999996</v>
      </c>
      <c r="AD143">
        <f t="shared" si="2"/>
        <v>44961.701808000005</v>
      </c>
      <c r="AE143" s="3">
        <f>2681.6+(221.9-617.8)+(0+(0-0))+0-27.5-0</f>
        <v>2258.1999999999998</v>
      </c>
    </row>
    <row r="144" spans="1:31" s="2" customFormat="1" x14ac:dyDescent="0.25">
      <c r="A144">
        <v>89</v>
      </c>
      <c r="B144">
        <v>5</v>
      </c>
      <c r="C144">
        <v>20</v>
      </c>
      <c r="D144">
        <v>5</v>
      </c>
      <c r="E144">
        <v>1</v>
      </c>
      <c r="F144" s="3">
        <f>2498.7+(140-763.1)+(-5.097348+(-0.2856--1.556724))+0-27--0.0550799999999988</f>
        <v>1844.8288560000001</v>
      </c>
      <c r="G144" s="3">
        <f>2355.9+(149.9-827.6)+(-3.604527+(-0.229347--1.266228))+0-27--0.0413100000000016</f>
        <v>1648.6736640000001</v>
      </c>
      <c r="H144" s="3">
        <f>2347.3+(173.2-936.5)+(-4.788492+(-0.353328--1.91046))+0-27--0.0550799999999988</f>
        <v>1553.8237200000003</v>
      </c>
      <c r="I144" s="3">
        <f>2302.3+(192.1-949.1)+(-5.870865+(-0.489855--2.420205))+0-28--0.0713999999999959</f>
        <v>1513.4308850000002</v>
      </c>
      <c r="J144" s="3">
        <f>2146.6+(201.2-801.9)+(-6.568596+(-0.615672--2.453814))+0-27--0.0826200000000031</f>
        <v>1514.2521659999998</v>
      </c>
      <c r="K144" s="3">
        <f>1915.6+(219.7-600.2)+(-3.907824+(-0.448188--1.224408))+0-28--0.0571199999999988</f>
        <v>1504.0255159999999</v>
      </c>
      <c r="L144" s="3">
        <f>1908.5+(187.6-641.8)+(-5.84001+(-0.574056--1.963908))+0-28--0.0856800000000032</f>
        <v>1421.935522</v>
      </c>
      <c r="M144" s="3">
        <f>1998.2+(155-645.2)+(-3.057246+(-0.23715--0.987156))+0-29--0.0443700000000017</f>
        <v>1476.73713</v>
      </c>
      <c r="N144" s="3">
        <f>2107.3+(112-525.1)+(0+(0-0))+0-31-0</f>
        <v>1663.2000000000003</v>
      </c>
      <c r="O144" s="3">
        <f>2342.5+(115.6-570)+(-1.194675+(-0.058956--0.2907))+0-31--0.0158099999999969</f>
        <v>1856.152879</v>
      </c>
      <c r="P144" s="3">
        <f>2445.3+(115-643.5)+(3.741309+(0.17595-0.984555))+0-30-0.0459000000000017</f>
        <v>1889.6868040000002</v>
      </c>
      <c r="Q144" s="3">
        <f>2636.6+(122.4-674.6)+(-1.344666+(-0.062424--0.344046))+0-30--0.015299999999997</f>
        <v>2053.3522559999997</v>
      </c>
      <c r="R144" s="3">
        <f>2678+(126-678.8)+(1.36578+(0.06426-0.346188))+0-28-0.0142799999999972</f>
        <v>2098.2695720000002</v>
      </c>
      <c r="S144" s="3">
        <f>2676.1+(121.1-672.7)+(0+(0-0))+0-27-0</f>
        <v>2097.5</v>
      </c>
      <c r="T144" s="3">
        <f>2661.4+(106.8-670)+(1.357314+(0.054468-0.3417))+0-29-0.0147899999999971</f>
        <v>2070.2552919999998</v>
      </c>
      <c r="U144" s="3">
        <f>2654.3+(104.8-659.3)+(0+(0-0))+0-30-0</f>
        <v>2069.8000000000002</v>
      </c>
      <c r="V144" s="3">
        <f>2635+(104-629.5)+(-5.3754+(-0.21216--1.28418))+0-29--0.0591599999999987</f>
        <v>2076.25578</v>
      </c>
      <c r="W144" s="3">
        <f>2639.7+(105.7-681.6)+(-5.384988+(-0.215628--1.390464))+0-29--0.0591599999999987</f>
        <v>2030.6490079999996</v>
      </c>
      <c r="X144" s="3">
        <f>2603.2+(110-681.5)+(-7.965792+(-0.3366--2.08539))+0-29--0.0887400000000034</f>
        <v>1996.5717379999996</v>
      </c>
      <c r="Y144" s="3">
        <f>2629.7+(103.4-769.6)+(1.341147+(0.052734-0.392496))+0-29-0.0147899999999971</f>
        <v>1935.4865949999999</v>
      </c>
      <c r="Z144" s="3">
        <f>2691.7+(202.8-772.6)+(2.745534+(0.206856-0.788052))+0-29-0.0295800000000046</f>
        <v>2095.0347579999998</v>
      </c>
      <c r="AA144" s="3">
        <f>2723.7+(208.9-604.5)+(-4.167261+(-0.319617--0.924885))+0-28--0.0428400000000016</f>
        <v>2296.5808470000002</v>
      </c>
      <c r="AB144" s="3">
        <f>2663.8+(202-577.2)+(0+(0-0))+0-28-0</f>
        <v>2260.6000000000004</v>
      </c>
      <c r="AC144" s="3">
        <f>2535.4+(211.1-600.3)+(-3.879162+(-0.322983--0.918459))+0-28--0.0428400000000016</f>
        <v>2114.9591540000001</v>
      </c>
      <c r="AD144">
        <f t="shared" si="2"/>
        <v>45082.062141999995</v>
      </c>
      <c r="AE144" s="3">
        <f>2738.1+(219.4-625.3)+(0+(0-0))+0-30-0</f>
        <v>2302.1999999999998</v>
      </c>
    </row>
    <row r="145" spans="1:31" s="2" customFormat="1" x14ac:dyDescent="0.25">
      <c r="A145">
        <v>89</v>
      </c>
      <c r="B145">
        <v>5</v>
      </c>
      <c r="C145">
        <v>21</v>
      </c>
      <c r="D145">
        <v>6</v>
      </c>
      <c r="E145">
        <v>8</v>
      </c>
      <c r="F145" s="3">
        <f>2554.8+(120.3-748.2)+(-5.211792+(-0.245412--1.526328))+0-28--0.0571199999999988</f>
        <v>1895.0262440000001</v>
      </c>
      <c r="G145" s="3">
        <f>2267.8+(184-766)+(-4.626312+(-0.37536--1.56264))+0-27--0.0550799999999988</f>
        <v>1655.4160480000003</v>
      </c>
      <c r="H145" s="3">
        <f>2158.3+(196.1-765.7)+(0+(0-0))+0-28-0</f>
        <v>1560.7000000000003</v>
      </c>
      <c r="I145" s="3">
        <f>2164.6+(196.4-800.3)+(2.207892+(0.200328-0.816306))+0-27-0.0275400000000043</f>
        <v>1535.2643739999999</v>
      </c>
      <c r="J145" s="3">
        <f>2399.6+(202.4-928.5)+(-3.671388+(-0.309672--1.420605))+0-27--0.0413100000000016</f>
        <v>1643.980855</v>
      </c>
      <c r="K145" s="3">
        <f>2303.1+(203.9-924.9)+(-5.872905+(-0.519945--2.358495))+0-27--0.0688499999999961</f>
        <v>1551.1344949999998</v>
      </c>
      <c r="L145" s="3">
        <f>2118.6+(182.8-814.2)+(-8.643888+(-0.745824--3.321936))+0-27--0.110159999999998</f>
        <v>1454.2423839999997</v>
      </c>
      <c r="M145" s="3">
        <f>2098.8+(184.5-769.3)+(2.140776+(0.18819-0.784686))+0-30-0.0306000000000048</f>
        <v>1485.5136800000002</v>
      </c>
      <c r="N145" s="3">
        <f>2224.4+(132.4-721.9)+(2.268888+(0.135048-0.736338))+0-29-0.0295800000000046</f>
        <v>1607.5380180000002</v>
      </c>
      <c r="O145" s="3">
        <f>2396.5+(126-685.2)+(4.88886+(0.25704-1.397808))+0-30-0.0611999999999987</f>
        <v>1810.9868919999999</v>
      </c>
      <c r="P145" s="3">
        <f>2424.4+(160.2-612.9)+(2.472888+(0.163404-0.625158))+0-31-0.0316200000000049</f>
        <v>1942.6795140000002</v>
      </c>
      <c r="Q145" s="3">
        <f>2517+(174.8-635.4)+(0+(0-0))+0-31-0</f>
        <v>2025.4</v>
      </c>
      <c r="R145" s="3">
        <f>2645.3+(171.6-734.4)+(2.698206+(0.175032-0.749088))+0-28.3-0.0288660000000045</f>
        <v>2056.2952839999998</v>
      </c>
      <c r="S145" s="3">
        <f>2678+(160.3-789.4)+(0+(0-0))+0-28.5-0</f>
        <v>2020.4</v>
      </c>
      <c r="T145" s="3">
        <f>2672.1+(167.6-794.8)+(0+(0-0))+0-28.5-0</f>
        <v>2016.4</v>
      </c>
      <c r="U145" s="3">
        <f>2670.4+(175.9-845.7)+(-1.361904+(-0.089709--0.431307))+0-29.4--0.014993999999997</f>
        <v>1970.1946879999998</v>
      </c>
      <c r="V145" s="3">
        <f>2656.4+(175.7-874.2)+(-1.354764+(-0.089607--0.445842))+0-27--0.0137699999999973</f>
        <v>1929.9152410000002</v>
      </c>
      <c r="W145" s="3">
        <f>2673.5+(180.1-906.3)+(-4.090455+(-0.275553--1.386639))+0-29.7--0.0454410000000017</f>
        <v>1914.6660720000002</v>
      </c>
      <c r="X145" s="3">
        <f>2594.5+(177.4-848.7)+(-5.29278+(-0.361896--1.731348))+0-28.8--0.0587519999999987</f>
        <v>1890.5354239999997</v>
      </c>
      <c r="Y145" s="3">
        <f>2514.6+(175.8-777)+(1.282446+(0.089658-0.39627))+0-29.1-0.014840999999997</f>
        <v>1885.2609930000001</v>
      </c>
      <c r="Z145" s="3">
        <f>2607.3+(268.8-754.7)+(2.659446+(0.274176-0.769794))+0-30-0.0306000000000048</f>
        <v>2093.5332280000002</v>
      </c>
      <c r="AA145" s="3">
        <f>2737.6+(278-760.6)+(-1.396176+(-0.14178--0.387906))+0-27--0.0137699999999973</f>
        <v>2226.8637199999998</v>
      </c>
      <c r="AB145" s="3">
        <f>2711.2+(275.9-781.1)+(-1.382712+(-0.140709--0.398361))+0-26.1--0.0133109999999974</f>
        <v>2178.7882510000004</v>
      </c>
      <c r="AC145" s="3">
        <f>2580.6+(266-806.7)+(1.316106+(0.13566-0.411417))+0-27.9-0.0142289999999972</f>
        <v>2013.02612</v>
      </c>
      <c r="AD145">
        <f t="shared" si="2"/>
        <v>44363.761525000009</v>
      </c>
      <c r="AE145" s="3">
        <f>2752.7+(281-785.2)+(0+(0-0))+0-27.6-0</f>
        <v>2220.9</v>
      </c>
    </row>
    <row r="146" spans="1:31" s="2" customFormat="1" x14ac:dyDescent="0.25">
      <c r="A146">
        <v>89</v>
      </c>
      <c r="B146">
        <v>5</v>
      </c>
      <c r="C146">
        <v>22</v>
      </c>
      <c r="D146">
        <v>7</v>
      </c>
      <c r="E146">
        <v>1</v>
      </c>
      <c r="F146" s="3">
        <f>2533.9+(144.6-865.2)+(1.292289+(0.073746-0.441252))+0-27.5-0.0140249999999972</f>
        <v>1786.7107580000002</v>
      </c>
      <c r="G146" s="3">
        <f>2393.1+(163.4-905)+(-2.440962+(-0.166668--0.9231))+0-27--0.0275400000000043</f>
        <v>1622.84301</v>
      </c>
      <c r="H146" s="3">
        <f>2261.2+(179.9-906.7)+(-1.153212+(-0.091749--0.462417))+0-27.5--0.0140249999999972</f>
        <v>1506.1314809999997</v>
      </c>
      <c r="I146" s="3">
        <f>2219.5+(196.7-909.9)+(0+(0-0))+0-26-0</f>
        <v>1480.3</v>
      </c>
      <c r="J146" s="3">
        <f>2320.4+(204-910.8)+(-1.183404+(-0.10404--0.464508))+0-27--0.0137699999999973</f>
        <v>1585.7908340000001</v>
      </c>
      <c r="K146" s="3">
        <f>2224.2+(212.2-910.6)+(-2.268684+(-0.216444--0.928812))+0-28--0.0285600000000045</f>
        <v>1496.2722439999998</v>
      </c>
      <c r="L146" s="3">
        <f>2170.9+(220-985.2)+(-4.428636+(-0.4488--2.009808))+0-27--0.0550799999999988</f>
        <v>1375.8874520000002</v>
      </c>
      <c r="M146" s="3">
        <f>2095.1+(203.3-953.4)+(-1.068501+(-0.103683--0.486234))+0-27--0.0137699999999973</f>
        <v>1317.32782</v>
      </c>
      <c r="N146" s="3">
        <f>2165.3+(167.2-906.6)+(-3.312909+(-0.255816--1.387098))+0-30--0.0459000000000017</f>
        <v>1393.7642730000002</v>
      </c>
      <c r="O146" s="3">
        <f>2254.8+(160-848.5)+(1.149948+(0.0816-0.432735))+0-29-0.0147899999999971</f>
        <v>1538.0840230000003</v>
      </c>
      <c r="P146" s="3">
        <f>2324.1+(172-822.9)+(-2.370582+(-0.17544--0.839358))+0-28--0.0285600000000045</f>
        <v>1643.5218959999997</v>
      </c>
      <c r="Q146" s="3">
        <f>2533.8+(119-914)+(0+(0-0))+0-30-0</f>
        <v>1708.8000000000002</v>
      </c>
      <c r="R146" s="3">
        <f>2648.5+(78.1-939.9)+(1.350735+(0.039831-0.479349))+0-28-0.0142799999999972</f>
        <v>1759.596937</v>
      </c>
      <c r="S146" s="3">
        <f>2646.3+(79-923.8)+(0+(0-0))+0-27-0</f>
        <v>1774.5000000000002</v>
      </c>
      <c r="T146" s="3">
        <f>2683.8+(63.3-923.2)+(1.368738+(0.032283-0.470832))+0-29-0.0147899999999971</f>
        <v>1795.8153990000001</v>
      </c>
      <c r="U146" s="3">
        <f>2667.7+(64.7-930.5)+(0+(0-0))+0-29-0</f>
        <v>1772.8999999999999</v>
      </c>
      <c r="V146" s="3">
        <f>2659.9+(58.7-932.2)+(-4.069647+(-0.089811--1.426266))+0-28--0.0428400000000016</f>
        <v>1755.7096480000002</v>
      </c>
      <c r="W146" s="3">
        <f>2656.3+(55.2-955.5)+(-4.064139+(-0.084456--1.461915))+0-29--0.0443700000000017</f>
        <v>1724.3576900000003</v>
      </c>
      <c r="X146" s="3">
        <f>2623.2+(99.9-937.8)+(-5.351328+(-0.203796--1.913112))+0-29--0.0591599999999987</f>
        <v>1752.7171479999997</v>
      </c>
      <c r="Y146" s="3">
        <f>2633.9+(99-950.6)+(-2.686578+(-0.10098--0.969612))+0-28--0.0285600000000045</f>
        <v>1752.5106140000003</v>
      </c>
      <c r="Z146" s="3">
        <f>2661.3+(165.6-833.3)+(-1.357263+(-0.084456--0.424983))+0-26--0.0132599999999974</f>
        <v>1966.5965240000003</v>
      </c>
      <c r="AA146" s="3">
        <f>2754.9+(116.2-784.6)+(-7.024995+(-0.29631--2.00073))+0-27--0.0688499999999961</f>
        <v>2054.2482749999999</v>
      </c>
      <c r="AB146" s="3">
        <f>2758.7+(127.7-824.1)+(-2.813874+(-0.130254--0.840582))+0-27--0.0275400000000043</f>
        <v>2033.2239939999999</v>
      </c>
      <c r="AC146" s="3">
        <f>2693.9+(109-832.2)+(1.373889+(0.05559-0.424422))+0-28-0.0142799999999972</f>
        <v>1943.690777</v>
      </c>
      <c r="AD146">
        <f t="shared" si="2"/>
        <v>40541.300796999996</v>
      </c>
      <c r="AE146" s="3">
        <f>2719.1+(175.6-798.1)+(0+(0-0))+0-27-0</f>
        <v>2069.6</v>
      </c>
    </row>
    <row r="147" spans="1:31" s="2" customFormat="1" x14ac:dyDescent="0.25">
      <c r="A147">
        <v>89</v>
      </c>
      <c r="B147">
        <v>5</v>
      </c>
      <c r="C147">
        <v>23</v>
      </c>
      <c r="D147">
        <v>1</v>
      </c>
      <c r="E147">
        <v>1</v>
      </c>
      <c r="F147" s="3">
        <f>2431.3+(25.1-691.2)+(-4.959852+(-0.051204--1.410048))+0-27--0.0550799999999988</f>
        <v>1734.6540720000003</v>
      </c>
      <c r="G147" s="3">
        <f>2287.6+(33.8-738)+(1.166676+(0.017238-0.37638))+0-28-0.0142799999999972</f>
        <v>1556.1932539999998</v>
      </c>
      <c r="H147" s="3">
        <f>2239.5+(60.3-804.8)+(-2.28429+(-0.061506--0.820896))+0-28--0.0285600000000045</f>
        <v>1465.5036600000001</v>
      </c>
      <c r="I147" s="3">
        <f>2238+(52.4-832.9)+(-4.56552+(-0.106896--1.699116))+0-27--0.0550799999999988</f>
        <v>1427.58178</v>
      </c>
      <c r="J147" s="3">
        <f>2242+(52.7-723.2)+(-1.14342+(-0.026877--0.368832))+0-28--0.0142799999999972</f>
        <v>1542.7128150000001</v>
      </c>
      <c r="K147" s="3">
        <f>2180.4+(75.1-772.3)+(-2.224008+(-0.076602--0.787746))+0-29--0.0295800000000046</f>
        <v>1452.7167160000001</v>
      </c>
      <c r="L147" s="3">
        <f>2136.7+(84.4-816)+(-2.179434+(-0.086088--0.83232))+0-28--0.0285600000000045</f>
        <v>1375.6953579999999</v>
      </c>
      <c r="M147" s="3">
        <f>2219.1+(67.1-848.1)+(-1.131741+(-0.034221--0.432531))+0-31--0.0158099999999969</f>
        <v>1406.3823789999999</v>
      </c>
      <c r="N147" s="3">
        <f>2513.4+(43.8-911.2)+(1.281834+(0.022338-0.464712))+0-31-0.0158099999999969</f>
        <v>1615.8236499999998</v>
      </c>
      <c r="O147" s="3">
        <f>2566.8+(56.2-814.7)+(-3.927204+(-0.085986--1.246491))+0-30--0.0459000000000017</f>
        <v>1775.5792010000002</v>
      </c>
      <c r="P147" s="3">
        <f>2611.1+(63.8-735.4)+(1.331661+(0.032538-0.375054))+0-29-0.0147899999999971</f>
        <v>1911.4743550000001</v>
      </c>
      <c r="Q147" s="3">
        <f>2614.2+(64.9-677.1)+(3.999726+(0.099297-1.035963))+0-30-0.0459000000000017</f>
        <v>1975.0171599999996</v>
      </c>
      <c r="R147" s="3">
        <f>2603.5+(48.2-632.2)+(1.327785+(0.024582-0.322422))+0-28-0.0142799999999972</f>
        <v>1992.5156649999999</v>
      </c>
      <c r="S147" s="3">
        <f>2590.4+(45.3-627.6)+(1.321104+(0.023103-0.320076))+0-27-0.0137699999999973</f>
        <v>1982.1103609999998</v>
      </c>
      <c r="T147" s="3">
        <f>2588.7+(46.2-635.4)+(1.320237+(0.023562-0.324054))+0-30-0.015299999999997</f>
        <v>1970.504445</v>
      </c>
      <c r="U147" s="3">
        <f>2663.7+(37.3-711.3)+(-1.358487+(-0.019023--0.362763))+0-29--0.0147899999999971</f>
        <v>1959.7000429999998</v>
      </c>
      <c r="V147" s="3">
        <f>2638.6+(39.3-700.9)+(0+(0-0))+0-29-0</f>
        <v>1948</v>
      </c>
      <c r="W147" s="3">
        <f>2615.9+(41.1-709.2)+(-6.670545+(-0.104805--1.80846))+0-29--0.0739499999999958</f>
        <v>1913.9070600000002</v>
      </c>
      <c r="X147" s="3">
        <f>2476.6+(64.1-603.2)+(-2.526132+(-0.065382--0.615264))+0-29--0.0295800000000046</f>
        <v>1906.55333</v>
      </c>
      <c r="Y147" s="3">
        <f>2504+(52.2-676.6)+(-2.55408+(-0.053244--0.690132))+0-27--0.0275400000000043</f>
        <v>1850.7103480000001</v>
      </c>
      <c r="Z147" s="3">
        <f>2660.6+(161.1-743)+(-1.356906+(-0.082161--0.37893))+0-28--0.0142799999999972</f>
        <v>2049.6541429999997</v>
      </c>
      <c r="AA147" s="3">
        <f>2652.5+(174.3-603.2)+(-5.4111+(-0.355572--1.230528))+0-28--0.0571199999999988</f>
        <v>2191.1209759999997</v>
      </c>
      <c r="AB147" s="3">
        <f>2639.6+(170.3-615.5)+(-2.692392+(-0.173706--0.62781))+0-28--0.0285600000000045</f>
        <v>2164.1902720000003</v>
      </c>
      <c r="AC147" s="3">
        <f>2552.8+(163.6-662.6)+(-2.603856+(-0.166872--0.675852))+0-28--0.0285600000000045</f>
        <v>2023.733684</v>
      </c>
      <c r="AD147">
        <f t="shared" si="2"/>
        <v>43192.034726999998</v>
      </c>
      <c r="AE147" s="3">
        <f>2675.6+(169.8-647.8)+(0+(0-0))+0-9.3-0</f>
        <v>2188.2999999999997</v>
      </c>
    </row>
    <row r="148" spans="1:31" s="2" customFormat="1" x14ac:dyDescent="0.25">
      <c r="A148">
        <v>89</v>
      </c>
      <c r="B148">
        <v>5</v>
      </c>
      <c r="C148">
        <v>24</v>
      </c>
      <c r="D148">
        <v>2</v>
      </c>
      <c r="E148">
        <v>1</v>
      </c>
      <c r="F148" s="3">
        <f>2530+(38.2-754.4)+(-3.8709+(-0.058446--1.154232))+0-27--0.0413100000000016</f>
        <v>1784.0661960000002</v>
      </c>
      <c r="G148" s="3">
        <f>2513.9+(49.8-905)+(-1.282089+(-0.025398--0.46155))+0-28--0.0142799999999972</f>
        <v>1629.8683430000001</v>
      </c>
      <c r="H148" s="3">
        <f>2431.1+(67.4-942.8)+(1.239861+(0.034374-0.480828))+0-28-0.0142799999999972</f>
        <v>1528.4791269999996</v>
      </c>
      <c r="I148" s="3">
        <f>2418.4+(71-969.3)+(-4.933536+(-0.14484--1.977372))+0-28--0.0571199999999988</f>
        <v>1489.056116</v>
      </c>
      <c r="J148" s="3">
        <f>2439+(70.7-897.7)+(1.24389+(0.036057-0.457827))+0-28-0.0142799999999972</f>
        <v>1584.8078399999999</v>
      </c>
      <c r="K148" s="3">
        <f>2410.1+(70.8-951.2)+(-3.687453+(-0.108324--1.455336))+0-28--0.0428400000000016</f>
        <v>1499.4023989999998</v>
      </c>
      <c r="L148" s="3">
        <f>2258.2+(79.4-877.2)+(-4.606728+(-0.161976--1.789488))+0-28--0.0571199999999988</f>
        <v>1429.4779039999996</v>
      </c>
      <c r="M148" s="3">
        <f>2281.6+(98.5-906.1)+(-2.327232+(-0.10047--0.924222))+0-31--0.0316200000000049</f>
        <v>1441.5281399999999</v>
      </c>
      <c r="N148" s="3">
        <f>2379.9+(97.2-855.7)+(2.427498+(0.099144-0.872814))+0-30-0.0306000000000048</f>
        <v>1593.023228</v>
      </c>
      <c r="O148" s="3">
        <f>2494.2+(113.3-787)+(-5.088168+(-0.231132--1.60548))+0-22--0.044879999999999</f>
        <v>1794.8310599999998</v>
      </c>
      <c r="P148" s="3">
        <f>2543.1+(103.6-749.6)+(3.890943+(0.158508-1.146888))+0-30-0.0459000000000017</f>
        <v>1869.9566629999999</v>
      </c>
      <c r="Q148" s="3">
        <f>2528.2+(104.1-679.4)+(-2.578764+(-0.106182--0.692988))+0-30--0.0306000000000048</f>
        <v>1920.9386419999998</v>
      </c>
      <c r="R148" s="3">
        <f>2525.4+(98.7-646.2)+(0+(0-0))+0-28.1-0</f>
        <v>1949.8000000000002</v>
      </c>
      <c r="S148" s="3">
        <f>2530.6+(106.6-685.9)+(-2.581212+(-0.108732--0.699618))+0-27.6--0.0281520000000044</f>
        <v>1921.737826</v>
      </c>
      <c r="T148" s="3">
        <f>2528.4+(108.5-693.4)+(1.289484+(0.055335-0.353634))+0-30.6-0.0156059999999969</f>
        <v>1913.8755790000002</v>
      </c>
      <c r="U148" s="3">
        <f>2520.5+(107.5-687.4)+(-1.285455+(-0.054825--0.350574))+0-30.6--0.0156059999999969</f>
        <v>1909.0258999999999</v>
      </c>
      <c r="V148" s="3">
        <f>2495.9+(105.5-687.4)+(-2.545818+(-0.10761--0.701148))+0-30--0.0306000000000048</f>
        <v>1882.0783200000001</v>
      </c>
      <c r="W148" s="3">
        <f>2553.6+(105.4-766.8)+(0+(0-0))+0-31.2-0</f>
        <v>1860.9999999999998</v>
      </c>
      <c r="X148" s="3">
        <f>2461.1+(99.7-690.9)+(-2.510322+(-0.101694--0.704718))+0-29.4--0.0299880000000047</f>
        <v>1838.6226899999999</v>
      </c>
      <c r="Y148" s="3">
        <f>2431.8+(94.9-672.2)+(0+(0-0))+0-29.1-0</f>
        <v>1825.4</v>
      </c>
      <c r="Z148" s="3">
        <f>2679.3+(169.6-783.1)+(-2.732886+(-0.172992--0.798762))+0-27.9--0.0284580000000044</f>
        <v>2035.821342</v>
      </c>
      <c r="AA148" s="3">
        <f>2732.3+(178.6-711.3)+(-2.786946+(-0.182172--0.725526))+0-27.6--0.0281520000000044</f>
        <v>2169.7845600000005</v>
      </c>
      <c r="AB148" s="3">
        <f>2719.6+(177.9-773.9)+(-2.773992+(-0.181458--0.789378))+0-28.8--0.0293760000000046</f>
        <v>2092.6633039999997</v>
      </c>
      <c r="AC148" s="3">
        <f>2727.3+(169.2-894.9)+(-2.781846+(-0.172584--0.912798))+0-28.2--0.0287640000000045</f>
        <v>1971.3871320000001</v>
      </c>
      <c r="AD148">
        <f t="shared" si="2"/>
        <v>42936.632311000008</v>
      </c>
      <c r="AE148" s="3">
        <f>2758.5+(177.8-721.9)+(0+(0-0))+0-28-0</f>
        <v>2186.4</v>
      </c>
    </row>
    <row r="149" spans="1:31" s="2" customFormat="1" x14ac:dyDescent="0.25">
      <c r="A149">
        <v>89</v>
      </c>
      <c r="B149">
        <v>5</v>
      </c>
      <c r="C149">
        <v>25</v>
      </c>
      <c r="D149">
        <v>3</v>
      </c>
      <c r="E149">
        <v>1</v>
      </c>
      <c r="F149" s="3">
        <f>2507.5+(43.6-757.9)+(-8.951775+(-0.155652--2.705703))+0-28.5--0.101745</f>
        <v>1758.4000209999999</v>
      </c>
      <c r="G149" s="3">
        <f>2332.4+(50.4-753.1)+(-5.94762+(-0.12852--1.920405))+0-29--0.0739499999999958</f>
        <v>1596.618215</v>
      </c>
      <c r="H149" s="3">
        <f>2332+(69.9-870.9)+(-1.18932+(-0.035649--0.444159))+0-29--0.0147899999999971</f>
        <v>1501.23398</v>
      </c>
      <c r="I149" s="3">
        <f>2289.8+(71.7-865)+(1.167798+(0.036567-0.44115))+0-28.5-0.0145349999999971</f>
        <v>1468.7486800000001</v>
      </c>
      <c r="J149" s="3">
        <f>2324.4+(74.6-800.9)+(1.185444+(0.038046-0.408459))+0-28-0.0142799999999972</f>
        <v>1570.9007510000001</v>
      </c>
      <c r="K149" s="3">
        <f>2325+(71.4-866.5)+(-4.743+(-0.145656--1.76766))+0-28.5--0.0581399999999988</f>
        <v>1498.3371440000001</v>
      </c>
      <c r="L149" s="3">
        <f>2170.3+(72.4-792.3)+(-4.427412+(-0.147696--1.616292))+0-28--0.0571199999999988</f>
        <v>1419.498304</v>
      </c>
      <c r="M149" s="3">
        <f>2105+(104.7-726.7)+(0+(0-0))+0-30-0</f>
        <v>1453</v>
      </c>
      <c r="N149" s="3">
        <f>2298.6+(71.9-750.8)+(0+(0-0))+0-30-0</f>
        <v>1589.6999999999998</v>
      </c>
      <c r="O149" s="3">
        <f>2530.8+(57.1-766.6)+(0+(0-0))+0-29-0</f>
        <v>1792.3000000000002</v>
      </c>
      <c r="P149" s="3">
        <f>2634.5+(59.4-800.8)+(4.030785+(0.090882-1.225224))+0-32-0.0489600000000018</f>
        <v>1863.9474829999999</v>
      </c>
      <c r="Q149" s="3">
        <f>2644.5+(60.1-717)+(2.69739+(0.061302-0.73134))+0-31-0.0316200000000049</f>
        <v>1958.595732</v>
      </c>
      <c r="R149" s="3">
        <f>2649.5+(62.3-693.3)+(5.40498+(0.127092-1.414332))+0-28-0.0571199999999988</f>
        <v>1994.56062</v>
      </c>
      <c r="S149" s="3">
        <f>2675.5+(60.4-724.2)+(-2.72901+(-0.061608--0.738684))+0-29--0.0295800000000046</f>
        <v>1980.6776459999996</v>
      </c>
      <c r="T149" s="3">
        <f>2660.9+(51.4-708.7)+(2.714118+(0.052428-0.722874))+0-29-0.0295800000000046</f>
        <v>1976.614092</v>
      </c>
      <c r="U149" s="3">
        <f>2628.3+(39.2-672.5)+(2.680866+(0.039984-0.68595))+0-29-0.0295800000000046</f>
        <v>1968.0053200000004</v>
      </c>
      <c r="V149" s="3">
        <f>2603.9+(40.5-661.9)+(-5.311956+(-0.08262--1.350276))+0-29--0.0591599999999987</f>
        <v>1949.51486</v>
      </c>
      <c r="W149" s="3">
        <f>2597.6+(37.2-690.1)+(-2.649552+(-0.037944--0.703902))+0-30--0.0306000000000048</f>
        <v>1912.7470059999998</v>
      </c>
      <c r="X149" s="3">
        <f>2599.1+(54.8-688.3)+(-2.651082+(-0.055896--0.702066))+0-30--0.0306000000000048</f>
        <v>1933.6256879999999</v>
      </c>
      <c r="Y149" s="3">
        <f>2560+(78.1-710.3)+(1.3056+(0.039831-0.362253))+0-30-0.015299999999997</f>
        <v>1898.7678780000001</v>
      </c>
      <c r="Z149" s="3">
        <f>2714.9+(135.5-728)+(-1.384599+(-0.069105--0.37128))+0-27--0.0137699999999973</f>
        <v>2094.3313459999999</v>
      </c>
      <c r="AA149" s="3">
        <f>2736.4+(155.7-654.2)+(0+(0-0))+0-29-0</f>
        <v>2208.9</v>
      </c>
      <c r="AB149" s="3">
        <f>2731+(158.1-704)+(-2.78562+(-0.161262--0.71808))+0-27--0.0275400000000043</f>
        <v>2155.8987379999999</v>
      </c>
      <c r="AC149" s="3">
        <f>2683.3+(163.7-778)+(-2.736966+(-0.166974--0.79356))+0-28--0.0285600000000045</f>
        <v>2038.9181799999999</v>
      </c>
      <c r="AD149">
        <f t="shared" si="2"/>
        <v>43583.841684000006</v>
      </c>
      <c r="AE149" s="3">
        <f>2712.5+(149.3-660.2)+(0+(0-0))+0-28-0</f>
        <v>2173.6</v>
      </c>
    </row>
    <row r="150" spans="1:31" s="2" customFormat="1" x14ac:dyDescent="0.25">
      <c r="A150">
        <v>89</v>
      </c>
      <c r="B150">
        <v>5</v>
      </c>
      <c r="C150">
        <v>26</v>
      </c>
      <c r="D150">
        <v>4</v>
      </c>
      <c r="E150">
        <v>1</v>
      </c>
      <c r="F150" s="3">
        <f>2539.2+(162.5-824.7)+(-5.179968+(-0.3315--1.682388))+0-27--0.0550799999999988</f>
        <v>1846.2259999999999</v>
      </c>
      <c r="G150" s="3">
        <f>2288.9+(186-808.8)+(-2.334678+(-0.18972--0.824976))+0-27.6--0.0281520000000044</f>
        <v>1636.8287300000004</v>
      </c>
      <c r="H150" s="3">
        <f>2219.4+(203.5-855)+(-1.131894+(-0.103785--0.43605))+0-27.6--0.0140759999999972</f>
        <v>1539.514447</v>
      </c>
      <c r="I150" s="3">
        <f>2073+(211.2-756.3)+(-4.22892+(-0.430848--1.542852))+0-27.9--0.0569159999999988</f>
        <v>1496.94</v>
      </c>
      <c r="J150" s="3">
        <f>2083.4+(210.4-677.8)+(2.125068+(0.214608-0.691356))+0-27-0.0275400000000043</f>
        <v>1590.62078</v>
      </c>
      <c r="K150" s="3">
        <f>2055.9+(211.3-712.3)+(-2.097018+(-0.215526--0.726546))+0-27.6--0.0281520000000044</f>
        <v>1525.7421540000003</v>
      </c>
      <c r="L150" s="3">
        <f>1985.9+(226.2-730.9)+(-4.051236+(-0.461448--1.491036))+0-28--0.0571199999999988</f>
        <v>1450.2354720000001</v>
      </c>
      <c r="M150" s="3">
        <f>1965.9+(222.4-690.9)+(1.002609+(0.113424-0.352359))+0-30-0.015299999999997</f>
        <v>1468.1483740000001</v>
      </c>
      <c r="N150" s="3">
        <f>2228.5+(201.5-788)+(0+(0-0))+0-30.6-0</f>
        <v>1611.4</v>
      </c>
      <c r="O150" s="3">
        <f>2509.8+(203.8-888.2)+(0+(0-0))+0-29.8-0</f>
        <v>1795.6000000000001</v>
      </c>
      <c r="P150" s="3">
        <f>2641.7+(214.3-870)+(2.694534+(0.218586-0.8874))+0-32-0.0326400000000051</f>
        <v>1955.99308</v>
      </c>
      <c r="Q150" s="3">
        <f>2623+(209.7-792.2)+(2.67546+(0.213894-0.808044))+0-31-0.0316200000000049</f>
        <v>2011.5496900000001</v>
      </c>
      <c r="R150" s="3">
        <f>2625.4+(214.5-799.5)+(0+(0-0))+0-28.8-0</f>
        <v>2011.6000000000001</v>
      </c>
      <c r="S150" s="3">
        <f>2638.2+(200.7-779.3)+(0+(0-0))+0-30.6-0</f>
        <v>2029</v>
      </c>
      <c r="T150" s="3">
        <f>2624.6+(187.3-741.3)+(0+(0-0))+0-29.1-0</f>
        <v>2041.5</v>
      </c>
      <c r="U150" s="3">
        <f>2621.6+(196.2-744.8)+(-1.337016+(-0.100062--0.379848))+0-29.4--0.014993999999997</f>
        <v>2042.5577639999999</v>
      </c>
      <c r="V150" s="3">
        <f>2609.1+(202.7-744.2)+(-1.330641+(-0.103377--0.379542))+0-30--0.015299999999997</f>
        <v>2036.5608240000001</v>
      </c>
      <c r="W150" s="3">
        <f>2605.4+(195.9-767.6)+(-5.315016+(-0.399636--1.565904))+0-29.1--0.0593639999999987</f>
        <v>2000.510616</v>
      </c>
      <c r="X150" s="3">
        <f>2566.7+(172.2-776.5)+(-3.927051+(-0.263466--1.188045))+0-30--0.0459000000000017</f>
        <v>1929.443428</v>
      </c>
      <c r="Y150" s="3">
        <f>2532.8+(165.1-739.1)+(1.291728+(0.084201-0.376941))+0-27.6-0.0140759999999972</f>
        <v>1932.1849120000004</v>
      </c>
      <c r="Z150" s="3">
        <f>2673+(206.9-715)+(-1.36323+(-0.105519--0.36465))+0-27.9--0.0142289999999972</f>
        <v>2135.9101299999998</v>
      </c>
      <c r="AA150" s="3">
        <f>2707.9+(249.7-675.9)+(-4.143087+(-0.382041--1.034127))+0-27.6--0.0422280000000016</f>
        <v>2250.6512270000003</v>
      </c>
      <c r="AB150" s="3">
        <f>2719.7+(251.7-751.5)+(1.387047+(0.128367-0.383265))+0-27.9-0.0142289999999972</f>
        <v>2193.1179199999997</v>
      </c>
      <c r="AC150" s="3">
        <f>2711+(229.4-852)+(0+(0-0))+0-27.9-0</f>
        <v>2060.5</v>
      </c>
      <c r="AD150">
        <f t="shared" si="2"/>
        <v>44592.335547999995</v>
      </c>
      <c r="AE150" s="3">
        <f>2693.5+(215.1-650.6)+(0+(0-0))+0-30-0</f>
        <v>2228</v>
      </c>
    </row>
    <row r="151" spans="1:31" s="2" customFormat="1" x14ac:dyDescent="0.25">
      <c r="A151">
        <v>89</v>
      </c>
      <c r="B151">
        <v>5</v>
      </c>
      <c r="C151">
        <v>27</v>
      </c>
      <c r="D151">
        <v>5</v>
      </c>
      <c r="E151">
        <v>1</v>
      </c>
      <c r="F151" s="3">
        <f>2554.9+(182.3-853.2)+(-3.908997+(-0.278919--1.305396))+0-28.2--0.0431460000000016</f>
        <v>1852.9606259999998</v>
      </c>
      <c r="G151" s="3">
        <f>2409.7+(180.5-896.7)+(-1.228947+(-0.092055--0.457317))+0-27.3--0.0139229999999972</f>
        <v>1665.3502379999998</v>
      </c>
      <c r="H151" s="3">
        <f>2368.4+(201.2-983.4)+(-1.207884+(-0.102612--0.501534))+0-27.6--0.0140759999999972</f>
        <v>1557.805114</v>
      </c>
      <c r="I151" s="3">
        <f>2390.2+(201.2-1031.6)+(0+(0-0))+0-26.7-0</f>
        <v>1533.1</v>
      </c>
      <c r="J151" s="3">
        <f>2446.7+(212.6-998.3)+(-3.743451+(-0.325278--1.527399))+0-27.3--0.0417690000000016</f>
        <v>1631.200439</v>
      </c>
      <c r="K151" s="3">
        <f>2290.4+(218.7-920)+(-3.504312+(-0.334611--1.4076))+0-28.2--0.0431460000000016</f>
        <v>1558.511823</v>
      </c>
      <c r="L151" s="3">
        <f>2124.1+(218.8-825.8)+(-2.166582+(-0.223176--0.842316))+0-28--0.0285600000000045</f>
        <v>1487.5811179999998</v>
      </c>
      <c r="M151" s="3">
        <f>2105.3+(201.9-790.5)+(1.073703+(0.102969-0.403155))+0-30-0.015299999999997</f>
        <v>1487.4582170000003</v>
      </c>
      <c r="N151" s="3">
        <f>2210.5+(205.4-751)+(-2.25471+(-0.209508--0.76602))+0-30--0.0306000000000048</f>
        <v>1633.2324020000001</v>
      </c>
      <c r="O151" s="3">
        <f>2640.6+(204.2-985.8)+(0+(0-0))+0-31-0</f>
        <v>1828</v>
      </c>
      <c r="P151" s="3">
        <f>2710.2+(208.7-913.1)+(2.764404+(0.212874-0.931362))+0-31-0.0316200000000049</f>
        <v>1976.8142959999998</v>
      </c>
      <c r="Q151" s="3">
        <f>2680.8+(200.8-843.7)+(0+(0-0))+0-23-0</f>
        <v>2014.9</v>
      </c>
      <c r="R151" s="3">
        <f>2649.7+(203.1-764.3)+(1.351347+(0.103581-0.389793))+0-29.6-0.015095999999997</f>
        <v>2059.9500389999998</v>
      </c>
      <c r="S151" s="3">
        <f>2624.9+(205.8-752.8)+(0+(0-0))+0-28.5-0</f>
        <v>2049.4</v>
      </c>
      <c r="T151" s="3">
        <f>2592.3+(209.6-727.1)+(1.322073+(0.106896-0.370821))+0-6-0.00305999999999939</f>
        <v>2069.8550880000003</v>
      </c>
      <c r="U151" s="3">
        <f>2555.7+(199.3-688.3)+(0+(0-0))+0-2-0</f>
        <v>2064.6999999999998</v>
      </c>
      <c r="V151" s="3">
        <f>2557.7+(183.2-687.6)+(-1.304427+(-0.093432--0.350676))+0-11.7--0.00596699999999881</f>
        <v>2040.5587839999996</v>
      </c>
      <c r="W151" s="3">
        <f>2563.7+(177.3-715.9)+(-2.614974+(-0.180846--0.730218))+0-15.3--0.0156060000000024</f>
        <v>2007.750004</v>
      </c>
      <c r="X151" s="3">
        <f>2533.9+(172.2-733.7)+(-1.292289+(-0.087822--0.374187))+0-25.5--0.0130049999999974</f>
        <v>1945.9070810000001</v>
      </c>
      <c r="Y151" s="3">
        <f>2579.8+(173.8-766.4)+(0+(0-0))+0-27-0</f>
        <v>1960.2000000000003</v>
      </c>
      <c r="Z151" s="3">
        <f>2643.4+(242.7-696.9)+(0+(0-0))+0-27-0</f>
        <v>2162.2000000000003</v>
      </c>
      <c r="AA151" s="3">
        <f>2689.1+(243.4-654.4)+(-4.114323+(-0.372402--1.001232))+0-27--0.0413100000000016</f>
        <v>2247.6558169999998</v>
      </c>
      <c r="AB151" s="3">
        <f>2699.8+(251.9-694.4)+(-1.376898+(-0.128469--0.354144))+0-27.6--0.0140759999999972</f>
        <v>2228.5628530000004</v>
      </c>
      <c r="AC151" s="3">
        <f>2685.5+(255.8-788.3)+(-2.73921+(-0.260916--0.804066))+0-27.3--0.0278460000000044</f>
        <v>2123.5317859999996</v>
      </c>
      <c r="AD151">
        <f t="shared" si="2"/>
        <v>45187.185725000003</v>
      </c>
      <c r="AE151" s="3">
        <f>2647.5+(248.9-652.9)+(0+(0-0))+0-29-0</f>
        <v>2214.5</v>
      </c>
    </row>
    <row r="152" spans="1:31" s="2" customFormat="1" x14ac:dyDescent="0.25">
      <c r="A152">
        <v>89</v>
      </c>
      <c r="B152">
        <v>5</v>
      </c>
      <c r="C152">
        <v>28</v>
      </c>
      <c r="D152">
        <v>6</v>
      </c>
      <c r="E152">
        <v>1</v>
      </c>
      <c r="F152" s="3">
        <f>2378.7+(185.2-747.8)+(-2.426274+(-0.188904--0.762756))+0-26.7--0.0272340000000043</f>
        <v>1787.5748119999998</v>
      </c>
      <c r="G152" s="3">
        <f>2235.9+(167.2-755.8)+(-3.420927+(-0.255816--1.156374))+0-26.1--0.0399330000000015</f>
        <v>1618.7195640000002</v>
      </c>
      <c r="H152" s="3">
        <f>2105.4+(182-755.3)+(1.073754+(0.09282-0.385203))+0-27.3-0.0139229999999972</f>
        <v>1505.5674480000002</v>
      </c>
      <c r="I152" s="3">
        <f>2063.6+(168.7-750.2)+(0+(0-0))+0-27.9-0</f>
        <v>1454.1999999999998</v>
      </c>
      <c r="J152" s="3">
        <f>2122.1+(161-736.6)+(0+(0-0))+0-27.6-0</f>
        <v>1518.9</v>
      </c>
      <c r="K152" s="3">
        <f>1993+(172.3-639.5)+(-4.06572+(-0.351492--1.30458))+0-28.2--0.0575279999999988</f>
        <v>1494.5448959999999</v>
      </c>
      <c r="L152" s="3">
        <f>1846.6+(180-516.3)+(-3.767064+(-0.3672--1.053252))+0-28.2--0.0575279999999988</f>
        <v>1479.0765159999999</v>
      </c>
      <c r="M152" s="3">
        <f>1816.7+(155-486.3)+(-1.853034+(-0.1581--0.496026))+0-29.1--0.0296820000000046</f>
        <v>1454.8145740000002</v>
      </c>
      <c r="N152" s="3">
        <f>1958.9+(135.8-442.9)+(-0.999039+(-0.069258--0.225879))+0-29.7--0.015146999999997</f>
        <v>1621.2727290000003</v>
      </c>
      <c r="O152" s="3">
        <f>2000.2+(131.3-365.7)+(2.040204+(0.133926-0.373014))+0-29.7-0.0302940000000047</f>
        <v>1737.8708220000003</v>
      </c>
      <c r="P152" s="3">
        <f>2092.9+(137.1-381.2)+(2.134758+(0.139842-0.388824))+0-29-0.0295800000000046</f>
        <v>1821.6561960000004</v>
      </c>
      <c r="Q152" s="3">
        <f>2182.9+(138.6-392)+(0+(0-0))+0-30-0</f>
        <v>1899.5</v>
      </c>
      <c r="R152" s="3">
        <f>2532.1+(141.6-612.3)+(0+(0-0))+0-26.7-0</f>
        <v>2034.7</v>
      </c>
      <c r="S152" s="3">
        <f>2624.5+(147.6-709.2)+(-1.338495+(-0.075276--0.361692))+0-26--0.0132599999999974</f>
        <v>2035.861181</v>
      </c>
      <c r="T152" s="3">
        <f>2625.1+(134.4-720.7)+(1.338801+(0.068544-0.367557))+0-27-0.0137699999999973</f>
        <v>2012.8260179999997</v>
      </c>
      <c r="U152" s="3">
        <f>2574+(130.2-695.2)+(2.62548+(0.132804-0.709104))+0-28-0.0285600000000045</f>
        <v>1983.02062</v>
      </c>
      <c r="V152" s="3">
        <f>2513.9+(129.8-666.4)+(-1.282089+(-0.066198--0.339864))+0-28--0.0142799999999972</f>
        <v>1948.3058570000003</v>
      </c>
      <c r="W152" s="3">
        <f>2533.8+(131.6-697.7)+(-3.876714+(-0.201348--1.067481))+0-28--0.0428400000000016</f>
        <v>1936.7322590000003</v>
      </c>
      <c r="X152" s="3">
        <f>2420.6+(116.7-631)+(-3.703518+(-0.178551--0.96543))+0-28--0.0428400000000016</f>
        <v>1875.426201</v>
      </c>
      <c r="Y152" s="3">
        <f>2467.5+(125.1-697.2)+(-1.258425+(-0.063801--0.355572))+0-29--0.0147899999999971</f>
        <v>1865.448136</v>
      </c>
      <c r="Z152" s="3">
        <f>2596.6+(193.4-672.8)+(1.324266+(0.098634-0.343128))+0-30-0.015299999999997</f>
        <v>2088.2644719999998</v>
      </c>
      <c r="AA152" s="3">
        <f>2658+(196.8-629.7)+(-4.06674+(-0.301104--0.963441))+0-30--0.0459000000000017</f>
        <v>2191.741497</v>
      </c>
      <c r="AB152" s="3">
        <f>2698.5+(183.2-681)+(-2.75247+(-0.186864--0.69462))+0-30--0.0306000000000048</f>
        <v>2168.4858859999999</v>
      </c>
      <c r="AC152" s="3">
        <f>2680.7+(182.8-738.7)+(0+(0-0))+0-28-0</f>
        <v>2096.7999999999997</v>
      </c>
      <c r="AD152">
        <f t="shared" si="2"/>
        <v>43631.309684000007</v>
      </c>
      <c r="AE152" s="3">
        <f>2621.9+(196.4-591.1)+(0+(0-0))+0-29-0</f>
        <v>2198.1999999999998</v>
      </c>
    </row>
    <row r="153" spans="1:31" s="2" customFormat="1" x14ac:dyDescent="0.25">
      <c r="A153">
        <v>89</v>
      </c>
      <c r="B153">
        <v>5</v>
      </c>
      <c r="C153">
        <v>29</v>
      </c>
      <c r="D153">
        <v>7</v>
      </c>
      <c r="E153">
        <v>1</v>
      </c>
      <c r="F153" s="3">
        <f>2407.7+(168.8-873.8)+(-2.455854+(-0.172176--0.891276))+0-27--0.0275400000000043</f>
        <v>1673.9907859999998</v>
      </c>
      <c r="G153" s="3">
        <f>2108.3+(173.2-730.4)+(2.150466+(0.176664-0.745008))+0-28-0.0285600000000045</f>
        <v>1524.6535620000002</v>
      </c>
      <c r="H153" s="3">
        <f>2070.4+(177.1-803.3)+(-1.055904+(-0.090321--0.409683))+0-28--0.0142799999999972</f>
        <v>1415.4777380000003</v>
      </c>
      <c r="I153" s="3">
        <f>2065.6+(184.7-856.3)+(-5.26728+(-0.470985--2.183565))+0-28--0.0713999999999959</f>
        <v>1362.5167000000001</v>
      </c>
      <c r="J153" s="3">
        <f>2092.9+(186.9-827.5)+(1.067379+(0.095319-0.422025))+0-28.5-0.0145349999999971</f>
        <v>1424.5261380000002</v>
      </c>
      <c r="K153" s="3">
        <f>2093.4+(190-865.9)+(-7.473438+(-0.6783--3.091263))+0-28.5--0.101745</f>
        <v>1384.0412699999999</v>
      </c>
      <c r="L153" s="3">
        <f>1968.1+(199.5-838.1)+(-4.014924+(-0.40698--1.709724))+0-28.5--0.0581399999999988</f>
        <v>1298.3459600000001</v>
      </c>
      <c r="M153" s="3">
        <f>1952+(178.8-797)+(-0.99552+(-0.091188--0.40647))+0-28.5--0.0145349999999971</f>
        <v>1304.6342970000001</v>
      </c>
      <c r="N153" s="3">
        <f>1990.7+(133.6-698.3)+(-1.015257+(-0.068136--0.356133))+0-30.2--0.0154019999999969</f>
        <v>1395.0881420000001</v>
      </c>
      <c r="O153" s="3">
        <f>2046.6+(133.7-655)+(0+(0-0))+0-30.9-0</f>
        <v>1494.3999999999999</v>
      </c>
      <c r="P153" s="3">
        <f>2075.6+(158.7-590.8)+(1.058556+(0.080937-0.301308))+0-30.9-0.0157589999999969</f>
        <v>1613.4224260000001</v>
      </c>
      <c r="Q153" s="3">
        <f>2126.6+(162.4-616.2)+(-2.169132+(-0.165648--0.628524))+0-30--0.0306000000000048</f>
        <v>1641.1243439999998</v>
      </c>
      <c r="R153" s="3">
        <f>2254.5+(156.5-583.2)+(-1.149795+(-0.079815--0.297432))+0-27.9--0.0142289999999972</f>
        <v>1798.9820509999997</v>
      </c>
      <c r="S153" s="3">
        <f>2286.3+(159.5-591.5)+(0+(0-0))+0-28.8-0</f>
        <v>1825.5000000000002</v>
      </c>
      <c r="T153" s="3">
        <f>2380.6+(143.9-647.6)+(0+(0-0))+0-29.7-0</f>
        <v>1847.1999999999998</v>
      </c>
      <c r="U153" s="3">
        <f>2356.1+(141.8-627.6)+(-1.201611+(-0.072318--0.320076))+0-29.4--0.014993999999997</f>
        <v>1839.9611409999998</v>
      </c>
      <c r="V153" s="3">
        <f>2324.1+(143.9-601.5)+(-3.555873+(-0.220167--0.920295))+0-29.4--0.0449820000000017</f>
        <v>1834.2892369999997</v>
      </c>
      <c r="W153" s="3">
        <f>2330.9+(124.8-611.8)+(-1.188759+(-0.063648--0.312018))+0-28.5--0.0145349999999971</f>
        <v>1814.474146</v>
      </c>
      <c r="X153" s="3">
        <f>2290.1+(117.3-592.5)+(-8.175657+(-0.418761--2.115225))+0-30.3--0.108171</f>
        <v>1778.2289780000001</v>
      </c>
      <c r="Y153" s="3">
        <f>2168+(147-497.4)+(-1.10568+(-0.07497--0.253674))+0-30.3--0.0154529999999969</f>
        <v>1786.388477</v>
      </c>
      <c r="Z153" s="3">
        <f>2480.8+(231.5-632.3)+(0+(0-0))+0-28.2-0</f>
        <v>2051.8000000000002</v>
      </c>
      <c r="AA153" s="3">
        <f>2520.7+(237.7-565)+(0+(0-0))+0-27.9-0</f>
        <v>2165.4999999999995</v>
      </c>
      <c r="AB153" s="3">
        <f>2525+(260.2-610.1)+(-2.5755+(-0.265404--0.622302))+0-28.2--0.0287640000000045</f>
        <v>2144.7101620000003</v>
      </c>
      <c r="AC153" s="3">
        <f>2526.3+(241.3-702.4)+(-2.576826+(-0.246126--0.716448))+0-27.6--0.0281520000000044</f>
        <v>2035.5216480000006</v>
      </c>
      <c r="AD153">
        <f t="shared" si="2"/>
        <v>40454.777203000005</v>
      </c>
      <c r="AE153" s="3">
        <f>2515.4+(245.7-587.3)+(0+(0-0))+0-28-0</f>
        <v>2145.8000000000002</v>
      </c>
    </row>
    <row r="154" spans="1:31" s="2" customFormat="1" x14ac:dyDescent="0.25">
      <c r="A154">
        <v>89</v>
      </c>
      <c r="B154">
        <v>5</v>
      </c>
      <c r="C154">
        <v>30</v>
      </c>
      <c r="D154">
        <v>1</v>
      </c>
      <c r="E154">
        <v>1</v>
      </c>
      <c r="F154" s="3">
        <f>2521.3+(131-749.6)+(-3.857589+(-0.20043--1.146888))+0-27.6--0.0422280000000016</f>
        <v>1872.2310970000003</v>
      </c>
      <c r="G154" s="3">
        <f>2390.8+(155.4-773.7)+(-2.438616+(-0.158508--0.789174))+0-27--0.0275400000000043</f>
        <v>1743.7195900000002</v>
      </c>
      <c r="H154" s="3">
        <f>2300.7+(182.2-813.4)+(-3.520071+(-0.278766--1.244502))+0-28.5--0.0436050000000016</f>
        <v>1638.4892699999998</v>
      </c>
      <c r="I154" s="3">
        <f>2221.9+(164.1-784)+(-1.133169+(-0.083691--0.39984))+0-27.2--0.0138719999999972</f>
        <v>1573.996852</v>
      </c>
      <c r="J154" s="3">
        <f>2207.9+(177.5-712)+(-5.630145+(-0.452625--1.8156))+0-27.9--0.0711449999999959</f>
        <v>1641.3039749999998</v>
      </c>
      <c r="K154" s="3">
        <f>2161.5+(178.2-731.4)+(-3.307095+(-0.272646--1.119042))+0-27.9--0.0426870000000016</f>
        <v>1577.981988</v>
      </c>
      <c r="L154" s="3">
        <f>1880.3+(181.8-590.7)+(-2.876859+(-0.278154--0.903771))+0-27.6--0.0422280000000016</f>
        <v>1441.5909859999999</v>
      </c>
      <c r="M154" s="3">
        <f>1997.2+(197.2-684.9)+(4.074288+(0.402288-1.397196))+0-28-0.0571199999999988</f>
        <v>1484.52226</v>
      </c>
      <c r="N154" s="3">
        <f>2368.4+(147.7-773.5)+(2.415768+(0.150654-0.78897))+0-31-0.0316200000000049</f>
        <v>1713.3458320000002</v>
      </c>
      <c r="O154" s="3">
        <f>2527.4+(141.4-771.9)+(1.288974+(0.072114-0.393669))+0-24-0.0122399999999976</f>
        <v>1873.8551790000001</v>
      </c>
      <c r="P154" s="3">
        <f>2635.7+(141.5-757)+(4.032621+(0.216495-1.15821))+0-29-0.0443700000000017</f>
        <v>1994.2465359999997</v>
      </c>
      <c r="Q154" s="3">
        <f>2629.9+(146.5-693.4)+(5.364996+(0.29886-1.414536))+0-30-0.0611999999999987</f>
        <v>2057.1881199999998</v>
      </c>
      <c r="R154" s="3">
        <f>2647.8+(151-674.9)+(2.700756+(0.15402-0.688398))+0-29-0.0295800000000046</f>
        <v>2097.0367980000001</v>
      </c>
      <c r="S154" s="3">
        <f>2669.5+(150-723.8)+(-1.361445+(-0.0765--0.369138))+0-26--0.0132599999999974</f>
        <v>2068.6444529999999</v>
      </c>
      <c r="T154" s="3">
        <f>2660.7+(148.3-703.3)+(1.356957+(0.075633-0.358683))+0-29-0.0147899999999971</f>
        <v>2077.7591169999996</v>
      </c>
      <c r="U154" s="3">
        <f>2645.5+(147-696.6)+(0+(0-0))+0-30-0</f>
        <v>2065.9</v>
      </c>
      <c r="V154" s="3">
        <f>2633.3+(149.5-706.9)+(0+(0-0))+0-27-0</f>
        <v>2048.9</v>
      </c>
      <c r="W154" s="3">
        <f>2618.2+(150.4-732.2)+(0+(0-0))+0-26-0</f>
        <v>2010.3999999999996</v>
      </c>
      <c r="X154" s="3">
        <f>2504.2+(134.2-661.8)+(0+(0-0))+0-29-0</f>
        <v>1947.6</v>
      </c>
      <c r="Y154" s="3">
        <f>2529.1+(137.2-694.3)+(1.289841+(0.069972-0.354093))+0-28-0.0142799999999972</f>
        <v>1944.99144</v>
      </c>
      <c r="Z154" s="3">
        <f>2578.5+(261.2-665.3)+(0+(0-0))+0-28-0</f>
        <v>2146.4</v>
      </c>
      <c r="AA154" s="3">
        <f>2598.7+(277.4-613.6)+(-2.650674+(-0.282948--0.625872))+0-28--0.0285600000000045</f>
        <v>2232.2208100000003</v>
      </c>
      <c r="AB154" s="3">
        <f>2705.1+(273.3-746.6)+(0+(0-0))+0-28-0</f>
        <v>2203.7999999999997</v>
      </c>
      <c r="AC154" s="3">
        <f>2728.7+(277.8-851.5)+(-4.174911+(-0.425034--1.302795))+0-27--0.0413100000000016</f>
        <v>2124.7441600000002</v>
      </c>
      <c r="AD154">
        <f t="shared" si="2"/>
        <v>45580.868463000006</v>
      </c>
      <c r="AE154" s="3">
        <f>2624.1+(278-646.6)+(0+(0-0))+0-27.9-0</f>
        <v>2227.6</v>
      </c>
    </row>
    <row r="155" spans="1:31" s="2" customFormat="1" x14ac:dyDescent="0.25">
      <c r="A155">
        <v>89</v>
      </c>
      <c r="B155">
        <v>5</v>
      </c>
      <c r="C155">
        <v>31</v>
      </c>
      <c r="D155">
        <v>2</v>
      </c>
      <c r="E155">
        <v>1</v>
      </c>
      <c r="F155" s="3">
        <f>2558.1+(164.6-799.9)+(-2.609262+(-0.167892--0.815898))+0-28--0.0285600000000045</f>
        <v>1892.8673039999999</v>
      </c>
      <c r="G155" s="3">
        <f>2401.2+(178.7-807.4)+(-2.449224+(-0.182274--0.823548))+0-27--0.0275400000000043</f>
        <v>1743.7195899999999</v>
      </c>
      <c r="H155" s="3">
        <f>2361.4+(187.3-850.6)+(1.204314+(0.095523-0.433806))+0-28-0.0142799999999972</f>
        <v>1670.9517510000001</v>
      </c>
      <c r="I155" s="3">
        <f>2359.9+(185.9-881.2)+(-1.203549+(-0.094809--0.449412))+0-28--0.0142799999999972</f>
        <v>1635.7653339999999</v>
      </c>
      <c r="J155" s="3">
        <f>2350.7+(192.6-818.8)+(-2.397714+(-0.196452--0.835176))+0-27--0.0275400000000043</f>
        <v>1695.76855</v>
      </c>
      <c r="K155" s="3">
        <f>2191.1+(211.3-741.4)+(-1.117461+(-0.107763--0.378114))+0-27--0.0137699999999973</f>
        <v>1633.1666600000001</v>
      </c>
      <c r="L155" s="3">
        <f>2014.7+(225.9-680.9)+(-6.164982+(-0.691254--2.083554))+0-27--0.0826200000000031</f>
        <v>1528.0099379999999</v>
      </c>
      <c r="M155" s="3">
        <f>2050.5+(222.1-727.1)+(0+(0-0))+0-31-0</f>
        <v>1514.5</v>
      </c>
      <c r="N155" s="3">
        <f>2169.9+(190.5-776.4)+(0+(0-0))+0-31-0</f>
        <v>1553</v>
      </c>
      <c r="O155" s="3">
        <f>2401.5+(190-844)+(0+(0-0))+0-31-0</f>
        <v>1716.5</v>
      </c>
      <c r="P155" s="3">
        <f>2649.4+(185.8-901.4)+(2.702388+(0.189516-0.919428))+0-31-0.0316200000000049</f>
        <v>1904.7408560000001</v>
      </c>
      <c r="Q155" s="3">
        <f>2660.3+(205.6-897.9)+(-2.713506+(-0.209712--0.915858))+0-31--0.0316200000000049</f>
        <v>1935.0242600000001</v>
      </c>
      <c r="R155" s="3">
        <f>2551.6+(212.7-749.5)+(2.602632+(0.216954-0.76449))+0-28.5-0.0290700000000045</f>
        <v>1988.326026</v>
      </c>
      <c r="S155" s="3">
        <f>2589.7+(232.8-815.1)+(-3.962241+(-0.356184--1.247103))+0-28.8--0.0440640000000017</f>
        <v>1975.5727419999998</v>
      </c>
      <c r="T155" s="3">
        <f>2672.4+(232.7-899.1)+(-1.362924+(-0.118677--0.458541))+0-30.6--0.0156059999999969</f>
        <v>1974.392546</v>
      </c>
      <c r="U155" s="3">
        <f>2658.6+(231.2-890.4)+(0+(0-0))+0-31.8-0</f>
        <v>1967.6</v>
      </c>
      <c r="V155" s="3">
        <f>2618.1+(234-868.8)+(-2.670462+(-0.23868--0.886176))+0-31.2--0.031824000000005</f>
        <v>1950.1088579999998</v>
      </c>
      <c r="W155" s="3">
        <f>2617.5+(224.3-887.9)+(-4.004775+(-0.343179--1.358487))+0-31.5--0.0481950000000018</f>
        <v>1919.4587280000001</v>
      </c>
      <c r="X155" s="3">
        <f>2620.9+(211.4-903.2)+(-2.673318+(-0.215628--0.921264))+0-31.2--0.031824000000005</f>
        <v>1895.9641419999998</v>
      </c>
      <c r="Y155" s="3">
        <f>2626.7+(209.2-893.1)+(-2.679234+(-0.213384--0.910962))+0-30.9--0.0315180000000049</f>
        <v>1909.9498619999997</v>
      </c>
      <c r="Z155" s="3">
        <f>2535.1+(254.9-653.2)+(-1.292901+(-0.129999--0.333132))+0-29.1--0.014840999999997</f>
        <v>2106.6250730000002</v>
      </c>
      <c r="AA155" s="3">
        <f>2422.7+(265.3-487.5)+(-3.706731+(-0.405909--0.745875))+0-29.4--0.0449820000000017</f>
        <v>2167.7782169999996</v>
      </c>
      <c r="AB155" s="3">
        <f>2489+(262.1-612.9)+(0+(0-0))+0-28.8-0</f>
        <v>2109.3999999999996</v>
      </c>
      <c r="AC155" s="3">
        <f>2510.4+(257.9-741.7)+(-1.280304+(-0.131529--0.378267))+0-28.8--0.0146879999999971</f>
        <v>1996.7811219999999</v>
      </c>
      <c r="AD155">
        <f t="shared" si="2"/>
        <v>44385.971559000005</v>
      </c>
      <c r="AE155" s="3">
        <f>2475+(258.5-473.4)+(0+(0-0))+0-30.5-0</f>
        <v>2229.6</v>
      </c>
    </row>
    <row r="156" spans="1:31" s="2" customFormat="1" x14ac:dyDescent="0.25">
      <c r="A156">
        <v>89</v>
      </c>
      <c r="B156">
        <v>6</v>
      </c>
      <c r="C156">
        <v>1</v>
      </c>
      <c r="D156">
        <v>3</v>
      </c>
      <c r="E156">
        <v>1</v>
      </c>
      <c r="F156" s="3">
        <f>2414.8+(165.5-774.5)+(0+(0-0))+0-28-0</f>
        <v>1777.8000000000002</v>
      </c>
      <c r="G156" s="3">
        <f>2330.6+(209.8-899.6)+(-4.754424+(-0.427992--1.835184))+0-28--0.0571199999999988</f>
        <v>1609.5098879999998</v>
      </c>
      <c r="H156" s="3">
        <f>2334.3+(216.8-1006.8)+(3.571479+(0.331704-1.540404))+0-29-0.0443700000000017</f>
        <v>1517.6184090000002</v>
      </c>
      <c r="I156" s="3">
        <f>2312+(217.6-1017.3)+(-2.35824+(-0.221952--1.037646))+0-29--0.0295800000000046</f>
        <v>1481.7870340000002</v>
      </c>
      <c r="J156" s="3">
        <f>2268.9+(236.7-903.9)+(-1.157139+(-0.120717--0.460989))+0-27--0.0137699999999973</f>
        <v>1573.8969030000001</v>
      </c>
      <c r="K156" s="3">
        <f>2172.9+(211.9-825.5)+(-1.108179+(-0.108069--0.421005))+0-29--0.0147899999999971</f>
        <v>1529.5195470000001</v>
      </c>
      <c r="L156" s="3">
        <f>2043.2+(243.6-749.9)+(-2.084064+(-0.248472--0.764898))+0-28.8--0.0293760000000046</f>
        <v>1506.5617380000001</v>
      </c>
      <c r="M156" s="3">
        <f>2049.4+(202.3-750.9)+(2.090388+(0.206346-0.765918))+0-31.5-0.032130000000005</f>
        <v>1470.7986860000001</v>
      </c>
      <c r="N156" s="3">
        <f>2246.7+(202.9-780.1)+(1.145817+(0.103479-0.397851))+0-31.8-0.0162179999999968</f>
        <v>1638.5352269999998</v>
      </c>
      <c r="O156" s="3">
        <f>2404.6+(211.8-803.9)+(1.226346+(0.108018-0.409989))+0-31.5-0.0160649999999968</f>
        <v>1781.90831</v>
      </c>
      <c r="P156" s="3">
        <f>2647.8+(218.3-931.3)+(0+(0-0))+0-30.3-0</f>
        <v>1904.5000000000002</v>
      </c>
      <c r="Q156" s="3">
        <f>2732.4+(218.6-947)+(1.393524+(0.111486-0.48297))+0-31.2-0.0159119999999968</f>
        <v>1973.8061279999999</v>
      </c>
      <c r="R156" s="3">
        <f>2757.9+(234.6-971.5)+(1.406529+(0.119646-0.495465))+0-29-0.0147899999999971</f>
        <v>1993.0159200000001</v>
      </c>
      <c r="S156" s="3">
        <f>2741.7+(235.9-982.7)+(0+(0-0))+0-29-0</f>
        <v>1965.8999999999996</v>
      </c>
      <c r="T156" s="3">
        <f>2731.8+(234.6-988.8)+(0+(0-0))+0-31-0</f>
        <v>1946.6000000000004</v>
      </c>
      <c r="U156" s="3">
        <f>2723.5+(231.9-980.9)+(1.388985+(0.118269-0.500259))+0-32-0.0163199999999968</f>
        <v>1943.490675</v>
      </c>
      <c r="V156" s="3">
        <f>2718.6+(216-975.2)+(1.386486+(0.11016-0.497352))+0-31-0.0158099999999969</f>
        <v>1929.3834839999997</v>
      </c>
      <c r="W156" s="3">
        <f>2722.3+(220.2-994.7)+(-1.388373+(-0.112302--0.507297))+0-31--0.0158099999999969</f>
        <v>1915.8224320000004</v>
      </c>
      <c r="X156" s="3">
        <f>2691.3+(212-976.1)+(-4.117689+(-0.32436--1.493433))+0-31--0.0474300000000018</f>
        <v>1893.2988140000004</v>
      </c>
      <c r="Y156" s="3">
        <f>2572.4+(211.8-851.4)+(-3.935772+(-0.324054--1.302642))+0-30--0.0459000000000017</f>
        <v>1899.8887160000002</v>
      </c>
      <c r="Z156" s="3">
        <f>2734.7+(250.2-842.9)+(-1.394697+(-0.127602--0.429879))+0-27--0.0137699999999973</f>
        <v>2113.9213500000001</v>
      </c>
      <c r="AA156" s="3">
        <f>2757.7+(261.9-808.7)+(-2.812854+(-0.267138--0.824874))+0-29--0.0295800000000046</f>
        <v>2179.6744619999995</v>
      </c>
      <c r="AB156" s="3">
        <f>2744.2+(255.9-844.6)+(0+(0-0))+0-28-0</f>
        <v>2127.5</v>
      </c>
      <c r="AC156" s="3">
        <f>2582.9+(244.9-801.5)+(-2.634558+(-0.249798--0.81753))+0-29--0.0295800000000046</f>
        <v>1995.2627540000001</v>
      </c>
      <c r="AD156">
        <f t="shared" si="2"/>
        <v>43670.000477000009</v>
      </c>
      <c r="AE156" s="3">
        <f>2753.4+(232.8-812.8)+(0+(0-0))+0-27-0</f>
        <v>2146.4</v>
      </c>
    </row>
    <row r="157" spans="1:31" s="2" customFormat="1" x14ac:dyDescent="0.25">
      <c r="A157">
        <v>89</v>
      </c>
      <c r="B157">
        <v>6</v>
      </c>
      <c r="C157">
        <v>2</v>
      </c>
      <c r="D157">
        <v>4</v>
      </c>
      <c r="E157">
        <v>1</v>
      </c>
      <c r="F157" s="3">
        <f>2359.5+(192.5-717.5)+(-1.203345+(-0.098175--0.365925))+0-28.8--0.0146879999999971</f>
        <v>1804.7790930000001</v>
      </c>
      <c r="G157" s="3">
        <f>2289.1+(207.2-833.8)+(-3.502323+(-0.317016--1.275714))+0-28.8--0.0440640000000017</f>
        <v>1631.200439</v>
      </c>
      <c r="H157" s="3">
        <f>2242+(217.7-902.6)+(-1.14342+(-0.111027--0.460326))+0-29.4--0.014993999999997</f>
        <v>1526.9208729999998</v>
      </c>
      <c r="I157" s="3">
        <f>2198.6+(232-903.3)+(1.121286+(0.11832-0.460683))+0-29.1-0.014840999999997</f>
        <v>1498.9640820000002</v>
      </c>
      <c r="J157" s="3">
        <f>2212+(234.9-844.9)+(0+(0-0))+0-29.5-0</f>
        <v>1572.5</v>
      </c>
      <c r="K157" s="3">
        <f>2087.8+(235.2-756.8)+(-5.32389+(-0.59976--1.92984))+0-28.8--0.0734399999999958</f>
        <v>1533.4796300000003</v>
      </c>
      <c r="L157" s="3">
        <f>1949.2+(217.3-689.2)+(0+(0-0))+0-28.8-0</f>
        <v>1448.5</v>
      </c>
      <c r="M157" s="3">
        <f>1991.8+(193.9-669.2)+(-2.031636+(-0.197778--0.682584))+0-31.5--0.032130000000005</f>
        <v>1483.4853000000001</v>
      </c>
      <c r="N157" s="3">
        <f>2058.2+(189.5-578.2)+(0+(0-0))+0-30.6-0</f>
        <v>1638.8999999999999</v>
      </c>
      <c r="O157" s="3">
        <f>2341.9+(193.3-722.8)+(1.194369+(0.098583-0.368628))+0-30.6-0.0156059999999969</f>
        <v>1782.7087180000003</v>
      </c>
      <c r="P157" s="3">
        <f>2612.4+(186.4-867.4)+(1.332324+(0.095064-0.442374))+0-30.9-0.0157589999999969</f>
        <v>1901.4692550000002</v>
      </c>
      <c r="Q157" s="3">
        <f>2647.8+(188.3-834.2)+(0+(0-0))+0-31.2-0</f>
        <v>1970.7</v>
      </c>
      <c r="R157" s="3">
        <f>2640.8+(171.7-823.1)+(-1.346808+(-0.087567--0.419781))+0-12--0.00611999999999878</f>
        <v>1976.3915260000001</v>
      </c>
      <c r="S157" s="3">
        <f>2630.4+(174.9-851.1)+(-1.341504+(-0.089199--0.434061))+0-4--0.00203999999999959</f>
        <v>1949.2053980000001</v>
      </c>
      <c r="T157" s="3">
        <f>2626.5+(187.6-852.3)+(1.339515+(0.095676-0.434673))+0-13-0.00662999999999868</f>
        <v>1949.7938880000002</v>
      </c>
      <c r="U157" s="3">
        <f>2614.4+(179.1-843.2)+(-2.666688+(-0.182682--0.860064))+0-8--0.00816000000000128</f>
        <v>1940.3188540000003</v>
      </c>
      <c r="V157" s="3">
        <f>2606.4+(194.6-860.5)+(0+(0-0))+0-7-0</f>
        <v>1933.5</v>
      </c>
      <c r="W157" s="3">
        <f>2594.5+(182.5-852)+(-5.29278+(-0.3723--1.73808))+0-26--0.0530399999999989</f>
        <v>1895.1260400000001</v>
      </c>
      <c r="X157" s="3">
        <f>2522.7+(182.4-802.2)+(2.573154+(0.186048-0.818244))+0-29-0.0295800000000046</f>
        <v>1875.8113779999996</v>
      </c>
      <c r="Y157" s="3">
        <f>2565+(177.3-807.3)+(1.30815+(0.090423-0.411723))+0-18-0.00917999999999817</f>
        <v>1917.97767</v>
      </c>
      <c r="Z157" s="3">
        <f>2662.7+(251.3-766.7)+(-2.715954+(-0.256326--0.782034))+0-28--0.0285600000000045</f>
        <v>2117.1383139999998</v>
      </c>
      <c r="AA157" s="3">
        <f>2667.3+(249.2-721.2)+(-4.080969+(-0.381276--1.103436))+0-27--0.0413100000000016</f>
        <v>2164.9825010000004</v>
      </c>
      <c r="AB157" s="3">
        <f>2642.9+(233.6-730.1)+(-4.043637+(-0.357408--1.117053))+0-29--0.0443700000000017</f>
        <v>2114.160378</v>
      </c>
      <c r="AC157" s="3">
        <f>2470.4+(235.6-674)+(-2.519808+(-0.240312--0.68748))+0-29--0.0295800000000046</f>
        <v>2000.9569399999998</v>
      </c>
      <c r="AD157">
        <f t="shared" si="2"/>
        <v>43628.970277</v>
      </c>
      <c r="AE157" s="3">
        <f>2738.7+(253.6-753.4)+(0+(0-0))+0-28-0</f>
        <v>2210.8999999999996</v>
      </c>
    </row>
    <row r="158" spans="1:31" s="2" customFormat="1" x14ac:dyDescent="0.25">
      <c r="A158">
        <v>89</v>
      </c>
      <c r="B158">
        <v>6</v>
      </c>
      <c r="C158">
        <v>3</v>
      </c>
      <c r="D158">
        <v>5</v>
      </c>
      <c r="E158">
        <v>1</v>
      </c>
      <c r="F158" s="3">
        <f>2288.5+(195-666.7)+(-1.167135+(-0.09945--0.340017))+0-29--0.0147899999999971</f>
        <v>1786.8882219999998</v>
      </c>
      <c r="G158" s="3">
        <f>2215.5+(210.5-810.6)+(-2.25981+(-0.21471--0.826812))+0-29--0.0295800000000046</f>
        <v>1584.781872</v>
      </c>
      <c r="H158" s="3">
        <f>2172.3+(210.4-866.7)+(0+(0-0))+0-29-0</f>
        <v>1487</v>
      </c>
      <c r="I158" s="3">
        <f>2115.1+(212.3-840)+(-4.314804+(-0.433092--1.7136))+0-29--0.0591599999999987</f>
        <v>1455.4248639999998</v>
      </c>
      <c r="J158" s="3">
        <f>2186.4+(215.9-845.5)+(0+(0-0))+0-29-0</f>
        <v>1527.8000000000002</v>
      </c>
      <c r="K158" s="3">
        <f>2059.2+(210.9-724.2)+(-1.050192+(-0.107559--0.369342))+0-29--0.0147899999999971</f>
        <v>1516.1263809999996</v>
      </c>
      <c r="L158" s="3">
        <f>1948.9+(204.5-691.4)+(-4.969695+(-0.521475--1.76307))+0-29.1--0.0742049999999958</f>
        <v>1429.2461049999999</v>
      </c>
      <c r="M158" s="3">
        <f>1979.6+(172.7-667.8)+(-3.028788+(-0.264231--1.021734))+0-28.2--0.0431460000000016</f>
        <v>1454.0718609999999</v>
      </c>
      <c r="N158" s="3">
        <f>2210.4+(164.4-741.2)+(1.127304+(0.083844-0.378012))+0-30-0.015299999999997</f>
        <v>1604.4178359999999</v>
      </c>
      <c r="O158" s="3">
        <f>2413+(143.7-777.3)+(-1.23063+(-0.073287--0.396423))+0-29.1--0.014840999999997</f>
        <v>1749.4073470000001</v>
      </c>
      <c r="P158" s="3">
        <f>2578.7+(144.2-813.3)+(0+(0-0))+0-31.2-0</f>
        <v>1878.3999999999999</v>
      </c>
      <c r="Q158" s="3">
        <f>2641+(153-819.3)+(0+(0-0))+0-25.5-0</f>
        <v>1949.2</v>
      </c>
      <c r="R158" s="3">
        <f>2638.6+(161.3-800.1)+(0+(0-0))+0-28.8-0</f>
        <v>1971</v>
      </c>
      <c r="S158" s="3">
        <f>2620.4+(168.3-820.1)+(-2.672808+(-0.171666--0.836502))+0-29.1--0.0296820000000046</f>
        <v>1937.5217100000002</v>
      </c>
      <c r="T158" s="3">
        <f>2622.4+(173.2-837)+(0+(0-0))+0-29.7-0</f>
        <v>1928.9</v>
      </c>
      <c r="U158" s="3">
        <f>2619.9+(157.2-828.8)+(-1.336149+(-0.080172--0.422688))+0-30.6--0.0156059999999969</f>
        <v>1916.7219730000002</v>
      </c>
      <c r="V158" s="3">
        <f>2619.4+(166.2-851.8)+(1.335894+(0.084762-0.434418))+0-30.9-0.0157589999999969</f>
        <v>1903.8704790000002</v>
      </c>
      <c r="W158" s="3">
        <f>2622.2+(180.4-902.7)+(-1.337322+(-0.092004--0.460377))+0-30.3--0.0154529999999969</f>
        <v>1868.6465039999996</v>
      </c>
      <c r="X158" s="3">
        <f>2423.4+(175.5-727.3)+(-2.471868+(-0.17901--0.741846))+0-30.6--0.0312120000000049</f>
        <v>1839.1221800000003</v>
      </c>
      <c r="Y158" s="3">
        <f>2487.1+(172.1-785.2)+(-1.268421+(-0.087771--0.400452))+0-30.6--0.0156059999999969</f>
        <v>1842.4598659999999</v>
      </c>
      <c r="Z158" s="3">
        <f>2642+(246.8-803.8)+(-4.04226+(-0.377604--1.229814))+0-28.8--0.0440640000000017</f>
        <v>2053.0540139999998</v>
      </c>
      <c r="AA158" s="3">
        <f>2663.7+(254.1-774.5)+(-1.358487+(-0.129591--0.394995))+0-28.5--0.0145349999999971</f>
        <v>2113.7214519999993</v>
      </c>
      <c r="AB158" s="3">
        <f>2609.4+(249.4-765.9)+(-3.992382+(-0.381582--1.171827))+0-27.9--0.0426870000000016</f>
        <v>2061.8405499999999</v>
      </c>
      <c r="AC158" s="3">
        <f>2405.2+(248.5-695.7)+(-1.226652+(-0.126735--0.354807))+0-29.7--0.015146999999997</f>
        <v>1927.3165669999998</v>
      </c>
      <c r="AD158">
        <f t="shared" si="2"/>
        <v>42786.939783000002</v>
      </c>
      <c r="AE158" s="3">
        <f>2666.7+(251.5-789.7)+(0+(0-0))+0-27-0</f>
        <v>2101.5</v>
      </c>
    </row>
    <row r="159" spans="1:31" s="2" customFormat="1" x14ac:dyDescent="0.25">
      <c r="A159">
        <v>89</v>
      </c>
      <c r="B159">
        <v>6</v>
      </c>
      <c r="C159">
        <v>4</v>
      </c>
      <c r="D159">
        <v>6</v>
      </c>
      <c r="E159">
        <v>1</v>
      </c>
      <c r="F159" s="3">
        <f>2309.2+(236.9-801.2)+(-4.710768+(-0.483276--1.634448))+0-30.9--0.0630359999999986</f>
        <v>1710.5034399999995</v>
      </c>
      <c r="G159" s="3">
        <f>2302.9+(222.1-948.3)+(-7.046874+(-0.679626--2.901798))+0-29.7--0.0908820000000034</f>
        <v>1542.2661800000003</v>
      </c>
      <c r="H159" s="3">
        <f>2256.7+(223.2-1005.8)+(-2.301834+(-0.227664--1.025916))+0-27.6--0.0281520000000044</f>
        <v>1445.02457</v>
      </c>
      <c r="I159" s="3">
        <f>2220.2+(209.2-989.9)+(4.529208+(0.426768-2.019396))+0-28.2-0.0575279999999988</f>
        <v>1414.1790519999997</v>
      </c>
      <c r="J159" s="3">
        <f>2248.9+(202.3-919.1)+(0+(0-0))+0-27.6-0</f>
        <v>1504.5000000000002</v>
      </c>
      <c r="K159" s="3">
        <f>2174.5+(191-858.1)+(-5.544975+(-0.48705--2.188155))+0-28.5--0.0726749999999959</f>
        <v>1475.1288050000001</v>
      </c>
      <c r="L159" s="3">
        <f>2026+(193.8-786.6)+(-5.1663+(-0.49419--2.00583))+0-29--0.0739499999999958</f>
        <v>1400.6192900000001</v>
      </c>
      <c r="M159" s="3">
        <f>2046.7+(192.7-806.9)+(0+(0-0))+0-30-0</f>
        <v>1402.5</v>
      </c>
      <c r="N159" s="3">
        <f>2144.6+(199.6-754)+(-1.093746+(-0.101796--0.38454))+0-31--0.0158099999999969</f>
        <v>1558.404808</v>
      </c>
      <c r="O159" s="3">
        <f>2312.2+(193.8-770.7)+(-1.179222+(-0.098838--0.393057))+0-28--0.0142799999999972</f>
        <v>1706.4292769999997</v>
      </c>
      <c r="P159" s="3">
        <f>2490.6+(171.9-823.9)+(-3.810618+(-0.263007--1.260567))+0-30--0.0459000000000017</f>
        <v>1805.832842</v>
      </c>
      <c r="Q159" s="3">
        <f>2632.1+(195.2-910.5)+(0+(0-0))+0-29-0</f>
        <v>1887.8</v>
      </c>
      <c r="R159" s="3">
        <f>2639.4+(238.6-937.4)+(2.692188+(0.243372-0.956148))+0-28-0.0285600000000045</f>
        <v>1914.5508520000001</v>
      </c>
      <c r="S159" s="3">
        <f>2628.1+(245.9-973.8)+(1.340331+(0.125409-0.496638))+0-28-0.0142799999999972</f>
        <v>1873.1548219999997</v>
      </c>
      <c r="T159" s="3">
        <f>2618.4+(109-983.8)+(-2.670768+(-0.11118--1.003476))+0-31--0.0316200000000049</f>
        <v>1710.8531480000001</v>
      </c>
      <c r="U159" s="3">
        <f>2617+(110-987)+(-4.00401+(-0.1683--1.51011))+0-31--0.0474300000000018</f>
        <v>1706.3852300000001</v>
      </c>
      <c r="V159" s="3">
        <f>2615.8+(107-1000.7)+(-5.336232+(-0.21828--2.041428))+0-31--0.0632399999999986</f>
        <v>1687.6501560000002</v>
      </c>
      <c r="W159" s="3">
        <f>2609.5+(124.7-1048.9)+(-6.654225+(-0.317985--2.674695))+0-32--0.0815999999999954</f>
        <v>1649.084085</v>
      </c>
      <c r="X159" s="3">
        <f>2506.8+(237.9-919.9)+(-2.556936+(-0.242658--0.938298))+0-32--0.0326400000000051</f>
        <v>1790.971344</v>
      </c>
      <c r="Y159" s="3">
        <f>2457.1+(213.4-810.6)+(1.253121+(0.108834-0.413406))+0-31-0.0158099999999969</f>
        <v>1829.8327389999997</v>
      </c>
      <c r="Z159" s="3">
        <f>2509.5+(246.1-742.9)+(-3.839535+(-0.376533--1.136637))+0-30--0.0459000000000017</f>
        <v>1979.666469</v>
      </c>
      <c r="AA159" s="3">
        <f>2638+(270.2-869.7)+(-6.7269+(-0.68901--2.217735))+0-29--0.0739499999999958</f>
        <v>2004.375775</v>
      </c>
      <c r="AB159" s="3">
        <f>2609.4+(252.5-878.7)+(-1.330794+(-0.128775--0.448137))+0-29--0.0147899999999971</f>
        <v>1953.203358</v>
      </c>
      <c r="AC159" s="3">
        <f>2542.6+(251.3-915.6)+(-5.186904+(-0.512652--1.867824))+0-29--0.0591599999999987</f>
        <v>1845.5274279999999</v>
      </c>
      <c r="AD159">
        <f t="shared" si="2"/>
        <v>40798.443670000008</v>
      </c>
      <c r="AE159" s="3">
        <f>2579.2+(253.8-786.4)+(0+(0-0))+0-29-0</f>
        <v>2017.6</v>
      </c>
    </row>
    <row r="160" spans="1:31" s="2" customFormat="1" x14ac:dyDescent="0.25">
      <c r="A160">
        <v>89</v>
      </c>
      <c r="B160">
        <v>6</v>
      </c>
      <c r="C160">
        <v>5</v>
      </c>
      <c r="D160">
        <v>7</v>
      </c>
      <c r="E160">
        <v>1</v>
      </c>
      <c r="F160" s="3">
        <f>2179.1+(205.4-691.8)+(-1.111341+(-0.104754--0.352818))+0-28--0.0142799999999972</f>
        <v>1663.851003</v>
      </c>
      <c r="G160" s="3">
        <f>1776.5+(209.5-472.6)+(-0.906015+(-0.106845--0.241026))+0-27--0.0137699999999973</f>
        <v>1485.6419360000002</v>
      </c>
      <c r="H160" s="3">
        <f>1718.9+(216.5-510.8)+(-5.259834+(-0.66249--1.563048))+0-27--0.0826200000000031</f>
        <v>1393.3233440000001</v>
      </c>
      <c r="I160" s="3">
        <f>1701+(220.4-520.6)+(2.60253+(0.337212-0.796518))+0-29-0.0443700000000017</f>
        <v>1373.8988539999998</v>
      </c>
      <c r="J160" s="3">
        <f>1698.4+(230.1-449.3)+(-3.464736+(-0.469404--0.916572))+0-28--0.0571199999999988</f>
        <v>1448.239552</v>
      </c>
      <c r="K160" s="3">
        <f>1699.4+(240.3-488.9)+(-0.866694+(-0.122553--0.249339))+0-29--0.0147899999999971</f>
        <v>1421.0748820000001</v>
      </c>
      <c r="L160" s="3">
        <f>1634+(260.9-549.1)+(0+(0-0))+0-28.5-0</f>
        <v>1317.3</v>
      </c>
      <c r="M160" s="3">
        <f>1538.5+(270.7-529)+(0+(0-0))+0-31-0</f>
        <v>1249.2</v>
      </c>
      <c r="N160" s="3">
        <f>1565.6+(235.2-486.9)+(0+(0-0))+0-31-0</f>
        <v>1282.8999999999999</v>
      </c>
      <c r="O160" s="3">
        <f>1733.5+(213-527.6)+(-1.76817+(-0.21726--0.538152))+0-30--0.0306000000000048</f>
        <v>1387.483322</v>
      </c>
      <c r="P160" s="3">
        <f>1802.4+(222.3-501)+(-1.838448+(-0.226746--0.51102))+0-31--0.0316200000000049</f>
        <v>1491.1774459999999</v>
      </c>
      <c r="Q160" s="3">
        <f>1890.3+(235.6-516.2)+(0+(0-0))+0-31-0</f>
        <v>1578.6999999999998</v>
      </c>
      <c r="R160" s="3">
        <f>1898.2+(234.7-524.5)+(-0.968082+(-0.119697--0.267495))+0-29.1--0.014840999999997</f>
        <v>1578.4945570000002</v>
      </c>
      <c r="S160" s="3">
        <f>1869.9+(236-506.3)+(-1.907298+(-0.24072--0.516426))+0-30--0.0306000000000048</f>
        <v>1567.9990080000002</v>
      </c>
      <c r="T160" s="3">
        <f>1867.4+(234.8-538)+(-2.857122+(-0.359244--0.82314))+0-30.3--0.0463590000000018</f>
        <v>1531.5531330000001</v>
      </c>
      <c r="U160" s="3">
        <f>1866.1+(214.5-551.2)+(-3.806844+(-0.43758--1.124448))+0-27.6--0.0563039999999988</f>
        <v>1498.736328</v>
      </c>
      <c r="V160" s="3">
        <f>1865.1+(211.1-546.2)+(-1.902402+(-0.215322--0.557124))+0-28.5--0.0290700000000045</f>
        <v>1499.96847</v>
      </c>
      <c r="W160" s="3">
        <f>1869.4+(211-551.1)+(1.906788+(0.21522-0.562122))+0-30-0.0306000000000048</f>
        <v>1500.8292860000001</v>
      </c>
      <c r="X160" s="3">
        <f>1732.6+(218.4-397.8)+(0+(0-0))+0-29.1-0</f>
        <v>1524.1</v>
      </c>
      <c r="Y160" s="3">
        <f>1909.1+(241.2-481)+(0+(0-0))+0-30-0</f>
        <v>1639.3</v>
      </c>
      <c r="Z160" s="3">
        <f>2248.3+(258.8-654.1)+(-1.146633+(-0.131988--0.333591))+0-30--0.015299999999997</f>
        <v>1822.0702700000002</v>
      </c>
      <c r="AA160" s="3">
        <f>2297.3+(261.1-638.8)+(-1.171623+(-0.133161--0.325788))+0-28.5--0.0145349999999971</f>
        <v>1890.1355390000003</v>
      </c>
      <c r="AB160" s="3">
        <f>2308.3+(260-684.6)+(-2.354466+(-0.2652--0.698292))+0-28.8--0.0293760000000046</f>
        <v>1853.0080020000003</v>
      </c>
      <c r="AC160" s="3">
        <f>2072.8+(249.3-536.3)+(0+(0-0))+0-28.5-0</f>
        <v>1757.3000000000002</v>
      </c>
      <c r="AD160">
        <f t="shared" si="2"/>
        <v>36756.284932000002</v>
      </c>
      <c r="AE160" s="3">
        <f>2269.7+(259.5-641.8)+(0+(0-0))+0-29-0</f>
        <v>1858.3999999999999</v>
      </c>
    </row>
    <row r="161" spans="1:31" s="2" customFormat="1" x14ac:dyDescent="0.25">
      <c r="A161">
        <v>89</v>
      </c>
      <c r="B161">
        <v>6</v>
      </c>
      <c r="C161">
        <v>6</v>
      </c>
      <c r="D161">
        <v>1</v>
      </c>
      <c r="E161">
        <v>1</v>
      </c>
      <c r="F161" s="3">
        <f>1944.8+(222.8-585.1)+(-0.991848+(-0.113628--0.298401))+0-28--0.0142799999999972</f>
        <v>1553.7072050000002</v>
      </c>
      <c r="G161" s="3">
        <f>1942.5+(244.8-764.6)+(0+(0-0))+0-28-0</f>
        <v>1394.7</v>
      </c>
      <c r="H161" s="3">
        <f>1928.2+(233.7-814.8)+(-3.933528+(-0.476748--1.662192))+0-29--0.0591599999999987</f>
        <v>1315.4110760000001</v>
      </c>
      <c r="I161" s="3">
        <f>1855.9+(229.7-758.8)+(0+(0-0))+0-27-0</f>
        <v>1299.8000000000002</v>
      </c>
      <c r="J161" s="3">
        <f>1854.7+(231.3-681.3)+(-1.891794+(-0.235926--0.694926))+0-27--0.0275400000000043</f>
        <v>1376.294746</v>
      </c>
      <c r="K161" s="3">
        <f>1713.7+(240.4-559)+(-4.369935+(-0.61302--1.42545))+0-28--0.0713999999999959</f>
        <v>1363.613895</v>
      </c>
      <c r="L161" s="3">
        <f>1615.9+(251.5-557.9)+(-4.944654+(-0.76959--1.707174))+0-28.5--0.0872100000000033</f>
        <v>1277.0801399999998</v>
      </c>
      <c r="M161" s="3">
        <f>1614.9+(233.9-521.7)+(0.823599+(0.119289-0.266067))+0-30-0.015299999999997</f>
        <v>1297.7615209999999</v>
      </c>
      <c r="N161" s="3">
        <f>1755+(227.7-502.6)+(0+(0-0))+0-29.7-0</f>
        <v>1450.3999999999999</v>
      </c>
      <c r="O161" s="3">
        <f>2049.7+(225.6-638.9)+(-1.045347+(-0.115056--0.325839))+0-30--0.015299999999997</f>
        <v>1605.5807359999999</v>
      </c>
      <c r="P161" s="3">
        <f>2303.6+(233.2-772.4)+(2.349672+(0.237864-0.787848))+0-30-0.0306000000000048</f>
        <v>1736.1690879999999</v>
      </c>
      <c r="Q161" s="3">
        <f>2452.5+(227.8-846.7)+(1.250775+(0.116178-0.431817))+0-30.6-0.0156059999999969</f>
        <v>1803.9195300000001</v>
      </c>
      <c r="R161" s="3">
        <f>2475.8+(227.6-844.8)+(1.262658+(0.116076-0.430848))+0-29-0.0147899999999971</f>
        <v>1830.5330960000003</v>
      </c>
      <c r="S161" s="3">
        <f>2558+(247.5-982.1)+(0+(0-0))+0-28-0</f>
        <v>1795.4</v>
      </c>
      <c r="T161" s="3">
        <f>2468.8+(246.7-913.4)+(0+(0-0))+0-28-0</f>
        <v>1774.1000000000001</v>
      </c>
      <c r="U161" s="3">
        <f>2450.6+(244.5-918.9)+(-4.999224+(-0.49878--1.874556))+0-31--0.0632399999999986</f>
        <v>1741.6397919999997</v>
      </c>
      <c r="V161" s="3">
        <f>2498.9+(243.6-967.8)+(-6.372195+(-0.62118--2.46789))+0-30--0.0764999999999956</f>
        <v>1740.2510150000003</v>
      </c>
      <c r="W161" s="3">
        <f>2438.3+(234.9-933.1)+(-4.974132+(-0.479196--1.903524))+0-30--0.0611999999999987</f>
        <v>1706.6113960000002</v>
      </c>
      <c r="X161" s="3">
        <f>2291.4+(247.4-825.7)+(-3.505842+(-0.378522--1.263321))+0-30--0.0459000000000017</f>
        <v>1680.5248569999999</v>
      </c>
      <c r="Y161" s="3">
        <f>2353.9+(234.2-839.4)+(1.200489+(0.119442-0.428094))+0-30-0.015299999999997</f>
        <v>1719.5765369999999</v>
      </c>
      <c r="Z161" s="3">
        <f>2613.4+(240.3-846.4)+(-5.331336+(-0.490212--1.726656))+0-29--0.0591599999999987</f>
        <v>1974.2642680000001</v>
      </c>
      <c r="AA161" s="3">
        <f>2613.4+(260.9-785.9)+(-7.997004+(-0.798354--2.404854))+0-28--0.0856800000000032</f>
        <v>2054.0951760000003</v>
      </c>
      <c r="AB161" s="3">
        <f>2209.1+(287.9-484.3)+(-2.253282+(-0.293658--0.493986))+0-28--0.0285600000000045</f>
        <v>1982.6756059999998</v>
      </c>
      <c r="AC161" s="3">
        <f>2037.6+(289.9-428.8)+(-2.078352+(-0.295698--0.437376))+0-28--0.0285600000000045</f>
        <v>1868.7918859999997</v>
      </c>
      <c r="AD161">
        <f t="shared" si="2"/>
        <v>39342.901566</v>
      </c>
      <c r="AE161" s="3">
        <f>2619.7+(235.5-786.7)+(0+(0-0))+0-28-0</f>
        <v>2040.5</v>
      </c>
    </row>
    <row r="162" spans="1:31" s="2" customFormat="1" x14ac:dyDescent="0.25">
      <c r="A162">
        <v>89</v>
      </c>
      <c r="B162">
        <v>6</v>
      </c>
      <c r="C162">
        <v>7</v>
      </c>
      <c r="D162">
        <v>2</v>
      </c>
      <c r="E162">
        <v>1</v>
      </c>
      <c r="F162" s="3">
        <f>2037.6+(242.6-573.4)+(-2.078352+(-0.247452--0.584868))+0-27.9--0.0284580000000044</f>
        <v>1677.1875219999999</v>
      </c>
      <c r="G162" s="3">
        <f>2028.8+(232.3-725.6)+(-4.138752+(-0.473892--1.480224))+0-27.9--0.0569159999999988</f>
        <v>1504.524496</v>
      </c>
      <c r="H162" s="3">
        <f>2034.1+(240.3-830.8)+(-5.186955+(-0.612765--2.11854))+0-28.2--0.0719099999999959</f>
        <v>1411.7907299999997</v>
      </c>
      <c r="I162" s="3">
        <f>2040+(243-873.1)+(-2.0808+(-0.24786--0.890562))+0-28.5--0.0290700000000045</f>
        <v>1379.9909720000001</v>
      </c>
      <c r="J162" s="3">
        <f>2044.9+(247.6-823.5)+(4.171596+(0.505104-1.67994))+0-27.3-0.0556919999999988</f>
        <v>1444.6410680000001</v>
      </c>
      <c r="K162" s="3">
        <f>1985.3+(247.9-770.2)+(-3.037509+(-0.379287--1.178406))+0-28.8--0.0440640000000017</f>
        <v>1432.005674</v>
      </c>
      <c r="L162" s="3">
        <f>1870.5+(256.2-753.4)+(0+(0-0))+0-27.9-0</f>
        <v>1345.3999999999999</v>
      </c>
      <c r="M162" s="3">
        <f>1828.3+(264.1-701.5)+(0+(0-0))+0-30-0</f>
        <v>1360.9</v>
      </c>
      <c r="N162" s="3">
        <f>1844.9+(276.5-588.9)+(1.881798+(0.28203-0.600678))+0-30.6-0.0312120000000049</f>
        <v>1503.4319379999999</v>
      </c>
      <c r="O162" s="3">
        <f>2118.5+(255.3-689.2)+(-1.080435+(-0.130203--0.351492))+0-30.6--0.0156059999999969</f>
        <v>1653.1564599999999</v>
      </c>
      <c r="P162" s="3">
        <f>2324.8+(219.7-773.5)+(0+(0-0))+0-29.7-0</f>
        <v>1741.3000000000002</v>
      </c>
      <c r="Q162" s="3">
        <f>2454.8+(242.3-855.2)+(1.251948+(0.123573-0.436152))+0-30-0.015299999999997</f>
        <v>1812.824069</v>
      </c>
      <c r="R162" s="3">
        <f>2672+(244-1008.3)+(-4.08816+(-0.37332--1.542699))+0-28--0.0428400000000016</f>
        <v>1876.824059</v>
      </c>
      <c r="S162" s="3">
        <f>2662.4+(242.5-1040.1)+(-4.073472+(-0.371025--1.591353))+0-28--0.0428400000000016</f>
        <v>1833.9896960000003</v>
      </c>
      <c r="T162" s="3">
        <f>2653.7+(240.5-1045.8)+(-4.060161+(-0.367965--1.600074))+0-30--0.0459000000000017</f>
        <v>1815.6178479999999</v>
      </c>
      <c r="U162" s="3">
        <f>2590.1+(238.4-1002.7)+(-2.641902+(-0.243168--1.022754))+0-30--0.0306000000000048</f>
        <v>1793.9682839999998</v>
      </c>
      <c r="V162" s="3">
        <f>2530.5+(236.9-971.1)+(-10.32444+(-0.966552--3.962088))+0-29--0.118319999999997</f>
        <v>1760.089416</v>
      </c>
      <c r="W162" s="3">
        <f>2428.7+(246.5-910.4)+(-4.954548+(-0.50286--1.857216))+0-30--0.0611999999999987</f>
        <v>1731.2610079999997</v>
      </c>
      <c r="X162" s="3">
        <f>2367.7+(204.9-835.1)+(-2.415054+(-0.208998--0.851802))+0-30--0.0306000000000048</f>
        <v>1705.7583499999998</v>
      </c>
      <c r="Y162" s="3">
        <f>2468.3+(225.5-925.5)+(1.258833+(0.115005-0.472005))+0-29-0.0147899999999971</f>
        <v>1740.1870430000001</v>
      </c>
      <c r="Z162" s="3">
        <f>2604.7+(238.5-816.8)+(-3.985191+(-0.364905--1.249704))+0-28--0.0428400000000016</f>
        <v>1995.3424479999999</v>
      </c>
      <c r="AA162" s="3">
        <f>2603.4+(244.2-770.3)+(-7.966404+(-0.747252--2.357118))+0-28--0.0856800000000032</f>
        <v>2043.0291420000001</v>
      </c>
      <c r="AB162" s="3">
        <f>2574.1+(261.1-802.5)+(-3.938373+(-0.399483--1.227825))+0-28--0.0428400000000016</f>
        <v>2001.632809</v>
      </c>
      <c r="AC162" s="3">
        <f>2242.2+(272.8-597.2)+(-2.287044+(-0.278256--0.609144))+0-29--0.0295800000000046</f>
        <v>1886.8734239999997</v>
      </c>
      <c r="AD162">
        <f t="shared" si="2"/>
        <v>40451.726455999997</v>
      </c>
      <c r="AE162" s="3">
        <f>2615.5+(255.9-793.4)+(0+(0-0))+0-27.9-0</f>
        <v>2050.1</v>
      </c>
    </row>
    <row r="163" spans="1:31" s="2" customFormat="1" x14ac:dyDescent="0.25">
      <c r="A163">
        <v>89</v>
      </c>
      <c r="B163">
        <v>6</v>
      </c>
      <c r="C163">
        <v>8</v>
      </c>
      <c r="D163">
        <v>3</v>
      </c>
      <c r="E163">
        <v>1</v>
      </c>
      <c r="F163" s="3">
        <f>2171.8+(253.4-677.1)+(-2.215236+(-0.258468--0.690642))+0-28--0.0285600000000045</f>
        <v>1718.3454980000001</v>
      </c>
      <c r="G163" s="3">
        <f>2174.9+(247.5-851.4)+(-1.109199+(-0.126225--0.434214))+0-29--0.0147899999999971</f>
        <v>1541.2135799999999</v>
      </c>
      <c r="H163" s="3">
        <f>2176.5+(253.8-957.3)+(0+(0-0))+0-27-0</f>
        <v>1446</v>
      </c>
      <c r="I163" s="3">
        <f>2170.9+(249.8-993.5)+(-2.214318+(-0.254796--1.01337))+0-27--0.0275400000000043</f>
        <v>1398.771796</v>
      </c>
      <c r="J163" s="3">
        <f>2134.1+(257.3-897.1)+(1.088391+(0.131223-0.457521))+0-28-0.0142799999999972</f>
        <v>1467.0478129999999</v>
      </c>
      <c r="K163" s="3">
        <f>2028.1+(259.2-828.1)+(-4.137324+(-0.528768--1.689324))+0-28--0.0571199999999988</f>
        <v>1428.2803519999998</v>
      </c>
      <c r="L163" s="3">
        <f>1973.8+(244.6-857.7)+(-6.039828+(-0.748476--2.624562))+0-30--0.0918000000000035</f>
        <v>1326.6280579999998</v>
      </c>
      <c r="M163" s="3">
        <f>1974.9+(253.5-872.6)+(2.014398+(0.25857-0.890052))+0-28.4-0.0289680000000045</f>
        <v>1328.753948</v>
      </c>
      <c r="N163" s="3">
        <f>1986.9+(243.7-758.7)+(1.013319+(0.124287-0.386937))+0-30.6-0.0156059999999969</f>
        <v>1442.0350630000003</v>
      </c>
      <c r="O163" s="3">
        <f>2350.7+(233.7-964.4)+(0+(0-0))+0-30.6-0</f>
        <v>1589.3999999999999</v>
      </c>
      <c r="P163" s="3">
        <f>2488.5+(245.7-956.1)+(5.07654+(0.501228-1.950444))+0-28.2-0.0575279999999988</f>
        <v>1753.4697959999999</v>
      </c>
      <c r="Q163" s="3">
        <f>2485.3+(249.6-868)+(2.535006+(0.254592-0.88536))+0-28-0.0285600000000045</f>
        <v>1840.7756780000002</v>
      </c>
      <c r="R163" s="3">
        <f>2496.7+(256-850.8)+(-1.273317+(-0.13056--0.433908))+0-27.6--0.0140759999999972</f>
        <v>1873.3441069999999</v>
      </c>
      <c r="S163" s="3">
        <f>2518.8+(252.9-894)+(0+(0-0))+0-27.6-0</f>
        <v>1850.1000000000004</v>
      </c>
      <c r="T163" s="3">
        <f>2466.2+(221-844.7)+(1.257762+(0.11271-0.430797))+0-30.6-0.0156059999999969</f>
        <v>1812.824069</v>
      </c>
      <c r="U163" s="3">
        <f>2459.2+(187.7-801.8)+(1.254192+(0.095727-0.408918))+0-29.7-0.015146999999997</f>
        <v>1816.3258539999997</v>
      </c>
      <c r="V163" s="3">
        <f>2449.7+(173.7-784)+(-3.748041+(-0.265761--1.19952))+0-29.1--0.0445230000000017</f>
        <v>1807.5302409999999</v>
      </c>
      <c r="W163" s="3">
        <f>2459.1+(161.7-818.9)+(-3.762423+(-0.247401--1.252917))+0-30.3--0.0463590000000018</f>
        <v>1768.8894519999999</v>
      </c>
      <c r="X163" s="3">
        <f>2396.5+(148.6-757)+(-1.222215+(-0.075786--0.38607))+0-29.1--0.014840999999997</f>
        <v>1758.1029099999998</v>
      </c>
      <c r="Y163" s="3">
        <f>2432.4+(148.2-762.6)+(1.240524+(0.075582-0.388926))+0-28.8-0.0146879999999971</f>
        <v>1790.112492</v>
      </c>
      <c r="Z163" s="3">
        <f>2545.3+(132.1-613.1)+(-1.298103+(-0.067371--0.312681))+0-27.6--0.0140759999999972</f>
        <v>2035.6612830000004</v>
      </c>
      <c r="AA163" s="3">
        <f>2570.1+(185.9-662.7)+(0+(0-0))+0-27.9-0</f>
        <v>2065.3999999999996</v>
      </c>
      <c r="AB163" s="3">
        <f>2578.8+(222.3-740.7)+(-2.630376+(-0.226746--0.755514))+0-27.3--0.0278460000000044</f>
        <v>2031.0262380000001</v>
      </c>
      <c r="AC163" s="3">
        <f>2590.2+(194.7-820.2)+(0+(0-0))+0-28.5-0</f>
        <v>1936.1999999999998</v>
      </c>
      <c r="AD163">
        <f t="shared" si="2"/>
        <v>40826.238227999995</v>
      </c>
      <c r="AE163" s="3">
        <f>2550.7+(135.9-574)+(0+(0-0))+0-25-0</f>
        <v>2087.6</v>
      </c>
    </row>
    <row r="164" spans="1:31" s="2" customFormat="1" x14ac:dyDescent="0.25">
      <c r="A164">
        <v>89</v>
      </c>
      <c r="B164">
        <v>6</v>
      </c>
      <c r="C164">
        <v>9</v>
      </c>
      <c r="D164">
        <v>4</v>
      </c>
      <c r="E164">
        <v>1</v>
      </c>
      <c r="F164" s="3">
        <f>2348.3+(156.2-733.9)+(-5.988165+(-0.39831--1.871445))+0-28.8--0.0734399999999958</f>
        <v>1737.35841</v>
      </c>
      <c r="G164" s="3">
        <f>2176.5+(198.7-806.2)+(-4.44006+(-0.405348--1.644648))+0-28.5--0.0581399999999988</f>
        <v>1537.3573800000001</v>
      </c>
      <c r="H164" s="3">
        <f>2185.2+(224.2-939.6)+(-3.343356+(-0.343026--1.437588))+0-27.9--0.0426870000000016</f>
        <v>1439.6938929999997</v>
      </c>
      <c r="I164" s="3">
        <f>2168.3+(243.1-983.2)+(-5.529165+(-0.619905--2.50716))+0-28.2--0.0719099999999959</f>
        <v>1396.43</v>
      </c>
      <c r="J164" s="3">
        <f>2177.8+(240.1-917.5)+(0+(0-0))+0-27-0</f>
        <v>1473.4</v>
      </c>
      <c r="K164" s="3">
        <f>2082.8+(231.4-810.8)+(-5.31114+(-0.59007--2.06754))+0-18.9--0.0481949999999973</f>
        <v>1480.7145250000001</v>
      </c>
      <c r="L164" s="3">
        <f>1986.7+(206.8-806)+(-4.052868+(-0.421872--1.64424))+0-10--0.0203999999999996</f>
        <v>1374.6899000000001</v>
      </c>
      <c r="M164" s="3">
        <f>2015.8+(200.3-813.6)+(0+(0-0))+0-10-0</f>
        <v>1392.5</v>
      </c>
      <c r="N164" s="3">
        <f>2042.3+(171.5-664.3)+(1.041573+(0.087465-0.338793))+0-10-0.00509999999999899</f>
        <v>1540.2851449999998</v>
      </c>
      <c r="O164" s="3">
        <f>2375.1+(152.7-816.6)+(0+(0-0))+0-7-0</f>
        <v>1704.1999999999998</v>
      </c>
      <c r="P164" s="3">
        <f>2500.6+(174.3-840.7)+(1.275306+(0.088893-0.428757))+0-7.5-0.00382499999999924</f>
        <v>1827.6316169999998</v>
      </c>
      <c r="Q164" s="3">
        <f>2473.9+(169.9-750)+(3.785067+(0.259947-1.1475))+0-7.5-0.0114750000000004</f>
        <v>1889.1860390000002</v>
      </c>
      <c r="R164" s="3">
        <f>2462.5+(178.2-721.2)+(1.255875+(0.090882-0.367812))+0-26.4-0.0134639999999973</f>
        <v>1894.0654810000001</v>
      </c>
      <c r="S164" s="3">
        <f>2394.2+(167.9-661.9)+(0+(0-0))+0-28.2-0</f>
        <v>1871.9999999999998</v>
      </c>
      <c r="T164" s="3">
        <f>1903.7+(243.6-300.2)+(0.970887+(0.124236-0.153102))+0-29.4-0.014993999999997</f>
        <v>1818.6270270000002</v>
      </c>
      <c r="U164" s="3">
        <f>1892.5+(243-300.7)+(-4.825875+(-0.61965--0.766785))+0-27.9--0.0711449999999959</f>
        <v>1802.2924049999997</v>
      </c>
      <c r="V164" s="3">
        <f>1869.1+(249.1-307.3)+(-1.906482+(-0.254082--0.313446))+0-28.8--0.0293760000000046</f>
        <v>1780.282258</v>
      </c>
      <c r="W164" s="3">
        <f>1915.6+(226.5-366.5)+(-1.953912+(-0.23103--0.37383))+0-29.1--0.0296820000000046</f>
        <v>1744.71857</v>
      </c>
      <c r="X164" s="3">
        <f>2075.6+(179.1-479.4)+(-2.117112+(-0.182682--0.488988))+0-27.6--0.0281520000000044</f>
        <v>1745.9173460000002</v>
      </c>
      <c r="Y164" s="3">
        <f>2210.9+(157.3-567.6)+(-2.255118+(-0.160446--0.578952))+0-27.6--0.0281520000000044</f>
        <v>1771.1915400000003</v>
      </c>
      <c r="Z164" s="3">
        <f>2528.4+(157.7-630.3)+(0+(0-0))+0-28.2-0</f>
        <v>2027.6000000000001</v>
      </c>
      <c r="AA164" s="3">
        <f>2513+(142.6-561)+(-5.12652+(-0.290904--1.14444))+0-28.2--0.0575279999999988</f>
        <v>2062.1845439999997</v>
      </c>
      <c r="AB164" s="3">
        <f>2464.8+(204.6-639.7)+(0+(0-0))+0-27.6-0</f>
        <v>2002.1000000000004</v>
      </c>
      <c r="AC164" s="3">
        <f>2413.6+(216.8-714.3)+(-6.15468+(-0.55284--1.821465))+0-27.6--0.070379999999996</f>
        <v>1883.6843249999999</v>
      </c>
      <c r="AD164">
        <f t="shared" si="2"/>
        <v>41198.110404999999</v>
      </c>
      <c r="AE164" s="3">
        <f>2526.9+(130.7-582.8)+(0+(0-0))+0-28.2-0</f>
        <v>2046.6000000000001</v>
      </c>
    </row>
    <row r="165" spans="1:31" s="2" customFormat="1" x14ac:dyDescent="0.25">
      <c r="A165">
        <v>89</v>
      </c>
      <c r="B165">
        <v>6</v>
      </c>
      <c r="C165">
        <v>10</v>
      </c>
      <c r="D165">
        <v>5</v>
      </c>
      <c r="E165">
        <v>5</v>
      </c>
      <c r="F165" s="3">
        <f>2414.7+(119.7-780.5)+(-3.694491+(-0.183141--1.194165))+0-28--0.0428400000000016</f>
        <v>1723.2593729999999</v>
      </c>
      <c r="G165" s="3">
        <f>2257.3+(138.9-782.4)+(-3.453669+(-0.212517--1.197072))+0-20--0.0306000000000012</f>
        <v>1591.3614860000002</v>
      </c>
      <c r="H165" s="3">
        <f>2087.8+(170.6-770.8)+(-1.064778+(-0.087006--0.393108))+0-9--0.00458999999999909</f>
        <v>1477.8459140000004</v>
      </c>
      <c r="I165" s="3">
        <f>2069.8+(200.9-826.2)+(-2.111196+(-0.204918--0.842724))+0-9--0.00918000000000144</f>
        <v>1434.0357899999999</v>
      </c>
      <c r="J165" s="3">
        <f>1909.5+(193.3-625.1)+(-3.89538+(-0.394332--1.275204))+0-9--0.0183599999999996</f>
        <v>1465.7038520000001</v>
      </c>
      <c r="K165" s="3">
        <f>1771.9+(191.3-538.2)+(-4.518345+(-0.487815--1.37241))+0-19--0.0484499999999972</f>
        <v>1402.4147</v>
      </c>
      <c r="L165" s="3">
        <f>1741.5+(163.7-630.8)+(-4.440825+(-0.417435--1.60854))+0-19--0.0484499999999972</f>
        <v>1252.1987300000001</v>
      </c>
      <c r="M165" s="3">
        <f>1731.9+(64.2-606.8)+(0+(0-0))+0-20-0</f>
        <v>1169.3000000000002</v>
      </c>
      <c r="N165" s="3">
        <f>1780.2+(93.7-612.8)+(-1.815804+(-0.095574--0.625056))+0-20--0.0204000000000032</f>
        <v>1239.8340780000003</v>
      </c>
      <c r="O165" s="3">
        <f>1813.9+(95.8-572.5)+(-1.850178+(-0.097716--0.58395))+0-20--0.0204000000000032</f>
        <v>1315.8564560000002</v>
      </c>
      <c r="P165" s="3">
        <f>1834.1+(110-504.8)+(-0.935391+(-0.0561--0.257448))+0-20--0.010199999999998</f>
        <v>1418.576157</v>
      </c>
      <c r="Q165" s="3">
        <f>1885.5+(125.6-513.7)+(1.92321+(0.128112-0.523974))+0-21-0.0214200000000034</f>
        <v>1477.9059280000001</v>
      </c>
      <c r="R165" s="3">
        <f>2106+(128.8-651.4)+(-1.07406+(-0.065688--0.332214))+0-28.2--0.0143819999999971</f>
        <v>1554.4068480000001</v>
      </c>
      <c r="S165" s="3">
        <f>2212+(134.5-734.8)+(-1.12812+(-0.068595--0.374748))+0-27.6--0.0140759999999972</f>
        <v>1583.292109</v>
      </c>
      <c r="T165" s="3">
        <f>2232+(126.8-743.8)+(0+(0-0))+0-28.5-0</f>
        <v>1586.5</v>
      </c>
      <c r="U165" s="3">
        <f>2269.5+(133.2-804.6)+(-4.62978+(-0.271728--1.641384))+0-28.8--0.0587519999999987</f>
        <v>1566.098628</v>
      </c>
      <c r="V165" s="3">
        <f>2217.9+(139.3-769.5)+(-1.131129+(-0.071043--0.392445))+0-28.2--0.0143819999999971</f>
        <v>1558.704655</v>
      </c>
      <c r="W165" s="3">
        <f>2184.3+(136.7-737.6)+(-2.227986+(-0.139434--0.752352))+0-27.5--0.0280500000000044</f>
        <v>1554.3129819999999</v>
      </c>
      <c r="X165" s="3">
        <f>2094.4+(128.7-638.7)+(-2.136288+(-0.131274--0.651474))+0-27.6--0.0281520000000044</f>
        <v>1555.2120640000003</v>
      </c>
      <c r="Y165" s="3">
        <f>2134.5+(132.6-587.9)+(0+(0-0))+0-27.9-0</f>
        <v>1651.3</v>
      </c>
      <c r="Z165" s="3">
        <f>2232.4+(162.8-426.5)+(-1.138524+(-0.083028--0.217515))+0-27.9--0.0142289999999972</f>
        <v>1939.8101919999999</v>
      </c>
      <c r="AA165" s="3">
        <f>2240.5+(171.6-399.8)+(-3.427965+(-0.262548--0.611694))+0-27.6--0.0422280000000016</f>
        <v>1981.663409</v>
      </c>
      <c r="AB165" s="3">
        <f>2238.2+(176.3-439.3)+(1.141482+(0.089913-0.224043))+0-27.3-0.0139229999999972</f>
        <v>1948.893429</v>
      </c>
      <c r="AC165" s="3">
        <f>2196.5+(176-486.3)+(-1.120215+(-0.08976--0.248013))+0-27--0.0137699999999973</f>
        <v>1858.251808</v>
      </c>
      <c r="AD165">
        <f t="shared" si="2"/>
        <v>37306.738588</v>
      </c>
      <c r="AE165" s="3">
        <f>2231.2+(171.9-419.8)+(0+(0-0))+0-28-0</f>
        <v>1955.2999999999997</v>
      </c>
    </row>
    <row r="166" spans="1:31" s="2" customFormat="1" x14ac:dyDescent="0.25">
      <c r="A166">
        <v>89</v>
      </c>
      <c r="B166">
        <v>6</v>
      </c>
      <c r="C166">
        <v>11</v>
      </c>
      <c r="D166">
        <v>6</v>
      </c>
      <c r="E166">
        <v>6</v>
      </c>
      <c r="F166" s="3">
        <f>2104.2+(197.1-588.6)+(0+(0-0))+0-27.9-0</f>
        <v>1684.7999999999997</v>
      </c>
      <c r="G166" s="3">
        <f>1939.5+(221.4-634.1)+(-0.989145+(-0.112914--0.323391))+0-27.3--0.0139229999999972</f>
        <v>1498.7352550000001</v>
      </c>
      <c r="H166" s="3">
        <f>1940.4+(215.6-738.1)+(0.989604+(0.109956-0.376431))+0-26.1-0.0133109999999974</f>
        <v>1392.5098180000002</v>
      </c>
      <c r="I166" s="3">
        <f>1933.9+(212.2-768.4)+(0+(0-0))+0-25.8-0</f>
        <v>1351.9</v>
      </c>
      <c r="J166" s="3">
        <f>1845.7+(224.6-625.1)+(0+(0-0))+0-26.4-0</f>
        <v>1418.8</v>
      </c>
      <c r="K166" s="3">
        <f>1815.5+(225.1-585.3)+(0+(0-0))+0-27.3-0</f>
        <v>1428.0000000000002</v>
      </c>
      <c r="L166" s="3">
        <f>1630.1+(226.6-498.4)+(-3.325404+(-0.462264--1.016736))+0-23.1--0.047123999999999</f>
        <v>1332.4761920000001</v>
      </c>
      <c r="M166" s="3">
        <f>1630.5+(200.2-471.8)+(0.831555+(0.102102-0.240618))+0-27.6-0.0140759999999972</f>
        <v>1331.9789630000002</v>
      </c>
      <c r="N166" s="3">
        <f>1684.8+(194.3-379.7)+(-0.859248+(-0.099093--0.193647))+0-29.1--0.014840999999997</f>
        <v>1469.5501470000002</v>
      </c>
      <c r="O166" s="3">
        <f>1974.2+(188-498.2)+(2.013684+(0.19176-0.508164))+0-27.6-0.0281520000000044</f>
        <v>1638.0691280000001</v>
      </c>
      <c r="P166" s="3">
        <f>1975.2+(204.4-388.5)+(2.014704+(0.208488-0.39627))+0-28.5-0.0290700000000045</f>
        <v>1764.3978520000001</v>
      </c>
      <c r="Q166" s="3">
        <f>1917+(229.8-283.7)+(0.97767+(0.117198-0.144687))+0-29.1-0.014840999999997</f>
        <v>1834.93534</v>
      </c>
      <c r="R166" s="3">
        <f>1909.1+(228.2-248.8)+(0.973641+(0.116382-0.126888))+0-26.1-0.0133109999999974</f>
        <v>1863.3498240000001</v>
      </c>
      <c r="S166" s="3">
        <f>1905.6+(217.1-249.2)+(-0.971856+(-0.110721--0.127092))+0-26.7--0.0136169999999973</f>
        <v>1845.8581320000001</v>
      </c>
      <c r="T166" s="3">
        <f>1902.1+(214.4-252.5)+(0.970071+(0.109344-0.128775))+0-28.5-0.0145349999999971</f>
        <v>1836.436105</v>
      </c>
      <c r="U166" s="3">
        <f>1889.6+(218-259)+(-0.963696+(-0.11118--0.13209))+0-29.1--0.014840999999997</f>
        <v>1818.5720549999999</v>
      </c>
      <c r="V166" s="3">
        <f>1883.4+(240.4-285.7)+(-2.881602+(-0.367812--0.437121))+0-29.7--0.0454410000000017</f>
        <v>1805.6331480000001</v>
      </c>
      <c r="W166" s="3">
        <f>1877.2+(250-338)+(0+(0-0))+0-29.4-0</f>
        <v>1759.8</v>
      </c>
      <c r="X166" s="3">
        <f>1887.4+(247-368.6)+(0.962574+(0.12597-0.187986))+0-26.4-0.0134639999999973</f>
        <v>1740.2870940000003</v>
      </c>
      <c r="Y166" s="3">
        <f>1908+(260.1-334.6)+(1.94616+(0.265302-0.341292))+0-29.4-0.0299880000000047</f>
        <v>1805.9401819999998</v>
      </c>
      <c r="Z166" s="3">
        <f>1944.9+(362.1-256)+(-0.991899+(-0.184671--0.13056))+30.9-28.8--0.0146879999999971</f>
        <v>2052.0686780000001</v>
      </c>
      <c r="AA166" s="3">
        <f>1996.8+(366.9-278.4)+(1.018368+(0.187119-0.141984))+32-25.8-0.0131579999999974</f>
        <v>2092.5503449999997</v>
      </c>
      <c r="AB166" s="3">
        <f>2091.4+(317.3-372.3)+(-2.133228+(-0.323646--0.379746))+32-27.3--0.0278460000000044</f>
        <v>2039.0507180000002</v>
      </c>
      <c r="AC166" s="3">
        <f>2082.6+(307.8-428.5)+(2.124252+(0.313956-0.43707))+16-26.1-0.0266220000000042</f>
        <v>1953.7745159999999</v>
      </c>
      <c r="AD166">
        <f t="shared" si="2"/>
        <v>40759.473491999997</v>
      </c>
      <c r="AE166" s="3">
        <f>1934+(368.7-261.8)+(0+(0-0))+32-28.5-0</f>
        <v>2044.4</v>
      </c>
    </row>
    <row r="167" spans="1:31" s="2" customFormat="1" x14ac:dyDescent="0.25">
      <c r="A167">
        <v>89</v>
      </c>
      <c r="B167">
        <v>6</v>
      </c>
      <c r="C167">
        <v>12</v>
      </c>
      <c r="D167">
        <v>7</v>
      </c>
      <c r="E167">
        <v>1</v>
      </c>
      <c r="F167" s="3">
        <f>2060.1+(230.6-480.4)+(0+(0-0))+0-26-0</f>
        <v>1784.3</v>
      </c>
      <c r="G167" s="3">
        <f>2076.3+(211.9-634.4)+(1.058913+(0.108069-0.323544))+0-9-0.00458999999999909</f>
        <v>1645.6388480000003</v>
      </c>
      <c r="H167" s="3">
        <f>2048.4+(205.7-715.1)+(0+(0-0))+0-6-0</f>
        <v>1533</v>
      </c>
      <c r="I167" s="3">
        <f>2005.6+(209.4-732.3)+(5.11428+(0.53397-1.867365))+0-7-0.017849999999999</f>
        <v>1479.4630349999998</v>
      </c>
      <c r="J167" s="3">
        <f>2054.4+(225.8-752)+(-2.095488+(-0.230316--0.76704))+0-7--0.00714000000000112</f>
        <v>1519.6483759999999</v>
      </c>
      <c r="K167" s="3">
        <f>1964.7+(208.2-682.4)+(-5.009985+(-0.53091--1.74012))+0-6--0.0152999999999991</f>
        <v>1480.7145250000001</v>
      </c>
      <c r="L167" s="3">
        <f>1793.2+(185.9-630.1)+(-4.57266+(-0.474045--1.606755))+0-6--0.0152999999999991</f>
        <v>1339.5753500000001</v>
      </c>
      <c r="M167" s="3">
        <f>1798.5+(169.1-679.4)+(-3.66894+(-0.344964--1.385976))+0-8--0.0163199999999997</f>
        <v>1277.5883919999999</v>
      </c>
      <c r="N167" s="3">
        <f>1830.1+(176.5-661.7)+(0.933351+(0.090015-0.337467))+0-8-0.00407999999999919</f>
        <v>1337.581819</v>
      </c>
      <c r="O167" s="3">
        <f>1924+(180-657.5)+(0+(0-0))+0-8-0</f>
        <v>1438.5</v>
      </c>
      <c r="P167" s="3">
        <f>2005.7+(180.6-638.5)+(-1.022907+(-0.092106--0.325635))+0-7--0.00356999999999929</f>
        <v>1540.0141920000003</v>
      </c>
      <c r="Q167" s="3">
        <f>2018.6+(179.5-558.9)+(-1.029486+(-0.091545--0.285039))+0-4--0.00203999999999959</f>
        <v>1634.3660479999999</v>
      </c>
      <c r="R167" s="3">
        <f>2012.7+(196.2-515.5)+(-1.026477+(-0.100062--0.262905))+0-2--0.0010199999999998</f>
        <v>1690.537386</v>
      </c>
      <c r="S167" s="3">
        <f>2055.8+(183-541.3)+(-2.096916+(-0.18666--0.552126))+0-1--0.00102000000000016</f>
        <v>1694.7695700000002</v>
      </c>
      <c r="T167" s="3">
        <f>2058.9+(175.7-526.9)+(0+(0-0))+0-3-0</f>
        <v>1704.7</v>
      </c>
      <c r="U167" s="3">
        <f>2020.2+(229.1-544.3)+(-3.090906+(-0.350523--0.832779))+0-3--0.00459000000000017</f>
        <v>1699.3959400000001</v>
      </c>
      <c r="V167" s="3">
        <f>2011.4+(232-531.7)+(-1.025814+(-0.11832--0.271167))+0-3--0.0015299999999997</f>
        <v>1707.828563</v>
      </c>
      <c r="W167" s="3">
        <f>2026.3+(155.6-511.1)+(-3.100239+(-0.238068--0.781983))+0-1--0.00153000000000006</f>
        <v>1667.2452060000001</v>
      </c>
      <c r="X167" s="3">
        <f>1987.2+(175.4-512.7)+(-5.06736+(-0.44727--1.307385))+0-2--0.00509999999999971</f>
        <v>1643.6978550000001</v>
      </c>
      <c r="Y167" s="3">
        <f>1996.5+(205.1-492.2)+(0+(0-0))+0-1-0</f>
        <v>1708.4</v>
      </c>
      <c r="Z167" s="3">
        <f>2061+(296-392.4)+(-2.10222+(-0.30192--0.400248))+0-1--0.00102000000000016</f>
        <v>1961.5971279999999</v>
      </c>
      <c r="AA167" s="3">
        <f>2006.2+(314.5-327.4)+(-4.092648+(-0.64158--0.667896))+0-1--0.00203999999999996</f>
        <v>1988.2357080000002</v>
      </c>
      <c r="AB167" s="3">
        <f>2009.4+(295.2-360.4)+(-1.024794+(-0.150552--0.183804))+0-2--0.0010199999999998</f>
        <v>1941.209478</v>
      </c>
      <c r="AC167" s="3">
        <f>2004.4+(227.2-407.9)+(-1.022244+(-0.115872--0.208029))+0-1--0.000509999999999899</f>
        <v>1821.7704230000002</v>
      </c>
      <c r="AD167">
        <f t="shared" si="2"/>
        <v>39239.777841999996</v>
      </c>
      <c r="AE167" s="3">
        <f>1987.7+(338.7-316.2)+(0+(0-0))+0-1.5-0</f>
        <v>2008.7</v>
      </c>
    </row>
    <row r="168" spans="1:31" s="2" customFormat="1" x14ac:dyDescent="0.25">
      <c r="A168">
        <v>89</v>
      </c>
      <c r="B168">
        <v>6</v>
      </c>
      <c r="C168">
        <v>13</v>
      </c>
      <c r="D168">
        <v>1</v>
      </c>
      <c r="E168">
        <v>1</v>
      </c>
      <c r="F168" s="3">
        <f>2023.6+(180-532.2)+(-3.096108+(-0.2754--0.814266))+0-1.5--0.00229500000000009</f>
        <v>1667.3450529999998</v>
      </c>
      <c r="G168" s="3">
        <f>2015.9+(200.9-705.9)+(-3.084327+(-0.307377--1.080027))+0-1.5--0.00229500000000009</f>
        <v>1507.0906180000002</v>
      </c>
      <c r="H168" s="3">
        <f>2106+(215.3-894.7)+(-2.14812+(-0.219606--0.912594))+0-1.5--0.00153000000000024</f>
        <v>1423.6463979999999</v>
      </c>
      <c r="I168" s="3">
        <f>2121.7+(220.7-944.5)+(1.082067+(0.112557-0.481695))+0-1.5-0.000764999999999848</f>
        <v>1397.1121639999999</v>
      </c>
      <c r="J168" s="3">
        <f>2169.1+(217.3-923)+(1.106241+(0.110823-0.47073))+0-1.5-0.000764999999999848</f>
        <v>1462.6455689999998</v>
      </c>
      <c r="K168" s="3">
        <f>2048.4+(225.5-799.5)+(-5.22342+(-0.575025--2.038725))+0-1.5--0.00382499999999978</f>
        <v>1469.1441050000001</v>
      </c>
      <c r="L168" s="3">
        <f>1953.5+(231.4-758.6)+(-6.973995+(-0.826098--2.708202))+0-1.5--0.00535500000000002</f>
        <v>1419.7134639999999</v>
      </c>
      <c r="M168" s="3">
        <f>1960.3+(206.2-770.9)+(0+(0-0))+0-1.5-0</f>
        <v>1394.1</v>
      </c>
      <c r="N168" s="3">
        <f>2061+(204.1-710.5)+(0+(0-0))+0-1.5-0</f>
        <v>1553.1</v>
      </c>
      <c r="O168" s="3">
        <f>2306.1+(187.5-753.6)+(1.176111+(0.095625-0.384336))+0-1.5-0.000764999999999848</f>
        <v>1739.3866350000001</v>
      </c>
      <c r="P168" s="3">
        <f>2313.8+(182.8-635.1)+(3.540114+(0.279684-0.971703))+0-4.8-0.00734400000000028</f>
        <v>1859.5407510000002</v>
      </c>
      <c r="Q168" s="3">
        <f>2272.8+(190.3-519.7)+(4.636512+(0.388212-1.060188))+0-1.8-0.00367199999999992</f>
        <v>1945.560864</v>
      </c>
      <c r="R168" s="3">
        <f>2280+(201.5-569.8)+(0+(0-0))+0-2-0</f>
        <v>1909.7</v>
      </c>
      <c r="S168" s="3">
        <f>2363.5+(220.4-629.2)+(-3.616155+(-0.337212--0.962676))+0-1--0.00153000000000006</f>
        <v>1950.7108389999999</v>
      </c>
      <c r="T168" s="3">
        <f>2360.1+(225.4-631.6)+(0+(0-0))+0-1-0</f>
        <v>1952.8999999999999</v>
      </c>
      <c r="U168" s="3">
        <f>2340.4+(235.3-614.7)+(0+(0-0))+0-1-0</f>
        <v>1960</v>
      </c>
      <c r="V168" s="3">
        <f>2303.4+(245.5-575.7)+(-2.349468+(-0.25041--0.587214))+0-1--0.00102000000000016</f>
        <v>1970.1883559999999</v>
      </c>
      <c r="W168" s="3">
        <f>2401.9+(223.1-661.1)+(-3.674907+(-0.341343--1.011483))+0-1--0.00153000000000006</f>
        <v>1959.8967630000002</v>
      </c>
      <c r="X168" s="3">
        <f>2313.4+(180.5-607.3)+(-7.079004+(-0.55233--1.858338))+0-1--0.00306000000000012</f>
        <v>1879.8300640000002</v>
      </c>
      <c r="Y168" s="3">
        <f>2416.5+(174.5-652.5)+(-4.92966+(-0.35598--1.3311))+0-1--0.00203999999999996</f>
        <v>1933.5475000000001</v>
      </c>
      <c r="Z168" s="3">
        <f>2511.5+(226.6-580.7)+(-5.12346+(-0.462264--1.184628))+0-1--0.00203999999999996</f>
        <v>2152.0009439999999</v>
      </c>
      <c r="AA168" s="3">
        <f>2475.6+(239.6-541.3)+(-3.787668+(-0.366588--0.828189))+0-1--0.00153000000000006</f>
        <v>2169.5754630000001</v>
      </c>
      <c r="AB168" s="3">
        <f>2391.3+(240.3-520)+(-2.439126+(-0.245106--0.5304))+0-1--0.00102000000000016</f>
        <v>2108.4471880000006</v>
      </c>
      <c r="AC168" s="3">
        <f>2453.2+(230-672)+(-3.753396+(-0.3519--1.02816))+0-1--0.00153000000000006</f>
        <v>2007.1243939999997</v>
      </c>
      <c r="AD168">
        <f t="shared" si="2"/>
        <v>42792.307132000002</v>
      </c>
      <c r="AE168" s="3">
        <f>2530.7+(252.9-573)+(0+(0-0))+0-1.5-0</f>
        <v>2209.1</v>
      </c>
    </row>
    <row r="169" spans="1:31" s="2" customFormat="1" x14ac:dyDescent="0.25">
      <c r="A169">
        <v>89</v>
      </c>
      <c r="B169">
        <v>6</v>
      </c>
      <c r="C169">
        <v>14</v>
      </c>
      <c r="D169">
        <v>2</v>
      </c>
      <c r="E169">
        <v>1</v>
      </c>
      <c r="F169" s="3">
        <f>2376.5+(256.1-801.7)+(-1.212015+(-0.130611--0.408867))+0-1.2--0.000611999999999878</f>
        <v>1828.7668530000001</v>
      </c>
      <c r="G169" s="3">
        <f>2316.8+(244.2-969.3)+(-3.544704+(-0.373626--1.483029))+0-1.2--0.00183600000000007</f>
        <v>1588.0665350000002</v>
      </c>
      <c r="H169" s="3">
        <f>2368.4+(244.4-1122.2)+(0+(0-0))+0-1.2-0</f>
        <v>1489.3999999999999</v>
      </c>
      <c r="I169" s="3">
        <f>2323+(244-1116.3)+(0+(0-0))+0-1.2-0</f>
        <v>1449.5</v>
      </c>
      <c r="J169" s="3">
        <f>2313.1+(252.9-1059.6)+(4.718724+(0.515916-2.161584))+0-1.2-0.00244799999999995</f>
        <v>1508.270608</v>
      </c>
      <c r="K169" s="3">
        <f>2299.4+(252.3-1043.1)+(-2.345388+(-0.257346--1.063962))+0-1.2--0.00122400000000019</f>
        <v>1505.8624520000001</v>
      </c>
      <c r="L169" s="3">
        <f>2201.5+(247.8-1026.3)+(-4.49106+(-0.505512--2.093652))+0-1.8--0.00367199999999992</f>
        <v>1418.3007520000001</v>
      </c>
      <c r="M169" s="3">
        <f>2159.6+(256.5-981.7)+(3.304188+(0.392445-1.502001))+0-1.8-0.0027540000000001</f>
        <v>1434.7918779999998</v>
      </c>
      <c r="N169" s="3">
        <f>2165.8+(258.4-848.5)+(-1.104558+(-0.131784--0.432735))+0-1.8--0.000917999999999817</f>
        <v>1573.0973110000002</v>
      </c>
      <c r="O169" s="3">
        <f>2396.3+(249.4-905.2)+(0+(0-0))+0-1.8-0</f>
        <v>1738.7</v>
      </c>
      <c r="P169" s="3">
        <f>2397.2+(260.9-803.6)+(3.667716+(0.399177-1.229508))+0-1.2-0.00183600000000007</f>
        <v>1856.1355489999999</v>
      </c>
      <c r="Q169" s="3">
        <f>2381.7+(257.3-718.9)+(1.214667+(0.131223-0.366639))+0-1.8-0.000917999999999817</f>
        <v>1919.278333</v>
      </c>
      <c r="R169" s="3">
        <f>2406.9+(250.3-708.6)+(1.227519+(0.127653-0.361386))+0-1-0.000509999999999899</f>
        <v>1948.5932760000001</v>
      </c>
      <c r="S169" s="3">
        <f>2505.1+(252.5-811)+(-1.277601+(-0.128775--0.41361))+0-2--0.0010199999999998</f>
        <v>1943.6082539999998</v>
      </c>
      <c r="T169" s="3">
        <f>2481.9+(233.4-808.3)+(1.265769+(0.119034-0.412233))+0-2.5-0.00127499999999975</f>
        <v>1905.4712949999998</v>
      </c>
      <c r="U169" s="3">
        <f>2475.9+(197-740.9)+(-3.788127+(-0.30141--1.133577))+0-2--0.00306000000000012</f>
        <v>1927.0471</v>
      </c>
      <c r="V169" s="3">
        <f>2481.7+(192.2-749.8)+(0+(0-0))+0-2-0</f>
        <v>1922.1</v>
      </c>
      <c r="W169" s="3">
        <f>2475.1+(190.7-770)+(-5.049204+(-0.389028--1.5708))+0-2--0.00407999999999991</f>
        <v>1889.9366479999999</v>
      </c>
      <c r="X169" s="3">
        <f>2447.8+(187.4-782.7)+(-3.745134+(-0.286722--1.197531))+0-2--0.00306000000000012</f>
        <v>1847.668735</v>
      </c>
      <c r="Y169" s="3">
        <f>2471.3+(166.4-745.4)+(-1.260363+(-0.084864--0.380154))+0-2.5--0.00127499999999975</f>
        <v>1888.8362020000002</v>
      </c>
      <c r="Z169" s="3">
        <f>2532.8+(192.1-599.9)+(-2.583456+(-0.195942--0.611898))+0-5--0.0051000000000008</f>
        <v>2117.8375999999998</v>
      </c>
      <c r="AA169" s="3">
        <f>2534+(202.6-581.7)+(-2.58468+(-0.206652--0.593334))+0-5--0.0051000000000008</f>
        <v>2147.7071019999998</v>
      </c>
      <c r="AB169" s="3">
        <f>2513.5+(210.7-621.3)+(-1.281885+(-0.107457--0.316863))+0-5--0.00254999999999949</f>
        <v>2096.8300710000003</v>
      </c>
      <c r="AC169" s="3">
        <f>2403+(215.8-654.5)+(-3.67659+(-0.330174--1.001385))+0-5--0.00765000000000029</f>
        <v>1956.302271</v>
      </c>
      <c r="AD169">
        <f t="shared" si="2"/>
        <v>42902.108824999996</v>
      </c>
      <c r="AE169" s="3">
        <f>2533.7+(213.2-593.2)+(0+(0-0))+0-25-0</f>
        <v>2128.6999999999998</v>
      </c>
    </row>
    <row r="170" spans="1:31" s="2" customFormat="1" x14ac:dyDescent="0.25">
      <c r="A170">
        <v>89</v>
      </c>
      <c r="B170">
        <v>6</v>
      </c>
      <c r="C170">
        <v>15</v>
      </c>
      <c r="D170">
        <v>3</v>
      </c>
      <c r="E170">
        <v>1</v>
      </c>
      <c r="F170" s="3">
        <f>2357.4+(226.2-783.1)+(-3.606822+(-0.346086--1.198143))+0-5.1--0.00780300000000029</f>
        <v>1792.6530380000002</v>
      </c>
      <c r="G170" s="3">
        <f>2187.8+(235.1-837.2)+(-3.347334+(-0.359703--1.280916))+0-5.1--0.00780300000000029</f>
        <v>1578.1816820000004</v>
      </c>
      <c r="H170" s="3">
        <f>2137+(233.7-892.1)+(-2.17974+(-0.238374--0.909942))+0-5.1--0.00520200000000081</f>
        <v>1471.99703</v>
      </c>
      <c r="I170" s="3">
        <f>2075.4+(242.3-876.5)+(-3.175362+(-0.370719--1.341045))+0-19.8--0.0302940000000011</f>
        <v>1419.2252579999999</v>
      </c>
      <c r="J170" s="3">
        <f>2013.8+(248.1-753.1)+(-2.054076+(-0.253062--0.768162))+0-23--0.0234600000000037</f>
        <v>1484.284484</v>
      </c>
      <c r="K170" s="3">
        <f>1981.8+(253.5-715.5)+(-4.042872+(-0.51714--1.45962))+0-23.5--0.047939999999999</f>
        <v>1493.2475479999998</v>
      </c>
      <c r="L170" s="3">
        <f>1948.1+(248.8-764.5)+(-8.941779+(-1.141992--3.509055))+0-19.5--0.0895050000000034</f>
        <v>1406.4147889999997</v>
      </c>
      <c r="M170" s="3">
        <f>1988.4+(245.4-808.6)+(-3.042252+(-0.375462--1.237158))+0-24--0.0367200000000014</f>
        <v>1399.0561640000001</v>
      </c>
      <c r="N170" s="3">
        <f>2197.9+(262.9-857.4)+(-2.241858+(-0.268158--0.874548))+0-24.9--0.025398000000004</f>
        <v>1576.88993</v>
      </c>
      <c r="O170" s="3">
        <f>2395.7+(259.2-895.5)+(-3.665421+(-0.396576--1.370115))+0-26.7--0.0408510000000015</f>
        <v>1730.0489689999997</v>
      </c>
      <c r="P170" s="3">
        <f>2493.4+(265.5-865.7)+(-5.086536+(-0.54162--1.766028))+0-28.8--0.0587519999999987</f>
        <v>1860.596624</v>
      </c>
      <c r="Q170" s="3">
        <f>2524+(263.3-834.8)+(3.86172+(0.402849-1.277244))+0-23.1-0.0353430000000013</f>
        <v>1932.3519820000001</v>
      </c>
      <c r="R170" s="3">
        <f>2534.4+(262-808)+(0+(0-0))+0-27.9-0</f>
        <v>1960.5</v>
      </c>
      <c r="S170" s="3">
        <f>2506.1+(255.2-782.9)+(0+(0-0))+0-29.1-0</f>
        <v>1949.3</v>
      </c>
      <c r="T170" s="3">
        <f>2477.1+(260.7-763.2)+(1.263321+(0.132957-0.389232))+0-29.7-0.015146999999997</f>
        <v>1945.8918989999997</v>
      </c>
      <c r="U170" s="3">
        <f>2534.3+(263.7-826.8)+(-2.584986+(-0.268974--0.843336))+0-29.4--0.0299880000000047</f>
        <v>1939.8193640000002</v>
      </c>
      <c r="V170" s="3">
        <f>2555.4+(265.3-864.6)+(-2.606508+(-0.270606--0.881892))+0-29.4--0.0299880000000047</f>
        <v>1924.734766</v>
      </c>
      <c r="W170" s="3">
        <f>2551.7+(265.9-896.5)+(-3.904101+(-0.406827--1.371645))+0-24--0.0367200000000014</f>
        <v>1894.197437</v>
      </c>
      <c r="X170" s="3">
        <f>2520.2+(264.5-896.7)+(-2.570604+(-0.26979--0.914634))+0-28.8--0.0293760000000046</f>
        <v>1857.3036159999997</v>
      </c>
      <c r="Y170" s="3">
        <f>2539+(256.9-856.3)+(1.29489+(0.131019-0.436713))+0-29.4-0.014993999999997</f>
        <v>1911.1742019999999</v>
      </c>
      <c r="Z170" s="3">
        <f>2626+(261.4-715.3)+(-1.33926+(-0.133314--0.364803))+0-29.1--0.014840999999997</f>
        <v>2141.9070700000002</v>
      </c>
      <c r="AA170" s="3">
        <f>2691.5+(260.9-770.5)+(-4.117995+(-0.399177--1.178865))+0-27--0.0413100000000016</f>
        <v>2151.6030030000002</v>
      </c>
      <c r="AB170" s="3">
        <f>2634.8+(260.3-765.6)+(0+(0-0))+0-27.9-0</f>
        <v>2101.6</v>
      </c>
      <c r="AC170" s="3">
        <f>2526.9+(264.8-779.5)+(-1.288719+(-0.135048--0.397545))+0-27.9--0.0142289999999972</f>
        <v>1983.2880069999999</v>
      </c>
      <c r="AD170">
        <f t="shared" si="2"/>
        <v>42906.266862000004</v>
      </c>
      <c r="AE170" s="3">
        <f>2635.2+(267.8-750.6)+(0+(0-0))+0-29-0</f>
        <v>2123.3999999999996</v>
      </c>
    </row>
    <row r="171" spans="1:31" s="2" customFormat="1" x14ac:dyDescent="0.25">
      <c r="A171">
        <v>89</v>
      </c>
      <c r="B171">
        <v>6</v>
      </c>
      <c r="C171">
        <v>16</v>
      </c>
      <c r="D171">
        <v>4</v>
      </c>
      <c r="E171">
        <v>1</v>
      </c>
      <c r="F171" s="3">
        <f>2383.9+(254-839.2)+(-2.431578+(-0.25908--0.855984))+0-27--0.0275400000000043</f>
        <v>1769.8928660000001</v>
      </c>
      <c r="G171" s="3">
        <f>2323.5+(249.2-954.1)+(-5.924925+(-0.63546--2.432955))+0-28--0.0713999999999959</f>
        <v>1586.5439699999999</v>
      </c>
      <c r="H171" s="3">
        <f>2255.9+(249.2-990.1)+(1.150509+(0.127092-0.504951))+0-27-0.0137699999999973</f>
        <v>1488.7588800000001</v>
      </c>
      <c r="I171" s="3">
        <f>2182.5+(245.9-955.4)+(-5.565375+(-0.627045--2.43627))+0-27--0.0688499999999961</f>
        <v>1442.3126999999999</v>
      </c>
      <c r="J171" s="3">
        <f>2067+(253-798.4)+(1.05417+(0.12903-0.407184))+0-27-0.0137699999999973</f>
        <v>1495.3622459999999</v>
      </c>
      <c r="K171" s="3">
        <f>2024.7+(256.6-746.3)+(-5.162985+(-0.65433--1.903065))+0-27--0.0688499999999961</f>
        <v>1504.1545999999998</v>
      </c>
      <c r="L171" s="3">
        <f>1962.1+(258-751.8)+(-5.003355+(-0.6579--1.91709))+0-27.3--0.069614999999996</f>
        <v>1437.3254499999998</v>
      </c>
      <c r="M171" s="3">
        <f>2128+(268.7-926.9)+(0+(0-0))+0-30-0</f>
        <v>1439.8</v>
      </c>
      <c r="N171" s="3">
        <f>2379.2+(266.9-991.9)+(1.213392+(0.136119-0.505869))+0-29.1-0.014840999999997</f>
        <v>1625.928801</v>
      </c>
      <c r="O171" s="3">
        <f>2404.1+(260.9-900.9)+(3.678273+(0.399177-1.378377))+0-29.7-0.0454410000000017</f>
        <v>1737.0536319999999</v>
      </c>
      <c r="P171" s="3">
        <f>2470.3+(257.3-862.3)+(-1.259853+(-0.131223--0.439773))+0-29.4--0.014993999999997</f>
        <v>1834.9636909999999</v>
      </c>
      <c r="Q171" s="3">
        <f>2559.6+(262-890.7)+(1.305396+(0.13362-0.454257))+0-29.1-0.014840999999997</f>
        <v>1902.769918</v>
      </c>
      <c r="R171" s="3">
        <f>2613.8+(268.3-901.4)+(1.333038+(0.136833-0.459714))+0-27-0.0137699999999973</f>
        <v>1954.6963870000002</v>
      </c>
      <c r="S171" s="3">
        <f>2602.9+(258.6-878.4)+(-2.654958+(-0.263772--0.895968))+0-28--0.0285600000000045</f>
        <v>1953.105798</v>
      </c>
      <c r="T171" s="3">
        <f>2591.1+(274.3-879)+(0+(0-0))+0-28-0</f>
        <v>1958.3999999999999</v>
      </c>
      <c r="U171" s="3">
        <f>2558.1+(273.2-858.4)+(-1.304631+(-0.139332--0.437784))+0-29--0.0147899999999971</f>
        <v>1942.9086109999998</v>
      </c>
      <c r="V171" s="3">
        <f>2548+(273.9-863.9)+(-2.59896+(-0.279378--0.881178))+0-27--0.0275400000000043</f>
        <v>1929.0303800000002</v>
      </c>
      <c r="W171" s="3">
        <f>2524.4+(268.5-872)+(-1.287444+(-0.136935--0.44472))+0-27--0.0137699999999973</f>
        <v>1892.934111</v>
      </c>
      <c r="X171" s="3">
        <f>2399.9+(263.6-797.7)+(0+(0-0))+0-27-0</f>
        <v>1838.8000000000002</v>
      </c>
      <c r="Y171" s="3">
        <f>2457.6+(262.7-777.6)+(-2.506752+(-0.267954--0.793152))+0-27--0.0275400000000043</f>
        <v>1913.7459859999999</v>
      </c>
      <c r="Z171" s="3">
        <f>2548.2+(259.1-626.4)+(-3.898746+(-0.396423--0.958392))+0-27--0.0413100000000016</f>
        <v>2150.6045329999997</v>
      </c>
      <c r="AA171" s="3">
        <f>2524.5+(261.8-606.4)+(-3.862485+(-0.400554--0.927792))+0-26--0.0397800000000015</f>
        <v>2150.6045330000002</v>
      </c>
      <c r="AB171" s="3">
        <f>2530.8+(264-682.3)+(-1.290708+(-0.13464--0.347973))+0-26--0.0132599999999974</f>
        <v>2085.4358850000003</v>
      </c>
      <c r="AC171" s="3">
        <f>2514.4+(266-781.9)+(-2.564688+(-0.27132--0.797538))+0-26--0.0265200000000041</f>
        <v>1970.4880499999999</v>
      </c>
      <c r="AD171">
        <f t="shared" si="2"/>
        <v>43005.621027999987</v>
      </c>
      <c r="AE171" s="3">
        <f>2540+(266.2-609.4)+(0+(0-0))+0-27-0</f>
        <v>2169.8000000000002</v>
      </c>
    </row>
    <row r="172" spans="1:31" s="2" customFormat="1" x14ac:dyDescent="0.25">
      <c r="A172">
        <v>89</v>
      </c>
      <c r="B172">
        <v>6</v>
      </c>
      <c r="C172">
        <v>17</v>
      </c>
      <c r="D172">
        <v>5</v>
      </c>
      <c r="E172">
        <v>1</v>
      </c>
      <c r="F172" s="3">
        <f>2430.4+(243.2-868)+(-1.239504+(-0.124032--0.44268))+0-27--0.0137699999999973</f>
        <v>1777.6929140000002</v>
      </c>
      <c r="G172" s="3">
        <f>2442.1+(264-1088.5)+(-4.981884+(-0.53856--2.22054))+0-27--0.0550799999999988</f>
        <v>1587.355176</v>
      </c>
      <c r="H172" s="3">
        <f>2364.4+(265.7-1099.1)+(-3.617532+(-0.406521--1.681623))+0-26--0.0397800000000015</f>
        <v>1502.6973500000004</v>
      </c>
      <c r="I172" s="3">
        <f>2083.6+(247-864.3)+(-3.187908+(-0.37791--1.322379))+0-27--0.0413100000000016</f>
        <v>1437.0978709999999</v>
      </c>
      <c r="J172" s="3">
        <f>2076.1+(246.1-811.5)+(1.058811+(0.125511-0.413865))+0-26-0.0132599999999974</f>
        <v>1485.457197</v>
      </c>
      <c r="K172" s="3">
        <f>2074.9+(249-813.4)+(-3.174597+(-0.38097--1.244502))+0-27--0.0413100000000016</f>
        <v>1481.230245</v>
      </c>
      <c r="L172" s="3">
        <f>2074.4+(261.3-875.3)+(-1.057944+(-0.133263--0.446403))+0-27--0.0137699999999973</f>
        <v>1432.6689660000002</v>
      </c>
      <c r="M172" s="3">
        <f>2075.1+(255.1-870.3)+(-1.058301+(-0.130101--0.443853))+0-30--0.015299999999997</f>
        <v>1429.1707510000001</v>
      </c>
      <c r="N172" s="3">
        <f>2188.9+(252.3-794.8)+(-3.349017+(-0.386019--1.216044))+0-29--0.0443700000000017</f>
        <v>1614.9253780000001</v>
      </c>
      <c r="O172" s="3">
        <f>2293.9+(265.6-746.8)+(-2.339778+(-0.270912--0.761736))+0-30--0.0306000000000048</f>
        <v>1780.8816460000003</v>
      </c>
      <c r="P172" s="3">
        <f>2359.5+(259.7-704)+(-3.610035+(-0.397341--1.07712))+0-28--0.0428400000000016</f>
        <v>1884.312584</v>
      </c>
      <c r="Q172" s="3">
        <f>2543.4+(271.4-790)+(-1.297134+(-0.138414--0.4029))+0-29--0.0147899999999971</f>
        <v>1994.782142</v>
      </c>
      <c r="R172" s="3">
        <f>2534.3+(267.7-761)+(-1.292493+(-0.136527--0.38811))+0-25--0.0127499999999975</f>
        <v>2014.9718400000004</v>
      </c>
      <c r="S172" s="3">
        <f>2506.8+(263.3-759.9)+(-2.556936+(-0.268566--0.775098))+0-25--0.025500000000004</f>
        <v>1983.1750960000002</v>
      </c>
      <c r="T172" s="3">
        <f>2531.4+(263.7-790.1)+(-1.291014+(-0.134487--0.402951))+0-27--0.0137699999999973</f>
        <v>1976.9912200000001</v>
      </c>
      <c r="U172" s="3">
        <f>2529.5+(261.6-786.2)+(1.290045+(0.133416-0.400962))+0-29-0.0147899999999971</f>
        <v>1976.9077090000001</v>
      </c>
      <c r="V172" s="3">
        <f>2528.7+(257.5-792.3)+(-3.868911+(-0.393975--1.212219))+0-29--0.0443700000000017</f>
        <v>1961.893703</v>
      </c>
      <c r="W172" s="3">
        <f>2493.4+(252.1-784.6)+(-2.543268+(-0.257142--0.800292))+0-28--0.0285600000000045</f>
        <v>1930.9284420000001</v>
      </c>
      <c r="X172" s="3">
        <f>2340+(239-667)+(-4.7736+(-0.48756--1.36068))+0-28--0.0571199999999988</f>
        <v>1880.1566399999999</v>
      </c>
      <c r="Y172" s="3">
        <f>2459.5+(230.2-699.9)+(-1.254345+(-0.117402--0.356949))+0-26--0.0132599999999974</f>
        <v>1962.798462</v>
      </c>
      <c r="Z172" s="3">
        <f>2506.4+(265.9-582.5)+(-3.834792+(-0.406827--0.891225))+0-27--0.0413100000000016</f>
        <v>2159.4909160000002</v>
      </c>
      <c r="AA172" s="3">
        <f>2528.4+(268.1-601.2)+(-2.578968+(-0.273462--0.613224))+0-27--0.0275400000000043</f>
        <v>2166.088334</v>
      </c>
      <c r="AB172" s="3">
        <f>2537.8+(269.2-670.8)+(1.294278+(0.137292-0.342108))+0-26-0.0132599999999974</f>
        <v>2111.276202</v>
      </c>
      <c r="AC172" s="3">
        <f>2532+(253.8-774.2)+(-5.16528+(-0.517752--1.579368))+0-25--0.0509999999999989</f>
        <v>1982.5473359999999</v>
      </c>
      <c r="AD172">
        <f t="shared" si="2"/>
        <v>43515.498120000004</v>
      </c>
      <c r="AE172" s="3">
        <f>2481.2+(252.7-533.3)+(0+(0-0))+0-25.5-0</f>
        <v>2175.1</v>
      </c>
    </row>
    <row r="173" spans="1:31" s="2" customFormat="1" x14ac:dyDescent="0.25">
      <c r="A173">
        <v>89</v>
      </c>
      <c r="B173">
        <v>6</v>
      </c>
      <c r="C173">
        <v>18</v>
      </c>
      <c r="D173">
        <v>6</v>
      </c>
      <c r="E173">
        <v>1</v>
      </c>
      <c r="F173" s="3">
        <f>2397.9+(220.7-776.3)+(0+(0-0))+0-25-0</f>
        <v>1817.3000000000002</v>
      </c>
      <c r="G173" s="3">
        <f>2219.8+(229.4-793.4)+(-2.264196+(-0.233988--0.809268))+0-26.7--0.0272340000000043</f>
        <v>1627.438318</v>
      </c>
      <c r="H173" s="3">
        <f>2187.1+(249.7-888.4)+(0+(0-0))+0-26.1-0</f>
        <v>1522.3</v>
      </c>
      <c r="I173" s="3">
        <f>2186.8+(251.1-939.8)+(-2.230536+(-0.256122--0.958596))+0-26.4--0.0269280000000042</f>
        <v>1470.1988660000002</v>
      </c>
      <c r="J173" s="3">
        <f>2114.4+(248.3-824.9)+(1.078344+(0.126633-0.420699))+0-27-0.0137699999999973</f>
        <v>1511.5705080000002</v>
      </c>
      <c r="K173" s="3">
        <f>2033.1+(248.3-724.2)+(0+(0-0))+0-26.7-0</f>
        <v>1530.4999999999998</v>
      </c>
      <c r="L173" s="3">
        <f>1934.9+(224.2-694.7)+(-1.973598+(-0.228684--0.708594))+0-28.2--0.0287640000000045</f>
        <v>1434.7350759999999</v>
      </c>
      <c r="M173" s="3">
        <f>1959.6+(208.7-696.9)+(0.999396+(0.106437-0.355419))+0-27-0.0137699999999973</f>
        <v>1445.1366439999999</v>
      </c>
      <c r="N173" s="3">
        <f>2042.1+(186.8-610.6)+(-1.041471+(-0.095268--0.311406))+0-26--0.0132599999999974</f>
        <v>1591.4879269999999</v>
      </c>
      <c r="O173" s="3">
        <f>2137.2+(197.5-554.6)+(0+(0-0))+0-26.4-0</f>
        <v>1753.6999999999998</v>
      </c>
      <c r="P173" s="3">
        <f>2372+(211.8-671.1)+(1.20972+(0.108018-0.342261))+0-27.6-0.0140759999999972</f>
        <v>1886.0614010000002</v>
      </c>
      <c r="Q173" s="3">
        <f>2273.5+(217.3-475)+(1.159485+(0.110823-0.24225))+0-28.8-0.0146879999999971</f>
        <v>1988.0133700000001</v>
      </c>
      <c r="R173" s="3">
        <f>2323.4+(217.4-557.1)+(-2.369868+(-0.221748--0.568242))+0-26.1--0.0266220000000042</f>
        <v>1955.6032480000001</v>
      </c>
      <c r="S173" s="3">
        <f>2450.1+(216.4-710.4)+(-4.998204+(-0.441456--1.449216))+0-26.4--0.0538559999999988</f>
        <v>1925.7634119999998</v>
      </c>
      <c r="T173" s="3">
        <f>2521.8+(216-820.6)+(-2.572236+(-0.22032--0.837012))+0-28.8--0.0293760000000046</f>
        <v>1886.4738320000004</v>
      </c>
      <c r="U173" s="3">
        <f>2523.7+(214.9-814.8)+(0+(0-0))+0-27.6-0</f>
        <v>1896.1999999999998</v>
      </c>
      <c r="V173" s="3">
        <f>2363.2+(194-672.9)+(-2.410464+(-0.19788--0.686358))+0-29.7--0.0302940000000047</f>
        <v>1852.7083079999995</v>
      </c>
      <c r="W173" s="3">
        <f>2361.7+(173.9-684.5)+(-4.817868+(-0.354756--1.39638))+0-30.3--0.0618119999999987</f>
        <v>1817.085568</v>
      </c>
      <c r="X173" s="3">
        <f>2367+(173.2-728.1)+(2.41434+(0.176664-0.742662))+0-30.3-0.0309060000000048</f>
        <v>1783.617436</v>
      </c>
      <c r="Y173" s="3">
        <f>2490.4+(170.4-741.2)+(1.270104+(0.086904-0.378012))+0-28.5-0.0145349999999971</f>
        <v>1892.0644609999999</v>
      </c>
      <c r="Z173" s="3">
        <f>2618+(255.5-686.6)+(-2.67036+(-0.26061--0.700332))+0-28.8--0.0293760000000046</f>
        <v>2155.8987379999999</v>
      </c>
      <c r="AA173" s="3">
        <f>2544.1+(261.1-640.4)+(-2.594982+(-0.266322--0.653208))+0-27.9--0.0284580000000044</f>
        <v>2134.7203620000005</v>
      </c>
      <c r="AB173" s="3">
        <f>2496.6+(269.4-680.4)+(-2.546532+(-0.274788--0.694008))+0-27.6--0.0281520000000044</f>
        <v>2055.9008399999998</v>
      </c>
      <c r="AC173" s="3">
        <f>2422.2+(259.7-646.7)+(0+(0-0))+0-27.6-0</f>
        <v>2007.6</v>
      </c>
      <c r="AD173">
        <f t="shared" si="2"/>
        <v>42942.078315000006</v>
      </c>
      <c r="AE173" s="3">
        <f>2622+(255.3-711.3)+(0+(0-0))+0-25-0</f>
        <v>2141</v>
      </c>
    </row>
    <row r="174" spans="1:31" s="2" customFormat="1" x14ac:dyDescent="0.25">
      <c r="A174">
        <v>89</v>
      </c>
      <c r="B174">
        <v>6</v>
      </c>
      <c r="C174">
        <v>19</v>
      </c>
      <c r="D174">
        <v>7</v>
      </c>
      <c r="E174">
        <v>3</v>
      </c>
      <c r="F174" s="3">
        <f>1932.4+(237.6-369.6)+(-3.942096+(-0.484704--0.753984))+0-20.1--0.0410039999999991</f>
        <v>1776.6681880000001</v>
      </c>
      <c r="G174" s="3">
        <f>1601.6+(287.9-338.4)+(-2.450448+(-0.440487--0.517752))+0-23.5--0.0359550000000014</f>
        <v>1525.262772</v>
      </c>
      <c r="H174" s="3">
        <f>1636.4+(239.1-444.6)+(-2.503692+(-0.365823--0.680238))+0-28.2--0.0431460000000016</f>
        <v>1400.5538690000001</v>
      </c>
      <c r="I174" s="3">
        <f>1619.7+(236-466.4)+(-0.826047+(-0.12036--0.237864))+0-27.6--0.0140759999999972</f>
        <v>1361.0055330000002</v>
      </c>
      <c r="J174" s="3">
        <f>1583.1+(243.2-456.8)+(0+(0-0))+0-27.9-0</f>
        <v>1341.6</v>
      </c>
      <c r="K174" s="3">
        <f>1531.2+(255.9-421.9)+(0+(0-0))+0-27.6-0</f>
        <v>1337.6000000000001</v>
      </c>
      <c r="L174" s="3">
        <f>1514.9+(249.9-409.7)+(-5.408193+(-0.892143--1.462629))+0-28--0.0999600000000004</f>
        <v>1322.3622530000002</v>
      </c>
      <c r="M174" s="3">
        <f>1456+(228.6-400.7)+(-0.74256+(-0.116586--0.204357))+0-30--0.015299999999997</f>
        <v>1253.2605110000002</v>
      </c>
      <c r="N174" s="3">
        <f>1401.1+(238-322.6)+(3.572805+(0.6069-0.82263))+0-29-0.0739499999999958</f>
        <v>1290.7831249999999</v>
      </c>
      <c r="O174" s="3">
        <f>1423.9+(272.8-301.5)+(-0.726189+(-0.139128--0.153765))+0-29--0.0147899999999971</f>
        <v>1365.503238</v>
      </c>
      <c r="P174" s="3">
        <f>1444.8+(287.5-310.2)+(-1.473696+(-0.29325--0.316404))+0-29--0.0295800000000046</f>
        <v>1391.6790379999998</v>
      </c>
      <c r="Q174" s="3">
        <f>1440.6+(294.3-312.6)+(-0.734706+(-0.150093--0.159426))+0-30--0.015299999999997</f>
        <v>1391.589927</v>
      </c>
      <c r="R174" s="3">
        <f>1490.5+(279.7-342.7)+(-2.280465+(-0.427941--0.524331))+0-27.3--0.0417690000000016</f>
        <v>1398.0576940000001</v>
      </c>
      <c r="S174" s="3">
        <f>1505+(278.4-343.5)+(-1.5351+(-0.283968--0.35037))+0-27.6--0.0281520000000044</f>
        <v>1410.8594540000004</v>
      </c>
      <c r="T174" s="3">
        <f>1499.7+(271.9-329)+(-1.529694+(-0.277338--0.33558))+0-30--0.0306000000000048</f>
        <v>1411.159148</v>
      </c>
      <c r="U174" s="3">
        <f>1495.8+(247.9-309)+(-0.762858+(-0.126429--0.15759))+0-30.3--0.0154529999999969</f>
        <v>1403.6837560000001</v>
      </c>
      <c r="V174" s="3">
        <f>1497.9+(238.4-293.4)+(-2.291787+(-0.364752--0.448902))+0-30--0.0459000000000017</f>
        <v>1410.7382630000002</v>
      </c>
      <c r="W174" s="3">
        <f>1496.9+(255.3-304.1)+(-4.580514+(-0.781218--0.930546))+0-29.7--0.0908820000000034</f>
        <v>1414.059696</v>
      </c>
      <c r="X174" s="3">
        <f>1503.7+(282.2-318.1)+(-1.533774+(-0.287844--0.324462))+0-28.2--0.0287640000000045</f>
        <v>1438.1316079999999</v>
      </c>
      <c r="Y174" s="3">
        <f>1665.8+(250.6-342.3)+(-1.699116+(-0.255612--0.349146))+0-28.8--0.0293760000000046</f>
        <v>1543.723794</v>
      </c>
      <c r="Z174" s="3">
        <f>1671.8+(409.6-214.8)+(-3.410472+(-0.835584--0.438192))+0-29.2--0.0595679999999987</f>
        <v>1833.6517039999997</v>
      </c>
      <c r="AA174" s="3">
        <f>1637.2+(433.2-205)+(-3.339888+(-0.883728--0.4182))+0-28.2--0.0575279999999988</f>
        <v>1833.4521120000002</v>
      </c>
      <c r="AB174" s="3">
        <f>1506.6+(458-173.8)+(-0.768366+(-0.23358--0.088638))+0-27.6--0.0140759999999972</f>
        <v>1762.3007680000001</v>
      </c>
      <c r="AC174" s="3">
        <f>1361.2+(456.2-151.7)+(-2.082636+(-0.697986--0.232101))+0-28.2--0.0431460000000016</f>
        <v>1634.994625</v>
      </c>
      <c r="AD174">
        <f t="shared" si="2"/>
        <v>35252.681075999993</v>
      </c>
      <c r="AE174" s="3">
        <f>1645.3+(442.9-182.7)+(0+(0-0))+0-29-0</f>
        <v>1876.5</v>
      </c>
    </row>
    <row r="175" spans="1:31" s="2" customFormat="1" x14ac:dyDescent="0.25">
      <c r="A175">
        <v>89</v>
      </c>
      <c r="B175">
        <v>6</v>
      </c>
      <c r="C175">
        <v>20</v>
      </c>
      <c r="D175">
        <v>1</v>
      </c>
      <c r="E175">
        <v>1</v>
      </c>
      <c r="F175" s="3">
        <f>1309.9+(362.2-195.4)+(-2.672196+(-0.738888--0.398616))+0-24--0.0489599999999989</f>
        <v>1449.7364920000002</v>
      </c>
      <c r="G175" s="3">
        <f>1326.1+(296.5-283.9)+(-2.028933+(-0.453645--0.434367))+0-26--0.0397800000000015</f>
        <v>1310.6915689999998</v>
      </c>
      <c r="H175" s="3">
        <f>1379.5+(245.1-345)+(-4.22127+(-0.750006--1.0557))+0-27--0.0826200000000031</f>
        <v>1248.7670439999997</v>
      </c>
      <c r="I175" s="3">
        <f>1427.9+(232.8-411.6)+(-1.456458+(-0.237456--0.419832))+0-27--0.0275400000000043</f>
        <v>1220.8534580000003</v>
      </c>
      <c r="J175" s="3">
        <f>1431.4+(229.7-419.2)+(-1.460028+(-0.234294--0.427584))+0-27--0.0275400000000043</f>
        <v>1213.6608020000001</v>
      </c>
      <c r="K175" s="3">
        <f>1454.9+(241.7-441)+(0+(0-0))+0-27-0</f>
        <v>1228.6000000000001</v>
      </c>
      <c r="L175" s="3">
        <f>1421.3+(245.1-397.9)+(-5.074041+(-0.875007--1.420503))+0-27--0.0963900000000004</f>
        <v>1237.067845</v>
      </c>
      <c r="M175" s="3">
        <f>1256.2+(257.6-248)+(-1.921986+(-0.394128--0.37944))+0-28--0.0428400000000016</f>
        <v>1235.9061660000002</v>
      </c>
      <c r="N175" s="3">
        <f>1206.3+(312.1-132.5)+(-1.845639+(-0.477513--0.202725))+0-28--0.0428400000000016</f>
        <v>1355.8224130000001</v>
      </c>
      <c r="O175" s="3">
        <f>1278.9+(344.2-95.1)+(-0.652239+(-0.175542--0.048501))+0-30--0.015299999999997</f>
        <v>1497.2360200000001</v>
      </c>
      <c r="P175" s="3">
        <f>1328.9+(401.8-80.2)+(-1.355478+(-0.409836--0.081804))+0-29--0.0295800000000046</f>
        <v>1619.8460699999998</v>
      </c>
      <c r="Q175" s="3">
        <f>1494.2+(370.4-121.5)+(-0.762042+(-0.188904--0.061965))+0-29--0.0147899999999971</f>
        <v>1713.2258089999998</v>
      </c>
      <c r="R175" s="3">
        <f>1592.2+(314.9-156.4)+(-0.812022+(-0.160599--0.079764))+0-27--0.0137699999999973</f>
        <v>1722.820913</v>
      </c>
      <c r="S175" s="3">
        <f>1697.6+(263.7-231.1)+(-1.731552+(-0.268974--0.235722))+0-27--0.0275400000000043</f>
        <v>1701.4627359999999</v>
      </c>
      <c r="T175" s="3">
        <f>1798.6+(256.7-349.3)+(0.917286+(0.130917-0.178143))+0-28-0.0142799999999972</f>
        <v>1678.8557799999999</v>
      </c>
      <c r="U175" s="3">
        <f>1882.7+(255.5-434.5)+(-1.920354+(-0.26061--0.44319))+0-28--0.0285600000000045</f>
        <v>1673.9907860000001</v>
      </c>
      <c r="V175" s="3">
        <f>1895.2+(155.6-444.3)+(0+(0-0))+0-30-0</f>
        <v>1576.5</v>
      </c>
      <c r="W175" s="3">
        <f>1845.8+(155.5-414.6)+(-4.70679+(-0.396525--1.05723))+0-30--0.0764999999999956</f>
        <v>1552.7304149999998</v>
      </c>
      <c r="X175" s="3">
        <f>1702.2+(268-295.6)+(-5.208732+(-0.82008--0.904536))+0-30--0.0918000000000035</f>
        <v>1639.5675239999998</v>
      </c>
      <c r="Y175" s="3">
        <f>1864.9+(264.1-345.8)+(-0.951099+(-0.134691--0.176358))+0-30--0.015299999999997</f>
        <v>1752.3058680000001</v>
      </c>
      <c r="Z175" s="3">
        <f>1890.3+(327.1-206.2)+(-1.928106+(-0.333642--0.210324))+0-30--0.0306000000000048</f>
        <v>1979.1791760000001</v>
      </c>
      <c r="AA175" s="3">
        <f>1905.8+(298.8-252.9)+(-3.887832+(-0.609552--0.515916))+0-28--0.0571199999999988</f>
        <v>1919.775652</v>
      </c>
      <c r="AB175" s="3">
        <f>1989.3+(275.5-387.1)+(-3.043629+(-0.421515--0.592263))+0-28--0.0428400000000016</f>
        <v>1846.8699589999999</v>
      </c>
      <c r="AC175" s="3">
        <f>2002.1+(256.1-528)+(-5.105355+(-0.653055--1.3464))+0-27.9--0.0711449999999959</f>
        <v>1697.9591349999996</v>
      </c>
      <c r="AD175">
        <f t="shared" si="2"/>
        <v>37073.431632</v>
      </c>
      <c r="AE175" s="3">
        <f>1881.3+(336.1-203.9)+(0+(0-0))+0-30-0</f>
        <v>1983.5</v>
      </c>
    </row>
    <row r="176" spans="1:31" s="2" customFormat="1" x14ac:dyDescent="0.25">
      <c r="A176">
        <v>89</v>
      </c>
      <c r="B176">
        <v>6</v>
      </c>
      <c r="C176">
        <v>21</v>
      </c>
      <c r="D176">
        <v>2</v>
      </c>
      <c r="E176">
        <v>1</v>
      </c>
      <c r="F176" s="3">
        <f>1871.8+(264.7-626)+(-2.863854+(-0.404991--0.95778))+0-27.9--0.0426870000000016</f>
        <v>1480.3316219999999</v>
      </c>
      <c r="G176" s="3">
        <f>1820.8+(257.4-724.3)+(-0.928608+(-0.131274--0.369393))+0-27.6--0.0140759999999972</f>
        <v>1325.623587</v>
      </c>
      <c r="H176" s="3">
        <f>1782.4+(259.1-752.8)+(-1.818048+(-0.264282--0.767856))+0-27.6--0.0281520000000044</f>
        <v>1259.8136780000004</v>
      </c>
      <c r="I176" s="3">
        <f>1648.9+(263-653.4)+(-2.522817+(-0.40239--0.999702))+0-28.2--0.0431460000000016</f>
        <v>1228.417641</v>
      </c>
      <c r="J176" s="3">
        <f>1573.8+(264.9-586.8)+(-2.407914+(-0.405297--0.897804))+0-27.3--0.0417690000000016</f>
        <v>1222.7263620000001</v>
      </c>
      <c r="K176" s="3">
        <f>1573.2+(268.4-558.8)+(0+(0-0))+0-27-0</f>
        <v>1255.8000000000002</v>
      </c>
      <c r="L176" s="3">
        <f>1575.3+(262.2-517.3)+(-4.017015+(-0.66861--1.319115))+0-27.6--0.070379999999996</f>
        <v>1289.30387</v>
      </c>
      <c r="M176" s="3">
        <f>1640.9+(258.2-536.1)+(0+(0-0))+0-28.5-0</f>
        <v>1334.5</v>
      </c>
      <c r="N176" s="3">
        <f>1859.2+(251.5-585.1)+(0.948192+(0.128265-0.298401))+0-30-0.015299999999997</f>
        <v>1496.362756</v>
      </c>
      <c r="O176" s="3">
        <f>2199+(251.4-761.5)+(-3.36447+(-0.384642--1.165095))+0-30--0.0459000000000017</f>
        <v>1656.3618830000003</v>
      </c>
      <c r="P176" s="3">
        <f>2477.8+(248-825.8)+(0+(0-0))+0-30-0</f>
        <v>1870.0000000000002</v>
      </c>
      <c r="Q176" s="3">
        <f>2495.9+(249.1-909.5)+(0+(0-0))+0-30-0</f>
        <v>1805.5</v>
      </c>
      <c r="R176" s="3">
        <f>2538.5+(257.5-935.1)+(-3.883905+(-0.393975--1.430703))+0-28--0.0428400000000016</f>
        <v>1830.0956630000001</v>
      </c>
      <c r="S176" s="3">
        <f>2563.8+(262.5-994.6)+(-6.53769+(-0.669375--2.53623))+0-28--0.0713999999999959</f>
        <v>1799.1005650000004</v>
      </c>
      <c r="T176" s="3">
        <f>2588.6+(264.7-1057.9)+(0+(0-0))+0-30-0</f>
        <v>1765.3999999999999</v>
      </c>
      <c r="U176" s="3">
        <f>2583.9+(263.6-1045.7)+(2.635578+(0.268872-1.066614))+0-31-0.0316200000000049</f>
        <v>1772.6062160000001</v>
      </c>
      <c r="V176" s="3">
        <f>2567.1+(269.3-1037.9)+(-5.236884+(-0.549372--2.117316))+0-30.6--0.0624239999999987</f>
        <v>1764.2934839999998</v>
      </c>
      <c r="W176" s="3">
        <f>2473.7+(263.5-964.8)+(-5.046348+(-0.53754--1.968192))+0-28.5--0.0581399999999988</f>
        <v>1740.3424439999999</v>
      </c>
      <c r="X176" s="3">
        <f>2192.5+(250.3-711.3)+(-1.118175+(-0.127653--0.362763))+0-29.4--0.014993999999997</f>
        <v>1701.2319289999998</v>
      </c>
      <c r="Y176" s="3">
        <f>2230.3+(249.5-662.6)+(-1.137453+(-0.127245--0.337926))+0-30--0.015299999999997</f>
        <v>1786.2885280000003</v>
      </c>
      <c r="Z176" s="3">
        <f>2542.3+(260.7-698.2)+(-3.889719+(-0.398871--1.068246))+0-27.9--0.0426870000000016</f>
        <v>2073.7223430000004</v>
      </c>
      <c r="AA176" s="3">
        <f>2606.6+(265.2-793.3)+(-9.305562+(-0.946764--2.832081))+0-27--0.0963900000000004</f>
        <v>2044.1761450000001</v>
      </c>
      <c r="AB176" s="3">
        <f>2357.1+(258.2-662.7)+(-1.202121+(-0.131682--0.337977))+0-27--0.0137699999999973</f>
        <v>1924.6179439999999</v>
      </c>
      <c r="AC176" s="3">
        <f>2301.6+(253.9-757.2)+(-2.347632+(-0.258978--0.772344))+0-27--0.0275400000000043</f>
        <v>1769.4932739999997</v>
      </c>
      <c r="AD176">
        <f t="shared" si="2"/>
        <v>39196.109934</v>
      </c>
      <c r="AE176" s="3">
        <f>2643.3+(255.3-782.3)+(0+(0-0))+0-28-0</f>
        <v>2088.3000000000002</v>
      </c>
    </row>
    <row r="177" spans="1:31" s="2" customFormat="1" x14ac:dyDescent="0.25">
      <c r="A177">
        <v>89</v>
      </c>
      <c r="B177">
        <v>6</v>
      </c>
      <c r="C177">
        <v>22</v>
      </c>
      <c r="D177">
        <v>3</v>
      </c>
      <c r="E177">
        <v>1</v>
      </c>
      <c r="F177" s="3">
        <f>2184.8+(253.6-836.5)+(-4.456992+(-0.517344--1.70646))+0-26.4--0.0538559999999988</f>
        <v>1572.2859800000001</v>
      </c>
      <c r="G177" s="3">
        <f>1943.2+(263.1-780.6)+(-0.991032+(-0.134181--0.398106))+0-26.4--0.0134639999999973</f>
        <v>1398.5863569999999</v>
      </c>
      <c r="H177" s="3">
        <f>1919.1+(265.3-830.3)+(-1.957482+(-0.270606--0.846906))+0-25.8--0.0263160000000041</f>
        <v>1326.9451339999998</v>
      </c>
      <c r="I177" s="3">
        <f>1886.6+(266.1-830.2)+(-2.886498+(-0.407133--1.270206))+0-27.3--0.0417690000000016</f>
        <v>1293.2183439999999</v>
      </c>
      <c r="J177" s="3">
        <f>1839.4+(269.5-799.2)+(-1.876188+(-0.27489--0.815184))+0-27.6--0.0281520000000044</f>
        <v>1280.7922580000002</v>
      </c>
      <c r="K177" s="3">
        <f>1842.4+(269.5-791.5)+(3.758496+(0.54978-1.61466))+0-28.2-0.0575279999999988</f>
        <v>1294.836088</v>
      </c>
      <c r="L177" s="3">
        <f>1657.8+(272.4-699.3)+(-3.381912+(-0.555696--1.426572))+0-27.9--0.0569159999999988</f>
        <v>1200.5458799999999</v>
      </c>
      <c r="M177" s="3">
        <f>1568.8+(264.4-571.7)+(2.400264+(0.404532-0.874701))+0-28.2-0.0431460000000016</f>
        <v>1235.1869489999999</v>
      </c>
      <c r="N177" s="3">
        <f>1745.3+(249.6-578.3)+(-0.890103+(-0.127296--0.294933))+0-30--0.015299999999997</f>
        <v>1385.892834</v>
      </c>
      <c r="O177" s="3">
        <f>1974.6+(254.5-661.3)+(1.007046+(0.129795-0.337263))+0-29.1-0.014840999999997</f>
        <v>1539.4847370000002</v>
      </c>
      <c r="P177" s="3">
        <f>2107.7+(252-692.8)+(2.149854+(0.25704-0.706656))+0-29.1-0.0296820000000046</f>
        <v>1639.4705559999998</v>
      </c>
      <c r="Q177" s="3">
        <f>2301.1+(256-811.2)+(-1.173561+(-0.13056--0.413712))+0-29.7--0.015146999999997</f>
        <v>1715.3247379999998</v>
      </c>
      <c r="R177" s="3">
        <f>2471.2+(251.6-817.1)+(0+(0-0))+0-27-0</f>
        <v>1878.6999999999998</v>
      </c>
      <c r="S177" s="3">
        <f>2471.1+(244.2-848.4)+(-2.520522+(-0.249084--0.865368))+0-27--0.0275400000000043</f>
        <v>1838.0233019999998</v>
      </c>
      <c r="T177" s="3">
        <f>2459.1+(242.2-866.8)+(0+(0-0))+0-29-0</f>
        <v>1805.5</v>
      </c>
      <c r="U177" s="3">
        <f>2440+(250.2-852)+(0+(0-0))+0-28-0</f>
        <v>1810.2</v>
      </c>
      <c r="V177" s="3">
        <f>2420.2+(249.6-836.9)+(-6.17151+(-0.63648--2.134095))+0-31--0.0790499999999955</f>
        <v>1797.305155</v>
      </c>
      <c r="W177" s="3">
        <f>2384.5+(253-825.3)+(-7.29657+(-0.77418--2.525418))+0-30--0.0918000000000035</f>
        <v>1776.746468</v>
      </c>
      <c r="X177" s="3">
        <f>2114.4+(253.9-591.2)+(-3.235032+(-0.388467--0.904536))+0-29--0.0443700000000017</f>
        <v>1745.425407</v>
      </c>
      <c r="Y177" s="3">
        <f>2290.5+(243-684.1)+(-2.33631+(-0.24786--0.697782))+0-30--0.0306000000000048</f>
        <v>1817.5442120000002</v>
      </c>
      <c r="Z177" s="3">
        <f>2433.9+(270.1-545.1)+(-3.723867+(-0.413253--0.834003))+0-28--0.0428400000000016</f>
        <v>2127.6397230000002</v>
      </c>
      <c r="AA177" s="3">
        <f>2440.7+(274.9-604.9)+(-3.734271+(-0.420597--0.925497))+0-28--0.0428400000000016</f>
        <v>2079.513469</v>
      </c>
      <c r="AB177" s="3">
        <f>2418.4+(274.1-698.6)+(-4.933536+(-0.559164--1.425144))+0-29--0.0591599999999987</f>
        <v>1960.8916040000001</v>
      </c>
      <c r="AC177" s="3">
        <f>2420+(264.8-842.8)+(-2.4684+(-0.270096--0.859656))+0-24--0.0244800000000038</f>
        <v>1816.14564</v>
      </c>
      <c r="AD177">
        <f t="shared" si="2"/>
        <v>39336.204835000004</v>
      </c>
      <c r="AE177" s="3">
        <f>2442.4+(270-539.8)+(0+(0-0))+0-30-0</f>
        <v>2142.6000000000004</v>
      </c>
    </row>
    <row r="178" spans="1:31" s="2" customFormat="1" x14ac:dyDescent="0.25">
      <c r="A178">
        <v>89</v>
      </c>
      <c r="B178">
        <v>6</v>
      </c>
      <c r="C178">
        <v>23</v>
      </c>
      <c r="D178">
        <v>4</v>
      </c>
      <c r="E178">
        <v>1</v>
      </c>
      <c r="F178" s="3">
        <f>2237.9+(264-861.2)+(-3.423987+(-0.40392--1.317636))+0-28--0.0428400000000016</f>
        <v>1610.232569</v>
      </c>
      <c r="G178" s="3">
        <f>2104.7+(255.5-884.3)+(-3.220191+(-0.390915--1.352979))+0-29--0.0443700000000017</f>
        <v>1444.6862429999999</v>
      </c>
      <c r="H178" s="3">
        <f>1961.2+(289.7-804.9)+(-1.000212+(-0.147747--0.410499))+0-29--0.0147899999999971</f>
        <v>1416.2773299999999</v>
      </c>
      <c r="I178" s="3">
        <f>1834.4+(249.6-732.7)+(-2.806632+(-0.381888--1.121031))+0-29--0.0443700000000017</f>
        <v>1320.2768810000002</v>
      </c>
      <c r="J178" s="3">
        <f>1768.2+(261.7-693)+(-4.50891+(-0.667335--1.76715))+0-28--0.0713999999999959</f>
        <v>1305.5623050000002</v>
      </c>
      <c r="K178" s="3">
        <f>1760.7+(258.1-681.1)+(-0.897957+(-0.131631--0.347361))+0-30--0.015299999999997</f>
        <v>1307.0330730000001</v>
      </c>
      <c r="L178" s="3">
        <f>1726.5+(261.9-604.4)+(-3.52206+(-0.534276--1.232976))+0-29--0.0591599999999987</f>
        <v>1352.2357999999999</v>
      </c>
      <c r="M178" s="3">
        <f>1786+(249.5-629.6)+(0+(0-0))+0-31-0</f>
        <v>1374.9</v>
      </c>
      <c r="N178" s="3">
        <f>1948.5+(246.4-606.9)+(-1.98747+(-0.251328--0.619038))+0-31--0.0316200000000049</f>
        <v>1555.4118599999999</v>
      </c>
      <c r="O178" s="3">
        <f>2180.2+(238.3-698)+(-3.335706+(-0.364599--1.06794))+0-30--0.0459000000000017</f>
        <v>1687.9135349999999</v>
      </c>
      <c r="P178" s="3">
        <f>2313.7+(231.2-746.8)+(-1.179987+(-0.117912--0.380868))+0-30--0.015299999999997</f>
        <v>1767.198269</v>
      </c>
      <c r="Q178" s="3">
        <f>2419.7+(252.7-808.7)+(-2.468094+(-0.257754--0.824874))+0-28--0.0285600000000045</f>
        <v>1833.8275859999999</v>
      </c>
      <c r="R178" s="3">
        <f>2476.7+(260.2-772.4)+(-6.315585+(-0.66351--1.96962))+0-28--0.0713999999999959</f>
        <v>1931.5619249999997</v>
      </c>
      <c r="S178" s="3">
        <f>2384.1+(256.6-799.6)+(-4.863564+(-0.523464--1.631184))+0-28--0.0571199999999988</f>
        <v>1809.4012759999998</v>
      </c>
      <c r="T178" s="3">
        <f>2399.3+(248.9-862)+(-1.223643+(-0.126939--0.43962))+0-28--0.0142799999999972</f>
        <v>1757.3033180000004</v>
      </c>
      <c r="U178" s="3">
        <f>2405.6+(245.2-889.9)+(-4.907424+(-0.500208--1.815396))+0-29--0.0591599999999987</f>
        <v>1728.3669239999999</v>
      </c>
      <c r="V178" s="3">
        <f>2410.5+(244.9-893.2)+(-2.45871+(-0.249798--0.911064))+0-29--0.0295800000000046</f>
        <v>1731.4321359999997</v>
      </c>
      <c r="W178" s="3">
        <f>2459.8+(285.8-955.5)+(-2.508996+(-0.291516--0.97461))+0-30--0.0306000000000048</f>
        <v>1758.3046980000001</v>
      </c>
      <c r="X178" s="3">
        <f>2260+(246.3-774.2)+(-2.3052+(-0.251226--0.789684))+0-31--0.0316200000000049</f>
        <v>1699.3648779999999</v>
      </c>
      <c r="Y178" s="3">
        <f>2379.6+(242.9-770.8)+(-3.640788+(-0.371637--1.179324))+0-31--0.0474300000000018</f>
        <v>1817.914329</v>
      </c>
      <c r="Z178" s="3">
        <f>2525.5+(263.2-661.9)+(-3.864015+(-0.402696--1.012707))+0-31--0.0474300000000018</f>
        <v>2092.5934260000004</v>
      </c>
      <c r="AA178" s="3">
        <f>2558.8+(256.7-724.8)+(-6.52494+(-0.654585--1.84824))+0-31--0.0790499999999955</f>
        <v>2054.4477649999999</v>
      </c>
      <c r="AB178" s="3">
        <f>2449.8+(269.1-725.6)+(-2.498796+(-0.274482--0.740112))+0-30--0.0306000000000048</f>
        <v>1961.2974340000003</v>
      </c>
      <c r="AC178" s="3">
        <f>2314.5+(263.4-757.7)+(-2.36079+(-0.268668--0.772854))+0-24--0.0244800000000038</f>
        <v>1794.3678759999998</v>
      </c>
      <c r="AD178">
        <f t="shared" si="2"/>
        <v>40111.911435999995</v>
      </c>
      <c r="AE178" s="3">
        <f>2537.2+(263-635.4)+(0+(0-0))+0-31-0</f>
        <v>2133.7999999999997</v>
      </c>
    </row>
    <row r="179" spans="1:31" s="2" customFormat="1" x14ac:dyDescent="0.25">
      <c r="A179">
        <v>89</v>
      </c>
      <c r="B179">
        <v>6</v>
      </c>
      <c r="C179">
        <v>24</v>
      </c>
      <c r="D179">
        <v>5</v>
      </c>
      <c r="E179">
        <v>1</v>
      </c>
      <c r="F179" s="3">
        <f>2305.8+(265-954)+(-2.351916+(-0.2703--0.97308))+0-28--0.0285600000000045</f>
        <v>1587.1794240000002</v>
      </c>
      <c r="G179" s="3">
        <f>2145.9+(258.5-947.9)+(-1.094409+(-0.131835--0.483429))+0-28--0.0142799999999972</f>
        <v>1427.771465</v>
      </c>
      <c r="H179" s="3">
        <f>1905.6+(266.4-788.4)+(2.915568+(0.407592-1.206252))+0-28-0.0428400000000016</f>
        <v>1357.6740679999998</v>
      </c>
      <c r="I179" s="3">
        <f>1914.8+(268.1-842.6)+(0+(0-0))+0-21-0</f>
        <v>1319.3</v>
      </c>
      <c r="J179" s="3">
        <f>1916.4+(267-877.2)+(-1.954728+(-0.27234--0.894744))+0-7--0.00714000000000112</f>
        <v>1297.874816</v>
      </c>
      <c r="K179" s="3">
        <f>2007.5+(267.2-962.7)+(0+(0-0))+0-6-0</f>
        <v>1306</v>
      </c>
      <c r="L179" s="3">
        <f>1872.9+(260.1-800.8)+(-2.865537+(-0.397953--1.225224))+0-6--0.00918000000000035</f>
        <v>1324.1709140000003</v>
      </c>
      <c r="M179" s="3">
        <f>1812.1+(252.4-683.9)+(-1.848342+(-0.257448--0.697578))+0-7.8--0.00795600000000124</f>
        <v>1371.3997439999998</v>
      </c>
      <c r="N179" s="3">
        <f>1913.8+(252.9-613.5)+(0.976038+(0.128979-0.312885))+0-8.4-0.00428399999999915</f>
        <v>1545.5878479999997</v>
      </c>
      <c r="O179" s="3">
        <f>2145.8+(252.7-696.9)+(-1.094358+(-0.128877--0.355419))+0-11.7--0.00596699999999881</f>
        <v>1689.0381510000002</v>
      </c>
      <c r="P179" s="3">
        <f>2302.2+(248.5-741.6)+(0+(0-0))+0-28-0</f>
        <v>1781.1</v>
      </c>
      <c r="Q179" s="3">
        <f>2311.3+(249.5-715.3)+(1.178763+(0.127245-0.364803))+0-28.5-0.0145349999999971</f>
        <v>1817.9266700000003</v>
      </c>
      <c r="R179" s="3">
        <f>2278.8+(254-675.7)+(-1.162188+(-0.12954--0.344607))+0-26.4--0.0134639999999973</f>
        <v>1829.766343</v>
      </c>
      <c r="S179" s="3">
        <f>2289.7+(253.6-698.6)+(-1.167747+(-0.129336--0.356286))+0-27.6--0.0140759999999972</f>
        <v>1816.1732789999999</v>
      </c>
      <c r="T179" s="3">
        <f>2280.6+(248-728.4)+(-3.489318+(-0.37944--1.114452))+0-29.4--0.0449820000000017</f>
        <v>1768.0906759999996</v>
      </c>
      <c r="U179" s="3">
        <f>2265.3+(251-712.5)+(2.310606+(0.25602-0.72675))+0-29.4-0.0299880000000047</f>
        <v>1776.2098880000001</v>
      </c>
      <c r="V179" s="3">
        <f>2265.2+(250.4-708.4)+(0+(0-0))+0-30.3-0</f>
        <v>1776.8999999999999</v>
      </c>
      <c r="W179" s="3">
        <f>2229.8+(246.6-735.8)+(-4.548792+(-0.503064--1.501032))+0-30.6--0.0624239999999987</f>
        <v>1706.5116000000005</v>
      </c>
      <c r="X179" s="3">
        <f>2105.5+(245-616.8)+(1.073805+(0.12495-0.314568))+0-27-0.0137699999999973</f>
        <v>1707.5704170000001</v>
      </c>
      <c r="Y179" s="3">
        <f>2171.3+(243.2-583)+(-1.107363+(-0.124032--0.29733))+0-27.3--0.0139229999999972</f>
        <v>1803.2798580000003</v>
      </c>
      <c r="Z179" s="3">
        <f>2393.9+(250-550.1)+(-6.104445+(-0.6375--1.402755))+0-27.9--0.0711449999999959</f>
        <v>2060.6319549999998</v>
      </c>
      <c r="AA179" s="3">
        <f>2392.5+(269.3-620.9)+(-6.100875+(-0.686715--1.583295))+0-27.3--0.069614999999996</f>
        <v>2008.46532</v>
      </c>
      <c r="AB179" s="3">
        <f>2325.1+(263.3-653)+(-4.743204+(-0.537132--1.33212))+0-27--0.0550799999999988</f>
        <v>1904.506864</v>
      </c>
      <c r="AC179" s="3">
        <f>2314.9+(267.4-812.5)+(-1.180599+(-0.136374--0.414375))+0-27.9--0.0142289999999972</f>
        <v>1741.0116310000001</v>
      </c>
      <c r="AD179">
        <f t="shared" si="2"/>
        <v>39724.140931000009</v>
      </c>
      <c r="AE179" s="3">
        <f>2484.8+(250.1-599.8)+(0+(0-0))+0-27.6-0</f>
        <v>2107.5000000000005</v>
      </c>
    </row>
    <row r="180" spans="1:31" s="2" customFormat="1" x14ac:dyDescent="0.25">
      <c r="A180">
        <v>89</v>
      </c>
      <c r="B180">
        <v>6</v>
      </c>
      <c r="C180">
        <v>25</v>
      </c>
      <c r="D180">
        <v>6</v>
      </c>
      <c r="E180">
        <v>1</v>
      </c>
      <c r="F180" s="3">
        <f>2214.7+(247.6-890)+(-5.647485+(-0.63138--2.2695))+0-28--0.0713999999999959</f>
        <v>1540.3620349999999</v>
      </c>
      <c r="G180" s="3">
        <f>2001.5+(259.3-846.5)+(-4.08306+(-0.528972--1.72686))+0-28--0.0571199999999988</f>
        <v>1383.4719479999999</v>
      </c>
      <c r="H180" s="3">
        <f>1830.9+(264-764.3)+(0.933759+(0.13464-0.389793))+0-28-0.0142799999999972</f>
        <v>1303.264326</v>
      </c>
      <c r="I180" s="3">
        <f>1827.3+(259-793.7)+(-5.591538+(-0.79254--2.428722))+0-28--0.0856800000000032</f>
        <v>1260.7303239999999</v>
      </c>
      <c r="J180" s="3">
        <f>1829.2+(263.3-815.4)+(0.932892+(0.134283-0.415854))+0-27-0.0137699999999973</f>
        <v>1250.7375510000002</v>
      </c>
      <c r="K180" s="3">
        <f>1830.8+(263.1-800)+(0+(0-0))+0-28.5-0</f>
        <v>1265.4000000000001</v>
      </c>
      <c r="L180" s="3">
        <f>1830.9+(250.4-757.9)+(-4.668795+(-0.63852--1.932645))+0-28--0.0713999999999959</f>
        <v>1292.0967300000002</v>
      </c>
      <c r="M180" s="3">
        <f>1835.6+(236.7-722.9)+(0.936156+(0.120717-0.368679))+0-30-0.015299999999997</f>
        <v>1320.0728939999999</v>
      </c>
      <c r="N180" s="3">
        <f>2155.1+(244.3-883.6)+(-2.198202+(-0.249186--0.901272))+0-30--0.0306000000000048</f>
        <v>1484.284484</v>
      </c>
      <c r="O180" s="3">
        <f>2250.8+(244-840.7)+(-1.147908+(-0.12444--0.428757))+0-30--0.015299999999997</f>
        <v>1623.2717090000001</v>
      </c>
      <c r="P180" s="3">
        <f>2362.4+(224.1-846.6)+(-3.614472+(-0.342873--1.295298))+0-28--0.0428400000000016</f>
        <v>1709.2807930000001</v>
      </c>
      <c r="Q180" s="3">
        <f>2413+(218.8-849.3)+(-6.15315+(-0.55794--2.165715))+0-28--0.0713999999999959</f>
        <v>1750.0260250000001</v>
      </c>
      <c r="R180" s="3">
        <f>2428.6+(221.7-851.4)+(-13.624446+(-1.243737--4.776354))+0-28.2--0.158201999999999</f>
        <v>1760.7663729999999</v>
      </c>
      <c r="S180" s="3">
        <f>2273.5+(227.6-741.4)+(-2.31897+(-0.232152--0.756228))+0-28.2--0.0287640000000045</f>
        <v>1729.7338699999998</v>
      </c>
      <c r="T180" s="3">
        <f>2267+(253.1-810.5)+(-2.31234+(-0.258162--0.82671))+0-30.3--0.0309060000000048</f>
        <v>1677.5871139999999</v>
      </c>
      <c r="U180" s="3">
        <f>2149.8+(251.4-750.8)+(-1.096398+(-0.128214--0.382908))+0-28.5--0.0145349999999971</f>
        <v>1621.0728310000002</v>
      </c>
      <c r="V180" s="3">
        <f>2040.8+(253.1-695.7)+(-2.081616+(-0.258162--0.709614))+0-30.6--0.0312120000000049</f>
        <v>1566.0010480000001</v>
      </c>
      <c r="W180" s="3">
        <f>2016.8+(254.8-617.5)+(-5.14284+(-0.64974--1.574625))+0-29.1--0.0742049999999958</f>
        <v>1620.8562499999998</v>
      </c>
      <c r="X180" s="3">
        <f>2021.7+(252.3-617.9)+(-1.031067+(-0.128673--0.315129))+0-29.1--0.014840999999997</f>
        <v>1626.1702300000002</v>
      </c>
      <c r="Y180" s="3">
        <f>2264.1+(251-715.2)+(0+(0-0))+0-30-0</f>
        <v>1769.8999999999999</v>
      </c>
      <c r="Z180" s="3">
        <f>2379.1+(272.7-580.2)+(-1.213341+(-0.139077--0.295902))+0-29.7--0.015146999999997</f>
        <v>2040.8586309999998</v>
      </c>
      <c r="AA180" s="3">
        <f>2329.5+(278.3-587.9)+(-3.564135+(-0.425799--0.899487))+0-27.6--0.0422280000000016</f>
        <v>1989.2517810000002</v>
      </c>
      <c r="AB180" s="3">
        <f>2159.2+(278.5-545.6)+(-4.404768+(-0.56814--1.113024))+0-26.1--0.0532439999999989</f>
        <v>1862.19336</v>
      </c>
      <c r="AC180" s="3">
        <f>2025.9+(256.2-568.7)+(-3.099627+(-0.391986--0.870111))+0-27.9--0.0426870000000016</f>
        <v>1682.9211850000002</v>
      </c>
      <c r="AD180">
        <f t="shared" si="2"/>
        <v>38130.311492000001</v>
      </c>
      <c r="AE180" s="3">
        <f>2497.5+(266.6-596.4)+(0+(0-0))+0-30-0</f>
        <v>2137.6999999999998</v>
      </c>
    </row>
    <row r="181" spans="1:31" s="2" customFormat="1" x14ac:dyDescent="0.25">
      <c r="A181">
        <v>89</v>
      </c>
      <c r="B181">
        <v>6</v>
      </c>
      <c r="C181">
        <v>26</v>
      </c>
      <c r="D181">
        <v>7</v>
      </c>
      <c r="E181">
        <v>1</v>
      </c>
      <c r="F181" s="3">
        <f>1820.3+(233.6-534.7)+(-3.713412+(-0.476544--1.090788))+0-27.6--0.0563039999999988</f>
        <v>1488.5571359999999</v>
      </c>
      <c r="G181" s="3">
        <f>1697.1+(247.4-560.5)+(-4.327605+(-0.63087--1.429275))+0-28.2--0.0719099999999959</f>
        <v>1352.3427099999999</v>
      </c>
      <c r="H181" s="3">
        <f>1605.9+(258.4-555.5)+(0.819009+(0.131784-0.283305))+0-27.9-0.0142289999999972</f>
        <v>1281.5532590000003</v>
      </c>
      <c r="I181" s="3">
        <f>1475.9+(260.8-478.5)+(0.752709+(0.133008-0.244035))+0-27.9-0.0142289999999972</f>
        <v>1230.927453</v>
      </c>
      <c r="J181" s="3">
        <f>1475.5+(262.2-491.9)+(0+(0-0))+0-27.6-0</f>
        <v>1218.2</v>
      </c>
      <c r="K181" s="3">
        <f>1476.3+(259.5-492.7)+(0.752913+(0.132345-0.251277))+0-28.8-0.0146879999999971</f>
        <v>1214.9192929999999</v>
      </c>
      <c r="L181" s="3">
        <f>1481.1+(246.7-476.8)+(-3.776805+(-0.629085--1.21584))+0-27.9--0.0711449999999959</f>
        <v>1219.9810949999999</v>
      </c>
      <c r="M181" s="3">
        <f>1480.1+(227.8-504.8)+(-2.264553+(-0.348534--0.772344))+0-30.3--0.0463590000000018</f>
        <v>1171.0056159999999</v>
      </c>
      <c r="N181" s="3">
        <f>1476.3+(247.2-434.4)+(0+(0-0))+0-30-0</f>
        <v>1259.0999999999999</v>
      </c>
      <c r="O181" s="3">
        <f>1477.9+(251.7-355.6)+(-0.753729+(-0.128367--0.181356))+0-30.3--0.0154529999999969</f>
        <v>1343.014713</v>
      </c>
      <c r="P181" s="3">
        <f>1664.8+(253.3-443)+(-1.698096+(-0.258366--0.45186))+0-30.3--0.0309060000000048</f>
        <v>1443.3263039999999</v>
      </c>
      <c r="Q181" s="3">
        <f>1697.3+(248.2-516.6)+(-2.596869+(-0.379746--0.790398))+0-29.4--0.0449820000000017</f>
        <v>1397.3587649999997</v>
      </c>
      <c r="R181" s="3">
        <f>1919+(243.3-629)+(0+(0-0))+0-27-0</f>
        <v>1506.3</v>
      </c>
      <c r="S181" s="3">
        <f>1911.5+(247.3-712.2)+(-1.94973+(-0.252246--0.726444))+0-27.6--0.0281520000000044</f>
        <v>1417.5526200000002</v>
      </c>
      <c r="T181" s="3">
        <f>1865.9+(250.3-767.7)+(-3.806436+(-0.510612--1.566108))+0-26.1--0.0532439999999989</f>
        <v>1319.7023040000001</v>
      </c>
      <c r="U181" s="3">
        <f>1822.1+(249.2-669.7)+(-1.858542+(-0.254184--0.683094))+0-28.5--0.0290700000000045</f>
        <v>1371.6994379999999</v>
      </c>
      <c r="V181" s="3">
        <f>1832.6+(249.3-643.6)+(-1.869252+(-0.254286--0.656472))+0-28.8--0.0293760000000046</f>
        <v>1408.06231</v>
      </c>
      <c r="W181" s="3">
        <f>1733.4+(248.7-547.6)+(-0.884034+(-0.126837--0.279276))+0-28.5--0.0145349999999971</f>
        <v>1405.2829400000001</v>
      </c>
      <c r="X181" s="3">
        <f>1623.7+(263.4-427.3)+(-2.484261+(-0.403002--0.653769))+0-29.1--0.0445230000000017</f>
        <v>1428.511029</v>
      </c>
      <c r="Y181" s="3">
        <f>1690.9+(248.2-324.7)+(-2.587077+(-0.379746--0.496791))+0-28.5--0.0436050000000016</f>
        <v>1583.4735730000002</v>
      </c>
      <c r="Z181" s="3">
        <f>1928.8+(307.1-319.8)+(0+(0-0))+0-28.5-0</f>
        <v>1887.6</v>
      </c>
      <c r="AA181" s="3">
        <f>1960+(281.5-356.3)+(-6.9972+(-1.004955--1.271991))+0-27.3--0.0974610000000004</f>
        <v>1851.2672970000001</v>
      </c>
      <c r="AB181" s="3">
        <f>1955+(262.1-419.1)+(-3.9882+(-0.534684--0.854964))+0-27--0.0550799999999988</f>
        <v>1767.38716</v>
      </c>
      <c r="AC181" s="3">
        <f>1644.3+(323.1-330.5)+(-1.677186+(-0.329562--0.33711))+0-27.3--0.0278460000000044</f>
        <v>1607.958208</v>
      </c>
      <c r="AD181">
        <f t="shared" si="2"/>
        <v>34175.083222999994</v>
      </c>
      <c r="AE181" s="3">
        <f>1968+(287.3-338.5)+(0+(0-0))+0-28-0</f>
        <v>1888.8</v>
      </c>
    </row>
    <row r="182" spans="1:31" s="2" customFormat="1" x14ac:dyDescent="0.25">
      <c r="A182">
        <v>89</v>
      </c>
      <c r="B182">
        <v>6</v>
      </c>
      <c r="C182">
        <v>27</v>
      </c>
      <c r="D182">
        <v>1</v>
      </c>
      <c r="E182">
        <v>1</v>
      </c>
      <c r="F182" s="3">
        <f>1425.1+(290.9-416)+(-2.180403+(-0.445077--0.63648))+0-28--0.0428400000000016</f>
        <v>1270.05384</v>
      </c>
      <c r="G182" s="3">
        <f>1428.7+(277.8-413.6)+(-2.914548+(-0.566712--0.843744))+0-28--0.0571199999999988</f>
        <v>1262.319604</v>
      </c>
      <c r="H182" s="3">
        <f>1326.5+(280-381.3)+(-2.70606+(-0.5712--0.777852))+0-28--0.0571199999999988</f>
        <v>1194.7577120000001</v>
      </c>
      <c r="I182" s="3">
        <f>1287.5+(284.1-377.3)+(-0.656625+(-0.144891--0.192423))+0-28--0.0142799999999972</f>
        <v>1165.705187</v>
      </c>
      <c r="J182" s="3">
        <f>1285.8+(280.4-377.2)+(0.655758+(0.143004-0.192372))+0-28-0.0142799999999972</f>
        <v>1161.5921099999998</v>
      </c>
      <c r="K182" s="3">
        <f>1284.5+(274-364.6)+(0.655095+(0.13974-0.185946))+0-28-0.0142799999999972</f>
        <v>1166.4946090000001</v>
      </c>
      <c r="L182" s="3">
        <f>1321.8+(274.6-318.4)+(-3.37059+(-0.70023--0.81192))+0-28--0.0713999999999959</f>
        <v>1246.8125</v>
      </c>
      <c r="M182" s="3">
        <f>1332.6+(263.7-270.9)+(-2.718504+(-0.537948--0.552636))+0-28--0.0571199999999988</f>
        <v>1294.7533039999998</v>
      </c>
      <c r="N182" s="3">
        <f>1676.8+(235.7-412.8)+(0+(0-0))+0-28-0</f>
        <v>1471.6999999999998</v>
      </c>
      <c r="O182" s="3">
        <f>1966.8+(227.8-527.9)+(0+(0-0))+0-28-0</f>
        <v>1638.7</v>
      </c>
      <c r="P182" s="3">
        <f>2066.9+(220.6-510.6)+(-1.054119+(-0.112506--0.260406))+0-28--0.0142799999999972</f>
        <v>1748.0080610000002</v>
      </c>
      <c r="Q182" s="3">
        <f>2235.4+(251.5-652.7)+(-4.560216+(-0.51306--1.331508))+0-28--0.0571199999999988</f>
        <v>1802.5153519999999</v>
      </c>
      <c r="R182" s="3">
        <f>2328+(247.9-723.6)+(-2.37456+(-0.252858--0.738072))+0-27--0.0275400000000043</f>
        <v>1823.4381940000001</v>
      </c>
      <c r="S182" s="3">
        <f>2333.9+(227.8-737.5)+(-7.141734+(-0.697068--2.25675))+0-28--0.0856800000000032</f>
        <v>1790.703628</v>
      </c>
      <c r="T182" s="3">
        <f>2344.4+(216.3-805.2)+(-2.391288+(-0.220626--0.821304))+0-29--0.0295800000000046</f>
        <v>1724.7389699999999</v>
      </c>
      <c r="U182" s="3">
        <f>2368.5+(214-810.6)+(-3.623805+(-0.32742--1.240218))+0-29--0.0443700000000017</f>
        <v>1740.2333630000001</v>
      </c>
      <c r="V182" s="3">
        <f>2368.5+(220.4-804.3)+(-2.41587+(-0.224808--0.820386))+0-29--0.0295800000000046</f>
        <v>1753.8092879999997</v>
      </c>
      <c r="W182" s="3">
        <f>2274.6+(213-710.5)+(-4.640184+(-0.43452--1.44942))+0-29--0.0591599999999987</f>
        <v>1744.533876</v>
      </c>
      <c r="X182" s="3">
        <f>2100.3+(207-557)+(-3.213459+(-0.31671--0.85221))+0-30--0.0459000000000017</f>
        <v>1717.6679410000002</v>
      </c>
      <c r="Y182" s="3">
        <f>2334.7+(237.9-646.7)+(-1.190697+(-0.121329--0.329817))+0-29--0.0147899999999971</f>
        <v>1895.9325809999996</v>
      </c>
      <c r="Z182" s="3">
        <f>2392.5+(254.5-545)+(-4.8807+(-0.51918--1.1118))+0-29--0.0591599999999987</f>
        <v>2068.77108</v>
      </c>
      <c r="AA182" s="3">
        <f>2271.2+(255.9-515.8)+(1.158312+(0.130509-0.263058))+0-28-0.0142799999999972</f>
        <v>1984.3114829999997</v>
      </c>
      <c r="AB182" s="3">
        <f>2206.6+(252.8-579)+(-4.501464+(-0.515712--1.18116))+0-27--0.0550799999999988</f>
        <v>1849.619064</v>
      </c>
      <c r="AC182" s="3">
        <f>2198.3+(250-723)+(-4.484532+(-0.51--1.47492))+0-27--0.0550799999999988</f>
        <v>1694.8354680000002</v>
      </c>
      <c r="AD182">
        <f t="shared" si="2"/>
        <v>38212.007214999991</v>
      </c>
      <c r="AE182" s="3">
        <f>2389+(259.6-544.1)+(0+(0-0))+0-29.1-0</f>
        <v>2075.4</v>
      </c>
    </row>
    <row r="183" spans="1:31" s="2" customFormat="1" x14ac:dyDescent="0.25">
      <c r="A183">
        <v>89</v>
      </c>
      <c r="B183">
        <v>6</v>
      </c>
      <c r="C183">
        <v>28</v>
      </c>
      <c r="D183">
        <v>2</v>
      </c>
      <c r="E183">
        <v>1</v>
      </c>
      <c r="F183" s="3">
        <f>1957.1+(203-638.5)+(0+(0-0))+0-27.6-0</f>
        <v>1494</v>
      </c>
      <c r="G183" s="3">
        <f>1974.8+(227.6-823.5)+(-1.007148+(-0.116076--0.419985))+0-27--0.0137699999999973</f>
        <v>1351.2105310000002</v>
      </c>
      <c r="H183" s="3">
        <f>1791.7+(246-731.5)+(-0.913767+(-0.12546--0.373065))+0-27.6--0.0140759999999972</f>
        <v>1277.9479140000001</v>
      </c>
      <c r="I183" s="3">
        <f>1689.2+(249.8-672.9)+(-1.722984+(-0.254796--0.686358))+0-28.2--0.0287640000000045</f>
        <v>1236.637342</v>
      </c>
      <c r="J183" s="3">
        <f>1691.4+(254.5-682.8)+(-0.862614+(-0.129795--0.348228))+0-27.2--0.0138719999999972</f>
        <v>1235.2696910000002</v>
      </c>
      <c r="K183" s="3">
        <f>1690.1+(252.8-678.8)+(-1.723902+(-0.257856--0.692376))+0-27.9--0.0284580000000044</f>
        <v>1234.9390759999999</v>
      </c>
      <c r="L183" s="3">
        <f>1640.9+(246.9-583.6)+(-4.184295+(-0.629595--1.48818))+0-27.3--0.069614999999996</f>
        <v>1273.6439049999999</v>
      </c>
      <c r="M183" s="3">
        <f>1686.8+(235-576.3)+(0+(0-0))+0-27.9-0</f>
        <v>1317.6</v>
      </c>
      <c r="N183" s="3">
        <f>2122.4+(237.7-832.3)+(-2.164848+(-0.242454--0.848946))+0-29.7--0.0302940000000047</f>
        <v>1496.571938</v>
      </c>
      <c r="O183" s="3">
        <f>2247.9+(203.2-795.8)+(-5.732145+(-0.51816--2.02929))+0-30--0.0764999999999956</f>
        <v>1621.155485</v>
      </c>
      <c r="P183" s="3">
        <f>2287.3+(214.8-756.1)+(0+(0-0))+0-30.9-0</f>
        <v>1715.1000000000001</v>
      </c>
      <c r="Q183" s="3">
        <f>2293+(214.3-696.7)+(-3.50829+(-0.327879--1.065951))+0-30.6--0.0468180000000018</f>
        <v>1777.2765999999999</v>
      </c>
      <c r="R183" s="3">
        <f>2302.6+(216.2-707.9)+(-3.522978+(-0.330786--1.083087))+0-27--0.0413100000000016</f>
        <v>1781.170633</v>
      </c>
      <c r="S183" s="3">
        <f>2275.4+(220.6-703.6)+(-4.641816+(-0.450024--1.435344))+0-28.2--0.0575279999999988</f>
        <v>1760.601032</v>
      </c>
      <c r="T183" s="3">
        <f>2274.4+(218.5-753.1)+(1.159944+(0.111435-0.384081))+0-30.3-0.0154529999999969</f>
        <v>1710.3718450000003</v>
      </c>
      <c r="U183" s="3">
        <f>2268.8+(221.7-749.1)+(-2.314176+(-0.226134--0.764082))+0-28.8--0.0293760000000046</f>
        <v>1710.8531480000001</v>
      </c>
      <c r="V183" s="3">
        <f>2267+(221.5-748.1)+(-5.78085+(-0.564825--1.907655))+0-29.4--0.0749699999999957</f>
        <v>1706.6369499999998</v>
      </c>
      <c r="W183" s="3">
        <f>2142.3+(261.1-645.8)+(-4.370292+(-0.532644--1.317432))+0-29.7--0.0605879999999987</f>
        <v>1724.3750840000005</v>
      </c>
      <c r="X183" s="3">
        <f>2013+(243.5-542.6)+(1.02663+(0.124185-0.276726))+0-27.6-0.0140759999999972</f>
        <v>1687.1600130000002</v>
      </c>
      <c r="Y183" s="3">
        <f>2196.1+(225.5-559.1)+(-1.120011+(-0.115005--0.285141))+0-27.3--0.0139229999999972</f>
        <v>1834.264048</v>
      </c>
      <c r="Z183" s="3">
        <f>2301.9+(253.5-472.3)+(-3.521907+(-0.387855--0.722619))+0-27.3--0.0417690000000016</f>
        <v>2052.6546259999996</v>
      </c>
      <c r="AA183" s="3">
        <f>2290.6+(248-515.2)+(-4.672824+(-0.50592--1.051008))+0-27.3--0.0556919999999988</f>
        <v>1992.0279559999999</v>
      </c>
      <c r="AB183" s="3">
        <f>2182.3+(254.2-541.4)+(-6.677838+(-0.777852--1.656684))+0-27.3--0.0835380000000032</f>
        <v>1862.0845320000003</v>
      </c>
      <c r="AC183" s="3">
        <f>2001.6+(252.3-540.8)+(-1.020816+(-0.128673--0.275808))+0-27.3--0.0139229999999972</f>
        <v>1684.9402419999999</v>
      </c>
      <c r="AD183">
        <f t="shared" si="2"/>
        <v>38538.492590999995</v>
      </c>
      <c r="AE183" s="3">
        <f>2405.9+(259.2-469.3)+(0+(0-0))+0-27-0</f>
        <v>2168.8000000000002</v>
      </c>
    </row>
    <row r="184" spans="1:31" s="2" customFormat="1" x14ac:dyDescent="0.25">
      <c r="A184">
        <v>89</v>
      </c>
      <c r="B184">
        <v>6</v>
      </c>
      <c r="C184">
        <v>29</v>
      </c>
      <c r="D184">
        <v>3</v>
      </c>
      <c r="E184">
        <v>1</v>
      </c>
      <c r="F184" s="3">
        <f>1860.7+(230.4-571.1)+(-3.795828+(-0.470016--1.165044))+0-28--0.0571199999999988</f>
        <v>1488.95632</v>
      </c>
      <c r="G184" s="3">
        <f>1846.3+(233.5-700.9)+(0+(0-0))+0-27-0</f>
        <v>1351.9</v>
      </c>
      <c r="H184" s="3">
        <f>1813.2+(250.3-766.5)+(-2.774196+(-0.382959--1.172745))+0-28--0.0428400000000016</f>
        <v>1267.05843</v>
      </c>
      <c r="I184" s="3">
        <f>1750.5+(259.6-730.5)+(-1.78551+(-0.264792--0.74511))+0-28--0.0285600000000045</f>
        <v>1250.3233679999998</v>
      </c>
      <c r="J184" s="3">
        <f>1700.7+(265.1-701.8)+(0.867357+(0.135201-0.357918))+0-27-0.0137699999999973</f>
        <v>1237.63087</v>
      </c>
      <c r="K184" s="3">
        <f>1700.2+(256.9-681.2)+(0+(0-0))+0-29-0</f>
        <v>1246.9000000000001</v>
      </c>
      <c r="L184" s="3">
        <f>1703.2+(253.8-634.6)+(-5.211792+(-0.776628--1.941876))+0-29--0.0887400000000034</f>
        <v>1289.442196</v>
      </c>
      <c r="M184" s="3">
        <f>1706.8+(242.6-588.2)+(0+(0-0))+0-30-0</f>
        <v>1331.1999999999998</v>
      </c>
      <c r="N184" s="3">
        <f>1804.2+(141.4-483.2)+(-0.920142+(-0.072114--0.246432))+0-30--0.015299999999997</f>
        <v>1431.669476</v>
      </c>
      <c r="O184" s="3">
        <f>1884.9+(220.1-421)+(-0.961299+(-0.112251--0.21471))+0-30--0.015299999999997</f>
        <v>1653.1564599999999</v>
      </c>
      <c r="P184" s="3">
        <f>2064+(248.1-551.1)+(0+(0-0))+0-31-0</f>
        <v>1730</v>
      </c>
      <c r="Q184" s="3">
        <f>2306.4+(259.1-746.7)+(-3.528792+(-0.396423--1.142451))+0-30--0.0459000000000017</f>
        <v>1786.0631360000002</v>
      </c>
      <c r="R184" s="3">
        <f>2411.7+(268.1-841.5)+(-1.229967+(-0.136731--0.429165))+0-27.9--0.0142289999999972</f>
        <v>1809.4766959999995</v>
      </c>
      <c r="S184" s="3">
        <f>2400.3+(265.5-872)+(-8.569071+(-0.947835--3.11304))+0-28.2--0.100674</f>
        <v>1759.2968080000001</v>
      </c>
      <c r="T184" s="3">
        <f>2393.3+(243.8-874.4)+(1.220583+(0.124338-0.445944))+0-30-0.015299999999997</f>
        <v>1733.5836770000003</v>
      </c>
      <c r="U184" s="3">
        <f>2380.8+(228.9-845.7)+(-4.856832+(-0.466956--1.725228))+0-29.7--0.0605879999999987</f>
        <v>1730.7620280000001</v>
      </c>
      <c r="V184" s="3">
        <f>2329.7+(228.6-798.1)+(-4.752588+(-0.466344--1.628124))+0-29.7--0.0605879999999987</f>
        <v>1726.9697799999999</v>
      </c>
      <c r="W184" s="3">
        <f>2264+(244.4-746.5)+(-5.7732+(-0.62322--1.903575))+0-29.4--0.0749699999999957</f>
        <v>1728.0821249999999</v>
      </c>
      <c r="X184" s="3">
        <f>2271.7+(232.7-784.4)+(-1.158567+(-0.118677--0.400044))+0-27.6--0.0140759999999972</f>
        <v>1691.5368759999999</v>
      </c>
      <c r="Y184" s="3">
        <f>2317.7+(219.2-657.8)+(1.182027+(0.111792-0.335478))+0-27.9-0.0142289999999972</f>
        <v>1852.144112</v>
      </c>
      <c r="Z184" s="3">
        <f>2342.7+(236.9-480.7)+(-4.779108+(-0.483276--0.980628))+0-28--0.0571199999999988</f>
        <v>2066.6753639999997</v>
      </c>
      <c r="AA184" s="3">
        <f>2371.5+(238.9-584.9)+(-7.25679+(-0.731034--1.789794))+5.2-28--0.0856800000000032</f>
        <v>1996.5876499999999</v>
      </c>
      <c r="AB184" s="3">
        <f>2306.7+(233.5-634.9)+(-4.705668+(-0.47634--1.295196))+0-27--0.0550799999999988</f>
        <v>1874.4682679999999</v>
      </c>
      <c r="AC184" s="3">
        <f>2105.4+(241.3-599.7)+(-4.295016+(-0.492252--1.223388))+0-28--0.0571199999999988</f>
        <v>1715.49324</v>
      </c>
      <c r="AD184">
        <f t="shared" si="2"/>
        <v>38749.376879999996</v>
      </c>
      <c r="AE184" s="3">
        <f>2383.6+(237.4-447.6)+(0+(0-0))+0-27.6-0</f>
        <v>2145.8000000000002</v>
      </c>
    </row>
    <row r="185" spans="1:31" s="2" customFormat="1" x14ac:dyDescent="0.25">
      <c r="A185">
        <v>89</v>
      </c>
      <c r="B185">
        <v>6</v>
      </c>
      <c r="C185">
        <v>30</v>
      </c>
      <c r="D185">
        <v>4</v>
      </c>
      <c r="E185">
        <v>1</v>
      </c>
      <c r="F185" s="3">
        <f>2058.1+(209.9-717)+(-3.148893+(-0.321147--1.09701))+0-28--0.0428400000000016</f>
        <v>1520.6698100000001</v>
      </c>
      <c r="G185" s="3">
        <f>1917+(233.1-747.2)+(-2.93301+(-0.356643--1.143216))+0-28--0.0428400000000016</f>
        <v>1372.7964030000001</v>
      </c>
      <c r="H185" s="3">
        <f>1841.6+(250.5-775)+(0+(0-0))+0-28-0</f>
        <v>1289.0999999999999</v>
      </c>
      <c r="I185" s="3">
        <f>1799.4+(254.6-774.6)+(-0.917694+(-0.129846--0.395046))+0-28--0.0142799999999972</f>
        <v>1250.7617860000003</v>
      </c>
      <c r="J185" s="3">
        <f>1800.3+(250.5-785.9)+(-0.918153+(-0.127755--0.400809))+0-15--0.00764999999999848</f>
        <v>1249.262551</v>
      </c>
      <c r="K185" s="3">
        <f>1793.7+(253.6-783)+(0.914787+(0.129336-0.39933))+0-17-0.00866999999999828</f>
        <v>1247.9361230000002</v>
      </c>
      <c r="L185" s="3">
        <f>1788.5+(251.6-751.6)+(-1.82427+(-0.256632--0.766632))+0-27--0.0275400000000043</f>
        <v>1260.21327</v>
      </c>
      <c r="M185" s="3">
        <f>1797.3+(245.6-708.8)+(-1.833246+(-0.250512--0.722976))+0-27--0.0275400000000043</f>
        <v>1305.766758</v>
      </c>
      <c r="N185" s="3">
        <f>1856.8+(206.7-580)+(0.946968+(0.105417-0.2958))+0-7-0.00356999999999929</f>
        <v>1477.253015</v>
      </c>
      <c r="O185" s="3">
        <f>2000.6+(225.8-579.4)+(-2.040612+(-0.230316--0.590988))+0-27--0.0275400000000043</f>
        <v>1618.3476000000001</v>
      </c>
      <c r="P185" s="3">
        <f>2065.4+(230.1-569.3)+(-1.053354+(-0.117351--0.290343))+0-30--0.015299999999997</f>
        <v>1695.3349380000002</v>
      </c>
      <c r="Q185" s="3">
        <f>2145.6+(224.9-593.5)+(0+(0-0))+0-30-0</f>
        <v>1747</v>
      </c>
      <c r="R185" s="3">
        <f>2105.9+(225.1-537.1)+(1.074009+(0.114801-0.273921))+0-28.5-0.0145349999999971</f>
        <v>1766.300354</v>
      </c>
      <c r="S185" s="3">
        <f>2075.3+(223.5-521)+(-5.292015+(-0.569925--1.32855))+0-30--0.0764999999999956</f>
        <v>1743.34311</v>
      </c>
      <c r="T185" s="3">
        <f>2074.9+(234.7-552.6)+(2.116398+(0.239394-0.563652))+0-31-0.0316200000000049</f>
        <v>1727.76052</v>
      </c>
      <c r="U185" s="3">
        <f>2076.5+(222.2-542.6)+(-2.11803+(-0.226644--0.553452))+0-31--0.0316200000000049</f>
        <v>1723.3403979999998</v>
      </c>
      <c r="V185" s="3">
        <f>2104.8+(219.6-563.6)+(-4.293792+(-0.447984--1.149744))+0-32--0.0652799999999986</f>
        <v>1725.2732480000002</v>
      </c>
      <c r="W185" s="3">
        <f>2064.7+(203.1-541.3)+(-2.105994+(-0.207162--0.552126))+0-30--0.0306000000000048</f>
        <v>1694.7695700000002</v>
      </c>
      <c r="X185" s="3">
        <f>2031.2+(209.3-527.2)+(-2.071824+(-0.213486--0.537744))+0-30--0.0306000000000048</f>
        <v>1681.583034</v>
      </c>
      <c r="Y185" s="3">
        <f>2197+(213.2-514.9)+(0+(0-0))+0-28.5-0</f>
        <v>1866.8</v>
      </c>
      <c r="Z185" s="3">
        <f>2279+(233.5-408.7)+(-5.81145+(-0.595425--1.042185))+0-28--0.0713999999999959</f>
        <v>2070.5067100000001</v>
      </c>
      <c r="AA185" s="3">
        <f>2188.9+(252.1-394)+(-6.698034+(-0.771426--1.20564))+0-28--0.0856800000000032</f>
        <v>2012.82186</v>
      </c>
      <c r="AB185" s="3">
        <f>2062.1+(245.9-383.8)+(-2.103342+(-0.250818--0.391476))+0-27.6--0.0281520000000044</f>
        <v>1894.6654679999999</v>
      </c>
      <c r="AC185" s="3">
        <f>1764.9+(283.7-307.3)+(-1.800198+(-0.289374--0.313446))+0-27.6--0.0281520000000044</f>
        <v>1711.9520260000004</v>
      </c>
      <c r="AD185">
        <f t="shared" si="2"/>
        <v>38653.558551999995</v>
      </c>
      <c r="AE185" s="3">
        <f>2281.5+(236.2-400.5)+(0+(0-0))+0-30-0</f>
        <v>2087.1999999999998</v>
      </c>
    </row>
    <row r="186" spans="1:31" s="2" customFormat="1" x14ac:dyDescent="0.25">
      <c r="A186">
        <v>89</v>
      </c>
      <c r="B186">
        <v>6</v>
      </c>
      <c r="C186">
        <v>31</v>
      </c>
      <c r="D186">
        <v>5</v>
      </c>
      <c r="E186">
        <v>1</v>
      </c>
      <c r="F186" s="3">
        <f>1530.2+(315.1-500)+(-1.560804+(-0.321402--0.51))+0-28--0.0285600000000045</f>
        <v>1315.9563540000001</v>
      </c>
      <c r="G186" s="3">
        <f>1565.7+(239.1-502.2)+(-2.395521+(-0.365823--0.768366))+0-27--0.0413100000000016</f>
        <v>1273.648332</v>
      </c>
      <c r="H186" s="3">
        <f>1560.8+(247.2-546.9)+(-2.388024+(-0.378216--0.836757))+0-28--0.0428400000000016</f>
        <v>1231.2133570000001</v>
      </c>
      <c r="I186" s="3">
        <f>1562.5+(251.4-562.3)+(1.59375+(0.256428-0.573546))+0-28-0.0285600000000045</f>
        <v>1224.848072</v>
      </c>
      <c r="J186" s="3">
        <f>1561.4+(253.8-545)+(-0.796314+(-0.129438--0.27795))+0-29--0.0147899999999971</f>
        <v>1240.566988</v>
      </c>
      <c r="K186" s="3">
        <f>1557.8+(239.2-505.2)+(-1.588956+(-0.243984--0.515304))+0-27--0.0275400000000043</f>
        <v>1263.509904</v>
      </c>
      <c r="L186" s="3">
        <f>1556.5+(220.6-464.8)+(-1.58763+(-0.225012--0.474096))+0-27.3--0.0278460000000044</f>
        <v>1283.6893</v>
      </c>
      <c r="M186" s="3">
        <f>1655.1+(219.1-426.1)+(0+(0-0))+0-30.3-0</f>
        <v>1417.8</v>
      </c>
      <c r="N186" s="3">
        <f>1804.9+(235.2-396.5)+(0.920499+(0.119952-0.202215))+0-30.3-0.0154529999999969</f>
        <v>1614.1227830000003</v>
      </c>
      <c r="O186" s="3">
        <f>1927.3+(242.1-420.8)+(0+(0-0))+0-29.1-0</f>
        <v>1719.5</v>
      </c>
      <c r="P186" s="3">
        <f>2107.3+(230.2-542.3)+(2.149446+(0.234804-0.553146))+0-31.8-0.0324360000000051</f>
        <v>1765.1986680000005</v>
      </c>
      <c r="Q186" s="3">
        <f>2084.2+(236.6-453.3)+(-1.062942+(-0.120666--0.231183))+0-30.9--0.0157589999999969</f>
        <v>1835.6633339999996</v>
      </c>
      <c r="R186" s="3">
        <f>2105.6+(237.9-476.7)+(-8.590848+(-0.970632--1.944936))+0-27.6--0.112607999999998</f>
        <v>1831.696064</v>
      </c>
      <c r="S186" s="3">
        <f>2105.9+(220.7-524.3)+(-1.074009+(-0.112557--0.267393))+0-29--0.0147899999999971</f>
        <v>1772.3956170000001</v>
      </c>
      <c r="T186" s="3">
        <f>2097.7+(223.4-534.4)+(-1.069827+(-0.113934--0.272544))+0-30.1--0.0153509999999969</f>
        <v>1755.7041339999998</v>
      </c>
      <c r="U186" s="3">
        <f>2145.2+(234.8-576.6)+(-3.282156+(-0.359244--0.882198))+0-30.3--0.0463590000000018</f>
        <v>1770.3871569999999</v>
      </c>
      <c r="V186" s="3">
        <f>2179+(235-607)+(0+(0-0))+0-30-0</f>
        <v>1777</v>
      </c>
      <c r="W186" s="3">
        <f>1994.1+(235.6-443)+(-1.016991+(-0.120156--0.22593))+0-31--0.0158099999999969</f>
        <v>1754.8045929999998</v>
      </c>
      <c r="X186" s="3">
        <f>2110.1+(243.4-391.9)+(-1.076151+(-0.124134--0.199869))+0-28.5--0.0145349999999971</f>
        <v>1932.1141189999998</v>
      </c>
      <c r="Y186" s="3">
        <f>2162.7+(318.2-401.4)+(1.102977+(0.162282-0.204714))+0-29-0.0147899999999971</f>
        <v>2051.5457549999996</v>
      </c>
      <c r="Z186" s="3">
        <f>2182.2+(300.5-450.8)+(-2.225844+(-0.30651--0.459816))+0-28--0.0285600000000045</f>
        <v>2001.8560219999999</v>
      </c>
      <c r="AA186" s="3">
        <f>2205.5+(283.7-490.8)+(-6.74883+(-0.868122--1.501848))+0-28--0.0856800000000032</f>
        <v>1964.370576</v>
      </c>
      <c r="AB186" s="3">
        <f>1863+(335.8-363.6)+(-3.80052+(-0.685032--0.741744))+0-28--0.0571199999999988</f>
        <v>1803.513312</v>
      </c>
      <c r="AC186" s="3">
        <f>1699.4+(272.8-361.2)+(-3.466776+(-0.556512--0.736848))+0-28--0.0571199999999988</f>
        <v>1579.7706799999999</v>
      </c>
      <c r="AD186">
        <f t="shared" si="2"/>
        <v>39180.875121000012</v>
      </c>
      <c r="AE186" s="3">
        <f>2244+(291.7-388.5)+(0+(0-0))+0-28.5-0</f>
        <v>2118.6999999999998</v>
      </c>
    </row>
    <row r="187" spans="1:31" s="2" customFormat="1" x14ac:dyDescent="0.25">
      <c r="A187">
        <v>89</v>
      </c>
      <c r="B187">
        <v>7</v>
      </c>
      <c r="C187">
        <v>1</v>
      </c>
      <c r="D187">
        <v>6</v>
      </c>
      <c r="E187">
        <v>1</v>
      </c>
      <c r="F187" s="3">
        <f>1616.6+(272.8-444.4)+(-1.648932+(-0.278256--0.453288))+0-27.3--0.0278460000000044</f>
        <v>1416.253946</v>
      </c>
      <c r="G187" s="3">
        <f>1590.8+(250.3-490.1)+(-2.433924+(-0.382959--0.749853))+0-27--0.0413100000000016</f>
        <v>1321.9742800000001</v>
      </c>
      <c r="H187" s="3">
        <f>1540.3+(251.8-488.4)+(-0.785553+(-0.128418--0.249084))+0-27.6--0.0140759999999972</f>
        <v>1275.4491890000002</v>
      </c>
      <c r="I187" s="3">
        <f>1345.1+(277.1-367.4)+(0.686001+(0.141321-0.187374))+0-28-0.0142799999999972</f>
        <v>1227.4256679999999</v>
      </c>
      <c r="J187" s="3">
        <f>1345.4+(262.3-358.2)+(-2.058462+(-0.401319--0.548046))+0-26.4--0.0403920000000015</f>
        <v>1221.2286570000001</v>
      </c>
      <c r="K187" s="3">
        <f>1343.1+(253.3-317.6)+(-1.369962+(-0.258366--0.323952))+0-27.6--0.0281520000000044</f>
        <v>1249.9237760000001</v>
      </c>
      <c r="L187" s="3">
        <f>1270.6+(267.3-254.8)+(0.648006+(0.136323-0.129948))+0-27-0.0137699999999973</f>
        <v>1256.7406109999999</v>
      </c>
      <c r="M187" s="3">
        <f>1384+(294.1-280.4)+(0+(0-0))+0-29-0</f>
        <v>1368.7</v>
      </c>
      <c r="N187" s="3">
        <f>1798+(257-441.4)+(0.91698+(0.13107-0.225114))+0-31-0.0158099999999969</f>
        <v>1583.4071259999998</v>
      </c>
      <c r="O187" s="3">
        <f>2153+(262.5-647)+(-1.09803+(-0.133875--0.32997))+0-29--0.0147899999999971</f>
        <v>1738.6128549999999</v>
      </c>
      <c r="P187" s="3">
        <f>2265.3+(217.9-692.8)+(-1.155303+(-0.111129--0.353328))+0-31--0.0158099999999969</f>
        <v>1758.5027060000002</v>
      </c>
      <c r="Q187" s="3">
        <f>2214.4+(124.6-489.3)+(-1.129344+(-0.063546--0.249543))+0-30--0.015299999999997</f>
        <v>1818.7719530000002</v>
      </c>
      <c r="R187" s="3">
        <f>2228.4+(113.5-524.8)+(-1.136484+(-0.057885--0.267648))+0-29--0.0147899999999971</f>
        <v>1787.188069</v>
      </c>
      <c r="S187" s="3">
        <f>2423.5+(116.6-752.5)+(-3.707955+(-0.178398--1.151325))+0-29--0.0443700000000017</f>
        <v>1755.9093419999999</v>
      </c>
      <c r="T187" s="3">
        <f>2461.5+(123.4-832.9)+(-3.766095+(-0.188802--1.274337))+0-30--0.0459000000000017</f>
        <v>1719.3653400000001</v>
      </c>
      <c r="U187" s="3">
        <f>2389.3+(120.8-781.9)+(-7.311258+(-0.369648--2.392614))+0-29--0.0887400000000034</f>
        <v>1694.0004480000002</v>
      </c>
      <c r="V187" s="3">
        <f>2359.8+(139.2-779.6)+(-7.220988+(-0.425952--2.385576))+0-30--0.0918000000000035</f>
        <v>1684.2304360000001</v>
      </c>
      <c r="W187" s="3">
        <f>2170.3+(255.7-686.4)+(-2.213706+(-0.260814--0.700128))+0-30--0.0306000000000048</f>
        <v>1707.8562080000002</v>
      </c>
      <c r="X187" s="3">
        <f>2367.5+(248.3-699.2)+(0+(0-0))+0-31-0</f>
        <v>1885.6</v>
      </c>
      <c r="Y187" s="3">
        <f>2518.8+(267.5-685.6)+(-5.138352+(-0.5457--1.398624))+0-30--0.0611999999999987</f>
        <v>2066.4757720000002</v>
      </c>
      <c r="Z187" s="3">
        <f>2449.9+(270.7-682.1)+(-6.247245+(-0.690285--1.739355))+0-28--0.0713999999999959</f>
        <v>2005.373225</v>
      </c>
      <c r="AA187" s="3">
        <f>2259.5+(263.5-605)+(-4.60938+(-0.53754--1.2342))+0-27--0.0550799999999988</f>
        <v>1887.1423600000001</v>
      </c>
      <c r="AB187" s="3">
        <f>2000.4+(248.9-502)+(0+(0-0))+0-27-0</f>
        <v>1720.3000000000002</v>
      </c>
      <c r="AC187" s="3">
        <f>1888.2+(217.7-530.4)+(-1.925964+(-0.222054--0.541008))+0-27--0.0275400000000043</f>
        <v>1546.9205300000001</v>
      </c>
      <c r="AD187">
        <f t="shared" si="2"/>
        <v>38697.352497000007</v>
      </c>
      <c r="AE187" s="3">
        <f>2486.6+(265.5-684.4)+(0+(0-0))+0-30-0</f>
        <v>2037.6999999999998</v>
      </c>
    </row>
    <row r="188" spans="1:31" s="2" customFormat="1" x14ac:dyDescent="0.25">
      <c r="A188">
        <v>89</v>
      </c>
      <c r="B188">
        <v>7</v>
      </c>
      <c r="C188">
        <v>2</v>
      </c>
      <c r="D188">
        <v>7</v>
      </c>
      <c r="E188">
        <v>1</v>
      </c>
      <c r="F188" s="3">
        <f>1737.8+(251.6-563.5)+(-3.545112+(-0.513264--1.14954))+0-26.7--0.0544679999999988</f>
        <v>1396.345632</v>
      </c>
      <c r="G188" s="3">
        <f>1630.6+(256.6-571.2)+(-3.326424+(-0.523464--1.165248))+0-26.7--0.0544679999999988</f>
        <v>1286.6698280000001</v>
      </c>
      <c r="H188" s="3">
        <f>1507.8+(263.8-514)+(-0.768978+(-0.134538--0.26214))+0-26.7--0.0136169999999973</f>
        <v>1230.2722409999999</v>
      </c>
      <c r="I188" s="3">
        <f>1514.9+(257.4-538.7)+(-2.317797+(-0.393822--0.824211))+0-25.8--0.0394740000000015</f>
        <v>1205.9520659999998</v>
      </c>
      <c r="J188" s="3">
        <f>1449.9+(254.9-483)+(0.739449+(0.129999-0.24633))+0-26.4-0.0134639999999973</f>
        <v>1196.0096540000002</v>
      </c>
      <c r="K188" s="3">
        <f>1390.3+(243.5-401.4)+(-4.254318+(-0.74511--1.228284))+0-26.7--0.0817020000000031</f>
        <v>1202.0105579999999</v>
      </c>
      <c r="L188" s="3">
        <f>1330.3+(199.6-356.7)+(-1.356906+(-0.203592--0.363834))+0-26.7--0.0272340000000043</f>
        <v>1145.3305699999999</v>
      </c>
      <c r="M188" s="3">
        <f>1437.7+(194.3-417.3)+(-2.199681+(-0.297279--0.638469))+0-28.8--0.0440640000000017</f>
        <v>1184.0855730000001</v>
      </c>
      <c r="N188" s="3">
        <f>1530.3+(163.7-463.8)+(-2.341359+(-0.250461--0.709614))+0-29.7--0.0454410000000017</f>
        <v>1198.6632349999998</v>
      </c>
      <c r="O188" s="3">
        <f>1660.1+(187.3-432.6)+(-3.386604+(-0.382092--0.882504))+0-30.9--0.0630359999999986</f>
        <v>1381.0768439999999</v>
      </c>
      <c r="P188" s="3">
        <f>1683+(186.8-397.4)+(-2.57499+(-0.285804--0.608022))+0-30.9--0.0472770000000018</f>
        <v>1439.2945049999998</v>
      </c>
      <c r="Q188" s="3">
        <f>1752+(202.6-434.4)+(0.89352+(0.103326-0.221544))+0-28.2-0.0143819999999971</f>
        <v>1492.7609199999999</v>
      </c>
      <c r="R188" s="3">
        <f>1718.3+(210.3-399.6)+(0+(0-0))+0-29.4-0</f>
        <v>1499.6</v>
      </c>
      <c r="S188" s="3">
        <f>1809.5+(205.5-518.3)+(-1.84569+(-0.20961--0.528666))+0-27.9--0.0284580000000044</f>
        <v>1467.3018239999999</v>
      </c>
      <c r="T188" s="3">
        <f>1838.9+(201.2-572.8)+(0.937839+(0.102612-0.292128))+0-30.9-0.0157589999999969</f>
        <v>1437.1325640000002</v>
      </c>
      <c r="U188" s="3">
        <f>1836.2+(202.7-582.9)+(-1.872924+(-0.206754--0.594558))+0-30.3--0.0309060000000048</f>
        <v>1424.245786</v>
      </c>
      <c r="V188" s="3">
        <f>1830.6+(212.9-591.1)+(-2.800818+(-0.325737--0.904383))+0-30.9--0.0472770000000018</f>
        <v>1419.3251049999997</v>
      </c>
      <c r="W188" s="3">
        <f>1697.9+(216.9-437.1)+(-4.329645+(-0.553095--1.114605))+0-30.9--0.0787949999999955</f>
        <v>1443.1106599999998</v>
      </c>
      <c r="X188" s="3">
        <f>1834.8+(216.6-334.3)+(-1.871496+(-0.220932--0.340986))+0-29.1--0.0296820000000046</f>
        <v>1686.2782400000001</v>
      </c>
      <c r="Y188" s="3">
        <f>1851.9+(341.9-256.3)+(-1.888938+(-0.348738--0.261426))+0-30--0.0306000000000048</f>
        <v>1905.5543500000001</v>
      </c>
      <c r="Z188" s="3">
        <f>1851.4+(329.6-287.5)+(-0.944214+(-0.168096--0.146625))+0-30--0.015299999999997</f>
        <v>1862.5496150000001</v>
      </c>
      <c r="AA188" s="3">
        <f>1845.7+(303.7-333.6)+(-0.941307+(-0.154887--0.170136))+0-27.3--0.0139229999999972</f>
        <v>1787.587865</v>
      </c>
      <c r="AB188" s="3">
        <f>1796.1+(260.7-392.9)+(-4.580055+(-0.664785--1.001895))+0-26.7--0.0680849999999961</f>
        <v>1633.0251399999997</v>
      </c>
      <c r="AC188" s="3">
        <f>1643.1+(218.4-393.7)+(-1.675962+(-0.222768--0.401574))+0-26.4--0.0269280000000042</f>
        <v>1439.929772</v>
      </c>
      <c r="AD188">
        <f t="shared" si="2"/>
        <v>34364.112546999997</v>
      </c>
      <c r="AE188" s="3">
        <f>1850.4+(321.3-234.5)+(0+(0-0))+0-29.8-0</f>
        <v>1907.4</v>
      </c>
    </row>
    <row r="189" spans="1:31" s="2" customFormat="1" x14ac:dyDescent="0.25">
      <c r="A189">
        <v>89</v>
      </c>
      <c r="B189">
        <v>7</v>
      </c>
      <c r="C189">
        <v>3</v>
      </c>
      <c r="D189">
        <v>1</v>
      </c>
      <c r="E189">
        <v>1</v>
      </c>
      <c r="F189" s="3">
        <f>1573.5+(221.6-470.3)+(-2.407455+(-0.339048--0.719559))+0-27--0.0413100000000016</f>
        <v>1295.8143660000001</v>
      </c>
      <c r="G189" s="3">
        <f>1417.2+(248.8-447.2)+(-2.891088+(-0.507552--0.912288))+0-26.4--0.0538559999999988</f>
        <v>1189.9675040000002</v>
      </c>
      <c r="H189" s="3">
        <f>1417.2+(238-469.7)+(-1.445544+(-0.24276--0.479094))+0-26.4--0.0269280000000042</f>
        <v>1157.9177179999999</v>
      </c>
      <c r="I189" s="3">
        <f>1420.4+(231.4-480)+(1.448808+(0.236028-0.4896))+0-26.4-0.0269280000000042</f>
        <v>1146.5683080000001</v>
      </c>
      <c r="J189" s="3">
        <f>1344.3+(223.7-393)+(-2.742372+(-0.456348--0.80172))+0-25.8--0.0526319999999989</f>
        <v>1146.855632</v>
      </c>
      <c r="K189" s="3">
        <f>1247.1+(235.1-294.6)+(-1.908063+(-0.359703--0.450738))+0-25.8--0.0394740000000015</f>
        <v>1160.0224459999999</v>
      </c>
      <c r="L189" s="3">
        <f>1263.8+(192.9-256.4)+(-1.289076+(-0.196758--0.261528))+0-26--0.0265200000000041</f>
        <v>1173.1022139999998</v>
      </c>
      <c r="M189" s="3">
        <f>1486+(185.3-322)+(0.75786+(0.094503-0.16422))+0-29-0.0147899999999971</f>
        <v>1320.9733530000001</v>
      </c>
      <c r="N189" s="3">
        <f>1664.5+(169.8-297)+(0+(0-0))+0-30-0</f>
        <v>1507.3</v>
      </c>
      <c r="O189" s="3">
        <f>2094.6+(151.5-550.2)+(-1.068246+(-0.077265--0.280602))+0-31--0.0158099999999969</f>
        <v>1664.0509010000001</v>
      </c>
      <c r="P189" s="3">
        <f>2257.4+(169.3-678.2)+(-1.151274+(-0.086343--0.345882))+0-31--0.0158099999999969</f>
        <v>1716.6240750000002</v>
      </c>
      <c r="Q189" s="3">
        <f>2310+(174.7-694.4)+(1.1781+(0.089097-0.354144))+0-31-0.0158099999999969</f>
        <v>1760.1972429999998</v>
      </c>
      <c r="R189" s="3">
        <f>2309.3+(168.4-700)+(0+(0-0))+0-31-0</f>
        <v>1746.7000000000003</v>
      </c>
      <c r="S189" s="3">
        <f>2324.5+(171.7-743)+(0+(0-0))+0-29-0</f>
        <v>1724.2</v>
      </c>
      <c r="T189" s="3">
        <f>2299.9+(158.4-745.3)+(-2.345898+(-0.161568--0.760206))+0-30--0.0306000000000048</f>
        <v>1681.28334</v>
      </c>
      <c r="U189" s="3">
        <f>2283.9+(153.4-716.5)+(-3.494367+(-0.234702--1.096245))+0-30--0.0459000000000017</f>
        <v>1688.2130760000002</v>
      </c>
      <c r="V189" s="3">
        <f>2253.2+(154.6-683.8)+(-3.447396+(-0.236538--1.046214))+0-31--0.0474300000000018</f>
        <v>1690.4097100000001</v>
      </c>
      <c r="W189" s="3">
        <f>2175.2+(148.4-582)+(1.109352+(0.075684-0.29682))+0-30-0.015299999999997</f>
        <v>1712.4729159999999</v>
      </c>
      <c r="X189" s="3">
        <f>2404.1+(151.9-566)+(-4.904364+(-0.309876--1.15464))+0-29--0.0591599999999987</f>
        <v>1956.99956</v>
      </c>
      <c r="Y189" s="3">
        <f>2443.5+(202.6-525.2)+(0+(0-0))+0-27-0</f>
        <v>2093.9</v>
      </c>
      <c r="Z189" s="3">
        <f>2384.9+(200.5-550.3)+(2.432598+(0.20451-0.561306))+0-27-0.0275400000000043</f>
        <v>2010.1482620000002</v>
      </c>
      <c r="AA189" s="3">
        <f>2381.1+(202.4-661.2)+(-3.643083+(-0.309672--1.011636))+0-27--0.0413100000000016</f>
        <v>1892.4001909999997</v>
      </c>
      <c r="AB189" s="3">
        <f>2233.2+(203.5-682.1)+(-5.69466+(-0.518925--1.739355))+0-27--0.0688499999999961</f>
        <v>1723.1946199999998</v>
      </c>
      <c r="AC189" s="3">
        <f>2039.8+(164.1-653.8)+(-5.20149+(-0.418455--1.66719))+0-27--0.0688499999999961</f>
        <v>1519.2160949999998</v>
      </c>
      <c r="AD189">
        <f t="shared" si="2"/>
        <v>37678.531530000007</v>
      </c>
      <c r="AE189" s="3">
        <f>2444.5+(191.8-511)+(0+(0-0))+0-30-0</f>
        <v>2095.3000000000002</v>
      </c>
    </row>
    <row r="190" spans="1:31" s="2" customFormat="1" x14ac:dyDescent="0.25">
      <c r="A190">
        <v>89</v>
      </c>
      <c r="B190">
        <v>7</v>
      </c>
      <c r="C190">
        <v>4</v>
      </c>
      <c r="D190">
        <v>2</v>
      </c>
      <c r="E190">
        <v>1</v>
      </c>
      <c r="F190" s="3">
        <f>1861.4+(211.8-688.4)+(-1.898628+(-0.216036--0.702168))+0-24--0.0244800000000038</f>
        <v>1359.4119840000003</v>
      </c>
      <c r="G190" s="3">
        <f>1791.9+(221.9-730.8)+(-4.569345+(-0.565845--1.86354))+0-28--0.0713999999999959</f>
        <v>1251.7997500000001</v>
      </c>
      <c r="H190" s="3">
        <f>1673.6+(227.1-661.3)+(-2.560608+(-0.347463--1.011789))+0-28--0.0428400000000016</f>
        <v>1209.5465580000002</v>
      </c>
      <c r="I190" s="3">
        <f>1629.3+(231-640.6)+(-0.830943+(-0.11781--0.326706))+0-27--0.0137699999999973</f>
        <v>1192.0917229999998</v>
      </c>
      <c r="J190" s="3">
        <f>1558.9+(235.3-577.5)+(0+(0-0))+0-27-0</f>
        <v>1189.7</v>
      </c>
      <c r="K190" s="3">
        <f>1560.9+(234.2-557)+(0+(0-0))+0-27-0</f>
        <v>1211.1000000000001</v>
      </c>
      <c r="L190" s="3">
        <f>1580.3+(200.7-526.6)+(-0.805953+(-0.102357--0.268566))+0-28--0.0142799999999972</f>
        <v>1225.7745359999999</v>
      </c>
      <c r="M190" s="3">
        <f>1837.9+(181.1-647)+(-1.874658+(-0.184722--0.65994))+0-30--0.0306000000000048</f>
        <v>1340.6311600000001</v>
      </c>
      <c r="N190" s="3">
        <f>2033.5+(171-637.3)+(0+(0-0))+0-30-0</f>
        <v>1537.2</v>
      </c>
      <c r="O190" s="3">
        <f>2202.6+(176.6-678.2)+(-1.123326+(-0.090066--0.345882))+0-31--0.0158099999999969</f>
        <v>1669.1483000000001</v>
      </c>
      <c r="P190" s="3">
        <f>2221.4+(191.8-658.9)+(0+(0-0))+0-31-0</f>
        <v>1723.3000000000002</v>
      </c>
      <c r="Q190" s="3">
        <f>2309.2+(107.6-727.1)+(1.177692+(0.054876-0.370821))+0-0-0</f>
        <v>1690.5617469999997</v>
      </c>
      <c r="R190" s="3">
        <f>2312.9+(112.3-737.5)+(-1.179579+(-0.057273--0.376125))+0-0-0</f>
        <v>1686.839273</v>
      </c>
      <c r="S190" s="3">
        <f>2366.1+(106.8-823.7)+(1.206711+(0.054468-0.420087))+0-0-0</f>
        <v>1650.0410919999997</v>
      </c>
      <c r="T190" s="3">
        <f>2447.1+(104.4-916.2)+(-1.248021+(-0.053244--0.467262))+0-0-0</f>
        <v>1634.4659969999998</v>
      </c>
      <c r="U190" s="3">
        <f>2396.2+(101-849.6)+(-2.444124+(-0.10302--0.866592))+0-0-0</f>
        <v>1645.9194479999999</v>
      </c>
      <c r="V190" s="3">
        <f>2292.8+(95.3-763.5)+(-3.507984+(-0.145809--1.168155))+0-0-0</f>
        <v>1622.114362</v>
      </c>
      <c r="W190" s="3">
        <f>2311.9+(118-774)+(0+(0-0))+0-4-0</f>
        <v>1651.9</v>
      </c>
      <c r="X190" s="3">
        <f>2441.8+(220.2-667.6)+(-2.490636+(-0.224604--0.680952))+0-5--0.0051000000000008</f>
        <v>1987.3708120000001</v>
      </c>
      <c r="Y190" s="3">
        <f>2480.8+(260.3-621.5)+(-3.795624+(-0.398259--0.950895))+0-8--0.0122400000000005</f>
        <v>2108.3692520000004</v>
      </c>
      <c r="Z190" s="3">
        <f>2484.1+(261.1-688.4)+(-2.533782+(-0.266322--0.702168))+0-8--0.00816000000000128</f>
        <v>2046.7102240000002</v>
      </c>
      <c r="AA190" s="3">
        <f>2454.2+(253.2-763.3)+(1.251642+(0.129132-0.389283))+0-11-0.00560999999999888</f>
        <v>1934.085881</v>
      </c>
      <c r="AB190" s="3">
        <f>2277.2+(242.2-764.9)+(0+(0-0))+0-11-0</f>
        <v>1743.4999999999998</v>
      </c>
      <c r="AC190" s="3">
        <f>2041.7+(180.3-674.8)+(-2.082534+(-0.183906--0.688296))+0-22--0.0224400000000035</f>
        <v>1523.6442959999999</v>
      </c>
      <c r="AD190">
        <f t="shared" si="2"/>
        <v>37835.226395000005</v>
      </c>
      <c r="AE190" s="3">
        <f>2488.5+(250.6-621.6)+(0+(0-0))+0-32-0</f>
        <v>2085.5</v>
      </c>
    </row>
    <row r="191" spans="1:31" s="2" customFormat="1" x14ac:dyDescent="0.25">
      <c r="A191">
        <v>89</v>
      </c>
      <c r="B191">
        <v>7</v>
      </c>
      <c r="C191">
        <v>5</v>
      </c>
      <c r="D191">
        <v>3</v>
      </c>
      <c r="E191">
        <v>1</v>
      </c>
      <c r="F191" s="3">
        <f>1905.4+(215.3-764.6)+(-2.915262+(-0.329409--1.169838))+0-28--0.0428400000000016</f>
        <v>1326.0680070000003</v>
      </c>
      <c r="G191" s="3">
        <f>1829.2+(240-802.2)+(0+(0-0))+0-28-0</f>
        <v>1239</v>
      </c>
      <c r="H191" s="3">
        <f>1702.2+(245.3-732.4)+(-1.736244+(-0.250206--0.747048))+0-28--0.0285600000000045</f>
        <v>1185.8891580000002</v>
      </c>
      <c r="I191" s="3">
        <f>1641.6+(236.2-692.2)+(0.837216+(0.120462-0.353022))+0-27-0.0137699999999973</f>
        <v>1159.1908859999999</v>
      </c>
      <c r="J191" s="3">
        <f>1570.9+(237.7-636.7)+(0.801159+(0.121227-0.324717))+0-27-0.0137699999999973</f>
        <v>1145.4838990000001</v>
      </c>
      <c r="K191" s="3">
        <f>1499.1+(217.7-529.7)+(-5.351787+(-0.777189--1.891029))+0-27--0.0963900000000004</f>
        <v>1155.9584429999998</v>
      </c>
      <c r="L191" s="3">
        <f>1437.5+(161.9-383.3)+(0.733125+(0.082569-0.195483))+0-27.3-0.0139229999999972</f>
        <v>1189.4062879999999</v>
      </c>
      <c r="M191" s="3">
        <f>1651.6+(152.5-486.4)+(1.684632+(0.15555-0.496128))+0-29.7-0.0302940000000047</f>
        <v>1289.3137599999998</v>
      </c>
      <c r="N191" s="3">
        <f>1844.3+(166.3-503.3)+(0+(0-0))+0-29.7-0</f>
        <v>1477.6</v>
      </c>
      <c r="O191" s="3">
        <f>2137.7+(165-680.7)+(0+(0-0))+0-28.8-0</f>
        <v>1593.1999999999998</v>
      </c>
      <c r="P191" s="3">
        <f>2230.1+(162.4-707.5)+(2.274702+(0.165648-0.72165))+0-29.1-0.0296820000000046</f>
        <v>1657.5890179999999</v>
      </c>
      <c r="Q191" s="3">
        <f>2338.7+(173.2-772.4)+(3.578211+(0.264996-1.181772))+0-29.7-0.0454410000000017</f>
        <v>1712.4159939999997</v>
      </c>
      <c r="R191" s="3">
        <f>2360.8+(158.9-782.2)+(-2.408016+(-0.162078--0.797844))+0-26.1--0.0266220000000042</f>
        <v>1709.6543720000002</v>
      </c>
      <c r="S191" s="3">
        <f>2441.5+(156.8-911.1)+(-1.245165+(-0.079968--0.464661))+0-27.6--0.0140759999999972</f>
        <v>1658.753604</v>
      </c>
      <c r="T191" s="3">
        <f>2439.5+(154.4-933.9)+(-2.48829+(-0.157488--0.952578))+0-30.6--0.0312120000000049</f>
        <v>1627.7380120000003</v>
      </c>
      <c r="U191" s="3">
        <f>2388.1+(153.2-878.9)+(-4.871724+(-0.312528--1.792956))+0-30.3--0.0618119999999987</f>
        <v>1628.7705159999998</v>
      </c>
      <c r="V191" s="3">
        <f>2262.4+(159.1-766.4)+(-5.76912+(-0.405705--1.95432))+0-30--0.0764999999999956</f>
        <v>1620.955995</v>
      </c>
      <c r="W191" s="3">
        <f>2177.2+(155.3-676.5)+(-1.110372+(-0.079203--0.345015))+0-28.8--0.0146879999999971</f>
        <v>1626.3701279999998</v>
      </c>
      <c r="X191" s="3">
        <f>2346+(158.8-606.7)+(1.19646+(0.080988-0.309417))+0-29.4-0.014993999999997</f>
        <v>1869.653037</v>
      </c>
      <c r="Y191" s="3">
        <f>2453.3+(185.7-587.7)+(-7.507098+(-0.568242--1.798362))+0-29.4--0.0899640000000034</f>
        <v>2015.712986</v>
      </c>
      <c r="Z191" s="3">
        <f>2385.5+(200.4-587.9)+(-3.649815+(-0.306612--0.899487))+0-28.5--0.0436050000000016</f>
        <v>1966.4866650000001</v>
      </c>
      <c r="AA191" s="3">
        <f>2367.1+(207.4-658.7)+(-4.828884+(-0.423096--1.343748))+0-28.2--0.0575279999999988</f>
        <v>1883.7492959999997</v>
      </c>
      <c r="AB191" s="3">
        <f>2285.6+(210.3-740.8)+(-4.662624+(-0.429012--1.511232))+0-27.3--0.0556919999999988</f>
        <v>1724.2752879999998</v>
      </c>
      <c r="AC191" s="3">
        <f>2094.4+(179.1-700.2)+(-5.34072+(-0.456705--1.78551))+0-27.3--0.069614999999996</f>
        <v>1542.0577000000001</v>
      </c>
      <c r="AD191">
        <f t="shared" si="2"/>
        <v>37005.293051999994</v>
      </c>
      <c r="AE191" s="3">
        <f>2481+(164.9-554.6)+(0+(0-0))+0-31-0</f>
        <v>2060.3000000000002</v>
      </c>
    </row>
    <row r="192" spans="1:31" s="2" customFormat="1" x14ac:dyDescent="0.25">
      <c r="A192">
        <v>89</v>
      </c>
      <c r="B192">
        <v>7</v>
      </c>
      <c r="C192">
        <v>6</v>
      </c>
      <c r="D192">
        <v>4</v>
      </c>
      <c r="E192">
        <v>1</v>
      </c>
      <c r="F192" s="3">
        <f>1929.9+(211.3-761.2)+(-3.936996+(-0.431052--1.552848))+0-27--0.0550799999999988</f>
        <v>1350.2398800000001</v>
      </c>
      <c r="G192" s="3">
        <f>1825.9+(229.1-780.7)+(-2.793627+(-0.350523--1.194471))+0-27--0.0413100000000016</f>
        <v>1245.3916310000002</v>
      </c>
      <c r="H192" s="3">
        <f>1672.4+(236.1-688.5)+(-1.705848+(-0.240822--0.70227))+0-27--0.0275400000000043</f>
        <v>1191.78314</v>
      </c>
      <c r="I192" s="3">
        <f>1629.5+(153.3-550.3)+(-1.66209+(-0.156366--0.561306))+0-28--0.0285600000000045</f>
        <v>1203.2714100000001</v>
      </c>
      <c r="J192" s="3">
        <f>1532.6+(70.2-426.2)+(3.126504+(0.143208-0.869448))+0-28-0.0571199999999988</f>
        <v>1150.9431440000001</v>
      </c>
      <c r="K192" s="3">
        <f>1519.7+(30-351.1)+(-3.100188+(-0.0612--0.716244))+0-28--0.0571199999999988</f>
        <v>1168.2119759999998</v>
      </c>
      <c r="L192" s="3">
        <f>1479.5+(19.4-258.1)+(0.754545+(0.009894-0.131631))+0-27-0.0137699999999973</f>
        <v>1214.419038</v>
      </c>
      <c r="M192" s="3">
        <f>1656.3+(17-312.5)+(-0.844713+(-0.00867--0.159375))+0-28--0.0142799999999972</f>
        <v>1332.1202720000001</v>
      </c>
      <c r="N192" s="3">
        <f>1977.5+(17.9-426.8)+(0+(0-0))+0-28-0</f>
        <v>1540.6</v>
      </c>
      <c r="O192" s="3">
        <f>2175.6+(7.9-456.5)+(-4.438224+(-0.016116--0.93126))+0-20--0.0407999999999991</f>
        <v>1703.5177200000001</v>
      </c>
      <c r="P192" s="3">
        <f>2315+(6.5-569.8)+(-1.18065+(-0.003315--0.290598))+0-10--0.00509999999999899</f>
        <v>1740.8117330000002</v>
      </c>
      <c r="Q192" s="3">
        <f>2328.6+(10.2-592.3)+(4.750344+(0.020808-1.208292))+0-8-0.0163199999999997</f>
        <v>1742.04654</v>
      </c>
      <c r="R192" s="3">
        <f>2319.9+(22.5-611.2)+(-2.366298+(-0.02295--0.623424))+0-4.5--0.00459000000000072</f>
        <v>1724.938766</v>
      </c>
      <c r="S192" s="3">
        <f>2322.7+(46.7-660.8)+(1.184577+(0.023817-0.337008))+0-3-0.0015299999999997</f>
        <v>1706.4698559999999</v>
      </c>
      <c r="T192" s="3">
        <f>2316.4+(84.5-714.5)+(-4.725456+(-0.17238--1.45758))+0-19--0.0387599999999992</f>
        <v>1663.9985039999999</v>
      </c>
      <c r="U192" s="3">
        <f>2300.2+(91.2-737.6)+(-5.86551+(-0.23256--1.88088))+0-29--0.0739499999999958</f>
        <v>1620.6567599999996</v>
      </c>
      <c r="V192" s="3">
        <f>2183.2+(96.4-605.7)+(-5.56716+(-0.24582--1.544535))+0-29--0.0739499999999958</f>
        <v>1640.7055049999997</v>
      </c>
      <c r="W192" s="3">
        <f>2106.5+(104.7-528.5)+(-3.222945+(-0.160191--0.808605))+0-27--0.0413100000000016</f>
        <v>1653.1667790000001</v>
      </c>
      <c r="X192" s="3">
        <f>2342.3+(108.4-502.1)+(0+(0-0))+0-28-0</f>
        <v>1920.6000000000001</v>
      </c>
      <c r="Y192" s="3">
        <f>2362.1+(206-474.6)+(-3.614013+(-0.31518--0.726138))+0-26--0.0397800000000015</f>
        <v>2064.3367250000001</v>
      </c>
      <c r="Z192" s="3">
        <f>2368+(201.9-537.4)+(-3.62304+(-0.308907--0.822222))+0-28--0.0428400000000016</f>
        <v>2001.433115</v>
      </c>
      <c r="AA192" s="3">
        <f>2239.5+(190.1-529.9)+(-2.28429+(-0.193902--0.540498))+0-27--0.0275400000000043</f>
        <v>1870.7898460000001</v>
      </c>
      <c r="AB192" s="3">
        <f>2100.2+(196.2-578.2)+(-2.142204+(-0.200124--0.589764))+0-28--0.0285600000000045</f>
        <v>1688.4759959999999</v>
      </c>
      <c r="AC192" s="3">
        <f>1980.6+(193.3-654.9)+(-2.020212+(-0.197166--0.667998))+0-28--0.0285600000000045</f>
        <v>1489.47918</v>
      </c>
      <c r="AD192">
        <f t="shared" si="2"/>
        <v>37628.407515999999</v>
      </c>
      <c r="AE192" s="3">
        <f>2365.4+(175-464.9)+(0+(0-0))+0-27.6-0</f>
        <v>2047.9</v>
      </c>
    </row>
    <row r="193" spans="1:31" s="2" customFormat="1" x14ac:dyDescent="0.25">
      <c r="A193">
        <v>89</v>
      </c>
      <c r="B193">
        <v>7</v>
      </c>
      <c r="C193">
        <v>7</v>
      </c>
      <c r="D193">
        <v>5</v>
      </c>
      <c r="E193">
        <v>1</v>
      </c>
      <c r="F193" s="3">
        <f>1868.2+(225.2-757.5)+(-5.716692+(-0.689112--2.31795))+0-27.6--0.0844560000000032</f>
        <v>1304.2966020000001</v>
      </c>
      <c r="G193" s="3">
        <f>1695.7+(254.7-695.9)+(-5.188842+(-0.779382--2.129454))+0-27.3--0.0835380000000032</f>
        <v>1223.4447680000001</v>
      </c>
      <c r="H193" s="3">
        <f>1446.1+(265.1-505.8)+(0+(0-0))+0-27.9-0</f>
        <v>1177.4999999999998</v>
      </c>
      <c r="I193" s="3">
        <f>1445.8+(267.3-524.5)+(-1.474716+(-0.272646--0.53499))+0-27.9--0.0284580000000044</f>
        <v>1159.5160859999999</v>
      </c>
      <c r="J193" s="3">
        <f>1446.4+(264.2-527.2)+(2.212992+(0.404226-0.806616))+0-27.9-0.0426870000000016</f>
        <v>1157.2679149999999</v>
      </c>
      <c r="K193" s="3">
        <f>1448.1+(235.1-482.1)+(-2.215593+(-0.359703--0.737613))+0-27.9--0.0426870000000016</f>
        <v>1171.405004</v>
      </c>
      <c r="L193" s="3">
        <f>1446.8+(175-402)+(-1.475736+(-0.1785--0.41004))+0-28.2--0.0287640000000045</f>
        <v>1190.3845679999997</v>
      </c>
      <c r="M193" s="3">
        <f>1632+(170.3-457.6)+(0+(0-0))+0-29.7-0</f>
        <v>1315</v>
      </c>
      <c r="N193" s="3">
        <f>1929.2+(175.3-564.2)+(0+(0-0))+0-29.1-0</f>
        <v>1511.2</v>
      </c>
      <c r="O193" s="3">
        <f>2071.4+(181.4-585.4)+(-2.112828+(-0.185028--0.597108))+0-29.7--0.0302940000000047</f>
        <v>1636.029546</v>
      </c>
      <c r="P193" s="3">
        <f>2120.8+(176.8-588.4)+(-3.244824+(-0.270504--0.900252))+0-29.7--0.0454410000000017</f>
        <v>1676.9303650000002</v>
      </c>
      <c r="Q193" s="3">
        <f>2159.4+(192.5-591.8)+(-2.202588+(-0.19635--0.603636))+0-30--0.0306000000000048</f>
        <v>1728.3352980000002</v>
      </c>
      <c r="R193" s="3">
        <f>2155+(200.6-617.8)+(-2.1981+(-0.204612--0.630156))+0-27--0.0275400000000043</f>
        <v>1709.0549840000003</v>
      </c>
      <c r="S193" s="3">
        <f>2147.9+(198.1-621.2)+(0+(0-0))+0-26.4-0</f>
        <v>1698.4</v>
      </c>
      <c r="T193" s="3">
        <f>2144.4+(174.3-630.4)+(-2.187288+(-0.177786--0.643008))+0-28.8--0.0293760000000046</f>
        <v>1657.8073100000001</v>
      </c>
      <c r="U193" s="3">
        <f>2140.2+(180.1-632.5)+(-2.183004+(-0.183702--0.64515))+0-29.7--0.0302940000000047</f>
        <v>1656.4087379999996</v>
      </c>
      <c r="V193" s="3">
        <f>2099.6+(167.8-603.7)+(-4.283184+(-0.342312--1.231548))+0-29.1--0.0593639999999987</f>
        <v>1631.265416</v>
      </c>
      <c r="W193" s="3">
        <f>1921.5+(162.3-402.8)+(0.979965+(0.082773-0.205428))+0-29.4-0.014993999999997</f>
        <v>1652.4423160000001</v>
      </c>
      <c r="X193" s="3">
        <f>2089.6+(215.3-376.5)+(1.065696+(0.109803-0.192015))+0-27.9-0.0142289999999972</f>
        <v>1901.469255</v>
      </c>
      <c r="Y193" s="3">
        <f>2180.5+(279.4-381.8)+(-4.44822+(-0.569976--0.778872))+0-29.4--0.0599759999999987</f>
        <v>2044.5206519999997</v>
      </c>
      <c r="Z193" s="3">
        <f>2177.7+(246.9-417)+(-1.110627+(-0.125919--0.21267))+0-29.4--0.014993999999997</f>
        <v>1977.1911179999997</v>
      </c>
      <c r="AA193" s="3">
        <f>2147.6+(220.9-469.6)+(-3.285828+(-0.337977--0.718488))+0-27--0.0413100000000016</f>
        <v>1869.035993</v>
      </c>
      <c r="AB193" s="3">
        <f>2097.6+(245.5-583.6)+(-4.279104+(-0.50082--1.190544))+0-27--0.0550799999999988</f>
        <v>1728.9657000000002</v>
      </c>
      <c r="AC193" s="3">
        <f>1909.5+(198.4-556)+(-3.89538+(-0.404736--1.13424))+0-27--0.0550799999999988</f>
        <v>1521.7892040000002</v>
      </c>
      <c r="AD193">
        <f t="shared" ref="AD193:AD256" si="3">SUM(F193:AC193)</f>
        <v>37299.660837999996</v>
      </c>
      <c r="AE193" s="3">
        <f>2230.5+(265.9-380.1)+(0+(0-0))+0-28-0</f>
        <v>2088.3000000000002</v>
      </c>
    </row>
    <row r="194" spans="1:31" s="2" customFormat="1" x14ac:dyDescent="0.25">
      <c r="A194">
        <v>89</v>
      </c>
      <c r="B194">
        <v>7</v>
      </c>
      <c r="C194">
        <v>8</v>
      </c>
      <c r="D194">
        <v>6</v>
      </c>
      <c r="E194">
        <v>1</v>
      </c>
      <c r="F194" s="3">
        <f>1721.6+(226.9-584.2)+(-2.634048+(-0.347157--0.893826))+0-27.6--0.0422280000000016</f>
        <v>1334.6548489999998</v>
      </c>
      <c r="G194" s="3">
        <f>1633.5+(250.2-595.4)+(-3.33234+(-0.510408--1.214616))+0-27--0.0550799999999988</f>
        <v>1258.726948</v>
      </c>
      <c r="H194" s="3">
        <f>1506.9+(256.9-534.8)+(-1.537038+(-0.262038--0.545496))+0-27.6--0.0281520000000044</f>
        <v>1200.1745720000001</v>
      </c>
      <c r="I194" s="3">
        <f>1511.9+(257.9-566.2)+(-0.771069+(-0.131529--0.288762))+0-27.6--0.0140759999999972</f>
        <v>1175.4002399999999</v>
      </c>
      <c r="J194" s="3">
        <f>1511.1+(261.6-568)+(-1.541322+(-0.266832--0.57936))+0-27.6--0.0281520000000044</f>
        <v>1175.8993579999999</v>
      </c>
      <c r="K194" s="3">
        <f>1465.2+(226-486)+(-2.989008+(-0.46104--0.99144))+0-28.2--0.0575279999999988</f>
        <v>1174.5989200000001</v>
      </c>
      <c r="L194" s="3">
        <f>1426.4+(162.5-369.4)+(0+(0-0))+0-28-0</f>
        <v>1191.5</v>
      </c>
      <c r="M194" s="3">
        <f>1672.5+(127.7-460.8)+(-0.852975+(-0.065127--0.235008))+0-29.4--0.014993999999997</f>
        <v>1309.3318999999999</v>
      </c>
      <c r="N194" s="3">
        <f>1867.6+(133.4-458.4)+(-0.952476+(-0.068034--0.233784))+0-30.3--0.0154529999999969</f>
        <v>1511.5287269999999</v>
      </c>
      <c r="O194" s="3">
        <f>1943.9+(140.7-425.5)+(-2.974167+(-0.215271--0.651015))+0-30.6--0.0468180000000018</f>
        <v>1626.0083950000003</v>
      </c>
      <c r="P194" s="3">
        <f>2098.2+(139.6-520.7)+(-1.070082+(-0.071196--0.265557))+0-30.9--0.0157589999999969</f>
        <v>1685.3400379999996</v>
      </c>
      <c r="Q194" s="3">
        <f>2099+(140.6-505.5)+(-1.07049+(-0.071706--0.257805))+0-29.7--0.015146999999997</f>
        <v>1703.5307559999999</v>
      </c>
      <c r="R194" s="3">
        <f>2111.7+(137.3-523.2)+(0+(0-0))+0-28-0</f>
        <v>1697.7999999999997</v>
      </c>
      <c r="S194" s="3">
        <f>2107+(129.7-545.1)+(-1.07457+(-0.066147--0.278001))+0-27--0.0137699999999973</f>
        <v>1663.7510539999998</v>
      </c>
      <c r="T194" s="3">
        <f>2101.1+(132.8-592.8)+(-1.071561+(-0.067728--0.302328))+0-30--0.015299999999997</f>
        <v>1610.278339</v>
      </c>
      <c r="U194" s="3">
        <f>2082.2+(136.2-587.1)+(-1.061922+(-0.069462--0.299421))+0-29--0.0147899999999971</f>
        <v>1601.4828269999996</v>
      </c>
      <c r="V194" s="3">
        <f>2026.6+(133.9-536.7)+(-6.201396+(-0.409734--1.642302))+0-29--0.0887400000000034</f>
        <v>1589.9199119999996</v>
      </c>
      <c r="W194" s="3">
        <f>2011.6+(139.4-510.4)+(1.025916+(0.071094-0.260304))+0-29-0.0147899999999971</f>
        <v>1612.421916</v>
      </c>
      <c r="X194" s="3">
        <f>2097.4+(186.9-385.2)+(0+(0-0))+0-30-0</f>
        <v>1869.1000000000001</v>
      </c>
      <c r="Y194" s="3">
        <f>2099.8+(287.7-392.3)+(-4.283592+(-0.586908--0.800292))+0-30--0.0611999999999987</f>
        <v>1961.1909920000003</v>
      </c>
      <c r="Z194" s="3">
        <f>2085.5+(284.1-428.5)+(-4.25442+(-0.579564--0.87414))+0-27--0.0550799999999988</f>
        <v>1910.195236</v>
      </c>
      <c r="AA194" s="3">
        <f>1994+(267.3-420.6)+(-2.03388+(-0.272646--0.429012))+0-27--0.0275400000000043</f>
        <v>1811.8500260000001</v>
      </c>
      <c r="AB194" s="3">
        <f>1895.9+(238.4-437.8)+(-2.900727+(-0.364752--0.669834))+0-27--0.0413100000000016</f>
        <v>1666.945665</v>
      </c>
      <c r="AC194" s="3">
        <f>1641.1+(236.5-366.7)+(-4.184805+(-0.603075--0.935085))+0-27--0.0688499999999961</f>
        <v>1480.1160549999997</v>
      </c>
      <c r="AD194">
        <f t="shared" si="3"/>
        <v>36821.746724999997</v>
      </c>
      <c r="AE194" s="3">
        <f>2097.4+(271.9-355.7)+(0+(0-0))+0-30-0</f>
        <v>1983.6000000000001</v>
      </c>
    </row>
    <row r="195" spans="1:31" s="2" customFormat="1" x14ac:dyDescent="0.25">
      <c r="A195">
        <v>89</v>
      </c>
      <c r="B195">
        <v>7</v>
      </c>
      <c r="C195">
        <v>9</v>
      </c>
      <c r="D195">
        <v>7</v>
      </c>
      <c r="E195">
        <v>1</v>
      </c>
      <c r="F195" s="3">
        <f>1445+(273.1-365.7)+(-0.73695+(-0.139281--0.186507))+0-28--0.0142799999999972</f>
        <v>1323.7245560000001</v>
      </c>
      <c r="G195" s="3">
        <f>1359.7+(282.9-393.6)+(-3.467235+(-0.721395--1.00368))+0-28--0.0713999999999959</f>
        <v>1217.88645</v>
      </c>
      <c r="H195" s="3">
        <f>1367.5+(282-456.2)+(0+(0-0))+0-28-0</f>
        <v>1165.3</v>
      </c>
      <c r="I195" s="3">
        <f>1366.2+(280.5-483.6)+(-2.787048+(-0.57222--0.986544))+0-29--0.0591599999999987</f>
        <v>1131.7864359999999</v>
      </c>
      <c r="J195" s="3">
        <f>1259.5+(284.6-391.6)+(-1.927035+(-0.435438--0.599148))+0-28--0.0428400000000016</f>
        <v>1122.7795150000002</v>
      </c>
      <c r="K195" s="3">
        <f>1182.4+(286.2-311.1)+(-3.01512+(-0.72981--0.793305))+0-29--0.0739499999999958</f>
        <v>1125.622325</v>
      </c>
      <c r="L195" s="3">
        <f>1156.7+(251.5-273.6)+(-1.769751+(-0.384795--0.418608))+0-27--0.0413100000000016</f>
        <v>1105.9053719999999</v>
      </c>
      <c r="M195" s="3">
        <f>1182.9+(227.5-254.8)+(-1.809837+(-0.348075--0.389844))+0-31--0.0474300000000018</f>
        <v>1122.8793620000001</v>
      </c>
      <c r="N195" s="3">
        <f>1282.6+(233.4-220.5)+(-0.654126+(-0.119034--0.112455))+0-30--0.015299999999997</f>
        <v>1264.854595</v>
      </c>
      <c r="O195" s="3">
        <f>1369.8+(240.9-225.4)+(-1.397196+(-0.245718--0.229908))+0-28--0.0285600000000045</f>
        <v>1355.9155539999999</v>
      </c>
      <c r="P195" s="3">
        <f>1527.8+(237.3-304)+(-0.779178+(-0.121023--0.15504))+0-26--0.0132599999999974</f>
        <v>1434.3680989999998</v>
      </c>
      <c r="Q195" s="3">
        <f>1526.7+(222.3-264.7)+(-1.557234+(-0.226746--0.269994))+0-29--0.0295800000000046</f>
        <v>1453.8155940000001</v>
      </c>
      <c r="R195" s="3">
        <f>1522+(186.4-263.3)+(-2.32866+(-0.285192--0.402849))+0-27--0.0413100000000016</f>
        <v>1415.9303070000001</v>
      </c>
      <c r="S195" s="3">
        <f>1522.2+(153.6-270.8)+(-2.328966+(-0.235008--0.414324))+0-29--0.0443700000000017</f>
        <v>1373.89472</v>
      </c>
      <c r="T195" s="3">
        <f>1505.1+(143.2-254.5)+(-3.838005+(-0.36516--0.648975))+0-29--0.0739499999999958</f>
        <v>1361.3197599999999</v>
      </c>
      <c r="U195" s="3">
        <f>1453+(126.7-250.5)+(-2.22309+(-0.193851--0.383265))+0-28--0.0428400000000016</f>
        <v>1299.2091640000001</v>
      </c>
      <c r="V195" s="3">
        <f>1258.3+(196.8-141)+(-1.925199+(-0.301104--0.21573))+0-29--0.0443700000000017</f>
        <v>1283.133797</v>
      </c>
      <c r="W195" s="3">
        <f>1270.5+(277-131.3)+(0+(0-0))+0-27-0</f>
        <v>1389.2</v>
      </c>
      <c r="X195" s="3">
        <f>1416.9+(439.2-139.2)+(-0.722619+(-0.223992--0.070992))+0-28--0.0142799999999972</f>
        <v>1688.0386610000003</v>
      </c>
      <c r="Y195" s="3">
        <f>1557.1+(477.1-167.6)+(-1.588242+(-0.486642--0.170952))+0-27--0.0275400000000043</f>
        <v>1837.723608</v>
      </c>
      <c r="Z195" s="3">
        <f>1555.9+(425.2-175.5)+(-3.174036+(-0.867408--0.35802))+0-26--0.0530399999999989</f>
        <v>1775.9696160000001</v>
      </c>
      <c r="AA195" s="3">
        <f>1560.7+(347.2-167.7)+(-2.387871+(-0.531216--0.256581))+0-27--0.0413100000000016</f>
        <v>1710.5788040000002</v>
      </c>
      <c r="AB195" s="3">
        <f>1549.5+(300.3-237.1)+(-3.951225+(-0.765765--0.604605))+0-27--0.0688499999999961</f>
        <v>1581.656465</v>
      </c>
      <c r="AC195" s="3">
        <f>1378.2+(303.9-271)+(-3.51441+(-0.774945--0.69105))+0-28--0.0713999999999959</f>
        <v>1379.573095</v>
      </c>
      <c r="AD195">
        <f t="shared" si="3"/>
        <v>32921.065854999993</v>
      </c>
      <c r="AE195" s="3">
        <f>1568+(462.1-168.2)+(0+(0-0))+0-29-0</f>
        <v>1832.9</v>
      </c>
    </row>
    <row r="196" spans="1:31" s="2" customFormat="1" x14ac:dyDescent="0.25">
      <c r="A196">
        <v>89</v>
      </c>
      <c r="B196">
        <v>7</v>
      </c>
      <c r="C196">
        <v>10</v>
      </c>
      <c r="D196">
        <v>1</v>
      </c>
      <c r="E196">
        <v>1</v>
      </c>
      <c r="F196" s="3">
        <f>1362.1+(282.8-377)+(-4.168026+(-0.865368--1.15362))+0-27.9--0.0853740000000032</f>
        <v>1236.2055999999998</v>
      </c>
      <c r="G196" s="3">
        <f>1232.4+(295.8-353.7)+(-1.885572+(-0.452574--0.541161))+0-27.9--0.0426870000000016</f>
        <v>1144.8457020000001</v>
      </c>
      <c r="H196" s="3">
        <f>1222.5+(297.7-389.3)+(-3.117375+(-0.759135--0.992715))+0-27.9--0.0711449999999959</f>
        <v>1100.1873499999999</v>
      </c>
      <c r="I196" s="3">
        <f>1237.7+(292.6-417.8)+(-0.631227+(-0.149226--0.213078))+0-27.9--0.0142289999999972</f>
        <v>1084.0468539999997</v>
      </c>
      <c r="J196" s="3">
        <f>1238+(293.4-408.4)+(-1.26276+(-0.299268--0.416568))+0-27.6--0.0281520000000044</f>
        <v>1094.2826920000002</v>
      </c>
      <c r="K196" s="3">
        <f>1238.5+(279.7-372.2)+(-2.52654+(-0.570588--0.759288))+0-28.2--0.0575279999999988</f>
        <v>1115.5196880000001</v>
      </c>
      <c r="L196" s="3">
        <f>1243.7+(267-329.1)+(0.634287+(0.13617-0.167841))+0-28.2-0.0143819999999971</f>
        <v>1153.9882339999997</v>
      </c>
      <c r="M196" s="3">
        <f>1438.5+(237-368.2)+(-0.733635+(-0.12087--0.187782))+0-28.8--0.0146879999999971</f>
        <v>1277.8479649999999</v>
      </c>
      <c r="N196" s="3">
        <f>1766.3+(192.7-429.9)+(-0.900813+(-0.098277--0.219249))+0-30--0.015299999999997</f>
        <v>1498.3354589999999</v>
      </c>
      <c r="O196" s="3">
        <f>2011.8+(194.4-535)+(-1.026018+(-0.099144--0.27285))+0-30--0.015299999999997</f>
        <v>1640.3629879999999</v>
      </c>
      <c r="P196" s="3">
        <f>2137.3+(189.4-596.3)+(0+(0-0))+0-30.9-0</f>
        <v>1699.5</v>
      </c>
      <c r="Q196" s="3">
        <f>2136.5+(187.3-556.5)+(1.089615+(0.095523-0.283815))+0-30.6-0.0156059999999969</f>
        <v>1737.5857170000002</v>
      </c>
      <c r="R196" s="3">
        <f>2137.2+(196.5-588.4)+(0+(0-0))+0-28.2-0</f>
        <v>1717.0999999999997</v>
      </c>
      <c r="S196" s="3">
        <f>2132+(195-619.4)+(0+(0-0))+0-27.3-0</f>
        <v>1680.3</v>
      </c>
      <c r="T196" s="3">
        <f>2152+(224.3-690.9)+(-4.39008+(-0.457572--1.409436))+0-29.1--0.0593639999999987</f>
        <v>1652.9211480000001</v>
      </c>
      <c r="U196" s="3">
        <f>2170.2+(228.5-727.7)+(-6.640812+(-0.69921--2.226762))+0-30.3--0.0927180000000035</f>
        <v>1635.6794579999998</v>
      </c>
      <c r="V196" s="3">
        <f>2154.8+(239-725)+(-5.49474+(-0.60945--1.84875))+0-29.7--0.0757349999999957</f>
        <v>1634.9202950000001</v>
      </c>
      <c r="W196" s="3">
        <f>2146.1+(266.7-709.6)+(3.283533+(0.408051-1.085688))+0-29.7-0.0454410000000017</f>
        <v>1676.0604549999998</v>
      </c>
      <c r="X196" s="3">
        <f>2156.2+(230.7-420.3)+(-1.099662+(-0.117657--0.214353))+0-30.3--0.0154529999999969</f>
        <v>1935.3124869999999</v>
      </c>
      <c r="Y196" s="3">
        <f>2148.4+(295.1-356)+(-5.47842+(-0.752505--0.9078))+0-28.5--0.0726749999999959</f>
        <v>2053.74955</v>
      </c>
      <c r="Z196" s="3">
        <f>2142.9+(277.4-409)+(-3.278637+(-0.424422--0.62577))+0-28--0.0428400000000016</f>
        <v>1980.2655510000002</v>
      </c>
      <c r="AA196" s="3">
        <f>2113.2+(198-429.7)+(-4.310928+(-0.40392--0.876588))+0-28--0.0571199999999988</f>
        <v>1849.7188599999997</v>
      </c>
      <c r="AB196" s="3">
        <f>1882.2+(212.5-369.3)+(-3.839688+(-0.4335--0.753372))+0-28.5--0.0581399999999988</f>
        <v>1693.4383240000002</v>
      </c>
      <c r="AC196" s="3">
        <f>1701.2+(193.1-369.8)+(-5.205672+(-0.590886--1.131588))+0-29.1--0.0890460000000034</f>
        <v>1490.8240760000001</v>
      </c>
      <c r="AD196">
        <f t="shared" si="3"/>
        <v>36782.998453</v>
      </c>
      <c r="AE196" s="3">
        <f>2184+(283.6-352.4)+(0+(0-0))+0-29-0</f>
        <v>2086.1999999999998</v>
      </c>
    </row>
    <row r="197" spans="1:31" s="2" customFormat="1" x14ac:dyDescent="0.25">
      <c r="A197">
        <v>89</v>
      </c>
      <c r="B197">
        <v>7</v>
      </c>
      <c r="C197">
        <v>11</v>
      </c>
      <c r="D197">
        <v>2</v>
      </c>
      <c r="E197">
        <v>1</v>
      </c>
      <c r="F197" s="3">
        <f>1547.9+(235.4-427.6)+(-1.578858+(-0.240108--0.436152))+0-30--0.0306000000000048</f>
        <v>1324.347786</v>
      </c>
      <c r="G197" s="3">
        <f>1482.6+(246.7-475)+(-0.756126+(-0.125817--0.24225))+0-29--0.0147899999999971</f>
        <v>1224.6750969999998</v>
      </c>
      <c r="H197" s="3">
        <f>1479.5+(245.2-510.6)+(-3.772725+(-0.62526--1.30203))+0-29--0.0739499999999958</f>
        <v>1182.0779949999999</v>
      </c>
      <c r="I197" s="3">
        <f>1482.3+(245.5-525.2)+(-1.511946+(-0.25041--0.535704))+0-28--0.0285600000000045</f>
        <v>1173.4019079999998</v>
      </c>
      <c r="J197" s="3">
        <f>1366.7+(250.8-414)+(0+(0-0))+0-28-0</f>
        <v>1175.5</v>
      </c>
      <c r="K197" s="3">
        <f>1278+(246.2-311.8)+(-0.65178+(-0.125562--0.159018))+0-28--0.0142799999999972</f>
        <v>1183.7959560000002</v>
      </c>
      <c r="L197" s="3">
        <f>1279+(241.7-300.9)+(0.65229+(0.123267-0.153459))+0-29-0.0147899999999971</f>
        <v>1191.4073080000001</v>
      </c>
      <c r="M197" s="3">
        <f>1406.3+(183.4-269.8)+(-0.717213+(-0.093534--0.137598))+0-29--0.0147899999999971</f>
        <v>1290.2416409999998</v>
      </c>
      <c r="N197" s="3">
        <f>1789.2+(165.4-405.7)+(0.912492+(0.084354-0.206907))+0-29-0.0147899999999971</f>
        <v>1520.6751490000001</v>
      </c>
      <c r="O197" s="3">
        <f>2078.8+(158.5-571.4)+(-2.120376+(-0.16167--0.582828))+0-30--0.0306000000000048</f>
        <v>1634.2313820000002</v>
      </c>
      <c r="P197" s="3">
        <f>2125.5+(157.6-584.8)+(-2.16801+(-0.160752--0.596496))+0-30--0.0306000000000048</f>
        <v>1666.5983340000002</v>
      </c>
      <c r="Q197" s="3">
        <f>2146.6+(178.9-605)+(1.094766+(0.091239-0.30855))+0-29-0.0147899999999971</f>
        <v>1692.3626650000001</v>
      </c>
      <c r="R197" s="3">
        <f>2140+(195.7-631)+(-1.0914+(-0.099807--0.32181))+0-29--0.0147899999999971</f>
        <v>1674.8453930000001</v>
      </c>
      <c r="S197" s="3">
        <f>2181.3+(196.3-711.1)+(1.112463+(0.100113-0.362661))+0-29-0.0147899999999971</f>
        <v>1638.3351250000003</v>
      </c>
      <c r="T197" s="3">
        <f>2260.9+(190.6-802.4)+(-3.459177+(-0.291618--1.227672))+0-29--0.0443700000000017</f>
        <v>1617.6212470000003</v>
      </c>
      <c r="U197" s="3">
        <f>2281.4+(176.6-805.6)+(-5.81757+(-0.45033--2.05428))+0-29--0.0739499999999958</f>
        <v>1619.2603300000001</v>
      </c>
      <c r="V197" s="3">
        <f>2259.1+(180.9-825.3)+(-3.456423+(-0.276777--1.262709))+0-29--0.0443700000000017</f>
        <v>1583.2738789999999</v>
      </c>
      <c r="W197" s="3">
        <f>2190.8+(199.1-676.3)+(-5.58654+(-0.507705--1.724565))+0-29--0.0739499999999958</f>
        <v>1680.3042700000003</v>
      </c>
      <c r="X197" s="3">
        <f>2289.4+(223.1-547.1)+(-2.335188+(-0.227562--0.558042))+0-29--0.0295800000000046</f>
        <v>1934.4248720000001</v>
      </c>
      <c r="Y197" s="3">
        <f>2288.7+(229.1-510.4)+(-3.501711+(-0.350523--0.780912))+0-29--0.0443700000000017</f>
        <v>1975.3730479999999</v>
      </c>
      <c r="Z197" s="3">
        <f>2303.6+(235.3-579.5)+(-4.699344+(-0.480012--1.18218))+0-28--0.0571199999999988</f>
        <v>1927.4599439999997</v>
      </c>
      <c r="AA197" s="3">
        <f>2327.5+(146.4-613.7)+(-4.7481+(-0.298656--1.251948))+0-29--0.0591599999999987</f>
        <v>1827.4643519999997</v>
      </c>
      <c r="AB197" s="3">
        <f>2123.5+(153.3-561.2)+(-5.414925+(-0.390915--1.43106))+0-28--0.0713999999999959</f>
        <v>1683.2966199999998</v>
      </c>
      <c r="AC197" s="3">
        <f>1791.9+(215.4-461.8)+(-2.741607+(-0.329562--0.706554))+0-29--0.0443700000000017</f>
        <v>1514.1797550000001</v>
      </c>
      <c r="AD197">
        <f t="shared" si="3"/>
        <v>36935.154055999999</v>
      </c>
      <c r="AE197" s="3">
        <f>2299+(230-473)+(0+(0-0))+0-28-0</f>
        <v>2028</v>
      </c>
    </row>
    <row r="198" spans="1:31" s="2" customFormat="1" x14ac:dyDescent="0.25">
      <c r="A198">
        <v>89</v>
      </c>
      <c r="B198">
        <v>7</v>
      </c>
      <c r="C198">
        <v>12</v>
      </c>
      <c r="D198">
        <v>3</v>
      </c>
      <c r="E198">
        <v>5</v>
      </c>
      <c r="F198" s="3">
        <f>1505.3+(252.4-412)+(-1.535406+(-0.257448--0.42024))+0-29--0.0295800000000046</f>
        <v>1315.3569659999998</v>
      </c>
      <c r="G198" s="3">
        <f>1496.2+(259.2-488.5)+(-1.526124+(-0.264384--0.49827))+0-28--0.0285600000000045</f>
        <v>1237.6363220000001</v>
      </c>
      <c r="H198" s="3">
        <f>1498+(260.4-536.7)+(-3.8199+(-0.66402--1.368585))+0-28--0.0713999999999959</f>
        <v>1190.6560649999999</v>
      </c>
      <c r="I198" s="3">
        <f>1413.8+(262.2-480.8)+(1.442076+(0.267444-0.490416))+0-29-0.0295800000000046</f>
        <v>1167.3895239999999</v>
      </c>
      <c r="J198" s="3">
        <f>1387.1+(248.9-450.1)+(-0.707421+(-0.126939--0.229551))+0-27--0.0137699999999973</f>
        <v>1158.308961</v>
      </c>
      <c r="K198" s="3">
        <f>1381.3+(239.5-416.1)+(-1.408926+(-0.24429--0.424422))+0-27--0.0275400000000043</f>
        <v>1176.4987459999998</v>
      </c>
      <c r="L198" s="3">
        <f>1308.6+(186-317.6)+(-2.669544+(-0.37944--0.647904))+0-30.3--0.0618119999999987</f>
        <v>1144.3607319999999</v>
      </c>
      <c r="M198" s="3">
        <f>1309+(213-280.7)+(1.33518+(0.21726-0.286314))+0-30.9-0.0315180000000049</f>
        <v>1211.6346079999998</v>
      </c>
      <c r="N198" s="3">
        <f>1321+(268-208)+(0+(0-0))+0-26.4-0</f>
        <v>1354.6</v>
      </c>
      <c r="O198" s="3">
        <f>1385.4+(290-178.5)+(-2.119662+(-0.4437--0.273105))+0-29.4--0.0449820000000017</f>
        <v>1465.2547249999998</v>
      </c>
      <c r="P198" s="3">
        <f>1613.6+(231.3-250)+(0+(0-0))+0.2-29.4-0</f>
        <v>1565.6999999999998</v>
      </c>
      <c r="Q198" s="3">
        <f>1681.4+(203-320.9)+(0+(0-0))+0.1-29-0</f>
        <v>1534.6</v>
      </c>
      <c r="R198" s="3">
        <f>1992.8+(182.8-592.1)+(-2.032656+(-0.186456--0.603942))+0-28.5--0.0290700000000045</f>
        <v>1553.4139</v>
      </c>
      <c r="S198" s="3">
        <f>1998.3+(192.4-598.5)+(2.038266+(0.196248-0.61047))+0-28.2-0.0287640000000045</f>
        <v>1565.5952799999998</v>
      </c>
      <c r="T198" s="3">
        <f>1976.9+(183.8-618.4)+(-3.024657+(-0.281214--0.946152))+0-30.6--0.0468180000000018</f>
        <v>1509.3870990000003</v>
      </c>
      <c r="U198" s="3">
        <f>1933.2+(166.7-578.7)+(-5.915592+(-0.510102--1.770822))+0-30.3--0.0927180000000035</f>
        <v>1486.3378460000001</v>
      </c>
      <c r="V198" s="3">
        <f>1785.2+(165.3-428.9)+(-4.55226+(-0.421515--1.093695))+0-29.7--0.0757349999999957</f>
        <v>1488.0956550000001</v>
      </c>
      <c r="W198" s="3">
        <f>1786.9+(214.2-418.1)+(0+(0-0))+0-26.4-0</f>
        <v>1556.6</v>
      </c>
      <c r="X198" s="3">
        <f>2002.1+(241.9-359.7)+(-3.063213+(-0.370107--0.550341))+0-30.3--0.0463590000000018</f>
        <v>1851.16338</v>
      </c>
      <c r="Y198" s="3">
        <f>2011.2+(284-320.5)+(-3.077136+(-0.43452--0.490365))+0-30.6--0.0468180000000018</f>
        <v>1941.1255270000001</v>
      </c>
      <c r="Z198" s="3">
        <f>2009.5+(264-361.8)+(-3.074535+(-0.40392--0.553554))+0-30.9--0.0472770000000018</f>
        <v>1877.9223759999998</v>
      </c>
      <c r="AA198" s="3">
        <f>1963.8+(210.1-359.1)+(-5.00769+(-0.535755--0.915705))+0-28.5--0.0726749999999959</f>
        <v>1781.7449349999999</v>
      </c>
      <c r="AB198" s="3">
        <f>1789.9+(196.1-314.4)+(-2.738547+(-0.300033--0.481032))+0-27.9--0.0426870000000016</f>
        <v>1641.1851390000002</v>
      </c>
      <c r="AC198" s="3">
        <f>1677.3+(223.5-417.1)+(-2.566269+(-0.341955--0.638163))+0-26.7--0.0408510000000015</f>
        <v>1454.7707899999998</v>
      </c>
      <c r="AD198">
        <f t="shared" si="3"/>
        <v>35229.338575999995</v>
      </c>
      <c r="AE198" s="3">
        <f>2008+(277.4-323.5)+(0+(0-0))+0-31-0</f>
        <v>1930.9</v>
      </c>
    </row>
    <row r="199" spans="1:31" s="2" customFormat="1" x14ac:dyDescent="0.25">
      <c r="A199">
        <v>89</v>
      </c>
      <c r="B199">
        <v>7</v>
      </c>
      <c r="C199">
        <v>13</v>
      </c>
      <c r="D199">
        <v>4</v>
      </c>
      <c r="E199">
        <v>1</v>
      </c>
      <c r="F199" s="3">
        <f>1611.8+(237.5-538.2)+(0+(0-0))+0-27-0</f>
        <v>1284.0999999999999</v>
      </c>
      <c r="G199" s="3">
        <f>1538.3+(243.2-569.2)+(-0.784533+(-0.124032--0.290292))+0-27.3--0.0139229999999972</f>
        <v>1184.3956499999999</v>
      </c>
      <c r="H199" s="3">
        <f>1539.4+(247.5-607.6)+(0.785094+(0.126225-0.309876))+0-27-0.0137699999999973</f>
        <v>1152.8876730000002</v>
      </c>
      <c r="I199" s="3">
        <f>1545.6+(250.3-629.7)+(3.153024+(0.510612-1.284588))+0-28.5-0.0581399999999988</f>
        <v>1140.0209079999997</v>
      </c>
      <c r="J199" s="3">
        <f>1526.2+(247.1-614.7)+(-2.335086+(-0.378063--0.940491))+0-28.5--0.0436050000000016</f>
        <v>1128.3709469999999</v>
      </c>
      <c r="K199" s="3">
        <f>1475.6+(239-532.9)+(-2.257668+(-0.36567--0.815337))+0-28.8--0.0440640000000017</f>
        <v>1151.1360629999997</v>
      </c>
      <c r="L199" s="3">
        <f>1471.1+(179.2-418.5)+(0+(0-0))+0-29-0</f>
        <v>1202.8</v>
      </c>
      <c r="M199" s="3">
        <f>1405.8+(150.1-248.4)+(0.716958+(0.076551-0.126684))+0-30-0.015299999999997</f>
        <v>1278.151525</v>
      </c>
      <c r="N199" s="3">
        <f>1596.4+(153.5-253.9)+(0+(0-0))+0-30.6-0</f>
        <v>1465.4</v>
      </c>
      <c r="O199" s="3">
        <f>1697.2+(184.2-258)+(-2.596716+(-0.281826--0.39474))+0-29.7--0.0454410000000017</f>
        <v>1591.2616390000001</v>
      </c>
      <c r="P199" s="3">
        <f>1975.6+(167.2-451)+(1.007556+(0.085272-0.23001))+0-30.9-0.0157589999999969</f>
        <v>1661.747059</v>
      </c>
      <c r="Q199" s="3">
        <f>2195.8+(168.6-600.9)+(0+(0-0))+0-31.2-0</f>
        <v>1732.3000000000002</v>
      </c>
      <c r="R199" s="3">
        <f>2236.6+(174.2-688.3)+(-1.140666+(-0.088842--0.351033))+0-29--0.0147899999999971</f>
        <v>1692.636315</v>
      </c>
      <c r="S199" s="3">
        <f>2297.9+(171.5-805.9)+(3.515787+(0.262395-1.233027))+0-29-0.0443700000000017</f>
        <v>1637.000785</v>
      </c>
      <c r="T199" s="3">
        <f>2303.3+(159.9-823.1)+(-1.174683+(-0.081549--0.419781))+0-29--0.0147899999999971</f>
        <v>1610.2783390000002</v>
      </c>
      <c r="U199" s="3">
        <f>2297.3+(115.7-814.6)+(-4.686492+(-0.236028--1.661784))+0-31--0.0632399999999986</f>
        <v>1564.2025040000001</v>
      </c>
      <c r="V199" s="3">
        <f>2222.4+(116.3-758.5)+(-3.400272+(-0.177939--1.160505))+0-29--0.0443700000000017</f>
        <v>1548.8266640000002</v>
      </c>
      <c r="W199" s="3">
        <f>2091.3+(207.6-713.5)+(-3.199689+(-0.317628--1.091655))+0-26--0.0397800000000015</f>
        <v>1557.0141180000001</v>
      </c>
      <c r="X199" s="3">
        <f>2404.9+(218.3-634.1)+(1.226499+(0.111333-0.323391))+0-31-0.0158099999999969</f>
        <v>1959.0986310000001</v>
      </c>
      <c r="Y199" s="3">
        <f>2410.7+(197-586.2)+(-4.917828+(-0.40188--1.195848))+0-31--0.0632399999999986</f>
        <v>1986.4393799999998</v>
      </c>
      <c r="Z199" s="3">
        <f>2347+(223-610.5)+(1.19697+(0.11373-0.311355))+0-30-0.015299999999997</f>
        <v>1930.4840449999999</v>
      </c>
      <c r="AA199" s="3">
        <f>2244.3+(142.4-546)+(-3.433779+(-0.217872--0.83538))+0-28--0.0428400000000016</f>
        <v>1809.9265690000004</v>
      </c>
      <c r="AB199" s="3">
        <f>2155.5+(182.5-604.6)+(-4.39722+(-0.3723--1.233384))+0-28--0.0571199999999988</f>
        <v>1701.9209840000001</v>
      </c>
      <c r="AC199" s="3">
        <f>1872.8+(231-588.1)+(-1.910256+(-0.23562--0.599862))+0-28--0.0285600000000045</f>
        <v>1486.1825459999998</v>
      </c>
      <c r="AD199">
        <f t="shared" si="3"/>
        <v>36456.582343999995</v>
      </c>
      <c r="AE199" s="3">
        <f>2450+(223.6-597.5)+(0+(0-0))+0-31-0</f>
        <v>2045.1</v>
      </c>
    </row>
    <row r="200" spans="1:31" s="2" customFormat="1" x14ac:dyDescent="0.25">
      <c r="A200">
        <v>89</v>
      </c>
      <c r="B200">
        <v>7</v>
      </c>
      <c r="C200">
        <v>14</v>
      </c>
      <c r="D200">
        <v>5</v>
      </c>
      <c r="E200">
        <v>1</v>
      </c>
      <c r="F200" s="3">
        <f>1604.8+(249.6-529.1)+(-1.636896+(-0.254592--0.539682))+0-27--0.0275400000000043</f>
        <v>1296.9757340000001</v>
      </c>
      <c r="G200" s="3">
        <f>1594.3+(250.6-616.6)+(-0.813093+(-0.127806--0.314466))+0-27--0.0137699999999973</f>
        <v>1200.6873370000001</v>
      </c>
      <c r="H200" s="3">
        <f>1629.1+(244.7-693.8)+(-2.492523+(-0.374391--1.061514))+0-27--0.0413100000000016</f>
        <v>1151.2359100000001</v>
      </c>
      <c r="I200" s="3">
        <f>1633.9+(242.9-722.7)+(-1.666578+(-0.247758--0.737154))+0-28--0.0285600000000045</f>
        <v>1124.951378</v>
      </c>
      <c r="J200" s="3">
        <f>1636.2+(247.7-717.1)+(-0.834462+(-0.126327--0.365721))+0-28--0.0142799999999972</f>
        <v>1138.219212</v>
      </c>
      <c r="K200" s="3">
        <f>1631.6+(242-680.7)+(-3.328464+(-0.49368--1.388628))+0-28--0.0571199999999988</f>
        <v>1162.5236039999998</v>
      </c>
      <c r="L200" s="3">
        <f>1533.3+(177.1-500.4)+(-0.781983+(-0.090321--0.255204))+0-28--0.0142799999999972</f>
        <v>1181.3971800000002</v>
      </c>
      <c r="M200" s="3">
        <f>1631+(166.6-478)+(0.83181+(0.084966-0.24378))+0-30-0.015299999999997</f>
        <v>1290.2576959999999</v>
      </c>
      <c r="N200" s="3">
        <f>1786.3+(148.4-420.8)+(1.822026+(0.151368-0.429216))+0-31-0.0316200000000049</f>
        <v>1484.4125580000002</v>
      </c>
      <c r="O200" s="3">
        <f>2082+(138.4-569.9)+(-1.06182+(-0.070584--0.290649))+0-31--0.0158099999999969</f>
        <v>1618.6740550000002</v>
      </c>
      <c r="P200" s="3">
        <f>2081.9+(159.8-550.7)+(-3.185307+(-0.244494--0.842571))+0-31--0.0474300000000018</f>
        <v>1657.4602</v>
      </c>
      <c r="Q200" s="3">
        <f>2179.6+(167-638.1)+(0+(0-0))+0-31-0</f>
        <v>1677.5</v>
      </c>
      <c r="R200" s="3">
        <f>2252.2+(169.1-774.3)+(1.148622+(0.086241-0.394893))+0-28.8-0.0146879999999971</f>
        <v>1619.0252820000001</v>
      </c>
      <c r="S200" s="3">
        <f>2258+(160.8-746.4)+(1.15158+(0.082008-0.380664))+0-28.8-0.0146879999999971</f>
        <v>1644.4382360000002</v>
      </c>
      <c r="T200" s="3">
        <f>2209.7+(136.6-715)+(-5.634735+(-0.34833--1.82325))+0-29.7--0.0757349999999957</f>
        <v>1597.5159199999996</v>
      </c>
      <c r="U200" s="3">
        <f>2208.2+(126-686.5)+(-2.252364+(-0.12852--0.70023))+0-30--0.0306000000000048</f>
        <v>1616.0499459999999</v>
      </c>
      <c r="V200" s="3">
        <f>2206.1+(132.6-688.5)+(-4.500444+(-0.270504--1.40454))+0-30.3--0.0618119999999987</f>
        <v>1616.5954039999997</v>
      </c>
      <c r="W200" s="3">
        <f>2249.5+(191.1-750.6)+(-1.147245+(-0.097461--0.382806))+0-30.9--0.0157589999999969</f>
        <v>1658.2538589999997</v>
      </c>
      <c r="X200" s="3">
        <f>2410.3+(203.8-591.2)+(-2.458506+(-0.207876--0.603024))+0-30.9--0.0315180000000049</f>
        <v>1989.9681599999999</v>
      </c>
      <c r="Y200" s="3">
        <f>2286.2+(228.2-463.6)+(-4.663848+(-0.465528--0.945744))+0-30.6--0.0624239999999987</f>
        <v>2016.0787919999998</v>
      </c>
      <c r="Z200" s="3">
        <f>2056.2+(257.5-345.2)+(-2.097324+(-0.26265--0.352104))+0-28.8--0.0293760000000046</f>
        <v>1937.7215059999999</v>
      </c>
      <c r="AA200" s="3">
        <f>2029.5+(179.7-345.5)+(-7.245315+(-0.641529--1.233435))+0-29.1--0.103887</f>
        <v>1828.0504780000001</v>
      </c>
      <c r="AB200" s="3">
        <f>2044.4+(167-524.8)+(-2.085288+(-0.17034--0.535296))+0-27.9--0.0284580000000044</f>
        <v>1657.0081259999999</v>
      </c>
      <c r="AC200" s="3">
        <f>1934.5+(237.1-657.2)+(-3.94638+(-0.483684--1.340688))+0-27.9--0.0569159999999988</f>
        <v>1483.4675400000001</v>
      </c>
      <c r="AD200">
        <f t="shared" si="3"/>
        <v>36648.468112999995</v>
      </c>
      <c r="AE200" s="3">
        <f>2382+(221.1-536.1)+(0+(0-0))+0-30-0</f>
        <v>2037</v>
      </c>
    </row>
    <row r="201" spans="1:31" s="2" customFormat="1" x14ac:dyDescent="0.25">
      <c r="A201">
        <v>89</v>
      </c>
      <c r="B201">
        <v>7</v>
      </c>
      <c r="C201">
        <v>15</v>
      </c>
      <c r="D201">
        <v>6</v>
      </c>
      <c r="E201">
        <v>1</v>
      </c>
      <c r="F201" s="3">
        <f>1826+(254.2-755.1)+(-2.79378+(-0.388926--1.155303))+0-28--0.0428400000000016</f>
        <v>1295.1154369999999</v>
      </c>
      <c r="G201" s="3">
        <f>1771.6+(255.6-790.3)+(-0.903516+(-0.130356--0.403053))+0-27--0.0137699999999973</f>
        <v>1209.2829510000001</v>
      </c>
      <c r="H201" s="3">
        <f>1741.4+(254.4-779.7)+(-2.664342+(-0.389232--1.192941))+0-28--0.0428400000000016</f>
        <v>1186.282207</v>
      </c>
      <c r="I201" s="3">
        <f>1705.4+(256.7-775.5)+(-4.34877+(-0.654585--1.977525))+0-28--0.0713999999999959</f>
        <v>1155.6455700000001</v>
      </c>
      <c r="J201" s="3">
        <f>1705.6+(254.5-777)+(-0.869856+(-0.129795--0.39627))+0-27--0.0137699999999973</f>
        <v>1155.510389</v>
      </c>
      <c r="K201" s="3">
        <f>1685.9+(233.4-722.7)+(-2.579427+(-0.357102--1.105731))+0-28--0.0428400000000016</f>
        <v>1166.812042</v>
      </c>
      <c r="L201" s="3">
        <f>1519.8+(172.4-481.1)+(1.550196+(0.175848-0.490722))+0-30-0.0306000000000048</f>
        <v>1182.3047219999999</v>
      </c>
      <c r="M201" s="3">
        <f>1699.2+(170.4-588.5)+(0.866592+(0.086904-0.300135))+0-31.5-0.0160649999999968</f>
        <v>1250.2372959999998</v>
      </c>
      <c r="N201" s="3">
        <f>1905.8+(219.3-596.6)+(-0.971958+(-0.111843--0.304266))+0-30.9--0.0157589999999969</f>
        <v>1496.8362239999999</v>
      </c>
      <c r="O201" s="3">
        <f>1957.2+(212.8-552.6)+(0+(0-0))+0-30.9-0</f>
        <v>1586.5</v>
      </c>
      <c r="P201" s="3">
        <f>2017.8+(215.9-604.2)+(-1.029078+(-0.110109--0.308142))+0-30--0.015299999999997</f>
        <v>1598.6842550000001</v>
      </c>
      <c r="Q201" s="3">
        <f>2104.9+(218.7-667.5)+(-1.073499+(-0.111537--0.340425))+0-30--0.015299999999997</f>
        <v>1625.2706890000002</v>
      </c>
      <c r="R201" s="3">
        <f>2224.3+(214.3-805.7)+(-3.403179+(-0.327879--1.232721))+0-29--0.0443700000000017</f>
        <v>1601.4460330000002</v>
      </c>
      <c r="S201" s="3">
        <f>2212.1+(215.7-826.6)+(-2.256342+(-0.220014--0.843132))+0-20--0.0204000000000032</f>
        <v>1579.587176</v>
      </c>
      <c r="T201" s="3">
        <f>2122.8+(214.4-771.1)+(-4.330512+(-0.437376--1.573044))+0-29--0.0591599999999987</f>
        <v>1533.9643160000001</v>
      </c>
      <c r="U201" s="3">
        <f>2075.1+(221.9-730.9)+(-7.408107+(-0.792183--2.609313))+0-31--0.11067</f>
        <v>1529.6196929999999</v>
      </c>
      <c r="V201" s="3">
        <f>2017.4+(221.2-688.9)+(-2.057748+(-0.225624--0.702678))+0-30--0.0306000000000048</f>
        <v>1518.1499060000001</v>
      </c>
      <c r="W201" s="3">
        <f>2026.5+(270.5-676.8)+(-2.06703+(-0.27591--0.690336))+0-29--0.0295800000000046</f>
        <v>1589.5769759999998</v>
      </c>
      <c r="X201" s="3">
        <f>2233.4+(289.4-587.7)+(-3.417102+(-0.442782--0.899181))+0-29--0.0443700000000017</f>
        <v>1903.183667</v>
      </c>
      <c r="Y201" s="3">
        <f>2194+(298-501.7)+(-3.35682+(-0.45594--0.767601))+0-29--0.0443700000000017</f>
        <v>1958.299211</v>
      </c>
      <c r="Z201" s="3">
        <f>2060.3+(289.9-430.2)+(1.050753+(0.147849-0.219402))+0-29-0.0147899999999971</f>
        <v>1891.9644100000003</v>
      </c>
      <c r="AA201" s="3">
        <f>1925.4+(252.1-340.1)+(-3.927816+(-0.514284--0.693804))+0-29--0.0591599999999987</f>
        <v>1804.7108640000001</v>
      </c>
      <c r="AB201" s="3">
        <f>1884.3+(215.9-427.2)+(-1.921986+(-0.220218--0.435744))+0-29--0.0295800000000046</f>
        <v>1642.3231199999998</v>
      </c>
      <c r="AC201" s="3">
        <f>1637.9+(263.1-389.7)+(-3.341316+(-0.536724--0.794988))+0-29--0.0591599999999987</f>
        <v>1479.2761080000002</v>
      </c>
      <c r="AD201">
        <f t="shared" si="3"/>
        <v>35940.583262000007</v>
      </c>
      <c r="AE201" s="3">
        <f>2245+(273.2-524.9)+(0+(0-0))+0-29-0</f>
        <v>1964.3</v>
      </c>
    </row>
    <row r="202" spans="1:31" s="2" customFormat="1" x14ac:dyDescent="0.25">
      <c r="A202">
        <v>89</v>
      </c>
      <c r="B202">
        <v>7</v>
      </c>
      <c r="C202">
        <v>16</v>
      </c>
      <c r="D202">
        <v>7</v>
      </c>
      <c r="E202">
        <v>1</v>
      </c>
      <c r="F202" s="3">
        <f>1410.9+(183.1-496.8)+(-2.158677+(-0.280143--0.760104))+0-28--0.0428400000000016</f>
        <v>1067.5641240000002</v>
      </c>
      <c r="G202" s="3">
        <f>1345.9+(175-528.4)+(-0.686409+(-0.08925--0.269484))+0-28--0.0142799999999972</f>
        <v>964.00810500000011</v>
      </c>
      <c r="H202" s="3">
        <f>1336.3+(175.1-578.3)+(0+(0-0))+0-29-0</f>
        <v>904.1</v>
      </c>
      <c r="I202" s="3">
        <f>1333.6+(175.8-601.1)+(0.680136+(0.089658-0.306561))+0-29-0.0147899999999971</f>
        <v>879.74844299999995</v>
      </c>
      <c r="J202" s="3">
        <f>1332.4+(170.8-596.4)+(0+(0-0))+0-28-0</f>
        <v>878.80000000000018</v>
      </c>
      <c r="K202" s="3">
        <f>1331.2+(161.1-552.2)+(-3.39456+(-0.410805--1.40811))+0-29--0.0739499999999958</f>
        <v>908.77669500000002</v>
      </c>
      <c r="L202" s="3">
        <f>1294.3+(130.8-444.4)+(-3.300465+(-0.33354--1.13322))+0-29--0.0739499999999958</f>
        <v>949.27316500000006</v>
      </c>
      <c r="M202" s="3">
        <f>1379.1+(119.9-511.3)+(2.110023+(0.183447-0.782289))+0-30-0.0459000000000017</f>
        <v>959.16528099999994</v>
      </c>
      <c r="N202" s="3">
        <f>1409+(131.4-437.1)+(-1.43718+(-0.134028--0.445842))+0-32--0.0326400000000051</f>
        <v>1070.2072739999999</v>
      </c>
      <c r="O202" s="3">
        <f>1388+(161.9-341)+(-1.41576+(-0.165138--0.34782))+0-31--0.0316200000000049</f>
        <v>1176.6985420000001</v>
      </c>
      <c r="P202" s="3">
        <f>1534.5+(156.2-413.5)+(-2.347785+(-0.238986--0.632655))+0-31--0.0474300000000018</f>
        <v>1244.293314</v>
      </c>
      <c r="Q202" s="3">
        <f>1894.2+(117-692)+(-0.966042+(-0.05967--0.35292))+0-26--0.0132599999999974</f>
        <v>1292.5404679999999</v>
      </c>
      <c r="R202" s="3">
        <f>1938.4+(185.3-685.1)+(-2.965752+(-0.283509--1.048203))+0-28--0.0428400000000016</f>
        <v>1408.4417820000001</v>
      </c>
      <c r="S202" s="3">
        <f>1993.9+(186.1-763.5)+(0+(0-0))+0-29-0</f>
        <v>1387.5</v>
      </c>
      <c r="T202" s="3">
        <f>1994.8+(189.8-790.4)+(-3.052044+(-0.290394--1.209312))+0-29--0.0443700000000017</f>
        <v>1363.1112440000002</v>
      </c>
      <c r="U202" s="3">
        <f>1832.1+(201-656.2)+(-3.737484+(-0.41004--1.338648))+0-29--0.0591599999999987</f>
        <v>1345.1502839999998</v>
      </c>
      <c r="V202" s="3">
        <f>1769.8+(212.6-601.8)+(-3.610392+(-0.433704--1.227672))+0-30--0.0611999999999987</f>
        <v>1347.8447759999999</v>
      </c>
      <c r="W202" s="3">
        <f>1817+(248.1-586.9)+(-4.63335+(-0.632655--1.496595))+0-29--0.0739499999999958</f>
        <v>1445.5045399999999</v>
      </c>
      <c r="X202" s="3">
        <f>1971.6+(261.1-438.4)+(-4.022064+(-0.532644--0.894336))+0-31--0.0632399999999986</f>
        <v>1759.7028679999999</v>
      </c>
      <c r="Y202" s="3">
        <f>2009.3+(281.4-424.6)+(-2.049486+(-0.287028--0.433092))+0-30--0.0306000000000048</f>
        <v>1834.2271779999999</v>
      </c>
      <c r="Z202" s="3">
        <f>2010.6+(300.8-484.9)+(-3.076218+(-0.460224--0.741897))+0-30--0.0459000000000017</f>
        <v>1793.7513550000001</v>
      </c>
      <c r="AA202" s="3">
        <f>2008.2+(245.8-515.4)+(-3.072546+(-0.376074--0.788562))+0-29--0.0443700000000017</f>
        <v>1706.9843120000003</v>
      </c>
      <c r="AB202" s="3">
        <f>1926.4+(235.2-600.5)+(-4.91232+(-0.59976--1.531275))+0-29--0.0739499999999958</f>
        <v>1528.1931450000002</v>
      </c>
      <c r="AC202" s="3">
        <f>1595.8+(262.9-471.2)+(-1.627716+(-0.268158--0.480624))+0-28--0.0285600000000045</f>
        <v>1358.11331</v>
      </c>
      <c r="AD202">
        <f t="shared" si="3"/>
        <v>30573.700205000005</v>
      </c>
      <c r="AE202" s="3">
        <f>2009.5+(266.8-368.3)+(0+(0-0))+0-29.1-0</f>
        <v>1878.9</v>
      </c>
    </row>
    <row r="203" spans="1:31" s="2" customFormat="1" x14ac:dyDescent="0.25">
      <c r="A203">
        <v>89</v>
      </c>
      <c r="B203">
        <v>7</v>
      </c>
      <c r="C203">
        <v>17</v>
      </c>
      <c r="D203">
        <v>1</v>
      </c>
      <c r="E203">
        <v>1</v>
      </c>
      <c r="F203" s="3">
        <f>1514.1+(262.7-542.7)+(-3.860955+(-0.669885--1.383885))+0-27--0.0688499999999961</f>
        <v>1204.0218949999999</v>
      </c>
      <c r="G203" s="3">
        <f>1514.8+(261.1-626.1)+(-3.86274+(-0.665805--1.596555))+0-28--0.0713999999999959</f>
        <v>1118.93941</v>
      </c>
      <c r="H203" s="3">
        <f>1516.4+(258.7-663)+(-0.773364+(-0.131937--0.33813))+0-29--0.0147899999999971</f>
        <v>1082.5476190000002</v>
      </c>
      <c r="I203" s="3">
        <f>1475.8+(249.7-631.6)+(-3.010632+(-0.509388--1.288464))+0-29--0.0591599999999987</f>
        <v>1062.7276039999999</v>
      </c>
      <c r="J203" s="3">
        <f>1350.4+(251.8-507.8)+(-0.688704+(-0.128418--0.258978))+0-29--0.0147899999999971</f>
        <v>1064.856646</v>
      </c>
      <c r="K203" s="3">
        <f>1347.8+(215.6-441.6)+(0+(0-0))+0-29-0</f>
        <v>1092.8</v>
      </c>
      <c r="L203" s="3">
        <f>1365.1+(191.4-387.1)+(0.696201+(0.097614-0.197421))+0-28-0.0142799999999972</f>
        <v>1141.9821139999997</v>
      </c>
      <c r="M203" s="3">
        <f>1775.5+(183.7-667.6)+(-0.905505+(-0.093687--0.340476))+0-31--0.0158099999999969</f>
        <v>1259.9570940000001</v>
      </c>
      <c r="N203" s="3">
        <f>2085.9+(178.1-779.5)+(-1.063809+(-0.090831--0.397545))+0-27--0.0137699999999973</f>
        <v>1456.7566750000001</v>
      </c>
      <c r="O203" s="3">
        <f>2297+(177.5-861.5)+(-2.34294+(-0.18105--0.87873))+0-31--0.0316200000000049</f>
        <v>1580.38636</v>
      </c>
      <c r="P203" s="3">
        <f>2325.4+(177.5-818)+(-1.185954+(-0.090525--0.41718))+0-31--0.0158099999999969</f>
        <v>1653.0565110000002</v>
      </c>
      <c r="Q203" s="3">
        <f>2325+(177.4-803.5)+(-2.3715+(-0.180948--0.81957))+0-30--0.0306000000000048</f>
        <v>1667.1977220000001</v>
      </c>
      <c r="R203" s="3">
        <f>2413.1+(97.4-901.9)+(-1.230681+(-0.049674--0.459969))+0-27.9--0.0142289999999972</f>
        <v>1579.8938429999996</v>
      </c>
      <c r="S203" s="3">
        <f>2417.1+(98.5-939.9)+(-2.465442+(-0.10047--0.958698))+0-27.9--0.0284580000000044</f>
        <v>1546.2212439999996</v>
      </c>
      <c r="T203" s="3">
        <f>2413.7+(98.1-962.2)+(-2.461974+(-0.100062--0.981444))+0-29.1--0.0296820000000046</f>
        <v>1518.9490900000001</v>
      </c>
      <c r="U203" s="3">
        <f>2411.4+(100-947.9)+(-4.919256+(-0.204--1.933716))+0-30.9--0.0630359999999986</f>
        <v>1529.4734959999998</v>
      </c>
      <c r="V203" s="3">
        <f>2321.6+(100-858.4)+(-7.104096+(-0.306--2.626704))+0-30.9--0.0945540000000036</f>
        <v>1527.6111619999997</v>
      </c>
      <c r="W203" s="3">
        <f>2245.9+(131.3-801)+(-2.290818+(-0.133926--0.81702))+0-28.5--0.0290700000000045</f>
        <v>1546.1213460000001</v>
      </c>
      <c r="X203" s="3">
        <f>2439+(125.6-662.8)+(-3.73167+(-0.192168--1.014084))+0-29.7--0.0454410000000017</f>
        <v>1869.2356870000001</v>
      </c>
      <c r="Y203" s="3">
        <f>2458.6+(121.6-615.7)+(-6.26943+(-0.31008--1.570035))+0-28.2--0.0719099999999959</f>
        <v>1931.3624349999998</v>
      </c>
      <c r="Z203" s="3">
        <f>2351.8+(138.8-598.6)+(-3.598254+(-0.212364--0.915858))+0-28.8--0.0440640000000017</f>
        <v>1860.3493040000003</v>
      </c>
      <c r="AA203" s="3">
        <f>2270+(121.3-583.4)+(-5.7885+(-0.309315--1.48767))+0-28.5--0.0726749999999959</f>
        <v>1774.8625299999999</v>
      </c>
      <c r="AB203" s="3">
        <f>2157.1+(110.5-616.9)+(-5.500605+(-0.281775--1.573095))+0-28.2--0.0719099999999959</f>
        <v>1618.3626249999998</v>
      </c>
      <c r="AC203" s="3">
        <f>1652.6+(123-367.1)+(0+(0-0))+0-27.9-0</f>
        <v>1380.6</v>
      </c>
      <c r="AD203">
        <f t="shared" si="3"/>
        <v>35068.272411999998</v>
      </c>
      <c r="AE203" s="3">
        <f>2435+(207.7-595.8)+(0+(0-0))+0-29.7-0</f>
        <v>2017.2</v>
      </c>
    </row>
    <row r="204" spans="1:31" s="2" customFormat="1" x14ac:dyDescent="0.25">
      <c r="A204">
        <v>89</v>
      </c>
      <c r="B204">
        <v>7</v>
      </c>
      <c r="C204">
        <v>18</v>
      </c>
      <c r="D204">
        <v>2</v>
      </c>
      <c r="E204">
        <v>1</v>
      </c>
      <c r="F204" s="3">
        <f>1548.3+(229.8-465.9)+(0+(0-0))+0-28-0</f>
        <v>1284.2</v>
      </c>
      <c r="G204" s="3">
        <f>1528.5+(232.3-535.5)+(0+(0-0))+0-28-0</f>
        <v>1197.3</v>
      </c>
      <c r="H204" s="3">
        <f>1447.2+(248.8-516.7)+(0+(0-0))+0-28-0</f>
        <v>1151.3</v>
      </c>
      <c r="I204" s="3">
        <f>1428.8+(245.3-505.4)+(0+(0-0))+0-28-0</f>
        <v>1140.7</v>
      </c>
      <c r="J204" s="3">
        <f>1597.8+(226.2-653.9)+(0+(0-0))+0-28-0</f>
        <v>1142.0999999999999</v>
      </c>
      <c r="K204" s="3">
        <f>1627.7+(221.6-656.9)+(0+(0-0))+0-28-0</f>
        <v>1164.4000000000001</v>
      </c>
      <c r="L204" s="3">
        <f>1536.6+(219.4-534.6)+(0+(0-0))+0-28-0</f>
        <v>1193.3999999999999</v>
      </c>
      <c r="M204" s="3">
        <f>1537.7+(194.7-425.7)+(0+(0-0))+0-30-0</f>
        <v>1276.7</v>
      </c>
      <c r="N204" s="3">
        <f>1873.1+(189.2-549.3)+(0+(0-0))+0-30-0</f>
        <v>1483</v>
      </c>
      <c r="O204" s="3">
        <f>2212.9+(201.6-771.5)+(0+(0-0))+0-31-0</f>
        <v>1612</v>
      </c>
      <c r="P204" s="3">
        <f>2340.5+(201.6-859.5)+(0+(0-0))+0-30-0</f>
        <v>1652.6</v>
      </c>
      <c r="Q204" s="3">
        <f>2412.7+(215.8-907.8)+(0+(0-0))+0-31-0</f>
        <v>1689.6999999999998</v>
      </c>
      <c r="R204" s="3">
        <f>2353+(202.7-865.5)+(-1.20003+(-0.103377--0.441405))+0-29--0.0147899999999971</f>
        <v>1660.3527879999999</v>
      </c>
      <c r="S204" s="3">
        <f>2362.2+(203.5-899.9)+(-2.409444+(-0.20757--0.917898))+0-28--0.0285600000000045</f>
        <v>1636.1294439999997</v>
      </c>
      <c r="T204" s="3">
        <f>2333.7+(197.2-895.2)+(-2.380374+(-0.201144--0.913104))+0-30--0.0306000000000048</f>
        <v>1604.0621859999999</v>
      </c>
      <c r="U204" s="3">
        <f>2230.4+(200.4-808.5)+(-4.550016+(-0.408816--1.64934))+0-31--0.0632399999999986</f>
        <v>1588.053748</v>
      </c>
      <c r="V204" s="3">
        <f>2238.8+(205.8-825.3)+(-3.425364+(-0.314874--1.262709))+0-31--0.0474300000000018</f>
        <v>1585.8699010000003</v>
      </c>
      <c r="W204" s="3">
        <f>2354.2+(232.5-897.8)+(0+(0-0))+0-31-0</f>
        <v>1657.8999999999999</v>
      </c>
      <c r="X204" s="3">
        <f>2523.6+(225.3-733.9)+(-1.287036+(-0.114903--0.374289))+0-30--0.015299999999997</f>
        <v>1983.98765</v>
      </c>
      <c r="Y204" s="3">
        <f>2508.9+(229-674.1)+(-3.838617+(-0.35037--1.031373))+0-31--0.0474300000000018</f>
        <v>2029.6898160000001</v>
      </c>
      <c r="Z204" s="3">
        <f>2493.1+(230.3-733.5)+(-7.628886+(-0.704718--2.24451))+0-31--0.0948600000000036</f>
        <v>1952.9057659999999</v>
      </c>
      <c r="AA204" s="3">
        <f>2347.9+(202.9-689.8)+(-2.394858+(-0.206958--0.703596))+0-28--0.0285600000000045</f>
        <v>1831.1303399999999</v>
      </c>
      <c r="AB204" s="3">
        <f>2282.7+(202.6-790.1)+(-6.985062+(-0.619956--2.417706))+0-29--0.0887400000000034</f>
        <v>1661.1014279999997</v>
      </c>
      <c r="AC204" s="3">
        <f>2077.6+(191.7-787.5)+(-5.29788+(-0.488835--2.008125))+0-28.5--0.0726749999999959</f>
        <v>1449.594085</v>
      </c>
      <c r="AD204">
        <f t="shared" si="3"/>
        <v>36628.177151999997</v>
      </c>
      <c r="AE204" s="3">
        <f>2525+(215.7-666.8)+(0+(0-0))+0-29.7-0</f>
        <v>2044.2</v>
      </c>
    </row>
    <row r="205" spans="1:31" s="2" customFormat="1" x14ac:dyDescent="0.25">
      <c r="A205">
        <v>89</v>
      </c>
      <c r="B205">
        <v>7</v>
      </c>
      <c r="C205">
        <v>19</v>
      </c>
      <c r="D205">
        <v>3</v>
      </c>
      <c r="E205">
        <v>1</v>
      </c>
      <c r="F205" s="3">
        <f>2010.3+(236.4-919.8)+(1.025253+(0.120564-0.469098))+0-28.5-0.0145349999999971</f>
        <v>1299.0621840000001</v>
      </c>
      <c r="G205" s="3">
        <f>1798.9+(253.1-838.5)+(-3.669756+(-0.516324--1.71054))+0-28--0.0571199999999988</f>
        <v>1183.08158</v>
      </c>
      <c r="H205" s="3">
        <f>1711.8+(252-793.7)+(-3.492072+(-0.51408--1.619148))+0-27--0.0550799999999988</f>
        <v>1140.7680760000001</v>
      </c>
      <c r="I205" s="3">
        <f>1643.7+(247.7-739.7)+(-1.676574+(-0.252654--0.754494))+0-28--0.0285600000000045</f>
        <v>1122.5538260000001</v>
      </c>
      <c r="J205" s="3">
        <f>1595.2+(249.9-695.2)+(-1.627104+(-0.254898--0.709104))+0-28--0.0285600000000045</f>
        <v>1120.755662</v>
      </c>
      <c r="K205" s="3">
        <f>1597.1+(232.6-659.5)+(0.814521+(0.118626-0.336345))+0-28.5-0.0145349999999971</f>
        <v>1142.2822669999998</v>
      </c>
      <c r="L205" s="3">
        <f>1548.5+(159-504.7)+(-1.57947+(-0.16218--0.514794))+0-29--0.0295800000000046</f>
        <v>1172.6027239999999</v>
      </c>
      <c r="M205" s="3">
        <f>1785.8+(125-615.1)+(0.910758+(0.06375-0.313701))+0-31-0.0158099999999969</f>
        <v>1265.3449969999997</v>
      </c>
      <c r="N205" s="3">
        <f>2274.6+(10.9-786.8)+(-1.160046+(-0.005559--0.401268))+0-31--0.0158099999999969</f>
        <v>1466.9514729999999</v>
      </c>
      <c r="O205" s="3">
        <f>2492+(3.9-864.2)+(0+(0-0))+0-31-0</f>
        <v>1600.6999999999998</v>
      </c>
      <c r="P205" s="3">
        <f>2557.1+(5-880.1)+(0+(0-0))+0-31-0</f>
        <v>1651</v>
      </c>
      <c r="Q205" s="3">
        <f>2544.9+(5-833.2)+(0+(0-0))+0-31-0</f>
        <v>1685.7</v>
      </c>
      <c r="R205" s="3">
        <f>2638.8+(12.6-940.1)+(-2.691576+(-0.012852--0.958902))+0-29.5--0.0300900000000047</f>
        <v>1680.0845640000002</v>
      </c>
      <c r="S205" s="3">
        <f>2675.8+(10.1-993.4)+(0+(0-0))+0-29.5-0</f>
        <v>1663.0000000000002</v>
      </c>
      <c r="T205" s="3">
        <f>2646.2+(53-993.1)+(-2.699124+(-0.05406--1.012962))+0-30.3--0.0309060000000048</f>
        <v>1674.090684</v>
      </c>
      <c r="U205" s="3">
        <f>2605.3+(156.2-1073.6)+(-5.314812+(-0.318648--2.190144))+0-31.8--0.0648719999999986</f>
        <v>1652.7215560000002</v>
      </c>
      <c r="V205" s="3">
        <f>2480.5+(159.3-1033.5)+(-5.06022+(-0.324972--2.10834))+0-30.6--0.0624239999999987</f>
        <v>1572.485572</v>
      </c>
      <c r="W205" s="3">
        <f>2503.6+(206.3-1022.9)+(2.553672+(0.210426-1.043358))+0-30.3-0.0309060000000048</f>
        <v>1658.3898340000001</v>
      </c>
      <c r="X205" s="3">
        <f>2681.7+(201.2-849.6)+(-4.103001+(-0.307836--1.299888))+0-30.9--0.0472770000000018</f>
        <v>1999.3363279999996</v>
      </c>
      <c r="Y205" s="3">
        <f>2702.1+(195.7-862.7)+(-5.512284+(-0.399228--1.759908))+0-30.9--0.0630359999999986</f>
        <v>2000.1114319999999</v>
      </c>
      <c r="Z205" s="3">
        <f>2711.2+(192-950.8)+(-4.148136+(-0.29376--1.454724))+0-28.8--0.0440640000000017</f>
        <v>1920.6568919999997</v>
      </c>
      <c r="AA205" s="3">
        <f>2653.8+(119.4-934.6)+(-2.706876+(-0.121788--0.953292))+0-28.5--0.0290700000000045</f>
        <v>1808.2536980000002</v>
      </c>
      <c r="AB205" s="3">
        <f>2480.8+(107.4-913.7)+(-2.530416+(-0.109548--0.931974))+0-27.9--0.0284580000000044</f>
        <v>1644.9204679999998</v>
      </c>
      <c r="AC205" s="3">
        <f>2165.8+(134.3-802.3)+(-1.104558+(-0.068493--0.409173))+0-27.9--0.0142289999999972</f>
        <v>1469.150351</v>
      </c>
      <c r="AD205">
        <f t="shared" si="3"/>
        <v>36594.004167999999</v>
      </c>
      <c r="AE205" s="3">
        <f>2699+(198.9-826.4)+(0+(0-0))+0-30.9-0</f>
        <v>2040.6</v>
      </c>
    </row>
    <row r="206" spans="1:31" s="2" customFormat="1" x14ac:dyDescent="0.25">
      <c r="A206">
        <v>89</v>
      </c>
      <c r="B206">
        <v>7</v>
      </c>
      <c r="C206">
        <v>20</v>
      </c>
      <c r="D206">
        <v>4</v>
      </c>
      <c r="E206">
        <v>1</v>
      </c>
      <c r="F206" s="3">
        <f>1970.9+(88.4-898)+(-4.020636+(-0.180336--1.83192))+0-28--0.0571199999999988</f>
        <v>1130.9880680000001</v>
      </c>
      <c r="G206" s="3">
        <f>1806.9+(101.1-854.7)+(-0.921519+(-0.051561--0.435897))+0-28--0.0142799999999972</f>
        <v>1024.7770970000004</v>
      </c>
      <c r="H206" s="3">
        <f>1764.8+(105.1-855.4)+(-2.700144+(-0.160803--1.308762))+0-28--0.0428400000000016</f>
        <v>984.99065499999995</v>
      </c>
      <c r="I206" s="3">
        <f>1746.2+(105.7-852.8)+(-2.671686+(-0.161721--1.304784))+0-28--0.0428400000000016</f>
        <v>969.61421700000005</v>
      </c>
      <c r="J206" s="3">
        <f>1708.2+(104.5-825.4)+(-1.742364+(-0.10659--0.841908))+0-28--0.0285600000000045</f>
        <v>958.32151400000009</v>
      </c>
      <c r="K206" s="3">
        <f>1709+(85-743.5)+(0+(0-0))+0-28.2-0</f>
        <v>1022.3</v>
      </c>
      <c r="L206" s="3">
        <f>1636.2+(104.3-520.9)+(0+(0-0))+0-26-0</f>
        <v>1193.6000000000001</v>
      </c>
      <c r="M206" s="3">
        <f>1697.8+(77.1-480.9)+(0.865878+(0.039321-0.245259))+0-30-0.015299999999997</f>
        <v>1264.64464</v>
      </c>
      <c r="N206" s="3">
        <f>1847.4+(64.8-419.1)+(0+(0-0))+0-31-0</f>
        <v>1462.1000000000001</v>
      </c>
      <c r="O206" s="3">
        <f>2108.9+(72.3-575.3)+(0+(0-0))+0-30-0</f>
        <v>1575.9</v>
      </c>
      <c r="P206" s="3">
        <f>2224.1+(83.2-634.2)+(-5.671455+(-0.21216--1.61721))+0-29--0.0739499999999958</f>
        <v>1639.9075449999998</v>
      </c>
      <c r="Q206" s="3">
        <f>2292.4+(99.7-705.5)+(0+(0-0))+0-28-0</f>
        <v>1658.6000000000001</v>
      </c>
      <c r="R206" s="3">
        <f>2386.4+(109.2-853.2)+(0+(0-0))+0-27-0</f>
        <v>1615.4</v>
      </c>
      <c r="S206" s="3">
        <f>2486.7+(94-956)+(0+(0-0))+0-28-0</f>
        <v>1596.6999999999998</v>
      </c>
      <c r="T206" s="3">
        <f>2498.5+(96.4-996.1)+(-6.371175+(-0.24582--2.540055))+0-30--0.0764999999999956</f>
        <v>1564.7995599999999</v>
      </c>
      <c r="U206" s="3">
        <f>2480.6+(125.3-1005.1)+(-2.530212+(-0.127806--1.025202))+0-29--0.0295800000000046</f>
        <v>1570.1967639999996</v>
      </c>
      <c r="V206" s="3">
        <f>2326.3+(177-923)+(-7.118478+(-0.54162--2.82438))+0-30--0.0918000000000035</f>
        <v>1545.5560820000001</v>
      </c>
      <c r="W206" s="3">
        <f>2291.8+(233.4-895.1)+(-4.675272+(-0.476136--1.826004))+0-29--0.0591599999999987</f>
        <v>1597.8337560000002</v>
      </c>
      <c r="X206" s="3">
        <f>2639.7+(237-888.4)+(-5.384988+(-0.48348--1.812336))+0-28.5--0.0581399999999988</f>
        <v>1955.8020079999999</v>
      </c>
      <c r="Y206" s="3">
        <f>2704.7+(235.4-932.7)+(-4.138191+(-0.360162--1.427031))+0-27--0.0413100000000016</f>
        <v>1977.3699879999997</v>
      </c>
      <c r="Z206" s="3">
        <f>2624.6+(227.9-906.7)+(-4.015638+(-0.348687--1.387251))+0-27--0.0413100000000016</f>
        <v>1915.8642359999999</v>
      </c>
      <c r="AA206" s="3">
        <f>2489+(168.6-821.9)+(-7.61634+(-0.515916--2.515014))+0-28--0.0856800000000032</f>
        <v>1802.1684379999999</v>
      </c>
      <c r="AB206" s="3">
        <f>2190.4+(161.1-689.7)+(-4.468416+(-0.328644--1.406988))+0-28--0.0571199999999988</f>
        <v>1630.4670480000002</v>
      </c>
      <c r="AC206" s="3">
        <f>2051.5+(204.8-777.3)+(-5.231325+(-0.52224--1.982115))+0-28--0.0713999999999959</f>
        <v>1447.2999500000001</v>
      </c>
      <c r="AD206">
        <f t="shared" si="3"/>
        <v>35105.201566000003</v>
      </c>
      <c r="AE206" s="3">
        <f>2690+(238.8-905.1)+(0+(0-0))+0-30-0</f>
        <v>1993.7</v>
      </c>
    </row>
    <row r="207" spans="1:31" s="2" customFormat="1" x14ac:dyDescent="0.25">
      <c r="A207">
        <v>89</v>
      </c>
      <c r="B207">
        <v>7</v>
      </c>
      <c r="C207">
        <v>21</v>
      </c>
      <c r="D207">
        <v>5</v>
      </c>
      <c r="E207">
        <v>1</v>
      </c>
      <c r="F207" s="3">
        <f>1815.9+(236.3-750.8)+(-0.926109+(-0.120513--0.382908))+0-28--0.0142799999999972</f>
        <v>1272.7505660000002</v>
      </c>
      <c r="G207" s="3">
        <f>1668.6+(236.9-687.5)+(-2.552958+(-0.362457--1.051875))+0-28--0.0428400000000016</f>
        <v>1188.1793</v>
      </c>
      <c r="H207" s="3">
        <f>1569.7+(246.1-643.9)+(-2.401641+(-0.376533--0.985167))+0-28--0.0428400000000016</f>
        <v>1142.1498330000002</v>
      </c>
      <c r="I207" s="3">
        <f>1543.5+(243.2-632.4)+(-2.361555+(-0.372096--0.967572))+0-27--0.0413100000000016</f>
        <v>1125.575231</v>
      </c>
      <c r="J207" s="3">
        <f>1547+(244.2-639.5)+(0+(0-0))+0-28-0</f>
        <v>1123.7</v>
      </c>
      <c r="K207" s="3">
        <f>1546.1+(220.8-600.9)+(-3.154044+(-0.450432--1.225836))+0-29--0.0591599999999987</f>
        <v>1134.6805200000001</v>
      </c>
      <c r="L207" s="3">
        <f>1546.8+(180.4-503.9)+(-2.366604+(-0.276012--0.770967))+0-27--0.0413100000000016</f>
        <v>1194.4696610000001</v>
      </c>
      <c r="M207" s="3">
        <f>1612.1+(163.8-477)+(1.644342+(0.167076-0.48654))+0-29-0.0295800000000046</f>
        <v>1271.1952979999999</v>
      </c>
      <c r="N207" s="3">
        <f>1824.1+(158-516.9)+(-1.860582+(-0.16116--0.527238))+0-30--0.0306000000000048</f>
        <v>1433.7360959999999</v>
      </c>
      <c r="O207" s="3">
        <f>2104.4+(168.6-657.8)+(-3.219732+(-0.257958--1.006434))+0-30--0.0459000000000017</f>
        <v>1582.7746440000003</v>
      </c>
      <c r="P207" s="3">
        <f>2265.8+(176.3-787.2)+(-3.466674+(-0.269739--1.204416))+0-30--0.0459000000000017</f>
        <v>1622.4139030000001</v>
      </c>
      <c r="Q207" s="3">
        <f>2302.4+(179.9-802)+(1.174224+(0.091749-0.40902))+0-29-0.0147899999999971</f>
        <v>1652.1421630000002</v>
      </c>
      <c r="R207" s="3">
        <f>2227.5+(180.3-741.9)+(-6.81615+(-0.551718--2.270214))+0-29--0.0887400000000034</f>
        <v>1631.8910860000001</v>
      </c>
      <c r="S207" s="3">
        <f>2096+(166.3-646.4)+(-1.06896+(-0.084813--0.329664))+0-28--0.0142799999999972</f>
        <v>1587.0901710000003</v>
      </c>
      <c r="T207" s="3">
        <f>2082.2+(164.2-656.9)+(-2.123844+(-0.167484--0.670038))+0-28--0.0285600000000045</f>
        <v>1559.9072699999997</v>
      </c>
      <c r="U207" s="3">
        <f>2065.1+(172.5-666.2)+(-2.106402+(-0.17595--0.679524))+0-27--0.0275400000000043</f>
        <v>1542.8247119999999</v>
      </c>
      <c r="V207" s="3">
        <f>2064.8+(174.2-705.4)+(-4.212192+(-0.355368--1.439016))+0-30--0.0611999999999987</f>
        <v>1500.5326560000003</v>
      </c>
      <c r="W207" s="3">
        <f>2077.7+(247-662.7)+(-1.059627+(-0.12597--0.337977))+0-30--0.015299999999997</f>
        <v>1631.1676799999998</v>
      </c>
      <c r="X207" s="3">
        <f>2384.2+(257.9-636.1)+(-4.863768+(-0.526116--1.297644))+0-30--0.0611999999999987</f>
        <v>1971.9689599999999</v>
      </c>
      <c r="Y207" s="3">
        <f>2376+(267-617.2)+(-4.84704+(-0.54468--1.259088))+0-30--0.0611999999999987</f>
        <v>1991.728568</v>
      </c>
      <c r="Z207" s="3">
        <f>2291.4+(254.3-602.8)+(-5.84307+(-0.648465--1.53714))+0-27.6--0.070379999999996</f>
        <v>1910.4159850000001</v>
      </c>
      <c r="AA207" s="3">
        <f>2080.5+(188.9-440.9)+(-3.183165+(-0.289017--0.674577))+0-27.6--0.0422280000000016</f>
        <v>1798.1446230000001</v>
      </c>
      <c r="AB207" s="3">
        <f>1991+(167.4-472.8)+(-3.04623+(-0.256122--0.723384))+0-27--0.0413100000000016</f>
        <v>1656.0623419999999</v>
      </c>
      <c r="AC207" s="3">
        <f>1920.1+(193.7-603.9)+(-4.896255+(-0.493935--1.539945))+0-28--0.0713999999999959</f>
        <v>1478.1211549999998</v>
      </c>
      <c r="AD207">
        <f t="shared" si="3"/>
        <v>36003.622423000001</v>
      </c>
      <c r="AE207" s="3">
        <f>2411+(249.3-612.8)+(0+(0-0))+0-30-0</f>
        <v>2017.5</v>
      </c>
    </row>
    <row r="208" spans="1:31" s="2" customFormat="1" x14ac:dyDescent="0.25">
      <c r="A208">
        <v>89</v>
      </c>
      <c r="B208">
        <v>7</v>
      </c>
      <c r="C208">
        <v>22</v>
      </c>
      <c r="D208">
        <v>6</v>
      </c>
      <c r="E208">
        <v>1</v>
      </c>
      <c r="F208" s="3">
        <f>1732.9+(235.1-634.2)+(-6.186453+(-0.839307--2.264094))+0-28--0.0999600000000004</f>
        <v>1301.1382940000001</v>
      </c>
      <c r="G208" s="3">
        <f>1653.8+(245.5-675.6)+(-1.686876+(-0.25041--0.689112))+0-28--0.0285600000000045</f>
        <v>1194.4803859999997</v>
      </c>
      <c r="H208" s="3">
        <f>1487.2+(245.3-556.2)+(-2.275416+(-0.375309--0.850986))+0-28--0.0428400000000016</f>
        <v>1146.543101</v>
      </c>
      <c r="I208" s="3">
        <f>1417.5+(238.9-493.3)+(-1.44585+(-0.243678--0.503166))+0-27--0.0275400000000043</f>
        <v>1134.941178</v>
      </c>
      <c r="J208" s="3">
        <f>1407.5+(240.9-474.2)+(0.717825+(0.122859-0.241842))+0-27-0.0137699999999973</f>
        <v>1147.7850720000001</v>
      </c>
      <c r="K208" s="3">
        <f>1410.4+(240.7-435.7)+(-2.157912+(-0.368271--0.666621))+0-27--0.0413100000000016</f>
        <v>1186.5817480000001</v>
      </c>
      <c r="L208" s="3">
        <f>1491.8+(183-428.4)+(-1.521636+(-0.18666--0.436968))+0-27.6--0.0281520000000044</f>
        <v>1217.5568240000002</v>
      </c>
      <c r="M208" s="3">
        <f>1699.6+(154.7-532.6)+(1.733592+(0.157794-0.543252))+0-29.1-0.0296820000000046</f>
        <v>1293.9184519999999</v>
      </c>
      <c r="N208" s="3">
        <f>1498+(194.8-212.6)+(-0.76398+(-0.099348--0.108426))+0-31.2--0.0159119999999968</f>
        <v>1448.2610100000002</v>
      </c>
      <c r="O208" s="3">
        <f>1630.3+(179.5-224.7)+(0.831453+(0.091545-0.114597))+0-28.8-0.0146879999999971</f>
        <v>1557.093713</v>
      </c>
      <c r="P208" s="3">
        <f>1647.8+(175.8-201.6)+(-1.680756+(-0.179316--0.205632))+0-30.4--0.0310080000000048</f>
        <v>1589.9765679999998</v>
      </c>
      <c r="Q208" s="3">
        <f>1753+(170.1-291.8)+(1.78806+(0.173502-0.297636))+0-30.3-0.0309060000000048</f>
        <v>1602.63302</v>
      </c>
      <c r="R208" s="3">
        <f>1806.9+(162.5-337.1)+(-6.450633+(-0.580125--1.203447))+0-29--0.10353</f>
        <v>1597.5762190000003</v>
      </c>
      <c r="S208" s="3">
        <f>1835.7+(160.8-393.2)+(-5.617242+(-0.492048--1.203192))+0-28--0.0856800000000032</f>
        <v>1570.4795820000002</v>
      </c>
      <c r="T208" s="3">
        <f>1856.5+(155.6-436.5)+(-1.89363+(-0.158712--0.44523))+0-31--0.0316200000000049</f>
        <v>1543.024508</v>
      </c>
      <c r="U208" s="3">
        <f>1796.4+(153.9-381)+(-4.58082+(-0.392445--0.97155))+0-31--0.0790499999999955</f>
        <v>1534.3773350000001</v>
      </c>
      <c r="V208" s="3">
        <f>1700.6+(151.9-274)+(0.867306+(0.077469-0.13974))+0-32-0.0163199999999968</f>
        <v>1547.2887150000001</v>
      </c>
      <c r="W208" s="3">
        <f>1660.7+(226.5-239.5)+(-1.693914+(-0.23103--0.24429))+0-31--0.0316200000000049</f>
        <v>1615.050966</v>
      </c>
      <c r="X208" s="3">
        <f>1828.6+(329-198.5)+(-1.865172+(-0.33558--0.20247))+0-31--0.0316200000000049</f>
        <v>1926.1333379999999</v>
      </c>
      <c r="Y208" s="3">
        <f>1726.2+(401.7-171.5)+(-3.521448+(-0.819468--0.34986))+0-31--0.0632399999999986</f>
        <v>1921.472184</v>
      </c>
      <c r="Z208" s="3">
        <f>1494.8+(528.4-142.1)+(-1.524696+(-0.538968--0.144942))+0-29--0.0295800000000046</f>
        <v>1850.2108579999999</v>
      </c>
      <c r="AA208" s="3">
        <f>1495.9+(421.5-137.7)+(-3.814545+(-1.074825--0.351135))+0-28--0.0713999999999959</f>
        <v>1747.2331650000001</v>
      </c>
      <c r="AB208" s="3">
        <f>1451+(370.7-159.6)+(-0.74001+(-0.189057--0.081396))+0-29--0.0147899999999971</f>
        <v>1632.2671189999999</v>
      </c>
      <c r="AC208" s="3">
        <f>1442.7+(303.5-241.1)+(-4.414662+(-0.92871--0.737766))+0-29--0.0887400000000034</f>
        <v>1471.583134</v>
      </c>
      <c r="AD208">
        <f t="shared" si="3"/>
        <v>35777.606488999998</v>
      </c>
      <c r="AE208" s="3">
        <f>1837.2+(350.8-203.4)+(0+(0-0))+0-30.5-0</f>
        <v>1954.1000000000001</v>
      </c>
    </row>
    <row r="209" spans="1:31" s="2" customFormat="1" x14ac:dyDescent="0.25">
      <c r="A209">
        <v>89</v>
      </c>
      <c r="B209">
        <v>7</v>
      </c>
      <c r="C209">
        <v>23</v>
      </c>
      <c r="D209">
        <v>7</v>
      </c>
      <c r="E209">
        <v>1</v>
      </c>
      <c r="F209" s="3">
        <f>1399.6+(279.5-331.1)+(-1.427592+(-0.28509--0.337722))+0-29--0.0295800000000046</f>
        <v>1317.6546199999998</v>
      </c>
      <c r="G209" s="3">
        <f>1343.1+(262.1-361.7)+(-2.054943+(-0.401013--0.553401))+0-29--0.0443700000000017</f>
        <v>1212.6418150000002</v>
      </c>
      <c r="H209" s="3">
        <f>1346.4+(252.3-407.8)+(0+(0-0))+0-29-0</f>
        <v>1161.9000000000001</v>
      </c>
      <c r="I209" s="3">
        <f>1345.6+(247.3-421.1)+(-0.686256+(-0.126123--0.214761))+0-29--0.0147899999999971</f>
        <v>1142.2171719999999</v>
      </c>
      <c r="J209" s="3">
        <f>1344.9+(246.5-426.2)+(0.685899+(0.125715-0.217362))+0-29-0.0147899999999971</f>
        <v>1136.7794620000002</v>
      </c>
      <c r="K209" s="3">
        <f>1293.8+(226.7-347.4)+(-1.979514+(-0.346851--0.531522))+0-30--0.0459000000000017</f>
        <v>1141.3510570000001</v>
      </c>
      <c r="L209" s="3">
        <f>1280.3+(191-297.9)+(-1.958859+(-0.29223--0.455787))+0-29--0.0443700000000017</f>
        <v>1142.6490680000002</v>
      </c>
      <c r="M209" s="3">
        <f>1347.2+(169.5-357.8)+(0+(0-0))+0-30-0</f>
        <v>1128.9000000000001</v>
      </c>
      <c r="N209" s="3">
        <f>1403.7+(204.9-317.4)+(0+(0-0))+0-31-0</f>
        <v>1260.2</v>
      </c>
      <c r="O209" s="3">
        <f>1481.6+(231.2-304.4)+(-3.77808+(-0.58956--0.77622))+0-31.5--0.0803249999999954</f>
        <v>1373.3889049999998</v>
      </c>
      <c r="P209" s="3">
        <f>1621.5+(183.2-342.7)+(-3.30786+(-0.373728--0.699108))+0-30--0.0611999999999987</f>
        <v>1429.0787200000002</v>
      </c>
      <c r="Q209" s="3">
        <f>1613.5+(190-312.5)+(-1.64577+(-0.1938--0.31875))+0-22--0.0224400000000035</f>
        <v>1467.50162</v>
      </c>
      <c r="R209" s="3">
        <f>1639.8+(174.3-332.8)+(-1.672596+(-0.177786--0.339456))+0-27.3--0.0278460000000044</f>
        <v>1452.51692</v>
      </c>
      <c r="S209" s="3">
        <f>1643+(166.8-350.7)+(0+(0-0))+0-26.4-0</f>
        <v>1432.6999999999998</v>
      </c>
      <c r="T209" s="3">
        <f>1660.6+(165.5-405.3)+(-0.846906+(-0.084405--0.206703))+0-29.1--0.014840999999997</f>
        <v>1390.990233</v>
      </c>
      <c r="U209" s="3">
        <f>1637.5+(176.8-396.8)+(-3.3405+(-0.360672--0.809472))+0-28.8--0.0587519999999987</f>
        <v>1385.8670520000001</v>
      </c>
      <c r="V209" s="3">
        <f>1578.5+(195.2-343.4)+(-1.61007+(-0.199104--0.350268))+0-29.1--0.0296820000000046</f>
        <v>1399.7707760000001</v>
      </c>
      <c r="W209" s="3">
        <f>1557.6+(280.6-309.4)+(-3.177504+(-0.572424--0.631176))+0-29.7--0.0605879999999987</f>
        <v>1496.0418359999999</v>
      </c>
      <c r="X209" s="3">
        <f>1485.4+(483.3-162.3)+(-1.515108+(-0.492966--0.165546))+0-28.8--0.0293760000000046</f>
        <v>1775.7868480000002</v>
      </c>
      <c r="Y209" s="3">
        <f>1548.3+(472.5-190.8)+(-3.158532+(-0.9639--0.389232))+0-28.8--0.0587519999999987</f>
        <v>1797.5255520000001</v>
      </c>
      <c r="Z209" s="3">
        <f>1494.7+(465-185)+(0+(0-0))+0-26.7-0</f>
        <v>1748</v>
      </c>
      <c r="AA209" s="3">
        <f>1530.2+(355.9-178.5)+(-2.341206+(-0.544527--0.273105))+0-27--0.0413100000000016</f>
        <v>1678.0286819999999</v>
      </c>
      <c r="AB209" s="3">
        <f>1471.7+(290.3-203.7)+(0+(0-0))+0-27-0</f>
        <v>1531.3000000000002</v>
      </c>
      <c r="AC209" s="3">
        <f>1406.1+(198.3-243.3)+(-4.302666+(-0.606798--0.744498))+0-27.6--0.0844560000000032</f>
        <v>1329.41949</v>
      </c>
      <c r="AD209">
        <f t="shared" si="3"/>
        <v>33332.209827999999</v>
      </c>
      <c r="AE209" s="3">
        <f>1533+(611.7-134)+(0+(0-0))+0-30-0</f>
        <v>1980.7</v>
      </c>
    </row>
    <row r="210" spans="1:31" s="2" customFormat="1" x14ac:dyDescent="0.25">
      <c r="A210">
        <v>89</v>
      </c>
      <c r="B210">
        <v>7</v>
      </c>
      <c r="C210">
        <v>24</v>
      </c>
      <c r="D210">
        <v>1</v>
      </c>
      <c r="E210">
        <v>1</v>
      </c>
      <c r="F210" s="3">
        <f>1287.6+(204.6-255.6)+(-3.28338+(-0.52173--0.65178))+0-28.5--0.0726749999999959</f>
        <v>1205.0193449999997</v>
      </c>
      <c r="G210" s="3">
        <f>1253.3+(186-278.9)+(-3.195915+(-0.4743--0.711195))+0-28--0.0713999999999959</f>
        <v>1129.5123800000001</v>
      </c>
      <c r="H210" s="3">
        <f>1212.2+(172.5-264.7)+(-0.618222+(-0.087975--0.134997))+0-28--0.0142799999999972</f>
        <v>1091.44308</v>
      </c>
      <c r="I210" s="3">
        <f>1225.5+(145.7-263.8)+(0.625005+(0.074307-0.134538))+0-27-0.0137699999999973</f>
        <v>1080.951004</v>
      </c>
      <c r="J210" s="3">
        <f>1254.6+(136.3-281.9)+(-1.279692+(-0.139026--0.287538))+0-28--0.0285600000000045</f>
        <v>1079.8973799999999</v>
      </c>
      <c r="K210" s="3">
        <f>1275.4+(137.1-258.4)+(-0.650454+(-0.069921--0.131784))+0-28--0.0142799999999972</f>
        <v>1125.5256890000003</v>
      </c>
      <c r="L210" s="3">
        <f>1303.7+(122.2-232.5)+(0.664887+(0.062322-0.118575))+0-25-0.0127499999999975</f>
        <v>1168.9958839999999</v>
      </c>
      <c r="M210" s="3">
        <f>1554.7+(110.6-315.5)+(1.585794+(0.112812-0.32181))+0-29-0.0295800000000046</f>
        <v>1322.1472160000001</v>
      </c>
      <c r="N210" s="3">
        <f>1820.5+(144.5-366)+(-0.928455+(-0.073695--0.18666))+0-31--0.0158099999999969</f>
        <v>1567.2003200000001</v>
      </c>
      <c r="O210" s="3">
        <f>2070.1+(101.6-441.1)+(0+(0-0))+0-31-0</f>
        <v>1699.6</v>
      </c>
      <c r="P210" s="3">
        <f>2210.7+(70.4-487.7)+(0+(0-0))+0-31-0</f>
        <v>1762.3999999999999</v>
      </c>
      <c r="Q210" s="3">
        <f>2222.2+(72.6-470.2)+(-2.266644+(-0.074052--0.479604))+0-31--0.0316200000000049</f>
        <v>1791.7705279999998</v>
      </c>
      <c r="R210" s="3">
        <f>2232+(30.9-541.7)+(-1.13832+(-0.015759--0.276267))+0-29--0.0147899999999971</f>
        <v>1691.3369779999998</v>
      </c>
      <c r="S210" s="3">
        <f>2216.3+(29.9-545.6)+(1.130313+(0.015249-0.278256))+0-28-0.0142799999999972</f>
        <v>1673.4530260000001</v>
      </c>
      <c r="T210" s="3">
        <f>2287.5+(20.1-641.4)+(0+(0-0))+0-30-0</f>
        <v>1636.2</v>
      </c>
      <c r="U210" s="3">
        <f>2267.4+(19.2-637.5)+(-2.312748+(-0.019584--0.65025))+0-31--0.0316200000000049</f>
        <v>1616.4495380000001</v>
      </c>
      <c r="V210" s="3">
        <f>2234.3+(22.6-582.7)+(1.139493+(0.011526-0.297177))+0-30-0.015299999999997</f>
        <v>1645.0385420000002</v>
      </c>
      <c r="W210" s="3">
        <f>2271.4+(30.5-575.3)+(-1.158414+(-0.015555--0.293403))+0-30--0.015299999999997</f>
        <v>1695.7347340000001</v>
      </c>
      <c r="X210" s="3">
        <f>2384.6+(89.7-408.9)+(-6.08073+(-0.228735--1.042695))+0-31--0.0790499999999955</f>
        <v>2029.21228</v>
      </c>
      <c r="Y210" s="3">
        <f>2397+(94-425)+(1.22247+(0.04794-0.21675))+0-30-0.015299999999997</f>
        <v>2037.03836</v>
      </c>
      <c r="Z210" s="3">
        <f>2417.4+(91.5-514.7)+(0+(0-0))+0-29-0</f>
        <v>1965.2</v>
      </c>
      <c r="AA210" s="3">
        <f>2465.3+(7.6-593.6)+(0+(0-0))+0-29-0</f>
        <v>1850.3000000000002</v>
      </c>
      <c r="AB210" s="3">
        <f>2263.5+(7.7-530.8)+(-4.61754+(-0.015708--1.082832))+0-27--0.0550799999999988</f>
        <v>1709.9046640000001</v>
      </c>
      <c r="AC210" s="3">
        <f>1822+(53.8-310.7)+(-4.6461+(-0.13719--0.792285))+0-27--0.0688499999999961</f>
        <v>1534.1778449999997</v>
      </c>
      <c r="AD210">
        <f t="shared" si="3"/>
        <v>37108.508793000001</v>
      </c>
      <c r="AE210" s="3">
        <f>2387+(90.9-399.3)+(0+(0-0))+0-30.6-0</f>
        <v>2048</v>
      </c>
    </row>
    <row r="211" spans="1:31" s="2" customFormat="1" x14ac:dyDescent="0.25">
      <c r="A211">
        <v>89</v>
      </c>
      <c r="B211">
        <v>7</v>
      </c>
      <c r="C211">
        <v>25</v>
      </c>
      <c r="D211">
        <v>2</v>
      </c>
      <c r="E211">
        <v>1</v>
      </c>
      <c r="F211" s="3">
        <f>1479.8+(81.8-247.4)+(-2.264094+(-0.125154--0.378522))+0-28--0.0428400000000016</f>
        <v>1284.2321139999999</v>
      </c>
      <c r="G211" s="3">
        <f>1446.6+(81.5-291.5)+(-2.213298+(-0.124695--0.445995))+0-27--0.0413100000000016</f>
        <v>1207.7493119999999</v>
      </c>
      <c r="H211" s="3">
        <f>1439.5+(72.4-325.3)+(-2.202435+(-0.110772--0.497709))+0-28--0.0428400000000016</f>
        <v>1156.827342</v>
      </c>
      <c r="I211" s="3">
        <f>1331.6+(104.8-282.4)+(-0.679116+(-0.053448--0.144024))+0-28--0.0142799999999972</f>
        <v>1125.4257400000001</v>
      </c>
      <c r="J211" s="3">
        <f>1333.5+(123.6-280.4)+(0.680085+(0.063036-0.143004))+0-29-0.0147899999999971</f>
        <v>1148.2853270000001</v>
      </c>
      <c r="K211" s="3">
        <f>1333.1+(131.9-264)+(-0.679881+(-0.067269--0.13464))+0-29--0.0147899999999971</f>
        <v>1171.40228</v>
      </c>
      <c r="L211" s="3">
        <f>1277.1+(137.9-231.3)+(-0.651321+(-0.070329--0.117963))+0-29--0.0147899999999971</f>
        <v>1154.1111029999997</v>
      </c>
      <c r="M211" s="3">
        <f>1432+(123.7-219.5)+(0.73032+(0.063087-0.111945))+0-30-0.015299999999997</f>
        <v>1306.866162</v>
      </c>
      <c r="N211" s="3">
        <f>1877.3+(50.2-385.7)+(2.872269+(0.076806-0.590121))+0-31-0.0474300000000018</f>
        <v>1513.1115239999999</v>
      </c>
      <c r="O211" s="3">
        <f>2127.4+(31.9-510.5)+(0+(0-0))+0-31-0</f>
        <v>1617.8000000000002</v>
      </c>
      <c r="P211" s="3">
        <f>2239.7+(8.8-540.3)+(-1.142247+(-0.004488--0.275553))+0-31--0.0158099999999969</f>
        <v>1676.3446279999998</v>
      </c>
      <c r="Q211" s="3">
        <f>2259.8+(6.8-538.4)+(-1.152498+(-0.003468--0.274584))+0-30--0.015299999999997</f>
        <v>1697.3339180000003</v>
      </c>
      <c r="R211" s="3">
        <f>2295.7+(8.7-582.9)+(0+(0-0))+0-28-0</f>
        <v>1693.5</v>
      </c>
      <c r="S211" s="3">
        <f>2299+(17-620.9)+(-1.17249+(-0.00867--0.316659))+0-28--0.0142799999999972</f>
        <v>1666.249779</v>
      </c>
      <c r="T211" s="3">
        <f>2298.6+(16.6-655.7)+(0+(0-0))+0-30-0</f>
        <v>1629.5</v>
      </c>
      <c r="U211" s="3">
        <f>2288.2+(14.3-633.4)+(-3.500946+(-0.021879--0.969102))+0-29--0.0443700000000017</f>
        <v>1637.590647</v>
      </c>
      <c r="V211" s="3">
        <f>2171.3+(30.3-506.7)+(-2.214726+(-0.030906--0.516834))+0-28--0.0285600000000045</f>
        <v>1665.199762</v>
      </c>
      <c r="W211" s="3">
        <f>2221.4+(27.4-497.1)+(-1.132914+(-0.013974--0.253521))+0-30--0.015299999999997</f>
        <v>1720.8219330000002</v>
      </c>
      <c r="X211" s="3">
        <f>2336.8+(77.6-375.2)+(-3.575304+(-0.118728--0.574056))+0-30--0.0459000000000017</f>
        <v>2006.1259240000004</v>
      </c>
      <c r="Y211" s="3">
        <f>2344.4+(73.9-389.2)+(-4.782576+(-0.150756--0.793968))+0-27--0.0550799999999988</f>
        <v>1998.0157160000003</v>
      </c>
      <c r="Z211" s="3">
        <f>2222.6+(58.2-349)+(-3.400578+(-0.089046--0.53397))+0-27--0.0413100000000016</f>
        <v>1901.8856559999999</v>
      </c>
      <c r="AA211" s="3">
        <f>2083.7+(67.5-335.8)+(-1.062687+(-0.034425--0.171258))+0-27--0.0137699999999973</f>
        <v>1787.4879159999998</v>
      </c>
      <c r="AB211" s="3">
        <f>2005.4+(40.1-359.8)+(-3.068262+(-0.061353--0.550494))+0-27--0.0413100000000016</f>
        <v>1656.1621890000001</v>
      </c>
      <c r="AC211" s="3">
        <f>1680+(67.9-257.8)+(-0.8568+(-0.034629--0.131478))+0-27--0.0137699999999973</f>
        <v>1462.3538189999999</v>
      </c>
      <c r="AD211">
        <f t="shared" si="3"/>
        <v>36884.382790999996</v>
      </c>
      <c r="AE211" s="3">
        <f>2350.2+(92.4-373.8)+(0+(0-0))+0-28-0</f>
        <v>2040.7999999999997</v>
      </c>
    </row>
    <row r="212" spans="1:31" s="2" customFormat="1" x14ac:dyDescent="0.25">
      <c r="A212">
        <v>89</v>
      </c>
      <c r="B212">
        <v>7</v>
      </c>
      <c r="C212">
        <v>26</v>
      </c>
      <c r="D212">
        <v>3</v>
      </c>
      <c r="E212">
        <v>1</v>
      </c>
      <c r="F212" s="3">
        <f>1479.7+(57.4-264.4)+(-3.018588+(-0.117096--0.539376))+0-26--0.0530399999999989</f>
        <v>1244.1567320000001</v>
      </c>
      <c r="G212" s="3">
        <f>1471.3+(63.9-325.4)+(0.750363+(0.032589-0.165954))+0-27-0.0137699999999973</f>
        <v>1183.4032279999999</v>
      </c>
      <c r="H212" s="3">
        <f>1435.6+(74.2-333.7)+(-1.464312+(-0.075684--0.340374))+0-28--0.0285600000000045</f>
        <v>1146.9289379999998</v>
      </c>
      <c r="I212" s="3">
        <f>1376.7+(75.5-303.1)+(-2.808468+(-0.15402--0.618324))+0-28--0.0571199999999988</f>
        <v>1118.8129559999998</v>
      </c>
      <c r="J212" s="3">
        <f>1383.2+(79.1-304.4)+(2.116296+(0.121023-0.465732))+0-28-0.0428400000000016</f>
        <v>1131.628747</v>
      </c>
      <c r="K212" s="3">
        <f>1378.1+(58.1-269.5)+(-2.108493+(-0.088893--0.412335))+0-28--0.0428400000000016</f>
        <v>1136.9577889999998</v>
      </c>
      <c r="L212" s="3">
        <f>1384.7+(43.7-239.3)+(1.412394+(0.044574-0.244086))+0-28-0.0285600000000045</f>
        <v>1162.284322</v>
      </c>
      <c r="M212" s="3">
        <f>1593.5+(36.5-313.5)+(0.812685+(0.018615-0.159885))+0-29-0.0147899999999971</f>
        <v>1288.1566250000001</v>
      </c>
      <c r="N212" s="3">
        <f>1770+(40.7-316.6)+(1.8054+(0.041514-0.322932))+0-20-0.0204000000000032</f>
        <v>1475.6035819999997</v>
      </c>
      <c r="O212" s="3">
        <f>1912.9+(31.2-368.7)+(0+(0-0))+0-10-0</f>
        <v>1565.4</v>
      </c>
      <c r="P212" s="3">
        <f>2043.2+(12.3-431)+(0+(0-0))+0-10-0</f>
        <v>1614.5</v>
      </c>
      <c r="Q212" s="3">
        <f>2174.6+(8.9-520.3)+(0+(0-0))+0-7-0</f>
        <v>1656.1999999999998</v>
      </c>
      <c r="R212" s="3">
        <f>2215.1+(9.4-547.4)+(2.259402+(0.009588-0.558348))+0-2-0.00204000000000032</f>
        <v>1676.8086019999998</v>
      </c>
      <c r="S212" s="3">
        <f>2219.3+(8.4-623.5)+(1.131843+(0.004284-0.317985))+0-2-0.0010199999999998</f>
        <v>1603.0171220000004</v>
      </c>
      <c r="T212" s="3">
        <f>2181.6+(9.1-590.1)+(-3.337848+(-0.013923--0.902853))+0-2--0.00306000000000012</f>
        <v>1596.1541419999999</v>
      </c>
      <c r="U212" s="3">
        <f>2112.9+(8.8-511.2)+(-1.077579+(-0.004488--0.260712))+0-3--0.0015299999999997</f>
        <v>1606.680175</v>
      </c>
      <c r="V212" s="3">
        <f>2041.5+(7.6-435.9)+(-2.08233+(-0.007752--0.444618))+0-3.3--0.00336600000000053</f>
        <v>1608.2579020000001</v>
      </c>
      <c r="W212" s="3">
        <f>2110+(8.9-454.7)+(1.0761+(0.004539-0.231897))+0-3.9-0.0019889999999996</f>
        <v>1661.1467529999998</v>
      </c>
      <c r="X212" s="3">
        <f>2198.3+(120.7-300.8)+(-3.363399+(-0.184671--0.460224))+0-24--0.0367200000000014</f>
        <v>1991.1488740000004</v>
      </c>
      <c r="Y212" s="3">
        <f>2213.6+(129.5-314.8)+(0+(0-0))+0-27-0</f>
        <v>2001.3</v>
      </c>
      <c r="Z212" s="3">
        <f>2218.3+(88.2-354.4)+(0+(0-0))+0-27-0</f>
        <v>1925.1000000000001</v>
      </c>
      <c r="AA212" s="3">
        <f>2203.6+(64.5-404.8)+(-5.61918+(-0.164475--1.03224))+0-28--0.0713999999999959</f>
        <v>1830.619985</v>
      </c>
      <c r="AB212" s="3">
        <f>2049.6+(50.4-389.5)+(-2.090592+(-0.051408--0.39729))+0-28--0.0285600000000045</f>
        <v>1680.78385</v>
      </c>
      <c r="AC212" s="3">
        <f>1748.6+(65.1-315.4)+(-5.350716+(-0.199206--0.965124))+0-27--0.0826200000000031</f>
        <v>1466.7978219999998</v>
      </c>
      <c r="AD212">
        <f t="shared" si="3"/>
        <v>36371.848146000004</v>
      </c>
      <c r="AE212" s="3">
        <f>2235.5+(130.3-307.7)+(0+(0-0))+0-5-0</f>
        <v>2053.1</v>
      </c>
    </row>
    <row r="213" spans="1:31" s="2" customFormat="1" x14ac:dyDescent="0.25">
      <c r="A213">
        <v>89</v>
      </c>
      <c r="B213">
        <v>7</v>
      </c>
      <c r="C213">
        <v>27</v>
      </c>
      <c r="D213">
        <v>4</v>
      </c>
      <c r="E213">
        <v>1</v>
      </c>
      <c r="F213" s="3">
        <f>1631+(69.6-377.8)+(-1.66362+(-0.070992--0.385356))+0-27--0.0275400000000043</f>
        <v>1294.478284</v>
      </c>
      <c r="G213" s="3">
        <f>1540.9+(67.7-394.3)+(-0.785859+(-0.034527--0.201093))+0-27--0.0137699999999973</f>
        <v>1186.6944770000002</v>
      </c>
      <c r="H213" s="3">
        <f>1535.9+(60.8-422.3)+(-2.349927+(-0.093024--0.646119))+0-27--0.0413100000000016</f>
        <v>1145.6444780000002</v>
      </c>
      <c r="I213" s="3">
        <f>1540.3+(61-441.6)+(-0.785553+(-0.03111--0.225216))+0-28--0.0142799999999972</f>
        <v>1131.1228329999999</v>
      </c>
      <c r="J213" s="3">
        <f>1543.5+(61.8-452.8)+(1.57437+(0.063036-0.461856))+0-28-0.0285600000000045</f>
        <v>1125.64699</v>
      </c>
      <c r="K213" s="3">
        <f>1545.1+(47.6-424.1)+(1.576002+(0.048552-0.432582))+0-27-0.0275400000000043</f>
        <v>1142.7644319999999</v>
      </c>
      <c r="L213" s="3">
        <f>1506.3+(29.5-305.3)+(0+(0-0))+0-28-0</f>
        <v>1202.5</v>
      </c>
      <c r="M213" s="3">
        <f>1527.2+(34.8-258.5)+(1.557744+(0.035496-0.26367))+0-30-0.0306000000000048</f>
        <v>1274.7989700000001</v>
      </c>
      <c r="N213" s="3">
        <f>1721.8+(39.9-259.9)+(0.878118+(0.020349-0.132549))+0-30-0.015299999999997</f>
        <v>1472.550618</v>
      </c>
      <c r="O213" s="3">
        <f>1906+(31-326.5)+(3.88824+(0.06324-0.66606))+0-30-0.0611999999999987</f>
        <v>1583.7242199999998</v>
      </c>
      <c r="P213" s="3">
        <f>2025.1+(12.7-383.3)+(-1.032801+(-0.006477--0.195483))+0-30--0.015299999999997</f>
        <v>1623.671505</v>
      </c>
      <c r="Q213" s="3">
        <f>2038.6+(16.4-361.2)+(1.039686+(0.008364-0.184212))+0-30-0.015299999999997</f>
        <v>1664.6485379999999</v>
      </c>
      <c r="R213" s="3">
        <f>2073.1+(5.5-393.9)+(-5.286405+(-0.014025--1.004445))+0-27.3--0.069614999999996</f>
        <v>1653.1736299999998</v>
      </c>
      <c r="S213" s="3">
        <f>2083.1+(8.5-431.2)+(0+(0-0))+0-27.6-0</f>
        <v>1632.8</v>
      </c>
      <c r="T213" s="3">
        <f>2117+(6.1-507.1)+(-1.07967+(-0.003111--0.258621))+0-29.4--0.014993999999997</f>
        <v>1585.7908339999999</v>
      </c>
      <c r="U213" s="3">
        <f>2102.8+(8.5-478.3)+(-3.217284+(-0.013005--0.731799))+0-28.5--0.0436050000000016</f>
        <v>1602.0451150000004</v>
      </c>
      <c r="V213" s="3">
        <f>2084.5+(9.5-475.9)+(0+(0-0))+0-28.8-0</f>
        <v>1589.3</v>
      </c>
      <c r="W213" s="3">
        <f>2124+(17.9-411.8)+(2.16648+(0.018258-0.420036))+0-27.9-0.0284580000000044</f>
        <v>1703.9362439999998</v>
      </c>
      <c r="X213" s="3">
        <f>2308.8+(86.9-330.2)+(0+(0-0))+0-28.8-0</f>
        <v>2036.7</v>
      </c>
      <c r="Y213" s="3">
        <f>2337.8+(86.4-365.1)+(-1.192278+(-0.044064--0.186201))+0-27.9--0.0142289999999972</f>
        <v>2030.164088</v>
      </c>
      <c r="Z213" s="3">
        <f>2257.9+(69.6-392.3)+(-2.303058+(-0.070992--0.400146))+0-28.2--0.0287640000000045</f>
        <v>1905.05486</v>
      </c>
      <c r="AA213" s="3">
        <f>2233+(43.5-445.2)+(-2.27766+(-0.04437--0.454104))+0-26.4--0.0269280000000042</f>
        <v>1803.059002</v>
      </c>
      <c r="AB213" s="3">
        <f>2028+(26-391.1)+(-4.13712+(-0.05304--0.797844))+0-26.1--0.0532439999999989</f>
        <v>1633.4609280000002</v>
      </c>
      <c r="AC213" s="3">
        <f>1759.1+(52.1-318.8)+(-2.691423+(-0.079713--0.487764))+0-26.1--0.0399330000000015</f>
        <v>1464.0565609999999</v>
      </c>
      <c r="AD213">
        <f t="shared" si="3"/>
        <v>36487.786607000002</v>
      </c>
      <c r="AE213" s="3">
        <f>2322.9+(89.9-345)+(0+(0-0))+0-28-0</f>
        <v>2039.8000000000002</v>
      </c>
    </row>
    <row r="214" spans="1:31" s="2" customFormat="1" x14ac:dyDescent="0.25">
      <c r="A214">
        <v>89</v>
      </c>
      <c r="B214">
        <v>7</v>
      </c>
      <c r="C214">
        <v>28</v>
      </c>
      <c r="D214">
        <v>5</v>
      </c>
      <c r="E214">
        <v>1</v>
      </c>
      <c r="F214" s="3">
        <f>1541.2+(56.9-286)+(-4.716072+(-0.174114--0.87516))+0-27--0.0826200000000031</f>
        <v>1281.167594</v>
      </c>
      <c r="G214" s="3">
        <f>1485.3+(61.5-340.2)+(-1.515006+(-0.06273--0.347004))+0-27--0.0275400000000043</f>
        <v>1178.396808</v>
      </c>
      <c r="H214" s="3">
        <f>1334.4+(89.6-265.1)+(-2.041632+(-0.137088--0.405603))+0-27--0.0413100000000016</f>
        <v>1130.1681930000002</v>
      </c>
      <c r="I214" s="3">
        <f>1313.2+(81.2-258.1)+(-1.339464+(-0.082824--0.263262))+0-27--0.0275400000000043</f>
        <v>1108.168514</v>
      </c>
      <c r="J214" s="3">
        <f>1313.5+(83.3-265)+(0.669885+(0.042483-0.13515))+0-27-0.0137699999999973</f>
        <v>1105.3634479999998</v>
      </c>
      <c r="K214" s="3">
        <f>1381.1+(61.2-296.9)+(-0.704361+(-0.031212--0.151419))+0-27--0.0137699999999973</f>
        <v>1117.829616</v>
      </c>
      <c r="L214" s="3">
        <f>1345.1+(57-226.2)+(-3.430005+(-0.14535--0.57681))+0-27--0.0688499999999961</f>
        <v>1145.9703049999998</v>
      </c>
      <c r="M214" s="3">
        <f>1444.6+(36.4-220.8)+(1.473492+(0.037128-0.225216))+0-28.5-0.0290700000000045</f>
        <v>1232.9563339999997</v>
      </c>
      <c r="N214" s="3">
        <f>1703.9+(48.3-281.4)+(0.868989+(0.024633-0.143514))+0-29-0.0147899999999971</f>
        <v>1442.5353180000002</v>
      </c>
      <c r="O214" s="3">
        <f>1878.3+(47.4-321.4)+(0+(0-0))+0-28.5-0</f>
        <v>1575.8</v>
      </c>
      <c r="P214" s="3">
        <f>1889.1+(51.9-295.3)+(2.890323+(0.079407-0.451809))+0-29-0.0443700000000017</f>
        <v>1619.1735509999996</v>
      </c>
      <c r="Q214" s="3">
        <f>1984.3+(33.1-332.2)+(-1.011993+(-0.016881--0.169422))+0-27--0.0137699999999973</f>
        <v>1657.3543180000001</v>
      </c>
      <c r="R214" s="3">
        <f>2094.6+(11.3-450.7)+(-3.204738+(-0.017289--0.689571))+0-8--0.0122400000000005</f>
        <v>1644.6797839999999</v>
      </c>
      <c r="S214" s="3">
        <f>2134.2+(9.6-512.5)+(0+(0-0))+0-8-0</f>
        <v>1623.2999999999997</v>
      </c>
      <c r="T214" s="3">
        <f>2159+(13.4-549.7)+(-1.10109+(-0.006834--0.280347))+0-27--0.0137699999999973</f>
        <v>1594.8861929999998</v>
      </c>
      <c r="U214" s="3">
        <f>2168.2+(8.1-524.2)+(-2.211564+(-0.008262--0.534684))+0-25--0.025500000000004</f>
        <v>1625.4403579999998</v>
      </c>
      <c r="V214" s="3">
        <f>2125.6+(6.7-526.9)+(-1.084056+(-0.003417--0.268719))+0-26--0.0132599999999974</f>
        <v>1578.5945060000001</v>
      </c>
      <c r="W214" s="3">
        <f>2167.7+(7.4-472.7)+(-3.316581+(-0.011322--0.723231))+0-27--0.0413100000000016</f>
        <v>1672.836638</v>
      </c>
      <c r="X214" s="3">
        <f>2278.6+(71-309.6)+(-1.162086+(-0.03621--0.157896))+0-27--0.0137699999999973</f>
        <v>2011.9733699999999</v>
      </c>
      <c r="Y214" s="3">
        <f>2273+(67.1-326.5)+(-2.31846+(-0.068442--0.33303))+0-28--0.0285600000000045</f>
        <v>1983.5746879999999</v>
      </c>
      <c r="Z214" s="3">
        <f>2153.4+(74.5-294)+(-3.294702+(-0.113985--0.44982))+0-27--0.0413100000000016</f>
        <v>1903.9824430000001</v>
      </c>
      <c r="AA214" s="3">
        <f>2100.1+(81.7-364.7)+(-1.071051+(-0.041667--0.185997))+0-26--0.0132599999999974</f>
        <v>1790.1865389999998</v>
      </c>
      <c r="AB214" s="3">
        <f>1999+(45.9-354.6)+(-8.15592+(-0.187272--1.446768))+0-27--0.110159999999998</f>
        <v>1656.5137359999999</v>
      </c>
      <c r="AC214" s="3">
        <f>1722.1+(39.7-280.2)+(-2.634813+(-0.060741--0.428706))+0-27--0.0413100000000016</f>
        <v>1452.374462</v>
      </c>
      <c r="AD214">
        <f t="shared" si="3"/>
        <v>36133.226715999997</v>
      </c>
      <c r="AE214" s="3">
        <f>2272+(78-304.8)+(0+(0-0))+0-24-0</f>
        <v>2021.2</v>
      </c>
    </row>
    <row r="215" spans="1:31" s="2" customFormat="1" x14ac:dyDescent="0.25">
      <c r="A215">
        <v>89</v>
      </c>
      <c r="B215">
        <v>7</v>
      </c>
      <c r="C215">
        <v>29</v>
      </c>
      <c r="D215">
        <v>6</v>
      </c>
      <c r="E215">
        <v>1</v>
      </c>
      <c r="F215" s="3">
        <f>1514.5+(69.3-276.1)+(-3.08958+(-0.141372--0.563244))+0-27--0.0550799999999988</f>
        <v>1278.0873720000002</v>
      </c>
      <c r="G215" s="3">
        <f>1421.3+(65.5-275.7)+(-2.174589+(-0.100215--0.421821))+0-27--0.0413100000000016</f>
        <v>1182.288327</v>
      </c>
      <c r="H215" s="3">
        <f>1296.2+(92.5-223.7)+(-1.322124+(-0.09435--0.228174))+0-28--0.0285600000000045</f>
        <v>1135.8402599999999</v>
      </c>
      <c r="I215" s="3">
        <f>1281.2+(80.9-219.1)+(0+(0-0))+0-27-0</f>
        <v>1116</v>
      </c>
      <c r="J215" s="3">
        <f>1283.4+(72.8-217.5)+(0+(0-0))+0-28-0</f>
        <v>1110.7</v>
      </c>
      <c r="K215" s="3">
        <f>1270.7+(85.1-188.1)+(-2.592228+(-0.173604--0.383724))+0-27--0.0550799999999988</f>
        <v>1138.3729720000001</v>
      </c>
      <c r="L215" s="3">
        <f>1239.3+(143.5-187.7)+(-0.632043+(-0.073185--0.095727))+0-28--0.0142799999999972</f>
        <v>1166.5047790000001</v>
      </c>
      <c r="M215" s="3">
        <f>1410.7+(107.4-215.4)+(-0.719457+(-0.054774--0.109854))+0-30--0.015299999999997</f>
        <v>1272.050923</v>
      </c>
      <c r="N215" s="3">
        <f>1657.4+(89.1-263.1)+(-1.690548+(-0.090882--0.268362))+0-29.4--0.0299880000000047</f>
        <v>1452.51692</v>
      </c>
      <c r="O215" s="3">
        <f>1702.6+(137.1-209)+(0.868326+(0.069921-0.10659))+0-30-0.015299999999997</f>
        <v>1601.5163569999997</v>
      </c>
      <c r="P215" s="3">
        <f>1700.2+(155-185.2)+(0.867102+(0.07905-0.094452))+0-30.6-0.0156059999999969</f>
        <v>1640.2360940000001</v>
      </c>
      <c r="Q215" s="3">
        <f>1883.3+(51.5-235.5)+(-0.960483+(-0.026265--0.120105))+0-29.7--0.015146999999997</f>
        <v>1668.7485039999999</v>
      </c>
      <c r="R215" s="3">
        <f>1919.1+(43.6-278.5)+(-4.893705+(-0.11118--0.710175))+0-26.7--0.0680849999999961</f>
        <v>1653.2733749999998</v>
      </c>
      <c r="S215" s="3">
        <f>1920.4+(41-308.3)+(0+(0-0))+0-27.3-0</f>
        <v>1625.8000000000002</v>
      </c>
      <c r="T215" s="3">
        <f>1919.5+(35.5-344)+(0.978945+(0.018105-0.17544))+0-28.8-0.0146879999999971</f>
        <v>1583.006922</v>
      </c>
      <c r="U215" s="3">
        <f>1838.9+(42.5-289.3)+(-4.689195+(-0.108375--0.737715))+0-29.7--0.0757349999999957</f>
        <v>1558.41588</v>
      </c>
      <c r="V215" s="3">
        <f>1762.9+(48-241.6)+(-3.596316+(-0.09792--0.492864))+0-29.4--0.0599759999999987</f>
        <v>1536.7586040000001</v>
      </c>
      <c r="W215" s="3">
        <f>1816+(67.1-205.8)+(0.92616+(0.034221-0.104958))+0-27.6-0.0140759999999972</f>
        <v>1650.5413470000001</v>
      </c>
      <c r="X215" s="3">
        <f>1925.8+(209.6-151.2)+(1.964316+(0.213792-0.154224))+0-20.1-0.0205020000000032</f>
        <v>1966.103382</v>
      </c>
      <c r="Y215" s="3">
        <f>1930.2+(201.3-167.8)+(-4.92201+(-0.513315--0.42789))+0-10.2--0.0260099999999985</f>
        <v>1948.5185750000001</v>
      </c>
      <c r="Z215" s="3">
        <f>1888.3+(186.2-189.8)+(-3.852132+(-0.379848--0.387192))+0-9.9--0.0201959999999996</f>
        <v>1870.9754079999996</v>
      </c>
      <c r="AA215" s="3">
        <f>1869.2+(191.9-278.6)+(-1.906584+(-0.195738--0.284172))+0-16.2--0.0165240000000026</f>
        <v>1764.4983739999998</v>
      </c>
      <c r="AB215" s="3">
        <f>1802.9+(155-301.2)+(-2.758437+(-0.23715--0.460836))+0-7.2--0.0110160000000004</f>
        <v>1646.976265</v>
      </c>
      <c r="AC215" s="3">
        <f>1668.4+(79.3-273.9)+(0+(0-0))+0-6.3-0</f>
        <v>1467.5000000000002</v>
      </c>
      <c r="AD215">
        <f t="shared" si="3"/>
        <v>36035.230639999994</v>
      </c>
      <c r="AE215" s="3">
        <f>1934+(228.2-151.2)+(0+(0-0))+0-21-0</f>
        <v>1990</v>
      </c>
    </row>
    <row r="216" spans="1:31" s="2" customFormat="1" x14ac:dyDescent="0.25">
      <c r="A216">
        <v>89</v>
      </c>
      <c r="B216">
        <v>7</v>
      </c>
      <c r="C216">
        <v>30</v>
      </c>
      <c r="D216">
        <v>7</v>
      </c>
      <c r="E216">
        <v>1</v>
      </c>
      <c r="F216" s="3">
        <f>1419.6+(107.4-225.3)+(0.723996+(0.054774-0.114903))+0-3.9-0.0019889999999996</f>
        <v>1298.4618779999996</v>
      </c>
      <c r="G216" s="3">
        <f>1254.1+(133.6-188.7)+(-2.558364+(-0.272544--0.384948))+0-2.1--0.00428399999999991</f>
        <v>1194.4583240000002</v>
      </c>
      <c r="H216" s="3">
        <f>1168.8+(145.4-166.3)+(-2.98044+(-0.37077--0.424065))+0-4.2--0.0107099999999994</f>
        <v>1140.7835649999997</v>
      </c>
      <c r="I216" s="3">
        <f>1116.7+(161.6-156.3)+(-1.708551+(-0.247248--0.239139))+0-2.1--0.00321300000000012</f>
        <v>1118.186553</v>
      </c>
      <c r="J216" s="3">
        <f>1062.8+(181.8-141.9)+(0+(0-0))+0-2.1-0</f>
        <v>1100.6000000000001</v>
      </c>
      <c r="K216" s="3">
        <f>1062.8+(203.3-119.4)+(0+(0-0))+0-2.1-0</f>
        <v>1144.6000000000001</v>
      </c>
      <c r="L216" s="3">
        <f>1063.5+(218.2-127.5)+(-1.627155+(-0.333846--0.195075))+0-1.5--0.00229500000000009</f>
        <v>1150.936369</v>
      </c>
      <c r="M216" s="3">
        <f>1081.6+(245.4-167.6)+(0.551616+(0.125154-0.085476))+0-5.1-0.00260099999999948</f>
        <v>1154.8886930000001</v>
      </c>
      <c r="N216" s="3">
        <f>1162.9+(277-187.7)+(0+(0-0))+0-1.8-0</f>
        <v>1250.4000000000001</v>
      </c>
      <c r="O216" s="3">
        <f>1221.3+(325.9-179.6)+(0+(0-0))+0-1.8-0</f>
        <v>1365.8</v>
      </c>
      <c r="P216" s="3">
        <f>1409.2+(213.5-175.7)+(-2.156076+(-0.326655--0.268821))+0-1.8--0.0027540000000001</f>
        <v>1442.9888440000002</v>
      </c>
      <c r="Q216" s="3">
        <f>1533.9+(136-207.9)+(0+(0-0))+0-1.5-0</f>
        <v>1460.5</v>
      </c>
      <c r="R216" s="3">
        <f>1549.6+(143-230)+(-0.790296+(-0.07293--0.1173))+0-1.5--0.000764999999999848</f>
        <v>1460.3548389999999</v>
      </c>
      <c r="S216" s="3">
        <f>1556.3+(141.6-260.7)+(-3.174852+(-0.288864--0.531828))+0-1.8--0.00367199999999992</f>
        <v>1432.4717840000001</v>
      </c>
      <c r="T216" s="3">
        <f>1555.7+(116.4-267.6)+(-2.380221+(-0.178092--0.409428))+0-1.5--0.00229500000000009</f>
        <v>1400.8534099999999</v>
      </c>
      <c r="U216" s="3">
        <f>1553.2+(110.4-277.7)+(-3.96066+(-0.28152--0.708135))+0-1.5--0.00382499999999978</f>
        <v>1380.86978</v>
      </c>
      <c r="V216" s="3">
        <f>1479.1+(140.1-207.4)+(-1.508682+(-0.142902--0.211548))+0-1.5--0.00153000000000024</f>
        <v>1408.861494</v>
      </c>
      <c r="W216" s="3">
        <f>1522.5+(136.3-133.5)+(1.55295+(0.139026-0.13617))+0-1.5-0.00153000000000024</f>
        <v>1525.354276</v>
      </c>
      <c r="X216" s="3">
        <f>1596.3+(380.3-126.9)+(2.442339+(0.581859-0.194157))+0-1-0.00153000000000006</f>
        <v>1851.528511</v>
      </c>
      <c r="Y216" s="3">
        <f>1597.4+(381.5-127.1)+(0.814674+(0.194565-0.064821))+0-1.5-0.000764999999999848</f>
        <v>1851.2436530000002</v>
      </c>
      <c r="Z216" s="3">
        <f>1598.5+(330.6-122.5)+(0.815235+(0.168606-0.062475))+0-1.5-0.000764999999999848</f>
        <v>1806.0206009999999</v>
      </c>
      <c r="AA216" s="3">
        <f>1591.1+(318.7-188.7)+(-1.622922+(-0.325074--0.192474))+0-1.5--0.00153000000000024</f>
        <v>1717.846008</v>
      </c>
      <c r="AB216" s="3">
        <f>1590.8+(208.8-220.3)+(-2.433924+(-0.319464--0.337059))+0-1.5--0.00229500000000009</f>
        <v>1575.3859660000001</v>
      </c>
      <c r="AC216" s="3">
        <f>1498.5+(120.9-217.8)+(-1.52847+(-0.123318--0.222156))+0-1.5--0.00153000000000024</f>
        <v>1398.6718979999998</v>
      </c>
      <c r="AD216">
        <f t="shared" si="3"/>
        <v>33632.066446000004</v>
      </c>
      <c r="AE216" s="3">
        <f>1601+(394.8-144)+(0+(0-0))+0-5-0</f>
        <v>1846.8</v>
      </c>
    </row>
    <row r="217" spans="1:31" s="2" customFormat="1" x14ac:dyDescent="0.25">
      <c r="A217">
        <v>89</v>
      </c>
      <c r="B217">
        <v>8</v>
      </c>
      <c r="C217">
        <v>1</v>
      </c>
      <c r="D217">
        <v>1</v>
      </c>
      <c r="E217">
        <v>1</v>
      </c>
      <c r="F217" s="3">
        <f>1332+(116.9-214)+(-1.35864+(-0.119238--0.21828))+0-1.5--0.00153000000000024</f>
        <v>1232.141932</v>
      </c>
      <c r="G217" s="3">
        <f>1271.5+(114.8-230.9)+(-1.945395+(-0.175644--0.353277))+0-1.5--0.00229500000000009</f>
        <v>1152.1345330000001</v>
      </c>
      <c r="H217" s="3">
        <f>1211.9+(127-228)+(-1.854207+(-0.19431--0.34884))+0-1.5--0.00229500000000009</f>
        <v>1107.702618</v>
      </c>
      <c r="I217" s="3">
        <f>1212.3+(120-241.5)+(-1.854819+(-0.1836--0.369495))+0-1.5--0.00229500000000009</f>
        <v>1087.6333709999999</v>
      </c>
      <c r="J217" s="3">
        <f>1213.4+(125.1-242.2)+(-2.475336+(-0.255204--0.494088))+0-1.5--0.00305999999999993</f>
        <v>1092.5666080000001</v>
      </c>
      <c r="K217" s="3">
        <f>1213+(117.5-210.1)+(0+(0-0))+0-1.5-0</f>
        <v>1118.9000000000001</v>
      </c>
      <c r="L217" s="3">
        <f>1233.2+(126.9-169.6)+(-0.628932+(-0.064719--0.086496))+0-2.1--0.00107099999999979</f>
        <v>1187.7939160000001</v>
      </c>
      <c r="M217" s="3">
        <f>1406.1+(133.9-198)+(2.151333+(0.204867-0.30294))+0-2.1-0.00321300000000012</f>
        <v>1341.950047</v>
      </c>
      <c r="N217" s="3">
        <f>1711.3+(118.7-271.6)+(0+(0-0))+0-2.1-0</f>
        <v>1556.3</v>
      </c>
      <c r="O217" s="3">
        <f>1946.5+(83.6-373.1)+(-0.992715+(-0.042636--0.190281))+0-2.1--0.00107099999999979</f>
        <v>1654.0560009999999</v>
      </c>
      <c r="P217" s="3">
        <f>2165.2+(48-486.6)+(3.312756+(0.07344-0.744498))+0-2.1-0.00321300000000012</f>
        <v>1727.1384849999999</v>
      </c>
      <c r="Q217" s="3">
        <f>2300.4+(45.9-605.8)+(0+(0-0))+0-1.5-0</f>
        <v>1739</v>
      </c>
      <c r="R217" s="3">
        <f>2344.7+(6.7-716.2)+(-3.587391+(-0.010251--1.095786))+0-1.5--0.00229500000000009</f>
        <v>1631.2004389999997</v>
      </c>
      <c r="S217" s="3">
        <f>2371.5+(9.1-771.9)+(-7.25679+(-0.027846--2.362014))+0-1.5--0.00459000000000017</f>
        <v>1602.281968</v>
      </c>
      <c r="T217" s="3">
        <f>2347.7+(9.6-795.8)+(0+(0-0))+0-1.5-0</f>
        <v>1560</v>
      </c>
      <c r="U217" s="3">
        <f>2328.5+(9.1-762.5)+(-2.37507+(-0.009282--0.77775))+0-1.5--0.00153000000000024</f>
        <v>1571.9949279999998</v>
      </c>
      <c r="V217" s="3">
        <f>2158+(8-558.9)+(-3.30174+(-0.01224--0.855117))+0-1.5--0.00229500000000009</f>
        <v>1603.1434319999998</v>
      </c>
      <c r="W217" s="3">
        <f>2248.1+(12.9-519.4)+(1.146531+(0.006579-0.264894))+0-1.5-0.000764999999999848</f>
        <v>1740.987451</v>
      </c>
      <c r="X217" s="3">
        <f>2344.2+(52.8-392.4)+(-3.586626+(-0.080784--0.600372))+0-2--0.00306000000000012</f>
        <v>1999.536022</v>
      </c>
      <c r="Y217" s="3">
        <f>2347.4+(53.4-420.6)+(-2.394348+(-0.054468--0.429012))+0-3--0.00306000000000048</f>
        <v>1975.183256</v>
      </c>
      <c r="Z217" s="3">
        <f>2342+(25.9-458)+(-3.58326+(-0.039627--0.70074))+0-4--0.00612000000000023</f>
        <v>1902.9839730000001</v>
      </c>
      <c r="AA217" s="3">
        <f>2332.6+(13.9-546.6)+(-2.379252+(-0.014178--0.557532))+0-4--0.00408000000000064</f>
        <v>1794.0681819999998</v>
      </c>
      <c r="AB217" s="3">
        <f>2122.2+(16.2-482.9)+(-5.41161+(-0.04131--1.231395))+0-5--0.0127499999999993</f>
        <v>1646.2912249999999</v>
      </c>
      <c r="AC217" s="3">
        <f>1612.6+(119-283.8)+(-4.11213+(-0.30345--0.72369))+0-4--0.0101999999999994</f>
        <v>1440.1183099999998</v>
      </c>
      <c r="AD217">
        <f t="shared" si="3"/>
        <v>36465.106697000003</v>
      </c>
      <c r="AE217" s="3">
        <f>2345+(68.9-395.3)+(0+(0-0))+0-1.5-0</f>
        <v>2017.1</v>
      </c>
    </row>
    <row r="218" spans="1:31" s="2" customFormat="1" x14ac:dyDescent="0.25">
      <c r="A218">
        <v>89</v>
      </c>
      <c r="B218">
        <v>8</v>
      </c>
      <c r="C218">
        <v>2</v>
      </c>
      <c r="D218">
        <v>2</v>
      </c>
      <c r="E218">
        <v>1</v>
      </c>
      <c r="F218" s="3">
        <f>1326.3+(176.7-192.6)+(-2.705652+(-0.360468--0.392904))+0-4--0.00815999999999983</f>
        <v>1303.734944</v>
      </c>
      <c r="G218" s="3">
        <f>1053+(241.5-113.1)+(-0.53703+(-0.123165--0.057681))+0-5--0.00254999999999949</f>
        <v>1175.8000360000001</v>
      </c>
      <c r="H218" s="3">
        <f>1024.2+(237.1-110)+(-2.61171+(-0.604605--0.2805))+0-19--0.0484499999999972</f>
        <v>1129.4126349999999</v>
      </c>
      <c r="I218" s="3">
        <f>1027.3+(220.1-111.7)+(2.619615+(0.561255-0.284835))+0-24-0.0611999999999965</f>
        <v>1114.5348349999999</v>
      </c>
      <c r="J218" s="3">
        <f>1025.5+(217-106.4)+(1.04601+(0.22134-0.108528))+0-24-0.0244800000000038</f>
        <v>1113.234342</v>
      </c>
      <c r="K218" s="3">
        <f>1024.3+(239.4-98.8)+(-1.044786+(-0.244188--0.100776))+0-25--0.025500000000004</f>
        <v>1138.737302</v>
      </c>
      <c r="L218" s="3">
        <f>914.3+(396-93.8)+(-0.932586+(-0.40392--0.095676))+0-24--0.0244800000000038</f>
        <v>1191.2836500000001</v>
      </c>
      <c r="M218" s="3">
        <f>991.9+(410.9-93.4)+(1.011738+(0.419118-0.095268))+0-27-0.0275400000000043</f>
        <v>1283.708048</v>
      </c>
      <c r="N218" s="3">
        <f>1362.1+(268.1-144.6)+(-2.084013+(-0.410193--0.221238))+0-28--0.0428400000000016</f>
        <v>1455.369872</v>
      </c>
      <c r="O218" s="3">
        <f>1866+(83-338.5)+(-2.85498+(-0.12699--0.517905))+0-28--0.0428400000000016</f>
        <v>1580.0787750000002</v>
      </c>
      <c r="P218" s="3">
        <f>2017.9+(43.9-404)+(-3.087387+(-0.067167--0.61812))+0-29--0.0443700000000017</f>
        <v>1626.3079360000002</v>
      </c>
      <c r="Q218" s="3">
        <f>2141.5+(9.2-450.8)+(-5.460825+(-0.02346--1.14954))+0-28--0.0713999999999959</f>
        <v>1667.636655</v>
      </c>
      <c r="R218" s="3">
        <f>2102.7+(5.5-432.4)+(-5.361885+(-0.014025--1.10262))+0-29--0.0739499999999958</f>
        <v>1642.6006599999996</v>
      </c>
      <c r="S218" s="3">
        <f>2188.2+(6.7-548.8)+(-2.231964+(-0.006834--0.559776))+0-28--0.0285600000000045</f>
        <v>1616.4495379999998</v>
      </c>
      <c r="T218" s="3">
        <f>2209.5+(4.6-606.1)+(-4.50738+(-0.009384--1.236444))+0-31--0.0632399999999986</f>
        <v>1573.7829199999999</v>
      </c>
      <c r="U218" s="3">
        <f>2183.2+(4.8-564.1)+(-4.453728+(-0.009792--1.150764))+0-31--0.0632399999999986</f>
        <v>1589.6504839999996</v>
      </c>
      <c r="V218" s="3">
        <f>1754.2+(109.7-251.2)+(0.894642+(0.055947-0.128112))+0-29-0.0147899999999971</f>
        <v>1584.507687</v>
      </c>
      <c r="W218" s="3">
        <f>1831.5+(111.1-188.4)+(0+(0-0))+0-30-0</f>
        <v>1724.2</v>
      </c>
      <c r="X218" s="3">
        <f>2120.6+(167.9-237.6)+(-4.326024+(-0.342516--0.484704))+0-30--0.0611999999999987</f>
        <v>2016.7773640000003</v>
      </c>
      <c r="Y218" s="3">
        <f>2235.3+(95.7-297.1)+(-4.560012+(-0.195228--0.606084))+0-29--0.0591599999999987</f>
        <v>2000.8100040000002</v>
      </c>
      <c r="Z218" s="3">
        <f>2218.6+(55.1-317.6)+(-2.262972+(-0.056202--0.323952))+0-29--0.0295800000000046</f>
        <v>1925.1343579999998</v>
      </c>
      <c r="AA218" s="3">
        <f>1768.2+(229.4-167.8)+(-1.803564+(-0.233988--0.171156))+0-28--0.0285600000000045</f>
        <v>1799.962164</v>
      </c>
      <c r="AB218" s="3">
        <f>1644.6+(204-173.2)+(-4.19373+(-0.5202--0.44166))+0-29--0.0739499999999958</f>
        <v>1642.2016799999999</v>
      </c>
      <c r="AC218" s="3">
        <f>1479.9+(164.4-177.5)+(-3.773745+(-0.41922--0.452625))+0-27--0.0688499999999961</f>
        <v>1436.12851</v>
      </c>
      <c r="AD218">
        <f t="shared" si="3"/>
        <v>36332.044398999999</v>
      </c>
      <c r="AE218" s="3">
        <f>2168+(158.9-250.4)+(0+(0-0))+0-29-0</f>
        <v>2047.5</v>
      </c>
    </row>
    <row r="219" spans="1:31" s="2" customFormat="1" x14ac:dyDescent="0.25">
      <c r="A219">
        <v>89</v>
      </c>
      <c r="B219">
        <v>8</v>
      </c>
      <c r="C219">
        <v>3</v>
      </c>
      <c r="D219">
        <v>3</v>
      </c>
      <c r="E219">
        <v>1</v>
      </c>
      <c r="F219" s="3">
        <f>1362.9+(133.7-192.9)+(-2.085237+(-0.204561--0.295137))+0-28--0.0428400000000016</f>
        <v>1273.7481790000002</v>
      </c>
      <c r="G219" s="3">
        <f>1331.4+(123.3-240.4)+(-3.39507+(-0.314415--0.61302))+0-28--0.0713999999999959</f>
        <v>1183.2749350000001</v>
      </c>
      <c r="H219" s="3">
        <f>1328.5+(118.9-262.4)+(-1.35507+(-0.121278--0.267648))+0-29--0.0295800000000046</f>
        <v>1154.82088</v>
      </c>
      <c r="I219" s="3">
        <f>1311.1+(117-263.8)+(0+(0-0))+0-29-0</f>
        <v>1135.3</v>
      </c>
      <c r="J219" s="3">
        <f>1280.7+(129.9-247)+(0.653157+(0.066249-0.12597))+0-28-0.0142799999999972</f>
        <v>1136.1791560000001</v>
      </c>
      <c r="K219" s="3">
        <f>1295.5+(117-228.5)+(-1.32141+(-0.11934--0.23307))+0-28--0.0285600000000045</f>
        <v>1154.82088</v>
      </c>
      <c r="L219" s="3">
        <f>1281.7+(151.8-182.8)+(-0.653667+(-0.077418--0.093228))+0-30--0.015299999999997</f>
        <v>1220.0774430000001</v>
      </c>
      <c r="M219" s="3">
        <f>1329.1+(182.1-175.7)+(2.033523+(0.278613-0.268821))+0-30-0.0459000000000017</f>
        <v>1307.4974149999998</v>
      </c>
      <c r="N219" s="3">
        <f>1577.9+(131-192.3)+(-0.804729+(-0.06681--0.098073))+0-30--0.015299999999997</f>
        <v>1485.8418340000001</v>
      </c>
      <c r="O219" s="3">
        <f>1906.4+(22.4-310.3)+(-0.972264+(-0.011424--0.158253))+0-30--0.015299999999997</f>
        <v>1587.6898650000001</v>
      </c>
      <c r="P219" s="3">
        <f>1982.6+(20.8-364.3)+(0+(0-0))+0-30-0</f>
        <v>1609.1</v>
      </c>
      <c r="Q219" s="3">
        <f>2044.5+(15.2-393.1)+(-2.08539+(-0.015504--0.400962))+0-30--0.0306000000000048</f>
        <v>1634.930668</v>
      </c>
      <c r="R219" s="3">
        <f>2056.7+(11.3-418.5)+(-6.293502+(-0.034578--1.28061))+0-27--0.0826200000000031</f>
        <v>1617.5351499999997</v>
      </c>
      <c r="S219" s="3">
        <f>2069.5+(10.2-464.9)+(-4.22178+(-0.020808--0.948396))+0-28--0.0571199999999988</f>
        <v>1583.5629279999998</v>
      </c>
      <c r="T219" s="3">
        <f>1997.6+(10-428.8)+(-3.056328+(-0.0153--0.656064))+0-30--0.0459000000000017</f>
        <v>1546.4303360000001</v>
      </c>
      <c r="U219" s="3">
        <f>1950.7+(6-397)+(1.989714+(0.00612-0.40494))+0-30-0.0306000000000048</f>
        <v>1531.2602939999999</v>
      </c>
      <c r="V219" s="3">
        <f>2095.7+(9-497.8)+(0+(0-0))+0-29-0</f>
        <v>1577.8999999999999</v>
      </c>
      <c r="W219" s="3">
        <f>2168.9+(10.1-396.8)+(1.106139+(0.005151-0.202368))+0-29-0.0147899999999971</f>
        <v>1754.0941320000002</v>
      </c>
      <c r="X219" s="3">
        <f>2260.8+(120.3-312.5)+(-1.153008+(-0.061353--0.159375))+0-28--0.0142799999999972</f>
        <v>2039.5592940000004</v>
      </c>
      <c r="Y219" s="3">
        <f>2249.1+(124.6-334.6)+(-4.588164+(-0.254184--0.682584))+0-28--0.0571199999999988</f>
        <v>2006.9973559999999</v>
      </c>
      <c r="Z219" s="3">
        <f>2148.2+(119.8-319.7)+(-2.191164+(-0.122196--0.326094))+0-28--0.0285600000000045</f>
        <v>1918.3412939999996</v>
      </c>
      <c r="AA219" s="3">
        <f>2143.2+(94.4-404.6)+(-1.093032+(-0.048144--0.206346))+0-28.5--0.0145349999999971</f>
        <v>1803.5797049999999</v>
      </c>
      <c r="AB219" s="3">
        <f>1863.9+(148.5-308.7)+(-2.851767+(-0.227205--0.472311))+0-28.5--0.0436050000000016</f>
        <v>1672.6369440000001</v>
      </c>
      <c r="AC219" s="3">
        <f>1605.6+(144.9-263.7)+(-4.09428+(-0.369495--0.672435))+0-28--0.0713999999999959</f>
        <v>1455.08006</v>
      </c>
      <c r="AD219">
        <f t="shared" si="3"/>
        <v>36390.258747999993</v>
      </c>
      <c r="AE219" s="3">
        <f>2259+(128.1-304.1)+(0+(0-0))+0-29-0</f>
        <v>2054</v>
      </c>
    </row>
    <row r="220" spans="1:31" s="2" customFormat="1" x14ac:dyDescent="0.25">
      <c r="A220">
        <v>89</v>
      </c>
      <c r="B220">
        <v>8</v>
      </c>
      <c r="C220">
        <v>4</v>
      </c>
      <c r="D220">
        <v>4</v>
      </c>
      <c r="E220">
        <v>1</v>
      </c>
      <c r="F220" s="3">
        <f>1380.8+(145.1-222.7)+(-2.816832+(-0.296004--0.454308))+0-28--0.0571199999999988</f>
        <v>1272.5985920000001</v>
      </c>
      <c r="G220" s="3">
        <f>1262.7+(137.6-208.9)+(0+(0-0))+0-29-0</f>
        <v>1162.4000000000001</v>
      </c>
      <c r="H220" s="3">
        <f>1262.5+(125.9-227)+(0.643875+(0.064209-0.11577))+0-30-0.015299999999997</f>
        <v>1131.9770140000001</v>
      </c>
      <c r="I220" s="3">
        <f>1263+(114.1-223.7)+(1.28826+(0.116382-0.228174))+0-29-0.0295800000000046</f>
        <v>1125.5468880000003</v>
      </c>
      <c r="J220" s="3">
        <f>1251.3+(112.2-206.4)+(-1.276326+(-0.114444--0.210528))+0-29--0.0295800000000046</f>
        <v>1126.9493379999999</v>
      </c>
      <c r="K220" s="3">
        <f>1161.1+(159.2-139.8)+(-1.184322+(-0.162384--0.142596))+0-29--0.0295800000000046</f>
        <v>1150.32547</v>
      </c>
      <c r="L220" s="3">
        <f>1161+(190.6-102.3)+(-1.77633+(-0.291618--0.156519))+0-28.2--0.0431460000000016</f>
        <v>1219.2317169999999</v>
      </c>
      <c r="M220" s="3">
        <f>1359.3+(205.6-162.6)+(-0.693243+(-0.104856--0.082926))+0-30--0.015299999999997</f>
        <v>1371.6001269999999</v>
      </c>
      <c r="N220" s="3">
        <f>1565.8+(208-180.8)+(0+(0-0))+0-30.6-0</f>
        <v>1562.4</v>
      </c>
      <c r="O220" s="3">
        <f>1688.4+(224.5-194.4)+(0.861084+(0.114495-0.099144))+0-30-0.015299999999997</f>
        <v>1689.3611349999999</v>
      </c>
      <c r="P220" s="3">
        <f>1988.1+(82.1-324.9)+(0+(0-0))+0-31-0</f>
        <v>1714.3</v>
      </c>
      <c r="Q220" s="3">
        <f>2238+(48.4-483.3)+(-1.14138+(-0.024684--0.246483))+0-31--0.0158099999999969</f>
        <v>1771.1962289999999</v>
      </c>
      <c r="R220" s="3">
        <f>2232.2+(14.4-553.8)+(-3.415266+(-0.022032--0.847314))+0-29--0.0443700000000017</f>
        <v>1661.2543859999998</v>
      </c>
      <c r="S220" s="3">
        <f>2210.5+(9-560)+(-4.50942+(-0.01836--1.1424))+0-29--0.0591599999999987</f>
        <v>1627.1737800000001</v>
      </c>
      <c r="T220" s="3">
        <f>2162.2+(12.3-532.6)+(-5.51361+(-0.031365--1.35813))+0-30--0.0764999999999956</f>
        <v>1607.7896549999996</v>
      </c>
      <c r="U220" s="3">
        <f>2019.7+(31-428.7)+(-4.120188+(-0.06324--0.874548))+0-29.4--0.0599759999999987</f>
        <v>1589.3510959999999</v>
      </c>
      <c r="V220" s="3">
        <f>2022.1+(23.6-399.6)+(-1.031271+(-0.012036--0.203796))+0-30.6--0.0156059999999969</f>
        <v>1614.676095</v>
      </c>
      <c r="W220" s="3">
        <f>2067.9+(56.5-247.7)+(0+(0-0))+0-29.1-0</f>
        <v>1847.6000000000001</v>
      </c>
      <c r="X220" s="3">
        <f>2248.3+(122.9-318.8)+(-3.439899+(-0.188037--0.487764))+0-29.1--0.0445230000000017</f>
        <v>2020.2043510000003</v>
      </c>
      <c r="Y220" s="3">
        <f>2253+(115.7-337.1)+(-6.89418+(-0.354042--1.031526))+0-29.1--0.0890460000000034</f>
        <v>1996.3723500000001</v>
      </c>
      <c r="Z220" s="3">
        <f>2193.5+(95.6-365.3)+(-3.356055+(-0.146268--0.558909))+0-29.1--0.0445230000000017</f>
        <v>1891.801109</v>
      </c>
      <c r="AA220" s="3">
        <f>2187.9+(74.6-431.6)+(1.115829+(0.038046-0.220116))+0-27-0.0137699999999973</f>
        <v>1804.8199890000001</v>
      </c>
      <c r="AB220" s="3">
        <f>1828.7+(161.5-343.9)+(-1.865274+(-0.16473--0.350778))+0-27--0.0275400000000043</f>
        <v>1617.6483140000003</v>
      </c>
      <c r="AC220" s="3">
        <f>1170.3+(374.9-179.9)+(-2.387412+(-0.764796--0.366996))+0-27--0.0550799999999988</f>
        <v>1335.569868</v>
      </c>
      <c r="AD220">
        <f t="shared" si="3"/>
        <v>36912.147502999993</v>
      </c>
      <c r="AE220" s="3">
        <f>2289.6+(124-335.7)+(0+(0-0))+0-28-0</f>
        <v>2049.9</v>
      </c>
    </row>
    <row r="221" spans="1:31" s="2" customFormat="1" x14ac:dyDescent="0.25">
      <c r="A221">
        <v>89</v>
      </c>
      <c r="B221">
        <v>8</v>
      </c>
      <c r="C221">
        <v>5</v>
      </c>
      <c r="D221">
        <v>5</v>
      </c>
      <c r="E221">
        <v>1</v>
      </c>
      <c r="F221" s="3">
        <f>1098.9+(299.7-118.7)+(-1.120878+(-0.305694--0.121074))+0-26--0.0265200000000041</f>
        <v>1252.621022</v>
      </c>
      <c r="G221" s="3">
        <f>1095.8+(240.8-135.9)+(-2.79429+(-0.61404--0.346545))+0-27--0.0688499999999961</f>
        <v>1170.7070649999998</v>
      </c>
      <c r="H221" s="3">
        <f>1098+(216.2-149.8)+(-0.55998+(-0.110262--0.076398))+0-27--0.0137699999999973</f>
        <v>1136.8199260000001</v>
      </c>
      <c r="I221" s="3">
        <f>1066.2+(218.9-141.9)+(-0.543762+(-0.111639--0.072369))+0-27--0.0137699999999973</f>
        <v>1115.6307380000001</v>
      </c>
      <c r="J221" s="3">
        <f>1067.4+(208.1-131.2)+(2.72187+(0.530655-0.33456))+0-27-0.0688499999999961</f>
        <v>1120.1491150000004</v>
      </c>
      <c r="K221" s="3">
        <f>1061.1+(212.9-106.1)+(0.541161+(0.108579-0.054111))+0-28-0.0142799999999972</f>
        <v>1140.4813489999997</v>
      </c>
      <c r="L221" s="3">
        <f>1079.3+(256.1-75.4)+(-1.651329+(-0.391833--0.115362))+0-28--0.0428400000000016</f>
        <v>1230.1150400000001</v>
      </c>
      <c r="M221" s="3">
        <f>1164.9+(297.7-174.4)+(1.188198+(0.303654-0.177888))+0-30-0.0306000000000048</f>
        <v>1259.4833639999999</v>
      </c>
      <c r="N221" s="3">
        <f>1384.4+(299.5-222.4)+(-2.118132+(-0.458235--0.340272))+0-31--0.0474300000000018</f>
        <v>1428.3113350000001</v>
      </c>
      <c r="O221" s="3">
        <f>1641.5+(187.3-271)+(0+(0-0))+0-30-0</f>
        <v>1527.8</v>
      </c>
      <c r="P221" s="3">
        <f>1849.1+(121.5-326.2)+(0+(0-0))+0-29-0</f>
        <v>1615.3999999999999</v>
      </c>
      <c r="Q221" s="3">
        <f>1928.4+(96.7-355.5)+(-0.983484+(-0.049317--0.181305))+0-29--0.0147899999999971</f>
        <v>1639.7632940000001</v>
      </c>
      <c r="R221" s="3">
        <f>1852.5+(97.1-323.6)+(-4.723875+(-0.247605--0.82518))+0-29--0.0739499999999958</f>
        <v>1592.9276499999999</v>
      </c>
      <c r="S221" s="3">
        <f>1884+(80.2-371.1)+(-2.88252+(-0.122706--0.567783))+0-28--0.0428400000000016</f>
        <v>1562.7053969999999</v>
      </c>
      <c r="T221" s="3">
        <f>1902+(63.3-377)+(-2.91006+(-0.096849--0.57681))+0-27--0.0413100000000016</f>
        <v>1558.9112110000001</v>
      </c>
      <c r="U221" s="3">
        <f>1945.4+(58.1-391.6)+(-4.96077+(-0.148155--0.99858))+0-29--0.0739499999999958</f>
        <v>1578.863605</v>
      </c>
      <c r="V221" s="3">
        <f>2046+(41.6-414.8)+(-5.2173+(-0.10608--1.05774))+0-29--0.0739499999999958</f>
        <v>1639.6083099999998</v>
      </c>
      <c r="W221" s="3">
        <f>2187.5+(15.7-411.8)+(-2.23125+(-0.016014--0.420036))+0-30--0.0306000000000048</f>
        <v>1759.603372</v>
      </c>
      <c r="X221" s="3">
        <f>2200.1+(132.5-323)+(-2.244102+(-0.13515--0.32946))+0-30--0.0306000000000048</f>
        <v>1977.5808079999999</v>
      </c>
      <c r="Y221" s="3">
        <f>2204.4+(127-302.7)+(-3.372732+(-0.19431--0.463131))+0-29--0.0443700000000017</f>
        <v>1996.6404590000002</v>
      </c>
      <c r="Z221" s="3">
        <f>2196.8+(94.6-332.8)+(-2.240736+(-0.096492--0.339456))+0-29--0.0295800000000046</f>
        <v>1927.6318080000001</v>
      </c>
      <c r="AA221" s="3">
        <f>1993.6+(142.8-285.1)+(-5.08368+(-0.36414--0.727005))+0-28--0.0713999999999959</f>
        <v>1818.6505850000001</v>
      </c>
      <c r="AB221" s="3">
        <f>1675.7+(242.9-236.9)+(0.854607+(0.123879-0.120819))+0-27-0.0137699999999973</f>
        <v>1655.543897</v>
      </c>
      <c r="AC221" s="3">
        <f>1443.3+(207.7-159.5)+(-3.680415+(-0.529635--0.406725))+0-27--0.0688499999999961</f>
        <v>1460.7655249999998</v>
      </c>
      <c r="AD221">
        <f t="shared" si="3"/>
        <v>36166.714875000005</v>
      </c>
      <c r="AE221" s="3">
        <f>2214+(145.7-289.2)+(0+(0-0))+0-31-0</f>
        <v>2039.5</v>
      </c>
    </row>
    <row r="222" spans="1:31" s="2" customFormat="1" x14ac:dyDescent="0.25">
      <c r="A222">
        <v>89</v>
      </c>
      <c r="B222">
        <v>8</v>
      </c>
      <c r="C222">
        <v>6</v>
      </c>
      <c r="D222">
        <v>6</v>
      </c>
      <c r="E222">
        <v>1</v>
      </c>
      <c r="F222" s="3">
        <f>1396+(126.1-206.3)+(-2.84784+(-0.257244--0.420852))+0-26--0.0530399999999989</f>
        <v>1287.1688079999999</v>
      </c>
      <c r="G222" s="3">
        <f>1241.9+(149.2-182.4)+(0.633369+(0.076092-0.093024))+0-26-0.0132599999999974</f>
        <v>1183.303177</v>
      </c>
      <c r="H222" s="3">
        <f>1212+(142.9-185.4)+(0.61812+(0.072879-0.094554))+0-26-0.0132599999999974</f>
        <v>1144.083185</v>
      </c>
      <c r="I222" s="3">
        <f>1211+(134.9-185.8)+(-1.23522+(-0.137598--0.189516))+0-26--0.0265200000000041</f>
        <v>1132.9432179999999</v>
      </c>
      <c r="J222" s="3">
        <f>1216.5+(130-179.2)+(-0.620415+(-0.0663--0.091392))+0-26--0.0132599999999974</f>
        <v>1140.7179369999999</v>
      </c>
      <c r="K222" s="3">
        <f>1202.9+(148.7-154.2)+(-1.226958+(-0.151674--0.157284))+0-26--0.0265200000000041</f>
        <v>1170.2051719999999</v>
      </c>
      <c r="L222" s="3">
        <f>1156.8+(185.8-103)+(-1.179936+(-0.189516--0.10506))+0-27--0.0275400000000043</f>
        <v>1211.3631479999999</v>
      </c>
      <c r="M222" s="3">
        <f>1271.4+(179.8-143)+(-0.648414+(-0.091698--0.07293))+0-29--0.0147899999999971</f>
        <v>1278.5476080000001</v>
      </c>
      <c r="N222" s="3">
        <f>1467.1+(220.7-205.2)+(2.244663+(0.337671-0.313956))+0-29-0.0443700000000017</f>
        <v>1455.8240079999998</v>
      </c>
      <c r="O222" s="3">
        <f>1583.2+(219.1-218.8)+(1.614864+(0.223482-0.223176))+0-30-0.0306000000000048</f>
        <v>1555.08457</v>
      </c>
      <c r="P222" s="3">
        <f>1578.7+(218.7-171.5)+(-3.220548+(-0.446148--0.34986))+0-30--0.0611999999999987</f>
        <v>1592.6443640000002</v>
      </c>
      <c r="Q222" s="3">
        <f>1638+(165.2-144)+(-1.67076+(-0.168504--0.14688))+0-30--0.0306000000000048</f>
        <v>1627.5382160000001</v>
      </c>
      <c r="R222" s="3">
        <f>1594.2+(171.3-134.5)+(-6.504336+(-0.698904--0.54876))+0-21--0.0856799999999982</f>
        <v>1603.4312</v>
      </c>
      <c r="S222" s="3">
        <f>1598+(165.9-151)+(0+(0-0))+0-28-0</f>
        <v>1584.9</v>
      </c>
      <c r="T222" s="3">
        <f>1595.9+(137.9-168.1)+(0+(0-0))+0-29-0</f>
        <v>1536.7</v>
      </c>
      <c r="U222" s="3">
        <f>1544.8+(153.4-154.5)+(-2.363544+(-0.234702--0.236385))+0-29--0.0443700000000017</f>
        <v>1512.382509</v>
      </c>
      <c r="V222" s="3">
        <f>1474.1+(266.4-156.5)+(0+(0-0))+0-30-0</f>
        <v>1554</v>
      </c>
      <c r="W222" s="3">
        <f>1765.4+(141-169.9)+(-2.701062+(-0.21573--0.259947))+0-29--0.0443700000000017</f>
        <v>1704.8875250000001</v>
      </c>
      <c r="X222" s="3">
        <f>2050.9+(177.6-201.3)+(-5.229795+(-0.45288--0.513315))+0-31--0.0790499999999955</f>
        <v>1991.10969</v>
      </c>
      <c r="Y222" s="3">
        <f>1984.2+(221.8-181.3)+(-8.095536+(-0.904944--0.739704))+0-29--0.118319999999997</f>
        <v>1987.557544</v>
      </c>
      <c r="Z222" s="3">
        <f>1811.8+(250.8-150.2)+(-1.848036+(-0.255816--0.153204))+0-30--0.0306000000000048</f>
        <v>1880.4799520000001</v>
      </c>
      <c r="AA222" s="3">
        <f>1792+(246.5-219.8)+(-3.65568+(-0.50286--0.448392))+0-29--0.0591599999999987</f>
        <v>1786.0490120000002</v>
      </c>
      <c r="AB222" s="3">
        <f>1704.3+(205.4-208.9)+(-5.215158+(-0.628524--0.639234))+0-29--0.0887400000000034</f>
        <v>1666.6842919999999</v>
      </c>
      <c r="AC222" s="3">
        <f>1441.2+(205.8-137.9)+(-0.735012+(-0.104958--0.070329))+0-29--0.0147899999999971</f>
        <v>1479.345149</v>
      </c>
      <c r="AD222">
        <f t="shared" si="3"/>
        <v>36066.950284000006</v>
      </c>
      <c r="AE222" s="3">
        <f>2076.4+(174-216.2)+(0+(0-0))+0-31.2-0</f>
        <v>2003</v>
      </c>
    </row>
    <row r="223" spans="1:31" s="2" customFormat="1" x14ac:dyDescent="0.25">
      <c r="A223">
        <v>89</v>
      </c>
      <c r="B223">
        <v>8</v>
      </c>
      <c r="C223">
        <v>7</v>
      </c>
      <c r="D223">
        <v>7</v>
      </c>
      <c r="E223">
        <v>1</v>
      </c>
      <c r="F223" s="3">
        <f>1428.8+(113.6-192.4)+(-3.64344+(-0.28968--0.49062))+0-29--0.0739499999999958</f>
        <v>1317.6314499999999</v>
      </c>
      <c r="G223" s="3">
        <f>1398.9+(100.3-204)+(-4.280634+(-0.306918--0.62424))+0-29--0.0887400000000034</f>
        <v>1262.3254279999999</v>
      </c>
      <c r="H223" s="3">
        <f>1401.6+(82.6-234.8)+(-2.144448+(-0.126378--0.359244))+0-29.5--0.0451350000000017</f>
        <v>1218.033553</v>
      </c>
      <c r="I223" s="3">
        <f>1404.3+(74.4-254.3)+(-0.716193+(-0.037944--0.129693))+0-29--0.0147899999999971</f>
        <v>1194.7903459999998</v>
      </c>
      <c r="J223" s="3">
        <f>1435.5+(59.4-282.3)+(0+(0-0))+0-29.5-0</f>
        <v>1183.0999999999999</v>
      </c>
      <c r="K223" s="3">
        <f>1446.4+(59.2-271.8)+(-0.737664+(-0.030192--0.138618))+0-28.5--0.0145349999999971</f>
        <v>1204.6852970000002</v>
      </c>
      <c r="L223" s="3">
        <f>1357.3+(71.4-242.4)+(-0.692223+(-0.036414--0.123624))+0-29--0.0147899999999971</f>
        <v>1156.7097769999998</v>
      </c>
      <c r="M223" s="3">
        <f>1319.8+(114.1-264.8)+(-0.673098+(-0.058191--0.135048))+0-30--0.015299999999997</f>
        <v>1138.519059</v>
      </c>
      <c r="N223" s="3">
        <f>1601.1+(70.2-389.7)+(-2.449683+(-0.107406--0.596241))+0-30--0.0459000000000017</f>
        <v>1249.685052</v>
      </c>
      <c r="O223" s="3">
        <f>1759.1+(63.4-432.8)+(-1.794282+(-0.064668--0.441456))+0-31--0.0316200000000049</f>
        <v>1357.3141259999998</v>
      </c>
      <c r="P223" s="3">
        <f>1739.1+(104.4-384.2)+(-1.773882+(-0.106488--0.391884))+0-30--0.0306000000000048</f>
        <v>1427.842114</v>
      </c>
      <c r="Q223" s="3">
        <f>1749.6+(93-354)+(-1.784592+(-0.09486--0.36108))+0-30--0.0306000000000048</f>
        <v>1457.112228</v>
      </c>
      <c r="R223" s="3">
        <f>1763+(69.8-353.3)+(-1.79826+(-0.071196--0.360366))+0-28--0.0285600000000045</f>
        <v>1450.01947</v>
      </c>
      <c r="S223" s="3">
        <f>1666+(116.6-342.1)+(-1.69932+(-0.118932--0.348942))+0-28--0.0285600000000045</f>
        <v>1411.05925</v>
      </c>
      <c r="T223" s="3">
        <f>1664.9+(101.6-356.2)+(-3.396396+(-0.207264--0.726648))+0-28--0.0571199999999988</f>
        <v>1379.4801080000002</v>
      </c>
      <c r="U223" s="3">
        <f>1720.9+(59.2-390.8)+(-0.877659+(-0.030192--0.199308))+0-29--0.0147899999999971</f>
        <v>1359.6062470000002</v>
      </c>
      <c r="V223" s="3">
        <f>1768+(45.5-396.3)+(0.90168+(0.023205-0.202113))+0-29-0.0147899999999971</f>
        <v>1388.9079820000002</v>
      </c>
      <c r="W223" s="3">
        <f>1777.6+(106.1-242.9)+(-0.906576+(-0.054111--0.123879))+0-31--0.0158099999999969</f>
        <v>1608.979002</v>
      </c>
      <c r="X223" s="3">
        <f>1861.5+(228.1-198.2)+(-3.79746+(-0.465324--0.404328))+0-31--0.0632399999999986</f>
        <v>1856.6047840000001</v>
      </c>
      <c r="Y223" s="3">
        <f>1811.7+(238.9-173.4)+(1.847934+(0.243678-0.176868))+0-31-0.0316200000000049</f>
        <v>1848.083124</v>
      </c>
      <c r="Z223" s="3">
        <f>1801+(213.3-183.9)+(-2.75553+(-0.326349--0.281367))+0-30--0.0459000000000017</f>
        <v>1797.6453880000001</v>
      </c>
      <c r="AA223" s="3">
        <f>1768.7+(197-227.1)+(-1.804074+(-0.20094--0.231642))+0-28--0.0285600000000045</f>
        <v>1708.855188</v>
      </c>
      <c r="AB223" s="3">
        <f>1757.7+(108.9-276)+(-1.792854+(-0.111078--0.28152))+0-28--0.0285600000000045</f>
        <v>1561.0061480000002</v>
      </c>
      <c r="AC223" s="3">
        <f>1745.2+(44.4-361.2)+(-4.45026+(-0.11322--0.92106))+0-28--0.0713999999999959</f>
        <v>1396.8289800000002</v>
      </c>
      <c r="AD223">
        <f t="shared" si="3"/>
        <v>33934.824101000006</v>
      </c>
      <c r="AE223" s="3">
        <f>1879.2+(211.4-215.7)+(0+(0-0))+0-31-0</f>
        <v>1843.9</v>
      </c>
    </row>
    <row r="224" spans="1:31" s="2" customFormat="1" x14ac:dyDescent="0.25">
      <c r="A224">
        <v>89</v>
      </c>
      <c r="B224">
        <v>8</v>
      </c>
      <c r="C224">
        <v>8</v>
      </c>
      <c r="D224">
        <v>1</v>
      </c>
      <c r="E224">
        <v>1</v>
      </c>
      <c r="F224" s="3">
        <f>1597.3+(23.5-416.1)+(-0.814623+(-0.011985--0.212211))+0-28--0.0142799999999972</f>
        <v>1176.0998829999999</v>
      </c>
      <c r="G224" s="3">
        <f>1446.7+(47.9-392.6)+(-0.737817+(-0.024429--0.200226))+0-28--0.0142799999999972</f>
        <v>1073.45226</v>
      </c>
      <c r="H224" s="3">
        <f>1439.6+(44-422.4)+(-2.202588+(-0.06732--0.646272))+0-28--0.0428400000000016</f>
        <v>1031.6192039999999</v>
      </c>
      <c r="I224" s="3">
        <f>1511.8+(27.6-503)+(0.771018+(0.014076-0.25653))+0-28-0.0142799999999972</f>
        <v>1008.9142840000001</v>
      </c>
      <c r="J224" s="3">
        <f>1510+(28.1-500.6)+(-3.0804+(-0.057324--1.021224))+0-28--0.0571199999999988</f>
        <v>1007.44062</v>
      </c>
      <c r="K224" s="3">
        <f>1437+(43.4-403.7)+(0+(0-0))+0-29-0</f>
        <v>1047.7</v>
      </c>
      <c r="L224" s="3">
        <f>1444.7+(57.2-298.9)+(0+(0-0))+0-29-0</f>
        <v>1174</v>
      </c>
      <c r="M224" s="3">
        <f>1690+(17.3-390.6)+(-0.8619+(-0.008823--0.199206))+0-31--0.0158099999999969</f>
        <v>1285.0442930000002</v>
      </c>
      <c r="N224" s="3">
        <f>1797.8+(69.3-363.8)+(-2.750634+(-0.106029--0.556614))+0-30--0.0459000000000017</f>
        <v>1471.0458510000001</v>
      </c>
      <c r="O224" s="3">
        <f>1866.8+(57.6-340.7)+(-1.904136+(-0.058752--0.347514))+0-31--0.0316200000000049</f>
        <v>1551.116246</v>
      </c>
      <c r="P224" s="3">
        <f>1867.8+(72.4-326)+(-3.810312+(-0.147696--0.66504))+0-21--0.0428399999999991</f>
        <v>1589.9498720000001</v>
      </c>
      <c r="Q224" s="3">
        <f>1914.1+(26.2-328.5)+(-0.976191+(-0.013362--0.167535))+0-25--0.0127499999999975</f>
        <v>1585.990732</v>
      </c>
      <c r="R224" s="3">
        <f>2002.3+(16.3-414.6)+(-2.042346+(-0.016626--0.422892))+0-27--0.0275400000000043</f>
        <v>1575.3914600000001</v>
      </c>
      <c r="S224" s="3">
        <f>2061.9+(12.6-524.5)+(-4.206276+(-0.025704--1.06998))+0-25--0.0509999999999989</f>
        <v>1521.8889999999999</v>
      </c>
      <c r="T224" s="3">
        <f>2024.9+(17.7-503.5)+(0+(0-0))+0-29-0</f>
        <v>1510.1000000000001</v>
      </c>
      <c r="U224" s="3">
        <f>2002.7+(16.3-479.8)+(-4.085508+(-0.033252--0.978792))+0-30--0.0611999999999987</f>
        <v>1506.1212320000002</v>
      </c>
      <c r="V224" s="3">
        <f>2055.6+(9.3-492.1)+(-3.145068+(-0.014229--0.752913))+0-29--0.0443700000000017</f>
        <v>1541.4379860000001</v>
      </c>
      <c r="W224" s="3">
        <f>2180.4+(17.5-410.6)+(0+(0-0))+0-28-0</f>
        <v>1759.3000000000002</v>
      </c>
      <c r="X224" s="3">
        <f>2354.8+(31.7-380.9)+(-3.602844+(-0.048501--0.582777))+0-30--0.0459000000000017</f>
        <v>1972.5773320000003</v>
      </c>
      <c r="Y224" s="3">
        <f>2238.4+(54.3-340.5)+(-5.70792+(-0.138465--0.868275))+0-30--0.0764999999999956</f>
        <v>1917.2983899999999</v>
      </c>
      <c r="Z224" s="3">
        <f>2168.2+(44.6-324.3)+(-4.423128+(-0.090984--0.661572))+0-29--0.0591599999999987</f>
        <v>1855.7066199999997</v>
      </c>
      <c r="AA224" s="3">
        <f>2090.1+(58.6-352.1)+(-3.197853+(-0.089658--0.538713))+0-29--0.0443700000000017</f>
        <v>1764.8955719999999</v>
      </c>
      <c r="AB224" s="3">
        <f>1937.1+(69.1-339.6)+(-4.939605+(-0.176205--0.86598))+0-31--0.0790499999999955</f>
        <v>1631.42922</v>
      </c>
      <c r="AC224" s="3">
        <f>1763.4+(57.3-351)+(-5.396004+(-0.175338--1.07406))+0-30--0.0918000000000035</f>
        <v>1435.2945179999999</v>
      </c>
      <c r="AD224">
        <f t="shared" si="3"/>
        <v>34993.814575000004</v>
      </c>
      <c r="AE224" s="3">
        <f>2333+(24.2-404)+(0+(0-0))+0-30-0</f>
        <v>1923.2</v>
      </c>
    </row>
    <row r="225" spans="1:31" s="2" customFormat="1" x14ac:dyDescent="0.25">
      <c r="A225">
        <v>89</v>
      </c>
      <c r="B225">
        <v>8</v>
      </c>
      <c r="C225">
        <v>9</v>
      </c>
      <c r="D225">
        <v>2</v>
      </c>
      <c r="E225">
        <v>1</v>
      </c>
      <c r="F225" s="3">
        <f>1674.7+(61.1-386.4)+(-2.562291+(-0.093483--0.591192))+0-30--0.0459000000000017</f>
        <v>1317.3813180000002</v>
      </c>
      <c r="G225" s="3">
        <f>1551.7+(62.1-395.6)+(-1.582734+(-0.063342--0.403512))+0-27.5--0.0280500000000044</f>
        <v>1189.485486</v>
      </c>
      <c r="H225" s="3">
        <f>1449.8+(80.8-350.3)+(-2.957592+(-0.164832--0.714612))+0-27.5--0.0560999999999988</f>
        <v>1150.448288</v>
      </c>
      <c r="I225" s="3">
        <f>1443.4+(82.4-357.1)+(-2.208402+(-0.126072--0.546363))+0-27--0.0413100000000016</f>
        <v>1139.953199</v>
      </c>
      <c r="J225" s="3">
        <f>1444.7+(87.9-370.8)+(0+(0-0))+0-27-0</f>
        <v>1134.8000000000002</v>
      </c>
      <c r="K225" s="3">
        <f>1444.6+(91.7-350.3)+(0+(0-0))+0-28-0</f>
        <v>1158</v>
      </c>
      <c r="L225" s="3">
        <f>1443.5+(93.8-282.5)+(-1.47237+(-0.095676--0.28815))+0-27--0.0275400000000043</f>
        <v>1226.547644</v>
      </c>
      <c r="M225" s="3">
        <f>1646.5+(19.7-343.9)+(0+(0-0))+0-29-0</f>
        <v>1293.3</v>
      </c>
      <c r="N225" s="3">
        <f>1917.2+(15.1-431.8)+(-1.955544+(-0.015402--0.440436))+0-30--0.0306000000000048</f>
        <v>1469.00009</v>
      </c>
      <c r="O225" s="3">
        <f>2102.9+(29.3-490.7)+(-1.072479+(-0.014943--0.250257))+0-29--0.0147899999999971</f>
        <v>1611.677625</v>
      </c>
      <c r="P225" s="3">
        <f>2128.5+(30-457.5)+(-2.17107+(-0.0306--0.46665))+0-23--0.0234600000000037</f>
        <v>1676.28844</v>
      </c>
      <c r="Q225" s="3">
        <f>2130+(31-432.4)+(-4.3452+(-0.06324--0.882096))+0-12--0.0244799999999995</f>
        <v>1713.0981359999998</v>
      </c>
      <c r="R225" s="3">
        <f>2120.8+(28.3-449.8)+(-1.081608+(-0.014433--0.229398))+0-11--0.00560999999999888</f>
        <v>1687.438967</v>
      </c>
      <c r="S225" s="3">
        <f>2156.4+(28.5-504.1)+(-2.199528+(-0.02907--0.514182))+0-26--0.0265200000000041</f>
        <v>1653.112104</v>
      </c>
      <c r="T225" s="3">
        <f>2150.5+(28.3-539.1)+(-1.096755+(-0.014433--0.274941))+0-26--0.0132599999999974</f>
        <v>1612.877013</v>
      </c>
      <c r="U225" s="3">
        <f>2145.6+(28.3-527)+(-5.47128+(-0.072165--1.34385))+0-26--0.0662999999999962</f>
        <v>1616.7667049999998</v>
      </c>
      <c r="V225" s="3">
        <f>2147.7+(23.1-527.6)+(0+(0-0))+0-27-0</f>
        <v>1616.1999999999998</v>
      </c>
      <c r="W225" s="3">
        <f>2154.4+(43.9-385.7)+(-2.197488+(-0.044778--0.393414))+0-28--0.0285600000000045</f>
        <v>1782.779708</v>
      </c>
      <c r="X225" s="3">
        <f>2156+(74.7-239)+(-4.39824+(-0.152388--0.48756))+0-29--0.0591599999999987</f>
        <v>1958.6960920000001</v>
      </c>
      <c r="Y225" s="3">
        <f>2159.1+(62.1-268.2)+(-4.404564+(-0.126684--0.547128))+0-29--0.0591599999999987</f>
        <v>1920.0750399999999</v>
      </c>
      <c r="Z225" s="3">
        <f>2157.3+(46.2-322.4)+(-2.200446+(-0.047124--0.328848))+0-29--0.0295800000000046</f>
        <v>1850.2108580000001</v>
      </c>
      <c r="AA225" s="3">
        <f>2106.8+(69.7-339.9)+(-3.223404+(-0.106641--0.520047))+0-29--0.0443700000000017</f>
        <v>1804.8343720000003</v>
      </c>
      <c r="AB225" s="3">
        <f>1998.2+(60.1-356.3)+(-4.076328+(-0.122604--0.726852))+0-28--0.0571199999999988</f>
        <v>1670.5850399999999</v>
      </c>
      <c r="AC225" s="3">
        <f>1877+(50.2-403)+(-3.82908+(-0.102408--0.82212))+0-27--0.0550799999999988</f>
        <v>1494.1457120000002</v>
      </c>
      <c r="AD225">
        <f t="shared" si="3"/>
        <v>36747.701836999993</v>
      </c>
      <c r="AE225" s="3">
        <f>2208+(84.5-278.6)+(0+(0-0))+0-28.5-0</f>
        <v>1985.4</v>
      </c>
    </row>
    <row r="226" spans="1:31" s="2" customFormat="1" x14ac:dyDescent="0.25">
      <c r="A226">
        <v>89</v>
      </c>
      <c r="B226">
        <v>8</v>
      </c>
      <c r="C226">
        <v>10</v>
      </c>
      <c r="D226">
        <v>3</v>
      </c>
      <c r="E226">
        <v>1</v>
      </c>
      <c r="F226" s="3">
        <f>1833.2+(23.7-541.7)+(-0.934932+(-0.012087--0.276267))+0-27--0.0137699999999973</f>
        <v>1287.5430180000001</v>
      </c>
      <c r="G226" s="3">
        <f>1763.9+(38.4-579.7)+(-4.497945+(-0.09792--1.478235))+0-27--0.0688499999999961</f>
        <v>1192.5512199999998</v>
      </c>
      <c r="H226" s="3">
        <f>1674.7+(52.4-556.6)+(-1.708194+(-0.053448--0.567732))+0-28--0.0285600000000045</f>
        <v>1141.33465</v>
      </c>
      <c r="I226" s="3">
        <f>1450+(71.3-388.1)+(1.479+(0.072726-0.395862))+0-27-0.0275400000000043</f>
        <v>1107.3283240000001</v>
      </c>
      <c r="J226" s="3">
        <f>1438.5+(66-370.2)+(-2.93454+(-0.13464--0.755208))+0-26--0.0530399999999989</f>
        <v>1106.039068</v>
      </c>
      <c r="K226" s="3">
        <f>1438.9+(60.2-344)+(2.201517+(0.092106-0.52632))+0-27-0.0413100000000016</f>
        <v>1129.8259930000002</v>
      </c>
      <c r="L226" s="3">
        <f>1439.6+(54.7-262.5)+(-2.202588+(-0.083691--0.401625))+0-27--0.0413100000000016</f>
        <v>1202.9566560000001</v>
      </c>
      <c r="M226" s="3">
        <f>1637.6+(53.7-382.4)+(0+(0-0))+0-28-0</f>
        <v>1280.8999999999999</v>
      </c>
      <c r="N226" s="3">
        <f>1921.6+(56.4-490.5)+(-1.960032+(-0.057528--0.50031))+0-29--0.0295800000000046</f>
        <v>1457.0123299999998</v>
      </c>
      <c r="O226" s="3">
        <f>2022.7+(56.3-470.3)+(-5.157885+(-0.143565--1.199265))+0-27--0.0688499999999961</f>
        <v>1577.666665</v>
      </c>
      <c r="P226" s="3">
        <f>2012.1+(59.2-434)+(-3.078513+(-0.090576--0.66402))+0-30--0.0459000000000017</f>
        <v>1604.840831</v>
      </c>
      <c r="Q226" s="3">
        <f>2039.7+(54.4-450.3)+(0+(0-0))+0-30-0</f>
        <v>1613.8</v>
      </c>
      <c r="R226" s="3">
        <f>2006.1+(45.3-433.8)+(-7.161777+(-0.161721--1.548666))+0-27--0.0963900000000004</f>
        <v>1584.9215579999998</v>
      </c>
      <c r="S226" s="3">
        <f>1971.9+(57-435)+(0+(0-0))+0-27-0</f>
        <v>1566.9</v>
      </c>
      <c r="T226" s="3">
        <f>1973+(46.1-467.3)+(-3.01869+(-0.070533--0.714969))+0-30--0.0459000000000017</f>
        <v>1519.471646</v>
      </c>
      <c r="U226" s="3">
        <f>1924.3+(58.3-422.1)+(-5.888358+(-0.178398--1.291626))+0-29--0.0887400000000034</f>
        <v>1526.8136099999999</v>
      </c>
      <c r="V226" s="3">
        <f>1921.1+(82.5-393.3)+(0+(0-0))+0-29-0</f>
        <v>1581.3</v>
      </c>
      <c r="W226" s="3">
        <f>2133.7+(60-383.1)+(1.088187+(0.0306-0.195381))+0-29.4-0.014993999999997</f>
        <v>1782.1084119999998</v>
      </c>
      <c r="X226" s="3">
        <f>2261.1+(64.9-302.3)+(-4.612644+(-0.132396--0.616692))+0-29.3--0.0597719999999987</f>
        <v>1990.331424</v>
      </c>
      <c r="Y226" s="3">
        <f>2185.1+(75.7-289.1)+(-5.572005+(-0.193035--0.737205))+0-29.3--0.0747149999999958</f>
        <v>1937.4468799999997</v>
      </c>
      <c r="Z226" s="3">
        <f>1911+(165.1-195.1)+(0+(0-0))+0-30-0</f>
        <v>1851</v>
      </c>
      <c r="AA226" s="3">
        <f>1855.2+(247-295.7)+(-1.892304+(-0.25194--0.301614))+0-28--0.0285600000000045</f>
        <v>1776.6859299999999</v>
      </c>
      <c r="AB226" s="3">
        <f>1707.1+(252.2-304.4)+(-4.353105+(-0.64311--0.77622))+0-27--0.0688499999999961</f>
        <v>1623.7488549999998</v>
      </c>
      <c r="AC226" s="3">
        <f>1504.7+(242.3-285.1)+(-0.767397+(-0.123573--0.145401))+0-27.3--0.0139229999999972</f>
        <v>1433.8683540000002</v>
      </c>
      <c r="AD226">
        <f t="shared" si="3"/>
        <v>35876.395423999995</v>
      </c>
      <c r="AE226" s="3">
        <f>2260+(72.7-286.3)+(0+(0-0))+0-30-0</f>
        <v>2016.4</v>
      </c>
    </row>
    <row r="227" spans="1:31" s="2" customFormat="1" x14ac:dyDescent="0.25">
      <c r="A227">
        <v>89</v>
      </c>
      <c r="B227">
        <v>8</v>
      </c>
      <c r="C227">
        <v>11</v>
      </c>
      <c r="D227">
        <v>4</v>
      </c>
      <c r="E227">
        <v>1</v>
      </c>
      <c r="F227" s="3">
        <f>1299+(186.8-201.8)+(0.66249+(0.095268-0.102918))+0-27-0.0137699999999973</f>
        <v>1257.6410699999999</v>
      </c>
      <c r="G227" s="3">
        <f>1294.1+(105.2-202.1)+(-1.979973+(-0.160956--0.309213))+0-28--0.0428400000000016</f>
        <v>1167.411124</v>
      </c>
      <c r="H227" s="3">
        <f>1295.7+(77.7-217.1)+(-1.982421+(-0.118881--0.332163))+0-28--0.0428400000000016</f>
        <v>1126.5737010000003</v>
      </c>
      <c r="I227" s="3">
        <f>1296.2+(70.8-209.8)+(1.322124+(0.072216-0.213996))+0-28-0.0285600000000045</f>
        <v>1130.3517840000002</v>
      </c>
      <c r="J227" s="3">
        <f>1297.1+(70-206.6)+(0.661521+(0.0357-0.105366))+0-28-0.0142799999999972</f>
        <v>1133.0775749999998</v>
      </c>
      <c r="K227" s="3">
        <f>1338.8+(50.3-214.9)+(0+(0-0))+0-29-0</f>
        <v>1145.1999999999998</v>
      </c>
      <c r="L227" s="3">
        <f>1347.2+(84.1-192.1)+(0.687072+(0.042891-0.097971))+0-28-0.0142799999999972</f>
        <v>1211.817712</v>
      </c>
      <c r="M227" s="3">
        <f>1394.8+(180.4-276.8)+(-0.711348+(-0.092004--0.141168))+0-30--0.015299999999997</f>
        <v>1267.7531159999999</v>
      </c>
      <c r="N227" s="3">
        <f>1718.5+(113.9-312.3)+(-2.629305+(-0.174267--0.477819))+0-30--0.0459000000000017</f>
        <v>1487.8201469999999</v>
      </c>
      <c r="O227" s="3">
        <f>1809.7+(149.2-294.8)+(-1.845894+(-0.152184--0.300696))+0-29--0.0295800000000046</f>
        <v>1633.4321979999997</v>
      </c>
      <c r="P227" s="3">
        <f>1806.9+(161.2-292.9)+(0+(0-0))+0-30-0</f>
        <v>1645.2</v>
      </c>
      <c r="Q227" s="3">
        <f>1791.4+(165-276.3)+(-3.654456+(-0.3366--0.563652))+0-29--0.0591599999999987</f>
        <v>1647.7317560000001</v>
      </c>
      <c r="R227" s="3">
        <f>1777+(142.4-268.8)+(1.81254+(0.145248-0.274176))+0-29-0.0295800000000046</f>
        <v>1623.2540320000001</v>
      </c>
      <c r="S227" s="3">
        <f>1795.1+(109-282.4)+(-3.662004+(-0.22236--0.576096))+0-26--0.0530399999999989</f>
        <v>1592.4447719999998</v>
      </c>
      <c r="T227" s="3">
        <f>1783.1+(91.9-280.1)+(-1.818762+(-0.093738--0.285702))+1.3-27--0.0275400000000043</f>
        <v>1567.6007419999999</v>
      </c>
      <c r="U227" s="3">
        <f>1798+(98.4-297.5)+(-4.5849+(-0.25092--0.758625))+0-29--0.0739499999999958</f>
        <v>1565.896755</v>
      </c>
      <c r="V227" s="3">
        <f>1826.8+(110.7-280.3)+(2.795004+(0.169371-0.428859))+0-29-0.0443700000000017</f>
        <v>1630.6911459999997</v>
      </c>
      <c r="W227" s="3">
        <f>1851.1+(183-197.4)+(-2.832183+(-0.27999--0.302022))+0-29--0.0443700000000017</f>
        <v>1804.934219</v>
      </c>
      <c r="X227" s="3">
        <f>1943.5+(292.5-201.5)+(-4.955925+(-0.745875--0.513825))+0-29--0.0739499999999958</f>
        <v>2000.3859749999999</v>
      </c>
      <c r="Y227" s="3">
        <f>1944.2+(238.3-192)+(-1.983084+(-0.243066--0.19584))+0-29--0.0295800000000046</f>
        <v>1959.4992699999998</v>
      </c>
      <c r="Z227" s="3">
        <f>1824.6+(260.6-176.9)+(-0.930546+(-0.132906--0.090219))+0-28--0.0142799999999972</f>
        <v>1879.3410470000001</v>
      </c>
      <c r="AA227" s="3">
        <f>1727.5+(349.1-253.3)+(-2.643075+(-0.534123--0.387549))+0-28--0.0428400000000016</f>
        <v>1792.553191</v>
      </c>
      <c r="AB227" s="3">
        <f>1514.4+(421.9-259.2)+(-1.544688+(-0.430338--0.264384))+0-28--0.0285600000000045</f>
        <v>1647.4179180000001</v>
      </c>
      <c r="AC227" s="3">
        <f>1386.6+(343.6-259.2)+(-1.414332+(-0.350472--0.264384))+0-28--0.0285600000000045</f>
        <v>1441.5281399999999</v>
      </c>
      <c r="AD227">
        <f t="shared" si="3"/>
        <v>36359.557390000009</v>
      </c>
      <c r="AE227" s="3">
        <f>1951.5+(336.4-182.1)+(0+(0-0))+0-30-0</f>
        <v>2075.8000000000002</v>
      </c>
    </row>
    <row r="228" spans="1:31" s="2" customFormat="1" x14ac:dyDescent="0.25">
      <c r="A228">
        <v>89</v>
      </c>
      <c r="B228">
        <v>8</v>
      </c>
      <c r="C228">
        <v>12</v>
      </c>
      <c r="D228">
        <v>5</v>
      </c>
      <c r="E228">
        <v>1</v>
      </c>
      <c r="F228" s="3">
        <f>1376.1+(181.6-231.5)+(-0.701811+(-0.092616--0.118065))+0-28--0.0142799999999972</f>
        <v>1297.537918</v>
      </c>
      <c r="G228" s="3">
        <f>1358+(117.5-243.4)+(-3.4629+(-0.299625--0.62067))+0-28--0.0713999999999959</f>
        <v>1201.0295449999999</v>
      </c>
      <c r="H228" s="3">
        <f>1286.5+(103.7-223.8)+(-1.31223+(-0.105774--0.228276))+0-27--0.0275400000000043</f>
        <v>1138.2378120000001</v>
      </c>
      <c r="I228" s="3">
        <f>1283.6+(99.9-233.2)+(0+(0-0))+0-28-0</f>
        <v>1122.3</v>
      </c>
      <c r="J228" s="3">
        <f>1388.4+(68.1-290.2)+(-2.832336+(-0.138924--0.592008))+0-28--0.0571199999999988</f>
        <v>1135.9778680000002</v>
      </c>
      <c r="K228" s="3">
        <f>1370.4+(91.6-277.3)+(-1.397808+(-0.093432--0.282846))+0-28--0.0285600000000045</f>
        <v>1155.520166</v>
      </c>
      <c r="L228" s="3">
        <f>1430.8+(86.8-289)+(1.459416+(0.088536-0.29478))+0-27-0.0275400000000043</f>
        <v>1202.8256319999998</v>
      </c>
      <c r="M228" s="3">
        <f>1541.1+(93.5-328.2)+(-0.785961+(-0.047685--0.167382))+0-29.4--0.014993999999997</f>
        <v>1276.3487299999997</v>
      </c>
      <c r="N228" s="3">
        <f>1600.2+(152-282.6)+(-1.632204+(-0.15504--0.288252))+0-29--0.0295800000000046</f>
        <v>1439.1305879999998</v>
      </c>
      <c r="O228" s="3">
        <f>1680.2+(186.3-273.6)+(-0.856902+(-0.095013--0.139536))+0-29--0.0147899999999971</f>
        <v>1563.1024110000001</v>
      </c>
      <c r="P228" s="3">
        <f>1769.2+(133.1-265.9)+(-3.609168+(-0.271524--0.542436))+0-29.6--0.0603839999999987</f>
        <v>1603.5221280000001</v>
      </c>
      <c r="Q228" s="3">
        <f>1824.2+(109.4-280.7)+(1.860684+(0.111588-0.286314))+0-29.4-0.0299880000000047</f>
        <v>1625.15597</v>
      </c>
      <c r="R228" s="3">
        <f>1788.3+(104.8-257.2)+(-1.824066+(-0.106896--0.262344))+0-28--0.0285600000000045</f>
        <v>1606.2599420000001</v>
      </c>
      <c r="S228" s="3">
        <f>1787.7+(74.3-272.9)+(1.823454+(0.075786-0.278358))+0-28-0.0285600000000045</f>
        <v>1562.6923220000001</v>
      </c>
      <c r="T228" s="3">
        <f>1727.3+(96.4-256.7)+(1.761846+(0.098328-0.261834))+0-29-0.0295800000000046</f>
        <v>1539.5687600000001</v>
      </c>
      <c r="U228" s="3">
        <f>1700.3+(115.8-240.2)+(1.734306+(0.118116-0.245004))+0-29-0.0295800000000046</f>
        <v>1548.477838</v>
      </c>
      <c r="V228" s="3">
        <f>1691.4+(141-260.9)+(0+(0-0))+0-29-0</f>
        <v>1542.5</v>
      </c>
      <c r="W228" s="3">
        <f>1847+(150.7-188.4)+(-1.88394+(-0.153714--0.192168))+0-27--0.0275400000000043</f>
        <v>1780.4820540000001</v>
      </c>
      <c r="X228" s="3">
        <f>1866.1+(363.9-192.5)+(-2.855133+(-0.556767--0.294525))+0-27--0.0413100000000016</f>
        <v>2007.423935</v>
      </c>
      <c r="Y228" s="3">
        <f>1870+(263.3-159.9)+(-4.7685+(-0.671415--0.407745))+0-28--0.0713999999999959</f>
        <v>1940.4392300000002</v>
      </c>
      <c r="Z228" s="3">
        <f>1862.2+(233.6-168.3)+(-4.74861+(-0.59568--0.429165))+0-27--0.0688499999999961</f>
        <v>1895.6537249999999</v>
      </c>
      <c r="AA228" s="3">
        <f>1794.5+(255-275.1)+(-5.49117+(-0.7803--0.841806))+0-27--0.0826200000000031</f>
        <v>1742.052956</v>
      </c>
      <c r="AB228" s="3">
        <f>1540.5+(330.7-257.9)+(-1.57131+(-0.337314--0.263058))+0-26--0.0265200000000041</f>
        <v>1585.6809539999999</v>
      </c>
      <c r="AC228" s="3">
        <f>1322.9+(305.1-255.8)+(-2.024037+(-0.466803--0.391374))+0-27--0.0413100000000016</f>
        <v>1343.1418440000002</v>
      </c>
      <c r="AD228">
        <f t="shared" si="3"/>
        <v>35855.062328</v>
      </c>
      <c r="AE228" s="3">
        <f>1888+(363.5-164.2)+(0+(0-0))+0-28-0</f>
        <v>2059.3000000000002</v>
      </c>
    </row>
    <row r="229" spans="1:31" s="2" customFormat="1" x14ac:dyDescent="0.25">
      <c r="A229">
        <v>89</v>
      </c>
      <c r="B229">
        <v>8</v>
      </c>
      <c r="C229">
        <v>13</v>
      </c>
      <c r="D229">
        <v>6</v>
      </c>
      <c r="E229">
        <v>1</v>
      </c>
      <c r="F229" s="3">
        <f>1334.2+(194.2-227)+(-0.680442+(-0.099042--0.11577))+0-26.4--0.0134639999999973</f>
        <v>1274.3497499999999</v>
      </c>
      <c r="G229" s="3">
        <f>1137.2+(219.8-169.4)+(-1.159944+(-0.224196--0.172788))+0-27--0.0275400000000043</f>
        <v>1159.4161880000001</v>
      </c>
      <c r="H229" s="3">
        <f>1144.6+(176.1-179.1)+(-0.583746+(-0.089811--0.091341))+0-26.7--0.0136169999999973</f>
        <v>1114.3314009999999</v>
      </c>
      <c r="I229" s="3">
        <f>1152.9+(151.8-187)+(0+(0-0))+0-25.5-0</f>
        <v>1092.2</v>
      </c>
      <c r="J229" s="3">
        <f>1158.8+(153.5-187.7)+(2.363952+(0.31314-0.382908))+0-26.4-0.0538559999999988</f>
        <v>1100.4403279999999</v>
      </c>
      <c r="K229" s="3">
        <f>1267.9+(91.7-209.2)+(-0.646629+(-0.046767--0.106692))+0-25.8--0.0131579999999974</f>
        <v>1124.0264540000001</v>
      </c>
      <c r="L229" s="3">
        <f>1313.3+(120.5-255)+(-2.679132+(-0.24582--0.5202))+0-26--0.0530399999999989</f>
        <v>1150.448288</v>
      </c>
      <c r="M229" s="3">
        <f>1495.2+(106.2-331.4)+(-1.525104+(-0.108324--0.338028))+0-28--0.0285600000000045</f>
        <v>1240.73316</v>
      </c>
      <c r="N229" s="3">
        <f>1826.3+(44.9-422.2)+(-0.931413+(-0.022899--0.215322))+0-20--0.010199999999998</f>
        <v>1428.2712099999999</v>
      </c>
      <c r="O229" s="3">
        <f>2064+(21-500.9)+(-3.15792+(-0.03213--0.766377))+0-11--0.0168300000000006</f>
        <v>1570.6931569999999</v>
      </c>
      <c r="P229" s="3">
        <f>2076.5+(7.5-489.3)+(0+(0-0))+0-9-0</f>
        <v>1585.7</v>
      </c>
      <c r="Q229" s="3">
        <f>2114.1+(11.2-489.3)+(0+(0-0))+0-5-0</f>
        <v>1631</v>
      </c>
      <c r="R229" s="3">
        <f>2054+(16.8-463.2)+(-3.14262+(-0.025704--0.708696))+0-23.4--0.0358020000000013</f>
        <v>1581.7761739999999</v>
      </c>
      <c r="S229" s="3">
        <f>2054.4+(9.9-494.3)+(-4.190976+(-0.020196--1.008372))+0-25.2--0.0514079999999989</f>
        <v>1541.648608</v>
      </c>
      <c r="T229" s="3">
        <f>1940.4+(23.8-454)+(0.989604+(0.012138-0.23154))+0-27.9-0.0142289999999972</f>
        <v>1483.055973</v>
      </c>
      <c r="U229" s="3">
        <f>1793.6+(61.6-359.6)+(-4.57368+(-0.15708--0.91698))+0-27.6--0.070379999999996</f>
        <v>1464.2565999999999</v>
      </c>
      <c r="V229" s="3">
        <f>1708.9+(130-334.3)+(-2.614617+(-0.1989--0.511479))+0-27.6--0.0422280000000016</f>
        <v>1474.7401900000002</v>
      </c>
      <c r="W229" s="3">
        <f>1841.9+(121.9-233.2)+(-1.878738+(-0.124338--0.237864))+0-29.4--0.0299880000000047</f>
        <v>1699.464776</v>
      </c>
      <c r="X229" s="3">
        <f>2145+(115-252.9)+(-4.3758+(-0.2346--0.515916))+0-30--0.0611999999999987</f>
        <v>1973.066716</v>
      </c>
      <c r="Y229" s="3">
        <f>2121.4+(81-257.4)+(-5.40957+(-0.20655--0.65637))+0-29.7--0.0757349999999957</f>
        <v>1910.4159849999999</v>
      </c>
      <c r="Z229" s="3">
        <f>1848.5+(229.5-213.5)+(-2.828205+(-0.351135--0.326655))+0-28.8--0.0440640000000017</f>
        <v>1832.8913789999999</v>
      </c>
      <c r="AA229" s="3">
        <f>1652.3+(366.6-287.6)+(-0.842673+(-0.186966--0.146676))+0-27.3--0.0139229999999972</f>
        <v>1703.13096</v>
      </c>
      <c r="AB229" s="3">
        <f>1645.9+(241.9-305.9)+(-3.357636+(-0.493476--0.624036))+0-27--0.0550799999999988</f>
        <v>1551.7280040000003</v>
      </c>
      <c r="AC229" s="3">
        <f>1646.4+(120.3-332.4)+(-4.19832+(-0.306765--0.84762))+0-27.3--0.069614999999996</f>
        <v>1403.4121500000001</v>
      </c>
      <c r="AD229">
        <f t="shared" si="3"/>
        <v>35091.197451</v>
      </c>
      <c r="AE229" s="3">
        <f>2209+(104-239)+(0+(0-0))+0-30-0</f>
        <v>2044</v>
      </c>
    </row>
    <row r="230" spans="1:31" s="2" customFormat="1" x14ac:dyDescent="0.25">
      <c r="A230">
        <v>89</v>
      </c>
      <c r="B230">
        <v>8</v>
      </c>
      <c r="C230">
        <v>14</v>
      </c>
      <c r="D230">
        <v>7</v>
      </c>
      <c r="E230">
        <v>1</v>
      </c>
      <c r="F230" s="3">
        <f>1640+(37.3-377.8)+(-1.6728+(-0.038046--0.385356))+0-24--0.0244800000000038</f>
        <v>1274.1989900000001</v>
      </c>
      <c r="G230" s="3">
        <f>1629.2+(19-450.8)+(-0.830892+(-0.00969--0.229908))+0-27--0.0137699999999973</f>
        <v>1169.8030960000001</v>
      </c>
      <c r="H230" s="3">
        <f>1636.8+(8-501.3)+(-0.834768+(-0.00408--0.255663))+0-26--0.0132599999999974</f>
        <v>1116.930075</v>
      </c>
      <c r="I230" s="3">
        <f>1631.9+(1.3-518.2)+(-1.664538+(-0.001326--0.528564))+0-16--0.0163200000000026</f>
        <v>1097.8790199999999</v>
      </c>
      <c r="J230" s="3">
        <f>1572.7+(2.8-473.2)+(-2.406231+(-0.004284--0.723996))+0-6--0.00918000000000035</f>
        <v>1094.6226610000001</v>
      </c>
      <c r="K230" s="3">
        <f>1585.3+(4.8-487.5)+(1.617006+(0.004896-0.49725))+0-5-0.0051000000000008</f>
        <v>1098.7195519999998</v>
      </c>
      <c r="L230" s="3">
        <f>1535.4+(19.8-446.9)+(-3.91527+(-0.05049--1.139595))+0-5--0.0127499999999993</f>
        <v>1100.4865850000003</v>
      </c>
      <c r="M230" s="3">
        <f>1584.2+(22-522.7)+(0+(0-0))+0-5-0</f>
        <v>1078.5</v>
      </c>
      <c r="N230" s="3">
        <f>1655.6+(33.1-524.9)+(-0.844356+(-0.016881--0.267699))+0-6--0.00305999999999939</f>
        <v>1157.2095219999999</v>
      </c>
      <c r="O230" s="3">
        <f>1714+(48.5-477.6)+(0.87414+(0.024735-0.243576))+0-5-0.00254999999999949</f>
        <v>1280.5527490000002</v>
      </c>
      <c r="P230" s="3">
        <f>1716.7+(76.6-422.6)+(-1.751034+(-0.078132--0.431052))+0-28--0.0285600000000045</f>
        <v>1341.3304459999999</v>
      </c>
      <c r="Q230" s="3">
        <f>1741.6+(85.9-408.6)+(-4.44108+(-0.219045--1.04193))+0-27--0.0688499999999961</f>
        <v>1388.3506549999997</v>
      </c>
      <c r="R230" s="3">
        <f>1535.3+(214.6-349.8)+(-1.566006+(-0.218892--0.356796))+0-27--0.0275400000000043</f>
        <v>1371.6994379999999</v>
      </c>
      <c r="S230" s="3">
        <f>1575.1+(144.6-369.3)+(-2.409903+(-0.221238--0.565029))+0-27--0.0413100000000016</f>
        <v>1321.375198</v>
      </c>
      <c r="T230" s="3">
        <f>1554.8+(152.2-379.2)+(-1.585896+(-0.155244--0.386784))+0-24--0.0244800000000038</f>
        <v>1302.4701239999999</v>
      </c>
      <c r="U230" s="3">
        <f>1534.3+(157.3-385)+(-2.347479+(-0.240669--0.58905))+0-27--0.0413100000000016</f>
        <v>1277.642212</v>
      </c>
      <c r="V230" s="3">
        <f>1597+(138.1-360.7)+(-1.62894+(-0.140862--0.367914))+0-28--0.0285600000000045</f>
        <v>1345.026672</v>
      </c>
      <c r="W230" s="3">
        <f>1757.1+(75.8-274.8)+(-0.896121+(-0.038658--0.140148))+0-28--0.0142799999999972</f>
        <v>1529.319649</v>
      </c>
      <c r="X230" s="3">
        <f>1848.2+(212.2-240.6)+(-1.885164+(-0.216444--0.245412))+0-28--0.0285600000000045</f>
        <v>1789.972364</v>
      </c>
      <c r="Y230" s="3">
        <f>1804.8+(213.5-222.7)+(-1.840896+(-0.21777--0.227154))+0-27--0.0275400000000043</f>
        <v>1766.796028</v>
      </c>
      <c r="Z230" s="3">
        <f>1805.7+(172-285.3)+(-2.762721+(-0.26316--0.436509))+0-27--0.0413100000000016</f>
        <v>1662.8519380000002</v>
      </c>
      <c r="AA230" s="3">
        <f>1750.1+(267.1-340.4)+(-1.785102+(-0.272442--0.347208))+0-27--0.0275400000000043</f>
        <v>1648.1172039999999</v>
      </c>
      <c r="AB230" s="3">
        <f>1571.5+(298.3-323.5)+(-0.801465+(-0.152133--0.164985))+0-27--0.0137699999999973</f>
        <v>1518.525157</v>
      </c>
      <c r="AC230" s="3">
        <f>1542.8+(187-350.3)+(-3.93414+(-0.47685--0.893265))+0-27--0.0688499999999961</f>
        <v>1349.051125</v>
      </c>
      <c r="AD230">
        <f t="shared" si="3"/>
        <v>32081.430460000003</v>
      </c>
      <c r="AE230" s="3">
        <f>1890.2+(202.6-230.9)+(0+(0-0))+0-28-0</f>
        <v>1833.9</v>
      </c>
    </row>
    <row r="231" spans="1:31" s="2" customFormat="1" x14ac:dyDescent="0.25">
      <c r="A231">
        <v>89</v>
      </c>
      <c r="B231">
        <v>8</v>
      </c>
      <c r="C231">
        <v>15</v>
      </c>
      <c r="D231">
        <v>1</v>
      </c>
      <c r="E231">
        <v>1</v>
      </c>
      <c r="F231" s="3">
        <f>1538.6+(63.4-353.7)+(-3.92343+(-0.16167--0.901935))+0-27--0.0688499999999961</f>
        <v>1218.1856849999999</v>
      </c>
      <c r="G231" s="3">
        <f>1478.2+(25.4-365.7)+(-6.031056+(-0.103632--1.492056))+0-27--0.110159999999998</f>
        <v>1106.367528</v>
      </c>
      <c r="H231" s="3">
        <f>1404.1+(42.4-356.4)+(-2.864364+(-0.086496--0.727056))+0-27--0.0550799999999988</f>
        <v>1060.931276</v>
      </c>
      <c r="I231" s="3">
        <f>1372.3+(43.5-339.7)+(1.399746+(0.04437-0.346494))+0-25-0.025500000000004</f>
        <v>1052.1721219999999</v>
      </c>
      <c r="J231" s="3">
        <f>1372.9+(43-335.5)+(-0.700179+(-0.02193--0.171105))+0-26--0.0132599999999974</f>
        <v>1053.8622560000001</v>
      </c>
      <c r="K231" s="3">
        <f>1370.9+(48.5-322.8)+(-2.097477+(-0.074205--0.493884))+0-26--0.0397800000000015</f>
        <v>1068.9619820000003</v>
      </c>
      <c r="L231" s="3">
        <f>1375.1+(77.6-288.9)+(0+(0-0))+0-27-0</f>
        <v>1136.8</v>
      </c>
      <c r="M231" s="3">
        <f>1470.7+(90.5-325)+(-0.750057+(-0.046155--0.16575))+0-30--0.015299999999997</f>
        <v>1205.584838</v>
      </c>
      <c r="N231" s="3">
        <f>1617.5+(144.5-349.4)+(0.824925+(0.073695-0.178194))+0-29-0.0147899999999971</f>
        <v>1384.305636</v>
      </c>
      <c r="O231" s="3">
        <f>1827.5+(125-396.1)+(1.86405+(0.1275-0.404022))+0-30-0.0306000000000048</f>
        <v>1527.9569280000001</v>
      </c>
      <c r="P231" s="3">
        <f>1932+(87.6-415)+(0+(0-0))+0-30-0</f>
        <v>1574.6</v>
      </c>
      <c r="Q231" s="3">
        <f>1924.3+(78.6-399.4)+(-2.944179+(-0.120258--0.611082))+0-29--0.0443700000000017</f>
        <v>1572.091015</v>
      </c>
      <c r="R231" s="3">
        <f>1876.3+(120.7-384.2)+(-6.698391+(-0.430899--1.371594))+0-30--0.1071</f>
        <v>1577.149404</v>
      </c>
      <c r="S231" s="3">
        <f>1724.7+(189.1-331.4)+(-0.879597+(-0.096441--0.169014))+0-28.5--0.0145349999999971</f>
        <v>1553.1075110000002</v>
      </c>
      <c r="T231" s="3">
        <f>1663.2+(196.9-329.7)+(-3.392928+(-0.401676--0.672588))+0-28--0.0571199999999988</f>
        <v>1499.335104</v>
      </c>
      <c r="U231" s="3">
        <f>1619.6+(231.1-307.9)+(0+(0-0))+0-29.1-0</f>
        <v>1513.7</v>
      </c>
      <c r="V231" s="3">
        <f>1609+(246.1-303.6)+(-0.82059+(-0.125511--0.154836))+0-30--0.015299999999997</f>
        <v>1520.724035</v>
      </c>
      <c r="W231" s="3">
        <f>1944.3+(140.5-275.2)+(-0.991593+(-0.071655--0.140352))+0-30--0.015299999999997</f>
        <v>1778.6924039999999</v>
      </c>
      <c r="X231" s="3">
        <f>1962.6+(321.2-265.9)+(-5.00463+(-0.81906--0.678045))+0-29.4--0.0749699999999957</f>
        <v>1983.4293249999996</v>
      </c>
      <c r="Y231" s="3">
        <f>1940.7+(293.9-275.2)+(-5.938542+(-0.899334--0.842112))+0-29--0.0887400000000034</f>
        <v>1924.492976</v>
      </c>
      <c r="Z231" s="3">
        <f>1944.1+(245.1-305.8)+(-2.974473+(-0.375003--0.467874))+0-27--0.0413100000000016</f>
        <v>1853.559708</v>
      </c>
      <c r="AA231" s="3">
        <f>1917.5+(233.7-351.3)+(-2.933775+(-0.357561--0.537489))+0-27--0.0413100000000016</f>
        <v>1770.1874630000002</v>
      </c>
      <c r="AB231" s="3">
        <f>1628.4+(341.1-319)+(-2.491452+(-0.521883--0.48807))+0-27.3--0.0417690000000016</f>
        <v>1620.716504</v>
      </c>
      <c r="AC231" s="3">
        <f>1486+(275.6-318.9)+(-3.03144+(-0.562224--0.650556))+0-28--0.0571199999999988</f>
        <v>1411.814012</v>
      </c>
      <c r="AD231">
        <f t="shared" si="3"/>
        <v>34968.727712000007</v>
      </c>
      <c r="AE231" s="3">
        <f>1968+(258.1-261.4)+(0+(0-0))+0-28.5-0</f>
        <v>1936.2</v>
      </c>
    </row>
    <row r="232" spans="1:31" s="2" customFormat="1" x14ac:dyDescent="0.25">
      <c r="A232">
        <v>89</v>
      </c>
      <c r="B232">
        <v>8</v>
      </c>
      <c r="C232">
        <v>16</v>
      </c>
      <c r="D232">
        <v>2</v>
      </c>
      <c r="E232">
        <v>1</v>
      </c>
      <c r="F232" s="3">
        <f>1396+(236.4-309.9)+(-1.42392+(-0.241128--0.316098))+0-27--0.0275400000000043</f>
        <v>1294.17859</v>
      </c>
      <c r="G232" s="3">
        <f>1388.8+(161.7-313.4)+(-0.708288+(-0.082467--0.159834))+0-28.5--0.0145349999999971</f>
        <v>1207.983614</v>
      </c>
      <c r="H232" s="3">
        <f>1389+(109.9-311.5)+(-2.12517+(-0.168147--0.476595))+0-27--0.0413100000000016</f>
        <v>1158.6245880000001</v>
      </c>
      <c r="I232" s="3">
        <f>1390.9+(99.4-317.6)+(-1.418718+(-0.101388--0.323952))+0-27--0.0275400000000043</f>
        <v>1144.5313860000001</v>
      </c>
      <c r="J232" s="3">
        <f>1394.3+(92.6-316.8)+(1.422186+(0.094452-0.323136))+0-27-0.0275400000000043</f>
        <v>1144.2659619999999</v>
      </c>
      <c r="K232" s="3">
        <f>1396.4+(95.9-301)+(3.56082+(0.244545-0.76755))+0-28-0.0713999999999959</f>
        <v>1166.2664150000001</v>
      </c>
      <c r="L232" s="3">
        <f>1392.4+(152.2-291.8)+(-2.130372+(-0.232866--0.446454))+0-28--0.0428400000000016</f>
        <v>1222.9260560000002</v>
      </c>
      <c r="M232" s="3">
        <f>1435.8+(185.4-306.1)+(-3.66129+(-0.47277--0.780555))+0-30--0.0764999999999956</f>
        <v>1281.8229949999998</v>
      </c>
      <c r="N232" s="3">
        <f>1501.9+(240.2-279.6)+(2.297907+(0.367506-0.427788))+0-30-0.0459000000000017</f>
        <v>1434.6917249999999</v>
      </c>
      <c r="O232" s="3">
        <f>1560.1+(269.5-235.8)+(-2.386953+(-0.412335--0.360774))+0-30--0.0459000000000017</f>
        <v>1561.4073860000001</v>
      </c>
      <c r="P232" s="3">
        <f>1583.4+(268.6-229.3)+(-0.807534+(-0.136986--0.116943))+0-30--0.015299999999997</f>
        <v>1591.8877230000001</v>
      </c>
      <c r="Q232" s="3">
        <f>1579.2+(285.3-223.9)+(-0.805392+(-0.145503--0.114189))+0-30--0.015299999999997</f>
        <v>1609.7785940000001</v>
      </c>
      <c r="R232" s="3">
        <f>1427.3+(388.8-208.3)+(-2.911692+(-0.793152--0.424932))+0-27.7--0.0565079999999988</f>
        <v>1576.8765959999998</v>
      </c>
      <c r="S232" s="3">
        <f>1392.5+(393.5-213.2)+(0+(0-0))+0-28.3-0</f>
        <v>1544.5</v>
      </c>
      <c r="T232" s="3">
        <f>1394.4+(386.7-236.2)+(1.422288+(0.394434-0.240924))+0-29.4-0.0299880000000047</f>
        <v>1517.0458100000001</v>
      </c>
      <c r="U232" s="3">
        <f>1393.2+(439.3-272.1)+(-1.421064+(-0.448086--0.277542))+0-29.6--0.0301920000000047</f>
        <v>1529.2385840000002</v>
      </c>
      <c r="V232" s="3">
        <f>1496.9+(374.6-276.5)+(-0.763419+(-0.191046--0.141015))+0-29.9--0.015248999999997</f>
        <v>1564.3017989999998</v>
      </c>
      <c r="W232" s="3">
        <f>1593.2+(454.7-185.5)+(-0.812532+(-0.231897--0.094605))+0-30.4--0.0155039999999969</f>
        <v>1831.0656799999999</v>
      </c>
      <c r="X232" s="3">
        <f>1602.6+(637.1-193.2)+(-0.817326+(-0.324921--0.098532))+0-29.8--0.015197999999997</f>
        <v>2015.6714830000001</v>
      </c>
      <c r="Y232" s="3">
        <f>1605.6+(505.1-116.7)+(-4.09428+(-1.288005--0.297585))+0-27.2--0.0693599999999961</f>
        <v>1961.7846599999998</v>
      </c>
      <c r="Z232" s="3">
        <f>1610.5+(425.5-114)+(-4.106775+(-1.085025--0.2907))+0-26.1--0.0665549999999962</f>
        <v>1891.0654550000002</v>
      </c>
      <c r="AA232" s="3">
        <f>1596.7+(430-192.9)+(-1.628634+(-0.4386--0.196758))+0-27.5--0.0280500000000044</f>
        <v>1804.4575739999998</v>
      </c>
      <c r="AB232" s="3">
        <f>1413+(483.5-212.9)+(-1.44126+(-0.49317--0.217158))+0-28.4--0.0289680000000045</f>
        <v>1653.5116959999998</v>
      </c>
      <c r="AC232" s="3">
        <f>1385.6+(371.2-253)+(-3.53328+(-0.94656--0.64515))+0-27.7--0.070634999999996</f>
        <v>1472.335945</v>
      </c>
      <c r="AD232">
        <f t="shared" si="3"/>
        <v>36180.220315999999</v>
      </c>
      <c r="AE232" s="3">
        <f>1618.6+(638.4-240.8)+(0+(0-0))+0-29.6-0</f>
        <v>1986.6</v>
      </c>
    </row>
    <row r="233" spans="1:31" s="2" customFormat="1" x14ac:dyDescent="0.25">
      <c r="A233">
        <v>89</v>
      </c>
      <c r="B233">
        <v>8</v>
      </c>
      <c r="C233">
        <v>17</v>
      </c>
      <c r="D233">
        <v>3</v>
      </c>
      <c r="E233">
        <v>1</v>
      </c>
      <c r="F233" s="3">
        <f>1323.3+(188.5-214.9)+(-2.024649+(-0.288405--0.328797))+0-28.1--0.0429930000000016</f>
        <v>1266.8587359999999</v>
      </c>
      <c r="G233" s="3">
        <f>1313.3+(121.8-234)+(-2.679132+(-0.248472--0.47736))+0-27.7--0.0565079999999988</f>
        <v>1171.0062639999996</v>
      </c>
      <c r="H233" s="3">
        <f>1319+(82.1-249.9)+(-2.01807+(-0.125613--0.382347))+0-26.6--0.0406980000000015</f>
        <v>1122.8793620000001</v>
      </c>
      <c r="I233" s="3">
        <f>1320.9+(62.5-258.8)+(-0.673659+(-0.031875--0.131988))+0-25.9--0.0132089999999974</f>
        <v>1098.1396629999999</v>
      </c>
      <c r="J233" s="3">
        <f>1321.5+(66-253.3)+(-0.673965+(-0.03366--0.129183))+0-25.8--0.0131579999999974</f>
        <v>1107.8347160000001</v>
      </c>
      <c r="K233" s="3">
        <f>1323+(82-231.2)+(0+(0-0))+0-26.1-0</f>
        <v>1147.7</v>
      </c>
      <c r="L233" s="3">
        <f>1321.1+(137.1-226.4)+(-1.347522+(-0.139842--0.230928))+0-26.4--0.0269280000000042</f>
        <v>1204.170492</v>
      </c>
      <c r="M233" s="3">
        <f>1328.8+(264.7-298.5)+(-2.033064+(-0.404991--0.456705))+0-28.9--0.0442170000000017</f>
        <v>1264.1628669999998</v>
      </c>
      <c r="N233" s="3">
        <f>1430.7+(357.8-317.5)+(-1.459314+(-0.364956--0.32385))+0-29.5--0.0300900000000047</f>
        <v>1440.0296699999999</v>
      </c>
      <c r="O233" s="3">
        <f>1475.4+(439.2-324.4)+(0+(0-0))+0-27.4-0</f>
        <v>1562.8</v>
      </c>
      <c r="P233" s="3">
        <f>1479.4+(470.5-326.1)+(0+(0-0))+0-30.4-0</f>
        <v>1593.4</v>
      </c>
      <c r="Q233" s="3">
        <f>1467.2+(475.7-318.6)+(-2.244816+(-0.727821--0.487458))+0-31.7--0.0485010000000018</f>
        <v>1590.1633219999999</v>
      </c>
      <c r="R233" s="3">
        <f>1437+(481.5-306.2)+(-3.66435+(-1.227825--0.78081))+0-29.5--0.0752249999999957</f>
        <v>1578.76386</v>
      </c>
      <c r="S233" s="3">
        <f>1402.8+(504.7-303.6)+(0.715428+(0.257397-0.154836))+0-28.4-0.0144839999999971</f>
        <v>1576.3035049999996</v>
      </c>
      <c r="T233" s="3">
        <f>1350.2+(528.9-306.2)+(-1.377204+(-0.539478--0.312324))+0-29.2--0.0297840000000047</f>
        <v>1542.1254260000001</v>
      </c>
      <c r="U233" s="3">
        <f>1355.4+(521-311.1)+(0+(0-0))+0-30.6-0</f>
        <v>1534.7000000000003</v>
      </c>
      <c r="V233" s="3">
        <f>1458.7+(453.2-323.7)+(-0.743937+(-0.231132--0.165087))+0-29.9--0.015248999999997</f>
        <v>1557.505267</v>
      </c>
      <c r="W233" s="3">
        <f>1473.5+(544.1-189.1)+(0+(0-0))+0-28.8-0</f>
        <v>1799.7</v>
      </c>
      <c r="X233" s="3">
        <f>1567.6+(620-165.1)+(-1.598952+(-0.6324--0.168402))+0-29.9--0.0304980000000048</f>
        <v>1990.567548</v>
      </c>
      <c r="Y233" s="3">
        <f>1515.5+(631.2-174)+(-3.864525+(-1.60956--0.4437))+0-29.7--0.0757349999999957</f>
        <v>1938.0453499999999</v>
      </c>
      <c r="Z233" s="3">
        <f>1347.8+(710.7-172.5)+(-2.062134+(-1.087371--0.263925))+0-29.5--0.0451350000000017</f>
        <v>1853.6595550000002</v>
      </c>
      <c r="AA233" s="3">
        <f>1343.2+(728-284.8)+(-1.370064+(-0.74256--0.290496))+0-30.2--0.0308040000000048</f>
        <v>1754.408676</v>
      </c>
      <c r="AB233" s="3">
        <f>1353+(622.9-307.1)+(-3.45015+(-1.588395--0.783105))+0-28--0.0713999999999959</f>
        <v>1636.6159600000001</v>
      </c>
      <c r="AC233" s="3">
        <f>1276.7+(483.1-273.9)+(-2.604468+(-0.985524--0.558756))+0-28.5--0.0581399999999988</f>
        <v>1454.4269040000001</v>
      </c>
      <c r="AD233">
        <f t="shared" si="3"/>
        <v>35785.967143000002</v>
      </c>
      <c r="AE233" s="3">
        <f>1484.1+(715.2-180.8)+(0+(0-0))+0-29.6-0</f>
        <v>1988.9</v>
      </c>
    </row>
    <row r="234" spans="1:31" s="2" customFormat="1" x14ac:dyDescent="0.25">
      <c r="A234">
        <v>89</v>
      </c>
      <c r="B234">
        <v>8</v>
      </c>
      <c r="C234">
        <v>18</v>
      </c>
      <c r="D234">
        <v>4</v>
      </c>
      <c r="E234">
        <v>1</v>
      </c>
      <c r="F234" s="3">
        <f>1124+(384.2-198.8)+(-2.29296+(-0.783768--0.405552))+0-27.3--0.0556919999999988</f>
        <v>1279.484516</v>
      </c>
      <c r="G234" s="3">
        <f>1130.2+(224-140.9)+(0+(0-0))+0-25.5-0</f>
        <v>1187.8</v>
      </c>
      <c r="H234" s="3">
        <f>1128+(199.3-161.2)+(-0.57528+(-0.101643--0.082212))+0-25--0.0127499999999975</f>
        <v>1140.518039</v>
      </c>
      <c r="I234" s="3">
        <f>1111.1+(202.8-166.9)+(1.133322+(0.206856-0.170238))+0-24.9-0.025398000000004</f>
        <v>1123.2445419999999</v>
      </c>
      <c r="J234" s="3">
        <f>1105.9+(214-173.1)+(0.564009+(0.10914-0.088281))+0-25.6-0.0130559999999974</f>
        <v>1121.7718120000002</v>
      </c>
      <c r="K234" s="3">
        <f>1107.2+(229.3-167.8)+(0+(0-0))+0-26.2-0</f>
        <v>1142.5</v>
      </c>
      <c r="L234" s="3">
        <f>1106.5+(297.6-177.6)+(0.564315+(0.151776-0.090576))+0-25.4-0.0129539999999974</f>
        <v>1201.7125609999998</v>
      </c>
      <c r="M234" s="3">
        <f>1146+(384.7-256)+(0+(0-0))+0-27.8-0</f>
        <v>1246.9000000000001</v>
      </c>
      <c r="N234" s="3">
        <f>1311.6+(457.3-311.1)+(0.668916+(0.233223-0.158661))+0-29.2-0.014891999999997</f>
        <v>1429.3285860000001</v>
      </c>
      <c r="O234" s="3">
        <f>1531.5+(389.7-347.7)+(-2.343195+(-0.596241--0.531981))+0-30.1--0.0460530000000017</f>
        <v>1541.0385980000001</v>
      </c>
      <c r="P234" s="3">
        <f>1587+(365.1-346.5)+(0+(0-0))+0-29.6-0</f>
        <v>1576</v>
      </c>
      <c r="Q234" s="3">
        <f>1598+(333.1-321.8)+(-4.0749+(-0.849405--0.82059))+0-30.1--0.0767549999999956</f>
        <v>1575.1730400000001</v>
      </c>
      <c r="R234" s="3">
        <f>1501.1+(386.2-322.4)+(0+(0-0))+0-21.1-0</f>
        <v>1543.8</v>
      </c>
      <c r="S234" s="3">
        <f>1626.1+(243.7-321.5)+(0+(0-0))+0-9.9-0</f>
        <v>1538.3999999999999</v>
      </c>
      <c r="T234" s="3">
        <f>1638.2+(217.1-326.9)+(0.835482+(0.110721-0.166719))+0-9.1-0.00464099999999908</f>
        <v>1520.0748430000001</v>
      </c>
      <c r="U234" s="3">
        <f>1574+(270.3-322.3)+(0+(0-0))+0-8-0</f>
        <v>1514</v>
      </c>
      <c r="V234" s="3">
        <f>1577.5+(298.7-325.1)+(1.60905+(0.304674-0.331602))+0-5.5-0.00561000000000088</f>
        <v>1547.176512</v>
      </c>
      <c r="W234" s="3">
        <f>1741.6+(242-208.1)+(0.888216+(0.12342-0.106131))+0-2.2-0.00112199999999978</f>
        <v>1774.204383</v>
      </c>
      <c r="X234" s="3">
        <f>1896.4+(271.3-195.2)+(-2.901492+(-0.415089--0.298656))+0-1.9--0.00290700000000011</f>
        <v>1967.5849819999999</v>
      </c>
      <c r="Y234" s="3">
        <f>1834.6+(282-183.4)+(-4.67823+(-0.7191--0.46767))+0-1.9--0.00484499999999972</f>
        <v>1926.3751849999996</v>
      </c>
      <c r="Z234" s="3">
        <f>1743.9+(297.4-187.4)+(-0.889389+(-0.151674--0.095574))+0-2--0.0010199999999998</f>
        <v>1850.9555310000001</v>
      </c>
      <c r="AA234" s="3">
        <f>1672.8+(322.7-224.7)+(-1.706256+(-0.329154--0.229194))+0-1.9--0.0019380000000003</f>
        <v>1767.095722</v>
      </c>
      <c r="AB234" s="3">
        <f>1542.7+(395.8-300.6)+(-4.720662+(-1.211148--0.919836))+0-2.3--0.00703800000000027</f>
        <v>1630.5950640000001</v>
      </c>
      <c r="AC234" s="3">
        <f>1337.4+(379.6-288.5)+(-3.41037+(-0.96798--0.735675))+0-2--0.00509999999999971</f>
        <v>1422.862425</v>
      </c>
      <c r="AD234">
        <f t="shared" si="3"/>
        <v>35568.596340999997</v>
      </c>
      <c r="AE234" s="3">
        <f>1913+(270-153.9)+(0+(0-0))+0-0-0</f>
        <v>2029.1</v>
      </c>
    </row>
    <row r="235" spans="1:31" s="2" customFormat="1" x14ac:dyDescent="0.25">
      <c r="A235">
        <v>89</v>
      </c>
      <c r="B235">
        <v>8</v>
      </c>
      <c r="C235">
        <v>19</v>
      </c>
      <c r="D235">
        <v>5</v>
      </c>
      <c r="E235">
        <v>1</v>
      </c>
      <c r="F235" s="3">
        <f>1053.5+(414-195.5)+(-1.611855+(-0.63342--0.299115))+0-1.8--0.0027540000000001</f>
        <v>1268.2565940000002</v>
      </c>
      <c r="G235" s="3">
        <f>943.1+(387.4-160.4)+(-0.961962+(-0.395148--0.163608))+0-1.7--0.00173400000000027</f>
        <v>1167.2082319999997</v>
      </c>
      <c r="H235" s="3">
        <f>943.7+(341.5-171.7)+(0+(0-0))+0-1.5-0</f>
        <v>1112</v>
      </c>
      <c r="I235" s="3">
        <f>944.6+(316.6-170.6)+(-1.926984+(-0.645864--0.348024))+0-1.2--0.00244799999999995</f>
        <v>1087.1776240000002</v>
      </c>
      <c r="J235" s="3">
        <f>944.5+(309.4-165.3)+(2.408475+(0.78897-0.421515))+0-1.1-0.00280499999999984</f>
        <v>1090.2731249999999</v>
      </c>
      <c r="K235" s="3">
        <f>944.9+(324.1-158.9)+(-1.445697+(-0.495873--0.243117))+0-0-0</f>
        <v>1108.4015469999999</v>
      </c>
      <c r="L235" s="3">
        <f>1055+(316.6-190.3)+(-2.69025+(-0.80733--0.485265))+0-1.8--0.00458999999999974</f>
        <v>1176.4922750000001</v>
      </c>
      <c r="M235" s="3">
        <f>1259.1+(292.5-275.4)+(-0.642141+(-0.149175--0.140454))+0-2--0.0010199999999998</f>
        <v>1273.5501579999998</v>
      </c>
      <c r="N235" s="3">
        <f>1331+(427.7-300.9)+(0+(0-0))+0-2.2-0</f>
        <v>1455.6</v>
      </c>
      <c r="O235" s="3">
        <f>1396.5+(497.4-313.8)+(0+(0-0))+0-2.8-0</f>
        <v>1577.3</v>
      </c>
      <c r="P235" s="3">
        <f>1438.3+(487.4-308.3)+(0.733533+(0.248574-0.157233))+0-3.7-0.00188699999999962</f>
        <v>1614.5229869999998</v>
      </c>
      <c r="Q235" s="3">
        <f>1435.4+(512.1-305.1)+(-4.392324+(-1.567026--0.933606))+0-3.9--0.0119340000000005</f>
        <v>1633.4861900000001</v>
      </c>
      <c r="R235" s="3">
        <f>1384.5+(535.1-303.3)+(-1.41219+(-0.545802--0.309366))+0-2.6--0.00265200000000041</f>
        <v>1612.054026</v>
      </c>
      <c r="S235" s="3">
        <f>1406.1+(467.3-300.4)+(0+(0-0))+0-1.4-0</f>
        <v>1571.6</v>
      </c>
      <c r="T235" s="3">
        <f>1440.5+(384.6-294.5)+(-1.46931+(-0.392292--0.30039))+0-1.8--0.00183600000000029</f>
        <v>1527.2406239999998</v>
      </c>
      <c r="U235" s="3">
        <f>1392+(449.5-304.7)+(-2.12976+(-0.687735--0.466191))+0-1.8--0.0027540000000001</f>
        <v>1532.6514500000001</v>
      </c>
      <c r="V235" s="3">
        <f>1335.5+(528.9-308.9)+(0.681105+(0.269739-0.157539))+0-1.5-0.000764999999999848</f>
        <v>1554.7925399999999</v>
      </c>
      <c r="W235" s="3">
        <f>1436.3+(538.7-175.6)+(0.732513+(0.274737-0.089556))+0-1.7-0.000866999999999828</f>
        <v>1798.6168270000001</v>
      </c>
      <c r="X235" s="3">
        <f>1427.7+(729.3-169.9)+(0+(0-0))+0-1.4-0</f>
        <v>1985.6999999999998</v>
      </c>
      <c r="Y235" s="3">
        <f>1459.2+(644.6-169.8)+(-4.465152+(-1.972476--0.519588))+0-2.2--0.00673200000000026</f>
        <v>1925.888692</v>
      </c>
      <c r="Z235" s="3">
        <f>1446.8+(581.6-171.3)+(-1.475736+(-0.593232--0.174726))+0-1.2--0.00122400000000019</f>
        <v>1854.0069819999999</v>
      </c>
      <c r="AA235" s="3">
        <f>1362.5+(701.8-311.5)+(0.694875+(0.357918-0.158865))+0-1.5-0.000764999999999848</f>
        <v>1752.1931629999999</v>
      </c>
      <c r="AB235" s="3">
        <f>1275.3+(666.8-315)+(-2.601612+(-1.360272--0.6426))+0-1.6--0.00326399999999993</f>
        <v>1622.18398</v>
      </c>
      <c r="AC235" s="3">
        <f>1256.3+(499.1-304.1)+(-1.922139+(-0.763623--0.465273))+0-1.7--0.0026010000000001</f>
        <v>1447.3821119999998</v>
      </c>
      <c r="AD235">
        <f t="shared" si="3"/>
        <v>35748.579127999998</v>
      </c>
      <c r="AE235" s="3">
        <f>1360+(792.1-162.8)+(0+(0-0))+0-1.6-0</f>
        <v>1987.7</v>
      </c>
    </row>
    <row r="236" spans="1:31" s="2" customFormat="1" x14ac:dyDescent="0.25">
      <c r="A236">
        <v>89</v>
      </c>
      <c r="B236">
        <v>8</v>
      </c>
      <c r="C236">
        <v>20</v>
      </c>
      <c r="D236">
        <v>6</v>
      </c>
      <c r="E236">
        <v>1</v>
      </c>
      <c r="F236" s="3">
        <f>1162.4+(313.2-210.9)+(-1.185648+(-0.319464--0.215118))+0-1.8--0.00183600000000029</f>
        <v>1261.611842</v>
      </c>
      <c r="G236" s="3">
        <f>992.3+(309.1-155)+(-1.518219+(-0.472923--0.23715))+0-1.6--0.00244800000000009</f>
        <v>1143.0484560000002</v>
      </c>
      <c r="H236" s="3">
        <f>994+(281.9-168)+(-1.52082+(-0.431307--0.25704))+0-6.5--0.00994500000000038</f>
        <v>1099.714858</v>
      </c>
      <c r="I236" s="3">
        <f>994.2+(286.4-178.5)+(0.507042+(0.146064-0.091035))+0-19.5-0.00994499999999802</f>
        <v>1083.152126</v>
      </c>
      <c r="J236" s="3">
        <f>993.7+(290.6-176.7)+(1.520361+(0.444618-0.270351))+0-23.2-0.0354960000000013</f>
        <v>1086.0591320000001</v>
      </c>
      <c r="K236" s="3">
        <f>994.7+(320.2-183.1)+(1.014594+(0.326604-0.186762))+0-26.3-0.0268260000000042</f>
        <v>1106.62761</v>
      </c>
      <c r="L236" s="3">
        <f>1006.5+(388.8-211.5)+(-0.513315+(-0.198288--0.107865))+0-26.2--0.0133619999999973</f>
        <v>1157.0096239999998</v>
      </c>
      <c r="M236" s="3">
        <f>1129.6+(410.7-296.2)+(1.728288+(0.628371-0.453186))+0-25.9-0.0396270000000015</f>
        <v>1220.0638459999998</v>
      </c>
      <c r="N236" s="3">
        <f>1460.8+(271.4-312.9)+(2.235024+(0.415242-0.478737))+0-26.9-0.0411570000000016</f>
        <v>1394.5303719999997</v>
      </c>
      <c r="O236" s="3">
        <f>1456.9+(393.5-331.2)+(1.486038+(0.40137-0.337824))+0-27-0.0275400000000043</f>
        <v>1493.7220440000001</v>
      </c>
      <c r="P236" s="3">
        <f>1415.4+(453.2-325.8)+(2.165562+(0.693396-0.498474))+0-25.8-0.0394740000000015</f>
        <v>1519.3210100000003</v>
      </c>
      <c r="Q236" s="3">
        <f>1617.9+(285.7-318.7)+(-1.650258+(-0.291414--0.325074))+0-28--0.0285600000000045</f>
        <v>1555.311962</v>
      </c>
      <c r="R236" s="3">
        <f>1696.2+(188.6-276.7)+(-1.730124+(-0.192372--0.282234))+0-28.1--0.0286620000000045</f>
        <v>1578.3884000000003</v>
      </c>
      <c r="S236" s="3">
        <f>1598.7+(231.9-275.1)+(-3.261348+(-0.473076--0.561204))+0-27.5--0.0560999999999988</f>
        <v>1524.8828800000001</v>
      </c>
      <c r="T236" s="3">
        <f>1494.6+(280.8-266.7)+(-3.048984+(-0.572832--0.544068))+0-29.9--0.0609959999999987</f>
        <v>1475.7832479999997</v>
      </c>
      <c r="U236" s="3">
        <f>1519.1+(213.7-225.6)+(-2.324223+(-0.326961--0.345168))+0-30.8--0.0471240000000018</f>
        <v>1474.1411079999998</v>
      </c>
      <c r="V236" s="3">
        <f>1538.2+(255.2-280.5)+(1.568964+(0.260304-0.28611))+0-30.8-0.0314160000000049</f>
        <v>1483.611742</v>
      </c>
      <c r="W236" s="3">
        <f>1748.8+(176.7-147.9)+(-0.891888+(-0.090117--0.075429))+0-29.2--0.014891999999997</f>
        <v>1747.5083159999997</v>
      </c>
      <c r="X236" s="3">
        <f>1824.4+(260.1-124.5)+(-4.65222+(-0.663255--0.317475))+0-29.5--0.0752249999999957</f>
        <v>1925.577225</v>
      </c>
      <c r="Y236" s="3">
        <f>1824.9+(211.8-129.5)+(-2.792097+(-0.324054--0.198135))+0-29.4--0.0449820000000017</f>
        <v>1874.9269659999998</v>
      </c>
      <c r="Z236" s="3">
        <f>1649.5+(312.9-130.4)+(-0.841245+(-0.159579--0.066504))+0-29.1--0.014840999999997</f>
        <v>1801.980521</v>
      </c>
      <c r="AA236" s="3">
        <f>1528.4+(490-269.5)+(-2.338452+(-0.7497--0.412335))+0-29.5--0.0451350000000017</f>
        <v>1716.7693180000001</v>
      </c>
      <c r="AB236" s="3">
        <f>1327.7+(574.1-280)+(-2.031381+(-0.878373--0.4284))+0-27.5--0.0420750000000016</f>
        <v>1591.8607210000002</v>
      </c>
      <c r="AC236" s="3">
        <f>1190.3+(552.4-273.9)+(-2.428212+(-1.126896--0.558756))+0-27.1--0.0552839999999988</f>
        <v>1438.7589320000002</v>
      </c>
      <c r="AD236">
        <f t="shared" si="3"/>
        <v>34754.362258999994</v>
      </c>
      <c r="AE236" s="3">
        <f>1828+(277.7-161.3)+(0+(0-0))+0-26.4-0</f>
        <v>1918</v>
      </c>
    </row>
    <row r="237" spans="1:31" s="2" customFormat="1" x14ac:dyDescent="0.25">
      <c r="A237">
        <v>89</v>
      </c>
      <c r="B237">
        <v>8</v>
      </c>
      <c r="C237">
        <v>21</v>
      </c>
      <c r="D237">
        <v>7</v>
      </c>
      <c r="E237">
        <v>1</v>
      </c>
      <c r="F237" s="3">
        <f>1190.7+(338.3-230.3)+(-1.821771+(-0.517599--0.352359))+0-27.7--0.0423810000000016</f>
        <v>1269.05537</v>
      </c>
      <c r="G237" s="3">
        <f>1160.6+(215.3-180)+(-1.775718+(-0.329409--0.2754))+0-27--0.0413100000000016</f>
        <v>1167.1115829999999</v>
      </c>
      <c r="H237" s="3">
        <f>1085+(226.3-193.4)+(-1.1067+(-0.230826--0.197268))+0-27.2--0.0277440000000043</f>
        <v>1089.5874860000001</v>
      </c>
      <c r="I237" s="3">
        <f>1085.6+(210.7-210.4)+(-1.660968+(-0.322371--0.321912))+0-27.1--0.0414630000000016</f>
        <v>1057.180036</v>
      </c>
      <c r="J237" s="3">
        <f>1086.8+(204.9-210.6)+(-0.554268+(-0.104499--0.107406))+0-27.4--0.0139739999999972</f>
        <v>1053.1626129999997</v>
      </c>
      <c r="K237" s="3">
        <f>1088.6+(205.3-201.3)+(-0.555186+(-0.104703--0.102663))+0-26.7--0.0136169999999973</f>
        <v>1065.356391</v>
      </c>
      <c r="L237" s="3">
        <f>1087.4+(231.6-210.6)+(-3.882018+(-0.826812--0.751842))+0-27.9--0.0996030000000004</f>
        <v>1076.642615</v>
      </c>
      <c r="M237" s="3">
        <f>1088.7+(281.4-282.3)+(0.555237+(0.143514-0.143973))+0-28.8-0.0146879999999971</f>
        <v>1059.54009</v>
      </c>
      <c r="N237" s="3">
        <f>1187.3+(359.3-343.3)+(-1.816569+(-0.549729--0.525249))+0-30.3--0.0463590000000018</f>
        <v>1171.2053099999998</v>
      </c>
      <c r="O237" s="3">
        <f>1192.5+(469.5-335.2)+(-1.21635+(-0.47889--0.341904))+0-30.4--0.0310080000000048</f>
        <v>1295.0776719999999</v>
      </c>
      <c r="P237" s="3">
        <f>1225+(478.7-327.7)+(-0.62475+(-0.244137--0.167127))+0-30.2--0.0154019999999969</f>
        <v>1345.113642</v>
      </c>
      <c r="Q237" s="3">
        <f>1418.7+(322.4-316.8)+(-0.723537+(-0.164424--0.161568))+0-29.1--0.014840999999997</f>
        <v>1394.4884480000001</v>
      </c>
      <c r="R237" s="3">
        <f>1386+(328.4-314.5)+(-2.82744+(-0.669936--0.64158))+0-27.8--0.0567119999999988</f>
        <v>1369.3009160000001</v>
      </c>
      <c r="S237" s="3">
        <f>1395.4+(256.4-307.7)+(2.846616+(0.523056-0.627708))+0-27.9-0.0569159999999988</f>
        <v>1318.8850480000001</v>
      </c>
      <c r="T237" s="3">
        <f>1458.5+(196.1-329.5)+(-2.231505+(-0.300033--0.504135))+0-29.4--0.0449820000000017</f>
        <v>1293.7175789999997</v>
      </c>
      <c r="U237" s="3">
        <f>1525.5+(160.5-376.8)+(-0.778005+(-0.081855--0.192168))+0-29.4--0.014993999999997</f>
        <v>1279.1473019999999</v>
      </c>
      <c r="V237" s="3">
        <f>1551.4+(169.9-391)+(-0.791214+(-0.086649--0.19941))+0-29--0.0147899999999971</f>
        <v>1300.6363370000001</v>
      </c>
      <c r="W237" s="3">
        <f>1606.6+(191.9-191.9)+(-2.458098+(-0.293607--0.293607))+0-28.7--0.0439110000000017</f>
        <v>1575.4858129999998</v>
      </c>
      <c r="X237" s="3">
        <f>1486.2+(491.8-171.7)+(-5.305734+(-1.755726--0.612969))+0-28.1--0.100317</f>
        <v>1771.8518260000001</v>
      </c>
      <c r="Y237" s="3">
        <f>1442.3+(513.7-173.9)+(-2.206719+(-0.785961--0.266067))+0-28.8--0.0440640000000017</f>
        <v>1750.6174509999998</v>
      </c>
      <c r="Z237" s="3">
        <f>1410.7+(492.5-173.4)+(-2.877828+(-1.0047--0.353736))+0-28.3--0.0577319999999988</f>
        <v>1698.0289400000001</v>
      </c>
      <c r="AA237" s="3">
        <f>1411.2+(533.3-291.2)+(-1.439424+(-0.543966--0.297024))+0-29--0.0295800000000046</f>
        <v>1622.6432139999999</v>
      </c>
      <c r="AB237" s="3">
        <f>1323.4+(532.7-316.1)+(-2.024802+(-0.815031--0.483633))+0-27.2--0.0416160000000016</f>
        <v>1510.485416</v>
      </c>
      <c r="AC237" s="3">
        <f>1224.9+(427.7-278.8)+(-1.874097+(-0.654381--0.426564))+0-28.1--0.0429930000000016</f>
        <v>1343.6410790000002</v>
      </c>
      <c r="AD237">
        <f t="shared" si="3"/>
        <v>31877.962176999998</v>
      </c>
      <c r="AE237" s="3">
        <f>1448.2+(528.8-178.4)+(0+(0-0))+0-28-0</f>
        <v>1770.6</v>
      </c>
    </row>
    <row r="238" spans="1:31" s="2" customFormat="1" x14ac:dyDescent="0.25">
      <c r="A238">
        <v>89</v>
      </c>
      <c r="B238">
        <v>8</v>
      </c>
      <c r="C238">
        <v>22</v>
      </c>
      <c r="D238">
        <v>1</v>
      </c>
      <c r="E238">
        <v>1</v>
      </c>
      <c r="F238" s="3">
        <f>931.3+(440-191.6)+(0.949926+(0.4488-0.195432))+0-26.9-0.0274380000000043</f>
        <v>1153.9758559999998</v>
      </c>
      <c r="G238" s="3">
        <f>863.6+(375.1-164.7)+(0+(0-0))+0-25.9-0</f>
        <v>1048.0999999999999</v>
      </c>
      <c r="H238" s="3">
        <f>862.2+(344.9-173.2)+(0.439722+(0.175899-0.088332))+0-26.1-0.0133109999999974</f>
        <v>1008.3139780000001</v>
      </c>
      <c r="I238" s="3">
        <f>862.9+(353-188.5)+(0.880158+(0.36006-0.19227))+0-26.6-0.0271320000000042</f>
        <v>1001.8208159999999</v>
      </c>
      <c r="J238" s="3">
        <f>863.1+(345.7-179.4)+(0.880362+(0.352614-0.182988))+0-25.3-0.025806000000004</f>
        <v>1005.1241820000001</v>
      </c>
      <c r="K238" s="3">
        <f>864.4+(366.8-172.4)+(-0.440844+(-0.187068--0.087924))+0-25.8--0.0131579999999974</f>
        <v>1032.47317</v>
      </c>
      <c r="L238" s="3">
        <f>927.5+(389.9-175.2)+(-1.419075+(-0.596547--0.268056))+0-26.9--0.0411570000000016</f>
        <v>1113.5935910000001</v>
      </c>
      <c r="M238" s="3">
        <f>994.9+(464.1-235.3)+(-0.507399+(-0.236691--0.120003))+0-29--0.0147899999999971</f>
        <v>1194.0907030000001</v>
      </c>
      <c r="N238" s="3">
        <f>1254.6+(439.6-307.7)+(-1.279692+(-0.448392--0.313854))+0-30.8--0.0314160000000049</f>
        <v>1354.317186</v>
      </c>
      <c r="O238" s="3">
        <f>1436.7+(429.3-336.8)+(-2.198151+(-0.656829--0.515304))+0-31.2--0.0477360000000018</f>
        <v>1495.7080599999999</v>
      </c>
      <c r="P238" s="3">
        <f>1568+(354.4-340.6)+(0+(0-0))+0-31-0</f>
        <v>1550.8</v>
      </c>
      <c r="Q238" s="3">
        <f>1580.7+(361.4-333.5)+(-0.806157+(-0.184314--0.170085))+0-30.4--0.0155039999999969</f>
        <v>1577.3951179999997</v>
      </c>
      <c r="R238" s="3">
        <f>1564.5+(355-308.4)+(-3.19158+(-0.7242--0.629136))+0-28.2--0.0575279999999988</f>
        <v>1579.6708839999999</v>
      </c>
      <c r="S238" s="3">
        <f>1389+(481-303.5)+(-1.41678+(-0.49062--0.30957))+0-28.2--0.0287640000000045</f>
        <v>1536.7309339999999</v>
      </c>
      <c r="T238" s="3">
        <f>1424.2+(428.3-304.2)+(-0.726342+(-0.218433--0.155142))+0-29--0.0147899999999971</f>
        <v>1518.525157</v>
      </c>
      <c r="U238" s="3">
        <f>1441.2+(420.7-305.4)+(0.735012+(0.214557-0.155754))+0-28.9-0.0147389999999971</f>
        <v>1528.3790759999999</v>
      </c>
      <c r="V238" s="3">
        <f>1537.4+(355.4-298.2)+(1.568148+(0.362508-0.304164))+0-29.5-0.0300900000000047</f>
        <v>1566.6964020000003</v>
      </c>
      <c r="W238" s="3">
        <f>1596.6+(423.9-148.7)+(0+(0-0))+0-28.6-0</f>
        <v>1843.2</v>
      </c>
      <c r="X238" s="3">
        <f>1583.7+(583.8-135.2)+(-0.807687+(-0.297738--0.068952))+0-29.2--0.014891999999997</f>
        <v>2002.0784189999999</v>
      </c>
      <c r="Y238" s="3">
        <f>1614.5+(492.4-140.7)+(-3.29358+(-1.004496--0.287028))+0-28.3--0.0577319999999988</f>
        <v>1933.946684</v>
      </c>
      <c r="Z238" s="3">
        <f>1509.2+(521.1-134.4)+(-0.769692+(-0.265761--0.068544))+0-27.4--0.0139739999999972</f>
        <v>1867.547065</v>
      </c>
      <c r="AA238" s="3">
        <f>1391.3+(650.1-249.6)+(-2.128689+(-0.994653--0.381888))+0-27.7--0.0423810000000016</f>
        <v>1761.4009269999999</v>
      </c>
      <c r="AB238" s="3">
        <f>1301.7+(633-280.3)+(-3.319335+(-1.61415--0.714765))+0-27.5--0.070124999999996</f>
        <v>1622.751405</v>
      </c>
      <c r="AC238" s="3">
        <f>1128.2+(622.6-272.7)+(-2.87691+(-1.58763--0.695385))+0-27.5--0.070124999999996</f>
        <v>1446.9009700000001</v>
      </c>
      <c r="AD238">
        <f t="shared" si="3"/>
        <v>34743.540583000002</v>
      </c>
      <c r="AE238" s="3">
        <f>1644+(555.3-169.9)+(0+(0-0))+0-29.6-0</f>
        <v>1999.8000000000002</v>
      </c>
    </row>
    <row r="239" spans="1:31" s="2" customFormat="1" x14ac:dyDescent="0.25">
      <c r="A239">
        <v>89</v>
      </c>
      <c r="B239">
        <v>8</v>
      </c>
      <c r="C239">
        <v>23</v>
      </c>
      <c r="D239">
        <v>2</v>
      </c>
      <c r="E239">
        <v>1</v>
      </c>
      <c r="F239" s="3">
        <f>918.8+(547.2-211.5)+(-1.874352+(-1.116288--0.43146))+0-26.9--0.0548759999999988</f>
        <v>1225.0956959999999</v>
      </c>
      <c r="G239" s="3">
        <f>953.3+(373.9-159.9)+(-2.430915+(-0.953445--0.407745))+0-26.8--0.0683399999999961</f>
        <v>1137.591725</v>
      </c>
      <c r="H239" s="3">
        <f>1022.2+(274.4-170.9)+(-0.521322+(-0.139944--0.087159))+0-26.9--0.0137189999999973</f>
        <v>1098.2396120000001</v>
      </c>
      <c r="I239" s="3">
        <f>1046.3+(245.5-180.5)+(-1.067226+(-0.25041--0.18411))+0-26.8--0.0273360000000043</f>
        <v>1083.39381</v>
      </c>
      <c r="J239" s="3">
        <f>1047.4+(230.9-178.5)+(-1.068348+(-0.235518--0.18207))+0-26.4--0.0269280000000042</f>
        <v>1072.3051320000002</v>
      </c>
      <c r="K239" s="3">
        <f>1047.5+(242.2-179.3)+(1.602675+(0.370566-0.274329))+0-25.3-0.0387090000000015</f>
        <v>1086.7602030000003</v>
      </c>
      <c r="L239" s="3">
        <f>1046.6+(322.5-191.8)+(0+(0-0))+0-27.9-0</f>
        <v>1149.3999999999999</v>
      </c>
      <c r="M239" s="3">
        <f>1185.7+(267.1-215.6)+(0.604707+(0.136221-0.109956))+0-28.6-0.0145859999999971</f>
        <v>1209.2163860000001</v>
      </c>
      <c r="N239" s="3">
        <f>1374.2+(318.4-312.3)+(-2.803368+(-0.649536--0.637092))+0-30.4--0.0620159999999987</f>
        <v>1347.1462039999999</v>
      </c>
      <c r="O239" s="3">
        <f>1430.9+(446.5-340.3)+(0+(0-0))+0-30-0</f>
        <v>1507.1000000000001</v>
      </c>
      <c r="P239" s="3">
        <f>1428.9+(488.6-352.3)+(-0.728739+(-0.249186--0.179673))+0-30.6--0.0156059999999969</f>
        <v>1533.817354</v>
      </c>
      <c r="Q239" s="3">
        <f>1424+(479.4-339.1)+(-2.17872+(-0.733482--0.518823))+0-30.5--0.0466650000000018</f>
        <v>1531.4532859999999</v>
      </c>
      <c r="R239" s="3">
        <f>1339.7+(546.4-329.1)+(-2.732988+(-1.114656--0.671364))+0-27.9--0.0569159999999988</f>
        <v>1525.980636</v>
      </c>
      <c r="S239" s="3">
        <f>1379.2+(468.8-324.8)+(-1.406784+(-0.478176--0.331296))+0-26.5--0.0270300000000042</f>
        <v>1495.173366</v>
      </c>
      <c r="T239" s="3">
        <f>1437.6+(371.8-321.4)+(-0.733176+(-0.189618--0.163914))+0-27.9--0.0142289999999972</f>
        <v>1459.3553489999997</v>
      </c>
      <c r="U239" s="3">
        <f>1404.3+(409-314.5)+(-1.432386+(-0.41718--0.32079))+0-28.2--0.0287640000000045</f>
        <v>1469.0999879999997</v>
      </c>
      <c r="V239" s="3">
        <f>1391.5+(450.4-327.5)+(0+(0-0))+0-28.4-0</f>
        <v>1486</v>
      </c>
      <c r="W239" s="3">
        <f>1447.9+(538.2-176.7)+(2.215287+(0.823446-0.270351))+0-28.1-0.0429930000000016</f>
        <v>1784.0253890000001</v>
      </c>
      <c r="X239" s="3">
        <f>1453+(667.1-172.3)+(-2.96412+(-1.360884--0.351492))+0-28.1--0.0573239999999988</f>
        <v>1915.7838120000001</v>
      </c>
      <c r="Y239" s="3">
        <f>1452.9+(619.6-173.5)+(-3.704895+(-1.57998--0.442425))+0-28.1--0.0716549999999959</f>
        <v>1866.129205</v>
      </c>
      <c r="Z239" s="3">
        <f>1458.4+(549.6-172.9)+(-1.487568+(-0.560592--0.176358))+0-28--0.0285600000000045</f>
        <v>1805.2567580000002</v>
      </c>
      <c r="AA239" s="3">
        <f>1449.2+(606.6-316.6)+(-2.217276+(-0.928098--0.484398))+0-27.5--0.0420750000000016</f>
        <v>1709.0810990000002</v>
      </c>
      <c r="AB239" s="3">
        <f>1393.5+(550.7-315.5)+(-2.84274+(-1.123428--0.64362))+0-26.9--0.0548759999999988</f>
        <v>1598.5323279999998</v>
      </c>
      <c r="AC239" s="3">
        <f>1365.1+(382.7-301.3)+(-3.481005+(-0.975885--0.768315))+0-26.6--0.0678299999999961</f>
        <v>1416.2792550000001</v>
      </c>
      <c r="AD239">
        <f t="shared" si="3"/>
        <v>34512.216592999997</v>
      </c>
      <c r="AE239" s="3">
        <f>1454+(671.1-132.6)+(0+(0-0))+0-27.2-0</f>
        <v>1965.3</v>
      </c>
    </row>
    <row r="240" spans="1:31" s="2" customFormat="1" x14ac:dyDescent="0.25">
      <c r="A240">
        <v>89</v>
      </c>
      <c r="B240">
        <v>8</v>
      </c>
      <c r="C240">
        <v>24</v>
      </c>
      <c r="D240">
        <v>3</v>
      </c>
      <c r="E240">
        <v>1</v>
      </c>
      <c r="F240" s="3">
        <f>1260.8+(234.4-208.3)+(-3.21504+(-0.59772--0.531165))+0-26.5--0.0675749999999962</f>
        <v>1257.18598</v>
      </c>
      <c r="G240" s="3">
        <f>1208.1+(162.4-181.8)+(-2.464524+(-0.331296--0.370872))+0-26.3--0.0536519999999989</f>
        <v>1160.0287039999998</v>
      </c>
      <c r="H240" s="3">
        <f>1210.2+(127.3-201.6)+(-1.851606+(-0.194769--0.308448))+0-24.9--0.0380970000000014</f>
        <v>1109.3001700000002</v>
      </c>
      <c r="I240" s="3">
        <f>1210.8+(127.6-217.6)+(0+(0-0))+0-25.3-0</f>
        <v>1095.5</v>
      </c>
      <c r="J240" s="3">
        <f>1210.7+(132.1-217.3)+(-0.617457+(-0.067371--0.110823))+0-25.8--0.0131579999999974</f>
        <v>1099.1391530000001</v>
      </c>
      <c r="K240" s="3">
        <f>1303.3+(87.7-240.4)+(1.994049+(0.134181-0.367812))+0-26.5-0.0405450000000015</f>
        <v>1125.8198729999999</v>
      </c>
      <c r="L240" s="3">
        <f>1315.7+(115.9-229.2)+(-0.671007+(-0.059109--0.116892))+0-26.2--0.0133619999999973</f>
        <v>1175.600138</v>
      </c>
      <c r="M240" s="3">
        <f>1363+(182.3-282.8)+(-1.39026+(-0.185946--0.288456))+0-28.3--0.0288660000000045</f>
        <v>1232.9411160000002</v>
      </c>
      <c r="N240" s="3">
        <f>1547+(206.3-327)+(-0.78897+(-0.105213--0.16677))+0-29.5--0.015044999999997</f>
        <v>1396.087632</v>
      </c>
      <c r="O240" s="3">
        <f>1671+(236.7-342.8)+(-0.85221+(-0.120717--0.174828))+0-29.9--0.015248999999997</f>
        <v>1534.2171499999999</v>
      </c>
      <c r="P240" s="3">
        <f>1676.4+(265.7-337.2)+(-1.709928+(-0.271014--0.343944))+0-30.2--0.0308040000000048</f>
        <v>1573.0938060000001</v>
      </c>
      <c r="Q240" s="3">
        <f>1643.9+(300.7-323.3)+(-3.353556+(-0.613428--0.659532))+0-30--0.0611999999999987</f>
        <v>1588.0537480000003</v>
      </c>
      <c r="R240" s="3">
        <f>1614.5+(302.4-316.8)+(-4.116975+(-0.77112--0.80784))+0-29--0.0739499999999958</f>
        <v>1567.0936949999998</v>
      </c>
      <c r="S240" s="3">
        <f>1528.2+(364.4-325.5)+(-0.779382+(-0.185844--0.166005))+0-27.5--0.0140249999999972</f>
        <v>1538.8148039999999</v>
      </c>
      <c r="T240" s="3">
        <f>1524.5+(331.4-328.3)+(-1.55499+(-0.338028--0.334866))+0-28.8--0.0293760000000046</f>
        <v>1497.2712239999998</v>
      </c>
      <c r="U240" s="3">
        <f>1541.3+(331.2-330.6)+(-0.786063+(-0.168912--0.168606))+0-30--0.015299999999997</f>
        <v>1511.128931</v>
      </c>
      <c r="V240" s="3">
        <f>1584.7+(314.7-334.4)+(0+(0-0))+0-30-0</f>
        <v>1535</v>
      </c>
      <c r="W240" s="3">
        <f>1682.4+(322.2-192.3)+(-2.574072+(-0.492966--0.294219))+0-29.2--0.0446760000000017</f>
        <v>1780.3718570000001</v>
      </c>
      <c r="X240" s="3">
        <f>1693.2+(403.4-169)+(-4.31766+(-1.02867--0.43095))+0-29--0.0739499999999958</f>
        <v>1893.75857</v>
      </c>
      <c r="Y240" s="3">
        <f>1685.1+(375.8-145.3)+(-5.156406+(-1.149948--0.444618))+0-29.4--0.0899640000000034</f>
        <v>1880.4282279999998</v>
      </c>
      <c r="Z240" s="3">
        <f>1653.3+(343.8-135.8)+(-2.529549+(-0.526014--0.207774))+0-27.8--0.0425340000000016</f>
        <v>1830.694745</v>
      </c>
      <c r="AA240" s="3">
        <f>1587.5+(459.8-271.9)+(-4.048125+(-1.17249--0.693345))+0-27.5--0.070124999999996</f>
        <v>1743.442855</v>
      </c>
      <c r="AB240" s="3">
        <f>1402.2+(530-281.3)+(-2.860488+(-1.0812--0.573852))+0-27.8--0.0567119999999988</f>
        <v>1619.7888760000003</v>
      </c>
      <c r="AC240" s="3">
        <f>1303.4+(453.3-293.9)+(-3.32367+(-1.155915--0.749445))+0-28.4--0.0724199999999959</f>
        <v>1430.7422800000002</v>
      </c>
      <c r="AD240">
        <f t="shared" si="3"/>
        <v>35175.503535000003</v>
      </c>
      <c r="AE240" s="3">
        <f>1693.5+(457-131.9)+(0+(0-0))+0-29.6-0</f>
        <v>1989</v>
      </c>
    </row>
    <row r="241" spans="1:31" s="2" customFormat="1" x14ac:dyDescent="0.25">
      <c r="A241">
        <v>89</v>
      </c>
      <c r="B241">
        <v>8</v>
      </c>
      <c r="C241">
        <v>25</v>
      </c>
      <c r="D241">
        <v>4</v>
      </c>
      <c r="E241">
        <v>1</v>
      </c>
      <c r="F241" s="3">
        <f>1193.5+(328-232.6)+(-3.043425+(-0.8364--0.59313))+0-28.1--0.0716549999999959</f>
        <v>1257.5849600000001</v>
      </c>
      <c r="G241" s="3">
        <f>1150.4+(225.9-180.1)+(-0.586704+(-0.115209--0.091851))+0-28.3--0.0144329999999971</f>
        <v>1167.3043710000002</v>
      </c>
      <c r="H241" s="3">
        <f>1152.3+(178.9-179.6)+(-2.938365+(-0.456195--0.45798))+0-28.2--0.0719099999999959</f>
        <v>1120.5353299999997</v>
      </c>
      <c r="I241" s="3">
        <f>1167+(150.9-184.1)+(1.19034+(0.153918-0.187782))+0-27.7-0.0282540000000044</f>
        <v>1107.228222</v>
      </c>
      <c r="J241" s="3">
        <f>1173.4+(141.6-199.3)+(0+(0-0))+0-28.5-0</f>
        <v>1087.2</v>
      </c>
      <c r="K241" s="3">
        <f>1316.7+(73.7-244.8)+(-0.671517+(-0.037587--0.124848))+0-28.9--0.0147389999999971</f>
        <v>1116.1304829999997</v>
      </c>
      <c r="L241" s="3">
        <f>1442+(85.8-284.5)+(0.73542+(0.043758-0.145095))+0-28.3-0.0144329999999971</f>
        <v>1215.6196499999999</v>
      </c>
      <c r="M241" s="3">
        <f>1596+(51.2-346.3)+(0.81396+(0.026112-0.176613))+0-29.7-0.015146999999997</f>
        <v>1271.8483120000001</v>
      </c>
      <c r="N241" s="3">
        <f>1664.2+(113.4-336.2)+(2.546226+(0.173502-0.514386))+0-30.6-0.0468180000000018</f>
        <v>1412.9585240000001</v>
      </c>
      <c r="O241" s="3">
        <f>1655.6+(195.4-317.9)+(-2.533068+(-0.298962--0.486387))+0-30.3--0.0463590000000018</f>
        <v>1500.5007159999998</v>
      </c>
      <c r="P241" s="3">
        <f>1618.4+(293.8-302.9)+(0+(0-0))+0-30.7-0</f>
        <v>1578.6000000000001</v>
      </c>
      <c r="Q241" s="3">
        <f>1562.2+(377.5-322.1)+(-2.390166+(-0.577575--0.492813))+0-30.7--0.0469710000000018</f>
        <v>1584.4720429999998</v>
      </c>
      <c r="R241" s="3">
        <f>1641.7+(282.8-324.5)+(-3.349068+(-0.576912--0.66198))+0-29.1--0.0593639999999987</f>
        <v>1567.6953640000002</v>
      </c>
      <c r="S241" s="3">
        <f>1598.3+(269.8-325)+(-0.815133+(-0.137598--0.16575))+0-27.6--0.0140759999999972</f>
        <v>1514.727095</v>
      </c>
      <c r="T241" s="3">
        <f>1658.6+(192.1-322.4)+(-2.537658+(-0.293913--0.493272))+0-28.2--0.0431460000000016</f>
        <v>1497.8048469999999</v>
      </c>
      <c r="U241" s="3">
        <f>1628.3+(213.5-321.7)+(-4.152165+(-0.544425--0.820335))+0-29.2--0.0744599999999958</f>
        <v>1487.098205</v>
      </c>
      <c r="V241" s="3">
        <f>1633.3+(229.5-327.7)+(-3.331932+(-0.46818--0.668508))+0-30--0.0611999999999987</f>
        <v>1502.0295960000001</v>
      </c>
      <c r="W241" s="3">
        <f>1895.4+(140.1-197)+(0+(0-0))+0-29.5-0</f>
        <v>1809</v>
      </c>
      <c r="X241" s="3">
        <f>1979.8+(194.3-190.2)+(-4.038792+(-0.396372--0.388008))+0-29.5--0.0601799999999987</f>
        <v>1950.413024</v>
      </c>
      <c r="Y241" s="3">
        <f>1845.3+(258.9-169.9)+(-5.646618+(-0.792234--0.519894))+0-30.2--0.0924120000000035</f>
        <v>1898.2734539999999</v>
      </c>
      <c r="Z241" s="3">
        <f>1748.9+(274-165.7)+(-1.783878+(-0.27948--0.169014))+0-30--0.0306000000000048</f>
        <v>1825.336256</v>
      </c>
      <c r="AA241" s="3">
        <f>1689.7+(363.4-280.3)+(-2.585241+(-0.556002--0.428859))+0-30.1--0.0460530000000017</f>
        <v>1740.0336690000001</v>
      </c>
      <c r="AB241" s="3">
        <f>1613.9+(353.9-307.8)+(-4.115445+(-0.902445--0.78489))+0-28.6--0.0729299999999959</f>
        <v>1627.2399300000002</v>
      </c>
      <c r="AC241" s="3">
        <f>1679.1+(207.2-378.9)+(0+(0-0))+0-28.4-0</f>
        <v>1478.9999999999998</v>
      </c>
      <c r="AD241">
        <f t="shared" si="3"/>
        <v>35318.634050999994</v>
      </c>
      <c r="AE241" s="3">
        <f>1989+(190.1-148.3)+(0+(0-0))+0-28.8-0</f>
        <v>2002</v>
      </c>
    </row>
    <row r="242" spans="1:31" s="2" customFormat="1" x14ac:dyDescent="0.25">
      <c r="A242">
        <v>89</v>
      </c>
      <c r="B242">
        <v>8</v>
      </c>
      <c r="C242">
        <v>26</v>
      </c>
      <c r="D242">
        <v>5</v>
      </c>
      <c r="E242">
        <v>3</v>
      </c>
      <c r="F242" s="3">
        <f>1526.7+(119.4-317.3)+(-3.114468+(-0.243576--0.647292))+0-28.3--0.0577319999999988</f>
        <v>1297.84698</v>
      </c>
      <c r="G242" s="3">
        <f>1457.1+(58.4-301.5)+(0+(0-0))+0-28.3-0</f>
        <v>1185.7</v>
      </c>
      <c r="H242" s="3">
        <f>1357.1+(65.9-274.3)+(-3.460605+(-0.168045--0.699465))+0-27.9--0.0711449999999959</f>
        <v>1117.9419599999997</v>
      </c>
      <c r="I242" s="3">
        <f>1327.2+(65.5-267.3)+(-2.707488+(-0.13362--0.545292))+0-28.2--0.0575279999999988</f>
        <v>1094.961712</v>
      </c>
      <c r="J242" s="3">
        <f>1324.6+(72.3-277.9)+(2.026638+(0.110619-0.425187))+0-27.9-0.0426870000000016</f>
        <v>1092.7693829999998</v>
      </c>
      <c r="K242" s="3">
        <f>1323+(85.3-284.1)+(-0.67473+(-0.043503--0.144891))+0-28.2--0.0143819999999971</f>
        <v>1095.4410400000002</v>
      </c>
      <c r="L242" s="3">
        <f>1325+(107.3-285.1)+(0.67575+(0.054723-0.145401))+0-27.8-0.0141779999999972</f>
        <v>1119.9708940000003</v>
      </c>
      <c r="M242" s="3">
        <f>1351.8+(130.8-372.1)+(-1.378836+(-0.133416--0.379542))+0-29.8--0.0303960000000048</f>
        <v>1079.5976860000001</v>
      </c>
      <c r="N242" s="3">
        <f>1402.4+(184.8-418.2)+(0+(0-0))+0-30.7-0</f>
        <v>1138.3</v>
      </c>
      <c r="O242" s="3">
        <f>1445.6+(207.2-411.9)+(-2.949024+(-0.422688--0.840276))+0-31.5--0.0642599999999986</f>
        <v>1206.932824</v>
      </c>
      <c r="P242" s="3">
        <f>1399.4+(250.1-375.9)+(-2.141082+(-0.382653--0.575127))+0-31.6--0.0483480000000018</f>
        <v>1240.0997400000003</v>
      </c>
      <c r="Q242" s="3">
        <f>1356.1+(244.1-361.4)+(-2.766444+(-0.497964--0.737256))+0-31.3--0.0638519999999986</f>
        <v>1205.0367000000001</v>
      </c>
      <c r="R242" s="3">
        <f>1290.6+(296.9-333)+(-1.316412+(-0.302838--0.33966))+0-29.7--0.0302940000000047</f>
        <v>1223.5507039999998</v>
      </c>
      <c r="S242" s="3">
        <f>1307.2+(266.7-338.6)+(-1.333344+(-0.272034--0.345372))+0-29.2--0.0297840000000047</f>
        <v>1204.869778</v>
      </c>
      <c r="T242" s="3">
        <f>1334+(235.9-348.2)+(-0.68034+(-0.120309--0.177582))+0-29.9--0.015248999999997</f>
        <v>1191.192182</v>
      </c>
      <c r="U242" s="3">
        <f>1343.3+(230.4-359.8)+(-0.685083+(-0.117504--0.183498))+0-30.6--0.0156059999999969</f>
        <v>1182.6965169999999</v>
      </c>
      <c r="V242" s="3">
        <f>1446.9+(190.2-375.2)+(-2.951676+(-0.388008--0.765408))+0-30.5--0.0622199999999987</f>
        <v>1228.8879440000001</v>
      </c>
      <c r="W242" s="3">
        <f>1749.7+(162.9-317.3)+(-2.677041+(-0.249237--0.485469))+0-31--0.0474300000000018</f>
        <v>1561.9066210000001</v>
      </c>
      <c r="X242" s="3">
        <f>1813.9+(211.8-262.3)+(-4.625445+(-0.54009--0.668865))+0-31--0.0790499999999955</f>
        <v>1727.9823800000001</v>
      </c>
      <c r="Y242" s="3">
        <f>1818.4+(194.5-264.3)+(-1.854768+(-0.19839--0.269586))+0-29.3--0.0298860000000047</f>
        <v>1717.5463140000002</v>
      </c>
      <c r="Z242" s="3">
        <f>1748.4+(220.9-263.3)+(-1.783368+(-0.225318--0.268566))+0-29.1--0.0296820000000046</f>
        <v>1675.1895620000003</v>
      </c>
      <c r="AA242" s="3">
        <f>1728.3+(247.6-324.3)+(-3.525732+(-0.505104--0.661572))+0-29.4--0.0599759999999987</f>
        <v>1618.8907119999999</v>
      </c>
      <c r="AB242" s="3">
        <f>1723.7+(204.9-369.5)+(-4.395435+(-0.522495--0.942225))+0-29.3--0.0747149999999958</f>
        <v>1525.8990100000001</v>
      </c>
      <c r="AC242" s="3">
        <f>1562.4+(208.5-368.1)+(-3.187296+(-0.42534--0.750924))+0-28.9--0.0589559999999987</f>
        <v>1371.0972440000003</v>
      </c>
      <c r="AD242">
        <f t="shared" si="3"/>
        <v>31104.307886999999</v>
      </c>
      <c r="AE242" s="3">
        <f>1809.2+(213.2-225.7)+(0+(0-0))+0-29.6-0</f>
        <v>1767.1000000000001</v>
      </c>
    </row>
    <row r="243" spans="1:31" s="2" customFormat="1" x14ac:dyDescent="0.25">
      <c r="A243">
        <v>89</v>
      </c>
      <c r="B243">
        <v>8</v>
      </c>
      <c r="C243">
        <v>27</v>
      </c>
      <c r="D243">
        <v>6</v>
      </c>
      <c r="E243">
        <v>6</v>
      </c>
      <c r="F243" s="3">
        <f>1361.5+(158.5-293.9)+(-3.471825+(-0.404175--0.749445))+0-28.7--0.0731849999999958</f>
        <v>1194.3466299999998</v>
      </c>
      <c r="G243" s="3">
        <f>1356.9+(88.7-307.6)+(-2.768076+(-0.180948--0.627504))+0-28.8--0.0587519999999987</f>
        <v>1106.937232</v>
      </c>
      <c r="H243" s="3">
        <f>1355.8+(54.4-304.4)+(-2.765832+(-0.110976--0.620976))+0-29.1--0.0593639999999987</f>
        <v>1074.503532</v>
      </c>
      <c r="I243" s="3">
        <f>1352.8+(53.7-320.2)+(1.379856+(0.054774-0.326604))+0-28.2-0.0287640000000045</f>
        <v>1059.1792620000001</v>
      </c>
      <c r="J243" s="3">
        <f>1354.3+(51.7-320.2)+(-2.072079+(-0.079101--0.489906))+0-28.5--0.0436050000000016</f>
        <v>1055.682331</v>
      </c>
      <c r="K243" s="3">
        <f>1418.5+(30-345)+(-0.723435+(-0.0153--0.17595))+0-28.1--0.0143309999999971</f>
        <v>1074.8515460000001</v>
      </c>
      <c r="L243" s="3">
        <f>1553.7+(14.7-409)+(-4.754322+(-0.044982--1.25154))+0-28.6--0.0875160000000033</f>
        <v>1127.3397520000003</v>
      </c>
      <c r="M243" s="3">
        <f>1601.1+(40.8-435.3)+(0+(0-0))+0-29.6-0</f>
        <v>1177</v>
      </c>
      <c r="N243" s="3">
        <f>1691.6+(166.4-485.5)+(-1.725432+(-0.169728--0.49521))+0-30--0.0306000000000048</f>
        <v>1341.1306500000001</v>
      </c>
      <c r="O243" s="3">
        <f>1755.3+(243.3-468.7)+(1.790406+(0.248166-0.478074))+0-30.3-0.0309060000000048</f>
        <v>1501.1295920000002</v>
      </c>
      <c r="P243" s="3">
        <f>1816.7+(246.9-462.9)+(-3.706068+(-0.503676--0.944316))+0-30.6--0.0624239999999987</f>
        <v>1566.8969960000002</v>
      </c>
      <c r="Q243" s="3">
        <f>1879.1+(223.8-475.9)+(-3.833364+(-0.456552--0.970836))+0-31--0.0632399999999986</f>
        <v>1592.74416</v>
      </c>
      <c r="R243" s="3">
        <f>1867.7+(202.2-469.3)+(-2.857581+(-0.309366--0.718029))+0-29.3--0.0448290000000017</f>
        <v>1568.8959109999998</v>
      </c>
      <c r="S243" s="3">
        <f>1683.3+(279.4-412.7)+(-2.575449+(-0.427482--0.631431))+0-28.7--0.0439110000000017</f>
        <v>1518.972411</v>
      </c>
      <c r="T243" s="3">
        <f>1698.3+(254-447.3)+(0.866133+(0.12954-0.228123))+0-27.5-0.0140249999999972</f>
        <v>1478.2535250000001</v>
      </c>
      <c r="U243" s="3">
        <f>1768.1+(208.5-479.1)+(0.901731+(0.106335-0.244341))+0-29.9-0.015248999999997</f>
        <v>1468.3484759999999</v>
      </c>
      <c r="V243" s="3">
        <f>1826.9+(179.2-483.3)+(0+(0-0))+0-29.9-0</f>
        <v>1492.9</v>
      </c>
      <c r="W243" s="3">
        <f>1913.6+(176.7-306.4)+(0+(0-0))+0-29.9-0</f>
        <v>1753.9999999999998</v>
      </c>
      <c r="X243" s="3">
        <f>1936.1+(222.4-240.3)+(-2.962233+(-0.340272--0.367659))+0-29--0.0443700000000017</f>
        <v>1886.3095239999998</v>
      </c>
      <c r="Y243" s="3">
        <f>1938+(192.2-263.2)+(-1.97676+(-0.196044--0.268464))+0-29.8--0.0303960000000048</f>
        <v>1835.3260560000001</v>
      </c>
      <c r="Z243" s="3">
        <f>1938.1+(156-296)+(-0.988431+(-0.07956--0.15096))+0-29.2--0.014891999999997</f>
        <v>1767.9978609999998</v>
      </c>
      <c r="AA243" s="3">
        <f>1909.8+(205.1-388.1)+(-0.973998+(-0.104601--0.197931))+0-28.6--0.0145859999999971</f>
        <v>1697.333918</v>
      </c>
      <c r="AB243" s="3">
        <f>1800.1+(184.4-369.4)+(-2.754153+(-0.282132--0.565182))+0-28.7--0.0439110000000017</f>
        <v>1583.9728079999998</v>
      </c>
      <c r="AC243" s="3">
        <f>1740.3+(133.8-366)+(-1.775106+(-0.136476--0.37332))+0-28.9--0.0294780000000046</f>
        <v>1477.6912159999997</v>
      </c>
      <c r="AD243">
        <f t="shared" si="3"/>
        <v>34401.743389000003</v>
      </c>
      <c r="AE243" s="3">
        <f>1929+(234-202.1)+(0+(0-0))+0-31.2-0</f>
        <v>1929.7</v>
      </c>
    </row>
    <row r="244" spans="1:31" s="2" customFormat="1" x14ac:dyDescent="0.25">
      <c r="A244">
        <v>89</v>
      </c>
      <c r="B244">
        <v>8</v>
      </c>
      <c r="C244">
        <v>28</v>
      </c>
      <c r="D244">
        <v>7</v>
      </c>
      <c r="E244">
        <v>1</v>
      </c>
      <c r="F244" s="3">
        <f>1468.4+(125.4-287.1)+(-2.995536+(-0.255816--0.585684))+0-28.6--0.0583439999999988</f>
        <v>1275.4926760000001</v>
      </c>
      <c r="G244" s="3">
        <f>1325.7+(101.4-226.5)+(-3.380535+(-0.25857--0.577575))+0-29.2--0.0744599999999958</f>
        <v>1168.4129300000002</v>
      </c>
      <c r="H244" s="3">
        <f>1269.9+(85.7-212)+(-3.238245+(-0.218535--0.5406))+0-28.2--0.0719099999999959</f>
        <v>1112.55573</v>
      </c>
      <c r="I244" s="3">
        <f>1268.2+(73.5-226.1)+(-0.646782+(-0.037485--0.115311))+0-28.8--0.0146879999999971</f>
        <v>1086.2457320000001</v>
      </c>
      <c r="J244" s="3">
        <f>1268+(68.1-222.4)+(1.29336+(0.069462-0.226848))+0-28.5-0.0290700000000045</f>
        <v>1086.306904</v>
      </c>
      <c r="K244" s="3">
        <f>1293.4+(64.5-232)+(-0.659634+(-0.032895--0.11832))+0-28.7--0.0146369999999971</f>
        <v>1096.6404279999999</v>
      </c>
      <c r="L244" s="3">
        <f>1366.3+(61.1-286.5)+(-2.787252+(-0.124644--0.58446))+0-29.3--0.0597719999999987</f>
        <v>1109.3323359999999</v>
      </c>
      <c r="M244" s="3">
        <f>1377.2+(89.2-346.5)+(2.107116+(0.136476-0.530145))+2.2-30.3-0.0463590000000018</f>
        <v>1093.4670880000003</v>
      </c>
      <c r="N244" s="3">
        <f>1459+(176.2-445.7)+(0+(0-0))+2.9-30.7-0</f>
        <v>1161.7</v>
      </c>
      <c r="O244" s="3">
        <f>1711+(174.6-553.4)+(-0.87261+(-0.089046--0.282234))+0-30.9--0.0157589999999969</f>
        <v>1300.6363369999999</v>
      </c>
      <c r="P244" s="3">
        <f>1714.7+(192.2-502.7)+(0.874497+(0.098022-0.256377))+0-30.9-0.0157589999999969</f>
        <v>1374.0003830000001</v>
      </c>
      <c r="Q244" s="3">
        <f>1728.9+(195.1-496.4)+(0.881739+(0.099501-0.253164))+0-30.7-0.0156569999999969</f>
        <v>1397.6124190000003</v>
      </c>
      <c r="R244" s="3">
        <f>1722+(191.5-494.1)+(-4.3911+(-0.488325--1.259955))+0-28--0.0713999999999959</f>
        <v>1387.85193</v>
      </c>
      <c r="S244" s="3">
        <f>1720.3+(172.6-510.1)+(-2.632059+(-0.264078--0.780453))+0-27.3--0.0417690000000016</f>
        <v>1353.4260849999998</v>
      </c>
      <c r="T244" s="3">
        <f>1727.7+(152.7-526.4)+(0.881127+(0.077877-0.268464))+0-29-0.0147899999999971</f>
        <v>1325.6757500000001</v>
      </c>
      <c r="U244" s="3">
        <f>1717.2+(155.6-526.3)+(-3.503088+(-0.317424--1.073652))+0-29.2--0.0595679999999987</f>
        <v>1314.6127079999999</v>
      </c>
      <c r="V244" s="3">
        <f>1685.8+(158.7-467.7)+(0.859758+(0.080937-0.238527))+0-30-0.015299999999997</f>
        <v>1347.486868</v>
      </c>
      <c r="W244" s="3">
        <f>1759.5+(151.1-243.9)+(0+(0-0))+0-29.8-0</f>
        <v>1636.9</v>
      </c>
      <c r="X244" s="3">
        <f>1784.1+(229.6-186)+(-3.639564+(-0.468384--0.37944))+0-30.4--0.0620159999999987</f>
        <v>1793.6335079999999</v>
      </c>
      <c r="Y244" s="3">
        <f>1743.7+(243.9-181.6)+(-1.778574+(-0.248778--0.185232))+0-30.6--0.0312120000000049</f>
        <v>1773.5890920000002</v>
      </c>
      <c r="Z244" s="3">
        <f>1722.3+(217-184)+(-1.756746+(-0.22134--0.18768))+0-29.1--0.0296820000000046</f>
        <v>1724.4392760000001</v>
      </c>
      <c r="AA244" s="3">
        <f>1716.1+(284.9-318)+(-0.875211+(-0.145299--0.16218))+0-28.7--0.0146369999999971</f>
        <v>1653.4563069999999</v>
      </c>
      <c r="AB244" s="3">
        <f>1673.4+(232.1-329)+(-2.560302+(-0.355113--0.50337))+0-28.9--0.0442170000000017</f>
        <v>1545.2321719999998</v>
      </c>
      <c r="AC244" s="3">
        <f>1447.6+(265-322.1)+(0+(0-0))+0-28.1-0</f>
        <v>1362.4</v>
      </c>
      <c r="AD244">
        <f t="shared" si="3"/>
        <v>32481.106659000005</v>
      </c>
      <c r="AE244" s="3">
        <f>1782.5+(223.3-150.6)+(0+(0-0))+0-31.2-0</f>
        <v>1824</v>
      </c>
    </row>
    <row r="245" spans="1:31" s="2" customFormat="1" x14ac:dyDescent="0.25">
      <c r="A245">
        <v>89</v>
      </c>
      <c r="B245">
        <v>8</v>
      </c>
      <c r="C245">
        <v>29</v>
      </c>
      <c r="D245">
        <v>1</v>
      </c>
      <c r="E245">
        <v>1</v>
      </c>
      <c r="F245" s="3">
        <f>1416.1+(83.2-264.6)+(-2.888844+(-0.169728--0.539784))+0-27.9--0.0569159999999988</f>
        <v>1204.3381279999996</v>
      </c>
      <c r="G245" s="3">
        <f>1395.1+(28.3-268)+(-2.134503+(-0.043299--0.41004))+0-29--0.0443700000000017</f>
        <v>1124.676608</v>
      </c>
      <c r="H245" s="3">
        <f>1328.8+(38.2-247.5)+(-2.033064+(-0.058446--0.378675))+0-28.7--0.0439110000000017</f>
        <v>1089.1310759999999</v>
      </c>
      <c r="I245" s="3">
        <f>1310.4+(51.4-254.4)+(2.004912+(0.078642-0.389232))+0-28.6-0.0437580000000017</f>
        <v>1080.4505640000002</v>
      </c>
      <c r="J245" s="3">
        <f>1311.9+(63.5-267)+(-2.007207+(-0.097155--0.40851))+0-28.8--0.0440640000000017</f>
        <v>1077.948212</v>
      </c>
      <c r="K245" s="3">
        <f>1313.5+(66.6-254.7)+(-0.669885+(-0.033966--0.129897))+0-28.5--0.0145349999999971</f>
        <v>1096.3405810000002</v>
      </c>
      <c r="L245" s="3">
        <f>1559.7+(42.1-385.7)+(-3.181788+(-0.085884--0.786828))+0-27.9--0.0569159999999988</f>
        <v>1185.7760720000001</v>
      </c>
      <c r="M245" s="3">
        <f>1693.4+(41.8-445.5)+(2.590902+(0.063954-0.681615))+0-29.2-0.0446760000000017</f>
        <v>1262.4285649999999</v>
      </c>
      <c r="N245" s="3">
        <f>1765.9+(102.1-425.4)+(0.900609+(0.052071-0.216954))+0-28-0.0142799999999972</f>
        <v>1415.3214460000002</v>
      </c>
      <c r="O245" s="3">
        <f>1782.7+(207-410.2)+(-1.818354+(-0.21114--0.418404))+0-29.8--0.0303960000000048</f>
        <v>1548.1193060000001</v>
      </c>
      <c r="P245" s="3">
        <f>1794+(224.1-388.9)+(0+(0-0))+0-30.5-0</f>
        <v>1598.7</v>
      </c>
      <c r="Q245" s="3">
        <f>1779.8+(241.6-362.2)+(0+(0-0))+0-30.8-0</f>
        <v>1628.4</v>
      </c>
      <c r="R245" s="3">
        <f>1779.3+(222.6-362.6)+(-3.629772+(-0.454104--0.739704))+0-28.2--0.0575279999999988</f>
        <v>1607.8133559999999</v>
      </c>
      <c r="S245" s="3">
        <f>1729.9+(214.2-357.2)+(2.646747+(0.327726-0.546516))+0-27-0.0413100000000016</f>
        <v>1562.2866470000001</v>
      </c>
      <c r="T245" s="3">
        <f>1707.7+(200.8-368.4)+(0+(0-0))+0-29.2-0</f>
        <v>1510.9</v>
      </c>
      <c r="U245" s="3">
        <f>1735.3+(188.9-387.4)+(-1.770006+(-0.192678--0.395148))+0-30--0.0306000000000048</f>
        <v>1505.263064</v>
      </c>
      <c r="V245" s="3">
        <f>1742.6+(184.2-349.8)+(0.888726+(0.093942-0.178398))+0-29.6-0.015095999999997</f>
        <v>1548.1891740000001</v>
      </c>
      <c r="W245" s="3">
        <f>1831.1+(277.9-225.4)+(-1.867722+(-0.283458--0.229908))+0-29.9--0.0304980000000048</f>
        <v>1851.8092259999999</v>
      </c>
      <c r="X245" s="3">
        <f>1833.1+(380.8-196.8)+(-2.804643+(-0.582624--0.301104))+0-29.6--0.0452880000000017</f>
        <v>1984.4591250000001</v>
      </c>
      <c r="Y245" s="3">
        <f>1726.3+(409.1-191.3)+(-0.880413+(-0.208641--0.097563))+0-30.3--0.0154529999999969</f>
        <v>1912.8239619999999</v>
      </c>
      <c r="Z245" s="3">
        <f>1709+(371.4-189.9)+(-0.87159+(-0.189414--0.096849))+0-30.7--0.0156569999999969</f>
        <v>1858.851502</v>
      </c>
      <c r="AA245" s="3">
        <f>1662.5+(446.4-308.1)+(-1.69575+(-0.455328--0.314262))+0-29.4--0.0299880000000047</f>
        <v>1769.5931719999999</v>
      </c>
      <c r="AB245" s="3">
        <f>1698.7+(285.8-315.2)+(-0.866337+(-0.145758--0.160752))+0-27.7--0.0141269999999972</f>
        <v>1640.762784</v>
      </c>
      <c r="AC245" s="3">
        <f>1680+(141.9-335.7)+(-3.4272+(-0.289476--0.684828))+0-26.6--0.0542639999999988</f>
        <v>1456.6224160000002</v>
      </c>
      <c r="AD245">
        <f t="shared" si="3"/>
        <v>35521.004986</v>
      </c>
      <c r="AE245" s="3">
        <f>1908.5+(347.8-199.3)+(0+(0-0))+0-26.4-0</f>
        <v>2030.6</v>
      </c>
    </row>
    <row r="246" spans="1:31" s="2" customFormat="1" x14ac:dyDescent="0.25">
      <c r="A246">
        <v>89</v>
      </c>
      <c r="B246">
        <v>8</v>
      </c>
      <c r="C246">
        <v>30</v>
      </c>
      <c r="D246">
        <v>2</v>
      </c>
      <c r="E246">
        <v>1</v>
      </c>
      <c r="F246" s="3">
        <f>1547.6+(126-323.5)+(-0.789276+(-0.06426--0.164985))+0-26.7--0.0136169999999973</f>
        <v>1322.725066</v>
      </c>
      <c r="G246" s="3">
        <f>1296.9+(142.6-210.1)+(-1.984257+(-0.218178--0.321453))+0-26.7--0.0408510000000015</f>
        <v>1200.8598690000001</v>
      </c>
      <c r="H246" s="3">
        <f>1292.2+(105.7-214.1)+(-0.659022+(-0.053907--0.109191))+0-23.1--0.0117809999999977</f>
        <v>1160.108043</v>
      </c>
      <c r="I246" s="3">
        <f>1291.8+(87.5-224.1)+(-0.658818+(-0.044625--0.114291))+0-18.7--0.0095369999999981</f>
        <v>1135.9203849999999</v>
      </c>
      <c r="J246" s="3">
        <f>1291.8+(108.2-238)+(2.635272+(0.220728-0.48552))+0-24.7-0.0503879999999989</f>
        <v>1139.6200919999999</v>
      </c>
      <c r="K246" s="3">
        <f>1292.6+(123.6-237.4)+(0.659226+(0.063036-0.121074))+0-25.7-0.0131069999999974</f>
        <v>1153.688081</v>
      </c>
      <c r="L246" s="3">
        <f>1326.1+(153-226.9)+(0+(0-0))+0-26.2-0</f>
        <v>1225.9999999999998</v>
      </c>
      <c r="M246" s="3">
        <f>1460.1+(119.6-258.1)+(-2.233953+(-0.182988--0.394893))+0-29.3--0.0448290000000017</f>
        <v>1290.3227809999998</v>
      </c>
      <c r="N246" s="3">
        <f>1743.4+(85.4-346.6)+(1.778268+(0.087108-0.353532))+0-29.8-0.0303960000000048</f>
        <v>1453.8814480000001</v>
      </c>
      <c r="O246" s="3">
        <f>1761.6+(164-316.7)+(-2.695248+(-0.25092--0.484551))+0-28.8--0.0440640000000017</f>
        <v>1577.6824469999999</v>
      </c>
      <c r="P246" s="3">
        <f>1788.8+(183.1-312.8)+(0.912288+(0.093381-0.159528))+0-28.7-0.0146369999999971</f>
        <v>1631.2315039999999</v>
      </c>
      <c r="Q246" s="3">
        <f>1832.5+(178.8-313.4)+(-1.86915+(-0.182376--0.319668))+0-23.9--0.0243780000000038</f>
        <v>1672.29252</v>
      </c>
      <c r="R246" s="3">
        <f>1834.6+(134.5-344.9)+(-4.67823+(-0.342975--0.879495))+0-27.1--0.0691049999999961</f>
        <v>1593.0273949999998</v>
      </c>
      <c r="S246" s="3">
        <f>1809+(131.3-336.5)+(-0.92259+(-0.066963--0.171615))+0-26.9--0.0137189999999973</f>
        <v>1576.095781</v>
      </c>
      <c r="T246" s="3">
        <f>1775.9+(127.3-341.4)+(-2.717127+(-0.194769--0.522342))+0-28.9--0.0442170000000017</f>
        <v>1530.5546629999999</v>
      </c>
      <c r="U246" s="3">
        <f>1741.7+(170.2-332.8)+(0.888267+(0.086802-0.169728))+0-29-0.0147899999999971</f>
        <v>1550.890551</v>
      </c>
      <c r="V246" s="3">
        <f>1798.2+(161.9-340.5)+(-0.917082+(-0.082569--0.173655))+0-29.1--0.014840999999997</f>
        <v>1589.6888450000001</v>
      </c>
      <c r="W246" s="3">
        <f>1887.3+(245.9-225.6)+(0+(0-0))+0-29.5-0</f>
        <v>1878.1</v>
      </c>
      <c r="X246" s="3">
        <f>1917.7+(312.5-204.2)+(-3.912108+(-0.6375--0.416568))+0-28.9--0.0589559999999987</f>
        <v>1993.0259160000001</v>
      </c>
      <c r="Y246" s="3">
        <f>1920.6+(259.7-209)+(-3.918024+(-0.529788--0.42636))+0-30.1--0.0614039999999987</f>
        <v>1937.2399520000001</v>
      </c>
      <c r="Z246" s="3">
        <f>1874+(222.4-203.2)+(-4.7787+(-0.56712--0.51816))+0-28.4--0.0724199999999959</f>
        <v>1860.04476</v>
      </c>
      <c r="AA246" s="3">
        <f>1830.7+(275.5-314.6)+(-2.800971+(-0.421515--0.481338))+0-27.7--0.0423810000000016</f>
        <v>1761.2012329999998</v>
      </c>
      <c r="AB246" s="3">
        <f>1790.9+(197.3-322.9)+(-2.740077+(-0.301869--0.494037))+0-27.7--0.0423810000000016</f>
        <v>1635.0944720000002</v>
      </c>
      <c r="AC246" s="3">
        <f>1722.8+(139.6-368.9)+(-2.635884+(-0.213588--0.564417))+0-27.6--0.0422280000000016</f>
        <v>1463.6571730000001</v>
      </c>
      <c r="AD246">
        <f t="shared" si="3"/>
        <v>36332.952976999994</v>
      </c>
      <c r="AE246" s="3">
        <f>1909+(327.8-163.5)+(0+(0-0))+0-29.6-0</f>
        <v>2043.7000000000003</v>
      </c>
    </row>
    <row r="247" spans="1:31" s="2" customFormat="1" x14ac:dyDescent="0.25">
      <c r="A247">
        <v>89</v>
      </c>
      <c r="B247">
        <v>9</v>
      </c>
      <c r="C247">
        <v>1</v>
      </c>
      <c r="D247">
        <v>3</v>
      </c>
      <c r="E247">
        <v>1</v>
      </c>
      <c r="F247" s="3">
        <f>1516.4+(118.7-313.6)+(-3.86682+(-0.302685--0.79968))+0-27.3--0.069614999999996</f>
        <v>1290.8997899999999</v>
      </c>
      <c r="G247" s="3">
        <f>1383.8+(93.7-255.9)+(-0.705738+(-0.047787--0.130509))+0-27.9--0.0142289999999972</f>
        <v>1193.0912129999997</v>
      </c>
      <c r="H247" s="3">
        <f>1354.6+(72-250.9)+(-2.072538+(-0.11016--0.383877))+0-27.3--0.0417690000000016</f>
        <v>1146.6429479999997</v>
      </c>
      <c r="I247" s="3">
        <f>1324.8+(66.6-233.4)+(-0.675648+(-0.033966--0.119034))+0-27.4--0.0139739999999972</f>
        <v>1130.0233939999998</v>
      </c>
      <c r="J247" s="3">
        <f>1324.3+(80-251.9)+(0.675393+(0.0408-0.128469))+0-27.1-0.0138209999999973</f>
        <v>1125.8739029999999</v>
      </c>
      <c r="K247" s="3">
        <f>1387.9+(64-286.1)+(-2.123487+(-0.09792--0.437733))+0-27.3--0.0417690000000016</f>
        <v>1136.7580950000001</v>
      </c>
      <c r="L247" s="3">
        <f>1444.6+(100.3-303.5)+(0+(0-0))+0-27.4-0</f>
        <v>1213.9999999999998</v>
      </c>
      <c r="M247" s="3">
        <f>1507.3+(149.1-357.4)+(-0.768723+(-0.076041--0.182274))+0-29.3--0.014942999999997</f>
        <v>1269.052453</v>
      </c>
      <c r="N247" s="3">
        <f>1669.7+(157.7-379)+(-3.406188+(-0.321708--0.77316))+0-30.2--0.0616079999999987</f>
        <v>1415.3068720000001</v>
      </c>
      <c r="O247" s="3">
        <f>1679.6+(243.9-343.4)+(-2.569788+(-0.373167--0.525402))+0-30.8--0.0471240000000018</f>
        <v>1546.9295709999999</v>
      </c>
      <c r="P247" s="3">
        <f>1704.9+(261.4-340.6)+(-1.738998+(-0.266628--0.347412))+0-30.5--0.0311100000000049</f>
        <v>1593.5728959999999</v>
      </c>
      <c r="Q247" s="3">
        <f>1687.1+(296.2-332.2)+(-1.720842+(-0.302124--0.338844))+0-30.4--0.0310080000000048</f>
        <v>1619.0468859999999</v>
      </c>
      <c r="R247" s="3">
        <f>1550.9+(391.8-298.1)+(-0.790959+(-0.199818--0.152031))+0-28.6--0.0145859999999971</f>
        <v>1615.1758400000003</v>
      </c>
      <c r="S247" s="3">
        <f>1580.4+(356.1-295.6)+(-2.418012+(-0.544833--0.452268))+0-28.8--0.0440640000000017</f>
        <v>1609.6334870000001</v>
      </c>
      <c r="T247" s="3">
        <f>1581.5+(331.9-303.3)+(0+(0-0))+0-29-0</f>
        <v>1581.1</v>
      </c>
      <c r="U247" s="3">
        <f>1586.2+(344.8-304.4)+(0.808962+(0.175848-0.155244))+0-29.9-0.015248999999997</f>
        <v>1597.5143170000001</v>
      </c>
      <c r="V247" s="3">
        <f>1691.7+(299.6-304.7)+(0+(0-0))+0-29.5-0</f>
        <v>1657.1000000000001</v>
      </c>
      <c r="W247" s="3">
        <f>1861+(307.5-202.9)+(-0.94911+(-0.156825--0.103479))+0-29.4--0.014993999999997</f>
        <v>1935.2125379999998</v>
      </c>
      <c r="X247" s="3">
        <f>1896.5+(346.5-184.5)+(-4.836075+(-0.883575--0.470475))+0-29.2--0.0744599999999958</f>
        <v>2024.1252850000001</v>
      </c>
      <c r="Y247" s="3">
        <f>1869.5+(309.9-175.8)+(-0.953445+(-0.158049--0.089658))+0-28.7--0.0146369999999971</f>
        <v>1973.892801</v>
      </c>
      <c r="Z247" s="3">
        <f>1780.2+(309.3-161.4)+(-2.723706+(-0.473229--0.246942))+0-29.2--0.0446760000000017</f>
        <v>1895.9946830000001</v>
      </c>
      <c r="AA247" s="3">
        <f>1777.8+(317.3-257.8)+(-3.626712+(-0.647292--0.525912))+0-28.4--0.0579359999999988</f>
        <v>1805.2098439999997</v>
      </c>
      <c r="AB247" s="3">
        <f>1765.5+(246.5-292)+(-3.60162+(-0.50286--0.59568))+0-26.8--0.0546719999999988</f>
        <v>1689.745872</v>
      </c>
      <c r="AC247" s="3">
        <f>1654.5+(171.7-294.9)+(-5.906565+(-0.612969--1.052793))+0-26.8--0.0956760000000004</f>
        <v>1499.128935</v>
      </c>
      <c r="AD247">
        <f t="shared" si="3"/>
        <v>36565.031623000003</v>
      </c>
      <c r="AE247" s="3">
        <f>1880+(375.3-182.7)+(0+(0-0))+0-27.2-0</f>
        <v>2045.3999999999999</v>
      </c>
    </row>
    <row r="248" spans="1:31" s="2" customFormat="1" x14ac:dyDescent="0.25">
      <c r="A248">
        <v>89</v>
      </c>
      <c r="B248">
        <v>9</v>
      </c>
      <c r="C248">
        <v>2</v>
      </c>
      <c r="D248">
        <v>4</v>
      </c>
      <c r="E248">
        <v>1</v>
      </c>
      <c r="F248" s="3">
        <f>1453.5+(131.5-267.4)+(-2.223855+(-0.201195--0.409122))+0-27.4--0.0419220000000016</f>
        <v>1288.2259939999999</v>
      </c>
      <c r="G248" s="3">
        <f>1425.2+(60.4-270.2)+(-1.453704+(-0.061608--0.275604))+0-26.8--0.0273360000000043</f>
        <v>1187.3876280000002</v>
      </c>
      <c r="H248" s="3">
        <f>1379.5+(59.3-270.3)+(-2.110635+(-0.090729--0.413559))+0-26.6--0.0406980000000015</f>
        <v>1140.1528930000002</v>
      </c>
      <c r="I248" s="3">
        <f>1367.5+(52.7-275.2)+(-2.092275+(-0.080631--0.421056))+0-26.6--0.0406980000000015</f>
        <v>1116.688848</v>
      </c>
      <c r="J248" s="3">
        <f>1368.9+(58.4-287.3)+(0+(0-0))+0-26.9-0</f>
        <v>1113.0999999999999</v>
      </c>
      <c r="K248" s="3">
        <f>1464.4+(35.4-333.8)+(-2.987376+(-0.072216--0.680952))+0-27--0.0550799999999988</f>
        <v>1136.6764400000002</v>
      </c>
      <c r="L248" s="3">
        <f>1543.6+(41.4-346.5)+(-0.787236+(-0.021114--0.176715))+0-27.5--0.0140249999999972</f>
        <v>1210.38239</v>
      </c>
      <c r="M248" s="3">
        <f>1579.7+(104.9-369.4)+(-0.805647+(-0.053499--0.188394))+0-28.8--0.0146879999999971</f>
        <v>1285.7439360000001</v>
      </c>
      <c r="N248" s="3">
        <f>1665.7+(161.2-382.1)+(0.849507+(0.082212-0.194871))+0-29.5-0.015044999999997</f>
        <v>1416.0218029999999</v>
      </c>
      <c r="O248" s="3">
        <f>1695.4+(227-370.1)+(-2.593962+(-0.34731--0.566253))+0-29.7--0.0454410000000017</f>
        <v>1520.2704220000001</v>
      </c>
      <c r="P248" s="3">
        <f>1682.3+(268.9-362.9)+(0.857973+(0.137139-0.185079))+0-29.4-0.014993999999997</f>
        <v>1559.695039</v>
      </c>
      <c r="Q248" s="3">
        <f>1732.6+(225.5-361.1)+(-3.534504+(-0.46002--0.736644))+0-28.4--0.0579359999999988</f>
        <v>1565.4000559999997</v>
      </c>
      <c r="R248" s="3">
        <f>1545.4+(372.4-348.1)+(-0.788154+(-0.189924--0.177531))+0-27.7--0.0141269999999972</f>
        <v>1541.2135799999999</v>
      </c>
      <c r="S248" s="3">
        <f>1451.1+(427-351.6)+(1.480122+(0.43554-0.358632))+0-27.7-0.0282540000000044</f>
        <v>1500.3287759999998</v>
      </c>
      <c r="T248" s="3">
        <f>1520.4+(341.4-355.2)+(1.550808+(0.348228-0.362304))+0-28.3-0.0288660000000045</f>
        <v>1479.8078660000001</v>
      </c>
      <c r="U248" s="3">
        <f>1634.9+(240.4-358.8)+(0.833799+(0.122604-0.182988))+0-29.3-0.014942999999997</f>
        <v>1487.9584720000003</v>
      </c>
      <c r="V248" s="3">
        <f>1715.9+(209.1-366.5)+(-1.750218+(-0.213282--0.37383))+0-30.1--0.0307020000000048</f>
        <v>1526.841032</v>
      </c>
      <c r="W248" s="3">
        <f>1720+(347.4-209.2)+(0.8772+(0.177174-0.106692))+0-29.8-0.015197999999997</f>
        <v>1829.332484</v>
      </c>
      <c r="X248" s="3">
        <f>1747.2+(432.4-204.2)+(-2.673216+(-0.661572--0.312426))+0-29.6--0.0452880000000017</f>
        <v>1942.8229260000003</v>
      </c>
      <c r="Y248" s="3">
        <f>1761.2+(371.5-211.5)+(-2.694636+(-0.568395--0.323595))+0-29.8--0.0455940000000017</f>
        <v>1888.5061580000001</v>
      </c>
      <c r="Z248" s="3">
        <f>1747.5+(325.1-212)+(-1.78245+(-0.331602--0.21624))+0-30.1--0.0307020000000048</f>
        <v>1828.6328900000001</v>
      </c>
      <c r="AA248" s="3">
        <f>1705+(386.6-317.5)+(-2.60865+(-0.591498--0.485775))+0-28--0.0428400000000016</f>
        <v>1743.428467</v>
      </c>
      <c r="AB248" s="3">
        <f>1439.6+(535.5-334.5)+(-2.936784+(-1.09242--0.68238))+0-27.2--0.0554879999999988</f>
        <v>1610.1086639999999</v>
      </c>
      <c r="AC248" s="3">
        <f>1386.3+(418.9-341.4)+(-1.414026+(-0.427278--0.348228))+0-27.3--0.0278460000000044</f>
        <v>1435.03477</v>
      </c>
      <c r="AD248">
        <f t="shared" si="3"/>
        <v>35353.761534000005</v>
      </c>
      <c r="AE248" s="3">
        <f>1768+(442.9-165.3)+(0+(0-0))+0-29-0</f>
        <v>2016.6</v>
      </c>
    </row>
    <row r="249" spans="1:31" s="2" customFormat="1" x14ac:dyDescent="0.25">
      <c r="A249">
        <v>89</v>
      </c>
      <c r="B249">
        <v>9</v>
      </c>
      <c r="C249">
        <v>3</v>
      </c>
      <c r="D249">
        <v>5</v>
      </c>
      <c r="E249">
        <v>1</v>
      </c>
      <c r="F249" s="3">
        <f>1375.6+(284-343.4)+(-2.806224+(-0.57936--0.700536))+0-27--0.0550799999999988</f>
        <v>1286.5700319999999</v>
      </c>
      <c r="G249" s="3">
        <f>1304.6+(224.7-321.5)+(-1.996038+(-0.343791--0.491895))+0-27.5--0.0420750000000016</f>
        <v>1178.4941410000001</v>
      </c>
      <c r="H249" s="3">
        <f>1219.9+(229.6-287)+(-3.110745+(-0.58548--0.73185))+0-27.2--0.0693599999999961</f>
        <v>1132.4049849999999</v>
      </c>
      <c r="I249" s="3">
        <f>1206.5+(215.2-277.4)+(-0.615315+(-0.109752--0.141474))+0-27.5--0.0140249999999972</f>
        <v>1116.2304319999998</v>
      </c>
      <c r="J249" s="3">
        <f>1209.7+(208.5-281.7)+(0+(0-0))+0-27.5-0</f>
        <v>1109</v>
      </c>
      <c r="K249" s="3">
        <f>1266.1+(198.6-296.7)+(-1.937133+(-0.303858--0.453951))+0-28--0.0428400000000016</f>
        <v>1138.2558000000001</v>
      </c>
      <c r="L249" s="3">
        <f>1274.2+(271.8-308.5)+(-1.949526+(-0.415854--0.472005))+0-27.8--0.0425340000000016</f>
        <v>1207.8491589999999</v>
      </c>
      <c r="M249" s="3">
        <f>1334+(329.1-349.4)+(-2.04102+(-0.503523--0.534582))+0-28--0.0428400000000016</f>
        <v>1283.7328790000001</v>
      </c>
      <c r="N249" s="3">
        <f>1462.8+(343.7-365.7)+(-1.492056+(-0.350574--0.373014))+0-29.9--0.0304980000000048</f>
        <v>1409.4608819999999</v>
      </c>
      <c r="O249" s="3">
        <f>1824.3+(155.6-399.7)+(0+(0-0))+0-30.6-0</f>
        <v>1549.6000000000001</v>
      </c>
      <c r="P249" s="3">
        <f>1916.5+(110.4-407.4)+(-1.95483+(-0.112608--0.415548))+0-29.7--0.0302940000000047</f>
        <v>1588.1784039999998</v>
      </c>
      <c r="Q249" s="3">
        <f>1916.7+(105.4-397.4)+(-1.955034+(-0.107508--0.405348))+0-29.5--0.0300900000000047</f>
        <v>1593.5728960000001</v>
      </c>
      <c r="R249" s="3">
        <f>1867.1+(104.9-376.6)+(-0.952221+(-0.053499--0.192066))+0-28.2--0.0143819999999971</f>
        <v>1566.4007279999998</v>
      </c>
      <c r="S249" s="3">
        <f>1910.5+(72.7-411.8)+(-1.94871+(-0.074154--0.420036))+0-27.1--0.0276420000000043</f>
        <v>1542.7248140000002</v>
      </c>
      <c r="T249" s="3">
        <f>1936.3+(54.8-444.6)+(-1.975026+(-0.055896--0.453492))+0-28.5--0.0290700000000045</f>
        <v>1516.45164</v>
      </c>
      <c r="U249" s="3">
        <f>1935.5+(62.6-449.5)+(0.987105+(0.031926-0.229245))+0-29.3-0.014942999999997</f>
        <v>1520.0748430000001</v>
      </c>
      <c r="V249" s="3">
        <f>1923.4+(105.4-407.2)+(0+(0-0))+0-29.5-0</f>
        <v>1592.1000000000001</v>
      </c>
      <c r="W249" s="3">
        <f>1625.1+(492.2-224.1)+(0+(0-0))+0-29.7-0</f>
        <v>1863.4999999999998</v>
      </c>
      <c r="X249" s="3">
        <f>1624.8+(561.7-196.3)+(-2.485944+(-0.859401--0.300339))+0-29--0.0443700000000017</f>
        <v>1958.1993640000001</v>
      </c>
      <c r="Y249" s="3">
        <f>1591.7+(529.1-194.8)+(-3.247068+(-1.079364--0.397392))+0-28.9--0.0589559999999987</f>
        <v>1893.229916</v>
      </c>
      <c r="Z249" s="3">
        <f>1558.6+(484.2-194.9)+(-4.769316+(-1.481652--0.596394))+0-28.8--0.0881280000000033</f>
        <v>1813.5335540000001</v>
      </c>
      <c r="AA249" s="3">
        <f>1550.8+(498.1-282.9)+(-3.163632+(-1.016124--0.577116))+0-28--0.0571199999999988</f>
        <v>1734.4544799999999</v>
      </c>
      <c r="AB249" s="3">
        <f>1601.3+(372.6-325.4)+(-1.633326+(-0.380052--0.331908))+0-27.4--0.0279480000000044</f>
        <v>1619.4464779999998</v>
      </c>
      <c r="AC249" s="3">
        <f>1671.2+(185-349.6)+(-3.409248+(-0.3774--0.713184))+0-27.7--0.0565079999999988</f>
        <v>1475.8830439999997</v>
      </c>
      <c r="AD249">
        <f t="shared" si="3"/>
        <v>35689.348470999998</v>
      </c>
      <c r="AE249" s="3">
        <f>1626+(580.6-159.8)+(0+(0-0))+0-29.6-0</f>
        <v>2017.2</v>
      </c>
    </row>
    <row r="250" spans="1:31" s="2" customFormat="1" x14ac:dyDescent="0.25">
      <c r="A250">
        <v>89</v>
      </c>
      <c r="B250">
        <v>9</v>
      </c>
      <c r="C250">
        <v>4</v>
      </c>
      <c r="D250">
        <v>6</v>
      </c>
      <c r="E250">
        <v>3</v>
      </c>
      <c r="F250" s="3">
        <f>1619.2+(87.8-334)+(0+(0-0))+0-27.3-0</f>
        <v>1345.7</v>
      </c>
      <c r="G250" s="3">
        <f>1610.2+(54.6-400.4)+(0+(0-0))+0-27.7-0</f>
        <v>1236.7</v>
      </c>
      <c r="H250" s="3">
        <f>1570+(44.3-405.2)+(0+(0-0))+0-28.1-0</f>
        <v>1181</v>
      </c>
      <c r="I250" s="3">
        <f>1501.4+(46.4-368.4)+(0+(0-0))+0-27.8-0</f>
        <v>1151.6000000000001</v>
      </c>
      <c r="J250" s="3">
        <f>1501.2+(44.2-361.1)+(-0.765612+(-0.022542--0.184161))+0-27.3--0.0139229999999972</f>
        <v>1156.40993</v>
      </c>
      <c r="K250" s="3">
        <f>1555.4+(26.9-393.7)+(2.379762+(0.041157-0.602361))+0-27.5-0.0420750000000016</f>
        <v>1162.876483</v>
      </c>
      <c r="L250" s="3">
        <f>1639.4+(21.6-475.3)+(0+(0-0))+0-27.2-0</f>
        <v>1158.5</v>
      </c>
      <c r="M250" s="3">
        <f>1655.9+(40-524.8)+(-1.689018+(-0.0408--0.535296))+0-28.8--0.0293760000000046</f>
        <v>1141.1348540000001</v>
      </c>
      <c r="N250" s="3">
        <f>1685.4+(80.8-493.3)+(-1.719108+(-0.082416--0.503166))+0-30.6--0.0312120000000049</f>
        <v>1241.0328540000003</v>
      </c>
      <c r="O250" s="3">
        <f>1770.6+(111.4-476.2)+(-2.709018+(-0.170442--0.728586))+0-30.5--0.0466650000000018</f>
        <v>1373.1957910000001</v>
      </c>
      <c r="P250" s="3">
        <f>1703.2+(191.6-415.3)+(-1.737264+(-0.195432--0.423606))+0-29.9--0.0304980000000048</f>
        <v>1448.121408</v>
      </c>
      <c r="Q250" s="3">
        <f>1768+(142.7-408.3)+(-1.80336+(-0.145554--0.416466))+0-29.9--0.0304980000000048</f>
        <v>1470.9980500000001</v>
      </c>
      <c r="R250" s="3">
        <f>1734.8+(147-370.5)+(-4.42374+(-0.37485--0.944775))+0-28.4--0.0724199999999959</f>
        <v>1479.1186049999999</v>
      </c>
      <c r="S250" s="3">
        <f>1697+(159.9-387.9)+(1.73094+(0.163098-0.395658))+0-28.3-0.0288660000000045</f>
        <v>1442.1695139999999</v>
      </c>
      <c r="T250" s="3">
        <f>1697.1+(155.3-405.8)+(-4.327605+(-0.396015--1.03479))+0-28.4--0.0724199999999959</f>
        <v>1414.5835899999997</v>
      </c>
      <c r="U250" s="3">
        <f>1641.9+(177.7-376.6)+(0+(0-0))+0-28.6-0</f>
        <v>1414.4</v>
      </c>
      <c r="V250" s="3">
        <f>1625+(201-350)+(-2.48625+(-0.30753--0.5355))+0-28.8--0.0440640000000017</f>
        <v>1444.985784</v>
      </c>
      <c r="W250" s="3">
        <f>1785.7+(174.2-184.6)+(0.910707+(0.088842-0.094146))+0-30-0.015299999999997</f>
        <v>1746.1901029999999</v>
      </c>
      <c r="X250" s="3">
        <f>1892.9+(182.9-175.3)+(0+(0-0))+0-28.1-0</f>
        <v>1872.4</v>
      </c>
      <c r="Y250" s="3">
        <f>1890.4+(150.4-181.9)+(-4.82052+(-0.38352--0.463845))+0-27.3--0.069614999999996</f>
        <v>1826.9294199999999</v>
      </c>
      <c r="Z250" s="3">
        <f>1873.3+(128.8-202.5)+(-0.955383+(-0.065688--0.103275))+0-27.3--0.0139229999999972</f>
        <v>1771.396127</v>
      </c>
      <c r="AA250" s="3">
        <f>1848.1+(181.8-301.6)+(-0.942531+(-0.092718--0.153816))+0-27.4--0.0139739999999972</f>
        <v>1700.0325409999998</v>
      </c>
      <c r="AB250" s="3">
        <f>1817.8+(160.3-334.6)+(-1.854156+(-0.163506--0.341292))+0-26.8--0.0273360000000043</f>
        <v>1615.0509660000002</v>
      </c>
      <c r="AC250" s="3">
        <f>1776.7+(107.1-391)+(-3.624468+(-0.218484--0.79764))+0-27.2--0.0554879999999988</f>
        <v>1462.6101760000001</v>
      </c>
      <c r="AD250">
        <f t="shared" si="3"/>
        <v>34257.136196000007</v>
      </c>
      <c r="AE250" s="3">
        <f>1892+(191.8-172.4)+(0+(0-0))+0-31.2-0</f>
        <v>1880.2</v>
      </c>
    </row>
    <row r="251" spans="1:31" s="2" customFormat="1" x14ac:dyDescent="0.25">
      <c r="A251">
        <v>89</v>
      </c>
      <c r="B251">
        <v>9</v>
      </c>
      <c r="C251">
        <v>5</v>
      </c>
      <c r="D251">
        <v>7</v>
      </c>
      <c r="E251">
        <v>1</v>
      </c>
      <c r="F251" s="3">
        <f>1454.7+(140.3-312.2)+(-2.225691+(-0.214659--0.477666))+0-27.7--0.0423810000000016</f>
        <v>1253.179697</v>
      </c>
      <c r="G251" s="3">
        <f>1370.1+(103-306.8)+(-2.096253+(-0.15759--0.469404))+0-28.1--0.0429930000000016</f>
        <v>1136.458554</v>
      </c>
      <c r="H251" s="3">
        <f>1324.5+(88.3-298.8)+(-2.026485+(-0.135099--0.457164))+0-27.5--0.0420750000000016</f>
        <v>1084.837655</v>
      </c>
      <c r="I251" s="3">
        <f>1266.5+(102.2-283.1)+(-1.29183+(-0.104244--0.288762))+0-27.9--0.0284580000000044</f>
        <v>1056.6211459999997</v>
      </c>
      <c r="J251" s="3">
        <f>1268+(89.2-279.7)+(1.29336+(0.090984-0.285294))+0-27.8-0.0283560000000044</f>
        <v>1050.770694</v>
      </c>
      <c r="K251" s="3">
        <f>1349+(52-308.1)+(0.68799+(0.02652-0.157131))+0-27.8-0.0141779999999972</f>
        <v>1065.6432010000003</v>
      </c>
      <c r="L251" s="3">
        <f>1400.6+(54.1-333.5)+(-2.857224+(-0.110364--0.68034))+0-27.2--0.0554879999999988</f>
        <v>1091.7682399999997</v>
      </c>
      <c r="M251" s="3">
        <f>1444.8+(74.5-410.2)+(-1.473696+(-0.07599--0.418404))+0-28.5--0.0290700000000045</f>
        <v>1079.4977879999999</v>
      </c>
      <c r="N251" s="3">
        <f>1613.9+(55.2-489.4)+(0.823089+(0.028152-0.249594))+0-29.5-0.015044999999997</f>
        <v>1150.7866019999999</v>
      </c>
      <c r="O251" s="3">
        <f>1791.5+(48.8-539.5)+(0+(0-0))+0-29-0</f>
        <v>1271.8</v>
      </c>
      <c r="P251" s="3">
        <f>1854+(32.2-505.8)+(-0.94554+(-0.016422--0.257958))+0-29--0.0147899999999971</f>
        <v>1350.7107860000001</v>
      </c>
      <c r="Q251" s="3">
        <f>1851.4+(37.6-483.2)+(-7.553712+(-0.153408--1.971456))+0-29.6--0.120767999999997</f>
        <v>1370.5851040000002</v>
      </c>
      <c r="R251" s="3">
        <f>1795.9+(58-462.9)+(-2.747727+(-0.08874--0.708237))+0-27.6--0.0422280000000016</f>
        <v>1361.3139980000001</v>
      </c>
      <c r="S251" s="3">
        <f>1718.3+(81.3-456.9)+(-1.752666+(-0.082926--0.466038))+0-27.4--0.0279480000000044</f>
        <v>1313.9583939999998</v>
      </c>
      <c r="T251" s="3">
        <f>1676.3+(93.2-457.5)+(-0.854913+(-0.047532--0.233325))+0-29--0.0147899999999971</f>
        <v>1282.3456699999999</v>
      </c>
      <c r="U251" s="3">
        <f>1676.3+(85.5-471.9)+(-1.709826+(-0.08721--0.481338))+0-25.4--0.025908000000004</f>
        <v>1263.21021</v>
      </c>
      <c r="V251" s="3">
        <f>1791.5+(34.7-466.5)+(0+(0-0))+0-27.4-0</f>
        <v>1332.3</v>
      </c>
      <c r="W251" s="3">
        <f>1861+(104-281.7)+(-0.94911+(-0.05304--0.143667))+0-27.9--0.0142289999999972</f>
        <v>1654.5557459999998</v>
      </c>
      <c r="X251" s="3">
        <f>1879.3+(183.1-232)+(-0.958443+(-0.093381--0.11832))+0-30--0.015299999999997</f>
        <v>1799.4817959999998</v>
      </c>
      <c r="Y251" s="3">
        <f>1885.2+(159.8-237.8)+(-2.884356+(-0.244494--0.363834))+0-30.3--0.0463590000000018</f>
        <v>1774.181343</v>
      </c>
      <c r="Z251" s="3">
        <f>1820.2+(176.2-232.1)+(-1.856604+(-0.179724--0.236742))+0-29.4--0.0299880000000047</f>
        <v>1733.1304019999998</v>
      </c>
      <c r="AA251" s="3">
        <f>1803.4+(232.8-346.8)+(-3.678936+(-0.474912--0.707472))+0-28.6--0.0583439999999988</f>
        <v>1657.4119680000001</v>
      </c>
      <c r="AB251" s="3">
        <f>1701.6+(246.4-363.5)+(-2.603448+(-0.376992--0.556155))+0-27.1--0.0414630000000016</f>
        <v>1555.0171780000001</v>
      </c>
      <c r="AC251" s="3">
        <f>1586.9+(213.3-382.4)+(-4.855914+(-0.652698--1.170144))+0-27.3--0.0835380000000032</f>
        <v>1386.2450700000004</v>
      </c>
      <c r="AD251">
        <f t="shared" si="3"/>
        <v>32075.811242</v>
      </c>
      <c r="AE251" s="3">
        <f>1887.2+(186.3-194.5)+(0+(0-0))+0-28.8-0</f>
        <v>1850.2</v>
      </c>
    </row>
    <row r="252" spans="1:31" s="2" customFormat="1" x14ac:dyDescent="0.25">
      <c r="A252">
        <v>89</v>
      </c>
      <c r="B252">
        <v>9</v>
      </c>
      <c r="C252">
        <v>6</v>
      </c>
      <c r="D252">
        <v>1</v>
      </c>
      <c r="E252">
        <v>1</v>
      </c>
      <c r="F252" s="3">
        <f>1451.2+(131.8-331.5)+(0+(0-0))+0-26.6-0</f>
        <v>1224.9000000000001</v>
      </c>
      <c r="G252" s="3">
        <f>1358.9+(84.2-297.2)+(0+(0-0))+0-26.9-0</f>
        <v>1119</v>
      </c>
      <c r="H252" s="3">
        <f>1360.8+(62.4-314.1)+(0.694008+(0.031824-0.160191))+0-27.1-0.0138209999999973</f>
        <v>1082.5518199999999</v>
      </c>
      <c r="I252" s="3">
        <f>1360.6+(52.1-318.1)+(1.387812+(0.053142-0.324462))+0-27.1-0.0276420000000043</f>
        <v>1068.5888500000001</v>
      </c>
      <c r="J252" s="3">
        <f>1403.8+(39.9-350.5)+(0+(0-0))+0-27.4-0</f>
        <v>1065.7999999999997</v>
      </c>
      <c r="K252" s="3">
        <f>1473.3+(31.8-392)+(-1.502766+(-0.032436--0.39984))+0-27.3--0.0278460000000044</f>
        <v>1084.6924839999999</v>
      </c>
      <c r="L252" s="3">
        <f>1577.6+(44.9-419.7)+(-4.02288+(-0.114495--1.070235))+0-27.5--0.070124999999996</f>
        <v>1172.3029849999998</v>
      </c>
      <c r="M252" s="3">
        <f>1746.8+(40.6-508.1)+(0.890868+(0.020706-0.259131))+0-29.3-0.014942999999997</f>
        <v>1250.6375</v>
      </c>
      <c r="N252" s="3">
        <f>1878.6+(81.2-504.7)+(0+(0-0))+0-29.1-0</f>
        <v>1426</v>
      </c>
      <c r="O252" s="3">
        <f>1871.5+(145.9-459.2)+(2.863395+(0.223227-0.702576))+0-29.4-0.0449820000000017</f>
        <v>1531.139064</v>
      </c>
      <c r="P252" s="3">
        <f>1883.2+(164.3-420.2)+(0+(0-0))+0-29.9-0</f>
        <v>1597.4</v>
      </c>
      <c r="Q252" s="3">
        <f>1916.5+(134.5-409.5)+(-0.977415+(-0.068595--0.208845))+0-29.9--0.015248999999997</f>
        <v>1610.778084</v>
      </c>
      <c r="R252" s="3">
        <f>2013.4+(85.3-465.2)+(-1.026834+(-0.043503--0.237252))+0-27.9--0.0142289999999972</f>
        <v>1604.7811439999998</v>
      </c>
      <c r="S252" s="3">
        <f>2014.1+(66.7-479.8)+(-1.027191+(-0.034017--0.244698))+0-28.9--0.0147389999999971</f>
        <v>1571.2982289999998</v>
      </c>
      <c r="T252" s="3">
        <f>2011.8+(62.4-506.6)+(-2.052036+(-0.063648--0.516732))+0-30.3--0.0309060000000048</f>
        <v>1535.7319539999999</v>
      </c>
      <c r="U252" s="3">
        <f>2006.2+(59.3-514.2)+(-1.023162+(-0.030243--0.262242))+0-30.3--0.0154529999999969</f>
        <v>1520.2242899999999</v>
      </c>
      <c r="V252" s="3">
        <f>2041.3+(55.4-490.9)+(-2.082126+(-0.056508--0.500718))+0-30.2--0.0308040000000048</f>
        <v>1573.992888</v>
      </c>
      <c r="W252" s="3">
        <f>2153.4+(81.4-331.3)+(2.196468+(0.083028-0.337926))+0-29.4-0.0299880000000047</f>
        <v>1876.0115819999999</v>
      </c>
      <c r="X252" s="3">
        <f>2174.4+(146.4-305.6)+(-2.217888+(-0.149328--0.311712))+0-30.8--0.0314160000000049</f>
        <v>1982.3759120000002</v>
      </c>
      <c r="Y252" s="3">
        <f>2177.9+(115.8-340.6)+(-4.442916+(-0.236232--0.694824))+0-30.1--0.0614039999999987</f>
        <v>1919.0770800000003</v>
      </c>
      <c r="Z252" s="3">
        <f>2176.7+(81-373.9)+(-5.550585+(-0.20655--0.953445))+0-29--0.0739499999999958</f>
        <v>1850.0702599999997</v>
      </c>
      <c r="AA252" s="3">
        <f>2069.4+(169.6-442.5)+(1.055394+(0.086496-0.225675))+0-28.9-0.0147389999999971</f>
        <v>1768.5014759999999</v>
      </c>
      <c r="AB252" s="3">
        <f>1934.9+(202.4-448)+(-3.947196+(-0.412896--0.91392))+0-28.3--0.0577319999999988</f>
        <v>1657.6115600000003</v>
      </c>
      <c r="AC252" s="3">
        <f>1624.8+(239.6-387.8)+(-2.485944+(-0.366588--0.593334))+0-27.8--0.0425340000000016</f>
        <v>1446.5833359999999</v>
      </c>
      <c r="AD252">
        <f t="shared" si="3"/>
        <v>35540.050497999997</v>
      </c>
      <c r="AE252" s="3">
        <f>2176+(145.9-252.6)+(0+(0-0))+0-30.4-0</f>
        <v>2038.9</v>
      </c>
    </row>
    <row r="253" spans="1:31" s="2" customFormat="1" x14ac:dyDescent="0.25">
      <c r="A253">
        <v>89</v>
      </c>
      <c r="B253">
        <v>9</v>
      </c>
      <c r="C253">
        <v>7</v>
      </c>
      <c r="D253">
        <v>2</v>
      </c>
      <c r="E253">
        <v>1</v>
      </c>
      <c r="F253" s="3">
        <f>1503.6+(146.1-312.2)+(-0.766836+(-0.074511--0.159222))+0-28.1--0.0143309999999971</f>
        <v>1308.7322060000001</v>
      </c>
      <c r="G253" s="3">
        <f>1469.9+(68.6-294.9)+(-3.748245+(-0.17493--0.751995))+0-28.4--0.0724199999999959</f>
        <v>1212.10124</v>
      </c>
      <c r="H253" s="3">
        <f>1472.9+(45.6-318.7)+(-0.751179+(-0.023256--0.162537))+0-28.3--0.0144329999999971</f>
        <v>1170.9025350000002</v>
      </c>
      <c r="I253" s="3">
        <f>1472.2+(32.3-321.1)+(-0.750822+(-0.016473--0.163761))+0-28.3--0.0144329999999971</f>
        <v>1154.5108990000001</v>
      </c>
      <c r="J253" s="3">
        <f>1475.1+(23.5-314.8)+(-1.504602+(-0.02397--0.321096))+0-27.9--0.0284580000000044</f>
        <v>1154.7209819999998</v>
      </c>
      <c r="K253" s="3">
        <f>1477.9+(33.2-307.4)+(0+(0-0))+0-28.6-0</f>
        <v>1175.1000000000001</v>
      </c>
      <c r="L253" s="3">
        <f>1540.8+(57.5-322)+(-3.143232+(-0.1173--0.65688))+0-28.2--0.0575279999999988</f>
        <v>1245.5538759999999</v>
      </c>
      <c r="M253" s="3">
        <f>1695.2+(14.3-370.3)+(-0.864552+(-0.007293--0.188853))+0-29.7--0.015146999999997</f>
        <v>1308.8321550000001</v>
      </c>
      <c r="N253" s="3">
        <f>1964+(42.3-419.5)+(0+(0-0))+0-30.5-0</f>
        <v>1556.3</v>
      </c>
      <c r="O253" s="3">
        <f>1994.2+(26-429.6)+(1.017042+(0.01326-0.219096))+0-30.6-0.0156059999999969</f>
        <v>1560.7956000000001</v>
      </c>
      <c r="P253" s="3">
        <f>1963.5+(16-395.6)+(2.00277+(0.01632-0.403512))+0-30.4-0.0310080000000048</f>
        <v>1555.08457</v>
      </c>
      <c r="Q253" s="3">
        <f>2046.3+(21.7-409.3)+(0+(0-0))+0-30.2-0</f>
        <v>1628.4999999999998</v>
      </c>
      <c r="R253" s="3">
        <f>2074.1+(8.6-453.9)+(-5.288955+(-0.02193--1.157445))+0-29.2--0.0744599999999958</f>
        <v>1595.5210199999999</v>
      </c>
      <c r="S253" s="3">
        <f>2116.4+(4.1-511.5)+(-3.238092+(-0.006273--0.782595))+0-28.3--0.0432990000000016</f>
        <v>1578.2815290000001</v>
      </c>
      <c r="T253" s="3">
        <f>2116.1+(1.3-545)+(1.079211+(0.000663-0.27795))+0-29.7-0.015146999999997</f>
        <v>1543.4867769999998</v>
      </c>
      <c r="U253" s="3">
        <f>2123.6+(3.8-543.4)+(2.166072+(0.003876-0.554268))+0-28.9-0.0294780000000046</f>
        <v>1556.6862020000001</v>
      </c>
      <c r="V253" s="3">
        <f>2193+(6.6-544)+(-1.11843+(-0.003366--0.27744))+0-30.1--0.0153509999999969</f>
        <v>1624.6709949999999</v>
      </c>
      <c r="W253" s="3">
        <f>2266.3+(28.3-328.2)+(1.155813+(0.014433-0.167382))+0-29.5-0.015044999999997</f>
        <v>1937.887819</v>
      </c>
      <c r="X253" s="3">
        <f>2273.7+(65.1-289.7)+(-8.117109+(-0.232407--1.034229))+0-30.2--0.107814</f>
        <v>2011.6925269999999</v>
      </c>
      <c r="Y253" s="3">
        <f>2193.1+(64.6-264.6)+(-4.473924+(-0.131784--0.539784))+0-30.2--0.0616079999999987</f>
        <v>1958.8956839999998</v>
      </c>
      <c r="Z253" s="3">
        <f>2166.5+(39.8-272.4)+(-1.104915+(-0.020298--0.138924))+0-30.9--0.0157589999999969</f>
        <v>1902.0294699999999</v>
      </c>
      <c r="AA253" s="3">
        <f>2155.9+(50-363.2)+(-3.298527+(-0.0765--0.555696))+0-30--0.0459000000000017</f>
        <v>1809.9265690000002</v>
      </c>
      <c r="AB253" s="3">
        <f>1996.5+(94.3-376.6)+(-2.03643+(-0.096186--0.384132))+0-26.8--0.0273360000000043</f>
        <v>1685.6788520000002</v>
      </c>
      <c r="AC253" s="3">
        <f>1857.6+(94.2-408.2)+(-3.789504+(-0.192168--0.832728))+0-27.2--0.0554879999999988</f>
        <v>1513.3065439999998</v>
      </c>
      <c r="AD253">
        <f t="shared" si="3"/>
        <v>36749.198050999999</v>
      </c>
      <c r="AE253" s="3">
        <f>2264+(82-282.4)+(0+(0-0))+0-32.8-0</f>
        <v>2030.8</v>
      </c>
    </row>
    <row r="254" spans="1:31" s="2" customFormat="1" x14ac:dyDescent="0.25">
      <c r="A254">
        <v>89</v>
      </c>
      <c r="B254">
        <v>9</v>
      </c>
      <c r="C254">
        <v>8</v>
      </c>
      <c r="D254">
        <v>3</v>
      </c>
      <c r="E254">
        <v>1</v>
      </c>
      <c r="F254" s="3">
        <f>1745.2+(43.1-456)+(-3.560208+(-0.087924--0.93024))+0-27.9--0.0569159999999988</f>
        <v>1301.7390240000002</v>
      </c>
      <c r="G254" s="3">
        <f>1545+(33.6-368.1)+(-0.78795+(-0.017136--0.187731))+0-28.4--0.0144839999999971</f>
        <v>1181.4971289999999</v>
      </c>
      <c r="H254" s="3">
        <f>1446.8+(35.7-325.4)+(0.737868+(0.018207-0.165954))+0-28.2-0.0143819999999971</f>
        <v>1129.4757389999997</v>
      </c>
      <c r="I254" s="3">
        <f>1408.2+(36.9-306.9)+(-1.436364+(-0.037638--0.313038))+0-28.1--0.0286620000000045</f>
        <v>1108.9676980000002</v>
      </c>
      <c r="J254" s="3">
        <f>1412.5+(37.3-320.7)+(0.720375+(0.019023-0.163557))+0-27.9-0.0142289999999972</f>
        <v>1101.761612</v>
      </c>
      <c r="K254" s="3">
        <f>1412.5+(49.4-316.1)+(0.720375+(0.025194-0.161211))+0-29-0.0147899999999971</f>
        <v>1117.3695680000001</v>
      </c>
      <c r="L254" s="3">
        <f>1443.3+(90.9-318.9)+(0+(0-0))+0-28.8-0</f>
        <v>1186.5</v>
      </c>
      <c r="M254" s="3">
        <f>1761+(31.8-469.3)+(-4.49055+(-0.08109--1.196715))+0-30--0.0764999999999956</f>
        <v>1290.2015749999998</v>
      </c>
      <c r="N254" s="3">
        <f>1979+(18.4-544.1)+(3.02787+(0.028152-0.832473))+0-30.2-0.0462060000000017</f>
        <v>1425.277343</v>
      </c>
      <c r="O254" s="3">
        <f>2138.1+(15-560.8)+(-3.271293+(-0.02295--0.858024))+0-30.1--0.0460530000000017</f>
        <v>1559.8098340000001</v>
      </c>
      <c r="P254" s="3">
        <f>2238.5+(2.2-616.3)+(1.141635+(0.001122-0.314313))+0-27.4-0.0139739999999972</f>
        <v>1597.81447</v>
      </c>
      <c r="Q254" s="3">
        <f>2230+(0-586.1)+(-5.6865+(0--1.494555))+0-30.9--0.0787949999999955</f>
        <v>1608.8868499999999</v>
      </c>
      <c r="R254" s="3">
        <f>2171.3+(0-549.2)+(-2.214726+(0--0.560184))+0-29.3--0.0298860000000047</f>
        <v>1591.1753440000002</v>
      </c>
      <c r="S254" s="3">
        <f>2142+(3.6-578.8)+(0+(0-0))+0-28-0</f>
        <v>1538.8000000000002</v>
      </c>
      <c r="T254" s="3">
        <f>2228.7+(0-682.6)+(0+(0-0))+0-28.5-0</f>
        <v>1517.6</v>
      </c>
      <c r="U254" s="3">
        <f>2242.8+(0-692.2)+(1.143828+(0-0.353022))+0-28.3-0.0144329999999971</f>
        <v>1523.0763730000001</v>
      </c>
      <c r="V254" s="3">
        <f>2248.5+(0-649.5)+(3.440205+(0-0.993735))+0-28.8-0.0440640000000017</f>
        <v>1572.6024060000002</v>
      </c>
      <c r="W254" s="3">
        <f>2297.7+(6-403.1)+(3.515481+(0.00918-0.616743))+0-30.5-0.0466650000000018</f>
        <v>1872.9612529999999</v>
      </c>
      <c r="X254" s="3">
        <f>2341.8+(14.8-359.9)+(-4.777272+(-0.030192--0.734196))+0-30.9--0.0630359999999986</f>
        <v>1961.7897680000001</v>
      </c>
      <c r="Y254" s="3">
        <f>2350.1+(6.9-403.3)+(-3.595653+(-0.010557--0.617049))+0-29.8--0.0455940000000017</f>
        <v>1920.9564329999998</v>
      </c>
      <c r="Z254" s="3">
        <f>2254.8+(14.3-379.4)+(-3.449844+(-0.021879--0.580482))+0-28.4--0.0434520000000016</f>
        <v>1858.452211</v>
      </c>
      <c r="AA254" s="3">
        <f>2080.2+(49.8-344.6)+(-2.121804+(-0.050796--0.351492))+0-29.8--0.0303960000000048</f>
        <v>1753.8092879999999</v>
      </c>
      <c r="AB254" s="3">
        <f>1981.1+(36.7-326.7)+(0+(0-0))+0-28.5-0</f>
        <v>1662.6</v>
      </c>
      <c r="AC254" s="3">
        <f>1641.5+(97.1-227.9)+(-4.185825+(-0.247605--0.581145))+0-27.3--0.069614999999996</f>
        <v>1479.61733</v>
      </c>
      <c r="AD254">
        <f t="shared" si="3"/>
        <v>35862.741247999998</v>
      </c>
      <c r="AE254" s="3">
        <f>2336+(23.8-310.1)+(0+(0-0))+0-31.2-0</f>
        <v>2018.4999999999998</v>
      </c>
    </row>
    <row r="255" spans="1:31" s="2" customFormat="1" x14ac:dyDescent="0.25">
      <c r="A255">
        <v>89</v>
      </c>
      <c r="B255">
        <v>9</v>
      </c>
      <c r="C255">
        <v>9</v>
      </c>
      <c r="D255">
        <v>4</v>
      </c>
      <c r="E255">
        <v>1</v>
      </c>
      <c r="F255" s="3">
        <f>1274.8+(195.5-176.2)+(-2.600592+(-0.39882--0.359448))+0-26.8--0.0546719999999988</f>
        <v>1264.714708</v>
      </c>
      <c r="G255" s="3">
        <f>1274.1+(159.9-234.1)+(-1.299582+(-0.163098--0.238782))+0-25.8--0.0263160000000041</f>
        <v>1172.9024179999999</v>
      </c>
      <c r="H255" s="3">
        <f>1299.9+(153.7-300.5)+(-1.988847+(-0.235161--0.459765))+0-28--0.0428400000000016</f>
        <v>1123.3785970000001</v>
      </c>
      <c r="I255" s="3">
        <f>1299.1+(157.8-321.3)+(-1.325082+(-0.160956--0.327726))+0-28.5--0.0290700000000045</f>
        <v>1105.9707579999999</v>
      </c>
      <c r="J255" s="3">
        <f>1214.3+(165.3-245.6)+(-1.238586+(-0.168606--0.250512))+0-28.3--0.0288660000000045</f>
        <v>1104.5721860000001</v>
      </c>
      <c r="K255" s="3">
        <f>1214.7+(169.3-227.9)+(0+(0-0))+0-28.7-0</f>
        <v>1127.4000000000001</v>
      </c>
      <c r="L255" s="3">
        <f>1331.6+(154.3-246.6)+(-1.358232+(-0.157386--0.251532))+0-28.6--0.0291720000000046</f>
        <v>1209.4650860000002</v>
      </c>
      <c r="M255" s="3">
        <f>1460.3+(87.3-223)+(-0.744753+(-0.044523--0.11373))+0-29--0.0147899999999971</f>
        <v>1294.9392439999999</v>
      </c>
      <c r="N255" s="3">
        <f>1662.7+(55.5-262.1)+(0.847977+(0.028305-0.133671))+0-29.9-0.015248999999997</f>
        <v>1426.9273619999997</v>
      </c>
      <c r="O255" s="3">
        <f>1737.6+(90.5-251)+(0+(0-0))+0-31.1-0</f>
        <v>1546</v>
      </c>
      <c r="P255" s="3">
        <f>1714.6+(136.3-235.2)+(-0.874446+(-0.069513--0.119952))+0-30.8--0.0157079999999969</f>
        <v>1584.0917009999998</v>
      </c>
      <c r="Q255" s="3">
        <f>1728.5+(132.1-223.5)+(-1.76307+(-0.134742--0.22797))+0-30.6--0.0312120000000049</f>
        <v>1604.8613700000001</v>
      </c>
      <c r="R255" s="3">
        <f>1746.4+(89.8-182.4)+(-0.890664+(-0.045798--0.093024))+0-26.7--0.0136169999999973</f>
        <v>1626.2701790000001</v>
      </c>
      <c r="S255" s="3">
        <f>1743.6+(66.5-193.8)+(0+(0-0))+0-25.8-0</f>
        <v>1590.5</v>
      </c>
      <c r="T255" s="3">
        <f>1743.8+(53.3-205.9)+(-2.668014+(-0.081549--0.315027))+0-27.4--0.0419220000000016</f>
        <v>1561.4073859999999</v>
      </c>
      <c r="U255" s="3">
        <f>1741.2+(51.9-208.5)+(-2.664036+(-0.079407--0.319005))+0-28--0.0428400000000016</f>
        <v>1554.2184020000002</v>
      </c>
      <c r="V255" s="3">
        <f>1812+(55.8-214)+(-2.77236+(-0.085374--0.32742))+0-28.2--0.0431460000000016</f>
        <v>1623.1128319999998</v>
      </c>
      <c r="W255" s="3">
        <f>1894+(185.5-143.9)+(-1.93188+(-0.18921--0.146778))+0-28.1--0.0286620000000045</f>
        <v>1905.5543499999999</v>
      </c>
      <c r="X255" s="3">
        <f>1932.8+(247.7-159.3)+(-3.942912+(-0.505308--0.324972))+0-28--0.0571199999999988</f>
        <v>1989.1338719999997</v>
      </c>
      <c r="Y255" s="3">
        <f>1931.2+(223.1-186.3)+(-3.939648+(-0.455124--0.380052))+0-27.2--0.0554879999999988</f>
        <v>1936.840768</v>
      </c>
      <c r="Z255" s="3">
        <f>1874.6+(221.2-202.6)+(-1.912092+(-0.225624--0.206652))+0-28.1--0.0286620000000045</f>
        <v>1863.1975979999997</v>
      </c>
      <c r="AA255" s="3">
        <f>1847.5+(173.1-210.5)+(-2.826675+(-0.264843--0.322065))+0-26.8--0.0410040000000016</f>
        <v>1780.5715509999998</v>
      </c>
      <c r="AB255" s="3">
        <f>1772+(144.9-225.4)+(-2.71116+(-0.221697--0.344862))+0-27.2--0.0416160000000016</f>
        <v>1661.7536209999998</v>
      </c>
      <c r="AC255" s="3">
        <f>1469.5+(188.9-179.2)+(-3.747225+(-0.481695--0.45696))+0-27.2--0.0693599999999961</f>
        <v>1448.2973999999999</v>
      </c>
      <c r="AD255">
        <f t="shared" si="3"/>
        <v>36106.081388999992</v>
      </c>
      <c r="AE255" s="3">
        <f>1928+(253.1-139.5)+(0+(0-0))+0-26.4-0</f>
        <v>2015.1999999999998</v>
      </c>
    </row>
    <row r="256" spans="1:31" s="2" customFormat="1" x14ac:dyDescent="0.25">
      <c r="A256">
        <v>89</v>
      </c>
      <c r="B256">
        <v>9</v>
      </c>
      <c r="C256">
        <v>10</v>
      </c>
      <c r="D256">
        <v>5</v>
      </c>
      <c r="E256">
        <v>1</v>
      </c>
      <c r="F256" s="3">
        <f>1374.3+(176.6-269.5)+(-3.504465+(-0.45033--0.687225))+0-28.2--0.0719099999999959</f>
        <v>1250.0043399999997</v>
      </c>
      <c r="G256" s="3">
        <f>1265+(193.8-288.7)+(0+(0-0))+0-28.4-0</f>
        <v>1141.6999999999998</v>
      </c>
      <c r="H256" s="3">
        <f>1267.4+(182.6-315.9)+(-0.646374+(-0.093126--0.161109))+0-28.4--0.0144839999999971</f>
        <v>1105.1360930000001</v>
      </c>
      <c r="I256" s="3">
        <f>1245+(188.2-319.7)+(-0.63495+(-0.095982--0.163047))+0-29.1--0.014840999999997</f>
        <v>1083.8469560000001</v>
      </c>
      <c r="J256" s="3">
        <f>1230+(201.5-326.7)+(1.2546+(0.20553-0.333234))+0-29.1-0.0296820000000046</f>
        <v>1076.7972139999999</v>
      </c>
      <c r="K256" s="3">
        <f>1228.9+(204.4-319.2)+(-1.253478+(-0.208488--0.325584))+0-28.7--0.0292740000000046</f>
        <v>1084.2928920000002</v>
      </c>
      <c r="L256" s="3">
        <f>1264.9+(225.9-297.8)+(-0.645099+(-0.115209--0.151878))+0-28.9--0.0147389999999971</f>
        <v>1163.5063089999999</v>
      </c>
      <c r="M256" s="3">
        <f>1415.9+(143.2-293.4)+(0+(0-0))+0-28-0</f>
        <v>1237.7</v>
      </c>
      <c r="N256" s="3">
        <f>1685.3+(56-331)+(-0.859503+(-0.02856--0.16881))+0-29.6--0.015095999999997</f>
        <v>1379.9958430000001</v>
      </c>
      <c r="O256" s="3">
        <f>1730.5+(69.5-256.8)+(-3.53022+(-0.14178--0.523872))+0-29.7--0.0605879999999987</f>
        <v>1510.41246</v>
      </c>
      <c r="P256" s="3">
        <f>1750.4+(77.3-242.2)+(0.892704+(0.039423-0.123522))+0-31.1-0.0158609999999968</f>
        <v>1555.1927439999999</v>
      </c>
      <c r="Q256" s="3">
        <f>1748.6+(77.3-238.4)+(-0.891786+(-0.039423--0.121584))+0-31.2--0.0159119999999968</f>
        <v>1555.5062869999999</v>
      </c>
      <c r="R256" s="3">
        <f>1772.5+(68.9-250.2)+(-4.519875+(-0.175695--0.63801))+0-28.3--0.0721649999999959</f>
        <v>1558.9146050000002</v>
      </c>
      <c r="S256" s="3">
        <f>1803+(67.8-317.3)+(0+(0-0))+0-26-0</f>
        <v>1527.5</v>
      </c>
      <c r="T256" s="3">
        <f>1821.9+(59.7-349.4)+(0+(0-0))+0-27-0</f>
        <v>1505.2</v>
      </c>
      <c r="U256" s="3">
        <f>1794+(58.1-321.7)+(-0.91494+(-0.029631--0.164067))+0-28.1--0.0143309999999971</f>
        <v>1501.5338270000002</v>
      </c>
      <c r="V256" s="3">
        <f>1794.1+(63.9-273.9)+(1.829982+(0.065178-0.279378))+0-27.4-0.0279480000000044</f>
        <v>1558.287834</v>
      </c>
      <c r="W256" s="3">
        <f>1882.9+(167.2-184.3)+(0+(0-0))+0-21.5-0</f>
        <v>1844.3000000000002</v>
      </c>
      <c r="X256" s="3">
        <f>1920.9+(223.4-179.3)+(-3.918636+(-0.455736--0.365772))+0-28.9--0.0589559999999987</f>
        <v>1932.1503560000001</v>
      </c>
      <c r="Y256" s="3">
        <f>1887+(211.6-167.9)+(-2.88711+(-0.323748--0.256887))+0-28.9--0.0442170000000017</f>
        <v>1898.8902459999999</v>
      </c>
      <c r="Z256" s="3">
        <f>1689.9+(310.1-145.6)+(-0.861849+(-0.158151--0.074256))+0-30.3--0.0154529999999969</f>
        <v>1823.169709</v>
      </c>
      <c r="AA256" s="3">
        <f>1649+(274.8-153.9)+(0+(0-0))+0-27.3-0</f>
        <v>1742.6000000000001</v>
      </c>
      <c r="AB256" s="3">
        <f>1631.1+(236-209.9)+(-3.327444+(-0.48144--0.428196))+0-27.5--0.0560999999999988</f>
        <v>1626.3754119999999</v>
      </c>
      <c r="AC256" s="3">
        <f>1365.4+(270.5-161.1)+(-2.089062+(-0.413865--0.246483))+0-26.8--0.0410040000000016</f>
        <v>1445.7845600000001</v>
      </c>
      <c r="AD256">
        <f t="shared" si="3"/>
        <v>35108.797686999998</v>
      </c>
      <c r="AE256" s="3">
        <f>1917.5+(221.3-135.6)+(0+(0-0))+0-18.4-0</f>
        <v>1984.8</v>
      </c>
    </row>
    <row r="257" spans="1:31" s="2" customFormat="1" x14ac:dyDescent="0.25">
      <c r="A257">
        <v>89</v>
      </c>
      <c r="B257">
        <v>9</v>
      </c>
      <c r="C257">
        <v>11</v>
      </c>
      <c r="D257">
        <v>6</v>
      </c>
      <c r="E257">
        <v>1</v>
      </c>
      <c r="F257" s="3">
        <f>1176.2+(277.9-129)+(-1.199724+(-0.283458--0.13158))+0-26.9--0.0274380000000043</f>
        <v>1296.8758359999999</v>
      </c>
      <c r="G257" s="3">
        <f>1082.7+(242.1-126.5)+(1.104354+(0.246942-0.12903))+0-27.4-0.0279480000000044</f>
        <v>1172.0943179999999</v>
      </c>
      <c r="H257" s="3">
        <f>1075.6+(213-139.9)+(1.645668+(0.32589-0.214047))+0-28-0.0428400000000016</f>
        <v>1122.4146709999998</v>
      </c>
      <c r="I257" s="3">
        <f>1076.8+(211.6-164.6)+(-0.549168+(-0.107916--0.083946))+0-28.2--0.0143819999999971</f>
        <v>1095.041244</v>
      </c>
      <c r="J257" s="3">
        <f>1077.5+(209.8-177.6)+(0.549525+(0.106998-0.090576))+0-28.1-0.0143309999999971</f>
        <v>1082.1516160000001</v>
      </c>
      <c r="K257" s="3">
        <f>1077+(234.2-173.7)+(0+(0-0))+0-28.5-0</f>
        <v>1109</v>
      </c>
      <c r="L257" s="3">
        <f>1078.8+(290.6-158.6)+(-1.100376+(-0.296412--0.161772))+0-28.5--0.0290700000000045</f>
        <v>1181.0940539999999</v>
      </c>
      <c r="M257" s="3">
        <f>1174.6+(254.6-149.9)+(0.599046+(0.129846-0.076449))+0-28.1-0.0143309999999971</f>
        <v>1251.8381119999999</v>
      </c>
      <c r="N257" s="3">
        <f>1492.2+(97.1-167.9)+(0+(0-0))+0-27.7-0</f>
        <v>1393.7</v>
      </c>
      <c r="O257" s="3">
        <f>1569.2+(163.8-177.3)+(-3.201168+(-0.334152--0.361692))+0-27.5--0.0560999999999988</f>
        <v>1525.0824720000001</v>
      </c>
      <c r="P257" s="3">
        <f>1566.1+(205.7-163.6)+(-2.396133+(-0.314721--0.250308))+0-27.5--0.0420750000000016</f>
        <v>1578.2815289999999</v>
      </c>
      <c r="Q257" s="3">
        <f>1566.3+(202.6-157.3)+(-0.798813+(-0.103326--0.080223))+0-28--0.0142799999999972</f>
        <v>1582.7923639999999</v>
      </c>
      <c r="R257" s="3">
        <f>1553.1+(190.1-193)+(-3.168324+(-0.387804--0.39372))+0-27.6--0.0563039999999988</f>
        <v>1519.4938959999999</v>
      </c>
      <c r="S257" s="3">
        <f>1428.8+(245.5-174.8)+(-1.457376+(-0.25041--0.178296))+0-26--0.0265200000000041</f>
        <v>1471.99703</v>
      </c>
      <c r="T257" s="3">
        <f>1419.9+(214.6-148.2)+(-1.448298+(-0.218892--0.151164))+0-27--0.0275400000000043</f>
        <v>1457.8115140000002</v>
      </c>
      <c r="U257" s="3">
        <f>1429.1+(196.8-156.8)+(-0.728841+(-0.100368--0.079968))+0-27.7--0.0141269999999972</f>
        <v>1440.6648859999998</v>
      </c>
      <c r="V257" s="3">
        <f>1509.3+(175.2-156.5)+(-3.848715+(-0.44676--0.399075))+0-28.5--0.0726749999999959</f>
        <v>1495.6762749999998</v>
      </c>
      <c r="W257" s="3">
        <f>1616.5+(376-163)+(0+(0-0))+0-29.7-0</f>
        <v>1799.8</v>
      </c>
      <c r="X257" s="3">
        <f>1635.1+(457.7-169.6)+(-5.837307+(-1.633989--0.605472))+0-30.4--0.108528</f>
        <v>1886.0427039999997</v>
      </c>
      <c r="Y257" s="3">
        <f>1637.7+(424.2-198.7)+(-2.505681+(-0.649026--0.304011))+0-29.9--0.0457470000000017</f>
        <v>1830.4950509999999</v>
      </c>
      <c r="Z257" s="3">
        <f>1639.2+(362.3-207.1)+(-2.507976+(-0.554319--0.316863))+0-29.8--0.0455940000000017</f>
        <v>1761.9001620000001</v>
      </c>
      <c r="AA257" s="3">
        <f>1638.8+(253.4-185.6)+(-4.17894+(-0.64617--0.47328))+0-29.1--0.0742049999999958</f>
        <v>1673.2223749999998</v>
      </c>
      <c r="AB257" s="3">
        <f>1642.7+(158.9-198.8)+(0+(0-0))+0-27.6-0</f>
        <v>1575.2</v>
      </c>
      <c r="AC257" s="3">
        <f>1558.3+(133.4-223)+(-2.384199+(-0.204102--0.34119))+0-28.2--0.0431460000000016</f>
        <v>1438.2960350000001</v>
      </c>
      <c r="AD257">
        <f t="shared" ref="AD257:AD320" si="4">SUM(F257:AC257)</f>
        <v>34740.966143999998</v>
      </c>
      <c r="AE257" s="3">
        <f>1632+(475.6-128.1)+(0+(0-0))+0-28.8-0</f>
        <v>1950.7</v>
      </c>
    </row>
    <row r="258" spans="1:31" s="2" customFormat="1" x14ac:dyDescent="0.25">
      <c r="A258">
        <v>89</v>
      </c>
      <c r="B258">
        <v>9</v>
      </c>
      <c r="C258">
        <v>12</v>
      </c>
      <c r="D258">
        <v>7</v>
      </c>
      <c r="E258">
        <v>1</v>
      </c>
      <c r="F258" s="3">
        <f>1311.4+(181.2-190.3)+(-4.012884+(-0.554472--0.582318))+0-28--0.0856800000000032</f>
        <v>1270.4006420000001</v>
      </c>
      <c r="G258" s="3">
        <f>1105.3+(227.7-161.2)+(0+(0-0))+0-28.4-0</f>
        <v>1143.3999999999999</v>
      </c>
      <c r="H258" s="3">
        <f>1007.9+(243.9-150)+(-0.514029+(-0.124389--0.0765))+0-29.1--0.014840999999997</f>
        <v>1072.1529229999999</v>
      </c>
      <c r="I258" s="3">
        <f>994.9+(238-154.4)+(0.507399+(0.12138-0.078744))+0-28.4-0.0144839999999971</f>
        <v>1050.6355509999999</v>
      </c>
      <c r="J258" s="3">
        <f>994.6+(258.3-172.7)+(0+(0-0))+0-28.8-0</f>
        <v>1051.4000000000001</v>
      </c>
      <c r="K258" s="3">
        <f>994.4+(274.1-181.4)+(1.521432+(0.419373-0.277542))+0-25.9-0.0396270000000015</f>
        <v>1062.8236359999996</v>
      </c>
      <c r="L258" s="3">
        <f>989.3+(307.5-188.6)+(-1.009086+(-0.31365--0.192372))+0-27.8--0.0283560000000044</f>
        <v>1079.297992</v>
      </c>
      <c r="M258" s="3">
        <f>936.6+(343.7-186.4)+(-2.38833+(-0.876435--0.47532))+0-29--0.0739499999999958</f>
        <v>1062.1845050000002</v>
      </c>
      <c r="N258" s="3">
        <f>935.8+(401.2-185.4)+(0.477258+(0.204612-0.094554))+0-28.5-0.0145349999999971</f>
        <v>1123.672781</v>
      </c>
      <c r="O258" s="3">
        <f>1116.4+(344.4-182.4)+(0.569364+(0.175644-0.093024))+0-27.5-0.0140249999999972</f>
        <v>1251.5379590000002</v>
      </c>
      <c r="P258" s="3">
        <f>1108.3+(417.1-183.4)+(-2.260932+(-0.850884--0.374136))+0-28.5--0.0581399999999988</f>
        <v>1310.8204600000001</v>
      </c>
      <c r="Q258" s="3">
        <f>1120.4+(424.5-176.4)+(-0.571404+(-0.216495--0.089964))+0-28--0.0142799999999972</f>
        <v>1339.8163450000002</v>
      </c>
      <c r="R258" s="3">
        <f>1089.2+(426.7-164)+(-1.666476+(-0.652851--0.25092))+0-27.1--0.0414630000000016</f>
        <v>1322.7730560000002</v>
      </c>
      <c r="S258" s="3">
        <f>953+(514.7-156.6)+(-1.45809+(-0.787491--0.239598))+0-27.4--0.0419220000000016</f>
        <v>1281.7359389999999</v>
      </c>
      <c r="T258" s="3">
        <f>941.2+(484.5-157.7)+(0.480012+(0.247095-0.080427))+0-27.7-0.0141269999999972</f>
        <v>1240.9325530000001</v>
      </c>
      <c r="U258" s="3">
        <f>940+(490.5-160.8)+(-0.9588+(-0.50031--0.164016))+0-28.8--0.0293760000000046</f>
        <v>1239.634282</v>
      </c>
      <c r="V258" s="3">
        <f>1018.4+(466.2-163.4)+(-1.038768+(-0.475524--0.166668))+0-29.3--0.0298860000000047</f>
        <v>1290.5822619999999</v>
      </c>
      <c r="W258" s="3">
        <f>1269+(546.8-184.7)+(0+(0-0))+0-29.7-0</f>
        <v>1601.3999999999999</v>
      </c>
      <c r="X258" s="3">
        <f>1297.5+(670.2-190.7)+(-1.32345+(-0.683604--0.194514))+0-29.7--0.0302940000000047</f>
        <v>1745.517754</v>
      </c>
      <c r="Y258" s="3">
        <f>1155.8+(768.6-188)+(-0.589458+(-0.391986--0.09588))+0-29.5--0.015044999999997</f>
        <v>1706.0294810000003</v>
      </c>
      <c r="Z258" s="3">
        <f>1154.3+(728.2-187.2)+(-1.177386+(-0.742764--0.190944))+0-30--0.0306000000000048</f>
        <v>1663.601394</v>
      </c>
      <c r="AA258" s="3">
        <f>1154+(673.4-183.7)+(-1.17708+(-0.686868--0.187374))+0-29.5--0.0300900000000047</f>
        <v>1612.5535159999999</v>
      </c>
      <c r="AB258" s="3">
        <f>1154.1+(565.7-186.6)+(0+(0-0))+0-27.1-0</f>
        <v>1506.1</v>
      </c>
      <c r="AC258" s="3">
        <f>1124.7+(459.5-191.6)+(-2.867985+(-1.171725--0.48858))+0-27.5--0.070124999999996</f>
        <v>1361.6189949999998</v>
      </c>
      <c r="AD258">
        <f t="shared" si="4"/>
        <v>31390.622026000001</v>
      </c>
      <c r="AE258" s="3">
        <f>1335.1+(633.5-156.3)+(0+(0-0))+0-32.8-0</f>
        <v>1779.5</v>
      </c>
    </row>
    <row r="259" spans="1:31" s="2" customFormat="1" x14ac:dyDescent="0.25">
      <c r="A259">
        <v>89</v>
      </c>
      <c r="B259">
        <v>9</v>
      </c>
      <c r="C259">
        <v>13</v>
      </c>
      <c r="D259">
        <v>1</v>
      </c>
      <c r="E259">
        <v>1</v>
      </c>
      <c r="F259" s="3">
        <f>1010.9+(461.9-192.8)+(-3.093354+(-1.413414--0.589968))+0-29.1--0.0890460000000034</f>
        <v>1247.0722460000002</v>
      </c>
      <c r="G259" s="3">
        <f>1005.9+(355.8-201.7)+(-2.052036+(-0.725832--0.411468))+0-28.7--0.0585479999999987</f>
        <v>1128.9921479999998</v>
      </c>
      <c r="H259" s="3">
        <f>1005.7+(304.2-201.1)+(-2.051628+(-0.620568--0.410244))+0-28.5--0.0581399999999988</f>
        <v>1078.096188</v>
      </c>
      <c r="I259" s="3">
        <f>1006.5+(278.7-200.3)+(-1.02663+(-0.284274--0.204306))+0-27.8--0.0283560000000044</f>
        <v>1056.0217580000001</v>
      </c>
      <c r="J259" s="3">
        <f>1013.2+(266.2-195.8)+(0+(0-0))+0-28.9-0</f>
        <v>1054.6999999999998</v>
      </c>
      <c r="K259" s="3">
        <f>1005+(293.1-196.2)+(0.51255+(0.149481-0.100062))+0-28-0.0142799999999972</f>
        <v>1074.4476890000001</v>
      </c>
      <c r="L259" s="3">
        <f>1116.7+(280.2-224.3)+(-2.278068+(-0.571608--0.457572))+0-28.9--0.0589559999999987</f>
        <v>1141.3668519999999</v>
      </c>
      <c r="M259" s="3">
        <f>1220.9+(270-215.1)+(-1.245318+(-0.2754--0.219402))+0-29.3--0.0298860000000047</f>
        <v>1245.2285700000002</v>
      </c>
      <c r="N259" s="3">
        <f>1345.9+(271.8-206)+(0+(0-0))+0-29.7-0</f>
        <v>1382</v>
      </c>
      <c r="O259" s="3">
        <f>1439.5+(300.6-185.8)+(2.202435+(0.459918-0.284274))+0-27-0.0413100000000016</f>
        <v>1529.636769</v>
      </c>
      <c r="P259" s="3">
        <f>1488.5+(301.6-180)+(-2.277405+(-0.461448--0.2754))+0-14.4--0.0220320000000008</f>
        <v>1593.2585789999998</v>
      </c>
      <c r="Q259" s="3">
        <f>1581+(225.8-173.9)+(0+(0-0))+0-8.9-0</f>
        <v>1624</v>
      </c>
      <c r="R259" s="3">
        <f>1484.4+(298.4-171.7)+(-4.542264+(-0.913104--0.525402))+0-7.2--0.0220320000000008</f>
        <v>1598.9920660000002</v>
      </c>
      <c r="S259" s="3">
        <f>1319.6+(425.4-151.4)+(-2.018988+(-0.650862--0.231642))+0-10.5--0.0160650000000006</f>
        <v>1580.6778569999999</v>
      </c>
      <c r="T259" s="3">
        <f>1456.2+(244.4-158.1)+(0+(0-0))+0-25.1-0</f>
        <v>1517.4</v>
      </c>
      <c r="U259" s="3">
        <f>1357.8+(343.6-143.1)+(0+(0-0))+0-27.6-0</f>
        <v>1530.7</v>
      </c>
      <c r="V259" s="3">
        <f>1419.8+(335.7-145)+(-0.724098+(-0.171207--0.07395))+0-27.6--0.0140759999999972</f>
        <v>1582.092721</v>
      </c>
      <c r="W259" s="3">
        <f>1605.5+(487.2-160.6)+(2.456415+(0.745416-0.245718))+0-29.4-0.0449820000000017</f>
        <v>1905.6111309999999</v>
      </c>
      <c r="X259" s="3">
        <f>1606+(618.7-166.1)+(-3.27624+(-1.262148--0.338844))+0-28.4--0.0579359999999988</f>
        <v>2026.0583919999997</v>
      </c>
      <c r="Y259" s="3">
        <f>1611.1+(544.4-164.2)+(-4.108305+(-1.38822--0.41871))+0-29.2--0.0744599999999958</f>
        <v>1957.0966449999999</v>
      </c>
      <c r="Z259" s="3">
        <f>1610.5+(453.5-163.5)+(0+(0-0))+0-28.9-0</f>
        <v>1871.6</v>
      </c>
      <c r="AA259" s="3">
        <f>1517.2+(481.5-155.2)+(-3.86886+(-1.227825--0.39576))+0-28--0.0713999999999959</f>
        <v>1810.8704749999999</v>
      </c>
      <c r="AB259" s="3">
        <f>1520.8+(352.4-161.4)+(-1.551216+(-0.359448--0.164628))+0-26.7--0.0272340000000043</f>
        <v>1683.3811979999998</v>
      </c>
      <c r="AC259" s="3">
        <f>1380.5+(309.8-177)+(-3.520275+(-0.78999--0.45135))+0-27.3--0.069614999999996</f>
        <v>1482.2106999999999</v>
      </c>
      <c r="AD259">
        <f t="shared" si="4"/>
        <v>35701.511984000004</v>
      </c>
      <c r="AE259" s="3">
        <f>1620.6+(541.4-119.2)+(0+(0-0))+0-28.8-0</f>
        <v>2014</v>
      </c>
    </row>
    <row r="260" spans="1:31" s="2" customFormat="1" x14ac:dyDescent="0.25">
      <c r="A260">
        <v>89</v>
      </c>
      <c r="B260">
        <v>9</v>
      </c>
      <c r="C260">
        <v>14</v>
      </c>
      <c r="D260">
        <v>2</v>
      </c>
      <c r="E260">
        <v>1</v>
      </c>
      <c r="F260" s="3">
        <f>1205.3+(294.4-199.6)+(-2.458812+(-0.600576--0.407184))+0-27.5--0.0560999999999988</f>
        <v>1270.0038959999999</v>
      </c>
      <c r="G260" s="3">
        <f>1189.6+(217.6-212)+(0+(0-0))+0-28.5-0</f>
        <v>1166.6999999999998</v>
      </c>
      <c r="H260" s="3">
        <f>1189.1+(202.8-235.1)+(-0.606441+(-0.103428--0.119901))+0-29.1--0.014840999999997</f>
        <v>1127.124873</v>
      </c>
      <c r="I260" s="3">
        <f>1189.2+(200.8-243.9)+(0+(0-0))+0-28.5-0</f>
        <v>1117.6000000000001</v>
      </c>
      <c r="J260" s="3">
        <f>1188.4+(203.1-257.6)+(-1.212168+(-0.207162--0.262752))+0-28.4--0.0289680000000045</f>
        <v>1104.37239</v>
      </c>
      <c r="K260" s="3">
        <f>1188.9+(207.9-251.9)+(0+(0-0))+0-29.1-0</f>
        <v>1115.8000000000002</v>
      </c>
      <c r="L260" s="3">
        <f>1221.3+(205-220.8)+(-1.245726+(-0.2091--0.225216))+0-28.7--0.0292740000000046</f>
        <v>1175.5996639999998</v>
      </c>
      <c r="M260" s="3">
        <f>1259.4+(210.7-197.9)+(-1.284588+(-0.214914--0.201858))+0-28.9--0.0294780000000046</f>
        <v>1242.0318339999999</v>
      </c>
      <c r="N260" s="3">
        <f>1464.1+(194.9-245.6)+(0.746691+(0.099399-0.125256))+0-29.6-0.015095999999997</f>
        <v>1384.5057379999998</v>
      </c>
      <c r="O260" s="3">
        <f>1602.6+(155.6-222.3)+(0.817326+(0.079356-0.113373))+0-29.1-0.014840999999997</f>
        <v>1507.5684679999999</v>
      </c>
      <c r="P260" s="3">
        <f>1596.8+(152.6-166)+(-0.814368+(-0.077826--0.08466))+0-29.5--0.015044999999997</f>
        <v>1553.1075109999999</v>
      </c>
      <c r="Q260" s="3">
        <f>1595.8+(148.1-146)+(-2.441574+(-0.226593--0.22338))+0-29.4--0.0449820000000017</f>
        <v>1566.1001949999998</v>
      </c>
      <c r="R260" s="3">
        <f>1505.8+(205.9-145.7)+(-2.303874+(-0.315027--0.222921))+0-27.8--0.0425340000000016</f>
        <v>1535.846554</v>
      </c>
      <c r="S260" s="3">
        <f>1457.1+(224.5-147.2)+(-0.743121+(-0.114495--0.075072))+0-27.7--0.0141269999999972</f>
        <v>1505.9315829999998</v>
      </c>
      <c r="T260" s="3">
        <f>1517.2+(146.5-160)+(-0.773772+(-0.074715--0.0816))+0-29.5--0.015044999999997</f>
        <v>1473.4481580000001</v>
      </c>
      <c r="U260" s="3">
        <f>1583+(133.3-184.5)+(0+(0-0))+0-30.4-0</f>
        <v>1501.3999999999999</v>
      </c>
      <c r="V260" s="3">
        <f>1573.7+(151.1-140.4)+(-4.012935+(-0.385305--0.35802))+0-30.9--0.0787949999999955</f>
        <v>1549.5385749999998</v>
      </c>
      <c r="W260" s="3">
        <f>1611.4+(410.5-126.8)+(0+(0-0))+0-30-0</f>
        <v>1865.1000000000001</v>
      </c>
      <c r="X260" s="3">
        <f>1502+(605.9-126.3)+(-3.8301+(-1.545045--0.322065))+0-29.5--0.0752249999999957</f>
        <v>1947.122145</v>
      </c>
      <c r="Y260" s="3">
        <f>1480.8+(569.5-114.5)+(-1.510416+(-0.58089--0.11679))+0-30.2--0.0308040000000048</f>
        <v>1903.6562879999999</v>
      </c>
      <c r="Z260" s="3">
        <f>1470+(519.1-123.9)+(-3.7485+(-1.323705--0.315945))+0-30.3--0.0772649999999956</f>
        <v>1830.2210049999999</v>
      </c>
      <c r="AA260" s="3">
        <f>1476.4+(423.1-132.1)+(-1.505928+(-0.431562--0.134742))+0-27.1--0.0276420000000043</f>
        <v>1738.5248940000001</v>
      </c>
      <c r="AB260" s="3">
        <f>1471.8+(322.3-128.6)+(-3.75309+(-0.821865--0.32793))+0-28.1--0.0716549999999959</f>
        <v>1633.2246300000002</v>
      </c>
      <c r="AC260" s="3">
        <f>1311.1+(346.2-175.7)+(-1.337322+(-0.353124--0.179214))+0-28.3--0.0288660000000045</f>
        <v>1451.817634</v>
      </c>
      <c r="AD260">
        <f t="shared" si="4"/>
        <v>35266.346034999995</v>
      </c>
      <c r="AE260" s="3">
        <f>1606.6+(466.6-120.2)+(0+(0-0))+0-31.2-0</f>
        <v>1921.8</v>
      </c>
    </row>
    <row r="261" spans="1:31" s="2" customFormat="1" x14ac:dyDescent="0.25">
      <c r="A261">
        <v>89</v>
      </c>
      <c r="B261">
        <v>9</v>
      </c>
      <c r="C261">
        <v>15</v>
      </c>
      <c r="D261">
        <v>3</v>
      </c>
      <c r="E261">
        <v>1</v>
      </c>
      <c r="F261" s="3">
        <f>1094.9+(375-150.9)+(-1.675197+(-0.57375--0.230877))+0-28.5--0.0436050000000016</f>
        <v>1288.525535</v>
      </c>
      <c r="G261" s="3">
        <f>1084.2+(284.8-161.9)+(-1.105884+(-0.290496--0.165138))+0-26.9--0.0274380000000043</f>
        <v>1178.9961960000001</v>
      </c>
      <c r="H261" s="3">
        <f>1085.2+(243.1-164.3)+(-1.660356+(-0.371943--0.251379))+0-29--0.0443700000000017</f>
        <v>1133.2634500000001</v>
      </c>
      <c r="I261" s="3">
        <f>1085.8+(233-169.4)+(-1.661274+(-0.35649--0.259182))+0-29--0.0443700000000017</f>
        <v>1118.685788</v>
      </c>
      <c r="J261" s="3">
        <f>1084.5+(234.5-168.1)+(-0.553095+(-0.119595--0.085731))+0-26.8--0.0136679999999973</f>
        <v>1123.5267090000002</v>
      </c>
      <c r="K261" s="3">
        <f>1229.4+(170.4-221)+(0+(0-0))+0-28.6-0</f>
        <v>1150.2000000000003</v>
      </c>
      <c r="L261" s="3">
        <f>1339.1+(155.1-239.2)+(-0.682941+(-0.079101--0.121992))+0-28.4--0.0144839999999971</f>
        <v>1225.974434</v>
      </c>
      <c r="M261" s="3">
        <f>1473.7+(104.5-244.6)+(0+(0-0))+0-28.1-0</f>
        <v>1305.5000000000002</v>
      </c>
      <c r="N261" s="3">
        <f>1638.7+(81.6-261.9)+(0+(0-0))+0-26.2-0</f>
        <v>1432.2</v>
      </c>
      <c r="O261" s="3">
        <f>1636.3+(84.9-156.6)+(2.503539+(0.129897-0.239598))+0-26.1-0.0399330000000015</f>
        <v>1540.8539049999999</v>
      </c>
      <c r="P261" s="3">
        <f>1640.3+(115.8-151.6)+(-1.673106+(-0.118116--0.154632))+0-27.6--0.0281520000000044</f>
        <v>1575.2915620000001</v>
      </c>
      <c r="Q261" s="3">
        <f>1587.5+(122.8-142.7)+(-2.428875+(-0.187884--0.218331))+0-27.8--0.0425340000000016</f>
        <v>1537.4441059999999</v>
      </c>
      <c r="R261" s="3">
        <f>1608.4+(130.4-145.6)+(-5.741988+(-0.465528--0.519792))+0-25.6--0.0913920000000004</f>
        <v>1562.0036680000003</v>
      </c>
      <c r="S261" s="3">
        <f>1511.4+(175.8-139.8)+(-0.770814+(-0.089658--0.071298))+0-21.2--0.0108119999999978</f>
        <v>1525.421638</v>
      </c>
      <c r="T261" s="3">
        <f>1495.8+(166.2-136.4)+(-2.288574+(-0.254286--0.208692))+0-21.9--0.0335070000000013</f>
        <v>1501.3993389999998</v>
      </c>
      <c r="U261" s="3">
        <f>1497.3+(184.5-140.4)+(-2.290869+(-0.282285--0.214812))+0-21.3--0.0325890000000012</f>
        <v>1517.7742469999998</v>
      </c>
      <c r="V261" s="3">
        <f>1504.9+(250.5-137)+(-2.302497+(-0.383265--0.20961))+0-23--0.0351900000000013</f>
        <v>1592.9590380000002</v>
      </c>
      <c r="W261" s="3">
        <f>1644.9+(441.2-144.9)+(0.838899+(0.225012-0.073899))+0-26.2-0.0133619999999973</f>
        <v>1915.9766500000001</v>
      </c>
      <c r="X261" s="3">
        <f>1675.1+(497.3-151.1)+(-1.708602+(-0.507246--0.154122))+0-31.3--0.031926000000005</f>
        <v>1987.9702000000002</v>
      </c>
      <c r="Y261" s="3">
        <f>1581+(527.5-150.4)+(-5.64417+(-1.883175--0.536928))+0-29.8--0.106386</f>
        <v>1921.4159689999999</v>
      </c>
      <c r="Z261" s="3">
        <f>1510.2+(529.1-149.5)+(-2.310606+(-0.809523--0.228735))+0-29.9--0.0457470000000017</f>
        <v>1857.054353</v>
      </c>
      <c r="AA261" s="3">
        <f>1509.6+(442.6-150.5)+(-2.309688+(-0.677178--0.230265))+0-28.2--0.0431460000000016</f>
        <v>1770.7865449999997</v>
      </c>
      <c r="AB261" s="3">
        <f>1415.3+(410.2-154.4)+(-2.887212+(-0.836808--0.314976))+0-28--0.0571199999999988</f>
        <v>1639.7480759999999</v>
      </c>
      <c r="AC261" s="3">
        <f>1224.5+(413.8-162.7)+(-3.74697+(-1.266228--0.497862))+0-29.4--0.0899640000000034</f>
        <v>1441.7746279999999</v>
      </c>
      <c r="AD261">
        <f t="shared" si="4"/>
        <v>35844.746036000004</v>
      </c>
      <c r="AE261" s="3">
        <f>1652.4+(542.8-150.6)+(0+(0-0))+0-30.4-0</f>
        <v>2014.1999999999998</v>
      </c>
    </row>
    <row r="262" spans="1:31" s="2" customFormat="1" x14ac:dyDescent="0.25">
      <c r="A262">
        <v>89</v>
      </c>
      <c r="B262">
        <v>9</v>
      </c>
      <c r="C262">
        <v>16</v>
      </c>
      <c r="D262">
        <v>4</v>
      </c>
      <c r="E262">
        <v>1</v>
      </c>
      <c r="F262" s="3">
        <f>1183.3+(298.7-169.9)+(-1.810449+(-0.457011--0.259947))+0-29.2--0.0446760000000017</f>
        <v>1280.9371629999998</v>
      </c>
      <c r="G262" s="3">
        <f>1180.3+(222.7-185.4)+(-1.203906+(-0.227154--0.189108))+0-28.3--0.0288660000000045</f>
        <v>1188.086914</v>
      </c>
      <c r="H262" s="3">
        <f>1178.6+(203.3-226.5)+(0+(0-0))+0-28.4-0</f>
        <v>1126.9999999999998</v>
      </c>
      <c r="I262" s="3">
        <f>1237.7+(192.4-283.2)+(-1.262454+(-0.196248--0.288864))+0-27.7--0.0282540000000044</f>
        <v>1118.0584160000001</v>
      </c>
      <c r="J262" s="3">
        <f>1250.4+(191.3-293.7)+(-1.275408+(-0.195126--0.299574))+0-27.9--0.0284580000000044</f>
        <v>1118.957498</v>
      </c>
      <c r="K262" s="3">
        <f>1252+(196.3-290)+(-0.63852+(-0.100113--0.1479))+0-28.5--0.0145349999999971</f>
        <v>1129.223802</v>
      </c>
      <c r="L262" s="3">
        <f>1256.5+(192.8-230.2)+(-1.922445+(-0.294984--0.352206))+0-28.9--0.0442170000000017</f>
        <v>1188.3789939999997</v>
      </c>
      <c r="M262" s="3">
        <f>1354.8+(168.4-209.7)+(0+(0-0))+0-30-0</f>
        <v>1283.5</v>
      </c>
      <c r="N262" s="3">
        <f>1382.5+(218.5-167.5)+(-2.115225+(-0.334305--0.256275))+0-29.8--0.0455940000000017</f>
        <v>1401.5523390000001</v>
      </c>
      <c r="O262" s="3">
        <f>1368.2+(332.8-154.4)+(2.093346+(0.509184-0.236232))+0-27.4-0.0419220000000016</f>
        <v>1521.5243759999998</v>
      </c>
      <c r="P262" s="3">
        <f>1367.7+(369.1-148.3)+(-2.092581+(-0.564723--0.226899))+0-28.8--0.0440640000000017</f>
        <v>1557.3136589999999</v>
      </c>
      <c r="Q262" s="3">
        <f>1468.6+(296.9-148.9)+(-1.497972+(-0.302838--0.151878))+0-29.2--0.0297840000000047</f>
        <v>1585.7808519999999</v>
      </c>
      <c r="R262" s="3">
        <f>1494.8+(246.9-146.8)+(-1.524696+(-0.251838--0.149736))+0-27.7--0.0282540000000044</f>
        <v>1565.6014559999999</v>
      </c>
      <c r="S262" s="3">
        <f>1478.1+(230.7-149.8)+(-0.753831+(-0.117657--0.076398))+0-27.9--0.0142289999999972</f>
        <v>1530.3191389999997</v>
      </c>
      <c r="T262" s="3">
        <f>1503.7+(170.2-144.5)+(0.766887+(0.086802-0.073695))+0-27.6-0.0140759999999972</f>
        <v>1502.5659180000002</v>
      </c>
      <c r="U262" s="3">
        <f>1465.4+(223.4-146.1)+(0.747354+(0.113934-0.074511))+0-29.3-0.014942999999997</f>
        <v>1514.1718340000002</v>
      </c>
      <c r="V262" s="3">
        <f>1606.7+(163.1-146.6)+(-4.097085+(-0.415905--0.37383))+0-30.2--0.0770099999999956</f>
        <v>1588.93785</v>
      </c>
      <c r="W262" s="3">
        <f>1809.6+(296.6-159.1)+(0+(0-0))+0-30.6-0</f>
        <v>1916.5</v>
      </c>
      <c r="X262" s="3">
        <f>1810.6+(389.6-166)+(-5.540436+(-1.192176--0.50796))+0-30.7--0.0939420000000036</f>
        <v>1997.3692899999996</v>
      </c>
      <c r="Y262" s="3">
        <f>1744.8+(392.1-162.8)+(-3.559392+(-0.799884--0.332112))+0-30.7--0.0626279999999987</f>
        <v>1939.4354639999997</v>
      </c>
      <c r="Z262" s="3">
        <f>1735.9+(323.8-161.9)+(-2.655927+(-0.495414--0.247707))+0-30.5--0.0466650000000018</f>
        <v>1864.4430310000002</v>
      </c>
      <c r="AA262" s="3">
        <f>1673.4+(287.8-159.9)+(-2.560302+(-0.440334--0.244647))+0-28.9--0.0442170000000017</f>
        <v>1769.688228</v>
      </c>
      <c r="AB262" s="3">
        <f>1572.8+(261.3-162.1)+(-3.208512+(-0.533052--0.330684))+0-27--0.0550799999999988</f>
        <v>1641.6442000000002</v>
      </c>
      <c r="AC262" s="3">
        <f>1332.9+(317-168.6)+(-3.398895+(-0.80835--0.42993))+0-27.4--0.069869999999996</f>
        <v>1450.1925550000001</v>
      </c>
      <c r="AD262">
        <f t="shared" si="4"/>
        <v>35781.182977999997</v>
      </c>
      <c r="AE262" s="3">
        <f>1822+(408.1-161.8)+(0+(0-0))+0-25.6-0</f>
        <v>2042.7000000000003</v>
      </c>
    </row>
    <row r="263" spans="1:31" s="2" customFormat="1" x14ac:dyDescent="0.25">
      <c r="A263">
        <v>89</v>
      </c>
      <c r="B263">
        <v>9</v>
      </c>
      <c r="C263">
        <v>17</v>
      </c>
      <c r="D263">
        <v>5</v>
      </c>
      <c r="E263">
        <v>1</v>
      </c>
      <c r="F263" s="3">
        <f>1170.4+(306.7-201.3)+(-3.581424+(-0.938502--0.615978))+0-28.3--0.0865980000000033</f>
        <v>1243.6826500000004</v>
      </c>
      <c r="G263" s="3">
        <f>1173.8+(213.1-215.7)+(-2.394552+(-0.434724--0.440028))+0-28.8--0.0587519999999987</f>
        <v>1140.0695040000001</v>
      </c>
      <c r="H263" s="3">
        <f>1173.2+(200.7-249.4)+(-2.99166+(-0.511785--0.63597))+0-28.5--0.0726749999999959</f>
        <v>1093.2051999999999</v>
      </c>
      <c r="I263" s="3">
        <f>1235.6+(179.9-310.9)+(0+(0-0))+0-28.2-0</f>
        <v>1076.3999999999999</v>
      </c>
      <c r="J263" s="3">
        <f>1315.1+(167.1-374.7)+(0.670701+(0.085221-0.191097))+0-27.5-0.0140249999999972</f>
        <v>1080.5508</v>
      </c>
      <c r="K263" s="3">
        <f>1300.8+(171.6-336.9)+(-1.326816+(-0.175032--0.343638))+0-28.3--0.0288660000000045</f>
        <v>1106.0706560000001</v>
      </c>
      <c r="L263" s="3">
        <f>1317.3+(171.6-296.3)+(0+(0-0))+0-28.3-0</f>
        <v>1164.3</v>
      </c>
      <c r="M263" s="3">
        <f>1558+(112.4-372.6)+(-1.58916+(-0.114648--0.380052))+0-28.9--0.0294780000000046</f>
        <v>1267.6057219999998</v>
      </c>
      <c r="N263" s="3">
        <f>1613+(80.1-269.4)+(-2.46789+(-0.122553--0.412182))+0-28.8--0.0440640000000017</f>
        <v>1392.765803</v>
      </c>
      <c r="O263" s="3">
        <f>1690.4+(90.2-250.6)+(-1.724208+(-0.092004--0.255612))+0-28.7--0.0292740000000046</f>
        <v>1499.7686739999999</v>
      </c>
      <c r="P263" s="3">
        <f>1800.2+(78.8-286.5)+(-2.754306+(-0.120564--0.438345))+0-29.7--0.0454410000000017</f>
        <v>1560.4089159999999</v>
      </c>
      <c r="Q263" s="3">
        <f>1833.2+(75.5-292.2)+(-2.804796+(-0.115515--0.447066))+0-30--0.0459000000000017</f>
        <v>1584.0726550000002</v>
      </c>
      <c r="R263" s="3">
        <f>1801+(72-284.8)+(-4.59255+(-0.1836--0.72624))+0-28.6--0.0729299999999959</f>
        <v>1555.6230200000002</v>
      </c>
      <c r="S263" s="3">
        <f>1740.6+(80.6-283.1)+(-1.775412+(-0.082212--0.288762))+0-27.4--0.0279480000000044</f>
        <v>1509.1590859999997</v>
      </c>
      <c r="T263" s="3">
        <f>1704.3+(98.2-287.1)+(-1.738386+(-0.100164--0.292842))+0-28.9--0.0294780000000046</f>
        <v>1484.9837699999996</v>
      </c>
      <c r="U263" s="3">
        <f>1678.7+(117.4-264.1)+(-1.712274+(-0.119748--0.269382))+0-29.6--0.0301920000000047</f>
        <v>1500.8675519999999</v>
      </c>
      <c r="V263" s="3">
        <f>1765.1+(109.1-282.2)+(-3.600804+(-0.222564--0.575688))+0-30--0.0611999999999987</f>
        <v>1558.8135200000002</v>
      </c>
      <c r="W263" s="3">
        <f>1880.9+(185.5-198.3)+(-0.959259+(-0.094605--0.101133))+0-30.4--0.0155039999999969</f>
        <v>1836.7627729999999</v>
      </c>
      <c r="X263" s="3">
        <f>1923+(258.5-209.8)+(-2.94219+(-0.395505--0.320994))+0-31.1--0.0475830000000018</f>
        <v>1937.6308820000002</v>
      </c>
      <c r="Y263" s="3">
        <f>1830.6+(283.1-209.6)+(-3.734424+(-0.577524--0.427584))+0-30.5--0.0622199999999987</f>
        <v>1869.7778559999999</v>
      </c>
      <c r="Z263" s="3">
        <f>1627.3+(400.2-181.3)+(0.829923+(0.204102-0.092463))+0-29.1-0.014840999999997</f>
        <v>1818.026721</v>
      </c>
      <c r="AA263" s="3">
        <f>1569+(381.2-180.6)+(-1.60038+(-0.388824--0.184212))+0-27.1--0.0276420000000043</f>
        <v>1740.7226499999999</v>
      </c>
      <c r="AB263" s="3">
        <f>1458.1+(389.7-177.5)+(-3.718155+(-0.993735--0.452625))+0-26.9--0.0685949999999961</f>
        <v>1639.2093299999999</v>
      </c>
      <c r="AC263" s="3">
        <f>1417.6+(251.6-193.9)+(-1.445952+(-0.256632--0.197778))+0-26.6--0.0271320000000042</f>
        <v>1447.2223260000001</v>
      </c>
      <c r="AD263">
        <f t="shared" si="4"/>
        <v>35107.700065999998</v>
      </c>
      <c r="AE263" s="3">
        <f>1912.5+(242.2-172)+(0+(0-0))+0-31.2-0</f>
        <v>1951.5</v>
      </c>
    </row>
    <row r="264" spans="1:31" s="2" customFormat="1" x14ac:dyDescent="0.25">
      <c r="A264">
        <v>89</v>
      </c>
      <c r="B264">
        <v>9</v>
      </c>
      <c r="C264">
        <v>18</v>
      </c>
      <c r="D264">
        <v>6</v>
      </c>
      <c r="E264">
        <v>1</v>
      </c>
      <c r="F264" s="3">
        <f>1172.1+(296.9-195.4)+(0.597771+(0.151419-0.099654))+0-28.8-0.0146879999999971</f>
        <v>1245.4348479999999</v>
      </c>
      <c r="G264" s="3">
        <f>1147.6+(236.1-208.3)+(-0.585276+(-0.120411--0.106233))+0-28.7--0.0146369999999971</f>
        <v>1146.1151829999999</v>
      </c>
      <c r="H264" s="3">
        <f>1146.8+(211.4-228)+(-0.584868+(-0.107814--0.11628))+0-28.9--0.0147389999999971</f>
        <v>1100.738337</v>
      </c>
      <c r="I264" s="3">
        <f>1148.2+(204.8-238.7)+(0+(0-0))+0-28.9-0</f>
        <v>1085.4000000000001</v>
      </c>
      <c r="J264" s="3">
        <f>1153.3+(203.4-244.8)+(1.764549+(0.311202-0.374544))+0-28.7-0.0439110000000017</f>
        <v>1084.8572959999999</v>
      </c>
      <c r="K264" s="3">
        <f>1152.3+(209.7-231.8)+(0.587673+(0.106947-0.118218))+0-28.1-0.0143309999999971</f>
        <v>1102.6620709999997</v>
      </c>
      <c r="L264" s="3">
        <f>1237.1+(183.1-234.5)+(-2.523684+(-0.373524--0.47838))+0-29.1--0.0593639999999987</f>
        <v>1154.2405359999998</v>
      </c>
      <c r="M264" s="3">
        <f>1459.6+(126-292.3)+(-1.488792+(-0.12852--0.298146))+0-28.5--0.0290700000000045</f>
        <v>1263.509904</v>
      </c>
      <c r="N264" s="3">
        <f>1575+(99-267.5)+(3.213+(0.20196-0.5457))+0-28.9-0.0589559999999987</f>
        <v>1380.4103039999998</v>
      </c>
      <c r="O264" s="3">
        <f>1569.8+(143.7-204.8)+(-0.800598+(-0.073287--0.104448))+0-29.5--0.015044999999997</f>
        <v>1478.445608</v>
      </c>
      <c r="P264" s="3">
        <f>1564.6+(190.4-191.1)+(0.797946+(0.097104-0.097461))+0-30.3-0.0154529999999969</f>
        <v>1534.3821359999999</v>
      </c>
      <c r="Q264" s="3">
        <f>1557.5+(204.3-179.7)+(-0.794325+(-0.104193--0.091647))+0-29.7--0.015146999999997</f>
        <v>1551.6082759999999</v>
      </c>
      <c r="R264" s="3">
        <f>1582+(169.5-186.4)+(-4.0341+(-0.432225--0.47532))+0-24.1--0.0614549999999965</f>
        <v>1537.0704499999999</v>
      </c>
      <c r="S264" s="3">
        <f>1421.6+(250.7-170.6)+(-1.450032+(-0.255714--0.174012))+0-28--0.0285600000000045</f>
        <v>1472.1968259999999</v>
      </c>
      <c r="T264" s="3">
        <f>1438+(205.2-176.7)+(-0.73338+(-0.104652--0.090117))+0-30.1--0.0153509999999969</f>
        <v>1435.6674360000002</v>
      </c>
      <c r="U264" s="3">
        <f>1495.3+(139.9-195.9)+(-1.525206+(-0.142698--0.199818))+0-30.6--0.0312120000000049</f>
        <v>1407.2631260000001</v>
      </c>
      <c r="V264" s="3">
        <f>1593+(124.5-200.5)+(0+(0-0))+0-28-0</f>
        <v>1489</v>
      </c>
      <c r="W264" s="3">
        <f>1672.5+(338.3-178)+(0.852975+(0.172533-0.09078))+0-28.6-0.0145859999999971</f>
        <v>1805.120142</v>
      </c>
      <c r="X264" s="3">
        <f>1665.1+(428.5-180.2)+(0+(0-0))+0-29-0</f>
        <v>1884.3999999999999</v>
      </c>
      <c r="Y264" s="3">
        <f>1665.2+(385.9-186.2)+(-2.547756+(-0.590427--0.284886))+0-29.4--0.0449820000000017</f>
        <v>1832.6916849999998</v>
      </c>
      <c r="Z264" s="3">
        <f>1664.9+(316-186.6)+(-1.698198+(-0.32232--0.190332))+0-28.7--0.0292740000000046</f>
        <v>1763.7990880000002</v>
      </c>
      <c r="AA264" s="3">
        <f>1670+(236.7-189.5)+(0.8517+(0.120717-0.096645))+0-26.2-0.0133619999999973</f>
        <v>1691.8624100000002</v>
      </c>
      <c r="AB264" s="3">
        <f>1665.7+(158.7-206.1)+(-4.247535+(-0.404685--0.525555))+0-27.6--0.070379999999996</f>
        <v>1586.6437149999999</v>
      </c>
      <c r="AC264" s="3">
        <f>1620.1+(106.7-251.9)+(-6.610008+(-0.435336--1.027752))+0-27.8--0.113423999999998</f>
        <v>1441.1958319999999</v>
      </c>
      <c r="AD264">
        <f t="shared" si="4"/>
        <v>34474.715208999995</v>
      </c>
      <c r="AE264" s="3">
        <f>1690+(440.6-141.7)+(0+(0-0))+0-27.2-0</f>
        <v>1961.7</v>
      </c>
    </row>
    <row r="265" spans="1:31" s="2" customFormat="1" x14ac:dyDescent="0.25">
      <c r="A265">
        <v>89</v>
      </c>
      <c r="B265">
        <v>9</v>
      </c>
      <c r="C265">
        <v>19</v>
      </c>
      <c r="D265">
        <v>7</v>
      </c>
      <c r="E265">
        <v>1</v>
      </c>
      <c r="F265" s="3">
        <f>1265.5+(242.3-220.3)+(0+(0-0))+0-28.4-0</f>
        <v>1259.0999999999999</v>
      </c>
      <c r="G265" s="3">
        <f>1210+(204.4-247)+(-1.8513+(-0.312732--0.37791))+0-29.3--0.0448290000000017</f>
        <v>1136.3587070000001</v>
      </c>
      <c r="H265" s="3">
        <f>1023.2+(267.2-196.4)+(-1.043664+(-0.272544--0.200328))+0-28.7--0.0292740000000046</f>
        <v>1064.2133939999999</v>
      </c>
      <c r="I265" s="3">
        <f>1025.4+(232.1-197.7)+(0.522954+(0.118371-0.100827))+0-28.7-0.0146369999999971</f>
        <v>1031.6258610000002</v>
      </c>
      <c r="J265" s="3">
        <f>1025.4+(223-195.7)+(-2.61477+(-0.56865--0.499035))+0-28.8--0.0734399999999958</f>
        <v>1021.2890550000001</v>
      </c>
      <c r="K265" s="3">
        <f>1031.3+(224.7-194.2)+(0.525963+(0.114597-0.099042))+0-28.9-0.0147389999999971</f>
        <v>1033.4267789999999</v>
      </c>
      <c r="L265" s="3">
        <f>1030.4+(253.1-195.9)+(-1.051008+(-0.258162--0.199818))+0-28.7--0.0292740000000046</f>
        <v>1057.8199220000001</v>
      </c>
      <c r="M265" s="3">
        <f>1032.4+(249.5-198.1)+(-1.579572+(-0.381735--0.303093))+0-29--0.0443700000000017</f>
        <v>1053.1861560000002</v>
      </c>
      <c r="N265" s="3">
        <f>1102.8+(243-203.9)+(-1.124856+(-0.24786--0.207978))+0-30.1--0.0307020000000048</f>
        <v>1110.665964</v>
      </c>
      <c r="O265" s="3">
        <f>1251.5+(205.1-197.8)+(-1.914795+(-0.313803--0.302634))+0-30--0.0459000000000017</f>
        <v>1226.919936</v>
      </c>
      <c r="P265" s="3">
        <f>1318.6+(228.9-186)+(-2.689944+(-0.466956--0.37944))+0-28.8--0.0587519999999987</f>
        <v>1329.9812919999999</v>
      </c>
      <c r="Q265" s="3">
        <f>1311.7+(264.1-174.6)+(-1.337934+(-0.269382--0.178092))+0-28.9--0.0294780000000046</f>
        <v>1370.9002539999999</v>
      </c>
      <c r="R265" s="3">
        <f>1310.3+(246.8-168.1)+(-2.004759+(-0.377604--0.257193))+0-25.9--0.0396270000000015</f>
        <v>1361.014457</v>
      </c>
      <c r="S265" s="3">
        <f>1237.6+(263.2-179.4)+(-2.524704+(-0.536928--0.365976))+0-28--0.0571199999999988</f>
        <v>1290.7614639999997</v>
      </c>
      <c r="T265" s="3">
        <f>1234.7+(256.1-187.7)+(-1.259394+(-0.261222--0.191454))+0-29.4--0.0299880000000047</f>
        <v>1272.4008260000001</v>
      </c>
      <c r="U265" s="3">
        <f>1215+(262.5-175.8)+(0+(0-0))+0-27.3-0</f>
        <v>1274.4000000000001</v>
      </c>
      <c r="V265" s="3">
        <f>1248+(265.9-155.8)+(-3.1824+(-0.678045--0.39729))+0-29.6--0.0754799999999957</f>
        <v>1325.1123250000001</v>
      </c>
      <c r="W265" s="3">
        <f>1308.2+(545.9-171.3)+(0.667182+(0.278409-0.087363))+0-28.8-0.0146879999999971</f>
        <v>1654.8435400000001</v>
      </c>
      <c r="X265" s="3">
        <f>1308+(681.9-182.1)+(-0.66708+(-0.347769--0.092871))+0-28.2--0.0143819999999971</f>
        <v>1778.6924039999999</v>
      </c>
      <c r="Y265" s="3">
        <f>1305.5+(654.2-177.4)+(-1.997415+(-1.000926--0.271422))+0-27.4--0.0419220000000016</f>
        <v>1752.2150030000003</v>
      </c>
      <c r="Z265" s="3">
        <f>1291.9+(626-178.9)+(-0.658869+(-0.31926--0.091239))+0-26.3--0.0134129999999973</f>
        <v>1711.826523</v>
      </c>
      <c r="AA265" s="3">
        <f>1256.7+(582.7-179.6)+(0+(0-0))+0-25.7-0</f>
        <v>1634.1000000000001</v>
      </c>
      <c r="AB265" s="3">
        <f>1212.3+(520.4-179.3)+(-1.236546+(-0.530808--0.182886))+0-24.5--0.0249900000000039</f>
        <v>1527.340522</v>
      </c>
      <c r="AC265" s="3">
        <f>1235.4+(365.9-183.4)+(-3.780324+(-1.119654--0.561204))+0-26--0.079560000000003</f>
        <v>1387.6407859999999</v>
      </c>
      <c r="AD265">
        <f t="shared" si="4"/>
        <v>31665.835170000002</v>
      </c>
      <c r="AE265" s="3">
        <f>1316.4+(678.1-146.8)+(0+(0-0))+0-26.4-0</f>
        <v>1821.3</v>
      </c>
    </row>
    <row r="266" spans="1:31" s="2" customFormat="1" x14ac:dyDescent="0.25">
      <c r="A266">
        <v>89</v>
      </c>
      <c r="B266">
        <v>9</v>
      </c>
      <c r="C266">
        <v>20</v>
      </c>
      <c r="D266">
        <v>1</v>
      </c>
      <c r="E266">
        <v>1</v>
      </c>
      <c r="F266" s="3">
        <f>1093.9+(320.8-189.7)+(-1.673667+(-0.490824--0.290241))+0-28.2--0.0431460000000016</f>
        <v>1194.9688959999999</v>
      </c>
      <c r="G266" s="3">
        <f>1011.5+(285-185)+(1.547595+(0.43605-0.28305))+0-27.8-0.0425340000000016</f>
        <v>1085.3580610000001</v>
      </c>
      <c r="H266" s="3">
        <f>1009.4+(244.9-186.8)+(-1.029588+(-0.249798--0.190536))+0-28--0.0285600000000045</f>
        <v>1038.4397099999999</v>
      </c>
      <c r="I266" s="3">
        <f>961.9+(278.8-188.5)+(0+(0-0))+0-28.2-0</f>
        <v>1024</v>
      </c>
      <c r="J266" s="3">
        <f>957.9+(272.7-180.8)+(-0.488529+(-0.139077--0.092208))+0-27.7--0.0141269999999972</f>
        <v>1021.578729</v>
      </c>
      <c r="K266" s="3">
        <f>994.7+(255.5-186.9)+(2.536485+(0.651525-0.476595))+0-27.3-0.069614999999996</f>
        <v>1038.6418000000001</v>
      </c>
      <c r="L266" s="3">
        <f>1177.9+(191.8-204.9)+(-0.600729+(-0.097818--0.104499))+0-27.9--0.0142289999999972</f>
        <v>1136.320181</v>
      </c>
      <c r="M266" s="3">
        <f>1305.5+(165.1-197.1)+(-0.665805+(-0.084201--0.100521))+0-27.3--0.0139229999999972</f>
        <v>1245.5644380000001</v>
      </c>
      <c r="N266" s="3">
        <f>1320.6+(255.5-175.8)+(0+(0-0))+0-27.8-0</f>
        <v>1372.5</v>
      </c>
      <c r="O266" s="3">
        <f>1349.6+(363.1-179.2)+(-1.376592+(-0.370362--0.182784))+0-26.5--0.0270300000000042</f>
        <v>1505.4628599999999</v>
      </c>
      <c r="P266" s="3">
        <f>1350.1+(444.6-190.9)+(0.688551+(0.226746-0.097359))+0-28.3-0.0144329999999971</f>
        <v>1576.3035049999999</v>
      </c>
      <c r="Q266" s="3">
        <f>1346.8+(477.6-193)+(-3.43434+(-1.21788--0.49215))+0-29.1--0.0742049999999958</f>
        <v>1598.2141350000002</v>
      </c>
      <c r="R266" s="3">
        <f>1406.8+(397.2-174.8)+(-2.869872+(-0.810288--0.356592))+0-27.4--0.0558959999999988</f>
        <v>1598.5323279999998</v>
      </c>
      <c r="S266" s="3">
        <f>1425+(298.8-182)+(-2.907+(-0.609552--0.37128))+0-19.9--0.0405959999999991</f>
        <v>1518.7953239999999</v>
      </c>
      <c r="T266" s="3">
        <f>1480.5+(197.7-185.5)+(3.02022+(0.403308-0.37842))+0-26-0.0530399999999989</f>
        <v>1469.6920680000001</v>
      </c>
      <c r="U266" s="3">
        <f>1526.4+(208.2-182.9)+(-3.89232+(-0.53091--0.466395))+0-27.8--0.070889999999996</f>
        <v>1520.0140550000001</v>
      </c>
      <c r="V266" s="3">
        <f>1607.8+(194.2-173)+(-2.459934+(-0.297126--0.26469))+0-28.3--0.0432990000000016</f>
        <v>1598.250929</v>
      </c>
      <c r="W266" s="3">
        <f>1660+(437.1-168.8)+(-2.5398+(-0.668763--0.258264))+0-27.6--0.0422280000000016</f>
        <v>1897.791929</v>
      </c>
      <c r="X266" s="3">
        <f>1680.8+(501.9-177.8)+(-3.428832+(-1.023876--0.362712))+0-27.6--0.0563039999999988</f>
        <v>1973.266308</v>
      </c>
      <c r="Y266" s="3">
        <f>1692.5+(413.8-172.4)+(-2.589525+(-0.633114--0.263772))+0-29.3--0.0448290000000017</f>
        <v>1901.685962</v>
      </c>
      <c r="Z266" s="3">
        <f>1699.7+(355.9-195.4)+(-3.467388+(-0.726036--0.398616))+0-29.3--0.0597719999999987</f>
        <v>1827.1649640000001</v>
      </c>
      <c r="AA266" s="3">
        <f>1696.4+(284.2-199.1)+(-2.595492+(-0.434826--0.304623))+0-28.5--0.0436050000000016</f>
        <v>1750.31791</v>
      </c>
      <c r="AB266" s="3">
        <f>1588.7+(278.2-189.9)+(-3.240948+(-0.567528--0.387396))+0-26.6--0.0542639999999988</f>
        <v>1647.0331840000001</v>
      </c>
      <c r="AC266" s="3">
        <f>1240.6+(431.6-183.3)+(-1.898118+(-0.660348--0.280449))+0-27.6--0.0422280000000016</f>
        <v>1459.0642109999999</v>
      </c>
      <c r="AD266">
        <f t="shared" si="4"/>
        <v>34998.961487</v>
      </c>
      <c r="AE266" s="3">
        <f>1678+(533.1-136.1)+(0+(0-0))+0-25.6-0</f>
        <v>2049.4</v>
      </c>
    </row>
    <row r="267" spans="1:31" s="2" customFormat="1" x14ac:dyDescent="0.25">
      <c r="A267">
        <v>89</v>
      </c>
      <c r="B267">
        <v>9</v>
      </c>
      <c r="C267">
        <v>21</v>
      </c>
      <c r="D267">
        <v>2</v>
      </c>
      <c r="E267">
        <v>1</v>
      </c>
      <c r="F267" s="3">
        <f>1165.7+(329-184.4)+(-2.972535+(-0.83895--0.47022))+0-29--0.0739499999999958</f>
        <v>1278.0326849999999</v>
      </c>
      <c r="G267" s="3">
        <f>1145+(254.1-195.2)+(-0.58395+(-0.129591--0.099552))+0-29.1--0.014840999999997</f>
        <v>1174.2008520000002</v>
      </c>
      <c r="H267" s="3">
        <f>1148+(215.5-203.2)+(-2.34192+(-0.43962--0.414528))+0-28--0.0571199999999988</f>
        <v>1129.990108</v>
      </c>
      <c r="I267" s="3">
        <f>1151.4+(203.3-218.1)+(1.761642+(0.311049-0.333693))+0-27.7-0.0423810000000016</f>
        <v>1110.5966170000002</v>
      </c>
      <c r="J267" s="3">
        <f>1157.5+(204.4-233.6)+(2.951625+(0.52122-0.59568))+0-27.3-0.069614999999996</f>
        <v>1103.8075500000002</v>
      </c>
      <c r="K267" s="3">
        <f>1168.4+(205.2-222.3)+(1.787652+(0.313956-0.340119))+0-27.1-0.0414630000000016</f>
        <v>1125.9200260000002</v>
      </c>
      <c r="L267" s="3">
        <f>1332.4+(186.4-287.8)+(-0.679524+(-0.095064--0.146778))+0-28.7--0.0146369999999971</f>
        <v>1201.686827</v>
      </c>
      <c r="M267" s="3">
        <f>1502.7+(153.7-319.9)+(-0.766377+(-0.078387--0.163149))+0-29.1--0.014840999999997</f>
        <v>1306.7332260000001</v>
      </c>
      <c r="N267" s="3">
        <f>1571.9+(135.1-276.6)+(0+(0-0))+0-30.3-0</f>
        <v>1400.1000000000001</v>
      </c>
      <c r="O267" s="3">
        <f>1574.9+(153.5-199.2)+(-2.409597+(-0.234855--0.304776))+0-33.2--0.0507960000000019</f>
        <v>1493.7111199999999</v>
      </c>
      <c r="P267" s="3">
        <f>1587.8+(196.3-172.5)+(-0.809778+(-0.100113--0.087975))+0-31.4--0.0160139999999968</f>
        <v>1579.3940979999998</v>
      </c>
      <c r="Q267" s="3">
        <f>1580.6+(228.7-170.1)+(-2.418318+(-0.349911--0.260253))+0-30.6--0.0468180000000018</f>
        <v>1606.1388419999998</v>
      </c>
      <c r="R267" s="3">
        <f>1554.1+(251.4-176.1)+(-6.340728+(-1.025712--0.718488))+0-26.4--0.107711999999998</f>
        <v>1596.4597599999997</v>
      </c>
      <c r="S267" s="3">
        <f>1650.2+(149.2-171.7)+(-0.841602+(-0.076092--0.087567))+0-28.6--0.0145859999999971</f>
        <v>1598.2844590000002</v>
      </c>
      <c r="T267" s="3">
        <f>1698.4+(90.4-201.8)+(-2.598552+(-0.138312--0.308754))+0-28--0.0428400000000016</f>
        <v>1556.61473</v>
      </c>
      <c r="U267" s="3">
        <f>1732.9+(71.4-227)+(2.651337+(0.109242-0.34731))+0-27.6-0.0422280000000016</f>
        <v>1552.0710410000002</v>
      </c>
      <c r="V267" s="3">
        <f>1781.7+(75.6-224.4)+(-4.543335+(-0.19278--0.57222))+0-28.6--0.0729299999999959</f>
        <v>1600.2090350000003</v>
      </c>
      <c r="W267" s="3">
        <f>1823.3+(232.6-165.2)+(0.929883+(0.118626-0.084252))+0-30.7-0.0156569999999969</f>
        <v>1860.9486000000002</v>
      </c>
      <c r="X267" s="3">
        <f>1834.3+(297.8-165.6)+(-2.806479+(-0.455634--0.253368))+0-29.6--0.0452880000000017</f>
        <v>1933.936543</v>
      </c>
      <c r="Y267" s="3">
        <f>1823.8+(274.9-179.7)+(-2.790414+(-0.420597--0.274941))+0-29.4--0.0449820000000017</f>
        <v>1886.7089119999998</v>
      </c>
      <c r="Z267" s="3">
        <f>1777.9+(244.8-184.7)+(-1.813458+(-0.249696--0.188394))+0-28.3--0.0288660000000045</f>
        <v>1807.8541060000002</v>
      </c>
      <c r="AA267" s="3">
        <f>1610.4+(307.1-162.2)+(0+(0-0))+0-26.7-0</f>
        <v>1728.6000000000001</v>
      </c>
      <c r="AB267" s="3">
        <f>1593.7+(227.2-166.2)+(-2.438361+(-0.347616--0.254286))+0-25.9--0.0396270000000015</f>
        <v>1626.3079360000002</v>
      </c>
      <c r="AC267" s="3">
        <f>1531.6+(147.6-167.9)+(-1.562232+(-0.150552--0.171258))+0-26.3--0.0268260000000042</f>
        <v>1483.4853000000001</v>
      </c>
      <c r="AD267">
        <f t="shared" si="4"/>
        <v>35741.792372999997</v>
      </c>
      <c r="AE267" s="3">
        <f>1830.5+(314.2-131.8)+(0+(0-0))+0-32-0</f>
        <v>1980.9</v>
      </c>
    </row>
    <row r="268" spans="1:31" s="2" customFormat="1" x14ac:dyDescent="0.25">
      <c r="A268">
        <v>89</v>
      </c>
      <c r="B268">
        <v>9</v>
      </c>
      <c r="C268">
        <v>22</v>
      </c>
      <c r="D268">
        <v>3</v>
      </c>
      <c r="E268">
        <v>1</v>
      </c>
      <c r="F268" s="3">
        <f>1184.4+(290.3-137.7)+(-3.624264+(-0.888318--0.421362))+0-28--0.0856800000000032</f>
        <v>1304.9944599999999</v>
      </c>
      <c r="G268" s="3">
        <f>1203.5+(209.7-188.7)+(-4.296495+(-0.748629--0.673659))+0-28.6--0.102102</f>
        <v>1191.6306370000002</v>
      </c>
      <c r="H268" s="3">
        <f>1216.2+(196.5-239.2)+(-1.860786+(-0.300645--0.365976))+0-27.9--0.0426870000000016</f>
        <v>1143.8472320000001</v>
      </c>
      <c r="I268" s="3">
        <f>1202.5+(191-244.2)+(0+(0-0))+0-28.3-0</f>
        <v>1121</v>
      </c>
      <c r="J268" s="3">
        <f>1243.5+(185.2-283.1)+(-0.634185+(-0.094452--0.144381))+0-27.9--0.0142289999999972</f>
        <v>1117.1299729999996</v>
      </c>
      <c r="K268" s="3">
        <f>1262.8+(184.9-283)+(1.288056+(0.188598-0.28866))+0-28.4-0.0289680000000045</f>
        <v>1137.4590259999998</v>
      </c>
      <c r="L268" s="3">
        <f>1410.9+(177.8-333.3)+(-1.439118+(-0.181356--0.339966))+0-28.3--0.0288660000000045</f>
        <v>1225.8483580000002</v>
      </c>
      <c r="M268" s="3">
        <f>1460.8+(101.3-209)+(0.745008+(0.051663-0.10659))+0-27.4-0.0139739999999972</f>
        <v>1326.3761069999998</v>
      </c>
      <c r="N268" s="3">
        <f>1669+(84.1-268.6)+(-1.70238+(-0.085782--0.273972))+0-29.6--0.0301920000000047</f>
        <v>1453.4160019999999</v>
      </c>
      <c r="O268" s="3">
        <f>1755+(83.9-226.4)+(0+(0-0))+0-29.2-0</f>
        <v>1583.3</v>
      </c>
      <c r="P268" s="3">
        <f>1800.1+(92.9-214.3)+(0+(0-0))+0-28.3-0</f>
        <v>1650.3999999999999</v>
      </c>
      <c r="Q268" s="3">
        <f>1899.4+(72.8-278.3)+(0+(0-0))+0-19.2-0</f>
        <v>1674.7</v>
      </c>
      <c r="R268" s="3">
        <f>1830.1+(88.5-258)+(0+(0-0))+0-8.9-0</f>
        <v>1651.6999999999998</v>
      </c>
      <c r="S268" s="3">
        <f>1857.3+(62.6-299.1)+(0+(0-0))+0-7.1-0</f>
        <v>1613.7</v>
      </c>
      <c r="T268" s="3">
        <f>1895+(38.7-340.8)+(0+(0-0))+0-19.5-0</f>
        <v>1573.4</v>
      </c>
      <c r="U268" s="3">
        <f>1840.7+(43.6-271.1)+(0+(0-0))+0-24.5-0</f>
        <v>1588.7</v>
      </c>
      <c r="V268" s="3">
        <f>1922.2+(50-278.7)+(0+(0-0))+0-27.3-0</f>
        <v>1666.2</v>
      </c>
      <c r="W268" s="3">
        <f>1966.4+(224.2-203.5)+(0+(0-0))+0-30.7-0</f>
        <v>1956.4</v>
      </c>
      <c r="X268" s="3">
        <f>1968.6+(271-203.1)+(0+(0-0))+0-30.7-0</f>
        <v>2005.8</v>
      </c>
      <c r="Y268" s="3">
        <f>1969+(213.8-205.9)+(0+(0-0))+0-30.7-0</f>
        <v>1946.2</v>
      </c>
      <c r="Z268" s="3">
        <f>1845.6+(223.8-162.4)+(0+(0-0))+0-31.1-0</f>
        <v>1875.9</v>
      </c>
      <c r="AA268" s="3">
        <f>1781.3+(189.9-144.7)+(0+(0-0))+0-28.3-0</f>
        <v>1798.2</v>
      </c>
      <c r="AB268" s="3">
        <f>1751.1+(135.1-148.9)+(0+(0-0))+0-27.5-0</f>
        <v>1709.8</v>
      </c>
      <c r="AC268" s="3">
        <f>1544.4+(156.7-141)+(0+(0-0))+0-27.4-0</f>
        <v>1532.7</v>
      </c>
      <c r="AD268">
        <f t="shared" si="4"/>
        <v>36848.801795000007</v>
      </c>
      <c r="AE268" s="3">
        <f>1968.5+(311.9-246.1)+(0+(0-0))+0-30.4-0</f>
        <v>2003.8999999999999</v>
      </c>
    </row>
    <row r="269" spans="1:31" s="2" customFormat="1" x14ac:dyDescent="0.25">
      <c r="A269">
        <v>89</v>
      </c>
      <c r="B269">
        <v>9</v>
      </c>
      <c r="C269">
        <v>23</v>
      </c>
      <c r="D269">
        <v>4</v>
      </c>
      <c r="E269">
        <v>1</v>
      </c>
      <c r="F269" s="3">
        <f>1414.7+(140.8-166.7)+(0+(0-0))+0-28.3-0</f>
        <v>1360.5000000000002</v>
      </c>
      <c r="G269" s="3">
        <f>1395.4+(163.2-287.9)+(0+(0-0))+0-28.9-0</f>
        <v>1241.8</v>
      </c>
      <c r="H269" s="3">
        <f>1368+(187.7-347.9)+(0+(0-0))+0-29.1-0</f>
        <v>1178.7</v>
      </c>
      <c r="I269" s="3">
        <f>1432.5+(164.6-416.6)+(0+(0-0))+0-29.3-0</f>
        <v>1151.2</v>
      </c>
      <c r="J269" s="3">
        <f>1413.8+(167.5-401.1)+(0+(0-0))+0-29.1-0</f>
        <v>1151.0999999999999</v>
      </c>
      <c r="K269" s="3">
        <f>1454.7+(154.7-408.5)+(0+(0-0))+0-29.1-0</f>
        <v>1171.8000000000002</v>
      </c>
      <c r="L269" s="3">
        <f>1455.4+(133.7-321.5)+(0+(0-0))+0-29.3-0</f>
        <v>1238.3000000000002</v>
      </c>
      <c r="M269" s="3">
        <f>1522.6+(68.4-236.1)+(0+(0-0))+0-27.1-0</f>
        <v>1327.8</v>
      </c>
      <c r="N269" s="3">
        <f>1723.9+(53.5-311.1)+(0+(0-0))+0-27.2-0</f>
        <v>1439.1000000000001</v>
      </c>
      <c r="O269" s="3">
        <f>1690.7+(94.9-207.8)+(0+(0-0))+0-29.4-0</f>
        <v>1548.3999999999999</v>
      </c>
      <c r="P269" s="3">
        <f>1741+(120.5-231.6)+(0+(0-0))+0-30.1-0</f>
        <v>1599.8000000000002</v>
      </c>
      <c r="Q269" s="3">
        <f>1848+(84.6-266.8)+(0+(0-0))+0-19.7-0</f>
        <v>1646.1</v>
      </c>
      <c r="R269" s="3">
        <f>1741.6+(112.9-250.2)+(-4.44108+(-0.287895--0.63801))+0-8.3--0.0211649999999988</f>
        <v>1591.9302</v>
      </c>
      <c r="S269" s="3">
        <f>1706.4+(125.6-255.7)+(-0.870264+(-0.064056--0.130407))+0-19.2--0.00979199999999805</f>
        <v>1556.3058790000002</v>
      </c>
      <c r="T269" s="3">
        <f>1705.2+(122.5-282.2)+(-2.608956+(-0.187425--0.431766))+0-27.7--0.0423810000000016</f>
        <v>1515.477766</v>
      </c>
      <c r="U269" s="3">
        <f>1705.1+(118.6-278.7)+(-4.348005+(-0.30243--0.710685))+0-28--0.0713999999999959</f>
        <v>1513.13165</v>
      </c>
      <c r="V269" s="3">
        <f>1707.4+(128.7-246.8)+(-4.35387+(-0.328185--0.62934))+0-28.7--0.0731849999999958</f>
        <v>1556.6204700000001</v>
      </c>
      <c r="W269" s="3">
        <f>1827+(156.2-122.7)+(-1.86354+(-0.159324--0.125154))+0-27.5--0.0280500000000044</f>
        <v>1831.1303399999999</v>
      </c>
      <c r="X269" s="3">
        <f>1745.8+(318.2-112)+(-4.45179+(-0.81141--0.2856))+0-27.4--0.069869999999996</f>
        <v>1919.69227</v>
      </c>
      <c r="Y269" s="3">
        <f>1678.9+(327.2-118.8)+(-0.856239+(-0.166872--0.060588))+0-28.1--0.0143309999999971</f>
        <v>1858.2518080000004</v>
      </c>
      <c r="Z269" s="3">
        <f>1679.8+(277.3-136.3)+(-3.426792+(-0.565692--0.278052))+0-28.8--0.0587519999999987</f>
        <v>1788.3443199999999</v>
      </c>
      <c r="AA269" s="3">
        <f>1679.9+(217.1-139.4)+(0+(0-0))+0-28.5-0</f>
        <v>1729.1000000000001</v>
      </c>
      <c r="AB269" s="3">
        <f>1679.7+(154.3-153.6)+(-3.426588+(-0.314772--0.313344))+0-29.1--0.0593639999999987</f>
        <v>1647.9313480000001</v>
      </c>
      <c r="AC269" s="3">
        <f>1604.9+(122.5-170.1)+(-0.818499+(-0.062475--0.086751))+0-28.4--0.0144839999999971</f>
        <v>1528.120261</v>
      </c>
      <c r="AD269">
        <f t="shared" si="4"/>
        <v>36090.636312000002</v>
      </c>
      <c r="AE269" s="3">
        <f>1868.5+(202-127.4)+(0+(0-0))+0-28-0</f>
        <v>1915.1</v>
      </c>
    </row>
    <row r="270" spans="1:31" s="2" customFormat="1" x14ac:dyDescent="0.25">
      <c r="A270">
        <v>89</v>
      </c>
      <c r="B270">
        <v>9</v>
      </c>
      <c r="C270">
        <v>24</v>
      </c>
      <c r="D270">
        <v>5</v>
      </c>
      <c r="E270">
        <v>5</v>
      </c>
      <c r="F270" s="3">
        <f>1497.8+(100.1-228.8)+(-1.527756+(-0.102102--0.233376))+0-27.6--0.0281520000000044</f>
        <v>1340.13167</v>
      </c>
      <c r="G270" s="3">
        <f>1377.7+(111.9-260.7)+(1.405254+(0.114138-0.265914))+0-26.9-0.0274380000000043</f>
        <v>1203.22604</v>
      </c>
      <c r="H270" s="3">
        <f>1325.1+(119.3-290.2)+(0+(0-0))+0-28.3-0</f>
        <v>1125.8999999999999</v>
      </c>
      <c r="I270" s="3">
        <f>1329.2+(113.6-324.8)+(0.677892+(0.057936-0.165648))+0-28.5-0.0145349999999971</f>
        <v>1090.0556449999999</v>
      </c>
      <c r="J270" s="3">
        <f>1332.4+(108.8-333.9)+(0.679524+(0.055488-0.170289))+0-28.3-0.0144329999999971</f>
        <v>1079.5502900000001</v>
      </c>
      <c r="K270" s="3">
        <f>1409.7+(87.3-385.4)+(-0.718947+(-0.044523--0.196554))+0-28.5--0.0145349999999971</f>
        <v>1082.5476190000002</v>
      </c>
      <c r="L270" s="3">
        <f>1243.2+(113.6-245.3)+(-0.634032+(-0.057936--0.125103))+0-27.2--0.0138719999999972</f>
        <v>1083.7470069999999</v>
      </c>
      <c r="M270" s="3">
        <f>1184.3+(120.9-216.9)+(-1.207986+(-0.123318--0.221238))+0-29--0.0295800000000046</f>
        <v>1058.2195139999999</v>
      </c>
      <c r="N270" s="3">
        <f>1191.7+(139.8-225.4)+(1.215534+(0.142596-0.229908))+0-30.7-0.0313140000000049</f>
        <v>1076.4969080000001</v>
      </c>
      <c r="O270" s="3">
        <f>1256.9+(151.8-238.1)+(0.641019+(0.077418-0.121431))+0-30-0.015299999999997</f>
        <v>1141.1817060000001</v>
      </c>
      <c r="P270" s="3">
        <f>1209.2+(220.1-243.3)+(-2.466768+(-0.449004--0.496332))+0-29.9--0.0609959999999987</f>
        <v>1153.7415559999999</v>
      </c>
      <c r="Q270" s="3">
        <f>1197.1+(192.6-240.2)+(-3.052605+(-0.49113--0.61251))+0-30.1--0.0767549999999956</f>
        <v>1116.5455300000001</v>
      </c>
      <c r="R270" s="3">
        <f>1219.8+(138.6-238.3)+(-1.244196+(-0.141372--0.243066))+0-28.8--0.0293760000000046</f>
        <v>1090.186874</v>
      </c>
      <c r="S270" s="3">
        <f>1261.1+(79.7-236.5)+(-1.929483+(-0.121941--0.361845))+0-29.1--0.0445230000000017</f>
        <v>1073.554944</v>
      </c>
      <c r="T270" s="3">
        <f>1274.4+(76.8-238.9)+(-2.599776+(-0.156672--0.487356))+0-28.9--0.0589559999999987</f>
        <v>1081.1898640000002</v>
      </c>
      <c r="U270" s="3">
        <f>1274.3+(79.6-247.3)+(-1.949679+(-0.121788--0.378369))+0-29.4--0.0449820000000017</f>
        <v>1075.5518839999997</v>
      </c>
      <c r="V270" s="3">
        <f>1327.6+(74.1-256.8)+(1.354152+(0.075582-0.261936))+0-25.3-0.025806000000004</f>
        <v>1120.7419919999998</v>
      </c>
      <c r="W270" s="3">
        <f>1601.1+(108.1-238.9)+(-0.816561+(-0.055131--0.121839))+0-29--0.0147899999999971</f>
        <v>1440.5649369999999</v>
      </c>
      <c r="X270" s="3">
        <f>1613.8+(201.9-201.5)+(-4.938228+(-0.617814--0.61659))+0-30.1--0.0921060000000035</f>
        <v>1579.2526540000001</v>
      </c>
      <c r="Y270" s="3">
        <f>1615.6+(220.1-235)+(-3.295824+(-0.449004--0.4794))+0-30.8--0.0628319999999987</f>
        <v>1566.697404</v>
      </c>
      <c r="Z270" s="3">
        <f>1573.5+(249.4-257.9)+(0.802485+(0.127194-0.131529))+0-30.3-0.0154529999999969</f>
        <v>1535.4826970000001</v>
      </c>
      <c r="AA270" s="3">
        <f>1392.5+(299.1-184.3)+(-0.710175+(-0.152541--0.093993))+0-29.4--0.014993999999997</f>
        <v>1477.1462709999998</v>
      </c>
      <c r="AB270" s="3">
        <f>1373.9+(272.3-191)+(-1.401378+(-0.277746--0.19482))+0-26.8--0.0273360000000043</f>
        <v>1426.9430320000001</v>
      </c>
      <c r="AC270" s="3">
        <f>1290.8+(258.7-199.9)+(-1.974924+(-0.395811--0.305847))+0-28.1--0.0429930000000016</f>
        <v>1319.4781049999999</v>
      </c>
      <c r="AD270">
        <f t="shared" si="4"/>
        <v>29338.134142999996</v>
      </c>
      <c r="AE270" s="3">
        <f>1622+(181.8-168.5)+(0+(0-0))+0-26.4-0</f>
        <v>1608.8999999999999</v>
      </c>
    </row>
    <row r="271" spans="1:31" s="2" customFormat="1" x14ac:dyDescent="0.25">
      <c r="A271">
        <v>89</v>
      </c>
      <c r="B271">
        <v>9</v>
      </c>
      <c r="C271">
        <v>25</v>
      </c>
      <c r="D271">
        <v>6</v>
      </c>
      <c r="E271">
        <v>5</v>
      </c>
      <c r="F271" s="3">
        <f>1251.4+(236-247.8)+(-2.552856+(-0.48144--0.505512))+0-28.8--0.0587519999999987</f>
        <v>1208.329968</v>
      </c>
      <c r="G271" s="3">
        <f>1242.7+(230.4-341.1)+(-1.901331+(-0.352512--0.521883))+0-28.1--0.0429930000000016</f>
        <v>1102.211033</v>
      </c>
      <c r="H271" s="3">
        <f>1242.1+(231.7-399.7)+(-1.266942+(-0.236334--0.407694))+0-28.6--0.0291720000000046</f>
        <v>1044.4335900000001</v>
      </c>
      <c r="I271" s="3">
        <f>1232.6+(229.3-411.1)+(-3.14313+(-0.584715--1.048305))+0-28.2--0.0719099999999959</f>
        <v>1019.9923699999998</v>
      </c>
      <c r="J271" s="3">
        <f>1155.9+(231-350.6)+(-1.179018+(-0.23562--0.357612))+0-28.7--0.0292740000000046</f>
        <v>1006.5722480000002</v>
      </c>
      <c r="K271" s="3">
        <f>1238.2+(226.7-422.7)+(0+(0-0))+0-27.9-0</f>
        <v>1014.3000000000001</v>
      </c>
      <c r="L271" s="3">
        <f>1251.4+(224.5-398.3)+(-2.552856+(-0.45798--0.812532))+0-27.6--0.0563039999999988</f>
        <v>1047.8580000000002</v>
      </c>
      <c r="M271" s="3">
        <f>1232.1+(176.6-351.1)+(-1.256742+(-0.180132--0.358122))+0-27.4--0.0279480000000044</f>
        <v>1029.1491959999998</v>
      </c>
      <c r="N271" s="3">
        <f>1227+(134.7-306.1)+(-0.62577+(-0.068697--0.156111))+0-27.5--0.0140249999999972</f>
        <v>1027.5756689999998</v>
      </c>
      <c r="O271" s="3">
        <f>1227.2+(148.9-287.4)+(1.251744+(0.151878-0.293148))+0-27.9-0.0284580000000044</f>
        <v>1061.882016</v>
      </c>
      <c r="P271" s="3">
        <f>1196.5+(153.2-270.4)+(-4.271505+(-0.546924--0.965328))+0-28.5--0.101745</f>
        <v>1047.048644</v>
      </c>
      <c r="Q271" s="3">
        <f>1185.4+(139.7-291.4)+(-1.209108+(-0.142494--0.297228))+0-27.6--0.0281520000000044</f>
        <v>1005.0737779999999</v>
      </c>
      <c r="R271" s="3">
        <f>1183.9+(135.3-310.8)+(0.603789+(0.069003-0.158508))+0-27.3-0.0139229999999972</f>
        <v>981.60036100000013</v>
      </c>
      <c r="S271" s="3">
        <f>1183.9+(145.5-311.6)+(-1.207578+(-0.14841--0.317832))+0-28.1--0.0286620000000045</f>
        <v>988.69050600000014</v>
      </c>
      <c r="T271" s="3">
        <f>1185.1+(160.9-302.8)+(-3.022005+(-0.410295--0.77214))+0-27.9--0.0711449999999959</f>
        <v>1012.7109849999999</v>
      </c>
      <c r="U271" s="3">
        <f>1185.3+(159.5-283.4)+(0+(0-0))+0-27.6-0</f>
        <v>1033.8000000000002</v>
      </c>
      <c r="V271" s="3">
        <f>1271.6+(159.6-294.3)+(-1.945548+(-0.244188--0.450279))+0-27.9--0.0426870000000016</f>
        <v>1107.30323</v>
      </c>
      <c r="W271" s="3">
        <f>1490.7+(296.8-314)+(-3.801285+(-0.75684--0.8007))+0-28.1--0.0716549999999959</f>
        <v>1441.71423</v>
      </c>
      <c r="X271" s="3">
        <f>1484.7+(359.8-233.2)+(-1.514394+(-0.366996--0.237864))+0-28.2--0.0287640000000045</f>
        <v>1581.485238</v>
      </c>
      <c r="Y271" s="3">
        <f>1475+(348.4-222.7)+(0+(0-0))+0-27.7-0</f>
        <v>1573</v>
      </c>
      <c r="Z271" s="3">
        <f>1365.7+(371.1-171.9)+(-2.089521+(-0.567783--0.263007))+0-27.8--0.0425340000000016</f>
        <v>1534.748237</v>
      </c>
      <c r="AA271" s="3">
        <f>1301.7+(371-152.1)+(0.663867+(0.18921-0.077571))+0-28-0.0142799999999972</f>
        <v>1493.361226</v>
      </c>
      <c r="AB271" s="3">
        <f>1302+(323.7-152.4)+(-1.32804+(-0.330174--0.155448))+0-26.9--0.0274380000000043</f>
        <v>1444.9246719999999</v>
      </c>
      <c r="AC271" s="3">
        <f>1248.4+(278.1-172.5)+(-1.273368+(-0.283662--0.17595))+0-27.7--0.0282540000000044</f>
        <v>1324.9471739999999</v>
      </c>
      <c r="AD271">
        <f t="shared" si="4"/>
        <v>28132.712371000009</v>
      </c>
      <c r="AE271" s="3">
        <f>1531.2+(357.9-248)+(0+(0-0))+0-27.6-0</f>
        <v>1613.5</v>
      </c>
    </row>
    <row r="272" spans="1:31" s="2" customFormat="1" x14ac:dyDescent="0.25">
      <c r="A272">
        <v>89</v>
      </c>
      <c r="B272">
        <v>9</v>
      </c>
      <c r="C272">
        <v>26</v>
      </c>
      <c r="D272">
        <v>7</v>
      </c>
      <c r="E272">
        <v>1</v>
      </c>
      <c r="F272" s="3">
        <f>1195.1+(230.2-230.1)+(-1.828503+(-0.352206--0.352053))+0-27.9--0.0426870000000016</f>
        <v>1165.5140309999999</v>
      </c>
      <c r="G272" s="3">
        <f>1194.2+(257.4-346.8)+(0+(0-0))+0-28.6-0</f>
        <v>1076.2</v>
      </c>
      <c r="H272" s="3">
        <f>1193.6+(260.9-394.2)+(-4.261152+(-0.931413--1.407294))+0-27.5--0.0981750000000004</f>
        <v>1029.1129040000001</v>
      </c>
      <c r="I272" s="3">
        <f>1193.2+(256.2-413.2)+(0+(0-0))+0-27.9-0</f>
        <v>1008.3000000000001</v>
      </c>
      <c r="J272" s="3">
        <f>1193.2+(248.3-413.1)+(0+(0-0))+0-27.3-0</f>
        <v>1001.1000000000001</v>
      </c>
      <c r="K272" s="3">
        <f>1191.9+(251-402.5)+(1.823607+(0.38403-0.615825))+0-27.5-0.0420750000000016</f>
        <v>1014.449737</v>
      </c>
      <c r="L272" s="3">
        <f>1188.9+(246.6-353.8)+(-1.819017+(-0.377298--0.541314))+0-27.6--0.0422280000000016</f>
        <v>1052.4872270000001</v>
      </c>
      <c r="M272" s="3">
        <f>1193.3+(203.8-306.9)+(-1.825749+(-0.311814--0.469557))+0-28.2--0.0431460000000016</f>
        <v>1060.3751399999999</v>
      </c>
      <c r="N272" s="3">
        <f>1194.5+(147.8-237.7)+(0+(0-0))+0-28.9-0</f>
        <v>1075.6999999999998</v>
      </c>
      <c r="O272" s="3">
        <f>1228.1+(169.8-200.1)+(0.626331+(0.086598-0.102051))+0-30.3-0.0154529999999969</f>
        <v>1168.095425</v>
      </c>
      <c r="P272" s="3">
        <f>1496+(149.8-306.8)+(-3.8148+(-0.38199--0.78234))+0-30.6--0.0780299999999956</f>
        <v>1305.06358</v>
      </c>
      <c r="Q272" s="3">
        <f>1532+(130.6-273.4)+(-1.56264+(-0.133212--0.278868))+0-28.9--0.0294780000000046</f>
        <v>1358.9124939999999</v>
      </c>
      <c r="R272" s="3">
        <f>1507.6+(133.3-267)+(-0.768876+(-0.067983--0.13617))+0-28.6--0.0145859999999971</f>
        <v>1344.613897</v>
      </c>
      <c r="S272" s="3">
        <f>1522.1+(125.4-306)+(-2.328813+(-0.191862--0.46818))+0-28.5--0.0436050000000016</f>
        <v>1310.9911100000002</v>
      </c>
      <c r="T272" s="3">
        <f>1534.4+(120.7-335.7)+(-2.347632+(-0.184671--0.513621))+0-29.4--0.0449820000000017</f>
        <v>1288.0263</v>
      </c>
      <c r="U272" s="3">
        <f>1538+(127-358.2)+(-2.35314+(-0.19431--0.548046))+0-30.3--0.0463590000000018</f>
        <v>1274.546955</v>
      </c>
      <c r="V272" s="3">
        <f>1593.1+(131.7-370.9)+(-2.437443+(-0.201501--0.567477))+0-29.5--0.0451350000000017</f>
        <v>1322.373668</v>
      </c>
      <c r="W272" s="3">
        <f>1820.2+(260.7-381.6)+(-0.928302+(-0.132957--0.194616))+0-28.7--0.0146369999999971</f>
        <v>1669.7479939999998</v>
      </c>
      <c r="X272" s="3">
        <f>1846.5+(282.9-309.2)+(-3.76686+(-0.577116--0.630768))+0-28.7--0.0585479999999987</f>
        <v>1787.8453400000001</v>
      </c>
      <c r="Y272" s="3">
        <f>1789.6+(300.6-285.8)+(-2.738088+(-0.459918--0.437274))+0-28.6--0.0437580000000017</f>
        <v>1773.083026</v>
      </c>
      <c r="Z272" s="3">
        <f>1743.5+(310.1-278.7)+(-3.55674+(-0.632604--0.568548))+0-28.2--0.0575279999999988</f>
        <v>1743.1367320000002</v>
      </c>
      <c r="AA272" s="3">
        <f>1796.1+(155.1-225.5)+(-1.832022+(-0.158202--0.23001))+0-27.7--0.0282540000000044</f>
        <v>1696.2680399999999</v>
      </c>
      <c r="AB272" s="3">
        <f>1720.8+(109.4-191.1)+(-4.38804+(-0.27897--0.487305))+0-29.2--0.0744599999999958</f>
        <v>1605.7947549999999</v>
      </c>
      <c r="AC272" s="3">
        <f>1608.9+(139-271.8)+(-2.461617+(-0.21267--0.415854))+0-29.5--0.0451350000000017</f>
        <v>1444.3867020000002</v>
      </c>
      <c r="AD272">
        <f t="shared" si="4"/>
        <v>31576.125057000001</v>
      </c>
      <c r="AE272" s="3">
        <f>1838.6+(296.5-317.6)+(0+(0-0))+0-26.8-0</f>
        <v>1790.7</v>
      </c>
    </row>
    <row r="273" spans="1:31" s="2" customFormat="1" x14ac:dyDescent="0.25">
      <c r="A273">
        <v>89</v>
      </c>
      <c r="B273">
        <v>9</v>
      </c>
      <c r="C273">
        <v>27</v>
      </c>
      <c r="D273">
        <v>1</v>
      </c>
      <c r="E273">
        <v>1</v>
      </c>
      <c r="F273" s="3">
        <f>1360.9+(188.9-257.6)+(-2.082177+(-0.289017--0.394128))+0-30.5--0.0466650000000018</f>
        <v>1259.7695990000002</v>
      </c>
      <c r="G273" s="3">
        <f>1238.9+(234.6-298.8)+(-3.159195+(-0.59823--0.76194))+0-30--0.0764999999999956</f>
        <v>1141.781015</v>
      </c>
      <c r="H273" s="3">
        <f>1205.2+(252.1-327.9)+(-1.229304+(-0.257142--0.334458))+0-28--0.0285600000000045</f>
        <v>1100.276572</v>
      </c>
      <c r="I273" s="3">
        <f>1204.4+(253.3-354.4)+(-1.228488+(-0.258366--0.361488))+0-27.9--0.0284580000000044</f>
        <v>1074.3030920000001</v>
      </c>
      <c r="J273" s="3">
        <f>1304.3+(241.2-447.5)+(0+(0-0))+0-27.5-0</f>
        <v>1070.5</v>
      </c>
      <c r="K273" s="3">
        <f>1326.7+(242.7-442)+(-1.353234+(-0.247554--0.45084))+0-26.6--0.0271320000000042</f>
        <v>1099.6771840000001</v>
      </c>
      <c r="L273" s="3">
        <f>1386.3+(224.7-399.6)+(0+(0-0))+0-27.5-0</f>
        <v>1183.8999999999999</v>
      </c>
      <c r="M273" s="3">
        <f>1465.5+(198.3-340.5)+(0+(0-0))+0-29.3-0</f>
        <v>1294</v>
      </c>
      <c r="N273" s="3">
        <f>1776.5+(176.2-495.4)+(0+(0-0))+0-31.3-0</f>
        <v>1426</v>
      </c>
      <c r="O273" s="3">
        <f>1807.3+(127.9-352.8)+(0+(0-0))+0-30.7-0</f>
        <v>1551.6999999999998</v>
      </c>
      <c r="P273" s="3">
        <f>1795.2+(130.3-278.9)+(0+(0-0))+0-30.6-0</f>
        <v>1616.0000000000002</v>
      </c>
      <c r="Q273" s="3">
        <f>1802.6+(136.7-259.2)+(0+(0-0))+0-31.1-0</f>
        <v>1649</v>
      </c>
      <c r="R273" s="3">
        <f>1793.7+(135.5-271.1)+(-0.914787+(-0.069105--0.138261))+0-23.8--0.0121379999999976</f>
        <v>1633.4665070000001</v>
      </c>
      <c r="S273" s="3">
        <f>1771.8+(135.6-295.9)+(-0.903618+(-0.069156--0.150909))+0-14.5--0.00739499999999853</f>
        <v>1596.1855300000002</v>
      </c>
      <c r="T273" s="3">
        <f>1718.8+(142-290.5)+(0+(0-0))+0-17.4-0</f>
        <v>1552.8999999999999</v>
      </c>
      <c r="U273" s="3">
        <f>1719.1+(123-269.4)+(2.630223+(0.18819-0.412182))+0-28.1-0.0429930000000016</f>
        <v>1546.9632379999998</v>
      </c>
      <c r="V273" s="3">
        <f>1786.4+(110.3-269.3)+(1.822128+(0.112506-0.274686))+0-28.1-0.0286620000000045</f>
        <v>1600.9312860000002</v>
      </c>
      <c r="W273" s="3">
        <f>1838.7+(307.4-229.3)+(0+(0-0))+0-29.5-0</f>
        <v>1887.3</v>
      </c>
      <c r="X273" s="3">
        <f>1829.7+(341.2-176.4)+(-0.933147+(-0.174012--0.089964))+0-28--0.0142799999999972</f>
        <v>1965.4970850000002</v>
      </c>
      <c r="Y273" s="3">
        <f>1803.7+(335.3-187.3)+(-4.599435+(-0.855015--0.477615))+0-25.2--0.0642599999999963</f>
        <v>1921.5874250000002</v>
      </c>
      <c r="Z273" s="3">
        <f>1811.9+(325.4-250.8)+(0.924069+(0.165954-0.127908))+0-28.5-0.0145349999999971</f>
        <v>1858.94758</v>
      </c>
      <c r="AA273" s="3">
        <f>1815.2+(202.2-216.3)+(-0.925752+(-0.103122--0.110313))+0-28.2--0.0143819999999971</f>
        <v>1771.995821</v>
      </c>
      <c r="AB273" s="3">
        <f>1806.6+(126-230.6)+(-1.842732+(-0.12852--0.235212))+0-27.3--0.0278460000000044</f>
        <v>1672.991806</v>
      </c>
      <c r="AC273" s="3">
        <f>1586+(135.2-207.5)+(-0.80886+(-0.068952--0.105825))+0-27.6--0.0140759999999972</f>
        <v>1485.342089</v>
      </c>
      <c r="AD273">
        <f t="shared" si="4"/>
        <v>35961.015828999996</v>
      </c>
      <c r="AE273" s="3">
        <f>1835.5+(345-170.8)+(0+(0-0))+0-30-0</f>
        <v>1979.7</v>
      </c>
    </row>
    <row r="274" spans="1:31" s="2" customFormat="1" x14ac:dyDescent="0.25">
      <c r="A274">
        <v>89</v>
      </c>
      <c r="B274">
        <v>9</v>
      </c>
      <c r="C274">
        <v>28</v>
      </c>
      <c r="D274">
        <v>2</v>
      </c>
      <c r="E274">
        <v>1</v>
      </c>
      <c r="F274" s="3">
        <f>1321.3+(193.1-224.1)+(0+(0-0))+0-27.3-0</f>
        <v>1263</v>
      </c>
      <c r="G274" s="3">
        <f>1296.7+(237.1-340.3)+(-1.983951+(-0.362763--0.520659))+0-22.5--0.0344250000000013</f>
        <v>1169.2083700000001</v>
      </c>
      <c r="H274" s="3">
        <f>1296.6+(246.6-400.5)+(-1.983798+(-0.377298--0.612765))+0-23.3--0.0356490000000013</f>
        <v>1117.6873179999998</v>
      </c>
      <c r="I274" s="3">
        <f>1296.8+(246.4-415.9)+(0+(0-0))+0-28.2-0</f>
        <v>1099.0999999999999</v>
      </c>
      <c r="J274" s="3">
        <f>1296.8+(254-426.8)+(0+(0-0))+0-27.6-0</f>
        <v>1096.4000000000001</v>
      </c>
      <c r="K274" s="3">
        <f>1300.2+(252.1-415.8)+(-1.989306+(-0.385713--0.636174))+0-27.9--0.0426870000000016</f>
        <v>1106.9038419999999</v>
      </c>
      <c r="L274" s="3">
        <f>1424.6+(254.6-472.7)+(0+(0-0))+0-28.2-0</f>
        <v>1178.3</v>
      </c>
      <c r="M274" s="3">
        <f>1634.9+(240.5-570.5)+(0+(0-0))+0-27.6-0</f>
        <v>1277.3000000000002</v>
      </c>
      <c r="N274" s="3">
        <f>1834+(193.2-617.2)+(-0.93534+(-0.098532--0.314772))+0-28.6--0.0145859999999971</f>
        <v>1380.6954860000001</v>
      </c>
      <c r="O274" s="3">
        <f>1936.2+(149.4-560.4)+(0+(0-0))+0-28.8-0</f>
        <v>1496.4</v>
      </c>
      <c r="P274" s="3">
        <f>1933.9+(136.5-478.7)+(0+(0-0))+0-29-0</f>
        <v>1562.7</v>
      </c>
      <c r="Q274" s="3">
        <f>1865.8+(137.4-362.2)+(-3.806232+(-0.280296--0.738888))+4.3-29.2--0.0595679999999987</f>
        <v>1612.8119279999999</v>
      </c>
      <c r="R274" s="3">
        <f>1763.1+(170.8-313.6)+(-2.697543+(-0.261324--0.479808))+0-28.4--0.0434520000000016</f>
        <v>1589.4643929999997</v>
      </c>
      <c r="S274" s="3">
        <f>1754.9+(164.7-333)+(-1.789998+(-0.167994--0.33966))+0-28.3--0.0288660000000045</f>
        <v>1556.7105340000003</v>
      </c>
      <c r="T274" s="3">
        <f>1754.2+(155.3-386.5)+(-1.789284+(-0.158406--0.39423))+0-28.7--0.0292740000000046</f>
        <v>1492.7758139999999</v>
      </c>
      <c r="U274" s="3">
        <f>1799.5+(135.5-408.6)+(-1.83549+(-0.13821--0.416772))+0-27.7--0.0282540000000044</f>
        <v>1497.1713260000001</v>
      </c>
      <c r="V274" s="3">
        <f>1821+(135.1-375.4)+(0+(0-0))+0-28.3-0</f>
        <v>1552.4</v>
      </c>
      <c r="W274" s="3">
        <f>1927.3+(272-322.3)+(-0.982923+(-0.13872--0.164373))+0-26.9--0.0137189999999973</f>
        <v>1849.1564489999998</v>
      </c>
      <c r="X274" s="3">
        <f>1846.6+(349.4-231.5)+(-2.825298+(-0.534582--0.354195))+0-26.6--0.0406980000000015</f>
        <v>1934.935013</v>
      </c>
      <c r="Y274" s="3">
        <f>1735.9+(378.7-205.3)+(-2.655927+(-0.579411--0.314109))+0-27.3--0.0417690000000016</f>
        <v>1879.1205400000001</v>
      </c>
      <c r="Z274" s="3">
        <f>1709.2+(364.5-225.1)+(-0.871692+(-0.185895--0.114801))+0-27.6--0.0140759999999972</f>
        <v>1820.0712900000001</v>
      </c>
      <c r="AA274" s="3">
        <f>1699.7+(258.7-202.2)+(-2.600541+(-0.395811--0.309366))+0-27.7--0.0423810000000016</f>
        <v>1725.855395</v>
      </c>
      <c r="AB274" s="3">
        <f>1657.5+(196.6-205.4)+(-2.535975+(-0.300798--0.314262))+0-27.4--0.0419220000000016</f>
        <v>1618.8194110000002</v>
      </c>
      <c r="AC274" s="3">
        <f>1433.9+(227-206.4)+(-1.462578+(-0.23154--0.210528))+0-27.7--0.0282540000000044</f>
        <v>1425.344664</v>
      </c>
      <c r="AD274">
        <f t="shared" si="4"/>
        <v>35302.331772999991</v>
      </c>
      <c r="AE274" s="3">
        <f>1947+(297.8-222.4)+(0+(0-0))+0-27.6-0</f>
        <v>1994.8000000000002</v>
      </c>
    </row>
    <row r="275" spans="1:31" s="2" customFormat="1" x14ac:dyDescent="0.25">
      <c r="A275">
        <v>89</v>
      </c>
      <c r="B275">
        <v>9</v>
      </c>
      <c r="C275">
        <v>29</v>
      </c>
      <c r="D275">
        <v>3</v>
      </c>
      <c r="E275">
        <v>1</v>
      </c>
      <c r="F275" s="3">
        <f>1348.3+(207.8-259.8)+(-3.438165+(-0.52989--0.66249))+0-27.9--0.0711449999999959</f>
        <v>1265.1655799999999</v>
      </c>
      <c r="G275" s="3">
        <f>1309.5+(232.1-338.6)+(0.667845+(0.118371-0.172686))+0-26.8-0.0136679999999973</f>
        <v>1176.7998620000001</v>
      </c>
      <c r="H275" s="3">
        <f>1312.3+(247.9-407.4)+(-1.338546+(-0.252858--0.415548))+0-27.6--0.0281520000000044</f>
        <v>1124.0522960000001</v>
      </c>
      <c r="I275" s="3">
        <f>1282.1+(249.2-410.3)+(-0.653871+(-0.127092--0.209253))+0-28.1--0.0143309999999971</f>
        <v>1092.3426210000002</v>
      </c>
      <c r="J275" s="3">
        <f>1297.5+(246.8-411.8)+(1.32345+(0.251736-0.420036))+0-28.2-0.0287640000000045</f>
        <v>1105.4263860000001</v>
      </c>
      <c r="K275" s="3">
        <f>1381.3+(231.6-454.4)+(-2.817852+(-0.472464--0.926976))+0-23.7--0.048347999999999</f>
        <v>1132.4850079999999</v>
      </c>
      <c r="L275" s="3">
        <f>1526.4+(219.1-527.2)+(-1.556928+(-0.223482--0.537744))+0-10.7--0.0109140000000017</f>
        <v>1206.368248</v>
      </c>
      <c r="M275" s="3">
        <f>1616+(160.8-450.7)+(-0.82416+(-0.082008--0.229857))+0-8.1--0.00413099999999918</f>
        <v>1317.32782</v>
      </c>
      <c r="N275" s="3">
        <f>1801.6+(123.2-518.7)+(-2.756448+(-0.188496--0.793611))+0-6.5--0.00994500000000038</f>
        <v>1397.4586119999999</v>
      </c>
      <c r="O275" s="3">
        <f>1884.1+(99.6-456)+(-1.921782+(-0.101592--0.46512))+0-9.4--0.0095880000000015</f>
        <v>1516.7513339999996</v>
      </c>
      <c r="P275" s="3">
        <f>1881.4+(108.5-382.6)+(-2.878542+(-0.166005--0.585378))+0-26.9--0.0411570000000016</f>
        <v>1577.9819880000002</v>
      </c>
      <c r="Q275" s="3">
        <f>1884.7+(108.3-363.4)+(-2.883591+(-0.165699--0.556002))+0-28.6--0.0437580000000017</f>
        <v>1598.5504700000004</v>
      </c>
      <c r="R275" s="3">
        <f>1729.3+(148.2-272.1)+(-1.763886+(-0.151164--0.277542))+0-28.9--0.0294780000000046</f>
        <v>1574.8919699999997</v>
      </c>
      <c r="S275" s="3">
        <f>1676+(154.4-273.3)+(-3.41904+(-0.314976--0.557532))+0-28.8--0.0587519999999987</f>
        <v>1525.1822679999998</v>
      </c>
      <c r="T275" s="3">
        <f>1676.5+(145.6-308.8)+(-2.565045+(-0.222768--0.472464))+0-28.7--0.0439110000000017</f>
        <v>1482.3285619999999</v>
      </c>
      <c r="U275" s="3">
        <f>1675.6+(146.8-303.6)+(-2.563668+(-0.224604--0.464508))+0-27.6--0.0422280000000016</f>
        <v>1488.9184640000001</v>
      </c>
      <c r="V275" s="3">
        <f>1810.5+(113.3-350.9)+(-2.770065+(-0.173349--0.536877))+0-28.1--0.0429930000000016</f>
        <v>1542.4364560000001</v>
      </c>
      <c r="W275" s="3">
        <f>1922.2+(270.3-340.5)+(0.980322+(0.137853-0.173655))+0-27.7-0.0141269999999972</f>
        <v>1825.230393</v>
      </c>
      <c r="X275" s="3">
        <f>1950.5+(292-273.6)+(-5.96853+(-0.89352--0.837216))+0-28--0.0856800000000032</f>
        <v>1934.9608459999999</v>
      </c>
      <c r="Y275" s="3">
        <f>1943.9+(285.9-319.7)+(-1.982778+(-0.291618--0.326094))+0-27--0.0275400000000043</f>
        <v>1881.1792380000002</v>
      </c>
      <c r="Z275" s="3">
        <f>1870.4+(275.3-317.3)+(-1.907808+(-0.280806--0.323646))+0-28.1--0.0286620000000045</f>
        <v>1798.463694</v>
      </c>
      <c r="AA275" s="3">
        <f>1821.2+(158.4-227.8)+(-3.715248+(-0.323136--0.464712))+0-27.3--0.0556919999999988</f>
        <v>1720.9820199999999</v>
      </c>
      <c r="AB275" s="3">
        <f>1693.2+(161.2-214.2)+(-3.454128+(-0.328848--0.436968))+0-27.8--0.0567119999999988</f>
        <v>1609.1107040000002</v>
      </c>
      <c r="AC275" s="3">
        <f>1458.2+(197.8-206.6)+(-2.231046+(-0.302634--0.316098))+0-28--0.0428400000000016</f>
        <v>1419.2252580000002</v>
      </c>
      <c r="AD275">
        <f t="shared" si="4"/>
        <v>35313.620097999999</v>
      </c>
      <c r="AE275" s="3">
        <f>1948+(288.1-241.1)+(0+(0-0))+0-29.2-0</f>
        <v>1965.8</v>
      </c>
    </row>
    <row r="276" spans="1:31" s="2" customFormat="1" x14ac:dyDescent="0.25">
      <c r="A276">
        <v>89</v>
      </c>
      <c r="B276">
        <v>9</v>
      </c>
      <c r="C276">
        <v>30</v>
      </c>
      <c r="D276">
        <v>4</v>
      </c>
      <c r="E276">
        <v>1</v>
      </c>
      <c r="F276" s="3">
        <f>1425.8+(157.3-258.5)+(-1.454316+(-0.160446--0.26367))+0-28.1--0.0286620000000045</f>
        <v>1295.1775699999998</v>
      </c>
      <c r="G276" s="3">
        <f>1484.1+(181.1-427.2)+(1.513782+(0.184722-0.435744))+0-27.7-0.0282540000000044</f>
        <v>1211.534506</v>
      </c>
      <c r="H276" s="3">
        <f>1521.7+(213-546.6)+(-1.552134+(-0.21726--0.557532))+0-27.7--0.0282540000000044</f>
        <v>1159.2163919999998</v>
      </c>
      <c r="I276" s="3">
        <f>1516.1+(218.2-563.8)+(-3.866055+(-0.55641--1.43769))+0-28.4--0.0724199999999959</f>
        <v>1139.187645</v>
      </c>
      <c r="J276" s="3">
        <f>1407.3+(215.7-451.6)+(-1.435446+(-0.220014--0.460632))+0-28.2--0.0287640000000045</f>
        <v>1142.0339359999998</v>
      </c>
      <c r="K276" s="3">
        <f>1343.6+(208-367.9)+(-0.685236+(-0.10608--0.187629))+0-28.5--0.0145349999999971</f>
        <v>1154.6108479999998</v>
      </c>
      <c r="L276" s="3">
        <f>1462.2+(193.7-397.3)+(-2.982888+(-0.395148--0.810492))+0-28--0.0571199999999988</f>
        <v>1228.0895759999999</v>
      </c>
      <c r="M276" s="3">
        <f>1593.9+(147.2-383.2)+(-3.251556+(-0.300288--0.781728))+0-28.7--0.0585479999999987</f>
        <v>1326.4884320000001</v>
      </c>
      <c r="N276" s="3">
        <f>1744.5+(116.3-391.7)+(-0.889695+(-0.059313--0.199767))+0-28.6--0.0145859999999971</f>
        <v>1439.765345</v>
      </c>
      <c r="O276" s="3">
        <f>1715+(123.9-259.9)+(-4.37325+(-0.315945--0.662745))+0-29.3--0.0747149999999958</f>
        <v>1545.7482649999999</v>
      </c>
      <c r="P276" s="3">
        <f>1750.5+(135.4-259.9)+(-0.892755+(-0.069054--0.132549))+0-29.2--0.014891999999997</f>
        <v>1595.9856319999999</v>
      </c>
      <c r="Q276" s="3">
        <f>1746.7+(158.5-277.7)+(-2.672451+(-0.242505--0.424881))+0-29.4--0.0449820000000017</f>
        <v>1595.6549069999999</v>
      </c>
      <c r="R276" s="3">
        <f>1621.6+(207-223.1)+(-3.308064+(-0.42228--0.455124))+0-29.5--0.0601799999999987</f>
        <v>1572.78496</v>
      </c>
      <c r="S276" s="3">
        <f>1619.6+(188.4-242)+(-0.825996+(-0.096084--0.12342))+0-29--0.0147899999999971</f>
        <v>1536.21613</v>
      </c>
      <c r="T276" s="3">
        <f>1618.2+(184.1-262.3)+(-3.301128+(-0.375564--0.535092))+0-28.1--0.0573239999999988</f>
        <v>1508.8157240000003</v>
      </c>
      <c r="U276" s="3">
        <f>1657.6+(162-290.7)+(-2.536128+(-0.24786--0.444771))+0-28.8--0.0440640000000017</f>
        <v>1497.8048469999999</v>
      </c>
      <c r="V276" s="3">
        <f>1760.9+(143.6-316.5)+(0+(0-0))+0-29.3-0</f>
        <v>1558.7</v>
      </c>
      <c r="W276" s="3">
        <f>1916.9+(264.8-318.3)+(1.955238+(0.270096-0.324666))+0-28.5-0.0290700000000045</f>
        <v>1836.771598</v>
      </c>
      <c r="X276" s="3">
        <f>1912.3+(283.2-262.1)+(-5.851638+(-0.866592--0.802026))+0-28.2--0.0862920000000033</f>
        <v>1899.3700879999997</v>
      </c>
      <c r="Y276" s="3">
        <f>1860.4+(278.2-287.8)+(-6.641628+(-0.993174--1.027446))+0-27.5--0.0981750000000004</f>
        <v>1816.7908190000003</v>
      </c>
      <c r="Z276" s="3">
        <f>1719.2+(296.9-260.8)+(-4.38396+(-0.757095--0.66504))+0-28.4--0.0724199999999959</f>
        <v>1722.4964049999999</v>
      </c>
      <c r="AA276" s="3">
        <f>1722.6+(187.9-227.8)+(0.878526+(0.095829-0.116178))+0-28.7-0.0146369999999971</f>
        <v>1654.8435399999998</v>
      </c>
      <c r="AB276" s="3">
        <f>1597.2+(217.9-196.2)+(-2.443716+(-0.333387--0.300186))+0-29--0.0443700000000017</f>
        <v>1587.4674530000002</v>
      </c>
      <c r="AC276" s="3">
        <f>1286.2+(356-169.5)+(-2.623848+(-0.72624--0.34578))+0-28.5--0.0581399999999988</f>
        <v>1441.2538320000001</v>
      </c>
      <c r="AD276">
        <f t="shared" si="4"/>
        <v>35466.808450000004</v>
      </c>
      <c r="AE276" s="3">
        <f>1943.5+(285.6-254.5)+(0+(0-0))+0-30.8-0</f>
        <v>1943.8</v>
      </c>
    </row>
    <row r="277" spans="1:31" s="2" customFormat="1" x14ac:dyDescent="0.25">
      <c r="A277">
        <v>89</v>
      </c>
      <c r="B277">
        <v>10</v>
      </c>
      <c r="C277">
        <v>1</v>
      </c>
      <c r="D277">
        <v>5</v>
      </c>
      <c r="E277">
        <v>1</v>
      </c>
      <c r="F277" s="3">
        <f>1244.7+(283.1-219.2)+(0.634797+(0.144381-0.111792))+0-28.2-0.0143819999999971</f>
        <v>1281.0530040000001</v>
      </c>
      <c r="G277" s="3">
        <f>1159.2+(261.4-230.8)+(-1.773576+(-0.399942--0.353124))+0-28.5--0.0436050000000016</f>
        <v>1159.5232109999999</v>
      </c>
      <c r="H277" s="3">
        <f>1123.3+(239.1-229.6)+(-1.145766+(-0.243882--0.234192))+0-28.6--0.0291720000000046</f>
        <v>1103.0737160000001</v>
      </c>
      <c r="I277" s="3">
        <f>1123.9+(241.7-253.7)+(-0.573189+(-0.123267--0.129387))+0-28.8--0.0146879999999971</f>
        <v>1082.5476190000002</v>
      </c>
      <c r="J277" s="3">
        <f>1125.5+(239-243.7)+(-0.574005+(-0.12189--0.124287))+0-30--0.015299999999997</f>
        <v>1090.243692</v>
      </c>
      <c r="K277" s="3">
        <f>1123.2+(255-256.1)+(0+(0-0))+0-28-0</f>
        <v>1094.0999999999999</v>
      </c>
      <c r="L277" s="3">
        <f>1129.9+(269.5-231)+(-2.881245+(-0.687225--0.58905))+0-29--0.0739499999999958</f>
        <v>1136.4945300000002</v>
      </c>
      <c r="M277" s="3">
        <f>1156.3+(288.4-186)+(-0.589713+(-0.147084--0.09486))+0-28--0.0142799999999972</f>
        <v>1230.0723429999998</v>
      </c>
      <c r="N277" s="3">
        <f>1411.3+(169.5-223.5)+(0.719763+(0.086445-0.113985))+0-28.3-0.0144329999999971</f>
        <v>1329.67779</v>
      </c>
      <c r="O277" s="3">
        <f>1592.5+(145.2-273.7)+(0.812175+(0.074052-0.139587))+0-28.9-0.0147389999999971</f>
        <v>1435.831901</v>
      </c>
      <c r="P277" s="3">
        <f>1634.6+(145.3-241.7)+(-2.500938+(-0.222309--0.369801))+0-30.1--0.0460530000000017</f>
        <v>1505.7926069999999</v>
      </c>
      <c r="Q277" s="3">
        <f>1638.3+(139-218.2)+(-1.671066+(-0.14178--0.222564))+0-29.4--0.0299880000000047</f>
        <v>1528.1397059999999</v>
      </c>
      <c r="R277" s="3">
        <f>1524.2+(192.8-178.1)+(-1.554684+(-0.196656--0.181662))+0-29.1--0.0296820000000046</f>
        <v>1508.2600040000002</v>
      </c>
      <c r="S277" s="3">
        <f>1535.9+(187.9-209.7)+(-1.566618+(-0.191658--0.213894))+0-28.3--0.0288660000000045</f>
        <v>1484.2844840000002</v>
      </c>
      <c r="T277" s="3">
        <f>1514.9+(173.4-209.6)+(3.862995+(0.44217-0.53448))+0-27.9-0.0711449999999959</f>
        <v>1454.49954</v>
      </c>
      <c r="U277" s="3">
        <f>1511.7+(172.5-214.1)+(0.770967+(0.087975-0.109191))+0-28.4-0.0144839999999971</f>
        <v>1442.4352670000001</v>
      </c>
      <c r="V277" s="3">
        <f>1529+(178-196.7)+(-2.33937+(-0.27234--0.300951))+0-28.8--0.0440640000000017</f>
        <v>1479.233305</v>
      </c>
      <c r="W277" s="3">
        <f>1658+(324.1-201.7)+(-0.84558+(-0.165291--0.102867))+0-27.3--0.0139229999999972</f>
        <v>1752.2059190000002</v>
      </c>
      <c r="X277" s="3">
        <f>1710+(375.9-210.6)+(-3.4884+(-0.766836--0.429624))+0-27--0.0550799999999988</f>
        <v>1844.529468</v>
      </c>
      <c r="Y277" s="3">
        <f>1711.2+(333.8-222.9)+(-4.36356+(-0.85119--0.568395))+0-28.4--0.0724199999999959</f>
        <v>1789.1260649999999</v>
      </c>
      <c r="Z277" s="3">
        <f>1674.2+(322.8-229.5)+(-2.561526+(-0.493884--0.351135))+0-27.9--0.0426870000000016</f>
        <v>1736.938412</v>
      </c>
      <c r="AA277" s="3">
        <f>1651.9+(253.3-214.2)+(0+(0-0))+0-26.6-0</f>
        <v>1664.4</v>
      </c>
      <c r="AB277" s="3">
        <f>1616.6+(196.3-228.9)+(-4.12233+(-0.500565--0.583695))+0-27--0.0688499999999961</f>
        <v>1553.0296499999999</v>
      </c>
      <c r="AC277" s="3">
        <f>1443.4+(196-223.1)+(-2.208402+(-0.29988--0.341343))+0-28.7--0.0439110000000017</f>
        <v>1385.4769720000002</v>
      </c>
      <c r="AD277">
        <f t="shared" si="4"/>
        <v>34070.969205000001</v>
      </c>
      <c r="AE277" s="3">
        <f>1716+(363.7-161.3)+(0+(0-0))+0-26.8-0</f>
        <v>1891.6000000000001</v>
      </c>
    </row>
    <row r="278" spans="1:31" s="2" customFormat="1" x14ac:dyDescent="0.25">
      <c r="A278">
        <v>89</v>
      </c>
      <c r="B278">
        <v>10</v>
      </c>
      <c r="C278">
        <v>2</v>
      </c>
      <c r="D278">
        <v>6</v>
      </c>
      <c r="E278">
        <v>1</v>
      </c>
      <c r="F278" s="3">
        <f>1301.4+(187.8-223.9)+(-3.31857+(-0.47889--0.570945))+0-28.7--0.0731849999999958</f>
        <v>1233.44667</v>
      </c>
      <c r="G278" s="3">
        <f>1239.4+(228.9-277.3)+(0+(0-0))+0-29.1-0</f>
        <v>1161.9000000000001</v>
      </c>
      <c r="H278" s="3">
        <f>1175+(236.7-258.3)+(-2.99625+(-0.603585--0.658665))+0-28.5--0.0726749999999959</f>
        <v>1122.0315049999999</v>
      </c>
      <c r="I278" s="3">
        <f>1138.1+(238.6-250.6)+(0.580431+(0.121686-0.127806))+0-28.3-0.0144329999999971</f>
        <v>1098.359878</v>
      </c>
      <c r="J278" s="3">
        <f>1138.3+(233.9-248.6)+(1.741599+(0.357867-0.380358))+0-28.3-0.0432990000000016</f>
        <v>1096.975809</v>
      </c>
      <c r="K278" s="3">
        <f>1138.5+(229.9-240.2)+(2.32254+(0.468996-0.490008))+0-28.7-0.0585479999999987</f>
        <v>1101.74298</v>
      </c>
      <c r="L278" s="3">
        <f>1137.6+(228.2-189.1)+(2.90088+(0.58191-0.482205))+0-28.3-0.0721649999999959</f>
        <v>1151.3284199999998</v>
      </c>
      <c r="M278" s="3">
        <f>1139.8+(281.5-162.3)+(-0.581298+(-0.143565--0.082773))+0-28.5--0.0145349999999971</f>
        <v>1229.872445</v>
      </c>
      <c r="N278" s="3">
        <f>1293.3+(210.7-179.2)+(-1.319166+(-0.214914--0.182784))+0-28.5--0.0290700000000045</f>
        <v>1294.977774</v>
      </c>
      <c r="O278" s="3">
        <f>1589.6+(150.7-266.7)+(-0.810696+(-0.076857--0.136017))+0-29--0.0147899999999971</f>
        <v>1443.8632539999999</v>
      </c>
      <c r="P278" s="3">
        <f>1580.4+(181.2-228)+(1.612008+(0.184824-0.23256))+0-29.2-0.0297840000000047</f>
        <v>1505.9344880000001</v>
      </c>
      <c r="Q278" s="3">
        <f>1663+(134.8-235.7)+(-0.84813+(-0.068748--0.120207))+0-29--0.0147899999999971</f>
        <v>1532.3181189999998</v>
      </c>
      <c r="R278" s="3">
        <f>1591.1+(156.5-216.7)+(-2.434383+(-0.239445--0.331551))+0-29.3--0.0448290000000017</f>
        <v>1499.3025519999999</v>
      </c>
      <c r="S278" s="3">
        <f>1587.7+(157.5-270.8)+(-1.619454+(-0.16065--0.276216))+0-29.1--0.0296820000000046</f>
        <v>1443.8257940000003</v>
      </c>
      <c r="T278" s="3">
        <f>1589.5+(152.5-308.6)+(-0.810645+(-0.077775--0.157386))+0-28.2--0.0143819999999971</f>
        <v>1404.4833480000002</v>
      </c>
      <c r="U278" s="3">
        <f>1594.3+(150.6-322.1)+(1.626186+(0.153612-0.328542))+0-28.6-0.0291720000000046</f>
        <v>1395.6220840000001</v>
      </c>
      <c r="V278" s="3">
        <f>1612.6+(150.8-298.3)+(-2.467278+(-0.230724--0.456399))+0-28.6--0.0437580000000017</f>
        <v>1434.3021550000001</v>
      </c>
      <c r="W278" s="3">
        <f>1726.1+(283.1-279.3)+(-2.640933+(-0.433143--0.427329))+0-28--0.0428400000000016</f>
        <v>1699.2960929999999</v>
      </c>
      <c r="X278" s="3">
        <f>1732+(328.2-237.6)+(-1.76664+(-0.334764--0.242352))+0-28.4--0.0289680000000045</f>
        <v>1792.3699159999999</v>
      </c>
      <c r="Y278" s="3">
        <f>1739.1+(286-249.9)+(-0.886941+(-0.14586--0.127449))+0-28.2--0.0143819999999971</f>
        <v>1746.1090299999998</v>
      </c>
      <c r="Z278" s="3">
        <f>1740.1+(275.6-304.8)+(-0.887451+(-0.140556--0.155448))+0-28.8--0.0146879999999971</f>
        <v>1681.242129</v>
      </c>
      <c r="AA278" s="3">
        <f>1732+(159.8-256.6)+(-5.29992+(-0.488988--0.785196))+0-29.5--0.0902700000000034</f>
        <v>1600.786558</v>
      </c>
      <c r="AB278" s="3">
        <f>1711+(134.8-308.9)+(-2.61783+(-0.206244--0.472617))+0-28.5--0.0436050000000016</f>
        <v>1506.0921480000002</v>
      </c>
      <c r="AC278" s="3">
        <f>1652.7+(126.4-375)+(-2.528631+(-0.193392--0.57375))+0-28.9--0.0442170000000017</f>
        <v>1373.0959439999999</v>
      </c>
      <c r="AD278">
        <f t="shared" si="4"/>
        <v>33549.279092999997</v>
      </c>
      <c r="AE278" s="3">
        <f>1737.2+(334.6-191)+(0+(0-0))+0-30-0</f>
        <v>1850.8000000000002</v>
      </c>
    </row>
    <row r="279" spans="1:31" s="2" customFormat="1" x14ac:dyDescent="0.25">
      <c r="A279">
        <v>89</v>
      </c>
      <c r="B279">
        <v>10</v>
      </c>
      <c r="C279">
        <v>3</v>
      </c>
      <c r="D279">
        <v>7</v>
      </c>
      <c r="E279">
        <v>1</v>
      </c>
      <c r="F279" s="3">
        <f>1563.3+(133.1-437)+(0+(0-0))+0-28.4-0</f>
        <v>1231</v>
      </c>
      <c r="G279" s="3">
        <f>1398.3+(184.6-437.6)+(-3.565665+(-0.47073--1.11588))+0-28.5--0.0726749999999959</f>
        <v>1113.9521599999998</v>
      </c>
      <c r="H279" s="3">
        <f>1247.8+(215.8-377.5)+(1.272756+(0.220116-0.38505))+0-28.6-0.0291720000000046</f>
        <v>1058.5786499999999</v>
      </c>
      <c r="I279" s="3">
        <f>1141.9+(224.5-306.8)+(0+(0-0))+0-28-0</f>
        <v>1031.6000000000001</v>
      </c>
      <c r="J279" s="3">
        <f>1143+(223.6-315.5)+(0+(0-0))+0-28-0</f>
        <v>1023.0999999999999</v>
      </c>
      <c r="K279" s="3">
        <f>1169.3+(219-337.3)+(-0.596343+(-0.11169--0.172023))+0-28--0.0142799999999972</f>
        <v>1022.47827</v>
      </c>
      <c r="L279" s="3">
        <f>1242.1+(208-358.7)+(-0.633471+(-0.10608--0.182937))+0-28.5--0.0145349999999971</f>
        <v>1062.3579209999998</v>
      </c>
      <c r="M279" s="3">
        <f>1287.3+(127.9-322.2)+(-3.282615+(-0.326145--0.82161))+0-28.1--0.0716549999999959</f>
        <v>1062.1845049999999</v>
      </c>
      <c r="N279" s="3">
        <f>1498.3+(71-451.6)+(1.528266+(0.07242-0.460632))+0-26.6-0.0271320000000042</f>
        <v>1092.2129219999999</v>
      </c>
      <c r="O279" s="3">
        <f>1570.8+(76.3-419.4)+(0.801108+(0.038913-0.213894))+0-27.5-0.0140249999999972</f>
        <v>1200.8121020000001</v>
      </c>
      <c r="P279" s="3">
        <f>1617.9+(77.9-374.5)+(-4.950774+(-0.238374--1.14597))+0-28.1--0.0859860000000033</f>
        <v>1289.2428080000004</v>
      </c>
      <c r="Q279" s="3">
        <f>1654.2+(79.2-370)+(-1.687284+(-0.080784--0.3774))+0-28.6--0.0291720000000046</f>
        <v>1333.4385040000002</v>
      </c>
      <c r="R279" s="3">
        <f>1653.4+(80.3-377.6)+(-1.686468+(-0.081906--0.385152))+0-28.9--0.0294780000000046</f>
        <v>1325.846256</v>
      </c>
      <c r="S279" s="3">
        <f>1583.7+(97-367.9)+(-3.230748+(-0.19788--0.750516))+0-28.6--0.0583439999999988</f>
        <v>1281.5802320000003</v>
      </c>
      <c r="T279" s="3">
        <f>1533.2+(98.7-361.6)+(-3.90966+(-0.251685--0.92208))+0-29.4--0.0749699999999957</f>
        <v>1237.7357049999998</v>
      </c>
      <c r="U279" s="3">
        <f>1503.8+(99.1-353.3)+(0+(0-0))+0-28.7-0</f>
        <v>1220.8999999999999</v>
      </c>
      <c r="V279" s="3">
        <f>1517.4+(106.9-324.6)+(-0.773874+(-0.054519--0.165546))+0-28.5--0.0145349999999971</f>
        <v>1270.551688</v>
      </c>
      <c r="W279" s="3">
        <f>1596+(277.1-282.4)+(-0.81396+(-0.141321--0.144024))+0-28.5--0.0145349999999971</f>
        <v>1561.403278</v>
      </c>
      <c r="X279" s="3">
        <f>1703.7+(288.8-261.2)+(-4.344435+(-0.73644--0.66606))+0-28--0.0713999999999959</f>
        <v>1698.9565850000001</v>
      </c>
      <c r="Y279" s="3">
        <f>1642.1+(314.1-249.5)+(0.837471+(0.160191-0.127245))+0-27.6-0.0140759999999972</f>
        <v>1679.9563410000001</v>
      </c>
      <c r="Z279" s="3">
        <f>1472.5+(365.1-184.4)+(0.750975+(0.186201-0.094044))+0-27.7-0.0141269999999972</f>
        <v>1626.3290050000001</v>
      </c>
      <c r="AA279" s="3">
        <f>1338.8+(398.8-153.9)+(0+(0-0))+0-29-0</f>
        <v>1554.7</v>
      </c>
      <c r="AB279" s="3">
        <f>1324.1+(326-170.3)+(-2.025873+(-0.49878--0.260559))+0-28.3--0.0432990000000016</f>
        <v>1449.279205</v>
      </c>
      <c r="AC279" s="3">
        <f>1320.5+(209.7-200.9)+(-1.34691+(-0.213894--0.204918))+0-23.9--0.0243780000000038</f>
        <v>1304.0684919999999</v>
      </c>
      <c r="AD279">
        <f t="shared" si="4"/>
        <v>30732.264629000001</v>
      </c>
      <c r="AE279" s="3">
        <f>1715.2+(290.9-187.3)+(0+(0-0))+0-28.4-0</f>
        <v>1790.3999999999999</v>
      </c>
    </row>
    <row r="280" spans="1:31" s="2" customFormat="1" x14ac:dyDescent="0.25">
      <c r="A280">
        <v>89</v>
      </c>
      <c r="B280">
        <v>10</v>
      </c>
      <c r="C280">
        <v>4</v>
      </c>
      <c r="D280">
        <v>1</v>
      </c>
      <c r="E280">
        <v>1</v>
      </c>
      <c r="F280" s="3">
        <f>1270.3+(164.2-250.7)+(-2.591412+(-0.334968--0.511428))+0-21.1--0.0430439999999991</f>
        <v>1160.328092</v>
      </c>
      <c r="G280" s="3">
        <f>1217.8+(214.5-318.5)+(0+(0-0))+0-20.8-0</f>
        <v>1093</v>
      </c>
      <c r="H280" s="3">
        <f>1148.3+(230.8-300)+(-1.756899+(-0.353124--0.459))+0-20.7--0.0316710000000012</f>
        <v>1056.7806479999999</v>
      </c>
      <c r="I280" s="3">
        <f>1147.7+(228.6-316.2)+(1.755981+(0.349758-0.483786))+0-20.8-0.0318240000000012</f>
        <v>1040.8901290000003</v>
      </c>
      <c r="J280" s="3">
        <f>1147.8+(231.6-320.1)+(-0.585378+(-0.118116--0.163251))+0-20.6--0.0105059999999979</f>
        <v>1038.1702630000002</v>
      </c>
      <c r="K280" s="3">
        <f>1179.6+(253.7-332.4)+(2.406384+(0.517548-0.678096))+0-21.6-0.0440639999999991</f>
        <v>1081.5017720000001</v>
      </c>
      <c r="L280" s="3">
        <f>1304.6+(236.7-362.3)+(0.665346+(0.120717-0.184773))+0-22-0.0112199999999978</f>
        <v>1157.59007</v>
      </c>
      <c r="M280" s="3">
        <f>1472.1+(174.6-382)+(-2.252313+(-0.267138--0.58446))+0-20--0.0306000000000012</f>
        <v>1242.7956089999998</v>
      </c>
      <c r="N280" s="3">
        <f>1527.9+(147.2-308.4)+(-2.337687+(-0.225216--0.471852))+0-18--0.027540000000001</f>
        <v>1346.636489</v>
      </c>
      <c r="O280" s="3">
        <f>1525.3+(134.8-198.2)+(0.777903+(0.068748-0.101082))+0-9.3-0.00474299999999906</f>
        <v>1453.3408260000001</v>
      </c>
      <c r="P280" s="3">
        <f>1511.2+(185-181.2)+(-2.312136+(-0.28305--0.277236))+0-7.5--0.0114750000000004</f>
        <v>1505.1935249999999</v>
      </c>
      <c r="Q280" s="3">
        <f>1509.3+(202.4-169.7)+(-3.078972+(-0.412896--0.346188))+0-7.6--0.0155039999999997</f>
        <v>1531.269824</v>
      </c>
      <c r="R280" s="3">
        <f>1490.2+(188.7-174)+(-4.560012+(-0.577422--0.53244))+0-6.5--0.0198900000000008</f>
        <v>1493.8148960000001</v>
      </c>
      <c r="S280" s="3">
        <f>1455+(179.4-169.8)+(-2.22615+(-0.274482--0.259794))+0-5.7--0.00872100000000033</f>
        <v>1456.6678829999998</v>
      </c>
      <c r="T280" s="3">
        <f>1465.7+(162.2-191.7)+(-2.990028+(-0.330888--0.391068))+0-4.5--0.0091799999999998</f>
        <v>1428.7793320000001</v>
      </c>
      <c r="U280" s="3">
        <f>1480.1+(152.6-216.9)+(0+(0-0))+0-4.5-0</f>
        <v>1411.3</v>
      </c>
      <c r="V280" s="3">
        <f>1554+(143.8-252.7)+(-4.75524+(-0.440028--0.773262))+0-4.1--0.0125460000000005</f>
        <v>1436.5905399999999</v>
      </c>
      <c r="W280" s="3">
        <f>1743.8+(259.4-303.4)+(-1.778676+(-0.264588--0.309468))+0-4.4--0.0044880000000007</f>
        <v>1693.6706919999999</v>
      </c>
      <c r="X280" s="3">
        <f>1804+(293.6-269.8)+(-3.68016+(-0.598944--0.550392))+0-4--0.00815999999999983</f>
        <v>1820.079448</v>
      </c>
      <c r="Y280" s="3">
        <f>1810.2+(274.7-321.1)+(-0.923202+(-0.140097--0.163761))+0-4.3--0.00219299999999956</f>
        <v>1758.6026550000001</v>
      </c>
      <c r="Z280" s="3">
        <f>1801.9+(266.9-361.4)+(-2.756907+(-0.408357--0.552942))+0-4--0.00612000000000023</f>
        <v>1700.7937980000002</v>
      </c>
      <c r="AA280" s="3">
        <f>1784.8+(144.6-309.6)+(-3.640992+(-0.294984--0.631584))+0-4.8--0.00979199999999979</f>
        <v>1611.7054000000001</v>
      </c>
      <c r="AB280" s="3">
        <f>1653.3+(131.8-267.1)+(-2.529549+(-0.201654--0.408663))+0-4.9--0.00749700000000028</f>
        <v>1510.7849570000001</v>
      </c>
      <c r="AC280" s="3">
        <f>1354.9+(180.4-172)+(-1.381998+(-0.184008--0.17544))+0-4.5--0.00459000000000072</f>
        <v>1357.4140240000002</v>
      </c>
      <c r="AD280">
        <f t="shared" si="4"/>
        <v>33387.700872000001</v>
      </c>
      <c r="AE280" s="3">
        <f>1781.2+(288.6-220.1)+(0+(0-0))+0-4.4-0</f>
        <v>1845.3</v>
      </c>
    </row>
    <row r="281" spans="1:31" s="2" customFormat="1" x14ac:dyDescent="0.25">
      <c r="A281">
        <v>89</v>
      </c>
      <c r="B281">
        <v>10</v>
      </c>
      <c r="C281">
        <v>5</v>
      </c>
      <c r="D281">
        <v>2</v>
      </c>
      <c r="E281">
        <v>1</v>
      </c>
      <c r="F281" s="3">
        <f>1260.2+(151-211.7)+(-0.642702+(-0.07701--0.107967))+0-3.4--0.00173399999999966</f>
        <v>1195.4899889999999</v>
      </c>
      <c r="G281" s="3">
        <f>1273.8+(209.3-339.2)+(-0.649638+(-0.106743--0.172992))+0-3.3--0.00168299999999967</f>
        <v>1140.0182940000002</v>
      </c>
      <c r="H281" s="3">
        <f>1227+(223.8-348.4)+(-1.87731+(-0.342414--0.533052))+0-2.9--0.00443700000000017</f>
        <v>1097.817765</v>
      </c>
      <c r="I281" s="3">
        <f>1195+(223.5-332.1)+(-1.2189+(-0.22797--0.338742))+0-3.3--0.00336600000000053</f>
        <v>1081.995238</v>
      </c>
      <c r="J281" s="3">
        <f>1198.8+(224.7-342.5)+(1.834164+(0.343791-0.524025))+0-2.3-0.00351900000000013</f>
        <v>1080.3504109999999</v>
      </c>
      <c r="K281" s="3">
        <f>1199+(235.6-336.9)+(1.22298+(0.240312-0.343638))+0-0-0</f>
        <v>1098.8196540000001</v>
      </c>
      <c r="L281" s="3">
        <f>1287.5+(230.5-326.3)+(-0.656625+(-0.117555--0.166413))+0-1.7--0.000866999999999828</f>
        <v>1189.3931</v>
      </c>
      <c r="M281" s="3">
        <f>1383.8+(196.6-299.5)+(-1.411476+(-0.200532--0.30549))+0-1.4--0.00142800000000022</f>
        <v>1278.1949099999997</v>
      </c>
      <c r="N281" s="3">
        <f>1540.5+(159.8-325.5)+(-3.928275+(-0.40749--0.830025))+0-1.3--0.00331499999999981</f>
        <v>1369.9975749999999</v>
      </c>
      <c r="O281" s="3">
        <f>1573.4+(136.2-243.6)+(-2.407302+(-0.208386--0.372708))+0-1.3--0.00198900000000008</f>
        <v>1462.4590090000002</v>
      </c>
      <c r="P281" s="3">
        <f>1584.6+(140.3-203.9)+(0.808146+(0.071553-0.103989))+0-2.3-0.00117299999999977</f>
        <v>1519.4745369999998</v>
      </c>
      <c r="Q281" s="3">
        <f>1578.3+(139.3-182.5)+(-2.414799+(-0.213129--0.279225))+0-1.8--0.0027540000000001</f>
        <v>1530.9540510000002</v>
      </c>
      <c r="R281" s="3">
        <f>1557.2+(140.7-227.6)+(-2.382516+(-0.215271--0.348228))+0-1.5--0.00229500000000009</f>
        <v>1466.5527359999999</v>
      </c>
      <c r="S281" s="3">
        <f>1485.6+(180.4-240.5)+(2.272968+(0.276012-0.367965))+0-0-0</f>
        <v>1427.6810149999999</v>
      </c>
      <c r="T281" s="3">
        <f>1385.5+(169.7-198.6)+(-2.82642+(-0.346188--0.405144))+0-1.2--0.00244799999999995</f>
        <v>1352.6349839999998</v>
      </c>
      <c r="U281" s="3">
        <f>1393.1+(180.7-207.6)+(0+(0-0))+0-1.2-0</f>
        <v>1364.9999999999998</v>
      </c>
      <c r="V281" s="3">
        <f>1465.8+(148.5-200.2)+(-1.495116+(-0.15147--0.204204))+0-1.7--0.00173400000000027</f>
        <v>1410.9593519999999</v>
      </c>
      <c r="W281" s="3">
        <f>1632.8+(292.6-225.4)+(-1.665456+(-0.298452--0.229908))+0-1.5--0.00153000000000024</f>
        <v>1696.7675300000001</v>
      </c>
      <c r="X281" s="3">
        <f>1641.3+(368.1-200.4)+(-5.022378+(-1.126386--0.613224))+0-1.2--0.00367200000000014</f>
        <v>1802.2681319999999</v>
      </c>
      <c r="Y281" s="3">
        <f>1542.5+(399.7-194.2)+(0.786675+(0.203847-0.099042))+0-1.3-0.000662999999999868</f>
        <v>1747.590817</v>
      </c>
      <c r="Z281" s="3">
        <f>1495+(388.6-194.2)+(-2.28735+(-0.594558--0.297126))+0-1.3--0.00198900000000008</f>
        <v>1685.5172070000003</v>
      </c>
      <c r="AA281" s="3">
        <f>1412+(367.3-178.3)+(-2.88048+(-0.749292--0.363732))+0-1.3--0.00265199999999994</f>
        <v>1596.436612</v>
      </c>
      <c r="AB281" s="3">
        <f>1363.9+(306.7-175.3)+(-0.695589+(-0.156417--0.089403))+0-1.3--0.000662999999999868</f>
        <v>1493.2380600000004</v>
      </c>
      <c r="AC281" s="3">
        <f>1311.8+(208.2-188.4)+(-6.021162+(-0.955638--0.864756))+0-1.7--0.00780300000000029</f>
        <v>1323.7957589999999</v>
      </c>
      <c r="AD281">
        <f t="shared" si="4"/>
        <v>33413.406737000005</v>
      </c>
      <c r="AE281" s="3">
        <f>1659.6+(365.4-161.7)+(0+(0-0))+0-0-0</f>
        <v>1863.3</v>
      </c>
    </row>
    <row r="282" spans="1:31" s="2" customFormat="1" x14ac:dyDescent="0.25">
      <c r="A282">
        <v>89</v>
      </c>
      <c r="B282">
        <v>10</v>
      </c>
      <c r="C282">
        <v>6</v>
      </c>
      <c r="D282">
        <v>3</v>
      </c>
      <c r="E282">
        <v>1</v>
      </c>
      <c r="F282" s="3">
        <f>1226.2+(158.7-203.3)+(-2.501448+(-0.323748--0.414732))+0-1.2--0.00244799999999995</f>
        <v>1177.9919839999998</v>
      </c>
      <c r="G282" s="3">
        <f>1228.5+(201.7-322.2)+(-0.626535+(-0.102867--0.164322))+0-0-0</f>
        <v>1107.4349199999999</v>
      </c>
      <c r="H282" s="3">
        <f>1225.9+(210.2-368.5)+(-1.250418+(-0.214404--0.37587))+0-1.1--0.00112200000000018</f>
        <v>1065.4121700000001</v>
      </c>
      <c r="I282" s="3">
        <f>1229.1+(208.6-393.7)+(0.626841+(0.106386-0.200787))+0-1.4-0.000713999999999858</f>
        <v>1043.1317259999998</v>
      </c>
      <c r="J282" s="3">
        <f>1245.8+(209.7-416.6)+(-1.906074+(-0.320841--0.637398))+0-1--0.00153000000000006</f>
        <v>1036.312013</v>
      </c>
      <c r="K282" s="3">
        <f>1258.6+(227.2-422.1)+(1.925658+(0.347616-0.645813))+0-1.3-0.00198900000000008</f>
        <v>1064.0254719999998</v>
      </c>
      <c r="L282" s="3">
        <f>1350.2+(203.1-415.1)+(-0.688602+(-0.103581--0.211701))+0-1.4--0.000713999999999858</f>
        <v>1136.2202319999999</v>
      </c>
      <c r="M282" s="3">
        <f>1368.9+(150.2-296.6)+(1.396278+(0.153204-0.302532))+0-1.3-0.00132600000000021</f>
        <v>1222.445624</v>
      </c>
      <c r="N282" s="3">
        <f>1548.1+(83-321.7)+(0+(0-0))+0-1.2-0</f>
        <v>1308.1999999999998</v>
      </c>
      <c r="O282" s="3">
        <f>1677.2+(80.7-330.8)+(-2.566116+(-0.123471--0.506124))+0-1.4--0.00214200000000008</f>
        <v>1423.5186789999998</v>
      </c>
      <c r="P282" s="3">
        <f>1785.2+(65.1-354.9)+(-2.731356+(-0.099603--0.542997))+0-1.4--0.00214200000000008</f>
        <v>1491.7141799999999</v>
      </c>
      <c r="Q282" s="3">
        <f>1842.4+(56.4-366.5)+(-0.939624+(-0.028764--0.186915))+0-1.8--0.000917999999999817</f>
        <v>1529.7194450000002</v>
      </c>
      <c r="R282" s="3">
        <f>1700.3+(105.1-297.7)+(-2.601459+(-0.160803--0.455481))+0-1.8--0.0027540000000001</f>
        <v>1503.5959730000002</v>
      </c>
      <c r="S282" s="3">
        <f>1649.6+(126.6-304.7)+(-2.523888+(-0.193698--0.466191))+0-1.2--0.00183600000000007</f>
        <v>1468.0504409999999</v>
      </c>
      <c r="T282" s="3">
        <f>1658.7+(71-288)+(-0.845937+(-0.03621--0.14688))+0-0-0</f>
        <v>1440.964733</v>
      </c>
      <c r="U282" s="3">
        <f>1665.4+(71.5-302.2)+(2.548062+(0.109395-0.462366))+0-1.1-0.00168300000000006</f>
        <v>1435.7934080000002</v>
      </c>
      <c r="V282" s="3">
        <f>1677.8+(108.6-316.5)+(-3.422712+(-0.221544--0.64566))+0-0-0</f>
        <v>1466.901404</v>
      </c>
      <c r="W282" s="3">
        <f>1782.6+(267.1-326.6)+(-2.727378+(-0.408663--0.499698))+0-1.2--0.00183600000000007</f>
        <v>1719.2654929999999</v>
      </c>
      <c r="X282" s="3">
        <f>1783.6+(304.9-257.4)+(-0.909636+(-0.155499--0.131274))+0-1.3--0.000662999999999868</f>
        <v>1828.866802</v>
      </c>
      <c r="Y282" s="3">
        <f>1767.2+(294.1-286.6)+(-0.901272+(-0.149991--0.146166))+0-1.2--0.000611999999999878</f>
        <v>1772.595515</v>
      </c>
      <c r="Z282" s="3">
        <f>1737.7+(284.8-318.4)+(-1.772454+(-0.290496--0.324768))+0-1.6--0.00163200000000026</f>
        <v>1700.7634500000001</v>
      </c>
      <c r="AA282" s="3">
        <f>1701.8+(156.3-235.5)+(-0.867918+(-0.079713--0.120105))+0-2--0.0010199999999998</f>
        <v>1619.7734939999998</v>
      </c>
      <c r="AB282" s="3">
        <f>1697.5+(126.5-287.5)+(-1.73145+(-0.12903--0.29325))+0-1.1--0.00112200000000018</f>
        <v>1533.8338919999999</v>
      </c>
      <c r="AC282" s="3">
        <f>1649.9+(92.9-352.5)+(-1.682898+(-0.094758--0.35955))+0-1.2--0.00122400000000019</f>
        <v>1387.6831180000001</v>
      </c>
      <c r="AD282">
        <f t="shared" si="4"/>
        <v>33484.214167999999</v>
      </c>
      <c r="AE282" s="3">
        <f>1847.5+(291-246.2)+(0+(0-0))+0-2.4-0</f>
        <v>1889.8999999999999</v>
      </c>
    </row>
    <row r="283" spans="1:31" s="2" customFormat="1" x14ac:dyDescent="0.25">
      <c r="A283">
        <v>89</v>
      </c>
      <c r="B283">
        <v>10</v>
      </c>
      <c r="C283">
        <v>7</v>
      </c>
      <c r="D283">
        <v>4</v>
      </c>
      <c r="E283">
        <v>1</v>
      </c>
      <c r="F283" s="3">
        <f>1426.9+(136.2-304.6)+(-3.638595+(-0.34731--0.77673))+0-0-0</f>
        <v>1255.290825</v>
      </c>
      <c r="G283" s="3">
        <f>1429.5+(208.9-464.2)+(0+(0-0))+0-0-0</f>
        <v>1174.2</v>
      </c>
      <c r="H283" s="3">
        <f>1425.8+(223.2-519)+(-1.454316+(-0.227664--0.52938))+0-0-0</f>
        <v>1128.8474000000001</v>
      </c>
      <c r="I283" s="3">
        <f>1420.2+(229.9-540.7)+(0+(0-0))+0-0-0</f>
        <v>1109.4000000000001</v>
      </c>
      <c r="J283" s="3">
        <f>1417.8+(241.2-549.8)+(0.723078+(0.123012-0.280398))+0-0-0</f>
        <v>1109.7656919999999</v>
      </c>
      <c r="K283" s="3">
        <f>1501.8+(242.3-618.8)+(0+(0-0))+0-1-0</f>
        <v>1124.3</v>
      </c>
      <c r="L283" s="3">
        <f>1617+(230.1-639.3)+(-1.64934+(-0.234702--0.652086))+0-0-0</f>
        <v>1206.5680440000001</v>
      </c>
      <c r="M283" s="3">
        <f>1728.7+(165.2-604.6)+(-0.881637+(-0.084252--0.308346))+0-1--0.000509999999999899</f>
        <v>1287.642967</v>
      </c>
      <c r="N283" s="3">
        <f>1756.3+(111.8-480.9)+(6.269991+(0.399126-1.716813))+0-1.4-0.00499800000000002</f>
        <v>1390.747306</v>
      </c>
      <c r="O283" s="3">
        <f>1754.7+(84.3-342.5)+(0+(0-0))+0-2.3-0</f>
        <v>1494.2</v>
      </c>
      <c r="P283" s="3">
        <f>1755.3+(102.9-316)+(-1.790406+(-0.104958--0.32232))+0-1.4--0.00142800000000022</f>
        <v>1539.228384</v>
      </c>
      <c r="Q283" s="3">
        <f>1754.6+(112.9-318.1)+(-1.789692+(-0.115158--0.324462))+0-1.3--0.00132600000000021</f>
        <v>1546.5209379999999</v>
      </c>
      <c r="R283" s="3">
        <f>1753.4+(101.4-321.4)+(-2.682702+(-0.155142--0.491742))+0-1.3--0.00198900000000008</f>
        <v>1529.7558870000003</v>
      </c>
      <c r="S283" s="3">
        <f>1754.2+(89.9-343.3)+(-3.578568+(-0.183396--0.700332))+0-0-0</f>
        <v>1497.738368</v>
      </c>
      <c r="T283" s="3">
        <f>1755.9+(85.8-398.8)+(2.686527+(0.131274-0.610164))+0-1.1-0.00168300000000006</f>
        <v>1444.0059540000002</v>
      </c>
      <c r="U283" s="3">
        <f>1758.9+(86.8-408.3)+(-3.588156+(-0.177072--0.832932))+0-1.3--0.00265199999999994</f>
        <v>1433.1703560000001</v>
      </c>
      <c r="V283" s="3">
        <f>1801.1+(91.7-410)+(-1.837122+(-0.093534--0.4182))+0-0-0</f>
        <v>1481.287544</v>
      </c>
      <c r="W283" s="3">
        <f>1942.8+(270.5-447.3)+(-0.990828+(-0.137955--0.228123))+0-1.7--0.000866999999999828</f>
        <v>1763.4002069999999</v>
      </c>
      <c r="X283" s="3">
        <f>1911.2+(280.9-319.8)+(-2.924136+(-0.429777--0.489294))+0-1.2--0.00183600000000007</f>
        <v>1868.2372169999999</v>
      </c>
      <c r="Y283" s="3">
        <f>1892.1+(275.3-347.5)+(-4.824855+(-0.702015--0.886125))+0-1.4--0.0035699999999998</f>
        <v>1813.8628249999999</v>
      </c>
      <c r="Z283" s="3">
        <f>1892.5+(261.9-390.7)+(0+(0-0))+0-1.6-0</f>
        <v>1762.1000000000001</v>
      </c>
      <c r="AA283" s="3">
        <f>1877.4+(95.4-278.5)+(-2.872422+(-0.145962--0.426105))+0-1.4--0.00214200000000008</f>
        <v>1690.3098630000002</v>
      </c>
      <c r="AB283" s="3">
        <f>1805.5+(45-270.7)+(-2.762415+(-0.06885--0.414171))+0-1.8--0.0027540000000001</f>
        <v>1575.5856600000002</v>
      </c>
      <c r="AC283" s="3">
        <f>1760.3+(29.5-367.3)+(-5.386518+(-0.09027--1.123938))+0-1.3--0.00397800000000015</f>
        <v>1416.851128</v>
      </c>
      <c r="AD283">
        <f t="shared" si="4"/>
        <v>34643.016564999991</v>
      </c>
      <c r="AE283" s="3">
        <f>1937.5+(275.6-338.6)+(0+(0-0))+0-0.8-0</f>
        <v>1873.7</v>
      </c>
    </row>
    <row r="284" spans="1:31" s="2" customFormat="1" x14ac:dyDescent="0.25">
      <c r="A284">
        <v>89</v>
      </c>
      <c r="B284">
        <v>10</v>
      </c>
      <c r="C284">
        <v>8</v>
      </c>
      <c r="D284">
        <v>5</v>
      </c>
      <c r="E284">
        <v>1</v>
      </c>
      <c r="F284" s="3">
        <f>1518.3+(99.7-386)+(0+(0-0))+0-1.3-0</f>
        <v>1230.7</v>
      </c>
      <c r="G284" s="3">
        <f>1409+(187.4-462.5)+(-1.43718+(-0.191148--0.47175))+0-1.1--0.00112200000000018</f>
        <v>1131.644544</v>
      </c>
      <c r="H284" s="3">
        <f>1389.4+(218.9-518.5)+(-1.417188+(-0.223278--0.52887))+0-0-0</f>
        <v>1088.6884040000002</v>
      </c>
      <c r="I284" s="3">
        <f>1390.5+(228.8-540.2)+(-1.41831+(-0.233376--0.551004))+0-0-0</f>
        <v>1077.9993179999999</v>
      </c>
      <c r="J284" s="3">
        <f>1390.6+(235.4-539.8)+(-0.709206+(-0.120054--0.275298))+0-1--0.000509999999999899</f>
        <v>1084.6465479999999</v>
      </c>
      <c r="K284" s="3">
        <f>1389.9+(234.6-534.6)+(-1.417698+(-0.239292--0.545292))+0-0-0</f>
        <v>1088.7883020000002</v>
      </c>
      <c r="L284" s="3">
        <f>1389.9+(226.3-466.8)+(-0.708849+(-0.115413--0.238068))+0-1.3--0.000662999999999868</f>
        <v>1147.5144690000002</v>
      </c>
      <c r="M284" s="3">
        <f>1473.3+(164.6-386.5)+(-1.502766+(-0.167892--0.39423))+0-1.6--0.00163200000000026</f>
        <v>1248.525204</v>
      </c>
      <c r="N284" s="3">
        <f>1754.8+(70.2-483.9)+(0+(0-0))+0-1.3-0</f>
        <v>1339.8</v>
      </c>
      <c r="O284" s="3">
        <f>1769.5+(58.1-379.7)+(1.80489+(0.059262-0.387294))+0-1.3-0.00132600000000021</f>
        <v>1448.0755320000001</v>
      </c>
      <c r="P284" s="3">
        <f>1772.6+(56.4-324.6)+(-0.904026+(-0.028764--0.165546))+0-1.2--0.000611999999999878</f>
        <v>1502.433368</v>
      </c>
      <c r="Q284" s="3">
        <f>1768.3+(57.8-299)+(0+(0-0))+0-1.8-0</f>
        <v>1525.3</v>
      </c>
      <c r="R284" s="3">
        <f>1709+(72-267.8)+(-2.61477+(-0.11016--0.409734))+0-2.3--0.00351900000000013</f>
        <v>1508.5883230000002</v>
      </c>
      <c r="S284" s="3">
        <f>1663.2+(70.3-258.9)+(0+(0-0))+0-0-0</f>
        <v>1474.6000000000001</v>
      </c>
      <c r="T284" s="3">
        <f>1745.9+(65.2-371)+(0+(0-0))+0-0-0</f>
        <v>1440.1000000000001</v>
      </c>
      <c r="U284" s="3">
        <f>1692+(65.9-334.8)+(0+(0-0))+0-1.1-0</f>
        <v>1422</v>
      </c>
      <c r="V284" s="3">
        <f>1756.7+(79-362.8)+(-3.583668+(-0.16116--0.740112))+0-1.4--0.00285599999999994</f>
        <v>1468.4981400000001</v>
      </c>
      <c r="W284" s="3">
        <f>1803.2+(277.1-348.2)+(0+(0-0))+0-1.4-0</f>
        <v>1730.7</v>
      </c>
      <c r="X284" s="3">
        <f>1811.3+(290.5-274.6)+(-4.618815+(-0.740775--0.70023))+0-0-0</f>
        <v>1822.5406399999997</v>
      </c>
      <c r="Y284" s="3">
        <f>1810.3+(283.1-307.4)+(-7.386024+(-1.155048--1.254192))+0-1.5--0.00611999999999987</f>
        <v>1777.2192399999999</v>
      </c>
      <c r="Z284" s="3">
        <f>1812.9+(269.2-362.8)+(0+(0-0))+0-1.6-0</f>
        <v>1717.7000000000003</v>
      </c>
      <c r="AA284" s="3">
        <f>1812.6+(90.3-279.9)+(-1.848852+(-0.092106--0.285498))+0-2--0.00204000000000032</f>
        <v>1619.3465800000001</v>
      </c>
      <c r="AB284" s="3">
        <f>1785.2+(66.2-329.6)+(-1.820904+(-0.067524--0.336192))+0-1.4--0.00142800000000022</f>
        <v>1518.8491919999999</v>
      </c>
      <c r="AC284" s="3">
        <f>1662.8+(74.4-377.3)+(-4.24014+(-0.18972--0.962115))+0-1.1--0.00280499999999984</f>
        <v>1355.3350600000003</v>
      </c>
      <c r="AD284">
        <f t="shared" si="4"/>
        <v>33769.592863999998</v>
      </c>
      <c r="AE284" s="3">
        <f>1804+(291.7-222)+(0+(0-0))+0-0.8-0</f>
        <v>1872.9</v>
      </c>
    </row>
    <row r="285" spans="1:31" s="2" customFormat="1" x14ac:dyDescent="0.25">
      <c r="A285">
        <v>89</v>
      </c>
      <c r="B285">
        <v>10</v>
      </c>
      <c r="C285">
        <v>9</v>
      </c>
      <c r="D285">
        <v>6</v>
      </c>
      <c r="E285">
        <v>1</v>
      </c>
      <c r="F285" s="3">
        <f>1605+(94.3-447.9)+(-2.45565+(-0.144279--0.685287))+0-0-0</f>
        <v>1249.4853580000001</v>
      </c>
      <c r="G285" s="3">
        <f>1438.5+(168.9-452)+(0.733635+(0.086139-0.23052))+0-0-0</f>
        <v>1155.9892540000001</v>
      </c>
      <c r="H285" s="3">
        <f>1424.2+(221.9-531.8)+(-2.905368+(-0.452676--1.084872))+0-0-0</f>
        <v>1112.0268280000003</v>
      </c>
      <c r="I285" s="3">
        <f>1425.2+(231.2-565.3)+(-1.453704+(-0.235824--0.576606))+0-0-0</f>
        <v>1089.9870780000001</v>
      </c>
      <c r="J285" s="3">
        <f>1425.5+(248.6-576.3)+(-2.181015+(-0.380358--0.881739))+0-0-0</f>
        <v>1096.1203660000001</v>
      </c>
      <c r="K285" s="3">
        <f>1425.4+(246.9-563.3)+(0+(0-0))+0-0-0</f>
        <v>1109</v>
      </c>
      <c r="L285" s="3">
        <f>1533.7+(229.3-592.7)+(-2.346561+(-0.350829--0.906831))+0-0-0</f>
        <v>1168.5094409999999</v>
      </c>
      <c r="M285" s="3">
        <f>1606.9+(188.4-541.7)+(1.639038+(0.192168-0.552534))+0-2-0.00204000000000032</f>
        <v>1252.8766319999997</v>
      </c>
      <c r="N285" s="3">
        <f>1656.8+(105.2-429.9)+(0.844968+(0.053652-0.219249))+0-2.8-0.00142799999999972</f>
        <v>1329.9779429999999</v>
      </c>
      <c r="O285" s="3">
        <f>1691.9+(102.8-433)+(-4.314345+(-0.26214--1.10415))+0-3.7--0.00943499999999946</f>
        <v>1354.5371</v>
      </c>
      <c r="P285" s="3">
        <f>1730.6+(106.8-439.4)+(0+(0-0))+0-3.6-0</f>
        <v>1394.4</v>
      </c>
      <c r="Q285" s="3">
        <f>1842.5+(109.8-421.3)+(-1.87935+(-0.111996--0.429726))+0-4--0.00408000000000064</f>
        <v>1525.44246</v>
      </c>
      <c r="R285" s="3">
        <f>1751.6+(112.3-391.1)+(-3.573264+(-0.229092--0.797844))+0-2--0.00407999999999991</f>
        <v>1467.7995679999999</v>
      </c>
      <c r="S285" s="3">
        <f>1687.8+(104.4-400.8)+(-2.582334+(-0.159732--0.613224))+0-1.4--0.00214200000000008</f>
        <v>1387.8733</v>
      </c>
      <c r="T285" s="3">
        <f>1629.4+(97.2-383.3)+(-0.830994+(-0.049572--0.195483))+0-2.5--0.00127499999999975</f>
        <v>1340.1161920000002</v>
      </c>
      <c r="U285" s="3">
        <f>1689.5+(88.2-411.3)+(-0.861645+(-0.044982--0.209763))+0-3.5--0.00178499999999964</f>
        <v>1362.204921</v>
      </c>
      <c r="V285" s="3">
        <f>1723.1+(96.9-373.4)+(-3.515124+(-0.197676--0.761736))+0-1.4--0.00285599999999994</f>
        <v>1442.2517919999998</v>
      </c>
      <c r="W285" s="3">
        <f>1773.2+(273.8-352.5)+(-2.712996+(-0.418914--0.539325))+0-1--0.00153000000000006</f>
        <v>1690.9089449999999</v>
      </c>
      <c r="X285" s="3">
        <f>1774.4+(286.1-301.2)+(-5.429664+(-0.875466--0.921672))+0-1.7--0.0052020000000002</f>
        <v>1752.2217440000002</v>
      </c>
      <c r="Y285" s="3">
        <f>1763.2+(273.2-331.8)+(0+(0-0))+0-2-0</f>
        <v>1702.6</v>
      </c>
      <c r="Z285" s="3">
        <f>1763.2+(267-358.9)+(-2.697696+(-0.40851--0.549117))+0-2.3--0.00351900000000013</f>
        <v>1666.4464300000004</v>
      </c>
      <c r="AA285" s="3">
        <f>1765.2+(79.1-267.6)+(-0.900252+(-0.040341--0.136476))+0-2--0.0010199999999998</f>
        <v>1573.8969030000001</v>
      </c>
      <c r="AB285" s="3">
        <f>1702.5+(75.4-282.5)+(-3.4731+(-0.153816--0.5763))+0-1.7--0.00346799999999993</f>
        <v>1490.6528520000002</v>
      </c>
      <c r="AC285" s="3">
        <f>1647.8+(50.1-324.6)+(-5.042268+(-0.153306--0.993276))+0-3--0.00918000000000035</f>
        <v>1366.106882</v>
      </c>
      <c r="AD285">
        <f t="shared" si="4"/>
        <v>33081.431988999997</v>
      </c>
      <c r="AE285" s="3">
        <f>1780+(280.5-335.4)+(0+(0-0))+0-1.6-0</f>
        <v>1723.5</v>
      </c>
    </row>
    <row r="286" spans="1:31" s="2" customFormat="1" x14ac:dyDescent="0.25">
      <c r="A286">
        <v>89</v>
      </c>
      <c r="B286">
        <v>10</v>
      </c>
      <c r="C286">
        <v>10</v>
      </c>
      <c r="D286">
        <v>7</v>
      </c>
      <c r="E286">
        <v>1</v>
      </c>
      <c r="F286" s="3">
        <f>1338.2+(61.5-223.2)+(0+(0-0))+0-1.9-0</f>
        <v>1174.5999999999999</v>
      </c>
      <c r="G286" s="3">
        <f>1225+(147.1-288.5)+(-1.2495+(-0.150042--0.29427))+0-2.3--0.00234600000000037</f>
        <v>1080.1970739999999</v>
      </c>
      <c r="H286" s="3">
        <f>1200.8+(219.7-357.1)+(0+(0-0))+0-2.5-0</f>
        <v>1060.8999999999999</v>
      </c>
      <c r="I286" s="3">
        <f>1131.2+(244.5-372.2)+(-1.730736+(-0.374085--0.569466))+0-3--0.00459000000000017</f>
        <v>998.96923500000003</v>
      </c>
      <c r="J286" s="3">
        <f>1127.8+(255.5-388.8)+(-1.150356+(-0.26061--0.396576))+0-1.5--0.00153000000000024</f>
        <v>991.98713999999995</v>
      </c>
      <c r="K286" s="3">
        <f>1190.8+(255-421.7)+(0.607308+(0.13005-0.215067))+0-1-0.000509999999999899</f>
        <v>1023.6217809999999</v>
      </c>
      <c r="L286" s="3">
        <f>1206.7+(255.3-408)+(0+(0-0))+0-0-0</f>
        <v>1054</v>
      </c>
      <c r="M286" s="3">
        <f>1207.1+(220.7-371.4)+(-1.231242+(-0.225114--0.378828))+0-3--0.00306000000000048</f>
        <v>1052.3255319999998</v>
      </c>
      <c r="N286" s="3">
        <f>1240.9+(149.1-330.3)+(-1.898577+(-0.228123--0.505359))+0-3.6--0.00550800000000021</f>
        <v>1054.4841670000001</v>
      </c>
      <c r="O286" s="3">
        <f>1337+(87.5-297.5)+(-0.68187+(-0.044625--0.151725))+0-3.2--0.00163199999999968</f>
        <v>1123.226862</v>
      </c>
      <c r="P286" s="3">
        <f>1557.2+(56.5-353.3)+(-3.97086+(-0.144075--0.900915))+0-3.3--0.00841499999999952</f>
        <v>1253.8943950000003</v>
      </c>
      <c r="Q286" s="3">
        <f>1557.5+(44-297.4)+(0.794325+(0.02244-0.151674))+0-3.6-0.00183599999999963</f>
        <v>1301.1632550000002</v>
      </c>
      <c r="R286" s="3">
        <f>1556.1+(33.8-294)+(-1.587222+(-0.034476--0.29988))+0-2.4--0.00244800000000038</f>
        <v>1292.1806299999998</v>
      </c>
      <c r="S286" s="3">
        <f>1510.7+(31.5-295.3)+(-4.622742+(-0.09639--0.903618))+0-2.1--0.00642600000000024</f>
        <v>1240.9909120000002</v>
      </c>
      <c r="T286" s="3">
        <f>1421.8+(35.6-263.7)+(1.450236+(0.036312-0.268974))+0-3.5-0.00357000000000056</f>
        <v>1191.414004</v>
      </c>
      <c r="U286" s="3">
        <f>1419.8+(36.7-270.4)+(-0.724098+(-0.018717--0.137904))+0-3.1--0.00158099999999969</f>
        <v>1182.3966700000001</v>
      </c>
      <c r="V286" s="3">
        <f>1519.4+(39.6-286.8)+(-0.774894+(-0.020196--0.146268))+0-4.9--0.0024989999999995</f>
        <v>1266.6536769999998</v>
      </c>
      <c r="W286" s="3">
        <f>1626.8+(216.9-285.5)+(0.829668+(0.110619-0.145605))+0-5.4-0.00275399999999945</f>
        <v>1553.5919279999998</v>
      </c>
      <c r="X286" s="3">
        <f>1671.7+(239.1-282.3)+(-2.557701+(-0.365823--0.431919))+0-5.7--0.00872100000000033</f>
        <v>1620.3171159999999</v>
      </c>
      <c r="Y286" s="3">
        <f>1621.3+(240.6-295.9)+(-0.826863+(-0.122706--0.150909))+0-6.4--0.00326399999999935</f>
        <v>1558.8046039999999</v>
      </c>
      <c r="Z286" s="3">
        <f>1562.4+(235.2-297.3)+(0.796824+(0.119952-0.151623))+0-6.1-0.00311099999999938</f>
        <v>1494.9620420000003</v>
      </c>
      <c r="AA286" s="3">
        <f>1514.7+(88.1-206.3)+(-2.317491+(-0.134793--0.315639))+0-6.1--0.00933300000000035</f>
        <v>1388.272688</v>
      </c>
      <c r="AB286" s="3">
        <f>1238.6+(209.9-176.2)+(-3.15843+(-0.535245--0.44931))+0-5.8--0.0147899999999992</f>
        <v>1263.2704249999999</v>
      </c>
      <c r="AC286" s="3">
        <f>1198.1+(171.3-172.7)+(-0.611031+(-0.087363--0.088077))+0-9.6--0.00489599999999903</f>
        <v>1186.4945789999999</v>
      </c>
      <c r="AD286">
        <f t="shared" si="4"/>
        <v>29408.718715999992</v>
      </c>
      <c r="AE286" s="3">
        <f>1674+(261.4-304)+(0+(0-0))+0-5.6-0</f>
        <v>1625.8000000000002</v>
      </c>
    </row>
    <row r="287" spans="1:31" s="2" customFormat="1" x14ac:dyDescent="0.25">
      <c r="A287">
        <v>89</v>
      </c>
      <c r="B287">
        <v>10</v>
      </c>
      <c r="C287">
        <v>11</v>
      </c>
      <c r="D287">
        <v>1</v>
      </c>
      <c r="E287">
        <v>1</v>
      </c>
      <c r="F287" s="3">
        <f>1192.9+(112-200.2)+(-3.041895+(-0.2856--0.51051))+0-15.9--0.0405449999999977</f>
        <v>1086.0235600000001</v>
      </c>
      <c r="G287" s="3">
        <f>1115.2+(120.3-193.1)+(-2.84376+(-0.306765--0.492405))+0-24.9--0.0634949999999964</f>
        <v>1014.905375</v>
      </c>
      <c r="H287" s="3">
        <f>1062.1+(114-188.7)+(-2.166684+(-0.23256--0.384948))+0-26.3--0.0536519999999989</f>
        <v>959.13935599999991</v>
      </c>
      <c r="I287" s="3">
        <f>1007+(126.2-184.2)+(-1.02714+(-0.128724--0.187884))+0-26.7--0.0272340000000043</f>
        <v>921.35925399999996</v>
      </c>
      <c r="J287" s="3">
        <f>1012.6+(148.5-199.7)+(0+(0-0))+0-24.7-0</f>
        <v>936.7</v>
      </c>
      <c r="K287" s="3">
        <f>1074+(154.8-233)+(1.64322+(0.236844-0.35649))+0-26.2-0.0400860000000015</f>
        <v>971.08348799999999</v>
      </c>
      <c r="L287" s="3">
        <f>1223.2+(162.7-306.4)+(-1.247664+(-0.165954--0.312528))+0-25.3--0.025806000000004</f>
        <v>1053.124716</v>
      </c>
      <c r="M287" s="3">
        <f>1226.2+(200.2-242.2)+(0.625362+(0.102102-0.123522))+0-26.1-0.0133109999999974</f>
        <v>1158.6906310000002</v>
      </c>
      <c r="N287" s="3">
        <f>1225.8+(262.3-183.5)+(-1.250316+(-0.267546--0.18717))+0-28.3--0.0288660000000045</f>
        <v>1274.9981740000001</v>
      </c>
      <c r="O287" s="3">
        <f>1005.1+(496.6-138)+(0+(0-0))+0-28.3-0</f>
        <v>1335.4</v>
      </c>
      <c r="P287" s="3">
        <f>1040.5+(512.7-129.3)+(0.530655+(0.261477-0.065943))+0-26.8-0.0136679999999973</f>
        <v>1397.8125210000001</v>
      </c>
      <c r="Q287" s="3">
        <f>1145.8+(457-137.6)+(-2.337432+(-0.93228--0.280704))+0-25.7--0.0524279999999989</f>
        <v>1436.5634199999997</v>
      </c>
      <c r="R287" s="3">
        <f>1236.4+(384-142.1)+(-1.891692+(-0.58752--0.217413))+0-24.5--0.0374850000000014</f>
        <v>1451.5756860000001</v>
      </c>
      <c r="S287" s="3">
        <f>1271.9+(324.7-152.6)+(-1.297338+(-0.331194--0.155652))+0-24.4--0.0248880000000039</f>
        <v>1418.1520079999998</v>
      </c>
      <c r="T287" s="3">
        <f>1275.4+(276.4-165.4)+(-1.951362+(-0.422892--0.253062))+0-25.8--0.0394740000000015</f>
        <v>1358.518282</v>
      </c>
      <c r="U287" s="3">
        <f>1341.2+(217.9-183)+(1.368024+(0.222258-0.18666))+0-27.4-0.0279480000000044</f>
        <v>1350.0756740000002</v>
      </c>
      <c r="V287" s="3">
        <f>1468.2+(173.1-212.4)+(0+(0-0))+0-28.1-0</f>
        <v>1400.8000000000002</v>
      </c>
      <c r="W287" s="3">
        <f>1517.3+(328.7-206.2)+(-3.869115+(-0.838185--0.52581))+0-25.1--0.0640049999999964</f>
        <v>1610.5825150000001</v>
      </c>
      <c r="X287" s="3">
        <f>1531.4+(416.1-200.1)+(-3.90507+(-1.061055--0.510255))+0-21.6--0.0550799999999969</f>
        <v>1721.3992100000003</v>
      </c>
      <c r="Y287" s="3">
        <f>1532.8+(404.2-236)+(-1.563456+(-0.412284--0.24072))+0-21.1--0.0215220000000034</f>
        <v>1678.186502</v>
      </c>
      <c r="Z287" s="3">
        <f>1535.4+(354-250.4)+(-1.566108+(-0.36108--0.255408))+0-21.5--0.0219300000000034</f>
        <v>1615.8501500000002</v>
      </c>
      <c r="AA287" s="3">
        <f>1534.7+(281.3-230.9)+(-2.348091+(-0.430389--0.353277))+0-28.4--0.0434520000000016</f>
        <v>1554.3182489999999</v>
      </c>
      <c r="AB287" s="3">
        <f>1419.2+(275.6-215.6)+(-0.723792+(-0.140556--0.109956))+0-27.7--0.0141269999999972</f>
        <v>1450.7597349999999</v>
      </c>
      <c r="AC287" s="3">
        <f>1206.2+(332-201.4)+(-3.07581+(-0.8466--0.51357))+0-28.1--0.0716549999999959</f>
        <v>1305.362815</v>
      </c>
      <c r="AD287">
        <f t="shared" si="4"/>
        <v>31461.381320999997</v>
      </c>
      <c r="AE287" s="3">
        <f>1522+(436.1-148.8)+(0+(0-0))+0-18.4-0</f>
        <v>1790.8999999999999</v>
      </c>
    </row>
    <row r="288" spans="1:31" s="2" customFormat="1" x14ac:dyDescent="0.25">
      <c r="A288">
        <v>89</v>
      </c>
      <c r="B288">
        <v>10</v>
      </c>
      <c r="C288">
        <v>12</v>
      </c>
      <c r="D288">
        <v>2</v>
      </c>
      <c r="E288">
        <v>1</v>
      </c>
      <c r="F288" s="3">
        <f>1175.5+(211.7-203.6)+(-1.798515+(-0.323901--0.311508))+0-28.4--0.0434520000000016</f>
        <v>1153.4325439999998</v>
      </c>
      <c r="G288" s="3">
        <f>1224+(143.2-260.8)+(0+(0-0))+0-27.2-0</f>
        <v>1079.2</v>
      </c>
      <c r="H288" s="3">
        <f>1178+(182.5-290.4)+(-3.0039+(-0.465375--0.74052))+0-26.3--0.0670649999999962</f>
        <v>1041.1383099999998</v>
      </c>
      <c r="I288" s="3">
        <f>1177.1+(202-323.9)+(1.800963+(0.30906-0.495567))+0-22.9-0.0350370000000013</f>
        <v>1033.8794189999996</v>
      </c>
      <c r="J288" s="3">
        <f>1174.9+(208.6-342.3)+(-2.396796+(-0.425544--0.698292))+0-17.7--0.0361079999999992</f>
        <v>1021.4120600000001</v>
      </c>
      <c r="K288" s="3">
        <f>1216.5+(199.6-361.2)+(-0.620415+(-0.101796--0.184212))+0-19.4--0.00989399999999803</f>
        <v>1034.9718950000001</v>
      </c>
      <c r="L288" s="3">
        <f>1279.6+(209.2-372.4)+(-1.305192+(-0.213384--0.379848))+0-25.3--0.025806000000004</f>
        <v>1089.9870780000001</v>
      </c>
      <c r="M288" s="3">
        <f>1301.6+(213.2-308.2)+(-0.663816+(-0.108732--0.157182))+0-27.3--0.0139229999999972</f>
        <v>1178.6985569999999</v>
      </c>
      <c r="N288" s="3">
        <f>1349.3+(192.7-243.4)+(-0.688143+(-0.098277--0.124134))+0-28.7--0.0146369999999971</f>
        <v>1269.2523509999999</v>
      </c>
      <c r="O288" s="3">
        <f>1316.5+(307.8-229.3)+(-2.014245+(-0.470934--0.350829))+0-30.3--0.0463590000000018</f>
        <v>1362.6120089999999</v>
      </c>
      <c r="P288" s="3">
        <f>1370.6+(320.6-221.6)+(2.097018+(0.490518-0.339048))+0-31-0.0474300000000018</f>
        <v>1440.8010579999998</v>
      </c>
      <c r="Q288" s="3">
        <f>1547.8+(199.2-234)+(-3.94689+(-0.50796--0.5967))+0-30.3--0.0772649999999956</f>
        <v>1478.9191149999999</v>
      </c>
      <c r="R288" s="3">
        <f>1425.3+(273.3-201.7)+(-3.634515+(-0.696915--0.514335))+0-28.3--0.0721649999999959</f>
        <v>1464.8550700000001</v>
      </c>
      <c r="S288" s="3">
        <f>1371.7+(253.9-192.5)+(0+(0-0))+0-26.7-0</f>
        <v>1406.4</v>
      </c>
      <c r="T288" s="3">
        <f>1461.9+(186.8-222.9)+(-0.745569+(-0.095268--0.113679))+0-26.7--0.0136169999999973</f>
        <v>1398.3864590000003</v>
      </c>
      <c r="U288" s="3">
        <f>1576+(169.9-313.1)+(-4.0188+(-0.433245--0.798405))+0-27.4--0.069869999999996</f>
        <v>1401.8162299999999</v>
      </c>
      <c r="V288" s="3">
        <f>1703.9+(147.5-415.9)+(-4.344945+(-0.376125--1.060545))+0-28.3--0.0721649999999959</f>
        <v>1403.6116400000001</v>
      </c>
      <c r="W288" s="3">
        <f>2036.1+(251.2-554.4)+(-5.192055+(-0.64056--1.41372))+0-28.1--0.0716549999999959</f>
        <v>1700.4527599999999</v>
      </c>
      <c r="X288" s="3">
        <f>2063.8+(247.7-469.5)+(-6.315228+(-0.757962--1.43667))+0-28.2--0.0862920000000033</f>
        <v>1808.2497720000001</v>
      </c>
      <c r="Y288" s="3">
        <f>2058.5+(236.6-512.1)+(-5.249175+(-0.60333--1.305855))+0-27.7--0.070634999999996</f>
        <v>1750.823985</v>
      </c>
      <c r="Z288" s="3">
        <f>1923.7+(233.9-443.7)+(-2.943261+(-0.357867--0.678861))+0-28.8--0.0440640000000017</f>
        <v>1682.5217970000001</v>
      </c>
      <c r="AA288" s="3">
        <f>1842.8+(84.2-296.7)+(0+(0-0))+0-28.7-0</f>
        <v>1601.6</v>
      </c>
      <c r="AB288" s="3">
        <f>1755.2+(74.5-300.8)+(-2.685456+(-0.113985--0.460224))+0-28.7--0.0439110000000017</f>
        <v>1497.9046940000001</v>
      </c>
      <c r="AC288" s="3">
        <f>1652.7+(67-321.3)+(-3.371508+(-0.13668--0.655452))+0-27.9--0.0569159999999988</f>
        <v>1367.70418</v>
      </c>
      <c r="AD288">
        <f t="shared" si="4"/>
        <v>32668.630982999999</v>
      </c>
      <c r="AE288" s="3">
        <f>2082.5+(246.7-444.6)+(0+(0-0))+0-26.8-0</f>
        <v>1857.8</v>
      </c>
    </row>
    <row r="289" spans="1:31" s="2" customFormat="1" x14ac:dyDescent="0.25">
      <c r="A289">
        <v>89</v>
      </c>
      <c r="B289">
        <v>10</v>
      </c>
      <c r="C289">
        <v>13</v>
      </c>
      <c r="D289">
        <v>3</v>
      </c>
      <c r="E289">
        <v>1</v>
      </c>
      <c r="F289" s="3">
        <f>1542.8+(77.9-407.9)+(-3.147312+(-0.158916--0.832116))+0-28.4--0.0579359999999988</f>
        <v>1181.9838239999997</v>
      </c>
      <c r="G289" s="3">
        <f>1440.9+(149.4-456)+(-1.469718+(-0.152388--0.46512))+0-29--0.0295800000000046</f>
        <v>1104.1725940000001</v>
      </c>
      <c r="H289" s="3">
        <f>1392.6+(190.1-482.9)+(-1.420452+(-0.193902--0.492558))+0-27.7--0.0282540000000044</f>
        <v>1071.0064580000001</v>
      </c>
      <c r="I289" s="3">
        <f>1392.4+(197.1-495.5)+(-2.130372+(-0.301563--0.758115))+0-27.8--0.0425340000000016</f>
        <v>1064.568714</v>
      </c>
      <c r="J289" s="3">
        <f>1418.4+(200.5-532.4)+(2.170152+(0.306765-0.814572))+0-28.1-0.0429930000000016</f>
        <v>1060.019352</v>
      </c>
      <c r="K289" s="3">
        <f>1517.2+(189.6-605.4)+(0+(0-0))+0-27.8-0</f>
        <v>1073.6000000000001</v>
      </c>
      <c r="L289" s="3">
        <f>1517.2+(189.6-601.4)+(0+(0-0))+0-27.8-0</f>
        <v>1077.6000000000001</v>
      </c>
      <c r="M289" s="3">
        <f>1517+(200.8-593.5)+(-1.54734+(-0.204816--0.60537))+0-28.5--0.0290700000000045</f>
        <v>1094.682284</v>
      </c>
      <c r="N289" s="3">
        <f>1702.1+(188.2-671.3)+(-0.868071+(-0.095982--0.342363))+0-28.2--0.0143819999999971</f>
        <v>1190.1926920000001</v>
      </c>
      <c r="O289" s="3">
        <f>2030.8+(166.6-719.9)+(-2.071416+(-0.169932--0.734298))+0-29.6--0.0301920000000047</f>
        <v>1446.4231420000001</v>
      </c>
      <c r="P289" s="3">
        <f>1938+(156.9-533.6)+(-3.95352+(-0.320076--1.088544))+0-30.6--0.0624239999999987</f>
        <v>1527.577372</v>
      </c>
      <c r="Q289" s="3">
        <f>1898.6+(125.3-461.5)+(-2.904858+(-0.191709--0.706095))+0-29.9--0.0457470000000017</f>
        <v>1530.1552749999996</v>
      </c>
      <c r="R289" s="3">
        <f>1832.6+(136.2-431.1)+(-3.738504+(-0.277848--0.879444))+0-27.6--0.0563039999999988</f>
        <v>1507.0193959999999</v>
      </c>
      <c r="S289" s="3">
        <f>1831.1+(133.9-461.3)+(-1.867722+(-0.136578--0.470526))+0-28.1--0.0286620000000045</f>
        <v>1474.0948879999999</v>
      </c>
      <c r="T289" s="3">
        <f>1818.2+(131.5-492.6)+(-0.927282+(-0.067065--0.251226))+0-29.5--0.015044999999997</f>
        <v>1426.871924</v>
      </c>
      <c r="U289" s="3">
        <f>1813.5+(132-484.3)+(-1.84977+(-0.13464--0.493986))+0-31.1--0.031722000000005</f>
        <v>1428.641298</v>
      </c>
      <c r="V289" s="3">
        <f>1810.5+(156.9-454.1)+(-4.616775+(-0.400095--1.157955))+0-30.1--0.0767549999999956</f>
        <v>1479.4178400000001</v>
      </c>
      <c r="W289" s="3">
        <f>2010.5+(284.8-518.7)+(-5.126775+(-0.72624--1.322685))+0-29.4--0.0749699999999957</f>
        <v>1742.7446399999997</v>
      </c>
      <c r="X289" s="3">
        <f>2032.2+(272-420.4)+(-4.145688+(-0.55488--0.857616))+0-29.4--0.0599759999999987</f>
        <v>1850.6170240000001</v>
      </c>
      <c r="Y289" s="3">
        <f>1789.5+(262.8-303.7)+(-1.82529+(-0.268056--0.309774))+0-28.8--0.0293760000000046</f>
        <v>1718.0458039999999</v>
      </c>
      <c r="Z289" s="3">
        <f>1739.9+(249.5-309.7)+(-1.774698+(-0.25449--0.315894))+0-28.7--0.0292740000000046</f>
        <v>1649.3159800000001</v>
      </c>
      <c r="AA289" s="3">
        <f>1730.4+(149.4-290.2)+(0.882504+(0.076194-0.148002))+0-28.1-0.0143309999999971</f>
        <v>1562.2963650000002</v>
      </c>
      <c r="AB289" s="3">
        <f>1717.6+(72.5-292.6)+(-2.627928+(-0.110925--0.447678))+0-26.9--0.0411570000000016</f>
        <v>1468.349982</v>
      </c>
      <c r="AC289" s="3">
        <f>1576.4+(86.8-335.2)+(-4.01982+(-0.22134--0.85476))+0-27.6--0.070379999999996</f>
        <v>1297.0839799999999</v>
      </c>
      <c r="AD289">
        <f t="shared" si="4"/>
        <v>33026.480828</v>
      </c>
      <c r="AE289" s="3">
        <f>2067+(256.3-451.2)+(0+(0-0))+0-28.4-0</f>
        <v>1843.6999999999998</v>
      </c>
    </row>
    <row r="290" spans="1:31" s="2" customFormat="1" x14ac:dyDescent="0.25">
      <c r="A290">
        <v>89</v>
      </c>
      <c r="B290">
        <v>10</v>
      </c>
      <c r="C290">
        <v>14</v>
      </c>
      <c r="D290">
        <v>4</v>
      </c>
      <c r="E290">
        <v>1</v>
      </c>
      <c r="F290" s="3">
        <f>1524.9+(127.3-438.4)+(-3.110796+(-0.259692--0.894336))+0-27.6--0.0563039999999988</f>
        <v>1183.7801520000003</v>
      </c>
      <c r="G290" s="3">
        <f>1525.2+(156.1-550.3)+(-1.555704+(-0.159222--0.561306))+0-27.5--0.0280500000000044</f>
        <v>1102.3744299999998</v>
      </c>
      <c r="H290" s="3">
        <f>1493.8+(179.8-574)+(0+(0-0))+0-27.5-0</f>
        <v>1072.0999999999999</v>
      </c>
      <c r="I290" s="3">
        <f>1462.5+(178.7-558.5)+(-1.49175+(-0.182274--0.56967))+0-26.8--0.0273360000000043</f>
        <v>1054.8229820000001</v>
      </c>
      <c r="J290" s="3">
        <f>1462.9+(187-577.6)+(2.984316+(0.38148-1.178304))+0-26.2-0.0534479999999989</f>
        <v>1048.2340440000003</v>
      </c>
      <c r="K290" s="3">
        <f>1545.6+(177.4-634.3)+(0.788256+(0.090474-0.323493))+0-25.9-0.0132089999999974</f>
        <v>1063.3420279999998</v>
      </c>
      <c r="L290" s="3">
        <f>1773.4+(185.1-780.2)+(-1.808868+(-0.188802--0.795804))+0-26--0.0265200000000041</f>
        <v>1151.124654</v>
      </c>
      <c r="M290" s="3">
        <f>1682.5+(192.2-621.6)+(-2.574225+(-0.294066--0.951048))+0-27.2--0.0416160000000016</f>
        <v>1224.0243729999997</v>
      </c>
      <c r="N290" s="3">
        <f>1871.4+(150.2-700.1)+(-1.908828+(-0.153204--0.714102))+0-28.8--0.0293760000000046</f>
        <v>1291.3814460000001</v>
      </c>
      <c r="O290" s="3">
        <f>1914.6+(182.3-634.9)+(-1.952892+(-0.185946--0.647598))+0-25.3--0.025806000000004</f>
        <v>1435.2345660000001</v>
      </c>
      <c r="P290" s="3">
        <f>1913.2+(154.4-554.9)+(-0.975732+(-0.078744--0.282999))+0-16--0.00815999999999838</f>
        <v>1495.9366830000001</v>
      </c>
      <c r="Q290" s="3">
        <f>1930+(90.6-478.2)+(-3.9372+(-0.184824--0.975528))+0-10.2--0.0208079999999996</f>
        <v>1529.074312</v>
      </c>
      <c r="R290" s="3">
        <f>1905.7+(81.7-436.1)+(-1.943814+(-0.083334--0.444822))+0-9.6--0.00979200000000153</f>
        <v>1540.1274660000001</v>
      </c>
      <c r="S290" s="3">
        <f>1903.7+(83.9-458.8)+(-1.941774+(-0.085578--0.467976))+0-10.3--0.0105060000000016</f>
        <v>1516.9511300000004</v>
      </c>
      <c r="T290" s="3">
        <f>1905.4+(80.4-504)+(-0.971754+(-0.041004--0.25704))+0-25.3--0.0129029999999974</f>
        <v>1455.7571850000004</v>
      </c>
      <c r="U290" s="3">
        <f>1909.7+(57.1-483.2)+(0+(0-0))+0-27.1-0</f>
        <v>1456.5000000000002</v>
      </c>
      <c r="V290" s="3">
        <f>1911.4+(70.1-449)+(-3.899256+(-0.143004--0.91596))+0-28.7--0.0585479999999987</f>
        <v>1500.732248</v>
      </c>
      <c r="W290" s="3">
        <f>1936.7+(224.3-433.1)+(0+(0-0))+0-29.4-0</f>
        <v>1698.5</v>
      </c>
      <c r="X290" s="3">
        <f>1946.1+(222.5-344.5)+(-1.985022+(-0.22695--0.35139))+0-28.4--0.0289680000000045</f>
        <v>1793.8683859999999</v>
      </c>
      <c r="Y290" s="3">
        <f>1892.7+(217.4-344.3)+(-0.965277+(-0.110874--0.175593))+0-28.7--0.0146369999999971</f>
        <v>1736.2140789999999</v>
      </c>
      <c r="Z290" s="3">
        <f>1852.7+(203.2-349)+(-4.724385+(-0.51816--0.88995))+0-27.6--0.070379999999996</f>
        <v>1675.017785</v>
      </c>
      <c r="AA290" s="3">
        <f>1922.3+(74.8-355.1)+(0+(0-0))+0-24.2-0</f>
        <v>1617.8</v>
      </c>
      <c r="AB290" s="3">
        <f>1922+(52.1-416.2)+(-0.98022+(-0.026571--0.212262))+0-24.6--0.0125459999999975</f>
        <v>1532.5180170000001</v>
      </c>
      <c r="AC290" s="3">
        <f>1712.5+(47.3-351.9)+(-2.620125+(-0.072369--0.538407))+0-24.2--0.0370260000000014</f>
        <v>1381.5829390000001</v>
      </c>
      <c r="AD290">
        <f t="shared" si="4"/>
        <v>33556.998905</v>
      </c>
      <c r="AE290" s="3">
        <f>1952+(229.9-306.2)+(0+(0-0))+0-25.6-0</f>
        <v>1850.1000000000001</v>
      </c>
    </row>
    <row r="291" spans="1:31" s="2" customFormat="1" x14ac:dyDescent="0.25">
      <c r="A291">
        <v>89</v>
      </c>
      <c r="B291">
        <v>10</v>
      </c>
      <c r="C291">
        <v>15</v>
      </c>
      <c r="D291">
        <v>5</v>
      </c>
      <c r="E291">
        <v>1</v>
      </c>
      <c r="F291" s="3">
        <f>1539.3+(76.4-334.3)+(-3.140172+(-0.155856--0.681972))+0-25.3--0.0516119999999989</f>
        <v>1253.5375560000002</v>
      </c>
      <c r="G291" s="3">
        <f>1437.6+(128.3-384.8)+(-1.466352+(-0.130866--0.392496))+0-26--0.0265200000000041</f>
        <v>1153.9217979999999</v>
      </c>
      <c r="H291" s="3">
        <f>1358.6+(170.8-394.9)+(-0.692886+(-0.087108--0.201399))+0-24.3--0.0123929999999975</f>
        <v>1109.6337980000001</v>
      </c>
      <c r="I291" s="3">
        <f>1361.3+(181.5-430.5)+(-0.694263+(-0.092565--0.219555))+0-24.3--0.0123929999999975</f>
        <v>1087.4451200000001</v>
      </c>
      <c r="J291" s="3">
        <f>1463.8+(191.1-543.2)+(-0.746538+(-0.097461--0.277032))+0-21--0.0107099999999979</f>
        <v>1090.1437429999999</v>
      </c>
      <c r="K291" s="3">
        <f>1534.3+(209.4-623)+(-1.564986+(-0.213588--0.63546))+0-7.3--0.00744600000000116</f>
        <v>1112.264332</v>
      </c>
      <c r="L291" s="3">
        <f>1517.3+(243.6-612.1)+(-1.547646+(-0.248472--0.624342))+0-7.3--0.00744600000000116</f>
        <v>1140.3356700000002</v>
      </c>
      <c r="M291" s="3">
        <f>1655.2+(223.2-542.1)+(-1.688304+(-0.227664--0.552942))+0-26.2--0.0267240000000042</f>
        <v>1308.763698</v>
      </c>
      <c r="N291" s="3">
        <f>1851.2+(132.7-550.5)+(-3.776448+(-0.270708--1.12302))+0-28.7--0.0585479999999987</f>
        <v>1401.8344119999999</v>
      </c>
      <c r="O291" s="3">
        <f>1988.3+(80.7-438.6)+(-1.014033+(-0.041157--0.223686))+0-29.5--0.015044999999997</f>
        <v>1600.083541</v>
      </c>
      <c r="P291" s="3">
        <f>1883.2+(77.7-371.8)+(-0.960432+(-0.039627--0.189618))+0-29.6--0.015095999999997</f>
        <v>1558.704655</v>
      </c>
      <c r="Q291" s="3">
        <f>1889.1+(56.9-324.5)+(-0.963441+(-0.029019--0.165495))+0-28--0.0142799999999972</f>
        <v>1592.6873150000001</v>
      </c>
      <c r="R291" s="3">
        <f>1873.1+(45.9-313.4)+(-1.910562+(-0.046818--0.319668))+0-26.6--0.0271320000000042</f>
        <v>1577.38942</v>
      </c>
      <c r="S291" s="3">
        <f>1830.3+(45.3-310.8)+(-2.800359+(-0.069309--0.475524))+0-26.3--0.0402390000000015</f>
        <v>1536.1460949999998</v>
      </c>
      <c r="T291" s="3">
        <f>1871.9+(38.7-400.2)+(-1.909338+(-0.039474--0.408204))+0-26.7--0.0272340000000043</f>
        <v>1482.1866259999999</v>
      </c>
      <c r="U291" s="3">
        <f>1753.9+(64.2-305.6)+(4.472445+(0.16371-0.77928))+0-24.3-0.0619649999999965</f>
        <v>1491.9949099999999</v>
      </c>
      <c r="V291" s="3">
        <f>1894.8+(44.1-379.1)+(-2.899044+(-0.067473--0.580023))+0-28--0.0428400000000016</f>
        <v>1529.4563459999999</v>
      </c>
      <c r="W291" s="3">
        <f>1943.2+(191.1-362.1)+(0.991032+(0.097461-0.184671))+0-29.4-0.014993999999997</f>
        <v>1743.6888280000001</v>
      </c>
      <c r="X291" s="3">
        <f>1956.4+(197.9-295)+(-3.991056+(-0.403716--0.6018))+0-18.8--0.0383519999999992</f>
        <v>1836.7453800000003</v>
      </c>
      <c r="Y291" s="3">
        <f>1794.6+(231.8-217.6)+(-2.745738+(-0.354654--0.332928))+0-28.7--0.0439110000000017</f>
        <v>1777.3764469999999</v>
      </c>
      <c r="Z291" s="3">
        <f>1792.7+(217.8-260.7)+(-0.914277+(-0.111078--0.132957))+0-29.1--0.014840999999997</f>
        <v>1719.8224430000002</v>
      </c>
      <c r="AA291" s="3">
        <f>1795.8+(108.6-224.3)+(-2.747574+(-0.166158--0.343179))+0-26.7--0.0408510000000015</f>
        <v>1650.8702979999998</v>
      </c>
      <c r="AB291" s="3">
        <f>1747.2+(101.8-264.5)+(-4.45536+(-0.25959--0.674475))+0-21.5--0.0548249999999969</f>
        <v>1559.0143499999999</v>
      </c>
      <c r="AC291" s="3">
        <f>1550.6+(89.7-210.9)+(-3.95403+(-0.228735--0.537795))+0-24.4--0.0622199999999965</f>
        <v>1401.4172499999997</v>
      </c>
      <c r="AD291">
        <f t="shared" si="4"/>
        <v>34715.464030999996</v>
      </c>
      <c r="AE291" s="3">
        <f>1977.2+(208.1-302.6)+(0+(0-0))+0-29.6-0</f>
        <v>1853.1000000000001</v>
      </c>
    </row>
    <row r="292" spans="1:31" s="2" customFormat="1" x14ac:dyDescent="0.25">
      <c r="A292">
        <v>89</v>
      </c>
      <c r="B292">
        <v>10</v>
      </c>
      <c r="C292">
        <v>16</v>
      </c>
      <c r="D292">
        <v>6</v>
      </c>
      <c r="E292">
        <v>1</v>
      </c>
      <c r="F292" s="3">
        <f>1446.9+(101-270.9)+(-1.475838+(-0.10302--0.276318))+0-25.9--0.0264180000000041</f>
        <v>1249.8238779999999</v>
      </c>
      <c r="G292" s="3">
        <f>1320.1+(159.6-279.7)+(-2.019753+(-0.244188--0.427941))+0-27.8--0.0425340000000016</f>
        <v>1170.406534</v>
      </c>
      <c r="H292" s="3">
        <f>1289.4+(182.4-315.1)+(-2.630376+(-0.372096--0.642804))+0-27.3--0.0556919999999988</f>
        <v>1127.0960239999999</v>
      </c>
      <c r="I292" s="3">
        <f>1310.7+(198.5-358.4)+(-2.005371+(-0.303705--0.548352))+0-28.1--0.0429930000000016</f>
        <v>1120.9822690000003</v>
      </c>
      <c r="J292" s="3">
        <f>1312.7+(200.8-360.8)+(-0.669477+(-0.102408--0.184008))+0-26.8--0.0136679999999973</f>
        <v>1125.3257910000002</v>
      </c>
      <c r="K292" s="3">
        <f>1358.2+(200.5-392.6)+(0+(0-0))+0-28.1-0</f>
        <v>1138</v>
      </c>
      <c r="L292" s="3">
        <f>1503.1+(213.1-492.9)+(-0.766581+(-0.108681--0.251379))+0-28.3--0.0144329999999971</f>
        <v>1194.3905500000001</v>
      </c>
      <c r="M292" s="3">
        <f>1752+(199.6-587.6)+(0+(0-0))+0-28.7-0</f>
        <v>1335.3</v>
      </c>
      <c r="N292" s="3">
        <f>1844.6+(155.3-515.3)+(-0.940746+(-0.079203--0.262803))+0-29.7--0.015146999999997</f>
        <v>1454.158001</v>
      </c>
      <c r="O292" s="3">
        <f>1873.8+(89.5-376.8)+(-1.911276+(-0.09129--0.384336))+0-28.7--0.0292740000000046</f>
        <v>1556.2110439999999</v>
      </c>
      <c r="P292" s="3">
        <f>1911.1+(83.9-330.1)+(0+(0-0))+0-28.6-0</f>
        <v>1636.3</v>
      </c>
      <c r="Q292" s="3">
        <f>1914.1+(86.1-310.7)+(-1.952382+(-0.087822--0.316914))+0-28.1--0.0286620000000045</f>
        <v>1659.7053720000001</v>
      </c>
      <c r="R292" s="3">
        <f>1914.1+(45.2-355.4)+(-5.857146+(-0.138312--1.087524))+0-28--0.0856800000000032</f>
        <v>1571.0777459999997</v>
      </c>
      <c r="S292" s="3">
        <f>1776+(57.5-294.5)+(-2.71728+(-0.087975--0.450585))+0-27.3--0.0417690000000016</f>
        <v>1509.387099</v>
      </c>
      <c r="T292" s="3">
        <f>1749.7+(51.8-322.2)+(-1.784694+(-0.052836--0.328644))+0-27.8--0.0283560000000044</f>
        <v>1450.0194700000002</v>
      </c>
      <c r="U292" s="3">
        <f>1749.6+(51.6-358.4)+(0+(0-0))+0-28.3-0</f>
        <v>1414.5</v>
      </c>
      <c r="V292" s="3">
        <f>1758.1+(73.8-314.9)+(-1.793262+(-0.075276--0.321198))+0-28.6--0.0291720000000046</f>
        <v>1486.881832</v>
      </c>
      <c r="W292" s="3">
        <f>1948.9+(183.4-388)+(0+(0-0))+0-29.7-0</f>
        <v>1714.6000000000001</v>
      </c>
      <c r="X292" s="3">
        <f>1954.4+(183.7-288.5)+(-4.98372+(-0.468435--0.735675))+0-30.7--0.0782849999999955</f>
        <v>1814.2618050000001</v>
      </c>
      <c r="Y292" s="3">
        <f>1782.7+(209.2-216.6)+(-2.727531+(-0.320076--0.331398))+0-30.7--0.0469710000000018</f>
        <v>1741.930762</v>
      </c>
      <c r="Z292" s="3">
        <f>1717.3+(215.9-222)+(-0.875823+(-0.110109--0.11322))+0-30.5--0.0155549999999969</f>
        <v>1679.8428429999999</v>
      </c>
      <c r="AA292" s="3">
        <f>1715.4+(105.1-176.7)+(-1.749708+(-0.107202--0.180234))+0-27.6--0.0281520000000044</f>
        <v>1614.5514760000003</v>
      </c>
      <c r="AB292" s="3">
        <f>1645.4+(96.6-181.5)+(-0.839154+(-0.049266--0.092565))+0-26.3--0.0134129999999973</f>
        <v>1533.4175579999999</v>
      </c>
      <c r="AC292" s="3">
        <f>1412.7+(172-156.5)+(-2.161431+(-0.26316--0.239445))+0-27.7--0.0423810000000016</f>
        <v>1398.3572349999999</v>
      </c>
      <c r="AD292">
        <f t="shared" si="4"/>
        <v>34696.527288999998</v>
      </c>
      <c r="AE292" s="3">
        <f>1950+(188.9-299.5)+(0+(0-0))+0-29.6-0</f>
        <v>1809.8000000000002</v>
      </c>
    </row>
    <row r="293" spans="1:31" s="2" customFormat="1" x14ac:dyDescent="0.25">
      <c r="A293">
        <v>89</v>
      </c>
      <c r="B293">
        <v>10</v>
      </c>
      <c r="C293">
        <v>17</v>
      </c>
      <c r="D293">
        <v>7</v>
      </c>
      <c r="E293">
        <v>1</v>
      </c>
      <c r="F293" s="3">
        <f>1089.6+(289.5-169.1)+(-0.555696+(-0.147645--0.086241))+0-26.8--0.0136679999999973</f>
        <v>1182.5965680000002</v>
      </c>
      <c r="G293" s="3">
        <f>1071.2+(223.8-195.6)+(-1.638936+(-0.342414--0.299268))+0-27.2--0.0416160000000016</f>
        <v>1070.559534</v>
      </c>
      <c r="H293" s="3">
        <f>1072.8+(186.3-211.7)+(0+(0-0))+0-25.6-0</f>
        <v>1021.8000000000001</v>
      </c>
      <c r="I293" s="3">
        <f>1073.5+(189.7-233)+(0.547485+(0.096747-0.11883))+0-26-0.0132599999999974</f>
        <v>1004.7121420000001</v>
      </c>
      <c r="J293" s="3">
        <f>1074.2+(193.9-245.6)+(-1.095684+(-0.197778--0.250512))+0-27.3--0.0278460000000044</f>
        <v>994.18489599999998</v>
      </c>
      <c r="K293" s="3">
        <f>1081.2+(189.5-248.4)+(0.551412+(0.096645-0.126684))+0-26.9-0.0137189999999973</f>
        <v>995.90765400000009</v>
      </c>
      <c r="L293" s="3">
        <f>1192.6+(176.4-309)+(-3.04113+(-0.44982--0.78795))+0-27.1--0.0691049999999961</f>
        <v>1030.2661050000002</v>
      </c>
      <c r="M293" s="3">
        <f>1174.8+(187.7-287.5)+(0+(0-0))+0-28.9-0</f>
        <v>1046.0999999999999</v>
      </c>
      <c r="N293" s="3">
        <f>1285.5+(117.7-310.4)+(0+(0-0))+0-29.9-0</f>
        <v>1062.8999999999999</v>
      </c>
      <c r="O293" s="3">
        <f>1402.7+(60.2-277.7)+(2.861508+(0.122808-0.566508))+0-28.1-0.0573239999999988</f>
        <v>1159.460484</v>
      </c>
      <c r="P293" s="3">
        <f>1516.2+(46.4-272.3)+(-2.319786+(-0.070992--0.416619))+0-30--0.0459000000000017</f>
        <v>1258.3717409999999</v>
      </c>
      <c r="Q293" s="3">
        <f>1470.7+(56.8-219.3)+(-0.750057+(-0.028968--0.111843))+0-28.9--0.0147389999999971</f>
        <v>1278.647557</v>
      </c>
      <c r="R293" s="3">
        <f>1366.2+(109.2-186.5)+(-2.090286+(-0.167076--0.285345))+0-28.6--0.0437580000000017</f>
        <v>1258.3717410000002</v>
      </c>
      <c r="S293" s="3">
        <f>1365.9+(111.9-213)+(-1.393218+(-0.114138--0.21726))+0-28--0.0285600000000045</f>
        <v>1235.5384640000002</v>
      </c>
      <c r="T293" s="3">
        <f>1364.1+(92.3-232.3)+(1.391382+(0.094146-0.236946))+0-28-0.0285600000000045</f>
        <v>1197.3200219999999</v>
      </c>
      <c r="U293" s="3">
        <f>1366+(85.8-242.3)+(0+(0-0))+0-28.4-0</f>
        <v>1181.0999999999999</v>
      </c>
      <c r="V293" s="3">
        <f>1391.1+(96.1-224.7)+(-4.256766+(-0.294066--0.687582))+0-29.6--0.0905760000000034</f>
        <v>1229.127326</v>
      </c>
      <c r="W293" s="3">
        <f>1483.7+(209.6-223.9)+(-0.756687+(-0.106896--0.114189))+0-30.5--0.0155549999999969</f>
        <v>1438.1661610000001</v>
      </c>
      <c r="X293" s="3">
        <f>1559.3+(267.1-229.7)+(-2.385729+(-0.408663--0.351441))+0-29.8--0.0455940000000017</f>
        <v>1564.502643</v>
      </c>
      <c r="Y293" s="3">
        <f>1517.4+(282-222.9)+(0+(0-0))+0-28.6-0</f>
        <v>1547.9</v>
      </c>
      <c r="Z293" s="3">
        <f>1354.8+(371.1-185.8)+(-2.763792+(-0.757044--0.379032))+0-29.9--0.0609959999999987</f>
        <v>1507.1191919999997</v>
      </c>
      <c r="AA293" s="3">
        <f>1353.9+(319.2-173.2)+(-0.690489+(-0.162792--0.088332))+0-27.7--0.0141269999999972</f>
        <v>1471.4491780000001</v>
      </c>
      <c r="AB293" s="3">
        <f>1338.8+(283.6-178.8)+(-0.682788+(-0.144636--0.091188))+0-25.4--0.0129539999999974</f>
        <v>1417.4767179999999</v>
      </c>
      <c r="AC293" s="3">
        <f>1150.7+(326.7-173.4)+(-1.760571+(-0.499851--0.265302))+0-25.9--0.0396270000000015</f>
        <v>1276.144507</v>
      </c>
      <c r="AD293">
        <f t="shared" si="4"/>
        <v>29429.722633000001</v>
      </c>
      <c r="AE293" s="3">
        <f>1559+(276.5-190.6)+(0+(0-0))+0-32-0</f>
        <v>1612.9</v>
      </c>
    </row>
    <row r="294" spans="1:31" s="2" customFormat="1" x14ac:dyDescent="0.25">
      <c r="A294">
        <v>89</v>
      </c>
      <c r="B294">
        <v>10</v>
      </c>
      <c r="C294">
        <v>18</v>
      </c>
      <c r="D294">
        <v>1</v>
      </c>
      <c r="E294">
        <v>1</v>
      </c>
      <c r="F294" s="3">
        <f>1076.1+(249.4-157.9)+(-2.744055+(-0.63597--0.402645))+0-26.9--0.0685949999999961</f>
        <v>1137.7912149999997</v>
      </c>
      <c r="G294" s="3">
        <f>1074.1+(193.9-185.4)+(-1.095582+(-0.197778--0.189108))+0-28.3--0.0288660000000045</f>
        <v>1053.224614</v>
      </c>
      <c r="H294" s="3">
        <f>1081.8+(202.4-219.5)+(-2.75859+(-0.51612--0.559725))+0-28.7--0.0731849999999958</f>
        <v>1033.3581999999999</v>
      </c>
      <c r="I294" s="3">
        <f>1075.1+(198.4-220.2)+(-1.096602+(-0.202368--0.224604))+0-28.3--0.0288660000000045</f>
        <v>1023.9544999999999</v>
      </c>
      <c r="J294" s="3">
        <f>1119.1+(192.6-261.5)+(-0.570741+(-0.098226--0.133365))+0-28.2--0.0143819999999971</f>
        <v>1021.4787799999998</v>
      </c>
      <c r="K294" s="3">
        <f>1234.2+(183.3-343.1)+(-1.258884+(-0.186966--0.349962))+0-28.3--0.0288660000000045</f>
        <v>1045.0329780000002</v>
      </c>
      <c r="L294" s="3">
        <f>1285.5+(175.3-314.8)+(-0.655605+(-0.089403--0.160548))+0-28.5--0.0145349999999971</f>
        <v>1116.930075</v>
      </c>
      <c r="M294" s="3">
        <f>1412.1+(157.5-305.4)+(0.720171+(0.080325-0.155754))+0-28.4-0.0144839999999971</f>
        <v>1236.4302579999996</v>
      </c>
      <c r="N294" s="3">
        <f>1533.2+(114.3-276.3)+(0+(0-0))+0-29.9-0</f>
        <v>1341.3</v>
      </c>
      <c r="O294" s="3">
        <f>1655.7+(55-225.5)+(-0.844407+(-0.02805--0.115005))+0-28.6--0.0145859999999971</f>
        <v>1455.8571340000001</v>
      </c>
      <c r="P294" s="3">
        <f>1797.8+(44.2-257.4)+(-1.833756+(-0.045084--0.262548))+0-29.3--0.0298860000000047</f>
        <v>1553.7135940000001</v>
      </c>
      <c r="Q294" s="3">
        <f>1798.3+(46.1-228.4)+(-0.917133+(-0.023511--0.116484))+0-29.3--0.014942999999997</f>
        <v>1585.8907830000001</v>
      </c>
      <c r="R294" s="3">
        <f>1798.8+(45.3-239.7)+(-0.917388+(-0.023103--0.122247))+0-27.7--0.0141269999999972</f>
        <v>1575.8958829999999</v>
      </c>
      <c r="S294" s="3">
        <f>1801+(37.7-273.9)+(-1.83702+(-0.038454--0.279378))+0-26.4--0.0269280000000042</f>
        <v>1536.8308319999999</v>
      </c>
      <c r="T294" s="3">
        <f>1800.3+(35.7-324.1)+(-1.836306+(-0.036414--0.330582))+0-28.1--0.0286620000000045</f>
        <v>1482.2865239999999</v>
      </c>
      <c r="U294" s="3">
        <f>1798.6+(35.7-312.2)+(0+(0-0))+0-28-0</f>
        <v>1494.1</v>
      </c>
      <c r="V294" s="3">
        <f>1800.4+(49.4-278.5)+(0+(0-0))+0-27.2-0</f>
        <v>1544.1000000000001</v>
      </c>
      <c r="W294" s="3">
        <f>1837.6+(187.5-263.2)+(1.874352+(0.19125-0.268464))+0-30.4-0.0310080000000048</f>
        <v>1733.2661299999997</v>
      </c>
      <c r="X294" s="3">
        <f>1845.3+(210.2-187.2)+(-2.823309+(-0.321606--0.286416))+0-29.9--0.0457470000000017</f>
        <v>1835.5872479999998</v>
      </c>
      <c r="Y294" s="3">
        <f>1761+(226.6-173.8)+(-3.59244+(-0.462264--0.354552))+0-30.2--0.0616079999999987</f>
        <v>1779.961456</v>
      </c>
      <c r="Z294" s="3">
        <f>1680.7+(240.7-165)+(-1.714314+(-0.245514--0.1683))+0-30--0.0306000000000048</f>
        <v>1724.6390720000002</v>
      </c>
      <c r="AA294" s="3">
        <f>1681.9+(166.7-158.7)+(-1.715538+(-0.170034--0.161874))+0-28.2--0.0287640000000045</f>
        <v>1660.0050659999999</v>
      </c>
      <c r="AB294" s="3">
        <f>1465.3+(282.1-148.6)+(-0.747303+(-0.143871--0.075786))+0-28.5--0.0145349999999971</f>
        <v>1569.499147</v>
      </c>
      <c r="AC294" s="3">
        <f>1321.8+(271.3-160.7)+(-2.696472+(-0.553452--0.327828))+0-28.2--0.0575279999999988</f>
        <v>1401.3354320000001</v>
      </c>
      <c r="AD294">
        <f t="shared" si="4"/>
        <v>33942.468921</v>
      </c>
      <c r="AE294" s="3">
        <f>1844+(212.4-185.5)+(0+(0-0))+0-31.2-0</f>
        <v>1839.7</v>
      </c>
    </row>
    <row r="295" spans="1:31" s="2" customFormat="1" x14ac:dyDescent="0.25">
      <c r="A295">
        <v>89</v>
      </c>
      <c r="B295">
        <v>10</v>
      </c>
      <c r="C295">
        <v>19</v>
      </c>
      <c r="D295">
        <v>2</v>
      </c>
      <c r="E295">
        <v>1</v>
      </c>
      <c r="F295" s="3">
        <f>1289.9+(176.7-226.8)+(-1.973547+(-0.270351--0.347004))+0-27--0.0413100000000016</f>
        <v>1210.9444160000003</v>
      </c>
      <c r="G295" s="3">
        <f>1286.2+(153.5-280.6)+(-3.935772+(-0.46971--0.858636))+0-28.1--0.0859860000000033</f>
        <v>1127.5391400000001</v>
      </c>
      <c r="H295" s="3">
        <f>1294.2+(165.3-370.4)+(0.660042+(0.084303-0.188904))+0-28.4-0.0144839999999971</f>
        <v>1061.240957</v>
      </c>
      <c r="I295" s="3">
        <f>1302.4+(168.1-401.3)+(-1.992672+(-0.257193--0.613989))+0-28.2--0.0431460000000016</f>
        <v>1039.4072699999999</v>
      </c>
      <c r="J295" s="3">
        <f>1302+(173.8-406.7)+(1.32804+(0.177276-0.414834))+0-28.2-0.0287640000000045</f>
        <v>1041.961718</v>
      </c>
      <c r="K295" s="3">
        <f>1302.5+(176.2-394.9)+(-1.32855+(-0.179724--0.402798))+0-27.9--0.0284580000000044</f>
        <v>1054.8229819999999</v>
      </c>
      <c r="L295" s="3">
        <f>1450+(182.3-488.3)+(-2.958+(-0.371892--0.996132))+0-28.2--0.0575279999999988</f>
        <v>1113.523768</v>
      </c>
      <c r="M295" s="3">
        <f>1550.9+(172.4-480.3)+(-2.372877+(-0.263772--0.734859))+0-28.3--0.0432990000000016</f>
        <v>1212.8415090000001</v>
      </c>
      <c r="N295" s="3">
        <f>1667.2+(126-428.6)+(0.850272+(0.06426-0.218586))+0-30-0.015299999999997</f>
        <v>1335.2806459999999</v>
      </c>
      <c r="O295" s="3">
        <f>1761+(66.1-358.4)+(-0.89811+(-0.033711--0.182784))+0-28.7--0.0146369999999971</f>
        <v>1439.2655999999999</v>
      </c>
      <c r="P295" s="3">
        <f>1786+(49.2-301.1)+(0+(0-0))+0-27.8-0</f>
        <v>1506.3</v>
      </c>
      <c r="Q295" s="3">
        <f>1782+(48.5-252.2)+(0+(0-0))+0-26.9-0</f>
        <v>1551.3999999999999</v>
      </c>
      <c r="R295" s="3">
        <f>1778.5+(53.2-245.5)+(-3.62814+(-0.108528--0.50082))+0-27--0.0550799999999988</f>
        <v>1556.0192320000001</v>
      </c>
      <c r="S295" s="3">
        <f>1703.3+(78.2-254.3)+(-1.737366+(-0.079764--0.259386))+0-25.8--0.0263160000000041</f>
        <v>1499.8685719999999</v>
      </c>
      <c r="T295" s="3">
        <f>1683.8+(51.4-279)+(-3.434952+(-0.104856--0.56916))+0-27.8--0.0567119999999988</f>
        <v>1425.4860640000002</v>
      </c>
      <c r="U295" s="3">
        <f>1644.5+(44.3-233.1)+(0+(0-0))+0-28.2-0</f>
        <v>1427.5</v>
      </c>
      <c r="V295" s="3">
        <f>1727.3+(40.7-258.5)+(0+(0-0))+0-28.1-0</f>
        <v>1481.4</v>
      </c>
      <c r="W295" s="3">
        <f>1805.9+(187.4-280.1)+(0+(0-0))+0-28.2-0</f>
        <v>1685</v>
      </c>
      <c r="X295" s="3">
        <f>1826.9+(212.2-236.4)+(-2.795157+(-0.324666--0.361692))+0-29.9--0.0457470000000017</f>
        <v>1770.0876159999998</v>
      </c>
      <c r="Y295" s="3">
        <f>1777.4+(204.4-228)+(-2.719422+(-0.312732--0.34884))+0-30.9--0.0472770000000018</f>
        <v>1720.2639629999999</v>
      </c>
      <c r="Z295" s="3">
        <f>1661+(215.6-199.8)+(-1.69422+(-0.219912--0.203796))+0-29.5--0.0300900000000047</f>
        <v>1645.6197539999998</v>
      </c>
      <c r="AA295" s="3">
        <f>1647.5+(159.4-203.1)+(-1.68045+(-0.162588--0.207162))+0-26--0.0265200000000041</f>
        <v>1576.1906439999998</v>
      </c>
      <c r="AB295" s="3">
        <f>1624+(127.8-218.9)+(-3.31296+(-0.260712--0.446556))+0-25.6--0.0522239999999989</f>
        <v>1504.2251080000003</v>
      </c>
      <c r="AC295" s="3">
        <f>1329+(225.8-189)+(-0.67779+(-0.115158--0.09639))+0-24.9--0.0126989999999975</f>
        <v>1340.2161409999997</v>
      </c>
      <c r="AD295">
        <f t="shared" si="4"/>
        <v>33326.405099999996</v>
      </c>
      <c r="AE295" s="3">
        <f>1844.5+(208.5-191.5)+(0+(0-0))+0-24-0</f>
        <v>1837.5</v>
      </c>
    </row>
    <row r="296" spans="1:31" s="2" customFormat="1" x14ac:dyDescent="0.25">
      <c r="A296">
        <v>89</v>
      </c>
      <c r="B296">
        <v>10</v>
      </c>
      <c r="C296">
        <v>20</v>
      </c>
      <c r="D296">
        <v>3</v>
      </c>
      <c r="E296">
        <v>1</v>
      </c>
      <c r="F296" s="3">
        <f>1259.1+(114.3-236.2)+(-1.926423+(-0.174879--0.361386))+0-25.3--0.0387090000000015</f>
        <v>1110.1987929999998</v>
      </c>
      <c r="G296" s="3">
        <f>1276.9+(119.8-292.5)+(-1.953657+(-0.183294--0.447525))+0-27.2--0.0416160000000016</f>
        <v>1075.3521900000001</v>
      </c>
      <c r="H296" s="3">
        <f>1280.9+(148.6-368.4)+(1.959777+(0.227358-0.563652))+0-27.7-0.0423810000000016</f>
        <v>1034.9811020000002</v>
      </c>
      <c r="I296" s="3">
        <f>1280.9+(156.7-389.9)+(-1.306518+(-0.159834--0.397698))+0-27.4--0.0279480000000044</f>
        <v>1019.2592940000002</v>
      </c>
      <c r="J296" s="3">
        <f>1282+(149.8-392.3)+(-1.30764+(-0.152796--0.400146))+0-27.5--0.0280500000000044</f>
        <v>1010.9677600000001</v>
      </c>
      <c r="K296" s="3">
        <f>1325.6+(152.3-423.4)+(0+(0-0))+0-27.9-0</f>
        <v>1026.5999999999999</v>
      </c>
      <c r="L296" s="3">
        <f>1330.6+(158.1-433.9)+(-0.678606+(-0.080631--0.221289))+0-28--0.0142799999999972</f>
        <v>1026.2763320000001</v>
      </c>
      <c r="M296" s="3">
        <f>1364.8+(102.4-343.3)+(1.392096+(0.104448-0.350166))+0-28.1-0.0286620000000045</f>
        <v>1096.9177159999999</v>
      </c>
      <c r="N296" s="3">
        <f>1428.9+(33.9-282.1)+(0+(0-0))+0-27.2-0</f>
        <v>1153.5</v>
      </c>
      <c r="O296" s="3">
        <f>1523.4+(13.5-274.8)+(0+(0-0))+0-28.8-0</f>
        <v>1233.3000000000002</v>
      </c>
      <c r="P296" s="3">
        <f>1691.6+(13.1-364.1)+(-1.725432+(-0.013362--0.371382))+0-26.7--0.0272340000000043</f>
        <v>1312.5598219999997</v>
      </c>
      <c r="Q296" s="3">
        <f>1698.6+(16.8-333.9)+(-0.866286+(-0.008568--0.170289))+0-28.3--0.0144329999999971</f>
        <v>1352.5098680000001</v>
      </c>
      <c r="R296" s="3">
        <f>1656.8+(15.7-195.7)+(-5.914776+(-0.056049--0.698649))+2.6-26.4--0.0942480000000004</f>
        <v>1447.8220719999999</v>
      </c>
      <c r="S296" s="3">
        <f>1645+(24.9-212.9)+(-0.83895+(-0.012699--0.108579))+0-25.2--0.0128519999999974</f>
        <v>1431.069782</v>
      </c>
      <c r="T296" s="3">
        <f>1644.4+(63.1-235.1)+(0+(0-0))+0-27-0</f>
        <v>1445.4</v>
      </c>
      <c r="U296" s="3">
        <f>1649.5+(59.2-251.9)+(0+(0-0))+0-27.5-0</f>
        <v>1429.3</v>
      </c>
      <c r="V296" s="3">
        <f>1647.8+(64.9-219.1)+(-4.20189+(-0.165495--0.558705))+0-30--0.0764999999999956</f>
        <v>1459.8678199999997</v>
      </c>
      <c r="W296" s="3">
        <f>1773.1+(77-162.6)+(0+(0-0))+0-29.3-0</f>
        <v>1658.2</v>
      </c>
      <c r="X296" s="3">
        <f>1833.4+(128.1-151.4)+(-3.740136+(-0.261324--0.308856))+0-29.2--0.0595679999999987</f>
        <v>1777.2669639999999</v>
      </c>
      <c r="Y296" s="3">
        <f>1816.3+(119.4-168.6)+(-2.778939+(-0.182682--0.257958))+0-29.1--0.0445230000000017</f>
        <v>1735.34086</v>
      </c>
      <c r="Z296" s="3">
        <f>1673+(191.9-151)+(-0.85323+(-0.097869--0.07701))+0-28.2--0.0143819999999971</f>
        <v>1684.8402930000002</v>
      </c>
      <c r="AA296" s="3">
        <f>1674.3+(152.4-166.7)+(1.707786+(0.155448-0.170034))+0-27-0.0275400000000043</f>
        <v>1634.6656599999999</v>
      </c>
      <c r="AB296" s="3">
        <f>1673.7+(105.5-196)+(-1.707174+(-0.10761--0.19992))+0-26.9--0.0274380000000043</f>
        <v>1554.7125740000001</v>
      </c>
      <c r="AC296" s="3">
        <f>1548.1+(95.9-213.7)+(-1.579062+(-0.097818--0.217974))+0-24.9--0.025398000000004</f>
        <v>1403.9664919999998</v>
      </c>
      <c r="AD296">
        <f t="shared" si="4"/>
        <v>32114.875393999999</v>
      </c>
      <c r="AE296" s="3">
        <f>1833.5+(134-144)+(0+(0-0))+0-30-0</f>
        <v>1793.5</v>
      </c>
    </row>
    <row r="297" spans="1:31" s="2" customFormat="1" x14ac:dyDescent="0.25">
      <c r="A297">
        <v>89</v>
      </c>
      <c r="B297">
        <v>10</v>
      </c>
      <c r="C297">
        <v>21</v>
      </c>
      <c r="D297">
        <v>4</v>
      </c>
      <c r="E297">
        <v>1</v>
      </c>
      <c r="F297" s="3">
        <f>1190.2+(242.6-221.4)+(-1.214004+(-0.247452--0.225828))+0-28.3--0.0288660000000045</f>
        <v>1181.8932380000003</v>
      </c>
      <c r="G297" s="3">
        <f>999.6+(299.7-198.4)+(-1.019592+(-0.305694--0.202368))+0-28--0.0285600000000045</f>
        <v>1071.805642</v>
      </c>
      <c r="H297" s="3">
        <f>987.9+(275-200.4)+(0.503829+(0.14025-0.102204))+0-28.1-0.0143309999999971</f>
        <v>1034.9275439999999</v>
      </c>
      <c r="I297" s="3">
        <f>970.1+(274.4-202.6)+(0.494751+(0.139944-0.103326))+0-28.3-0.0144329999999971</f>
        <v>1014.1169360000001</v>
      </c>
      <c r="J297" s="3">
        <f>969.7+(275.9-203.1)+(0.989094+(0.281418-0.207162))+0-28.8-0.0293760000000046</f>
        <v>1014.733974</v>
      </c>
      <c r="K297" s="3">
        <f>1077.9+(201-219.4)+(-0.549729+(-0.10251--0.111894))+0-29--0.0147899999999971</f>
        <v>1029.9744450000001</v>
      </c>
      <c r="L297" s="3">
        <f>1122.5+(218.3-224.3)+(-3.43485+(-0.667998--0.686358))+0-28.7--0.0878220000000033</f>
        <v>1084.4713319999998</v>
      </c>
      <c r="M297" s="3">
        <f>1274.1+(154.7-223.2)+(0+(0-0))+0-28.2-0</f>
        <v>1177.3999999999999</v>
      </c>
      <c r="N297" s="3">
        <f>1405.4+(112.6-223.5)+(-1.433508+(-0.114852--0.22797))+0-29.1--0.0296820000000046</f>
        <v>1264.1092920000001</v>
      </c>
      <c r="O297" s="3">
        <f>1472+(136-207.9)+(-0.75072+(-0.06936--0.106029))+0-28--0.0142799999999972</f>
        <v>1371.4002290000001</v>
      </c>
      <c r="P297" s="3">
        <f>1484.8+(175.2-195.5)+(0.757248+(0.089352-0.099705))+0-28-0.0142799999999972</f>
        <v>1437.2326149999999</v>
      </c>
      <c r="Q297" s="3">
        <f>1494.7+(190.2-190.1)+(-2.286891+(-0.291006--0.290853))+0-28.5--0.0436050000000016</f>
        <v>1464.0565610000001</v>
      </c>
      <c r="R297" s="3">
        <f>1499.1+(215.2-171.1)+(-3.822705+(-0.54876--0.436305))+0-27.7--0.070634999999996</f>
        <v>1511.6354749999998</v>
      </c>
      <c r="S297" s="3">
        <f>1498.5+(274.1-168.8)+(0+(0-0))+0-25.5-0</f>
        <v>1578.3</v>
      </c>
      <c r="T297" s="3">
        <f>1498.8+(232.8-171)+(0.764388+(0.118728-0.08721))+0-26.2-0.0133619999999973</f>
        <v>1535.182544</v>
      </c>
      <c r="U297" s="3">
        <f>1500+(142-197.3)+(0+(0-0))+0-26.5-0</f>
        <v>1418.2</v>
      </c>
      <c r="V297" s="3">
        <f>1505.8+(133.6-200.7)+(-0.767958+(-0.068136--0.102357))+0-28.7--0.0146369999999971</f>
        <v>1409.2809</v>
      </c>
      <c r="W297" s="3">
        <f>1566.6+(265.4-196.2)+(0.798966+(0.135354-0.100062))+0-30-0.015299999999997</f>
        <v>1606.618958</v>
      </c>
      <c r="X297" s="3">
        <f>1571.9+(384.9-183.4)+(-2.405007+(-0.588897--0.280602))+0-30.1--0.0460530000000017</f>
        <v>1740.6327510000001</v>
      </c>
      <c r="Y297" s="3">
        <f>1573.1+(347.9-205.9)+(-3.209124+(-0.709716--0.420036))+0-30.7--0.0626279999999987</f>
        <v>1680.9638239999997</v>
      </c>
      <c r="Z297" s="3">
        <f>1573.7+(305-221)+(-3.210348+(-0.6222--0.45084))+0-28.5--0.0581399999999988</f>
        <v>1625.8764320000002</v>
      </c>
      <c r="AA297" s="3">
        <f>1572.5+(237.8-210.3)+(-3.2079+(-0.485112--0.429012))+0-27--0.0550799999999988</f>
        <v>1569.7910800000002</v>
      </c>
      <c r="AB297" s="3">
        <f>1554.6+(189.7-220.2)+(-2.378538+(-0.290241--0.336906))+0-25.8--0.0394740000000015</f>
        <v>1496.0076009999998</v>
      </c>
      <c r="AC297" s="3">
        <f>1459+(187-218.9)+(-5.20863+(-0.66759--0.781473))+0-25.7--0.0917490000000004</f>
        <v>1396.3970019999997</v>
      </c>
      <c r="AD297">
        <f t="shared" si="4"/>
        <v>32715.008374999998</v>
      </c>
      <c r="AE297" s="3">
        <f>1570.5+(383.2-140)+(0+(0-0))+0-31.2-0</f>
        <v>1782.5</v>
      </c>
    </row>
    <row r="298" spans="1:31" s="2" customFormat="1" x14ac:dyDescent="0.25">
      <c r="A298">
        <v>89</v>
      </c>
      <c r="B298">
        <v>10</v>
      </c>
      <c r="C298">
        <v>22</v>
      </c>
      <c r="D298">
        <v>5</v>
      </c>
      <c r="E298">
        <v>1</v>
      </c>
      <c r="F298" s="3">
        <f>1130.9+(292.3-170)+(1.153518+(0.298146-0.1734))+0-27.5-0.0280500000000044</f>
        <v>1226.9502140000002</v>
      </c>
      <c r="G298" s="3">
        <f>1074.8+(263.8-186.6)+(0+(0-0))+0-27.1-0</f>
        <v>1124.9000000000001</v>
      </c>
      <c r="H298" s="3">
        <f>983.2+(295.5-181.7)+(0+(0-0))+0-27.3-0</f>
        <v>1069.7</v>
      </c>
      <c r="I298" s="3">
        <f>975.5+(287.9-181.3)+(0+(0-0))+0-26.9-0</f>
        <v>1055.1999999999998</v>
      </c>
      <c r="J298" s="3">
        <f>980+(269.7-186.5)+(2.499+(0.687735-0.475575))+0-27-0.0688499999999961</f>
        <v>1038.8423100000002</v>
      </c>
      <c r="K298" s="3">
        <f>987.3+(276.8-185)+(0+(0-0))+0-26.9-0</f>
        <v>1052.1999999999998</v>
      </c>
      <c r="L298" s="3">
        <f>1047.3+(288.2-184.2)+(-0.534123+(-0.146982--0.093942))+0-26.6--0.0135659999999973</f>
        <v>1124.1264030000002</v>
      </c>
      <c r="M298" s="3">
        <f>1350.4+(172-224.6)+(0.688704+(0.08772-0.114546))+0-27.7-0.0141269999999972</f>
        <v>1270.7477510000001</v>
      </c>
      <c r="N298" s="3">
        <f>1491.9+(66.9-227.2)+(3.043476+(0.136476-0.463488))+0-26.5-0.0540599999999988</f>
        <v>1307.7624040000003</v>
      </c>
      <c r="O298" s="3">
        <f>1488+(94.3-156)+(1.51776+(0.096186-0.15912))+0-26.5-0.0270300000000042</f>
        <v>1401.2277959999999</v>
      </c>
      <c r="P298" s="3">
        <f>1482.2+(137-134.6)+(3.023688+(0.27948-0.274584))+0-25.8-0.0526319999999989</f>
        <v>1461.7759520000002</v>
      </c>
      <c r="Q298" s="3">
        <f>1497.3+(145.4-129.1)+(0+(0-0))+0-27.4-0</f>
        <v>1486.1999999999998</v>
      </c>
      <c r="R298" s="3">
        <f>1500.8+(130.1-131.9)+(-2.296224+(-0.199053--0.201807))+0-26.9--0.0411570000000016</f>
        <v>1469.847687</v>
      </c>
      <c r="S298" s="3">
        <f>1505.2+(106.6-135.7)+(-3.070608+(-0.217464--0.276828))+0-27--0.0550799999999988</f>
        <v>1446.1438360000002</v>
      </c>
      <c r="T298" s="3">
        <f>1369+(161.2-108.2)+(0+(0-0))+0-27.7-0</f>
        <v>1394.3</v>
      </c>
      <c r="U298" s="3">
        <f>1407.9+(136.9-120.2)+(-1.436058+(-0.139638--0.122604))+0-28.3--0.0288660000000045</f>
        <v>1394.8757740000003</v>
      </c>
      <c r="V298" s="3">
        <f>1502.7+(94.3-142.2)+(-4.598262+(-0.288558--0.435132))+0-27.9--0.0853740000000032</f>
        <v>1422.5336859999998</v>
      </c>
      <c r="W298" s="3">
        <f>1643.6+(199.8-215.2)+(-0.838236+(-0.101898--0.109752))+0-30.2--0.0154019999999969</f>
        <v>1597.1850199999997</v>
      </c>
      <c r="X298" s="3">
        <f>1704.5+(251-164.1)+(-2.607885+(-0.38403--0.251073))+0-30.3--0.0463590000000018</f>
        <v>1758.4055170000001</v>
      </c>
      <c r="Y298" s="3">
        <f>1620.8+(278.7-154.5)+(-1.653216+(-0.284274--0.15759))+0-29.6--0.0301920000000047</f>
        <v>1713.650292</v>
      </c>
      <c r="Z298" s="3">
        <f>1403.7+(404.3-123.9)+(-0.715887+(-0.206193--0.063189))+0-28.4--0.0144839999999971</f>
        <v>1654.8555929999998</v>
      </c>
      <c r="AA298" s="3">
        <f>1463.9+(295.3-137.5)+(-0.746589+(-0.150603--0.070125))+0-24.5--0.0124949999999975</f>
        <v>1596.385428</v>
      </c>
      <c r="AB298" s="3">
        <f>1478.2+(220.3-155.9)+(-0.753882+(-0.112353--0.079509))+0-26.2--0.0133619999999973</f>
        <v>1515.626636</v>
      </c>
      <c r="AC298" s="3">
        <f>1285.7+(257.3-158)+(-1.311414+(-0.262446--0.16116))+0-26.5--0.0270300000000042</f>
        <v>1357.1143299999999</v>
      </c>
      <c r="AD298">
        <f t="shared" si="4"/>
        <v>32940.556628999999</v>
      </c>
      <c r="AE298" s="3">
        <f>1699.8+(232-160.4)+(0+(0-0))+0-27.2-0</f>
        <v>1744.1999999999998</v>
      </c>
    </row>
    <row r="299" spans="1:31" s="2" customFormat="1" x14ac:dyDescent="0.25">
      <c r="A299">
        <v>89</v>
      </c>
      <c r="B299">
        <v>10</v>
      </c>
      <c r="C299">
        <v>23</v>
      </c>
      <c r="D299">
        <v>6</v>
      </c>
      <c r="E299">
        <v>1</v>
      </c>
      <c r="F299" s="3">
        <f>1046.6+(359.6-191.7)+(-1.601298+(-0.550188--0.293301))+0-27.6--0.0422280000000016</f>
        <v>1185.0840430000001</v>
      </c>
      <c r="G299" s="3">
        <f>988.4+(307.6-201.5)+(0+(0-0))+0-27.2-0</f>
        <v>1067.3</v>
      </c>
      <c r="H299" s="3">
        <f>989.9+(261.4-202)+(0.504849+(0.133314-0.10302))+0-28.2-0.0143819999999971</f>
        <v>1021.620761</v>
      </c>
      <c r="I299" s="3">
        <f>990.8+(245.2-209.3)+(0.505308+(0.125052-0.106743))+0-28.5-0.0145349999999971</f>
        <v>998.70908199999985</v>
      </c>
      <c r="J299" s="3">
        <f>990.1+(216.1-203.3)+(1.009902+(0.220422-0.207366))+0-28.1-0.0286620000000045</f>
        <v>975.79429599999992</v>
      </c>
      <c r="K299" s="3">
        <f>1038.9+(197-215.8)+(1.059678+(0.20094-0.220116))+0-28.2-0.0287640000000045</f>
        <v>992.91173800000001</v>
      </c>
      <c r="L299" s="3">
        <f>1246.6+(180.8-318)+(0+(0-0))+0-28.2-0</f>
        <v>1081.1999999999998</v>
      </c>
      <c r="M299" s="3">
        <f>1385.6+(134.6-313.4)+(-0.706656+(-0.068646--0.159834))+0-29.4--0.014993999999997</f>
        <v>1176.7995259999998</v>
      </c>
      <c r="N299" s="3">
        <f>1491.6+(48.9-261.7)+(-1.521432+(-0.049878--0.266934))+0-28.6--0.0291720000000046</f>
        <v>1248.924796</v>
      </c>
      <c r="O299" s="3">
        <f>1511.6+(84.1-215.6)+(0.770916+(0.042891-0.109956))+0-27.7-0.0141269999999972</f>
        <v>1353.0897239999999</v>
      </c>
      <c r="P299" s="3">
        <f>1540.6+(132.9-226)+(1.571412+(0.135558-0.23052))+0-30-0.0306000000000048</f>
        <v>1418.9458500000001</v>
      </c>
      <c r="Q299" s="3">
        <f>1514.6+(190.3-200)+(-0.772446+(-0.097053--0.102))+0-30--0.015299999999997</f>
        <v>1474.1478009999998</v>
      </c>
      <c r="R299" s="3">
        <f>1472.5+(205.9-201.5)+(-0.750975+(-0.105009--0.102765))+0-26.8--0.0136679999999973</f>
        <v>1449.3604490000002</v>
      </c>
      <c r="S299" s="3">
        <f>1464.1+(161.5-217.9)+(0+(0-0))+0-25.4-0</f>
        <v>1382.2999999999997</v>
      </c>
      <c r="T299" s="3">
        <f>1450+(113.4-202.6)+(-2.958+(-0.231336--0.413304))+0-27.5--0.0560999999999988</f>
        <v>1330.580068</v>
      </c>
      <c r="U299" s="3">
        <f>1413.4+(87.2-210.7)+(0+(0-0))+0-28.3-0</f>
        <v>1261.6000000000001</v>
      </c>
      <c r="V299" s="3">
        <f>1438.5+(110.4-214.9)+(-0.733635+(-0.056304--0.109599))+0-27.8--0.0141779999999972</f>
        <v>1305.5338380000001</v>
      </c>
      <c r="W299" s="3">
        <f>1641.7+(203.5-265.9)+(0+(0-0))+0-29.9-0</f>
        <v>1549.4</v>
      </c>
      <c r="X299" s="3">
        <f>1710.1+(248.6-233.3)+(-1.744302+(-0.253572--0.237966))+0-30.2--0.0308040000000048</f>
        <v>1693.4708959999998</v>
      </c>
      <c r="Y299" s="3">
        <f>1710.6+(217.3-252.5)+(-1.744812+(-0.221646--0.25755))+0-30.1--0.0307020000000048</f>
        <v>1643.6217939999999</v>
      </c>
      <c r="Z299" s="3">
        <f>1703.5+(203.5-283.2)+(-1.73757+(-0.20757--0.288864))+0-29.9--0.0304980000000048</f>
        <v>1592.274222</v>
      </c>
      <c r="AA299" s="3">
        <f>1682+(143.5-246.6)+(1.71564+(0.14637-0.251532))+0-28.2-0.0287640000000045</f>
        <v>1552.2817140000002</v>
      </c>
      <c r="AB299" s="3">
        <f>1522.4+(169.3-220.6)+(-1.552848+(-0.172686--0.225012))+0-25.9--0.0264180000000041</f>
        <v>1443.7258959999999</v>
      </c>
      <c r="AC299" s="3">
        <f>1468.3+(124.2-245.3)+(-2.246499+(-0.190026--0.375309))+0-26.5--0.0405450000000015</f>
        <v>1318.6793290000001</v>
      </c>
      <c r="AD299">
        <f t="shared" si="4"/>
        <v>31517.355822999994</v>
      </c>
      <c r="AE299" s="3">
        <f>1709+(245.4-189.8)+(0+(0-0))+0-28.8-0</f>
        <v>1735.8</v>
      </c>
    </row>
    <row r="300" spans="1:31" s="2" customFormat="1" x14ac:dyDescent="0.25">
      <c r="A300">
        <v>89</v>
      </c>
      <c r="B300">
        <v>10</v>
      </c>
      <c r="C300">
        <v>24</v>
      </c>
      <c r="D300">
        <v>7</v>
      </c>
      <c r="E300">
        <v>1</v>
      </c>
      <c r="F300" s="3">
        <f>1341.1+(125.9-256.5)+(0+(0-0))+0-26.4-0</f>
        <v>1184.0999999999999</v>
      </c>
      <c r="G300" s="3">
        <f>1119.3+(221.5-227.7)+(-1.712529+(-0.338895--0.348381))+0-28.6--0.0437580000000017</f>
        <v>1082.840715</v>
      </c>
      <c r="H300" s="3">
        <f>1094.3+(225.5-236.7)+(-0.558093+(-0.115005--0.120717))+0-27.5--0.0140249999999972</f>
        <v>1055.0616439999999</v>
      </c>
      <c r="I300" s="3">
        <f>1031+(217.6-219.7)+(0.52581+(0.110976-0.112047))+0-27.5-0.0140249999999972</f>
        <v>1001.9107140000001</v>
      </c>
      <c r="J300" s="3">
        <f>1030.4+(215.8-212.9)+(0.525504+(0.110058-0.108579))+0-27.5-0.0140249999999972</f>
        <v>1006.3129580000002</v>
      </c>
      <c r="K300" s="3">
        <f>1029.3+(201.5-210.5)+(2.099772+(0.41106-0.42942))+0-27.9-0.0569159999999988</f>
        <v>994.42449599999998</v>
      </c>
      <c r="L300" s="3">
        <f>1149.4+(204.5-268.7)+(-1.758582+(-0.312885--0.411111))+0-28.3--0.0432990000000016</f>
        <v>1055.2829429999999</v>
      </c>
      <c r="M300" s="3">
        <f>1041.4+(199.1-206.9)+(-2.124456+(-0.406164--0.422076))+0-29.4--0.0599759999999987</f>
        <v>1002.1514320000002</v>
      </c>
      <c r="N300" s="3">
        <f>979+(237.8-178.5)+(1.49787+(0.363834-0.273105))+0-28.5-0.0436050000000016</f>
        <v>1011.3449939999999</v>
      </c>
      <c r="O300" s="3">
        <f>1050.8+(264-177.3)+(-1.071816+(-0.26928--0.180846))+0-28.5--0.0290700000000045</f>
        <v>1107.8688200000001</v>
      </c>
      <c r="P300" s="3">
        <f>1049.7+(324.5-165.1)+(-1.070694+(-0.33099--0.168402))+0-28.6--0.0291720000000046</f>
        <v>1179.2958900000003</v>
      </c>
      <c r="Q300" s="3">
        <f>1055.3+(350.9-162.1)+(-1.614609+(-0.536877--0.248013))+0-28.8--0.0440640000000017</f>
        <v>1213.4405909999998</v>
      </c>
      <c r="R300" s="3">
        <f>1068.5+(295.4-162.8)+(-2.17974+(-0.602616--0.332112))+0-27.2--0.0554879999999988</f>
        <v>1171.5052439999997</v>
      </c>
      <c r="S300" s="3">
        <f>973.6+(316-157)+(-1.489608+(-0.48348--0.24021))+0-25.7--0.0393210000000015</f>
        <v>1105.2064429999998</v>
      </c>
      <c r="T300" s="3">
        <f>995.9+(314.9-162.7)+(-0.507909+(-0.160599--0.082977))+0-25.8--0.0131579999999974</f>
        <v>1121.727627</v>
      </c>
      <c r="U300" s="3">
        <f>1012.9+(312.7-154.4)+(-2.582895+(-0.797385--0.39372))+0-27.6--0.070379999999996</f>
        <v>1140.68382</v>
      </c>
      <c r="V300" s="3">
        <f>1086.2+(266.9-157.2)+(-2.76981+(-0.680595--0.40086))+0-27.3--0.069614999999996</f>
        <v>1165.6200699999999</v>
      </c>
      <c r="W300" s="3">
        <f>1209+(345.7-180.5)+(-1.84977+(-0.528921--0.276165))+0-26.3--0.0402390000000015</f>
        <v>1345.8377130000001</v>
      </c>
      <c r="X300" s="3">
        <f>1160.9+(557.1-161.9)+(-0.592059+(-0.284121--0.082569))+0-29.5--0.015044999999997</f>
        <v>1525.8214340000002</v>
      </c>
      <c r="Y300" s="3">
        <f>1120.7+(631.1-165.7)+(-1.714671+(-0.965583--0.253521))+0-29.9--0.0457470000000017</f>
        <v>1553.8190139999999</v>
      </c>
      <c r="Z300" s="3">
        <f>1127.6+(593.7-160.2)+(0.575076+(0.302787-0.081702))+0-28.5-0.0145349999999971</f>
        <v>1533.3816259999999</v>
      </c>
      <c r="AA300" s="3">
        <f>1125.3+(520.4-158.7)+(-0.573903+(-0.265404--0.080937))+0-26.1--0.0133109999999974</f>
        <v>1460.154941</v>
      </c>
      <c r="AB300" s="3">
        <f>1099.7+(498.7-160.5)+(-1.682541+(-0.763011--0.245565))+0-26.8--0.0410040000000016</f>
        <v>1408.9410170000001</v>
      </c>
      <c r="AC300" s="3">
        <f>1127.7+(349.8-180.1)+(1.150254+(0.356796-0.183702))+0-22.2-0.0226440000000035</f>
        <v>1276.500704</v>
      </c>
      <c r="AD300">
        <f t="shared" si="4"/>
        <v>28703.234850000001</v>
      </c>
      <c r="AE300" s="3">
        <f>1222.4+(506.7-119)+(0+(0-0))+0-25.6-0</f>
        <v>1584.5000000000002</v>
      </c>
    </row>
    <row r="301" spans="1:31" s="2" customFormat="1" x14ac:dyDescent="0.25">
      <c r="A301">
        <v>89</v>
      </c>
      <c r="B301">
        <v>10</v>
      </c>
      <c r="C301">
        <v>25</v>
      </c>
      <c r="D301">
        <v>1</v>
      </c>
      <c r="E301">
        <v>1</v>
      </c>
      <c r="F301" s="3">
        <f>1073.1+(271.4-201.7)+(-1.641843+(-0.415242--0.308601))+0-28.1--0.0429930000000016</f>
        <v>1112.9945090000001</v>
      </c>
      <c r="G301" s="3">
        <f>992+(271.1-208.9)+(0+(0-0))+0-28.2-0</f>
        <v>1026</v>
      </c>
      <c r="H301" s="3">
        <f>995.3+(236.5-218.5)+(-1.015206+(-0.24123--0.22287))+0-28.6--0.0291720000000046</f>
        <v>983.695606</v>
      </c>
      <c r="I301" s="3">
        <f>993.6+(219.9-227.2)+(1.013472+(0.224298-0.231744))+0-28.3-0.0288660000000045</f>
        <v>958.97716000000014</v>
      </c>
      <c r="J301" s="3">
        <f>992.8+(227.7-225)+(1.012656+(0.232254-0.2295))+0-29-0.0295800000000046</f>
        <v>967.48582999999996</v>
      </c>
      <c r="K301" s="3">
        <f>1053.3+(229-248.6)+(-1.074366+(-0.23358--0.253572))+0-28.9--0.0294780000000046</f>
        <v>1003.7751040000001</v>
      </c>
      <c r="L301" s="3">
        <f>1079.1+(246-207.6)+(-1.651023+(-0.37638--0.317628))+0-28.2--0.0431460000000016</f>
        <v>1087.6333709999999</v>
      </c>
      <c r="M301" s="3">
        <f>1060.4+(311.1-181.3)+(-0.540804+(-0.158661--0.092463))+0-29.2--0.014891999999997</f>
        <v>1160.40789</v>
      </c>
      <c r="N301" s="3">
        <f>1276+(212.4-196.6)+(0.65076+(0.108324-0.100266))+0-30.3-0.0154529999999969</f>
        <v>1262.1433650000001</v>
      </c>
      <c r="O301" s="3">
        <f>1402.9+(185.3-195.7)+(0.715479+(0.094503-0.099807))+0-29.1-0.014840999999997</f>
        <v>1364.0953340000001</v>
      </c>
      <c r="P301" s="3">
        <f>1507.3+(161.5-195.1)+(0+(0-0))+0-28.1-0</f>
        <v>1445.6000000000001</v>
      </c>
      <c r="Q301" s="3">
        <f>1580.1+(132.4-190.6)+(0+(0-0))+0-29.2-0</f>
        <v>1492.6999999999998</v>
      </c>
      <c r="R301" s="3">
        <f>1709.5+(74.8-256.6)+(-0.871845+(-0.038148--0.130866))+0-26.9--0.0137189999999973</f>
        <v>1500.034592</v>
      </c>
      <c r="S301" s="3">
        <f>1724.1+(79.5-292.2)+(0+(0-0))+0-27.3-0</f>
        <v>1484.1</v>
      </c>
      <c r="T301" s="3">
        <f>1722.6+(72.3-331.6)+(0.878526+(0.036873-0.169116))+0-27.3-0.0139229999999972</f>
        <v>1436.73236</v>
      </c>
      <c r="U301" s="3">
        <f>1728.2+(64.9-338.1)+(0.881382+(0.033099-0.172431))+0-26.4-0.0134639999999973</f>
        <v>1429.3285860000001</v>
      </c>
      <c r="V301" s="3">
        <f>1724.6+(71-299.3)+(-0.879546+(-0.03621--0.152643))+0-28--0.0142799999999972</f>
        <v>1467.5511670000001</v>
      </c>
      <c r="W301" s="3">
        <f>1809.6+(197.5-366)+(0.922896+(0.100725-0.18666))+0-30.2-0.0154019999999969</f>
        <v>1611.7215589999998</v>
      </c>
      <c r="X301" s="3">
        <f>1978.2+(192.4-428.4)+(-4.035528+(-0.392496--0.873936))+0-30.9--0.0630359999999986</f>
        <v>1707.8089479999999</v>
      </c>
      <c r="Y301" s="3">
        <f>1983.5+(185.9-466.3)+(-1.011585+(-0.094809--0.237813))+0-31.2--0.0159119999999968</f>
        <v>1671.047331</v>
      </c>
      <c r="Z301" s="3">
        <f>1983.3+(201.4-461.3)+(-5.057415+(-0.51357--1.176315))+0-31.1--0.0793049999999955</f>
        <v>1687.9846350000003</v>
      </c>
      <c r="AA301" s="3">
        <f>1947.3+(75.8-367.9)+(-2.979369+(-0.115974--0.562887))+0-28.7--0.0439110000000017</f>
        <v>1624.0114550000001</v>
      </c>
      <c r="AB301" s="3">
        <f>1779.1+(94.8-314.5)+(-1.814682+(-0.096696--0.32079))+0-25.9--0.0264180000000041</f>
        <v>1531.9358299999997</v>
      </c>
      <c r="AC301" s="3">
        <f>1596.7+(119.1-277)+(-4.071585+(-0.303705--0.70635))+0-26.9--0.0685949999999961</f>
        <v>1408.2996549999998</v>
      </c>
      <c r="AD301">
        <f t="shared" si="4"/>
        <v>32426.064287000001</v>
      </c>
      <c r="AE301" s="3">
        <f>1948.4+(193.4-305.8)+(0+(0-0))+0-31.2-0</f>
        <v>1804.8</v>
      </c>
    </row>
    <row r="302" spans="1:31" s="2" customFormat="1" x14ac:dyDescent="0.25">
      <c r="A302">
        <v>89</v>
      </c>
      <c r="B302">
        <v>10</v>
      </c>
      <c r="C302">
        <v>26</v>
      </c>
      <c r="D302">
        <v>2</v>
      </c>
      <c r="E302">
        <v>1</v>
      </c>
      <c r="F302" s="3">
        <f>1397.2+(154.8-246.6)+(-0.712572+(-0.078948--0.125766))+0-28.1--0.0143309999999971</f>
        <v>1276.6485770000002</v>
      </c>
      <c r="G302" s="3">
        <f>1416.5+(150.2-362.6)+(-1.44483+(-0.153204--0.369852))+0-28.5--0.0290700000000045</f>
        <v>1174.4008879999999</v>
      </c>
      <c r="H302" s="3">
        <f>1329.2+(196.6-356.6)+(-2.033676+(-0.300798--0.545598))+0-28.3--0.0432990000000016</f>
        <v>1139.154423</v>
      </c>
      <c r="I302" s="3">
        <f>1305+(194.4-351.2)+(-1.3311+(-0.198288--0.358224))+0-28.2--0.0287640000000045</f>
        <v>1118.8575999999998</v>
      </c>
      <c r="J302" s="3">
        <f>1305.1+(190.2-353.3)+(-3.328005+(-0.48501--0.900915))+0-28.6--0.0729299999999959</f>
        <v>1110.5608300000001</v>
      </c>
      <c r="K302" s="3">
        <f>1420.3+(190.1-442)+(1.448706+(0.193902-0.45084))+0-28.1-0.0286620000000045</f>
        <v>1141.4631059999999</v>
      </c>
      <c r="L302" s="3">
        <f>1574.9+(193-539.9)+(-4.819194+(-0.59058--1.652094))+0-27.6--0.0844560000000032</f>
        <v>1196.7267760000002</v>
      </c>
      <c r="M302" s="3">
        <f>1628.7+(177.9-530.2)+(-0.830637+(-0.090729--0.270402))+0-28.1--0.0143309999999971</f>
        <v>1247.6633670000003</v>
      </c>
      <c r="N302" s="3">
        <f>1674.9+(142.1-457)+(-3.416796+(-0.289884--0.93228))+0-30--0.0611999999999987</f>
        <v>1327.2868000000001</v>
      </c>
      <c r="O302" s="3">
        <f>1701.9+(98.9-346.7)+(0+(0-0))+0-29.9-0</f>
        <v>1424.2</v>
      </c>
      <c r="P302" s="3">
        <f>1778.4+(54.9-302.6)+(-1.813968+(-0.055998--0.308652))+0-29.1--0.0296820000000046</f>
        <v>1500.0683680000002</v>
      </c>
      <c r="Q302" s="3">
        <f>1761+(60.2-250.9)+(-1.79622+(-0.061404--0.255918))+0-29.2--0.0297840000000047</f>
        <v>1539.5280780000001</v>
      </c>
      <c r="R302" s="3">
        <f>1694+(84.9-215.8)+(0+(0-0))+0-25.9-0</f>
        <v>1537.1999999999998</v>
      </c>
      <c r="S302" s="3">
        <f>1657+(93.2-234.3)+(-0.84507+(-0.047532--0.119493))+0-26.3--0.0134129999999973</f>
        <v>1488.8403040000001</v>
      </c>
      <c r="T302" s="3">
        <f>1639.6+(89.5-272.7)+(-1.672392+(-0.09129--0.278154))+0-27.1--0.0276420000000043</f>
        <v>1427.842114</v>
      </c>
      <c r="U302" s="3">
        <f>1594.8+(102.3-256.7)+(-1.626696+(-0.104346--0.261834))+0-28.1--0.0286620000000045</f>
        <v>1410.8594540000001</v>
      </c>
      <c r="V302" s="3">
        <f>1638.9+(105.7-268.1)+(-3.343356+(-0.215628--0.546924))+0-28.2--0.0575279999999988</f>
        <v>1445.345468</v>
      </c>
      <c r="W302" s="3">
        <f>1789.4+(208.6-338)+(0+(0-0))+0-30.4-0</f>
        <v>1629.6</v>
      </c>
      <c r="X302" s="3">
        <f>1867+(212.3-250.9)+(-0.95217+(-0.108273--0.127959))+0-30.7--0.0156569999999969</f>
        <v>1796.783173</v>
      </c>
      <c r="Y302" s="3">
        <f>1865.8+(209.4-281.3)+(-4.75779+(-0.53397--0.717315))+0-29.6--0.0754799999999957</f>
        <v>1759.801035</v>
      </c>
      <c r="Z302" s="3">
        <f>1867.8+(203.9-327.9)+(-2.857734+(-0.311967--0.501687))+0-28.4--0.0434520000000016</f>
        <v>1712.7754379999997</v>
      </c>
      <c r="AA302" s="3">
        <f>1861+(79.3-265.4)+(-3.79644+(-0.161772--0.541416))+0-26.1--0.0532439999999989</f>
        <v>1645.4364480000002</v>
      </c>
      <c r="AB302" s="3">
        <f>1749.1+(81-235.6)+(0+(0-0))+0-25-0</f>
        <v>1569.5</v>
      </c>
      <c r="AC302" s="3">
        <f>1499+(151.8-202.6)+(-5.35143+(-0.541926--0.723282))+0-26.4--0.0942480000000004</f>
        <v>1416.7241740000002</v>
      </c>
      <c r="AD302">
        <f t="shared" si="4"/>
        <v>34037.266421</v>
      </c>
      <c r="AE302" s="3">
        <f>1861.5+(220.3-253.7)+(0+(0-0))+0-32-0</f>
        <v>1796.1</v>
      </c>
    </row>
    <row r="303" spans="1:31" s="2" customFormat="1" x14ac:dyDescent="0.25">
      <c r="A303">
        <v>89</v>
      </c>
      <c r="B303">
        <v>10</v>
      </c>
      <c r="C303">
        <v>27</v>
      </c>
      <c r="D303">
        <v>3</v>
      </c>
      <c r="E303">
        <v>1</v>
      </c>
      <c r="F303" s="3">
        <f>1306.4+(183.4-250.1)+(-1.332528+(-0.187068--0.255102))+0-28--0.0285600000000045</f>
        <v>1210.464066</v>
      </c>
      <c r="G303" s="3">
        <f>1304.5+(196.3-338.8)+(-3.326475+(-0.500565--0.86394))+0-28.6--0.0729299999999959</f>
        <v>1130.5098300000002</v>
      </c>
      <c r="H303" s="3">
        <f>1302.4+(206.3-375.9)+(1.328448+(0.210426-0.383418))+0-29-0.0295800000000046</f>
        <v>1104.9258760000002</v>
      </c>
      <c r="I303" s="3">
        <f>1304+(205.4-395.4)+(0+(0-0))+0-28.2-0</f>
        <v>1085.8</v>
      </c>
      <c r="J303" s="3">
        <f>1302.4+(211.4-398.1)+(0.664224+(0.107814-0.203031))+0-29.2-0.014891999999997</f>
        <v>1087.0541150000001</v>
      </c>
      <c r="K303" s="3">
        <f>1348.2+(211.7-419)+(-3.43791+(-0.539835--1.06845))+0-28.9--0.0736949999999958</f>
        <v>1109.1644000000001</v>
      </c>
      <c r="L303" s="3">
        <f>1302.1+(212.9-379.5)+(0+(0-0))+0-28-0</f>
        <v>1107.5</v>
      </c>
      <c r="M303" s="3">
        <f>1516.8+(128.8-428.8)+(-2.320704+(-0.197064--0.656064))+0-29--0.0443700000000017</f>
        <v>1185.9826660000001</v>
      </c>
      <c r="N303" s="3">
        <f>1877.1+(39.2-543.7)+(-2.871963+(-0.059976--0.831861))+0-27--0.0413100000000016</f>
        <v>1343.541232</v>
      </c>
      <c r="O303" s="3">
        <f>1899.8+(38-451.3)+(0.968898+(0.01938-0.230163))+0-28.8-0.0146879999999971</f>
        <v>1458.4434270000002</v>
      </c>
      <c r="P303" s="3">
        <f>1728.3+(37.7-244.7)+(-4.407165+(-0.096135--0.623985))+0-23.4--0.0596699999999966</f>
        <v>1494.0803550000001</v>
      </c>
      <c r="Q303" s="3">
        <f>1659.5+(66.1-199.4)+(0.846345+(0.033711-0.101694))+0-10.7-0.00545699999999891</f>
        <v>1516.272905</v>
      </c>
      <c r="R303" s="3">
        <f>1694.9+(91.7-188)+(-4.321995+(-0.233835--0.4794))+0-7.2--0.018359999999999</f>
        <v>1587.34193</v>
      </c>
      <c r="S303" s="3">
        <f>1615.9+(98.3-180.9)+(0+(0-0))+0-5.3-0</f>
        <v>1528.0000000000002</v>
      </c>
      <c r="T303" s="3">
        <f>1836.8+(14.9-418.5)+(-2.810304+(-0.022797--0.640305))+0-13.8--0.0211140000000008</f>
        <v>1417.2283179999997</v>
      </c>
      <c r="U303" s="3">
        <f>1873.7+(13.9-535.2)+(-1.911174+(-0.014178--0.545904))+0-26.5--0.0270300000000042</f>
        <v>1324.5475820000001</v>
      </c>
      <c r="V303" s="3">
        <f>1843.3+(28.2-498.4)+(-0.940083+(-0.014382--0.254184))+0-27.2--0.0138719999999972</f>
        <v>1345.213591</v>
      </c>
      <c r="W303" s="3">
        <f>1973.2+(149.1-562.7)+(-1.006332+(-0.076041--0.286977))+0-28.9--0.0147389999999971</f>
        <v>1529.9193429999998</v>
      </c>
      <c r="X303" s="3">
        <f>2175.6+(169.1-519.7)+(-3.328668+(-0.258723--0.795141))+0-29.1--0.0445230000000017</f>
        <v>1793.1522730000002</v>
      </c>
      <c r="Y303" s="3">
        <f>2052.6+(183.1-451.9)+(-3.140478+(-0.280143--0.691407))+0-28.9--0.0442170000000017</f>
        <v>1752.2150029999998</v>
      </c>
      <c r="Z303" s="3">
        <f>1980.9+(186.2-457.3)+(0+(0-0))+0-28-0</f>
        <v>1681.8000000000002</v>
      </c>
      <c r="AA303" s="3">
        <f>1976.7+(84.5-413)+(1.008117+(0.043095-0.21063))+0-24.8-0.0126479999999975</f>
        <v>1624.2279340000002</v>
      </c>
      <c r="AB303" s="3">
        <f>1873.8+(80.1-381.4)+(-1.911276+(-0.081702--0.389028))+0-25.9--0.0264180000000041</f>
        <v>1545.0224679999999</v>
      </c>
      <c r="AC303" s="3">
        <f>1628+(89.3-282.6)+(-1.66056+(-0.091086--0.288252))+0-26.6--0.0271320000000042</f>
        <v>1406.663738</v>
      </c>
      <c r="AD303">
        <f t="shared" si="4"/>
        <v>33369.071051999999</v>
      </c>
      <c r="AE303" s="3">
        <f>2176.3+(175.8-493.6)+(0+(0-0))+0-26.4-0</f>
        <v>1832.1000000000001</v>
      </c>
    </row>
    <row r="304" spans="1:31" s="2" customFormat="1" x14ac:dyDescent="0.25">
      <c r="A304">
        <v>89</v>
      </c>
      <c r="B304">
        <v>10</v>
      </c>
      <c r="C304">
        <v>28</v>
      </c>
      <c r="D304">
        <v>4</v>
      </c>
      <c r="E304">
        <v>1</v>
      </c>
      <c r="F304" s="3">
        <f>1312.3+(138-221.1)+(-4.015638+(-0.42228--0.676566))+0-28.3--0.0865980000000033</f>
        <v>1197.2252460000002</v>
      </c>
      <c r="G304" s="3">
        <f>1312.4+(182.6-339.7)+(-0.669324+(-0.093126--0.173247))+0-29.4--0.014993999999997</f>
        <v>1125.325791</v>
      </c>
      <c r="H304" s="3">
        <f>1314.4+(189.9-387)+(-0.670344+(-0.096849--0.19737))+0-28.4--0.0144839999999971</f>
        <v>1088.3446610000001</v>
      </c>
      <c r="I304" s="3">
        <f>1313.9+(186.7-406.8)+(-2.010267+(-0.285651--0.622404))+0-28.3--0.0432990000000016</f>
        <v>1063.8697850000001</v>
      </c>
      <c r="J304" s="3">
        <f>1313.9+(188.7-423.8)+(0+(0-0))+0-28.9-0</f>
        <v>1049.9000000000001</v>
      </c>
      <c r="K304" s="3">
        <f>1424.6+(178.4-504.4)+(0+(0-0))+0-28.7-0</f>
        <v>1069.8999999999999</v>
      </c>
      <c r="L304" s="3">
        <f>1571.5+(174.6-551.9)+(-4.007325+(-0.44523--1.407345))+0-28.8--0.0734399999999958</f>
        <v>1162.42823</v>
      </c>
      <c r="M304" s="3">
        <f>1581.5+(110.6-444.1)+(1.61313+(0.112812-0.452982))+0-29.9-0.0304980000000048</f>
        <v>1219.3424619999998</v>
      </c>
      <c r="N304" s="3">
        <f>1694.2+(61.7-390)+(0.864042+(0.031467-0.1989))+0-29.5-0.015044999999997</f>
        <v>1337.0815640000001</v>
      </c>
      <c r="O304" s="3">
        <f>1704.3+(25.8-276.9)+(-2.607579+(-0.039474--0.423657))+0-29.4--0.0449820000000017</f>
        <v>1421.6215859999998</v>
      </c>
      <c r="P304" s="3">
        <f>1687.8+(44.2-215.1)+(-0.860778+(-0.022542--0.109701))+0-29.1--0.014840999999997</f>
        <v>1487.0412220000001</v>
      </c>
      <c r="Q304" s="3">
        <f>1569.7+(148.6-183.6)+(-1.601094+(-0.151572--0.187272))+0-29.1--0.0296820000000046</f>
        <v>1504.0642880000003</v>
      </c>
      <c r="R304" s="3">
        <f>1439.7+(204.2-153.7)+(-2.936988+(-0.416568--0.313548))+0-27.5--0.0560999999999988</f>
        <v>1459.7160920000001</v>
      </c>
      <c r="S304" s="3">
        <f>1379.3+(210.1-132.1)+(0+(0-0))+0-26.6-0</f>
        <v>1430.7</v>
      </c>
      <c r="T304" s="3">
        <f>1447.8+(103.7-142.3)+(0+(0-0))+0-26.2-0</f>
        <v>1383</v>
      </c>
      <c r="U304" s="3">
        <f>1664.7+(13.6-274.3)+(-1.697994+(-0.013872--0.279786))+0-28.7--0.0292740000000046</f>
        <v>1373.8971939999999</v>
      </c>
      <c r="V304" s="3">
        <f>1791+(20.9-385.7)+(-5.48046+(-0.063954--1.180242))+0-28.4--0.0869040000000033</f>
        <v>1393.5227319999999</v>
      </c>
      <c r="W304" s="3">
        <f>1799.3+(169.1-365.8)+(-1.835286+(-0.172482--0.373116))+0-30--0.0306000000000048</f>
        <v>1570.995948</v>
      </c>
      <c r="X304" s="3">
        <f>1848.7+(208.9-254.5)+(-2.828511+(-0.319617--0.389385))+0-30.5--0.0466650000000018</f>
        <v>1769.8879220000001</v>
      </c>
      <c r="Y304" s="3">
        <f>1521.4+(373.2-180.6)+(-1.551828+(-0.380664--0.184212))+0-30.8--0.0314160000000049</f>
        <v>1681.4831360000001</v>
      </c>
      <c r="Z304" s="3">
        <f>1376.1+(448.5-176.8)+(-2.105433+(-0.686205--0.270504))+0-30.9--0.0472770000000018</f>
        <v>1614.4261429999997</v>
      </c>
      <c r="AA304" s="3">
        <f>1377.9+(400.5-174.8)+(-0.702729+(-0.204255--0.089148))+0-28.7--0.0146369999999971</f>
        <v>1574.0968010000001</v>
      </c>
      <c r="AB304" s="3">
        <f>1305.1+(399.4-160.8)+(-0.665601+(-0.203694--0.082008))+0-26.4--0.0134639999999973</f>
        <v>1516.5261769999995</v>
      </c>
      <c r="AC304" s="3">
        <f>1201+(362.6-162.6)+(-1.83753+(-0.554778--0.248778))+0-25.7--0.0393210000000015</f>
        <v>1373.1957909999999</v>
      </c>
      <c r="AD304">
        <f t="shared" si="4"/>
        <v>32867.592771000003</v>
      </c>
      <c r="AE304" s="3">
        <f>1847+(193.2-220.8)+(0+(0-0))+0-31.2-0</f>
        <v>1788.2</v>
      </c>
    </row>
    <row r="305" spans="1:31" s="2" customFormat="1" x14ac:dyDescent="0.25">
      <c r="A305">
        <v>89</v>
      </c>
      <c r="B305">
        <v>10</v>
      </c>
      <c r="C305">
        <v>29</v>
      </c>
      <c r="D305">
        <v>5</v>
      </c>
      <c r="E305">
        <v>1</v>
      </c>
      <c r="F305" s="3">
        <f>1111.3+(307.1-129.8)+(-2.833815+(-0.783105--0.33099))+0-27.2--0.0693599999999961</f>
        <v>1258.1834299999998</v>
      </c>
      <c r="G305" s="3">
        <f>1069.9+(263.9-152.8)+(1.636947+(0.403767-0.233784))+0-27.7-0.0423810000000016</f>
        <v>1155.0645489999999</v>
      </c>
      <c r="H305" s="3">
        <f>1069.2+(240.4-166.7)+(-1.635876+(-0.367812--0.255051))+0-29.1--0.0445230000000017</f>
        <v>1112.0958860000003</v>
      </c>
      <c r="I305" s="3">
        <f>1074.7+(216-168.8)+(0.548097+(0.11016-0.086088))+0-28.8-0.0146879999999971</f>
        <v>1093.6574810000002</v>
      </c>
      <c r="J305" s="3">
        <f>1096.9+(207.1-184.5)+(-2.797095+(-0.528105--0.470475))+0-29.2--0.0744599999999958</f>
        <v>1087.5197350000001</v>
      </c>
      <c r="K305" s="3">
        <f>1216.5+(207.3-277.2)+(0.620415+(0.105723-0.141372))+0-28.7-0.0146369999999971</f>
        <v>1118.4701289999998</v>
      </c>
      <c r="L305" s="3">
        <f>1373.8+(183.6-341.3)+(0.700638+(0.093636-0.174063))+0-28.9-0.0147389999999971</f>
        <v>1187.8054719999998</v>
      </c>
      <c r="M305" s="3">
        <f>1523.5+(124.2-328.7)+(0+(0-0))+0-30.6-0</f>
        <v>1288.4000000000001</v>
      </c>
      <c r="N305" s="3">
        <f>1551.3+(73.2-229)+(2.373489+(0.111996-0.35037))+0-28.1-0.0429930000000016</f>
        <v>1369.4921220000001</v>
      </c>
      <c r="O305" s="3">
        <f>1435.8+(148-167.5)+(0+(0-0))+0-29.6-0</f>
        <v>1386.7</v>
      </c>
      <c r="P305" s="3">
        <f>1510.7+(138.5-190.6)+(-3.081828+(-0.28254--0.388824))+0-31.2--0.0636479999999986</f>
        <v>1424.4881040000002</v>
      </c>
      <c r="Q305" s="3">
        <f>1445.1+(227.3-183.1)+(-0.737001+(-0.115923--0.093381))+0-31.3--0.0159629999999968</f>
        <v>1457.2564200000002</v>
      </c>
      <c r="R305" s="3">
        <f>1469.3+(225.5-162.8)+(-2.248029+(-0.345015--0.249084))+0-26--0.0397800000000015</f>
        <v>1503.6958200000001</v>
      </c>
      <c r="S305" s="3">
        <f>1473.7+(189.5-150.1)+(-1.503174+(-0.19329--0.153102))+0-28.2--0.0287640000000045</f>
        <v>1483.3854020000001</v>
      </c>
      <c r="T305" s="3">
        <f>1473.6+(119-140.8)+(0+(0-0))+0-29.6-0</f>
        <v>1422.2</v>
      </c>
      <c r="U305" s="3">
        <f>1474.1+(118.2-145.7)+(0+(0-0))+0-30.7-0</f>
        <v>1415.8999999999999</v>
      </c>
      <c r="V305" s="3">
        <f>1463.2+(153.9-146.9)+(0+(0-0))+0-27.1-0</f>
        <v>1443.1000000000001</v>
      </c>
      <c r="W305" s="3">
        <f>1522.1+(245.5-130.6)+(-3.105084+(-0.50082--0.266424))+0-27.3--0.0556919999999988</f>
        <v>1606.4162119999999</v>
      </c>
      <c r="X305" s="3">
        <f>1533.4+(409.3-127.1)+(-1.564068+(-0.417486--0.129642))+0-30.6--0.0312120000000049</f>
        <v>1783.1793000000002</v>
      </c>
      <c r="Y305" s="3">
        <f>1520.9+(389.1-132.3)+(-3.878295+(-0.992205--0.337365))+0-30.2--0.0770099999999956</f>
        <v>1743.0438750000001</v>
      </c>
      <c r="Z305" s="3">
        <f>1446.5+(398.8-128.8)+(0+(0-0))+0-30.8-0</f>
        <v>1685.7</v>
      </c>
      <c r="AA305" s="3">
        <f>1442.1+(365.6-148)+(1.470942+(0.372912-0.15096))+0-30-0.0306000000000048</f>
        <v>1631.3622939999998</v>
      </c>
      <c r="AB305" s="3">
        <f>1385.4+(368.8-170.7)+(1.413108+(0.376176-0.174114))+0-29.2-0.0297840000000047</f>
        <v>1555.8853859999999</v>
      </c>
      <c r="AC305" s="3">
        <f>1257.8+(321-133.7)+(-2.565912+(-0.65484--0.272748))+0-26--0.0530399999999989</f>
        <v>1416.2050359999998</v>
      </c>
      <c r="AD305">
        <f t="shared" si="4"/>
        <v>33629.206653000001</v>
      </c>
      <c r="AE305" s="3">
        <f>1533.8+(412.8-126.2)+(0+(0-0))+0-30.4-0</f>
        <v>1790</v>
      </c>
    </row>
    <row r="306" spans="1:31" s="2" customFormat="1" x14ac:dyDescent="0.25">
      <c r="A306">
        <v>89</v>
      </c>
      <c r="B306">
        <v>10</v>
      </c>
      <c r="C306">
        <v>30</v>
      </c>
      <c r="D306">
        <v>6</v>
      </c>
      <c r="E306">
        <v>1</v>
      </c>
      <c r="F306" s="3">
        <f>1026.6+(367.4-130.3)+(-1.047132+(-0.374748--0.132906))+0-27.7--0.0282540000000044</f>
        <v>1234.7392799999998</v>
      </c>
      <c r="G306" s="3">
        <f>1002+(297-133.1)+(0+(0-0))+0-28.1-0</f>
        <v>1137.8000000000002</v>
      </c>
      <c r="H306" s="3">
        <f>1068.2+(232.9-166.2)+(0+(0-0))+0-28.6-0</f>
        <v>1106.3000000000002</v>
      </c>
      <c r="I306" s="3">
        <f>1068.9+(228.6-183.9)+(-0.545139+(-0.116586--0.093789))+0-28.5--0.0145349999999971</f>
        <v>1084.5465990000002</v>
      </c>
      <c r="J306" s="3">
        <f>979.8+(265-141.9)+(-0.999396+(-0.2703--0.144738))+0-28.6--0.0291720000000046</f>
        <v>1073.2042139999999</v>
      </c>
      <c r="K306" s="3">
        <f>976.3+(272.6-125.5)+(1.991652+(0.556104-0.25602))+0-29.1-0.0593639999999987</f>
        <v>1096.5323720000001</v>
      </c>
      <c r="L306" s="3">
        <f>1055.4+(304.4-114.8)+(0.538254+(0.155244-0.058548))+0-28.4-0.0144839999999971</f>
        <v>1217.2204659999998</v>
      </c>
      <c r="M306" s="3">
        <f>1084.3+(275.1-114.4)+(-1.658979+(-0.420903--0.175032))+0-29--0.0443700000000017</f>
        <v>1214.1395200000002</v>
      </c>
      <c r="N306" s="3">
        <f>1302.2+(201.1-127.6)+(0+(0-0))+0-28.4-0</f>
        <v>1347.3</v>
      </c>
      <c r="O306" s="3">
        <f>1439.8+(152.7-148.2)+(2.937192+(0.311508-0.302328))+0-27.7-0.0565079999999988</f>
        <v>1419.4898640000001</v>
      </c>
      <c r="P306" s="3">
        <f>1436.5+(209-164.8)+(0.732615+(0.10659-0.084048))+0-28.3-0.0144329999999971</f>
        <v>1453.1407240000001</v>
      </c>
      <c r="Q306" s="3">
        <f>1454.2+(232.2-167.3)+(-2.966568+(-0.473688--0.341292))+0-30.2--0.0616079999999987</f>
        <v>1485.8626439999998</v>
      </c>
      <c r="R306" s="3">
        <f>1463.3+(193.4-168.1)+(1.492566+(0.197268-0.171462))+0-28-0.0285600000000045</f>
        <v>1462.0898119999999</v>
      </c>
      <c r="S306" s="3">
        <f>1453.2+(142.6-145.3)+(-1.482264+(-0.145452--0.148206))+0-26.4--0.0269280000000042</f>
        <v>1422.647418</v>
      </c>
      <c r="T306" s="3">
        <f>1370.8+(164.7-136.9)+(-0.699108+(-0.083997--0.069819))+0-28.1--0.0143309999999971</f>
        <v>1369.8010450000002</v>
      </c>
      <c r="U306" s="3">
        <f>1371.2+(157.5-141.3)+(-0.699312+(-0.080325--0.072063))+0-31.1--0.0158609999999968</f>
        <v>1355.6082870000002</v>
      </c>
      <c r="V306" s="3">
        <f>1370.3+(164.1-138.6)+(0.698853+(0.083691-0.070686))+0-29.9-0.015248999999997</f>
        <v>1366.5966089999997</v>
      </c>
      <c r="W306" s="3">
        <f>1444.9+(243.4-143)+(-0.736899+(-0.124134--0.07293))+0-30.2--0.0154019999999969</f>
        <v>1514.327299</v>
      </c>
      <c r="X306" s="3">
        <f>1521.9+(357.9-137.8)+(-3.104676+(-0.730116--0.281112))+0-30.7--0.0626279999999987</f>
        <v>1707.8089479999999</v>
      </c>
      <c r="Y306" s="3">
        <f>1525.2+(328.7-145.4)+(-2.333556+(-0.502911--0.222462))+0-30.5--0.0466650000000018</f>
        <v>1675.4326600000002</v>
      </c>
      <c r="Z306" s="3">
        <f>1477.3+(324.5-144.9)+(-3.767115+(-0.827475--0.369495))+0-30.8--0.0785399999999955</f>
        <v>1621.9534449999999</v>
      </c>
      <c r="AA306" s="3">
        <f>1408.6+(345.6-141.3)+(1.436772+(0.352512-0.144126))+0-28.1-0.0286620000000045</f>
        <v>1586.4164960000001</v>
      </c>
      <c r="AB306" s="3">
        <f>1408.9+(320.3-173.8)+(2.155617+(0.490059-0.265914))+0-28.7-0.0439110000000017</f>
        <v>1529.0358510000001</v>
      </c>
      <c r="AC306" s="3">
        <f>1248.6+(319.6-117.9)+(-1.910358+(-0.488988--0.180387))+0-27--0.0413100000000016</f>
        <v>1421.122351</v>
      </c>
      <c r="AD306">
        <f t="shared" si="4"/>
        <v>32903.115903999998</v>
      </c>
      <c r="AE306" s="3">
        <f>1521+(364.2-135.1)+(0+(0-0))+0-32-0</f>
        <v>1718.1</v>
      </c>
    </row>
    <row r="307" spans="1:31" s="2" customFormat="1" x14ac:dyDescent="0.25">
      <c r="A307">
        <v>89</v>
      </c>
      <c r="B307">
        <v>11</v>
      </c>
      <c r="C307">
        <v>1</v>
      </c>
      <c r="D307">
        <v>7</v>
      </c>
      <c r="E307">
        <v>1</v>
      </c>
      <c r="F307" s="3">
        <f>1098.9+(303.3-162.9)+(-2.802195+(-0.773415--0.415395))+0-27.4--0.069869999999996</f>
        <v>1208.809655</v>
      </c>
      <c r="G307" s="3">
        <f>1100.7+(243.8-201.8)+(-1.122714+(-0.248676--0.205836))+0-27.7--0.0282540000000044</f>
        <v>1113.8627000000001</v>
      </c>
      <c r="H307" s="3">
        <f>1097.2+(215.2-215.5)+(-3.357432+(-0.658512--0.65943))+0-28.8--0.0881280000000033</f>
        <v>1064.8316140000002</v>
      </c>
      <c r="I307" s="3">
        <f>1029.5+(215-195.9)+(0+(0-0))+0-28.8-0</f>
        <v>1019.8</v>
      </c>
      <c r="J307" s="3">
        <f>1089.8+(206.9-237.3)+(-0.555798+(-0.105519--0.121023))+0-29.3--0.014942999999997</f>
        <v>1029.5746489999999</v>
      </c>
      <c r="K307" s="3">
        <f>1061.2+(199.4-211.3)+(0+(0-0))+0-28.8-0</f>
        <v>1020.5</v>
      </c>
      <c r="L307" s="3">
        <f>1035.8+(204.1-187.1)+(-5.28258+(-1.04091--0.95421))+0-29.1--0.148410000000002</f>
        <v>1018.4791300000001</v>
      </c>
      <c r="M307" s="3">
        <f>1114.1+(147.1-195.5)+(1.136382+(0.150042-0.19941))+0-29.9-0.0304980000000048</f>
        <v>1036.8565159999996</v>
      </c>
      <c r="N307" s="3">
        <f>1182.7+(98.6-201.1)+(-3.015885+(-0.25143--0.512805))+0-29.5--0.0752249999999957</f>
        <v>1048.0207150000001</v>
      </c>
      <c r="O307" s="3">
        <f>1251.1+(112.5-203.9)+(-0.638061+(-0.057375--0.103989))+0-28--0.0142799999999972</f>
        <v>1131.1228329999999</v>
      </c>
      <c r="P307" s="3">
        <f>1307.2+(134.1-197.2)+(-2.666688+(-0.273564--0.402288))+0-29.9--0.0609959999999987</f>
        <v>1211.7230319999999</v>
      </c>
      <c r="Q307" s="3">
        <f>1270.2+(209-185.4)+(-1.943406+(-0.31977--0.283662))+0-29.8--0.0455940000000017</f>
        <v>1262.0660799999998</v>
      </c>
      <c r="R307" s="3">
        <f>1180.1+(268.1-189.2)+(0.601851+(0.136731-0.096492))+0-28.4-0.0144839999999971</f>
        <v>1231.2276059999999</v>
      </c>
      <c r="S307" s="3">
        <f>1179.4+(246.6-186.7)+(-2.405976+(-0.503064--0.380868))+0-28.1--0.0573239999999988</f>
        <v>1208.7291520000003</v>
      </c>
      <c r="T307" s="3">
        <f>1179.6+(191.6-181)+(-0.601596+(-0.097716--0.09231))+0-29.9--0.015248999999997</f>
        <v>1159.7082469999998</v>
      </c>
      <c r="U307" s="3">
        <f>1180.6+(169-181)+(-1.806318+(-0.25857--0.27693))+0-30.4--0.0465120000000018</f>
        <v>1136.4585539999998</v>
      </c>
      <c r="V307" s="3">
        <f>1184.9+(169.7-174.5)+(-2.417196+(-0.346188--0.35598))+0-29.9--0.0609959999999987</f>
        <v>1147.8535919999999</v>
      </c>
      <c r="W307" s="3">
        <f>1284.3+(272.7-178.3)+(0.654993+(0.139077-0.090933))+0-30.6-0.0156059999999969</f>
        <v>1348.7875309999999</v>
      </c>
      <c r="X307" s="3">
        <f>1373.6+(409.9-179.3)+(-2.101608+(-0.627147--0.274329))+0-30.7--0.0469710000000018</f>
        <v>1571.0925449999997</v>
      </c>
      <c r="Y307" s="3">
        <f>1336.2+(432.5-171)+(-0.681462+(-0.220575--0.08721))+0-30.9--0.0157589999999969</f>
        <v>1566.0009319999999</v>
      </c>
      <c r="Z307" s="3">
        <f>1297+(435.4-161.4)+(-2.64588+(-0.888216--0.329256))+0-30.5--0.0622199999999987</f>
        <v>1537.3573799999999</v>
      </c>
      <c r="AA307" s="3">
        <f>1264.9+(401.2-164.8)+(1.935297+(0.613836-0.252144))+0-28.4-0.0434520000000016</f>
        <v>1475.1535370000001</v>
      </c>
      <c r="AB307" s="3">
        <f>1253.2+(420.7-202)+(-2.556528+(-0.858228--0.41208))+0-28.6--0.0583439999999988</f>
        <v>1440.3556680000002</v>
      </c>
      <c r="AC307" s="3">
        <f>1199.2+(281.2-151.6)+(-1.223184+(-0.286824--0.154632))+0-27--0.0275400000000043</f>
        <v>1300.472164</v>
      </c>
      <c r="AD307">
        <f t="shared" si="4"/>
        <v>29288.843832000002</v>
      </c>
      <c r="AE307" s="3">
        <f>1364+(404-132.4)+(0+(0-0))+0-28.8-0</f>
        <v>1606.8</v>
      </c>
    </row>
    <row r="308" spans="1:31" s="2" customFormat="1" x14ac:dyDescent="0.25">
      <c r="A308">
        <v>89</v>
      </c>
      <c r="B308">
        <v>11</v>
      </c>
      <c r="C308">
        <v>2</v>
      </c>
      <c r="D308">
        <v>1</v>
      </c>
      <c r="E308">
        <v>1</v>
      </c>
      <c r="F308" s="3">
        <f>1091.3+(250.4-128.3)+(-3.895941+(-0.893928--0.458031))+0-28.4--0.101388</f>
        <v>1180.7695499999998</v>
      </c>
      <c r="G308" s="3">
        <f>1029+(214.3-141.2)+(-2.09916+(-0.437172--0.288048))+0-28.9--0.0589559999999987</f>
        <v>1071.0106719999999</v>
      </c>
      <c r="H308" s="3">
        <f>1028.1+(200.5-163.1)+(0.524331+(0.102255-0.083181))+0-29.5-0.015044999999997</f>
        <v>1036.5283599999998</v>
      </c>
      <c r="I308" s="3">
        <f>1029.3+(201.9-182.3)+(0+(0-0))+0-29.4-0</f>
        <v>1019.4999999999999</v>
      </c>
      <c r="J308" s="3">
        <f>1101+(211.2-217)+(-1.68453+(-0.323136--0.33201))+0-28.9--0.0442170000000017</f>
        <v>1064.668561</v>
      </c>
      <c r="K308" s="3">
        <f>1102.8+(203.8-211.5)+(0.562428+(0.103938-0.107865))+0-29.4-0.014993999999997</f>
        <v>1066.2435069999999</v>
      </c>
      <c r="L308" s="3">
        <f>1144.1+(190.3-174.9)+(0.583491+(0.097053-0.089199))+0-29.1-0.014840999999997</f>
        <v>1130.9765040000002</v>
      </c>
      <c r="M308" s="3">
        <f>1250.5+(172.4-170.2)+(-1.27551+(-0.175848--0.173604))+0-29.9--0.0304980000000048</f>
        <v>1221.5527440000001</v>
      </c>
      <c r="N308" s="3">
        <f>1319.1+(163.3-151.5)+(-1.345482+(-0.166566--0.15453))+0-30.5--0.0311100000000049</f>
        <v>1299.0735919999997</v>
      </c>
      <c r="O308" s="3">
        <f>1381.8+(187-138.3)+(-0.704718+(-0.09537--0.070533))+0-27.3--0.0139229999999972</f>
        <v>1402.4843680000001</v>
      </c>
      <c r="P308" s="3">
        <f>1483.4+(174.8-149.9)+(-3.026136+(-0.356592--0.305796))+0-29.8--0.0607919999999987</f>
        <v>1475.4838600000003</v>
      </c>
      <c r="Q308" s="3">
        <f>1483.9+(189.9-147.5)+(-2.270367+(-0.290547--0.225675))+0-29.7--0.0454410000000017</f>
        <v>1494.3102020000001</v>
      </c>
      <c r="R308" s="3">
        <f>1481.1+(175.6-186.3)+(-3.776805+(-0.44778--0.475065))+0-27.6--0.070379999999996</f>
        <v>1439.1208599999998</v>
      </c>
      <c r="S308" s="3">
        <f>1398.9+(208.9-180.3)+(1.426878+(0.213078-0.183906))+0-24.5-0.0249900000000039</f>
        <v>1404.4310599999999</v>
      </c>
      <c r="T308" s="3">
        <f>1439.7+(150.8-175.8)+(-0.734247+(-0.076908--0.089658))+0-26--0.0132599999999974</f>
        <v>1387.991763</v>
      </c>
      <c r="U308" s="3">
        <f>1408.6+(144-169)+(0.718386+(0.07344-0.08619))+0-27.2-0.0138719999999972</f>
        <v>1357.0917639999998</v>
      </c>
      <c r="V308" s="3">
        <f>1475.1+(102-180.1)+(0+(0-0))+0-27.6-0</f>
        <v>1369.4</v>
      </c>
      <c r="W308" s="3">
        <f>1453.9+(281.9-163.5)+(2.224467+(0.431307-0.250155))+0-30-0.0459000000000017</f>
        <v>1544.659719</v>
      </c>
      <c r="X308" s="3">
        <f>1533.7+(398.3-158.3)+(-2.346561+(-0.609399--0.242199))+0-30.7--0.0469710000000018</f>
        <v>1740.33321</v>
      </c>
      <c r="Y308" s="3">
        <f>1534.2+(362.6-184.3)+(-2.347326+(-0.554778--0.281979))+0-30.8--0.0471240000000018</f>
        <v>1679.1269990000001</v>
      </c>
      <c r="Z308" s="3">
        <f>1533.6+(318.5-202.9)+(-3.128544+(-0.64974--0.413916))+0-30.8--0.0628319999999987</f>
        <v>1615.0984639999999</v>
      </c>
      <c r="AA308" s="3">
        <f>1510.3+(277.4-185.2)+(-0.770253+(-0.141474--0.094452))+0-28.4--0.0144839999999971</f>
        <v>1573.2972089999998</v>
      </c>
      <c r="AB308" s="3">
        <f>1461.7+(298-208.3)+(-2.981868+(-0.60792--0.424932))+0-29.6--0.0603839999999987</f>
        <v>1518.695528</v>
      </c>
      <c r="AC308" s="3">
        <f>1365.6+(175.8-160.3)+(-5.571648+(-0.717264--0.654024))+0-27.9--0.113831999999998</f>
        <v>1347.6789439999998</v>
      </c>
      <c r="AD308">
        <f t="shared" si="4"/>
        <v>32439.527439999998</v>
      </c>
      <c r="AE308" s="3">
        <f>1536.7+(368.8-123.3)+(0+(0-0))+0-36-0</f>
        <v>1746.2</v>
      </c>
    </row>
    <row r="309" spans="1:31" s="2" customFormat="1" x14ac:dyDescent="0.25">
      <c r="A309">
        <v>89</v>
      </c>
      <c r="B309">
        <v>11</v>
      </c>
      <c r="C309">
        <v>3</v>
      </c>
      <c r="D309">
        <v>2</v>
      </c>
      <c r="E309">
        <v>1</v>
      </c>
      <c r="F309" s="3">
        <f>1178.8+(229.5-165.4)+(-1.803564+(-0.351135--0.253062))+0-28.4--0.0434520000000016</f>
        <v>1212.6418149999997</v>
      </c>
      <c r="G309" s="3">
        <f>1064.6+(238.7-164.4)+(-2.171784+(-0.486948--0.335376))+0-28.9--0.0589559999999987</f>
        <v>1107.7355999999997</v>
      </c>
      <c r="H309" s="3">
        <f>1013.3+(235.7-162.3)+(-2.583915+(-0.601035--0.413865))+0-28.9--0.0736949999999958</f>
        <v>1055.1026099999997</v>
      </c>
      <c r="I309" s="3">
        <f>996.4+(217.4-130.1)+(0.508164+(0.110874-0.066351))+0-28.9-0.0147389999999971</f>
        <v>1055.3379480000001</v>
      </c>
      <c r="J309" s="3">
        <f>1053.3+(230.2-169.7)+(1.074366+(0.234804-0.173094))+0-29.1-0.0296820000000046</f>
        <v>1085.806394</v>
      </c>
      <c r="K309" s="3">
        <f>1073+(216.4-176.6)+(0+(0-0))+0-28.8-0</f>
        <v>1084</v>
      </c>
      <c r="L309" s="3">
        <f>1182.1+(198.5-224.5)+(-2.411484+(-0.40494--0.45798))+0-29.1--0.0593639999999987</f>
        <v>1124.70092</v>
      </c>
      <c r="M309" s="3">
        <f>1414.6+(179.1-357.5)+(-1.442892+(-0.182682--0.36465))+0-29.8--0.0303960000000048</f>
        <v>1205.169472</v>
      </c>
      <c r="N309" s="3">
        <f>1407.7+(173.3-264)+(0+(0-0))+0-30.7-0</f>
        <v>1286.3</v>
      </c>
      <c r="O309" s="3">
        <f>1414.1+(124-152)+(-0.721191+(-0.06324--0.07752))+0-30.3--0.0154529999999969</f>
        <v>1355.1085419999999</v>
      </c>
      <c r="P309" s="3">
        <f>1485.6+(138.1-132.7)+(-0.757656+(-0.070431--0.067677))+0-29.9--0.015248999999997</f>
        <v>1460.3548389999999</v>
      </c>
      <c r="Q309" s="3">
        <f>1483.6+(139.1-132.7)+(-1.513272+(-0.141882--0.135354))+0-29.9--0.0304980000000048</f>
        <v>1458.610698</v>
      </c>
      <c r="R309" s="3">
        <f>1482.7+(135.2-124.8)+(-0.756177+(-0.068952--0.063648))+0-26.4--0.0134639999999973</f>
        <v>1465.9519829999999</v>
      </c>
      <c r="S309" s="3">
        <f>1481.8+(123.3-131.6)+(-0.755718+(-0.062883--0.067116))+0-27.1--0.0138209999999973</f>
        <v>1445.6623360000001</v>
      </c>
      <c r="T309" s="3">
        <f>1394+(151.1-112.5)+(-3.5547+(-0.385305--0.286875))+0-28.4--0.0724199999999959</f>
        <v>1400.6192899999999</v>
      </c>
      <c r="U309" s="3">
        <f>1310.3+(166.4-73.3)+(0.668253+(0.084864-0.037383))+0-28.3-0.0144329999999971</f>
        <v>1375.801301</v>
      </c>
      <c r="V309" s="3">
        <f>1288.7+(167.7-67.7)+(-1.971711+(-0.256581--0.103581))+0-29.5--0.0451350000000017</f>
        <v>1357.1204240000002</v>
      </c>
      <c r="W309" s="3">
        <f>1424.1+(261.3-132.8)+(-1.452582+(-0.266526--0.135456))+0-30.5--0.0311100000000049</f>
        <v>1520.5474579999998</v>
      </c>
      <c r="X309" s="3">
        <f>1504.3+(409.4-157.8)+(-3.068772+(-0.835176--0.321912))+0-30.4--0.0620159999999987</f>
        <v>1721.9799799999998</v>
      </c>
      <c r="Y309" s="3">
        <f>1466.9+(408.8-159.1)+(-2.992476+(-0.833952--0.324564))+0-29.8--0.0607919999999987</f>
        <v>1683.3589280000001</v>
      </c>
      <c r="Z309" s="3">
        <f>1354+(461.8-146.1)+(-0.69054+(-0.235518--0.074511))+0-29.1--0.014840999999997</f>
        <v>1639.7632940000001</v>
      </c>
      <c r="AA309" s="3">
        <f>1307.8+(446.8-151.5)+(-0.666978+(-0.227868--0.077265))+0-27.7--0.0141269999999972</f>
        <v>1574.5965459999998</v>
      </c>
      <c r="AB309" s="3">
        <f>1288.1+(440.8-198.6)+(0+(0-0))+0-28.9-0</f>
        <v>1501.3999999999999</v>
      </c>
      <c r="AC309" s="3">
        <f>1273.1+(281.1-162.5)+(-3.246405+(-0.716805--0.414375))+0-27.8--0.070889999999996</f>
        <v>1360.4220549999998</v>
      </c>
      <c r="AD309">
        <f t="shared" si="4"/>
        <v>32538.092433000002</v>
      </c>
      <c r="AE309" s="3">
        <f>1497.5+(412.9-113.8)+(0+(0-0))+0-31.2-0</f>
        <v>1765.3999999999999</v>
      </c>
    </row>
    <row r="310" spans="1:31" s="2" customFormat="1" x14ac:dyDescent="0.25">
      <c r="A310">
        <v>89</v>
      </c>
      <c r="B310">
        <v>11</v>
      </c>
      <c r="C310">
        <v>4</v>
      </c>
      <c r="D310">
        <v>3</v>
      </c>
      <c r="E310">
        <v>1</v>
      </c>
      <c r="F310" s="3">
        <f>1157.2+(257.8-188.5)+(-1.180344+(-0.262956--0.19227))+0-27--0.0275400000000043</f>
        <v>1198.2765100000001</v>
      </c>
      <c r="G310" s="3">
        <f>1156.2+(199-225.4)+(-0.589662+(-0.10149--0.114954))+0-21.1--0.0107609999999979</f>
        <v>1108.1345630000001</v>
      </c>
      <c r="H310" s="3">
        <f>1156.6+(202-279.5)+(-1.179732+(-0.20604--0.28509))+0-8.7--0.00887400000000139</f>
        <v>1069.308192</v>
      </c>
      <c r="I310" s="3">
        <f>1159.2+(198.4-296)+(1.182384+(0.202368-0.30192))+0-8.4-0.00856800000000134</f>
        <v>1054.2742640000001</v>
      </c>
      <c r="J310" s="3">
        <f>1158.6+(201.6-283.1)+(1.181772+(0.205632-0.288762))+0-25.9-0.0264180000000041</f>
        <v>1052.2722239999998</v>
      </c>
      <c r="K310" s="3">
        <f>1197.7+(204.2-309.1)+(2.443308+(0.416568-0.630564))+0-28.4-0.0579359999999988</f>
        <v>1066.5713759999999</v>
      </c>
      <c r="L310" s="3">
        <f>1322.9+(184.2-353.1)+(-2.024037+(-0.281826--0.540243))+0-28.9--0.0442170000000017</f>
        <v>1123.3785969999999</v>
      </c>
      <c r="M310" s="3">
        <f>1358+(98.3-236.6)+(-3.4629+(-0.250665--0.60333))+0-29.3--0.0747149999999958</f>
        <v>1187.36448</v>
      </c>
      <c r="N310" s="3">
        <f>1441.6+(92-204)+(0+(0-0))+0-29-0</f>
        <v>1300.5999999999999</v>
      </c>
      <c r="O310" s="3">
        <f>1474+(110.5-187.9)+(0+(0-0))+0-29.8-0</f>
        <v>1366.8</v>
      </c>
      <c r="P310" s="3">
        <f>1473.3+(188.8-189.4)+(-3.005532+(-0.385152--0.386376))+0-29--0.0591599999999987</f>
        <v>1440.754852</v>
      </c>
      <c r="Q310" s="3">
        <f>1465.7+(221.1-201.5)+(-3.737535+(-0.563805--0.513825))+0-30.7--0.0782849999999955</f>
        <v>1450.89077</v>
      </c>
      <c r="R310" s="3">
        <f>1433.7+(251.8-210.7)+(-2.924748+(-0.513672--0.429828))+0-28.8--0.0587519999999987</f>
        <v>1443.0501600000002</v>
      </c>
      <c r="S310" s="3">
        <f>1403+(251.6-210.9)+(-0.71553+(-0.128316--0.107559))+0-29.3--0.014942999999997</f>
        <v>1413.678656</v>
      </c>
      <c r="T310" s="3">
        <f>1441.6+(163.9-214.5)+(0+(0-0))+0-28.7-0</f>
        <v>1362.3</v>
      </c>
      <c r="U310" s="3">
        <f>1380.4+(207.3-196.3)+(2.112012+(0.317169-0.300339))+0-28.1-0.0429930000000016</f>
        <v>1365.3858490000002</v>
      </c>
      <c r="V310" s="3">
        <f>1468.3+(153.3-201.5)+(0+(0-0))+0-27.8-0</f>
        <v>1392.3</v>
      </c>
      <c r="W310" s="3">
        <f>1476.5+(249.2-183.2)+(0+(0-0))+0-28.9-0</f>
        <v>1513.6</v>
      </c>
      <c r="X310" s="3">
        <f>1495+(368.4-159.6)+(-2.28735+(-0.563652--0.244188))+0-29.1--0.0445230000000017</f>
        <v>1672.1377090000001</v>
      </c>
      <c r="Y310" s="3">
        <f>1494.8+(372.5-173.7)+(-2.287044+(-0.569925--0.265761))+0-29.2--0.0446760000000017</f>
        <v>1661.8534679999998</v>
      </c>
      <c r="Z310" s="3">
        <f>1491.8+(344-190.8)+(-2.282454+(-0.52632--0.291924))+0-28.7--0.0439110000000017</f>
        <v>1613.827061</v>
      </c>
      <c r="AA310" s="3">
        <f>1413.7+(359.5-207.1)+(-0.720987+(-0.183345--0.105621))+0-28.6--0.0145859999999971</f>
        <v>1536.7158750000003</v>
      </c>
      <c r="AB310" s="3">
        <f>1354.8+(374.4-221.5)+(-1.381896+(-0.381888--0.22593))+0-28.7--0.0292740000000046</f>
        <v>1477.4914199999998</v>
      </c>
      <c r="AC310" s="3">
        <f>1299.5+(257.9-168.2)+(0+(0-0))+0-27.2-0</f>
        <v>1362</v>
      </c>
      <c r="AD310">
        <f t="shared" si="4"/>
        <v>32232.966025999998</v>
      </c>
      <c r="AE310" s="3">
        <f>1488.5+(404.4-117.1)+(0+(0-0))+0-28.8-0</f>
        <v>1747</v>
      </c>
    </row>
    <row r="311" spans="1:31" s="2" customFormat="1" x14ac:dyDescent="0.25">
      <c r="A311">
        <v>89</v>
      </c>
      <c r="B311">
        <v>11</v>
      </c>
      <c r="C311">
        <v>5</v>
      </c>
      <c r="D311">
        <v>4</v>
      </c>
      <c r="E311">
        <v>5</v>
      </c>
      <c r="F311" s="3">
        <f>1219.3+(219.1-193)+(-0.621843+(-0.111741--0.09843))+0-27.7--0.0141269999999972</f>
        <v>1217.0789729999997</v>
      </c>
      <c r="G311" s="3">
        <f>1121.1+(222.5-207.5)+(-1.715283+(-0.340425--0.317475))+0-28.8--0.0440640000000017</f>
        <v>1105.6058309999999</v>
      </c>
      <c r="H311" s="3">
        <f>1081.8+(222.1-215.5)+(1.103436+(0.226542-0.21981))+0-28.6-0.0291720000000046</f>
        <v>1060.8809959999999</v>
      </c>
      <c r="I311" s="3">
        <f>1083+(215.5-231.5)+(-0.55233+(-0.109905--0.118065))+0-28.4--0.0144839999999971</f>
        <v>1038.0703140000001</v>
      </c>
      <c r="J311" s="3">
        <f>1081.8+(210.5-230.6)+(-0.551718+(-0.107355--0.117606))+0-28.2--0.0143819999999971</f>
        <v>1032.9729150000001</v>
      </c>
      <c r="K311" s="3">
        <f>1137.6+(191.8-260)+(0.580176+(0.097818-0.1326))+0-28.5-0.0145349999999971</f>
        <v>1041.4308589999998</v>
      </c>
      <c r="L311" s="3">
        <f>1083.5+(186.4-230)+(-3.31551+(-0.570384--0.7038))+0-21.3--0.0651780000000025</f>
        <v>1015.4830840000001</v>
      </c>
      <c r="M311" s="3">
        <f>1087.6+(162.9-179.7)+(-2.77338+(-0.415395--0.458235))+0-28.8--0.0734399999999958</f>
        <v>1039.3428999999999</v>
      </c>
      <c r="N311" s="3">
        <f>1173.2+(139.6-182.8)+(-1.196664+(-0.142392--0.186456))+0-28.9--0.0294780000000046</f>
        <v>1099.9768779999999</v>
      </c>
      <c r="O311" s="3">
        <f>1090.6+(199.1-192.1)+(-2.224824+(-0.406164--0.391884))+0-29--0.0591599999999987</f>
        <v>1066.4200559999999</v>
      </c>
      <c r="P311" s="3">
        <f>1214.1+(203.1-206.2)+(-1.857573+(-0.310743--0.315486))+0-29.8--0.0455940000000017</f>
        <v>1179.3927639999999</v>
      </c>
      <c r="Q311" s="3">
        <f>1192.9+(223.6-212.5)+(-3.041895+(-0.57018--0.541875))+0-29.5--0.0752249999999957</f>
        <v>1171.5050249999999</v>
      </c>
      <c r="R311" s="3">
        <f>1136.9+(254.3-203.5)+(-3.478914+(-0.778158--0.62271))+0-29.4--0.0899640000000034</f>
        <v>1154.755602</v>
      </c>
      <c r="S311" s="3">
        <f>1133.1+(213.9-196.3)+(-1.155762+(-0.218178--0.200226))+0-29.2--0.0297840000000047</f>
        <v>1120.3560699999998</v>
      </c>
      <c r="T311" s="3">
        <f>1134.2+(208.7-203.6)+(-2.89221+(-0.532185--0.51918))+0-29.9--0.0762449999999957</f>
        <v>1106.5710299999998</v>
      </c>
      <c r="U311" s="3">
        <f>1082.5+(247.5-204.6)+(1.10415+(0.25245-0.208692))+0-28.9-0.0294780000000046</f>
        <v>1097.61843</v>
      </c>
      <c r="V311" s="3">
        <f>1082+(271.7-196.4)+(1.10364+(0.277134-0.200328))+0-28.6-0.0291720000000046</f>
        <v>1129.8512740000001</v>
      </c>
      <c r="W311" s="3">
        <f>1132.4+(331.7-163.3)+(0+(0-0))+0-31.1-0</f>
        <v>1269.7000000000003</v>
      </c>
      <c r="X311" s="3">
        <f>1354.4+(380.6-165.4)+(-0.690744+(-0.194106--0.084354))+0-30.4--0.0155039999999969</f>
        <v>1538.4150079999999</v>
      </c>
      <c r="Y311" s="3">
        <f>1370.5+(299.8-89.5)+(-2.79582+(-0.611592--0.18258))+0-29.8--0.0607919999999987</f>
        <v>1547.8359599999999</v>
      </c>
      <c r="Z311" s="3">
        <f>1327.3+(344.4-142)+(0+(0-0))+0-29.3-0</f>
        <v>1500.3999999999999</v>
      </c>
      <c r="AA311" s="3">
        <f>1306.3+(358.2-161.1)+(0+(0-0))+0-27.9-0</f>
        <v>1475.4999999999998</v>
      </c>
      <c r="AB311" s="3">
        <f>1305.3+(360.6-224.2)+(-3.994218+(-1.103436--0.686052))+0-27.8--0.0850680000000032</f>
        <v>1409.5734660000003</v>
      </c>
      <c r="AC311" s="3">
        <f>1133.9+(356.3-168.7)+(-1.156578+(-0.363426--0.172074))+0-26.6--0.0271320000000042</f>
        <v>1293.5792020000001</v>
      </c>
      <c r="AD311">
        <f t="shared" si="4"/>
        <v>28712.316637000004</v>
      </c>
      <c r="AE311" s="3">
        <f>1366+(376.6-120.3)+(0+(0-0))+0-31.2-0</f>
        <v>1591.1</v>
      </c>
    </row>
    <row r="312" spans="1:31" s="2" customFormat="1" x14ac:dyDescent="0.25">
      <c r="A312">
        <v>89</v>
      </c>
      <c r="B312">
        <v>11</v>
      </c>
      <c r="C312">
        <v>6</v>
      </c>
      <c r="D312">
        <v>5</v>
      </c>
      <c r="E312">
        <v>1</v>
      </c>
      <c r="F312" s="3">
        <f>1075.2+(283-188.6)+(-1.645056+(-0.43299--0.288558))+0-27.8--0.0425340000000016</f>
        <v>1140.0530460000002</v>
      </c>
      <c r="G312" s="3">
        <f>992.2+(232-202.5)+(-0.506022+(-0.11832--0.103275))+0-28.2--0.0143819999999971</f>
        <v>992.99331499999994</v>
      </c>
      <c r="H312" s="3">
        <f>994+(236.8-198.9)+(0.50694+(0.120768-0.101439))+0-28.3-0.0144329999999971</f>
        <v>1004.111836</v>
      </c>
      <c r="I312" s="3">
        <f>988.9+(219.5-196.7)+(0+(0-0))+0-28.4-0</f>
        <v>983.30000000000007</v>
      </c>
      <c r="J312" s="3">
        <f>1005.7+(203-199.6)+(2.051628+(0.41412-0.407184))+0-28.3-0.0577319999999988</f>
        <v>982.80083200000013</v>
      </c>
      <c r="K312" s="3">
        <f>1058.4+(191.2-215.6)+(0.539784+(0.097512-0.109956))+0-28.4-0.0144839999999971</f>
        <v>1006.1128560000001</v>
      </c>
      <c r="L312" s="3">
        <f>1216.7+(171.9-263.5)+(-1.241034+(-0.175338--0.26877))+0-28.2--0.0287640000000045</f>
        <v>1095.781162</v>
      </c>
      <c r="M312" s="3">
        <f>1303.9+(115.8-180.9)+(1.329978+(0.118116-0.184518))+0-28.3-0.0288660000000045</f>
        <v>1211.7347100000002</v>
      </c>
      <c r="N312" s="3">
        <f>1344.4+(118.6-171.2)+(-0.685644+(-0.060486--0.087312))+0-29.4--0.014993999999997</f>
        <v>1261.7561759999999</v>
      </c>
      <c r="O312" s="3">
        <f>1430.5+(122.6-159.2)+(-1.45911+(-0.125052--0.162384))+0-28.3--0.0288660000000045</f>
        <v>1364.2070880000003</v>
      </c>
      <c r="P312" s="3">
        <f>1552.1+(104-195.2)+(1.583142+(0.10608-0.199104))+0-27.8-0.0283560000000044</f>
        <v>1434.5617619999998</v>
      </c>
      <c r="Q312" s="3">
        <f>1582.8+(99.8-193.9)+(0.807228+(0.050898-0.098889))+0-28.2-0.0143819999999971</f>
        <v>1461.2448549999999</v>
      </c>
      <c r="R312" s="3">
        <f>1582.6+(120.9-207.1)+(-4.03563+(-0.308295--0.528105))+0-28.1--0.0716549999999959</f>
        <v>1464.5558349999999</v>
      </c>
      <c r="S312" s="3">
        <f>1581+(101.3-216.6)+(0+(0-0))+0-27.7-0</f>
        <v>1438</v>
      </c>
      <c r="T312" s="3">
        <f>1540+(86-252.4)+(0+(0-0))+0-27.7-0</f>
        <v>1345.8999999999999</v>
      </c>
      <c r="U312" s="3">
        <f>1511.4+(118.2-199.4)+(-0.770814+(-0.060282--0.101694))+0-29.4--0.014993999999997</f>
        <v>1400.0855919999999</v>
      </c>
      <c r="V312" s="3">
        <f>1460.5+(159.2-139.6)+(-2.97942+(-0.324768--0.284784))+0-30.4--0.0620159999999987</f>
        <v>1446.742612</v>
      </c>
      <c r="W312" s="3">
        <f>1508.3+(223-177.1)+(-3.076932+(-0.45492--0.361284))+0-29.6--0.0603839999999987</f>
        <v>1521.489816</v>
      </c>
      <c r="X312" s="3">
        <f>1584.5+(302.4-135.9)+(0.808095+(0.154224-0.069309))+0-29.9-0.015248999999997</f>
        <v>1721.9777609999999</v>
      </c>
      <c r="Y312" s="3">
        <f>1630.1+(343.1-139.7)+(0.831351+(0.174981-0.071247))+0-29.8-0.015197999999997</f>
        <v>1804.6198870000001</v>
      </c>
      <c r="Z312" s="3">
        <f>1554.3+(341.9-145.5)+(-3.963465+(-0.871845--0.371025))+0-29.5--0.0752249999999957</f>
        <v>1716.8109399999998</v>
      </c>
      <c r="AA312" s="3">
        <f>1499.3+(372.3-116.1)+(0+(0-0))+0-28-0</f>
        <v>1727.5</v>
      </c>
      <c r="AB312" s="3">
        <f>1382.8+(284.1-100.1)+(-3.52614+(-0.724455--0.255255))+0-26.6--0.0678299999999961</f>
        <v>1536.2724900000001</v>
      </c>
      <c r="AC312" s="3">
        <f>1121.1+(321.1-9.6)+(-3.430566+(-0.982566--0.029376))+0-27.2--0.0832320000000031</f>
        <v>1401.0994759999999</v>
      </c>
      <c r="AD312">
        <f t="shared" si="4"/>
        <v>32463.712047000001</v>
      </c>
      <c r="AE312" s="3">
        <f>1634.5+(299.7-134.7)+(0+(0-0))+0-28.8-0</f>
        <v>1770.7</v>
      </c>
    </row>
    <row r="313" spans="1:31" s="2" customFormat="1" x14ac:dyDescent="0.25">
      <c r="A313">
        <v>89</v>
      </c>
      <c r="B313">
        <v>11</v>
      </c>
      <c r="C313">
        <v>7</v>
      </c>
      <c r="D313">
        <v>6</v>
      </c>
      <c r="E313">
        <v>1</v>
      </c>
      <c r="F313" s="3">
        <f>980.3+(313.6-23.4)+(-1.499859+(-0.479808--0.035802))+0-26.5--0.0405450000000015</f>
        <v>1242.0966800000001</v>
      </c>
      <c r="G313" s="3">
        <f>980.7+(242.2-58.7)+(2.000628+(0.494088-0.119748))+0-26.9-0.0548759999999988</f>
        <v>1139.6200920000001</v>
      </c>
      <c r="H313" s="3">
        <f>1036.3+(200.9-108.5)+(1.585539+(0.307377-0.166005))+0-27.3-0.0417690000000016</f>
        <v>1103.0851420000001</v>
      </c>
      <c r="I313" s="3">
        <f>1037.6+(197.1-125)+(0.529176+(0.100521-0.06375))+0-27.1-0.0138209999999973</f>
        <v>1083.152126</v>
      </c>
      <c r="J313" s="3">
        <f>1015.9+(210.4-121.3)+(0+(0-0))+0-27.3-0</f>
        <v>1077.7</v>
      </c>
      <c r="K313" s="3">
        <f>1002.5+(222.2-110.1)+(0+(0-0))+0-27-0</f>
        <v>1087.5999999999999</v>
      </c>
      <c r="L313" s="3">
        <f>1128.2+(190.5-157.9)+(1.150764+(0.19431-0.161058))+0-28-0.0285600000000045</f>
        <v>1133.9554559999999</v>
      </c>
      <c r="M313" s="3">
        <f>1213.4+(134.5-101.5)+(-0.618834+(-0.068595--0.051765))+0-29.2--0.014891999999997</f>
        <v>1216.5792280000001</v>
      </c>
      <c r="N313" s="3">
        <f>1245.7+(125.9-58.7)+(-1.270614+(-0.128418--0.059874))+0-30.2--0.0308040000000048</f>
        <v>1281.391646</v>
      </c>
      <c r="O313" s="3">
        <f>1283.8+(181.7-35.8)+(-2.618952+(-0.370668--0.073032))+0-30.1--0.0614039999999987</f>
        <v>1396.7448159999999</v>
      </c>
      <c r="P313" s="3">
        <f>1251+(253.2-7.8)+(-0.63801+(-0.129132--0.003978))+0-30.1--0.0153509999999969</f>
        <v>1465.5521870000002</v>
      </c>
      <c r="Q313" s="3">
        <f>1151.4+(371.5-0)+(0+(0-0))+0-29.4-0</f>
        <v>1493.5</v>
      </c>
      <c r="R313" s="3">
        <f>1149.1+(340.4-0)+(-2.344164+(-0.694416-0))+0-27.9--0.0569159999999988</f>
        <v>1458.618336</v>
      </c>
      <c r="S313" s="3">
        <f>1208.1+(236-13.8)+(-4.312917+(-0.84252--0.049266))+0-27.8--0.0992460000000004</f>
        <v>1397.4930750000001</v>
      </c>
      <c r="T313" s="3">
        <f>1143+(254.4-19)+(-2.91465+(-0.64872--0.04845))+0-29.1--0.0742049999999958</f>
        <v>1345.859285</v>
      </c>
      <c r="U313" s="3">
        <f>1141.3+(295.9-69.7)+(-1.164126+(-0.301818--0.071094))+0-29.2--0.0297840000000047</f>
        <v>1336.9349340000001</v>
      </c>
      <c r="V313" s="3">
        <f>1178.5+(319.8-123)+(-2.40414+(-0.652392--0.25092))+0-27.8--0.0567119999999988</f>
        <v>1344.7511</v>
      </c>
      <c r="W313" s="3">
        <f>1236.9+(405.1-126.8)+(0.630819+(0.206601-0.064668))+0-31.1-0.0158609999999968</f>
        <v>1484.8568910000001</v>
      </c>
      <c r="X313" s="3">
        <f>1316.7+(532.1-127.1)+(-3.357585+(-1.356855--0.324105))+0-30.8--0.0785399999999955</f>
        <v>1686.588205</v>
      </c>
      <c r="Y313" s="3">
        <f>1255.7+(570.5-127.7)+(-1.921221+(-0.872865--0.195381))+0-31.2--0.0477360000000018</f>
        <v>1664.7490309999998</v>
      </c>
      <c r="Z313" s="3">
        <f>1187.7+(581.5-128.3)+(-0.605727+(-0.296565--0.065433))+0-30.8--0.0157079999999969</f>
        <v>1609.278849</v>
      </c>
      <c r="AA313" s="3">
        <f>1180.1+(531.1-126.2)+(-1.203702+(-0.541722--0.128724))+0-26.5--0.0270300000000042</f>
        <v>1556.9103299999999</v>
      </c>
      <c r="AB313" s="3">
        <f>1176.1+(478.2-120)+(-2.399244+(-0.975528--0.2448))+0-26.7--0.0544679999999988</f>
        <v>1504.524496</v>
      </c>
      <c r="AC313" s="3">
        <f>1125.5+(432.9-128.6)+(0+(0-0))+0-27.5-0</f>
        <v>1402.3</v>
      </c>
      <c r="AD313">
        <f t="shared" si="4"/>
        <v>32513.841904999997</v>
      </c>
      <c r="AE313" s="3">
        <f>1322+(523.2-125.8)+(0+(0-0))+0-28.8-0</f>
        <v>1690.6000000000001</v>
      </c>
    </row>
    <row r="314" spans="1:31" s="2" customFormat="1" x14ac:dyDescent="0.25">
      <c r="A314">
        <v>89</v>
      </c>
      <c r="B314">
        <v>11</v>
      </c>
      <c r="C314">
        <v>8</v>
      </c>
      <c r="D314">
        <v>7</v>
      </c>
      <c r="E314">
        <v>1</v>
      </c>
      <c r="F314" s="3">
        <f>949.3+(442.4-153.6)+(-2.420715+(-1.12812--0.39168))+0-27.3--0.069614999999996</f>
        <v>1207.7124599999997</v>
      </c>
      <c r="G314" s="3">
        <f>944.9+(344.1-161.6)+(-1.445697+(-0.526473--0.247248))+0-27.5--0.0420750000000016</f>
        <v>1098.2171530000001</v>
      </c>
      <c r="H314" s="3">
        <f>980.6+(266.6-187.3)+(-0.500106+(-0.135966--0.095523))+0-27.3--0.0139229999999972</f>
        <v>1032.0733740000001</v>
      </c>
      <c r="I314" s="3">
        <f>941.2+(289.4-186.2)+(-0.480012+(-0.147594--0.094962))+0-27.8--0.0141779999999972</f>
        <v>1016.0815340000003</v>
      </c>
      <c r="J314" s="3">
        <f>939.1+(258.7-177.4)+(0.478941+(0.131937-0.090474))+0-27.6-0.0140759999999972</f>
        <v>993.30632799999989</v>
      </c>
      <c r="K314" s="3">
        <f>938.5+(262-169.5)+(-1.435905+(-0.40086--0.259335))+0-28.6--0.0437580000000017</f>
        <v>1000.866328</v>
      </c>
      <c r="L314" s="3">
        <f>938.2+(274.8-163.1)+(-0.956964+(-0.280296--0.166362))+0-28.3--0.0288660000000045</f>
        <v>1020.5579680000002</v>
      </c>
      <c r="M314" s="3">
        <f>1044.2+(188.7-183.9)+(0+(0-0))+0-29.7-0</f>
        <v>1019.3</v>
      </c>
      <c r="N314" s="3">
        <f>1138+(151-206.6)+(-1.16076+(-0.15402--0.210732))+0-30.4--0.0310080000000048</f>
        <v>1050.92696</v>
      </c>
      <c r="O314" s="3">
        <f>1102.4+(238.8-170.9)+(1.686672+(0.365364-0.261477))+0-30.7-0.0469710000000018</f>
        <v>1141.3435880000002</v>
      </c>
      <c r="P314" s="3">
        <f>1239+(200.5-158.5)+(-1.89567+(-0.306765--0.242505))+0-30.6--0.0468180000000018</f>
        <v>1248.4868880000001</v>
      </c>
      <c r="Q314" s="3">
        <f>1249.9+(252.4-188.9)+(-1.274898+(-0.257448--0.192678))+0-30.8--0.0314160000000049</f>
        <v>1281.2917480000001</v>
      </c>
      <c r="R314" s="3">
        <f>1202.5+(279.3-179)+(-5.519475+(-1.281987--0.82161))+0-29.1--0.133569000000005</f>
        <v>1267.8537170000002</v>
      </c>
      <c r="S314" s="3">
        <f>1105.7+(311.9-169.7)+(0+(0-0))+0-28.6-0</f>
        <v>1219.3000000000002</v>
      </c>
      <c r="T314" s="3">
        <f>1107.7+(282.7-171.1)+(-0.564927+(-0.144177--0.087261))+0-30.5--0.0155549999999969</f>
        <v>1188.193712</v>
      </c>
      <c r="U314" s="3">
        <f>1108.4+(205.9-109.3)+(-0.565284+(-0.105009--0.055743))+0-29.8--0.015197999999997</f>
        <v>1174.6006480000001</v>
      </c>
      <c r="V314" s="3">
        <f>1110.2+(260.8-149.4)+(-1.698606+(-0.399024--0.228582))+0-29.9--0.0457470000000017</f>
        <v>1189.8766989999999</v>
      </c>
      <c r="W314" s="3">
        <f>1139.4+(382.9-160.8)+(-2.324376+(-0.781116--0.328032))+0-29.7--0.0605879999999987</f>
        <v>1329.083128</v>
      </c>
      <c r="X314" s="3">
        <f>1246.9+(511.4-169.6)+(-2.543676+(-1.043256--0.345984))+0-30.1--0.0614039999999987</f>
        <v>1555.4204560000003</v>
      </c>
      <c r="Y314" s="3">
        <f>1319.2+(467.3-188.8)+(-2.018376+(-0.714969--0.288864))+0-31--0.0474300000000018</f>
        <v>1564.3029490000001</v>
      </c>
      <c r="Z314" s="3">
        <f>1207.5+(507.4-169.6)+(-1.23165+(-0.517548--0.172992))+0-29--0.0295800000000046</f>
        <v>1514.7533739999999</v>
      </c>
      <c r="AA314" s="3">
        <f>1147.4+(509-158.5)+(-0.585174+(-0.25959--0.080835))+0-28.2--0.0143819999999971</f>
        <v>1468.9504530000002</v>
      </c>
      <c r="AB314" s="3">
        <f>1141.5+(478-158.7)+(-1.16433+(-0.48756--0.161874))+0-26.6--0.0271320000000042</f>
        <v>1432.737116</v>
      </c>
      <c r="AC314" s="3">
        <f>1085.9+(436.2-169.2)+(-3.876663+(-1.557234--0.604044))+0-28.1--0.100317</f>
        <v>1320.0704640000001</v>
      </c>
      <c r="AD314">
        <f t="shared" si="4"/>
        <v>29335.307045000001</v>
      </c>
      <c r="AE314" s="3">
        <f>1318+(479.3-148.9)+(0+(0-0))+0-32-0</f>
        <v>1616.4</v>
      </c>
    </row>
    <row r="315" spans="1:31" s="2" customFormat="1" x14ac:dyDescent="0.25">
      <c r="A315">
        <v>89</v>
      </c>
      <c r="B315">
        <v>11</v>
      </c>
      <c r="C315">
        <v>9</v>
      </c>
      <c r="D315">
        <v>1</v>
      </c>
      <c r="E315">
        <v>1</v>
      </c>
      <c r="F315" s="3">
        <f>915.9+(423.8-168.3)+(0+(0-0))+0-27.9-0</f>
        <v>1143.5</v>
      </c>
      <c r="G315" s="3">
        <f>880+(372.8-173.1)+(-3.1416+(-1.330896--0.617967))+0-28.9--0.103173</f>
        <v>1047.048644</v>
      </c>
      <c r="H315" s="3">
        <f>878.9+(344.9-184.4)+(-0.448239+(-0.175899--0.094044))+0-28.7--0.0146369999999971</f>
        <v>1010.1845429999998</v>
      </c>
      <c r="I315" s="3">
        <f>877.9+(321.2-188.2)+(-1.343187+(-0.491436--0.287946))+0-28.5--0.0436050000000016</f>
        <v>980.89692799999989</v>
      </c>
      <c r="J315" s="3">
        <f>877.2+(299.4-183.5)+(0+(0-0))+0-25.2-0</f>
        <v>967.9</v>
      </c>
      <c r="K315" s="3">
        <f>877.7+(310.1-179.6)+(0+(0-0))+0-21.9-0</f>
        <v>986.30000000000007</v>
      </c>
      <c r="L315" s="3">
        <f>934.1+(335.4-186.5)+(0+(0-0))+0-28.1-0</f>
        <v>1054.9000000000001</v>
      </c>
      <c r="M315" s="3">
        <f>1079.8+(291.6-178.3)+(-2.75349+(-0.74358--0.454665))+0-29.4--0.0749699999999957</f>
        <v>1160.7325649999998</v>
      </c>
      <c r="N315" s="3">
        <f>1149.2+(297.7-154.3)+(0.586092+(0.151827-0.078693))+0-29.5-0.015044999999997</f>
        <v>1263.7441809999998</v>
      </c>
      <c r="O315" s="3">
        <f>1233.8+(312.7-145.9)+(-0.629238+(-0.159477--0.074409))+0-18.2--0.00928199999999815</f>
        <v>1381.6949759999998</v>
      </c>
      <c r="P315" s="3">
        <f>1294.9+(340.2-143.2)+(-1.320798+(-0.347004--0.146064))+0-29.6--0.0301920000000047</f>
        <v>1460.8084540000002</v>
      </c>
      <c r="Q315" s="3">
        <f>1295.9+(365.4-144)+(-3.304545+(-0.93177--0.3672))+0-30--0.0764999999999956</f>
        <v>1483.5073850000001</v>
      </c>
      <c r="R315" s="3">
        <f>1226.1+(472.9-146.7)+(0+(0-0))+0-28.9-0</f>
        <v>1523.3999999999999</v>
      </c>
      <c r="S315" s="3">
        <f>1088.7+(506.8-149.6)+(-2.220948+(-1.033872--0.305184))+0-28.2--0.0575279999999988</f>
        <v>1414.807892</v>
      </c>
      <c r="T315" s="3">
        <f>1089.2+(464.8-153.3)+(1.666476+(0.711144-0.234549))+0-29.7-0.0454410000000017</f>
        <v>1373.09763</v>
      </c>
      <c r="U315" s="3">
        <f>1088.5+(466.4-149.5)+(-1.665405+(-0.713592--0.228735))+0-31.3--0.0478890000000018</f>
        <v>1371.997627</v>
      </c>
      <c r="V315" s="3">
        <f>1105.7+(484.8-151.9)+(1.691721+(0.741744-0.232407))+0-30.4-0.0465120000000018</f>
        <v>1410.354546</v>
      </c>
      <c r="W315" s="3">
        <f>1166.7+(548.6-152.2)+(-1.785051+(-0.839358--0.232866))+0-30.4--0.0465120000000018</f>
        <v>1530.354969</v>
      </c>
      <c r="X315" s="3">
        <f>1322.3+(597-162.6)+(-4.046238+(-1.82682--0.497556))+0-28.7--0.0878220000000033</f>
        <v>1722.7123199999996</v>
      </c>
      <c r="Y315" s="3">
        <f>1288.9+(641.9-166.4)+(-4.601373+(-2.291583--0.594048))+0-29.1--0.103887</f>
        <v>1729.1049790000002</v>
      </c>
      <c r="Z315" s="3">
        <f>1212.7+(653-164)+(0.618477+(0.33303-0.08364))+0-29.5-0.015044999999997</f>
        <v>1673.0528219999999</v>
      </c>
      <c r="AA315" s="3">
        <f>1166.5+(618.2-163.4)+(-0.594915+(-0.315282--0.083334))+0-29.4--0.014993999999997</f>
        <v>1591.088131</v>
      </c>
      <c r="AB315" s="3">
        <f>1166.7+(539.9-163)+(-0.595017+(-0.275349--0.08313))+0-28.9--0.0147389999999971</f>
        <v>1513.9275029999999</v>
      </c>
      <c r="AC315" s="3">
        <f>1096.7+(486.6-168.2)+(-0.559317+(-0.248166--0.085782))+0-29.3--0.014942999999997</f>
        <v>1385.0932420000001</v>
      </c>
      <c r="AD315">
        <f t="shared" si="4"/>
        <v>32180.209337</v>
      </c>
      <c r="AE315" s="3">
        <f>1315+(612.8-120.9)+(0+(0-0))+0-26.4-0</f>
        <v>1780.5</v>
      </c>
    </row>
    <row r="316" spans="1:31" s="2" customFormat="1" x14ac:dyDescent="0.25">
      <c r="A316">
        <v>89</v>
      </c>
      <c r="B316">
        <v>11</v>
      </c>
      <c r="C316">
        <v>10</v>
      </c>
      <c r="D316">
        <v>2</v>
      </c>
      <c r="E316">
        <v>1</v>
      </c>
      <c r="F316" s="3">
        <f>1042.1+(357.3-135.3)+(0.531471+(0.182223-0.069003))+0-29-0.0147899999999971</f>
        <v>1235.7299009999999</v>
      </c>
      <c r="G316" s="3">
        <f>1041.5+(266.1-135.9)+(0+(0-0))+0-29.7-0</f>
        <v>1142</v>
      </c>
      <c r="H316" s="3">
        <f>1019+(240.5-137.8)+(-1.55907+(-0.367965--0.210834))+0-28.8--0.0440640000000017</f>
        <v>1091.2278630000001</v>
      </c>
      <c r="I316" s="3">
        <f>1000.4+(247-142.9)+(-2.55102+(-0.62985--0.364395))+0-28.7--0.0731849999999958</f>
        <v>1073.0567099999998</v>
      </c>
      <c r="J316" s="3">
        <f>951.3+(273.4-139.8)+(0.970326+(0.278868-0.142596))+0-28.9-0.0294780000000046</f>
        <v>1057.0771199999999</v>
      </c>
      <c r="K316" s="3">
        <f>949.3+(287.5-140.3)+(-1.936572+(-0.5865--0.286212))+0-28.8--0.0587519999999987</f>
        <v>1065.521892</v>
      </c>
      <c r="L316" s="3">
        <f>968.2+(325.9-136.9)+(1.975128+(0.664836-0.279276))+0-29-0.0591599999999987</f>
        <v>1130.501528</v>
      </c>
      <c r="M316" s="3">
        <f>1048.9+(328.8-139.3)+(0.534939+(0.167688-0.071043))+0-28.6-0.0145859999999971</f>
        <v>1210.4169980000001</v>
      </c>
      <c r="N316" s="3">
        <f>1181.3+(275.9-130.7)+(-3.012315+(-0.703545--0.333285))+0-29.2--0.0744599999999958</f>
        <v>1293.9918849999999</v>
      </c>
      <c r="O316" s="3">
        <f>1288.9+(283.1-128.9)+(0.657339+(0.144381-0.065739))+0-29.5-0.015044999999997</f>
        <v>1414.3209360000001</v>
      </c>
      <c r="P316" s="3">
        <f>1320.6+(305.6-129)+(-1.347012+(-0.311712--0.13158))+0-19.2--0.0195840000000031</f>
        <v>1476.4924399999998</v>
      </c>
      <c r="Q316" s="3">
        <f>1320.4+(320.5-124.3)+(0+(0-0))+0-8.1-0</f>
        <v>1508.5000000000002</v>
      </c>
      <c r="R316" s="3">
        <f>1314.4+(305.9-110.9)+(-2.011032+(-0.468027--0.169677))+0-7.2--0.0110160000000004</f>
        <v>1499.9016340000001</v>
      </c>
      <c r="S316" s="3">
        <f>1257.1+(345.2-119.8)+(-1.282242+(-0.352104--0.122196))+0-4.9--0.00499800000000078</f>
        <v>1476.092848</v>
      </c>
      <c r="T316" s="3">
        <f>1200.9+(360.7-117.7)+(-1.224918+(-0.367914--0.120054))+0-6.4--0.00652800000000102</f>
        <v>1436.0337499999998</v>
      </c>
      <c r="U316" s="3">
        <f>1219+(318.2-81.8)+(0.62169+(0.162282-0.041718))+0-8-0.00407999999999919</f>
        <v>1448.1381740000002</v>
      </c>
      <c r="V316" s="3">
        <f>1319.6+(294.8-125.3)+(-1.345992+(-0.300696--0.127806))+0-22.7--0.0231540000000036</f>
        <v>1464.9042719999998</v>
      </c>
      <c r="W316" s="3">
        <f>1343.6+(402-134.1)+(0+(0-0))+0-30.1-0</f>
        <v>1581.4</v>
      </c>
      <c r="X316" s="3">
        <f>1286.4+(635.4-123.5)+(-1.312128+(-0.648108--0.12597))+0-30.5--0.0311100000000049</f>
        <v>1765.996844</v>
      </c>
      <c r="Y316" s="3">
        <f>1204.5+(675.4-123.8)+(-1.842885+(-1.033362--0.189414))+0-31.1--0.0475830000000018</f>
        <v>1722.3607500000001</v>
      </c>
      <c r="Z316" s="3">
        <f>1199+(618.9-121.7)+(-2.44596+(-1.262556--0.248268))+0-30.1--0.0614039999999987</f>
        <v>1662.7011560000001</v>
      </c>
      <c r="AA316" s="3">
        <f>1197.9+(556.8-121.1)+(-0.610929+(-0.283968--0.061761))+0-30.3--0.0154529999999969</f>
        <v>1602.482317</v>
      </c>
      <c r="AB316" s="3">
        <f>1198.5+(479.7-110.7)+(-2.44494+(-0.978588--0.225828))+0-29.7--0.0605879999999987</f>
        <v>1534.6628880000001</v>
      </c>
      <c r="AC316" s="3">
        <f>1059.7+(462.6-96.5)+(-1.080894+(-0.471852--0.09843))+0-28.8--0.0293760000000046</f>
        <v>1395.5750600000001</v>
      </c>
      <c r="AD316">
        <f t="shared" si="4"/>
        <v>33289.086966000003</v>
      </c>
      <c r="AE316" s="3">
        <f>1361.6+(560.9-126.1)+(0+(0-0))+0-29.6-0</f>
        <v>1766.8</v>
      </c>
    </row>
    <row r="317" spans="1:31" s="2" customFormat="1" x14ac:dyDescent="0.25">
      <c r="A317">
        <v>89</v>
      </c>
      <c r="B317">
        <v>11</v>
      </c>
      <c r="C317">
        <v>11</v>
      </c>
      <c r="D317">
        <v>3</v>
      </c>
      <c r="E317">
        <v>1</v>
      </c>
      <c r="F317" s="3">
        <f>966.9+(382.1-90.7)+(-2.465595+(-0.974355--0.231285))+0-29.6--0.0754799999999957</f>
        <v>1225.5668149999999</v>
      </c>
      <c r="G317" s="3">
        <f>965.4+(286.7-95.5)+(-1.969416+(-0.584868--0.19482))+0-29.4--0.0599759999999987</f>
        <v>1124.9005119999999</v>
      </c>
      <c r="H317" s="3">
        <f>966.4+(255.2-104.8)+(-1.971456+(-0.520608--0.213792))+0-29--0.0591599999999987</f>
        <v>1085.580888</v>
      </c>
      <c r="I317" s="3">
        <f>967.1+(244.2-105.2)+(-2.466105+(-0.62271--0.26826))+0-28.2--0.0719099999999959</f>
        <v>1075.1513549999997</v>
      </c>
      <c r="J317" s="3">
        <f>966.1+(238.9-108.3)+(1.970844+(0.487356-0.220932))+0-28.1-0.0573239999999988</f>
        <v>1070.7799440000001</v>
      </c>
      <c r="K317" s="3">
        <f>965.7+(247.4-109.4)+(2.462535+(0.63087-0.27897))+0-28.8-0.0734399999999958</f>
        <v>1077.6409950000002</v>
      </c>
      <c r="L317" s="3">
        <f>1014.4+(272.9-112.6)+(1.552032+(0.417537-0.172278))+0-29.2-0.0446760000000017</f>
        <v>1147.2526150000001</v>
      </c>
      <c r="M317" s="3">
        <f>1039.8+(298.1-69.6)+(1.590894+(0.456093-0.106488))+0-30.4-0.0465120000000018</f>
        <v>1239.793987</v>
      </c>
      <c r="N317" s="3">
        <f>1181.6+(196.7-85.1)+(1.205232+(0.200634-0.086802))+0-30.1-0.0307020000000048</f>
        <v>1264.3883619999999</v>
      </c>
      <c r="O317" s="3">
        <f>1234.5+(204.3-68.9)+(-2.51838+(-0.416772--0.140556))+0-29.7--0.0605879999999987</f>
        <v>1337.4659920000001</v>
      </c>
      <c r="P317" s="3">
        <f>1236.5+(237.6-65.7)+(1.891845+(0.363528-0.100521))+0-28.6-0.0437580000000017</f>
        <v>1381.911094</v>
      </c>
      <c r="Q317" s="3">
        <f>1280.8+(247.3-81.5)+(-1.959624+(-0.378369--0.124695))+0-29.2--0.0446760000000017</f>
        <v>1415.2313779999999</v>
      </c>
      <c r="R317" s="3">
        <f>1426.9+(201.6-111.9)+(-5.094033+(-0.719712--0.399483))+0-27.7--0.0988890000000004</f>
        <v>1483.5846270000002</v>
      </c>
      <c r="S317" s="3">
        <f>1363.5+(212-95.8)+(-0.695385+(-0.10812--0.048858))+0-28--0.0142799999999972</f>
        <v>1450.9596330000002</v>
      </c>
      <c r="T317" s="3">
        <f>1359.3+(179.9-100.8)+(-2.079729+(-0.275247--0.154224))+0-25.5--0.0390150000000015</f>
        <v>1410.738263</v>
      </c>
      <c r="U317" s="3">
        <f>1242.8+(256.9-54.1)+(-1.901484+(-0.393057--0.082773))+0-16.6--0.025398000000001</f>
        <v>1426.8136300000001</v>
      </c>
      <c r="V317" s="3">
        <f>1251.4+(289.7-68)+(-3.829284+(-0.886482--0.20808))+0-15.4--0.0471240000000018</f>
        <v>1453.2394380000001</v>
      </c>
      <c r="W317" s="3">
        <f>1459.3+(287.5-138.6)+(-5.209701+(-1.026375--0.494802))+0-23.7--0.0846090000000003</f>
        <v>1578.843335</v>
      </c>
      <c r="X317" s="3">
        <f>1465.6+(442.9-115.7)+(-4.484736+(-1.355274--0.354042))+0-29--0.0887400000000034</f>
        <v>1758.4027719999999</v>
      </c>
      <c r="Y317" s="3">
        <f>1369.3+(481.5-100.5)+(1.396686+(0.49113-0.10251))+0-31-0.0316200000000049</f>
        <v>1721.053686</v>
      </c>
      <c r="Z317" s="3">
        <f>1348+(448.4-100.5)+(-1.37496+(-0.457368--0.10251))+0-29.5--0.0300900000000047</f>
        <v>1664.700272</v>
      </c>
      <c r="AA317" s="3">
        <f>1348.3+(386.9-99.7)+(-2.750532+(-0.789276--0.203388))+0-28.6--0.0583439999999988</f>
        <v>1603.621924</v>
      </c>
      <c r="AB317" s="3">
        <f>1348.3+(316.5-106.8)+(-4.125798+(-0.96849--0.326808))+0-27.6--0.0844560000000032</f>
        <v>1525.7169760000002</v>
      </c>
      <c r="AC317" s="3">
        <f>1239.9+(310.6-122.1)+(-5.058792+(-1.267248--0.498168))+0-28.5--0.116279999999998</f>
        <v>1394.188408</v>
      </c>
      <c r="AD317">
        <f t="shared" si="4"/>
        <v>32917.526900999997</v>
      </c>
      <c r="AE317" s="3">
        <f>1472+(446.1-113)+(0+(0-0))+0-28-0</f>
        <v>1777.1</v>
      </c>
    </row>
    <row r="318" spans="1:31" s="2" customFormat="1" x14ac:dyDescent="0.25">
      <c r="A318">
        <v>89</v>
      </c>
      <c r="B318">
        <v>11</v>
      </c>
      <c r="C318">
        <v>12</v>
      </c>
      <c r="D318">
        <v>4</v>
      </c>
      <c r="E318">
        <v>1</v>
      </c>
      <c r="F318" s="3">
        <f>1015.1+(342.5-150.3)+(-1.035402+(-0.34935--0.153306))+0-18.6--0.018972000000003</f>
        <v>1187.4875260000001</v>
      </c>
      <c r="G318" s="3">
        <f>970.6+(277.7-168.4)+(-2.970036+(-0.849762--0.515304))+22.1-13.4--0.0410040000000016</f>
        <v>1085.3365099999999</v>
      </c>
      <c r="H318" s="3">
        <f>1073.8+(207.3-230.6)+(-1.642914+(-0.317169--0.352818))+3.9-9.9--0.0151470000000006</f>
        <v>1042.907882</v>
      </c>
      <c r="I318" s="3">
        <f>971.7+(254.3-172.3)+(0+(0-0))+0-26.6-0</f>
        <v>1027.1000000000001</v>
      </c>
      <c r="J318" s="3">
        <f>969.6+(254.9-172.2)+(-2.47248+(-0.649995--0.43911))+0-27.4--0.069869999999996</f>
        <v>1022.2865049999999</v>
      </c>
      <c r="K318" s="3">
        <f>969.6+(270.9-173.2)+(-1.977984+(-0.552636--0.353328))+0-27.8--0.0567119999999988</f>
        <v>1037.37942</v>
      </c>
      <c r="L318" s="3">
        <f>1043.5+(259.8-173.4)+(-2.660925+(-0.66249--0.44217))+0-26.9--0.0685949999999961</f>
        <v>1100.1873499999999</v>
      </c>
      <c r="M318" s="3">
        <f>1238.6+(154.8-174.3)+(1.895058+(0.236844-0.266679))+0-26.8-0.0410040000000016</f>
        <v>1194.124219</v>
      </c>
      <c r="N318" s="3">
        <f>1305.9+(161.1-156.4)+(-0.666009+(-0.082161--0.079764))+0-27.9--0.0142289999999972</f>
        <v>1282.0458229999999</v>
      </c>
      <c r="O318" s="3">
        <f>1312+(255.3-156.3)+(0.66912+(0.130203-0.079713))+0-27.1-0.0138209999999973</f>
        <v>1384.6057890000002</v>
      </c>
      <c r="P318" s="3">
        <f>1289.7+(333.7-162)+(-1.973241+(-0.510561--0.24786))+0-27.9--0.0426870000000016</f>
        <v>1431.3067450000001</v>
      </c>
      <c r="Q318" s="3">
        <f>1287.9+(365.2-164)+(-2.627316+(-0.745008--0.33456))+0-27.6--0.0563039999999988</f>
        <v>1458.5185400000003</v>
      </c>
      <c r="R318" s="3">
        <f>1193.7+(441.3-158.7)+(-1.826361+(-0.675189--0.242811))+0-26.3--0.0402390000000015</f>
        <v>1447.7815000000001</v>
      </c>
      <c r="S318" s="3">
        <f>1191+(395.7-157.8)+(-0.60741+(-0.201807--0.080478))+0-26.2--0.0133619999999973</f>
        <v>1401.9846230000001</v>
      </c>
      <c r="T318" s="3">
        <f>1194.7+(363.7-155.8)+(0.609297+(0.185487-0.079458))+0-26.1-0.0133109999999974</f>
        <v>1377.2020150000001</v>
      </c>
      <c r="U318" s="3">
        <f>1191.6+(351.4-159)+(-1.823148+(-0.537642--0.24327))+0-23--0.0351900000000013</f>
        <v>1358.91767</v>
      </c>
      <c r="V318" s="3">
        <f>1201+(347.7-161.8)+(0+(0-0))+0-27.6-0</f>
        <v>1359.3000000000002</v>
      </c>
      <c r="W318" s="3">
        <f>1297.4+(355-175.1)+(-1.323348+(-0.3621--0.178602))+0-28.8--0.0293760000000046</f>
        <v>1447.0225300000002</v>
      </c>
      <c r="X318" s="3">
        <f>1381.3+(503.8-188.5)+(-4.226778+(-1.541628--0.57681))+0-27.8--0.0850680000000032</f>
        <v>1663.6934720000002</v>
      </c>
      <c r="Y318" s="3">
        <f>1326.4+(519.6-163.3)+(-2.029392+(-0.794988--0.249849))+0-27.7--0.0423810000000016</f>
        <v>1652.46785</v>
      </c>
      <c r="Z318" s="3">
        <f>1236.9+(541-157.2)+(-1.261638+(-0.55182--0.160344))+0-27.9--0.0284580000000044</f>
        <v>1591.175344</v>
      </c>
      <c r="AA318" s="3">
        <f>1237.5+(475.6-153.5)+(-1.26225+(-0.485112--0.15657))+0-26.2--0.0267240000000042</f>
        <v>1531.835932</v>
      </c>
      <c r="AB318" s="3">
        <f>1236.7+(412.5-150.9)+(-1.892151+(-0.631125--0.230877))+0-25.8--0.0394740000000015</f>
        <v>1470.2470750000002</v>
      </c>
      <c r="AC318" s="3">
        <f>1080.8+(457.4-156.8)+(-1.102416+(-0.466548--0.159936))+0-26.9--0.0274380000000043</f>
        <v>1353.1184099999998</v>
      </c>
      <c r="AD318">
        <f t="shared" si="4"/>
        <v>31908.032729999995</v>
      </c>
      <c r="AE318" s="3">
        <f>1383+(569.7-109)+(0+(0-0))+0-27.2-0</f>
        <v>1816.5</v>
      </c>
    </row>
    <row r="319" spans="1:31" s="2" customFormat="1" x14ac:dyDescent="0.25">
      <c r="A319">
        <v>89</v>
      </c>
      <c r="B319">
        <v>11</v>
      </c>
      <c r="C319">
        <v>13</v>
      </c>
      <c r="D319">
        <v>5</v>
      </c>
      <c r="E319">
        <v>5</v>
      </c>
      <c r="F319" s="3">
        <f>891.8+(483.7-159.3)+(-1.364454+(-0.740061--0.243729))+0-26.9--0.0411570000000016</f>
        <v>1187.4803709999999</v>
      </c>
      <c r="G319" s="3">
        <f>891.6+(401.2-174.1)+(0.454716+(0.204612-0.088791))+0-27.4-0.0139739999999972</f>
        <v>1091.8565630000001</v>
      </c>
      <c r="H319" s="3">
        <f>862.2+(374.1-169.4)+(-0.879444+(-0.381582--0.172788))+0-27.3--0.0278460000000044</f>
        <v>1038.539608</v>
      </c>
      <c r="I319" s="3">
        <f>863.9+(345.2-169.5)+(0.881178+(0.352104-0.17289))+0-27.7-0.0282540000000044</f>
        <v>1012.9321379999999</v>
      </c>
      <c r="J319" s="3">
        <f>864+(340.2-172.8)+(0.88128+(0.347004-0.176256))+0-27.6-0.0281520000000044</f>
        <v>1004.8238760000002</v>
      </c>
      <c r="K319" s="3">
        <f>863.5+(336.4-169)+(1.321155+(0.514692-0.25857))+0-27.7-0.0423810000000016</f>
        <v>1004.7348960000002</v>
      </c>
      <c r="L319" s="3">
        <f>862.6+(353.5-169.9)+(0+(0-0))+0-27.8-0</f>
        <v>1018.4000000000001</v>
      </c>
      <c r="M319" s="3">
        <f>861.4+(330.8-163.9)+(-2.19657+(-0.84354--0.417945))+0-27--0.0688499999999961</f>
        <v>998.74668499999996</v>
      </c>
      <c r="N319" s="3">
        <f>905.4+(290.1-149.8)+(-0.461754+(-0.147951--0.076398))+0-27.4--0.0139739999999972</f>
        <v>1017.7806670000001</v>
      </c>
      <c r="O319" s="3">
        <f>899+(374.6-143.5)+(1.37547+(0.573138-0.219555))+0-26.6-0.0406980000000015</f>
        <v>1105.188355</v>
      </c>
      <c r="P319" s="3">
        <f>968.8+(378.5-143.1)+(-2.964528+(-1.15821--0.437886))+0-28.1--0.0859860000000033</f>
        <v>1172.5011340000001</v>
      </c>
      <c r="Q319" s="3">
        <f>922.8+(463.7-138.9)+(-1.411884+(-0.709461--0.212517))+0-27.5--0.0420750000000016</f>
        <v>1218.2332469999999</v>
      </c>
      <c r="R319" s="3">
        <f>925.9+(446.4-141)+(0+(0-0))+0-25.2-0</f>
        <v>1206.0999999999999</v>
      </c>
      <c r="S319" s="3">
        <f>926+(408.9-131)+(-0.94452+(-0.417078--0.13362))+0-17.5--0.0178500000000028</f>
        <v>1185.1898720000002</v>
      </c>
      <c r="T319" s="3">
        <f>913.6+(387.5-129.1)+(-1.397808+(-0.592875--0.197523))+0-10.5--0.0160650000000006</f>
        <v>1159.7229050000001</v>
      </c>
      <c r="U319" s="3">
        <f>856.5+(431.3-122.3)+(-1.74726+(-0.879852--0.249492))+0-9.2--0.0187679999999996</f>
        <v>1153.9411479999999</v>
      </c>
      <c r="V319" s="3">
        <f>860.7+(447-130)+(0+(0-0))+0-16-0</f>
        <v>1161.7</v>
      </c>
      <c r="W319" s="3">
        <f>918.6+(525.1-145.1)+(0+(0-0))+0-29.6-0</f>
        <v>1269</v>
      </c>
      <c r="X319" s="3">
        <f>1074.8+(611.3-153.8)+(-2.192592+(-1.247052--0.313752))+0-30.7--0.0626279999999987</f>
        <v>1498.5367359999998</v>
      </c>
      <c r="Y319" s="3">
        <f>999.5+(693.2-156.7)+(-1.01949+(-0.707064--0.159834))+0-29.5--0.0300900000000047</f>
        <v>1504.9633699999999</v>
      </c>
      <c r="Z319" s="3">
        <f>932.1+(728.3-154.4)+(0+(0-0))+0-29.8-0</f>
        <v>1476.2</v>
      </c>
      <c r="AA319" s="3">
        <f>935.2+(685.4-157.2)+(0.476952+(0.349554-0.080172))+0-27.6-0.0140759999999972</f>
        <v>1436.5322580000002</v>
      </c>
      <c r="AB319" s="3">
        <f>934.4+(632.2-159.9)+(-0.476544+(-0.322422--0.081549))+0-27.6--0.0140759999999972</f>
        <v>1378.396659</v>
      </c>
      <c r="AC319" s="3">
        <f>873.7+(597.8-163.4)+(-2.673522+(-1.829268--0.500004))+0-28--0.0856800000000032</f>
        <v>1276.1828939999998</v>
      </c>
      <c r="AD319">
        <f t="shared" si="4"/>
        <v>28577.683381999999</v>
      </c>
      <c r="AE319" s="3">
        <f>1077+(633-110.2)+(0+(0-0))+0-32-0</f>
        <v>1567.8</v>
      </c>
    </row>
    <row r="320" spans="1:31" s="2" customFormat="1" x14ac:dyDescent="0.25">
      <c r="A320">
        <v>89</v>
      </c>
      <c r="B320">
        <v>11</v>
      </c>
      <c r="C320">
        <v>14</v>
      </c>
      <c r="D320">
        <v>6</v>
      </c>
      <c r="E320">
        <v>6</v>
      </c>
      <c r="F320" s="3">
        <f>801.1+(551.4-128.7)+(-0.408561+(-0.281214--0.065637))+0-28--0.0142799999999972</f>
        <v>1195.1901420000002</v>
      </c>
      <c r="G320" s="3">
        <f>777.2+(455.1-137.2)+(0+(0-0))+0-28.3-0</f>
        <v>1066.8000000000002</v>
      </c>
      <c r="H320" s="3">
        <f>776.9+(415.9-143.3)+(-2.377314+(-1.272654--0.438498))+0-28.8--0.0881280000000033</f>
        <v>1017.5766580000001</v>
      </c>
      <c r="I320" s="3">
        <f>778.8+(381.9-138)+(1.588752+(0.779076-0.28152))+0-28.5-0.0581399999999988</f>
        <v>996.22816799999998</v>
      </c>
      <c r="J320" s="3">
        <f>777.1+(377.4-138.4)+(0.396321+(0.192474-0.070584))+0-29.2-0.014891999999997</f>
        <v>987.4033189999999</v>
      </c>
      <c r="K320" s="3">
        <f>777.3+(384.6-135.5)+(1.585692+(0.784584-0.27642))+0-28.8-0.0587519999999987</f>
        <v>999.63510400000007</v>
      </c>
      <c r="L320" s="3">
        <f>847.5+(356.6-135.1)+(0.432225+(0.181866-0.068901))+0-29.2-0.014891999999997</f>
        <v>1040.3302980000001</v>
      </c>
      <c r="M320" s="3">
        <f>882.5+(338.5-116.9)+(-0.450075+(-0.172635--0.059619))+0-28.7--0.0146369999999971</f>
        <v>1074.8515459999999</v>
      </c>
      <c r="N320" s="3">
        <f>990.9+(298.7-115.1)+(-0.505359+(-0.152337--0.058701))+0-30--0.015299999999997</f>
        <v>1143.916305</v>
      </c>
      <c r="O320" s="3">
        <f>1173.7+(257.4-111.3)+(1.197174+(0.262548-0.113526))+0-26.8-0.0273360000000043</f>
        <v>1294.3188599999999</v>
      </c>
      <c r="P320" s="3">
        <f>1203.4+(330.2-112.4)+(-0.613734+(-0.168402--0.057324))+0-23.8--0.0121379999999976</f>
        <v>1396.6873260000002</v>
      </c>
      <c r="Q320" s="3">
        <f>1203.6+(366.2-110.4)+(0+(0-0))+0-16.1-0</f>
        <v>1443.3</v>
      </c>
      <c r="R320" s="3">
        <f>1186+(355.1-114.6)+(-1.81458+(-0.543303--0.175338))+0-6.7--0.0102510000000004</f>
        <v>1417.627706</v>
      </c>
      <c r="S320" s="3">
        <f>1185.6+(300.9-106.8)+(-3.02328+(-0.767295--0.27234))+0-8--0.0203999999999988</f>
        <v>1368.2021649999999</v>
      </c>
      <c r="T320" s="3">
        <f>1184.7+(269.7-111.9)+(-1.812591+(-0.412641--0.171207))+0-25.5--0.0390150000000015</f>
        <v>1314.9849900000002</v>
      </c>
      <c r="U320" s="3">
        <f>1126.5+(299.3-98.3)+(-5.170635+(-1.373787--0.451197))+0-28.6--0.131274000000005</f>
        <v>1292.9380490000001</v>
      </c>
      <c r="V320" s="3">
        <f>1106.4+(325.6-111.9)+(-1.128528+(-0.332112--0.114138))+0-27.3--0.0278460000000044</f>
        <v>1291.481344</v>
      </c>
      <c r="W320" s="3">
        <f>1165.6+(340.4-117.7)+(0.594456+(0.173604-0.060027))+0-23.4-0.0119339999999976</f>
        <v>1365.5960989999996</v>
      </c>
      <c r="X320" s="3">
        <f>1304.4+(485.8-109.9)+(-1.995732+(-0.743274--0.168147))+0-29.1--0.0445230000000017</f>
        <v>1648.6736640000004</v>
      </c>
      <c r="Y320" s="3">
        <f>1347.8+(425.2-121.9)+(-3.43689+(-1.08426--0.310845))+0-28.7--0.0731849999999958</f>
        <v>1618.2628799999998</v>
      </c>
      <c r="Z320" s="3">
        <f>1325.8+(402.8-124)+(-2.028474+(-0.616284--0.18972))+0-28.7--0.0439110000000017</f>
        <v>1573.4888729999998</v>
      </c>
      <c r="AA320" s="3">
        <f>1239.6+(429.7-123.1)+(-1.896588+(-0.657441--0.188343))+0-27.7--0.0423810000000016</f>
        <v>1516.1766949999997</v>
      </c>
      <c r="AB320" s="3">
        <f>1103.6+(498.1-125.4)+(-0.562836+(-0.254031--0.063954))+0-27--0.0137699999999973</f>
        <v>1448.5608569999999</v>
      </c>
      <c r="AC320" s="3">
        <f>1072.6+(432.2-127)+(-1.094052+(-0.440844--0.12954))+0-27.8--0.0283560000000044</f>
        <v>1348.623</v>
      </c>
      <c r="AD320">
        <f t="shared" si="4"/>
        <v>30860.854047999994</v>
      </c>
      <c r="AE320" s="3">
        <f>1340+(459.9-128.5)+(0+(0-0))+0-28-0</f>
        <v>1643.4</v>
      </c>
    </row>
    <row r="321" spans="1:31" s="2" customFormat="1" x14ac:dyDescent="0.25">
      <c r="A321">
        <v>89</v>
      </c>
      <c r="B321">
        <v>11</v>
      </c>
      <c r="C321">
        <v>15</v>
      </c>
      <c r="D321">
        <v>7</v>
      </c>
      <c r="E321">
        <v>5</v>
      </c>
      <c r="F321" s="3">
        <f>1019+(336.6-165.1)+(-0.51969+(-0.171666--0.084201))+0-28.3--0.0144329999999971</f>
        <v>1161.6072780000002</v>
      </c>
      <c r="G321" s="3">
        <f>1005.9+(262.1-186.6)+(-0.513009+(-0.133671--0.095166))+0-28.1--0.0143309999999971</f>
        <v>1052.7628170000003</v>
      </c>
      <c r="H321" s="3">
        <f>1006.2+(220.5-198.9)+(-2.052648+(-0.44982--0.405756))+0-28.5--0.0581399999999988</f>
        <v>997.26142799999991</v>
      </c>
      <c r="I321" s="3">
        <f>993.9+(212-199.4)+(-2.027556+(-0.43248--0.406776))+0-29.1--0.0593639999999987</f>
        <v>975.40610399999991</v>
      </c>
      <c r="J321" s="3">
        <f>935.7+(245.7-184.1)+(0+(0-0))+0-28.9-0</f>
        <v>968.40000000000009</v>
      </c>
      <c r="K321" s="3">
        <f>931.6+(247.9-180.9)+(2.37558+(0.632145-0.461295))+0-28.9-0.0736949999999958</f>
        <v>972.17273499999999</v>
      </c>
      <c r="L321" s="3">
        <f>926.7+(260.6-177)+(-0.945234+(-0.265812--0.18054))+0-28.9--0.0294780000000046</f>
        <v>980.39897200000019</v>
      </c>
      <c r="M321" s="3">
        <f>895.7+(253.3-162.6)+(-0.456807+(-0.129183--0.082926))+0-26.6--0.0135659999999973</f>
        <v>959.31050200000004</v>
      </c>
      <c r="N321" s="3">
        <f>1013.1+(178.5-179.1)+(-0.516681+(-0.091035--0.091341))+0-29--0.0147899999999971</f>
        <v>982.99841499999991</v>
      </c>
      <c r="O321" s="3">
        <f>972.7+(270.8-152.3)+(-0.992154+(-0.276216--0.155346))+0-28.1--0.0286620000000045</f>
        <v>1062.0156380000001</v>
      </c>
      <c r="P321" s="3">
        <f>1019.4+(322.3-159.4)+(-3.639258+(-1.150611--0.569058))+0-29.8--0.106386</f>
        <v>1148.385575</v>
      </c>
      <c r="Q321" s="3">
        <f>1023.8+(345.4-153.3)+(0+(0-0))+0-27.8-0</f>
        <v>1188.0999999999999</v>
      </c>
      <c r="R321" s="3">
        <f>1025.3+(336.3-155.4)+(0+(0-0))+0-20.3-0</f>
        <v>1185.9000000000001</v>
      </c>
      <c r="S321" s="3">
        <f>998.7+(336.7-157.4)+(-0.509337+(-0.171717--0.080274))+0-24.7--0.0125969999999975</f>
        <v>1152.7118169999999</v>
      </c>
      <c r="T321" s="3">
        <f>976.3+(337.1-160.8)+(-0.995826+(-0.343842--0.164016))+0-26.7--0.0272340000000043</f>
        <v>1124.7515819999999</v>
      </c>
      <c r="U321" s="3">
        <f>1006.9+(297.1-157.3)+(-1.027038+(-0.303042--0.160446))+0-28.5--0.0290700000000045</f>
        <v>1117.059436</v>
      </c>
      <c r="V321" s="3">
        <f>1007.8+(312-143.9)+(-0.513978+(-0.15912--0.073389))+0-27.5--0.0140249999999972</f>
        <v>1147.8143159999997</v>
      </c>
      <c r="W321" s="3">
        <f>1008.3+(437-156.6)+(-1.028466+(-0.44574--0.159732))+0-30.9--0.0315180000000049</f>
        <v>1256.5170439999997</v>
      </c>
      <c r="X321" s="3">
        <f>1023.5+(665.4-162.7)+(-1.04397+(-0.678708--0.165954))+0-30.9--0.0315180000000049</f>
        <v>1493.7747939999999</v>
      </c>
      <c r="Y321" s="3">
        <f>1152.5+(566.8-169.2)+(-0.587775+(-0.289068--0.086292))+0-30--0.015299999999997</f>
        <v>1519.3247489999999</v>
      </c>
      <c r="Z321" s="3">
        <f>1219.2+(481.8-164.1)+(-1.865376+(-0.737154--0.251073))+0-29.1--0.0445230000000017</f>
        <v>1505.4930660000002</v>
      </c>
      <c r="AA321" s="3">
        <f>1219.3+(423.3-159.9)+(0+(0-0))+0-26.5-0</f>
        <v>1456.1999999999998</v>
      </c>
      <c r="AB321" s="3">
        <f>1217.8+(386.7-168.2)+(-3.10539+(-0.986085--0.42891))+0-27.4--0.069869999999996</f>
        <v>1405.3073049999998</v>
      </c>
      <c r="AC321" s="3">
        <f>1155.9+(354.8-175.1)+(-2.947545+(-0.90474--0.446505))+0-27.3--0.069614999999996</f>
        <v>1304.963835</v>
      </c>
      <c r="AD321">
        <f t="shared" ref="AD321:AD365" si="5">SUM(F321:AC321)</f>
        <v>28118.637407999995</v>
      </c>
      <c r="AE321" s="3">
        <f>1042+(675.1-124.1)+(0+(0-0))+0-32.8-0</f>
        <v>1560.2</v>
      </c>
    </row>
    <row r="322" spans="1:31" s="2" customFormat="1" x14ac:dyDescent="0.25">
      <c r="A322">
        <v>89</v>
      </c>
      <c r="B322">
        <v>11</v>
      </c>
      <c r="C322">
        <v>16</v>
      </c>
      <c r="D322">
        <v>1</v>
      </c>
      <c r="E322">
        <v>1</v>
      </c>
      <c r="F322" s="3">
        <f>1061+(287.5-186.2)+(-0.54111+(-0.146625--0.094962))+0-28.6--0.0145859999999971</f>
        <v>1133.121813</v>
      </c>
      <c r="G322" s="3">
        <f>975.2+(258.9-186.3)+(1.492056+(0.396117-0.285039))+0-28.8-0.0440640000000017</f>
        <v>1020.5590699999999</v>
      </c>
      <c r="H322" s="3">
        <f>968.5+(223.9-190.8)+(-1.97574+(-0.456756--0.389232))+0-29.4--0.0599759999999987</f>
        <v>970.21671200000003</v>
      </c>
      <c r="I322" s="3">
        <f>960+(224.4-189.5)+(-1.4688+(-0.343332--0.289935))+0-29.3--0.0448290000000017</f>
        <v>964.12263200000007</v>
      </c>
      <c r="J322" s="3">
        <f>966.4+(213.5-191.4)+(-1.478592+(-0.326655--0.292842))+0-28.9--0.0442170000000017</f>
        <v>958.13181200000008</v>
      </c>
      <c r="K322" s="3">
        <f>977.7+(215.3-192.5)+(0+(0-0))+0-28.9-0</f>
        <v>971.6</v>
      </c>
      <c r="L322" s="3">
        <f>1038.9+(219.5-196.5)+(0.529839+(0.111945-0.100215))+0-29.1-0.014840999999997</f>
        <v>1033.3267280000002</v>
      </c>
      <c r="M322" s="3">
        <f>1046.3+(246.8-166.5)+(-0.533613+(-0.125868--0.084915))+0-30.2--0.0154019999999969</f>
        <v>1095.8408359999999</v>
      </c>
      <c r="N322" s="3">
        <f>1059.2+(329.7-161.3)+(1.080384+(0.336294-0.164526))+0-30.4-0.0310080000000048</f>
        <v>1198.4211439999999</v>
      </c>
      <c r="O322" s="3">
        <f>1128.6+(389.7-158.6)+(1.151172+(0.397494-0.161772))+0-28.3-0.0288660000000045</f>
        <v>1332.7580279999997</v>
      </c>
      <c r="P322" s="3">
        <f>1168.5+(417.2-158.6)+(2.38374+(0.851088-0.323544))+0-22.4-0.045695999999999</f>
        <v>1407.5655879999999</v>
      </c>
      <c r="Q322" s="3">
        <f>1162.5+(464.6-151.8)+(-2.964375+(-1.18473--0.38709))+0-17.6--0.0448799999999975</f>
        <v>1453.9828649999999</v>
      </c>
      <c r="R322" s="3">
        <f>1162.4+(459.8-150.4)+(-1.778472+(-0.703494--0.230112))+0-25.9--0.0396270000000015</f>
        <v>1443.6877730000001</v>
      </c>
      <c r="S322" s="3">
        <f>1160+(429-153.1)+(-2.3664+(-0.87516--0.312324))+0-25.9--0.0528359999999989</f>
        <v>1407.1236000000001</v>
      </c>
      <c r="T322" s="3">
        <f>1167.5+(340.6-109.3)+(-1.19085+(-0.347412--0.111486))+0-26.1--0.0266220000000042</f>
        <v>1371.2998460000001</v>
      </c>
      <c r="U322" s="3">
        <f>1169.3+(345.3-136.4)+(1.789029+(0.528309-0.208692))+0-23.6-0.0361080000000014</f>
        <v>1356.672538</v>
      </c>
      <c r="V322" s="3">
        <f>1211.5+(326.8-151.1)+(-1.853595+(-0.500004--0.231183))+0-28--0.0428400000000016</f>
        <v>1357.1204240000002</v>
      </c>
      <c r="W322" s="3">
        <f>1302.1+(316.8-162.6)+(0+(0-0))+0-30.6-0</f>
        <v>1425.7</v>
      </c>
      <c r="X322" s="3">
        <f>1338.3+(513-154.8)+(-2.047599+(-0.78489--0.236844))+0-29.4--0.0449820000000017</f>
        <v>1664.5493369999997</v>
      </c>
      <c r="Y322" s="3">
        <f>1346.6+(512-162.6)+(-0.686766+(-0.26112--0.082926))+0-31--0.0158099999999969</f>
        <v>1664.15085</v>
      </c>
      <c r="Z322" s="3">
        <f>1349.3+(461.1-165.7)+(-2.752572+(-0.940644--0.338028))+0-31.4--0.0640559999999986</f>
        <v>1610.0088679999999</v>
      </c>
      <c r="AA322" s="3">
        <f>1364.8+(387.6-164.7)+(-0.696048+(-0.197676--0.083997))+0-28.8--0.0146879999999971</f>
        <v>1558.104961</v>
      </c>
      <c r="AB322" s="3">
        <f>1368.5+(312.8-163.3)+(-3.489675+(-0.79764--0.416415))+0-27.4--0.069869999999996</f>
        <v>1486.7989700000001</v>
      </c>
      <c r="AC322" s="3">
        <f>1355.4+(226.5-180.4)+(-2.765016+(-0.46206--0.368016))+0-28--0.0571199999999988</f>
        <v>1370.6980599999999</v>
      </c>
      <c r="AD322">
        <f t="shared" si="5"/>
        <v>31255.562454999999</v>
      </c>
      <c r="AE322" s="3">
        <f>1340+(530.4-109.7)+(0+(0-0))+0-28-0</f>
        <v>1732.7</v>
      </c>
    </row>
    <row r="323" spans="1:31" s="2" customFormat="1" x14ac:dyDescent="0.25">
      <c r="A323">
        <v>89</v>
      </c>
      <c r="B323">
        <v>11</v>
      </c>
      <c r="C323">
        <v>17</v>
      </c>
      <c r="D323">
        <v>2</v>
      </c>
      <c r="E323">
        <v>1</v>
      </c>
      <c r="F323" s="3">
        <f>1198.8+(207.8-173.3)+(-1.222776+(-0.211956--0.176766))+0-27.4--0.0279480000000044</f>
        <v>1204.6699819999999</v>
      </c>
      <c r="G323" s="3">
        <f>1183+(147.3-202.2)+(-1.20666+(-0.150246--0.206244))+0-28.9--0.0294780000000046</f>
        <v>1098.0788159999997</v>
      </c>
      <c r="H323" s="3">
        <f>1171+(165-243.3)+(-0.59721+(-0.08415--0.124083))+0-29.7--0.015146999999997</f>
        <v>1062.45787</v>
      </c>
      <c r="I323" s="3">
        <f>1041.8+(204.4-174.6)+(2.65659+(0.52122-0.44523))+0-28.8-0.0734399999999958</f>
        <v>1045.4591400000002</v>
      </c>
      <c r="J323" s="3">
        <f>1123.9+(173.4-226)+(-1.719567+(-0.265302--0.34578))+0-27.9--0.0426870000000016</f>
        <v>1041.8035980000002</v>
      </c>
      <c r="K323" s="3">
        <f>1136.5+(173.5-231.1)+(0+(0-0))+0-28.6-0</f>
        <v>1050.3000000000002</v>
      </c>
      <c r="L323" s="3">
        <f>1210.3+(179.4-247.2)+(-1.234506+(-0.182988--0.252144))+0-28.7--0.0292740000000046</f>
        <v>1112.663924</v>
      </c>
      <c r="M323" s="3">
        <f>1335.3+(155.4-244.3)+(-1.362006+(-0.158508--0.249186))+0-28.8--0.0293760000000046</f>
        <v>1216.3580479999998</v>
      </c>
      <c r="N323" s="3">
        <f>1401.8+(127.8-227.3)+(-0.714918+(-0.065178--0.115923))+0-29.6--0.015095999999997</f>
        <v>1272.0509230000002</v>
      </c>
      <c r="O323" s="3">
        <f>1418.3+(142.8-185.6)+(0.723333+(0.072828-0.094656))+0-28.7-0.0146369999999971</f>
        <v>1347.486868</v>
      </c>
      <c r="P323" s="3">
        <f>1469.1+(160.8-165.3)+(-2.996964+(-0.328032--0.337212))+0-30.8--0.0628319999999987</f>
        <v>1430.8750480000001</v>
      </c>
      <c r="Q323" s="3">
        <f>1470.3+(182.5-151)+(-2.999412+(-0.3723--0.30804))+0-29--0.0591599999999987</f>
        <v>1469.795488</v>
      </c>
      <c r="R323" s="3">
        <f>1433.5+(181.6-147.6)+(-2.92434+(-0.370464--0.301104))+0-27.8--0.0567119999999988</f>
        <v>1436.7630120000001</v>
      </c>
      <c r="S323" s="3">
        <f>1300.2+(283.7-151.9)+(-1.989306+(-0.434061--0.232407))+0-26.4--0.0403920000000015</f>
        <v>1403.4494320000001</v>
      </c>
      <c r="T323" s="3">
        <f>1247.1+(288-151.9)+(-1.272042+(-0.29376--0.154938))+0-28.5--0.0290700000000045</f>
        <v>1353.3182059999999</v>
      </c>
      <c r="U323" s="3">
        <f>1251.2+(280.8-154.9)+(-3.828672+(-0.859248--0.473994))+0-29.4--0.0899640000000034</f>
        <v>1343.5760380000002</v>
      </c>
      <c r="V323" s="3">
        <f>1395.6+(183-178.7)+(0+(0-0))+0-27.2-0</f>
        <v>1372.6999999999998</v>
      </c>
      <c r="W323" s="3">
        <f>1486.9+(196.9-182.9)+(-2.274957+(-0.301257--0.279837))+0-30.4--0.0465120000000018</f>
        <v>1468.250135</v>
      </c>
      <c r="X323" s="3">
        <f>1504.3+(376.1-154.3)+(0+(0-0))+0-30.2-0</f>
        <v>1695.8999999999999</v>
      </c>
      <c r="Y323" s="3">
        <f>1500+(389-165.1)+(-5.355+(-1.38873--0.589407))+0-30.1--0.107457</f>
        <v>1687.7531340000003</v>
      </c>
      <c r="Z323" s="3">
        <f>1505.1+(341.4-176.4)+(-0.767601+(-0.174114--0.089964))+0-29.4--0.014993999999997</f>
        <v>1639.8632429999998</v>
      </c>
      <c r="AA323" s="3">
        <f>1486.3+(285-163.9)+(-3.790065+(-0.72675--0.417945))+0-28.9--0.0736949999999958</f>
        <v>1574.4748249999998</v>
      </c>
      <c r="AB323" s="3">
        <f>1369.4+(314.6-156.6)+(-1.396788+(-0.320892--0.159732))+0-26.8--0.0273360000000043</f>
        <v>1499.0693880000003</v>
      </c>
      <c r="AC323" s="3">
        <f>1329.1+(246.9-167.6)+(-2.711364+(-0.503676--0.341904))+0-27.3--0.0556919999999988</f>
        <v>1378.2825559999999</v>
      </c>
      <c r="AD323">
        <f t="shared" si="5"/>
        <v>32205.399673999997</v>
      </c>
      <c r="AE323" s="3">
        <f>1511+(397.5-116.2)+(0+(0-0))+0-31.2-0</f>
        <v>1761.1</v>
      </c>
    </row>
    <row r="324" spans="1:31" s="2" customFormat="1" x14ac:dyDescent="0.25">
      <c r="A324">
        <v>89</v>
      </c>
      <c r="B324">
        <v>11</v>
      </c>
      <c r="C324">
        <v>18</v>
      </c>
      <c r="D324">
        <v>3</v>
      </c>
      <c r="E324">
        <v>1</v>
      </c>
      <c r="F324" s="3">
        <f>1304.6+(146.7-202.4)+(-2.661384+(-0.299268--0.412896))+0-28.7--0.0585479999999987</f>
        <v>1217.7107919999999</v>
      </c>
      <c r="G324" s="3">
        <f>1261.6+(198.6-290.6)+(-0.643416+(-0.101286--0.148206))+0-28.1--0.0143309999999971</f>
        <v>1140.9178350000002</v>
      </c>
      <c r="H324" s="3">
        <f>1262.7+(201.4-336)+(0.643977+(0.102714-0.17136))+0-28.6-0.0145859999999971</f>
        <v>1100.0607450000002</v>
      </c>
      <c r="I324" s="3">
        <f>1262.9+(198.8-348.2)+(-3.220395+(-0.50694--0.88791))+0-29--0.0739499999999958</f>
        <v>1081.7345250000001</v>
      </c>
      <c r="J324" s="3">
        <f>1277.3+(196.1-378)+(-1.302846+(-0.200022--0.38556))+0-28.7--0.0292740000000046</f>
        <v>1065.6119659999997</v>
      </c>
      <c r="K324" s="3">
        <f>1357.3+(198.7-438.1)+(-0.692223+(-0.101337--0.223431))+0-28.9--0.0147389999999971</f>
        <v>1088.4446099999998</v>
      </c>
      <c r="L324" s="3">
        <f>1308.4+(203-353.2)+(-4.003704+(-0.62118--1.080792))+0-27.5--0.0841500000000032</f>
        <v>1127.2400579999999</v>
      </c>
      <c r="M324" s="3">
        <f>1427.6+(104.4-244.9)+(0+(0-0))+0-28.9-0</f>
        <v>1258.1999999999998</v>
      </c>
      <c r="N324" s="3">
        <f>1460.7+(66.8-211.5)+(2.234871+(0.102204-0.323595))+0-28.1-0.0429930000000016</f>
        <v>1289.8704870000001</v>
      </c>
      <c r="O324" s="3">
        <f>1472.9+(118.4-156.6)+(0+(0-0))+0-27.1-0</f>
        <v>1407.6000000000001</v>
      </c>
      <c r="P324" s="3">
        <f>1546.9+(119-169.6)+(0+(0-0))+0-27.2-0</f>
        <v>1469.1000000000001</v>
      </c>
      <c r="Q324" s="3">
        <f>1577.1+(123.3-179.2)+(0+(0-0))+0-27-0</f>
        <v>1494.1999999999998</v>
      </c>
      <c r="R324" s="3">
        <f>1521.2+(147.2-164.5)+(-3.87906+(-0.37536--0.419475))+0-27--0.0688499999999961</f>
        <v>1473.1339049999999</v>
      </c>
      <c r="S324" s="3">
        <f>1420.2+(189.5-144.7)+(-1.448604+(-0.19329--0.147594))+0-26.3--0.0268260000000042</f>
        <v>1437.232526</v>
      </c>
      <c r="T324" s="3">
        <f>1398.4+(171.2-143.7)+(-0.713184+(-0.087312--0.073287))+0-26--0.0132599999999974</f>
        <v>1399.1860510000001</v>
      </c>
      <c r="U324" s="3">
        <f>1393.2+(174.3-146.4)+(-1.421064+(-0.177786--0.149328))+0-27.6--0.0281520000000044</f>
        <v>1392.0786300000004</v>
      </c>
      <c r="V324" s="3">
        <f>1486.7+(91.9-161.8)+(0.758217+(0.046869-0.082518))+0-28.9-0.0147389999999971</f>
        <v>1388.6078289999998</v>
      </c>
      <c r="W324" s="3">
        <f>1598+(156.1-273.5)+(-0.81498+(-0.079611--0.139485))+0-30.5--0.0155549999999969</f>
        <v>1449.3604489999998</v>
      </c>
      <c r="X324" s="3">
        <f>1652.9+(265.1-208.4)+(-3.371916+(-0.540804--0.425136))+0-30--0.0611999999999987</f>
        <v>1676.1736160000003</v>
      </c>
      <c r="Y324" s="3">
        <f>1623.6+(292.5-202.3)+(-3.312144+(-0.5967--0.412692))+0-30.5--0.0622199999999987</f>
        <v>1679.866068</v>
      </c>
      <c r="Z324" s="3">
        <f>1400.2+(424.9-182.9)+(-2.142306+(-0.650097--0.279837))+0-30.3--0.0463590000000018</f>
        <v>1609.4337929999999</v>
      </c>
      <c r="AA324" s="3">
        <f>1231.5+(504.4-161.7)+(-3.140325+(-1.28622--0.412335))+0-26.7--0.0680849999999961</f>
        <v>1543.5538749999998</v>
      </c>
      <c r="AB324" s="3">
        <f>1205.6+(469-167)+(-2.459424+(-0.95676--0.34068))+0-28.2--0.0575279999999988</f>
        <v>1476.382024</v>
      </c>
      <c r="AC324" s="3">
        <f>1191.8+(348.9-167.7)+(-5.470362+(-1.601451--0.769743))+0-25.9--0.118881000000004</f>
        <v>1340.9168110000001</v>
      </c>
      <c r="AD324">
        <f t="shared" si="5"/>
        <v>32606.616595000003</v>
      </c>
      <c r="AE324" s="3">
        <f>1651.8+(304.6-157.7)+(0+(0-0))+0-32-0</f>
        <v>1766.7</v>
      </c>
    </row>
    <row r="325" spans="1:31" s="2" customFormat="1" x14ac:dyDescent="0.25">
      <c r="A325">
        <v>89</v>
      </c>
      <c r="B325">
        <v>11</v>
      </c>
      <c r="C325">
        <v>19</v>
      </c>
      <c r="D325">
        <v>4</v>
      </c>
      <c r="E325">
        <v>1</v>
      </c>
      <c r="F325" s="3">
        <f>1088.6+(275.7-166.6)+(2.220744+(0.562428-0.339864))+0-7-0.0142799999999997</f>
        <v>1193.1290279999996</v>
      </c>
      <c r="G325" s="3">
        <f>1021.5+(250.8-188.4)+(1.04193+(0.255816-0.192168))+0-4.5-0.00459000000000072</f>
        <v>1080.500988</v>
      </c>
      <c r="H325" s="3">
        <f>982.3+(258.3-179)+(-1.001946+(-0.263466--0.18258))+0-3.1--0.00316200000000049</f>
        <v>1057.4203299999999</v>
      </c>
      <c r="I325" s="3">
        <f>1013+(230.7-192.5)+(-2.58315+(-0.588285--0.490875))+0-3.1--0.00790499999999955</f>
        <v>1045.4273450000001</v>
      </c>
      <c r="J325" s="3">
        <f>1061.1+(191.6-207.2)+(0.541161+(0.097716-0.105672))+0-2.7-0.00137699999999973</f>
        <v>1043.3318279999999</v>
      </c>
      <c r="K325" s="3">
        <f>1105.1+(179.8-221.3)+(2.254404+(0.366792-0.451452))+0-8.1-0.0165239999999996</f>
        <v>1057.6532200000001</v>
      </c>
      <c r="L325" s="3">
        <f>1137.9+(209.6-207.3)+(-2.321316+(-0.427584--0.422892))+0-25.6--0.0522239999999989</f>
        <v>1112.3262160000002</v>
      </c>
      <c r="M325" s="3">
        <f>1164+(203.9-167.8)+(-0.59364+(-0.103989--0.085578))+0-26.8--0.0136679999999973</f>
        <v>1172.7016169999999</v>
      </c>
      <c r="N325" s="3">
        <f>1262.5+(186.2-160.3)+(1.28775+(0.189924-0.163506))+0-25.9-0.0264180000000041</f>
        <v>1263.7877500000002</v>
      </c>
      <c r="O325" s="3">
        <f>1305.1+(242.7-149.3)+(0.665601+(0.123777-0.076143))+0-27.8-0.0141779999999972</f>
        <v>1371.3990570000001</v>
      </c>
      <c r="P325" s="3">
        <f>1415.8+(216.4-164.7)+(-2.888232+(-0.441456--0.335988))+0-28.9--0.0589559999999987</f>
        <v>1435.665256</v>
      </c>
      <c r="Q325" s="3">
        <f>1359.8+(281.3-152.8)+(-2.773992+(-0.573852--0.311712))+0-27.9--0.0569159999999988</f>
        <v>1457.4207839999999</v>
      </c>
      <c r="R325" s="3">
        <f>1344.3+(269.3-159.9)+(-2.056779+(-0.412029--0.244647))+0-27.5--0.0420750000000016</f>
        <v>1424.017914</v>
      </c>
      <c r="S325" s="3">
        <f>1317.3+(249.6-164.8)+(0+(0-0))+0-27.5-0</f>
        <v>1374.6</v>
      </c>
      <c r="T325" s="3">
        <f>1259.4+(260.6-164.4)+(0+(0-0))+0-27.5-0</f>
        <v>1328.1000000000001</v>
      </c>
      <c r="U325" s="3">
        <f>1240.5+(271.1-159.4)+(-1.26531+(-0.276522--0.162588))+0-26.7--0.0272340000000043</f>
        <v>1324.1479899999999</v>
      </c>
      <c r="V325" s="3">
        <f>1231+(288.4-158.1)+(-1.88343+(-0.441252--0.241893))+0-23.5--0.0359550000000014</f>
        <v>1335.753166</v>
      </c>
      <c r="W325" s="3">
        <f>1260.5+(343.8-175.3)+(0.642855+(0.175338-0.089403))+0-27.5-0.0140249999999972</f>
        <v>1402.2147649999999</v>
      </c>
      <c r="X325" s="3">
        <f>1439.6+(422.4-183.7)+(-1.468392+(-0.430848--0.187374))+0-29--0.0295800000000046</f>
        <v>1647.6177139999998</v>
      </c>
      <c r="Y325" s="3">
        <f>1338+(527.3-171.7)+(-2.04714+(-0.806769--0.262701))+0-30.6--0.0468180000000018</f>
        <v>1660.45561</v>
      </c>
      <c r="Z325" s="3">
        <f>1329.9+(483.2-175)+(-3.391245+(-1.23216--0.44625))+0-30.6--0.0780299999999956</f>
        <v>1603.400875</v>
      </c>
      <c r="AA325" s="3">
        <f>1374.5+(378.3-166.3)+(0+(0-0))+0-27.2-0</f>
        <v>1559.3</v>
      </c>
      <c r="AB325" s="3">
        <f>1259.4+(422.5-166.1)+(-0.642294+(-0.215475--0.084711))+0-26.9--0.0137189999999973</f>
        <v>1488.1406610000001</v>
      </c>
      <c r="AC325" s="3">
        <f>1247.4+(308.4-168.3)+(-3.817044+(-0.943704--0.514998))+0-27.6--0.0844560000000032</f>
        <v>1355.7387060000001</v>
      </c>
      <c r="AD325">
        <f t="shared" si="5"/>
        <v>31794.250820000001</v>
      </c>
      <c r="AE325" s="3">
        <f>1442+(445-139.6)+(0+(0-0))+0-32-0</f>
        <v>1715.4</v>
      </c>
    </row>
    <row r="326" spans="1:31" s="2" customFormat="1" x14ac:dyDescent="0.25">
      <c r="A326">
        <v>89</v>
      </c>
      <c r="B326">
        <v>11</v>
      </c>
      <c r="C326">
        <v>20</v>
      </c>
      <c r="D326">
        <v>5</v>
      </c>
      <c r="E326">
        <v>1</v>
      </c>
      <c r="F326" s="3">
        <f>1097.8+(322.9-150.8)+(-1.119756+(-0.329358--0.153816))+0-28.7--0.0292740000000046</f>
        <v>1239.9339759999998</v>
      </c>
      <c r="G326" s="3">
        <f>1006.6+(316.4-166.4)+(-3.080196+(-0.968184--0.509184))+0-28.6--0.0875160000000033</f>
        <v>1124.5483200000001</v>
      </c>
      <c r="H326" s="3">
        <f>1009.9+(283.6-201.2)+(0.515049+(0.144636-0.102612))+0-28.3-0.0144329999999971</f>
        <v>1064.5426399999999</v>
      </c>
      <c r="I326" s="3">
        <f>989.6+(291.7-203.7)+(-2.52348+(-0.743835--0.519435))+0-27.9--0.0711449999999959</f>
        <v>1047.0232649999998</v>
      </c>
      <c r="J326" s="3">
        <f>946.6+(301.9-176.3)+(-0.482766+(-0.153969--0.089913))+0-29--0.0147899999999971</f>
        <v>1042.667968</v>
      </c>
      <c r="K326" s="3">
        <f>947.1+(312.7-168.8)+(-0.483021+(-0.159477--0.086088))+0-28.6--0.0145859999999971</f>
        <v>1061.8581760000002</v>
      </c>
      <c r="L326" s="3">
        <f>1033.7+(276.1-157.5)+(-0.527187+(-0.140811--0.080325))+0-29--0.0147899999999971</f>
        <v>1122.7271170000001</v>
      </c>
      <c r="M326" s="3">
        <f>1264.5+(130-173.4)+(1.934685+(0.1989-0.265302))+0-27.8-0.0425340000000016</f>
        <v>1195.125749</v>
      </c>
      <c r="N326" s="3">
        <f>1352.2+(138.3-162.9)+(1.379244+(0.141066-0.166158))+0-28.3-0.0288660000000045</f>
        <v>1300.6252860000002</v>
      </c>
      <c r="O326" s="3">
        <f>1458+(141.5-154.4)+(-0.74358+(-0.072165--0.078744))+0-28.7--0.0146369999999971</f>
        <v>1415.6776359999999</v>
      </c>
      <c r="P326" s="3">
        <f>1550.4+(123-159.3)+(-1.581408+(-0.12546--0.162486))+0-28.8--0.0293760000000046</f>
        <v>1483.7849940000001</v>
      </c>
      <c r="Q326" s="3">
        <f>1544.9+(159.1-171.8)+(-3.151596+(-0.324564--0.350472))+0-28.7--0.0585479999999987</f>
        <v>1500.4328599999999</v>
      </c>
      <c r="R326" s="3">
        <f>1394+(248.2-133.4)+(-4.26564+(-0.759492--0.408204))+0-26.6--0.0813960000000031</f>
        <v>1477.6644680000002</v>
      </c>
      <c r="S326" s="3">
        <f>1315.1+(274.5-124.1)+(-0.670701+(-0.139995--0.063291))+0-25.8--0.0131579999999974</f>
        <v>1438.9657529999999</v>
      </c>
      <c r="T326" s="3">
        <f>1358+(197.6-125.8)+(0+(0-0))+0-26.2-0</f>
        <v>1403.6</v>
      </c>
      <c r="U326" s="3">
        <f>1435.3+(147.1-156.2)+(-2.928012+(-0.300084--0.318648))+0-28.3--0.0577319999999988</f>
        <v>1395.048284</v>
      </c>
      <c r="V326" s="3">
        <f>1399+(178.4-141.3)+(-4.28094+(-0.545904--0.432378))+0-29.1--0.0890460000000034</f>
        <v>1402.6945800000001</v>
      </c>
      <c r="W326" s="3">
        <f>1386.4+(248.4-154.9)+(-1.414128+(-0.253368--0.157998))+0-30.7--0.0313140000000049</f>
        <v>1447.7218160000002</v>
      </c>
      <c r="X326" s="3">
        <f>1589.4+(319.2-172.6)+(-5.674158+(-1.139544--0.616182))+0-30.3--0.108171</f>
        <v>1699.6106510000002</v>
      </c>
      <c r="Y326" s="3">
        <f>1604.9+(321.2-171.9)+(-2.455497+(-0.491436--0.263007))+0-30.4--0.0465120000000018</f>
        <v>1721.1625859999999</v>
      </c>
      <c r="Z326" s="3">
        <f>1585.2+(296.9-178.2)+(-4.850712+(-0.908514--0.545292))+0-30.3--0.0927180000000035</f>
        <v>1668.4787840000001</v>
      </c>
      <c r="AA326" s="3">
        <f>1518.4+(260.3-130.1)+(-2.323152+(-0.398259--0.199053))+0-28.8--0.0440640000000017</f>
        <v>1617.3217060000002</v>
      </c>
      <c r="AB326" s="3">
        <f>1512.6+(205.2-154.7)+(-3.85713+(-0.52326--0.394485))+0-27.9--0.0711449999999959</f>
        <v>1531.2852399999997</v>
      </c>
      <c r="AC326" s="3">
        <f>1483.2+(147.4-199.2)+(-0.756432+(-0.075174--0.101592))+0-26.3--0.0134129999999973</f>
        <v>1404.3833990000001</v>
      </c>
      <c r="AD326">
        <f t="shared" si="5"/>
        <v>32806.885253999993</v>
      </c>
      <c r="AE326" s="3">
        <f>1615.2+(310.8-174.8)+(0+(0-0))+0-28-0</f>
        <v>1723.2</v>
      </c>
    </row>
    <row r="327" spans="1:31" s="2" customFormat="1" x14ac:dyDescent="0.25">
      <c r="A327">
        <v>89</v>
      </c>
      <c r="B327">
        <v>11</v>
      </c>
      <c r="C327">
        <v>21</v>
      </c>
      <c r="D327">
        <v>6</v>
      </c>
      <c r="E327">
        <v>1</v>
      </c>
      <c r="F327" s="3">
        <f>1307.4+(171.2-238.2)+(-4.000644+(-0.523872--0.728892))+0-28.2--0.0862920000000033</f>
        <v>1208.4906679999999</v>
      </c>
      <c r="G327" s="3">
        <f>1287.1+(146.7-303.1)+(1.312842+(0.149634-0.309162))+0-27.9-0.0284580000000044</f>
        <v>1103.9248559999996</v>
      </c>
      <c r="H327" s="3">
        <f>1263+(161-335)+(-1.28826+(-0.16422--0.3417))+0-28.4--0.0289680000000045</f>
        <v>1059.518188</v>
      </c>
      <c r="I327" s="3">
        <f>1285.1+(170.4-388.7)+(2.621604+(0.347616-0.792948))+0-28.7-0.0585479999999987</f>
        <v>1040.2177239999999</v>
      </c>
      <c r="J327" s="3">
        <f>1225.4+(172.3-342.4)+(3.12477+(0.439365-0.87312))+0-28.8-0.0734399999999958</f>
        <v>1029.1175750000004</v>
      </c>
      <c r="K327" s="3">
        <f>1266.3+(164.9-369.9)+(-1.291626+(-0.168198--0.377298))+0-29--0.0295800000000046</f>
        <v>1031.2470539999999</v>
      </c>
      <c r="L327" s="3">
        <f>1347.2+(154.5-359.3)+(-3.43536+(-0.393975--0.916215))+0-29.3--0.0747149999999958</f>
        <v>1110.2615950000002</v>
      </c>
      <c r="M327" s="3">
        <f>1371.9+(108.6-293)+(-1.399338+(-0.110772--0.29886))+0-28.5--0.0290700000000045</f>
        <v>1157.81782</v>
      </c>
      <c r="N327" s="3">
        <f>1495.5+(55.9-272.2)+(-1.52541+(-0.057018--0.277644))+0-28.6--0.0291720000000046</f>
        <v>1249.3243880000002</v>
      </c>
      <c r="O327" s="3">
        <f>1585.5+(45.3-244.8)+(0+(0-0))+0-27.2-0</f>
        <v>1358.8</v>
      </c>
      <c r="P327" s="3">
        <f>1583.6+(67.3-203.2)+(-3.230544+(-0.137292--0.414528))+0-23.4--0.047735999999999</f>
        <v>1421.3944279999996</v>
      </c>
      <c r="Q327" s="3">
        <f>1523.1+(107.4-166.6)+(-5.437467+(-0.383418--0.594762))+0-25.2--0.0899640000000003</f>
        <v>1433.5638409999999</v>
      </c>
      <c r="R327" s="3">
        <f>1507.2+(102.8-167.6)+(-1.537344+(-0.104856--0.170952))+0-26--0.0265200000000041</f>
        <v>1414.9552719999999</v>
      </c>
      <c r="S327" s="3">
        <f>1469.8+(98.8-186.2)+(0.749598+(0.050388-0.094962))+0-25.8-0.0131579999999974</f>
        <v>1357.291866</v>
      </c>
      <c r="T327" s="3">
        <f>1434.5+(100.8-190.3)+(-0.731595+(-0.051408--0.097053))+0-26.3--0.0134129999999973</f>
        <v>1318.0274629999999</v>
      </c>
      <c r="U327" s="3">
        <f>1420.6+(98.8-186.7)+(-4.347036+(-0.302328--0.571302))+0-27.6--0.0844560000000032</f>
        <v>1301.1063939999999</v>
      </c>
      <c r="V327" s="3">
        <f>1459.6+(78.1-204.9)+(3.72198+(0.199155-0.522495))+0-26.1-0.0665549999999962</f>
        <v>1310.0320849999998</v>
      </c>
      <c r="W327" s="3">
        <f>1514.8+(170.8-284.7)+(-0.772548+(-0.087108--0.145197))+0-29.3--0.014942999999997</f>
        <v>1370.900484</v>
      </c>
      <c r="X327" s="3">
        <f>1631.8+(242.5-250.4)+(-2.496654+(-0.371025--0.383112))+0-30.3--0.0463590000000018</f>
        <v>1591.1617919999999</v>
      </c>
      <c r="Y327" s="3">
        <f>1609.1+(243.6-234.3)+(-1.641282+(-0.248472--0.238986))+0-30.2--0.0308040000000048</f>
        <v>1586.5800359999998</v>
      </c>
      <c r="Z327" s="3">
        <f>1552.3+(242.6-227.9)+(-6.333384+(-0.989808--0.929832))+0-29.6--0.120767999999997</f>
        <v>1531.1274080000001</v>
      </c>
      <c r="AA327" s="3">
        <f>1509+(160.9-197)+(-0.76959+(-0.082059--0.10047))+0-26.5--0.0135149999999973</f>
        <v>1445.6623360000001</v>
      </c>
      <c r="AB327" s="3">
        <f>1506.4+(122.6-209.1)+(-3.84132+(-0.31263--0.533205))+0-26.4--0.0673199999999962</f>
        <v>1389.9465750000002</v>
      </c>
      <c r="AC327" s="3">
        <f>1490.8+(105.5-251)+(0+(0-0))+0-26.4-0</f>
        <v>1318.8999999999999</v>
      </c>
      <c r="AD327">
        <f t="shared" si="5"/>
        <v>31139.369847999998</v>
      </c>
      <c r="AE327" s="3">
        <f>1640.2+(253.3-193.3)+(0+(0-0))+0-29.6-0</f>
        <v>1670.6000000000001</v>
      </c>
    </row>
    <row r="328" spans="1:31" s="2" customFormat="1" x14ac:dyDescent="0.25">
      <c r="A328">
        <v>89</v>
      </c>
      <c r="B328">
        <v>11</v>
      </c>
      <c r="C328">
        <v>22</v>
      </c>
      <c r="D328">
        <v>7</v>
      </c>
      <c r="E328">
        <v>2</v>
      </c>
      <c r="F328" s="3">
        <f>1208.1+(193.5-222)+(-0.616131+(-0.098685--0.11322))+0-27.7--0.0141269999999972</f>
        <v>1151.3125309999998</v>
      </c>
      <c r="G328" s="3">
        <f>1080.5+(249.5-230.3)+(-0.551055+(-0.127245--0.117453))+0-29.2--0.014891999999997</f>
        <v>1069.954045</v>
      </c>
      <c r="H328" s="3">
        <f>1076.7+(239.8-241.2)+(0+(0-0))+0-28.9-0</f>
        <v>1046.4000000000001</v>
      </c>
      <c r="I328" s="3">
        <f>1075+(228.1-238.5)+(-1.64475+(-0.348993--0.364905))+0-28.9--0.0442170000000017</f>
        <v>1034.1153789999996</v>
      </c>
      <c r="J328" s="3">
        <f>1074.9+(224.3-244.4)+(-2.192796+(-0.457572--0.498576))+0-28.4--0.0579359999999988</f>
        <v>1024.3061440000001</v>
      </c>
      <c r="K328" s="3">
        <f>1128.1+(205.5-253.9)+(0.575331+(0.104805-0.129489))+0-29.1-0.014840999999997</f>
        <v>1051.135806</v>
      </c>
      <c r="L328" s="3">
        <f>1127.6+(162.7-231.6)+(-4.025532+(-0.580839--0.826812))+0-28.8--0.102816</f>
        <v>1026.2232569999999</v>
      </c>
      <c r="M328" s="3">
        <f>1171.2+(74.6-232.5)+(0+(0-0))+0-28.7-0</f>
        <v>984.6</v>
      </c>
      <c r="N328" s="3">
        <f>1277+(44.2-252.3)+(1.95381+(0.067626-0.386019))+0-26.6-0.0406980000000015</f>
        <v>1043.8947190000001</v>
      </c>
      <c r="O328" s="3">
        <f>1312+(58-215.8)+(1.33824+(0.05916-0.220116))+0-26.9-0.0274380000000043</f>
        <v>1128.449846</v>
      </c>
      <c r="P328" s="3">
        <f>1311.4+(100.9-177.6)+(0.668814+(0.051459-0.090576))+0-29.7-0.015146999999997</f>
        <v>1205.61455</v>
      </c>
      <c r="Q328" s="3">
        <f>1310.8+(135.7-158.9)+(0.668508+(0.069207-0.081039))+0-26.9-0.0137189999999973</f>
        <v>1261.3429569999998</v>
      </c>
      <c r="R328" s="3">
        <f>1307.4+(129.6-156.5)+(-2.000322+(-0.198288--0.239445))+0-27.2--0.0416160000000016</f>
        <v>1251.3824509999999</v>
      </c>
      <c r="S328" s="3">
        <f>1308.7+(100.2-163.3)+(-4.004622+(-0.306612--0.499698))+0-27.1--0.0829260000000031</f>
        <v>1214.7713900000003</v>
      </c>
      <c r="T328" s="3">
        <f>1241.4+(123.7-154)+(-2.532456+(-0.252348--0.31416))+0-27.7--0.0565079999999988</f>
        <v>1180.985864</v>
      </c>
      <c r="U328" s="3">
        <f>1179.7+(154.8-155.8)+(-0.601647+(-0.078948--0.079458))+0-26.5--0.0135149999999973</f>
        <v>1151.612378</v>
      </c>
      <c r="V328" s="3">
        <f>1176.6+(155.8-167)+(-0.600066+(-0.079458--0.08517))+0-18.3--0.00933299999999814</f>
        <v>1146.5149789999998</v>
      </c>
      <c r="W328" s="3">
        <f>1179.5+(282-186.4)+(-1.804635+(-0.43146--0.285192))+0-19.9--0.0304470000000011</f>
        <v>1253.279544</v>
      </c>
      <c r="X328" s="3">
        <f>1315.5+(326.7-190)+(-1.34181+(-0.333234--0.1938))+0-27.3--0.0278460000000044</f>
        <v>1423.446602</v>
      </c>
      <c r="Y328" s="3">
        <f>1318.3+(333.5-197.2)+(-1.344666+(-0.34017--0.201144))+0-28--0.0285600000000045</f>
        <v>1425.1448679999999</v>
      </c>
      <c r="Z328" s="3">
        <f>1315.8+(326.4-196.7)+(-2.013174+(-0.499392--0.300951))+0-28.8--0.0440640000000017</f>
        <v>1414.532449</v>
      </c>
      <c r="AA328" s="3">
        <f>1353.2+(212.4-180.4)+(2.070396+(0.324972-0.276012))+0-25-0.0382500000000014</f>
        <v>1362.2811059999999</v>
      </c>
      <c r="AB328" s="3">
        <f>1354.1+(175.7-190.5)+(-2.071773+(-0.268821--0.291465))+0-26.8--0.0410040000000016</f>
        <v>1310.4918749999999</v>
      </c>
      <c r="AC328" s="3">
        <f>1303.5+(147.2-201.4)+(-3.323925+(-0.37536--0.51357))+0-26.2--0.0668099999999962</f>
        <v>1219.9810949999999</v>
      </c>
      <c r="AD328">
        <f t="shared" si="5"/>
        <v>28381.773834999993</v>
      </c>
      <c r="AE328" s="3">
        <f>1283+(345.8-141.7)+(0+(0-0))+0-26.4-0</f>
        <v>1460.6999999999998</v>
      </c>
    </row>
    <row r="329" spans="1:31" s="2" customFormat="1" x14ac:dyDescent="0.25">
      <c r="A329">
        <v>89</v>
      </c>
      <c r="B329">
        <v>11</v>
      </c>
      <c r="C329">
        <v>23</v>
      </c>
      <c r="D329">
        <v>1</v>
      </c>
      <c r="E329">
        <v>1</v>
      </c>
      <c r="F329" s="3">
        <f>1310.7+(175.5-215.7)+(-4.010742+(-0.53703--0.660042))+0-27.6--0.0844560000000032</f>
        <v>1239.0967260000002</v>
      </c>
      <c r="G329" s="3">
        <f>1129.5+(157-224.1)+(-2.30418+(-0.32028--0.457164))+0-28.2--0.0575279999999988</f>
        <v>1032.090232</v>
      </c>
      <c r="H329" s="3">
        <f>992.7+(226.4-205.9)+(-2.025108+(-0.461856--0.420036))+0-28.7--0.0585479999999987</f>
        <v>982.49162000000001</v>
      </c>
      <c r="I329" s="3">
        <f>993.7+(186.1-189.1)+(0+(0-0))+0-26.7-0</f>
        <v>964</v>
      </c>
      <c r="J329" s="3">
        <f>991.5+(192-192)+(1.516995+(0.29376-0.29376))+0-26.8-0.0410040000000016</f>
        <v>966.17599099999995</v>
      </c>
      <c r="K329" s="3">
        <f>1085.5+(130.6-204.9)+(3.32163+(0.399636-0.626994))+0-24.2-0.0740520000000028</f>
        <v>990.02021999999999</v>
      </c>
      <c r="L329" s="3">
        <f>1123.8+(146.7-198.6)+(-4.011966+(-0.523719--0.709002))+0-25.8--0.0921060000000004</f>
        <v>1042.365423</v>
      </c>
      <c r="M329" s="3">
        <f>1107.9+(199.6-203.8)+(1.130058+(0.203592-0.207876))+0-26.6-0.0271320000000042</f>
        <v>1078.1986420000003</v>
      </c>
      <c r="N329" s="3">
        <f>1265.1+(176.5-217.5)+(-3.226005+(-0.450075--0.554625))+0-29.5--0.0752249999999957</f>
        <v>1191.55377</v>
      </c>
      <c r="O329" s="3">
        <f>1331.3+(262.6-231.7)+(2.036889+(0.401778-0.354501))+0-30.9-0.0472770000000018</f>
        <v>1333.3368890000002</v>
      </c>
      <c r="P329" s="3">
        <f>1330.7+(354.3-243)+(0.678657+(0.180693-0.12393))+0-30.9-0.0157589999999969</f>
        <v>1411.819661</v>
      </c>
      <c r="Q329" s="3">
        <f>1325.3+(447.1-291.8)+(-1.351806+(-0.456042--0.297636))+0-31.1--0.031722000000005</f>
        <v>1448.02151</v>
      </c>
      <c r="R329" s="3">
        <f>1320.9+(451.8-293.8)+(-3.368295+(-1.15209--0.74919))+0-29.2--0.0744599999999958</f>
        <v>1446.0032650000001</v>
      </c>
      <c r="S329" s="3">
        <f>1333.7+(401.6-290.7)+(-1.360374+(-0.409632--0.296514))+0-29.1--0.0296820000000046</f>
        <v>1414.0561900000002</v>
      </c>
      <c r="T329" s="3">
        <f>1343.7+(340.2-279.1)+(0+(0-0))+0-29.8-0</f>
        <v>1375</v>
      </c>
      <c r="U329" s="3">
        <f>1331.7+(325.9-278.2)+(-2.037501+(-0.498627--0.425646))+0-30--0.0459000000000017</f>
        <v>1347.3354180000001</v>
      </c>
      <c r="V329" s="3">
        <f>1316.6+(364-289.3)+(-2.685864+(-0.74256--0.590172))+0-31.2--0.0636479999999986</f>
        <v>1357.325396</v>
      </c>
      <c r="W329" s="3">
        <f>1305.6+(329.3-193.1)+(-0.665856+(-0.167943--0.098481))+0-29.5--0.015044999999997</f>
        <v>1411.579727</v>
      </c>
      <c r="X329" s="3">
        <f>1361.1+(512.1-170.6)+(-1.388322+(-0.522342--0.174012))+0-29.1--0.0296820000000046</f>
        <v>1671.79303</v>
      </c>
      <c r="Y329" s="3">
        <f>1364.3+(542.4-173.2)+(-0.695793+(-0.276624--0.088332))+0-28--0.0142799999999972</f>
        <v>1704.6301950000002</v>
      </c>
      <c r="Z329" s="3">
        <f>1364.6+(488.6-174)+(-2.783784+(-0.996744--0.35496))+0-29--0.0591599999999987</f>
        <v>1646.8335919999997</v>
      </c>
      <c r="AA329" s="3">
        <f>1357.8+(542-279.2)+(0.692478+(0.27642-0.142392))+0-29.3-0.014942999999997</f>
        <v>1592.1115630000002</v>
      </c>
      <c r="AB329" s="3">
        <f>1349.1+(506.7-311.9)+(-2.752164+(-1.033668--0.636276))+0-29.1--0.0593639999999987</f>
        <v>1511.7098079999998</v>
      </c>
      <c r="AC329" s="3">
        <f>1350.2+(344.7-280.6)+(-3.44301+(-0.878985--0.71553))+0-29.5--0.0752249999999957</f>
        <v>1381.2687599999999</v>
      </c>
      <c r="AD329">
        <f t="shared" si="5"/>
        <v>31538.817627999997</v>
      </c>
      <c r="AE329" s="3">
        <f>1370.2+(551.9-132.4)+(0+(0-0))+0-31.2-0</f>
        <v>1758.5</v>
      </c>
    </row>
    <row r="330" spans="1:31" s="2" customFormat="1" x14ac:dyDescent="0.25">
      <c r="A330">
        <v>89</v>
      </c>
      <c r="B330">
        <v>11</v>
      </c>
      <c r="C330">
        <v>24</v>
      </c>
      <c r="D330">
        <v>2</v>
      </c>
      <c r="E330">
        <v>1</v>
      </c>
      <c r="F330" s="3">
        <f>1075.4+(398-234)+(-1.096908+(-0.40596--0.23868))+0-28.8--0.0293760000000046</f>
        <v>1209.365188</v>
      </c>
      <c r="G330" s="3">
        <f>990.1+(303.1-165)+(-2.524755+(-0.772905--0.42075))+0-27--0.0688499999999961</f>
        <v>1098.39194</v>
      </c>
      <c r="H330" s="3">
        <f>990+(263.7-166.4)+(0+(0-0))+0-28.9-0</f>
        <v>1058.3999999999999</v>
      </c>
      <c r="I330" s="3">
        <f>991.1+(254.9-175.7)+(-1.516383+(-0.389997--0.268821))+0-29.2--0.0446760000000017</f>
        <v>1039.5071169999999</v>
      </c>
      <c r="J330" s="3">
        <f>997.5+(244.3-178.8)+(2.0349+(0.498372-0.364752))+0-28.5-0.0581399999999988</f>
        <v>1036.6103799999999</v>
      </c>
      <c r="K330" s="3">
        <f>1086+(211.1-216.4)+(0+(0-0))+0-28.9-0</f>
        <v>1051.8</v>
      </c>
      <c r="L330" s="3">
        <f>1111.5+(223.5-207.3)+(0.566865+(0.113985-0.105723))+0-29.2-0.014891999999997</f>
        <v>1099.0602350000001</v>
      </c>
      <c r="M330" s="3">
        <f>1175.5+(194.4-198.6)+(0+(0-0))+0-29.6-0</f>
        <v>1141.7</v>
      </c>
      <c r="N330" s="3">
        <f>1229.9+(212.8-173.9)+(0+(0-0))+0-30.1-0</f>
        <v>1238.7000000000003</v>
      </c>
      <c r="O330" s="3">
        <f>1226.3+(304.4-149.7)+(-0.625413+(-0.155244--0.076347))+0-30.1--0.0153509999999969</f>
        <v>1350.211041</v>
      </c>
      <c r="P330" s="3">
        <f>1224.8+(377.2-150.1)+(-1.873944+(-0.577116--0.229653))+0-30.4--0.0465120000000018</f>
        <v>1419.3251049999997</v>
      </c>
      <c r="Q330" s="3">
        <f>1230.7+(401.1-148.1)+(-1.882971+(-0.613683--0.226593))+0-29.7--0.0454410000000017</f>
        <v>1451.77538</v>
      </c>
      <c r="R330" s="3">
        <f>1211.5+(405.2-150.1)+(-3.70719+(-1.239912--0.459306))+0-28.7--0.0878220000000033</f>
        <v>1433.5000259999999</v>
      </c>
      <c r="S330" s="3">
        <f>1205+(371.5-152.8)+(0.61455+(0.189465-0.077928))+0-27.4-0.0139739999999972</f>
        <v>1397.012113</v>
      </c>
      <c r="T330" s="3">
        <f>1291.4+(254.3-150.4)+(-3.951684+(-0.778158--0.460224))+0-28.5--0.0872100000000033</f>
        <v>1362.6175920000001</v>
      </c>
      <c r="U330" s="3">
        <f>1280.8+(266.3-156.2)+(-0.653208+(-0.135813--0.079662))+0-29.6--0.015095999999997</f>
        <v>1360.6057370000003</v>
      </c>
      <c r="V330" s="3">
        <f>1244+(315.8-157.3)+(-2.53776+(-0.644232--0.320892))+0-30.7--0.0626279999999987</f>
        <v>1369.0015279999998</v>
      </c>
      <c r="W330" s="3">
        <f>1221.9+(387.3-165.2)+(0.623169+(0.197523-0.084252))+0-31-0.0158099999999969</f>
        <v>1413.7206299999998</v>
      </c>
      <c r="X330" s="3">
        <f>1357.7+(509-165.6)+(0+(0-0))+0-28.8-0</f>
        <v>1672.3</v>
      </c>
      <c r="Y330" s="3">
        <f>1368.4+(522.8-163.6)+(-4.187304+(-1.599768--0.500616))+0-28.6--0.0875160000000033</f>
        <v>1693.80106</v>
      </c>
      <c r="Z330" s="3">
        <f>1371.6+(463.8-168.6)+(-2.098548+(-0.709614--0.257958))+0-28.9--0.0442170000000017</f>
        <v>1635.3940129999999</v>
      </c>
      <c r="AA330" s="3">
        <f>1368.3+(404.5-163.9)+(-2.791332+(-0.82518--0.334356))+0-27.6--0.0563039999999988</f>
        <v>1578.0741479999999</v>
      </c>
      <c r="AB330" s="3">
        <f>1356.3+(350-166.1)+(-1.383426+(-0.357--0.169422))+0-25.7--0.0262140000000041</f>
        <v>1512.9552100000001</v>
      </c>
      <c r="AC330" s="3">
        <f>1300.3+(274.2-172.3)+(-3.978918+(-0.839052--0.527238))+0-27.4--0.0838440000000032</f>
        <v>1370.5931119999998</v>
      </c>
      <c r="AD330">
        <f t="shared" si="5"/>
        <v>31994.421555000001</v>
      </c>
      <c r="AE330" s="3">
        <f>1363+(554.7-119.7)+(0+(0-0))+0-29.6-0</f>
        <v>1768.4</v>
      </c>
    </row>
    <row r="331" spans="1:31" s="2" customFormat="1" x14ac:dyDescent="0.25">
      <c r="A331">
        <v>89</v>
      </c>
      <c r="B331">
        <v>11</v>
      </c>
      <c r="C331">
        <v>25</v>
      </c>
      <c r="D331">
        <v>3</v>
      </c>
      <c r="E331">
        <v>1</v>
      </c>
      <c r="F331" s="3">
        <f>1095.6+(290.6-180.2)+(-3.352536+(-0.889236--0.551412))+0-28.6--0.0875160000000033</f>
        <v>1173.7971560000001</v>
      </c>
      <c r="G331" s="3">
        <f>1043.2+(258.3-195.3)+(0.532032+(0.131733-0.099603))+0-28.1-0.0143309999999971</f>
        <v>1078.6498309999999</v>
      </c>
      <c r="H331" s="3">
        <f>988.7+(263.4-176)+(-0.504237+(-0.134334--0.08976))+0-28.8--0.0146879999999971</f>
        <v>1046.765877</v>
      </c>
      <c r="I331" s="3">
        <f>978.3+(259-183.3)+(0+(0-0))+0-28.7-0</f>
        <v>1025.3</v>
      </c>
      <c r="J331" s="3">
        <f>1008.7+(242.9-185.9)+(-0.514437+(-0.123879--0.094809))+0-28.4--0.0144839999999971</f>
        <v>1036.7709769999999</v>
      </c>
      <c r="K331" s="3">
        <f>1086.8+(218.6-206.7)+(0+(0-0))+0-28.5-0</f>
        <v>1070.2</v>
      </c>
      <c r="L331" s="3">
        <f>1187.3+(213.2-229.6)+(-0.605523+(-0.108732--0.117096))+0-28--0.0142799999999972</f>
        <v>1142.317121</v>
      </c>
      <c r="M331" s="3">
        <f>1219.7+(151.9-206.9)+(-0.622047+(-0.077469--0.105519))+0-28--0.0142799999999972</f>
        <v>1136.1202830000002</v>
      </c>
      <c r="N331" s="3">
        <f>1300.8+(167.4-190.2)+(0.663408+(0.085374-0.097002))+0-27.6-0.0140759999999972</f>
        <v>1251.0377040000001</v>
      </c>
      <c r="O331" s="3">
        <f>1314.7+(227.8-167.1)+(-2.681988+(-0.464712--0.340884))+0-28.2--0.0575279999999988</f>
        <v>1344.451712</v>
      </c>
      <c r="P331" s="3">
        <f>1222+(317.3-170.3)+(-1.24644+(-0.323646--0.173706))+0-28.2--0.0287640000000045</f>
        <v>1339.432384</v>
      </c>
      <c r="Q331" s="3">
        <f>1173.4+(390.4-185.5)+(1.196868+(0.398208-0.18921))+0-28.7-0.0292740000000046</f>
        <v>1350.9765920000002</v>
      </c>
      <c r="R331" s="3">
        <f>1174.2+(438.8-159.1)+(-2.99421+(-1.11894--0.405705))+0-28.7--0.0731849999999958</f>
        <v>1421.56574</v>
      </c>
      <c r="S331" s="3">
        <f>1174.6+(394.1-156.4)+(-1.198092+(-0.401982--0.159528))+0-27.5--0.0280500000000044</f>
        <v>1383.3875039999998</v>
      </c>
      <c r="T331" s="3">
        <f>1175+(374.1-161.7)+(-0.59925+(-0.190791--0.082467))+0-27.3--0.0139229999999972</f>
        <v>1359.4063490000001</v>
      </c>
      <c r="U331" s="3">
        <f>1298+(247.8-155.4)+(0.66198+(0.126378-0.079254))+0-27-0.0137699999999973</f>
        <v>1364.0953340000001</v>
      </c>
      <c r="V331" s="3">
        <f>1289.7+(274.1-155.4)+(0+(0-0))+0-29-0</f>
        <v>1379.4</v>
      </c>
      <c r="W331" s="3">
        <f>1229.5+(360.2-161.5)+(-1.881135+(-0.551106--0.247095))+0-31--0.0474300000000018</f>
        <v>1395.0622840000001</v>
      </c>
      <c r="X331" s="3">
        <f>1335.3+(509.9-164.2)+(-2.043009+(-0.780147--0.251226))+0-31.1--0.0475830000000018</f>
        <v>1647.3756530000001</v>
      </c>
      <c r="Y331" s="3">
        <f>1333.8+(542.1-165.8)+(-2.040714+(-0.829413--0.253674))+0-31.3--0.0478890000000018</f>
        <v>1676.2314359999998</v>
      </c>
      <c r="Z331" s="3">
        <f>1333.8+(489.2-164.4)+(-2.720952+(-0.997968--0.335376))+0-29.4--0.0599759999999987</f>
        <v>1625.8764319999998</v>
      </c>
      <c r="AA331" s="3">
        <f>1335+(438.4-163.6)+(-2.7234+(-0.894336--0.333744))+0-27.6--0.0563039999999988</f>
        <v>1578.9723120000001</v>
      </c>
      <c r="AB331" s="3">
        <f>1334+(360-168.2)+(-0.68034+(-0.1836--0.085782))+0-26.4--0.0134639999999973</f>
        <v>1498.6353059999997</v>
      </c>
      <c r="AC331" s="3">
        <f>1191.2+(369.6-164.8)+(-5.467608+(-1.696464--0.756432))+0-27.6--0.126684000000005</f>
        <v>1362.1190440000003</v>
      </c>
      <c r="AD331">
        <f t="shared" si="5"/>
        <v>31687.947031000003</v>
      </c>
      <c r="AE331" s="3">
        <f>1335+(560.1-123.1)+(0+(0-0))+0-31.2-0</f>
        <v>1740.8</v>
      </c>
    </row>
    <row r="332" spans="1:31" s="2" customFormat="1" x14ac:dyDescent="0.25">
      <c r="A332">
        <v>89</v>
      </c>
      <c r="B332">
        <v>11</v>
      </c>
      <c r="C332">
        <v>26</v>
      </c>
      <c r="D332">
        <v>4</v>
      </c>
      <c r="E332">
        <v>1</v>
      </c>
      <c r="F332" s="3">
        <f>976.8+(413.3-170.9)+(-1.494504+(-0.632349--0.261477))+0-28.8--0.0440640000000017</f>
        <v>1188.5786880000001</v>
      </c>
      <c r="G332" s="3">
        <f>977.3+(326-180.9)+(-1.495269+(-0.49878--0.276777))+0-28.7--0.0439110000000017</f>
        <v>1092.0266389999997</v>
      </c>
      <c r="H332" s="3">
        <f>977.3+(285-194.9)+(0.498423+(0.14535-0.099399))+0-29.2-0.014891999999997</f>
        <v>1038.729482</v>
      </c>
      <c r="I332" s="3">
        <f>977.3+(267.3-198)+(-1.495269+(-0.408969--0.30294))+0-29.3--0.0448290000000017</f>
        <v>1015.743531</v>
      </c>
      <c r="J332" s="3">
        <f>977.2+(268.8-197.9)+(0.498372+(0.137088-0.100929))+0-28.9-0.0147389999999971</f>
        <v>1019.7197920000002</v>
      </c>
      <c r="K332" s="3">
        <f>979+(276-195.3)+(-0.49929+(-0.14076--0.099603))+0-29.1--0.014840999999997</f>
        <v>1030.074394</v>
      </c>
      <c r="L332" s="3">
        <f>1036.2+(264.7-185.3)+(-1.056924+(-0.269994--0.189006))+0-28.5--0.0290700000000045</f>
        <v>1085.991158</v>
      </c>
      <c r="M332" s="3">
        <f>1187+(177.4-187.6)+(-0.60537+(-0.090474--0.095676))+0-28.4--0.0144839999999971</f>
        <v>1147.814316</v>
      </c>
      <c r="N332" s="3">
        <f>1272+(186.8-180.7)+(2.59488+(0.381072-0.368628))+0-28.5-0.0581399999999988</f>
        <v>1252.1491839999999</v>
      </c>
      <c r="O332" s="3">
        <f>1431.7+(157.9-191.1)+(-1.460334+(-0.161058--0.194922))+0-28.5--0.0290700000000045</f>
        <v>1368.6025999999999</v>
      </c>
      <c r="P332" s="3">
        <f>1462.6+(165.8-190.8)+(-0.745926+(-0.084558--0.097308))+0-28.9--0.0147389999999971</f>
        <v>1407.9815629999998</v>
      </c>
      <c r="Q332" s="3">
        <f>1560.5+(123.1-203.7)+(-3.18342+(-0.251124--0.415548))+0-28.1--0.0573239999999988</f>
        <v>1448.8383280000003</v>
      </c>
      <c r="R332" s="3">
        <f>1555.3+(119.1-211.3)+(-4.759218+(-0.364446--0.646578))+0-28--0.0856800000000032</f>
        <v>1430.7085939999997</v>
      </c>
      <c r="S332" s="3">
        <f>1559+(105.4-219.9)+(-1.59018+(-0.107508--0.224298))+0-22--0.0224400000000035</f>
        <v>1421.0490499999999</v>
      </c>
      <c r="T332" s="3">
        <f>1526.3+(100.5-226.6)+(0+(0-0))+0-18.3-0</f>
        <v>1381.9</v>
      </c>
      <c r="U332" s="3">
        <f>1496.3+(128.3-221.8)+(-1.526226+(-0.130866--0.226236))+0-27.8--0.0283560000000044</f>
        <v>1373.5975000000001</v>
      </c>
      <c r="V332" s="3">
        <f>1502+(137.5-227.7)+(0+(0-0))+0-27.4-0</f>
        <v>1384.3999999999999</v>
      </c>
      <c r="W332" s="3">
        <f>1537.1+(238.7-302.2)+(0+(0-0))+0-30.1-0</f>
        <v>1443.5</v>
      </c>
      <c r="X332" s="3">
        <f>1599.1+(313.1-222.4)+(-1.631082+(-0.319362--0.226848))+0-29.9--0.0304980000000048</f>
        <v>1658.2069019999999</v>
      </c>
      <c r="Y332" s="3">
        <f>1560.9+(354.4-214.6)+(-4.776354+(-1.084464--0.656676))+0-30.9--0.0945540000000036</f>
        <v>1664.6904119999999</v>
      </c>
      <c r="Z332" s="3">
        <f>1445+(419.1-199.7)+(-3.68475+(-1.068705--0.509235))+0-30.3--0.0772649999999956</f>
        <v>1629.933045</v>
      </c>
      <c r="AA332" s="3">
        <f>1165.7+(583.2-159.6)+(-2.378028+(-1.189728--0.325584))+0-27.4--0.0558959999999988</f>
        <v>1558.7137240000002</v>
      </c>
      <c r="AB332" s="3">
        <f>1086.3+(585.2-157.9)+(-1.108026+(-0.596904--0.161058))+0-26.5--0.0270300000000042</f>
        <v>1485.5831579999999</v>
      </c>
      <c r="AC332" s="3">
        <f>1033.1+(493.6-157.8)+(-2.634405+(-1.25868--0.40239))+0-26--0.0662999999999962</f>
        <v>1339.4756049999999</v>
      </c>
      <c r="AD332">
        <f t="shared" si="5"/>
        <v>31868.007665000005</v>
      </c>
      <c r="AE332" s="3">
        <f>1598.7+(356.9-181.2)+(0+(0-0))+0-29.6-0</f>
        <v>1744.8000000000002</v>
      </c>
    </row>
    <row r="333" spans="1:31" s="2" customFormat="1" x14ac:dyDescent="0.25">
      <c r="A333">
        <v>89</v>
      </c>
      <c r="B333">
        <v>11</v>
      </c>
      <c r="C333">
        <v>27</v>
      </c>
      <c r="D333">
        <v>5</v>
      </c>
      <c r="E333">
        <v>3</v>
      </c>
      <c r="F333" s="3">
        <f>996.9+(404.7-169.4)+(-2.542095+(-1.031985--0.43197))+0-27.8--0.070889999999996</f>
        <v>1201.3287800000001</v>
      </c>
      <c r="G333" s="3">
        <f>994.3+(308.5-183.8)+(-1.521279+(-0.472005--0.281214))+0-27.9--0.0426870000000016</f>
        <v>1089.430617</v>
      </c>
      <c r="H333" s="3">
        <f>993+(260-175)+(-3.03858+(-0.7956--0.5355))+0-28.5--0.0872100000000033</f>
        <v>1046.2885299999998</v>
      </c>
      <c r="I333" s="3">
        <f>991.1+(236.9-175.9)+(0.505461+(0.120819-0.089709))+0-28.6-0.0145859999999971</f>
        <v>1024.0219850000001</v>
      </c>
      <c r="J333" s="3">
        <f>990.7+(228.3-176.1)+(2.021028+(0.465732-0.359244))+0-27.8-0.0567119999999988</f>
        <v>1017.1708040000002</v>
      </c>
      <c r="K333" s="3">
        <f>1052.1+(211-209.6)+(3.219426+(0.64566-0.641376))+0-28.3-0.0865980000000033</f>
        <v>1028.3371119999999</v>
      </c>
      <c r="L333" s="3">
        <f>1231.7+(205.1-236.3)+(-3.140835+(-0.523005--0.602565))+0-29.4--0.0749699999999957</f>
        <v>1168.1136949999998</v>
      </c>
      <c r="M333" s="3">
        <f>1333.1+(128.6-209.8)+(1.359762+(0.131172-0.213996))+0-28.7-0.0292740000000046</f>
        <v>1224.4476639999998</v>
      </c>
      <c r="N333" s="3">
        <f>1432+(89.9-222.1)+(2.19096+(0.137547-0.339813))+0-26.6-0.0406980000000015</f>
        <v>1275.1479959999999</v>
      </c>
      <c r="O333" s="3">
        <f>1565.4+(106.4-169.2)+(2.395062+(0.162792-0.258876))+0-27.8-0.0425340000000016</f>
        <v>1477.0564440000003</v>
      </c>
      <c r="P333" s="3">
        <f>1488.9+(152.9-165.5)+(-3.037356+(-0.311916--0.33762))+0-28.8--0.0587519999999987</f>
        <v>1444.5471000000002</v>
      </c>
      <c r="Q333" s="3">
        <f>1548.6+(133.3-176.5)+(-3.159144+(-0.271932--0.36006))+0-28.9--0.0589559999999987</f>
        <v>1473.4879399999998</v>
      </c>
      <c r="R333" s="3">
        <f>1555.2+(111.1-183.3)+(-3.96576+(-0.283305--0.467415))+0-27.6--0.070379999999996</f>
        <v>1451.6887300000001</v>
      </c>
      <c r="S333" s="3">
        <f>1489+(132-191.8)+(-2.27817+(-0.20196--0.293454))+0-27.6--0.0422280000000016</f>
        <v>1399.4555520000001</v>
      </c>
      <c r="T333" s="3">
        <f>1492+(128.3-205.9)+(-0.76092+(-0.065433--0.105009))+0-27.5--0.0140249999999972</f>
        <v>1386.192681</v>
      </c>
      <c r="U333" s="3">
        <f>1493+(145.6-203.8)+(-3.80715+(-0.37128--0.51969))+0-29--0.0739499999999958</f>
        <v>1402.2152099999998</v>
      </c>
      <c r="V333" s="3">
        <f>1493.6+(147.1-210.6)+(0+(0-0))+0-28.6-0</f>
        <v>1401.5</v>
      </c>
      <c r="W333" s="3">
        <f>1563.3+(258.8-273.9)+(-3.189132+(-0.527952--0.558756))+0-29--0.0591599999999987</f>
        <v>1516.1008320000001</v>
      </c>
      <c r="X333" s="3">
        <f>1649.4+(303.5-239.3)+(-7.570746+(-1.393065--1.098387))+0-29.6--0.135864000000005</f>
        <v>1676.2704400000002</v>
      </c>
      <c r="Y333" s="3">
        <f>1488.4+(426.5-189)+(-0.759084+(-0.217515--0.09639))+0-30.8--0.0157079999999969</f>
        <v>1694.2354990000001</v>
      </c>
      <c r="Z333" s="3">
        <f>1321.2+(509.7-165)+(-6.064308+(-2.339523--0.75735))+0-31.2--0.143208000000005</f>
        <v>1627.196727</v>
      </c>
      <c r="AA333" s="3">
        <f>1302.9+(468.5-163.9)+(-0.664479+(-0.238935--0.083589))+0-28.1--0.0143309999999971</f>
        <v>1578.5945060000001</v>
      </c>
      <c r="AB333" s="3">
        <f>1206.3+(483.5-163.3)+(-3.076065+(-1.232925--0.416415))+0-26.7--0.0680849999999961</f>
        <v>1495.9755099999998</v>
      </c>
      <c r="AC333" s="3">
        <f>1098.2+(458-123.4)+(-2.80041+(-1.1679--0.31467))+0-26.7--0.0680849999999961</f>
        <v>1402.514445</v>
      </c>
      <c r="AD333">
        <f t="shared" si="5"/>
        <v>32501.318798999997</v>
      </c>
      <c r="AE333" s="3">
        <f>1485+(431.4-155.1)+(0+(0-0))+0-32-0</f>
        <v>1729.3</v>
      </c>
    </row>
    <row r="334" spans="1:31" s="2" customFormat="1" x14ac:dyDescent="0.25">
      <c r="A334">
        <v>89</v>
      </c>
      <c r="B334">
        <v>11</v>
      </c>
      <c r="C334">
        <v>28</v>
      </c>
      <c r="D334">
        <v>6</v>
      </c>
      <c r="E334">
        <v>6</v>
      </c>
      <c r="F334" s="3">
        <f>971.8+(407.6-163.6)+(-0.495618+(-0.207876--0.083436))+0-26.7--0.0136169999999973</f>
        <v>1188.493559</v>
      </c>
      <c r="G334" s="3">
        <f>968.1+(320.6-179.6)+(0+(0-0))+0-28.2-0</f>
        <v>1080.9000000000001</v>
      </c>
      <c r="H334" s="3">
        <f>967.3+(278.7-181)+(-1.973292+(-0.568548--0.36924))+0-28.2--0.0575279999999988</f>
        <v>1034.6849279999999</v>
      </c>
      <c r="I334" s="3">
        <f>968.2+(260.9-183.9)+(2.46891+(0.665295-0.468945))+0-29-0.0739499999999958</f>
        <v>1018.7913100000001</v>
      </c>
      <c r="J334" s="3">
        <f>967.3+(250.5-184.4)+(-0.986646+(-0.25551--0.188088))+0-28.4--0.0289680000000045</f>
        <v>1003.9748999999999</v>
      </c>
      <c r="K334" s="3">
        <f>1067.8+(218-227.2)+(0.544578+(0.11118-0.115872))+0-28.7-0.0146369999999971</f>
        <v>1030.4252489999999</v>
      </c>
      <c r="L334" s="3">
        <f>1148.6+(205.4-229.3)+(-1.757358+(-0.314262--0.350829))+0-28.8--0.0440640000000017</f>
        <v>1094.2232729999998</v>
      </c>
      <c r="M334" s="3">
        <f>1148.5+(189.2-174.1)+(0+(0-0))+0-28.6-0</f>
        <v>1135</v>
      </c>
      <c r="N334" s="3">
        <f>1188+(253.6-165.5)+(0.60588+(0.129336-0.084405))+0-29.6-0.015095999999997</f>
        <v>1247.1357149999999</v>
      </c>
      <c r="O334" s="3">
        <f>1318.5+(227.3-154)+(2.017305+(0.347769-0.23562))+0-28-0.0428400000000016</f>
        <v>1365.8866139999998</v>
      </c>
      <c r="P334" s="3">
        <f>1441.4+(182.7-150.6)+(-3.67557+(-0.465885--0.38403))+0-29.3--0.0747149999999958</f>
        <v>1440.51729</v>
      </c>
      <c r="Q334" s="3">
        <f>1446.2+(187.8-136)+(-3.68781+(-0.47889--0.3468))+0-29.3--0.0747149999999958</f>
        <v>1464.9548150000001</v>
      </c>
      <c r="R334" s="3">
        <f>1441.4+(174-145.1)+(-5.145798+(-0.62118--0.518007))+0-28.4--0.101388</f>
        <v>1436.7524170000002</v>
      </c>
      <c r="S334" s="3">
        <f>1385.2+(204.8-155.7)+(-0.706452+(-0.104448--0.079407))+0-26.5--0.0135149999999973</f>
        <v>1407.0820220000003</v>
      </c>
      <c r="T334" s="3">
        <f>1367+(158.3-164.6)+(-2.09151+(-0.242199--0.251838))+0-27.6--0.0422280000000016</f>
        <v>1331.0603570000001</v>
      </c>
      <c r="U334" s="3">
        <f>1366.1+(137.8-166)+(-3.483555+(-0.35139--0.4233))+0-27.9--0.0711449999999959</f>
        <v>1306.6594999999998</v>
      </c>
      <c r="V334" s="3">
        <f>1369.6+(144.2-176.8)+(0+(0-0))+0-29.3-0</f>
        <v>1307.7</v>
      </c>
      <c r="W334" s="3">
        <f>1368.7+(257-247.2)+(-1.396074+(-0.26214--0.252144))+0-29.4--0.0299880000000047</f>
        <v>1347.7239179999999</v>
      </c>
      <c r="X334" s="3">
        <f>1445.5+(349.6-195.5)+(-2.94882+(-0.713184--0.39882))+0-30.9--0.0630359999999986</f>
        <v>1565.4998519999999</v>
      </c>
      <c r="Y334" s="3">
        <f>1448.4+(377.5-191.7)+(-2.216052+(-0.577575--0.293301))+0-30--0.0459000000000017</f>
        <v>1601.745574</v>
      </c>
      <c r="Z334" s="3">
        <f>1303.2+(452.3-167.3)+(-0.664632+(-0.230673--0.085323))+0-30.7--0.0156569999999969</f>
        <v>1556.7056749999999</v>
      </c>
      <c r="AA334" s="3">
        <f>1283.8+(428.6-167.5)+(-1.964214+(-0.655758--0.256275))+0-28.6--0.0437580000000017</f>
        <v>1513.9800610000002</v>
      </c>
      <c r="AB334" s="3">
        <f>1280.7+(374.9-162.3)+(-3.918942+(-1.147194--0.496638))+0-26.3--0.080478000000003</f>
        <v>1462.51098</v>
      </c>
      <c r="AC334" s="3">
        <f>1241.7+(307.7-171.7)+(-3.166335+(-0.784635--0.437835))+0-27.8--0.070889999999996</f>
        <v>1346.4577550000001</v>
      </c>
      <c r="AD334">
        <f t="shared" si="5"/>
        <v>31288.865763999998</v>
      </c>
      <c r="AE334" s="3">
        <f>1448.8+(388.2-138.7)+(0+(0-0))+0-29.6-0</f>
        <v>1668.7</v>
      </c>
    </row>
    <row r="335" spans="1:31" s="2" customFormat="1" x14ac:dyDescent="0.25">
      <c r="A335">
        <v>89</v>
      </c>
      <c r="B335">
        <v>11</v>
      </c>
      <c r="C335">
        <v>29</v>
      </c>
      <c r="D335">
        <v>7</v>
      </c>
      <c r="E335">
        <v>1</v>
      </c>
      <c r="F335" s="3">
        <f>1237.5+(207.2-164)+(-3.155625+(-0.52836--0.4182))+0-28.5--0.0726749999999959</f>
        <v>1249.0068899999999</v>
      </c>
      <c r="G335" s="3">
        <f>1170.3+(194.3-205.5)+(-2.387412+(-0.396372--0.41922))+0-29.1--0.0593639999999987</f>
        <v>1127.6948</v>
      </c>
      <c r="H335" s="3">
        <f>1132.1+(193.1-222)+(-1.732113+(-0.295443--0.33966))+0-28.5--0.0436050000000016</f>
        <v>1073.055709</v>
      </c>
      <c r="I335" s="3">
        <f>1060.2+(197.8-184)+(-2.162808+(-0.403512--0.37536))+0-28.7--0.0585479999999987</f>
        <v>1043.167588</v>
      </c>
      <c r="J335" s="3">
        <f>1061.4+(204-203.7)+(0.541314+(0.10404-0.103887))+0-28.8-0.0146879999999971</f>
        <v>1033.4267790000001</v>
      </c>
      <c r="K335" s="3">
        <f>1137+(198.3-258.4)+(0.57987+(0.101133-0.131784))+0-29.2-0.014891999999997</f>
        <v>1048.2343270000001</v>
      </c>
      <c r="L335" s="3">
        <f>1140.9+(178-251.5)+(-2.909295+(-0.4539--0.641325))+0-29--0.0739499999999958</f>
        <v>1035.75208</v>
      </c>
      <c r="M335" s="3">
        <f>1176.6+(90.8-198.3)+(-1.800198+(-0.138924--0.303399))+0-28.7--0.0439110000000017</f>
        <v>1038.8081879999997</v>
      </c>
      <c r="N335" s="3">
        <f>1172.7+(73.7-173.1)+(-1.794231+(-0.112761--0.264843))+0-29.3--0.0448290000000017</f>
        <v>1042.4026799999999</v>
      </c>
      <c r="O335" s="3">
        <f>1176.7+(135.1-143.4)+(0.600117+(0.068901-0.073134))+0-27.4-0.0139739999999972</f>
        <v>1141.5819100000001</v>
      </c>
      <c r="P335" s="3">
        <f>1082.6+(247.7-122.1)+(-0.552126+(-0.126327--0.062271))+0-29.5--0.015044999999997</f>
        <v>1178.0988629999999</v>
      </c>
      <c r="Q335" s="3">
        <f>1031+(360.7-113.2)+(-2.10324+(-0.735828--0.230928))+0-28.7--0.0585479999999987</f>
        <v>1247.2504079999999</v>
      </c>
      <c r="R335" s="3">
        <f>1031+(336.6-149.3)+(-2.10324+(-0.686664--0.304572))+0-27.3--0.0556919999999988</f>
        <v>1188.5703599999999</v>
      </c>
      <c r="S335" s="3">
        <f>1026.5+(300.4-142)+(-2.617575+(-0.76602--0.3621))+0-27.1--0.0691049999999961</f>
        <v>1154.8476100000003</v>
      </c>
      <c r="T335" s="3">
        <f>1030.6+(277-136.9)+(-1.576818+(-0.42381--0.209457))+0-27.2--0.0416160000000016</f>
        <v>1141.7504449999997</v>
      </c>
      <c r="U335" s="3">
        <f>1054.8+(245.8-149.6)+(-2.151792+(-0.501432--0.305184))+0-28.4--0.0579359999999988</f>
        <v>1120.3098959999998</v>
      </c>
      <c r="V335" s="3">
        <f>1153.4+(173-169.9)+(-1.176468+(-0.17646--0.173298))+0-28.9--0.0294780000000046</f>
        <v>1126.4498479999997</v>
      </c>
      <c r="W335" s="3">
        <f>1155.3+(240.1-186.3)+(-1.767609+(-0.367353--0.285039))+0-30--0.0459000000000017</f>
        <v>1177.295977</v>
      </c>
      <c r="X335" s="3">
        <f>1254.7+(389.8-174.9)+(-2.559588+(-0.795192--0.356796))+0-29.5--0.0601799999999987</f>
        <v>1437.162196</v>
      </c>
      <c r="Y335" s="3">
        <f>1296.8+(444.6-174.3)+(-3.30684+(-1.13373--0.444465))+0-30.5--0.0777749999999956</f>
        <v>1532.6816699999999</v>
      </c>
      <c r="Z335" s="3">
        <f>1301.4+(404.5-176.4)+(-1.327428+(-0.41259--0.179928))+0-28.9--0.0294780000000046</f>
        <v>1499.0693879999999</v>
      </c>
      <c r="AA335" s="3">
        <f>1189.7+(452.5-163.3)+(0.606747+(0.230775-0.083283))+0-27.8-0.0141779999999972</f>
        <v>1451.8400610000003</v>
      </c>
      <c r="AB335" s="3">
        <f>1272.7+(327.8-163)+(-2.596308+(-0.668712--0.33252))+0-26.9--0.0548759999999988</f>
        <v>1407.7223759999999</v>
      </c>
      <c r="AC335" s="3">
        <f>980.5+(491.6-164.2)+(-2.500275+(-1.25358--0.41871))+0-27.7--0.070634999999996</f>
        <v>1276.9354900000001</v>
      </c>
      <c r="AD335">
        <f t="shared" si="5"/>
        <v>28773.115538999999</v>
      </c>
      <c r="AE335" s="3">
        <f>1295.8+(439.8-136.5)+(0+(0-0))+0-30.4-0</f>
        <v>1568.6999999999998</v>
      </c>
    </row>
    <row r="336" spans="1:31" s="2" customFormat="1" x14ac:dyDescent="0.25">
      <c r="A336">
        <v>89</v>
      </c>
      <c r="B336">
        <v>11</v>
      </c>
      <c r="C336">
        <v>30</v>
      </c>
      <c r="D336">
        <v>1</v>
      </c>
      <c r="E336">
        <v>1</v>
      </c>
      <c r="F336" s="3">
        <f>872.4+(491.8-231)+(-1.334772+(-0.752454--0.35343))+0-23--0.0351900000000013</f>
        <v>1108.5013940000001</v>
      </c>
      <c r="G336" s="3">
        <f>866.3+(327.2-175.5)+(-2.209065+(-0.83436--0.447525))+0-27.8--0.070889999999996</f>
        <v>987.67498999999998</v>
      </c>
      <c r="H336" s="3">
        <f>772+(350.5-159.5)+(0.39372+(0.178755-0.081345))+0-25.2-0.0128519999999974</f>
        <v>938.278278</v>
      </c>
      <c r="I336" s="3">
        <f>725.5+(381.6-157.8)+(-0.370005+(-0.194616--0.080478))+0-26.8--0.0136679999999973</f>
        <v>922.02952500000004</v>
      </c>
      <c r="J336" s="3">
        <f>727.6+(373.4-144)+(1.484304+(0.761736-0.29376))+0-25.6-0.0522239999999989</f>
        <v>933.30005599999993</v>
      </c>
      <c r="K336" s="3">
        <f>728+(387.1-145)+(0.74256+(0.394842-0.1479))+0-26-0.0265200000000041</f>
        <v>945.06298200000003</v>
      </c>
      <c r="L336" s="3">
        <f>727.9+(460.8-149.5)+(0+(0-0))+0-25.6-0</f>
        <v>1013.6</v>
      </c>
      <c r="M336" s="3">
        <f>850.1+(423.5-171.1)+(0+(0-0))+0-28.1-0</f>
        <v>1074.4000000000001</v>
      </c>
      <c r="N336" s="3">
        <f>979.9+(472.8-201.6)+(1.998996+(0.964512-0.411264))+0-30.2-0.0616079999999987</f>
        <v>1223.3906359999999</v>
      </c>
      <c r="O336" s="3">
        <f>989.8+(584.3-211.6)+(-0.504798+(-0.297993--0.107916))+0-31.2--0.0159119999999968</f>
        <v>1330.6210370000001</v>
      </c>
      <c r="P336" s="3">
        <f>992.6+(654-229.9)+(-1.518678+(-1.00062--0.351747))+0-30.8--0.0471240000000018</f>
        <v>1383.779573</v>
      </c>
      <c r="Q336" s="3">
        <f>989.4+(714.7-253.7)+(-0.504594+(-0.364497--0.129387))+0-31.1--0.0158609999999968</f>
        <v>1418.5761570000002</v>
      </c>
      <c r="R336" s="3">
        <f>983.7+(703.6-255.6)+(-0.501687+(-0.358836--0.130356))+0-29.7--0.015146999999997</f>
        <v>1401.2849800000001</v>
      </c>
      <c r="S336" s="3">
        <f>981.1+(682.1-258.3)+(-2.501805+(-1.739355--0.658665))+0-28.8--0.0734399999999958</f>
        <v>1372.5909449999999</v>
      </c>
      <c r="T336" s="3">
        <f>982.8+(658.8-278.5)+(-0.501228+(-0.335988--0.142035))+0-30--0.015299999999997</f>
        <v>1332.4201189999999</v>
      </c>
      <c r="U336" s="3">
        <f>963+(690.3-278.1)+(-1.47339+(-1.056159--0.425493))+0-31.2--0.0477360000000018</f>
        <v>1341.9436799999999</v>
      </c>
      <c r="V336" s="3">
        <f>739.1+(911-266.7)+(-1.507764+(-1.85844--0.544068))+0-31.5--0.0642599999999986</f>
        <v>1349.1421240000002</v>
      </c>
      <c r="W336" s="3">
        <f>890.5+(702.4-178.1)+(-1.81662+(-1.432896--0.363324))+0-25.2--0.0514079999999989</f>
        <v>1386.765216</v>
      </c>
      <c r="X336" s="3">
        <f>988.3+(809.4-164.1)+(-1.512099+(-1.238382--0.251073))+0-28.9--0.0442170000000017</f>
        <v>1602.2448089999998</v>
      </c>
      <c r="Y336" s="3">
        <f>1000.6+(841.9-166.3)+(-2.55153+(-2.146845--0.424065))+0-29.6--0.0754799999999957</f>
        <v>1642.4011699999999</v>
      </c>
      <c r="Z336" s="3">
        <f>1004.8+(794.4-168.3)+(-1.537344+(-1.215432--0.257499))+0-27.6--0.0422280000000016</f>
        <v>1600.846951</v>
      </c>
      <c r="AA336" s="3">
        <f>1005.7+(787.8-220.7)+(-1.538721+(-1.205334--0.337671))+0-29.6--0.0452880000000017</f>
        <v>1540.8389040000002</v>
      </c>
      <c r="AB336" s="3">
        <f>986.2+(754.7-255.3)+(-2.51481+(-1.924485--0.651015))+0-28.9--0.0736949999999958</f>
        <v>1452.9854150000001</v>
      </c>
      <c r="AC336" s="3">
        <f>899.1+(720.6-271.9)+(-2.292705+(-1.83753--0.693345))+0-28.9--0.0736949999999958</f>
        <v>1315.5368050000002</v>
      </c>
      <c r="AD336">
        <f t="shared" si="5"/>
        <v>30618.215746000002</v>
      </c>
      <c r="AE336" s="3">
        <f>1008+(868.9-124.9)+(0+(0-0))+0-28-0</f>
        <v>1724</v>
      </c>
    </row>
    <row r="337" spans="1:31" s="2" customFormat="1" x14ac:dyDescent="0.25">
      <c r="A337">
        <v>89</v>
      </c>
      <c r="B337">
        <v>12</v>
      </c>
      <c r="C337">
        <v>1</v>
      </c>
      <c r="D337">
        <v>2</v>
      </c>
      <c r="E337">
        <v>1</v>
      </c>
      <c r="F337" s="3">
        <f>834.5+(581.8-236.3)+(-2.979165+(-2.077026--0.843591))+0-28.9--0.103173</f>
        <v>1146.9905729999998</v>
      </c>
      <c r="G337" s="3">
        <f>699.7+(534.1-172.9)+(0+(0-0))+0-28-0</f>
        <v>1032.9000000000001</v>
      </c>
      <c r="H337" s="3">
        <f>602.7+(573.3-159.5)+(-1.229508+(-1.169532--0.32538))+0-27.1--0.0552839999999988</f>
        <v>987.38162399999999</v>
      </c>
      <c r="I337" s="3">
        <f>581.7+(565.1-151.3)+(1.483335+(1.441005-0.385815))+0-27.1-0.0691049999999961</f>
        <v>970.86941999999999</v>
      </c>
      <c r="J337" s="3">
        <f>588.5+(548.4-143.4)+(0+(0-0))+0-26.4-0</f>
        <v>967.1</v>
      </c>
      <c r="K337" s="3">
        <f>590.5+(552-138.9)+(0.60231+(0.56304-0.141678))+0-26.9-0.0274380000000043</f>
        <v>977.69623400000012</v>
      </c>
      <c r="L337" s="3">
        <f>592+(595.5-135.9)+(0.60384+(0.60741-0.138618))+0-27-0.0275400000000043</f>
        <v>1025.645092</v>
      </c>
      <c r="M337" s="3">
        <f>654.6+(576.3-114.3)+(0.667692+(0.587826-0.116586))+0-27.8-0.0283560000000044</f>
        <v>1089.910576</v>
      </c>
      <c r="N337" s="3">
        <f>726.6+(636.4-113.1)+(1.111698+(0.973692-0.173043))+0-28.4-0.0434520000000016</f>
        <v>1223.3688950000001</v>
      </c>
      <c r="O337" s="3">
        <f>739+(782.6-147.6)+(-0.75378+(-0.798252--0.150552))+0-29.3--0.0298860000000047</f>
        <v>1343.3284060000001</v>
      </c>
      <c r="P337" s="3">
        <f>880.1+(789.6-215.9)+(-1.346553+(-1.208088--0.330327))+0-31.7--0.0485010000000018</f>
        <v>1419.9241870000001</v>
      </c>
      <c r="Q337" s="3">
        <f>1036+(652.8-224.7)+(-3.69852+(-2.330496--0.802179))+0-31.6--0.112812</f>
        <v>1427.3859750000001</v>
      </c>
      <c r="R337" s="3">
        <f>929.6+(740.2-232)+(-1.896384+(-1.510008--0.47328))+0-29.7--0.0605879999999987</f>
        <v>1405.2274760000003</v>
      </c>
      <c r="S337" s="3">
        <f>893.8+(766.6-241)+(-1.823352+(-1.563864--0.49164))+0-29.1--0.0593639999999987</f>
        <v>1387.4637880000002</v>
      </c>
      <c r="T337" s="3">
        <f>862.6+(752.2-241.4)+(-0.439926+(-0.383622--0.123114))+0-28.3--0.0144329999999971</f>
        <v>1344.4139990000001</v>
      </c>
      <c r="U337" s="3">
        <f>869+(754.5-245.8)+(1.32957+(1.154385-0.376074))+0-30-0.0459000000000017</f>
        <v>1349.7619809999999</v>
      </c>
      <c r="V337" s="3">
        <f>956.8+(703.2-245)+(0+(0-0))+0-31.1-0</f>
        <v>1383.9</v>
      </c>
      <c r="W337" s="3">
        <f>1055.7+(573.3-172)+(0+(0-0))+0-28.7-0</f>
        <v>1428.3</v>
      </c>
      <c r="X337" s="3">
        <f>1100.7+(694.8-163.5)+(-1.684071+(-1.063044--0.250155))+0-29.3--0.0448290000000017</f>
        <v>1600.247869</v>
      </c>
      <c r="Y337" s="3">
        <f>1102.1+(725.8-168.9)+(-2.248284+(-1.480632--0.344556))+0-29.3--0.0597719999999987</f>
        <v>1626.3754120000001</v>
      </c>
      <c r="Z337" s="3">
        <f>998.1+(788.8-187.7)+(-1.018062+(-0.804576--0.191454))+0-30.1--0.0307020000000048</f>
        <v>1567.4995179999999</v>
      </c>
      <c r="AA337" s="3">
        <f>854+(975.7-263.7)+(0.43554+(0.497607-0.134487))+0-30.2-0.0154019999999969</f>
        <v>1536.5832579999999</v>
      </c>
      <c r="AB337" s="3">
        <f>889+(885.4-288.6)+(-2.26695+(-2.25777--0.73593))+0-28.5--0.0726749999999959</f>
        <v>1453.5838849999998</v>
      </c>
      <c r="AC337" s="3">
        <f>876.2+(739.1-257)+(0.446862+(0.376941-0.13107))+0-28.5-0.0145349999999971</f>
        <v>1330.4781980000002</v>
      </c>
      <c r="AD337">
        <f t="shared" si="5"/>
        <v>31026.336366000003</v>
      </c>
      <c r="AE337" s="3">
        <f>1109+(741.1-123)+(0+(0-0))+0-29.6-0</f>
        <v>1697.5</v>
      </c>
    </row>
    <row r="338" spans="1:31" s="2" customFormat="1" x14ac:dyDescent="0.25">
      <c r="A338">
        <v>89</v>
      </c>
      <c r="B338">
        <v>12</v>
      </c>
      <c r="C338">
        <v>2</v>
      </c>
      <c r="D338">
        <v>3</v>
      </c>
      <c r="E338">
        <v>1</v>
      </c>
      <c r="F338" s="3">
        <f>718+(705.8-231.8)+(-1.46472+(-1.439832--0.472872))+0-27.9--0.0569159999999988</f>
        <v>1161.725236</v>
      </c>
      <c r="G338" s="3">
        <f>617.4+(620.9-152.9)+(-1.259496+(-1.266636--0.311916))+0-26.4--0.0538559999999988</f>
        <v>1056.8396399999999</v>
      </c>
      <c r="H338" s="3">
        <f>597.2+(567.2-147.3)+(0.304572+(0.289272-0.075123))+0-25.9-0.0132089999999974</f>
        <v>991.70551200000023</v>
      </c>
      <c r="I338" s="3">
        <f>606.4+(524-139.7)+(1.237056+(1.06896-0.284988))+0-25.5-0.0520199999999989</f>
        <v>967.16900800000008</v>
      </c>
      <c r="J338" s="3">
        <f>604.6+(518.9-131.8)+(-0.308346+(-0.264639--0.067218))+0-27--0.0137699999999973</f>
        <v>964.20800300000008</v>
      </c>
      <c r="K338" s="3">
        <f>615.3+(512-130)+(0+(0-0))+0-26.2-0</f>
        <v>971.09999999999991</v>
      </c>
      <c r="L338" s="3">
        <f>718.4+(460.9-128.6)+(-1.465536+(-0.940236--0.262344))+0-26.9--0.0548759999999988</f>
        <v>1021.7114479999998</v>
      </c>
      <c r="M338" s="3">
        <f>729+(493.3-203.7)+(-1.11537+(-0.754749--0.311661))+0-29.8--0.0455940000000017</f>
        <v>987.28713600000015</v>
      </c>
      <c r="N338" s="3">
        <f>834.2+(531.9-262.5)+(1.276326+(0.813807-0.401625))+0-31.1-0.0475830000000018</f>
        <v>1074.1409249999999</v>
      </c>
      <c r="O338" s="3">
        <f>910.4+(577.2-262.5)+(0.464304+(0.294372-0.133875))+0-31.4-0.0160139999999968</f>
        <v>1194.3087869999997</v>
      </c>
      <c r="P338" s="3">
        <f>1008.1+(562.4-230.9)+(-1.028262+(-0.573648--0.235518))+0-31--0.0316200000000049</f>
        <v>1307.265228</v>
      </c>
      <c r="Q338" s="3">
        <f>1038.2+(595.5-232.1)+(-1.058964+(-0.60741--0.236742))+0-31.7--0.0323340000000051</f>
        <v>1368.5027019999998</v>
      </c>
      <c r="R338" s="3">
        <f>986.1+(621.6-249)+(-3.017466+(-1.902096--0.76194))+0-30--0.0918000000000035</f>
        <v>1324.634178</v>
      </c>
      <c r="S338" s="3">
        <f>854.5+(778.7-281.5)+(-0.87159+(-0.794274--0.28713))+0-29.4--0.0299880000000047</f>
        <v>1320.9512540000001</v>
      </c>
      <c r="T338" s="3">
        <f>815.8+(792.5-314.2)+(0.832116+(0.80835-0.320484))+0-29.4-0.0299880000000047</f>
        <v>1265.9899939999998</v>
      </c>
      <c r="U338" s="3">
        <f>800.9+(748.2-320)+(-1.633836+(-1.526328--0.6528))+0-30.6--0.0624239999999987</f>
        <v>1196.0550599999999</v>
      </c>
      <c r="V338" s="3">
        <f>786.9+(810.9-300.1)+(0.802638+(0.827118-0.306102))+0-31.5-0.032130000000005</f>
        <v>1267.4915239999998</v>
      </c>
      <c r="W338" s="3">
        <f>824.2+(723.2-199.1)+(-0.840684+(-0.737664--0.203082))+0-30.3--0.0309060000000048</f>
        <v>1316.6556400000002</v>
      </c>
      <c r="X338" s="3">
        <f>940.3+(799.6-181.8)+(-0.479553+(-0.407796--0.092718))+0-30.5--0.0155549999999969</f>
        <v>1526.8209239999999</v>
      </c>
      <c r="Y338" s="3">
        <f>1033.2+(770.5-190.7)+(-1.053864+(-0.78591--0.194514))+0-30.3--0.0309060000000048</f>
        <v>1581.085646</v>
      </c>
      <c r="Z338" s="3">
        <f>1049.9+(691.9-174.9)+(-0.535449+(-0.352869--0.089199))+0-28.1--0.0143309999999971</f>
        <v>1538.0152120000002</v>
      </c>
      <c r="AA338" s="3">
        <f>1049.3+(730.4-235)+(-0.535143+(-0.372504--0.11985))+0-30.4--0.0155039999999969</f>
        <v>1513.5277069999997</v>
      </c>
      <c r="AB338" s="3">
        <f>1025.5+(702.7-237.2)+(-2.09202+(-1.433508--0.483888))+0-28.9--0.0589559999999987</f>
        <v>1459.1173160000001</v>
      </c>
      <c r="AC338" s="3">
        <f>906.1+(625.2-213.6)+(0+(0-0))+0-27.5-0</f>
        <v>1290.2</v>
      </c>
      <c r="AD338">
        <f t="shared" si="5"/>
        <v>29666.50808</v>
      </c>
      <c r="AE338" s="3">
        <f>1053.7+(813.7-156.7)+(0+(0-0))+0-28.8-0</f>
        <v>1681.9</v>
      </c>
    </row>
    <row r="339" spans="1:31" s="2" customFormat="1" x14ac:dyDescent="0.25">
      <c r="A339">
        <v>89</v>
      </c>
      <c r="B339">
        <v>12</v>
      </c>
      <c r="C339">
        <v>3</v>
      </c>
      <c r="D339">
        <v>4</v>
      </c>
      <c r="E339">
        <v>1</v>
      </c>
      <c r="F339" s="3">
        <f>875.7+(427.7-165.7)+(-0.893214+(-0.436254--0.169014))+0-27.4--0.0279480000000044</f>
        <v>1109.1674939999998</v>
      </c>
      <c r="G339" s="3">
        <f>872.2+(370.2-179.4)+(0+(0-0))+0-29-0</f>
        <v>1034</v>
      </c>
      <c r="H339" s="3">
        <f>835.3+(342.6-161.3)+(0+(0-0))+0-28.1-0</f>
        <v>988.49999999999989</v>
      </c>
      <c r="I339" s="3">
        <f>826.5+(330.1-160.9)+(-1.264545+(-0.505053--0.246177))+0-27.9--0.0426870000000016</f>
        <v>966.31926600000008</v>
      </c>
      <c r="J339" s="3">
        <f>827.1+(335.9-161.6)+(-1.687284+(-0.685236--0.329664))+0-28.3--0.0577319999999988</f>
        <v>971.11487599999998</v>
      </c>
      <c r="K339" s="3">
        <f>828.2+(337-160.2)+(0.844764+(0.34374-0.163404))+0-28.3-0.0288660000000045</f>
        <v>977.696234</v>
      </c>
      <c r="L339" s="3">
        <f>836.8+(366.7-144.7)+(-0.853536+(-0.374034--0.147594))+0-28.7--0.0292740000000046</f>
        <v>1029.0492979999999</v>
      </c>
      <c r="M339" s="3">
        <f>1008.3+(284.7-145.9)+(-1.542699+(-0.435591--0.223227))+0-28.5--0.0436050000000016</f>
        <v>1116.8885419999999</v>
      </c>
      <c r="N339" s="3">
        <f>1013.5+(425.3-147.1)+(0+(0-0))+0-27.9-0</f>
        <v>1263.8</v>
      </c>
      <c r="O339" s="3">
        <f>1019.1+(522.9-147.3)+(-1.039482+(-0.533358--0.150246))+0-29.5--0.0300900000000047</f>
        <v>1363.8074960000001</v>
      </c>
      <c r="P339" s="3">
        <f>1029.4+(556.8-148.2)+(-2.62497+(-1.41984--0.37791))+0-30.3--0.0772649999999956</f>
        <v>1404.110365</v>
      </c>
      <c r="Q339" s="3">
        <f>1040.3+(559.7-145.7)+(-1.061106+(-0.570894--0.148614))+0-29.1--0.0296820000000046</f>
        <v>1423.746296</v>
      </c>
      <c r="R339" s="3">
        <f>1037.2+(571.5-109)+(-2.64486+(-1.457325--0.27795))+0-27.4--0.069869999999996</f>
        <v>1468.5456349999999</v>
      </c>
      <c r="S339" s="3">
        <f>898+(647.5-107.7)+(0+(0-0))+0-26.2-0</f>
        <v>1411.6</v>
      </c>
      <c r="T339" s="3">
        <f>893.2+(617.4-109.1)+(0.455532+(0.314874-0.055641))+0-25.1-0.0128009999999975</f>
        <v>1377.101964</v>
      </c>
      <c r="U339" s="3">
        <f>895.8+(614-113.6)+(0+(0-0))+0-26.7-0</f>
        <v>1369.4999999999998</v>
      </c>
      <c r="V339" s="3">
        <f>899.6+(614.7-113.1)+(0+(0-0))+0-27.5-0</f>
        <v>1373.7</v>
      </c>
      <c r="W339" s="3">
        <f>1015.6+(531.4-116.5)+(-0.517956+(-0.271014--0.059415))+0-29.4--0.014993999999997</f>
        <v>1400.3854389999999</v>
      </c>
      <c r="X339" s="3">
        <f>1022+(728-80.1)+(-0.52122+(-0.37128--0.040851))+0-29.6--0.015095999999997</f>
        <v>1639.4634470000003</v>
      </c>
      <c r="Y339" s="3">
        <f>1021.2+(823.1-113.9)+(-1.562436+(-1.259343--0.174267))+0-30.2--0.0462060000000017</f>
        <v>1697.598694</v>
      </c>
      <c r="Z339" s="3">
        <f>1022.2+(769.2-115.3)+(-1.042644+(-0.784584--0.117606))+0-30.2--0.0308040000000048</f>
        <v>1644.221182</v>
      </c>
      <c r="AA339" s="3">
        <f>1023.9+(719.2-116.1)+(-3.133134+(-2.200752--0.355266))+0-27.8--0.0850680000000032</f>
        <v>1594.306448</v>
      </c>
      <c r="AB339" s="3">
        <f>1026.3+(633.5-116.2)+(-2.093652+(-1.29234--0.237048))+0-25.8--0.0526319999999989</f>
        <v>1514.7036879999998</v>
      </c>
      <c r="AC339" s="3">
        <f>1016.4+(513.5-115.8)+(-3.110184+(-1.57131--0.354348))+0-25.9--0.079254000000003</f>
        <v>1383.9521079999997</v>
      </c>
      <c r="AD339">
        <f t="shared" si="5"/>
        <v>31523.278472000005</v>
      </c>
      <c r="AE339" s="3">
        <f>1022+(834.8-149)+(0+(0-0))+0-31.2-0</f>
        <v>1676.6</v>
      </c>
    </row>
    <row r="340" spans="1:31" s="2" customFormat="1" x14ac:dyDescent="0.25">
      <c r="A340">
        <v>89</v>
      </c>
      <c r="B340">
        <v>12</v>
      </c>
      <c r="C340">
        <v>4</v>
      </c>
      <c r="D340">
        <v>5</v>
      </c>
      <c r="E340">
        <v>1</v>
      </c>
      <c r="F340" s="3">
        <f>830.7+(529-154.7)+(0.847314+(0.53958-0.157794))+0-26.5-0.0270300000000042</f>
        <v>1179.70207</v>
      </c>
      <c r="G340" s="3">
        <f>718.4+(525.8-156.2)+(-1.465536+(-1.072632--0.318648))+0-27.6--0.0563039999999988</f>
        <v>1058.2367839999999</v>
      </c>
      <c r="H340" s="3">
        <f>681+(506.2-152.5)+(0.34731+(0.258162-0.077775))+0-28.3-0.0144329999999971</f>
        <v>1006.913264</v>
      </c>
      <c r="I340" s="3">
        <f>684.3+(482.1-150.8)+(-1.395972+(-0.983484--0.307632))+0-28.6--0.0583439999999988</f>
        <v>984.98651999999993</v>
      </c>
      <c r="J340" s="3">
        <f>684.9+(465.7-144.5)+(-1.047897+(-0.712521--0.221085))+0-28.5--0.0436050000000016</f>
        <v>976.10427199999981</v>
      </c>
      <c r="K340" s="3">
        <f>684.7+(482.5-142.4)+(0.349197+(0.246075-0.072624))+0-28.9-0.0147389999999971</f>
        <v>996.40790900000013</v>
      </c>
      <c r="L340" s="3">
        <f>753.1+(473-141.7)+(-1.536324+(-0.96492--0.289068))+0-28.6--0.0583439999999988</f>
        <v>1053.6461680000002</v>
      </c>
      <c r="M340" s="3">
        <f>961.1+(334.1-140.6)+(-0.980322+(-0.340782--0.143412))+0-28.7--0.0292740000000046</f>
        <v>1124.7515820000001</v>
      </c>
      <c r="N340" s="3">
        <f>1039.4+(377.3-139.8)+(0+(0-0))+0-29.5-0</f>
        <v>1247.4000000000001</v>
      </c>
      <c r="O340" s="3">
        <f>1125.1+(420.1-144.6)+(-0.573801+(-0.214251--0.073746))+0-29.4--0.014993999999997</f>
        <v>1370.5006879999996</v>
      </c>
      <c r="P340" s="3">
        <f>1135.3+(449.7-143.7)+(-0.579003+(-0.229347--0.073287))+0-28.8--0.0146879999999971</f>
        <v>1411.7796249999999</v>
      </c>
      <c r="Q340" s="3">
        <f>1133.1+(477.4-148.4)+(-0.577881+(-0.243474--0.075684))+0-28--0.0142799999999972</f>
        <v>1433.3686090000001</v>
      </c>
      <c r="R340" s="3">
        <f>1055.6+(513.4-137.8)+(-2.69178+(-1.30917--0.35139))+0-28--0.0713999999999959</f>
        <v>1399.6218399999998</v>
      </c>
      <c r="S340" s="3">
        <f>973.8+(551.7-133.5)+(-0.496638+(-0.281367--0.068085))+0-27.2--0.0138719999999972</f>
        <v>1364.1039519999999</v>
      </c>
      <c r="T340" s="3">
        <f>943.9+(543.1-132.5)+(-2.406945+(-1.384905--0.337875))+0-28.8--0.0734399999999958</f>
        <v>1322.319465</v>
      </c>
      <c r="U340" s="3">
        <f>944+(546-128.6)+(-1.44432+(-0.83538--0.196758))+0-29.2--0.0446760000000017</f>
        <v>1330.161734</v>
      </c>
      <c r="V340" s="3">
        <f>960.8+(576-150.5)+(-4.410072+(-2.64384--0.690795))+0-29.1--0.133569000000005</f>
        <v>1350.970452</v>
      </c>
      <c r="W340" s="3">
        <f>971.2+(601.1-157.1)+(0+(0-0))+0-30.2-0</f>
        <v>1385</v>
      </c>
      <c r="X340" s="3">
        <f>1107.1+(676.9-176.9)+(-2.258484+(-1.380876--0.360876))+0-30.1--0.0614039999999987</f>
        <v>1573.7829200000001</v>
      </c>
      <c r="Y340" s="3">
        <f>1157.3+(705.8-173.5)+(0+(0-0))+0-30.5-0</f>
        <v>1659.1</v>
      </c>
      <c r="Z340" s="3">
        <f>1095.4+(724.5-174.2)+(0+(0-0))+0-30.4-0</f>
        <v>1615.3</v>
      </c>
      <c r="AA340" s="3">
        <f>1077.5+(660.7-153.2)+(-1.09905+(-0.673914--0.156264))+0-29.2--0.0297840000000047</f>
        <v>1554.213084</v>
      </c>
      <c r="AB340" s="3">
        <f>1037.6+(606.3-155.3)+(-2.116704+(-1.236852--0.316812))+0-27.2--0.0554879999999988</f>
        <v>1458.4187439999998</v>
      </c>
      <c r="AC340" s="3">
        <f>1023.7+(484.4-150.3)+(-4.176696+(-1.976352--0.613224))+0-27.5--0.112199999999998</f>
        <v>1324.872376</v>
      </c>
      <c r="AD340">
        <f t="shared" si="5"/>
        <v>31181.662057999998</v>
      </c>
      <c r="AE340" s="3">
        <f>1158.5+(713.2-138.6)+(0+(0-0))+0-30.4-0</f>
        <v>1702.6999999999998</v>
      </c>
    </row>
    <row r="341" spans="1:31" s="2" customFormat="1" x14ac:dyDescent="0.25">
      <c r="A341">
        <v>89</v>
      </c>
      <c r="B341">
        <v>12</v>
      </c>
      <c r="C341">
        <v>5</v>
      </c>
      <c r="D341">
        <v>6</v>
      </c>
      <c r="E341">
        <v>1</v>
      </c>
      <c r="F341" s="3">
        <f>1016.9+(351.6-176.9)+(-1.555857+(-0.537948--0.270657))+0-28.7--0.0439110000000017</f>
        <v>1161.1207629999999</v>
      </c>
      <c r="G341" s="3">
        <f>920.4+(342-180.8)+(0.938808+(0.34884-0.184416))+0-28.7-0.0292740000000046</f>
        <v>1053.9739579999998</v>
      </c>
      <c r="H341" s="3">
        <f>879+(335.4-172.8)+(-2.68974+(-1.026324--0.528768))+0-28.8--0.0881280000000033</f>
        <v>1009.7008319999999</v>
      </c>
      <c r="I341" s="3">
        <f>881+(317.8-179.7)+(0.89862+(0.324156-0.183294))+0-28.7-0.0292740000000046</f>
        <v>991.41020800000001</v>
      </c>
      <c r="J341" s="3">
        <f>880.2+(310.6-178.9)+(0.448902+(0.158406-0.091239))+0-29-0.0147899999999971</f>
        <v>983.40127900000016</v>
      </c>
      <c r="K341" s="3">
        <f>939+(280.7-193.1)+(2.87334+(0.858942-0.590886))+0-28.3-0.0865980000000033</f>
        <v>1001.354798</v>
      </c>
      <c r="L341" s="3">
        <f>950.5+(319.4-195.5)+(0+(0-0))+0-28.7-0</f>
        <v>1045.7</v>
      </c>
      <c r="M341" s="3">
        <f>974.3+(328.2-176.4)+(1.490679+(0.502146-0.269892))+0-28.8-0.0440640000000017</f>
        <v>1098.978869</v>
      </c>
      <c r="N341" s="3">
        <f>1025.3+(385.8-156.3)+(0+(0-0))+0-30.3-0</f>
        <v>1224.5</v>
      </c>
      <c r="O341" s="3">
        <f>1026.1+(455-122.8)+(0+(0-0))+0-28.9-0</f>
        <v>1329.3999999999999</v>
      </c>
      <c r="P341" s="3">
        <f>1025.6+(524.3-122)+(0+(0-0))+0-29.1-0</f>
        <v>1398.8</v>
      </c>
      <c r="Q341" s="3">
        <f>1023+(579.5-136.7)+(0.52173+(0.295545-0.069717))+0-28.4-0.0144839999999971</f>
        <v>1438.1330739999999</v>
      </c>
      <c r="R341" s="3">
        <f>1022.3+(564.1-129)+(-1.042746+(-0.575382--0.13158))+0-27.3--0.0278460000000044</f>
        <v>1428.641298</v>
      </c>
      <c r="S341" s="3">
        <f>1019.2+(543.3-137.4)+(-1.039584+(-0.554166--0.140148))+0-26.4--0.0269280000000042</f>
        <v>1397.2733259999998</v>
      </c>
      <c r="T341" s="3">
        <f>1018.8+(504.9-138.8)+(-0.519588+(-0.257499--0.070788))+0-27.2--0.0138719999999972</f>
        <v>1357.0075729999999</v>
      </c>
      <c r="U341" s="3">
        <f>1018.3+(500.8-137.2)+(-1.038666+(-0.510816--0.139944))+0-28.5--0.0290700000000045</f>
        <v>1352.019532</v>
      </c>
      <c r="V341" s="3">
        <f>1017.5+(524.3-151.1)+(-3.632475+(-1.871751--0.539427))+0-29.1--0.103887</f>
        <v>1356.7390879999998</v>
      </c>
      <c r="W341" s="3">
        <f>1019.2+(562.4-157.3)+(-0.519792+(-0.286824--0.080223))+0-30.5--0.0155549999999969</f>
        <v>1393.089162</v>
      </c>
      <c r="X341" s="3">
        <f>1032.3+(718-147.8)+(-1.579419+(-1.09854--0.226134))+0-30.3--0.0463590000000018</f>
        <v>1569.7945339999999</v>
      </c>
      <c r="Y341" s="3">
        <f>999.3+(872-157)+(-1.019286+(-0.88944--0.16014))+0-30.8--0.0314160000000049</f>
        <v>1681.7828300000001</v>
      </c>
      <c r="Z341" s="3">
        <f>973.3+(868.8-157.3)+(-1.489149+(-1.329264--0.240669))+0-31--0.0474300000000018</f>
        <v>1651.2696860000001</v>
      </c>
      <c r="AA341" s="3">
        <f>975+(813-156.6)+(0+(0-0))+0-28.6-0</f>
        <v>1602.8000000000002</v>
      </c>
      <c r="AB341" s="3">
        <f>974.7+(735.1-155.1)+(-1.988388+(-1.499604--0.316404))+0-27.9--0.0569159999999988</f>
        <v>1523.685328</v>
      </c>
      <c r="AC341" s="3">
        <f>966.2+(639.8-156.1)+(-2.46381+(-1.63149--0.398055))+0-28.1--0.0716549999999959</f>
        <v>1418.1744100000001</v>
      </c>
      <c r="AD341">
        <f t="shared" si="5"/>
        <v>31468.750547999993</v>
      </c>
      <c r="AE341" s="3">
        <f>1032+(781.5-114.8)+(0+(0-0))+0-29.6-0</f>
        <v>1669.1000000000001</v>
      </c>
    </row>
    <row r="342" spans="1:31" s="2" customFormat="1" x14ac:dyDescent="0.25">
      <c r="A342">
        <v>89</v>
      </c>
      <c r="B342">
        <v>12</v>
      </c>
      <c r="C342">
        <v>6</v>
      </c>
      <c r="D342">
        <v>7</v>
      </c>
      <c r="E342">
        <v>1</v>
      </c>
      <c r="F342" s="3">
        <f>880.4+(499.6-158)+(-0.898008+(-0.509592--0.16116))+0-29.3--0.0298860000000047</f>
        <v>1191.4834460000002</v>
      </c>
      <c r="G342" s="3">
        <f>881.4+(419.6-187.8)+(-0.449514+(-0.213996--0.095778))+0-28.5--0.0145349999999971</f>
        <v>1084.1468030000001</v>
      </c>
      <c r="H342" s="3">
        <f>881.8+(360.7-196.1)+(0+(0-0))+0-30-0</f>
        <v>1016.3999999999999</v>
      </c>
      <c r="I342" s="3">
        <f>881.8+(336.8-201)+(1.349154+(0.515304-0.30753))+0-29-0.0443700000000017</f>
        <v>990.11255799999992</v>
      </c>
      <c r="J342" s="3">
        <f>882.6+(327.5-199.9)+(-2.25063+(-0.835125--0.509745))+0-29--0.0739499999999958</f>
        <v>978.69794000000002</v>
      </c>
      <c r="K342" s="3">
        <f>882.4+(325-198.3)+(1.350072+(0.49725-0.303399))+0-29-0.0443700000000017</f>
        <v>981.5995529999999</v>
      </c>
      <c r="L342" s="3">
        <f>884.9+(318.2-190.9)+(-0.902598+(-0.324564--0.194718))+0-28.5--0.0290700000000045</f>
        <v>982.69662599999992</v>
      </c>
      <c r="M342" s="3">
        <f>884.8+(287.2-188.1)+(0.451248+(0.146472-0.095931))+0-31-0.0158099999999969</f>
        <v>953.38597900000002</v>
      </c>
      <c r="N342" s="3">
        <f>884.3+(331.6-179.5)+(-0.901986+(-0.338232--0.18309))+0-30--0.0306000000000048</f>
        <v>1005.3734720000002</v>
      </c>
      <c r="O342" s="3">
        <f>884.3+(410.4-152.2)+(0.450993+(0.209304-0.077622))+0-22.5-0.0114749999999977</f>
        <v>1120.5712000000001</v>
      </c>
      <c r="P342" s="3">
        <f>891.4+(492.4-144.9)+(0.909228+(0.502248-0.147798))+0-30-0.0306000000000048</f>
        <v>1210.1330780000001</v>
      </c>
      <c r="Q342" s="3">
        <f>938+(483-146)+(-1.91352+(-0.98532--0.29784))+0-27.8--0.0567119999999988</f>
        <v>1244.655712</v>
      </c>
      <c r="R342" s="3">
        <f>926.8+(485.6-150.8)+(-0.472668+(-0.247656--0.076908))+0-28--0.0142799999999972</f>
        <v>1232.9708640000001</v>
      </c>
      <c r="S342" s="3">
        <f>765.2+(568.6-134.9)+(-2.341512+(-1.739916--0.412794))+0-28.6--0.0875160000000033</f>
        <v>1166.7188820000001</v>
      </c>
      <c r="T342" s="3">
        <f>729.1+(569.4-136.9)+(-0.743682+(-0.580788--0.139638))+0-29.8--0.0303960000000048</f>
        <v>1130.6455640000001</v>
      </c>
      <c r="U342" s="3">
        <f>767.8+(518-136.3)+(-2.349468+(-1.58508--0.417078))+0-30.3--0.0927180000000035</f>
        <v>1115.7752480000001</v>
      </c>
      <c r="V342" s="3">
        <f>781.7+(510.3-136)+(-0.797334+(-0.520506--0.13872))+0-29.3--0.0298860000000047</f>
        <v>1125.5507660000001</v>
      </c>
      <c r="W342" s="3">
        <f>786+(556.2-140.1)+(-0.40086+(-0.283662--0.071451))+0-29.3--0.014942999999997</f>
        <v>1172.2018719999999</v>
      </c>
      <c r="X342" s="3">
        <f>981.6+(605.8-152.8)+(-1.501848+(-0.926874--0.233784))+0-29.7--0.0454410000000017</f>
        <v>1402.7505029999998</v>
      </c>
      <c r="Y342" s="3">
        <f>1014.6+(681.1-157.8)+(0.517446+(0.347361-0.080478))+0-30.3-0.0154529999999969</f>
        <v>1508.3688760000002</v>
      </c>
      <c r="Z342" s="3">
        <f>1015.8+(651.2-157.5)+(-1.554174+(-0.996336--0.240975))+0-29.5--0.0451350000000017</f>
        <v>1477.7356</v>
      </c>
      <c r="AA342" s="3">
        <f>1018+(614.5-156.6)+(0.51918+(0.313395-0.079866))+0-29.5-0.015044999999997</f>
        <v>1447.1376640000001</v>
      </c>
      <c r="AB342" s="3">
        <f>1020+(535.9-152.2)+(-1.0404+(-0.546618--0.155244))+0-28.5--0.0290700000000045</f>
        <v>1373.7972960000002</v>
      </c>
      <c r="AC342" s="3">
        <f>940.7+(523.2-156.6)+(-1.919028+(-1.067328--0.319464))+0-27.8--0.0567119999999988</f>
        <v>1276.8898200000003</v>
      </c>
      <c r="AD342">
        <f t="shared" si="5"/>
        <v>28189.799322000006</v>
      </c>
      <c r="AE342" s="3">
        <f>1022+(690.4-116)+(0+(0-0))+0-26.4-0</f>
        <v>1570</v>
      </c>
    </row>
    <row r="343" spans="1:31" s="2" customFormat="1" x14ac:dyDescent="0.25">
      <c r="A343">
        <v>89</v>
      </c>
      <c r="B343">
        <v>12</v>
      </c>
      <c r="C343">
        <v>7</v>
      </c>
      <c r="D343">
        <v>1</v>
      </c>
      <c r="E343">
        <v>1</v>
      </c>
      <c r="F343" s="3">
        <f>732.8+(573.7-156.6)+(-0.747456+(-0.585174--0.159732))+0-27--0.0275400000000043</f>
        <v>1121.7546420000001</v>
      </c>
      <c r="G343" s="3">
        <f>717.6+(490.4-164.2)+(-0.731952+(-0.500208--0.167484))+0-27--0.0275400000000043</f>
        <v>1015.762864</v>
      </c>
      <c r="H343" s="3">
        <f>597.8+(541.2-150.6)+(1.219512+(1.104048-0.307224))+0-28-0.0571199999999988</f>
        <v>962.35921599999995</v>
      </c>
      <c r="I343" s="3">
        <f>481.1+(627.4-151)+(-0.490722+(-0.639948--0.15402))+0-28--0.0285600000000045</f>
        <v>928.55191000000002</v>
      </c>
      <c r="J343" s="3">
        <f>481+(621.6-149.5)+(1.47186+(1.902096-0.45747))+0-29-0.0887400000000034</f>
        <v>926.92774599999996</v>
      </c>
      <c r="K343" s="3">
        <f>541.7+(566.9-145.1)+(0.276267+(0.289119-0.074001))+0-28-0.0142799999999972</f>
        <v>935.97710500000005</v>
      </c>
      <c r="L343" s="3">
        <f>582.1+(581.7-139.5)+(0.890613+(0.890001-0.213435))+0-29-0.0443700000000017</f>
        <v>996.82280900000012</v>
      </c>
      <c r="M343" s="3">
        <f>639.8+(597.1-138.2)+(1.63149+(1.522605-0.35241))+0-31-0.0790499999999955</f>
        <v>1070.4226349999999</v>
      </c>
      <c r="N343" s="3">
        <f>657.6+(724.8-133.9)+(0.335376+(0.369648-0.068289))+0-31-0.0158099999999969</f>
        <v>1218.1209249999999</v>
      </c>
      <c r="O343" s="3">
        <f>724.8+(767.1-133.6)+(0.369648+(0.391221-0.068136))+0-31-0.0158099999999969</f>
        <v>1327.9769229999999</v>
      </c>
      <c r="P343" s="3">
        <f>708.1+(856.8-151)+(1.083393+(1.310904-0.23103))+0-21-0.0321300000000012</f>
        <v>1395.0311369999999</v>
      </c>
      <c r="Q343" s="3">
        <f>817.9+(775.2-156)+(-0.417129+(-0.395352--0.07956))+0-10.5--0.00535499999999894</f>
        <v>1425.8724339999999</v>
      </c>
      <c r="R343" s="3">
        <f>882.6+(698.8-153.2)+(-0.450126+(-0.356388--0.078132))+0-3.6--0.00183599999999963</f>
        <v>1423.8734539999998</v>
      </c>
      <c r="S343" s="3">
        <f>927.4+(602.5-146)+(-1.418922+(-0.921825--0.22338))+2.2-0-0</f>
        <v>1383.9826330000001</v>
      </c>
      <c r="T343" s="3">
        <f>957.5+(527.9-134.7)+(0+(0-0))+5.1-2.1-0</f>
        <v>1353.7</v>
      </c>
      <c r="U343" s="3">
        <f>935.3+(563.8-129.9)+(-0.954006+(-0.575076--0.132498))+0.2-0-0</f>
        <v>1368.0034159999998</v>
      </c>
      <c r="V343" s="3">
        <f>952.4+(644.2-163.2)+(0+(0-0))+0.4-0.9-0</f>
        <v>1432.9</v>
      </c>
      <c r="W343" s="3">
        <f>954.4+(701.4-145.8)+(-1.946976+(-1.430856--0.297432))+0-1.8--0.00367199999999992</f>
        <v>1505.123272</v>
      </c>
      <c r="X343" s="3">
        <f>994.4+(784.1-157.9)+(-2.53572+(-1.999455--0.402645))+0-4.5--0.0114749999999993</f>
        <v>1611.9789449999998</v>
      </c>
      <c r="Y343" s="3">
        <f>975.1+(819.6-157.5)+(-1.491903+(-1.253988--0.240975))+0-5.4--0.00826200000000031</f>
        <v>1629.3033459999999</v>
      </c>
      <c r="Z343" s="3">
        <f>891+(872.3-157.6)+(-0.45441+(-0.444873--0.080376))+0-16.5--0.00841499999999833</f>
        <v>1588.3895079999998</v>
      </c>
      <c r="AA343" s="3">
        <f>876.1+(847.7-171.9)+(-0.893622+(-0.864654--0.175338))+0-27.3--0.0278460000000044</f>
        <v>1523.0449080000001</v>
      </c>
      <c r="AB343" s="3">
        <f>874.7+(781.9-194.2)+(-2.230485+(-1.993845--0.49521))+0-27.6--0.070379999999996</f>
        <v>1431.1412600000001</v>
      </c>
      <c r="AC343" s="3">
        <f>870.4+(667.3-190.4)+(-1.775616+(-1.361292--0.388416))+0-28.5--0.0581399999999988</f>
        <v>1316.1096480000001</v>
      </c>
      <c r="AD343">
        <f t="shared" si="5"/>
        <v>30893.130736000003</v>
      </c>
      <c r="AE343" s="3">
        <f>1001+(809.9-122.2)+(0+(0-0))+0-3-0</f>
        <v>1685.6999999999998</v>
      </c>
    </row>
    <row r="344" spans="1:31" s="2" customFormat="1" x14ac:dyDescent="0.25">
      <c r="A344">
        <v>89</v>
      </c>
      <c r="B344">
        <v>12</v>
      </c>
      <c r="C344">
        <v>8</v>
      </c>
      <c r="D344">
        <v>2</v>
      </c>
      <c r="E344">
        <v>1</v>
      </c>
      <c r="F344" s="3">
        <f>836.3+(565.4-216.8)+(-0.426513+(-0.288354--0.110568))+0-28.5--0.0145349999999971</f>
        <v>1155.8102359999998</v>
      </c>
      <c r="G344" s="3">
        <f>833.2+(427.5-166.9)+(0+(0-0))+0-28.5-0</f>
        <v>1065.3000000000002</v>
      </c>
      <c r="H344" s="3">
        <f>728.4+(458.9-150)+(-1.114452+(-0.702117--0.2295))+0-27.9--0.0426870000000016</f>
        <v>1007.855618</v>
      </c>
      <c r="I344" s="3">
        <f>697.3+(474.5-147.8)+(-1.066869+(-0.725985--0.226134))+0-29.1--0.0445230000000017</f>
        <v>993.37780299999997</v>
      </c>
      <c r="J344" s="3">
        <f>699.6+(453.3-144.4)+(-0.356796+(-0.231183--0.073644))+0-29.1--0.014840999999997</f>
        <v>978.90050600000006</v>
      </c>
      <c r="K344" s="3">
        <f>698.6+(460.6-143.4)+(0.356286+(0.234906-0.073134))+0-28.8-0.0146879999999971</f>
        <v>987.50337000000013</v>
      </c>
      <c r="L344" s="3">
        <f>698.8+(483.5-143.9)+(-0.712776+(-0.49317--0.146778))+0-19--0.019380000000003</f>
        <v>1018.360212</v>
      </c>
      <c r="M344" s="3">
        <f>701.1+(536.1-143.6)+(-0.357561+(-0.273411--0.073236))+0-19--0.00968999999999807</f>
        <v>1074.051954</v>
      </c>
      <c r="N344" s="3">
        <f>938.3+(426.8-141)+(-0.957066+(-0.435336--0.14382))+0-27--0.0275400000000043</f>
        <v>1195.878958</v>
      </c>
      <c r="O344" s="3">
        <f>978.3+(523.5-138.3)+(0.997866+(0.53397-0.141066))+0-30-0.0306000000000048</f>
        <v>1334.8601699999999</v>
      </c>
      <c r="P344" s="3">
        <f>967.4+(560.9-137)+(-1.973496+(-1.144236--0.27948))+0-0-0</f>
        <v>1388.4617479999999</v>
      </c>
      <c r="Q344" s="3">
        <f>960.3+(585.1-136.7)+(-1.469259+(-0.895203--0.209151))+22.5-0-0</f>
        <v>1429.0446890000001</v>
      </c>
      <c r="R344" s="3">
        <f>959.8+(568.6-134.7)+(-2.936988+(-1.739916--0.412182))+0-0-0</f>
        <v>1389.4352780000002</v>
      </c>
      <c r="S344" s="3">
        <f>959.8+(550.1-134)+(-1.468494+(-0.841653--0.20502))+0-0-0</f>
        <v>1373.7948730000001</v>
      </c>
      <c r="T344" s="3">
        <f>828.1+(625.6-121.8)+(-1.266993+(-0.957168--0.186354))+0-4.5--0.00688500000000026</f>
        <v>1325.3690780000002</v>
      </c>
      <c r="U344" s="3">
        <f>739.6+(702.8-120.9)+(-0.754392+(-0.716856--0.123318))+2.8-2--0.00204000000000032</f>
        <v>1320.9541100000001</v>
      </c>
      <c r="V344" s="3">
        <f>739.2+(723.6-132.6)+(-2.261952+(-2.214216--0.405756))+0-0-0</f>
        <v>1326.129588</v>
      </c>
      <c r="W344" s="3">
        <f>753.7+(757.5-146.1)+(-1.153161+(-1.158975--0.223533))+0-6.7--0.0102510000000004</f>
        <v>1356.3216479999999</v>
      </c>
      <c r="X344" s="3">
        <f>836.9+(892.2-154.1)+(-0.853638+(-0.910044--0.157182))+0-22.5--0.0229500000000036</f>
        <v>1550.9164499999999</v>
      </c>
      <c r="Y344" s="3">
        <f>869+(957.7-157.4)+(-2.65914+(-2.930562--0.481644))+0-28.3--0.0865980000000033</f>
        <v>1635.9785400000003</v>
      </c>
      <c r="Z344" s="3">
        <f>872+(911.4-158.3)+(-0.88944+(-0.929628--0.161466))+0-29.1--0.0296820000000046</f>
        <v>1594.3720800000001</v>
      </c>
      <c r="AA344" s="3">
        <f>871.8+(859-158.9)+(-1.333854+(-1.31427--0.243117))+0-28.8--0.0440640000000017</f>
        <v>1540.739057</v>
      </c>
      <c r="AB344" s="3">
        <f>870.6+(777.3-157.2)+(-2.22003+(-1.982115--0.40086))+0-29.4--0.0749699999999957</f>
        <v>1457.5736849999996</v>
      </c>
      <c r="AC344" s="3">
        <f>847.2+(667.1-160.1)+(-2.16036+(-1.701105--0.408255))+0-29.2--0.0744599999999958</f>
        <v>1321.6212500000001</v>
      </c>
      <c r="AD344">
        <f t="shared" si="5"/>
        <v>30822.610901</v>
      </c>
      <c r="AE344" s="3">
        <f>868+(947.4-116.3)+(0+(0-0))+0-26.4-0</f>
        <v>1672.6999999999998</v>
      </c>
    </row>
    <row r="345" spans="1:31" s="2" customFormat="1" x14ac:dyDescent="0.25">
      <c r="A345">
        <v>89</v>
      </c>
      <c r="B345">
        <v>12</v>
      </c>
      <c r="C345">
        <v>9</v>
      </c>
      <c r="D345">
        <v>3</v>
      </c>
      <c r="E345">
        <v>1</v>
      </c>
      <c r="F345" s="3">
        <f>792.7+(557.7-158.6)+(0+(0-0))+0-28.5-0</f>
        <v>1163.3000000000002</v>
      </c>
      <c r="G345" s="3">
        <f>793.1+(447.6-155.9)+(0+(0-0))+0-28.5-0</f>
        <v>1056.3000000000002</v>
      </c>
      <c r="H345" s="3">
        <f>740.1+(456-151)+(0+(0-0))+0-28.9-0</f>
        <v>1016.1999999999999</v>
      </c>
      <c r="I345" s="3">
        <f>736.1+(437.2-152.8)+(0+(0-0))+0-28.8-0</f>
        <v>991.7</v>
      </c>
      <c r="J345" s="3">
        <f>735.3+(431-151.2)+(0+(0-0))+0-28.5-0</f>
        <v>986.59999999999991</v>
      </c>
      <c r="K345" s="3">
        <f>734.1+(452.2-145.7)+(0+(0-0))+0-28.4-0</f>
        <v>1012.1999999999999</v>
      </c>
      <c r="L345" s="3">
        <f>737.2+(490.7-139.3)+(0+(0-0))+0-28.6-0</f>
        <v>1060</v>
      </c>
      <c r="M345" s="3">
        <f>784.5+(485.1-137.6)+(0+(0-0))+0-28-0</f>
        <v>1104</v>
      </c>
      <c r="N345" s="3">
        <f>869+(531.7-141.6)+(0+(0-0))+0-29.9-0</f>
        <v>1229.1999999999998</v>
      </c>
      <c r="O345" s="3">
        <f>951.5+(572.7-141.7)+(0+(0-0))+0-30.5-0</f>
        <v>1352</v>
      </c>
      <c r="P345" s="3">
        <f>987.4+(588.9-141.7)+(-1.007148+(-0.600678--0.144534))+0-30.4--0.0310080000000048</f>
        <v>1402.7677159999998</v>
      </c>
      <c r="Q345" s="3">
        <f>983.9+(608-141.1)+(-1.505367+(-0.93024--0.215883))+0-29.9--0.0457470000000017</f>
        <v>1418.7260229999997</v>
      </c>
      <c r="R345" s="3">
        <f>968+(612-139)+(-1.97472+(-1.24848--0.28356))+0-29--0.0591599999999987</f>
        <v>1409.11952</v>
      </c>
      <c r="S345" s="3">
        <f>921.8+(617-139.5)+(-1.880472+(-1.25868--0.28458))+0-28.4--0.0579359999999988</f>
        <v>1368.1033639999998</v>
      </c>
      <c r="T345" s="3">
        <f>926.6+(569.8-125.7)+(-0.472566+(-0.290598--0.064107))+0-28.8--0.0146879999999971</f>
        <v>1341.215631</v>
      </c>
      <c r="U345" s="3">
        <f>991.6+(519.6-132.9)+(0+(0-0))+0-27-0</f>
        <v>1351.3000000000002</v>
      </c>
      <c r="V345" s="3">
        <f>990.4+(522.3-137)+(-3.030624+(-1.598238--0.41922))+0-26.9--0.0823140000000031</f>
        <v>1344.6726719999997</v>
      </c>
      <c r="W345" s="3">
        <f>991.2+(580.5-150.1)+(-2.52756+(-1.480275--0.382755))+0-30.1--0.0767549999999956</f>
        <v>1387.951675</v>
      </c>
      <c r="X345" s="3">
        <f>1002.8+(755.2-149.1)+(-2.045712+(-1.540608--0.304164))+0-30.6--0.0624239999999987</f>
        <v>1575.0802680000002</v>
      </c>
      <c r="Y345" s="3">
        <f>1001.7+(843.2-151.3)+(-1.532601+(-1.290096--0.231489))+0-30.5--0.0466650000000018</f>
        <v>1660.5554570000002</v>
      </c>
      <c r="Z345" s="3">
        <f>914+(880.2-151)+(-2.79684+(-2.693412--0.46206))+0-30.8--0.0942480000000036</f>
        <v>1607.4660560000002</v>
      </c>
      <c r="AA345" s="3">
        <f>917.3+(827-151.6)+(-0.467823+(-0.42177--0.077316))+0-29.4--0.014993999999997</f>
        <v>1562.5027169999996</v>
      </c>
      <c r="AB345" s="3">
        <f>914.5+(746.5-156.7)+(-1.86558+(-1.52286--0.319668))+0-28.1--0.0573239999999988</f>
        <v>1473.1885520000001</v>
      </c>
      <c r="AC345" s="3">
        <f>815.5+(712.5-156.9)+(-2.911335+(-2.543625--0.560133))+0-27.8--0.0992460000000004</f>
        <v>1338.5044189999999</v>
      </c>
      <c r="AD345">
        <f t="shared" si="5"/>
        <v>31212.654070000001</v>
      </c>
      <c r="AE345" s="3">
        <f>1015+(792.4-151.2)+(0+(0-0))+0-32.8-0</f>
        <v>1623.4</v>
      </c>
    </row>
    <row r="346" spans="1:31" s="2" customFormat="1" x14ac:dyDescent="0.25">
      <c r="A346">
        <v>89</v>
      </c>
      <c r="B346">
        <v>12</v>
      </c>
      <c r="C346">
        <v>10</v>
      </c>
      <c r="D346">
        <v>4</v>
      </c>
      <c r="E346">
        <v>1</v>
      </c>
      <c r="F346" s="3">
        <f>706.9+(648.7-157.7)+(-1.442076+(-1.323348--0.321708))+0-28.4--0.0579359999999988</f>
        <v>1167.1142199999999</v>
      </c>
      <c r="G346" s="3">
        <f>708+(544.7-157.6)+(-1.08324+(-0.833391--0.241128))+0-28.6--0.0437580000000017</f>
        <v>1064.8682550000001</v>
      </c>
      <c r="H346" s="3">
        <f>708.2+(505.2-150.2)+(-1.444728+(-1.030608--0.306408))+0-29.1--0.0593639999999987</f>
        <v>1031.990436</v>
      </c>
      <c r="I346" s="3">
        <f>707.2+(478.8-145)+(-1.80336+(-1.22094--0.36975))+0-29--0.0739499999999958</f>
        <v>1009.4194</v>
      </c>
      <c r="J346" s="3">
        <f>707.5+(479.4-151.8)+(0+(0-0))+0-28.9-0</f>
        <v>1006.1999999999999</v>
      </c>
      <c r="K346" s="3">
        <f>706.8+(500.9-156.2)+(-1.081404+(-0.766377--0.238986))+0-28.6--0.0437580000000017</f>
        <v>1021.3349629999999</v>
      </c>
      <c r="L346" s="3">
        <f>709.4+(538.4-147)+(-1.085382+(-0.823752--0.22491))+0-28.9--0.0442170000000017</f>
        <v>1070.2599929999997</v>
      </c>
      <c r="M346" s="3">
        <f>746.2+(546.1-136.7)+(0+(0-0))+0-28.5-0</f>
        <v>1127.1000000000001</v>
      </c>
      <c r="N346" s="3">
        <f>924.2+(505.7-133.9)+(0.471342+(0.257907-0.068289))+0-30.2-0.0154019999999969</f>
        <v>1266.4455579999999</v>
      </c>
      <c r="O346" s="3">
        <f>982.2+(581.7-140.8)+(-0.500922+(-0.296667--0.071808))+0-30.8--0.0157079999999969</f>
        <v>1391.589927</v>
      </c>
      <c r="P346" s="3">
        <f>976.9+(656.3-148.9)+(0+(0-0))+0-30.1-0</f>
        <v>1454.2</v>
      </c>
      <c r="Q346" s="3">
        <f>978.7+(674.1-150.7)+(-0.998274+(-0.687582--0.153714))+0-30.5--0.0311100000000049</f>
        <v>1470.098968</v>
      </c>
      <c r="R346" s="3">
        <f>907.1+(726.5-151.9)+(-2.313105+(-1.852575--0.387345))+0-29--0.0739499999999958</f>
        <v>1448.995615</v>
      </c>
      <c r="S346" s="3">
        <f>781.2+(813-153.9)+(0.398412+(0.41463-0.078489))+0-27.9-0.0142289999999972</f>
        <v>1413.1203240000002</v>
      </c>
      <c r="T346" s="3">
        <f>905+(654.3-150.8)+(-0.9231+(-0.667386--0.153816))+0-29.1--0.0296820000000046</f>
        <v>1377.9930120000001</v>
      </c>
      <c r="U346" s="3">
        <f>966.8+(601.7-149.2)+(0+(0-0))+0-29.3-0</f>
        <v>1390</v>
      </c>
      <c r="V346" s="3">
        <f>992.7+(583.2-145.8)+(-1.012554+(-0.594864--0.148716))+0-29.9--0.0304980000000048</f>
        <v>1398.7717960000002</v>
      </c>
      <c r="W346" s="3">
        <f>947.7+(661.6-139.4)+(-0.966654+(-0.674832--0.142188))+0-29.9--0.0304980000000048</f>
        <v>1438.5312000000001</v>
      </c>
      <c r="X346" s="3">
        <f>1038.6+(746.1-148.2)+(-1.589058+(-1.141533--0.226746))+0-29.9--0.0457470000000017</f>
        <v>1604.1419019999998</v>
      </c>
      <c r="Y346" s="3">
        <f>1013.8+(830-156.1)+(-1.551114+(-1.2699--0.238833))+0-30.6--0.0468180000000018</f>
        <v>1654.5646369999999</v>
      </c>
      <c r="Z346" s="3">
        <f>1018.8+(780.2-155)+(-1.039176+(-0.795804--0.1581))+0-30.2--0.0308040000000048</f>
        <v>1612.153924</v>
      </c>
      <c r="AA346" s="3">
        <f>1016.4+(738.1-154.9)+(-2.073456+(-1.505724--0.315996))+0-30.2--0.0616079999999987</f>
        <v>1566.1984239999999</v>
      </c>
      <c r="AB346" s="3">
        <f>1015.7+(652.6-154.3)+(-3.108042+(-1.996956--0.472158))+0-28.5--0.0872100000000033</f>
        <v>1480.9543699999999</v>
      </c>
      <c r="AC346" s="3">
        <f>1003.4+(520-150.5)+(-1.023468+(-0.5304--0.15351))+0-28.4--0.0289680000000045</f>
        <v>1343.12861</v>
      </c>
      <c r="AD346">
        <f t="shared" si="5"/>
        <v>31809.175533999998</v>
      </c>
      <c r="AE346" s="3">
        <f>1009+(850.9-114.6)+(0+(0-0))+0-30.4-0</f>
        <v>1714.8999999999999</v>
      </c>
    </row>
    <row r="347" spans="1:31" s="2" customFormat="1" x14ac:dyDescent="0.25">
      <c r="A347">
        <v>89</v>
      </c>
      <c r="B347">
        <v>12</v>
      </c>
      <c r="C347">
        <v>11</v>
      </c>
      <c r="D347">
        <v>5</v>
      </c>
      <c r="E347">
        <v>1</v>
      </c>
      <c r="F347" s="3">
        <f>925.4+(448.1-157.4)+(-1.887816+(-0.914124--0.321096))+0-28.6--0.0583439999999988</f>
        <v>1185.0775000000001</v>
      </c>
      <c r="G347" s="3">
        <f>776.6+(485.2-152)+(-1.584264+(-0.989808--0.31008))+0-28.8--0.0587519999999987</f>
        <v>1078.79476</v>
      </c>
      <c r="H347" s="3">
        <f>743.9+(454.5-148)+(-0.758778+(-0.46359--0.15096))+0-28.5--0.0290700000000045</f>
        <v>1020.8576620000001</v>
      </c>
      <c r="I347" s="3">
        <f>744.5+(431.9-147.4)+(-0.75939+(-0.440538--0.150348))+0-28.2--0.0287640000000045</f>
        <v>999.77918399999987</v>
      </c>
      <c r="J347" s="3">
        <f>747.6+(426.2-145)+(1.143828+(0.652086-0.22185))+0-28.4-0.0434520000000016</f>
        <v>1001.9306119999999</v>
      </c>
      <c r="K347" s="3">
        <f>746.3+(447.3-143.5)+(-0.761226+(-0.456246--0.14637))+0-28.1--0.0286620000000045</f>
        <v>1020.9575599999998</v>
      </c>
      <c r="L347" s="3">
        <f>746.2+(473.3-139.9)+(0+(0-0))+9-28.7-0</f>
        <v>1059.8999999999999</v>
      </c>
      <c r="M347" s="3">
        <f>752.5+(511.5-138.3)+(0.383775+(0.260865-0.070533))+8-29-0.0147899999999971</f>
        <v>1105.259317</v>
      </c>
      <c r="N347" s="3">
        <f>813.9+(603-153.8)+(-0.415089+(-0.30753--0.078438))+0-30.2--0.0154019999999969</f>
        <v>1232.271221</v>
      </c>
      <c r="O347" s="3">
        <f>952.3+(580.8-150.2)+(0.971346+(0.592416-0.153204))+0-30.5-0.0311100000000049</f>
        <v>1353.779448</v>
      </c>
      <c r="P347" s="3">
        <f>970.7+(607.4-147.3)+(-0.495057+(-0.309774--0.075123))+0-30.9--0.0157589999999969</f>
        <v>1399.1860509999997</v>
      </c>
      <c r="Q347" s="3">
        <f>969.6+(634.6-139.7)+(-0.988992+(-0.647292--0.142494))+0-30.6--0.0312120000000049</f>
        <v>1432.4374220000002</v>
      </c>
      <c r="R347" s="3">
        <f>906.5+(699.3-155.1)+(-0.92463+(-0.713286--0.158202))+0-28.7--0.0292740000000046</f>
        <v>1420.5495599999997</v>
      </c>
      <c r="S347" s="3">
        <f>786+(783.6-150.3)+(-0.40086+(-0.399636--0.076653))+0-28--0.0142799999999972</f>
        <v>1390.5904370000001</v>
      </c>
      <c r="T347" s="3">
        <f>755+(775-150.9)+(-0.7701+(-0.7905--0.153918))+0-29.4--0.0299880000000047</f>
        <v>1348.3233059999998</v>
      </c>
      <c r="U347" s="3">
        <f>699.1+(821.8-144.4)+(0.713082+(0.838236-0.147288))+0-29.4-0.0299880000000047</f>
        <v>1348.4740419999998</v>
      </c>
      <c r="V347" s="3">
        <f>702+(825.3-142.8)+(-1.43208+(-1.683612--0.291312))+0-31.1--0.0634439999999986</f>
        <v>1350.639064</v>
      </c>
      <c r="W347" s="3">
        <f>725.3+(777.3-133.3)+(-1.479612+(-1.585692--0.271932))+0-30.3--0.0618119999999987</f>
        <v>1336.2684399999998</v>
      </c>
      <c r="X347" s="3">
        <f>942.5+(757.9-137.7)+(-1.9227+(-1.546116--0.280908))+0-29.2--0.0595679999999987</f>
        <v>1530.3716599999998</v>
      </c>
      <c r="Y347" s="3">
        <f>1020.6+(797.9-146.6)+(-2.60253+(-2.034645--0.37383))+0-30.2--0.0770099999999956</f>
        <v>1637.5136649999999</v>
      </c>
      <c r="Z347" s="3">
        <f>1021.3+(741.3-147.1)+(-3.125178+(-2.268378--0.450126))+0-30.5--0.0933300000000035</f>
        <v>1580.1498999999999</v>
      </c>
      <c r="AA347" s="3">
        <f>998.3+(725-152.2)+(-0.509133+(-0.36975--0.077622))+0-30.1--0.0153509999999969</f>
        <v>1540.2140899999999</v>
      </c>
      <c r="AB347" s="3">
        <f>781.6+(867.7-151.3)+(-1.594464+(-1.770108--0.308652))+0-27.8--0.0567119999999988</f>
        <v>1467.2007920000001</v>
      </c>
      <c r="AC347" s="3">
        <f>739.2+(779.5-152.8)+(-1.88496+(-1.987725--0.38964))+0-29--0.0739499999999958</f>
        <v>1333.4909050000001</v>
      </c>
      <c r="AD347">
        <f t="shared" si="5"/>
        <v>31174.016597999995</v>
      </c>
      <c r="AE347" s="3">
        <f>989.1+(804.4-104)+(0+(0-0))+0-28-0</f>
        <v>1661.5</v>
      </c>
    </row>
    <row r="348" spans="1:31" s="2" customFormat="1" x14ac:dyDescent="0.25">
      <c r="A348">
        <v>89</v>
      </c>
      <c r="B348">
        <v>12</v>
      </c>
      <c r="C348">
        <v>12</v>
      </c>
      <c r="D348">
        <v>6</v>
      </c>
      <c r="E348">
        <v>1</v>
      </c>
      <c r="F348" s="3">
        <f>634+(714-153.1)+(-1.6167+(-1.8207--0.390405))+0-28.5--0.0726749999999959</f>
        <v>1163.4256800000001</v>
      </c>
      <c r="G348" s="3">
        <f>684.1+(563.9-152.2)+(-1.046673+(-0.862767--0.232866))+0-28.3--0.0432990000000016</f>
        <v>1065.8667249999999</v>
      </c>
      <c r="H348" s="3">
        <f>638+(565.6-151.6)+(-0.32538+(-0.288456--0.077316))+0-29--0.0147899999999971</f>
        <v>1022.4782699999998</v>
      </c>
      <c r="I348" s="3">
        <f>620.2+(558.9-148.2)+(-1.58151+(-1.425195--0.37791))+0-29--0.0739499999999958</f>
        <v>999.34515499999998</v>
      </c>
      <c r="J348" s="3">
        <f>606.2+(560.2-147)+(1.54581+(1.42851-0.37485))+0-28.9-0.0736949999999958</f>
        <v>993.02577500000007</v>
      </c>
      <c r="K348" s="3">
        <f>603.8+(579.8-145)+(0.615876+(0.591396-0.1479))+0-28.7-0.0292740000000046</f>
        <v>1010.9300979999998</v>
      </c>
      <c r="L348" s="3">
        <f>599.1+(622.9-141.1)+(-0.305541+(-0.317679--0.071961))+0-28.9--0.0147389999999971</f>
        <v>1051.4634799999999</v>
      </c>
      <c r="M348" s="3">
        <f>634.7+(634.7-145.8)+(0.323697+(0.323697-0.074358))+0-29.1-0.014840999999997</f>
        <v>1095.0581950000003</v>
      </c>
      <c r="N348" s="3">
        <f>813.5+(611.3-145.2)+(0.82977+(0.623526-0.148104))+0-30.8-0.0314160000000049</f>
        <v>1250.073776</v>
      </c>
      <c r="O348" s="3">
        <f>871.1+(703.2-161.9)+(0+(0-0))+0-31.5-0</f>
        <v>1380.9</v>
      </c>
      <c r="P348" s="3">
        <f>868.1+(767.5-160.5)+(0.885462+(0.78285-0.16371))+0-30.6-0.0312120000000049</f>
        <v>1445.9733899999999</v>
      </c>
      <c r="Q348" s="3">
        <f>876.6+(799.6-161.4)+(0.447066+(0.407796-0.082314))+0-31.7-0.0161669999999968</f>
        <v>1483.8563810000001</v>
      </c>
      <c r="R348" s="3">
        <f>864.6+(785.7-163.2)+(-0.881892+(-0.801414--0.166464))+0-29.8--0.0303960000000048</f>
        <v>1455.8135540000001</v>
      </c>
      <c r="S348" s="3">
        <f>828.9+(766.2-160.5)+(-2.536434+(-2.344572--0.49113))+0-29.6--0.0905760000000034</f>
        <v>1400.7007000000001</v>
      </c>
      <c r="T348" s="3">
        <f>765.9+(745.8-142.2)+(-1.562436+(-1.521432--0.290088))+0-30.2--0.0616079999999987</f>
        <v>1336.567828</v>
      </c>
      <c r="U348" s="3">
        <f>769.6+(723-152.7)+(0+(0-0))+0-30.3-0</f>
        <v>1309.6000000000001</v>
      </c>
      <c r="V348" s="3">
        <f>770.4+(732.5-156.8)+(-0.785808+(-0.74715--0.159936))+0-30.6--0.0312120000000049</f>
        <v>1314.1581900000001</v>
      </c>
      <c r="W348" s="3">
        <f>796.8+(711.7-164.6)+(0.406368+(0.362967-0.083946))+0-30.6-0.0156059999999969</f>
        <v>1313.9697830000002</v>
      </c>
      <c r="X348" s="3">
        <f>893.3+(789.1-150.8)+(-0.455583+(-0.402441--0.076908))+0-30.5--0.0155549999999969</f>
        <v>1500.3344389999997</v>
      </c>
      <c r="Y348" s="3">
        <f>891.6+(916.8-148.9)+(-2.728296+(-2.805408--0.455634))+0-30.6--0.0936360000000035</f>
        <v>1623.9155660000001</v>
      </c>
      <c r="Z348" s="3">
        <f>895.2+(871-157.6)+(-0.913104+(-0.88842--0.160752))+0-31.4--0.032028000000005</f>
        <v>1575.5912559999999</v>
      </c>
      <c r="AA348" s="3">
        <f>895+(818.6-155.2)+(-1.36935+(-1.252458--0.237456))+0-31--0.0474300000000018</f>
        <v>1525.0630780000001</v>
      </c>
      <c r="AB348" s="3">
        <f>892+(740.6-158.9)+(-2.2746+(-1.88853--0.405195))+0-30.8--0.0785399999999955</f>
        <v>1439.220605</v>
      </c>
      <c r="AC348" s="3">
        <f>880+(624.8-158)+(-2.244+(-1.59324--0.4029))+0-31.2--0.0795599999999955</f>
        <v>1312.2452199999998</v>
      </c>
      <c r="AD348">
        <f t="shared" si="5"/>
        <v>31069.577143999992</v>
      </c>
      <c r="AE348" s="3">
        <f>887+(921.4-105.1)+(0+(0-0))+0-26.4-0</f>
        <v>1676.8999999999999</v>
      </c>
    </row>
    <row r="349" spans="1:31" s="2" customFormat="1" x14ac:dyDescent="0.25">
      <c r="A349">
        <v>89</v>
      </c>
      <c r="B349">
        <v>12</v>
      </c>
      <c r="C349">
        <v>13</v>
      </c>
      <c r="D349">
        <v>7</v>
      </c>
      <c r="E349">
        <v>1</v>
      </c>
      <c r="F349" s="3">
        <f>726.3+(618.3-127.5)+(-1.852065+(-1.576665--0.325125))+0-31.1--0.0793049999999955</f>
        <v>1182.9757</v>
      </c>
      <c r="G349" s="3">
        <f>670.9+(557.4-155.7)+(-1.026477+(-0.852822--0.238221))+0-30.1--0.0460530000000017</f>
        <v>1040.9049749999999</v>
      </c>
      <c r="H349" s="3">
        <f>629.3+(538.4-152.6)+(-1.283772+(-1.098336--0.311304))+0-29.2--0.0595679999999987</f>
        <v>983.88876399999992</v>
      </c>
      <c r="I349" s="3">
        <f>629+(505.3-152.7)+(0.96237+(0.773109-0.233631))+0-28.5-0.0436050000000016</f>
        <v>954.55824300000006</v>
      </c>
      <c r="J349" s="3">
        <f>629.5+(503.9-152.1)+(0.321045+(0.256989-0.077571))+0-28.7-0.0146369999999971</f>
        <v>953.08582599999988</v>
      </c>
      <c r="K349" s="3">
        <f>649.2+(478.9-149.1)+(0.662184+(0.488478-0.152082))+0-28.5-0.0290700000000045</f>
        <v>951.4695099999999</v>
      </c>
      <c r="L349" s="3">
        <f>663.6+(459.1-146.7)+(-1.353744+(-0.936564--0.299268))+0-29.1--0.0593639999999987</f>
        <v>944.96832399999994</v>
      </c>
      <c r="M349" s="3">
        <f>669.6+(410.2-146)+(0.341496+(0.209202-0.07446))+0-27.2-0.0138719999999972</f>
        <v>907.06236599999988</v>
      </c>
      <c r="N349" s="3">
        <f>669.4+(487.7-143.5)+(0+(0-0))+0-17.5-0</f>
        <v>996.09999999999991</v>
      </c>
      <c r="O349" s="3">
        <f>682.7+(588.6-153.9)+(0+(0-0))+0-9.9-0</f>
        <v>1107.5</v>
      </c>
      <c r="P349" s="3">
        <f>740.9+(613.4-156.8)+(0.377859+(0.312834-0.079968))+0-9-0.00458999999999909</f>
        <v>1189.106135</v>
      </c>
      <c r="Q349" s="3">
        <f>841.9+(552.9-163.9)+(0+(0-0))+0-15.2-0</f>
        <v>1215.7</v>
      </c>
      <c r="R349" s="3">
        <f>852.8+(547.4-172.3)+(0+(0-0))+0-25.4-0</f>
        <v>1202.4999999999998</v>
      </c>
      <c r="S349" s="3">
        <f>809.9+(560.5-168.4)+(0+(0-0))+0-28.3-0</f>
        <v>1173.7</v>
      </c>
      <c r="T349" s="3">
        <f>732.6+(593.8-158.6)+(0+(0-0))+0-28.7-0</f>
        <v>1139.0999999999999</v>
      </c>
      <c r="U349" s="3">
        <f>647.3+(653.7-156.8)+(0+(0-0))+0-27.9-0</f>
        <v>1116.3</v>
      </c>
      <c r="V349" s="3">
        <f>639.2+(681.1-160.6)+(0+(0-0))+0-29.6-0</f>
        <v>1130.1000000000001</v>
      </c>
      <c r="W349" s="3">
        <f>659.5+(671.6-150.6)+(0+(0-0))+0-30-0</f>
        <v>1150.5</v>
      </c>
      <c r="X349" s="3">
        <f>780.5+(767.5-146.7)+(0+(0-0))+0-30.8-0</f>
        <v>1370.5</v>
      </c>
      <c r="Y349" s="3">
        <f>867.3+(856.6-161.8)+(0+(0-0))+0-31.4-0</f>
        <v>1530.6999999999998</v>
      </c>
      <c r="Z349" s="3">
        <f>723.5+(963.3-166.6)+(0+(0-0))+0-31.6-0</f>
        <v>1488.6</v>
      </c>
      <c r="AA349" s="3">
        <f>875.5+(780.6-164.7)+(0+(0-0))+0-31.8-0</f>
        <v>1459.6000000000001</v>
      </c>
      <c r="AB349" s="3">
        <f>889.1+(694.6-161.4)+(0+(0-0))+0-31.7-0</f>
        <v>1390.6000000000001</v>
      </c>
      <c r="AC349" s="3">
        <f>880.9+(584.9-157.3)+(0+(0-0))+0-30.9-0</f>
        <v>1277.5999999999999</v>
      </c>
      <c r="AD349">
        <f t="shared" si="5"/>
        <v>27857.119842999997</v>
      </c>
      <c r="AE349" s="3">
        <f>890+(834.2-117.5)+(0+(0-0))+0-30.4-0</f>
        <v>1576.3</v>
      </c>
    </row>
    <row r="350" spans="1:31" s="2" customFormat="1" x14ac:dyDescent="0.25">
      <c r="A350">
        <v>89</v>
      </c>
      <c r="B350">
        <v>12</v>
      </c>
      <c r="C350">
        <v>14</v>
      </c>
      <c r="D350">
        <v>1</v>
      </c>
      <c r="E350">
        <v>1</v>
      </c>
      <c r="F350" s="3">
        <f>866.9+(449.4-166.5)+(-1.326357+(-0.687582--0.254745))+0-31.7--0.0485010000000018</f>
        <v>1116.3893069999999</v>
      </c>
      <c r="G350" s="3">
        <f>830.3+(378.1-170.4)+(1.270359+(0.578493-0.260712))+0-31.4-0.0480420000000018</f>
        <v>1008.1400980000001</v>
      </c>
      <c r="H350" s="3">
        <f>773.7+(388.7-158.5)+(0+(0-0))+0-30.3-0</f>
        <v>973.60000000000014</v>
      </c>
      <c r="I350" s="3">
        <f>639.1+(489.9-152.4)+(1.629705+(1.249245-0.38862))+0-28.8-0.0734399999999958</f>
        <v>950.21689000000003</v>
      </c>
      <c r="J350" s="3">
        <f>635.9+(481.4-151.8)+(1.945854+(1.473084-0.464508))+0-25.4-0.0777240000000029</f>
        <v>942.97670600000004</v>
      </c>
      <c r="K350" s="3">
        <f>750.1+(386.9-150.4)+(0+(0-0))+0-26.1-0</f>
        <v>960.5</v>
      </c>
      <c r="L350" s="3">
        <f>822.9+(360.1-151.3)+(0+(0-0))+0-22.2-0</f>
        <v>1009.5</v>
      </c>
      <c r="M350" s="3">
        <f>878.6+(356.3-152.3)+(0+(0-0))+0-28.9-0</f>
        <v>1053.6999999999998</v>
      </c>
      <c r="N350" s="3">
        <f>983.7+(417.4-160.2)+(0+(0-0))+0-30.8-0</f>
        <v>1210.1000000000001</v>
      </c>
      <c r="O350" s="3">
        <f>981.9+(551.7-153.8)+(0+(0-0))+0-31.8-0</f>
        <v>1348</v>
      </c>
      <c r="P350" s="3">
        <f>982.2+(622-151.1)+(0+(0-0))+0-27-0</f>
        <v>1426.1</v>
      </c>
      <c r="Q350" s="3">
        <f>975.8+(653.9-119.2)+(0+(0-0))+0-29.4-0</f>
        <v>1481.1</v>
      </c>
      <c r="R350" s="3">
        <f>990.8+(620.3-148.4)+(0+(0-0))+0-28.8-0</f>
        <v>1433.8999999999999</v>
      </c>
      <c r="S350" s="3">
        <f>992.3+(591.4-146.8)+(0+(0-0))+0-28.7-0</f>
        <v>1408.1999999999998</v>
      </c>
      <c r="T350" s="3">
        <f>998.3+(540.9-140.4)+(0+(0-0))+0-30-0</f>
        <v>1368.8</v>
      </c>
      <c r="U350" s="3">
        <f>998.5+(535.5-143.7)+(0+(0-0))+0-30.5-0</f>
        <v>1359.8</v>
      </c>
      <c r="V350" s="3">
        <f>998.3+(538.2-144.7)+(0+(0-0))+0-31.4-0</f>
        <v>1360.3999999999999</v>
      </c>
      <c r="W350" s="3">
        <f>892.8+(630.7-148.1)+(0+(0-0))+0-30.8-0</f>
        <v>1344.6000000000001</v>
      </c>
      <c r="X350" s="3">
        <f>1024.6+(687.4-165.7)+(0+(0-0))+0-29.1-0</f>
        <v>1517.2</v>
      </c>
      <c r="Y350" s="3">
        <f>1066+(796.7-167.7)+(0+(0-0))+0-29.6-0</f>
        <v>1665.4</v>
      </c>
      <c r="Z350" s="3">
        <f>982.6+(820.8-164.5)+(0+(0-0))+0-29.9-0</f>
        <v>1609</v>
      </c>
      <c r="AA350" s="3">
        <f>981.7+(763.2-146.3)+(0+(0-0))+0-29-0</f>
        <v>1569.6000000000001</v>
      </c>
      <c r="AB350" s="3">
        <f>975.3+(685.6-133)+(0+(0-0))+0-29-0</f>
        <v>1498.9</v>
      </c>
      <c r="AC350" s="3">
        <f>947.4+(570.3-129.9)+(0+(0-0))+0-27.8-0</f>
        <v>1360</v>
      </c>
      <c r="AD350">
        <f t="shared" si="5"/>
        <v>30976.123001</v>
      </c>
      <c r="AE350" s="3">
        <f>1065.5+(782.5-168.9)+(0+(0-0))+0-25.6-0</f>
        <v>1653.5</v>
      </c>
    </row>
    <row r="351" spans="1:31" s="2" customFormat="1" x14ac:dyDescent="0.25">
      <c r="A351">
        <v>89</v>
      </c>
      <c r="B351">
        <v>12</v>
      </c>
      <c r="C351">
        <v>15</v>
      </c>
      <c r="D351">
        <v>2</v>
      </c>
      <c r="E351">
        <v>1</v>
      </c>
      <c r="F351" s="3">
        <f>699.7+(630.1-131.7)+(0+(0-0))+0-27.2-0</f>
        <v>1170.9000000000001</v>
      </c>
      <c r="G351" s="3">
        <f>699.9+(526.5-129.9)+(0+(0-0))+0-28.3-0</f>
        <v>1068.2</v>
      </c>
      <c r="H351" s="3">
        <f>699.3+(482.6-129.7)+(0+(0-0))+0-28.5-0</f>
        <v>1023.7</v>
      </c>
      <c r="I351" s="3">
        <f>699.3+(469.1-130.8)+(0+(0-0))+0-29.6-0</f>
        <v>1007.9999999999999</v>
      </c>
      <c r="J351" s="3">
        <f>699.3+(457.3-129.2)+(0+(0-0))+0-28.5-0</f>
        <v>998.90000000000009</v>
      </c>
      <c r="K351" s="3">
        <f>705.8+(462.7-128.8)+(0+(0-0))+0-28.1-0</f>
        <v>1011.5999999999998</v>
      </c>
      <c r="L351" s="3">
        <f>833.1+(385.3-135.4)+(0+(0-0))+0-29.8-0</f>
        <v>1053.2</v>
      </c>
      <c r="M351" s="3">
        <f>876.3+(380.1-132.8)+(0+(0-0))+0-29.1-0</f>
        <v>1094.5</v>
      </c>
      <c r="N351" s="3">
        <f>978.1+(439.9-136.8)+(0+(0-0))+0-31.5-0</f>
        <v>1249.7</v>
      </c>
      <c r="O351" s="3">
        <f>978.8+(545.2-125.8)+(0+(0-0))+0-30.9-0</f>
        <v>1367.3</v>
      </c>
      <c r="P351" s="3">
        <f>981.3+(545.9-73.1)+(0+(0-0))+0-31.7-0</f>
        <v>1422.3999999999999</v>
      </c>
      <c r="Q351" s="3">
        <f>979.4+(571.5-68.2)+(0+(0-0))+0-31.4-0</f>
        <v>1451.3</v>
      </c>
      <c r="R351" s="3">
        <f>975.7+(542.4-69.3)+(-1.990428+(-1.106496--0.141372))+0-20.2--0.0412079999999991</f>
        <v>1425.6856560000001</v>
      </c>
      <c r="S351" s="3">
        <f>906.6+(561-84.5)+(-0.462366+(-0.28611--0.043095))+0-8.4--0.00428399999999915</f>
        <v>1373.9989029999999</v>
      </c>
      <c r="T351" s="3">
        <f>978.4+(483-112.7)+(-1.496952+(-0.73899--0.172431))+0-8.1--0.0123930000000005</f>
        <v>1338.548882</v>
      </c>
      <c r="U351" s="3">
        <f>969.9+(478.2-101.6)+(-0.989298+(-0.487764--0.103632))+0-13.1--0.0133620000000021</f>
        <v>1332.0399319999999</v>
      </c>
      <c r="V351" s="3">
        <f>1003.1+(465.9-95.5)+(-1.023162+(-0.475218--0.09741))+0-29.4--0.0299880000000047</f>
        <v>1342.729018</v>
      </c>
      <c r="W351" s="3">
        <f>1024.5+(440-106.6)+(-3.13497+(-1.3464--0.326196))+0-30.8--0.0942480000000036</f>
        <v>1323.0390740000003</v>
      </c>
      <c r="X351" s="3">
        <f>1224.7+(470.2-146.2)+(-1.249194+(-0.479604--0.149124))+0-28.9--0.0294780000000046</f>
        <v>1518.2498039999998</v>
      </c>
      <c r="Y351" s="3">
        <f>1292.4+(565.6-161.5)+(-3.29562+(-1.44228--0.411825))+0-28.6--0.0729299999999959</f>
        <v>1663.6468550000002</v>
      </c>
      <c r="Z351" s="3">
        <f>1137.6+(712.6-129)+(-2.90088+(-1.81713--0.32895))+0-29.3--0.0747149999999958</f>
        <v>1687.5856549999999</v>
      </c>
      <c r="AA351" s="3">
        <f>1013.5+(687.5-111)+(-1.550655+(-1.051875--0.16983))+0-29.7--0.0454410000000017</f>
        <v>1557.9127409999999</v>
      </c>
      <c r="AB351" s="3">
        <f>1013.5+(605.9-107.8)+(-0.516885+(-0.309009--0.054978))+0-29.5--0.015044999999997</f>
        <v>1481.3441290000001</v>
      </c>
      <c r="AC351" s="3">
        <f>943.9+(528.8-109.3)+(-2.406945+(-1.34844--0.278715))+0-29.3--0.0747149999999958</f>
        <v>1330.6980449999999</v>
      </c>
      <c r="AD351">
        <f t="shared" si="5"/>
        <v>31295.178693999998</v>
      </c>
      <c r="AE351" s="3">
        <f>1293.6+(553.1-123.5)+(0+(0-0))+0-28.4-0</f>
        <v>1694.7999999999997</v>
      </c>
    </row>
    <row r="352" spans="1:31" s="2" customFormat="1" x14ac:dyDescent="0.25">
      <c r="A352">
        <v>89</v>
      </c>
      <c r="B352">
        <v>12</v>
      </c>
      <c r="C352">
        <v>16</v>
      </c>
      <c r="D352">
        <v>3</v>
      </c>
      <c r="E352">
        <v>1</v>
      </c>
      <c r="F352" s="3">
        <f>737+(568.1-114.6)+(-1.12761+(-0.869193--0.175338))+0-29.5--0.0451350000000017</f>
        <v>1159.2236700000001</v>
      </c>
      <c r="G352" s="3">
        <f>692+(509.9-101.4)+(-1.41168+(-1.040196--0.206856))+0-29.4--0.0599759999999987</f>
        <v>1068.9149559999998</v>
      </c>
      <c r="H352" s="3">
        <f>691.9+(469.3-102.6)+(0.352869+(0.239343-0.052326))+0-29-0.0147899999999971</f>
        <v>1030.125096</v>
      </c>
      <c r="I352" s="3">
        <f>690.1+(448.9-103.1)+(0.351951+(0.228939-0.052581))+0-29.6-0.015095999999997</f>
        <v>1006.8132130000001</v>
      </c>
      <c r="J352" s="3">
        <f>729.6+(405.2-102.7)+(-0.744192+(-0.413304--0.104754))+0-29.1--0.0296820000000046</f>
        <v>1001.9769399999998</v>
      </c>
      <c r="K352" s="3">
        <f>758.8+(388.6-99.6)+(1.93494+(0.99093-0.25398))+0-29-0.0739499999999958</f>
        <v>1021.3979400000001</v>
      </c>
      <c r="L352" s="3">
        <f>764.3+(384.3-86)+(0+(0-0))+0-28-0</f>
        <v>1034.5999999999999</v>
      </c>
      <c r="M352" s="3">
        <f>859.9+(377.5-95.7)+(0+(0-0))+0-29.9-0</f>
        <v>1111.8</v>
      </c>
      <c r="N352" s="3">
        <f>979.9+(434.3-108.3)+(0+(0-0))+0-30.9-0</f>
        <v>1275</v>
      </c>
      <c r="O352" s="3">
        <f>984.5+(541.6-107.3)+(0+(0-0))+0-30.8-0</f>
        <v>1388</v>
      </c>
      <c r="P352" s="3">
        <f>1003.1+(530.9-110.7)+(0+(0-0))+0-11.8-0</f>
        <v>1411.5</v>
      </c>
      <c r="Q352" s="3">
        <f>1026.9+(514.7-115.8)+(0+(0-0))+0-2.7-0</f>
        <v>1423.1000000000001</v>
      </c>
      <c r="R352" s="3">
        <f>1024.5+(652.2-220.8)+(0+(0-0))+0-28.3-0</f>
        <v>1427.6000000000001</v>
      </c>
      <c r="S352" s="3">
        <f>1025.4+(646.4-243.1)+(-0.522954+(-0.329664--0.123981))+0-29.5--0.015044999999997</f>
        <v>1398.4864080000002</v>
      </c>
      <c r="T352" s="3">
        <f>1024.7+(600.7-230.2)+(-1.045194+(-0.612714--0.234804))+0-29.1--0.0296820000000046</f>
        <v>1364.7065780000003</v>
      </c>
      <c r="U352" s="3">
        <f>1027.1+(607.1-243.9)+(1.571463+(0.928863-0.373167))+0-31.5-0.0481950000000018</f>
        <v>1360.8789639999998</v>
      </c>
      <c r="V352" s="3">
        <f>995.6+(613.9-211)+(-2.031024+(-1.252356--0.43044))+0-31.5--0.0642599999999986</f>
        <v>1364.2113200000001</v>
      </c>
      <c r="W352" s="3">
        <f>990.2+(632.6-190.2)+(-3.030012+(-1.935756--0.582012))+0-29.9--0.0914940000000034</f>
        <v>1398.4077380000001</v>
      </c>
      <c r="X352" s="3">
        <f>1015.4+(733.3-137.2)+(-1.035708+(-0.747966--0.139944))+0-30.8--0.0314160000000049</f>
        <v>1579.0876860000001</v>
      </c>
      <c r="Y352" s="3">
        <f>1005.5+(839.6-184.8)+(-1.538415+(-1.284588--0.282744))+16-12.7--0.0194310000000007</f>
        <v>1661.0791719999997</v>
      </c>
      <c r="Z352" s="3">
        <f>1048+(761.7-202.1)+(-3.74136+(-2.719269--0.721497))+0-2.5--0.00892500000000004</f>
        <v>1599.3697930000001</v>
      </c>
      <c r="AA352" s="3">
        <f>1048.2+(701.5-197.2)+(-2.138328+(-1.43106--0.402288))+0-8.2--0.0167279999999996</f>
        <v>1541.1496280000001</v>
      </c>
      <c r="AB352" s="3">
        <f>1044.6+(620.7-197.4)+(-1.598238+(-0.949671--0.302022))+0-15.2--0.0232560000000009</f>
        <v>1450.477369</v>
      </c>
      <c r="AC352" s="3">
        <f>1026.9+(493.3-194.2)+(-2.618595+(-1.257915--0.49521))+0-8.2--0.0209099999999988</f>
        <v>1314.4396099999999</v>
      </c>
      <c r="AD352">
        <f t="shared" si="5"/>
        <v>31392.346081</v>
      </c>
      <c r="AE352" s="3">
        <f>1012.5+(845.4-114.7)+(0+(0-0))+0-31.6-0</f>
        <v>1711.6</v>
      </c>
    </row>
    <row r="353" spans="1:31" s="2" customFormat="1" x14ac:dyDescent="0.25">
      <c r="A353">
        <v>89</v>
      </c>
      <c r="B353">
        <v>12</v>
      </c>
      <c r="C353">
        <v>17</v>
      </c>
      <c r="D353">
        <v>4</v>
      </c>
      <c r="E353">
        <v>1</v>
      </c>
      <c r="F353" s="3">
        <f>877+(454.8-174.7)+(-2.23635+(-1.15974--0.445485))+0-17.9--0.0456449999999974</f>
        <v>1136.2950399999997</v>
      </c>
      <c r="G353" s="3">
        <f>769.5+(449.9-134.1)+(-2.35467+(-1.376694--0.410346))+0-27.8--0.0850680000000032</f>
        <v>1054.26405</v>
      </c>
      <c r="H353" s="3">
        <f>743+(423.6-120.6)+(-0.75786+(-0.432072--0.123012))+0-29--0.0295800000000046</f>
        <v>1015.96266</v>
      </c>
      <c r="I353" s="3">
        <f>742.6+(391-120.9)+(0.378726+(0.19941-0.061659))+0-28.9-0.0147389999999971</f>
        <v>984.30173800000011</v>
      </c>
      <c r="J353" s="3">
        <f>741.1+(399.9-118)+(-0.377961+(-0.203949--0.06018))+0-29.1--0.014840999999997</f>
        <v>993.39311099999998</v>
      </c>
      <c r="K353" s="3">
        <f>743.2+(417.5-116.4)+(0.758064+(0.42585-0.118728))+0-29-0.0295800000000046</f>
        <v>1016.3356060000002</v>
      </c>
      <c r="L353" s="3">
        <f>751.1+(445.2-116.1)+(-0.766122+(-0.454104--0.118422))+0-29.2--0.0297840000000047</f>
        <v>1049.9279800000002</v>
      </c>
      <c r="M353" s="3">
        <f>926.2+(467.6-189.8)+(-0.472362+(-0.238476--0.096798))+0-29.9--0.015248999999997</f>
        <v>1173.501209</v>
      </c>
      <c r="N353" s="3">
        <f>1073+(488.9-187.9)+(-0.54723+(-0.249339--0.095829))+0-21.5--0.0109649999999978</f>
        <v>1351.8102249999999</v>
      </c>
      <c r="O353" s="3">
        <f>1030.9+(552.3-172.3)+(-1.051518+(-0.563346--0.175746))+0-24.9--0.025398000000004</f>
        <v>1384.58628</v>
      </c>
      <c r="P353" s="3">
        <f>1092.2+(579.7-156.5)+(-1.671066+(-0.886941--0.239445))+0-30.1--0.0460530000000017</f>
        <v>1483.0274910000003</v>
      </c>
      <c r="Q353" s="3">
        <f>1173.3+(585.3-206.8)+(-0.598383+(-0.298503--0.105468))+0-31.1--0.0158609999999968</f>
        <v>1519.9244430000001</v>
      </c>
      <c r="R353" s="3">
        <f>1170.8+(581.7-222.2)+(-1.194216+(-0.593334--0.226644))+0-29.3--0.0298860000000047</f>
        <v>1499.4689800000001</v>
      </c>
      <c r="S353" s="3">
        <f>1081.6+(639.2-220.8)+(-1.103232+(-0.651984--0.225216))+0-28.8--0.0293760000000046</f>
        <v>1469.699376</v>
      </c>
      <c r="T353" s="3">
        <f>1041.9+(644.4-236.6)+(-1.062738+(-0.657288--0.241332))+0-28.4--0.0289680000000045</f>
        <v>1419.8502740000001</v>
      </c>
      <c r="U353" s="3">
        <f>1041.6+(622.8-230.4)+(-0.531216+(-0.317628--0.117504))+0-30.6--0.0156059999999969</f>
        <v>1402.684266</v>
      </c>
      <c r="V353" s="3">
        <f>977.6+(646.4-181.6)+(0+(0-0))+0-30.4-0</f>
        <v>1412</v>
      </c>
      <c r="W353" s="3">
        <f>990.8+(641.7-159)+(-2.52654+(-1.636335--0.40545))+0-30.5--0.0777749999999956</f>
        <v>1439.32035</v>
      </c>
      <c r="X353" s="3">
        <f>1000.4+(792.7-174.3)+(-0.510204+(-0.404277--0.088893))+0-29.3--0.014942999999997</f>
        <v>1588.6893550000002</v>
      </c>
      <c r="Y353" s="3">
        <f>1000.7+(857.8-174.6)+(-2.041428+(-1.749912--0.356184))+0-29.8--0.0607919999999987</f>
        <v>1650.7256360000001</v>
      </c>
      <c r="Z353" s="3">
        <f>1000.5+(829.7-190.5)+(1.530765+(1.269441-0.291465))+0-30.1-0.0460530000000017</f>
        <v>1612.0626880000002</v>
      </c>
      <c r="AA353" s="3">
        <f>987.8+(787.8-190.2)+(0.503778+(0.401778-0.097002))+0-30.4-0.0155039999999969</f>
        <v>1555.7930499999998</v>
      </c>
      <c r="AB353" s="3">
        <f>984.1+(696.6-186.4)+(-2.007564+(-1.421064--0.380256))+0-19.8--0.0403919999999991</f>
        <v>1471.4920200000004</v>
      </c>
      <c r="AC353" s="3">
        <f>983.3+(566.2-174.6)+(-2.005932+(-1.155048--0.356184))+0-20.7--0.0422279999999991</f>
        <v>1351.4374320000002</v>
      </c>
      <c r="AD353">
        <f t="shared" si="5"/>
        <v>32036.553260000001</v>
      </c>
      <c r="AE353" s="3">
        <f>1008.2+(843.5-127.2)+(0+(0-0))+0-30.8-0</f>
        <v>1693.7</v>
      </c>
    </row>
    <row r="354" spans="1:31" s="2" customFormat="1" x14ac:dyDescent="0.25">
      <c r="A354">
        <v>89</v>
      </c>
      <c r="B354">
        <v>12</v>
      </c>
      <c r="C354">
        <v>18</v>
      </c>
      <c r="D354">
        <v>5</v>
      </c>
      <c r="E354">
        <v>1</v>
      </c>
      <c r="F354" s="3">
        <f>869+(516.5-174.7)+(-1.32957+(-0.790245--0.267291))+0-27.9--0.0426870000000016</f>
        <v>1181.0901630000001</v>
      </c>
      <c r="G354" s="3">
        <f>751.5+(466.8-121.5)+(-1.916325+(-1.19034--0.309825))+0-28.5--0.0726749999999959</f>
        <v>1065.5758349999999</v>
      </c>
      <c r="H354" s="3">
        <f>752.5+(419.1-113.7)+(-0.383775+(-0.213741--0.057987))+0-29.4--0.014993999999997</f>
        <v>1027.975465</v>
      </c>
      <c r="I354" s="3">
        <f>753.3+(395-111.9)+(-1.536732+(-0.8058--0.228276))+0-28.9--0.0589559999999987</f>
        <v>1005.4447</v>
      </c>
      <c r="J354" s="3">
        <f>754.7+(387.6-114.7)+(-0.769794+(-0.395352--0.116994))+0-28.8--0.0293760000000046</f>
        <v>997.78122400000007</v>
      </c>
      <c r="K354" s="3">
        <f>755.9+(395.9-113)+(-0.771018+(-0.403818--0.11526))+0-29.1--0.0296820000000046</f>
        <v>1008.6701059999998</v>
      </c>
      <c r="L354" s="3">
        <f>758.2+(426.1-105.5)+(0+(0-0))+0-29-0</f>
        <v>1049.8000000000002</v>
      </c>
      <c r="M354" s="3">
        <f>757.4+(460-104.8)+(-0.386274+(-0.2346--0.053448))+0-29.5--0.015044999999997</f>
        <v>1082.5476189999999</v>
      </c>
      <c r="N354" s="3">
        <f>885.5+(534.6-160.9)+(0.90321+(0.545292-0.164118))+0-30.6-0.0312120000000049</f>
        <v>1229.8531720000001</v>
      </c>
      <c r="O354" s="3">
        <f>1086.7+(508.4-210.5)+(-0.554217+(-0.259284--0.107355))+0-31.1--0.0158609999999968</f>
        <v>1352.8097150000001</v>
      </c>
      <c r="P354" s="3">
        <f>1089.6+(551.1-205.5)+(-1.667088+(-0.843183--0.314415))+0-26.9--0.0411570000000016</f>
        <v>1406.1453009999998</v>
      </c>
      <c r="Q354" s="3">
        <f>1092.6+(565.8-210.6)+(-1.671678+(-0.865674--0.322218))+0-7.3--0.0111690000000004</f>
        <v>1438.2960349999998</v>
      </c>
      <c r="R354" s="3">
        <f>1081.3+(578.7-218)+(-2.757315+(-1.475685--0.5559))+0-18.1--0.0461549999999974</f>
        <v>1420.269055</v>
      </c>
      <c r="S354" s="3">
        <f>992.5+(615.9-183.6)+(-2.0247+(-1.256436--0.374544))+0-25.4--0.0518159999999989</f>
        <v>1396.5452239999997</v>
      </c>
      <c r="T354" s="3">
        <f>965.5+(594.1-180.4)+(-0.98481+(-0.605982--0.184008))+0-26.8--0.0273360000000043</f>
        <v>1351.0205520000002</v>
      </c>
      <c r="U354" s="3">
        <f>981+(590.2-197)+(-2.00124+(-1.204008--0.40188))+0-28.8--0.0587519999999987</f>
        <v>1342.6553839999999</v>
      </c>
      <c r="V354" s="3">
        <f>1094.9+(495.7-221.6)+(0.558399+(0.252807-0.113016))+0-28.7-0.0146369999999971</f>
        <v>1340.983553</v>
      </c>
      <c r="W354" s="3">
        <f>1153.4+(403-197.3)+(-2.352936+(-0.82212--0.402492))+0-28.4--0.0579359999999988</f>
        <v>1327.9853719999999</v>
      </c>
      <c r="X354" s="3">
        <f>1259.1+(476.9-188.4)+(-1.284282+(-0.486438--0.192168))+0-27.1--0.0276420000000043</f>
        <v>1518.9490900000001</v>
      </c>
      <c r="Y354" s="3">
        <f>1331.9+(564.4-189.6)+(-3.396345+(-1.43922--0.48348))+0-29.3--0.0747149999999958</f>
        <v>1673.1226300000001</v>
      </c>
      <c r="Z354" s="3">
        <f>1356.5+(512.9-208.7)+(0+(0-0))+0-28.3-0</f>
        <v>1632.4</v>
      </c>
      <c r="AA354" s="3">
        <f>1355.7+(471.3-216.8)+(-1.382814+(-0.480726--0.221136))+0-29.3--0.0298860000000047</f>
        <v>1579.2874820000002</v>
      </c>
      <c r="AB354" s="3">
        <f>1322.1+(411.4-206)+(-3.371355+(-1.04907--0.5253))+0-27.4--0.069869999999996</f>
        <v>1496.2747449999999</v>
      </c>
      <c r="AC354" s="3">
        <f>995.1+(534.7-158.6)+(-1.015002+(-0.545394--0.161772))+0-27--0.0275400000000043</f>
        <v>1342.8289160000002</v>
      </c>
      <c r="AD354">
        <f t="shared" si="5"/>
        <v>31268.311338</v>
      </c>
      <c r="AE354" s="3">
        <f>1332.9+(538.8-150.5)+(0+(0-0))+0-27.2-0</f>
        <v>1694</v>
      </c>
    </row>
    <row r="355" spans="1:31" s="2" customFormat="1" x14ac:dyDescent="0.25">
      <c r="A355">
        <v>89</v>
      </c>
      <c r="B355">
        <v>12</v>
      </c>
      <c r="C355">
        <v>19</v>
      </c>
      <c r="D355">
        <v>6</v>
      </c>
      <c r="E355">
        <v>1</v>
      </c>
      <c r="F355" s="3">
        <f>930.4+(446.4-115.7)+(0+(0-0))+0-28.1-0</f>
        <v>1233</v>
      </c>
      <c r="G355" s="3">
        <f>838.3+(406.3-100.3)+(0+(0-0))+0-28.5-0</f>
        <v>1115.8</v>
      </c>
      <c r="H355" s="3">
        <f>822+(360.7-98.5)+(0+(0-0))+0-28.4-0</f>
        <v>1055.8</v>
      </c>
      <c r="I355" s="3">
        <f>817.4+(348.3-104)+(0+(0-0))+0-27.8-0</f>
        <v>1033.9000000000001</v>
      </c>
      <c r="J355" s="3">
        <f>819.3+(325.9-106.5)+(0+(0-0))+0-28.4-0</f>
        <v>1010.2999999999998</v>
      </c>
      <c r="K355" s="3">
        <f>895.7+(277.2-119.2)+(0+(0-0))+0-28.6-0</f>
        <v>1025.1000000000001</v>
      </c>
      <c r="L355" s="3">
        <f>901.3+(287.2-99.5)+(0+(0-0))+0-28-0</f>
        <v>1061</v>
      </c>
      <c r="M355" s="3">
        <f>959.6+(291.1-93)+(0+(0-0))+0-28.9-0</f>
        <v>1128.8</v>
      </c>
      <c r="N355" s="3">
        <f>960.4+(387.3-88.7)+(0+(0-0))+0-27.7-0</f>
        <v>1231.3</v>
      </c>
      <c r="O355" s="3">
        <f>1044.3+(390.5-101)+(0+(0-0))+0-26.9-0</f>
        <v>1306.8999999999999</v>
      </c>
      <c r="P355" s="3">
        <f>1246.3+(349.8-105.8)+(0+(0-0))+0-28.6-0</f>
        <v>1461.7</v>
      </c>
      <c r="Q355" s="3">
        <f>1261+(331.1-120.3)+(0+(0-0))+0-28.3-0</f>
        <v>1443.5</v>
      </c>
      <c r="R355" s="3">
        <f>1275.6+(310.1-115.2)+(-3.25278+(-0.790755--0.29376))+0-27.8--0.070889999999996</f>
        <v>1439.021115</v>
      </c>
      <c r="S355" s="3">
        <f>1219+(323.3-112.2)+(1.86507+(0.494649-0.171666))+0-26.2-0.0400860000000015</f>
        <v>1406.047967</v>
      </c>
      <c r="T355" s="3">
        <f>1217.1+(278.1-117.5)+(-1.862163+(-0.425493--0.179775))+0-26.8--0.0410040000000016</f>
        <v>1348.8331229999999</v>
      </c>
      <c r="U355" s="3">
        <f>1237.4+(253.5-126.8)+(-1.893222+(-0.387855--0.194004))+0-27.4--0.0419220000000016</f>
        <v>1334.6548490000002</v>
      </c>
      <c r="V355" s="3">
        <f>1273.1+(226.7-137.7)+(-1.947843+(-0.346851--0.210681))+0-26.6--0.0406980000000015</f>
        <v>1333.4566850000001</v>
      </c>
      <c r="W355" s="3">
        <f>1403.2+(175.1-205.7)+(0+(0-0))+0-28-0</f>
        <v>1344.6000000000001</v>
      </c>
      <c r="X355" s="3">
        <f>1448.5+(284.2-162.7)+(-1.47747+(-0.289884--0.165954))+0-28.2--0.0287640000000045</f>
        <v>1540.2273639999999</v>
      </c>
      <c r="Y355" s="3">
        <f>1447.9+(425.8-149.5)+(-5.169003+(-1.520106--0.533715))+0-28.1--0.100317</f>
        <v>1690.0449230000002</v>
      </c>
      <c r="Z355" s="3">
        <f>1467.2+(368.2-154.5)+(-2.993088+(-0.751128--0.31518))+0-28.4--0.0579359999999988</f>
        <v>1649.1288999999999</v>
      </c>
      <c r="AA355" s="3">
        <f>1553+(260.6-172.2)+(-3.16812+(-0.531624--0.351288))+0-26.6--0.0542639999999988</f>
        <v>1611.5058080000003</v>
      </c>
      <c r="AB355" s="3">
        <f>1539.5+(184.2-155.5)+(-3.925725+(-0.46971--0.396525))+0-26--0.0662999999999962</f>
        <v>1538.26739</v>
      </c>
      <c r="AC355" s="3">
        <f>1412.9+(192.9-166.7)+(-2.882316+(-0.393516--0.340068))+0-27.4--0.0558959999999988</f>
        <v>1408.8201320000001</v>
      </c>
      <c r="AD355">
        <f t="shared" si="5"/>
        <v>31751.708256000002</v>
      </c>
      <c r="AE355" s="3">
        <f>1448.6+(425.8-151.6)+(0+(0-0))+0-27.2-0</f>
        <v>1695.6</v>
      </c>
    </row>
    <row r="356" spans="1:31" s="2" customFormat="1" x14ac:dyDescent="0.25">
      <c r="A356">
        <v>89</v>
      </c>
      <c r="B356">
        <v>12</v>
      </c>
      <c r="C356">
        <v>20</v>
      </c>
      <c r="D356">
        <v>7</v>
      </c>
      <c r="E356">
        <v>1</v>
      </c>
      <c r="F356" s="3">
        <f>1065.1+(316.5-168.7)+(0+(0-0))+0-28.1-0</f>
        <v>1184.8</v>
      </c>
      <c r="G356" s="3">
        <f>810.8+(424-133.4)+(0+(0-0))+0-28.4-0</f>
        <v>1073</v>
      </c>
      <c r="H356" s="3">
        <f>762.4+(424.4-146)+(0+(0-0))+0.4-27.9-0</f>
        <v>1013.3000000000001</v>
      </c>
      <c r="I356" s="3">
        <f>720+(456.8-162.2)+(0+(0-0))+0-27.7-0</f>
        <v>986.9</v>
      </c>
      <c r="J356" s="3">
        <f>718.5+(437.7-159.3)+(0+(0-0))+0-27-0</f>
        <v>969.9</v>
      </c>
      <c r="K356" s="3">
        <f>730.2+(434.8-158.2)+(0+(0-0))+0-26.7-0</f>
        <v>980.1</v>
      </c>
      <c r="L356" s="3">
        <f>732.4+(431.8-156.3)+(0+(0-0))+0-27-0</f>
        <v>980.9</v>
      </c>
      <c r="M356" s="3">
        <f>746.9+(441.2-184.7)+(0+(0-0))+0-27.5-0</f>
        <v>975.9</v>
      </c>
      <c r="N356" s="3">
        <f>750+(572.4-210)+(0+(0-0))+0-28.9-0</f>
        <v>1083.5</v>
      </c>
      <c r="O356" s="3">
        <f>893.2+(671.9-269.3)+(0+(0-0))+0-29.2-0</f>
        <v>1266.5999999999999</v>
      </c>
      <c r="P356" s="3">
        <f>958.3+(653.2-295.6)+(0+(0-0))+0-27.9-0</f>
        <v>1288</v>
      </c>
      <c r="Q356" s="3">
        <f>986.7+(669.7-304.1)+(0+(0-0))+0-28.8-0</f>
        <v>1323.5000000000002</v>
      </c>
      <c r="R356" s="3">
        <f>981.4+(630.2-298.9)+(-2.50257+(-1.60701--0.762195))+0-28.8--0.0734399999999958</f>
        <v>1280.626055</v>
      </c>
      <c r="S356" s="3">
        <f>1008.4+(561.2-299.3)+(-2.057136+(-1.144848--0.610572))+0-28.7--0.0585479999999987</f>
        <v>1239.0671359999999</v>
      </c>
      <c r="T356" s="3">
        <f>1022+(514.3-306.3)+(-1.04244+(-0.524586--0.312426))+0-28.3--0.0288660000000045</f>
        <v>1200.4742660000002</v>
      </c>
      <c r="U356" s="3">
        <f>1084.1+(433.5-298.6)+(-2.211564+(-0.88434--0.609144))+0-28.3--0.0577319999999988</f>
        <v>1188.270972</v>
      </c>
      <c r="V356" s="3">
        <f>1071.1+(424-274)+(1.092522+(0.43248-0.27948))+0-29-0.0295800000000046</f>
        <v>1193.3159419999999</v>
      </c>
      <c r="W356" s="3">
        <f>1003.8+(385.8-159.6)+(-1.023876+(-0.393516--0.162792))+0-28.2--0.0287640000000045</f>
        <v>1200.5741639999999</v>
      </c>
      <c r="X356" s="3">
        <f>1106.1+(433.6-148.9)+(0+(0-0))+0-27.2-0</f>
        <v>1363.6</v>
      </c>
      <c r="Y356" s="3">
        <f>1143.9+(626.9-179.8)+(-3.500334+(-1.918314--0.550188))+0-28.5--0.0872100000000033</f>
        <v>1557.71875</v>
      </c>
      <c r="Z356" s="3">
        <f>1112+(629.7-187.4)+(-1.13424+(-0.642294--0.191148))+0-28.7--0.0292740000000046</f>
        <v>1524.0438880000002</v>
      </c>
      <c r="AA356" s="3">
        <f>1094.3+(684.9-261.9)+(-0.558093+(-0.349299--0.133569))+0-28.7--0.0146369999999971</f>
        <v>1487.8408139999999</v>
      </c>
      <c r="AB356" s="3">
        <f>1057+(625.2-231.2)+(-1.07814+(-0.637704--0.235824))+0-28.1--0.0286620000000045</f>
        <v>1421.4486420000001</v>
      </c>
      <c r="AC356" s="3">
        <f>945.5+(566.9-197.8)+(-1.92882+(-1.156476--0.403512))+0-27.9--0.0569159999999988</f>
        <v>1284.0751319999997</v>
      </c>
      <c r="AD356">
        <f t="shared" si="5"/>
        <v>29067.455760999997</v>
      </c>
      <c r="AE356" s="3">
        <f>1148.6+(610.5-139.2)+(0+(0-0))+0-27.2-0</f>
        <v>1592.6999999999998</v>
      </c>
    </row>
    <row r="357" spans="1:31" s="2" customFormat="1" x14ac:dyDescent="0.25">
      <c r="A357">
        <v>89</v>
      </c>
      <c r="B357">
        <v>12</v>
      </c>
      <c r="C357">
        <v>21</v>
      </c>
      <c r="D357">
        <v>1</v>
      </c>
      <c r="E357">
        <v>1</v>
      </c>
      <c r="F357" s="3">
        <f>786.1+(499.3-138.5)+(-2.004555+(-1.273215--0.353175))+0-26.7--0.0680849999999961</f>
        <v>1117.34349</v>
      </c>
      <c r="G357" s="3">
        <f>649.9+(506.8-136.9)+(-0.662898+(-0.516936--0.139638))+0-26.9--0.0274380000000043</f>
        <v>991.8872419999999</v>
      </c>
      <c r="H357" s="3">
        <f>630.9+(486.8-155.8)+(-0.965277+(-0.744804--0.238374))+0-27.4--0.0419220000000016</f>
        <v>933.07021499999996</v>
      </c>
      <c r="I357" s="3">
        <f>632+(468.9-172.1)+(0.96696+(0.717417-0.263313))+0-25.7-0.0393210000000015</f>
        <v>904.48174299999994</v>
      </c>
      <c r="J357" s="3">
        <f>630.6+(490.5-170.3)+(-0.321606+(-0.250155--0.086853))+0-27.9--0.0142289999999972</f>
        <v>922.42932099999996</v>
      </c>
      <c r="K357" s="3">
        <f>659.2+(479-165.2)+(0+(0-0))+0-26.1-0</f>
        <v>946.9</v>
      </c>
      <c r="L357" s="3">
        <f>689.2+(496.4-163.7)+(-0.351492+(-0.253164--0.083487))+0-26.7--0.0136169999999973</f>
        <v>994.69244800000001</v>
      </c>
      <c r="M357" s="3">
        <f>816.7+(483.9-185)+(0+(0-0))+0-26.2-0</f>
        <v>1089.3999999999999</v>
      </c>
      <c r="N357" s="3">
        <f>840+(699.5-256.8)+(0+(0-0))+0-28.2-0</f>
        <v>1254.5</v>
      </c>
      <c r="O357" s="3">
        <f>839.4+(861.7-285.2)+(0+(0-0))+0-29.6-0</f>
        <v>1386.3000000000002</v>
      </c>
      <c r="P357" s="3">
        <f>839.1+(912.6-288.2)+(0.855882+(0.930852-0.293964))+0-29.4-0.0299880000000047</f>
        <v>1435.562782</v>
      </c>
      <c r="Q357" s="3">
        <f>841.7+(921.1-287.5)+(-0.858534+(-0.939522--0.29325))+0-29.3--0.0298860000000047</f>
        <v>1444.5250800000003</v>
      </c>
      <c r="R357" s="3">
        <f>838.2+(914.4-290.7)+(-2.13741+(-2.33172--0.741285))+0-29.9--0.0762449999999957</f>
        <v>1428.3484000000001</v>
      </c>
      <c r="S357" s="3">
        <f>848.1+(888.8-305.4)+(-1.730124+(-1.813152--0.623016))+0-29.3--0.0597719999999987</f>
        <v>1399.339512</v>
      </c>
      <c r="T357" s="3">
        <f>806.4+(882.1-307.5)+(0+(0-0))+0-29.4-0</f>
        <v>1351.6</v>
      </c>
      <c r="U357" s="3">
        <f>803+(852.9-279.9)+(-0.40953+(-0.434979--0.142749))+0-29.1--0.014840999999997</f>
        <v>1346.2130810000001</v>
      </c>
      <c r="V357" s="3">
        <f>795+(862.5-274.4)+(0.40545+(0.439875-0.139944))+0-29.8-0.015197999999997</f>
        <v>1353.9901829999999</v>
      </c>
      <c r="W357" s="3">
        <f>904.4+(698.7-147.9)+(-0.461244+(-0.356337--0.075429))+0-28.2--0.0143819999999971</f>
        <v>1426.27223</v>
      </c>
      <c r="X357" s="3">
        <f>916+(719.2-150.5)+(-0.93432+(-0.733584--0.15351))+0-28.7--0.0292740000000046</f>
        <v>1454.5148799999999</v>
      </c>
      <c r="Y357" s="3">
        <f>1029+(832.4-161.3)+(-0.52479+(-0.424524--0.082263))+0-29.8--0.015197999999997</f>
        <v>1669.4481470000001</v>
      </c>
      <c r="Z357" s="3">
        <f>1028.3+(795.7-163.3)+(-1.048866+(-0.811614--0.166566))+0-29.4--0.0299880000000047</f>
        <v>1629.636074</v>
      </c>
      <c r="AA357" s="3">
        <f>1028.6+(876.8-297)+(-1.573758+(-1.341504--0.45441))+0-29.7--0.0454410000000017</f>
        <v>1576.2845889999999</v>
      </c>
      <c r="AB357" s="3">
        <f>1014.5+(806.8-296.3)+(-3.621765+(-2.880276--1.057791))+0-29.9--0.106743</f>
        <v>1489.7624929999999</v>
      </c>
      <c r="AC357" s="3">
        <f>1025.2+(577.9-223.8)+(-2.091408+(-1.178916--0.456552))+0-29.9--0.0609959999999987</f>
        <v>1346.6472239999998</v>
      </c>
      <c r="AD357">
        <f t="shared" si="5"/>
        <v>30893.149133999992</v>
      </c>
      <c r="AE357" s="3">
        <f>1021.8+(844.9-139.2)+(0+(0-0))+0-34.4-0</f>
        <v>1693.1</v>
      </c>
    </row>
    <row r="358" spans="1:31" s="2" customFormat="1" x14ac:dyDescent="0.25">
      <c r="A358">
        <v>89</v>
      </c>
      <c r="B358">
        <v>12</v>
      </c>
      <c r="C358">
        <v>22</v>
      </c>
      <c r="D358">
        <v>2</v>
      </c>
      <c r="E358">
        <v>1</v>
      </c>
      <c r="F358" s="3">
        <f>1008.6+(362.9-165.8)+(-2.57193+(-0.925395--0.42279))+0-27.1--0.0691049999999961</f>
        <v>1175.5945700000002</v>
      </c>
      <c r="G358" s="3">
        <f>961.7+(327-182.3)+(-2.942802+(-1.00062--0.557838))+0-28--0.0856800000000032</f>
        <v>1075.1000959999999</v>
      </c>
      <c r="H358" s="3">
        <f>873.1+(349.1-169.7)+(-1.781124+(-0.712164--0.346188))+0-28.3--0.0577319999999988</f>
        <v>1022.1106320000001</v>
      </c>
      <c r="I358" s="3">
        <f>872.1+(343.3-172)+(1.334313+(0.525249-0.26316))+0-29.3-0.0448290000000017</f>
        <v>1015.651573</v>
      </c>
      <c r="J358" s="3">
        <f>875.4+(325-171.7)+(-1.339362+(-0.49725--0.262701))+0-28.4--0.0434520000000016</f>
        <v>998.76954100000012</v>
      </c>
      <c r="K358" s="3">
        <f>906+(314.4-181.3)+(1.84824+(0.641376-0.369852))+0-28.1-0.0573239999999988</f>
        <v>1013.0624399999999</v>
      </c>
      <c r="L358" s="3">
        <f>920.4+(325.9-173.2)+(-2.816424+(-0.997254--0.529992))+0-28.6--0.0875160000000033</f>
        <v>1041.3038300000001</v>
      </c>
      <c r="M358" s="3">
        <f>1050.1+(241.7-172.1)+(1.071102+(0.246534-0.175542))+0-27.2-0.0277440000000043</f>
        <v>1093.6143499999998</v>
      </c>
      <c r="N358" s="3">
        <f>1066.5+(334.1-141.3)+(1.08783+(0.340782-0.144126))+0-26.8-0.0273360000000043</f>
        <v>1233.7571499999999</v>
      </c>
      <c r="O358" s="3">
        <f>1092.7+(473.9-197.4)+(0.557277+(0.241689-0.100674))+0-29.4-0.014993999999997</f>
        <v>1340.4832980000001</v>
      </c>
      <c r="P358" s="3">
        <f>1030.9+(637.4-236.8)+(0.525759+(0.325074-0.120768))+0-30.6-0.0156059999999969</f>
        <v>1401.6144590000001</v>
      </c>
      <c r="Q358" s="3">
        <f>1125.7+(580.6-239)+(-1.722321+(-0.888318--0.36567))+0-30.7--0.0469710000000018</f>
        <v>1434.402002</v>
      </c>
      <c r="R358" s="3">
        <f>1090.4+(632.9-244.9)+(0+(0-0))+0-29.4-0</f>
        <v>1449</v>
      </c>
      <c r="S358" s="3">
        <f>1094.5+(585.5-238.8)+(0.558195+(0.298605-0.121788))+0-28.8-0.0146879999999971</f>
        <v>1413.1203240000002</v>
      </c>
      <c r="T358" s="3">
        <f>1109+(519.4-231.3)+(-1.13118+(-0.529788--0.235926))+0-29.6--0.0301920000000047</f>
        <v>1366.1051499999999</v>
      </c>
      <c r="U358" s="3">
        <f>1105.6+(502.3-227.3)+(0+(0-0))+0-30.3-0</f>
        <v>1350.3</v>
      </c>
      <c r="V358" s="3">
        <f>1110.9+(509.7-235.2)+(-2.832795+(-1.299735--0.59976))+0-30--0.0764999999999956</f>
        <v>1351.94373</v>
      </c>
      <c r="W358" s="3">
        <f>1078.6+(523.4-146)+(0+(0-0))+0-30-0</f>
        <v>1426</v>
      </c>
      <c r="X358" s="3">
        <f>1198.4+(552-148.9)+(-0.611184+(-0.28152--0.075939))+0-30--0.015299999999997</f>
        <v>1570.698535</v>
      </c>
      <c r="Y358" s="3">
        <f>1284.9+(570-169.3)+(-1.965897+(-0.8721--0.259029))+0-30--0.0459000000000017</f>
        <v>1653.0669320000002</v>
      </c>
      <c r="Z358" s="3">
        <f>1269.5+(596.3-233.6)+(-1.29489+(-0.608226--0.238272))+0-30.4--0.0310080000000048</f>
        <v>1600.1661639999998</v>
      </c>
      <c r="AA358" s="3">
        <f>1211+(673.4-299.1)+(-1.85283+(-1.030302--0.457623))+0-31--0.0474300000000018</f>
        <v>1551.9219210000001</v>
      </c>
      <c r="AB358" s="3">
        <f>1122.7+(686.2-289.9)+(-1.145154+(-0.699924--0.295698))+0-30.2--0.0308040000000048</f>
        <v>1487.281424</v>
      </c>
      <c r="AC358" s="3">
        <f>1011.7+(576.4-213.2)+(-1.547901+(-0.881892--0.326196))+0-29.5--0.0451350000000017</f>
        <v>1343.3415380000001</v>
      </c>
      <c r="AD358">
        <f t="shared" si="5"/>
        <v>31408.409659000001</v>
      </c>
      <c r="AE358" s="3">
        <f>1215+(582.1-142)+(0+(0-0))+0-30-0</f>
        <v>1625.1</v>
      </c>
    </row>
    <row r="359" spans="1:31" s="2" customFormat="1" x14ac:dyDescent="0.25">
      <c r="A359">
        <v>89</v>
      </c>
      <c r="B359">
        <v>12</v>
      </c>
      <c r="C359">
        <v>23</v>
      </c>
      <c r="D359">
        <v>3</v>
      </c>
      <c r="E359">
        <v>1</v>
      </c>
      <c r="F359" s="3">
        <f>1000.9+(362.5-151.7)+(-5.10459+(-1.84875--0.77367))+0-28.4--0.144840000000002</f>
        <v>1177.2651699999999</v>
      </c>
      <c r="G359" s="3">
        <f>1005.4+(270.4-151)+(-3.076524+(-0.827424--0.46206))+0-28.5--0.0872100000000033</f>
        <v>1092.9453219999998</v>
      </c>
      <c r="H359" s="3">
        <f>849.5+(344.3-148.2)+(-1.299735+(-0.526779--0.226746))+0-26--0.0397800000000015</f>
        <v>1018.0400119999998</v>
      </c>
      <c r="I359" s="3">
        <f>849.3+(305.5-145.2)+(-1.299429+(-0.467415--0.222156))+0-26.4--0.0403920000000015</f>
        <v>981.69570399999998</v>
      </c>
      <c r="J359" s="3">
        <f>836.2+(295.7-142.2)+(0.852924+(0.301614-0.145044))+0-27.1-0.0276420000000043</f>
        <v>963.58185200000003</v>
      </c>
      <c r="K359" s="3">
        <f>783.3+(365.8-140.5)+(-0.399483+(-0.186558--0.071655))+0-27.3--0.0139229999999972</f>
        <v>980.79953699999999</v>
      </c>
      <c r="L359" s="3">
        <f>801.7+(357.9-137.2)+(-0.408867+(-0.182529--0.069972))+0-26.2--0.0133619999999973</f>
        <v>995.69193800000005</v>
      </c>
      <c r="M359" s="3">
        <f>949.3+(332-179.2)+(1.936572+(0.67728-0.365568))+0-27-0.0550799999999988</f>
        <v>1077.2932039999998</v>
      </c>
      <c r="N359" s="3">
        <f>907.4+(572-270.4)+(0+(0-0))+0-30.6-0</f>
        <v>1178.4000000000001</v>
      </c>
      <c r="O359" s="3">
        <f>983.4+(733-286.5)+(-2.006136+(-1.49532--0.58446))+0-31.1--0.0634439999999986</f>
        <v>1395.9464480000001</v>
      </c>
      <c r="P359" s="3">
        <f>928.4+(763.9-282.8)+(-1.893936+(-1.558356--0.576912))+0-30.1--0.0614039999999987</f>
        <v>1376.5860240000002</v>
      </c>
      <c r="Q359" s="3">
        <f>935.2+(771-274.5)+(-1.430856+(-1.17963--0.419985))+0-30.5--0.0466650000000018</f>
        <v>1399.0561640000001</v>
      </c>
      <c r="R359" s="3">
        <f>980.3+(746.3-277.9)+(-1.999812+(-1.522452--0.566916))+0-29--0.0591599999999987</f>
        <v>1416.8038119999999</v>
      </c>
      <c r="S359" s="3">
        <f>884.4+(812.5-276.4)+(0.902088+(0.82875-0.281928))+0-29-0.0295800000000046</f>
        <v>1392.9193300000002</v>
      </c>
      <c r="T359" s="3">
        <f>869.7+(778.5-276.9)+(-0.887094+(-0.79407--0.282438))+0-29.7--0.0302940000000047</f>
        <v>1340.2315680000002</v>
      </c>
      <c r="U359" s="3">
        <f>871.8+(796.2-297.7)+(0+(0-0))+0-30.4-0</f>
        <v>1339.8999999999999</v>
      </c>
      <c r="V359" s="3">
        <f>867.5+(776.4-287.9)+(-1.7697+(-1.583856--0.587316))+0-29.6--0.0603839999999987</f>
        <v>1323.6941440000001</v>
      </c>
      <c r="W359" s="3">
        <f>768.4+(770.2-160.1)+(-0.391884+(-0.392802--0.081651))+0-28.6--0.0145859999999971</f>
        <v>1349.2115510000001</v>
      </c>
      <c r="X359" s="3">
        <f>857.9+(813.7-163.8)+(-0.437529+(-0.414987--0.083538))+0-28.6--0.0145859999999971</f>
        <v>1478.4456080000002</v>
      </c>
      <c r="Y359" s="3">
        <f>1084.3+(800-220.5)+(-3.317958+(-2.448--0.67473))+0-29.3--0.0896580000000034</f>
        <v>1629.4984300000001</v>
      </c>
      <c r="Z359" s="3">
        <f>1027.1+(838-229)+(-1.571463+(-1.28214--0.35037))+0-29.6--0.0452880000000017</f>
        <v>1604.0420550000001</v>
      </c>
      <c r="AA359" s="3">
        <f>966.8+(936.1-319)+(-1.479204+(-1.432233--0.48807))+0-29.6--0.0452880000000017</f>
        <v>1551.9219210000001</v>
      </c>
      <c r="AB359" s="3">
        <f>866.8+(969-310.4)+(-1.768272+(-1.97676--0.633216))+0-30.1--0.0614039999999987</f>
        <v>1492.2495880000001</v>
      </c>
      <c r="AC359" s="3">
        <f>849.1+(796.6-256.4)+(-2.165205+(-2.03133--0.65382))+0-30.1--0.0767549999999956</f>
        <v>1355.7340400000003</v>
      </c>
      <c r="AD359">
        <f t="shared" si="5"/>
        <v>30911.953422000002</v>
      </c>
      <c r="AE359" s="3">
        <f>1083.6+(807.3-180.3)+(0+(0-0))+0-29.6-0</f>
        <v>1681</v>
      </c>
    </row>
    <row r="360" spans="1:31" s="2" customFormat="1" x14ac:dyDescent="0.25">
      <c r="A360">
        <v>89</v>
      </c>
      <c r="B360">
        <v>12</v>
      </c>
      <c r="C360">
        <v>24</v>
      </c>
      <c r="D360">
        <v>4</v>
      </c>
      <c r="E360">
        <v>1</v>
      </c>
      <c r="F360" s="3">
        <f>739.1+(595.2-129)+(-2.261646+(-1.821312--0.39474))+0-28.9--0.0884340000000033</f>
        <v>1172.8002160000001</v>
      </c>
      <c r="G360" s="3">
        <f>728+(491.2-125.6)+(-1.8564+(-1.25256--0.32028))+0-28.9--0.0736949999999958</f>
        <v>1061.9850149999997</v>
      </c>
      <c r="H360" s="3">
        <f>728.4+(429.6-128)+(0+(0-0))+0-26.1-0</f>
        <v>1003.9</v>
      </c>
      <c r="I360" s="3">
        <f>727.3+(410.3-128.2)+(-2.225538+(-1.255518--0.392292))+0-27.1--0.0829260000000031</f>
        <v>979.29416200000003</v>
      </c>
      <c r="J360" s="3">
        <f>726.6+(405.5-126.8)+(1.111698+(0.620415-0.194004))+0-26.4-0.0403920000000015</f>
        <v>980.39771699999994</v>
      </c>
      <c r="K360" s="3">
        <f>725.4+(420.5-124.3)+(-1.84977+(-1.072275--0.316965))+0-26.7--0.0680849999999961</f>
        <v>992.36300499999982</v>
      </c>
      <c r="L360" s="3">
        <f>718.7+(450.9-127.5)+(-1.099611+(-0.689877--0.195075))+0-26.9--0.0411570000000016</f>
        <v>1013.6467439999999</v>
      </c>
      <c r="M360" s="3">
        <f>669.6+(638.3-179.4)+(-0.682992+(-0.651066--0.182988))+0-29.1--0.0296820000000046</f>
        <v>1098.2786120000003</v>
      </c>
      <c r="N360" s="3">
        <f>815.1+(713.3-261.2)+(0+(0-0))+0-30.3-0</f>
        <v>1236.9000000000001</v>
      </c>
      <c r="O360" s="3">
        <f>848.1+(777.9-287.9)+(-0.865062+(-0.793458--0.293658))+0-30.9--0.0315180000000049</f>
        <v>1305.8666559999999</v>
      </c>
      <c r="P360" s="3">
        <f>975.2+(768.3-290.2)+(-0.497352+(-0.391833--0.148002))+0-28--0.0142799999999972</f>
        <v>1424.573097</v>
      </c>
      <c r="Q360" s="3">
        <f>1023+(732-297.4)+(-1.56519+(-1.11996--0.455022))+0-17.8--0.027234000000001</f>
        <v>1437.5971059999999</v>
      </c>
      <c r="R360" s="3">
        <f>1036.8+(649.4-304.6)+(-1.057536+(-0.662388--0.310692))+0-8.1--0.00826200000000129</f>
        <v>1372.0990300000001</v>
      </c>
      <c r="S360" s="3">
        <f>1149.2+(503.6-307)+(-0.586092+(-0.256836--0.15657))+0-17.5--0.00892499999999822</f>
        <v>1327.6225670000003</v>
      </c>
      <c r="T360" s="3">
        <f>1232+(425.2-301.7)+(-0.62832+(-0.216852--0.153867))+0-29.2--0.014891999999997</f>
        <v>1325.6235869999998</v>
      </c>
      <c r="U360" s="3">
        <f>1206.6+(413.6-304.3)+(-1.846098+(-0.632808--0.465579))+0-30.2--0.0462060000000017</f>
        <v>1283.7328789999999</v>
      </c>
      <c r="V360" s="3">
        <f>1225.4+(335.3-269.7)+(-4.999632+(-1.368024--1.100376))+0-29--0.118319999999997</f>
        <v>1256.85104</v>
      </c>
      <c r="W360" s="3">
        <f>1295.6+(125.6-162.3)+(0.660756+(0.064056-0.082773))+0-21.4-0.0109139999999978</f>
        <v>1238.1311249999999</v>
      </c>
      <c r="X360" s="3">
        <f>1398.6+(161.5-165.6)+(0.713286+(0.082365-0.084456))+0-25.9-0.0132089999999974</f>
        <v>1369.297986</v>
      </c>
      <c r="Y360" s="3">
        <f>1402.5+(382.4-182.4)+(-2.8611+(-0.780096--0.372096))+0-29.5--0.0601799999999987</f>
        <v>1569.79108</v>
      </c>
      <c r="Z360" s="3">
        <f>1319.6+(468.2-235.2)+(-1.345992+(-0.477564--0.239904))+0-30.5--0.0311100000000049</f>
        <v>1520.5474579999998</v>
      </c>
      <c r="AA360" s="3">
        <f>1290.4+(528-314.6)+(-1.316208+(-0.53856--0.320892))+0-30--0.0306000000000048</f>
        <v>1472.2967240000003</v>
      </c>
      <c r="AB360" s="3">
        <f>1291.7+(475.4-313.8)+(-0.658767+(-0.242454--0.160038))+0-27.6--0.0140759999999972</f>
        <v>1424.9728929999999</v>
      </c>
      <c r="AC360" s="3">
        <f>1158.2+(470-259.2)+(-0.590682+(-0.2397--0.132192))+0-28.1--0.0143309999999971</f>
        <v>1340.2161410000001</v>
      </c>
      <c r="AD360">
        <f t="shared" si="5"/>
        <v>30208.784839999997</v>
      </c>
      <c r="AE360" s="3">
        <f>1412+(397.1-137.8)+(0+(0-0))+0-31.2-0</f>
        <v>1640.1</v>
      </c>
    </row>
    <row r="361" spans="1:31" s="2" customFormat="1" x14ac:dyDescent="0.25">
      <c r="A361">
        <v>89</v>
      </c>
      <c r="B361">
        <v>12</v>
      </c>
      <c r="C361">
        <v>25</v>
      </c>
      <c r="D361">
        <v>5</v>
      </c>
      <c r="E361">
        <v>1</v>
      </c>
      <c r="F361" s="3">
        <f>1071.4+(300.2-165.8)+(-0.546414+(-0.153102--0.084558))+0-26.7--0.0136169999999973</f>
        <v>1178.4986590000003</v>
      </c>
      <c r="G361" s="3">
        <f>1052+(208.8-166.8)+(-1.07304+(-0.212976--0.170136))+0-26.7--0.0272340000000043</f>
        <v>1066.2113539999998</v>
      </c>
      <c r="H361" s="3">
        <f>1016.4+(183.7-166.9)+(-2.073456+(-0.374748--0.340476))+0-27.2--0.0554879999999988</f>
        <v>1003.94776</v>
      </c>
      <c r="I361" s="3">
        <f>1016.1+(175.2-180.5)+(1.036422+(0.178704-0.18411))+0-26.5-0.0270300000000042</f>
        <v>985.30398600000001</v>
      </c>
      <c r="J361" s="3">
        <f>1016.5+(175.7-180.1)+(0+(0-0))+0-27.3-0</f>
        <v>984.80000000000007</v>
      </c>
      <c r="K361" s="3">
        <f>1069+(122.1-168.1)+(1.09038+(0.124542-0.171462))+0-25.9-0.0264180000000041</f>
        <v>998.11704200000008</v>
      </c>
      <c r="L361" s="3">
        <f>1106.5+(98-162.2)+(-2.821575+(-0.2499--0.41361))+0-27--0.0688499999999961</f>
        <v>1012.7109850000001</v>
      </c>
      <c r="M361" s="3">
        <f>1152.6+(148.6-207.6)+(1.175652+(0.151572-0.211752))+0-28.1-0.0286620000000045</f>
        <v>1066.58681</v>
      </c>
      <c r="N361" s="3">
        <f>1185.6+(313.6-259.6)+(0.604656+(0.159936-0.132396))+0-30.4-0.0155039999999969</f>
        <v>1209.8166919999999</v>
      </c>
      <c r="O361" s="3">
        <f>1186.2+(452.9-270.3)+(-1.209924+(-0.461958--0.275706))+0-29.2--0.0297840000000047</f>
        <v>1338.233608</v>
      </c>
      <c r="P361" s="3">
        <f>1182.4+(502.6-267.6)+(1.206048+(0.512652-0.272952))+0-29-0.0295800000000046</f>
        <v>1389.8161680000003</v>
      </c>
      <c r="Q361" s="3">
        <f>1181+(511.7-254.2)+(1.80693+(0.782901-0.388926))+0-29.5-0.0451350000000017</f>
        <v>1411.1557699999998</v>
      </c>
      <c r="R361" s="3">
        <f>1182.1+(471.7-229.5)+(-1.808613+(-0.721701--0.351135))+0-29.2--0.0446760000000017</f>
        <v>1392.9654969999999</v>
      </c>
      <c r="S361" s="3">
        <f>1177.4+(462-229.6)+(-0.600474+(-0.23562--0.117096))+0-29.2--0.014891999999997</f>
        <v>1379.895894</v>
      </c>
      <c r="T361" s="3">
        <f>1126.4+(452.8-229.7)+(-1.723392+(-0.692784--0.351441))+0-30--0.0459000000000017</f>
        <v>1317.4811650000001</v>
      </c>
      <c r="U361" s="3">
        <f>1018.3+(551.2-230.3)+(-2.077332+(-1.124448--0.469812))+0-31.3--0.0638519999999986</f>
        <v>1305.231884</v>
      </c>
      <c r="V361" s="3">
        <f>1013.7+(541.9-228.4)+(-1.033974+(-0.552738--0.232968))+0-31.1--0.031722000000005</f>
        <v>1294.7779780000001</v>
      </c>
      <c r="W361" s="3">
        <f>1018.1+(451.4-158)+(-3.115386+(-1.381284--0.48348))+0-29.4--0.0899640000000034</f>
        <v>1278.176774</v>
      </c>
      <c r="X361" s="3">
        <f>1092.2+(538.1-183.2)+(0.557022+(0.274431-0.093432))+0-29-0.0147899999999971</f>
        <v>1418.8232310000001</v>
      </c>
      <c r="Y361" s="3">
        <f>1189.2+(664.2-191.4)+(-3.03246+(-1.69371--0.48807))+0-29.9--0.0762449999999957</f>
        <v>1627.9381449999998</v>
      </c>
      <c r="Z361" s="3">
        <f>1191.3+(643.9-197)+(-1.215126+(-0.656778--0.20094))+0-30.5--0.0311100000000049</f>
        <v>1606.0601459999998</v>
      </c>
      <c r="AA361" s="3">
        <f>1190.6+(687.2-293.2)+(-3.03603+(-1.75236--0.74766))+0-30.6--0.0780299999999956</f>
        <v>1550.0373</v>
      </c>
      <c r="AB361" s="3">
        <f>1192.1+(574.1-274.8)+(-3.039855+(-1.463955--0.70074))+0-31.1--0.0793049999999955</f>
        <v>1456.576235</v>
      </c>
      <c r="AC361" s="3">
        <f>1180.4+(423.1-243.4)+(-2.408016+(-0.863124--0.496536))+0-30.9--0.0630359999999986</f>
        <v>1326.4884320000001</v>
      </c>
      <c r="AD361">
        <f t="shared" si="5"/>
        <v>30599.651515000005</v>
      </c>
      <c r="AE361" s="3">
        <f>1190+(666.6-153.4)+(0+(0-0))+0-32-0</f>
        <v>1671.2</v>
      </c>
    </row>
    <row r="362" spans="1:31" s="2" customFormat="1" x14ac:dyDescent="0.25">
      <c r="A362">
        <v>89</v>
      </c>
      <c r="B362">
        <v>12</v>
      </c>
      <c r="C362">
        <v>26</v>
      </c>
      <c r="D362">
        <v>6</v>
      </c>
      <c r="E362">
        <v>1</v>
      </c>
      <c r="F362" s="3">
        <f>1171.9+(192.2-129.3)+(-1.793007+(-0.294066--0.197829))+0-29.1--0.0445230000000017</f>
        <v>1203.8552790000003</v>
      </c>
      <c r="G362" s="3">
        <f>1121.5+(112.3-116)+(-1.14393+(-0.114546--0.11832))+0-27.5--0.0280500000000044</f>
        <v>1089.1878939999999</v>
      </c>
      <c r="H362" s="3">
        <f>1088.3+(128.4-144.7)+(-1.665099+(-0.196452--0.221391))+0-27.9--0.0426870000000016</f>
        <v>1042.5025270000001</v>
      </c>
      <c r="I362" s="3">
        <f>1059.4+(139-151.7)+(0.540294+(0.07089-0.077367))+0-27.9-0.0142289999999972</f>
        <v>1019.3195880000001</v>
      </c>
      <c r="J362" s="3">
        <f>1022.9+(149.3-134.9)+(-1.565037+(-0.228429--0.206397))+0-28.1--0.0429930000000016</f>
        <v>1007.655924</v>
      </c>
      <c r="K362" s="3">
        <f>1023.7+(160.2-128.4)+(-0.522087+(-0.081702--0.065484))+0-28.2--0.0143819999999971</f>
        <v>1026.776077</v>
      </c>
      <c r="L362" s="3">
        <f>1020+(156.7-130.2)+(-2.0808+(-0.319668--0.265608))+0-25.6--0.0522239999999989</f>
        <v>1018.8173640000001</v>
      </c>
      <c r="M362" s="3">
        <f>1025.7+(209.6-132.7)+(0.523107+(0.106896-0.067677))+0-28.4-0.0144839999999971</f>
        <v>1074.747842</v>
      </c>
      <c r="N362" s="3">
        <f>1014.5+(357.6-122.4)+(0.517395+(0.182376-0.062424))+0-30.3-0.0154529999999969</f>
        <v>1220.0218940000002</v>
      </c>
      <c r="O362" s="3">
        <f>1015.5+(504.3-134)+(-1.553715+(-0.771579--0.20502))+0-31.4--0.0480420000000018</f>
        <v>1352.3277679999997</v>
      </c>
      <c r="P362" s="3">
        <f>1123.2+(461.7-169.5)+(-1.718496+(-0.706401--0.259335))+0-31.4--0.0480420000000018</f>
        <v>1381.88248</v>
      </c>
      <c r="Q362" s="3">
        <f>1140.4+(492-210.1)+(-0.581604+(-0.25092--0.107151))+0-31--0.0158099999999969</f>
        <v>1390.5904370000003</v>
      </c>
      <c r="R362" s="3">
        <f>1084.8+(497.3-205.2)+(-1.659744+(-0.760869--0.313956))+0-29.1--0.0445230000000017</f>
        <v>1345.7378660000002</v>
      </c>
      <c r="S362" s="3">
        <f>1051.7+(474.4-198.5)+(0+(0-0))+0-28.9-0</f>
        <v>1298.6999999999998</v>
      </c>
      <c r="T362" s="3">
        <f>997.5+(487.6-196.4)+(-1.526175+(-0.746028--0.300492))+0-29.4--0.0449820000000017</f>
        <v>1257.3732709999999</v>
      </c>
      <c r="U362" s="3">
        <f>990.4+(446.5-157.1)+(-3.535728+(-1.594005--0.560847))+0-31.2--0.111384</f>
        <v>1244.1424979999999</v>
      </c>
      <c r="V362" s="3">
        <f>978+(433.3-163.6)+(-0.99756+(-0.441966--0.166872))+0-30.6--0.0312120000000049</f>
        <v>1215.8585580000001</v>
      </c>
      <c r="W362" s="3">
        <f>933+(458-161.4)+(-1.90332+(-0.93432--0.329256))+0-30.1--0.0614039999999987</f>
        <v>1197.0530200000001</v>
      </c>
      <c r="X362" s="3">
        <f>1119+(418.7-171.2)+(0+(0-0))+0-29.3-0</f>
        <v>1337.2</v>
      </c>
      <c r="Y362" s="3">
        <f>1183.2+(626.8-193.6)+(-2.413728+(-1.278672--0.394944))+0-30--0.0611999999999987</f>
        <v>1583.1637440000002</v>
      </c>
      <c r="Z362" s="3">
        <f>1185.2+(620.9-198.9)+(-1.813356+(-0.949977--0.304317))+0-30.5--0.0466650000000018</f>
        <v>1574.2876490000001</v>
      </c>
      <c r="AA362" s="3">
        <f>1185.5+(596.3-215.3)+(-0.604605+(-0.304113--0.109803))+0-30.5--0.0155549999999969</f>
        <v>1535.2166399999999</v>
      </c>
      <c r="AB362" s="3">
        <f>1087.6+(611.3-191.2)+(1.664028+(0.935289-0.292536))+0-28.7-0.0439110000000017</f>
        <v>1481.2628699999998</v>
      </c>
      <c r="AC362" s="3">
        <f>992.6+(518.9-131)+(-2.53113+(-1.323195--0.33405))+0-27.1--0.0691049999999961</f>
        <v>1349.94883</v>
      </c>
      <c r="AD362">
        <f t="shared" si="5"/>
        <v>30247.630020000004</v>
      </c>
      <c r="AE362" s="3">
        <f>1190.6+(531.3-159.1)+(0+(0-0))+0-27.2-0</f>
        <v>1535.5999999999997</v>
      </c>
    </row>
    <row r="363" spans="1:31" s="2" customFormat="1" x14ac:dyDescent="0.25">
      <c r="A363">
        <v>89</v>
      </c>
      <c r="B363">
        <v>12</v>
      </c>
      <c r="C363">
        <v>27</v>
      </c>
      <c r="D363">
        <v>7</v>
      </c>
      <c r="E363">
        <v>1</v>
      </c>
      <c r="F363" s="3">
        <f>961.2+(402.1-174.8)+(-1.960848+(-0.820284--0.356592))+0-27--0.0550799999999988</f>
        <v>1159.1305400000001</v>
      </c>
      <c r="G363" s="3">
        <f>900.5+(375.5-192.8)+(-1.377765+(-0.574515--0.294984))+0-28.1--0.0429930000000016</f>
        <v>1053.4856970000001</v>
      </c>
      <c r="H363" s="3">
        <f>869.5+(339.8-192.1)+(-0.443445+(-0.173298--0.097971))+0-27.9--0.0142289999999972</f>
        <v>988.79545700000006</v>
      </c>
      <c r="I363" s="3">
        <f>867.9+(302.6-177.9)+(-1.327887+(-0.462978--0.272187))+0-27.6--0.0422280000000016</f>
        <v>963.52355</v>
      </c>
      <c r="J363" s="3">
        <f>867.4+(287.7-169.7)+(0.442374+(0.146727-0.086547))+0-27.7-0.0141269999999972</f>
        <v>958.18842699999993</v>
      </c>
      <c r="K363" s="3">
        <f>867.2+(309.1-189.2)+(-1.326816+(-0.472923--0.289476))+0-27.8--0.0425340000000016</f>
        <v>957.83227100000022</v>
      </c>
      <c r="L363" s="3">
        <f>864.7+(279.1-197.3)+(-0.881994+(-0.284682--0.201246))+0-28--0.0285600000000045</f>
        <v>917.56313</v>
      </c>
      <c r="M363" s="3">
        <f>864.6+(275.8-186.2)+(0+(0-0))+0-27.8-0</f>
        <v>926.40000000000009</v>
      </c>
      <c r="N363" s="3">
        <f>958.5+(287.5-188.4)+(0.488835+(0.146625-0.096084))+0-29.3-0.014942999999997</f>
        <v>1028.824433</v>
      </c>
      <c r="O363" s="3">
        <f>1011.1+(341.6-187.3)+(-0.515661+(-0.174216--0.095523))+0-28.1--0.0143309999999971</f>
        <v>1136.7199770000002</v>
      </c>
      <c r="P363" s="3">
        <f>1010.3+(398.8-179.4)+(-2.061012+(-0.813552--0.365976))+0-29.4--0.0599759999999987</f>
        <v>1197.851388</v>
      </c>
      <c r="Q363" s="3">
        <f>971.5+(421.6-146.3)+(-1.98186+(-0.860064--0.298452))+0-21.7--0.0442679999999991</f>
        <v>1222.6007959999999</v>
      </c>
      <c r="R363" s="3">
        <f>984.1+(402.4-168.1)+(-0.501891+(-0.205224--0.085731))+0-8.2--0.00418199999999917</f>
        <v>1209.5827979999999</v>
      </c>
      <c r="S363" s="3">
        <f>936.9+(436.2-171.3)+(0.477819+(0.222462-0.087363))+0-22.9-0.0116789999999977</f>
        <v>1179.5012389999999</v>
      </c>
      <c r="T363" s="3">
        <f>924.7+(418.7-165.8)+(-2.357985+(-1.067685--0.42279))+0-26.9--0.0685949999999961</f>
        <v>1147.7657149999998</v>
      </c>
      <c r="U363" s="3">
        <f>923+(397.4-164.3)+(-2.35365+(-1.01337--0.418965))+0-28.2--0.0719099999999959</f>
        <v>1125.0238549999997</v>
      </c>
      <c r="V363" s="3">
        <f>879.5+(430.3-158.4)+(-1.345635+(-0.658359--0.242352))+0-28.3--0.0432990000000016</f>
        <v>1121.3816570000001</v>
      </c>
      <c r="W363" s="3">
        <f>871.5+(439.2-149.7)+(-0.88893+(-0.447984--0.152694))+0-29.4--0.0299880000000047</f>
        <v>1130.4457679999998</v>
      </c>
      <c r="X363" s="3">
        <f>919.9+(541.1-137)+(0+(0-0))+0-28.4-0</f>
        <v>1295.5999999999999</v>
      </c>
      <c r="Y363" s="3">
        <f>955.2+(752.1-152.7)+(-1.461456+(-1.150713--0.233631))+0-28.3--0.0432990000000016</f>
        <v>1523.9647610000002</v>
      </c>
      <c r="Z363" s="3">
        <f>954.6+(730.6-152.7)+(-0.973692+(-0.745212--0.155754))+0-28.4--0.0289680000000045</f>
        <v>1502.565818</v>
      </c>
      <c r="AA363" s="3">
        <f>954.2+(695.9-166.4)+(-0.973284+(-0.709818--0.169728))+0-29.6--0.0301920000000047</f>
        <v>1452.616818</v>
      </c>
      <c r="AB363" s="3">
        <f>955+(625.7-169.3)+(-1.9482+(-1.276428--0.345372))+0-28.5--0.0581399999999988</f>
        <v>1380.0788840000002</v>
      </c>
      <c r="AC363" s="3">
        <f>954.5+(497.5-156.9)+(-1.94718+(-1.0149--0.320076))+0-27.7--0.0565079999999988</f>
        <v>1264.8145039999997</v>
      </c>
      <c r="AD363">
        <f t="shared" si="5"/>
        <v>27844.257482999998</v>
      </c>
      <c r="AE363" s="3">
        <f>951.6+(758.1-113.1)+(0+(0-0))+0-27.2-0</f>
        <v>1569.3999999999999</v>
      </c>
    </row>
    <row r="364" spans="1:31" s="2" customFormat="1" x14ac:dyDescent="0.25">
      <c r="A364">
        <v>89</v>
      </c>
      <c r="B364">
        <v>12</v>
      </c>
      <c r="C364">
        <v>28</v>
      </c>
      <c r="D364">
        <v>1</v>
      </c>
      <c r="E364">
        <v>6</v>
      </c>
      <c r="F364" s="3">
        <f>911.9+(417.2-185.6)+(-1.860276+(-0.851088--0.378624))+0-27.9--0.0569159999999988</f>
        <v>1113.3241759999999</v>
      </c>
      <c r="G364" s="3">
        <f>808.5+(404.6-186.4)+(-2.061675+(-1.03173--0.47532))+0-28.2--0.0719099999999959</f>
        <v>995.95382499999994</v>
      </c>
      <c r="H364" s="3">
        <f>807.8+(348.9-188.3)+(0.411978+(0.177939-0.096033))+0-27.4-0.0139739999999972</f>
        <v>941.4799099999999</v>
      </c>
      <c r="I364" s="3">
        <f>760.8+(366.7-179.8)+(-1.94004+(-0.935085--0.45849))+0-27.9--0.0711449999999959</f>
        <v>917.45450999999991</v>
      </c>
      <c r="J364" s="3">
        <f>650.9+(446.9-158.5)+(0.663918+(0.455838-0.16167))+0-27.9-0.0284580000000044</f>
        <v>912.32962799999996</v>
      </c>
      <c r="K364" s="3">
        <f>620.6+(475.4-160.4)+(0+(0-0))+0-28.1-0</f>
        <v>907.5</v>
      </c>
      <c r="L364" s="3">
        <f>566.8+(506.4-157.7)+(-0.867204+(-0.774792--0.241281))+0-28.3--0.0432990000000016</f>
        <v>885.8425840000001</v>
      </c>
      <c r="M364" s="3">
        <f>566.6+(540.7-146.3)+(-0.288966+(-0.275757--0.074613))+0-29.4--0.014993999999997</f>
        <v>931.12488400000007</v>
      </c>
      <c r="N364" s="3">
        <f>599.9+(663.6-138)+(-0.305949+(-0.338436--0.07038))+0-30.1--0.0153509999999969</f>
        <v>1094.8413460000002</v>
      </c>
      <c r="O364" s="3">
        <f>626.3+(726.8-136)+(-0.958239+(-1.112004--0.20808))+0-29.2--0.0446760000000017</f>
        <v>1186.0825129999998</v>
      </c>
      <c r="P364" s="3">
        <f>623.8+(785.7-137.2)+(-0.318138+(-0.400707--0.069972))+0-30.9--0.0157589999999969</f>
        <v>1240.7668859999997</v>
      </c>
      <c r="Q364" s="3">
        <f>624.2+(799.8-135.5)+(-1.273368+(-1.631592--0.27642))+0-30.9--0.0630359999999986</f>
        <v>1255.034496</v>
      </c>
      <c r="R364" s="3">
        <f>626.1+(773.6-136.7)+(-0.638622+(-0.789072--0.139434))+0-27.8--0.0283560000000044</f>
        <v>1233.940096</v>
      </c>
      <c r="S364" s="3">
        <f>630.5+(739.8-141.2)+(0+(0-0))+0-27.1-0</f>
        <v>1202</v>
      </c>
      <c r="T364" s="3">
        <f>629.3+(701.7-128.2)+(0.320943+(0.357867-0.065382))+0-28.7-0.0146369999999971</f>
        <v>1174.698791</v>
      </c>
      <c r="U364" s="3">
        <f>619.4+(698.4-128.9)+(-0.315894+(-0.356184--0.065739))+0-29--0.0147899999999971</f>
        <v>1159.3084510000001</v>
      </c>
      <c r="V364" s="3">
        <f>608.4+(708.2-127.7)+(-1.55142+(-1.80591--0.325635))+0-28.3--0.0721649999999959</f>
        <v>1157.6404700000003</v>
      </c>
      <c r="W364" s="3">
        <f>669.5+(685-134.5)+(-1.36578+(-1.3974--0.27438))+0-29.3--0.0597719999999987</f>
        <v>1188.270972</v>
      </c>
      <c r="X364" s="3">
        <f>778.8+(737.2-138.6)+(-0.397188+(-0.375972--0.070686))+0-29.8--0.015197999999997</f>
        <v>1346.9127240000003</v>
      </c>
      <c r="Y364" s="3">
        <f>860.4+(841.8-149.4)+(-0.877608+(-0.858636--0.152388))+0-30.1--0.0307020000000048</f>
        <v>1521.1468460000001</v>
      </c>
      <c r="Z364" s="3">
        <f>820.1+(863.1-148.4)+(-0.418251+(-0.440181--0.075684))+0-30.1--0.0153509999999969</f>
        <v>1503.9326030000002</v>
      </c>
      <c r="AA364" s="3">
        <f>865+(777.4-148.6)+(-1.32345+(-1.189422--0.227358))+0-28.4--0.0434520000000016</f>
        <v>1463.1579379999998</v>
      </c>
      <c r="AB364" s="3">
        <f>865+(700.5-146.2)+(-1.32345+(-1.071765--0.223686))+0-26.1--0.0399330000000015</f>
        <v>1391.0684040000001</v>
      </c>
      <c r="AC364" s="3">
        <f>863.3+(572.8-144.5)+(-1.320849+(-0.876384--0.221085))+0-26.5--0.0405450000000015</f>
        <v>1263.164397</v>
      </c>
      <c r="AD364">
        <f t="shared" si="5"/>
        <v>27986.976450000006</v>
      </c>
      <c r="AE364" s="3">
        <f>858.4+(844-110.7)+(0+(0-0))+0-32.8-0</f>
        <v>1558.8999999999999</v>
      </c>
    </row>
    <row r="365" spans="1:31" s="2" customFormat="1" x14ac:dyDescent="0.25">
      <c r="A365">
        <v>89</v>
      </c>
      <c r="B365">
        <v>12</v>
      </c>
      <c r="C365">
        <v>29</v>
      </c>
      <c r="D365">
        <v>2</v>
      </c>
      <c r="E365">
        <v>2</v>
      </c>
      <c r="F365" s="3">
        <f>790.9+(499-123.3)+(-1.210077+(-0.76347--0.188649))+0-28.2--0.0431460000000016</f>
        <v>1136.6582479999997</v>
      </c>
      <c r="G365" s="3">
        <f>732.1+(440.4-131.5)+(-1.120113+(-0.673812--0.201195))+0-27.8--0.0425340000000016</f>
        <v>1011.649804</v>
      </c>
      <c r="H365" s="3">
        <f>706.7+(402.3-133.6)+(-1.441668+(-0.820692--0.272544))+0-28--0.0571199999999988</f>
        <v>945.46730400000013</v>
      </c>
      <c r="I365" s="3">
        <f>620.7+(447.5-122.7)+(0.316557+(0.228225-0.062577))+0-28.3-0.0144329999999971</f>
        <v>917.66777200000001</v>
      </c>
      <c r="J365" s="3">
        <f>613.5+(445.9-122.7)+(0.938655+(0.682227-0.187731))+0-28.5-0.0436050000000016</f>
        <v>909.58954600000004</v>
      </c>
      <c r="K365" s="3">
        <f>611+(457.2-119.4)+(-0.62322+(-0.466344--0.121788))+0-28.4--0.0289680000000045</f>
        <v>919.46119199999998</v>
      </c>
      <c r="L365" s="3">
        <f>591.3+(454.3-122.5)+(-0.904689+(-0.695079--0.187425))+0-28.4--0.0434520000000016</f>
        <v>893.33110899999997</v>
      </c>
      <c r="M365" s="3">
        <f>632.2+(413.4-117.4)+(1.289688+(0.843336-0.239496))+0-28.6-0.0583439999999988</f>
        <v>901.43518399999994</v>
      </c>
      <c r="N365" s="3">
        <f>695.2+(425.7-105.4)+(0+(0-0))+0-30-0</f>
        <v>985.5</v>
      </c>
      <c r="O365" s="3">
        <f>715.1+(544.6-101.3)+(-0.729402+(-0.555492--0.103326))+0-30--0.0306000000000048</f>
        <v>1127.2490320000002</v>
      </c>
      <c r="P365" s="3">
        <f>730.8+(578.8-99.7)+(-1.490832+(-1.180752--0.203388))+0-30.4--0.0620159999999987</f>
        <v>1177.0938199999998</v>
      </c>
      <c r="Q365" s="3">
        <f>761.1+(569.2-101.3)+(-1.164483+(-0.870876--0.154989))+0-31--0.0474300000000018</f>
        <v>1196.16706</v>
      </c>
      <c r="R365" s="3">
        <f>693.9+(605.9-102.5)+(-1.061667+(-0.927027--0.156825))+0-28.6--0.0437580000000017</f>
        <v>1166.911889</v>
      </c>
      <c r="S365" s="3">
        <f>748+(522.4-105.1)+(-1.9074+(-1.33212--0.268005))+0-28.5--0.0726749999999959</f>
        <v>1133.9011599999999</v>
      </c>
      <c r="T365" s="3">
        <f>815+(433.8-109.5)+(-1.6626+(-0.884952--0.22338))+0-28.8--0.0587519999999987</f>
        <v>1108.2345799999998</v>
      </c>
      <c r="U365" s="3">
        <f>884.8+(386.4-123)+(-1.353744+(-0.591192--0.18819))+0-30.4--0.0465120000000018</f>
        <v>1116.0897659999996</v>
      </c>
      <c r="V365" s="3">
        <f>925.6+(372.9-149.5)+(0.472056+(0.190179-0.076245))+0-28.9-0.0147389999999971</f>
        <v>1120.671251</v>
      </c>
      <c r="W365" s="3">
        <f>967.8+(370.4-139.2)+(0+(0-0))+0-28.3-0</f>
        <v>1170.7</v>
      </c>
      <c r="X365" s="3">
        <f>1015.1+(474.9-107.9)+(0.517701+(0.242199-0.055029))+0-28.3-0.0144329999999971</f>
        <v>1354.4904379999998</v>
      </c>
      <c r="Y365" s="3">
        <f>1132.6+(568-110.6)+(-2.88813+(-1.4484--0.28203))+0-27.8--0.070889999999996</f>
        <v>1558.21639</v>
      </c>
      <c r="Z365" s="3">
        <f>1141.7+(528.6-111.8)+(-1.746801+(-0.808758--0.171054))+0-27.3--0.0417690000000016</f>
        <v>1528.857264</v>
      </c>
      <c r="AA365" s="3">
        <f>1096.2+(536.3-111.5)+(-1.118124+(-0.547026--0.11373))+0-26.4--0.0269280000000042</f>
        <v>1493.0755079999999</v>
      </c>
      <c r="AB365" s="3">
        <f>1018.9+(565.1-111.4)+(-0.519639+(-0.288201--0.056814))+0-26.5--0.0135149999999973</f>
        <v>1445.3624890000001</v>
      </c>
      <c r="AC365" s="3">
        <f>1009.5+(484.8-124.6)+(-2.05938+(-0.988992--0.254184))+0-28--0.0571199999999988</f>
        <v>1338.9629319999999</v>
      </c>
      <c r="AD365">
        <f t="shared" si="5"/>
        <v>27656.743737999994</v>
      </c>
      <c r="AE365" s="3">
        <f>1140.3+(578.3-112.9)+(0+(0-0))+0-28-0</f>
        <v>1577.6999999999998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89</v>
      </c>
      <c r="B1">
        <v>1</v>
      </c>
      <c r="C1">
        <v>1</v>
      </c>
      <c r="D1">
        <v>2</v>
      </c>
      <c r="E1">
        <v>2</v>
      </c>
      <c r="F1" s="3">
        <f>1138.4+(1624.4-1184.5)+(0+(0-0))+0-427.9-0</f>
        <v>1150.4000000000001</v>
      </c>
      <c r="G1" s="3">
        <f>986.1+(1533.4-1066.2)+(0+(0-0))+0-426.3-0</f>
        <v>1027.0000000000002</v>
      </c>
      <c r="H1" s="3">
        <f>921.5+(1341.2-880.2)+(0+(0-0))+0-426.7-0</f>
        <v>955.8</v>
      </c>
      <c r="I1" s="3">
        <f>893+(1183.4-725.3)+(-0.45543+(-0.603534--0.369903))+0-424.6--0.216545999999957</f>
        <v>926.02748500000007</v>
      </c>
      <c r="J1" s="3">
        <f>891+(1160.7-714.5)+(-2.27205+(-2.959785--1.821975))+0-425.9--1.08604499999994</f>
        <v>908.97618499999999</v>
      </c>
      <c r="K1" s="3">
        <f>894.9+(1120.3-674.1)+(-0.456399+(-0.571353--0.343791))+0-425--0.216749999999957</f>
        <v>915.63278899999989</v>
      </c>
      <c r="L1" s="3">
        <f>889.3+(937.1-515.9)+(-2.267715+(-2.389605--1.315545))+0-422.1--1.07635499999994</f>
        <v>886.1345799999998</v>
      </c>
      <c r="M1" s="3">
        <f>893.6+(890.5-469)+(1.367208+(1.362465-0.71757))+0-425.9-0.651627000000025</f>
        <v>890.56047599999988</v>
      </c>
      <c r="N1" s="3">
        <f>893.4+(1060.6-602.5)+(0+(0-0))+0-425.7-0</f>
        <v>925.8</v>
      </c>
      <c r="O1" s="3">
        <f>926.4+(828.8-367.4)+(-1.889856+(-1.690752--0.749496))+0-428.5--0.874139999999981</f>
        <v>957.34302799999989</v>
      </c>
      <c r="P1" s="3">
        <f>981+(682.9-262.6)+(-2.50155+(-1.741395--0.66963))+0-432--1.10159999999994</f>
        <v>966.82828499999982</v>
      </c>
      <c r="Q1" s="3">
        <f>982.3+(612.5-228.1)+(-1.001946+(-0.62475--0.232662))+0-408.2--0.416364000000065</f>
        <v>957.5223299999999</v>
      </c>
      <c r="R1" s="3">
        <f>983.8+(641.3-266.7)+(-1.003476+(-0.654126--0.272034))+0-410.1--0.418302000000065</f>
        <v>947.33273399999996</v>
      </c>
      <c r="S1" s="3">
        <f>981.8+(688.5-314.7)+(0+(0-0))+0-428.4-0</f>
        <v>927.19999999999993</v>
      </c>
      <c r="T1" s="3">
        <f>980.5+(607.8-253.5)+(-1.500165+(-0.929934--0.387855))+0-423--0.647190000000024</f>
        <v>910.404946</v>
      </c>
      <c r="U1" s="3">
        <f>980.9+(604.7-249.4)+(-1.500777+(-0.925191--0.381582))+0-424.5--0.649485000000025</f>
        <v>910.30509900000004</v>
      </c>
      <c r="V1" s="3">
        <f>982+(796.3-429)+(-1.50246+(-1.218339--0.65637))+0-425--0.650250000000025</f>
        <v>922.88582099999996</v>
      </c>
      <c r="W1" s="3">
        <f>984.8+(1119.2-719.9)+(-1.004496+(-1.141584--0.734298))+0-428.9--0.437478000000068</f>
        <v>954.22569600000008</v>
      </c>
      <c r="X1" s="3">
        <f>1062.4+(1397.7-897.6)+(-0.541824+(-0.712827--0.457776))+0-431.8--0.220217999999956</f>
        <v>1130.123343</v>
      </c>
      <c r="Y1" s="3">
        <f>1339+(1902.6-1481.8)+(0+(0-0))+0-428.9-0</f>
        <v>1330.9</v>
      </c>
      <c r="Z1" s="3">
        <f>1376.4+(1986.2-1631.3)+(-0.701964+(-1.012962--0.831963))+0-431.8--0.220217999999956</f>
        <v>1298.8372550000001</v>
      </c>
      <c r="AA1" s="3">
        <f>1378.8+(1865.3-1544)+(-3.51594+(-4.756515--3.9372))+0-426.7--1.08808499999994</f>
        <v>1270.1528299999998</v>
      </c>
      <c r="AB1" s="3">
        <f>1379.4+(1772.7-1493.1)+(-1.406988+(-1.808154--1.522962))+0-424.4--0.432888000000068</f>
        <v>1233.3407080000004</v>
      </c>
      <c r="AC1" s="3">
        <f>1357.5+(1568.1-1357.6)+(-4.846275+(-5.598117--4.846632))+0-409.4--1.46155800000001</f>
        <v>1154.4637979999998</v>
      </c>
      <c r="AD1">
        <f t="shared" ref="AD1:AD64" si="0">SUM(F1:AC1)</f>
        <v>24458.197387999997</v>
      </c>
      <c r="AE1" s="3">
        <f>1375+(1866-1458)+(0+(0-0))+0-429-0</f>
        <v>1354</v>
      </c>
    </row>
    <row r="2" spans="1:31" s="2" customFormat="1" x14ac:dyDescent="0.25">
      <c r="A2">
        <v>89</v>
      </c>
      <c r="B2">
        <v>1</v>
      </c>
      <c r="C2">
        <v>2</v>
      </c>
      <c r="D2">
        <v>3</v>
      </c>
      <c r="E2">
        <v>2</v>
      </c>
      <c r="F2" s="3">
        <f>(G2+AC1)/2</f>
        <v>1098.8982489999999</v>
      </c>
      <c r="G2" s="3">
        <f>1106+(1116-743)+(-2.8203+(-2.8458--1.89465))+0-433--1.10414999999994</f>
        <v>1043.3326999999999</v>
      </c>
      <c r="H2" s="3">
        <f>1070.5+(864.7-548.7)+(-3.27573+(-2.645982--1.679022))+0-425.3--1.30141800000005</f>
        <v>958.25872800000002</v>
      </c>
      <c r="I2" s="3">
        <f>984.5+(867.7-508.3)+(-1.00419+(-0.885054--0.518466))+0-428--0.436560000000068</f>
        <v>914.96578200000022</v>
      </c>
      <c r="J2" s="3">
        <f>988.6+(855.1-516)+(0+(0-0))+0-427.9-0</f>
        <v>899.80000000000007</v>
      </c>
      <c r="K2" s="3">
        <f>986.4+(817.2-479.4)+(1.006128+(0.833544-0.488988))+0-425.6-0.434112000000068</f>
        <v>899.516572</v>
      </c>
      <c r="L2" s="3">
        <f>988.6+(833.7-498.5)+(0.504186+(0.425187-0.254235))+0-424.4-0.216443999999957</f>
        <v>899.85869400000036</v>
      </c>
      <c r="M2" s="3">
        <f>984.6+(629.7-331.8)+(-2.51073+(-1.605735--0.84609))+0-424.7--1.08298499999994</f>
        <v>855.61260999999979</v>
      </c>
      <c r="N2" s="3">
        <f>986.2+(696-396.9)+(-1.005924+(-0.70992--0.404838))+0-424.6--0.433092000000068</f>
        <v>859.82208600000035</v>
      </c>
      <c r="O2" s="3">
        <f>1074.8+(713-439.4)+(-1.096296+(-0.72726--0.448188))+0-429.4--0.437988000000068</f>
        <v>918.06262000000015</v>
      </c>
      <c r="P2" s="3">
        <f>1108.9+(883.3-589.6)+(-1.131078+(-0.900966--0.601392))+0-428.1--0.436662000000068</f>
        <v>973.50600999999995</v>
      </c>
      <c r="Q2" s="3">
        <f>1100.5+(983.7-670.7)+(-1.683765+(-1.505061--1.026171))+0-430.1--0.658053000000025</f>
        <v>981.89539799999989</v>
      </c>
      <c r="R2" s="3">
        <f>1102.7+(1309.1-981.4)+(0+(0-0))+0-430.1-0</f>
        <v>1000.3000000000001</v>
      </c>
      <c r="S2" s="3">
        <f>1058.4+(1292.5-929.9)+(-2.69892+(-3.295875--2.371245))+0-428.5--1.09267499999994</f>
        <v>989.96912499999996</v>
      </c>
      <c r="T2" s="3">
        <f>976.1+(1290.6-868.6)+(-0.497811+(-0.658206--0.442986))+0-420.6--0.214505999999957</f>
        <v>977.0014749999998</v>
      </c>
      <c r="U2" s="3">
        <f>976.4+(1237.8-830.3)+(-0.497964+(-0.631278--0.423453))+0-416.8--0.212567999999958</f>
        <v>966.60677899999996</v>
      </c>
      <c r="V2" s="3">
        <f>977+(1243.6-825.1)+(-1.49481+(-1.902708--1.262403))+0-420.8--0.643824000000024</f>
        <v>973.208709</v>
      </c>
      <c r="W2" s="3">
        <f>976.2+(1206.1-775.4)+(-0.995724+(-1.230222--0.790908))+0-422.2--0.430644000000067</f>
        <v>983.695606</v>
      </c>
      <c r="X2" s="3">
        <f>1003.7+(1029.5-600.2)+(0+(0-0))+0-427.5-0</f>
        <v>1005.5</v>
      </c>
      <c r="Y2" s="3">
        <f>1324.4+(1041.6-761.4)+(-0.675444+(-0.531216--0.388314))+0-426.2--0.217361999999957</f>
        <v>1177.7990159999997</v>
      </c>
      <c r="Z2" s="3">
        <f>1380.1+(1545.6-1123.2)+(-2.815404+(-3.153024--2.291328))+0-427.8--0.872711999999981</f>
        <v>1371.8956119999998</v>
      </c>
      <c r="AA2" s="3">
        <f>1380.9+(1708-1319.8)+(-1.408518+(-1.74216--1.346196))+0-424.3--0.432786000000068</f>
        <v>1343.4283040000003</v>
      </c>
      <c r="AB2" s="3">
        <f>1379.6+(1847.5-1494.9)+(-2.110788+(-2.826675--2.287197))+0-419--0.641070000000024</f>
        <v>1311.1908039999998</v>
      </c>
      <c r="AC2" s="3">
        <f>1381.5+(1543.4-1238.5)+(-2.113695+(-2.361402--1.894905))+0-408.5--0.625005000000024</f>
        <v>1275.9448130000003</v>
      </c>
      <c r="AD2">
        <f t="shared" si="0"/>
        <v>24680.069692000005</v>
      </c>
      <c r="AE2" s="3">
        <f>1384+(1603-1158)+(0+(0-0))+0-429-0</f>
        <v>1400</v>
      </c>
    </row>
    <row r="3" spans="1:31" s="2" customFormat="1" x14ac:dyDescent="0.25">
      <c r="A3">
        <v>89</v>
      </c>
      <c r="B3">
        <v>1</v>
      </c>
      <c r="C3">
        <v>3</v>
      </c>
      <c r="D3">
        <v>4</v>
      </c>
      <c r="E3">
        <v>2</v>
      </c>
      <c r="F3" s="3">
        <f>1351.8+(1583.6-1334.3)+(-2.757672+(-3.230544--2.721972))+0-411.4--0.839255999999982</f>
        <v>1187.2730119999999</v>
      </c>
      <c r="G3" s="3">
        <f>1250+(1089.7-854.3)+(-1.9125+(-1.667241--1.307079))+0-413.9--0.633267000000024</f>
        <v>1069.8606050000001</v>
      </c>
      <c r="H3" s="3">
        <f>985.1+(980.8-561.5)+(-3.014406+(-3.001248--1.71819))+0-416.4--1.27418400000005</f>
        <v>984.97672000000023</v>
      </c>
      <c r="I3" s="3">
        <f>983.9+(808.8-420.2)+(-1.003578+(-0.824976--0.428604))+0-414.3--0.422586000000066</f>
        <v>957.22263600000008</v>
      </c>
      <c r="J3" s="3">
        <f>983.3+(796.4-416.9)+(-1.504449+(-1.218492--0.637857))+0-414.4--0.634032000000024</f>
        <v>946.94894799999997</v>
      </c>
      <c r="K3" s="3">
        <f>984.1+(910.4-527)+(-0.501891+(-0.464304--0.26877))+0-421.2--0.214811999999957</f>
        <v>945.81738699999983</v>
      </c>
      <c r="L3" s="3">
        <f>984.1+(1014.2-632.1)+(-2.007564+(-2.068968--1.289484))+0-423--0.862919999999981</f>
        <v>941.27587200000016</v>
      </c>
      <c r="M3" s="3">
        <f>983.2+(783.4-446.1)+(-1.504296+(-1.198602--0.682533))+0-425.6--0.651168000000025</f>
        <v>893.53080299999988</v>
      </c>
      <c r="N3" s="3">
        <f>985.2+(911.9-573.2)+(0.502452+(0.465069-0.292332))+0-418.3-0.213332999999958</f>
        <v>906.06185600000026</v>
      </c>
      <c r="O3" s="3">
        <f>984.9+(1214.1-820.2)+(0+(0-0))+0-421.6-0</f>
        <v>957.1999999999997</v>
      </c>
      <c r="P3" s="3">
        <f>939.1+(1310.9-853.4)+(0.478941+(0.668559-0.435234))+0-393.2-0.20053199999996</f>
        <v>1003.9117340000001</v>
      </c>
      <c r="Q3" s="3">
        <f>904.3+(1182.4-692.3)+(-0.461193+(-0.603024--0.353073))+0-389.7--0.19874699999996</f>
        <v>1004.1876029999999</v>
      </c>
      <c r="R3" s="3">
        <f>906.2+(1109.8-616.7)+(-0.924324+(-1.131996--0.629034))+0-394.5--0.402390000000063</f>
        <v>1003.7751039999999</v>
      </c>
      <c r="S3" s="3">
        <f>955.8+(956.6-530.9)+(-0.487458+(-0.487866--0.270759))+0-394.9--0.20139899999996</f>
        <v>986.09683399999994</v>
      </c>
      <c r="T3" s="3">
        <f>987+(868.8-479.1)+(0+(0-0))+0-401-0</f>
        <v>975.69999999999982</v>
      </c>
      <c r="U3" s="3">
        <f>986.1+(866.5-469.8)+(-1.508733+(-1.325745--0.718794))+0-406.3--0.621639000000023</f>
        <v>975.00595499999997</v>
      </c>
      <c r="V3" s="3">
        <f>987.4+(812.4-393.9)+(-1.007148+(-0.828648--0.401778))+0-414.4--0.422688000000066</f>
        <v>990.4886700000003</v>
      </c>
      <c r="W3" s="3">
        <f>986.9+(923.3-481.1)+(-1.006638+(-0.941766--0.490722))+0-418.2--0.426564000000067</f>
        <v>1009.868882</v>
      </c>
      <c r="X3" s="3">
        <f>996.9+(1019.1-537.5)+(0+(0-0))+0-422.3-0</f>
        <v>1056.2</v>
      </c>
      <c r="Y3" s="3">
        <f>1278.7+(1250.9-875.1)+(0+(0-0))+0-424.8-0</f>
        <v>1229.7</v>
      </c>
      <c r="Z3" s="3">
        <f>1382.6+(1562.9-1151.4)+(-2.820504+(-3.188316--2.348856))+0-427.5--0.872099999999981</f>
        <v>1363.812136</v>
      </c>
      <c r="AA3" s="3">
        <f>1381.8+(1436.9-1050.3)+(0+(0-0))+0-425.1-0</f>
        <v>1343.3000000000002</v>
      </c>
      <c r="AB3" s="3">
        <f>1380.2+(1411.8-1061.9)+(-0.703902+(-0.720018--0.541569))+0-425--0.216749999999957</f>
        <v>1304.434399</v>
      </c>
      <c r="AC3" s="3">
        <f>1225.1+(1482-1024.9)+(-1.249602+(-1.51164--1.045398))+0-423.3--0.431766000000067</f>
        <v>1257.615922</v>
      </c>
      <c r="AD3">
        <f t="shared" si="0"/>
        <v>25294.265078</v>
      </c>
      <c r="AE3" s="3">
        <f>1383+(1609-1155)+(0+(0-0))+0-427-0</f>
        <v>1410</v>
      </c>
    </row>
    <row r="4" spans="1:31" s="2" customFormat="1" x14ac:dyDescent="0.25">
      <c r="A4">
        <v>89</v>
      </c>
      <c r="B4">
        <v>1</v>
      </c>
      <c r="C4">
        <v>4</v>
      </c>
      <c r="D4">
        <v>5</v>
      </c>
      <c r="E4">
        <v>2</v>
      </c>
      <c r="F4" s="3">
        <f>1048.6+(1489.2-938.6)+(-1.069572+(-1.518984--0.957372))+0-424.3--0.432786000000068</f>
        <v>1173.7016019999999</v>
      </c>
      <c r="G4" s="3">
        <f>1003.9+(1322.3-844.5)+(-2.047956+(-2.697492--1.72278))+0-426.9--0.870875999999981</f>
        <v>1052.6482079999996</v>
      </c>
      <c r="H4" s="3">
        <f>982.9+(941.9-509.3)+(-1.503837+(-1.441107--0.779229))+0-428.5--0.655605000000025</f>
        <v>985.48988999999995</v>
      </c>
      <c r="I4" s="3">
        <f>983.9+(846.4-448.6)+(1.003578+(0.863328-0.457572))+0-424.4-0.432888000000068</f>
        <v>958.27644599999974</v>
      </c>
      <c r="J4" s="3">
        <f>983.2+(690.2-316.4)+(-0.501432+(-0.352002--0.161364))+0-419.8--0.214097999999957</f>
        <v>936.72202799999991</v>
      </c>
      <c r="K4" s="3">
        <f>983.5+(780.6-402.8)+(0.501585+(0.398106-0.205428))+0-422.4-0.215423999999957</f>
        <v>939.37883900000008</v>
      </c>
      <c r="L4" s="3">
        <f>983.3+(812.8-435)+(-0.501483+(-0.414528--0.22185))+0-427.7--0.218126999999957</f>
        <v>932.92396599999995</v>
      </c>
      <c r="M4" s="3">
        <f>981.7+(640.6-306.6)+(-1.001334+(-0.653412--0.312732))+0-426.7--0.435234000000068</f>
        <v>888.09321999999997</v>
      </c>
      <c r="N4" s="3">
        <f>983.6+(805-460.8)+(0+(0-0))+0-424.4-0</f>
        <v>903.4</v>
      </c>
      <c r="O4" s="3">
        <f>989.1+(1094.3-699)+(0.504441+(0.558093-0.35649))+0-418.3-0.213332999999958</f>
        <v>966.59271100000024</v>
      </c>
      <c r="P4" s="3">
        <f>1066.9+(948.6-559.1)+(-2.176476+(-1.935144--1.140564))+0-420.4--0.857615999999982</f>
        <v>1033.8865600000001</v>
      </c>
      <c r="Q4" s="3">
        <f>1112+(858.4-487.8)+(-1.13424+(-0.875568--0.497556))+0-413.9--0.422178000000066</f>
        <v>1067.6099259999999</v>
      </c>
      <c r="R4" s="3">
        <f>1110.8+(851.7-459.8)+(0+(0-0))+0-423.9-0</f>
        <v>1078.8000000000002</v>
      </c>
      <c r="S4" s="3">
        <f>1110.4+(898.8-515.8)+(0.566304+(0.458388-0.263058))+0-426.4-0.217463999999957</f>
        <v>1067.5441699999999</v>
      </c>
      <c r="T4" s="3">
        <f>1107.8+(804.9-442.1)+(-1.129956+(-0.820998--0.450942))+0-424.4--0.432888000000068</f>
        <v>1045.1328759999999</v>
      </c>
      <c r="U4" s="3">
        <f>1108.1+(846.4-492.5)+(-1.695393+(-1.294992--0.753525))+0-423.3--0.647649000000024</f>
        <v>1037.1107890000001</v>
      </c>
      <c r="V4" s="3">
        <f>1107.7+(880.2-527.4)+(0+(0-0))+0-422.4-0</f>
        <v>1038.0999999999999</v>
      </c>
      <c r="W4" s="3">
        <f>1109.1+(1005.3-622.8)+(-0.565641+(-0.512703--0.317628))+0-428--0.218279999999957</f>
        <v>1063.057564</v>
      </c>
      <c r="X4" s="3">
        <f>1111.7+(1036.2-598.9)+(-0.566967+(-0.528462--0.305439))+0-428.6--0.218585999999957</f>
        <v>1119.8285959999998</v>
      </c>
      <c r="Y4" s="3">
        <f>1303.7+(845.6-474.9)+(-0.664887+(-0.431256--0.242199))+0-425--0.216749999999957</f>
        <v>1248.7628060000002</v>
      </c>
      <c r="Z4" s="3">
        <f>1384.4+(1138.6-735.3)+(-2.824176+(-2.322744--1.500012))+0-412.8--0.842111999999982</f>
        <v>1372.0952040000002</v>
      </c>
      <c r="AA4" s="3">
        <f>1384.4+(1028.7-657.4)+(-1.412088+(-1.049274--0.670548))+0-415.1--0.423402000000066</f>
        <v>1339.2325880000005</v>
      </c>
      <c r="AB4" s="3">
        <f>1385+(1045.1-722.6)+(0+(0-0))+0-409.3-0</f>
        <v>1298.2</v>
      </c>
      <c r="AC4" s="3">
        <f>1384.1+(971.8-678.9)+(-1.411782+(-0.991236--0.692478))+0-408.6--0.416772000000065</f>
        <v>1267.1062320000001</v>
      </c>
      <c r="AD4">
        <f t="shared" si="0"/>
        <v>25813.694220999998</v>
      </c>
      <c r="AE4" s="3">
        <f>1386+(1156-817)+(0+(0-0))+0-401-0</f>
        <v>1324</v>
      </c>
    </row>
    <row r="5" spans="1:31" s="2" customFormat="1" x14ac:dyDescent="0.25">
      <c r="A5">
        <v>89</v>
      </c>
      <c r="B5">
        <v>1</v>
      </c>
      <c r="C5">
        <v>5</v>
      </c>
      <c r="D5">
        <v>6</v>
      </c>
      <c r="E5">
        <v>6</v>
      </c>
      <c r="F5" s="3">
        <f>1281.7+(826.4-511.4)+(-3.268335+(-2.10732--1.30407))+0-412.6--1.05212999999994</f>
        <v>1181.0805450000003</v>
      </c>
      <c r="G5" s="3">
        <f>1081.7+(793.4-387.2)+(-1.655001+(-1.213902--0.592416))+0-412.6--0.631278000000024</f>
        <v>1073.6547910000002</v>
      </c>
      <c r="H5" s="3">
        <f>983+(910.6-472.7)+(-1.00266+(-0.928812--0.482154))+0-420.3--0.428706000000067</f>
        <v>999.57938800000022</v>
      </c>
      <c r="I5" s="3">
        <f>983+(814.4-398.2)+(-0.50133+(-0.415344--0.203082))+0-425.7--0.217106999999957</f>
        <v>973.00351499999988</v>
      </c>
      <c r="J5" s="3">
        <f>984.6+(814.4-411.7)+(-0.502146+(-0.415344--0.209967))+0-425.4--0.216953999999957</f>
        <v>961.40943099999993</v>
      </c>
      <c r="K5" s="3">
        <f>983.1+(845.8-451)+(-0.501381+(-0.431358--0.23001))+0-424.8--0.216647999999957</f>
        <v>952.61391900000001</v>
      </c>
      <c r="L5" s="3">
        <f>981+(822.5-439.6)+(-2.00124+(-1.6779--0.896784))+0-406.2--0.828647999999982</f>
        <v>955.74629200000004</v>
      </c>
      <c r="M5" s="3">
        <f>983.8+(752.4-390.9)+(0.501738+(0.383724-0.199359))+0-425.1-0.216800999999957</f>
        <v>920.66930200000002</v>
      </c>
      <c r="N5" s="3">
        <f>985.4+(918.6-528.8)+(0.502554+(0.468486-0.269688))+0-425.5-0.217004999999957</f>
        <v>950.18434700000012</v>
      </c>
      <c r="O5" s="3">
        <f>983.8+(1063.2-607.8)+(0.501738+(0.542232-0.309978))+0-426.5-0.217514999999957</f>
        <v>1013.2164770000001</v>
      </c>
      <c r="P5" s="3">
        <f>984.1+(1063.2-559.1)+(0+(0-0))+0-426.3-0</f>
        <v>1061.9000000000001</v>
      </c>
      <c r="Q5" s="3">
        <f>986+(1075.2-551.3)+(1.00572+(1.096704-0.562326))+0-426.2-0.434724000000068</f>
        <v>1084.805374</v>
      </c>
      <c r="R5" s="3">
        <f>983.8+(1050.6-519.1)+(-0.501738+(-0.535806--0.264741))+0-426.3--0.217412999999957</f>
        <v>1088.4446099999996</v>
      </c>
      <c r="S5" s="3">
        <f>983+(893.4-382.1)+(-1.00266+(-0.911268--0.389742))+0-424.1--0.432582000000068</f>
        <v>1069.1083959999999</v>
      </c>
      <c r="T5" s="3">
        <f>984.8+(907.2-416.6)+(0.502248+(0.462672-0.212466))+0-423.5-0.215984999999957</f>
        <v>1052.436469</v>
      </c>
      <c r="U5" s="3">
        <f>982.8+(793.3-303.6)+(-1.002456+(-0.809166--0.309672))+0-428.7--0.437274000000068</f>
        <v>1042.735324</v>
      </c>
      <c r="V5" s="3">
        <f>985.4+(791.7-294.1)+(0+(0-0))+0-426.8-0</f>
        <v>1056.2</v>
      </c>
      <c r="W5" s="3">
        <f>977.7+(833.5-297.6)+(-1.495881+(-1.275255--0.455328))+0-425.1--0.650403000000025</f>
        <v>1086.8345949999998</v>
      </c>
      <c r="X5" s="3">
        <f>975.9+(959.2-366.8)+(-1.990836+(-1.956768--0.748272))+0-425.2--0.867407999999981</f>
        <v>1140.7680760000003</v>
      </c>
      <c r="Y5" s="3">
        <f>1196.3+(858.3-357.3)+(-1.220226+(-0.875466--0.364446))+0-414.1--0.422382000000066</f>
        <v>1281.891136</v>
      </c>
      <c r="Z5" s="3">
        <f>1375.9+(1034.7-586)+(-2.105127+(-1.583091--0.89658))+0-414--0.633420000000024</f>
        <v>1408.4417820000003</v>
      </c>
      <c r="AA5" s="3">
        <f>1376.8+(995.2-579)+(0+(0-0))+0-412.6-0</f>
        <v>1380.4</v>
      </c>
      <c r="AB5" s="3">
        <f>1376.6+(949.8-581.6)+(-0.702066+(-0.484398--0.296616))+0-410.4--0.209303999999958</f>
        <v>1333.7194559999998</v>
      </c>
      <c r="AC5" s="3">
        <f>1351.7+(789.8-435.9)+(-1.378734+(-0.805596--0.444618))+0-415.2--0.423504000000066</f>
        <v>1289.0837919999999</v>
      </c>
      <c r="AD5">
        <f t="shared" si="0"/>
        <v>26357.927016999998</v>
      </c>
      <c r="AE5" s="3">
        <f>1380+(1058-570)+(0+(0-0))+0-414-0</f>
        <v>1454</v>
      </c>
    </row>
    <row r="6" spans="1:31" s="2" customFormat="1" x14ac:dyDescent="0.25">
      <c r="A6">
        <v>89</v>
      </c>
      <c r="B6">
        <v>1</v>
      </c>
      <c r="C6">
        <v>6</v>
      </c>
      <c r="D6">
        <v>7</v>
      </c>
      <c r="E6">
        <v>1</v>
      </c>
      <c r="F6" s="3">
        <f>1212.7+(869.1-483.7)+(-0.618477+(-0.443241--0.246687))+0-412--0.210119999999958</f>
        <v>1185.495089</v>
      </c>
      <c r="G6" s="3">
        <f>1036.7+(806.2-354.6)+(-1.057434+(-0.822324--0.361692))+0-414--0.422280000000066</f>
        <v>1073.2042140000001</v>
      </c>
      <c r="H6" s="3">
        <f>966.6+(736-297.7)+(-1.478898+(-1.12608--0.455481))+0-412.7--0.631431000000024</f>
        <v>990.68193399999996</v>
      </c>
      <c r="I6" s="3">
        <f>969+(674.2-259.3)+(0+(0-0))+0-415.4-0</f>
        <v>968.50000000000011</v>
      </c>
      <c r="J6" s="3">
        <f>965.7+(653.4-264.8)+(-1.477521+(-0.999702--0.405144))+0-393.3--0.601749000000023</f>
        <v>959.52967000000001</v>
      </c>
      <c r="K6" s="3">
        <f>970.1+(703.1-339.5)+(0+(0-0))+0-381.9-0</f>
        <v>951.80000000000007</v>
      </c>
      <c r="L6" s="3">
        <f>972.4+(732.5-346)+(1.487772+(1.120725-0.52938))+0-397.8-0.608634000000023</f>
        <v>962.57048300000008</v>
      </c>
      <c r="M6" s="3">
        <f>961.5+(636.5-284)+(-2.94219+(-1.94769--0.86904))+0-403.5--1.23471000000005</f>
        <v>907.71387000000016</v>
      </c>
      <c r="N6" s="3">
        <f>971.3+(679.9-312.3)+(0.990726+(0.693498-0.318546))+0-407.3-0.415446000000065</f>
        <v>932.55023199999971</v>
      </c>
      <c r="O6" s="3">
        <f>970.7+(800-376.3)+(0+(0-0))+0-420.2-0</f>
        <v>974.2</v>
      </c>
      <c r="P6" s="3">
        <f>973.8+(834-364.2)+(0+(0-0))+0-417.1-0</f>
        <v>1026.5</v>
      </c>
      <c r="Q6" s="3">
        <f>1087.1+(844-448.4)+(1.108842+(0.86088-0.457368))+0-423-0.431460000000067</f>
        <v>1060.7808939999998</v>
      </c>
      <c r="R6" s="3">
        <f>1094.4+(875-487)+(0+(0-0))+0-422.1-0</f>
        <v>1060.3000000000002</v>
      </c>
      <c r="S6" s="3">
        <f>1089.6+(802-430.3)+(-1.667088+(-1.22706--0.658359))+0-418.9--0.640917000000024</f>
        <v>1040.8051279999997</v>
      </c>
      <c r="T6" s="3">
        <f>1091.3+(678.8-316)+(-1.669689+(-1.038564--0.48348))+0-419.3--0.641529000000024</f>
        <v>1033.216756</v>
      </c>
      <c r="U6" s="3">
        <f>1091.6+(651.1-278.3)+(-1.670148+(-0.996183--0.425799))+0-421--0.644130000000024</f>
        <v>1041.803598</v>
      </c>
      <c r="V6" s="3">
        <f>1092.3+(692.2-301.2)+(-1.671219+(-1.059066--0.460836))+0-421.8--0.645354000000024</f>
        <v>1059.8759050000001</v>
      </c>
      <c r="W6" s="3">
        <f>1095+(745.2-314.7)+(0+(0-0))+0-425.7-0</f>
        <v>1099.8</v>
      </c>
      <c r="X6" s="3">
        <f>1091.8+(889.1-405.2)+(-1.670454+(-1.360323--0.619956))+0-419--0.641070000000024</f>
        <v>1154.9302490000002</v>
      </c>
      <c r="Y6" s="3">
        <f>1229.5+(833.4-349.5)+(-1.881135+(-1.275102--0.534735))+0-419.5--0.641835000000024</f>
        <v>1291.9203330000003</v>
      </c>
      <c r="Z6" s="3">
        <f>1373.3+(959.4-492.8)+(-2.801532+(-1.957176--1.005312))+0-423.5--0.863939999999982</f>
        <v>1413.5105439999998</v>
      </c>
      <c r="AA6" s="3">
        <f>1374.7+(1065.9-627.2)+(-1.402194+(-1.087218--0.639744))+0-420--0.428400000000067</f>
        <v>1391.978732</v>
      </c>
      <c r="AB6" s="3">
        <f>1375.5+(1007.7-618.6)+(-0.701505+(-0.513927--0.315486))+0-419.3--0.213842999999957</f>
        <v>1344.613897</v>
      </c>
      <c r="AC6" s="3">
        <f>1360.7+(899.3-536.8)+(0+(0-0))+0-424.4-0</f>
        <v>1298.8000000000002</v>
      </c>
      <c r="AD6">
        <f t="shared" si="0"/>
        <v>26225.081528000002</v>
      </c>
      <c r="AE6" s="3">
        <f>1378+(1006-536)+(0+(0-0))+0-426-0</f>
        <v>1422</v>
      </c>
    </row>
    <row r="7" spans="1:31" s="2" customFormat="1" x14ac:dyDescent="0.25">
      <c r="A7">
        <v>89</v>
      </c>
      <c r="B7">
        <v>1</v>
      </c>
      <c r="C7">
        <v>7</v>
      </c>
      <c r="D7">
        <v>1</v>
      </c>
      <c r="E7">
        <v>1</v>
      </c>
      <c r="F7" s="3">
        <f>1166.3+(824-384)+(-0.594813+(-0.42024--0.19584))+0-424.9--0.216698999999957</f>
        <v>1180.7974859999999</v>
      </c>
      <c r="G7" s="3">
        <f>1055.5+(812.4-387.9)+(-1.614915+(-1.242972--0.593487))+0-417.6--0.638928000000024</f>
        <v>1060.7745280000001</v>
      </c>
      <c r="H7" s="3">
        <f>967.1+(714.2-259.9)+(0+(0-0))+0-424.1-0</f>
        <v>997.30000000000007</v>
      </c>
      <c r="I7" s="3">
        <f>963.8+(658-226)+(-1.966152+(-1.34232--0.46104))+0-422.6--0.862103999999982</f>
        <v>971.21467199999984</v>
      </c>
      <c r="J7" s="3">
        <f>967.5+(620.9-200)+(0.493425+(0.316659-0.102))+0-420.9-0.214658999999957</f>
        <v>967.99342500000023</v>
      </c>
      <c r="K7" s="3">
        <f>965.3+(569.8-160.4)+(-0.492303+(-0.290598--0.081804))+0-422--0.215219999999957</f>
        <v>952.21412299999986</v>
      </c>
      <c r="L7" s="3">
        <f>965.2+(622.9-196.5)+(-0.984504+(-0.635358--0.20043))+0-424.8--0.433296000000068</f>
        <v>965.81386400000008</v>
      </c>
      <c r="M7" s="3">
        <f>961+(611.6-212)+(-1.96044+(-1.247664--0.43248))+0-420.1--0.857003999999982</f>
        <v>938.58137999999974</v>
      </c>
      <c r="N7" s="3">
        <f>974.1+(662.1-236.4)+(0.993582+(0.675342-0.241128))+0-425.5-0.434010000000068</f>
        <v>975.29378600000007</v>
      </c>
      <c r="O7" s="3">
        <f>1077.8+(732.5-313.9)+(-0.549678+(-0.373575--0.160089))+0-455.7--0.232406999999954</f>
        <v>1040.1692430000001</v>
      </c>
      <c r="P7" s="3">
        <f>1093.7+(869.5-363)+(0+(0-0))+0-464.7-0</f>
        <v>1135.5</v>
      </c>
      <c r="Q7" s="3">
        <f>1092.3+(797.4-265.7)+(-1.114146+(-0.813348--0.271014))+0-469.7--0.479094000000075</f>
        <v>1153.1226139999999</v>
      </c>
      <c r="R7" s="3">
        <f>1092.9+(754.5-237.9)+(-0.557379+(-0.384795--0.121329))+0-458.5--0.233834999999953</f>
        <v>1150.41299</v>
      </c>
      <c r="S7" s="3">
        <f>1090.2+(656.8-173.6)+(-1.668006+(-1.004904--0.265608))+0-470.9--0.720477000000027</f>
        <v>1100.813175</v>
      </c>
      <c r="T7" s="3">
        <f>1087.5+(562.7-155.7)+(-2.2185+(-1.147908--0.317628))+0-477.1--0.973283999999979</f>
        <v>1015.3245039999999</v>
      </c>
      <c r="U7" s="3">
        <f>1092.8+(583.9-144.6)+(-1.114656+(-0.595578--0.147492))+0-471--0.480420000000075</f>
        <v>1060.0176779999999</v>
      </c>
      <c r="V7" s="3">
        <f>1088.4+(598.6-157.7)+(-2.77542+(-1.52643--0.402135))+0-441.7--1.12633499999994</f>
        <v>1084.82662</v>
      </c>
      <c r="W7" s="3">
        <f>1093.6+(670.8-238.4)+(0+(0-0))+0-433.8-0</f>
        <v>1092.2</v>
      </c>
      <c r="X7" s="3">
        <f>1140.5+(723-318.3)+(-1.744965+(-1.10619--0.486999))+0-432.9--0.662337000000025</f>
        <v>1110.5981810000001</v>
      </c>
      <c r="Y7" s="3">
        <f>1354.7+(739-395.9)+(0+(0-0))+0-429.4-0</f>
        <v>1268.4000000000001</v>
      </c>
      <c r="Z7" s="3">
        <f>1374.7+(871.8-409.9)+(-1.402194+(-0.889236--0.418098))+0-433--0.441660000000069</f>
        <v>1402.168328</v>
      </c>
      <c r="AA7" s="3">
        <f>1375+(888-461.4)+(-1.4025+(-0.90576--0.470628))+0-423.5--0.431970000000068</f>
        <v>1376.694338</v>
      </c>
      <c r="AB7" s="3">
        <f>1373.1+(892.3-508.8)+(-0.700281+(-0.455073--0.259488))+0-423.1--0.215780999999957</f>
        <v>1332.8199149999996</v>
      </c>
      <c r="AC7" s="3">
        <f>1258.7+(981.4-515)+(-0.641937+(-0.500514--0.26265))+0-422.3--0.215372999999957</f>
        <v>1302.1355719999999</v>
      </c>
      <c r="AD7">
        <f t="shared" si="0"/>
        <v>26635.186422000002</v>
      </c>
      <c r="AE7" s="3">
        <f>1378+(888-391)+(0+(0-0))+0-429-0</f>
        <v>1446</v>
      </c>
    </row>
    <row r="8" spans="1:31" s="2" customFormat="1" x14ac:dyDescent="0.25">
      <c r="A8">
        <v>89</v>
      </c>
      <c r="B8">
        <v>1</v>
      </c>
      <c r="C8">
        <v>8</v>
      </c>
      <c r="D8">
        <v>2</v>
      </c>
      <c r="E8">
        <v>1</v>
      </c>
      <c r="F8" s="3">
        <f>1101.8+(759.6-214.9)+(-2.247672+(-1.549584--0.438396))+0-413.3--0.843131999999982</f>
        <v>1230.684272</v>
      </c>
      <c r="G8" s="3">
        <f>974.2+(647-106.7)+(-1.490526+(-0.98991--0.163251))+0-415.2--0.635256000000024</f>
        <v>1097.6180709999999</v>
      </c>
      <c r="H8" s="3">
        <f>975.5+(610.7-91)+(-1.99002+(-1.245828--0.18564))+0-434--0.885359999999981</f>
        <v>1059.0351519999999</v>
      </c>
      <c r="I8" s="3">
        <f>976.3+(457.3-64)+(-0.995826+(-0.466446--0.06528))+0-431--0.439620000000069</f>
        <v>937.64262800000006</v>
      </c>
      <c r="J8" s="3">
        <f>978+(439.5-96)+(0+(0-0))+0-432-0</f>
        <v>889.5</v>
      </c>
      <c r="K8" s="3">
        <f>977.4+(458.9-69)+(0.498474+(0.234039-0.03519))+0-432-0.220319999999956</f>
        <v>935.77700300000015</v>
      </c>
      <c r="L8" s="3">
        <f>979.2+(473.1-110)+(0.998784+(0.482562-0.1122))+0-429-0.437580000000068</f>
        <v>914.23156600000016</v>
      </c>
      <c r="M8" s="3">
        <f>977.1+(481.2-93)+(-0.498321+(-0.245412--0.04743))+0-473--0.241229999999952</f>
        <v>891.84492699999998</v>
      </c>
      <c r="N8" s="3">
        <f>977.2+(592.4-83.9)+(-0.498372+(-0.302124--0.042789))+0-461.9--0.235568999999953</f>
        <v>1023.277862</v>
      </c>
      <c r="O8" s="3">
        <f>976.4+(729.1-169.3)+(-0.995928+(-0.743682--0.172686))+0-466.8--0.476136000000074</f>
        <v>1068.3092119999999</v>
      </c>
      <c r="P8" s="3">
        <f>1045.6+(742.6-177)+(0+(0-0))+0-471.7-0</f>
        <v>1139.4999999999998</v>
      </c>
      <c r="Q8" s="3">
        <f>1099.6+(727.7-197.5)+(-1.121592+(-0.742254--0.20145))+0-451.8--0.460836000000072</f>
        <v>1176.79844</v>
      </c>
      <c r="R8" s="3">
        <f>1100.9+(727.7-193.2)+(-1.684377+(-1.113381--0.295596))+0-465.2--0.711756000000027</f>
        <v>1168.409594</v>
      </c>
      <c r="S8" s="3">
        <f>1101.9+(691.6-202.7)+(0+(0-0))+0-454.4-0</f>
        <v>1136.4000000000001</v>
      </c>
      <c r="T8" s="3">
        <f>1101.1+(662.5-183.8)+(-2.246244+(-1.3515--0.374952))+0-464.3--0.94717199999998</f>
        <v>1113.2243799999999</v>
      </c>
      <c r="U8" s="3">
        <f>1101+(645.9-180.9)+(-1.68453+(-0.988227--0.276777))+0-413.5--0.632655000000024</f>
        <v>1150.7366750000001</v>
      </c>
      <c r="V8" s="3">
        <f>1102.6+(664.7-221)+(-0.562326+(-0.338997--0.11271))+0-406.6--0.207365999999959</f>
        <v>1139.118753</v>
      </c>
      <c r="W8" s="3">
        <f>1100.4+(926.9-456.8)+(-1.683612+(-1.418157--0.698904))+0-410.5--0.628065000000024</f>
        <v>1158.2252000000001</v>
      </c>
      <c r="X8" s="3">
        <f>1119.9+(1037.2-541.6)+(-0.571149+(-0.528972--0.276216))+0-406.9--0.207518999999959</f>
        <v>1207.9836140000002</v>
      </c>
      <c r="Y8" s="3">
        <f>1328.9+(1006.3-591.3)+(-1.355478+(-1.026426--0.603126))+0-407.1--0.415242000000065</f>
        <v>1335.4364639999999</v>
      </c>
      <c r="Z8" s="3">
        <f>1371.3+(1128.4-630.6)+(-2.797452+(-2.301936--1.286424))+0-413.4--0.843335999999982</f>
        <v>1452.730372</v>
      </c>
      <c r="AA8" s="3">
        <f>1375.8+(1244.8-787.4)+(-0.701658+(-0.634848--0.401574))+0-416.4--0.212363999999958</f>
        <v>1416.077432</v>
      </c>
      <c r="AB8" s="3">
        <f>1372.9+(1296.7-878.2)+(-2.100537+(-1.983951--1.343646))+0-418.9--0.640917000000024</f>
        <v>1370.4000750000002</v>
      </c>
      <c r="AC8" s="3">
        <f>1373.3+(1334.6-938.5)+(0.700383+(0.680646-0.478635))+0-420.8-0.214607999999957</f>
        <v>1349.2877859999999</v>
      </c>
      <c r="AD8">
        <f t="shared" si="0"/>
        <v>27362.249478000002</v>
      </c>
      <c r="AE8" s="3">
        <f>1378+(1147-696)+(0+(0-0))+0-412-0</f>
        <v>1417</v>
      </c>
    </row>
    <row r="9" spans="1:31" s="2" customFormat="1" x14ac:dyDescent="0.25">
      <c r="A9">
        <v>89</v>
      </c>
      <c r="B9">
        <v>1</v>
      </c>
      <c r="C9">
        <v>9</v>
      </c>
      <c r="D9">
        <v>3</v>
      </c>
      <c r="E9">
        <v>1</v>
      </c>
      <c r="F9" s="3">
        <f>1230.8+(1282.1-840.9)+(-3.13854+(-3.269355--2.144295))+0-424.6--1.08272999999994</f>
        <v>1244.2191299999997</v>
      </c>
      <c r="G9" s="3">
        <f>1045.4+(1125.1-626.7)+(-2.66577+(-2.869005--1.598085))+0-423.5--1.07992499999994</f>
        <v>1117.443235</v>
      </c>
      <c r="H9" s="3">
        <f>978.6+(916.4-436.3)+(0+(0-0))+0-423-0</f>
        <v>1035.7</v>
      </c>
      <c r="I9" s="3">
        <f>977.8+(849.4-397.7)+(-0.997356+(-0.866388--0.405654))+0-422.1--0.430542000000067</f>
        <v>1006.372452</v>
      </c>
      <c r="J9" s="3">
        <f>974.3+(809-366.7)+(-2.484465+(-2.06295--0.935085))+0-422.4--1.07711999999994</f>
        <v>991.66478999999993</v>
      </c>
      <c r="K9" s="3">
        <f>977.4+(815.3-376.8)+(-0.996948+(-0.831606--0.384336))+0-422.6--0.431052000000067</f>
        <v>992.28683399999977</v>
      </c>
      <c r="L9" s="3">
        <f>978.1+(856.4-416.4)+(0+(0-0))+0-420.9-0</f>
        <v>997.19999999999993</v>
      </c>
      <c r="M9" s="3">
        <f>981+(911.3-474.7)+(-0.50031+(-0.464763--0.242097))+0-460.8--0.235007999999953</f>
        <v>956.31203199999993</v>
      </c>
      <c r="N9" s="3">
        <f>1090.3+(834.1-425.3)+(-1.112106+(-0.850782--0.433806))+0-461.5--0.470730000000074</f>
        <v>1036.5416479999999</v>
      </c>
      <c r="O9" s="3">
        <f>1141+(859-440.7)+(-0.58191+(-0.43809--0.224757))+0-456.5--0.232814999999954</f>
        <v>1102.2375719999998</v>
      </c>
      <c r="P9" s="3">
        <f>1167.8+(872-426.8)+(0+(0-0))+0-452.6-0</f>
        <v>1160.4000000000001</v>
      </c>
      <c r="Q9" s="3">
        <f>1168.8+(927-460.4)+(0+(0-0))+0-419.5-0</f>
        <v>1215.9000000000001</v>
      </c>
      <c r="R9" s="3">
        <f>1167.8+(975-502.1)+(0+(0-0))+0-460.6-0</f>
        <v>1180.0999999999999</v>
      </c>
      <c r="S9" s="3">
        <f>1137.7+(920.1-465.9)+(-2.320908+(-1.877004--0.950436))+0-447.2--0.91228799999998</f>
        <v>1142.364812</v>
      </c>
      <c r="T9" s="3">
        <f>1102.6+(867.1-410.7)+(-1.686978+(-1.326663--0.628371))+0-428--0.654840000000025</f>
        <v>1129.2695699999999</v>
      </c>
      <c r="U9" s="3">
        <f>1103.7+(873.4-414)+(-0.562887+(-0.445434--0.21114))+0-392.5--0.20017499999996</f>
        <v>1170.0029939999999</v>
      </c>
      <c r="V9" s="3">
        <f>1102.2+(861.4-413.3)+(-2.248488+(-1.757256--0.843132))+0-397.4--0.810695999999983</f>
        <v>1150.548084</v>
      </c>
      <c r="W9" s="3">
        <f>1105.3+(867.2-411.1)+(0.563703+(0.442272-0.209661))+0-403.9-0.205988999999959</f>
        <v>1158.0903250000001</v>
      </c>
      <c r="X9" s="3">
        <f>1105.6+(886.1-413.4)+(-2.255424+(-1.807644--0.843336))+0-410.5--0.837419999999982</f>
        <v>1165.417688</v>
      </c>
      <c r="Y9" s="3">
        <f>1272.1+(910.1-486.7)+(0.648771+(0.464151-0.248217))+0-413.4-0.210833999999958</f>
        <v>1282.7538709999999</v>
      </c>
      <c r="Z9" s="3">
        <f>1378.2+(1347.6-829.2)+(-2.811528+(-2.749104--1.691568))+0-420.8--0.858431999999982</f>
        <v>1472.789368</v>
      </c>
      <c r="AA9" s="3">
        <f>1379.3+(1223.7-734)+(-0.703443+(-0.624087--0.37434))+0-421.3--0.214862999999957</f>
        <v>1446.961673</v>
      </c>
      <c r="AB9" s="3">
        <f>1378.5+(1393.6-954.1)+(-1.40607+(-1.421472--0.973182))+0-421.8--0.430236000000067</f>
        <v>1394.7758760000002</v>
      </c>
      <c r="AC9" s="3">
        <f>1378.1+(1359.9-930.1)+(-2.108493+(-2.080647--1.423053))+0-422.9--0.647037000000024</f>
        <v>1382.88095</v>
      </c>
      <c r="AD9">
        <f t="shared" si="0"/>
        <v>27932.232904</v>
      </c>
      <c r="AE9" s="3">
        <f>1378+(1255.2-749.9)+(0+(0-0))+0-416.4-0</f>
        <v>1466.9</v>
      </c>
    </row>
    <row r="10" spans="1:31" s="2" customFormat="1" x14ac:dyDescent="0.25">
      <c r="A10">
        <v>89</v>
      </c>
      <c r="B10">
        <v>1</v>
      </c>
      <c r="C10">
        <v>10</v>
      </c>
      <c r="D10">
        <v>4</v>
      </c>
      <c r="E10">
        <v>1</v>
      </c>
      <c r="F10" s="3">
        <f>1348.2+(1301.6-934.1)+(-2.750328+(-2.655264--1.905564))+0-423.9--0.864755999999981</f>
        <v>1289.1647279999997</v>
      </c>
      <c r="G10" s="3">
        <f>1167.7+(924.7-509.4)+(-2.977635+(-2.357985--1.29897))+0-427.3--1.08961499999994</f>
        <v>1152.7529649999999</v>
      </c>
      <c r="H10" s="3">
        <f>978.2+(900.4-399.1)+(-1.995528+(-1.836816--0.814164))+0-424.6--0.866183999999982</f>
        <v>1052.748004</v>
      </c>
      <c r="I10" s="3">
        <f>974.2+(817-345.2)+(-0.993684+(-0.83334--0.352104))+0-421--0.429420000000067</f>
        <v>1023.9544999999999</v>
      </c>
      <c r="J10" s="3">
        <f>977+(775.7-318.2)+(0+(0-0))+0-419.9-0</f>
        <v>1014.6</v>
      </c>
      <c r="K10" s="3">
        <f>975.4+(823.1-369)+(-0.994908+(-0.839562--0.37638))+0-416.8--0.425136000000066</f>
        <v>1011.667046</v>
      </c>
      <c r="L10" s="3">
        <f>975.3+(825.3-370.8)+(-0.994806+(-0.841806--0.378216))+0-416.2--0.424524000000066</f>
        <v>1012.5661279999999</v>
      </c>
      <c r="M10" s="3">
        <f>975.4+(805.8-361.2)+(-0.994908+(-0.821916--0.368424))+0-464.4--0.473688000000074</f>
        <v>954.62528800000007</v>
      </c>
      <c r="N10" s="3">
        <f>980+(962.5-428.4)+(0.9996+(0.98175-0.436968))+0-465.1-0.474402000000074</f>
        <v>1050.06998</v>
      </c>
      <c r="O10" s="3">
        <f>979.3+(1040.7-469.3)+(0.499443+(0.530757-0.239343))+0-465.1-0.237200999999953</f>
        <v>1086.153656</v>
      </c>
      <c r="P10" s="3">
        <f>979+(1099-438.2)+(-0.49929+(-0.56049--0.223482))+0-475.7--0.242606999999952</f>
        <v>1163.5063089999999</v>
      </c>
      <c r="Q10" s="3">
        <f>979.5+(1053.4-371.5)+(0.499545+(0.537234-0.189465))+0-464.8-0.237047999999953</f>
        <v>1197.2102660000003</v>
      </c>
      <c r="R10" s="3">
        <f>1074.4+(889.4-337.9)+(-1.095888+(-0.907188--0.344658))+0-449.3--0.458286000000072</f>
        <v>1175.3998680000002</v>
      </c>
      <c r="S10" s="3">
        <f>1102.2+(832.5-327.3)+(-2.248488+(-1.6983--0.667692))+0-444.9--0.907595999999981</f>
        <v>1160.1285000000003</v>
      </c>
      <c r="T10" s="3">
        <f>1106.7+(812-332.5)+(1.128834+(0.82824-0.33915))+0-435.9-0.444618000000069</f>
        <v>1151.4733059999999</v>
      </c>
      <c r="U10" s="3">
        <f>1104.1+(856-355.9)+(0+(0-0))+0-411-0</f>
        <v>1193.1999999999998</v>
      </c>
      <c r="V10" s="3">
        <f>1104.7+(833.4-361.9)+(-1.126794+(-0.850068--0.369138))+0-417.5--0.425850000000067</f>
        <v>1157.5181260000002</v>
      </c>
      <c r="W10" s="3">
        <f>1104.6+(856.6-360.4)+(-0.563346+(-0.436866--0.183804))+0-425.2--0.216851999999957</f>
        <v>1175.000444</v>
      </c>
      <c r="X10" s="3">
        <f>1116.1+(842.6-349.1)+(-1.138422+(-0.859452--0.356082))+0-422.4--0.430848000000067</f>
        <v>1185.9890559999999</v>
      </c>
      <c r="Y10" s="3">
        <f>1334.8+(919.1-513.2)+(-2.042244+(-1.406223--0.785196))+0-423.7--0.648261000000025</f>
        <v>1314.9849899999999</v>
      </c>
      <c r="Z10" s="3">
        <f>1375.1+(1192.5-633.3)+(-1.402602+(-1.21635--0.645966))+0-420.9--0.429318000000067</f>
        <v>1511.8563319999998</v>
      </c>
      <c r="AA10" s="3">
        <f>1368.9+(1220-699.2)+(-2.792556+(-2.4888--1.426368))+0-421.8--0.860471999999982</f>
        <v>1464.9054840000001</v>
      </c>
      <c r="AB10" s="3">
        <f>1360.6+(1136.1-652.1)+(-2.775624+(-2.317644--1.330284))+0-419.2--0.855167999999982</f>
        <v>1422.492184</v>
      </c>
      <c r="AC10" s="3">
        <f>1361.2+(1039.7-598.6)+(-2.082636+(-1.590741--0.915858))+0-423.8--0.648414000000024</f>
        <v>1376.3908950000002</v>
      </c>
      <c r="AD10">
        <f t="shared" si="0"/>
        <v>28298.358054999997</v>
      </c>
      <c r="AE10" s="3">
        <f>1377+(1257.9-664.7)+(0+(0-0))+0-421.1-0</f>
        <v>1549.1</v>
      </c>
    </row>
    <row r="11" spans="1:31" s="2" customFormat="1" x14ac:dyDescent="0.25">
      <c r="A11">
        <v>89</v>
      </c>
      <c r="B11">
        <v>1</v>
      </c>
      <c r="C11">
        <v>11</v>
      </c>
      <c r="D11">
        <v>5</v>
      </c>
      <c r="E11">
        <v>1</v>
      </c>
      <c r="F11" s="3">
        <f>1359+(808.7-443.1)+(-3.46545+(-2.062185--1.129905))+0-423.4--1.07966999999994</f>
        <v>1297.88194</v>
      </c>
      <c r="G11" s="3">
        <f>1341+(695.2-442.1)+(-2.05173+(-1.063656--0.676413))+0-422.4--0.646272000000024</f>
        <v>1169.907299</v>
      </c>
      <c r="H11" s="3">
        <f>1170.5+(685.7-347.7)+(-2.38782+(-1.398828--0.709308))+0-425.6--0.868223999999981</f>
        <v>1080.6908839999999</v>
      </c>
      <c r="I11" s="3">
        <f>997.9+(725.7-264)+(-2.035716+(-1.480428--0.53856))+0-419.8--0.856391999999982</f>
        <v>1037.6788079999999</v>
      </c>
      <c r="J11" s="3">
        <f>998.9+(690.9-245.2)+(-1.528317+(-1.057077--0.375156))+0-419.6--0.641988000000024</f>
        <v>1023.43175</v>
      </c>
      <c r="K11" s="3">
        <f>1000.9+(694.3-245.2)+(0+(0-0))+0-422-0</f>
        <v>1028</v>
      </c>
      <c r="L11" s="3">
        <f>1004.1+(720.5-279.3)+(-1.536273+(-1.102365--0.427329))+0-418.2--0.639846000000024</f>
        <v>1025.5285369999999</v>
      </c>
      <c r="M11" s="3">
        <f>1004.9+(744.8-326.6)+(0+(0-0))+0-414.4-0</f>
        <v>1008.6999999999999</v>
      </c>
      <c r="N11" s="3">
        <f>1004.7+(872.4-388.3)+(-0.512397+(-0.444924--0.198033))+0-455.1--0.232100999999954</f>
        <v>1033.1728130000001</v>
      </c>
      <c r="O11" s="3">
        <f>997.7+(972.9-429.7)+(-0.508827+(-0.496179--0.219147))+0-411.9--0.210068999999958</f>
        <v>1128.4242099999999</v>
      </c>
      <c r="P11" s="3">
        <f>994.2+(1072.9-484.5)+(-3.042252+(-3.283074--1.48257))+0-435.3--1.33201800000005</f>
        <v>1143.7892620000002</v>
      </c>
      <c r="Q11" s="3">
        <f>1007.5+(1085.8-477.6)+(0+(0-0))+0-430.1-0</f>
        <v>1185.5999999999999</v>
      </c>
      <c r="R11" s="3">
        <f>1101.3+(1020-490.5)+(-1.123326+(-1.0404--0.50031))+0-455.9--0.465018000000073</f>
        <v>1173.7016019999999</v>
      </c>
      <c r="S11" s="3">
        <f>1103.8+(1003.7-490.1)+(0+(0-0))+0-408.3-0</f>
        <v>1209.1000000000001</v>
      </c>
      <c r="T11" s="3">
        <f>1099.5+(910.7-460.1)+(-0.560745+(-0.464457--0.234651))+0-405.4--0.206753999999959</f>
        <v>1144.1162029999998</v>
      </c>
      <c r="U11" s="3">
        <f>1094.1+(903.1-454.1)+(-2.231964+(-1.842324--0.926364))+0-400.9--0.817835999999982</f>
        <v>1139.8699119999999</v>
      </c>
      <c r="V11" s="3">
        <f>1094.1+(929.2-474.3)+(-1.115982+(-0.947784--0.483786))+0-398--0.405960000000063</f>
        <v>1149.8259800000001</v>
      </c>
      <c r="W11" s="3">
        <f>1093.7+(961.3-488)+(-1.673361+(-1.470789--0.74664))+0-406.1--0.621333000000023</f>
        <v>1159.1238229999999</v>
      </c>
      <c r="X11" s="3">
        <f>1102.2+(1005.2-510.8)+(-1.124244+(-1.025304--0.521016))+0-413--0.421260000000066</f>
        <v>1182.3927280000003</v>
      </c>
      <c r="Y11" s="3">
        <f>1323.4+(895.5-505.5)+(-0.674934+(-0.456705--0.257805))+0-413.9--0.211088999999958</f>
        <v>1298.8372549999999</v>
      </c>
      <c r="Z11" s="3">
        <f>1373.2+(1180.9-631)+(-2.100996+(-1.806777--0.96543))+0-417.9--0.639387000000024</f>
        <v>1502.8970440000001</v>
      </c>
      <c r="AA11" s="3">
        <f>1370.8+(1137.5-636.1)+(-2.097324+(-1.740375--0.973233))+0-415.1--0.635103000000024</f>
        <v>1454.870637</v>
      </c>
      <c r="AB11" s="3">
        <f>1370.5+(1099.6-657.2)+(-2.096865+(-1.682388--1.005516))+0-400.4--0.612612000000023</f>
        <v>1410.3388750000001</v>
      </c>
      <c r="AC11" s="3">
        <f>1370+(1031-603)+(-2.0961+(-1.57743--0.92259))+0-412.3--0.630819000000024</f>
        <v>1383.5798790000001</v>
      </c>
      <c r="AD11">
        <f t="shared" si="0"/>
        <v>28371.459440999999</v>
      </c>
      <c r="AE11" s="3">
        <f>1377+(1179-621.9)+(0+(0-0))+0-415.5-0</f>
        <v>1518.6</v>
      </c>
    </row>
    <row r="12" spans="1:31" s="2" customFormat="1" x14ac:dyDescent="0.25">
      <c r="A12">
        <v>89</v>
      </c>
      <c r="B12">
        <v>1</v>
      </c>
      <c r="C12">
        <v>12</v>
      </c>
      <c r="D12">
        <v>6</v>
      </c>
      <c r="E12">
        <v>2</v>
      </c>
      <c r="F12" s="3">
        <f>1366+(740.6-403.1)+(-2.78664+(-1.510824--0.822324))+0-405.3--0.826811999999982</f>
        <v>1295.5516720000001</v>
      </c>
      <c r="G12" s="3">
        <f>1248.4+(694-364.5)+(-0.636684+(-0.35394--0.185895))+0-408.5--0.208334999999959</f>
        <v>1168.8036060000002</v>
      </c>
      <c r="H12" s="3">
        <f>1068.5+(794.5-350.5)+(-1.634805+(-1.215585--0.536265))+0-412.3--0.630819000000024</f>
        <v>1098.5166939999999</v>
      </c>
      <c r="I12" s="3">
        <f>1002.1+(749.1-282.9)+(-2.044284+(-1.528164--0.577116))+0-418.5--0.853739999999982</f>
        <v>1047.6584080000002</v>
      </c>
      <c r="J12" s="3">
        <f>1002.9+(742.3-291.1)+(-1.022958+(-0.757146--0.296922))+0-421.4--0.429828000000067</f>
        <v>1031.6466459999999</v>
      </c>
      <c r="K12" s="3">
        <f>1003.4+(711.6-288.4)+(0+(0-0))+0-406.2-0</f>
        <v>1020.3999999999999</v>
      </c>
      <c r="L12" s="3">
        <f>998.5+(726.7-306.7)+(-2.546175+(-1.853085--0.782085))+0-420.5--1.07227499999994</f>
        <v>995.4550999999999</v>
      </c>
      <c r="M12" s="3">
        <f>1001.9+(791.4-412.7)+(1.021938+(0.807228-0.420954))+0-422-0.430440000000067</f>
        <v>959.57777199999987</v>
      </c>
      <c r="N12" s="3">
        <f>993.3+(857.7-427.3)+(0.506583+(0.437427-0.217923))+0-423.5-0.215984999999957</f>
        <v>1000.7101020000001</v>
      </c>
      <c r="O12" s="3">
        <f>992.6+(954.7-448.5)+(0+(0-0))+0-424.5-0</f>
        <v>1074.3000000000002</v>
      </c>
      <c r="P12" s="3">
        <f>992.1+(995.8-421.8)+(-0.505971+(-0.507858--0.215118))+0-422.2--0.215321999999957</f>
        <v>1143.316611</v>
      </c>
      <c r="Q12" s="3">
        <f>993.6+(970-392.8)+(0+(0-0))+0-414-0</f>
        <v>1156.8000000000002</v>
      </c>
      <c r="R12" s="3">
        <f>992.4+(976.7-391.5)+(-1.012248+(-0.996234--0.39933))+0-419.9--0.428298000000067</f>
        <v>1156.5191459999999</v>
      </c>
      <c r="S12" s="3">
        <f>990.3+(914.9-356.4)+(-2.020212+(-1.866396--0.727056))+0-417.5--0.851699999999982</f>
        <v>1128.9921479999998</v>
      </c>
      <c r="T12" s="3">
        <f>995.8+(893.5-369.3)+(1.523574+(1.367055-0.565029))+0-404.3-0.618579000000023</f>
        <v>1117.407021</v>
      </c>
      <c r="U12" s="3">
        <f>989.7+(898.4-360.5)+(-1.514241+(-1.374552--0.551565))+0-419--0.641070000000024</f>
        <v>1106.9038419999999</v>
      </c>
      <c r="V12" s="3">
        <f>991+(998.5-456.7)+(-1.01082+(-1.01847--0.465834))+0-422.3--0.430746000000067</f>
        <v>1109.3672899999999</v>
      </c>
      <c r="W12" s="3">
        <f>991.6+(970-426.7)+(-1.517148+(-1.4841--0.652851))+0-422.3--0.646119000000024</f>
        <v>1110.8977220000002</v>
      </c>
      <c r="X12" s="3">
        <f>991.4+(954.3-402.6)+(-2.022456+(-1.946772--0.821304))+0-420.7--0.858227999999982</f>
        <v>1120.1103039999998</v>
      </c>
      <c r="Y12" s="3">
        <f>1141.5+(933.2-405.2)+(0+(0-0))+0-418.1-0</f>
        <v>1251.4000000000001</v>
      </c>
      <c r="Z12" s="3">
        <f>1362.2+(1110.6-591.2)+(-2.778888+(-2.265624--1.206048))+0-406.6--0.829463999999982</f>
        <v>1471.991</v>
      </c>
      <c r="AA12" s="3">
        <f>1344.7+(1192.2-693.9)+(-0.685797+(-0.608022--0.353889))+0-403.3--0.205682999999959</f>
        <v>1438.9657529999999</v>
      </c>
      <c r="AB12" s="3">
        <f>1328.6+(1165.6-687)+(-1.355172+(-1.188912--0.70074))+0-410.4--0.418608000000065</f>
        <v>1395.375264</v>
      </c>
      <c r="AC12" s="3">
        <f>1325.4+(1064.1-607.2)+(-2.703816+(-2.170764--1.238688))+0-419.7--0.856187999999982</f>
        <v>1359.8202959999999</v>
      </c>
      <c r="AD12">
        <f t="shared" si="0"/>
        <v>27760.486397000001</v>
      </c>
      <c r="AE12" s="3">
        <f>1363+(1082-571.9)+(0+(0-0))+0-405.7-0</f>
        <v>1467.3999999999999</v>
      </c>
    </row>
    <row r="13" spans="1:31" s="2" customFormat="1" x14ac:dyDescent="0.25">
      <c r="A13">
        <v>89</v>
      </c>
      <c r="B13">
        <v>1</v>
      </c>
      <c r="C13">
        <v>13</v>
      </c>
      <c r="D13">
        <v>7</v>
      </c>
      <c r="E13">
        <v>2</v>
      </c>
      <c r="F13" s="3">
        <f>1328.3+(962.9-604.5)+(-1.354866+(-0.982158--0.61659))+0-422--0.430440000000067</f>
        <v>1263.4100059999998</v>
      </c>
      <c r="G13" s="3">
        <f>1267.4+(899.6-595.8)+(-1.292748+(-0.917592--0.607716))+0-423.4--0.431868000000067</f>
        <v>1146.6292440000002</v>
      </c>
      <c r="H13" s="3">
        <f>1182.4+(711.2-409.4)+(-1.206048+(-0.725424--0.417588))+0-421.3--0.429726000000067</f>
        <v>1061.8158420000004</v>
      </c>
      <c r="I13" s="3">
        <f>1002.3+(794.3-354)+(-1.533519+(-1.215279--0.54162))+0-420.3--0.643059000000024</f>
        <v>1020.7358809999998</v>
      </c>
      <c r="J13" s="3">
        <f>991.6+(855.5-418.4)+(-1.011432+(-0.87261--0.426768))+0-420.8--0.429216000000067</f>
        <v>1006.8719420000001</v>
      </c>
      <c r="K13" s="3">
        <f>993.2+(859.8-434.1)+(0.506532+(0.438498-0.221391))+0-417.9-0.213128999999958</f>
        <v>1001.5105100000002</v>
      </c>
      <c r="L13" s="3">
        <f>987.7+(899.4-478.7)+(-1.511181+(-1.376082--0.732411))+0-421--0.644130000000024</f>
        <v>985.88927800000022</v>
      </c>
      <c r="M13" s="3">
        <f>994.2+(859.2-480.2)+(0+(0-0))+0-420.9-0</f>
        <v>952.30000000000007</v>
      </c>
      <c r="N13" s="3">
        <f>994+(917.6-515.4)+(1.01388+(0.935952-0.525708))+0-422.5-0.430950000000067</f>
        <v>974.69317399999989</v>
      </c>
      <c r="O13" s="3">
        <f>992.3+(991.8-551.4)+(-0.506073+(-0.505818--0.281214))+0-422.9--0.215678999999957</f>
        <v>1009.2850019999997</v>
      </c>
      <c r="P13" s="3">
        <f>991.8+(970.5-535.1)+(-0.505818+(-0.494955--0.272901))+0-421.3--0.214862999999957</f>
        <v>1005.3869909999999</v>
      </c>
      <c r="Q13" s="3">
        <f>989.1+(934.9-525.7)+(-1.008882+(-0.953598--0.536214))+0-420.5--0.428910000000067</f>
        <v>976.8026440000001</v>
      </c>
      <c r="R13" s="3">
        <f>991.3+(927.8-529.6)+(-1.011126+(-0.946356--0.540192))+0-431.3--0.439926000000069</f>
        <v>957.22263599999997</v>
      </c>
      <c r="S13" s="3">
        <f>992.1+(895.7-516.8)+(-0.505971+(-0.456807--0.263568))+0-429.5--0.219044999999956</f>
        <v>941.01983499999994</v>
      </c>
      <c r="T13" s="3">
        <f>993.2+(869.8-504.3)+(0+(0-0))+0-428.2-0</f>
        <v>930.5</v>
      </c>
      <c r="U13" s="3">
        <f>991.9+(848.8-484)+(0+(0-0))+0-434.7-0</f>
        <v>921.99999999999977</v>
      </c>
      <c r="V13" s="3">
        <f>993+(799.2-425.7)+(0+(0-0))+0-434-0</f>
        <v>932.5</v>
      </c>
      <c r="W13" s="3">
        <f>992.2+(711.5-333)+(-1.518066+(-1.088595--0.50949))+0-430.5--0.658665000000025</f>
        <v>938.7614940000002</v>
      </c>
      <c r="X13" s="3">
        <f>988.8+(737.2-332.2)+(-1.008576+(-0.751944--0.338844))+0-433.9--0.442578000000069</f>
        <v>958.92090200000007</v>
      </c>
      <c r="Y13" s="3">
        <f>1112.2+(709.6-291.3)+(-1.134444+(-0.723792--0.297126))+0-437.6--0.44635200000007</f>
        <v>1091.7852420000002</v>
      </c>
      <c r="Z13" s="3">
        <f>1362.6+(941.1-518)+(-3.47463+(-2.399805--1.3209))+0-435.5--1.11052499999994</f>
        <v>1346.7569899999999</v>
      </c>
      <c r="AA13" s="3">
        <f>1370.6+(1023.1-591.6)+(-2.097018+(-1.565343--0.905148))+0-431.6--0.660348000000025</f>
        <v>1368.4031349999998</v>
      </c>
      <c r="AB13" s="3">
        <f>1369.1+(1046.4-654.2)+(-1.396482+(-1.067328--0.667284))+0-431.4--0.440028000000069</f>
        <v>1328.543502</v>
      </c>
      <c r="AC13" s="3">
        <f>1367.3+(1017.3-680.6)+(-2.091969+(-1.556469--1.041318))+0-432.3--0.661419000000025</f>
        <v>1269.7542990000002</v>
      </c>
      <c r="AD13">
        <f t="shared" si="0"/>
        <v>25391.498549000004</v>
      </c>
      <c r="AE13" s="3">
        <f>1375+(1036.3-594)+(0+(0-0))+0-391.2-0</f>
        <v>1426.1</v>
      </c>
    </row>
    <row r="14" spans="1:31" s="2" customFormat="1" x14ac:dyDescent="0.25">
      <c r="A14">
        <v>89</v>
      </c>
      <c r="B14">
        <v>1</v>
      </c>
      <c r="C14">
        <v>14</v>
      </c>
      <c r="D14">
        <v>1</v>
      </c>
      <c r="E14">
        <v>1</v>
      </c>
      <c r="F14" s="3">
        <f>1204.3+(908.5-534.1)+(-1.228386+(-0.92667--0.544782))+0-400.8--0.408816000000064</f>
        <v>1176.6985420000001</v>
      </c>
      <c r="G14" s="3">
        <f>1001.5+(823.3-371)+(-2.04306+(-1.679532--0.75684))+0-401.2--0.818447999999982</f>
        <v>1050.4526959999998</v>
      </c>
      <c r="H14" s="3">
        <f>1001.4+(758.2-348.2)+(-0.510714+(-0.386682--0.177582))+0-403.1--0.205580999999959</f>
        <v>1007.785767</v>
      </c>
      <c r="I14" s="3">
        <f>1002.2+(698.2-307.9)+(-0.511122+(-0.356082--0.157029))+0-399.5--0.203744999999959</f>
        <v>992.49356999999998</v>
      </c>
      <c r="J14" s="3">
        <f>1001.9+(667.1-288.2)+(0.510969+(0.340221-0.146982))+0-400-0.203999999999959</f>
        <v>981.30020800000011</v>
      </c>
      <c r="K14" s="3">
        <f>1003.5+(631.1-255)+(1.02357+(0.643722-0.2601))+0-400.3-0.408306000000064</f>
        <v>980.29888599999981</v>
      </c>
      <c r="L14" s="3">
        <f>998.8+(672.5-262.3)+(-2.037552+(-1.3719--0.535092))+0-399.1--0.814163999999983</f>
        <v>1007.839804</v>
      </c>
      <c r="M14" s="3">
        <f>1027.1+(685.3-282.8)+(0.523821+(0.349503-0.144228))+0-431.9-0.220268999999956</f>
        <v>998.20882700000004</v>
      </c>
      <c r="N14" s="3">
        <f>1104.1+(777.2-340)+(0+(0-0))+0-410-0</f>
        <v>1131.3</v>
      </c>
      <c r="O14" s="3">
        <f>1108+(885.9-370.6)+(-0.56508+(-0.451809--0.189006))+0-419--0.213689999999957</f>
        <v>1203.6858070000001</v>
      </c>
      <c r="P14" s="3">
        <f>1107.4+(1002.9-405.1)+(0+(0-0))+0-425.5-0</f>
        <v>1279.7</v>
      </c>
      <c r="Q14" s="3">
        <f>1106+(1061-425.8)+(0+(0-0))+0-419-0</f>
        <v>1322.2</v>
      </c>
      <c r="R14" s="3">
        <f>1111.8+(994.4-398.3)+(0+(0-0))+0-385.7-0</f>
        <v>1322.1999999999998</v>
      </c>
      <c r="S14" s="3">
        <f>1101.8+(977.3-399.6)+(-2.247672+(-1.993692--0.815184))+0-428.5--0.874139999999981</f>
        <v>1248.44796</v>
      </c>
      <c r="T14" s="3">
        <f>1105+(938-372.4)+(0.56355+(0.47838-0.189924))+0-429-0.218789999999956</f>
        <v>1242.2332160000001</v>
      </c>
      <c r="U14" s="3">
        <f>1105.5+(926.3-348.6)+(1.12761+(0.944826-0.355572))+0-392.7-0.400554000000063</f>
        <v>1291.8163099999997</v>
      </c>
      <c r="V14" s="3">
        <f>1104.4+(921.5-368)+(-0.563244+(-0.469965--0.18768))+0-392.1--0.19997099999996</f>
        <v>1265.154442</v>
      </c>
      <c r="W14" s="3">
        <f>1103.8+(955.2-372.9)+(-1.688814+(-1.461456--0.570537))+0-393.2--0.601596000000023</f>
        <v>1290.9218629999998</v>
      </c>
      <c r="X14" s="3">
        <f>1104.9+(952.9-366.4)+(-3.380994+(-2.915874--1.121184))+0-399.6--1.22277600000005</f>
        <v>1287.847092</v>
      </c>
      <c r="Y14" s="3">
        <f>1312.5+(940-423.1)+(0.669375+(0.4794-0.215781))+0-398.2-0.20308199999996</f>
        <v>1431.9299120000001</v>
      </c>
      <c r="Z14" s="3">
        <f>1374.7+(1367-681.5)+(-1.402194+(-1.39434--0.69513))+0-404.5--0.412590000000065</f>
        <v>1654.011186</v>
      </c>
      <c r="AA14" s="3">
        <f>1372.9+(1156.1-513.1)+(-2.800716+(-2.358444--1.046724))+0-411.9--0.840275999999982</f>
        <v>1600.72784</v>
      </c>
      <c r="AB14" s="3">
        <f>1374.5+(1099.9-532.8)+(-2.80398+(-2.243796--1.086912))+0-411.9--0.840275999999982</f>
        <v>1526.579412</v>
      </c>
      <c r="AC14" s="3">
        <f>1373.3+(986.3-489.1)+(-1.400766+(-1.006026--0.498882))+0-415.4--0.423708000000066</f>
        <v>1453.615798</v>
      </c>
      <c r="AD14">
        <f t="shared" si="0"/>
        <v>29747.449137999993</v>
      </c>
      <c r="AE14" s="3">
        <f>1377+(1396.1-698.7)+(0+(0-0))+0-405.3-0</f>
        <v>1669.0999999999997</v>
      </c>
    </row>
    <row r="15" spans="1:31" s="2" customFormat="1" x14ac:dyDescent="0.25">
      <c r="A15">
        <v>89</v>
      </c>
      <c r="B15">
        <v>1</v>
      </c>
      <c r="C15">
        <v>15</v>
      </c>
      <c r="D15">
        <v>2</v>
      </c>
      <c r="E15">
        <v>1</v>
      </c>
      <c r="F15" s="3">
        <f>1362.2+(862.4-473.9)+(-4.168332+(-2.638944--1.450134))+0-424.4--1.29866400000005</f>
        <v>1322.241522</v>
      </c>
      <c r="G15" s="3">
        <f>1165.6+(849.1-408.2)+(-1.188912+(-0.866082--0.416364))+0-419.9--0.428298000000067</f>
        <v>1185.389668</v>
      </c>
      <c r="H15" s="3">
        <f>1001.7+(794.9-258.1)+(-0.510867+(-0.405399--0.131631))+0-419.3--0.213842999999957</f>
        <v>1118.6292080000001</v>
      </c>
      <c r="I15" s="3">
        <f>1000.2+(725.8-215.7)+(-2.040408+(-1.480632--0.440028))+0-412.1--0.840683999999982</f>
        <v>1095.9596719999997</v>
      </c>
      <c r="J15" s="3">
        <f>1000.6+(690.3-197.4)+(-1.020612+(-0.704106--0.201348))+0-401.5--0.409530000000064</f>
        <v>1090.88616</v>
      </c>
      <c r="K15" s="3">
        <f>1001.1+(701.5-208.2)+(-1.531683+(-1.073295--0.318546))+0-396.6--0.606798000000023</f>
        <v>1096.1203659999999</v>
      </c>
      <c r="L15" s="3">
        <f>1001.9+(807.6-276.5)+(-0.510969+(-0.411876--0.141015))+0-412--0.210119999999958</f>
        <v>1120.4282900000001</v>
      </c>
      <c r="M15" s="3">
        <f>1054.4+(805.7-288.3)+(-2.150976+(-1.643628--0.588132))+0-446.7--0.91126799999998</f>
        <v>1122.8047960000001</v>
      </c>
      <c r="N15" s="3">
        <f>1103.7+(950.1-351.7)+(0+(0-0))+0-453.5-0</f>
        <v>1248.6000000000001</v>
      </c>
      <c r="O15" s="3">
        <f>1103.5+(1060.5-385.4)+(0+(0-0))+0-449.4-0</f>
        <v>1329.1999999999998</v>
      </c>
      <c r="P15" s="3">
        <f>1103.2+(1100.5-385.4)+(-0.562632+(-0.561255--0.196554))+0-413.3--0.210782999999958</f>
        <v>1404.2834500000001</v>
      </c>
      <c r="Q15" s="3">
        <f>1129.7+(1073-373.2)+(-1.152294+(-1.09446--0.380664))+0-408.4--0.416568000000065</f>
        <v>1419.650478</v>
      </c>
      <c r="R15" s="3">
        <f>1165.1+(964.9-307.2)+(-2.376804+(-1.968396--0.626688))+0-439.6--0.896783999999981</f>
        <v>1380.3782719999999</v>
      </c>
      <c r="S15" s="3">
        <f>1165.9+(912.5-303.2)+(-1.189218+(-0.93075--0.309264))+0-407.4--0.415548000000065</f>
        <v>1366.4048440000004</v>
      </c>
      <c r="T15" s="3">
        <f>1165.9+(922.1-338.1)+(-1.783827+(-1.410813--0.517293))+0-405.2--0.619956000000023</f>
        <v>1342.642609</v>
      </c>
      <c r="U15" s="3">
        <f>1167.8+(881.9-315.8)+(0+(0-0))+0-398.8-0</f>
        <v>1335.1</v>
      </c>
      <c r="V15" s="3">
        <f>1166.7+(888.4-330.2)+(-1.785051+(-1.359252--0.505206))+0-391.6--0.599148000000023</f>
        <v>1331.260051</v>
      </c>
      <c r="W15" s="3">
        <f>1169.2+(891.9-328.1)+(0.596292+(0.454869-0.167331))+0-391.6-0.19971599999996</f>
        <v>1342.084114</v>
      </c>
      <c r="X15" s="3">
        <f>1166.2+(943-367.1)+(-2.97381+(-2.40465--0.936105))+0-393.2--1.00265999999994</f>
        <v>1345.4603049999998</v>
      </c>
      <c r="Y15" s="3">
        <f>1276.6+(983.7-411.3)+(1.302132+(1.003374-0.419526))+0-427.9-0.436458000000068</f>
        <v>1422.5495219999998</v>
      </c>
      <c r="Z15" s="3">
        <f>1377.5+(1376.4-654.5)+(-1.40505+(-1.403928--0.66759))+0-406.7--0.414834000000065</f>
        <v>1690.9734460000002</v>
      </c>
      <c r="AA15" s="3">
        <f>1376+(1129.5-469.8)+(-3.5088+(-2.880225--1.19799))+0-435.6--1.11077999999994</f>
        <v>1596.0197450000001</v>
      </c>
      <c r="AB15" s="3">
        <f>1377.5+(1048.1-470.3)+(-1.40505+(-1.069062--0.479706))+0-402.1--0.410142000000064</f>
        <v>1551.615736</v>
      </c>
      <c r="AC15" s="3">
        <f>1375.8+(868.4-446.8)+(-2.104974+(-1.328652--0.683604))+0-418--0.639540000000024</f>
        <v>1377.289518</v>
      </c>
      <c r="AD15">
        <f t="shared" si="0"/>
        <v>31635.971772000004</v>
      </c>
      <c r="AE15" s="3">
        <f>1378+(1420.8-690.8)+(0+(0-0))+0-433.5-0</f>
        <v>1674.5</v>
      </c>
    </row>
    <row r="16" spans="1:31" s="2" customFormat="1" x14ac:dyDescent="0.25">
      <c r="A16">
        <v>89</v>
      </c>
      <c r="B16">
        <v>1</v>
      </c>
      <c r="C16">
        <v>16</v>
      </c>
      <c r="D16">
        <v>3</v>
      </c>
      <c r="E16">
        <v>1</v>
      </c>
      <c r="F16" s="3">
        <f>1329.9+(812.3-375.8)+(-2.712996+(-1.657092--0.766632))+0-407.6--0.831503999999982</f>
        <v>1356.0280479999999</v>
      </c>
      <c r="G16" s="3">
        <f>1051.9+(824.7-232.7)+(0+(0-0))+0-409.1-0</f>
        <v>1234.8000000000002</v>
      </c>
      <c r="H16" s="3">
        <f>1014.4+(843.7-287.7)+(-1.034688+(-0.860574--0.293454))+0-415.6--0.423912000000066</f>
        <v>1153.6221040000003</v>
      </c>
      <c r="I16" s="3">
        <f>1011.2+(812-267.1)+(-2.062848+(-1.65648--0.544884))+0-416.9--0.850475999999982</f>
        <v>1136.8760320000001</v>
      </c>
      <c r="J16" s="3">
        <f>1004.6+(786-243.8)+(0.512346+(0.40086-0.124338))+0-418.1-0.213230999999958</f>
        <v>1129.2756370000004</v>
      </c>
      <c r="K16" s="3">
        <f>1005.3+(781.8-234.4)+(0+(0-0))+0-417.6-0</f>
        <v>1135.0999999999999</v>
      </c>
      <c r="L16" s="3">
        <f>1004.2+(823.2-253.7)+(-0.512142+(-0.419832--0.129387))+0-421.9--0.215168999999957</f>
        <v>1151.2125820000001</v>
      </c>
      <c r="M16" s="3">
        <f>1003+(957.6-339)+(-0.51153+(-0.488376--0.17289))+0-425.3--0.216902999999957</f>
        <v>1195.689887</v>
      </c>
      <c r="N16" s="3">
        <f>1050.2+(1005.4-289.9)+(0.535602+(0.512754-0.147849))+0-469.2-0.239291999999952</f>
        <v>1297.1612150000001</v>
      </c>
      <c r="O16" s="3">
        <f>1104.4+(858.1-141.3)+(0.563244+(0.437631-0.072063))+0-421.5-0.214964999999957</f>
        <v>1400.4138470000003</v>
      </c>
      <c r="P16" s="3">
        <f>1222.2+(826.4-164)+(0.623322+(0.421464-0.08364))+0-462.9-0.236078999999953</f>
        <v>1422.4250669999999</v>
      </c>
      <c r="Q16" s="3">
        <f>1354.2+(805.6-264.3)+(-0.690642+(-0.410856--0.134793))+0-445.5--0.227204999999955</f>
        <v>1449.2604999999999</v>
      </c>
      <c r="R16" s="3">
        <f>1371+(704.5-201.3)+(0+(0-0))+0-462.1-0</f>
        <v>1412.1</v>
      </c>
      <c r="S16" s="3">
        <f>1369.6+(603.4-152)+(-2.793984+(-1.230936--0.31008))+0-466.7--0.95206799999998</f>
        <v>1351.5372279999999</v>
      </c>
      <c r="T16" s="3">
        <f>1370.4+(665-229.1)+(-0.698904+(-0.33915--0.116841))+0-452.9--0.230978999999954</f>
        <v>1352.7097659999999</v>
      </c>
      <c r="U16" s="3">
        <f>1370.1+(797.1-348.1)+(-1.397502+(-0.813042--0.355062))+0-453.1--0.462162000000072</f>
        <v>1364.6066800000001</v>
      </c>
      <c r="V16" s="3">
        <f>1370.3+(715.9-239.5)+(-0.698853+(-0.365109--0.122145))+0-461.4--0.235313999999953</f>
        <v>1384.5934969999998</v>
      </c>
      <c r="W16" s="3">
        <f>1370.9+(657.1-178.8)+(-1.398318+(-0.670242--0.182376))+0-449--0.457980000000072</f>
        <v>1398.7717960000002</v>
      </c>
      <c r="X16" s="3">
        <f>1369.1+(645.9-179.1)+(-3.491205+(-1.647045--0.456705))+0-399.7--1.01923499999994</f>
        <v>1432.5376899999999</v>
      </c>
      <c r="Y16" s="3">
        <f>1376+(792.8-235)+(-0.70176+(-0.404328--0.11985))+0-397.8--0.20287799999996</f>
        <v>1535.2166400000001</v>
      </c>
      <c r="Z16" s="3">
        <f>1377.2+(1293.3-575.7)+(-2.107116+(-1.978749--0.880821))+0-397.4--0.608022000000023</f>
        <v>1694.8029780000004</v>
      </c>
      <c r="AA16" s="3">
        <f>1374.4+(1152.3-492.5)+(-2.803776+(-2.350692--1.0047))+0-399--0.813959999999983</f>
        <v>1631.864192</v>
      </c>
      <c r="AB16" s="3">
        <f>1374.8+(1063.6-484)+(-1.402296+(-1.084872--0.49368))+0-398.3--0.406266000000064</f>
        <v>1554.5127779999998</v>
      </c>
      <c r="AC16" s="3">
        <f>1366.2+(953.3-452.8)+(-2.787048+(-1.944732--0.923712))+0-402.9--0.821915999999982</f>
        <v>1460.8138479999998</v>
      </c>
      <c r="AD16">
        <f t="shared" si="0"/>
        <v>32635.932012000005</v>
      </c>
      <c r="AE16" s="3">
        <f>1378+(1393.7-663)+(0+(0-0))+0-405.7-0</f>
        <v>1702.9999999999998</v>
      </c>
    </row>
    <row r="17" spans="1:31" s="2" customFormat="1" x14ac:dyDescent="0.25">
      <c r="A17">
        <v>89</v>
      </c>
      <c r="B17">
        <v>1</v>
      </c>
      <c r="C17">
        <v>17</v>
      </c>
      <c r="D17">
        <v>4</v>
      </c>
      <c r="E17">
        <v>1</v>
      </c>
      <c r="F17" s="3">
        <f>1270.4+(791-339.1)+(-1.943712+(-1.21023--0.518823))+0-401.8--0.614754000000023</f>
        <v>1318.4796350000001</v>
      </c>
      <c r="G17" s="3">
        <f>1095.1+(857.3-302.6)+(-2.792505+(-2.186115--0.77163))+0-401.3--1.02331499999994</f>
        <v>1245.3163249999998</v>
      </c>
      <c r="H17" s="3">
        <f>980.2+(836-245.3)+(-1.499706+(-1.27908--0.375309))+0-404.1--0.618273000000023</f>
        <v>1165.0147959999999</v>
      </c>
      <c r="I17" s="3">
        <f>976.5+(819.2-244.3)+(-2.490075+(-2.08896--0.622965))+0-400--1.01999999999994</f>
        <v>1148.4639300000001</v>
      </c>
      <c r="J17" s="3">
        <f>978.7+(821-258.9)+(0+(0-0))+0-401.3-0</f>
        <v>1139.5000000000002</v>
      </c>
      <c r="K17" s="3">
        <f>980+(801.9-237.9)+(0.9996+(0.817938-0.242658))+0-399.8-0.407796000000064</f>
        <v>1145.367084</v>
      </c>
      <c r="L17" s="3">
        <f>987.3+(823-232.6)+(0+(0-0))+0-400.4-0</f>
        <v>1177.2999999999997</v>
      </c>
      <c r="M17" s="3">
        <f>984.9+(892.8-256.5)+(-2.009196+(-1.821312--0.52326))+0-400.7--0.817427999999983</f>
        <v>1218.0101799999998</v>
      </c>
      <c r="N17" s="3">
        <f>1022.1+(798.6-71.4)+(0+(0-0))+0-438.8-0</f>
        <v>1310.5000000000002</v>
      </c>
      <c r="O17" s="3">
        <f>1096+(853.2-123.3)+(1.67688+(1.305396-0.188649))+0-443.9-0.679167000000026</f>
        <v>1384.11446</v>
      </c>
      <c r="P17" s="3">
        <f>1095.8+(920.6-155.9)+(0.558858+(0.469506-0.079509))+0-447.3-0.228122999999955</f>
        <v>1413.9207320000003</v>
      </c>
      <c r="Q17" s="3">
        <f>1265.2+(768.1-138.7)+(-1.935756+(-1.175193--0.212211))+0-411.7--0.629901000000024</f>
        <v>1480.631163</v>
      </c>
      <c r="R17" s="3">
        <f>1339+(746.6-184.8)+(-0.68289+(-0.380766--0.094248))+0-467.5--0.238424999999953</f>
        <v>1432.569017</v>
      </c>
      <c r="S17" s="3">
        <f>1338.6+(892.4-389)+(-1.365372+(-0.910248--0.39678))+0-459.9--0.469098000000073</f>
        <v>1380.6902580000001</v>
      </c>
      <c r="T17" s="3">
        <f>1345.5+(976.5-500.3)+(-0.686205+(-0.498015--0.255153))+0-466.9--0.238118999999953</f>
        <v>1354.109052</v>
      </c>
      <c r="U17" s="3">
        <f>1334+(975.6-463.2)+(1.36068+(0.995112-0.472464))+0-468.6-0.477972000000075</f>
        <v>1379.2053559999999</v>
      </c>
      <c r="V17" s="3">
        <f>1328.1+(1003.7-453.6)+(1.354662+(1.023774-0.462672))+0-463.7-0.472974000000074</f>
        <v>1415.9427899999998</v>
      </c>
      <c r="W17" s="3">
        <f>1326+(916.2-381.6)+(-2.02878+(-1.401786--0.583848))+0-420.1--0.642753000000024</f>
        <v>1438.2960349999998</v>
      </c>
      <c r="X17" s="3">
        <f>1326.8+(873.5-336.6)+(-1.353336+(-0.89097--0.343332))+0-428.3--0.436866000000068</f>
        <v>1433.935892</v>
      </c>
      <c r="Y17" s="3">
        <f>1344.2+(821.9-206.9)+(-1.371084+(-0.838338--0.211038))+0-424.9--0.433398000000068</f>
        <v>1532.7350140000003</v>
      </c>
      <c r="Z17" s="3">
        <f>1376.7+(1248.3-500.5)+(-1.404234+(-1.273266--0.51051))+0-424--0.432480000000068</f>
        <v>1698.76549</v>
      </c>
      <c r="AA17" s="3">
        <f>1377.1+(1201.9-503.5)+(-1.404642+(-1.225938--0.51357))+0-424.8--0.433296000000068</f>
        <v>1649.0162860000003</v>
      </c>
      <c r="AB17" s="3">
        <f>1375.9+(1133.1-524.4)+(0+(0-0))+0-408.7-0</f>
        <v>1575.8999999999999</v>
      </c>
      <c r="AC17" s="3">
        <f>1375.2+(973.6-471.7)+(-0.701352+(-0.496536--0.240567))+0-410.5--0.209354999999958</f>
        <v>1465.852034</v>
      </c>
      <c r="AD17">
        <f t="shared" si="0"/>
        <v>32903.635529000006</v>
      </c>
      <c r="AE17" s="3">
        <f>1373+(1265.5-501.7)+(0+(0-0))+0-425.4-0</f>
        <v>1711.4</v>
      </c>
    </row>
    <row r="18" spans="1:31" s="2" customFormat="1" x14ac:dyDescent="0.25">
      <c r="A18">
        <v>89</v>
      </c>
      <c r="B18">
        <v>1</v>
      </c>
      <c r="C18">
        <v>18</v>
      </c>
      <c r="D18">
        <v>5</v>
      </c>
      <c r="E18">
        <v>1</v>
      </c>
      <c r="F18" s="3">
        <f>1368.3+(750-372.4)+(-2.093499+(-1.1475--0.569772))+0-411.6--0.629748000000024</f>
        <v>1332.258521</v>
      </c>
      <c r="G18" s="3">
        <f>1178.4+(917.9-440.1)+(0.600984+(0.468129-0.224451))+0-418.3-0.213332999999958</f>
        <v>1238.5313290000001</v>
      </c>
      <c r="H18" s="3">
        <f>981.6+(1096.3-466.4)+(-0.500616+(-0.559113--0.237864))+0-425.5--0.217004999999957</f>
        <v>1185.3951400000001</v>
      </c>
      <c r="I18" s="3">
        <f>928.8+(1165.4-505.7)+(-0.473688+(-0.594354--0.257907))+0-423.5--0.215984999999957</f>
        <v>1164.4058500000001</v>
      </c>
      <c r="J18" s="3">
        <f>929.1+(1070.3-411.5)+(-2.843046+(-3.275118--1.25919))+0-423.6--1.29621600000005</f>
        <v>1160.7372419999999</v>
      </c>
      <c r="K18" s="3">
        <f>929.3+(1010.1-355.7)+(0+(0-0))+0-419.1-0</f>
        <v>1164.5999999999999</v>
      </c>
      <c r="L18" s="3">
        <f>930+(968.9-289.2)+(-0.9486+(-0.988278--0.294984))+0-424.7--0.433194000000068</f>
        <v>1183.7912999999999</v>
      </c>
      <c r="M18" s="3">
        <f>930+(924.8-202.4)+(-0.4743+(-0.471648--0.103224))+0-463.8--0.236537999999953</f>
        <v>1187.9938139999999</v>
      </c>
      <c r="N18" s="3">
        <f>950.1+(892.3-55.9)+(0.484551+(0.455073-0.028509))+0-470-0.239699999999952</f>
        <v>1317.1714150000003</v>
      </c>
      <c r="O18" s="3">
        <f>1012.5+(893.3-88.7)+(0+(0-0))+0-446.9-0</f>
        <v>1370.1999999999998</v>
      </c>
      <c r="P18" s="3">
        <f>1215.7+(784.7-128.2)+(0+(0-0))+0-415.1-0</f>
        <v>1457.1</v>
      </c>
      <c r="Q18" s="3">
        <f>1347.2+(704.9-135.8)+(-1.374144+(-0.718998--0.138516))+0-458.5--0.467670000000073</f>
        <v>1456.313044</v>
      </c>
      <c r="R18" s="3">
        <f>1350.5+(750.2-199.8)+(-2.066265+(-1.147806--0.305694))+0-456.9--0.699057000000026</f>
        <v>1441.7906800000003</v>
      </c>
      <c r="S18" s="3">
        <f>1349.3+(698.9-212.4)+(-2.064429+(-1.069317--0.324972))+0-437.9--0.669987000000025</f>
        <v>1395.761213</v>
      </c>
      <c r="T18" s="3">
        <f>1349.5+(670.8-178.5)+(-2.064735+(-1.026324--0.273105))+0-450.9--0.689877000000026</f>
        <v>1388.771923</v>
      </c>
      <c r="U18" s="3">
        <f>1336.4+(684.3-174.5)+(-2.044692+(-1.046979--0.266985))+0-448.2--0.685746000000026</f>
        <v>1395.8610600000002</v>
      </c>
      <c r="V18" s="3">
        <f>1332.3+(680.1-195.3)+(-0.679473+(-0.346851--0.099603))+0-420.8--0.214607999999957</f>
        <v>1395.5878869999999</v>
      </c>
      <c r="W18" s="3">
        <f>1321.6+(702.3-197.2)+(-3.37008+(-1.790865--0.50286))+0-419.7--1.07023499999994</f>
        <v>1403.4121499999997</v>
      </c>
      <c r="X18" s="3">
        <f>1347+(697.2-198.8)+(-2.06091+(-1.066716--0.304164))+0-421.6--0.645048000000024</f>
        <v>1421.621586</v>
      </c>
      <c r="Y18" s="3">
        <f>1362.4+(889-287.6)+(-1.389648+(-0.90678--0.293352))+0-422--0.430440000000067</f>
        <v>1540.2273640000003</v>
      </c>
      <c r="Z18" s="3">
        <f>1377.6+(1161.7-390.9)+(-4.918032+(-4.147269--1.395513))+0-421.4--1.50439800000001</f>
        <v>1720.8346099999999</v>
      </c>
      <c r="AA18" s="3">
        <f>1377.8+(970.5-260.3)+(-2.108034+(-1.484865--0.398259))+0-420.4--0.643212000000024</f>
        <v>1665.0485719999997</v>
      </c>
      <c r="AB18" s="3">
        <f>1376.8+(863.2-241.4)+(-2.106504+(-1.320696--0.369342))+0-420.3--0.643059000000024</f>
        <v>1575.8852010000001</v>
      </c>
      <c r="AC18" s="3">
        <f>1377.4+(823.4-291.9)+(0.702474+(0.419934-0.148869))+0-420.1-0.214250999999957</f>
        <v>1489.5592880000004</v>
      </c>
      <c r="AD18">
        <f t="shared" si="0"/>
        <v>33052.859189000003</v>
      </c>
      <c r="AE18" s="3">
        <f>1382+(1205.3-422.1)+(0+(0-0))+0-423.6-0</f>
        <v>1741.6</v>
      </c>
    </row>
    <row r="19" spans="1:31" s="2" customFormat="1" x14ac:dyDescent="0.25">
      <c r="A19">
        <v>89</v>
      </c>
      <c r="B19">
        <v>1</v>
      </c>
      <c r="C19">
        <v>19</v>
      </c>
      <c r="D19">
        <v>6</v>
      </c>
      <c r="E19">
        <v>1</v>
      </c>
      <c r="F19" s="3">
        <f>1367.9+(1164.9-743.1)+(-2.790516+(-2.376396--1.515924))+0-419.5--0.855779999999982</f>
        <v>1367.4047920000003</v>
      </c>
      <c r="G19" s="3">
        <f>1093.8+(1088.4-478.5)+(-1.673514+(-1.665252--0.732105))+0-428.7--0.655911000000025</f>
        <v>1273.04925</v>
      </c>
      <c r="H19" s="3">
        <f>884.9+(1281.8-529.7)+(-0.902598+(-1.307436--0.540294))+0-425.7--0.434214000000068</f>
        <v>1210.064474</v>
      </c>
      <c r="I19" s="3">
        <f>880.4+(1183.6-451.9)+(-1.347012+(-1.810908--0.691407))+0-423.5--0.647955000000024</f>
        <v>1186.7814419999997</v>
      </c>
      <c r="J19" s="3">
        <f>880.4+(1104.5-387.5)+(0+(0-0))+0-421-0</f>
        <v>1176.4000000000001</v>
      </c>
      <c r="K19" s="3">
        <f>879.9+(1062.9-338.6)+(0.448749+(0.542079-0.172686))+0-422.7-0.215576999999957</f>
        <v>1182.1025650000001</v>
      </c>
      <c r="L19" s="3">
        <f>952.5+(979.2-325.9)+(-0.97155+(-0.998784--0.332418))+0-410--0.418200000000065</f>
        <v>1194.5802840000003</v>
      </c>
      <c r="M19" s="3">
        <f>1003.4+(972.4-339.2)+(-0.511734+(-0.495924--0.172992))+0-411.8--0.210017999999958</f>
        <v>1224.175352</v>
      </c>
      <c r="N19" s="3">
        <f>1002.3+(1117.2-339.7)+(-0.511173+(-0.569772--0.173247))+0-448.2--0.228581999999955</f>
        <v>1330.9208839999999</v>
      </c>
      <c r="O19" s="3">
        <f>1107.7+(1035.4-293.1)+(1.694781+(1.584162-0.448443))+0-438.1-0.670293000000025</f>
        <v>1414.060207</v>
      </c>
      <c r="P19" s="3">
        <f>1294.5+(848.6-229.3)+(1.32039+(0.865572-0.233886))+0-449.6-0.458592000000072</f>
        <v>1465.6934839999997</v>
      </c>
      <c r="Q19" s="3">
        <f>1338+(769.2-189.4)+(0.68238+(0.392292-0.096594))+0-436.3-0.222512999999956</f>
        <v>1482.2555650000004</v>
      </c>
      <c r="R19" s="3">
        <f>1336.8+(850.9-276.7)+(0+(0-0))+0-456.3-0</f>
        <v>1454.7</v>
      </c>
      <c r="S19" s="3">
        <f>1336.3+(1003.6-516)+(-2.726052+(-2.047344--1.05264))+0-447.3--0.912491999999981</f>
        <v>1373.7917360000001</v>
      </c>
      <c r="T19" s="3">
        <f>1342.3+(1159.3-679.3)+(2.053719+(1.773729-1.039329))+0-453.2-0.693396000000026</f>
        <v>1371.1947229999998</v>
      </c>
      <c r="U19" s="3">
        <f>1385.7+(1363.9-920.3)+(-0.706707+(-0.695589--0.469353))+0-461.4--0.235313999999953</f>
        <v>1367.2023710000003</v>
      </c>
      <c r="V19" s="3">
        <f>1398.8+(1428.9-981.2)+(-0.713388+(-0.728739--0.500412))+0-436.8--0.222767999999956</f>
        <v>1408.981053</v>
      </c>
      <c r="W19" s="3">
        <f>1401.3+(1348.4-901.4)+(-1.429326+(-1.375368--0.919428))+0-424.9--0.433398000000068</f>
        <v>1421.9481320000004</v>
      </c>
      <c r="X19" s="3">
        <f>1442.3+(1337.4-909)+(-0.735573+(-0.682074--0.46359))+0-421.6--0.215015999999957</f>
        <v>1448.3609589999999</v>
      </c>
      <c r="Y19" s="3">
        <f>1493.1+(925.8-464.7)+(1.522962+(0.944316-0.473994))+0-423.1-0.431562000000068</f>
        <v>1532.6617219999996</v>
      </c>
      <c r="Z19" s="3">
        <f>1499.6+(1026.7-461.7)+(0.764796+(0.523617-0.235467))+0-422.9-0.215678999999957</f>
        <v>1642.5372669999997</v>
      </c>
      <c r="AA19" s="3">
        <f>1499.3+(1126-615.4)+(0+(0-0))+0-422.3-0</f>
        <v>1587.6000000000001</v>
      </c>
      <c r="AB19" s="3">
        <f>1498.2+(1172.6-727.1)+(-2.292246+(-1.794078--1.112463))+0-424.1--0.648873000000025</f>
        <v>1517.2750120000001</v>
      </c>
      <c r="AC19" s="3">
        <f>1499.2+(1206-849.7)+(0+(0-0))+0-420.6-0</f>
        <v>1434.9</v>
      </c>
      <c r="AD19">
        <f t="shared" si="0"/>
        <v>33068.641274000001</v>
      </c>
      <c r="AE19" s="3">
        <f>1501+(1109.8-538.9)+(0+(0-0))+0-426.4-0</f>
        <v>1645.5</v>
      </c>
    </row>
    <row r="20" spans="1:31" s="2" customFormat="1" x14ac:dyDescent="0.25">
      <c r="A20">
        <v>89</v>
      </c>
      <c r="B20">
        <v>1</v>
      </c>
      <c r="C20">
        <v>20</v>
      </c>
      <c r="D20">
        <v>7</v>
      </c>
      <c r="E20">
        <v>1</v>
      </c>
      <c r="F20" s="3">
        <f>1467.2+(977.8-702.2)+(-1.496544+(-0.997356--0.716244))+0-424.6--0.433092000000068</f>
        <v>1316.8554360000001</v>
      </c>
      <c r="G20" s="3">
        <f>1265+(1018.3-632.4)+(-2.5806+(-2.077332--1.290096))+0-426.6--0.870263999999981</f>
        <v>1221.8024280000002</v>
      </c>
      <c r="H20" s="3">
        <f>1208.7+(1207.1-812.7)+(-1.232874+(-1.231242--0.828954))+0-427.4--0.435948000000068</f>
        <v>1174.5007859999998</v>
      </c>
      <c r="I20" s="3">
        <f>1134.3+(1281.7-839.2)+(-0.578493+(-0.653667--0.427992))+0-424--0.216239999999957</f>
        <v>1152.212072</v>
      </c>
      <c r="J20" s="3">
        <f>1040.4+(1447.4-928.2)+(-1.061208+(-1.476348--0.946764))+0-424.4--0.432888000000068</f>
        <v>1134.0420960000004</v>
      </c>
      <c r="K20" s="3">
        <f>1051.6+(1477.6-980.6)+(-0.536316+(-0.753576--0.500106))+0-424--0.216239999999957</f>
        <v>1124.0264539999998</v>
      </c>
      <c r="L20" s="3">
        <f>1072.2+(1489.6-1027.1)+(-2.187288+(-3.038784--2.095284))+0-425.9--0.868835999999981</f>
        <v>1106.5380480000001</v>
      </c>
      <c r="M20" s="3">
        <f>1083.6+(1536.4-1122.8)+(0+(0-0))+0-419.8-0</f>
        <v>1077.4000000000001</v>
      </c>
      <c r="N20" s="3">
        <f>1150.6+(1460.5-1075.2)+(-1.173612+(-1.48971--1.096704))+0-425.5--0.434010000000068</f>
        <v>1109.267392</v>
      </c>
      <c r="O20" s="3">
        <f>1187.8+(1214.7-802.9)+(1.817334+(1.858491-1.228437))+0-426.8-0.653004000000025</f>
        <v>1174.594384</v>
      </c>
      <c r="P20" s="3">
        <f>1199.5+(1144.9-648.3)+(1.22349+(1.167798-0.661266))+0-429.1-0.437682000000068</f>
        <v>1268.2923400000002</v>
      </c>
      <c r="Q20" s="3">
        <f>1220.8+(1221.8-724.7)+(0.622608+(0.623118-0.369597))+0-426.4-0.217463999999957</f>
        <v>1292.1586649999997</v>
      </c>
      <c r="R20" s="3">
        <f>1221.8+(1171.2-685.8)+(0+(0-0))+0-425.7-0</f>
        <v>1281.5</v>
      </c>
      <c r="S20" s="3">
        <f>1220.5+(1175.1-708.7)+(-0.622455+(-0.599301--0.361437))+0-416.6--0.212465999999958</f>
        <v>1269.6521469999998</v>
      </c>
      <c r="T20" s="3">
        <f>1221.6+(1294.3-869)+(-1.246032+(-1.320186--0.88638))+0-424.9--0.433398000000068</f>
        <v>1220.7535600000001</v>
      </c>
      <c r="U20" s="3">
        <f>1242+(1342-955.7)+(0.63342+(0.68442-0.487407))+0-423-0.215729999999957</f>
        <v>1205.9147030000001</v>
      </c>
      <c r="V20" s="3">
        <f>1305.2+(1221.8-888.5)+(-2.662608+(-2.492472--1.81254))+0-424.8--0.866591999999981</f>
        <v>1211.224052</v>
      </c>
      <c r="W20" s="3">
        <f>1302.9+(1109.9-755.3)+(-1.328958+(-1.132098--0.770406))+0-423.1--0.431562000000068</f>
        <v>1233.1409120000001</v>
      </c>
      <c r="X20" s="3">
        <f>1300.5+(1061.7-686.8)+(-3.97953+(-3.248802--2.101608))+0-419.3--1.28305800000005</f>
        <v>1252.2563340000002</v>
      </c>
      <c r="Y20" s="3">
        <f>1431.6+(820.7-474.8)+(0+(0-0))+0-423.2-0</f>
        <v>1354.3</v>
      </c>
      <c r="Z20" s="3">
        <f>1642.4+(1001.8-658.8)+(-0.837624+(-0.510918--0.335988))+0-423.8--0.216137999999957</f>
        <v>1560.8035840000002</v>
      </c>
      <c r="AA20" s="3">
        <f>1648.9+(994.1-679.8)+(-2.522817+(-1.520973--1.040094))+0-422.2--0.645966000000024</f>
        <v>1538.6422700000003</v>
      </c>
      <c r="AB20" s="3">
        <f>1649.2+(1119.1-861.8)+(-2.523276+(-1.712223--1.318554))+0-420.5--0.643365000000024</f>
        <v>1483.7264200000002</v>
      </c>
      <c r="AC20" s="3">
        <f>1648.4+(1040.1-862.5)+(-3.362736+(-2.121804--1.7595))+0-417.7--0.852107999999982</f>
        <v>1405.427068</v>
      </c>
      <c r="AD20">
        <f t="shared" si="0"/>
        <v>30169.031150999999</v>
      </c>
      <c r="AE20" s="3">
        <f>1648+(1027.2-681.3)+(0+(0-0))+0-419.9-0</f>
        <v>1574</v>
      </c>
    </row>
    <row r="21" spans="1:31" s="2" customFormat="1" x14ac:dyDescent="0.25">
      <c r="A21">
        <v>89</v>
      </c>
      <c r="B21">
        <v>1</v>
      </c>
      <c r="C21">
        <v>21</v>
      </c>
      <c r="D21">
        <v>1</v>
      </c>
      <c r="E21">
        <v>1</v>
      </c>
      <c r="F21" s="3">
        <f>1467.4+(1012.6-765)+(-3.74187+(-2.58213--1.95075))+0-425.1--1.08400499999994</f>
        <v>1286.6107549999999</v>
      </c>
      <c r="G21" s="3">
        <f>1276.9+(1251.7-913.8)+(-3.256095+(-3.191835--2.33019))+0-424.6--1.08272999999994</f>
        <v>1187.16499</v>
      </c>
      <c r="H21" s="3">
        <f>1254.2+(1296.5-985.2)+(-3.837852+(-3.96729--3.014712))+0-425.2--1.30111200000005</f>
        <v>1136.810682</v>
      </c>
      <c r="I21" s="3">
        <f>1253.7+(1284.2-990.1)+(-0.639387+(-0.654942--0.504951))+0-424.4--0.216443999999957</f>
        <v>1122.8270660000001</v>
      </c>
      <c r="J21" s="3">
        <f>1256.1+(1276.2-987.4)+(-1.921833+(-1.952586--1.510722))+0-424.7--0.649791000000025</f>
        <v>1118.4860940000001</v>
      </c>
      <c r="K21" s="3">
        <f>1255.6+(1154-862.4)+(-1.280712+(-1.17708--0.879648))+0-424.7--0.433194000000068</f>
        <v>1121.3550499999997</v>
      </c>
      <c r="L21" s="3">
        <f>1247.7+(866.1-537)+(-3.817962+(-2.650266--1.64322))+0-425.2--1.30111200000005</f>
        <v>1148.0761040000002</v>
      </c>
      <c r="M21" s="3">
        <f>1256.5+(756.4-387.4)+(0.640815+(0.385764-0.197574))+0-427.6-0.218075999999957</f>
        <v>1198.5109290000003</v>
      </c>
      <c r="N21" s="3">
        <f>1323.6+(890.8-432)+(0+(0-0))+0-459.6-0</f>
        <v>1322.7999999999997</v>
      </c>
      <c r="O21" s="3">
        <f>1510.6+(835.4-480.2)+(-1.540812+(-0.852108--0.489804))+0-448.2--0.457164000000071</f>
        <v>1416.1540480000001</v>
      </c>
      <c r="P21" s="3">
        <f>1577.8+(833-499.1)+(0.804678+(0.42483-0.254541))+0-456.5-0.232814999999954</f>
        <v>1455.9421520000001</v>
      </c>
      <c r="Q21" s="3">
        <f>1594.9+(820.1-469.4)+(0.813399+(0.418251-0.239394))+0-459.9-0.234548999999953</f>
        <v>1486.4577070000003</v>
      </c>
      <c r="R21" s="3">
        <f>1622.2+(838.6-540.5)+(-1.654644+(-0.855372--0.55131))+0-457.1--0.466242000000073</f>
        <v>1461.7075360000003</v>
      </c>
      <c r="S21" s="3">
        <f>1621.5+(951.1-724.3)+(-4.134825+(-2.425305--1.846965))+0-445.7--1.13653499999994</f>
        <v>1399.0233700000001</v>
      </c>
      <c r="T21" s="3">
        <f>1626.9+(1021.6-815)+(0.829719+(0.521016-0.41565))+0-440.3-0.224552999999955</f>
        <v>1393.9105320000001</v>
      </c>
      <c r="U21" s="3">
        <f>1620.9+(910.1-679.7)+(-3.306636+(-1.856604--1.386588))+0-445.7--0.909227999999981</f>
        <v>1402.7325760000001</v>
      </c>
      <c r="V21" s="3">
        <f>1627.4+(807.6-604.2)+(0+(0-0))+0-425.8-0</f>
        <v>1405.0000000000002</v>
      </c>
      <c r="W21" s="3">
        <f>1622.9+(693.2-486.4)+(-3.310716+(-1.414128--0.992256))+0-422.4--0.861695999999981</f>
        <v>1404.4291080000003</v>
      </c>
      <c r="X21" s="3">
        <f>1625+(642.6-435.8)+(-1.6575+(-0.655452--0.444516))+0-423.5--0.431970000000068</f>
        <v>1406.8635340000001</v>
      </c>
      <c r="Y21" s="3">
        <f>1624.4+(671.3-372.5)+(-3.313776+(-1.369452--0.7599))+0-425.6--0.868223999999981</f>
        <v>1494.5448960000001</v>
      </c>
      <c r="Z21" s="3">
        <f>1627.1+(1136.8-620.1)+(-2.489463+(-1.739304--0.948753))+0-424.9--0.650097000000025</f>
        <v>1716.2700829999997</v>
      </c>
      <c r="AA21" s="3">
        <f>1625.5+(1120-638.6)+(-2.487015+(-1.7136--0.977058))+0-422.5--0.646425000000024</f>
        <v>1681.8228680000004</v>
      </c>
      <c r="AB21" s="3">
        <f>1625.9+(999.6-593.1)+(-2.487627+(-1.529388--0.907443))+0-422.2--0.645966000000024</f>
        <v>1607.736394</v>
      </c>
      <c r="AC21" s="3">
        <f>1624.8+(817.5-505.4)+(-3.314592+(-1.6677--1.031016))+0-426--0.869039999999981</f>
        <v>1507.8177640000001</v>
      </c>
      <c r="AD21">
        <f t="shared" si="0"/>
        <v>32883.054237999997</v>
      </c>
      <c r="AE21" s="3">
        <f>1626+(1194.3-657.3)+(0+(0-0))+0-424.6-0</f>
        <v>1738.4</v>
      </c>
    </row>
    <row r="22" spans="1:31" s="2" customFormat="1" x14ac:dyDescent="0.25">
      <c r="A22">
        <v>89</v>
      </c>
      <c r="B22">
        <v>1</v>
      </c>
      <c r="C22">
        <v>22</v>
      </c>
      <c r="D22">
        <v>2</v>
      </c>
      <c r="E22">
        <v>1</v>
      </c>
      <c r="F22" s="3">
        <f>1625.1+(861.8-685.2)+(-1.657602+(-0.879036--0.698904))+0-423--0.431460000000067</f>
        <v>1377.2937259999999</v>
      </c>
      <c r="G22" s="3">
        <f>1529.1+(815-630.1)+(-3.899205+(-2.07825--1.606755))+0-423.9--1.08094499999994</f>
        <v>1286.8102449999999</v>
      </c>
      <c r="H22" s="3">
        <f>1299.3+(734.9-382)+(-1.987929+(-1.124397--0.58446))+0-426--0.651780000000025</f>
        <v>1224.3239139999998</v>
      </c>
      <c r="I22" s="3">
        <f>1285.1+(674.5-330.4)+(-1.966203+(-1.031985--0.505512))+0-425.7--0.651321000000025</f>
        <v>1201.6586449999998</v>
      </c>
      <c r="J22" s="3">
        <f>1284.6+(632.6-296.5)+(-3.27573+(-1.61313--0.756075))+0-425.5--1.08502499999994</f>
        <v>1192.1522399999997</v>
      </c>
      <c r="K22" s="3">
        <f>1286.4+(665.6-331.8)+(1.312128+(0.678912-0.338436))+0-423.7-0.432174000000068</f>
        <v>1197.7204300000001</v>
      </c>
      <c r="L22" s="3">
        <f>1285.5+(695.5-349.9)+(-3.278025+(-1.773525--0.892245))+0-426.8--1.08833999999994</f>
        <v>1201.2290350000001</v>
      </c>
      <c r="M22" s="3">
        <f>1286.4+(805.5-409.6)+(-0.656064+(-0.410805--0.208896))+0-427.5--0.218024999999957</f>
        <v>1254.1600520000002</v>
      </c>
      <c r="N22" s="3">
        <f>1325.1+(919.5-408)+(0.675801+(0.468945-0.20808))+0-429.6-0.219095999999956</f>
        <v>1407.71757</v>
      </c>
      <c r="O22" s="3">
        <f>1495.3+(836-426.2)+(-0.762603+(-0.42636--0.217362))+0-424.1--0.216290999999957</f>
        <v>1480.2446899999998</v>
      </c>
      <c r="P22" s="3">
        <f>1636.6+(743.8-431.4)+(-0.834666+(-0.379338--0.220014))+0-428.5--0.218534999999957</f>
        <v>1519.724545</v>
      </c>
      <c r="Q22" s="3">
        <f>1672+(753.9-437.4)+(0.85272+(0.384489-0.223074))+0-429.3-0.218942999999956</f>
        <v>1559.9951920000001</v>
      </c>
      <c r="R22" s="3">
        <f>1670.2+(703.2-440.4)+(-2.555406+(-1.075896--0.673812))+0-480.3--0.734859000000028</f>
        <v>1450.477369</v>
      </c>
      <c r="S22" s="3">
        <f>1669.9+(719.4-507.6)+(-2.554947+(-1.100682--0.776628))+0-464--0.709920000000027</f>
        <v>1415.530919</v>
      </c>
      <c r="T22" s="3">
        <f>1671.1+(735.5-516.6)+(0+(0-0))+0-460.1-0</f>
        <v>1429.9</v>
      </c>
      <c r="U22" s="3">
        <f>1664.2+(608.9-378.5)+(0+(0-0))+0-467.9-0</f>
        <v>1426.6999999999998</v>
      </c>
      <c r="V22" s="3">
        <f>1659.3+(517.9-296.9)+(-0.846243+(-0.264129--0.151419))+0-422.8--0.215627999999957</f>
        <v>1456.7566749999999</v>
      </c>
      <c r="W22" s="3">
        <f>1659.5+(490.8-286.2)+(-5.07807+(-1.501848--0.875772))+0-419.1--1.28244600000005</f>
        <v>1440.5783000000001</v>
      </c>
      <c r="X22" s="3">
        <f>1661.1+(427.5-219.3)+(-0.847161+(-0.218025--0.111843))+0-420.3--0.214352999999957</f>
        <v>1448.2610099999999</v>
      </c>
      <c r="Y22" s="3">
        <f>1660.6+(586.8-285.3)+(-1.693812+(-0.598536--0.291006))+0-419.3--0.427686000000067</f>
        <v>1541.2263439999999</v>
      </c>
      <c r="Z22" s="3">
        <f>1661.1+(1108.5-608.1)+(-5.082966+(-3.39201--1.860786))+0-423--1.29438000000005</f>
        <v>1733.1801900000003</v>
      </c>
      <c r="AA22" s="3">
        <f>1660.8+(985-529.4)+(-3.388032+(-2.0094--1.079976))+0-420.4--0.857615999999982</f>
        <v>1692.5401599999998</v>
      </c>
      <c r="AB22" s="3">
        <f>1662.1+(795.5-424.2)+(0+(0-0))+0-420.5-0</f>
        <v>1612.8999999999999</v>
      </c>
      <c r="AC22" s="3">
        <f>1656.9+(630.5-352.4)+(-0.845019+(-0.321555--0.179724))+0-422.5--0.215474999999957</f>
        <v>1511.728625</v>
      </c>
      <c r="AD22">
        <f t="shared" si="0"/>
        <v>34062.809875999999</v>
      </c>
      <c r="AE22" s="3">
        <f>1664+(1062-564)+(0+(0-0))+0-417.8-0</f>
        <v>1744.2</v>
      </c>
    </row>
    <row r="23" spans="1:31" s="2" customFormat="1" x14ac:dyDescent="0.25">
      <c r="A23">
        <v>89</v>
      </c>
      <c r="B23">
        <v>1</v>
      </c>
      <c r="C23">
        <v>23</v>
      </c>
      <c r="D23">
        <v>3</v>
      </c>
      <c r="E23">
        <v>1</v>
      </c>
      <c r="F23" s="3">
        <f>1638.5+(499.8-328.7)+(-2.506905+(-0.764694--0.502911))+0-420.7--0.643671000000024</f>
        <v>1386.7749829999998</v>
      </c>
      <c r="G23" s="3">
        <f>1399.3+(830.5-513.4)+(0+(0-0))+0-422.2-0</f>
        <v>1294.2</v>
      </c>
      <c r="H23" s="3">
        <f>1269.4+(821.6-423.9)+(-1.294788+(-0.838032--0.432378))+0-419.7--0.428094000000067</f>
        <v>1246.1276520000001</v>
      </c>
      <c r="I23" s="3">
        <f>1269.7+(743.1-373.2)+(-0.647547+(-0.378981--0.190332))+0-421.3--0.214862999999957</f>
        <v>1217.6786670000001</v>
      </c>
      <c r="J23" s="3">
        <f>1268.5+(656.4-290)+(-2.58774+(-1.339056--0.5916))+0-422.5--0.861899999999982</f>
        <v>1209.926704</v>
      </c>
      <c r="K23" s="3">
        <f>1269.9+(556.1-188.2)+(-0.647649+(-0.283611--0.095982))+0-424.3--0.216392999999957</f>
        <v>1212.8811150000001</v>
      </c>
      <c r="L23" s="3">
        <f>1268.5+(505-115.5)+(-0.646935+(-0.25755--0.058905))+0-425.4--0.216953999999957</f>
        <v>1231.9713740000002</v>
      </c>
      <c r="M23" s="3">
        <f>1270+(645.8-199.5)+(-1.2954+(-0.658716--0.20349))+0-428.1--0.436662000000068</f>
        <v>1286.8860359999999</v>
      </c>
      <c r="N23" s="3">
        <f>1403.1+(651.3-189.8)+(-2.862324+(-1.328652--0.387192))+0-469.9--0.958595999999979</f>
        <v>1391.854812</v>
      </c>
      <c r="O23" s="3">
        <f>1456.3+(686.2-203.4)+(-2.228139+(-1.049886--0.311202))+0-437.1--0.668763000000025</f>
        <v>1499.7019399999999</v>
      </c>
      <c r="P23" s="3">
        <f>1542.1+(520.2-107)+(-2.359413+(-0.795906--0.16371))+0-432.4--0.661572000000025</f>
        <v>1520.5699629999999</v>
      </c>
      <c r="Q23" s="3">
        <f>1640.6+(532.9-204.4)+(-1.673412+(-0.543558--0.208488))+0-454.1--0.463182000000072</f>
        <v>1513.4546999999998</v>
      </c>
      <c r="R23" s="3">
        <f>1641.1+(681.8-361.3)+(0+(0-0))+0-449.3-0</f>
        <v>1512.3</v>
      </c>
      <c r="S23" s="3">
        <f>1639.3+(830.4-543.5)+(-0.836043+(-0.423504--0.277185))+0-448.9--0.228938999999954</f>
        <v>1476.5465769999998</v>
      </c>
      <c r="T23" s="3">
        <f>1635.1+(665.7-423.1)+(-1.667802+(-0.679014--0.431562))+0-457--0.466140000000073</f>
        <v>1419.2508859999998</v>
      </c>
      <c r="U23" s="3">
        <f>1633.9+(509.4-242.5)+(-1.666578+(-0.519588--0.24735))+0-456.2--0.465324000000073</f>
        <v>1443.1265080000001</v>
      </c>
      <c r="V23" s="3">
        <f>1635.1+(509.7-242.3)+(-1.667802+(-0.519894--0.247146))+0-452.5--0.461550000000072</f>
        <v>1448.521</v>
      </c>
      <c r="W23" s="3">
        <f>1636.1+(534.9-289.3)+(-0.834411+(-0.272799--0.147543))+0-420--0.214199999999957</f>
        <v>1460.9545329999996</v>
      </c>
      <c r="X23" s="3">
        <f>1639.3+(651.3-397.2)+(-0.836043+(-0.332163--0.202572))+0-419.3--0.213842999999957</f>
        <v>1473.348209</v>
      </c>
      <c r="Y23" s="3">
        <f>1676.1+(1047.2-735.9)+(0+(0-0))+0-419.6-0</f>
        <v>1567.8000000000002</v>
      </c>
      <c r="Z23" s="3">
        <f>1694.2+(1466.1-986)+(-1.728084+(-1.495422--1.00572))+0-420.4--0.428808000000067</f>
        <v>1752.111022</v>
      </c>
      <c r="AA23" s="3">
        <f>1695.4+(1411-972.6)+(-1.729308+(-1.43922--0.992052))+0-418.6--0.426972000000067</f>
        <v>1713.4504960000002</v>
      </c>
      <c r="AB23" s="3">
        <f>1695.6+(871.2-507.9)+(-3.459024+(-1.777248--1.036116))+0-419.2--0.855167999999982</f>
        <v>1636.3550120000002</v>
      </c>
      <c r="AC23" s="3">
        <f>1693.4+(592.8-321.7)+(-1.727268+(-0.604656--0.328134))+0-419--0.427380000000067</f>
        <v>1543.9235900000001</v>
      </c>
      <c r="AD23">
        <f t="shared" si="0"/>
        <v>34459.715779000006</v>
      </c>
      <c r="AE23" s="3">
        <f>1706+(1398.7-902.9)+(0+(0-0))+0-421.3-0</f>
        <v>1780.5000000000002</v>
      </c>
    </row>
    <row r="24" spans="1:31" s="2" customFormat="1" x14ac:dyDescent="0.25">
      <c r="A24">
        <v>89</v>
      </c>
      <c r="B24">
        <v>1</v>
      </c>
      <c r="C24">
        <v>24</v>
      </c>
      <c r="D24">
        <v>4</v>
      </c>
      <c r="E24">
        <v>1</v>
      </c>
      <c r="F24" s="3">
        <f>1614.4+(938.5-735.4)+(-2.470032+(-1.435905--1.125162))+0-419.7--0.642141000000024</f>
        <v>1395.661366</v>
      </c>
      <c r="G24" s="3">
        <f>1532+(967.7-772.2)+(-2.34396+(-1.480581--1.181466))+0-425.9--0.651627000000025</f>
        <v>1299.6085519999999</v>
      </c>
      <c r="H24" s="3">
        <f>1390.4+(996.3-716.5)+(0.709104+(0.508113-0.365415))+0-426.2-0.217361999999957</f>
        <v>1244.63444</v>
      </c>
      <c r="I24" s="3">
        <f>1343+(1028-712.9)+(-2.05479+(-1.57284--1.090737))+0-426.1--0.651933000000025</f>
        <v>1230.1150400000001</v>
      </c>
      <c r="J24" s="3">
        <f>1341.1+(1026.4-715.8)+(-3.419805+(-2.61732--1.82529))+0-427.1--1.08910499999994</f>
        <v>1221.4772699999999</v>
      </c>
      <c r="K24" s="3">
        <f>1344+(817.4-511.4)+(-2.05632+(-1.250622--0.782442))+0-424.8--0.649944000000025</f>
        <v>1223.3254440000001</v>
      </c>
      <c r="L24" s="3">
        <f>1343.5+(582.4-277.8)+(-0.685185+(-0.297024--0.141678))+0-422.8--0.215627999999957</f>
        <v>1224.6750969999998</v>
      </c>
      <c r="M24" s="3">
        <f>1343.9+(567.7-202.6)+(0+(0-0))+0-428.3-0</f>
        <v>1280.7</v>
      </c>
      <c r="N24" s="3">
        <f>1446.7+(611-210)+(0+(0-0))+0-472-0</f>
        <v>1375.7</v>
      </c>
      <c r="O24" s="3">
        <f>1531+(579.9-230.1)+(-0.78081+(-0.295749--0.117351))+0-415.7--0.212006999999958</f>
        <v>1464.3527989999998</v>
      </c>
      <c r="P24" s="3">
        <f>1630.4+(585-285.2)+(0+(0-0))+0-434.4-0</f>
        <v>1495.8000000000002</v>
      </c>
      <c r="Q24" s="3">
        <f>1651.2+(646.9-346)+(0+(0-0))+0-434.8-0</f>
        <v>1517.3</v>
      </c>
      <c r="R24" s="3">
        <f>1661.9+(739.5-477.5)+(-2.542707+(-1.131435--0.730575))+0-428.5--0.655605000000025</f>
        <v>1493.112038</v>
      </c>
      <c r="S24" s="3">
        <f>1667.2+(503.2-306.1)+(-1.700544+(-0.513264--0.312222))+0-431.2--0.439824000000069</f>
        <v>1431.638238</v>
      </c>
      <c r="T24" s="3">
        <f>1669.2+(507.2-289.4)+(-0.851292+(-0.258672--0.147594))+0-437.9--0.223328999999956</f>
        <v>1448.3609590000001</v>
      </c>
      <c r="U24" s="3">
        <f>1666.9+(521.9-303.9)+(0.850119+(0.266169-0.154989))+0-444-0.226439999999955</f>
        <v>1441.6348590000002</v>
      </c>
      <c r="V24" s="3">
        <f>1662.6+(574.8-319.9)+(-0.847926+(-0.293148--0.163149))+0-397.6--0.20277599999996</f>
        <v>1519.1248509999998</v>
      </c>
      <c r="W24" s="3">
        <f>1659.9+(565.8-326.7)+(-2.539647+(-0.865674--0.499851))+0-397.8--0.608634000000023</f>
        <v>1498.9031640000001</v>
      </c>
      <c r="X24" s="3">
        <f>1658.5+(621.1-360.3)+(-4.229175+(-1.583805--0.918765))+0-394.7--1.00648499999994</f>
        <v>1520.7122699999998</v>
      </c>
      <c r="Y24" s="3">
        <f>1669.3+(1012.2-723.7)+(-1.702686+(-1.032444--0.738174))+0-399--0.406980000000064</f>
        <v>1557.210024</v>
      </c>
      <c r="Z24" s="3">
        <f>1696.8+(1525-1141.8)+(-3.461472+(-3.111--2.329272))+0-395.9--0.807635999999983</f>
        <v>1680.664436</v>
      </c>
      <c r="AA24" s="3">
        <f>1694.4+(1547-1129.3)+(-4.32072+(-3.94485--2.879715))+0-397.8--1.01438999999994</f>
        <v>1709.9285350000005</v>
      </c>
      <c r="AB24" s="3">
        <f>1657+(1222.7-982.5)+(-3.38028+(-2.494308--2.0043))+0-402.6--0.821303999999982</f>
        <v>1491.5510159999999</v>
      </c>
      <c r="AC24" s="3">
        <f>1597.3+(845.9-543.4)+(-3.258492+(-1.725636--1.108536))+0-405.6--0.827423999999982</f>
        <v>1491.151832</v>
      </c>
      <c r="AD24">
        <f t="shared" si="0"/>
        <v>34257.342230000002</v>
      </c>
      <c r="AE24" s="3">
        <f>1695+(1577-1135)+(0+(0-0))+0-398-0</f>
        <v>1739</v>
      </c>
    </row>
    <row r="25" spans="1:31" s="2" customFormat="1" x14ac:dyDescent="0.25">
      <c r="A25">
        <v>89</v>
      </c>
      <c r="B25">
        <v>1</v>
      </c>
      <c r="C25">
        <v>25</v>
      </c>
      <c r="D25">
        <v>5</v>
      </c>
      <c r="E25">
        <v>1</v>
      </c>
      <c r="F25" s="3">
        <f>1406.6+(737.8-376.1)+(-2.152098+(-1.128834--0.575433))+0-410.4--0.627912000000024</f>
        <v>1355.8224129999999</v>
      </c>
      <c r="G25" s="3">
        <f>1321.6+(576.3-223.2)+(-2.022048+(-0.881739--0.341496))+0-408.8--0.625464000000024</f>
        <v>1263.9631729999999</v>
      </c>
      <c r="H25" s="3">
        <f>1267.6+(573.7-202.5)+(-1.292952+(-0.585174--0.20655))+0-410.1--0.418302000000065</f>
        <v>1227.4467260000001</v>
      </c>
      <c r="I25" s="3">
        <f>1268.4+(662.5-306.4)+(-1.293768+(-0.67575--0.312528))+0-411.7--0.419934000000066</f>
        <v>1211.562944</v>
      </c>
      <c r="J25" s="3">
        <f>1268.8+(598-251.3)+(-1.294176+(-0.60996--0.256326))+0-415.2--0.423504000000066</f>
        <v>1199.0756940000001</v>
      </c>
      <c r="K25" s="3">
        <f>1268.5+(538.5-184.2)+(0.646935+(0.274635-0.093942))+0-415.3-0.211802999999958</f>
        <v>1208.1158250000001</v>
      </c>
      <c r="L25" s="3">
        <f>1270+(524.3-161.6)+(-0.6477+(-0.267393--0.082416))+0-415--0.211649999999958</f>
        <v>1217.0789729999997</v>
      </c>
      <c r="M25" s="3">
        <f>1269.3+(592.5-186.2)+(0.647343+(0.302175-0.094962))+0-450.7-0.229856999999954</f>
        <v>1225.5246989999998</v>
      </c>
      <c r="N25" s="3">
        <f>1271+(738-184.4)+(0+(0-0))+0-468.1-0</f>
        <v>1356.5</v>
      </c>
      <c r="O25" s="3">
        <f>1411.3+(809.2-312)+(-0.719763+(-0.412692--0.15912))+0-465.2--0.237251999999953</f>
        <v>1442.5639169999999</v>
      </c>
      <c r="P25" s="3">
        <f>1534.2+(1125.3-708.3)+(1.564884+(1.147806-0.722466))+0-469.6-0.478992000000075</f>
        <v>1483.111232</v>
      </c>
      <c r="Q25" s="3">
        <f>1638.8+(993.3-642.2)+(-2.507364+(-1.519749--0.982566))+0-469--0.717570000000027</f>
        <v>1518.5730229999999</v>
      </c>
      <c r="R25" s="3">
        <f>1651.1+(776.9-454.8)+(0.842061+(0.396219-0.231948))+0-471.7-0.240566999999952</f>
        <v>1502.2657649999996</v>
      </c>
      <c r="S25" s="3">
        <f>1649.4+(535.1-290.9)+(-0.841194+(-0.272901--0.148359))+0-469.9--0.239648999999952</f>
        <v>1422.973913</v>
      </c>
      <c r="T25" s="3">
        <f>1651.3+(514.8-275.3)+(0.842163+(0.262548-0.140403))+0-473.2-0.241331999999952</f>
        <v>1418.3229759999999</v>
      </c>
      <c r="U25" s="3">
        <f>1648.5+(526.3-263)+(-2.522205+(-0.805239--0.40239))+0-459.1--0.702423000000027</f>
        <v>1450.477369</v>
      </c>
      <c r="V25" s="3">
        <f>1640.7+(638.3-394.3)+(0+(0-0))+0-427.3-0</f>
        <v>1457.4</v>
      </c>
      <c r="W25" s="3">
        <f>1640.9+(772.8-528.8)+(-2.510577+(-1.182384--0.809064))+0-428.3--0.655299000000025</f>
        <v>1454.3714020000002</v>
      </c>
      <c r="X25" s="3">
        <f>1634.2+(801.9-562.4)+(-5.000652+(-2.453814--1.720944))+0-428.4--1.31090400000005</f>
        <v>1440.8773820000001</v>
      </c>
      <c r="Y25" s="3">
        <f>1672.3+(1046.4-773.5)+(-1.705746+(-1.067328--0.78897))+0-425.3--0.433806000000068</f>
        <v>1518.3497020000002</v>
      </c>
      <c r="Z25" s="3">
        <f>1695.5+(1237.5-766.7)+(-3.45882+(-2.5245--1.564068))+0-425.8--0.868631999999981</f>
        <v>1736.94938</v>
      </c>
      <c r="AA25" s="3">
        <f>1683+(1110.7-659.8)+(-2.57499+(-1.699371--1.009494))+0-425.7--0.651321000000025</f>
        <v>1705.5864540000002</v>
      </c>
      <c r="AB25" s="3">
        <f>1683+(897.1-533.6)+(-3.43332+(-1.830084--1.088544))+0-424.8--0.866591999999981</f>
        <v>1618.391732</v>
      </c>
      <c r="AC25" s="3">
        <f>1679.3+(673.5-405.8)+(0+(0-0))+0-426.5-0</f>
        <v>1520.5</v>
      </c>
      <c r="AD25">
        <f t="shared" si="0"/>
        <v>33955.804693999999</v>
      </c>
      <c r="AE25" s="3">
        <f>1698+(1329-832)+(0+(0-0))+0-425-0</f>
        <v>1770</v>
      </c>
    </row>
    <row r="26" spans="1:31" s="2" customFormat="1" x14ac:dyDescent="0.25">
      <c r="A26">
        <v>89</v>
      </c>
      <c r="B26">
        <v>1</v>
      </c>
      <c r="C26">
        <v>26</v>
      </c>
      <c r="D26">
        <v>6</v>
      </c>
      <c r="E26">
        <v>1</v>
      </c>
      <c r="F26" s="3">
        <f>1587.2+(631.1-403.4)+(-2.428416+(-0.965583--0.617202))+0-425.1--0.650403000000025</f>
        <v>1387.6736060000003</v>
      </c>
      <c r="G26" s="3">
        <f>1457.6+(938.5-676.7)+(-0.743376+(-0.478635--0.345117))+0-422.9--0.215678999999957</f>
        <v>1295.8387849999999</v>
      </c>
      <c r="H26" s="3">
        <f>1309.5+(1205.8-847.1)+(0+(0-0))+0-424.6-0</f>
        <v>1243.5999999999999</v>
      </c>
      <c r="I26" s="3">
        <f>1303.4+(1210.1-861.6)+(-2.658936+(-2.468604--1.757664))+0-425.9--0.868835999999981</f>
        <v>1223.4989600000001</v>
      </c>
      <c r="J26" s="3">
        <f>1305.7+(1145.3-804.4)+(-1.997721+(-1.752309--1.230732))+0-424.3--0.649179000000024</f>
        <v>1220.429881</v>
      </c>
      <c r="K26" s="3">
        <f>1305.8+(1089.7-749)+(0+(0-0))+0-425.1-0</f>
        <v>1221.4000000000001</v>
      </c>
      <c r="L26" s="3">
        <f>1303+(858.3-504.6)+(-3.98718+(-2.626398--1.544076))+0-421.9--1.29101400000005</f>
        <v>1231.021512</v>
      </c>
      <c r="M26" s="3">
        <f>1306.4+(686.3-299.7)+(0.666264+(0.350013-0.152847))+0-463.9-0.236588999999953</f>
        <v>1229.7268410000004</v>
      </c>
      <c r="N26" s="3">
        <f>1328.9+(786-284.1)+(0+(0-0))+0-470.9-0</f>
        <v>1359.9</v>
      </c>
      <c r="O26" s="3">
        <f>1476.5+(687-253.8)+(1.50603+(0.70074-0.258876))+0-466.5-0.475830000000074</f>
        <v>1444.6720639999999</v>
      </c>
      <c r="P26" s="3">
        <f>1617.7+(671.2-328)+(-2.475081+(-1.026936--0.50184))+0-483.1--0.739143000000028</f>
        <v>1475.5389660000003</v>
      </c>
      <c r="Q26" s="3">
        <f>1651.7+(704-381.3)+(-2.527101+(-1.07712--0.583389))+0-474.8--0.726444000000027</f>
        <v>1497.3056120000003</v>
      </c>
      <c r="R26" s="3">
        <f>1653.7+(604.6-315.1)+(0+(0-0))+0-470.9-0</f>
        <v>1472.3000000000002</v>
      </c>
      <c r="S26" s="3">
        <f>1642.8+(535.3-295.9)+(-2.513484+(-0.819009--0.452727))+0-469.9--0.718947000000027</f>
        <v>1410.1391809999998</v>
      </c>
      <c r="T26" s="3">
        <f>1640.1+(625.6-405.7)+(-0.836451+(-0.319056--0.206907))+0-457.2--0.233171999999954</f>
        <v>1402.084572</v>
      </c>
      <c r="U26" s="3">
        <f>1384.2+(919.2-460.5)+(-0.705942+(-0.468792--0.234855))+0-438.5--0.223634999999956</f>
        <v>1403.6837560000001</v>
      </c>
      <c r="V26" s="3">
        <f>1343.7+(976.1-506.5)+(-2.055861+(-1.493433--0.774945))+0-426.6--0.652698000000025</f>
        <v>1384.5783490000001</v>
      </c>
      <c r="W26" s="3">
        <f>1343.9+(754.4-283.6)+(-2.056167+(-1.154232--0.433908))+0-426.6--0.652698000000025</f>
        <v>1385.9762069999999</v>
      </c>
      <c r="X26" s="3">
        <f>1343+(661.3-201.6)+(-2.05479+(-1.011789--0.308448))+0-425--0.650250000000025</f>
        <v>1375.5921189999997</v>
      </c>
      <c r="Y26" s="3">
        <f>1358.5+(740.7-243.9)+(0.692835+(0.377757-0.124389))+0-423.5-0.215984999999957</f>
        <v>1432.5302180000001</v>
      </c>
      <c r="Z26" s="3">
        <f>1372.7+(1142.5-418.2)+(-1.400154+(-1.16535--0.426564))+0-425.4--0.433908000000068</f>
        <v>1669.8949680000001</v>
      </c>
      <c r="AA26" s="3">
        <f>1372.9+(1095-403.5)+(-0.700179+(-0.55845--0.205785))+0-422.3--0.215372999999957</f>
        <v>1641.2625290000003</v>
      </c>
      <c r="AB26" s="3">
        <f>1372.1+(914.4-289.7)+(-1.399542+(-0.932688--0.295494))+0-419.3--0.427686000000067</f>
        <v>1575.89095</v>
      </c>
      <c r="AC26" s="3">
        <f>1368.3+(939.4-378.1)+(-4.186998+(-2.874564--1.156986))+0-419.2--1.28275200000005</f>
        <v>1505.778176</v>
      </c>
      <c r="AD26">
        <f t="shared" si="0"/>
        <v>33490.317252000001</v>
      </c>
      <c r="AE26" s="3">
        <f>1377+(1218.7-486.2)+(0+(0-0))+0-419.7-0</f>
        <v>1689.8</v>
      </c>
    </row>
    <row r="27" spans="1:31" s="2" customFormat="1" x14ac:dyDescent="0.25">
      <c r="A27">
        <v>89</v>
      </c>
      <c r="B27">
        <v>1</v>
      </c>
      <c r="C27">
        <v>27</v>
      </c>
      <c r="D27">
        <v>7</v>
      </c>
      <c r="E27">
        <v>1</v>
      </c>
      <c r="F27" s="3">
        <f>1371.6+(1153.8-709.7)+(-1.399032+(-1.176876--0.723894))+0-428--0.436560000000068</f>
        <v>1386.2845459999999</v>
      </c>
      <c r="G27" s="3">
        <f>1366+(1205.9-854)+(-3.4833+(-3.075045--2.1777))+0-423.3--1.07941499999994</f>
        <v>1291.2987700000001</v>
      </c>
      <c r="H27" s="3">
        <f>1356.3+(1054.6-743)+(-3.458565+(-2.68923--1.89465))+0-428.5--1.09267499999994</f>
        <v>1236.2395299999998</v>
      </c>
      <c r="I27" s="3">
        <f>1244.2+(1095.6-703.9)+(-1.269084+(-1.117512--0.717978))+0-427.1--0.435642000000068</f>
        <v>1207.5670240000002</v>
      </c>
      <c r="J27" s="3">
        <f>1194.8+(1024.4-594.6)+(0+(0-0))+0-425.6-0</f>
        <v>1199</v>
      </c>
      <c r="K27" s="3">
        <f>1237.7+(938.6-551.4)+(-2.524908+(-1.914744--1.124856))+0-426.5--0.870059999999981</f>
        <v>1195.9552640000002</v>
      </c>
      <c r="L27" s="3">
        <f>1250.2+(1029.7-667.6)+(-4.463214+(-3.676029--2.383332))+0-426.7--1.52331900000001</f>
        <v>1181.3674080000001</v>
      </c>
      <c r="M27" s="3">
        <f>1253.2+(1082.3-744.5)+(-2.556528+(-2.207892--1.51878))+0-426.7--0.870467999999981</f>
        <v>1161.9248279999999</v>
      </c>
      <c r="N27" s="3">
        <f>1255.4+(1011.5-634.4)+(0+(0-0))+0-425.6-0</f>
        <v>1206.9000000000001</v>
      </c>
      <c r="O27" s="3">
        <f>1340.4+(952.5-597.9)+(1.367208+(0.97155-0.609858))+0-427.9-0.436458000000068</f>
        <v>1268.3924419999998</v>
      </c>
      <c r="P27" s="3">
        <f>1381.4+(899-531.9)+(0+(0-0))+0-427.9-0</f>
        <v>1320.6</v>
      </c>
      <c r="Q27" s="3">
        <f>1526.9+(754.2-510.8)+(-1.557438+(-0.769284--0.521016))+0-430.3--0.438906000000069</f>
        <v>1338.6332000000002</v>
      </c>
      <c r="R27" s="3">
        <f>1648+(687.3-595.1)+(-1.68096+(-0.701046--0.607002))+0-419.1--0.427482000000067</f>
        <v>1319.7524779999999</v>
      </c>
      <c r="S27" s="3">
        <f>1646.7+(748.1-683.9)+(0+(0-0))+0-422.1-0</f>
        <v>1288.8000000000002</v>
      </c>
      <c r="T27" s="3">
        <f>1645.1+(1075.4-1013.9)+(-3.356004+(-2.193816--2.068356))+0-427.3--0.871691999999981</f>
        <v>1276.6902279999999</v>
      </c>
      <c r="U27" s="3">
        <f>1643.4+(1207.3-1146.1)+(-5.866938+(-4.310061--4.091577))+0-427.3--1.52546100000001</f>
        <v>1272.740039</v>
      </c>
      <c r="V27" s="3">
        <f>1644.1+(969-891.5)+(-5.030946+(-2.96514--2.72799))+0-426.6--1.30539600000005</f>
        <v>1291.0372999999997</v>
      </c>
      <c r="W27" s="3">
        <f>1645.2+(856.7-757.9)+(-0.839052+(-0.436917--0.386529))+0-425.8--0.217157999999957</f>
        <v>1317.527718</v>
      </c>
      <c r="X27" s="3">
        <f>1644.5+(702.7-592.2)+(-4.193475+(-1.791885--1.51011))+0-424.9--1.08349499999994</f>
        <v>1326.7082449999998</v>
      </c>
      <c r="Y27" s="3">
        <f>1667.4+(714.8-556.3)+(-1.700748+(-0.729096--0.567426))+0-423.3--0.431766000000067</f>
        <v>1401.1693480000004</v>
      </c>
      <c r="Z27" s="3">
        <f>1698.1+(964.3-610.4)+(-1.732062+(-0.983586--0.622608))+0-424.5--0.432990000000068</f>
        <v>1625.8399499999998</v>
      </c>
      <c r="AA27" s="3">
        <f>1697+(1000.5-654.8)+(0+(0-0))+0-423-0</f>
        <v>1619.7</v>
      </c>
      <c r="AB27" s="3">
        <f>1696.2+(951.2-672.3)+(-2.595186+(-1.455336--1.028619))+0-423.8--0.648414000000024</f>
        <v>1548.9265110000001</v>
      </c>
      <c r="AC27" s="3">
        <f>1684.2+(946.9-744.8)+(-2.576826+(-1.448757--1.139544))+0-424.6--0.649638000000025</f>
        <v>1459.4635990000004</v>
      </c>
      <c r="AD27">
        <f t="shared" si="0"/>
        <v>31742.518428000003</v>
      </c>
      <c r="AE27" s="3">
        <f>1697+(1026.3-664.1)+(0+(0-0))+0-420.6-0</f>
        <v>1638.6</v>
      </c>
    </row>
    <row r="28" spans="1:31" s="2" customFormat="1" x14ac:dyDescent="0.25">
      <c r="A28">
        <v>89</v>
      </c>
      <c r="B28">
        <v>1</v>
      </c>
      <c r="C28">
        <v>28</v>
      </c>
      <c r="D28">
        <v>1</v>
      </c>
      <c r="E28">
        <v>1</v>
      </c>
      <c r="F28" s="3">
        <f>1587.2+(924.4-747.1)+(-4.04736+(-2.35722--1.905105))+0-426--1.08629999999994</f>
        <v>1335.0868249999999</v>
      </c>
      <c r="G28" s="3">
        <f>1320+(985-624.8)+(-4.0392+(-3.0141--1.911888))+0-426.6--1.30539600000005</f>
        <v>1249.7639839999999</v>
      </c>
      <c r="H28" s="3">
        <f>1302+(1143.2-805.6)+(-2.65608+(-2.332128--1.643424))+0-427.3--0.871691999999981</f>
        <v>1209.826908</v>
      </c>
      <c r="I28" s="3">
        <f>1303.5+(1264-946.5)+(-1.32957+(-1.28928--0.96543))+0-426.2--0.434724000000068</f>
        <v>1193.5813039999998</v>
      </c>
      <c r="J28" s="3">
        <f>1304.9+(1241.6-934.2)+(-1.996497+(-1.899648--1.429326))+0-423.4--0.647802000000024</f>
        <v>1187.0809829999998</v>
      </c>
      <c r="K28" s="3">
        <f>1305.2+(1175.3-872.5)+(-1.331304+(-1.198806--0.88995))+0-411--0.419220000000066</f>
        <v>1195.7790600000001</v>
      </c>
      <c r="L28" s="3">
        <f>1304.8+(1039.1-718.9)+(-0.665448+(-0.529941--0.366639))+0-385.9--0.196808999999961</f>
        <v>1238.4680590000003</v>
      </c>
      <c r="M28" s="3">
        <f>1305.8+(838.3-477.1)+(0.665958+(0.427533-0.243321))+0-388.1-0.197930999999961</f>
        <v>1279.5522389999999</v>
      </c>
      <c r="N28" s="3">
        <f>1414.9+(805.5-424.3)+(-0.721599+(-0.410805--0.216393))+0-388.9--0.198338999999961</f>
        <v>1406.4823280000001</v>
      </c>
      <c r="O28" s="3">
        <f>1629.2+(690.9-433.6)+(0+(0-0))+0-381.8-0</f>
        <v>1504.7</v>
      </c>
      <c r="P28" s="3">
        <f>1623.6+(826.9-514.9)+(-2.484108+(-1.265157--0.787797))+0-380.8--0.582624000000022</f>
        <v>1552.4211560000001</v>
      </c>
      <c r="Q28" s="3">
        <f>1616.7+(818.4-479.1)+(-2.473551+(-1.252152--0.733023))+0-384.8--0.588744000000022</f>
        <v>1568.7960640000001</v>
      </c>
      <c r="R28" s="3">
        <f>1627.6+(707-383)+(-2.490228+(-1.08171--0.58599))+0-384.5--0.588285000000022</f>
        <v>1564.7023369999999</v>
      </c>
      <c r="S28" s="3">
        <f>1625.1+(621.8-389.4)+(-4.144005+(-1.58559--0.99297))+0-384.4--0.980219999999944</f>
        <v>1469.3435949999998</v>
      </c>
      <c r="T28" s="3">
        <f>1628.8+(733.3-502.9)+(-2.492064+(-1.121949--0.769437))+0-388.4--0.594252000000022</f>
        <v>1468.5496759999999</v>
      </c>
      <c r="U28" s="3">
        <f>1627.2+(844.1-593.1)+(-0.829872+(-0.430491--0.302481))+0-392--0.19991999999996</f>
        <v>1485.4420380000001</v>
      </c>
      <c r="V28" s="3">
        <f>1628.6+(870.5-597)+(-1.661172+(-0.88791--0.60894))+0-399.3--0.407286000000064</f>
        <v>1501.2671440000001</v>
      </c>
      <c r="W28" s="3">
        <f>1626.7+(775.4-486.7)+(-0.829617+(-0.395454--0.248217))+0-400.5--0.204254999999959</f>
        <v>1514.127401</v>
      </c>
      <c r="X28" s="3">
        <f>1630.2+(747.7-428.3)+(-2.494206+(-1.143981--0.655299))+0-400.5--0.612765000000023</f>
        <v>1546.7298770000002</v>
      </c>
      <c r="Y28" s="3">
        <f>1645.4+(616.9-258.3)+(-0.839154+(-0.314619--0.131733))+0-399.6--0.203795999999959</f>
        <v>1603.5817559999998</v>
      </c>
      <c r="Z28" s="3">
        <f>1696.3+(1029.5-577.2)+(-3.460452+(-2.10018--1.177488))+0-401.6--0.819263999999983</f>
        <v>1743.4361200000001</v>
      </c>
      <c r="AA28" s="3">
        <f>1695.8+(828.1-427.7)+(-2.594574+(-1.266993--0.654381))+0-399.4--0.611082000000023</f>
        <v>1694.2038959999998</v>
      </c>
      <c r="AB28" s="3">
        <f>1575.1+(888.3-459.4)+(-1.606602+(-0.906066--0.468588))+0-401.1--0.409122000000064</f>
        <v>1601.265042</v>
      </c>
      <c r="AC28" s="3">
        <f>1441.7+(658.9-208.8)+(-1.470534+(-0.672078--0.212976))+0-403.1--0.411162000000064</f>
        <v>1487.1815260000001</v>
      </c>
      <c r="AD28">
        <f t="shared" si="0"/>
        <v>34601.369318000005</v>
      </c>
      <c r="AE28" s="3">
        <f>1698+(981.7-537.5)+(0+(0-0))+0-402.6-0</f>
        <v>1739.6</v>
      </c>
    </row>
    <row r="29" spans="1:31" s="2" customFormat="1" x14ac:dyDescent="0.25">
      <c r="A29">
        <v>89</v>
      </c>
      <c r="B29">
        <v>1</v>
      </c>
      <c r="C29">
        <v>29</v>
      </c>
      <c r="D29">
        <v>2</v>
      </c>
      <c r="E29">
        <v>1</v>
      </c>
      <c r="F29" s="3">
        <f>1365.6+(866.3-474.6)+(-2.089368+(-1.325439--0.726138))+0-402.8--0.616284000000023</f>
        <v>1352.4276149999998</v>
      </c>
      <c r="G29" s="3">
        <f>1254.6+(864.1-457)+(-2.559384+(-1.762764--0.93228))+0-403.7--0.823547999999982</f>
        <v>1255.4336799999999</v>
      </c>
      <c r="H29" s="3">
        <f>1258.3+(1016.8-651.8)+(-0.641733+(-0.518568--0.332418))+0-407--0.207569999999959</f>
        <v>1215.6796870000001</v>
      </c>
      <c r="I29" s="3">
        <f>1258.9+(1135.5-793.6)+(-0.642039+(-0.579105--0.404736))+0-406.7--0.207416999999959</f>
        <v>1193.4910090000001</v>
      </c>
      <c r="J29" s="3">
        <f>1260.4+(1148.1-810.7)+(-1.285608+(-1.171062--0.826914))+0-408.9--0.417078000000065</f>
        <v>1187.687322</v>
      </c>
      <c r="K29" s="3">
        <f>1255.9+(1006.6-661.3)+(-3.202545+(-2.56683--1.686315))+0-398.5--1.01617499999994</f>
        <v>1199.6331150000003</v>
      </c>
      <c r="L29" s="3">
        <f>1258+(726.4-372.5)+(-0.64158+(-0.370464--0.189975))+0-405.5--0.206804999999959</f>
        <v>1205.7847360000001</v>
      </c>
      <c r="M29" s="3">
        <f>1258.4+(599.1-184.6)+(-1.283568+(-0.611082--0.188292))+0-415--0.423300000000066</f>
        <v>1256.6169420000003</v>
      </c>
      <c r="N29" s="3">
        <f>1337.3+(538-97)+(-2.046069+(-0.82314--0.14841))+0-418.3--0.639999000000024</f>
        <v>1357.9192</v>
      </c>
      <c r="O29" s="3">
        <f>1474.5+(505.3-112.1)+(0+(0-0))+0-414.4-0</f>
        <v>1453.3000000000002</v>
      </c>
      <c r="P29" s="3">
        <f>1567.6+(527.6-184.6)+(0+(0-0))+0-416.3-0</f>
        <v>1494.3</v>
      </c>
      <c r="Q29" s="3">
        <f>1623+(629.1-303.6)+(-1.65546+(-0.641682--0.309672))+0-416.2--0.424524000000066</f>
        <v>1530.7370539999999</v>
      </c>
      <c r="R29" s="3">
        <f>1623.9+(700.3-396.3)+(-2.484567+(-1.071459--0.606339))+0-413.5--0.632655000000024</f>
        <v>1512.0829680000002</v>
      </c>
      <c r="S29" s="3">
        <f>1628.3+(453.3-238.7)+(-0.830433+(-0.231183--0.121737))+0-409.8--0.208997999999958</f>
        <v>1432.3691190000002</v>
      </c>
      <c r="T29" s="3">
        <f>1627+(517.7-286.6)+(0.82977+(0.264027-0.146166))+0-403.3-0.205682999999959</f>
        <v>1455.541948</v>
      </c>
      <c r="U29" s="3">
        <f>1625.7+(526-278.6)+(-3.316428+(-1.07304--0.568344))+0-414.9--0.846395999999982</f>
        <v>1455.2252719999997</v>
      </c>
      <c r="V29" s="3">
        <f>1627.9+(579.7-327.1)+(-0.830229+(-0.295647--0.166821))+0-416.7--0.212516999999958</f>
        <v>1463.0534619999999</v>
      </c>
      <c r="W29" s="3">
        <f>1623.9+(768.8-489.1)+(-2.484567+(-1.176264--0.748323))+0-421.3--0.644589000000024</f>
        <v>1480.0320810000001</v>
      </c>
      <c r="X29" s="3">
        <f>1622+(709.4-399)+(-2.48166+(-1.085382--0.61047))+0-426.3--0.652239000000025</f>
        <v>1503.7956670000001</v>
      </c>
      <c r="Y29" s="3">
        <f>1676+(627.1-298.1)+(-1.70952+(-0.639642--0.304062))+0-430.1--0.438702000000069</f>
        <v>1573.293602</v>
      </c>
      <c r="Z29" s="3">
        <f>1732.6+(1129.8-704.3)+(-3.534504+(-2.304792--1.436772))+0-432.6--0.882503999999981</f>
        <v>1721.9799799999998</v>
      </c>
      <c r="AA29" s="3">
        <f>1729.1+(1015.8-635.7)+(-4.409205+(-2.59029--1.621035))+0-430.6--1.09802999999994</f>
        <v>1674.3195699999999</v>
      </c>
      <c r="AB29" s="3">
        <f>1654.8+(964.5-600.5)+(-0.843948+(-0.491895--0.306255))+0-430--0.219299999999956</f>
        <v>1587.9897119999998</v>
      </c>
      <c r="AC29" s="3">
        <f>1435.5+(846.9-386.2)+(-1.46421+(-0.863838--0.393924))+0-429.1--0.437682000000068</f>
        <v>1465.603558</v>
      </c>
      <c r="AD29">
        <f t="shared" si="0"/>
        <v>34028.297298999998</v>
      </c>
      <c r="AE29" s="3">
        <f>1734+(1125.6-762.3)+(0+(0-0))+0-427.9-0</f>
        <v>1669.4</v>
      </c>
    </row>
    <row r="30" spans="1:31" s="2" customFormat="1" x14ac:dyDescent="0.25">
      <c r="A30">
        <v>89</v>
      </c>
      <c r="B30">
        <v>1</v>
      </c>
      <c r="C30">
        <v>30</v>
      </c>
      <c r="D30">
        <v>3</v>
      </c>
      <c r="E30">
        <v>1</v>
      </c>
      <c r="F30" s="3">
        <f>1294.2+(615-138.9)+(-1.980126+(-0.94095--0.212517))+0-426.7--0.652851000000025</f>
        <v>1341.5442920000003</v>
      </c>
      <c r="G30" s="3">
        <f>1274.5+(775.5-349.9)+(-2.59998+(-1.58202--0.713796))+0-427.4--0.871895999999981</f>
        <v>1270.1036919999999</v>
      </c>
      <c r="H30" s="3">
        <f>1271.8+(1082.6-705.2)+(0+(0-0))+0-429.3-0</f>
        <v>1219.8999999999999</v>
      </c>
      <c r="I30" s="3">
        <f>1267.6+(1033.3-665.8)+(-2.585904+(-2.107932--1.358232))+0-427.5--0.872099999999981</f>
        <v>1205.1364959999999</v>
      </c>
      <c r="J30" s="3">
        <f>1269.7+(891.9-535.7)+(-1.295094+(-0.909738--0.546414))+0-424.7--0.433194000000068</f>
        <v>1199.974776</v>
      </c>
      <c r="K30" s="3">
        <f>1270.3+(779-421.7)+(-1.943559+(-1.19187--0.645201))+0-423.8--0.648414000000024</f>
        <v>1201.9581860000001</v>
      </c>
      <c r="L30" s="3">
        <f>1269.4+(532-163)+(-1.294788+(-0.54264--0.16626))+0-422.1--0.430542000000067</f>
        <v>1215.0593739999999</v>
      </c>
      <c r="M30" s="3">
        <f>1275.9+(534.8-115)+(-0.650709+(-0.272748--0.05865))+0-423.4--0.215933999999957</f>
        <v>1271.6511270000003</v>
      </c>
      <c r="N30" s="3">
        <f>1433.5+(480.1-102.1)+(0+(0-0))+0-426.6-0</f>
        <v>1384.9</v>
      </c>
      <c r="O30" s="3">
        <f>1448.6+(562.8-121.6)+(0.738786+(0.287028-0.062016))+0-421.7-0.215066999999957</f>
        <v>1468.8487309999998</v>
      </c>
      <c r="P30" s="3">
        <f>1493.5+(805.3-363.1)+(0+(0-0))+0-427.3-0</f>
        <v>1508.3999999999999</v>
      </c>
      <c r="Q30" s="3">
        <f>1508.1+(1148.7-697)+(-0.769131+(-0.585837--0.35547))+0-431.2--0.219911999999956</f>
        <v>1527.820414</v>
      </c>
      <c r="R30" s="3">
        <f>1509.3+(1028.4-603.2)+(1.539486+(1.048968-0.615264))+0-428.4-0.436968000000068</f>
        <v>1507.6362220000001</v>
      </c>
      <c r="S30" s="3">
        <f>1506.1+(787-431.1)+(0.768111+(0.40137-0.219861))+0-429.4-0.218993999999956</f>
        <v>1433.3306260000002</v>
      </c>
      <c r="T30" s="3">
        <f>1505+(573.6-229.4)+(-0.76755+(-0.292536--0.116994))+0-423--0.215729999999957</f>
        <v>1425.472638</v>
      </c>
      <c r="U30" s="3">
        <f>1502.4+(475.5-127)+(-3.83112+(-1.212525--0.32385))+0-397.3--1.01311499999994</f>
        <v>1449.8933200000001</v>
      </c>
      <c r="V30" s="3">
        <f>1506.9+(509.6-132.6)+(-1.537038+(-0.519792--0.135252))+0-418.5--0.426870000000067</f>
        <v>1463.9052920000001</v>
      </c>
      <c r="W30" s="3">
        <f>1502.2+(524.7-137.8)+(-3.83061+(-1.337985--0.35139))+0-429.2--1.09445999999994</f>
        <v>1456.1772550000001</v>
      </c>
      <c r="X30" s="3">
        <f>1501.7+(557.8-158.6)+(-3.829335+(-1.42239--0.40443))+0-426--1.08629999999994</f>
        <v>1471.139005</v>
      </c>
      <c r="Y30" s="3">
        <f>1579.3+(588.7-213)+(-2.416329+(-0.900711--0.32589))+0-426.4--0.652392000000025</f>
        <v>1526.261242</v>
      </c>
      <c r="Z30" s="3">
        <f>1699.4+(1052.1-599.6)+(-3.466776+(-2.146284--1.223184))+0-427.3--0.871691999999981</f>
        <v>1721.0818159999999</v>
      </c>
      <c r="AA30" s="3">
        <f>1717.1+(1013.6-599.9)+(-5.254326+(-3.101616--1.835694))+0-426.7--1.30570200000005</f>
        <v>1698.8854540000004</v>
      </c>
      <c r="AB30" s="3">
        <f>1707.1+(950.3-616.5)+(-4.353105+(-2.423265--1.572075))+0-426.5--1.08757499999994</f>
        <v>1610.2832799999999</v>
      </c>
      <c r="AC30" s="3">
        <f>1657.6+(783.1-497.7)+(-5.072256+(-2.396286--1.522962))+0-428.7--1.31182200000005</f>
        <v>1509.666242</v>
      </c>
      <c r="AD30">
        <f t="shared" si="0"/>
        <v>34089.029479999997</v>
      </c>
      <c r="AE30" s="3">
        <f>1715+(1147.7-692.6)+(0+(0-0))+0-428.1-0</f>
        <v>1742</v>
      </c>
    </row>
    <row r="31" spans="1:31" s="2" customFormat="1" x14ac:dyDescent="0.25">
      <c r="A31">
        <v>89</v>
      </c>
      <c r="B31">
        <v>1</v>
      </c>
      <c r="C31">
        <v>31</v>
      </c>
      <c r="D31">
        <v>4</v>
      </c>
      <c r="E31">
        <v>1</v>
      </c>
      <c r="F31" s="3">
        <f>1343+(588.6-147.3)+(-4.10958+(-1.801116--0.450738))+0-428.1--1.30998600000005</f>
        <v>1352.0500279999999</v>
      </c>
      <c r="G31" s="3">
        <f>1268.2+(695.8-261.3)+(-3.880692+(-2.129148--0.799578))+0-427.6--1.30845600000005</f>
        <v>1271.1981939999998</v>
      </c>
      <c r="H31" s="3">
        <f>1270+(878.6-485.1)+(-0.6477+(-0.448086--0.247401))+0-426.5--0.217514999999957</f>
        <v>1236.36913</v>
      </c>
      <c r="I31" s="3">
        <f>1270.5+(836.4-455.6)+(-1.29591+(-0.853128--0.464712))+0-427.4--0.435948000000068</f>
        <v>1222.6516220000001</v>
      </c>
      <c r="J31" s="3">
        <f>1271.1+(889.9-521.8)+(0+(0-0))+0-428.7-0</f>
        <v>1210.4999999999998</v>
      </c>
      <c r="K31" s="3">
        <f>1274.8+(820.5-438.3)+(-0.650148+(-0.418455--0.223533))+0-431.6--0.220115999999956</f>
        <v>1224.7750459999997</v>
      </c>
      <c r="L31" s="3">
        <f>1295+(600.9-227.5)+(-1.3209+(-0.612918--0.23205))+0-461.6--0.470832000000074</f>
        <v>1205.5690640000003</v>
      </c>
      <c r="M31" s="3">
        <f>1298.7+(522.9-103)+(-1.324674+(-0.533358--0.10506))+0-462.5--0.471750000000074</f>
        <v>1254.8187780000001</v>
      </c>
      <c r="N31" s="3">
        <f>1287+(626.1-79.6)+(-1.96911+(-0.957933--0.121788))+0-458.8--0.701964000000027</f>
        <v>1372.5967090000001</v>
      </c>
      <c r="O31" s="3">
        <f>1352.8+(608.5-126)+(-2.069784+(-0.931005--0.19278))+0-437--0.668610000000025</f>
        <v>1396.1606009999998</v>
      </c>
      <c r="P31" s="3">
        <f>1584.6+(517.2-167.7)+(0+(0-0))+0-441-0</f>
        <v>1493.1</v>
      </c>
      <c r="Q31" s="3">
        <f>1617.6+(556.7-253.7)+(0.824976+(0.283917-0.129387))+0-419.9-0.214148999999957</f>
        <v>1501.465357</v>
      </c>
      <c r="R31" s="3">
        <f>1615.7+(496.1-168.1)+(-0.824007+(-0.253011--0.085731))+0-453.7--0.231386999999954</f>
        <v>1489.2401</v>
      </c>
      <c r="S31" s="3">
        <f>1614.7+(484.4-243.1)+(-0.823497+(-0.247044--0.123981))+0-408.8--0.208487999999959</f>
        <v>1446.4619279999999</v>
      </c>
      <c r="T31" s="3">
        <f>1621+(589.9-311.8)+(0+(0-0))+0-442-0</f>
        <v>1457.1</v>
      </c>
      <c r="U31" s="3">
        <f>1627.3+(614.7-341.7)+(-2.489769+(-0.940491--0.522801))+0-452.4--0.692172000000026</f>
        <v>1445.6847130000001</v>
      </c>
      <c r="V31" s="3">
        <f>1627.5+(677.2-407.3)+(-2.490075+(-1.036116--0.623169))+0-406.7--0.622251000000024</f>
        <v>1488.4192290000001</v>
      </c>
      <c r="W31" s="3">
        <f>1656.5+(576.8-357.5)+(-4.224075+(-1.47084--0.911625))+0-402.2--1.02560999999994</f>
        <v>1469.8423199999997</v>
      </c>
      <c r="X31" s="3">
        <f>1676.5+(436.4-247.8)+(-3.42006+(-0.890256--0.505512))+0-411.1--0.838643999999982</f>
        <v>1451.0338399999996</v>
      </c>
      <c r="Y31" s="3">
        <f>1692.5+(697.8-467.8)+(-1.72635+(-0.711756--0.477156))+0-414.1--0.422382000000066</f>
        <v>1506.8614319999999</v>
      </c>
      <c r="Z31" s="3">
        <f>1735.2+(1042-626.7)+(-2.654856+(-1.59426--0.958851))+0-418.2--0.639846000000024</f>
        <v>1729.6495809999999</v>
      </c>
      <c r="AA31" s="3">
        <f>1781+(995.6-648.1)+(-0.90831+(-0.507756--0.330531))+0-418--0.213179999999958</f>
        <v>1709.6276449999998</v>
      </c>
      <c r="AB31" s="3">
        <f>1786.4+(850-569.1)+(-4.55532+(-2.1675--1.451205))+0-423.1--1.07890499999994</f>
        <v>1640.00729</v>
      </c>
      <c r="AC31" s="3">
        <f>1776.6+(701.8-521.3)+(-3.624264+(-1.431672--1.063452))+0-426.5--0.870059999999981</f>
        <v>1527.4775759999998</v>
      </c>
      <c r="AD31">
        <f t="shared" si="0"/>
        <v>34102.660183</v>
      </c>
      <c r="AE31" s="3">
        <f>1773.6+(1072.5-646.4)+(0+(0-0))+0-414.5-0</f>
        <v>1785.1999999999998</v>
      </c>
    </row>
    <row r="32" spans="1:31" s="2" customFormat="1" x14ac:dyDescent="0.25">
      <c r="A32">
        <v>89</v>
      </c>
      <c r="B32">
        <v>2</v>
      </c>
      <c r="C32">
        <v>1</v>
      </c>
      <c r="D32">
        <v>5</v>
      </c>
      <c r="E32">
        <v>1</v>
      </c>
      <c r="F32" s="3">
        <f>1680.4+(625.1-485.7)+(-1.714008+(-0.637602--0.495414))+0-420.7--0.429114000000067</f>
        <v>1397.6729180000002</v>
      </c>
      <c r="G32" s="3">
        <f>1646.6+(826.2-741.2)+(-4.19883+(-2.10681--1.89006))+0-427.8--1.09088999999994</f>
        <v>1300.4753099999998</v>
      </c>
      <c r="H32" s="3">
        <f>1642.5+(949.3-905.9)+(0+(0-0))+0-429-0</f>
        <v>1256.9000000000001</v>
      </c>
      <c r="I32" s="3">
        <f>1644.1+(921.6-895.4)+(-2.515473+(-1.410048--1.369962))+0-428.2--0.655146000000025</f>
        <v>1240.1995870000001</v>
      </c>
      <c r="J32" s="3">
        <f>1596.6+(866.6-801.6)+(-2.442798+(-1.325898--1.226448))+0-428.1--0.654993000000025</f>
        <v>1231.6127449999999</v>
      </c>
      <c r="K32" s="3">
        <f>1521.2+(801.1-654.7)+(-3.103248+(-1.634244--1.335588))+0-426.6--0.870263999999981</f>
        <v>1238.4683599999996</v>
      </c>
      <c r="L32" s="3">
        <f>1520+(597-462.8)+(-2.3256+(-0.91341--0.708084))+0-415.9--0.636327000000024</f>
        <v>1236.4054010000002</v>
      </c>
      <c r="M32" s="3">
        <f>1535.3+(605.5-412.3)+(0+(0-0))+0-467.8-0</f>
        <v>1260.7</v>
      </c>
      <c r="N32" s="3">
        <f>1537.7+(736.4-403.4)+(1.568454+(0.751128-0.411468))+0-454.5-0.463590000000072</f>
        <v>1417.644524</v>
      </c>
      <c r="O32" s="3">
        <f>1536.9+(878.9-471)+(3.135276+(1.792956-0.96084))+0-467.3-0.95329199999998</f>
        <v>1480.5141000000003</v>
      </c>
      <c r="P32" s="3">
        <f>1535.6+(927.1-456.8)+(-0.783156+(-0.472821--0.232968))+0-455.9--0.232508999999954</f>
        <v>1549.2094999999999</v>
      </c>
      <c r="Q32" s="3">
        <f>1537.8+(902-461.2)+(2.352834+(1.38006-0.705636))+0-417.6-0.638928000000024</f>
        <v>1563.38833</v>
      </c>
      <c r="R32" s="3">
        <f>1538.8+(928.6-445.2)+(0.784788+(0.473586-0.227052))+0-472.5-0.240974999999952</f>
        <v>1550.4903470000002</v>
      </c>
      <c r="S32" s="3">
        <f>1739.3+(863.9-660.3)+(-3.548172+(-1.762356--1.347012))+0-468--0.95471999999998</f>
        <v>1471.891204</v>
      </c>
      <c r="T32" s="3">
        <f>1828.7+(792-672)+(-0.932637+(-0.40392--0.34272))+0-469.3--0.239342999999952</f>
        <v>1478.6455060000001</v>
      </c>
      <c r="U32" s="3">
        <f>1852.4+(766.9-648.5)+(-0.944724+(-0.391119--0.330735))+0-429.5--0.219044999999956</f>
        <v>1540.5139370000002</v>
      </c>
      <c r="V32" s="3">
        <f>1855.9+(743-645.2)+(-4.732545+(-1.89465--1.64526))+0-427.3--1.08961499999994</f>
        <v>1522.5076799999999</v>
      </c>
      <c r="W32" s="3">
        <f>1857.7+(682.4-604.5)+(-2.842281+(-1.044072--0.924885))+0-424.8--0.649944000000025</f>
        <v>1508.488476</v>
      </c>
      <c r="X32" s="3">
        <f>1855.9+(670.1-576.4)+(-5.679054+(-2.050506--1.763784))+0-406.1--1.24266600000005</f>
        <v>1538.7768900000001</v>
      </c>
      <c r="Y32" s="3">
        <f>1870.1+(731.2-532.7)+(-0.953751+(-0.372912--0.271677))+0-408.8--0.208487999999959</f>
        <v>1658.9535019999998</v>
      </c>
      <c r="Z32" s="3">
        <f>1900.1+(975.1-709.1)+(-3.876204+(-1.989204--1.446564))+0-411.2--0.838847999999982</f>
        <v>1751.3200039999999</v>
      </c>
      <c r="AA32" s="3">
        <f>1899.2+(852.6-669.4)+(-5.811552+(-2.608956--2.048364))+0-417.3--1.27693800000005</f>
        <v>1660.0047940000002</v>
      </c>
      <c r="AB32" s="3">
        <f>1898+(924-744.2)+(-2.90394+(-1.41372--1.138626))+0-422.2--0.645966000000024</f>
        <v>1653.0669320000004</v>
      </c>
      <c r="AC32" s="3">
        <f>1881.9+(819.4-766.5)+(-1.919538+(-0.835788--0.78183))+0-424.9--0.433398000000068</f>
        <v>1508.3599020000001</v>
      </c>
      <c r="AD32">
        <f t="shared" si="0"/>
        <v>35016.209948999996</v>
      </c>
      <c r="AE32" s="3">
        <f>1900.6+(1009.5-713.5)+(0+(0-0))+0-420.5-0</f>
        <v>1776.1</v>
      </c>
    </row>
    <row r="33" spans="1:31" s="2" customFormat="1" x14ac:dyDescent="0.25">
      <c r="A33">
        <v>89</v>
      </c>
      <c r="B33">
        <v>2</v>
      </c>
      <c r="C33">
        <v>2</v>
      </c>
      <c r="D33">
        <v>6</v>
      </c>
      <c r="E33">
        <v>1</v>
      </c>
      <c r="F33" s="3">
        <f>1794.2+(1061.3-1021.9)+(-1.830084+(-1.082526--1.042338))+0-427.6--0.436152000000068</f>
        <v>1404.5658799999999</v>
      </c>
      <c r="G33" s="3">
        <f>1627.3+(1351.9-1246.8)+(0+(0-0))+0-427.5-0</f>
        <v>1304.9000000000001</v>
      </c>
      <c r="H33" s="3">
        <f>1476.3+(1505.4-1256.4)+(-2.258739+(-2.303262--1.922292))+0-426.6--0.652698000000025</f>
        <v>1296.7129889999999</v>
      </c>
      <c r="I33" s="3">
        <f>1355.6+(1402.8-1053)+(-3.45678+(-3.57714--2.68515))+0-426.2--1.08680999999994</f>
        <v>1275.9380399999998</v>
      </c>
      <c r="J33" s="3">
        <f>1388.7+(1345-1026)+(0.708237+(0.68595-0.52326))+0-427.2-0.217871999999957</f>
        <v>1281.153055</v>
      </c>
      <c r="K33" s="3">
        <f>1394+(1262.8-923.1)+(0+(0-0))+0-426.8-0</f>
        <v>1306.8999999999999</v>
      </c>
      <c r="L33" s="3">
        <f>1392.7+(1139.7-876.2)+(-2.130831+(-1.743741--1.340586))+0-424.2--0.649026000000025</f>
        <v>1230.1150400000001</v>
      </c>
      <c r="M33" s="3">
        <f>1405.3+(950.5-605.3)+(-0.716703+(-0.484755--0.308703))+0-428.6--0.218585999999957</f>
        <v>1321.2258309999997</v>
      </c>
      <c r="N33" s="3">
        <f>1612.1+(784.9-516)+(0+(0-0))+0-475.8-0</f>
        <v>1405.2</v>
      </c>
      <c r="O33" s="3">
        <f>1856.9+(630.7-531)+(-1.894038+(-0.643314--0.54162))+0-468.2--0.477564000000075</f>
        <v>1486.881832</v>
      </c>
      <c r="P33" s="3">
        <f>1869.9+(657-542.6)+(-1.907298+(-0.67014--0.553452))+0-458.4--0.467568000000073</f>
        <v>1524.3435820000004</v>
      </c>
      <c r="Q33" s="3">
        <f>1871.9+(643.8-566.3)+(-0.954669+(-0.328338--0.288813))+0-411.7--0.209966999999958</f>
        <v>1536.9157729999999</v>
      </c>
      <c r="R33" s="3">
        <f>1871.7+(621.5-590.1)+(-0.954567+(-0.316965--0.300951))+0-448.6--0.228785999999954</f>
        <v>1453.7582049999999</v>
      </c>
      <c r="S33" s="3">
        <f>1872.7+(716.1-734.5)+(-0.955077+(-0.365211--0.374595))+0-455.6--0.232355999999954</f>
        <v>1397.9866630000001</v>
      </c>
      <c r="T33" s="3">
        <f>1887.2+(838.5-841.4)+(-0.962472+(-0.427635--0.429114))+0-464.6--0.236945999999953</f>
        <v>1418.9759530000001</v>
      </c>
      <c r="U33" s="3">
        <f>1904.7+(1006-1017.3)+(-0.971397+(-0.51306--0.518823))+0-444.8--0.226847999999955</f>
        <v>1447.8612140000002</v>
      </c>
      <c r="V33" s="3">
        <f>1905.3+(1035.9-1042.3)+(-3.886812+(-2.113236--2.126292))+0-433.2--0.883727999999981</f>
        <v>1462.7099720000001</v>
      </c>
      <c r="W33" s="3">
        <f>1912.6+(952.7-931.4)+(-5.852556+(-2.915262--2.850084))+0-424.1--1.29774600000005</f>
        <v>1505.180012</v>
      </c>
      <c r="X33" s="3">
        <f>1956.2+(800.5-829.9)+(-1.995324+(-0.81651--0.846498))+0-426.2--0.434724000000068</f>
        <v>1499.0693880000001</v>
      </c>
      <c r="Y33" s="3">
        <f>1969.9+(871.8-751.6)+(-1.004649+(-0.444618--0.383316))+0-428--0.218279999999957</f>
        <v>1661.2523289999999</v>
      </c>
      <c r="Z33" s="3">
        <f>2009.7+(709.8-629.3)+(-2.049894+(-0.723996--0.641886))+0-428.6--0.437172000000068</f>
        <v>1659.905168</v>
      </c>
      <c r="AA33" s="3">
        <f>2012+(724.6-668.6)+(-1.02612+(-0.369546--0.340986))+0-427.6--0.218075999999957</f>
        <v>1639.5633959999998</v>
      </c>
      <c r="AB33" s="3">
        <f>2009.3+(883.8-918)+(1.024743+(0.450738-0.46818))+0-424.2-0.216341999999957</f>
        <v>1551.690959</v>
      </c>
      <c r="AC33" s="3">
        <f>2006.3+(1179.6-1299.8)+(0+(0-0))+0-424.4-0</f>
        <v>1461.6999999999998</v>
      </c>
      <c r="AD33">
        <f t="shared" si="0"/>
        <v>34534.505281000005</v>
      </c>
      <c r="AE33" s="3">
        <f>2009+(777.5-648.8)+(0+(0-0))+0-430.6-0</f>
        <v>1707.1</v>
      </c>
    </row>
    <row r="34" spans="1:31" s="2" customFormat="1" x14ac:dyDescent="0.25">
      <c r="A34">
        <v>89</v>
      </c>
      <c r="B34">
        <v>2</v>
      </c>
      <c r="C34">
        <v>3</v>
      </c>
      <c r="D34">
        <v>7</v>
      </c>
      <c r="E34">
        <v>1</v>
      </c>
      <c r="F34" s="3">
        <f>1867+(1261.5-1336.3)+(0.95217+(0.643365-0.681513))+0.8-418-0.213179999999958</f>
        <v>1375.700842</v>
      </c>
      <c r="G34" s="3">
        <f>1717.2+(1199.8-1204.9)+(-0.875772+(-0.611898--0.614499))+0-422.5--0.215474999999957</f>
        <v>1288.9423039999999</v>
      </c>
      <c r="H34" s="3">
        <f>1399.1+(1286.8-1017.2)+(-0.713541+(-0.656268--0.518772))+0-424.9--0.216698999999957</f>
        <v>1243.1656619999999</v>
      </c>
      <c r="I34" s="3">
        <f>1293.2+(1227.4-921.4)+(0+(0-0))+0-425.7-0</f>
        <v>1173.5000000000002</v>
      </c>
      <c r="J34" s="3">
        <f>1237+(1238.2-880.7)+(-2.52348+(-2.525928--1.796628))+0-426.8--0.870671999999981</f>
        <v>1165.317892</v>
      </c>
      <c r="K34" s="3">
        <f>1135.7+(1268.5-817.5)+(-1.737621+(-1.940805--1.250775))+0-422.2--0.645966000000024</f>
        <v>1162.7183150000001</v>
      </c>
      <c r="L34" s="3">
        <f>1134+(1268.8-847.3)+(-3.47004+(-3.882528--2.592738))+0-423--1.29438000000005</f>
        <v>1129.0345500000001</v>
      </c>
      <c r="M34" s="3">
        <f>1133.9+(1176.3-774.6)+(-1.734867+(-1.799739--1.185138))+0-426.7--0.652851000000025</f>
        <v>1107.203383</v>
      </c>
      <c r="N34" s="3">
        <f>1134.4+(1172-749.1)+(-0.578544+(-0.59772--0.382041))+0-427.5--0.218024999999957</f>
        <v>1129.223802</v>
      </c>
      <c r="O34" s="3">
        <f>1167.4+(1110-669.8)+(1.190748+(1.1322-0.683196))+0-430-0.438600000000069</f>
        <v>1178.801152</v>
      </c>
      <c r="P34" s="3">
        <f>1436.5+(950.4-722.1)+(-2.197845+(-1.454112--1.104813))+0-428.8--0.656064000000025</f>
        <v>1234.1089200000001</v>
      </c>
      <c r="Q34" s="3">
        <f>1649.8+(813.1-776.4)+(-1.682796+(-0.829362--0.791928))+0-430.4--0.439008000000069</f>
        <v>1254.8187780000001</v>
      </c>
      <c r="R34" s="3">
        <f>1643+(802.9-773.9)+(-1.67586+(-0.818958--0.789378))+0-430.6--0.439212000000069</f>
        <v>1240.1337719999999</v>
      </c>
      <c r="S34" s="3">
        <f>1642.7+(820.7-818.9)+(0.837777+(0.418557-0.417639))+0-429.9-0.219248999999956</f>
        <v>1215.2194459999998</v>
      </c>
      <c r="T34" s="3">
        <f>1641.3+(864.3-909.1)+(-4.185315+(-2.203965--2.318205))+41-426.6--1.08782999999994</f>
        <v>1207.9167549999997</v>
      </c>
      <c r="U34" s="3">
        <f>1642.6+(948-978)+(-3.350904+(-1.93392--1.99512))+0-429.7--0.876587999999981</f>
        <v>1180.4868839999999</v>
      </c>
      <c r="V34" s="3">
        <f>1639.7+(869.2-892.2)+(-1.672494+(-0.886584--0.910044))+0-428.4--0.436968000000068</f>
        <v>1187.0879340000001</v>
      </c>
      <c r="W34" s="3">
        <f>1638.1+(776.9-751)+(-4.177155+(-1.981095--1.91505))+5.7-430.5--1.09777499999994</f>
        <v>1236.0545750000001</v>
      </c>
      <c r="X34" s="3">
        <f>1642+(632.5-581.3)+(-0.83742+(-0.322575--0.296463))+0-430.4--0.219503999999956</f>
        <v>1262.1559719999998</v>
      </c>
      <c r="Y34" s="3">
        <f>1653.8+(689.3-584.3)+(-3.373752+(-1.406172--1.191972))+0-430.3--0.877811999999981</f>
        <v>1325.7898599999999</v>
      </c>
      <c r="Z34" s="3">
        <f>1674.9+(1010.2-821.8)+(-4.270995+(-2.57601--2.09559))+0-430.6--1.09802999999994</f>
        <v>1429.046615</v>
      </c>
      <c r="AA34" s="3">
        <f>1664.1+(967.4-804.4)+(-1.697382+(-0.986748--0.820488))+0-414.8--0.423096000000066</f>
        <v>1410.8594539999999</v>
      </c>
      <c r="AB34" s="3">
        <f>1648.1+(876.8-761.1)+(-1.681062+(-0.894336--0.776322))+0-420.9--0.429318000000067</f>
        <v>1341.5302419999998</v>
      </c>
      <c r="AC34" s="3">
        <f>1520.7+(791.7-619.9)+(-1.551114+(-0.807534--0.632298))+0-423--0.431460000000067</f>
        <v>1268.2051100000001</v>
      </c>
      <c r="AD34">
        <f t="shared" si="0"/>
        <v>29747.022218999995</v>
      </c>
      <c r="AE34" s="3">
        <f>1683+(1093.7-873.9)+(0+(0-0))+0-428.1-0</f>
        <v>1474.7000000000003</v>
      </c>
    </row>
    <row r="35" spans="1:31" s="2" customFormat="1" x14ac:dyDescent="0.25">
      <c r="A35">
        <v>89</v>
      </c>
      <c r="B35">
        <v>2</v>
      </c>
      <c r="C35">
        <v>4</v>
      </c>
      <c r="D35">
        <v>1</v>
      </c>
      <c r="E35">
        <v>1</v>
      </c>
      <c r="F35" s="3">
        <f>1392.6+(804.4-616.1)+(-2.840904+(-1.640976--1.256844))+0-419.8--0.856391999999982</f>
        <v>1158.7313559999998</v>
      </c>
      <c r="G35" s="3">
        <f>1188+(942.3-653.8)+(0.60588+(0.480573-0.333438))+0-419.6-0.213995999999957</f>
        <v>1057.4390189999999</v>
      </c>
      <c r="H35" s="3">
        <f>1131.8+(1185.3-795.3)+(0+(0-0))+0-422.2-0</f>
        <v>1099.5999999999999</v>
      </c>
      <c r="I35" s="3">
        <f>1128+(1123-751.9)+(-2.30112+(-2.29092--1.533876))+0-425.5--0.868019999999981</f>
        <v>1071.4098559999998</v>
      </c>
      <c r="J35" s="3">
        <f>1129+(1098.7-727.7)+(0.57579+(0.560337-0.371127))+0-426.9-0.217718999999957</f>
        <v>1073.6472810000002</v>
      </c>
      <c r="K35" s="3">
        <f>1126.5+(1077.3-703.2)+(0+(0-0))+0-424.4-0</f>
        <v>1076.1999999999998</v>
      </c>
      <c r="L35" s="3">
        <f>1127.1+(892.2-521.1)+(-2.874105+(-2.27511--1.328805))+0-425.7--1.08553499999994</f>
        <v>1069.7651249999997</v>
      </c>
      <c r="M35" s="3">
        <f>1179.2+(755.1-395.6)+(-0.601392+(-0.385101--0.201756))+0-470--0.239699999999952</f>
        <v>1068.154963</v>
      </c>
      <c r="N35" s="3">
        <f>1254.8+(896.3-444.4)+(1.279896+(0.914226-0.453288))+0-473.3-0.482766000000075</f>
        <v>1234.6580679999997</v>
      </c>
      <c r="O35" s="3">
        <f>1253.1+(996.1-497.4)+(-1.917243+(-1.524033--0.761022))+0-427.6--0.654228000000025</f>
        <v>1322.173974</v>
      </c>
      <c r="P35" s="3">
        <f>1396.2+(890-518.4)+(-1.424124+(-0.9078--0.528768))+0-437.3--0.44604600000007</f>
        <v>1329.1428900000003</v>
      </c>
      <c r="Q35" s="3">
        <f>1603.3+(805-532)+(0.817683+(0.41055-0.27132))+0-475-0.242249999999952</f>
        <v>1402.0146629999999</v>
      </c>
      <c r="R35" s="3">
        <f>1610+(763.9-536.4)+(-1.6422+(-0.779178--0.547128))+0-457.8--0.466956000000073</f>
        <v>1378.292706</v>
      </c>
      <c r="S35" s="3">
        <f>1606.5+(707.2-545.7)+(-3.27726+(-1.442688--1.113228))+0-458--0.93431999999998</f>
        <v>1307.3276000000001</v>
      </c>
      <c r="T35" s="3">
        <f>1628+(753.1-622.2)+(-1.66056+(-0.768162--0.634644))+0-476.2--0.485724000000076</f>
        <v>1281.3916460000003</v>
      </c>
      <c r="U35" s="3">
        <f>1638.4+(756.8-633.3)+(-2.506752+(-1.157904--0.968949))+0-464.6--0.710838000000027</f>
        <v>1295.3151309999998</v>
      </c>
      <c r="V35" s="3">
        <f>1640.5+(783.4-650.4)+(-0.836655+(-0.399534--0.331704))+0-424.8--0.216647999999957</f>
        <v>1348.0121629999999</v>
      </c>
      <c r="W35" s="3">
        <f>1636.3+(690.3-583.8)+(-3.338052+(-1.408212--1.190952))+0-423.2--0.863327999999982</f>
        <v>1316.9080159999999</v>
      </c>
      <c r="X35" s="3">
        <f>1637+(616.6-517.2)+(-2.50461+(-0.943398--0.791316))+0-425.7--0.651321000000025</f>
        <v>1308.6946290000001</v>
      </c>
      <c r="Y35" s="3">
        <f>1640.5+(661.5-521.5)+(-3.34662+(-1.34946--1.06386))+0-428.7--0.874547999999981</f>
        <v>1349.042328</v>
      </c>
      <c r="Z35" s="3">
        <f>1642.9+(974-596.7)+(-2.513637+(-1.49022--0.912951))+0-432--0.660960000000025</f>
        <v>1585.7700540000001</v>
      </c>
      <c r="AA35" s="3">
        <f>1642+(1012.3-654.6)+(-2.51226+(-1.548819--1.001538))+0-415.8--0.636174000000024</f>
        <v>1581.4766329999998</v>
      </c>
      <c r="AB35" s="3">
        <f>1599.8+(950.5-637.3)+(-4.07949+(-2.423775--1.625115))+0-396.6--1.01132999999994</f>
        <v>1512.5331800000001</v>
      </c>
      <c r="AC35" s="3">
        <f>1500.6+(870.8-550.9)+(-3.82653+(-2.22054--1.404795))+0-410.7--1.04728499999994</f>
        <v>1406.2050099999999</v>
      </c>
      <c r="AD35">
        <f t="shared" si="0"/>
        <v>30633.906290999999</v>
      </c>
      <c r="AE35" s="3">
        <f>1703.6+(1051.9-650.4)+(0+(0-0))+0-434.5-0</f>
        <v>1670.6</v>
      </c>
    </row>
    <row r="36" spans="1:31" s="2" customFormat="1" x14ac:dyDescent="0.25">
      <c r="A36">
        <v>89</v>
      </c>
      <c r="B36">
        <v>2</v>
      </c>
      <c r="C36">
        <v>5</v>
      </c>
      <c r="D36">
        <v>2</v>
      </c>
      <c r="E36">
        <v>1</v>
      </c>
      <c r="F36" s="3">
        <f>1339.4+(996-653.2)+(-1.366188+(-1.01592--0.666264))+0-417.5--0.425850000000067</f>
        <v>1263.4100060000001</v>
      </c>
      <c r="G36" s="3">
        <f>1144.9+(1140.4-678.5)+(-1.751697+(-1.744812--1.038105))+0-428.4--0.655452000000025</f>
        <v>1176.5970480000001</v>
      </c>
      <c r="H36" s="3">
        <f>1142.7+(1146.7-723.1)+(-1.748331+(-1.754451--1.106343))+0-429.4--0.656982000000025</f>
        <v>1135.160543</v>
      </c>
      <c r="I36" s="3">
        <f>1140.3+(1092.5-688.2)+(-1.744659+(-1.671525--1.052946))+0-430.5--0.658665000000025</f>
        <v>1112.3954269999999</v>
      </c>
      <c r="J36" s="3">
        <f>1141.5+(1167.4-773.6)+(1.746495+(1.786122-1.183608))+0-429.7-0.657441000000025</f>
        <v>1107.2915680000001</v>
      </c>
      <c r="K36" s="3">
        <f>1140.6+(1116.3-715.8)+(-2.90853+(-2.846565--1.82529))+0-427.8--1.09088999999994</f>
        <v>1110.4610849999999</v>
      </c>
      <c r="L36" s="3">
        <f>1140.5+(942.8-531.6)+(-2.908275+(-2.40414--1.35558))+0-427.8--1.09088999999994</f>
        <v>1121.0340549999999</v>
      </c>
      <c r="M36" s="3">
        <f>1140.7+(879.7-419)+(-1.163514+(-0.897294--0.42738))+0-472.2--0.481644000000075</f>
        <v>1128.0482160000001</v>
      </c>
      <c r="N36" s="3">
        <f>1255.5+(899.7-415)+(1.28061+(0.917694-0.4233))+0-445.3-0.454206000000071</f>
        <v>1296.2207980000001</v>
      </c>
      <c r="O36" s="3">
        <f>1306+(913-416.2)+(-0.66606+(-0.46563--0.212262))+1.9-410.4--0.209303999999958</f>
        <v>1393.589876</v>
      </c>
      <c r="P36" s="3">
        <f>1386+(887.9-400.5)+(-2.12058+(-1.358487--0.612765))+0-366.9--0.561357000000021</f>
        <v>1504.1950550000001</v>
      </c>
      <c r="Q36" s="3">
        <f>1486+(904.9-419.8)+(-2.27358+(-1.384497--0.642294))+0-419.1--0.641223000000024</f>
        <v>1549.6254399999998</v>
      </c>
      <c r="R36" s="3">
        <f>1608+(692.2-449.7)+(0+(0-0))+0-440.4-0</f>
        <v>1410.1</v>
      </c>
      <c r="S36" s="3">
        <f>1622.5+(644.8-468)+(-3.3099+(-1.315392--0.95472))+0-459.8--0.93799199999998</f>
        <v>1336.7674199999999</v>
      </c>
      <c r="T36" s="3">
        <f>1621.2+(674.4-493.7)+(0+(0-0))+0-473.7-0</f>
        <v>1328.2</v>
      </c>
      <c r="U36" s="3">
        <f>1622.8+(719.4-508.9)+(-3.310512+(-1.467576--1.038156))+0-482.6--0.984503999999979</f>
        <v>1347.9445719999999</v>
      </c>
      <c r="V36" s="3">
        <f>1618.1+(627.3-403.9)+(-1.650462+(-0.639846--0.411978))+0-433--0.441660000000069</f>
        <v>1407.06333</v>
      </c>
      <c r="W36" s="3">
        <f>1607.5+(582.2-383.2)+(-4.099125+(-1.48461--0.97716))+0-433.1--1.10440499999994</f>
        <v>1369.8978299999999</v>
      </c>
      <c r="X36" s="3">
        <f>1607.2+(460.6-281.2)+(-4.918032+(-1.409436--0.860472))+0-433.8--1.32742800000005</f>
        <v>1348.6604320000001</v>
      </c>
      <c r="Y36" s="3">
        <f>1613.2+(714-509.7)+(-0.822732+(-0.36414--0.259947))+0-433.2--0.220931999999956</f>
        <v>1383.5940069999999</v>
      </c>
      <c r="Z36" s="3">
        <f>1614+(1016.7-564.2)+(-4.93884+(-3.111102--1.726452))+0-431.6--1.32069600000005</f>
        <v>1629.8972059999999</v>
      </c>
      <c r="AA36" s="3">
        <f>1604.2+(1179.1-715.4)+(-6.545136+(-4.810728--2.918832))+0-427.6--1.74460799999996</f>
        <v>1633.6075760000003</v>
      </c>
      <c r="AB36" s="3">
        <f>1518.9+(1080.2-633.6)+(-5.422473+(-3.856314--2.261952))+0-414.3--1.47905100000001</f>
        <v>1545.6622160000002</v>
      </c>
      <c r="AC36" s="3">
        <f>1459+(735.5-331.6)+(-2.97636+(-1.50042--0.676464))+0-420.7--0.858227999999982</f>
        <v>1439.257912</v>
      </c>
      <c r="AD36">
        <f t="shared" si="0"/>
        <v>32078.681618000006</v>
      </c>
      <c r="AE36" s="3">
        <f>1603.6+(1111.6-619.6)+(0+(0-0))+0-430.4-0</f>
        <v>1665.1999999999998</v>
      </c>
    </row>
    <row r="37" spans="1:31" s="2" customFormat="1" x14ac:dyDescent="0.25">
      <c r="A37">
        <v>89</v>
      </c>
      <c r="B37">
        <v>2</v>
      </c>
      <c r="C37">
        <v>6</v>
      </c>
      <c r="D37">
        <v>3</v>
      </c>
      <c r="E37">
        <v>1</v>
      </c>
      <c r="F37" s="3">
        <f>1260.7+(911.4-443.1)+(-3.214785+(-2.32407--1.129905))+0-417.1--1.06360499999994</f>
        <v>1308.5546550000001</v>
      </c>
      <c r="G37" s="3">
        <f>1164.2+(1106.8-622.5)+(-2.374968+(-2.257872--1.2699))+0-419.7--0.856187999999982</f>
        <v>1226.2932479999999</v>
      </c>
      <c r="H37" s="3">
        <f>1154.1+(1260.6-805.2)+(-4.120137+(-4.500342--2.874564))+0-424.7--1.51617900000001</f>
        <v>1180.5702639999997</v>
      </c>
      <c r="I37" s="3">
        <f>1154.9+(1290.9-858.5)+(-1.177998+(-1.316718--0.87567))+0-418.9--0.427278000000067</f>
        <v>1167.2082320000004</v>
      </c>
      <c r="J37" s="3">
        <f>1152.7+(1027.7-593.6)+(-2.351508+(-2.096508--1.210944))+0-420.3--0.857411999999982</f>
        <v>1164.1203400000004</v>
      </c>
      <c r="K37" s="3">
        <f>1154.6+(911.4-480.8)+(0.588846+(0.464814-0.245208))+0-425.4-0.216953999999957</f>
        <v>1160.391498</v>
      </c>
      <c r="L37" s="3">
        <f>1155.6+(687.8-247.3)+(-3.536136+(-2.104668--0.756738))+0-427.7--1.30876200000005</f>
        <v>1164.8246959999999</v>
      </c>
      <c r="M37" s="3">
        <f>1153.7+(678.8-180.7)+(-0.588387+(-0.346188--0.092157))+0-456.5--0.232814999999954</f>
        <v>1194.6903969999998</v>
      </c>
      <c r="N37" s="3">
        <f>1260.5+(789.2-236)+(-1.28571+(-0.804984--0.24072))+0-479--0.488580000000076</f>
        <v>1333.3386060000003</v>
      </c>
      <c r="O37" s="3">
        <f>1475.7+(755.8-327.3)+(-3.010428+(-1.541832--0.667692))+0-466--0.95063999999998</f>
        <v>1435.2660720000001</v>
      </c>
      <c r="P37" s="3">
        <f>1500.3+(786.7-361.7)+(0+(0-0))+0-473.9-0</f>
        <v>1451.4</v>
      </c>
      <c r="Q37" s="3">
        <f>1594.6+(713-361.4)+(-1.626492+(-0.72726--0.368628))+0-470.4--0.479808000000075</f>
        <v>1474.294684</v>
      </c>
      <c r="R37" s="3">
        <f>1649.8+(744.3-526.6)+(-1.682796+(-0.759186--0.537132))+0-477.8--0.487356000000076</f>
        <v>1388.2825060000002</v>
      </c>
      <c r="S37" s="3">
        <f>1674+(720.3-538.9)+(-2.56122+(-1.102059--0.824517))+0-474.2--0.725526000000027</f>
        <v>1379.0867639999999</v>
      </c>
      <c r="T37" s="3">
        <f>1686.1+(735.4-572.6)+(-3.439644+(-1.500216--1.168104))+0-462--0.94247999999998</f>
        <v>1384.0707239999997</v>
      </c>
      <c r="U37" s="3">
        <f>1757+(757.5-634.1)+(-2.68821+(-1.158975--0.970173))+0-469.4--0.718182000000027</f>
        <v>1408.8411700000001</v>
      </c>
      <c r="V37" s="3">
        <f>1749.5+(852.5-722.7)+(-2.676735+(-1.304325--1.105731))+0-429.6--0.657288000000025</f>
        <v>1447.481959</v>
      </c>
      <c r="W37" s="3">
        <f>1768.9+(713.5-642.4)+(-1.804278+(-0.72777--0.655248))+0-429.5--0.438090000000068</f>
        <v>1409.0612900000001</v>
      </c>
      <c r="X37" s="3">
        <f>1817.9+(552.8-553.4)+(-3.708516+(-1.127712--1.128936))+0-414.7--0.845987999999982</f>
        <v>1399.7386960000001</v>
      </c>
      <c r="Y37" s="3">
        <f>1873.3+(471.4-508.5)+(-1.910766+(-0.480828--0.51867))+0-408.6--0.416772000000065</f>
        <v>1426.1438479999997</v>
      </c>
      <c r="Z37" s="3">
        <f>1877.2+(733.4-590.2)+(-2.872116+(-1.122102--0.903006))+0-402.8--0.616284000000023</f>
        <v>1615.125072</v>
      </c>
      <c r="AA37" s="3">
        <f>1877.1+(737.2-582.5)+(0+(0-0))+0-413.2-0</f>
        <v>1618.6</v>
      </c>
      <c r="AB37" s="3">
        <f>1839.4+(648.4-521.7)+(-2.814282+(-0.992052--0.798201))+0-419.7--0.642141000000024</f>
        <v>1544.0340079999999</v>
      </c>
      <c r="AC37" s="3">
        <f>1697+(694.4-484.2)+(-1.73094+(-0.708288--0.493884))+0-426.1--0.434622000000068</f>
        <v>1479.5892780000001</v>
      </c>
      <c r="AD37">
        <f t="shared" si="0"/>
        <v>32761.008007</v>
      </c>
      <c r="AE37" s="3">
        <f>1948.6+(812.9-594.3)+(0+(0-0))+0-396.1-0</f>
        <v>1771.1</v>
      </c>
    </row>
    <row r="38" spans="1:31" s="2" customFormat="1" x14ac:dyDescent="0.25">
      <c r="A38">
        <v>89</v>
      </c>
      <c r="B38">
        <v>2</v>
      </c>
      <c r="C38">
        <v>7</v>
      </c>
      <c r="D38">
        <v>4</v>
      </c>
      <c r="E38">
        <v>1</v>
      </c>
      <c r="F38" s="3">
        <f>1406.4+(1059.3-688.4)+(-2.869056+(-2.160972--1.404336))+0-424.5--0.865979999999981</f>
        <v>1350.0402880000001</v>
      </c>
      <c r="G38" s="3">
        <f>1252.7+(1234.2-801.3)+(-4.472139+(-4.406094--2.860641))+0-431.6--1.54081200000001</f>
        <v>1249.5232200000003</v>
      </c>
      <c r="H38" s="3">
        <f>1253.4+(1216.7-838.6)+(-1.917702+(-1.861551--1.283058))+0-429.3--0.656829000000025</f>
        <v>1200.3606340000001</v>
      </c>
      <c r="I38" s="3">
        <f>1254.9+(1349-989.1)+(-1.279998+(-1.37598--1.008882))+0-428.4--0.436968000000068</f>
        <v>1185.1898720000004</v>
      </c>
      <c r="J38" s="3">
        <f>1251.4+(1327.9-967.1)+(-3.829284+(-4.063374--2.959326))+0-428.6--1.31151600000005</f>
        <v>1179.9781840000003</v>
      </c>
      <c r="K38" s="3">
        <f>1253.4+(1235-875.1)+(-1.278468+(-1.2597--0.892602))+0-429.6--0.438192000000069</f>
        <v>1182.4926260000002</v>
      </c>
      <c r="L38" s="3">
        <f>1251.3+(973.9-620.7)+(-3.828978+(-2.980134--1.899342))+0-425.9--1.30325400000005</f>
        <v>1174.9934840000003</v>
      </c>
      <c r="M38" s="3">
        <f>1253.3+(804.4-371.3)+(-1.917549+(-1.230732--0.568089))+0-467.9--0.715887000000027</f>
        <v>1216.6356950000002</v>
      </c>
      <c r="N38" s="3">
        <f>1252.7+(856.9-276.5)+(-0.638877+(-0.437019--0.141015))+0-460.5--0.234854999999953</f>
        <v>1371.8999739999999</v>
      </c>
      <c r="O38" s="3">
        <f>1349+(887.9-359.5)+(-2.06397+(-1.358487--0.550035))+0-428.7--0.655911000000025</f>
        <v>1446.4834890000002</v>
      </c>
      <c r="P38" s="3">
        <f>1445.9+(774.7-363.1)+(-2.212227+(-1.185291--0.555543))+8.1-409.2--0.626076000000024</f>
        <v>1454.1841009999998</v>
      </c>
      <c r="Q38" s="3">
        <f>1611.9+(718.4-444.3)+(0+(0-0))+1.5-412.4-0</f>
        <v>1475.1</v>
      </c>
      <c r="R38" s="3">
        <f>1633.4+(981.8-729.5)+(-2.499102+(-1.502154--1.116135))+0-427.4--0.653922000000025</f>
        <v>1456.0688009999999</v>
      </c>
      <c r="S38" s="3">
        <f>1633+(1179.9-986.2)+(0+(0-0))+0-433.5-0</f>
        <v>1393.2</v>
      </c>
      <c r="T38" s="3">
        <f>1634+(1346.2-1138.2)+(-1.66668+(-1.373124--1.160964))+0-394.6--0.402492000000063</f>
        <v>1445.9236519999999</v>
      </c>
      <c r="U38" s="3">
        <f>1628.7+(1504.8-1267.1)+(-3.322548+(-3.069792--2.584884))+0-405.8--0.827831999999982</f>
        <v>1457.6203760000001</v>
      </c>
      <c r="V38" s="3">
        <f>1632.7+(1438.4-1220.6)+(-2.498031+(-2.200752--1.867518))+0-412.3--0.630819000000024</f>
        <v>1435.9995540000002</v>
      </c>
      <c r="W38" s="3">
        <f>1632.6+(1056.9-851.7)+(-3.330504+(-2.156076--1.737468))+0-415.3--0.847211999999982</f>
        <v>1419.5980999999999</v>
      </c>
      <c r="X38" s="3">
        <f>1632.9+(918.7-713.8)+(-2.498337+(-1.405611--1.092114))+0-419.8--0.642294000000024</f>
        <v>1415.8304600000001</v>
      </c>
      <c r="Y38" s="3">
        <f>1641.5+(764.5-552.2)+(-3.34866+(-1.55958--1.126488))+0-422.2--0.861287999999982</f>
        <v>1428.6795359999999</v>
      </c>
      <c r="Z38" s="3">
        <f>1695+(838.1-425.5)+(-1.7289+(-0.854862--0.43401))+0-426.6--0.435132000000068</f>
        <v>1679.2853800000003</v>
      </c>
      <c r="AA38" s="3">
        <f>1696.6+(885.6-478.2)+(-3.461064+(-1.806624--0.975528))+0-426--0.869039999999981</f>
        <v>1674.5768800000001</v>
      </c>
      <c r="AB38" s="3">
        <f>1696.5+(952.6-628.4)+(-1.73043+(-0.971652--0.640968))+0-423--0.431460000000067</f>
        <v>1596.070346</v>
      </c>
      <c r="AC38" s="3">
        <f>1668.2+(1152-892)+(-1.701564+(-1.17504--0.90984))+0-426.3--0.434826000000068</f>
        <v>1500.3680620000002</v>
      </c>
      <c r="AD38">
        <f t="shared" si="0"/>
        <v>33390.102714000008</v>
      </c>
      <c r="AE38" s="3">
        <f>1694.6+(921-475)+(0+(0-0))+0-432.4-0</f>
        <v>1708.1999999999998</v>
      </c>
    </row>
    <row r="39" spans="1:31" s="2" customFormat="1" x14ac:dyDescent="0.25">
      <c r="A39">
        <v>89</v>
      </c>
      <c r="B39">
        <v>2</v>
      </c>
      <c r="C39">
        <v>8</v>
      </c>
      <c r="D39">
        <v>5</v>
      </c>
      <c r="E39">
        <v>1</v>
      </c>
      <c r="F39" s="3">
        <f>1538.1+(1351-1096.5)+(-0.784431+(-0.68901--0.559215))+0-428.4--0.218483999999957</f>
        <v>1363.5042579999999</v>
      </c>
      <c r="G39" s="3">
        <f>1308.8+(1375.3-1001.1)+(-0.667488+(-0.701403--0.510561))+0-416.8--0.212567999999958</f>
        <v>1265.5542379999999</v>
      </c>
      <c r="H39" s="3">
        <f>1177.9+(1330.6-872.1)+(-1.201458+(-1.357212--0.889542))+0-427.4--0.435948000000068</f>
        <v>1207.7668200000001</v>
      </c>
      <c r="I39" s="3">
        <f>1177.5+(1267.7-816.8)+(0+(0-0))+0-428.1-0</f>
        <v>1200.3000000000002</v>
      </c>
      <c r="J39" s="3">
        <f>1176.9+(1081.1-631)+(-1.200438+(-1.102722--0.64362))+0-428.5--0.437070000000068</f>
        <v>1197.2775300000001</v>
      </c>
      <c r="K39" s="3">
        <f>1176.4+(910.9-462.8)+(-2.99982+(-2.322795--1.18014))+0-423.2--1.07915999999994</f>
        <v>1198.2366849999999</v>
      </c>
      <c r="L39" s="3">
        <f>1176.4+(868-409.8)+(-1.799892+(-1.32804--0.626994))+0-429.1--0.656523000000025</f>
        <v>1203.6555850000004</v>
      </c>
      <c r="M39" s="3">
        <f>1176.9+(811.7-282.3)+(0+(0-0))+0-473.4-0</f>
        <v>1232.9000000000001</v>
      </c>
      <c r="N39" s="3">
        <f>1163.5+(961.4-276.1)+(-1.18677+(-0.980628--0.281622))+0-473--0.482460000000075</f>
        <v>1374.3966840000001</v>
      </c>
      <c r="O39" s="3">
        <f>1300+(905.7-278.7)+(-0.663+(-0.461907--0.142137))+0-482.8--0.246227999999951</f>
        <v>1443.4634579999999</v>
      </c>
      <c r="P39" s="3">
        <f>1490.7+(739.1-262.5)+(-2.280771+(-1.130823--0.401625))+0-443--0.677790000000026</f>
        <v>1521.9678210000002</v>
      </c>
      <c r="Q39" s="3">
        <f>1596.3+(817.8-369.6)+(-2.442339+(-1.251234--0.565488))+0-479.6--0.733788000000028</f>
        <v>1562.5057029999998</v>
      </c>
      <c r="R39" s="3">
        <f>1617.9+(939.6-608.1)+(-2.475387+(-1.437588--0.930393))+0-461.9--0.706707000000027</f>
        <v>1485.224125</v>
      </c>
      <c r="S39" s="3">
        <f>1630.3+(1136.7-863.5)+(-3.325812+(-2.318868--1.76154))+0-473.7--0.966347999999979</f>
        <v>1426.883208</v>
      </c>
      <c r="T39" s="3">
        <f>1630.9+(1228.1-995.4)+(-0.831759+(-0.626331--0.507654))+0-472.1--0.240770999999952</f>
        <v>1390.7903349999999</v>
      </c>
      <c r="U39" s="3">
        <f>1632.5+(1356.4-1069.5)+(-0.832575+(-0.691764--0.545445))+0-458--0.233579999999954</f>
        <v>1460.6546859999999</v>
      </c>
      <c r="V39" s="3">
        <f>1628.4+(1160.6-898.2)+(-4.15242+(-2.95953--2.29041))+0-421.7--1.07533499999994</f>
        <v>1465.353795</v>
      </c>
      <c r="W39" s="3">
        <f>1632.4+(835.9-579.8)+(-3.330096+(-1.705236--1.182792))+0-424.8--0.866591999999981</f>
        <v>1460.714052</v>
      </c>
      <c r="X39" s="3">
        <f>1629.9+(665.5-414.2)+(-3.324996+(-1.35762--0.844968))+0-429.9--0.876995999999981</f>
        <v>1448.339348</v>
      </c>
      <c r="Y39" s="3">
        <f>1638.8+(544.4-271.3)+(-2.507364+(-0.832932--0.415089))+0-403.1--0.616743000000023</f>
        <v>1506.491536</v>
      </c>
      <c r="Z39" s="3">
        <f>1680.7+(699.8-272.6)+(-2.571471+(-1.070694--0.417078))+0-418.7--0.640611000000024</f>
        <v>1686.6155240000003</v>
      </c>
      <c r="AA39" s="3">
        <f>1679.9+(729.1-332.4)+(-1.713498+(-0.743682--0.339048))+0-417.6--0.425952000000067</f>
        <v>1657.3078200000004</v>
      </c>
      <c r="AB39" s="3">
        <f>1648.9+(787.1-436.4)+(-3.363756+(-1.605684--0.890256))+0-421.4--0.859655999999982</f>
        <v>1574.9804720000002</v>
      </c>
      <c r="AC39" s="3">
        <f>1631.4+(1100.7-842.9)+(-3.328056+(-2.245428--1.719516))+0-420.3--0.857411999999982</f>
        <v>1465.9034440000005</v>
      </c>
      <c r="AD39">
        <f t="shared" si="0"/>
        <v>33800.787127000003</v>
      </c>
      <c r="AE39" s="3">
        <f>1682.6+(693.2-280.8)+(0+(0-0))+0-420.7-0</f>
        <v>1674.3</v>
      </c>
    </row>
    <row r="40" spans="1:31" s="2" customFormat="1" x14ac:dyDescent="0.25">
      <c r="A40">
        <v>89</v>
      </c>
      <c r="B40">
        <v>2</v>
      </c>
      <c r="C40">
        <v>9</v>
      </c>
      <c r="D40">
        <v>6</v>
      </c>
      <c r="E40">
        <v>1</v>
      </c>
      <c r="F40" s="3">
        <f>1633.1+(1577.5-1467.8)+(-0.832881+(-0.804525--0.748578))+0-399.5--0.203744999999959</f>
        <v>1342.6149169999999</v>
      </c>
      <c r="G40" s="3">
        <f>1607.3+(1876.1-1816.4)+(-2.459169+(-2.870433--2.779092))+0-397.8--0.608634000000023</f>
        <v>1267.2581239999997</v>
      </c>
      <c r="H40" s="3">
        <f>1297+(1949.6-1641.9)+(1.98441+(2.982888-2.512107))+0-403.7-0.617661000000023</f>
        <v>1202.8375299999998</v>
      </c>
      <c r="I40" s="3">
        <f>1177.3+(1921.3-1522.6)+(-1.801269+(-2.939589--2.329578))+0-408.7--0.625311000000024</f>
        <v>1165.5140309999999</v>
      </c>
      <c r="J40" s="3">
        <f>1176.4+(1806.5-1406.8)+(0.599964+(0.921315-0.717468))+0-413.2-0.210731999999958</f>
        <v>1163.4930790000001</v>
      </c>
      <c r="K40" s="3">
        <f>1175.8+(1711.8-1295.6)+(-1.798974+(-2.619054--1.982268))+0-426.6--0.652698000000025</f>
        <v>1163.6169379999999</v>
      </c>
      <c r="L40" s="3">
        <f>1175.4+(1395.6-988.1)+(-2.397816+(-2.847024--2.015724))+0-429.3--0.875771999999981</f>
        <v>1151.246656</v>
      </c>
      <c r="M40" s="3">
        <f>1175.6+(1239-771.6)+(-1.798668+(-1.89567--1.180548))+0-432.8--0.662184000000025</f>
        <v>1208.3483940000001</v>
      </c>
      <c r="N40" s="3">
        <f>1223+(1274.8-725.5)+(0+(0-0))+0-468.4-0</f>
        <v>1303.9000000000001</v>
      </c>
      <c r="O40" s="3">
        <f>1305.7+(1182.4-608.3)+(-0.665907+(-0.603024--0.310233))+0-475.1--0.242300999999952</f>
        <v>1403.9836030000004</v>
      </c>
      <c r="P40" s="3">
        <f>1427.6+(1032.7-545.5)+(-1.456152+(-1.053354--0.55641))+0-472.3--0.481746000000075</f>
        <v>1441.0286500000002</v>
      </c>
      <c r="Q40" s="3">
        <f>1591.4+(1094.9-718.4)+(0+(0-0))+0-465-0</f>
        <v>1502.9</v>
      </c>
      <c r="R40" s="3">
        <f>1632.2+(1366.1-1045)+(-2.497266+(-2.090133--1.59885))+0-496--0.758880000000029</f>
        <v>1455.0703310000001</v>
      </c>
      <c r="S40" s="3">
        <f>1631.2+(1563.6-1345.7)+(-1.663824+(-1.594872--1.372614))+0-478.3--0.487866000000076</f>
        <v>1369.4017840000001</v>
      </c>
      <c r="T40" s="3">
        <f>1632.6+(1693.9-1503.4)+(-0.832626+(-0.863889--0.766734))+0-471.8--0.240617999999952</f>
        <v>1350.6108369999999</v>
      </c>
      <c r="U40" s="3">
        <f>1655+(1694.8-1525)+(-2.53215+(-2.593044--2.33325))+0-464.1--0.710073000000027</f>
        <v>1358.6181289999997</v>
      </c>
      <c r="V40" s="3">
        <f>1672.5+(1734.4-1613.9)+(-1.70595+(-1.769088--1.646178))+0-423.1--0.431562000000068</f>
        <v>1368.502702</v>
      </c>
      <c r="W40" s="3">
        <f>1652+(1631.9-1502.4)+(-5.89764+(-5.825883--5.363568))+0-431--1.53867000000001</f>
        <v>1345.678715</v>
      </c>
      <c r="X40" s="3">
        <f>1652.8+(1197.8-1095.3)+(0+(0-0))+0-428.3-0</f>
        <v>1327</v>
      </c>
      <c r="Y40" s="3">
        <f>1654.5+(1059.7-924)+(-1.68759+(-1.080894--0.94248))+0-426.2--0.434724000000068</f>
        <v>1362.6087199999999</v>
      </c>
      <c r="Z40" s="3">
        <f>1678.8+(1195-866.6)+(-4.28094+(-3.04725--2.20983))+0-429.3--1.09471499999994</f>
        <v>1573.8763549999999</v>
      </c>
      <c r="AA40" s="3">
        <f>1684.4+(1131.6-807.7)+(-1.718088+(-1.154232--0.823854))+0-425.7--0.434214000000068</f>
        <v>1580.9857480000001</v>
      </c>
      <c r="AB40" s="3">
        <f>1681.3+(1327.2-1061)+(-3.429852+(-2.707488--2.16444))+0-425.8--0.868631999999981</f>
        <v>1518.595732</v>
      </c>
      <c r="AC40" s="3">
        <f>1674.9+(1372-1158.2)+(-0.854199+(-0.69972--0.590682))+0-427.8--0.218177999999957</f>
        <v>1460.154941</v>
      </c>
      <c r="AD40">
        <f t="shared" si="0"/>
        <v>32387.845916000002</v>
      </c>
      <c r="AE40" s="3">
        <f>1685+(1186.2-842.1)+(0+(0-0))+0-423.5-0</f>
        <v>1605.6</v>
      </c>
    </row>
    <row r="41" spans="1:31" s="2" customFormat="1" x14ac:dyDescent="0.25">
      <c r="A41">
        <v>89</v>
      </c>
      <c r="B41">
        <v>2</v>
      </c>
      <c r="C41">
        <v>10</v>
      </c>
      <c r="D41">
        <v>7</v>
      </c>
      <c r="E41">
        <v>1</v>
      </c>
      <c r="F41" s="3">
        <f>1623.7+(1615.2-1475.9)+(0+(0-0))+0-428.7-0</f>
        <v>1334.3</v>
      </c>
      <c r="G41" s="3">
        <f>1430.4+(1935.9-1700.1)+(0+(0-0))+0-430.1-0</f>
        <v>1236.1000000000004</v>
      </c>
      <c r="H41" s="3">
        <f>1206.3+(1819.9-1427.1)+(1.230426+(1.856298-1.455642))+0-430.6-0.439212000000069</f>
        <v>1169.6918700000003</v>
      </c>
      <c r="I41" s="3">
        <f>1185.1+(1565.2-1189.4)+(-0.604401+(-0.798252--0.606594))+0-430.7--0.219656999999956</f>
        <v>1129.6235979999997</v>
      </c>
      <c r="J41" s="3">
        <f>1184+(1580.5-1212.3)+(1.20768+(1.61211-1.236546))+0-428.5-0.437070000000068</f>
        <v>1124.8461739999998</v>
      </c>
      <c r="K41" s="3">
        <f>1180.7+(1522.5-1157)+(-3.010785+(-3.882375--2.95035))+0-426.9--1.08859499999994</f>
        <v>1116.4457850000001</v>
      </c>
      <c r="L41" s="3">
        <f>1178.2+(1279.2-950.3)+(-3.00441+(-3.26196--2.423265))+0-427.4--1.08986999999994</f>
        <v>1076.9467650000004</v>
      </c>
      <c r="M41" s="3">
        <f>1171.8+(1147.8-805.8)+(-1.195236+(-1.170756--0.821916))+0-430.7--0.439314000000069</f>
        <v>1081.995238</v>
      </c>
      <c r="N41" s="3">
        <f>1128.9+(1203.5-766.8)+(0.575739+(0.613785-0.391068))+0-430.6-0.219605999999956</f>
        <v>1135.5788500000001</v>
      </c>
      <c r="O41" s="3">
        <f>1145.9+(1349.7-859.8)+(-0.584409+(-0.688347--0.438498))+0-433.9--0.221288999999956</f>
        <v>1201.2870310000001</v>
      </c>
      <c r="P41" s="3">
        <f>1289+(1360.1-964)+(-1.31478+(-1.387302--0.98328))+0-432--0.440640000000069</f>
        <v>1251.8218379999998</v>
      </c>
      <c r="Q41" s="3">
        <f>1332.8+(1438.5-1074.8)+(-2.039184+(-2.200905--1.644444))+0-428.5--0.655605000000025</f>
        <v>1266.0599599999998</v>
      </c>
      <c r="R41" s="3">
        <f>1592.3+(1347-1247.5)+(0.812073+(0.68697-0.636225))+0-415.4-0.211853999999958</f>
        <v>1277.0509640000002</v>
      </c>
      <c r="S41" s="3">
        <f>1629+(1558.5-1512.3)+(-1.66158+(-1.58967--1.542546))+0-425.5--0.434010000000068</f>
        <v>1248.4253060000003</v>
      </c>
      <c r="T41" s="3">
        <f>1632.3+(1720.1-1696.2)+(2.497419+(2.631753-2.595186))+0-414.8-0.634644000000024</f>
        <v>1243.2993419999998</v>
      </c>
      <c r="U41" s="3">
        <f>1630.5+(1534.7-1505.9)+(-2.494665+(-2.348091--2.304027))+0-429.1--0.656523000000025</f>
        <v>1228.317794</v>
      </c>
      <c r="V41" s="3">
        <f>1630.9+(1413.2-1380.7)+(-2.495277+(-2.162196--2.112471))+0-428.1--0.654993000000025</f>
        <v>1233.409991</v>
      </c>
      <c r="W41" s="3">
        <f>1630.7+(1337.3-1320.4)+(-4.158285+(-3.410115--3.36702))+0-406--1.03529999999994</f>
        <v>1238.4339199999999</v>
      </c>
      <c r="X41" s="3">
        <f>1629.9+(943.9-929)+(-4.156245+(-2.406945--2.36895))+0-411.9--1.05034499999994</f>
        <v>1229.7561050000002</v>
      </c>
      <c r="Y41" s="3">
        <f>1633.9+(708.4-639)+(-0.833289+(-0.361284--0.32589))+0-428.1--0.218330999999957</f>
        <v>1274.5496480000002</v>
      </c>
      <c r="Z41" s="3">
        <f>1658.6+(907.7-612.2)+(-3.383544+(-1.851708--1.248888))+0-430.8--0.878831999999981</f>
        <v>1520.1924679999997</v>
      </c>
      <c r="AA41" s="3">
        <f>1683.7+(838.7-537)+(-1.717374+(-0.855474--0.54774))+0-426.8--0.435336000000068</f>
        <v>1557.0102280000001</v>
      </c>
      <c r="AB41" s="3">
        <f>1678.3+(754.6-499.5)+(-5.135598+(-2.309076--1.52847))+0-427.7--1.30876200000005</f>
        <v>1501.0925580000001</v>
      </c>
      <c r="AC41" s="3">
        <f>1559.6+(996.2-720.1)+(-1.590792+(-1.016124--0.734502))+0-427.5--0.436050000000068</f>
        <v>1406.7636359999999</v>
      </c>
      <c r="AD41">
        <f t="shared" si="0"/>
        <v>30082.999068999998</v>
      </c>
      <c r="AE41" s="3">
        <f>1680.6+(901.1-599.6)+(0+(0-0))+0-424.7-0</f>
        <v>1557.3999999999999</v>
      </c>
    </row>
    <row r="42" spans="1:31" s="2" customFormat="1" x14ac:dyDescent="0.25">
      <c r="A42">
        <v>89</v>
      </c>
      <c r="B42">
        <v>2</v>
      </c>
      <c r="C42">
        <v>11</v>
      </c>
      <c r="D42">
        <v>1</v>
      </c>
      <c r="E42">
        <v>1</v>
      </c>
      <c r="F42" s="3">
        <f>1501.3+(1708.7-1503.3)+(-3.062652+(-3.485748--3.066732))+0-427.7--0.872507999999981</f>
        <v>1276.39084</v>
      </c>
      <c r="G42" s="3">
        <f>1491+(1974.9-1843.9)+(-3.80205+(-5.035995--4.701945))+0-423.2--1.07915999999994</f>
        <v>1195.74306</v>
      </c>
      <c r="H42" s="3">
        <f>1460.6+(2032.5-1905.8)+(-1.489812+(-2.07315--1.943916))+0-430.2--0.438804000000069</f>
        <v>1155.919758</v>
      </c>
      <c r="I42" s="3">
        <f>1460.9+(1926.6-1810)+(-2.980236+(-3.930264--3.6924))+0-428.1--0.873323999999981</f>
        <v>1147.055224</v>
      </c>
      <c r="J42" s="3">
        <f>1350.2+(1736.6-1525.7)+(0+(0-0))+0-427.6-0</f>
        <v>1133.5</v>
      </c>
      <c r="K42" s="3">
        <f>1273.5+(1605.3-1314.6)+(-0.649485+(-0.818703--0.670446))+0-427.6--0.218075999999957</f>
        <v>1136.020334</v>
      </c>
      <c r="L42" s="3">
        <f>1272.1+(1131.2-838.6)+(-2.595084+(-2.307648--1.710744))+0-425--0.866999999999981</f>
        <v>1137.3750119999997</v>
      </c>
      <c r="M42" s="3">
        <f>1273.5+(999.4-626.9)+(-1.29897+(-1.019388--0.639438))+0-465.4--0.474708000000074</f>
        <v>1179.395788</v>
      </c>
      <c r="N42" s="3">
        <f>1418.6+(837.7-465.4)+(-1.446972+(-0.854454--0.474708))+0-466.3--0.475626000000074</f>
        <v>1323.2489080000003</v>
      </c>
      <c r="O42" s="3">
        <f>1462.9+(633.9-176.8)+(-2.238237+(-0.969867--0.270504))+0-467.3--0.714969000000027</f>
        <v>1450.4773690000002</v>
      </c>
      <c r="P42" s="3">
        <f>1462.5+(753.8-260)+(-1.49175+(-0.768876--0.2652))+0-482.8--0.492456000000077</f>
        <v>1471.9970300000002</v>
      </c>
      <c r="Q42" s="3">
        <f>1463.8+(859.1-376.9)+(-0.746538+(-0.438141--0.192219))+0-469.6--0.239495999999952</f>
        <v>1475.6470360000001</v>
      </c>
      <c r="R42" s="3">
        <f>1464.6+(737.1-272.5)+(-3.73473+(-1.879605--0.694875))+0-489.6--1.24847999999993</f>
        <v>1435.9290199999998</v>
      </c>
      <c r="S42" s="3">
        <f>1463.8+(727.9-314.8)+(-1.493076+(-0.742458--0.321096))+0-467.9--0.477258000000075</f>
        <v>1407.5628199999999</v>
      </c>
      <c r="T42" s="3">
        <f>1462.6+(727.9-342.3)+(-0.745926+(-0.371229--0.174573))+0-462.1--0.235670999999953</f>
        <v>1385.3930889999997</v>
      </c>
      <c r="U42" s="3">
        <f>1461.8+(736.5-336.1)+(-3.72759+(-1.878075--0.857055))+0-460.7--1.17478499999993</f>
        <v>1397.9261749999996</v>
      </c>
      <c r="V42" s="3">
        <f>1461.6+(803.5-405.3)+(-3.72708+(-2.048925--1.033515))+0-420.6--1.07252999999994</f>
        <v>1435.5300399999996</v>
      </c>
      <c r="W42" s="3">
        <f>1463.7+(766.9-390.2)+(-2.239461+(-1.173357--0.597006))+0-425.7--0.651321000000025</f>
        <v>1412.535509</v>
      </c>
      <c r="X42" s="3">
        <f>1476.4+(680.2-342.5)+(-2.258892+(-1.040706--0.524025))+0-421--0.644130000000024</f>
        <v>1390.9685570000004</v>
      </c>
      <c r="Y42" s="3">
        <f>1601.5+(648.3-417.9)+(-0.816765+(-0.330633--0.213129))+0-424.2--0.216341999999957</f>
        <v>1406.9820729999999</v>
      </c>
      <c r="Z42" s="3">
        <f>1794.1+(859.3-576)+(-3.659964+(-1.752972--1.17504))+0-428.5--0.874139999999981</f>
        <v>1645.5362439999994</v>
      </c>
      <c r="AA42" s="3">
        <f>1871.4+(847.7-628.6)+(-1.908828+(-0.864654--0.641172))+0-430.4--0.439008000000069</f>
        <v>1658.406698</v>
      </c>
      <c r="AB42" s="3">
        <f>1835.9+(823.5-644)+(-1.872618+(-0.83997--0.65688))+0-430.2--0.438804000000069</f>
        <v>1583.5830960000001</v>
      </c>
      <c r="AC42" s="3">
        <f>1751.2+(753.1-574.1)+(-2.679336+(-1.152243--0.878373))+0-430.9--0.659277000000025</f>
        <v>1497.006071</v>
      </c>
      <c r="AD42">
        <f t="shared" si="0"/>
        <v>32740.129750999997</v>
      </c>
      <c r="AE42" s="3">
        <f>1827.6+(931.8-619.8)+(0+(0-0))+0-430.9-0</f>
        <v>1708.6999999999998</v>
      </c>
    </row>
    <row r="43" spans="1:31" s="2" customFormat="1" x14ac:dyDescent="0.25">
      <c r="A43">
        <v>89</v>
      </c>
      <c r="B43">
        <v>2</v>
      </c>
      <c r="C43">
        <v>12</v>
      </c>
      <c r="D43">
        <v>2</v>
      </c>
      <c r="E43">
        <v>1</v>
      </c>
      <c r="F43" s="3">
        <f>1545.8+(1120.6-883.8)+(0+(0-0))+0-431.9-0</f>
        <v>1350.6999999999998</v>
      </c>
      <c r="G43" s="3">
        <f>1323.7+(1528.6-1168)+(-0.675087+(-0.779586--0.59568))+0-427.8--0.218177999999957</f>
        <v>1255.8591849999998</v>
      </c>
      <c r="H43" s="3">
        <f>1260.6+(1608-1235.2)+(0+(0-0))+0-426.8-0</f>
        <v>1206.5999999999999</v>
      </c>
      <c r="I43" s="3">
        <f>1260.8+(1477.8-1126.9)+(-1.286016+(-1.507356--1.149438))+0-427.6--0.436152000000068</f>
        <v>1182.8922179999997</v>
      </c>
      <c r="J43" s="3">
        <f>1260.4+(1420.1-1076)+(-0.642804+(-0.724251--0.54876))+0-430.4--0.219503999999956</f>
        <v>1173.5012089999998</v>
      </c>
      <c r="K43" s="3">
        <f>1259.8+(1292.4-944.5)+(-3.21249+(-3.29562--2.408475))+0-428.2--1.09190999999994</f>
        <v>1176.4922749999998</v>
      </c>
      <c r="L43" s="3">
        <f>1260.8+(982-642.9)+(-1.286016+(-1.00164--0.655758))+0-410--0.418200000000065</f>
        <v>1188.6863020000001</v>
      </c>
      <c r="M43" s="3">
        <f>1299.9+(783-389.9)+(0+(0-0))+0-458.6-0</f>
        <v>1234.4000000000001</v>
      </c>
      <c r="N43" s="3">
        <f>1410.1+(814.8-385.2)+(-0.719151+(-0.415548--0.196452))+0-456.1--0.232610999999954</f>
        <v>1382.8943639999998</v>
      </c>
      <c r="O43" s="3">
        <f>1413.8+(715-222.7)+(0+(0-0))+0-450.3-0</f>
        <v>1455.8</v>
      </c>
      <c r="P43" s="3">
        <f>1398.6+(974.7-422.1)+(1.426572+(0.994194-0.430542))+0-438.3-0.44706600000007</f>
        <v>1514.4431579999996</v>
      </c>
      <c r="Q43" s="3">
        <f>1450.6+(1086.4-570.9)+(-0.739806+(-0.554064--0.291159))+0-395.1--0.20150099999996</f>
        <v>1570.1987899999999</v>
      </c>
      <c r="R43" s="3">
        <f>1629.8+(911.2-596.4)+(-2.493594+(-1.394136--0.912492))+0-435.4--0.666162000000025</f>
        <v>1506.8909239999998</v>
      </c>
      <c r="S43" s="3">
        <f>1635.1+(779.1-552.2)+(-3.335604+(-1.589364--1.126488))+0-440.6--0.898823999999981</f>
        <v>1418.500344</v>
      </c>
      <c r="T43" s="3">
        <f>1636.2+(649.2-415.2)+(0.834462+(0.331092-0.211752))+0-445.3-0.227102999999955</f>
        <v>1425.6266990000001</v>
      </c>
      <c r="U43" s="3">
        <f>1633.8+(615.8-397.4)+(-2.499714+(-0.942174--0.608022))+0-404.6--0.619038000000023</f>
        <v>1445.385172</v>
      </c>
      <c r="V43" s="3">
        <f>1633.2+(641.8-436)+(-4.997592+(-1.963908--1.33416))+0-404.9--1.23899400000005</f>
        <v>1429.711654</v>
      </c>
      <c r="W43" s="3">
        <f>1652.5+(674-480)+(-0.842775+(-0.34374--0.2448))+0-406.7--0.207416999999959</f>
        <v>1439.0657019999999</v>
      </c>
      <c r="X43" s="3">
        <f>1702.6+(705.4-586.6)+(-2.604978+(-1.079262--0.897498))+0-408.2--0.624546000000024</f>
        <v>1411.0378039999998</v>
      </c>
      <c r="Y43" s="3">
        <f>1755.4+(700.5-636.7)+(-1.790508+(-0.71451--0.649434))+0-401.1--0.409122000000064</f>
        <v>1416.653538</v>
      </c>
      <c r="Z43" s="3">
        <f>1841+(891.9-754.5)+(-6.57237+(-3.184083--2.693565))+0-410.4--1.46512800000001</f>
        <v>1562.4022400000001</v>
      </c>
      <c r="AA43" s="3">
        <f>1753.5+(895.2-676.4)+(-3.57714+(-1.826208--1.379856))+0-409.8--0.835991999999982</f>
        <v>1559.3125000000002</v>
      </c>
      <c r="AB43" s="3">
        <f>1691.8+(746-554.4)+(-4.31409+(-1.9023--1.41372))+0-409.6--1.04447999999994</f>
        <v>1470.0418100000002</v>
      </c>
      <c r="AC43" s="3">
        <f>1474.4+(708.9-376.1)+(-3.75972+(-1.807695--0.959055))+0-411.2--1.04855999999994</f>
        <v>1392.4402</v>
      </c>
      <c r="AD43">
        <f t="shared" si="0"/>
        <v>33169.536087999993</v>
      </c>
      <c r="AE43" s="3">
        <f>1873.6+(976.3-823.9)+(0+(0-0))+0-408.3-0</f>
        <v>1617.7</v>
      </c>
    </row>
    <row r="44" spans="1:31" s="2" customFormat="1" x14ac:dyDescent="0.25">
      <c r="A44">
        <v>89</v>
      </c>
      <c r="B44">
        <v>2</v>
      </c>
      <c r="C44">
        <v>13</v>
      </c>
      <c r="D44">
        <v>3</v>
      </c>
      <c r="E44">
        <v>1</v>
      </c>
      <c r="F44" s="3">
        <f>1277.8+(752.8-373.5)+(-3.910068+(-2.303568--1.14291))+0-410--1.25460000000005</f>
        <v>1243.283874</v>
      </c>
      <c r="G44" s="3">
        <f>1270.2+(741.1-436.3)+(-4.534614+(-2.645727--1.557591))+0-409.5--1.46191500000001</f>
        <v>1161.3391650000001</v>
      </c>
      <c r="H44" s="3">
        <f>1274.7+(816.3-551.2)+(-0.650097+(-0.416313--0.281112))+0-410--0.209099999999958</f>
        <v>1129.223802</v>
      </c>
      <c r="I44" s="3">
        <f>1275.3+(783.3-537.7)+(-0.650403+(-0.399483--0.274227))+0-407.7--0.207926999999959</f>
        <v>1112.6322679999998</v>
      </c>
      <c r="J44" s="3">
        <f>1274.1+(713.1-472.4)+(-1.299582+(-0.727362--0.481848))+0-411.3--0.419526000000066</f>
        <v>1102.3744300000001</v>
      </c>
      <c r="K44" s="3">
        <f>1335.3+(589.6-405.1)+(-3.405015+(-1.50348--1.033005))+0-412--1.05059999999994</f>
        <v>1104.9751100000001</v>
      </c>
      <c r="L44" s="3">
        <f>1360.5+(476.3-334.3)+(-4.16313+(-1.457478--1.022958))+0-411.1--1.25796600000005</f>
        <v>1088.0603160000001</v>
      </c>
      <c r="M44" s="3">
        <f>1419.2+(504.7-341.5)+(0.723792+(0.257397-0.174165))+0-448.9-0.228938999999954</f>
        <v>1134.0780850000003</v>
      </c>
      <c r="N44" s="3">
        <f>1379.1+(575.9-227.2)+(0+(0-0))+0-458.5-0</f>
        <v>1269.3</v>
      </c>
      <c r="O44" s="3">
        <f>1381.9+(693.3-291)+(-2.114307+(-1.060749--0.44523))+0-470.6--0.720018000000027</f>
        <v>1311.5901920000001</v>
      </c>
      <c r="P44" s="3">
        <f>1378.3+(1081.1-635.1)+(0+(0-0))+0-473.3-0</f>
        <v>1350.9999999999998</v>
      </c>
      <c r="Q44" s="3">
        <f>1388.1+(1264.9-793.4)+(-2.831724+(-2.580396--1.618536))+0-472.5--0.963899999999979</f>
        <v>1384.2703159999999</v>
      </c>
      <c r="R44" s="3">
        <f>1390.2+(1248.2-833.8)+(-0.709002+(-0.636582--0.425238))+0-451.3--0.230162999999954</f>
        <v>1352.609817</v>
      </c>
      <c r="S44" s="3">
        <f>1447.9+(1013.3-675.7)+(-2.953716+(-2.067132--1.378428))+0-459.7--0.93778799999998</f>
        <v>1323.095368</v>
      </c>
      <c r="T44" s="3">
        <f>1538.6+(888.8-643)+(-3.138744+(-1.813152--1.31172))+0-448.6--0.91514399999998</f>
        <v>1333.0749679999999</v>
      </c>
      <c r="U44" s="3">
        <f>1606.9+(705-513.4)+(-2.458557+(-1.07865--0.785502))+0-421--0.644130000000024</f>
        <v>1375.3924250000002</v>
      </c>
      <c r="V44" s="3">
        <f>1679+(647.9-564.9)+(-2.56887+(-0.991287--0.864297))+0-417.7--0.639081000000024</f>
        <v>1342.2432209999999</v>
      </c>
      <c r="W44" s="3">
        <f>1688.1+(820.6-724.4)+(0+(0-0))+0-416.4-0</f>
        <v>1367.9</v>
      </c>
      <c r="X44" s="3">
        <f>1655.7+(1025.5-877.8)+(-3.377628+(-2.09202--1.790712))+0-420.6--0.858023999999982</f>
        <v>1379.9790879999998</v>
      </c>
      <c r="Y44" s="3">
        <f>1756.4+(1002.9-930.2)+(0.895764+(0.511479-0.474402))+0-410.2-0.209201999999958</f>
        <v>1419.6236389999999</v>
      </c>
      <c r="Z44" s="3">
        <f>2059.6+(1014.8-1033.2)+(-5.25198+(-2.58774--2.63466))+0-412.9--1.05289499999994</f>
        <v>1624.147835</v>
      </c>
      <c r="AA44" s="3">
        <f>2073.8+(923.2-955.7)+(-5.28819+(-2.35416--2.437035))+0-414.2--1.05620999999994</f>
        <v>1622.9508950000002</v>
      </c>
      <c r="AB44" s="3">
        <f>1938.7+(929-881.7)+(-0.988737+(-0.47379--0.449667))+0-419.9--0.214148999999957</f>
        <v>1565.301289</v>
      </c>
      <c r="AC44" s="3">
        <f>1792.8+(705.6-613.9)+(-0.914328+(-0.359856--0.313089))+0-424.3--0.216392999999957</f>
        <v>1459.4552980000001</v>
      </c>
      <c r="AD44">
        <f t="shared" si="0"/>
        <v>31557.901401000006</v>
      </c>
      <c r="AE44" s="3">
        <f>2076.6+(1020.6-1022.2)+(0+(0-0))+0-401.2-0</f>
        <v>1673.8</v>
      </c>
    </row>
    <row r="45" spans="1:31" s="2" customFormat="1" x14ac:dyDescent="0.25">
      <c r="A45">
        <v>89</v>
      </c>
      <c r="B45">
        <v>2</v>
      </c>
      <c r="C45">
        <v>14</v>
      </c>
      <c r="D45">
        <v>4</v>
      </c>
      <c r="E45">
        <v>1</v>
      </c>
      <c r="F45" s="3">
        <f>1609.3+(631.8-500.2)+(-3.282972+(-1.288872--1.020408))+0-424.4--0.865775999999981</f>
        <v>1313.8143399999997</v>
      </c>
      <c r="G45" s="3">
        <f>1489.5+(798.3-634.4)+(-3.03858+(-1.628532--1.294176))+0-421.7--0.860267999999982</f>
        <v>1229.187332</v>
      </c>
      <c r="H45" s="3">
        <f>1488.1+(1000.7-869.2)+(-2.276793+(-1.531071--1.329876))+0-426.3--0.652239000000025</f>
        <v>1191.4742509999999</v>
      </c>
      <c r="I45" s="3">
        <f>1488.9+(1075.9-969.9)+(0.759339+(0.548709-0.494649))+0-427.3-0.217922999999957</f>
        <v>1168.1954760000001</v>
      </c>
      <c r="J45" s="3">
        <f>1364.8+(1155.5-937.6)+(2.784192+(2.35722-1.912704))+0-425.2-0.867407999999981</f>
        <v>1159.8612999999998</v>
      </c>
      <c r="K45" s="3">
        <f>1340.4+(1136-892.6)+(-0.683604+(-0.57936--0.455226))+0-427.2--0.217871999999957</f>
        <v>1156.0101340000001</v>
      </c>
      <c r="L45" s="3">
        <f>1346.4+(835-617)+(-3.43332+(-2.12925--1.57335))+0-425.2--1.08425999999994</f>
        <v>1136.29504</v>
      </c>
      <c r="M45" s="3">
        <f>1345.8+(782.3-476.1)+(0+(0-0))+0-470.4-0</f>
        <v>1181.5999999999999</v>
      </c>
      <c r="N45" s="3">
        <f>1512.8+(677.3-405.3)+(-1.543056+(-0.690846--0.413406))+0-469.8--0.479196000000075</f>
        <v>1313.6587</v>
      </c>
      <c r="O45" s="3">
        <f>1679.7+(673-493.6)+(1.713294+(0.68646-0.503472))+0-471.6-0.481032000000075</f>
        <v>1388.9152499999996</v>
      </c>
      <c r="P45" s="3">
        <f>1798.2+(764.9-643.7)+(-2.751246+(-1.170297--0.984861))+0-465.2--0.711756000000027</f>
        <v>1451.9750739999999</v>
      </c>
      <c r="Q45" s="3">
        <f>1863.7+(584.5-504.7)+(-1.900974+(-0.59619--0.514794))+0-421--0.429420000000067</f>
        <v>1520.9470500000002</v>
      </c>
      <c r="R45" s="3">
        <f>2053.1+(476.4-540.3)+(-4.188324+(-0.971856--1.102212))+0-420.6--0.858023999999982</f>
        <v>1565.4000559999997</v>
      </c>
      <c r="S45" s="3">
        <f>2068.6+(604.5-826.1)+(0+(0-0))+0-465.4-0</f>
        <v>1381.6</v>
      </c>
      <c r="T45" s="3">
        <f>2081.7+(652.1-877.1)+(2.123334+(0.665142-0.894642))+0-461.5-0.470730000000074</f>
        <v>1396.6231039999998</v>
      </c>
      <c r="U45" s="3">
        <f>1979.3+(800.9-927.7)+(-1.009443+(-0.408459--0.473127))+0-428.4--0.218483999999957</f>
        <v>1423.373709</v>
      </c>
      <c r="V45" s="3">
        <f>1922.3+(892.3-977.5)+(-1.960746+(-0.910146--0.99705))+0-429.6--0.438192000000069</f>
        <v>1406.0643500000001</v>
      </c>
      <c r="W45" s="3">
        <f>1924+(866.8-906.8)+(-3.92496+(-1.768272--1.849872))+0-435.6--0.888623999999981</f>
        <v>1445.4452639999997</v>
      </c>
      <c r="X45" s="3">
        <f>1946.3+(581.5-672.2)+(-4.963065+(-1.482825--1.71411))+0-433.2--1.10465999999994</f>
        <v>1418.7728799999998</v>
      </c>
      <c r="Y45" s="3">
        <f>1974.9+(688.6-833.6)+(-2.014398+(-0.702372--0.850272))+0-429--0.437580000000068</f>
        <v>1399.471082</v>
      </c>
      <c r="Z45" s="3">
        <f>2197.7+(844.5-879.4)+(-4.483308+(-1.72278--1.793976))+0-431.7--0.880667999999981</f>
        <v>1727.5685559999997</v>
      </c>
      <c r="AA45" s="3">
        <f>2204.4+(656.3-818.3)+(-2.248488+(-0.669426--0.834666))+0-431.2--0.439824000000069</f>
        <v>1609.5565760000002</v>
      </c>
      <c r="AB45" s="3">
        <f>2203.4+(665.5-867.6)+(-3.371202+(-1.018215--1.327428))+0-430.6--0.658818000000025</f>
        <v>1568.2968290000001</v>
      </c>
      <c r="AC45" s="3">
        <f>1947.6+(733.5-771)+(-1.986552+(-0.74817--0.78642))+0-435.5--0.444210000000069</f>
        <v>1473.095908</v>
      </c>
      <c r="AD45">
        <f t="shared" si="0"/>
        <v>33027.202260999991</v>
      </c>
      <c r="AE45" s="3">
        <f>2201+(701-771)+(0+(0-0))+0-428-0</f>
        <v>1703</v>
      </c>
    </row>
    <row r="46" spans="1:31" s="2" customFormat="1" x14ac:dyDescent="0.25">
      <c r="A46">
        <v>89</v>
      </c>
      <c r="B46">
        <v>2</v>
      </c>
      <c r="C46">
        <v>15</v>
      </c>
      <c r="D46">
        <v>5</v>
      </c>
      <c r="E46">
        <v>1</v>
      </c>
      <c r="F46" s="3">
        <f>1482.1+(993.9-738.7)+(-0.755871+(-0.506889--0.376737))+0-432.6--0.220625999999956</f>
        <v>1304.0346029999998</v>
      </c>
      <c r="G46" s="3">
        <f>1459.5+(1129.1-921.6)+(-2.233035+(-1.727523--1.410048))+0-434--0.664020000000025</f>
        <v>1231.1135099999999</v>
      </c>
      <c r="H46" s="3">
        <f>1460.9+(1264.4-1097.1)+(-1.490118+(-1.289688--1.119042))+0-436.5--0.44523000000007</f>
        <v>1190.4844660000003</v>
      </c>
      <c r="I46" s="3">
        <f>1460.3+(1255.7-1087.2)+(-2.979012+(-2.561628--2.217888))+0-438.9--0.895355999999981</f>
        <v>1187.472604</v>
      </c>
      <c r="J46" s="3">
        <f>1460.4+(1146.4-997.7)+(0.744804+(0.584664-0.508827))+0-433.2-0.220931999999956</f>
        <v>1176.4997090000002</v>
      </c>
      <c r="K46" s="3">
        <f>1438.2+(1160.2-953.7)+(0.733482+(0.591702-0.486387))+0-428.4-0.218483999999957</f>
        <v>1216.9203130000001</v>
      </c>
      <c r="L46" s="3">
        <f>1413.3+(846.2-659.3)+(-2.883132+(-1.726248--1.344972))+0-430.5--0.878219999999981</f>
        <v>1167.3138120000001</v>
      </c>
      <c r="M46" s="3">
        <f>1391.3+(797-522.8)+(0+(0-0))+0-476-0</f>
        <v>1189.5</v>
      </c>
      <c r="N46" s="3">
        <f>1383.8+(768.9-301.6)+(-0.705738+(-0.392139--0.153816))+0-473--0.241229999999952</f>
        <v>1377.3971689999998</v>
      </c>
      <c r="O46" s="3">
        <f>1465.3+(702.8-280.7)+(0+(0-0))+0-483.8-0</f>
        <v>1403.6</v>
      </c>
      <c r="P46" s="3">
        <f>1472.6+(744.4-310.8)+(-1.502052+(-0.759288--0.317016))+6.7-460.1--0.469302000000073</f>
        <v>1451.3249779999996</v>
      </c>
      <c r="Q46" s="3">
        <f>1474.4+(780.7-334.1)+(-1.503888+(-0.796314--0.340782))+0-424.4--0.432888000000068</f>
        <v>1495.0734680000003</v>
      </c>
      <c r="R46" s="3">
        <f>1600+(764.5-504.4)+(-1.632+(-0.77979--0.514488))+0-468.1--0.477462000000075</f>
        <v>1390.5801599999998</v>
      </c>
      <c r="S46" s="3">
        <f>1630.5+(779.1-603.4)+(0.831555+(0.397341-0.307734))+0-466.6-0.237965999999953</f>
        <v>1340.2831960000001</v>
      </c>
      <c r="T46" s="3">
        <f>1614.8+(769.5-562.7)+(2.470644+(1.177335-0.860931))+0-478.9-0.732717000000028</f>
        <v>1344.7543309999999</v>
      </c>
      <c r="U46" s="3">
        <f>1626.1+(832.9-616.2)+(-1.658622+(-0.849558--0.628524))+0-438.5--0.44727000000007</f>
        <v>1402.8676139999998</v>
      </c>
      <c r="V46" s="3">
        <f>1626.3+(785.7-540.7)+(-2.488239+(-1.202121--0.827271))+0-439.8--0.672894000000025</f>
        <v>1429.3098050000001</v>
      </c>
      <c r="W46" s="3">
        <f>1626.7+(708.1-494.2)+(-2.488851+(-1.083393--0.756126))+0-430.7--0.658971000000025</f>
        <v>1407.7428530000002</v>
      </c>
      <c r="X46" s="3">
        <f>1608+(636.7-424.5)+(-4.1004+(-1.623585--1.082475))+0-428.7--1.09318499999994</f>
        <v>1387.951675</v>
      </c>
      <c r="Y46" s="3">
        <f>1670.9+(645.7-481.1)+(-1.704318+(-0.658614--0.490722))+0-422.6--0.431052000000067</f>
        <v>1411.4588420000002</v>
      </c>
      <c r="Z46" s="3">
        <f>1804.1+(798.4-525)+(-0.920091+(-0.407184--0.26775))+0-417.2--0.212771999999958</f>
        <v>1659.4532469999997</v>
      </c>
      <c r="AA46" s="3">
        <f>1688.6+(805.1-536.2)+(-4.30593+(-2.053005--1.36731))+0-416.4--1.06181999999994</f>
        <v>1537.1701949999997</v>
      </c>
      <c r="AB46" s="3">
        <f>1670.1+(719.5-462.8)+(-1.703502+(-0.73389--0.472056))+0-417.3--0.425646000000067</f>
        <v>1507.9603100000002</v>
      </c>
      <c r="AC46" s="3">
        <f>1604.5+(732.5-515.5)+(-2.454885+(-1.120725--0.788715))+0-411.9--0.630207000000024</f>
        <v>1407.4433120000001</v>
      </c>
      <c r="AD46">
        <f t="shared" si="0"/>
        <v>32617.710171999999</v>
      </c>
      <c r="AE46" s="3">
        <f>1798+(917.7-651.9)+(0+(0-0))+0-418.9-0</f>
        <v>1644.9</v>
      </c>
    </row>
    <row r="47" spans="1:31" s="2" customFormat="1" x14ac:dyDescent="0.25">
      <c r="A47">
        <v>89</v>
      </c>
      <c r="B47">
        <v>2</v>
      </c>
      <c r="C47">
        <v>16</v>
      </c>
      <c r="D47">
        <v>6</v>
      </c>
      <c r="E47">
        <v>1</v>
      </c>
      <c r="F47" s="3">
        <f>1312.4+(1043.3-638.4)+(0+(0-0))+0-386.1-0</f>
        <v>1331.2000000000003</v>
      </c>
      <c r="G47" s="3">
        <f>1162.7+(1273.1-824.3)+(0+(0-0))+0-392.3-0</f>
        <v>1219.2</v>
      </c>
      <c r="H47" s="3">
        <f>1130+(1314.3-852)+(0+(0-0))+0-405.8-0</f>
        <v>1186.5</v>
      </c>
      <c r="I47" s="3">
        <f>1111.8+(1301.3-797.7)+(0+(0-0))+0-412.4-0</f>
        <v>1203</v>
      </c>
      <c r="J47" s="3">
        <f>1112+(1228.5-730)+(0+(0-0))+0-416.6-0</f>
        <v>1193.9000000000001</v>
      </c>
      <c r="K47" s="3">
        <f>1111.2+(1111.7-626.8)+(0+(0-0))+0-422.8-0</f>
        <v>1173.3000000000002</v>
      </c>
      <c r="L47" s="3">
        <f>1111.2+(1154.3-684.2)+(0+(0-0))+0-417.1-0</f>
        <v>1164.1999999999998</v>
      </c>
      <c r="M47" s="3">
        <f>1111.1+(1278.5-749.2)+(0+(0-0))+0-462.5-0</f>
        <v>1177.8999999999999</v>
      </c>
      <c r="N47" s="3">
        <f>1126.2+(1310-606.6)+(0+(0-0))+0-476.6-0</f>
        <v>1353</v>
      </c>
      <c r="O47" s="3">
        <f>1348.8+(974.6-462.8)+(0+(0-0))+0-485.4-0</f>
        <v>1375.1999999999998</v>
      </c>
      <c r="P47" s="3">
        <f>1601.6+(804.8-502.7)+(0+(0-0))+1.5-495.9-0</f>
        <v>1409.2999999999997</v>
      </c>
      <c r="Q47" s="3">
        <f>1634.6+(893.8-588.7)+(0+(0-0))+0-477.1-0</f>
        <v>1462.6</v>
      </c>
      <c r="R47" s="3">
        <f>1636.2+(935.8-652.7)+(0.834462+(0.477258-0.332877))+0-479.5-0.244544999999951</f>
        <v>1440.534298</v>
      </c>
      <c r="S47" s="3">
        <f>1635.8+(1044.2-838.1)+(0+(0-0))+0-477.9-0</f>
        <v>1364</v>
      </c>
      <c r="T47" s="3">
        <f>1652.7+(1155.9-985.3)+(-1.685754+(-1.179018--1.005006))+0-487.4--0.497148000000078</f>
        <v>1334.5373820000002</v>
      </c>
      <c r="U47" s="3">
        <f>1657.2+(1358.9-1286.9)+(-2.535516+(-2.079117--1.968957))+0-447.4--0.684522000000026</f>
        <v>1279.8388460000001</v>
      </c>
      <c r="V47" s="3">
        <f>1657.4+(1578.6-1413.7)+(-4.22637+(-4.02543--3.604935))+0-435.1--1.10950499999994</f>
        <v>1383.66264</v>
      </c>
      <c r="W47" s="3">
        <f>1624.4+(1410.7-1222.8)+(-2.485332+(-2.158371--1.870884))+0-434.9--0.665397000000025</f>
        <v>1375.2925780000003</v>
      </c>
      <c r="X47" s="3">
        <f>1623.4+(1373.4-1158.1)+(-1.655868+(-1.400868--1.181262))+0-437.1--0.44584200000007</f>
        <v>1400.1703680000005</v>
      </c>
      <c r="Y47" s="3">
        <f>1625.7+(1221.3-932)+(-1.658214+(-1.245726--0.95064))+0-433.7--0.442374000000069</f>
        <v>1479.789074</v>
      </c>
      <c r="Z47" s="3">
        <f>1686.1+(957.8-598.8)+(-2.579733+(-1.465434--0.916164))+0-433.9--0.663867000000025</f>
        <v>1608.7348639999998</v>
      </c>
      <c r="AA47" s="3">
        <f>1694.2+(833.4-536.1)+(-3.456168+(-1.700136--1.093644))+0-433.6--0.884543999999981</f>
        <v>1554.721884</v>
      </c>
      <c r="AB47" s="3">
        <f>1693.8+(790.2-605.7)+(0.863838+(0.403002-0.308907))+0-431.9-0.220268999999956</f>
        <v>1447.1376639999999</v>
      </c>
      <c r="AC47" s="3">
        <f>1661.4+(1005-859.9)+(-1.694628+(-1.0251--0.877098))+0-432.8--0.441456000000069</f>
        <v>1372.298826</v>
      </c>
      <c r="AD47">
        <f t="shared" si="0"/>
        <v>32290.018423999994</v>
      </c>
      <c r="AE47" s="3">
        <f>1690+(899-543.6)+(0+(0-0))+0-433.8-0</f>
        <v>1611.6000000000001</v>
      </c>
    </row>
    <row r="48" spans="1:31" s="2" customFormat="1" x14ac:dyDescent="0.25">
      <c r="A48">
        <v>89</v>
      </c>
      <c r="B48">
        <v>2</v>
      </c>
      <c r="C48">
        <v>17</v>
      </c>
      <c r="D48">
        <v>7</v>
      </c>
      <c r="E48">
        <v>1</v>
      </c>
      <c r="F48" s="3">
        <f>1616+(1397.1-1309.6)+(-1.64832+(-1.425042--1.335792))+0-433.3--0.441966000000069</f>
        <v>1268.9043960000001</v>
      </c>
      <c r="G48" s="3">
        <f>1380.1+(1761.3-1482.6)+(-2.111553+(-2.694789--2.268378))+0-437.6--0.669528000000025</f>
        <v>1219.3315639999998</v>
      </c>
      <c r="H48" s="3">
        <f>1281.6+(1979.7-1655.7)+(-2.614464+(-4.038588--3.377628))+0-433.6--0.884543999999981</f>
        <v>1169.6091200000001</v>
      </c>
      <c r="I48" s="3">
        <f>1195.5+(1956.3-1572.2)+(-0.609705+(-0.997713--0.801822))+0-434.5--0.221594999999956</f>
        <v>1144.515999</v>
      </c>
      <c r="J48" s="3">
        <f>1183.3+(1701.8-1308.3)+(-1.810449+(-2.603754--2.001699))+0-434.6--0.664938000000025</f>
        <v>1140.452434</v>
      </c>
      <c r="K48" s="3">
        <f>1182.9+(1580.9-1188.4)+(0+(0-0))+0-435-0</f>
        <v>1140.4000000000001</v>
      </c>
      <c r="L48" s="3">
        <f>1183.5+(1415.1-1047.4)+(-2.41434+(-2.886804--2.136696))+0-430.8--0.878831999999981</f>
        <v>1118.1143839999997</v>
      </c>
      <c r="M48" s="3">
        <f>1182.7+(1507.4-1184.2)+(-1.206354+(-1.537548--1.207884))+0-433.3--0.441966000000069</f>
        <v>1071.5059480000002</v>
      </c>
      <c r="N48" s="3">
        <f>1298.4+(1645.6-1361.6)+(-1.986552+(-2.517768--2.083248))+0-435.7--0.666621000000025</f>
        <v>1144.945549</v>
      </c>
      <c r="O48" s="3">
        <f>1406+(1356-1098.3)+(0+(0-0))+0-435.3-0</f>
        <v>1228.4000000000001</v>
      </c>
      <c r="P48" s="3">
        <f>1367.6+(1087.5-758.4)+(-0.697476+(-0.554625--0.386784))+0-432.7--0.220676999999956</f>
        <v>1263.3553599999998</v>
      </c>
      <c r="Q48" s="3">
        <f>1393+(1129.8-809.8)+(0+(0-0))+0-429.5-0</f>
        <v>1283.5</v>
      </c>
      <c r="R48" s="3">
        <f>1406.9+(1254.3-956.7)+(0+(0-0))+0-433.2-0</f>
        <v>1271.3</v>
      </c>
      <c r="S48" s="3">
        <f>1407+(1318.4-1049.8)+(0+(0-0))+0-434-0</f>
        <v>1241.6000000000001</v>
      </c>
      <c r="T48" s="3">
        <f>1408.9+(1445.8-1205.3)+(0+(0-0))+0-435.1-0</f>
        <v>1214.3000000000002</v>
      </c>
      <c r="U48" s="3">
        <f>1406.1+(1574-1342)+(0+(0-0))+0-432.9-0</f>
        <v>1205.1999999999998</v>
      </c>
      <c r="V48" s="3">
        <f>1406.9+(1431.7-1233)+(-3.587595+(-3.650835--3.14415))+0-419.8--1.07048999999994</f>
        <v>1182.77621</v>
      </c>
      <c r="W48" s="3">
        <f>1406.8+(1473.3-1289.7)+(-2.152404+(-2.254149--1.973241))+0-405.9--0.621027000000023</f>
        <v>1182.6877149999998</v>
      </c>
      <c r="X48" s="3">
        <f>1408.3+(1311.8-1051.9)+(-1.436466+(-1.338036--1.072938))+0-426.8--0.435336000000068</f>
        <v>1240.1337719999999</v>
      </c>
      <c r="Y48" s="3">
        <f>1476.9+(1175.4-927.3)+(-1.506438+(-1.198908--0.945846))+0-433.9--0.442578000000069</f>
        <v>1289.7830780000004</v>
      </c>
      <c r="Z48" s="3">
        <f>1685.4+(955-730.3)+(-4.29777+(-2.43525--1.862265))+0-434.6--1.10822999999994</f>
        <v>1471.7374750000001</v>
      </c>
      <c r="AA48" s="3">
        <f>1696.1+(935.7-683.2)+(-1.730022+(-0.954414--0.696864))+0-431.5--0.440130000000069</f>
        <v>1515.5525580000001</v>
      </c>
      <c r="AB48" s="3">
        <f>1693.8+(968-756.3)+(-2.591514+(-1.48104--1.157139))+0-430.1--0.658053000000025</f>
        <v>1473.1426380000003</v>
      </c>
      <c r="AC48" s="3">
        <f>1409.7+(1036.9-648.8)+(-0.718947+(-0.528819--0.330888))+0-431.7--0.220166999999956</f>
        <v>1365.4032890000001</v>
      </c>
      <c r="AD48">
        <f t="shared" si="0"/>
        <v>29846.651489000003</v>
      </c>
      <c r="AE48" s="3">
        <f>1696+(918-643.5)+(0+(0-0))+0-428.9-0</f>
        <v>1541.6</v>
      </c>
    </row>
    <row r="49" spans="1:31" s="2" customFormat="1" x14ac:dyDescent="0.25">
      <c r="A49">
        <v>89</v>
      </c>
      <c r="B49">
        <v>2</v>
      </c>
      <c r="C49">
        <v>18</v>
      </c>
      <c r="D49">
        <v>1</v>
      </c>
      <c r="E49">
        <v>1</v>
      </c>
      <c r="F49" s="3">
        <f>1280.5+(1184.9-836.7)+(-1.959165+(-1.812897--1.280151))+0-429.7--0.657441000000025</f>
        <v>1197.16553</v>
      </c>
      <c r="G49" s="3">
        <f>1244.7+(1285.9-926.6)+(-0.634797+(-0.655809--0.472566))+0-434.2--0.221441999999956</f>
        <v>1169.2034019999999</v>
      </c>
      <c r="H49" s="3">
        <f>1230.5+(1228.6-894.5)+(-1.25511+(-1.253172--0.91239))+0-433.6--0.442272000000069</f>
        <v>1129.8463799999997</v>
      </c>
      <c r="I49" s="3">
        <f>1232.1+(1135.3-835.7)+(-0.628371+(-0.579003--0.426207))+0-432.8--0.220727999999956</f>
        <v>1098.3395609999998</v>
      </c>
      <c r="J49" s="3">
        <f>1233.5+(1234.8-936.4)+(0.629085+(0.629748-0.477564))+0-432.3-0.220472999999956</f>
        <v>1100.1607960000003</v>
      </c>
      <c r="K49" s="3">
        <f>1230.7+(1202.2-890.9)+(-1.255314+(-1.226244--0.908718))+0-432.2--0.440844000000069</f>
        <v>1108.6680039999999</v>
      </c>
      <c r="L49" s="3">
        <f>1231.8+(1082.1-774.4)+(-0.628218+(-0.551871--0.394944))+0-432.1--0.220370999999956</f>
        <v>1106.8352259999997</v>
      </c>
      <c r="M49" s="3">
        <f>1284.8+(982.1-596.5)+(0+(0-0))+0-474.1-0</f>
        <v>1196.3000000000002</v>
      </c>
      <c r="N49" s="3">
        <f>1408.1+(1019.1-577.1)+(-2.154393+(-1.559223--0.882963))+0-475.9--0.728127000000028</f>
        <v>1372.0974739999999</v>
      </c>
      <c r="O49" s="3">
        <f>1455.9+(890.8-427.6)+(0+(0-0))+0-478.7-0</f>
        <v>1440.3999999999999</v>
      </c>
      <c r="P49" s="3">
        <f>1633.9+(829.7-489.5)+(-1.666578+(-0.846294--0.49929))+0-487.6--0.497352000000078</f>
        <v>1484.98377</v>
      </c>
      <c r="Q49" s="3">
        <f>1647+(857.3-539)+(-1.67994+(-0.874446--0.54978))+0-464.9--0.474198000000074</f>
        <v>1498.8695920000002</v>
      </c>
      <c r="R49" s="3">
        <f>1638+(945.5-641)+(-0.83538+(-0.482205--0.32691))+0-455.1--0.232100999999954</f>
        <v>1486.6414260000001</v>
      </c>
      <c r="S49" s="3">
        <f>1653.3+(1072.7-845)+(-2.529549+(-1.641231--1.29285))+0-465.2--0.711756000000027</f>
        <v>1413.6338259999998</v>
      </c>
      <c r="T49" s="3">
        <f>1658.6+(1165.2-946.2)+(-2.537658+(-1.782756--1.447686))+0-476.3--0.728739000000028</f>
        <v>1399.156011</v>
      </c>
      <c r="U49" s="3">
        <f>1666.7+(1261.2-1092.1)+(-3.400068+(-2.572848--2.227884))+4.7-439.5--0.896579999999981</f>
        <v>1398.1515480000003</v>
      </c>
      <c r="V49" s="3">
        <f>1669.9+(1274.3-1145.7)+(-1.703298+(-1.299786--1.168614))+0-436.8--0.44553600000007</f>
        <v>1360.3110660000002</v>
      </c>
      <c r="W49" s="3">
        <f>1666.7+(1261.9-1074.1)+(-5.100102+(-3.861414--3.286746))+0-436.6--1.33599600000005</f>
        <v>1413.561226</v>
      </c>
      <c r="X49" s="3">
        <f>1666.2+(1024-854.7)+(-5.948334+(-3.65568--3.051279))+0-434.3--1.55045100000001</f>
        <v>1396.1977160000001</v>
      </c>
      <c r="Y49" s="3">
        <f>1641.4+(928.5-733.9)+(-3.348456+(-1.89414--1.497156))+0-432.9--0.883115999999981</f>
        <v>1400.2376760000002</v>
      </c>
      <c r="Z49" s="3">
        <f>1713+(860.4-514)+(-1.74726+(-0.877608--0.52428))+0-434.3--0.442986000000069</f>
        <v>1623.4423980000004</v>
      </c>
      <c r="AA49" s="3">
        <f>1712.1+(862.6-492.4)+(-2.619513+(-1.319778--0.753372))+0-432.9--0.662337000000025</f>
        <v>1646.8764180000001</v>
      </c>
      <c r="AB49" s="3">
        <f>1613.5+(894.1-499.3)+(-3.29154+(-1.823964--1.018572))+0-430.8--0.878831999999981</f>
        <v>1574.2819</v>
      </c>
      <c r="AC49" s="3">
        <f>1491.5+(1159.3-729.9)+(-1.52133+(-1.182486--0.744498))+0-433.5--0.442170000000069</f>
        <v>1485.8828520000002</v>
      </c>
      <c r="AD49">
        <f t="shared" si="0"/>
        <v>32501.243798</v>
      </c>
      <c r="AE49" s="3">
        <f>1720+(913.4-523.5)+(0+(0-0))+0-439.7-0</f>
        <v>1670.2</v>
      </c>
    </row>
    <row r="50" spans="1:31" s="2" customFormat="1" x14ac:dyDescent="0.25">
      <c r="A50">
        <v>89</v>
      </c>
      <c r="B50">
        <v>2</v>
      </c>
      <c r="C50">
        <v>19</v>
      </c>
      <c r="D50">
        <v>2</v>
      </c>
      <c r="E50">
        <v>1</v>
      </c>
      <c r="F50" s="3">
        <f>1365.1+(1578.1-1200.1)+(-1.392402+(-1.609662--1.224102))+0-408.9--0.417078000000065</f>
        <v>1332.8391160000003</v>
      </c>
      <c r="G50" s="3">
        <f>1296.7+(1645.6-1323.5)+(-0.661317+(-0.839256--0.674985))+10.5-429.5--0.219044999999956</f>
        <v>1199.1934570000001</v>
      </c>
      <c r="H50" s="3">
        <f>1289.4+(1500.8-1186.1)+(0+(0-0))+0-433.9-0</f>
        <v>1170.2000000000003</v>
      </c>
      <c r="I50" s="3">
        <f>1289.7+(1495.2-1185.3)+(-0.657747+(-0.762552--0.604503))+0-435.9--0.222308999999956</f>
        <v>1163.1065129999999</v>
      </c>
      <c r="J50" s="3">
        <f>1288.7+(1368.5-1058.7)+(-1.314474+(-1.39587--1.079874))+0-433.8--0.442476000000069</f>
        <v>1163.5120060000002</v>
      </c>
      <c r="K50" s="3">
        <f>1287.5+(1303.6-994.2)+(-3.283125+(-3.32418--2.53521))+0-433.1--1.10440499999994</f>
        <v>1160.8323099999998</v>
      </c>
      <c r="L50" s="3">
        <f>1286.4+(1094-787.8)+(-3.28032+(-2.7897--2.00889))+0-431.2--1.09955999999994</f>
        <v>1158.4384299999999</v>
      </c>
      <c r="M50" s="3">
        <f>1291.3+(844.3-454.8)+(-1.317126+(-0.861186--0.463896))+0-473.9--0.483378000000076</f>
        <v>1205.668962</v>
      </c>
      <c r="N50" s="3">
        <f>1410.5+(822.4-412.4)+(-2.158065+(-1.258272--0.630972))+0-476.9--0.729657000000028</f>
        <v>1341.5442920000003</v>
      </c>
      <c r="O50" s="3">
        <f>1517.1+(834.3-440.4)+(-0.773721+(-0.425493--0.224604))+0-485.8--0.247757999999951</f>
        <v>1424.473148</v>
      </c>
      <c r="P50" s="3">
        <f>1515.5+(873.2-447.6)+(0+(0-0))+0-464.8-0</f>
        <v>1476.3</v>
      </c>
      <c r="Q50" s="3">
        <f>1515.4+(983-531.9)+(-0.772854+(-0.50133--0.271269))+0-472.5--0.240974999999952</f>
        <v>1493.2380599999999</v>
      </c>
      <c r="R50" s="3">
        <f>1554.4+(1009.6-628.2)+(-1.585488+(-1.029792--0.640764))+0-468.7--0.478074000000075</f>
        <v>1465.6035580000002</v>
      </c>
      <c r="S50" s="3">
        <f>1627.3+(1223.6-975.5)+(-2.489769+(-1.872108--1.492515))+0-490.7--0.750771000000028</f>
        <v>1382.5814089999999</v>
      </c>
      <c r="T50" s="3">
        <f>1585.5+(1345-1040.3)+(-1.61721+(-1.3719--1.061106))+0-468.6--0.477972000000075</f>
        <v>1420.1499680000002</v>
      </c>
      <c r="U50" s="3">
        <f>1630.9+(1407.4-1132.5)+(-4.158795+(-3.58887--2.887875))+0-447.3--1.14061499999994</f>
        <v>1454.7808250000003</v>
      </c>
      <c r="V50" s="3">
        <f>1653.1+(1501.1-1264.2)+(-1.686162+(-1.531122--1.289484))+0-435.6--0.444312000000069</f>
        <v>1452.9165119999998</v>
      </c>
      <c r="W50" s="3">
        <f>1652.6+(1334.9-1086.2)+(-5.056956+(-4.084794--3.323772))+0-436--1.33416000000005</f>
        <v>1460.816182</v>
      </c>
      <c r="X50" s="3">
        <f>1646.9+(1033.2-807.3)+(-3.359676+(-2.107728--1.646892))+0-431.6--0.880463999999981</f>
        <v>1438.2599520000001</v>
      </c>
      <c r="Y50" s="3">
        <f>1664.5+(807.4-607.6)+(0+(0-0))+0-431.1-0</f>
        <v>1433.1999999999998</v>
      </c>
      <c r="Z50" s="3">
        <f>1711.3+(810.9-442.5)+(-3.491052+(-1.654236--0.9027))+0-432--0.881279999999981</f>
        <v>1644.3386919999998</v>
      </c>
      <c r="AA50" s="3">
        <f>1713+(953.7-550)+(-4.36815+(-2.431935--1.4025))+0-432.3--1.10236499999994</f>
        <v>1680.1047799999997</v>
      </c>
      <c r="AB50" s="3">
        <f>1713.5+(1115.1-797.9)+(-2.621655+(-1.706103--1.220787))+0-429.4--0.656982000000025</f>
        <v>1598.850011</v>
      </c>
      <c r="AC50" s="3">
        <f>1585.7+(1301.2-967)+(-4.043535+(-3.31806--2.46585))+0-431.4--1.10006999999994</f>
        <v>1484.7043250000002</v>
      </c>
      <c r="AD50">
        <f t="shared" si="0"/>
        <v>33205.652507999999</v>
      </c>
      <c r="AE50" s="3">
        <f>1711+(930.5-520.2)+(0+(0-0))+0-431.7-0</f>
        <v>1689.6000000000001</v>
      </c>
    </row>
    <row r="51" spans="1:31" s="2" customFormat="1" x14ac:dyDescent="0.25">
      <c r="A51">
        <v>89</v>
      </c>
      <c r="B51">
        <v>2</v>
      </c>
      <c r="C51">
        <v>20</v>
      </c>
      <c r="D51">
        <v>3</v>
      </c>
      <c r="E51">
        <v>1</v>
      </c>
      <c r="F51" s="3">
        <f>1501.7+(1154.1-873.2)+(-6.892803+(-5.297319--4.007988))+0-431.7--1.98150300000008</f>
        <v>1344.6993689999999</v>
      </c>
      <c r="G51" s="3">
        <f>1465.5+(1301.3-1037.5)+(-6.726645+(-5.972967--4.762125))+0-434--1.99206000000008</f>
        <v>1289.3545730000001</v>
      </c>
      <c r="H51" s="3">
        <f>1294.4+(1384-1028.3)+(0.660144+(0.70584-0.524433))+0-436-0.222359999999956</f>
        <v>1214.7191910000001</v>
      </c>
      <c r="I51" s="3">
        <f>1274.7+(1396.7-1026.3)+(-4.550679+(-4.986219--3.663891))+0-436.5--1.55830500000001</f>
        <v>1204.2852980000002</v>
      </c>
      <c r="J51" s="3">
        <f>1282.1+(1367.7-1012.8)+(-0.653871+(-0.697527--0.516528))+0-436.3--0.222512999999956</f>
        <v>1200.0876430000001</v>
      </c>
      <c r="K51" s="3">
        <f>1277.3+(1310.8-953.5)+(-3.257115+(-3.34254--2.431425))+0-432.9--1.10389499999994</f>
        <v>1198.635665</v>
      </c>
      <c r="L51" s="3">
        <f>1277.9+(1094.3-741)+(-1.955187+(-1.674279--1.13373))+0-433.4--0.663102000000025</f>
        <v>1195.9673659999999</v>
      </c>
      <c r="M51" s="3">
        <f>1282.9+(1105.7-665.6)+(1.308558+(1.127814-0.678912))+0-474.6-0.484092000000076</f>
        <v>1249.6733679999998</v>
      </c>
      <c r="N51" s="3">
        <f>1370.7+(919.9-433.3)+(1.398114+(0.938298-0.441966))+0-455.8-0.464916000000073</f>
        <v>1402.9295299999999</v>
      </c>
      <c r="O51" s="3">
        <f>1524.3+(786.9-354.9)+(-2.332179+(-1.203957--0.542997))+0-439--0.671670000000025</f>
        <v>1514.978531</v>
      </c>
      <c r="P51" s="3">
        <f>1554.8+(929.1-520.7)+(-1.585896+(-0.947682--0.531114))+0-439.2--0.44798400000007</f>
        <v>1522.44552</v>
      </c>
      <c r="Q51" s="3">
        <f>1654.6+(981.2-636.9)+(-0.843846+(-0.500412--0.324819))+0-443.9--0.226388999999955</f>
        <v>1554.2069500000002</v>
      </c>
      <c r="R51" s="3">
        <f>1656+(1246.4-921.2)+(-2.53368+(-1.906992--1.409436))+0-408.4--0.624852000000024</f>
        <v>1570.3936159999998</v>
      </c>
      <c r="S51" s="3">
        <f>1652.9+(1701.7-1447.2)+(-1.685958+(-1.735734--1.476144))+9.2-441.5--0.45033000000007</f>
        <v>1473.6047820000003</v>
      </c>
      <c r="T51" s="3">
        <f>1647+(1628.2-1388.5)+(-1.67994+(-1.660764--1.41627))+11-440.3--0.44910600000007</f>
        <v>1455.9246720000001</v>
      </c>
      <c r="U51" s="3">
        <f>1636+(1560.3-1268.1)+(0+(0-0))+11-445.5-0</f>
        <v>1493.7</v>
      </c>
      <c r="V51" s="3">
        <f>1566.3+(1441.9-1109.2)+(-3.994065+(-3.676845--2.82846))+11-407.6--1.03937999999994</f>
        <v>1498.5969299999999</v>
      </c>
      <c r="W51" s="3">
        <f>1566.1+(1305.6-993.8)+(-3.993555+(-3.32928--2.53419))+11-410.1--1.04575499999994</f>
        <v>1475.0571099999995</v>
      </c>
      <c r="X51" s="3">
        <f>1569.6+(1320.6-995.4)+(-4.802976+(-4.041036--3.045924))+6.4-415.4--1.27112400000005</f>
        <v>1481.2730359999998</v>
      </c>
      <c r="Y51" s="3">
        <f>1605+(1194.1-906.2)+(-0.81855+(-0.608991--0.462162))+0-418.6--0.213485999999958</f>
        <v>1473.5481069999998</v>
      </c>
      <c r="Z51" s="3">
        <f>1645.7+(944.8-489.5)+(-3.357228+(-1.927392--0.99858))+0-419.6--0.855983999999982</f>
        <v>1677.9699440000002</v>
      </c>
      <c r="AA51" s="3">
        <f>1645.7+(1106.6-622.5)+(-5.035842+(-3.386196--1.90485))+0-414.9--1.26959400000005</f>
        <v>1709.6524060000004</v>
      </c>
      <c r="AB51" s="3">
        <f>1645.8+(1113.8-694.3)+(-3.357432+(-2.272152--1.416372))+0-424.5--0.865979999999981</f>
        <v>1637.4527680000001</v>
      </c>
      <c r="AC51" s="3">
        <f>1619.1+(1180.6-818.1)+(-2.477223+(-1.806318--1.251693))+0-430.9--0.659277000000025</f>
        <v>1548.3274289999997</v>
      </c>
      <c r="AD51">
        <f t="shared" si="0"/>
        <v>34387.483803999996</v>
      </c>
      <c r="AE51" s="3">
        <f>1645+(1054.5-552.5)+(0+(0-0))+0-417.6-0</f>
        <v>1729.4</v>
      </c>
    </row>
    <row r="52" spans="1:31" s="2" customFormat="1" x14ac:dyDescent="0.25">
      <c r="A52">
        <v>89</v>
      </c>
      <c r="B52">
        <v>2</v>
      </c>
      <c r="C52">
        <v>21</v>
      </c>
      <c r="D52">
        <v>4</v>
      </c>
      <c r="E52">
        <v>1</v>
      </c>
      <c r="F52" s="3">
        <f>1513.2+(1340.5-1000)+(-0.771732+(-0.683655--0.51))+0-429.6--0.219095999999956</f>
        <v>1423.3737090000002</v>
      </c>
      <c r="G52" s="3">
        <f>1341.1+(1486.7-1082.4)+(-1.367922+(-1.516434--1.104048))+0-431.9--0.440538000000069</f>
        <v>1312.1602299999997</v>
      </c>
      <c r="H52" s="3">
        <f>1282.9+(1438.9-1029)+(-3.271395+(-3.669195--2.62395))+0-436.3--1.11256499999994</f>
        <v>1253.2959250000001</v>
      </c>
      <c r="I52" s="3">
        <f>1284.9+(1543.6-1155.1)+(-1.310598+(-1.574472--1.178202))+0-433--0.441660000000069</f>
        <v>1239.1347920000001</v>
      </c>
      <c r="J52" s="3">
        <f>1285.1+(1472.6-1091.1)+(0+(0-0))+0-433.1-0</f>
        <v>1233.5</v>
      </c>
      <c r="K52" s="3">
        <f>1283.1+(1489.3-1107.5)+(-2.617524+(-3.038172--2.2593))+0-432.1--0.881483999999981</f>
        <v>1230.2850879999996</v>
      </c>
      <c r="L52" s="3">
        <f>1282.4+(1132.9-771.3)+(-1.962072+(-1.733337--1.180089))+0-429.3--0.656829000000025</f>
        <v>1212.8415090000003</v>
      </c>
      <c r="M52" s="3">
        <f>1283.8+(988.2-523.3)+(0+(0-0))+0-475.2-0</f>
        <v>1273.5</v>
      </c>
      <c r="N52" s="3">
        <f>1356.9+(985.5-442.9)+(1.384038+(1.00521-0.451758))+0-458.6-0.467772000000073</f>
        <v>1442.3697179999999</v>
      </c>
      <c r="O52" s="3">
        <f>1519.3+(931.1-481.8)+(-0.774843+(-0.474861--0.245718))+0-452.5--0.230774999999954</f>
        <v>1515.326789</v>
      </c>
      <c r="P52" s="3">
        <f>1630.1+(943.5-590)+(1.662702+(0.96237-0.6018))+0-442-0.45084000000007</f>
        <v>1543.1724319999998</v>
      </c>
      <c r="Q52" s="3">
        <f>1658+(1004.2-643.2)+(1.69116+(1.024284-0.656064))+0-450.4-0.459408000000072</f>
        <v>1570.1999719999999</v>
      </c>
      <c r="R52" s="3">
        <f>1656.4+(1351.5-1020.9)+(-2.534292+(-2.067795--1.561977))+0-446--0.682380000000026</f>
        <v>1538.6422700000001</v>
      </c>
      <c r="S52" s="3">
        <f>1656.2+(1500.9-1237.4)+(-0.844662+(-0.765459--0.631074))+0-445.7--0.227306999999955</f>
        <v>1473.2482599999998</v>
      </c>
      <c r="T52" s="3">
        <f>1656.3+(1573.1-1308)+(-2.534139+(-2.406843--2.00124))+0-406.3--0.621639000000023</f>
        <v>1512.7818969999998</v>
      </c>
      <c r="U52" s="3">
        <f>1659.4+(1534.6-1282.1)+(-3.385176+(-3.130584--2.615484))+0-401.8--0.819671999999983</f>
        <v>1507.0193960000001</v>
      </c>
      <c r="V52" s="3">
        <f>1658.8+(1450.4-1201.9)+(-3.383952+(-2.958816--2.451876))+0-401.3--0.818651999999983</f>
        <v>1502.92776</v>
      </c>
      <c r="W52" s="3">
        <f>1658.1+(1383.4-1139.1)+(-5.073786+(-4.233204--3.485646))+0-406.9--1.24511400000005</f>
        <v>1490.9237700000001</v>
      </c>
      <c r="X52" s="3">
        <f>1658.9+(1230.8-996.2)+(-3.384156+(-2.510832--2.032248))+0-411.9--0.840275999999982</f>
        <v>1478.5775359999998</v>
      </c>
      <c r="Y52" s="3">
        <f>1678.4+(1062.4-823.4)+(-1.711968+(-1.083648--0.839868))+0-419.9--0.428298000000067</f>
        <v>1495.9725500000002</v>
      </c>
      <c r="Z52" s="3">
        <f>1716.6+(908.2-494)+(-0.875466+(-0.463182--0.25194))+0-430.8--0.219707999999956</f>
        <v>1699.1330000000003</v>
      </c>
      <c r="AA52" s="3">
        <f>1714.3+(1075.2-630.6)+(-2.622879+(-1.645056--0.964818))+0-429.1--0.656523000000025</f>
        <v>1727.1534060000004</v>
      </c>
      <c r="AB52" s="3">
        <f>1715.3+(1346.7-970.7)+(-2.624409+(-2.060451--1.485171))+0-429.3--0.656829000000025</f>
        <v>1659.4571400000002</v>
      </c>
      <c r="AC52" s="3">
        <f>1706.8+(1455.4-1175.7)+(-3.481872+(-2.969016--2.398428))+0-430.6--0.878423999999981</f>
        <v>1552.7259639999997</v>
      </c>
      <c r="AD52">
        <f t="shared" si="0"/>
        <v>34887.723113</v>
      </c>
      <c r="AE52" s="3">
        <f>1707+(1056.7-586.8)+(0+(0-0))+0-425.2-0</f>
        <v>1751.7</v>
      </c>
    </row>
    <row r="53" spans="1:31" s="2" customFormat="1" x14ac:dyDescent="0.25">
      <c r="A53">
        <v>89</v>
      </c>
      <c r="B53">
        <v>2</v>
      </c>
      <c r="C53">
        <v>22</v>
      </c>
      <c r="D53">
        <v>5</v>
      </c>
      <c r="E53">
        <v>1</v>
      </c>
      <c r="F53" s="3">
        <f>1627.5+(1522.6-1310.1)+(-0.830025+(-0.776526--0.668151))+0-432.6--0.220625999999956</f>
        <v>1406.6822260000001</v>
      </c>
      <c r="G53" s="3">
        <f>1532.6+(1589.6-1374.5)+(-3.126504+(-3.242784--2.80398))+0-431.4--0.880055999999981</f>
        <v>1313.614748</v>
      </c>
      <c r="H53" s="3">
        <f>1384.5+(1489.5-1176)+(-3.530475+(-3.798225--2.9988))+0-431.9--1.10134499999994</f>
        <v>1262.8714450000002</v>
      </c>
      <c r="I53" s="3">
        <f>1284+(1472.4-1091.8)+(-1.96452+(-2.252772--1.670454))+0-432.7--0.662031000000025</f>
        <v>1230.0151930000002</v>
      </c>
      <c r="J53" s="3">
        <f>1284.8+(1496.7-1123.1)+(-1.310496+(-1.526634--1.145562))+0-432.5--0.441150000000069</f>
        <v>1224.6495820000002</v>
      </c>
      <c r="K53" s="3">
        <f>1287.2+(1436.5-1069.3)+(-0.656472+(-0.732615--0.545343))+0-428.3--0.218432999999957</f>
        <v>1225.4746890000001</v>
      </c>
      <c r="L53" s="3">
        <f>1282.7+(1262.5-889.7)+(-2.616708+(-2.5755--1.814988))+0-431.7--0.880667999999981</f>
        <v>1221.3034479999999</v>
      </c>
      <c r="M53" s="3">
        <f>1345.3+(1014.5-600)+(-2.058309+(-1.552185--0.918))+0-478.1--0.731493000000028</f>
        <v>1279.7389989999999</v>
      </c>
      <c r="N53" s="3">
        <f>1401+(971.6-509.1)+(0+(0-0))+0-474.7-0</f>
        <v>1388.8</v>
      </c>
      <c r="O53" s="3">
        <f>1405.5+(988-405.5)+(-1.43361+(-1.00776--0.41361))+0-481--0.490620000000077</f>
        <v>1505.4628600000001</v>
      </c>
      <c r="P53" s="3">
        <f>1593+(866.7-447.6)+(-1.62486+(-0.884034--0.456552))+0-470.8--0.480216000000075</f>
        <v>1539.7278740000002</v>
      </c>
      <c r="Q53" s="3">
        <f>1653.8+(828.2-436.9)+(0+(0-0))+0-480.9-0</f>
        <v>1564.1999999999998</v>
      </c>
      <c r="R53" s="3">
        <f>1657.9+(1062.6-746)+(-1.691058+(-1.083852--0.76092))+0-479.2--0.488784000000076</f>
        <v>1493.7747940000002</v>
      </c>
      <c r="S53" s="3">
        <f>1657.7+(1426.1-1122.6)+(-1.690854+(-1.454622--1.145052))+0-471.7--0.481134000000075</f>
        <v>1487.98071</v>
      </c>
      <c r="T53" s="3">
        <f>1655.2+(1440.9-1135.4)+(-0.844152+(-0.734859--0.579054))+0-478--0.243779999999952</f>
        <v>1481.9438230000001</v>
      </c>
      <c r="U53" s="3">
        <f>1630.2+(1444.9-1100)+(-2.494206+(-2.210697--1.683))+4.7-487.8--0.746334000000028</f>
        <v>1489.7244310000001</v>
      </c>
      <c r="V53" s="3">
        <f>1628.3+(1495-1177.8)+(-0.830433+(-0.76245--0.600678))+16.3-442.8--0.225827999999955</f>
        <v>1518.2336229999999</v>
      </c>
      <c r="W53" s="3">
        <f>1632.3+(1513-1192.9)+(-4.994838+(-4.62978--3.650274))+0-431.2--1.31947200000005</f>
        <v>1516.545128</v>
      </c>
      <c r="X53" s="3">
        <f>1655.3+(1024.8-737.7)+(-3.376812+(-2.090592--1.504908))+0-430.2--0.877607999999981</f>
        <v>1509.1151119999997</v>
      </c>
      <c r="Y53" s="3">
        <f>1661.5+(1020.1-713.2)+(-2.542095+(-1.560753--1.091196))+0-424--0.648720000000025</f>
        <v>1542.0370680000001</v>
      </c>
      <c r="Z53" s="3">
        <f>1708.7+(1225.7-786.4)+(-3.485748+(-2.500428--1.604256))+0-422.3--0.861491999999982</f>
        <v>1722.1795720000002</v>
      </c>
      <c r="AA53" s="3">
        <f>1717.5+(1352.9-918.3)+(-3.5037+(-2.759916--1.873332))+0-425.5--0.868019999999981</f>
        <v>1723.0777360000002</v>
      </c>
      <c r="AB53" s="3">
        <f>1716+(1446.2-1095.7)+(-1.75032+(-1.475124--1.117614))+0-429.9--0.438498000000069</f>
        <v>1634.930668</v>
      </c>
      <c r="AC53" s="3">
        <f>1715.8+(1495.4-1252.7)+(-4.37529+(-3.81327--3.194385))+0-432.4--1.10261999999994</f>
        <v>1522.208445</v>
      </c>
      <c r="AD53">
        <f t="shared" si="0"/>
        <v>34804.292174000002</v>
      </c>
      <c r="AE53" s="3">
        <f>1716+(1318.1-849.9)+(0+(0-0))+0-424.4-0</f>
        <v>1759.7999999999997</v>
      </c>
    </row>
    <row r="54" spans="1:31" s="2" customFormat="1" x14ac:dyDescent="0.25">
      <c r="A54">
        <v>89</v>
      </c>
      <c r="B54">
        <v>2</v>
      </c>
      <c r="C54">
        <v>23</v>
      </c>
      <c r="D54">
        <v>6</v>
      </c>
      <c r="E54">
        <v>1</v>
      </c>
      <c r="F54" s="3">
        <f>1711.6+(1533.7-1405)+(-6.983328+(-6.257496--5.7324))+0-432.4--1.76419199999996</f>
        <v>1402.1557679999999</v>
      </c>
      <c r="G54" s="3">
        <f>1678.5+(1484.9-1419.3)+(-4.280175+(-3.786495--3.619215))+0-431.1--1.09930499999994</f>
        <v>1309.65185</v>
      </c>
      <c r="H54" s="3">
        <f>1572.7+(1431.9-1303.7)+(-0.802077+(-0.730269--0.664887))+0-433.6--0.221135999999956</f>
        <v>1266.653677</v>
      </c>
      <c r="I54" s="3">
        <f>1449.3+(1440.9-1279.4)+(-3.695715+(-3.674295--3.26247))+4.4-387.9--0.989144999999944</f>
        <v>1224.1816050000002</v>
      </c>
      <c r="J54" s="3">
        <f>1292.1+(1394.4-1246.5)+(0+(0-0))+0-248.1-0</f>
        <v>1191.9000000000001</v>
      </c>
      <c r="K54" s="3">
        <f>1283.8+(1345.6-1144.9)+(-3.27369+(-3.43128--2.919495))+0-272.6--0.695129999999961</f>
        <v>1208.809655</v>
      </c>
      <c r="L54" s="3">
        <f>1283.9+(1110.6-912)+(-1.309578+(-1.132812--0.93024))+0-276.2--0.281724000000044</f>
        <v>1205.0695739999999</v>
      </c>
      <c r="M54" s="3">
        <f>1291.7+(1045-737)+(0+(0-0))+0-345.4-0</f>
        <v>1254.3000000000002</v>
      </c>
      <c r="N54" s="3">
        <f>1470.5+(1162.5-793.6)+(-0.749955+(-0.592875--0.404736))+0-429.8--0.219197999999956</f>
        <v>1408.8811040000001</v>
      </c>
      <c r="O54" s="3">
        <f>1653+(1032.6-812.6)+(0+(0-0))+0-384.6-0</f>
        <v>1488.4</v>
      </c>
      <c r="P54" s="3">
        <f>1657.5+(1088.5-743)+(-1.69065+(-1.11027--0.75786))+0-438--0.44676000000007</f>
        <v>1563.4037000000001</v>
      </c>
      <c r="Q54" s="3">
        <f>1619.6+(1211.3-794.3)+(0+(0-0))+0-442.7-0</f>
        <v>1593.8999999999999</v>
      </c>
      <c r="R54" s="3">
        <f>1652+(1397.4-1003.4)+(-3.37008+(-2.850696--2.046936))+0-447.1--0.912083999999981</f>
        <v>1595.6382440000002</v>
      </c>
      <c r="S54" s="3">
        <f>1658.4+(1566.4-1278)+(-0.845784+(-0.798864--0.65178))+0-460.2--0.234701999999953</f>
        <v>1485.8418340000001</v>
      </c>
      <c r="T54" s="3">
        <f>1649.1+(1680-1417.5)+(-2.523123+(-2.5704--2.168775))+0-449.3--0.687429000000026</f>
        <v>1460.0626810000001</v>
      </c>
      <c r="U54" s="3">
        <f>1640+(1736.1-1472.8)+(-1.6728+(-1.770822--1.502256))+0-401.3--0.409326000000064</f>
        <v>1500.4679599999999</v>
      </c>
      <c r="V54" s="3">
        <f>1657.8+(1497.1-1271.6)+(-4.22739+(-3.817605--3.24258))+0-403.7--1.02943499999994</f>
        <v>1475.8270199999997</v>
      </c>
      <c r="W54" s="3">
        <f>1656.5+(1259.9-1009.7)+(-2.534445+(-1.927647--1.544841))+0-415.9--0.636327000000024</f>
        <v>1488.5190759999998</v>
      </c>
      <c r="X54" s="3">
        <f>1657+(1115.1-851.9)+(-3.38028+(-2.274804--1.737876))+0-417.2--0.851087999999982</f>
        <v>1499.9338799999996</v>
      </c>
      <c r="Y54" s="3">
        <f>1658.8+(1066.5-789.5)+(-3.383952+(-2.17566--1.61058))+0-421.6--0.860063999999982</f>
        <v>1511.1110319999998</v>
      </c>
      <c r="Z54" s="3">
        <f>1711.2+(994.8-619.1)+(-3.490848+(-2.029392--1.262964))+0-425--0.866999999999981</f>
        <v>1658.5097240000002</v>
      </c>
      <c r="AA54" s="3">
        <f>1713+(1247.7-847.3)+(-3.49452+(-2.545308--1.728492))+0-428.1--0.873323999999981</f>
        <v>1681.8619879999999</v>
      </c>
      <c r="AB54" s="3">
        <f>1712.8+(1247.3-912.3)+(-4.36764+(-3.180615--2.326365))+0-434.3--1.10746499999994</f>
        <v>1609.385575</v>
      </c>
      <c r="AC54" s="3">
        <f>1707.7+(1320.9-1074.4)+(-2.612781+(-2.020977--1.643832))+0-439.4--0.672282000000025</f>
        <v>1512.482356</v>
      </c>
      <c r="AD54">
        <f t="shared" si="0"/>
        <v>34596.948302999997</v>
      </c>
      <c r="AE54" s="3">
        <f>1712+(1004.9-679.4)+(0+(0-0))+0-422.4-0</f>
        <v>1615.1</v>
      </c>
    </row>
    <row r="55" spans="1:31" s="2" customFormat="1" x14ac:dyDescent="0.25">
      <c r="A55">
        <v>89</v>
      </c>
      <c r="B55">
        <v>2</v>
      </c>
      <c r="C55">
        <v>24</v>
      </c>
      <c r="D55">
        <v>7</v>
      </c>
      <c r="E55">
        <v>1</v>
      </c>
      <c r="F55" s="3">
        <f>1616.3+(1553.7-1331.7)+(-0.824313+(-0.792387--0.679167))+0-439.7--0.224246999999955</f>
        <v>1397.8867139999998</v>
      </c>
      <c r="G55" s="3">
        <f>1438.5+(1606.2-1291.9)+(-2.200905+(-2.457486--1.976607))+0-439.9--0.673047000000025</f>
        <v>1310.8912629999998</v>
      </c>
      <c r="H55" s="3">
        <f>1286.2+(1610.6-1209.8)+(0+(0-0))+0-442.7-0</f>
        <v>1244.3</v>
      </c>
      <c r="I55" s="3">
        <f>1283.7+(1600.3-1225.9)+(-1.309374+(-1.632306--1.250418))+0-437.3--0.44604600000007</f>
        <v>1219.5547839999999</v>
      </c>
      <c r="J55" s="3">
        <f>1284.8+(1609.8-1248.5)+(-0.655248+(-0.820998--0.636735))+0-438.7--0.223736999999955</f>
        <v>1206.784226</v>
      </c>
      <c r="K55" s="3">
        <f>1272.2+(1544.9-1171.1)+(-7.785864+(-9.454788--7.167132))+0-433.5--2.65301999999994</f>
        <v>1205.0795000000003</v>
      </c>
      <c r="L55" s="3">
        <f>1278.6+(1377.8-1047.6)+(-5.216688+(-5.621424--4.274208))+0-435.9--1.77847199999996</f>
        <v>1168.114568</v>
      </c>
      <c r="M55" s="3">
        <f>1285.3+(1330.6-1008)+(-0.655503+(-0.678606--0.51408))+0-438.5--0.223634999999956</f>
        <v>1168.8036059999999</v>
      </c>
      <c r="N55" s="3">
        <f>1285+(1132.2-755.3)+(-1.3107+(-1.154844--0.770406))+0-437.8--0.44655600000007</f>
        <v>1222.8514180000002</v>
      </c>
      <c r="O55" s="3">
        <f>1454.2+(1062.9-754.7)+(-2.224926+(-1.626237--1.154691))+0-436.2--0.667386000000025</f>
        <v>1324.170914</v>
      </c>
      <c r="P55" s="3">
        <f>1571.8+(1042.6-789.2)+(-0.801618+(-0.531726--0.402492))+0-435.4--0.222053999999956</f>
        <v>1389.0912019999996</v>
      </c>
      <c r="Q55" s="3">
        <f>1652.4+(1090.7-899.2)+(-3.370896+(-2.225028--1.834368))+0-437.3--0.892091999999981</f>
        <v>1403.7305360000003</v>
      </c>
      <c r="R55" s="3">
        <f>1657.8+(1384.5-1210.6)+(-1.690956+(-1.41219--1.234812))+0-430.3--0.438906000000069</f>
        <v>1399.9705720000002</v>
      </c>
      <c r="S55" s="3">
        <f>1655.3+(1497.3-1355)+(-3.376812+(-3.054492--2.7642))+0-430.3--0.877811999999981</f>
        <v>1364.5107079999998</v>
      </c>
      <c r="T55" s="3">
        <f>1657.6+(1573.1-1460.5)+(0+(0-0))+0-432.8-0</f>
        <v>1337.3999999999999</v>
      </c>
      <c r="U55" s="3">
        <f>1651.3+(1802.1-1686)+(-1.684326+(-1.838142--1.71972))+0-432.1--0.440742000000069</f>
        <v>1333.9379939999997</v>
      </c>
      <c r="V55" s="3">
        <f>1632.4+(1676.1-1524.2)+(-4.16262+(-4.274055--3.88671))+0-431.6--1.10057999999994</f>
        <v>1349.2506150000002</v>
      </c>
      <c r="W55" s="3">
        <f>1631.7+(1488.8-1324.3)+(-4.993002+(-4.555728--4.052358))+0-422.8--1.29376800000005</f>
        <v>1369.197396</v>
      </c>
      <c r="X55" s="3">
        <f>1636.7+(1335.9-1156.9)+(-1.669434+(-1.362618--1.180038))+0-434.6--0.443292000000069</f>
        <v>1379.691278</v>
      </c>
      <c r="Y55" s="3">
        <f>1639.6+(1280.2-1060.7)+(-3.344784+(-2.611608--2.163828))+4.4-435--0.887399999999981</f>
        <v>1425.594836</v>
      </c>
      <c r="Z55" s="3">
        <f>1701.5+(1209.9-899.7)+(-1.73553+(-1.234098--0.917694))+5-434.3--0.442986000000069</f>
        <v>1580.791052</v>
      </c>
      <c r="AA55" s="3">
        <f>1714+(1134-806.5)+(-2.62242+(-1.73502--1.233945))+5-431.7--0.660501000000025</f>
        <v>1612.337006</v>
      </c>
      <c r="AB55" s="3">
        <f>1712.2+(1014.5-743.2)+(-4.36611+(-2.586975--1.89516))+5-432.8--1.10363999999994</f>
        <v>1551.745715</v>
      </c>
      <c r="AC55" s="3">
        <f>1646.3+(1081.6-848.8)+(-0.839613+(-0.551616--0.432888))+1.7-433.8--0.221237999999956</f>
        <v>1446.2628969999998</v>
      </c>
      <c r="AD55">
        <f t="shared" si="0"/>
        <v>32411.948800000006</v>
      </c>
      <c r="AE55" s="3">
        <f>1709+(1219-869.6)+(0+(0-0))+4.5-434.8-0</f>
        <v>1628.1000000000001</v>
      </c>
    </row>
    <row r="56" spans="1:31" s="2" customFormat="1" x14ac:dyDescent="0.25">
      <c r="A56">
        <v>89</v>
      </c>
      <c r="B56">
        <v>2</v>
      </c>
      <c r="C56">
        <v>25</v>
      </c>
      <c r="D56">
        <v>1</v>
      </c>
      <c r="E56">
        <v>1</v>
      </c>
      <c r="F56" s="3">
        <f>1471.9+(1522.3-1227.3)+(-0.750669+(-0.776373--0.625923))+0-434.6--0.221645999999956</f>
        <v>1331.620527</v>
      </c>
      <c r="G56" s="3">
        <f>1309.4+(1626.2-1256.2)+(-0.667794+(-0.829362--0.640662))+0-434--0.221339999999956</f>
        <v>1244.764846</v>
      </c>
      <c r="H56" s="3">
        <f>1264.2+(1521.7-1148.3)+(0.644742+(0.776067-0.585633))+0-435.5-0.222104999999956</f>
        <v>1202.7130710000001</v>
      </c>
      <c r="I56" s="3">
        <f>1256.4+(1418.4-1077.1)+(-2.563056+(-2.893536--2.197284))+0-415.2--0.847007999999982</f>
        <v>1180.0877000000003</v>
      </c>
      <c r="J56" s="3">
        <f>1221.8+(1312-967.5)+(1.869354+(2.00736-1.480275))+0-391.7-0.599301000000023</f>
        <v>1176.397138</v>
      </c>
      <c r="K56" s="3">
        <f>1214.2+(1250.3-905.6)+(-1.238484+(-1.275306--0.923712))+0-369.5--0.376890000000059</f>
        <v>1188.1868120000001</v>
      </c>
      <c r="L56" s="3">
        <f>1219.9+(1169.3-818.5)+(0.622149+(0.596343-0.417435))+0-377.2-0.192371999999962</f>
        <v>1194.1086849999999</v>
      </c>
      <c r="M56" s="3">
        <f>1217.1+(1289.7-830.1)+(-1.241442+(-1.315494--0.846702))+0-432.5--0.441150000000069</f>
        <v>1242.930916</v>
      </c>
      <c r="N56" s="3">
        <f>1272.8+(1260.2-760.6)+(-0.649128+(-0.642702--0.387906))+0-425.5--0.217004999999957</f>
        <v>1346.2130810000001</v>
      </c>
      <c r="O56" s="3">
        <f>1428.3+(1280.2-864.5)+(-1.456866+(-1.305804--0.88179))+0-375.9--0.38341800000006</f>
        <v>1466.6025380000003</v>
      </c>
      <c r="P56" s="3">
        <f>1517.8+(1254.5-801)+(-1.548156+(-1.27959--0.81702))+0-425.8--0.434316000000068</f>
        <v>1543.9235900000001</v>
      </c>
      <c r="Q56" s="3">
        <f>1641.3+(1197.4-829.1)+(0+(0-0))+0-416.4-0</f>
        <v>1593.1999999999998</v>
      </c>
      <c r="R56" s="3">
        <f>1646.8+(1230-818)+(-2.519604+(-1.8819--1.25154))+0-453--0.693090000000026</f>
        <v>1603.343126</v>
      </c>
      <c r="S56" s="3">
        <f>1645.4+(1524.1-1102.3)+(-2.517462+(-2.331873--1.686519))+0-457.5--0.699975000000026</f>
        <v>1607.2371589999998</v>
      </c>
      <c r="T56" s="3">
        <f>1645.9+(1555.6-1238)+(-3.357636+(-3.173424--2.52552))+0-447.1--0.912083999999981</f>
        <v>1513.306544</v>
      </c>
      <c r="U56" s="3">
        <f>1646.4+(1687.2-1370)+(0+(0-0))+0-456.4-0</f>
        <v>1507.2000000000003</v>
      </c>
      <c r="V56" s="3">
        <f>1649.7+(1627.2-1312.2)+(-0.841347+(-0.829872--0.669222))+0-410.5--0.209354999999958</f>
        <v>1553.4073579999999</v>
      </c>
      <c r="W56" s="3">
        <f>1644.1+(1591.2-1269.8)+(-5.030946+(-4.869072--3.885588))+0-411.7--1.25980200000005</f>
        <v>1549.045372</v>
      </c>
      <c r="X56" s="3">
        <f>1645.4+(1113.5-812.7)+(-1.678308+(-1.13577--0.828954))+0-415.4--0.423708000000066</f>
        <v>1529.2385839999999</v>
      </c>
      <c r="Y56" s="3">
        <f>1671.4+(1091.2-815.1)+(-3.409656+(-2.226048--1.662804))+0-422.7--0.862307999999982</f>
        <v>1521.689408</v>
      </c>
      <c r="Z56" s="3">
        <f>1730.3+(1270.7-866.1)+(-2.647359+(-1.944171--1.325133))+0-418.6--0.640458000000024</f>
        <v>1713.6740610000004</v>
      </c>
      <c r="AA56" s="3">
        <f>1772.6+(1427.8-1017.9)+(-2.712078+(-2.184534--1.557387))+0-428--0.654840000000025</f>
        <v>1751.8156149999998</v>
      </c>
      <c r="AB56" s="3">
        <f>1831+(1417.5-1131.9)+(-2.80143+(-2.168775--1.731807))+0-429.7--0.657441000000025</f>
        <v>1684.319043</v>
      </c>
      <c r="AC56" s="3">
        <f>1824.9+(1395.5-1222.2)+(-1.861398+(-1.42341--1.246644))+0-423.1--0.431562000000068</f>
        <v>1573.4933979999998</v>
      </c>
      <c r="AD56">
        <f t="shared" si="0"/>
        <v>34818.518572000001</v>
      </c>
      <c r="AE56" s="3">
        <f>1779+(1360.7-864.1)+(0+(0-0))+0-425.5-0</f>
        <v>1850.1</v>
      </c>
    </row>
    <row r="57" spans="1:31" s="2" customFormat="1" x14ac:dyDescent="0.25">
      <c r="A57">
        <v>89</v>
      </c>
      <c r="B57">
        <v>2</v>
      </c>
      <c r="C57">
        <v>26</v>
      </c>
      <c r="D57">
        <v>2</v>
      </c>
      <c r="E57">
        <v>1</v>
      </c>
      <c r="F57" s="3">
        <f>1766.6+(1312.9-1218)+(-2.702898+(-2.008737--1.86354))+0-431.6--0.660348000000025</f>
        <v>1427.7122529999999</v>
      </c>
      <c r="G57" s="3">
        <f>1489.7+(1236.5-963.6)+(-2.279241+(-1.891845--1.474308))+0-433.7--0.663561000000025</f>
        <v>1326.8667829999999</v>
      </c>
      <c r="H57" s="3">
        <f>1220.9+(1244.6-760.7)+(-3.113295+(-3.17373--1.939785))+0-436--1.11179999999994</f>
        <v>1265.5645599999998</v>
      </c>
      <c r="I57" s="3">
        <f>1158.6+(1272.4-754.1)+(-1.772658+(-1.946772--1.153773))+0-438.6--0.671058000000025</f>
        <v>1236.4054010000002</v>
      </c>
      <c r="J57" s="3">
        <f>1157.7+(1317.7-810)+(-2.361708+(-2.688108--1.6524))+0-436--0.889439999999981</f>
        <v>1226.892024</v>
      </c>
      <c r="K57" s="3">
        <f>1158.4+(1277.3-740.4)+(-1.772352+(-1.954269--1.132812))+0-466.1--0.713133000000027</f>
        <v>1227.3193240000003</v>
      </c>
      <c r="L57" s="3">
        <f>1158.3+(924.5-472.2)+(-1.772199+(-1.414485--0.722466))+0-434.7--0.665091000000025</f>
        <v>1174.1008729999999</v>
      </c>
      <c r="M57" s="3">
        <f>1231.8+(945.1-377.3)+(-0.628218+(-0.482001--0.192423))+0-477--0.243269999999952</f>
        <v>1321.9254739999999</v>
      </c>
      <c r="N57" s="3">
        <f>1313.4+(908.9-280.9)+(-2.009502+(-1.390617--0.429777))+0-471.2--0.720936000000027</f>
        <v>1467.9505939999999</v>
      </c>
      <c r="O57" s="3">
        <f>1424.2+(864.9-263.7)+(-2.179026+(-1.323297--0.403461))+0-484.6--0.741438000000028</f>
        <v>1538.4425759999999</v>
      </c>
      <c r="P57" s="3">
        <f>1510.2+(866.9-305.9)+(-1.540404+(-0.884238--0.312018))+0-485.2--0.494904000000077</f>
        <v>1584.38228</v>
      </c>
      <c r="Q57" s="3">
        <f>1678.7+(1039.8-615.6)+(0+(0-0))+0-469.4-0</f>
        <v>1633.5</v>
      </c>
      <c r="R57" s="3">
        <f>1682.7+(1381.6-979.3)+(-2.574531+(-2.113848--1.498329))+0-469.4--0.718182000000027</f>
        <v>1613.1281319999998</v>
      </c>
      <c r="S57" s="3">
        <f>1777.2+(1935.5-1671.9)+(0+(0-0))+0-471.7-0</f>
        <v>1569.1</v>
      </c>
      <c r="T57" s="3">
        <f>1900.3+(2075.1-1922.4)+(0+(0-0))+0-477.1-0</f>
        <v>1575.9</v>
      </c>
      <c r="U57" s="3">
        <f>1903+(1976.5-1779.8)+(-2.91159+(-3.024045--2.723094))+0-462.6--0.707778000000027</f>
        <v>1634.595237</v>
      </c>
      <c r="V57" s="3">
        <f>1903.2+(1832.2-1643.6)+(-4.85316+(-4.67211--4.19118))+0-430.9--1.09879499999994</f>
        <v>1656.6647050000001</v>
      </c>
      <c r="W57" s="3">
        <f>1900.1+(1437.6-1311.1)+(-4.845255+(-3.66588--3.343305))+0-431--1.09904999999994</f>
        <v>1591.5312199999998</v>
      </c>
      <c r="X57" s="3">
        <f>1896.4+(1310.7-1210.7)+(-4.83582+(-3.342285--3.087285))+0-430.4--1.09751999999994</f>
        <v>1562.0067000000001</v>
      </c>
      <c r="Y57" s="3">
        <f>1912.2+(1231.2-1171.5)+(-2.925666+(-1.883736--1.792395))+0-429.5--0.657135000000025</f>
        <v>1540.0401280000001</v>
      </c>
      <c r="Z57" s="3">
        <f>1958.5+(980.3-776)+(-3.99534+(-1.999812--1.58304))+0-435.2--0.887807999999981</f>
        <v>1724.0756960000001</v>
      </c>
      <c r="AA57" s="3">
        <f>1958.3+(1208.5-953.3)+(-3.994932+(-2.46534--1.944732))+0-430.4--0.878015999999981</f>
        <v>1779.4624759999999</v>
      </c>
      <c r="AB57" s="3">
        <f>1937.6+(1006.9-806.3)+(0+(0-0))+0-429.4-0</f>
        <v>1708.7999999999997</v>
      </c>
      <c r="AC57" s="3">
        <f>1830.8+(1143.1-937.8)+(0+(0-0))+0-470.7-0</f>
        <v>1565.3999999999999</v>
      </c>
      <c r="AD57">
        <f t="shared" si="0"/>
        <v>35951.766436000005</v>
      </c>
      <c r="AE57" s="3">
        <f>1964+(1235.7-969.2)+(0+(0-0))+0-430.9-0</f>
        <v>1799.6</v>
      </c>
    </row>
    <row r="58" spans="1:31" s="2" customFormat="1" x14ac:dyDescent="0.25">
      <c r="A58">
        <v>89</v>
      </c>
      <c r="B58">
        <v>2</v>
      </c>
      <c r="C58">
        <v>27</v>
      </c>
      <c r="D58">
        <v>3</v>
      </c>
      <c r="E58">
        <v>5</v>
      </c>
      <c r="F58" s="3">
        <f>1688.5+(1532-1287.5)+(-0.861135+(-0.78132--0.656625))+0-476.6--0.243065999999952</f>
        <v>1455.657236</v>
      </c>
      <c r="G58" s="3">
        <f>1481.9+(1607.5-1256.7)+(-0.755769+(-0.819825--0.640917))+0-483.9--0.246788999999951</f>
        <v>1348.112112</v>
      </c>
      <c r="H58" s="3">
        <f>1408+(1709-1350.5)+(-0.71808+(-0.87159--0.688755))+0-475.4--0.242453999999952</f>
        <v>1290.4415390000001</v>
      </c>
      <c r="I58" s="3">
        <f>1300.2+(1602.7-1174.1)+(-2.652408+(-3.269508--2.395164))+0-480.2--0.979607999999979</f>
        <v>1246.052856</v>
      </c>
      <c r="J58" s="3">
        <f>1299.1+(1612-1187.2)+(0+(0-0))+0-474.1-0</f>
        <v>1249.7999999999997</v>
      </c>
      <c r="K58" s="3">
        <f>1296.5+(1833.1-1406.8)+(-3.306075+(-4.674405--3.58734))+0-470.9--1.20079499999993</f>
        <v>1248.7076549999999</v>
      </c>
      <c r="L58" s="3">
        <f>1298.6+(1536.3-1200.2)+(-0.662286+(-0.783513--0.612102))+0-431.1--0.219860999999956</f>
        <v>1202.9861639999999</v>
      </c>
      <c r="M58" s="3">
        <f>1301.8+(1373.9-1006.7)+(1.327836+(1.401378-1.026834))+0-429.2-0.437784000000068</f>
        <v>1241.0645959999999</v>
      </c>
      <c r="N58" s="3">
        <f>1300.7+(1329.4-866.7)+(-1.990071+(-2.033982--1.326051))+0-432.4--0.661572000000025</f>
        <v>1328.9635699999999</v>
      </c>
      <c r="O58" s="3">
        <f>1300.4+(1079.1-539.5)+(0+(0-0))+0-434.8-0</f>
        <v>1405.2</v>
      </c>
      <c r="P58" s="3">
        <f>1347.7+(1181-650)+(-2.749308+(-2.40924--1.326))+0-431.7--0.880667999999981</f>
        <v>1444.0481199999999</v>
      </c>
      <c r="Q58" s="3">
        <f>1552.6+(1134.7-785.4)+(-3.167304+(-2.314788--1.602216))+0-428--0.873119999999981</f>
        <v>1470.8932440000001</v>
      </c>
      <c r="R58" s="3">
        <f>1695+(1437.5-1227.2)+(-3.4578+(-2.9325--2.503488))+0-429.5--0.876179999999981</f>
        <v>1472.789368</v>
      </c>
      <c r="S58" s="3">
        <f>1710.8+(1749.1-1594.2)+(0+(0-0))+0-427.9-0</f>
        <v>1437.7999999999997</v>
      </c>
      <c r="T58" s="3">
        <f>1771.5+(1694.3-1599.8)+(-2.710395+(-2.592279--2.447694))+0-424.9--0.650097000000025</f>
        <v>1438.8951169999998</v>
      </c>
      <c r="U58" s="3">
        <f>1875.2+(1609.7-1611.2)+(-1.912704+(-1.641894--1.643424))+0-425.2--0.433704000000068</f>
        <v>1447.02253</v>
      </c>
      <c r="V58" s="3">
        <f>1893.5+(1446.1-1457.7)+(-2.897055+(-2.212533--2.230281))+0-426.5--0.652545000000025</f>
        <v>1453.1732379999999</v>
      </c>
      <c r="W58" s="3">
        <f>1894.2+(1455.2-1469.8)+(-1.932084+(-1.484304--1.499196))+0-423.5--0.431970000000068</f>
        <v>1454.6147780000001</v>
      </c>
      <c r="X58" s="3">
        <f>1892.3+(1243.5-1262.4)+(-3.860292+(-2.53674--2.575296))+0-430.1--0.877403999999981</f>
        <v>1440.3556679999999</v>
      </c>
      <c r="Y58" s="3">
        <f>1896+(1206.3-1210.8)+(0+(0-0))+0-429.3-0</f>
        <v>1462.2</v>
      </c>
      <c r="Z58" s="3">
        <f>1922.2+(1070.6-899.4)+(-0.980322+(-0.546006--0.458694))+0-431.4--0.220013999999956</f>
        <v>1661.15238</v>
      </c>
      <c r="AA58" s="3">
        <f>1933.3+(1054.3-823.6)+(-3.943932+(-2.150772--1.680144))+0-419--0.854759999999982</f>
        <v>1741.4401999999998</v>
      </c>
      <c r="AB58" s="3">
        <f>1931.4+(1163.8-1001.9)+(-1.970028+(-1.187076--1.021938))+0-413.6--0.421872000000066</f>
        <v>1677.9867060000004</v>
      </c>
      <c r="AC58" s="3">
        <f>1921.3+(1787.2-1692.3)+(-0.979863+(-0.911472--0.863073))+0-420.4--0.214403999999957</f>
        <v>1594.986142</v>
      </c>
      <c r="AD58">
        <f t="shared" si="0"/>
        <v>34214.343219000002</v>
      </c>
      <c r="AE58" s="3">
        <f>1937+(1086.1-859)+(0+(0-0))+0-419.1-0</f>
        <v>1745</v>
      </c>
    </row>
    <row r="59" spans="1:31" s="2" customFormat="1" x14ac:dyDescent="0.25">
      <c r="A59">
        <v>89</v>
      </c>
      <c r="B59">
        <v>2</v>
      </c>
      <c r="C59">
        <v>28</v>
      </c>
      <c r="D59">
        <v>4</v>
      </c>
      <c r="E59">
        <v>1</v>
      </c>
      <c r="F59" s="3">
        <f>1668.7+(2079.7-1844.7)+(0+(0-0))+0-471.2-0</f>
        <v>1432.4999999999998</v>
      </c>
      <c r="G59" s="3">
        <f>1368.7+(1819.2-1404.9)+(-2.094111+(-2.783376--2.149497))+0-478--0.731340000000028</f>
        <v>1303.00335</v>
      </c>
      <c r="H59" s="3">
        <f>1203.2+(1890.2-1369.3)+(0.613632+(0.964002-0.698343))+0-468.7-0.239036999999952</f>
        <v>1256.040254</v>
      </c>
      <c r="I59" s="3">
        <f>1201.6+(1791.1-1275.2)+(-1.225632+(-1.826922--1.300704))+0-484.3--0.493986000000077</f>
        <v>1231.9421359999999</v>
      </c>
      <c r="J59" s="3">
        <f>1199.8+(1550-1037.5)+(0.611898+(0.7905-0.529125))+0-469.5-0.239444999999952</f>
        <v>1243.4338279999999</v>
      </c>
      <c r="K59" s="3">
        <f>1200.1+(1417.1-902.8)+(-2.448204+(-2.890884--1.841712))+0-469--0.95675999999998</f>
        <v>1242.8593839999999</v>
      </c>
      <c r="L59" s="3">
        <f>1199.7+(1339.9-825.8)+(-2.447388+(-2.733396--1.684632))+0-465.6--0.94982399999998</f>
        <v>1245.6536720000001</v>
      </c>
      <c r="M59" s="3">
        <f>1275.1+(1205.5-651.1)+(-1.300602+(-1.22961--0.664122))+0-471.8--0.481236000000075</f>
        <v>1356.3151460000001</v>
      </c>
      <c r="N59" s="3">
        <f>1533+(657-211.9)+(-2.34549+(-1.00521--0.324207))+0-436.7--0.668151000000025</f>
        <v>1539.0416579999999</v>
      </c>
      <c r="O59" s="3">
        <f>1707.5+(638.4-262.4)+(0.870825+(0.325584-0.133824))+0-485.1-0.247400999999951</f>
        <v>1599.2151840000004</v>
      </c>
      <c r="P59" s="3">
        <f>1791.6+(778.9-496)+(-0.913716+(-0.397239--0.25296))+0-459.5--0.234344999999953</f>
        <v>1614.1763499999997</v>
      </c>
      <c r="Q59" s="3">
        <f>1774.2+(883.6-555)+(0+(0-0))+0-456.3-0</f>
        <v>1646.5000000000002</v>
      </c>
      <c r="R59" s="3">
        <f>1821.8+(957.7-684.4)+(-2.787354+(-1.465281--1.047132))+0-449.1--0.687123000000026</f>
        <v>1643.4816199999998</v>
      </c>
      <c r="S59" s="3">
        <f>1877.2+(1404.9-1260.3)+(-1.914744+(-1.432998--1.285506))+0-450.7--0.459714000000072</f>
        <v>1569.4974780000002</v>
      </c>
      <c r="T59" s="3">
        <f>1879.5+(1599.9-1436.4)+(0.958545+(0.815949-0.732564))+0-455.6-0.232355999999954</f>
        <v>1588.209574</v>
      </c>
      <c r="U59" s="3">
        <f>1880.2+(1689.4-1498.8)+(-0.958902+(-0.861594--0.764388))+0-466.6--0.237965999999953</f>
        <v>1603.381858</v>
      </c>
      <c r="V59" s="3">
        <f>1877.6+(1793.4-1600.3)+(-2.872728+(-2.743902--2.448459))+0-423.9--0.648567000000024</f>
        <v>1644.2803959999999</v>
      </c>
      <c r="W59" s="3">
        <f>1874+(1495-1324.7)+(-5.73444+(-4.5747--4.053582))+0-422.4--1.29254400000005</f>
        <v>1616.9369859999999</v>
      </c>
      <c r="X59" s="3">
        <f>1720.4+(1243.1-960.5)+(-4.38702+(-3.169905--2.449275))+0-421.8--1.07558999999994</f>
        <v>1577.16794</v>
      </c>
      <c r="Y59" s="3">
        <f>1622.7+(1206.1-832.5)+(-1.655154+(-1.230222--0.84915))+0-418.9--0.427278000000067</f>
        <v>1575.791052</v>
      </c>
      <c r="Z59" s="3">
        <f>1903.7+(1250.4-947.9)+(-1.941774+(-1.275408--0.966858))+0-418.2--0.426564000000067</f>
        <v>1786.1762400000002</v>
      </c>
      <c r="AA59" s="3">
        <f>1963.3+(1423.9-1118)+(-5.006415+(-3.630945--2.8509))+0-417.5--1.06462499999994</f>
        <v>1846.978165</v>
      </c>
      <c r="AB59" s="3">
        <f>1965.8+(1750.7-1557.5)+(-3.007674+(-2.678571--2.382975))+0-394.1--0.602973000000023</f>
        <v>1762.1997030000002</v>
      </c>
      <c r="AC59" s="3">
        <f>1850.2+(2013.4-1778.2)+(-1.887204+(-2.053668--1.813764))+0-418.8--0.427176000000067</f>
        <v>1664.9000680000001</v>
      </c>
      <c r="AD59">
        <f t="shared" si="0"/>
        <v>36589.682042</v>
      </c>
      <c r="AE59" s="3">
        <f>1944+(1449.8-1119.5)+(0+(0-0))+0-416.5-0</f>
        <v>1857.8000000000002</v>
      </c>
    </row>
    <row r="60" spans="1:31" s="2" customFormat="1" x14ac:dyDescent="0.25">
      <c r="A60">
        <v>89</v>
      </c>
      <c r="B60">
        <v>2</v>
      </c>
      <c r="C60">
        <v>29</v>
      </c>
      <c r="D60">
        <v>5</v>
      </c>
      <c r="E60">
        <v>1</v>
      </c>
      <c r="F60" s="3">
        <f>1703.6+(2142.3-1896.4)+(-2.606508+(-3.277719--2.901492))+0-455.1--0.696303000000026</f>
        <v>1492.113568</v>
      </c>
      <c r="G60" s="3">
        <f>1572+(2103-1815.9)+(0.80172+(1.07253-0.926109))+0-457.2-0.233171999999954</f>
        <v>1402.614969</v>
      </c>
      <c r="H60" s="3">
        <f>1363.1+(2159.7-1735.8)+(-2.085543+(-3.304341--2.655774))+0-459.3--0.702729000000027</f>
        <v>1325.6686189999998</v>
      </c>
      <c r="I60" s="3">
        <f>1218.7+(1832.8-1295)+(-1.864611+(-2.804184--1.98135))+0-469.6--0.718488000000027</f>
        <v>1284.931043</v>
      </c>
      <c r="J60" s="3">
        <f>1211.3+(1558.5-1019.6)+(0.617763+(0.794835-0.519996))+0-470.1-0.239750999999952</f>
        <v>1280.752851</v>
      </c>
      <c r="K60" s="3">
        <f>1211.4+(1466.6-932.9)+(-3.08907+(-3.73983--2.378895))+0-474.8--1.21073999999993</f>
        <v>1267.060735</v>
      </c>
      <c r="L60" s="3">
        <f>1210.9+(1349-816.9)+(0+(0-0))+0-477.2-0</f>
        <v>1265.8</v>
      </c>
      <c r="M60" s="3">
        <f>1209.2+(1058.1-437.9)+(-1.850076+(-1.618893--0.669987))+0-442.4--0.676872000000026</f>
        <v>1384.8778900000002</v>
      </c>
      <c r="N60" s="3">
        <f>1242.1+(1166.4-447.9)+(-1.266942+(-1.189728--0.456858))+0-447.1--0.456042000000071</f>
        <v>1511.95623</v>
      </c>
      <c r="O60" s="3">
        <f>1312.3+(1367.4-608.2)+(-0.669273+(-0.697374--0.310182))+0-482--0.245819999999951</f>
        <v>1588.6893549999998</v>
      </c>
      <c r="P60" s="3">
        <f>1491.1+(1436.4-782.1)+(-1.520922+(-1.465128--0.797742))+0-486.6--0.496332000000078</f>
        <v>1657.1080240000006</v>
      </c>
      <c r="Q60" s="3">
        <f>1642.6+(1152.1-705.3)+(-1.675452+(-1.175142--0.719406))+0-406--0.414120000000065</f>
        <v>1681.6829319999999</v>
      </c>
      <c r="R60" s="3">
        <f>1742.1+(1250.4-825.8)+(0+(0-0))+0-481.6-0</f>
        <v>1685.1</v>
      </c>
      <c r="S60" s="3">
        <f>1771.3+(1135.2-799.3)+(-3.613452+(-2.315808--1.630572))+0-479.6--0.978383999999979</f>
        <v>1624.2796960000001</v>
      </c>
      <c r="T60" s="3">
        <f>1773.8+(1213-882.2)+(0+(0-0))+0-477.9-0</f>
        <v>1626.6999999999998</v>
      </c>
      <c r="U60" s="3">
        <f>1808.1+(1256.2-959)+(-2.766393+(-1.921986--1.46727))+0-435--0.665550000000025</f>
        <v>1667.7444410000001</v>
      </c>
      <c r="V60" s="3">
        <f>1876.6+(1353-1126.8)+(-3.828264+(-2.76012--2.298672))+0-430.1--0.877403999999981</f>
        <v>1669.2876920000006</v>
      </c>
      <c r="W60" s="3">
        <f>1902.8+(1503.7-1319.9)+(-3.881712+(-3.067548--2.692596))+0-430.8--0.878831999999981</f>
        <v>1652.4221679999998</v>
      </c>
      <c r="X60" s="3">
        <f>1909+(1471.3-1312.5)+(-4.86795+(-3.751815--3.346875))+0-430.8--1.09853999999994</f>
        <v>1632.82565</v>
      </c>
      <c r="Y60" s="3">
        <f>1946.7+(1077.7-939)+(-1.985634+(-1.099254--0.95778))+0-427.8--0.436356000000068</f>
        <v>1655.9092480000002</v>
      </c>
      <c r="Z60" s="3">
        <f>2101.9+(1229.9-1055.8)+(-1.071969+(-0.627249--0.538458))+0-431.2--0.219911999999956</f>
        <v>1843.8591519999998</v>
      </c>
      <c r="AA60" s="3">
        <f>2121.4+(1347.9-1172.2)+(-3.245742+(-2.062287--1.793466))+0-430.9--0.659277000000025</f>
        <v>1863.3447140000001</v>
      </c>
      <c r="AB60" s="3">
        <f>2132.7+(1648.4-1556.9)+(-5.438385+(-4.20342--3.970095))+0-428.2--1.09190999999994</f>
        <v>1791.4201999999996</v>
      </c>
      <c r="AC60" s="3">
        <f>2131+(1871.9-1859.4)+(-4.34724+(-3.818676--3.793176))+0-470.7--0.960227999999979</f>
        <v>1669.3874880000001</v>
      </c>
      <c r="AD60">
        <f t="shared" si="0"/>
        <v>37525.536665000007</v>
      </c>
      <c r="AE60" s="3">
        <f>2110+(1392.1-1213.1)+(0+(0-0))+0-431.6-0</f>
        <v>1857.4</v>
      </c>
    </row>
    <row r="61" spans="1:31" s="2" customFormat="1" x14ac:dyDescent="0.25">
      <c r="A61">
        <v>89</v>
      </c>
      <c r="B61">
        <v>2</v>
      </c>
      <c r="C61">
        <v>30</v>
      </c>
      <c r="D61">
        <v>6</v>
      </c>
      <c r="E61">
        <v>1</v>
      </c>
      <c r="F61" s="3">
        <f>2044.8+(1928-1950.1)+(-8.342784+(-7.86624--7.956408))+0-468.5--1.91147999999996</f>
        <v>1547.858864</v>
      </c>
      <c r="G61" s="3">
        <f>1618.5+(2030.9-1756.5)+(-2.476305+(-3.107277--2.687445))+0-479.1--0.733023000000028</f>
        <v>1411.636886</v>
      </c>
      <c r="H61" s="3">
        <f>1553.9+(2079.1-1777.7)+(-1.584978+(-2.120682--1.813254))+0-473.6--0.483072000000076</f>
        <v>1380.2906659999999</v>
      </c>
      <c r="I61" s="3">
        <f>1456.1+(2113.6-1744.2)+(-2.970444+(-4.311744--3.558168))+0-474.9--0.968795999999979</f>
        <v>1347.8447759999997</v>
      </c>
      <c r="J61" s="3">
        <f>1371.1+(2218.3-1794.6)+(1.398522+(2.262666-1.830492))+0-476-0.485520000000076</f>
        <v>1320.145176</v>
      </c>
      <c r="K61" s="3">
        <f>1372.4+(2188-1815.5)+(-3.49962+(-5.5794--4.629525))+0-472.3--1.20436499999993</f>
        <v>1269.3548699999999</v>
      </c>
      <c r="L61" s="3">
        <f>1373.4+(2064.2-1623.2)+(-2.801736+(-4.210968--3.311328))+0-476.1--0.971243999999979</f>
        <v>1335.5698679999998</v>
      </c>
      <c r="M61" s="3">
        <f>1477.3+(1845.9-1449.7)+(1.506846+(1.882818-1.478694))+0-479.2-0.488784000000076</f>
        <v>1395.7221859999997</v>
      </c>
      <c r="N61" s="3">
        <f>1619.6+(1728.4-1265.5)+(-1.651992+(-1.762968--1.29081))+0-436.1--0.44482200000007</f>
        <v>1644.7206720000001</v>
      </c>
      <c r="O61" s="3">
        <f>1717.3+(1719.9-1330.6)+(-0.875823+(-0.877149--0.678606))+0-483.7--0.246686999999951</f>
        <v>1622.0723210000003</v>
      </c>
      <c r="P61" s="3">
        <f>1967.8+(1346.9-1252.6)+(0+(0-0))+0-487.7-0</f>
        <v>1574.4000000000003</v>
      </c>
      <c r="Q61" s="3">
        <f>2053.6+(1081.4-930)+(2.094672+(1.103028-0.9486))+0-487.4-0.497148000000078</f>
        <v>1719.3519519999998</v>
      </c>
      <c r="R61" s="3">
        <f>2052.4+(1121.9-992.4)+(-4.186896+(-2.288676--2.024496))+0-486.8--0.993071999999979</f>
        <v>1691.6419960000003</v>
      </c>
      <c r="S61" s="3">
        <f>2049.1+(1586.3-1449)+(-3.135123+(-2.427039--2.21697))+0-491.5--0.751995000000028</f>
        <v>1692.3068029999995</v>
      </c>
      <c r="T61" s="3">
        <f>2088.5+(1986.8-1930.2)+(-2.13027+(-2.026536--1.968804))+0-482.2--0.491844000000077</f>
        <v>1661.2038420000001</v>
      </c>
      <c r="U61" s="3">
        <f>2094.7+(2455.8-2431.4)+(-1.068297+(-1.252458--1.240014))+0-432.7--0.220676999999956</f>
        <v>1685.5399359999997</v>
      </c>
      <c r="V61" s="3">
        <f>2091.5+(2448-2433.8)+(-3.199995+(-3.74544--3.723714))+0-428.9--0.656217000000025</f>
        <v>1674.2344959999998</v>
      </c>
      <c r="W61" s="3">
        <f>2089.8+(2468.6-2504.1)+(-4.263192+(-5.035944--5.108364))+0-424.2--0.865367999999981</f>
        <v>1626.7745960000002</v>
      </c>
      <c r="X61" s="3">
        <f>2089+(1822.5-1856.8)+(-6.39234+(-5.57685--5.681808))+0-435.2--1.33171200000005</f>
        <v>1614.5443299999999</v>
      </c>
      <c r="Y61" s="3">
        <f>2104+(885.6-947.1)+(-3.21912+(-1.354968--1.449063))+0-433.8--0.663714000000025</f>
        <v>1606.238689</v>
      </c>
      <c r="Z61" s="3">
        <f>2145.3+(1367.2-1310.4)+(-1.094103+(-0.697272--0.668304))+0-434.1--0.221390999999956</f>
        <v>1767.0983200000005</v>
      </c>
      <c r="AA61" s="3">
        <f>2053.6+(1653.9-1450.8)+(-2.094672+(-1.686978--1.479816))+0-431.8--0.440436000000069</f>
        <v>1823.0386020000001</v>
      </c>
      <c r="AB61" s="3">
        <f>2026.8+(1754.1-1636.7)+(-3.101004+(-2.683773--2.504151))+0-407.2--0.623016000000024</f>
        <v>1734.3423899999996</v>
      </c>
      <c r="AC61" s="3">
        <f>2010.7+(2066.4-2153.4)+(-1.025457+(-1.053864--1.098234))+0-264.3--0.134792999999973</f>
        <v>1658.5537060000001</v>
      </c>
      <c r="AD61">
        <f t="shared" si="0"/>
        <v>37804.485943</v>
      </c>
      <c r="AE61" s="3">
        <f>2057+(1637.7-1423.1)+(0+(0-0))+0-433.1-0</f>
        <v>1838.5000000000005</v>
      </c>
    </row>
    <row r="62" spans="1:31" s="2" customFormat="1" x14ac:dyDescent="0.25">
      <c r="A62">
        <v>89</v>
      </c>
      <c r="B62">
        <v>2</v>
      </c>
      <c r="C62">
        <v>31</v>
      </c>
      <c r="D62">
        <v>7</v>
      </c>
      <c r="E62">
        <v>1</v>
      </c>
      <c r="F62" s="3">
        <f>1969.1+(2041.4-2133.6)+(-1.004241+(-1.041114--1.088136))+0-337.3--0.172022999999966</f>
        <v>1538.8148040000001</v>
      </c>
      <c r="G62" s="3">
        <f>1760.1+(2233.6-2147.5)+(0.897651+(1.139136-1.095225))+0-418.9-0.213638999999958</f>
        <v>1428.0279229999996</v>
      </c>
      <c r="H62" s="3">
        <f>1485+(2030.1-1724.9)+(-3.0294+(-4.141404--3.518796))+0-430.1--0.877403999999981</f>
        <v>1357.325396</v>
      </c>
      <c r="I62" s="3">
        <f>1447.4+(1901.8-1594.1)+(1.476348+(1.939836-1.625982))+0-432.3-0.440946000000069</f>
        <v>1324.1492559999999</v>
      </c>
      <c r="J62" s="3">
        <f>1445.9+(1874.6-1576.8)+(-0.737409+(-0.956046--0.804168))+0-435.3--0.222002999999956</f>
        <v>1307.732716</v>
      </c>
      <c r="K62" s="3">
        <f>1443.7+(1798.1-1512.7)+(-2.945148+(-3.668124--3.085908))+0-433.2--0.883727999999981</f>
        <v>1293.2563639999998</v>
      </c>
      <c r="L62" s="3">
        <f>1454.1+(1718.1-1485.7)+(-2.966364+(-3.504924--3.030828))+0-435.4--0.888215999999981</f>
        <v>1248.5477559999997</v>
      </c>
      <c r="M62" s="3">
        <f>1461.7+(1352.6-1107.2)+(-1.490934+(-1.379652--1.129344))+0-437.3--0.44604600000007</f>
        <v>1268.5048039999999</v>
      </c>
      <c r="N62" s="3">
        <f>1457.7+(1410.7-1084.7)+(-1.486854+(-1.438914--1.106394))+0-437--0.44574000000007</f>
        <v>1345.3263660000002</v>
      </c>
      <c r="O62" s="3">
        <f>1471.5+(1161.4-769.9)+(-3.00186+(-2.369256--1.570596))+0-435.9--0.889235999999981</f>
        <v>1424.1887160000001</v>
      </c>
      <c r="P62" s="3">
        <f>1649.6+(1075.8-806.7)+(-1.682592+(-1.097316--0.822834))+0-436.2--0.44492400000007</f>
        <v>1480.98785</v>
      </c>
      <c r="Q62" s="3">
        <f>1680.3+(1227.3-974)+(-1.713906+(-1.251846--0.99348))+0-425.5--0.434010000000068</f>
        <v>1506.5617380000001</v>
      </c>
      <c r="R62" s="3">
        <f>1837.1+(1493.1-1420.6)+(-3.747684+(-3.045924--2.898024))+0-414.9--0.846395999999982</f>
        <v>1491.6508119999999</v>
      </c>
      <c r="S62" s="3">
        <f>1928+(1705.8-1750)+(-0.98328+(-0.869958--0.8925))+0-414.6--0.211445999999958</f>
        <v>1468.4507080000001</v>
      </c>
      <c r="T62" s="3">
        <f>2001.8+(1941.2-2073.5)+(-2.041836+(-1.980024--2.11497))+0-413.1--0.421362000000066</f>
        <v>1454.9144719999999</v>
      </c>
      <c r="U62" s="3">
        <f>2032.4+(2152.9-2315.6)+(-6.219144+(-6.587874--7.085736))+0-415.3--1.27081800000005</f>
        <v>1449.9495360000003</v>
      </c>
      <c r="V62" s="3">
        <f>2037.3+(2062.4-2226.4)+(-4.156092+(-4.207296--4.541856))+0-410.5--0.837419999999982</f>
        <v>1459.8158880000001</v>
      </c>
      <c r="W62" s="3">
        <f>2040.6+(1645.2-1811.4)+(-3.122118+(-2.517156--2.771442))+0-410.4--0.627912000000024</f>
        <v>1461.76008</v>
      </c>
      <c r="X62" s="3">
        <f>2037.6+(1197.7-1376.5)+(-7.274232+(-4.275789--4.914105))+0-414--1.47798000000001</f>
        <v>1439.6420640000001</v>
      </c>
      <c r="Y62" s="3">
        <f>2126.7+(1030.8-1295.3)+(-2.169234+(-1.051416--1.321206))+0-413.6--0.421872000000066</f>
        <v>1447.1224279999999</v>
      </c>
      <c r="Z62" s="3">
        <f>2209.6+(1211.2-1348.4)+(-3.380688+(-1.853136--2.063052))+0-416--0.636480000000024</f>
        <v>1653.8657079999998</v>
      </c>
      <c r="AA62" s="3">
        <f>2212.4+(1268.2-1294.9)+(-3.384972+(-1.940346--1.981197))+0-414.2--0.633726000000024</f>
        <v>1768.7896049999997</v>
      </c>
      <c r="AB62" s="3">
        <f>2212.3+(1518.2-1599.1)+(-4.513092+(-3.097128--3.262164))+0-411.4--0.839255999999982</f>
        <v>1716.4912000000006</v>
      </c>
      <c r="AC62" s="3">
        <f>2169.1+(1604.9-1731.5)+(-3.318723+(-2.455497--2.649195))+0-416.2--0.636786000000024</f>
        <v>1623.8117609999999</v>
      </c>
      <c r="AD62">
        <f t="shared" si="0"/>
        <v>34959.687951</v>
      </c>
      <c r="AE62" s="3">
        <f>2205+(1188.5-1222.1)+(0+(0-0))+0-411.4-0</f>
        <v>1760</v>
      </c>
    </row>
    <row r="63" spans="1:31" s="2" customFormat="1" x14ac:dyDescent="0.25">
      <c r="A63">
        <v>89</v>
      </c>
      <c r="B63">
        <v>3</v>
      </c>
      <c r="C63">
        <v>1</v>
      </c>
      <c r="D63">
        <v>1</v>
      </c>
      <c r="E63">
        <v>1</v>
      </c>
      <c r="F63" s="3">
        <f>1957.6+(1656.9-1691.3)+(-1.996752+(-1.690038--1.725126))+0-425.5--0.434010000000068</f>
        <v>1496.1723460000003</v>
      </c>
      <c r="G63" s="3">
        <f>1566.2+(1829.7-1591.9)+(2.396286+(2.799441-2.435607))+0-458.1-0.700893000000027</f>
        <v>1347.9592270000001</v>
      </c>
      <c r="H63" s="3">
        <f>1485.7+(1798.8-1520.3)+(-3.788535+(-4.58694--3.876765))+0-469.5--1.19722499999993</f>
        <v>1291.3985149999999</v>
      </c>
      <c r="I63" s="3">
        <f>1488+(1909.4-1658.6)+(-0.75888+(-0.973794--0.845886))+0-461.1--0.235160999999953</f>
        <v>1277.0483730000001</v>
      </c>
      <c r="J63" s="3">
        <f>1491.2+(1868.6-1634.6)+(0.760512+(0.952986-0.833646))+0-464.2-0.236741999999953</f>
        <v>1261.64311</v>
      </c>
      <c r="K63" s="3">
        <f>1486.4+(1714.3-1472.2)+(-3.79032+(-4.371465--3.75411))+0-452.5--1.15387499999993</f>
        <v>1272.7462</v>
      </c>
      <c r="L63" s="3">
        <f>1494.7+(1103.4-825.4)+(0+(0-0))+0-445-0</f>
        <v>1327.7000000000003</v>
      </c>
      <c r="M63" s="3">
        <f>1538.7+(1110.4-683.9)+(0.784737+(0.566304-0.348789))+0-414.3-0.211292999999958</f>
        <v>1551.6909590000002</v>
      </c>
      <c r="N63" s="3">
        <f>1555.5+(1184.6-674.1)+(0+(0-0))+0-448.7-0</f>
        <v>1617.3</v>
      </c>
      <c r="O63" s="3">
        <f>1645.1+(1144.7-686.5)+(-1.678002+(-1.167594--0.70023))+0-455.4--0.464508000000073</f>
        <v>1646.2191419999999</v>
      </c>
      <c r="P63" s="3">
        <f>1631+(1152.7-727.5)+(-4.15905+(-2.939385--1.855125))+0-438.4--1.11791999999994</f>
        <v>1613.6746099999998</v>
      </c>
      <c r="Q63" s="3">
        <f>1858+(1194.7-927)+(-0.94758+(-0.609297--0.47277))+0-462.4--0.235823999999953</f>
        <v>1662.4517169999995</v>
      </c>
      <c r="R63" s="3">
        <f>1919.7+(1678-1448.7)+(-1.958094+(-1.71156--1.477674))+0-511.7--0.521934000000082</f>
        <v>1635.629954</v>
      </c>
      <c r="S63" s="3">
        <f>2155.8+(2053.7-2161)+(-3.298374+(-3.142161--3.30633))+0-461.9--0.706707000000027</f>
        <v>1584.1725020000001</v>
      </c>
      <c r="T63" s="3">
        <f>2206.8+(2271-2411.3)+(1.125468+(1.15821-1.229763))+0-458.9-0.234038999999953</f>
        <v>1608.4198759999999</v>
      </c>
      <c r="U63" s="3">
        <f>2200.9+(2157.9-2277.4)+(-5.612295+(-5.502645--5.80737))+0-470--1.19849999999993</f>
        <v>1607.2909300000001</v>
      </c>
      <c r="V63" s="3">
        <f>2201.1+(2029.4-2134.2)+(-2.245122+(-2.069988--2.176884))+0-418.1--0.426462000000067</f>
        <v>1676.4882360000004</v>
      </c>
      <c r="W63" s="3">
        <f>2141.7+(1953.8-2003.9)+(-5.461335+(-4.98219--5.109945))+0-421.3--1.07431499999994</f>
        <v>1666.0407349999994</v>
      </c>
      <c r="X63" s="3">
        <f>1972+(1662.4-1587.6)+(-4.02288+(-3.391296--3.238704))+0-419--0.854759999999982</f>
        <v>1624.4792880000002</v>
      </c>
      <c r="Y63" s="3">
        <f>2042.7+(1398.1-1413.1)+(-4.167108+(-2.852124--2.882724))+0-420.5--0.857819999999982</f>
        <v>1603.9213119999999</v>
      </c>
      <c r="Z63" s="3">
        <f>2248.9+(1410.7-1407.5)+(-5.734695+(-3.597285--3.589125))+0-415.3--1.05901499999994</f>
        <v>1832.1161600000005</v>
      </c>
      <c r="AA63" s="3">
        <f>2245.5+(1374.8-1276.8)+(-8.016435+(-4.908036--4.558176))+0-423.9--1.51332300000001</f>
        <v>1912.747028</v>
      </c>
      <c r="AB63" s="3">
        <f>2244+(1318.7-1293.6)+(-4.57776+(-2.690148--2.638944))+0-419.4--0.855575999999982</f>
        <v>1845.9266120000002</v>
      </c>
      <c r="AC63" s="3">
        <f>2148.6+(1426.5-1406.4)+(-2.191572+(-1.45503--1.434528))+0-415.7--0.424014000000066</f>
        <v>1751.2119399999999</v>
      </c>
      <c r="AD63">
        <f t="shared" si="0"/>
        <v>37714.448772000003</v>
      </c>
      <c r="AE63" s="3">
        <f>2249+(1351.5-1262.8)+(0+(0-0))+0-423.2-0</f>
        <v>1914.4999999999998</v>
      </c>
    </row>
    <row r="64" spans="1:31" s="2" customFormat="1" x14ac:dyDescent="0.25">
      <c r="A64">
        <v>89</v>
      </c>
      <c r="B64">
        <v>3</v>
      </c>
      <c r="C64">
        <v>2</v>
      </c>
      <c r="D64">
        <v>2</v>
      </c>
      <c r="E64">
        <v>1</v>
      </c>
      <c r="F64" s="3">
        <f>1894+(1881.2-1815.4)+(-1.93188+(-1.918824--1.851708))+0-446.8--0.455736000000071</f>
        <v>1511.4567400000001</v>
      </c>
      <c r="G64" s="3">
        <f>1721.7+(2192.2-2056.1)+(-4.390335+(-5.59011--5.243055))+0-450.9--1.14979499999993</f>
        <v>1403.3124049999999</v>
      </c>
      <c r="H64" s="3">
        <f>1526.1+(1757.7-1476.4)+(-2.334933+(-2.689281--2.258892))+0-456.9--0.699057000000026</f>
        <v>1348.4337349999998</v>
      </c>
      <c r="I64" s="3">
        <f>1524+(1359.6-1107.2)+(-2.33172+(-2.080188--1.694016))+0-458.6--0.701658000000027</f>
        <v>1315.783766</v>
      </c>
      <c r="J64" s="3">
        <f>1524.9+(1525-1290.3)+(-1.555398+(-1.5555--1.316106))+0-453.8--0.462876000000072</f>
        <v>1304.4680840000003</v>
      </c>
      <c r="K64" s="3">
        <f>1535.1+(1628.8-1409.4)+(-2.348703+(-2.492064--2.156382))+0-451.8--0.691254000000026</f>
        <v>1300.7068689999999</v>
      </c>
      <c r="L64" s="3">
        <f>1548.6+(1145.9-951.9)+(-0.789786+(-0.584409--0.485469))+0-433--0.220829999999956</f>
        <v>1308.932104</v>
      </c>
      <c r="M64" s="3">
        <f>1550.1+(892.5-607.8)+(-0.790551+(-0.455175--0.309978))+0-440.5--0.224654999999955</f>
        <v>1393.5889069999998</v>
      </c>
      <c r="N64" s="3">
        <f>1549.6+(1059.1-634.6)+(-0.790296+(-0.540141--0.323646))+0-429.6--0.219095999999956</f>
        <v>1543.7123049999998</v>
      </c>
      <c r="O64" s="3">
        <f>1573.5+(1072.9-590.2)+(-1.60497+(-1.094358--0.602004))+0-430.9--0.439518000000069</f>
        <v>1623.642194</v>
      </c>
      <c r="P64" s="3">
        <f>1746+(1309.9-918.2)+(-5.34276+(-4.008294--2.809692))+0-416.6--1.27479600000005</f>
        <v>1715.8334340000001</v>
      </c>
      <c r="Q64" s="3">
        <f>2036.3+(1358.9-1220.7)+(-1.038513+(-0.693039--0.622557))+0-425.8--0.217157999999957</f>
        <v>1747.8081629999999</v>
      </c>
      <c r="R64" s="3">
        <f>2086.7+(1549-1523.9)+(-2.128434+(-1.57998--1.554378))+0-426.6--0.435132000000068</f>
        <v>1683.481096</v>
      </c>
      <c r="S64" s="3">
        <f>2186+(2113.6-2254.3)+(-5.5743+(-5.38968--5.748465))+0-423.8--1.08068999999994</f>
        <v>1617.3651749999997</v>
      </c>
      <c r="T64" s="3">
        <f>2183.8+(2120.9-2250.8)+(0+(0-0))+0-426.1-0</f>
        <v>1627.8000000000002</v>
      </c>
      <c r="U64" s="3">
        <f>2160.2+(2114.8-2189.8)+(-3.305106+(-3.235644--3.350394))+0-383.2--0.586296000000022</f>
        <v>1699.3959399999997</v>
      </c>
      <c r="V64" s="3">
        <f>1906.2+(2212.5-2088.6)+(-3.888648+(-4.5135--4.260744))+0-386.5--0.788459999999983</f>
        <v>1640.2470560000002</v>
      </c>
      <c r="W64" s="3">
        <f>1919.3+(2048.8-1904.6)+(-5.873058+(-6.269328--5.828076))+0-383.1--1.17228600000004</f>
        <v>1675.2579759999999</v>
      </c>
      <c r="X64" s="3">
        <f>1920.3+(1599-1463.7)+(-4.896765+(-4.07745--3.732435))+0-379.2--0.966959999999945</f>
        <v>1672.12518</v>
      </c>
      <c r="Y64" s="3">
        <f>1923.8+(1363.8-1268.7)+(-0.981138+(-0.695538--0.647037))+0-381.2--0.194411999999961</f>
        <v>1636.8647729999998</v>
      </c>
      <c r="Z64" s="3">
        <f>1929.3+(1281.4-1013.7)+(-0.983943+(-0.653514--0.516987))+0-384.3--0.195992999999961</f>
        <v>1811.7755230000002</v>
      </c>
      <c r="AA64" s="3">
        <f>1928.9+(1536.8-1158.4)+(-2.951217+(-2.351304--1.772352))+0-388.2--0.593946000000022</f>
        <v>1916.163777</v>
      </c>
      <c r="AB64" s="3">
        <f>1928.7+(2053.4-1767.9)+(-4.918185+(-5.23617--4.508145))+0-388.1--0.989654999999944</f>
        <v>1821.4434449999999</v>
      </c>
      <c r="AC64" s="3">
        <f>1900.1+(2334.8-2123.9)+(-1.938102+(-2.381496--2.166378))+0-435.4--0.444108000000069</f>
        <v>1673.8908879999999</v>
      </c>
      <c r="AD64">
        <f t="shared" si="0"/>
        <v>37993.489534999993</v>
      </c>
      <c r="AE64" s="3">
        <f>1928+(1526.4-1143)+(0+(0-0))+0-385.2-0</f>
        <v>1926.2</v>
      </c>
    </row>
    <row r="65" spans="1:31" s="2" customFormat="1" x14ac:dyDescent="0.25">
      <c r="A65">
        <v>89</v>
      </c>
      <c r="B65">
        <v>3</v>
      </c>
      <c r="C65">
        <v>3</v>
      </c>
      <c r="D65">
        <v>3</v>
      </c>
      <c r="E65">
        <v>1</v>
      </c>
      <c r="F65" s="3">
        <f>1813.7+(2202.6-2019.3)+(-2.774961+(-3.369978--3.089529))+0-436.9--0.668457000000025</f>
        <v>1557.713047</v>
      </c>
      <c r="G65" s="3">
        <f>1707.4+(2139.9-1952.9)+(-0.870774+(-1.091349--0.995979))+0-444.8--0.226847999999955</f>
        <v>1448.8607040000002</v>
      </c>
      <c r="H65" s="3">
        <f>1522.4+(1989-1676.1)+(-0.776424+(-1.01439--0.854811))+0-444.5--0.226694999999955</f>
        <v>1390.0906920000002</v>
      </c>
      <c r="I65" s="3">
        <f>1398.7+(1995.1-1597.5)+(-1.426674+(-2.035002--1.62945))+0-432.9--0.441558000000069</f>
        <v>1362.0093320000001</v>
      </c>
      <c r="J65" s="3">
        <f>1456.5+(1820.2-1463)+(-3.714075+(-4.64151--3.73065))+0-441.6--1.12607999999994</f>
        <v>1368.6011450000001</v>
      </c>
      <c r="K65" s="3">
        <f>1456.8+(1796.9-1473.6)+(-2.228904+(-2.749257--2.254608))+0-432.7--0.662031000000025</f>
        <v>1345.3384780000001</v>
      </c>
      <c r="L65" s="3">
        <f>1454.8+(1561.3-1297.8)+(-0.741948+(-0.796263--0.661878))+0-399.8--0.203897999999959</f>
        <v>1317.827565</v>
      </c>
      <c r="M65" s="3">
        <f>1513.9+(1117.6-781.3)+(0+(0-0))+0-410.6-0</f>
        <v>1439.6</v>
      </c>
      <c r="N65" s="3">
        <f>1593.2+(1195.8-767)+(-0.812532+(-0.609858--0.39117))+0-414.3--0.211292999999958</f>
        <v>1606.880073</v>
      </c>
      <c r="O65" s="3">
        <f>1642.3+(1100.2-662.4)+(-0.837573+(-0.561102--0.337824))+0-400.5--0.204254999999959</f>
        <v>1678.7434039999996</v>
      </c>
      <c r="P65" s="3">
        <f>1724.6+(1097-685.1)+(-0.879546+(-0.55947--0.349401))+0-401--0.204509999999959</f>
        <v>1734.6148950000002</v>
      </c>
      <c r="Q65" s="3">
        <f>2006.4+(1122.9-959)+(-2.046528+(-1.145358--0.97818))+0-404.9--0.412998000000065</f>
        <v>1763.5992920000001</v>
      </c>
      <c r="R65" s="3">
        <f>2150.7+(1380.9-1363.4)+(-2.193714+(-1.408518--1.390668))+0-409.5--0.417690000000065</f>
        <v>1756.9061259999996</v>
      </c>
      <c r="S65" s="3">
        <f>2108.4+(1807.2-1808.9)+(-2.150568+(-1.843344--1.845078))+0-402.6--0.410652000000064</f>
        <v>1702.3618179999999</v>
      </c>
      <c r="T65" s="3">
        <f>2138.5+(1645.8-1669.6)+(0+(0-0))+0-406.4-0</f>
        <v>1708.2999999999997</v>
      </c>
      <c r="U65" s="3">
        <f>2057.1+(1552-1516.9)+(-2.098242+(-1.58304--1.547238))+0-411.7--0.419934000000066</f>
        <v>1678.7858899999999</v>
      </c>
      <c r="V65" s="3">
        <f>2055.2+(1538.7-1486.8)+(-6.288912+(-4.708422--4.549608))+0-411--1.25766000000005</f>
        <v>1690.909934</v>
      </c>
      <c r="W65" s="3">
        <f>2113.4+(1747-1758.6)+(-4.311336+(-3.56388--3.587544))+0-416.4--0.849455999999982</f>
        <v>1681.9617840000001</v>
      </c>
      <c r="X65" s="3">
        <f>2161.9+(1449.5-1518.6)+(-6.615414+(-4.43547--4.646916))+0-415--1.26990000000005</f>
        <v>1672.6659320000001</v>
      </c>
      <c r="Y65" s="3">
        <f>2192.3+(1154.3-1253.6)+(-5.590365+(-2.943465--3.19668))+0-419--1.06844999999994</f>
        <v>1669.7313000000001</v>
      </c>
      <c r="Z65" s="3">
        <f>2292+(1124.2-1134.7)+(-3.50676+(-1.720026--1.736091))+0-422--0.645660000000024</f>
        <v>1856.6549650000002</v>
      </c>
      <c r="AA65" s="3">
        <f>2303.2+(1174.6-1109.2)+(-8.222424+(-4.193322--3.959844))+0-422.4--1.50796800000001</f>
        <v>1939.2520659999993</v>
      </c>
      <c r="AB65" s="3">
        <f>2285.3+(1805.4-1779.7)+(-4.662012+(-3.683016--3.630588))+0-427.8--0.872711999999981</f>
        <v>1879.3582719999999</v>
      </c>
      <c r="AC65" s="3">
        <f>2127.7+(1594.3-1520.5)+(-5.425635+(-4.065465--3.877275))+0-479.4--1.22246999999993</f>
        <v>1717.7086449999999</v>
      </c>
      <c r="AD65">
        <f t="shared" ref="AD65:AD128" si="1">SUM(F65:AC65)</f>
        <v>38968.475358999989</v>
      </c>
      <c r="AE65" s="3">
        <f>2302+(1050.2-1013.4)+(0+(0-0))+0-425.1-0</f>
        <v>1913.7000000000003</v>
      </c>
    </row>
    <row r="66" spans="1:31" s="2" customFormat="1" x14ac:dyDescent="0.25">
      <c r="A66">
        <v>89</v>
      </c>
      <c r="B66">
        <v>3</v>
      </c>
      <c r="C66">
        <v>4</v>
      </c>
      <c r="D66">
        <v>4</v>
      </c>
      <c r="E66">
        <v>1</v>
      </c>
      <c r="F66" s="3">
        <f>1949.4+(1524.2-1429.5)+(-2.982582+(-2.332026--2.187135))+0-462.6--0.707778000000027</f>
        <v>1579.080305</v>
      </c>
      <c r="G66" s="3">
        <f>1624.9+(1438.4-1138.3)+(-2.486097+(-2.200752--1.741599))+0-453.2--0.693396000000026</f>
        <v>1469.5481460000003</v>
      </c>
      <c r="H66" s="3">
        <f>1413.9+(1685-1251.8)+(-1.442178+(-1.7187--1.276836))+0-417.1--0.425442000000067</f>
        <v>1428.5414000000003</v>
      </c>
      <c r="I66" s="3">
        <f>1391.8+(1473.9-1058.9)+(-4.258908+(-4.510134--3.240234))+0-463.7--1.41892200000005</f>
        <v>1338.9901139999999</v>
      </c>
      <c r="J66" s="3">
        <f>1391.3+(1235.2-839.3)+(-1.419126+(-1.259904--0.856086))+0-457.1--0.466242000000073</f>
        <v>1328.7432979999999</v>
      </c>
      <c r="K66" s="3">
        <f>1389.4+(1239-816.8)+(-3.54297+(-3.15945--2.08284))+0-433.9--1.10644499999994</f>
        <v>1374.1868650000001</v>
      </c>
      <c r="L66" s="3">
        <f>1390.7+(1244.6-837.5)+(-3.546285+(-3.17373--2.135625))+0-459--1.17044999999993</f>
        <v>1335.3860599999998</v>
      </c>
      <c r="M66" s="3">
        <f>1443.7+(864.8-414.3)+(-2.945148+(-1.764192--0.845172))+0-465.4--0.94941599999998</f>
        <v>1425.885248</v>
      </c>
      <c r="N66" s="3">
        <f>1595+(769.3-345.7)+(-1.6269+(-0.784686--0.352614))+0-426--0.434520000000068</f>
        <v>1590.9755479999999</v>
      </c>
      <c r="O66" s="3">
        <f>1600.8+(904.7-380.4)+(-2.449224+(-1.384191--0.582012))+0-461.5--0.706095000000027</f>
        <v>1661.0546919999997</v>
      </c>
      <c r="P66" s="3">
        <f>1730.3+(895.3-459.8)+(-0.882453+(-0.456603--0.234498))+0-418.2--0.213281999999958</f>
        <v>1746.7087239999996</v>
      </c>
      <c r="Q66" s="3">
        <f>1884.3+(950.9-564.8)+(-0.960993+(-0.484959--0.288048))+0-459--0.234089999999953</f>
        <v>1810.4761859999999</v>
      </c>
      <c r="R66" s="3">
        <f>2144.2+(1415.5-1362.7)+(-2.187084+(-1.44381--1.389954))+0-458.3--0.467466000000073</f>
        <v>1736.926526</v>
      </c>
      <c r="S66" s="3">
        <f>2178.1+(1886.6-1921.1)+(-2.221662+(-1.924332--1.959522))+0-460.5--0.469710000000073</f>
        <v>1681.3832380000001</v>
      </c>
      <c r="T66" s="3">
        <f>2173.4+(2025.1-2042.2)+(-3.325302+(-3.098403--3.124566))+0-448.7--0.686511000000026</f>
        <v>1704.9873720000001</v>
      </c>
      <c r="U66" s="3">
        <f>2167.3+(2187.3-2189.7)+(1.105323+(1.115523-1.116747))+0-417.7-0.213026999999958</f>
        <v>1748.0910720000006</v>
      </c>
      <c r="V66" s="3">
        <f>2167.3+(1983.1-1996.7)+(1.105323+(1.011381-1.018317))+0-414.4-0.211343999999958</f>
        <v>1740.1870429999997</v>
      </c>
      <c r="W66" s="3">
        <f>2168.4+(1578.3-1607)+(-4.423536+(-3.219732--3.27828))+0-420.5--0.857819999999982</f>
        <v>1715.692832</v>
      </c>
      <c r="X66" s="3">
        <f>2171.7+(1089.6-1167.3)+(-6.645402+(-3.334176--3.571938))+0-421.8--1.29070800000005</f>
        <v>1667.0830680000001</v>
      </c>
      <c r="Y66" s="3">
        <f>2170.4+(870.9-960.7)+(-5.53452+(-2.220795--2.449785))+0-426.7--1.08808499999994</f>
        <v>1649.6825549999996</v>
      </c>
      <c r="Z66" s="3">
        <f>2287.1+(1291.7-1326.6)+(-6.998526+(-3.952602--4.059396))+0-423.4--1.29560400000005</f>
        <v>1823.2038719999998</v>
      </c>
      <c r="AA66" s="3">
        <f>2302.9+(1619.7-1552.2)+(-9.395832+(-6.608376--6.332976))+0-429.4--1.75195199999996</f>
        <v>1933.0807199999997</v>
      </c>
      <c r="AB66" s="3">
        <f>2288.5+(1761.6-1757.7)+(-1.167135+(-0.898416--0.896427))+0-430.1--0.219350999999956</f>
        <v>1861.3502269999997</v>
      </c>
      <c r="AC66" s="3">
        <f>2236.2+(1995.4-2034.9)+(-5.70231+(-5.08827--5.188995))+0-471--1.20104999999993</f>
        <v>1721.2994649999998</v>
      </c>
      <c r="AD66">
        <f t="shared" si="1"/>
        <v>39072.544575999993</v>
      </c>
      <c r="AE66" s="3">
        <f>2314+(1458.1-1372.7)+(0+(0-0))+0-425.7-0</f>
        <v>1973.6999999999996</v>
      </c>
    </row>
    <row r="67" spans="1:31" s="2" customFormat="1" x14ac:dyDescent="0.25">
      <c r="A67">
        <v>89</v>
      </c>
      <c r="B67">
        <v>3</v>
      </c>
      <c r="C67">
        <v>5</v>
      </c>
      <c r="D67">
        <v>5</v>
      </c>
      <c r="E67">
        <v>1</v>
      </c>
      <c r="F67" s="3">
        <f>2052+(1788.7-1785.6)+(-4.18608+(-3.648948--3.642624))+0-484.3--0.987971999999979</f>
        <v>1567.5955680000004</v>
      </c>
      <c r="G67" s="3">
        <f>1746.8+(1649.8-1457.2)+(0.890868+(0.841398-0.743172))+0-481.7-0.245666999999951</f>
        <v>1458.4434269999999</v>
      </c>
      <c r="H67" s="3">
        <f>1502.9+(1730.7-1351.2)+(-3.832395+(-4.413285--3.44556))+0-477.7--1.21813499999993</f>
        <v>1401.1180149999998</v>
      </c>
      <c r="I67" s="3">
        <f>1411.6+(1651.4-1221.4)+(-2.159748+(-2.526642--1.868742))+0-486.5--0.744345000000028</f>
        <v>1353.026697</v>
      </c>
      <c r="J67" s="3">
        <f>1414.2+(1623.8-1224.5)+(-0.721242+(-0.828138--0.624495))+0-433.4--0.221033999999956</f>
        <v>1379.3961489999999</v>
      </c>
      <c r="K67" s="3">
        <f>1414.5+(1460-1079.1)+(-4.32837+(-4.4676--3.302046))+0-430.2--1.31641200000005</f>
        <v>1361.0224880000001</v>
      </c>
      <c r="L67" s="3">
        <f>1416.8+(1167-800.2)+(-2.890272+(-2.38068--1.632408))+0-427.9--0.872915999999981</f>
        <v>1352.9343719999999</v>
      </c>
      <c r="M67" s="3">
        <f>1487.1+(961.9-608)+(-1.516842+(-0.981138--0.62016))+0-419.9--0.428298000000067</f>
        <v>1419.6504780000002</v>
      </c>
      <c r="N67" s="3">
        <f>1556.1+(998.4-547.3)+(0.793611+(0.509184-0.279123))+0-404.7-0.206396999999959</f>
        <v>1603.3172749999999</v>
      </c>
      <c r="O67" s="3">
        <f>1717.9+(914.3-538)+(-3.504516+(-1.865172--1.09752))+0-401.2--0.818447999999982</f>
        <v>1689.5462799999998</v>
      </c>
      <c r="P67" s="3">
        <f>1872.6+(1095.3-814.6)+(0+(0-0))+0-395.5-0</f>
        <v>1757.7999999999997</v>
      </c>
      <c r="Q67" s="3">
        <f>2012.6+(1169.9-1028.6)+(-1.026426+(-0.596649--0.524586))+0-403.5--0.205784999999959</f>
        <v>1749.507296</v>
      </c>
      <c r="R67" s="3">
        <f>2114.4+(1408.9-1359.1)+(-1.078344+(-0.718539--0.693141))+0-402.1--0.205070999999959</f>
        <v>1761.2013290000004</v>
      </c>
      <c r="S67" s="3">
        <f>2115.9+(1732.6-1735.7)+(-1.079109+(-0.883626--0.885207))+0-399--0.20348999999996</f>
        <v>1712.9259620000003</v>
      </c>
      <c r="T67" s="3">
        <f>2118.7+(1571-1538.8)+(-2.161074+(-1.60242--1.569576))+0-435.2--0.443904000000069</f>
        <v>1713.9499859999996</v>
      </c>
      <c r="U67" s="3">
        <f>2119+(1665.2-1630.8)+(-1.08069+(-0.849252--0.831708))+0-397.8--0.20287799999996</f>
        <v>1754.7046440000001</v>
      </c>
      <c r="V67" s="3">
        <f>2123+(1631.7-1594.2)+(-3.24819+(-2.496501--2.439126))+0-395.2--0.604656000000023</f>
        <v>1762.5990909999998</v>
      </c>
      <c r="W67" s="3">
        <f>2120+(1558.8-1543.5)+(-7.5684+(-5.564916--5.510295))+0-394.1--1.40693700000001</f>
        <v>1734.9839160000004</v>
      </c>
      <c r="X67" s="3">
        <f>2118.3+(1474.3-1485.3)+(-7.562331+(-5.263251--5.302521))+0-400--1.42800000000001</f>
        <v>1701.2049390000004</v>
      </c>
      <c r="Y67" s="3">
        <f>2176.3+(893-1003.8)+(-4.439652+(-1.82172--2.047752))+0-403.7--0.823547999999982</f>
        <v>1658.409928</v>
      </c>
      <c r="Z67" s="3">
        <f>2302.8+(896-948.2)+(-2.348856+(-0.91392--0.967164))+0-407.9--0.416058000000065</f>
        <v>1840.8204460000004</v>
      </c>
      <c r="AA67" s="3">
        <f>2305+(1407.6-1341.7)+(-7.0533+(-4.307256--4.105602))+0-414.1--1.26714600000005</f>
        <v>1950.8121919999999</v>
      </c>
      <c r="AB67" s="3">
        <f>2309.4+(1975.3-1983.7)+(1.177794+(1.007403-1.011687))+0-414.1-0.211190999999958</f>
        <v>1887.8623190000003</v>
      </c>
      <c r="AC67" s="3">
        <f>2255.5+(2013.8-2068.8)+(-1.150305+(-1.027038--1.055088))+0-414.8--0.211547999999958</f>
        <v>1784.7892929999998</v>
      </c>
      <c r="AD67">
        <f t="shared" si="1"/>
        <v>39357.622090000004</v>
      </c>
      <c r="AE67" s="3">
        <f>2306+(1502.2-1433.7)+(0+(0-0))+0-411.6-0</f>
        <v>1962.9</v>
      </c>
    </row>
    <row r="68" spans="1:31" s="2" customFormat="1" x14ac:dyDescent="0.25">
      <c r="A68">
        <v>89</v>
      </c>
      <c r="B68">
        <v>3</v>
      </c>
      <c r="C68">
        <v>6</v>
      </c>
      <c r="D68">
        <v>6</v>
      </c>
      <c r="E68">
        <v>1</v>
      </c>
      <c r="F68" s="3">
        <f>2070.7+(2168-2170.4)+(-4.224228+(-4.42272--4.427616))+0-467.1--0.95288399999998</f>
        <v>1597.9335519999997</v>
      </c>
      <c r="G68" s="3">
        <f>1851.5+(1586.7-1479.1)+(-0.944265+(-0.809217--0.754341))+0-469.8--0.239597999999952</f>
        <v>1488.5404570000001</v>
      </c>
      <c r="H68" s="3">
        <f>1644.4+(1610.9-1357.4)+(-1.677288+(-1.643118--1.384548))+0-468.2--0.477564000000075</f>
        <v>1428.241706</v>
      </c>
      <c r="I68" s="3">
        <f>1464.8+(1587.1-1192.6)+(-4.482288+(-4.856526--3.649356))+0-471.3--1.44217800000005</f>
        <v>1383.75272</v>
      </c>
      <c r="J68" s="3">
        <f>1464+(1521.1-1134.3)+(-2.23992+(-2.327283--1.735479))+0-486.1--0.743733000000028</f>
        <v>1362.6120090000002</v>
      </c>
      <c r="K68" s="3">
        <f>1463.7+(1477.3-1083.6)+(-5.971896+(-6.027384--4.421088))+0-474.2--1.93473599999996</f>
        <v>1377.556544</v>
      </c>
      <c r="L68" s="3">
        <f>1462.6+(1081-720.1)+(-1.491852+(-1.10262--0.734502))+0-470.6--0.480012000000075</f>
        <v>1351.5200420000001</v>
      </c>
      <c r="M68" s="3">
        <f>1521.7+(733.5-340.2)+(0+(0-0))+0-469.6-0</f>
        <v>1445.4</v>
      </c>
      <c r="N68" s="3">
        <f>1566.1+(862.9-370.3)+(1.597422+(0.880158-0.377706))+0-482.5-0.492150000000077</f>
        <v>1577.8077239999998</v>
      </c>
      <c r="O68" s="3">
        <f>1768.3+(1052.9-678.8)+(-1.803666+(-1.073958--0.692376))+0-471.4--0.480828000000075</f>
        <v>1669.2955800000002</v>
      </c>
      <c r="P68" s="3">
        <f>1876.8+(874.1-543.5)+(-0.957168+(-0.445791--0.277185))+0-482--0.245819999999951</f>
        <v>1724.5200459999999</v>
      </c>
      <c r="Q68" s="3">
        <f>1980.4+(961.3-694.7)+(0+(0-0))+0-483.1-0</f>
        <v>1763.9</v>
      </c>
      <c r="R68" s="3">
        <f>2120.7+(1194.3-1095)+(-3.244671+(-1.827279--1.67535))+0-482.8--0.738684000000028</f>
        <v>1734.5420839999999</v>
      </c>
      <c r="S68" s="3">
        <f>2119.3+(1762.6-1755)+(-2.161686+(-1.797852--1.7901))+0-476.2--0.485724000000076</f>
        <v>1649.0162860000003</v>
      </c>
      <c r="T68" s="3">
        <f>2192+(1846.5-1903.7)+(-2.23584+(-1.88343--1.941774))+0-489.4--0.499188000000078</f>
        <v>1643.7216920000003</v>
      </c>
      <c r="U68" s="3">
        <f>2239.7+(2003-2095.3)+(-2.284494+(-2.04306--2.137206))+0-439.8--0.44859600000007</f>
        <v>1705.8582479999998</v>
      </c>
      <c r="V68" s="3">
        <f>2240.8+(2125.9-2238.9)+(-1.142808+(-1.084209--1.141839))+0-436.7--0.222716999999956</f>
        <v>1690.2375390000002</v>
      </c>
      <c r="W68" s="3">
        <f>2239.9+(2009.8-2138.6)+(-5.711745+(-5.12499--5.45343))+0-433.6--1.10567999999994</f>
        <v>1673.2223750000005</v>
      </c>
      <c r="X68" s="3">
        <f>2236.3+(1404.6-1565.5)+(-5.702565+(-3.58173--3.992025))+0-434.1--1.10695499999994</f>
        <v>1637.1146850000002</v>
      </c>
      <c r="Y68" s="3">
        <f>2241+(1150.3-1351.3)+(-2.28582+(-1.173306--1.378326))+0-429.2--0.437784000000068</f>
        <v>1609.156984</v>
      </c>
      <c r="Z68" s="3">
        <f>2293.7+(1603.6-1696.7)+(-3.509361+(-2.453508--2.595951))+0-424.2--0.649026000000025</f>
        <v>1773.6821079999993</v>
      </c>
      <c r="AA68" s="3">
        <f>2304.1+(1495-1470.5)+(-3.525273+(-2.28735--2.249865))+0-425.5--0.651015000000025</f>
        <v>1900.1882569999998</v>
      </c>
      <c r="AB68" s="3">
        <f>2306.1+(1401.8-1460.1)+(-4.704444+(-2.859672--2.978604))+0-411.3--0.839051999999982</f>
        <v>1832.7535400000002</v>
      </c>
      <c r="AC68" s="3">
        <f>2301.7+(1701.7-1866.9)+(-4.695468+(-3.471468--3.808476))+0-412--0.840479999999982</f>
        <v>1720.9820200000001</v>
      </c>
      <c r="AD68">
        <f t="shared" si="1"/>
        <v>38741.556198000006</v>
      </c>
      <c r="AE68" s="3">
        <f>2309+(1735.8-1694.4)+(0+(0-0))+0-428.6-0</f>
        <v>1921.7999999999997</v>
      </c>
    </row>
    <row r="69" spans="1:31" s="2" customFormat="1" x14ac:dyDescent="0.25">
      <c r="A69">
        <v>89</v>
      </c>
      <c r="B69">
        <v>3</v>
      </c>
      <c r="C69">
        <v>7</v>
      </c>
      <c r="D69">
        <v>7</v>
      </c>
      <c r="E69">
        <v>1</v>
      </c>
      <c r="F69" s="3">
        <f>2049.5+(1496.7-1532.5)+(4.18098+(3.053268-3.1263))+0-415.3-0.847211999999982</f>
        <v>1601.6607360000003</v>
      </c>
      <c r="G69" s="3">
        <f>1662.6+(1403.4-1184.5)+(1.695852+(1.431468-1.20819))+0-414.5-0.422790000000066</f>
        <v>1468.4963399999999</v>
      </c>
      <c r="H69" s="3">
        <f>1416.6+(1449-1069.4)+(1.444932+(1.47798-1.090788))+0-417.4-0.425748000000067</f>
        <v>1380.2063759999996</v>
      </c>
      <c r="I69" s="3">
        <f>1420.2+(1350.7-999.9)+(0+(0-0))+0-418.9-0</f>
        <v>1352.1</v>
      </c>
      <c r="J69" s="3">
        <f>1420.5+(1557.1-1229.4)+(1.44891+(1.588242-1.253988))+0-414.5-0.422790000000066</f>
        <v>1335.0603739999997</v>
      </c>
      <c r="K69" s="3">
        <f>1420+(1677.6-1347.1)+(-2.1726+(-2.566728--2.061063))+0-415.3--0.635409000000024</f>
        <v>1333.157144</v>
      </c>
      <c r="L69" s="3">
        <f>1419.4+(1473.5-1185.4)+(-2.171682+(-2.254455--1.813662))+0-413.6--0.632808000000024</f>
        <v>1291.9203330000003</v>
      </c>
      <c r="M69" s="3">
        <f>1416.6+(1374.5-1047.9)+(-1.444932+(-1.40199--1.068858))+0-415.5--0.423810000000066</f>
        <v>1326.3457459999997</v>
      </c>
      <c r="N69" s="3">
        <f>1435.4+(1477.1-1112.2)+(-2.196162+(-2.259963--1.701666))+0-414.2--0.633726000000024</f>
        <v>1383.9792669999999</v>
      </c>
      <c r="O69" s="3">
        <f>1566.9+(1586-1260)+(-2.397357+(-2.42658--1.9278))+0-416.8--0.637704000000024</f>
        <v>1473.8415670000002</v>
      </c>
      <c r="P69" s="3">
        <f>1753.8+(1391.3-1104.1)+(0+(0-0))+0-415.9-0</f>
        <v>1625.1</v>
      </c>
      <c r="Q69" s="3">
        <f>1899.6+(1090.9-1029.1)+(-0.968796+(-0.556359--0.524841))+0-415.4--0.211853999999958</f>
        <v>1545.21154</v>
      </c>
      <c r="R69" s="3">
        <f>2114.7+(1527.5-1678.9)+(0+(0-0))+0-413-0</f>
        <v>1550.2999999999997</v>
      </c>
      <c r="S69" s="3">
        <f>2177+(2067.3-2292.9)+(-1.11027+(-1.054323--1.169379))+0-409.5--0.208844999999958</f>
        <v>1541.1136309999999</v>
      </c>
      <c r="T69" s="3">
        <f>2183.7+(2251.4-2483)+(0+(0-0))+0-400.1-0</f>
        <v>1552</v>
      </c>
      <c r="U69" s="3">
        <f>2184.1+(2331-2566.6)+(1.113891+(1.18881-1.308966))+0-401.9-0.204968999999959</f>
        <v>1547.388766</v>
      </c>
      <c r="V69" s="3">
        <f>2162.6+(2175.3-2378.2)+(-6.617556+(-6.656418--7.277292))+0-411.5--1.25919000000005</f>
        <v>1543.4625080000003</v>
      </c>
      <c r="W69" s="3">
        <f>2108.3+(1656.9-1799.3)+(-6.451398+(-5.070114--5.505858))+0-415.4--1.27112400000005</f>
        <v>1545.7554700000003</v>
      </c>
      <c r="X69" s="3">
        <f>1996.7+(1442.4-1501.3)+(-4.073268+(-2.942496--3.062652))+0-417.9--0.852515999999982</f>
        <v>1516.7994040000003</v>
      </c>
      <c r="Y69" s="3">
        <f>2008+(948.1-1029.3)+(-3.07224+(-1.450593--1.574829))+0-414.3--0.633879000000024</f>
        <v>1510.1858750000001</v>
      </c>
      <c r="Z69" s="3">
        <f>2265.3+(1330.5-1485.2)+(-3.465909+(-2.035665--2.272356))+0-414.1--0.633573000000024</f>
        <v>1693.9043550000006</v>
      </c>
      <c r="AA69" s="3">
        <f>2304+(1345.8-1373.8)+(-2.35008+(-1.372716--1.401276))+0-413.6--0.421872000000066</f>
        <v>1860.5003520000002</v>
      </c>
      <c r="AB69" s="3">
        <f>2291.6+(1625.1-1689)+(-2.337432+(-1.657602--1.72278))+0-415.2--0.423504000000066</f>
        <v>1810.6512499999999</v>
      </c>
      <c r="AC69" s="3">
        <f>2272.9+(2085.1-2231)+(-4.636716+(-4.253604--4.55124))+0-413.1--0.842723999999982</f>
        <v>1710.403644</v>
      </c>
      <c r="AD69">
        <f t="shared" si="1"/>
        <v>36499.544678000006</v>
      </c>
      <c r="AE69" s="3">
        <f>2305+(1539.9-1598.5)+(0+(0-0))+0-413.6-0</f>
        <v>1832.8000000000002</v>
      </c>
    </row>
    <row r="70" spans="1:31" s="2" customFormat="1" x14ac:dyDescent="0.25">
      <c r="A70">
        <v>89</v>
      </c>
      <c r="B70">
        <v>3</v>
      </c>
      <c r="C70">
        <v>8</v>
      </c>
      <c r="D70">
        <v>1</v>
      </c>
      <c r="E70">
        <v>1</v>
      </c>
      <c r="F70" s="3">
        <f>2247.4+(2254.7-2494.8)+(-3.438522+(-3.449691--3.817044))+0-449.6--0.687888000000026</f>
        <v>1555.3167189999995</v>
      </c>
      <c r="G70" s="3">
        <f>1925.3+(2446.5-2454.5)+(-6.873321+(-8.734005--8.762565))+0-458.7--1.63755900000001</f>
        <v>1453.3927979999999</v>
      </c>
      <c r="H70" s="3">
        <f>1569.2+(2402.7-2124.7)+(-3.201168+(-4.901508--4.334388))+0-464.7--0.94798799999998</f>
        <v>1379.6796999999999</v>
      </c>
      <c r="I70" s="3">
        <f>1490.6+(2181.3-1870.6)+(-0.760206+(-1.112463--0.954006))+0-464.6--0.236945999999953</f>
        <v>1336.0182830000003</v>
      </c>
      <c r="J70" s="3">
        <f>1415.3+(1924.7-1548.5)+(0+(0-0))+0-470.3-0</f>
        <v>1321.2</v>
      </c>
      <c r="K70" s="3">
        <f>1412.4+(1741.3-1365.8)+(-3.60162+(-4.440315--3.48279))+0-432.5--1.10287499999994</f>
        <v>1351.9437300000002</v>
      </c>
      <c r="L70" s="3">
        <f>1413.4+(1240.4-868.7)+(-0.720834+(-0.632604--0.443037))+0-426.9--0.217718999999957</f>
        <v>1357.5073180000002</v>
      </c>
      <c r="M70" s="3">
        <f>1413.4+(792.1-304.4)+(0+(0-0))+0-469.6-0</f>
        <v>1431.5</v>
      </c>
      <c r="N70" s="3">
        <f>1663.4+(894.4-501.8)+(-2.545002+(-1.368432--0.767754))+0-467.8--0.715734000000027</f>
        <v>1585.7700540000001</v>
      </c>
      <c r="O70" s="3">
        <f>2008.4+(896.1-737.8)+(-1.024284+(-0.457011--0.376278))+0-467--0.238169999999953</f>
        <v>1698.8331530000003</v>
      </c>
      <c r="P70" s="3">
        <f>2169.5+(733.1-678.9)+(0+(0-0))+0-446.6-0</f>
        <v>1777.1</v>
      </c>
      <c r="Q70" s="3">
        <f>2242.7+(719.4-683.9)+(-1.143777+(-0.366894--0.348789))+0-461.4--0.235313999999953</f>
        <v>1815.8734319999999</v>
      </c>
      <c r="R70" s="3">
        <f>2244.6+(718.5-688)+(0+(0-0))+0-461.4-0</f>
        <v>1813.6999999999998</v>
      </c>
      <c r="S70" s="3">
        <f>2246.8+(932.6-1007.2)+(1.145868+(0.475626-0.513672))+0-470.1-0.239750999999952</f>
        <v>1702.9680710000005</v>
      </c>
      <c r="T70" s="3">
        <f>2234.7+(985.6-1053.2)+(0+(0-0))+0-477.6-0</f>
        <v>1689.5</v>
      </c>
      <c r="U70" s="3">
        <f>2209.9+(1025.9-1064.2)+(-1.127049+(-0.523209--0.542742))+0-465.6--0.237455999999953</f>
        <v>1705.1299400000005</v>
      </c>
      <c r="V70" s="3">
        <f>2219.1+(1086.3-1157.6)+(-3.395223+(-1.662039--1.771128))+0-429.4--0.656982000000025</f>
        <v>1715.7708480000001</v>
      </c>
      <c r="W70" s="3">
        <f>2215.1+(1286.7-1336.2)+(-7.907907+(-4.593519--4.770234))+0-419.8--1.49868600000001</f>
        <v>1739.5674939999997</v>
      </c>
      <c r="X70" s="3">
        <f>2162.1+(1293-1329.3)+(-5.513355+(-3.29715--3.389715))+0-419.3--1.06921499999994</f>
        <v>1702.1484250000001</v>
      </c>
      <c r="Y70" s="3">
        <f>2118.9+(932.4-942)+(-1.080639+(-0.475524--0.48042))+0-420.2--0.214301999999957</f>
        <v>1688.2385590000001</v>
      </c>
      <c r="Z70" s="3">
        <f>2252.1+(1234.3-1222.7)+(-1.148571+(-0.629493--0.623577))+0-418.4--0.213383999999958</f>
        <v>1844.3588969999998</v>
      </c>
      <c r="AA70" s="3">
        <f>2269.2+(1337.2-1238.7)+(-2.314584+(-1.363944--1.263474))+0-419.5--0.427890000000067</f>
        <v>1946.2128359999999</v>
      </c>
      <c r="AB70" s="3">
        <f>2259.6+(1768.2-1717.4)+(-5.76198+(-4.50891--4.37937))+0-424.3--1.08196499999994</f>
        <v>1881.2904449999994</v>
      </c>
      <c r="AC70" s="3">
        <f>2249.1+(1914.5-1947.6)+(-4.588164+(-3.90558--3.973104))+0-423.1--0.863123999999982</f>
        <v>1789.2424839999999</v>
      </c>
      <c r="AD70">
        <f t="shared" si="1"/>
        <v>39282.263185999996</v>
      </c>
      <c r="AE70" s="3">
        <f>2264+(1181.9-1043.3)+(0+(0-0))+0-420.1-0</f>
        <v>1982.5000000000005</v>
      </c>
    </row>
    <row r="71" spans="1:31" s="2" customFormat="1" x14ac:dyDescent="0.25">
      <c r="A71">
        <v>89</v>
      </c>
      <c r="B71">
        <v>3</v>
      </c>
      <c r="C71">
        <v>9</v>
      </c>
      <c r="D71">
        <v>2</v>
      </c>
      <c r="E71">
        <v>1</v>
      </c>
      <c r="F71" s="3">
        <f>2173.4+(2028.3-2110.4)+(-3.325302+(-3.103299--3.228912))+0-463--0.708390000000027</f>
        <v>1625.8087010000002</v>
      </c>
      <c r="G71" s="3">
        <f>1867.6+(1867.2-1755.7)+(-1.904952+(-1.904544--1.790814))+0-466.7--0.476034000000074</f>
        <v>1510.857352</v>
      </c>
      <c r="H71" s="3">
        <f>1490.5+(1766-1350.8)+(-0.760155+(-0.90066--0.688908))+0-467.3--0.238322999999953</f>
        <v>1437.666416</v>
      </c>
      <c r="I71" s="3">
        <f>1452.3+(1682.5-1257.1)+(-2.962692+(-3.4323--2.564484))+0-466.5--0.95165999999998</f>
        <v>1408.321152</v>
      </c>
      <c r="J71" s="3">
        <f>1410.6+(1765.5-1318.3)+(-0.719406+(-0.900405--0.672333))+0-461.8--0.235517999999953</f>
        <v>1395.2880399999999</v>
      </c>
      <c r="K71" s="3">
        <f>1420.3+(1683.1-1246.6)+(-2.173059+(-2.575143--1.907298))+0-466.2--0.713286000000027</f>
        <v>1388.4723819999999</v>
      </c>
      <c r="L71" s="3">
        <f>1419.9+(981.6-570.4)+(-2.896596+(-2.002464--1.163616))+0-459.2--0.93676799999998</f>
        <v>1369.1013240000002</v>
      </c>
      <c r="M71" s="3">
        <f>1423.3+(778-263.3)+(0+(0-0))+0-467.1-0</f>
        <v>1470.9</v>
      </c>
      <c r="N71" s="3">
        <f>1581+(728-209.9)+(0.80631+(0.37128-0.107049))+0-442.3-0.225572999999955</f>
        <v>1657.6449680000001</v>
      </c>
      <c r="O71" s="3">
        <f>1663.5+(778.2-263.9)+(-0.848385+(-0.396882--0.134589))+0-466--0.237659999999953</f>
        <v>1710.9269820000002</v>
      </c>
      <c r="P71" s="3">
        <f>1761.1+(821.4-338.5)+(0.898161+(0.418914-0.172635))+0-463.3-0.236282999999953</f>
        <v>1781.6081570000001</v>
      </c>
      <c r="Q71" s="3">
        <f>1930.9+(745.7-503.6)+(0+(0-0))+0-337.4-0</f>
        <v>1835.6</v>
      </c>
      <c r="R71" s="3">
        <f>1994.9+(818.7-629)+(-2.034798+(-0.835074--0.64158))+0-385--0.392700000000061</f>
        <v>1797.7644080000007</v>
      </c>
      <c r="S71" s="3">
        <f>1958.7+(1159.6-934.8)+(-1.997874+(-1.182792--0.953496))+0-484.3--0.493986000000077</f>
        <v>1697.4668160000001</v>
      </c>
      <c r="T71" s="3">
        <f>1965.4+(1183.9-965)+(0+(0-0))+0-440.6-0</f>
        <v>1743.7000000000003</v>
      </c>
      <c r="U71" s="3">
        <f>2110+(1162.5-1068.6)+(1.0761+(0.592875-0.544986))+0-417.7-0.213026999999958</f>
        <v>1787.1109620000002</v>
      </c>
      <c r="V71" s="3">
        <f>2100.9+(1118.5-1036.9)+(-3.214377+(-1.711305--1.586457))+0-418.4--0.640152000000024</f>
        <v>1761.4009269999997</v>
      </c>
      <c r="W71" s="3">
        <f>2116.4+(1323.4-1260.4)+(-3.238092+(-2.024802--1.928412))+0-426.8--0.653004000000025</f>
        <v>1749.9185219999999</v>
      </c>
      <c r="X71" s="3">
        <f>2163.6+(1035.4-1055.5)+(-8.827488+(-4.224432--4.30644))+0-432--1.76255999999996</f>
        <v>1704.5170799999999</v>
      </c>
      <c r="Y71" s="3">
        <f>2214.7+(398.4-489.8)+(-1.129497+(-0.203184--0.249798))+0-427.4--0.217973999999957</f>
        <v>1695.0350909999995</v>
      </c>
      <c r="Z71" s="3">
        <f>2274.2+(946-940.1)+(0+(0-0))+0-431.9-0</f>
        <v>1848.1999999999998</v>
      </c>
      <c r="AA71" s="3">
        <f>2294.1+(919.5-820.2)+(-3.509973+(-1.406835--1.254906))+0-434.6--0.664938000000025</f>
        <v>1955.803036</v>
      </c>
      <c r="AB71" s="3">
        <f>2291.2+(1376.8-1342.7)+(-3.505536+(-2.106504--2.054331))+0-436.1--0.667233000000025</f>
        <v>1886.3095239999998</v>
      </c>
      <c r="AC71" s="3">
        <f>2281.6+(1649.1-1719.1)+(-5.81808+(-4.205205--4.383705))+0-435--1.10924999999994</f>
        <v>1772.0696699999999</v>
      </c>
      <c r="AD71">
        <f t="shared" si="1"/>
        <v>39991.491509999985</v>
      </c>
      <c r="AE71" s="3">
        <f>2282+(827.9-776.9)+(0+(0-0))+0-427.1-0</f>
        <v>1905.9</v>
      </c>
    </row>
    <row r="72" spans="1:31" s="2" customFormat="1" x14ac:dyDescent="0.25">
      <c r="A72">
        <v>89</v>
      </c>
      <c r="B72">
        <v>3</v>
      </c>
      <c r="C72">
        <v>10</v>
      </c>
      <c r="D72">
        <v>3</v>
      </c>
      <c r="E72">
        <v>1</v>
      </c>
      <c r="F72" s="3">
        <f>2109.3+(1611.5-1649)+(-1.075743+(-0.821865--0.84099))+0-434.6--0.221645999999956</f>
        <v>1636.3650280000002</v>
      </c>
      <c r="G72" s="3">
        <f>1955.7+(1464-1443.5)+(-1.994814+(-1.49328--1.47237))+0-436--0.44472000000007</f>
        <v>1538.6289959999999</v>
      </c>
      <c r="H72" s="3">
        <f>1711.9+(1461.6-1263.8)+(0+(0-0))+0-437.6-0</f>
        <v>1472.1</v>
      </c>
      <c r="I72" s="3">
        <f>1417.3+(1491.4-1050.9)+(-2.168469+(-2.281842--1.607877))+0-434.3--0.664479000000025</f>
        <v>1421.3220450000001</v>
      </c>
      <c r="J72" s="3">
        <f>1412.7+(1460.6-1039.5)+(-2.161431+(-2.234718--1.590435))+0-428.9--0.656217000000025</f>
        <v>1402.750503</v>
      </c>
      <c r="K72" s="3">
        <f>1412.4+(1403.1-993.5)+(-1.440648+(-1.431162--1.01337))+0-421.9--0.430338000000067</f>
        <v>1398.6718980000001</v>
      </c>
      <c r="L72" s="3">
        <f>1413+(1077.2-692.9)+(0+(0-0))+0-418.6-0</f>
        <v>1378.7000000000003</v>
      </c>
      <c r="M72" s="3">
        <f>1463.1+(979.7-539.8)+(0.746181+(0.499647-0.275298))+0-423.5-0.215984999999957</f>
        <v>1480.254545</v>
      </c>
      <c r="N72" s="3">
        <f>1554.3+(963-449.8)+(1.585386+(0.98226-0.458796))+0-424.8-0.433296000000068</f>
        <v>1644.375554</v>
      </c>
      <c r="O72" s="3">
        <f>1571.9+(1071.9-491)+(0+(0-0))+7.8-427.6-0</f>
        <v>1733.0000000000005</v>
      </c>
      <c r="P72" s="3">
        <f>1666.8+(1051.9-543.2)+(0.850068+(0.536469-0.277032))+15.7-419.5-0.213944999999957</f>
        <v>1772.5955599999998</v>
      </c>
      <c r="Q72" s="3">
        <f>1845+(1043.3-590.4)+(0.94095+(0.532083-0.301104))+0-422.9-0.215678999999957</f>
        <v>1875.9562500000002</v>
      </c>
      <c r="R72" s="3">
        <f>1905.3+(1012.4-672.8)+(-1.943406+(-1.032648--0.686256))+0-422.2--0.430644000000067</f>
        <v>1820.8408460000003</v>
      </c>
      <c r="S72" s="3">
        <f>2244.4+(1133.1-1183.2)+(-2.289288+(-1.155762--1.206864))+0-424.1--0.432582000000068</f>
        <v>1768.3943960000004</v>
      </c>
      <c r="T72" s="3">
        <f>2246.6+(1148.6-1219.8)+(-1.145766+(-0.585786--0.622098))+0-425.2--0.216851999999957</f>
        <v>1749.3073979999997</v>
      </c>
      <c r="U72" s="3">
        <f>2228.9+(1248.1-1258.8)+(-2.273478+(-1.273062--1.283976))+0-424.2--0.432684000000068</f>
        <v>1792.1701199999998</v>
      </c>
      <c r="V72" s="3">
        <f>2099.6+(1387-1247.8)+(-4.283184+(-2.82948--2.545512))+0-415.3--0.847211999999982</f>
        <v>1819.78006</v>
      </c>
      <c r="W72" s="3">
        <f>2002.4+(1449.4-1230.4)+(-6.127344+(-4.435164--3.765024))+1.5-423.5--1.29591000000005</f>
        <v>1793.898426</v>
      </c>
      <c r="X72" s="3">
        <f>2028.9+(1498.5-1340.2)+(-5.173695+(-3.821175--3.41751))+3.7-410.1--1.04575499999994</f>
        <v>1776.2683949999994</v>
      </c>
      <c r="Y72" s="3">
        <f>2011.2+(1291.6-1142.9)+(-2.051424+(-1.317432--1.165758))+0-408.2--0.416364000000065</f>
        <v>1749.9132659999998</v>
      </c>
      <c r="Z72" s="3">
        <f>2257.7+(1237.3-1171)+(-2.302854+(-1.262046--1.19442))+0-405.2--0.413304000000065</f>
        <v>1916.8428240000001</v>
      </c>
      <c r="AA72" s="3">
        <f>2305.7+(1198.9-1064)+(-1.175907+(-0.611439--0.54264))+0-402.3--0.205172999999959</f>
        <v>2037.2604670000001</v>
      </c>
      <c r="AB72" s="3">
        <f>2301.7+(1322.6-1254.2)+(-2.347734+(-1.349052--1.279284))+0-400.7--0.408714000000064</f>
        <v>1967.3912119999998</v>
      </c>
      <c r="AC72" s="3">
        <f>2245.8+(1303.2-1287.7)+(-3.436074+(-1.993896--1.970181))+0-403.8--0.617814000000023</f>
        <v>1854.6580250000002</v>
      </c>
      <c r="AD72">
        <f t="shared" si="1"/>
        <v>40801.445813999999</v>
      </c>
      <c r="AE72" s="3">
        <f>2313+(1154.9-1003.3)+(0+(0-0))+0-397-0</f>
        <v>2067.6000000000004</v>
      </c>
    </row>
    <row r="73" spans="1:31" s="2" customFormat="1" x14ac:dyDescent="0.25">
      <c r="A73">
        <v>89</v>
      </c>
      <c r="B73">
        <v>3</v>
      </c>
      <c r="C73">
        <v>11</v>
      </c>
      <c r="D73">
        <v>4</v>
      </c>
      <c r="E73">
        <v>1</v>
      </c>
      <c r="F73" s="3">
        <f>1991.8+(1707.8-1593.4)+(-5.07909+(-4.35489--4.06317))+0-439.5--1.12072499999994</f>
        <v>1662.4499149999999</v>
      </c>
      <c r="G73" s="3">
        <f>1790+(1670.5-1443.5)+(-2.7387+(-2.555865--2.208555))+0-453.1--0.693243000000026</f>
        <v>1561.507233</v>
      </c>
      <c r="H73" s="3">
        <f>1680+(1592.4-1310.5)+(-2.5704+(-2.436372--2.005065))+0-447.3--0.684369000000026</f>
        <v>1512.2826620000003</v>
      </c>
      <c r="I73" s="3">
        <f>1565+(1637.5-1307.7)+(0+(0-0))+0-448.9-0</f>
        <v>1445.9</v>
      </c>
      <c r="J73" s="3">
        <f>1429.9+(1633.5-1151.7)+(0.729249+(0.833085-0.587367))+0-455.7-0.232406999999954</f>
        <v>1456.7425600000001</v>
      </c>
      <c r="K73" s="3">
        <f>1426.4+(1595.4-1132.8)+(-4.364784+(-4.881924--3.466368))+0-461.2--1.41127200000005</f>
        <v>1423.4309320000002</v>
      </c>
      <c r="L73" s="3">
        <f>1426.2+(1238.5-794.9)+(-0.727362+(-0.631635--0.405399))+0-454.2--0.231641999999954</f>
        <v>1414.878044</v>
      </c>
      <c r="M73" s="3">
        <f>1426.2+(1071.3-540.1)+(-2.909448+(-2.185452--1.101804))+0-449.3--0.91657199999998</f>
        <v>1505.0234760000003</v>
      </c>
      <c r="N73" s="3">
        <f>1464.8+(1118.8-484.6)+(0.747048+(0.570588-0.247146))+0-446-0.227459999999955</f>
        <v>1653.84303</v>
      </c>
      <c r="O73" s="3">
        <f>1592.4+(1258.2-631.4)+(0.812124+(0.641682-0.322014))+0-450.6-0.229805999999954</f>
        <v>1769.5019860000004</v>
      </c>
      <c r="P73" s="3">
        <f>1744.7+(1239.2-679.4)+(-1.779594+(-1.263984--0.692988))+0-443.4--0.452268000000071</f>
        <v>1859.2016779999999</v>
      </c>
      <c r="Q73" s="3">
        <f>1891.4+(1026.9-598.7)+(-0.964614+(-0.523719--0.305337))+0-456.7--0.232916999999954</f>
        <v>1861.9499210000004</v>
      </c>
      <c r="R73" s="3">
        <f>2110.3+(890.5-708.7)+(1.076253+(0.454155-0.361437))+0-439.4-0.224093999999955</f>
        <v>1853.6448770000004</v>
      </c>
      <c r="S73" s="3">
        <f>2119.4+(1140.5-1031.1)+(-1.080894+(-0.581655--0.525861))+0-451--0.230009999999954</f>
        <v>1776.8933220000001</v>
      </c>
      <c r="T73" s="3">
        <f>2117.6+(1135.8-1013.3)+(2.159952+(1.158516-1.033566))+0-408.6-0.416772000000065</f>
        <v>1833.3681299999998</v>
      </c>
      <c r="U73" s="3">
        <f>2119.9+(1138.9-994.9)+(-3.243447+(-1.742517--1.522197))+0-447.9--0.685287000000026</f>
        <v>1813.2215199999998</v>
      </c>
      <c r="V73" s="3">
        <f>2120.3+(1200.5-1092.7)+(-2.162706+(-1.22451--1.114554))+0-409.9--0.418098000000065</f>
        <v>1816.3454360000005</v>
      </c>
      <c r="W73" s="3">
        <f>2048.3+(1357.6-1176.9)+(-5.223165+(-3.46188--3.001095))+0-412.3--1.05136499999994</f>
        <v>1812.067415</v>
      </c>
      <c r="X73" s="3">
        <f>1950+(1426.9-1194.1)+(-4.9725+(-3.638595--3.044955))+0-407.8--1.03988999999994</f>
        <v>1770.4737500000003</v>
      </c>
      <c r="Y73" s="3">
        <f>1976.8+(1159.8-999.7)+(-1.008168+(-0.591498--0.509847))+0-408.3--0.208232999999959</f>
        <v>1727.7184139999999</v>
      </c>
      <c r="Z73" s="3">
        <f>2225.3+(1086.7-983.6)+(-2.269806+(-1.108434--1.003272))+0-397.5--0.405450000000063</f>
        <v>1928.930482</v>
      </c>
      <c r="AA73" s="3">
        <f>2308.3+(1055.1-974.1)+(-1.177233+(-0.538101--0.496791))+0-379--0.193289999999962</f>
        <v>2009.2747470000002</v>
      </c>
      <c r="AB73" s="3">
        <f>2303.6+(1423.9-1388.5)+(-1.174836+(-0.726189--0.708135))+0-380.5--0.194054999999961</f>
        <v>1957.5011650000001</v>
      </c>
      <c r="AC73" s="3">
        <f>2280.4+(2080.5-2079.5)+(-4.652016+(-4.24422--4.24218))+0-434--0.885359999999981</f>
        <v>1843.6313040000002</v>
      </c>
      <c r="AD73">
        <f t="shared" si="1"/>
        <v>41269.781999000013</v>
      </c>
      <c r="AE73" s="3">
        <f>2288+(1005.1-855)+(0+(0-0))+0-403.7-0</f>
        <v>2034.3999999999999</v>
      </c>
    </row>
    <row r="74" spans="1:31" s="2" customFormat="1" x14ac:dyDescent="0.25">
      <c r="A74">
        <v>89</v>
      </c>
      <c r="B74">
        <v>3</v>
      </c>
      <c r="C74">
        <v>12</v>
      </c>
      <c r="D74">
        <v>5</v>
      </c>
      <c r="E74">
        <v>1</v>
      </c>
      <c r="F74" s="3">
        <f>2116.8+(1856.4-1900.5)+(-1.079568+(-0.946764--0.969255))+0-459.7--0.234446999999953</f>
        <v>1612.1773700000003</v>
      </c>
      <c r="G74" s="3">
        <f>1756.8+(1539.6-1270.6)+(-1.791936+(-1.570392--1.296012))+0-412.3--0.420546000000066</f>
        <v>1611.8542300000001</v>
      </c>
      <c r="H74" s="3">
        <f>1429.4+(1497.4-969.1)+(-0.728994+(-0.763674--0.494241))+0-453.4--0.231233999999954</f>
        <v>1503.532807</v>
      </c>
      <c r="I74" s="3">
        <f>1421.4+(1559.2-1055.3)+(-2.899656+(-3.180768--2.152812))+0-441.1--0.899843999999981</f>
        <v>1481.1722320000003</v>
      </c>
      <c r="J74" s="3">
        <f>1399.4+(1545.4-1043.7)+(0.713694+(0.788154-0.532287))+0-409-0.208589999999959</f>
        <v>1492.8609710000003</v>
      </c>
      <c r="K74" s="3">
        <f>1322.6+(1579.9-1009.5)+(-2.698104+(-3.222996--2.05938))+0-447.8--0.91351199999998</f>
        <v>1442.251792</v>
      </c>
      <c r="L74" s="3">
        <f>1284.1+(1186.7-540)+(-2.619564+(-2.420868--1.1016))+0-451.5--0.92105999999998</f>
        <v>1476.2822279999998</v>
      </c>
      <c r="M74" s="3">
        <f>1281.7+(867.6-217.9)+(0.653667+(0.442476-0.111129))+0-450.4-0.229703999999954</f>
        <v>1481.7553100000005</v>
      </c>
      <c r="N74" s="3">
        <f>1335.3+(1023.8-306.9)+(-2.043009+(-1.566414--0.469557))+0-453.6--0.694008000000026</f>
        <v>1596.1541419999999</v>
      </c>
      <c r="O74" s="3">
        <f>1461.8+(1030.1-319.3)+(-1.491036+(-1.050702--0.325686))+0-407.8--0.415956000000065</f>
        <v>1762.9999039999998</v>
      </c>
      <c r="P74" s="3">
        <f>1573.4+(1201.8-455.1)+(0+(0-0))+0-409.3-0</f>
        <v>1910.8</v>
      </c>
      <c r="Q74" s="3">
        <f>1759.7+(953.2-391.8)+(0.897447+(0.486132-0.199818))+0-454-0.231539999999954</f>
        <v>1868.0522210000001</v>
      </c>
      <c r="R74" s="3">
        <f>1958.2+(837.9-486.8)+(1.997364+(0.854658-0.496536))+0-439.8-0.44859600000007</f>
        <v>1871.40689</v>
      </c>
      <c r="S74" s="3">
        <f>2010.2+(991.8-766.6)+(-1.025202+(-0.505818--0.390966))+0-463.6--0.236435999999953</f>
        <v>1770.8963820000001</v>
      </c>
      <c r="T74" s="3">
        <f>2088.6+(946.4-785.5)+(-3.195558+(-1.447992--1.201815))+0-453.9--0.694467000000026</f>
        <v>1792.8527320000001</v>
      </c>
      <c r="U74" s="3">
        <f>2190.4+(978.9-913.1)+(0+(0-0))+0-413.2-0</f>
        <v>1842.9999999999998</v>
      </c>
      <c r="V74" s="3">
        <f>2243+(948.6-966.5)+(-1.14393+(-0.483786--0.492915))+0-417.9--0.213128999999958</f>
        <v>1806.2783279999996</v>
      </c>
      <c r="W74" s="3">
        <f>2241.4+(1090.5-1095.6)+(-2.286228+(-1.11231--1.117512))+0-419.9--0.428298000000067</f>
        <v>1814.547272</v>
      </c>
      <c r="X74" s="3">
        <f>2237.5+(982.4-1017.3)+(-3.423375+(-1.503072--1.556469))+0-419.5--0.641835000000024</f>
        <v>1780.3718569999999</v>
      </c>
      <c r="Y74" s="3">
        <f>2249.1+(836.4-909.8)+(0+(0-0))+0-417.2-0</f>
        <v>1758.4999999999998</v>
      </c>
      <c r="Z74" s="3">
        <f>2300+(786.8-738.7)+(0+(0-0))+0-422.3-0</f>
        <v>1925.8</v>
      </c>
      <c r="AA74" s="3">
        <f>2307.3+(1003.6-828.3)+(-2.353446+(-1.023672--0.844866))+0-420.6--0.429012000000067</f>
        <v>2059.8967600000005</v>
      </c>
      <c r="AB74" s="3">
        <f>2301+(1186.9-1071.1)+(-2.34702+(-1.210638--1.092522))+0-419.8--0.428196000000067</f>
        <v>1994.9630600000005</v>
      </c>
      <c r="AC74" s="3">
        <f>2265.2+(1750.7-1708.7)+(-3.465756+(-2.678571--2.614311))+0-422.9--0.647037000000024</f>
        <v>1881.4170209999995</v>
      </c>
      <c r="AD74">
        <f t="shared" si="1"/>
        <v>41539.823509000002</v>
      </c>
      <c r="AE74" s="3">
        <f>2302+(1027-859.6)+(0+(0-0))+0-418.7-0</f>
        <v>2050.7000000000003</v>
      </c>
    </row>
    <row r="75" spans="1:31" s="2" customFormat="1" x14ac:dyDescent="0.25">
      <c r="A75">
        <v>89</v>
      </c>
      <c r="B75">
        <v>3</v>
      </c>
      <c r="C75">
        <v>13</v>
      </c>
      <c r="D75">
        <v>6</v>
      </c>
      <c r="E75">
        <v>1</v>
      </c>
      <c r="F75" s="3">
        <f>2135.2+(2214-2184.1)+(0+(0-0))+0-470-0</f>
        <v>1695.1</v>
      </c>
      <c r="G75" s="3">
        <f>1959.2+(2168.8-2074.4)+(-0.999192+(-1.106088--1.057944))+0-466.7--0.238016999999953</f>
        <v>1586.0906810000001</v>
      </c>
      <c r="H75" s="3">
        <f>1690.3+(2402.2-2125.4)+(-1.724106+(-2.450244--2.167908))+0-470.8--0.480216000000075</f>
        <v>1494.7737739999998</v>
      </c>
      <c r="I75" s="3">
        <f>1568.9+(2264.9-1899.7)+(-1.600278+(-2.310198--1.937694))+0-465.4--0.474708000000074</f>
        <v>1467.201926</v>
      </c>
      <c r="J75" s="3">
        <f>1567.8+(1794.2-1449.4)+(-1.599156+(-1.830084--1.478388))+0-470.5--0.479910000000075</f>
        <v>1440.629058</v>
      </c>
      <c r="K75" s="3">
        <f>1563.6+(1706.9-1368.8)+(-1.594872+(-1.741038--1.396176))+0-465.4--0.474708000000074</f>
        <v>1434.8349740000001</v>
      </c>
      <c r="L75" s="3">
        <f>1564.5+(1393.2-1089.7)+(-0.797895+(-0.710532--0.555747))+0-464--0.236639999999953</f>
        <v>1403.2839599999998</v>
      </c>
      <c r="M75" s="3">
        <f>1564.1+(1068.7-713.7)+(0+(0-0))+0-440.8-0</f>
        <v>1478.3</v>
      </c>
      <c r="N75" s="3">
        <f>1618.4+(1059.5-663.7)+(1.650768+(1.08069-0.676974))+0-373.4-0.380868000000059</f>
        <v>1642.473616</v>
      </c>
      <c r="O75" s="3">
        <f>1775.1+(1310.6-977.6)+(-0.905301+(-0.668406--0.498576))+0-378--0.192779999999962</f>
        <v>1729.2176489999997</v>
      </c>
      <c r="P75" s="3">
        <f>2086.2+(1198-1084.7)+(0+(0-0))+0-426-0</f>
        <v>1773.5</v>
      </c>
      <c r="Q75" s="3">
        <f>2231+(869-833.4)+(2.27562+(0.88638-0.850068))+0-426.1-0.434622000000068</f>
        <v>1842.3773100000001</v>
      </c>
      <c r="R75" s="3">
        <f>2246.6+(809.4-770.4)+(0+(0-0))+0-439.4-0</f>
        <v>1846.1999999999998</v>
      </c>
      <c r="S75" s="3">
        <f>2243.7+(1027.3-1066.6)+(-2.288574+(-1.047846--1.087932))+0-434.4--0.443088000000069</f>
        <v>1768.1945999999994</v>
      </c>
      <c r="T75" s="3">
        <f>2244.1+(1060.4-1100.1)+(-2.288982+(-1.081608--1.122102))+0-437.5--0.44625000000007</f>
        <v>1765.0977619999999</v>
      </c>
      <c r="U75" s="3">
        <f>2244+(1262.6-1281.9)+(-1.14444+(-0.643926--0.653769))+0-439.5--0.224144999999955</f>
        <v>1784.2895479999995</v>
      </c>
      <c r="V75" s="3">
        <f>2245.7+(1282.5-1292.8)+(-5.726535+(-3.270375--3.29664))+0-453.5--1.15642499999993</f>
        <v>1777.3561549999997</v>
      </c>
      <c r="W75" s="3">
        <f>2243.9+(1436-1465.3)+(-5.721945+(-3.6618--3.736515))+0-407.3--1.03861499999994</f>
        <v>1802.6913850000003</v>
      </c>
      <c r="X75" s="3">
        <f>2244.3+(1302.2-1391.7)+(-4.578372+(-2.656488--2.839068))+0-417.2--0.851087999999982</f>
        <v>1734.0552960000002</v>
      </c>
      <c r="Y75" s="3">
        <f>2265.5+(991.2-1113.7)+(0+(0-0))+0-421.4-0</f>
        <v>1721.6</v>
      </c>
      <c r="Z75" s="3">
        <f>2287.4+(1080.9-1070.9)+(-3.499722+(-1.653777--1.638477))+0-421.5--0.644895000000024</f>
        <v>1873.0298730000002</v>
      </c>
      <c r="AA75" s="3">
        <f>2305.6+(970.2-831.1)+(-3.527568+(-1.484406--1.271583))+0-422.8--0.646884000000024</f>
        <v>2018.806493</v>
      </c>
      <c r="AB75" s="3">
        <f>2305.1+(1393.8-1310.3)+(-1.175601+(-0.710838--0.668253))+0-422.9--0.215678999999957</f>
        <v>1964.6974929999997</v>
      </c>
      <c r="AC75" s="3">
        <f>2258.9+(2049.6-2017.1)+(-3.456117+(-3.135888--3.086163))+0-427.3--0.653769000000025</f>
        <v>1861.2479270000001</v>
      </c>
      <c r="AD75">
        <f t="shared" si="1"/>
        <v>40905.049479999994</v>
      </c>
      <c r="AE75" s="3">
        <f>2308+(883-693)+(0+(0-0))+0-419.5-0</f>
        <v>2078.5</v>
      </c>
    </row>
    <row r="76" spans="1:31" s="2" customFormat="1" x14ac:dyDescent="0.25">
      <c r="A76">
        <v>89</v>
      </c>
      <c r="B76">
        <v>3</v>
      </c>
      <c r="C76">
        <v>14</v>
      </c>
      <c r="D76">
        <v>7</v>
      </c>
      <c r="E76">
        <v>4</v>
      </c>
      <c r="F76" s="3">
        <f>2196.1+(1988.3-2015.4)+(0+(0-0))+0-425.2-0</f>
        <v>1743.8</v>
      </c>
      <c r="G76" s="3">
        <f>1910.9+(2001.1-1870.5)+(-0.974559+(-1.020561--0.953955))+0-426.9--0.217718999999957</f>
        <v>1613.7765539999998</v>
      </c>
      <c r="H76" s="3">
        <f>1638.3+(2130-1813.5)+(1.671066+(2.1726-1.84977))+0-427-0.435540000000068</f>
        <v>1529.3583559999997</v>
      </c>
      <c r="I76" s="3">
        <f>1566.4+(2238.6-1900.5)+(-1.597728+(-2.283372--1.93851))+0-418.7--0.427074000000067</f>
        <v>1484.284484</v>
      </c>
      <c r="J76" s="3">
        <f>1566+(1913.1-1595.2)+(0+(0-0))+0-419.1-0</f>
        <v>1464.7999999999997</v>
      </c>
      <c r="K76" s="3">
        <f>1564.5+(2077.4-1786.4)+(0+(0-0))+0-420.4-0</f>
        <v>1435.1</v>
      </c>
      <c r="L76" s="3">
        <f>1564.9+(1883.3-1658.6)+(0+(0-0))+0-417.8-0</f>
        <v>1371.8000000000002</v>
      </c>
      <c r="M76" s="3">
        <f>1563.6+(1611-1346.3)+(-2.392308+(-2.46483--2.059839))+0-420.8--0.643824000000024</f>
        <v>1405.3465249999999</v>
      </c>
      <c r="N76" s="3">
        <f>1565.3+(1470.8-1128.5)+(-1.596606+(-1.500216--1.15107))+0-424.8--0.433296000000068</f>
        <v>1481.287544</v>
      </c>
      <c r="O76" s="3">
        <f>1524.9+(1418.1-975.1)+(-0.777699+(-0.723231--0.497301))+0-410.4--0.209303999999958</f>
        <v>1556.7056750000002</v>
      </c>
      <c r="P76" s="3">
        <f>1531.3+(1381.3-891.7)+(0.780963+(0.704463-0.454767))+0-408.3-0.208232999999959</f>
        <v>1613.4224259999999</v>
      </c>
      <c r="Q76" s="3">
        <f>1639+(1456-1034.5)+(0+(0-0))+0-409.8-0</f>
        <v>1650.7</v>
      </c>
      <c r="R76" s="3">
        <f>1986.8+(1371.5-1280.2)+(-2.026536+(-1.39893--1.305804))+0-414.5--0.422790000000066</f>
        <v>1661.9031279999999</v>
      </c>
      <c r="S76" s="3">
        <f>2093.6+(1414.1-1438.6)+(-2.135472+(-1.442382--1.467372))+0-420.1--0.428502000000067</f>
        <v>1647.3180199999999</v>
      </c>
      <c r="T76" s="3">
        <f>2110.6+(1426.5-1488.6)+(-2.152812+(-1.45503--1.518372))+0-425.1--0.433602000000068</f>
        <v>1621.7441320000003</v>
      </c>
      <c r="U76" s="3">
        <f>2058+(1446.7-1457.2)+(-2.09916+(-1.475634--1.486344))+0-420.8--0.429216000000067</f>
        <v>1625.0407660000001</v>
      </c>
      <c r="V76" s="3">
        <f>2022.4+(1356.1-1338.7)+(-2.062848+(-1.383222--1.365474))+0-415.7--0.424014000000066</f>
        <v>1622.4434180000001</v>
      </c>
      <c r="W76" s="3">
        <f>2053.8+(1321.4-1316.9)+(-3.142314+(-2.021742--2.014857))+0-420.3--0.643059000000024</f>
        <v>1635.4938600000003</v>
      </c>
      <c r="X76" s="3">
        <f>2051.4+(1143.8-1153.7)+(-2.092428+(-1.166676--1.176774))+0-420.2--0.428604000000067</f>
        <v>1619.6462740000002</v>
      </c>
      <c r="Y76" s="3">
        <f>2056.1+(1006.7-1056.2)+(-1.048611+(-0.513417--0.538662))+0-419.4--0.213893999999957</f>
        <v>1586.3905279999999</v>
      </c>
      <c r="Z76" s="3">
        <f>2217.3+(1393.9-1441.2)+(-1.130823+(-0.710889--0.735012))+0-420.8--0.214607999999957</f>
        <v>1748.3079080000002</v>
      </c>
      <c r="AA76" s="3">
        <f>2308.8+(1362.1-1289.5)+(-1.177488+(-0.694671--0.657645))+0-432.7--0.220676999999956</f>
        <v>1947.7061630000003</v>
      </c>
      <c r="AB76" s="3">
        <f>2288.5+(1475.4-1425.6)+(-3.501405+(-2.257362--2.181168))+0-432.6--0.661878000000025</f>
        <v>1902.7842790000002</v>
      </c>
      <c r="AC76" s="3">
        <f>2152.3+(1699.4-1611)+(-2.195346+(-1.733388--1.64322))+0-425.4--0.433908000000068</f>
        <v>1813.448394</v>
      </c>
      <c r="AD76">
        <f t="shared" si="1"/>
        <v>38782.608433999994</v>
      </c>
      <c r="AE76" s="3">
        <f>2299+(1357-1298.1)+(0+(0-0))+0-432.1-0</f>
        <v>1925.8000000000002</v>
      </c>
    </row>
    <row r="77" spans="1:31" s="2" customFormat="1" x14ac:dyDescent="0.25">
      <c r="A77">
        <v>89</v>
      </c>
      <c r="B77">
        <v>3</v>
      </c>
      <c r="C77">
        <v>15</v>
      </c>
      <c r="D77">
        <v>1</v>
      </c>
      <c r="E77">
        <v>4</v>
      </c>
      <c r="F77" s="3">
        <f>2122.2+(2187.6-2130.6)+(-3.246966+(-3.347028--3.259818))+0-428.9--0.656217000000025</f>
        <v>1747.6220409999999</v>
      </c>
      <c r="G77" s="3">
        <f>1990.8+(2079.2-2083.6)+(0+(0-0))+0-428.8-0</f>
        <v>1557.6</v>
      </c>
      <c r="H77" s="3">
        <f>1655.7+(1874.8-1629.1)+(1.688814+(1.912296-1.661682))+0-430-0.438600000000069</f>
        <v>1472.9008279999998</v>
      </c>
      <c r="I77" s="3">
        <f>1495.4+(1926.7-1565.5)+(-1.525308+(-1.965234--1.59681))+0-424.9--0.433398000000068</f>
        <v>1430.2396660000004</v>
      </c>
      <c r="J77" s="3">
        <f>1464+(1854.4-1479.9)+(0+(0-0))+0-426.3-0</f>
        <v>1412.2</v>
      </c>
      <c r="K77" s="3">
        <f>1462.6+(1829.7-1474)+(-2.983704+(-3.732588--3.00696))+0-422.5--0.861899999999982</f>
        <v>1392.9525679999999</v>
      </c>
      <c r="L77" s="3">
        <f>1461.2+(1778.8-1465.3)+(-1.490424+(-1.814376--1.494606))+0-423.5--0.431970000000068</f>
        <v>1349.8217760000002</v>
      </c>
      <c r="M77" s="3">
        <f>1461+(1406.2-1032.8)+(0+(0-0))+0-422.5-0</f>
        <v>1411.9</v>
      </c>
      <c r="N77" s="3">
        <f>1528.3+(1457.9-1044.3)+(0.779433+(0.743529-0.532593))+0-426.1-0.217310999999957</f>
        <v>1516.5730580000004</v>
      </c>
      <c r="O77" s="3">
        <f>1626+(1406.3-993.6)+(0.82926+(0.717213-0.506736))+0-427.5-0.218024999999957</f>
        <v>1612.021712</v>
      </c>
      <c r="P77" s="3">
        <f>1723.7+(1413.3-1030)+(2.637261+(2.162349-1.5759))+0-423.7-0.648261000000025</f>
        <v>1685.8754490000001</v>
      </c>
      <c r="Q77" s="3">
        <f>1856.3+(1401.1-1080.7)+(1.893426+(1.429122-1.102314))+0-431.7-0.440334000000069</f>
        <v>1746.7798999999995</v>
      </c>
      <c r="R77" s="3">
        <f>1931.6+(1279.2-1046.5)+(0+(0-0))+0-433-0</f>
        <v>1731.3000000000002</v>
      </c>
      <c r="S77" s="3">
        <f>1946.2+(1184.2-1055.8)+(-0.992562+(-0.603942--0.538458))+0-427.1--0.217820999999957</f>
        <v>1646.6597750000003</v>
      </c>
      <c r="T77" s="3">
        <f>2134.4+(1074.8-1112.7)+(0+(0-0))+0-425.3-0</f>
        <v>1671.2</v>
      </c>
      <c r="U77" s="3">
        <f>2171.2+(1253.4-1301.1)+(-2.214624+(-1.278468--1.327122))+0-427.8--0.436356000000068</f>
        <v>1693.9703860000002</v>
      </c>
      <c r="V77" s="3">
        <f>2164.1+(1220.7-1275.3)+(-1.103691+(-0.622557--0.650403))+13.2-426.7--0.217616999999957</f>
        <v>1695.1417719999999</v>
      </c>
      <c r="W77" s="3">
        <f>2164.9+(1198.8-1260.9)+(-5.520495+(-3.05694--3.215295))+0-427--1.08884999999994</f>
        <v>1671.5267099999999</v>
      </c>
      <c r="X77" s="3">
        <f>2163.3+(1403.8-1464.2)+(-3.309849+(-2.147814--2.240226))+0-426.9--0.653157000000025</f>
        <v>1673.4357200000002</v>
      </c>
      <c r="Y77" s="3">
        <f>2189.7+(1243.6-1305)+(-6.700482+(-3.805416--3.9933))+4.9-421.9--1.29101400000005</f>
        <v>1706.0784160000001</v>
      </c>
      <c r="Z77" s="3">
        <f>2306.6+(558.5-587.7)+(-1.176366+(-0.284835--0.299727))+7.5-419.5--0.213944999999957</f>
        <v>1864.4524709999996</v>
      </c>
      <c r="AA77" s="3">
        <f>2315.5+(625.1-590.8)+(-5.904525+(-1.594005--1.50654))+9-414.6--1.05722999999994</f>
        <v>1939.2652400000002</v>
      </c>
      <c r="AB77" s="3">
        <f>2315.6+(957-977)+(-2.361912+(-0.97614--0.99654))+9-406--0.414120000000065</f>
        <v>1896.6726080000001</v>
      </c>
      <c r="AC77" s="3">
        <f>2296.8+(1819-1896.4)+(-4.685472+(-3.71076--3.868656))+9-408.8--0.833951999999982</f>
        <v>1815.9063760000001</v>
      </c>
      <c r="AD77">
        <f t="shared" si="1"/>
        <v>39342.096471999997</v>
      </c>
      <c r="AE77" s="3">
        <f>2304.8+(689.8-641.1)+(0+(0-0))+9-424.8-0</f>
        <v>1937.7</v>
      </c>
    </row>
    <row r="78" spans="1:31" s="2" customFormat="1" x14ac:dyDescent="0.25">
      <c r="A78">
        <v>89</v>
      </c>
      <c r="B78">
        <v>3</v>
      </c>
      <c r="C78">
        <v>16</v>
      </c>
      <c r="D78">
        <v>2</v>
      </c>
      <c r="E78">
        <v>1</v>
      </c>
      <c r="F78" s="3">
        <f>2248.2+(1962.2-2083.9)+(-5.73291+(-5.00361--5.313945))+6.3-450--1.14749999999993</f>
        <v>1678.5249250000002</v>
      </c>
      <c r="G78" s="3">
        <f>2094.3+(1988.6-2043.6)+(-3.204279+(-3.042558--3.126708))+0-463.6--0.709308000000027</f>
        <v>1573.2891790000003</v>
      </c>
      <c r="H78" s="3">
        <f>1810.6+(1987.8-1845.1)+(0.923406+(1.013778-0.941001))+0-464-0.236639999999953</f>
        <v>1490.0595430000001</v>
      </c>
      <c r="I78" s="3">
        <f>1597.2+(1946.6-1636.4)+(-4.07286+(-4.96383--4.17282))+0-444.1--1.13245499999994</f>
        <v>1459.568585</v>
      </c>
      <c r="J78" s="3">
        <f>1536.5+(1701.4-1483.4)+(0+(0-0))+0-417.9-0</f>
        <v>1336.6</v>
      </c>
      <c r="K78" s="3">
        <f>1541.2+(1706.1-1373.6)+(-3.93006+(-4.350555--3.50268))+0-462.9--1.18039499999993</f>
        <v>1407.20246</v>
      </c>
      <c r="L78" s="3">
        <f>1533.1+(1305.7-954.4)+(0.781881+(0.665907-0.486744))+0-419.5-0.213944999999957</f>
        <v>1465.647099</v>
      </c>
      <c r="M78" s="3">
        <f>1536+(1441.8-992.1)+(-0.78336+(-0.735318--0.505971))+0-463.2--0.236231999999953</f>
        <v>1521.7235249999997</v>
      </c>
      <c r="N78" s="3">
        <f>1539.1+(1569.8-965.6)+(0+(0-0))+0-470.4-0</f>
        <v>1672.8999999999996</v>
      </c>
      <c r="O78" s="3">
        <f>1640.9+(1267.3-695.4)+(0.836859+(0.646323-0.354654))+0-408.1-0.208130999999959</f>
        <v>1805.6203970000006</v>
      </c>
      <c r="P78" s="3">
        <f>1860.5+(729.8-293.6)+(0+(0-0))+0-449.3-0</f>
        <v>1847.3999999999999</v>
      </c>
      <c r="Q78" s="3">
        <f>2065+(660.8-398.8)+(1.05315+(0.337008-0.203388))+0-443.3-0.226082999999955</f>
        <v>1884.6606869999998</v>
      </c>
      <c r="R78" s="3">
        <f>2202.2+(769.8-622.4)+(-1.123122+(-0.392598--0.317424))+0-450.8--0.229907999999954</f>
        <v>1897.831612</v>
      </c>
      <c r="S78" s="3">
        <f>2281.3+(587.6-567.5)+(-2.326926+(-0.599352--0.57885))+0-457.9--0.467058000000073</f>
        <v>1841.6196300000001</v>
      </c>
      <c r="T78" s="3">
        <f>2288.8+(737-712.1)+(-2.334576+(-0.75174--0.726342))+0-469--0.478380000000075</f>
        <v>1842.8184060000003</v>
      </c>
      <c r="U78" s="3">
        <f>2283.8+(639.5-612.5)+(-2.329476+(-0.65229--0.62475))+0-475.5--0.485010000000076</f>
        <v>1833.4279940000004</v>
      </c>
      <c r="V78" s="3">
        <f>2283.3+(482.9-446.8)+(-4.657932+(-0.985116--0.911472))+0-426.9--0.870875999999981</f>
        <v>1888.6392999999998</v>
      </c>
      <c r="W78" s="3">
        <f>2292.7+(508.5-501)+(-5.846385+(-1.296675--1.27755))+0-426.2--1.08680999999994</f>
        <v>1869.2212999999997</v>
      </c>
      <c r="X78" s="3">
        <f>2294+(461.3-505)+(-7.01964+(-1.411578--1.5453))+0-430.3--1.31671800000005</f>
        <v>1814.4308000000003</v>
      </c>
      <c r="Y78" s="3">
        <f>2304.4+(448.7-504.8)+(-4.700976+(-0.915348--1.029792))+0-433.3--0.883931999999981</f>
        <v>1811.2974000000004</v>
      </c>
      <c r="Z78" s="3">
        <f>2319.7+(639-592.5)+(0+(0-0))+0-435.9-0</f>
        <v>1930.2999999999997</v>
      </c>
      <c r="AA78" s="3">
        <f>2324+(745.8-583)+(-5.9262+(-1.90179--1.48665))+0-428.9--1.09369499999994</f>
        <v>2052.6523550000002</v>
      </c>
      <c r="AB78" s="3">
        <f>2323.5+(853.8-756.6)+(-4.73994+(-1.741752--1.543464))+0-429--0.875159999999981</f>
        <v>1987.6369319999999</v>
      </c>
      <c r="AC78" s="3">
        <f>2303.6+(1272.3-1257)+(-7.049016+(-3.893238--3.84642))+0-465.3--1.42381800000005</f>
        <v>1847.9279839999995</v>
      </c>
      <c r="AD78">
        <f t="shared" si="1"/>
        <v>41761.000113000009</v>
      </c>
      <c r="AE78" s="3">
        <f>2318.8+(696.6-543)+(0+(0-0))+0-430.7-0</f>
        <v>2041.7</v>
      </c>
    </row>
    <row r="79" spans="1:31" s="2" customFormat="1" x14ac:dyDescent="0.25">
      <c r="A79">
        <v>89</v>
      </c>
      <c r="B79">
        <v>3</v>
      </c>
      <c r="C79">
        <v>17</v>
      </c>
      <c r="D79">
        <v>3</v>
      </c>
      <c r="E79">
        <v>1</v>
      </c>
      <c r="F79" s="3">
        <f>2180.1+(1388.4-1352.1)+(0+(0-0))+0-477.9-0</f>
        <v>1738.5</v>
      </c>
      <c r="G79" s="3">
        <f>1792.8+(1436.4-1139.6)+(-1.828656+(-1.465128--1.162392))+0-482.3--0.491946000000077</f>
        <v>1605.6605540000007</v>
      </c>
      <c r="H79" s="3">
        <f>1504.7+(1501.2-986.7)+(0+(0-0))+0-480.9-0</f>
        <v>1538.3000000000002</v>
      </c>
      <c r="I79" s="3">
        <f>1420.4+(1612.6-1047.2)+(-2.173212+(-2.467278--1.602216))+0-483.4--0.739602000000028</f>
        <v>1500.1013280000002</v>
      </c>
      <c r="J79" s="3">
        <f>1422.3+(1651.3-1117.4)+(-0.725373+(-0.842163--0.569874))+0-445--0.226949999999955</f>
        <v>1510.4292879999998</v>
      </c>
      <c r="K79" s="3">
        <f>1423.1+(1800.7-1281.8)+(-2.903124+(-3.673428--2.614872))+0-477.7--0.974507999999979</f>
        <v>1461.3128280000001</v>
      </c>
      <c r="L79" s="3">
        <f>1420.3+(1334-849.8)+(-1.448706+(-1.36068--0.866796))+0-481.6--0.491232000000077</f>
        <v>1421.4486420000001</v>
      </c>
      <c r="M79" s="3">
        <f>1489.4+(1246.8-754.8)+(0+(0-0))+0-434.6-0</f>
        <v>1546.8000000000002</v>
      </c>
      <c r="N79" s="3">
        <f>1553.9+(1484.9-908.7)+(-0.792489+(-0.757299--0.463437))+0-465.4--0.237353999999953</f>
        <v>1663.8510030000002</v>
      </c>
      <c r="O79" s="3">
        <f>1620.6+(1318.4-740.2)+(-1.653012+(-1.344768--0.755004))+0-455--0.464100000000073</f>
        <v>1742.0213240000003</v>
      </c>
      <c r="P79" s="3">
        <f>1902.9+(877.3-481.3)+(-0.970479+(-0.447423--0.245463))+0-471.5--0.240464999999952</f>
        <v>1826.468026</v>
      </c>
      <c r="Q79" s="3">
        <f>2212.4+(623.4-486.1)+(0+(0-0))+0-426.5-0</f>
        <v>1923.1999999999998</v>
      </c>
      <c r="R79" s="3">
        <f>2229.2+(620.2-494.7)+(-2.273784+(-0.632604--0.504594))+0-439.2--0.44798400000007</f>
        <v>1913.54619</v>
      </c>
      <c r="S79" s="3">
        <f>2227.9+(502.4-428.5)+(-3.408687+(-0.768672--0.655605))+0-440.1--0.673353000000026</f>
        <v>1858.8515990000005</v>
      </c>
      <c r="T79" s="3">
        <f>2227.4+(726.9-606.4)+(-2.271948+(-0.741438--0.618528))+0-437.3--0.44604600000007</f>
        <v>1908.651188</v>
      </c>
      <c r="U79" s="3">
        <f>2230+(663-551.9)+(-1.1373+(-0.33813--0.281469))+0-436.6--0.222665999999956</f>
        <v>1903.5287049999999</v>
      </c>
      <c r="V79" s="3">
        <f>2266.5+(633.5-549.6)+(-2.31183+(-0.64617--0.560592))+0-436.7--0.44543400000007</f>
        <v>1911.7480260000002</v>
      </c>
      <c r="W79" s="3">
        <f>2266.4+(519.3-473.7)+(-4.623456+(-1.059372--0.966348))+0-433--0.883319999999981</f>
        <v>1875.1668399999999</v>
      </c>
      <c r="X79" s="3">
        <f>2263.9+(756.6-741.1)+(-4.618356+(-1.543464--1.511844))+0-433.8--0.884951999999981</f>
        <v>1841.8349759999999</v>
      </c>
      <c r="Y79" s="3">
        <f>2266.3+(987.3-989.7)+(-3.467439+(-1.510569--1.514241))+0-430.1--0.658053000000025</f>
        <v>1830.9942860000001</v>
      </c>
      <c r="Z79" s="3">
        <f>2296.7+(1071.9-972.2)+(-3.513951+(-1.640007--1.487466))+0-430.1--0.658053000000025</f>
        <v>1963.291561</v>
      </c>
      <c r="AA79" s="3">
        <f>2312.2+(893.5-667.2)+(-2.358444+(-0.91137--0.680544))+0-430--0.438600000000069</f>
        <v>2106.34933</v>
      </c>
      <c r="AB79" s="3">
        <f>2312+(1124.4-977.4)+(-3.53736+(-1.720332--1.495422))+0-412.1--0.630513000000024</f>
        <v>2043.768243</v>
      </c>
      <c r="AC79" s="3">
        <f>2261.1+(1480.7-1375.4)+(-3.459483+(-2.265471--2.104362))+0-427.5--0.654075000000025</f>
        <v>1935.9334829999993</v>
      </c>
      <c r="AD79">
        <f t="shared" si="1"/>
        <v>42571.757420000002</v>
      </c>
      <c r="AE79" s="3">
        <f>2309.8+(934.8-708.4)+(0+(0-0))+0-435-0</f>
        <v>2101.2000000000003</v>
      </c>
    </row>
    <row r="80" spans="1:31" s="2" customFormat="1" x14ac:dyDescent="0.25">
      <c r="A80">
        <v>89</v>
      </c>
      <c r="B80">
        <v>3</v>
      </c>
      <c r="C80">
        <v>18</v>
      </c>
      <c r="D80">
        <v>4</v>
      </c>
      <c r="E80">
        <v>1</v>
      </c>
      <c r="F80" s="3">
        <f>2174.1+(2189.7-2136.3)+(-3.326373+(-3.350241--3.268539))+0-428--0.654840000000025</f>
        <v>1796.7467649999996</v>
      </c>
      <c r="G80" s="3">
        <f>1995+(2222.3-2105.9)+(-5.08725+(-5.666865--5.370045))+0-423.4--1.07966999999994</f>
        <v>1683.6955999999998</v>
      </c>
      <c r="H80" s="3">
        <f>1572.8+(2005-1549.4)+(0+(0-0))+0-422.6-0</f>
        <v>1605.7999999999997</v>
      </c>
      <c r="I80" s="3">
        <f>1461.5+(1808-1306.6)+(-2.98146+(-3.68832--2.665464))+0-412.9--0.842315999999982</f>
        <v>1546.838</v>
      </c>
      <c r="J80" s="3">
        <f>1439+(1679.9-1182.9)+(-0.73389+(-0.856749--0.603279))+0-408.1--0.208130999999959</f>
        <v>1527.1207709999999</v>
      </c>
      <c r="K80" s="3">
        <f>1393.9+(1657-1122.6)+(-4.265334+(-5.07042--3.435156))+0-406.8--1.24480800000005</f>
        <v>1516.8442100000004</v>
      </c>
      <c r="L80" s="3">
        <f>1385.7+(1410.9-911.4)+(-1.413414+(-1.439118--0.929628))+0-402.9--0.410958000000064</f>
        <v>1480.7880540000003</v>
      </c>
      <c r="M80" s="3">
        <f>1383.5+(874.4-291.1)+(0+(0-0))+0-444.1-0</f>
        <v>1522.6999999999998</v>
      </c>
      <c r="N80" s="3">
        <f>1364.9+(1171.4-390.8)+(-1.392198+(-1.194828--0.398616))+0-452.9--0.461958000000072</f>
        <v>1690.8735479999998</v>
      </c>
      <c r="O80" s="3">
        <f>1480.2+(1361.1-598.6)+(2.264706+(2.082483-0.915858))+0-444.3-0.679779000000026</f>
        <v>1801.1515519999996</v>
      </c>
      <c r="P80" s="3">
        <f>1777.3+(894.5-355.9)+(-1.812846+(-0.91239--0.363018))+0-434.6--0.443292000000069</f>
        <v>1879.3810740000001</v>
      </c>
      <c r="Q80" s="3">
        <f>1930.2+(851.4-393.6)+(1.968804+(0.868428-0.401472))+0-456.3-0.465426000000073</f>
        <v>1933.6703339999999</v>
      </c>
      <c r="R80" s="3">
        <f>2198.4+(806.7-660.7)+(-3.363552+(-1.234251--1.010871))+0-448.6--0.686358000000026</f>
        <v>1892.8994259999999</v>
      </c>
      <c r="S80" s="3">
        <f>2261+(518-516.1)+(-2.30622+(-0.52836--0.526422))+0-394.9--0.402798000000063</f>
        <v>1866.0946400000003</v>
      </c>
      <c r="T80" s="3">
        <f>2285.1+(566.9-595.4)+(1.165401+(0.289119-0.303654))+0-376.5-0.192014999999962</f>
        <v>1881.058851</v>
      </c>
      <c r="U80" s="3">
        <f>2284.4+(538.3-535.5)+(0+(0-0))+0-399.4-0</f>
        <v>1887.7999999999997</v>
      </c>
      <c r="V80" s="3">
        <f>2281.1+(532-514.1)+(0+(0-0))+0-409.5-0</f>
        <v>1889.5</v>
      </c>
      <c r="W80" s="3">
        <f>2268+(586.7-569.4)+(-4.62672+(-1.196868--1.161576))+0-415.2--0.847007999999982</f>
        <v>1866.2849960000003</v>
      </c>
      <c r="X80" s="3">
        <f>2267.8+(950.6-966.7)+(-4.626312+(-1.939224--1.972068))+0-417.9--0.852515999999982</f>
        <v>1830.0590480000001</v>
      </c>
      <c r="Y80" s="3">
        <f>2243.3+(790.9-829.4)+(-9.152664+(-3.226872--3.383952))+0-416.2--1.69809599999996</f>
        <v>1781.3025120000002</v>
      </c>
      <c r="Z80" s="3">
        <f>2286+(826.5-782)+(-4.66344+(-1.68606--1.59528))+0-422--0.860879999999982</f>
        <v>1904.6066600000001</v>
      </c>
      <c r="AA80" s="3">
        <f>2306.3+(662.4-481.4)+(-2.352426+(-0.675648--0.491028))+0-420.6--0.429012000000067</f>
        <v>2064.5919660000004</v>
      </c>
      <c r="AB80" s="3">
        <f>2288.2+(641.8-492.9)+(-3.500946+(-0.981954--0.754137))+0-425.8--0.651474000000025</f>
        <v>2008.2227109999999</v>
      </c>
      <c r="AC80" s="3">
        <f>2281.5+(1068-1033.9)+(-4.65426+(-2.17872--2.109156))+0-425.6--0.868223999999981</f>
        <v>1886.1443999999999</v>
      </c>
      <c r="AD80">
        <f t="shared" si="1"/>
        <v>42744.175117999999</v>
      </c>
      <c r="AE80" s="3">
        <f>2307.8+(621.1-442.2)+(0+(0-0))+0-420.6-0</f>
        <v>2066.1000000000004</v>
      </c>
    </row>
    <row r="81" spans="1:31" s="2" customFormat="1" x14ac:dyDescent="0.25">
      <c r="A81">
        <v>89</v>
      </c>
      <c r="B81">
        <v>3</v>
      </c>
      <c r="C81">
        <v>19</v>
      </c>
      <c r="D81">
        <v>5</v>
      </c>
      <c r="E81">
        <v>1</v>
      </c>
      <c r="F81" s="3">
        <f>2041.9+(1886.9-1764.3)+(-3.124107+(-2.886957--2.699379))+0-476.4--0.728892000000028</f>
        <v>1685.5172069999999</v>
      </c>
      <c r="G81" s="3">
        <f>1731.6+(2381.4-2030.5)+(-3.532464+(-4.858056--4.14222))+0-480.6--0.980423999999979</f>
        <v>1598.632124</v>
      </c>
      <c r="H81" s="3">
        <f>1562.8+(2375.8-1907.7)+(-1.594056+(-2.423316--1.945854))+0-474.2--0.483684000000076</f>
        <v>1555.1121660000001</v>
      </c>
      <c r="I81" s="3">
        <f>1563.4+(2202.8-1774.7)+(-3.98667+(-5.61714--4.525485))+0-481.3--1.22731499999993</f>
        <v>1506.3489900000002</v>
      </c>
      <c r="J81" s="3">
        <f>1562.8+(1925.7-1525.3)+(1.594056+(1.964214-1.555806))+0-486.7-0.496434000000078</f>
        <v>1478.0060299999998</v>
      </c>
      <c r="K81" s="3">
        <f>1562.8+(1776-1395.7)+(-3.98514+(-4.5288--3.559035))+0-481.9--1.22884499999993</f>
        <v>1457.4739399999996</v>
      </c>
      <c r="L81" s="3">
        <f>1562.9+(1366-1014)+(-0.797079+(-0.69666--0.51714))+0-479.7--0.244646999999951</f>
        <v>1434.468048</v>
      </c>
      <c r="M81" s="3">
        <f>1560.5+(1065.8-624)+(1.59171+(1.087116-0.63648))+0-475.6-0.485112000000076</f>
        <v>1528.2572339999999</v>
      </c>
      <c r="N81" s="3">
        <f>1569.9+(999.5-434.6)+(0+(0-0))+0-472.1-0</f>
        <v>1662.7000000000003</v>
      </c>
      <c r="O81" s="3">
        <f>1603.4+(1197.9-608.7)+(0+(0-0))+0-471.9-0</f>
        <v>1720.7000000000003</v>
      </c>
      <c r="P81" s="3">
        <f>1778+(896.8-456.3)+(-1.81356+(-0.914736--0.465426))+0-468.4--0.477768000000075</f>
        <v>1748.3148979999999</v>
      </c>
      <c r="Q81" s="3">
        <f>1963.8+(789.7-444.6)+(2.003076+(0.805494-0.453492))+0-480-0.489600000000077</f>
        <v>1830.765478</v>
      </c>
      <c r="R81" s="3">
        <f>2043.5+(821.8-546.6)+(-3.126555+(-1.257354--0.836298))+0-436--0.667080000000025</f>
        <v>1879.8194689999998</v>
      </c>
      <c r="S81" s="3">
        <f>2195.8+(601-436.6)+(-1.119858+(-0.30651--0.222666))+0-480.2--0.244901999999951</f>
        <v>1879.0412000000003</v>
      </c>
      <c r="T81" s="3">
        <f>2206.9+(695-577.9)+(-1.125519+(-0.35445--0.294729))+0-482.4--0.246023999999951</f>
        <v>1840.6607840000001</v>
      </c>
      <c r="U81" s="3">
        <f>2207.5+(672.7-553.7)+(-2.25165+(-0.686154--0.564774))+0-461.4--0.470628000000074</f>
        <v>1863.1975979999997</v>
      </c>
      <c r="V81" s="3">
        <f>2062.2+(682.1-444.9)+(-3.155166+(-1.043613--0.680697))+0-463.6--0.709308000000027</f>
        <v>1832.9912259999996</v>
      </c>
      <c r="W81" s="3">
        <f>2029.2+(695.8-451.7)+(-3.104676+(-1.064574--0.691101))+0-420.6--0.643518000000024</f>
        <v>1849.8653690000003</v>
      </c>
      <c r="X81" s="3">
        <f>2028.2+(1151.7-922.9)+(-5.17191+(-2.936835--2.353395))+0-431.5--1.10032499999994</f>
        <v>1820.844975</v>
      </c>
      <c r="Y81" s="3">
        <f>2028+(839.5-619.3)+(-5.1714+(-2.140725--1.579215))+0-435.2--1.10975999999994</f>
        <v>1808.3768499999996</v>
      </c>
      <c r="Z81" s="3">
        <f>2204.2+(661.6-447.6)+(-2.248284+(-0.674832--0.456552))+0-434.4--0.443088000000069</f>
        <v>1981.7765239999999</v>
      </c>
      <c r="AA81" s="3">
        <f>2295.3+(789.5-589.5)+(-3.511809+(-1.207935--0.901935))+0-431.5--0.660195000000025</f>
        <v>2060.642386</v>
      </c>
      <c r="AB81" s="3">
        <f>2282.5+(832.1-695.7)+(-5.820375+(-2.121855--1.774035))+0-432.1--1.10185499999994</f>
        <v>1981.7336599999999</v>
      </c>
      <c r="AC81" s="3">
        <f>2259.6+(1355.3-1283.7)+(0+(0-0))+0-467.4-0</f>
        <v>1863.7999999999997</v>
      </c>
      <c r="AD81">
        <f t="shared" si="1"/>
        <v>41869.046155999997</v>
      </c>
      <c r="AE81" s="3">
        <f>2292.8+(820.3-571.3)+(0+(0-0))+0-432.5-0</f>
        <v>2109.3000000000002</v>
      </c>
    </row>
    <row r="82" spans="1:31" s="2" customFormat="1" x14ac:dyDescent="0.25">
      <c r="A82">
        <v>89</v>
      </c>
      <c r="B82">
        <v>3</v>
      </c>
      <c r="C82">
        <v>20</v>
      </c>
      <c r="D82">
        <v>6</v>
      </c>
      <c r="E82">
        <v>1</v>
      </c>
      <c r="F82" s="3">
        <f>2160.2+(2137.1-2049.4)+(-2.203404+(-2.179842--2.090388))+0-478.9--0.488478000000076</f>
        <v>1767.1956199999997</v>
      </c>
      <c r="G82" s="3">
        <f>1829.3+(2259.2-1957.9)+(2.798829+(3.456576-2.995587))+0-478.1-0.731493000000028</f>
        <v>1655.0283249999995</v>
      </c>
      <c r="H82" s="3">
        <f>1645.7+(2264.4-1856.6)+(0+(0-0))+0-480.7-0</f>
        <v>1572.8</v>
      </c>
      <c r="I82" s="3">
        <f>1533.8+(2168.5-1702.5)+(0.782238+(1.105935-0.868275))+0-476.3-0.242912999999952</f>
        <v>1524.276985</v>
      </c>
      <c r="J82" s="3">
        <f>1526.5+(2100-1651.1)+(-1.55703+(-2.142--1.684122))+0-469.9--0.479298000000075</f>
        <v>1503.9643899999999</v>
      </c>
      <c r="K82" s="3">
        <f>1528.4+(2219.2-1746.6)+(-2.338452+(-3.395376--2.672298))+0-473.6--0.724608000000027</f>
        <v>1525.0630780000001</v>
      </c>
      <c r="L82" s="3">
        <f>1527.6+(2028.3-1632.1)+(-0.779076+(-1.034433--0.832371))+0-476.2--0.242861999999952</f>
        <v>1446.8617239999999</v>
      </c>
      <c r="M82" s="3">
        <f>1529.9+(1506.2-1026.4)+(0.780249+(0.768162-0.523464))+0-481.1-0.245360999999951</f>
        <v>1529.3795860000002</v>
      </c>
      <c r="N82" s="3">
        <f>1585.8+(1506-960.1)+(1.617516+(1.53612-0.979302))+0-470.9-0.480318000000075</f>
        <v>1662.4940159999994</v>
      </c>
      <c r="O82" s="3">
        <f>1663.6+(1373.4-791.5)+(3.393744+(2.801736-1.61466))+0-466.3-0.95125199999998</f>
        <v>1782.8295680000001</v>
      </c>
      <c r="P82" s="3">
        <f>1743.5+(851-281)+(1.77837+(0.86802-0.28662))+0-466.3-0.475626000000074</f>
        <v>1849.0841439999999</v>
      </c>
      <c r="Q82" s="3">
        <f>1914.9+(816-369.7)+(1.953198+(0.83232-0.377094))+0-460.9-0.470118000000073</f>
        <v>1902.2383060000002</v>
      </c>
      <c r="R82" s="3">
        <f>2048.1+(719.4-440.5)+(1.044531+(0.366894-0.224655))+0-473.1-0.241280999999952</f>
        <v>1854.845489</v>
      </c>
      <c r="S82" s="3">
        <f>2147.8+(567.6-440.1)+(0+(0-0))+0-435.9-0</f>
        <v>1839.4</v>
      </c>
      <c r="T82" s="3">
        <f>2161.6+(581.1-473.4)+(0+(0-0))+0-455.1-0</f>
        <v>1814.2000000000003</v>
      </c>
      <c r="U82" s="3">
        <f>2157.8+(539-429.6)+(-1.100478+(-0.27489--0.219096))+0-460.9--0.235058999999953</f>
        <v>1805.3787869999999</v>
      </c>
      <c r="V82" s="3">
        <f>2153.1+(575.5-470.5)+(-2.196162+(-0.58701--0.47991))+0-421.3--0.429726000000067</f>
        <v>1834.9264640000001</v>
      </c>
      <c r="W82" s="3">
        <f>2105.7+(921.9-806.7)+(-3.221721+(-1.410507--1.234251))+0-421.9--0.645507000000024</f>
        <v>1796.2475299999994</v>
      </c>
      <c r="X82" s="3">
        <f>1957.4+(1302.8-1090.9)+(-4.99137+(-3.32214--2.781795))+0-419.3--1.06921499999994</f>
        <v>1745.5375000000001</v>
      </c>
      <c r="Y82" s="3">
        <f>1984.6+(1289.7-1137.1)+(-3.036438+(-1.973241--1.739763))+0-421--0.644130000000024</f>
        <v>1713.5742139999998</v>
      </c>
      <c r="Z82" s="3">
        <f>2136.5+(1273.5-1141.4)+(-1.089615+(-0.649485--0.582114))+0-422.1--0.215270999999957</f>
        <v>1845.5582850000001</v>
      </c>
      <c r="AA82" s="3">
        <f>2296.2+(726-566)+(-2.342124+(-0.74052--0.57732))+0-422.2--0.430644000000067</f>
        <v>2031.9253199999996</v>
      </c>
      <c r="AB82" s="3">
        <f>2293.7+(810.3-699.3)+(-2.339574+(-0.826506--0.713286))+0-423.7--0.432174000000068</f>
        <v>1978.97938</v>
      </c>
      <c r="AC82" s="3">
        <f>2292.9+(1390-1372.7)+(-1.169379+(-0.7089--0.700077))+0-424.1--0.216290999999957</f>
        <v>1885.1380889999998</v>
      </c>
      <c r="AD82">
        <f t="shared" si="1"/>
        <v>41866.926800000001</v>
      </c>
      <c r="AE82" s="3">
        <f>2297.8+(727.6-571.1)+(0+(0-0))+0-404.4-0</f>
        <v>2049.9</v>
      </c>
    </row>
    <row r="83" spans="1:31" s="2" customFormat="1" x14ac:dyDescent="0.25">
      <c r="A83">
        <v>89</v>
      </c>
      <c r="B83">
        <v>3</v>
      </c>
      <c r="C83">
        <v>21</v>
      </c>
      <c r="D83">
        <v>7</v>
      </c>
      <c r="E83">
        <v>1</v>
      </c>
      <c r="F83" s="3">
        <f>2215+(1674.8-1694.9)+(0+(0-0))+0-424.8-0</f>
        <v>1770.0999999999997</v>
      </c>
      <c r="G83" s="3">
        <f>1958.9+(2038.5-1923.1)+(-2.997117+(-3.118905--2.942343))+0-428.3--0.655299000000025</f>
        <v>1643.4816200000002</v>
      </c>
      <c r="H83" s="3">
        <f>1703.6+(2105.4-1803.9)+(0+(0-0))+0-425.6-0</f>
        <v>1579.5</v>
      </c>
      <c r="I83" s="3">
        <f>1572.5+(1800.4-1416.7)+(0+(0-0))+0-424.2-0</f>
        <v>1532</v>
      </c>
      <c r="J83" s="3">
        <f>1544.4+(1734.7-1367.6)+(1.575288+(1.769394-1.394952))+0-424.2-0.432684000000068</f>
        <v>1488.8170460000001</v>
      </c>
      <c r="K83" s="3">
        <f>1545.3+(1707.4-1356.2)+(-3.152412+(-3.483096--2.766648))+0-421.1--0.859043999999982</f>
        <v>1472.3901840000001</v>
      </c>
      <c r="L83" s="3">
        <f>1544.6+(1607.1-1316.9)+(0+(0-0))+0-420.7-0</f>
        <v>1414.0999999999997</v>
      </c>
      <c r="M83" s="3">
        <f>1543.9+(1598.1-1277.3)+(-2.362167+(-2.445093--1.954269))+0-424.4--0.649332000000024</f>
        <v>1438.0963409999999</v>
      </c>
      <c r="N83" s="3">
        <f>1539.9+(1365.1-968.7)+(0+(0-0))+0-424.7-0</f>
        <v>1511.6</v>
      </c>
      <c r="O83" s="3">
        <f>1538.4+(1073.9-601.5)+(0+(0-0))+0-431.6-0</f>
        <v>1579.2000000000003</v>
      </c>
      <c r="P83" s="3">
        <f>1696.1+(1153.2-784.3)+(-0.865011+(-0.588132--0.399993))+0-430--0.219299999999956</f>
        <v>1634.1661499999998</v>
      </c>
      <c r="Q83" s="3">
        <f>1828+(1034.3-766.2)+(2.79684+(1.582479-1.172286))+0-427.7-0.654381000000025</f>
        <v>1670.9526519999999</v>
      </c>
      <c r="R83" s="3">
        <f>2007.3+(850-750)+(0+(0-0))+0-424.9-0</f>
        <v>1682.4</v>
      </c>
      <c r="S83" s="3">
        <f>2105.9+(736-747.2)+(0+(0-0))+0-425.3-0</f>
        <v>1669.3999999999999</v>
      </c>
      <c r="T83" s="3">
        <f>2106.8+(853.2-867.3)+(-2.148936+(-0.870264--0.884646))+0-426.5--0.435030000000068</f>
        <v>1664.5004760000002</v>
      </c>
      <c r="U83" s="3">
        <f>2108.6+(958.2-980.8)+(0+(0-0))+0-428-0</f>
        <v>1658</v>
      </c>
      <c r="V83" s="3">
        <f>2104.9+(1010.9-1023.9)+(0+(0-0))+0-426.3-0</f>
        <v>1665.6000000000001</v>
      </c>
      <c r="W83" s="3">
        <f>2106.1+(1090.1-1101.4)+(1.074111+(0.555951-0.561714))+0-426.2-0.217361999999957</f>
        <v>1669.4509859999996</v>
      </c>
      <c r="X83" s="3">
        <f>2104.1+(1197.2-1223.3)+(-1.073091+(-0.610572--0.623883))+0-427.8--0.218177999999957</f>
        <v>1649.3583979999999</v>
      </c>
      <c r="Y83" s="3">
        <f>2135.2+(1068.2-1152.4)+(0+(0-0))+0-424.1-0</f>
        <v>1626.9</v>
      </c>
      <c r="Z83" s="3">
        <f>2282+(1316.7-1388.8)+(-1.16382+(-0.671517--0.708288))+0-428.9--0.218738999999956</f>
        <v>1780.0916899999997</v>
      </c>
      <c r="AA83" s="3">
        <f>2297.5+(931.9-845.4)+(1.171725+(0.475269-0.431154))+0-425.8-0.217157999999957</f>
        <v>1959.198682</v>
      </c>
      <c r="AB83" s="3">
        <f>2297.2+(937.8-896.3)+(-2.343144+(-0.956556--0.914226))+0-424--0.432480000000068</f>
        <v>1912.7470059999998</v>
      </c>
      <c r="AC83" s="3">
        <f>2291.8+(1320.3-1331.2)+(-3.506454+(-2.020059--2.036736))+0-427.8--0.654534000000025</f>
        <v>1850.2647570000004</v>
      </c>
      <c r="AD83">
        <f t="shared" si="1"/>
        <v>39522.315988000002</v>
      </c>
      <c r="AE83" s="3">
        <f>2291.8+(980-875.1)+(0+(0-0))+0-425.1-0</f>
        <v>1971.6000000000004</v>
      </c>
    </row>
    <row r="84" spans="1:31" s="2" customFormat="1" x14ac:dyDescent="0.25">
      <c r="A84">
        <v>89</v>
      </c>
      <c r="B84">
        <v>3</v>
      </c>
      <c r="C84">
        <v>22</v>
      </c>
      <c r="D84">
        <v>1</v>
      </c>
      <c r="E84">
        <v>1</v>
      </c>
      <c r="F84" s="3">
        <f>2159.1+(1776.6-1734.6)+(-2.202282+(-1.812132--1.769292))+0-478.6--0.488172000000076</f>
        <v>1720.7430500000003</v>
      </c>
      <c r="G84" s="3">
        <f>1865.9+(1974.7-1758.1)+(-2.854827+(-3.021291--2.689893))+0-474.9--0.726597000000027</f>
        <v>1605.1403720000001</v>
      </c>
      <c r="H84" s="3">
        <f>1623.3+(2073.2-1690.7)+(-0.827883+(-1.057332--0.862257))+0-469.9--0.239648999999952</f>
        <v>1535.1166909999995</v>
      </c>
      <c r="I84" s="3">
        <f>1457.2+(1947.5-1443.5)+(-1.486344+(-1.98645--1.47237))+0-482.2--0.491844000000077</f>
        <v>1477.4914200000001</v>
      </c>
      <c r="J84" s="3">
        <f>1452+(1856.2-1391.3)+(-3.7026+(-4.73331--3.547815))+0-465.9--1.18804499999993</f>
        <v>1447.2999500000001</v>
      </c>
      <c r="K84" s="3">
        <f>1453.3+(1522.5-1068)+(-2.964732+(-3.1059--2.17872))+0-462.2--0.94288799999998</f>
        <v>1442.6509759999999</v>
      </c>
      <c r="L84" s="3">
        <f>1449.7+(1262.3-842.7)+(-2.218041+(-1.931319--1.289331))+0-462.5--0.707625000000027</f>
        <v>1404.647596</v>
      </c>
      <c r="M84" s="3">
        <f>1487.1+(821.7-338.1)+(0+(0-0))+0-426.9-0</f>
        <v>1543.7999999999997</v>
      </c>
      <c r="N84" s="3">
        <f>1603.1+(1340.5-820.7)+(0+(0-0))+0-474.3-0</f>
        <v>1648.5999999999997</v>
      </c>
      <c r="O84" s="3">
        <f>1730.5+(1003.8-465.1)+(0.882555+(0.511938-0.237201))+0-428.1-0.218330999999957</f>
        <v>1842.0389609999997</v>
      </c>
      <c r="P84" s="3">
        <f>1736.9+(1219.4-596.4)+(1.771638+(1.243788-0.608328))+0-478.1-0.487662000000076</f>
        <v>1883.7194360000003</v>
      </c>
      <c r="Q84" s="3">
        <f>1928+(1356.4-861.9)+(-0.98328+(-0.691764--0.439569))+0-487.3--0.248522999999951</f>
        <v>1934.2130480000001</v>
      </c>
      <c r="R84" s="3">
        <f>2224.1+(1202.4-1033)+(3.402873+(1.839672-1.58049))+0-435.9-0.666927000000025</f>
        <v>1960.5951279999997</v>
      </c>
      <c r="S84" s="3">
        <f>2234.6+(1080.9-953.3)+(-1.139646+(-0.551259--0.486183))+0-433.2--0.220931999999956</f>
        <v>1928.0162099999998</v>
      </c>
      <c r="T84" s="3">
        <f>2235.2+(1131.1-1028.2)+(3.419856+(1.730583-1.573146))+0-473.9-0.725067000000027</f>
        <v>1867.0522259999991</v>
      </c>
      <c r="U84" s="3">
        <f>2231.9+(987.8-868.6)+(0+(0-0))+0-473.1-0</f>
        <v>1878</v>
      </c>
      <c r="V84" s="3">
        <f>2216.8+(984.8-825.5)+(1.130568+(0.502248-0.421005))+0-446.2-0.227561999999955</f>
        <v>1930.8842490000004</v>
      </c>
      <c r="W84" s="3">
        <f>2112.4+(871.4-611.2)+(-1.077324+(-0.444414--0.311712))+0-435.1--0.221900999999956</f>
        <v>1936.5118749999997</v>
      </c>
      <c r="X84" s="3">
        <f>2100.4+(665-504.3)+(-2.142408+(-0.6783--0.514386))+0-433.4--0.442068000000069</f>
        <v>1825.835746</v>
      </c>
      <c r="Y84" s="3">
        <f>2108.7+(703.4-644.1)+(-1.075437+(-0.358734--0.328491))+0-430.1--0.219350999999956</f>
        <v>1737.0136709999999</v>
      </c>
      <c r="Z84" s="3">
        <f>2226.7+(831.3-697.8)+(-2.271234+(-0.847926--0.711756))+0-432.2--0.440844000000069</f>
        <v>1926.0334399999997</v>
      </c>
      <c r="AA84" s="3">
        <f>2293.5+(785.4-571.6)+(-1.169685+(-0.400554--0.291516))+0-432.9--0.220778999999956</f>
        <v>2073.342056</v>
      </c>
      <c r="AB84" s="3">
        <f>2294.7+(712.5-590.4)+(-1.170297+(-0.363375--0.301104))+0-430.5--0.219554999999956</f>
        <v>1985.2869869999997</v>
      </c>
      <c r="AC84" s="3">
        <f>2283.9+(859.2-758.7)+(-1.164789+(-0.438192--0.386937))+0-474.3--0.241892999999952</f>
        <v>1909.1258490000002</v>
      </c>
      <c r="AD84">
        <f t="shared" si="1"/>
        <v>42443.158937000007</v>
      </c>
      <c r="AE84" s="3">
        <f>2288.8+(925-675.1)+(0+(0-0))+0-433.9-0</f>
        <v>2104.8000000000002</v>
      </c>
    </row>
    <row r="85" spans="1:31" s="2" customFormat="1" x14ac:dyDescent="0.25">
      <c r="A85">
        <v>89</v>
      </c>
      <c r="B85">
        <v>3</v>
      </c>
      <c r="C85">
        <v>23</v>
      </c>
      <c r="D85">
        <v>2</v>
      </c>
      <c r="E85">
        <v>1</v>
      </c>
      <c r="F85" s="3">
        <f>2236.9+(1637.3-1598.1)+(-1.140819+(-0.835023--0.815031))+0-464.9--0.237098999999953</f>
        <v>1810.276288</v>
      </c>
      <c r="G85" s="3">
        <f>2069.1+(2271.8-2154.3)+(-4.220964+(-4.634472--4.394772))+0-469--0.95675999999998</f>
        <v>1714.0960959999998</v>
      </c>
      <c r="H85" s="3">
        <f>1597.8+(2279.2-1792.7)+(-2.444634+(-3.487176--2.742831))+0-431.1--0.659583000000025</f>
        <v>1650.6706039999999</v>
      </c>
      <c r="I85" s="3">
        <f>1550.8+(2032.5-1583)+(0+(0-0))+0-472.1-0</f>
        <v>1528.1999999999998</v>
      </c>
      <c r="J85" s="3">
        <f>1551.8+(1917.5-1485.5)+(0.791418+(0.977925-0.757605))+0-445.6-0.227255999999955</f>
        <v>1538.9844820000001</v>
      </c>
      <c r="K85" s="3">
        <f>1552.4+(1720.9-1277.1)+(-3.166896+(-3.510636--2.605284))+0-438.7--0.894947999999981</f>
        <v>1554.3227000000002</v>
      </c>
      <c r="L85" s="3">
        <f>1546.6+(1432.9-1046)+(2.366298+(2.192337-1.60038))+0-477.1-0.729963000000028</f>
        <v>1458.6282920000001</v>
      </c>
      <c r="M85" s="3">
        <f>1541+(1094.6-616.2)+(0.78591+(0.558246-0.314262))+0-474.5-0.241994999999952</f>
        <v>1545.687899</v>
      </c>
      <c r="N85" s="3">
        <f>1538.9+(1183.2-562.8)+(-2.354517+(-1.810296--0.861084))+0-452.3--0.692019000000026</f>
        <v>1704.3882900000001</v>
      </c>
      <c r="O85" s="3">
        <f>1626.8+(1012.2-375.7)+(-1.659336+(-1.032444--0.383214))+0-466.8--0.476136000000074</f>
        <v>1794.6675700000001</v>
      </c>
      <c r="P85" s="3">
        <f>1862.4+(777.8-316.7)+(-0.949824+(-0.396678--0.161517))+0-470.1--0.239750999999952</f>
        <v>1852.4547660000001</v>
      </c>
      <c r="Q85" s="3">
        <f>2034.3+(918.7-608.8)+(0+(0-0))+0-461.6-0</f>
        <v>1882.6</v>
      </c>
      <c r="R85" s="3">
        <f>2154.5+(905.9-669.3)+(-2.19759+(-0.924018--0.682686))+0-461.1--0.470322000000074</f>
        <v>1928.0314000000003</v>
      </c>
      <c r="S85" s="3">
        <f>2222.2+(903.6-786.3)+(-3.399966+(-1.382508--1.203039))+0-463.4--0.709002000000027</f>
        <v>1873.2295669999999</v>
      </c>
      <c r="T85" s="3">
        <f>2222.5+(1031.5-888.1)+(-1.133475+(-0.526065--0.452931))+0-463.4--0.236333999999953</f>
        <v>1901.5297250000001</v>
      </c>
      <c r="U85" s="3">
        <f>2217.8+(1022.3-841.3)+(1.131078+(0.521373-0.429063))+0-426.3-0.217412999999957</f>
        <v>1973.5059750000003</v>
      </c>
      <c r="V85" s="3">
        <f>2181.3+(1023.3-831.2)+(-1.112463+(-0.521883--0.423912))+0-421.1--0.214760999999957</f>
        <v>1951.3043270000001</v>
      </c>
      <c r="W85" s="3">
        <f>2138.6+(781.3-620.7)+(-1.090686+(-0.398463--0.316557))+0-417--0.212669999999958</f>
        <v>1881.2400779999998</v>
      </c>
      <c r="X85" s="3">
        <f>2011.9+(675.5-435.8)+(-3.078207+(-1.033515--0.666774))+0-415.5--0.635715000000024</f>
        <v>1833.2907670000002</v>
      </c>
      <c r="Y85" s="3">
        <f>2020.9+(867.9-656.3)+(-2.061318+(-0.885258--0.669426))+0-418.3--0.426666000000067</f>
        <v>1812.3495160000002</v>
      </c>
      <c r="Z85" s="3">
        <f>2130+(751.8-522)+(-1.0863+(-0.383418--0.26622))+0-402.4--0.205223999999959</f>
        <v>1956.4017260000003</v>
      </c>
      <c r="AA85" s="3">
        <f>2174+(1068-736.8)+(0+(0-0))+0-412.3-0</f>
        <v>2092.8999999999996</v>
      </c>
      <c r="AB85" s="3">
        <f>2263+(823.3-610.3)+(-1.15413+(-0.419883--0.311253))+0-413.7--0.210986999999958</f>
        <v>2061.248227</v>
      </c>
      <c r="AC85" s="3">
        <f>2293.1+(700.5-603.9)+(-3.508443+(-1.071765--0.923967))+0-445.3--0.681309000000026</f>
        <v>1941.4250679999998</v>
      </c>
      <c r="AD85">
        <f t="shared" si="1"/>
        <v>43241.433363000004</v>
      </c>
      <c r="AE85" s="3">
        <f>2162.8+(1059.7-748.3)+(0+(0-0))+0-409.8-0</f>
        <v>2064.4</v>
      </c>
    </row>
    <row r="86" spans="1:31" s="2" customFormat="1" x14ac:dyDescent="0.25">
      <c r="A86">
        <v>89</v>
      </c>
      <c r="B86">
        <v>3</v>
      </c>
      <c r="C86">
        <v>24</v>
      </c>
      <c r="D86">
        <v>3</v>
      </c>
      <c r="E86">
        <v>1</v>
      </c>
      <c r="F86" s="3">
        <f>2252+(1241.3-1196.2)+(-2.29704+(-1.266126--1.220124))+0-431.4--0.440028000000069</f>
        <v>1863.7969859999998</v>
      </c>
      <c r="G86" s="3">
        <f>1935.8+(1564.4-1333.8)+(0+(0-0))+0-457.6-0</f>
        <v>1708.8000000000002</v>
      </c>
      <c r="H86" s="3">
        <f>1632.6+(1562.5-1136.8)+(-1.665252+(-1.59375--1.159536))+0-469.7--0.479094000000075</f>
        <v>1586.979628</v>
      </c>
      <c r="I86" s="3">
        <f>1551.7+(1819-1357.7)+(1.582734+(1.85538-1.384854))+0-431.4-0.440028000000069</f>
        <v>1583.2132320000001</v>
      </c>
      <c r="J86" s="3">
        <f>1550.7+(2052.8-1605.2)+(-0.790857+(-1.046928--0.818652))+0-453--0.231029999999954</f>
        <v>1544.5118970000001</v>
      </c>
      <c r="K86" s="3">
        <f>1552.5+(2138.2-1748)+(-1.58355+(-2.180964--1.78296))+0-460.1--0.469302000000073</f>
        <v>1481.0877479999999</v>
      </c>
      <c r="L86" s="3">
        <f>1535.7+(1792.2-1413.2)+(0.783207+(0.914022-0.720732))+0-426.6-0.217565999999957</f>
        <v>1488.858931</v>
      </c>
      <c r="M86" s="3">
        <f>1533.4+(1150.5-702.3)+(0.782034+(0.586755-0.358173))+0-419-0.213689999999957</f>
        <v>1563.3969260000001</v>
      </c>
      <c r="N86" s="3">
        <f>1566.8+(1008.1-442.4)+(-1.598136+(-1.028262--0.451248))+0-416.4--0.424728000000066</f>
        <v>1714.3495779999998</v>
      </c>
      <c r="O86" s="3">
        <f>1652.6+(1103.6-499)+(0+(0-0))+0-425.5-0</f>
        <v>1831.6999999999998</v>
      </c>
      <c r="P86" s="3">
        <f>1741.1+(946.5-363.6)+(1.775922+(0.96543-0.370872))+0-427.9-0.436458000000068</f>
        <v>1898.0340219999998</v>
      </c>
      <c r="Q86" s="3">
        <f>1970.3+(1143.1-738.7)+(1.004853+(0.582981-0.376737))+0-417.8-0.213077999999958</f>
        <v>1957.8980189999997</v>
      </c>
      <c r="R86" s="3">
        <f>2206.8+(1019.7-839)+(1.125468+(0.520047-0.42789))+0-428.2-0.218381999999957</f>
        <v>1960.2992430000002</v>
      </c>
      <c r="S86" s="3">
        <f>2227.7+(876.9-775.8)+(-2.272254+(-0.894438--0.791316))+0-414.8--0.423096000000066</f>
        <v>1912.0477199999998</v>
      </c>
      <c r="T86" s="3">
        <f>2224.7+(980.3-871.3)+(2.269194+(0.999906-0.888726))+0-415.9-0.424218000000066</f>
        <v>1919.7561559999995</v>
      </c>
      <c r="U86" s="3">
        <f>2214.6+(948.4-806.4)+(4.517784+(1.934736-1.645056))+0-415.9-0.848435999999982</f>
        <v>1944.6590279999998</v>
      </c>
      <c r="V86" s="3">
        <f>2195.5+(920.4-757.2)+(-1.119705+(-0.469404--0.386172))+0-416.2--0.212261999999958</f>
        <v>1941.5093249999998</v>
      </c>
      <c r="W86" s="3">
        <f>2171.5+(778.4-600.4)+(-2.21493+(-0.793968--0.612408))+0-415.9--0.424218000000066</f>
        <v>1931.6277279999999</v>
      </c>
      <c r="X86" s="3">
        <f>2147+(729.4-568.5)+(-4.37988+(-1.487976--1.15974))+0-413.5--0.843539999999982</f>
        <v>1890.5354240000004</v>
      </c>
      <c r="Y86" s="3">
        <f>2148+(995.2-870.4)+(0+(0-0))+0-412.8-0</f>
        <v>1860.0000000000002</v>
      </c>
      <c r="Z86" s="3">
        <f>2232.4+(613.1-453.4)+(1.138524+(0.312681-0.231234))+0-425.1-0.216800999999957</f>
        <v>1968.0031700000004</v>
      </c>
      <c r="AA86" s="3">
        <f>2260.1+(1136.5-837.8)+(-1.152651+(-0.579615--0.427278))+0-427.8--0.218177999999957</f>
        <v>2129.9131900000002</v>
      </c>
      <c r="AB86" s="3">
        <f>2287.4+(933.3-715.1)+(-3.499722+(-1.427949--1.094103))+0-427.7--0.654381000000025</f>
        <v>2074.7208129999999</v>
      </c>
      <c r="AC86" s="3">
        <f>2279+(767.6-600)+(-2.32458+(-0.782952--0.612))+0-433.4--0.442068000000069</f>
        <v>2011.146536</v>
      </c>
      <c r="AD86">
        <f t="shared" si="1"/>
        <v>43766.845300000001</v>
      </c>
      <c r="AE86" s="3">
        <f>2281.8+(1100.3-823.9)+(0+(0-0))+0-422.6-0</f>
        <v>2135.6000000000004</v>
      </c>
    </row>
    <row r="87" spans="1:31" s="2" customFormat="1" x14ac:dyDescent="0.25">
      <c r="A87">
        <v>89</v>
      </c>
      <c r="B87">
        <v>3</v>
      </c>
      <c r="C87">
        <v>25</v>
      </c>
      <c r="D87">
        <v>4</v>
      </c>
      <c r="E87">
        <v>1</v>
      </c>
      <c r="F87" s="3">
        <f>2059.8+(1493.4-1240.3)+(-3.151494+(-2.284902--1.897659))+0-472.3--0.722619000000027</f>
        <v>1837.7838820000009</v>
      </c>
      <c r="G87" s="3">
        <f>1621+(1518.4-1014.5)+(0+(0-0))+0-479-0</f>
        <v>1645.9</v>
      </c>
      <c r="H87" s="3">
        <f>1500.2+(1799.7-1238.3)+(-1.530204+(-1.835694--1.263066))+0-480.9--0.490518000000077</f>
        <v>1579.0876860000003</v>
      </c>
      <c r="I87" s="3">
        <f>1498.4+(1530.1-1010.6)+(-0.764184+(-0.780351--0.515406))+0-474.1--0.241790999999952</f>
        <v>1543.0126620000001</v>
      </c>
      <c r="J87" s="3">
        <f>1499.7+(1467.8-967.2)+(-1.529694+(-1.497156--0.986544))+0-470.1--0.479502000000075</f>
        <v>1528.6391960000001</v>
      </c>
      <c r="K87" s="3">
        <f>1499.8+(1717.9-1238.3)+(-3.82449+(-4.380645--3.157665))+0-472.5--1.20487499999993</f>
        <v>1503.057405</v>
      </c>
      <c r="L87" s="3">
        <f>1498.7+(1428.9-961.6)+(-3.821685+(-3.643695--2.45208))+0-467.6--1.19237999999993</f>
        <v>1494.57908</v>
      </c>
      <c r="M87" s="3">
        <f>1496.7+(1040.6-492.6)+(1.526634+(1.061412-0.502452))+0-424.6-0.433092000000068</f>
        <v>1621.7525019999996</v>
      </c>
      <c r="N87" s="3">
        <f>1506.7+(1061-393.4)+(0.768417+(0.54111-0.200634))+0-428.1-0.218330999999957</f>
        <v>1747.0905620000003</v>
      </c>
      <c r="O87" s="3">
        <f>1627.2+(1075.3-383.1)+(0.829872+(0.548403-0.195381))+0-466.2-0.237761999999953</f>
        <v>1854.1451320000001</v>
      </c>
      <c r="P87" s="3">
        <f>1807.5+(937.9-327.5)+(-0.921825+(-0.478329--0.167025))+0-461.6--0.235415999999953</f>
        <v>1955.302287</v>
      </c>
      <c r="Q87" s="3">
        <f>2024.5+(1006.6-592.1)+(0+(0-0))+0-449.7-0</f>
        <v>1989.3</v>
      </c>
      <c r="R87" s="3">
        <f>2225+(1022.2-803.8)+(-2.2695+(-1.042644--0.819876))+0-475--0.484500000000076</f>
        <v>1966.3922320000001</v>
      </c>
      <c r="S87" s="3">
        <f>2234.8+(994-843.3)+(-2.279496+(-1.01388--0.860166))+0-433--0.441660000000069</f>
        <v>1950.5084499999998</v>
      </c>
      <c r="T87" s="3">
        <f>2225.2+(1000.8-833.8)+(0+(0-0))+0-427.5-0</f>
        <v>1964.6999999999998</v>
      </c>
      <c r="U87" s="3">
        <f>2213.1+(1047.9-827.5)+(2.257362+(1.068858-0.84405))+0-461.8-0.471036000000074</f>
        <v>1973.7111340000001</v>
      </c>
      <c r="V87" s="3">
        <f>2173.9+(1002.3-774.9)+(-2.217378+(-1.022346--0.790398))+0-440.5--0.44931000000007</f>
        <v>1958.7999840000002</v>
      </c>
      <c r="W87" s="3">
        <f>2141.6+(713.8-499.3)+(-3.276648+(-1.092114--0.763929))+0-428.2--0.655146000000025</f>
        <v>1924.9503130000001</v>
      </c>
      <c r="X87" s="3">
        <f>1973.9+(769.4-491.9)+(-3.020067+(-1.177182--0.752607))+0-425.2--0.650556000000025</f>
        <v>1823.4059140000002</v>
      </c>
      <c r="Y87" s="3">
        <f>1974.7+(1027.8-700.5)+(-2.014194+(-1.048356--0.71451))+0-423.5--0.431970000000068</f>
        <v>1876.5839300000002</v>
      </c>
      <c r="Z87" s="3">
        <f>2102.2+(916.2-535.8)+(-1.072122+(-0.467262--0.273258))+0-423--0.215729999999957</f>
        <v>2058.5496039999998</v>
      </c>
      <c r="AA87" s="3">
        <f>2289.1+(904.5-670.2)+(-3.502323+(-1.383885--1.025406))+0-423--0.647190000000024</f>
        <v>2097.1863879999996</v>
      </c>
      <c r="AB87" s="3">
        <f>2293.4+(812.6-610.5)+(-3.508902+(-1.243278--0.934065))+0-425.5--0.651015000000025</f>
        <v>2066.8328999999999</v>
      </c>
      <c r="AC87" s="3">
        <f>2291.4+(884.5-756)+(-2.337228+(-0.90219--0.77112))+0-463.1--0.472362000000074</f>
        <v>1954.8040640000004</v>
      </c>
      <c r="AD87">
        <f t="shared" si="1"/>
        <v>43916.075307000014</v>
      </c>
      <c r="AE87" s="3">
        <f>2294+(907.3-627.9)+(0+(0-0))+0-423.9-0</f>
        <v>2149.5</v>
      </c>
    </row>
    <row r="88" spans="1:31" s="2" customFormat="1" x14ac:dyDescent="0.25">
      <c r="A88">
        <v>89</v>
      </c>
      <c r="B88">
        <v>3</v>
      </c>
      <c r="C88">
        <v>26</v>
      </c>
      <c r="D88">
        <v>5</v>
      </c>
      <c r="E88">
        <v>1</v>
      </c>
      <c r="F88" s="3">
        <f>2264.2+(1356.7-1333.9)+(-2.309484+(-1.383834--1.360578))+0-453.3--0.462366000000072</f>
        <v>1831.8296260000002</v>
      </c>
      <c r="G88" s="3">
        <f>1825.1+(1829.3-1514.6)+(-0.930801+(-0.932943--0.772446))+0-429.8--0.219197999999956</f>
        <v>1709.1279000000004</v>
      </c>
      <c r="H88" s="3">
        <f>1561.1+(2123.7-1640)+(-1.592322+(-2.166174--1.6728))+0-427.3--0.435846000000068</f>
        <v>1615.8501499999998</v>
      </c>
      <c r="I88" s="3">
        <f>1557.2+(2230.1-1698.1)+(-2.382516+(-3.412053--2.598093))+0-466.2--0.713286000000027</f>
        <v>1620.5168099999996</v>
      </c>
      <c r="J88" s="3">
        <f>1558.9+(1830.8-1399.9)+(-0.795039+(-0.933708--0.713949))+0-469.4--0.239393999999952</f>
        <v>1519.6245959999999</v>
      </c>
      <c r="K88" s="3">
        <f>1558.2+(1921.1-1437.3)+(-3.97341+(-4.898805--3.665115))+0-476.6--1.21532999999993</f>
        <v>1561.40823</v>
      </c>
      <c r="L88" s="3">
        <f>1556.9+(1240.6-795.8)+(-0.794019+(-0.632706--0.405858))+0-469.8--0.239597999999952</f>
        <v>1531.118731</v>
      </c>
      <c r="M88" s="3">
        <f>1556.2+(983.6-513.7)+(-0.793662+(-0.501636--0.261987))+0-457.6--0.233375999999954</f>
        <v>1567.7000649999998</v>
      </c>
      <c r="N88" s="3">
        <f>1554.5+(1125.5-477.7)+(-1.58559+(-1.14801--0.487254))+0-458.4--0.467568000000073</f>
        <v>1742.1212220000002</v>
      </c>
      <c r="O88" s="3">
        <f>1620+(1115.5-424.9)+(-0.8262+(-0.568905--0.216699))+0-467.6--0.238475999999953</f>
        <v>1842.06007</v>
      </c>
      <c r="P88" s="3">
        <f>1752.2+(1010.7-413.9)+(0+(0-0))+0-465.2-0</f>
        <v>1883.8</v>
      </c>
      <c r="Q88" s="3">
        <f>1929.5+(1116.5-631.6)+(-1.96809+(-1.13883--0.644232))+0-461.6--0.470832000000074</f>
        <v>1950.8081440000001</v>
      </c>
      <c r="R88" s="3">
        <f>2110+(1206.1-878.8)+(0+(0-0))+0-451.1-0</f>
        <v>1986.2000000000003</v>
      </c>
      <c r="S88" s="3">
        <f>2229.5+(1089.2-922.2)+(0+(0-0))+0-462.8-0</f>
        <v>1933.7</v>
      </c>
      <c r="T88" s="3">
        <f>2211.2+(1292.3-1107.5)+(0+(0-0))+0-464.8-0</f>
        <v>1931.2</v>
      </c>
      <c r="U88" s="3">
        <f>2212.6+(1237.9-1176.5)+(-1.128426+(-0.631329--0.600015))+0-425.4--0.216953999999957</f>
        <v>1847.6572139999998</v>
      </c>
      <c r="V88" s="3">
        <f>2221.1+(1135.7-1066.6)+(2.265522+(1.158414-1.087932))+0-410.2-0.418404000000065</f>
        <v>1881.9175999999995</v>
      </c>
      <c r="W88" s="3">
        <f>2218.7+(786.2-755.9)+(-5.657685+(-2.00481--1.927545))+0-407.8--1.03988999999994</f>
        <v>1836.50494</v>
      </c>
      <c r="X88" s="3">
        <f>2197.6+(613.6-525.9)+(-5.60388+(-1.56468--1.341045))+0-406.7--1.03708499999994</f>
        <v>1873.8095700000001</v>
      </c>
      <c r="Y88" s="3">
        <f>2252.2+(653.6-631)+(-2.297244+(-0.666672--0.64362))+0-409.1--0.417282000000065</f>
        <v>1863.7969860000001</v>
      </c>
      <c r="Z88" s="3">
        <f>2291.8+(644.6-530.9)+(0+(0-0))+0-408.5-0</f>
        <v>1997</v>
      </c>
      <c r="AA88" s="3">
        <f>2298.3+(837.5-591.7)+(-3.516399+(-1.281375--0.905301))+0-407.5--0.623475000000024</f>
        <v>2133.3310020000004</v>
      </c>
      <c r="AB88" s="3">
        <f>2276.2+(789.8-622)+(-1.160862+(-0.402798--0.31722))+0-405.1--0.206600999999959</f>
        <v>2037.8601610000001</v>
      </c>
      <c r="AC88" s="3">
        <f>2275.8+(869.5-764.3)+(-1.160658+(-0.443445--0.389793))+0-443.5--0.226184999999955</f>
        <v>1936.5118750000001</v>
      </c>
      <c r="AD88">
        <f t="shared" si="1"/>
        <v>43635.454891999994</v>
      </c>
      <c r="AE88" s="3">
        <f>2290.8+(821.5-574.1)+(0+(0-0))+0-410.9-0</f>
        <v>2127.3000000000002</v>
      </c>
    </row>
    <row r="89" spans="1:31" s="2" customFormat="1" x14ac:dyDescent="0.25">
      <c r="A89">
        <v>89</v>
      </c>
      <c r="B89">
        <v>3</v>
      </c>
      <c r="C89">
        <v>27</v>
      </c>
      <c r="D89">
        <v>6</v>
      </c>
      <c r="E89">
        <v>1</v>
      </c>
      <c r="F89" s="3">
        <f>2148.1+(1330.9-1169.4)+(-2.191062+(-1.357518--1.192788))+0-440.9--0.44971800000007</f>
        <v>1866.7939260000001</v>
      </c>
      <c r="G89" s="3">
        <f>1647.7+(1337.4-846.8)+(0+(0-0))+0-445.9-0</f>
        <v>1692.4</v>
      </c>
      <c r="H89" s="3">
        <f>1545.6+(1503.1-1010.2)+(-2.364768+(-2.299743--1.545606))+0-451.2--0.690336000000026</f>
        <v>1584.8714309999998</v>
      </c>
      <c r="I89" s="3">
        <f>1547.6+(2012.8-1559.8)+(-1.578552+(-2.053056--1.590996))+0-447--0.455940000000071</f>
        <v>1552.015328</v>
      </c>
      <c r="J89" s="3">
        <f>1544.5+(2373.7-1923.4)+(-1.57539+(-2.421174--1.961868))+0-443.6--0.452472000000071</f>
        <v>1549.6177759999998</v>
      </c>
      <c r="K89" s="3">
        <f>1544.1+(2236.1-1773.7)+(-3.937455+(-5.702055--4.522935))+0-446--1.13729999999994</f>
        <v>1556.5207249999996</v>
      </c>
      <c r="L89" s="3">
        <f>1542.6+(1799.4-1411.9)+(-3.93363+(-4.58847--3.600345))+0-405.5--1.03402499999994</f>
        <v>1520.7122699999998</v>
      </c>
      <c r="M89" s="3">
        <f>1540.5+(1564.7-1132.3)+(2.356965+(2.393991-1.732419))+0-406.7-0.622251000000024</f>
        <v>1568.596286</v>
      </c>
      <c r="N89" s="3">
        <f>1540.9+(1766.3-1179.9)+(0+(0-0))+0-407.2-0</f>
        <v>1720.1000000000001</v>
      </c>
      <c r="O89" s="3">
        <f>1637.1+(1413-738.5)+(2.504763+(2.16189-1.129905))+0-391.9-0.599607000000023</f>
        <v>1922.6371409999997</v>
      </c>
      <c r="P89" s="3">
        <f>1751.3+(959-395.3)+(0+(0-0))+0-399.6-0</f>
        <v>1915.4</v>
      </c>
      <c r="Q89" s="3">
        <f>1885+(864.4-395.6)+(1.9227+(0.881688-0.403512))+0-405.7-0.413814000000065</f>
        <v>1950.0870620000003</v>
      </c>
      <c r="R89" s="3">
        <f>2054.6+(626.8-385.6)+(0+(0-0))+0-449.7-0</f>
        <v>1846.0999999999997</v>
      </c>
      <c r="S89" s="3">
        <f>2031.7+(774.9-546)+(0+(0-0))+0-439.1-0</f>
        <v>1821.5</v>
      </c>
      <c r="T89" s="3">
        <f>2017.1+(788.5-599.4)+(0+(0-0))+0-444.1-0</f>
        <v>1762.1</v>
      </c>
      <c r="U89" s="3">
        <f>2040.6+(974.5-823.6)+(-2.081412+(-0.99399--0.840072))+0-419.8--0.428196000000067</f>
        <v>1769.8928660000001</v>
      </c>
      <c r="V89" s="3">
        <f>2036.9+(1097.9-934.5)+(0+(0-0))+0-390.9-0</f>
        <v>1809.4</v>
      </c>
      <c r="W89" s="3">
        <f>2038.2+(1382-1261.6)+(-5.19741+(-3.5241--3.21708))+0-389.6--0.993479999999944</f>
        <v>1764.4890500000004</v>
      </c>
      <c r="X89" s="3">
        <f>2070.6+(1427.9-1339)+(-4.224024+(-2.912916--2.73156))+0-389.4--0.794375999999983</f>
        <v>1766.4889959999998</v>
      </c>
      <c r="Y89" s="3">
        <f>2050.7+(1232.3-1161.6)+(-1.045857+(-0.628473--0.592416))+0-398.7--0.20333699999996</f>
        <v>1721.8214229999996</v>
      </c>
      <c r="Z89" s="3">
        <f>2158.1+(1426.8-1352.5)+(-1.100631+(-0.727668--0.689775))+0-400.1--0.204050999999959</f>
        <v>1831.3655269999997</v>
      </c>
      <c r="AA89" s="3">
        <f>2280.5+(1420-1356.1)+(-5.815275+(-3.621--3.458055))+0-397.5--1.01362499999994</f>
        <v>1941.9354050000002</v>
      </c>
      <c r="AB89" s="3">
        <f>2278.4+(1530.4-1486)+(-1.161984+(-0.780504--0.75786))+0-396.9--0.20241899999996</f>
        <v>1924.9177910000001</v>
      </c>
      <c r="AC89" s="3">
        <f>2152+(1745.6-1571.2)+(-4.39008+(-3.561024--3.205248))+0-400.2--0.816407999999982</f>
        <v>1922.2705519999995</v>
      </c>
      <c r="AD89">
        <f t="shared" si="1"/>
        <v>42282.033555000002</v>
      </c>
      <c r="AE89" s="3">
        <f>2293.8+(1407.5-1317.3)+(0+(0-0))+0-391.8-0</f>
        <v>1992.2</v>
      </c>
    </row>
    <row r="90" spans="1:31" s="2" customFormat="1" x14ac:dyDescent="0.25">
      <c r="A90">
        <v>89</v>
      </c>
      <c r="B90">
        <v>3</v>
      </c>
      <c r="C90">
        <v>28</v>
      </c>
      <c r="D90">
        <v>7</v>
      </c>
      <c r="E90">
        <v>1</v>
      </c>
      <c r="F90" s="3">
        <f>2014.6+(1765.3-1614.7)+(-3.082338+(-2.700909--2.470491))+0-400.4--0.612612000000023</f>
        <v>1762.099856</v>
      </c>
      <c r="G90" s="3">
        <f>1842+(1733.7-1530.6)+(-1.87884+(-1.768374--1.561212))+0-400--0.408000000000064</f>
        <v>1643.4219980000003</v>
      </c>
      <c r="H90" s="3">
        <f>1554.6+(1917-1494.6)+(-2.378538+(-2.93301--2.286738))+0-402.9--0.616437000000023</f>
        <v>1571.6916270000002</v>
      </c>
      <c r="I90" s="3">
        <f>1541.9+(2285.9-1878.3)+(-2.359107+(-3.497427--2.873799))+0-403.1--0.616743000000023</f>
        <v>1544.0340080000001</v>
      </c>
      <c r="J90" s="3">
        <f>1540.3+(2207.5-1829.9)+(-2.356659+(-3.377475--2.799747))+0-405.1--0.619803000000023</f>
        <v>1510.485416</v>
      </c>
      <c r="K90" s="3">
        <f>1545.6+(2118.7-1762.8)+(-2.364768+(-3.241611--2.697084))+0-405.1--0.619803000000023</f>
        <v>1494.1105079999998</v>
      </c>
      <c r="L90" s="3">
        <f>1541.8+(2070.8-1789.4)+(0+(0-0))+0-407.2-0</f>
        <v>1416</v>
      </c>
      <c r="M90" s="3">
        <f>1542.3+(2153.4-1883.6)+(0+(0-0))+0-409.4-0</f>
        <v>1402.7000000000003</v>
      </c>
      <c r="N90" s="3">
        <f>1535+(2310.2-1908.4)+(-3.1314+(-4.712808--3.893136))+0-406.9--0.830075999999982</f>
        <v>1526.7790039999998</v>
      </c>
      <c r="O90" s="3">
        <f>1522.1+(1982.6-1556.9)+(-2.328813+(-3.033378--2.382057))+0-400.6--0.612918000000023</f>
        <v>1544.8327839999999</v>
      </c>
      <c r="P90" s="3">
        <f>1562.7+(2060.8-1612.5)+(0+(0-0))+0-406.1-0</f>
        <v>1604.9</v>
      </c>
      <c r="Q90" s="3">
        <f>1717+(2187.6-1846.8)+(0+(0-0))+0-407.1-0</f>
        <v>1650.7000000000003</v>
      </c>
      <c r="R90" s="3">
        <f>2016.1+(2414.2-2348.6)+(-1.028211+(-1.231242--1.197786))+0-402.1--0.205070999999959</f>
        <v>1678.7434039999998</v>
      </c>
      <c r="S90" s="3">
        <f>2164+(2479.7-2518.8)+(-1.10364+(-1.264647--1.284588))+0-411.5--0.209864999999958</f>
        <v>1712.5261659999999</v>
      </c>
      <c r="T90" s="3">
        <f>2153.6+(2640-2760.5)+(-1.098336+(-1.3464--1.407855))+0-409.1--0.208640999999958</f>
        <v>1623.1717599999999</v>
      </c>
      <c r="U90" s="3">
        <f>2123.4+(2796-2797.4)+(-2.165868+(-2.85192--2.853348))+0-410.9--0.419118000000065</f>
        <v>1709.3546779999999</v>
      </c>
      <c r="V90" s="3">
        <f>2038.1+(2529.3-2466)+(-1.039431+(-1.289943--1.25766))+0-406.1--0.207110999999959</f>
        <v>1694.435397</v>
      </c>
      <c r="W90" s="3">
        <f>1984.7+(2422.7-2304.2)+(-3.036591+(-3.706731--3.525426))+0-413.6--0.632808000000024</f>
        <v>1687.0149119999999</v>
      </c>
      <c r="X90" s="3">
        <f>2011+(2087.8-2020.3)+(-5.12805+(-5.32389--5.151765))+0-399.4--1.01846999999994</f>
        <v>1674.818295</v>
      </c>
      <c r="Y90" s="3">
        <f>2029.5+(1723.3-1718.8)+(-2.07009+(-1.757766--1.753176))+0-399.2--0.407184000000064</f>
        <v>1633.1325040000002</v>
      </c>
      <c r="Z90" s="3">
        <f>2231.3+(1867.9-1893.3)+(-1.137963+(-0.952629--0.965583))+0-407.8--0.207977999999959</f>
        <v>1797.1829690000006</v>
      </c>
      <c r="AA90" s="3">
        <f>2255.3+(1928-1832.1)+(-3.450609+(-2.94984--2.803113))+0-407.1--0.622863000000024</f>
        <v>1941.1255270000006</v>
      </c>
      <c r="AB90" s="3">
        <f>2246+(1994.8-1942.3)+(-2.29092+(-2.034696--1.981146))+0-406.4--0.414528000000065</f>
        <v>1890.1700579999999</v>
      </c>
      <c r="AC90" s="3">
        <f>2256+(2137.9-2126.5)+(-4.60224+(-4.361316--4.33806))+0-409.8--0.835991999999982</f>
        <v>1853.8104960000001</v>
      </c>
      <c r="AD90">
        <f t="shared" si="1"/>
        <v>39567.24136700001</v>
      </c>
      <c r="AE90" s="3">
        <f>2256.8+(1923.6-1816.1)+(0+(0-0))+0-411.6-0</f>
        <v>1952.7000000000003</v>
      </c>
    </row>
    <row r="91" spans="1:31" s="2" customFormat="1" x14ac:dyDescent="0.25">
      <c r="A91">
        <v>89</v>
      </c>
      <c r="B91">
        <v>3</v>
      </c>
      <c r="C91">
        <v>29</v>
      </c>
      <c r="D91">
        <v>1</v>
      </c>
      <c r="E91">
        <v>1</v>
      </c>
      <c r="F91" s="3">
        <f>2079.9+(2186.3-2098.6)+(-2.121498+(-2.230026--2.140572))+0-453.7--0.462774000000072</f>
        <v>1712.1518220000005</v>
      </c>
      <c r="G91" s="3">
        <f>1838.9+(2419.2-2185.2)+(-3.751356+(-4.935168--4.457808))+0-458.4--0.93513599999998</f>
        <v>1611.20642</v>
      </c>
      <c r="H91" s="3">
        <f>1650+(2400.9-2031.8)+(-2.5245+(-3.673377--3.108654))+0-457--0.699210000000026</f>
        <v>1559.7099870000002</v>
      </c>
      <c r="I91" s="3">
        <f>1537.4+(2142.6-1703.7)+(-4.704444+(-6.556356--5.213322))+0-461.7--1.41280200000005</f>
        <v>1509.965324</v>
      </c>
      <c r="J91" s="3">
        <f>1539.4+(1936.3-1556.6)+(0+(0-0))+0-459.3-0</f>
        <v>1459.8000000000002</v>
      </c>
      <c r="K91" s="3">
        <f>1540.9+(1995.3-1651.2)+(-0.785859+(-1.017603--0.842112))+0-424.8--0.216647999999957</f>
        <v>1459.4552979999999</v>
      </c>
      <c r="L91" s="3">
        <f>1538.4+(1970.7-1582.6)+(-0.784584+(-1.005057--0.807126))+0-454.4--0.231743999999954</f>
        <v>1471.3492290000002</v>
      </c>
      <c r="M91" s="3">
        <f>1536.2+(1590.3-1168.4)+(-1.566924+(-1.622106--1.191768))+0-457.1--0.466242000000073</f>
        <v>1499.4689799999996</v>
      </c>
      <c r="N91" s="3">
        <f>1580.1+(1927.1-1401.2)+(0.805851+(0.982821-0.714612))+0-415.7-0.212006999999958</f>
        <v>1691.162053</v>
      </c>
      <c r="O91" s="3">
        <f>1678.6+(1704.1-1081.1)+(0.856086+(0.869091-0.551361))+0-457-0.233069999999954</f>
        <v>1845.5407459999999</v>
      </c>
      <c r="P91" s="3">
        <f>1919+(1110.8-685.3)+(-1.95738+(-1.133016--0.699006))+0-467--0.476340000000074</f>
        <v>1875.5849500000004</v>
      </c>
      <c r="Q91" s="3">
        <f>2066.1+(698.5-351.9)+(2.107422+(0.71247-0.358938))+0-460-0.469200000000073</f>
        <v>1954.6917539999999</v>
      </c>
      <c r="R91" s="3">
        <f>2191.6+(654.5-441.6)+(-2.235432+(-0.66759--0.450432))+0-455--0.464100000000073</f>
        <v>1947.5115100000003</v>
      </c>
      <c r="S91" s="3">
        <f>2222.5+(573.5-463.6)+(0+(0-0))+0-445-0</f>
        <v>1887.4</v>
      </c>
      <c r="T91" s="3">
        <f>2205.3+(694.2-555)+(-1.124703+(-0.354042--0.28305))+0-442--0.225419999999955</f>
        <v>1901.5297250000001</v>
      </c>
      <c r="U91" s="3">
        <f>2103.6+(700.1-473.8)+(-2.145672+(-0.714102--0.483276))+0-439--0.44778000000007</f>
        <v>1888.971282</v>
      </c>
      <c r="V91" s="3">
        <f>2092.6+(633.3-464.3)+(1.067226+(0.322983-0.236793))+0-396-0.20195999999996</f>
        <v>1866.5514560000001</v>
      </c>
      <c r="W91" s="3">
        <f>2094.2+(887.4-729.6)+(-4.272168+(-1.810296--1.488384))+0-395--0.805799999999983</f>
        <v>1853.2117200000002</v>
      </c>
      <c r="X91" s="3">
        <f>2057.3+(1391.6-1216.1)+(-6.295338+(-4.258296--3.721266))+0-408--1.24848000000005</f>
        <v>1819.2161120000003</v>
      </c>
      <c r="Y91" s="3">
        <f>2086.6+(1534.2-1396.1)+(-1.064166+(-0.782442--0.712011))+0-397--0.20246999999996</f>
        <v>1826.7678729999996</v>
      </c>
      <c r="Z91" s="3">
        <f>2224+(1377.7-1212.2)+(0+(0-0))+0-395-0</f>
        <v>1994.5</v>
      </c>
      <c r="AA91" s="3">
        <f>2290.7+(789.5-611.6)+(0+(0-0))+0-394-0</f>
        <v>2074.6</v>
      </c>
      <c r="AB91" s="3">
        <f>2287.9+(827.5-709.3)+(-3.500487+(-1.266075--1.085229))+0-371--0.567630000000021</f>
        <v>2031.9862970000004</v>
      </c>
      <c r="AC91" s="3">
        <f>2283.6+(1376.3-1363.3)+(-2.329272+(-1.403826--1.390566))+0-404--0.412080000000064</f>
        <v>1890.6695479999998</v>
      </c>
      <c r="AD91">
        <f t="shared" si="1"/>
        <v>42633.002086</v>
      </c>
      <c r="AE91" s="3">
        <f>2273+(747.6-573.4)+(0+(0-0))+0-395-0</f>
        <v>2052.1999999999998</v>
      </c>
    </row>
    <row r="92" spans="1:31" s="2" customFormat="1" x14ac:dyDescent="0.25">
      <c r="A92">
        <v>89</v>
      </c>
      <c r="B92">
        <v>3</v>
      </c>
      <c r="C92">
        <v>30</v>
      </c>
      <c r="D92">
        <v>2</v>
      </c>
      <c r="E92">
        <v>1</v>
      </c>
      <c r="F92" s="3">
        <f>2125.5+(2364.7-2273.3)+(-4.33602+(-4.823988--4.637532))+0-436--0.889439999999981</f>
        <v>1777.2669639999995</v>
      </c>
      <c r="G92" s="3">
        <f>1943.1+(2485.3-2275.4)+(-0.990981+(-1.267503--1.160454))+0-432--0.220319999999956</f>
        <v>1720.1222899999998</v>
      </c>
      <c r="H92" s="3">
        <f>1644.4+(2423.4-2016.1)+(0.838644+(1.235934-1.028211))+0-431-0.219809999999956</f>
        <v>1621.5265570000001</v>
      </c>
      <c r="I92" s="3">
        <f>1546.9+(2314.5-1832.8)+(-2.366757+(-3.541185--2.804184))+0-427--0.653310000000025</f>
        <v>1599.1495520000001</v>
      </c>
      <c r="J92" s="3">
        <f>1546.1+(2199.6-1696.9)+(-2.365533+(-3.365388--2.596257))+0-428--0.654840000000025</f>
        <v>1618.3201759999997</v>
      </c>
      <c r="K92" s="3">
        <f>1549+(2073.8-1525.2)+(-3.15996+(-4.230552--3.111408))+0-433--0.883319999999981</f>
        <v>1661.2042160000001</v>
      </c>
      <c r="L92" s="3">
        <f>1547.9+(1617.4-1150.6)+(0.789429+(0.824874-0.586806))+0-436-0.222359999999956</f>
        <v>1579.5051370000003</v>
      </c>
      <c r="M92" s="3">
        <f>1545.1+(1479.8-1008.7)+(0+(0-0))+0-433-0</f>
        <v>1583.1999999999998</v>
      </c>
      <c r="N92" s="3">
        <f>1551.6+(1609.7-1032.1)+(1.582632+(1.641894-1.052742))+0-425-0.433500000000068</f>
        <v>1705.9382839999998</v>
      </c>
      <c r="O92" s="3">
        <f>1659.1+(1499.9-886.1)+(1.692282+(1.529898-0.903822))+0-425-0.433500000000068</f>
        <v>1849.784858</v>
      </c>
      <c r="P92" s="3">
        <f>1863.4+(1091.5-575.2)+(0.950334+(0.556665-0.293352))+0-444-0.226439999999955</f>
        <v>1936.6872069999999</v>
      </c>
      <c r="Q92" s="3">
        <f>2029.9+(840.2-497.7)+(1.035249+(0.428502-0.253827))+0-443-0.225929999999955</f>
        <v>1930.3839939999998</v>
      </c>
      <c r="R92" s="3">
        <f>2210.2+(692.8-482.5)+(1.127202+(0.353328-0.246075))+0-436-0.222359999999956</f>
        <v>1985.5120949999998</v>
      </c>
      <c r="S92" s="3">
        <f>2224.6+(555.8-490.6)+(0+(0-0))+0-438-0</f>
        <v>1851.7999999999997</v>
      </c>
      <c r="T92" s="3">
        <f>2217.2+(555.4-443.1)+(1.130772+(0.283254-0.225981))+0-457-0.233069999999954</f>
        <v>1873.4549749999999</v>
      </c>
      <c r="U92" s="3">
        <f>2187.7+(584.6-478.3)+(-2.231454+(-0.596292--0.487866))+0-435--0.443700000000069</f>
        <v>1857.10382</v>
      </c>
      <c r="V92" s="3">
        <f>2225.4+(761.3-711.2)+(-2.269908+(-0.776526--0.725424))+0-419--0.427380000000067</f>
        <v>1854.60637</v>
      </c>
      <c r="W92" s="3">
        <f>2231.9+(1245.8-1214.9)+(-2.276538+(-1.270716--1.239198))+0-415--0.423300000000066</f>
        <v>1845.9152440000005</v>
      </c>
      <c r="X92" s="3">
        <f>2050+(1472.8-1234.9)+(-3.1365+(-2.253384--1.889397))+0-417--0.638010000000024</f>
        <v>1868.037523</v>
      </c>
      <c r="Y92" s="3">
        <f>2005.7+(1514.2-1326.6)+(-1.022907+(-0.772242--0.676566))+0-407--0.207569999999959</f>
        <v>1785.3889870000003</v>
      </c>
      <c r="Z92" s="3">
        <f>2253.5+(1251.4-1088.7)+(0+(0-0))+0-406-0</f>
        <v>2010.1999999999998</v>
      </c>
      <c r="AA92" s="3">
        <f>2282.9+(741.5-574.6)+(-2.328558+(-0.75633--0.586092))+0-408--0.416160000000065</f>
        <v>2039.7173640000003</v>
      </c>
      <c r="AB92" s="3">
        <f>2261.4+(811-705.1)+(-1.153314+(-0.41361--0.359601))+0-409--0.208589999999959</f>
        <v>1957.3012670000001</v>
      </c>
      <c r="AC92" s="3">
        <f>2275.9+(1162-1147.7)+(0+(0-0))+0-410-0</f>
        <v>1880.1999999999998</v>
      </c>
      <c r="AD92">
        <f t="shared" si="1"/>
        <v>43392.326879999993</v>
      </c>
      <c r="AE92" s="3">
        <f>2262+(721.7-555.9)+(0+(0-0))+0-406-0</f>
        <v>2021.8000000000002</v>
      </c>
    </row>
    <row r="93" spans="1:31" s="2" customFormat="1" x14ac:dyDescent="0.25">
      <c r="A93">
        <v>89</v>
      </c>
      <c r="B93">
        <v>3</v>
      </c>
      <c r="C93">
        <v>31</v>
      </c>
      <c r="D93">
        <v>3</v>
      </c>
      <c r="E93">
        <v>1</v>
      </c>
      <c r="F93" s="3">
        <f>2045.3+(1954.2-1865)+(-1.043103+(-0.996642--0.95115))+0-459--0.234089999999953</f>
        <v>1674.6454949999998</v>
      </c>
      <c r="G93" s="3">
        <f>1922.4+(2401.8-2205.5)+(0.980424+(1.224918-1.124805))+0-462-0.235619999999953</f>
        <v>1657.5449170000002</v>
      </c>
      <c r="H93" s="3">
        <f>1668.9+(2161.2-1786.2)+(0.851139+(1.102212-0.910962))+0-464-0.236639999999953</f>
        <v>1580.705749</v>
      </c>
      <c r="I93" s="3">
        <f>1602.8+(2134.2-1702.6)+(1.634856+(2.176884-1.736652))+0-461-0.470220000000074</f>
        <v>1575.0048679999998</v>
      </c>
      <c r="J93" s="3">
        <f>1603.4+(2180-1728.4)+(3.270936+(4.4472-3.525936))+0-459-0.93635999999998</f>
        <v>1599.25584</v>
      </c>
      <c r="K93" s="3">
        <f>1602.7+(2112.6-1741.2)+(0+(0-0))+0-462-0</f>
        <v>1512.1</v>
      </c>
      <c r="L93" s="3">
        <f>1602.8+(1918-1602.7)+(-0.817428+(-0.97818--0.817377))+0-447--0.227969999999955</f>
        <v>1470.3497389999998</v>
      </c>
      <c r="M93" s="3">
        <f>1602.7+(1986.5-1590)+(0+(0-0))+0-433-0</f>
        <v>1566.2</v>
      </c>
      <c r="N93" s="3">
        <f>1599.9+(2075.3-1516.6)+(1.631898+(2.116806-1.546932))+0-460-0.469200000000073</f>
        <v>1700.3325720000003</v>
      </c>
      <c r="O93" s="3">
        <f>1694.2+(1534.4-976.1)+(1.728084+(1.565088-0.995622))+0-412-0.420240000000066</f>
        <v>1842.3773099999996</v>
      </c>
      <c r="P93" s="3">
        <f>1788.9+(950.8-500.2)+(0+(0-0))+0-417-0</f>
        <v>1822.5</v>
      </c>
      <c r="Q93" s="3">
        <f>1955.3+(795.2-425.4)+(0+(0-0))+0-427-0</f>
        <v>1898.1</v>
      </c>
      <c r="R93" s="3">
        <f>2166.7+(660.1-499.7)+(1.105017+(0.336651-0.254847))+0-427-0.217769999999957</f>
        <v>1901.0690509999997</v>
      </c>
      <c r="S93" s="3">
        <f>2105.4+(744.3-539.7)+(0+(0-0))+0-432-0</f>
        <v>1878</v>
      </c>
      <c r="T93" s="3">
        <f>2114.2+(543.6-397.4)+(1.078242+(0.277236-0.202674))+0-437-0.222869999999956</f>
        <v>1824.3299339999994</v>
      </c>
      <c r="U93" s="3">
        <f>2095.4+(474.2-407)+(-1.068654+(-0.241842--0.20757))+0-414--0.211139999999958</f>
        <v>1747.7082139999998</v>
      </c>
      <c r="V93" s="3">
        <f>2045+(868.9-657.8)+(2.0859+(0.886278-0.670956))+0-400-0.408000000000064</f>
        <v>1857.9932219999998</v>
      </c>
      <c r="W93" s="3">
        <f>2089.5+(906.2-753.3)+(1.065645+(0.462162-0.384183))+0-405-0.206549999999959</f>
        <v>1838.337074</v>
      </c>
      <c r="X93" s="3">
        <f>2157.7+(1182.5-1073.6)+(0+(0-0))+0-405-0</f>
        <v>1861.6</v>
      </c>
      <c r="Y93" s="3">
        <f>2192.1+(908.5-894.9)+(2.235942+(0.92667-0.912798))+0-414-0.422280000000066</f>
        <v>1793.5275339999996</v>
      </c>
      <c r="Z93" s="3">
        <f>2282.7+(1090.4-937.1)+(0+(0-0))+0-413-0</f>
        <v>2023</v>
      </c>
      <c r="AA93" s="3">
        <f>2291.7+(843.5-690.7)+(-1.168767+(-0.430185--0.352257))+0-413--0.210629999999958</f>
        <v>2030.4639350000002</v>
      </c>
      <c r="AB93" s="3">
        <f>2294.1+(978.5-836.2)+(0+(0-0))+0-413-0</f>
        <v>2023.3999999999996</v>
      </c>
      <c r="AC93" s="3">
        <f>2292.1+(1459.6-1382)+(-3.506913+(-2.233188--2.11446))+0-415--0.634950000000024</f>
        <v>1951.7093089999998</v>
      </c>
      <c r="AD93">
        <f t="shared" si="1"/>
        <v>42630.25476299999</v>
      </c>
      <c r="AE93" s="3">
        <f>2280+(833.9-669.6)+(0+(0-0))+0-413-0</f>
        <v>2031.3000000000002</v>
      </c>
    </row>
    <row r="94" spans="1:31" s="2" customFormat="1" x14ac:dyDescent="0.25">
      <c r="A94">
        <v>89</v>
      </c>
      <c r="B94">
        <v>4</v>
      </c>
      <c r="C94">
        <v>1</v>
      </c>
      <c r="D94">
        <v>4</v>
      </c>
      <c r="E94">
        <v>1</v>
      </c>
      <c r="F94" s="3">
        <f>2189.6+(2020.8-1947.4)+(-5.58348+(-5.15304--4.96587))+0-414--1.05569999999994</f>
        <v>1844.28505</v>
      </c>
      <c r="G94" s="3">
        <f>1931.3+(2066.4-1859.2)+(-2.954889+(-3.161592--2.844576))+0-413--0.631890000000024</f>
        <v>1722.8599850000001</v>
      </c>
      <c r="H94" s="3">
        <f>1639.1+(1901.5-1474.7)+(-3.343764+(-3.87906--3.008388))+0-412--0.840479999999982</f>
        <v>1650.5260439999995</v>
      </c>
      <c r="I94" s="3">
        <f>1552.7+(1924.7-1493.7)+(-2.375631+(-2.944791--2.285361))+0-416--0.636480000000024</f>
        <v>1565.3014190000001</v>
      </c>
      <c r="J94" s="3">
        <f>1551.2+(1923.5-1498.1)+(-0.791112+(-0.980985--0.764031))+0-415--0.211649999999958</f>
        <v>1560.803584</v>
      </c>
      <c r="K94" s="3">
        <f>1552.6+(1612.7-1186.3)+(-3.167304+(-3.289908--2.420052))+0-413--0.842519999999982</f>
        <v>1562.8053599999998</v>
      </c>
      <c r="L94" s="3">
        <f>1552.4+(1469.6-1092.5)+(0.791724+(0.749496-0.557175))+0-412-0.210119999999958</f>
        <v>1518.273925</v>
      </c>
      <c r="M94" s="3">
        <f>1549.6+(1116.7-663.2)+(1.580592+(1.139034-0.676464))+0-454-0.463080000000072</f>
        <v>1550.6800819999999</v>
      </c>
      <c r="N94" s="3">
        <f>1549.9+(1162.4-581)+(-0.790449+(-0.592824--0.29631))+0-402--0.205019999999959</f>
        <v>1728.4180569999999</v>
      </c>
      <c r="O94" s="3">
        <f>1564+(1313.2-617.5)+(1.59528+(1.339464-0.62985))+0-425-0.433500000000068</f>
        <v>1836.5713939999996</v>
      </c>
      <c r="P94" s="3">
        <f>1783.9+(1008.7-506.5)+(0.909789+(0.514437-0.258315))+0-450-0.229499999999954</f>
        <v>1837.0364110000005</v>
      </c>
      <c r="Q94" s="3">
        <f>2153.6+(715.5-501.9)+(0+(0-0))+0-411-0</f>
        <v>1956.1999999999998</v>
      </c>
      <c r="R94" s="3">
        <f>2218+(897.4-723.1)+(-1.13118+(-0.457674--0.368781))+0-440--0.224399999999955</f>
        <v>1951.3043270000003</v>
      </c>
      <c r="S94" s="3">
        <f>2217.1+(731.1-658.4)+(-2.261442+(-0.745722--0.671568))+0-419--0.427380000000067</f>
        <v>1868.8917840000004</v>
      </c>
      <c r="T94" s="3">
        <f>2218.7+(779.8-710.4)+(1.131537+(0.397698-0.362304))+0-396-0.20195999999996</f>
        <v>1893.0649710000002</v>
      </c>
      <c r="U94" s="3">
        <f>2217.1+(747.7-624)+(3.392163+(1.143981-0.95472))+0-392-0.599760000000023</f>
        <v>1951.7816640000001</v>
      </c>
      <c r="V94" s="3">
        <f>2215.5+(732-662)+(-2.25981+(-0.74664--0.67524))+0-390--0.397800000000062</f>
        <v>1893.5665900000001</v>
      </c>
      <c r="W94" s="3">
        <f>2215.9+(846.1-705.4)+(-2.260218+(-0.863022--0.719508))+0-399--0.406980000000064</f>
        <v>1955.6032480000001</v>
      </c>
      <c r="X94" s="3">
        <f>2023.9+(1023.1-785.9)+(-3.096567+(-1.565343--1.202427))+0-399--0.610470000000023</f>
        <v>1859.2509870000004</v>
      </c>
      <c r="Y94" s="3">
        <f>1991.4+(886.6-685.9)+(1.015614+(0.452166-0.349809))+0-401-0.204509999999959</f>
        <v>1792.0134610000005</v>
      </c>
      <c r="Z94" s="3">
        <f>2199.2+(1044.5-865)+(-3.364776+(-1.598085--1.32345))+0-400--0.612000000000023</f>
        <v>1975.6725889999998</v>
      </c>
      <c r="AA94" s="3">
        <f>2290+(817.5-682)+(-1.1679+(-0.416925--0.34782))+0-401--0.204509999999959</f>
        <v>2023.4675050000001</v>
      </c>
      <c r="AB94" s="3">
        <f>2293.1+(927.1-909.2)+(0+(0-0))+0-401-0</f>
        <v>1910</v>
      </c>
      <c r="AC94" s="3">
        <f>2257.5+(1282.7-1149.5)+(-1.151325+(-0.654177--0.586245))+0-401--0.204509999999959</f>
        <v>1988.6852529999996</v>
      </c>
      <c r="AD94">
        <f t="shared" si="1"/>
        <v>43397.06369000001</v>
      </c>
      <c r="AE94" s="3">
        <f>2294+(822.3-585.1)+(0+(0-0))+0-402-0</f>
        <v>2129.1999999999998</v>
      </c>
    </row>
    <row r="95" spans="1:31" s="2" customFormat="1" x14ac:dyDescent="0.25">
      <c r="A95">
        <v>89</v>
      </c>
      <c r="B95">
        <v>4</v>
      </c>
      <c r="C95">
        <v>2</v>
      </c>
      <c r="D95">
        <v>5</v>
      </c>
      <c r="E95">
        <v>1</v>
      </c>
      <c r="F95" s="3">
        <f>2039+(1617-1372.6)+(0+(0-0))+0-415-0</f>
        <v>1868.4</v>
      </c>
      <c r="G95" s="3">
        <f>1656.7+(1724.5-1260.8)+(-1.689834+(-1.75899--1.286016))+0-407--0.415140000000065</f>
        <v>1711.6523320000001</v>
      </c>
      <c r="H95" s="3">
        <f>1552.9+(1627.6-1149)+(0+(0-0))+0-446-0</f>
        <v>1585.5</v>
      </c>
      <c r="I95" s="3">
        <f>1552.6+(1803.2-1385)+(-1.583652+(-1.839264--1.4127))+0-427--0.435540000000068</f>
        <v>1542.2253240000002</v>
      </c>
      <c r="J95" s="3">
        <f>1555.1+(1896.5-1471.8)+(-0.793101+(-0.967215--0.750618))+0-423--0.215729999999957</f>
        <v>1556.0060319999998</v>
      </c>
      <c r="K95" s="3">
        <f>1554.8+(1863.2-1470.9)+(-1.585896+(-1.900464--1.500318))+0-437--0.44574000000007</f>
        <v>1508.559698</v>
      </c>
      <c r="L95" s="3">
        <f>1553.3+(1599.2-1213.2)+(-0.792183+(-0.815592--0.618732))+0-429--0.218789999999956</f>
        <v>1509.5297469999998</v>
      </c>
      <c r="M95" s="3">
        <f>1555.7+(1623.3-1189.4)+(-0.793407+(-0.827883--0.606594))+0-451--0.230009999999954</f>
        <v>1537.8153139999999</v>
      </c>
      <c r="N95" s="3">
        <f>1557.3+(1560.3-971.5)+(0+(0-0))+0-458-0</f>
        <v>1688.1</v>
      </c>
      <c r="O95" s="3">
        <f>1687.4+(1264.4-779.1)+(-2.581722+(-1.934532--1.192023))+0-443--0.677790000000026</f>
        <v>1727.0535590000002</v>
      </c>
      <c r="P95" s="3">
        <f>1919+(1027.8-561.4)+(0.97869+(0.524178-0.286314))+0-466-0.237659999999953</f>
        <v>1920.3788940000002</v>
      </c>
      <c r="Q95" s="3">
        <f>2003.7+(1051.5-692.6)+(-1.021887+(-0.536265--0.353226))+0-453--0.231029999999954</f>
        <v>1908.6261039999999</v>
      </c>
      <c r="R95" s="3">
        <f>2216.1+(1089-828.1)+(1.130211+(0.55539-0.422331))+0-457-0.233069999999954</f>
        <v>2021.0301999999999</v>
      </c>
      <c r="S95" s="3">
        <f>2228.2+(827.4-762.3)+(-1.136382+(-0.421974--0.388773))+0-462--0.235619999999953</f>
        <v>1830.3660369999998</v>
      </c>
      <c r="T95" s="3">
        <f>2228.8+(679.7-596.3)+(2.273376+(0.693294-0.608226))+0-461-0.470220000000074</f>
        <v>1853.0882240000001</v>
      </c>
      <c r="U95" s="3">
        <f>2229.4+(541.2-435.3)+(1.136994+(0.276012-0.222003))+0-426-0.217259999999957</f>
        <v>1910.2737430000002</v>
      </c>
      <c r="V95" s="3">
        <f>1998+(836.7-527.1)+(0+(0-0))+0-419-0</f>
        <v>1888.6</v>
      </c>
      <c r="W95" s="3">
        <f>1849.8+(919.5-516.6)+(-0.943398+(-0.468945--0.263466))+0-416--0.212159999999958</f>
        <v>1835.7632829999998</v>
      </c>
      <c r="X95" s="3">
        <f>1751.9+(1074.3-625.5)+(-2.680407+(-1.643679--0.957015))+0-414--0.633420000000024</f>
        <v>1783.9663489999998</v>
      </c>
      <c r="Y95" s="3">
        <f>1749.2+(1176-713.7)+(-1.784184+(-1.19952--0.727974))+0-415--0.423300000000066</f>
        <v>1794.6675700000003</v>
      </c>
      <c r="Z95" s="3">
        <f>1978.2+(1080.6-705.1)+(0+(0-0))+0-412-0</f>
        <v>1941.6999999999998</v>
      </c>
      <c r="AA95" s="3">
        <f>2084.1+(1072.2-690.8)+(-3.188673+(-1.640466--1.056924))+0-415--0.634950000000024</f>
        <v>2047.3627350000002</v>
      </c>
      <c r="AB95" s="3">
        <f>2179.6+(928.3-762.4)+(-2.223192+(-0.946866--0.777648))+0-413--0.421260000000066</f>
        <v>1930.5288500000001</v>
      </c>
      <c r="AC95" s="3">
        <f>2238.8+(1210.4-1135.1)+(-1.141788+(-0.617304--0.578901))+0-412--0.210119999999958</f>
        <v>1901.1299290000004</v>
      </c>
      <c r="AD95">
        <f t="shared" si="1"/>
        <v>42802.323924000004</v>
      </c>
      <c r="AE95" s="3">
        <f>2095+(1021.6-693)+(0+(0-0))+0-412-0</f>
        <v>2011.6</v>
      </c>
    </row>
    <row r="96" spans="1:31" s="2" customFormat="1" x14ac:dyDescent="0.25">
      <c r="A96">
        <v>89</v>
      </c>
      <c r="B96">
        <v>4</v>
      </c>
      <c r="C96">
        <v>3</v>
      </c>
      <c r="D96">
        <v>6</v>
      </c>
      <c r="E96">
        <v>1</v>
      </c>
      <c r="F96" s="3">
        <f>2084.6+(1721.1-1598.7)+(-4.252584+(-3.511044--3.261348))+0-457--0.93227999999998</f>
        <v>1746.4299999999998</v>
      </c>
      <c r="G96" s="3">
        <f>1869+(2018.6-1753)+(-4.76595+(-5.14743--4.47015))+0-415--1.05824999999994</f>
        <v>1715.2150200000001</v>
      </c>
      <c r="H96" s="3">
        <f>1580.7+(2247.5-1729.5)+(-0.806157+(-1.146225--0.882045))+0-461--0.235109999999953</f>
        <v>1636.8647729999996</v>
      </c>
      <c r="I96" s="3">
        <f>1502.5+(2218.2-1712)+(-1.53255+(-2.262564--1.74624))+0-459--0.468180000000073</f>
        <v>1548.1193059999998</v>
      </c>
      <c r="J96" s="3">
        <f>1502.2+(2121.3-1624.4)+(-0.766122+(-1.081863--0.828444))+0-462--0.235619999999953</f>
        <v>1536.3160790000002</v>
      </c>
      <c r="K96" s="3">
        <f>1500.3+(2138.5-1688.4)+(-2.295459+(-3.271905--2.583252))+0-413--0.631890000000024</f>
        <v>1535.0477779999999</v>
      </c>
      <c r="L96" s="3">
        <f>1501.1+(1956.9-1547.9)+(0+(0-0))+0-415-0</f>
        <v>1495.1</v>
      </c>
      <c r="M96" s="3">
        <f>1536.2+(1647-1211.2)+(-0.783462+(-0.83997--0.617712))+0-418--0.213179999999958</f>
        <v>1553.2074599999999</v>
      </c>
      <c r="N96" s="3">
        <f>1689.7+(1451.4-986.8)+(0+(0-0))+0-459-0</f>
        <v>1695.3000000000002</v>
      </c>
      <c r="O96" s="3">
        <f>1691.9+(1563.6-1010)+(0.862869+(0.797436-0.5151))+0-454-0.231539999999954</f>
        <v>1792.4136649999998</v>
      </c>
      <c r="P96" s="3">
        <f>1689.9+(1396-786.3)+(1.723698+(1.42392-0.802026))+0-456-0.465120000000073</f>
        <v>1845.4804720000004</v>
      </c>
      <c r="Q96" s="3">
        <f>1838.6+(1057.3-596.8)+(2.813058+(1.617669-0.913104))+0-418-0.639540000000024</f>
        <v>1883.978083</v>
      </c>
      <c r="R96" s="3">
        <f>1944.8+(892.6-519.8)+(0.991848+(0.455226-0.265098))+0-425-0.216749999999957</f>
        <v>1893.5652259999997</v>
      </c>
      <c r="S96" s="3">
        <f>1987.6+(757.2-535.1)+(2.027352+(0.772344-0.545802))+0-417-0.425340000000067</f>
        <v>1794.5285539999998</v>
      </c>
      <c r="T96" s="3">
        <f>1988.1+(720.6-514.1)+(-3.041793+(-1.102518--0.786573))+0-410--0.627300000000024</f>
        <v>1781.8695619999999</v>
      </c>
      <c r="U96" s="3">
        <f>1988.6+(857.7-622.1)+(-1.014186+(-0.437427--0.317271))+0-409--0.208589999999959</f>
        <v>1814.2742479999999</v>
      </c>
      <c r="V96" s="3">
        <f>1984+(927-761.2)+(-4.04736+(-1.89108--1.552848))+0-411--0.838439999999982</f>
        <v>1735.2528480000001</v>
      </c>
      <c r="W96" s="3">
        <f>1978.5+(1239.7-1059.7)+(-4.03614+(-2.528988--2.161788))+0-408--0.832319999999982</f>
        <v>1746.9289800000001</v>
      </c>
      <c r="X96" s="3">
        <f>1977.4+(1265-1093.6)+(-3.025422+(-1.93545--1.673208))+0-404--0.618120000000023</f>
        <v>1742.1304560000003</v>
      </c>
      <c r="Y96" s="3">
        <f>2017+(871-793.5)+(-1.02867+(-0.44421--0.404685))+0-409--0.208589999999959</f>
        <v>1684.6403950000001</v>
      </c>
      <c r="Z96" s="3">
        <f>2216.8+(850.9-855.9)+(-1.130568+(-0.433959--0.436509))+0-410--0.209099999999958</f>
        <v>1800.8810820000003</v>
      </c>
      <c r="AA96" s="3">
        <f>2292.3+(1149-1067.2)+(-4.676292+(-2.34396--2.177088))+0-407--0.830279999999982</f>
        <v>1963.0871160000004</v>
      </c>
      <c r="AB96" s="3">
        <f>2294.9+(1338.4-1358.9)+(-1.170399+(-0.682584--0.693039))+0-409--0.208589999999959</f>
        <v>1864.4486460000001</v>
      </c>
      <c r="AC96" s="3">
        <f>2281.8+(1544.5-1555.9)+(1.163718+(0.787695-0.793509))+0-407-0.207569999999959</f>
        <v>1864.3503340000002</v>
      </c>
      <c r="AD96">
        <f t="shared" si="1"/>
        <v>41669.430082999999</v>
      </c>
      <c r="AE96" s="3">
        <f>2290+(1127-1072.1)+(0+(0-0))+0-409-0</f>
        <v>1935.9</v>
      </c>
    </row>
    <row r="97" spans="1:31" s="2" customFormat="1" x14ac:dyDescent="0.25">
      <c r="A97">
        <v>89</v>
      </c>
      <c r="B97">
        <v>4</v>
      </c>
      <c r="C97">
        <v>4</v>
      </c>
      <c r="D97">
        <v>7</v>
      </c>
      <c r="E97">
        <v>1</v>
      </c>
      <c r="F97" s="3">
        <f>1920.3+(1635.8-1398.8)+(0.979353+(0.834258-0.713388))+0-412-0.210119999999958</f>
        <v>1746.1901030000001</v>
      </c>
      <c r="G97" s="3">
        <f>1592.9+(1706.4-1342.3)+(-0.812379+(-0.870264--0.684573))+0-410--0.209099999999958</f>
        <v>1546.2110300000002</v>
      </c>
      <c r="H97" s="3">
        <f>1555+(1627.6-1332)+(-1.5861+(-1.660152--1.35864))+0-410--0.418200000000065</f>
        <v>1439.130588</v>
      </c>
      <c r="I97" s="3">
        <f>1558.3+(1451.5-1241.4)+(0.794733+(0.740265-0.633114))+0-409-0.208589999999959</f>
        <v>1360.093294</v>
      </c>
      <c r="J97" s="3">
        <f>1556.2+(1499-1319.4)+(-1.587324+(-1.52898--1.345788))+0-407--0.415140000000065</f>
        <v>1327.444624</v>
      </c>
      <c r="K97" s="3">
        <f>1557.1+(1813.1-1591.5)+(-2.382363+(-2.774043--2.434995))+0-407--0.622710000000024</f>
        <v>1369.6012989999999</v>
      </c>
      <c r="L97" s="3">
        <f>1558.7+(1652.3-1425.3)+(-1.589874+(-1.685346--1.453806))+0-407--0.415140000000065</f>
        <v>1377.2937260000001</v>
      </c>
      <c r="M97" s="3">
        <f>1556.4+(1554-1327.7)+(-3.175056+(-3.17016--2.708508))+0-413--0.842519999999982</f>
        <v>1366.905812</v>
      </c>
      <c r="N97" s="3">
        <f>1544.5+(1633.5-1328.8)+(-0.787695+(-0.833085--0.677688))+0-412--0.210119999999958</f>
        <v>1436.467028</v>
      </c>
      <c r="O97" s="3">
        <f>1519.9+(1531.5-1118.9)+(0.775149+(0.781065-0.570639))+0-413-0.210629999999958</f>
        <v>1520.2749449999999</v>
      </c>
      <c r="P97" s="3">
        <f>1523+(1657.4-1264.7)+(-3.88365+(-4.22637--3.224985))+0-411--1.04804999999994</f>
        <v>1500.8630149999999</v>
      </c>
      <c r="Q97" s="3">
        <f>1520.2+(1816-1298.6)+(0.775302+(0.92616-0.662286))+0-414-0.211139999999958</f>
        <v>1624.4280360000002</v>
      </c>
      <c r="R97" s="3">
        <f>1713.8+(1646-1324.9)+(-0.874038+(-0.83946--0.675699))+0-415--0.211649999999958</f>
        <v>1619.0738509999999</v>
      </c>
      <c r="S97" s="3">
        <f>1735.9+(1705.7-1428)+(0+(0-0))+0-412-0</f>
        <v>1601.6000000000001</v>
      </c>
      <c r="T97" s="3">
        <f>1736.7+(1748.6-1514.8)+(-2.657151+(-2.675358--2.317644))+0-416--0.636480000000024</f>
        <v>1552.121615</v>
      </c>
      <c r="U97" s="3">
        <f>1736.8+(2012.9-1778.3)+(2.657304+(3.079737-2.720799))+0-414-0.633420000000024</f>
        <v>1559.7828219999999</v>
      </c>
      <c r="V97" s="3">
        <f>1738.2+(2109.9-1864.4)+(-1.772964+(-2.152098--1.901688))+0-413--0.421260000000066</f>
        <v>1569.097886</v>
      </c>
      <c r="W97" s="3">
        <f>1904.6+(1980.5-1829.4)+(-3.885384+(-4.04022--3.731976))+0-415--0.846599999999982</f>
        <v>1637.3529719999999</v>
      </c>
      <c r="X97" s="3">
        <f>1986.5+(1432-1388.3)+(-1.013115+(-0.73032--0.708033))+0-412--0.210119999999958</f>
        <v>1617.374718</v>
      </c>
      <c r="Y97" s="3">
        <f>1991+(1098.3-1121)+(-2.03082+(-1.120266--1.14342))+0-415--0.423300000000066</f>
        <v>1551.7156340000001</v>
      </c>
      <c r="Z97" s="3">
        <f>2248.4+(1167.3-1220.8)+(-2.293368+(-1.190646--1.245216))+0-416--0.424320000000066</f>
        <v>1777.0855220000003</v>
      </c>
      <c r="AA97" s="3">
        <f>2296.6+(1209.5-1232)+(-3.513798+(-1.850535--1.88496))+0-415--0.634950000000024</f>
        <v>1856.2555769999999</v>
      </c>
      <c r="AB97" s="3">
        <f>2265.7+(1472.5-1472.1)+(-2.311014+(-1.50195--1.501542))+0-413--0.421260000000066</f>
        <v>1851.2098379999998</v>
      </c>
      <c r="AC97" s="3">
        <f>2114.4+(1579.2-1494.5)+(-2.156688+(-1.610784--1.52439))+0-413--0.421260000000066</f>
        <v>1784.2781780000005</v>
      </c>
      <c r="AD97">
        <f t="shared" si="1"/>
        <v>37591.852113000001</v>
      </c>
      <c r="AE97" s="3">
        <f>2310+(1322.2-1290.3)+(0+(0-0))+0-426-0</f>
        <v>1915.9</v>
      </c>
    </row>
    <row r="98" spans="1:31" s="2" customFormat="1" x14ac:dyDescent="0.25">
      <c r="A98">
        <v>89</v>
      </c>
      <c r="B98">
        <v>4</v>
      </c>
      <c r="C98">
        <v>5</v>
      </c>
      <c r="D98">
        <v>1</v>
      </c>
      <c r="E98">
        <v>3</v>
      </c>
      <c r="F98" s="3">
        <f>2112.1+(1768.3-1747.6)+(-3.231513+(-2.705499--2.673828))+0-412--0.630360000000024</f>
        <v>1718.1671760000004</v>
      </c>
      <c r="G98" s="3">
        <f>1885.3+(1383.8-1279.9)+(-3.846012+(-2.822952--2.610996))+0-414--0.844559999999982</f>
        <v>1571.9865919999997</v>
      </c>
      <c r="H98" s="3">
        <f>1681.6+(1288.7-1077.2)+(-0.857616+(-0.657237--0.549372))+0-413--0.210629999999958</f>
        <v>1479.345149</v>
      </c>
      <c r="I98" s="3">
        <f>1563.8+(1362.5-1106.5)+(-2.392614+(-2.084625--1.692945))+0-411--0.628830000000024</f>
        <v>1406.644536</v>
      </c>
      <c r="J98" s="3">
        <f>1561.5+(1480-1221.3)+(-1.59273+(-1.5096--1.245726))+0-413--0.421260000000066</f>
        <v>1405.7646560000001</v>
      </c>
      <c r="K98" s="3">
        <f>1559.9+(1484.8-1253.5)+(-5.568843+(-5.300736--4.474995))+0-413--1.47441000000001</f>
        <v>1373.2798260000002</v>
      </c>
      <c r="L98" s="3">
        <f>1560.4+(1267.2-1095.5)+(-1.591608+(-1.292544--1.11741))+0-412--0.420240000000066</f>
        <v>1318.7534980000003</v>
      </c>
      <c r="M98" s="3">
        <f>1558.8+(1208.9-975.4)+(-3.179952+(-2.466156--1.989816))+0-414--0.844559999999982</f>
        <v>1375.4882680000003</v>
      </c>
      <c r="N98" s="3">
        <f>1558.4+(1149.8-802.1)+(-1.589568+(-1.172796--0.818142))+0-412--0.420240000000066</f>
        <v>1492.576018</v>
      </c>
      <c r="O98" s="3">
        <f>1557.6+(1214.6-817.9)+(-1.588752+(-1.238892--0.834258))+0-412--0.420240000000066</f>
        <v>1540.7268539999998</v>
      </c>
      <c r="P98" s="3">
        <f>1629+(1499.9-1068.1)+(-2.49237+(-2.294847--1.634193))+0-414--0.633420000000024</f>
        <v>1644.2803960000001</v>
      </c>
      <c r="Q98" s="3">
        <f>1795.7+(1486.9-1187)+(-1.831614+(-1.516638--1.21074))+0-414--0.422280000000066</f>
        <v>1679.8847680000006</v>
      </c>
      <c r="R98" s="3">
        <f>1971.7+(1554.8-1386.3)+(-2.011134+(-1.585896--1.414026))+0-414--0.422280000000066</f>
        <v>1724.4392759999998</v>
      </c>
      <c r="S98" s="3">
        <f>2015.2+(1617.7-1587.4)+(-3.083256+(-2.475081--2.428722))+0-415--0.634950000000024</f>
        <v>1628.0053350000001</v>
      </c>
      <c r="T98" s="3">
        <f>2048.6+(1515.1-1425.9)+(0+(0-0))+0-416-0</f>
        <v>1721.7999999999997</v>
      </c>
      <c r="U98" s="3">
        <f>2047.6+(1458.9-1375.6)+(-1.044276+(-0.744039--0.701556))+0-417--0.212669999999958</f>
        <v>1713.0259110000002</v>
      </c>
      <c r="V98" s="3">
        <f>2042.5+(1593.9-1550.9)+(-5.208375+(-4.064445--3.954795))+0-415--1.05824999999994</f>
        <v>1666.240225</v>
      </c>
      <c r="W98" s="3">
        <f>2045.4+(1728.1-1558.7)+(-3.129462+(-2.643993--2.384811))+0-417--0.638010000000024</f>
        <v>1795.0493660000002</v>
      </c>
      <c r="X98" s="3">
        <f>2047.4+(1126.1-1050.9)+(-3.132522+(-1.722933--1.607877))+0-415--0.634950000000024</f>
        <v>1704.9873720000001</v>
      </c>
      <c r="Y98" s="3">
        <f>2054.3+(751.1-719.3)+(0+(0-0))+0-415-0</f>
        <v>1671.1000000000004</v>
      </c>
      <c r="Z98" s="3">
        <f>2242.2+(751.7-824.6)+(0+(0-0))+0-414-0</f>
        <v>1755.2999999999997</v>
      </c>
      <c r="AA98" s="3">
        <f>2292.8+(1113.3-1071.2)+(-2.338656+(-1.135566--1.092624))+0-415--0.423300000000066</f>
        <v>1917.9417020000003</v>
      </c>
      <c r="AB98" s="3">
        <f>2261.3+(1323.3-1268.8)+(0+(0-0))+0-414-0</f>
        <v>1901.8000000000002</v>
      </c>
      <c r="AC98" s="3">
        <f>2121+(1648.6-1522.6)+(2.16342+(1.681572-1.553052))+0-436-0.44472000000007</f>
        <v>1812.8472200000001</v>
      </c>
      <c r="AD98">
        <f t="shared" si="1"/>
        <v>39019.434144000021</v>
      </c>
      <c r="AE98" s="3">
        <f>2298+(1187.9-1088.7)+(0+(0-0))+0-414-0</f>
        <v>1983.1999999999998</v>
      </c>
    </row>
    <row r="99" spans="1:31" s="2" customFormat="1" x14ac:dyDescent="0.25">
      <c r="A99">
        <v>89</v>
      </c>
      <c r="B99">
        <v>4</v>
      </c>
      <c r="C99">
        <v>6</v>
      </c>
      <c r="D99">
        <v>2</v>
      </c>
      <c r="E99">
        <v>1</v>
      </c>
      <c r="F99" s="3">
        <f>1815.6+(1852.8-1527.4)+(0+(0-0))+0-462-0</f>
        <v>1679</v>
      </c>
      <c r="G99" s="3">
        <f>1539.6+(1992.7-1487.8)+(-2.355588+(-3.048831--2.276334))+0-472--0.722160000000027</f>
        <v>1570.094075</v>
      </c>
      <c r="H99" s="3">
        <f>1423.2+(1925.6-1390.5)+(-3.62916+(-4.91028--3.545775))+0-455--1.16024999999993</f>
        <v>1499.4665849999999</v>
      </c>
      <c r="I99" s="3">
        <f>1413.5+(1773.7-1270.7)+(-3.604425+(-4.522935--3.240285))+0-460--1.17299999999993</f>
        <v>1452.7859249999999</v>
      </c>
      <c r="J99" s="3">
        <f>1413.1+(1654.6-1203.5)+(-0.720681+(-0.843846--0.613785))+0-462--0.235619999999953</f>
        <v>1401.4848779999998</v>
      </c>
      <c r="K99" s="3">
        <f>1412+(1691.7-1252.7)+(-2.88048+(-3.451068--2.555508))+0-452--0.92207999999998</f>
        <v>1396.1460400000001</v>
      </c>
      <c r="L99" s="3">
        <f>1411.2+(1625-1166)+(-0.719712+(-0.82875--0.59466))+0-447--0.227969999999955</f>
        <v>1422.474168</v>
      </c>
      <c r="M99" s="3">
        <f>1454.9+(1304.7-820.6)+(0.741999+(0.665397-0.418506))+0-458-0.233579999999954</f>
        <v>1481.7553100000002</v>
      </c>
      <c r="N99" s="3">
        <f>1548+(940.6-400.7)+(-1.57896+(-0.959412--0.408714))+0-416--0.424320000000066</f>
        <v>1670.1946620000003</v>
      </c>
      <c r="O99" s="3">
        <f>1597.7+(1074.6-508.9)+(0.814827+(0.548046-0.259539))+0-459-0.234089999999953</f>
        <v>1705.2692440000001</v>
      </c>
      <c r="P99" s="3">
        <f>1731.5+(1212-687.9)+(0+(0-0))+0-460-0</f>
        <v>1795.6</v>
      </c>
      <c r="Q99" s="3">
        <f>1953.2+(801.4-405.9)+(1.992264+(0.817428-0.414018))+0-457-0.466140000000073</f>
        <v>1893.6295339999997</v>
      </c>
      <c r="R99" s="3">
        <f>2073.8+(540.1-289.2)+(0+(0-0))+0-455.2-0</f>
        <v>1869.5000000000002</v>
      </c>
      <c r="S99" s="3">
        <f>2161.5+(470.3-362.4)+(-1.102365+(-0.239853--0.184824))+0-462.4--0.235823999999953</f>
        <v>1806.07843</v>
      </c>
      <c r="T99" s="3">
        <f>2162.7+(494.3-363.6)+(0+(0-0))+0-455-0</f>
        <v>1838.3999999999996</v>
      </c>
      <c r="U99" s="3">
        <f>2162.5+(607.9-473)+(-2.20575+(-0.620058--0.48246))+0-424--0.432480000000068</f>
        <v>1871.4891320000004</v>
      </c>
      <c r="V99" s="3">
        <f>2160.6+(603.4-458.1)+(0+(0-0))+0-414.1-0</f>
        <v>1891.7999999999997</v>
      </c>
      <c r="W99" s="3">
        <f>2160.6+(428.3-320.2)+(-2.203812+(-0.436866--0.326604))+0-406.2--0.414324000000065</f>
        <v>1860.60025</v>
      </c>
      <c r="X99" s="3">
        <f>2159.4+(987.9-913.7)+(-4.405176+(-2.015316--1.863948))+0-408--0.832319999999982</f>
        <v>1821.8757759999999</v>
      </c>
      <c r="Y99" s="3">
        <f>2164.1+(953.2-917.7)+(-1.103691+(-0.486132--0.468027))+0-410.1--0.209150999999958</f>
        <v>1788.5873550000001</v>
      </c>
      <c r="Z99" s="3">
        <f>2274.8+(1162.9-1127.6)+(-1.160148+(-0.593079--0.575076))+0-410.3--0.209252999999958</f>
        <v>1898.8311020000003</v>
      </c>
      <c r="AA99" s="3">
        <f>2291.8+(828.2-642.5)+(0+(0-0))+0-411.1-0</f>
        <v>2066.4</v>
      </c>
      <c r="AB99" s="3">
        <f>2294.7+(1047.7-919.9)+(-1.170297+(-0.534327--0.469149))+0-408.6--0.208385999999959</f>
        <v>2012.8729110000002</v>
      </c>
      <c r="AC99" s="3">
        <f>2296.7+(1530.3-1463.9)+(-1.171317+(-0.780453--0.746589))+0-443.8--0.226337999999955</f>
        <v>1918.3211569999996</v>
      </c>
      <c r="AD99">
        <f t="shared" si="1"/>
        <v>41612.656534000002</v>
      </c>
      <c r="AE99" s="3">
        <f>2295+(781-596.3)+(0+(0-0))+0-406.2-0</f>
        <v>2073.5</v>
      </c>
    </row>
    <row r="100" spans="1:31" s="2" customFormat="1" x14ac:dyDescent="0.25">
      <c r="A100">
        <v>89</v>
      </c>
      <c r="B100">
        <v>4</v>
      </c>
      <c r="C100">
        <v>7</v>
      </c>
      <c r="D100">
        <v>3</v>
      </c>
      <c r="E100">
        <v>1</v>
      </c>
      <c r="F100" s="3">
        <f>2097.6+(1721.9-1567)+(-2.139552+(-1.756338--1.59834))+0-439--0.44778000000007</f>
        <v>1811.6502300000002</v>
      </c>
      <c r="G100" s="3">
        <f>1771.4+(1827.6-1487.1)+(-0.903414+(-0.932076--0.758421))+0-442.6--0.225725999999955</f>
        <v>1668.4486570000001</v>
      </c>
      <c r="H100" s="3">
        <f>1552.5+(1585.7-1104.5)+(-2.375325+(-2.426121--1.689885))+0-453.4--0.693702000000026</f>
        <v>1577.882141</v>
      </c>
      <c r="I100" s="3">
        <f>1485.6+(1771.7-1256)+(-1.515312+(-1.807134--1.28112))+0-454.9--0.463998000000073</f>
        <v>1544.8226720000002</v>
      </c>
      <c r="J100" s="3">
        <f>1393.7+(1590.1-1019.8)+(-3.553935+(-4.054755--2.60049))+0-450.6--1.14902999999993</f>
        <v>1509.5408299999999</v>
      </c>
      <c r="K100" s="3">
        <f>1379.7+(1478.8-928.3)+(-2.814588+(-3.016752--1.893732))+0-450.5--0.91901999999998</f>
        <v>1476.6814120000001</v>
      </c>
      <c r="L100" s="3">
        <f>1378.9+(1105.4-609.6)+(-2.812956+(-2.255016--1.243584))+0-401.7--0.819467999999982</f>
        <v>1469.9950800000001</v>
      </c>
      <c r="M100" s="3">
        <f>1376.8+(816-277.1)+(-0.702168+(-0.41616--0.141321))+0-395.6--0.20175599999996</f>
        <v>1519.3247489999999</v>
      </c>
      <c r="N100" s="3">
        <f>1376.8+(1018.4-315.8)+(0+(0-0))+0-406.3-0</f>
        <v>1673.0999999999997</v>
      </c>
      <c r="O100" s="3">
        <f>1417.2+(1064.6-328.4)+(-1.445544+(-1.085892--0.334968))+0-399.2--0.407184000000064</f>
        <v>1752.4107160000001</v>
      </c>
      <c r="P100" s="3">
        <f>1630.5+(983.2-381.4)+(-2.494665+(-1.504296--0.583542))+0-400.1--0.612153000000023</f>
        <v>1829.3967340000004</v>
      </c>
      <c r="Q100" s="3">
        <f>1892.4+(808.8-451.3)+(-0.965124+(-0.412488--0.230163))+0-398.1--0.20303099999996</f>
        <v>1850.8555820000001</v>
      </c>
      <c r="R100" s="3">
        <f>1980.1+(627.5-306)+(0+(0-0))+0-380.6-0</f>
        <v>1921</v>
      </c>
      <c r="S100" s="3">
        <f>2017.9+(654.5-412.1)+(0+(0-0))+0-406.8-0</f>
        <v>1853.5000000000002</v>
      </c>
      <c r="T100" s="3">
        <f>2088.5+(670.1-475.3)+(-2.13027+(-0.683502--0.484806))+0-407.9--0.416058000000065</f>
        <v>1873.4870920000001</v>
      </c>
      <c r="U100" s="3">
        <f>2143.7+(642.4-466.6)+(3.279861+(0.982872-0.713898))+0-418.1-0.639693000000024</f>
        <v>1904.3091420000001</v>
      </c>
      <c r="V100" s="3">
        <f>2138.3+(634.4-462.7)+(1.090533+(0.323544-0.235977))+0-412.2-0.210221999999958</f>
        <v>1898.7678780000001</v>
      </c>
      <c r="W100" s="3">
        <f>2044.9+(524.3-282.5)+(-2.085798+(-0.534786--0.28815))+0-406.7--0.414834000000065</f>
        <v>1878.0824</v>
      </c>
      <c r="X100" s="3">
        <f>1955.5+(884-613.8)+(-4.986525+(-2.2542--1.56519))+0-405.9--1.03504499999994</f>
        <v>1815.1595099999997</v>
      </c>
      <c r="Y100" s="3">
        <f>1961.1+(936.1-720)+(-2.000322+(-0.954822--0.7344))+0-395.2--0.403104000000063</f>
        <v>1780.1823599999996</v>
      </c>
      <c r="Z100" s="3">
        <f>2205.8+(1016.9-937.3)+(-1.124958+(-0.518619--0.478023))+0-396.7--0.20231699999996</f>
        <v>1887.7367629999999</v>
      </c>
      <c r="AA100" s="3">
        <f>2290.8+(718.5-550.6)+(-3.504924+(-1.099305--0.842418))+0-398.8--0.610164000000023</f>
        <v>2056.7483530000004</v>
      </c>
      <c r="AB100" s="3">
        <f>2297.5+(826.3-693.3)+(-4.6869+(-1.685652--1.414332))+0-404.3--0.824771999999982</f>
        <v>2022.066552</v>
      </c>
      <c r="AC100" s="3">
        <f>2263.9+(1041.2-951.2)+(-4.618356+(-2.124048--1.940448))+0-449.3--0.91657199999998</f>
        <v>1900.7146160000004</v>
      </c>
      <c r="AD100">
        <f t="shared" si="1"/>
        <v>42475.863468999996</v>
      </c>
      <c r="AE100" s="3">
        <f>2289+(744.4-593.5)+(0+(0-0))+0-400.3-0</f>
        <v>2039.6000000000001</v>
      </c>
    </row>
    <row r="101" spans="1:31" s="2" customFormat="1" x14ac:dyDescent="0.25">
      <c r="A101">
        <v>89</v>
      </c>
      <c r="B101">
        <v>4</v>
      </c>
      <c r="C101">
        <v>8</v>
      </c>
      <c r="D101">
        <v>4</v>
      </c>
      <c r="E101">
        <v>1</v>
      </c>
      <c r="F101" s="3">
        <f>2058.3+(1718.7-1530.4)+(-5.248665+(-4.382685--3.90252))+0-446.9--1.13959499999994</f>
        <v>1795.1107650000001</v>
      </c>
      <c r="G101" s="3">
        <f>1756.7+(2021.5-1665.3)+(-0.895917+(-1.030965--0.849303))+0-409.5--0.208844999999958</f>
        <v>1702.5312660000002</v>
      </c>
      <c r="H101" s="3">
        <f>1630.3+(1914.2-1513.8)+(-1.662906+(-1.952484--1.544076))+0-442.2--0.451044000000071</f>
        <v>1586.8797300000001</v>
      </c>
      <c r="I101" s="3">
        <f>1558.2+(1873.3-1454)+(-3.97341+(-4.776915--3.7077))+0-446.4--1.13831999999994</f>
        <v>1527.1956949999999</v>
      </c>
      <c r="J101" s="3">
        <f>1554.4+(1914.9-1513.3)+(-3.170976+(-3.906396--3.087132))+0-458.8--0.93595199999998</f>
        <v>1494.1457120000002</v>
      </c>
      <c r="K101" s="3">
        <f>1555.2+(1859.8-1476.8)+(-3.96576+(-4.74249--3.76584))+0-450--1.14749999999993</f>
        <v>1484.40509</v>
      </c>
      <c r="L101" s="3">
        <f>1552.8+(1112-788.2)+(-2.375784+(-1.70136--1.205946))+0-454.1--0.694773000000026</f>
        <v>1420.3235749999997</v>
      </c>
      <c r="M101" s="3">
        <f>1552.6+(659.1-263.5)+(0+(0-0))+0-460.8-0</f>
        <v>1487.3999999999999</v>
      </c>
      <c r="N101" s="3">
        <f>1552.8+(881.3-353.6)+(-2.375784+(-1.348389--0.541008))+0-418.9--0.640917000000024</f>
        <v>1659.0577519999999</v>
      </c>
      <c r="O101" s="3">
        <f>1588.7+(1029.9-418.4)+(0.810237+(0.525249-0.213384))+0-455.9-0.232508999999954</f>
        <v>1745.1895930000001</v>
      </c>
      <c r="P101" s="3">
        <f>1741.9+(814-275.1)+(0.888369+(0.41514-0.140301))+0-450.4-0.229703999999954</f>
        <v>1831.3335040000002</v>
      </c>
      <c r="Q101" s="3">
        <f>1893.6+(942.3-498.5)+(1.931472+(0.961146-0.50847))+0-439.4-0.44818800000007</f>
        <v>1899.9359599999996</v>
      </c>
      <c r="R101" s="3">
        <f>2104.6+(1189.4-896.5)+(1.073346+(0.606594-0.457215))+0-453.5-0.231284999999954</f>
        <v>1944.9914400000002</v>
      </c>
      <c r="S101" s="3">
        <f>2198.6+(1152.7-1008.5)+(-1.121286+(-0.587877--0.514335))+0-448--0.228479999999955</f>
        <v>1893.833652</v>
      </c>
      <c r="T101" s="3">
        <f>2188.5+(1194.4-1030.8)+(2.23227+(1.218288-1.051416))+0-443.8-0.452676000000071</f>
        <v>1910.2464660000005</v>
      </c>
      <c r="U101" s="3">
        <f>2118.8+(1272.3-1042.7)+(-2.161176+(-1.297746--1.063554))+0-451.7--0.460734000000072</f>
        <v>1894.7653660000001</v>
      </c>
      <c r="V101" s="3">
        <f>2028.3+(1287.9-972.1)+(0+(0-0))+0-404.9-0</f>
        <v>1939.1999999999998</v>
      </c>
      <c r="W101" s="3">
        <f>1991.4+(976-666.5)+(-4.062456+(-1.99104--1.35966))+0-404.2--0.824567999999982</f>
        <v>1892.8307320000001</v>
      </c>
      <c r="X101" s="3">
        <f>1924.7+(526.9-310.5)+(-3.926388+(-1.074876--0.63342))+0-312.4--0.637295999999986</f>
        <v>1824.9694519999998</v>
      </c>
      <c r="Y101" s="3">
        <f>2028.1+(847-828.1)+(-1.034331+(-0.43197--0.422331))+0-252.4--0.128723999999974</f>
        <v>1793.6847539999999</v>
      </c>
      <c r="Z101" s="3">
        <f>2214.8+(778.3-710.2)+(1.129548+(0.396933-0.362202))+0-382.4-0.195023999999961</f>
        <v>1901.4692550000002</v>
      </c>
      <c r="AA101" s="3">
        <f>2275.3+(682-538.4)+(-2.320806+(-0.69564--0.549168))+0-332--0.338640000000053</f>
        <v>2084.771362</v>
      </c>
      <c r="AB101" s="3">
        <f>2274.6+(660-508.8)+(1.160046+(0.3366-0.259488))+0-368.4-0.187883999999963</f>
        <v>2058.4492739999996</v>
      </c>
      <c r="AC101" s="3">
        <f>2273.7+(849.3-765.4)+(-1.159587+(-0.433143--0.390354))+0-415.7--0.212006999999958</f>
        <v>1940.9096309999995</v>
      </c>
      <c r="AD101">
        <f t="shared" si="1"/>
        <v>42713.630026000006</v>
      </c>
      <c r="AE101" s="3">
        <f>2276+(688.6-551.1)+(0+(0-0))+0-360.5-0</f>
        <v>2053</v>
      </c>
    </row>
    <row r="102" spans="1:31" s="2" customFormat="1" x14ac:dyDescent="0.25">
      <c r="A102">
        <v>89</v>
      </c>
      <c r="B102">
        <v>4</v>
      </c>
      <c r="C102">
        <v>9</v>
      </c>
      <c r="D102">
        <v>5</v>
      </c>
      <c r="E102">
        <v>1</v>
      </c>
      <c r="F102" s="3">
        <f>2180+(1840-1753.6)+(-6.6708+(-5.6304--5.366016))+0-451--1.38006000000005</f>
        <v>1809.8448760000001</v>
      </c>
      <c r="G102" s="3">
        <f>1990.7+(2160.3-1981.6)+(1.015257+(1.101753-1.010616))+0-447.4-0.228173999999955</f>
        <v>1722.8782200000005</v>
      </c>
      <c r="H102" s="3">
        <f>1695+(2293.8-1904.3)+(-3.4578+(-4.679352--3.884772))+0-453.3--0.92473199999998</f>
        <v>1627.8723520000001</v>
      </c>
      <c r="I102" s="3">
        <f>1553.2+(2071.1-1598.5)+(-1.584264+(-2.112522--1.63047))+0-459.7--0.468894000000073</f>
        <v>1564.5025780000001</v>
      </c>
      <c r="J102" s="3">
        <f>1555.4+(1937.9-1548)+(-0.793254+(-0.988329--0.78948))+0-384.4--0.196043999999961</f>
        <v>1560.1039410000001</v>
      </c>
      <c r="K102" s="3">
        <f>1556.9+(1868.7-1545.8)+(-3.176076+(-3.812148--3.153432))+0-340.1--0.693803999999985</f>
        <v>1536.5590120000002</v>
      </c>
      <c r="L102" s="3">
        <f>1553+(1542.6-1194.7)+(0+(0-0))+0-430-0</f>
        <v>1470.8999999999999</v>
      </c>
      <c r="M102" s="3">
        <f>1550.9+(1162.6-717.8)+(0.790959+(0.592926-0.366078))+0-415.2-0.211751999999958</f>
        <v>1581.306055</v>
      </c>
      <c r="N102" s="3">
        <f>1551.1+(1187.7-713)+(-1.582122+(-1.211454--0.72726))+0-326.2--0.332724000000052</f>
        <v>1697.8664080000001</v>
      </c>
      <c r="O102" s="3">
        <f>1648.3+(1157.2-579.1)+(1.681266+(1.180344-0.590682))+0-377.5-0.38505000000006</f>
        <v>1850.7858779999999</v>
      </c>
      <c r="P102" s="3">
        <f>1886.1+(716.5-314.6)+(0+(0-0))+0-399.5-0</f>
        <v>1888.5</v>
      </c>
      <c r="Q102" s="3">
        <f>2012+(822.9-488.5)+(2.05224+(0.839358-0.49827))+0-388.4-0.396168000000062</f>
        <v>1959.9971600000001</v>
      </c>
      <c r="R102" s="3">
        <f>2046.2+(654.1-411.2)+(-1.043562+(-0.333591--0.209712))+95.8-391.8--0.19981799999996</f>
        <v>1992.1323770000001</v>
      </c>
      <c r="S102" s="3">
        <f>2038.8+(720.1-565.8)+(2.079576+(0.734502-0.577116))+115-397.1-0.405042000000063</f>
        <v>1912.8319199999999</v>
      </c>
      <c r="T102" s="3">
        <f>2008.1+(1130.4-900.2)+(1.024131+(0.576504-0.459102))+57.5-394.1-0.20099099999996</f>
        <v>1902.6405420000003</v>
      </c>
      <c r="U102" s="3">
        <f>1966.5+(1435.3-1093.4)+(1.002915+(0.732003-0.557634))+0-367.3-0.187322999999963</f>
        <v>1942.0899609999997</v>
      </c>
      <c r="V102" s="3">
        <f>1902.3+(1648.6-1225.4)+(-2.910519+(-2.522358--1.874862))+0-353--0.54009000000002</f>
        <v>1969.4820749999999</v>
      </c>
      <c r="W102" s="3">
        <f>1894.3+(1251.9-882.9)+(-3.864372+(-2.553876--1.801116))+0-357.2--0.728687999999984</f>
        <v>1902.2115560000002</v>
      </c>
      <c r="X102" s="3">
        <f>1888.5+(632.2-322.8)+(-3.85254+(-1.289688--0.658512))+0-359.2--0.732767999999984</f>
        <v>1834.9490519999999</v>
      </c>
      <c r="Y102" s="3">
        <f>1984.3+(743.9-575.8)+(-4.047972+(-1.517556--1.174632))+0-358.7--0.731747999999984</f>
        <v>1790.0408520000001</v>
      </c>
      <c r="Z102" s="3">
        <f>2218.5+(894.6-816.8)+(1.131435+(0.456246-0.416568))+0-367.8-0.187577999999963</f>
        <v>1929.4835350000001</v>
      </c>
      <c r="AA102" s="3">
        <f>2291.9+(535.3-353.8)+(0+(0-0))+0-376.2-0</f>
        <v>2097.2000000000003</v>
      </c>
      <c r="AB102" s="3">
        <f>2292.3+(466-313.1)+(-1.169073+(-0.23766--0.159681))+0-378.6--0.193085999999962</f>
        <v>2065.546034</v>
      </c>
      <c r="AC102" s="3">
        <f>2287.4+(811.7-710.8)+(-1.166574+(-0.413967--0.362508))+0-418.1--0.213230999999958</f>
        <v>1969.1951980000001</v>
      </c>
      <c r="AD102">
        <f t="shared" si="1"/>
        <v>43578.919582000002</v>
      </c>
      <c r="AE102" s="3">
        <f>2284+(605.4-417.9)+(0+(0-0))+0-376.1-0</f>
        <v>2095.4</v>
      </c>
    </row>
    <row r="103" spans="1:31" s="2" customFormat="1" x14ac:dyDescent="0.25">
      <c r="A103">
        <v>89</v>
      </c>
      <c r="B103">
        <v>4</v>
      </c>
      <c r="C103">
        <v>10</v>
      </c>
      <c r="D103">
        <v>6</v>
      </c>
      <c r="E103">
        <v>1</v>
      </c>
      <c r="F103" s="3">
        <f>2240.8+(1103.9-1077.1)+(-3.428424+(-1.688967--1.647963))+0-431.4--0.660042000000025</f>
        <v>1833.3906140000004</v>
      </c>
      <c r="G103" s="3">
        <f>2008.1+(1801.7-1665.5)+(-1.024131+(-0.918867--0.849405))+0-403.8--0.205937999999959</f>
        <v>1739.6123450000002</v>
      </c>
      <c r="H103" s="3">
        <f>1684.9+(2143.5-1751.1)+(-2.577897+(-3.279555--2.679183))+0-443.8--0.679014000000026</f>
        <v>1631.0007450000003</v>
      </c>
      <c r="I103" s="3">
        <f>1558.3+(1991.4-1526.7)+(0+(0-0))+0-459.9-0</f>
        <v>1563.1</v>
      </c>
      <c r="J103" s="3">
        <f>1562.2+(1668.1-1237.6)+(1.593444+(1.701462-1.262352))+0-440.1-0.44890200000007</f>
        <v>1554.1836519999997</v>
      </c>
      <c r="K103" s="3">
        <f>1559.9+(1790.6-1390.7)+(-3.182196+(-3.652824--2.837028))+0-403.2--0.822527999999982</f>
        <v>1553.4245359999998</v>
      </c>
      <c r="L103" s="3">
        <f>1558.8+(1617-1285.6)+(-1.589976+(-1.64934--1.311312))+0-402.2--0.410244000000064</f>
        <v>1486.48224</v>
      </c>
      <c r="M103" s="3">
        <f>1559.9+(1192.7-790.8)+(2.386647+(1.824831-1.209924))+0-403.4-0.617202000000023</f>
        <v>1560.7843519999999</v>
      </c>
      <c r="N103" s="3">
        <f>1570.3+(1171.3-654.5)+(-0.800853+(-0.597363--0.333795))+0-407.6--0.207875999999959</f>
        <v>1678.6434549999999</v>
      </c>
      <c r="O103" s="3">
        <f>1731.9+(1148.2-690.7)+(0+(0-0))+0-384.6-0</f>
        <v>1804.8000000000002</v>
      </c>
      <c r="P103" s="3">
        <f>1925.7+(741.8-402.9)+(4.910535+(1.89159-1.027395))+0-396-1.00979999999994</f>
        <v>1873.36493</v>
      </c>
      <c r="Q103" s="3">
        <f>2093.5+(606.8-342.5)+(1.067685+(0.309468-0.174675))+0-428.1-0.218330999999957</f>
        <v>1930.6841470000004</v>
      </c>
      <c r="R103" s="3">
        <f>2102+(821.7-561.7)+(1.07202+(0.419067-0.286467))+0-425.6-0.217055999999957</f>
        <v>1937.3875640000001</v>
      </c>
      <c r="S103" s="3">
        <f>2090.2+(731.7-520.7)+(0+(0-0))+0-425.9-0</f>
        <v>1875.2999999999997</v>
      </c>
      <c r="T103" s="3">
        <f>1985.1+(818.7-514.5)+(0+(0-0))+0-447.8-0</f>
        <v>1841.5000000000002</v>
      </c>
      <c r="U103" s="3">
        <f>1970.7+(699.1-383.8)+(-3.015171+(-1.069623--0.587214))+0-446.5--0.683145000000026</f>
        <v>1836.6855649999998</v>
      </c>
      <c r="V103" s="3">
        <f>2017+(643.7-399.9)+(0+(0-0))+0-400.5-0</f>
        <v>1860.3000000000002</v>
      </c>
      <c r="W103" s="3">
        <f>1950.7+(669.4-391.2)+(-4.974285+(-1.70697--0.99756))+0-395.6--1.00877999999994</f>
        <v>1828.6250849999999</v>
      </c>
      <c r="X103" s="3">
        <f>1827.7+(1041.8-707.3)+(-3.728508+(-2.125272--1.442892))+0-382.9--0.781115999999983</f>
        <v>1775.6702279999997</v>
      </c>
      <c r="Y103" s="3">
        <f>1914.9+(1345.6-1131.7)+(-3.906396+(-2.745024--2.308668))+0-386.5--0.788459999999983</f>
        <v>1738.7457080000001</v>
      </c>
      <c r="Z103" s="3">
        <f>2170.4+(1448.7-1378)+(-1.106904+(-0.738837--0.70278))+0-393.6--0.20073599999996</f>
        <v>1846.5577750000004</v>
      </c>
      <c r="AA103" s="3">
        <f>2289+(981.3-843.1)+(-2.33478+(-1.000926--0.859962))+0-394.6--0.402492000000063</f>
        <v>2030.5267480000002</v>
      </c>
      <c r="AB103" s="3">
        <f>2286.6+(981.5-865.9)+(-2.332332+(-1.00113--0.883218))+0-397.7--0.405654000000063</f>
        <v>2002.4554099999998</v>
      </c>
      <c r="AC103" s="3">
        <f>2286.8+(1536.2-1494.2)+(-1.166268+(-0.783462--0.762042))+0-398.9--0.20343899999996</f>
        <v>1928.915751</v>
      </c>
      <c r="AD103">
        <f t="shared" si="1"/>
        <v>42712.140850000011</v>
      </c>
      <c r="AE103" s="3">
        <f>2298+(909.5-802.2)+(0+(0-0))+0-404-0</f>
        <v>2001.3000000000002</v>
      </c>
    </row>
    <row r="104" spans="1:31" s="2" customFormat="1" x14ac:dyDescent="0.25">
      <c r="A104">
        <v>89</v>
      </c>
      <c r="B104">
        <v>4</v>
      </c>
      <c r="C104">
        <v>11</v>
      </c>
      <c r="D104">
        <v>7</v>
      </c>
      <c r="E104">
        <v>1</v>
      </c>
      <c r="F104" s="3">
        <f>2241.7+(1799.1-1810.8)+(0+(0-0))+0-399.5-0</f>
        <v>1830.5</v>
      </c>
      <c r="G104" s="3">
        <f>1982.1+(1968.5-1845.6)+(-2.021742+(-2.00787--1.882512))+0-406.5--0.414630000000065</f>
        <v>1696.7675299999999</v>
      </c>
      <c r="H104" s="3">
        <f>1773.7+(2016.1-1832.7)+(0+(0-0))+0-404.7-0</f>
        <v>1552.3999999999999</v>
      </c>
      <c r="I104" s="3">
        <f>1651.7+(2068.4-1821.1)+(-3.369468+(-4.219536--3.715044))+0-405.1--0.826403999999982</f>
        <v>1490.8524440000001</v>
      </c>
      <c r="J104" s="3">
        <f>1561.3+(2116-1760.8)+(-1.592526+(-2.15832--1.796016))+0-402.5--0.410550000000064</f>
        <v>1512.4557200000002</v>
      </c>
      <c r="K104" s="3">
        <f>1562.6+(1740.9-1492.4)+(-3.98463+(-4.439295--3.80562))+0-402.4--1.02611999999994</f>
        <v>1405.1078149999998</v>
      </c>
      <c r="L104" s="3">
        <f>1560.8+(1694.6-1426.3)+(-1.592016+(-1.728492--1.454826))+0-401.4--0.409428000000064</f>
        <v>1426.2437459999999</v>
      </c>
      <c r="M104" s="3">
        <f>1560.2+(1641.3-1339.2)+(0+(0-0))+0-403.2-0</f>
        <v>1459.1</v>
      </c>
      <c r="N104" s="3">
        <f>1558.3+(1828.1-1439.3)+(0+(0-0))+0-401.4-0</f>
        <v>1545.6999999999998</v>
      </c>
      <c r="O104" s="3">
        <f>1559.5+(2202.4-1660.6)+(-1.59069+(-2.246448--1.693812))+0-398.9--0.406878000000064</f>
        <v>1700.6635520000002</v>
      </c>
      <c r="P104" s="3">
        <f>1574.5+(2033.3-1579.4)+(0+(0-0))+0-387.1-0</f>
        <v>1641.2999999999997</v>
      </c>
      <c r="Q104" s="3">
        <f>1819.6+(2122.2-1872.5)+(-0.927996+(-1.082322--0.954975))+0-353.3--0.180182999999964</f>
        <v>1715.1248399999997</v>
      </c>
      <c r="R104" s="3">
        <f>1984.5+(2348.1-2268.9)+(-1.012095+(-1.197531--1.157139))+0-306.4--0.156263999999969</f>
        <v>1756.4037769999998</v>
      </c>
      <c r="S104" s="3">
        <f>1981.9+(2347.6-2197.3)+(2.021538+(2.394552-2.241246))+0-399.7-0.407694000000064</f>
        <v>1734.2671499999999</v>
      </c>
      <c r="T104" s="3">
        <f>1972.4+(2275.4-2136.7)+(-1.005924+(-1.160454--1.089717))+0-398.1--0.20303099999996</f>
        <v>1712.1263700000004</v>
      </c>
      <c r="U104" s="3">
        <f>1940.3+(2366-2201.5)+(-0.989553+(-1.20666--1.122765))+0-372.2--0.189821999999962</f>
        <v>1731.7163740000001</v>
      </c>
      <c r="V104" s="3">
        <f>1840.5+(2295.9-2073.1)+(0.938655+(1.170909-1.057281))+0-360-0.183599999999963</f>
        <v>1704.1686830000001</v>
      </c>
      <c r="W104" s="3">
        <f>1872.7+(2351.5-2120.2)+(-3.820308+(-4.79706--4.325208))+0-380.8--0.776831999999983</f>
        <v>1719.6846720000001</v>
      </c>
      <c r="X104" s="3">
        <f>1894.2+(2001.2-1885.5)+(-0.966042+(-1.020612--0.961605))+0-395.9--0.20190899999996</f>
        <v>1613.17686</v>
      </c>
      <c r="Y104" s="3">
        <f>1981.6+(1771.7-1820.7)+(-3.031848+(-2.710701--2.785671))+0-395.2--0.604656000000023</f>
        <v>1535.0477779999999</v>
      </c>
      <c r="Z104" s="3">
        <f>2185.7+(1722.2-1759.5)+(0+(0-0))+0-399.9-0</f>
        <v>1748.4999999999995</v>
      </c>
      <c r="AA104" s="3">
        <f>2292.5+(1670-1596.4)+(-1.169175+(-0.8517--0.814164))+0-400--0.203999999999959</f>
        <v>1965.097289</v>
      </c>
      <c r="AB104" s="3">
        <f>2293.2+(1658.7-1577.5)+(-2.339064+(-1.691874--1.60905))+0-400--0.408000000000064</f>
        <v>1972.3861119999999</v>
      </c>
      <c r="AC104" s="3">
        <f>2292+(1907.5-1936.6)+(1.16892+(0.972825-0.987666))+0-399.4-0.203693999999959</f>
        <v>1864.4503849999999</v>
      </c>
      <c r="AD104">
        <f t="shared" si="1"/>
        <v>40033.241096999991</v>
      </c>
      <c r="AE104" s="3">
        <f>2291+(1569.5-1507.9)+(0+(0-0))+0-393-0</f>
        <v>1959.6</v>
      </c>
    </row>
    <row r="105" spans="1:31" s="2" customFormat="1" x14ac:dyDescent="0.25">
      <c r="A105">
        <v>89</v>
      </c>
      <c r="B105">
        <v>4</v>
      </c>
      <c r="C105">
        <v>12</v>
      </c>
      <c r="D105">
        <v>1</v>
      </c>
      <c r="E105">
        <v>1</v>
      </c>
      <c r="F105" s="3">
        <f>2060.9+(2248-2130.7)+(2.102118+(2.29296-2.173314))+0-390.2-0.398004000000062</f>
        <v>1789.82376</v>
      </c>
      <c r="G105" s="3">
        <f>1903.7+(2293.2-2146.8)+(-0.970887+(-1.169532--1.094868))+0-393.7--0.20078699999996</f>
        <v>1655.5552359999992</v>
      </c>
      <c r="H105" s="3">
        <f>1724.5+(2392-2167.7)+(-0.879495+(-1.21992--1.105527))+0-398.7--0.20333699999996</f>
        <v>1549.3094490000001</v>
      </c>
      <c r="I105" s="3">
        <f>1547.3+(2359.6-2033.9)+(0+(0-0))+0-401.6-0</f>
        <v>1471.3999999999996</v>
      </c>
      <c r="J105" s="3">
        <f>1542.5+(2270.1-1926.9)+(-2.360025+(-3.473253--2.948157))+0-400--0.612000000000023</f>
        <v>1483.4268789999999</v>
      </c>
      <c r="K105" s="3">
        <f>1539.6+(2262-1914.7)+(-3.92598+(-5.7681--4.882485))+0-396.2--1.01030999999994</f>
        <v>1486.8987149999998</v>
      </c>
      <c r="L105" s="3">
        <f>1542.7+(1987.7-1714.5)+(0+(0-0))+0-396-0</f>
        <v>1419.9</v>
      </c>
      <c r="M105" s="3">
        <f>1539.9+(1816.2-1477.8)+(1.570698+(1.852524-1.507356))+0-401.5-0.409530000000064</f>
        <v>1478.3063360000001</v>
      </c>
      <c r="N105" s="3">
        <f>1545.8+(2045.6-1436.6)+(0.788358+(1.043256-0.732666))+0-399.3-0.203642999999959</f>
        <v>1756.395305</v>
      </c>
      <c r="O105" s="3">
        <f>1688+(1861.8-1333.9)+(2.58264+(2.848554-2.040867))+0-400.6-0.612918000000023</f>
        <v>1818.0774089999998</v>
      </c>
      <c r="P105" s="3">
        <f>1757.3+(1214.5-668.3)+(3.584892+(2.47758-1.363332))+0-398.1-0.812123999999983</f>
        <v>1909.2870160000002</v>
      </c>
      <c r="Q105" s="3">
        <f>2006.7+(772.5-412.7)+(-1.023417+(-0.393975--0.210477))+0-397.4--0.20267399999996</f>
        <v>1968.0957589999996</v>
      </c>
      <c r="R105" s="3">
        <f>2041.9+(697.4-370.9)+(0+(0-0))+0-401.2-0</f>
        <v>1967.2</v>
      </c>
      <c r="S105" s="3">
        <f>2037.6+(644.8-368.7)+(0+(0-0))+0-385.2-0</f>
        <v>1928.4999999999998</v>
      </c>
      <c r="T105" s="3">
        <f>2032.5+(698.8-436.5)+(1.036575+(0.356388-0.222615))+0-379.7-0.193646999999961</f>
        <v>1916.0767010000002</v>
      </c>
      <c r="U105" s="3">
        <f>2169.7+(568.3-382.2)+(1.106547+(0.289833-0.194922))+0-383-0.195329999999961</f>
        <v>1973.8061279999997</v>
      </c>
      <c r="V105" s="3">
        <f>2184+(569.9-391.6)+(2.22768+(0.581298-0.399432))+0-380.3-0.387906000000061</f>
        <v>1984.0216399999999</v>
      </c>
      <c r="W105" s="3">
        <f>2128.3+(525.8-482.4)+(0+(0-0))+0-234.9-0</f>
        <v>1936.8000000000002</v>
      </c>
      <c r="X105" s="3">
        <f>2079.8+(933.5-786.9)+(-2.121396+(-0.95217--0.802638))+0-339.6--0.346392000000054</f>
        <v>1884.8754640000004</v>
      </c>
      <c r="Y105" s="3">
        <f>2087.5+(1261.6-1112.3)+(0+(0-0))+0-374.1-0</f>
        <v>1862.7000000000003</v>
      </c>
      <c r="Z105" s="3">
        <f>2256.8+(1274.2-1160.7)+(-1.150968+(-0.649842--0.591957))+0-385.5--0.196604999999961</f>
        <v>1983.787752</v>
      </c>
      <c r="AA105" s="3">
        <f>2288.5+(826-640.8)+(-2.33427+(-0.84252--0.653616))+0-389.1--0.396882000000062</f>
        <v>2082.473708</v>
      </c>
      <c r="AB105" s="3">
        <f>2289.6+(938.9-751.2)+(0+(0-0))+0-388.5-0</f>
        <v>2088.7999999999997</v>
      </c>
      <c r="AC105" s="3">
        <f>2280+(1291-1146.3)+(-1.1628+(-0.65841--0.584613))+0-431.9--0.220268999999956</f>
        <v>1991.7836719999996</v>
      </c>
      <c r="AD105">
        <f t="shared" si="1"/>
        <v>43387.30092899999</v>
      </c>
      <c r="AE105" s="3">
        <f>2288+(802.9-643.4)+(0+(0-0))+0-391.8-0</f>
        <v>2055.6999999999998</v>
      </c>
    </row>
    <row r="106" spans="1:31" s="2" customFormat="1" x14ac:dyDescent="0.25">
      <c r="A106">
        <v>89</v>
      </c>
      <c r="B106">
        <v>4</v>
      </c>
      <c r="C106">
        <v>13</v>
      </c>
      <c r="D106">
        <v>2</v>
      </c>
      <c r="E106">
        <v>1</v>
      </c>
      <c r="F106" s="3">
        <f>2116.3+(1823-1647.6)+(-2.158626+(-1.85946--1.680552))+0-385.7--0.393414000000061</f>
        <v>1904.0558800000006</v>
      </c>
      <c r="G106" s="3">
        <f>1871.2+(2197.1-1892.3)+(-1.908624+(-2.241042--1.930146))+0-440.2--0.44900400000007</f>
        <v>1734.0294839999999</v>
      </c>
      <c r="H106" s="3">
        <f>1679.8+(1904-1570.9)+(0+(0-0))+0-463.1-0</f>
        <v>1549.7999999999997</v>
      </c>
      <c r="I106" s="3">
        <f>1554.3+(1891.4-1414.7)+(0+(0-0))+0-439.1-0</f>
        <v>1591.9</v>
      </c>
      <c r="J106" s="3">
        <f>1554.6+(1734.1-1300.6)+(2.378538+(2.653173-1.989918))+0-449-0.686970000000026</f>
        <v>1541.454823</v>
      </c>
      <c r="K106" s="3">
        <f>1554.2+(1474.7-1062.5)+(-0.792642+(-0.752097--0.541875))+0-449.3--0.229142999999954</f>
        <v>1516.3262790000001</v>
      </c>
      <c r="L106" s="3">
        <f>1551.4+(1628.7-1225.3)+(0+(0-0))+0-442.7-0</f>
        <v>1512.1000000000001</v>
      </c>
      <c r="M106" s="3">
        <f>1552.2+(1413.1-992.3)+(-2.374866+(-2.162043--1.518219))+0-439.4--0.672282000000025</f>
        <v>1531.253592</v>
      </c>
      <c r="N106" s="3">
        <f>1554+(1407.7-837.3)+(-1.58508+(-1.435854--0.854046))+0-418.3--0.426666000000067</f>
        <v>1704.359778</v>
      </c>
      <c r="O106" s="3">
        <f>1793.3+(1156.4-717.2)+(-2.743749+(-1.769292--1.097316))+0-446.7--0.683451000000026</f>
        <v>1783.0677260000002</v>
      </c>
      <c r="P106" s="3">
        <f>2040.8+(1021-736.6)+(-1.040808+(-0.52071--0.375666))+0-444.2--0.226541999999955</f>
        <v>1880.0406899999996</v>
      </c>
      <c r="Q106" s="3">
        <f>2203.3+(675.9-514.4)+(-1.123683+(-0.344709--0.262344))+0-443.4--0.226133999999955</f>
        <v>1920.4200860000001</v>
      </c>
      <c r="R106" s="3">
        <f>2224.6+(484.2-391)+(2.269092+(0.493884-0.39882))+0-443.8-0.452676000000071</f>
        <v>1875.9114799999998</v>
      </c>
      <c r="S106" s="3">
        <f>2223.5+(483.1-325.6)+(1.133985+(0.246381-0.166056))+0-443-0.225929999999955</f>
        <v>1938.9883799999998</v>
      </c>
      <c r="T106" s="3">
        <f>2222.9+(619.1-473.5)+(1.133679+(0.315741-0.241485))+0-399.9-0.203948999999959</f>
        <v>1969.6039859999998</v>
      </c>
      <c r="U106" s="3">
        <f>2196+(705.8-541.9)+(1.11996+(0.359958-0.276369))+0-399-0.20348999999996</f>
        <v>1961.9000590000001</v>
      </c>
      <c r="V106" s="3">
        <f>2198.1+(692.3-506.2)+(-1.121031+(-0.353073--0.258162))+0-395.6--0.20175599999996</f>
        <v>1987.585814</v>
      </c>
      <c r="W106" s="3">
        <f>2167+(537-348.8)+(-3.31551+(-0.82161--0.533664))+0-393.6--0.602208000000023</f>
        <v>1958.5987520000001</v>
      </c>
      <c r="X106" s="3">
        <f>2084.7+(926-631.7)+(-2.126394+(-0.94452--0.644334))+0-390.2--0.398004000000062</f>
        <v>1986.7714240000003</v>
      </c>
      <c r="Y106" s="3">
        <f>2104.6+(1469.8-1091.2)+(-1.073346+(-0.749598--0.556512))+0-385.4--0.196553999999961</f>
        <v>2096.7301219999999</v>
      </c>
      <c r="Z106" s="3">
        <f>2238.1+(1106.3-909.6)+(2.282862+(1.128426-0.927792))+0-388.4-0.396168000000062</f>
        <v>2048.4873279999993</v>
      </c>
      <c r="AA106" s="3">
        <f>2292.5+(817.5-625.4)+(0+(0-0))+0-392.2-0</f>
        <v>2092.4</v>
      </c>
      <c r="AB106" s="3">
        <f>2290.3+(774.9-652.7)+(-1.168053+(-0.395199--0.332877))+0-393.2--0.20053199999996</f>
        <v>2018.2701569999999</v>
      </c>
      <c r="AC106" s="3">
        <f>2288.4+(1053.9-904.8)+(1.167084+(0.537489-0.461448))+0-431.3-0.219962999999956</f>
        <v>2007.223162</v>
      </c>
      <c r="AD106">
        <f t="shared" si="1"/>
        <v>44111.279002000003</v>
      </c>
      <c r="AE106" s="3">
        <f>2295+(813.1-648.2)+(0+(0-0))+0-390.9-0</f>
        <v>2069</v>
      </c>
    </row>
    <row r="107" spans="1:31" s="2" customFormat="1" x14ac:dyDescent="0.25">
      <c r="A107">
        <v>89</v>
      </c>
      <c r="B107">
        <v>4</v>
      </c>
      <c r="C107">
        <v>14</v>
      </c>
      <c r="D107">
        <v>3</v>
      </c>
      <c r="E107">
        <v>1</v>
      </c>
      <c r="F107" s="3">
        <f>2200.3+(1560.2-1476.7)+(1.122153+(0.795702-0.753117))+0-450.2-0.229601999999954</f>
        <v>1834.5351360000002</v>
      </c>
      <c r="G107" s="3">
        <f>2110.3+(2027-1932.6)+(-1.076253+(-1.03377--0.985626))+0-454.4--0.231743999999954</f>
        <v>1749.4073470000001</v>
      </c>
      <c r="H107" s="3">
        <f>1859.3+(2176.2-1906.7)+(-1.896486+(-2.219724--1.944834))+0-455.9--0.465018000000073</f>
        <v>1671.193642</v>
      </c>
      <c r="I107" s="3">
        <f>1751.2+(2246-1821.5)+(-0.893112+(-1.14546--0.928965))+0-446.7--0.227816999999955</f>
        <v>1728.1182099999999</v>
      </c>
      <c r="J107" s="3">
        <f>1579.6+(2034-1491.6)+(-1.611192+(-2.07468--1.521432))+0-452.6--0.461652000000072</f>
        <v>1667.6972120000003</v>
      </c>
      <c r="K107" s="3">
        <f>1416.6+(1622.5-1020.2)+(-3.61233+(-4.137375--2.60151))+0-444--1.13219999999994</f>
        <v>1570.8840049999999</v>
      </c>
      <c r="L107" s="3">
        <f>1415.4+(1251.2-790.9)+(-2.887416+(-2.552448--1.613436))+0-401--0.818039999999982</f>
        <v>1471.6916120000001</v>
      </c>
      <c r="M107" s="3">
        <f>1447.8+(1486.7-933.5)+(0+(0-0))+0-399.7-0</f>
        <v>1601.3</v>
      </c>
      <c r="N107" s="3">
        <f>1552.3+(1477.6-867.5)+(0+(0-0))+0-395.5-0</f>
        <v>1766.8999999999996</v>
      </c>
      <c r="O107" s="3">
        <f>1683.2+(1354.8-812.5)+(0.858432+(0.690948-0.414375))+0-399.6-0.203795999999959</f>
        <v>1826.8312090000002</v>
      </c>
      <c r="P107" s="3">
        <f>2011.8+(848.1-543.6)+(1.026018+(0.432531-0.277236))+0-395.6-0.20175599999996</f>
        <v>1921.6795570000004</v>
      </c>
      <c r="Q107" s="3">
        <f>2214.5+(557.5-341.5)+(2.25879+(0.56865-0.34833))+0-399.4-0.407388000000064</f>
        <v>2033.171722</v>
      </c>
      <c r="R107" s="3">
        <f>2229.8+(805.1-581.4)+(3.411594+(1.231803-0.889542))+0-399.8-0.611694000000023</f>
        <v>2056.8421609999996</v>
      </c>
      <c r="S107" s="3">
        <f>2224.3+(806.3-644.4)+(2.268786+(0.822426-0.657288))+0-400.9-0.408918000000064</f>
        <v>1987.325006</v>
      </c>
      <c r="T107" s="3">
        <f>2138.4+(999.3-815.9)+(3.271752+(1.528929-1.248327))+0-398.5-0.609705000000023</f>
        <v>1926.242649</v>
      </c>
      <c r="U107" s="3">
        <f>2131.5+(1089.3-833.3)+(3.261195+(1.666629-1.274949))+0-399.7-0.611541000000023</f>
        <v>1990.8413340000002</v>
      </c>
      <c r="V107" s="3">
        <f>2112.1+(1124.7-817.1)+(0+(0-0))+0-397.4-0</f>
        <v>2022.2999999999997</v>
      </c>
      <c r="W107" s="3">
        <f>2072.6+(953.9-615.2)+(-2.114052+(-0.972978--0.627504))+0-383.1--0.390762000000061</f>
        <v>2026.1312359999997</v>
      </c>
      <c r="X107" s="3">
        <f>2092.8+(675.7-340.9)+(-2.134656+(-0.689214--0.347718))+0-383.5--0.391170000000061</f>
        <v>2042.0150180000003</v>
      </c>
      <c r="Y107" s="3">
        <f>2093.3+(980-683.7)+(-1.067583+(-0.4998--0.348687))+0-394.2--0.20104199999996</f>
        <v>1994.3823460000003</v>
      </c>
      <c r="Z107" s="3">
        <f>2208.7+(778.7-620.4)+(2.252874+(0.794274-0.632808))+0-392.4-0.400248000000063</f>
        <v>1976.6140919999996</v>
      </c>
      <c r="AA107" s="3">
        <f>2293.2+(882.3-716.4)+(-1.169532+(-0.449973--0.365364))+0-397.2--0.20257199999996</f>
        <v>2060.8484310000003</v>
      </c>
      <c r="AB107" s="3">
        <f>2294.2+(822.5-547.3)+(0+(0-0))+0-397.3-0</f>
        <v>2172.0999999999995</v>
      </c>
      <c r="AC107" s="3">
        <f>2293.4+(715.3-542.4)+(-2.339268+(-0.729606--0.553248))+0-429.9--0.438498000000069</f>
        <v>2034.3228720000002</v>
      </c>
      <c r="AD107">
        <f t="shared" si="1"/>
        <v>45133.374796999982</v>
      </c>
      <c r="AE107" s="3">
        <f>2289+(946.9-762)+(0+(0-0))+0-399.4-0</f>
        <v>2074.5</v>
      </c>
    </row>
    <row r="108" spans="1:31" s="2" customFormat="1" x14ac:dyDescent="0.25">
      <c r="A108">
        <v>89</v>
      </c>
      <c r="B108">
        <v>4</v>
      </c>
      <c r="C108">
        <v>15</v>
      </c>
      <c r="D108">
        <v>4</v>
      </c>
      <c r="E108">
        <v>1</v>
      </c>
      <c r="F108" s="3">
        <f>2281.7+(1310.3-1451)+(-4.654668+(-2.673012--2.96004))+0-442.2--0.902087999999981</f>
        <v>1695.3344480000001</v>
      </c>
      <c r="G108" s="3">
        <f>2277.3+(2154.9-2248.9)+(3.484269+(3.296997-3.440817))+0-443.2-0.678096000000026</f>
        <v>1742.7623529999998</v>
      </c>
      <c r="H108" s="3">
        <f>2226.9+(2113.6-2174)+(0+(0-0))+0-441.4-0</f>
        <v>1725.1</v>
      </c>
      <c r="I108" s="3">
        <f>1994.7+(2109.9-1976.9)+(-1.017297+(-1.076049--1.008219))+0-443.4--0.226133999999955</f>
        <v>1683.4410069999999</v>
      </c>
      <c r="J108" s="3">
        <f>1909.2+(2118.1-1915)+(-3.894768+(-4.320924--3.9066))+0-442.8--0.903311999999981</f>
        <v>1666.0942200000002</v>
      </c>
      <c r="K108" s="3">
        <f>1737.2+(1961-1680.9)+(-2.657916+(-3.00033--2.571777))+0-422--0.645660000000024</f>
        <v>1592.859191</v>
      </c>
      <c r="L108" s="3">
        <f>1563.6+(1879.2-1404.9)+(-1.594872+(-1.916784--1.432998))+0-433.5--0.442170000000069</f>
        <v>1602.763512</v>
      </c>
      <c r="M108" s="3">
        <f>1551.6+(1803-1286.7)+(0+(0-0))+0-443.9-0</f>
        <v>1623.9999999999995</v>
      </c>
      <c r="N108" s="3">
        <f>1569.5+(1990.7-1372.1)+(0.800445+(1.015257-0.699771))+0-424.8-0.216647999999957</f>
        <v>1764.1992830000004</v>
      </c>
      <c r="O108" s="3">
        <f>1714.9+(1438.1-839.2)+(3.498396+(2.933724-1.711968))+0-412.9-0.842315999999982</f>
        <v>1904.777836</v>
      </c>
      <c r="P108" s="3">
        <f>1929.7+(900.4-429.2)+(1.968294+(0.918408-0.437784))+0-407.9-0.416058000000065</f>
        <v>1995.03286</v>
      </c>
      <c r="Q108" s="3">
        <f>2159.9+(615.2-352.5)+(1.101549+(0.313752-0.179775))+0-378.3-0.192932999999962</f>
        <v>2045.3425930000003</v>
      </c>
      <c r="R108" s="3">
        <f>2221.7+(696.3-469.2)+(1.133067+(0.355113-0.239292))+0-420.8-0.214607999999957</f>
        <v>2029.0342799999999</v>
      </c>
      <c r="S108" s="3">
        <f>2210.9+(702.2-525.3)+(1.127559+(0.358122-0.267903))+0-392.1-0.19997099999996</f>
        <v>1996.7178070000004</v>
      </c>
      <c r="T108" s="3">
        <f>2180.3+(993.5-814.5)+(2.223906+(1.01337-0.83079))+0-378.9-0.38647800000006</f>
        <v>1982.4200079999998</v>
      </c>
      <c r="U108" s="3">
        <f>2154.6+(1132-877.8)+(3.296538+(1.73196-1.343034))+0-385.5-0.589815000000022</f>
        <v>2026.3956490000003</v>
      </c>
      <c r="V108" s="3">
        <f>2096+(1207.6-959.5)+(2.13792+(1.231752-0.97869))+0-383-0.390660000000061</f>
        <v>1963.1003219999998</v>
      </c>
      <c r="W108" s="3">
        <f>2090+(986.5-679.4)+(1.0659+(0.503115-0.346494))+0-381.3-0.194462999999961</f>
        <v>2016.8280580000001</v>
      </c>
      <c r="X108" s="3">
        <f>2108+(701.3-332.6)+(-1.07508+(-0.357663--0.169626))+0-385.1--0.196400999999961</f>
        <v>2090.5332840000001</v>
      </c>
      <c r="Y108" s="3">
        <f>2187.6+(886.4-767.4)+(0+(0-0))+0-396.9-0</f>
        <v>1909.6999999999998</v>
      </c>
      <c r="Z108" s="3">
        <f>2262.9+(753.1-625.4)+(2.308158+(0.768162-0.637908))+0-397.6-0.405552000000063</f>
        <v>1995.0328600000003</v>
      </c>
      <c r="AA108" s="3">
        <f>2294.4+(891.2-679)+(0+(0-0))+0-396.8-0</f>
        <v>2109.8000000000002</v>
      </c>
      <c r="AB108" s="3">
        <f>2293.5+(773.6-549.5)+(1.169685+(0.394536-0.280245))+0-401.4-0.204713999999959</f>
        <v>2117.279262</v>
      </c>
      <c r="AC108" s="3">
        <f>2298.2+(710.6-486.1)+(-3.516246+(-1.087218--0.743733))+0-453.2--0.693396000000026</f>
        <v>2066.3336650000001</v>
      </c>
      <c r="AD108">
        <f t="shared" si="1"/>
        <v>45344.882497999992</v>
      </c>
      <c r="AE108" s="3">
        <f>2288+(988.9-783.8)+(0+(0-0))+0-397.1-0</f>
        <v>2096</v>
      </c>
    </row>
    <row r="109" spans="1:31" s="2" customFormat="1" x14ac:dyDescent="0.25">
      <c r="A109">
        <v>89</v>
      </c>
      <c r="B109">
        <v>4</v>
      </c>
      <c r="C109">
        <v>16</v>
      </c>
      <c r="D109">
        <v>5</v>
      </c>
      <c r="E109">
        <v>1</v>
      </c>
      <c r="F109" s="3">
        <f>2289.7+(950.5-890.5)+(-2.335494+(-0.96951--0.90831))+0-422.4--0.430848000000067</f>
        <v>1925.3341539999997</v>
      </c>
      <c r="G109" s="3">
        <f>2226.6+(1765.2-1696.9)+(-1.135566+(-0.900252--0.865419))+0-444.2--0.226541999999955</f>
        <v>1849.7561429999994</v>
      </c>
      <c r="H109" s="3">
        <f>1868.5+(1890.9-1581.5)+(0+(0-0))+0-456.5-0</f>
        <v>1721.4</v>
      </c>
      <c r="I109" s="3">
        <f>1732.3+(2126.1-1734.8)+(-0.883473+(-1.084311--0.884748))+0-456.9--0.233018999999954</f>
        <v>1665.8499829999998</v>
      </c>
      <c r="J109" s="3">
        <f>1692+(2128.7-1730.6)+(0+(0-0))+0-444.3-0</f>
        <v>1645.8</v>
      </c>
      <c r="K109" s="3">
        <f>1647.6+(2158.7-1719.1)+(-4.20138+(-5.504685--4.383705))+0-456.5--1.16407499999993</f>
        <v>1626.5417149999996</v>
      </c>
      <c r="L109" s="3">
        <f>1573.6+(1973.2-1596.5)+(-1.605072+(-2.012664--1.62843))+0-417.6--0.425952000000067</f>
        <v>1531.1366459999999</v>
      </c>
      <c r="M109" s="3">
        <f>1550.7+(1638.4-1204.6)+(0.790857+(0.835584-0.614346))+0-414.7-0.211496999999958</f>
        <v>1570.6005980000002</v>
      </c>
      <c r="N109" s="3">
        <f>1574.6+(1819.2-1197.5)+(0.803046+(0.927792-0.610725))+0-445.8-0.227357999999955</f>
        <v>1751.3927550000003</v>
      </c>
      <c r="O109" s="3">
        <f>1905.8+(1166.6-643.4)+(0.971958+(0.594966-0.328134))+0-444.2-0.226541999999955</f>
        <v>1985.812248</v>
      </c>
      <c r="P109" s="3">
        <f>2234.9+(634.8-448.5)+(2.279598+(0.647496-0.45747))+0-471.7-0.481134000000075</f>
        <v>1951.4884899999995</v>
      </c>
      <c r="Q109" s="3">
        <f>2268.8+(729.2-523.9)+(0+(0-0))+0-456.2-0</f>
        <v>2017.9000000000003</v>
      </c>
      <c r="R109" s="3">
        <f>2228.7+(984.6-749.2)+(3.409911+(1.506438-1.146276))+0-455.9-0.697527000000026</f>
        <v>2011.2725459999999</v>
      </c>
      <c r="S109" s="3">
        <f>2194.5+(945.3-752.5)+(1.119195+(0.482103-0.383775))+0-424.3-0.216392999999957</f>
        <v>1964.0011300000001</v>
      </c>
      <c r="T109" s="3">
        <f>2152.9+(1174-1000.7)+(0+(0-0))+0-418.3-0</f>
        <v>1907.8999999999999</v>
      </c>
      <c r="U109" s="3">
        <f>2131+(1150.7-898.5)+(-2.17362+(-1.173714--0.91647))+0-409.6--0.417792000000065</f>
        <v>1971.5869279999999</v>
      </c>
      <c r="V109" s="3">
        <f>2054.8+(1167.6-776.2)+(-1.047948+(-0.595476--0.395862))+0-409.9--0.209048999999958</f>
        <v>2035.2614869999998</v>
      </c>
      <c r="W109" s="3">
        <f>1979.8+(1018.9-616.4)+(2.019396+(1.039278-0.628728))+0-412-0.420240000000066</f>
        <v>1972.3097060000002</v>
      </c>
      <c r="X109" s="3">
        <f>1949.3+(822.7-344.8)+(-0.994143+(-0.419577--0.175848))+0-410.7--0.209456999999958</f>
        <v>2015.4715849999995</v>
      </c>
      <c r="Y109" s="3">
        <f>1992.2+(960-649.5)+(0+(0-0))+0-408.1-0</f>
        <v>1894.6</v>
      </c>
      <c r="Z109" s="3">
        <f>2169.3+(825.4-627.9)+(1.106343+(0.420954-0.320229))+0-408.7-0.208436999999959</f>
        <v>1959.0986310000003</v>
      </c>
      <c r="AA109" s="3">
        <f>2284.4+(1016.8-725.3)+(0+(0-0))+0-409.2-0</f>
        <v>2166.7000000000003</v>
      </c>
      <c r="AB109" s="3">
        <f>2291.3+(1010.7-779.2)+(1.168563+(0.515457-0.397392))+0-409.3-0.208742999999958</f>
        <v>2114.5778849999997</v>
      </c>
      <c r="AC109" s="3">
        <f>2287.6+(822.5-585.8)+(0+(0-0))+0-415.3-0</f>
        <v>2109</v>
      </c>
      <c r="AD109">
        <f t="shared" si="1"/>
        <v>45364.792629999996</v>
      </c>
      <c r="AE109" s="3">
        <f>2291+(1081.2-842)+(0+(0-0))+0-408.8-0</f>
        <v>2121.3999999999996</v>
      </c>
    </row>
    <row r="110" spans="1:31" s="2" customFormat="1" x14ac:dyDescent="0.25">
      <c r="A110">
        <v>89</v>
      </c>
      <c r="B110">
        <v>4</v>
      </c>
      <c r="C110">
        <v>17</v>
      </c>
      <c r="D110">
        <v>6</v>
      </c>
      <c r="E110">
        <v>1</v>
      </c>
      <c r="F110" s="3">
        <f>2283+(981.1-775.8)+(1.16433+(0.500361-0.395658))+0-438.6-0.223685999999956</f>
        <v>2050.7453470000005</v>
      </c>
      <c r="G110" s="3">
        <f>2279.8+(1617.1-1631.6)+(0+(0-0))+0-437.7-0</f>
        <v>1827.6000000000001</v>
      </c>
      <c r="H110" s="3">
        <f>2280.9+(1981.1-2037.5)+(1.163259+(1.010361-1.039125))+0-438.7-0.223736999999955</f>
        <v>1786.7107579999997</v>
      </c>
      <c r="I110" s="3">
        <f>2281.3+(2265.9-2394.8)+(2.326926+(2.311218-2.442696))+0-454.7-0.463794000000072</f>
        <v>1699.431654</v>
      </c>
      <c r="J110" s="3">
        <f>2129.3+(2192.1-2257.8)+(1.085943+(1.117971-1.151478))+0-450.3-0.229652999999954</f>
        <v>1614.122783</v>
      </c>
      <c r="K110" s="3">
        <f>1843.8+(1957.5-1805.3)+(0+(0-0))+0-457.7-0</f>
        <v>1538.3</v>
      </c>
      <c r="L110" s="3">
        <f>1566.6+(1689.1-1419.1)+(-2.396898+(-2.584323--2.171223))+0-452--0.691560000000026</f>
        <v>1382.4815619999999</v>
      </c>
      <c r="M110" s="3">
        <f>1542.5+(1705.4-1222.2)+(-2.360025+(-2.609262--1.869966))+0-448.3--0.685899000000026</f>
        <v>1574.9865780000002</v>
      </c>
      <c r="N110" s="3">
        <f>1541.2+(1908.5-1212.6)+(-3.144048+(-3.89334--2.473704))+0-450.7--0.91942799999998</f>
        <v>1782.755744</v>
      </c>
      <c r="O110" s="3">
        <f>1639.2+(1538.8-942)+(-0.835992+(-0.784788--0.48042))+0-432.2--0.220421999999956</f>
        <v>1802.880062</v>
      </c>
      <c r="P110" s="3">
        <f>1736.2+(1161.8-524.8)+(0.885462+(0.592518-0.267648))+0-437.7-0.223226999999956</f>
        <v>1936.4871049999999</v>
      </c>
      <c r="Q110" s="3">
        <f>1815.5+(906-419.1)+(1.85181+(0.92412-0.427482))+0-441.4-0.45022800000007</f>
        <v>1862.89822</v>
      </c>
      <c r="R110" s="3">
        <f>1939.3+(882.8-405.5)+(1.978086+(0.900456-0.41361))+0-442.2-0.451044000000071</f>
        <v>1976.4138879999996</v>
      </c>
      <c r="S110" s="3">
        <f>1946.7+(854.6-447.5)+(0+(0-0))+0-401.8-0</f>
        <v>1952.0000000000002</v>
      </c>
      <c r="T110" s="3">
        <f>1979.9+(768.1-473.2)+(1.009749+(0.391731-0.241332))+0-394.7-0.20129699999996</f>
        <v>1881.058851</v>
      </c>
      <c r="U110" s="3">
        <f>1943.5+(799.5-438.4)+(0.991185+(0.407745-0.223584))+0-383.5-0.195584999999961</f>
        <v>1922.079761</v>
      </c>
      <c r="V110" s="3">
        <f>1872.3+(852.4-387.9)+(0+(0-0))+0-404.7-0</f>
        <v>1932.1000000000001</v>
      </c>
      <c r="W110" s="3">
        <f>1864.2+(906.1-464.1)+(-0.950742+(-0.462111--0.236691))+0-405--0.206549999999959</f>
        <v>1900.2303879999995</v>
      </c>
      <c r="X110" s="3">
        <f>1909+(1055.3-638.2)+(-2.92077+(-1.614609--0.976446))+0-409.1--0.625923000000024</f>
        <v>1914.0669900000003</v>
      </c>
      <c r="Y110" s="3">
        <f>1916.2+(1409.7-1122.6)+(-0.977262+(-0.718947--0.572526))+0-409.6--0.208895999999958</f>
        <v>1792.7852130000003</v>
      </c>
      <c r="Z110" s="3">
        <f>2098.7+(1477-1270.6)+(0+(0-0))+0-410.8-0</f>
        <v>1894.3</v>
      </c>
      <c r="AA110" s="3">
        <f>2284.1+(965.1-784)+(-4.659564+(-1.968804--1.59936))+0-410.6--0.837623999999982</f>
        <v>2050.4086159999997</v>
      </c>
      <c r="AB110" s="3">
        <f>2259.6+(1031.7-825.8)+(-1.152396+(-0.526167--0.421158))+0-411--0.209609999999958</f>
        <v>2053.452205</v>
      </c>
      <c r="AC110" s="3">
        <f>2166.1+(1304.2-1024.9)+(1.104711+(0.665142-0.522699))+0-411.5-0.209864999999958</f>
        <v>2034.9372889999997</v>
      </c>
      <c r="AD110">
        <f t="shared" si="1"/>
        <v>44163.233014000005</v>
      </c>
      <c r="AE110" s="3">
        <f>2280+(939.1-767.7)+(0+(0-0))+0-410.9-0</f>
        <v>2040.5</v>
      </c>
    </row>
    <row r="111" spans="1:31" s="2" customFormat="1" x14ac:dyDescent="0.25">
      <c r="A111">
        <v>89</v>
      </c>
      <c r="B111">
        <v>4</v>
      </c>
      <c r="C111">
        <v>18</v>
      </c>
      <c r="D111">
        <v>7</v>
      </c>
      <c r="E111">
        <v>1</v>
      </c>
      <c r="F111" s="3">
        <f>2195.2+(1625.8-1415.2)+(0+(0-0))+0-411.4-0</f>
        <v>1994.3999999999996</v>
      </c>
      <c r="G111" s="3">
        <f>2153.2+(1984.1-1905.7)+(-1.098132+(-1.011891--0.971907))+0-413--0.210629999999958</f>
        <v>1817.6725139999994</v>
      </c>
      <c r="H111" s="3">
        <f>2099.9+(2059.5-2022.5)+(1.070949+(1.050345-1.031475))+0-415.1-0.211700999999958</f>
        <v>1722.678118</v>
      </c>
      <c r="I111" s="3">
        <f>2050.8+(2099-2088.9)+(1.045908+(1.07049-1.065339))+0-414.7-0.211496999999958</f>
        <v>1647.0395619999999</v>
      </c>
      <c r="J111" s="3">
        <f>1966.6+(2280.7-2168.9)+(1.002966+(1.163157-1.106139))+0-415.6-0.211955999999958</f>
        <v>1663.6480279999998</v>
      </c>
      <c r="K111" s="3">
        <f>1836.7+(2023.4-1961.7)+(-2.810151+(-3.095802--3.001401))+0-412.5--0.631125000000024</f>
        <v>1483.6265730000002</v>
      </c>
      <c r="L111" s="3">
        <f>1404.5+(1852.5-1614.8)+(0+(0-0))+0-412.2-0</f>
        <v>1230</v>
      </c>
      <c r="M111" s="3">
        <f>1363.4+(1826.5-1423.7)+(0+(0-0))+0-411.9-0</f>
        <v>1354.3000000000002</v>
      </c>
      <c r="N111" s="3">
        <f>1367.6+(1834.7-1364.3)+(-1.394952+(-1.871394--1.391586))+0-407.9--0.416058000000065</f>
        <v>1428.6412980000002</v>
      </c>
      <c r="O111" s="3">
        <f>1372.7+(1854.6-1344)+(0+(0-0))+0-396.9-0</f>
        <v>1486.4</v>
      </c>
      <c r="P111" s="3">
        <f>1492.1+(2119.1-1413.8)+(1.521942+(2.161482-1.442076))+0-396.9-0.404838000000063</f>
        <v>1802.3365099999994</v>
      </c>
      <c r="Q111" s="3">
        <f>1628.4+(1967.7-1442.1)+(0+(0-0))+0-397.8-0</f>
        <v>1756.2</v>
      </c>
      <c r="R111" s="3">
        <f>1809.4+(2296-1901.3)+(0.922794+(1.17096-0.969663))+0-396.1-0.20201099999996</f>
        <v>1808.9220800000007</v>
      </c>
      <c r="S111" s="3">
        <f>1868.2+(2091.1-1765.8)+(1.905564+(2.132922-1.801116))+0-395.4-0.403308000000063</f>
        <v>1799.9340619999996</v>
      </c>
      <c r="T111" s="3">
        <f>1878.2+(2070.1-1745.3)+(0.957882+(1.055751-0.890103))+0-398.8-0.20338799999996</f>
        <v>1805.120142</v>
      </c>
      <c r="U111" s="3">
        <f>1996.8+(1860.8-1677)+(-2.036736+(-1.898016--1.71054))+0-402.5--0.410550000000064</f>
        <v>1776.2863379999999</v>
      </c>
      <c r="V111" s="3">
        <f>1978.7+(1877.6-1726.4)+(-1.009137+(-0.957576--0.880464))+0-403--0.205529999999959</f>
        <v>1726.0192809999996</v>
      </c>
      <c r="W111" s="3">
        <f>2007.8+(2049.6-1924.8)+(-1.023978+(-1.045296--0.981648))+0-404.6--0.206345999999959</f>
        <v>1727.1187199999999</v>
      </c>
      <c r="X111" s="3">
        <f>1930.6+(2141.7-1869.5)+(-1.969212+(-2.184534--1.90689))+0-411.2--0.419424000000066</f>
        <v>1789.7725679999996</v>
      </c>
      <c r="Y111" s="3">
        <f>1921.3+(1864.1-1694.2)+(-2.939589+(-2.852073--2.592126))+0-410.5--0.628065000000024</f>
        <v>1678.1285289999998</v>
      </c>
      <c r="Z111" s="3">
        <f>2032.3+(1930.1-1735.4)+(1.036473+(0.984351-0.885054))+0-413.4-0.210833999999958</f>
        <v>1814.5249359999998</v>
      </c>
      <c r="AA111" s="3">
        <f>2052.6+(1517.7-1180.2)+(-1.046826+(-0.774027--0.601902))+0-410.7--0.209456999999958</f>
        <v>1978.390506</v>
      </c>
      <c r="AB111" s="3">
        <f>2081.6+(1500.6-1235.1)+(0+(0-0))+0-409.2-0</f>
        <v>1937.8999999999999</v>
      </c>
      <c r="AC111" s="3">
        <f>2093+(1524.7-1319.9)+(1.06743+(0.777597-0.673149))+0-411.5-0.209864999999958</f>
        <v>1887.2620130000003</v>
      </c>
      <c r="AD111">
        <f t="shared" si="1"/>
        <v>41116.321778000005</v>
      </c>
      <c r="AE111" s="3">
        <f>2056+(1481.9-1128.8)+(0+(0-0))+0-410.9-0</f>
        <v>1998.2000000000003</v>
      </c>
    </row>
    <row r="112" spans="1:31" s="2" customFormat="1" x14ac:dyDescent="0.25">
      <c r="A112">
        <v>89</v>
      </c>
      <c r="B112">
        <v>4</v>
      </c>
      <c r="C112">
        <v>19</v>
      </c>
      <c r="D112">
        <v>1</v>
      </c>
      <c r="E112">
        <v>3</v>
      </c>
      <c r="F112" s="3">
        <f>2072+(1713.4-1602.5)+(-4.22688+(-3.495336--3.2691))+0-409.8--0.835991999999982</f>
        <v>1769.482876</v>
      </c>
      <c r="G112" s="3">
        <f>2067.9+(2302.4-2213.2)+(-3.163887+(-3.522672--3.386196))+0-410.3--0.627759000000024</f>
        <v>1744.1273960000005</v>
      </c>
      <c r="H112" s="3">
        <f>1968.2+(2455.6-2340.7)+(-2.007564+(-2.504712--2.387514))+0-414.6--0.422892000000066</f>
        <v>1666.7981300000006</v>
      </c>
      <c r="I112" s="3">
        <f>1945.5+(2253.1-2105.1)+(-1.98441+(-2.298162--2.147202))+0-412.4--0.420648000000066</f>
        <v>1679.385278</v>
      </c>
      <c r="J112" s="3">
        <f>1831.5+(1889.8-1741.1)+(-1.86813+(-1.927596--1.775922))+0-415.2--0.423504000000066</f>
        <v>1563.4037000000001</v>
      </c>
      <c r="K112" s="3">
        <f>1452.6+(2344.4-1851.6)+(0+(0-0))+0-412.6-0</f>
        <v>1532.8000000000002</v>
      </c>
      <c r="L112" s="3">
        <f>1379+(2153.2-1643.4)+(0+(0-0))+0-411.7-0</f>
        <v>1477.0999999999997</v>
      </c>
      <c r="M112" s="3">
        <f>1377.2+(1939.6-1405.7)+(-2.107116+(-2.967588--2.150721))+0-413.9--0.633267000000024</f>
        <v>1494.9092840000001</v>
      </c>
      <c r="N112" s="3">
        <f>1386+(1873.7-1259.6)+(-0.70686+(-0.955587--0.642396))+0-412.2--0.210221999999958</f>
        <v>1587.0901710000001</v>
      </c>
      <c r="O112" s="3">
        <f>1384.9+(2132-1489.1)+(1.412598+(2.17464-1.518882))+0-415.6-0.423912000000066</f>
        <v>1613.8444440000001</v>
      </c>
      <c r="P112" s="3">
        <f>1610.3+(2246.7-1576)+(1.642506+(2.291634-1.60752))+0-417.3-0.425646000000067</f>
        <v>1865.6009739999997</v>
      </c>
      <c r="Q112" s="3">
        <f>1771.8+(1689.7-1203.8)+(1.807236+(1.723494-1.227876))+0-394.4-0.402288000000063</f>
        <v>1865.2005659999998</v>
      </c>
      <c r="R112" s="3">
        <f>1816.7+(1678-1302.1)+(0+(0-0))+0-364.4-0</f>
        <v>1828.2000000000003</v>
      </c>
      <c r="S112" s="3">
        <f>1819.5+(1566-1220.3)+(0+(0-0))+0-358.7-0</f>
        <v>1806.4999999999998</v>
      </c>
      <c r="T112" s="3">
        <f>1826.1+(1510.6-1193.2)+(0.931311+(0.770406-0.608532))+0-345.8-0.176357999999965</f>
        <v>1798.6168270000003</v>
      </c>
      <c r="U112" s="3">
        <f>2026.7+(1473.4-1294)+(0+(0-0))+0-342.1-0</f>
        <v>1864.0000000000005</v>
      </c>
      <c r="V112" s="3">
        <f>2143.5+(1227-1216.9)+(0+(0-0))+0-352.9-0</f>
        <v>1800.6999999999998</v>
      </c>
      <c r="W112" s="3">
        <f>2194.7+(1282.2-1296.1)+(-2.238594+(-1.307844--1.322022))+0-344.7--0.351594000000055</f>
        <v>1834.2271780000001</v>
      </c>
      <c r="X112" s="3">
        <f>2032.7+(1525.8-1245.2)+(0+(0-0))+0-392.9-0</f>
        <v>1920.4</v>
      </c>
      <c r="Y112" s="3">
        <f>1960.8+(1428.8-1167)+(1.000008+(0.728688-0.59517))+0-411.3-0.209762999999958</f>
        <v>1812.223763</v>
      </c>
      <c r="Z112" s="3">
        <f>2161.3+(1632.4-1374.2)+(0+(0-0))+0-413.1-0</f>
        <v>2006.4</v>
      </c>
      <c r="AA112" s="3">
        <f>2281.7+(1129.3-916.4)+(-1.163667+(-0.575943--0.467364))+0-414.7--0.211496999999958</f>
        <v>2078.8392509999999</v>
      </c>
      <c r="AB112" s="3">
        <f>2240.5+(1100.4-883.8)+(0+(0-0))+0-412.5-0</f>
        <v>2044.6000000000004</v>
      </c>
      <c r="AC112" s="3">
        <f>2234.3+(1226-1082.4)+(0+(0-0))+0-396.1-0</f>
        <v>1981.8000000000002</v>
      </c>
      <c r="AD112">
        <f t="shared" si="1"/>
        <v>42636.249838000003</v>
      </c>
      <c r="AE112" s="3">
        <f>2291+(1079.4-869.3)+(0+(0-0))+0-410.8-0</f>
        <v>2090.3000000000002</v>
      </c>
    </row>
    <row r="113" spans="1:31" s="2" customFormat="1" x14ac:dyDescent="0.25">
      <c r="A113">
        <v>89</v>
      </c>
      <c r="B113">
        <v>4</v>
      </c>
      <c r="C113">
        <v>20</v>
      </c>
      <c r="D113">
        <v>2</v>
      </c>
      <c r="E113">
        <v>1</v>
      </c>
      <c r="F113" s="3">
        <f>2231.6+(1726.6-1592.5)+(0+(0-0))+0-408.4-0</f>
        <v>1957.2999999999997</v>
      </c>
      <c r="G113" s="3">
        <f>2220.7+(2573.3-2547.3)+(-3.397671+(-3.937149--3.897369))+0-411.1--0.628983000000024</f>
        <v>1832.7915320000002</v>
      </c>
      <c r="H113" s="3">
        <f>2156.6+(2727.6-2714.2)+(-2.199732+(-2.782152--2.768484))+0-410.7--0.418914000000065</f>
        <v>1757.5055139999999</v>
      </c>
      <c r="I113" s="3">
        <f>1998+(2570.1-2461.6)+(-3.05694+(-3.932253--3.766248))+0-407.8--0.623934000000024</f>
        <v>1696.100989</v>
      </c>
      <c r="J113" s="3">
        <f>1872.7+(2444.5-2263.4)+(0+(0-0))+0-407.2-0</f>
        <v>1646.6000000000001</v>
      </c>
      <c r="K113" s="3">
        <f>1668.1+(2399.1-1997.6)+(0+(0-0))+0-407.3-0</f>
        <v>1662.3</v>
      </c>
      <c r="L113" s="3">
        <f>1556.7+(2019.9-1693.2)+(-1.587834+(-2.060298--1.727064))+0-404.2--0.412284000000064</f>
        <v>1477.6912159999999</v>
      </c>
      <c r="M113" s="3">
        <f>1555.9+(1744.3-1306.2)+(-0.793509+(-0.889593--0.666162))+0-409.2--0.208691999999958</f>
        <v>1583.9917519999999</v>
      </c>
      <c r="N113" s="3">
        <f>1560.7+(1918.7-1309.9)+(0.795957+(0.978537-0.668049))+0-410.2-0.209201999999958</f>
        <v>1760.1972429999998</v>
      </c>
      <c r="O113" s="3">
        <f>1701.3+(1516.1-926.6)+(0.867663+(0.773211-0.472566))+0-409.7-0.208946999999958</f>
        <v>1882.0593609999996</v>
      </c>
      <c r="P113" s="3">
        <f>1809.5+(819.4-437)+(1.84569+(0.835788-0.44574))+0-404.7-0.412794000000065</f>
        <v>1789.0229439999998</v>
      </c>
      <c r="Q113" s="3">
        <f>1862.5+(693.3-240.2)+(1.89975+(0.707166-0.245004))+36.3-355.7-0.362814000000057</f>
        <v>1998.1990979999998</v>
      </c>
      <c r="R113" s="3">
        <f>2036.6+(641.2-341.2)+(1.038666+(0.327012-0.174012))+109-358-0.182579999999964</f>
        <v>2088.6090859999999</v>
      </c>
      <c r="S113" s="3">
        <f>2205.3+(663.9-526.4)+(1.124703+(0.338589-0.268464))+109-354.8-0.180947999999964</f>
        <v>2098.01388</v>
      </c>
      <c r="T113" s="3">
        <f>2200.7+(736.8-593.6)+(1.122357+(0.375768-0.302736))+109-366.2-0.186761999999963</f>
        <v>2087.708627</v>
      </c>
      <c r="U113" s="3">
        <f>2185.9+(846.9-658.2)+(2.229618+(0.863838-0.671364))+109-370-0.377400000000059</f>
        <v>2115.6446919999998</v>
      </c>
      <c r="V113" s="3">
        <f>2119.1+(907-656.8)+(0+(0-0))+109-371.8-0</f>
        <v>2106.5</v>
      </c>
      <c r="W113" s="3">
        <f>2108.1+(786.8-607)+(-4.300524+(-1.605072--1.23828))+109-372.1--0.759083999999984</f>
        <v>2020.8917679999997</v>
      </c>
      <c r="X113" s="3">
        <f>2150.8+(703.2-477.5)+(0+(0-0))+45.4-379.3-0</f>
        <v>2042.6000000000001</v>
      </c>
      <c r="Y113" s="3">
        <f>2162.8+(1041.8-830.2)+(-1.103028+(-0.531318--0.423402))+0-392.3--0.20007299999996</f>
        <v>1981.0891290000002</v>
      </c>
      <c r="Z113" s="3">
        <f>2149.6+(747.8-467.6)+(1.096296+(0.381378-0.238476))+0-395.4-0.20165399999996</f>
        <v>2035.4375439999999</v>
      </c>
      <c r="AA113" s="3">
        <f>2192.2+(820.5-644.8)+(-2.236044+(-0.83691--0.657696))+0-390.1--0.397902000000062</f>
        <v>1975.7826439999999</v>
      </c>
      <c r="AB113" s="3">
        <f>2289.2+(693.4-461.1)+(-1.167492+(-0.353634--0.235161))+0-398--0.20297999999996</f>
        <v>2122.417015</v>
      </c>
      <c r="AC113" s="3">
        <f>2291.1+(654.7-467.5)+(-1.168461+(-0.333897--0.238425))+0-403.1--0.205580999999959</f>
        <v>2074.1416480000003</v>
      </c>
      <c r="AD113">
        <f t="shared" si="1"/>
        <v>45792.595681999992</v>
      </c>
      <c r="AE113" s="3">
        <f>2293+(741.8-446.7)+(0+(0-0))+0-402.3-0</f>
        <v>2185.7999999999997</v>
      </c>
    </row>
    <row r="114" spans="1:31" s="2" customFormat="1" x14ac:dyDescent="0.25">
      <c r="A114">
        <v>89</v>
      </c>
      <c r="B114">
        <v>4</v>
      </c>
      <c r="C114">
        <v>21</v>
      </c>
      <c r="D114">
        <v>3</v>
      </c>
      <c r="E114">
        <v>1</v>
      </c>
      <c r="F114" s="3">
        <f>2289.5+(1132.2-1040)+(-2.33529+(-1.154844--1.0608))+0-403.9--0.411978000000064</f>
        <v>1975.7826439999999</v>
      </c>
      <c r="G114" s="3">
        <f>2246.9+(1921.9-1923)+(-1.145919+(-0.980169--0.98073))+0-409--0.208589999999959</f>
        <v>1835.8632319999999</v>
      </c>
      <c r="H114" s="3">
        <f>2047.2+(2230.1-2074.7)+(-4.176288+(-4.549404--4.232388))+0-411.1--0.838643999999982</f>
        <v>1787.8453400000003</v>
      </c>
      <c r="I114" s="3">
        <f>1704.9+(2266.5-1870.6)+(1.738998+(2.31183-1.908012))+0-408.9-0.417078000000065</f>
        <v>1693.625738</v>
      </c>
      <c r="J114" s="3">
        <f>1556+(2339.4-1798.9)+(-1.58712+(-2.386188--1.834878))+0-411.1--0.419322000000066</f>
        <v>1683.6808920000001</v>
      </c>
      <c r="K114" s="3">
        <f>1555.4+(2398.1-1771.2)+(-1.586508+(-2.446062--1.806624))+0-409.7--0.417894000000065</f>
        <v>1770.7919480000003</v>
      </c>
      <c r="L114" s="3">
        <f>1554.7+(2113.6-1736.4)+(0+(0-0))+0-406.2-0</f>
        <v>1525.6999999999998</v>
      </c>
      <c r="M114" s="3">
        <f>1554.6+(1963-1574.4)+(0+(0-0))+0-410.5-0</f>
        <v>1532.6999999999998</v>
      </c>
      <c r="N114" s="3">
        <f>1553.8+(2144.3-1371)+(0+(0-0))+0-412.9-0</f>
        <v>1914.2000000000003</v>
      </c>
      <c r="O114" s="3">
        <f>1561.1+(1700.5-998.8)+(0+(0-0))+0-454.7-0</f>
        <v>1808.1000000000001</v>
      </c>
      <c r="P114" s="3">
        <f>1627.9+(1028.6-423.6)+(0+(0-0))+0-464.7-0</f>
        <v>1768.2</v>
      </c>
      <c r="Q114" s="3">
        <f>1775.8+(712.4-253.1)+(3.622632+(1.453296-0.516324))+4.8-452.3-0.92269199999998</f>
        <v>1791.2369120000003</v>
      </c>
      <c r="R114" s="3">
        <f>2024.8+(715.3-252.3)+(-2.065296+(-0.729606--0.257346))+28.9-433--0.441660000000069</f>
        <v>2081.6041039999996</v>
      </c>
      <c r="S114" s="3">
        <f>2040+(675.1-317.1)+(1.0404+(0.344301-0.161721))+40-421.8-0.215117999999957</f>
        <v>2017.2078620000002</v>
      </c>
      <c r="T114" s="3">
        <f>2034.3+(785.5-455.5)+(1.037493+(0.400605-0.232305))+40-393.1-0.20048099999996</f>
        <v>2012.2053120000005</v>
      </c>
      <c r="U114" s="3">
        <f>2028.9+(886.3-543.9)+(2.069478+(0.904026-0.554778))+40-371-0.378420000000059</f>
        <v>2042.3403060000001</v>
      </c>
      <c r="V114" s="3">
        <f>2020.2+(940.8-528.1)+(-1.030302+(-0.479808--0.269331))+40-380.7--0.194156999999961</f>
        <v>2091.153378</v>
      </c>
      <c r="W114" s="3">
        <f>1995.3+(809.4-294.8)+(-3.052809+(-1.238382--0.451044))+40-384.6--0.588438000000022</f>
        <v>2162.0482910000001</v>
      </c>
      <c r="X114" s="3">
        <f>1983.8+(759.1-327.2)+(-3.035214+(-1.161423--0.500616))+6.7-409.6--0.626688000000024</f>
        <v>2009.7306669999996</v>
      </c>
      <c r="Y114" s="3">
        <f>1967.7+(1256.1-768.8)+(-1.003527+(-0.640611--0.392088))+0-403.9--0.205988999999959</f>
        <v>2050.0539389999999</v>
      </c>
      <c r="Z114" s="3">
        <f>2085.8+(1228.3-972.6)+(1.063758+(0.626433-0.496026))+0-387.9-0.197828999999961</f>
        <v>1954.5963359999998</v>
      </c>
      <c r="AA114" s="3">
        <f>2264.5+(661.3-562.5)+(-1.154895+(-0.337263--0.286875))+0-393.8--0.20083799999996</f>
        <v>1968.4955550000004</v>
      </c>
      <c r="AB114" s="3">
        <f>2288.4+(736.6-482.4)+(-1.167084+(-0.375666--0.246024))+0-405--0.206549999999959</f>
        <v>2136.5098240000002</v>
      </c>
      <c r="AC114" s="3">
        <f>2287.5+(951.1-658.5)+(0+(0-0))+0-461-0</f>
        <v>2119.1</v>
      </c>
      <c r="AD114">
        <f t="shared" si="1"/>
        <v>45732.772279999997</v>
      </c>
      <c r="AE114" s="3">
        <f>2262+(641.4-365.3)+(0+(0-0))+0-400.1-0</f>
        <v>2138</v>
      </c>
    </row>
    <row r="115" spans="1:31" s="2" customFormat="1" x14ac:dyDescent="0.25">
      <c r="A115">
        <v>89</v>
      </c>
      <c r="B115">
        <v>4</v>
      </c>
      <c r="C115">
        <v>22</v>
      </c>
      <c r="D115">
        <v>4</v>
      </c>
      <c r="E115">
        <v>1</v>
      </c>
      <c r="F115" s="3">
        <f>2284.3+(1813.5-1585.9)+(0+(0-0))+0-465.7-0</f>
        <v>2046.2</v>
      </c>
      <c r="G115" s="3">
        <f>2275.2+(2599.9-2557.2)+(-2.320704+(-2.651898--2.608344))+0-460.2--0.469404000000073</f>
        <v>1855.8051460000001</v>
      </c>
      <c r="H115" s="3">
        <f>1901.4+(2676.4-2356.7)+(0.969714+(1.364964-1.201917))+0-458.5-0.233834999999953</f>
        <v>1763.4989260000002</v>
      </c>
      <c r="I115" s="3">
        <f>1731.4+(2556-2168.3)+(0+(0-0))+0-449.4-0</f>
        <v>1669.6999999999998</v>
      </c>
      <c r="J115" s="3">
        <f>1555.2+(2303.4-1761.6)+(2.379456+(3.524202-2.695248))+0-458.8-0.701964000000027</f>
        <v>1640.7064460000001</v>
      </c>
      <c r="K115" s="3">
        <f>1531.4+(2157.1-1676.6)+(0+(0-0))+0-415.6-0</f>
        <v>1596.3000000000002</v>
      </c>
      <c r="L115" s="3">
        <f>1513.8+(1774.6-1282.9)+(-0.772038+(-0.905046--0.654279))+0-464--0.236639999999953</f>
        <v>1540.7138349999996</v>
      </c>
      <c r="M115" s="3">
        <f>1529.8+(1866.2-1292.2)+(0+(0-0))+0-450-0</f>
        <v>1653.8000000000002</v>
      </c>
      <c r="N115" s="3">
        <f>1649.2+(1901.3-1235.6)+(3.364368+(3.878652-2.520624))+0-443.3-0.904331999999981</f>
        <v>1875.4180640000002</v>
      </c>
      <c r="O115" s="3">
        <f>1928.6+(1497.1-1045.2)+(0+(0-0))+0-436.3-0</f>
        <v>1944.2</v>
      </c>
      <c r="P115" s="3">
        <f>2130.1+(893.3-574.6)+(3.259053+(1.366749-0.879138))+0-411.3-0.629289000000024</f>
        <v>2040.6173749999996</v>
      </c>
      <c r="Q115" s="3">
        <f>2223.7+(563.2-382.9)+(1.134087+(0.287232-0.195279))+0-452.2-0.230621999999954</f>
        <v>1952.7954179999999</v>
      </c>
      <c r="R115" s="3">
        <f>2228.6+(712.6-444.5)+(-2.273172+(-0.726852--0.45339))+53.3-432.4--0.441048000000069</f>
        <v>2115.4944140000002</v>
      </c>
      <c r="S115" s="3">
        <f>2224.1+(703.8-530.5)+(0+(0-0))+80-415.1-0</f>
        <v>2062.2999999999997</v>
      </c>
      <c r="T115" s="3">
        <f>2221.3+(638.1-489.2)+(3.398589+(0.976293-0.748476))+80-384.1-0.587673000000022</f>
        <v>2069.1387330000002</v>
      </c>
      <c r="U115" s="3">
        <f>2221.1+(604.6-444.8)+(-1.132761+(-0.308346--0.226848))+80-383.8--0.195737999999961</f>
        <v>2076.0814789999999</v>
      </c>
      <c r="V115" s="3">
        <f>2209.8+(654.9-441.4)+(-1.126998+(-0.333999--0.225114))+80-379--0.193289999999962</f>
        <v>2123.2574070000005</v>
      </c>
      <c r="W115" s="3">
        <f>2193.6+(743.4-496.5)+(-6.712416+(-2.274804--1.51929))+80-383.5--1.17351000000004</f>
        <v>2130.7055800000003</v>
      </c>
      <c r="X115" s="3">
        <f>2154.5+(1089.7-771.7)+(-4.39518+(-2.222988--1.574268))+0-397.9--0.811715999999983</f>
        <v>2070.3678159999999</v>
      </c>
      <c r="Y115" s="3">
        <f>2130.6+(1591.2-1301.6)+(-3.259818+(-2.434536--1.991448))+0-391.6--0.599148000000023</f>
        <v>2025.4962419999999</v>
      </c>
      <c r="Z115" s="3">
        <f>2207+(1260.8-1130.2)+(1.12557+(0.643008-0.576402))+0-388.2-0.197981999999961</f>
        <v>1950.394194</v>
      </c>
      <c r="AA115" s="3">
        <f>2283.2+(785.1-526.2)+(-4.657728+(-1.601604--1.073448))+0-388.1--0.791723999999983</f>
        <v>2149.6058400000002</v>
      </c>
      <c r="AB115" s="3">
        <f>2293.9+(763.3-512.8)+(-4.679556+(-1.557132--1.046112))+0-390.2--0.796007999999983</f>
        <v>2149.8054320000001</v>
      </c>
      <c r="AC115" s="3">
        <f>2224.8+(1022.8-702)+(2.269296+(1.043256-0.71604))+0-430.9-0.439518000000069</f>
        <v>2116.8569940000002</v>
      </c>
      <c r="AD115">
        <f t="shared" si="1"/>
        <v>46619.259341000004</v>
      </c>
      <c r="AE115" s="3">
        <f>2299+(652-446)+(0+(0-0))+0-391-0</f>
        <v>2114</v>
      </c>
    </row>
    <row r="116" spans="1:31" s="2" customFormat="1" x14ac:dyDescent="0.25">
      <c r="A116">
        <v>89</v>
      </c>
      <c r="B116">
        <v>4</v>
      </c>
      <c r="C116">
        <v>23</v>
      </c>
      <c r="D116">
        <v>5</v>
      </c>
      <c r="E116">
        <v>1</v>
      </c>
      <c r="F116" s="3">
        <f>2163.7+(1643.3-1376.2)+(-2.206974+(-1.676166--1.403724))+0-410.6--0.418812000000066</f>
        <v>2018.1393959999998</v>
      </c>
      <c r="G116" s="3">
        <f>2091.8+(2310.2-2147.2)+(-1.066818+(-1.178202--1.095072))+0-422.9--0.215678999999957</f>
        <v>1830.9657309999998</v>
      </c>
      <c r="H116" s="3">
        <f>1910+(2142.7-1946.2)+(-1.9482+(-2.185554--1.985124))+0-416--0.424320000000066</f>
        <v>1688.7756899999999</v>
      </c>
      <c r="I116" s="3">
        <f>1611.9+(2168.6-1708.6)+(-1.644138+(-2.211972--1.742772))+0-416.4--0.424728000000066</f>
        <v>1653.8113899999998</v>
      </c>
      <c r="J116" s="3">
        <f>1552+(1867.3-1438.3)+(2.37456+(2.856969-2.200599))+0-419-0.641070000000024</f>
        <v>1564.3898599999998</v>
      </c>
      <c r="K116" s="3">
        <f>1551.9+(1743.3-1303.2)+(-1.582938+(-1.778166--1.329264))+0-414.4--0.422688000000066</f>
        <v>1575.9908479999999</v>
      </c>
      <c r="L116" s="3">
        <f>1551.5+(1527.2-1159.5)+(-0.791265+(-0.778872--0.591345))+0-421.6--0.215015999999957</f>
        <v>1496.8362239999999</v>
      </c>
      <c r="M116" s="3">
        <f>1549.9+(1479.4-1043.7)+(2.371347+(2.263482-1.596861))+0-426.1-0.651933000000025</f>
        <v>1561.886035</v>
      </c>
      <c r="N116" s="3">
        <f>1556.1+(1438.1-869.1)+(-0.793611+(-0.733431--0.443241))+0-430.1--0.219350999999956</f>
        <v>1694.1355499999997</v>
      </c>
      <c r="O116" s="3">
        <f>1647.5+(1674.7-1072.8)+(1.68045+(1.708194-1.094256))+0-435.3-0.444006000000069</f>
        <v>1815.9503819999998</v>
      </c>
      <c r="P116" s="3">
        <f>1980.4+(1506.1-1215.4)+(1.010004+(0.768111-0.619854))+41.7-345.5-0.176204999999965</f>
        <v>1968.2820559999998</v>
      </c>
      <c r="Q116" s="3">
        <f>2088+(1418.2-1239.5)+(-1.06488+(-0.723282--0.632145))+100-330--0.168299999999967</f>
        <v>2035.7122830000001</v>
      </c>
      <c r="R116" s="3">
        <f>2044.7+(1372.3-1108.9)+(-2.085594+(-1.399746--1.131078))+200-346.1--0.353022000000055</f>
        <v>2159.9987600000004</v>
      </c>
      <c r="S116" s="3">
        <f>2003.9+(1211-969.9)+(0+(0-0))+200-372.1-0</f>
        <v>2072.9</v>
      </c>
      <c r="T116" s="3">
        <f>2004.8+(1000.2-804.1)+(1.022448+(0.510102-0.410091))+200-310.9-0.158558999999968</f>
        <v>2090.9639000000002</v>
      </c>
      <c r="U116" s="3">
        <f>1962.3+(781.1-488.9)+(-1.000773+(-0.398361--0.249339))+200-329.3--0.167942999999967</f>
        <v>2124.2181479999999</v>
      </c>
      <c r="V116" s="3">
        <f>1965.1+(872.4-574.7)+(-2.004402+(-0.889848--0.586194))+200-372--0.379440000000059</f>
        <v>2088.871384</v>
      </c>
      <c r="W116" s="3">
        <f>1959.1+(1358.8-862.8)+(2.997423+(2.078964-1.320084))+200-430.4-0.658512000000025</f>
        <v>2227.797791</v>
      </c>
      <c r="X116" s="3">
        <f>1891.9+(1368.2-932.2)+(-1.929738+(-1.395564--0.950844))+66.6-375.3--0.38280600000006</f>
        <v>2017.2083480000003</v>
      </c>
      <c r="Y116" s="3">
        <f>1894.6+(1044.9-716.7)+(0.966246+(0.532899-0.365517))+0-401.5-0.204764999999959</f>
        <v>1822.2288630000003</v>
      </c>
      <c r="Z116" s="3">
        <f>2094.2+(1149.8-861.2)+(2.136084+(1.172796-0.878424))+0-391-0.398820000000062</f>
        <v>1993.8316359999997</v>
      </c>
      <c r="AA116" s="3">
        <f>2263.9+(701.9-418.3)+(-3.463767+(-1.073907--0.639999))+0-398.1--0.609093000000023</f>
        <v>2146.111418</v>
      </c>
      <c r="AB116" s="3">
        <f>2293.2+(725.6-477.7)+(-1.169532+(-0.370056--0.243627))+0-392.2--0.20002199999996</f>
        <v>2147.8040610000003</v>
      </c>
      <c r="AC116" s="3">
        <f>2285.1+(1102.7-837.5)+(-1.165401+(-0.562377--0.427125))+0-430.6--0.219605999999956</f>
        <v>2118.6189530000006</v>
      </c>
      <c r="AD116">
        <f t="shared" si="1"/>
        <v>45915.428706999999</v>
      </c>
      <c r="AE116" s="3">
        <f>2240+(646.7-402.1)+(0+(0-0))+0-389.4-0</f>
        <v>2095.1999999999998</v>
      </c>
    </row>
    <row r="117" spans="1:31" s="2" customFormat="1" x14ac:dyDescent="0.25">
      <c r="A117">
        <v>89</v>
      </c>
      <c r="B117">
        <v>4</v>
      </c>
      <c r="C117">
        <v>24</v>
      </c>
      <c r="D117">
        <v>6</v>
      </c>
      <c r="E117">
        <v>1</v>
      </c>
      <c r="F117" s="3">
        <f>2259+(1571.7-1313.8)+(-1.15209+(-0.801567--0.670038))+0-447.6--0.228275999999955</f>
        <v>2068.2446570000002</v>
      </c>
      <c r="G117" s="3">
        <f>2123.3+(2206.5-2040.8)+(-1.082883+(-1.125315--1.040808))+0-430.8--0.219707999999956</f>
        <v>1857.2523179999998</v>
      </c>
      <c r="H117" s="3">
        <f>1944.4+(2316.1-2031.1)+(3.966576+(4.724844-4.143444))+0-446.2-0.910247999999981</f>
        <v>1786.837728</v>
      </c>
      <c r="I117" s="3">
        <f>1705.7+(2153.2-1718.5)+(-1.739814+(-2.196264--1.75287))+0-457.6--0.466752000000073</f>
        <v>1681.0835439999998</v>
      </c>
      <c r="J117" s="3">
        <f>1556.8+(1812.1-1335.7)+(-0.793968+(-0.924171--0.681207))+0-459.2--0.234191999999953</f>
        <v>1573.1972599999997</v>
      </c>
      <c r="K117" s="3">
        <f>1557.5+(1810.4-1269.9)+(-1.58865+(-1.846608--1.295298))+0-453.8--0.462876000000072</f>
        <v>1642.5229160000001</v>
      </c>
      <c r="L117" s="3">
        <f>1560.8+(1693.6-1248.7)+(-1.592016+(-1.727472--1.273674))+0-418.6--0.426972000000067</f>
        <v>1585.4811579999998</v>
      </c>
      <c r="M117" s="3">
        <f>1553.3+(1582.8-1064.6)+(-0.792183+(-0.807228--0.542946))+0-437.3--0.223022999999956</f>
        <v>1633.3665579999999</v>
      </c>
      <c r="N117" s="3">
        <f>1555.5+(1725.6-1026)+(0.793305+(0.880056-0.52326))+0-455.1-0.232100999999954</f>
        <v>1800.9180000000001</v>
      </c>
      <c r="O117" s="3">
        <f>1586.9+(1635.2-899.7)+(4.046595+(4.16976-2.294235))+0-452.4-1.15361999999993</f>
        <v>1874.7685000000004</v>
      </c>
      <c r="P117" s="3">
        <f>1708.1+(1657-1004.6)+(0.871131+(0.84507-0.512346))+93.8-422.3-0.215372999999957</f>
        <v>2032.9884820000004</v>
      </c>
      <c r="Q117" s="3">
        <f>1655.6+(1508-801.4)+(0.844356+(0.76908-0.408714))+150-410.7-0.209456999999958</f>
        <v>2102.495265</v>
      </c>
      <c r="R117" s="3">
        <f>2021.8+(1374.2-1078.3)+(-1.031118+(-0.700842--0.549933))+150-402.9--0.205478999999959</f>
        <v>2063.8234519999996</v>
      </c>
      <c r="S117" s="3">
        <f>2144.7+(1635.6-1471)+(-2.187594+(-1.668312--1.50042))+150-409.8--0.417996000000065</f>
        <v>2047.56251</v>
      </c>
      <c r="T117" s="3">
        <f>2177.1+(1702.1-1602.9)+(-1.110321+(-0.868071--0.817479))+150-364--0.185639999999963</f>
        <v>2061.3247269999997</v>
      </c>
      <c r="U117" s="3">
        <f>2130.7+(1705.8-1560.5)+(-1.086657+(-0.869958--0.795855))+150-378.8--0.193187999999962</f>
        <v>2046.2324279999998</v>
      </c>
      <c r="V117" s="3">
        <f>2091.5+(1892.9-1658.8)+(0+(0-0))+125-374.9-0</f>
        <v>2075.7000000000003</v>
      </c>
      <c r="W117" s="3">
        <f>1988.3+(1848.9-1592.9)+(-2.028066+(-1.885878--1.624758))+0-397.3--0.405246000000063</f>
        <v>1845.1160600000003</v>
      </c>
      <c r="X117" s="3">
        <f>1908.8+(1848.6-1479.9)+(-4.86744+(-4.71393--3.773745))+0-403.2--1.02815999999994</f>
        <v>1869.5205349999999</v>
      </c>
      <c r="Y117" s="3">
        <f>1968.5+(905.7-656.7)+(-1.003935+(-0.461907--0.334917))+0-420.7--0.214556999999957</f>
        <v>1795.883632</v>
      </c>
      <c r="Z117" s="3">
        <f>2237.1+(1524.9-1286.7)+(-2.281842+(-1.555398--1.312434))+0-420.1--0.428502000000067</f>
        <v>2053.1036960000006</v>
      </c>
      <c r="AA117" s="3">
        <f>2295.5+(1432.9-1191.2)+(-3.512115+(-2.192337--1.822536))+0-419.1--0.641223000000024</f>
        <v>2114.8593070000002</v>
      </c>
      <c r="AB117" s="3">
        <f>2294+(1628.5-1468.8)+(-1.16994+(-0.830535--0.749088))+0-399--0.20348999999996</f>
        <v>2053.6521029999999</v>
      </c>
      <c r="AC117" s="3">
        <f>2281.4+(1804.6-1770.6)+(-3.490542+(-2.761038--2.709018))+0-400.6--0.612918000000023</f>
        <v>1911.8703560000001</v>
      </c>
      <c r="AD117">
        <f t="shared" si="1"/>
        <v>45577.805192</v>
      </c>
      <c r="AE117" s="3">
        <f>2302+(1363.6-1104.4)+(0+(0-0))+0-432-0</f>
        <v>2129.1999999999998</v>
      </c>
    </row>
    <row r="118" spans="1:31" s="2" customFormat="1" x14ac:dyDescent="0.25">
      <c r="A118">
        <v>89</v>
      </c>
      <c r="B118">
        <v>4</v>
      </c>
      <c r="C118">
        <v>25</v>
      </c>
      <c r="D118">
        <v>7</v>
      </c>
      <c r="E118">
        <v>1</v>
      </c>
      <c r="F118" s="3">
        <f>2274.2+(2041.5-1940)+(3.479526+(3.123495-2.9682))+0-409-0.625770000000024</f>
        <v>1969.7090509999998</v>
      </c>
      <c r="G118" s="3">
        <f>2221.2+(2143.6-2099.5)+(-1.132812+(-1.093236--1.070745))+0-419.5--0.213944999999957</f>
        <v>1844.8586419999997</v>
      </c>
      <c r="H118" s="3">
        <f>2034.4+(2132.9-2005.8)+(1.037544+(1.087779-1.022958))+0-419.9-0.214148999999957</f>
        <v>1742.4882160000002</v>
      </c>
      <c r="I118" s="3">
        <f>1778.7+(1972.3-1674.7)+(0.907137+(1.005873-0.854097))+0-411.2-0.209711999999958</f>
        <v>1665.9492010000001</v>
      </c>
      <c r="J118" s="3">
        <f>1572.9+(1928.7-1518.7)+(-2.406537+(-2.950911--2.323611))+0-416.4--0.637092000000024</f>
        <v>1564.103255</v>
      </c>
      <c r="K118" s="3">
        <f>1542.6+(1820.2-1399.7)+(-4.720356+(-5.569812--4.283082))+0-418.6--1.28091600000005</f>
        <v>1539.7738300000001</v>
      </c>
      <c r="L118" s="3">
        <f>1541.8+(2157.1-1736.9)+(-3.93159+(-5.500605--4.429095))+0-402.1--1.02535499999994</f>
        <v>1555.9222549999997</v>
      </c>
      <c r="M118" s="3">
        <f>1541.9+(1879.2-1572)+(0+(0-0))+0-400.2-0</f>
        <v>1448.9</v>
      </c>
      <c r="N118" s="3">
        <f>1618.7+(1587.9-1336.2)+(-1.651074+(-1.619658--1.362924))+0-417.1--0.425442000000067</f>
        <v>1451.8176340000002</v>
      </c>
      <c r="O118" s="3">
        <f>1619+(1570.1-1159.1)+(-1.65138+(-1.601502--1.182282))+0-422.5--0.430950000000067</f>
        <v>1605.8603500000002</v>
      </c>
      <c r="P118" s="3">
        <f>1685.7+(1874.3-1331.4)+(-0.859707+(-0.955893--0.679014))+0-411.6--0.209915999999958</f>
        <v>1816.0733299999999</v>
      </c>
      <c r="Q118" s="3">
        <f>1728.5+(2123.8-1628.1)+(-1.76307+(-2.166276--1.660662))+0-404.5--0.412590000000065</f>
        <v>1817.8439060000003</v>
      </c>
      <c r="R118" s="3">
        <f>1861.9+(1799.4-1593.3)+(-0.949569+(-0.917694--0.812583))+37.5-355.1--0.181100999999964</f>
        <v>1749.5264209999998</v>
      </c>
      <c r="S118" s="3">
        <f>1861.4+(1963-1701.4)+(-0.949314+(-1.00113--0.867714))+75-355.8--0.181457999999964</f>
        <v>1841.298728</v>
      </c>
      <c r="T118" s="3">
        <f>1816.4+(2311.4-1887.4)+(1.852728+(2.357628-1.925148))+75-361.6-0.368832000000058</f>
        <v>1955.7163759999999</v>
      </c>
      <c r="U118" s="3">
        <f>1794.7+(2410.7-2006.6)+(-1.830594+(-2.458914--2.046732))+75-355.9--0.363018000000057</f>
        <v>1916.0202420000001</v>
      </c>
      <c r="V118" s="3">
        <f>1805.1+(2432.1-2056)+(1.841202+(2.480742-2.09712))+75-354.3-0.361386000000057</f>
        <v>1903.7634379999997</v>
      </c>
      <c r="W118" s="3">
        <f>1978.4+(2170.2-1954.7)+(-2.017968+(-2.213604--1.993794))+0-356.4--0.363528000000057</f>
        <v>1835.6257499999995</v>
      </c>
      <c r="X118" s="3">
        <f>2152.9+(1686.2-1815.6)+(-7.685853+(-6.019734--6.481692))+0-413--1.47441000000001</f>
        <v>1604.7505150000002</v>
      </c>
      <c r="Y118" s="3">
        <f>2191.3+(1428.4-1542.5)+(2.235126+(1.456968-1.57335))+0-410.6-0.418812000000066</f>
        <v>1668.2999320000001</v>
      </c>
      <c r="Z118" s="3">
        <f>2277.6+(1757.7-1674.2)+(-3.484728+(-2.689281--2.561526))+0-410.8--0.628524000000024</f>
        <v>1947.316041</v>
      </c>
      <c r="AA118" s="3">
        <f>2286.2+(1738.9-1632.8)+(-2.331924+(-1.773678--1.665456))+0-416.9--0.425238000000066</f>
        <v>1973.3850920000002</v>
      </c>
      <c r="AB118" s="3">
        <f>2283.5+(1646.5-1605.9)+(0+(0-0))+0-401.1-0</f>
        <v>1923</v>
      </c>
      <c r="AC118" s="3">
        <f>2279.4+(1808.3-1705.5)+(-2.324988+(-1.844466--1.73961))+0-411.7--0.419934000000066</f>
        <v>1968.49009</v>
      </c>
      <c r="AD118">
        <f t="shared" si="1"/>
        <v>42310.492294999996</v>
      </c>
      <c r="AE118" s="3">
        <f>2295+(1782.4-1664.1)+(0+(0-0))+0-423.4-0</f>
        <v>1989.9</v>
      </c>
    </row>
    <row r="119" spans="1:31" s="2" customFormat="1" x14ac:dyDescent="0.25">
      <c r="A119">
        <v>89</v>
      </c>
      <c r="B119">
        <v>4</v>
      </c>
      <c r="C119">
        <v>26</v>
      </c>
      <c r="D119">
        <v>1</v>
      </c>
      <c r="E119">
        <v>1</v>
      </c>
      <c r="F119" s="3">
        <f>2278.1+(1943.2-2179.8)+(-3.485493+(-2.973096--3.335094))+0-439.3--0.672129000000025</f>
        <v>1599.7486339999998</v>
      </c>
      <c r="G119" s="3">
        <f>2113.8+(1749.5-2053.1)+(-3.234114+(-2.676735--3.141243))+0-426.6--0.652698000000025</f>
        <v>1381.4830920000002</v>
      </c>
      <c r="H119" s="3">
        <f>1757.3+(1815.7-1941.9)+(-0.896223+(-0.926007--0.990369))+0-440.5--0.224654999999955</f>
        <v>1189.992794</v>
      </c>
      <c r="I119" s="3">
        <f>1660+(1932.9-1948.3)+(-5.0796+(-5.914674--5.961798))+0-443.7--1.35772200000005</f>
        <v>1197.225246</v>
      </c>
      <c r="J119" s="3">
        <f>1556+(1760.6-1719.6)+(-1.58712+(-1.795812--1.753992))+0-457.2--0.466344000000073</f>
        <v>1138.6374040000001</v>
      </c>
      <c r="K119" s="3">
        <f>1556.3+(1562.5-1507.1)+(-3.174852+(-3.1875--3.074484))+0-461.1--0.94064399999998</f>
        <v>1148.252776</v>
      </c>
      <c r="L119" s="3">
        <f>1557.3+(1478.7-1458.4)+(-3.971115+(-3.770685--3.71892))+0-426.2--1.08680999999994</f>
        <v>1148.4639299999999</v>
      </c>
      <c r="M119" s="3">
        <f>1556.5+(1348.2-1140.4)+(0.793815+(0.687582-0.581604))+0-453.4-0.231233999999954</f>
        <v>1311.5685590000003</v>
      </c>
      <c r="N119" s="3">
        <f>1560.2+(1490.5-1173.2)+(0+(0-0))+0-465.7-0</f>
        <v>1411.8</v>
      </c>
      <c r="O119" s="3">
        <f>1743.2+(1845.7-1552.2)+(0.889032+(0.941307-0.791622))+0-477.2-0.243371999999952</f>
        <v>1560.295345</v>
      </c>
      <c r="P119" s="3">
        <f>2002.6+(1910.9-1707.7)+(1.021326+(0.974559-0.870927))+37.5-417.6-0.212975999999958</f>
        <v>1826.6119820000001</v>
      </c>
      <c r="Q119" s="3">
        <f>2215.9+(1647.4-1604.9)+(0+(0-0))+150-411.6-0</f>
        <v>1996.8000000000002</v>
      </c>
      <c r="R119" s="3">
        <f>2224.6+(1531.7-1536.5)+(0+(0-0))+150-378.6-0</f>
        <v>1991.2000000000003</v>
      </c>
      <c r="S119" s="3">
        <f>2221.7+(1484.7-1544.4)+(0+(0-0))+150-401.4-0</f>
        <v>1910.6</v>
      </c>
      <c r="T119" s="3">
        <f>2204.4+(1465.8-1463.9)+(1.124244+(0.747558-0.746589))+150-354.3-0.180692999999964</f>
        <v>2002.94452</v>
      </c>
      <c r="U119" s="3">
        <f>2188.2+(1448-1412.3)+(2.231964+(1.47696-1.440546))+150-375.5-0.38301000000006</f>
        <v>2000.2853679999998</v>
      </c>
      <c r="V119" s="3">
        <f>2205.7+(1504.4-1436.6)+(-1.124907+(-0.767244--0.732666))+100-371.9--0.189668999999962</f>
        <v>2000.6301839999996</v>
      </c>
      <c r="W119" s="3">
        <f>2161.4+(1413.6-1373.5)+(0+(0-0))+0-363.9-0</f>
        <v>1837.6</v>
      </c>
      <c r="X119" s="3">
        <f>1963.6+(1591.4-1350.5)+(-3.004308+(-2.434842--2.066265))+0-415.9--0.636327000000024</f>
        <v>1785.8634419999996</v>
      </c>
      <c r="Y119" s="3">
        <f>1944.8+(1406.5-1227.9)+(0+(0-0))+0-417-0</f>
        <v>1706.3999999999996</v>
      </c>
      <c r="Z119" s="3">
        <f>2119+(1295.2-1195.9)+(0+(0-0))+0-411.4-0</f>
        <v>1806.9</v>
      </c>
      <c r="AA119" s="3">
        <f>2285.7+(1233.3-1137.3)+(-3.497121+(-1.886949--1.740069))+0-401--0.613530000000023</f>
        <v>1977.6695289999998</v>
      </c>
      <c r="AB119" s="3">
        <f>2292.6+(1546.2-1492.7)+(-4.676904+(-3.154248--3.045108))+0-389.8--0.795191999999983</f>
        <v>1952.3091480000001</v>
      </c>
      <c r="AC119" s="3">
        <f>2202.4+(1781.4-1757)+(-4.492896+(-3.634056--3.58428))+0-441.3--0.900251999999981</f>
        <v>1781.8575800000001</v>
      </c>
      <c r="AD119">
        <f t="shared" si="1"/>
        <v>39665.139533000001</v>
      </c>
      <c r="AE119" s="3">
        <f>2276+(1457.5-1166.5)+(0+(0-0))+0-375.4-0</f>
        <v>2191.6</v>
      </c>
    </row>
    <row r="120" spans="1:31" s="2" customFormat="1" x14ac:dyDescent="0.25">
      <c r="A120">
        <v>89</v>
      </c>
      <c r="B120">
        <v>4</v>
      </c>
      <c r="C120">
        <v>27</v>
      </c>
      <c r="D120">
        <v>2</v>
      </c>
      <c r="E120">
        <v>1</v>
      </c>
      <c r="F120" s="3">
        <f>2153.4+(2443.5-2446.6)+(-4.392936+(-4.98474--4.991064))+0-420.3--0.857411999999982</f>
        <v>1726.4708000000005</v>
      </c>
      <c r="G120" s="3">
        <f>1905.3+(2370.1-2404.1)+(-0.971703+(-1.208751--1.226091))+0-436.5--0.222614999999956</f>
        <v>1434.0682519999998</v>
      </c>
      <c r="H120" s="3">
        <f>1626.2+(2198.8-2151.4)+(0+(0-0))+0-455.8-0</f>
        <v>1217.8000000000002</v>
      </c>
      <c r="I120" s="3">
        <f>1557+(2102.5-2024.5)+(-2.38221+(-3.216825--3.097485))+0-441.4--0.675342000000025</f>
        <v>1191.773792</v>
      </c>
      <c r="J120" s="3">
        <f>1555.8+(1901-1858.4)+(-1.586916+(-1.93902--1.895568))+0-442.4--0.451248000000071</f>
        <v>1154.82088</v>
      </c>
      <c r="K120" s="3">
        <f>1556.1+(1783.5-1646.2)+(-3.968055+(-4.547925--4.19781))+0-454.6--1.15922999999993</f>
        <v>1235.6410599999997</v>
      </c>
      <c r="L120" s="3">
        <f>1554.5+(1907.1-1722.5)+(-3.17118+(-3.890484--3.5139))+0-449.1--0.91616399999998</f>
        <v>1287.3684000000001</v>
      </c>
      <c r="M120" s="3">
        <f>1552.9+(1729-1521.2)+(-0.791979+(-0.88179--0.775812))+0-447.4--0.228173999999955</f>
        <v>1312.6302169999999</v>
      </c>
      <c r="N120" s="3">
        <f>1554.2+(1718.4-1425.1)+(-1.585284+(-1.752768--1.453602))+0-457.8--0.466956000000073</f>
        <v>1388.2825060000002</v>
      </c>
      <c r="O120" s="3">
        <f>1672+(1647.4-1338.9)+(0.85272+(0.840174-0.682839))+0-443.4-0.226133999999955</f>
        <v>1537.8839210000001</v>
      </c>
      <c r="P120" s="3">
        <f>2049.4+(1761.8-1560.5)+(1.045194+(0.898518-0.795855))+0-442.6-0.225725999999955</f>
        <v>1809.0221309999999</v>
      </c>
      <c r="Q120" s="3">
        <f>2215.6+(1540.7-1407.7)+(2.259912+(1.571514-1.435854))+0-441.2-0.45002400000007</f>
        <v>1909.3455479999998</v>
      </c>
      <c r="R120" s="3">
        <f>2218.3+(1195.7-1186.4)+(1.131333+(0.609807-0.605064))+0-411.5-0.209864999999958</f>
        <v>1817.0262110000001</v>
      </c>
      <c r="S120" s="3">
        <f>2218.5+(1304-1291.6)+(1.131435+(0.66504-0.658716))+0-452.8-0.230927999999954</f>
        <v>1779.0068310000004</v>
      </c>
      <c r="T120" s="3">
        <f>2217.8+(1152.5-1144.5)+(2.262156+(1.17555-1.16739))+0-408.2-0.416364000000065</f>
        <v>1819.4539520000001</v>
      </c>
      <c r="U120" s="3">
        <f>2107.5+(1129.3-954.9)+(2.14965+(1.151886-0.973998))+0-407.6-0.415752000000065</f>
        <v>1876.2117860000001</v>
      </c>
      <c r="V120" s="3">
        <f>2077+(1103.8-867)+(1.05927+(0.562938-0.44217))+0-409-0.208589999999959</f>
        <v>1905.7714480000002</v>
      </c>
      <c r="W120" s="3">
        <f>2091+(1056.4-940.3)+(0+(0-0))+0-402-0</f>
        <v>1805.1000000000004</v>
      </c>
      <c r="X120" s="3">
        <f>2079.4+(1297.6-1148.3)+(-3.181482+(-1.985328--1.756899))+0-392.1--0.599913000000023</f>
        <v>1833.7900019999997</v>
      </c>
      <c r="Y120" s="3">
        <f>2119.3+(1094.7-1127.6)+(-1.080843+(-0.558297--0.575076))+0-395--0.20144999999996</f>
        <v>1690.5373860000004</v>
      </c>
      <c r="Z120" s="3">
        <f>2208.9+(1473.7-1348.9)+(1.126539+(0.751587-0.687939))+0-396.9-0.20241899999996</f>
        <v>1937.7877679999999</v>
      </c>
      <c r="AA120" s="3">
        <f>2294.3+(1156.1-1134.2)+(0+(0-0))+0-400-0</f>
        <v>1916.1999999999998</v>
      </c>
      <c r="AB120" s="3">
        <f>2294+(1326.7-1365)+(-4.67976+(-2.706468--2.7846))+0-401.1--0.818243999999983</f>
        <v>1850.8166160000001</v>
      </c>
      <c r="AC120" s="3">
        <f>2229.4+(1759.6-1815.7)+(-2.273988+(-1.794792--1.852014))+0-451--0.460020000000072</f>
        <v>1720.5432540000002</v>
      </c>
      <c r="AD120">
        <f t="shared" si="1"/>
        <v>39157.352761000002</v>
      </c>
      <c r="AE120" s="3">
        <f>2294+(1220.1-974.3)+(0+(0-0))+0-218.7-0</f>
        <v>2321.1000000000004</v>
      </c>
    </row>
    <row r="121" spans="1:31" s="2" customFormat="1" x14ac:dyDescent="0.25">
      <c r="A121">
        <v>89</v>
      </c>
      <c r="B121">
        <v>4</v>
      </c>
      <c r="C121">
        <v>28</v>
      </c>
      <c r="D121">
        <v>3</v>
      </c>
      <c r="E121">
        <v>1</v>
      </c>
      <c r="F121" s="3">
        <f>2132.7+(2418.5-2450.9)+(-3.263031+(-3.700305--3.749877))+0-435.6--0.666468000000025</f>
        <v>1662.1530089999999</v>
      </c>
      <c r="G121" s="3">
        <f>1963.7+(2680.3-2762.2)+(-2.002974+(-2.733906--2.817444))+0-452.5--0.461550000000072</f>
        <v>1427.8421140000005</v>
      </c>
      <c r="H121" s="3">
        <f>1625.1+(2356.9-2370.3)+(-3.315204+(-4.808076--4.835412))+0-453.2--0.92452799999998</f>
        <v>1156.1366599999999</v>
      </c>
      <c r="I121" s="3">
        <f>1545.2+(2156.4-2017.6)+(-2.364156+(-3.299292--3.086928))+0-451.7--0.691101000000026</f>
        <v>1230.4145810000002</v>
      </c>
      <c r="J121" s="3">
        <f>1545+(2012.4-1876.9)+(-1.5759+(-2.052648--1.914438))+0-450.9--0.459918000000072</f>
        <v>1228.345808</v>
      </c>
      <c r="K121" s="3">
        <f>1545.6+(1857.4-1687.6)+(-3.153024+(-3.789096--3.442704))+0-440.8--0.899231999999981</f>
        <v>1271.999816</v>
      </c>
      <c r="L121" s="3">
        <f>1550+(1785.8-1618.5)+(-3.162+(-3.643032--3.30174))+0-413.6--0.843743999999982</f>
        <v>1301.040452</v>
      </c>
      <c r="M121" s="3">
        <f>1548.7+(1700.6-1494)+(-2.369511+(-2.601918--2.28582))+0-410.3--0.627759000000024</f>
        <v>1342.9421499999999</v>
      </c>
      <c r="N121" s="3">
        <f>1553.6+(1821.6-1433.5)+(0.792336+(0.929016-0.731085))+0-414.3-0.211292999999958</f>
        <v>1528.1789739999997</v>
      </c>
      <c r="O121" s="3">
        <f>1733.1+(1527.7-1289.1)+(0.883881+(0.779127-0.657441))+0-413.7-0.210986999999958</f>
        <v>1558.79458</v>
      </c>
      <c r="P121" s="3">
        <f>2005.5+(1369.6-1285.4)+(0+(0-0))+0-388.7-0</f>
        <v>1700.9999999999998</v>
      </c>
      <c r="Q121" s="3">
        <f>2229+(823.5-866.3)+(1.13679+(0.419985-0.441813))+0-372.7-0.190076999999962</f>
        <v>1814.4248849999999</v>
      </c>
      <c r="R121" s="3">
        <f>2235.5+(546.8-521.2)+(-1.140105+(-0.278868--0.265812))+0-362.2--0.184721999999963</f>
        <v>1897.9315609999996</v>
      </c>
      <c r="S121" s="3">
        <f>2232.6+(460.8-447.5)+(-1.138626+(-0.235008--0.228225))+0-366.3--0.186812999999963</f>
        <v>1878.641404</v>
      </c>
      <c r="T121" s="3">
        <f>2230.7+(453.1-353.5)+(2.275314+(0.462162-0.36057))+0-370.8-0.378216000000059</f>
        <v>1961.4986899999997</v>
      </c>
      <c r="U121" s="3">
        <f>2231.3+(521.6-398.7)+(1.137963+(0.266016-0.203337))+0-364.2-0.185741999999963</f>
        <v>1991.0149000000001</v>
      </c>
      <c r="V121" s="3">
        <f>2227.5+(523.8-441.2)+(-2.27205+(-0.534276--0.450024))+0-361.2--0.368424000000058</f>
        <v>1946.9121219999997</v>
      </c>
      <c r="W121" s="3">
        <f>2177.1+(539.8-443.2)+(-4.441284+(-1.101192--0.904128))+0-361.4--0.737255999999984</f>
        <v>1908.3989079999997</v>
      </c>
      <c r="X121" s="3">
        <f>2092.9+(912.5-887.5)+(-4.269516+(-1.8615--1.8105))+0-371.1--0.757043999999984</f>
        <v>1743.2365279999999</v>
      </c>
      <c r="Y121" s="3">
        <f>2090.4+(1131-1063.4)+(0+(0-0))+0-379.3-0</f>
        <v>1778.7</v>
      </c>
      <c r="Z121" s="3">
        <f>2240.1+(1050.6-947.2)+(1.142451+(0.535806-0.483072))+0-389.7-0.19874699999996</f>
        <v>1954.7964380000001</v>
      </c>
      <c r="AA121" s="3">
        <f>2296.2+(662.9-604.5)+(-2.342124+(-0.676158--0.61659))+0-397.8--0.405756000000063</f>
        <v>1954.8040640000002</v>
      </c>
      <c r="AB121" s="3">
        <f>2298.8+(970.7-980.3)+(-1.172388+(-0.495057--0.499953))+0-399.3--0.203642999999959</f>
        <v>1888.9361510000003</v>
      </c>
      <c r="AC121" s="3">
        <f>2289.9+(1532.9-1605.6)+(0+(0-0))+0-447.8-0</f>
        <v>1769.4000000000003</v>
      </c>
      <c r="AD121">
        <f t="shared" si="1"/>
        <v>39897.543795000012</v>
      </c>
      <c r="AE121" s="3">
        <f>2291+(733-470.2)+(0+(0-0))+0-399.7-0</f>
        <v>2154.1000000000004</v>
      </c>
    </row>
    <row r="122" spans="1:31" s="2" customFormat="1" x14ac:dyDescent="0.25">
      <c r="A122">
        <v>89</v>
      </c>
      <c r="B122">
        <v>4</v>
      </c>
      <c r="C122">
        <v>29</v>
      </c>
      <c r="D122">
        <v>4</v>
      </c>
      <c r="E122">
        <v>1</v>
      </c>
      <c r="F122" s="3">
        <f>2276.2+(2395.6-2182.3)+(-4.643448+(-4.887024--4.451892))+0-450.4--0.91881599999998</f>
        <v>2034.9402359999995</v>
      </c>
      <c r="G122" s="3">
        <f>2061.7+(2398-2197.3)+(-6.308802+(-7.33788--6.723738))+0-404.2--1.23685200000005</f>
        <v>1852.5139079999997</v>
      </c>
      <c r="H122" s="3">
        <f>1594.1+(2010.9-1490.6)+(-2.438973+(-3.076677--2.280618))+0-442.1--0.676413000000026</f>
        <v>1669.7413810000003</v>
      </c>
      <c r="I122" s="3">
        <f>1557.6+(1878.5-1471.2)+(-2.383128+(-2.874105--2.250936))+0-443--0.677790000000026</f>
        <v>1519.5714929999999</v>
      </c>
      <c r="J122" s="3">
        <f>1556.6+(1887.6-1441.5)+(1.587732+(1.925352-1.47033))+0-450.8-0.459816000000072</f>
        <v>1553.4829379999999</v>
      </c>
      <c r="K122" s="3">
        <f>1559.1+(2041.1-1544.7)+(-1.590282+(-2.081922--1.575594))+0-456.4--0.465528000000073</f>
        <v>1597.468918</v>
      </c>
      <c r="L122" s="3">
        <f>1555.8+(1975-1544.3)+(-4.760748+(-6.0435--4.725558))+0-441.9--1.35221400000005</f>
        <v>1539.8735240000001</v>
      </c>
      <c r="M122" s="3">
        <f>1553.6+(2093.8-1575.3)+(0.792336+(1.067838-0.803403))+0-416.6-0.212465999999958</f>
        <v>1656.3443050000005</v>
      </c>
      <c r="N122" s="3">
        <f>1557.3+(2090.3-1457.5)+(0.794223+(1.066053-0.743325))+0-445.1-0.227000999999955</f>
        <v>1745.8899500000005</v>
      </c>
      <c r="O122" s="3">
        <f>1676.6+(2118.2-1507.5)+(1.710132+(2.160564-1.53765))+0-445.6-0.454512000000071</f>
        <v>1843.578534</v>
      </c>
      <c r="P122" s="3">
        <f>2058.2+(1553.1-1308.7)+(2.099364+(1.584162-1.334874))+0-390.7-0.398514000000062</f>
        <v>1913.8501379999996</v>
      </c>
      <c r="Q122" s="3">
        <f>2221.9+(1064.9-911.7)+(1.133169+(0.543099-0.464967))+0-398.6-0.20328599999996</f>
        <v>1977.5080150000003</v>
      </c>
      <c r="R122" s="3">
        <f>2217.2+(780.3-587.7)+(3.392316+(1.193859-0.899181))+0-444.2-0.679626000000026</f>
        <v>1968.6073679999997</v>
      </c>
      <c r="S122" s="3">
        <f>2174.5+(676.4-466.9)+(1.108995+(0.344964-0.238119))+0-441.7-0.225266999999955</f>
        <v>1943.2905729999998</v>
      </c>
      <c r="T122" s="3">
        <f>2115.1+(567.1-301.5)+(4.314804+(1.156884-0.61506))+0-402.8-0.821711999999982</f>
        <v>1981.9349159999999</v>
      </c>
      <c r="U122" s="3">
        <f>2056.9+(594.5-275.6)+(1.049019+(0.303195-0.140556))+0-400.2-0.204101999999959</f>
        <v>1976.6075560000004</v>
      </c>
      <c r="V122" s="3">
        <f>2045.6+(661.6-357.5)+(-1.043256+(-0.337416--0.182325))+0-395.2--0.20155199999996</f>
        <v>1953.5032049999998</v>
      </c>
      <c r="W122" s="3">
        <f>2037.5+(799.5-410.8)+(-3.117375+(-1.223235--0.628524))+0-396.1--0.606033000000023</f>
        <v>2026.9939469999999</v>
      </c>
      <c r="X122" s="3">
        <f>2038+(1360.9-903.8)+(-3.11814+(-2.082177--1.382814))+0-404.7--0.619191000000023</f>
        <v>2087.2016880000006</v>
      </c>
      <c r="Y122" s="3">
        <f>2084.7+(1428.5-1141)+(-3.189591+(-2.185605--1.74573))+0-405.2--0.619956000000023</f>
        <v>1963.9904899999999</v>
      </c>
      <c r="Z122" s="3">
        <f>2224.7+(1376.8-1037.7)+(0+(0-0))+0-409.3-0</f>
        <v>2154.4999999999995</v>
      </c>
      <c r="AA122" s="3">
        <f>2248.1+(802.1-522.5)+(-1.146531+(-0.409071--0.266475))+0-407.7--0.207926999999959</f>
        <v>2118.9187999999999</v>
      </c>
      <c r="AB122" s="3">
        <f>2268.4+(1149-795.7)+(-2.313768+(-1.17198--0.811614))+0-407--0.415140000000065</f>
        <v>2212.441006</v>
      </c>
      <c r="AC122" s="3">
        <f>2268.2+(1702.8-1398.9)+(2.313564+(1.736856-1.426878))+0-444.9-0.453798000000071</f>
        <v>2129.3697439999992</v>
      </c>
      <c r="AD122">
        <f t="shared" si="1"/>
        <v>45422.122632999984</v>
      </c>
      <c r="AE122" s="3">
        <f>2248+(732.4-484.3)+(0+(0-0))+0-407.9-0</f>
        <v>2088.1999999999998</v>
      </c>
    </row>
    <row r="123" spans="1:31" s="2" customFormat="1" x14ac:dyDescent="0.25">
      <c r="A123">
        <v>89</v>
      </c>
      <c r="B123">
        <v>4</v>
      </c>
      <c r="C123">
        <v>30</v>
      </c>
      <c r="D123">
        <v>5</v>
      </c>
      <c r="E123">
        <v>1</v>
      </c>
      <c r="F123" s="3">
        <f>2259.5+(2391.8-2337.2)+(0+(0-0))+0-413.4-0</f>
        <v>1900.7000000000003</v>
      </c>
      <c r="G123" s="3">
        <f>2116+(2536.3-2489)+(-1.07916+(-1.293513--1.26939))+0-460.9--0.235058999999953</f>
        <v>1701.531776</v>
      </c>
      <c r="H123" s="3">
        <f>1611.9+(2245-1915.4)+(0.822069+(1.14495-0.976854))+0-451.5-0.230264999999954</f>
        <v>1490.7599</v>
      </c>
      <c r="I123" s="3">
        <f>1462.6+(2114.8-1620.3)+(-0.745926+(-1.078548--0.826353))+0-454.2--0.231641999999954</f>
        <v>1502.133521</v>
      </c>
      <c r="J123" s="3">
        <f>1463.8+(1930.6-1433.2)+(-1.493076+(-1.969212--1.461864))+0-462.5--0.471750000000074</f>
        <v>1497.1713259999999</v>
      </c>
      <c r="K123" s="3">
        <f>1463.9+(2033-1477.7)+(-0.746589+(-1.03683--0.753627))+0-457.3--0.233222999999954</f>
        <v>1561.103431</v>
      </c>
      <c r="L123" s="3">
        <f>1463.7+(1874.9-1419)+(-0.746487+(-0.956199--0.72369))+0-464.2--0.236741999999953</f>
        <v>1454.6577460000001</v>
      </c>
      <c r="M123" s="3">
        <f>1540+(1744.7-1233.5)+(-0.7854+(-0.889797--0.629085))+0-469.2--0.239291999999952</f>
        <v>1581.1931799999998</v>
      </c>
      <c r="N123" s="3">
        <f>1563.8+(1991.1-1324.1)+(-0.797538+(-1.015461--0.675291))+0-450.5--0.229754999999954</f>
        <v>1779.3920469999998</v>
      </c>
      <c r="O123" s="3">
        <f>1655.1+(1867.7-1163.1)+(0+(0-0))+0-448.5-0</f>
        <v>1911.1999999999998</v>
      </c>
      <c r="P123" s="3">
        <f>1901.9+(1957.7-1442.6)+(-0.969969+(-0.998427--0.735726))+0-445.5--0.227204999999955</f>
        <v>1970.494535</v>
      </c>
      <c r="Q123" s="3">
        <f>2162.4+(1350.5-989.6)+(1.102824+(0.688755-0.504696))+0-449.5-0.229244999999954</f>
        <v>2074.8576380000004</v>
      </c>
      <c r="R123" s="3">
        <f>2170.6+(1066.3-806)+(-1.107006+(-0.543813--0.41106))+25-396--0.20195999999996</f>
        <v>2058.8622009999995</v>
      </c>
      <c r="S123" s="3">
        <f>2160.2+(1061.8-866.7)+(-1.101702+(-0.541518--0.442017))+75-397--0.20246999999996</f>
        <v>2032.3012669999996</v>
      </c>
      <c r="T123" s="3">
        <f>2113.8+(880.9-544)+(3.234114+(1.347777-0.83232))+75-392-0.599760000000023</f>
        <v>2136.849811</v>
      </c>
      <c r="U123" s="3">
        <f>2043.7+(741.9-383)+(0+(0-0))+75-364-0</f>
        <v>2113.6</v>
      </c>
      <c r="V123" s="3">
        <f>2007.4+(750.4-422)+(-1.023774+(-0.382704--0.21522))+75-365--0.186149999999963</f>
        <v>2044.7948920000003</v>
      </c>
      <c r="W123" s="3">
        <f>2081.7+(912.6-606.6)+(-3.185001+(-1.396278--0.928098))+50-365--0.558450000000021</f>
        <v>2069.6052689999997</v>
      </c>
      <c r="X123" s="3">
        <f>2120.2+(1206-1010.1)+(-3.243906+(-1.84518--1.545453))+0-406--0.621180000000023</f>
        <v>1907.1775470000002</v>
      </c>
      <c r="Y123" s="3">
        <f>2152.3+(1274.7-1095.1)+(1.097673+(0.650097-0.558501))+0-416.7-0.212516999999958</f>
        <v>1916.1767520000005</v>
      </c>
      <c r="Z123" s="3">
        <f>2224.9+(1436.1-1001.5)+(2.269398+(1.464822-1.02153))+0-416-0.424320000000066</f>
        <v>2245.7883699999998</v>
      </c>
      <c r="AA123" s="3">
        <f>2241.2+(885.6-617.8)+(-1.143012+(-0.451656--0.315078))+0-412.8--0.210527999999958</f>
        <v>2095.1309379999998</v>
      </c>
      <c r="AB123" s="3">
        <f>2268.7+(1201-871.4)+(-1.157037+(-0.61251--0.444414))+0-411.6--0.209915999999958</f>
        <v>2185.5847829999998</v>
      </c>
      <c r="AC123" s="3">
        <f>2285+(1603.5-1300.4)+(-2.3307+(-1.63557--1.326408))+0-460--0.469200000000073</f>
        <v>2125.9293379999999</v>
      </c>
      <c r="AD123">
        <f t="shared" si="1"/>
        <v>45356.99626800001</v>
      </c>
      <c r="AE123" s="3">
        <f>2250+(773.6-505.6)+(0+(0-0))+0-409.8-0</f>
        <v>2108.1999999999998</v>
      </c>
    </row>
    <row r="124" spans="1:31" s="2" customFormat="1" x14ac:dyDescent="0.25">
      <c r="A124">
        <v>89</v>
      </c>
      <c r="B124">
        <v>4</v>
      </c>
      <c r="C124">
        <v>31</v>
      </c>
      <c r="D124">
        <v>6</v>
      </c>
      <c r="E124">
        <v>1</v>
      </c>
      <c r="F124" s="3">
        <f>2280.7+(2338.6-2085.4)+(-2.326314+(-2.385372--2.127108))+0-406.3--0.414426000000065</f>
        <v>2125.4298479999998</v>
      </c>
      <c r="G124" s="3">
        <f>2028.8+(2637.5-2279.3)+(2.069376+(2.69025-2.324886))+0-425.7-0.434214000000068</f>
        <v>1963.300526</v>
      </c>
      <c r="H124" s="3">
        <f>1732.5+(2675.5-2199)+(-3.5343+(-5.45802--4.48596))+0-411.7--0.839867999999982</f>
        <v>1793.6335080000001</v>
      </c>
      <c r="I124" s="3">
        <f>1570.7+(2525.3-1911.9)+(-4.005285+(-6.439515--4.875345))+0-435.9--1.11154499999994</f>
        <v>1743.7420900000004</v>
      </c>
      <c r="J124" s="3">
        <f>1539.8+(2166.4-1631.7)+(0.785298+(1.104864-0.832167))+0-450.1-0.229550999999954</f>
        <v>1625.2284440000003</v>
      </c>
      <c r="K124" s="3">
        <f>1541.3+(2091.8-1646.1)+(-3.930315+(-5.33409--4.197555))+0-441.9--1.12684499999994</f>
        <v>1541.1599950000002</v>
      </c>
      <c r="L124" s="3">
        <f>1540.2+(2279.6-1750.7)+(-1.571004+(-2.325192--1.785714))+0-423--0.431460000000067</f>
        <v>1644.4209779999999</v>
      </c>
      <c r="M124" s="3">
        <f>1539.8+(2107.2-1630.1)+(-0.785298+(-1.074672--0.831351))+31.5-401.8--0.204917999999959</f>
        <v>1645.7762989999999</v>
      </c>
      <c r="N124" s="3">
        <f>1539.4+(1906-1349.9)+(0.785094+(0.97206-0.688449))+13.3-438.2-0.223481999999956</f>
        <v>1671.4452230000004</v>
      </c>
      <c r="O124" s="3">
        <f>1644+(2072.3-1443.6)+(0+(0-0))+0-438.9-0</f>
        <v>1833.8000000000002</v>
      </c>
      <c r="P124" s="3">
        <f>2012.9+(1629.1-1286.9)+(0+(0-0))+0-431.7-0</f>
        <v>1923.3999999999999</v>
      </c>
      <c r="Q124" s="3">
        <f>2215.1+(1239.4-1075.9)+(0+(0-0))+0-432.9-0</f>
        <v>1945.6999999999998</v>
      </c>
      <c r="R124" s="3">
        <f>2216.7+(1097-655.5)+(1.130517+(0.55947-0.334305))+0-437.2-0.222971999999956</f>
        <v>2222.1327099999999</v>
      </c>
      <c r="S124" s="3">
        <f>1974.9+(1214.9-728.2)+(1.007199+(0.619599-0.371382))+0-436.3-0.222512999999956</f>
        <v>2026.3329030000004</v>
      </c>
      <c r="T124" s="3">
        <f>1920.1+(1193.8-784.2)+(1.958502+(1.217676-0.799884))+0-391.6-0.399432000000062</f>
        <v>1940.0768619999999</v>
      </c>
      <c r="U124" s="3">
        <f>1870.2+(1190.5-771.6)+(0+(0-0))+0-378-0</f>
        <v>1911.1</v>
      </c>
      <c r="V124" s="3">
        <f>1843.2+(1302.5-861.5)+(0+(0-0))+0-378.1-0</f>
        <v>1906.1</v>
      </c>
      <c r="W124" s="3">
        <f>1856.2+(1636.5-1177.3)+(-1.893324+(-1.66923--1.200846))+0-388.6--0.396372000000062</f>
        <v>1924.8346640000004</v>
      </c>
      <c r="X124" s="3">
        <f>1965+(1889-1547.5)+(-6.0129+(-5.78034--4.73535))+0-388--1.18728000000004</f>
        <v>1912.6293900000001</v>
      </c>
      <c r="Y124" s="3">
        <f>2034.1+(1890-1675)+(-1.037391+(-0.9639--0.85425))+0-385.7--0.196706999999961</f>
        <v>1862.4496659999998</v>
      </c>
      <c r="Z124" s="3">
        <f>2175.6+(1857.8-1673.7)+(-4.438224+(-3.789912--3.414348))+0-385.4--0.786215999999983</f>
        <v>1970.2724279999998</v>
      </c>
      <c r="AA124" s="3">
        <f>2272.5+(1514.1-1315.4)+(-4.6359+(-3.088764--2.683416))+0-367.5--0.749699999999984</f>
        <v>2099.4084519999997</v>
      </c>
      <c r="AB124" s="3">
        <f>2288.7+(1503.5-1334.3)+(0+(0-0))+0-384.6-0</f>
        <v>2073.2999999999997</v>
      </c>
      <c r="AC124" s="3">
        <f>2288.6+(1693.8-1562.4)+(-2.334372+(-1.727676--1.593648))+0-385--0.392700000000061</f>
        <v>2032.9242999999999</v>
      </c>
      <c r="AD124">
        <f t="shared" si="1"/>
        <v>45338.598286000008</v>
      </c>
      <c r="AE124" s="3">
        <f>2281+(1370.5-1217.6)+(0+(0-0))+0-366.6-0</f>
        <v>2067.3000000000002</v>
      </c>
    </row>
    <row r="125" spans="1:31" s="2" customFormat="1" x14ac:dyDescent="0.25">
      <c r="A125">
        <v>89</v>
      </c>
      <c r="B125">
        <v>5</v>
      </c>
      <c r="C125">
        <v>1</v>
      </c>
      <c r="D125">
        <v>7</v>
      </c>
      <c r="E125">
        <v>1</v>
      </c>
      <c r="F125" s="3">
        <f>2230.1+(2277.4-2058.3)+(-1.137351+(-1.161474--1.049733))+0-386.5--0.197114999999961</f>
        <v>2061.6480229999997</v>
      </c>
      <c r="G125" s="3">
        <f>1914.6+(2523.9-2150.6)+(-5.858676+(-7.723134--6.580836))+0-388.6--1.18911600000004</f>
        <v>1893.4881420000002</v>
      </c>
      <c r="H125" s="3">
        <f>1677.4+(2641.6-2191.4)+(-4.27737+(-6.73608--5.58807))+0-388.8--0.991439999999944</f>
        <v>1734.3660599999998</v>
      </c>
      <c r="I125" s="3">
        <f>1556.9+(2544.3-2056.5)+(0.794019+(1.297593-1.048815))+0-387.7-0.197726999999961</f>
        <v>1657.8450700000003</v>
      </c>
      <c r="J125" s="3">
        <f>1558.5+(2271.3-1856.8)+(-0.794835+(-1.158363--0.946968))+0-389.1--0.198440999999961</f>
        <v>1583.0922110000001</v>
      </c>
      <c r="K125" s="3">
        <f>1555.8+(2170.5-1798.6)+(-1.586916+(-2.21391--1.834572))+0-385.3--0.393006000000061</f>
        <v>1540.8267520000002</v>
      </c>
      <c r="L125" s="3">
        <f>1555.9+(2566.7-2149.3)+(-0.793509+(-1.309017--1.096143))+0-384.7--0.196196999999961</f>
        <v>1587.7898139999998</v>
      </c>
      <c r="M125" s="3">
        <f>1554.1+(2509.8-2123.8)+(-0.792591+(-1.279998--1.083138))+0-376.2--0.191861999999962</f>
        <v>1563.1024109999998</v>
      </c>
      <c r="N125" s="3">
        <f>1550.2+(2372.6-2017.2)+(0+(0-0))+0-374.5-0</f>
        <v>1531.1</v>
      </c>
      <c r="O125" s="3">
        <f>1507.5+(2387.7-1924.5)+(0.768825+(1.217727-0.981495))+0-377.7-0.192626999999962</f>
        <v>1593.8124299999999</v>
      </c>
      <c r="P125" s="3">
        <f>1500.1+(2072.9-1619.8)+(-1.530102+(-2.114358--1.652196))+0-368.4--0.375768000000059</f>
        <v>1583.1835040000003</v>
      </c>
      <c r="Q125" s="3">
        <f>1566.4+(2462.3-1888.1)+(0.798864+(1.255773-0.962931))+0-373.8-0.190637999999962</f>
        <v>1767.7010680000005</v>
      </c>
      <c r="R125" s="3">
        <f>1886.5+(2614.4-2247.2)+(-1.92423+(-2.666688--2.292144))+0-377--0.38454000000006</f>
        <v>1874.7857660000004</v>
      </c>
      <c r="S125" s="3">
        <f>2032.6+(2646.2-2460.6)+(-1.036626+(-1.349562--1.254906))+0-376.6--0.192065999999962</f>
        <v>1840.6607840000001</v>
      </c>
      <c r="T125" s="3">
        <f>2174.5+(2798.8-2756.4)+(-2.21799+(-2.854776--2.811528))+0-377.5--0.38505000000006</f>
        <v>1837.5238120000001</v>
      </c>
      <c r="U125" s="3">
        <f>2196.3+(2871.7-2846.7)+(0+(0-0))+0-380.1-0</f>
        <v>1841.2000000000003</v>
      </c>
      <c r="V125" s="3">
        <f>2140.3+(2792.3-2754.6)+(0+(0-0))+0-378.8-0</f>
        <v>1799.2000000000005</v>
      </c>
      <c r="W125" s="3">
        <f>2056.2+(2739.3-2637.2)+(-4.194648+(-5.588172--5.379888))+0-379.4--0.773975999999983</f>
        <v>1775.2710440000001</v>
      </c>
      <c r="X125" s="3">
        <f>1965.9+(2379.8-2307.8)+(-2.005218+(-2.427396--2.353956))+0-383.8--0.391476000000061</f>
        <v>1652.4128180000002</v>
      </c>
      <c r="Y125" s="3">
        <f>2027.6+(2163-2135.5)+(0+(0-0))+0-397.9-0</f>
        <v>1657.1999999999998</v>
      </c>
      <c r="Z125" s="3">
        <f>2224.2+(2277.6-2215)+(-2.268684+(-2.323152--2.2593))+0-396.9--0.404838000000063</f>
        <v>1887.9723019999999</v>
      </c>
      <c r="AA125" s="3">
        <f>2290.5+(2460.4-2286.9)+(0+(0-0))+0-383.3-0</f>
        <v>2080.6999999999998</v>
      </c>
      <c r="AB125" s="3">
        <f>2292+(2479.5-2369.9)+(-2.33784+(-2.52909--2.417298))+0-383.1--0.390762000000061</f>
        <v>2016.4411300000002</v>
      </c>
      <c r="AC125" s="3">
        <f>2292+(2677.1-2487.1)+(-1.16892+(-1.365321--1.268421))+0-429.2--0.218891999999956</f>
        <v>2051.753072</v>
      </c>
      <c r="AD125">
        <f t="shared" si="1"/>
        <v>42413.076213000008</v>
      </c>
      <c r="AE125" s="3">
        <f>2302+(2407.7-2297.8)+(0+(0-0))+0-394.7-0</f>
        <v>2017.1999999999996</v>
      </c>
    </row>
    <row r="126" spans="1:31" s="2" customFormat="1" x14ac:dyDescent="0.25">
      <c r="A126">
        <v>89</v>
      </c>
      <c r="B126">
        <v>5</v>
      </c>
      <c r="C126">
        <v>2</v>
      </c>
      <c r="D126">
        <v>1</v>
      </c>
      <c r="E126">
        <v>1</v>
      </c>
      <c r="F126" s="3">
        <f>2285.8+(2586.9-2623.1)+(-1.165758+(-1.319319--1.337781))+0-437.3--0.223022999999956</f>
        <v>1811.3757270000003</v>
      </c>
      <c r="G126" s="3">
        <f>2148.8+(2532-2531.6)+(1.095888+(1.29132-1.291116))+0-418.7-0.213536999999958</f>
        <v>1731.3825550000006</v>
      </c>
      <c r="H126" s="3">
        <f>1806.8+(2515.1-2276)+(0.921468+(1.282701-1.16076))+0-442.3-0.225572999999955</f>
        <v>1604.4178360000001</v>
      </c>
      <c r="I126" s="3">
        <f>1590.7+(2460.2-2065.2)+(-1.622514+(-2.509404--2.106504))+0-443.4--0.452268000000071</f>
        <v>1540.726854</v>
      </c>
      <c r="J126" s="3">
        <f>1580.3+(2163-1799.5)+(0+(0-0))+0-447.9-0</f>
        <v>1495.9</v>
      </c>
      <c r="K126" s="3">
        <f>1578.9+(2194.4-1796.9)+(-1.610478+(-2.238288--1.832838))+0-445.5--0.454410000000071</f>
        <v>1529.3384820000001</v>
      </c>
      <c r="L126" s="3">
        <f>1580.8+(2338.5-1916.1)+(0+(0-0))+0-442.4-0</f>
        <v>1560.8000000000002</v>
      </c>
      <c r="M126" s="3">
        <f>1573.3+(1944.5-1521.6)+(1.604766+(1.98339-1.552032))+0-441.6-0.45043200000007</f>
        <v>1556.185692</v>
      </c>
      <c r="N126" s="3">
        <f>1656.3+(1724.1-1305.5)+(-1.689426+(-1.758582--1.33161))+0-431.2--0.439824000000069</f>
        <v>1642.0234259999995</v>
      </c>
      <c r="O126" s="3">
        <f>1915.3+(1955.1-1616.5)+(0+(0-0))+0-439.4-0</f>
        <v>1814.4999999999995</v>
      </c>
      <c r="P126" s="3">
        <f>2146+(1897.9-1722)+(1.09446+(0.967929-0.87822))+0-423.2-0.215831999999957</f>
        <v>1899.6683370000003</v>
      </c>
      <c r="Q126" s="3">
        <f>2228.5+(1788.7-1664.6)+(0+(0-0))+90-432-0</f>
        <v>2010.6000000000004</v>
      </c>
      <c r="R126" s="3">
        <f>2229.3+(1770.7-1648)+(1.136943+(0.903057-0.84048))+120-388.7-0.198236999999961</f>
        <v>2084.3012830000002</v>
      </c>
      <c r="S126" s="3">
        <f>2228.1+(1761.1-1688.2)+(1.136331+(0.898161-0.860982))+120-358.6-0.182885999999964</f>
        <v>2063.3906240000001</v>
      </c>
      <c r="T126" s="3">
        <f>2227+(1494.2-1412.1)+(1.13577+(0.762042-0.720171))+120-382.5-0.195074999999961</f>
        <v>2047.5825660000007</v>
      </c>
      <c r="U126" s="3">
        <f>2228.7+(1268.9-1172.5)+(1.136637+(0.647139-0.597975))+120-394.2-0.20104199999996</f>
        <v>2051.884759</v>
      </c>
      <c r="V126" s="3">
        <f>2226.4+(1328.6-1200)+(-4.541856+(-2.710344--2.448))+120-352.2--0.718487999999985</f>
        <v>2118.7142880000001</v>
      </c>
      <c r="W126" s="3">
        <f>2216+(1512.8-1322.7)+(-2.26032+(-1.543056--1.349154))+50-361.6--0.368832000000058</f>
        <v>2092.4146100000003</v>
      </c>
      <c r="X126" s="3">
        <f>2210+(1700.7-1567.5)+(-4.5084+(-3.469428--3.1977))+0-396.2--0.808247999999983</f>
        <v>1943.0281199999999</v>
      </c>
      <c r="Y126" s="3">
        <f>2226.9+(1448.9-1461.1)+(-2.271438+(-1.477878--1.490322))+0-401--0.409020000000064</f>
        <v>1811.8500260000005</v>
      </c>
      <c r="Z126" s="3">
        <f>2284.4+(1735.4-1609.9)+(-2.330088+(-1.770108--1.642098))+0-400.8--0.408816000000064</f>
        <v>2007.0507180000002</v>
      </c>
      <c r="AA126" s="3">
        <f>2296.4+(1547.8-1307.2)+(-1.171164+(-0.789378--0.666672))+0-398.9--0.20343899999996</f>
        <v>2137.0095689999998</v>
      </c>
      <c r="AB126" s="3">
        <f>2297+(1686.1-1468.9)+(0+(0-0))+0-397.1-0</f>
        <v>2117.1</v>
      </c>
      <c r="AC126" s="3">
        <f>2295.3+(1930.1-1715)+(-1.170603+(-0.984351--0.87465))+0-446.8--0.227867999999955</f>
        <v>2062.547564</v>
      </c>
      <c r="AD126">
        <f t="shared" si="1"/>
        <v>44733.793036000003</v>
      </c>
      <c r="AE126" s="3">
        <f>2295+(1530.3-1340.5)+(0+(0-0))+0-400.8-0</f>
        <v>2084</v>
      </c>
    </row>
    <row r="127" spans="1:31" s="2" customFormat="1" x14ac:dyDescent="0.25">
      <c r="A127">
        <v>89</v>
      </c>
      <c r="B127">
        <v>5</v>
      </c>
      <c r="C127">
        <v>3</v>
      </c>
      <c r="D127">
        <v>2</v>
      </c>
      <c r="E127">
        <v>1</v>
      </c>
      <c r="F127" s="3">
        <f>2286+(2534.1-2393.3)+(-3.49758+(-3.877173--3.661749))+0-447.2--0.684216000000026</f>
        <v>1976.5712119999996</v>
      </c>
      <c r="G127" s="3">
        <f>1994.7+(2406.9-2162.8)+(-4.069188+(-4.910076--4.412112))+0-439--0.895559999999981</f>
        <v>1796.128408</v>
      </c>
      <c r="H127" s="3">
        <f>1606.4+(2209.1-1752.8)+(-1.638528+(-2.253282--1.787856))+0-437.8--0.44655600000007</f>
        <v>1623.2426019999998</v>
      </c>
      <c r="I127" s="3">
        <f>1565.8+(1857.3-1438.7)+(0+(0-0))+0-444.6-0</f>
        <v>1539.7999999999997</v>
      </c>
      <c r="J127" s="3">
        <f>1565.5+(1697.8-1247.5)+(0+(0-0))+0-447.6-0</f>
        <v>1568.1999999999998</v>
      </c>
      <c r="K127" s="3">
        <f>1565.6+(1794.7-1290.9)+(-2.395368+(-2.745891--1.975077))+0-437.2--0.668916000000025</f>
        <v>1629.7027339999997</v>
      </c>
      <c r="L127" s="3">
        <f>1565.1+(1466.2-1124.4)+(0.798201+(0.747762-0.573444))+0-440.5-0.224654999999955</f>
        <v>1467.1478639999998</v>
      </c>
      <c r="M127" s="3">
        <f>1564.5+(1236.5-690.5)+(1.59579+(1.26123-0.70431))+0-408-0.416160000000065</f>
        <v>1704.2365499999999</v>
      </c>
      <c r="N127" s="3">
        <f>1563.5+(1238.5-690.5)+(1.59477+(1.26327-0.70431))+0-447-0.455940000000071</f>
        <v>1666.1977899999999</v>
      </c>
      <c r="O127" s="3">
        <f>1623.4+(1612-850.7)+(1.655868+(1.64424-0.867714))+0-421.2-0.429624000000067</f>
        <v>1965.5027699999996</v>
      </c>
      <c r="P127" s="3">
        <f>1952+(1792.9-1295.5)+(2.98656+(2.743137-1.982115))+0-402.2-0.615366000000023</f>
        <v>2050.3322160000002</v>
      </c>
      <c r="Q127" s="3">
        <f>2227.5+(1784.5-1489.9)+(0+(0-0))+0-436.9-0</f>
        <v>2085.1999999999998</v>
      </c>
      <c r="R127" s="3">
        <f>2233.6+(1536-1370.2)+(-2.278272+(-1.56672--1.397604))+0-429.9--0.438498000000069</f>
        <v>1967.4911099999995</v>
      </c>
      <c r="S127" s="3">
        <f>2232.7+(1484.1-1379.8)+(-1.138677+(-0.756891--0.703698))+0-432--0.220319999999956</f>
        <v>1904.0284499999998</v>
      </c>
      <c r="T127" s="3">
        <f>2232.9+(1307.4-1198.2)+(1.138779+(0.666774-0.611082))+0-399-0.20348999999996</f>
        <v>1944.0909810000003</v>
      </c>
      <c r="U127" s="3">
        <f>2232.8+(1198.7-1092.6)+(2.277456+(1.222674-1.114452))+0-396.8-0.404736000000063</f>
        <v>1944.0809420000007</v>
      </c>
      <c r="V127" s="3">
        <f>2234.5+(1252.3-1109.4)+(-1.139595+(-0.638673--0.565794))+0-398.2--0.20308199999996</f>
        <v>1978.1906079999997</v>
      </c>
      <c r="W127" s="3">
        <f>2233.1+(1606.9-1401.6)+(-5.694405+(-4.097595--3.57408))+0-396.7--1.01158499999994</f>
        <v>2036.493665</v>
      </c>
      <c r="X127" s="3">
        <f>2054.3+(1318.5-1133)+(-5.238465+(-3.362175--2.88915))+0-398.6--1.01642999999994</f>
        <v>1836.50494</v>
      </c>
      <c r="Y127" s="3">
        <f>2017.8+(965.2-743.2)+(-2.058156+(-0.984504--0.758064))+0-400.3--0.408306000000064</f>
        <v>1837.6237100000003</v>
      </c>
      <c r="Z127" s="3">
        <f>2266.1+(1708-1509.1)+(-3.467133+(-2.61324--2.308923))+0-401.1--0.613683000000023</f>
        <v>2060.7422329999999</v>
      </c>
      <c r="AA127" s="3">
        <f>2296.2+(1457-1219.3)+(-2.342124+(-1.48614--1.243686))+0-399.9--0.407898000000064</f>
        <v>2131.8233199999995</v>
      </c>
      <c r="AB127" s="3">
        <f>2295.4+(1512.6-1285.5)+(-1.170654+(-0.771426--0.655605))+0-401.5--0.204764999999959</f>
        <v>2119.9182900000001</v>
      </c>
      <c r="AC127" s="3">
        <f>2292.5+(1637.9-1456.7)+(0+(0-0))+0-449.8-0</f>
        <v>2023.8999999999999</v>
      </c>
      <c r="AD127">
        <f t="shared" si="1"/>
        <v>44857.150394999997</v>
      </c>
      <c r="AE127" s="3">
        <f>2292+(1513-1284.6)+(0+(0-0))+0-401.7-0</f>
        <v>2118.7000000000003</v>
      </c>
    </row>
    <row r="128" spans="1:31" s="2" customFormat="1" x14ac:dyDescent="0.25">
      <c r="A128">
        <v>89</v>
      </c>
      <c r="B128">
        <v>5</v>
      </c>
      <c r="C128">
        <v>4</v>
      </c>
      <c r="D128">
        <v>3</v>
      </c>
      <c r="E128">
        <v>1</v>
      </c>
      <c r="F128" s="3">
        <f>2166+(2235.1-2018.3)+(1.10466+(1.139901-1.029333))+0-443.6-0.226235999999955</f>
        <v>1940.1889920000003</v>
      </c>
      <c r="G128" s="3">
        <f>1800.2+(2409.4-2026.2)+(0.918102+(1.228794-1.033362))+0-453.8-0.231437999999954</f>
        <v>1730.4820960000002</v>
      </c>
      <c r="H128" s="3">
        <f>1604.3+(2035.6-1576.2)+(-0.818193+(-1.038156--0.803862))+0-451.5--0.230264999999954</f>
        <v>1611.3777779999998</v>
      </c>
      <c r="I128" s="3">
        <f>1586.5+(2008.4-1531.7)+(-2.427345+(-3.072852--2.343501))+0-453.2--0.693396000000026</f>
        <v>1607.5366999999999</v>
      </c>
      <c r="J128" s="3">
        <f>1555.3+(2017.9-1542.5)+(-2.379609+(-3.087387--2.360025))+0-458.1--0.700893000000027</f>
        <v>1570.1939220000002</v>
      </c>
      <c r="K128" s="3">
        <f>1554.8+(1976.6-1513.3)+(-1.585896+(-2.016132--1.543566))+0-444.6--0.453492000000071</f>
        <v>1571.8950300000001</v>
      </c>
      <c r="L128" s="3">
        <f>1556.3+(1889.2-1499)+(-2.381139+(-2.890476--2.29347))+0-448.6--0.686358000000026</f>
        <v>1495.608213</v>
      </c>
      <c r="M128" s="3">
        <f>1554+(1734.5-1311.5)+(0+(0-0))+0-430.4-0</f>
        <v>1546.6</v>
      </c>
      <c r="N128" s="3">
        <f>1555.1+(1830.2-1289.6)+(0.793101+(0.933402-0.657696))+0-393.1-0.20048099999996</f>
        <v>1703.4683260000002</v>
      </c>
      <c r="O128" s="3">
        <f>1515.2+(1939.4-1253.2)+(0+(0-0))+0-421.3-0</f>
        <v>1780.1000000000001</v>
      </c>
      <c r="P128" s="3">
        <f>1687.3+(1759-1281)+(0+(0-0))+0-439-0</f>
        <v>1726.3000000000002</v>
      </c>
      <c r="Q128" s="3">
        <f>2041+(1738.7-1418.3)+(0+(0-0))+0-398.2-0</f>
        <v>1963.2</v>
      </c>
      <c r="R128" s="3">
        <f>2084.4+(1461.7-1200.5)+(0+(0-0))+0-393.3-0</f>
        <v>1952.3000000000004</v>
      </c>
      <c r="S128" s="3">
        <f>2084.5+(1179-991.7)+(0+(0-0))+0-430.7-0</f>
        <v>1841.1000000000001</v>
      </c>
      <c r="T128" s="3">
        <f>2075.8+(1017.9-789)+(1.058658+(0.519129-0.40239))+0-398.5-0.20323499999996</f>
        <v>1907.1721620000003</v>
      </c>
      <c r="U128" s="3">
        <f>2052.3+(890.4-667.5)+(-1.046673+(-0.454104--0.340425))+0-385.1--0.196400999999961</f>
        <v>1889.1360490000004</v>
      </c>
      <c r="V128" s="3">
        <f>1988.2+(958.5-623.3)+(-2.027964+(-0.97767--0.635766))+0-388.7--0.396474000000062</f>
        <v>1932.7266059999999</v>
      </c>
      <c r="W128" s="3">
        <f>1998.7+(1322.5-969.6)+(-2.038674+(-1.34895--0.988992))+0-387--0.394740000000062</f>
        <v>1962.596108</v>
      </c>
      <c r="X128" s="3">
        <f>1907.1+(1757.5-1314)+(-3.890484+(-3.5853--2.68056))+0-384.2--0.783767999999983</f>
        <v>1962.3885439999999</v>
      </c>
      <c r="Y128" s="3">
        <f>1861.1+(1363.9-1023.8)+(-0.949161+(-0.695589--0.522138))+0-379.4--0.193493999999962</f>
        <v>1820.8708819999995</v>
      </c>
      <c r="Z128" s="3">
        <f>1945.2+(1486.1-1036.8)+(-0.992052+(-0.757911--0.528768))+0-384.7--0.196196999999961</f>
        <v>2008.7750019999999</v>
      </c>
      <c r="AA128" s="3">
        <f>2069.2+(1660.2-1181.4)+(-2.110584+(-1.693404--1.205028))+0-385.5--0.393210000000061</f>
        <v>2160.2942500000004</v>
      </c>
      <c r="AB128" s="3">
        <f>2128+(1896.5-1546.9)+(-1.08528+(-0.967215--0.788919))+0-385.4--0.196553999999961</f>
        <v>2091.1329780000001</v>
      </c>
      <c r="AC128" s="3">
        <f>2133+(2101.1-1813.6)+(0+(0-0))+0-379.3-0</f>
        <v>2041.2</v>
      </c>
      <c r="AD128">
        <f t="shared" si="1"/>
        <v>43816.643638000001</v>
      </c>
      <c r="AE128" s="3">
        <f>2030+(1587.8-1028.6)+(0+(0-0))+0-388-0</f>
        <v>2201.1999999999998</v>
      </c>
    </row>
    <row r="129" spans="1:31" s="2" customFormat="1" x14ac:dyDescent="0.25">
      <c r="A129">
        <v>89</v>
      </c>
      <c r="B129">
        <v>5</v>
      </c>
      <c r="C129">
        <v>5</v>
      </c>
      <c r="D129">
        <v>4</v>
      </c>
      <c r="E129">
        <v>3</v>
      </c>
      <c r="F129" s="3">
        <f>2130.1+(2320-2156.9)+(-2.172702+(-2.3664--2.200038))+0-384.1--0.391782000000061</f>
        <v>1907.1527180000003</v>
      </c>
      <c r="G129" s="3">
        <f>1998.6+(2674.4-2449.6)+(-5.09643+(-6.81972--6.24648))+0-392.1--0.999854999999943</f>
        <v>1826.630185</v>
      </c>
      <c r="H129" s="3">
        <f>1837.1+(2367.1-2185.8)+(-1.873842+(-2.414442--2.229516))+0-393--0.400860000000063</f>
        <v>1623.7420919999995</v>
      </c>
      <c r="I129" s="3">
        <f>1665.5+(2235.1-1943.3)+(0+(0-0))+0-377.1-0</f>
        <v>1580.1999999999998</v>
      </c>
      <c r="J129" s="3">
        <f>1392.7+(2248.2-1638.3)+(1.420554+(2.293164-1.671066))+0-382.6-0.390252000000061</f>
        <v>1621.6523999999999</v>
      </c>
      <c r="K129" s="3">
        <f>1338.5+(2486.7-1817.5)+(-2.047905+(-3.804651--2.780775))+0-387--0.592110000000022</f>
        <v>1618.2203289999998</v>
      </c>
      <c r="L129" s="3">
        <f>1339.4+(2122.3-1665)+(-2.049282+(-3.247119--2.54745))+0-386.8--0.591804000000022</f>
        <v>1407.7428530000002</v>
      </c>
      <c r="M129" s="3">
        <f>1339.6+(2084.3-1621.5)+(1.366392+(2.125986-1.65393))+0-388.3-0.396066000000062</f>
        <v>1415.5423820000001</v>
      </c>
      <c r="N129" s="3">
        <f>1425.7+(1993-1560.6)+(-1.454214+(-2.03286--1.591812))+0-383.4--0.391068000000061</f>
        <v>1473.1958060000004</v>
      </c>
      <c r="O129" s="3">
        <f>1458+(2000.2-1474.7)+(0.74358+(1.020102-0.752097))+0-380.8-0.194207999999961</f>
        <v>1603.5173770000001</v>
      </c>
      <c r="P129" s="3">
        <f>1613.9+(2254.1-1634.5)+(2.469267+(3.448773-2.500785))+0-382.1-0.584613000000022</f>
        <v>1854.2326419999999</v>
      </c>
      <c r="Q129" s="3">
        <f>2012.8+(2505.9-2224.1)+(1.026528+(1.278009-1.134291))+0-379.9-0.193748999999961</f>
        <v>1915.6764970000004</v>
      </c>
      <c r="R129" s="3">
        <f>2092.1+(2496.9-2415.6)+(0+(0-0))+0-378.1-0</f>
        <v>1795.3000000000002</v>
      </c>
      <c r="S129" s="3">
        <f>2033.2+(2254.7-2184.9)+(1.036932+(1.149897-1.114299))+0-377.6-0.192575999999962</f>
        <v>1726.2799540000001</v>
      </c>
      <c r="T129" s="3">
        <f>1949.6+(2138.4-1957.4)+(0.994296+(1.090584-0.998274))+0-384.3-0.195992999999961</f>
        <v>1747.1906129999998</v>
      </c>
      <c r="U129" s="3">
        <f>1959.8+(2052.1-1886.9)+(-1.998996+(-2.093142--1.924638))+0-389.8--0.397596000000062</f>
        <v>1733.430096</v>
      </c>
      <c r="V129" s="3">
        <f>1940.3+(1892.1-1743.9)+(-1.979106+(-1.929942--1.778778))+0-389.5--0.397290000000062</f>
        <v>1697.26702</v>
      </c>
      <c r="W129" s="3">
        <f>1913.5+(2117.4-1910.3)+(-4.879425+(-5.39937--4.871265))+0-393.1--1.00240499999994</f>
        <v>1723.0948750000005</v>
      </c>
      <c r="X129" s="3">
        <f>1907+(2470.3-2206.1)+(-4.86285+(-6.299265--5.625555))+0-393.4--1.00316999999994</f>
        <v>1773.2666100000001</v>
      </c>
      <c r="Y129" s="3">
        <f>1903+(2159.5-1989.1)+(0+(0-0))+0-397.6-0</f>
        <v>1675.8000000000002</v>
      </c>
      <c r="Z129" s="3">
        <f>2034.7+(2118.7-1907.5)+(1.037697+(1.080537-0.972825))+0-399.9-0.203948999999959</f>
        <v>1846.9414599999998</v>
      </c>
      <c r="AA129" s="3">
        <f>2068.7+(1450.2-1223.7)+(0+(0-0))+0-400.1-0</f>
        <v>1895.1</v>
      </c>
      <c r="AB129" s="3">
        <f>2101.7+(1727.5-1443.2)+(-1.071867+(-0.881025--0.736032))+0-394.8--0.20134799999996</f>
        <v>1990.1844880000001</v>
      </c>
      <c r="AC129" s="3">
        <f>2126+(1857.8-1641.8)+(0+(0-0))+0-404.3-0</f>
        <v>1937.7</v>
      </c>
      <c r="AD129">
        <f t="shared" ref="AD129:AD192" si="2">SUM(F129:AC129)</f>
        <v>41389.060396999994</v>
      </c>
      <c r="AE129" s="3">
        <f>2050+(1391.7-1174.8)+(0+(0-0))+0-400-0</f>
        <v>1866.9</v>
      </c>
    </row>
    <row r="130" spans="1:31" s="2" customFormat="1" x14ac:dyDescent="0.25">
      <c r="A130">
        <v>89</v>
      </c>
      <c r="B130">
        <v>5</v>
      </c>
      <c r="C130">
        <v>6</v>
      </c>
      <c r="D130">
        <v>5</v>
      </c>
      <c r="E130">
        <v>1</v>
      </c>
      <c r="F130" s="3">
        <f>2065.2+(2319.8-2117.6)+(0+(0-0))+0-395.3-0</f>
        <v>1872.1000000000001</v>
      </c>
      <c r="G130" s="3">
        <f>1853.3+(2471.8-2168)+(-1.890366+(-2.521236--2.21136))+0-391.1--0.398922000000062</f>
        <v>1764.1986800000006</v>
      </c>
      <c r="H130" s="3">
        <f>1575.5+(2363.6-1955.5)+(0+(0-0))+0-397.9-0</f>
        <v>1585.6999999999998</v>
      </c>
      <c r="I130" s="3">
        <f>1446.8+(2303.7-1810)+(0.737868+(1.174887-0.9231))+0-397.8-0.20287799999996</f>
        <v>1543.4867769999998</v>
      </c>
      <c r="J130" s="3">
        <f>1404.3+(2223.1-1692.4)+(0+(0-0))+0-398.4-0</f>
        <v>1536.6</v>
      </c>
      <c r="K130" s="3">
        <f>1402.2+(2245-1704.4)+(0+(0-0))+0-400.3-0</f>
        <v>1542.5</v>
      </c>
      <c r="L130" s="3">
        <f>1404.1+(1915.2-1455.8)+(0+(0-0))+0-400.2-0</f>
        <v>1463.3</v>
      </c>
      <c r="M130" s="3">
        <f>1402.2+(1505.3-1033)+(1.430244+(1.535406-1.05366))+0-395.5-0.403410000000063</f>
        <v>1480.5085799999999</v>
      </c>
      <c r="N130" s="3">
        <f>1422+(1719-1016.7)+(0.72522+(0.87669-0.518517))+0-398.2-0.20308199999996</f>
        <v>1726.980311</v>
      </c>
      <c r="O130" s="3">
        <f>1569.4+(1881.5-1221.6)+(0.800394+(0.959565-0.623016))+0-395.8-0.20185799999996</f>
        <v>1834.4350850000003</v>
      </c>
      <c r="P130" s="3">
        <f>1760.4+(1978.7-1430.4)+(-0.897804+(-1.009137--0.729504))+0-394.8--0.20134799999996</f>
        <v>1912.9239110000001</v>
      </c>
      <c r="Q130" s="3">
        <f>1835.6+(2044.4-1552)+(0.936156+(1.042644-0.79152))+100-394.7-0.20129699999996</f>
        <v>2034.285983</v>
      </c>
      <c r="R130" s="3">
        <f>1930.4+(1700.4-1412.1)+(0.984504+(0.867204-0.720171))+120-351.9-0.179468999999964</f>
        <v>1987.7520680000005</v>
      </c>
      <c r="S130" s="3">
        <f>2080.5+(1616.4-1515.1)+(1.061055+(0.824364-0.772701))+120-342.2-0.174521999999965</f>
        <v>1960.538196</v>
      </c>
      <c r="T130" s="3">
        <f>2077.2+(1459.2-1316.9)+(2.118744+(1.488384-1.343238))+120-351.4-0.358428000000056</f>
        <v>1990.0054620000001</v>
      </c>
      <c r="U130" s="3">
        <f>2050.3+(1316.4-1138.3)+(1.045653+(0.671364-0.580533))+120-351.3-0.179162999999964</f>
        <v>1998.0573210000007</v>
      </c>
      <c r="V130" s="3">
        <f>2052.8+(1340.4-1124.6)+(0+(0-0))+120-358.7-0</f>
        <v>2029.9000000000003</v>
      </c>
      <c r="W130" s="3">
        <f>2053.2+(1495-1255)+(-1.047132+(-0.76245--0.64005))+40-373.1--0.190280999999962</f>
        <v>1959.1207489999999</v>
      </c>
      <c r="X130" s="3">
        <f>2051.2+(1873.7-1597)+(-2.092224+(-1.911174--1.62894))+0-389.8--0.397596000000062</f>
        <v>1936.1231379999999</v>
      </c>
      <c r="Y130" s="3">
        <f>2053.1+(1681.2-1507.7)+(-1.047081+(-0.857412--0.768927))+0-394.9--0.20139899999996</f>
        <v>1830.7658329999999</v>
      </c>
      <c r="Z130" s="3">
        <f>2134.2+(2090-1790.3)+(-1.088442+(-1.0659--0.913053))+0-398.7--0.20333699999996</f>
        <v>2034.1620479999995</v>
      </c>
      <c r="AA130" s="3">
        <f>2153.9+(1646.9-1318)+(-3.295467+(-2.519757--2.01654))+0-395.3--0.604809000000023</f>
        <v>2084.3061250000001</v>
      </c>
      <c r="AB130" s="3">
        <f>2144+(2059.5-1688.7)+(-1.09344+(-1.050345--0.861237))+0-395.4--0.20165399999996</f>
        <v>2118.3191059999999</v>
      </c>
      <c r="AC130" s="3">
        <f>2095.5+(2631.8-2200.6)+(0+(0-0))+0-396.6-0</f>
        <v>2130.1000000000004</v>
      </c>
      <c r="AD130">
        <f t="shared" si="2"/>
        <v>44356.169373000012</v>
      </c>
      <c r="AE130" s="3">
        <f>2151+(1755-1418)+(0+(0-0))+0-395-0</f>
        <v>2093</v>
      </c>
    </row>
    <row r="131" spans="1:31" s="2" customFormat="1" x14ac:dyDescent="0.25">
      <c r="A131">
        <v>89</v>
      </c>
      <c r="B131">
        <v>5</v>
      </c>
      <c r="C131">
        <v>7</v>
      </c>
      <c r="D131">
        <v>6</v>
      </c>
      <c r="E131">
        <v>1</v>
      </c>
      <c r="F131" s="3">
        <f>2042+(2709.9-2481.1)+(-1.04142+(-1.382049--1.265361))+0-395.5--0.20170499999996</f>
        <v>1874.343597</v>
      </c>
      <c r="G131" s="3">
        <f>1817.5+(2751.9-2447.9)+(-3.7077+(-5.613876--4.993716))+0-391.2--0.798047999999983</f>
        <v>1726.770188</v>
      </c>
      <c r="H131" s="3">
        <f>1500.1+(2553.6-2067.7)+(-1.530102+(-2.604672--2.109054))+0-393.9--0.401778000000063</f>
        <v>1590.476058</v>
      </c>
      <c r="I131" s="3">
        <f>1401+(2445.9-1932)+(0+(0-0))+0-387.2-0</f>
        <v>1527.7</v>
      </c>
      <c r="J131" s="3">
        <f>1402.7+(2441.6-1865.9)+(0+(0-0))+0-393.1-0</f>
        <v>1585.2999999999997</v>
      </c>
      <c r="K131" s="3">
        <f>1401.4+(2465.7-1891.5)+(-1.429428+(-2.515014--1.92933))+0-390.4--0.398208000000062</f>
        <v>1583.5830959999998</v>
      </c>
      <c r="L131" s="3">
        <f>1400.9+(2482.2-1973.1)+(-4.286754+(-7.595532--6.037686))+0-390.9--1.19615400000005</f>
        <v>1514.451554</v>
      </c>
      <c r="M131" s="3">
        <f>1402.1+(2406.3-1868.7)+(0.715071+(1.227213-0.953037))+0-390.4-0.19910399999996</f>
        <v>1550.0901430000001</v>
      </c>
      <c r="N131" s="3">
        <f>1402.2+(2272.1-1669.4)+(2.145366+(3.476313-2.554182))+0-391.2-0.598536000000023</f>
        <v>1616.1689609999999</v>
      </c>
      <c r="O131" s="3">
        <f>1500.2+(2207.6-1448.5)+(0.765102+(1.125876-0.738735))+0-392.7-0.20027699999996</f>
        <v>1867.5519660000002</v>
      </c>
      <c r="P131" s="3">
        <f>1790.5+(2153.2-1653)+(-0.913155+(-1.098132--0.84303))+0-392.4--0.20012399999996</f>
        <v>1897.3318669999999</v>
      </c>
      <c r="Q131" s="3">
        <f>2036.3+(1905.2-1658.6)+(1.038513+(0.971652-0.845886))+0-389.4-0.19859399999996</f>
        <v>1894.4656850000001</v>
      </c>
      <c r="R131" s="3">
        <f>2078.4+(1572.7-1348.8)+(0+(0-0))+0-387.7-0</f>
        <v>1914.6000000000001</v>
      </c>
      <c r="S131" s="3">
        <f>2081.2+(1671.2-1506.2)+(-1.061412+(-0.852312--0.768162))+0-390.7--0.19925699999996</f>
        <v>1854.5536949999996</v>
      </c>
      <c r="T131" s="3">
        <f>2080.5+(1759.4-1586.6)+(0+(0-0))+0-374.7-0</f>
        <v>1878.6000000000001</v>
      </c>
      <c r="U131" s="3">
        <f>2081.1+(1807.3-1630.7)+(-1.061361+(-0.921723--0.831657))+0-391.6--0.19971599999996</f>
        <v>1865.148289</v>
      </c>
      <c r="V131" s="3">
        <f>2049.6+(1914.1-1741.8)+(-3.135888+(-2.928573--2.664954))+0-384.1--0.587673000000022</f>
        <v>1834.9881659999996</v>
      </c>
      <c r="W131" s="3">
        <f>1865.4+(2292.4-1909.8)+(-1.902708+(-2.338248--1.947996))+0-396.4--0.404328000000063</f>
        <v>1849.7113679999998</v>
      </c>
      <c r="X131" s="3">
        <f>1827.2+(2360-1940.7)+(-4.65936+(-6.018--4.948785))+0-391.9--0.999344999999943</f>
        <v>1849.8707699999998</v>
      </c>
      <c r="Y131" s="3">
        <f>1843.1+(2107.1-1800.7)+(-2.819943+(-3.223863--2.755071))+0-402.6--0.615978000000023</f>
        <v>1744.227243</v>
      </c>
      <c r="Z131" s="3">
        <f>2107.3+(2322.8-2057.6)+(0+(0-0))+0-404.7-0</f>
        <v>1967.8000000000004</v>
      </c>
      <c r="AA131" s="3">
        <f>2147.4+(2149.8-1831.5)+(-2.190348+(-2.192796--1.86813))+0-403.2--0.411264000000064</f>
        <v>2060.3962500000002</v>
      </c>
      <c r="AB131" s="3">
        <f>2151.3+(2294.2-2033.6)+(0+(0-0))+0-404.6-0</f>
        <v>2007.3000000000002</v>
      </c>
      <c r="AC131" s="3">
        <f>2151.4+(2579.3-2362.2)+(-3.291642+(-3.946329--3.614166))+0-404.7--0.619191000000023</f>
        <v>1960.7953860000002</v>
      </c>
      <c r="AD131">
        <f t="shared" si="2"/>
        <v>43016.224281999996</v>
      </c>
      <c r="AE131" s="3">
        <f>2137+(2136.1-1794.4)+(0+(0-0))+0-402.3-0</f>
        <v>2076.3999999999996</v>
      </c>
    </row>
    <row r="132" spans="1:31" s="2" customFormat="1" x14ac:dyDescent="0.25">
      <c r="A132">
        <v>89</v>
      </c>
      <c r="B132">
        <v>5</v>
      </c>
      <c r="C132">
        <v>8</v>
      </c>
      <c r="D132">
        <v>7</v>
      </c>
      <c r="E132">
        <v>1</v>
      </c>
      <c r="F132" s="3">
        <f>2055.4+(2686.5-2465.1)+(-5.24127+(-6.850575--6.286005))+0-403.6--1.02917999999994</f>
        <v>1868.4233400000003</v>
      </c>
      <c r="G132" s="3">
        <f>1954.1+(2544.2-2333.6)+(0.996591+(1.297542-1.190136))+0-389.6-0.19869599999996</f>
        <v>1776.0053010000001</v>
      </c>
      <c r="H132" s="3">
        <f>1557.7+(2574.3-2107.5)+(0+(0-0))+0-390.3-0</f>
        <v>1634.2000000000003</v>
      </c>
      <c r="I132" s="3">
        <f>1406.1+(2645.1-2024.8)+(-3.585555+(-6.745005--5.16324))+0-399.2--1.01795999999994</f>
        <v>1623.0506399999997</v>
      </c>
      <c r="J132" s="3">
        <f>1407.3+(2643.8-2076.9)+(-2.153169+(-4.045014--3.177657))+0-398.8--0.610164000000023</f>
        <v>1572.989638</v>
      </c>
      <c r="K132" s="3">
        <f>1412+(2587.7-2019.5)+(-5.04084+(-9.238089--7.209615))+0-397.8--1.42014600000001</f>
        <v>1576.7508319999997</v>
      </c>
      <c r="L132" s="3">
        <f>1411.1+(2184.5-1705.8)+(-2.878644+(-4.45638--3.479832))+0-396.8--0.809471999999983</f>
        <v>1489.9542799999999</v>
      </c>
      <c r="M132" s="3">
        <f>1408.9+(1998.9-1538.4)+(0.718539+(1.019439-0.784584))+0-397.3-0.20262299999996</f>
        <v>1472.8507710000001</v>
      </c>
      <c r="N132" s="3">
        <f>1410.8+(2270.8-1767.8)+(0+(0-0))+0-399.1-0</f>
        <v>1514.7000000000003</v>
      </c>
      <c r="O132" s="3">
        <f>1411.1+(2354.4-1753.6)+(0+(0-0))+0-394.9-0</f>
        <v>1617</v>
      </c>
      <c r="P132" s="3">
        <f>1410.4+(2336.4-1728.7)+(0.719304+(1.191564-0.881637))+0-386.1-0.196910999999961</f>
        <v>1632.83232</v>
      </c>
      <c r="Q132" s="3">
        <f>1603.8+(2626.2-2181.9)+(0.817938+(1.339362-1.112769))+0-386-0.196859999999961</f>
        <v>1662.9476709999994</v>
      </c>
      <c r="R132" s="3">
        <f>1811+(2789.5-2455.9)+(0+(0-0))+0-390.1-0</f>
        <v>1754.5</v>
      </c>
      <c r="S132" s="3">
        <f>1835.6+(2842.8-2538.6)+(-1.872312+(-2.899656--2.589372))+0-392.1--0.399942000000063</f>
        <v>1745.9173460000002</v>
      </c>
      <c r="T132" s="3">
        <f>1738.1+(2647.2-2260.4)+(0.886431+(1.350072-1.152804))+0-390.8-0.19930799999996</f>
        <v>1734.9843909999995</v>
      </c>
      <c r="U132" s="3">
        <f>1584.5+(2509.5-1979.4)+(-2.424285+(-3.839535--3.028482))+0-396.5--0.606645000000023</f>
        <v>1715.471307</v>
      </c>
      <c r="V132" s="3">
        <f>1584.2+(2621-2080.1)+(-0.807942+(-1.33671--1.060851))+0-395.4--0.20165399999996</f>
        <v>1728.817853</v>
      </c>
      <c r="W132" s="3">
        <f>1582.4+(2298.5-1776.6)+(-0.807024+(-1.172235--0.906066))+0-388.8--0.198287999999961</f>
        <v>1714.6250950000001</v>
      </c>
      <c r="X132" s="3">
        <f>1579.9+(1859.7-1360.2)+(-4.028745+(-4.742235--3.46851))+0-401.9--1.02484499999994</f>
        <v>1673.2223749999998</v>
      </c>
      <c r="Y132" s="3">
        <f>1607.3+(1662.9-1211.7)+(-1.639446+(-1.696158--1.235934))+0-405.6--0.413712000000065</f>
        <v>1651.2140420000001</v>
      </c>
      <c r="Z132" s="3">
        <f>1864.8+(2055.9-1680.7)+(-2.853144+(-3.145527--2.571471))+0-403.3--0.617049000000023</f>
        <v>1833.8898489999999</v>
      </c>
      <c r="AA132" s="3">
        <f>1895.3+(2127.8-1632.1)+(-5.799618+(-6.511068--4.994226))+0-401--1.22706000000005</f>
        <v>1983.9105999999999</v>
      </c>
      <c r="AB132" s="3">
        <f>1902.5+(1963.1-1520.2)+(-1.94055+(-2.002362--1.550604))+0-399.7--0.407694000000064</f>
        <v>1943.7153859999996</v>
      </c>
      <c r="AC132" s="3">
        <f>1731.1+(2360.9-1797.7)+(-0.882861+(-1.204059--0.916827))+0-402--0.205019999999959</f>
        <v>1891.3349269999999</v>
      </c>
      <c r="AD132">
        <f t="shared" si="2"/>
        <v>40813.307963999992</v>
      </c>
      <c r="AE132" s="3">
        <f>1882+(1942.3-1457.9)+(0+(0-0))+0-400.3-0</f>
        <v>1966.0999999999997</v>
      </c>
    </row>
    <row r="133" spans="1:31" s="2" customFormat="1" x14ac:dyDescent="0.25">
      <c r="A133">
        <v>89</v>
      </c>
      <c r="B133">
        <v>5</v>
      </c>
      <c r="C133">
        <v>9</v>
      </c>
      <c r="D133">
        <v>1</v>
      </c>
      <c r="E133">
        <v>1</v>
      </c>
      <c r="F133" s="3">
        <f>1462.1+(2364.2-1652.2)+(-2.982684+(-4.822968--3.370488))+0-404.9--0.825995999999982</f>
        <v>1765.5908319999994</v>
      </c>
      <c r="G133" s="3">
        <f>1412.2+(2124.6-1482.3)+(-4.321332+(-6.501276--4.535838))+0-406.3--1.24327800000005</f>
        <v>1643.156508</v>
      </c>
      <c r="H133" s="3">
        <f>1411.3+(2289.3-1717.6)+(-2.879052+(-4.670172--3.503904))+0-405.4--0.827015999999982</f>
        <v>1574.3816960000001</v>
      </c>
      <c r="I133" s="3">
        <f>1412.9+(2381.8-1834.3)+(-1.441158+(-2.429436--1.870986))+0-404.7--0.412794000000065</f>
        <v>1554.1131860000003</v>
      </c>
      <c r="J133" s="3">
        <f>1412.1+(2207.1-1668.5)+(1.440342+(2.251242-1.70187))+0-405.8-0.413916000000065</f>
        <v>1546.4757979999999</v>
      </c>
      <c r="K133" s="3">
        <f>1413.1+(2252.6-1738.3)+(0.720681+(1.148826-0.886533))+0-404.4-0.206243999999959</f>
        <v>1523.77673</v>
      </c>
      <c r="L133" s="3">
        <f>1414.7+(2209.6-1727.4)+(0+(0-0))+0-401.8-0</f>
        <v>1495.1</v>
      </c>
      <c r="M133" s="3">
        <f>1412.8+(1983.8-1434.8)+(0+(0-0))+0-405.8-0</f>
        <v>1556</v>
      </c>
      <c r="N133" s="3">
        <f>1411.5+(1922.2-1254.7)+(-1.43973+(-1.960644--1.279794))+0-398.3--0.406266000000064</f>
        <v>1678.9856860000002</v>
      </c>
      <c r="O133" s="3">
        <f>1452.2+(2002.1-1273.3)+(-1.481244+(-2.042142--1.298766))+0-400.5--0.408510000000064</f>
        <v>1778.68389</v>
      </c>
      <c r="P133" s="3">
        <f>1587+(2033.4-1368)+(2.42811+(3.111102-2.09304))+0-405.9-0.621027000000023</f>
        <v>1849.325145</v>
      </c>
      <c r="Q133" s="3">
        <f>1586.2+(2073.5-1334.7)+(1.617924+(2.11497-1.361394))+0-404.6-0.412692000000065</f>
        <v>1922.3588080000002</v>
      </c>
      <c r="R133" s="3">
        <f>1669.7+(1923.9-1254.4)+(0+(0-0))+0-406.2-0</f>
        <v>1932.9999999999998</v>
      </c>
      <c r="S133" s="3">
        <f>2004.7+(2169.6-1870.5)+(-3.067191+(-3.319488--2.861865))+0-404.3--0.618579000000023</f>
        <v>1896.5937650000003</v>
      </c>
      <c r="T133" s="3">
        <f>2077.3+(1993.8-1735.4)+(-1.059423+(-1.016838--0.885054))+0-402.1--0.205070999999959</f>
        <v>1932.6138639999999</v>
      </c>
      <c r="U133" s="3">
        <f>2078.5+(1892.7-1624.6)+(-1.060035+(-0.965277--0.828546))+0-402.9--0.205478999999959</f>
        <v>1942.7087130000002</v>
      </c>
      <c r="V133" s="3">
        <f>2068+(1866.9-1591.1)+(-1.05468+(-0.952119--0.811461))+0-394.3--0.20109299999996</f>
        <v>1948.5057550000001</v>
      </c>
      <c r="W133" s="3">
        <f>1888.3+(2144.2-1722.1)+(-1.926066+(-2.187084--1.756542))+0-387.9--0.395658000000062</f>
        <v>1920.5390499999996</v>
      </c>
      <c r="X133" s="3">
        <f>1780.7+(2172-1721.7)+(-3.632628+(-4.43088--3.512268))+0-373--0.760919999999984</f>
        <v>1854.2096800000002</v>
      </c>
      <c r="Y133" s="3">
        <f>1781.2+(2073.1-1652.9)+(0+(0-0))+0-376-0</f>
        <v>1825.3999999999996</v>
      </c>
      <c r="Z133" s="3">
        <f>2068.1+(2250-1930.5)+(-1.054731+(-1.1475--0.984555))+0-393--0.20042999999996</f>
        <v>1993.5827539999996</v>
      </c>
      <c r="AA133" s="3">
        <f>2148.9+(2084.8-1734.8)+(-3.287817+(-3.189744--2.654244))+0-397.8--0.608634000000023</f>
        <v>2097.8853170000007</v>
      </c>
      <c r="AB133" s="3">
        <f>1992.8+(2016.5-1581.9)+(-2.032656+(-2.05683--1.613538))+0-406--0.414120000000065</f>
        <v>2019.338172</v>
      </c>
      <c r="AC133" s="3">
        <f>1854.8+(2269.2-1758.4)+(-1.891896+(-2.314584--1.793568))+0-407.7--0.415854000000065</f>
        <v>1955.9029419999997</v>
      </c>
      <c r="AD133">
        <f t="shared" si="2"/>
        <v>43208.228291000007</v>
      </c>
      <c r="AE133" s="3">
        <f>2142+(2125.8-1712.3)+(0+(0-0))+0-404.4-0</f>
        <v>2151.1</v>
      </c>
    </row>
    <row r="134" spans="1:31" s="2" customFormat="1" x14ac:dyDescent="0.25">
      <c r="A134">
        <v>89</v>
      </c>
      <c r="B134">
        <v>5</v>
      </c>
      <c r="C134">
        <v>10</v>
      </c>
      <c r="D134">
        <v>2</v>
      </c>
      <c r="E134">
        <v>1</v>
      </c>
      <c r="F134" s="3">
        <f>1654.7+(2577.2-2008.9)+(-3.375588+(-5.257488--4.098156))+0-404.4--0.824975999999982</f>
        <v>1814.8900559999997</v>
      </c>
      <c r="G134" s="3">
        <f>1522.1+(2695.2-2101.2)+(-3.881355+(-6.87276--5.35806))+0-406.4--1.03631999999994</f>
        <v>1705.3402649999996</v>
      </c>
      <c r="H134" s="3">
        <f>1379.3+(2444.8-1788.2)+(0.703443+(1.246848-0.911982))+0-408.1-0.208130999999959</f>
        <v>1628.6301780000003</v>
      </c>
      <c r="I134" s="3">
        <f>1381.4+(2371.8-1741.1)+(-2.113542+(-3.628854--2.663883))+0-403.4--0.617202000000023</f>
        <v>1606.2386890000005</v>
      </c>
      <c r="J134" s="3">
        <f>1381.2+(2096.7-1500.6)+(-1.408824+(-2.138634--1.530612))+0-402.9--0.410958000000064</f>
        <v>1572.7941120000003</v>
      </c>
      <c r="K134" s="3">
        <f>1381+(2270.1-1696.2)+(-0.70431+(-1.157751--0.865062))+0-405.2--0.206651999999959</f>
        <v>1548.9096529999997</v>
      </c>
      <c r="L134" s="3">
        <f>1379.8+(2152.8-1619.6)+(-1.407396+(-2.195856--1.651992))+0-402--0.410040000000064</f>
        <v>1509.4587800000002</v>
      </c>
      <c r="M134" s="3">
        <f>1384.6+(1980.8-1404.2)+(0+(0-0))+0-403.4-0</f>
        <v>1557.7999999999997</v>
      </c>
      <c r="N134" s="3">
        <f>1386.9+(1959.4-1267.9)+(-1.414638+(-1.998588--1.293258))+0-398--0.405960000000063</f>
        <v>1678.6859920000002</v>
      </c>
      <c r="O134" s="3">
        <f>1410.3+(1678.1-942.7)+(-1.438506+(-1.711662--0.961554))+0-392.2--0.400044000000063</f>
        <v>1751.7114299999996</v>
      </c>
      <c r="P134" s="3">
        <f>1416.5+(2017.6-1196.5)+(-0.722415+(-1.028976--0.610215))+0-401.5--0.204764999999959</f>
        <v>1835.1635889999998</v>
      </c>
      <c r="Q134" s="3">
        <f>1582+(2324.6-1614.1)+(-1.61364+(-2.371092--1.646382))+0-400.6--0.408612000000064</f>
        <v>1889.9702620000003</v>
      </c>
      <c r="R134" s="3">
        <f>1759.2+(2387.1-1839.7)+(-0.897192+(-1.217421--0.938247))+0-402.7--0.205376999999959</f>
        <v>1902.9290109999997</v>
      </c>
      <c r="S134" s="3">
        <f>1837.1+(2357.3-1942.9)+(-1.873842+(-2.404446--1.981758))+0-403.7--0.411774000000064</f>
        <v>1845.915244</v>
      </c>
      <c r="T134" s="3">
        <f>1855.7+(2068.4-1667.9)+(-1.892814+(-2.109768--1.701258))+0-402.7--0.410754000000064</f>
        <v>1851.6094299999997</v>
      </c>
      <c r="U134" s="3">
        <f>1954.5+(2205.8-1862.7)+(-0.996795+(-1.124958--0.949977))+0-403.4--0.205733999999959</f>
        <v>1893.233958</v>
      </c>
      <c r="V134" s="3">
        <f>1959.7+(1883.5-1543.2)+(-2.998341+(-2.881755--2.361096))+0-403.7--0.617661000000023</f>
        <v>1893.3986610000002</v>
      </c>
      <c r="W134" s="3">
        <f>1853+(2077-1650.6)+(-3.78012+(-4.23708--3.367224))+0-403.8--0.823751999999982</f>
        <v>1871.773776</v>
      </c>
      <c r="X134" s="3">
        <f>1833.5+(1689.7-1292)+(-5.61051+(-5.170482--3.95352))+5.4-405.9--1.24205400000005</f>
        <v>1825.1145819999999</v>
      </c>
      <c r="Y134" s="3">
        <f>1928.6+(2027.2-1775.4)+(-3.934344+(-4.135488--3.621816))+6.8-404.8--0.825791999999982</f>
        <v>1778.7777760000001</v>
      </c>
      <c r="Z134" s="3">
        <f>2193.2+(1992.9-1790.7)+(0+(0-0))+0-408.9-0</f>
        <v>1986.4999999999995</v>
      </c>
      <c r="AA134" s="3">
        <f>2138.7+(1332.7-988.2)+(-4.362948+(-2.718708--2.015928))+0-406.4--0.829055999999982</f>
        <v>2072.5633279999997</v>
      </c>
      <c r="AB134" s="3">
        <f>1911.3+(1440.7-976)+(-2.924289+(-2.204271--1.49328))+0-405.1--0.619803000000023</f>
        <v>1967.8845230000002</v>
      </c>
      <c r="AC134" s="3">
        <f>1710.5+(1382.1-803.4)+(-2.617065+(-2.114613--1.229202))+0-409.2--0.626076000000024</f>
        <v>1877.1235999999997</v>
      </c>
      <c r="AD134">
        <f t="shared" si="2"/>
        <v>42866.416895000002</v>
      </c>
      <c r="AE134" s="3">
        <f>2222+(1404.6-1128)+(0+(0-0))+0-405.3-0</f>
        <v>2093.2999999999997</v>
      </c>
    </row>
    <row r="135" spans="1:31" s="2" customFormat="1" x14ac:dyDescent="0.25">
      <c r="A135">
        <v>89</v>
      </c>
      <c r="B135">
        <v>5</v>
      </c>
      <c r="C135">
        <v>11</v>
      </c>
      <c r="D135">
        <v>3</v>
      </c>
      <c r="E135">
        <v>1</v>
      </c>
      <c r="F135" s="3">
        <f>1685.7+(2210.4-1714.7)+(-4.298535+(-5.63652--4.372485))+0-401--1.02254999999994</f>
        <v>1775.85998</v>
      </c>
      <c r="G135" s="3">
        <f>1639.9+(2515.8-2082.6)+(-3.345396+(-5.132232--4.248504))+0-399.2--0.814367999999983</f>
        <v>1670.4852440000004</v>
      </c>
      <c r="H135" s="3">
        <f>1464.7+(2573.4-2027.9)+(-2.240991+(-3.937302--3.102687))+0-395.4--0.604962000000023</f>
        <v>1612.329356</v>
      </c>
      <c r="I135" s="3">
        <f>1420.2+(2599.1-2067.3)+(-2.172906+(-3.976623--3.162969))+0-398.4--0.609552000000023</f>
        <v>1551.2229919999997</v>
      </c>
      <c r="J135" s="3">
        <f>1419.1+(2079.2-1554.4)+(2.171223+(3.181176-2.378232))+0-406.7-0.622251000000024</f>
        <v>1539.5519159999997</v>
      </c>
      <c r="K135" s="3">
        <f>1417.1+(2193.4-1665.4)+(-2.168163+(-3.355902--2.548062))+0-405.2--0.619956000000023</f>
        <v>1537.5439529999999</v>
      </c>
      <c r="L135" s="3">
        <f>1415.7+(2296.1-1811.2)+(-3.610035+(-5.855055--4.61856))+0-403.2--1.02815999999994</f>
        <v>1493.5816299999997</v>
      </c>
      <c r="M135" s="3">
        <f>1415.2+(1924.7-1496.2)+(0+(0-0))+0-402.5-0</f>
        <v>1441.2</v>
      </c>
      <c r="N135" s="3">
        <f>1416.6+(2020.1-1358.5)+(0.722466+(1.030251-0.692835))+0-398.8-0.20338799999996</f>
        <v>1680.256494</v>
      </c>
      <c r="O135" s="3">
        <f>1411.5+(1841.5-1099.2)+(-1.43973+(-1.87833--1.121184))+0-375.5--0.38301000000006</f>
        <v>1776.4861340000002</v>
      </c>
      <c r="P135" s="3">
        <f>1402.7+(1778.1-965.1)+(0+(0-0))+0-376.1-0</f>
        <v>1839.6</v>
      </c>
      <c r="Q135" s="3">
        <f>1554.9+(1761.8-1037.9)+(0+(0-0))+0-364.2-0</f>
        <v>1914.6000000000001</v>
      </c>
      <c r="R135" s="3">
        <f>1688+(1643-1129.9)+(-0.86088+(-0.83793--0.576249))+0-364.3--0.185792999999963</f>
        <v>1835.8632319999997</v>
      </c>
      <c r="S135" s="3">
        <f>1716.2+(1683.8-1287.9)+(0+(0-0))+0-361-0</f>
        <v>1751.1</v>
      </c>
      <c r="T135" s="3">
        <f>1742.5+(1215.3-815.8)+(-1.77735+(-1.239606--0.832116))+0-364.2--0.371484000000058</f>
        <v>1775.9866440000001</v>
      </c>
      <c r="U135" s="3">
        <f>1752.5+(1137.5-725.1)+(-0.893775+(-0.580125--0.369801))+0-359.5--0.183344999999964</f>
        <v>1804.4792459999999</v>
      </c>
      <c r="V135" s="3">
        <f>1735.7+(1301.4-866.1)+(-1.770414+(-1.327428--0.883422))+0-363.8--0.371076000000058</f>
        <v>1805.3566560000004</v>
      </c>
      <c r="W135" s="3">
        <f>1735.4+(1375.6-943.4)+(-6.195378+(-4.910892--3.367938))+0-369.6--1.31947200000001</f>
        <v>1791.58114</v>
      </c>
      <c r="X135" s="3">
        <f>1734.9+(1370-984.2)+(-4.423995+(-3.4935--2.50971))+0-372.2--0.949109999999946</f>
        <v>1744.0413249999999</v>
      </c>
      <c r="Y135" s="3">
        <f>1739.2+(1209.2-854.6)+(-1.773984+(-1.233384--0.871692))+0-371.7--0.379134000000059</f>
        <v>1720.3434580000003</v>
      </c>
      <c r="Z135" s="3">
        <f>1997.5+(1315.7-1204.7)+(-2.03745+(-1.342014--1.228794))+0-381.1--0.388722000000061</f>
        <v>1725.6380520000002</v>
      </c>
      <c r="AA135" s="3">
        <f>2279.2+(1418.1-1619)+(-4.649568+(-2.892924--3.30276))+0-384--0.783359999999983</f>
        <v>1690.8436279999996</v>
      </c>
      <c r="AB135" s="3">
        <f>2274.1+(1674-1623.7)+(-4.639164+(-3.41496--3.312348))+0-381.9--0.779075999999983</f>
        <v>1938.5372999999997</v>
      </c>
      <c r="AC135" s="3">
        <f>2046.1+(1849.8-1647.5)+(0+(0-0))+0-383.3-0</f>
        <v>1865.0999999999997</v>
      </c>
      <c r="AD135">
        <f t="shared" si="2"/>
        <v>41281.588379999994</v>
      </c>
      <c r="AE135" s="3">
        <f>2279+(1587.6-1406.7)+(0+(0-0))+0-381.5-0</f>
        <v>2078.3999999999996</v>
      </c>
    </row>
    <row r="136" spans="1:31" s="2" customFormat="1" x14ac:dyDescent="0.25">
      <c r="A136">
        <v>89</v>
      </c>
      <c r="B136">
        <v>5</v>
      </c>
      <c r="C136">
        <v>12</v>
      </c>
      <c r="D136">
        <v>4</v>
      </c>
      <c r="E136">
        <v>1</v>
      </c>
      <c r="F136" s="3">
        <f>1780.3+(2353.6-1972)+(-0.907953+(-1.200336--1.00572))+0-382.4--0.195023999999961</f>
        <v>1778.5924549999993</v>
      </c>
      <c r="G136" s="3">
        <f>1741.7+(2283.7-1966.8)+(-1.776534+(-2.329374--2.006136))+0-379.5--0.387090000000061</f>
        <v>1677.3873180000001</v>
      </c>
      <c r="H136" s="3">
        <f>1512+(2042.8-1565.1)+(0.77112+(1.041828-0.798201))+0-383.4-0.195533999999961</f>
        <v>1607.1192129999999</v>
      </c>
      <c r="I136" s="3">
        <f>1401.2+(2107.1-1568.7)+(0+(0-0))+0-382.1-0</f>
        <v>1557.5</v>
      </c>
      <c r="J136" s="3">
        <f>1399.8+(2047.1-1518.8)+(-0.713898+(-1.044021--0.774588))+0-381.9--0.194768999999961</f>
        <v>1545.4114379999999</v>
      </c>
      <c r="K136" s="3">
        <f>1401+(2038.2-1537.2)+(1.42902+(2.078964-1.567944))+0-382.3-0.389946000000061</f>
        <v>1521.250094</v>
      </c>
      <c r="L136" s="3">
        <f>1401.6+(1808.2-1345.7)+(-2.144448+(-2.766546--2.058921))+0-382.4--0.585072000000022</f>
        <v>1479.4329989999999</v>
      </c>
      <c r="M136" s="3">
        <f>1419.4+(1460.4-957.2)+(-0.723894+(-0.744804--0.488172))+0-380.2--0.193901999999961</f>
        <v>1541.613376</v>
      </c>
      <c r="N136" s="3">
        <f>1548.4+(1389.7-880.9)+(0+(0-0))+0-372-0</f>
        <v>1685.2000000000003</v>
      </c>
      <c r="O136" s="3">
        <f>1577.1+(1374.9-834.6)+(0.804321+(0.701199-0.425646))+0-368-0.187679999999963</f>
        <v>1750.2921940000001</v>
      </c>
      <c r="P136" s="3">
        <f>1681.8+(1288.7-780.4)+(-1.715436+(-1.314474--0.796008))+0-372.9--0.380358000000059</f>
        <v>1815.346456</v>
      </c>
      <c r="Q136" s="3">
        <f>1823.8+(852.6-397.1)+(-0.930138+(-0.434826--0.202521))+0-373.2--0.190331999999962</f>
        <v>1905.1278889999999</v>
      </c>
      <c r="R136" s="3">
        <f>1902.3+(671.4-334)+(0+(0-0))+0-367.2-0</f>
        <v>1872.4999999999998</v>
      </c>
      <c r="S136" s="3">
        <f>1990.2+(623.1-421.8)+(0+(0-0))+0-367.9-0</f>
        <v>1823.6</v>
      </c>
      <c r="T136" s="3">
        <f>1988.2+(521.7-314.8)+(1.013982+(0.266067-0.160548))+0-368.4-0.187883999999963</f>
        <v>1827.631617</v>
      </c>
      <c r="U136" s="3">
        <f>1990.8+(531.7-331.5)+(1.015308+(0.271167-0.169065))+0-371.4-0.189413999999962</f>
        <v>1820.5279959999998</v>
      </c>
      <c r="V136" s="3">
        <f>1988.6+(550.6-340)+(1.014186+(0.280806-0.1734))+0-367.5-0.187424999999963</f>
        <v>1832.6341669999997</v>
      </c>
      <c r="W136" s="3">
        <f>1989.3+(635.7-429.9)+(0+(0-0))+0-370.6-0</f>
        <v>1824.5</v>
      </c>
      <c r="X136" s="3">
        <f>1988.5+(1037.1-842.5)+(-1.014135+(-0.528921--0.429675))+0-370.7--0.189056999999962</f>
        <v>1811.4756759999998</v>
      </c>
      <c r="Y136" s="3">
        <f>2036.9+(994.5-868.2)+(3.116457+(1.521585-1.328346))+0-373.9-0.572067000000022</f>
        <v>1792.0376289999995</v>
      </c>
      <c r="Z136" s="3">
        <f>2255.9+(1558.2-1456.2)+(1.150509+(0.794682-0.742662))+0-374.3-0.190892999999962</f>
        <v>1984.6116360000003</v>
      </c>
      <c r="AA136" s="3">
        <f>2282.6+(1616.7-1457.1)+(-3.492378+(-2.473551--2.229363))+0-378.8--0.579564000000022</f>
        <v>2060.2429979999997</v>
      </c>
      <c r="AB136" s="3">
        <f>2250.9+(1790.1-1671.8)+(-2.295918+(-1.825902--1.705236))+0-377.2--0.38474400000006</f>
        <v>1989.9681599999997</v>
      </c>
      <c r="AC136" s="3">
        <f>1993.1+(2054.1-1725.3)+(-5.082405+(-5.237955--4.399515))+0-381.8--0.973589999999945</f>
        <v>1935.1527449999996</v>
      </c>
      <c r="AD136">
        <f t="shared" si="2"/>
        <v>42439.156055999993</v>
      </c>
      <c r="AE136" s="3">
        <f>2276+(1654.3-1472)+(0+(0-0))+0-378.9-0</f>
        <v>2079.4</v>
      </c>
    </row>
    <row r="137" spans="1:31" s="2" customFormat="1" x14ac:dyDescent="0.25">
      <c r="A137">
        <v>89</v>
      </c>
      <c r="B137">
        <v>5</v>
      </c>
      <c r="C137">
        <v>13</v>
      </c>
      <c r="D137">
        <v>5</v>
      </c>
      <c r="E137">
        <v>1</v>
      </c>
      <c r="F137" s="3">
        <f>1811.8+(2435.2-2107.5)+(-1.848036+(-2.483904--2.14965))+0-384.2--0.391884000000061</f>
        <v>1753.5095939999999</v>
      </c>
      <c r="G137" s="3">
        <f>1661.4+(2253.7-1894.9)+(-1.694628+(-2.298774--1.932798))+0-382.4--0.390048000000061</f>
        <v>1636.1294439999999</v>
      </c>
      <c r="H137" s="3">
        <f>1551.7+(2069.2-1647.6)+(-0.791367+(-1.055292--0.840276))+0-381.2--0.194411999999961</f>
        <v>1591.2880290000001</v>
      </c>
      <c r="I137" s="3">
        <f>1466.7+(1926.2-1457.1)+(-2.992068+(-3.929448--2.972484))+0-382.2--0.779687999999983</f>
        <v>1550.4306560000002</v>
      </c>
      <c r="J137" s="3">
        <f>1464.2+(1742.6-1285.9)+(-3.73371+(-4.44363--3.279045))+0-379.7--0.968234999999945</f>
        <v>1537.2699399999999</v>
      </c>
      <c r="K137" s="3">
        <f>1463.3+(1729.3-1285)+(-2.985132+(-3.527772--2.6214))+0-380.7--0.776627999999983</f>
        <v>1523.785124</v>
      </c>
      <c r="L137" s="3">
        <f>1462.1+(1369.4-990.2)+(-2.982684+(-2.793576--2.020008))+0-382.6--0.780503999999983</f>
        <v>1455.7242520000002</v>
      </c>
      <c r="M137" s="3">
        <f>1463.1+(1105.8-658)+(1.492362+(1.127916-0.67116))+0-412-0.420240000000066</f>
        <v>1500.4288779999997</v>
      </c>
      <c r="N137" s="3">
        <f>1553.5+(1056.2-529.7)+(-0.792285+(-0.538662--0.270147))+0-422.4--0.215423999999957</f>
        <v>1656.7546239999997</v>
      </c>
      <c r="O137" s="3">
        <f>1615.8+(1105.3-549.8)+(-0.824058+(-0.563703--0.280398))+0-419.2--0.213791999999957</f>
        <v>1751.2064290000001</v>
      </c>
      <c r="P137" s="3">
        <f>1761+(1114.6-595.2)+(4.49055+(2.84223-1.51776))+0-438-1.11689999999994</f>
        <v>1847.0981199999997</v>
      </c>
      <c r="Q137" s="3">
        <f>1979+(1124.1-611.7)+(0+(0-0))+0-437-0</f>
        <v>2054.3999999999996</v>
      </c>
      <c r="R137" s="3">
        <f>2040.1+(1187.8-749.1)+(2.080902+(1.211556-0.764082))+0-435-0.443700000000069</f>
        <v>2045.8846759999999</v>
      </c>
      <c r="S137" s="3">
        <f>2050.3+(1055.1-865.9)+(-2.091306+(-1.076202--0.883218))+0-409.9--0.418098000000065</f>
        <v>1827.733808</v>
      </c>
      <c r="T137" s="3">
        <f>2050.1+(911.5-727.9)+(0+(0-0))+0-418.6-0</f>
        <v>1815.1</v>
      </c>
      <c r="U137" s="3">
        <f>2053.3+(870.3-715.1)+(0+(0-0))+0-367.9-0</f>
        <v>1840.6</v>
      </c>
      <c r="V137" s="3">
        <f>2049.3+(863-717.6)+(-1.045143+(-0.44013--0.365976))+0-375.3--0.191402999999962</f>
        <v>1818.4721060000002</v>
      </c>
      <c r="W137" s="3">
        <f>2050.7+(1238.6-1104.5)+(-2.091714+(-1.263372--1.12659))+0-381.4--0.389028000000061</f>
        <v>1801.5605319999995</v>
      </c>
      <c r="X137" s="3">
        <f>2055+(1629.2-1506.6)+(-4.1922+(-3.323568--3.073464))+0-379.6--0.774383999999984</f>
        <v>1794.3320800000004</v>
      </c>
      <c r="Y137" s="3">
        <f>2076.8+(1352.2-1255.1)+(-1.059168+(-0.689622--0.640101))+0-379.7--0.193646999999961</f>
        <v>1793.2849580000004</v>
      </c>
      <c r="Z137" s="3">
        <f>2273.4+(1595-1859.6)+(-3.478302+(-2.44035--2.845188))+0-382.3--0.584919000000022</f>
        <v>1624.0114550000003</v>
      </c>
      <c r="AA137" s="3">
        <f>2282.4+(1564.5-1798.2)+(-3.492072+(-2.393685--2.751246))+0-380--0.581400000000022</f>
        <v>1666.1468889999999</v>
      </c>
      <c r="AB137" s="3">
        <f>2278.9+(1852.4-2163.8)+(1.162239+(0.944724-1.103538))+0-380.4-0.194003999999961</f>
        <v>1587.9094210000003</v>
      </c>
      <c r="AC137" s="3">
        <f>2277.6+(1962.7-2239.1)+(-3.484728+(-3.002931--3.425823))+0-430.4--0.658512000000025</f>
        <v>1568.3966759999998</v>
      </c>
      <c r="AD137">
        <f t="shared" si="2"/>
        <v>41041.457690999996</v>
      </c>
      <c r="AE137" s="3">
        <f>2289+(1681.6-1528.9)+(0+(0-0))+0-382.1-0</f>
        <v>2059.6</v>
      </c>
    </row>
    <row r="138" spans="1:31" s="2" customFormat="1" x14ac:dyDescent="0.25">
      <c r="A138">
        <v>89</v>
      </c>
      <c r="B138">
        <v>5</v>
      </c>
      <c r="C138">
        <v>14</v>
      </c>
      <c r="D138">
        <v>6</v>
      </c>
      <c r="E138">
        <v>1</v>
      </c>
      <c r="F138" s="3">
        <f>2130+(2321.1-2211.4)+(-1.0863+(-1.183761--1.127814))+0-434.6--0.221645999999956</f>
        <v>1804.1793989999996</v>
      </c>
      <c r="G138" s="3">
        <f>1583+(2212.3-1787.8)+(-0.80733+(-1.128273--0.911778))+0-441.2--0.225011999999955</f>
        <v>1565.5011870000001</v>
      </c>
      <c r="H138" s="3">
        <f>1419.6+(2265.2-1726.6)+(-1.447992+(-2.310504--1.761132))+0-444.5--0.453390000000071</f>
        <v>1512.1560259999999</v>
      </c>
      <c r="I138" s="3">
        <f>1427.5+(2298.1-1795.4)+(-1.45605+(-2.344062--1.831308))+0-422.7--0.431154000000067</f>
        <v>1505.9623499999998</v>
      </c>
      <c r="J138" s="3">
        <f>1427.5+(2310.9-1824.1)+(-2.9121+(-4.714236--3.721164))+0-422.4--0.861695999999981</f>
        <v>1488.8565240000003</v>
      </c>
      <c r="K138" s="3">
        <f>1426+(2089.2-1664.5)+(-3.6363+(-5.32746--4.244475))+0-430.4--1.09751999999994</f>
        <v>1416.6782350000001</v>
      </c>
      <c r="L138" s="3">
        <f>1425.6+(1681.5-1268.7)+(-2.181168+(-2.572695--1.941111))+0-424.9--0.650097000000025</f>
        <v>1411.3373449999997</v>
      </c>
      <c r="M138" s="3">
        <f>1457.4+(1555.2-1121.7)+(-0.743274+(-0.793152--0.572067))+0-422.7--0.215576999999957</f>
        <v>1467.4512179999999</v>
      </c>
      <c r="N138" s="3">
        <f>1558.1+(1293.7-850.8)+(0.794631+(0.659787-0.433908))+0-415.6-0.211955999999958</f>
        <v>1586.208554</v>
      </c>
      <c r="O138" s="3">
        <f>1526+(1046.1-449.7)+(-0.77826+(-0.533511--0.229347))+0-422.5--0.215474999999957</f>
        <v>1699.0330509999994</v>
      </c>
      <c r="P138" s="3">
        <f>1706.2+(1014.5-523.6)+(0.870162+(0.517395-0.267036))+0-421.3-0.214862999999957</f>
        <v>1776.7056579999999</v>
      </c>
      <c r="Q138" s="3">
        <f>1837.6+(821.5-432.8)+(-0.937176+(-0.418965--0.220728))+0-424.8--0.216647999999957</f>
        <v>1800.5812349999997</v>
      </c>
      <c r="R138" s="3">
        <f>1963.8+(757.8-499.7)+(0+(0-0))+0-407.9-0</f>
        <v>1814</v>
      </c>
      <c r="S138" s="3">
        <f>1990.7+(801.8-622.8)+(-3.045771+(-1.226754--0.952884))+0-354--0.54162000000002</f>
        <v>1812.9219789999997</v>
      </c>
      <c r="T138" s="3">
        <f>1990.5+(697-601.1)+(0+(0-0))+0-338.8-0</f>
        <v>1747.6000000000001</v>
      </c>
      <c r="U138" s="3">
        <f>1993.8+(561.1-528.8)+(-5.08419+(-1.430805--1.34844))+0-345.7--0.88153499999995</f>
        <v>1676.1149799999998</v>
      </c>
      <c r="V138" s="3">
        <f>1991.8+(536.1-537.1)+(1.015818+(0.273411-0.273921))+0-353.7-0.180386999999964</f>
        <v>1637.934921</v>
      </c>
      <c r="W138" s="3">
        <f>1986.1+(1115.3-904.7)+(-3.038733+(-1.706409--1.384191))+0-364.7--0.557991000000021</f>
        <v>1829.1970399999998</v>
      </c>
      <c r="X138" s="3">
        <f>1989.7+(1379.1-1276.5)+(-4.058988+(-2.813364--2.60406))+0-364.4--0.743375999999984</f>
        <v>1724.3750839999998</v>
      </c>
      <c r="Y138" s="3">
        <f>2020+(1298.8-1237.4)+(-1.0302+(-0.662388--0.631074))+0-362.1--0.184670999999963</f>
        <v>1718.4231569999997</v>
      </c>
      <c r="Z138" s="3">
        <f>2266.6+(1512.2-1421.4)+(-3.467898+(-2.313666--2.174742))+0-357--0.546210000000021</f>
        <v>1997.3393879999994</v>
      </c>
      <c r="AA138" s="3">
        <f>2282+(1574.4-1542.1)+(-3.49146+(-2.408832--2.359413))+0-358--0.547740000000021</f>
        <v>1953.306861</v>
      </c>
      <c r="AB138" s="3">
        <f>2185.6+(1599.3-1515.1)+(-4.458624+(-3.262572--3.090804))+0-358--0.730319999999984</f>
        <v>1907.899928</v>
      </c>
      <c r="AC138" s="3">
        <f>2108.2+(2010.6-1828.8)+(-1.075182+(-1.025406--0.932688))+0-358--0.182579999999964</f>
        <v>1931.01468</v>
      </c>
      <c r="AD138">
        <f t="shared" si="2"/>
        <v>40784.778799999985</v>
      </c>
      <c r="AE138" s="3">
        <f>2287+(1508.3-1491.9)+(0+(0-0))+0-357-0</f>
        <v>1946.3999999999996</v>
      </c>
    </row>
    <row r="139" spans="1:31" s="2" customFormat="1" x14ac:dyDescent="0.25">
      <c r="A139">
        <v>89</v>
      </c>
      <c r="B139">
        <v>5</v>
      </c>
      <c r="C139">
        <v>15</v>
      </c>
      <c r="D139">
        <v>7</v>
      </c>
      <c r="E139">
        <v>1</v>
      </c>
      <c r="F139" s="3">
        <f>1975.2+(2152.8-1998)+(-3.022056+(-3.293784--3.05694))+0-362--0.553860000000021</f>
        <v>1765.2949600000002</v>
      </c>
      <c r="G139" s="3">
        <f>1700.7+(1801.2-1584.2)+(-2.602071+(-2.755836--2.423826))+0-362--0.553860000000021</f>
        <v>1553.3197789999999</v>
      </c>
      <c r="H139" s="3">
        <f>1524.8+(1785.7-1515)+(0+(0-0))+0-374-0</f>
        <v>1421.5</v>
      </c>
      <c r="I139" s="3">
        <f>1524.8+(1759.1-1340.9)+(-2.332944+(-2.691423--2.051577))+0-372--0.569160000000022</f>
        <v>1568.5963699999998</v>
      </c>
      <c r="J139" s="3">
        <f>1525.3+(1730.9-1377)+(-0.777903+(-0.882759--0.70227))+0-373--0.190229999999962</f>
        <v>1505.431838</v>
      </c>
      <c r="K139" s="3">
        <f>1524.1+(1742.8-1385)+(-3.886455+(-4.44414--3.53175))+0-374--0.953699999999946</f>
        <v>1504.0548549999999</v>
      </c>
      <c r="L139" s="3">
        <f>1522.7+(1390.4-1130.6)+(-3.882885+(-3.54552--2.88303))+0-370--0.943499999999946</f>
        <v>1408.8981250000002</v>
      </c>
      <c r="M139" s="3">
        <f>1522.1+(1255.1-1004.8)+(0+(0-0))+0-371-0</f>
        <v>1401.3999999999999</v>
      </c>
      <c r="N139" s="3">
        <f>1524+(1130-835.2)+(-3.10896+(-2.3052--1.703808))+0-368--0.750719999999984</f>
        <v>1447.8403679999999</v>
      </c>
      <c r="O139" s="3">
        <f>1531.1+(1078.6-737.8)+(1.561722+(1.100172-0.752556))+0-374-0.38148000000006</f>
        <v>1499.4278579999998</v>
      </c>
      <c r="P139" s="3">
        <f>1511.7+(1083.2-678)+(0+(0-0))+0-379-0</f>
        <v>1537.9</v>
      </c>
      <c r="Q139" s="3">
        <f>1656.4+(908.1-600.2)+(-0.844764+(-0.463131--0.306102))+0-379.9--0.193748999999961</f>
        <v>1583.5919560000002</v>
      </c>
      <c r="R139" s="3">
        <f>1711.9+(765.8-501.4)+(-2.619207+(-1.171674--0.767142))+0-375.5--0.574515000000022</f>
        <v>1598.3507760000002</v>
      </c>
      <c r="S139" s="3">
        <f>1800.3+(672.6-452.3)+(-0.918153+(-0.343026--0.230673))+0-377.7--0.192626999999962</f>
        <v>1642.0621209999997</v>
      </c>
      <c r="T139" s="3">
        <f>1944.1+(868.2-755.3)+(-2.974473+(-1.328346--1.155609))+0-378.2--0.578646000000022</f>
        <v>1676.2314359999998</v>
      </c>
      <c r="U139" s="3">
        <f>1963.2+(893.3-778.6)+(-1.001232+(-0.455583--0.397086))+0-377.3--0.192422999999962</f>
        <v>1699.732694</v>
      </c>
      <c r="V139" s="3">
        <f>1958+(840.7-772.7)+(-4.9929+(-2.143785--1.970385))+0-379.8--0.968489999999945</f>
        <v>1642.0021899999999</v>
      </c>
      <c r="W139" s="3">
        <f>1958+(912.7-850.6)+(-4.9929+(-2.327385--2.16903))+0-378.7--0.965684999999945</f>
        <v>1637.2144299999998</v>
      </c>
      <c r="X139" s="3">
        <f>1959.7+(1008.7-988)+(-2.998341+(-1.543311--1.51164))+0-372.3--0.569619000000022</f>
        <v>1605.6396070000003</v>
      </c>
      <c r="Y139" s="3">
        <f>1964.8+(1005.4-1010.3)+(0+(0-0))+0-364.6-0</f>
        <v>1595.3000000000002</v>
      </c>
      <c r="Z139" s="3">
        <f>2032.9+(575.3-485)+(1.036779+(0.293403-0.24735))+0-377.4-0.192473999999962</f>
        <v>1746.6903579999998</v>
      </c>
      <c r="AA139" s="3">
        <f>2242.5+(633.8-570.5)+(-1.143675+(-0.323238--0.290955))+0-375.5--0.191504999999962</f>
        <v>1929.3155470000004</v>
      </c>
      <c r="AB139" s="3">
        <f>2248.8+(921.7-872.1)+(0+(0-0))+0-376.6-0</f>
        <v>1921.8000000000002</v>
      </c>
      <c r="AC139" s="3">
        <f>2247.7+(1139.3-1073.7)+(-3.438981+(-1.743129--1.642761))+0-421.4--0.644742000000024</f>
        <v>1889.0053929999995</v>
      </c>
      <c r="AD139">
        <f t="shared" si="2"/>
        <v>38780.600660999997</v>
      </c>
      <c r="AE139" s="3">
        <f>2251+(763.3-688.2)+(0+(0-0))+0-374.5-0</f>
        <v>1951.6</v>
      </c>
    </row>
    <row r="140" spans="1:31" s="2" customFormat="1" x14ac:dyDescent="0.25">
      <c r="A140">
        <v>89</v>
      </c>
      <c r="B140">
        <v>5</v>
      </c>
      <c r="C140">
        <v>16</v>
      </c>
      <c r="D140">
        <v>1</v>
      </c>
      <c r="E140">
        <v>1</v>
      </c>
      <c r="F140" s="3">
        <f>2121.7+(1540.9-1463.6)+(-1.082067+(-0.785859--0.746436))+0-432.9--0.220778999999956</f>
        <v>1765.1992889999999</v>
      </c>
      <c r="G140" s="3">
        <f>1674.5+(2090.6-1674.1)+(-0.853995+(-1.066206--0.853791))+0-433--0.220829999999956</f>
        <v>1657.1544200000001</v>
      </c>
      <c r="H140" s="3">
        <f>1484.9+(2062.8-1624.4)+(-0.757299+(-1.052028--0.828444))+0-439.7--0.224246999999955</f>
        <v>1482.8433640000001</v>
      </c>
      <c r="I140" s="3">
        <f>1487.4+(2100.5-1686.1)+(-1.517148+(-2.14251--1.719822))+0-430.2--0.438804000000069</f>
        <v>1470.0989680000002</v>
      </c>
      <c r="J140" s="3">
        <f>1475.5+(2112.5-1709.6)+(-2.257515+(-3.232125--2.615688))+0-429.1--0.656523000000025</f>
        <v>1447.0825710000004</v>
      </c>
      <c r="K140" s="3">
        <f>1484.3+(2082.2-1724.7)+(-2.270979+(-3.185766--2.638791))+0-429--0.656370000000025</f>
        <v>1410.6384159999996</v>
      </c>
      <c r="L140" s="3">
        <f>1524.2+(1873.2-1525.6)+(-3.88671+(-4.77666--3.89028))+0-409--1.04294999999994</f>
        <v>1459.0698600000003</v>
      </c>
      <c r="M140" s="3">
        <f>1521.3+(1319.5-1003)+(0+(0-0))+0-418-0</f>
        <v>1419.8</v>
      </c>
      <c r="N140" s="3">
        <f>1523.9+(1494.1-842.2)+(-0.777189+(-0.761991--0.429522))+0-410--0.209099999999958</f>
        <v>1764.8994420000004</v>
      </c>
      <c r="O140" s="3">
        <f>1532.6+(1761.6-1051.5)+(0+(0-0))+0-414-0</f>
        <v>1828.6999999999998</v>
      </c>
      <c r="P140" s="3">
        <f>1771.6+(1483.4-912.8)+(0.903516+(0.756534-0.465528))+0-423-0.215729999999957</f>
        <v>1920.1787919999997</v>
      </c>
      <c r="Q140" s="3">
        <f>2041.1+(1156.2-944.5)+(-1.040961+(-0.589662--0.481695))+0-420--0.214199999999957</f>
        <v>1831.865272</v>
      </c>
      <c r="R140" s="3">
        <f>2191.7+(884.3-832.7)+(1.117767+(0.450993-0.424677))+0-422-0.215219999999957</f>
        <v>1822.2288629999998</v>
      </c>
      <c r="S140" s="3">
        <f>2190.8+(740.4-695.1)+(-3.351924+(-1.132812--1.063503))+0-383--0.585990000000022</f>
        <v>1850.2647570000004</v>
      </c>
      <c r="T140" s="3">
        <f>2192.1+(597.8-550.3)+(0+(0-0))+0-375.2-0</f>
        <v>1864.3999999999999</v>
      </c>
      <c r="U140" s="3">
        <f>2188.1+(559-515.3)+(0+(0-0))+0-375.7-0</f>
        <v>1856.1000000000001</v>
      </c>
      <c r="V140" s="3">
        <f>2190.4+(600.9-498.6)+(-4.468416+(-1.225836--1.017144))+0-358.4--0.731135999999984</f>
        <v>1930.3540279999997</v>
      </c>
      <c r="W140" s="3">
        <f>2190+(841.6-631.7)+(-2.2338+(-0.858432--0.644334))+0-367.4--0.374748000000059</f>
        <v>2030.4268500000001</v>
      </c>
      <c r="X140" s="3">
        <f>2190.4+(1439.6-1291.6)+(-3.351312+(-2.202588--1.976148))+0-362.1--0.554013000000021</f>
        <v>1973.276261</v>
      </c>
      <c r="Y140" s="3">
        <f>2189.9+(1310.4-1296.4)+(0+(0-0))+0-363.5-0</f>
        <v>1840.4</v>
      </c>
      <c r="Z140" s="3">
        <f>2261.6+(1351.3-1226.9)+(0+(0-0))+0-370-0</f>
        <v>2016</v>
      </c>
      <c r="AA140" s="3">
        <f>2283.9+(1233-1006.8)+(0+(0-0))+0-374.5-0</f>
        <v>2135.6000000000004</v>
      </c>
      <c r="AB140" s="3">
        <f>2280.6+(1545-1407.4)+(2.326212+(1.5759-1.435548))+0-375.2-0.38270400000006</f>
        <v>2045.0838599999995</v>
      </c>
      <c r="AC140" s="3">
        <f>2279.8+(1890.3-1739.6)+(-1.162698+(-0.964053--0.887196))+0-421.4--0.214913999999957</f>
        <v>2008.0753589999997</v>
      </c>
      <c r="AD140">
        <f t="shared" si="2"/>
        <v>42829.740372</v>
      </c>
      <c r="AE140" s="3">
        <f>2282+(1105.2-984.8)+(0+(0-0))+0-373.2-0</f>
        <v>2029.2</v>
      </c>
    </row>
    <row r="141" spans="1:31" s="2" customFormat="1" x14ac:dyDescent="0.25">
      <c r="A141">
        <v>89</v>
      </c>
      <c r="B141">
        <v>5</v>
      </c>
      <c r="C141">
        <v>17</v>
      </c>
      <c r="D141">
        <v>2</v>
      </c>
      <c r="E141">
        <v>1</v>
      </c>
      <c r="F141" s="3">
        <f>2179.9+(2113.7-2041)+(-4.446996+(-4.311948--4.16364))+0-407.1--0.830483999999982</f>
        <v>1841.7351800000001</v>
      </c>
      <c r="G141" s="3">
        <f>1872+(2161.8-1908.5)+(-0.95472+(-1.102518--0.973335))+0-391.2--0.19951199999996</f>
        <v>1733.2156089999999</v>
      </c>
      <c r="H141" s="3">
        <f>1644.1+(2166.3-1789.8)+(0+(0-0))+0-408.1-0</f>
        <v>1612.5</v>
      </c>
      <c r="I141" s="3">
        <f>1551+(1983-1615.1)+(-2.37303+(-3.03399--2.471103))+0-400.8--0.613224000000023</f>
        <v>1515.7773070000001</v>
      </c>
      <c r="J141" s="3">
        <f>1557+(2050.1-1682.7)+(-1.58814+(-2.091102--1.716354))+0-404.1--0.412182000000064</f>
        <v>1518.7492939999997</v>
      </c>
      <c r="K141" s="3">
        <f>1556.5+(1926.3-1582.6)+(-1.58763+(-1.964826--1.614252))+0-410.4--0.418608000000065</f>
        <v>1488.2804040000003</v>
      </c>
      <c r="L141" s="3">
        <f>1555.6+(1714.9-1370.8)+(-3.173424+(-3.498396--2.796432))+0-375.4--0.765815999999984</f>
        <v>1521.1904280000003</v>
      </c>
      <c r="M141" s="3">
        <f>1552.6+(1476.3-1103.3)+(0+(0-0))+0-404.6-0</f>
        <v>1521</v>
      </c>
      <c r="N141" s="3">
        <f>1560.9+(1357.9-874.2)+(-0.796059+(-0.692529--0.445842))+0-408.3--0.208232999999959</f>
        <v>1635.4654870000002</v>
      </c>
      <c r="O141" s="3">
        <f>1621+(1272.5-723.5)+(-2.48013+(-1.946925--1.106955))+0-402.8--0.616284000000023</f>
        <v>1764.4961840000001</v>
      </c>
      <c r="P141" s="3">
        <f>1673.4+(1565.3-963.3)+(0+(0-0))+0-376.2-0</f>
        <v>1899.2</v>
      </c>
      <c r="Q141" s="3">
        <f>1890.7+(1153.8-793.4)+(0+(0-0))+0-413.8-0</f>
        <v>1837.3</v>
      </c>
      <c r="R141" s="3">
        <f>2123.6+(858.9-639.4)+(1.083036+(0.438039-0.326094))+0-430.4-0.219503999999956</f>
        <v>1913.675477</v>
      </c>
      <c r="S141" s="3">
        <f>2225.1+(785.2-742.2)+(-1.134801+(-0.400452--0.378522))+0-425.6--0.217055999999957</f>
        <v>1841.5603249999999</v>
      </c>
      <c r="T141" s="3">
        <f>2230.6+(618.5-591.9)+(1.137606+(0.315435-0.301869))+0-374.5-0.190994999999962</f>
        <v>1883.6601769999997</v>
      </c>
      <c r="U141" s="3">
        <f>2231.8+(583.2-560)+(-1.138218+(-0.297432--0.2856))+0-375.1--0.191300999999962</f>
        <v>1878.941251</v>
      </c>
      <c r="V141" s="3">
        <f>2229.4+(570.4-526.8)+(-1.136994+(-0.290904--0.268668))+0-376.4--0.191963999999962</f>
        <v>1895.6327339999996</v>
      </c>
      <c r="W141" s="3">
        <f>2180.8+(1063.1-871.7)+(-3.336624+(-1.626543--1.333701))+0-377.6--0.577728000000022</f>
        <v>1991.548262</v>
      </c>
      <c r="X141" s="3">
        <f>2045.1+(1492.2-1252.2)+(-5.215005+(-3.80511--3.19311))+0-376.4--0.959819999999945</f>
        <v>1903.8328149999998</v>
      </c>
      <c r="Y141" s="3">
        <f>2086.5+(1275.7-1236.1)+(-2.12823+(-1.301214--1.260822))+0-375.5--0.38301000000006</f>
        <v>1748.8143880000002</v>
      </c>
      <c r="Z141" s="3">
        <f>2265.4+(1421.9-1339.7)+(-1.155354+(-0.725169--0.683247))+0-370.8--0.189107999999962</f>
        <v>1975.7918320000006</v>
      </c>
      <c r="AA141" s="3">
        <f>2282+(1175.9-1077.8)+(-3.49146+(-1.799127--1.649034))+0-376.6--0.576198000000022</f>
        <v>2000.4346450000005</v>
      </c>
      <c r="AB141" s="3">
        <f>2281.5+(1518.4-1401.9)+(0+(0-0))+0-374.8-0</f>
        <v>2023.2</v>
      </c>
      <c r="AC141" s="3">
        <f>2196.6+(1735.8-1537.3)+(-2.240532+(-1.770516--1.568046))+0-408.5--0.416670000000065</f>
        <v>1984.573668</v>
      </c>
      <c r="AD141">
        <f t="shared" si="2"/>
        <v>42930.575466999995</v>
      </c>
      <c r="AE141" s="3">
        <f>2275+(1040.1-944.5)+(0+(0-0))+0-374.1-0</f>
        <v>1996.5</v>
      </c>
    </row>
    <row r="142" spans="1:31" s="2" customFormat="1" x14ac:dyDescent="0.25">
      <c r="A142">
        <v>89</v>
      </c>
      <c r="B142">
        <v>5</v>
      </c>
      <c r="C142">
        <v>18</v>
      </c>
      <c r="D142">
        <v>3</v>
      </c>
      <c r="E142">
        <v>1</v>
      </c>
      <c r="F142" s="3">
        <f>1882.6+(1922.8-1565.4)+(-4.80063+(-4.90314--3.99177))+0-426--1.08629999999994</f>
        <v>1809.3742999999999</v>
      </c>
      <c r="G142" s="3">
        <f>1572.3+(1829.2-1379.9)+(-1.603746+(-1.865784--1.407498))+0-427.2--0.435744000000068</f>
        <v>1592.7737119999999</v>
      </c>
      <c r="H142" s="3">
        <f>1550.9+(1788.8-1355.7)+(-0.790959+(-0.912288--0.691407))+0-430.9--0.219758999999956</f>
        <v>1552.3079190000003</v>
      </c>
      <c r="I142" s="3">
        <f>1555.7+(1754.4-1328.9)+(0.793407+(0.894744-0.677739))+0-404.9-0.206498999999959</f>
        <v>1577.1039130000004</v>
      </c>
      <c r="J142" s="3">
        <f>1555.7+(1856.5-1442.1)+(2.380221+(2.840445-2.206413))+0-425-0.650250000000025</f>
        <v>1547.4640030000003</v>
      </c>
      <c r="K142" s="3">
        <f>1554.9+(1845.1-1450.4)+(-0.792999+(-0.941001--0.739704))+0-433.4--0.221033999999956</f>
        <v>1515.4267379999999</v>
      </c>
      <c r="L142" s="3">
        <f>1555.3+(1812.6-1447.5)+(-2.379609+(-2.773278--2.214675))+0-430.2--0.658206000000025</f>
        <v>1487.9199939999999</v>
      </c>
      <c r="M142" s="3">
        <f>1553.9+(1554-1229.9)+(0+(0-0))+0-375.5-0</f>
        <v>1502.5</v>
      </c>
      <c r="N142" s="3">
        <f>1565.4+(1708.4-1237.8)+(1.596708+(1.742568-1.262556))+0-376.5-0.38403000000006</f>
        <v>1661.1926900000001</v>
      </c>
      <c r="O142" s="3">
        <f>1567.2+(1621.9-1019.7)+(-1.598544+(-1.654338--1.040094))+0-351.5--0.358530000000056</f>
        <v>1816.0457420000002</v>
      </c>
      <c r="P142" s="3">
        <f>1683.2+(1383.9-854)+(2.575296+(2.117367-1.30662))+0-353.5-0.54085500000002</f>
        <v>1862.4451880000004</v>
      </c>
      <c r="Q142" s="3">
        <f>1881.7+(893.5-619.7)+(0.959667+(0.455685-0.316047))+0-350.9-0.178958999999964</f>
        <v>1805.520346</v>
      </c>
      <c r="R142" s="3">
        <f>2096.5+(676.3-438.1)+(-2.13843+(-0.689826--0.446862))+0-355--0.362100000000057</f>
        <v>1977.6807059999999</v>
      </c>
      <c r="S142" s="3">
        <f>2229.2+(617.4-547.9)+(1.136892+(0.314874-0.279429))+0-355-0.181049999999964</f>
        <v>1944.6912869999999</v>
      </c>
      <c r="T142" s="3">
        <f>2227.7+(524.9-474.7)+(0+(0-0))+0-360.8-0</f>
        <v>1917.0999999999997</v>
      </c>
      <c r="U142" s="3">
        <f>2228.6+(540.6-464.2)+(0+(0-0))+0-363.6-0</f>
        <v>1941.4</v>
      </c>
      <c r="V142" s="3">
        <f>2225.8+(575-483.9)+(-1.135158+(-0.29325--0.246789))+0-369.5--0.188444999999963</f>
        <v>1946.4068260000001</v>
      </c>
      <c r="W142" s="3">
        <f>2225.2+(848-757.4)+(-2.269704+(-0.86496--0.772548))+0-373.5--0.38097000000006</f>
        <v>1940.3188540000001</v>
      </c>
      <c r="X142" s="3">
        <f>2156.2+(1378.5-1250.4)+(-5.49831+(-3.515175--3.18852))+0-372.1--0.948854999999946</f>
        <v>1907.3238899999999</v>
      </c>
      <c r="Y142" s="3">
        <f>2167.7+(1182.1-1117.7)+(-2.211054+(-1.205742--1.140054))+0-372.2--0.379644000000059</f>
        <v>1858.0029019999995</v>
      </c>
      <c r="Z142" s="3">
        <f>2268.7+(1283.2-1134.7)+(-1.157037+(-0.654432--0.578697))+0-373.1--0.190280999999962</f>
        <v>2043.057509</v>
      </c>
      <c r="AA142" s="3">
        <f>2276.2+(862.5-666.6)+(-4.643448+(-1.7595--1.359864))+0-372.3--0.759491999999984</f>
        <v>2095.516408</v>
      </c>
      <c r="AB142" s="3">
        <f>2261.8+(1368.1-1170.8)+(-2.307036+(-1.395462--1.194216))+0-370.3--0.377706000000059</f>
        <v>2086.6694240000006</v>
      </c>
      <c r="AC142" s="3">
        <f>2255.5+(1669.7-1466.3)+(-2.30061+(-1.703094--1.495626))+0-414.5--0.422790000000066</f>
        <v>2042.3147120000003</v>
      </c>
      <c r="AD142">
        <f t="shared" si="2"/>
        <v>43430.557063000007</v>
      </c>
      <c r="AE142" s="3">
        <f>2281+(838.3-675.6)+(0+(0-0))+0-372.5-0</f>
        <v>2071.1999999999998</v>
      </c>
    </row>
    <row r="143" spans="1:31" s="2" customFormat="1" x14ac:dyDescent="0.25">
      <c r="A143">
        <v>89</v>
      </c>
      <c r="B143">
        <v>5</v>
      </c>
      <c r="C143">
        <v>19</v>
      </c>
      <c r="D143">
        <v>4</v>
      </c>
      <c r="E143">
        <v>1</v>
      </c>
      <c r="F143" s="3">
        <f>2161.9+(2131.7-1918.5)+(-2.205138+(-2.174334--1.95687))+0-423.6--0.432072000000068</f>
        <v>1949.50947</v>
      </c>
      <c r="G143" s="3">
        <f>1852.2+(2127.3-1797.6)+(-1.889244+(-2.169846--1.833552))+0-424.7--0.433194000000068</f>
        <v>1755.4076560000003</v>
      </c>
      <c r="H143" s="3">
        <f>1577.3+(2112-1589.5)+(-3.217692+(-4.30848--3.24258))+0-413.3--0.843131999999982</f>
        <v>1683.05954</v>
      </c>
      <c r="I143" s="3">
        <f>1556.6+(2150.2-1646.5)+(0.793866+(1.096602-0.839715))+0-417.2-0.212771999999958</f>
        <v>1643.9379809999998</v>
      </c>
      <c r="J143" s="3">
        <f>1555.3+(2177-1695.1)+(3.172812+(4.44108-3.458004))+0-416.5-0.849659999999982</f>
        <v>1624.006228</v>
      </c>
      <c r="K143" s="3">
        <f>1555+(2350.5-1826.8)+(1.5861+(2.39751-1.863336))+0-414-0.422280000000066</f>
        <v>1666.3979939999997</v>
      </c>
      <c r="L143" s="3">
        <f>1555.1+(2014.3-1597.1)+(-1.586202+(-2.054586--1.629042))+0-415.7--0.424014000000066</f>
        <v>1555.0122680000002</v>
      </c>
      <c r="M143" s="3">
        <f>1556.2+(1910.7-1477.9)+(1.587324+(1.948914-1.507458))+0-419.2-0.427584000000067</f>
        <v>1571.401196</v>
      </c>
      <c r="N143" s="3">
        <f>1553.9+(2127.2-1511.2)+(2.377467+(3.254616-2.312136))+0-400.3-0.612459000000023</f>
        <v>1772.3074879999997</v>
      </c>
      <c r="O143" s="3">
        <f>1610.3+(2119.3-1498.4)+(3.285012+(4.323372-3.056736))+0-401.2-0.818447999999982</f>
        <v>1833.7331999999999</v>
      </c>
      <c r="P143" s="3">
        <f>1710+(1567.5-1026.5)+(1.7442+(1.59885-1.04703))+0-414.8-0.423096000000066</f>
        <v>1838.0729240000003</v>
      </c>
      <c r="Q143" s="3">
        <f>2011+(1020-746.1)+(0+(0-0))+0-383.9-0</f>
        <v>1901</v>
      </c>
      <c r="R143" s="3">
        <f>2085.2+(776.7-587.9)+(1.063452+(0.396117-0.299829))+0-415.4-0.211853999999958</f>
        <v>1859.5478860000001</v>
      </c>
      <c r="S143" s="3">
        <f>2221.3+(580.5-555.9)+(0+(0-0))+0-382.9-0</f>
        <v>1863</v>
      </c>
      <c r="T143" s="3">
        <f>2225.5+(515-501.8)+(0+(0-0))+0-373.2-0</f>
        <v>1865.4999999999998</v>
      </c>
      <c r="U143" s="3">
        <f>2226.4+(502.7-457.2)+(1.135464+(0.256377-0.233172))+0-373-0.190229999999962</f>
        <v>1899.8684390000001</v>
      </c>
      <c r="V143" s="3">
        <f>2222.8+(520.1-466)+(2.267256+(0.530502-0.47532))+0-373.9-0.38137800000006</f>
        <v>1904.9410600000001</v>
      </c>
      <c r="W143" s="3">
        <f>2224.5+(657.2-512.2)+(-4.53798+(-1.340688--1.044888))+0-372.9--0.760715999999984</f>
        <v>1992.526936</v>
      </c>
      <c r="X143" s="3">
        <f>2228.1+(1221.9-1161.3)+(-5.681655+(-3.115845--2.961315))+0-372.3--0.949364999999946</f>
        <v>1911.5131799999997</v>
      </c>
      <c r="Y143" s="3">
        <f>2227.9+(1168.3-1176.7)+(2.272458+(1.191666-1.200234))+0-371.5-0.378930000000059</f>
        <v>1849.8849600000001</v>
      </c>
      <c r="Z143" s="3">
        <f>2271.2+(1071-967.3)+(0+(0-0))+0-374.8-0</f>
        <v>2000.0999999999997</v>
      </c>
      <c r="AA143" s="3">
        <f>2265.3+(900.9-775.2)+(-2.310606+(-0.918918--0.790704))+0-372.6--0.380052000000059</f>
        <v>2016.3412320000002</v>
      </c>
      <c r="AB143" s="3">
        <f>2272.2+(1209.8-1086.9)+(-1.158822+(-0.616998--0.554319))+0-372.3--0.189872999999962</f>
        <v>2021.7683719999995</v>
      </c>
      <c r="AC143" s="3">
        <f>2272.1+(1569.2-1434.4)+(-4.635084+(-3.201168--2.926176))+0-417.2--0.851087999999982</f>
        <v>1985.6410119999994</v>
      </c>
      <c r="AD143">
        <f t="shared" si="2"/>
        <v>43964.479022</v>
      </c>
      <c r="AE143" s="3">
        <f>2263+(856.6-737)+(0+(0-0))+0-371.2-0</f>
        <v>2011.3999999999999</v>
      </c>
    </row>
    <row r="144" spans="1:31" s="2" customFormat="1" x14ac:dyDescent="0.25">
      <c r="A144">
        <v>89</v>
      </c>
      <c r="B144">
        <v>5</v>
      </c>
      <c r="C144">
        <v>20</v>
      </c>
      <c r="D144">
        <v>5</v>
      </c>
      <c r="E144">
        <v>1</v>
      </c>
      <c r="F144" s="3">
        <f>2135.6+(2219.3-2070.9)+(-4.356624+(-4.527372--4.224636))+0-389.2--0.793967999999983</f>
        <v>1890.9346079999998</v>
      </c>
      <c r="G144" s="3">
        <f>1728.5+(2048.4-1787)+(-2.644605+(-3.134052--2.73411))+0-381--0.582930000000022</f>
        <v>1606.4383830000002</v>
      </c>
      <c r="H144" s="3">
        <f>1561.1+(1835.2-1449.6)+(-3.184644+(-3.743808--2.957184))+0-398.5--0.812939999999983</f>
        <v>1545.0416720000001</v>
      </c>
      <c r="I144" s="3">
        <f>1552+(1640.7-1263.4)+(-3.9576+(-4.183785--3.22167))+0-396.7--1.01158499999994</f>
        <v>1528.6918699999999</v>
      </c>
      <c r="J144" s="3">
        <f>1552.2+(1645.5-1256.1)+(-4.749732+(-5.03523--3.843666))+0-407.2--1.24603200000005</f>
        <v>1529.7047360000001</v>
      </c>
      <c r="K144" s="3">
        <f>1552.9+(1728.5-1322.2)+(-3.167916+(-3.52614--2.697288))+0-412.6--0.841703999999982</f>
        <v>1543.4449359999999</v>
      </c>
      <c r="L144" s="3">
        <f>1551.5+(1535.9-1201.6)+(-4.74759+(-4.699854--3.676896))+0-398.3--1.21879800000005</f>
        <v>1482.9482500000004</v>
      </c>
      <c r="M144" s="3">
        <f>1550.3+(1305-998)+(-2.371959+(-1.99665--1.52694))+0-377.6--0.577728000000022</f>
        <v>1477.4360589999999</v>
      </c>
      <c r="N144" s="3">
        <f>1550+(1174.7-701)+(0+(0-0))+0-387.5-0</f>
        <v>1636.2</v>
      </c>
      <c r="O144" s="3">
        <f>1549.4+(1435.7-840.4)+(-0.790194+(-0.732207--0.428604))+0-380--0.193799999999961</f>
        <v>1763.8000030000003</v>
      </c>
      <c r="P144" s="3">
        <f>1642.2+(1466.7-909.4)+(2.512566+(2.244051-1.391382))+0-364.5-0.557685000000021</f>
        <v>1837.8075500000002</v>
      </c>
      <c r="Q144" s="3">
        <f>1952.5+(1058.4-762.4)+(-0.995775+(-0.539784--0.388824))+0-369.8--0.188597999999962</f>
        <v>1877.7418630000002</v>
      </c>
      <c r="R144" s="3">
        <f>2104.2+(681.2-472.1)+(1.073142+(0.347412-0.240771))+0-373.6-0.190535999999962</f>
        <v>1940.6892469999998</v>
      </c>
      <c r="S144" s="3">
        <f>2108.6+(592.6-456.4)+(0+(0-0))+0-387.5-0</f>
        <v>1857.3000000000002</v>
      </c>
      <c r="T144" s="3">
        <f>2110.4+(671.6-530.9)+(1.076304+(0.342516-0.270759))+0-348.5-0.177734999999965</f>
        <v>1903.5703260000003</v>
      </c>
      <c r="U144" s="3">
        <f>2193.9+(657.8-600.2)+(0+(0-0))+0-336.6-0</f>
        <v>1914.9</v>
      </c>
      <c r="V144" s="3">
        <f>2226.6+(791.7-759.7)+(-4.542264+(-1.615068--1.549788))+0-331.4--0.676055999999985</f>
        <v>1923.2685119999999</v>
      </c>
      <c r="W144" s="3">
        <f>2226.9+(570.8-557.7)+(-4.542876+(-1.164432--1.137708))+0-335.5--0.684419999999985</f>
        <v>1900.6148200000002</v>
      </c>
      <c r="X144" s="3">
        <f>2225.8+(664.4-686.2)+(-6.810948+(-2.033064--2.099772))+0-338.5--1.03581000000004</f>
        <v>1859.7915700000001</v>
      </c>
      <c r="Y144" s="3">
        <f>2229+(998.4-1030.2)+(1.13679+(0.509184-0.525402))+0-337.3-0.172022999999966</f>
        <v>1860.8485489999998</v>
      </c>
      <c r="Z144" s="3">
        <f>2274.1+(506.2-368.8)+(2.319582+(0.516324-0.376176))+0-345.1-0.352002000000055</f>
        <v>2068.507728</v>
      </c>
      <c r="AA144" s="3">
        <f>2278.4+(865.8-685.7)+(-3.485952+(-1.324674--1.049121))+0-345.1--0.52800300000002</f>
        <v>2110.166498</v>
      </c>
      <c r="AB144" s="3">
        <f>2280.2+(592.8-458.3)+(0+(0-0))+0-345.7-0</f>
        <v>2069</v>
      </c>
      <c r="AC144" s="3">
        <f>2267.3+(897-792.5)+(-3.468969+(-1.37241--1.212525))+0-393.1--0.601443000000023</f>
        <v>1975.6725890000002</v>
      </c>
      <c r="AD144">
        <f t="shared" si="2"/>
        <v>43104.519768999999</v>
      </c>
      <c r="AE144" s="3">
        <f>2281+(972.3-790.9)+(0+(0-0))+0-344.1-0</f>
        <v>2118.3000000000002</v>
      </c>
    </row>
    <row r="145" spans="1:31" s="2" customFormat="1" x14ac:dyDescent="0.25">
      <c r="A145">
        <v>89</v>
      </c>
      <c r="B145">
        <v>5</v>
      </c>
      <c r="C145">
        <v>21</v>
      </c>
      <c r="D145">
        <v>6</v>
      </c>
      <c r="E145">
        <v>8</v>
      </c>
      <c r="F145" s="3">
        <f>2238.4+(1720.2-1630.2)+(-4.566336+(-3.509208--3.325608))+0-393.5--0.802739999999983</f>
        <v>1930.952804</v>
      </c>
      <c r="G145" s="3">
        <f>1840.7+(2104.6-1736.3)+(-3.755028+(-4.293384--3.542052))+0-402.1--0.820283999999982</f>
        <v>1803.2139240000001</v>
      </c>
      <c r="H145" s="3">
        <f>1554.7+(1991-1453.5)+(0+(0-0))+0-399.3-0</f>
        <v>1692.8999999999999</v>
      </c>
      <c r="I145" s="3">
        <f>1552.4+(1926.6-1432)+(1.583448+(1.965132-1.46064))+0-359.8-0.366996000000057</f>
        <v>1688.920944</v>
      </c>
      <c r="J145" s="3">
        <f>1551.5+(2072.2-1527.6)+(-2.373795+(-3.170466--2.337228))+0-402.3--0.615519000000023</f>
        <v>1691.2084859999998</v>
      </c>
      <c r="K145" s="3">
        <f>1552.1+(2141.8-1621.2)+(-3.957855+(-5.46159--4.13406))+0-395.5--1.00852499999994</f>
        <v>1672.9231399999996</v>
      </c>
      <c r="L145" s="3">
        <f>1548.8+(2087-1636.8)+(-6.319104+(-8.51496--6.678144))+0-408.2--1.66545599999996</f>
        <v>1584.309536</v>
      </c>
      <c r="M145" s="3">
        <f>1546+(1914-1454.1)+(1.57692+(1.95228-1.483182))+0-408.6-0.416772000000065</f>
        <v>1598.9292460000001</v>
      </c>
      <c r="N145" s="3">
        <f>1580.1+(2030.3-1486.8)+(1.611702+(2.070906-1.516536))+0-396.5-0.404430000000063</f>
        <v>1728.8616419999998</v>
      </c>
      <c r="O145" s="3">
        <f>1689.5+(1967.3-1427.9)+(3.44658+(4.013292-2.912916))+0-406.8-0.829871999999982</f>
        <v>1825.8170839999998</v>
      </c>
      <c r="P145" s="3">
        <f>1859.9+(1401.4-951.9)+(1.897098+(1.429428-0.970938))+0-400-0.408000000000064</f>
        <v>1911.3475879999999</v>
      </c>
      <c r="Q145" s="3">
        <f>2117.2+(980.5-711.6)+(0+(0-0))+0-418.4-0</f>
        <v>1967.6999999999998</v>
      </c>
      <c r="R145" s="3">
        <f>2229.6+(897.8-764.7)+(2.274192+(0.915756-0.779994))+0-420.4-0.428808000000067</f>
        <v>1944.2811459999998</v>
      </c>
      <c r="S145" s="3">
        <f>2229.8+(751.2-713.1)+(0+(0-0))+0-407.2-0</f>
        <v>1860.7</v>
      </c>
      <c r="T145" s="3">
        <f>2231.5+(569.4-543)+(0+(0-0))+0-404.3-0</f>
        <v>1853.6000000000001</v>
      </c>
      <c r="U145" s="3">
        <f>2230.9+(746.8-721.1)+(-1.137759+(-0.380868--0.367761))+0-377.6--0.192575999999962</f>
        <v>1878.04171</v>
      </c>
      <c r="V145" s="3">
        <f>2229.3+(903.5-876.1)+(-1.136943+(-0.460785--0.446811))+0-383.1--0.195380999999961</f>
        <v>1872.6444640000004</v>
      </c>
      <c r="W145" s="3">
        <f>2230.5+(1195.3-1192.4)+(-3.412665+(-1.828809--1.824372))+0-368.6--0.563958000000021</f>
        <v>1861.9468559999998</v>
      </c>
      <c r="X145" s="3">
        <f>2229+(1463.3-1486.5)+(-4.54716+(-2.985132--3.03246))+0-364--0.742559999999984</f>
        <v>1838.0427280000001</v>
      </c>
      <c r="Y145" s="3">
        <f>2231.5+(1223.6-1253.7)+(1.138065+(0.624036-0.639387))+0-352.3-0.179672999999964</f>
        <v>1850.0430409999999</v>
      </c>
      <c r="Z145" s="3">
        <f>2250.6+(532.3-445.3)+(2.295612+(0.542946-0.454206))+0-357.3-0.364446000000057</f>
        <v>1982.3199059999999</v>
      </c>
      <c r="AA145" s="3">
        <f>2274.1+(676.4-493.5)+(-1.159791+(-0.344964--0.251685))+0-366.4--0.186863999999963</f>
        <v>2089.5337939999995</v>
      </c>
      <c r="AB145" s="3">
        <f>2274+(921.1-790.8)+(-1.15974+(-0.469761--0.403308))+0-367.2--0.187271999999963</f>
        <v>2036.0610790000001</v>
      </c>
      <c r="AC145" s="3">
        <f>2271+(1363.2-1331)+(1.15821+(0.695232-0.67881))+0-368.4-0.187883999999963</f>
        <v>1935.786748</v>
      </c>
      <c r="AD145">
        <f t="shared" si="2"/>
        <v>44100.085865999994</v>
      </c>
      <c r="AE145" s="3">
        <f>2273+(733.5-545.8)+(0+(0-0))+0-368.3-0</f>
        <v>2092.3999999999996</v>
      </c>
    </row>
    <row r="146" spans="1:31" s="2" customFormat="1" x14ac:dyDescent="0.25">
      <c r="A146">
        <v>89</v>
      </c>
      <c r="B146">
        <v>5</v>
      </c>
      <c r="C146">
        <v>22</v>
      </c>
      <c r="D146">
        <v>7</v>
      </c>
      <c r="E146">
        <v>1</v>
      </c>
      <c r="F146" s="3">
        <f>2150.5+(1697.7-1648.5)+(1.096755+(0.865827-0.840735))+0-369.7-0.188546999999962</f>
        <v>1830.9332999999997</v>
      </c>
      <c r="G146" s="3">
        <f>1817.5+(1717.3-1445.2)+(-1.85385+(-1.751646--1.474104))+0-370.6--0.378012000000059</f>
        <v>1717.2466200000003</v>
      </c>
      <c r="H146" s="3">
        <f>1627.5+(1829.1-1417.3)+(-0.830025+(-0.932841--0.722823))+0-370.9--0.189158999999962</f>
        <v>1667.5491160000001</v>
      </c>
      <c r="I146" s="3">
        <f>1482.7+(1769.6-1271.9)+(0+(0-0))+0-360.7-0</f>
        <v>1619.6999999999998</v>
      </c>
      <c r="J146" s="3">
        <f>1481.5+(2044.3-1508.4)+(-0.755565+(-1.042593--0.769284))+0-367.4--0.187373999999963</f>
        <v>1649.1584999999998</v>
      </c>
      <c r="K146" s="3">
        <f>1483.1+(2109.7-1615.6)+(-1.512762+(-2.151894--1.647912))+0-364.7--0.371994000000058</f>
        <v>1610.8552499999998</v>
      </c>
      <c r="L146" s="3">
        <f>1483+(1974.1-1603.3)+(-3.02532+(-4.027164--3.270732))+0-365--0.744599999999984</f>
        <v>1485.7628479999998</v>
      </c>
      <c r="M146" s="3">
        <f>1483.3+(2144.1-1805.1)+(-0.756483+(-1.093491--0.920601))+0-366.9--0.187118999999963</f>
        <v>1454.6577460000001</v>
      </c>
      <c r="N146" s="3">
        <f>1503.8+(2031-1653.6)+(-2.300814+(-3.10743--2.530008))+0-368.4--0.563652000000021</f>
        <v>1510.4854160000002</v>
      </c>
      <c r="O146" s="3">
        <f>1553.6+(2064-1683.1)+(0.792336+(1.05264-0.858381))+0-369.5-0.188444999999963</f>
        <v>1565.7981500000001</v>
      </c>
      <c r="P146" s="3">
        <f>1553.1+(1978.2-1540.6)+(-1.584162+(-2.017764--1.571412))+0-370.8--0.378216000000059</f>
        <v>1618.2477020000001</v>
      </c>
      <c r="Q146" s="3">
        <f>1702.4+(2204.1-1833.9)+(0+(0-0))+0-369.9-0</f>
        <v>1702.6999999999998</v>
      </c>
      <c r="R146" s="3">
        <f>1947+(2072.7-1913)+(0.99297+(1.057077-0.97563))+0-364.1-0.185690999999963</f>
        <v>1743.4887259999998</v>
      </c>
      <c r="S146" s="3">
        <f>1980.7+(1775.2-1673.9)+(0+(0-0))+0-359.9-0</f>
        <v>1722.1</v>
      </c>
      <c r="T146" s="3">
        <f>2063.2+(1687.9-1660.2)+(1.052232+(0.860829-0.846702))+0-367-0.187169999999963</f>
        <v>1724.7791889999996</v>
      </c>
      <c r="U146" s="3">
        <f>2100.2+(1653.5-1650.2)+(0+(0-0))+0-365-0</f>
        <v>1738.5</v>
      </c>
      <c r="V146" s="3">
        <f>2100.3+(1644.4-1635.7)+(-3.213459+(-2.515932--2.502621))+0-371.7--0.568701000000021</f>
        <v>1734.6419309999997</v>
      </c>
      <c r="W146" s="3">
        <f>2098.1+(1869.8-1874.2)+(-3.210093+(-2.860794--2.867526))+0-372.3--0.569619000000022</f>
        <v>1718.7662580000001</v>
      </c>
      <c r="X146" s="3">
        <f>2099.5+(1378-1363.1)+(-4.28298+(-2.81112--2.780724))+0-371.7--0.758267999999984</f>
        <v>1739.144892</v>
      </c>
      <c r="Y146" s="3">
        <f>2186.6+(1270.5-1319.5)+(-2.230332+(-1.29591--1.34589))+0-364.8--0.372096000000058</f>
        <v>1770.9917440000002</v>
      </c>
      <c r="Z146" s="3">
        <f>2275.8+(1157.1-1125.2)+(-1.160658+(-0.590121--0.573852))+0-338.6--0.172685999999966</f>
        <v>1968.0957589999998</v>
      </c>
      <c r="AA146" s="3">
        <f>2278.1+(1514.5-1399.7)+(-5.809155+(-3.861975--3.569235))+0-366.5--0.934574999999947</f>
        <v>2021.2326799999998</v>
      </c>
      <c r="AB146" s="3">
        <f>2279.5+(1947.8-1866.1)+(-2.32509+(-1.986756--1.903422))+0-363.9--0.371178000000058</f>
        <v>1995.2627539999996</v>
      </c>
      <c r="AC146" s="3">
        <f>2280.3+(2116.8-2100.8)+(1.162953+(1.079568-1.071408))+0-368.7-0.188036999999963</f>
        <v>1928.5830760000001</v>
      </c>
      <c r="AD146">
        <f t="shared" si="2"/>
        <v>41238.681657000008</v>
      </c>
      <c r="AE146" s="3">
        <f>2275+(1146.2-1095.2)+(0+(0-0))+0-353.5-0</f>
        <v>1972.5</v>
      </c>
    </row>
    <row r="147" spans="1:31" s="2" customFormat="1" x14ac:dyDescent="0.25">
      <c r="A147">
        <v>89</v>
      </c>
      <c r="B147">
        <v>5</v>
      </c>
      <c r="C147">
        <v>23</v>
      </c>
      <c r="D147">
        <v>1</v>
      </c>
      <c r="E147">
        <v>1</v>
      </c>
      <c r="F147" s="3">
        <f>2165.3+(2239.9-2189.8)+(-4.417212+(-4.569396--4.467192))+0-415.9--0.848435999999982</f>
        <v>1795.8290199999999</v>
      </c>
      <c r="G147" s="3">
        <f>1846+(2238.3-1976)+(0.94146+(1.141533-1.00776))+0-409-0.208589999999959</f>
        <v>1700.1666430000002</v>
      </c>
      <c r="H147" s="3">
        <f>1482.7+(2229.2-1690.3)+(-1.512354+(-2.273784--1.724106))+0-424.4--0.432888000000068</f>
        <v>1595.570856</v>
      </c>
      <c r="I147" s="3">
        <f>1459.1+(2121.8-1576.2)+(-2.976564+(-4.328472--3.215448))+0-373.5--0.761939999999984</f>
        <v>1627.8723520000001</v>
      </c>
      <c r="J147" s="3">
        <f>1460+(1998.3-1421.5)+(-0.7446+(-1.019133--0.724965))+0-422--0.215219999999957</f>
        <v>1613.9764520000001</v>
      </c>
      <c r="K147" s="3">
        <f>1460.9+(2108.1-1560.5)+(-1.490118+(-2.150262--1.59171))+0-414.4--0.422688000000066</f>
        <v>1592.4740180000003</v>
      </c>
      <c r="L147" s="3">
        <f>1461.4+(2111.5-1616.4)+(-1.490628+(-2.15373--1.648728))+0-414.3--0.422586000000066</f>
        <v>1540.6269560000003</v>
      </c>
      <c r="M147" s="3">
        <f>1467.2+(1833.3-1323.3)+(-0.748272+(-0.934983--0.674883))+0-378.5--0.193034999999962</f>
        <v>1597.884663</v>
      </c>
      <c r="N147" s="3">
        <f>1558.6+(2033.1-1482.8)+(0.794886+(1.036881-0.756228))+0-418.8-0.213587999999958</f>
        <v>1690.9619509999998</v>
      </c>
      <c r="O147" s="3">
        <f>1717.6+(1885.8-1381.1)+(-2.627928+(-2.885274--2.113083))+0-409.8--0.626994000000024</f>
        <v>1809.7268750000003</v>
      </c>
      <c r="P147" s="3">
        <f>1820+(1800.1-1331.7)+(0.9282+(0.918051-0.679167))+0-370.9-0.189158999999962</f>
        <v>1918.4779249999997</v>
      </c>
      <c r="Q147" s="3">
        <f>2044.7+(1506.3-1228.9)+(3.128391+(2.304639-1.880217))+0-397.6-0.608328000000023</f>
        <v>1927.4444849999998</v>
      </c>
      <c r="R147" s="3">
        <f>2105.9+(1161.3-932.5)+(1.074009+(0.592263-0.475575))+0-401.9-0.204968999999959</f>
        <v>1933.7857279999998</v>
      </c>
      <c r="S147" s="3">
        <f>2103.9+(1041.4-860.1)+(1.072989+(0.531114-0.438651))+0-385.4-0.196553999999961</f>
        <v>1900.7688980000005</v>
      </c>
      <c r="T147" s="3">
        <f>2108.9+(863.9-735.3)+(1.075539+(0.440589-0.375003))+0-350.4-0.178703999999964</f>
        <v>1888.0624210000001</v>
      </c>
      <c r="U147" s="3">
        <f>2107.9+(901.4-755.2)+(-1.075029+(-0.459714--0.385152))+0-344.6--0.175745999999965</f>
        <v>1908.526155</v>
      </c>
      <c r="V147" s="3">
        <f>2109.7+(1278-1110.7)+(0+(0-0))+0-344.1-0</f>
        <v>1932.9</v>
      </c>
      <c r="W147" s="3">
        <f>2103.4+(1577.8-1429.7)+(-5.36367+(-4.02339--3.645735))+0-344.3--0.87796499999995</f>
        <v>1902.33664</v>
      </c>
      <c r="X147" s="3">
        <f>2110.3+(1492.8-1371.7)+(-2.152506+(-1.522656--1.399134))+0-344.3--0.351186000000055</f>
        <v>1885.175158</v>
      </c>
      <c r="Y147" s="3">
        <f>2128.1+(1103-987.6)+(-2.170662+(-1.12506--1.007352))+0-345.8--0.352716000000055</f>
        <v>1895.7643459999999</v>
      </c>
      <c r="Z147" s="3">
        <f>2273+(902.9-748.7)+(-1.15923+(-0.460479--0.381837))+0-347.4--0.177173999999965</f>
        <v>2078.7393019999995</v>
      </c>
      <c r="AA147" s="3">
        <f>2280+(1117.1-926.9)+(-4.6512+(-2.278884--1.890876))+0-347.4--0.708695999999985</f>
        <v>2118.4694879999997</v>
      </c>
      <c r="AB147" s="3">
        <f>2282.8+(1473.5-1349.2)+(-2.328456+(-1.50297--1.376184))+0-352.2--0.359244000000056</f>
        <v>2052.8040020000008</v>
      </c>
      <c r="AC147" s="3">
        <f>2278.8+(1753.2-1687.3)+(-2.324376+(-1.788264--1.721046))+0-404.1--0.412182000000064</f>
        <v>1938.6205880000002</v>
      </c>
      <c r="AD147">
        <f t="shared" si="2"/>
        <v>43846.964922000006</v>
      </c>
      <c r="AE147" s="3">
        <f>2283+(1015.2-836.9)+(0+(0-0))+0-345.7-0</f>
        <v>2115.6000000000004</v>
      </c>
    </row>
    <row r="148" spans="1:31" s="2" customFormat="1" x14ac:dyDescent="0.25">
      <c r="A148">
        <v>89</v>
      </c>
      <c r="B148">
        <v>5</v>
      </c>
      <c r="C148">
        <v>24</v>
      </c>
      <c r="D148">
        <v>2</v>
      </c>
      <c r="E148">
        <v>1</v>
      </c>
      <c r="F148" s="3">
        <f>2163.4+(2356.3-2251)+(-3.310002+(-3.605139--3.44403))+0-419.7--0.642141000000024</f>
        <v>1846.1710300000004</v>
      </c>
      <c r="G148" s="3">
        <f>1832.3+(2356.3-2013.8)+(-0.934473+(-1.201713--1.027038))+0-409.8--0.208997999999958</f>
        <v>1764.0998500000003</v>
      </c>
      <c r="H148" s="3">
        <f>1584.9+(2226.7-1712.6)+(0.808299+(1.135617-0.873426))+0-427.4-0.217973999999957</f>
        <v>1672.4525160000001</v>
      </c>
      <c r="I148" s="3">
        <f>1558+(1930.2-1399.8)+(-3.17832+(-3.937608--2.855592))+0-418.9--0.854555999999982</f>
        <v>1666.0942200000002</v>
      </c>
      <c r="J148" s="3">
        <f>1557.8+(1925.9-1387.2)+(0.794478+(0.982209-0.707472))+0-405.2-0.206651999999959</f>
        <v>1692.1625630000001</v>
      </c>
      <c r="K148" s="3">
        <f>1558.9+(2331.4-1832.1)+(-2.385117+(-3.567042--2.803113))+0-412.9--0.631737000000024</f>
        <v>1642.7826910000001</v>
      </c>
      <c r="L148" s="3">
        <f>1556.3+(2228.2-1792.9)+(-3.174852+(-4.545528--3.657516))+0-426.3--0.869651999999981</f>
        <v>1562.1067879999998</v>
      </c>
      <c r="M148" s="3">
        <f>1557.1+(1943.9-1493.6)+(-1.588242+(-1.982778--1.523472))+0-405.8--0.413916000000065</f>
        <v>1599.9663680000001</v>
      </c>
      <c r="N148" s="3">
        <f>1558.9+(2151.9-1571.2)+(1.590078+(2.194938-1.602624))+0-418.4-0.426768000000067</f>
        <v>1722.9556240000004</v>
      </c>
      <c r="O148" s="3">
        <f>1613.2+(2149.3-1531.5)+(-3.290928+(-4.384572--3.12426))+0-398.9--0.813755999999982</f>
        <v>1828.3625160000001</v>
      </c>
      <c r="P148" s="3">
        <f>1791.1+(2098.2-1571.6)+(2.740383+(3.210246-2.404548))+0-429.8-0.657594000000025</f>
        <v>1890.7884869999998</v>
      </c>
      <c r="Q148" s="3">
        <f>2041.8+(1691.7-1387.5)+(-2.082636+(-1.725534--1.41525))+0-418--0.426360000000067</f>
        <v>1926.0334400000004</v>
      </c>
      <c r="R148" s="3">
        <f>2133.2+(1466.9-1249.2)+(0+(0-0))+0-416.3-0</f>
        <v>1934.5999999999997</v>
      </c>
      <c r="S148" s="3">
        <f>2230.7+(1391.1-1255.8)+(-2.275314+(-1.418922--1.280916))+0-412.3--0.420546000000066</f>
        <v>1951.707226</v>
      </c>
      <c r="T148" s="3">
        <f>2222.4+(1133.6-1029.4)+(1.133424+(0.578136-0.524994))+0-381-0.194309999999961</f>
        <v>1946.5922559999999</v>
      </c>
      <c r="U148" s="3">
        <f>2220.6+(1109.8-1135.3)+(-1.132506+(-0.565998--0.579003))+0-375.9--0.191708999999962</f>
        <v>1818.2722079999996</v>
      </c>
      <c r="V148" s="3">
        <f>2211.3+(1064.9-1104.4)+(-2.255526+(-1.086198--1.126488))+0-355.7--0.362814000000057</f>
        <v>1814.2475780000002</v>
      </c>
      <c r="W148" s="3">
        <f>2218.3+(1567.4-1601.6)+(0+(0-0))+0-340.3-0</f>
        <v>1843.8000000000004</v>
      </c>
      <c r="X148" s="3">
        <f>2201.4+(1459.7-1445.1)+(-2.245428+(-1.488894--1.474002))+0-353.5--0.360570000000056</f>
        <v>1860.6002500000002</v>
      </c>
      <c r="Y148" s="3">
        <f>2226.1+(1222.6-1276.6)+(0+(0-0))+0-366-0</f>
        <v>1806.1</v>
      </c>
      <c r="Z148" s="3">
        <f>2281.1+(1212.5-1058.8)+(-2.326722+(-1.23675--1.079976))+0-362.5--0.369750000000058</f>
        <v>2070.1862540000002</v>
      </c>
      <c r="AA148" s="3">
        <f>2284+(1206.2-1073.6)+(-2.32968+(-1.230324--1.095072))+0-366.2--0.373524000000058</f>
        <v>2048.3085920000003</v>
      </c>
      <c r="AB148" s="3">
        <f>2282.7+(1563.8-1488.3)+(-2.328354+(-1.595076--1.518066))+0-361.3--0.368526000000058</f>
        <v>1994.8631619999996</v>
      </c>
      <c r="AC148" s="3">
        <f>2283.6+(2013.2-1964.9)+(-2.329272+(-2.053464--2.004198))+0-413.6--0.421872000000066</f>
        <v>1916.3433339999999</v>
      </c>
      <c r="AD148">
        <f t="shared" si="2"/>
        <v>43819.596952999993</v>
      </c>
      <c r="AE148" s="3">
        <f>2280+(971-849.7)+(0+(0-0))+0-363.9-0</f>
        <v>2037.4</v>
      </c>
    </row>
    <row r="149" spans="1:31" s="2" customFormat="1" x14ac:dyDescent="0.25">
      <c r="A149">
        <v>89</v>
      </c>
      <c r="B149">
        <v>5</v>
      </c>
      <c r="C149">
        <v>25</v>
      </c>
      <c r="D149">
        <v>3</v>
      </c>
      <c r="E149">
        <v>1</v>
      </c>
      <c r="F149" s="3">
        <f>2267.7+(2218.7-2241.1)+(-8.095689+(-7.920759--8.000727))+0-402.8--1.43799600000001</f>
        <v>1835.9222749999997</v>
      </c>
      <c r="G149" s="3">
        <f>1932+(2128.3-1919.5)+(-4.9266+(-5.427165--4.894725))+0-412--1.05059999999994</f>
        <v>1724.39156</v>
      </c>
      <c r="H149" s="3">
        <f>1575.9+(2131.4-1649.9)+(-0.803709+(-1.087014--0.841449))+0-418--0.213179999999958</f>
        <v>1638.5639060000001</v>
      </c>
      <c r="I149" s="3">
        <f>1562.5+(1920.5-1482.3)+(0.796875+(0.979455-0.755973))+0-410.4-0.209303999999958</f>
        <v>1591.1110530000001</v>
      </c>
      <c r="J149" s="3">
        <f>1563.5+(1950-1457.3)+(0.797385+(0.9945-0.743223))+0-415.7-0.212006999999958</f>
        <v>1641.3366550000001</v>
      </c>
      <c r="K149" s="3">
        <f>1564.2+(2280.9-1826.1)+(-3.190968+(-4.653036--3.725244))+0-431.4--0.880055999999981</f>
        <v>1584.361296</v>
      </c>
      <c r="L149" s="3">
        <f>1562+(2105.8-1729.3)+(-3.18648+(-4.295832--3.527772))+0-371.3--0.757451999999984</f>
        <v>1564.0029120000004</v>
      </c>
      <c r="M149" s="3">
        <f>1563.1+(1696.3-1321.4)+(0+(0-0))+0-369.8-0</f>
        <v>1568.1999999999998</v>
      </c>
      <c r="N149" s="3">
        <f>1562.4+(1894.1-1398.5)+(0+(0-0))+0-371.6-0</f>
        <v>1686.4</v>
      </c>
      <c r="O149" s="3">
        <f>1647.6+(1974.9-1424)+(0+(0-0))+0-362.5-0</f>
        <v>1836</v>
      </c>
      <c r="P149" s="3">
        <f>1900+(1860.7-1534.5)+(2.907+(2.846871-2.347785))+0-359.2-0.549576000000021</f>
        <v>1869.8565099999996</v>
      </c>
      <c r="Q149" s="3">
        <f>2106.4+(1534.3-1366.9)+(2.148528+(1.564986-1.394238))+0-357.6-0.364752000000057</f>
        <v>1918.1545240000005</v>
      </c>
      <c r="R149" s="3">
        <f>2229.6+(1240-1189)+(4.548384+(2.5296-2.42556))+0-356.6-0.727463999999984</f>
        <v>1927.9249599999998</v>
      </c>
      <c r="S149" s="3">
        <f>2228.8+(968.3-966.9)+(-2.273376+(-0.987666--0.986238))+0-354.1--0.361182000000056</f>
        <v>1874.1863780000003</v>
      </c>
      <c r="T149" s="3">
        <f>2230.1+(680.7-663.7)+(2.274702+(0.694314-0.676974))+0-357.7-0.364854000000057</f>
        <v>1891.3271879999998</v>
      </c>
      <c r="U149" s="3">
        <f>2226.9+(626.1-615.7)+(2.271438+(0.638622-0.628014))+0-362.4-0.369648000000058</f>
        <v>1876.8123979999998</v>
      </c>
      <c r="V149" s="3">
        <f>2216.6+(693.2-652.4)+(-4.521864+(-1.414128--1.330896))+0-362.5--0.739499999999984</f>
        <v>1891.0344040000002</v>
      </c>
      <c r="W149" s="3">
        <f>2221.6+(1157.1-1161.3)+(-2.266032+(-1.180242--1.184526))+0-355.2--0.362304000000057</f>
        <v>1860.3005559999997</v>
      </c>
      <c r="X149" s="3">
        <f>2220.9+(1631.8-1654.3)+(-2.265318+(-1.664436--1.687386))+0-348.4--0.355368000000056</f>
        <v>1848.1129999999998</v>
      </c>
      <c r="Y149" s="3">
        <f>2227.9+(1616.1-1603.5)+(1.136229+(0.824211-0.817785))+0-348.8-0.177887999999965</f>
        <v>1892.6647670000002</v>
      </c>
      <c r="Z149" s="3">
        <f>2281.7+(928.2-760)+(-1.163667+(-0.473382--0.3876))+0-348.9--0.177938999999965</f>
        <v>2099.9284899999998</v>
      </c>
      <c r="AA149" s="3">
        <f>2276.7+(957-798.5)+(0+(0-0))+0-348.2-0</f>
        <v>2087</v>
      </c>
      <c r="AB149" s="3">
        <f>2260.9+(1406.9-1315.8)+(-2.306118+(-1.435038--1.342116))+0-350.5--0.357510000000056</f>
        <v>1999.4584700000003</v>
      </c>
      <c r="AC149" s="3">
        <f>2262.5+(1702.1-1664.9)+(-2.30775+(-1.736142--1.698198))+0-405.6--0.413712000000065</f>
        <v>1892.1680179999998</v>
      </c>
      <c r="AD149">
        <f t="shared" si="2"/>
        <v>43599.219319999989</v>
      </c>
      <c r="AE149" s="3">
        <f>2279+(781.6-637.5)+(0+(0-0))+0-344.2-0</f>
        <v>2078.9</v>
      </c>
    </row>
    <row r="150" spans="1:31" s="2" customFormat="1" x14ac:dyDescent="0.25">
      <c r="A150">
        <v>89</v>
      </c>
      <c r="B150">
        <v>5</v>
      </c>
      <c r="C150">
        <v>26</v>
      </c>
      <c r="D150">
        <v>4</v>
      </c>
      <c r="E150">
        <v>1</v>
      </c>
      <c r="F150" s="3">
        <f>2109.5+(2219.2-2099)+(-4.30338+(-4.527168--4.28196))+0-397.5--0.810899999999983</f>
        <v>1828.4623119999997</v>
      </c>
      <c r="G150" s="3">
        <f>1815.5+(2430.9-2127.3)+(-1.85181+(-2.479518--2.169846))+0-395.6--0.403512000000063</f>
        <v>1721.7420300000001</v>
      </c>
      <c r="H150" s="3">
        <f>1554.4+(2272.7-1776)+(-0.792744+(-1.159077--0.90576))+0-408.8--0.208487999999959</f>
        <v>1641.4624269999999</v>
      </c>
      <c r="I150" s="3">
        <f>1550.2+(2047-1583.7)+(-3.162408+(-4.17588--3.230748))+0-371.2--0.757247999999984</f>
        <v>1638.9497079999999</v>
      </c>
      <c r="J150" s="3">
        <f>1553.2+(1941.5-1458.9)+(1.584264+(1.98033-1.488078))+0-421.6-0.430032000000067</f>
        <v>1615.8464839999999</v>
      </c>
      <c r="K150" s="3">
        <f>1552.3+(1956-1496.5)+(-1.583346+(-1.99512--1.52643))+0-400.6--0.408612000000064</f>
        <v>1609.5565759999999</v>
      </c>
      <c r="L150" s="3">
        <f>1552+(1945.8-1565.4)+(-3.16608+(-3.969432--3.193416))+0-406.6--0.829463999999982</f>
        <v>1522.6873679999999</v>
      </c>
      <c r="M150" s="3">
        <f>1550.3+(1664.7-1286.2)+(0.790653+(0.848997-0.655962))+0-419.8-0.214097999999957</f>
        <v>1509.7695900000001</v>
      </c>
      <c r="N150" s="3">
        <f>1553.6+(1786.2-1309.4)+(0+(0-0))+0-381.8-0</f>
        <v>1648.6</v>
      </c>
      <c r="O150" s="3">
        <f>1595.3+(1990.3-1413.2)+(0+(0-0))+0-405.7-0</f>
        <v>1766.6999999999996</v>
      </c>
      <c r="P150" s="3">
        <f>1877.6+(1644.9-1243.7)+(1.915152+(1.677798-1.268574))+0-420.5-0.428910000000067</f>
        <v>1860.1954660000001</v>
      </c>
      <c r="Q150" s="3">
        <f>2144.6+(1078.5-915.4)+(2.187492+(1.10007-0.933708))+0-427-0.435540000000068</f>
        <v>1882.6183139999996</v>
      </c>
      <c r="R150" s="3">
        <f>2217.2+(708.2-602.8)+(0+(0-0))+0-373.6-0</f>
        <v>1949</v>
      </c>
      <c r="S150" s="3">
        <f>2217.4+(608.1-552.6)+(0+(0-0))+0-386.2-0</f>
        <v>1886.7</v>
      </c>
      <c r="T150" s="3">
        <f>2218+(431.5-417.4)+(0+(0-0))+0-370-0</f>
        <v>1862.1</v>
      </c>
      <c r="U150" s="3">
        <f>2217.7+(423.8-436)+(-1.131027+(-0.216138--0.22236))+0-368.8--0.188087999999963</f>
        <v>1835.763283</v>
      </c>
      <c r="V150" s="3">
        <f>2214.8+(498-451.4)+(-1.129548+(-0.25398--0.230214))+0-372.4--0.189923999999962</f>
        <v>1888.0366099999999</v>
      </c>
      <c r="W150" s="3">
        <f>2214.7+(899.8-849)+(-4.517988+(-1.835592--1.73196))+0-374--0.762959999999984</f>
        <v>1887.6413400000001</v>
      </c>
      <c r="X150" s="3">
        <f>2213+(1330.2-1281)+(-3.38589+(-2.035206--1.95993))+0-368.7--0.564111000000021</f>
        <v>1890.6029449999996</v>
      </c>
      <c r="Y150" s="3">
        <f>2222.4+(1266.7-1213.3)+(1.133424+(0.646017-0.618783))+0-363.1-0.185180999999963</f>
        <v>1913.675477</v>
      </c>
      <c r="Z150" s="3">
        <f>2262.1+(627.3-453.1)+(-1.153671+(-0.319923--0.231081))+0-367.6--0.187475999999963</f>
        <v>2067.6449629999997</v>
      </c>
      <c r="AA150" s="3">
        <f>2283+(679.2-496.3)+(-3.49299+(-1.039176--0.759339))+0-369.4--0.565182000000021</f>
        <v>2093.292355</v>
      </c>
      <c r="AB150" s="3">
        <f>2280.7+(1061-918.6)+(1.163157+(0.54111-0.468486))+0-369.8-0.188597999999962</f>
        <v>2054.3471829999994</v>
      </c>
      <c r="AC150" s="3">
        <f>2281.3+(1438.2-1344.9)+(0+(0-0))+0-416.4-0</f>
        <v>1958.2000000000003</v>
      </c>
      <c r="AD150">
        <f t="shared" si="2"/>
        <v>43533.594430999983</v>
      </c>
      <c r="AE150" s="3">
        <f>2278+(655.7-500.2)+(0+(0-0))+0-367.8-0</f>
        <v>2065.6999999999998</v>
      </c>
    </row>
    <row r="151" spans="1:31" s="2" customFormat="1" x14ac:dyDescent="0.25">
      <c r="A151">
        <v>89</v>
      </c>
      <c r="B151">
        <v>5</v>
      </c>
      <c r="C151">
        <v>27</v>
      </c>
      <c r="D151">
        <v>5</v>
      </c>
      <c r="E151">
        <v>1</v>
      </c>
      <c r="F151" s="3">
        <f>2250.6+(2155.5-2073.4)+(-3.443418+(-3.297915--3.172302))+0-426.5--0.652545000000025</f>
        <v>1903.2835139999997</v>
      </c>
      <c r="G151" s="3">
        <f>2044.8+(2252.9-2102.1)+(-1.042848+(-1.148979--1.072071))+0-419.2--0.213791999999957</f>
        <v>1775.4940360000003</v>
      </c>
      <c r="H151" s="3">
        <f>1659.5+(2177.3-1727.3)+(-0.846345+(-1.110423--0.880923))+0-409.5--0.208844999999958</f>
        <v>1699.133</v>
      </c>
      <c r="I151" s="3">
        <f>1555.1+(2129.7-1608.2)+(0+(0-0))+0-371.4-0</f>
        <v>1705.1999999999994</v>
      </c>
      <c r="J151" s="3">
        <f>1556.9+(1971.8-1418.4)+(-2.382057+(-3.016854--2.170152))+0-421.1--0.644283000000024</f>
        <v>1686.6155240000003</v>
      </c>
      <c r="K151" s="3">
        <f>1556.2+(1988-1476.3)+(-2.380986+(-3.04164--2.258739))+0-410.4--0.627912000000024</f>
        <v>1654.9640249999998</v>
      </c>
      <c r="L151" s="3">
        <f>1555.9+(1923.3-1493.5)+(-1.587018+(-1.961766--1.52337))+0-425.6--0.434112000000068</f>
        <v>1558.5086980000003</v>
      </c>
      <c r="M151" s="3">
        <f>1554.9+(1523-1050.9)+(0.792999+(0.77673-0.535959))+0-411.7-0.209966999999958</f>
        <v>1616.123803</v>
      </c>
      <c r="N151" s="3">
        <f>1557+(1682-1037.7)+(-1.58814+(-1.71564--1.058454))+0-416.3--0.424626000000066</f>
        <v>1783.1793</v>
      </c>
      <c r="O151" s="3">
        <f>1568.5+(2201.9-1447.7)+(0+(0-0))+0-425.6-0</f>
        <v>1897.1</v>
      </c>
      <c r="P151" s="3">
        <f>1797.1+(1799.6-1301.1)+(1.833042+(1.835592-1.327122))+0-418.4-0.426768000000067</f>
        <v>1879.1147439999997</v>
      </c>
      <c r="Q151" s="3">
        <f>2027.6+(1276.8-1031.8)+(0+(0-0))+0-419.3-0</f>
        <v>1853.3</v>
      </c>
      <c r="R151" s="3">
        <f>2210.9+(716.4-580.2)+(1.127559+(0.365364-0.295902))+0-419.8-0.214097999999957</f>
        <v>1928.282923</v>
      </c>
      <c r="S151" s="3">
        <f>2235.4+(622.4-531.2)+(0+(0-0))+0-433.9-0</f>
        <v>1892.6999999999998</v>
      </c>
      <c r="T151" s="3">
        <f>2236.1+(544.2-449.6)+(1.140411+(0.277542-0.229296))+0-428.3-0.218432999999957</f>
        <v>1903.370224</v>
      </c>
      <c r="U151" s="3">
        <f>2234.2+(489.8-456.5)+(0+(0-0))+0-375.9-0</f>
        <v>1891.6</v>
      </c>
      <c r="V151" s="3">
        <f>2230.9+(502.2-535.6)+(-1.137759+(-0.256122--0.273156))+0-371.3--0.189362999999962</f>
        <v>1825.2686379999998</v>
      </c>
      <c r="W151" s="3">
        <f>2227.4+(817.7-895.9)+(-2.271948+(-0.834054--0.913818))+0-372.4--0.379848000000059</f>
        <v>1774.9876640000002</v>
      </c>
      <c r="X151" s="3">
        <f>2227+(1324.1-1304.9)+(-1.13577+(-0.675291--0.665499))+0-370.7--0.189056999999962</f>
        <v>1874.5434949999997</v>
      </c>
      <c r="Y151" s="3">
        <f>2227+(1322-1316.8)+(0+(0-0))+0-372.7-0</f>
        <v>1859.4999999999998</v>
      </c>
      <c r="Z151" s="3">
        <f>2280+(585.2-380.6)+(0+(0-0))+0-372.5-0</f>
        <v>2112.1</v>
      </c>
      <c r="AA151" s="3">
        <f>2278.3+(645.3-546.6)+(-3.485799+(-0.987309--0.836298))+0-370.2--0.566406000000021</f>
        <v>2003.7295959999999</v>
      </c>
      <c r="AB151" s="3">
        <f>2279.3+(978.2-852.7)+(-1.162443+(-0.498882--0.434877))+0-368.1--0.187730999999963</f>
        <v>2035.6612830000004</v>
      </c>
      <c r="AC151" s="3">
        <f>2278+(1361.6-1339.7)+(-2.32356+(-1.388832--1.366494))+0-411.1--0.419322000000066</f>
        <v>1886.8734239999997</v>
      </c>
      <c r="AD151">
        <f t="shared" si="2"/>
        <v>44000.63389099999</v>
      </c>
      <c r="AE151" s="3">
        <f>2274+(625.2-481.1)+(0+(0-0))+0-378-0</f>
        <v>2040.1</v>
      </c>
    </row>
    <row r="152" spans="1:31" s="2" customFormat="1" x14ac:dyDescent="0.25">
      <c r="A152">
        <v>89</v>
      </c>
      <c r="B152">
        <v>5</v>
      </c>
      <c r="C152">
        <v>28</v>
      </c>
      <c r="D152">
        <v>6</v>
      </c>
      <c r="E152">
        <v>1</v>
      </c>
      <c r="F152" s="3">
        <f>2205.7+(1841.6-1775.9)+(-2.249814+(-1.878432--1.811418))+0-414.8--0.423096000000066</f>
        <v>1854.7062679999997</v>
      </c>
      <c r="G152" s="3">
        <f>2087.5+(2031.8-1954.5)+(-3.193875+(-3.108654--2.990385))+0-413.2--0.632196000000024</f>
        <v>1748.9200520000002</v>
      </c>
      <c r="H152" s="3">
        <f>1809.6+(2172.5-1910.1)+(0.922896+(1.107975-0.974151))+0-384.4-0.196043999999961</f>
        <v>1688.4606759999999</v>
      </c>
      <c r="I152" s="3">
        <f>1563.4+(1973.4-1513.7)+(0+(0-0))+0-419.8-0</f>
        <v>1603.3000000000002</v>
      </c>
      <c r="J152" s="3">
        <f>1562.2+(1748.5-1248.1)+(0+(0-0))+0-410.7-0</f>
        <v>1651.9000000000003</v>
      </c>
      <c r="K152" s="3">
        <f>1562+(1890.3-1419.2)+(-3.18648+(-3.856212--2.895168))+0-423.1--0.863123999999982</f>
        <v>1606.7156</v>
      </c>
      <c r="L152" s="3">
        <f>1562+(1858.2-1463.8)+(-3.18648+(-3.790728--2.986152))+0-421.1--0.859043999999982</f>
        <v>1532.1679879999999</v>
      </c>
      <c r="M152" s="3">
        <f>1559.6+(1597.2-1209.2)+(-1.590792+(-1.629144--1.233384))+0-399.8--0.407796000000064</f>
        <v>1546.2212439999998</v>
      </c>
      <c r="N152" s="3">
        <f>1561.5+(1506.5-1032.9)+(-0.796365+(-0.768315--0.526779))+0-402.9--0.205478999999959</f>
        <v>1631.3675780000001</v>
      </c>
      <c r="O152" s="3">
        <f>1601.9+(1590.3-1027.9)+(1.633938+(1.622106-1.048458))+0-374-0.38148000000006</f>
        <v>1792.1261060000002</v>
      </c>
      <c r="P152" s="3">
        <f>1867.8+(1205.4-775.6)+(1.905156+(1.229508-0.791112))+0-408.5-0.416670000000065</f>
        <v>1891.0268819999997</v>
      </c>
      <c r="Q152" s="3">
        <f>2087.2+(859.7-696.9)+(0+(0-0))+0-399.6-0</f>
        <v>1850.4</v>
      </c>
      <c r="R152" s="3">
        <f>2220.1+(812.8-686.3)+(0+(0-0))+0-401.9-0</f>
        <v>1944.6999999999998</v>
      </c>
      <c r="S152" s="3">
        <f>2224.9+(858.3-827.8)+(-1.134699+(-0.437733--0.422178))+0-409.9--0.209048999999958</f>
        <v>1844.5587949999999</v>
      </c>
      <c r="T152" s="3">
        <f>2221.2+(841.9-803.7)+(1.132812+(0.429369-0.409887))+0-380-0.193799999999961</f>
        <v>1880.3584939999996</v>
      </c>
      <c r="U152" s="3">
        <f>2220+(857.3-833.1)+(2.2644+(0.874446-0.849762))+0-363.2-0.370464000000058</f>
        <v>1882.9186199999997</v>
      </c>
      <c r="V152" s="3">
        <f>2220.1+(810.7-802.8)+(-1.132251+(-0.413457--0.409428))+0-351.8--0.179417999999964</f>
        <v>1875.2431379999998</v>
      </c>
      <c r="W152" s="3">
        <f>2219.6+(1313.8-1314.1)+(-3.395988+(-2.010114--2.010573))+0-370.8--0.567324000000021</f>
        <v>1845.6717950000004</v>
      </c>
      <c r="X152" s="3">
        <f>2219.2+(1590.9-1628.2)+(-3.395376+(-2.434077--2.491146))+0-368.3--0.563499000000021</f>
        <v>1810.8251919999998</v>
      </c>
      <c r="Y152" s="3">
        <f>2243.5+(1337.5-1268.9)+(-1.144185+(-0.682125--0.647139))+0-375.9--0.191708999999962</f>
        <v>1935.2125379999995</v>
      </c>
      <c r="Z152" s="3">
        <f>2282+(466.9-457.7)+(1.16382+(0.238119-0.233427))+0-378-0.192779999999962</f>
        <v>1914.1757320000002</v>
      </c>
      <c r="AA152" s="3">
        <f>2283.3+(522.9-459.3)+(-3.493449+(-0.800037--0.702729))+0-374.9--0.573597000000022</f>
        <v>1968.9828400000001</v>
      </c>
      <c r="AB152" s="3">
        <f>2282+(900.6-684.7)+(-2.32764+(-0.918612--0.698394))+0-372.7--0.380154000000059</f>
        <v>2123.0322960000003</v>
      </c>
      <c r="AC152" s="3">
        <f>2282.8+(1092.1-918.5)+(0+(0-0))+0-374.6-0</f>
        <v>2081.8000000000002</v>
      </c>
      <c r="AD152">
        <f t="shared" si="2"/>
        <v>43504.791834000003</v>
      </c>
      <c r="AE152" s="3">
        <f>2281+(512-601.3)+(0+(0-0))+0-373.4-0</f>
        <v>1818.2999999999997</v>
      </c>
    </row>
    <row r="153" spans="1:31" s="2" customFormat="1" x14ac:dyDescent="0.25">
      <c r="A153">
        <v>89</v>
      </c>
      <c r="B153">
        <v>5</v>
      </c>
      <c r="C153">
        <v>29</v>
      </c>
      <c r="D153">
        <v>7</v>
      </c>
      <c r="E153">
        <v>1</v>
      </c>
      <c r="F153" s="3">
        <f>2246.1+(1576.5-1549.3)+(-2.291022+(-1.60803--1.580286))+0-371.3--0.378726000000059</f>
        <v>1900.0599600000005</v>
      </c>
      <c r="G153" s="3">
        <f>1945.3+(1775-1575.7)+(1.984206+(1.8105-1.607214))+0-363.5-0.370770000000058</f>
        <v>1782.9167219999999</v>
      </c>
      <c r="H153" s="3">
        <f>1598.6+(1705.7-1213)+(-0.815286+(-0.869907--0.61863))+0-361.6--0.184415999999963</f>
        <v>1728.8178530000005</v>
      </c>
      <c r="I153" s="3">
        <f>1559.4+(1748.9-1229.7)+(-3.97647+(-4.459695--3.135735))+0-358.5--0.914174999999948</f>
        <v>1715.7137450000005</v>
      </c>
      <c r="J153" s="3">
        <f>1560+(1737.7-1189)+(0.7956+(0.886227-0.60639))+0-357.7-0.182426999999964</f>
        <v>1751.8930099999998</v>
      </c>
      <c r="K153" s="3">
        <f>1558.1+(1654.7-1181.6)+(-5.562417+(-5.907279--4.218312))+0-355.1--1.26770700000001</f>
        <v>1670.1163230000002</v>
      </c>
      <c r="L153" s="3">
        <f>1559+(1461.4-1121.3)+(-3.18036+(-2.981256--2.287452))+0-355.9--0.726035999999984</f>
        <v>1540.051872</v>
      </c>
      <c r="M153" s="3">
        <f>1566.1+(1307.3-1012.4)+(-0.798711+(-0.666723--0.516324))+0-360.9--0.184058999999963</f>
        <v>1499.3349489999998</v>
      </c>
      <c r="N153" s="3">
        <f>1578.2+(1266.5-946.9)+(-0.804882+(-0.645915--0.482919))+0-360.1--0.183650999999963</f>
        <v>1536.9157730000004</v>
      </c>
      <c r="O153" s="3">
        <f>1665.8+(1268.3-961.5)+(0+(0-0))+0-380.5-0</f>
        <v>1592.1</v>
      </c>
      <c r="P153" s="3">
        <f>1745.9+(1384.9-1039.2)+(0.890409+(0.706299-0.529992))+0-383.9-0.195788999999961</f>
        <v>1708.5709270000002</v>
      </c>
      <c r="Q153" s="3">
        <f>1786.4+(1715.1-1269.8)+(-1.822128+(-1.749402--1.295196))+0-378.2--0.38576400000006</f>
        <v>1851.6094299999997</v>
      </c>
      <c r="R153" s="3">
        <f>2086.2+(1836-1540.8)+(-1.063962+(-0.93636--0.785808))+0-376.8--0.192167999999962</f>
        <v>2003.5776539999999</v>
      </c>
      <c r="S153" s="3">
        <f>2223.6+(1361.9-1389.8)+(0+(0-0))+0-378.4-0</f>
        <v>1817.2999999999997</v>
      </c>
      <c r="T153" s="3">
        <f>2224.3+(1131.1-1209.7)+(0+(0-0))+0-376.6-0</f>
        <v>1769.1</v>
      </c>
      <c r="U153" s="3">
        <f>2224.4+(1167-1202)+(-1.134444+(-0.59517--0.61302))+0-365.6--0.186455999999963</f>
        <v>1822.869862</v>
      </c>
      <c r="V153" s="3">
        <f>2198.3+(1157-1153.1)+(-3.363399+(-1.77021--1.764243))+0-377.8--0.578034000000022</f>
        <v>1821.6086680000005</v>
      </c>
      <c r="W153" s="3">
        <f>2017.4+(1395.3-1199.6)+(-1.028874+(-0.711603--0.611796))+0-379.5--0.193544999999961</f>
        <v>1832.6648640000001</v>
      </c>
      <c r="X153" s="3">
        <f>1983.6+(1466.9-1244.5)+(-7.081452+(-5.236833--4.442865))+0-379.8--1.35588600000001</f>
        <v>1819.6804660000003</v>
      </c>
      <c r="Y153" s="3">
        <f>2040.2+(916.4-856.4)+(-1.040502+(-0.467364--0.436764))+0-377.8--0.192677999999962</f>
        <v>1721.5215759999999</v>
      </c>
      <c r="Z153" s="3">
        <f>2261.6+(673.9-609.5)+(0+(0-0))+0-375.9-0</f>
        <v>1950.1</v>
      </c>
      <c r="AA153" s="3">
        <f>2273.7+(596.2-549.2)+(0+(0-0))+0-374-0</f>
        <v>1946.6999999999998</v>
      </c>
      <c r="AB153" s="3">
        <f>2215+(604.7-537.7)+(-2.2593+(-0.616794--0.548454))+0-373.8--0.38127600000006</f>
        <v>1906.2536360000001</v>
      </c>
      <c r="AC153" s="3">
        <f>2150.5+(839-708.9)+(-2.19351+(-0.85578--0.723078))+0-406.2--0.414324000000065</f>
        <v>1872.488112</v>
      </c>
      <c r="AD153">
        <f t="shared" si="2"/>
        <v>42561.965401999994</v>
      </c>
      <c r="AE153" s="3">
        <f>2259+(652.2-560.6)+(0+(0-0))+0-373-0</f>
        <v>1977.6</v>
      </c>
    </row>
    <row r="154" spans="1:31" s="2" customFormat="1" x14ac:dyDescent="0.25">
      <c r="A154">
        <v>89</v>
      </c>
      <c r="B154">
        <v>5</v>
      </c>
      <c r="C154">
        <v>30</v>
      </c>
      <c r="D154">
        <v>1</v>
      </c>
      <c r="E154">
        <v>1</v>
      </c>
      <c r="F154" s="3">
        <f>2082.9+(1266.1-1091.7)+(-3.186837+(-1.937133--1.670301))+0-433.3--0.662949000000025</f>
        <v>1821.2092800000003</v>
      </c>
      <c r="G154" s="3">
        <f>1743.3+(1780.4-1310.9)+(-1.778166+(-1.816008--1.337118))+0-425--0.433500000000068</f>
        <v>1785.9764440000004</v>
      </c>
      <c r="H154" s="3">
        <f>1544+(1926.8-1330.2)+(-2.36232+(-2.948004--2.035206))+0-418.4--0.640152000000024</f>
        <v>1719.5650339999997</v>
      </c>
      <c r="I154" s="3">
        <f>1522.4+(1703.9-1145.9)+(-0.776424+(-0.868989--0.584409))+0-442.3--0.225572999999955</f>
        <v>1637.2645689999999</v>
      </c>
      <c r="J154" s="3">
        <f>1521.1+(1553.8-1082.3)+(-3.878805+(-3.96219--2.759865))+0-417.6--1.06487999999994</f>
        <v>1570.9837499999999</v>
      </c>
      <c r="K154" s="3">
        <f>1523.9+(1499.2-1015.9)+(-2.331567+(-2.293776--1.554327))+0-429.5--0.657135000000025</f>
        <v>1575.2861190000001</v>
      </c>
      <c r="L154" s="3">
        <f>1522.1+(1335.9-986.2)+(-2.328813+(-2.043927--1.508886))+0-367.2--0.561816000000021</f>
        <v>1502.2979619999999</v>
      </c>
      <c r="M154" s="3">
        <f>1523+(1373.1-1011.3)+(3.10692+(2.801124-2.063052))+0-371.4-0.757655999999984</f>
        <v>1516.4873359999999</v>
      </c>
      <c r="N154" s="3">
        <f>1531.5+(1775.3-1147.7)+(1.56213+(1.810806-1.170654))+0-359.8-0.366996000000057</f>
        <v>1801.1352860000002</v>
      </c>
      <c r="O154" s="3">
        <f>1603.7+(1617.5-969.4)+(0.817887+(0.824925-0.494394))+0-369.4-0.188393999999963</f>
        <v>1883.3600240000003</v>
      </c>
      <c r="P154" s="3">
        <f>1747.3+(1145.7-654.2)+(2.673369+(1.752921-1.000926))+0-360.6-0.551718000000021</f>
        <v>1881.0736460000005</v>
      </c>
      <c r="Q154" s="3">
        <f>1910.3+(587.1-312.2)+(3.897012+(1.197684-0.636888))+0-360.7-0.735827999999984</f>
        <v>1828.2219799999998</v>
      </c>
      <c r="R154" s="3">
        <f>2049.1+(454.3-303.6)+(2.090082+(0.463386-0.309672))+0-358.3-0.365466000000057</f>
        <v>1843.37833</v>
      </c>
      <c r="S154" s="3">
        <f>2048+(637.5-424.1)+(-1.04448+(-0.325125--0.216291))+0-359.2--0.183191999999964</f>
        <v>1901.2298779999999</v>
      </c>
      <c r="T154" s="3">
        <f>2049+(777-588)+(1.04499+(0.39627-0.29988))+0-366.6-0.186965999999963</f>
        <v>1872.3544140000001</v>
      </c>
      <c r="U154" s="3">
        <f>2050.2+(796.9-539.6)+(0+(0-0))+0-367.6-0</f>
        <v>1939.9</v>
      </c>
      <c r="V154" s="3">
        <f>2047+(697.2-398.3)+(0+(0-0))+0-369.8-0</f>
        <v>1976.1000000000001</v>
      </c>
      <c r="W154" s="3">
        <f>2045.9+(716.2-418)+(0+(0-0))+0-369.5-0</f>
        <v>1974.6000000000004</v>
      </c>
      <c r="X154" s="3">
        <f>2038.6+(780.6-573.5)+(0+(0-0))+0-367.5-0</f>
        <v>1878.1999999999998</v>
      </c>
      <c r="Y154" s="3">
        <f>2105+(756-599.3)+(1.07355+(0.38556-0.305643))+0-359.2-0.183191999999964</f>
        <v>1903.4702749999999</v>
      </c>
      <c r="Z154" s="3">
        <f>2269.3+(586.1-385.2)+(0+(0-0))+0-379.4-0</f>
        <v>2090.8000000000002</v>
      </c>
      <c r="AA154" s="3">
        <f>2285.5+(624.3-394.3)+(-2.33121+(-0.636786--0.402186))+0-368.3--0.375666000000059</f>
        <v>2145.0098559999997</v>
      </c>
      <c r="AB154" s="3">
        <f>2273.1+(995.8-820.8)+(0+(0-0))+0-366.5-0</f>
        <v>2081.6</v>
      </c>
      <c r="AC154" s="3">
        <f>2270.1+(1375.8-1150)+(-3.473253+(-2.104974--1.7595))+0-433.1--0.662643000000025</f>
        <v>2059.643916</v>
      </c>
      <c r="AD154">
        <f t="shared" si="2"/>
        <v>44189.148098999998</v>
      </c>
      <c r="AE154" s="3">
        <f>2285+(775.5-471.9)+(0+(0-0))+0-387.9-0</f>
        <v>2200.6999999999998</v>
      </c>
    </row>
    <row r="155" spans="1:31" s="2" customFormat="1" x14ac:dyDescent="0.25">
      <c r="A155">
        <v>89</v>
      </c>
      <c r="B155">
        <v>5</v>
      </c>
      <c r="C155">
        <v>31</v>
      </c>
      <c r="D155">
        <v>2</v>
      </c>
      <c r="E155">
        <v>1</v>
      </c>
      <c r="F155" s="3">
        <f>2223.1+(2121.1-2150.8)+(-2.267562+(-2.163522--2.193816))+0-434--0.442680000000069</f>
        <v>1757.6054119999999</v>
      </c>
      <c r="G155" s="3">
        <f>1894.2+(2214.3-1993.1)+(-1.932084+(-2.258586--2.032962))+0-455--0.464100000000073</f>
        <v>1658.7063920000005</v>
      </c>
      <c r="H155" s="3">
        <f>1547.5+(2377.7-1873.8)+(0.789225+(1.212627-0.955638))+0-453.3-0.231182999999954</f>
        <v>1598.9150309999998</v>
      </c>
      <c r="I155" s="3">
        <f>1530.1+(2433.2-1881.2)+(-0.780351+(-1.240932--0.959412))+0-435.5--0.222104999999956</f>
        <v>1645.7602339999996</v>
      </c>
      <c r="J155" s="3">
        <f>1528.7+(2242.7-1680.6)+(-1.559274+(-2.287554--1.714212))+0-438.3--0.44706600000007</f>
        <v>1650.8144500000005</v>
      </c>
      <c r="K155" s="3">
        <f>1528.6+(2144.1-1607)+(-0.779586+(-1.093491--0.81957))+0-430.7--0.219656999999956</f>
        <v>1634.1661499999996</v>
      </c>
      <c r="L155" s="3">
        <f>1528.7+(2070-1617.3)+(-4.677822+(-6.3342--4.948938))+0-421.9--1.29101400000005</f>
        <v>1554.7279300000002</v>
      </c>
      <c r="M155" s="3">
        <f>1529.1+(2053.6-1578.6)+(0+(0-0))+0-425.6-0</f>
        <v>1578.5</v>
      </c>
      <c r="N155" s="3">
        <f>1520+(2067-1542)+(0+(0-0))+0-449-0</f>
        <v>1596</v>
      </c>
      <c r="O155" s="3">
        <f>1522+(2105-1527)+(0+(0-0))+0-418-0</f>
        <v>1682</v>
      </c>
      <c r="P155" s="3">
        <f>1679.8+(2115-1527.9)+(1.713396+(2.1573-1.558458))+0-346.3-0.353226000000055</f>
        <v>1922.5590119999997</v>
      </c>
      <c r="Q155" s="3">
        <f>1929.4+(1809.1-1339.5)+(-1.967988+(-1.845282--1.36629))+0-437.4--0.44614800000007</f>
        <v>1959.5991679999997</v>
      </c>
      <c r="R155" s="3">
        <f>2051.4+(1528.4-1172.4)+(2.092428+(1.558968-1.195848))+0-372-0.379440000000059</f>
        <v>2037.4761079999998</v>
      </c>
      <c r="S155" s="3">
        <f>2050.5+(1574.8-1235)+(-3.137265+(-2.409444--1.88955))+0-412.1--0.630513000000024</f>
        <v>1975.1733540000005</v>
      </c>
      <c r="T155" s="3">
        <f>2049.5+(1493.5-1162.1)+(-1.045245+(-0.761685--0.592671))+0-417.5--0.212924999999958</f>
        <v>1962.3986660000003</v>
      </c>
      <c r="U155" s="3">
        <f>2050.4+(1515.9-1258.7)+(0+(0-0))+0-367.9-0</f>
        <v>1939.7000000000003</v>
      </c>
      <c r="V155" s="3">
        <f>2041.1+(1677.4-1394.4)+(-2.081922+(-1.710948--1.422288))+0-391.6--0.399432000000062</f>
        <v>1930.5288500000001</v>
      </c>
      <c r="W155" s="3">
        <f>2046.8+(1891.5-1636.7)+(-3.131604+(-2.893995--2.504151))+0-393.1--0.601443000000023</f>
        <v>1905.5799950000001</v>
      </c>
      <c r="X155" s="3">
        <f>2048.5+(1925.5-1700.9)+(-2.08947+(-1.96401--1.734918))+0-392.8--0.400656000000063</f>
        <v>1878.3820940000001</v>
      </c>
      <c r="Y155" s="3">
        <f>2135.3+(1952-1771.1)+(-2.178006+(-1.99104--1.806522))+0-393--0.400860000000063</f>
        <v>1921.2383360000001</v>
      </c>
      <c r="Z155" s="3">
        <f>2257.9+(1645.4-1380.9)+(-1.151529+(-0.839154--0.704259))+0-368.6--0.187985999999963</f>
        <v>2152.7015620000002</v>
      </c>
      <c r="AA155" s="3">
        <f>2272.9+(1373.6-1136.2)+(-3.477537+(-2.101608--1.738386))+0-366.4--0.560592000000021</f>
        <v>2140.6198329999997</v>
      </c>
      <c r="AB155" s="3">
        <f>2281.4+(1726.9-1542.2)+(0+(0-0))+0-390.2-0</f>
        <v>2075.9000000000005</v>
      </c>
      <c r="AC155" s="3">
        <f>2280.5+(2290.4-2146)+(-1.163055+(-1.168104--1.09446))+0-423.4--0.215933999999957</f>
        <v>2000.479235</v>
      </c>
      <c r="AD155">
        <f t="shared" si="2"/>
        <v>44159.531812000001</v>
      </c>
      <c r="AE155" s="3">
        <f>2284+(1475.3-1143.4)+(0+(0-0))+0-367.8-0</f>
        <v>2248.0999999999995</v>
      </c>
    </row>
    <row r="156" spans="1:31" s="2" customFormat="1" x14ac:dyDescent="0.25">
      <c r="A156">
        <v>89</v>
      </c>
      <c r="B156">
        <v>6</v>
      </c>
      <c r="C156">
        <v>1</v>
      </c>
      <c r="D156">
        <v>3</v>
      </c>
      <c r="E156">
        <v>1</v>
      </c>
      <c r="F156" s="3">
        <f>2116.8+(2497.7-2308.4)+(0+(0-0))+0-432.3-0</f>
        <v>1873.8</v>
      </c>
      <c r="G156" s="3">
        <f>1778.4+(2479.3-2068.5)+(-3.627936+(-5.057772--4.21974))+0-441.3--0.900251999999981</f>
        <v>1744.3342840000003</v>
      </c>
      <c r="H156" s="3">
        <f>1625.6+(2632.4-2084)+(2.487168+(4.027572-3.18852))+0-446.7-0.683451000000026</f>
        <v>1729.9427689999998</v>
      </c>
      <c r="I156" s="3">
        <f>1531.5+(2538.8-2019.6)+(-1.56213+(-2.589576--2.059992))+0-437.1--0.44584200000007</f>
        <v>1611.9541280000003</v>
      </c>
      <c r="J156" s="3">
        <f>1534.3+(2376.7-1959.9)+(-0.782493+(-1.212117--0.999549))+0-431.9--0.220268999999956</f>
        <v>1518.4252079999997</v>
      </c>
      <c r="K156" s="3">
        <f>1532.2+(2395-1992.8)+(-0.781422+(-1.22145--1.016328))+0-394.1--0.20099099999996</f>
        <v>1539.5144469999998</v>
      </c>
      <c r="L156" s="3">
        <f>1532.3+(2267.5-1981.2)+(-1.562946+(-2.31285--2.020824))+0-388.9--0.396678000000062</f>
        <v>1428.2417059999998</v>
      </c>
      <c r="M156" s="3">
        <f>1531.1+(2119.6-1769.8)+(1.561722+(2.161992-1.805196))+0-391.5-0.399330000000062</f>
        <v>1490.9191879999998</v>
      </c>
      <c r="N156" s="3">
        <f>1531.4+(2293.4-1818.9)+(0.781014+(1.169634-0.927639))+0-389.9-0.19884899999996</f>
        <v>1616.8241600000001</v>
      </c>
      <c r="O156" s="3">
        <f>1551.7+(2328.1-1789.3)+(0.791367+(1.187331-0.912543))+0-377.9-0.192728999999962</f>
        <v>1713.473426</v>
      </c>
      <c r="P156" s="3">
        <f>1610+(2505.6-1885.6)+(0+(0-0))+0-384.3-0</f>
        <v>1845.7</v>
      </c>
      <c r="Q156" s="3">
        <f>1832.2+(2464.5-1939)+(0.934422+(1.256895-0.98889))+0-393-0.20042999999996</f>
        <v>1965.7019970000001</v>
      </c>
      <c r="R156" s="3">
        <f>1990.6+(2169.9-1828.1)+(1.015206+(1.106649-0.932331))+0-356.6-0.181865999999964</f>
        <v>1976.8076580000002</v>
      </c>
      <c r="S156" s="3">
        <f>1995.3+(2171.1-1855.1)+(0+(0-0))+0-398.7-0</f>
        <v>1912.6000000000001</v>
      </c>
      <c r="T156" s="3">
        <f>2046.9+(2052-1758.9)+(0+(0-0))+0-399.6-0</f>
        <v>1940.4</v>
      </c>
      <c r="U156" s="3">
        <f>2052.5+(1921.3-1621.8)+(1.046775+(0.979863-0.827118))+0-399.7-0.203846999999959</f>
        <v>1953.2956730000001</v>
      </c>
      <c r="V156" s="3">
        <f>2050.3+(2016.4-1719.2)+(1.045653+(1.028364-0.876792))+0-398-0.20297999999996</f>
        <v>1950.4942449999999</v>
      </c>
      <c r="W156" s="3">
        <f>2048.5+(2322.5-2068.2)+(-1.044735+(-1.184475--1.054782))+0-397.6--0.20277599999996</f>
        <v>1904.2283480000003</v>
      </c>
      <c r="X156" s="3">
        <f>2048.6+(2412.3-2195.8)+(-3.134358+(-3.690819--3.359574))+0-400.1--0.612153000000023</f>
        <v>1862.1465499999999</v>
      </c>
      <c r="Y156" s="3">
        <f>2193+(2214.3-2107.9)+(-3.35529+(-3.387879--3.225087))+0-395.8--0.605574000000023</f>
        <v>1900.687492</v>
      </c>
      <c r="Z156" s="3">
        <f>2277.8+(1893.9-1667.7)+(-1.161678+(-0.965889--0.850527))+0-401.5--0.204764999999959</f>
        <v>2101.427725</v>
      </c>
      <c r="AA156" s="3">
        <f>2283+(2021.3-1779.6)+(-2.32866+(-2.061726--1.815192))+0-397.4--0.405348000000063</f>
        <v>2125.1301539999999</v>
      </c>
      <c r="AB156" s="3">
        <f>2277.9+(2396.5-2197.5)+(0+(0-0))+0-395.8-0</f>
        <v>2081.1</v>
      </c>
      <c r="AC156" s="3">
        <f>2274.9+(2428.4-2323.4)+(-2.320398+(-2.476968--2.369868))+0-446.9--0.455838000000071</f>
        <v>1931.0283400000001</v>
      </c>
      <c r="AD156">
        <f t="shared" si="2"/>
        <v>43718.177497999997</v>
      </c>
      <c r="AE156" s="3">
        <f>2277+(1776.3-1537.2)+(0+(0-0))+0-391.7-0</f>
        <v>2124.4</v>
      </c>
    </row>
    <row r="157" spans="1:31" s="2" customFormat="1" x14ac:dyDescent="0.25">
      <c r="A157">
        <v>89</v>
      </c>
      <c r="B157">
        <v>6</v>
      </c>
      <c r="C157">
        <v>2</v>
      </c>
      <c r="D157">
        <v>4</v>
      </c>
      <c r="E157">
        <v>1</v>
      </c>
      <c r="F157" s="3">
        <f>2249.5+(2586.6-2443.3)+(-1.147245+(-1.319166--1.246083))+0-452--0.230519999999954</f>
        <v>1939.8101919999997</v>
      </c>
      <c r="G157" s="3">
        <f>2205.4+(2546.2-2484.5)+(-3.374262+(-3.895686--3.801285))+0-435.2--0.665856000000025</f>
        <v>1829.0971929999998</v>
      </c>
      <c r="H157" s="3">
        <f>1975+(2459.6-2283.9)+(-1.00725+(-1.254396--1.164789))+0-438.8--0.223787999999955</f>
        <v>1711.0269309999999</v>
      </c>
      <c r="I157" s="3">
        <f>1662+(2421-1932)+(0.84762+(1.23471-0.98532))+0-434.3-0.221492999999956</f>
        <v>1717.575517</v>
      </c>
      <c r="J157" s="3">
        <f>1551.2+(2353.7-1809.2)+(0+(0-0))+0-438.5-0</f>
        <v>1657.1999999999998</v>
      </c>
      <c r="K157" s="3">
        <f>1552.3+(2335.8-1816.3)+(-3.958365+(-5.95629--4.631565))+0-433.1--1.10440499999994</f>
        <v>1634.5213150000004</v>
      </c>
      <c r="L157" s="3">
        <f>1552+(2016.9-1580.2)+(0+(0-0))+0-449.6-0</f>
        <v>1539.1</v>
      </c>
      <c r="M157" s="3">
        <f>1550.6+(2035.6-1568.4)+(-1.581612+(-2.076312--1.599768))+0-432.4--0.441048000000069</f>
        <v>1583.7828919999997</v>
      </c>
      <c r="N157" s="3">
        <f>1551.6+(2053.8-1464.3)+(0+(0-0))+0-443-0</f>
        <v>1698.1000000000004</v>
      </c>
      <c r="O157" s="3">
        <f>1693.6+(2302-1726.6)+(0.863736+(1.17402-0.880566))+0-411.1-0.209660999999958</f>
        <v>1858.8475290000001</v>
      </c>
      <c r="P157" s="3">
        <f>1915.4+(2134-1737)+(0.976854+(1.08834-0.88587))+0-437-0.222869999999956</f>
        <v>1876.3564540000002</v>
      </c>
      <c r="Q157" s="3">
        <f>2048+(1821.7-1471)+(0+(0-0))+0-422.6-0</f>
        <v>1976.1</v>
      </c>
      <c r="R157" s="3">
        <f>2104.6+(1724.3-1398.2)+(-1.073346+(-0.879393--0.713082))+0-427.9--0.218228999999957</f>
        <v>2001.7785719999997</v>
      </c>
      <c r="S157" s="3">
        <f>2134+(1751.8-1495.3)+(-1.08834+(-0.893418--0.762603))+0-420.2--0.214301999999957</f>
        <v>1969.295147</v>
      </c>
      <c r="T157" s="3">
        <f>2163.3+(1934.4-1758)+(1.103283+(0.986544-0.89658))+0-369.3-0.188342999999963</f>
        <v>1971.4049040000004</v>
      </c>
      <c r="U157" s="3">
        <f>2161.8+(2006.2-1847.8)+(-2.205036+(-2.046324--1.884756))+0-367.4--0.374748000000059</f>
        <v>1950.8081440000003</v>
      </c>
      <c r="V157" s="3">
        <f>2130.2+(2098.5-1895)+(0+(0-0))+0-367.7-0</f>
        <v>1965.9999999999998</v>
      </c>
      <c r="W157" s="3">
        <f>2011.5+(2219.4-1930)+(-4.10346+(-4.527576--3.9372))+0-368.5--0.751739999999984</f>
        <v>1928.4579040000001</v>
      </c>
      <c r="X157" s="3">
        <f>2011.5+(2329.9-2053.2)+(2.05173+(2.376498-2.094264))+0-379.2-0.38678400000006</f>
        <v>1910.9471800000001</v>
      </c>
      <c r="Y157" s="3">
        <f>2059.9+(2158.1-1909.8)+(1.050549+(1.100631-0.973998))+0-376.9-0.192218999999962</f>
        <v>1932.2849629999996</v>
      </c>
      <c r="Z157" s="3">
        <f>2115.1+(1827-1438.9)+(-2.157402+(-1.86354--1.467678))+0-378.2--0.38576400000006</f>
        <v>2122.8325</v>
      </c>
      <c r="AA157" s="3">
        <f>2240.3+(2003.8-1719.6)+(-3.427659+(-3.065814--2.630988))+0-375.6--0.574668000000022</f>
        <v>2145.6121830000002</v>
      </c>
      <c r="AB157" s="3">
        <f>2240.9+(2287.5-2112.3)+(-3.428577+(-3.499875--3.231819))+0-378.9--0.579717000000022</f>
        <v>2034.0830839999999</v>
      </c>
      <c r="AC157" s="3">
        <f>2240.2+(2320.3-2185.3)+(-2.285004+(-2.366706--2.229006))+0-430.8--0.439416000000069</f>
        <v>1942.416712</v>
      </c>
      <c r="AD157">
        <f t="shared" si="2"/>
        <v>44897.439315999989</v>
      </c>
      <c r="AE157" s="3">
        <f>2171+(1812-1449.6)+(0+(0-0))+0-372.8-0</f>
        <v>2160.6</v>
      </c>
    </row>
    <row r="158" spans="1:31" s="2" customFormat="1" x14ac:dyDescent="0.25">
      <c r="A158">
        <v>89</v>
      </c>
      <c r="B158">
        <v>6</v>
      </c>
      <c r="C158">
        <v>3</v>
      </c>
      <c r="D158">
        <v>5</v>
      </c>
      <c r="E158">
        <v>1</v>
      </c>
      <c r="F158" s="3">
        <f>2233.9+(2385.7-2362.4)+(-1.139289+(-1.216707--1.204824))+0-431.3--0.219962999999956</f>
        <v>1824.968791</v>
      </c>
      <c r="G158" s="3">
        <f>2134.3+(2523.7-2472.9)+(-2.176986+(-2.574174--2.522358))+0-438--0.44676000000007</f>
        <v>1745.3179579999999</v>
      </c>
      <c r="H158" s="3">
        <f>1955.7+(2426.8-2274.3)+(0+(0-0))+0-424.5-0</f>
        <v>1683.6999999999998</v>
      </c>
      <c r="I158" s="3">
        <f>1771.4+(2464-2167.1)+(-3.613656+(-5.02656--4.420884))+0-424.3--0.865571999999981</f>
        <v>1640.64624</v>
      </c>
      <c r="J158" s="3">
        <f>1538.2+(2400.3-1906.8)+(0+(0-0))+0-433.5-0</f>
        <v>1598.2000000000003</v>
      </c>
      <c r="K158" s="3">
        <f>1523.2+(2270.2-1613.3)+(-0.776832+(-1.157802--0.822783))+0-408.4--0.208283999999959</f>
        <v>1770.7964329999998</v>
      </c>
      <c r="L158" s="3">
        <f>1525.4+(1955.4-1522.4)+(-3.88977+(-4.98627--3.88212))+0-422.4--1.07711999999994</f>
        <v>1532.0832</v>
      </c>
      <c r="M158" s="3">
        <f>1524+(1963-1509.7)+(-2.33172+(-3.00339--2.309841))+0-423.1--0.647343000000025</f>
        <v>1551.8220740000002</v>
      </c>
      <c r="N158" s="3">
        <f>1523.4+(2165.9-1564)+(0.776934+(1.104609-0.79764))+0-369.8-0.188597999999962</f>
        <v>1756.3953050000005</v>
      </c>
      <c r="O158" s="3">
        <f>1550.1+(2062.2-1406.2)+(-0.790551+(-1.051722--0.717162))+0-406.7--0.207416999999959</f>
        <v>1798.4823059999994</v>
      </c>
      <c r="P158" s="3">
        <f>1732.9+(2221.4-1651.6)+(0+(0-0))+0-407-0</f>
        <v>1895.7000000000003</v>
      </c>
      <c r="Q158" s="3">
        <f>1979.8+(2122.4-1691.1)+(0+(0-0))+0-385-0</f>
        <v>2026.1000000000004</v>
      </c>
      <c r="R158" s="3">
        <f>2012+(2060.2-1754.1)+(0+(0-0))+0-408.5-0</f>
        <v>1909.6</v>
      </c>
      <c r="S158" s="3">
        <f>2052.4+(2004.7-1791)+(-2.093448+(-2.044794--1.82682))+0-394--0.401880000000063</f>
        <v>1870.1904580000003</v>
      </c>
      <c r="T158" s="3">
        <f>2099.5+(1996.3-1780.5)+(0+(0-0))+0-370.4-0</f>
        <v>1944.9</v>
      </c>
      <c r="U158" s="3">
        <f>2100+(2244.9-2052.3)+(-1.071+(-1.144899--1.046673))+0-394.4--0.20114399999996</f>
        <v>1897.2319179999997</v>
      </c>
      <c r="V158" s="3">
        <f>2098+(2402.3-2236.8)+(1.06998+(1.225173-1.140768))+0-393.6-0.20073599999996</f>
        <v>1870.8536489999999</v>
      </c>
      <c r="W158" s="3">
        <f>2097.8+(2505.6-2316.9)+(-1.069878+(-1.277856--1.181619))+0-393.1--0.20048099999996</f>
        <v>1892.434366</v>
      </c>
      <c r="X158" s="3">
        <f>2097.9+(2276.1-2078.8)+(-2.139858+(-2.321622--2.120376))+0-391.6--0.399432000000062</f>
        <v>1901.658328</v>
      </c>
      <c r="Y158" s="3">
        <f>2159.7+(2255.4-2132.8)+(-1.101447+(-1.150254--1.087728))+0-386.8--0.197267999999961</f>
        <v>1894.5332949999995</v>
      </c>
      <c r="Z158" s="3">
        <f>2277.5+(2167.7-1922.6)+(-3.484575+(-3.316581--2.941578))+0-382.9--0.585837000000022</f>
        <v>2136.4262589999998</v>
      </c>
      <c r="AA158" s="3">
        <f>2278.3+(2300.1-2070)+(-1.161933+(-1.173051--1.0557))+0-390.1--0.19895099999996</f>
        <v>2117.2196669999998</v>
      </c>
      <c r="AB158" s="3">
        <f>2278.2+(2404.8-2204.8)+(-3.485646+(-3.679344--3.373344))+0-390.7--0.597771000000023</f>
        <v>2084.3061250000001</v>
      </c>
      <c r="AC158" s="3">
        <f>2275.9+(2399.4-2287.2)+(-1.160709+(-1.223694--1.166472))+0-422.7--0.215576999999957</f>
        <v>1964.3976460000001</v>
      </c>
      <c r="AD158">
        <f t="shared" si="2"/>
        <v>44307.964018000006</v>
      </c>
      <c r="AE158" s="3">
        <f>2275+(2126.8-1873.4)+(0+(0-0))+0-391.1-0</f>
        <v>2137.3000000000002</v>
      </c>
    </row>
    <row r="159" spans="1:31" s="2" customFormat="1" x14ac:dyDescent="0.25">
      <c r="A159">
        <v>89</v>
      </c>
      <c r="B159">
        <v>6</v>
      </c>
      <c r="C159">
        <v>4</v>
      </c>
      <c r="D159">
        <v>6</v>
      </c>
      <c r="E159">
        <v>1</v>
      </c>
      <c r="F159" s="3">
        <f>2210.2+(2256.4-2152.6)+(-4.508808+(-4.603056--4.391304))+0-433--0.883319999999981</f>
        <v>1877.1627599999997</v>
      </c>
      <c r="G159" s="3">
        <f>2077.6+(2399.7-2323.1)+(-6.357456+(-7.343082--7.108686))+0-438.7--1.34242200000005</f>
        <v>1710.2505699999997</v>
      </c>
      <c r="H159" s="3">
        <f>1961.8+(2405.5-2262.5)+(-2.001036+(-2.45361--2.30775))+0-424.9--0.433398000000068</f>
        <v>1678.186502</v>
      </c>
      <c r="I159" s="3">
        <f>1744.9+(2322.2-2006.3)+(3.559596+(4.737288-4.092852))+0-434-0.885359999999981</f>
        <v>1630.1186720000003</v>
      </c>
      <c r="J159" s="3">
        <f>1710.8+(2200.6-1874.2)+(0+(0-0))+0-429.4-0</f>
        <v>1607.7999999999997</v>
      </c>
      <c r="K159" s="3">
        <f>1666.4+(2192.2-1783.3)+(-4.24932+(-5.59011--4.547415))+0-414--1.05569999999994</f>
        <v>1657.0636850000001</v>
      </c>
      <c r="L159" s="3">
        <f>1525.6+(2001-1574.8)+(-3.89028+(-5.10255--4.01574))+0-426.5--1.08757499999994</f>
        <v>1521.4104849999999</v>
      </c>
      <c r="M159" s="3">
        <f>1524.4+(1776.3-1337.1)+(0+(0-0))+0-417.1-0</f>
        <v>1546.5</v>
      </c>
      <c r="N159" s="3">
        <f>1523.3+(2113.4-1559.8)+(-0.776883+(-1.077834--0.795498))+0-422.4--0.215423999999957</f>
        <v>1653.6562049999998</v>
      </c>
      <c r="O159" s="3">
        <f>1739+(2386.5-1953.4)+(-0.88689+(-1.217115--0.996234))+0-426.7--0.217616999999957</f>
        <v>1744.5098459999999</v>
      </c>
      <c r="P159" s="3">
        <f>2157.8+(2363.2-2248.7)+(-3.301434+(-3.615696--3.440511))+0-409--0.625770000000024</f>
        <v>1860.4491510000003</v>
      </c>
      <c r="Q159" s="3">
        <f>2246.9+(2210.4-2131.4)+(0+(0-0))+0-413.3-0</f>
        <v>1912.6000000000001</v>
      </c>
      <c r="R159" s="3">
        <f>2249+(2168.1-2096.2)+(2.29398+(2.211462-2.138124))+0-423.6-0.432072000000068</f>
        <v>1899.2352460000002</v>
      </c>
      <c r="S159" s="3">
        <f>2240.9+(2209.9-2205.6)+(1.142859+(1.127049-1.124856))+0-430.4-0.219503999999956</f>
        <v>1815.7255480000001</v>
      </c>
      <c r="T159" s="3">
        <f>2195.3+(2193.8-2134.4)+(-2.239206+(-2.237676--2.177088))+0-386.9--0.394638000000062</f>
        <v>1865.8948440000001</v>
      </c>
      <c r="U159" s="3">
        <f>2202.4+(2358.7-2325.1)+(-3.369672+(-3.608811--3.557403))+0-385.6--0.589968000000022</f>
        <v>1847.568888</v>
      </c>
      <c r="V159" s="3">
        <f>2163.5+(2404.8-2352.8)+(-4.41354+(-4.905792--4.799712))+0-391.1--0.797843999999983</f>
        <v>1820.678224</v>
      </c>
      <c r="W159" s="3">
        <f>2178.3+(2462.6-2434)+(-5.554665+(-6.27963--6.2067))+0-387.2--0.987359999999944</f>
        <v>1815.059765</v>
      </c>
      <c r="X159" s="3">
        <f>2199.3+(2094.7-2153.4)+(-2.243286+(-2.136594--2.196468))+0-373.2--0.38066400000006</f>
        <v>1765.597252</v>
      </c>
      <c r="Y159" s="3">
        <f>2217.5+(2008.2-1998)+(1.130925+(1.024182-1.01898))+0-378.4-0.192983999999962</f>
        <v>1850.2431429999999</v>
      </c>
      <c r="Z159" s="3">
        <f>2281.8+(1887.3-1745.5)+(-3.491154+(-2.887569--2.670615))+0-379.5--0.580635000000022</f>
        <v>2040.9725270000006</v>
      </c>
      <c r="AA159" s="3">
        <f>2279.1+(2197.4-2069.9)+(-5.811705+(-5.60337--5.278245))+0-359.8--0.917489999999948</f>
        <v>2041.5806600000001</v>
      </c>
      <c r="AB159" s="3">
        <f>2281.7+(2422.6-2352.6)+(-1.163667+(-1.235526--1.199826))+0-354.6--0.180845999999964</f>
        <v>1996.0814789999997</v>
      </c>
      <c r="AC159" s="3">
        <f>2278.7+(2370.8-2359.2)+(-4.648548+(-4.836432--4.812768))+0-359.3--0.732971999999984</f>
        <v>1927.0607600000003</v>
      </c>
      <c r="AD159">
        <f t="shared" si="2"/>
        <v>43085.406211999994</v>
      </c>
      <c r="AE159" s="3">
        <f>2279+(1747.1-1615.8)+(0+(0-0))+0-384.3-0</f>
        <v>2026.0000000000002</v>
      </c>
    </row>
    <row r="160" spans="1:31" s="2" customFormat="1" x14ac:dyDescent="0.25">
      <c r="A160">
        <v>89</v>
      </c>
      <c r="B160">
        <v>6</v>
      </c>
      <c r="C160">
        <v>5</v>
      </c>
      <c r="D160">
        <v>7</v>
      </c>
      <c r="E160">
        <v>1</v>
      </c>
      <c r="F160" s="3">
        <f>2185.5+(2214-2698.2)+(-1.114605+(-1.12914--1.376082))+0-362.9--0.185078999999963</f>
        <v>1337.717416</v>
      </c>
      <c r="G160" s="3">
        <f>1908.1+(2394.7-2705.4)+(-0.973131+(-1.221297--1.379754))+0-363.7--0.185486999999963</f>
        <v>1233.0708129999996</v>
      </c>
      <c r="H160" s="3">
        <f>1626.3+(2377.9-2449.2)+(-4.976478+(-7.276374--7.494552))+0-369.1--1.12944600000004</f>
        <v>1182.2711460000003</v>
      </c>
      <c r="I160" s="3">
        <f>1529.7+(2211.8-2216.4)+(2.340441+(3.384054-3.391092))+0-367.1-0.561663000000021</f>
        <v>1159.7717400000001</v>
      </c>
      <c r="J160" s="3">
        <f>1528.8+(1944.9-1917.6)+(-3.118752+(-3.967596--3.911904))+0-372--0.758879999999984</f>
        <v>1181.6844360000002</v>
      </c>
      <c r="K160" s="3">
        <f>1530.1+(2056.1-2111.8)+(-0.780351+(-1.048611--1.077018))+0-370--0.188699999999962</f>
        <v>1103.8367559999995</v>
      </c>
      <c r="L160" s="3">
        <f>1530.1+(2063-2183.8)+(0+(0-0))+0-366.3-0</f>
        <v>1042.9999999999998</v>
      </c>
      <c r="M160" s="3">
        <f>1530+(1801.7-1918.1)+(0+(0-0))+0-373.1-0</f>
        <v>1040.5</v>
      </c>
      <c r="N160" s="3">
        <f>1513.2+(1669.9-1692.9)+(0+(0-0))+0-373.2-0</f>
        <v>1117</v>
      </c>
      <c r="O160" s="3">
        <f>1489.7+(1723.5-1715.3)+(-1.519494+(-1.75797--1.749606))+0-373.3--0.38076600000006</f>
        <v>1123.4529080000002</v>
      </c>
      <c r="P160" s="3">
        <f>1571.9+(1843-1884.7)+(-1.603338+(-1.87986--1.922394))+0-372.5--0.379950000000059</f>
        <v>1156.5191460000001</v>
      </c>
      <c r="Q160" s="3">
        <f>1903.9+(2184.5-2470.1)+(0+(0-0))+0-373.6-0</f>
        <v>1244.7000000000003</v>
      </c>
      <c r="R160" s="3">
        <f>2160.7+(2285.1-2799.1)+(-1.101957+(-1.165401--1.427541))+0-375--0.191249999999962</f>
        <v>1271.0514329999996</v>
      </c>
      <c r="S160" s="3">
        <f>2205.3+(2461.5-3010)+(-2.249406+(-2.51073--3.0702))+0-374.3--0.38178600000006</f>
        <v>1281.1918500000004</v>
      </c>
      <c r="T160" s="3">
        <f>2217+(2423.2-2987)+(-3.39201+(-3.707496--4.57011))+0-381.7--0.584001000000022</f>
        <v>1269.5546049999998</v>
      </c>
      <c r="U160" s="3">
        <f>2219+(2338.9-2869.1)+(-4.52676+(-4.771356--5.852964))+0-382.9--0.781115999999983</f>
        <v>1303.2359640000002</v>
      </c>
      <c r="V160" s="3">
        <f>2215.6+(2084.5-2610.7)+(-2.259912+(-2.12619--2.662914))+0-386--0.393720000000062</f>
        <v>1302.0705320000002</v>
      </c>
      <c r="W160" s="3">
        <f>2198+(2101-2608.9)+(2.24196+(2.14302-2.661078))+0-391.2-0.399024000000062</f>
        <v>1300.2248779999998</v>
      </c>
      <c r="X160" s="3">
        <f>2072.9+(1443.2-1612)+(0+(0-0))+0-389.9-0</f>
        <v>1514.2000000000003</v>
      </c>
      <c r="Y160" s="3">
        <f>2146.1+(1356.6-1566.5)+(0+(0-0))+0-397.1-0</f>
        <v>1539.1</v>
      </c>
      <c r="Z160" s="3">
        <f>2285.6+(1760-2071.5)+(-1.165656+(-0.8976--1.056465))+0-398.4--0.20318399999996</f>
        <v>1574.896393</v>
      </c>
      <c r="AA160" s="3">
        <f>2285.8+(1967-2304.2)+(-1.165758+(-1.00317--1.175142))+0-398.7--0.20333699999996</f>
        <v>1549.1095510000002</v>
      </c>
      <c r="AB160" s="3">
        <f>2287+(2269.4-2645.3)+(-2.33274+(-2.314788--2.698206))+0-388.2--0.395964000000062</f>
        <v>1521.346642</v>
      </c>
      <c r="AC160" s="3">
        <f>2284.7+(2082.7-2469.1)+(0+(0-0))+0-442.3-0</f>
        <v>1455.9999999999998</v>
      </c>
      <c r="AD160">
        <f t="shared" si="2"/>
        <v>30805.506209000003</v>
      </c>
      <c r="AE160" s="3">
        <f>2279+(1893.3-2218.9)+(0+(0-0))+0-396.8-0</f>
        <v>1556.6</v>
      </c>
    </row>
    <row r="161" spans="1:31" s="2" customFormat="1" x14ac:dyDescent="0.25">
      <c r="A161">
        <v>89</v>
      </c>
      <c r="B161">
        <v>6</v>
      </c>
      <c r="C161">
        <v>6</v>
      </c>
      <c r="D161">
        <v>1</v>
      </c>
      <c r="E161">
        <v>1</v>
      </c>
      <c r="F161" s="3">
        <f>2280.6+(2472.4-2484.3)+(-1.163106+(-1.260924--1.266993))+0-445.4--0.227153999999955</f>
        <v>1822.3701169999997</v>
      </c>
      <c r="G161" s="3">
        <f>2239.1+(2505.5-2540.6)+(0+(0-0))+0-443.5-0</f>
        <v>1760.5</v>
      </c>
      <c r="H161" s="3">
        <f>1976.5+(2235.6-2137.5)+(-4.03206+(-4.560624--4.3605))+0-442.8--0.903311999999981</f>
        <v>1628.4711279999999</v>
      </c>
      <c r="I161" s="3">
        <f>1612.8+(2176.9-1845.7)+(0+(0-0))+0-436-0</f>
        <v>1508</v>
      </c>
      <c r="J161" s="3">
        <f>1558.5+(2011.2-1580.6)+(-1.58967+(-2.051424--1.612212))+0-444.2--0.453084000000071</f>
        <v>1543.324202</v>
      </c>
      <c r="K161" s="3">
        <f>1559+(1991-1588.8)+(-3.97545+(-5.07705--4.05144))+0-442.3--1.12786499999994</f>
        <v>1515.026805</v>
      </c>
      <c r="L161" s="3">
        <f>1557.9+(1693.2-1341.1)+(-4.767174+(-5.181192--4.103766))+0-450.1--1.37730600000005</f>
        <v>1455.4327060000003</v>
      </c>
      <c r="M161" s="3">
        <f>1557.1+(1712.4-1334.3)+(0.794121+(0.873324-0.680493))+0-450.3-0.229652999999954</f>
        <v>1485.6572990000002</v>
      </c>
      <c r="N161" s="3">
        <f>1571.4+(1879.6-1404)+(0+(0-0))+0-452.5-0</f>
        <v>1594.5</v>
      </c>
      <c r="O161" s="3">
        <f>1661+(2137.9-1646.1)+(-0.84711+(-1.090329--0.839511))+0-444.8--0.226847999999955</f>
        <v>1707.1289200000001</v>
      </c>
      <c r="P161" s="3">
        <f>1762.9+(1980.6-1528.8)+(1.798158+(2.020212-1.559376))+0-438.9-0.44767800000007</f>
        <v>1777.6113159999995</v>
      </c>
      <c r="Q161" s="3">
        <f>1806+(1893-1431.6)+(0.92106+(0.96543-0.730116))+0-449.9-0.229448999999954</f>
        <v>1818.4269250000002</v>
      </c>
      <c r="R161" s="3">
        <f>1999.1+(1964.8-1677.2)+(1.019541+(1.002048-0.855372))+0-458.4-0.233783999999953</f>
        <v>1829.2324329999997</v>
      </c>
      <c r="S161" s="3">
        <f>2054.3+(2230.6-2018.6)+(0+(0-0))+0-444.6-0</f>
        <v>1821.7000000000003</v>
      </c>
      <c r="T161" s="3">
        <f>2054.3+(2459.9-2238.8)+(0+(0-0))+0-408-0</f>
        <v>1867.4</v>
      </c>
      <c r="U161" s="3">
        <f>2055.7+(2650.9-2437.5)+(-4.193628+(-5.407836--4.9725))+0-404--0.824159999999982</f>
        <v>1861.2951959999998</v>
      </c>
      <c r="V161" s="3">
        <f>2054.8+(2581.5-2366.1)+(-5.23974+(-6.582825--6.033555))+0-404--1.03019999999994</f>
        <v>1861.4411900000002</v>
      </c>
      <c r="W161" s="3">
        <f>2053.9+(2551.1-2378.8)+(-4.189956+(-5.204244--4.852752))+0-406.4--0.829055999999982</f>
        <v>1816.0876079999998</v>
      </c>
      <c r="X161" s="3">
        <f>2056.5+(2000.1-1881.4)+(-3.146445+(-3.060153--2.878542))+0-400--0.612000000000023</f>
        <v>1772.4839440000001</v>
      </c>
      <c r="Y161" s="3">
        <f>2186.1+(2019.4-1961.2)+(1.114911+(1.029894-1.000212))+0-403-0.205529999999959</f>
        <v>1842.2390630000002</v>
      </c>
      <c r="Z161" s="3">
        <f>2283.4+(2097.3-1961.7)+(-4.658136+(-4.278492--4.001868))+0-394.2--0.804167999999983</f>
        <v>2020.6694079999997</v>
      </c>
      <c r="AA161" s="3">
        <f>2283.1+(2129.4-2003.7)+(-6.986286+(-6.515964--6.131322))+0-399.6--1.22277600000005</f>
        <v>2003.0518480000005</v>
      </c>
      <c r="AB161" s="3">
        <f>2282.5+(1756.1-1702)+(-2.32815+(-1.791222--1.73604))+0-401.1--0.409122000000064</f>
        <v>1933.5257900000001</v>
      </c>
      <c r="AC161" s="3">
        <f>2112.2+(1721-1502.3)+(-2.154444+(-1.75542--1.532346))+0-448.2--0.457164000000071</f>
        <v>1880.779646</v>
      </c>
      <c r="AD161">
        <f t="shared" si="2"/>
        <v>42126.355544000005</v>
      </c>
      <c r="AE161" s="3">
        <f>2277+(2059.5-1899.6)+(0+(0-0))+0-402.1-0</f>
        <v>2034.8000000000002</v>
      </c>
    </row>
    <row r="162" spans="1:31" s="2" customFormat="1" x14ac:dyDescent="0.25">
      <c r="A162">
        <v>89</v>
      </c>
      <c r="B162">
        <v>6</v>
      </c>
      <c r="C162">
        <v>7</v>
      </c>
      <c r="D162">
        <v>2</v>
      </c>
      <c r="E162">
        <v>1</v>
      </c>
      <c r="F162" s="3">
        <f>1595.4+(1962.7-1420.7)+(-1.627308+(-2.001954--1.449114))+0-421.1--0.429522000000067</f>
        <v>1714.5493740000004</v>
      </c>
      <c r="G162" s="3">
        <f>1518.3+(2462.2-1926.2)+(-3.097332+(-5.022888--3.929448))+0-435.4--0.888215999999981</f>
        <v>1615.5974439999998</v>
      </c>
      <c r="H162" s="3">
        <f>1516.2+(2529.2-2043.9)+(-3.86631+(-6.44946--5.211945))+0-446.2--1.13780999999994</f>
        <v>1551.3339849999998</v>
      </c>
      <c r="I162" s="3">
        <f>1516.2+(2480.5-2061.6)+(-1.546524+(-2.53011--2.102832))+0-445.9--0.454818000000071</f>
        <v>1487.6810160000005</v>
      </c>
      <c r="J162" s="3">
        <f>1517.5+(2447.8-1950)+(3.0957+(4.993512-3.978))+0-448.5-0.91493999999998</f>
        <v>1569.9962720000003</v>
      </c>
      <c r="K162" s="3">
        <f>1507+(2437-1924.9)+(-2.30571+(-3.72861--2.945097))+0-447.6--0.684828000000026</f>
        <v>1569.095605</v>
      </c>
      <c r="L162" s="3">
        <f>1419.1+(2566-2091.7)+(0+(0-0))+0-446.2-0</f>
        <v>1447.2</v>
      </c>
      <c r="M162" s="3">
        <f>1365.5+(2148.6-1593.6)+(0+(0-0))+0-403.6-0</f>
        <v>1516.9</v>
      </c>
      <c r="N162" s="3">
        <f>1354.2+(2100.4-1440.6)+(1.381284+(2.142408-1.469412))+0-451.2-0.460224000000072</f>
        <v>1564.3940560000001</v>
      </c>
      <c r="O162" s="3">
        <f>1470.9+(2397-1724.7)+(-0.750159+(-1.22247--0.879597))+0-447.6--0.228275999999955</f>
        <v>1694.7352439999997</v>
      </c>
      <c r="P162" s="3">
        <f>1789.2+(2404.2-1958.8)+(0+(0-0))+0-379.5-0</f>
        <v>1855.1</v>
      </c>
      <c r="Q162" s="3">
        <f>1895.6+(2411.8-2055)+(0.966756+(1.230018-1.04805))+0-361-0.184109999999963</f>
        <v>1892.3646140000003</v>
      </c>
      <c r="R162" s="3">
        <f>1914.4+(2382.1-2004.4)+(-2.929032+(-3.644613--3.066732))+0-394.9--0.604197000000023</f>
        <v>1894.2972839999998</v>
      </c>
      <c r="S162" s="3">
        <f>1914.5+(2378.1-2074.9)+(-2.929185+(-3.638493--3.174597))+0-415.7--0.636021000000024</f>
        <v>1799.2429399999996</v>
      </c>
      <c r="T162" s="3">
        <f>1913.3+(2371.3-2047.6)+(-2.927349+(-3.628089--3.132828))+0.2-435.7--0.666621000000025</f>
        <v>1798.7440109999998</v>
      </c>
      <c r="U162" s="3">
        <f>1914.9+(2458-2115.4)+(-1.953198+(-2.50716--2.157708))+1.5-447.8--0.456756000000071</f>
        <v>1809.354106</v>
      </c>
      <c r="V162" s="3">
        <f>1904.6+(2387-2068.8)+(-7.770768+(-9.73896--8.440704))+0-408.5--1.66667999999996</f>
        <v>1806.8976559999999</v>
      </c>
      <c r="W162" s="3">
        <f>1871.9+(2466.9-2195.2)+(-3.818676+(-5.032476--4.478208))+0-402.1--0.820283999999982</f>
        <v>1737.9473400000002</v>
      </c>
      <c r="X162" s="3">
        <f>1679.8+(2252.4-1847.7)+(-1.713396+(-2.297448--1.884654))+0-392.2--0.400044000000063</f>
        <v>1690.573854</v>
      </c>
      <c r="Y162" s="3">
        <f>1849.6+(1923.1-1626.8)+(0.943296+(0.980781-0.829668))+0-392.2-0.20002199999996</f>
        <v>1754.5943869999994</v>
      </c>
      <c r="Z162" s="3">
        <f>1975.3+(1804.3-1515.1)+(-3.022209+(-2.760579--2.318103))+0-370.2--0.566406000000021</f>
        <v>1891.401721</v>
      </c>
      <c r="AA162" s="3">
        <f>1952.7+(1906.9-1579.8)+(-5.975262+(-5.835114--4.834188))+0-368.1--1.12638600000004</f>
        <v>1905.8501980000003</v>
      </c>
      <c r="AB162" s="3">
        <f>1726.1+(2000.6-1503.5)+(-2.640933+(-3.060918--2.300355))+0-384.8--0.588744000000022</f>
        <v>1835.587248</v>
      </c>
      <c r="AC162" s="3">
        <f>1610.7+(1837.4-1274.8)+(-1.642914+(-1.874148--1.300296))+0-420.7--0.429114000000067</f>
        <v>1750.8123480000002</v>
      </c>
      <c r="AD162">
        <f t="shared" si="2"/>
        <v>41154.250703000005</v>
      </c>
      <c r="AE162" s="3">
        <f>1979+(1966-1644.4)+(0+(0-0))+0-375.3-0</f>
        <v>1925.3</v>
      </c>
    </row>
    <row r="163" spans="1:31" s="2" customFormat="1" x14ac:dyDescent="0.25">
      <c r="A163">
        <v>89</v>
      </c>
      <c r="B163">
        <v>6</v>
      </c>
      <c r="C163">
        <v>8</v>
      </c>
      <c r="D163">
        <v>3</v>
      </c>
      <c r="E163">
        <v>1</v>
      </c>
      <c r="F163" s="3">
        <f>1512+(2410.9-1786.6)+(-1.54224+(-2.459118--1.822332))+0-432--0.440640000000069</f>
        <v>1702.5616140000004</v>
      </c>
      <c r="G163" s="3">
        <f>1412+(2729-2082.3)+(-0.72012+(-1.39179--1.061973))+0-443.7--0.226286999999955</f>
        <v>1614.17635</v>
      </c>
      <c r="H163" s="3">
        <f>1342.7+(2490.9-1868.2)+(0+(0-0))+0-407.5-0</f>
        <v>1557.9</v>
      </c>
      <c r="I163" s="3">
        <f>1229.7+(2257.1-1553)+(-1.254294+(-2.302242--1.58406))+0-391.5--0.399330000000062</f>
        <v>1540.726854</v>
      </c>
      <c r="J163" s="3">
        <f>1227.8+(2170.7-1446.1)+(0.626178+(1.107057-0.737511))+0-431.2-0.219911999999956</f>
        <v>1521.9758119999999</v>
      </c>
      <c r="K163" s="3">
        <f>1227.3+(2092.4-1432.6)+(-2.503692+(-4.268496--2.922504))+0-398.4--0.812735999999983</f>
        <v>1485.6630520000001</v>
      </c>
      <c r="L163" s="3">
        <f>1227.5+(2080.3-1455.5)+(-3.75615+(-6.365718--4.45383))+0-448.6--1.37271600000005</f>
        <v>1399.4046780000001</v>
      </c>
      <c r="M163" s="3">
        <f>1227.3+(2013.1-1399.8)+(1.251846+(2.053362-1.427796))+0-443.9-0.452778000000071</f>
        <v>1398.124634</v>
      </c>
      <c r="N163" s="3">
        <f>1228.3+(1787.9-1096.1)+(0.626433+(0.911829-0.559011))+0-436.4-0.222563999999956</f>
        <v>1484.4566870000001</v>
      </c>
      <c r="O163" s="3">
        <f>1279.5+(2073.3-1276.1)+(0+(0-0))+0-404.8-0</f>
        <v>1671.9000000000003</v>
      </c>
      <c r="P163" s="3">
        <f>1450.1+(1730.1-1057.5)+(2.958204+(3.529404-2.1573))+0-420.2-0.857207999999982</f>
        <v>1705.9730999999999</v>
      </c>
      <c r="Q163" s="3">
        <f>1737.7+(1208.1-766.8)+(1.772454+(1.232262-0.782136))+0-427.8-0.436356000000068</f>
        <v>1752.986224</v>
      </c>
      <c r="R163" s="3">
        <f>1749.2+(1021.7-539.1)+(-0.892092+(-0.521067--0.274941))+0-428.2--0.218381999999957</f>
        <v>1802.6801640000001</v>
      </c>
      <c r="S163" s="3">
        <f>1749.2+(1046.3-652.5)+(0+(0-0))+0-395.3-0</f>
        <v>1747.7</v>
      </c>
      <c r="T163" s="3">
        <f>1749.6+(899-492.8)+(0.892296+(0.45849-0.251328))+0-388.4-0.198083999999961</f>
        <v>1768.3013739999999</v>
      </c>
      <c r="U163" s="3">
        <f>1750.2+(903.5-490.4)+(0.892602+(0.460785-0.250104))+0-382.6-0.195125999999961</f>
        <v>1781.6081570000001</v>
      </c>
      <c r="V163" s="3">
        <f>1748.9+(991.1-569.1)+(-2.675817+(-1.516383--0.870723))+0-400.8--0.613224000000023</f>
        <v>1767.3917470000001</v>
      </c>
      <c r="W163" s="3">
        <f>1748.5+(1401.3-998)+(-2.675205+(-2.143989--1.52694))+0-408.2--0.624546000000024</f>
        <v>1740.9322920000002</v>
      </c>
      <c r="X163" s="3">
        <f>1748.8+(1701.8-1296.6)+(-0.891888+(-0.867918--0.661266))+0-406.3--0.207212999999959</f>
        <v>1746.808673</v>
      </c>
      <c r="Y163" s="3">
        <f>1884.5+(1597.1-1260)+(0.961095+(0.814521-0.6426))+0-399.6-0.203795999999959</f>
        <v>1822.9292200000002</v>
      </c>
      <c r="Z163" s="3">
        <f>1981.1+(1200.8-802.6)+(-1.010361+(-0.612408--0.409326))+0-395.4--0.20165399999996</f>
        <v>1982.8882109999995</v>
      </c>
      <c r="AA163" s="3">
        <f>1982.1+(1560-1183.7)+(0+(0-0))+0-394.3-0</f>
        <v>1964.0999999999997</v>
      </c>
      <c r="AB163" s="3">
        <f>1983+(2023.3-1686.2)+(-2.02266+(-2.063766--1.719924))+0-398.9--0.406878000000064</f>
        <v>1919.240376</v>
      </c>
      <c r="AC163" s="3">
        <f>1980.5+(2294.7-1998.8)+(0+(0-0))+0-444.3-0</f>
        <v>1832.0999999999997</v>
      </c>
      <c r="AD163">
        <f t="shared" si="2"/>
        <v>40712.529218999996</v>
      </c>
      <c r="AE163" s="3">
        <f>1980+(1302.2-944.3)+(0+(0-0))+0-392.4-0</f>
        <v>1945.5</v>
      </c>
    </row>
    <row r="164" spans="1:31" s="2" customFormat="1" x14ac:dyDescent="0.25">
      <c r="A164">
        <v>89</v>
      </c>
      <c r="B164">
        <v>6</v>
      </c>
      <c r="C164">
        <v>9</v>
      </c>
      <c r="D164">
        <v>4</v>
      </c>
      <c r="E164">
        <v>1</v>
      </c>
      <c r="F164" s="3">
        <f>1959.7+(2439.4-2169.3)+(-4.997235+(-6.22047--5.531715))+0-440--1.12199999999994</f>
        <v>1785.2360100000001</v>
      </c>
      <c r="G164" s="3">
        <f>1520.9+(2250.1-1670.5)+(-3.102636+(-4.590204--3.40782))+0-444.8--0.907391999999981</f>
        <v>1652.3223720000003</v>
      </c>
      <c r="H164" s="3">
        <f>1286.8+(2318.3-1627.3)+(-1.968804+(-3.546999--2.489769))+0-453--0.693090000000026</f>
        <v>1522.4670560000002</v>
      </c>
      <c r="I164" s="3">
        <f>1275.4+(2052.7-1406.3)+(-3.25227+(-5.234385--3.586065))+0-414.7--1.05748499999994</f>
        <v>1503.256895</v>
      </c>
      <c r="J164" s="3">
        <f>1270.9+(2015.4-1314.1)+(0+(0-0))+0-445.2-0</f>
        <v>1527.0000000000002</v>
      </c>
      <c r="K164" s="3">
        <f>1272.4+(1977.3-1302.9)+(-3.24462+(-5.042115--3.322395))+0-444.7--1.13398499999994</f>
        <v>1498.2696449999999</v>
      </c>
      <c r="L164" s="3">
        <f>1273.7+(2054.7-1437.4)+(-2.598348+(-4.191588--2.932296))+0-428.6--0.874343999999981</f>
        <v>1459.416704</v>
      </c>
      <c r="M164" s="3">
        <f>1273+(1991.1-1356.1)+(0+(0-0))+0-452.4-0</f>
        <v>1455.6</v>
      </c>
      <c r="N164" s="3">
        <f>1274.7+(1687.2-939.1)+(0.650097+(0.860472-0.478941))+0-446.2-0.227561999999955</f>
        <v>1577.4040660000001</v>
      </c>
      <c r="O164" s="3">
        <f>1261+(1752.8-881.1)+(0+(0-0))+0-407.5-0</f>
        <v>1725.1999999999998</v>
      </c>
      <c r="P164" s="3">
        <f>1287.1+(1640.9-726.1)+(0.656421+(0.836859-0.370311))+0-441.8-0.225317999999955</f>
        <v>1760.9976510000001</v>
      </c>
      <c r="Q164" s="3">
        <f>1563.9+(1184-518)+(2.392767+(1.81152-0.79254))+0-441.7-0.675801000000026</f>
        <v>1790.9359460000001</v>
      </c>
      <c r="R164" s="3">
        <f>1748.2+(985.3-463.7)+(0.891582+(0.502503-0.236487))+0-447-0.227969999999955</f>
        <v>1823.729628</v>
      </c>
      <c r="S164" s="3">
        <f>1750.1+(899-458.4)+(0+(0-0))+0-450.1-0</f>
        <v>1740.6</v>
      </c>
      <c r="T164" s="3">
        <f>1749.8+(758.2-344.6)+(0.892398+(0.386682-0.175746))+0-407.3-0.207722999999959</f>
        <v>1756.9956110000001</v>
      </c>
      <c r="U164" s="3">
        <f>1751.5+(751.9-378.8)+(-4.466325+(-1.917345--0.96594))+0-387.7--0.988634999999944</f>
        <v>1732.4709049999997</v>
      </c>
      <c r="V164" s="3">
        <f>1747.8+(769.3-396.8)+(-1.782756+(-0.784686--0.404736))+0-385--0.392700000000061</f>
        <v>1733.5299939999998</v>
      </c>
      <c r="W164" s="3">
        <f>1748.3+(887.7-545)+(-1.783266+(-0.905454--0.5559))+0-382.8--0.390456000000061</f>
        <v>1706.4576360000003</v>
      </c>
      <c r="X164" s="3">
        <f>1748.1+(1635.1-1344.3)+(-1.783062+(-1.667802--1.371186))+0-384.3--0.391986000000061</f>
        <v>1652.9123079999999</v>
      </c>
      <c r="Y164" s="3">
        <f>1855.3+(1654.6-1420.5)+(-1.892406+(-1.687692--1.44891))+0-389.7--0.397494000000062</f>
        <v>1697.9663059999998</v>
      </c>
      <c r="Z164" s="3">
        <f>1982.8+(1511.8-1255.6)+(0+(0-0))+0-390-0</f>
        <v>1849</v>
      </c>
      <c r="AA164" s="3">
        <f>1984+(1680.4-1458.9)+(-4.04736+(-3.428016--2.976156))+0-394.6--0.804983999999983</f>
        <v>1807.2057639999998</v>
      </c>
      <c r="AB164" s="3">
        <f>1980.1+(2147.5-1994.7)+(0+(0-0))+0-395.2-0</f>
        <v>1737.6999999999996</v>
      </c>
      <c r="AC164" s="3">
        <f>1910.3+(2104.7-1927.8)+(-4.871265+(-5.366985--4.91589))+0-399.1--1.01770499999994</f>
        <v>1683.7953449999998</v>
      </c>
      <c r="AD164">
        <f t="shared" si="2"/>
        <v>40180.469841999991</v>
      </c>
      <c r="AE164" s="3">
        <f>1980+(1418.3-1187.8)+(0+(0-0))+0-387-0</f>
        <v>1823.5</v>
      </c>
    </row>
    <row r="165" spans="1:31" s="2" customFormat="1" x14ac:dyDescent="0.25">
      <c r="A165">
        <v>89</v>
      </c>
      <c r="B165">
        <v>6</v>
      </c>
      <c r="C165">
        <v>10</v>
      </c>
      <c r="D165">
        <v>5</v>
      </c>
      <c r="E165">
        <v>5</v>
      </c>
      <c r="F165" s="3">
        <f>1680.5+(2169.2-1858)+(-2.571165+(-3.318876--2.84274))+0-397.7--0.608481000000023</f>
        <v>1591.5611799999997</v>
      </c>
      <c r="G165" s="3">
        <f>1504.2+(2194.5-1801.3)+(-2.301426+(-3.357585--2.755989))+0-398--0.608940000000023</f>
        <v>1497.1059180000002</v>
      </c>
      <c r="H165" s="3">
        <f>1268.9+(2158-1614.7)+(-0.647139+(-1.10058--0.823497))+0-396.4--0.20216399999996</f>
        <v>1415.0779420000001</v>
      </c>
      <c r="I165" s="3">
        <f>1215.4+(2216.2-1670.7)+(-1.239708+(-2.260524--1.704114))+0-395.7--0.403614000000063</f>
        <v>1363.8074959999999</v>
      </c>
      <c r="J165" s="3">
        <f>1215.7+(2211.7-1647.1)+(-2.480028+(-4.511868--3.360084))+0-396.1--0.808043999999983</f>
        <v>1381.3762319999996</v>
      </c>
      <c r="K165" s="3">
        <f>1215.1+(2095.6-1587.8)+(-3.098505+(-5.34378--4.04889))+0-396--1.00979999999994</f>
        <v>1323.5164049999998</v>
      </c>
      <c r="L165" s="3">
        <f>1215.1+(2441.3-2055.4)+(-3.098505+(-6.225315--5.24127))+0-388--0.989399999999944</f>
        <v>1209.9068499999998</v>
      </c>
      <c r="M165" s="3">
        <f>1213.4+(2140-1819.8)+(0+(0-0))+0-393.5-0</f>
        <v>1140.1000000000001</v>
      </c>
      <c r="N165" s="3">
        <f>1215.7+(2158.3-1824.2)+(-1.240014+(-2.201466--1.860684))+0-391.5--0.399330000000062</f>
        <v>1157.1185340000002</v>
      </c>
      <c r="O165" s="3">
        <f>1214.6+(2025.9-1662.3)+(-1.238892+(-2.066418--1.695546))+0-385.1--0.392802000000061</f>
        <v>1191.8830380000002</v>
      </c>
      <c r="P165" s="3">
        <f>1282.9+(2175.8-1816.7)+(-0.654279+(-1.109658--0.926517))+0-387.9--0.197828999999961</f>
        <v>1253.460409</v>
      </c>
      <c r="Q165" s="3">
        <f>1476.8+(2000.9-1800.6)+(1.506336+(2.040918-1.836612))+0-373.4-0.380868000000059</f>
        <v>1305.0297740000003</v>
      </c>
      <c r="R165" s="3">
        <f>1685.9+(2481.6-2435.8)+(-0.859809+(-1.265616--1.242258))+0-371.8--0.189617999999962</f>
        <v>1359.2064509999998</v>
      </c>
      <c r="S165" s="3">
        <f>1722.5+(2385.7-2365.4)+(-0.878475+(-1.216707--1.206354))+0-357.9--0.182528999999964</f>
        <v>1384.1937009999995</v>
      </c>
      <c r="T165" s="3">
        <f>1723.8+(2286.4-2156.8)+(0+(0-0))+0-358.2-0</f>
        <v>1495.1999999999998</v>
      </c>
      <c r="U165" s="3">
        <f>1721.5+(2190.7-2118.5)+(-3.51186+(-4.469028--4.32174))+0-358.3--0.730931999999984</f>
        <v>1432.4717839999998</v>
      </c>
      <c r="V165" s="3">
        <f>1720.4+(2215.3-2138.4)+(-0.877404+(-1.129803--1.090584))+0-358.9--0.183038999999964</f>
        <v>1437.666416</v>
      </c>
      <c r="W165" s="3">
        <f>1718.2+(2340.8-2193.8)+(-1.752564+(-2.387616--2.237676))+0-351.1--0.358122000000056</f>
        <v>1512.5556180000003</v>
      </c>
      <c r="X165" s="3">
        <f>1726.1+(1955.6-1793.4)+(-1.760622+(-1.994712--1.829268))+0-358.2--0.365364000000057</f>
        <v>1528.5392979999997</v>
      </c>
      <c r="Y165" s="3">
        <f>1911.4+(1695.2-1564.4)+(0+(0-0))+0-364.6-0</f>
        <v>1677.6</v>
      </c>
      <c r="Z165" s="3">
        <f>1986.5+(1207.6-990.2)+(-1.013115+(-0.615876--0.505002))+0-375.7--0.191606999999962</f>
        <v>1827.2676179999994</v>
      </c>
      <c r="AA165" s="3">
        <f>1987.7+(1288.8-1055.1)+(-3.041181+(-1.971864--1.614303))+0-385.8--0.590274000000022</f>
        <v>1832.7915320000002</v>
      </c>
      <c r="AB165" s="3">
        <f>1985.4+(1434-1242.2)+(1.012554+(0.73134-0.633522))+0-397.2-0.20257199999996</f>
        <v>1780.9078</v>
      </c>
      <c r="AC165" s="3">
        <f>1873.1+(1604.5-1356.8)+(-0.955281+(-0.818295--0.691968))+0-437.4--0.223073999999956</f>
        <v>1682.5414660000001</v>
      </c>
      <c r="AD165">
        <f t="shared" si="2"/>
        <v>34780.885461999998</v>
      </c>
      <c r="AE165" s="3">
        <f>1981+(1273.7-1029)+(0+(0-0))+0-381.8-0</f>
        <v>1843.8999999999999</v>
      </c>
    </row>
    <row r="166" spans="1:31" s="2" customFormat="1" x14ac:dyDescent="0.25">
      <c r="A166">
        <v>89</v>
      </c>
      <c r="B166">
        <v>6</v>
      </c>
      <c r="C166">
        <v>11</v>
      </c>
      <c r="D166">
        <v>6</v>
      </c>
      <c r="E166">
        <v>6</v>
      </c>
      <c r="F166" s="3">
        <f>1844.5+(2059.5-1904.3)+(0+(0-0))+0-445.7-0</f>
        <v>1554</v>
      </c>
      <c r="G166" s="3">
        <f>1570.4+(2419.1-1986.7)+(-0.800904+(-1.233741--1.013217))+0-452.9--0.230978999999954</f>
        <v>1549.109551</v>
      </c>
      <c r="H166" s="3">
        <f>1285.2+(2448.2-1809.4)+(0.655452+(1.248582-0.922794))+0-440.2-0.224501999999955</f>
        <v>1484.5567379999998</v>
      </c>
      <c r="I166" s="3">
        <f>1257.5+(2347.1-1725.6)+(0+(0-0))+0-450-0</f>
        <v>1429</v>
      </c>
      <c r="J166" s="3">
        <f>1257+(2162.4-1529.5)+(0+(0-0))+0-460.5-0</f>
        <v>1429.4</v>
      </c>
      <c r="K166" s="3">
        <f>1256.5+(2347.2-1704.1)+(0+(0-0))+0-447.9-0</f>
        <v>1451.6999999999998</v>
      </c>
      <c r="L166" s="3">
        <f>1258.6+(2356.5-1802.7)+(-2.567544+(-4.80726--3.677508))+0-447.2--0.91228799999998</f>
        <v>1362.4149919999998</v>
      </c>
      <c r="M166" s="3">
        <f>1257.4+(2060.8-1504.6)+(0.641274+(1.051008-0.767346))+0-412.4-0.210323999999958</f>
        <v>1401.9146120000003</v>
      </c>
      <c r="N166" s="3">
        <f>1318.8+(1761.4-1151.9)+(-0.672588+(-0.898314--0.587469))+0-450.8--0.229907999999954</f>
        <v>1476.7464749999999</v>
      </c>
      <c r="O166" s="3">
        <f>1573.7+(1790.7-1323.5)+(1.605174+(1.826514-1.34997))+0-448.6-0.457572000000072</f>
        <v>1593.9241460000001</v>
      </c>
      <c r="P166" s="3">
        <f>1723.4+(1158.6-794.6)+(1.757868+(1.181772-0.810492))+0-435.2-0.443904000000069</f>
        <v>1653.8852440000001</v>
      </c>
      <c r="Q166" s="3">
        <f>1748.4+(743.6-383.5)+(0.891684+(0.379236-0.195585))+0-451.4-0.230213999999954</f>
        <v>1657.945121</v>
      </c>
      <c r="R166" s="3">
        <f>1753+(652.6-289.1)+(0.89403+(0.332826-0.147441))+0-437.5-0.223124999999956</f>
        <v>1679.8562900000002</v>
      </c>
      <c r="S166" s="3">
        <f>1908.1+(639.5-378.4)+(-0.973131+(-0.326145--0.192984))+0-447.2--0.228071999999955</f>
        <v>1721.1217799999997</v>
      </c>
      <c r="T166" s="3">
        <f>1930.1+(648-444.1)+(0.984351+(0.33048-0.226491))+0-402.5-0.205274999999959</f>
        <v>1732.3830649999998</v>
      </c>
      <c r="U166" s="3">
        <f>1931.8+(628.2-429.7)+(-0.985218+(-0.320382--0.219147))+0-404.5--0.206294999999959</f>
        <v>1724.9198420000002</v>
      </c>
      <c r="V166" s="3">
        <f>1928.8+(692.4-516.5)+(-2.951064+(-1.059372--0.790245))+0-405--0.619650000000023</f>
        <v>1697.099459</v>
      </c>
      <c r="W166" s="3">
        <f>1929+(1003-816.9)+(0+(0-0))+0-400.6-0</f>
        <v>1714.5</v>
      </c>
      <c r="X166" s="3">
        <f>1927.6+(1339.5-1174.9)+(0.983076+(0.683145-0.599199))+0-402.3-0.205172999999959</f>
        <v>1690.761849</v>
      </c>
      <c r="Y166" s="3">
        <f>1969.7+(1083.7-865.7)+(2.009094+(1.105374-0.883014))+0-403.7-0.411774000000064</f>
        <v>1785.8196799999998</v>
      </c>
      <c r="Z166" s="3">
        <f>1981.6+(812.1-450.5)+(-1.010616+(-0.414171--0.229755))+0-403.5--0.205784999999959</f>
        <v>1938.7107529999996</v>
      </c>
      <c r="AA166" s="3">
        <f>1982.9+(832.5-489.5)+(1.011279+(0.424575-0.249645))+0-392.5-0.20017499999996</f>
        <v>1934.3860340000001</v>
      </c>
      <c r="AB166" s="3">
        <f>1984+(1151.2-855.1)+(-2.02368+(-1.174224--0.872202))+0-389.4--0.397188000000062</f>
        <v>1888.7714859999999</v>
      </c>
      <c r="AC166" s="3">
        <f>1981.5+(1463.6-1277.2)+(2.02113+(1.492872-1.302744))+0-364.2-0.371484000000058</f>
        <v>1805.5397739999994</v>
      </c>
      <c r="AD166">
        <f t="shared" si="2"/>
        <v>39358.466890999996</v>
      </c>
      <c r="AE166" s="3">
        <f>1984+(852.9-488.8)+(0+(0-0))+0-408.5-0</f>
        <v>1939.6</v>
      </c>
    </row>
    <row r="167" spans="1:31" s="2" customFormat="1" x14ac:dyDescent="0.25">
      <c r="A167">
        <v>89</v>
      </c>
      <c r="B167">
        <v>6</v>
      </c>
      <c r="C167">
        <v>12</v>
      </c>
      <c r="D167">
        <v>7</v>
      </c>
      <c r="E167">
        <v>1</v>
      </c>
      <c r="F167" s="3">
        <f>1946.3+(1568-1435.2)+(0+(0-0))+0-367.9-0</f>
        <v>1711.1999999999998</v>
      </c>
      <c r="G167" s="3">
        <f>1659.4+(2055.3-1695.1)+(0.846294+(1.048203-0.864501))+0-401.3-0.204662999999959</f>
        <v>1619.1253330000004</v>
      </c>
      <c r="H167" s="3">
        <f>1450.4+(2133.3-1612.2)+(0+(0-0))+0-400.8-0</f>
        <v>1570.7000000000003</v>
      </c>
      <c r="I167" s="3">
        <f>1328.3+(1917.1-1366.4)+(3.387165+(4.888605-3.48432))+0-399.5-1.01872499999994</f>
        <v>1483.2727249999998</v>
      </c>
      <c r="J167" s="3">
        <f>1311.9+(2046.2-1427.4)+(-1.338138+(-2.087124--1.455948))+0-400.8--0.408816000000064</f>
        <v>1528.3395020000003</v>
      </c>
      <c r="K167" s="3">
        <f>1294.4+(1957.8-1396.9)+(-3.30072+(-4.99239--3.562095))+0-399.9--1.01974499999994</f>
        <v>1451.6887299999996</v>
      </c>
      <c r="L167" s="3">
        <f>1275.3+(1886.9-1386.4)+(-3.252015+(-4.811595--3.53532))+0-399.3--1.01821499999994</f>
        <v>1372.9899249999999</v>
      </c>
      <c r="M167" s="3">
        <f>1275.2+(2106.4-1647.4)+(-2.601408+(-4.297056--3.360696))+0-399.3--0.814571999999983</f>
        <v>1332.1768040000002</v>
      </c>
      <c r="N167" s="3">
        <f>1273.9+(1883.6-1377.4)+(0.649689+(0.960636-0.702474))+0-398.7-0.20333699999996</f>
        <v>1382.1045139999999</v>
      </c>
      <c r="O167" s="3">
        <f>1275.4+(1783.8-1226.1)+(0+(0-0))+0-398.3-0</f>
        <v>1434.8000000000002</v>
      </c>
      <c r="P167" s="3">
        <f>1345.1+(1825.4-1258.6)+(-0.686001+(-0.930954--0.641886))+0-399.8--0.203897999999959</f>
        <v>1511.328829</v>
      </c>
      <c r="Q167" s="3">
        <f>1411.1+(1843.8-1278.5)+(-0.719661+(-0.940338--0.652035))+0-398--0.20297999999996</f>
        <v>1577.595016</v>
      </c>
      <c r="R167" s="3">
        <f>1513.5+(1799-1272)+(-0.771885+(-0.91749--0.64872))+0-402.8--0.205427999999959</f>
        <v>1636.864773</v>
      </c>
      <c r="S167" s="3">
        <f>1627.4+(1724.6-1313.8)+(-1.659948+(-1.759092--1.340076))+0-398.8--0.406776000000064</f>
        <v>1637.7278120000001</v>
      </c>
      <c r="T167" s="3">
        <f>1659.6+(1473.5-1106.2)+(0+(0-0))+0-401.3-0</f>
        <v>1625.6</v>
      </c>
      <c r="U167" s="3">
        <f>1747.9+(1414.6-1126.9)+(-2.674287+(-2.164338--1.724157))+0-401.8--0.614754000000023</f>
        <v>1631.3002859999999</v>
      </c>
      <c r="V167" s="3">
        <f>1747.3+(1559.1-1262.8)+(-0.891123+(-0.795141--0.644028))+0-404.4--0.206243999999959</f>
        <v>1638.364008</v>
      </c>
      <c r="W167" s="3">
        <f>1746.3+(1780.5-1491.1)+(-2.671839+(-2.724165--2.281383))+0-403.7--0.617661000000023</f>
        <v>1629.5030400000001</v>
      </c>
      <c r="X167" s="3">
        <f>1744.5+(1541.3-1259.5)+(-4.448475+(-3.930315--3.211725))+0-404.2--1.03070999999994</f>
        <v>1617.9636449999998</v>
      </c>
      <c r="Y167" s="3">
        <f>1888.8+(1436.1-1200.9)+(0+(0-0))+0-398.3-0</f>
        <v>1725.7</v>
      </c>
      <c r="Z167" s="3">
        <f>1980.8+(1070.1-725.2)+(-2.020416+(-1.091502--0.739704))+0-400.5--0.408510000000064</f>
        <v>1923.2362959999998</v>
      </c>
      <c r="AA167" s="3">
        <f>1979.8+(1104-771.7)+(-4.038792+(-2.25216--1.574268))+0-402.7--0.821507999999982</f>
        <v>1905.5048239999999</v>
      </c>
      <c r="AB167" s="3">
        <f>1980.2+(1400.5-1125.8)+(-1.009902+(-0.714255--0.574158))+0-394.7--0.20129699999996</f>
        <v>1859.2512979999999</v>
      </c>
      <c r="AC167" s="3">
        <f>1974.9+(1681.9-1437.8)+(-1.007199+(-0.857769--0.733278))+0-446.2--0.227561999999955</f>
        <v>1771.8958719999998</v>
      </c>
      <c r="AD167">
        <f t="shared" si="2"/>
        <v>38578.233232000013</v>
      </c>
      <c r="AE167" s="3">
        <f>1982+(1019.6-677.6)+(0+(0-0))+0-397.5-0</f>
        <v>1926.5</v>
      </c>
    </row>
    <row r="168" spans="1:31" s="2" customFormat="1" x14ac:dyDescent="0.25">
      <c r="A168">
        <v>89</v>
      </c>
      <c r="B168">
        <v>6</v>
      </c>
      <c r="C168">
        <v>13</v>
      </c>
      <c r="D168">
        <v>1</v>
      </c>
      <c r="E168">
        <v>1</v>
      </c>
      <c r="F168" s="3">
        <f>1931+(2169.6-1955.5)+(-2.95443+(-3.319488--2.991915))+0-445.2--0.681156000000026</f>
        <v>1697.2991530000002</v>
      </c>
      <c r="G168" s="3">
        <f>1711+(2203-1912.9)+(-2.61783+(-3.37059--2.926737))+0-438.5--0.670905000000025</f>
        <v>1560.209222</v>
      </c>
      <c r="H168" s="3">
        <f>1534.8+(2192-1789.8)+(-1.565496+(-2.23584--1.825596))+0-408--0.416160000000065</f>
        <v>1527.4404199999999</v>
      </c>
      <c r="I168" s="3">
        <f>1331.5+(2154.2-1580.7)+(0.679065+(1.098642-0.806157))+0-435.5-0.222104999999956</f>
        <v>1470.2494449999997</v>
      </c>
      <c r="J168" s="3">
        <f>1312+(2133.2-1533.4)+(0.66912+(1.087932-0.782034))+0-453.5-0.231284999999954</f>
        <v>1459.043733</v>
      </c>
      <c r="K168" s="3">
        <f>1312+(2226.7-1629)+(-3.3456+(-5.678085--4.15395))+0-436.3--1.11256499999994</f>
        <v>1469.6428299999998</v>
      </c>
      <c r="L168" s="3">
        <f>1310.1+(2285.4-1736.1)+(-4.677057+(-8.158878--6.197877))+0-441.9--1.57758300000001</f>
        <v>1412.439525</v>
      </c>
      <c r="M168" s="3">
        <f>1310.2+(2020.3-1434.6)+(0+(0-0))+0-440.2-0</f>
        <v>1455.7</v>
      </c>
      <c r="N168" s="3">
        <f>1328.1+(2109.9-1418.3)+(0+(0-0))+0-459-0</f>
        <v>1560.7</v>
      </c>
      <c r="O168" s="3">
        <f>1483.2+(2196-1558.6)+(0.756432+(1.11996-0.794886))+0-432.9-0.220778999999956</f>
        <v>1688.5607270000003</v>
      </c>
      <c r="P168" s="3">
        <f>1632.4+(1642.3-1096.1)+(2.497572+(2.512719-1.677033))+0-448.8-0.686664000000026</f>
        <v>1732.4465940000005</v>
      </c>
      <c r="Q168" s="3">
        <f>1743+(1093.5-751.5)+(3.55572+(2.23074-1.53306))+0-419.4-0.855575999999982</f>
        <v>1668.997824</v>
      </c>
      <c r="R168" s="3">
        <f>1889.6+(881.8-551.4)+(0+(0-0))+0-394.1-0</f>
        <v>1825.9</v>
      </c>
      <c r="S168" s="3">
        <f>1926+(883.4-585.6)+(-2.94678+(-1.351602--0.895968))+0-400.7--0.613071000000023</f>
        <v>1820.310657</v>
      </c>
      <c r="T168" s="3">
        <f>1928.3+(758.9-472.5)+(0+(0-0))+0-411.4-0</f>
        <v>1803.2999999999997</v>
      </c>
      <c r="U168" s="3">
        <f>1928.9+(810.3-508.7)+(0+(0-0))+0-404.2-0</f>
        <v>1826.3</v>
      </c>
      <c r="V168" s="3">
        <f>1925.4+(892.5-613.2)+(-1.963908+(-0.91035--0.625464))+0-382.2--0.389844000000061</f>
        <v>1820.6410499999997</v>
      </c>
      <c r="W168" s="3">
        <f>1925.6+(1663-1412.2)+(-2.946168+(-2.54439--2.160666))+0-381.1--0.583083000000022</f>
        <v>1792.5531909999995</v>
      </c>
      <c r="X168" s="3">
        <f>1922.1+(1835-1602.6)+(-5.881626+(-5.6151--4.903956))+0-382.4--1.17014400000004</f>
        <v>1766.6773739999996</v>
      </c>
      <c r="Y168" s="3">
        <f>1958.1+(1780.1-1492.2)+(-3.994524+(-3.631404--3.044088))+0-380.1--0.775403999999983</f>
        <v>1862.0935640000002</v>
      </c>
      <c r="Z168" s="3">
        <f>1984.3+(1498.5-1075.8)+(-4.047972+(-3.05694--2.194632))+0-378.8--0.772751999999983</f>
        <v>2024.0624720000001</v>
      </c>
      <c r="AA168" s="3">
        <f>1984.7+(1572.5-1187.1)+(-3.036591+(-2.405925--1.816263))+0-376.6--0.576198000000022</f>
        <v>1990.4499450000005</v>
      </c>
      <c r="AB168" s="3">
        <f>1983.4+(1881.8-1553.8)+(-2.023068+(-1.919436--1.584876))+0-386--0.393720000000062</f>
        <v>1923.4360919999999</v>
      </c>
      <c r="AC168" s="3">
        <f>1958.5+(2324.7-1994.9)+(-2.996505+(-3.556791--3.052197))+0-441.1--0.674883000000026</f>
        <v>1844.3737839999999</v>
      </c>
      <c r="AD168">
        <f t="shared" si="2"/>
        <v>41002.827601999998</v>
      </c>
      <c r="AE168" s="3">
        <f>1982+(1318-928.4)+(0+(0-0))+0-377.7-0</f>
        <v>1993.8999999999999</v>
      </c>
    </row>
    <row r="169" spans="1:31" s="2" customFormat="1" x14ac:dyDescent="0.25">
      <c r="A169">
        <v>89</v>
      </c>
      <c r="B169">
        <v>6</v>
      </c>
      <c r="C169">
        <v>14</v>
      </c>
      <c r="D169">
        <v>2</v>
      </c>
      <c r="E169">
        <v>1</v>
      </c>
      <c r="F169" s="3">
        <f>1954.6+(2346.4-2119.1)+(-0.996846+(-1.196664--1.080741))+0-451.5--0.230264999999954</f>
        <v>1729.5174960000002</v>
      </c>
      <c r="G169" s="3">
        <f>1735.5+(2411.7-2072)+(-2.655315+(-3.689901--3.17016))+0-444.3--0.679779000000026</f>
        <v>1628.4047229999999</v>
      </c>
      <c r="H169" s="3">
        <f>1532.1+(2495.6-2042.8)+(0+(0-0))+0-442.7-0</f>
        <v>1542.1999999999998</v>
      </c>
      <c r="I169" s="3">
        <f>1400.4+(2354-1799.1)+(0+(0-0))+0-402.8-0</f>
        <v>1552.5000000000002</v>
      </c>
      <c r="J169" s="3">
        <f>1299.8+(2174.8-1513.6)+(2.651592+(4.436592-3.087744))+0-446.5-0.91085999999998</f>
        <v>1517.5895800000003</v>
      </c>
      <c r="K169" s="3">
        <f>1257.8+(2297.5-1674.7)+(-1.282956+(-2.34345--1.708194))+0-449.6--0.458592000000072</f>
        <v>1429.5403800000001</v>
      </c>
      <c r="L169" s="3">
        <f>1246.8+(2195.3-1597.1)+(-2.543472+(-4.478412--3.258084))+0-401.8--0.819671999999983</f>
        <v>1440.2558720000004</v>
      </c>
      <c r="M169" s="3">
        <f>1247.3+(2086.4-1548.9)+(1.908369+(3.192192-2.369817))+0-435-0.665550000000025</f>
        <v>1351.865194</v>
      </c>
      <c r="N169" s="3">
        <f>1247.7+(1893.3-1112.9)+(-0.636327+(-0.965583--0.567579))+0-430.8--0.219707999999956</f>
        <v>1596.4853769999997</v>
      </c>
      <c r="O169" s="3">
        <f>1322.4+(2182.7-1432)+(0+(0-0))+0-417.2-0</f>
        <v>1655.8999999999999</v>
      </c>
      <c r="P169" s="3">
        <f>1665.2+(1893-1390.3)+(2.547756+(2.89629-2.127159))+0-424.3-0.649179000000024</f>
        <v>1746.2677080000001</v>
      </c>
      <c r="Q169" s="3">
        <f>1896.2+(1544.3-1187.7)+(0.967062+(0.787593-0.605727))+0-383.2-0.195431999999961</f>
        <v>1870.5534960000002</v>
      </c>
      <c r="R169" s="3">
        <f>1890.2+(1322.2-943.6)+(0.964002+(0.674322-0.481236))+0-436.6-0.222665999999956</f>
        <v>1833.1344220000003</v>
      </c>
      <c r="S169" s="3">
        <f>1914.6+(1517.1-1190.4)+(-0.976446+(-0.773721--0.607104))+0-434.8--0.221747999999956</f>
        <v>1805.5786849999997</v>
      </c>
      <c r="T169" s="3">
        <f>1915.9+(1469.3-1165.3)+(0.977109+(0.749343-0.594303))+0-414.4-0.211343999999958</f>
        <v>1806.420805</v>
      </c>
      <c r="U169" s="3">
        <f>1915+(1340.9-1040.7)+(-2.92995+(-2.051577--1.592271))+0-370.1--0.566253000000021</f>
        <v>1842.2769969999999</v>
      </c>
      <c r="V169" s="3">
        <f>1922.4+(1598.8-1394.2)+(0+(0-0))+0-391.4-0</f>
        <v>1735.6</v>
      </c>
      <c r="W169" s="3">
        <f>1918.1+(2217.5-1978.1)+(-3.912924+(-4.5237--4.035324))+0-386.3--0.788051999999983</f>
        <v>1767.5867519999999</v>
      </c>
      <c r="X169" s="3">
        <f>1708.3+(2441.4-1959.3)+(-2.613699+(-3.735342--2.997729))+0-387.2--0.592416000000022</f>
        <v>1800.4411040000002</v>
      </c>
      <c r="Y169" s="3">
        <f>1852.7+(1918.2-1542.4)+(-0.944877+(-0.978282--0.786624))+0-396.2--0.20206199999996</f>
        <v>1831.3655269999999</v>
      </c>
      <c r="Z169" s="3">
        <f>1986.9+(1528-1110.9)+(-2.026638+(-1.55856--1.133118))+0-392.7--0.400554000000063</f>
        <v>2009.248474</v>
      </c>
      <c r="AA169" s="3">
        <f>1984.5+(1827.5-1487.5)+(-2.02419+(-1.86405--1.51725))+0-394.4--0.402288000000063</f>
        <v>1928.131298</v>
      </c>
      <c r="AB169" s="3">
        <f>1984.5+(2112.4-1759.2)+(-1.012095+(-1.077324--0.897192))+0-394.4--0.20114399999996</f>
        <v>1942.3089169999996</v>
      </c>
      <c r="AC169" s="3">
        <f>1958.7+(2076.7-1753.9)+(-2.996811+(-3.177351--2.683467))+0-397--0.607410000000023</f>
        <v>1881.6167150000001</v>
      </c>
      <c r="AD169">
        <f t="shared" si="2"/>
        <v>41244.789522000006</v>
      </c>
      <c r="AE169" s="3">
        <f>1979+(1381.9-1001.8)+(0+(0-0))+0-394.1-0</f>
        <v>1965.0000000000005</v>
      </c>
    </row>
    <row r="170" spans="1:31" s="2" customFormat="1" x14ac:dyDescent="0.25">
      <c r="A170">
        <v>89</v>
      </c>
      <c r="B170">
        <v>6</v>
      </c>
      <c r="C170">
        <v>15</v>
      </c>
      <c r="D170">
        <v>3</v>
      </c>
      <c r="E170">
        <v>1</v>
      </c>
      <c r="F170" s="3">
        <f>1696+(2296.3-1838.7)+(-2.59488+(-3.513339--2.813211))+0-422--0.645660000000024</f>
        <v>1728.9506520000004</v>
      </c>
      <c r="G170" s="3">
        <f>1448.4+(2404.1-1779.8)+(-2.216052+(-3.678273--2.723094))+0-439.2--0.671976000000025</f>
        <v>1631.0007450000001</v>
      </c>
      <c r="H170" s="3">
        <f>1263.1+(2424.7-1722.8)+(-1.288362+(-2.473194--1.757256))+0-443--0.451860000000071</f>
        <v>1520.4475599999998</v>
      </c>
      <c r="I170" s="3">
        <f>1251.2+(2254-1552)+(-1.914336+(-3.44862--2.37456))+0-437.6--0.669528000000025</f>
        <v>1513.2811320000003</v>
      </c>
      <c r="J170" s="3">
        <f>1251.2+(1844.8-1128.5)+(-1.276224+(-1.881696--1.15107))+0-444.1--0.452982000000071</f>
        <v>1521.8461319999999</v>
      </c>
      <c r="K170" s="3">
        <f>1251.7+(1912.7-1211.7)+(-2.553468+(-3.901908--2.471868))+0-446.8--0.911471999999981</f>
        <v>1502.8279640000001</v>
      </c>
      <c r="L170" s="3">
        <f>1251.4+(2097.2-1473.3)+(-5.743926+(-9.626148--6.762447))+0-443.8--2.03704200000008</f>
        <v>1424.9294150000001</v>
      </c>
      <c r="M170" s="3">
        <f>1251.4+(2301.1-1689.9)+(-1.914642+(-3.520683--2.585547))+0-401.9--0.614907000000023</f>
        <v>1458.4651290000002</v>
      </c>
      <c r="N170" s="3">
        <f>1251.9+(2257.5-1490.9)+(-1.276938+(-2.30265--1.520718))+0-414.7--0.422994000000066</f>
        <v>1602.1641239999999</v>
      </c>
      <c r="O170" s="3">
        <f>1255.6+(2081.9-1260)+(-1.921068+(-3.185307--1.9278))+0-391.8--0.599454000000023</f>
        <v>1683.1208790000001</v>
      </c>
      <c r="P170" s="3">
        <f>1316.4+(2033.6-1231.6)+(-2.685456+(-4.148544--2.512464))+0-393.6--0.802943999999983</f>
        <v>1721.2814080000003</v>
      </c>
      <c r="Q170" s="3">
        <f>1476.4+(2188.2-1401.3)+(2.258892+(3.347946-2.143989))+0-390.9-0.598077000000023</f>
        <v>1875.264772</v>
      </c>
      <c r="R170" s="3">
        <f>1619.8+(1714.3-1058.9)+(0+(0-0))+0-401.7-0</f>
        <v>1873.4999999999998</v>
      </c>
      <c r="S170" s="3">
        <f>1636.5+(1572.5-999.8)+(0+(0-0))+0-401-0</f>
        <v>1808.1999999999998</v>
      </c>
      <c r="T170" s="3">
        <f>1689.6+(1305.1-789.3)+(0.861696+(0.665601-0.402543))+0-400.6-0.204305999999959</f>
        <v>1805.7204479999998</v>
      </c>
      <c r="U170" s="3">
        <f>1689.9+(1324.4-818.4)+(-1.723698+(-1.350888--0.834768))+0-400.2--0.408204000000064</f>
        <v>1793.8683860000001</v>
      </c>
      <c r="V170" s="3">
        <f>1686.2+(1567.2-1101.6)+(-1.719924+(-1.598544--1.123632))+0-395--0.402900000000063</f>
        <v>1755.0080640000001</v>
      </c>
      <c r="W170" s="3">
        <f>1687+(1984.5-1507.2)+(-2.58111+(-3.036285--2.306016))+0-395--0.604350000000023</f>
        <v>1766.592971</v>
      </c>
      <c r="X170" s="3">
        <f>1687.5+(1893.5-1409.4)+(-1.72125+(-1.93137--1.437588))+0-403--0.411060000000064</f>
        <v>1766.796028</v>
      </c>
      <c r="Y170" s="3">
        <f>1872.6+(1794.6-1403.1)+(0.955026+(0.915246-0.715581))+0-391-0.19940999999996</f>
        <v>1874.0552810000002</v>
      </c>
      <c r="Z170" s="3">
        <f>1976+(1632.5-1237.6)+(-1.00776+(-0.832575--0.631176))+0-389.7--0.19874699999996</f>
        <v>1980.189588</v>
      </c>
      <c r="AA170" s="3">
        <f>1987.9+(2000.2-1696.2)+(-3.041487+(-3.060306--2.595186))+0-389.6--0.596088000000023</f>
        <v>1899.3894810000004</v>
      </c>
      <c r="AB170" s="3">
        <f>1986.7+(2159-1800.3)+(0+(0-0))+0-388.8-0</f>
        <v>1956.6000000000001</v>
      </c>
      <c r="AC170" s="3">
        <f>1937.3+(2270.4-1909)+(-0.988023+(-1.157904--0.97359))+0-431.5--0.220064999999956</f>
        <v>1866.2477279999998</v>
      </c>
      <c r="AD170">
        <f t="shared" si="2"/>
        <v>41329.747886999998</v>
      </c>
      <c r="AE170" s="3">
        <f>1980+(1786.6-1420.2)+(0+(0-0))+0-384.9-0</f>
        <v>1961.4999999999995</v>
      </c>
    </row>
    <row r="171" spans="1:31" s="2" customFormat="1" x14ac:dyDescent="0.25">
      <c r="A171">
        <v>89</v>
      </c>
      <c r="B171">
        <v>6</v>
      </c>
      <c r="C171">
        <v>16</v>
      </c>
      <c r="D171">
        <v>4</v>
      </c>
      <c r="E171">
        <v>1</v>
      </c>
      <c r="F171" s="3">
        <f>1691.4+(2566.6-1982.7)+(-1.725228+(-2.617932--2.022354))+0-446.4--0.455328000000071</f>
        <v>1827.0345219999999</v>
      </c>
      <c r="G171" s="3">
        <f>1410.1+(2429.3-1805.8)+(-3.595755+(-6.194715--4.60479))+0-436.5--1.11307499999994</f>
        <v>1593.0273950000001</v>
      </c>
      <c r="H171" s="3">
        <f>1262.4+(2305.9-1603.1)+(0.643824+(1.176009-0.817581))+0-438.9-0.223838999999955</f>
        <v>1527.0784130000004</v>
      </c>
      <c r="I171" s="3">
        <f>1227.2+(2149.6-1437.7)+(-3.12936+(-5.48148--3.666135))+0-439.5--1.12072499999994</f>
        <v>1495.7760199999998</v>
      </c>
      <c r="J171" s="3">
        <f>1227+(2198.7-1479.5)+(0.62577+(1.121337-0.754545))+0-422.4-0.215423999999957</f>
        <v>1524.5771379999996</v>
      </c>
      <c r="K171" s="3">
        <f>1226.5+(2152.4-1439.6)+(-3.127575+(-5.48862--3.67098))+0-413.7--1.05493499999994</f>
        <v>1521.7097200000001</v>
      </c>
      <c r="L171" s="3">
        <f>1226.1+(2220.2-1544.3)+(-3.126555+(-5.66151--3.937965))+0-388.7--0.991184999999944</f>
        <v>1509.4410849999995</v>
      </c>
      <c r="M171" s="3">
        <f>1225.3+(1998.8-1389.4)+(0+(0-0))+0-370.5-0</f>
        <v>1464.1999999999998</v>
      </c>
      <c r="N171" s="3">
        <f>1226.4+(1715.6-885.9)+(0.625464+(0.874956-0.451809))+0-371.1-0.189260999999962</f>
        <v>1685.8593500000002</v>
      </c>
      <c r="O171" s="3">
        <f>1232.5+(1747.1-978)+(1.885725+(2.673063-1.49634))+0-372.5-0.569925000000022</f>
        <v>1631.5925229999998</v>
      </c>
      <c r="P171" s="3">
        <f>1394.6+(1923.7-1190.6)+(-0.711246+(-0.981087--0.607206))+0-369.8--0.188597999999962</f>
        <v>1757.003471</v>
      </c>
      <c r="Q171" s="3">
        <f>1602.4+(1990-1388.3)+(0.817224+(1.0149-0.708033))+0-372.4-0.189923999999962</f>
        <v>1832.6341670000004</v>
      </c>
      <c r="R171" s="3">
        <f>1751.5+(1825.3-1295.3)+(0.893265+(0.930903-0.660603))+0-379.6-0.193595999999961</f>
        <v>1902.8699689999999</v>
      </c>
      <c r="S171" s="3">
        <f>1753.6+(1680.8-1246.6)+(-1.788672+(-1.714416--1.271532))+0-381.7--0.389334000000061</f>
        <v>1804.2577779999999</v>
      </c>
      <c r="T171" s="3">
        <f>1752.8+(1547.3-1107.9)+(0+(0-0))+0-383-0</f>
        <v>1809.1999999999998</v>
      </c>
      <c r="U171" s="3">
        <f>1753.6+(1573.3-1182.3)+(-0.894336+(-0.802383--0.602973))+0-382.3--0.194972999999961</f>
        <v>1761.4012269999998</v>
      </c>
      <c r="V171" s="3">
        <f>1750.2+(1569.2-1170.5)+(-1.785204+(-1.600584--1.19391))+0-383.6--0.391272000000061</f>
        <v>1763.4993940000002</v>
      </c>
      <c r="W171" s="3">
        <f>1646.1+(2061.9-1529.2)+(-0.839511+(-1.051569--0.779892))+0-381.6--0.194615999999961</f>
        <v>1796.2834280000004</v>
      </c>
      <c r="X171" s="3">
        <f>1627.6+(1997-1477.4)+(0+(0-0))+0-382.7-0</f>
        <v>1764.4999999999998</v>
      </c>
      <c r="Y171" s="3">
        <f>1800.5+(1825.8-1344.1)+(-1.83651+(-1.862316--1.370982))+0-383.3--0.390966000000061</f>
        <v>1896.9631220000001</v>
      </c>
      <c r="Z171" s="3">
        <f>1980.7+(1585.7-1144.5)+(-3.030471+(-2.426121--1.751085))+0-383.4--0.586602000000022</f>
        <v>2035.381095</v>
      </c>
      <c r="AA171" s="3">
        <f>1962.4+(1671.2-1378.2)+(-3.002472+(-2.556936--2.108646))+0-381.5--0.583695000000022</f>
        <v>1871.0329330000002</v>
      </c>
      <c r="AB171" s="3">
        <f>1963.6+(2233.2-1941.3)+(-1.001436+(-1.138932--0.990063))+0-372.4--0.189923999999962</f>
        <v>1882.1396189999998</v>
      </c>
      <c r="AC171" s="3">
        <f>1961.5+(2606.2-2328.8)+(-2.00073+(-2.658324--2.375376))+0-373.9--0.38137800000006</f>
        <v>1863.0976999999998</v>
      </c>
      <c r="AD171">
        <f t="shared" si="2"/>
        <v>41520.560068999992</v>
      </c>
      <c r="AE171" s="3">
        <f>1976+(1512.7-1118.3)+(0+(0-0))+0-385.1-0</f>
        <v>1985.3000000000002</v>
      </c>
    </row>
    <row r="172" spans="1:31" s="2" customFormat="1" x14ac:dyDescent="0.25">
      <c r="A172">
        <v>89</v>
      </c>
      <c r="B172">
        <v>6</v>
      </c>
      <c r="C172">
        <v>17</v>
      </c>
      <c r="D172">
        <v>5</v>
      </c>
      <c r="E172">
        <v>1</v>
      </c>
      <c r="F172" s="3">
        <f>1856.2+(2506.9-2287.1)+(-0.946662+(-1.278519--1.166421))+0-384.1--0.195890999999961</f>
        <v>1691.0371310000003</v>
      </c>
      <c r="G172" s="3">
        <f>1616.1+(2427.9-1998.3)+(-3.296844+(-4.952916--4.076532))+0-381.9--0.779075999999983</f>
        <v>1660.4058480000001</v>
      </c>
      <c r="H172" s="3">
        <f>1274.1+(2401.3-1790.4)+(-1.949373+(-3.673989--2.739312))+0-382.3--0.584919000000022</f>
        <v>1500.4008690000003</v>
      </c>
      <c r="I172" s="3">
        <f>1248+(2432.8-1789.5)+(-1.90944+(-3.722184--2.737935))+0-380.8--0.582624000000022</f>
        <v>1508.1889350000004</v>
      </c>
      <c r="J172" s="3">
        <f>1248.1+(2420.3-1767.6)+(0.636531+(1.234353-0.901476))+0-379.7-0.193646999999961</f>
        <v>1521.875761</v>
      </c>
      <c r="K172" s="3">
        <f>1247.2+(2336-1696)+(-1.908216+(-3.57408--2.59488))+0-380.1--0.581553000000022</f>
        <v>1504.7941369999999</v>
      </c>
      <c r="L172" s="3">
        <f>1248.7+(2239.4-1665)+(-0.636837+(-1.142094--0.84915))+0-377.9--0.192728999999962</f>
        <v>1444.4629479999999</v>
      </c>
      <c r="M172" s="3">
        <f>1247.8+(2138.4-1561.8)+(-0.636378+(-1.090584--0.796518))+0-395.5--0.20170499999996</f>
        <v>1428.171261</v>
      </c>
      <c r="N172" s="3">
        <f>1247.1+(1837.2-970.2)+(-1.908063+(-2.810916--1.484406))+0-394.3--0.603279000000023</f>
        <v>1717.1687059999997</v>
      </c>
      <c r="O172" s="3">
        <f>1305.7+(1808.6-1101.8)+(-1.331814+(-1.844772--1.123836))+0-383.2--0.390864000000061</f>
        <v>1627.6381139999999</v>
      </c>
      <c r="P172" s="3">
        <f>1434.1+(1929.5-1240.9)+(-2.194173+(-2.952135--1.898577))+0-391.6--0.599148000000023</f>
        <v>1728.451417</v>
      </c>
      <c r="Q172" s="3">
        <f>1599.9+(1841.4-1254.8)+(-0.815949+(-0.939114--0.639948))+0-390.7--0.19925699999996</f>
        <v>1794.8841419999999</v>
      </c>
      <c r="R172" s="3">
        <f>1622+(1560.5-965.8)+(-0.82722+(-0.795855--0.492558))+0-391.6--0.19971599999996</f>
        <v>1824.1691989999997</v>
      </c>
      <c r="S172" s="3">
        <f>1625.3+(1627.1-1089.9)+(-1.657806+(-1.659642--1.111698))+0-392--0.399840000000062</f>
        <v>1768.69409</v>
      </c>
      <c r="T172" s="3">
        <f>1624.7+(1503.8-955.1)+(-0.828597+(-0.766938--0.487101))+0-380.5--0.194054999999961</f>
        <v>1791.9856209999998</v>
      </c>
      <c r="U172" s="3">
        <f>1624+(1482.6-933.7)+(0.82824+(0.756126-0.476187))+0-394.4-0.20114399999996</f>
        <v>1779.4070349999995</v>
      </c>
      <c r="V172" s="3">
        <f>1616+(1650-1149.7)+(-2.47248+(-2.5245--1.759041))+0-395.3--0.604809000000023</f>
        <v>1718.3668700000001</v>
      </c>
      <c r="W172" s="3">
        <f>1518+(1948.3-1303.3)+(-1.54836+(-1.987266--1.329366))+0-399.5--0.407490000000064</f>
        <v>1761.7012300000001</v>
      </c>
      <c r="X172" s="3">
        <f>1500.7+(1812.6-1154.9)+(-3.061428+(-3.697704--2.355996))+0-393.4--0.802535999999983</f>
        <v>1761.3993999999996</v>
      </c>
      <c r="Y172" s="3">
        <f>1777.8+(1695.2-1181.7)+(-0.906678+(-0.864552--0.602667))+0-402--0.205019999999959</f>
        <v>1888.3364569999999</v>
      </c>
      <c r="Z172" s="3">
        <f>1980.4+(1616.3-1217)+(-3.030012+(-2.472939--1.86201))+0-403.3--0.617049000000023</f>
        <v>1973.3761079999997</v>
      </c>
      <c r="AA172" s="3">
        <f>1983+(1835.7-1473.9)+(-2.02266+(-1.872414--1.503378))+0-400--0.408000000000064</f>
        <v>1942.8163040000002</v>
      </c>
      <c r="AB172" s="3">
        <f>1982.7+(2168-1813.6)+(1.011177+(1.10568-0.924936))+0-400.5-0.204254999999959</f>
        <v>1937.5876660000006</v>
      </c>
      <c r="AC172" s="3">
        <f>1982+(2436.7-2171.7)+(-4.04328+(-4.970868--4.430268))+0-401.7--0.819467999999982</f>
        <v>1841.5355879999997</v>
      </c>
      <c r="AD172">
        <f t="shared" si="2"/>
        <v>41116.854836999992</v>
      </c>
      <c r="AE172" s="3">
        <f>1981+(1464.8-1069.1)+(0+(0-0))+0-401.9-0</f>
        <v>1974.7999999999997</v>
      </c>
    </row>
    <row r="173" spans="1:31" s="2" customFormat="1" x14ac:dyDescent="0.25">
      <c r="A173">
        <v>89</v>
      </c>
      <c r="B173">
        <v>6</v>
      </c>
      <c r="C173">
        <v>18</v>
      </c>
      <c r="D173">
        <v>6</v>
      </c>
      <c r="E173">
        <v>1</v>
      </c>
      <c r="F173" s="3">
        <f>1831.5+(2484.7-2181.4)+(0+(0-0))+0-406.7-0</f>
        <v>1728.0999999999997</v>
      </c>
      <c r="G173" s="3">
        <f>1441.6+(2494.7-1875.6)+(-1.470432+(-2.544594--1.913112))+0-433--0.441660000000069</f>
        <v>1626.0397459999999</v>
      </c>
      <c r="H173" s="3">
        <f>1260.7+(2426.5-1747.1)+(0+(0-0))+0-436.5-0</f>
        <v>1503.6000000000001</v>
      </c>
      <c r="I173" s="3">
        <f>1259.6+(2500.3-1815.4)+(-1.284792+(-2.550306--1.851708))+0-449.2--0.458184000000072</f>
        <v>1493.7747939999999</v>
      </c>
      <c r="J173" s="3">
        <f>1260.3+(2254.5-1596.1)+(0.642753+(1.149795-0.814011))+0-459.6-0.234395999999953</f>
        <v>1459.8441409999998</v>
      </c>
      <c r="K173" s="3">
        <f>1260.3+(2297.9-1654.2)+(0+(0-0))+0-440.2-0</f>
        <v>1463.8</v>
      </c>
      <c r="L173" s="3">
        <f>1260.7+(2326.3-1721.1)+(-1.285914+(-2.372826--1.755522))+0-436.1--0.44482200000007</f>
        <v>1428.3416040000004</v>
      </c>
      <c r="M173" s="3">
        <f>1260.1+(2238.7-1636.6)+(0.642651+(1.141737-0.834666))+0-405.5-0.206804999999959</f>
        <v>1457.4429169999999</v>
      </c>
      <c r="N173" s="3">
        <f>1259.2+(2472.2-1724.8)+(-0.642192+(-1.260822--0.879648))+0-408.4--0.208283999999959</f>
        <v>1597.384918</v>
      </c>
      <c r="O173" s="3">
        <f>1386.9+(2140.3-1461.6)+(0+(0-0))+0-407.3-0</f>
        <v>1658.3000000000004</v>
      </c>
      <c r="P173" s="3">
        <f>1511.3+(2349.4-1745.4)+(0.770763+(1.198194-0.890154))+0-389.6-0.19869599999996</f>
        <v>1726.5801070000002</v>
      </c>
      <c r="Q173" s="3">
        <f>1689.3+(2208.7-1732.7)+(0.861543+(1.126437-0.883677))+0-390.4-0.19910399999996</f>
        <v>1775.8051989999997</v>
      </c>
      <c r="R173" s="3">
        <f>1690.9+(2136.1-1640.4)+(-1.724718+(-2.178822--1.673208))+0-390.1--0.397902000000062</f>
        <v>1794.6675700000001</v>
      </c>
      <c r="S173" s="3">
        <f>1688.4+(2258.9-1861.6)+(-3.444336+(-4.608156--3.797664))+0-371--0.756839999999984</f>
        <v>1711.2020120000002</v>
      </c>
      <c r="T173" s="3">
        <f>1691.3+(2417.9-1993.3)+(-1.725126+(-2.466258--2.033166))+0-366.1--0.373422000000058</f>
        <v>1748.0152040000003</v>
      </c>
      <c r="U173" s="3">
        <f>1687.7+(2464.2-2039.7)+(0+(0-0))+0-367-0</f>
        <v>1745.1999999999998</v>
      </c>
      <c r="V173" s="3">
        <f>1646.9+(2299.6-1863.6)+(-1.679838+(-2.345592--1.900872))+0-368.9--0.376278000000059</f>
        <v>1712.25172</v>
      </c>
      <c r="W173" s="3">
        <f>1673.9+(2428.9-1950.1)+(-3.414756+(-4.954956--3.978204))+0-381.8--0.778871999999983</f>
        <v>1767.2873640000003</v>
      </c>
      <c r="X173" s="3">
        <f>1706.1+(2222.3-1855.7)+(1.740222+(2.266746-1.892814))+0-382.1-0.389742000000061</f>
        <v>1692.3244119999997</v>
      </c>
      <c r="Y173" s="3">
        <f>1953.4+(2028.1-1762.7)+(0.996234+(1.034331-0.898977))+0-395.1-0.20150099999996</f>
        <v>1824.6300870000005</v>
      </c>
      <c r="Z173" s="3">
        <f>1976.8+(2076.5-1692.4)+(-2.016336+(-2.11803--1.726248))+0-396--0.403920000000063</f>
        <v>1962.8958019999998</v>
      </c>
      <c r="AA173" s="3">
        <f>1984.5+(2274.1-1912.6)+(-2.02419+(-2.319582--1.950852))+0-396.1--0.404022000000063</f>
        <v>1947.9111020000005</v>
      </c>
      <c r="AB173" s="3">
        <f>1985+(2464.6-2221.7)+(-2.0247+(-2.513892--2.266134))+0-396.4--0.404328000000063</f>
        <v>1829.6318700000002</v>
      </c>
      <c r="AC173" s="3">
        <f>1981.5+(2569.4-2316.3)+(0+(0-0))+0-395.4-0</f>
        <v>1839.1999999999998</v>
      </c>
      <c r="AD173">
        <f t="shared" si="2"/>
        <v>40494.230568999992</v>
      </c>
      <c r="AE173" s="3">
        <f>1981+(2014.8-1641.2)+(0+(0-0))+0-393.9-0</f>
        <v>1960.6999999999998</v>
      </c>
    </row>
    <row r="174" spans="1:31" s="2" customFormat="1" x14ac:dyDescent="0.25">
      <c r="A174">
        <v>89</v>
      </c>
      <c r="B174">
        <v>6</v>
      </c>
      <c r="C174">
        <v>19</v>
      </c>
      <c r="D174">
        <v>7</v>
      </c>
      <c r="E174">
        <v>3</v>
      </c>
      <c r="F174" s="3">
        <f>1886.6+(2528.3-2310.9)+(-3.848664+(-5.157732--4.714236))+0-397.9--0.811715999999983</f>
        <v>1702.6195559999999</v>
      </c>
      <c r="G174" s="3">
        <f>1682.8+(2446.9-2107.9)+(-2.574684+(-3.743757--3.225087))+0-401.9--0.614907000000023</f>
        <v>1617.4215530000001</v>
      </c>
      <c r="H174" s="3">
        <f>1397.2+(1967.7-1452.8)+(-2.137716+(-3.010581--2.222784))+0-401.9--0.614907000000023</f>
        <v>1507.8893940000003</v>
      </c>
      <c r="I174" s="3">
        <f>1235.2+(1645.6-1063.1)+(-0.629952+(-0.839256--0.542181))+0-398.5--0.20323499999996</f>
        <v>1418.476208</v>
      </c>
      <c r="J174" s="3">
        <f>1207.5+(1691.4-1116.2)+(0+(0-0))+0-399.5-0</f>
        <v>1383.2</v>
      </c>
      <c r="K174" s="3">
        <f>1207.4+(1674.3-1135.5)+(0+(0-0))+0-398.2-0</f>
        <v>1348</v>
      </c>
      <c r="L174" s="3">
        <f>1208+(1806.4-1247)+(-4.31256+(-6.448848--4.45179))+0-397.8--1.42014600000001</f>
        <v>1364.7105280000001</v>
      </c>
      <c r="M174" s="3">
        <f>1135.9+(1902.5-1351.8)+(-0.579309+(-0.970275--0.689418))+0-363.4--0.185333999999963</f>
        <v>1322.5251680000003</v>
      </c>
      <c r="N174" s="3">
        <f>1114+(1763.7-1178)+(2.8407+(4.497435-3.0039))+0-359.2-0.915959999999948</f>
        <v>1343.918275</v>
      </c>
      <c r="O174" s="3">
        <f>1201.8+(1685.3-1111.2)+(-0.612918+(-0.859503--0.566712))+0-380--0.193799999999961</f>
        <v>1395.188091</v>
      </c>
      <c r="P174" s="3">
        <f>1243.1+(1903.1-1327.9)+(-1.267962+(-1.941162--1.354458))+0-390--0.397800000000062</f>
        <v>1426.8431339999997</v>
      </c>
      <c r="Q174" s="3">
        <f>1261+(1944.3-1320.4)+(-0.64311+(-0.991593--0.673404))+0-388.1--0.197930999999961</f>
        <v>1496.0366319999996</v>
      </c>
      <c r="R174" s="3">
        <f>1374.6+(2007.6-1488.2)+(-2.103138+(-3.071628--2.276946))+0-389.9--0.596547000000022</f>
        <v>1501.7987269999999</v>
      </c>
      <c r="S174" s="3">
        <f>1445.8+(2125.9-1638.1)+(-1.474716+(-2.168418--1.670862))+0-387.9--0.395658000000062</f>
        <v>1544.1233860000004</v>
      </c>
      <c r="T174" s="3">
        <f>1529.9+(2108.7-1750.4)+(-1.560498+(-2.150874--1.785408))+0-387.9--0.395658000000062</f>
        <v>1498.7696939999998</v>
      </c>
      <c r="U174" s="3">
        <f>1527.9+(1949.6-1638.1)+(-0.779229+(-0.994296--0.835431))+0-389.1--0.198440999999961</f>
        <v>1449.5603470000001</v>
      </c>
      <c r="V174" s="3">
        <f>1497.4+(1764.5-1348.9)+(-2.291022+(-2.699685--2.063817))+0-388.6--0.594558000000022</f>
        <v>1522.0676679999999</v>
      </c>
      <c r="W174" s="3">
        <f>1391+(1584.9-1084.1)+(-4.25646+(-4.849794--3.317346))+0-391.1--1.19676600000005</f>
        <v>1496.1078580000003</v>
      </c>
      <c r="X174" s="3">
        <f>1394.3+(1646.2-1110.5)+(-1.422186+(-1.679124--1.13271))+0-389.3--0.397086000000062</f>
        <v>1539.1284860000003</v>
      </c>
      <c r="Y174" s="3">
        <f>1581.6+(1255.1-749.7)+(-1.613232+(-1.280202--0.764694))+0-397.5--0.405450000000063</f>
        <v>1687.7767099999999</v>
      </c>
      <c r="Z174" s="3">
        <f>1734.6+(1271-825.6)+(-3.538584+(-2.59284--1.684224))+0-398.9--0.813755999999982</f>
        <v>1777.4665559999999</v>
      </c>
      <c r="AA174" s="3">
        <f>1734.9+(1393-951.1)+(-3.539196+(-2.84172--1.940244))+0-397.4--0.810695999999983</f>
        <v>1775.7700239999999</v>
      </c>
      <c r="AB174" s="3">
        <f>1570.9+(1453.5-884.4)+(-0.801159+(-0.741285--0.451044))+0-394.4--0.20114399999996</f>
        <v>1744.709744</v>
      </c>
      <c r="AC174" s="3">
        <f>1451.1+(1230.7-660.9)+(-2.220183+(-1.882971--1.011177))+0-442.8--0.677484000000026</f>
        <v>1575.6855070000001</v>
      </c>
      <c r="AD174">
        <f t="shared" si="2"/>
        <v>36439.793245999994</v>
      </c>
      <c r="AE174" s="3">
        <f>1737+(1369.1-853)+(0+(0-0))+0-396.2-0</f>
        <v>1856.8999999999999</v>
      </c>
    </row>
    <row r="175" spans="1:31" s="2" customFormat="1" x14ac:dyDescent="0.25">
      <c r="A175">
        <v>89</v>
      </c>
      <c r="B175">
        <v>6</v>
      </c>
      <c r="C175">
        <v>20</v>
      </c>
      <c r="D175">
        <v>1</v>
      </c>
      <c r="E175">
        <v>1</v>
      </c>
      <c r="F175" s="3">
        <f>1394.4+(1397.1-811.2)+(-2.844576+(-2.850084--1.654848))+0-441.8--0.901271999999981</f>
        <v>1535.3614600000001</v>
      </c>
      <c r="G175" s="3">
        <f>1221.2+(1682.2-1021.3)+(-1.868436+(-2.573766--1.562589))+0-448.4--0.686052000000026</f>
        <v>1431.5064390000002</v>
      </c>
      <c r="H175" s="3">
        <f>1218.6+(1369.2-770.7)+(-3.728916+(-4.189752--2.358342))+0-448.6--1.37271600000005</f>
        <v>1364.3123899999998</v>
      </c>
      <c r="I175" s="3">
        <f>1219.4+(1334.4-791.2)+(-1.243788+(-1.361088--0.807024))+0-429.8--0.438396000000069</f>
        <v>1331.4405440000003</v>
      </c>
      <c r="J175" s="3">
        <f>1219.2+(1379.2-838.5)+(-1.243584+(-1.406784--0.85527))+0-435--0.443700000000069</f>
        <v>1323.5486020000001</v>
      </c>
      <c r="K175" s="3">
        <f>1219.2+(1460.1-934)+(0+(0-0))+0-449.3-0</f>
        <v>1296</v>
      </c>
      <c r="L175" s="3">
        <f>1218.6+(1341.3-806)+(-4.350402+(-4.788441--2.87742))+0-398.9--1.42407300000001</f>
        <v>1350.16265</v>
      </c>
      <c r="M175" s="3">
        <f>1219.2+(1020.4-477)+(-1.865376+(-1.561212--0.72981))+0-406.6--0.622098000000024</f>
        <v>1353.9253200000001</v>
      </c>
      <c r="N175" s="3">
        <f>1220.9+(906.1-357.3)+(-1.867977+(-1.386333--0.546669))+0-446.1--0.682533000000026</f>
        <v>1321.5748919999999</v>
      </c>
      <c r="O175" s="3">
        <f>1220.3+(1095.8-363.1)+(-0.622353+(-0.558858--0.185181))+0-412.7--0.210476999999958</f>
        <v>1539.5144469999998</v>
      </c>
      <c r="P175" s="3">
        <f>1246.1+(1042.3-292.1)+(-1.271022+(-1.063146--0.297942))+0-434.7--0.443394000000069</f>
        <v>1560.0071679999999</v>
      </c>
      <c r="Q175" s="3">
        <f>1351.7+(1031.2-337.8)+(-0.689367+(-0.525912--0.172278))+0-424--0.216239999999957</f>
        <v>1620.2732390000001</v>
      </c>
      <c r="R175" s="3">
        <f>1612.3+(871-394.3)+(-0.822273+(-0.44421--0.201093))+1-424.1--0.216290999999957</f>
        <v>1665.0509009999998</v>
      </c>
      <c r="S175" s="3">
        <f>1688.9+(1097.4-783.5)+(-1.722678+(-1.119348--0.79917))+0-421.4--0.429828000000067</f>
        <v>1579.7869720000001</v>
      </c>
      <c r="T175" s="3">
        <f>1779.9+(1313.2-1083.6)+(0.907749+(0.669732-0.552636))+0-413.1-0.210680999999958</f>
        <v>1597.214164</v>
      </c>
      <c r="U175" s="3">
        <f>1778.4+(1335.4-1084)+(-1.813968+(-1.362108--1.10568))+0-366--0.373320000000058</f>
        <v>1662.1029240000003</v>
      </c>
      <c r="V175" s="3">
        <f>1779.1+(1525.3-1382.6)+(0+(0-0))+0-366-0</f>
        <v>1555.8</v>
      </c>
      <c r="W175" s="3">
        <f>1776.5+(1448-1172.5)+(-4.530075+(-3.6924--2.989875))+0-369.8--0.942989999999946</f>
        <v>1677.91039</v>
      </c>
      <c r="X175" s="3">
        <f>1780.6+(942.4-685.7)+(-5.448636+(-2.883744--2.098242))+0-371.6--1.13709600000004</f>
        <v>1660.6029579999995</v>
      </c>
      <c r="Y175" s="3">
        <f>1896.6+(752.9-459.6)+(-0.967266+(-0.383979--0.234396))+0-374.8--0.191147999999962</f>
        <v>1814.1742989999996</v>
      </c>
      <c r="Z175" s="3">
        <f>1941.6+(823.7-471.4)+(-1.980432+(-0.840174--0.480828))+0-381.6--0.389232000000061</f>
        <v>1910.3494540000002</v>
      </c>
      <c r="AA175" s="3">
        <f>1941.6+(954-640.6)+(-3.960864+(-1.94616--1.306824))+0-389.8--0.795191999999983</f>
        <v>1861.3949920000002</v>
      </c>
      <c r="AB175" s="3">
        <f>1880+(1501.9-1193)+(-2.8764+(-2.297907--1.82529))+0-388.2--0.593946000000022</f>
        <v>1797.944929</v>
      </c>
      <c r="AC175" s="3">
        <f>1813.1+(2045.6-1715.1)+(-4.623405+(-5.21628--4.373505))+0-415.5--1.05952499999994</f>
        <v>1723.6933449999999</v>
      </c>
      <c r="AD175">
        <f t="shared" si="2"/>
        <v>37533.652478999997</v>
      </c>
      <c r="AE175" s="3">
        <f>1945+(851.3-528.1)+(0+(0-0))+0-380.5-0</f>
        <v>1887.6999999999998</v>
      </c>
    </row>
    <row r="176" spans="1:31" s="2" customFormat="1" x14ac:dyDescent="0.25">
      <c r="A176">
        <v>89</v>
      </c>
      <c r="B176">
        <v>6</v>
      </c>
      <c r="C176">
        <v>21</v>
      </c>
      <c r="D176">
        <v>2</v>
      </c>
      <c r="E176">
        <v>1</v>
      </c>
      <c r="F176" s="3">
        <f>1628.5+(2043.9-1634.4)+(-2.491605+(-3.127167--2.500632))+0-440.1--0.673353000000026</f>
        <v>1595.4552130000002</v>
      </c>
      <c r="G176" s="3">
        <f>1337.5+(2129.2-1507.4)+(-0.682125+(-1.085892--0.768774))+0-403.4--0.205733999999959</f>
        <v>1555.1064909999998</v>
      </c>
      <c r="H176" s="3">
        <f>1134.3+(1916.1-1178.4)+(-1.156986+(-1.954422--1.201968))+0-433.3--0.441966000000069</f>
        <v>1437.232526</v>
      </c>
      <c r="I176" s="3">
        <f>1128.4+(1751.9-1031.8)+(-1.726452+(-2.680407--1.578654))+0-427.5--0.654075000000025</f>
        <v>1418.8258700000001</v>
      </c>
      <c r="J176" s="3">
        <f>1126.7+(1543.6-858.4)+(-1.723851+(-2.361708--1.313352))+0-433.3--0.662949000000025</f>
        <v>1376.4907420000002</v>
      </c>
      <c r="K176" s="3">
        <f>1127.7+(1396.3-695.7)+(0+(0-0))+0-431.3-0</f>
        <v>1397</v>
      </c>
      <c r="L176" s="3">
        <f>1128.3+(1293.9-567)+(-2.877165+(-3.299445--1.44585))+0-444.4--1.13321999999994</f>
        <v>1407.2024600000002</v>
      </c>
      <c r="M176" s="3">
        <f>1125.9+(1165.1-377.8)+(0+(0-0))+0-453.9-0</f>
        <v>1459.3000000000002</v>
      </c>
      <c r="N176" s="3">
        <f>1202.2+(989.7-243.1)+(0.613122+(0.504747-0.123981))+0-437.7-0.223226999999956</f>
        <v>1511.8706610000002</v>
      </c>
      <c r="O176" s="3">
        <f>1228.8+(1122.1-359.1)+(-1.880064+(-1.716813--0.549423))+0-446.9--0.683757000000026</f>
        <v>1542.5363029999996</v>
      </c>
      <c r="P176" s="3">
        <f>1226.8+(1519-687)+(0+(0-0))+0-451.4-0</f>
        <v>1607.4</v>
      </c>
      <c r="Q176" s="3">
        <f>1350.1+(1866.7-1062.2)+(0+(0-0))+0-427.6-0</f>
        <v>1727</v>
      </c>
      <c r="R176" s="3">
        <f>1680.3+(1922.4-1373.3)+(-2.570859+(-2.941272--2.101149))+0-419.5--0.641835000000024</f>
        <v>1807.1308530000003</v>
      </c>
      <c r="S176" s="3">
        <f>1750+(2393-1984.7)+(-4.4625+(-6.10215--5.060985))+0-418.7--1.06768499999994</f>
        <v>1735.1640199999999</v>
      </c>
      <c r="T176" s="3">
        <f>1750.7+(2528.5-2114)+(0+(0-0))+0-424-0</f>
        <v>1741.1999999999998</v>
      </c>
      <c r="U176" s="3">
        <f>1735.1+(2408.4-1949.3)+(1.769802+(2.456568-1.988286))+0-411.3-0.419526000000066</f>
        <v>1784.7185579999998</v>
      </c>
      <c r="V176" s="3">
        <f>1619.2+(2131.2-1511.5)+(-3.303168+(-4.347648--3.08346))+0-410--0.836399999999982</f>
        <v>1825.1690439999995</v>
      </c>
      <c r="W176" s="3">
        <f>1506.9+(1702.9-1004)+(-3.074076+(-3.473916--2.04816))+0-414.8--0.846191999999982</f>
        <v>1787.3463600000002</v>
      </c>
      <c r="X176" s="3">
        <f>1426.9+(1508.3-827.2)+(-0.727719+(-0.769233--0.421872))+0-392.4--0.20012399999996</f>
        <v>1714.7250439999998</v>
      </c>
      <c r="Y176" s="3">
        <f>1760.2+(1197.3-757.3)+(-0.897702+(-0.610623--0.386223))+0-388--0.197879999999961</f>
        <v>1811.2757779999999</v>
      </c>
      <c r="Z176" s="3">
        <f>1981+(1654.5-1270.8)+(-3.03093+(-2.531385--1.944324))+0-392.5--0.600525000000023</f>
        <v>1969.1825339999998</v>
      </c>
      <c r="AA176" s="3">
        <f>1983.8+(2164-1827.2)+(-7.082166+(-7.72548--6.523104))+0-385.2--1.37516400000001</f>
        <v>1928.490622</v>
      </c>
      <c r="AB176" s="3">
        <f>1818.1+(1740.9-1321.9)+(-0.927231+(-0.887859--0.674169))+0-392--0.19991999999996</f>
        <v>1844.1589989999998</v>
      </c>
      <c r="AC176" s="3">
        <f>1637.7+(2142.5-1606.7)+(-1.670454+(-2.18535--1.638834))+0-412.7--0.420954000000066</f>
        <v>1759.0039840000002</v>
      </c>
      <c r="AD176">
        <f t="shared" si="2"/>
        <v>39742.986061999996</v>
      </c>
      <c r="AE176" s="3">
        <f>1984+(1812.5-1423)+(0+(0-0))+0-395.2-0</f>
        <v>1978.3</v>
      </c>
    </row>
    <row r="177" spans="1:31" s="2" customFormat="1" x14ac:dyDescent="0.25">
      <c r="A177">
        <v>89</v>
      </c>
      <c r="B177">
        <v>6</v>
      </c>
      <c r="C177">
        <v>22</v>
      </c>
      <c r="D177">
        <v>3</v>
      </c>
      <c r="E177">
        <v>1</v>
      </c>
      <c r="F177" s="3">
        <f>1559.7+(2244.2-1751.9)+(-3.181788+(-4.578168--3.573876))+0-409.6--0.835583999999982</f>
        <v>1639.0495040000001</v>
      </c>
      <c r="G177" s="3">
        <f>1274.2+(2071.2-1455.6)+(-0.649842+(-1.056312--0.742356))+0-429.3--0.218942999999956</f>
        <v>1459.7551449999999</v>
      </c>
      <c r="H177" s="3">
        <f>1222.2+(2051.2-1443.1)+(-1.246644+(-2.092224--1.471962))+0-428.7--0.437274000000068</f>
        <v>1400.1703680000001</v>
      </c>
      <c r="I177" s="3">
        <f>1217.5+(2133-1514.9)+(-1.862775+(-3.26349--2.317797))+0-432.5--0.661725000000025</f>
        <v>1400.9532569999999</v>
      </c>
      <c r="J177" s="3">
        <f>1216.6+(1957.8-1406.6)+(-1.240932+(-1.996956--1.434732))+0-438.1--0.44686200000007</f>
        <v>1328.3437059999999</v>
      </c>
      <c r="K177" s="3">
        <f>1216.8+(2018.2-1481.3)+(2.482272+(4.117128-3.021852))+0-444.9-0.907595999999981</f>
        <v>1311.4699519999999</v>
      </c>
      <c r="L177" s="3">
        <f>1216.5+(1677.3-1070.6)+(-2.48166+(-3.421692--2.184024))+0-426.2--0.869447999999981</f>
        <v>1394.15012</v>
      </c>
      <c r="M177" s="3">
        <f>1216.9+(1258.1-637)+(1.861857+(1.924893-0.97461))+0-446.5-0.683145000000026</f>
        <v>1393.628995</v>
      </c>
      <c r="N177" s="3">
        <f>1215.8+(1367.4-702.7)+(-0.620058+(-0.697374--0.358377))+0-424.8--0.216647999999957</f>
        <v>1454.9575929999999</v>
      </c>
      <c r="O177" s="3">
        <f>1225.2+(1687.6-927)+(0.624852+(0.860676-0.47277))+0-418.7-0.213536999999958</f>
        <v>1567.8992210000001</v>
      </c>
      <c r="P177" s="3">
        <f>1458.8+(1847.6-1233.2)+(1.487976+(1.884552-1.257864))+0-424.8-0.433296000000068</f>
        <v>1650.0813679999999</v>
      </c>
      <c r="Q177" s="3">
        <f>1648+(2093.7-1559.2)+(-0.84048+(-1.067787--0.795192))+0-419--0.213689999999957</f>
        <v>1762.6006149999998</v>
      </c>
      <c r="R177" s="3">
        <f>1770.7+(2193.8-1768.3)+(0+(0-0))+0-412.8-0</f>
        <v>1783.4000000000003</v>
      </c>
      <c r="S177" s="3">
        <f>1776.9+(2500.7-2127.4)+(-1.812438+(-2.550714--2.169948))+0-422.7--0.431154000000067</f>
        <v>1725.7379499999997</v>
      </c>
      <c r="T177" s="3">
        <f>1781.2+(2395.3-2003.1)+(0+(0-0))+0-417.5-0</f>
        <v>1755.9000000000005</v>
      </c>
      <c r="U177" s="3">
        <f>1773.7+(2520.7-2147.6)+(0+(0-0))+0-374.8-0</f>
        <v>1772.0000000000002</v>
      </c>
      <c r="V177" s="3">
        <f>1784.4+(2512.1-2135.1)+(-4.55022+(-6.405855--5.444505))+0-369.7--0.942734999999946</f>
        <v>1787.1311649999998</v>
      </c>
      <c r="W177" s="3">
        <f>1783.5+(2416.2-2084.6)+(-5.45751+(-7.393572--6.378876))+0-353.6--1.08201600000004</f>
        <v>1756.1098100000002</v>
      </c>
      <c r="X177" s="3">
        <f>1782.5+(1789.8-1504.6)+(-2.727225+(-2.738394--2.302038))+0-378.7--0.579411000000022</f>
        <v>1686.4158299999999</v>
      </c>
      <c r="Y177" s="3">
        <f>1903.5+(2111.3-1773.1)+(-1.94157+(-2.153526--1.808562))+0-378.3--0.38586600000006</f>
        <v>1861.4993320000005</v>
      </c>
      <c r="Z177" s="3">
        <f>1950.5+(2027.7-1621.3)+(-2.984265+(-3.102381--2.480589))+0-376.2--0.575586000000022</f>
        <v>1977.669529</v>
      </c>
      <c r="AA177" s="3">
        <f>1950.1+(2281.1-1922.7)+(-2.983653+(-3.490083--2.941731))+0-376--0.575280000000022</f>
        <v>1929.543275</v>
      </c>
      <c r="AB177" s="3">
        <f>1800.1+(2173.9-1744.1)+(-3.672204+(-4.434756--3.557964))+0-389.7--0.794987999999983</f>
        <v>1836.4459919999999</v>
      </c>
      <c r="AC177" s="3">
        <f>1760.9+(2330.3-1920.9)+(-1.796118+(-2.376906--1.959318))+0-420.2--0.428604000000067</f>
        <v>1748.3148980000003</v>
      </c>
      <c r="AD177">
        <f t="shared" si="2"/>
        <v>39383.227624999992</v>
      </c>
      <c r="AE177" s="3">
        <f>1953+(1976.4-1591.7)+(0+(0-0))+0-382.2-0</f>
        <v>1955.4999999999998</v>
      </c>
    </row>
    <row r="178" spans="1:31" s="2" customFormat="1" x14ac:dyDescent="0.25">
      <c r="A178">
        <v>89</v>
      </c>
      <c r="B178">
        <v>6</v>
      </c>
      <c r="C178">
        <v>23</v>
      </c>
      <c r="D178">
        <v>4</v>
      </c>
      <c r="E178">
        <v>1</v>
      </c>
      <c r="F178" s="3">
        <f>1652.5+(2209.1-1800.7)+(-2.528325+(-3.379923--2.755071))+0-431.4--0.660042000000025</f>
        <v>1627.0068649999994</v>
      </c>
      <c r="G178" s="3">
        <f>1418+(2168.2-1585.1)+(-2.16954+(-3.317346--2.425203))+0-437--0.668610000000025</f>
        <v>1561.706927</v>
      </c>
      <c r="H178" s="3">
        <f>1239.1+(1968.5-1428.3)+(-0.631941+(-1.003935--0.728433))+0-424.4--0.216443999999957</f>
        <v>1354.2090009999999</v>
      </c>
      <c r="I178" s="3">
        <f>1229.9+(2023.4-1454.4)+(-1.881747+(-3.095802--2.225232))+0-430.4--0.658512000000025</f>
        <v>1366.406195</v>
      </c>
      <c r="J178" s="3">
        <f>1230.3+(1975.3-1406.7)+(-3.137265+(-5.037015--3.587085))+0-426.9--1.08859499999994</f>
        <v>1368.5013999999999</v>
      </c>
      <c r="K178" s="3">
        <f>1229.4+(1753.9-1244.1)+(-0.626994+(-0.894489--0.634491))+0-425.5--0.217004999999957</f>
        <v>1313.0300130000003</v>
      </c>
      <c r="L178" s="3">
        <f>1229.7+(1606.2-1056.5)+(-2.508588+(-3.276648--2.15526))+0-430.8--0.878831999999981</f>
        <v>1345.8488560000001</v>
      </c>
      <c r="M178" s="3">
        <f>1230+(1500-908.5)+(0+(0-0))+0-429.4-0</f>
        <v>1392.1</v>
      </c>
      <c r="N178" s="3">
        <f>1229+(1782.2-976.6)+(-1.25358+(-1.817844--0.996132))+0-439.4--0.44818800000007</f>
        <v>1593.5728959999999</v>
      </c>
      <c r="O178" s="3">
        <f>1228.4+(1988.5-1133.7)+(-1.879452+(-3.042405--1.734561))+0-441.2--0.675036000000026</f>
        <v>1639.4877399999998</v>
      </c>
      <c r="P178" s="3">
        <f>1332+(2041.1-1209.5)+(-0.67932+(-1.040961--0.616845))+0-434.2--0.221441999999956</f>
        <v>1728.518006</v>
      </c>
      <c r="Q178" s="3">
        <f>1572.8+(1780.5-1123.2)+(-1.604256+(-1.81611--1.145664))+0-440--0.44880000000007</f>
        <v>1788.2740979999999</v>
      </c>
      <c r="R178" s="3">
        <f>1735.5+(1858.1-1353)+(-4.425525+(-4.738155--3.45015))+0-445.1--1.13500499999994</f>
        <v>1790.9214749999999</v>
      </c>
      <c r="S178" s="3">
        <f>1807.9+(2311.5-1861.7)+(-3.688116+(-4.71546--3.797868))+0-443.8--0.905351999999981</f>
        <v>1810.1996439999998</v>
      </c>
      <c r="T178" s="3">
        <f>1800.2+(2399.2-1988.7)+(-0.918102+(-1.223592--1.014237))+0-438--0.223379999999956</f>
        <v>1771.7959229999997</v>
      </c>
      <c r="U178" s="3">
        <f>1788.9+(2439.8-2110.8)+(-3.649356+(-4.977192--4.306032))+0-400--0.815999999999983</f>
        <v>1714.3954839999999</v>
      </c>
      <c r="V178" s="3">
        <f>1799.5+(2480.7-2132.1)+(-1.83549+(-2.530314--2.174742))+0-392.7--0.400554000000063</f>
        <v>1753.609492</v>
      </c>
      <c r="W178" s="3">
        <f>1807.9+(2527.7-2179.2)+(-1.844058+(-2.578254--2.222784))+0-392.8--0.400656000000063</f>
        <v>1761.8011280000001</v>
      </c>
      <c r="X178" s="3">
        <f>1804.7+(1930.1-1604.4)+(-1.840794+(-1.968702--1.636488))+0-399.1--0.407082000000064</f>
        <v>1729.5340739999997</v>
      </c>
      <c r="Y178" s="3">
        <f>1899.4+(1591.6-1253.3)+(-2.906082+(-2.435148--1.917549))+0-399.6--0.611388000000023</f>
        <v>1835.2877069999997</v>
      </c>
      <c r="Z178" s="3">
        <f>1982+(2130.5-1727.4)+(-3.03246+(-3.259665--2.642922))+0-396.2--0.606186000000023</f>
        <v>1985.8569829999999</v>
      </c>
      <c r="AA178" s="3">
        <f>1982.9+(2371.6-2021.4)+(-5.056395+(-6.04758--5.15457))+0-392.7--1.00138499999994</f>
        <v>1935.45198</v>
      </c>
      <c r="AB178" s="3">
        <f>1983.9+(2500.4-2219.3)+(-2.023578+(-2.550408--2.263686))+0-400.8--0.408816000000064</f>
        <v>1862.2985160000001</v>
      </c>
      <c r="AC178" s="3">
        <f>1982.8+(2550.4-2339.7)+(-2.022456+(-2.601408--2.386494))+0-421.7--0.430134000000067</f>
        <v>1769.9927640000003</v>
      </c>
      <c r="AD178">
        <f t="shared" si="2"/>
        <v>39799.807167000006</v>
      </c>
      <c r="AE178" s="3">
        <f>1984+(2106.1-1701)+(0+(0-0))+0-407-0</f>
        <v>1982.1</v>
      </c>
    </row>
    <row r="179" spans="1:31" s="2" customFormat="1" x14ac:dyDescent="0.25">
      <c r="A179">
        <v>89</v>
      </c>
      <c r="B179">
        <v>6</v>
      </c>
      <c r="C179">
        <v>24</v>
      </c>
      <c r="D179">
        <v>5</v>
      </c>
      <c r="E179">
        <v>1</v>
      </c>
      <c r="F179" s="3">
        <f>1965.6+(2622.5-2491.4)+(-2.004912+(-2.67495--2.541228))+0-435.4--0.444108000000069</f>
        <v>1659.605474</v>
      </c>
      <c r="G179" s="3">
        <f>1906+(2406.4-2312.7)+(-0.97206+(-1.227264--1.179477))+0-442.9--0.225878999999955</f>
        <v>1556.006032</v>
      </c>
      <c r="H179" s="3">
        <f>1627.7+(2174.2-1877.8)+(2.490381+(3.326526-2.873034))+0-444-0.679320000000026</f>
        <v>1482.3645529999999</v>
      </c>
      <c r="I179" s="3">
        <f>1254+(2307.3-1690.5)+(0+(0-0))+0-438.6-0</f>
        <v>1432.2000000000003</v>
      </c>
      <c r="J179" s="3">
        <f>1213.6+(2442.9-1806.2)+(-1.237872+(-2.491758--1.842324))+0-440.9--0.44971800000007</f>
        <v>1407.9624120000001</v>
      </c>
      <c r="K179" s="3">
        <f>1207.3+(2215.4-1597.7)+(0+(0-0))+0-437.1-0</f>
        <v>1387.9</v>
      </c>
      <c r="L179" s="3">
        <f>1163.8+(2023.6-1375.1)+(-1.780614+(-3.096108--2.103903))+0-429.3--0.656829000000025</f>
        <v>1380.88401</v>
      </c>
      <c r="M179" s="3">
        <f>1162+(1527.5-843.4)+(-1.18524+(-1.55805--0.860268))+0-426--0.434520000000068</f>
        <v>1418.6514979999999</v>
      </c>
      <c r="N179" s="3">
        <f>1132.5+(1865.5-990)+(0.577575+(0.951405-0.5049))+0-434.1-0.221390999999956</f>
        <v>1574.7026889999997</v>
      </c>
      <c r="O179" s="3">
        <f>1093.8+(2043.8-1081.6)+(-0.557838+(-1.042338--0.551616))+0-423--0.215729999999957</f>
        <v>1632.1671699999997</v>
      </c>
      <c r="P179" s="3">
        <f>1201.6+(2151.2-1214.8)+(0+(0-0))+0-431.3-0</f>
        <v>1706.7</v>
      </c>
      <c r="Q179" s="3">
        <f>1444.7+(2089.3-1355.1)+(0.736797+(1.065543-0.691101))+0-426-0.217259999999957</f>
        <v>1753.7939790000005</v>
      </c>
      <c r="R179" s="3">
        <f>1614.5+(1967.8-1390.7)+(-0.823395+(-1.003578--0.709257))+0-428.1--0.218330999999957</f>
        <v>1762.6006149999998</v>
      </c>
      <c r="S179" s="3">
        <f>1621.7+(2221.5-1714.8)+(-0.827067+(-1.132965--0.874548))+0-421.2--0.214811999999957</f>
        <v>1706.3293279999998</v>
      </c>
      <c r="T179" s="3">
        <f>1623+(2391.5-1891.2)+(-2.48319+(-3.658995--2.893536))+0-399.2--0.610776000000023</f>
        <v>1721.462127</v>
      </c>
      <c r="U179" s="3">
        <f>1621.9+(2363.9-1854.1)+(1.654338+(2.411178-1.891182))+0-386.2-0.393924000000062</f>
        <v>1747.2804100000001</v>
      </c>
      <c r="V179" s="3">
        <f>1620.3+(2393.6-1877.9)+(0+(0-0))+0-387.2-0</f>
        <v>1748.8</v>
      </c>
      <c r="W179" s="3">
        <f>1606.1+(2453.4-1949)+(-3.276444+(-5.004936--3.97596))+0-384.9--0.785195999999983</f>
        <v>1722.0797759999998</v>
      </c>
      <c r="X179" s="3">
        <f>1583+(2030.8-1545.3)+(0.80733+(1.035708-0.788103))+0-388.1-0.197930999999961</f>
        <v>1681.2570040000003</v>
      </c>
      <c r="Y179" s="3">
        <f>1626.4+(1964.9-1425.8)+(-0.829464+(-1.002099--0.727158))+0-385--0.196349999999961</f>
        <v>1779.5919449999999</v>
      </c>
      <c r="Z179" s="3">
        <f>1662.4+(1883.6-1229.7)+(-4.23912+(-4.80318--3.135735))+0-392.8--1.00163999999994</f>
        <v>1918.595075</v>
      </c>
      <c r="AA179" s="3">
        <f>1646.4+(2426.6-1807.4)+(-4.19832+(-6.18783--4.60887))+0-402.4--1.02611999999994</f>
        <v>1858.44884</v>
      </c>
      <c r="AB179" s="3">
        <f>1648.4+(2397.2-1848.1)+(-3.362736+(-4.890288--3.770124))+0-402.2--0.820487999999982</f>
        <v>1791.6375880000001</v>
      </c>
      <c r="AC179" s="3">
        <f>1645.1+(2545.9-2057.5)+(-0.839001+(-1.298409--1.049325))+0-425.2--0.216851999999957</f>
        <v>1707.4287670000001</v>
      </c>
      <c r="AD179">
        <f t="shared" si="2"/>
        <v>39538.44929199999</v>
      </c>
      <c r="AE179" s="3">
        <f>1660+(2112.4-1492.2)+(0+(0-0))+0-404.3-0</f>
        <v>1875.8999999999999</v>
      </c>
    </row>
    <row r="180" spans="1:31" s="2" customFormat="1" x14ac:dyDescent="0.25">
      <c r="A180">
        <v>89</v>
      </c>
      <c r="B180">
        <v>6</v>
      </c>
      <c r="C180">
        <v>25</v>
      </c>
      <c r="D180">
        <v>6</v>
      </c>
      <c r="E180">
        <v>1</v>
      </c>
      <c r="F180" s="3">
        <f>1602+(2511.6-2053.5)+(-4.0851+(-6.40458--5.236425))+0-442.5--1.12837499999994</f>
        <v>1613.4751199999998</v>
      </c>
      <c r="G180" s="3">
        <f>1510.8+(2394.5-1960.9)+(-3.082032+(-4.88478--4.000236))+0-436--0.889439999999981</f>
        <v>1505.3228639999998</v>
      </c>
      <c r="H180" s="3">
        <f>1096.6+(2334.7-1567.9)+(0.559266+(1.190697-0.799629))+0-442.4-0.225623999999955</f>
        <v>1421.7247099999997</v>
      </c>
      <c r="I180" s="3">
        <f>914.8+(2360-1468.6)+(-2.799288+(-7.2216--4.493916))+0-442.7--1.35466200000005</f>
        <v>1359.3276900000001</v>
      </c>
      <c r="J180" s="3">
        <f>915.3+(2194.8-1339.8)+(0.466803+(1.119348-0.683298))+0-439.9-0.224348999999955</f>
        <v>1331.0785040000003</v>
      </c>
      <c r="K180" s="3">
        <f>915.4+(2181.1-1322.4)+(0+(0-0))+0-433.2-0</f>
        <v>1340.8999999999999</v>
      </c>
      <c r="L180" s="3">
        <f>915.2+(1972.3-1104.1)+(-2.33376+(-5.029365--2.815455))+0-435.1--1.10950499999994</f>
        <v>1344.8618350000002</v>
      </c>
      <c r="M180" s="3">
        <f>914.6+(1648.2-784.3)+(0.466446+(0.840582-0.399993))+0-436.4-0.222563999999956</f>
        <v>1342.7844710000002</v>
      </c>
      <c r="N180" s="3">
        <f>917.5+(1738-749.1)+(-0.93585+(-1.77276--0.764082))+0-437.3--0.44604600000007</f>
        <v>1467.6015180000002</v>
      </c>
      <c r="O180" s="3">
        <f>918.1+(1963.5-871.7)+(-0.468231+(-1.001385--0.444567))+0-430.1--0.219350999999956</f>
        <v>1578.9943019999998</v>
      </c>
      <c r="P180" s="3">
        <f>1039.4+(2199.5-1170.4)+(-1.590282+(-3.365235--1.790712))+0-412.6--0.631278000000024</f>
        <v>1653.3664730000003</v>
      </c>
      <c r="Q180" s="3">
        <f>1240.4+(2425.7-1546.3)+(-3.16302+(-6.185535--3.943065))+0-419.2--1.06895999999994</f>
        <v>1696.2634699999999</v>
      </c>
      <c r="R180" s="3">
        <f>1499.5+(2583.2-1966.6)+(-8.412195+(-14.491752--11.032626))+0-397.1--2.22773099999999</f>
        <v>1709.3564099999999</v>
      </c>
      <c r="S180" s="3">
        <f>1530.1+(2693.1-2157.8)+(-1.560702+(-2.746962--2.200956))+0-421.3--0.429726000000067</f>
        <v>1642.423018</v>
      </c>
      <c r="T180" s="3">
        <f>1530.8+(2683-2160.2)+(-1.561416+(-2.73666--2.203404))+0-408.2--0.416364000000065</f>
        <v>1643.7216920000003</v>
      </c>
      <c r="U180" s="3">
        <f>1531.2+(2503.5-2001.8)+(-0.780912+(-1.276785--1.020918))+0-385.4--0.196553999999961</f>
        <v>1646.6597749999999</v>
      </c>
      <c r="V180" s="3">
        <f>1488+(2345.4-1818.5)+(-1.51776+(-2.392308--1.85487))+0-381.2--0.388824000000061</f>
        <v>1632.0336260000001</v>
      </c>
      <c r="W180" s="3">
        <f>1356.8+(2095.9-1456.6)+(-3.45984+(-5.344545--3.71433))+0-386--0.984299999999944</f>
        <v>1605.9942450000001</v>
      </c>
      <c r="X180" s="3">
        <f>1359.5+(1768.1-1137.9)+(-0.693345+(-0.901731--0.580329))+0-397.1--0.20252099999996</f>
        <v>1591.7877739999997</v>
      </c>
      <c r="Y180" s="3">
        <f>1525.1+(1986.9-1401.4)+(0+(0-0))+0-396.2-0</f>
        <v>1714.3999999999999</v>
      </c>
      <c r="Z180" s="3">
        <f>1618+(2167.5-1515.5)+(-0.82518+(-1.105425--0.772905))+0-404.3--0.206192999999959</f>
        <v>1864.7484929999998</v>
      </c>
      <c r="AA180" s="3">
        <f>1585.6+(1958.2-1344)+(-2.425968+(-2.996046--2.05632))+0-403.4--0.617202000000023</f>
        <v>1793.6515080000001</v>
      </c>
      <c r="AB180" s="3">
        <f>1389.2+(1825.9-1121.1)+(-2.833968+(-3.724836--2.287044))+0-400.1--0.816203999999983</f>
        <v>1690.444444</v>
      </c>
      <c r="AC180" s="3">
        <f>1382.8+(2455.8-1816.1)+(-2.115684+(-3.757374--2.778633))+0-398--0.608940000000023</f>
        <v>1622.0145150000003</v>
      </c>
      <c r="AD180">
        <f t="shared" si="2"/>
        <v>37812.936457000011</v>
      </c>
      <c r="AE180" s="3">
        <f>1610+(2390.8-1712.3)+(0+(0-0))+0-405.4-0</f>
        <v>1883.1</v>
      </c>
    </row>
    <row r="181" spans="1:31" s="2" customFormat="1" x14ac:dyDescent="0.25">
      <c r="A181">
        <v>89</v>
      </c>
      <c r="B181">
        <v>6</v>
      </c>
      <c r="C181">
        <v>26</v>
      </c>
      <c r="D181">
        <v>7</v>
      </c>
      <c r="E181">
        <v>1</v>
      </c>
      <c r="F181" s="3">
        <f>1365.4+(2286.2-1753.7)+(-2.785416+(-4.663848--3.577548))+0-386.9--0.789275999999983</f>
        <v>1507.9175599999999</v>
      </c>
      <c r="G181" s="3">
        <f>1111.4+(2541.4-1820.2)+(-2.83407+(-6.48057--4.64151))+0-384.8--0.981239999999944</f>
        <v>1444.1081100000001</v>
      </c>
      <c r="H181" s="3">
        <f>931.6+(2197.1-1361.2)+(0.475116+(1.120521-0.694212))+0-401.6-0.204815999999959</f>
        <v>1366.5966090000002</v>
      </c>
      <c r="I181" s="3">
        <f>919.4+(1877.2-1073.7)+(0.468894+(0.957372-0.547587))+0-399.8-0.203897999999959</f>
        <v>1323.7747810000001</v>
      </c>
      <c r="J181" s="3">
        <f>918.1+(1830.3-1062.4)+(0+(0-0))+0-401.2-0</f>
        <v>1284.8</v>
      </c>
      <c r="K181" s="3">
        <f>918.7+(1796.6-1027.4)+(0.468537+(0.916266-0.523974))+0-403.8-0.205937999999959</f>
        <v>1284.7548909999998</v>
      </c>
      <c r="L181" s="3">
        <f>918.7+(1832.7-1081.8)+(-2.342685+(-4.673385--2.75859))+0-399.7--1.01923499999994</f>
        <v>1266.6617550000001</v>
      </c>
      <c r="M181" s="3">
        <f>917.7+(2012.8-1293)+(-1.404081+(-3.079584--1.97829))+0-400.6--0.612918000000023</f>
        <v>1235.0075429999999</v>
      </c>
      <c r="N181" s="3">
        <f>918.6+(1876.5-1106.7)+(0+(0-0))+0-393.9-0</f>
        <v>1294.5</v>
      </c>
      <c r="O181" s="3">
        <f>919.7+(1454.7-630.8)+(-0.469047+(-0.741897--0.321708))+0-390--0.19889999999996</f>
        <v>1352.909664</v>
      </c>
      <c r="P181" s="3">
        <f>920.2+(1485.4-603.4)+(-0.938604+(-1.515108--0.615468))+0-385.3--0.393006000000061</f>
        <v>1415.4547620000003</v>
      </c>
      <c r="Q181" s="3">
        <f>920.6+(1702.9-787.3)+(-1.408518+(-2.605437--1.204569))+0-385.4--0.589662000000022</f>
        <v>1448.5802760000004</v>
      </c>
      <c r="R181" s="3">
        <f>922.8+(2013.4-1092.9)+(0+(0-0))+0-392.2-0</f>
        <v>1451.1</v>
      </c>
      <c r="S181" s="3">
        <f>923.2+(2247.6-1360.9)+(-0.941664+(-2.292552--1.388118))+0-375--0.38250000000006</f>
        <v>1433.436402</v>
      </c>
      <c r="T181" s="3">
        <f>923.2+(2318.3-1406.1)+(-1.883328+(-4.729332--2.868444))+0-393.8--0.803351999999983</f>
        <v>1438.6591360000002</v>
      </c>
      <c r="U181" s="3">
        <f>922.7+(2208.7-1296.9)+(-0.941154+(-2.252874--1.322838))+0-384.6--0.392292000000061</f>
        <v>1448.4211019999998</v>
      </c>
      <c r="V181" s="3">
        <f>920.9+(2122-1208.6)+(-0.939318+(-2.16444--1.232772))+0-386.9--0.394638000000062</f>
        <v>1445.9236520000002</v>
      </c>
      <c r="W181" s="3">
        <f>962.1+(1859.6-983.3)+(-0.490671+(-0.948396--0.501483))+0-379--0.193289999999962</f>
        <v>1458.655706</v>
      </c>
      <c r="X181" s="3">
        <f>1112.8+(1212.7-482.1)+(-1.702584+(-1.855431--0.737613))+0-385.2--0.589356000000022</f>
        <v>1455.9689539999999</v>
      </c>
      <c r="Y181" s="3">
        <f>1427.4+(1236.2-673.1)+(-2.183922+(-1.891386--1.029843))+0-385.4--0.589662000000022</f>
        <v>1602.6441970000003</v>
      </c>
      <c r="Z181" s="3">
        <f>1614.8+(1551.2-999)+(0+(0-0))+0-393.9-0</f>
        <v>1773.1</v>
      </c>
      <c r="AA181" s="3">
        <f>1612.9+(1770.3-1239.5)+(-5.758053+(-6.319971--4.425015))+0-398.4--1.42228800000001</f>
        <v>1739.0692789999996</v>
      </c>
      <c r="AB181" s="3">
        <f>1611.2+(2131.1-1694.3)+(-3.286848+(-4.347444--3.456372))+0-397.2--0.810287999999983</f>
        <v>1647.4323679999998</v>
      </c>
      <c r="AC181" s="3">
        <f>1461.9+(2002.9-1467)+(-1.491138+(-2.042958--1.49634))+0-424.9--0.433398000000068</f>
        <v>1571.2956420000005</v>
      </c>
      <c r="AD181">
        <f t="shared" si="2"/>
        <v>34690.772388999998</v>
      </c>
      <c r="AE181" s="3">
        <f>1614+(1588.4-1021.2)+(0+(0-0))+0-399.9-0</f>
        <v>1781.2999999999997</v>
      </c>
    </row>
    <row r="182" spans="1:31" s="2" customFormat="1" x14ac:dyDescent="0.25">
      <c r="A182">
        <v>89</v>
      </c>
      <c r="B182">
        <v>6</v>
      </c>
      <c r="C182">
        <v>27</v>
      </c>
      <c r="D182">
        <v>1</v>
      </c>
      <c r="E182">
        <v>1</v>
      </c>
      <c r="F182" s="3">
        <f>1274.8+(2430.1-1792.7)+(-1.950444+(-3.718053--2.742831))+0-429.6--0.657288000000025</f>
        <v>1480.3316219999999</v>
      </c>
      <c r="G182" s="3">
        <f>1113.5+(2276.9-1584.1)+(-2.27154+(-4.644876--3.231564))+0-422.7--0.862307999999982</f>
        <v>1380.777456</v>
      </c>
      <c r="H182" s="3">
        <f>942.8+(1950.3-1147.1)+(-1.923312+(-3.978612--2.340084))+0-436.9--0.891275999999981</f>
        <v>1306.4294360000001</v>
      </c>
      <c r="I182" s="3">
        <f>918.3+(2070.4-1298.8)+(-0.468333+(-1.055904--0.662388))+0-425.7--0.217106999999957</f>
        <v>1263.5552580000001</v>
      </c>
      <c r="J182" s="3">
        <f>918.2+(1801.6-1036.6)+(0.468282+(0.918816-0.528666))+0-425.3-0.216902999999957</f>
        <v>1258.5415290000001</v>
      </c>
      <c r="K182" s="3">
        <f>918.5+(1639.9-881.4)+(0.468435+(0.836349-0.449514))+0-417-0.212669999999958</f>
        <v>1260.6426000000001</v>
      </c>
      <c r="L182" s="3">
        <f>918.2+(1364.5-568.3)+(-2.34141+(-3.479475--1.449165))+0-426.2--1.08680999999994</f>
        <v>1284.91509</v>
      </c>
      <c r="M182" s="3">
        <f>917.9+(1177.1-318.2)+(-1.872516+(-2.401284--0.649128))+0-435.7--0.888827999999981</f>
        <v>1338.3641559999996</v>
      </c>
      <c r="N182" s="3">
        <f>918.8+(1510-535.7)+(0+(0-0))+0-436.3-0</f>
        <v>1456.8</v>
      </c>
      <c r="O182" s="3">
        <f>919.9+(1784.9-698.4)+(0+(0-0))+0-433-0</f>
        <v>1573.4</v>
      </c>
      <c r="P182" s="3">
        <f>1015+(1774-713.5)+(-0.51765+(-0.90474--0.363885))+0-439.8--0.224297999999955</f>
        <v>1634.8657929999999</v>
      </c>
      <c r="Q182" s="3">
        <f>1210+(1945.1-1047.3)+(-2.4684+(-3.968004--2.136492))+0-418.5--0.853739999999982</f>
        <v>1685.8538280000002</v>
      </c>
      <c r="R182" s="3">
        <f>1403.9+(2240.7-1519.6)+(-1.431978+(-2.285514--1.549992))+0-419.6--0.427992000000067</f>
        <v>1703.6604920000002</v>
      </c>
      <c r="S182" s="3">
        <f>1476.7+(2492-1885.3)+(-4.518702+(-7.62552--5.769018))+0-426.7--1.30570200000005</f>
        <v>1651.6304980000002</v>
      </c>
      <c r="T182" s="3">
        <f>1479.8+(2561.1-1950.4)+(-1.509396+(-2.612322--1.989408))+0-420.6--0.429012000000067</f>
        <v>1668.1967020000002</v>
      </c>
      <c r="U182" s="3">
        <f>1479.1+(2538.3-1898.8)+(-2.263023+(-3.883599--2.905164))+0-410.6--0.628218000000024</f>
        <v>1705.3867600000005</v>
      </c>
      <c r="V182" s="3">
        <f>1477.7+(2480.3-1846.7)+(-1.507254+(-2.529906--1.883634))+0-396.7--0.404634000000063</f>
        <v>1712.8511080000001</v>
      </c>
      <c r="W182" s="3">
        <f>1476+(2162.2-1531)+(-3.01104+(-4.410888--3.12324))+0-400.5--0.817019999999983</f>
        <v>1703.2183319999999</v>
      </c>
      <c r="X182" s="3">
        <f>1490.9+(1524.7-924.4)+(-2.281077+(-2.332791--1.414332))+0-399.4--0.611082000000023</f>
        <v>1689.2115460000002</v>
      </c>
      <c r="Y182" s="3">
        <f>1579.1+(1557.6-928.7)+(-0.805341+(-0.794376--0.473637))+0-398.4--0.20318399999996</f>
        <v>1808.6771039999999</v>
      </c>
      <c r="Z182" s="3">
        <f>1685.1+(1690.7-1042.9)+(-3.437604+(-3.449028--2.127516))+0-399.1--0.814163999999983</f>
        <v>1929.8550479999994</v>
      </c>
      <c r="AA182" s="3">
        <f>1691.6+(1597-1032.9)+(0.862716+(0.81447-0.526779))+0-396.4-0.20216399999996</f>
        <v>1860.2482429999998</v>
      </c>
      <c r="AB182" s="3">
        <f>1713.2+(1582-1130.6)+(-3.494928+(-3.22728--2.306424))+0-383--0.781319999999983</f>
        <v>1777.9655360000006</v>
      </c>
      <c r="AC182" s="3">
        <f>1561.6+(1783.7-1269.2)+(-3.185664+(-3.638748--2.589168))+0-390.3--0.796211999999983</f>
        <v>1682.360968</v>
      </c>
      <c r="AD182">
        <f t="shared" si="2"/>
        <v>37817.739105000001</v>
      </c>
      <c r="AE182" s="3">
        <f>1689+(1705.2-1065)+(0+(0-0))+0-397.6-0</f>
        <v>1931.6</v>
      </c>
    </row>
    <row r="183" spans="1:31" s="2" customFormat="1" x14ac:dyDescent="0.25">
      <c r="A183">
        <v>89</v>
      </c>
      <c r="B183">
        <v>6</v>
      </c>
      <c r="C183">
        <v>28</v>
      </c>
      <c r="D183">
        <v>2</v>
      </c>
      <c r="E183">
        <v>1</v>
      </c>
      <c r="F183" s="3">
        <f>1259.4+(1693.7-1008.6)+(0+(0-0))+0-395.8-0</f>
        <v>1548.7</v>
      </c>
      <c r="G183" s="3">
        <f>1081+(2313.5-1560.2)+(-0.55131+(-1.179885--0.795702))+0-399--0.20348999999996</f>
        <v>1434.5679969999999</v>
      </c>
      <c r="H183" s="3">
        <f>1052+(2055.7-1315.6)+(-0.53652+(-1.048407--0.670956))+0-413.6--0.210935999999958</f>
        <v>1377.796965</v>
      </c>
      <c r="I183" s="3">
        <f>1052.4+(2092.6-1356)+(-1.073448+(-2.134452--1.38312))+0-429.1--0.437682000000068</f>
        <v>1358.5129020000002</v>
      </c>
      <c r="J183" s="3">
        <f>1053.5+(2148.4-1411.7)+(-0.537285+(-1.095684--0.719967))+0-434.2--0.221441999999956</f>
        <v>1355.30844</v>
      </c>
      <c r="K183" s="3">
        <f>1051.3+(2067.4-1340.5)+(-1.072326+(-2.108748--1.36731))+0-437.5--0.44625000000007</f>
        <v>1339.332486</v>
      </c>
      <c r="L183" s="3">
        <f>1050.8+(1859.8-1120.8)+(-2.67954+(-4.74249--2.85804))+0-434.5--1.10797499999994</f>
        <v>1351.8439849999997</v>
      </c>
      <c r="M183" s="3">
        <f>1051.1+(1374.1-613.8)+(0+(0-0))+0-426-0</f>
        <v>1385.3999999999999</v>
      </c>
      <c r="N183" s="3">
        <f>1064.3+(1568.6-724.5)+(-1.085586+(-1.599972--0.73899))+0-399--0.406980000000064</f>
        <v>1507.8604119999998</v>
      </c>
      <c r="O183" s="3">
        <f>1074.2+(1457.8-539.2)+(-2.73921+(-3.71739--1.37496))+0-438.9--1.11919499999994</f>
        <v>1549.9375549999997</v>
      </c>
      <c r="P183" s="3">
        <f>1130.5+(1725.6-770.7)+(0+(0-0))+0-441-0</f>
        <v>1644.3999999999996</v>
      </c>
      <c r="Q183" s="3">
        <f>1361.9+(1756.2-999.3)+(-2.083707+(-2.686986--1.528929))+0-397.7--0.608481000000023</f>
        <v>1718.4667170000002</v>
      </c>
      <c r="R183" s="3">
        <f>1537.6+(1928.4-1332.8)+(-2.352528+(-2.950452--2.039184))+0-424.4--0.649332000000024</f>
        <v>1706.1855359999995</v>
      </c>
      <c r="S183" s="3">
        <f>1626+(2311.2-1914.3)+(-3.31704+(-4.714848--3.905172))+0-430.1--0.877403999999981</f>
        <v>1589.550688</v>
      </c>
      <c r="T183" s="3">
        <f>1638.9+(2425.8-2019.2)+(0.835839+(1.237158-1.029792))+0-439-0.223889999999955</f>
        <v>1607.3193150000002</v>
      </c>
      <c r="U183" s="3">
        <f>1656.7+(2485.8-2085.1)+(-1.689834+(-2.535516--2.126802))+0-386.1--0.393822000000062</f>
        <v>1669.5952740000007</v>
      </c>
      <c r="V183" s="3">
        <f>1660.5+(2458-2096.3)+(-4.234275+(-6.2679--5.345565))+0-384.6--0.980729999999944</f>
        <v>1633.4241199999999</v>
      </c>
      <c r="W183" s="3">
        <f>1680.3+(1931.4-1566.9)+(-3.427812+(-3.940056--3.196476))+0-384.6--0.784583999999983</f>
        <v>1656.8131920000001</v>
      </c>
      <c r="X183" s="3">
        <f>1696.8+(1351.9-1085.2)+(0.865368+(0.689469-0.553452))+0-336.2-0.171461999999966</f>
        <v>1628.129923</v>
      </c>
      <c r="Y183" s="3">
        <f>1848.7+(1077.1-843.2)+(-0.942837+(-0.549321--0.430032))+0-391.2--0.19951199999996</f>
        <v>1690.537386</v>
      </c>
      <c r="Z183" s="3">
        <f>1888.3+(1611.1-1244.3)+(-2.889099+(-2.464983--1.903779))+0-389.1--0.595323000000022</f>
        <v>1863.1450199999999</v>
      </c>
      <c r="AA183" s="3">
        <f>1888.4+(1705-1405.7)+(-3.852336+(-3.4782--2.867628))+0-392--0.799679999999983</f>
        <v>1792.0367719999999</v>
      </c>
      <c r="AB183" s="3">
        <f>1884.7+(1798.2-1529)+(-5.767182+(-5.502492--4.67874))+0-393--1.20258000000005</f>
        <v>1755.5116460000004</v>
      </c>
      <c r="AC183" s="3">
        <f>1768.6+(1895.9-1605.9)+(-0.901986+(-0.966909--0.819009))+0-437.7--0.223226999999956</f>
        <v>1620.073341</v>
      </c>
      <c r="AD183">
        <f t="shared" si="2"/>
        <v>37784.449672000002</v>
      </c>
      <c r="AE183" s="3">
        <f>1884+(1596.1-1233.3)+(0+(0-0))+0-387.2-0</f>
        <v>1859.6000000000001</v>
      </c>
    </row>
    <row r="184" spans="1:31" s="2" customFormat="1" x14ac:dyDescent="0.25">
      <c r="A184">
        <v>89</v>
      </c>
      <c r="B184">
        <v>6</v>
      </c>
      <c r="C184">
        <v>29</v>
      </c>
      <c r="D184">
        <v>3</v>
      </c>
      <c r="E184">
        <v>1</v>
      </c>
      <c r="F184" s="3">
        <f>1562.9+(2041.3-1578.3)+(-3.188316+(-4.164252--3.219732))+0-421.5--0.859859999999982</f>
        <v>1601.1270240000001</v>
      </c>
      <c r="G184" s="3">
        <f>1309.9+(2078.5-1563.8)+(0+(0-0))+0-405.9-0</f>
        <v>1418.7000000000003</v>
      </c>
      <c r="H184" s="3">
        <f>1171.4+(2042.9-1493.7)+(-1.792242+(-3.125637--2.285361))+0-397--0.607410000000023</f>
        <v>1321.5748920000003</v>
      </c>
      <c r="I184" s="3">
        <f>1164.7+(1931.1-1392.1)+(-1.187994+(-1.969722--1.419942))+0-408.9--0.417078000000065</f>
        <v>1293.4793040000002</v>
      </c>
      <c r="J184" s="3">
        <f>1164.5+(1744.1-1183.9)+(0.593895+(0.889491-0.603789))+0-414-0.211139999999958</f>
        <v>1311.368457</v>
      </c>
      <c r="K184" s="3">
        <f>1164.6+(1694.4-1157.9)+(0+(0-0))+0-421.3-0</f>
        <v>1279.8</v>
      </c>
      <c r="L184" s="3">
        <f>1163.8+(1439.6-916.5)+(-3.561228+(-4.405176--2.80449))+0-431.8--1.32130800000005</f>
        <v>1251.2593939999999</v>
      </c>
      <c r="M184" s="3">
        <f>1163.8+(1199.3-630.7)+(0+(0-0))+0-416.2-0</f>
        <v>1316.1999999999998</v>
      </c>
      <c r="N184" s="3">
        <f>1171.5+(986.8-332.5)+(-0.597465+(-0.503268--0.169575))+0-392.3--0.20007299999996</f>
        <v>1432.7689149999999</v>
      </c>
      <c r="O184" s="3">
        <f>1175.1+(1149.8-362)+(-0.599301+(-0.586398--0.18462))+0-413.2--0.210731999999958</f>
        <v>1548.9096529999999</v>
      </c>
      <c r="P184" s="3">
        <f>1199.2+(1370.5-543.1)+(0+(0-0))+0-408-0</f>
        <v>1618.6</v>
      </c>
      <c r="Q184" s="3">
        <f>1383.4+(1791.3-1081.2)+(-2.116602+(-2.740689--1.654236))+0-408--0.624240000000024</f>
        <v>1682.9211850000002</v>
      </c>
      <c r="R184" s="3">
        <f>1400.2+(2067.3-1388)+(-0.714102+(-1.054323--0.70788))+0-403.4--0.205733999999959</f>
        <v>1675.245189</v>
      </c>
      <c r="S184" s="3">
        <f>1407.3+(2486.7-1817.7)+(-5.024061+(-8.877519--6.489189))+0-412--1.47084000000001</f>
        <v>1658.3584489999998</v>
      </c>
      <c r="T184" s="3">
        <f>1411.6+(2411.5-1791.2)+(0.719916+(1.229865-0.913512))+0-427.2-0.217871999999957</f>
        <v>1605.5183969999998</v>
      </c>
      <c r="U184" s="3">
        <f>1412.3+(2225.8-1664.6)+(-2.881092+(-4.540632--3.395784))+0-379.4--0.773975999999983</f>
        <v>1590.8480360000003</v>
      </c>
      <c r="V184" s="3">
        <f>1411.2+(2166.5-1558.1)+(-2.878848+(-4.41966--3.178524))+0-384.2--0.783767999999983</f>
        <v>1632.0637840000002</v>
      </c>
      <c r="W184" s="3">
        <f>1410.9+(1864.1-1267)+(-3.597795+(-4.753455--3.23085))+0-377.8--0.963389999999945</f>
        <v>1626.0429899999999</v>
      </c>
      <c r="X184" s="3">
        <f>1408.3+(1434.5-845.5)+(-0.718233+(-0.731595--0.431205))+0-372.5--0.189974999999962</f>
        <v>1623.971352</v>
      </c>
      <c r="Y184" s="3">
        <f>1628.3+(1170.4-715.2)+(0.830433+(0.596904-0.364752))+0-368.9-0.188138999999963</f>
        <v>1715.4744460000002</v>
      </c>
      <c r="Z184" s="3">
        <f>1705+(1374-781.5)+(-3.4782+(-2.80296--1.59426))+0-374.3--0.763571999999984</f>
        <v>1919.276672</v>
      </c>
      <c r="AA184" s="3">
        <f>1659.8+(1636-1089.4)+(-5.078988+(-5.00616--3.333564))+0-386.5--1.18269000000004</f>
        <v>1814.3311059999996</v>
      </c>
      <c r="AB184" s="3">
        <f>1528.5+(1807.1-1211.8)+(-3.11814+(-3.686484--2.472072))+0-392.4--0.800495999999983</f>
        <v>1727.8679440000003</v>
      </c>
      <c r="AC184" s="3">
        <f>1419.9+(2023.1-1287)+(-2.896596+(-4.127124--2.62548))+0-402.4--0.820895999999982</f>
        <v>1750.0226559999999</v>
      </c>
      <c r="AD184">
        <f t="shared" si="2"/>
        <v>37415.729845000002</v>
      </c>
      <c r="AE184" s="3">
        <f>1706+(1295.9-768.8)+(0+(0-0))+0-383-0</f>
        <v>1850.1000000000004</v>
      </c>
    </row>
    <row r="185" spans="1:31" s="2" customFormat="1" x14ac:dyDescent="0.25">
      <c r="A185">
        <v>89</v>
      </c>
      <c r="B185">
        <v>6</v>
      </c>
      <c r="C185">
        <v>30</v>
      </c>
      <c r="D185">
        <v>4</v>
      </c>
      <c r="E185">
        <v>1</v>
      </c>
      <c r="F185" s="3">
        <f>1273.9+(2275.7-1654.6)+(-1.949067+(-3.481821--2.531538))+0-422.7--0.646731000000024</f>
        <v>1470.0473810000001</v>
      </c>
      <c r="G185" s="3">
        <f>1218.2+(2089.6-1503.1)+(-1.863846+(-3.197088--2.299743))+0-434.5--0.664785000000025</f>
        <v>1368.1035939999999</v>
      </c>
      <c r="H185" s="3">
        <f>1216.7+(1727.6-1149.6)+(0+(0-0))+0-434.1-0</f>
        <v>1360.6</v>
      </c>
      <c r="I185" s="3">
        <f>1217.2+(1705.3-1150.1)+(-0.620772+(-0.869703--0.586551))+0-431.9--0.220268999999956</f>
        <v>1339.8163450000002</v>
      </c>
      <c r="J185" s="3">
        <f>1216.7+(1758.6-1243.7)+(-0.620517+(-0.896886--0.634287))+0-423.4--0.215933999999957</f>
        <v>1307.5328179999999</v>
      </c>
      <c r="K185" s="3">
        <f>1215.8+(1515.4-1017.9)+(0.620058+(0.772854-0.519129))+0-435-0.221849999999956</f>
        <v>1278.9519330000003</v>
      </c>
      <c r="L185" s="3">
        <f>1216.9+(1240.4-703.5)+(-1.241238+(-1.265208--0.71757))+0-437.3--0.44604600000007</f>
        <v>1315.1571700000002</v>
      </c>
      <c r="M185" s="3">
        <f>1216.7+(971-420.7)+(-1.241034+(-0.99042--0.429114))+0-435.8--0.44451600000007</f>
        <v>1329.8421760000001</v>
      </c>
      <c r="N185" s="3">
        <f>1218.6+(890.5-186.2)+(0.621486+(0.454155-0.094962))+0-438.9-0.223838999999955</f>
        <v>1484.7568399999998</v>
      </c>
      <c r="O185" s="3">
        <f>1218.1+(1012.9-192.6)+(-1.242462+(-1.033158--0.196452))+0-434--0.442680000000069</f>
        <v>1602.763512</v>
      </c>
      <c r="P185" s="3">
        <f>1261.9+(1142.4-337.9)+(-0.643569+(-0.582624--0.172329))+0-400.5--0.204254999999959</f>
        <v>1665.050391</v>
      </c>
      <c r="Q185" s="3">
        <f>1397.9+(1299.7-577.1)+(0+(0-0))+0-399-0</f>
        <v>1721.5</v>
      </c>
      <c r="R185" s="3">
        <f>1559.9+(1360-791.4)+(0.795549+(0.6936-0.403614))+0-411.5-0.209864999999958</f>
        <v>1717.8756700000001</v>
      </c>
      <c r="S185" s="3">
        <f>1657.6+(1642.5-1272.5)+(-4.22688+(-4.188375--3.244875))+0-409--1.04294999999994</f>
        <v>1614.4725699999999</v>
      </c>
      <c r="T185" s="3">
        <f>1656.9+(1807.6-1428.1)+(1.690038+(1.843752-1.456662))+0-403-0.411060000000064</f>
        <v>1635.0660679999999</v>
      </c>
      <c r="U185" s="3">
        <f>1658.3+(1801.5-1389.1)+(-1.691466+(-1.83753--1.416882))+0-386.9--0.394638000000062</f>
        <v>1682.0825239999997</v>
      </c>
      <c r="V185" s="3">
        <f>1643+(1705.8-1291.1)+(-3.35172+(-3.479832--2.633844))+0-379.5--0.774179999999983</f>
        <v>1674.7764719999996</v>
      </c>
      <c r="W185" s="3">
        <f>1613.5+(1334.1-812.2)+(-1.64577+(-1.360782--0.828444))+0-380.5--0.388110000000061</f>
        <v>1753.1100019999997</v>
      </c>
      <c r="X185" s="3">
        <f>1535.4+(917.3-472.8)+(-1.566108+(-0.935646--0.482256))+0-381.6--0.389232000000061</f>
        <v>1596.6697340000001</v>
      </c>
      <c r="Y185" s="3">
        <f>1734.9+(757.4-524.2)+(0+(0-0))+0-359.5-0</f>
        <v>1608.6</v>
      </c>
      <c r="Z185" s="3">
        <f>1927.3+(882.5-519.4)+(-4.914615+(-2.250375--1.32447))+0-375.4--0.957269999999945</f>
        <v>1910.1167499999997</v>
      </c>
      <c r="AA185" s="3">
        <f>1920.6+(1127.8-781.6)+(-5.877036+(-3.451068--2.391696))+0-392.3--1.20043800000005</f>
        <v>1868.7640299999998</v>
      </c>
      <c r="AB185" s="3">
        <f>1712.7+(1223.6-810)+(-1.746954+(-1.248072--0.8262))+0-385.7--0.393414000000061</f>
        <v>1738.8245880000002</v>
      </c>
      <c r="AC185" s="3">
        <f>1477.5+(1140.6-520.9)+(-1.50705+(-1.163412--0.531318))+0-397.4--0.405348000000063</f>
        <v>1698.0662039999995</v>
      </c>
      <c r="AD185">
        <f t="shared" si="2"/>
        <v>37742.546772000009</v>
      </c>
      <c r="AE185" s="3">
        <f>1930+(866.5-538.1)+(0+(0-0))+0-379.2-0</f>
        <v>1879.2</v>
      </c>
    </row>
    <row r="186" spans="1:31" s="2" customFormat="1" x14ac:dyDescent="0.25">
      <c r="A186">
        <v>89</v>
      </c>
      <c r="B186">
        <v>6</v>
      </c>
      <c r="C186">
        <v>31</v>
      </c>
      <c r="D186">
        <v>5</v>
      </c>
      <c r="E186">
        <v>1</v>
      </c>
      <c r="F186" s="3">
        <f>1214.6+(1528.2-850.2)+(-1.238892+(-1.558764--0.867204))+0-420.7--0.429114000000067</f>
        <v>1470.3986619999998</v>
      </c>
      <c r="G186" s="3">
        <f>1207.5+(1797-1207.8)+(-1.847475+(-2.74941--1.847934))+0-422--0.645660000000024</f>
        <v>1372.5967090000001</v>
      </c>
      <c r="H186" s="3">
        <f>1207.8+(1912.5-1344.8)+(-1.847934+(-2.926125--2.057544))+0-426.6--0.652698000000025</f>
        <v>1346.8361830000001</v>
      </c>
      <c r="I186" s="3">
        <f>1207.9+(1644.1-1074.7)+(1.232058+(1.676982-1.096194))+0-432.3-0.440946000000069</f>
        <v>1346.3718999999999</v>
      </c>
      <c r="J186" s="3">
        <f>1206.9+(1526.7-1011.3)+(-0.615519+(-0.778617--0.515763))+0-430.7--0.219656999999956</f>
        <v>1290.941284</v>
      </c>
      <c r="K186" s="3">
        <f>1206.7+(1458.6-972.9)+(-1.230834+(-1.487772--0.992358))+0-429.5--0.438090000000068</f>
        <v>1261.6118420000003</v>
      </c>
      <c r="L186" s="3">
        <f>1206.5+(1198.9-697.4)+(-1.23063+(-1.222878--0.711348))+0-427.8--0.436356000000068</f>
        <v>1278.8941960000002</v>
      </c>
      <c r="M186" s="3">
        <f>1206.2+(973.6-336.7)+(0+(0-0))+0-433.8-0</f>
        <v>1409.3000000000002</v>
      </c>
      <c r="N186" s="3">
        <f>1207+(939-178.1)+(0.61557+(0.47889-0.090831))+0-434.2-0.221441999999956</f>
        <v>1534.4821870000001</v>
      </c>
      <c r="O186" s="3">
        <f>1269.1+(992.3-258.8)+(0+(0-0))+0-429.8-0</f>
        <v>1572.8</v>
      </c>
      <c r="P186" s="3">
        <f>1418.6+(961.3-314.1)+(1.446972+(0.980526-0.320382))+0-430.2-0.438804000000069</f>
        <v>1637.2683119999997</v>
      </c>
      <c r="Q186" s="3">
        <f>1623+(800.2-274.7)+(-0.82773+(-0.408102--0.140097))+0-429.7--0.219146999999956</f>
        <v>1717.9234120000001</v>
      </c>
      <c r="R186" s="3">
        <f>1851.9+(1004.6-730.7)+(-7.555752+(-4.098768--2.981256))+0-430.2--1.75521599999996</f>
        <v>1688.6819520000001</v>
      </c>
      <c r="S186" s="3">
        <f>1884.9+(1263.3-1064)+(-0.961299+(-0.644283--0.54264))+0-406.1--0.207110999999959</f>
        <v>1677.2441689999998</v>
      </c>
      <c r="T186" s="3">
        <f>1886.8+(1263.8-1082.2)+(-0.962268+(-0.644538--0.551922))+0-398.6--0.20328599999996</f>
        <v>1668.9484019999995</v>
      </c>
      <c r="U186" s="3">
        <f>1883.2+(1303.1-1076.1)+(-2.881296+(-1.993743--1.646433))+0-379.8--0.581094000000022</f>
        <v>1727.7524879999999</v>
      </c>
      <c r="V186" s="3">
        <f>1881.4+(1453.2-1262.5)+(0+(0-0))+0-381.8-0</f>
        <v>1690.3000000000004</v>
      </c>
      <c r="W186" s="3">
        <f>1881.8+(1278.3-1110.7)+(-0.959718+(-0.651933--0.566457))+0-384.1--0.195890999999961</f>
        <v>1664.450697</v>
      </c>
      <c r="X186" s="3">
        <f>1940+(1024.2-754)+(-0.9894+(-0.522342--0.38454))+0-390.6--0.19920599999996</f>
        <v>1818.6720039999998</v>
      </c>
      <c r="Y186" s="3">
        <f>1950.9+(1086.3-696.4)+(0.994959+(0.554013-0.355164))+0-382-0.194819999999961</f>
        <v>1959.7989880000002</v>
      </c>
      <c r="Z186" s="3">
        <f>1952.2+(1392.2-1066.6)+(-1.991244+(-1.420044--1.087932))+0-396.2--0.404124000000063</f>
        <v>1879.6807680000004</v>
      </c>
      <c r="AA186" s="3">
        <f>1951.8+(1920.4-1664.8)+(-5.972508+(-5.876424--5.094288))+0-385--1.17810000000004</f>
        <v>1816.8234560000001</v>
      </c>
      <c r="AB186" s="3">
        <f>1854.6+(1924.1-1690.7)+(-3.783384+(-3.925164--3.449028))+0-377.4--0.769895999999983</f>
        <v>1707.1103759999999</v>
      </c>
      <c r="AC186" s="3">
        <f>1660.1+(2145.6-1834.6)+(-3.386604+(-4.377024--3.742584))+0-384.9--0.785195999999983</f>
        <v>1582.9641519999998</v>
      </c>
      <c r="AD186">
        <f t="shared" si="2"/>
        <v>38121.852138999988</v>
      </c>
      <c r="AE186" s="3">
        <f>1949+(1052.2-638.9)+(0+(0-0))+0-383.5-0</f>
        <v>1978.8000000000002</v>
      </c>
    </row>
    <row r="187" spans="1:31" s="2" customFormat="1" x14ac:dyDescent="0.25">
      <c r="A187">
        <v>89</v>
      </c>
      <c r="B187">
        <v>7</v>
      </c>
      <c r="C187">
        <v>1</v>
      </c>
      <c r="D187">
        <v>6</v>
      </c>
      <c r="E187">
        <v>1</v>
      </c>
      <c r="F187" s="3">
        <f>1411.9+(2312.2-1875.9)+(-1.440138+(-2.358444--1.913418))+0-419.2--0.427584000000067</f>
        <v>1427.5424199999998</v>
      </c>
      <c r="G187" s="3">
        <f>1315.5+(2212.8-1746.6)+(-2.012715+(-3.385584--2.672298))+0-427.3--0.653769000000025</f>
        <v>1352.3277680000003</v>
      </c>
      <c r="H187" s="3">
        <f>1218.7+(2108.1-1632.1)+(-0.621537+(-1.075131--0.832371))+0-429.3--0.218942999999956</f>
        <v>1264.7546459999999</v>
      </c>
      <c r="I187" s="3">
        <f>1212.7+(1942.3-1480.4)+(0.618477+(0.990573-0.755004))+0-434.2-0.221441999999956</f>
        <v>1241.0326039999998</v>
      </c>
      <c r="J187" s="3">
        <f>1204.3+(1834.8-1335)+(-1.842579+(-2.807244--2.04255))+0-436.4--0.667692000000025</f>
        <v>1265.7604189999997</v>
      </c>
      <c r="K187" s="3">
        <f>1203.9+(1764.2-1257.5)+(-1.227978+(-1.799484--1.28265))+0-429.9--0.438498000000069</f>
        <v>1279.3936860000003</v>
      </c>
      <c r="L187" s="3">
        <f>1203.7+(1341.9-939.6)+(0.613887+(0.684369-0.479196))+0-435.5-0.222104999999956</f>
        <v>1171.096955</v>
      </c>
      <c r="M187" s="3">
        <f>1204.7+(1405.7-795.8)+(0+(0-0))+0-437.2-0</f>
        <v>1377.4</v>
      </c>
      <c r="N187" s="3">
        <f>1206.5+(1627.5-875.5)+(0.615315+(0.830025-0.446505))+0-433.3-0.220982999999956</f>
        <v>1525.9778520000002</v>
      </c>
      <c r="O187" s="3">
        <f>1298.9+(1555.6-817.1)+(-0.662439+(-0.793356--0.416721))+0-420.3--0.214352999999957</f>
        <v>1616.275279</v>
      </c>
      <c r="P187" s="3">
        <f>1561.7+(1272.7-792.9)+(-0.796467+(-0.649077--0.404379))+0-416.6--0.212465999999958</f>
        <v>1624.0713009999999</v>
      </c>
      <c r="Q187" s="3">
        <f>1656.7+(1160.5-751.3)+(-0.844917+(-0.591855--0.383163))+0-408--0.208079999999959</f>
        <v>1657.0544709999999</v>
      </c>
      <c r="R187" s="3">
        <f>1651.6+(1249.2-859.8)+(-0.842316+(-0.637092--0.438498))+0-410.5--0.209354999999958</f>
        <v>1629.668445</v>
      </c>
      <c r="S187" s="3">
        <f>1653+(1755-1392.9)+(-2.52909+(-2.68515--2.131137))+0-409.5--0.626535000000024</f>
        <v>1603.1434320000001</v>
      </c>
      <c r="T187" s="3">
        <f>1654.1+(1782.5-1443)+(-2.530773+(-2.727225--2.20779))+0-410.9--0.628677000000024</f>
        <v>1580.2784689999996</v>
      </c>
      <c r="U187" s="3">
        <f>1650.4+(1726.2-1417.7)+(-5.050224+(-5.282172--4.338162))+0-391.8--1.19890800000005</f>
        <v>1562.3046740000002</v>
      </c>
      <c r="V187" s="3">
        <f>1649.8+(1591.9-1261.5)+(-5.048388+(-4.871214--3.86019))+0-387.2--1.18483200000004</f>
        <v>1588.1254200000001</v>
      </c>
      <c r="W187" s="3">
        <f>1712.8+(1137-872)+(-1.747056+(-1.15974--0.88944))+0-388.4--0.396168000000062</f>
        <v>1587.7788119999998</v>
      </c>
      <c r="X187" s="3">
        <f>1925.9+(1179.1-978.5)+(0+(0-0))+0-395.9-0</f>
        <v>1730.6</v>
      </c>
      <c r="Y187" s="3">
        <f>1941.8+(1477.6-1146.5)+(-3.961272+(-3.014304--2.33886))+0-393--0.801719999999983</f>
        <v>1876.0650039999996</v>
      </c>
      <c r="Z187" s="3">
        <f>1946.2+(1596.1-1331)+(-4.96281+(-4.070055--3.39405))+0-393.5--1.00342499999994</f>
        <v>1813.1646100000003</v>
      </c>
      <c r="AA187" s="3">
        <f>1887.3+(1476.5-1226.5)+(-3.850092+(-3.01206--2.50206))+0-396--0.807839999999983</f>
        <v>1737.7477480000002</v>
      </c>
      <c r="AB187" s="3">
        <f>1632.1+(1286.7-902.6)+(0+(0-0))+0-395.9-0</f>
        <v>1620.2999999999997</v>
      </c>
      <c r="AC187" s="3">
        <f>1450+(1457.3-957.9)+(-1.479+(-1.486446--0.977058))+0-393--0.400860000000063</f>
        <v>1554.8124720000001</v>
      </c>
      <c r="AD187">
        <f t="shared" si="2"/>
        <v>36686.676486999997</v>
      </c>
      <c r="AE187" s="3">
        <f>1945+(1434.3-1112.7)+(0+(0-0))+0-393.4-0</f>
        <v>1873.1999999999998</v>
      </c>
    </row>
    <row r="188" spans="1:31" s="2" customFormat="1" x14ac:dyDescent="0.25">
      <c r="A188">
        <v>89</v>
      </c>
      <c r="B188">
        <v>7</v>
      </c>
      <c r="C188">
        <v>2</v>
      </c>
      <c r="D188">
        <v>7</v>
      </c>
      <c r="E188">
        <v>1</v>
      </c>
      <c r="F188" s="3">
        <f>1408.4+(1696.8-1209.2)+(-2.873136+(-3.461472--2.466768))+0-385.3--0.786011999999983</f>
        <v>1507.6181720000002</v>
      </c>
      <c r="G188" s="3">
        <f>1270.2+(1803.4-1338.1)+(-2.591208+(-3.678936--2.729724))+0-394.2--0.804167999999983</f>
        <v>1338.563748</v>
      </c>
      <c r="H188" s="3">
        <f>1231.5+(1838-1359.7)+(-0.628065+(-0.93738--0.693447))+0-397.8--0.20287799999996</f>
        <v>1311.33088</v>
      </c>
      <c r="I188" s="3">
        <f>1229.4+(1981.1-1515.3)+(-1.880982+(-3.031083--2.318409))+0-397.8--0.608634000000023</f>
        <v>1295.414978</v>
      </c>
      <c r="J188" s="3">
        <f>1230+(1873.3-1453)+(0.6273+(0.955383-0.74103))+0-398-0.20297999999996</f>
        <v>1252.9386729999999</v>
      </c>
      <c r="K188" s="3">
        <f>1229.4+(1693.5-1243.6)+(-3.761964+(-5.18211--3.805416))+0-389.7--1.19248200000005</f>
        <v>1285.6538240000002</v>
      </c>
      <c r="L188" s="3">
        <f>1228.4+(1649-1230.4)+(-1.252968+(-1.68198--1.255008))+0-396--0.403920000000063</f>
        <v>1249.72398</v>
      </c>
      <c r="M188" s="3">
        <f>1228.2+(1618.7-1219.8)+(-1.879146+(-2.476611--1.866294))+0-398.8--0.610164000000023</f>
        <v>1226.4207010000002</v>
      </c>
      <c r="N188" s="3">
        <f>1228.4+(1762.7-1270.5)+(-1.879452+(-2.696931--1.943865))+0-395.6--0.605268000000023</f>
        <v>1322.9727500000001</v>
      </c>
      <c r="O188" s="3">
        <f>1223.8+(1816.8-1270.4)+(-2.496552+(-3.706272--2.591616))+0-399.9--0.815795999999983</f>
        <v>1367.504588</v>
      </c>
      <c r="P188" s="3">
        <f>1412.3+(2028-1599.5)+(-2.160819+(-3.10284--2.447235))+0-389.2--0.595476000000022</f>
        <v>1449.3790519999998</v>
      </c>
      <c r="Q188" s="3">
        <f>1610.1+(2017.1-1775.5)+(0.821151+(1.028721-0.905505))+0-381.9-0.194768999999961</f>
        <v>1470.5495979999998</v>
      </c>
      <c r="R188" s="3">
        <f>1687.7+(2067.5-1889.6)+(0+(0-0))+0-373.6-0</f>
        <v>1492</v>
      </c>
      <c r="S188" s="3">
        <f>1714.1+(2405.6-2231.5)+(-1.748382+(-2.453712--2.27613))+0-376.7--0.38423400000006</f>
        <v>1509.9582699999999</v>
      </c>
      <c r="T188" s="3">
        <f>1716.5+(2471-2359.6)+(0.875415+(1.26021-1.203396))+0-376.7-0.192116999999962</f>
        <v>1451.940112</v>
      </c>
      <c r="U188" s="3">
        <f>1713.7+(2431.4-2262.8)+(-1.747974+(-2.480028--2.308056))+0-382.6--0.390252000000061</f>
        <v>1498.170306</v>
      </c>
      <c r="V188" s="3">
        <f>1712.1+(2265.2-2154.4)+(-2.619513+(-3.465756--3.296232))+0-392.1--0.599913000000023</f>
        <v>1428.6108759999997</v>
      </c>
      <c r="W188" s="3">
        <f>1714.8+(1703-1530.7)+(-4.37274+(-4.34265--3.903285))+0-397.5--1.01362499999994</f>
        <v>1485.80152</v>
      </c>
      <c r="X188" s="3">
        <f>1926.4+(1194.1-1142.9)+(-1.964928+(-1.217982--1.165758))+0-394.4--0.402288000000063</f>
        <v>1581.5851359999999</v>
      </c>
      <c r="Y188" s="3">
        <f>1944.5+(1125.2-879.9)+(-1.98339+(-1.147704--0.897498))+0-379.5--0.387090000000061</f>
        <v>1808.4534940000003</v>
      </c>
      <c r="Z188" s="3">
        <f>1949+(1425.2-1184.6)+(-0.99399+(-0.726852--0.604146))+0-397.3--0.20262299999996</f>
        <v>1791.3859270000003</v>
      </c>
      <c r="AA188" s="3">
        <f>1945.2+(1764.7-1595.3)+(-0.992052+(-0.899997--0.813603))+0-395.3--0.20160299999996</f>
        <v>1718.4231570000004</v>
      </c>
      <c r="AB188" s="3">
        <f>1865.8+(1780-1688.7)+(-4.75779+(-4.539--4.306185))+0-394.1--1.00495499999994</f>
        <v>1559.0143499999999</v>
      </c>
      <c r="AC188" s="3">
        <f>1484.4+(1751.9-1347.6)+(-1.514088+(-1.786938--1.374552))+0-418.1--0.426462000000067</f>
        <v>1469.0999880000002</v>
      </c>
      <c r="AD188">
        <f t="shared" si="2"/>
        <v>34872.514080000001</v>
      </c>
      <c r="AE188" s="3">
        <f>1944+(1101.4-873)+(0+(0-0))+0-385.3-0</f>
        <v>1787.1000000000001</v>
      </c>
    </row>
    <row r="189" spans="1:31" s="2" customFormat="1" x14ac:dyDescent="0.25">
      <c r="A189">
        <v>89</v>
      </c>
      <c r="B189">
        <v>7</v>
      </c>
      <c r="C189">
        <v>3</v>
      </c>
      <c r="D189">
        <v>1</v>
      </c>
      <c r="E189">
        <v>1</v>
      </c>
      <c r="F189" s="3">
        <f>1253.2+(2194.2-1653.3)+(-1.917396+(-3.357126--2.529549))+0-426.9--0.653157000000025</f>
        <v>1365.1081839999999</v>
      </c>
      <c r="G189" s="3">
        <f>1224.5+(2356.2-1849.8)+(-2.49798+(-4.806648--3.773592))+0-431.5--0.880259999999981</f>
        <v>1296.7492239999997</v>
      </c>
      <c r="H189" s="3">
        <f>1224.3+(2238.7-1718.5)+(-1.248786+(-2.283474--1.75287))+0-438.9--0.44767800000007</f>
        <v>1304.2682879999998</v>
      </c>
      <c r="I189" s="3">
        <f>1225.1+(2338.2-1895.6)+(1.249602+(2.384964-1.933512))+0-418.3-0.426666000000067</f>
        <v>1250.6743879999999</v>
      </c>
      <c r="J189" s="3">
        <f>1223.4+(2067.1-1654.9)+(-2.495736+(-4.216884--3.375996))+0-424.5--0.865979999999981</f>
        <v>1208.6293559999999</v>
      </c>
      <c r="K189" s="3">
        <f>1222.9+(1720.4-1278.7)+(-1.871037+(-2.632212--1.956411))+0-421--0.644130000000024</f>
        <v>1241.6972920000003</v>
      </c>
      <c r="L189" s="3">
        <f>1222.6+(1057.7-654.2)+(-1.247052+(-1.078854--0.667284))+0-414.3--0.422586000000066</f>
        <v>1210.5639640000002</v>
      </c>
      <c r="M189" s="3">
        <f>1222.1+(1222.4-697.9)+(0.623271+(0.623424-0.355929))+0-419.3-0.213842999999957</f>
        <v>1327.9769229999999</v>
      </c>
      <c r="N189" s="3">
        <f>1224.5+(1168.4-511.7)+(0+(0-0))+0-416.9-0</f>
        <v>1464.3000000000002</v>
      </c>
      <c r="O189" s="3">
        <f>1273.6+(1267.3-525.7)+(-0.649536+(-0.646323--0.268107))+0-423--0.215729999999957</f>
        <v>1591.3879779999997</v>
      </c>
      <c r="P189" s="3">
        <f>1488+(1190.5-608.8)+(-0.75888+(-0.607155--0.310488))+0-422.5--0.215474999999957</f>
        <v>1646.3599279999999</v>
      </c>
      <c r="Q189" s="3">
        <f>1732+(1153.7-786.1)+(0.88332+(0.588387-0.400911))+0-405.8-0.206957999999959</f>
        <v>1694.6638379999999</v>
      </c>
      <c r="R189" s="3">
        <f>1882.4+(1640-1399.6)+(0+(0-0))+0-420-0</f>
        <v>1702.8000000000002</v>
      </c>
      <c r="S189" s="3">
        <f>1888.8+(1900.3-1705.2)+(0+(0-0))+0-423.2-0</f>
        <v>1660.6999999999996</v>
      </c>
      <c r="T189" s="3">
        <f>1885.5+(1924.2-1746.5)+(-1.92321+(-1.962684--1.78143))+0-415.2--0.423504000000066</f>
        <v>1646.3190399999999</v>
      </c>
      <c r="U189" s="3">
        <f>1885.7+(1780.4-1609.4)+(-2.885121+(-2.724012--2.462382))+0-397--0.607410000000023</f>
        <v>1657.1606589999997</v>
      </c>
      <c r="V189" s="3">
        <f>1883.1+(1767.1-1541.5)+(-2.881143+(-2.703663--2.358495))+0-396--0.605880000000023</f>
        <v>1710.079569</v>
      </c>
      <c r="W189" s="3">
        <f>1789.3+(1525.7-1324.1)+(0.912543+(0.778107-0.675291))+0-392.1-0.19997099999996</f>
        <v>1599.6153880000002</v>
      </c>
      <c r="X189" s="3">
        <f>1903.2+(1211.5-943.2)+(-3.882528+(-2.47146--1.924128))+0-396.7--0.809267999999983</f>
        <v>1771.1794079999997</v>
      </c>
      <c r="Y189" s="3">
        <f>1949.9+(1455.5-1099.3)+(0+(0-0))+0-395.4-0</f>
        <v>1910.7000000000003</v>
      </c>
      <c r="Z189" s="3">
        <f>1951+(1795.9-1436.4)+(1.99002+(1.831818-1.465128))+0-389.7-0.397494000000062</f>
        <v>1922.7592159999999</v>
      </c>
      <c r="AA189" s="3">
        <f>1949.1+(2331.6-2050.3)+(-2.982123+(-3.567348--3.136959))+0-392.6--0.600678000000023</f>
        <v>1834.9881659999999</v>
      </c>
      <c r="AB189" s="3">
        <f>1940.3+(2327.5-2165.8)+(-4.947765+(-5.935125--5.52279))+0-394.6--1.00622999999994</f>
        <v>1703.0461300000002</v>
      </c>
      <c r="AC189" s="3">
        <f>1721.1+(2290.5-2005.4)+(-4.388805+(-5.840775--5.11377))+0-426.5--1.08757499999994</f>
        <v>1575.6717649999998</v>
      </c>
      <c r="AD189">
        <f t="shared" si="2"/>
        <v>37297.398704000007</v>
      </c>
      <c r="AE189" s="3">
        <f>1945+(1411.6-1049.7)+(0+(0-0))+0-397.9-0</f>
        <v>1908.9999999999995</v>
      </c>
    </row>
    <row r="190" spans="1:31" s="2" customFormat="1" x14ac:dyDescent="0.25">
      <c r="A190">
        <v>89</v>
      </c>
      <c r="B190">
        <v>7</v>
      </c>
      <c r="C190">
        <v>4</v>
      </c>
      <c r="D190">
        <v>2</v>
      </c>
      <c r="E190">
        <v>1</v>
      </c>
      <c r="F190" s="3">
        <f>1428+(2303.9-1867.4)+(-1.45656+(-2.349978--1.904748))+0-435.2--0.443904000000069</f>
        <v>1427.842114</v>
      </c>
      <c r="G190" s="3">
        <f>1219.8+(2280.8-1738)+(-3.11049+(-5.81604--4.4319))+0-436--1.11179999999994</f>
        <v>1323.2171700000001</v>
      </c>
      <c r="H190" s="3">
        <f>1216.1+(2001.9-1450.4)+(-1.860633+(-3.062907--2.219112))+0-426.3--0.652239000000025</f>
        <v>1339.247811</v>
      </c>
      <c r="I190" s="3">
        <f>1215.3+(1920.6-1438.8)+(-0.619803+(-0.979506--0.733788))+0-431.2--0.219911999999956</f>
        <v>1265.2543909999999</v>
      </c>
      <c r="J190" s="3">
        <f>1215+(1700.5-1184.2)+(0+(0-0))+0-436-0</f>
        <v>1295.3</v>
      </c>
      <c r="K190" s="3">
        <f>1217.2+(1722.8-1187.7)+(0+(0-0))+0-438.4-0</f>
        <v>1313.9</v>
      </c>
      <c r="L190" s="3">
        <f>1215.9+(1529.2-1055.9)+(-0.620109+(-0.779892--0.538509))+0-429.9--0.219248999999956</f>
        <v>1258.6577570000002</v>
      </c>
      <c r="M190" s="3">
        <f>1216+(1701.1-1081.3)+(-1.24032+(-1.735122--1.102926))+0-423.1--0.431562000000068</f>
        <v>1411.2590459999999</v>
      </c>
      <c r="N190" s="3">
        <f>1216.5+(1721.8-1051)+(0+(0-0))+0-392.9-0</f>
        <v>1494.4</v>
      </c>
      <c r="O190" s="3">
        <f>1323+(1890.1-1108.4)+(-0.67473+(-0.963951--0.565284))+0-403.8--0.205937999999959</f>
        <v>1700.0325409999998</v>
      </c>
      <c r="P190" s="3">
        <f>1573.5+(1709.5-1174.2)+(0+(0-0))+0-413.9-0</f>
        <v>1694.9</v>
      </c>
      <c r="Q190" s="3">
        <f>1768.9+(1656.2-1304.1)+(0.902139+(0.844662-0.665091))+0-435-0.221849999999956</f>
        <v>1686.85986</v>
      </c>
      <c r="R190" s="3">
        <f>1830.4+(1930.3-1667)+(-0.933504+(-0.984453--0.85017))+0-418.8--0.213587999999958</f>
        <v>1674.0458009999998</v>
      </c>
      <c r="S190" s="3">
        <f>1831.3+(1935.4-1685.6)+(0.933963+(0.987054-0.859656))+0-422.1-0.215270999999957</f>
        <v>1659.8460900000005</v>
      </c>
      <c r="T190" s="3">
        <f>1842.1+(2218-1958.2)+(-0.939471+(-1.13118--0.998682))+0-369.7--0.188546999999962</f>
        <v>1731.3165779999995</v>
      </c>
      <c r="U190" s="3">
        <f>1827.4+(2112.9-1884)+(-1.863948+(-2.155158--1.92168))+0-362--0.369240000000058</f>
        <v>1692.5718140000004</v>
      </c>
      <c r="V190" s="3">
        <f>1828+(2090.1-1848.1)+(-2.79684+(-3.197853--2.827593))+0-372.9--0.570537000000022</f>
        <v>1694.5034369999998</v>
      </c>
      <c r="W190" s="3">
        <f>1738.9+(1547.2-1334.6)+(0+(0-0))+0-367.8-0</f>
        <v>1583.7000000000003</v>
      </c>
      <c r="X190" s="3">
        <f>1864.3+(1055.1-713.9)+(-1.901586+(-1.076202--0.728178))+0-399.7--0.407694000000064</f>
        <v>1803.9580840000001</v>
      </c>
      <c r="Y190" s="3">
        <f>1968.8+(1566.9-1170.8)+(-3.012264+(-2.397357--1.791324))+0-387.5--0.592875000000022</f>
        <v>1974.3745780000002</v>
      </c>
      <c r="Z190" s="3">
        <f>1969.8+(1924.9-1629)+(-2.009196+(-1.963398--1.66158))+0-371.6--0.379032000000059</f>
        <v>1892.1680180000001</v>
      </c>
      <c r="AA190" s="3">
        <f>1969.8+(2317.7-2073.8)+(1.004598+(1.182027-1.057638))+0-395.5-0.20170499999996</f>
        <v>1819.1272819999999</v>
      </c>
      <c r="AB190" s="3">
        <f>1965.7+(2183.8-2073.8)+(0+(0-0))+0-395.5-0</f>
        <v>1680.1999999999998</v>
      </c>
      <c r="AC190" s="3">
        <f>1650.6+(2011.3-1722.9)+(-1.683612+(-2.051526--1.757358))+0-416.3--0.424626000000066</f>
        <v>1521.1468459999999</v>
      </c>
      <c r="AD190">
        <f t="shared" si="2"/>
        <v>37937.829217999999</v>
      </c>
      <c r="AE190" s="3">
        <f>1963+(1322.3-995.9)+(0+(0-0))+0-405.8-0</f>
        <v>1883.6000000000001</v>
      </c>
    </row>
    <row r="191" spans="1:31" s="2" customFormat="1" x14ac:dyDescent="0.25">
      <c r="A191">
        <v>89</v>
      </c>
      <c r="B191">
        <v>7</v>
      </c>
      <c r="C191">
        <v>5</v>
      </c>
      <c r="D191">
        <v>3</v>
      </c>
      <c r="E191">
        <v>1</v>
      </c>
      <c r="F191" s="3">
        <f>1236.4+(2137.8-1523.3)+(-1.891692+(-3.270834--2.330649))+0-430.5--0.658665000000025</f>
        <v>1418.2267880000002</v>
      </c>
      <c r="G191" s="3">
        <f>1205.4+(2216.9-1601.1)+(0+(0-0))+0-428.4-0</f>
        <v>1392.8000000000002</v>
      </c>
      <c r="H191" s="3">
        <f>1205.3+(2343.5-1803.5)+(-1.229406+(-2.39037--1.83957))+0-416.8--0.425136000000066</f>
        <v>1327.1449300000002</v>
      </c>
      <c r="I191" s="3">
        <f>1180.4+(2277.9-1770.6)+(0.602004+(1.161729-0.903006))+0-405.8-0.206957999999959</f>
        <v>1282.5537690000003</v>
      </c>
      <c r="J191" s="3">
        <f>1121.3+(2020.3-1438.3)+(0.571863+(1.030353-0.733533))+0-415.2-0.211751999999958</f>
        <v>1288.7569309999999</v>
      </c>
      <c r="K191" s="3">
        <f>1113.5+(1600.3-1044.7)+(-3.975195+(-5.713071--3.729579))+0-412--1.47084000000001</f>
        <v>1252.6121529999998</v>
      </c>
      <c r="L191" s="3">
        <f>1114.1+(1296.1-777)+(0.568191+(0.661011-0.39627))+0-391.7-0.19976699999996</f>
        <v>1242.1331649999997</v>
      </c>
      <c r="M191" s="3">
        <f>1114.1+(1326.7-647.4)+(1.136382+(1.353234-0.660348))+0-383-0.390660000000061</f>
        <v>1411.838608</v>
      </c>
      <c r="N191" s="3">
        <f>1167.7+(1435.9-606.9)+(0+(0-0))+0-379.4-0</f>
        <v>1617.3000000000002</v>
      </c>
      <c r="O191" s="3">
        <f>1279.2+(1638.4-844.5)+(0+(0-0))+0-376.6-0</f>
        <v>1696.5000000000005</v>
      </c>
      <c r="P191" s="3">
        <f>1510.1+(2045.1-1400.3)+(1.540302+(2.086002-1.428306))+0-365.5-0.372810000000058</f>
        <v>1791.2251879999997</v>
      </c>
      <c r="Q191" s="3">
        <f>1774.6+(1754-1407.5)+(2.715138+(2.68362-2.153475))+0-364.3-0.557379000000021</f>
        <v>1759.4879040000001</v>
      </c>
      <c r="R191" s="3">
        <f>1893.1+(2095.8-1871.3)+(-1.930962+(-2.137716--1.908726))+0-370.3--0.377706000000059</f>
        <v>1745.5177540000004</v>
      </c>
      <c r="S191" s="3">
        <f>1894.2+(2271-2124.4)+(-0.966042+(-1.15821--1.083444))+0-373.8--0.190637999999962</f>
        <v>1666.1498300000001</v>
      </c>
      <c r="T191" s="3">
        <f>1892.4+(2247.3-2093.7)+(-1.930248+(-2.292246--2.135574))+0-354.4--0.361488000000056</f>
        <v>1689.8745680000006</v>
      </c>
      <c r="U191" s="3">
        <f>1892.9+(2253.5-2111.3)+(-3.861516+(-4.59714--4.307052))+0-370.9--0.756635999999984</f>
        <v>1660.8050320000002</v>
      </c>
      <c r="V191" s="3">
        <f>1892.1+(2153.4-2045.4)+(-4.824855+(-5.49117--5.21577))+0-345.5--0.88102499999995</f>
        <v>1650.3807699999998</v>
      </c>
      <c r="W191" s="3">
        <f>1904.6+(1797.3-1724)+(-0.971346+(-0.916623--0.87924))+0-338.5--0.172634999999966</f>
        <v>1638.5639059999999</v>
      </c>
      <c r="X191" s="3">
        <f>1983.5+(1550.5-1307.9)+(1.011585+(0.790755-0.667029))+0-390.3-0.19905299999996</f>
        <v>1836.7362579999999</v>
      </c>
      <c r="Y191" s="3">
        <f>1997.6+(1817.2-1467.2)+(-6.112656+(-5.560632--4.489632))+0-392.3--1.20043800000005</f>
        <v>1949.3167819999999</v>
      </c>
      <c r="Z191" s="3">
        <f>1985.6+(2090.1-1799.6)+(-3.037968+(-3.197853--2.753388))+0-391.3--0.598689000000023</f>
        <v>1881.9162559999997</v>
      </c>
      <c r="AA191" s="3">
        <f>1978.1+(2448.7-2251.1)+(-4.035324+(-4.995348--4.592244))+0-388.3--0.792131999999983</f>
        <v>1783.753704</v>
      </c>
      <c r="AB191" s="3">
        <f>1975.4+(2466.8-2319.7)+(-4.029816+(-5.032272--4.732188))+0-394.1--0.803963999999983</f>
        <v>1724.8740640000003</v>
      </c>
      <c r="AC191" s="3">
        <f>1954.4+(2455.9-2382.8)+(-4.98372+(-6.262545--6.07614))+0-399.8--1.01948999999994</f>
        <v>1623.5493649999999</v>
      </c>
      <c r="AD191">
        <f t="shared" si="2"/>
        <v>38332.017725000005</v>
      </c>
      <c r="AE191" s="3">
        <f>1995+(1665.1-1316.1)+(0+(0-0))+0-398.3-0</f>
        <v>1945.7</v>
      </c>
    </row>
    <row r="192" spans="1:31" s="2" customFormat="1" x14ac:dyDescent="0.25">
      <c r="A192">
        <v>89</v>
      </c>
      <c r="B192">
        <v>7</v>
      </c>
      <c r="C192">
        <v>6</v>
      </c>
      <c r="D192">
        <v>4</v>
      </c>
      <c r="E192">
        <v>1</v>
      </c>
      <c r="F192" s="3">
        <f>1562.5+(2267.8-2002.5)+(-3.1875+(-4.626312--4.0851))+0-434.8--0.886991999999981</f>
        <v>1390.1582800000001</v>
      </c>
      <c r="G192" s="3">
        <f>1222.3+(2391.2-1805.1)+(-1.870119+(-3.658536--2.761803))+0-431--0.659430000000025</f>
        <v>1375.2925779999998</v>
      </c>
      <c r="H192" s="3">
        <f>1217+(2210.4-1686.6)+(-1.24134+(-2.254608--1.720332))+0-434.5--0.443190000000069</f>
        <v>1304.9675740000002</v>
      </c>
      <c r="I192" s="3">
        <f>1217+(2171.2-1659)+(-1.24134+(-2.214624--1.69218))+0-435--0.443700000000069</f>
        <v>1292.8799159999999</v>
      </c>
      <c r="J192" s="3">
        <f>1215.8+(1932.5-1424.6)+(2.480232+(3.9423-2.906184))+0-435.7-0.888827999999981</f>
        <v>1290.6275200000002</v>
      </c>
      <c r="K192" s="3">
        <f>1216.4+(1605.3-1127)+(-2.481456+(-3.274812--2.29908))+0-432.1--0.881483999999981</f>
        <v>1260.024296</v>
      </c>
      <c r="L192" s="3">
        <f>1215.8+(1293.4-808.5)+(0.620058+(0.659634-0.412335))+0-428.7-0.218636999999957</f>
        <v>1272.6487200000001</v>
      </c>
      <c r="M192" s="3">
        <f>1215.9+(1465-836)+(-0.620109+(-0.74715--0.42636))+0-426.9--0.217718999999957</f>
        <v>1417.2768200000003</v>
      </c>
      <c r="N192" s="3">
        <f>1236.6+(1579.8-771.1)+(0+(0-0))+0-437.1-0</f>
        <v>1608.1999999999998</v>
      </c>
      <c r="O192" s="3">
        <f>1274.9+(1600.4-779.8)+(-2.600796+(-3.264816--1.590792))+0-406.7--0.829667999999982</f>
        <v>1685.3548479999999</v>
      </c>
      <c r="P192" s="3">
        <f>1493.5+(1974.1-1372.3)+(-0.761685+(-1.006791--0.699873))+0-373.3--0.190382999999962</f>
        <v>1721.1217799999999</v>
      </c>
      <c r="Q192" s="3">
        <f>1696.4+(1719.4-1327.7)+(3.460656+(3.507576-2.708508))+0-356.9-0.728075999999984</f>
        <v>1734.7316480000004</v>
      </c>
      <c r="R192" s="3">
        <f>1838.8+(1764.1-1565.6)+(-1.875576+(-1.799382--1.596912))+0-386--0.393720000000062</f>
        <v>1649.6156739999999</v>
      </c>
      <c r="S192" s="3">
        <f>1840+(2127.1-1919.7)+(0.9384+(1.084821-0.979047))+0-408.8-0.208487999999959</f>
        <v>1639.4356859999998</v>
      </c>
      <c r="T192" s="3">
        <f>1837.4+(2228.7-1993.5)+(-3.748296+(-4.546548--4.06674))+0-384.8--0.784991999999983</f>
        <v>1684.356888</v>
      </c>
      <c r="U192" s="3">
        <f>1837.5+(2309.5-2095.5)+(-4.685625+(-5.889225--5.343525))+0-372.6--0.950129999999946</f>
        <v>1674.6188049999998</v>
      </c>
      <c r="V192" s="3">
        <f>1837+(2151.4-1942.5)+(-4.68435+(-5.48607--4.953375))+0-360.5--0.919274999999948</f>
        <v>1681.10223</v>
      </c>
      <c r="W192" s="3">
        <f>1859.6+(1698.8-1536.8)+(-2.845188+(-2.599164--2.351304))+0-365.3--0.558909000000021</f>
        <v>1653.7658610000001</v>
      </c>
      <c r="X192" s="3">
        <f>1940.2+(1669.8-1426.8)+(0+(0-0))+0-371.7-0</f>
        <v>1811.4999999999998</v>
      </c>
      <c r="Y192" s="3">
        <f>1940+(1891.8-1536.2)+(-2.9682+(-2.894454--2.350386))+0-369.1--0.564723000000021</f>
        <v>1923.552455</v>
      </c>
      <c r="Z192" s="3">
        <f>1940+(2348.2-2084.7)+(-2.9682+(-3.592746--3.189591))+0-369--0.564570000000021</f>
        <v>1831.6932149999998</v>
      </c>
      <c r="AA192" s="3">
        <f>1940.5+(2297.7-2134)+(-1.97931+(-2.343654--2.17668))+0-362.6--0.369852000000058</f>
        <v>1739.823568</v>
      </c>
      <c r="AB192" s="3">
        <f>1816.1+(2145-1994.8)+(-1.852422+(-2.1879--2.034696))+0-358.9--0.366078000000057</f>
        <v>1605.760452</v>
      </c>
      <c r="AC192" s="3">
        <f>1626.9+(1941.8-1644)+(-1.659438+(-1.980636--1.67688))+0-389.8--0.397596000000062</f>
        <v>1533.3344020000002</v>
      </c>
      <c r="AD192">
        <f t="shared" si="2"/>
        <v>37781.843216000001</v>
      </c>
      <c r="AE192" s="3">
        <f>1968+(1792.9-1477)+(0+(0-0))+0-371.8-0</f>
        <v>1912.1000000000001</v>
      </c>
    </row>
    <row r="193" spans="1:31" s="2" customFormat="1" x14ac:dyDescent="0.25">
      <c r="A193">
        <v>89</v>
      </c>
      <c r="B193">
        <v>7</v>
      </c>
      <c r="C193">
        <v>7</v>
      </c>
      <c r="D193">
        <v>5</v>
      </c>
      <c r="E193">
        <v>1</v>
      </c>
      <c r="F193" s="3">
        <f>1268.5+(2266.3-1782.7)+(-3.88161+(-6.934878--5.455062))+0-403.3--1.23409800000005</f>
        <v>1344.6726720000004</v>
      </c>
      <c r="G193" s="3">
        <f>1227.9+(2289-1778.3)+(-3.757374+(-7.00434--5.441598))+0-407.7--1.24756200000005</f>
        <v>1326.827446</v>
      </c>
      <c r="H193" s="3">
        <f>1229+(2177.6-1695.1)+(0+(0-0))+0-411.8-0</f>
        <v>1299.7</v>
      </c>
      <c r="I193" s="3">
        <f>1228+(2066.2-1603.4)+(-1.25256+(-2.107524--1.635468))+0-411--0.419220000000066</f>
        <v>1278.4946039999998</v>
      </c>
      <c r="J193" s="3">
        <f>1227.2+(1851.5-1411.2)+(1.877616+(2.832795-2.159136))+0-410.8-0.628524000000024</f>
        <v>1258.6227510000001</v>
      </c>
      <c r="K193" s="3">
        <f>1204.4+(1731.6-1243.5)+(-1.842732+(-2.649348--1.902555))+0-412.8--0.631584000000024</f>
        <v>1277.7420589999999</v>
      </c>
      <c r="L193" s="3">
        <f>1115.1+(1554.7-1019.1)+(-1.137402+(-1.585794--1.039482))+0-406.9--0.415038000000065</f>
        <v>1242.531324</v>
      </c>
      <c r="M193" s="3">
        <f>1077.3+(1424.8-687.7)+(0+(0-0))+0-411.6-0</f>
        <v>1402.7999999999997</v>
      </c>
      <c r="N193" s="3">
        <f>1078.7+(1361.9-518.6)+(0+(0-0))+0-404.4-0</f>
        <v>1517.6</v>
      </c>
      <c r="O193" s="3">
        <f>1130.1+(1380.1-495.1)+(-1.152702+(-1.407702--0.505002))+0-422.2--0.430644000000067</f>
        <v>1591.2752419999999</v>
      </c>
      <c r="P193" s="3">
        <f>1352.7+(1568-791.8)+(-2.069631+(-2.39904--1.211454))+0-412.5--0.631125000000024</f>
        <v>1713.7739080000003</v>
      </c>
      <c r="Q193" s="3">
        <f>1536.2+(2019.1-1401.6)+(-1.566924+(-2.059482--1.429632))+0-417.4--0.425748000000067</f>
        <v>1734.5289739999998</v>
      </c>
      <c r="R193" s="3">
        <f>1630.8+(2215.6-1776.4)+(-1.663416+(-2.259912--1.811928))+0-419--0.427380000000067</f>
        <v>1649.3159800000003</v>
      </c>
      <c r="S193" s="3">
        <f>1632.1+(2284.3-1903.5)+(0+(0-0))+0-417.8-0</f>
        <v>1595.1000000000001</v>
      </c>
      <c r="T193" s="3">
        <f>1642.7+(2214.9-1831.8)+(-1.675554+(-2.259198--1.868436))+0-420.3--0.428706000000067</f>
        <v>1603.8623900000005</v>
      </c>
      <c r="U193" s="3">
        <f>1733.1+(1880.9-1614.6)+(-1.767762+(-1.918518--1.646892))+0-390.1--0.397902000000062</f>
        <v>1607.6585140000002</v>
      </c>
      <c r="V193" s="3">
        <f>1773.8+(1421.5-1208)+(-3.618552+(-2.89986--2.46432))+0-384.3--0.783971999999983</f>
        <v>1599.7298799999999</v>
      </c>
      <c r="W193" s="3">
        <f>1807.6+(1032-846.3)+(0.921876+(0.52632-0.431613))+0-385.9-0.196808999999961</f>
        <v>1608.2197740000001</v>
      </c>
      <c r="X193" s="3">
        <f>1947.2+(1209.6-1004.2)+(0.993072+(0.616896-0.512142))+0-386.1-0.196910999999961</f>
        <v>1767.4009150000002</v>
      </c>
      <c r="Y193" s="3">
        <f>1947.3+(1639.5-1311.4)+(-3.972492+(-3.34458--2.675256))+0-366.4--0.747455999999984</f>
        <v>1905.1056399999998</v>
      </c>
      <c r="Z193" s="3">
        <f>1946.6+(1709.7-1462.4)+(-0.992766+(-0.871947--0.745824))+0-368.8--0.188087999999963</f>
        <v>1824.1691989999997</v>
      </c>
      <c r="AA193" s="3">
        <f>1946+(2032.5-1813)+(-2.97738+(-3.109725--2.77389))+0-380.9--0.582777000000022</f>
        <v>1781.8695619999999</v>
      </c>
      <c r="AB193" s="3">
        <f>1845.3+(2201.8-1969.6)+(-3.764412+(-4.491672--4.017984))+0-378.3--0.771731999999984</f>
        <v>1695.7336319999999</v>
      </c>
      <c r="AC193" s="3">
        <f>1673.9+(2109.3-1854.8)+(-3.414756+(-4.302972--3.783792))+0-405.2--0.826607999999982</f>
        <v>1520.0926720000004</v>
      </c>
      <c r="AD193">
        <f t="shared" ref="AD193:AD256" si="3">SUM(F193:AC193)</f>
        <v>37146.827138000008</v>
      </c>
      <c r="AE193" s="3">
        <f>1935+(1457.3-1118.1)+(0+(0-0))+0-392.5-0</f>
        <v>1881.6999999999998</v>
      </c>
    </row>
    <row r="194" spans="1:31" s="2" customFormat="1" x14ac:dyDescent="0.25">
      <c r="A194">
        <v>89</v>
      </c>
      <c r="B194">
        <v>7</v>
      </c>
      <c r="C194">
        <v>8</v>
      </c>
      <c r="D194">
        <v>6</v>
      </c>
      <c r="E194">
        <v>1</v>
      </c>
      <c r="F194" s="3">
        <f>1370.3+(2147.4-1671.8)+(-2.096559+(-3.285522--2.557854))+0-417.9--0.639387000000024</f>
        <v>1425.8151599999999</v>
      </c>
      <c r="G194" s="3">
        <f>1276.2+(2088.7-1632.4)+(-2.603448+(-4.260948--3.330096))+0-416.9--0.850475999999982</f>
        <v>1312.9161759999997</v>
      </c>
      <c r="H194" s="3">
        <f>1215+(1941-1406.7)+(-1.2393+(-1.97982--1.434834))+0-425.2--0.433704000000068</f>
        <v>1322.7494179999999</v>
      </c>
      <c r="I194" s="3">
        <f>1215+(1958.3-1525.4)+(-0.61965+(-0.998733--0.777954))+0-410.7--0.209456999999958</f>
        <v>1236.5690279999997</v>
      </c>
      <c r="J194" s="3">
        <f>1216.2+(1710.1-1231.5)+(-1.240524+(-1.744302--1.25613))+0-429--0.437580000000068</f>
        <v>1264.5088840000001</v>
      </c>
      <c r="K194" s="3">
        <f>1215+(1645.4-1222.8)+(-2.4786+(-3.356616--2.494512))+0-428.6--0.874343999999981</f>
        <v>1206.5336400000003</v>
      </c>
      <c r="L194" s="3">
        <f>1215+(1175.9-769)+(0+(0-0))+0-423.8-0</f>
        <v>1198.1000000000001</v>
      </c>
      <c r="M194" s="3">
        <f>1211+(1267.9-519.9)+(-0.61761+(-0.646629--0.265149))+0-428.6--0.218585999999957</f>
        <v>1529.6194959999998</v>
      </c>
      <c r="N194" s="3">
        <f>1207.7+(1193.8-540.8)+(-0.615927+(-0.608838--0.275808))+0-424.8--0.216647999999957</f>
        <v>1435.1676909999999</v>
      </c>
      <c r="O194" s="3">
        <f>1293.2+(1287-586.5)+(-1.978596+(-1.96911--0.897345))+0-428.6--0.655758000000025</f>
        <v>1562.7053969999999</v>
      </c>
      <c r="P194" s="3">
        <f>1474.3+(1203.1-667.5)+(-0.751893+(-0.613581--0.340425))+0-415.2--0.211751999999958</f>
        <v>1593.8867029999997</v>
      </c>
      <c r="Q194" s="3">
        <f>1709.2+(1032.1-694.5)+(-0.871692+(-0.526371--0.354195))+0-405--0.206549999999959</f>
        <v>1640.9626819999999</v>
      </c>
      <c r="R194" s="3">
        <f>1896.6+(1382.7-1290.1)+(0+(0-0))+0-405.9-0</f>
        <v>1583.3000000000002</v>
      </c>
      <c r="S194" s="3">
        <f>1907.4+(1825-1689)+(-0.972774+(-0.93075--0.86139))+0-403.2--0.205631999999959</f>
        <v>1639.3634979999999</v>
      </c>
      <c r="T194" s="3">
        <f>1904.1+(1911.7-1872.4)+(-0.971091+(-0.974967--0.954924))+0-389.6--0.19869599999996</f>
        <v>1553.0075619999998</v>
      </c>
      <c r="U194" s="3">
        <f>1904.3+(1913.7-1884.1)+(-0.971193+(-0.975987--0.960891))+0-387.8--0.197777999999961</f>
        <v>1545.3114890000002</v>
      </c>
      <c r="V194" s="3">
        <f>1902+(1646-1670.1)+(-5.82012+(-5.03676--5.110506))+0-385.8--1.18054800000004</f>
        <v>1487.5341740000001</v>
      </c>
      <c r="W194" s="3">
        <f>1918.7+(1144.7-1207.3)+(0.978537+(0.583797-0.615723))+0-366.6-0.186965999999963</f>
        <v>1490.2596450000003</v>
      </c>
      <c r="X194" s="3">
        <f>1969.9+(984-873.6)+(0+(0-0))+0-378-0</f>
        <v>1702.3000000000002</v>
      </c>
      <c r="Y194" s="3">
        <f>1976.1+(1303.8-1073.7)+(-4.031244+(-2.659752--2.190348))+0-378.9--0.772955999999983</f>
        <v>1823.5723079999996</v>
      </c>
      <c r="Z194" s="3">
        <f>1962.6+(1353.2-1200.9)+(-4.003704+(-2.760528--2.449836))+0-391.8--0.799271999999983</f>
        <v>1719.5848759999994</v>
      </c>
      <c r="AA194" s="3">
        <f>1825.8+(1278-1009.7)+(-1.862316+(-1.30356--1.029894))+0-399.3--0.407286000000064</f>
        <v>1693.0713040000003</v>
      </c>
      <c r="AB194" s="3">
        <f>1731.3+(1392-1133.3)+(-2.648889+(-2.12976--1.733949))+0-400--0.612000000000023</f>
        <v>1587.5673000000002</v>
      </c>
      <c r="AC194" s="3">
        <f>1622.6+(1774.5-1484.4)+(-4.13763+(-4.524975--3.78522))+0-402.8--1.02713999999994</f>
        <v>1506.0497549999998</v>
      </c>
      <c r="AD194">
        <f t="shared" si="3"/>
        <v>36060.456185999996</v>
      </c>
      <c r="AE194" s="3">
        <f>1974+(1100-922.1)+(0+(0-0))+0-381.1-0</f>
        <v>1770.8000000000002</v>
      </c>
    </row>
    <row r="195" spans="1:31" s="2" customFormat="1" x14ac:dyDescent="0.25">
      <c r="A195">
        <v>89</v>
      </c>
      <c r="B195">
        <v>7</v>
      </c>
      <c r="C195">
        <v>9</v>
      </c>
      <c r="D195">
        <v>7</v>
      </c>
      <c r="E195">
        <v>1</v>
      </c>
      <c r="F195" s="3">
        <f>1567.7+(1930.4-1699.5)+(-0.799527+(-0.984504--0.866745))+0-399.6--0.203795999999959</f>
        <v>1398.2865100000001</v>
      </c>
      <c r="G195" s="3">
        <f>1437.1+(1999.9-1735.2)+(-3.664605+(-5.099745--4.42476))+0-399.5--1.01872499999994</f>
        <v>1298.9791349999998</v>
      </c>
      <c r="H195" s="3">
        <f>1223.9+(1934.8-1521.4)+(0+(0-0))+0-398.8-0</f>
        <v>1238.5</v>
      </c>
      <c r="I195" s="3">
        <f>1206.9+(1826-1392.6)+(-2.462076+(-3.72504--2.840904))+0-396.8--0.809471999999983</f>
        <v>1240.9632600000002</v>
      </c>
      <c r="J195" s="3">
        <f>1207.8+(1627.2-1217.6)+(-1.847934+(-2.489616--1.862928))+0-396.7--0.606951000000023</f>
        <v>1218.8323290000001</v>
      </c>
      <c r="K195" s="3">
        <f>1206.8+(1432.2-1040.6)+(-3.07734+(-3.65211--2.65353))+0-393.9--1.00444499999994</f>
        <v>1201.4285250000003</v>
      </c>
      <c r="L195" s="3">
        <f>1206.6+(1565.5-1221.9)+(-1.846098+(-2.395215--1.869507))+0-393.5--0.602055000000023</f>
        <v>1154.9302489999998</v>
      </c>
      <c r="M195" s="3">
        <f>1206.1+(1251.1-869.8)+(-1.845333+(-1.914183--1.330794))+0-394--0.602820000000023</f>
        <v>1191.5740979999998</v>
      </c>
      <c r="N195" s="3">
        <f>1165.2+(1508.6-1040.6)+(-0.594252+(-0.769386--0.530706))+0-377.2--0.192371999999962</f>
        <v>1255.3594399999999</v>
      </c>
      <c r="O195" s="3">
        <f>1170.1+(1262.5-664.3)+(-1.193502+(-1.28775--0.677586))+0-368.2--0.375564000000059</f>
        <v>1398.6718980000001</v>
      </c>
      <c r="P195" s="3">
        <f>1290.2+(1542.5-1050.2)+(-0.658002+(-0.786675--0.535602))+0-363.9--0.185588999999963</f>
        <v>1417.8765139999998</v>
      </c>
      <c r="Q195" s="3">
        <f>1492.6+(1546.5-1194.9)+(-1.522452+(-1.57743--1.218798))+0-360.8--0.368016000000058</f>
        <v>1481.8869319999999</v>
      </c>
      <c r="R195" s="3">
        <f>1535.9+(1656.4-1378.3)+(-2.349927+(-2.534292--2.108799))+0-379.2--0.580176000000022</f>
        <v>1432.6047560000002</v>
      </c>
      <c r="S195" s="3">
        <f>1642.8+(1930.2-1768.1)+(-2.513484+(-2.953206--2.705193))+0-380.2--0.581706000000022</f>
        <v>1422.520209</v>
      </c>
      <c r="T195" s="3">
        <f>1719.5+(1972.6-1914.5)+(-4.384725+(-5.03013--4.881975))+0-380.1--0.969254999999945</f>
        <v>1393.9363749999998</v>
      </c>
      <c r="U195" s="3">
        <f>1719.5+(1799-1760.2)+(-2.630835+(-2.75247--2.693106))+0-382.3--0.584919000000022</f>
        <v>1373.8947200000002</v>
      </c>
      <c r="V195" s="3">
        <f>1716.6+(1315.5-1278.1)+(-2.626398+(-2.012715--1.955493))+0-380.9--0.582777000000022</f>
        <v>1370.9991570000002</v>
      </c>
      <c r="W195" s="3">
        <f>1739.8+(1011.5-867.6)+(0+(0-0))+0-384.8-0</f>
        <v>1498.8999999999999</v>
      </c>
      <c r="X195" s="3">
        <f>1912.1+(845.4-791.1)+(-0.975171+(-0.431154--0.403461))+0-375.7--0.191606999999962</f>
        <v>1589.8887429999997</v>
      </c>
      <c r="Y195" s="3">
        <f>1947.3+(1128.9-1013.3)+(-1.986246+(-1.151478--1.033566))+0-375.4--0.38290800000006</f>
        <v>1685.7787499999999</v>
      </c>
      <c r="Z195" s="3">
        <f>1947.4+(1181.1-1121.7)+(-3.972696+(-2.409444--2.288268))+0-376.9--0.768875999999983</f>
        <v>1626.5750040000003</v>
      </c>
      <c r="AA195" s="3">
        <f>1948.1+(1438.2-1494.2)+(-2.980593+(-2.200446--2.286126))+0-372.2--0.569466000000021</f>
        <v>1517.5745529999997</v>
      </c>
      <c r="AB195" s="3">
        <f>1813.1+(1735.8-1770.6)+(-4.623405+(-4.42629--4.51503))+0-370.8--0.945539999999946</f>
        <v>1403.910875</v>
      </c>
      <c r="AC195" s="3">
        <f>1703.3+(2126.9-2125)+(-4.343415+(-5.423595--5.41875))+0-392.1--0.999854999999943</f>
        <v>1309.7515950000002</v>
      </c>
      <c r="AD195">
        <f t="shared" si="3"/>
        <v>33123.623627000001</v>
      </c>
      <c r="AE195" s="3">
        <f>1945+(1135.2-956.1)+(0+(0-0))+0-378.7-0</f>
        <v>1745.3999999999999</v>
      </c>
    </row>
    <row r="196" spans="1:31" s="2" customFormat="1" x14ac:dyDescent="0.25">
      <c r="A196">
        <v>89</v>
      </c>
      <c r="B196">
        <v>7</v>
      </c>
      <c r="C196">
        <v>10</v>
      </c>
      <c r="D196">
        <v>1</v>
      </c>
      <c r="E196">
        <v>1</v>
      </c>
      <c r="F196" s="3">
        <f>1584.6+(2158.9-2116.7)+(-4.848876+(-6.606234--6.477102))+0-403.3--1.23409800000005</f>
        <v>1219.7560900000003</v>
      </c>
      <c r="G196" s="3">
        <f>1307.2+(2206.7-1950.4)+(-2.000016+(-3.376251--2.984112))+0-417.2--0.638316000000024</f>
        <v>1144.5461609999998</v>
      </c>
      <c r="H196" s="3">
        <f>1212.6+(2141.7-1889.7)+(-3.09213+(-5.461335--4.818735))+0-397.5--1.01362499999994</f>
        <v>1064.3788949999998</v>
      </c>
      <c r="I196" s="3">
        <f>1214.4+(2237.2-1910.4)+(-0.619344+(-1.140972--0.974304))+0-415.7--0.212006999999958</f>
        <v>1124.9259949999996</v>
      </c>
      <c r="J196" s="3">
        <f>1213.7+(2140.2-1813.2)+(-1.237974+(-2.183004--1.849464))+0-413.9--0.422178000000066</f>
        <v>1125.650664</v>
      </c>
      <c r="K196" s="3">
        <f>1212.6+(1798.9-1527.6)+(-2.473704+(-3.669756--3.116304))+0-402.9--0.821915999999982</f>
        <v>1078.7947599999998</v>
      </c>
      <c r="L196" s="3">
        <f>1212.5+(1559.6-1236.2)+(0.618375+(0.795396-0.630462))+0-416.1-0.212210999999958</f>
        <v>1120.3710979999996</v>
      </c>
      <c r="M196" s="3">
        <f>1212.5+(1332.1-863.3)+(-0.618375+(-0.679371--0.440283))+0-405--0.206549999999959</f>
        <v>1275.6490869999998</v>
      </c>
      <c r="N196" s="3">
        <f>1212.7+(1235.9-634.1)+(-0.618477+(-0.630309--0.323391))+0-417.2--0.212771999999958</f>
        <v>1396.5873769999998</v>
      </c>
      <c r="O196" s="3">
        <f>1310.2+(1506.4-917.7)+(-0.668202+(-0.768264--0.468027))+0-399.5--0.203744999999959</f>
        <v>1498.6353060000001</v>
      </c>
      <c r="P196" s="3">
        <f>1470.9+(1386.7-857.9)+(0+(0-0))+0-390.6-0</f>
        <v>1609.1000000000004</v>
      </c>
      <c r="Q196" s="3">
        <f>1713.5+(1257.7-906.6)+(0.873885+(0.641427-0.462366))+0-394-0.20093999999996</f>
        <v>1671.4520059999998</v>
      </c>
      <c r="R196" s="3">
        <f>1760.8+(1582.8-1138.6)+(0+(0-0))+0-394.6-0</f>
        <v>1810.4</v>
      </c>
      <c r="S196" s="3">
        <f>1764.1+(1695.3-1309)+(0+(0-0))+0-394.8-0</f>
        <v>1755.5999999999997</v>
      </c>
      <c r="T196" s="3">
        <f>1790.8+(1807.4-1408.8)+(-3.653232+(-3.687096--2.873952))+0-393.4--0.802535999999983</f>
        <v>1792.3361600000001</v>
      </c>
      <c r="U196" s="3">
        <f>1791.3+(1873.9-1634.3)+(-5.481378+(-5.734134--5.000958))+0-386.9--1.18391400000004</f>
        <v>1638.9693600000003</v>
      </c>
      <c r="V196" s="3">
        <f>1787.3+(1818-1552.6)+(-4.557615+(-4.6359--3.95913))+0-377.2--0.961859999999945</f>
        <v>1671.2274749999997</v>
      </c>
      <c r="W196" s="3">
        <f>1802.4+(1271.6-1045)+(2.757672+(1.945548-1.59885))+0-377-0.576810000000022</f>
        <v>1654.52756</v>
      </c>
      <c r="X196" s="3">
        <f>1934.6+(815-504.6)+(-0.986646+(-0.41565--0.257346))+0-382--0.194819999999961</f>
        <v>1862.0498700000001</v>
      </c>
      <c r="Y196" s="3">
        <f>1997.2+(944.8-748.6)+(-5.09286+(-2.40924--1.90893))+0-379.1--0.966704999999945</f>
        <v>1809.6735350000001</v>
      </c>
      <c r="Z196" s="3">
        <f>1997.2+(1378.1-1268.2)+(-3.055716+(-2.108493--1.940346))+0-382--0.584460000000022</f>
        <v>1722.4605969999998</v>
      </c>
      <c r="AA196" s="3">
        <f>1994.4+(1806.8-1722)+(-4.068576+(-3.685872--3.51288))+0-383--0.781319999999983</f>
        <v>1692.739752</v>
      </c>
      <c r="AB196" s="3">
        <f>1888.2+(1960.5-1817.8)+(-3.851928+(-3.99942--3.708312))+0-383--0.781319999999983</f>
        <v>1644.5382840000002</v>
      </c>
      <c r="AC196" s="3">
        <f>1796.1+(2122.2-1991.5)+(-5.496066+(-6.493932--6.09399))+0-418.4--1.28030400000005</f>
        <v>1503.784296</v>
      </c>
      <c r="AD196">
        <f t="shared" si="3"/>
        <v>35888.154327999997</v>
      </c>
      <c r="AE196" s="3">
        <f>1997+(876.7-627.1)+(0+(0-0))+0-379.2-0</f>
        <v>1867.3999999999999</v>
      </c>
    </row>
    <row r="197" spans="1:31" s="2" customFormat="1" x14ac:dyDescent="0.25">
      <c r="A197">
        <v>89</v>
      </c>
      <c r="B197">
        <v>7</v>
      </c>
      <c r="C197">
        <v>11</v>
      </c>
      <c r="D197">
        <v>2</v>
      </c>
      <c r="E197">
        <v>1</v>
      </c>
      <c r="F197" s="3">
        <f>1562.1+(1821.9-1556.1)+(-1.593342+(-1.858338--1.587222))+0-432.2--0.440844000000069</f>
        <v>1394.276386</v>
      </c>
      <c r="G197" s="3">
        <f>1424.6+(1710.7-1414.2)+(-0.726546+(-0.872457--0.721242))+0-429.3--0.218942999999956</f>
        <v>1291.1411819999998</v>
      </c>
      <c r="H197" s="3">
        <f>1306.9+(1830-1402.9)+(-3.332595+(-4.6665--3.577395))+0-424.8--1.08323999999994</f>
        <v>1305.8615399999999</v>
      </c>
      <c r="I197" s="3">
        <f>1207.8+(1916.5-1400.1)+(-1.231956+(-1.95483--1.428102))+0-426.1--0.434622000000068</f>
        <v>1296.775938</v>
      </c>
      <c r="J197" s="3">
        <f>1175.2+(1583.1-1059)+(0+(0-0))+0-429.2-0</f>
        <v>1270.0999999999999</v>
      </c>
      <c r="K197" s="3">
        <f>1148+(1349.1-800.3)+(-0.58548+(-0.688041--0.408153))+0-429.4--0.218993999999956</f>
        <v>1266.7536259999999</v>
      </c>
      <c r="L197" s="3">
        <f>1148+(1061.4-432)+(0.58548+(0.541314-0.22032))+0-437.9-0.223328999999956</f>
        <v>1340.183145</v>
      </c>
      <c r="M197" s="3">
        <f>1147.9+(814.5-218)+(-0.585429+(-0.415395--0.11118))+0-412.8--0.210527999999958</f>
        <v>1330.9208840000001</v>
      </c>
      <c r="N197" s="3">
        <f>1167+(840.6-146.3)+(0.59517+(0.428706-0.074613))+0-400.3-0.204152999999959</f>
        <v>1461.7451100000001</v>
      </c>
      <c r="O197" s="3">
        <f>1405.1+(726.8-372)+(-1.433202+(-0.741336--0.37944))+0-425--0.433500000000068</f>
        <v>1333.5384019999999</v>
      </c>
      <c r="P197" s="3">
        <f>1625.9+(1064.9-665.3)+(-1.658418+(-1.086198--0.678606))+0-437--0.44574000000007</f>
        <v>1586.8797300000003</v>
      </c>
      <c r="Q197" s="3">
        <f>1649.3+(1142-685.9)+(0.841143+(0.58242-0.349809))+0-416.3-0.212312999999958</f>
        <v>1689.9614410000001</v>
      </c>
      <c r="R197" s="3">
        <f>1651.9+(1248.5-993.8)+(-0.842469+(-0.636735--0.506838))+0-434--0.221339999999956</f>
        <v>1471.8489740000002</v>
      </c>
      <c r="S197" s="3">
        <f>1654.9+(1459.3-1167.3)+(0.843999+(0.744243-0.595323))+0-433-0.220829999999956</f>
        <v>1514.6720890000001</v>
      </c>
      <c r="T197" s="3">
        <f>1656.3+(1559.1-1113.2)+(-2.534139+(-2.385423--1.703196))+0-397.4--0.608022000000023</f>
        <v>1702.1916559999997</v>
      </c>
      <c r="U197" s="3">
        <f>1654.2+(1648.5-1203.1)+(-4.21821+(-4.203675--3.067905))+0-381.2--0.972059999999945</f>
        <v>1714.0180800000005</v>
      </c>
      <c r="V197" s="3">
        <f>1655.3+(1367.9-1058)+(-2.532609+(-2.092887--1.61874))+0-377.1--0.576963000000022</f>
        <v>1585.6702070000001</v>
      </c>
      <c r="W197" s="3">
        <f>1671.1+(833.6-521.9)+(-4.261305+(-2.12568--1.330845))+0-378.4--0.964919999999945</f>
        <v>1600.3087799999998</v>
      </c>
      <c r="X197" s="3">
        <f>1720.3+(889.8-439.9)+(-1.754706+(-0.907596--0.448698))+0-383.3--0.390966000000061</f>
        <v>1785.077362</v>
      </c>
      <c r="Y197" s="3">
        <f>1798.1+(1076.5-698.4)+(-2.751093+(-1.647045--1.068552))+0-380.2--0.581706000000022</f>
        <v>1793.2521199999999</v>
      </c>
      <c r="Z197" s="3">
        <f>1871.7+(1382.8-1165.1)+(-3.818268+(-2.820912--2.376804))+0-374--0.762959999999984</f>
        <v>1711.900584</v>
      </c>
      <c r="AA197" s="3">
        <f>1847.9+(1621.4-1476.1)+(-3.769716+(-3.307656--3.011244))+0-378.5--0.772139999999984</f>
        <v>1611.4060120000004</v>
      </c>
      <c r="AB197" s="3">
        <f>1766+(1587-1391.6)+(-4.5033+(-4.04685--3.54858))+0-382.6--0.975629999999945</f>
        <v>1574.7740600000002</v>
      </c>
      <c r="AC197" s="3">
        <f>1673.7+(1637.9-1376.4)+(-2.560761+(-2.505987--2.105892))+0-410.9--0.628677000000024</f>
        <v>1521.967821</v>
      </c>
      <c r="AD197">
        <f t="shared" si="3"/>
        <v>36155.225129000006</v>
      </c>
      <c r="AE197" s="3">
        <f>1749+(958-508)+(0+(0-0))+0-393.5-0</f>
        <v>1805.5</v>
      </c>
    </row>
    <row r="198" spans="1:31" s="2" customFormat="1" x14ac:dyDescent="0.25">
      <c r="A198">
        <v>89</v>
      </c>
      <c r="B198">
        <v>7</v>
      </c>
      <c r="C198">
        <v>12</v>
      </c>
      <c r="D198">
        <v>3</v>
      </c>
      <c r="E198">
        <v>5</v>
      </c>
      <c r="F198" s="3">
        <f>1571.2+(1984.5-1690.8)+(-1.602624+(-2.02419--1.724616))+0-412.1--0.420342000000066</f>
        <v>1451.3181440000001</v>
      </c>
      <c r="G198" s="3">
        <f>1422.5+(1744.5-1392.4)+(-1.45095+(-1.77939--1.420248))+0-422.6--0.431052000000067</f>
        <v>1350.62096</v>
      </c>
      <c r="H198" s="3">
        <f>1403.7+(1672.2-1302.9)+(-3.579435+(-4.26411--3.322395))+0-423.2--1.07915999999994</f>
        <v>1346.3580099999999</v>
      </c>
      <c r="I198" s="3">
        <f>1228.5+(1525.4-1060.5)+(1.25307+(1.555908-1.08171))+0-420.5-0.428910000000067</f>
        <v>1274.1983580000001</v>
      </c>
      <c r="J198" s="3">
        <f>1196.9+(1521.8-1058.7)+(-0.610419+(-0.776118--0.539937))+0-423.2--0.215831999999957</f>
        <v>1236.1692319999997</v>
      </c>
      <c r="K198" s="3">
        <f>1188.2+(1470.3-960.1)+(-1.211964+(-1.499706--0.979302))+0-422.3--0.430746000000067</f>
        <v>1274.7983780000002</v>
      </c>
      <c r="L198" s="3">
        <f>1204.6+(1091.9-698.8)+(-2.457384+(-2.227476--1.425552))+0-405.3--0.826811999999982</f>
        <v>1189.9675040000002</v>
      </c>
      <c r="M198" s="3">
        <f>1222.8+(930.3-461.3)+(1.247256+(0.948906-0.470526))+0-380.6-0.388212000000061</f>
        <v>1312.5374239999999</v>
      </c>
      <c r="N198" s="3">
        <f>1270.2+(843.8-328.7)+(0+(0-0))+0-381.5-0</f>
        <v>1403.8</v>
      </c>
      <c r="O198" s="3">
        <f>1322.3+(739.3-284.2)+(-2.023119+(-1.131129--0.434826))+0-371.5--0.568395000000022</f>
        <v>1403.748973</v>
      </c>
      <c r="P198" s="3">
        <f>1468.9+(776.3-348.2)+(0+(0-0))+0-373.4-0</f>
        <v>1523.6</v>
      </c>
      <c r="Q198" s="3">
        <f>1691.8+(1121.5-939.2)+(0+(0-0))+0-378.6-0</f>
        <v>1495.5</v>
      </c>
      <c r="R198" s="3">
        <f>1746.1+(1689.2-1618.5)+(-1.781022+(-1.722984--1.65087))+0-360.8--0.368016000000058</f>
        <v>1454.5148800000002</v>
      </c>
      <c r="S198" s="3">
        <f>1712+(1922.7-1762)+(1.74624+(1.961154-1.79724))+0-360.1-0.367302000000057</f>
        <v>1514.1428519999999</v>
      </c>
      <c r="T198" s="3">
        <f>1700.5+(2027.3-1889.5)+(-2.601765+(-3.101769--2.890935))+0-361.8--0.553554000000021</f>
        <v>1474.240955</v>
      </c>
      <c r="U198" s="3">
        <f>1647.8+(1876.2-1592.9)+(-5.042268+(-5.741172--4.874274))+0-362.8--1.11016800000004</f>
        <v>1563.501002</v>
      </c>
      <c r="V198" s="3">
        <f>1638.2+(1150.5-853.1)+(-4.17741+(-2.933775--2.175405))+0-360--0.917999999999948</f>
        <v>1571.5822199999998</v>
      </c>
      <c r="W198" s="3">
        <f>1630.1+(855.2-675.2)+(0+(0-0))+0-363.1-0</f>
        <v>1447</v>
      </c>
      <c r="X198" s="3">
        <f>1668+(971.5-614.1)+(-2.55204+(-1.486395--0.939573))+0-360.6--0.551718000000021</f>
        <v>1662.2528559999998</v>
      </c>
      <c r="Y198" s="3">
        <f>1668.1+(1040.2-617.4)+(-2.552193+(-1.591506--0.944622))+0-359.6--0.550188000000021</f>
        <v>1728.6511109999999</v>
      </c>
      <c r="Z198" s="3">
        <f>1668.2+(1131.9-767.4)+(-2.552346+(-1.731807--1.174122))+0-365.4--0.559062000000021</f>
        <v>1664.7490310000005</v>
      </c>
      <c r="AA198" s="3">
        <f>1668.3+(1437.8-1149.6)+(-4.254165+(-3.66639--2.93148))+0-368.9--0.940694999999946</f>
        <v>1583.55162</v>
      </c>
      <c r="AB198" s="3">
        <f>1668.1+(1260.1-1028.5)+(-2.552193+(-1.927953--1.573605))+0-366--0.559980000000021</f>
        <v>1531.3534389999998</v>
      </c>
      <c r="AC198" s="3">
        <f>1601.3+(1213.3-1002.2)+(-2.449989+(-1.856349--1.533366))+0-405.4--0.620262000000023</f>
        <v>1404.8472899999997</v>
      </c>
      <c r="AD198">
        <f t="shared" si="3"/>
        <v>34863.004239000002</v>
      </c>
      <c r="AE198" s="3">
        <f>1711+(1072.5-648.5)+(0+(0-0))+0-362.2-0</f>
        <v>1772.8</v>
      </c>
    </row>
    <row r="199" spans="1:31" s="2" customFormat="1" x14ac:dyDescent="0.25">
      <c r="A199">
        <v>89</v>
      </c>
      <c r="B199">
        <v>7</v>
      </c>
      <c r="C199">
        <v>13</v>
      </c>
      <c r="D199">
        <v>4</v>
      </c>
      <c r="E199">
        <v>1</v>
      </c>
      <c r="F199" s="3">
        <f>1448.6+(1622.9-1454.4)+(0+(0-0))+0-436.6-0</f>
        <v>1180.5</v>
      </c>
      <c r="G199" s="3">
        <f>1258.6+(1710.5-1265.3)+(-0.641886+(-0.872355--0.645303))+0-435.8--0.222257999999956</f>
        <v>1267.3533199999999</v>
      </c>
      <c r="H199" s="3">
        <f>1225.8+(1576.7-1232.9)+(0.625158+(0.804117-0.628779))+0-393.5-0.20068499999996</f>
        <v>1176.699811</v>
      </c>
      <c r="I199" s="3">
        <f>1223.9+(1515.6-1120.6)+(2.496756+(3.091824-2.286024))+0-441.4-0.900455999999981</f>
        <v>1179.9021</v>
      </c>
      <c r="J199" s="3">
        <f>1224.8+(1327.8-992.6)+(-1.873944+(-2.031534--1.518678))+0-440.9--0.674577000000025</f>
        <v>1117.3877770000001</v>
      </c>
      <c r="K199" s="3">
        <f>1222.9+(1167.5-816.7)+(-1.871037+(-1.786275--1.249551))+0-435.5--0.666315000000025</f>
        <v>1136.458554</v>
      </c>
      <c r="L199" s="3">
        <f>1224+(910.2-352.3)+(0+(0-0))+0-419.8-0</f>
        <v>1362.1000000000001</v>
      </c>
      <c r="M199" s="3">
        <f>1222.7+(805.2-255.7)+(0.623577+(0.410652-0.130407))+0-406.7-0.207416999999959</f>
        <v>1366.1964050000001</v>
      </c>
      <c r="N199" s="3">
        <f>1225.6+(962-263.3)+(0+(0-0))+0-403.8-0</f>
        <v>1520.5</v>
      </c>
      <c r="O199" s="3">
        <f>1248.4+(941.9-248.3)+(-1.910052+(-1.441107--0.379899))+0-428.7--0.655911000000025</f>
        <v>1510.984651</v>
      </c>
      <c r="P199" s="3">
        <f>1387.5+(848.3-289.6)+(0.707625+(0.432633-0.147696))+0-422.3-0.215372999999957</f>
        <v>1524.6771889999998</v>
      </c>
      <c r="Q199" s="3">
        <f>1616.1+(1026-655)+(0+(0-0))+0-441.9-0</f>
        <v>1545.1999999999998</v>
      </c>
      <c r="R199" s="3">
        <f>1628.7+(1508.5-1104.8)+(-0.830637+(-0.769335--0.563448))+0-425.8--0.217157999999957</f>
        <v>1605.780634</v>
      </c>
      <c r="S199" s="3">
        <f>1628.7+(1845.3-1448.9)+(2.491911+(2.823309-2.216817))+0-415.6-0.635868000000024</f>
        <v>1611.9625349999999</v>
      </c>
      <c r="T199" s="3">
        <f>1628.3+(1906.9-1522.4)+(-0.830433+(-0.972519--0.776424))+0-404--0.206039999999959</f>
        <v>1607.9795119999999</v>
      </c>
      <c r="U199" s="3">
        <f>1626.7+(2056.1-1638.7)+(-3.318468+(-4.194444--3.342948))+0-401.6--0.819263999999983</f>
        <v>1639.1492999999998</v>
      </c>
      <c r="V199" s="3">
        <f>1627.7+(1707.7-1345.6)+(-2.490381+(-2.612781--2.058768))+0-400.6--0.612918000000023</f>
        <v>1586.7685240000003</v>
      </c>
      <c r="W199" s="3">
        <f>1632.2+(1295.1-925.7)+(-2.497266+(-1.981503--1.416321))+0-397.2--0.607716000000023</f>
        <v>1601.9452679999999</v>
      </c>
      <c r="X199" s="3">
        <f>1644.5+(1628.6-1083.5)+(0.838695+(0.830586-0.552585))+0-400.1-0.204050999999959</f>
        <v>1790.4126450000001</v>
      </c>
      <c r="Y199" s="3">
        <f>1644.9+(1796.4-1262.7)+(-3.355596+(-3.664656--2.575908))+0-399.4--0.814775999999983</f>
        <v>1775.5704320000002</v>
      </c>
      <c r="Z199" s="3">
        <f>1644.5+(1955.7-1507.6)+(0.838695+(0.997407-0.768876))+0-396.7-0.20231699999996</f>
        <v>1696.7649090000004</v>
      </c>
      <c r="AA199" s="3">
        <f>1644.7+(2139.1-1735.5)+(-2.516391+(-3.272823--2.655315))+0-396.9--0.607257000000023</f>
        <v>1648.8733580000003</v>
      </c>
      <c r="AB199" s="3">
        <f>1644.6+(1872.9-1583)+(-3.354984+(-3.820716--3.22932))+0-390.3--0.796211999999983</f>
        <v>1541.0498319999999</v>
      </c>
      <c r="AC199" s="3">
        <f>1518.6+(2042.5-1669.2)+(-1.548972+(-2.08335--1.702584))+0-424.6--0.433092000000068</f>
        <v>1465.8033539999999</v>
      </c>
      <c r="AD199">
        <f t="shared" si="3"/>
        <v>35460.020110000005</v>
      </c>
      <c r="AE199" s="3">
        <f>1718+(1669.5-1145.1)+(0+(0-0))+0-403.4-0</f>
        <v>1839</v>
      </c>
    </row>
    <row r="200" spans="1:31" s="2" customFormat="1" x14ac:dyDescent="0.25">
      <c r="A200">
        <v>89</v>
      </c>
      <c r="B200">
        <v>7</v>
      </c>
      <c r="C200">
        <v>14</v>
      </c>
      <c r="D200">
        <v>5</v>
      </c>
      <c r="E200">
        <v>1</v>
      </c>
      <c r="F200" s="3">
        <f>1406+(2086.2-1694.3)+(-1.43412+(-2.127924--1.728186))+0-425.4--0.433908000000068</f>
        <v>1371.10005</v>
      </c>
      <c r="G200" s="3">
        <f>1315.2+(2109.8-1685.2)+(-0.670752+(-1.075998--0.859452))+0-434--0.221339999999956</f>
        <v>1305.1340420000001</v>
      </c>
      <c r="H200" s="3">
        <f>1285.8+(2331-1902.6)+(-1.967274+(-3.56643--2.910978))+0-432.3--0.661419000000025</f>
        <v>1279.9386930000001</v>
      </c>
      <c r="I200" s="3">
        <f>1284.9+(2463.1-2045.3)+(-1.310598+(-2.512362--2.086206))+0-433.6--0.442272000000069</f>
        <v>1267.8055179999999</v>
      </c>
      <c r="J200" s="3">
        <f>1279.9+(2014.6-1614.3)+(-0.652749+(-1.027446--0.823293))+0-426.4--0.217463999999957</f>
        <v>1253.1605620000003</v>
      </c>
      <c r="K200" s="3">
        <f>1280+(1862-1461.3)+(-2.6112+(-3.79848--2.981052))+0-424.7--0.866387999999981</f>
        <v>1253.43776</v>
      </c>
      <c r="L200" s="3">
        <f>1279+(1396.1-994.8)+(-0.65229+(-0.712011--0.507348))+0-426.9--0.217718999999957</f>
        <v>1252.7607660000001</v>
      </c>
      <c r="M200" s="3">
        <f>1280.3+(990.9-500.7)+(0.652953+(0.505359-0.255357))+0-432.8-0.220727999999956</f>
        <v>1338.3822270000001</v>
      </c>
      <c r="N200" s="3">
        <f>1280.5+(961-339.1)+(1.30611+(0.98022-0.345882))+0-429.3-0.437886000000068</f>
        <v>1474.602562</v>
      </c>
      <c r="O200" s="3">
        <f>1284.2+(1206.8-539.6)+(-0.654942+(-0.615468--0.275196))+0-441.8--0.225317999999955</f>
        <v>1508.8301040000001</v>
      </c>
      <c r="P200" s="3">
        <f>1434+(1559.3-1052.6)+(-2.19402+(-2.385729--1.610478))+0-421.4--0.644742000000024</f>
        <v>1516.9754710000002</v>
      </c>
      <c r="Q200" s="3">
        <f>1595.1+(1703.5-1253.2)+(0+(0-0))+0-421.1-0</f>
        <v>1624.2999999999997</v>
      </c>
      <c r="R200" s="3">
        <f>1651.8+(1915.5-1578.7)+(0.842418+(0.976905-0.805137))+0-425.7-0.217106999999957</f>
        <v>1563.697079</v>
      </c>
      <c r="S200" s="3">
        <f>1650.8+(2174.6-1858.2)+(0.841908+(1.109046-0.947682))+0-423-0.215729999999957</f>
        <v>1544.9875419999998</v>
      </c>
      <c r="T200" s="3">
        <f>1650.8+(2019.3-1722.9)+(-4.20954+(-5.149215--4.393395))+0-390--0.994499999999943</f>
        <v>1553.2291399999999</v>
      </c>
      <c r="U200" s="3">
        <f>1651.1+(2081.2-1799.8)+(-1.684122+(-2.122824--1.835796))+0-377.2--0.38474400000006</f>
        <v>1553.7135939999996</v>
      </c>
      <c r="V200" s="3">
        <f>1649.8+(1850.4-1553)+(-3.365592+(-3.774816--3.16812))+0-383.1--0.781523999999983</f>
        <v>1560.909236</v>
      </c>
      <c r="W200" s="3">
        <f>1693.9+(1497.7-1219)+(-0.863889+(-0.763827--0.62169))+0-388.8--0.198287999999961</f>
        <v>1582.9922620000002</v>
      </c>
      <c r="X200" s="3">
        <f>1742.3+(1353.1-941.1)+(-1.777146+(-1.380162--0.959922))+0-395.8--0.403716000000063</f>
        <v>1756.70633</v>
      </c>
      <c r="Y200" s="3">
        <f>1740.2+(1521.5-1130.9)+(-3.550008+(-3.10386--2.307036))+0-394.5--0.804779999999983</f>
        <v>1732.7579479999999</v>
      </c>
      <c r="Z200" s="3">
        <f>1740.5+(1117.9-766)+(-1.77531+(-1.140258--0.78132))+0-391.3--0.399126000000062</f>
        <v>1699.3648780000003</v>
      </c>
      <c r="AA200" s="3">
        <f>1737.9+(1607.7-1311.7)+(-6.204303+(-5.739489--4.682769))+0-392--1.39944000000001</f>
        <v>1636.038417</v>
      </c>
      <c r="AB200" s="3">
        <f>1696.9+(1806.2-1548.9)+(-1.730838+(-1.842324--1.579878))+0-384.3--0.391986000000061</f>
        <v>1568.2987020000003</v>
      </c>
      <c r="AC200" s="3">
        <f>1469.8+(1801.3-1396.2)+(-2.998392+(-3.674652--2.848248))+0-435.3--0.888011999999981</f>
        <v>1436.6632159999997</v>
      </c>
      <c r="AD200">
        <f t="shared" si="3"/>
        <v>35635.786099000004</v>
      </c>
      <c r="AE200" s="3">
        <f>1738+(1304.3-926.3)+(0+(0-0))+0-398.3-0</f>
        <v>1717.7</v>
      </c>
    </row>
    <row r="201" spans="1:31" s="2" customFormat="1" x14ac:dyDescent="0.25">
      <c r="A201">
        <v>89</v>
      </c>
      <c r="B201">
        <v>7</v>
      </c>
      <c r="C201">
        <v>15</v>
      </c>
      <c r="D201">
        <v>6</v>
      </c>
      <c r="E201">
        <v>1</v>
      </c>
      <c r="F201" s="3">
        <f>1277.1+(2048.5-1558.8)+(-1.953963+(-3.134205--2.384964))+0-425.3--0.650709000000025</f>
        <v>1339.4475050000001</v>
      </c>
      <c r="G201" s="3">
        <f>1241+(2167.6-1690.5)+(-0.63291+(-1.105476--0.862155))+0-436.9--0.222818999999956</f>
        <v>1280.5465879999999</v>
      </c>
      <c r="H201" s="3">
        <f>1238.5+(2031.6-1573.2)+(-1.894905+(-3.108348--2.406996))+0-439.2--0.671976000000025</f>
        <v>1255.775719</v>
      </c>
      <c r="I201" s="3">
        <f>1239.5+(1914.4-1477.1)+(-3.160725+(-4.88172--3.766605))+0-439.4--1.12046999999994</f>
        <v>1234.2446300000001</v>
      </c>
      <c r="J201" s="3">
        <f>1238.4+(2017-1587.3)+(-0.631584+(-1.02867--0.809523))+0-433.9--0.221288999999956</f>
        <v>1233.5705580000001</v>
      </c>
      <c r="K201" s="3">
        <f>1238.4+(1810.6-1380)+(-1.894752+(-2.770218--2.1114))+0-429.1--0.656523000000025</f>
        <v>1238.0029530000002</v>
      </c>
      <c r="L201" s="3">
        <f>1241.1+(1243.7-814)+(1.265922+(1.268574-0.83028))+0-438-0.44676000000007</f>
        <v>1234.057456</v>
      </c>
      <c r="M201" s="3">
        <f>1240.2+(1215.9-704.5)+(0.632502+(0.620109-0.359295))+0-438.8-0.223787999999955</f>
        <v>1313.4695280000001</v>
      </c>
      <c r="N201" s="3">
        <f>1236.7+(1583.6-946.3)+(-0.630717+(-0.807636--0.482613))+0-419.9--0.214148999999957</f>
        <v>1453.3584089999999</v>
      </c>
      <c r="O201" s="3">
        <f>1267.9+(1658.3-987)+(0+(0-0))+0-436.5-0</f>
        <v>1502.7</v>
      </c>
      <c r="P201" s="3">
        <f>1440.7+(1516.6-989.3)+(-0.734757+(-0.773466--0.504543))+0-426.5--0.217514999999957</f>
        <v>1540.713835</v>
      </c>
      <c r="Q201" s="3">
        <f>1611.1+(1737-1362.7)+(-0.821661+(-0.88587--0.694977))+0-418.2--0.213281999999958</f>
        <v>1566.4007279999998</v>
      </c>
      <c r="R201" s="3">
        <f>1637+(2211.5-1903.8)+(-2.50461+(-3.383595--2.912814))+0-411.4--0.629442000000024</f>
        <v>1530.9540510000002</v>
      </c>
      <c r="S201" s="3">
        <f>1640+(2401.1-2150.2)+(-1.6728+(-2.449122--2.193204))+0-400.1--0.408102000000064</f>
        <v>1489.2793840000002</v>
      </c>
      <c r="T201" s="3">
        <f>1640.8+(2457.7-2208.4)+(-3.347232+(-5.013708--4.505136))+0-377.2--0.769487999999984</f>
        <v>1509.8136839999995</v>
      </c>
      <c r="U201" s="3">
        <f>1635+(2169.7-1926.4)+(-5.83695+(-7.745829--6.877248))+0-384.3--1.37195100000001</f>
        <v>1488.6664199999998</v>
      </c>
      <c r="V201" s="3">
        <f>1640.8+(1786.7-1570.2)+(-1.673616+(-1.822434--1.601604))+0-393.5--0.401370000000063</f>
        <v>1462.306924</v>
      </c>
      <c r="W201" s="3">
        <f>1673.6+(1333.8-1084.8)+(-1.707072+(-1.360476--1.106496))+0-395.1--0.403002000000063</f>
        <v>1525.9419499999999</v>
      </c>
      <c r="X201" s="3">
        <f>1674.6+(1370.9-922.9)+(-2.562138+(-2.097477--1.412037))+0-394.5--0.603585000000023</f>
        <v>1725.456007</v>
      </c>
      <c r="Y201" s="3">
        <f>1678.8+(1498.5-1047.3)+(-2.568564+(-2.292705--1.602369))+0-392.9--0.601137000000023</f>
        <v>1734.4422370000002</v>
      </c>
      <c r="Z201" s="3">
        <f>1664.2+(1272.9-875)+(0.848742+(0.649179-0.44625))+0-387.8-0.197777999999961</f>
        <v>1675.1538930000006</v>
      </c>
      <c r="AA201" s="3">
        <f>1517.2+(1305.5-827.4)+(-3.095088+(-2.66322--1.687896))+0-391.3--0.798251999999983</f>
        <v>1600.7278400000002</v>
      </c>
      <c r="AB201" s="3">
        <f>1467.6+(1583.6-1137.9)+(-1.496952+(-1.615272--1.160658))+0-389.6--0.397392000000062</f>
        <v>1522.1458259999997</v>
      </c>
      <c r="AC201" s="3">
        <f>1415.1+(1590.6-1202.6)+(-2.886804+(-3.244824--2.453304))+0-392--0.799679999999983</f>
        <v>1408.221356</v>
      </c>
      <c r="AD201">
        <f t="shared" si="3"/>
        <v>34865.397481000007</v>
      </c>
      <c r="AE201" s="3">
        <f>1683+(1365.3-869.9)+(0+(0-0))+0-396.1-0</f>
        <v>1782.3000000000002</v>
      </c>
    </row>
    <row r="202" spans="1:31" s="2" customFormat="1" x14ac:dyDescent="0.25">
      <c r="A202">
        <v>89</v>
      </c>
      <c r="B202">
        <v>7</v>
      </c>
      <c r="C202">
        <v>16</v>
      </c>
      <c r="D202">
        <v>7</v>
      </c>
      <c r="E202">
        <v>1</v>
      </c>
      <c r="F202" s="3">
        <f>1246.7+(1917-1450.8)+(-1.907451+(-2.93301--2.219724))+0-391.8--0.599454000000023</f>
        <v>1319.0787170000001</v>
      </c>
      <c r="G202" s="3">
        <f>1224+(2154.2-1726.9)+(-0.62424+(-1.098642--0.880719))+0-391.3--0.19956299999996</f>
        <v>1259.3573999999996</v>
      </c>
      <c r="H202" s="3">
        <f>1223.9+(1992.9-1597.1)+(0+(0-0))+0-394.9-0</f>
        <v>1224.8000000000002</v>
      </c>
      <c r="I202" s="3">
        <f>1225.1+(1898.4-1515.5)+(0.624801+(0.968184-0.772905))+0-395.8-0.20185799999996</f>
        <v>1212.8182220000001</v>
      </c>
      <c r="J202" s="3">
        <f>1223.8+(1472.6-1106.8)+(0+(0-0))+0-399.3-0</f>
        <v>1190.3</v>
      </c>
      <c r="K202" s="3">
        <f>1210.7+(1345.9-979.4)+(-3.087285+(-3.432045--2.49747))+0-395.6--1.00877999999994</f>
        <v>1178.58692</v>
      </c>
      <c r="L202" s="3">
        <f>1172.5+(1500-1160.2)+(-2.989875+(-3.825--2.95851))+0-364.6--0.929729999999947</f>
        <v>1144.7733649999996</v>
      </c>
      <c r="M202" s="3">
        <f>1175.8+(1297.7-931.4)+(1.798974+(1.985481-1.425042))+0-378.7-0.579411000000022</f>
        <v>1165.1800019999998</v>
      </c>
      <c r="N202" s="3">
        <f>1153.7+(1776.6-1270.9)+(-1.176774+(-1.812132--1.296318))+0-394.1--0.401982000000063</f>
        <v>1264.0093939999999</v>
      </c>
      <c r="O202" s="3">
        <f>1115.5+(1724.3-1124.9)+(-1.13781+(-1.758786--1.147398))+0-385.5--0.393210000000061</f>
        <v>1328.0440119999998</v>
      </c>
      <c r="P202" s="3">
        <f>1116.5+(1689-1056.3)+(-1.708245+(-2.58417--1.616139))+0-370.6--0.567018000000021</f>
        <v>1376.4907420000002</v>
      </c>
      <c r="Q202" s="3">
        <f>1118.2+(2183.1-1521.9)+(-0.570282+(-1.113381--0.776169))+0-385.9--0.196808999999961</f>
        <v>1392.789315</v>
      </c>
      <c r="R202" s="3">
        <f>1117+(2414.8-1765.2)+(-1.70901+(-3.694644--2.700756))+0-388.6--0.594558000000022</f>
        <v>1375.89166</v>
      </c>
      <c r="S202" s="3">
        <f>1119.8+(2750.4-2125.5)+(0+(0-0))+0-387.7-0</f>
        <v>1357</v>
      </c>
      <c r="T202" s="3">
        <f>1117.7+(2703-2079.4)+(-1.710081+(-4.13559--3.181482))+0-395.3--0.604809000000023</f>
        <v>1343.9406199999999</v>
      </c>
      <c r="U202" s="3">
        <f>1116.5+(2430.7-1790.8)+(-2.27766+(-4.958628--3.653232))+0-397.5--0.810899999999983</f>
        <v>1356.1278439999999</v>
      </c>
      <c r="V202" s="3">
        <f>1116.2+(2055.9-1384.9)+(-2.277048+(-4.194036--2.825196))+0-390--0.795599999999983</f>
        <v>1394.349712</v>
      </c>
      <c r="W202" s="3">
        <f>1280.8+(1354.1-869.9)+(-3.26604+(-3.452955--2.218245))+0-384.2--0.979709999999944</f>
        <v>1377.2789599999999</v>
      </c>
      <c r="X202" s="3">
        <f>1529.3+(1201.8-693.2)+(-3.119772+(-2.451672--1.414128))+0-393.4--0.802535999999983</f>
        <v>1641.1452199999997</v>
      </c>
      <c r="Y202" s="3">
        <f>1647.3+(1282.7-854.8)+(-1.680246+(-1.308354--0.871896))+0-395.3--0.403206000000063</f>
        <v>1678.1865019999998</v>
      </c>
      <c r="Z202" s="3">
        <f>1522.4+(1456.4-964)+(-2.329272+(-2.228292--1.47492))+0-389--0.595170000000023</f>
        <v>1623.3125260000002</v>
      </c>
      <c r="AA202" s="3">
        <f>1511.2+(1675-1217.6)+(-2.312136+(-2.56275--1.862928))+0-392.7--0.600831000000023</f>
        <v>1573.488873</v>
      </c>
      <c r="AB202" s="3">
        <f>1497.5+(1887.6-1507.2)+(-3.818625+(-4.81338--3.84336))+0-393.3--1.00291499999994</f>
        <v>1480.8142699999999</v>
      </c>
      <c r="AC202" s="3">
        <f>1470.9+(2065.3-1768.9)+(-1.500318+(-2.106606--1.804278))+0-398.6--0.406572000000064</f>
        <v>1367.3039260000003</v>
      </c>
      <c r="AD202">
        <f t="shared" si="3"/>
        <v>32625.068201999999</v>
      </c>
      <c r="AE202" s="3">
        <f>1637+(1191-765.5)+(0+(0-0))+0-395.3-0</f>
        <v>1667.2</v>
      </c>
    </row>
    <row r="203" spans="1:31" s="2" customFormat="1" x14ac:dyDescent="0.25">
      <c r="A203">
        <v>89</v>
      </c>
      <c r="B203">
        <v>7</v>
      </c>
      <c r="C203">
        <v>17</v>
      </c>
      <c r="D203">
        <v>1</v>
      </c>
      <c r="E203">
        <v>1</v>
      </c>
      <c r="F203" s="3">
        <f>1360.2+(2430.2-2137.4)+(-3.46851+(-6.19701--5.45037))+0-401.5--1.02382499999994</f>
        <v>1248.3086749999998</v>
      </c>
      <c r="G203" s="3">
        <f>1183+(2603.9-2215.2)+(-3.01665+(-6.639945--5.64876))+0-399--1.01744999999994</f>
        <v>1169.7096150000004</v>
      </c>
      <c r="H203" s="3">
        <f>1183.2+(2494.1-2138)+(-0.603432+(-1.271991--1.09038))+0-398.4--0.20318399999996</f>
        <v>1140.3181409999997</v>
      </c>
      <c r="I203" s="3">
        <f>1183.1+(2114.5-1798.4)+(-2.413524+(-4.31358--3.668736))+0-399.3--0.814571999999983</f>
        <v>1097.6562039999999</v>
      </c>
      <c r="J203" s="3">
        <f>1183.8+(1714.9-1368.5)+(-0.603738+(-0.874599--0.697935))+0-399.7--0.203846999999959</f>
        <v>1129.9234449999999</v>
      </c>
      <c r="K203" s="3">
        <f>1185.7+(1464.7-1107)+(0+(0-0))+0-398.1-0</f>
        <v>1145.3000000000002</v>
      </c>
      <c r="L203" s="3">
        <f>1183.9+(1212.5-791.1)+(0.603789+(0.618375-0.403461))+0-396.3-0.20211299999996</f>
        <v>1209.6165900000001</v>
      </c>
      <c r="M203" s="3">
        <f>1194.2+(1329.4-830.9)+(-0.609042+(-0.677994--0.423759))+0-399.9--0.203948999999959</f>
        <v>1292.1406720000002</v>
      </c>
      <c r="N203" s="3">
        <f>1281+(1213.3-609.4)+(-0.65331+(-0.618783--0.310794))+0-399.2--0.20359199999996</f>
        <v>1484.9422930000001</v>
      </c>
      <c r="O203" s="3">
        <f>1286.4+(1505.7-885.4)+(-1.312128+(-1.535814--0.903108))+0-380.8--0.388416000000061</f>
        <v>1524.3435820000004</v>
      </c>
      <c r="P203" s="3">
        <f>1485+(1410.8-966.1)+(-0.75735+(-0.719508--0.492711))+0-370.3--0.188852999999962</f>
        <v>1558.6047059999999</v>
      </c>
      <c r="Q203" s="3">
        <f>1582.7+(1443.3-1033.3)+(-1.614354+(-1.472166--1.053966))+0-364.2--0.371484000000058</f>
        <v>1626.8389300000001</v>
      </c>
      <c r="R203" s="3">
        <f>1499.5+(1822-1390)+(-0.764745+(-0.92922--0.7089))+0-371.2--0.189311999999962</f>
        <v>1559.5042469999999</v>
      </c>
      <c r="S203" s="3">
        <f>1500+(2100.5-1667.8)+(-1.53+(-2.14251--1.701156))+0-370.5--0.377910000000059</f>
        <v>1560.6065560000002</v>
      </c>
      <c r="T203" s="3">
        <f>1504+(2223-1851.6)+(-1.53408+(-2.26746--1.888632))+0-373.2--0.38066400000006</f>
        <v>1500.6677560000001</v>
      </c>
      <c r="U203" s="3">
        <f>1564.2+(2292.7-1991.2)+(-3.190968+(-4.677108--4.062048))+0-362.9--0.740315999999984</f>
        <v>1499.7342879999997</v>
      </c>
      <c r="V203" s="3">
        <f>1627.7+(2004-1674.7)+(-4.980762+(-6.13224--5.124582))+0-372.5--1.13985000000004</f>
        <v>1579.6514300000001</v>
      </c>
      <c r="W203" s="3">
        <f>1661.6+(1261.7-956.9)+(-1.694832+(-1.286934--0.976038))+0-365.5--0.372810000000058</f>
        <v>1599.2670820000001</v>
      </c>
      <c r="X203" s="3">
        <f>1693.9+(1068.7-592.1)+(-2.591667+(-1.635111--0.905913))+0-368.2--0.563346000000021</f>
        <v>1799.5424809999997</v>
      </c>
      <c r="Y203" s="3">
        <f>1693.9+(1413.2-985.8)+(-4.319445+(-3.60366--2.51379))+0-366.1--0.933554999999947</f>
        <v>1750.7242400000002</v>
      </c>
      <c r="Z203" s="3">
        <f>1692.9+(1804.5-1368.8)+(-2.590137+(-2.760885--2.094264))+0-375.6--0.574668000000022</f>
        <v>1750.3179100000004</v>
      </c>
      <c r="AA203" s="3">
        <f>1695.1+(2160.3-1775.3)+(-4.322505+(-5.508765--4.527015))+0-372--0.948599999999946</f>
        <v>1703.7443450000003</v>
      </c>
      <c r="AB203" s="3">
        <f>1678.6+(2125.3-1808.4)+(-4.28043+(-5.419515--4.61142))+0-384.1--0.979454999999944</f>
        <v>1607.2909299999999</v>
      </c>
      <c r="AC203" s="3">
        <f>1427.1+(1702.1-1268.9)+(0+(0-0))+0-393.1-0</f>
        <v>1467.1999999999998</v>
      </c>
      <c r="AD203">
        <f t="shared" si="3"/>
        <v>35005.954117999994</v>
      </c>
      <c r="AE203" s="3">
        <f>1693+(1252.4-848.9)+(0+(0-0))+0-364.8-0</f>
        <v>1731.7</v>
      </c>
    </row>
    <row r="204" spans="1:31" s="2" customFormat="1" x14ac:dyDescent="0.25">
      <c r="A204">
        <v>89</v>
      </c>
      <c r="B204">
        <v>7</v>
      </c>
      <c r="C204">
        <v>18</v>
      </c>
      <c r="D204">
        <v>2</v>
      </c>
      <c r="E204">
        <v>1</v>
      </c>
      <c r="F204" s="3">
        <f>1235.6+(2192.3-1714.5)+(0+(0-0))+0-400.4-0</f>
        <v>1313</v>
      </c>
      <c r="G204" s="3">
        <f>1230.9+(2082.3-1655.8)+(0+(0-0))+0-405.2-0</f>
        <v>1252.2000000000003</v>
      </c>
      <c r="H204" s="3">
        <f>1230.6+(2108.9-1767.5)+(0+(0-0))+0-406.5-0</f>
        <v>1165.5</v>
      </c>
      <c r="I204" s="3">
        <f>1234.6+(1872.4-1493.3)+(0+(0-0))+0-401.3-0</f>
        <v>1212.4000000000001</v>
      </c>
      <c r="J204" s="3">
        <f>1233+(1690.9-1313.3)+(0+(0-0))+0-403.3-0</f>
        <v>1207.3000000000002</v>
      </c>
      <c r="K204" s="3">
        <f>1228.5+(1543.1-1209.9)+(0+(0-0))+0-401.8-0</f>
        <v>1159.8999999999999</v>
      </c>
      <c r="L204" s="3">
        <f>1231.8+(992.3-654.2)+(0+(0-0))+0-397-0</f>
        <v>1172.8999999999999</v>
      </c>
      <c r="M204" s="3">
        <f>1231.2+(845.7-294.3)+(0+(0-0))+0-403.1-0</f>
        <v>1379.5</v>
      </c>
      <c r="N204" s="3">
        <f>1228.6+(864.4-264.4)+(0+(0-0))+0-391.6-0</f>
        <v>1437</v>
      </c>
      <c r="O204" s="3">
        <f>1275.6+(1239.4-599.9)+(0+(0-0))+0-378.8-0</f>
        <v>1536.3</v>
      </c>
      <c r="P204" s="3">
        <f>1494.5+(1192.1-760.7)+(0+(0-0))+0-381.2-0</f>
        <v>1544.6999999999998</v>
      </c>
      <c r="Q204" s="3">
        <f>1636.8+(1422.8-1094.2)+(0+(0-0))+0-385.7-0</f>
        <v>1579.6999999999998</v>
      </c>
      <c r="R204" s="3">
        <f>1638.7+(1907.6-1620.4)+(-0.835737+(-0.972876--0.826404))+0-383.7--0.195686999999961</f>
        <v>1541.4134779999997</v>
      </c>
      <c r="S204" s="3">
        <f>1640.7+(2082.7-1823.4)+(-1.673514+(-2.124354--1.859868))+0-383.1--0.390762000000061</f>
        <v>1515.3527619999995</v>
      </c>
      <c r="T204" s="3">
        <f>1580.5+(2126.4-1638.6)+(-1.61211+(-2.168928--1.671372))+0-383.3--0.390966000000061</f>
        <v>1683.2813000000006</v>
      </c>
      <c r="U204" s="3">
        <f>1396.4+(2104.2-1544.7)+(-2.848656+(-4.292568--3.151188))+0-405.7--0.827627999999982</f>
        <v>1547.0375919999999</v>
      </c>
      <c r="V204" s="3">
        <f>1429.5+(1918.6-1475.4)+(-2.187135+(-2.935458--2.257362))+0-381.9--0.584307000000022</f>
        <v>1488.519076</v>
      </c>
      <c r="W204" s="3">
        <f>1459.7+(1473.2-1020.9)+(0+(0-0))+0-382.1-0</f>
        <v>1529.9</v>
      </c>
      <c r="X204" s="3">
        <f>1485.3+(1385.7-640.8)+(-0.757503+(-0.706707--0.326808))+0-386.9--0.197318999999961</f>
        <v>1842.3599169999998</v>
      </c>
      <c r="Y204" s="3">
        <f>1552.6+(1736.4-1106.2)+(-2.375478+(-2.656692--1.692486))+0-388.5--0.594405000000023</f>
        <v>1791.5547210000002</v>
      </c>
      <c r="Z204" s="3">
        <f>1575.2+(1974.3-1441.8)+(-4.820112+(-6.041358--4.411908))+0-392.7--1.20166200000005</f>
        <v>1709.7520999999999</v>
      </c>
      <c r="AA204" s="3">
        <f>1574.1+(2173.1-1702.6)+(-1.605582+(-2.216562--1.736652))+0-410--0.418200000000065</f>
        <v>1632.932708</v>
      </c>
      <c r="AB204" s="3">
        <f>1566.1+(2198.9-1829.9)+(-4.792266+(-6.728634--5.599494))+0-410.3--1.25551800000005</f>
        <v>1520.134112</v>
      </c>
      <c r="AC204" s="3">
        <f>1545.2+(2325.1-2079)+(-3.94026+(-5.929005--5.30145))+0-368.7--0.940184999999946</f>
        <v>1418.9723699999997</v>
      </c>
      <c r="AD204">
        <f t="shared" si="3"/>
        <v>35181.61013600001</v>
      </c>
      <c r="AE204" s="3">
        <f>1503+(1514.7-840.7)+(0+(0-0))+0-386.6-0</f>
        <v>1790.4</v>
      </c>
    </row>
    <row r="205" spans="1:31" s="2" customFormat="1" x14ac:dyDescent="0.25">
      <c r="A205">
        <v>89</v>
      </c>
      <c r="B205">
        <v>7</v>
      </c>
      <c r="C205">
        <v>19</v>
      </c>
      <c r="D205">
        <v>3</v>
      </c>
      <c r="E205">
        <v>1</v>
      </c>
      <c r="F205" s="3">
        <f>1335+(2366.9-1917)+(0.68085+(1.207119-0.97767))+0-418.7-0.213536999999958</f>
        <v>1366.8967620000001</v>
      </c>
      <c r="G205" s="3">
        <f>1233.7+(2393.6-1884.2)+(-2.516748+(-4.882944--3.843768))+0-429.5--0.876179999999981</f>
        <v>1310.9202559999999</v>
      </c>
      <c r="H205" s="3">
        <f>1133.8+(2186-1604.8)+(-2.312952+(-4.45944--3.273792))+0-433.1--0.883523999999981</f>
        <v>1279.2849240000003</v>
      </c>
      <c r="I205" s="3">
        <f>1129.3+(1978.9-1409)+(-1.151886+(-2.018478--1.43718))+0-434.6--0.443292000000069</f>
        <v>1263.3101080000004</v>
      </c>
      <c r="J205" s="3">
        <f>1134.5+(1756.5-1203.1)+(-1.15719+(-1.79163--1.227162))+0-440.1--0.44890200000007</f>
        <v>1246.5272440000003</v>
      </c>
      <c r="K205" s="3">
        <f>1133.9+(1764.8-1199)+(0.578289+(0.900048-0.61149))+0-438.5-0.223634999999956</f>
        <v>1261.843212</v>
      </c>
      <c r="L205" s="3">
        <f>1133+(1452.3-898.9)+(-1.15566+(-1.481346--0.916878))+0-435.3--0.444006000000069</f>
        <v>1249.8238780000004</v>
      </c>
      <c r="M205" s="3">
        <f>1132+(1310.2-676.4)+(0.57732+(0.668202-0.344964))+0-439.1-0.223940999999955</f>
        <v>1327.3766170000001</v>
      </c>
      <c r="N205" s="3">
        <f>1155.2+(1206.1-468.8)+(-0.589152+(-0.615111--0.239088))+0-432.1--0.220370999999956</f>
        <v>1459.6551959999997</v>
      </c>
      <c r="O205" s="3">
        <f>1263.9+(1439.6-729.6)+(0+(0-0))+0-432.7-0</f>
        <v>1541.2</v>
      </c>
      <c r="P205" s="3">
        <f>1395.5+(1469.8-840.2)+(0+(0-0))+0-432.6-0</f>
        <v>1592.5</v>
      </c>
      <c r="Q205" s="3">
        <f>1518.2+(1504.1-969.7)+(0+(0-0))+0-423.5-0</f>
        <v>1629.1</v>
      </c>
      <c r="R205" s="3">
        <f>1490.2+(2115.1-1632.6)+(-1.520004+(-2.157402--1.665252))+0-432.9--0.441558000000069</f>
        <v>1538.2294040000002</v>
      </c>
      <c r="S205" s="3">
        <f>1468.4+(2591.3-2058.1)+(0+(0-0))+0-438.7-0</f>
        <v>1562.9000000000003</v>
      </c>
      <c r="T205" s="3">
        <f>1392.5+(2554.4-1967.4)+(-1.42035+(-2.605488--2.006748))+0-430.9--0.439518000000069</f>
        <v>1547.0204280000003</v>
      </c>
      <c r="U205" s="3">
        <f>1378.8+(2780.7-2162.4)+(-2.812752+(-5.672628--4.411296))+0-415.6--0.847823999999982</f>
        <v>1578.2737399999996</v>
      </c>
      <c r="V205" s="3">
        <f>1367.2+(2529-1902.9)+(-2.789088+(-5.15916--3.881916))+0-404--0.824159999999982</f>
        <v>1586.0578279999997</v>
      </c>
      <c r="W205" s="3">
        <f>1382.9+(1913.3-1269.4)+(1.410558+(1.951566-1.294788))+0-401.7-0.409734000000064</f>
        <v>1626.7576019999999</v>
      </c>
      <c r="X205" s="3">
        <f>1417.6+(1611.7-828)+(-2.168928+(-2.465901--1.26684))+0-401.4--0.614142000000023</f>
        <v>1797.1461530000004</v>
      </c>
      <c r="Y205" s="3">
        <f>1469+(1827.8-1112.9)+(-2.99676+(-3.728712--2.270316))+0-402.7--0.821507999999982</f>
        <v>1777.5663519999996</v>
      </c>
      <c r="Z205" s="3">
        <f>1504.6+(2224.2-1607.6)+(-2.302038+(-3.403026--2.459628))+0-401.9--0.614907000000023</f>
        <v>1716.6694709999997</v>
      </c>
      <c r="AA205" s="3">
        <f>1504.4+(2681-2102.6)+(-1.534488+(-2.73462--2.144652))+0-401--0.409020000000064</f>
        <v>1680.0845640000002</v>
      </c>
      <c r="AB205" s="3">
        <f>1504.9+(2839.5-2367.1)+(-1.534998+(-2.89629--2.414442))+0-401.8--0.409836000000064</f>
        <v>1573.8929900000003</v>
      </c>
      <c r="AC205" s="3">
        <f>1356.3+(2722.4-2204)+(-0.691713+(-1.388424--1.12404))+0-423.2--0.215831999999957</f>
        <v>1450.7597349999999</v>
      </c>
      <c r="AD205">
        <f t="shared" si="3"/>
        <v>35963.796464000006</v>
      </c>
      <c r="AE205" s="3">
        <f>1454+(1605.6-917)+(0+(0-0))+0-407.5-0</f>
        <v>1735.1</v>
      </c>
    </row>
    <row r="206" spans="1:31" s="2" customFormat="1" x14ac:dyDescent="0.25">
      <c r="A206">
        <v>89</v>
      </c>
      <c r="B206">
        <v>7</v>
      </c>
      <c r="C206">
        <v>20</v>
      </c>
      <c r="D206">
        <v>4</v>
      </c>
      <c r="E206">
        <v>1</v>
      </c>
      <c r="F206" s="3">
        <f>1127.4+(2564.2-1987.6)+(-2.299896+(-5.230968--4.054704))+0-437.3--0.892091999999981</f>
        <v>1264.1159320000002</v>
      </c>
      <c r="G206" s="3">
        <f>970.2+(2474.6-1770.5)+(-0.494802+(-1.262046--0.902955))+0-432.3--0.220472999999956</f>
        <v>1241.3665799999999</v>
      </c>
      <c r="H206" s="3">
        <f>963.8+(2369.6-1697.4)+(-1.474614+(-3.625488--2.597022))+0-423.5--0.647955000000024</f>
        <v>1210.6448749999997</v>
      </c>
      <c r="I206" s="3">
        <f>963.9+(2288.8-1643.2)+(-1.474767+(-3.501864--2.514096))+0-428.2--0.655146000000025</f>
        <v>1179.4926110000001</v>
      </c>
      <c r="J206" s="3">
        <f>967.1+(2203.8-1560.2)+(-0.986442+(-2.247876--1.591404))+0-420.3--0.428706000000067</f>
        <v>1189.1857920000004</v>
      </c>
      <c r="K206" s="3">
        <f>962.3+(2096.5-1468)+(0+(0-0))+0-420.7-0</f>
        <v>1170.0999999999999</v>
      </c>
      <c r="L206" s="3">
        <f>962.3+(1716.8-1139.9)+(0+(0-0))+0-410.5-0</f>
        <v>1128.6999999999998</v>
      </c>
      <c r="M206" s="3">
        <f>962.4+(1638.2-978.7)+(0.490824+(0.835482-0.499137))+0-419.4-0.213893999999957</f>
        <v>1203.1132750000002</v>
      </c>
      <c r="N206" s="3">
        <f>962+(1396-346)+(0+(0-0))+0-418-0</f>
        <v>1594</v>
      </c>
      <c r="O206" s="3">
        <f>963+(1488-570)+(0+(0-0))+0-427-0</f>
        <v>1454</v>
      </c>
      <c r="P206" s="3">
        <f>1080+(1754-939)+(-2.754+(-4.4727--2.39445))+0-419--1.06844999999994</f>
        <v>1472.2362000000001</v>
      </c>
      <c r="Q206" s="3">
        <f>1335.2+(1932.3-1324)+(0+(0-0))+0-437-0</f>
        <v>1506.5</v>
      </c>
      <c r="R206" s="3">
        <f>1396.4+(2309.1-1855.9)+(0+(0-0))+0-426.7-0</f>
        <v>1422.8999999999999</v>
      </c>
      <c r="S206" s="3">
        <f>1400+(2771.2-2296.3)+(0+(0-0))+0-398.3-0</f>
        <v>1476.5999999999997</v>
      </c>
      <c r="T206" s="3">
        <f>1402.2+(2654.3-2141.9)+(-3.57561+(-6.768465--5.461845))+0-412.1--1.05085499999994</f>
        <v>1498.6686250000002</v>
      </c>
      <c r="U206" s="3">
        <f>1411.3+(2695.7-2207.8)+(-1.439526+(-2.749614--2.251956))+0-390.5--0.398310000000062</f>
        <v>1507.1611259999997</v>
      </c>
      <c r="V206" s="3">
        <f>1395.8+(2371.2-1862.3)+(-4.271148+(-7.255872--5.698638))+0-392.8--1.20196800000005</f>
        <v>1507.273586</v>
      </c>
      <c r="W206" s="3">
        <f>1489.3+(1681.8-1219.7)+(-3.038172+(-3.430872--2.488188))+0-395.7--0.807227999999983</f>
        <v>1552.5263719999998</v>
      </c>
      <c r="X206" s="3">
        <f>1593.3+(1765.2-1172.7)+(-3.250332+(-3.601008--2.392308))+0-399.3--0.814571999999983</f>
        <v>1782.85554</v>
      </c>
      <c r="Y206" s="3">
        <f>1599+(1877.7-1313)+(-2.44647+(-2.872881--2.00889))+0-391.9--0.599607000000023</f>
        <v>1769.0891459999998</v>
      </c>
      <c r="Z206" s="3">
        <f>1579.9+(1819-1326.8)+(-2.417247+(-2.78307--2.030004))+0-372.1--0.569313000000022</f>
        <v>1697.3990000000003</v>
      </c>
      <c r="AA206" s="3">
        <f>1580.6+(1891.1-1452.4)+(-4.836636+(-5.786766--4.444344))+0-381--1.16586000000004</f>
        <v>1633.2868019999999</v>
      </c>
      <c r="AB206" s="3">
        <f>1414.9+(1743.3-1247)+(-2.886396+(-3.556332--2.54388))+0-374.5--0.763979999999984</f>
        <v>1533.5651319999999</v>
      </c>
      <c r="AC206" s="3">
        <f>1082.3+(2020.7-1283.6)+(-2.759865+(-5.152785--3.27318))+0-415--1.05824999999994</f>
        <v>1400.8187800000001</v>
      </c>
      <c r="AD206">
        <f t="shared" si="3"/>
        <v>34395.599374000005</v>
      </c>
      <c r="AE206" s="3">
        <f>1603+(1944-1380.3)+(0+(0-0))+0-407.9-0</f>
        <v>1758.7999999999997</v>
      </c>
    </row>
    <row r="207" spans="1:31" s="2" customFormat="1" x14ac:dyDescent="0.25">
      <c r="A207">
        <v>89</v>
      </c>
      <c r="B207">
        <v>7</v>
      </c>
      <c r="C207">
        <v>21</v>
      </c>
      <c r="D207">
        <v>5</v>
      </c>
      <c r="E207">
        <v>1</v>
      </c>
      <c r="F207" s="3">
        <f>962.5+(2176.3-1429.5)+(-0.490875+(-1.109913--0.729045))+0-430.4--0.219503999999956</f>
        <v>1278.2477610000003</v>
      </c>
      <c r="G207" s="3">
        <f>962.7+(2231.3-1535.1)+(-1.472931+(-3.413889--2.348703))+0-437.1--0.668763000000025</f>
        <v>1219.9306460000003</v>
      </c>
      <c r="H207" s="3">
        <f>964.1+(2211-1556.6)+(-1.475073+(-3.38283--2.381598))+0-433.4--0.663102000000025</f>
        <v>1183.2867970000002</v>
      </c>
      <c r="I207" s="3">
        <f>964+(2176.6-1547)+(-1.47492+(-3.330198--2.36691))+0-432.3--0.661419000000025</f>
        <v>1159.5232109999999</v>
      </c>
      <c r="J207" s="3">
        <f>963+(2024.1-1470.9)+(0+(0-0))+0-436.8-0</f>
        <v>1079.3999999999999</v>
      </c>
      <c r="K207" s="3">
        <f>963.1+(1636.1-1021.2)+(-1.964724+(-3.337644--2.083248))+0-432.8--0.882911999999981</f>
        <v>1142.8637920000001</v>
      </c>
      <c r="L207" s="3">
        <f>963+(1378.6-764.6)+(-1.47339+(-2.109258--1.169838))+0-435.6--0.666468000000025</f>
        <v>1139.653658</v>
      </c>
      <c r="M207" s="3">
        <f>962.9+(1403.5-638.3)+(0.982158+(1.43157-0.651066))+0-435.7-0.444414000000069</f>
        <v>1293.7182479999999</v>
      </c>
      <c r="N207" s="3">
        <f>963.1+(1336.8-424.8)+(-0.982362+(-1.363536--0.433296))+0-437.9--0.44665800000007</f>
        <v>1435.734056</v>
      </c>
      <c r="O207" s="3">
        <f>958.3+(1432-505.2)+(-1.466199+(-2.19096--0.772956))+0-421.5--0.644895000000024</f>
        <v>1461.360692</v>
      </c>
      <c r="P207" s="3">
        <f>966+(1404.1-453)+(-1.47798+(-2.148273--0.69309))+0-429.1--0.656523000000025</f>
        <v>1485.72336</v>
      </c>
      <c r="Q207" s="3">
        <f>980.2+(1587.3-677.1)+(0.499902+(0.809523-0.345321))+0-413.2-0.210731999999958</f>
        <v>1477.9533719999999</v>
      </c>
      <c r="R207" s="3">
        <f>1197+(1955.1-1190.3)+(-3.66282+(-5.982606--3.642318))+0-406--1.24236000000005</f>
        <v>1551.0392519999998</v>
      </c>
      <c r="S207" s="3">
        <f>1231.9+(2102.6-1488.2)+(-0.628269+(-1.072326--0.758982))+0-406.4--0.207263999999959</f>
        <v>1439.165651</v>
      </c>
      <c r="T207" s="3">
        <f>1231.7+(2223.7-1581.5)+(-1.256334+(-2.268174--1.61313))+0-408.3--0.416466000000065</f>
        <v>1464.105088</v>
      </c>
      <c r="U207" s="3">
        <f>1141.5+(2026.2-1312.6)+(-1.16433+(-2.066724--1.338852))+0-383.8--0.391476000000061</f>
        <v>1469.7992740000002</v>
      </c>
      <c r="V207" s="3">
        <f>1109.5+(1361.6-624.5)+(-2.26338+(-2.777664--1.27398))+0-383.8--0.782951999999983</f>
        <v>1459.8158880000001</v>
      </c>
      <c r="W207" s="3">
        <f>1343.7+(756.2-202.2)+(-0.685287+(-0.385662--0.103122))+0-387.1--0.197420999999961</f>
        <v>1509.8295939999998</v>
      </c>
      <c r="X207" s="3">
        <f>1601.6+(845.6-306.6)+(-3.267264+(-1.725024--0.625464))+0-390.9--0.797435999999983</f>
        <v>1746.1306119999997</v>
      </c>
      <c r="Y207" s="3">
        <f>1622.7+(850.9-359.5)+(-3.310308+(-1.735836--0.73338))+0-388.3--0.792131999999983</f>
        <v>1722.2793680000002</v>
      </c>
      <c r="Z207" s="3">
        <f>1612.5+(999.4-533.8)+(-4.111875+(-2.54847--1.36119))+0-396.2--1.01030999999994</f>
        <v>1677.6111549999996</v>
      </c>
      <c r="AA207" s="3">
        <f>1391.8+(905.9-294.2)+(-2.129454+(-1.386027--0.450126))+0-397.2--0.607716000000023</f>
        <v>1603.842361</v>
      </c>
      <c r="AB207" s="3">
        <f>1249.4+(1121.9-477.1)+(-1.911582+(-1.716507--0.729963))+0-398.8--0.610164000000023</f>
        <v>1493.1120380000002</v>
      </c>
      <c r="AC207" s="3">
        <f>1229.4+(1285-698)+(-3.13497+(-3.27675--1.7799))+0-427.5--1.09012499999994</f>
        <v>1385.358305</v>
      </c>
      <c r="AD207">
        <f t="shared" si="3"/>
        <v>33879.484178999999</v>
      </c>
      <c r="AE207" s="3">
        <f>1621+(823-383.7)+(0+(0-0))+0-396.4-0</f>
        <v>1663.9</v>
      </c>
    </row>
    <row r="208" spans="1:31" s="2" customFormat="1" x14ac:dyDescent="0.25">
      <c r="A208">
        <v>89</v>
      </c>
      <c r="B208">
        <v>7</v>
      </c>
      <c r="C208">
        <v>22</v>
      </c>
      <c r="D208">
        <v>6</v>
      </c>
      <c r="E208">
        <v>1</v>
      </c>
      <c r="F208" s="3">
        <f>1112.1+(1491.3-851.7)+(-3.970197+(-5.323941--3.040569))+0-427.5--1.52617500000001</f>
        <v>1319.4726059999998</v>
      </c>
      <c r="G208" s="3">
        <f>1012.7+(1778.4-1095)+(-1.032954+(-1.813968--1.1169))+0-417.9--0.426258000000067</f>
        <v>1276.896236</v>
      </c>
      <c r="H208" s="3">
        <f>908.8+(1618.8-857.9)+(-1.390464+(-2.476764--1.312587))+0-435.8--0.666774000000025</f>
        <v>1232.0121329999999</v>
      </c>
      <c r="I208" s="3">
        <f>908.6+(1379.6-657.1)+(-0.926772+(-1.407192--0.670242))+0-433.7--0.442374000000069</f>
        <v>1196.1786519999998</v>
      </c>
      <c r="J208" s="3">
        <f>907.6+(1339.5-622.9)+(0.462876+(0.683145-0.317679))+0-437.9-0.223328999999956</f>
        <v>1186.9050130000001</v>
      </c>
      <c r="K208" s="3">
        <f>907.9+(1311-585.9)+(-1.389087+(-2.00583--0.896427))+0-435.4--0.666162000000025</f>
        <v>1195.7676719999999</v>
      </c>
      <c r="L208" s="3">
        <f>907.6+(1142.6-450.3)+(-0.925752+(-1.165452--0.459306))+0-433.1--0.441762000000069</f>
        <v>1165.6098640000002</v>
      </c>
      <c r="M208" s="3">
        <f>930.6+(1068.9-321.4)+(0.949212+(1.090278-0.327828))+0.6-441.2-0.45002400000007</f>
        <v>1238.7616379999999</v>
      </c>
      <c r="N208" s="3">
        <f>980.9+(1225.2-330.9)+(-0.500259+(-0.624852--0.168759))+0.9-429--0.218789999999956</f>
        <v>1446.3624380000001</v>
      </c>
      <c r="O208" s="3">
        <f>1065.9+(1229.4-426.5)+(0.543609+(0.626994-0.217515))+0-422-0.215219999999957</f>
        <v>1447.5378680000001</v>
      </c>
      <c r="P208" s="3">
        <f>1190.9+(886.4-274.2)+(-1.214718+(-0.904128--0.279684))+0-396.2--0.404124000000063</f>
        <v>1405.4649620000002</v>
      </c>
      <c r="Q208" s="3">
        <f>1239.8+(1048.8-337.1)+(1.264596+(1.069776-0.343842))+0-404.1-0.412182000000064</f>
        <v>1548.9783480000001</v>
      </c>
      <c r="R208" s="3">
        <f>1330.9+(1168.8-669.6)+(-4.751313+(-4.172616--2.390472))+0-406.6--1.45156200000001</f>
        <v>1418.418105</v>
      </c>
      <c r="S208" s="3">
        <f>1355.3+(1468.7-1015.7)+(-4.147218+(-4.494222--3.108042))+0-409.5--1.25307000000005</f>
        <v>1394.5196719999999</v>
      </c>
      <c r="T208" s="3">
        <f>1360.9+(1619.5-1156.2)+(-1.388118+(-1.65189--1.179324))+0-396.9--0.404838000000063</f>
        <v>1425.8441540000001</v>
      </c>
      <c r="U208" s="3">
        <f>1357.4+(1508.2-1061.4)+(-3.46137+(-3.84591--2.70657))+0-393.4--1.00316999999994</f>
        <v>1407.20246</v>
      </c>
      <c r="V208" s="3">
        <f>1362.9+(1293.2-888)+(0.695079+(0.659532-0.45288))+0-384.6-0.196145999999961</f>
        <v>1384.2055849999999</v>
      </c>
      <c r="W208" s="3">
        <f>1492.5+(780-423.4)+(-1.52235+(-0.7956--0.431868))+0-387.8--0.395556000000062</f>
        <v>1459.8094740000001</v>
      </c>
      <c r="X208" s="3">
        <f>1604.6+(783.9-331.5)+(-1.636692+(-0.799578--0.33813))+0-392.6--0.400452000000063</f>
        <v>1662.7023120000001</v>
      </c>
      <c r="Y208" s="3">
        <f>1601.3+(791.9-337.8)+(-3.266652+(-1.615476--0.689112))+0-393.7--0.803147999999983</f>
        <v>1658.3101319999998</v>
      </c>
      <c r="Z208" s="3">
        <f>1452.6+(846.3-297)+(-1.481652+(-0.863226--0.30294))+0-397--0.404940000000063</f>
        <v>1603.2630019999999</v>
      </c>
      <c r="AA208" s="3">
        <f>1350.5+(871.3-303.9)+(-3.443775+(-2.221815--0.774945))+0-396.3--1.01056499999994</f>
        <v>1517.7199200000002</v>
      </c>
      <c r="AB208" s="3">
        <f>1237.5+(1123.6-532.5)+(-0.631125+(-0.573036--0.271575))+0-390--0.19889999999996</f>
        <v>1437.8663139999999</v>
      </c>
      <c r="AC208" s="3">
        <f>1215.8+(1562.2-1015.8)+(-3.720348+(-4.780332--3.108348))+0-399.3--1.22185800000005</f>
        <v>1358.7295260000003</v>
      </c>
      <c r="AD208">
        <f t="shared" si="3"/>
        <v>33388.538086</v>
      </c>
      <c r="AE208" s="3">
        <f>1625+(866.6-411.8)+(0+(0-0))+0-395.3-0</f>
        <v>1684.5000000000002</v>
      </c>
    </row>
    <row r="209" spans="1:31" s="2" customFormat="1" x14ac:dyDescent="0.25">
      <c r="A209">
        <v>89</v>
      </c>
      <c r="B209">
        <v>7</v>
      </c>
      <c r="C209">
        <v>23</v>
      </c>
      <c r="D209">
        <v>7</v>
      </c>
      <c r="E209">
        <v>1</v>
      </c>
      <c r="F209" s="3">
        <f>1155.8+(1926.8-1375.4)+(-1.178916+(-1.965336--1.402908))+0-395.7--0.403614000000063</f>
        <v>1310.1622699999998</v>
      </c>
      <c r="G209" s="3">
        <f>1005.8+(2000.7-1366.9)+(-1.538874+(-3.061071--2.091357))+0-401.5--0.614295000000023</f>
        <v>1236.2057070000001</v>
      </c>
      <c r="H209" s="3">
        <f>983.1+(1863.8-1254.2)+(0+(0-0))+0-400.3-0</f>
        <v>1192.3999999999999</v>
      </c>
      <c r="I209" s="3">
        <f>979.6+(1626.6-1037.5)+(-0.499596+(-0.829566--0.529125))+0-402.5--0.205274999999959</f>
        <v>1165.6052379999999</v>
      </c>
      <c r="J209" s="3">
        <f>973.8+(1322.9-737.1)+(0.496638+(0.674679-0.375921))+0-403-0.205529999999959</f>
        <v>1157.1898659999999</v>
      </c>
      <c r="K209" s="3">
        <f>974+(1110.9-533.8)+(-1.49022+(-1.699677--0.816714))+0-401.1--0.613683000000023</f>
        <v>1148.2405000000003</v>
      </c>
      <c r="L209" s="3">
        <f>974+(1062.2-555.6)+(-1.49022+(-1.625166--0.850068))+0-401.6--0.614448000000023</f>
        <v>1077.3491299999998</v>
      </c>
      <c r="M209" s="3">
        <f>974+(1174.8-633.3)+(0+(0-0))+0-401.8-0</f>
        <v>1113.7</v>
      </c>
      <c r="N209" s="3">
        <f>973.9+(1478.2-787)+(0+(0-0))+0-396.8-0</f>
        <v>1268.3</v>
      </c>
      <c r="O209" s="3">
        <f>974.7+(1741.9-1064.9)+(-2.485485+(-4.441845--2.715495))+0-385.9--0.984044999999944</f>
        <v>1262.57221</v>
      </c>
      <c r="P209" s="3">
        <f>1099+(1769.3-1126.3)+(-2.24196+(-3.609372--2.297652))+0-397.8--0.811511999999983</f>
        <v>1341.4578320000001</v>
      </c>
      <c r="Q209" s="3">
        <f>1330.1+(1879.6-1446.3)+(-1.356702+(-1.917192--1.475226))+0-399.1--0.407082000000064</f>
        <v>1362.908414</v>
      </c>
      <c r="R209" s="3">
        <f>1339.1+(2039.9-1632.3)+(-1.365882+(-2.080698--1.664946))+0-401.9--0.409938000000064</f>
        <v>1343.4283040000003</v>
      </c>
      <c r="S209" s="3">
        <f>1339+(2193.4-1823)+(0+(0-0))+0-401-0</f>
        <v>1308.4000000000001</v>
      </c>
      <c r="T209" s="3">
        <f>1338+(2398-2032.2)+(-0.68238+(-1.22298--1.036422))+0-396.2--0.20206199999996</f>
        <v>1306.9331239999999</v>
      </c>
      <c r="U209" s="3">
        <f>1336.9+(2198-1810)+(-2.727276+(-4.48392--3.6924))+0-397--0.809879999999983</f>
        <v>1325.191084</v>
      </c>
      <c r="V209" s="3">
        <f>1339.8+(1979.8-1595.6)+(-1.366596+(-2.019396--1.627512))+0-386--0.393720000000062</f>
        <v>1336.6352400000001</v>
      </c>
      <c r="W209" s="3">
        <f>1350+(1218.6-803.1)+(-2.754+(-2.485944--1.638324))+0-372.8--0.760511999999984</f>
        <v>1389.8588920000002</v>
      </c>
      <c r="X209" s="3">
        <f>1373.6+(987.9-375.2)+(-1.401072+(-1.007658--0.382704))+0-366.6--0.373932000000059</f>
        <v>1618.0479059999998</v>
      </c>
      <c r="Y209" s="3">
        <f>1326.2+(990.4-315.4)+(-2.705448+(-2.020416--0.643416))+0-375.5--0.766019999999984</f>
        <v>1622.383572</v>
      </c>
      <c r="Z209" s="3">
        <f>1213.6+(949.8-213.2)+(0+(0-0))+0-385.6-0</f>
        <v>1564.6</v>
      </c>
      <c r="AA209" s="3">
        <f>1189.3+(1186-471.7)+(-1.819629+(-1.81458--0.721701))+0-393.6--0.602208000000023</f>
        <v>1507.6897000000001</v>
      </c>
      <c r="AB209" s="3">
        <f>1039.3+(1340.5-569.3)+(0+(0-0))+0-397.3-0</f>
        <v>1413.2</v>
      </c>
      <c r="AC209" s="3">
        <f>942.3+(1625.3-840)+(-2.883438+(-4.973418--2.5704))+0-413.7--1.26592200000005</f>
        <v>1309.8794659999999</v>
      </c>
      <c r="AD209">
        <f t="shared" si="3"/>
        <v>31682.338454999997</v>
      </c>
      <c r="AE209" s="3">
        <f>1373+(1027.5-399.5)+(0+(0-0))+0-369.9-0</f>
        <v>1631.1</v>
      </c>
    </row>
    <row r="210" spans="1:31" s="2" customFormat="1" x14ac:dyDescent="0.25">
      <c r="A210">
        <v>89</v>
      </c>
      <c r="B210">
        <v>7</v>
      </c>
      <c r="C210">
        <v>24</v>
      </c>
      <c r="D210">
        <v>1</v>
      </c>
      <c r="E210">
        <v>1</v>
      </c>
      <c r="F210" s="3">
        <f>840.2+(2163.2-1334.3)+(-2.14251+(-5.51616--3.402465))+0-428.8--1.09343999999994</f>
        <v>1237.1372349999999</v>
      </c>
      <c r="G210" s="3">
        <f>840.5+(2127.4-1342.4)+(-2.143275+(-5.42487--3.42312))+0-423.3--1.07941499999994</f>
        <v>1199.1343899999999</v>
      </c>
      <c r="H210" s="3">
        <f>840.7+(2136.6-1371.9)+(-0.428757+(-1.089666--0.699669))+0-429.1--0.218840999999956</f>
        <v>1175.7000869999997</v>
      </c>
      <c r="I210" s="3">
        <f>702.7+(2183-1312.5)+(0.358377+(1.11333-0.669375))+0-424.7-0.216596999999957</f>
        <v>1149.0857350000001</v>
      </c>
      <c r="J210" s="3">
        <f>612.7+(2197.5-1222.4)+(-0.624954+(-2.24145--1.246848))+0-427.1--0.435642000000068</f>
        <v>1159.5160859999999</v>
      </c>
      <c r="K210" s="3">
        <f>618.8+(1709.7-725.8)+(-0.315588+(-0.871947--0.370158))+0-432.3--0.220472999999956</f>
        <v>1169.8030959999999</v>
      </c>
      <c r="L210" s="3">
        <f>621.9+(1561.5-572.4)+(0.317169+(0.796365-0.291924))+0-428.8-0.218687999999957</f>
        <v>1182.8029220000001</v>
      </c>
      <c r="M210" s="3">
        <f>682.4+(1503.7-484.9)+(0.696048+(1.533774-0.494598))+0-420.3-0.428706000000067</f>
        <v>1282.206518</v>
      </c>
      <c r="N210" s="3">
        <f>801.9+(1470.1-414.6)+(-0.408969+(-0.749751--0.211446))+0-429--0.218789999999956</f>
        <v>1427.6715159999999</v>
      </c>
      <c r="O210" s="3">
        <f>884.9+(1577-592.7)+(0+(0-0))+0-420.1-0</f>
        <v>1449.1</v>
      </c>
      <c r="P210" s="3">
        <f>995.6+(1544.7-573.6)+(0+(0-0))+0-420.8-0</f>
        <v>1545.9</v>
      </c>
      <c r="Q210" s="3">
        <f>1169.8+(1627.8-830.2)+(-1.193196+(-1.660356--0.846804))+0-408.7--0.416874000000065</f>
        <v>1557.1101259999998</v>
      </c>
      <c r="R210" s="3">
        <f>1279.8+(1814.9-1158.9)+(-0.652698+(-0.925599--0.591039))+0-426.6--0.217565999999957</f>
        <v>1508.4303079999997</v>
      </c>
      <c r="S210" s="3">
        <f>1347.4+(1955.8-1388.1)+(0.687174+(0.997458-0.707931))+0-435.8-0.222257999999956</f>
        <v>1480.0544430000002</v>
      </c>
      <c r="T210" s="3">
        <f>1345.1+(2062.4-1490.9)+(0+(0-0))+0-424.3-0</f>
        <v>1492.3</v>
      </c>
      <c r="U210" s="3">
        <f>1337.8+(2049.3-1476.8)+(-1.364556+(-2.090286--1.506336))+0-405--0.413100000000065</f>
        <v>1503.7645940000002</v>
      </c>
      <c r="V210" s="3">
        <f>1326.1+(1851.2-1280.5)+(0.676311+(0.944112-0.653055))+0-390-0.19889999999996</f>
        <v>1507.5684680000002</v>
      </c>
      <c r="W210" s="3">
        <f>1333.2+(1378.7-743.3)+(-0.679932+(-0.703137--0.379083))+0-390.1--0.19895099999996</f>
        <v>1577.6949650000001</v>
      </c>
      <c r="X210" s="3">
        <f>1373+(1168.8-367.8)+(-3.50115+(-2.98044--0.93789))+0-397.4--1.01336999999994</f>
        <v>1772.0696699999996</v>
      </c>
      <c r="Y210" s="3">
        <f>1371.4+(1325.6-549.7)+(0.699414+(0.676056-0.280347))+0-389.8-0.19879799999996</f>
        <v>1758.3963250000004</v>
      </c>
      <c r="Z210" s="3">
        <f>1355.3+(1573.2-836)+(0+(0-0))+0-389.9-0</f>
        <v>1702.6</v>
      </c>
      <c r="AA210" s="3">
        <f>1355.3+(2160.9-1474.2)+(0+(0-0))+0-382.1-0</f>
        <v>1659.9</v>
      </c>
      <c r="AB210" s="3">
        <f>1351.9+(2289.9-1686.6)+(-2.757876+(-4.671396--3.440664))+0-388.6--0.792743999999983</f>
        <v>1563.4041360000003</v>
      </c>
      <c r="AC210" s="3">
        <f>1249.8+(2086.2-1471.1)+(-3.18699+(-5.31981--3.751305))+0-417.4--1.06436999999994</f>
        <v>1443.8088749999997</v>
      </c>
      <c r="AD210">
        <f t="shared" si="3"/>
        <v>34505.159495000007</v>
      </c>
      <c r="AE210" s="3">
        <f>1373+(1208.6-426.5)+(0+(0-0))+0-399.1-0</f>
        <v>1756</v>
      </c>
    </row>
    <row r="211" spans="1:31" s="2" customFormat="1" x14ac:dyDescent="0.25">
      <c r="A211">
        <v>89</v>
      </c>
      <c r="B211">
        <v>7</v>
      </c>
      <c r="C211">
        <v>25</v>
      </c>
      <c r="D211">
        <v>2</v>
      </c>
      <c r="E211">
        <v>1</v>
      </c>
      <c r="F211" s="3">
        <f>1024.3+(1879.5-1144.3)+(-1.567179+(-2.875635--1.750779))+0-430.4--0.658512000000025</f>
        <v>1327.0664769999998</v>
      </c>
      <c r="G211" s="3">
        <f>983.5+(2020.2-1297.4)+(-1.504755+(-3.090906--1.985022))+0-432--0.660960000000025</f>
        <v>1272.3503209999999</v>
      </c>
      <c r="H211" s="3">
        <f>978.6+(2127.5-1434.8)+(-1.497258+(-3.255075--2.195244))+0-422.1--0.645813000000024</f>
        <v>1247.2887240000005</v>
      </c>
      <c r="I211" s="3">
        <f>943.7+(1890.9-1187.3)+(-0.481287+(-0.964359--0.605523))+0-416.8--0.212567999999958</f>
        <v>1229.8724450000002</v>
      </c>
      <c r="J211" s="3">
        <f>942.9+(1756.2-1060.4)+(0.480879+(0.895662-0.540804))+0-421.7-0.215066999999957</f>
        <v>1217.62067</v>
      </c>
      <c r="K211" s="3">
        <f>943.9+(1495.2-797.6)+(-0.481389+(-0.762552--0.406776))+0-422.5--0.215474999999957</f>
        <v>1218.3783100000001</v>
      </c>
      <c r="L211" s="3">
        <f>943.9+(1177.5-534.5)+(-0.481389+(-0.600525--0.272595))+0-418.3--0.213332999999958</f>
        <v>1168.0040140000001</v>
      </c>
      <c r="M211" s="3">
        <f>944.8+(1265.6-522.5)+(0.481848+(0.645456-0.266475))+0-416.1-0.212210999999958</f>
        <v>1272.4486179999999</v>
      </c>
      <c r="N211" s="3">
        <f>945.2+(1545.6-700.4)+(1.446156+(2.364768-1.071612))+0-404.2-0.618426000000023</f>
        <v>1388.320886</v>
      </c>
      <c r="O211" s="3">
        <f>954.2+(1844.7-963.2)+(0+(0-0))+0-406.6-0</f>
        <v>1429.1</v>
      </c>
      <c r="P211" s="3">
        <f>1035.1+(1867.1-965.6)+(-0.527901+(-0.952221--0.492456))+0-417.2--0.212771999999958</f>
        <v>1518.6251059999997</v>
      </c>
      <c r="Q211" s="3">
        <f>1084.1+(1951.7-1052.3)+(-0.552891+(-0.995367--0.536673))+0-421.9--0.215168999999957</f>
        <v>1560.8035840000002</v>
      </c>
      <c r="R211" s="3">
        <f>1084.2+(2157.5-1319.2)+(0+(0-0))+0-424.8-0</f>
        <v>1497.7</v>
      </c>
      <c r="S211" s="3">
        <f>1084.5+(2266.8-1518.3)+(-0.553095+(-1.156068--0.774333))+0-415.5--0.211904999999958</f>
        <v>1416.7770750000002</v>
      </c>
      <c r="T211" s="3">
        <f>1112.7+(2200-1431.9)+(0+(0-0))+0-422.9-0</f>
        <v>1457.9</v>
      </c>
      <c r="U211" s="3">
        <f>1211.4+(2092.5-1486.9)+(-1.853442+(-3.201525--2.274957))+0-416.7--0.637551000000024</f>
        <v>1398.157541</v>
      </c>
      <c r="V211" s="3">
        <f>1221.4+(1609.8-975.5)+(-1.245828+(-1.641996--0.99501))+0-395.4--0.403308000000063</f>
        <v>1458.8104940000001</v>
      </c>
      <c r="W211" s="3">
        <f>1289.8+(1225.9-555.3)+(-0.657798+(-0.625209--0.283203))+0-391--0.19940999999996</f>
        <v>1568.599606</v>
      </c>
      <c r="X211" s="3">
        <f>1333.7+(1342.4-461.8)+(-2.040561+(-2.053872--0.706554))+0-382--0.584460000000022</f>
        <v>1829.4965810000003</v>
      </c>
      <c r="Y211" s="3">
        <f>1331.6+(1475-739.7)+(-2.716464+(-3.009--1.508988))+0-381--0.777239999999983</f>
        <v>1682.4607639999995</v>
      </c>
      <c r="Z211" s="3">
        <f>1287.4+(1417.7-620.3)+(-1.969722+(-2.169081--0.949059))+0-379--0.579870000000022</f>
        <v>1703.1901260000004</v>
      </c>
      <c r="AA211" s="3">
        <f>1222.6+(1865.8-1133.5)+(-0.623526+(-0.951558--0.578085))+0-380--0.193799999999961</f>
        <v>1574.0968009999999</v>
      </c>
      <c r="AB211" s="3">
        <f>1191.9+(2023.1-1384.8)+(-1.823607+(-3.095343--2.118744))+0-382--0.584460000000022</f>
        <v>1445.9842540000002</v>
      </c>
      <c r="AC211" s="3">
        <f>1102+(1867.1-1201)+(-0.56202+(-0.952221--0.61251))+0-430--0.219299999999956</f>
        <v>1337.417569</v>
      </c>
      <c r="AD211">
        <f t="shared" si="3"/>
        <v>34220.469966000004</v>
      </c>
      <c r="AE211" s="3">
        <f>1356+(1387.6-718)+(0+(0-0))+0-385.5-0</f>
        <v>1640.1</v>
      </c>
    </row>
    <row r="212" spans="1:31" s="2" customFormat="1" x14ac:dyDescent="0.25">
      <c r="A212">
        <v>89</v>
      </c>
      <c r="B212">
        <v>7</v>
      </c>
      <c r="C212">
        <v>26</v>
      </c>
      <c r="D212">
        <v>3</v>
      </c>
      <c r="E212">
        <v>1</v>
      </c>
      <c r="F212" s="3">
        <f>1059.8+(1871.4-1191.1)+(-2.161992+(-3.817656--2.429844))+0-425--0.866999999999981</f>
        <v>1312.4171960000001</v>
      </c>
      <c r="G212" s="3">
        <f>985.1+(1677.4-962.6)+(0.502401+(0.855474-0.490926))+0-429-0.218789999999956</f>
        <v>1271.5481590000002</v>
      </c>
      <c r="H212" s="3">
        <f>981.8+(1651.6-977.1)+(-1.001436+(-1.684632--0.996642))+0-412--0.420240000000066</f>
        <v>1243.030814</v>
      </c>
      <c r="I212" s="3">
        <f>981.7+(1495.6-828.3)+(-2.002668+(-3.051024--1.689732))+0-444--0.905759999999981</f>
        <v>1202.5418</v>
      </c>
      <c r="J212" s="3">
        <f>984.2+(1422.3-822.5)+(1.505826+(2.176119-1.258425))+0-437-0.668610000000025</f>
        <v>1148.7549100000001</v>
      </c>
      <c r="K212" s="3">
        <f>981.6+(1194.4-591.7)+(-1.501848+(-1.827432--0.905301))+0-400--0.612000000000023</f>
        <v>1182.4880210000003</v>
      </c>
      <c r="L212" s="3">
        <f>983.4+(970.3-338.6)+(1.003068+(0.989706-0.345372))+0-386-0.393720000000062</f>
        <v>1230.3536819999999</v>
      </c>
      <c r="M212" s="3">
        <f>983.9+(1121.6-414.4)+(0.501789+(0.572016-0.211344))+0-379-0.193289999999962</f>
        <v>1312.7691709999999</v>
      </c>
      <c r="N212" s="3">
        <f>984.2+(1265.7-439)+(1.003884+(1.291014-0.44778))+0-380-0.387600000000061</f>
        <v>1432.359518</v>
      </c>
      <c r="O212" s="3">
        <f>1011.1+(1095.7-309.4)+(0+(0-0))+0-378-0</f>
        <v>1419.4</v>
      </c>
      <c r="P212" s="3">
        <f>1051.5+(1169.3-355.7)+(0+(0-0))+0-366-0</f>
        <v>1499.1</v>
      </c>
      <c r="Q212" s="3">
        <f>1111.1+(1334.8-602.7)+(0+(0-0))+0-366-0</f>
        <v>1477.1999999999998</v>
      </c>
      <c r="R212" s="3">
        <f>1182.9+(1796.2-1036.2)+(1.206558+(1.832124-1.056924))+0-368-0.375360000000059</f>
        <v>1576.506398</v>
      </c>
      <c r="S212" s="3">
        <f>1183.1+(2015.5-1336.2)+(0.603381+(1.027905-0.681462))+0-389-0.198389999999961</f>
        <v>1474.1514339999999</v>
      </c>
      <c r="T212" s="3">
        <f>1182.3+(2029.9-1298.1)+(-1.808919+(-3.105747--1.986093))+0-387--0.592110000000022</f>
        <v>1524.7635370000003</v>
      </c>
      <c r="U212" s="3">
        <f>1183.4+(1866-1209.8)+(-0.603534+(-0.95166--0.616998))+0-389--0.198389999999961</f>
        <v>1449.8601940000001</v>
      </c>
      <c r="V212" s="3">
        <f>1183.7+(1613-954.7)+(-1.207374+(-1.64526--0.973794))+0-391--0.398820000000062</f>
        <v>1449.51998</v>
      </c>
      <c r="W212" s="3">
        <f>1265.7+(1329.6-611.5)+(0.645507+(0.678096-0.311865))+0-391-0.19940999999996</f>
        <v>1593.6123279999999</v>
      </c>
      <c r="X212" s="3">
        <f>1305.3+(1331.9-492.6)+(-1.997109+(-2.037807--0.753678))+0-377--0.576810000000022</f>
        <v>1764.8955719999999</v>
      </c>
      <c r="Y212" s="3">
        <f>1306.1+(1504.3-697.2)+(0+(0-0))+0-387-0</f>
        <v>1726.1999999999998</v>
      </c>
      <c r="Z212" s="3">
        <f>1307.4+(1828.4-1045.3)+(0+(0-0))+0-390-0</f>
        <v>1700.5</v>
      </c>
      <c r="AA212" s="3">
        <f>1305.4+(2212-1510.7)+(-3.32877+(-5.6406--3.852285))+0-392--0.999599999999943</f>
        <v>1610.5825149999998</v>
      </c>
      <c r="AB212" s="3">
        <f>1304.9+(2370.8-1707.6)+(-1.330998+(-2.418216--1.741752))+0-392--0.399840000000062</f>
        <v>1574.4923780000004</v>
      </c>
      <c r="AC212" s="3">
        <f>1244.3+(2164.4-1473.5)+(-3.807558+(-6.623064--4.50891))+0-424--1.29744000000005</f>
        <v>1506.575728</v>
      </c>
      <c r="AD212">
        <f t="shared" si="3"/>
        <v>34683.623335000004</v>
      </c>
      <c r="AE212" s="3">
        <f>1308+(1382.8-503.9)+(0+(0-0))+0-392-0</f>
        <v>1794.9</v>
      </c>
    </row>
    <row r="213" spans="1:31" s="2" customFormat="1" x14ac:dyDescent="0.25">
      <c r="A213">
        <v>89</v>
      </c>
      <c r="B213">
        <v>7</v>
      </c>
      <c r="C213">
        <v>27</v>
      </c>
      <c r="D213">
        <v>4</v>
      </c>
      <c r="E213">
        <v>1</v>
      </c>
      <c r="F213" s="3">
        <f>1030.9+(2208.9-1415.1)+(-1.051518+(-2.253078--1.443402))+0-436--0.44472000000007</f>
        <v>1387.2835260000002</v>
      </c>
      <c r="G213" s="3">
        <f>898.8+(2042.4-1216.5)+(-0.458388+(-1.041624--0.620415))+0-430--0.219299999999956</f>
        <v>1294.0397029999999</v>
      </c>
      <c r="H213" s="3">
        <f>895.4+(2062.1-1231.9)+(-1.369962+(-3.155013--1.884807))+0-433--0.662490000000025</f>
        <v>1290.6223219999999</v>
      </c>
      <c r="I213" s="3">
        <f>895.3+(2088.3-1225)+(-0.456603+(-1.065033--0.62475))+0-430--0.219299999999956</f>
        <v>1327.9224140000001</v>
      </c>
      <c r="J213" s="3">
        <f>895.4+(1970.1-1180)+(0.913308+(2.009502-1.2036))+0-427-0.435540000000068</f>
        <v>1259.7836699999998</v>
      </c>
      <c r="K213" s="3">
        <f>895.4+(1738.6-1049.5)+(0.913308+(1.773372-1.07049))+0-430-0.438600000000069</f>
        <v>1155.6775899999998</v>
      </c>
      <c r="L213" s="3">
        <f>894.6+(1383.1-622.7)+(0+(0-0))+0-431-0</f>
        <v>1224</v>
      </c>
      <c r="M213" s="3">
        <f>895.4+(1167-352.2)+(0.913308+(1.19034-0.359244))+0-387-0.394740000000062</f>
        <v>1324.5496639999999</v>
      </c>
      <c r="N213" s="3">
        <f>895.2+(1226.4-247.4)+(0.456552+(0.625464-0.126174))+0-422-0.215219999999957</f>
        <v>1452.9406220000003</v>
      </c>
      <c r="O213" s="3">
        <f>912.3+(1209.4-215)+(1.861092+(2.467176-0.4386))+0-414-0.844559999999982</f>
        <v>1495.7451080000001</v>
      </c>
      <c r="P213" s="3">
        <f>974.5+(1366.2-420)+(-0.496995+(-0.696762--0.2142))+0-389--0.198389999999961</f>
        <v>1530.9188329999999</v>
      </c>
      <c r="Q213" s="3">
        <f>1218.7+(1634-891)+(0.621537+(0.83334-0.45441))+0-378-0.192779999999962</f>
        <v>1584.5076870000003</v>
      </c>
      <c r="R213" s="3">
        <f>1317.3+(1798.6-1214.1)+(-3.359115+(-4.58643--3.095955))+0-419--1.06844999999994</f>
        <v>1479.0188599999999</v>
      </c>
      <c r="S213" s="3">
        <f>1322.7+(1890.1-1299.8)+(0+(0-0))+0-377-0</f>
        <v>1536</v>
      </c>
      <c r="T213" s="3">
        <f>1322+(2025.1-1419.6)+(-0.67422+(-1.032801--0.723996))+0-417--0.212669999999958</f>
        <v>1509.7296449999999</v>
      </c>
      <c r="U213" s="3">
        <f>1321.5+(1819.9-1201)+(-2.021895+(-2.784447--1.83753))+0-381--0.582930000000022</f>
        <v>1557.0141180000001</v>
      </c>
      <c r="V213" s="3">
        <f>1321.4+(1551.3-1010)+(0+(0-0))+0-381-0</f>
        <v>1481.7</v>
      </c>
      <c r="W213" s="3">
        <f>1332.6+(1269.3-496.6)+(1.359252+(1.294686-0.506532))+0-380-0.387600000000061</f>
        <v>1727.0598059999998</v>
      </c>
      <c r="X213" s="3">
        <f>1337.9+(1437.3-560.2)+(0+(0-0))+0-389-0</f>
        <v>1826</v>
      </c>
      <c r="Y213" s="3">
        <f>1339.1+(1745.2-849.7)+(-0.682941+(-0.890052--0.433347))+0-386--0.196859999999961</f>
        <v>1847.6572139999998</v>
      </c>
      <c r="Z213" s="3">
        <f>1339.6+(2104.8-1256.9)+(-1.366392+(-2.146896--1.282038))+0-391--0.398820000000062</f>
        <v>1794.6675700000003</v>
      </c>
      <c r="AA213" s="3">
        <f>1337.6+(2441.7-1722.3)+(-1.364352+(-2.490534--1.756746))+0-387--0.394740000000062</f>
        <v>1668.2965999999999</v>
      </c>
      <c r="AB213" s="3">
        <f>1311.5+(2585-1865)+(-2.67546+(-5.2734--3.8046))+0-389--0.793559999999983</f>
        <v>1639.1493</v>
      </c>
      <c r="AC213" s="3">
        <f>1303.4+(2487.6-1934.2)+(-1.994202+(-3.806028--2.959326))+0-430--0.657900000000025</f>
        <v>1424.616996</v>
      </c>
      <c r="AD213">
        <f t="shared" si="3"/>
        <v>35818.901248000002</v>
      </c>
      <c r="AE213" s="3">
        <f>1335+(1424.4-646.6)+(0+(0-0))+0-355-0</f>
        <v>1757.8000000000002</v>
      </c>
    </row>
    <row r="214" spans="1:31" s="2" customFormat="1" x14ac:dyDescent="0.25">
      <c r="A214">
        <v>89</v>
      </c>
      <c r="B214">
        <v>7</v>
      </c>
      <c r="C214">
        <v>28</v>
      </c>
      <c r="D214">
        <v>5</v>
      </c>
      <c r="E214">
        <v>1</v>
      </c>
      <c r="F214" s="3">
        <f>1082.9+(2071-1396.8)+(-3.313674+(-6.33726--4.274208))+0-429--1.31274000000005</f>
        <v>1324.0360140000003</v>
      </c>
      <c r="G214" s="3">
        <f>903.8+(1782.7-1016.1)+(-0.921876+(-1.818354--1.036422))+0-447--0.455940000000071</f>
        <v>1222.1521320000002</v>
      </c>
      <c r="H214" s="3">
        <f>895.1+(1681.6-904.8)+(-1.369503+(-2.572848--1.384344))+0-442--0.676260000000026</f>
        <v>1228.018253</v>
      </c>
      <c r="I214" s="3">
        <f>895.4+(1618.6-886.5)+(-0.913308+(-1.650972--0.90423))+0-441--0.44982000000007</f>
        <v>1185.2897700000001</v>
      </c>
      <c r="J214" s="3">
        <f>896.9+(1673.7-923.3)+(0.457419+(0.853587-0.470883))+0-440-0.224399999999955</f>
        <v>1207.9157230000001</v>
      </c>
      <c r="K214" s="3">
        <f>895.3+(1714.6-890.6)+(-0.456603+(-0.874446--0.454206))+0-439--0.223889999999955</f>
        <v>1279.6470469999997</v>
      </c>
      <c r="L214" s="3">
        <f>891.5+(915.2-293.1)+(-2.273325+(-2.33376--0.747405))+0-446--1.13729999999994</f>
        <v>1064.8776199999998</v>
      </c>
      <c r="M214" s="3">
        <f>897.2+(1035.9-237.6)+(0.915144+(1.056618-0.242352))+0-414-0.422280000000066</f>
        <v>1282.8071299999999</v>
      </c>
      <c r="N214" s="3">
        <f>897.5+(1366.3-347.1)+(0.457725+(0.696813-0.177021))+0-416-0.212159999999958</f>
        <v>1501.4653569999998</v>
      </c>
      <c r="O214" s="3">
        <f>877.3+(1212.9-216.1)+(0+(0-0))+0-411-0</f>
        <v>1463.1</v>
      </c>
      <c r="P214" s="3">
        <f>974.9+(1292.5-323.9)+(1.491597+(1.977525-0.495567))+0-412-0.630360000000024</f>
        <v>1533.8431949999999</v>
      </c>
      <c r="Q214" s="3">
        <f>1046.7+(1509.6-619.5)+(-0.533817+(-0.769896--0.315945))+0-404--0.206039999999959</f>
        <v>1532.018272</v>
      </c>
      <c r="R214" s="3">
        <f>1045.9+(1865.9-1027.6)+(-1.600227+(-2.854827--1.572228))+0-403--0.616590000000023</f>
        <v>1478.9337640000003</v>
      </c>
      <c r="S214" s="3">
        <f>1046.9+(2086.8-1227)+(0+(0-0))+0-427-0</f>
        <v>1479.7000000000003</v>
      </c>
      <c r="T214" s="3">
        <f>1047.5+(2099.7-1244.5)+(-0.534225+(-1.070847--0.634695))+0-394--0.20093999999996</f>
        <v>1507.9305629999997</v>
      </c>
      <c r="U214" s="3">
        <f>1048.2+(2133.5-1337.6)+(-1.069164+(-2.17617--1.364352))+0-389--0.396780000000062</f>
        <v>1453.6157980000003</v>
      </c>
      <c r="V214" s="3">
        <f>1088.7+(1896.8-1232.6)+(-0.555237+(-0.967368--0.628626))+0-391--0.19940999999996</f>
        <v>1361.2054310000001</v>
      </c>
      <c r="W214" s="3">
        <f>1166.3+(1472.4-643)+(-1.784439+(-2.252772--0.98379))+0-391--0.598230000000023</f>
        <v>1602.244809</v>
      </c>
      <c r="X214" s="3">
        <f>1249.5+(1324.2-524.6)+(-0.637245+(-0.675342--0.267546))+0-390--0.19889999999996</f>
        <v>1658.2538589999999</v>
      </c>
      <c r="Y214" s="3">
        <f>1306.5+(1433.5-606.7)+(-1.33263+(-1.46217--0.618834))+0-389--0.396780000000062</f>
        <v>1742.5208140000004</v>
      </c>
      <c r="Z214" s="3">
        <f>1308.8+(1495.4-749.8)+(-2.002464+(-2.287962--1.147194))+0-392--0.599760000000023</f>
        <v>1659.8565280000003</v>
      </c>
      <c r="AA214" s="3">
        <f>1308+(1852.1-1075)+(-0.66708+(-0.944571--0.54825))+0-390--0.19889999999996</f>
        <v>1694.2354989999999</v>
      </c>
      <c r="AB214" s="3">
        <f>1298.9+(1969-1373.6)+(-5.299512+(-8.03352--5.604288))+0-390--1.59119999999997</f>
        <v>1498.1624560000002</v>
      </c>
      <c r="AC214" s="3">
        <f>1075.7+(1802.1-1193.3)+(-1.645821+(-2.757213--1.825749))+0-425--0.650250000000025</f>
        <v>1257.5729649999998</v>
      </c>
      <c r="AD214">
        <f t="shared" si="3"/>
        <v>34219.402998999991</v>
      </c>
      <c r="AE214" s="3">
        <f>1308+(1348.3-589.1)+(0+(0-0))+0-355-0</f>
        <v>1712.1999999999998</v>
      </c>
    </row>
    <row r="215" spans="1:31" s="2" customFormat="1" x14ac:dyDescent="0.25">
      <c r="A215">
        <v>89</v>
      </c>
      <c r="B215">
        <v>7</v>
      </c>
      <c r="C215">
        <v>29</v>
      </c>
      <c r="D215">
        <v>6</v>
      </c>
      <c r="E215">
        <v>1</v>
      </c>
      <c r="F215" s="3">
        <f>908.1+(1751.5-1037.8)+(-1.852524+(-3.57306--2.117112))+0-433--0.883319999999981</f>
        <v>1186.3748480000002</v>
      </c>
      <c r="G215" s="3">
        <f>895.6+(1656.8-918.3)+(-1.370268+(-2.534904--1.404999))+0-435--0.665550000000025</f>
        <v>1197.2653769999999</v>
      </c>
      <c r="H215" s="3">
        <f>894.5+(1462.5-781.3)+(-0.91239+(-1.49175--0.796926))+0-395--0.402900000000063</f>
        <v>1179.495686</v>
      </c>
      <c r="I215" s="3">
        <f>894.8+(1423.3-732.7)+(0+(0-0))+0-441-0</f>
        <v>1144.3999999999999</v>
      </c>
      <c r="J215" s="3">
        <f>894.7+(1382.6-661.7)+(0+(0-0))+0-435-0</f>
        <v>1180.5999999999999</v>
      </c>
      <c r="K215" s="3">
        <f>891.9+(1187.8-459)+(-1.819476+(-2.423112--0.93636))+0-399--0.813959999999983</f>
        <v>1219.2077319999999</v>
      </c>
      <c r="L215" s="3">
        <f>893.3+(895.2-278.4)+(-0.455583+(-0.456552--0.141984))+0-391--0.19940999999996</f>
        <v>1118.5292589999999</v>
      </c>
      <c r="M215" s="3">
        <f>893.6+(773.2-102.3)+(-0.455736+(-0.394332--0.052173))+0-417--0.212669999999958</f>
        <v>1146.914775</v>
      </c>
      <c r="N215" s="3">
        <f>893.6+(997.5-174.8)+(-0.911472+(-1.01745--0.178296))+0-412--0.420240000000066</f>
        <v>1302.9696140000003</v>
      </c>
      <c r="O215" s="3">
        <f>926.4+(1103.7-210.9)+(0.472464+(0.562887-0.107559))+0-414-0.211139999999958</f>
        <v>1405.9166520000001</v>
      </c>
      <c r="P215" s="3">
        <f>990.8+(1100.1-211.9)+(0.505308+(0.561051-0.108069))+0-413-0.210629999999958</f>
        <v>1466.74766</v>
      </c>
      <c r="Q215" s="3">
        <f>1240.1+(1104.8-387.2)+(-0.632451+(-0.563448--0.197472))+0-412--0.210119999999958</f>
        <v>1544.9116929999998</v>
      </c>
      <c r="R215" s="3">
        <f>1289.4+(1274.6-666.2)+(-3.28797+(-3.25023--1.69881))+0-421--1.07354999999994</f>
        <v>1473.0341599999997</v>
      </c>
      <c r="S215" s="3">
        <f>1291.2+(1597.4-993.1)+(0+(0-0))+0-426-0</f>
        <v>1469.5</v>
      </c>
      <c r="T215" s="3">
        <f>1292.4+(1717.1-1151.9)+(0.659124+(0.875721-0.587469))+0-382-0.194819999999961</f>
        <v>1476.352556</v>
      </c>
      <c r="U215" s="3">
        <f>1283.2+(1661.7-1235.1)+(-3.27216+(-4.237335--3.149505))+0-380--0.968999999999945</f>
        <v>1326.4090100000003</v>
      </c>
      <c r="V215" s="3">
        <f>1278.6+(1211.3-900.5)+(-2.608344+(-2.471052--1.83702))+0-381--0.777239999999983</f>
        <v>1205.9348639999998</v>
      </c>
      <c r="W215" s="3">
        <f>1282.3+(810.1-296)+(0.653973+(0.413151-0.15096))+0-379-0.193289999999962</f>
        <v>1418.1228740000001</v>
      </c>
      <c r="X215" s="3">
        <f>1304.5+(1105.1-395.3)+(1.33059+(1.127202-0.403206))+0-375-0.38250000000006</f>
        <v>1640.9720859999998</v>
      </c>
      <c r="Y215" s="3">
        <f>1306.3+(1106-290.1)+(-3.331065+(-2.8203--0.739755))+0-369--0.940949999999946</f>
        <v>1748.7293399999996</v>
      </c>
      <c r="Z215" s="3">
        <f>1302.1+(1225.5-389)+(-2.656284+(-2.50002--0.79356))+0-369--0.752759999999984</f>
        <v>1765.990016</v>
      </c>
      <c r="AA215" s="3">
        <f>1290.7+(1640.8-914.9)+(-1.316514+(-1.673616--0.933198))+0-387--0.394740000000062</f>
        <v>1627.9378079999999</v>
      </c>
      <c r="AB215" s="3">
        <f>1254.3+(1727.5-1060)+(-1.919079+(-2.643075--1.6218))+0-387--0.592110000000022</f>
        <v>1532.4517559999999</v>
      </c>
      <c r="AC215" s="3">
        <f>1119.2+(1811.8-1161.7)+(0+(0-0))+0-389-0</f>
        <v>1380.3</v>
      </c>
      <c r="AD215">
        <f t="shared" si="3"/>
        <v>33159.067765999993</v>
      </c>
      <c r="AE215" s="3">
        <f>1307+(1076.3-407.2)+(0+(0-0))+0-350-0</f>
        <v>1626.1</v>
      </c>
    </row>
    <row r="216" spans="1:31" s="2" customFormat="1" x14ac:dyDescent="0.25">
      <c r="A216">
        <v>89</v>
      </c>
      <c r="B216">
        <v>7</v>
      </c>
      <c r="C216">
        <v>30</v>
      </c>
      <c r="D216">
        <v>7</v>
      </c>
      <c r="E216">
        <v>1</v>
      </c>
      <c r="F216" s="3">
        <f>947.3+(1850.4-1093.7)+(0.483123+(0.943704-0.557787))+0-386-0.196859999999961</f>
        <v>1318.67218</v>
      </c>
      <c r="G216" s="3">
        <f>931.2+(1840.3-1158)+(-1.899648+(-3.754212--2.36232))+0-387--0.789479999999983</f>
        <v>1223.99794</v>
      </c>
      <c r="H216" s="3">
        <f>932.4+(1454.8-875.5)+(-2.37762+(-3.70974--2.232525))+0-361--0.920549999999948</f>
        <v>1147.7657149999998</v>
      </c>
      <c r="I216" s="3">
        <f>932.4+(1466.6-856.1)+(-1.426572+(-2.243898--1.309833))+0-361--0.552330000000021</f>
        <v>1180.0916929999999</v>
      </c>
      <c r="J216" s="3">
        <f>934.3+(1390.4-796.6)+(0+(0-0))+0-360-0</f>
        <v>1168.0999999999999</v>
      </c>
      <c r="K216" s="3">
        <f>933.5+(1380.7-762.2)+(0+(0-0))+0-359-0</f>
        <v>1193</v>
      </c>
      <c r="L216" s="3">
        <f>932.8+(1241.3-673.3)+(-1.427184+(-1.899189--1.030149))+0-361--0.552330000000021</f>
        <v>1138.056106</v>
      </c>
      <c r="M216" s="3">
        <f>936.3+(1088.2-523.7)+(0.477513+(0.554982-0.267087))+0-356-0.181559999999964</f>
        <v>1145.3838479999999</v>
      </c>
      <c r="N216" s="3">
        <f>936.3+(834.8-275.6)+(0+(0-0))+0-345-0</f>
        <v>1150.5</v>
      </c>
      <c r="O216" s="3">
        <f>937.5+(899.7-140.3)+(0+(0-0))+0-345-0</f>
        <v>1351.9</v>
      </c>
      <c r="P216" s="3">
        <f>1005.7+(1223.5-403.3)+(-1.538721+(-1.871955--0.617049))+0-332--0.507960000000019</f>
        <v>1491.614333</v>
      </c>
      <c r="Q216" s="3">
        <f>1121.4+(1353.6-724.4)+(0+(0-0))+0-339-0</f>
        <v>1411.6</v>
      </c>
      <c r="R216" s="3">
        <f>1121.6+(1490.5-931.5)+(-0.572016+(-0.760155--0.475065))+0-362--0.184619999999963</f>
        <v>1317.927514</v>
      </c>
      <c r="S216" s="3">
        <f>1118.8+(1762.9-1215.9)+(-2.282352+(-3.596316--2.480436))+0-363--0.740519999999984</f>
        <v>1300.142288</v>
      </c>
      <c r="T216" s="3">
        <f>1119.9+(1805.8-1283.7)+(-1.713447+(-2.762874--1.964061))+0-366--0.559980000000021</f>
        <v>1274.04772</v>
      </c>
      <c r="U216" s="3">
        <f>1118.3+(1682.6-1252.4)+(-2.851665+(-4.29063--3.19362))+0-368--0.938399999999947</f>
        <v>1177.4897249999997</v>
      </c>
      <c r="V216" s="3">
        <f>1120.8+(1175.8-816.2)+(-1.143216+(-1.199316--0.832524))+0-374--0.38148000000006</f>
        <v>1105.2714719999999</v>
      </c>
      <c r="W216" s="3">
        <f>1208.2+(778.3-356.9)+(1.232364+(0.793866-0.364038))+0-372-0.379440000000059</f>
        <v>1258.8827519999998</v>
      </c>
      <c r="X216" s="3">
        <f>1309+(1016-455.6)+(2.00277+(1.55448-0.697068))+0-374-0.572220000000022</f>
        <v>1497.687962</v>
      </c>
      <c r="Y216" s="3">
        <f>1309+(1035.6-329.8)+(0.66759+(0.528156-0.168198))+0-374-0.190739999999962</f>
        <v>1641.636808</v>
      </c>
      <c r="Z216" s="3">
        <f>1309.4+(954.2-274.7)+(0.667794+(0.486642-0.140097))+0-356-0.181559999999964</f>
        <v>1633.7327790000002</v>
      </c>
      <c r="AA216" s="3">
        <f>1305.7+(1041.7-368.3)+(-1.331814+(-1.062534--0.375666))+0-357--0.364140000000057</f>
        <v>1620.4454580000004</v>
      </c>
      <c r="AB216" s="3">
        <f>1276.9+(1358.9-716.4)+(-1.953657+(-2.079117--1.096092))+0-358--0.547740000000021</f>
        <v>1559.011058</v>
      </c>
      <c r="AC216" s="3">
        <f>1057.2+(1650.5-961.7)+(-1.078344+(-1.68351--0.980934))+0-407--0.415140000000065</f>
        <v>1337.6342200000001</v>
      </c>
      <c r="AD216">
        <f t="shared" si="3"/>
        <v>31644.591571000001</v>
      </c>
      <c r="AE216" s="3">
        <f>1304+(1011.8-344.2)+(0+(0-0))+0-375-0</f>
        <v>1596.6</v>
      </c>
    </row>
    <row r="217" spans="1:31" s="2" customFormat="1" x14ac:dyDescent="0.25">
      <c r="A217">
        <v>89</v>
      </c>
      <c r="B217">
        <v>8</v>
      </c>
      <c r="C217">
        <v>1</v>
      </c>
      <c r="D217">
        <v>1</v>
      </c>
      <c r="E217">
        <v>1</v>
      </c>
      <c r="F217" s="3">
        <f>935.5+(1642.3-923.2)+(-0.95421+(-1.675146--0.941664))+0-400--0.408000000000064</f>
        <v>1253.3203080000001</v>
      </c>
      <c r="G217" s="3">
        <f>896.2+(1702.1-972.2)+(-1.371186+(-2.604213--1.487466))+0-406--0.621180000000023</f>
        <v>1218.2332469999999</v>
      </c>
      <c r="H217" s="3">
        <f>890.1+(1798.6-1058.5)+(-1.361853+(-2.751858--1.619505))+0-405--0.619650000000023</f>
        <v>1223.3254439999998</v>
      </c>
      <c r="I217" s="3">
        <f>890.8+(1885.8-1201.2)+(-1.362924+(-2.885274--1.837836))+0-411--0.628830000000024</f>
        <v>1162.6184679999999</v>
      </c>
      <c r="J217" s="3">
        <f>889.7+(1742.2-1074.3)+(-1.814988+(-3.554088--2.191572))+0-423--0.862919999999981</f>
        <v>1132.2854160000002</v>
      </c>
      <c r="K217" s="3">
        <f>880.9+(1446.6-815.4)+(0+(0-0))+0-410-0</f>
        <v>1102.0999999999999</v>
      </c>
      <c r="L217" s="3">
        <f>830.4+(1070.9-510.9)+(-0.423504+(-0.546159--0.260559))+0-424--0.216239999999957</f>
        <v>965.90713600000004</v>
      </c>
      <c r="M217" s="3">
        <f>835+(1041.6-274.3)+(1.27755+(1.593648-0.419679))+0-398-0.608940000000023</f>
        <v>1206.1425789999998</v>
      </c>
      <c r="N217" s="3">
        <f>833.4+(1165.4-273.6)+(0+(0-0))+0-399-0</f>
        <v>1326.2</v>
      </c>
      <c r="O217" s="3">
        <f>875.7+(1252.5-216)+(-0.446607+(-0.638775--0.11016))+0-377--0.192269999999962</f>
        <v>1534.417048</v>
      </c>
      <c r="P217" s="3">
        <f>910.1+(1449.5-429.6)+(1.392453+(2.217735-0.657288))+0-415.7-0.636021000000024</f>
        <v>1516.6168789999999</v>
      </c>
      <c r="Q217" s="3">
        <f>1027.3+(1678.9-740.5)+(0+(0-0))+0-404.4-0</f>
        <v>1561.3000000000002</v>
      </c>
      <c r="R217" s="3">
        <f>1050.2+(1955.9-1058.1)+(-1.606806+(-2.992527--1.618893))+0-405.8--0.620874000000023</f>
        <v>1539.8404340000002</v>
      </c>
      <c r="S217" s="3">
        <f>1216.8+(2170-1494)+(-3.723408+(-6.6402--4.57164))+0-389.2--1.19095200000004</f>
        <v>1498.9989840000001</v>
      </c>
      <c r="T217" s="3">
        <f>1274.8+(2169.4-1549.1)+(0+(0-0))+0-409.6-0</f>
        <v>1485.5</v>
      </c>
      <c r="U217" s="3">
        <f>1290.7+(2078.9-1581.5)+(-1.316514+(-2.120478--1.61313))+0-358--0.365160000000057</f>
        <v>1428.6412980000002</v>
      </c>
      <c r="V217" s="3">
        <f>1290.7+(1577.7-1175.3)+(-1.974771+(-2.413881--1.798209))+0-358.6--0.548658000000021</f>
        <v>1332.4582149999999</v>
      </c>
      <c r="W217" s="3">
        <f>1299.8+(1016.9-519.6)+(0.662898+(0.518619-0.264996))+0-359.6-0.183395999999964</f>
        <v>1438.2331250000002</v>
      </c>
      <c r="X217" s="3">
        <f>1304.9+(1170.6-375.5)+(-1.996497+(-1.791018--0.574515))+0-367.5--0.562275000000021</f>
        <v>1729.8492749999998</v>
      </c>
      <c r="Y217" s="3">
        <f>1305.1+(1292.8-377.2)+(-1.331202+(-1.318656--0.384744))+0-373.1--0.38056200000006</f>
        <v>1845.7154480000002</v>
      </c>
      <c r="Z217" s="3">
        <f>1304.6+(1666.4-832.3)+(-1.996038+(-2.549592--1.273419))+0-374.2--0.572526000000022</f>
        <v>1761.8003149999997</v>
      </c>
      <c r="AA217" s="3">
        <f>1289.7+(2168.3-1351.1)+(-1.315494+(-2.211666--1.378122))+0-367.3--0.374646000000059</f>
        <v>1737.8256080000006</v>
      </c>
      <c r="AB217" s="3">
        <f>1287.2+(2430.7-1764)+(-3.28236+(-6.198285--4.4982))+0-377.2--0.961859999999945</f>
        <v>1572.6794149999996</v>
      </c>
      <c r="AC217" s="3">
        <f>1180.5+(2170.5-1697)+(-3.010275+(-5.534775--4.32735))+0-417.7--1.06513499999994</f>
        <v>1233.1474349999999</v>
      </c>
      <c r="AD217">
        <f t="shared" si="3"/>
        <v>33807.156077</v>
      </c>
      <c r="AE217" s="3">
        <f>1304+(1111.5-409.3)+(0+(0-0))+0-367.1-0</f>
        <v>1639.1</v>
      </c>
    </row>
    <row r="218" spans="1:31" s="2" customFormat="1" x14ac:dyDescent="0.25">
      <c r="A218">
        <v>89</v>
      </c>
      <c r="B218">
        <v>8</v>
      </c>
      <c r="C218">
        <v>2</v>
      </c>
      <c r="D218">
        <v>2</v>
      </c>
      <c r="E218">
        <v>1</v>
      </c>
      <c r="F218" s="3">
        <f>983.7+(1782.5-1165.2)+(-2.006748+(-3.6363--2.377008))+0-431.9--0.881075999999981</f>
        <v>1166.7150359999998</v>
      </c>
      <c r="G218" s="3">
        <f>898.8+(1579.8-842.1)+(-0.458388+(-0.805698--0.429471))+0-424.8--0.216647999999957</f>
        <v>1211.0820329999999</v>
      </c>
      <c r="H218" s="3">
        <f>897.1+(1723.7-990.2)+(-2.287605+(-4.395435--2.52501))+0-434.2--1.10720999999994</f>
        <v>1193.3491799999997</v>
      </c>
      <c r="I218" s="3">
        <f>897.1+(1683.1-1005)+(2.287605+(4.291905-2.56275))+0-375.6-0.957779999999946</f>
        <v>1202.6589799999999</v>
      </c>
      <c r="J218" s="3">
        <f>897+(1458.1-828.5)+(0.91494+(1.487262-0.84507))+0-416.9-0.425238000000066</f>
        <v>1110.8318939999997</v>
      </c>
      <c r="K218" s="3">
        <f>897+(1134.4-544.9)+(-0.91494+(-1.157088--0.555798))+0-423.3--0.431766000000067</f>
        <v>1062.1155360000002</v>
      </c>
      <c r="L218" s="3">
        <f>890.9+(969.7-365.4)+(-0.908718+(-0.989094--0.372708))+0-394.6--0.402492000000063</f>
        <v>1099.4773880000002</v>
      </c>
      <c r="M218" s="3">
        <f>891.2+(949.2-127.1)+(0.909024+(0.968184-0.129642))+0-426-0.434520000000068</f>
        <v>1288.6130460000002</v>
      </c>
      <c r="N218" s="3">
        <f>892.1+(1122.4-136.5)+(-1.364913+(-1.717272--0.208845))+0-387.5--0.592875000000022</f>
        <v>1488.219535</v>
      </c>
      <c r="O218" s="3">
        <f>889.3+(1241.2-170.4)+(-1.360629+(-1.899036--0.260712))+0-430.2--0.658206000000025</f>
        <v>1527.5592529999999</v>
      </c>
      <c r="P218" s="3">
        <f>962.4+(1448.3-354.6)+(-1.472472+(-2.215899--0.542538))+0-432.6--0.661878000000025</f>
        <v>1621.0160450000001</v>
      </c>
      <c r="Q218" s="3">
        <f>1101+(1651.2-754.1)+(-2.80755+(-4.21056--1.922955))+0-424--1.08119999999994</f>
        <v>1570.0860449999998</v>
      </c>
      <c r="R218" s="3">
        <f>1169.2+(1766.8-1020.6)+(-2.98146+(-4.50534--2.60253))+0-415.1--1.05850499999994</f>
        <v>1496.4742350000001</v>
      </c>
      <c r="S218" s="3">
        <f>1174.5+(2277.4-1521.3)+(-1.19799+(-2.322948--1.551726))+0-401.4--0.409428000000064</f>
        <v>1527.6402160000005</v>
      </c>
      <c r="T218" s="3">
        <f>1176.6+(2347.2-1596.6)+(-2.400264+(-4.788288--3.257064))+0-391.3--0.798251999999983</f>
        <v>1532.766764</v>
      </c>
      <c r="U218" s="3">
        <f>1145.9+(2226.3-1570.3)+(-2.337636+(-4.541652--3.203412))+0-408.2--0.832727999999982</f>
        <v>1390.8568520000003</v>
      </c>
      <c r="V218" s="3">
        <f>1120.4+(1343.6-774.8)+(0.571404+(0.685236-0.395148))+0-393.8-0.20083799999996</f>
        <v>1296.0606540000001</v>
      </c>
      <c r="W218" s="3">
        <f>1181.4+(972.2-249.7)+(0+(0-0))+0-388.6-0</f>
        <v>1515.3000000000002</v>
      </c>
      <c r="X218" s="3">
        <f>1316.3+(1226.5-378.1)+(-2.685252+(-2.50206--0.771324))+0-387.6--0.790703999999983</f>
        <v>1773.4747159999997</v>
      </c>
      <c r="Y218" s="3">
        <f>1303.5+(1208.8-413.4)+(-2.65914+(-2.465952--0.843336))+0-383.8--0.782951999999983</f>
        <v>1711.6011960000003</v>
      </c>
      <c r="Z218" s="3">
        <f>1303.1+(1165.9-433.5)+(-1.329162+(-1.189218--0.44217))+0-387.8--0.395556000000062</f>
        <v>1646.0193460000003</v>
      </c>
      <c r="AA218" s="3">
        <f>1226.5+(996.1-316.9)+(-1.25103+(-1.016022--0.323238))+0-391.1--0.398922000000062</f>
        <v>1513.0551080000002</v>
      </c>
      <c r="AB218" s="3">
        <f>1182.7+(986.7-318.8)+(-3.015885+(-2.516085--0.81294))+0-394--1.00469999999994</f>
        <v>1452.8856700000001</v>
      </c>
      <c r="AC218" s="3">
        <f>1064.4+(1132-432)+(-2.71422+(-2.8866--1.1016))+0-430--1.09649999999994</f>
        <v>1330.99728</v>
      </c>
      <c r="AD218">
        <f t="shared" si="3"/>
        <v>33728.856008000002</v>
      </c>
      <c r="AE218" s="3">
        <f>1322+(1248.4-404.1)+(0+(0-0))+0-383-0</f>
        <v>1783.3000000000002</v>
      </c>
    </row>
    <row r="219" spans="1:31" s="2" customFormat="1" x14ac:dyDescent="0.25">
      <c r="A219">
        <v>89</v>
      </c>
      <c r="B219">
        <v>8</v>
      </c>
      <c r="C219">
        <v>3</v>
      </c>
      <c r="D219">
        <v>3</v>
      </c>
      <c r="E219">
        <v>1</v>
      </c>
      <c r="F219" s="3">
        <f>990.7+(1421-697)+(-1.515771+(-2.17413--1.06641))+0-437.3--0.669069000000025</f>
        <v>1275.4455780000001</v>
      </c>
      <c r="G219" s="3">
        <f>894.6+(1731.1-923.2)+(-2.28123+(-4.414305--2.35416))+0-453--1.15514999999993</f>
        <v>1246.3137749999999</v>
      </c>
      <c r="H219" s="3">
        <f>888.6+(1554.4-789.9)+(-0.906372+(-1.585488--0.805698))+0-440.3--0.44910600000007</f>
        <v>1211.5629440000002</v>
      </c>
      <c r="I219" s="3">
        <f>889.8+(1440.6-720.7)+(0+(0-0))+0-443.4-0</f>
        <v>1166.2999999999997</v>
      </c>
      <c r="J219" s="3">
        <f>890.7+(1347.6-652.4)+(0.454257+(0.687276-0.332724))+0-445.3-0.227102999999955</f>
        <v>1141.1817060000003</v>
      </c>
      <c r="K219" s="3">
        <f>890.8+(1174.6-487.2)+(-0.908616+(-1.198092--0.496944))+0-429.9--0.438498000000069</f>
        <v>1147.1287339999999</v>
      </c>
      <c r="L219" s="3">
        <f>890.7+(971.3-317.5)+(-0.454257+(-0.495363--0.161925))+0-385--0.196349999999961</f>
        <v>1158.908655</v>
      </c>
      <c r="M219" s="3">
        <f>891.6+(951.8-181.3)+(1.364148+(1.456254-0.277389))+0-431.4-0.660042000000025</f>
        <v>1232.5829709999998</v>
      </c>
      <c r="N219" s="3">
        <f>890.6+(1038.4-137.7)+(-0.454206+(-0.529584--0.070227))+0-421.7--0.215066999999957</f>
        <v>1368.9015039999999</v>
      </c>
      <c r="O219" s="3">
        <f>891.5+(1162-149.7)+(-0.454665+(-0.59262--0.076347))+0-411.8--0.210017999999958</f>
        <v>1491.2390800000001</v>
      </c>
      <c r="P219" s="3">
        <f>944.3+(1277.7-270.2)+(0+(0-0))+0-377.7-0</f>
        <v>1574.1</v>
      </c>
      <c r="Q219" s="3">
        <f>1145.8+(1468.4-632.5)+(-1.168716+(-1.497768--0.64515))+0-404--0.412080000000064</f>
        <v>1576.0907460000001</v>
      </c>
      <c r="R219" s="3">
        <f>1236.9+(1850.6-1131.5)+(-3.784914+(-5.662836--3.46239))+0-411.3--1.25857800000005</f>
        <v>1539.9732180000001</v>
      </c>
      <c r="S219" s="3">
        <f>1239.9+(2080.1-1398.6)+(-2.529396+(-4.243404--2.853144))+0-406.5--0.829259999999982</f>
        <v>1511.809604</v>
      </c>
      <c r="T219" s="3">
        <f>1239.9+(2118-1521.2)+(-1.897047+(-3.24054--2.327436))+0-366--0.559980000000021</f>
        <v>1468.4498290000001</v>
      </c>
      <c r="U219" s="3">
        <f>1240+(2056.2-1453.1)+(1.2648+(2.097324-1.482162))+0-364.8-0.372096000000058</f>
        <v>1479.8078659999999</v>
      </c>
      <c r="V219" s="3">
        <f>1242.2+(1862-1315.5)+(0+(0-0))+0-362.8-0</f>
        <v>1425.9</v>
      </c>
      <c r="W219" s="3">
        <f>1304.7+(1154.8-706.6)+(0.665397+(0.588948-0.360366))+0-357.4-0.182273999999964</f>
        <v>1396.2117049999999</v>
      </c>
      <c r="X219" s="3">
        <f>1321.3+(1325.6-489.7)+(-0.673863+(-0.676056--0.249747))+0-369.8--0.188597999999962</f>
        <v>1786.4884259999999</v>
      </c>
      <c r="Y219" s="3">
        <f>1320.6+(1376.4-530.5)+(-2.694024+(-2.807856--1.08222))+0-369.2--0.753167999999984</f>
        <v>1793.6335079999999</v>
      </c>
      <c r="Z219" s="3">
        <f>1320.2+(1339.5-620.1)+(-1.346604+(-1.36629--0.632502))+0-370.6--0.378012000000059</f>
        <v>1667.2976199999998</v>
      </c>
      <c r="AA219" s="3">
        <f>1320.2+(1600.8-853.5)+(-0.673302+(-0.816408--0.435285))+0-375.9--0.191708999999962</f>
        <v>1690.737284</v>
      </c>
      <c r="AB219" s="3">
        <f>1320.3+(1555.2-999.4)+(-2.020059+(-2.379456--1.529082))+0-405.3--0.620109000000023</f>
        <v>1468.5496759999999</v>
      </c>
      <c r="AC219" s="3">
        <f>1177.9+(1721.4-1099)+(-3.003645+(-4.38957--2.80245))+0-395.1--1.00750499999994</f>
        <v>1401.6167400000004</v>
      </c>
      <c r="AD219">
        <f t="shared" si="3"/>
        <v>34220.231168999999</v>
      </c>
      <c r="AE219" s="3">
        <f>1325+(1355.7-513.8)+(0+(0-0))+0-370-0</f>
        <v>1796.9</v>
      </c>
    </row>
    <row r="220" spans="1:31" s="2" customFormat="1" x14ac:dyDescent="0.25">
      <c r="A220">
        <v>89</v>
      </c>
      <c r="B220">
        <v>8</v>
      </c>
      <c r="C220">
        <v>4</v>
      </c>
      <c r="D220">
        <v>4</v>
      </c>
      <c r="E220">
        <v>1</v>
      </c>
      <c r="F220" s="3">
        <f>963.4+(1637.1-952.3)+(-1.965336+(-3.339684--1.942692))+0-416.4--0.849455999999982</f>
        <v>1229.2871279999999</v>
      </c>
      <c r="G220" s="3">
        <f>895.4+(1418.5-760.9)+(0+(0-0))+0-414.2-0</f>
        <v>1138.8</v>
      </c>
      <c r="H220" s="3">
        <f>895.9+(1449.5-727.6)+(0.456909+(0.739245-0.371076))+0-426.8-0.217667999999957</f>
        <v>1191.6074100000001</v>
      </c>
      <c r="I220" s="3">
        <f>896.5+(1339.6-670.4)+(0.91443+(1.366392-0.683808))+0-418.7-0.427074000000067</f>
        <v>1148.1699399999995</v>
      </c>
      <c r="J220" s="3">
        <f>893.7+(1194.3-518.9)+(-0.911574+(-1.218186--0.529278))+0-413.8--0.422076000000066</f>
        <v>1154.121594</v>
      </c>
      <c r="K220" s="3">
        <f>894+(933.7-330.1)+(-0.91188+(-0.952374--0.336702))+0-411.7--0.419934000000066</f>
        <v>1084.7923819999999</v>
      </c>
      <c r="L220" s="3">
        <f>894.5+(843.2-172.7)+(-1.368585+(-1.290096--0.264231))+0-420.4--0.643212000000024</f>
        <v>1142.8487620000001</v>
      </c>
      <c r="M220" s="3">
        <f>896.6+(935.4-148.9)+(-0.457266+(-0.477054--0.075939))+0-425.9--0.217208999999957</f>
        <v>1256.5588279999997</v>
      </c>
      <c r="N220" s="3">
        <f>906.9+(1033.4-87.3)+(0+(0-0))+0-420.2-0</f>
        <v>1432.8</v>
      </c>
      <c r="O220" s="3">
        <f>924.7+(1146-54)+(0.471597+(0.58446-0.02754))+0-424.4-0.216443999999957</f>
        <v>1593.112073</v>
      </c>
      <c r="P220" s="3">
        <f>1090.5+(1097.6-193.8)+(0+(0-0))+0-417.2-0</f>
        <v>1577.1</v>
      </c>
      <c r="Q220" s="3">
        <f>1093.8+(1520.3-522)+(-0.557838+(-0.775353--0.26622))+0-368--0.187679999999963</f>
        <v>1723.2207089999997</v>
      </c>
      <c r="R220" s="3">
        <f>1092.9+(1953.6-1108.9)+(-1.672137+(-2.989008--1.696617))+0-391.1--0.598383000000023</f>
        <v>1544.133855</v>
      </c>
      <c r="S220" s="3">
        <f>1122.6+(2104.6-1242)+(-2.290104+(-4.293384--2.53368))+0-438.9--0.895355999999981</f>
        <v>1543.145548</v>
      </c>
      <c r="T220" s="3">
        <f>1149.4+(1952.4-1261)+(-2.93097+(-4.97862--3.21555))+0-416.2--1.06130999999994</f>
        <v>1420.9672700000001</v>
      </c>
      <c r="U220" s="3">
        <f>1150.6+(1813.4-1119.2)+(-2.347224+(-3.699336--2.283168))+0-379.7--0.774587999999983</f>
        <v>1462.1111959999998</v>
      </c>
      <c r="V220" s="3">
        <f>1152.6+(1496.5-697.2)+(-0.587826+(-0.763215--0.355572))+0-382.5--0.195074999999961</f>
        <v>1568.5996059999998</v>
      </c>
      <c r="W220" s="3">
        <f>1202.1+(1065-364.8)+(0+(0-0))+0-384.4-0</f>
        <v>1517.9</v>
      </c>
      <c r="X220" s="3">
        <f>1290.5+(1180.1-258.6)+(-1.974465+(-1.805553--0.395658))+0-384.7--0.588591000000022</f>
        <v>1824.5042309999999</v>
      </c>
      <c r="Y220" s="3">
        <f>1292.8+(1219.8-320.1)+(-3.955968+(-3.732588--0.979506))+0-387--1.18422000000004</f>
        <v>1799.9751700000002</v>
      </c>
      <c r="Z220" s="3">
        <f>1281.3+(1272.4-577)+(-1.960389+(-1.946772--0.88281))+0-387.4--0.592722000000022</f>
        <v>1586.8683710000003</v>
      </c>
      <c r="AA220" s="3">
        <f>1277.5+(1548-820.6)+(0.651525+(0.78948-0.418506))+0-388.6-0.198185999999961</f>
        <v>1617.124313</v>
      </c>
      <c r="AB220" s="3">
        <f>1276.7+(1529.5-935.7)+(-1.302234+(-1.56009--0.954414))+0-391.8--0.399636000000063</f>
        <v>1477.1917260000002</v>
      </c>
      <c r="AC220" s="3">
        <f>1215+(1212.3-797.3)+(-2.4786+(-2.473092--1.626492))+0-396--0.807839999999983</f>
        <v>1231.4826399999999</v>
      </c>
      <c r="AD220">
        <f t="shared" si="3"/>
        <v>34266.422752000006</v>
      </c>
      <c r="AE220" s="3">
        <f>1300+(1244.6-313.9)+(0+(0-0))+0-385.9-0</f>
        <v>1844.7999999999997</v>
      </c>
    </row>
    <row r="221" spans="1:31" s="2" customFormat="1" x14ac:dyDescent="0.25">
      <c r="A221">
        <v>89</v>
      </c>
      <c r="B221">
        <v>8</v>
      </c>
      <c r="C221">
        <v>5</v>
      </c>
      <c r="D221">
        <v>5</v>
      </c>
      <c r="E221">
        <v>1</v>
      </c>
      <c r="F221" s="3">
        <f>1013.5+(1361.8-690.9)+(-1.03377+(-1.389036--0.704718))+0-451.7--0.460734000000072</f>
        <v>1231.442646</v>
      </c>
      <c r="G221" s="3">
        <f>877.3+(1331.9-617.4)+(-2.237115+(-3.396345--1.57437))+0-432.1--1.10185499999994</f>
        <v>1156.742765</v>
      </c>
      <c r="H221" s="3">
        <f>860.6+(1465.1-668.7)+(-0.438906+(-0.747201--0.341037))+0-443.5--0.226184999999955</f>
        <v>1212.8811149999999</v>
      </c>
      <c r="I221" s="3">
        <f>860.6+(1377.2-630.7)+(-0.438906+(-0.702372--0.321657))+0-428.2--0.218381999999957</f>
        <v>1178.2987609999998</v>
      </c>
      <c r="J221" s="3">
        <f>860.5+(1287.3-578)+(2.194275+(3.282615-1.4739))+0-419.1-1.06870499999994</f>
        <v>1153.6342849999999</v>
      </c>
      <c r="K221" s="3">
        <f>860.5+(1054.1-393.3)+(0.438855+(0.537591-0.200583))+0-428.4-0.218483999999957</f>
        <v>1093.4573789999999</v>
      </c>
      <c r="L221" s="3">
        <f>860.6+(822-169.2)+(-1.316718+(-1.25766--0.258876))+0-426.4--0.652392000000025</f>
        <v>1085.33689</v>
      </c>
      <c r="M221" s="3">
        <f>860.5+(953.6-238.4)+(0.87771+(0.972672-0.243168))+0-416.8-0.425136000000066</f>
        <v>1160.0820780000001</v>
      </c>
      <c r="N221" s="3">
        <f>861.6+(1067.6-107.9)+(-1.318248+(-1.633428--0.165087))+0-423--0.647190000000024</f>
        <v>1396.160601</v>
      </c>
      <c r="O221" s="3">
        <f>861.8+(1150.3-75.8)+(0+(0-0))+0-422.8-0</f>
        <v>1513.5</v>
      </c>
      <c r="P221" s="3">
        <f>942.5+(1203.8-210.8)+(0+(0-0))+0-400.5-0</f>
        <v>1535</v>
      </c>
      <c r="Q221" s="3">
        <f>1098.2+(1211.2-363.8)+(-0.560082+(-0.617712--0.185538))+0-398.1--0.20303099999996</f>
        <v>1546.710775</v>
      </c>
      <c r="R221" s="3">
        <f>1198.2+(1402.3-736.1)+(-3.05541+(-3.575865--1.877055))+0-409.4--1.04396999999994</f>
        <v>1451.2897500000001</v>
      </c>
      <c r="S221" s="3">
        <f>1206.3+(1776.4-1131.2)+(-1.845639+(-2.717892--1.730736))+0-402.6--0.615978000000023</f>
        <v>1446.6831829999999</v>
      </c>
      <c r="T221" s="3">
        <f>1206.9+(1776.3-1142.9)+(-1.846557+(-2.717739--1.748637))+0-366.5--0.560745000000021</f>
        <v>1471.5450859999999</v>
      </c>
      <c r="U221" s="3">
        <f>1209.6+(1770.4-1156.8)+(-3.08448+(-4.51452--2.94984))+0-366.9--0.935594999999947</f>
        <v>1452.5864350000002</v>
      </c>
      <c r="V221" s="3">
        <f>1213.7+(1486.8-815.5)+(-3.094935+(-3.79134--2.079525))+0-366.6--0.934829999999947</f>
        <v>1514.5280799999998</v>
      </c>
      <c r="W221" s="3">
        <f>1284.1+(1065.2-378.8)+(-1.309782+(-1.086504--0.386376))+0-373.5--0.38097000000006</f>
        <v>1595.3710600000002</v>
      </c>
      <c r="X221" s="3">
        <f>1292.3+(1223.5-393.3)+(-1.318146+(-1.24797--0.401166))+0-378.3--0.38586600000006</f>
        <v>1742.4209160000003</v>
      </c>
      <c r="Y221" s="3">
        <f>1293.5+(1302-469.7)+(-1.979055+(-1.99206--0.718641))+0-371.8--0.568854000000022</f>
        <v>1751.3163800000004</v>
      </c>
      <c r="Z221" s="3">
        <f>1292.4+(1363.2-627)+(-1.318248+(-1.390464--0.63954))+0-369.7--0.377094000000059</f>
        <v>1657.2079220000003</v>
      </c>
      <c r="AA221" s="3">
        <f>1280.3+(1001-386.6)+(-3.264765+(-2.55255--0.98583))+0-377.7--0.963134999999945</f>
        <v>1513.1316499999998</v>
      </c>
      <c r="AB221" s="3">
        <f>1120+(917.2-176.5)+(0.5712+(0.467772-0.090015))+0-379.2-0.193391999999962</f>
        <v>1482.2555650000002</v>
      </c>
      <c r="AC221" s="3">
        <f>938.1+(958.5-129.4)+(-2.392155+(-2.444175--0.32997))+0-417.8--1.06538999999994</f>
        <v>1345.95903</v>
      </c>
      <c r="AD221">
        <f t="shared" si="3"/>
        <v>33687.542352000004</v>
      </c>
      <c r="AE221" s="3">
        <f>1294+(1231.4-395.3)+(0+(0-0))+0-376.5-0</f>
        <v>1753.6000000000004</v>
      </c>
    </row>
    <row r="222" spans="1:31" s="2" customFormat="1" x14ac:dyDescent="0.25">
      <c r="A222">
        <v>89</v>
      </c>
      <c r="B222">
        <v>8</v>
      </c>
      <c r="C222">
        <v>6</v>
      </c>
      <c r="D222">
        <v>6</v>
      </c>
      <c r="E222">
        <v>1</v>
      </c>
      <c r="F222" s="3">
        <f>842.9+(1160.3-339.2)+(-1.719516+(-2.367012--0.691968))+0-396.4--0.808655999999983</f>
        <v>1265.0140960000001</v>
      </c>
      <c r="G222" s="3">
        <f>845.5+(1170-392.7)+(0.431205+(0.5967-0.200277))+0-389-0.198389999999961</f>
        <v>1234.4292379999999</v>
      </c>
      <c r="H222" s="3">
        <f>843.4+(1110.2-347.4)+(0.430134+(0.566202-0.177174))+0-431.8-0.220217999999956</f>
        <v>1174.9989440000002</v>
      </c>
      <c r="I222" s="3">
        <f>843+(1045.4-306.1)+(-0.85986+(-1.066308--0.312222))+0-433.7--0.442374000000069</f>
        <v>1147.4284280000002</v>
      </c>
      <c r="J222" s="3">
        <f>844.5+(987.2-301.8)+(-0.430695+(-0.503472--0.153918))+0-427.9--0.218228999999957</f>
        <v>1101.4379800000002</v>
      </c>
      <c r="K222" s="3">
        <f>843+(862.1-210.5)+(-0.85986+(-0.879342--0.21471))+0-392.7--0.400554000000063</f>
        <v>1100.7760619999999</v>
      </c>
      <c r="L222" s="3">
        <f>838+(884.2-207.1)+(-0.85476+(-0.901884--0.211242))+0-392.8--0.400656000000063</f>
        <v>1121.155254</v>
      </c>
      <c r="M222" s="3">
        <f>841.1+(860.2-79)+(-0.428961+(-0.438702--0.04029))+0-395.8--0.20185799999996</f>
        <v>1225.874485</v>
      </c>
      <c r="N222" s="3">
        <f>860.8+(1064.5-142.2)+(1.317024+(1.628685-0.217566))+0-399.4-0.611082000000023</f>
        <v>1385.817061</v>
      </c>
      <c r="O222" s="3">
        <f>860+(1089.4-94.1)+(0.8772+(1.111188-0.095982))+0-432.8-0.441456000000069</f>
        <v>1423.9509500000001</v>
      </c>
      <c r="P222" s="3">
        <f>856.4+(1173.8-150.5)+(-1.747056+(-2.394552--0.30702))+0-425--0.866999999999981</f>
        <v>1451.7324119999998</v>
      </c>
      <c r="Q222" s="3">
        <f>854.9+(1189.9-178)+(-0.871998+(-1.213698--0.18156))+0-404.8--0.412896000000065</f>
        <v>1460.5087600000002</v>
      </c>
      <c r="R222" s="3">
        <f>854.2+(1155.5-231)+(-3.485136+(-4.71444--0.94248))+0-439.7--1.79397599999996</f>
        <v>1333.5368799999999</v>
      </c>
      <c r="S222" s="3">
        <f>858.4+(1272.7-328.4)+(0+(0-0))+0-443-0</f>
        <v>1359.7</v>
      </c>
      <c r="T222" s="3">
        <f>857.2+(1430.1-460.7)+(0+(0-0))+0-399.9-0</f>
        <v>1426.6999999999998</v>
      </c>
      <c r="U222" s="3">
        <f>855.8+(1407.5-511.5)+(-1.309374+(-2.153475--0.782595))+0-398.6--0.609858000000023</f>
        <v>1351.129604</v>
      </c>
      <c r="V222" s="3">
        <f>899.3+(1064.3-378.3)+(0+(0-0))+0-394.3-0</f>
        <v>1191</v>
      </c>
      <c r="W222" s="3">
        <f>1201.3+(919.8-267.7)+(-1.837989+(-1.407294--0.409581))+0-395--0.604350000000023</f>
        <v>1456.1686479999998</v>
      </c>
      <c r="X222" s="3">
        <f>1272.5+(1119-290.5)+(-3.244875+(-2.85345--0.740775))+0-395.3--1.00801499999994</f>
        <v>1701.3504649999998</v>
      </c>
      <c r="Y222" s="3">
        <f>1270.7+(1078.6-295.7)+(-5.184456+(-4.400688--1.206456))+0-396.8--1.61894399999997</f>
        <v>1650.040256</v>
      </c>
      <c r="Z222" s="3">
        <f>1111.2+(1037.6-242.1)+(-1.133424+(-1.058352--0.246942))+0-395.8--0.403716000000063</f>
        <v>1509.358882</v>
      </c>
      <c r="AA222" s="3">
        <f>1041.7+(1058.6-208.4)+(-2.125068+(-2.159544--0.425136))+0-397.5--0.810899999999983</f>
        <v>1491.351424</v>
      </c>
      <c r="AB222" s="3">
        <f>1018.4+(952.9-190.9)+(-3.116304+(-2.915874--0.584154))+0-396.8--1.21420800000005</f>
        <v>1379.3661840000002</v>
      </c>
      <c r="AC222" s="3">
        <f>883.7+(1002.3-174.9)+(-0.450687+(-0.511173--0.089199))+0-395.3--0.20160299999996</f>
        <v>1315.1289419999998</v>
      </c>
      <c r="AD222">
        <f t="shared" si="3"/>
        <v>32257.954955000001</v>
      </c>
      <c r="AE222" s="3">
        <f>1275+(1136.2-283.2)+(0+(0-0))+0-395.1-0</f>
        <v>1732.9</v>
      </c>
    </row>
    <row r="223" spans="1:31" s="2" customFormat="1" x14ac:dyDescent="0.25">
      <c r="A223">
        <v>89</v>
      </c>
      <c r="B223">
        <v>8</v>
      </c>
      <c r="C223">
        <v>7</v>
      </c>
      <c r="D223">
        <v>7</v>
      </c>
      <c r="E223">
        <v>1</v>
      </c>
      <c r="F223" s="3">
        <f>860.1+(1036-309.7)+(-2.193255+(-2.6418--0.789735))+0-397.7--1.01413499999994</f>
        <v>1185.668815</v>
      </c>
      <c r="G223" s="3">
        <f>860.3+(1222.5-532.7)+(-2.632518+(-3.74085--1.630062))+0-396.6--1.21359600000005</f>
        <v>1149.9702899999997</v>
      </c>
      <c r="H223" s="3">
        <f>860+(1378.5-691.8)+(-1.3158+(-2.109105--1.058454))+0-392.2--0.600066000000023</f>
        <v>1152.7336149999999</v>
      </c>
      <c r="I223" s="3">
        <f>860.1+(1372.7-698.3)+(-0.438651+(-0.700077--0.356133))+0-387.9--0.197828999999961</f>
        <v>1146.0152340000002</v>
      </c>
      <c r="J223" s="3">
        <f>862.4+(1346.7-684)+(0+(0-0))+0-388-0</f>
        <v>1137.0999999999999</v>
      </c>
      <c r="K223" s="3">
        <f>862.6+(1229.2-576.9)+(-0.439926+(-0.626892--0.294219))+0-390.2--0.19900199999996</f>
        <v>1124.1264030000002</v>
      </c>
      <c r="L223" s="3">
        <f>860.6+(966.7-379.4)+(-0.438906+(-0.493017--0.193494))+0-384.6--0.196145999999961</f>
        <v>1062.7577170000002</v>
      </c>
      <c r="M223" s="3">
        <f>860.9+(909.1-336.4)+(-0.439059+(-0.463641--0.171564))+0-384.2--0.195941999999961</f>
        <v>1048.8648059999998</v>
      </c>
      <c r="N223" s="3">
        <f>860.3+(1066.4-279.3)+(-1.316259+(-1.631592--0.427329))+0-379.6--0.580788000000022</f>
        <v>1265.8602659999999</v>
      </c>
      <c r="O223" s="3">
        <f>866.9+(1234-363.7)+(-0.884238+(-1.25868--0.370974))+0-384.4--0.392088000000061</f>
        <v>1351.4201439999997</v>
      </c>
      <c r="P223" s="3">
        <f>897.8+(1227.7-443.7)+(-0.915756+(-1.252254--0.452574))+0-374.7--0.38219400000006</f>
        <v>1305.766758</v>
      </c>
      <c r="Q223" s="3">
        <f>911.8+(1380.8-617.1)+(-0.930036+(-1.408416--0.629442))+0-374.2--0.38168400000006</f>
        <v>1299.9726739999999</v>
      </c>
      <c r="R223" s="3">
        <f>919+(1436.9-706.6)+(-0.93738+(-1.465638--0.720732))+0-372.7--0.380154000000059</f>
        <v>1275.2978680000001</v>
      </c>
      <c r="S223" s="3">
        <f>917.9+(1437.4-737.7)+(-0.936258+(-1.466148--0.752454))+0-372.8--0.380256000000059</f>
        <v>1243.5303040000001</v>
      </c>
      <c r="T223" s="3">
        <f>918.8+(1239.2-589.7)+(-1.874352+(-2.527968--1.202988))+0-371.3--0.757451999999984</f>
        <v>1194.5581200000001</v>
      </c>
      <c r="U223" s="3">
        <f>920.2+(1281.5-624.8)+(-0.469302+(-0.653565--0.318648))+0-374.2--0.190841999999962</f>
        <v>1202.0866229999999</v>
      </c>
      <c r="V223" s="3">
        <f>933+(1162-524.7)+(0.47583+(0.59262-0.267597))+0-374.4-0.190943999999962</f>
        <v>1196.5099089999999</v>
      </c>
      <c r="W223" s="3">
        <f>1191.4+(1073.4-509.2)+(-0.607614+(-0.547434--0.259692))+0-372.7--0.190076999999962</f>
        <v>1382.1947210000001</v>
      </c>
      <c r="X223" s="3">
        <f>1345.9+(1085.3-462.5)+(-2.745636+(-2.214012--0.9435))+0-375.4--0.765815999999984</f>
        <v>1590.0496680000001</v>
      </c>
      <c r="Y223" s="3">
        <f>1348.6+(970.3-414.4)+(1.375572+(0.989706-0.422688))+0-380.4-0.388008000000061</f>
        <v>1525.6545819999999</v>
      </c>
      <c r="Z223" s="3">
        <f>1347.2+(1107-514.3)+(-2.061216+(-1.69371--0.786879))+0-384--0.587520000000022</f>
        <v>1553.5194730000001</v>
      </c>
      <c r="AA223" s="3">
        <f>1267.6+(1272.6-638)+(-1.292952+(-1.298052--0.65076))+0-385--0.392700000000061</f>
        <v>1515.652456</v>
      </c>
      <c r="AB223" s="3">
        <f>1165.8+(1370.6-759.2)+(-1.189116+(-1.398012--0.774384))+0-386--0.393720000000062</f>
        <v>1389.7809759999998</v>
      </c>
      <c r="AC223" s="3">
        <f>1151.5+(1597.4-1021.4)+(-2.936325+(-4.07337--2.60457))+0-431--1.09904999999994</f>
        <v>1293.193925</v>
      </c>
      <c r="AD223">
        <f t="shared" si="3"/>
        <v>30592.285346999997</v>
      </c>
      <c r="AE223" s="3">
        <f>1351+(1167.1-518.4)+(0+(0-0))+0-377.6-0</f>
        <v>1622.1</v>
      </c>
    </row>
    <row r="224" spans="1:31" s="2" customFormat="1" x14ac:dyDescent="0.25">
      <c r="A224">
        <v>89</v>
      </c>
      <c r="B224">
        <v>8</v>
      </c>
      <c r="C224">
        <v>8</v>
      </c>
      <c r="D224">
        <v>1</v>
      </c>
      <c r="E224">
        <v>1</v>
      </c>
      <c r="F224" s="3">
        <f>960.2+(1370.9-747.9)+(-0.489702+(-0.699159--0.381429))+0-448--0.228479999999955</f>
        <v>1134.6210480000002</v>
      </c>
      <c r="G224" s="3">
        <f>915.5+(1114-540.4)+(-0.466905+(-0.56814--0.275604))+0-455--0.232049999999954</f>
        <v>1033.5726089999998</v>
      </c>
      <c r="H224" s="3">
        <f>915.5+(1197.3-499.2)+(-1.400715+(-1.831869--0.763776))+0-462--0.706860000000027</f>
        <v>1149.8380519999998</v>
      </c>
      <c r="I224" s="3">
        <f>917.6+(1286.5-559.3)+(0.467976+(0.656115-0.285243))+0-456-0.232559999999954</f>
        <v>1189.4062880000004</v>
      </c>
      <c r="J224" s="3">
        <f>913.4+(1308.3-584.3)+(-1.863336+(-2.668932--1.191972))+0-441--0.899639999999981</f>
        <v>1193.9593440000001</v>
      </c>
      <c r="K224" s="3">
        <f>914.6+(1154.3-485.3)+(0+(0-0))+0-444.3-0</f>
        <v>1139.3</v>
      </c>
      <c r="L224" s="3">
        <f>921.6+(938-400.7)+(0+(0-0))+0-440.1-0</f>
        <v>1018.8000000000001</v>
      </c>
      <c r="M224" s="3">
        <f>921+(1017.9-365.8)+(-0.46971+(-0.519129--0.186558))+0-443.2--0.226031999999955</f>
        <v>1129.3237509999999</v>
      </c>
      <c r="N224" s="3">
        <f>920.1+(1166.1-353.2)+(-1.407753+(-1.784133--0.540396))+0-439.2--0.671976000000025</f>
        <v>1291.8204860000001</v>
      </c>
      <c r="O224" s="3">
        <f>920.5+(1053.7-259.7)+(-0.93891+(-1.074774--0.264894))+0-436.4--0.44512800000007</f>
        <v>1276.7963379999999</v>
      </c>
      <c r="P224" s="3">
        <f>920.7+(1018.3-156.1)+(-1.878228+(-2.077332--0.318444))+0-401.9--0.819875999999982</f>
        <v>1378.1827600000001</v>
      </c>
      <c r="Q224" s="3">
        <f>1073.1+(1003.1-252.9)+(-0.547281+(-0.511581--0.128979))+0-411.8--0.210017999999958</f>
        <v>1410.780135</v>
      </c>
      <c r="R224" s="3">
        <f>1063+(863.4-20.4)+(-1.08426+(-0.880668--0.020808))+0-417.2--0.425544000000067</f>
        <v>1487.281424</v>
      </c>
      <c r="S224" s="3">
        <f>1031.7+(877.7-53.8)+(-2.104668+(-1.790508--0.109752))+0-398.2--0.812327999999983</f>
        <v>1454.4269040000001</v>
      </c>
      <c r="T224" s="3">
        <f>1033.7+(816.1-133.6)+(0+(0-0))+0-409.9-0</f>
        <v>1306.3000000000002</v>
      </c>
      <c r="U224" s="3">
        <f>1027.7+(802.2-112.3)+(-2.096508+(-1.636488--0.229092))+0-380.8--0.776831999999983</f>
        <v>1334.0729280000003</v>
      </c>
      <c r="V224" s="3">
        <f>1112+(768.5-192.6)+(-1.70136+(-1.175805--0.294678))+0-378.1--0.578493000000022</f>
        <v>1307.796006</v>
      </c>
      <c r="W224" s="3">
        <f>1309.2+(911.7-179.1)+(0+(0-0))+0-389.8-0</f>
        <v>1652.0000000000002</v>
      </c>
      <c r="X224" s="3">
        <f>1343.3+(1014.3-228.1)+(-2.055249+(-1.551879--0.348993))+0-398--0.608940000000023</f>
        <v>1728.850805</v>
      </c>
      <c r="Y224" s="3">
        <f>1253.1+(956-192.1)+(-3.195405+(-2.4378--0.489855))+0-399.8--1.01948999999994</f>
        <v>1613.0761399999999</v>
      </c>
      <c r="Z224" s="3">
        <f>1257.4+(857.2-162.1)+(-2.565096+(-1.748688--0.330684))+0-395.2--0.806207999999983</f>
        <v>1554.123108</v>
      </c>
      <c r="AA224" s="3">
        <f>1257.3+(1003.9-318.1)+(-1.923669+(-1.535967--0.486693))+0-394.8--0.604044000000023</f>
        <v>1545.9311009999999</v>
      </c>
      <c r="AB224" s="3">
        <f>1257.3+(1226.7-685.9)+(-3.206115+(-3.128085--1.749045))+0-389.9--0.994244999999943</f>
        <v>1404.6090899999999</v>
      </c>
      <c r="AC224" s="3">
        <f>1254.2+(1128.3-744.3)+(-3.837852+(-3.452598--2.277558))+0-423.1--1.29468600000005</f>
        <v>1211.3817940000001</v>
      </c>
      <c r="AD224">
        <f t="shared" si="3"/>
        <v>31946.250111000001</v>
      </c>
      <c r="AE224" s="3">
        <f>1352+(1018.8-191.6)+(0+(0-0))+0-365.6-0</f>
        <v>1813.6</v>
      </c>
    </row>
    <row r="225" spans="1:31" s="2" customFormat="1" x14ac:dyDescent="0.25">
      <c r="A225">
        <v>89</v>
      </c>
      <c r="B225">
        <v>8</v>
      </c>
      <c r="C225">
        <v>9</v>
      </c>
      <c r="D225">
        <v>2</v>
      </c>
      <c r="E225">
        <v>1</v>
      </c>
      <c r="F225" s="3">
        <f>1075.1+(1454.7-936.5)+(-1.644903+(-2.225691--1.432845))+0-430.3--0.658359000000025</f>
        <v>1161.2206100000001</v>
      </c>
      <c r="G225" s="3">
        <f>948+(1154.5-686.7)+(-0.96696+(-1.17759--0.700434))+0-436--0.44472000000007</f>
        <v>978.80060400000013</v>
      </c>
      <c r="H225" s="3">
        <f>951.1+(937.1-353.5)+(-1.940244+(-1.911684--0.72114))+0-437.2--0.891887999999981</f>
        <v>1095.2610999999999</v>
      </c>
      <c r="I225" s="3">
        <f>950+(854.3-284.5)+(-1.4535+(-1.307079--0.435285))+0-435.7--0.666621000000025</f>
        <v>1082.441327</v>
      </c>
      <c r="J225" s="3">
        <f>950.1+(794.9-176)+(0+(0-0))+0-433.8-0</f>
        <v>1135.2</v>
      </c>
      <c r="K225" s="3">
        <f>950+(750.1-164.7)+(0+(0-0))+0-437.8-0</f>
        <v>1097.6000000000001</v>
      </c>
      <c r="L225" s="3">
        <f>950.2+(854.1-129.2)+(-0.969204+(-0.871182--0.131784))+0-426--0.434520000000068</f>
        <v>1247.8259180000002</v>
      </c>
      <c r="M225" s="3">
        <f>949.1+(836.9-69)+(0+(0-0))+0-436.5-0</f>
        <v>1280.5</v>
      </c>
      <c r="N225" s="3">
        <f>950.3+(865.1-23)+(-0.969306+(-0.882402--0.02346))+0-434.7--0.443394000000069</f>
        <v>1356.3151460000001</v>
      </c>
      <c r="O225" s="3">
        <f>1049.4+(933.2-77.5)+(-0.535194+(-0.475932--0.039525))+0-433.8--0.221237999999956</f>
        <v>1470.5496370000001</v>
      </c>
      <c r="P225" s="3">
        <f>1217.3+(795.4-104.8)+(-1.241646+(-0.811308--0.106896))+0-419.2--0.427584000000067</f>
        <v>1487.1815260000001</v>
      </c>
      <c r="Q225" s="3">
        <f>1400.9+(584.6-155.5)+(-2.857836+(-1.192584--0.31722))+0-418.8--0.854351999999982</f>
        <v>1408.3211520000002</v>
      </c>
      <c r="R225" s="3">
        <f>1408.9+(797.3-416.8)+(-0.718539+(-0.406623--0.212568))+0-415.4--0.211853999999958</f>
        <v>1373.29926</v>
      </c>
      <c r="S225" s="3">
        <f>1437.7+(1039.3-605.3)+(-1.466454+(-1.060086--0.617406))+0-402.1--0.410142000000064</f>
        <v>1468.1010079999999</v>
      </c>
      <c r="T225" s="3">
        <f>1460.8+(1056.2-686)+(-0.745008+(-0.538662--0.34986))+0-397.5--0.20272499999996</f>
        <v>1432.7689149999999</v>
      </c>
      <c r="U225" s="3">
        <f>1490.8+(870.8-637.8)+(-3.80154+(-2.22054--1.62639))+0-374.3--0.954464999999946</f>
        <v>1346.058775</v>
      </c>
      <c r="V225" s="3">
        <f>1508.9+(724.6-418.3)+(0+(0-0))+0-370.8-0</f>
        <v>1444.4</v>
      </c>
      <c r="W225" s="3">
        <f>1521.6+(807.5-429.7)+(-1.552032+(-0.82365--0.438294))+0-383.6--0.391272000000061</f>
        <v>1514.253884</v>
      </c>
      <c r="X225" s="3">
        <f>1521.1+(1050.1-619.3)+(-3.103044+(-2.142204--1.263372))+0-384.3--0.783971999999983</f>
        <v>1564.4020959999998</v>
      </c>
      <c r="Y225" s="3">
        <f>1522.5+(884.5-320.4)+(-3.1059+(-1.80438--0.653616))+0-383.1--0.781523999999983</f>
        <v>1700.02486</v>
      </c>
      <c r="Z225" s="3">
        <f>1520.9+(718-277.4)+(-1.551318+(-0.73236--0.282948))+0-390.4--0.398208000000062</f>
        <v>1569.4974780000002</v>
      </c>
      <c r="AA225" s="3">
        <f>1518.7+(908.8-421)+(-2.323611+(-1.390464--0.64413))+0-388.9--0.595017000000022</f>
        <v>1615.1250720000003</v>
      </c>
      <c r="AB225" s="3">
        <f>1382.9+(1228.3-757.7)+(-2.821116+(-2.505732--1.545708))+0-388.1--0.791723999999983</f>
        <v>1462.410584</v>
      </c>
      <c r="AC225" s="3">
        <f>1215.2+(1215.4-713.6)+(-2.479008+(-2.479416--1.455744))+0-390.1--0.795803999999983</f>
        <v>1324.1931240000001</v>
      </c>
      <c r="AD225">
        <f t="shared" si="3"/>
        <v>32615.752076000015</v>
      </c>
      <c r="AE225" s="3">
        <f>1515+(1215.9-577.7)+(0+(0-0))+0-402.3-0</f>
        <v>1750.8999999999999</v>
      </c>
    </row>
    <row r="226" spans="1:31" s="2" customFormat="1" x14ac:dyDescent="0.25">
      <c r="A226">
        <v>89</v>
      </c>
      <c r="B226">
        <v>8</v>
      </c>
      <c r="C226">
        <v>10</v>
      </c>
      <c r="D226">
        <v>3</v>
      </c>
      <c r="E226">
        <v>1</v>
      </c>
      <c r="F226" s="3">
        <f>1101.7+(939.6-543.3)+(-0.561867+(-0.479196--0.277083))+0-393.2--0.20053199999996</f>
        <v>1104.2365520000001</v>
      </c>
      <c r="G226" s="3">
        <f>1101.5+(1112-688.6)+(-2.808825+(-2.8356--1.75593))+0-392.7--1.00138499999994</f>
        <v>1129.3128900000002</v>
      </c>
      <c r="H226" s="3">
        <f>1100.2+(1093.5-597.9)+(-1.122204+(-1.11537--0.609858))+0-392--0.399840000000062</f>
        <v>1202.5721240000003</v>
      </c>
      <c r="I226" s="3">
        <f>1103.1+(900.7-521.6)+(1.125162+(0.918714-0.532032))+0-393.3-0.401166000000063</f>
        <v>1090.0106779999999</v>
      </c>
      <c r="J226" s="3">
        <f>1099.8+(782.3-328.4)+(-2.243592+(-1.595892--0.669936))+0-396.3--0.808451999999983</f>
        <v>1155.0389039999998</v>
      </c>
      <c r="K226" s="3">
        <f>1103.1+(638.3-260.1)+(1.687743+(0.976599-0.397953))+0-394.5-0.603585000000023</f>
        <v>1088.4628039999996</v>
      </c>
      <c r="L226" s="3">
        <f>1100.3+(642.5-196.8)+(-1.683459+(-0.983025--0.301104))+0-391.5--0.598995000000023</f>
        <v>1152.7336150000001</v>
      </c>
      <c r="M226" s="3">
        <f>1100.6+(721.3-187.1)+(0+(0-0))+0-384.3-0</f>
        <v>1250.4999999999998</v>
      </c>
      <c r="N226" s="3">
        <f>1099.4+(735.1-106.7)+(-1.121388+(-0.749802--0.108834))+0-381.2--0.388824000000061</f>
        <v>1345.2264680000003</v>
      </c>
      <c r="O226" s="3">
        <f>1070.3+(885.1-116.5)+(-2.729265+(-2.257005--0.297075))+0-388.8--0.991439999999944</f>
        <v>1446.4022450000002</v>
      </c>
      <c r="P226" s="3">
        <f>1020+(948.5-85.8)+(-1.5606+(-1.451205--0.131274))+0-389.7--0.596241000000023</f>
        <v>1490.7157099999999</v>
      </c>
      <c r="Q226" s="3">
        <f>958.4+(957.9-59.1)+(0+(0-0))+0-390.1-0</f>
        <v>1467.1</v>
      </c>
      <c r="R226" s="3">
        <f>984.9+(813.8-59.2)+(-3.516093+(-2.905266--0.211344))+0-390.3--1.39337100000001</f>
        <v>1344.383356</v>
      </c>
      <c r="S226" s="3">
        <f>990.6+(990.5-120)+(0+(0-0))+0-388.9-0</f>
        <v>1472.1999999999998</v>
      </c>
      <c r="T226" s="3">
        <f>991.1+(953.1-91.7)+(-1.516383+(-1.458243--0.140301))+0-388.2--0.593946000000022</f>
        <v>1462.0596209999999</v>
      </c>
      <c r="U226" s="3">
        <f>1007.7+(921.7-71.3)+(-3.083562+(-2.820402--0.218178))+0-383.8--1.17442800000004</f>
        <v>1469.7886420000002</v>
      </c>
      <c r="V226" s="3">
        <f>1041.3+(950.2-84)+(0+(0-0))+0-387.5-0</f>
        <v>1520</v>
      </c>
      <c r="W226" s="3">
        <f>1230.2+(1157.7-475.8)+(0.627402+(0.590427-0.242658))+0-390.5-0.19915499999996</f>
        <v>1522.3760160000002</v>
      </c>
      <c r="X226" s="3">
        <f>1365.7+(1354.8-682.8)+(-2.786028+(-2.763792--1.392912))+0-392.9--0.801515999999983</f>
        <v>1641.4446080000002</v>
      </c>
      <c r="Y226" s="3">
        <f>1363.6+(1302.5-530.7)+(-3.47718+(-3.321375--1.353285))+0-388.8--0.991439999999944</f>
        <v>1742.1461699999995</v>
      </c>
      <c r="Z226" s="3">
        <f>1366.9+(1238.4-606.1)+(0+(0-0))+0-390.6-0</f>
        <v>1608.6000000000004</v>
      </c>
      <c r="AA226" s="3">
        <f>1363.7+(990.5-406.9)+(-1.390974+(-1.01031--0.415038))+0-391--0.398820000000062</f>
        <v>1554.7125740000004</v>
      </c>
      <c r="AB226" s="3">
        <f>1262.7+(712.3-171.1)+(-3.219885+(-1.816365--0.436305))+0-388.3--0.990164999999944</f>
        <v>1411.9902200000001</v>
      </c>
      <c r="AC226" s="3">
        <f>1059.9+(739.5-119.1)+(-0.540549+(-0.377145--0.060741))+0-391--0.19940999999996</f>
        <v>1288.6424570000001</v>
      </c>
      <c r="AD226">
        <f t="shared" si="3"/>
        <v>32960.655654000002</v>
      </c>
      <c r="AE226" s="3">
        <f>1361+(1415.3-714.2)+(0+(0-0))+0-368.8-0</f>
        <v>1693.3</v>
      </c>
    </row>
    <row r="227" spans="1:31" s="2" customFormat="1" x14ac:dyDescent="0.25">
      <c r="A227">
        <v>89</v>
      </c>
      <c r="B227">
        <v>8</v>
      </c>
      <c r="C227">
        <v>11</v>
      </c>
      <c r="D227">
        <v>4</v>
      </c>
      <c r="E227">
        <v>1</v>
      </c>
      <c r="F227" s="3">
        <f>943.9+(821.6-134)+(0.481389+(0.419016-0.06834))+0-391.5-0.19966499999996</f>
        <v>1240.6324000000002</v>
      </c>
      <c r="G227" s="3">
        <f>941.2+(1016.6-311.3)+(-1.440036+(-1.555398--0.476289))+0-391.4--0.598842000000023</f>
        <v>1253.1796970000003</v>
      </c>
      <c r="H227" s="3">
        <f>941.6+(1074.1-471.8)+(-1.440648+(-1.643373--0.721854))+0-394.6--0.603738000000023</f>
        <v>1147.541571</v>
      </c>
      <c r="I227" s="3">
        <f>944.7+(1122.5-526.7)+(0.963594+(1.14495-0.537234))+0-414.1-0.422382000000066</f>
        <v>1127.5489279999999</v>
      </c>
      <c r="J227" s="3">
        <f>945.4+(1005.1-407.5)+(0.482154+(0.512601-0.207825))+0-406.8-0.207467999999959</f>
        <v>1136.779462</v>
      </c>
      <c r="K227" s="3">
        <f>943.5+(926.1-284.3)+(0+(0-0))+0-397.1-0</f>
        <v>1188.1999999999998</v>
      </c>
      <c r="L227" s="3">
        <f>942.9+(664.6-66)+(0.480879+(0.338946-0.03366))+0-396.5-0.20221499999996</f>
        <v>1145.58395</v>
      </c>
      <c r="M227" s="3">
        <f>944.1+(644.6-27.4)+(-0.481491+(-0.328746--0.013974))+0-390.7--0.19925699999996</f>
        <v>1170.0029940000002</v>
      </c>
      <c r="N227" s="3">
        <f>943.7+(824.8-34.3)+(-1.443861+(-1.261944--0.052479))+0-390--0.596700000000023</f>
        <v>1342.143374</v>
      </c>
      <c r="O227" s="3">
        <f>973.4+(891.5-91.1)+(-0.992868+(-0.90933--0.092922))+0-390.4--0.398208000000062</f>
        <v>1381.9889320000002</v>
      </c>
      <c r="P227" s="3">
        <f>1051.5+(949.6-112.9)+(0+(0-0))+0-390.7-0</f>
        <v>1497.5</v>
      </c>
      <c r="Q227" s="3">
        <f>1198.4+(1063.6-334.3)+(-2.444736+(-2.169744--0.681972))+0-389.3--0.794171999999983</f>
        <v>1535.2616639999999</v>
      </c>
      <c r="R227" s="3">
        <f>1230+(1230.1-546.5)+(1.2546+(1.254702-0.55743))+0-389.5-0.397290000000062</f>
        <v>1525.6545819999999</v>
      </c>
      <c r="S227" s="3">
        <f>1228+(1359.2-689.9)+(-2.50512+(-2.772768--1.407396))+0-386.8--0.789071999999983</f>
        <v>1507.4185800000002</v>
      </c>
      <c r="T227" s="3">
        <f>1229.5+(1267.5-641.8)+(-1.25409+(-1.29285--0.654636))+0-389.8--0.397596000000062</f>
        <v>1463.9052920000001</v>
      </c>
      <c r="U227" s="3">
        <f>1227.8+(1099-546.9)+(-3.13089+(-2.80245--1.394595))+0-391.1--0.997304999999943</f>
        <v>1385.2585599999998</v>
      </c>
      <c r="V227" s="3">
        <f>1275.5+(778.4-352.4)+(1.951515+(1.190952-0.539172))+0-390.7-0.597771000000023</f>
        <v>1312.8055239999999</v>
      </c>
      <c r="W227" s="3">
        <f>1358.8+(741.2-305.2)+(-2.078964+(-1.134036--0.466956))+0-397.1--0.607563000000023</f>
        <v>1395.5615189999999</v>
      </c>
      <c r="X227" s="3">
        <f>1360.9+(905.6-357.1)+(-3.470295+(-2.30928--0.910605))+0-397.2--1.01285999999994</f>
        <v>1508.3438900000001</v>
      </c>
      <c r="Y227" s="3">
        <f>1362.4+(823.8-250.2)+(-1.389648+(-0.840276--0.255204))+0-396.3--0.404226000000063</f>
        <v>1538.1295060000002</v>
      </c>
      <c r="Z227" s="3">
        <f>1365.8+(716.9-227)+(-0.696558+(-0.365619--0.11577))+0-398.8--0.20338799999996</f>
        <v>1456.1569809999999</v>
      </c>
      <c r="AA227" s="3">
        <f>1276.6+(769.3-174.5)+(-1.953198+(-1.177029--0.266985))+0-396.7--0.606951000000023</f>
        <v>1472.4437089999999</v>
      </c>
      <c r="AB227" s="3">
        <f>1128.3+(831.6-217.2)+(-1.150866+(-0.848232--0.221544))+0-380--0.387600000000061</f>
        <v>1361.3100460000001</v>
      </c>
      <c r="AC227" s="3">
        <f>972.8+(881.1-167.7)+(-0.992256+(-0.898722--0.171054))+0-395.6--0.403512000000063</f>
        <v>1289.283588</v>
      </c>
      <c r="AD227">
        <f t="shared" si="3"/>
        <v>32382.634748999993</v>
      </c>
      <c r="AE227" s="3">
        <f>1363+(946.7-310.5)+(0+(0-0))+0-393-0</f>
        <v>1606.2</v>
      </c>
    </row>
    <row r="228" spans="1:31" s="2" customFormat="1" x14ac:dyDescent="0.25">
      <c r="A228">
        <v>89</v>
      </c>
      <c r="B228">
        <v>8</v>
      </c>
      <c r="C228">
        <v>12</v>
      </c>
      <c r="D228">
        <v>5</v>
      </c>
      <c r="E228">
        <v>1</v>
      </c>
      <c r="F228" s="3">
        <f>931.8+(693.8-53)+(-0.475218+(-0.353838--0.02703))+0-406.4--0.207263999999959</f>
        <v>1165.6052379999999</v>
      </c>
      <c r="G228" s="3">
        <f>852.8+(850.4-194.2)+(-2.17464+(-2.16852--0.49521))+0-392.8--1.00163999999994</f>
        <v>1113.3536899999999</v>
      </c>
      <c r="H228" s="3">
        <f>833.6+(842.6-207.5)+(-0.850272+(-0.859452--0.21165))+0-413.8--0.422076000000066</f>
        <v>1053.8240020000001</v>
      </c>
      <c r="I228" s="3">
        <f>834.9+(941.8-295.4)+(0+(0-0))+0-429.3-0</f>
        <v>1052</v>
      </c>
      <c r="J228" s="3">
        <f>833.3+(973.6-320)+(-1.699932+(-1.986144--0.6528))+0-435.4--0.888215999999981</f>
        <v>1049.3549400000004</v>
      </c>
      <c r="K228" s="3">
        <f>831.7+(835.9-159.4)+(-0.848334+(-0.852618--0.162588))+0-431.1--0.439722000000069</f>
        <v>1076.001358</v>
      </c>
      <c r="L228" s="3">
        <f>830.9+(903.4-222.9)+(0.847518+(0.921468-0.227358))+0-429.2-0.437784000000068</f>
        <v>1083.303844</v>
      </c>
      <c r="M228" s="3">
        <f>836.1+(966.7-175.9)+(-0.426411+(-0.493017--0.089709))+0-421.3--0.214862999999957</f>
        <v>1204.985144</v>
      </c>
      <c r="N228" s="3">
        <f>923.9+(1042-215.1)+(-0.942378+(-1.06284--0.219402))+0-426.3--0.434826000000068</f>
        <v>1323.1490100000001</v>
      </c>
      <c r="O228" s="3">
        <f>1087.3+(961.4-219.6)+(-0.554523+(-0.490314--0.111996))+0-424.1--0.216290999999957</f>
        <v>1404.2834499999997</v>
      </c>
      <c r="P228" s="3">
        <f>1100.3+(1045.1-299.8)+(-2.244612+(-2.132004--0.611592))+0-411.2--0.838847999999982</f>
        <v>1431.4738239999997</v>
      </c>
      <c r="Q228" s="3">
        <f>1108.2+(872-108.4)+(1.130364+(0.88944-0.110568))+0-417.5-0.425850000000067</f>
        <v>1455.7833860000001</v>
      </c>
      <c r="R228" s="3">
        <f>1106+(918.3-316.9)+(-1.12812+(-0.936666--0.323238))+0-424.6--0.433092000000068</f>
        <v>1281.4915440000002</v>
      </c>
      <c r="S228" s="3">
        <f>1108.4+(823.6-225.8)+(1.130568+(0.840072-0.230316))+0-309.5-0.315690000000049</f>
        <v>1398.124634</v>
      </c>
      <c r="T228" s="3">
        <f>1108.5+(954.1-252.3)+(1.13067+(0.973182-0.257346))+0-426.2-0.434724000000068</f>
        <v>1385.511782</v>
      </c>
      <c r="U228" s="3">
        <f>1108.8+(1205.5-518.4)+(1.130976+(1.22961-0.528768))+0-398.2-0.406164000000063</f>
        <v>1399.1256540000002</v>
      </c>
      <c r="V228" s="3">
        <f>1206.2+(1172.5-548.7)+(0+(0-0))+0-380.2-0</f>
        <v>1449.8</v>
      </c>
      <c r="W228" s="3">
        <f>1380.3+(1414.3-849.4)+(-1.407906+(-1.442586--0.866388))+0-384.7--0.392394000000061</f>
        <v>1558.9082899999999</v>
      </c>
      <c r="X228" s="3">
        <f>1369+(1667-1015.7)+(-2.09457+(-2.55051--1.554021))+0-383.9--0.587367000000022</f>
        <v>1633.8963079999999</v>
      </c>
      <c r="Y228" s="3">
        <f>1309+(1227.6-576.6)+(-3.33795+(-3.13038--1.47033))+0-382.8--0.976139999999945</f>
        <v>1573.17814</v>
      </c>
      <c r="Z228" s="3">
        <f>1349+(807.8-361.4)+(-3.43995+(-2.05989--0.92157))+0-376--0.958799999999945</f>
        <v>1415.78053</v>
      </c>
      <c r="AA228" s="3">
        <f>1365+(737.5-324.6)+(-4.1769+(-2.25675--0.993276))+0-375--1.14750000000004</f>
        <v>1398.6071260000001</v>
      </c>
      <c r="AB228" s="3">
        <f>1279+(723.8-245.4)+(-1.30458+(-0.738276--0.250308))+0-380.8--0.388416000000061</f>
        <v>1375.1958680000002</v>
      </c>
      <c r="AC228" s="3">
        <f>1227+(583.3-143.9)+(-1.87731+(-0.892449--0.220167))+0-405.8--0.620874000000023</f>
        <v>1258.671282</v>
      </c>
      <c r="AD228">
        <f t="shared" si="3"/>
        <v>31541.409043999996</v>
      </c>
      <c r="AE228" s="3">
        <f>1387+(1551-959.2)+(0+(0-0))+0-380.5-0</f>
        <v>1598.3</v>
      </c>
    </row>
    <row r="229" spans="1:31" s="2" customFormat="1" x14ac:dyDescent="0.25">
      <c r="A229">
        <v>89</v>
      </c>
      <c r="B229">
        <v>8</v>
      </c>
      <c r="C229">
        <v>13</v>
      </c>
      <c r="D229">
        <v>6</v>
      </c>
      <c r="E229">
        <v>1</v>
      </c>
      <c r="F229" s="3">
        <f>1149.9+(646-203.9)+(-0.586449+(-0.32946--0.103989))+0-417--0.212669999999958</f>
        <v>1174.4007499999998</v>
      </c>
      <c r="G229" s="3">
        <f>1028+(576.4-59.1)+(-1.04856+(-0.587928--0.060282))+0-416.2--0.424524000000066</f>
        <v>1127.948318</v>
      </c>
      <c r="H229" s="3">
        <f>964.4+(669.8-89.4)+(-0.491844+(-0.341598--0.045594))+0-431.2--0.219911999999956</f>
        <v>1113.032064</v>
      </c>
      <c r="I229" s="3">
        <f>965.3+(697.6-172.5)+(0+(0-0))+0-415.4-0</f>
        <v>1075</v>
      </c>
      <c r="J229" s="3">
        <f>966+(738.2-222.3)+(1.97064+(1.505928-0.453492))+0-428.4-0.873935999999981</f>
        <v>1055.64914</v>
      </c>
      <c r="K229" s="3">
        <f>964.1+(978.7-405.2)+(-0.491691+(-0.499137--0.206652))+0-433--0.220829999999956</f>
        <v>1104.036654</v>
      </c>
      <c r="L229" s="3">
        <f>964.5+(1104.1-517.9)+(-1.96758+(-2.252364--1.056516))+0-429.8--0.876791999999981</f>
        <v>1118.6133639999998</v>
      </c>
      <c r="M229" s="3">
        <f>963.5+(1041.8-438.6)+(-0.98277+(-1.062636--0.447372))+0-420.4--0.428808000000067</f>
        <v>1145.1307739999997</v>
      </c>
      <c r="N229" s="3">
        <f>964.7+(960.3-297.2)+(-0.491997+(-0.489753--0.151572))+0-394--0.20093999999996</f>
        <v>1233.170762</v>
      </c>
      <c r="O229" s="3">
        <f>1042.5+(1039.4-356.4)+(-1.595025+(-1.590282--0.545292))+0-395.7--0.605421000000023</f>
        <v>1327.765406</v>
      </c>
      <c r="P229" s="3">
        <f>1132.3+(998.7-363.9)+(0+(0-0))+0-411.5-0</f>
        <v>1355.6</v>
      </c>
      <c r="Q229" s="3">
        <f>1233.4+(896.3-370.3)+(0+(0-0))+0-400.4-0</f>
        <v>1359</v>
      </c>
      <c r="R229" s="3">
        <f>1293.3+(771.4-348)+(-1.978749+(-1.180242--0.53244))+0-408.2--0.624546000000024</f>
        <v>1306.4979949999997</v>
      </c>
      <c r="S229" s="3">
        <f>1310.1+(826.9-497.3)+(-2.672604+(-1.686876--1.014492))+0-403.4--0.822935999999982</f>
        <v>1233.7779479999999</v>
      </c>
      <c r="T229" s="3">
        <f>1294.6+(856.3-489.2)+(0.660246+(0.436713-0.249492))+0-394.5-0.20119499999996</f>
        <v>1267.846272</v>
      </c>
      <c r="U229" s="3">
        <f>1245.2+(824-388.7)+(-3.17526+(-2.1012--0.991185))+0-419.4--1.06946999999994</f>
        <v>1257.8841950000001</v>
      </c>
      <c r="V229" s="3">
        <f>1337.3+(849.6-519)+(-2.046069+(-1.299888--0.79407))+0-409.4--0.626382000000024</f>
        <v>1256.5744949999998</v>
      </c>
      <c r="W229" s="3">
        <f>1596.9+(869.2-651.9)+(-1.628838+(-0.886584--0.664938))+0-419.6--0.427992000000067</f>
        <v>1393.1775080000004</v>
      </c>
      <c r="X229" s="3">
        <f>1610.4+(1139.7-778)+(-3.285216+(-2.324988--1.58712))+0-423.9--0.864755999999981</f>
        <v>1545.0416720000003</v>
      </c>
      <c r="Y229" s="3">
        <f>1610.1+(1067.4-735.9)+(-4.105755+(-2.72187--1.876545))+0-431.8--1.10108999999994</f>
        <v>1505.9500099999998</v>
      </c>
      <c r="Z229" s="3">
        <f>1610.1+(1038.7-758.8)+(-2.463453+(-1.589211--1.160964))+0-432.1--0.661113000000025</f>
        <v>1455.6694130000001</v>
      </c>
      <c r="AA229" s="3">
        <f>1603.1+(1002.5-749.9)+(-0.817581+(-0.511275--0.382449))+0-436--0.222359999999956</f>
        <v>1418.9759529999999</v>
      </c>
      <c r="AB229" s="3">
        <f>1590.2+(835-651.4)+(-3.244008+(-1.7034--1.328856))+0-430.6--0.878423999999981</f>
        <v>1340.4598720000004</v>
      </c>
      <c r="AC229" s="3">
        <f>1518.9+(664.5-482.8)+(-3.873195+(-1.694475--1.23114))+0-434.3--1.10746499999994</f>
        <v>1263.0709350000002</v>
      </c>
      <c r="AD229">
        <f t="shared" si="3"/>
        <v>30434.273499999999</v>
      </c>
      <c r="AE229" s="3">
        <f>1639+(1144.5-895.4)+(0+(0-0))+0-420.9-0</f>
        <v>1467.1999999999998</v>
      </c>
    </row>
    <row r="230" spans="1:31" s="2" customFormat="1" x14ac:dyDescent="0.25">
      <c r="A230">
        <v>89</v>
      </c>
      <c r="B230">
        <v>8</v>
      </c>
      <c r="C230">
        <v>14</v>
      </c>
      <c r="D230">
        <v>7</v>
      </c>
      <c r="E230">
        <v>1</v>
      </c>
      <c r="F230" s="3">
        <f>1299.4+(802.7-459.9)+(-1.325388+(-0.818754--0.469098))+0-434.9--0.443598000000069</f>
        <v>1206.0685540000002</v>
      </c>
      <c r="G230" s="3">
        <f>1022.2+(995.1-447.8)+(-0.521322+(-0.507501--0.228378))+0-429--0.218789999999956</f>
        <v>1139.9183449999998</v>
      </c>
      <c r="H230" s="3">
        <f>974.4+(826.4-321.6)+(-0.496944+(-0.421464--0.164016))+0-436.4--0.222563999999956</f>
        <v>1042.2681719999998</v>
      </c>
      <c r="I230" s="3">
        <f>974.3+(811.5-292.9)+(-0.993786+(-0.82773--0.298758))+0-434.7--0.443394000000069</f>
        <v>1057.1206360000001</v>
      </c>
      <c r="J230" s="3">
        <f>973.8+(796-291.3)+(-1.489914+(-1.21788--0.445689))+0-435.7--0.666621000000025</f>
        <v>1041.204516</v>
      </c>
      <c r="K230" s="3">
        <f>974.1+(819.6-325.5)+(0.993582+(0.835992-0.33201))+0-436-0.44472000000007</f>
        <v>1033.2528440000001</v>
      </c>
      <c r="L230" s="3">
        <f>974+(859.9-394.4)+(-2.4837+(-2.192745--1.00572))+0-428.7--1.09318499999994</f>
        <v>1008.22246</v>
      </c>
      <c r="M230" s="3">
        <f>972.9+(976.2-505)+(0+(0-0))+0-409-0</f>
        <v>1035.0999999999999</v>
      </c>
      <c r="N230" s="3">
        <f>970.2+(1181.6-628.1)+(-0.494802+(-0.602616--0.320331))+0-419.3--0.213842999999957</f>
        <v>1103.8367559999999</v>
      </c>
      <c r="O230" s="3">
        <f>978+(1135.4-602.4)+(0.49878+(0.579054-0.307224))+0-402.9-0.205478999999959</f>
        <v>1108.665131</v>
      </c>
      <c r="P230" s="3">
        <f>1024.5+(1079.4-586.4)+(-1.04499+(-1.100988--0.598128))+0-383.7--0.391374000000061</f>
        <v>1132.6435240000001</v>
      </c>
      <c r="Q230" s="3">
        <f>1060+(1167.9-675.7)+(-2.703+(-2.978145--1.723035))+0-396.5--1.01107499999994</f>
        <v>1152.7529649999999</v>
      </c>
      <c r="R230" s="3">
        <f>1059.1+(1176-687)+(-1.080282+(-1.19952--0.70074))+0-410.5--0.418710000000065</f>
        <v>1136.439648</v>
      </c>
      <c r="S230" s="3">
        <f>1057.5+(1347.4-873)+(-1.617975+(-2.061522--1.33569))+0-419.7--0.642141000000024</f>
        <v>1110.4983340000001</v>
      </c>
      <c r="T230" s="3">
        <f>1060.7+(1528.7-1047.8)+(-1.081914+(-1.559274--1.068756))+0-415.5--0.423810000000066</f>
        <v>1124.9513780000002</v>
      </c>
      <c r="U230" s="3">
        <f>1041.6+(1475.5-962.3)+(-1.593648+(-2.257515--1.472319))+0-429.2--0.656676000000025</f>
        <v>1123.8778319999999</v>
      </c>
      <c r="V230" s="3">
        <f>1065.9+(1285.4-787.4)+(-1.087218+(-1.311108--0.803148))+0-426.3--0.434826000000068</f>
        <v>1136.4396480000003</v>
      </c>
      <c r="W230" s="3">
        <f>1474.8+(895.7-765.1)+(-0.752148+(-0.456807--0.390201))+0-419.5--0.213944999999957</f>
        <v>1185.2951910000002</v>
      </c>
      <c r="X230" s="3">
        <f>1616.8+(1046.5-895.3)+(-1.649136+(-1.06743--0.913206))+0-427.6--0.436152000000068</f>
        <v>1339.0327919999997</v>
      </c>
      <c r="Y230" s="3">
        <f>1618.6+(973.8-788.3)+(-1.650972+(-0.993276--0.804066))+0-408.7--0.416874000000065</f>
        <v>1393.976692</v>
      </c>
      <c r="Z230" s="3">
        <f>1620.6+(942.7-716.6)+(-2.479518+(-1.442331--1.096398))+0-422.8--0.646884000000024</f>
        <v>1421.7214329999999</v>
      </c>
      <c r="AA230" s="3">
        <f>1576.7+(927.6-676)+(-1.608234+(-0.946152--0.68952))+0-423.9--0.432378000000068</f>
        <v>1402.9675120000002</v>
      </c>
      <c r="AB230" s="3">
        <f>1379+(912.9-600.3)+(-0.70329+(-0.465579--0.306153))+0-415.6--0.211955999999958</f>
        <v>1275.3492399999998</v>
      </c>
      <c r="AC230" s="3">
        <f>1088.9+(929.1-397.8)+(-2.776695+(-2.369205--1.01439))+0-421.3--1.07431499999994</f>
        <v>1195.842805</v>
      </c>
      <c r="AD230">
        <f t="shared" si="3"/>
        <v>27907.446407999996</v>
      </c>
      <c r="AE230" s="3">
        <f>1638+(1051.8-943)+(0+(0-0))+0-433.5-0</f>
        <v>1313.3</v>
      </c>
    </row>
    <row r="231" spans="1:31" s="2" customFormat="1" x14ac:dyDescent="0.25">
      <c r="A231">
        <v>89</v>
      </c>
      <c r="B231">
        <v>8</v>
      </c>
      <c r="C231">
        <v>15</v>
      </c>
      <c r="D231">
        <v>1</v>
      </c>
      <c r="E231">
        <v>1</v>
      </c>
      <c r="F231" s="3">
        <f>963.1+(867-307.7)+(-2.455905+(-2.21085--0.784635))+0-392.4--1.00061999999994</f>
        <v>1127.1185000000003</v>
      </c>
      <c r="G231" s="3">
        <f>943.5+(847.3-236.4)+(-3.84948+(-3.456984--0.964512))+0-411.6--1.67932799999996</f>
        <v>1138.1373759999999</v>
      </c>
      <c r="H231" s="3">
        <f>947.7+(797.8-233.9)+(-1.933308+(-1.627512--0.477156))+0-418.7--0.854147999999982</f>
        <v>1090.6704839999998</v>
      </c>
      <c r="I231" s="3">
        <f>952+(766.2-288)+(0.97104+(0.781524-0.29376))+0-417.4-0.425748000000067</f>
        <v>1013.8330560000001</v>
      </c>
      <c r="J231" s="3">
        <f>950.1+(762.4-279.3)+(-0.484551+(-0.388824--0.142443))+0-421--0.214709999999957</f>
        <v>1011.6837780000001</v>
      </c>
      <c r="K231" s="3">
        <f>951.1+(775.3-297.7)+(-1.455183+(-1.186209--0.455481))+0-425.8--0.651474000000025</f>
        <v>1001.3655630000001</v>
      </c>
      <c r="L231" s="3">
        <f>951.6+(836.6-345)+(0+(0-0))+0-428.5-0</f>
        <v>1014.7</v>
      </c>
      <c r="M231" s="3">
        <f>950.9+(1118.3-467.3)+(-0.484959+(-0.570333--0.238323))+0-432--0.220319999999956</f>
        <v>1169.303351</v>
      </c>
      <c r="N231" s="3">
        <f>951.2+(1303.1-512.8)+(0.485112+(0.664581-0.261528))+0-433-0.220829999999956</f>
        <v>1309.1673350000001</v>
      </c>
      <c r="O231" s="3">
        <f>1006.8+(1220.8-423.1)+(1.026936+(1.245216-0.431562))+0-434.9-0.443598000000069</f>
        <v>1370.9969920000001</v>
      </c>
      <c r="P231" s="3">
        <f>1049.8+(1207-449)+(0+(0-0))+0-411.2-0</f>
        <v>1396.6</v>
      </c>
      <c r="Q231" s="3">
        <f>1049.3+(1221.1-458.3)+(-1.605429+(-1.868283--0.701199))+0-421.7--0.645201000000024</f>
        <v>1388.272688</v>
      </c>
      <c r="R231" s="3">
        <f>1047.8+(1133.8-393.3)+(-3.740646+(-4.047666--1.404081))+0-429.3--1.53260100000001</f>
        <v>1354.1483700000001</v>
      </c>
      <c r="S231" s="3">
        <f>1049.2+(1120.5-465.3)+(-0.535092+(-0.571455--0.237303))+0-430.6--0.219605999999956</f>
        <v>1273.1503620000001</v>
      </c>
      <c r="T231" s="3">
        <f>1048.5+(1233.5-582.3)+(-2.13894+(-2.51634--1.187892))+0-414.7--0.845987999999982</f>
        <v>1282.3786</v>
      </c>
      <c r="U231" s="3">
        <f>1049+(1261.4-536)+(0+(0-0))+0-386.3-0</f>
        <v>1388.1000000000001</v>
      </c>
      <c r="V231" s="3">
        <f>1138.9+(1337.2-695.7)+(-0.580839+(-0.681972--0.354807))+0-394.8--0.20134799999996</f>
        <v>1384.8933440000003</v>
      </c>
      <c r="W231" s="3">
        <f>1518+(1323.3-977.9)+(-0.77418+(-0.674883--0.498729))+0-393.9--0.20088899999996</f>
        <v>1468.7505549999998</v>
      </c>
      <c r="X231" s="3">
        <f>1570.7+(1710.5-1254.8)+(-4.005285+(-4.361775--3.19974))+0-397.7--1.01413499999994</f>
        <v>1624.5468149999999</v>
      </c>
      <c r="Y231" s="3">
        <f>1571.1+(1556.2-963.2)+(-4.807566+(-4.761972--2.947392))+0-399.3--1.22185800000005</f>
        <v>1759.3997119999999</v>
      </c>
      <c r="Z231" s="3">
        <f>1572.4+(1235.3-698.2)+(-2.405772+(-1.890009--1.068246))+0-399.3--0.610929000000023</f>
        <v>1707.583394</v>
      </c>
      <c r="AA231" s="3">
        <f>1571.4+(911.8-600.6)+(-2.404242+(-1.395054--0.918918))+0-382.9--0.585837000000022</f>
        <v>1497.4054590000001</v>
      </c>
      <c r="AB231" s="3">
        <f>1573.1+(849.2-617.7)+(-2.406843+(-1.299276--0.945081))+0-386.5--0.591345000000022</f>
        <v>1415.9303069999999</v>
      </c>
      <c r="AC231" s="3">
        <f>1338.5+(911.4-605.5)+(-2.73054+(-1.859256--1.23522))+0-409.3--0.834971999999982</f>
        <v>1232.5803960000001</v>
      </c>
      <c r="AD231">
        <f t="shared" si="3"/>
        <v>31420.716436999999</v>
      </c>
      <c r="AE231" s="3">
        <f>1624+(1668.7-1280.8)+(0+(0-0))+0-387.7-0</f>
        <v>1624.2</v>
      </c>
    </row>
    <row r="232" spans="1:31" s="2" customFormat="1" x14ac:dyDescent="0.25">
      <c r="A232">
        <v>89</v>
      </c>
      <c r="B232">
        <v>8</v>
      </c>
      <c r="C232">
        <v>16</v>
      </c>
      <c r="D232">
        <v>2</v>
      </c>
      <c r="E232">
        <v>1</v>
      </c>
      <c r="F232" s="3">
        <f>992+(1196.5-551.3)+(-1.01184+(-1.22043--0.562326))+0-409.3--0.417486000000065</f>
        <v>1226.6475420000002</v>
      </c>
      <c r="G232" s="3">
        <f>956.6+(1091.9-393.6)+(-0.487866+(-0.556869--0.200736))+0-423.5--0.215984999999957</f>
        <v>1230.7719860000002</v>
      </c>
      <c r="H232" s="3">
        <f>956.8+(985.7-304.2)+(-1.463904+(-1.508121--0.465426))+0-418.5--0.640305000000024</f>
        <v>1217.933706</v>
      </c>
      <c r="I232" s="3">
        <f>957.3+(874.8-258)+(-0.976446+(-0.892296--0.26316))+0-426--0.434520000000068</f>
        <v>1146.928938</v>
      </c>
      <c r="J232" s="3">
        <f>958.8+(832.9-247)+(0.977976+(0.849558-0.25194))+0-427.1-0.435642000000068</f>
        <v>1118.7399519999997</v>
      </c>
      <c r="K232" s="3">
        <f>960+(825.6-264.1)+(2.448+(2.10528-0.673455))+0-419.7-1.07023499999994</f>
        <v>1104.60959</v>
      </c>
      <c r="L232" s="3">
        <f>955.4+(913-255.7)+(-1.461762+(-1.39689--0.391221))+0-429.5--0.657135000000025</f>
        <v>1181.3897039999997</v>
      </c>
      <c r="M232" s="3">
        <f>935.9+(903.3-241)+(-2.386545+(-2.303415--0.61455))+0-435.6--1.11077999999994</f>
        <v>1159.63537</v>
      </c>
      <c r="N232" s="3">
        <f>943.8+(1046.9-270.4)+(1.444014+(1.601757-0.413712))+0-422.8-0.646884000000024</f>
        <v>1299.4851750000003</v>
      </c>
      <c r="O232" s="3">
        <f>971.2+(1189.2-343.6)+(-1.485936+(-1.819476--0.525708))+0-423.3--0.647649000000024</f>
        <v>1391.3679450000002</v>
      </c>
      <c r="P232" s="3">
        <f>1060.9+(1117.2-388.9)+(-0.541059+(-0.569772--0.198339))+0-416--0.212159999999958</f>
        <v>1372.4996680000004</v>
      </c>
      <c r="Q232" s="3">
        <f>1279.8+(961-422.8)+(-0.652698+(-0.49011--0.215628))+0-425.4--0.216953999999957</f>
        <v>1391.8897740000002</v>
      </c>
      <c r="R232" s="3">
        <f>1335.2+(925.1-472.7)+(-2.723808+(-1.887204--0.964308))+0-418.5--0.853739999999982</f>
        <v>1366.3070360000002</v>
      </c>
      <c r="S232" s="3">
        <f>1339.8+(946.5-509.8)+(0+(0-0))+0-428.9-0</f>
        <v>1347.6</v>
      </c>
      <c r="T232" s="3">
        <f>1342.4+(946-474)+(1.369248+(0.96492-0.48348))+0-423.4-0.431868000000067</f>
        <v>1392.4188199999999</v>
      </c>
      <c r="U232" s="3">
        <f>1340.2+(908-496.1)+(-1.367004+(-0.92616--0.506022))+0-403.7--0.411774000000064</f>
        <v>1347.0246320000001</v>
      </c>
      <c r="V232" s="3">
        <f>1377.3+(863.7-526.6)+(-0.702423+(-0.440487--0.268566))+0-400.3--0.204152999999959</f>
        <v>1313.429809</v>
      </c>
      <c r="W232" s="3">
        <f>1605.1+(1197.4-1014.4)+(-0.818601+(-0.610674--0.517344))+0-398.5--0.20323499999996</f>
        <v>1388.8913039999998</v>
      </c>
      <c r="X232" s="3">
        <f>1621.5+(1569.8-1125.2)+(-0.826965+(-0.800598--0.573852))+0-400.5--0.204254999999959</f>
        <v>1664.7505439999998</v>
      </c>
      <c r="Y232" s="3">
        <f>1623+(1433.4-863.4)+(-4.13865+(-3.65517--2.20167))+0-398.4--1.01591999999994</f>
        <v>1790.02377</v>
      </c>
      <c r="Z232" s="3">
        <f>1621.2+(1172.1-671.5)+(-4.13406+(-2.988855--1.712325))+0-402.2--1.02560999999994</f>
        <v>1715.2150200000001</v>
      </c>
      <c r="AA232" s="3">
        <f>1622.9+(884.1-573.5)+(-1.655358+(-0.901782--0.58497))+0-399.5--0.407490000000064</f>
        <v>1532.43532</v>
      </c>
      <c r="AB232" s="3">
        <f>1613.2+(886.6-623.6)+(-1.645464+(-0.904332--0.636072))+0-397.2--0.405144000000063</f>
        <v>1477.4914200000001</v>
      </c>
      <c r="AC232" s="3">
        <f>1396.2+(803.5-525.6)+(-3.56031+(-2.048925--1.34028))+0-425.8--1.08578999999994</f>
        <v>1245.1168349999998</v>
      </c>
      <c r="AD232">
        <f t="shared" si="3"/>
        <v>32422.603859999999</v>
      </c>
      <c r="AE232" s="3">
        <f>1622+(1444.3-1221.2)+(0+(0-0))+0-400.3-0</f>
        <v>1444.8</v>
      </c>
    </row>
    <row r="233" spans="1:31" s="2" customFormat="1" x14ac:dyDescent="0.25">
      <c r="A233">
        <v>89</v>
      </c>
      <c r="B233">
        <v>8</v>
      </c>
      <c r="C233">
        <v>17</v>
      </c>
      <c r="D233">
        <v>3</v>
      </c>
      <c r="E233">
        <v>1</v>
      </c>
      <c r="F233" s="3">
        <f>1097.7+(865.7-355.1)+(-1.679481+(-1.324521--0.543303))+0-422.4--0.646272000000024</f>
        <v>1184.0855730000003</v>
      </c>
      <c r="G233" s="3">
        <f>970.7+(889.3-266.2)+(-1.980228+(-1.814172--0.543048))+0-433.1--0.883523999999981</f>
        <v>1158.3321720000001</v>
      </c>
      <c r="H233" s="3">
        <f>960.7+(793.5-219.1)+(-1.469871+(-1.214055--0.335223))+0-413.8--0.633114000000024</f>
        <v>1119.584411</v>
      </c>
      <c r="I233" s="3">
        <f>960.9+(757.3-183.5)+(-0.490059+(-0.386223--0.093585))+0-419.5--0.213944999999957</f>
        <v>1114.6312479999997</v>
      </c>
      <c r="J233" s="3">
        <f>958.5+(773.2-220.9)+(-0.488835+(-0.394332--0.112659))+0-417.1--0.212720999999958</f>
        <v>1093.1422130000001</v>
      </c>
      <c r="K233" s="3">
        <f>960.7+(883.9-280.8)+(0+(0-0))+0-411.8-0</f>
        <v>1152</v>
      </c>
      <c r="L233" s="3">
        <f>960.8+(1024-403.1)+(-0.980016+(-1.04448--0.411162))+0-395--0.402900000000063</f>
        <v>1185.489566</v>
      </c>
      <c r="M233" s="3">
        <f>960.7+(1191.7-416)+(-1.469871+(-1.823301--0.63648))+0-381.8--0.584154000000022</f>
        <v>1352.5274620000002</v>
      </c>
      <c r="N233" s="3">
        <f>962.5+(1215.1-408.4)+(-0.98175+(-1.239402--0.416568))+0-381.9--0.389538000000061</f>
        <v>1385.8849539999999</v>
      </c>
      <c r="O233" s="3">
        <f>1073.1+(1152.1-448.7)+(0+(0-0))+0-376.8-0</f>
        <v>1399.6999999999998</v>
      </c>
      <c r="P233" s="3">
        <f>1175.4+(1083.3-451.6)+(0+(0-0))+0-370.7-0</f>
        <v>1436.3999999999999</v>
      </c>
      <c r="Q233" s="3">
        <f>1234.5+(1054.2-450.1)+(-1.888785+(-1.612926--0.688653))+0-368.8--0.564264000000021</f>
        <v>1467.5512060000001</v>
      </c>
      <c r="R233" s="3">
        <f>1214.4+(868.6-299)+(-3.09672+(-2.21493--0.76245))+0-376.3--0.959564999999945</f>
        <v>1404.110365</v>
      </c>
      <c r="S233" s="3">
        <f>1217.7+(949.3-465.2)+(0.621027+(0.484143-0.237252))+0-370.5-0.188954999999962</f>
        <v>1331.978963</v>
      </c>
      <c r="T233" s="3">
        <f>1212.1+(944.5-487.5)+(-1.236342+(-0.96339--0.49725))+0-247.6--0.252552000000039</f>
        <v>1420.0500700000002</v>
      </c>
      <c r="U233" s="3">
        <f>1220.5+(979.3-513.4)+(0+(0-0))+0-366.7-0</f>
        <v>1319.7</v>
      </c>
      <c r="V233" s="3">
        <f>1253.4+(1038.2-609.5)+(-0.639234+(-0.529482--0.310845))+0-364.8--0.186047999999963</f>
        <v>1316.6281770000003</v>
      </c>
      <c r="W233" s="3">
        <f>1592.9+(1424-1064.5)+(0+(0-0))+0-371.5-0</f>
        <v>1580.9</v>
      </c>
      <c r="X233" s="3">
        <f>1641.1+(1534-953)+(-1.673922+(-1.56468--0.97206))+0-378--0.38556000000006</f>
        <v>1842.2190180000002</v>
      </c>
      <c r="Y233" s="3">
        <f>1641.1+(1467.1-986.2)+(-4.184805+(-3.741105--2.51481))+0-375.8--0.958289999999945</f>
        <v>1741.7471900000003</v>
      </c>
      <c r="Z233" s="3">
        <f>1640+(1314.8-1014.3)+(-2.5092+(-2.011644--1.551879))+0-378--0.578340000000022</f>
        <v>1560.109375</v>
      </c>
      <c r="AA233" s="3">
        <f>1631.4+(1280.1-980.2)+(-1.664028+(-1.305702--0.999804))+0-374.7--0.38219400000006</f>
        <v>1555.0122679999999</v>
      </c>
      <c r="AB233" s="3">
        <f>1443.4+(1315.3-994.4)+(-3.68067+(-3.354015--2.53572))+0-369.6--0.942479999999946</f>
        <v>1391.143515</v>
      </c>
      <c r="AC233" s="3">
        <f>1026.9+(1609.8-1000.5)+(-2.094876+(-3.283992--2.04102))+0-370.9--0.756635999999984</f>
        <v>1262.7187880000001</v>
      </c>
      <c r="AD233">
        <f t="shared" si="3"/>
        <v>32775.646534</v>
      </c>
      <c r="AE233" s="3">
        <f>1637+(1683.6-1247)+(0+(0-0))+0-375.7-0</f>
        <v>1697.8999999999999</v>
      </c>
    </row>
    <row r="234" spans="1:31" s="2" customFormat="1" x14ac:dyDescent="0.25">
      <c r="A234">
        <v>89</v>
      </c>
      <c r="B234">
        <v>8</v>
      </c>
      <c r="C234">
        <v>18</v>
      </c>
      <c r="D234">
        <v>4</v>
      </c>
      <c r="E234">
        <v>1</v>
      </c>
      <c r="F234" s="3">
        <f>945.2+(1434.6-744.1)+(-1.928208+(-2.926584--1.517964))+0-373.5--0.761939999999984</f>
        <v>1259.6251119999999</v>
      </c>
      <c r="G234" s="3">
        <f>946.5+(1303.1-695.3)+(0+(0-0))+0-374.2-0</f>
        <v>1180.0999999999999</v>
      </c>
      <c r="H234" s="3">
        <f>949.7+(1314.7-764.7)+(-0.484347+(-0.670497--0.389997))+0-378.3--0.192932999999962</f>
        <v>1120.8280860000002</v>
      </c>
      <c r="I234" s="3">
        <f>946.6+(1296.7-779.2)+(0.965532+(1.322634-0.794784))+0-382.7-0.390354000000061</f>
        <v>1082.5030279999999</v>
      </c>
      <c r="J234" s="3">
        <f>949.9+(1309-734.2)+(0.484449+(0.66759-0.374442))+0-374.2-0.190841999999962</f>
        <v>1151.0867549999998</v>
      </c>
      <c r="K234" s="3">
        <f>949.8+(1455.8-824.3)+(0+(0-0))+0-384.9-0</f>
        <v>1196.4000000000001</v>
      </c>
      <c r="L234" s="3">
        <f>965.8+(1458.4-812.4)+(0.492558+(0.743784-0.414324))+0-385.5-0.196604999999961</f>
        <v>1226.9254130000004</v>
      </c>
      <c r="M234" s="3">
        <f>965.3+(1413.4-706.9)+(0+(0-0))+0-367.3-0</f>
        <v>1304.5000000000002</v>
      </c>
      <c r="N234" s="3">
        <f>977.5+(1232.5-463.6)+(0.498525+(0.628575-0.236436))+0-370.9-0.189158999999962</f>
        <v>1376.201505</v>
      </c>
      <c r="O234" s="3">
        <f>1153.6+(1111.6-428.3)+(-1.765008+(-1.700748--0.655299))+0-390.9--0.598077000000023</f>
        <v>1443.7876200000001</v>
      </c>
      <c r="P234" s="3">
        <f>1338.8+(934.3-442.1)+(0+(0-0))+0-368.5-0</f>
        <v>1462.5</v>
      </c>
      <c r="Q234" s="3">
        <f>1571.7+(670.7-458.2)+(-4.007835+(-1.710285--1.16841))+0-372.4--0.949619999999946</f>
        <v>1408.1999099999998</v>
      </c>
      <c r="R234" s="3">
        <f>1588.9+(705.8-474.9)+(0+(0-0))+0-381-0</f>
        <v>1438.8000000000002</v>
      </c>
      <c r="S234" s="3">
        <f>1587.4+(620.1-445.2)+(0+(0-0))+0-401.9-0</f>
        <v>1360.4</v>
      </c>
      <c r="T234" s="3">
        <f>1588.5+(696.5-434.2)+(0.810135+(0.355215-0.221442))+0-391.1-0.19946099999996</f>
        <v>1460.4444470000001</v>
      </c>
      <c r="U234" s="3">
        <f>1591.2+(785.8-518.7)+(0+(0-0))+0-369.6-0</f>
        <v>1488.6999999999998</v>
      </c>
      <c r="V234" s="3">
        <f>1592.2+(756.9-580.5)+(1.624044+(0.772038-0.59211))+0-367.1-0.374442000000059</f>
        <v>1402.9295299999997</v>
      </c>
      <c r="W234" s="3">
        <f>1614.3+(1212.7-946.2)+(0.823293+(0.618477-0.482562))+0-378.8-0.193187999999962</f>
        <v>1502.76602</v>
      </c>
      <c r="X234" s="3">
        <f>1616.7+(1438.2-964.2)+(-2.473551+(-2.200446--1.475226))+0-379.3--0.580329000000022</f>
        <v>1708.7815580000001</v>
      </c>
      <c r="Y234" s="3">
        <f>1632.5+(1171.9-745.7)+(-4.162875+(-2.988345--1.901535))+0-374.1--0.953954999999946</f>
        <v>1680.3042700000001</v>
      </c>
      <c r="Z234" s="3">
        <f>1530.1+(1004.1-694)+(-0.780351+(-0.512091--0.35394))+0-372.2--0.189821999999962</f>
        <v>1467.2513199999999</v>
      </c>
      <c r="AA234" s="3">
        <f>1479.3+(1016.6-543.2)+(-1.508886+(-1.036932--0.554064))+0-370.1--0.377502000000059</f>
        <v>1580.9857479999998</v>
      </c>
      <c r="AB234" s="3">
        <f>1374.8+(922-469.4)+(-4.206888+(-2.82132--1.436364))+0-372--1.13832000000004</f>
        <v>1450.9464760000001</v>
      </c>
      <c r="AC234" s="3">
        <f>1085.5+(1011-361.8)+(-2.768025+(-2.57805--0.92259))+0-398.5--1.01617499999994</f>
        <v>1332.79269</v>
      </c>
      <c r="AD234">
        <f t="shared" si="3"/>
        <v>33087.759488000003</v>
      </c>
      <c r="AE234" s="3">
        <f>1635+(1509.5-1064.8)+(0+(0-0))+0-380.4-0</f>
        <v>1699.2999999999997</v>
      </c>
    </row>
    <row r="235" spans="1:31" s="2" customFormat="1" x14ac:dyDescent="0.25">
      <c r="A235">
        <v>89</v>
      </c>
      <c r="B235">
        <v>8</v>
      </c>
      <c r="C235">
        <v>19</v>
      </c>
      <c r="D235">
        <v>5</v>
      </c>
      <c r="E235">
        <v>1</v>
      </c>
      <c r="F235" s="3">
        <f>974.3+(932.5-334.9)+(-1.490679+(-1.426725--0.512397))+0-404.6--0.619038000000023</f>
        <v>1165.5140309999999</v>
      </c>
      <c r="G235" s="3">
        <f>974.5+(894.4-308.7)+(-0.99399+(-0.912288--0.314874))+0-407.3--0.415446000000065</f>
        <v>1151.7240420000001</v>
      </c>
      <c r="H235" s="3">
        <f>974.6+(885-293.8)+(0+(0-0))+0-407.2-0</f>
        <v>1158.6000000000001</v>
      </c>
      <c r="I235" s="3">
        <f>974.6+(892.4-330.2)+(-1.988184+(-1.820496--0.673608))+0-406.3--0.828851999999982</f>
        <v>1128.1937800000001</v>
      </c>
      <c r="J235" s="3">
        <f>974.6+(889-299.1)+(2.48523+(2.26695-0.762705))+0-403.6-1.02917999999994</f>
        <v>1163.860295</v>
      </c>
      <c r="K235" s="3">
        <f>973.4+(895.7-297.7)+(-1.489302+(-1.370421--0.455481))+0-400--0.612000000000023</f>
        <v>1169.6077580000001</v>
      </c>
      <c r="L235" s="3">
        <f>963.5+(909.1-311.3)+(-2.456925+(-2.318205--0.793815))+0-406.5--1.03657499999994</f>
        <v>1151.8552599999998</v>
      </c>
      <c r="M235" s="3">
        <f>963.6+(1067.8-327)+(-0.491436+(-0.544578--0.16677))+0-412--0.210119999999958</f>
        <v>1291.7408760000001</v>
      </c>
      <c r="N235" s="3">
        <f>964.5+(1225.2-446.9)+(0+(0-0))+0-408.9-0</f>
        <v>1333.9</v>
      </c>
      <c r="O235" s="3">
        <f>1021.8+(1188.8-495.6)+(0+(0-0))+0-424.3-0</f>
        <v>1290.7</v>
      </c>
      <c r="P235" s="3">
        <f>1223+(1036.8-469.9)+(0.62373+(0.528768-0.239649))+0-436.2-0.222461999999956</f>
        <v>1354.3903870000001</v>
      </c>
      <c r="Q235" s="3">
        <f>1356.5+(944.3-514)+(-4.15089+(-2.889558--1.57284))+0-433--1.32498000000005</f>
        <v>1349.6573720000001</v>
      </c>
      <c r="R235" s="3">
        <f>1357.4+(965-506.2)+(-1.384548+(-0.9843--0.516324))+0-438.7--0.44747400000007</f>
        <v>1376.0949500000002</v>
      </c>
      <c r="S235" s="3">
        <f>1360.7+(896.7-457.4)+(0+(0-0))+0-433.7-0</f>
        <v>1366.3</v>
      </c>
      <c r="T235" s="3">
        <f>1359.4+(880.6-424.4)+(-1.386588+(-0.898212--0.432888))+0-432.7--0.441354000000069</f>
        <v>1381.4894420000001</v>
      </c>
      <c r="U235" s="3">
        <f>1358.3+(907.4-468.6)+(-2.078199+(-1.388322--0.716958))+0-399.7--0.611541000000023</f>
        <v>1395.2619779999998</v>
      </c>
      <c r="V235" s="3">
        <f>1417.2+(1005.1-575.2)+(0.722772+(0.512601-0.293352))+0-402.9-0.205478999999959</f>
        <v>1444.9365420000001</v>
      </c>
      <c r="W235" s="3">
        <f>1585.7+(1588.9-1144)+(0.808707+(0.810339-0.58344))+0-398-0.20297999999996</f>
        <v>1633.432626</v>
      </c>
      <c r="X235" s="3">
        <f>1610.4+(1832.5-1425.6)+(0+(0-0))+0-397.6-0</f>
        <v>1619.7000000000003</v>
      </c>
      <c r="Y235" s="3">
        <f>1601.6+(1507-1131.5)+(-4.900896+(-4.61142--3.46239))+0-398.4--1.21910400000005</f>
        <v>1573.8691780000001</v>
      </c>
      <c r="Z235" s="3">
        <f>1484.1+(1424-882.7)+(-1.513782+(-1.45248--0.900354))+0-400.5--0.408510000000064</f>
        <v>1623.2426019999998</v>
      </c>
      <c r="AA235" s="3">
        <f>1386.3+(1396.8-820.9)+(0.707013+(0.712368-0.418659))+0-400.5-0.204254999999959</f>
        <v>1562.4964669999999</v>
      </c>
      <c r="AB235" s="3">
        <f>1352.9+(1291-793.4)+(-2.759916+(-2.63364--1.618536))+0-399.4--0.814775999999983</f>
        <v>1448.1397559999998</v>
      </c>
      <c r="AC235" s="3">
        <f>1077.5+(1213.3-484)+(-1.648575+(-1.856349--0.74052))+0-427.4--0.653922000000025</f>
        <v>1377.289518</v>
      </c>
      <c r="AD235">
        <f t="shared" si="3"/>
        <v>32511.996860000007</v>
      </c>
      <c r="AE235" s="3">
        <f>1619+(1805.7-1458.3)+(0+(0-0))+0-406.2-0</f>
        <v>1560.2</v>
      </c>
    </row>
    <row r="236" spans="1:31" s="2" customFormat="1" x14ac:dyDescent="0.25">
      <c r="A236">
        <v>89</v>
      </c>
      <c r="B236">
        <v>8</v>
      </c>
      <c r="C236">
        <v>20</v>
      </c>
      <c r="D236">
        <v>6</v>
      </c>
      <c r="E236">
        <v>1</v>
      </c>
      <c r="F236" s="3">
        <f>978.6+(1071.3-396.9)+(-0.998172+(-1.092726--0.404838))+0-418.8--0.427176000000067</f>
        <v>1232.9411160000002</v>
      </c>
      <c r="G236" s="3">
        <f>951+(1025.9-407)+(-1.45503+(-1.569627--0.62271))+0-431--0.659430000000025</f>
        <v>1137.157483</v>
      </c>
      <c r="H236" s="3">
        <f>955+(943.9-293.5)+(-1.46115+(-1.444167--0.449055))+0-430.5--0.658665000000025</f>
        <v>1173.1024030000001</v>
      </c>
      <c r="I236" s="3">
        <f>955.2+(974.4-354.2)+(0.487152+(0.496944-0.180642))+0-437.4-0.223073999999956</f>
        <v>1138.5803800000003</v>
      </c>
      <c r="J236" s="3">
        <f>956.4+(960.3-376.5)+(1.463292+(1.469259-0.576045))+0-435.4-0.666162000000025</f>
        <v>1106.4903439999998</v>
      </c>
      <c r="K236" s="3">
        <f>956.3+(994.5-376.4)+(0.975426+(1.01439-0.383928))+0-414.2-0.422484000000066</f>
        <v>1161.3834039999999</v>
      </c>
      <c r="L236" s="3">
        <f>956.1+(1068-367.4)+(-0.487611+(-0.54468--0.187374))+0-432.2--0.220421999999956</f>
        <v>1223.875505</v>
      </c>
      <c r="M236" s="3">
        <f>1018+(1090-401.5)+(1.55754+(1.6677-0.614295))+0-429.6-0.657288000000025</f>
        <v>1278.8536569999999</v>
      </c>
      <c r="N236" s="3">
        <f>1132+(1019.2-429.6)+(1.73196+(1.559376-0.657288))+0-429.1-0.656523000000025</f>
        <v>1294.4775249999998</v>
      </c>
      <c r="O236" s="3">
        <f>1343.9+(981.3-559.5)+(1.370778+(1.000926-0.57069))+0-435.9-0.444618000000069</f>
        <v>1331.1563959999999</v>
      </c>
      <c r="P236" s="3">
        <f>1411.2+(984.2-516)+(2.159136+(1.505826-0.78948))+0-436.3-0.667539000000025</f>
        <v>1445.307943</v>
      </c>
      <c r="Q236" s="3">
        <f>1452.9+(909.7-456.9)+(-1.481958+(-0.927894--0.466038))+0-423.8--0.432276000000068</f>
        <v>1480.3884620000003</v>
      </c>
      <c r="R236" s="3">
        <f>1448.8+(771.6-388.6)+(-1.477776+(-0.787032--0.396372))+0-413.8--0.422076000000066</f>
        <v>1416.5536400000001</v>
      </c>
      <c r="S236" s="3">
        <f>1447.9+(705-379.4)+(-2.953716+(-1.4382--0.773976))+0-377.5--0.770099999999984</f>
        <v>1393.1521599999999</v>
      </c>
      <c r="T236" s="3">
        <f>1304.9+(805.1-396.1)+(-2.661996+(-1.642404--0.808044))+0-401.9--0.819875999999982</f>
        <v>1309.3235199999999</v>
      </c>
      <c r="U236" s="3">
        <f>1210+(859.1-354.3)+(-1.8513+(-1.314423--0.542079))+0-388.6--0.594558000000022</f>
        <v>1324.170914</v>
      </c>
      <c r="V236" s="3">
        <f>1369.6+(758.8-440.8)+(1.396992+(0.773976-0.449616))+0-397.2-0.405144000000063</f>
        <v>1291.7162079999998</v>
      </c>
      <c r="W236" s="3">
        <f>1588.6+(889-617.9)+(-0.810186+(-0.45339--0.315129))+0-400.4--0.204203999999959</f>
        <v>1458.5557569999999</v>
      </c>
      <c r="X236" s="3">
        <f>1622.2+(1173.1-779.4)+(-4.13661+(-2.991405--1.98747))+0-399.3--1.01821499999994</f>
        <v>1612.47767</v>
      </c>
      <c r="Y236" s="3">
        <f>1622.1+(1064.6-687.7)+(-2.481813+(-1.628838--1.052181))+0-397.1--0.607563000000023</f>
        <v>1599.4490929999997</v>
      </c>
      <c r="Z236" s="3">
        <f>1571.7+(1152.4-779.3)+(-0.801567+(-0.587724--0.397443))+0-387.8--0.197777999999961</f>
        <v>1556.2059300000003</v>
      </c>
      <c r="AA236" s="3">
        <f>1499.8+(1062.8-661.2)+(-2.294694+(-1.626084--1.011636))+0-396.9--0.607257000000023</f>
        <v>1502.1981150000001</v>
      </c>
      <c r="AB236" s="3">
        <f>1436.7+(971.7-587.1)+(-2.198151+(-1.486701--0.898263))+0-395.6--0.605268000000023</f>
        <v>1423.518679</v>
      </c>
      <c r="AC236" s="3">
        <f>1199.3+(993.3-513.3)+(-2.446572+(-2.026332--1.047132))+0-396.7--0.809267999999983</f>
        <v>1279.9834959999998</v>
      </c>
      <c r="AD236">
        <f t="shared" si="3"/>
        <v>32171.019800000005</v>
      </c>
      <c r="AE236" s="3">
        <f>1619+(1242.6-838.3)+(0+(0-0))+0-401.1-0</f>
        <v>1622.1999999999998</v>
      </c>
    </row>
    <row r="237" spans="1:31" s="2" customFormat="1" x14ac:dyDescent="0.25">
      <c r="A237">
        <v>89</v>
      </c>
      <c r="B237">
        <v>8</v>
      </c>
      <c r="C237">
        <v>21</v>
      </c>
      <c r="D237">
        <v>7</v>
      </c>
      <c r="E237">
        <v>1</v>
      </c>
      <c r="F237" s="3">
        <f>981.4+(977.6-346.4)+(-1.501542+(-1.495728--0.529992))+0-398.9--0.610317000000023</f>
        <v>1211.8430389999999</v>
      </c>
      <c r="G237" s="3">
        <f>944.1+(867.3-254.9)+(-1.444473+(-1.326969--0.389997))+0-399.2--0.610776000000023</f>
        <v>1155.529331</v>
      </c>
      <c r="H237" s="3">
        <f>947.1+(835.5-266.1)+(-0.966042+(-0.85221--0.271422))+0-396.5--0.404430000000063</f>
        <v>1118.8576</v>
      </c>
      <c r="I237" s="3">
        <f>946+(795.1-266.7)+(-1.44738+(-1.216503--0.408051))+0-398.9--0.610317000000023</f>
        <v>1073.8544850000003</v>
      </c>
      <c r="J237" s="3">
        <f>945.4+(785.1-234.8)+(-0.482154+(-0.400401--0.119748))+0-397.6--0.20277599999996</f>
        <v>1097.5399689999997</v>
      </c>
      <c r="K237" s="3">
        <f>946.3+(803.8-255.3)+(-0.482613+(-0.409938--0.130203))+0-397.5--0.20272499999996</f>
        <v>1096.7403769999999</v>
      </c>
      <c r="L237" s="3">
        <f>930.3+(800.2-290.2)+(-3.321171+(-2.856714--1.036014))+0-397.7--1.41978900000001</f>
        <v>1038.8779179999999</v>
      </c>
      <c r="M237" s="3">
        <f>939.3+(841.5-324.6)+(0.479043+(0.429165-0.165546))+0-398.7-0.20333699999996</f>
        <v>1058.039325</v>
      </c>
      <c r="N237" s="3">
        <f>986.8+(947.9-322.2)+(-1.509804+(-1.450287--0.492966))+0-400.1--0.612153000000023</f>
        <v>1210.545028</v>
      </c>
      <c r="O237" s="3">
        <f>1091.9+(927.7-352.3)+(-1.113738+(-0.946254--0.359346))+0-400.5--0.408510000000064</f>
        <v>1265.5078640000002</v>
      </c>
      <c r="P237" s="3">
        <f>1093.1+(965.6-427.2)+(-0.557481+(-0.492456--0.217872))+0-399.1--0.20354099999996</f>
        <v>1231.7714759999999</v>
      </c>
      <c r="Q237" s="3">
        <f>1211.6+(842.6-419.5)+(-0.617916+(-0.429726--0.213945))+0-400.1--0.204050999999959</f>
        <v>1233.9703539999998</v>
      </c>
      <c r="R237" s="3">
        <f>1240.1+(776.6-376.2)+(-2.529804+(-1.584264--0.767448))+0-397.2--0.810287999999983</f>
        <v>1240.7636679999998</v>
      </c>
      <c r="S237" s="3">
        <f>1250+(720-354.4)+(2.55+(1.4688-0.722976))+0-395.1-0.806003999999983</f>
        <v>1222.9898199999998</v>
      </c>
      <c r="T237" s="3">
        <f>1244.2+(802.4-472.2)+(-1.903626+(-1.227672--0.722466))+0-394.1--0.602973000000023</f>
        <v>1178.4941410000001</v>
      </c>
      <c r="U237" s="3">
        <f>1243.5+(733.2-388.8)+(-0.634185+(-0.373932--0.198288))+0-394.4--0.20114399999996</f>
        <v>1192.8913150000001</v>
      </c>
      <c r="V237" s="3">
        <f>1245.7+(793.5-402.7)+(-0.635307+(-0.404685--0.205377))+0-395--0.20144999999996</f>
        <v>1240.866835</v>
      </c>
      <c r="W237" s="3">
        <f>1439.3+(807.4-532)+(-2.202129+(-1.235322--0.81396))+0-384.6--0.588438000000022</f>
        <v>1328.0649469999996</v>
      </c>
      <c r="X237" s="3">
        <f>1575.5+(1069.9-791.7)+(-5.624535+(-3.819543--2.826369))+0-372.5--1.32982500000001</f>
        <v>1475.912116</v>
      </c>
      <c r="Y237" s="3">
        <f>1582.6+(1283.4-1034)+(-2.421378+(-1.963602--1.58202))+0-387.7--0.593181000000022</f>
        <v>1442.0902209999999</v>
      </c>
      <c r="Z237" s="3">
        <f>1579.6+(1244.3-939.5)+(-3.222384+(-2.538372--1.91658))+0-373.8--0.762551999999984</f>
        <v>1507.5183759999998</v>
      </c>
      <c r="AA237" s="3">
        <f>1580.7+(1132.9-854.7)+(-1.612314+(-1.155558--0.871794))+0-390.6--0.398412000000062</f>
        <v>1466.802334</v>
      </c>
      <c r="AB237" s="3">
        <f>1494.8+(938-674.1)+(-2.287044+(-1.43514--1.031373))+0-389.6--0.596088000000023</f>
        <v>1367.005277</v>
      </c>
      <c r="AC237" s="3">
        <f>1229.5+(920.9-485.7)+(-1.881135+(-1.408977--0.743121))+0-411--0.628830000000024</f>
        <v>1251.7818390000002</v>
      </c>
      <c r="AD237">
        <f t="shared" si="3"/>
        <v>29708.257654999994</v>
      </c>
      <c r="AE237" s="3">
        <f>1622+(1012.4-728.3)+(0+(0-0))+0-364.4-0</f>
        <v>1541.6999999999998</v>
      </c>
    </row>
    <row r="238" spans="1:31" s="2" customFormat="1" x14ac:dyDescent="0.25">
      <c r="A238">
        <v>89</v>
      </c>
      <c r="B238">
        <v>8</v>
      </c>
      <c r="C238">
        <v>22</v>
      </c>
      <c r="D238">
        <v>1</v>
      </c>
      <c r="E238">
        <v>1</v>
      </c>
      <c r="F238" s="3">
        <f>1039.3+(868.8-326.9)+(1.060086+(0.886176-0.333438))+0-420.8-0.429216000000067</f>
        <v>1161.5836079999999</v>
      </c>
      <c r="G238" s="3">
        <f>926.9+(909.5-324.1)+(0+(0-0))+0-432.4-0</f>
        <v>1079.9000000000001</v>
      </c>
      <c r="H238" s="3">
        <f>913.4+(828.4-239.4)+(0.465834+(0.422484-0.122094))+0-429.7-0.219146999999956</f>
        <v>1073.247077</v>
      </c>
      <c r="I238" s="3">
        <f>910.8+(810-223.2)+(0.929016+(0.8262-0.227664))+0-428.3-0.436866000000068</f>
        <v>1070.390686</v>
      </c>
      <c r="J238" s="3">
        <f>911.9+(797.6-237.7)+(0.930138+(0.813552-0.242454))+0-417.7-0.426054000000067</f>
        <v>1055.1751820000002</v>
      </c>
      <c r="K238" s="3">
        <f>907.4+(850.2-253.6)+(-0.462774+(-0.433602--0.129336))+0-418.1--0.213230999999958</f>
        <v>1085.3461909999999</v>
      </c>
      <c r="L238" s="3">
        <f>904.1+(923.6-299.2)+(-1.383273+(-1.413108--0.457776))+0-423.1--0.647343000000025</f>
        <v>1103.7087380000003</v>
      </c>
      <c r="M238" s="3">
        <f>1004.1+(920.1-327.9)+(-0.512091+(-0.469251--0.167229))+0-429--0.218789999999956</f>
        <v>1166.7046770000002</v>
      </c>
      <c r="N238" s="3">
        <f>1199.9+(929.6-407.4)+(-1.223898+(-0.948192--0.415548))+0-433--0.441660000000069</f>
        <v>1287.785118</v>
      </c>
      <c r="O238" s="3">
        <f>1316.9+(990.1-501.8)+(-2.014857+(-1.514853--0.767754))+0-426.4--0.652392000000025</f>
        <v>1376.6904359999999</v>
      </c>
      <c r="P238" s="3">
        <f>1323.6+(1084.2-481.9)+(0+(0-0))+0-413.4-0</f>
        <v>1512.5</v>
      </c>
      <c r="Q238" s="3">
        <f>1322.2+(1158.4-642.4)+(-0.674322+(-0.590784--0.327624))+0-390.9--0.19935899999996</f>
        <v>1446.5618770000003</v>
      </c>
      <c r="R238" s="3">
        <f>1320.6+(1074.8-610.8)+(-2.694024+(-2.192592--1.246032))+0-399.4--0.814775999999983</f>
        <v>1382.374192</v>
      </c>
      <c r="S238" s="3">
        <f>1322.3+(1135.1-669.4)+(-1.348746+(-1.157802--0.682788))+0-422.3--0.430746000000067</f>
        <v>1364.3069860000001</v>
      </c>
      <c r="T238" s="3">
        <f>1324.1+(1178.4-664.5)+(-0.675291+(-0.600984--0.338895))+0-430.4--0.219503999999956</f>
        <v>1406.882124</v>
      </c>
      <c r="U238" s="3">
        <f>1292+(1050.5-480.8)+(0.65892+(0.535755-0.245208))+0-404-0.206039999999959</f>
        <v>1458.4434269999999</v>
      </c>
      <c r="V238" s="3">
        <f>1299.1+(1153.9-667.3)+(1.325082+(1.176978-0.680646))+0-386.2-0.393924000000062</f>
        <v>1400.92749</v>
      </c>
      <c r="W238" s="3">
        <f>1365.2+(1944.7-1436.6)+(0+(0-0))+0-382.3-0</f>
        <v>1491.0000000000002</v>
      </c>
      <c r="X238" s="3">
        <f>1377.7+(2179.6-1367.2)+(-0.702627+(-1.111596--0.697272))+0-383.6--0.195635999999961</f>
        <v>1805.578685</v>
      </c>
      <c r="Y238" s="3">
        <f>1375.4+(1700.4-885.7)+(-2.805816+(-3.468816--1.806828))+0-386--0.787439999999983</f>
        <v>1800.4196360000005</v>
      </c>
      <c r="Z238" s="3">
        <f>1374.4+(1308.9-660.9)+(-0.700944+(-0.667539--0.337059))+0-389.6--0.19869599999996</f>
        <v>1631.9672719999999</v>
      </c>
      <c r="AA238" s="3">
        <f>1320.1+(1232.2-611.2)+(-2.019753+(-1.885266--0.935136))+0-394.8--0.604044000000023</f>
        <v>1543.9341609999999</v>
      </c>
      <c r="AB238" s="3">
        <f>1148.5+(1276.3-630)+(-2.928675+(-3.254565--1.6065))+0-399--1.01744999999994</f>
        <v>1392.24071</v>
      </c>
      <c r="AC238" s="3">
        <f>1012.6+(1270.2-557.4)+(-2.58213+(-3.23901--1.42137))+0-427.5--1.09012499999994</f>
        <v>1294.590355</v>
      </c>
      <c r="AD238">
        <f t="shared" si="3"/>
        <v>32392.258628000003</v>
      </c>
      <c r="AE238" s="3">
        <f>1378+(2359.4-1582.9)+(0+(0-0))+0-381.5-0</f>
        <v>1773</v>
      </c>
    </row>
    <row r="239" spans="1:31" s="2" customFormat="1" x14ac:dyDescent="0.25">
      <c r="A239">
        <v>89</v>
      </c>
      <c r="B239">
        <v>8</v>
      </c>
      <c r="C239">
        <v>23</v>
      </c>
      <c r="D239">
        <v>2</v>
      </c>
      <c r="E239">
        <v>1</v>
      </c>
      <c r="F239" s="3">
        <f>892.4+(1120.6-308.6)+(-1.820496+(-2.286024--0.629544))+0-435--0.887399999999981</f>
        <v>1266.810424</v>
      </c>
      <c r="G239" s="3">
        <f>787.8+(1129.4-245.4)+(-2.00889+(-2.87997--0.62577))+0-435.6--1.11077999999994</f>
        <v>1233.0476900000003</v>
      </c>
      <c r="H239" s="3">
        <f>792+(931.8-185)+(-0.40392+(-0.475218--0.09435))+0-435.9--0.222308999999956</f>
        <v>1102.3375210000002</v>
      </c>
      <c r="I239" s="3">
        <f>790.9+(911.9-177.9)+(-0.806718+(-0.930138--0.181458))+0-429.7--0.438294000000069</f>
        <v>1094.0828960000001</v>
      </c>
      <c r="J239" s="3">
        <f>792.7+(1001.3-243.5)+(-0.808554+(-1.021326--0.24837))+0-434.5--0.443190000000069</f>
        <v>1114.86168</v>
      </c>
      <c r="K239" s="3">
        <f>792.7+(1058.7-293.8)+(1.212831+(1.619811-0.449514))+0-429.1-0.656523000000025</f>
        <v>1130.2266049999998</v>
      </c>
      <c r="L239" s="3">
        <f>788.9+(1147.6-331.6)+(0+(0-0))+0-433.3-0</f>
        <v>1171.5999999999999</v>
      </c>
      <c r="M239" s="3">
        <f>916.2+(1069.4-340)+(0.467262+(0.545394-0.1734))+0-431.4-0.220013999999956</f>
        <v>1214.819242</v>
      </c>
      <c r="N239" s="3">
        <f>977.7+(973.7-209.8)+(-1.994508+(-1.986348--0.427992))+0-424.7--0.866387999999981</f>
        <v>1314.213524</v>
      </c>
      <c r="O239" s="3">
        <f>1256.8+(881.1-294.9)+(0+(0-0))+0-427.7-0</f>
        <v>1415.3</v>
      </c>
      <c r="P239" s="3">
        <f>1327.1+(861.6-307.1)+(-0.676821+(-0.439416--0.156621))+0-431.6--0.220115999999956</f>
        <v>1449.2604999999999</v>
      </c>
      <c r="Q239" s="3">
        <f>1326.2+(824-299.5)+(-2.029086+(-1.26072--0.458235))+0-424.2--0.649026000000025</f>
        <v>1424.3174550000001</v>
      </c>
      <c r="R239" s="3">
        <f>1325.6+(805.1-307.8)+(-2.704224+(-1.642404--0.627912))+0-427.6--0.872303999999981</f>
        <v>1392.4535879999999</v>
      </c>
      <c r="S239" s="3">
        <f>1130.4+(931.6-257.6)+(-1.153008+(-0.950232--0.262752))+0-432.2--0.440844000000069</f>
        <v>1370.800356</v>
      </c>
      <c r="T239" s="3">
        <f>1060.1+(960.3-198.1)+(-0.540651+(-0.489753--0.101031))+0-430.8--0.219707999999956</f>
        <v>1390.7903349999997</v>
      </c>
      <c r="U239" s="3">
        <f>1031.2+(980.1-235.9)+(-1.051824+(-0.999702--0.240618))+0-416.6--0.424932000000066</f>
        <v>1357.4140240000004</v>
      </c>
      <c r="V239" s="3">
        <f>1243.7+(1094.3-489.5)+(0+(0-0))+0-397.8-0</f>
        <v>1450.7</v>
      </c>
      <c r="W239" s="3">
        <f>1380.6+(1908.2-1173.8)+(2.112318+(2.919546-1.795914))+0-400.7-0.613071000000023</f>
        <v>1716.9228789999997</v>
      </c>
      <c r="X239" s="3">
        <f>1383.4+(2398.5-1332.6)+(-2.822136+(-4.89294--2.718504))+0-399.8--0.815591999999983</f>
        <v>2045.3190200000001</v>
      </c>
      <c r="Y239" s="3">
        <f>1380.4+(2030.6-1041.7)+(-3.52002+(-5.17803--2.656335))+0-395.4--1.00826999999994</f>
        <v>1968.8665550000003</v>
      </c>
      <c r="Z239" s="3">
        <f>1374.8+(1545.5-708.7)+(-1.402296+(-1.57641--0.722874))+0-399.6--0.407592000000064</f>
        <v>1810.1517600000002</v>
      </c>
      <c r="AA239" s="3">
        <f>1374.6+(1176.9-462.6)+(-2.103138+(-1.800657--0.707778))+0-398.7--0.610011000000023</f>
        <v>1687.6139939999998</v>
      </c>
      <c r="AB239" s="3">
        <f>1252.9+(1164.3-539.9)+(-2.555916+(-2.375172--1.101396))+0-397.8--0.811511999999983</f>
        <v>1476.4818200000002</v>
      </c>
      <c r="AC239" s="3">
        <f>1021.5+(1098.8-352)+(-2.604825+(-2.80194--0.8976))+0-430.9--1.09879499999994</f>
        <v>1333.98963</v>
      </c>
      <c r="AD239">
        <f t="shared" si="3"/>
        <v>33932.381498000002</v>
      </c>
      <c r="AE239" s="3">
        <f>1392+(2415.8-1593.4)+(0+(0-0))+0-405.9-0</f>
        <v>1808.5</v>
      </c>
    </row>
    <row r="240" spans="1:31" s="2" customFormat="1" x14ac:dyDescent="0.25">
      <c r="A240">
        <v>89</v>
      </c>
      <c r="B240">
        <v>8</v>
      </c>
      <c r="C240">
        <v>24</v>
      </c>
      <c r="D240">
        <v>3</v>
      </c>
      <c r="E240">
        <v>1</v>
      </c>
      <c r="F240" s="3">
        <f>912.9+(1015.6-214.5)+(-2.327895+(-2.58978--0.546975))+0-432.3--1.10236499999994</f>
        <v>1278.4316650000001</v>
      </c>
      <c r="G240" s="3">
        <f>910.4+(974.7-231.6)+(-1.857216+(-1.988388--0.472464))+0-436.1--0.889643999999981</f>
        <v>1214.916504</v>
      </c>
      <c r="H240" s="3">
        <f>912+(886.3-198.1)+(-1.39536+(-1.356039--0.303093))+0-428.5--0.655605000000025</f>
        <v>1169.9072989999997</v>
      </c>
      <c r="I240" s="3">
        <f>912.5+(828.2-175.4)+(0+(0-0))+0-432.1-0</f>
        <v>1133.2000000000003</v>
      </c>
      <c r="J240" s="3">
        <f>914.4+(840.6-253.3)+(-0.466344+(-0.428706--0.129183))+0-431.4--0.220013999999956</f>
        <v>1069.7541469999996</v>
      </c>
      <c r="K240" s="3">
        <f>918.1+(896-294)+(1.404693+(1.37088-0.44982))+0-434.2-0.664326000000025</f>
        <v>1087.5614269999999</v>
      </c>
      <c r="L240" s="3">
        <f>903.8+(992.2-347.6)+(-0.460938+(-0.506022--0.177276))+0-431.5--0.220064999999956</f>
        <v>1116.330381</v>
      </c>
      <c r="M240" s="3">
        <f>920.8+(946.5-228.6)+(-0.939216+(-0.96543--0.233172))+0-428.1--0.436662000000068</f>
        <v>1209.3651879999998</v>
      </c>
      <c r="N240" s="3">
        <f>899.5+(1076.7-84.2)+(-0.458745+(-0.549117--0.042942))+0-437.4--0.223073999999956</f>
        <v>1453.858154</v>
      </c>
      <c r="O240" s="3">
        <f>930.5+(1054.9-58.2)+(-0.474555+(-0.537999--0.029682))+0-431.2--0.219911999999956</f>
        <v>1495.23704</v>
      </c>
      <c r="P240" s="3">
        <f>1087.1+(879.1-132.4)+(-1.108842+(-0.896682--0.135048))+0-430.7--0.439314000000069</f>
        <v>1401.6688379999998</v>
      </c>
      <c r="Q240" s="3">
        <f>1170.8+(846.2-177.8)+(-2.388432+(-1.726248--0.362712))+0-413.5--0.843539999999982</f>
        <v>1422.7915720000001</v>
      </c>
      <c r="R240" s="3">
        <f>1200.2+(809.1-155.7)+(-3.06051+(-2.063205--0.397035))+0-431.4--1.10006999999994</f>
        <v>1418.57339</v>
      </c>
      <c r="S240" s="3">
        <f>1205.7+(751.5-123)+(-0.614907+(-0.383265--0.06273))+0-433.9--0.221288999999956</f>
        <v>1399.5858470000001</v>
      </c>
      <c r="T240" s="3">
        <f>1205.9+(676.9-135.2)+(-1.230018+(-0.690438--0.137904))+0-403.8--0.411876000000064</f>
        <v>1342.4293240000004</v>
      </c>
      <c r="U240" s="3">
        <f>1204.4+(703.6-140.9)+(-0.614244+(-0.358836--0.071859))+0-397--0.20246999999996</f>
        <v>1369.401249</v>
      </c>
      <c r="V240" s="3">
        <f>1233.9+(679.3-155.3)+(0+(0-0))+0-397.6-0</f>
        <v>1360.3000000000002</v>
      </c>
      <c r="W240" s="3">
        <f>1374.7+(1209.7-554.5)+(-2.103291+(-1.850841--0.848385))+0-399.3--0.610929000000023</f>
        <v>1628.105182</v>
      </c>
      <c r="X240" s="3">
        <f>1376.9+(1581.3-656.4)+(-3.511095+(-4.032315--1.67382))+0-397--1.01234999999994</f>
        <v>1899.9427600000004</v>
      </c>
      <c r="Y240" s="3">
        <f>1373.1+(1319.8-449.1)+(-4.201686+(-4.038588--1.374246))+0-399.6--1.22277600000005</f>
        <v>1838.556748</v>
      </c>
      <c r="Z240" s="3">
        <f>1219+(1323.7-468.5)+(-1.86507+(-2.025261--0.716805))+0-398.5--0.609705000000023</f>
        <v>1673.1361789999999</v>
      </c>
      <c r="AA240" s="3">
        <f>1232.1+(1267.7-474)+(-3.141855+(-3.232635--1.2087))+0-397.7--1.01413499999994</f>
        <v>1623.9483449999998</v>
      </c>
      <c r="AB240" s="3">
        <f>1085.3+(1501.8-609.6)+(-2.214012+(-3.063672--1.243584))+0-399--0.813959999999983</f>
        <v>1575.2798599999999</v>
      </c>
      <c r="AC240" s="3">
        <f>999.7+(1166.1-291)+(-2.549235+(-2.973555--0.74205))+0-429.4--1.09496999999994</f>
        <v>1441.7142299999998</v>
      </c>
      <c r="AD240">
        <f t="shared" si="3"/>
        <v>33623.995328999998</v>
      </c>
      <c r="AE240" s="3">
        <f>1380+(1643.1-744.8)+(0+(0-0))+0-396.7-0</f>
        <v>1881.6000000000001</v>
      </c>
    </row>
    <row r="241" spans="1:31" s="2" customFormat="1" x14ac:dyDescent="0.25">
      <c r="A241">
        <v>89</v>
      </c>
      <c r="B241">
        <v>8</v>
      </c>
      <c r="C241">
        <v>25</v>
      </c>
      <c r="D241">
        <v>4</v>
      </c>
      <c r="E241">
        <v>1</v>
      </c>
      <c r="F241" s="3">
        <f>952.7+(765.5-35.2)+(-2.429385+(-1.952025--0.08976))+0-431.4--1.10006999999994</f>
        <v>1248.4084200000002</v>
      </c>
      <c r="G241" s="3">
        <f>953.7+(766.4-103.7)+(-0.486387+(-0.390864--0.052887))+0-431--0.219809999999956</f>
        <v>1184.7954460000001</v>
      </c>
      <c r="H241" s="3">
        <f>952.7+(704-72.2)+(-2.429385+(-1.7952--0.18411))+0-429.8--1.09598999999994</f>
        <v>1151.7555150000001</v>
      </c>
      <c r="I241" s="3">
        <f>869.1+(790-107.6)+(0.886482+(0.8058-0.109752))+0-425.9-0.434418000000068</f>
        <v>1126.748112</v>
      </c>
      <c r="J241" s="3">
        <f>852.9+(806.5-111.9)+(0+(0-0))+0-430-0</f>
        <v>1117.5</v>
      </c>
      <c r="K241" s="3">
        <f>851.9+(805-114.2)+(-0.434469+(-0.41055--0.058242))+0-433.9--0.221288999999956</f>
        <v>1108.2345119999998</v>
      </c>
      <c r="L241" s="3">
        <f>853+(862.5-103.4)+(0.43503+(0.439875-0.052734))+0-433.7-0.221186999999956</f>
        <v>1179.000984</v>
      </c>
      <c r="M241" s="3">
        <f>854.1+(891.2-100.9)+(0.435591+(0.454512-0.051459))+0-434-0.221339999999956</f>
        <v>1211.017304</v>
      </c>
      <c r="N241" s="3">
        <f>958.3+(915.4-69.9)+(1.466199+(1.400562-0.106947))+0-434.7-0.665091000000025</f>
        <v>1371.1947229999998</v>
      </c>
      <c r="O241" s="3">
        <f>1143.4+(864.2-190.6)+(-1.749402+(-1.322226--0.291618))+0-431.3--0.659889000000025</f>
        <v>1383.5798790000001</v>
      </c>
      <c r="P241" s="3">
        <f>1200.9+(871.4-164)+(0+(0-0))+0-414.9-0</f>
        <v>1493.4</v>
      </c>
      <c r="Q241" s="3">
        <f>1222.7+(854.9-192.3)+(-1.870731+(-1.307997--0.294219))+0-410.1--0.627453000000024</f>
        <v>1472.9429439999999</v>
      </c>
      <c r="R241" s="3">
        <f>1229.7+(751.2-171.1)+(-2.508588+(-1.532448--0.349044))+0-410.3--0.837011999999982</f>
        <v>1396.6450200000002</v>
      </c>
      <c r="S241" s="3">
        <f>1232.4+(730.4-184)+(-0.628524+(-0.372504--0.09384))+0-409.4--0.208793999999958</f>
        <v>1368.7016060000003</v>
      </c>
      <c r="T241" s="3">
        <f>1231.1+(695.9-155.2)+(-1.883583+(-1.064727--0.237456))+0-413.3--0.632349000000024</f>
        <v>1356.421495</v>
      </c>
      <c r="U241" s="3">
        <f>1232.7+(683.5-146.6)+(-3.143385+(-1.742925--0.37383))+0-392.2--1.00010999999994</f>
        <v>1373.8876299999997</v>
      </c>
      <c r="V241" s="3">
        <f>1356+(632.2-170.2)+(-2.76624+(-1.289688--0.347208))+0-383.2--0.781727999999983</f>
        <v>1431.8730079999998</v>
      </c>
      <c r="W241" s="3">
        <f>1505.6+(772.4-309)+(0+(0-0))+0-386.5-0</f>
        <v>1582.5</v>
      </c>
      <c r="X241" s="3">
        <f>1505+(1097.7-539.9)+(-3.0702+(-2.239308--1.101396))+0-396.3--0.808451999999983</f>
        <v>1663.1003400000004</v>
      </c>
      <c r="Y241" s="3">
        <f>1495+(1128.8-596)+(-4.5747+(-3.454128--1.82376))+0-399.8--1.22338800000005</f>
        <v>1623.0183200000001</v>
      </c>
      <c r="Z241" s="3">
        <f>1376.2+(1216.4-561.6)+(-1.403724+(-1.240728--0.572832))+0-401.4--0.409428000000064</f>
        <v>1627.9378080000004</v>
      </c>
      <c r="AA241" s="3">
        <f>1270.3+(1158-442.1)+(-1.943559+(-1.77174--0.676413))+0-400.3--0.612459000000023</f>
        <v>1583.4735729999998</v>
      </c>
      <c r="AB241" s="3">
        <f>1254.4+(967.6-381.1)+(-3.19872+(-2.46738--0.971805))+0-400.1--1.02025499999994</f>
        <v>1437.1259599999998</v>
      </c>
      <c r="AC241" s="3">
        <f>1054+(1093.8-318.3)+(0+(0-0))+0-427.3-0</f>
        <v>1402.2</v>
      </c>
      <c r="AD241">
        <f t="shared" si="3"/>
        <v>32895.462598999999</v>
      </c>
      <c r="AE241" s="3">
        <f>1499+(1031-447.6)+(0+(0-0))+0-395.9-0</f>
        <v>1686.5</v>
      </c>
    </row>
    <row r="242" spans="1:31" s="2" customFormat="1" x14ac:dyDescent="0.25">
      <c r="A242">
        <v>89</v>
      </c>
      <c r="B242">
        <v>8</v>
      </c>
      <c r="C242">
        <v>26</v>
      </c>
      <c r="D242">
        <v>5</v>
      </c>
      <c r="E242">
        <v>3</v>
      </c>
      <c r="F242" s="3">
        <f>975.2+(913.2-308.4)+(-1.989408+(-1.862928--0.629136))+0-431.1--0.879443999999981</f>
        <v>1146.5562440000001</v>
      </c>
      <c r="G242" s="3">
        <f>941.1+(852.2-245.4)+(0+(0-0))+0-436.3-0</f>
        <v>1111.6000000000001</v>
      </c>
      <c r="H242" s="3">
        <f>938.1+(870-268.7)+(-2.392155+(-2.2185--0.685185))+0-438.5--1.11817499999994</f>
        <v>1098.092705</v>
      </c>
      <c r="I242" s="3">
        <f>937.2+(883.7-287.6)+(-1.911888+(-1.802748--0.586704))+0-436.5--0.890459999999981</f>
        <v>1094.5625280000002</v>
      </c>
      <c r="J242" s="3">
        <f>943+(835.7-214)+(1.44279+(1.278621-0.32742))+0-435.7-0.666621000000025</f>
        <v>1130.7273699999998</v>
      </c>
      <c r="K242" s="3">
        <f>937.9+(829.7-198.5)+(-0.478329+(-0.423147--0.101235))+0-430.5--0.219554999999956</f>
        <v>1138.0193139999999</v>
      </c>
      <c r="L242" s="3">
        <f>996.6+(878.9-251.2)+(0.508266+(0.448239-0.128112))+0-431.1-0.219860999999956</f>
        <v>1193.808532</v>
      </c>
      <c r="M242" s="3">
        <f>1013.8+(876.5-315.9)+(-1.034076+(-0.89403--0.322218))+0-428.3--0.436866000000068</f>
        <v>1144.9309780000001</v>
      </c>
      <c r="N242" s="3">
        <f>1023.6+(937.2-274.9)+(0+(0-0))+0-436-0</f>
        <v>1249.9000000000001</v>
      </c>
      <c r="O242" s="3">
        <f>1025.4+(930.8-289.1)+(-2.091816+(-1.898832--0.589764))+0-415.4--0.847415999999982</f>
        <v>1249.1465320000002</v>
      </c>
      <c r="P242" s="3">
        <f>1037.9+(973.3-339.2)+(-1.587987+(-1.489149--0.518976))+0-407.8--0.623934000000024</f>
        <v>1262.265774</v>
      </c>
      <c r="Q242" s="3">
        <f>1067.4+(956.8-379)+(-2.177496+(-1.951872--0.77316))+0-415.3--0.847211999999982</f>
        <v>1227.3910040000001</v>
      </c>
      <c r="R242" s="3">
        <f>1067.5+(994.5-415)+(-1.08885+(-1.01439--0.4233))+0-419.1--0.427482000000067</f>
        <v>1226.6475420000002</v>
      </c>
      <c r="S242" s="3">
        <f>1067.8+(919.9-348.8)+(-1.089156+(-0.938298--0.355776))+0-414.4--0.422688000000066</f>
        <v>1223.25101</v>
      </c>
      <c r="T242" s="3">
        <f>1076.2+(833.9-301.4)+(-0.548862+(-0.425289--0.153714))+0-406--0.207059999999959</f>
        <v>1202.0866229999999</v>
      </c>
      <c r="U242" s="3">
        <f>1090.1+(778.3-251.6)+(-0.555951+(-0.396933--0.128316))+0-382.8--0.195227999999961</f>
        <v>1233.3706599999998</v>
      </c>
      <c r="V242" s="3">
        <f>1205.7+(638-226.3)+(-2.459628+(-1.30152--0.461652))+0-383.3--0.781931999999983</f>
        <v>1231.5824359999999</v>
      </c>
      <c r="W242" s="3">
        <f>1512.9+(694.6-402.1)+(-2.314737+(-1.062738--0.615213))+0-386.6--0.591498000000022</f>
        <v>1416.629236</v>
      </c>
      <c r="X242" s="3">
        <f>1572.7+(933.1-558.9)+(-4.010385+(-2.379405--1.425195))+0-387.2--0.987359999999944</f>
        <v>1555.722765</v>
      </c>
      <c r="Y242" s="3">
        <f>1540+(870.8-466)+(-1.5708+(-0.888216--0.47532))+0-389.5--0.397290000000062</f>
        <v>1553.7135940000001</v>
      </c>
      <c r="Z242" s="3">
        <f>1400.9+(929.9-374.7)+(-1.428918+(-0.948498--0.382194))+0-389.8--0.397596000000062</f>
        <v>1564.7023740000002</v>
      </c>
      <c r="AA242" s="3">
        <f>1398.7+(847.4-318.9)+(-2.853348+(-1.728696--0.650556))+0-395.8--0.807431999999983</f>
        <v>1528.2759440000002</v>
      </c>
      <c r="AB242" s="3">
        <f>1350.8+(746.2-258.6)+(-3.44454+(-1.90281--0.65943))+0-399.3--1.01821499999994</f>
        <v>1435.4302949999999</v>
      </c>
      <c r="AC242" s="3">
        <f>1208.6+(795.3-225.3)+(-2.465544+(-1.622412--0.459612))+0-429.3--0.875771999999981</f>
        <v>1346.5474279999999</v>
      </c>
      <c r="AD242">
        <f t="shared" si="3"/>
        <v>30564.960888000001</v>
      </c>
      <c r="AE242" s="3">
        <f>1565+(900.7-520)+(0+(0-0))+0-384.5-0</f>
        <v>1561.2</v>
      </c>
    </row>
    <row r="243" spans="1:31" s="2" customFormat="1" x14ac:dyDescent="0.25">
      <c r="A243">
        <v>89</v>
      </c>
      <c r="B243">
        <v>8</v>
      </c>
      <c r="C243">
        <v>27</v>
      </c>
      <c r="D243">
        <v>6</v>
      </c>
      <c r="E243">
        <v>6</v>
      </c>
      <c r="F243" s="3">
        <f>1137.9+(709.8-255.2)+(-2.901645+(-1.80999--0.65076))+0-430.7--1.09828499999994</f>
        <v>1158.8374100000001</v>
      </c>
      <c r="G243" s="3">
        <f>1110.3+(680.3-268.6)+(-2.265012+(-1.387812--0.547944))+0-433.8--0.884951999999981</f>
        <v>1085.9800719999998</v>
      </c>
      <c r="H243" s="3">
        <f>1077+(598.2-188.6)+(-2.19708+(-1.220328--0.384744))+0-427.5--0.872099999999981</f>
        <v>1056.9394359999999</v>
      </c>
      <c r="I243" s="3">
        <f>995.2+(670.5-191.4)+(1.015104+(0.68391-0.195228))+0-439-0.44778000000007</f>
        <v>1036.3560060000002</v>
      </c>
      <c r="J243" s="3">
        <f>987.8+(665.9-193.6)+(-1.511334+(-1.018827--0.296208))+0-432.2--0.661266000000025</f>
        <v>1026.327313</v>
      </c>
      <c r="K243" s="3">
        <f>988+(683.4-177.9)+(-0.50388+(-0.348534--0.090729))+0-430.3--0.219452999999956</f>
        <v>1062.657768</v>
      </c>
      <c r="L243" s="3">
        <f>964.8+(794.7-166.7)+(-2.952288+(-2.431782--0.510102))+0-428.8--1.31212800000005</f>
        <v>1160.4381599999999</v>
      </c>
      <c r="M243" s="3">
        <f>924.3+(762.6-171.5)+(0+(0-0))+0-427.9-0</f>
        <v>1087.5</v>
      </c>
      <c r="N243" s="3">
        <f>1119.9+(1051.2-373.9)+(-1.142298+(-1.072224--0.381378))+0-431.1--0.439722000000069</f>
        <v>1364.7065780000003</v>
      </c>
      <c r="O243" s="3">
        <f>1169.1+(1037.1-383.2)+(1.192482+(1.057842-0.390864))+0-431.8-0.440436000000069</f>
        <v>1392.6190239999996</v>
      </c>
      <c r="P243" s="3">
        <f>1284.9+(1035-504)+(-2.621196+(-2.1114--1.02816))+0-433.5--0.884339999999981</f>
        <v>1379.5799040000002</v>
      </c>
      <c r="Q243" s="3">
        <f>1361.8+(980.4-533.6)+(-2.778072+(-2.000016--1.088544))+0-438.2--0.893927999999981</f>
        <v>1367.6043839999998</v>
      </c>
      <c r="R243" s="3">
        <f>1401.2+(904.9-551.1)+(-2.143836+(-1.384497--0.843183))+0-432.2--0.661266000000025</f>
        <v>1320.776116</v>
      </c>
      <c r="S243" s="3">
        <f>1402+(848.2-543)+(-2.14506+(-1.297746--0.83079))+0-421.1--0.644283000000024</f>
        <v>1284.132267</v>
      </c>
      <c r="T243" s="3">
        <f>1404.6+(836.3-529.7)+(0.716346+(0.426513-0.270147))+0-397.2-0.20257199999996</f>
        <v>1314.6701399999999</v>
      </c>
      <c r="U243" s="3">
        <f>1406.1+(935.7-606.8)+(0.717111+(0.477207-0.309468))+0-398-0.20297999999996</f>
        <v>1337.6818699999999</v>
      </c>
      <c r="V243" s="3">
        <f>1521.7+(832.5-660.8)+(0+(0-0))+0-397.9-0</f>
        <v>1295.5</v>
      </c>
      <c r="W243" s="3">
        <f>1671.2+(733.2-613.3)+(0+(0-0))+0-396.4-0</f>
        <v>1394.7000000000003</v>
      </c>
      <c r="X243" s="3">
        <f>1704.4+(848.8-542.5)+(-2.607732+(-1.298664--0.830025))+0-397.2--0.607716000000023</f>
        <v>1611.0313449999999</v>
      </c>
      <c r="Y243" s="3">
        <f>1719.7+(806.1-490.5)+(-1.754094+(-0.822222--0.50031))+0-396.9--0.404838000000063</f>
        <v>1636.7288320000005</v>
      </c>
      <c r="Z243" s="3">
        <f>1725+(769.7-565.1)+(-0.87975+(-0.392547--0.288201))+0-399.3--0.203642999999959</f>
        <v>1529.5195470000001</v>
      </c>
      <c r="AA243" s="3">
        <f>1603.9+(710.7-477.6)+(-0.817989+(-0.362457--0.243576))+0-399.1--0.20354099999996</f>
        <v>1437.166671</v>
      </c>
      <c r="AB243" s="3">
        <f>1449.1+(668.7-431.9)+(-2.217123+(-1.023111--0.660807))+0-398--0.608940000000023</f>
        <v>1285.9295130000003</v>
      </c>
      <c r="AC243" s="3">
        <f>1367.3+(564-314.7)+(-1.394646+(-0.57528--0.320994))+0-396.2--0.404124000000063</f>
        <v>1219.1551919999999</v>
      </c>
      <c r="AD243">
        <f t="shared" si="3"/>
        <v>30846.537547999997</v>
      </c>
      <c r="AE243" s="3">
        <f>1694+(874.7-565.9)+(0+(0-0))+0-395.8-0</f>
        <v>1607.0000000000002</v>
      </c>
    </row>
    <row r="244" spans="1:31" s="2" customFormat="1" x14ac:dyDescent="0.25">
      <c r="A244">
        <v>89</v>
      </c>
      <c r="B244">
        <v>8</v>
      </c>
      <c r="C244">
        <v>28</v>
      </c>
      <c r="D244">
        <v>7</v>
      </c>
      <c r="E244">
        <v>1</v>
      </c>
      <c r="F244" s="3">
        <f>1322.7+(503.8-271.3)+(-2.698308+(-1.027752--0.553452))+0-395.5--0.806819999999983</f>
        <v>1157.334212</v>
      </c>
      <c r="G244" s="3">
        <f>1326+(390.1-222.4)+(-3.3813+(-0.994755--0.56712))+0-393.6--1.00367999999994</f>
        <v>1097.2947449999999</v>
      </c>
      <c r="H244" s="3">
        <f>1324+(392.9-215.8)+(-3.3762+(-1.001895--0.55029))+0-400.9--1.02229499999994</f>
        <v>1097.3944899999999</v>
      </c>
      <c r="I244" s="3">
        <f>1206.2+(479.6-179.9)+(-0.615162+(-0.244596--0.091749))+0-400--0.203999999999959</f>
        <v>1105.3359910000001</v>
      </c>
      <c r="J244" s="3">
        <f>1030.4+(574.7-123.1)+(1.051008+(0.586194-0.125562))+0-399.9-0.407898000000064</f>
        <v>1083.2037419999999</v>
      </c>
      <c r="K244" s="3">
        <f>1030.8+(592.7-112.9)+(-0.525708+(-0.302277--0.057579))+0-399.6--0.203795999999959</f>
        <v>1110.4333899999999</v>
      </c>
      <c r="L244" s="3">
        <f>1029+(598.1-183.4)+(-2.09916+(-1.220124--0.374136))+0-399.6--0.815183999999983</f>
        <v>1041.9700360000002</v>
      </c>
      <c r="M244" s="3">
        <f>987.2+(732.9-221)+(1.510416+(1.121337-0.33813))+0-394.2-0.603126000000023</f>
        <v>1106.5904969999999</v>
      </c>
      <c r="N244" s="3">
        <f>777.6+(1082.8-237.4)+(0+(0-0))+0-386.3-0</f>
        <v>1236.7</v>
      </c>
      <c r="O244" s="3">
        <f>805.5+(1201.3-374.6)+(-0.410805+(-0.612663--0.191046))+0-367.7--0.187526999999963</f>
        <v>1263.8551049999999</v>
      </c>
      <c r="P244" s="3">
        <f>810.1+(1087.9-291.5)+(0.413151+(0.554829-0.148665))+0-363.9-0.185588999999963</f>
        <v>1243.2337260000002</v>
      </c>
      <c r="Q244" s="3">
        <f>839.5+(1088.4-410.8)+(0.428145+(0.555084-0.209508))+0-364.7-0.185996999999963</f>
        <v>1152.9877240000001</v>
      </c>
      <c r="R244" s="3">
        <f>863.2+(1050.8-298)+(-2.20116+(-2.67954--0.7599))+0-363.7--0.927434999999947</f>
        <v>1249.1066350000001</v>
      </c>
      <c r="S244" s="3">
        <f>922.8+(923.7-302.4)+(-1.411884+(-1.413261--0.462672))+0-333.9--0.510867000000019</f>
        <v>1208.3483940000001</v>
      </c>
      <c r="T244" s="3">
        <f>978.6+(935.3-388)+(0.499086+(0.477003-0.19788))+0-339-0.172889999999966</f>
        <v>1187.5053190000001</v>
      </c>
      <c r="U244" s="3">
        <f>1059.8+(838.1-396.7)+(-2.161992+(-1.709724--0.809268))+0-367.1--0.748883999999984</f>
        <v>1131.7864360000003</v>
      </c>
      <c r="V244" s="3">
        <f>1323.8+(520.7-394.3)+(0.675138+(0.265557-0.201093))+0-373.1-0.190280999999962</f>
        <v>1077.6493210000001</v>
      </c>
      <c r="W244" s="3">
        <f>1574.6+(627.2-610.4)+(0+(0-0))+0-386.1-0</f>
        <v>1205.3000000000002</v>
      </c>
      <c r="X244" s="3">
        <f>1693.6+(1104.4-909.4)+(-3.454944+(-2.252976--1.855176))+0-387.9--0.791315999999983</f>
        <v>1497.6385720000001</v>
      </c>
      <c r="Y244" s="3">
        <f>1785.2+(1264.9-1186.4)+(-1.820904+(-1.290198--1.210128))+0-389.6--0.397392000000062</f>
        <v>1472.5964180000003</v>
      </c>
      <c r="Z244" s="3">
        <f>1794.9+(1273.3-1108.6)+(-1.830798+(-1.298766--1.130772))+0-398.7--0.406674000000064</f>
        <v>1559.3078820000001</v>
      </c>
      <c r="AA244" s="3">
        <f>1815.4+(1089-958.2)+(-0.925854+(-0.55539--0.488682))+0-393.3--0.20058299999996</f>
        <v>1552.1080210000002</v>
      </c>
      <c r="AB244" s="3">
        <f>1644.9+(998.6-880.5)+(-2.516697+(-1.527858--1.347165))+0-378.7--0.579411000000022</f>
        <v>1382.1820209999998</v>
      </c>
      <c r="AC244" s="3">
        <f>1526.3+(999.6-769.6)+(0+(0-0))+0-398.6-0</f>
        <v>1357.6999999999998</v>
      </c>
      <c r="AD244">
        <f t="shared" si="3"/>
        <v>29577.562677000009</v>
      </c>
      <c r="AE244" s="3">
        <f>1730+(1118.1-898)+(0+(0-0))+0-392.3-0</f>
        <v>1557.8</v>
      </c>
    </row>
    <row r="245" spans="1:31" s="2" customFormat="1" x14ac:dyDescent="0.25">
      <c r="A245">
        <v>89</v>
      </c>
      <c r="B245">
        <v>8</v>
      </c>
      <c r="C245">
        <v>29</v>
      </c>
      <c r="D245">
        <v>1</v>
      </c>
      <c r="E245">
        <v>1</v>
      </c>
      <c r="F245" s="3">
        <f>1383+(849.1-495.2)+(-2.82132+(-1.732164--1.010208))+0-402.8--0.821711999999982</f>
        <v>1331.378436</v>
      </c>
      <c r="G245" s="3">
        <f>1334.8+(807-493.7)+(-2.042244+(-1.23471--0.755361))+0-401.5--0.614295000000023</f>
        <v>1244.6927020000001</v>
      </c>
      <c r="H245" s="3">
        <f>1334.1+(723.7-522.4)+(-2.041173+(-1.107261--0.799272))+0-384--0.587520000000022</f>
        <v>1149.6383580000002</v>
      </c>
      <c r="I245" s="3">
        <f>1333.8+(729.2-574.9)+(2.040714+(1.115676-0.879597))+0-381.1-0.583083000000022</f>
        <v>1108.69371</v>
      </c>
      <c r="J245" s="3">
        <f>1334+(576.3-428.1)+(-2.04102+(-0.881739--0.654993))+0-381.6--0.583848000000022</f>
        <v>1098.916082</v>
      </c>
      <c r="K245" s="3">
        <f>1334.2+(651-535.5)+(-0.680442+(-0.33201--0.273105))+0-383.6--0.195635999999961</f>
        <v>1065.5562890000001</v>
      </c>
      <c r="L245" s="3">
        <f>1348.3+(551.9-471.3)+(-2.750532+(-1.125876--0.961452))+0-380.2--0.775607999999983</f>
        <v>1046.5606519999997</v>
      </c>
      <c r="M245" s="3">
        <f>1383.7+(404.4-281.8)+(2.117061+(0.618732-0.431154))+0-372.3-0.569619000000022</f>
        <v>1135.7350199999998</v>
      </c>
      <c r="N245" s="3">
        <f>1388.3+(608.6-368.8)+(0.708033+(0.310386-0.188088))+0-386.6-0.197165999999961</f>
        <v>1242.1331649999997</v>
      </c>
      <c r="O245" s="3">
        <f>1372.9+(1055.9-660)+(-1.400358+(-1.077018--0.6732))+0-411.5--0.419730000000066</f>
        <v>1355.9155540000002</v>
      </c>
      <c r="P245" s="3">
        <f>1360.7+(1376-857)+(0+(0-0))+0-416.4-0</f>
        <v>1463.3000000000002</v>
      </c>
      <c r="Q245" s="3">
        <f>1417.5+(1389.8-915.5)+(0+(0-0))+0-404.3-0</f>
        <v>1487.5</v>
      </c>
      <c r="R245" s="3">
        <f>1429.9+(1354.4-925.3)+(-2.916996+(-2.762976--1.887612))+0-418.2--0.853127999999982</f>
        <v>1437.8607680000002</v>
      </c>
      <c r="S245" s="3">
        <f>1432.4+(1357.4-986.6)+(2.191572+(2.076822-1.509498))+0-409.1-0.625923000000024</f>
        <v>1396.2329730000001</v>
      </c>
      <c r="T245" s="3">
        <f>1432.7+(1374.4-966.2)+(0+(0-0))+0-405.6-0</f>
        <v>1435.3000000000002</v>
      </c>
      <c r="U245" s="3">
        <f>1432.7+(1345.3-898.4)+(-1.461354+(-1.372206--0.916368))+0-413.2--0.421464000000066</f>
        <v>1464.904272</v>
      </c>
      <c r="V245" s="3">
        <f>1554.6+(1289.8-1052.7)+(0.792846+(0.657798-0.536877))+0-374.7-0.191096999999962</f>
        <v>1417.7226699999999</v>
      </c>
      <c r="W245" s="3">
        <f>1878.1+(1549.7-1497.5)+(-1.915662+(-1.580694--1.52745))+0-369.9--0.377298000000059</f>
        <v>1558.8083920000001</v>
      </c>
      <c r="X245" s="3">
        <f>1936+(1796.6-1623.7)+(-2.96208+(-2.748798--2.484261))+0-369.6--0.565488000000021</f>
        <v>1736.6388709999999</v>
      </c>
      <c r="Y245" s="3">
        <f>1890.5+(1931.6-1786.6)+(-0.964155+(-0.985116--0.911166))+0-368.3--0.187832999999963</f>
        <v>1666.3497279999999</v>
      </c>
      <c r="Z245" s="3">
        <f>1769.8+(1994.7-1711.9)+(-0.902598+(-1.017297--0.873069))+0-369.3--0.188342999999963</f>
        <v>1682.4415170000002</v>
      </c>
      <c r="AA245" s="3">
        <f>1765.1+(1905.2-1700.9)+(-1.800402+(-1.943304--1.734918))+0-367.5--0.374850000000059</f>
        <v>1600.2660619999999</v>
      </c>
      <c r="AB245" s="3">
        <f>1771+(1627-1489.4)+(-0.90321+(-0.82977--0.759594))+0-371.1--0.189260999999962</f>
        <v>1536.7158749999999</v>
      </c>
      <c r="AC245" s="3">
        <f>1599.3+(1520.5-1349)+(-3.262572+(-3.10182--2.75196))+0-306.9--0.626075999999987</f>
        <v>1460.9136440000002</v>
      </c>
      <c r="AD245">
        <f t="shared" si="3"/>
        <v>33124.174739999995</v>
      </c>
      <c r="AE245" s="3">
        <f>1934+(1786.9-1575.2)+(0+(0-0))+0-369.4-0</f>
        <v>1776.2999999999997</v>
      </c>
    </row>
    <row r="246" spans="1:31" s="2" customFormat="1" x14ac:dyDescent="0.25">
      <c r="A246">
        <v>89</v>
      </c>
      <c r="B246">
        <v>8</v>
      </c>
      <c r="C246">
        <v>30</v>
      </c>
      <c r="D246">
        <v>2</v>
      </c>
      <c r="E246">
        <v>1</v>
      </c>
      <c r="F246" s="3">
        <f>1430.1+(1439-1200.4)+(-0.729351+(-0.73389--0.612204))+0-412.6--0.210425999999958</f>
        <v>1255.4593889999999</v>
      </c>
      <c r="G246" s="3">
        <f>1319.1+(1567.3-1201.3)+(-2.018223+(-2.397969--1.837989))+0-416.6--0.637398000000024</f>
        <v>1266.559195</v>
      </c>
      <c r="H246" s="3">
        <f>1320.5+(1265.1-911.8)+(-0.673455+(-0.645201--0.465018))+0-420.6--0.214505999999957</f>
        <v>1252.5608679999998</v>
      </c>
      <c r="I246" s="3">
        <f>1319+(1119.8-754.6)+(-0.67269+(-0.571098--0.384846))+0-414.9--0.211598999999958</f>
        <v>1268.6526569999999</v>
      </c>
      <c r="J246" s="3">
        <f>1321.9+(970.9-677.2)+(2.696676+(1.980636-1.381488))+0-404.6-0.825383999999982</f>
        <v>1213.4704399999998</v>
      </c>
      <c r="K246" s="3">
        <f>1321.1+(934.6-666.6)+(0.673761+(0.476646-0.339966))+0-418-0.213179999999958</f>
        <v>1171.697261</v>
      </c>
      <c r="L246" s="3">
        <f>1327.6+(1034.9-813.6)+(0+(0-0))+0-416.9-0</f>
        <v>1132</v>
      </c>
      <c r="M246" s="3">
        <f>1445.8+(1095.5-900.5)+(-2.212074+(-1.676115--1.377765))+0-418.9--0.640917000000024</f>
        <v>1220.030493</v>
      </c>
      <c r="N246" s="3">
        <f>1537.1+(1061.6-776.7)+(1.567842+(1.082832-0.792234))+0-420.7-0.429114000000067</f>
        <v>1402.7293259999997</v>
      </c>
      <c r="O246" s="3">
        <f>1802.3+(963.3-851.1)+(-2.757519+(-1.473849--1.302183))+0-394.7--0.603891000000023</f>
        <v>1517.474706</v>
      </c>
      <c r="P246" s="3">
        <f>1911.5+(1186.6-1291.3)+(0.974865+(0.605166-0.658563))+0-399.6-0.203795999999959</f>
        <v>1407.9176719999998</v>
      </c>
      <c r="Q246" s="3">
        <f>1913.1+(1213.5-1299)+(-1.951362+(-1.23777--1.32498))+0-417.8--0.426156000000067</f>
        <v>1408.3620039999998</v>
      </c>
      <c r="R246" s="3">
        <f>1911.3+(1013.7-1005.4)+(-4.873815+(-2.584935--2.56377))+0-412.3--1.05136499999994</f>
        <v>1503.456385</v>
      </c>
      <c r="S246" s="3">
        <f>1911.9+(875.6-836.9)+(-0.975069+(-0.446556--0.426819))+0-421.6--0.215015999999957</f>
        <v>1528.2202100000002</v>
      </c>
      <c r="T246" s="3">
        <f>1911.5+(890.7-1052.6)+(-2.924595+(-1.362771--1.610478))+0-395.6--0.605268000000023</f>
        <v>1351.9283800000001</v>
      </c>
      <c r="U246" s="3">
        <f>1913.7+(889.4-1032.7)+(0.975987+(0.453594-0.526677))+0-389.2-0.198491999999961</f>
        <v>1381.9044120000001</v>
      </c>
      <c r="V246" s="3">
        <f>1913.1+(972.7-1075.8)+(-0.975681+(-0.496077--0.548658))+0-385.1--0.196400999999961</f>
        <v>1424.173301</v>
      </c>
      <c r="W246" s="3">
        <f>1966.1+(1773.9-1858)+(0+(0-0))+0-395.9-0</f>
        <v>1486.1</v>
      </c>
      <c r="X246" s="3">
        <f>1991.5+(1906.5-1707.4)+(-4.06266+(-3.88926--3.483096))+0-395.3--0.806411999999983</f>
        <v>1791.6375879999998</v>
      </c>
      <c r="Y246" s="3">
        <f>1990.8+(1675.5-1497.6)+(-4.061232+(-3.41802--3.055104))+0-393.1--0.801923999999983</f>
        <v>1771.9777759999997</v>
      </c>
      <c r="Z246" s="3">
        <f>1973.3+(1495.3-1450.6)+(-5.031915+(-3.813015--3.69903))+0-395.5--1.00852499999994</f>
        <v>1618.362625</v>
      </c>
      <c r="AA246" s="3">
        <f>1818.4+(1397.2-1210.9)+(-2.782152+(-2.137716--1.852677))+0-393.3--0.601749000000023</f>
        <v>1608.9345579999999</v>
      </c>
      <c r="AB246" s="3">
        <f>1466.5+(1183.9-797.6)+(-2.243745+(-1.811367--1.220328))+0-392.9--0.601137000000023</f>
        <v>1457.6663530000005</v>
      </c>
      <c r="AC246" s="3">
        <f>1262.7+(1206.5-721.7)+(-1.931931+(-1.845945--1.104201))+0-420.2--0.642906000000024</f>
        <v>1325.269231</v>
      </c>
      <c r="AD246">
        <f t="shared" si="3"/>
        <v>33766.544829999999</v>
      </c>
      <c r="AE246" s="3">
        <f>1998+(2017.7-1807.9)+(0+(0-0))+0-397.7-0</f>
        <v>1810.1000000000001</v>
      </c>
    </row>
    <row r="247" spans="1:31" s="2" customFormat="1" x14ac:dyDescent="0.25">
      <c r="A247">
        <v>89</v>
      </c>
      <c r="B247">
        <v>9</v>
      </c>
      <c r="C247">
        <v>1</v>
      </c>
      <c r="D247">
        <v>3</v>
      </c>
      <c r="E247">
        <v>1</v>
      </c>
      <c r="F247" s="3">
        <f>1215.9+(1366.6-810.5)+(-3.100545+(-3.48483--2.066775))+0-430.5--1.09777499999994</f>
        <v>1338.0791749999999</v>
      </c>
      <c r="G247" s="3">
        <f>1214.9+(1294.6-776.7)+(-0.619599+(-0.660246--0.396117))+0-431.2--0.219911999999956</f>
        <v>1300.9361839999999</v>
      </c>
      <c r="H247" s="3">
        <f>1216.1+(977.1-552.4)+(-1.860633+(-1.494963--0.845172))+0-430.2--0.658206000000025</f>
        <v>1208.7477819999999</v>
      </c>
      <c r="I247" s="3">
        <f>1216.6+(1068.6-722)+(-0.620466+(-0.544986--0.36822))+0-428.1--0.218330999999957</f>
        <v>1134.521099</v>
      </c>
      <c r="J247" s="3">
        <f>1219.6+(1038-676.6)+(0.621996+(0.52938-0.345066))+0-426.8-0.217667999999957</f>
        <v>1154.788642</v>
      </c>
      <c r="K247" s="3">
        <f>1216.3+(853.5-420.3)+(-1.860939+(-1.305855--0.643059))+0-430.2--0.658206000000025</f>
        <v>1217.434471</v>
      </c>
      <c r="L247" s="3">
        <f>1218.5+(738.5-383.1)+(0+(0-0))+0-415.4-0</f>
        <v>1158.5</v>
      </c>
      <c r="M247" s="3">
        <f>1213.4+(870.5-495.5)+(-0.618834+(-0.443955--0.252705))+0-398.4--0.20318399999996</f>
        <v>1189.3931000000002</v>
      </c>
      <c r="N247" s="3">
        <f>1302+(1064.1-636.1)+(-2.65608+(-2.170764--1.297644))+0-374.7--0.764387999999984</f>
        <v>1352.5351880000001</v>
      </c>
      <c r="O247" s="3">
        <f>1430+(1331-1073.2)+(-2.1879+(-2.03643--1.641996))+0-361.3--0.552789000000021</f>
        <v>1324.4704550000001</v>
      </c>
      <c r="P247" s="3">
        <f>1499.6+(1676.8-1372.6)+(-1.529592+(-1.710336--1.400052))+0-353.6--0.360672000000056</f>
        <v>1448.7207959999998</v>
      </c>
      <c r="Q247" s="3">
        <f>1531.9+(1732.3-1447.5)+(-1.562538+(-1.766946--1.47645))+0-352.2--0.359244000000056</f>
        <v>1463.00621</v>
      </c>
      <c r="R247" s="3">
        <f>1667+(1552.9-1406.1)+(-0.85017+(-0.791979--0.717111))+0-352.3--0.179672999999964</f>
        <v>1460.754635</v>
      </c>
      <c r="S247" s="3">
        <f>1739.3+(1360.9-1270.2)+(-2.661129+(-2.082177--1.943406))+0-355.3--0.543609000000021</f>
        <v>1472.4437090000001</v>
      </c>
      <c r="T247" s="3">
        <f>1739.6+(1310.4-1283.7)+(0+(0-0))+0-361.9-0</f>
        <v>1404.4</v>
      </c>
      <c r="U247" s="3">
        <f>1761.5+(1305.7-1278.6)+(0.898365+(0.665907-0.652086))+0-369-0.188189999999963</f>
        <v>1420.3239960000003</v>
      </c>
      <c r="V247" s="3">
        <f>1796.1+(1225.9-1139.6)+(0+(0-0))+0-370.8-0</f>
        <v>1511.6000000000001</v>
      </c>
      <c r="W247" s="3">
        <f>1838.3+(1710.7-1539)+(-0.937533+(-0.872457--0.78489))+0-370.9--0.189158999999962</f>
        <v>1638.2640590000001</v>
      </c>
      <c r="X247" s="3">
        <f>1853+(1745.5-1501)+(-4.72515+(-4.451025--3.82755))+0-372.9--0.950894999999946</f>
        <v>1720.2022699999998</v>
      </c>
      <c r="Y247" s="3">
        <f>1845.2+(1579.3-1358.7)+(-0.941052+(-0.805443--0.692937))+0-370.9--0.189158999999962</f>
        <v>1694.035601</v>
      </c>
      <c r="Z247" s="3">
        <f>1733+(1612-1355.1)+(-2.65149+(-2.46636--2.073303))+0-374.7--0.573291000000022</f>
        <v>1612.728744</v>
      </c>
      <c r="AA247" s="3">
        <f>1518.3+(1752.8-1353.2)+(-3.097332+(-3.575712--2.760528))+0-375.6--0.766223999999984</f>
        <v>1539.1537079999998</v>
      </c>
      <c r="AB247" s="3">
        <f>1430.9+(1503-1070.2)+(-2.919036+(-3.06612--2.183208))+0-379.5--0.774179999999983</f>
        <v>1481.1722319999999</v>
      </c>
      <c r="AC247" s="3">
        <f>1364.5+(1685-1362.8)+(-4.871265+(-6.01545--4.865196))+0-407.9--1.45620300000001</f>
        <v>1274.2346840000002</v>
      </c>
      <c r="AD247">
        <f t="shared" si="3"/>
        <v>33520.446739999999</v>
      </c>
      <c r="AE247" s="3">
        <f>1853+(1932.7-1743.4)+(0+(0-0))+0-369.6-0</f>
        <v>1672.6999999999998</v>
      </c>
    </row>
    <row r="248" spans="1:31" s="2" customFormat="1" x14ac:dyDescent="0.25">
      <c r="A248">
        <v>89</v>
      </c>
      <c r="B248">
        <v>9</v>
      </c>
      <c r="C248">
        <v>2</v>
      </c>
      <c r="D248">
        <v>4</v>
      </c>
      <c r="E248">
        <v>1</v>
      </c>
      <c r="F248" s="3">
        <f>1335.2+(1317.7-940.7)+(-2.042856+(-2.016081--1.439271))+0-420.9--0.643977000000024</f>
        <v>1289.3243110000001</v>
      </c>
      <c r="G248" s="3">
        <f>1249+(1100.8-620.5)+(-1.27398+(-1.122816--0.63291))+0-431--0.439620000000069</f>
        <v>1296.9757340000001</v>
      </c>
      <c r="H248" s="3">
        <f>1221.9+(949.6-548.1)+(-1.869507+(-1.452888--0.838593))+0-427.8--0.654534000000025</f>
        <v>1193.7707320000002</v>
      </c>
      <c r="I248" s="3">
        <f>1222.2+(970.3-586.4)+(-1.869966+(-1.484559--0.897192))+0-442.2--0.676566000000026</f>
        <v>1162.1192329999999</v>
      </c>
      <c r="J248" s="3">
        <f>1220.1+(1057.8-651.6)+(0+(0-0))+0-436.7-0</f>
        <v>1189.5999999999997</v>
      </c>
      <c r="K248" s="3">
        <f>1263.8+(906.4-509.4)+(-2.578152+(-1.849056--1.039176))+0-429.7--0.876587999999981</f>
        <v>1228.5885559999999</v>
      </c>
      <c r="L248" s="3">
        <f>1367.3+(642.8-407)+(-0.697323+(-0.327828--0.20757))+0-433--0.220829999999956</f>
        <v>1169.5032489999999</v>
      </c>
      <c r="M248" s="3">
        <f>1403.3+(871.2-587.8)+(-0.715683+(-0.444312--0.299778))+0-433.9--0.221288999999956</f>
        <v>1252.1610720000001</v>
      </c>
      <c r="N248" s="3">
        <f>1482+(899.4-589.8)+(0.75582+(0.458694-0.300798))+1.1-431.8-0.220217999999956</f>
        <v>1361.593498</v>
      </c>
      <c r="O248" s="3">
        <f>1565.5+(804.6-541.6)+(-2.395215+(-1.231038--0.828648))+0-427--0.653310000000025</f>
        <v>1399.3557049999999</v>
      </c>
      <c r="P248" s="3">
        <f>1813.7+(900.6-820.3)+(0.924987+(0.459306-0.418353))+0-419.8-0.214097999999957</f>
        <v>1474.9518420000002</v>
      </c>
      <c r="Q248" s="3">
        <f>1842.8+(962.9-870.5)+(-3.759312+(-1.964316--1.77582))+0-426.5--0.870059999999981</f>
        <v>1505.6222519999999</v>
      </c>
      <c r="R248" s="3">
        <f>1844.3+(893.4-1027)+(-0.940593+(-0.455634--0.52377))+0-273.5--0.139484999999972</f>
        <v>1436.4670279999998</v>
      </c>
      <c r="S248" s="3">
        <f>1845.6+(974.9-959.4)+(1.882512+(0.994398-0.978588))+0-430.3-0.438906000000069</f>
        <v>1432.2594159999999</v>
      </c>
      <c r="T248" s="3">
        <f>1783.7+(932.8-877.9)+(1.819374+(0.951456-0.895458))+0-405-0.413100000000065</f>
        <v>1435.0622719999999</v>
      </c>
      <c r="U248" s="3">
        <f>1725.2+(915.6-783.8)+(0.879852+(0.466956-0.399738))+0-396.4-0.20216399999996</f>
        <v>1461.344906</v>
      </c>
      <c r="V248" s="3">
        <f>1760.7+(887.8-787.8)+(-1.795914+(-0.905556--0.803556))+0-392--0.399840000000062</f>
        <v>1467.2019260000002</v>
      </c>
      <c r="W248" s="3">
        <f>1868.9+(1767.1-1560.6)+(0.953139+(0.901221-0.795906))+0-392-0.19991999999996</f>
        <v>1684.2585340000001</v>
      </c>
      <c r="X248" s="3">
        <f>1745.3+(1974.9-1546.3)+(-2.670309+(-3.021597--2.365839))+0-395.6--0.605268000000023</f>
        <v>1775.5792010000002</v>
      </c>
      <c r="Y248" s="3">
        <f>1719.8+(1596.9-1232.3)+(-2.631294+(-2.443257--1.885419))+0-392--0.599760000000023</f>
        <v>1689.8106280000002</v>
      </c>
      <c r="Z248" s="3">
        <f>1718.1+(1285.9-986.2)+(-1.752462+(-1.311618--1.005924))+0-392.3--0.400146000000063</f>
        <v>1623.8419899999999</v>
      </c>
      <c r="AA248" s="3">
        <f>1717+(1082.8-846.6)+(-2.62701+(-1.656684--1.295298))+0-387.3--0.592569000000022</f>
        <v>1563.5041729999998</v>
      </c>
      <c r="AB248" s="3">
        <f>1708.8+(1219.5-1089.2)+(-3.485952+(-2.48778--2.221968))+0-370.6--0.756023999999984</f>
        <v>1465.5042599999999</v>
      </c>
      <c r="AC248" s="3">
        <f>1462.8+(1566.2-1228.7)+(-1.492056+(-1.597524--1.253274))+0-420.5--0.428910000000067</f>
        <v>1378.3926040000001</v>
      </c>
      <c r="AD248">
        <f t="shared" si="3"/>
        <v>33936.793122000003</v>
      </c>
      <c r="AE248" s="3">
        <f>1734+(2018.1-1597.3)+(0+(0-0))+0-401.2-0</f>
        <v>1753.6000000000001</v>
      </c>
    </row>
    <row r="249" spans="1:31" s="2" customFormat="1" x14ac:dyDescent="0.25">
      <c r="A249">
        <v>89</v>
      </c>
      <c r="B249">
        <v>9</v>
      </c>
      <c r="C249">
        <v>3</v>
      </c>
      <c r="D249">
        <v>5</v>
      </c>
      <c r="E249">
        <v>1</v>
      </c>
      <c r="F249" s="3">
        <f>1181.3+(1597-1113)+(-2.409852+(-3.25788--2.27052))+0-433.5--0.884339999999981</f>
        <v>1229.2871279999999</v>
      </c>
      <c r="G249" s="3">
        <f>1176.9+(1450.4-966)+(-1.800657+(-2.219112--1.47798))+0-435.4--0.666162000000025</f>
        <v>1224.0243730000002</v>
      </c>
      <c r="H249" s="3">
        <f>1174.9+(1125.5-653.5)+(-2.995995+(-2.870025--1.666425))+0-433.4--1.10516999999994</f>
        <v>1210.405575</v>
      </c>
      <c r="I249" s="3">
        <f>1175.7+(1069.3-612.7)+(-0.599607+(-0.545343--0.312477))+0-422.7--0.215576999999957</f>
        <v>1208.9831039999999</v>
      </c>
      <c r="J249" s="3">
        <f>1174.8+(808.5-425)+(0+(0-0))+0-434.5-0</f>
        <v>1123.8</v>
      </c>
      <c r="K249" s="3">
        <f>1269+(668-362.1)+(-1.94157+(-1.02204--0.554013))+0-432.6--0.661878000000025</f>
        <v>1140.552281</v>
      </c>
      <c r="L249" s="3">
        <f>1425.6+(621.8-443.4)+(-2.181168+(-0.951354--0.678402))+0-431--0.659430000000025</f>
        <v>1171.2053099999998</v>
      </c>
      <c r="M249" s="3">
        <f>1423.8+(651.7-421.8)+(-2.178414+(-0.997101--0.645354))+0-426.2--0.652086000000025</f>
        <v>1225.6219250000001</v>
      </c>
      <c r="N249" s="3">
        <f>1434.1+(819.2-474.3)+(-1.462782+(-0.835584--0.483786))+0-413.9--0.422178000000066</f>
        <v>1363.7075980000002</v>
      </c>
      <c r="O249" s="3">
        <f>1458.6+(804.2-399.8)+(0+(0-0))+0-434.3-0</f>
        <v>1428.7</v>
      </c>
      <c r="P249" s="3">
        <f>1624.2+(810.2-548.4)+(-1.656684+(-0.826404--0.559368))+0-434--0.442680000000069</f>
        <v>1450.5189600000001</v>
      </c>
      <c r="Q249" s="3">
        <f>1703+(868-661.2)+(-1.73706+(-0.88536--0.674424))+0-432.4--0.441048000000069</f>
        <v>1475.8930519999999</v>
      </c>
      <c r="R249" s="3">
        <f>1702.2+(758.4-594.4)+(-0.868122+(-0.386784--0.303144))+0-434.3--0.221492999999956</f>
        <v>1431.1697310000002</v>
      </c>
      <c r="S249" s="3">
        <f>1702.5+(520.3-408.7)+(-1.73655+(-0.530706--0.416874))+0-430.9--0.439518000000069</f>
        <v>1381.7891359999999</v>
      </c>
      <c r="T249" s="3">
        <f>1702.4+(432.4-322.1)+(-1.736448+(-0.441048--0.328542))+0-420.6--0.429012000000067</f>
        <v>1390.6800579999999</v>
      </c>
      <c r="U249" s="3">
        <f>1698.5+(451-337.5)+(0.866235+(0.23001-0.172125))+0-398.7-0.20333699999996</f>
        <v>1414.0207829999999</v>
      </c>
      <c r="V249" s="3">
        <f>1704.3+(542.6-401.3)+(0+(0-0))+0-388.6-0</f>
        <v>1457</v>
      </c>
      <c r="W249" s="3">
        <f>1789.6+(1524.2-1234.9)+(0+(0-0))+0-389.2-0</f>
        <v>1689.6999999999996</v>
      </c>
      <c r="X249" s="3">
        <f>1861.8+(1648.4-1403.8)+(-2.848554+(-2.522052--2.147814))+0-390.8--0.597924000000023</f>
        <v>1712.975132</v>
      </c>
      <c r="Y249" s="3">
        <f>1929.2+(1509.3-1378.6)+(-3.935568+(-3.078972--2.812344))+0-390.1--0.795803999999983</f>
        <v>1666.3936080000001</v>
      </c>
      <c r="Z249" s="3">
        <f>1930+(1338.4-1265.8)+(-5.9058+(-4.095504--3.873348))+0-393.7--1.20472200000005</f>
        <v>1603.976766</v>
      </c>
      <c r="AA249" s="3">
        <f>1927.8+(1038.7-1018.3)+(-3.932712+(-2.118948--2.077332))+0-393.7--0.803147999999983</f>
        <v>1551.32882</v>
      </c>
      <c r="AB249" s="3">
        <f>1763.4+(901.1-765.5)+(-1.798668+(-0.919122--0.78081))+0-394.4--0.402288000000063</f>
        <v>1503.065308</v>
      </c>
      <c r="AC249" s="3">
        <f>1709.3+(765.3-679.1)+(-3.486972+(-1.561212--1.385364))+0-422--0.860879999999982</f>
        <v>1370.6980599999999</v>
      </c>
      <c r="AD249">
        <f t="shared" si="3"/>
        <v>33425.496707999999</v>
      </c>
      <c r="AE249" s="3">
        <f>1803+(1825.3-1478.7)+(0+(0-0))+0-389.4-0</f>
        <v>1760.1999999999998</v>
      </c>
    </row>
    <row r="250" spans="1:31" s="2" customFormat="1" x14ac:dyDescent="0.25">
      <c r="A250">
        <v>89</v>
      </c>
      <c r="B250">
        <v>9</v>
      </c>
      <c r="C250">
        <v>4</v>
      </c>
      <c r="D250">
        <v>6</v>
      </c>
      <c r="E250">
        <v>3</v>
      </c>
      <c r="F250" s="3">
        <f>1624.1+(655.2-589.3)+(0+(0-0))+0-430.7-0</f>
        <v>1259.3</v>
      </c>
      <c r="G250" s="3">
        <f>1534.9+(652.6-560.2)+(0+(0-0))+0-433-0</f>
        <v>1194.3000000000002</v>
      </c>
      <c r="H250" s="3">
        <f>1531.8+(594.8-546.8)+(0+(0-0))+0-431.1-0</f>
        <v>1148.6999999999998</v>
      </c>
      <c r="I250" s="3">
        <f>1531.3+(588.5-552.3)+(0+(0-0))+0-428.9-0</f>
        <v>1138.5999999999999</v>
      </c>
      <c r="J250" s="3">
        <f>1522.3+(600.3-553.7)+(-0.776373+(-0.306153--0.282387))+0-436.9--0.222818999999956</f>
        <v>1131.4226799999999</v>
      </c>
      <c r="K250" s="3">
        <f>1523.5+(641-582)+(2.330955+(0.98073-0.89046))+0-434.7-0.665091000000025</f>
        <v>1149.5561339999999</v>
      </c>
      <c r="L250" s="3">
        <f>1522.8+(591.8-696.8)+(0+(0-0))+0-434.6-0</f>
        <v>983.19999999999993</v>
      </c>
      <c r="M250" s="3">
        <f>1520.7+(636.4-752.7)+(-1.551114+(-0.649128--0.767754))+0-433.3--0.441966000000069</f>
        <v>970.10947800000031</v>
      </c>
      <c r="N250" s="3">
        <f>1525+(655.7-700.5)+(-1.5555+(-0.668814--0.71451))+0-431--0.439620000000069</f>
        <v>1048.1298160000001</v>
      </c>
      <c r="O250" s="3">
        <f>1658.4+(671.3-756.6)+(-2.537352+(-1.027089--1.157598))+0-421.4--0.644742000000024</f>
        <v>1149.937899</v>
      </c>
      <c r="P250" s="3">
        <f>1907+(459.2-738)+(-1.94514+(-0.468384--0.75276))+0-416.7--0.425034000000066</f>
        <v>1210.2642700000001</v>
      </c>
      <c r="Q250" s="3">
        <f>1943.8+(436.5-733.7)+(-1.982676+(-0.44523--0.748374))+0-402.7--0.410754000000064</f>
        <v>1242.6312219999998</v>
      </c>
      <c r="R250" s="3">
        <f>1940.8+(366.1-747)+(-4.94904+(-0.933555--1.90485))+0-406.6--1.03682999999994</f>
        <v>1150.3590850000001</v>
      </c>
      <c r="S250" s="3">
        <f>1945+(453.8-867)+(1.9839+(0.462876-0.88434))+0-403.2-0.411264000000064</f>
        <v>1129.7511719999998</v>
      </c>
      <c r="T250" s="3">
        <f>1941.9+(468.3-842.7)+(-4.951845+(-1.194165--2.148885))+0-410.6--1.04702999999994</f>
        <v>1153.9499049999997</v>
      </c>
      <c r="U250" s="3">
        <f>1941.4+(395.4-751.5)+(0+(0-0))+0-409.4-0</f>
        <v>1175.9000000000001</v>
      </c>
      <c r="V250" s="3">
        <f>1938.4+(501.1-731.2)+(-2.965752+(-0.766683--1.118736))+0-395.8--0.605574000000023</f>
        <v>1310.4918750000002</v>
      </c>
      <c r="W250" s="3">
        <f>2001.5+(948.5-1115)+(1.020765+(0.483735-0.56865))+0-396.6-0.20226599999996</f>
        <v>1439.1335839999999</v>
      </c>
      <c r="X250" s="3">
        <f>2020.8+(1006-1142.9)+(0+(0-0))+0-395.2-0</f>
        <v>1488.6999999999998</v>
      </c>
      <c r="Y250" s="3">
        <f>2020.9+(863.7-1014.9)+(-5.153295+(-2.202435--2.587995))+0-397.4--1.01336999999994</f>
        <v>1468.5456350000002</v>
      </c>
      <c r="Z250" s="3">
        <f>2021+(598.8-825.5)+(-1.03071+(-0.305388--0.421005))+0-389.5--0.19864499999996</f>
        <v>1404.0835519999998</v>
      </c>
      <c r="AA250" s="3">
        <f>2021.3+(536-797.6)+(-1.030863+(-0.27336--0.406776))+0-396.5--0.20221499999996</f>
        <v>1362.5047679999998</v>
      </c>
      <c r="AB250" s="3">
        <f>1959.9+(487.6-739.7)+(-1.999098+(-0.497352--0.754494))+0-397.1--0.405042000000063</f>
        <v>1309.3630860000001</v>
      </c>
      <c r="AC250" s="3">
        <f>1717.7+(515.6-604.4)+(-3.504108+(-1.051824--1.232976))+0-397.3--0.810491999999983</f>
        <v>1229.0875360000002</v>
      </c>
      <c r="AD250">
        <f t="shared" si="3"/>
        <v>29248.021697</v>
      </c>
      <c r="AE250" s="3">
        <f>2011+(1092.5-1145.1)+(0+(0-0))+0-394.7-0</f>
        <v>1563.7</v>
      </c>
    </row>
    <row r="251" spans="1:31" s="2" customFormat="1" x14ac:dyDescent="0.25">
      <c r="A251">
        <v>89</v>
      </c>
      <c r="B251">
        <v>9</v>
      </c>
      <c r="C251">
        <v>5</v>
      </c>
      <c r="D251">
        <v>7</v>
      </c>
      <c r="E251">
        <v>1</v>
      </c>
      <c r="F251" s="3">
        <f>1569.3+(591.7-632)+(-2.401029+(-0.905301--0.96696))+0-397.3--0.607869000000023</f>
        <v>1129.9684990000001</v>
      </c>
      <c r="G251" s="3">
        <f>1569.4+(584.8-748.5)+(-2.401182+(-0.894744--1.145205))+0-398.9--0.610317000000023</f>
        <v>1005.2595960000001</v>
      </c>
      <c r="H251" s="3">
        <f>1568.9+(510.3-701.8)+(-2.400417+(-0.780759--1.073754))+0-398.1--0.609093000000023</f>
        <v>977.80167100000006</v>
      </c>
      <c r="I251" s="3">
        <f>1569.4+(507-688.2)+(-1.600788+(-0.51714--0.701964))+0-399--0.406980000000064</f>
        <v>988.1910160000001</v>
      </c>
      <c r="J251" s="3">
        <f>1571.8+(485.2-657.3)+(1.603236+(0.494904-0.670446))+0-398.9-0.406878000000064</f>
        <v>1001.8208159999999</v>
      </c>
      <c r="K251" s="3">
        <f>1575.2+(494.3-648.3)+(0.803352+(0.252093-0.330633))+0-394.3-0.20109299999996</f>
        <v>1027.4237190000001</v>
      </c>
      <c r="L251" s="3">
        <f>1568.7+(564.5-763.6)+(-3.200148+(-1.15158--1.557744))+0-398.3--0.812531999999983</f>
        <v>969.31854800000008</v>
      </c>
      <c r="M251" s="3">
        <f>1569.7+(625.4-871.5)+(-1.601094+(-0.637908--0.88893))+0-398.2--0.406164000000063</f>
        <v>924.45609200000001</v>
      </c>
      <c r="N251" s="3">
        <f>1572.1+(630-785.4)+(0.801771+(0.3213-0.400554))+0-399.7-0.203846999999959</f>
        <v>1017.5186699999997</v>
      </c>
      <c r="O251" s="3">
        <f>1534.2+(706.8-790.3)+(0+(0-0))+0-399.2-0</f>
        <v>1051.5</v>
      </c>
      <c r="P251" s="3">
        <f>1565.5+(665.4-731.7)+(-0.798405+(-0.339354--0.373167))+0-399.7--0.203846999999959</f>
        <v>1098.9392549999998</v>
      </c>
      <c r="Q251" s="3">
        <f>1560.4+(621.4-640.6)+(-6.366432+(-2.535312--2.613648))+0-399.2--1.62873599999997</f>
        <v>1137.3406399999999</v>
      </c>
      <c r="R251" s="3">
        <f>1570.4+(575.4-686.2)+(-2.402712+(-0.880362--1.049886))+0-398.7--0.610011000000023</f>
        <v>1059.2768229999999</v>
      </c>
      <c r="S251" s="3">
        <f>1569.7+(588.3-729.1)+(-1.601094+(-0.600066--0.743682))+0-398.7--0.406674000000064</f>
        <v>1029.1491960000001</v>
      </c>
      <c r="T251" s="3">
        <f>1572.1+(624.8-774.7)+(-0.801771+(-0.318648--0.395097))+0-396.3--0.20211299999996</f>
        <v>1025.3767909999999</v>
      </c>
      <c r="U251" s="3">
        <f>1570.8+(638.5-796.3)+(-1.602216+(-0.65127--0.812226))+0-398--0.405960000000063</f>
        <v>1013.9647</v>
      </c>
      <c r="V251" s="3">
        <f>1746.2+(623.8-903.3)+(0+(0-0))+0-394.7-0</f>
        <v>1072</v>
      </c>
      <c r="W251" s="3">
        <f>1987.8+(566.5-760.1)+(-1.013778+(-0.288915--0.387651))+0-398.2--0.20308199999996</f>
        <v>1395.2880399999997</v>
      </c>
      <c r="X251" s="3">
        <f>1986.8+(700.5-845.1)+(-1.013268+(-0.357255--0.431001))+0-399.3--0.203642999999959</f>
        <v>1442.164121</v>
      </c>
      <c r="Y251" s="3">
        <f>1986+(687.9-834)+(-3.03858+(-1.052487--1.27602))+0-399.1--0.610623000000023</f>
        <v>1438.5955760000002</v>
      </c>
      <c r="Z251" s="3">
        <f>1915.3+(725.7-843.2)+(-1.953606+(-0.740214--0.860064))+0-399.1--0.407082000000064</f>
        <v>1397.273326</v>
      </c>
      <c r="AA251" s="3">
        <f>1788.1+(701.1-742.2)+(-3.647724+(-1.430244--1.514088))+0-398.4--0.812735999999983</f>
        <v>1345.8488560000003</v>
      </c>
      <c r="AB251" s="3">
        <f>1653.8+(709.6-706)+(-2.530314+(-1.085688--1.08018))+0-396.7--0.606951000000023</f>
        <v>1258.771129</v>
      </c>
      <c r="AC251" s="3">
        <f>1535+(711.5-689.6)+(-4.6971+(-2.17719--2.110176))+0-410.6--1.25643600000005</f>
        <v>1142.7923220000002</v>
      </c>
      <c r="AD251">
        <f t="shared" si="3"/>
        <v>26950.039402000002</v>
      </c>
      <c r="AE251" s="3">
        <f>1989+(732.9-796)+(0+(0-0))+0-401.9-0</f>
        <v>1524</v>
      </c>
    </row>
    <row r="252" spans="1:31" s="2" customFormat="1" x14ac:dyDescent="0.25">
      <c r="A252">
        <v>89</v>
      </c>
      <c r="B252">
        <v>9</v>
      </c>
      <c r="C252">
        <v>6</v>
      </c>
      <c r="D252">
        <v>1</v>
      </c>
      <c r="E252">
        <v>1</v>
      </c>
      <c r="F252" s="3">
        <f>1486.2+(652-556.4)+(0+(0-0))+0-425.1-0</f>
        <v>1156.7000000000003</v>
      </c>
      <c r="G252" s="3">
        <f>1397+(637.8-486.8)+(0+(0-0))+0-426.6-0</f>
        <v>1121.4000000000001</v>
      </c>
      <c r="H252" s="3">
        <f>1395.7+(600.2-463.6)+(0.711807+(0.306102-0.236436))+0-432.1-0.220370999999956</f>
        <v>1100.7611020000004</v>
      </c>
      <c r="I252" s="3">
        <f>1396.6+(599.1-497.3)+(1.424532+(0.611082-0.507246))+0-434.3-0.442986000000069</f>
        <v>1065.1853819999999</v>
      </c>
      <c r="J252" s="3">
        <f>1395.2+(586.7-476.3)+(0+(0-0))+0-428.2-0</f>
        <v>1077.4000000000001</v>
      </c>
      <c r="K252" s="3">
        <f>1394.8+(720.4-572.4)+(-1.422696+(-0.734808--0.583848))+0-431.8--0.440436000000069</f>
        <v>1109.8667800000001</v>
      </c>
      <c r="L252" s="3">
        <f>1455.4+(814.5-720.2)+(-3.71127+(-2.076975--1.83651))+0-432.5--1.10287499999994</f>
        <v>1114.35114</v>
      </c>
      <c r="M252" s="3">
        <f>1547.3+(736.6-661.3)+(0.789123+(0.375666-0.337263))+0-430.3-0.219452999999956</f>
        <v>1192.9080730000001</v>
      </c>
      <c r="N252" s="3">
        <f>1644.9+(755.4-652.2)+(0+(0-0))+0-429-0</f>
        <v>1319.1</v>
      </c>
      <c r="O252" s="3">
        <f>1656.1+(839.6-673.5)+(2.533833+(1.284588-1.030455))+0-438.5-0.670905000000025</f>
        <v>1385.817061</v>
      </c>
      <c r="P252" s="3">
        <f>1747+(705.1-622.9)+(0+(0-0))+0-421.1-0</f>
        <v>1408.1</v>
      </c>
      <c r="Q252" s="3">
        <f>1840.1+(686.4-702.9)+(-0.938451+(-0.350064--0.358479))+0-372.3--0.189872999999962</f>
        <v>1450.559837</v>
      </c>
      <c r="R252" s="3">
        <f>1825.6+(528.7-635.3)+(-0.931056+(-0.269637--0.324003))+0-403.1--0.205580999999959</f>
        <v>1315.228891</v>
      </c>
      <c r="S252" s="3">
        <f>1820+(588.5-625.4)+(-0.9282+(-0.300135--0.318954))+0-390.9--0.19935899999996</f>
        <v>1391.4899779999998</v>
      </c>
      <c r="T252" s="3">
        <f>1815+(615.3-593.9)+(-1.8513+(-0.627606--0.605778))+0-422.7--0.431154000000067</f>
        <v>1412.2580260000002</v>
      </c>
      <c r="U252" s="3">
        <f>1824.1+(565.9-621.8)+(-0.930291+(-0.288609--0.317118))+0-401.5--0.204764999999959</f>
        <v>1366.0029829999999</v>
      </c>
      <c r="V252" s="3">
        <f>1845.9+(554.3-624.1)+(-1.882818+(-0.565386--0.636582))+0-388.3--0.396066000000062</f>
        <v>1386.384444</v>
      </c>
      <c r="W252" s="3">
        <f>1988.1+(1016.8-990.7)+(2.027862+(1.037136-1.010514))+0-399-0.406980000000064</f>
        <v>1616.8475039999998</v>
      </c>
      <c r="X252" s="3">
        <f>1989.8+(1251.7-1118.1)+(-2.029596+(-1.276734--1.140462))+0-401.9--0.409938000000064</f>
        <v>1719.74407</v>
      </c>
      <c r="Y252" s="3">
        <f>1986.6+(1018.6-928.6)+(-4.052664+(-2.077944--1.894344))+0-401.4--0.818855999999982</f>
        <v>1671.7825919999996</v>
      </c>
      <c r="Z252" s="3">
        <f>1977.4+(847.8-808.7)+(-5.04237+(-2.16189--2.062185))+0-398.7--1.01668499999994</f>
        <v>1613.67461</v>
      </c>
      <c r="AA252" s="3">
        <f>1850.3+(866-771.7)+(0.943653+(0.44166-0.393567))+0-397.2-0.20257199999996</f>
        <v>1548.1891739999999</v>
      </c>
      <c r="AB252" s="3">
        <f>1647.6+(872.8-662.9)+(-3.361104+(-1.780512--1.352316))+0-396.8--0.809471999999983</f>
        <v>1457.720172</v>
      </c>
      <c r="AC252" s="3">
        <f>1553.4+(812.5-602.2)+(-2.376702+(-1.243125--0.921366))+0-430.1--0.658053000000025</f>
        <v>1331.5595920000001</v>
      </c>
      <c r="AD252">
        <f t="shared" si="3"/>
        <v>32333.031411</v>
      </c>
      <c r="AE252" s="3">
        <f>1993+(1339.3-1193.6)+(0+(0-0))+0-399.5-0</f>
        <v>1739.1999999999998</v>
      </c>
    </row>
    <row r="253" spans="1:31" s="2" customFormat="1" x14ac:dyDescent="0.25">
      <c r="A253">
        <v>89</v>
      </c>
      <c r="B253">
        <v>9</v>
      </c>
      <c r="C253">
        <v>7</v>
      </c>
      <c r="D253">
        <v>2</v>
      </c>
      <c r="E253">
        <v>1</v>
      </c>
      <c r="F253" s="3">
        <f>1388.3+(666.6-547.8)+(-0.708033+(-0.339966--0.279378))+0-435.7--0.222206999999956</f>
        <v>1070.853586</v>
      </c>
      <c r="G253" s="3">
        <f>1378.5+(719.5-572.6)+(-3.515175+(-1.834725--1.46013))+0-437.2--1.11485999999994</f>
        <v>1085.42509</v>
      </c>
      <c r="H253" s="3">
        <f>1382.4+(616-565.5)+(-0.705024+(-0.31416--0.288405))+0-438.2--0.223481999999956</f>
        <v>994.19270300000005</v>
      </c>
      <c r="I253" s="3">
        <f>1382+(621.3-541.2)+(-0.70482+(-0.316863--0.276012))+0-432.7--0.220676999999956</f>
        <v>1028.875006</v>
      </c>
      <c r="J253" s="3">
        <f>1382.2+(647.6-541.4)+(-1.409844+(-0.660552--0.552228))+0-436.5--0.44523000000007</f>
        <v>1050.8270620000001</v>
      </c>
      <c r="K253" s="3">
        <f>1382.2+(674.4-552.7)+(0+(0-0))+0-436.6-0</f>
        <v>1067.3000000000002</v>
      </c>
      <c r="L253" s="3">
        <f>1380.5+(683.9-594.2)+(-2.81622+(-1.395156--1.212168))+0-432.9--0.883115999999981</f>
        <v>1035.183908</v>
      </c>
      <c r="M253" s="3">
        <f>1436.5+(684.7-606)+(-0.732615+(-0.349197--0.30906))+0-433.6--0.221135999999956</f>
        <v>1081.0483839999999</v>
      </c>
      <c r="N253" s="3">
        <f>1575+(586-566)+(0+(0-0))+0-427-0</f>
        <v>1168</v>
      </c>
      <c r="O253" s="3">
        <f>1695+(661-735)+(0.86445+(0.33711-0.37485))+0-441-0.224909999999955</f>
        <v>1180.6018000000001</v>
      </c>
      <c r="P253" s="3">
        <f>1705.3+(821.8-776)+(1.739406+(0.838236-0.79152))+0-436-0.44472000000007</f>
        <v>1316.4414019999999</v>
      </c>
      <c r="Q253" s="3">
        <f>1705+(855.1-806.6)+(0+(0-0))+0-433.7-0</f>
        <v>1319.8</v>
      </c>
      <c r="R253" s="3">
        <f>1700.8+(704.3-692.3)+(-4.33704+(-1.795965--1.765365))+0-427.8--1.09088999999994</f>
        <v>1281.72325</v>
      </c>
      <c r="S253" s="3">
        <f>1703.6+(545.3-540.9)+(-2.606508+(-0.834309--0.827577))+0-422.6--0.646578000000024</f>
        <v>1283.433338</v>
      </c>
      <c r="T253" s="3">
        <f>1706.2+(606.5-564.3)+(0.870162+(0.309315-0.287793))+0-386.3-0.197012999999961</f>
        <v>1362.7946710000001</v>
      </c>
      <c r="U253" s="3">
        <f>1708.2+(630.9-539.1)+(1.742364+(0.643518-0.549882))+0-386.1-0.393822000000062</f>
        <v>1415.3421779999999</v>
      </c>
      <c r="V253" s="3">
        <f>1799+(551.7-622.9)+(-0.91749+(-0.281367--0.317679))+0-392--0.19991999999996</f>
        <v>1335.1187420000001</v>
      </c>
      <c r="W253" s="3">
        <f>1997.1+(1189.7-1116.1)+(1.018521+(0.606747-0.569211))+0-390.9-0.19935899999996</f>
        <v>1680.6566979999996</v>
      </c>
      <c r="X253" s="3">
        <f>2038.1+(1262.8-1175.2)+(-7.276017+(-4.508196--4.195464))+0-394.5--1.40836500000001</f>
        <v>1725.0196159999998</v>
      </c>
      <c r="Y253" s="3">
        <f>2072.3+(1161.8-1115.2)+(-4.227492+(-2.370072--2.275008))+0-394.7--0.805187999999983</f>
        <v>1720.682632</v>
      </c>
      <c r="Z253" s="3">
        <f>2100.6+(1010.6-1076.9)+(-1.071306+(-0.515406--0.549219))+0-393.9--0.20088899999996</f>
        <v>1639.5633959999998</v>
      </c>
      <c r="AA253" s="3">
        <f>2098.4+(960.4-1020.6)+(-3.210552+(-1.469412--1.561518))+0-394.6--0.603738000000023</f>
        <v>1641.085292</v>
      </c>
      <c r="AB253" s="3">
        <f>2021+(851.1-876.7)+(-2.06142+(-0.868122--0.894234))+0-398.8--0.406776000000064</f>
        <v>1594.9714680000002</v>
      </c>
      <c r="AC253" s="3">
        <f>1902.4+(506.4-623.7)+(-3.880896+(-1.033056--1.272348))+0-431.4--0.880055999999981</f>
        <v>1350.9384519999999</v>
      </c>
      <c r="AD253">
        <f t="shared" si="3"/>
        <v>31429.878674</v>
      </c>
      <c r="AE253" s="3">
        <f>2014+(1343.9-1241.9)+(0+(0-0))+0-390.6-0</f>
        <v>1725.4</v>
      </c>
    </row>
    <row r="254" spans="1:31" s="2" customFormat="1" x14ac:dyDescent="0.25">
      <c r="A254">
        <v>89</v>
      </c>
      <c r="B254">
        <v>9</v>
      </c>
      <c r="C254">
        <v>8</v>
      </c>
      <c r="D254">
        <v>3</v>
      </c>
      <c r="E254">
        <v>1</v>
      </c>
      <c r="F254" s="3">
        <f>1555.2+(702-615.9)+(-3.172608+(-1.43208--1.256436))+0-420.1--0.857003999999982</f>
        <v>1218.708752</v>
      </c>
      <c r="G254" s="3">
        <f>1416.3+(894.4-759.6)+(-0.722313+(-0.456144--0.387396))+0-437.4--0.223073999999956</f>
        <v>1113.1320129999999</v>
      </c>
      <c r="H254" s="3">
        <f>1416.1+(725.4-625)+(0.722211+(0.369954-0.31875))+0-435.7-0.222206999999956</f>
        <v>1081.351208</v>
      </c>
      <c r="I254" s="3">
        <f>1414.8+(739.4-631.4)+(-1.443096+(-0.754188--0.644028))+0-434.8--0.443496000000069</f>
        <v>1086.8902400000002</v>
      </c>
      <c r="J254" s="3">
        <f>1416.2+(735.2-635.8)+(0.722262+(0.374952-0.324258))+0-436.4-0.222563999999956</f>
        <v>1079.7503920000001</v>
      </c>
      <c r="K254" s="3">
        <f>1416.3+(783.5-674.3)+(0.722313+(0.399585-0.343893))+0-431.2-0.219911999999956</f>
        <v>1094.8580929999998</v>
      </c>
      <c r="L254" s="3">
        <f>1472.3+(781.6-674.9)+(0+(0-0))+0-424.9-0</f>
        <v>1154.0999999999999</v>
      </c>
      <c r="M254" s="3">
        <f>1554.8+(678-575.2)+(-3.96474+(-1.7289--1.46676))+0-402.5--1.02637499999994</f>
        <v>1251.8994949999999</v>
      </c>
      <c r="N254" s="3">
        <f>1554.9+(704.7-573.5)+(2.378997+(1.078191-0.877455))+0-402.2-0.615366000000023</f>
        <v>1285.8643670000001</v>
      </c>
      <c r="O254" s="3">
        <f>1636.6+(789.6-626.2)+(-2.503998+(-1.208088--0.958086))+0-404.1--0.618273000000023</f>
        <v>1393.7642730000002</v>
      </c>
      <c r="P254" s="3">
        <f>1712.7+(704.3-575.8)+(0.873477+(0.359193-0.293658))+0-402.3-0.205172999999959</f>
        <v>1439.6338390000001</v>
      </c>
      <c r="Q254" s="3">
        <f>1714+(753.9-598.4)+(-4.3707+(-1.922445--1.52592))+0-391--0.997049999999943</f>
        <v>1474.7298249999999</v>
      </c>
      <c r="R254" s="3">
        <f>1712.9+(643.7-604.2)+(-1.747158+(-0.656574--0.616284))+0-393--0.400860000000063</f>
        <v>1358.013412</v>
      </c>
      <c r="S254" s="3">
        <f>1714.8+(587.1-563.6)+(0+(0-0))+0-399.2-0</f>
        <v>1339.1</v>
      </c>
      <c r="T254" s="3">
        <f>1715.9+(566.5-533.4)+(0+(0-0))+0-390.5-0</f>
        <v>1358.5</v>
      </c>
      <c r="U254" s="3">
        <f>1715.4+(635.4-552.8)+(0.874854+(0.324054-0.281928))+0-387.5-0.197624999999961</f>
        <v>1411.219355</v>
      </c>
      <c r="V254" s="3">
        <f>1767.2+(637.6-587.2)+(2.703816+(0.975528-0.898416))+0-387.4-0.592722000000022</f>
        <v>1432.3882059999999</v>
      </c>
      <c r="W254" s="3">
        <f>2198.8+(1315-1444.4)+(3.364164+(2.01195-2.209932))+0-399.2-0.610776000000023</f>
        <v>1672.755406</v>
      </c>
      <c r="X254" s="3">
        <f>2265.4+(1263.9-1417.1)+(-4.621416+(-2.578356--2.890884))+0-388.7--0.792947999999983</f>
        <v>1719.9840600000002</v>
      </c>
      <c r="Y254" s="3">
        <f>2265.3+(1002.5-1199.1)+(-3.465909+(-1.533825--1.834623))+0-385.6--0.589968000000022</f>
        <v>1680.5248570000006</v>
      </c>
      <c r="Z254" s="3">
        <f>2205.9+(672.9-906.7)+(-3.375027+(-1.029537--1.387251))+0-386.2--0.590886000000022</f>
        <v>1583.4735729999998</v>
      </c>
      <c r="AA254" s="3">
        <f>2141.7+(589.2-819.5)+(-2.184534+(-0.600984--0.83589))+0-382.6--0.390252000000061</f>
        <v>1527.240624</v>
      </c>
      <c r="AB254" s="3">
        <f>2120.9+(522.9-789.8)+(0+(0-0))+0-385.8-0</f>
        <v>1468.2</v>
      </c>
      <c r="AC254" s="3">
        <f>1775.8+(730.5-724.3)+(-4.52829+(-1.862775--1.846965))+0-410.5--1.04677499999994</f>
        <v>1368.002675</v>
      </c>
      <c r="AD254">
        <f t="shared" si="3"/>
        <v>32594.084665000002</v>
      </c>
      <c r="AE254" s="3">
        <f>2265+(1316-1450.2)+(0+(0-0))+0-399.5-0</f>
        <v>1731.3000000000002</v>
      </c>
    </row>
    <row r="255" spans="1:31" s="2" customFormat="1" x14ac:dyDescent="0.25">
      <c r="A255">
        <v>89</v>
      </c>
      <c r="B255">
        <v>9</v>
      </c>
      <c r="C255">
        <v>9</v>
      </c>
      <c r="D255">
        <v>4</v>
      </c>
      <c r="E255">
        <v>1</v>
      </c>
      <c r="F255" s="3">
        <f>1572.9+(1101.4-977)+(-3.208716+(-2.246856--1.99308))+0-417.1--0.850883999999982</f>
        <v>1277.5883920000001</v>
      </c>
      <c r="G255" s="3">
        <f>1571.9+(926.2-856.4)+(-1.603338+(-0.944724--0.873528))+0-408.4--0.416568000000065</f>
        <v>1232.0420340000005</v>
      </c>
      <c r="H255" s="3">
        <f>1574.5+(894.7-866.4)+(-2.408985+(-1.368891--1.325592))+0-420.8--0.643824000000024</f>
        <v>1180.1915400000003</v>
      </c>
      <c r="I255" s="3">
        <f>1575.5+(858.9-835)+(-1.60701+(-0.876078--0.8517))+0-421.9--0.430338000000067</f>
        <v>1176.2989500000003</v>
      </c>
      <c r="J255" s="3">
        <f>1575.1+(880.3-864.5)+(-1.606602+(-0.897906--0.88179))+0-420.4--0.428808000000067</f>
        <v>1169.30609</v>
      </c>
      <c r="K255" s="3">
        <f>1575.6+(789.4-777.6)+(0+(0-0))+0-419.6-0</f>
        <v>1167.7999999999997</v>
      </c>
      <c r="L255" s="3">
        <f>1575.4+(539.8-569.8)+(-1.606908+(-0.550596--0.581196))+0-420.8--0.429216000000067</f>
        <v>1123.4529080000002</v>
      </c>
      <c r="M255" s="3">
        <f>1574.1+(568.8-532)+(-0.802791+(-0.290088--0.27132))+0-417.4--0.212873999999958</f>
        <v>1192.8913150000001</v>
      </c>
      <c r="N255" s="3">
        <f>1592.4+(688.4-539.2)+(0.812124+(0.351084-0.274992))+0-416.9-0.212618999999958</f>
        <v>1325.3755970000002</v>
      </c>
      <c r="O255" s="3">
        <f>1714+(733.2-625.8)+(0+(0-0))+0-416.7-0</f>
        <v>1404.7</v>
      </c>
      <c r="P255" s="3">
        <f>1713.8+(892.9-753.2)+(-0.874038+(-0.455379--0.384132))+0-417.7--0.213026999999958</f>
        <v>1435.067742</v>
      </c>
      <c r="Q255" s="3">
        <f>1716.2+(1090.4-903.1)+(-1.750524+(-1.112208--0.921162))+0-422.6--0.431052000000067</f>
        <v>1479.3894820000003</v>
      </c>
      <c r="R255" s="3">
        <f>1722.6+(998.2-897.4)+(-0.878526+(-0.509082--0.457674))+0-417.9--0.213128999999958</f>
        <v>1404.7831950000002</v>
      </c>
      <c r="S255" s="3">
        <f>1726+(948.5-853.6)+(0+(0-0))+0-417-0</f>
        <v>1403.9</v>
      </c>
      <c r="T255" s="3">
        <f>1724.3+(1008.7-925.5)+(-2.638179+(-1.543311--1.416015))+0-412.7--0.631431000000024</f>
        <v>1392.6659560000001</v>
      </c>
      <c r="U255" s="3">
        <f>1723.8+(996.1-881.5)+(-2.637414+(-1.524033--1.348695))+0-385.8--0.590274000000022</f>
        <v>1450.377522</v>
      </c>
      <c r="V255" s="3">
        <f>1943.6+(833-909.9)+(-2.973708+(-1.27449--1.392147))+0-384.1--0.587673000000022</f>
        <v>1480.3316219999997</v>
      </c>
      <c r="W255" s="3">
        <f>2217.9+(1049.4-1190.7)+(-2.262258+(-1.070388--1.214514))+0-383.6--0.391272000000061</f>
        <v>1691.2731400000005</v>
      </c>
      <c r="X255" s="3">
        <f>2255.8+(904.3-1015)+(-4.601832+(-1.844772--2.0706))+0-383.6--0.782543999999983</f>
        <v>1757.9065400000002</v>
      </c>
      <c r="Y255" s="3">
        <f>2255.9+(758.1-919)+(-4.602036+(-1.546524--1.87476))+0-383.3--0.781931999999983</f>
        <v>1708.208132</v>
      </c>
      <c r="Z255" s="3">
        <f>2228.6+(633.6-863.7)+(-2.273172+(-0.646272--0.880974))+0-387.1--0.394842000000062</f>
        <v>1609.7563720000003</v>
      </c>
      <c r="AA255" s="3">
        <f>1895.6+(734.5-776.9)+(-2.900268+(-1.123785--1.188657))+0-387.4--0.592722000000022</f>
        <v>1463.5573259999999</v>
      </c>
      <c r="AB255" s="3">
        <f>1745.9+(806.6-730.5)+(-2.671227+(-1.234098--1.117665))+0-389.1--0.595323000000022</f>
        <v>1430.7076630000001</v>
      </c>
      <c r="AC255" s="3">
        <f>1651.7+(928.2-804)+(-4.211835+(-2.36691--2.0502))+0-410.7--1.04728499999994</f>
        <v>1361.71874</v>
      </c>
      <c r="AD255">
        <f t="shared" si="3"/>
        <v>33319.290258000001</v>
      </c>
      <c r="AE255" s="3">
        <f>2259+(1159.7-1345.5)+(0+(0-0))+0-387.9-0</f>
        <v>1685.2999999999997</v>
      </c>
    </row>
    <row r="256" spans="1:31" s="2" customFormat="1" x14ac:dyDescent="0.25">
      <c r="A256">
        <v>89</v>
      </c>
      <c r="B256">
        <v>9</v>
      </c>
      <c r="C256">
        <v>10</v>
      </c>
      <c r="D256">
        <v>5</v>
      </c>
      <c r="E256">
        <v>1</v>
      </c>
      <c r="F256" s="3">
        <f>1571.7+(964.1-858.3)+(-4.007835+(-2.458455--2.188665))+0-421.1--1.07380499999994</f>
        <v>1253.1961799999999</v>
      </c>
      <c r="G256" s="3">
        <f>1572.2+(900.6-823.7)+(0+(0-0))+0-432.2-0</f>
        <v>1216.8999999999999</v>
      </c>
      <c r="H256" s="3">
        <f>1572.6+(739.8-726.8)+(-0.802026+(-0.377298--0.370668))+0-433.3--0.220982999999956</f>
        <v>1151.712327</v>
      </c>
      <c r="I256" s="3">
        <f>1572+(642.5-641.2)+(-0.80172+(-0.327675--0.327012))+0-432.8--0.220727999999956</f>
        <v>1139.918345</v>
      </c>
      <c r="J256" s="3">
        <f>1572.3+(628.4-661.4)+(1.603746+(0.640968-0.674628))+0-436.4-0.44512800000007</f>
        <v>1104.0249579999997</v>
      </c>
      <c r="K256" s="3">
        <f>1572.6+(658.2-653.8)+(-1.604052+(-0.671364--0.666876))+0-435--0.443700000000069</f>
        <v>1140.8351600000001</v>
      </c>
      <c r="L256" s="3">
        <f>1572+(766.4-697.8)+(-0.80172+(-0.390864--0.355878))+0-437--0.222869999999956</f>
        <v>1202.9861639999999</v>
      </c>
      <c r="M256" s="3">
        <f>1571.8+(861.5-704.4)+(0+(0-0))+0-434.8-0</f>
        <v>1294.1000000000001</v>
      </c>
      <c r="N256" s="3">
        <f>1572.5+(815.8-607.5)+(-0.801975+(-0.416058--0.309825))+0-437.6--0.223175999999956</f>
        <v>1342.514968</v>
      </c>
      <c r="O256" s="3">
        <f>1667.6+(781.7-624.5)+(-3.401904+(-1.594668--1.27398))+0-444.7--0.907187999999981</f>
        <v>1377.2845959999997</v>
      </c>
      <c r="P256" s="3">
        <f>1716.6+(749.2-628.9)+(0.875466+(0.382092-0.320739))+0-424.8-0.216647999999957</f>
        <v>1412.8201710000003</v>
      </c>
      <c r="Q256" s="3">
        <f>1823.1+(585.9-596.8)+(-0.929781+(-0.298809--0.304368))+0-404.4--0.206243999999959</f>
        <v>1407.0820219999996</v>
      </c>
      <c r="R256" s="3">
        <f>1841.4+(428.1-482.1)+(-4.69557+(-1.091655--1.229355))+0-406.4--1.03631999999994</f>
        <v>1377.4784499999998</v>
      </c>
      <c r="S256" s="3">
        <f>1836.6+(575.5-558.5)+(0+(0-0))+0-429.2-0</f>
        <v>1424.3999999999999</v>
      </c>
      <c r="T256" s="3">
        <f>1833.4+(586.9-589.6)+(0+(0-0))+0-435.5-0</f>
        <v>1395.2</v>
      </c>
      <c r="U256" s="3">
        <f>1851.1+(473.9-587.9)+(-0.944061+(-0.241689--0.299829))+0-405.7--0.206906999999959</f>
        <v>1330.7209859999998</v>
      </c>
      <c r="V256" s="3">
        <f>2034.9+(539.5-893.9)+(2.075598+(0.55029-0.911778))+0-403.3-0.411366000000064</f>
        <v>1278.5027439999999</v>
      </c>
      <c r="W256" s="3">
        <f>2125+(1144.6-1282.1)+(0+(0-0))+0-401.9-0</f>
        <v>1585.6</v>
      </c>
      <c r="X256" s="3">
        <f>2194.4+(1017.6-1166.9)+(-4.476576+(-2.075904--2.380476))+0-396.3--0.808451999999983</f>
        <v>1645.4364479999999</v>
      </c>
      <c r="Y256" s="3">
        <f>2219.9+(1017.1-1251.8)+(-3.396447+(-1.556163--1.915254))+0-394.6--0.603738000000023</f>
        <v>1588.1663820000001</v>
      </c>
      <c r="Z256" s="3">
        <f>2089.1+(1174.4-1302.9)+(-1.065441+(-0.598944--0.664479))+0-396--0.20195999999996</f>
        <v>1563.8020539999998</v>
      </c>
      <c r="AA256" s="3">
        <f>1965.8+(1215-1237.6)+(0+(0-0))+0-400-0</f>
        <v>1543.2</v>
      </c>
      <c r="AB256" s="3">
        <f>1774+(1241.7-1044.2)+(-3.61896+(-2.533068--2.130168))+0-402.8--0.821711999999982</f>
        <v>1565.4998519999999</v>
      </c>
      <c r="AC256" s="3">
        <f>1661.5+(1145.7-895.8)+(-2.542095+(-1.752921--1.370574))+0-425.3--0.650709000000025</f>
        <v>1483.8262670000001</v>
      </c>
      <c r="AD256">
        <f t="shared" si="3"/>
        <v>32825.208074000002</v>
      </c>
      <c r="AE256" s="3">
        <f>2194+(1132.2-1270.3)+(0+(0-0))+0-402.1-0</f>
        <v>1653.8000000000002</v>
      </c>
    </row>
    <row r="257" spans="1:31" s="2" customFormat="1" x14ac:dyDescent="0.25">
      <c r="A257">
        <v>89</v>
      </c>
      <c r="B257">
        <v>9</v>
      </c>
      <c r="C257">
        <v>11</v>
      </c>
      <c r="D257">
        <v>6</v>
      </c>
      <c r="E257">
        <v>1</v>
      </c>
      <c r="F257" s="3">
        <f>1620.8+(771.5-752)+(-1.653216+(-0.78693--0.76704))+0-439.9--0.44869800000007</f>
        <v>1199.1755920000001</v>
      </c>
      <c r="G257" s="3">
        <f>1557.7+(822.4-748)+(1.588854+(0.838848-0.76296))+0-438.9-0.44767800000007</f>
        <v>1194.4170639999998</v>
      </c>
      <c r="H257" s="3">
        <f>1525+(758.5-680.1)+(2.33325+(1.160505-1.040553))+0-439-0.671670000000025</f>
        <v>1166.1815320000001</v>
      </c>
      <c r="I257" s="3">
        <f>1522.2+(668.2-671)+(-0.776322+(-0.340782--0.34221))+0-437.4--0.223073999999956</f>
        <v>1081.4481800000003</v>
      </c>
      <c r="J257" s="3">
        <f>1522.8+(735.2-671.9)+(0.776628+(0.374952-0.342669))+0-445.7-0.227306999999955</f>
        <v>1140.9816040000001</v>
      </c>
      <c r="K257" s="3">
        <f>1522.8+(795.6-712.3)+(0+(0-0))+0-438.3-0</f>
        <v>1167.8</v>
      </c>
      <c r="L257" s="3">
        <f>1521.7+(836.8-790.3)+(-1.552134+(-0.853536--0.806106))+0-438.2--0.44696400000007</f>
        <v>1128.8473999999999</v>
      </c>
      <c r="M257" s="3">
        <f>1523.9+(791.2-748.6)+(0.777189+(0.403512-0.381786))+0-438.2-0.223481999999956</f>
        <v>1128.8754330000002</v>
      </c>
      <c r="N257" s="3">
        <f>1552.1+(816.4-600.6)+(0+(0-0))+0-438.9-0</f>
        <v>1329</v>
      </c>
      <c r="O257" s="3">
        <f>1741.9+(689.7-630.8)+(-3.553476+(-1.406988--1.286832))+0-437.3--0.892091999999981</f>
        <v>1360.7184600000003</v>
      </c>
      <c r="P257" s="3">
        <f>1837.4+(779.9-767.7)+(-2.811222+(-1.193247--1.174581))+0-435.1--0.665703000000025</f>
        <v>1412.3358149999999</v>
      </c>
      <c r="Q257" s="3">
        <f>1838.8+(854.3-835.2)+(-0.937788+(-0.435693--0.425952))+0-441.6--0.225215999999955</f>
        <v>1415.5776869999997</v>
      </c>
      <c r="R257" s="3">
        <f>1835.5+(736.1-726.3)+(-3.74442+(-1.501644--1.481652))+0-431.6--0.880463999999981</f>
        <v>1410.8160520000004</v>
      </c>
      <c r="S257" s="3">
        <f>1836+(608.9-720.7)+(-1.87272+(-0.621078--0.735114))+0-426.2--0.434724000000068</f>
        <v>1296.6760399999998</v>
      </c>
      <c r="T257" s="3">
        <f>1837.2+(638-760)+(-1.873944+(-0.65076--0.7752))+0-416.9--0.425238000000066</f>
        <v>1296.9757340000003</v>
      </c>
      <c r="U257" s="3">
        <f>1838.9+(630.8-753.4)+(-0.937839+(-0.321708--0.384234))+0-403.7--0.205886999999959</f>
        <v>1311.930574</v>
      </c>
      <c r="V257" s="3">
        <f>1965.7+(462.4-799.8)+(-5.012535+(-1.17912--2.03949))+0-400.3--1.02076499999994</f>
        <v>1224.8686000000002</v>
      </c>
      <c r="W257" s="3">
        <f>2238.8+(1149.8-1435.1)+(0+(0-0))+0-401.2-0</f>
        <v>1552.3000000000002</v>
      </c>
      <c r="X257" s="3">
        <f>2246.6+(1355.5-1513.9)+(-8.020362+(-4.839135--5.404623))+0-402.1--1.43549700000001</f>
        <v>1680.0806229999998</v>
      </c>
      <c r="Y257" s="3">
        <f>2247.8+(1109.3-1339.5)+(-3.439134+(-1.697229--2.049435))+0-398.8--0.610164000000023</f>
        <v>1616.3232360000002</v>
      </c>
      <c r="Z257" s="3">
        <f>2250.2+(831.5-1105)+(-3.442806+(-1.272195--1.69065))+0-399.3--0.610929000000023</f>
        <v>1574.9865779999998</v>
      </c>
      <c r="AA257" s="3">
        <f>2247+(612.2-945.7)+(-5.72985+(-1.56111--2.411535))+0-397.4--1.01336999999994</f>
        <v>1512.2339449999997</v>
      </c>
      <c r="AB257" s="3">
        <f>2097.1+(534.9-864.8)+(0+(0-0))+0-393.3-0</f>
        <v>1373.8999999999999</v>
      </c>
      <c r="AC257" s="3">
        <f>1788.6+(690.3-804.2)+(-2.736558+(-1.056159--1.230426))+0-303.5--0.464355000000018</f>
        <v>1369.1020639999999</v>
      </c>
      <c r="AD257">
        <f t="shared" ref="AD257:AD320" si="4">SUM(F257:AC257)</f>
        <v>31945.552213000003</v>
      </c>
      <c r="AE257" s="3">
        <f>2250+(1511.5-1647.2)+(0+(0-0))+0-402-0</f>
        <v>1712.3000000000002</v>
      </c>
    </row>
    <row r="258" spans="1:31" s="2" customFormat="1" x14ac:dyDescent="0.25">
      <c r="A258">
        <v>89</v>
      </c>
      <c r="B258">
        <v>9</v>
      </c>
      <c r="C258">
        <v>12</v>
      </c>
      <c r="D258">
        <v>7</v>
      </c>
      <c r="E258">
        <v>1</v>
      </c>
      <c r="F258" s="3">
        <f>1587.4+(328.4-656.1)+(-4.857444+(-1.004904--2.007666))+0-215.5--0.659430000000025</f>
        <v>1041.0047480000001</v>
      </c>
      <c r="G258" s="3">
        <f>1459.2+(588.6-707.2)+(0+(0-0))+0-356.3-0</f>
        <v>984.3</v>
      </c>
      <c r="H258" s="3">
        <f>1449+(539.2-703.3)+(-0.73899+(-0.274992--0.358683))+0-388.1--0.197930999999961</f>
        <v>896.34263199999998</v>
      </c>
      <c r="I258" s="3">
        <f>1450+(537.9-673.9)+(0.7395+(0.274329-0.343689))+0-401.2-0.204611999999959</f>
        <v>913.2655279999999</v>
      </c>
      <c r="J258" s="3">
        <f>1447.6+(510.5-693.8)+(0+(0-0))+0-399.3-0</f>
        <v>865</v>
      </c>
      <c r="K258" s="3">
        <f>1450.2+(528.3-764.7)+(2.218806+(0.808299-1.169991))+0-400.5-0.612765000000023</f>
        <v>814.5443489999999</v>
      </c>
      <c r="L258" s="3">
        <f>1448.1+(592.7-934)+(-1.477062+(-0.604554--0.95268))+0-396.9--0.404838000000063</f>
        <v>709.17590199999995</v>
      </c>
      <c r="M258" s="3">
        <f>1445.2+(556.7-883.1)+(-3.68526+(-1.419585--2.251905))+0-394.7--1.00648499999994</f>
        <v>722.25354500000003</v>
      </c>
      <c r="N258" s="3">
        <f>1449.9+(638.2-934.7)+(0.739449+(0.325482-0.476697))+0-388.8-0.198287999999961</f>
        <v>764.98994600000026</v>
      </c>
      <c r="O258" s="3">
        <f>1640.2+(610.6-1003.7)+(0.836502+(0.311406-0.511887))+0-382.2-0.194921999999961</f>
        <v>865.34109899999999</v>
      </c>
      <c r="P258" s="3">
        <f>1832.8+(549.6-1120.4)+(-3.738912+(-1.121184--2.285616))+0-383.1--0.781523999999983</f>
        <v>877.10704399999997</v>
      </c>
      <c r="Q258" s="3">
        <f>1842.6+(558.2-1150.7)+(-0.939726+(-0.284682--0.586857))+0-384.5--0.196094999999961</f>
        <v>865.15854399999989</v>
      </c>
      <c r="R258" s="3">
        <f>1841.7+(533.1-1158.6)+(-2.817801+(-0.815643--1.772658))+0-389.9--0.596547000000022</f>
        <v>825.03576100000032</v>
      </c>
      <c r="S258" s="3">
        <f>1890.1+(499.8-1151.8)+(-2.891853+(-0.764694--1.762254))+0-387.9--0.593487000000022</f>
        <v>848.89919399999985</v>
      </c>
      <c r="T258" s="3">
        <f>1953+(414.8-1073.6)+(0.99603+(0.211548-0.547536))+0-388.5-0.198134999999961</f>
        <v>906.16190700000004</v>
      </c>
      <c r="U258" s="3">
        <f>1893.1+(486.4-1045.5)+(-1.930962+(-0.496128--1.06641))+0-394.4--0.402288000000063</f>
        <v>938.64160800000013</v>
      </c>
      <c r="V258" s="3">
        <f>1895.6+(479.6-1005.4)+(-1.933512+(-0.489192--1.025508))+0-392--0.399840000000062</f>
        <v>976.8026440000001</v>
      </c>
      <c r="W258" s="3">
        <f>2204.3+(557.7-1135.5)+(0+(0-0))+0-399.7-0</f>
        <v>1226.8000000000002</v>
      </c>
      <c r="X258" s="3">
        <f>2249.4+(684.2-1158.6)+(-2.294388+(-0.697884--1.181772))+0-398.9--0.406878000000064</f>
        <v>1374.6963780000003</v>
      </c>
      <c r="Y258" s="3">
        <f>2196.6+(867.7-1217.8)+(-1.120266+(-0.442527--0.621078))+0-400--0.203999999999959</f>
        <v>1445.762285</v>
      </c>
      <c r="Z258" s="3">
        <f>2033.7+(1018.8-1189.9)+(-2.074374+(-1.039176--1.213698))+0-401.8--0.409836000000064</f>
        <v>1459.309984</v>
      </c>
      <c r="AA258" s="3">
        <f>1816.7+(1157.5-1115.9)+(-1.853034+(-1.18065--1.138218))+0-400.6--0.408612000000064</f>
        <v>1456.2131460000001</v>
      </c>
      <c r="AB258" s="3">
        <f>1718.9+(1069.5-957.2)+(0+(0-0))+0-400.5-0</f>
        <v>1430.7</v>
      </c>
      <c r="AC258" s="3">
        <f>1655.4+(887.9-777.6)+(-4.22127+(-2.264145--1.98288))+0-402.5--1.02637499999994</f>
        <v>1359.7238399999999</v>
      </c>
      <c r="AD258">
        <f t="shared" si="4"/>
        <v>24567.230083999999</v>
      </c>
      <c r="AE258" s="3">
        <f>2243+(712.7-1143.6)+(0+(0-0))+0-396.4-0</f>
        <v>1415.7000000000003</v>
      </c>
    </row>
    <row r="259" spans="1:31" s="2" customFormat="1" x14ac:dyDescent="0.25">
      <c r="A259">
        <v>89</v>
      </c>
      <c r="B259">
        <v>9</v>
      </c>
      <c r="C259">
        <v>13</v>
      </c>
      <c r="D259">
        <v>1</v>
      </c>
      <c r="E259">
        <v>1</v>
      </c>
      <c r="F259" s="3">
        <f>1600+(692.1-760.2)+(-4.896+(-2.117826--2.326212))+0-406.1--1.24266600000005</f>
        <v>1122.3550520000003</v>
      </c>
      <c r="G259" s="3">
        <f>1521.8+(726.2-768.8)+(-3.104472+(-1.481448--1.568352))+0-415--0.846599999999982</f>
        <v>1062.0290320000001</v>
      </c>
      <c r="H259" s="3">
        <f>1512.3+(663.8-729.4)+(-3.085092+(-1.354152--1.487976))+0-415.3--0.847211999999982</f>
        <v>1029.2959439999997</v>
      </c>
      <c r="I259" s="3">
        <f>1512.2+(638-716.1)+(-1.542444+(-0.65076--0.730422))+0-419.7--0.428094000000067</f>
        <v>1013.3653119999999</v>
      </c>
      <c r="J259" s="3">
        <f>1513.3+(672.3-666.4)+(0+(0-0))+0-431.8-0</f>
        <v>1087.3999999999999</v>
      </c>
      <c r="K259" s="3">
        <f>1514.9+(793.3-686)+(0.772599+(0.404583-0.34986))+0-432.1-0.220370999999956</f>
        <v>1190.7069510000001</v>
      </c>
      <c r="L259" s="3">
        <f>1511.7+(931.8-883.8)+(-3.083868+(-1.900872--1.802952))+0-429--0.875159999999981</f>
        <v>1128.393372</v>
      </c>
      <c r="M259" s="3">
        <f>1545.9+(868.6-802.6)+(-1.576818+(-0.885972--0.818652))+0-429.5--0.438090000000068</f>
        <v>1181.1939520000001</v>
      </c>
      <c r="N259" s="3">
        <f>1665.9+(828.8-770.3)+(0+(0-0))+0-438.5-0</f>
        <v>1285.9000000000001</v>
      </c>
      <c r="O259" s="3">
        <f>1726.1+(687.1-688.3)+(2.640933+(1.051263-1.053099))+0-437.5-0.669375000000025</f>
        <v>1289.3697220000001</v>
      </c>
      <c r="P259" s="3">
        <f>1837.8+(586.8-573.7)+(-2.811834+(-0.897804--0.877761))+0-407--0.622710000000024</f>
        <v>1441.6908329999999</v>
      </c>
      <c r="Q259" s="3">
        <f>1843.9+(529.2-510.6)+(0+(0-0))+0-438.2-0</f>
        <v>1424.3</v>
      </c>
      <c r="R259" s="3">
        <f>1836.8+(436.7-436.5)+(-5.620608+(-1.336302--1.33569))+0-430.9--1.31855400000005</f>
        <v>1401.7973339999999</v>
      </c>
      <c r="S259" s="3">
        <f>1840.1+(396.2-428.7)+(-2.815353+(-0.606186--0.655911))+0-424.7--0.649791000000025</f>
        <v>1380.7841629999998</v>
      </c>
      <c r="T259" s="3">
        <f>1845.1+(338.6-387.8)+(0+(0-0))+0-434.1-0</f>
        <v>1361.7999999999997</v>
      </c>
      <c r="U259" s="3">
        <f>1844+(403.7-437.1)+(0+(0-0))+0-407.7-0</f>
        <v>1402.8999999999999</v>
      </c>
      <c r="V259" s="3">
        <f>1889+(313.3-502.7)+(-0.96339+(-0.159783--0.256377))+0-400.5--0.204254999999959</f>
        <v>1298.4374589999998</v>
      </c>
      <c r="W259" s="3">
        <f>2219.5+(638.9-975.6)+(3.395835+(0.977517-1.492668))+0-401.1-0.613683000000023</f>
        <v>1483.967001</v>
      </c>
      <c r="X259" s="3">
        <f>2269+(950.1-1142.3)+(-4.62876+(-1.938204--2.330292))+0-400.9--0.817835999999982</f>
        <v>1672.481164</v>
      </c>
      <c r="Y259" s="3">
        <f>2270.1+(860.2-972.5)+(-5.788755+(-2.19351--2.479875))+0-405.5--1.03402499999994</f>
        <v>1747.831635</v>
      </c>
      <c r="Z259" s="3">
        <f>2269.8+(559.6-760.4)+(0+(0-0))+0-410.9-0</f>
        <v>1658.1</v>
      </c>
      <c r="AA259" s="3">
        <f>2243.3+(487.2-687.2)+(-5.720415+(-1.24236--1.75236))+0-422.5--1.07737499999994</f>
        <v>1616.66696</v>
      </c>
      <c r="AB259" s="3">
        <f>2077.2+(407-593.9)+(-2.118744+(-0.41514--0.605778))+0-410.2--0.418404000000065</f>
        <v>1478.5902979999996</v>
      </c>
      <c r="AC259" s="3">
        <f>1756.8+(444.2-446.1)+(-4.47984+(-1.13271--1.137555))+0-410.8--1.04753999999994</f>
        <v>1340.6725449999999</v>
      </c>
      <c r="AD259">
        <f t="shared" si="4"/>
        <v>32100.028728999998</v>
      </c>
      <c r="AE259" s="3">
        <f>2269+(755.8-1102.4)+(0+(0-0))+0-399.3-0</f>
        <v>1523.1</v>
      </c>
    </row>
    <row r="260" spans="1:31" s="2" customFormat="1" x14ac:dyDescent="0.25">
      <c r="A260">
        <v>89</v>
      </c>
      <c r="B260">
        <v>9</v>
      </c>
      <c r="C260">
        <v>14</v>
      </c>
      <c r="D260">
        <v>2</v>
      </c>
      <c r="E260">
        <v>1</v>
      </c>
      <c r="F260" s="3">
        <f>1540.3+(576.5-478.6)+(-3.142212+(-1.17606--0.976344))+0-419.7--0.856187999999982</f>
        <v>1216.0142599999997</v>
      </c>
      <c r="G260" s="3">
        <f>1478.9+(704.5-553.7)+(0+(0-0))+0-435.7-0</f>
        <v>1194</v>
      </c>
      <c r="H260" s="3">
        <f>1486.7+(605-547.4)+(-0.758217+(-0.30855--0.279174))+0-436.7--0.222716999999956</f>
        <v>1107.035124</v>
      </c>
      <c r="I260" s="3">
        <f>1487.8+(565.2-516.4)+(0+(0-0))+0-434.6-0</f>
        <v>1102</v>
      </c>
      <c r="J260" s="3">
        <f>1489.3+(606.9-500.7)+(-1.519086+(-0.619038--0.510714))+0-435.5--0.444210000000069</f>
        <v>1158.8168000000001</v>
      </c>
      <c r="K260" s="3">
        <f>1488.4+(653.9-531.5)+(0+(0-0))+0-434.1-0</f>
        <v>1176.7000000000003</v>
      </c>
      <c r="L260" s="3">
        <f>1548+(527.8-478.4)+(-1.57896+(-0.538356--0.487968))+0-438.9--0.44767800000007</f>
        <v>1157.3183300000001</v>
      </c>
      <c r="M260" s="3">
        <f>1618.8+(390.4-328.8)+(-1.651176+(-0.398208--0.335376))+0-439.6--0.44839200000007</f>
        <v>1239.5343839999998</v>
      </c>
      <c r="N260" s="3">
        <f>1629.1+(481.9-354.8)+(0.830841+(0.245769-0.180948))+0-435.5-0.222104999999956</f>
        <v>1321.3735569999997</v>
      </c>
      <c r="O260" s="3">
        <f>1718+(522.7-423.7)+(0.87618+(0.266577-0.216087))+0-426-0.217259999999957</f>
        <v>1391.7094100000002</v>
      </c>
      <c r="P260" s="3">
        <f>1837.8+(497.9-493)+(-0.937278+(-0.253929--0.25143))+0-410.3--0.209252999999958</f>
        <v>1431.6694759999998</v>
      </c>
      <c r="Q260" s="3">
        <f>1845.1+(500.4-498.4)+(-2.823003+(-0.765612--0.762552))+0-414.7--0.634491000000024</f>
        <v>1430.2084279999999</v>
      </c>
      <c r="R260" s="3">
        <f>1897.3+(368.5-494.8)+(-2.902869+(-0.563805--0.757044))+0-420.9--0.643977000000024</f>
        <v>1348.034347</v>
      </c>
      <c r="S260" s="3">
        <f>1889.4+(351.3-498.9)+(-0.963594+(-0.179163--0.254439))+0-438--0.223379999999956</f>
        <v>1303.1350620000001</v>
      </c>
      <c r="T260" s="3">
        <f>1901.9+(354.9-429.8)+(-0.969969+(-0.180999--0.219198))+0-434.2--0.221441999999956</f>
        <v>1392.0896720000001</v>
      </c>
      <c r="U260" s="3">
        <f>1900.1+(334-431.7)+(0+(0-0))+0-416.1-0</f>
        <v>1386.2999999999997</v>
      </c>
      <c r="V260" s="3">
        <f>2094.4+(597.3-632.1)+(-5.34072+(-1.523115--1.611855))+0-414--1.05569999999994</f>
        <v>1641.4037199999998</v>
      </c>
      <c r="W260" s="3">
        <f>2246.4+(993.9-1320.1)+(0+(0-0))+0-402.2-0</f>
        <v>1518.0000000000002</v>
      </c>
      <c r="X260" s="3">
        <f>2272+(1302.7-1486.8)+(-5.7936+(-3.321885--3.79134))+0-401.6--1.02407999999994</f>
        <v>1681.9999350000001</v>
      </c>
      <c r="Y260" s="3">
        <f>2241+(1152.9-1247.9)+(-2.28582+(-1.175958--1.272858))+0-402--0.410040000000064</f>
        <v>1742.2211199999999</v>
      </c>
      <c r="Z260" s="3">
        <f>2229.2+(1034-1277.5)+(-5.68446+(-2.6367--3.257625))+0-404.2--1.03070999999994</f>
        <v>1577.4671749999998</v>
      </c>
      <c r="AA260" s="3">
        <f>1984.2+(1206.6-1372.8)+(-2.023884+(-1.230732--1.400256))+0-402.4--0.410448000000064</f>
        <v>1414.1560880000002</v>
      </c>
      <c r="AB260" s="3">
        <f>1829.8+(1030.2-986.4)+(-4.66599+(-2.62701--2.51532))+0-403--1.02764999999994</f>
        <v>1466.84997</v>
      </c>
      <c r="AC260" s="3">
        <f>1667.8+(970.4-732.3)+(-1.701156+(-0.989808--0.746946))+0-423.5--0.431970000000068</f>
        <v>1480.8879520000003</v>
      </c>
      <c r="AD260">
        <f t="shared" si="4"/>
        <v>32878.924809999997</v>
      </c>
      <c r="AE260" s="3">
        <f>2274+(1065.5-1357.8)+(0+(0-0))+0-403-0</f>
        <v>1578.7</v>
      </c>
    </row>
    <row r="261" spans="1:31" s="2" customFormat="1" x14ac:dyDescent="0.25">
      <c r="A261">
        <v>89</v>
      </c>
      <c r="B261">
        <v>9</v>
      </c>
      <c r="C261">
        <v>15</v>
      </c>
      <c r="D261">
        <v>3</v>
      </c>
      <c r="E261">
        <v>1</v>
      </c>
      <c r="F261" s="3">
        <f>1603.1+(845.6-741)+(-2.452743+(-1.293768--1.13373))+0-437--0.668610000000025</f>
        <v>1268.7558289999997</v>
      </c>
      <c r="G261" s="3">
        <f>1527.2+(676.5-640.8)+(-1.557744+(-0.69003--0.653616))+0-435.9--0.444618000000069</f>
        <v>1125.8504600000001</v>
      </c>
      <c r="H261" s="3">
        <f>1500.4+(678.8-539.4)+(-2.295612+(-1.038564--0.825282))+0-437.9--0.669987000000025</f>
        <v>1200.061093</v>
      </c>
      <c r="I261" s="3">
        <f>1500+(651.8-562.4)+(-2.295+(-0.997254--0.860472))+0-433.1--0.662643000000025</f>
        <v>1154.5308610000002</v>
      </c>
      <c r="J261" s="3">
        <f>1513.9+(594.5-562.1)+(-0.772089+(-0.303195--0.286671))+0-441--0.224909999999955</f>
        <v>1104.7362970000001</v>
      </c>
      <c r="K261" s="3">
        <f>1544.7+(600.3-527.9)+(0+(0-0))+0-432.4-0</f>
        <v>1184.6999999999998</v>
      </c>
      <c r="L261" s="3">
        <f>1591.8+(537.3-504.7)+(-0.811818+(-0.274023--0.257397))+0-414.3--0.211292999999958</f>
        <v>1209.482849</v>
      </c>
      <c r="M261" s="3">
        <f>1685+(320.5-413.3)+(0+(0-0))+0-404.6-0</f>
        <v>1187.5999999999999</v>
      </c>
      <c r="N261" s="3">
        <f>1722.2+(450.6-441.6)+(0+(0-0))+0-401-0</f>
        <v>1330.2</v>
      </c>
      <c r="O261" s="3">
        <f>1841.7+(831-785.5)+(2.817801+(1.27143-1.201815))+0-401-0.613530000000023</f>
        <v>1488.473886</v>
      </c>
      <c r="P261" s="3">
        <f>1905.3+(917.3-1029.6)+(-1.943406+(-0.935646--1.050192))+0-373--0.380460000000059</f>
        <v>1418.5516</v>
      </c>
      <c r="Q261" s="3">
        <f>1897.3+(932.8-994.8)+(-2.902869+(-1.427184--1.522044))+0-374.4--0.572832000000022</f>
        <v>1458.6648229999998</v>
      </c>
      <c r="R261" s="3">
        <f>1902.4+(575.5-676.3)+(-6.791568+(-2.054535--2.414391))+0-382.8--1.36659600000001</f>
        <v>1413.7348840000002</v>
      </c>
      <c r="S261" s="3">
        <f>1908.1+(619-767.7)+(-0.973131+(-0.31569--0.391527))+0-381.9--0.194768999999961</f>
        <v>1376.7974749999996</v>
      </c>
      <c r="T261" s="3">
        <f>1904.5+(795.5-920.1)+(-2.913885+(-1.217115--1.407753))+0-395.2--0.604656000000023</f>
        <v>1382.5814090000001</v>
      </c>
      <c r="U261" s="3">
        <f>1919.7+(707.6-796.9)+(-2.937141+(-1.082628--1.219257))+0-398.6--0.609858000000023</f>
        <v>1429.609346</v>
      </c>
      <c r="V261" s="3">
        <f>2025.2+(974.5-1173.7)+(-3.098556+(-1.490985--1.795761))+0-404.6--0.619038000000023</f>
        <v>1419.2252580000002</v>
      </c>
      <c r="W261" s="3">
        <f>2255.4+(1470.7-1723.8)+(1.150254+(0.750057-0.879138))+0-404.1-0.206090999999959</f>
        <v>1599.0150820000003</v>
      </c>
      <c r="X261" s="3">
        <f>2254+(1521-1669)+(-2.29908+(-1.55142--1.70238))+0-401.4--0.409428000000064</f>
        <v>1702.8613080000002</v>
      </c>
      <c r="Y261" s="3">
        <f>2247.7+(1363.1-1508.2)+(-8.024289+(-4.866267--5.384274))+0-394.5--1.40836500000001</f>
        <v>1702.0020829999996</v>
      </c>
      <c r="Z261" s="3">
        <f>2251.9+(1394.1-1628.6)+(-3.445407+(-2.132973--2.491758))+0-393.8--0.602514000000023</f>
        <v>1621.115892</v>
      </c>
      <c r="AA261" s="3">
        <f>2251+(1237.3-1465.9)+(-3.44403+(-1.893069--2.242827))+0-396.4--0.606492000000023</f>
        <v>1623.5122199999998</v>
      </c>
      <c r="AB261" s="3">
        <f>2178+(1041.4-1233.5)+(-4.44312+(-2.124456--2.51634))+0-401.7--0.819467999999982</f>
        <v>1580.9682319999999</v>
      </c>
      <c r="AC261" s="3">
        <f>1908.8+(840.6-943.6)+(-5.840928+(-2.572236--2.887416))+0-409.3--1.25245800000005</f>
        <v>1392.2267100000001</v>
      </c>
      <c r="AD261">
        <f t="shared" si="4"/>
        <v>33375.257597000003</v>
      </c>
      <c r="AE261" s="3">
        <f>2256+(1428.5-1846.3)+(0+(0-0))+0-403.9-0</f>
        <v>1434.3000000000002</v>
      </c>
    </row>
    <row r="262" spans="1:31" s="2" customFormat="1" x14ac:dyDescent="0.25">
      <c r="A262">
        <v>89</v>
      </c>
      <c r="B262">
        <v>9</v>
      </c>
      <c r="C262">
        <v>16</v>
      </c>
      <c r="D262">
        <v>4</v>
      </c>
      <c r="E262">
        <v>1</v>
      </c>
      <c r="F262" s="3">
        <f>1645.2+(814.3-790.7)+(-2.517156+(-1.245879--1.209771))+0-429.4--0.656982000000025</f>
        <v>1237.5037179999999</v>
      </c>
      <c r="G262" s="3">
        <f>1581.3+(630-619.6)+(-1.612926+(-0.6426--0.631992))+0-427.4--0.435948000000068</f>
        <v>1163.1124139999999</v>
      </c>
      <c r="H262" s="3">
        <f>1564.8+(603.1-550)+(0+(0-0))+0-435.7-0</f>
        <v>1182.2</v>
      </c>
      <c r="I262" s="3">
        <f>1490.8+(618.5-507.5)+(-1.520616+(-0.63087--0.51765))+0-429.9--0.438498000000069</f>
        <v>1170.7046620000001</v>
      </c>
      <c r="J262" s="3">
        <f>1492.1+(655.8-572)+(-1.521942+(-0.668916--0.58344))+0-436.5--0.44523000000007</f>
        <v>1138.2378119999998</v>
      </c>
      <c r="K262" s="3">
        <f>1490.4+(600.7-493)+(-0.760104+(-0.306357--0.25143))+0-426.9--0.217718999999957</f>
        <v>1170.6026880000002</v>
      </c>
      <c r="L262" s="3">
        <f>1578.1+(557.8-495.9)+(-2.414493+(-0.853434--0.758727))+0-435.5--0.666315000000025</f>
        <v>1202.657115</v>
      </c>
      <c r="M262" s="3">
        <f>1623.2+(482-416.2)+(0+(0-0))+0-440.7-0</f>
        <v>1248.3</v>
      </c>
      <c r="N262" s="3">
        <f>1680.9+(641.5-553.4)+(-2.571777+(-0.981495--0.846702))+0-415--0.634950000000024</f>
        <v>1351.9283800000001</v>
      </c>
      <c r="O262" s="3">
        <f>1808.1+(678.1-716.7)+(2.766393+(1.037493-1.096551))+0-424.5-0.649485000000025</f>
        <v>1347.0578500000001</v>
      </c>
      <c r="P262" s="3">
        <f>1900.4+(800.8-823.9)+(-2.907612+(-1.225224--1.260567))+0-402.4--0.615672000000023</f>
        <v>1472.6434030000003</v>
      </c>
      <c r="Q262" s="3">
        <f>1899.8+(792.8-792.7)+(-1.937796+(-0.808656--0.808554))+0-416.3--0.424626000000066</f>
        <v>1482.086728</v>
      </c>
      <c r="R262" s="3">
        <f>1899.1+(571.9-678.1)+(-1.937082+(-0.583338--0.691662))+0-423.8--0.432276000000068</f>
        <v>1367.7035179999998</v>
      </c>
      <c r="S262" s="3">
        <f>1899.2+(518.1-608)+(-0.968592+(-0.264231--0.31008))+0-415.9--0.212108999999958</f>
        <v>1392.6893660000001</v>
      </c>
      <c r="T262" s="3">
        <f>1901.3+(551.2-685.1)+(0.969663+(0.281112-0.349401))+0-426-0.217259999999957</f>
        <v>1342.0841140000002</v>
      </c>
      <c r="U262" s="3">
        <f>1904.5+(722.9-823.4)+(0.971295+(0.368679-0.419934))+0-425.1-0.216800999999957</f>
        <v>1379.603239</v>
      </c>
      <c r="V262" s="3">
        <f>2071.4+(844.1-1030.5)+(-5.28207+(-2.152455--2.627775))+0-423--1.07864999999994</f>
        <v>1458.2719</v>
      </c>
      <c r="W262" s="3">
        <f>2252.3+(1193.7-1417.2)+(0+(0-0))+0-429.5-0</f>
        <v>1599.3000000000002</v>
      </c>
      <c r="X262" s="3">
        <f>2250.2+(1296.8-1375.7)+(-6.885612+(-3.968208--4.209642))+0-436--1.33416000000005</f>
        <v>1729.9899819999998</v>
      </c>
      <c r="Y262" s="3">
        <f>2249.5+(1158.5-1288.5)+(-4.58898+(-2.36334--2.62854))+0-407.1--0.830483999999982</f>
        <v>1708.906704</v>
      </c>
      <c r="Z262" s="3">
        <f>2249.6+(912-1094.2)+(-3.441888+(-1.39536--1.674126))+0-422.5--0.646425000000024</f>
        <v>1642.3833029999998</v>
      </c>
      <c r="AA262" s="3">
        <f>2248.3+(747.6-936.2)+(-3.439899+(-1.143828--1.432386))+0-438.2--0.670446000000025</f>
        <v>1619.0191050000005</v>
      </c>
      <c r="AB262" s="3">
        <f>2135.3+(777.1-1003)+(-4.356012+(-1.585284--2.04612))+0-434.2--0.885767999999981</f>
        <v>1472.1905919999999</v>
      </c>
      <c r="AC262" s="3">
        <f>1934+(724-814.4)+(-4.9317+(-1.8462--2.07672))+0-437.3--1.11511499999994</f>
        <v>1402.7139349999998</v>
      </c>
      <c r="AD262">
        <f t="shared" si="4"/>
        <v>33281.890527999989</v>
      </c>
      <c r="AE262" s="3">
        <f>2253+(1397.5-1580.8)+(0+(0-0))+0-448.2-0</f>
        <v>1621.4999999999998</v>
      </c>
    </row>
    <row r="263" spans="1:31" s="2" customFormat="1" x14ac:dyDescent="0.25">
      <c r="A263">
        <v>89</v>
      </c>
      <c r="B263">
        <v>9</v>
      </c>
      <c r="C263">
        <v>17</v>
      </c>
      <c r="D263">
        <v>5</v>
      </c>
      <c r="E263">
        <v>1</v>
      </c>
      <c r="F263" s="3">
        <f>1543+(543.5-472.7)+(-4.72158+(-1.66311--1.446462))+0-437.4--1.33844400000005</f>
        <v>1172.8002160000001</v>
      </c>
      <c r="G263" s="3">
        <f>1435.1+(839.4-696.9)+(-2.927604+(-1.712376--1.421676))+0-438.8--0.895151999999981</f>
        <v>1136.476848</v>
      </c>
      <c r="H263" s="3">
        <f>1430.2+(782.1-632.6)+(-3.64701+(-1.994355--1.61313))+0-437.5--1.11562499999994</f>
        <v>1139.28739</v>
      </c>
      <c r="I263" s="3">
        <f>1429.9+(848.4-650.2)+(0+(0-0))+0-435.1-0</f>
        <v>1193</v>
      </c>
      <c r="J263" s="3">
        <f>1429.9+(613-497.3)+(0.729249+(0.31263-0.253623))+0-433.7-0.221186999999956</f>
        <v>1112.4670690000003</v>
      </c>
      <c r="K263" s="3">
        <f>1429.4+(653.1-457.3)+(-1.457988+(-0.666162--0.466446))+0-433.5--0.442170000000069</f>
        <v>1190.4844660000001</v>
      </c>
      <c r="L263" s="3">
        <f>1429.5+(951.6-722.7)+(0+(0-0))+0-431.5-0</f>
        <v>1226.9000000000001</v>
      </c>
      <c r="M263" s="3">
        <f>1431.4+(928.6-752.2)+(-1.460028+(-0.947172--0.767244))+0-430.8--0.439416000000069</f>
        <v>1175.7994600000004</v>
      </c>
      <c r="N263" s="3">
        <f>1639.2+(634.4-503.8)+(-2.507976+(-0.970632--0.770814))+0-438.2--0.670446000000025</f>
        <v>1329.5626520000001</v>
      </c>
      <c r="O263" s="3">
        <f>1747.5+(665.8-449)+(-1.78245+(-0.679116--0.45798))+0-435.6--0.444312000000069</f>
        <v>1527.1407260000001</v>
      </c>
      <c r="P263" s="3">
        <f>1894.8+(469-437.9)+(-2.899044+(-0.71757--0.669987))+0-432.8--0.662184000000025</f>
        <v>1490.8155570000001</v>
      </c>
      <c r="Q263" s="3">
        <f>1894+(410.7-397.3)+(-2.89782+(-0.628371--0.607869))+0-431.6--0.660348000000025</f>
        <v>1473.5420260000003</v>
      </c>
      <c r="R263" s="3">
        <f>1891.7+(317.2-367.4)+(-4.823835+(-0.80886--0.93687))+0-437.2--1.11485999999994</f>
        <v>1400.7190349999998</v>
      </c>
      <c r="S263" s="3">
        <f>1895.5+(405.6-496.5)+(-1.93341+(-0.413712--0.50643))+0-430.3--0.438906000000069</f>
        <v>1372.8982140000001</v>
      </c>
      <c r="T263" s="3">
        <f>1896.2+(295.8-344.5)+(-1.934124+(-0.301716--0.35139))+0-433.1--0.441762000000069</f>
        <v>1412.9573120000002</v>
      </c>
      <c r="U263" s="3">
        <f>1897.4+(328.5-388.8)+(-1.935348+(-0.33507--0.396576))+0-426--0.434520000000068</f>
        <v>1409.6606780000002</v>
      </c>
      <c r="V263" s="3">
        <f>2108.9+(502.6-701.1)+(-4.302156+(-1.025304--1.430244))+0-432.7--0.882707999999981</f>
        <v>1474.6854920000001</v>
      </c>
      <c r="W263" s="3">
        <f>2252+(1318.2-1446.9)+(-1.14852+(-0.672282--0.737919))+0-435.5--0.222104999999956</f>
        <v>1686.9392220000002</v>
      </c>
      <c r="X263" s="3">
        <f>2251.2+(1212.3-1284.6)+(-3.444336+(-1.854819--1.965438))+0-429.8--0.657594000000025</f>
        <v>1746.4238769999997</v>
      </c>
      <c r="Y263" s="3">
        <f>2248.4+(1136.8-1285)+(-4.586736+(-2.319072--2.6214))+0-435.8--0.889031999999981</f>
        <v>1661.0046239999999</v>
      </c>
      <c r="Z263" s="3">
        <f>2252.6+(1310.5-1500.2)+(1.148826+(0.668355-0.765102))+0-438.4-0.223583999999956</f>
        <v>1625.3284949999997</v>
      </c>
      <c r="AA263" s="3">
        <f>2194.1+(1220.5-1359.5)+(-2.237982+(-1.24491--1.38669))+0-437.7--0.44645400000007</f>
        <v>1615.7502519999998</v>
      </c>
      <c r="AB263" s="3">
        <f>1823.6+(1085.4-982.9)+(-4.65018+(-2.76777--2.506395))+0-442.2--1.12760999999994</f>
        <v>1480.116055</v>
      </c>
      <c r="AC263" s="3">
        <f>1719.4+(815.6-715)+(-1.753788+(-0.831912--0.7293))+0-435.4--0.444108000000069</f>
        <v>1383.1877080000004</v>
      </c>
      <c r="AD263">
        <f t="shared" si="4"/>
        <v>33437.947373999996</v>
      </c>
      <c r="AE263" s="3">
        <f>2251+(1500.2-1565.7)+(0+(0-0))+0-449-0</f>
        <v>1736.5</v>
      </c>
    </row>
    <row r="264" spans="1:31" s="2" customFormat="1" x14ac:dyDescent="0.25">
      <c r="A264">
        <v>89</v>
      </c>
      <c r="B264">
        <v>9</v>
      </c>
      <c r="C264">
        <v>18</v>
      </c>
      <c r="D264">
        <v>6</v>
      </c>
      <c r="E264">
        <v>1</v>
      </c>
      <c r="F264" s="3">
        <f>1518.3+(663.6-475.1)+(0.774333+(0.338436-0.242301))+0-438.2-0.223481999999956</f>
        <v>1269.2469860000001</v>
      </c>
      <c r="G264" s="3">
        <f>1460.8+(582.9-426.5)+(-0.745008+(-0.297279--0.217515))+0-440.1--0.224450999999955</f>
        <v>1176.499679</v>
      </c>
      <c r="H264" s="3">
        <f>1467.1+(535.4-415.5)+(-0.748221+(-0.273054--0.211905))+0-424.2--0.216341999999957</f>
        <v>1162.206972</v>
      </c>
      <c r="I264" s="3">
        <f>1467.9+(592.7-485)+(0+(0-0))+0-422.3-0</f>
        <v>1153.3000000000002</v>
      </c>
      <c r="J264" s="3">
        <f>1468.5+(594.3-461)+(2.246805+(0.909279-0.70533))+0-430.7-0.658971000000025</f>
        <v>1172.8917829999998</v>
      </c>
      <c r="K264" s="3">
        <f>1468.5+(599.2-463.7)+(0.748935+(0.305592-0.236487))+0-423.9-0.216188999999957</f>
        <v>1180.701851</v>
      </c>
      <c r="L264" s="3">
        <f>1513.5+(527.7-448.7)+(-3.08754+(-1.076508--0.915348))+0-427.3--0.871691999999981</f>
        <v>1162.8229919999999</v>
      </c>
      <c r="M264" s="3">
        <f>1566.8+(458-380.6)+(-1.598136+(-0.46716--0.388212))+0-433.6--0.442272000000069</f>
        <v>1209.365188</v>
      </c>
      <c r="N264" s="3">
        <f>1645.4+(462.1-357.9)+(3.356616+(0.942684-0.730116))+0-436.1-0.889643999999981</f>
        <v>1316.1795399999999</v>
      </c>
      <c r="O264" s="3">
        <f>1663.3+(640.4-461.3)+(-0.848283+(-0.326604--0.235263))+0-433.5--0.221084999999956</f>
        <v>1408.1814609999997</v>
      </c>
      <c r="P264" s="3">
        <f>1601.5+(780.3-493.3)+(0.816765+(0.397953-0.251583))+0-424.5-0.216494999999957</f>
        <v>1464.7466400000001</v>
      </c>
      <c r="Q264" s="3">
        <f>1753.1+(636.7-518.3)+(-0.894081+(-0.324717--0.264333))+0-422.3--0.215372999999957</f>
        <v>1448.460908</v>
      </c>
      <c r="R264" s="3">
        <f>1787.1+(457.7-443.1)+(-4.557105+(-1.167135--1.129905))+0-422.4--1.07711999999994</f>
        <v>1375.7827849999999</v>
      </c>
      <c r="S264" s="3">
        <f>1915.3+(368.7-499.2)+(-1.953606+(-0.376074--0.509184))+0-429.7--0.438294000000069</f>
        <v>1353.7177979999999</v>
      </c>
      <c r="T264" s="3">
        <f>1950.2+(337.4-513.6)+(-0.994602+(-0.172074--0.261936))+0-427--0.217769999999957</f>
        <v>1346.31303</v>
      </c>
      <c r="U264" s="3">
        <f>1967.7+(341.8-523.3)+(-2.007054+(-0.348636--0.533766))+0-432--0.440640000000069</f>
        <v>1352.818716</v>
      </c>
      <c r="V264" s="3">
        <f>2118.6+(409-677.3)+(0+(0-0))+0-435-0</f>
        <v>1415.3</v>
      </c>
      <c r="W264" s="3">
        <f>2261.8+(1208.5-1393.9)+(1.153518+(0.616335-0.710889))+0-427.1-0.217820999999957</f>
        <v>1650.1411430000001</v>
      </c>
      <c r="X264" s="3">
        <f>2257.6+(1376-1530.7)+(0+(0-0))+0-440-0</f>
        <v>1662.8999999999996</v>
      </c>
      <c r="Y264" s="3">
        <f>2252.1+(1208.3-1386.2)+(-3.445713+(-1.848699--2.120886))+0-430.5--0.658665000000025</f>
        <v>1641.1851389999997</v>
      </c>
      <c r="Z264" s="3">
        <f>2249.7+(721-977.1)+(-2.294694+(-0.73542--0.996642))+0-438--0.44676000000007</f>
        <v>1554.0132879999999</v>
      </c>
      <c r="AA264" s="3">
        <f>2252.9+(558.6-843.9)+(1.148979+(0.284886-0.430389))+0-434.9-0.221798999999956</f>
        <v>1533.4816770000002</v>
      </c>
      <c r="AB264" s="3">
        <f>2165.1+(320-640.4)+(-5.521005+(-0.816--1.63302))+0-412.4--1.05161999999994</f>
        <v>1428.6476349999996</v>
      </c>
      <c r="AC264" s="3">
        <f>1853.8+(270.5-490.8)+(-7.563504+(-1.10364--2.002464))+0-287--1.17095999999997</f>
        <v>1341.0062799999998</v>
      </c>
      <c r="AD264">
        <f t="shared" si="4"/>
        <v>32779.911491000006</v>
      </c>
      <c r="AE264" s="3">
        <f>2264+(1265-1464.2)+(0+(0-0))+0-405.7-0</f>
        <v>1659.1000000000001</v>
      </c>
    </row>
    <row r="265" spans="1:31" s="2" customFormat="1" x14ac:dyDescent="0.25">
      <c r="A265">
        <v>89</v>
      </c>
      <c r="B265">
        <v>9</v>
      </c>
      <c r="C265">
        <v>19</v>
      </c>
      <c r="D265">
        <v>7</v>
      </c>
      <c r="E265">
        <v>1</v>
      </c>
      <c r="F265" s="3">
        <f>1624.4+(372.4-465.2)+(0+(0-0))+0-339-0</f>
        <v>1192.6000000000001</v>
      </c>
      <c r="G265" s="3">
        <f>1574.9+(383.2-411.6)+(-2.409597+(-0.586296--0.629748))+0-380.2--0.581706000000022</f>
        <v>1164.5155609999999</v>
      </c>
      <c r="H265" s="3">
        <f>1575.6+(555.6-583)+(-1.607112+(-0.566712--0.59466))+0-391.6--0.399432000000062</f>
        <v>1155.4202679999999</v>
      </c>
      <c r="I265" s="3">
        <f>1577.4+(583.7-618.5)+(0.804474+(0.297687-0.315435))+0-403.6-0.205835999999959</f>
        <v>1139.5808900000004</v>
      </c>
      <c r="J265" s="3">
        <f>1572.8+(386.4-429.6)+(-4.01064+(-0.98532--1.09548))+0-404.9--1.03249499999994</f>
        <v>1121.832015</v>
      </c>
      <c r="K265" s="3">
        <f>1575.3+(403.3-425.8)+(0.803403+(0.205683-0.217158))+0-405.4-0.206753999999959</f>
        <v>1147.9851740000001</v>
      </c>
      <c r="L265" s="3">
        <f>1576.1+(299.9-362.5)+(-1.607622+(-0.305898--0.36975))+0-402.9--0.410958000000064</f>
        <v>1109.4671880000003</v>
      </c>
      <c r="M265" s="3">
        <f>1573.1+(246.1-363.3)+(-2.406843+(-0.376533--0.555849))+0-388.3--0.594099000000022</f>
        <v>1065.9665719999998</v>
      </c>
      <c r="N265" s="3">
        <f>1593+(310.6-395.6)+(-1.62486+(-0.316812--0.403512))+0-380.2--0.387804000000061</f>
        <v>1126.6496439999999</v>
      </c>
      <c r="O265" s="3">
        <f>1624+(412.8-415.3)+(-2.48472+(-0.631584--0.635409))+0-379.4--0.580482000000022</f>
        <v>1240.1995870000003</v>
      </c>
      <c r="P265" s="3">
        <f>1599+(499-468.5)+(-3.26196+(-1.01796--0.95574))+0-380--0.775199999999983</f>
        <v>1246.95102</v>
      </c>
      <c r="Q265" s="3">
        <f>1598.7+(561-520.4)+(-1.630674+(-0.57222--0.530808))+0-381.8--0.389436000000061</f>
        <v>1256.2173500000004</v>
      </c>
      <c r="R265" s="3">
        <f>1597.8+(460.3-461.3)+(-2.444634+(-0.704259--0.705789))+0-385.5--0.589815000000022</f>
        <v>1209.4467110000001</v>
      </c>
      <c r="S265" s="3">
        <f>1596.5+(487.7-469.9)+(-3.25686+(-0.994908--0.958596))+0-388.7--0.792947999999983</f>
        <v>1223.099776</v>
      </c>
      <c r="T265" s="3">
        <f>1670.3+(596.2-677.4)+(-1.703706+(-0.608124--0.690948))+0-388.3--0.396066000000062</f>
        <v>1199.575184</v>
      </c>
      <c r="U265" s="3">
        <f>1731.7+(494-650.5)+(0+(0-0))+0-388.6-0</f>
        <v>1186.5999999999999</v>
      </c>
      <c r="V265" s="3">
        <f>1889+(477.6-708.3)+(-4.81695+(-1.21788--1.806165))+0-390.3--0.995264999999943</f>
        <v>1264.7666000000002</v>
      </c>
      <c r="W265" s="3">
        <f>2128.6+(923.2-1133.1)+(1.085586+(0.470832-0.577881))+0-397.1-0.20252099999996</f>
        <v>1522.3760159999999</v>
      </c>
      <c r="X265" s="3">
        <f>2132.2+(1164-1318.1)+(-1.087422+(-0.59364--0.672231))+0-398.7--0.20333699999996</f>
        <v>1578.5945059999997</v>
      </c>
      <c r="Y265" s="3">
        <f>2129.8+(926.4-1129.3)+(-3.258594+(-1.417392--1.727829))+0-383.7--0.587061000000022</f>
        <v>1540.838904</v>
      </c>
      <c r="Z265" s="3">
        <f>2064.4+(777.5-958.8)+(-1.052844+(-0.396525--0.488988))+0-391.2--0.19951199999996</f>
        <v>1491.1391309999999</v>
      </c>
      <c r="AA265" s="3">
        <f>1881.5+(843.2-885.5)+(0+(0-0))+0-389.7-0</f>
        <v>1449.5</v>
      </c>
      <c r="AB265" s="3">
        <f>1803.1+(701.3-735.3)+(-1.839162+(-0.715326--0.750006))+0-395.3--0.403206000000063</f>
        <v>1372.3987239999999</v>
      </c>
      <c r="AC265" s="3">
        <f>1659.5+(495.3-508.6)+(-5.07807+(-1.515618--1.556316))+0-401--1.22706000000005</f>
        <v>1241.389688</v>
      </c>
      <c r="AD265">
        <f t="shared" si="4"/>
        <v>30247.110508999998</v>
      </c>
      <c r="AE265" s="3">
        <f>2124+(1277.5-1411.3)+(0+(0-0))+0-399.7-0</f>
        <v>1590.5</v>
      </c>
    </row>
    <row r="266" spans="1:31" s="2" customFormat="1" x14ac:dyDescent="0.25">
      <c r="A266">
        <v>89</v>
      </c>
      <c r="B266">
        <v>9</v>
      </c>
      <c r="C266">
        <v>20</v>
      </c>
      <c r="D266">
        <v>1</v>
      </c>
      <c r="E266">
        <v>1</v>
      </c>
      <c r="F266" s="3">
        <f>1524.1+(525.3-481)+(-2.331873+(-0.803709--0.73593))+0-402.7--0.616131000000023</f>
        <v>1163.9164789999998</v>
      </c>
      <c r="G266" s="3">
        <f>1446.4+(755.1-691.8)+(2.212992+(1.155303-1.058454))+0-405.9-0.621027000000023</f>
        <v>1105.4888140000005</v>
      </c>
      <c r="H266" s="3">
        <f>1454.3+(766.5-647.9)+(-1.483386+(-0.78183--0.660858))+0-404.4--0.412488000000064</f>
        <v>1167.3081300000001</v>
      </c>
      <c r="I266" s="3">
        <f>1456+(572-523.7)+(0+(0-0))+0-404.7-0</f>
        <v>1099.5999999999999</v>
      </c>
      <c r="J266" s="3">
        <f>1455.5+(589-517.4)+(-0.742305+(-0.30039--0.263874))+0-405.1--0.206600999999959</f>
        <v>1121.4277799999995</v>
      </c>
      <c r="K266" s="3">
        <f>1457.7+(501.3-442)+(3.717135+(1.278315-1.1271))+0-403.5-1.02892499999994</f>
        <v>1116.3394250000001</v>
      </c>
      <c r="L266" s="3">
        <f>1482.8+(465.8-385.5)+(-0.756228+(-0.237558--0.196605))+0-402.9--0.205478999999959</f>
        <v>1159.6082979999999</v>
      </c>
      <c r="M266" s="3">
        <f>1692.2+(340.7-392)+(-0.863022+(-0.173757--0.19992))+0-414.3--0.211292999999958</f>
        <v>1225.9744340000002</v>
      </c>
      <c r="N266" s="3">
        <f>1885.7+(526.9-508.4)+(0+(0-0))+0-434.9-0</f>
        <v>1469.3000000000002</v>
      </c>
      <c r="O266" s="3">
        <f>2004.7+(834.2-883.9)+(-2.044794+(-0.850884--0.901578))+0-436.4--0.44512800000007</f>
        <v>1517.0510280000001</v>
      </c>
      <c r="P266" s="3">
        <f>2083.8+(1184.9-1332.2)+(1.062738+(0.604299-0.679422))+0-415.4-0.211853999999958</f>
        <v>1521.8757610000005</v>
      </c>
      <c r="Q266" s="3">
        <f>2093.5+(1183.8-1354.4)+(-5.338425+(-3.01869--3.45372))+0-413.7--1.05493499999994</f>
        <v>1505.3515399999997</v>
      </c>
      <c r="R266" s="3">
        <f>2101.6+(802.2-1054.7)+(-4.287264+(-1.636488--2.151588))+0-418.6--0.853943999999982</f>
        <v>1427.58178</v>
      </c>
      <c r="S266" s="3">
        <f>2101.5+(497.2-782.3)+(-4.28706+(-1.014288--1.595892))+0-424.1--0.865163999999982</f>
        <v>1389.4597080000001</v>
      </c>
      <c r="T266" s="3">
        <f>2110.6+(554.3-797.4)+(4.305624+(1.130772-1.626696))+0-424.4-0.865775999999981</f>
        <v>1446.0439240000003</v>
      </c>
      <c r="U266" s="3">
        <f>2202.5+(432.8-732.3)+(-5.616375+(-1.10364--1.867365))+0-437.1--1.11460499999994</f>
        <v>1462.1619549999998</v>
      </c>
      <c r="V266" s="3">
        <f>2208.8+(541.8-801.5)+(-3.379464+(-0.828954--1.226295))+0-433.4--0.663102000000025</f>
        <v>1513.380979</v>
      </c>
      <c r="W266" s="3">
        <f>2243.3+(1441.9-1562.3)+(-3.432249+(-2.206107--2.390319))+0-426.3--0.652239000000025</f>
        <v>1694.0042020000008</v>
      </c>
      <c r="X266" s="3">
        <f>2248.4+(1394.8-1409)+(-4.586736+(-2.845392--2.87436))+0-406.5--0.829259999999982</f>
        <v>1823.9714919999997</v>
      </c>
      <c r="Y266" s="3">
        <f>2248.4+(819.4-970)+(-3.440052+(-1.253682--1.4841))+0-426.1--0.651933000000025</f>
        <v>1669.1422990000005</v>
      </c>
      <c r="Z266" s="3">
        <f>2190.8+(597.9-773.4)+(-4.469232+(-1.219716--1.577736))+0-403.6--0.823343999999982</f>
        <v>1608.4121319999999</v>
      </c>
      <c r="AA266" s="3">
        <f>1819.7+(727.9-588.5)+(-2.784141+(-1.113687--0.900405))+0-434.5--0.664785000000025</f>
        <v>1522.2673619999998</v>
      </c>
      <c r="AB266" s="3">
        <f>1762.8+(837.2-724.7)+(-3.596112+(-1.707888--1.478388))+0-437.2--0.891887999999981</f>
        <v>1435.1662759999997</v>
      </c>
      <c r="AC266" s="3">
        <f>1701.4+(865.5-773.3)+(-2.603142+(-1.324215--1.183149))+0-440.1--0.673353000000026</f>
        <v>1351.4291450000001</v>
      </c>
      <c r="AD266">
        <f t="shared" si="4"/>
        <v>33516.262943000002</v>
      </c>
      <c r="AE266" s="3">
        <f>2246+(1600.7-1673.1)+(0+(0-0))+0-428.5-0</f>
        <v>1745.1000000000004</v>
      </c>
    </row>
    <row r="267" spans="1:31" s="2" customFormat="1" x14ac:dyDescent="0.25">
      <c r="A267">
        <v>89</v>
      </c>
      <c r="B267">
        <v>9</v>
      </c>
      <c r="C267">
        <v>21</v>
      </c>
      <c r="D267">
        <v>2</v>
      </c>
      <c r="E267">
        <v>1</v>
      </c>
      <c r="F267" s="3">
        <f>1610.2+(708.6-649.9)+(-4.10601+(-1.80693--1.657245))+0-434.5--1.10797499999994</f>
        <v>1231.2522799999999</v>
      </c>
      <c r="G267" s="3">
        <f>1567.6+(777.5-697.1)+(-0.799476+(-0.396525--0.355521))+0-437.6--0.223175999999956</f>
        <v>1209.7826959999998</v>
      </c>
      <c r="H267" s="3">
        <f>1440.2+(642.7-545.3)+(-2.938008+(-1.311108--1.112412))+0-438.7--0.894947999999981</f>
        <v>1096.658244</v>
      </c>
      <c r="I267" s="3">
        <f>1439.4+(859.4-688.2)+(2.202282+(1.314882-1.052946))+0-442.3-0.676719000000026</f>
        <v>1170.087499</v>
      </c>
      <c r="J267" s="3">
        <f>1441.2+(820.2-674.2)+(3.67506+(2.09151-1.71921))+0-436.7-1.11358499999994</f>
        <v>1153.4337750000002</v>
      </c>
      <c r="K267" s="3">
        <f>1452.9+(783.1-632.8)+(2.222937+(1.198143-0.968184))+0-435.9-0.666927000000025</f>
        <v>1169.0859690000004</v>
      </c>
      <c r="L267" s="3">
        <f>1554.2+(623-522.9)+(-0.792642+(-0.31773--0.266679))+0-435.2--0.221951999999956</f>
        <v>1218.478259</v>
      </c>
      <c r="M267" s="3">
        <f>1663.1+(562.3-509.2)+(-0.848181+(-0.286773--0.259692))+0-435.7--0.222206999999956</f>
        <v>1279.8469449999998</v>
      </c>
      <c r="N267" s="3">
        <f>1760.7+(611-600.6)+(0+(0-0))+0-430.5-0</f>
        <v>1340.6</v>
      </c>
      <c r="O267" s="3">
        <f>1913.8+(777.4-922.8)+(-2.928114+(-1.189422--1.411884))+0-349.3--0.53442900000002</f>
        <v>1416.9287770000001</v>
      </c>
      <c r="P267" s="3">
        <f>2026.7+(848.7-1155.9)+(-1.033617+(-0.432837--0.589509))+0-268.1--0.136730999999973</f>
        <v>1450.6597860000002</v>
      </c>
      <c r="Q267" s="3">
        <f>2177.9+(767.8-1097.5)+(-3.332187+(-1.174734--1.679175))+0-381.1--0.583083000000022</f>
        <v>1464.855337</v>
      </c>
      <c r="R267" s="3">
        <f>2182+(703.4-998.6)+(-8.90256+(-2.869872--4.074288))+0-398--1.62383999999997</f>
        <v>1482.725696</v>
      </c>
      <c r="S267" s="3">
        <f>2190.8+(493-787)+(-1.117308+(-0.25143--0.40137))+0-407.3--0.207722999999959</f>
        <v>1488.7403550000001</v>
      </c>
      <c r="T267" s="3">
        <f>2188.9+(267.6-661.9)+(-3.349017+(-0.409428--1.012707))+0-401.9--0.614907000000023</f>
        <v>1390.5691690000003</v>
      </c>
      <c r="U267" s="3">
        <f>2193.5+(480.1-814.5)+(3.356055+(0.734553-1.246185))+0-420.2-0.642906000000024</f>
        <v>1441.1015169999998</v>
      </c>
      <c r="V267" s="3">
        <f>2192.5+(791.7-1093)+(-5.590875+(-2.018835--2.78715))+0-424.4--1.08221999999994</f>
        <v>1463.0596600000001</v>
      </c>
      <c r="W267" s="3">
        <f>2244+(1289.6-1424.1)+(1.14444+(0.657696-0.726291))+0-401.6-0.204815999999959</f>
        <v>1708.771029</v>
      </c>
      <c r="X267" s="3">
        <f>2242.5+(1144.6-1267.9)+(-3.431025+(-1.751238--1.939887))+0-411.9--0.630207000000024</f>
        <v>1704.6878309999995</v>
      </c>
      <c r="Y267" s="3">
        <f>2195+(1001.8-1117.1)+(-3.35835+(-1.532754--1.709163))+0-423.7--0.648261000000025</f>
        <v>1653.46632</v>
      </c>
      <c r="Z267" s="3">
        <f>2132.1+(797.8-926.9)+(-2.174742+(-0.813756--0.945438))+0-409.1--0.417282000000065</f>
        <v>1592.2742220000002</v>
      </c>
      <c r="AA267" s="3">
        <f>2086.4+(746.7-934.9)+(0+(0-0))+0-398.7-0</f>
        <v>1499.5000000000002</v>
      </c>
      <c r="AB267" s="3">
        <f>1779.2+(884.3-773.1)+(-2.722176+(-1.352979--1.182843))+0-423.3--0.647649000000024</f>
        <v>1464.8553370000002</v>
      </c>
      <c r="AC267" s="3">
        <f>1672.2+(671-575.5)+(-1.705644+(-0.68442--0.58701))+0-428.6--0.437172000000068</f>
        <v>1337.7341180000001</v>
      </c>
      <c r="AD267">
        <f t="shared" si="4"/>
        <v>33429.154820999996</v>
      </c>
      <c r="AE267" s="3">
        <f>2243+(1499.6-1572.2)+(0+(0-0))+0-410.8-0</f>
        <v>1759.5999999999997</v>
      </c>
    </row>
    <row r="268" spans="1:31" s="2" customFormat="1" x14ac:dyDescent="0.25">
      <c r="A268">
        <v>89</v>
      </c>
      <c r="B268">
        <v>9</v>
      </c>
      <c r="C268">
        <v>22</v>
      </c>
      <c r="D268">
        <v>3</v>
      </c>
      <c r="E268">
        <v>1</v>
      </c>
      <c r="F268" s="3">
        <f>1462.2+(820.5-614.5)+(-4.474332+(-2.51073--1.88037))+0-419.3--1.28305800000005</f>
        <v>1245.078366</v>
      </c>
      <c r="G268" s="3">
        <f>1457.5+(549-434.1)+(-5.203275+(-1.95993--1.549737))+0-428.7--1.53045900000001</f>
        <v>1139.6169910000001</v>
      </c>
      <c r="H268" s="3">
        <f>1458.2+(620.3-499.9)+(-2.231046+(-0.949059--0.764847))+0-416.6--0.637398000000024</f>
        <v>1160.2221400000001</v>
      </c>
      <c r="I268" s="3">
        <f>1458.2+(480.6-405)+(0+(0-0))+0-423.2-0</f>
        <v>1110.6000000000001</v>
      </c>
      <c r="J268" s="3">
        <f>1458.5+(423.4-380.8)+(-0.743835+(-0.215934--0.194208))+0-410.5--0.209354999999958</f>
        <v>1090.0437939999999</v>
      </c>
      <c r="K268" s="3">
        <f>1457.4+(484.3-434.3)+(1.486548+(0.493986-0.442986))+0-407.7-0.415854000000065</f>
        <v>1100.821694</v>
      </c>
      <c r="L268" s="3">
        <f>1482+(412-294.1)+(-1.51164+(-0.42024--0.299982))+0-406.4--0.414528000000065</f>
        <v>1192.2826299999999</v>
      </c>
      <c r="M268" s="3">
        <f>1587.4+(308.8-247.9)+(0.809574+(0.157488-0.126429))+0-406.8-0.207467999999959</f>
        <v>1242.1331650000002</v>
      </c>
      <c r="N268" s="3">
        <f>1591.8+(344.6-224.4)+(-1.623636+(-0.351492--0.228888))+0-401.5--0.409530000000064</f>
        <v>1309.1632900000002</v>
      </c>
      <c r="O268" s="3">
        <f>1675.1+(684.1-563.9)+(0+(0-0))+0-407.3-0</f>
        <v>1388</v>
      </c>
      <c r="P268" s="3">
        <f>1685.1+(1016.2-843.9)+(0+(0-0))+0-405.9-0</f>
        <v>1451.5</v>
      </c>
      <c r="Q268" s="3">
        <f>1872.4+(843.4-871.6)+(0+(0-0))+0-396.5-0</f>
        <v>1447.7</v>
      </c>
      <c r="R268" s="3">
        <f>1965.1+(594.7-755.4)+(0+(0-0))+0-381.7-0</f>
        <v>1422.7</v>
      </c>
      <c r="S268" s="3">
        <f>1964.1+(440.2-643.2)+(0+(0-0))+0-406.8-0</f>
        <v>1354.3</v>
      </c>
      <c r="T268" s="3">
        <f>1970.9+(398.7-551.7)+(0+(0-0))+0-407.5-0</f>
        <v>1410.4</v>
      </c>
      <c r="U268" s="3">
        <f>1966.2+(391-587.2)+(0+(0-0))+0-389.8-0</f>
        <v>1380.2</v>
      </c>
      <c r="V268" s="3">
        <f>2109.7+(710.6-904.4)+(0+(0-0))+0-408.7-0</f>
        <v>1507.1999999999998</v>
      </c>
      <c r="W268" s="3">
        <f>2244.4+(1186.8-1396)+(0+(0-0))+0-403.9-0</f>
        <v>1631.3000000000002</v>
      </c>
      <c r="X268" s="3">
        <f>2244.6+(874.7-1089.7)+(0+(0-0))+0-402.2-0</f>
        <v>1627.3999999999999</v>
      </c>
      <c r="Y268" s="3">
        <f>2242.8+(548.4-830.8)+(0+(0-0))+0-403.2-0</f>
        <v>1557.2</v>
      </c>
      <c r="Z268" s="3">
        <f>2153.9+(605.5-806.3)+(0+(0-0))+0-402.2-0</f>
        <v>1550.9</v>
      </c>
      <c r="AA268" s="3">
        <f>2133.8+(508.1-778.1)+(0+(0-0))+0-394.4-0</f>
        <v>1469.4</v>
      </c>
      <c r="AB268" s="3">
        <f>2100.9+(487.9-747.7)+(0+(0-0))+0-402.5-0</f>
        <v>1438.6</v>
      </c>
      <c r="AC268" s="3">
        <f>1895.8+(617.1-691.9)+(0+(0-0))+0-386.1-0</f>
        <v>1434.9</v>
      </c>
      <c r="AD268">
        <f t="shared" si="4"/>
        <v>32661.662070000009</v>
      </c>
      <c r="AE268" s="3">
        <f>2246+(1144.5-1291.3)+(0+(0-0))+0-416.1-0</f>
        <v>1683.1</v>
      </c>
    </row>
    <row r="269" spans="1:31" s="2" customFormat="1" x14ac:dyDescent="0.25">
      <c r="A269">
        <v>89</v>
      </c>
      <c r="B269">
        <v>9</v>
      </c>
      <c r="C269">
        <v>23</v>
      </c>
      <c r="D269">
        <v>4</v>
      </c>
      <c r="E269">
        <v>1</v>
      </c>
      <c r="F269" s="3">
        <f>1714.5+(680.3-652)+(0+(0-0))+0-400.4-0</f>
        <v>1342.4</v>
      </c>
      <c r="G269" s="3">
        <f>1632.5+(531.7-539.8)+(0+(0-0))+0-406.7-0</f>
        <v>1217.7</v>
      </c>
      <c r="H269" s="3">
        <f>1602.6+(374.8-418.2)+(0+(0-0))+0-392.3-0</f>
        <v>1166.8999999999999</v>
      </c>
      <c r="I269" s="3">
        <f>1604.2+(402.6-424.7)+(0+(0-0))+0-410.4-0</f>
        <v>1171.7000000000003</v>
      </c>
      <c r="J269" s="3">
        <f>1601.4+(427.2-450.8)+(0+(0-0))+0-420-0</f>
        <v>1157.8000000000002</v>
      </c>
      <c r="K269" s="3">
        <f>1601.5+(521-520.6)+(0+(0-0))+0-398-0</f>
        <v>1203.9000000000001</v>
      </c>
      <c r="L269" s="3">
        <f>1602.2+(414.1-485.8)+(0+(0-0))+0-384.7-0</f>
        <v>1145.8</v>
      </c>
      <c r="M269" s="3">
        <f>1607.5+(361.2-410.7)+(0+(0-0))+0-396.1-0</f>
        <v>1161.9000000000001</v>
      </c>
      <c r="N269" s="3">
        <f>1627.5+(370.7-306.7)+(0+(0-0))+0-412.9-0</f>
        <v>1278.5999999999999</v>
      </c>
      <c r="O269" s="3">
        <f>1735.3+(311.4-328.3)+(0+(0-0))+0-402.2-0</f>
        <v>1316.1999999999998</v>
      </c>
      <c r="P269" s="3">
        <f>1839.6+(363.7-398.5)+(0+(0-0))+0-413.8-0</f>
        <v>1391</v>
      </c>
      <c r="Q269" s="3">
        <f>2040.4+(253.9-537.4)+(0+(0-0))+0-401.1-0</f>
        <v>1355.8000000000002</v>
      </c>
      <c r="R269" s="3">
        <f>2180.4+(341.6-821.1)+(-5.56002+(-0.87108--2.093805))+0-390.4--0.995519999999943</f>
        <v>1307.1582250000001</v>
      </c>
      <c r="S269" s="3">
        <f>1984.8+(201.3-487.9)+(-1.012248+(-0.102663--0.248829))+0-404.1--0.206090999999959</f>
        <v>1293.4400089999999</v>
      </c>
      <c r="T269" s="3">
        <f>1960.2+(261.8-509.1)+(-2.999106+(-0.400554--0.778923))+0-403.4--0.617202000000023</f>
        <v>1307.4964650000004</v>
      </c>
      <c r="U269" s="3">
        <f>1958.1+(240.4-498.6)+(-4.993155+(-0.61302--1.27143))+0-405.3--1.03351499999994</f>
        <v>1291.2987699999996</v>
      </c>
      <c r="V269" s="3">
        <f>1990.6+(326.6-592)+(-5.07603+(-0.83283--1.5096))+0-398.2--1.01540999999994</f>
        <v>1323.6161499999998</v>
      </c>
      <c r="W269" s="3">
        <f>2246.8+(641-908.8)+(-2.291736+(-0.65382--0.926976))+0-407.5--0.415650000000065</f>
        <v>1569.8970700000004</v>
      </c>
      <c r="X269" s="3">
        <f>2263.6+(676.6-980.3)+(-5.77218+(-1.72533--2.499765))+0-411.1--1.04830499999994</f>
        <v>1544.8505600000001</v>
      </c>
      <c r="Y269" s="3">
        <f>2034.8+(1127-1201.9)+(-1.037748+(-0.57477--0.612969))+0-409.8--0.208997999999958</f>
        <v>1549.3094490000001</v>
      </c>
      <c r="Z269" s="3">
        <f>1765+(1192.1-1101.2)+(-3.6006+(-2.431884--2.246448))+0-417--0.850679999999982</f>
        <v>1435.9646439999999</v>
      </c>
      <c r="AA269" s="3">
        <f>1767.3+(1226-1178.2)+(0+(0-0))+0-411-0</f>
        <v>1404.1</v>
      </c>
      <c r="AB269" s="3">
        <f>1762.1+(989.8-966.2)+(-3.594684+(-2.019192--1.971048))+0-406.6--0.829463999999982</f>
        <v>1376.2866359999998</v>
      </c>
      <c r="AC269" s="3">
        <f>1719.4+(663.5-684.1)+(-0.876894+(-0.338385--0.348891))+0-402.8--0.205427999999959</f>
        <v>1295.3390400000003</v>
      </c>
      <c r="AD269">
        <f t="shared" si="4"/>
        <v>31608.457017999997</v>
      </c>
      <c r="AE269" s="3">
        <f>2260+(681.3-945.2)+(0+(0-0))+0-418.6-0</f>
        <v>1577.5</v>
      </c>
    </row>
    <row r="270" spans="1:31" s="2" customFormat="1" x14ac:dyDescent="0.25">
      <c r="A270">
        <v>89</v>
      </c>
      <c r="B270">
        <v>9</v>
      </c>
      <c r="C270">
        <v>24</v>
      </c>
      <c r="D270">
        <v>5</v>
      </c>
      <c r="E270">
        <v>5</v>
      </c>
      <c r="F270" s="3">
        <f>1642.2+(493.5-506.8)+(-1.675044+(-0.50337--0.516936))+0-401.6--0.409632000000064</f>
        <v>1226.0481540000003</v>
      </c>
      <c r="G270" s="3">
        <f>1541.8+(538.3-543.3)+(1.572636+(0.549066-0.554166))+0-390.5-0.398310000000062</f>
        <v>1147.4692259999999</v>
      </c>
      <c r="H270" s="3">
        <f>1474.6+(591.8-592.9)+(0+(0-0))+0-407-0</f>
        <v>1066.5</v>
      </c>
      <c r="I270" s="3">
        <f>1475.3+(549.1-550.2)+(0.752403+(0.280041-0.280602))+0-401.3-0.204662999999959</f>
        <v>1073.4471789999998</v>
      </c>
      <c r="J270" s="3">
        <f>1474.7+(521-531.1)+(0.752097+(0.26571-0.270861))+0-401.8-0.204917999999959</f>
        <v>1063.342028</v>
      </c>
      <c r="K270" s="3">
        <f>1472.9+(572-568.8)+(-0.751179+(-0.29172--0.290088))+0-415.6--0.211955999999958</f>
        <v>1059.959145</v>
      </c>
      <c r="L270" s="3">
        <f>1473.2+(668.3-663.9)+(-0.751332+(-0.340833--0.338589))+0-411.5--0.209864999999958</f>
        <v>1065.5562889999999</v>
      </c>
      <c r="M270" s="3">
        <f>1470.5+(790.8-867.2)+(-1.49991+(-0.806616--0.884544))+0-420.6--0.429012000000067</f>
        <v>972.50702999999987</v>
      </c>
      <c r="N270" s="3">
        <f>1476.1+(1052.4-1042.2)+(1.505622+(1.073448-1.063044))+0-420.7-0.429114000000067</f>
        <v>1066.6869119999999</v>
      </c>
      <c r="O270" s="3">
        <f>1477.8+(1049.1-1056.4)+(0.753678+(0.535041-0.538764))+0-423.7-0.216086999999957</f>
        <v>1047.3338679999997</v>
      </c>
      <c r="P270" s="3">
        <f>1473.5+(898.7-975.8)+(-3.00594+(-1.833348--1.990632))+0-413.3--0.843131999999982</f>
        <v>981.09447600000021</v>
      </c>
      <c r="Q270" s="3">
        <f>1473.6+(839.5-874.9)+(-3.75768+(-2.140725--2.230995))+0-420.2--1.07150999999994</f>
        <v>1015.4040999999997</v>
      </c>
      <c r="R270" s="3">
        <f>1472.7+(740.8-802.3)+(-1.502154+(-0.755616--0.818346))+0-424.6--0.433092000000068</f>
        <v>985.59366800000021</v>
      </c>
      <c r="S270" s="3">
        <f>1474.1+(692.5-758.3)+(-2.255373+(-1.059525--1.160199))+0-432.3--0.661419000000025</f>
        <v>974.50672000000009</v>
      </c>
      <c r="T270" s="3">
        <f>1471.2+(791-872.9)+(-3.001248+(-1.61364--1.780716))+0-424.2--0.865367999999981</f>
        <v>963.13119600000005</v>
      </c>
      <c r="U270" s="3">
        <f>1473.5+(948.9-983.7)+(-2.254455+(-1.451817--1.505061))+0-423.2--0.647496000000024</f>
        <v>1013.9462849999998</v>
      </c>
      <c r="V270" s="3">
        <f>1549.1+(852-944.4)+(1.580082+(0.86904-0.963288))+0-416.7-0.425034000000066</f>
        <v>1041.0607999999997</v>
      </c>
      <c r="W270" s="3">
        <f>1967.7+(691.3-1000)+(-1.003527+(-0.352563--0.51))+0-421.5--0.214964999999957</f>
        <v>1236.8688749999999</v>
      </c>
      <c r="X270" s="3">
        <f>2008.6+(594.1-820.6)+(-6.146316+(-1.817946--2.511036))+0-421--1.28826000000005</f>
        <v>1356.9350339999999</v>
      </c>
      <c r="Y270" s="3">
        <f>1986.9+(472.3-720.3)+(-4.053276+(-0.963492--1.469412))+0-427--0.871079999999981</f>
        <v>1309.2237239999999</v>
      </c>
      <c r="Z270" s="3">
        <f>1772.4+(571-609.7)+(0.903924+(0.29121-0.310947))+0-422.6-0.215525999999957</f>
        <v>1311.7686610000001</v>
      </c>
      <c r="AA270" s="3">
        <f>1635+(727.1-701)+(-0.83385+(-0.370821--0.35751))+0-389.6--0.19869599999996</f>
        <v>1270.8515349999998</v>
      </c>
      <c r="AB270" s="3">
        <f>1608+(793-753.6)+(-1.64016+(-0.80886--0.768672))+0-382.5--0.390150000000061</f>
        <v>1263.6098019999999</v>
      </c>
      <c r="AC270" s="3">
        <f>1479.4+(760.6-772.4)+(-2.263482+(-1.163718--1.181772))+0-385.5--0.589815000000022</f>
        <v>1080.4443870000002</v>
      </c>
      <c r="AD270">
        <f t="shared" si="4"/>
        <v>26593.289093999996</v>
      </c>
      <c r="AE270" s="3">
        <f>2017+(687.3-937.7)+(0+(0-0))+0-439.8-0</f>
        <v>1326.8</v>
      </c>
    </row>
    <row r="271" spans="1:31" s="2" customFormat="1" x14ac:dyDescent="0.25">
      <c r="A271">
        <v>89</v>
      </c>
      <c r="B271">
        <v>9</v>
      </c>
      <c r="C271">
        <v>25</v>
      </c>
      <c r="D271">
        <v>6</v>
      </c>
      <c r="E271">
        <v>5</v>
      </c>
      <c r="F271" s="3">
        <f>1446.7+(733.4-726.7)+(-2.951268+(-1.496136--1.482468))+0-376.6--0.768263999999984</f>
        <v>1074.6033279999999</v>
      </c>
      <c r="G271" s="3">
        <f>1438.1+(659.4-691.2)+(-2.200293+(-1.008882--1.057536))+0-384--0.587520000000022</f>
        <v>1020.7358809999998</v>
      </c>
      <c r="H271" s="3">
        <f>1441.9+(752.6-796.8)+(-1.470738+(-0.767652--0.812736))+0-388.2--0.395964000000062</f>
        <v>1008.4703100000004</v>
      </c>
      <c r="I271" s="3">
        <f>1440.3+(653.2-724)+(-3.672765+(-1.66566--1.8462))+0-386.8--0.986339999999944</f>
        <v>980.19411500000001</v>
      </c>
      <c r="J271" s="3">
        <f>1439.6+(572.4-649.3)+(-1.468392+(-0.583848--0.662286))+0-387.8--0.395556000000062</f>
        <v>973.90560199999993</v>
      </c>
      <c r="K271" s="3">
        <f>1401.3+(594.5-633.9)+(0+(0-0))+0-379.9-0</f>
        <v>982.00000000000011</v>
      </c>
      <c r="L271" s="3">
        <f>1389.1+(759.1-783.9)+(-2.833764+(-1.548564--1.599156))+0-381.5--0.778259999999983</f>
        <v>980.79508799999996</v>
      </c>
      <c r="M271" s="3">
        <f>1359.2+(940.6-944.9)+(-1.386384+(-0.959412--0.963798))+0-391.7--0.399534000000062</f>
        <v>962.217536</v>
      </c>
      <c r="N271" s="3">
        <f>1291.1+(982.7-925)+(-0.658461+(-0.501177--0.47175))+0-394.3--0.20109299999996</f>
        <v>954.01320500000008</v>
      </c>
      <c r="O271" s="3">
        <f>1295.1+(940.8-905.4)+(1.321002+(0.959616-0.923508))+0-397.5-0.405450000000063</f>
        <v>933.95165999999983</v>
      </c>
      <c r="P271" s="3">
        <f>1306.1+(837.7-897.9)+(-4.662777+(-2.990589--3.205503))+0-367.9--1.31340300000001</f>
        <v>874.86554000000001</v>
      </c>
      <c r="Q271" s="3">
        <f>1299.4+(745.8-791)+(-1.325388+(-0.760716--0.80682))+0-383.4--0.391068000000061</f>
        <v>869.91178400000013</v>
      </c>
      <c r="R271" s="3">
        <f>1292.5+(858.9-876.5)+(0.659175+(0.438039-0.447015))+0-391.1-0.19946099999996</f>
        <v>884.25073800000007</v>
      </c>
      <c r="S271" s="3">
        <f>1301.9+(965.8-946.2)+(-1.327938+(-0.985116--0.965124))+0-396.6--0.404532000000063</f>
        <v>923.95660200000009</v>
      </c>
      <c r="T271" s="3">
        <f>1327.8+(1015.2-1044.4)+(-3.38589+(-2.58876--2.66322))+0-385.7--0.983534999999944</f>
        <v>910.57210499999985</v>
      </c>
      <c r="U271" s="3">
        <f>1349.2+(973.8-1021.7)+(0+(0-0))+0-392.2-0</f>
        <v>909.09999999999991</v>
      </c>
      <c r="V271" s="3">
        <f>1701.7+(786.7-1081.3)+(-2.603601+(-1.203651--1.654389))+0-398.3--0.609399000000023</f>
        <v>1007.2565360000002</v>
      </c>
      <c r="W271" s="3">
        <f>2055.4+(810.6-1233.9)+(-5.24127+(-2.06703--3.146445))+0-402.2--1.02560999999994</f>
        <v>1226.7637549999997</v>
      </c>
      <c r="X271" s="3">
        <f>2231.4+(910.2-1426.1)+(-2.276028+(-0.928404--1.454622))+0-402.8--0.410856000000064</f>
        <v>1311.3610460000002</v>
      </c>
      <c r="Y271" s="3">
        <f>2243.4+(651-1188.7)+(0+(0-0))+0-398.7-0</f>
        <v>1307</v>
      </c>
      <c r="Z271" s="3">
        <f>2114.9+(468-923)+(-3.235797+(-0.71604--1.41219))+0-396.6--0.606798000000023</f>
        <v>1261.3671510000001</v>
      </c>
      <c r="AA271" s="3">
        <f>2001.4+(499.5-782)+(1.020714+(0.254745-0.39882))+0-400.5-0.204254999999959</f>
        <v>1319.0723840000003</v>
      </c>
      <c r="AB271" s="3">
        <f>1892.8+(529-782.2)+(-1.930656+(-0.53958--0.797844))+0-398.4--0.406368000000064</f>
        <v>1239.933976</v>
      </c>
      <c r="AC271" s="3">
        <f>1726.8+(532.9-724.7)+(-1.761336+(-0.543558--0.739194))+0-393.3--0.401166000000063</f>
        <v>1140.535466</v>
      </c>
      <c r="AD271">
        <f t="shared" si="4"/>
        <v>25056.833808000003</v>
      </c>
      <c r="AE271" s="3">
        <f>2243+(1043.9-1526.1)+(0+(0-0))+0-405.9-0</f>
        <v>1354.9</v>
      </c>
    </row>
    <row r="272" spans="1:31" s="2" customFormat="1" x14ac:dyDescent="0.25">
      <c r="A272">
        <v>89</v>
      </c>
      <c r="B272">
        <v>9</v>
      </c>
      <c r="C272">
        <v>26</v>
      </c>
      <c r="D272">
        <v>7</v>
      </c>
      <c r="E272">
        <v>1</v>
      </c>
      <c r="F272" s="3">
        <f>1518.6+(728.8-759.3)+(-2.323458+(-1.115064--1.161729))+0-397.5--0.608175000000023</f>
        <v>1088.931382</v>
      </c>
      <c r="G272" s="3">
        <f>1470.4+(714.9-771.3)+(0+(0-0))+0-402.3-0</f>
        <v>1011.7</v>
      </c>
      <c r="H272" s="3">
        <f>1469.9+(659.9-746.2)+(-5.247543+(-2.355843--2.663934))+0-395.5--1.41193500000001</f>
        <v>984.57248299999981</v>
      </c>
      <c r="I272" s="3">
        <f>1471.3+(680.5-761.1)+(0+(0-0))+0-397.6-0</f>
        <v>993.0999999999998</v>
      </c>
      <c r="J272" s="3">
        <f>1470.9+(743.8-816.8)+(0+(0-0))+0-403.3-0</f>
        <v>994.60000000000014</v>
      </c>
      <c r="K272" s="3">
        <f>1473.7+(778.1-848.3)+(2.254761+(1.190493-1.297899))+0-397.8-0.608634000000023</f>
        <v>1007.2387210000001</v>
      </c>
      <c r="L272" s="3">
        <f>1471.6+(940.8-1010.9)+(-2.251548+(-1.439424--1.546677))+0-383.1--0.586143000000022</f>
        <v>1016.8418479999999</v>
      </c>
      <c r="M272" s="3">
        <f>1470.6+(1100.8-1176.9)+(-2.250018+(-1.684224--1.800657))+0-400.3--0.612459000000023</f>
        <v>992.67887399999984</v>
      </c>
      <c r="N272" s="3">
        <f>1493.4+(1084.7-1163)+(0+(0-0))+0-401.8-0</f>
        <v>1013.3000000000002</v>
      </c>
      <c r="O272" s="3">
        <f>1573.7+(848-920.6)+(0.802587+(0.43248-0.469506))+0-392.5-0.20017499999996</f>
        <v>1109.1653859999999</v>
      </c>
      <c r="P272" s="3">
        <f>1651.6+(846-978.4)+(-4.21158+(-2.1573--2.49492))+0-396.2--1.01030999999994</f>
        <v>1120.1363499999998</v>
      </c>
      <c r="Q272" s="3">
        <f>1735+(808.1-981.1)+(-1.7697+(-0.824262--1.000722))+0-397.4--0.405348000000063</f>
        <v>1163.4121080000002</v>
      </c>
      <c r="R272" s="3">
        <f>1772.6+(665-925.2)+(-0.904026+(-0.33915--0.471852))+0-393.7--0.20078699999996</f>
        <v>1118.1294629999998</v>
      </c>
      <c r="S272" s="3">
        <f>1772+(651.4-883.9)+(-2.71116+(-0.996642--1.352367))+0-390.9--0.598077000000023</f>
        <v>1146.8426420000001</v>
      </c>
      <c r="T272" s="3">
        <f>1770.4+(728-987.6)+(-2.708712+(-1.11384--1.511028))+0-388.7--0.594711000000022</f>
        <v>1120.3831870000001</v>
      </c>
      <c r="U272" s="3">
        <f>1771.7+(788.7-1024.7)+(-2.710701+(-1.206711--1.567791))+0-390.7--0.597771000000023</f>
        <v>1143.2481499999999</v>
      </c>
      <c r="V272" s="3">
        <f>1925.8+(848.2-1165)+(-2.946474+(-1.297746--1.78245))+0-395.5--0.605115000000023</f>
        <v>1211.6433450000002</v>
      </c>
      <c r="W272" s="3">
        <f>2228.7+(581-1002.2)+(-1.136637+(-0.29631--0.511122))+0-390.7--0.19925699999996</f>
        <v>1416.0774319999998</v>
      </c>
      <c r="X272" s="3">
        <f>2238.8+(496.7-870.1)+(-4.567152+(-1.013268--1.775004))+0-381.7--0.778667999999983</f>
        <v>1480.673252</v>
      </c>
      <c r="Y272" s="3">
        <f>2240.5+(511.5-902.9)+(-3.427965+(-0.782595--1.381437))+0-380.6--0.582318000000022</f>
        <v>1466.253195</v>
      </c>
      <c r="Z272" s="3">
        <f>2238.1+(502.4-949.8)+(-4.565724+(-1.024896--1.937592))+0-385--0.785399999999983</f>
        <v>1402.8323719999999</v>
      </c>
      <c r="AA272" s="3">
        <f>2054.6+(556.3-824.5)+(-2.095692+(-0.567426--0.84099))+0-387.6--0.395352000000062</f>
        <v>1397.3732239999999</v>
      </c>
      <c r="AB272" s="3">
        <f>1791.9+(620.1-601.4)+(-4.569345+(-1.581255--1.53357))+0-388--0.989399999999944</f>
        <v>1418.97237</v>
      </c>
      <c r="AC272" s="3">
        <f>1616.7+(609.1-616.4)+(-2.473551+(-0.931923--0.943092))+0-394.9--0.604197000000023</f>
        <v>1212.6418150000004</v>
      </c>
      <c r="AD272">
        <f t="shared" si="4"/>
        <v>28030.747598999998</v>
      </c>
      <c r="AE272" s="3">
        <f>2236+(480-823)+(0+(0-0))+0-383.1-0</f>
        <v>1509.9</v>
      </c>
    </row>
    <row r="273" spans="1:31" s="2" customFormat="1" x14ac:dyDescent="0.25">
      <c r="A273">
        <v>89</v>
      </c>
      <c r="B273">
        <v>9</v>
      </c>
      <c r="C273">
        <v>27</v>
      </c>
      <c r="D273">
        <v>1</v>
      </c>
      <c r="E273">
        <v>1</v>
      </c>
      <c r="F273" s="3">
        <f>1522.4+(597-516.6)+(-2.329272+(-0.91341--0.790398))+0-396--0.605880000000023</f>
        <v>1204.9535960000003</v>
      </c>
      <c r="G273" s="3">
        <f>1490.1+(696.4-646.4)+(-3.799755+(-1.77582--1.64832))+0-399--1.01744999999994</f>
        <v>1138.1901949999999</v>
      </c>
      <c r="H273" s="3">
        <f>1490.7+(724.3-795.4)+(-1.520514+(-0.738786--0.811308))+0-400.7--0.408714000000064</f>
        <v>1017.8607219999998</v>
      </c>
      <c r="I273" s="3">
        <f>1490.7+(615.4-672.4)+(-1.520514+(-0.627708--0.685848))+0-402.8--0.410856000000064</f>
        <v>1029.8484820000001</v>
      </c>
      <c r="J273" s="3">
        <f>1492.1+(741.7-811.7)+(0+(0-0))+0-401.5-0</f>
        <v>1020.5999999999999</v>
      </c>
      <c r="K273" s="3">
        <f>1492.1+(822.5-877.7)+(-1.521942+(-0.83895--0.895254))+0-400.4--0.408408000000064</f>
        <v>1035.4427699999999</v>
      </c>
      <c r="L273" s="3">
        <f>1557.8+(930.6-1009.4)+(0+(0-0))+0-400.8-0</f>
        <v>1078.2</v>
      </c>
      <c r="M273" s="3">
        <f>1622.4+(1028.5-1123.6)+(0+(0-0))+0-388.8-0</f>
        <v>1138.5000000000002</v>
      </c>
      <c r="N273" s="3">
        <f>1714.8+(930.5-1005.1)+(0+(0-0))+0-368.7-0</f>
        <v>1271.4999999999998</v>
      </c>
      <c r="O273" s="3">
        <f>1812.9+(565.6-605.6)+(0+(0-0))+0-382.1-0</f>
        <v>1390.8000000000002</v>
      </c>
      <c r="P273" s="3">
        <f>1965.1+(440.5-648.3)+(0+(0-0))+0-381.4-0</f>
        <v>1375.9</v>
      </c>
      <c r="Q273" s="3">
        <f>1968.1+(433.2-637.8)+(0+(0-0))+0-364.1-0</f>
        <v>1399.4</v>
      </c>
      <c r="R273" s="3">
        <f>1964.3+(409-648.7)+(-1.001793+(-0.20859--0.330837))+0-360.2--0.183701999999963</f>
        <v>1363.704156</v>
      </c>
      <c r="S273" s="3">
        <f>1963.1+(528.4-802.1)+(-1.001181+(-0.269484--0.409071))+0-380.6--0.194105999999961</f>
        <v>1308.1325119999997</v>
      </c>
      <c r="T273" s="3">
        <f>1965.9+(433.7-676.4)+(0+(0-0))+0-389.2-0</f>
        <v>1334</v>
      </c>
      <c r="U273" s="3">
        <f>1974.2+(333.1-572.3)+(3.020526+(0.509643-0.875619))+0-393.6-0.602208000000023</f>
        <v>1343.4523419999998</v>
      </c>
      <c r="V273" s="3">
        <f>2181.1+(273.2-721.6)+(2.224722+(0.278664-0.736032))+0-391.6-0.399432000000062</f>
        <v>1342.4679219999998</v>
      </c>
      <c r="W273" s="3">
        <f>2257.7+(930.5-1191.1)+(0+(0-0))+0-400.5-0</f>
        <v>1596.6</v>
      </c>
      <c r="X273" s="3">
        <f>2251.7+(963.2-1144)+(-1.148367+(-0.491232--0.58344))+0-400.2--0.204101999999959</f>
        <v>1669.8479429999993</v>
      </c>
      <c r="Y273" s="3">
        <f>2242+(821.3-979.7)+(-5.7171+(-2.094315--2.498235))+0-397--1.01234999999994</f>
        <v>1682.2991699999998</v>
      </c>
      <c r="Z273" s="3">
        <f>2087.3+(587.1-763.1)+(1.064523+(0.299421-0.389181))+0-390.1-0.19895099999996</f>
        <v>1521.9758120000001</v>
      </c>
      <c r="AA273" s="3">
        <f>2015.4+(635.6-684)+(-1.027854+(-0.324156--0.34884))+0-397.4--0.20267399999996</f>
        <v>1568.7995039999998</v>
      </c>
      <c r="AB273" s="3">
        <f>1735.7+(674.6-590.6)+(-1.770414+(-0.688092--0.602412))+0-409.8--0.417996000000065</f>
        <v>1408.4619020000002</v>
      </c>
      <c r="AC273" s="3">
        <f>1621.7+(682.5-565)+(-0.827067+(-0.348075--0.28815))+0-423.9--0.216188999999957</f>
        <v>1314.629197</v>
      </c>
      <c r="AD273">
        <f t="shared" si="4"/>
        <v>31555.566224999995</v>
      </c>
      <c r="AE273" s="3">
        <f>2262+(1057.7-1231)+(0+(0-0))+0-400.1-0</f>
        <v>1688.6</v>
      </c>
    </row>
    <row r="274" spans="1:31" s="2" customFormat="1" x14ac:dyDescent="0.25">
      <c r="A274">
        <v>89</v>
      </c>
      <c r="B274">
        <v>9</v>
      </c>
      <c r="C274">
        <v>28</v>
      </c>
      <c r="D274">
        <v>2</v>
      </c>
      <c r="E274">
        <v>1</v>
      </c>
      <c r="F274" s="3">
        <f>1523.3+(748-639.4)+(0+(0-0))+0-425.2-0</f>
        <v>1206.7</v>
      </c>
      <c r="G274" s="3">
        <f>1469.8+(693.9-615.7)+(-2.248794+(-1.061667--0.942021))+0-424.4--0.649332000000024</f>
        <v>1121.8808920000001</v>
      </c>
      <c r="H274" s="3">
        <f>1468.2+(712.6-605.3)+(-2.246346+(-1.090278--0.926109))+0-414.8--0.634644000000024</f>
        <v>1158.924129</v>
      </c>
      <c r="I274" s="3">
        <f>1468.9+(672.3-595.6)+(0+(0-0))+0-427.2-0</f>
        <v>1118.3999999999999</v>
      </c>
      <c r="J274" s="3">
        <f>1470.3+(618.5-581.8)+(0+(0-0))+0-423.7-0</f>
        <v>1083.3</v>
      </c>
      <c r="K274" s="3">
        <f>1468+(743.7-627.2)+(-2.24604+(-1.137861--0.959616))+0-423.7--0.648261000000025</f>
        <v>1159.0239759999999</v>
      </c>
      <c r="L274" s="3">
        <f>1469.1+(787.3-671.5)+(0+(0-0))+0-428.5-0</f>
        <v>1156.3999999999999</v>
      </c>
      <c r="M274" s="3">
        <f>1518.9+(686.4-623.9)+(0+(0-0))+0-420.3-0</f>
        <v>1161.1000000000001</v>
      </c>
      <c r="N274" s="3">
        <f>1689.3+(636.6-668.9)+(-0.861543+(-0.324666--0.341139))+0-406.2--0.207161999999959</f>
        <v>1250.1620919999998</v>
      </c>
      <c r="O274" s="3">
        <f>1835.4+(561.8-673.5)+(0+(0-0))+0-420.3-0</f>
        <v>1303.4000000000001</v>
      </c>
      <c r="P274" s="3">
        <f>1902.4+(393.8-561.7)+(0+(0-0))+0-431.2-0</f>
        <v>1303.3</v>
      </c>
      <c r="Q274" s="3">
        <f>1952.8+(583.5-707.2)+(-3.983712+(-1.19034--1.442688))+0-429.9--0.876995999999981</f>
        <v>1396.345632</v>
      </c>
      <c r="R274" s="3">
        <f>1958.2+(532.5-714.3)+(-2.996046+(-0.814725--1.092879))+0-429.2--0.656676000000025</f>
        <v>1345.1387840000002</v>
      </c>
      <c r="S274" s="3">
        <f>1961.9+(332.3-560)+(-2.001138+(-0.338946--0.5712))+0-434.1--0.442782000000069</f>
        <v>1298.7738979999999</v>
      </c>
      <c r="T274" s="3">
        <f>1961.5+(345.5-570.5)+(-2.00073+(-0.35241--0.58191))+0-429.8--0.438396000000069</f>
        <v>1305.367166</v>
      </c>
      <c r="U274" s="3">
        <f>1958.9+(419.2-590)+(-1.998078+(-0.427584--0.6018))+0-425.1--0.433602000000068</f>
        <v>1361.6097400000003</v>
      </c>
      <c r="V274" s="3">
        <f>1988+(323.5-642.7)+(0+(0-0))+0-405-0</f>
        <v>1263.8</v>
      </c>
      <c r="W274" s="3">
        <f>2215.6+(817.2-1119.9)+(-1.129956+(-0.416772--0.571149))+0-407.9--0.208028999999959</f>
        <v>1504.23245</v>
      </c>
      <c r="X274" s="3">
        <f>2240.9+(742.7-952.5)+(-3.428577+(-1.136331--1.457325))+0-418.1--0.639693000000024</f>
        <v>1610.5321100000001</v>
      </c>
      <c r="Y274" s="3">
        <f>2244.4+(826.2-1113.9)+(-3.433932+(-1.264086--1.704267))+0-427.6--0.654228000000025</f>
        <v>1526.760477</v>
      </c>
      <c r="Z274" s="3">
        <f>2169.2+(988.9-1149.5)+(-1.106292+(-0.504339--0.586245))+0-435.6--0.222155999999956</f>
        <v>1572.19777</v>
      </c>
      <c r="AA274" s="3">
        <f>2064.2+(841.7-937)+(-3.158226+(-1.287801--1.43361))+0-427.4--0.653922000000025</f>
        <v>1539.1415050000001</v>
      </c>
      <c r="AB274" s="3">
        <f>1963.5+(584.7-656.1)+(-3.004155+(-0.894591--1.003833))+0-431.2--0.659736000000025</f>
        <v>1458.6648229999998</v>
      </c>
      <c r="AC274" s="3">
        <f>1550.2+(916.2-689.8)+(-1.581204+(-0.934524--0.703596))+0-430.8--0.439416000000069</f>
        <v>1344.4272840000003</v>
      </c>
      <c r="AD274">
        <f t="shared" si="4"/>
        <v>31549.582727999998</v>
      </c>
      <c r="AE274" s="3">
        <f>2237+(881.9-1033.8)+(0+(0-0))+0-427.1-0</f>
        <v>1658</v>
      </c>
    </row>
    <row r="275" spans="1:31" s="2" customFormat="1" x14ac:dyDescent="0.25">
      <c r="A275">
        <v>89</v>
      </c>
      <c r="B275">
        <v>9</v>
      </c>
      <c r="C275">
        <v>29</v>
      </c>
      <c r="D275">
        <v>3</v>
      </c>
      <c r="E275">
        <v>1</v>
      </c>
      <c r="F275" s="3">
        <f>1429.8+(873-675.2)+(-3.64599+(-2.22615--1.72176))+0-430.8--1.09853999999994</f>
        <v>1193.7481599999999</v>
      </c>
      <c r="G275" s="3">
        <f>1430.1+(1045.7-780.1)+(0.729351+(0.533307-0.397851))+0-431.9-0.220268999999956</f>
        <v>1264.4445379999997</v>
      </c>
      <c r="H275" s="3">
        <f>1431.1+(753.8-630.2)+(-1.459722+(-0.768876--0.642804))+0-432.7--0.441354000000069</f>
        <v>1120.8555599999997</v>
      </c>
      <c r="I275" s="3">
        <f>1430.5+(765.5-611.9)+(-0.729555+(-0.390405--0.312069))+0-423--0.215729999999957</f>
        <v>1160.5078389999999</v>
      </c>
      <c r="J275" s="3">
        <f>1430.4+(734.3-549.4)+(1.459008+(0.748986-0.560388))+0-421.8-0.430236000000067</f>
        <v>1194.7173700000001</v>
      </c>
      <c r="K275" s="3">
        <f>1450.2+(629.6-518.5)+(-2.958408+(-1.284384--1.05774))+0-425.7--0.868427999999981</f>
        <v>1133.2833760000001</v>
      </c>
      <c r="L275" s="3">
        <f>1558.3+(572.2-540.8)+(-1.589466+(-0.583644--0.551616))+0-427.8--0.436356000000068</f>
        <v>1160.7148620000003</v>
      </c>
      <c r="M275" s="3">
        <f>1572.3+(779.5-688.8)+(-0.801873+(-0.397545--0.351288))+0-428.6--0.218585999999957</f>
        <v>1233.7704559999997</v>
      </c>
      <c r="N275" s="3">
        <f>1660.7+(674.1-657.5)+(-2.540871+(-1.031373--1.005975))+0-430.4--0.658512000000025</f>
        <v>1244.9922430000001</v>
      </c>
      <c r="O275" s="3">
        <f>1719.9+(511.8-463.4)+(-1.754298+(-0.522036--0.472668))+0-414--0.422280000000066</f>
        <v>1352.9186140000002</v>
      </c>
      <c r="P275" s="3">
        <f>1720.7+(510.6-444.1)+(-2.632671+(-0.781218--0.679473))+0-401.8--0.614754000000023</f>
        <v>1383.280338</v>
      </c>
      <c r="Q275" s="3">
        <f>1719.8+(509.4-447.1)+(-2.631294+(-0.779382--0.684063))+0-417.2--0.638316000000024</f>
        <v>1362.8117029999999</v>
      </c>
      <c r="R275" s="3">
        <f>1719+(522.7-481.4)+(-1.75338+(-0.533154--0.491028))+0-424--0.432480000000068</f>
        <v>1334.9369740000004</v>
      </c>
      <c r="S275" s="3">
        <f>1718.5+(491.3-500.6)+(-3.50574+(-1.002252--1.021224))+0-433.5--0.884339999999981</f>
        <v>1273.0975720000001</v>
      </c>
      <c r="T275" s="3">
        <f>1719.6+(528.3-529.4)+(-2.630988+(-0.808299--0.809982))+0-432.4--0.661572000000025</f>
        <v>1284.132267</v>
      </c>
      <c r="U275" s="3">
        <f>1718.6+(457.4-484.1)+(-2.629458+(-0.699822--0.740673))+0-430--0.657900000000025</f>
        <v>1259.9692929999999</v>
      </c>
      <c r="V275" s="3">
        <f>1992+(228.5-512.7)+(-3.04776+(-0.349605--0.784431))+0-440.1--0.673353000000026</f>
        <v>1265.7604190000002</v>
      </c>
      <c r="W275" s="3">
        <f>2223.2+(907.1-1193.3)+(1.133832+(0.462621-0.608583))+0-412.6-0.210425999999958</f>
        <v>1525.1774440000002</v>
      </c>
      <c r="X275" s="3">
        <f>2238.8+(929.5-1090.6)+(-6.850728+(-2.84427--3.337236))+0-397.5--1.21635000000005</f>
        <v>1675.0585880000003</v>
      </c>
      <c r="Y275" s="3">
        <f>2145.5+(810.8-958.2)+(-2.18841+(-0.827016--0.977364))+0-428.8--0.437376000000068</f>
        <v>1567.699314</v>
      </c>
      <c r="Z275" s="3">
        <f>1905.8+(958.7-896.9)+(-1.943916+(-0.977874--0.914838))+0-434.5--0.443190000000069</f>
        <v>1531.5362379999999</v>
      </c>
      <c r="AA275" s="3">
        <f>1893.7+(888.3-815.2)+(-3.863148+(-1.812132--1.663008))+0-435.9--0.889235999999981</f>
        <v>1527.7769640000001</v>
      </c>
      <c r="AB275" s="3">
        <f>1791.5+(836.7-766.2)+(-3.65466+(-1.706868--1.563048))+0-424.8--0.866591999999981</f>
        <v>1434.2681120000002</v>
      </c>
      <c r="AC275" s="3">
        <f>1676.8+(822.5-723.1)+(-2.565504+(-1.258425--1.106343))+0-417.9--0.639387000000024</f>
        <v>1356.2218009999999</v>
      </c>
      <c r="AD275">
        <f t="shared" si="4"/>
        <v>31841.680045000005</v>
      </c>
      <c r="AE275" s="3">
        <f>2238+(1096.7-1284.9)+(0+(0-0))+0-411-0</f>
        <v>1638.8000000000002</v>
      </c>
    </row>
    <row r="276" spans="1:31" s="2" customFormat="1" x14ac:dyDescent="0.25">
      <c r="A276">
        <v>89</v>
      </c>
      <c r="B276">
        <v>9</v>
      </c>
      <c r="C276">
        <v>30</v>
      </c>
      <c r="D276">
        <v>4</v>
      </c>
      <c r="E276">
        <v>1</v>
      </c>
      <c r="F276" s="3">
        <f>1545.8+(816.1-702.3)+(-1.576716+(-0.832422--0.716346))+0-411.5--0.419730000000066</f>
        <v>1246.8269379999999</v>
      </c>
      <c r="G276" s="3">
        <f>1507.1+(668.8-553.3)+(1.537242+(0.682176-0.564366))+0-426.2-0.434724000000068</f>
        <v>1197.620328</v>
      </c>
      <c r="H276" s="3">
        <f>1508+(533.5-485.8)+(-1.53816+(-0.54417--0.495516))+0-425.4--0.433908000000068</f>
        <v>1129.1470939999999</v>
      </c>
      <c r="I276" s="3">
        <f>1508.4+(520-468.4)+(-3.84642+(-1.326--1.19442))+0-435.1--1.10950499999994</f>
        <v>1122.0315049999999</v>
      </c>
      <c r="J276" s="3">
        <f>1507.7+(541.1-503.4)+(-1.537854+(-0.551922--0.513468))+0-434.2--0.442884000000069</f>
        <v>1110.0665760000002</v>
      </c>
      <c r="K276" s="3">
        <f>1507.7+(611.6-512.8)+(-0.768927+(-0.311916--0.261528))+0-429--0.218789999999956</f>
        <v>1176.8994749999999</v>
      </c>
      <c r="L276" s="3">
        <f>1506.7+(667.6-644.9)+(-3.073668+(-1.361904--1.315596))+0-435.3--0.888011999999981</f>
        <v>1091.8680360000001</v>
      </c>
      <c r="M276" s="3">
        <f>1543.5+(699.2-597.6)+(-3.14874+(-1.426368--1.219104))+0-445.3--0.908411999999981</f>
        <v>1197.352408</v>
      </c>
      <c r="N276" s="3">
        <f>1664+(482.6-443.6)+(-0.84864+(-0.246126--0.226236))+0-434.8--0.221747999999956</f>
        <v>1267.553218</v>
      </c>
      <c r="O276" s="3">
        <f>1712.4+(572.3-575.6)+(-4.36662+(-1.459365--1.46778))+0-421.3--1.07431499999994</f>
        <v>1284.5161099999998</v>
      </c>
      <c r="P276" s="3">
        <f>1785.8+(699-704.1)+(-0.910758+(-0.35649--0.359091))+0-435.3--0.222002999999956</f>
        <v>1344.7138459999996</v>
      </c>
      <c r="Q276" s="3">
        <f>1878.7+(524.5-547)+(-2.874411+(-0.802485--0.83691))+0-440.4--0.673812000000025</f>
        <v>1413.6338260000002</v>
      </c>
      <c r="R276" s="3">
        <f>1900+(389.6-588.8)+(-3.876+(-0.794784--1.201152))+0-432.8--0.882911999999981</f>
        <v>1265.4132800000002</v>
      </c>
      <c r="S276" s="3">
        <f>1903+(346.5-476.7)+(-0.97053+(-0.176715--0.243117))+0-441.3--0.225062999999955</f>
        <v>1330.820935</v>
      </c>
      <c r="T276" s="3">
        <f>1898.2+(437.6-579.7)+(-3.872328+(-0.892704--1.182588))+0-438.1--0.893723999999981</f>
        <v>1315.3112799999999</v>
      </c>
      <c r="U276" s="3">
        <f>1899.2+(429.3-582.7)+(-2.905776+(-0.656829--0.891531))+0-433.7--0.663561000000025</f>
        <v>1310.0924869999999</v>
      </c>
      <c r="V276" s="3">
        <f>2013.9+(592.1-846.9)+(0+(0-0))+0-437.5-0</f>
        <v>1321.6000000000001</v>
      </c>
      <c r="W276" s="3">
        <f>2228.2+(1135.1-1347.3)+(2.272764+(1.157802-1.374246))+0-419.9-0.428298000000067</f>
        <v>1597.7280219999996</v>
      </c>
      <c r="X276" s="3">
        <f>2238.3+(1085.3-1306.6)+(-6.849198+(-3.321018--3.998196))+0-424.9--1.30019400000005</f>
        <v>1587.2281740000005</v>
      </c>
      <c r="Y276" s="3">
        <f>2222.9+(663-947.4)+(-7.935753+(-2.36691--3.382218))+0-427.3--1.52546100000001</f>
        <v>1505.805016</v>
      </c>
      <c r="Z276" s="3">
        <f>1965.1+(628.1-677.9)+(-5.011005+(-1.601655--1.728645))+0-427.4--1.08986999999994</f>
        <v>1484.105855</v>
      </c>
      <c r="AA276" s="3">
        <f>1712.2+(675.8-567.9)+(0.873222+(0.344658-0.289629))+0-424.3-0.216392999999957</f>
        <v>1396.5118580000001</v>
      </c>
      <c r="AB276" s="3">
        <f>1603.4+(871.6-665.7)+(-2.453202+(-1.333548--1.018521))+0-421.1--0.644283000000024</f>
        <v>1386.0760540000001</v>
      </c>
      <c r="AC276" s="3">
        <f>1569.4+(957.9-803.2)+(-3.201576+(-1.954116--1.638528))+0-418.8--0.854351999999982</f>
        <v>1302.6371879999999</v>
      </c>
      <c r="AD276">
        <f t="shared" si="4"/>
        <v>31385.559509000006</v>
      </c>
      <c r="AE276" s="3">
        <f>2244+(1242.7-1440)+(0+(0-0))+0-432.2-0</f>
        <v>1614.5</v>
      </c>
    </row>
    <row r="277" spans="1:31" s="2" customFormat="1" x14ac:dyDescent="0.25">
      <c r="A277">
        <v>89</v>
      </c>
      <c r="B277">
        <v>10</v>
      </c>
      <c r="C277">
        <v>1</v>
      </c>
      <c r="D277">
        <v>5</v>
      </c>
      <c r="E277">
        <v>1</v>
      </c>
      <c r="F277" s="3">
        <f>1565.8+(980.8-868)+(0.798558+(0.500208-0.44268))+0-423.1-0.215780999999957</f>
        <v>1256.1403049999999</v>
      </c>
      <c r="G277" s="3">
        <f>1489.8+(777.3-722.8)+(-2.279394+(-1.189269--1.105884))+0-416.9--0.637857000000024</f>
        <v>1125.675078</v>
      </c>
      <c r="H277" s="3">
        <f>1471.3+(783-737)+(-1.500726+(-0.79866--0.75174))+0-428.1--0.436662000000068</f>
        <v>1088.0890159999999</v>
      </c>
      <c r="I277" s="3">
        <f>1470.5+(852.2-751.3)+(-0.749955+(-0.434622--0.383163))+0-431--0.219809999999956</f>
        <v>1139.8183960000001</v>
      </c>
      <c r="J277" s="3">
        <f>1470.2+(803.5-695.2)+(-0.749802+(-0.409785--0.354552))+0-427.2--0.217871999999957</f>
        <v>1150.7128369999998</v>
      </c>
      <c r="K277" s="3">
        <f>1471+(744.4-653)+(0+(0-0))+0-437.3-0</f>
        <v>1125.1000000000001</v>
      </c>
      <c r="L277" s="3">
        <f>1469.4+(795.4-655.2)+(-3.74697+(-2.02827--1.67076))+0-434.6--1.10822999999994</f>
        <v>1172.0037500000001</v>
      </c>
      <c r="M277" s="3">
        <f>1472.1+(614-510.6)+(-0.750771+(-0.31314--0.260406))+0-431.9--0.220268999999956</f>
        <v>1143.016764</v>
      </c>
      <c r="N277" s="3">
        <f>1485.1+(622.2-428.5)+(0.757401+(0.317322-0.218535))+0-435.2-0.221951999999956</f>
        <v>1244.234236</v>
      </c>
      <c r="O277" s="3">
        <f>1582+(726.7-590.1)+(0.80682+(0.370617-0.300951))+0-383-0.195329999999961</f>
        <v>1336.281156</v>
      </c>
      <c r="P277" s="3">
        <f>1765.8+(591.7-672)+(-2.701674+(-0.905301--1.02816))+0-353.3--0.54054900000002</f>
        <v>1330.161734</v>
      </c>
      <c r="Q277" s="3">
        <f>1876.8+(562.9-699.2)+(-1.914336+(-0.574158--0.713184))+0-349.4--0.356388000000056</f>
        <v>1389.6810780000001</v>
      </c>
      <c r="R277" s="3">
        <f>1953.4+(404.6-694.6)+(-1.992468+(-0.412692--0.708492))+0-377.4--0.38494800000006</f>
        <v>1284.6882800000001</v>
      </c>
      <c r="S277" s="3">
        <f>1965+(446.9-775.6)+(-2.0043+(-0.455838--0.791112))+0-386.3--0.394026000000062</f>
        <v>1248.7250000000001</v>
      </c>
      <c r="T277" s="3">
        <f>1967.4+(446-766.6)+(5.01687+(1.1373-1.95483))+0-399.4-1.01846999999994</f>
        <v>1250.5808700000002</v>
      </c>
      <c r="U277" s="3">
        <f>1966.2+(552.2-886.5)+(1.002762+(0.281622-0.452115))+0-402-0.205019999999959</f>
        <v>1230.5272490000002</v>
      </c>
      <c r="V277" s="3">
        <f>2027.4+(995.3-1330.4)+(-3.101922+(-1.522809--2.035512))+0-402.6--0.615978000000023</f>
        <v>1287.7267589999999</v>
      </c>
      <c r="W277" s="3">
        <f>2235.6+(1576.6-1792.8)+(-1.140156+(-0.804066--0.914328))+0-404.3--0.206192999999959</f>
        <v>1614.2762989999999</v>
      </c>
      <c r="X277" s="3">
        <f>2231.4+(1520.8-1731)+(-4.552056+(-3.102432--3.53124))+0-402.6--0.821303999999982</f>
        <v>1615.2980560000001</v>
      </c>
      <c r="Y277" s="3">
        <f>2125+(1440.4-1627.6)+(-5.41875+(-3.67302--4.15038))+0-395.6--1.00877999999994</f>
        <v>1538.2673900000002</v>
      </c>
      <c r="Z277" s="3">
        <f>1883+(1425.6-1353.9)+(-2.88099+(-2.181168--2.071467))+0-403.9--0.617967000000023</f>
        <v>1548.4272759999999</v>
      </c>
      <c r="AA277" s="3">
        <f>1759+(1128.3-1033.7)+(0+(0-0))+0-404.3-0</f>
        <v>1449.3</v>
      </c>
      <c r="AB277" s="3">
        <f>1739.8+(866.1-784.2)+(-4.43649+(-2.208555--1.99971))+0-406.3--1.03606499999994</f>
        <v>1411.7907299999999</v>
      </c>
      <c r="AC277" s="3">
        <f>1581.3+(856.2-739.2)+(-2.419389+(-1.309986--1.130976))+0-404.8--0.619344000000023</f>
        <v>1291.520945</v>
      </c>
      <c r="AD277">
        <f t="shared" si="4"/>
        <v>31272.043204000001</v>
      </c>
      <c r="AE277" s="3">
        <f>2241+(1666.5-1836.7)+(0+(0-0))+0-403.8-0</f>
        <v>1667.0000000000002</v>
      </c>
    </row>
    <row r="278" spans="1:31" s="2" customFormat="1" x14ac:dyDescent="0.25">
      <c r="A278">
        <v>89</v>
      </c>
      <c r="B278">
        <v>10</v>
      </c>
      <c r="C278">
        <v>2</v>
      </c>
      <c r="D278">
        <v>6</v>
      </c>
      <c r="E278">
        <v>1</v>
      </c>
      <c r="F278" s="3">
        <f>1517.7+(803.8-711)+(-3.870135+(-2.04969--1.81305))+0-406.9--1.03759499999994</f>
        <v>1200.5308200000002</v>
      </c>
      <c r="G278" s="3">
        <f>1505.6+(622.6-595.7)+(0+(0-0))+0-410.2-0</f>
        <v>1122.3</v>
      </c>
      <c r="H278" s="3">
        <f>1503.8+(604.3-576.9)+(-3.83469+(-1.540965--1.471095))+0-410.7--1.04728499999994</f>
        <v>1117.6427249999997</v>
      </c>
      <c r="I278" s="3">
        <f>1505.6+(595.7-588.5)+(0.767856+(0.303807-0.300135))+0-416.3-0.212312999999958</f>
        <v>1097.059215</v>
      </c>
      <c r="J278" s="3">
        <f>1505.2+(633.2-605.8)+(2.302956+(0.968796-0.926874))+0-418.9-0.640917000000024</f>
        <v>1115.4039610000002</v>
      </c>
      <c r="K278" s="3">
        <f>1507.1+(594.5-547.2)+(3.074484+(1.21278-1.116288))+0-414.1-0.844763999999982</f>
        <v>1142.6262120000001</v>
      </c>
      <c r="L278" s="3">
        <f>1515.4+(552.3-540.9)+(3.86427+(1.408365-1.379295))+0-418.6-1.06742999999994</f>
        <v>1111.0259100000005</v>
      </c>
      <c r="M278" s="3">
        <f>1578.6+(458.1-465.4)+(-0.805086+(-0.233631--0.237354))+0-426.6--0.217565999999957</f>
        <v>1144.1162029999998</v>
      </c>
      <c r="N278" s="3">
        <f>1621+(511.8-464.4)+(-1.65342+(-0.522036--0.473688))+0-426.9--0.435438000000068</f>
        <v>1240.2336700000001</v>
      </c>
      <c r="O278" s="3">
        <f>1708.8+(471.6-460.4)+(-0.871488+(-0.240516--0.234804))+0-423.2--0.215831999999957</f>
        <v>1296.1386319999999</v>
      </c>
      <c r="P278" s="3">
        <f>1709.7+(558.9-506.4)+(1.743894+(0.570078-0.516528))+0-422.5-0.430950000000067</f>
        <v>1341.0664939999999</v>
      </c>
      <c r="Q278" s="3">
        <f>1815+(467.4-542.4)+(-0.92565+(-0.238374--0.276624))+0-425--0.216749999999957</f>
        <v>1314.32935</v>
      </c>
      <c r="R278" s="3">
        <f>1828.8+(373.4-550.9)+(-2.798064+(-0.571302--0.842877))+0-420.8--0.643824000000024</f>
        <v>1228.6173349999999</v>
      </c>
      <c r="S278" s="3">
        <f>1830+(352.8-516.6)+(-1.8666+(-0.359856--0.526932))+0-413--0.421260000000066</f>
        <v>1251.921736</v>
      </c>
      <c r="T278" s="3">
        <f>1832.6+(425.9-542.4)+(-0.934626+(-0.217209--0.276624))+0-418.5--0.213434999999958</f>
        <v>1296.9382239999998</v>
      </c>
      <c r="U278" s="3">
        <f>1855+(414.9-594.2)+(1.8921+(0.423198-0.606084))+0-427.4-0.435948000000068</f>
        <v>1249.5732659999996</v>
      </c>
      <c r="V278" s="3">
        <f>1970.9+(249.6-606)+(-3.015477+(-0.381888--0.92718))+0-423.7--0.648261000000025</f>
        <v>1188.9780760000001</v>
      </c>
      <c r="W278" s="3">
        <f>2223+(615.2-1072.8)+(-3.40119+(-0.941256--1.641384))+0-422.8--0.646884000000024</f>
        <v>1340.545822</v>
      </c>
      <c r="X278" s="3">
        <f>2233.7+(702.1-1105.5)+(-2.278374+(-0.716142--1.12761))+0-435.8--0.44451600000007</f>
        <v>1393.0776099999998</v>
      </c>
      <c r="Y278" s="3">
        <f>2237.5+(540-932.8)+(-1.141125+(-0.2754--0.475728))+0-433.2--0.220931999999956</f>
        <v>1410.780135</v>
      </c>
      <c r="Z278" s="3">
        <f>2234.1+(351.8-759.2)+(-1.139391+(-0.179418--0.387192))+0-427.1--0.217820999999957</f>
        <v>1398.8862039999997</v>
      </c>
      <c r="AA278" s="3">
        <f>2232.4+(252.2-719.9)+(-6.831144+(-0.771732--2.202894))+0-405--1.23930000000005</f>
        <v>1355.5393180000001</v>
      </c>
      <c r="AB278" s="3">
        <f>2067.4+(216.4-625.9)+(-3.163122+(-0.331092--0.957627))+0-409.3--0.626229000000024</f>
        <v>1246.689642</v>
      </c>
      <c r="AC278" s="3">
        <f>1672.6+(518.9-586.3)+(-2.559078+(-0.793917--0.897039))+0-402.1--0.615213000000023</f>
        <v>1201.2592569999997</v>
      </c>
      <c r="AD278">
        <f t="shared" si="4"/>
        <v>29805.279817000002</v>
      </c>
      <c r="AE278" s="3">
        <f>2238+(894.8-1157.4)+(0+(0-0))+0-408.8-0</f>
        <v>1566.6</v>
      </c>
    </row>
    <row r="279" spans="1:31" s="2" customFormat="1" x14ac:dyDescent="0.25">
      <c r="A279">
        <v>89</v>
      </c>
      <c r="B279">
        <v>10</v>
      </c>
      <c r="C279">
        <v>3</v>
      </c>
      <c r="D279">
        <v>7</v>
      </c>
      <c r="E279">
        <v>1</v>
      </c>
      <c r="F279" s="3">
        <f>1509.2+(670.8-595.5)+(0+(0-0))+0-397-0</f>
        <v>1187.5</v>
      </c>
      <c r="G279" s="3">
        <f>1499.2+(745.3-674)+(-3.82296+(-1.900515--1.7187))+0-398.3--1.01566499999994</f>
        <v>1169.2108899999998</v>
      </c>
      <c r="H279" s="3">
        <f>1498.5+(519.1-493.7)+(1.52847+(0.529482-0.503574))+0-401-0.409020000000064</f>
        <v>1124.0453580000001</v>
      </c>
      <c r="I279" s="3">
        <f>1498.9+(535.4-458.4)+(0+(0-0))+0-398.9-0</f>
        <v>1177</v>
      </c>
      <c r="J279" s="3">
        <f>1497.4+(530.7-455.8)+(0+(0-0))+0-400-0</f>
        <v>1172.3000000000002</v>
      </c>
      <c r="K279" s="3">
        <f>1498.3+(530.7-496.6)+(-0.764133+(-0.270657--0.253266))+0-398--0.20297999999996</f>
        <v>1133.8214560000001</v>
      </c>
      <c r="L279" s="3">
        <f>1498.8+(636.3-680.8)+(-0.764388+(-0.324513--0.347208))+0-395.6--0.20175599999996</f>
        <v>1058.1600629999998</v>
      </c>
      <c r="M279" s="3">
        <f>1499.2+(570.4-671.2)+(-3.82296+(-1.45452--1.71156))+0-397.8--1.01438999999994</f>
        <v>998.04847000000007</v>
      </c>
      <c r="N279" s="3">
        <f>1498.6+(501.9-504.5)+(1.528572+(0.511938-0.51459))+0-398.1-0.406062000000063</f>
        <v>1099.0198580000001</v>
      </c>
      <c r="O279" s="3">
        <f>1498.5+(704.1-733.8)+(0.764235+(0.359091-0.374238))+0-401.5-0.204764999999959</f>
        <v>1067.8443230000003</v>
      </c>
      <c r="P279" s="3">
        <f>1505.1+(668.2-660.2)+(-4.605606+(-2.044692--2.020212))+0-390.2--1.19401200000005</f>
        <v>1119.4639260000001</v>
      </c>
      <c r="Q279" s="3">
        <f>1516.2+(595.3-574.9)+(-1.546524+(-0.607206--0.586398))+0-396.6--0.404532000000063</f>
        <v>1138.8371999999999</v>
      </c>
      <c r="R279" s="3">
        <f>1531.5+(573.9-616.1)+(-1.56213+(-0.585378--0.628422))+0-386.6--0.394332000000062</f>
        <v>1101.5752460000001</v>
      </c>
      <c r="S279" s="3">
        <f>1569.6+(542.1-581.6)+(-3.201984+(-1.105884--1.186464))+0-389.8--0.795191999999983</f>
        <v>1137.973788</v>
      </c>
      <c r="T279" s="3">
        <f>1569.8+(493.5-563.1)+(-4.00299+(-1.258425--1.435905))+0-389.7--0.993734999999943</f>
        <v>1107.6682249999999</v>
      </c>
      <c r="U279" s="3">
        <f>1570+(406.1-517.7)+(0+(0-0))+0-392.3-0</f>
        <v>1066.1000000000001</v>
      </c>
      <c r="V279" s="3">
        <f>1581.3+(472.2-511.3)+(-0.806463+(-0.240822--0.260763))+0-393.8--0.20083799999996</f>
        <v>1147.8143159999997</v>
      </c>
      <c r="W279" s="3">
        <f>1902.3+(412.3-692.8)+(-0.970173+(-0.210273--0.353328))+0-392.5--0.20017499999996</f>
        <v>1228.673057</v>
      </c>
      <c r="X279" s="3">
        <f>2159.7+(349.9-759)+(-5.507235+(-0.892245--1.93545))+0-398.7--1.01668499999994</f>
        <v>1348.4526549999998</v>
      </c>
      <c r="Y279" s="3">
        <f>2191.1+(413.5-775.3)+(1.117461+(0.210885-0.395403))+0-399.8-0.203897999999959</f>
        <v>1430.229045</v>
      </c>
      <c r="Z279" s="3">
        <f>2064.4+(583.2-786.7)+(1.052844+(0.297432-0.401217))+0-395.2-0.20155199999996</f>
        <v>1466.4475070000001</v>
      </c>
      <c r="AA279" s="3">
        <f>1948.6+(673.7-827.2)+(0+(0-0))+0-403-0</f>
        <v>1392.1</v>
      </c>
      <c r="AB279" s="3">
        <f>1832+(661.8-704.1)+(-2.80296+(-1.012554--1.077273))+0-401.9--0.614907000000023</f>
        <v>1385.6766659999998</v>
      </c>
      <c r="AC279" s="3">
        <f>1658.5+(654.8-616.1)+(-1.69167+(-0.667896--0.628422))+0-434.9--0.443598000000069</f>
        <v>1261.0124539999999</v>
      </c>
      <c r="AD279">
        <f t="shared" si="4"/>
        <v>28518.974502999998</v>
      </c>
      <c r="AE279" s="3">
        <f>2056+(468.7-745)+(0+(0-0))+0-382.5-0</f>
        <v>1397.2</v>
      </c>
    </row>
    <row r="280" spans="1:31" s="2" customFormat="1" x14ac:dyDescent="0.25">
      <c r="A280">
        <v>89</v>
      </c>
      <c r="B280">
        <v>10</v>
      </c>
      <c r="C280">
        <v>4</v>
      </c>
      <c r="D280">
        <v>1</v>
      </c>
      <c r="E280">
        <v>1</v>
      </c>
      <c r="F280" s="3">
        <f>1570.6+(581.8-533.6)+(-3.204024+(-1.186872--1.088544))+0-438.7--0.894947999999981</f>
        <v>1177.6925959999996</v>
      </c>
      <c r="G280" s="3">
        <f>1571.5+(639.7-712.9)+(0+(0-0))+0-443-0</f>
        <v>1055.3000000000002</v>
      </c>
      <c r="H280" s="3">
        <f>1570.6+(678.2-772.3)+(-2.403018+(-1.037646--1.181619))+0-415.4--0.635562000000024</f>
        <v>1059.4765170000001</v>
      </c>
      <c r="I280" s="3">
        <f>1570.1+(676.5-788.4)+(2.402253+(1.035045-1.206252))+0-417.5-0.638775000000024</f>
        <v>1042.2922709999998</v>
      </c>
      <c r="J280" s="3">
        <f>1571.3+(708.4-863)+(-0.801363+(-0.361284--0.44013))+0-418--0.213179999999958</f>
        <v>998.19066299999986</v>
      </c>
      <c r="K280" s="3">
        <f>1571.5+(800.4-885.8)+(3.20586+(1.632816-1.807032))+0-417.3-0.851291999999982</f>
        <v>1070.9803519999998</v>
      </c>
      <c r="L280" s="3">
        <f>1570.9+(978.4-1027.6)+(0.801159+(0.498984-0.524076))+0-417.7-0.213026999999958</f>
        <v>1104.5630400000002</v>
      </c>
      <c r="M280" s="3">
        <f>1687.5+(902.1-993.2)+(-2.581875+(-1.380213--1.519596))+0-419.7--0.642141000000024</f>
        <v>1174.8996490000002</v>
      </c>
      <c r="N280" s="3">
        <f>1918.5+(721.7-917)+(-2.935305+(-1.104201--1.40301))+0-424.4--0.649332000000024</f>
        <v>1296.8128360000001</v>
      </c>
      <c r="O280" s="3">
        <f>2102.3+(547.8-893.7)+(1.072173+(0.279378-0.455787))+0-407-0.207569999999959</f>
        <v>1350.0881940000002</v>
      </c>
      <c r="P280" s="3">
        <f>2191.8+(527.9-869.2)+(-3.353454+(-0.807687--1.329876))+0-427.9--0.654687000000025</f>
        <v>1420.4234220000001</v>
      </c>
      <c r="Q280" s="3">
        <f>2192+(509.1-895.9)+(-4.47168+(-1.038564--1.827636))+0-423.8--0.864551999999982</f>
        <v>1378.581944</v>
      </c>
      <c r="R280" s="3">
        <f>2180.3+(530.6-956.1)+(-6.671718+(-1.623636--2.925666))+0-429.5--1.31427000000005</f>
        <v>1321.2445820000003</v>
      </c>
      <c r="S280" s="3">
        <f>2190.4+(535.6-1001.6)+(-3.351312+(-0.819468--1.532448))+0-425.1--0.650403000000025</f>
        <v>1297.3120710000003</v>
      </c>
      <c r="T280" s="3">
        <f>2186+(502.7-955)+(-4.45944+(-1.025508--1.9482))+0-413.4--0.843335999999982</f>
        <v>1317.6065880000001</v>
      </c>
      <c r="U280" s="3">
        <f>2189.3+(388.3-834.1)+(0+(0-0))+0-421.8-0</f>
        <v>1321.7000000000003</v>
      </c>
      <c r="V280" s="3">
        <f>2187.2+(367.4-765.5)+(-6.692832+(-1.124244--2.34243))+0-431.3--1.31977800000005</f>
        <v>1353.6451320000001</v>
      </c>
      <c r="W280" s="3">
        <f>2227.7+(411.7-697.7)+(-2.272254+(-0.419934--0.711654))+0-426.7--0.435234000000068</f>
        <v>1513.4546999999998</v>
      </c>
      <c r="X280" s="3">
        <f>2234.7+(444-662.6)+(-4.558788+(-0.90576--1.351704))+0-426--0.869039999999981</f>
        <v>1586.856196</v>
      </c>
      <c r="Y280" s="3">
        <f>2237.3+(507.8-794.2)+(-1.141023+(-0.258978--0.405042))+0-432.2--0.220421999999956</f>
        <v>1517.9254629999998</v>
      </c>
      <c r="Z280" s="3">
        <f>2083+(799.8-967.7)+(-3.18699+(-1.223694--1.480581))+0-419.9--0.642447000000024</f>
        <v>1492.9123440000001</v>
      </c>
      <c r="AA280" s="3">
        <f>2004.6+(691.7-809.8)+(-4.089384+(-1.411068--1.651992))+0-434.2--0.885767999999981</f>
        <v>1449.3373079999999</v>
      </c>
      <c r="AB280" s="3">
        <f>1676+(720.6-564.1)+(-2.56428+(-1.102518--0.863073))+0-437.4--0.669222000000025</f>
        <v>1392.9654970000001</v>
      </c>
      <c r="AC280" s="3">
        <f>1510.5+(742.5-554.7)+(-1.54071+(-0.75735--0.565794))+0-439--0.44778000000007</f>
        <v>1258.0155139999999</v>
      </c>
      <c r="AD280">
        <f t="shared" si="4"/>
        <v>30952.276878999997</v>
      </c>
      <c r="AE280" s="3">
        <f>2237+(467-723.7)+(0+(0-0))+0-404.3-0</f>
        <v>1576</v>
      </c>
    </row>
    <row r="281" spans="1:31" s="2" customFormat="1" x14ac:dyDescent="0.25">
      <c r="A281">
        <v>89</v>
      </c>
      <c r="B281">
        <v>10</v>
      </c>
      <c r="C281">
        <v>5</v>
      </c>
      <c r="D281">
        <v>2</v>
      </c>
      <c r="E281">
        <v>1</v>
      </c>
      <c r="F281" s="3">
        <f>1433.5+(676.8-545.4)+(-0.731085+(-0.345168--0.278154))+0-418.7--0.213536999999958</f>
        <v>1145.6154379999998</v>
      </c>
      <c r="G281" s="3">
        <f>1432.6+(640.4-500.1)+(-0.730626+(-0.326604--0.255051))+0-428.5--0.218534999999957</f>
        <v>1143.8163559999998</v>
      </c>
      <c r="H281" s="3">
        <f>1431.4+(579.1-467.7)+(-2.190042+(-0.886023--0.715581))+0-421.9--0.645507000000024</f>
        <v>1119.1850230000002</v>
      </c>
      <c r="I281" s="3">
        <f>1432.1+(552.6-467.6)+(-1.460742+(-0.563652--0.476952))+0-421.3--0.429726000000067</f>
        <v>1094.682284</v>
      </c>
      <c r="J281" s="3">
        <f>1431.3+(537.3-441.9)+(2.189889+(0.822069-0.676107))+0-432-0.660960000000025</f>
        <v>1096.3748909999999</v>
      </c>
      <c r="K281" s="3">
        <f>1431+(555.1-444.4)+(1.45962+(0.566202-0.453288))+0-436.7-0.44543400000007</f>
        <v>1106.1270999999999</v>
      </c>
      <c r="L281" s="3">
        <f>1432.5+(712-573.6)+(-0.730575+(-0.36312--0.292536))+0-434.3--0.221492999999956</f>
        <v>1136.020334</v>
      </c>
      <c r="M281" s="3">
        <f>1498.7+(743.1-624.2)+(-1.528674+(-0.757962--0.636684))+0-437--0.44574000000007</f>
        <v>1179.395788</v>
      </c>
      <c r="N281" s="3">
        <f>1648.5+(661.9-571.7)+(-4.203675+(-1.687845--1.457835))+0-441.9--1.12684499999994</f>
        <v>1293.4931599999998</v>
      </c>
      <c r="O281" s="3">
        <f>1935+(454.9-650.8)+(-2.96055+(-0.695997--0.995724))+0-415--0.634950000000024</f>
        <v>1322.0741270000001</v>
      </c>
      <c r="P281" s="3">
        <f>2016.2+(352.3-557.2)+(1.028262+(0.179673-0.284172))+0-407.9-0.208028999999959</f>
        <v>1404.115734</v>
      </c>
      <c r="Q281" s="3">
        <f>2072.7+(409.2-630.7)+(-3.171231+(-0.626076--0.964971))+0-398.3--0.609399000000023</f>
        <v>1450.6770629999999</v>
      </c>
      <c r="R281" s="3">
        <f>2069.1+(392.1-738)+(-3.165723+(-0.599913--1.12914))+0-404.3--0.618579000000023</f>
        <v>1316.8820829999997</v>
      </c>
      <c r="S281" s="3">
        <f>2083+(572.2-964.6)+(3.18699+(0.875466-1.475838))+0-398-0.608940000000023</f>
        <v>1294.5776779999999</v>
      </c>
      <c r="T281" s="3">
        <f>2008.2+(395.6-689.1)+(-4.096728+(-0.807024--1.405764))+0-407.1--0.830483999999982</f>
        <v>1304.9324959999999</v>
      </c>
      <c r="U281" s="3">
        <f>1970.7+(493.7-751.1)+(0+(0-0))+0-404.9-0</f>
        <v>1308.4000000000001</v>
      </c>
      <c r="V281" s="3">
        <f>2086+(308.8-642.7)+(-2.12772+(-0.314976--0.655554))+0-393.3--0.401166000000063</f>
        <v>1357.4140240000002</v>
      </c>
      <c r="W281" s="3">
        <f>2226.7+(779.7-1031.6)+(-2.271234+(-0.795294--1.052232))+0-425.1--0.433602000000068</f>
        <v>1548.1193060000001</v>
      </c>
      <c r="X281" s="3">
        <f>2231.1+(818.3-1037.9)+(-6.827166+(-2.503998--3.175974))+0-434.5--1.32957000000005</f>
        <v>1572.1743799999999</v>
      </c>
      <c r="Y281" s="3">
        <f>2236.1+(497.2-768.3)+(1.140411+(0.253572-0.391833))+0-432.2-0.220421999999956</f>
        <v>1533.5817280000001</v>
      </c>
      <c r="Z281" s="3">
        <f>2232.5+(382.4-686)+(-3.415725+(-0.585072--1.04958))+0-440--0.673200000000025</f>
        <v>1486.621983</v>
      </c>
      <c r="AA281" s="3">
        <f>2056.5+(355.9-696.2)+(-4.19526+(-0.726036--1.420248))+0-426.5--0.870059999999981</f>
        <v>1287.0690119999997</v>
      </c>
      <c r="AB281" s="3">
        <f>2006.5+(722.1-758.1)+(-1.023315+(-0.368271--0.386631))+0-426.8--0.217667999999957</f>
        <v>1542.9127129999999</v>
      </c>
      <c r="AC281" s="3">
        <f>1756.5+(585.5-612)+(-8.062335+(-2.687445--2.80908))+0-426.3--1.95671700000007</f>
        <v>1297.716017</v>
      </c>
      <c r="AD281">
        <f t="shared" si="4"/>
        <v>31341.978718000009</v>
      </c>
      <c r="AE281" s="3">
        <f>2233+(900.2-1090.4)+(0+(0-0))+0-440.5-0</f>
        <v>1602.3</v>
      </c>
    </row>
    <row r="282" spans="1:31" s="2" customFormat="1" x14ac:dyDescent="0.25">
      <c r="A282">
        <v>89</v>
      </c>
      <c r="B282">
        <v>10</v>
      </c>
      <c r="C282">
        <v>6</v>
      </c>
      <c r="D282">
        <v>3</v>
      </c>
      <c r="E282">
        <v>1</v>
      </c>
      <c r="F282" s="3">
        <f>1575+(549.2-462.2)+(-3.213+(-1.120368--0.942888))+0-421.6--0.860063999999982</f>
        <v>1237.869584</v>
      </c>
      <c r="G282" s="3">
        <f>1565+(519.4-509.5)+(-0.79815+(-0.264894--0.259845))+0-399.5--0.203744999999959</f>
        <v>1174.8005460000002</v>
      </c>
      <c r="H282" s="3">
        <f>1565.8+(414.1-478)+(-1.597116+(-0.422382--0.48756))+0-393.1--0.400962000000063</f>
        <v>1107.6690240000003</v>
      </c>
      <c r="I282" s="3">
        <f>1571.3+(511.4-555.3)+(0.801363+(0.260814-0.283203))+0-414.9-0.211598999999958</f>
        <v>1113.0673750000003</v>
      </c>
      <c r="J282" s="3">
        <f>1569.8+(662.3-680.9)+(-2.401794+(-1.013319--1.041777))+0-409.7--0.626841000000024</f>
        <v>1139.7535049999997</v>
      </c>
      <c r="K282" s="3">
        <f>1571.2+(804-826)+(2.403936+(1.23012-1.26378))+0-409.8-0.626994000000024</f>
        <v>1141.1432820000002</v>
      </c>
      <c r="L282" s="3">
        <f>1626.5+(943.2-1006.6)+(-0.829515+(-0.481032--0.513366))+0-405.3--0.206702999999959</f>
        <v>1157.2095220000001</v>
      </c>
      <c r="M282" s="3">
        <f>1723.5+(764.5-923.4)+(1.75797+(0.77979-0.941868))+0-412.9-0.421158000000066</f>
        <v>1152.874734</v>
      </c>
      <c r="N282" s="3">
        <f>1926.6+(722.3-964.2)+(0+(0-0))+0-401.4-0</f>
        <v>1283.2999999999997</v>
      </c>
      <c r="O282" s="3">
        <f>2116.8+(651.8-988.2)+(-3.238704+(-0.997254--1.511946))+0-399.4--0.611082000000023</f>
        <v>1378.8870700000004</v>
      </c>
      <c r="P282" s="3">
        <f>2113.9+(421.5-752)+(-3.234267+(-0.644895--1.15056))+0-401.5--0.614295000000023</f>
        <v>1379.7856930000003</v>
      </c>
      <c r="Q282" s="3">
        <f>2043.8+(295.5-545.8)+(-1.042338+(-0.150705--0.278358))+0-398.9--0.20343899999996</f>
        <v>1393.8887540000001</v>
      </c>
      <c r="R282" s="3">
        <f>2020+(246.1-539.7)+(-3.0906+(-0.376533--0.825741))+0-401.7--0.614601000000023</f>
        <v>1322.673209</v>
      </c>
      <c r="S282" s="3">
        <f>2021.9+(283.2-574.2)+(-3.093507+(-0.433296--0.878526))+0-402.7--0.616131000000023</f>
        <v>1326.167854</v>
      </c>
      <c r="T282" s="3">
        <f>2021.9+(290.4-605)+(-1.031169+(-0.148104--0.30855))+0-398.4--0.20318399999996</f>
        <v>1308.2324610000001</v>
      </c>
      <c r="U282" s="3">
        <f>2026.3+(250.9-619.4)+(3.100239+(0.383877-0.947682))+0-401.3-0.613989000000023</f>
        <v>1258.4224450000002</v>
      </c>
      <c r="V282" s="3">
        <f>2078.5+(368.5-641.9)+(-4.24014+(-0.75174--1.309476))+0-397.5--0.810899999999983</f>
        <v>1404.728496</v>
      </c>
      <c r="W282" s="3">
        <f>2228.7+(554.6-814.6)+(-3.409911+(-0.848538--1.246338))+0-405.2--0.619956000000023</f>
        <v>1561.1078449999998</v>
      </c>
      <c r="X282" s="3">
        <f>2234+(754.1-956.4)+(-1.13934+(-0.384591--0.487764))+0-412.4--0.210323999999958</f>
        <v>1618.4741569999999</v>
      </c>
      <c r="Y282" s="3">
        <f>2233+(591.2-794.2)+(-1.13883+(-0.301512--0.405042))+0-426.4--0.217463999999957</f>
        <v>1602.782164</v>
      </c>
      <c r="Z282" s="3">
        <f>2105+(446.9-599)+(-2.1471+(-0.455838--0.61098))+0-428.6--0.437172000000068</f>
        <v>1522.7452140000003</v>
      </c>
      <c r="AA282" s="3">
        <f>2005.7+(293-471.2)+(-1.022907+(-0.14943--0.240312))+0-432.7--0.220676999999956</f>
        <v>1394.0886519999999</v>
      </c>
      <c r="AB282" s="3">
        <f>1868.9+(469.6-538.1)+(-1.906278+(-0.478992--0.548862))+0-412.1--0.420342000000066</f>
        <v>1386.8839340000002</v>
      </c>
      <c r="AC282" s="3">
        <f>1609.1+(528.6-443.8)+(-1.641282+(-0.539172--0.452676))+0-425.2--0.433704000000068</f>
        <v>1267.4059259999999</v>
      </c>
      <c r="AD282">
        <f t="shared" si="4"/>
        <v>31633.961445999998</v>
      </c>
      <c r="AE282" s="3">
        <f>2225+(665.9-863)+(0+(0-0))+0-407.6-0</f>
        <v>1620.3000000000002</v>
      </c>
    </row>
    <row r="283" spans="1:31" s="2" customFormat="1" x14ac:dyDescent="0.25">
      <c r="A283">
        <v>89</v>
      </c>
      <c r="B283">
        <v>10</v>
      </c>
      <c r="C283">
        <v>7</v>
      </c>
      <c r="D283">
        <v>4</v>
      </c>
      <c r="E283">
        <v>1</v>
      </c>
      <c r="F283" s="3">
        <f>1506.6+(475.6-231.3)+(-3.84183+(-1.21278--0.589815))+0-427.3--1.08961499999994</f>
        <v>1320.2248199999997</v>
      </c>
      <c r="G283" s="3">
        <f>1506.7+(378.3-311.3)+(0+(0-0))+0-438.2-0</f>
        <v>1135.5</v>
      </c>
      <c r="H283" s="3">
        <f>1506+(360.6-322.8)+(-1.53612+(-0.367812--0.329256))+0-439.2--0.44798400000007</f>
        <v>1103.4733080000001</v>
      </c>
      <c r="I283" s="3">
        <f>1506.2+(455.2-456.4)+(0+(0-0))+0-435-0</f>
        <v>1070</v>
      </c>
      <c r="J283" s="3">
        <f>1505.1+(480.5-440)+(0.767601+(0.245055-0.2244))+0-443.9-0.226388999999955</f>
        <v>1102.2618670000002</v>
      </c>
      <c r="K283" s="3">
        <f>1506.1+(430.4-468.1)+(0+(0-0))+0-438.2-0</f>
        <v>1030.1999999999998</v>
      </c>
      <c r="L283" s="3">
        <f>1553.4+(771-767.9)+(-1.584468+(-0.78642--0.783258))+0-437.4--0.44614800000007</f>
        <v>1117.9585179999999</v>
      </c>
      <c r="M283" s="3">
        <f>1663.5+(744.2-776)+(-0.848385+(-0.379542--0.39576))+0-427.4--0.217973999999957</f>
        <v>1203.6858070000001</v>
      </c>
      <c r="N283" s="3">
        <f>1788.8+(430.6-409.8)+(6.386016+(1.537242-1.462986))+0-415.7-1.48404900000001</f>
        <v>1398.876223</v>
      </c>
      <c r="O283" s="3">
        <f>1910.6+(487-590)+(0+(0-0))+0-420.8-0</f>
        <v>1386.8</v>
      </c>
      <c r="P283" s="3">
        <f>2179.3+(479.7-789.9)+(-2.222886+(-0.489294--0.805698))+0-431.9--0.440538000000069</f>
        <v>1435.734056</v>
      </c>
      <c r="Q283" s="3">
        <f>2201+(639.9-935.3)+(-2.24502+(-0.652698--0.954006))+0-425.8--0.434316000000068</f>
        <v>1478.290604</v>
      </c>
      <c r="R283" s="3">
        <f>2197.6+(409.5-800.2)+(-3.362328+(-0.626535--1.224306))+0-430.5--0.658665000000025</f>
        <v>1374.2941079999998</v>
      </c>
      <c r="S283" s="3">
        <f>2199.2+(257.3-771.9)+(-4.486368+(-0.524892--1.574676))+0-405.5--0.827219999999982</f>
        <v>1276.4906359999998</v>
      </c>
      <c r="T283" s="3">
        <f>2202.3+(274-802.7)+(3.369519+(0.41922-1.228131))+0-399.1-0.610623000000023</f>
        <v>1276.4499850000002</v>
      </c>
      <c r="U283" s="3">
        <f>2197.4+(224.3-694.5)+(-4.482696+(-0.457572--1.41678))+0-417.1--0.850883999999982</f>
        <v>1307.427396</v>
      </c>
      <c r="V283" s="3">
        <f>2215+(229.2-737.3)+(-2.2593+(-0.233784--0.752046))+0-426.7--0.435234000000068</f>
        <v>1278.8941960000002</v>
      </c>
      <c r="W283" s="3">
        <f>2245.2+(724.1-913.5)+(-1.145052+(-0.369291--0.465885))+0-417.8--0.213077999999958</f>
        <v>1637.1646199999996</v>
      </c>
      <c r="X283" s="3">
        <f>2245+(646.4-851.8)+(-3.43485+(-0.988992--1.303254))+0-424.8--0.649944000000025</f>
        <v>1612.329356</v>
      </c>
      <c r="Y283" s="3">
        <f>2225.5+(532.9-688.4)+(-5.675025+(-1.358895--1.75542))+0-421.8--1.07558999999994</f>
        <v>1643.9970900000001</v>
      </c>
      <c r="Z283" s="3">
        <f>2131.3+(663.6-826.3)+(0+(0-0))+0-428.1-0</f>
        <v>1540.5000000000005</v>
      </c>
      <c r="AA283" s="3">
        <f>2128.2+(612.4-844.4)+(-3.256146+(-0.936972--1.291932))+0-427--0.653310000000025</f>
        <v>1466.9521239999997</v>
      </c>
      <c r="AB283" s="3">
        <f>2046.8+(485.3-519.9)+(-3.131604+(-0.742509--0.795447))+0-425.8--0.651474000000025</f>
        <v>1583.972808</v>
      </c>
      <c r="AC283" s="3">
        <f>1724+(403.5-452.4)+(-5.27544+(-1.23471--1.384344))+0-424.3--1.29835800000005</f>
        <v>1246.972552</v>
      </c>
      <c r="AD283">
        <f t="shared" si="4"/>
        <v>32028.450073999993</v>
      </c>
      <c r="AE283" s="3">
        <f>2239+(870.4-1001)+(0+(0-0))+0-427.7-0</f>
        <v>1680.7</v>
      </c>
    </row>
    <row r="284" spans="1:31" s="2" customFormat="1" x14ac:dyDescent="0.25">
      <c r="A284">
        <v>89</v>
      </c>
      <c r="B284">
        <v>10</v>
      </c>
      <c r="C284">
        <v>8</v>
      </c>
      <c r="D284">
        <v>5</v>
      </c>
      <c r="E284">
        <v>1</v>
      </c>
      <c r="F284" s="3">
        <f>1610.6+(541.2-500.6)+(0+(0-0))+0-428.5-0</f>
        <v>1222.6999999999998</v>
      </c>
      <c r="G284" s="3">
        <f>1545.6+(673.3-649.5)+(-1.576512+(-0.686766--0.66249))+0-417.4--0.425748000000067</f>
        <v>1150.8249599999999</v>
      </c>
      <c r="H284" s="3">
        <f>1545.4+(721.8-697.7)+(-1.576308+(-0.736236--0.711654))+0-408.6--0.416772000000065</f>
        <v>1159.715882</v>
      </c>
      <c r="I284" s="3">
        <f>1545+(715.9-716.5)+(-1.5759+(-0.730218--0.73083))+0-426.1--0.434622000000068</f>
        <v>1117.1593340000002</v>
      </c>
      <c r="J284" s="3">
        <f>1544.7+(643.3-694.8)+(-0.787797+(-0.328083--0.354348))+0-409.8--0.208997999999958</f>
        <v>1082.8474660000002</v>
      </c>
      <c r="K284" s="3">
        <f>1544+(447.5-587.3)+(-1.57488+(-0.45645--0.599046))+0-405.4--0.413508000000065</f>
        <v>997.78122400000018</v>
      </c>
      <c r="L284" s="3">
        <f>1545.2+(465.4-423.4)+(-0.788052+(-0.237354--0.215934))+0-417.1--0.212720999999958</f>
        <v>1169.5032489999999</v>
      </c>
      <c r="M284" s="3">
        <f>1546+(444.4-468.4)+(-1.57692+(-0.453288--0.477768))+0-423.1--0.431562000000068</f>
        <v>1097.7791220000001</v>
      </c>
      <c r="N284" s="3">
        <f>1723.2+(335.2-430.8)+(0+(0-0))+0-411-0</f>
        <v>1216.5999999999999</v>
      </c>
      <c r="O284" s="3">
        <f>1968.2+(308.6-502.8)+(2.007564+(0.314772-0.512856))+0-418.2-0.426564000000067</f>
        <v>1357.1829159999998</v>
      </c>
      <c r="P284" s="3">
        <f>2006.6+(310.4-612.7)+(-1.023366+(-0.158304--0.312477))+0-399.3--0.203642999999959</f>
        <v>1304.3344499999998</v>
      </c>
      <c r="Q284" s="3">
        <f>2135.3+(292.6-657.2)+(0+(0-0))+0-400.5-0</f>
        <v>1370.2000000000003</v>
      </c>
      <c r="R284" s="3">
        <f>2133.7+(246-687.9)+(-3.264561+(-0.37638--1.052487))+0-383.6--0.586908000000022</f>
        <v>1306.1984539999996</v>
      </c>
      <c r="S284" s="3">
        <f>1932.9+(178.5-422.7)+(0+(0-0))+0-409.9-0</f>
        <v>1278.8000000000002</v>
      </c>
      <c r="T284" s="3">
        <f>1902.2+(208.5-380.6)+(0+(0-0))+0-412.9-0</f>
        <v>1317.1999999999998</v>
      </c>
      <c r="U284" s="3">
        <f>1902.6+(209.1-393.9)+(0+(0-0))+0-423.1-0</f>
        <v>1294.6999999999998</v>
      </c>
      <c r="V284" s="3">
        <f>2073.4+(295.3-558.8)+(-4.229736+(-0.602412--1.139952))+0-428.5--0.874139999999981</f>
        <v>1378.581944</v>
      </c>
      <c r="W284" s="3">
        <f>2227.8+(926.9-1136.4)+(0+(0-0))+0-426.7-0</f>
        <v>1591.6000000000001</v>
      </c>
      <c r="X284" s="3">
        <f>2230.9+(928.8-1135.2)+(-5.688795+(-2.36844--2.89476))+0-427.6--1.09037999999994</f>
        <v>1592.8279049999999</v>
      </c>
      <c r="Y284" s="3">
        <f>2222.8+(712-906.8)+(-9.069024+(-2.90496--3.699744))+0-427.5--1.74419999999996</f>
        <v>1593.9699600000001</v>
      </c>
      <c r="Z284" s="3">
        <f>2075.7+(887.9-1035.9)+(0+(0-0))+0-428.3-0</f>
        <v>1499.3999999999999</v>
      </c>
      <c r="AA284" s="3">
        <f>1889.2+(862.9-932.1)+(-1.926984+(-0.880158--0.950742))+0-428--0.436560000000068</f>
        <v>1390.5801600000002</v>
      </c>
      <c r="AB284" s="3">
        <f>1879.1+(353.8-458.8)+(-1.916682+(-0.360876--0.467976))+0-425--0.433500000000068</f>
        <v>1347.7239179999999</v>
      </c>
      <c r="AC284" s="3">
        <f>1867.5+(291.6-400.8)+(-4.762125+(-0.74358--1.02204))+0-423.2--1.07915999999994</f>
        <v>1331.6954949999999</v>
      </c>
      <c r="AD284">
        <f t="shared" si="4"/>
        <v>31169.906439000002</v>
      </c>
      <c r="AE284" s="3">
        <f>2227+(1048.8-1200.2)+(0+(0-0))+0-440.9-0</f>
        <v>1634.6999999999998</v>
      </c>
    </row>
    <row r="285" spans="1:31" s="2" customFormat="1" x14ac:dyDescent="0.25">
      <c r="A285">
        <v>89</v>
      </c>
      <c r="B285">
        <v>10</v>
      </c>
      <c r="C285">
        <v>9</v>
      </c>
      <c r="D285">
        <v>6</v>
      </c>
      <c r="E285">
        <v>1</v>
      </c>
      <c r="F285" s="3">
        <f>1756+(410.9-476.4)+(-2.68668+(-0.628677--0.728892))+0-433.1--0.662643000000025</f>
        <v>1255.4761779999999</v>
      </c>
      <c r="G285" s="3">
        <f>1617+(408.5-447.1)+(0.82467+(0.208335-0.228021))+0-426.7-0.217616999999957</f>
        <v>1152.2873670000001</v>
      </c>
      <c r="H285" s="3">
        <f>1562.6+(471.8-468.5)+(-3.187704+(-0.962472--0.95574))+0-422--0.860879999999982</f>
        <v>1141.5664439999998</v>
      </c>
      <c r="I285" s="3">
        <f>1540+(490.4-481.8)+(-1.5708+(-0.500208--0.491436))+0-424.1--0.432582000000068</f>
        <v>1123.35301</v>
      </c>
      <c r="J285" s="3">
        <f>1539.1+(480.3-478.7)+(-2.354823+(-0.734859--0.732411))+0-424.5--0.649485000000025</f>
        <v>1114.4922139999996</v>
      </c>
      <c r="K285" s="3">
        <f>1542+(515.3-493)+(0+(0-0))+0-428.5-0</f>
        <v>1135.8</v>
      </c>
      <c r="L285" s="3">
        <f>1652+(428.4-496.1)+(-2.52756+(-0.655452--0.759033))+0-425.8--0.651474000000025</f>
        <v>1156.7274950000001</v>
      </c>
      <c r="M285" s="3">
        <f>1712.8+(369.5-523.1)+(1.747056+(0.37689-0.533562))+0-417.5-0.425850000000067</f>
        <v>1142.8645339999998</v>
      </c>
      <c r="N285" s="3">
        <f>1778.5+(381.6-458.7)+(0.907035+(0.194616-0.233937))+0-428.5-0.218534999999957</f>
        <v>1273.5491790000001</v>
      </c>
      <c r="O285" s="3">
        <f>1910.6+(322.2-495.2)+(-4.87203+(-0.82161--1.26276))+0-406.3--1.03606499999994</f>
        <v>1327.9051850000001</v>
      </c>
      <c r="P285" s="3">
        <f>1931.3+(274.5-455.5)+(0+(0-0))+0-414.5-0</f>
        <v>1335.8</v>
      </c>
      <c r="Q285" s="3">
        <f>1944.5+(325.2-542.2)+(-1.98339+(-0.331704--0.553044))+0-387.9--0.395658000000062</f>
        <v>1338.2336080000002</v>
      </c>
      <c r="R285" s="3">
        <f>1942.3+(305.2-574.9)+(-3.962292+(-0.622608--1.172796))+0-399.6--0.815183999999983</f>
        <v>1270.40308</v>
      </c>
      <c r="S285" s="3">
        <f>1943.3+(474.5-720.2)+(-2.973249+(-0.725985--1.101906))+0-427.6--0.654228000000025</f>
        <v>1268.0568999999998</v>
      </c>
      <c r="T285" s="3">
        <f>1943.1+(455.7-720.2)+(-0.990981+(-0.232407--0.367302))+0-426.1--0.217310999999957</f>
        <v>1251.8612249999996</v>
      </c>
      <c r="U285" s="3">
        <f>1944.9+(480.5-701.1)+(-0.991899+(-0.245055--0.357561))+0-426.7--0.217616999999957</f>
        <v>1296.9382240000002</v>
      </c>
      <c r="V285" s="3">
        <f>1946.4+(433.7-565.1)+(-3.970656+(-0.884748--1.152804))+0-422.7--0.862307999999982</f>
        <v>1389.4597079999999</v>
      </c>
      <c r="W285" s="3">
        <f>1988.6+(789.4-888.3)+(-3.042558+(-1.207782--1.359099))+0-397.4--0.608022000000023</f>
        <v>1490.016781</v>
      </c>
      <c r="X285" s="3">
        <f>1986.4+(707.2-803.4)+(-6.078384+(-2.164032--2.458404))+0-377.4--1.15484400000004</f>
        <v>1508.1708320000002</v>
      </c>
      <c r="Y285" s="3">
        <f>1989.3+(465.5-600.7)+(0+(0-0))+0-377.7-0</f>
        <v>1476.3999999999999</v>
      </c>
      <c r="Z285" s="3">
        <f>1988.1+(351.2-539.9)+(-3.041793+(-0.537336--0.826047))+0-386.4--0.591192000000022</f>
        <v>1410.8381099999999</v>
      </c>
      <c r="AA285" s="3">
        <f>1926.7+(329.3-508.3)+(-0.982617+(-0.167943--0.259233))+0-377.2--0.192371999999962</f>
        <v>1369.8010449999999</v>
      </c>
      <c r="AB285" s="3">
        <f>1868.2+(568.7-714.6)+(-3.811128+(-1.160148--1.457784))+0-356.8--0.727871999999984</f>
        <v>1362.7143800000001</v>
      </c>
      <c r="AC285" s="3">
        <f>1806.4+(708-895.9)+(-5.527584+(-2.16648--2.741454))+0-368.6--1.12791600000004</f>
        <v>1246.075306</v>
      </c>
      <c r="AD285">
        <f t="shared" si="4"/>
        <v>30838.790805000001</v>
      </c>
      <c r="AE285" s="3">
        <f>1993+(769-882.5)+(0+(0-0))+0-375.9-0</f>
        <v>1503.6</v>
      </c>
    </row>
    <row r="286" spans="1:31" s="2" customFormat="1" x14ac:dyDescent="0.25">
      <c r="A286">
        <v>89</v>
      </c>
      <c r="B286">
        <v>10</v>
      </c>
      <c r="C286">
        <v>10</v>
      </c>
      <c r="D286">
        <v>7</v>
      </c>
      <c r="E286">
        <v>1</v>
      </c>
      <c r="F286" s="3">
        <f>1622.4+(665.4-718.2)+(0+(0-0))+0-375.1-0</f>
        <v>1194.5</v>
      </c>
      <c r="G286" s="3">
        <f>1589.8+(727.2-813.7)+(-1.621596+(-0.741744--0.829974))+0-379.2--0.38678400000006</f>
        <v>1122.9534180000001</v>
      </c>
      <c r="H286" s="3">
        <f>1589+(781.3-929.6)+(0+(0-0))+0-347.9-0</f>
        <v>1092.7999999999997</v>
      </c>
      <c r="I286" s="3">
        <f>1591+(798.1-951.3)+(-2.43423+(-1.221093--1.455489))+0-347.2--0.53121600000002</f>
        <v>1088.9313820000002</v>
      </c>
      <c r="J286" s="3">
        <f>1589.6+(599.7-778)+(-1.621392+(-0.611694--0.79356))+0-368.5--0.375870000000059</f>
        <v>1041.7363440000001</v>
      </c>
      <c r="K286" s="3">
        <f>1591.9+(662.3-806.3)+(0.811869+(0.337773-0.411213))+0-381.3-0.194462999999961</f>
        <v>1067.1439660000001</v>
      </c>
      <c r="L286" s="3">
        <f>1589.9+(663.9-776.9)+(0+(0-0))+0-386.8-0</f>
        <v>1090.1000000000001</v>
      </c>
      <c r="M286" s="3">
        <f>1589.4+(802.6-973.1)+(-1.621188+(-0.818652--0.992562))+0-363.8--0.371076000000058</f>
        <v>1054.0237980000002</v>
      </c>
      <c r="N286" s="3">
        <f>1696.9+(813.8-1132.5)+(-2.596257+(-1.245114--1.732725))+0-361.5--0.553095000000021</f>
        <v>1015.1444490000001</v>
      </c>
      <c r="O286" s="3">
        <f>1736+(754.7-1048.3)+(-0.88536+(-0.384897--0.534633))+0-358.6--0.182885999999964</f>
        <v>1083.2472620000003</v>
      </c>
      <c r="P286" s="3">
        <f>1887.2+(556.1-950.6)+(-4.81236+(-1.418055--2.42403))+0-364.3--0.928964999999947</f>
        <v>1125.5225799999998</v>
      </c>
      <c r="Q286" s="3">
        <f>1947.1+(450.8-798.6)+(0.993021+(0.229908-0.407286))+0-364.7-0.185996999999963</f>
        <v>1235.2296459999998</v>
      </c>
      <c r="R286" s="3">
        <f>1943.4+(533.9-925.1)+(-1.982268+(-0.544578--0.943602))+0-366.3--0.373626000000058</f>
        <v>1184.6903820000002</v>
      </c>
      <c r="S286" s="3">
        <f>1941.8+(432.1-885.7)+(-5.941908+(-1.322226--2.710242))+0-372.7--1.14046200000004</f>
        <v>1112.0865699999999</v>
      </c>
      <c r="T286" s="3">
        <f>1947.3+(456.9-903.5)+(1.986246+(0.466038-0.92157))+0-375.9-0.38341800000006</f>
        <v>1125.9472959999996</v>
      </c>
      <c r="U286" s="3">
        <f>1946.2+(406.4-807.4)+(-0.992562+(-0.207264--0.411774))+0-384.5--0.196094999999961</f>
        <v>1160.108043</v>
      </c>
      <c r="V286" s="3">
        <f>1945.8+(493.9-751.2)+(-0.992358+(-0.251889--0.383112))+0-386.7--0.197216999999961</f>
        <v>1301.1360819999998</v>
      </c>
      <c r="W286" s="3">
        <f>1987.1+(650.7-909.7)+(1.013421+(0.331857-0.463947))+0-381.3-0.194462999999961</f>
        <v>1347.486868</v>
      </c>
      <c r="X286" s="3">
        <f>1992.5+(734.3-940.4)+(-3.048525+(-1.123479--1.438812))+0-368.5--0.563805000000021</f>
        <v>1415.7306130000002</v>
      </c>
      <c r="Y286" s="3">
        <f>1850.3+(704.3-789.4)+(-0.943653+(-0.359193--0.402594))+0-378--0.192779999999962</f>
        <v>1386.4925279999998</v>
      </c>
      <c r="Z286" s="3">
        <f>1734+(645.6-625)+(0.88434+(0.329256-0.31875))+0-371.7-0.189566999999962</f>
        <v>1383.6052789999999</v>
      </c>
      <c r="AA286" s="3">
        <f>1590.7+(604-464.9)+(-2.433771+(-0.92412--0.711297))+0-373--0.570690000000022</f>
        <v>1354.7240960000001</v>
      </c>
      <c r="AB286" s="3">
        <f>1576.5+(481.9-403)+(-4.020075+(-1.228845--1.02765))+0-373.4--0.952169999999946</f>
        <v>1278.7309</v>
      </c>
      <c r="AC286" s="3">
        <f>1495.7+(641.2-540.4)+(-0.762807+(-0.327012--0.275604))+0-383.4--0.195533999999961</f>
        <v>1212.481319</v>
      </c>
      <c r="AD286">
        <f t="shared" si="4"/>
        <v>28474.552820999997</v>
      </c>
      <c r="AE286" s="3">
        <f>1992+(607.2-863.4)+(0+(0-0))+0-368.9-0</f>
        <v>1366.9</v>
      </c>
    </row>
    <row r="287" spans="1:31" s="2" customFormat="1" x14ac:dyDescent="0.25">
      <c r="A287">
        <v>89</v>
      </c>
      <c r="B287">
        <v>10</v>
      </c>
      <c r="C287">
        <v>11</v>
      </c>
      <c r="D287">
        <v>1</v>
      </c>
      <c r="E287">
        <v>1</v>
      </c>
      <c r="F287" s="3">
        <f>1484.7+(646.1-582.3)+(-3.785985+(-1.647555--1.484865))+0-413.2--1.05365999999994</f>
        <v>1132.4049849999999</v>
      </c>
      <c r="G287" s="3">
        <f>1481.3+(631.4-589.7)+(-3.777315+(-1.61007--1.503735))+0-422.9--1.07839499999994</f>
        <v>1097.2947450000001</v>
      </c>
      <c r="H287" s="3">
        <f>1482+(601.4-600.7)+(-3.02328+(-1.226856--1.225428))+0-421.5--0.859859999999982</f>
        <v>1059.0351519999999</v>
      </c>
      <c r="I287" s="3">
        <f>1487.6+(542.1-583.6)+(-1.517352+(-0.552942--0.595272))+0-426.5--0.435030000000068</f>
        <v>1018.5600079999999</v>
      </c>
      <c r="J287" s="3">
        <f>1488.3+(587.3-589.7)+(0+(0-0))+0-427.7-0</f>
        <v>1058.1999999999998</v>
      </c>
      <c r="K287" s="3">
        <f>1492.8+(639-672)+(2.283984+(0.97767-1.02816))+0-423.7-0.648261000000025</f>
        <v>1037.6852329999999</v>
      </c>
      <c r="L287" s="3">
        <f>1489.5+(938.7-878.3)+(-1.51929+(-0.957474--0.895866))+0-425.3--0.433806000000068</f>
        <v>1123.4529080000002</v>
      </c>
      <c r="M287" s="3">
        <f>1532.1+(839.9-776.3)+(0.781371+(0.428349-0.395913))+0-424.4-0.216443999999957</f>
        <v>1171.8973629999998</v>
      </c>
      <c r="N287" s="3">
        <f>1892.4+(557.7-698)+(-1.930248+(-0.568854--0.71196))+0-427.5--0.436050000000068</f>
        <v>1323.2489080000003</v>
      </c>
      <c r="O287" s="3">
        <f>1943.8+(362.7-506)+(0+(0-0))+0-426.4-0</f>
        <v>1374.1</v>
      </c>
      <c r="P287" s="3">
        <f>1946.8+(386.8-552.4)+(0.992868+(0.197268-0.281724))+0-421.8-0.215117999999957</f>
        <v>1360.0932940000002</v>
      </c>
      <c r="Q287" s="3">
        <f>1945.7+(427.6-564)+(-3.969228+(-0.872304--1.15056))+0-427.8--0.872711999999981</f>
        <v>1378.6817400000002</v>
      </c>
      <c r="R287" s="3">
        <f>1943.6+(381.4-511.2)+(-2.973708+(-0.583542--0.782136))+0-419.2--0.641376000000024</f>
        <v>1392.4662619999999</v>
      </c>
      <c r="S287" s="3">
        <f>1942.7+(291.5-542.1)+(-1.981554+(-0.29733--0.552942))+0-413.7--0.421974000000066</f>
        <v>1277.0960319999999</v>
      </c>
      <c r="T287" s="3">
        <f>1942.3+(385.5-542.4)+(-2.971719+(-0.589815--0.829872))+0-412.6--0.631278000000024</f>
        <v>1370.6996160000001</v>
      </c>
      <c r="U287" s="3">
        <f>1946.2+(476.6-673.1)+(1.985124+(0.486132-0.686562))+0-413.7-0.421974000000066</f>
        <v>1337.3627199999999</v>
      </c>
      <c r="V287" s="3">
        <f>1957.8+(318.9-513.2)+(0+(0-0))+0-423.9-0</f>
        <v>1339.6</v>
      </c>
      <c r="W287" s="3">
        <f>1986.2+(615.4-659.4)+(-5.06481+(-1.56927--1.68147))+0-400.2--1.02050999999994</f>
        <v>1538.0678999999998</v>
      </c>
      <c r="X287" s="3">
        <f>1986+(714.3-729.9)+(-5.0643+(-1.821465--1.861245))+0-372.2--0.949109999999946</f>
        <v>1594.1245900000001</v>
      </c>
      <c r="Y287" s="3">
        <f>2024.1+(564.7-653.9)+(-2.064582+(-0.575994--0.666978))+0-392.8--0.400656000000063</f>
        <v>1540.5270580000001</v>
      </c>
      <c r="Z287" s="3">
        <f>2006.2+(478.2-562.6)+(-2.046324+(-0.487764--0.573852))+0-402.2--0.410244000000064</f>
        <v>1518.0500080000002</v>
      </c>
      <c r="AA287" s="3">
        <f>2050.6+(495.2-705.5)+(-3.137418+(-0.757656--1.079415))+0-410--0.627300000000024</f>
        <v>1428.111641</v>
      </c>
      <c r="AB287" s="3">
        <f>2026.1+(314.3-543.2)+(-1.033311+(-0.160293--0.277032))+0-419.5--0.213944999999957</f>
        <v>1376.9973729999997</v>
      </c>
      <c r="AC287" s="3">
        <f>1753.6+(418.8-413)+(-4.47168+(-1.06794--1.05315))+0-424--1.08119999999994</f>
        <v>1331.9947299999997</v>
      </c>
      <c r="AD287">
        <f t="shared" si="4"/>
        <v>31179.752265999992</v>
      </c>
      <c r="AE287" s="3">
        <f>1977+(816.8-816.9)+(0+(0-0))+0-385-0</f>
        <v>1591.9</v>
      </c>
    </row>
    <row r="288" spans="1:31" s="2" customFormat="1" x14ac:dyDescent="0.25">
      <c r="A288">
        <v>89</v>
      </c>
      <c r="B288">
        <v>10</v>
      </c>
      <c r="C288">
        <v>12</v>
      </c>
      <c r="D288">
        <v>2</v>
      </c>
      <c r="E288">
        <v>1</v>
      </c>
      <c r="F288" s="3">
        <f>1571.4+(534.5-482.7)+(-2.404242+(-0.817785--0.738531))+0-427.7--0.654381000000025</f>
        <v>1193.670885</v>
      </c>
      <c r="G288" s="3">
        <f>1560.8+(607.7-511.1)+(0+(0-0))+0-428.2-0</f>
        <v>1229.2</v>
      </c>
      <c r="H288" s="3">
        <f>1558.3+(605.2-588.6)+(-3.973665+(-1.54326--1.50093))+0-421.5--1.07482499999994</f>
        <v>1150.45883</v>
      </c>
      <c r="I288" s="3">
        <f>1557.5+(549.1-527.5)+(2.382975+(0.840123-0.807075))+0-416.7-0.637551000000024</f>
        <v>1164.1784719999998</v>
      </c>
      <c r="J288" s="3">
        <f>1558.4+(562.6-542.4)+(-3.179136+(-1.147704--1.106496))+0-423.4--0.863735999999982</f>
        <v>1152.843392</v>
      </c>
      <c r="K288" s="3">
        <f>1559+(604.3-634.9)+(-0.79509+(-0.308193--0.323799))+0-416.5--0.212414999999958</f>
        <v>1111.3329310000001</v>
      </c>
      <c r="L288" s="3">
        <f>1587+(818.8-810.7)+(-1.61874+(-0.835176--0.826914))+0-418.1--0.426462000000067</f>
        <v>1175.79946</v>
      </c>
      <c r="M288" s="3">
        <f>1664.6+(702.5-799.5)+(-0.848946+(-0.358275--0.407745))+0-425.6--0.217055999999957</f>
        <v>1141.4175799999998</v>
      </c>
      <c r="N288" s="3">
        <f>1884.6+(495.9-723.2)+(-0.961146+(-0.252909--0.368832))+0-412.2--0.210221999999958</f>
        <v>1244.4649989999996</v>
      </c>
      <c r="O288" s="3">
        <f>2189.4+(203.7-708.7)+(-3.349782+(-0.311661--1.084311))+0-412.4--0.630972000000024</f>
        <v>1270.05384</v>
      </c>
      <c r="P288" s="3">
        <f>2203+(221.1-610.1)+(3.37059+(0.338283-0.933453))+0-414.2-0.633726000000024</f>
        <v>1401.9416939999999</v>
      </c>
      <c r="Q288" s="3">
        <f>2197+(260.1-594.9)+(-5.60235+(-0.663255--1.516995))+0-418.4--1.06691999999994</f>
        <v>1440.1183100000001</v>
      </c>
      <c r="R288" s="3">
        <f>2191.1+(305.4-677.9)+(-5.587305+(-0.77877--1.728645))+0-421.3--1.07431499999994</f>
        <v>1393.7368849999998</v>
      </c>
      <c r="S288" s="3">
        <f>2198.3+(350.2-786.8)+(0+(0-0))+0-423.5-0</f>
        <v>1338.2000000000003</v>
      </c>
      <c r="T288" s="3">
        <f>2198.5+(394-839)+(-1.121235+(-0.20094--0.42789))+0-432.3--0.220472999999956</f>
        <v>1320.5261879999998</v>
      </c>
      <c r="U288" s="3">
        <f>2194.7+(318.7-744.2)+(-5.596485+(-0.812685--1.89771))+0-423.2--1.07915999999994</f>
        <v>1342.5676999999998</v>
      </c>
      <c r="V288" s="3">
        <f>2214.4+(350.5-775.4)+(-5.64672+(-0.893775--1.97727))+0-427.5--1.09012499999994</f>
        <v>1358.5268999999998</v>
      </c>
      <c r="W288" s="3">
        <f>2240.7+(333.7-668.3)+(-5.713785+(-0.850935--1.704165))+0-395.7--1.00903499999994</f>
        <v>1506.5484799999999</v>
      </c>
      <c r="X288" s="3">
        <f>2239+(355.3-605.9)+(-6.85134+(-1.087218--1.854054))+0-402.9--1.23287400000005</f>
        <v>1580.6483700000001</v>
      </c>
      <c r="Y288" s="3">
        <f>2193.8+(319.5-561)+(-5.59419+(-0.814725--1.43055))+0-418--1.06589999999994</f>
        <v>1530.3875350000001</v>
      </c>
      <c r="Z288" s="3">
        <f>1984.9+(478.1-580.7)+(-3.036897+(-0.731493--0.888471))+0-423.9--0.648567000000024</f>
        <v>1456.1686480000001</v>
      </c>
      <c r="AA288" s="3">
        <f>1843.1+(602.6-583.8)+(0+(0-0))+0-423.8-0</f>
        <v>1438.1000000000001</v>
      </c>
      <c r="AB288" s="3">
        <f>1659.8+(638.1-487.2)+(-2.539494+(-0.976293--0.745416))+0-426.8--0.653004000000025</f>
        <v>1381.782633</v>
      </c>
      <c r="AC288" s="3">
        <f>1566.1+(545.3-372.6)+(-3.194844+(-1.112412--0.760104))+0-424.7--0.866387999999981</f>
        <v>1311.4192359999995</v>
      </c>
      <c r="AD288">
        <f t="shared" si="4"/>
        <v>31634.092967999997</v>
      </c>
      <c r="AE288" s="3">
        <f>2247+(388.8-610.7)+(0+(0-0))+0-414.6-0</f>
        <v>1610.5</v>
      </c>
    </row>
    <row r="289" spans="1:31" s="2" customFormat="1" x14ac:dyDescent="0.25">
      <c r="A289">
        <v>89</v>
      </c>
      <c r="B289">
        <v>10</v>
      </c>
      <c r="C289">
        <v>13</v>
      </c>
      <c r="D289">
        <v>3</v>
      </c>
      <c r="E289">
        <v>1</v>
      </c>
      <c r="F289" s="3">
        <f>1566.7+(585.4-497)+(-3.196068+(-1.194216--1.01388))+0-427.7--0.872507999999981</f>
        <v>1224.8961039999997</v>
      </c>
      <c r="G289" s="3">
        <f>1566.4+(704.8-673)+(-1.597728+(-0.718896--0.68646))+0-424.1--0.432582000000068</f>
        <v>1172.9024180000004</v>
      </c>
      <c r="H289" s="3">
        <f>1565.8+(629.8-618.1)+(-1.597116+(-0.642396--0.630462))+0-427--0.435540000000068</f>
        <v>1149.3264900000001</v>
      </c>
      <c r="I289" s="3">
        <f>1565.5+(494.3-493.1)+(-2.395215+(-0.756279--0.754443))+0-429.6--0.657288000000025</f>
        <v>1135.3602370000001</v>
      </c>
      <c r="J289" s="3">
        <f>1568.5+(521.4-538.2)+(2.399805+(0.797742-0.823446))+0-427.2-0.653616000000025</f>
        <v>1126.2204849999998</v>
      </c>
      <c r="K289" s="3">
        <f>1567.7+(729.8-741.7)+(0+(0-0))+0-430.1-0</f>
        <v>1125.6999999999998</v>
      </c>
      <c r="L289" s="3">
        <f>1567.7+(731.8-789.7)+(0+(0-0))+0-428.1-0</f>
        <v>1081.6999999999998</v>
      </c>
      <c r="M289" s="3">
        <f>1565.9+(885.7-877.1)+(-1.597218+(-0.903414--0.894642))+0-423.7--0.432174000000068</f>
        <v>1149.626184</v>
      </c>
      <c r="N289" s="3">
        <f>1566.4+(996.4-918.7)+(-0.798864+(-0.508164--0.468537))+0-430.5--0.219554999999956</f>
        <v>1212.9810639999998</v>
      </c>
      <c r="O289" s="3">
        <f>1745+(626.9-585.6)+(-1.7799+(-0.639438--0.597312))+0-428--0.436560000000068</f>
        <v>1356.914534</v>
      </c>
      <c r="P289" s="3">
        <f>1953.3+(408.6-549)+(-3.984732+(-0.833544--1.11996))+0-431--0.879239999999981</f>
        <v>1379.0809240000001</v>
      </c>
      <c r="Q289" s="3">
        <f>1964.3+(459.6-637.5)+(-3.005379+(-0.703188--0.975375))+0-411.9--0.630207000000024</f>
        <v>1372.3970150000002</v>
      </c>
      <c r="R289" s="3">
        <f>1961.9+(314.3-525.9)+(-4.002276+(-0.641172--1.072836))+0-414.3--0.845171999999982</f>
        <v>1333.2745600000003</v>
      </c>
      <c r="S289" s="3">
        <f>1961.1+(317-514.8)+(-2.000322+(-0.32334--0.525096))+0-412--0.420240000000066</f>
        <v>1349.9216740000002</v>
      </c>
      <c r="T289" s="3">
        <f>1924.9+(366.7-576.2)+(-0.981699+(-0.187017--0.293862))+0-418.7--0.213536999999958</f>
        <v>1296.038683</v>
      </c>
      <c r="U289" s="3">
        <f>1913.6+(374.6-589.1)+(-1.951872+(-0.382092--0.600882))+0-413.5--0.421770000000066</f>
        <v>1284.2886880000001</v>
      </c>
      <c r="V289" s="3">
        <f>2040.5+(295.3-656.2)+(-5.203275+(-0.753015--1.67331))+0-411.1--1.04830499999994</f>
        <v>1265.2653250000001</v>
      </c>
      <c r="W289" s="3">
        <f>2209.3+(205-622)+(-5.633715+(-0.52275--1.5861))+0-404.2--1.03070999999994</f>
        <v>1384.5603450000001</v>
      </c>
      <c r="X289" s="3">
        <f>2213.5+(477.2-708)+(-4.51554+(-0.973488--1.44432))+0-411.3--0.839051999999982</f>
        <v>1568.1943440000002</v>
      </c>
      <c r="Y289" s="3">
        <f>2228+(486.1-788.1)+(-2.27256+(-0.495822--0.803862))+0-407.9--0.416058000000065</f>
        <v>1516.5515379999999</v>
      </c>
      <c r="Z289" s="3">
        <f>2152.2+(430.6-736.9)+(-2.195244+(-0.439212--0.751638))+0-407.3--0.415446000000065</f>
        <v>1437.1326279999998</v>
      </c>
      <c r="AA289" s="3">
        <f>2001.8+(685-812.2)+(1.020918+(0.34935-0.414222))+0-423.6-0.216035999999957</f>
        <v>1451.7400099999998</v>
      </c>
      <c r="AB289" s="3">
        <f>1988.4+(489.3-563.5)+(-3.042252+(-0.748629--0.862155))+0-422--0.645660000000024</f>
        <v>1489.9169340000001</v>
      </c>
      <c r="AC289" s="3">
        <f>1772.9+(507.5-483.9)+(-4.520895+(-1.294125--1.233945))+0-425.7--1.08553499999994</f>
        <v>1367.3044599999998</v>
      </c>
      <c r="AD289">
        <f t="shared" si="4"/>
        <v>31231.294644000001</v>
      </c>
      <c r="AE289" s="3">
        <f>2211+(520.1-736.8)+(0+(0-0))+0-414.5-0</f>
        <v>1579.8000000000002</v>
      </c>
    </row>
    <row r="290" spans="1:31" s="2" customFormat="1" x14ac:dyDescent="0.25">
      <c r="A290">
        <v>89</v>
      </c>
      <c r="B290">
        <v>10</v>
      </c>
      <c r="C290">
        <v>14</v>
      </c>
      <c r="D290">
        <v>4</v>
      </c>
      <c r="E290">
        <v>1</v>
      </c>
      <c r="F290" s="3">
        <f>1524.6+(574.9-456.7)+(-3.110184+(-1.172796--0.931668))+0-409.6--0.835583999999982</f>
        <v>1230.684272</v>
      </c>
      <c r="G290" s="3">
        <f>1469.4+(588.6-491.3)+(-1.498788+(-0.600372--0.501126))+0-423.6--0.432072000000068</f>
        <v>1141.9340379999999</v>
      </c>
      <c r="H290" s="3">
        <f>1468.9+(593.3-502.7)+(0+(0-0))+0-431.9-0</f>
        <v>1127.5999999999999</v>
      </c>
      <c r="I290" s="3">
        <f>1469.6+(577.3-485)+(-1.498992+(-0.588846--0.4947))+0-436.3--0.44502600000007</f>
        <v>1124.4518880000001</v>
      </c>
      <c r="J290" s="3">
        <f>1469.3+(607.4-504.1)+(2.997372+(1.239096-1.028364))+0-434.7-0.886787999999981</f>
        <v>1140.2213159999999</v>
      </c>
      <c r="K290" s="3">
        <f>1468.6+(676.3-558)+(0.748986+(0.344913-0.28458))+0-431.1-0.219860999999956</f>
        <v>1156.3894579999996</v>
      </c>
      <c r="L290" s="3">
        <f>1538.2+(691.5-684.2)+(-1.568964+(-0.70533--0.697884))+0-429.9--0.438498000000069</f>
        <v>1114.4620880000002</v>
      </c>
      <c r="M290" s="3">
        <f>1638.3+(665.1-720.1)+(-2.506599+(-1.017603--1.101753))+0-433.5--0.663255000000025</f>
        <v>1148.040806</v>
      </c>
      <c r="N290" s="3">
        <f>1804.2+(413.2-604.5)+(-1.840284+(-0.421464--0.61659))+0-435.2--0.443904000000069</f>
        <v>1176.498746</v>
      </c>
      <c r="O290" s="3">
        <f>2004.6+(364.4-639.7)+(-2.044692+(-0.371688--0.652494))+0-408.5--0.416670000000065</f>
        <v>1319.4527839999998</v>
      </c>
      <c r="P290" s="3">
        <f>2027.4+(259.7-514.9)+(-1.033974+(-0.132447--0.262599))+0-421--0.214709999999957</f>
        <v>1350.510888</v>
      </c>
      <c r="Q290" s="3">
        <f>2071.7+(269.6-577.3)+(-4.226268+(-0.549984--1.177692))+0-414.3--0.845171999999982</f>
        <v>1346.9466120000002</v>
      </c>
      <c r="R290" s="3">
        <f>1995.3+(361.8-568.7)+(-2.035206+(-0.369036--0.580074))+0-427.7--0.436254000000068</f>
        <v>1359.3120859999997</v>
      </c>
      <c r="S290" s="3">
        <f>1952+(313.6-426.2)+(-1.99104+(-0.319872--0.434724))+0-437.4--0.44614800000007</f>
        <v>1400.5699600000003</v>
      </c>
      <c r="T290" s="3">
        <f>1840.1+(364.2-398.1)+(-0.938451+(-0.185742--0.203031))+0-436.3--0.222512999999956</f>
        <v>1369.2013509999997</v>
      </c>
      <c r="U290" s="3">
        <f>1848.4+(287-410.6)+(0+(0-0))+0-434-0</f>
        <v>1290.8000000000002</v>
      </c>
      <c r="V290" s="3">
        <f>1967.3+(345.3-616.7)+(-4.013292+(-0.704412--1.258068))+0-430--0.877199999999981</f>
        <v>1263.3175639999997</v>
      </c>
      <c r="W290" s="3">
        <f>2180.4+(907.4-1278.8)+(0+(0-0))+0-412.3-0</f>
        <v>1396.7</v>
      </c>
      <c r="X290" s="3">
        <f>2232+(826.9-1046.1)+(-2.27664+(-0.843438--1.067022))+0-420.6--0.429012000000067</f>
        <v>1590.5759560000001</v>
      </c>
      <c r="Y290" s="3">
        <f>2209.6+(644.9-794.5)+(-1.126896+(-0.328899--0.405195))+0-436--0.222359999999956</f>
        <v>1623.1717599999999</v>
      </c>
      <c r="Z290" s="3">
        <f>2108.2+(598.2-777.3)+(-5.37591+(-1.52541--1.982115))+0-447.1--1.14010499999994</f>
        <v>1478.2208999999998</v>
      </c>
      <c r="AA290" s="3">
        <f>2006.7+(528-626.6)+(0+(0-0))+0-430.7-0</f>
        <v>1477.3999999999999</v>
      </c>
      <c r="AB290" s="3">
        <f>1787+(665.5-619.7)+(-0.91137+(-0.339405--0.316047))+0-429.6--0.219095999999956</f>
        <v>1402.4843680000001</v>
      </c>
      <c r="AC290" s="3">
        <f>1515.6+(781.8-542.5)+(-2.318868+(-1.196154--0.830025))+0-435.8--0.666774000000025</f>
        <v>1317.0817769999999</v>
      </c>
      <c r="AD290">
        <f t="shared" si="4"/>
        <v>31346.028618000004</v>
      </c>
      <c r="AE290" s="3">
        <f>2228+(859.2-1220)+(0+(0-0))+0-410-0</f>
        <v>1457.2</v>
      </c>
    </row>
    <row r="291" spans="1:31" s="2" customFormat="1" x14ac:dyDescent="0.25">
      <c r="A291">
        <v>89</v>
      </c>
      <c r="B291">
        <v>10</v>
      </c>
      <c r="C291">
        <v>15</v>
      </c>
      <c r="D291">
        <v>5</v>
      </c>
      <c r="E291">
        <v>1</v>
      </c>
      <c r="F291" s="3">
        <f>1505.9+(776.8-636.3)+(-3.072036+(-1.584672--1.298052))+0-437.9--0.893315999999981</f>
        <v>1206.03466</v>
      </c>
      <c r="G291" s="3">
        <f>1506.6+(727.3-654.4)+(-1.536732+(-0.741846--0.667488))+0-434.6--0.443292000000069</f>
        <v>1143.7322019999999</v>
      </c>
      <c r="H291" s="3">
        <f>1507.1+(689.6-625.2)+(-0.768621+(-0.351696--0.318852))+0-437.7--0.223226999999956</f>
        <v>1133.2217619999999</v>
      </c>
      <c r="I291" s="3">
        <f>1505.5+(583.3-611.6)+(-0.767805+(-0.297483--0.311916))+0-409.3--0.208742999999958</f>
        <v>1067.3553709999999</v>
      </c>
      <c r="J291" s="3">
        <f>1506.1+(559-560.5)+(-0.768111+(-0.28509--0.285855))+0-423.9--0.216188999999957</f>
        <v>1080.1488429999997</v>
      </c>
      <c r="K291" s="3">
        <f>1506.9+(591-541.3)+(-1.537038+(-0.60282--0.552126))+0-435.3--0.444006000000069</f>
        <v>1120.1562740000004</v>
      </c>
      <c r="L291" s="3">
        <f>1506.8+(524.7-452.5)+(-1.536936+(-0.535194--0.46155))+0-426.4--0.434928000000068</f>
        <v>1151.424348</v>
      </c>
      <c r="M291" s="3">
        <f>1518+(489.7-383.9)+(-1.54836+(-0.499494--0.391578))+0-439--0.44778000000007</f>
        <v>1183.591504</v>
      </c>
      <c r="N291" s="3">
        <f>1622.8+(353.9-356.2)+(-3.310512+(-0.721956--0.726648))+0-427.6--0.872303999999981</f>
        <v>1190.466484</v>
      </c>
      <c r="O291" s="3">
        <f>1694.4+(514-549)+(-0.864144+(-0.26214--0.27999))+0-409.5--0.208844999999958</f>
        <v>1249.262551</v>
      </c>
      <c r="P291" s="3">
        <f>1825.7+(697.6-757.3)+(-0.931107+(-0.355776--0.386223))+0-415--0.211649999999958</f>
        <v>1350.3109899999999</v>
      </c>
      <c r="Q291" s="3">
        <f>1844.9+(805.3-859.5)+(-0.940899+(-0.410703--0.438345))+0-417.4--0.212873999999958</f>
        <v>1372.5996170000001</v>
      </c>
      <c r="R291" s="3">
        <f>1784.4+(615.8-642.7)+(-1.820088+(-0.628116--0.655554))+0-427.9--0.436458000000068</f>
        <v>1328.2438080000002</v>
      </c>
      <c r="S291" s="3">
        <f>1829.3+(419.7-529.9)+(-2.798829+(-0.642141--0.810747))+0-414.8--0.634644000000024</f>
        <v>1302.304421</v>
      </c>
      <c r="T291" s="3">
        <f>1831.4+(356.8-447.9)+(-1.868028+(-0.363936--0.456858))+0-426.5--0.435030000000068</f>
        <v>1312.4599240000002</v>
      </c>
      <c r="U291" s="3">
        <f>1844.1+(290-415.9)+(4.702455+(0.7395-1.060545))+0-431-1.09904999999994</f>
        <v>1290.4823599999997</v>
      </c>
      <c r="V291" s="3">
        <f>2089+(353-735.3)+(-3.19617+(-0.54009--1.125009))+0-426.5--0.652545000000025</f>
        <v>1278.2412939999999</v>
      </c>
      <c r="W291" s="3">
        <f>2233.7+(806.9-1290.6)+(1.139187+(0.411519-0.658206))+0-392.4-0.20012399999996</f>
        <v>1358.2923759999999</v>
      </c>
      <c r="X291" s="3">
        <f>2229.3+(1053.8-1403.1)+(-4.547772+(-2.149752--2.862324))+0-392.5--0.800699999999983</f>
        <v>1484.4655000000002</v>
      </c>
      <c r="Y291" s="3">
        <f>2203.8+(1161.1-1464.3)+(-3.371814+(-1.776483--2.240379))+0-400.9--0.613377000000023</f>
        <v>1497.4054590000001</v>
      </c>
      <c r="Z291" s="3">
        <f>2072.8+(1023.3-1196.8)+(-1.057128+(-0.521883--0.610368))+0-403.6--0.205835999999959</f>
        <v>1494.937193</v>
      </c>
      <c r="AA291" s="3">
        <f>1983.9+(921.8-1002.9)+(-3.035367+(-1.410354--1.534437))+0-411--0.628830000000024</f>
        <v>1489.5175460000003</v>
      </c>
      <c r="AB291" s="3">
        <f>1784.3+(908.7-824.9)+(-4.549965+(-2.317185--2.103495))+0-421.7--1.07533499999994</f>
        <v>1442.7116799999999</v>
      </c>
      <c r="AC291" s="3">
        <f>1689.9+(815.8-721.5)+(-4.309245+(-2.08029--1.839825))+0-427.3--1.08961499999994</f>
        <v>1353.439905</v>
      </c>
      <c r="AD291">
        <f t="shared" si="4"/>
        <v>30880.806071999999</v>
      </c>
      <c r="AE291" s="3">
        <f>2231+(991.1-1417.8)+(0+(0-0))+0-369.2-0</f>
        <v>1435.1000000000001</v>
      </c>
    </row>
    <row r="292" spans="1:31" s="2" customFormat="1" x14ac:dyDescent="0.25">
      <c r="A292">
        <v>89</v>
      </c>
      <c r="B292">
        <v>10</v>
      </c>
      <c r="C292">
        <v>16</v>
      </c>
      <c r="D292">
        <v>6</v>
      </c>
      <c r="E292">
        <v>1</v>
      </c>
      <c r="F292" s="3">
        <f>1604.3+(620-573.9)+(-1.636386+(-0.6324--0.585378))+0-426.9--0.435438000000068</f>
        <v>1222.2520300000001</v>
      </c>
      <c r="G292" s="3">
        <f>1569.4+(606.9-643)+(-2.401182+(-0.928557--0.98379))+0-420.3--0.643059000000024</f>
        <v>1111.2971100000002</v>
      </c>
      <c r="H292" s="3">
        <f>1569+(548.4-577.7)+(-3.20076+(-1.118736--1.178508))+0-422.1--0.861083999999982</f>
        <v>1115.3200959999997</v>
      </c>
      <c r="I292" s="3">
        <f>1570+(564.2-611.4)+(-2.4021+(-0.863226--0.935442))+0-429.4--0.656982000000025</f>
        <v>1091.7270980000003</v>
      </c>
      <c r="J292" s="3">
        <f>1569.9+(558.9-592.3)+(-0.800649+(-0.285039--0.302073))+0-422--0.215219999999957</f>
        <v>1113.931605</v>
      </c>
      <c r="K292" s="3">
        <f>1570.3+(510.6-555.5)+(0+(0-0))+0-431.7-0</f>
        <v>1093.7</v>
      </c>
      <c r="L292" s="3">
        <f>1569.6+(580.8-538.2)+(-0.800496+(-0.296208--0.274482))+0-430.8--0.219707999999956</f>
        <v>1180.7974859999997</v>
      </c>
      <c r="M292" s="3">
        <f>1570+(552.3-366.2)+(0+(0-0))+0-435.2-0</f>
        <v>1320.8999999999999</v>
      </c>
      <c r="N292" s="3">
        <f>1627.7+(526.8-477)+(-0.830127+(-0.268668--0.24327))+0-423.1--0.215780999999957</f>
        <v>1253.760256</v>
      </c>
      <c r="O292" s="3">
        <f>1722.8+(454.2-510.9)+(-1.757256+(-0.463284--0.521118))+0-385.8--0.393516000000062</f>
        <v>1278.9940940000001</v>
      </c>
      <c r="P292" s="3">
        <f>1827+(414.1-544.4)+(0+(0-0))+0-384.7-0</f>
        <v>1312</v>
      </c>
      <c r="Q292" s="3">
        <f>1852.5+(520.1-647)+(-1.88955+(-0.530502--0.65994))+0-409.5--0.417690000000065</f>
        <v>1314.757578</v>
      </c>
      <c r="R292" s="3">
        <f>1851.2+(438.6-527.1)+(-5.664672+(-1.342116--1.612926))+0-411.8--1.26010800000005</f>
        <v>1346.7662460000001</v>
      </c>
      <c r="S292" s="3">
        <f>1843.3+(414.7-520.2)+(-2.820249+(-0.634491--0.795906))+0-424--0.648720000000025</f>
        <v>1311.7898859999998</v>
      </c>
      <c r="T292" s="3">
        <f>1848.8+(400.2-561.3)+(-1.885776+(-0.408204--0.572526))+0-424.1--0.432582000000068</f>
        <v>1262.3111280000001</v>
      </c>
      <c r="U292" s="3">
        <f>1848.2+(538.8-619.6)+(0+(0-0))+0-426.8-0</f>
        <v>1340.6000000000001</v>
      </c>
      <c r="V292" s="3">
        <f>2044.3+(186.7-538.7)+(-2.085186+(-0.190434--0.549474))+0-431.3--0.439926000000069</f>
        <v>1259.71378</v>
      </c>
      <c r="W292" s="3">
        <f>2242.3+(325.1-871.6)+(0+(0-0))+0-435.4-0</f>
        <v>1260.4000000000001</v>
      </c>
      <c r="X292" s="3">
        <f>2241.2+(708.7-1111.7)+(-5.71506+(-1.807185--2.834835))+0-427.1--1.08910499999994</f>
        <v>1407.5016949999999</v>
      </c>
      <c r="Y292" s="3">
        <f>2232.5+(902.2-1273.1)+(-3.415725+(-1.380366--1.947843))+0-424.9--0.650097000000025</f>
        <v>1434.501849</v>
      </c>
      <c r="Z292" s="3">
        <f>2233.8+(756.9-1135.4)+(-1.139238+(-0.386019--0.579054))+0-427.1--0.217820999999957</f>
        <v>1427.4716180000003</v>
      </c>
      <c r="AA292" s="3">
        <f>2138.2+(719-961.7)+(-2.180964+(-0.73338--0.980934))+0-420.6--0.429012000000067</f>
        <v>1473.3956019999996</v>
      </c>
      <c r="AB292" s="3">
        <f>2018.8+(592.3-773)+(-1.029588+(-0.302073--0.39423))+0-400.6--0.204305999999959</f>
        <v>1436.7668749999996</v>
      </c>
      <c r="AC292" s="3">
        <f>1910.1+(419.3-631.3)+(-2.922453+(-0.641529--0.965889))+0-402--0.615060000000023</f>
        <v>1294.1169669999999</v>
      </c>
      <c r="AD292">
        <f t="shared" si="4"/>
        <v>30664.772999000001</v>
      </c>
      <c r="AE292" s="3">
        <f>2240+(596-1053.8)+(0+(0-0))+0-430.5-0</f>
        <v>1351.7</v>
      </c>
    </row>
    <row r="293" spans="1:31" s="2" customFormat="1" x14ac:dyDescent="0.25">
      <c r="A293">
        <v>89</v>
      </c>
      <c r="B293">
        <v>10</v>
      </c>
      <c r="C293">
        <v>17</v>
      </c>
      <c r="D293">
        <v>7</v>
      </c>
      <c r="E293">
        <v>1</v>
      </c>
      <c r="F293" s="3">
        <f>1717.6+(449.8-549.1)+(-0.875976+(-0.229398--0.280041))+0-402.2--0.205121999999959</f>
        <v>1215.4797889999998</v>
      </c>
      <c r="G293" s="3">
        <f>1609.6+(486.3-546.5)+(-2.462688+(-0.744039--0.836145))+0-402.7--0.616131000000023</f>
        <v>1144.9455489999998</v>
      </c>
      <c r="H293" s="3">
        <f>1583.8+(459.7-554.1)+(0+(0-0))+0-402.1-0</f>
        <v>1087.2999999999997</v>
      </c>
      <c r="I293" s="3">
        <f>1584.1+(410.3-519.1)+(0.807891+(0.209253-0.264741))+0-401.9-0.204968999999959</f>
        <v>1073.9474340000002</v>
      </c>
      <c r="J293" s="3">
        <f>1584+(381.3-488.1)+(-1.61568+(-0.388926--0.497862))+0-399.8--0.407796000000064</f>
        <v>1076.301052</v>
      </c>
      <c r="K293" s="3">
        <f>1583+(395.1-461.5)+(0.80733+(0.201501-0.235365))+0-399.4-0.203693999999959</f>
        <v>1117.7697719999999</v>
      </c>
      <c r="L293" s="3">
        <f>1583+(538.6-640.4)+(-4.03665+(-1.37343--1.63302))+0-398.5--1.01617499999994</f>
        <v>1079.9391150000001</v>
      </c>
      <c r="M293" s="3">
        <f>1582.4+(595.9-731.7)+(0+(0-0))+0-400.5-0</f>
        <v>1046.0999999999999</v>
      </c>
      <c r="N293" s="3">
        <f>1583.7+(747.9-861.1)+(0+(0-0))+0-397.5-0</f>
        <v>1073</v>
      </c>
      <c r="O293" s="3">
        <f>1585.1+(728.3-768)+(3.233604+(1.485732-1.56672))+0-399.6-0.815183999999983</f>
        <v>1148.137432</v>
      </c>
      <c r="P293" s="3">
        <f>1583.5+(612.6-666.1)+(-2.422755+(-0.937278--1.019133))+0-401--0.613530000000023</f>
        <v>1127.2726300000002</v>
      </c>
      <c r="Q293" s="3">
        <f>1584.6+(519.8-530.2)+(-0.808146+(-0.265098--0.270402))+0-402.8--0.205427999999959</f>
        <v>1170.8025859999998</v>
      </c>
      <c r="R293" s="3">
        <f>1583.6+(469-510.5)+(-2.422908+(-0.71757--0.781065))+0-398.1--0.609093000000023</f>
        <v>1142.2496799999999</v>
      </c>
      <c r="S293" s="3">
        <f>1584.6+(485.8-559.6)+(-1.616292+(-0.495516--0.570792))+0-401.4--0.409428000000064</f>
        <v>1108.2684120000001</v>
      </c>
      <c r="T293" s="3">
        <f>1585.9+(446.5-537.8)+(1.617618+(0.45543-0.548556))+0-401.6-0.409632000000064</f>
        <v>1094.1148599999999</v>
      </c>
      <c r="U293" s="3">
        <f>1587.2+(438.8-528.3)+(0+(0-0))+0-402.4-0</f>
        <v>1095.3000000000002</v>
      </c>
      <c r="V293" s="3">
        <f>1686.3+(371.8-509.4)+(-5.160078+(-1.137708--1.558764))+0-400--1.22400000000005</f>
        <v>1145.1849780000002</v>
      </c>
      <c r="W293" s="3">
        <f>1760.2+(654.3-720)+(-0.897702+(-0.333693--0.3672))+0-402.2--0.205121999999959</f>
        <v>1291.6409269999997</v>
      </c>
      <c r="X293" s="3">
        <f>1762.6+(1179-1097.8)+(-2.696778+(-1.80387--1.679634))+0-402.2--0.615366000000023</f>
        <v>1439.3943519999998</v>
      </c>
      <c r="Y293" s="3">
        <f>1761.9+(1125.7-1058.1)+(0+(0-0))+0-401.4-0</f>
        <v>1428.1000000000004</v>
      </c>
      <c r="Z293" s="3">
        <f>1761.9+(1278.6-1257.7)+(-3.594276+(-2.608344--2.565708))+0-403.3--0.822731999999982</f>
        <v>1376.6858200000001</v>
      </c>
      <c r="AA293" s="3">
        <f>1764.4+(1307.4-1305)+(-0.899844+(-0.666774--0.66555))+0-398.9--0.20343899999996</f>
        <v>1367.2023710000003</v>
      </c>
      <c r="AB293" s="3">
        <f>1727.3+(984.6-996.6)+(-0.880923+(-0.502146--0.508266))+0-398.1--0.20303099999996</f>
        <v>1316.5282280000001</v>
      </c>
      <c r="AC293" s="3">
        <f>1611.1+(847.3-816.2)+(-2.464983+(-1.296369--1.248786))+0-411--0.628830000000024</f>
        <v>1229.3162639999998</v>
      </c>
      <c r="AD293">
        <f t="shared" si="4"/>
        <v>28394.981250999994</v>
      </c>
      <c r="AE293" s="3">
        <f>1765+(1074.2-989.9)+(0+(0-0))+0-400.8-0</f>
        <v>1448.5000000000002</v>
      </c>
    </row>
    <row r="294" spans="1:31" s="2" customFormat="1" x14ac:dyDescent="0.25">
      <c r="A294">
        <v>89</v>
      </c>
      <c r="B294">
        <v>10</v>
      </c>
      <c r="C294">
        <v>18</v>
      </c>
      <c r="D294">
        <v>1</v>
      </c>
      <c r="E294">
        <v>1</v>
      </c>
      <c r="F294" s="3">
        <f>1543.4+(899.4-886.3)+(-3.93567+(-2.29347--2.260065))+0-431.9--1.10134499999994</f>
        <v>1121.73227</v>
      </c>
      <c r="G294" s="3">
        <f>1500.7+(801.4-791.1)+(-1.530714+(-0.817428--0.806922))+0-434.2--0.442884000000069</f>
        <v>1075.7016639999999</v>
      </c>
      <c r="H294" s="3">
        <f>1500+(707.3-714.4)+(-3.825+(-1.803615--1.82172))+0-429.7--1.09573499999994</f>
        <v>1060.48884</v>
      </c>
      <c r="I294" s="3">
        <f>1501.6+(778.7-799.8)+(-1.531632+(-0.794274--0.815796))+0-437.2--0.44594400000007</f>
        <v>1042.2358340000001</v>
      </c>
      <c r="J294" s="3">
        <f>1503+(684-714.2)+(-0.76653+(-0.34884--0.364242))+0-432.4--0.220523999999956</f>
        <v>1039.8693959999998</v>
      </c>
      <c r="K294" s="3">
        <f>1501.2+(785-806.1)+(-1.531224+(-0.8007--0.822222))+0-423.8--0.432276000000068</f>
        <v>1055.2225739999999</v>
      </c>
      <c r="L294" s="3">
        <f>1501.6+(649.6-624.8)+(-0.765816+(-0.331296--0.318648))+0-430.7--0.219656999999956</f>
        <v>1095.1411929999999</v>
      </c>
      <c r="M294" s="3">
        <f>1502.8+(702.1-572.7)+(0.766428+(0.358071-0.292077))+0-442.2-0.225521999999955</f>
        <v>1190.6068999999998</v>
      </c>
      <c r="N294" s="3">
        <f>1531.9+(860.6-653.1)+(0+(0-0))+0-426-0</f>
        <v>1313.4</v>
      </c>
      <c r="O294" s="3">
        <f>1575.3+(1163.3-923.3)+(-0.803403+(-0.593283--0.470883))+0-436.8--0.222767999999956</f>
        <v>1377.7969649999998</v>
      </c>
      <c r="P294" s="3">
        <f>1635.3+(1192.9-983.1)+(-1.668006+(-1.216758--1.002762))+0-431.4--0.440028000000069</f>
        <v>1412.258026</v>
      </c>
      <c r="Q294" s="3">
        <f>1716.8+(1181.1-1027.5)+(-0.875568+(-0.602361--0.524025))+0-429.6--0.219095999999956</f>
        <v>1440.0651919999998</v>
      </c>
      <c r="R294" s="3">
        <f>1714.5+(962.2-911.9)+(-0.874395+(-0.490722--0.465069))+0-426.7--0.217616999999957</f>
        <v>1337.4175690000002</v>
      </c>
      <c r="S294" s="3">
        <f>1714+(653.9-651.5)+(-1.74828+(-0.666978--0.66453))+0-432.5--0.441150000000069</f>
        <v>1282.5904220000002</v>
      </c>
      <c r="T294" s="3">
        <f>1714+(612.5-569.8)+(-1.74828+(-0.62475--0.581196))+0-431.6--0.440232000000069</f>
        <v>1323.748398</v>
      </c>
      <c r="U294" s="3">
        <f>1717.5+(584.9-559.3)+(0+(0-0))+0-437.5-0</f>
        <v>1305.5999999999999</v>
      </c>
      <c r="V294" s="3">
        <f>1845.8+(603.2-658.6)+(0+(0-0))+0-434.2-0</f>
        <v>1356.2</v>
      </c>
      <c r="W294" s="3">
        <f>2191.7+(823-1091.1)+(2.235534+(0.83946-1.112922))+0-436-0.44472000000007</f>
        <v>1489.117352</v>
      </c>
      <c r="X294" s="3">
        <f>2251.9+(985.4-1209.3)+(-3.445407+(-1.507662--1.850229))+0-431.5--0.660195000000025</f>
        <v>1594.0573549999999</v>
      </c>
      <c r="Y294" s="3">
        <f>2239.9+(1023.1-1315.7)+(-4.569396+(-2.087124--2.684028))+0-432.9--0.883115999999981</f>
        <v>1511.3106240000002</v>
      </c>
      <c r="Z294" s="3">
        <f>2173.9+(1003.7-1250.8)+(-2.217378+(-1.023774--1.275816))+0-426.5--0.435030000000068</f>
        <v>1498.7696940000003</v>
      </c>
      <c r="AA294" s="3">
        <f>1959.3+(1041.2-1082.8)+(-1.998486+(-1.062024--1.104456))+0-420.3--0.428706000000067</f>
        <v>1495.8726520000002</v>
      </c>
      <c r="AB294" s="3">
        <f>1653.1+(1018.5-842.8)+(-0.843081+(-0.519435--0.429828))+0-423.8--0.216137999999957</f>
        <v>1404.2834499999999</v>
      </c>
      <c r="AC294" s="3">
        <f>1520.4+(1061.4-823.6)+(-3.101616+(-2.165256--1.680144))+0-428.4--0.873935999999981</f>
        <v>1327.0872080000004</v>
      </c>
      <c r="AD294">
        <f t="shared" si="4"/>
        <v>31150.573578</v>
      </c>
      <c r="AE294" s="3">
        <f>2259+(1014.1-1229.2)+(0+(0-0))+0-440.8-0</f>
        <v>1603.1000000000001</v>
      </c>
    </row>
    <row r="295" spans="1:31" s="2" customFormat="1" x14ac:dyDescent="0.25">
      <c r="A295">
        <v>89</v>
      </c>
      <c r="B295">
        <v>10</v>
      </c>
      <c r="C295">
        <v>19</v>
      </c>
      <c r="D295">
        <v>2</v>
      </c>
      <c r="E295">
        <v>1</v>
      </c>
      <c r="F295" s="3">
        <f>1512+(883.5-726.6)+(-2.31336+(-1.351755--1.111698))+0-416.1--0.636633000000024</f>
        <v>1250.8832160000002</v>
      </c>
      <c r="G295" s="3">
        <f>1512+(761-725)+(-4.62672+(-2.32866--2.2185))+0-428.1--1.30998600000005</f>
        <v>1116.4731060000001</v>
      </c>
      <c r="H295" s="3">
        <f>1503.1+(804.9-691.6)+(0.766581+(0.410499-0.352716))+0-435.9-0.222308999999956</f>
        <v>1181.1020550000001</v>
      </c>
      <c r="I295" s="3">
        <f>1501+(745-663.3)+(-2.29653+(-1.13985--1.014849))+0-434.8--0.665244000000025</f>
        <v>1146.1437130000002</v>
      </c>
      <c r="J295" s="3">
        <f>1501.6+(699.2-660.3)+(1.531632+(0.713184-0.673506))+0-435-0.443700000000069</f>
        <v>1106.62761</v>
      </c>
      <c r="K295" s="3">
        <f>1502.7+(717.9-658.1)+(-1.532754+(-0.732258--0.671262))+0-440.5--0.44931000000007</f>
        <v>1120.85556</v>
      </c>
      <c r="L295" s="3">
        <f>1504.3+(615.6-508.4)+(-3.068772+(-1.255824--1.037136))+0-430.2--0.877607999999981</f>
        <v>1178.890148</v>
      </c>
      <c r="M295" s="3">
        <f>1566.1+(549.3-473.7)+(-2.396133+(-0.840429--0.724761))+0-416.9--0.637857000000024</f>
        <v>1222.9260559999996</v>
      </c>
      <c r="N295" s="3">
        <f>1596.1+(600.3-552.1)+(0.814011+(0.306153-0.281571))+0-433.2-0.220931999999956</f>
        <v>1211.7176609999997</v>
      </c>
      <c r="O295" s="3">
        <f>1718.5+(543.5-542.6)+(-0.876435+(-0.277185--0.276726))+0-408.2--0.208181999999959</f>
        <v>1310.5312879999999</v>
      </c>
      <c r="P295" s="3">
        <f>1719.8+(794.1-712.9)+(0+(0-0))+0-405.2-0</f>
        <v>1395.8</v>
      </c>
      <c r="Q295" s="3">
        <f>1719.9+(893.8-848.3)+(0+(0-0))+0-420.2-0</f>
        <v>1345.2</v>
      </c>
      <c r="R295" s="3">
        <f>1717.4+(733.4-656.6)+(-3.503496+(-1.496136--1.339464))+0-423.3--0.863531999999982</f>
        <v>1368.1033640000001</v>
      </c>
      <c r="S295" s="3">
        <f>1717.6+(560.1-496.8)+(-1.751952+(-0.571302--0.506736))+0-429.8--0.438396000000069</f>
        <v>1349.7218779999998</v>
      </c>
      <c r="T295" s="3">
        <f>1715.2+(505.9-475.7)+(-3.499008+(-1.032036--0.970428))+0-424.4--0.865775999999981</f>
        <v>1318.3051600000001</v>
      </c>
      <c r="U295" s="3">
        <f>1720.1+(637-559.4)+(0+(0-0))+0-419-0</f>
        <v>1378.6999999999998</v>
      </c>
      <c r="V295" s="3">
        <f>1767.9+(762.9-747.1)+(0+(0-0))+0-427.3-0</f>
        <v>1356.4</v>
      </c>
      <c r="W295" s="3">
        <f>2153.2+(1103-1285.1)+(0+(0-0))+4.2-439.2-0</f>
        <v>1536.1</v>
      </c>
      <c r="X295" s="3">
        <f>2240.1+(1182.4-1384.6)+(-3.427353+(-1.809072--2.118438))+0-438.7--0.671211000000025</f>
        <v>1596.753224</v>
      </c>
      <c r="Y295" s="3">
        <f>2236.5+(766.1-1047)+(-3.421845+(-1.172133--1.60191))+0-426.8--0.653004000000025</f>
        <v>1526.4609359999999</v>
      </c>
      <c r="Z295" s="3">
        <f>2174+(743.5-968.4)+(-2.21748+(-0.75837--0.987768))+0-423.9--0.432378000000068</f>
        <v>1523.6442959999999</v>
      </c>
      <c r="AA295" s="3">
        <f>1946.8+(825.1-910.8)+(-1.985736+(-0.841602--0.929016))+0-404.7--0.412794000000065</f>
        <v>1454.9144719999999</v>
      </c>
      <c r="AB295" s="3">
        <f>1774+(647.6-628.2)+(-3.61896+(-1.321104--1.281528))+0-415.4--0.847415999999982</f>
        <v>1375.1888800000002</v>
      </c>
      <c r="AC295" s="3">
        <f>1575.7+(934.5-792.2)+(-0.803607+(-0.476595--0.404022))+0-412.1--0.210170999999958</f>
        <v>1305.2339909999998</v>
      </c>
      <c r="AD295">
        <f t="shared" si="4"/>
        <v>31676.676614000004</v>
      </c>
      <c r="AE295" s="3">
        <f>2238+(1360.5-1552.5)+(0+(0-0))+0-430.9-0</f>
        <v>1615.1</v>
      </c>
    </row>
    <row r="296" spans="1:31" s="2" customFormat="1" x14ac:dyDescent="0.25">
      <c r="A296">
        <v>89</v>
      </c>
      <c r="B296">
        <v>10</v>
      </c>
      <c r="C296">
        <v>20</v>
      </c>
      <c r="D296">
        <v>3</v>
      </c>
      <c r="E296">
        <v>1</v>
      </c>
      <c r="F296" s="3">
        <f>1552+(877-785.9)+(-2.37456+(-1.34181--1.202427))+0-431.4--0.660042000000025</f>
        <v>1209.8460989999999</v>
      </c>
      <c r="G296" s="3">
        <f>1501.2+(879.2-798.4)+(-2.296836+(-1.345176--1.221552))+0-423.1--0.647343000000025</f>
        <v>1157.1268829999999</v>
      </c>
      <c r="H296" s="3">
        <f>1503.1+(728.2-686)+(2.299743+(1.114146-1.04958))+0-420-0.642600000000024</f>
        <v>1127.0217089999999</v>
      </c>
      <c r="I296" s="3">
        <f>1502.3+(655.4-655.9)+(-1.532346+(-0.668508--0.669018))+0-428.8--0.437376000000068</f>
        <v>1071.90554</v>
      </c>
      <c r="J296" s="3">
        <f>1501.4+(730-642.3)+(-1.531428+(-0.7446--0.655146))+0-435.1--0.443802000000069</f>
        <v>1152.8229200000003</v>
      </c>
      <c r="K296" s="3">
        <f>1500.3+(715-638.8)+(0+(0-0))+0-427.5-0</f>
        <v>1149</v>
      </c>
      <c r="L296" s="3">
        <f>1501.9+(741.6-709.3)+(-0.765969+(-0.378216--0.361743))+0-432.9--0.220778999999956</f>
        <v>1100.7383370000005</v>
      </c>
      <c r="M296" s="3">
        <f>1501.8+(761.7-690.2)+(1.531836+(0.776934-0.704004))+0-425.8-0.434316000000068</f>
        <v>1148.6704499999998</v>
      </c>
      <c r="N296" s="3">
        <f>1573.1+(496.2-496.9)+(0+(0-0))+0-432.7-0</f>
        <v>1139.6999999999998</v>
      </c>
      <c r="O296" s="3">
        <f>1668.5+(610.9-598.9)+(0+(0-0))+0-426.2-0</f>
        <v>1254.3</v>
      </c>
      <c r="P296" s="3">
        <f>1830.5+(669.1-788.7)+(-1.86711+(-0.682482--0.804474))+0-421.5--0.429930000000067</f>
        <v>1288.0848120000001</v>
      </c>
      <c r="Q296" s="3">
        <f>1904.2+(757.5-924.1)+(-0.971142+(-0.386325--0.471291))+0-428--0.218279999999957</f>
        <v>1308.932104</v>
      </c>
      <c r="R296" s="3">
        <f>1902.2+(799.7-936.2)+(-6.790854+(-2.854929--3.342234))+0-430--1.53510000000001</f>
        <v>1330.9315510000001</v>
      </c>
      <c r="S296" s="3">
        <f>1903.2+(677.7-888.2)+(-0.970632+(-0.345627--0.452982))+0-434.5--0.221594999999956</f>
        <v>1257.5583180000001</v>
      </c>
      <c r="T296" s="3">
        <f>1904.3+(661.7-859.3)+(0+(0-0))+0-431.5-0</f>
        <v>1275.2</v>
      </c>
      <c r="U296" s="3">
        <f>1904.5+(534.5-684.9)+(0+(0-0))+0-436.7-0</f>
        <v>1317.3999999999999</v>
      </c>
      <c r="V296" s="3">
        <f>2007+(469.5-763.8)+(-5.11785+(-1.197225--1.94769))+0-422.7--1.07788499999994</f>
        <v>1286.7104999999999</v>
      </c>
      <c r="W296" s="3">
        <f>2237.1+(731.6-1132)+(0+(0-0))+0-407.5-0</f>
        <v>1429.1999999999998</v>
      </c>
      <c r="X296" s="3">
        <f>2234.5+(856.7-1109.3)+(-4.55838+(-1.747668--2.262972))+0-401.6--0.819263999999983</f>
        <v>1577.0761880000002</v>
      </c>
      <c r="Y296" s="3">
        <f>2226.5+(621.3-950.5)+(-3.406545+(-0.950589--1.454265))+0-392--0.599760000000023</f>
        <v>1502.996891</v>
      </c>
      <c r="Z296" s="3">
        <f>2091.5+(714.4-932.2)+(-1.066665+(-0.364344--0.475422))+0-405.8--0.206957999999959</f>
        <v>1467.1513709999999</v>
      </c>
      <c r="AA296" s="3">
        <f>1865.7+(667.2-673.8)+(1.903014+(0.680544-0.687276))+0-410.4-0.418608000000065</f>
        <v>1450.1776739999998</v>
      </c>
      <c r="AB296" s="3">
        <f>1785.5+(500.7-555.3)+(-1.82121+(-0.510714--0.566406))+0-411.6--0.419832000000066</f>
        <v>1317.9543140000001</v>
      </c>
      <c r="AC296" s="3">
        <f>1583.9+(623.6-499.4)+(-1.615578+(-0.636072--0.509388))+0-421.7--0.430134000000067</f>
        <v>1285.0878720000003</v>
      </c>
      <c r="AD296">
        <f t="shared" si="4"/>
        <v>30605.593532999999</v>
      </c>
      <c r="AE296" s="3">
        <f>2241+(950-1224)+(0+(0-0))+0-396-0</f>
        <v>1571</v>
      </c>
    </row>
    <row r="297" spans="1:31" s="2" customFormat="1" x14ac:dyDescent="0.25">
      <c r="A297">
        <v>89</v>
      </c>
      <c r="B297">
        <v>10</v>
      </c>
      <c r="C297">
        <v>21</v>
      </c>
      <c r="D297">
        <v>4</v>
      </c>
      <c r="E297">
        <v>1</v>
      </c>
      <c r="F297" s="3">
        <f>1569.1+(616.1-617.4)+(-1.600482+(-0.628422--0.629748))+0-426.7--0.435234000000068</f>
        <v>1139.936078</v>
      </c>
      <c r="G297" s="3">
        <f>1568.7+(656.9-653.2)+(-1.600074+(-0.670038--0.666264))+0-420.6--0.429012000000067</f>
        <v>1150.625164</v>
      </c>
      <c r="H297" s="3">
        <f>1571+(692.5-688.4)+(0.80121+(0.353175-0.351084))+0-431.6-0.220115999999956</f>
        <v>1144.083185</v>
      </c>
      <c r="I297" s="3">
        <f>1569.7+(693.1-666)+(0.800547+(0.353481-0.33966))+0-434.2-0.221441999999956</f>
        <v>1163.1929260000002</v>
      </c>
      <c r="J297" s="3">
        <f>1571.2+(552.6-658.2)+(1.602624+(0.563652-0.671364))+0-439.2-0.44798400000007</f>
        <v>1027.4469279999998</v>
      </c>
      <c r="K297" s="3">
        <f>1648.4+(562.1-627)+(-0.840684+(-0.286671--0.31977))+0-433.1--0.220880999999956</f>
        <v>1149.813296</v>
      </c>
      <c r="L297" s="3">
        <f>1705.4+(586.5-695)+(-5.218524+(-1.79469--2.1267))+0-437.4--1.33844400000005</f>
        <v>1155.9519300000002</v>
      </c>
      <c r="M297" s="3">
        <f>1713.1+(480.8-666.6)+(0+(0-0))+0-437-0</f>
        <v>1090.3</v>
      </c>
      <c r="N297" s="3">
        <f>1711.3+(442.8-450.5)+(-1.745526+(-0.451656--0.45951))+0-428.9--0.437478000000068</f>
        <v>1273.3998060000001</v>
      </c>
      <c r="O297" s="3">
        <f>1713+(526.1-524.2)+(-0.87363+(-0.268311--0.267342))+0-432.9--0.220778999999956</f>
        <v>1281.3461800000002</v>
      </c>
      <c r="P297" s="3">
        <f>1717.5+(835.2-770.3)+(0.875925+(0.425952-0.392853))+0-440-0.224399999999955</f>
        <v>1343.0846240000001</v>
      </c>
      <c r="Q297" s="3">
        <f>1712.5+(817-739.9)+(-2.620125+(-1.25001--1.132047))+0-390.9--0.598077000000023</f>
        <v>1396.5599889999999</v>
      </c>
      <c r="R297" s="3">
        <f>1709.5+(634.8-581.2)+(-4.359225+(-1.61874--1.48206))+0-419.1--1.06870499999994</f>
        <v>1340.5727999999997</v>
      </c>
      <c r="S297" s="3">
        <f>1714+(532-521.6)+(0+(0-0))+0-417.8-0</f>
        <v>1306.6000000000001</v>
      </c>
      <c r="T297" s="3">
        <f>1716.5+(602.3-553.6)+(0.875415+(0.307173-0.282336))+0-435.1-0.221900999999956</f>
        <v>1330.7783509999999</v>
      </c>
      <c r="U297" s="3">
        <f>1718.9+(521.2-512.4)+(0+(0-0))+0-431.7-0</f>
        <v>1296.0000000000002</v>
      </c>
      <c r="V297" s="3">
        <f>1806.3+(650.7-737.4)+(-0.921213+(-0.331857--0.376074))+0-426.5--0.217514999999957</f>
        <v>1292.440519</v>
      </c>
      <c r="W297" s="3">
        <f>2199.9+(874.3-1136.7)+(1.121949+(0.445893-0.579717))+0-431.2-0.219911999999956</f>
        <v>1507.068213</v>
      </c>
      <c r="X297" s="3">
        <f>2233.8+(922.3-1164.2)+(-3.417714+(-1.411119--1.781226))+0-428.4--0.655452000000025</f>
        <v>1561.107845</v>
      </c>
      <c r="Y297" s="3">
        <f>2232.7+(596.8-910)+(-4.554708+(-1.217472--1.8564))+0-435.3--0.888011999999981</f>
        <v>1481.1722319999997</v>
      </c>
      <c r="Z297" s="3">
        <f>2230.7+(478.1-779.8)+(-4.550628+(-0.975324--1.590792))+0-432.6--0.882503999999981</f>
        <v>1493.347344</v>
      </c>
      <c r="AA297" s="3">
        <f>2181.1+(380.6-695.2)+(-4.449444+(-0.776424--1.418208))+0-427.5--0.872099999999981</f>
        <v>1436.0644400000001</v>
      </c>
      <c r="AB297" s="3">
        <f>1845.4+(494.5-561.1)+(-2.823462+(-0.756585--0.858483))+0-418.6--0.640458000000024</f>
        <v>1358.1188940000004</v>
      </c>
      <c r="AC297" s="3">
        <f>1553.9+(657.1-523.1)+(-5.547423+(-2.345847--1.867467))+0-421.9--1.50618300000001</f>
        <v>1261.48038</v>
      </c>
      <c r="AD297">
        <f t="shared" si="4"/>
        <v>30980.491124</v>
      </c>
      <c r="AE297" s="3">
        <f>2231+(941.7-1190.7)+(0+(0-0))+0-440.2-0</f>
        <v>1541.8</v>
      </c>
    </row>
    <row r="298" spans="1:31" s="2" customFormat="1" x14ac:dyDescent="0.25">
      <c r="A298">
        <v>89</v>
      </c>
      <c r="B298">
        <v>10</v>
      </c>
      <c r="C298">
        <v>22</v>
      </c>
      <c r="D298">
        <v>5</v>
      </c>
      <c r="E298">
        <v>1</v>
      </c>
      <c r="F298" s="3">
        <f>1507.7+(831.1-699.3)+(1.537854+(0.847722-0.713286))+0-420.4-0.428808000000067</f>
        <v>1220.3434819999998</v>
      </c>
      <c r="G298" s="3">
        <f>1507.5+(787.8-722.7)+(0+(0-0))+0-422.1-0</f>
        <v>1150.5</v>
      </c>
      <c r="H298" s="3">
        <f>1507.2+(722.5-665.8)+(0+(0-0))+0-423-0</f>
        <v>1140.9000000000001</v>
      </c>
      <c r="I298" s="3">
        <f>1507.5+(729.4-664.2)+(0+(0-0))+0-427.5-0</f>
        <v>1145.1999999999998</v>
      </c>
      <c r="J298" s="3">
        <f>1507.6+(691.9-655.3)+(3.84438+(1.764345-1.671015))+0-424.8-1.08323999999994</f>
        <v>1122.2544699999999</v>
      </c>
      <c r="K298" s="3">
        <f>1508.2+(756.2-656.4)+(0+(0-0))+0-425.3-0</f>
        <v>1182.7</v>
      </c>
      <c r="L298" s="3">
        <f>1507.4+(669.3-600.5)+(-0.768774+(-0.341343--0.306255))+0-430--0.219299999999956</f>
        <v>1145.615438</v>
      </c>
      <c r="M298" s="3">
        <f>1516.3+(566.7-461.7)+(0.773313+(0.289017-0.235467))+0-430.7-0.219656999999956</f>
        <v>1191.207206</v>
      </c>
      <c r="N298" s="3">
        <f>1576.1+(533.5-409.7)+(3.215244+(1.08834-0.835788))+0-418.9-0.854555999999982</f>
        <v>1283.6132399999999</v>
      </c>
      <c r="O298" s="3">
        <f>1712.7+(676.4-617.2)+(1.746954+(0.689928-0.629544))+0-417.6-0.425952000000067</f>
        <v>1355.6813860000002</v>
      </c>
      <c r="P298" s="3">
        <f>1705.7+(795.8-745)+(3.479628+(1.623432-1.5198))+0-408.8-0.833951999999982</f>
        <v>1350.4493080000002</v>
      </c>
      <c r="Q298" s="3">
        <f>1716.1+(826.5-816.1)+(0+(0-0))+0-401.5-0</f>
        <v>1325</v>
      </c>
      <c r="R298" s="3">
        <f>1713.8+(575.3-505.3)+(-2.622114+(-0.880209--0.773109))+0-411.9--0.630207000000024</f>
        <v>1369.8009930000001</v>
      </c>
      <c r="S298" s="3">
        <f>1710.3+(209.3-279.7)+(-3.489012+(-0.426972--0.570588))+0-401.5--0.819059999999982</f>
        <v>1235.8736640000002</v>
      </c>
      <c r="T298" s="3">
        <f>1715+(293.8-303.5)+(0+(0-0))+0-397.5-0</f>
        <v>1307.8</v>
      </c>
      <c r="U298" s="3">
        <f>1716.1+(253.6-278.2)+(-1.750422+(-0.258672--0.283764))+0-415.4--0.423708000000066</f>
        <v>1274.7983780000002</v>
      </c>
      <c r="V298" s="3">
        <f>1699.5+(465.3-390.2)+(-5.20047+(-1.423818--1.194012))+0-402.1--1.23042600000005</f>
        <v>1368.30015</v>
      </c>
      <c r="W298" s="3">
        <f>2079.4+(352.2-608.4)+(-1.060494+(-0.179622--0.310284))+0-408.1--0.208130999999959</f>
        <v>1414.378299</v>
      </c>
      <c r="X298" s="3">
        <f>2257.9+(453.4-752)+(-3.454587+(-0.693702--1.15056))+0-403--0.616590000000023</f>
        <v>1553.9188610000003</v>
      </c>
      <c r="Y298" s="3">
        <f>2256.9+(301-665.8)+(-2.302038+(-0.30702--0.679116))+0-404.5--0.412590000000065</f>
        <v>1486.0826480000003</v>
      </c>
      <c r="Z298" s="3">
        <f>2255.6+(379.8-744.9)+(-1.150356+(-0.193698--0.379899))+0-416.2--0.212261999999958</f>
        <v>1473.5481070000001</v>
      </c>
      <c r="AA298" s="3">
        <f>2253+(247.7-722.6)+(-1.14903+(-0.126327--0.368526))+0-411.4--0.209813999999958</f>
        <v>1366.0029830000001</v>
      </c>
      <c r="AB298" s="3">
        <f>2077.5+(413.5-714.2)+(-1.059525+(-0.210885--0.364242))+0-407.9--0.208028999999959</f>
        <v>1368.201861</v>
      </c>
      <c r="AC298" s="3">
        <f>1854+(472.8-588.1)+(-1.89108+(-0.482256--0.599862))+0-413--0.421260000000066</f>
        <v>1324.347786</v>
      </c>
      <c r="AD298">
        <f t="shared" si="4"/>
        <v>31156.518259999997</v>
      </c>
      <c r="AE298" s="3">
        <f>2256+(431.1-739.2)+(0+(0-0))+0-414.6-0</f>
        <v>1533.3000000000002</v>
      </c>
    </row>
    <row r="299" spans="1:31" s="2" customFormat="1" x14ac:dyDescent="0.25">
      <c r="A299">
        <v>89</v>
      </c>
      <c r="B299">
        <v>10</v>
      </c>
      <c r="C299">
        <v>23</v>
      </c>
      <c r="D299">
        <v>6</v>
      </c>
      <c r="E299">
        <v>1</v>
      </c>
      <c r="F299" s="3">
        <f>1543.9+(572.1-582.7)+(-2.362167+(-0.875313--0.891531))+0-384--0.587520000000022</f>
        <v>1147.5415710000002</v>
      </c>
      <c r="G299" s="3">
        <f>1502.7+(486.3-524)+(0+(0-0))+0-400.9-0</f>
        <v>1064.0999999999999</v>
      </c>
      <c r="H299" s="3">
        <f>1503.1+(481.8-486.6)+(0.766581+(0.245718-0.248166))+0-410.2-0.209201999999958</f>
        <v>1088.6549309999998</v>
      </c>
      <c r="I299" s="3">
        <f>1503.6+(458.2-488.8)+(0.766836+(0.233682-0.249288))+0-403.3-0.205682999999959</f>
        <v>1070.2455470000002</v>
      </c>
      <c r="J299" s="3">
        <f>1502.8+(503.9-498.4)+(1.532856+(0.513978-0.508368))+0-408.3-0.416466000000065</f>
        <v>1101.1219999999998</v>
      </c>
      <c r="K299" s="3">
        <f>1505.1+(458-441.8)+(1.535202+(0.46716-0.450636))+0-418.5-0.426870000000067</f>
        <v>1103.9248559999999</v>
      </c>
      <c r="L299" s="3">
        <f>1562+(351.8-384.9)+(0+(0-0))+0-388.4-0</f>
        <v>1140.5</v>
      </c>
      <c r="M299" s="3">
        <f>1573.9+(327.7-402.5)+(-0.802689+(-0.167127--0.205275))+0-387--0.197369999999961</f>
        <v>1111.532829</v>
      </c>
      <c r="N299" s="3">
        <f>1694.1+(216.4-367.5)+(-1.727982+(-0.220728--0.37485))+0-397.6--0.405552000000063</f>
        <v>1144.2316920000003</v>
      </c>
      <c r="O299" s="3">
        <f>1849.1+(302.9-470.7)+(0.943041+(0.154479-0.240057))+0-400.2-0.204101999999959</f>
        <v>1281.753361</v>
      </c>
      <c r="P299" s="3">
        <f>1903.9+(623.5-813.4)+(1.941978+(0.63597-0.829668))+0-404.3-0.412386000000064</f>
        <v>1311.0358940000001</v>
      </c>
      <c r="Q299" s="3">
        <f>1901.8+(651.2-786)+(-0.969918+(-0.332112--0.40086))+0-431.4--0.220013999999956</f>
        <v>1334.9188439999998</v>
      </c>
      <c r="R299" s="3">
        <f>1902.8+(663.6-888.5)+(-0.970428+(-0.338436--0.453135))+0-409.7--0.208946999999958</f>
        <v>1267.5532179999998</v>
      </c>
      <c r="S299" s="3">
        <f>1902.3+(579-803.4)+(0+(0-0))+0-426.7-0</f>
        <v>1251.2</v>
      </c>
      <c r="T299" s="3">
        <f>1897.9+(376.9-621.6)+(-3.871716+(-0.768876--1.268064))+0-418.2--0.853127999999982</f>
        <v>1232.4805999999999</v>
      </c>
      <c r="U299" s="3">
        <f>1898.9+(420-660)+(0+(0-0))+0-425.2-0</f>
        <v>1233.7</v>
      </c>
      <c r="V299" s="3">
        <f>1926.1+(393.3-670.3)+(-0.982311+(-0.200583--0.341853))+0-432.3--0.220472999999956</f>
        <v>1216.1794319999999</v>
      </c>
      <c r="W299" s="3">
        <f>2228+(586.6-1050.7)+(0+(0-0))+0-429.6-0</f>
        <v>1334.3000000000002</v>
      </c>
      <c r="X299" s="3">
        <f>2258.3+(959.9-1250.4)+(-2.303466+(-0.979098--1.275408))+0-435--0.443700000000069</f>
        <v>1531.2365440000003</v>
      </c>
      <c r="Y299" s="3">
        <f>2257.1+(714.6-947.6)+(-2.302242+(-0.728892--0.966552))+0-436.1--0.44482200000007</f>
        <v>1586.3802400000002</v>
      </c>
      <c r="Z299" s="3">
        <f>2258.7+(440.5-754.4)+(-2.303874+(-0.44931--0.769488))+0-433--0.441660000000069</f>
        <v>1510.2579639999997</v>
      </c>
      <c r="AA299" s="3">
        <f>2252.7+(413.6-805.9)+(2.297754+(0.421872-0.822018))+0-408.9-0.417078000000065</f>
        <v>1452.9805299999996</v>
      </c>
      <c r="AB299" s="3">
        <f>2088.7+(454.9-784.4)+(-2.130474+(-0.463998--0.800088))+0-395.3--0.403206000000063</f>
        <v>1362.5088219999998</v>
      </c>
      <c r="AC299" s="3">
        <f>1927.8+(542.6-801)+(-2.949534+(-0.830178--1.22553))+0-378.9--0.579717000000022</f>
        <v>1288.5255350000002</v>
      </c>
      <c r="AD299">
        <f t="shared" si="4"/>
        <v>30166.864409999998</v>
      </c>
      <c r="AE299" s="3">
        <f>2257+(1003.6-1324.7)+(0+(0-0))+0-400.1-0</f>
        <v>1535.8000000000002</v>
      </c>
    </row>
    <row r="300" spans="1:31" s="2" customFormat="1" x14ac:dyDescent="0.25">
      <c r="A300">
        <v>89</v>
      </c>
      <c r="B300">
        <v>10</v>
      </c>
      <c r="C300">
        <v>24</v>
      </c>
      <c r="D300">
        <v>7</v>
      </c>
      <c r="E300">
        <v>1</v>
      </c>
      <c r="F300" s="3">
        <f>1652.1+(758.9-855.3)+(0+(0-0))+0-359.4-0</f>
        <v>1196.2999999999997</v>
      </c>
      <c r="G300" s="3">
        <f>1573.5+(717.4-824.7)+(-2.407455+(-1.097622--1.261791))+0-368.9--0.564417000000021</f>
        <v>1095.6211309999999</v>
      </c>
      <c r="H300" s="3">
        <f>1573.2+(694.6-771.1)+(-0.802332+(-0.354246--0.393261))+0-380.2--0.193901999999961</f>
        <v>1115.9305850000001</v>
      </c>
      <c r="I300" s="3">
        <f>1572.3+(626.9-727.6)+(0.801873+(0.319719-0.371076))+0-390.4-0.19910399999996</f>
        <v>1081.7514119999998</v>
      </c>
      <c r="J300" s="3">
        <f>1570.9+(550.2-656.8)+(0.801159+(0.280602-0.334968))+0-394.7-0.20129699999996</f>
        <v>1070.1454960000001</v>
      </c>
      <c r="K300" s="3">
        <f>1570.8+(679.7-739)+(3.204432+(1.386588-1.50756))+0-394.8-0.805391999999983</f>
        <v>1118.9780680000001</v>
      </c>
      <c r="L300" s="3">
        <f>1570.2+(715.5-820)+(-2.402406+(-1.094715--1.2546))+0-396.4--0.606492000000023</f>
        <v>1067.6639710000002</v>
      </c>
      <c r="M300" s="3">
        <f>1569.5+(747.7-899.3)+(-3.20178+(-1.525308--1.834572))+0-399.5--0.814979999999983</f>
        <v>1016.3224640000002</v>
      </c>
      <c r="N300" s="3">
        <f>1573.5+(646.2-811.9)+(2.407455+(0.988686-1.242207))+0-396.7-0.606951000000023</f>
        <v>1012.6469830000001</v>
      </c>
      <c r="O300" s="3">
        <f>1574.9+(571.6-748.4)+(-1.606398+(-0.583032--0.763368))+0-367.7--0.375054000000059</f>
        <v>1029.3489920000002</v>
      </c>
      <c r="P300" s="3">
        <f>1700.8+(611.5-821.5)+(-1.734816+(-0.62373--0.83793))+0-365.6--0.372912000000058</f>
        <v>1124.0522960000001</v>
      </c>
      <c r="Q300" s="3">
        <f>1714.7+(648.3-852.8)+(-2.623491+(-0.991899--1.304784))+0-373.5--0.571455000000022</f>
        <v>1134.9608490000001</v>
      </c>
      <c r="R300" s="3">
        <f>1715.5+(581.6-813.1)+(-3.49962+(-1.186464--1.658724))+0-383--0.781319999999983</f>
        <v>1098.75396</v>
      </c>
      <c r="S300" s="3">
        <f>1714.8+(488-769.7)+(-2.623644+(-0.74664--1.177641))+0-386.2--0.590886000000022</f>
        <v>1045.2982429999997</v>
      </c>
      <c r="T300" s="3">
        <f>1715.1+(445.4-761.9)+(-0.874701+(-0.227154--0.388569))+0-385.9--0.196808999999961</f>
        <v>1012.1835229999999</v>
      </c>
      <c r="U300" s="3">
        <f>1718.9+(399.4-671)+(-4.383195+(-1.01847--1.71105))+0-394.4--1.00571999999994</f>
        <v>1050.215105</v>
      </c>
      <c r="V300" s="3">
        <f>1892.4+(488.9-808.3)+(-4.82562+(-1.246695--2.061165))+0-228.9--0.583694999999967</f>
        <v>1340.6725449999999</v>
      </c>
      <c r="W300" s="3">
        <f>2203.7+(422.9-1004.2)+(-3.371661+(-0.647037--1.536426))+0-393.2--0.601596000000023</f>
        <v>1227.3193239999996</v>
      </c>
      <c r="X300" s="3">
        <f>2230+(434.7-954.5)+(-1.1373+(-0.221697--0.486795))+0-397--0.20246999999996</f>
        <v>1312.530268</v>
      </c>
      <c r="Y300" s="3">
        <f>2228.9+(421.7-937.1)+(-3.410217+(-0.645201--1.433763))+0-394.9--0.604197000000023</f>
        <v>1316.5825420000001</v>
      </c>
      <c r="Z300" s="3">
        <f>2227.9+(483.7-914.2)+(1.136229+(0.246687-0.466242))+0-395.2-0.20155199999996</f>
        <v>1402.9151220000001</v>
      </c>
      <c r="AA300" s="3">
        <f>2225.5+(499.2-939.9)+(-1.135005+(-0.254592--0.479349))+0-391.3--0.19956299999996</f>
        <v>1392.789315</v>
      </c>
      <c r="AB300" s="3">
        <f>1969.2+(461.8-778.5)+(-3.012876+(-0.706554--1.191105))+0-391.9--0.599607000000023</f>
        <v>1258.6712820000002</v>
      </c>
      <c r="AC300" s="3">
        <f>1632.5+(701.7-721.7)+(1.66515+(0.715734-0.736134))+0-406.2-0.414324000000065</f>
        <v>1207.5304259999998</v>
      </c>
      <c r="AD300">
        <f t="shared" si="4"/>
        <v>27729.183901999997</v>
      </c>
      <c r="AE300" s="3">
        <f>2237+(462.8-986.9)+(0+(0-0))+0-394.6-0</f>
        <v>1318.3000000000002</v>
      </c>
    </row>
    <row r="301" spans="1:31" s="2" customFormat="1" x14ac:dyDescent="0.25">
      <c r="A301">
        <v>89</v>
      </c>
      <c r="B301">
        <v>10</v>
      </c>
      <c r="C301">
        <v>25</v>
      </c>
      <c r="D301">
        <v>1</v>
      </c>
      <c r="E301">
        <v>1</v>
      </c>
      <c r="F301" s="3">
        <f>1574.1+(656.9-696.3)+(-2.408373+(-1.005057--1.065339))+0-422.6--0.646578000000024</f>
        <v>1110.3984869999997</v>
      </c>
      <c r="G301" s="3">
        <f>1516.2+(637.4-657.8)+(0+(0-0))+0-424.5-0</f>
        <v>1071.3000000000002</v>
      </c>
      <c r="H301" s="3">
        <f>1501.7+(673.5-698.3)+(-1.531734+(-0.68697--0.712266))+0-421--0.429420000000067</f>
        <v>1054.8229820000004</v>
      </c>
      <c r="I301" s="3">
        <f>1509.9+(728.4-752)+(1.540098+(0.742968-0.76704))+0-425.6-0.434112000000068</f>
        <v>1061.7819139999999</v>
      </c>
      <c r="J301" s="3">
        <f>1512.5+(658.3-730.7)+(1.54275+(0.671466-0.745314))+0-418.7-0.427074000000067</f>
        <v>1022.4418279999999</v>
      </c>
      <c r="K301" s="3">
        <f>1511.8+(613.8-638)+(-1.542036+(-0.626076--0.65076))+0-424.7--0.433194000000068</f>
        <v>1061.8158419999997</v>
      </c>
      <c r="L301" s="3">
        <f>1526.3+(649-651.8)+(-2.335239+(-0.99297--0.997254))+0-410.4--0.627912000000024</f>
        <v>1111.3969569999999</v>
      </c>
      <c r="M301" s="3">
        <f>1533.2+(689.7-684)+(-0.781932+(-0.351747--0.34884))+0-401.8--0.204917999999959</f>
        <v>1136.5200790000001</v>
      </c>
      <c r="N301" s="3">
        <f>1603.7+(565.6-648.1)+(0.817887+(0.288456-0.330531))+0-396.6-0.20226599999996</f>
        <v>1125.1735460000002</v>
      </c>
      <c r="O301" s="3">
        <f>1771.2+(409.2-434.8)+(0.903312+(0.208692-0.221748))+0-428.6-0.218585999999957</f>
        <v>1317.6716699999997</v>
      </c>
      <c r="P301" s="3">
        <f>1810.4+(670-675.7)+(0+(0-0))+0-400.1-0</f>
        <v>1404.6</v>
      </c>
      <c r="Q301" s="3">
        <f>1738.1+(729.8-719.3)+(0+(0-0))+0-397.4-0</f>
        <v>1351.1999999999998</v>
      </c>
      <c r="R301" s="3">
        <f>1841.8+(438.2-513.8)+(-0.939318+(-0.223482--0.262038))+0-381.1--0.194360999999961</f>
        <v>1384.3935990000002</v>
      </c>
      <c r="S301" s="3">
        <f>1903.5+(260.2-438.4)+(0+(0-0))+0-404.4-0</f>
        <v>1320.9</v>
      </c>
      <c r="T301" s="3">
        <f>1903.8+(314.1-420.3)+(0.970938+(0.160191-0.214353))+0-416-0.212159999999958</f>
        <v>1382.3046159999999</v>
      </c>
      <c r="U301" s="3">
        <f>1904.4+(268.1-434.9)+(0.971244+(0.136731-0.221799))+0-408.7-0.208436999999959</f>
        <v>1329.5777390000001</v>
      </c>
      <c r="V301" s="3">
        <f>1987+(185.2-442.3)+(-1.01337+(-0.094452--0.225573))+0-413.9--0.211088999999958</f>
        <v>1315.3288400000001</v>
      </c>
      <c r="W301" s="3">
        <f>2223+(421.2-794.7)+(1.13373+(0.214812-0.405297))+0-402.5-0.205274999999959</f>
        <v>1447.7379699999999</v>
      </c>
      <c r="X301" s="3">
        <f>2227.7+(569.6-803.1)+(-4.544508+(-1.161984--1.638324))+0-409.8--0.835991999999982</f>
        <v>1581.1678239999999</v>
      </c>
      <c r="Y301" s="3">
        <f>2233.4+(313.6-584.2)+(-1.139034+(-0.159936--0.297942))+0-422.1--0.215270999999957</f>
        <v>1539.9142430000002</v>
      </c>
      <c r="Z301" s="3">
        <f>2227.2+(277.5-596.5)+(-5.67936+(-0.707625--1.521075))+0-414.8--1.05773999999994</f>
        <v>1489.5918299999998</v>
      </c>
      <c r="AA301" s="3">
        <f>2183.3+(351.3-650.7)+(-3.340449+(-0.537489--0.995571))+0-425--0.650250000000025</f>
        <v>1456.6678830000001</v>
      </c>
      <c r="AB301" s="3">
        <f>1815.1+(410.4-425.4)+(-1.851402+(-0.418608--0.433908))+0-409.1--0.417282000000065</f>
        <v>1389.5811799999999</v>
      </c>
      <c r="AC301" s="3">
        <f>1591.8+(577.5-519.3)+(-4.05909+(-1.472625--1.324215))+0-407.3--1.03861499999994</f>
        <v>1239.531115</v>
      </c>
      <c r="AD301">
        <f t="shared" si="4"/>
        <v>30705.820144000001</v>
      </c>
      <c r="AE301" s="3">
        <f>2233+(646.1-932)+(0+(0-0))+0-400.1-0</f>
        <v>1547</v>
      </c>
    </row>
    <row r="302" spans="1:31" s="2" customFormat="1" x14ac:dyDescent="0.25">
      <c r="A302">
        <v>89</v>
      </c>
      <c r="B302">
        <v>10</v>
      </c>
      <c r="C302">
        <v>26</v>
      </c>
      <c r="D302">
        <v>2</v>
      </c>
      <c r="E302">
        <v>1</v>
      </c>
      <c r="F302" s="3">
        <f>1571.6+(709-698)+(-0.801516+(-0.36159--0.35598))+0-398.8--0.20338799999996</f>
        <v>1183.1962619999999</v>
      </c>
      <c r="G302" s="3">
        <f>1571.1+(647.5-612.5)+(-1.602522+(-0.66045--0.62475))+0-412.3--0.420546000000066</f>
        <v>1192.582324</v>
      </c>
      <c r="H302" s="3">
        <f>1569.7+(476.4-560.9)+(-2.401641+(-0.728892--0.858177))+0-421.3--0.644589000000024</f>
        <v>1062.2722330000001</v>
      </c>
      <c r="I302" s="3">
        <f>1571.5+(428.5-511.5)+(-1.60293+(-0.43707--0.52173))+0-394--0.401880000000063</f>
        <v>1093.3836100000001</v>
      </c>
      <c r="J302" s="3">
        <f>1566.4+(509.8-574.2)+(-3.99432+(-1.29999--1.46421))+0-407.4--1.03886999999994</f>
        <v>1091.8087700000001</v>
      </c>
      <c r="K302" s="3">
        <f>1574+(588.6-632.4)+(1.60548+(0.600372-0.645048))+0-415.4-0.423708000000066</f>
        <v>1115.9370959999999</v>
      </c>
      <c r="L302" s="3">
        <f>1567.6+(830.3-837.9)+(-4.796856+(-2.540718--2.563974))+0-417.4--1.27724400000005</f>
        <v>1139.103644</v>
      </c>
      <c r="M302" s="3">
        <f>1571.1+(822.9-881)+(-0.801261+(-0.419679--0.44931))+0-409.5--0.208844999999958</f>
        <v>1102.9372149999999</v>
      </c>
      <c r="N302" s="3">
        <f>1570.9+(657.6-599.3)+(-3.204636+(-1.341504--1.222572))+0-421.5--0.859859999999982</f>
        <v>1205.2362920000003</v>
      </c>
      <c r="O302" s="3">
        <f>1690+(567.2-576.9)+(0+(0-0))+0-410.3-0</f>
        <v>1270.0000000000002</v>
      </c>
      <c r="P302" s="3">
        <f>1715+(444.1-456.7)+(-1.7493+(-0.452982--0.465834))+0-424.1--0.432582000000068</f>
        <v>1276.9961340000002</v>
      </c>
      <c r="Q302" s="3">
        <f>1718+(510.1-480.7)+(-1.75236+(-0.520302--0.490314))+0-428.9--0.437478000000068</f>
        <v>1317.1551300000003</v>
      </c>
      <c r="R302" s="3">
        <f>1715.8+(456.8-480.1)+(0+(0-0))+0-414.5-0</f>
        <v>1278</v>
      </c>
      <c r="S302" s="3">
        <f>1712.6+(402.3-504.2)+(-0.873426+(-0.205173--0.257142))+0-411.8--0.210017999999958</f>
        <v>1198.2885609999998</v>
      </c>
      <c r="T302" s="3">
        <f>1713.4+(448.7-520.3)+(-1.747668+(-0.457674--0.530706))+0-419--0.427380000000067</f>
        <v>1221.5527440000003</v>
      </c>
      <c r="U302" s="3">
        <f>1715.8+(500.1-543.5)+(-1.750116+(-0.510102--0.55437))+0-414.6--0.422892000000066</f>
        <v>1256.5170440000002</v>
      </c>
      <c r="V302" s="3">
        <f>1747.1+(356.4-441.7)+(-3.564084+(-0.727056--0.901068))+0-407.5--0.831299999999982</f>
        <v>1251.7412280000001</v>
      </c>
      <c r="W302" s="3">
        <f>2141.4+(408.4-719.7)+(0+(0-0))+0-405.9-0</f>
        <v>1424.1999999999998</v>
      </c>
      <c r="X302" s="3">
        <f>2226.6+(335.7-602.8)+(-1.135566+(-0.171207--0.307428))+0-414--0.211139999999958</f>
        <v>1544.7117949999999</v>
      </c>
      <c r="Y302" s="3">
        <f>2223.3+(305.3-632.8)+(-5.669415+(-0.778515--1.61364))+0-418.2--1.06640999999994</f>
        <v>1473.83212</v>
      </c>
      <c r="Z302" s="3">
        <f>2223.3+(359.6-708)+(-3.401649+(-0.550188--1.08324))+0-414.3--0.633879000000024</f>
        <v>1458.3652820000002</v>
      </c>
      <c r="AA302" s="3">
        <f>2223.1+(468.1-861.1)+(-4.535124+(-0.954924--1.756644))+0-406.5--0.829259999999982</f>
        <v>1420.6958559999998</v>
      </c>
      <c r="AB302" s="3">
        <f>2083.7+(673.7-971.1)+(0+(0-0))+0-420.3-0</f>
        <v>1365.9999999999998</v>
      </c>
      <c r="AC302" s="3">
        <f>1765.4+(942.3-993.9)+(-6.302478+(-3.364011--3.548223))+0-422.9--1.50975300000001</f>
        <v>1286.2914870000002</v>
      </c>
      <c r="AD302">
        <f t="shared" si="4"/>
        <v>30230.804826999996</v>
      </c>
      <c r="AE302" s="3">
        <f>2227+(397-707.7)+(0+(0-0))+0-404-0</f>
        <v>1512.3</v>
      </c>
    </row>
    <row r="303" spans="1:31" s="2" customFormat="1" x14ac:dyDescent="0.25">
      <c r="A303">
        <v>89</v>
      </c>
      <c r="B303">
        <v>10</v>
      </c>
      <c r="C303">
        <v>27</v>
      </c>
      <c r="D303">
        <v>3</v>
      </c>
      <c r="E303">
        <v>1</v>
      </c>
      <c r="F303" s="3">
        <f>1591.9+(944.8-929.8)+(-1.623738+(-0.963696--0.948396))+0-423.5--0.431970000000068</f>
        <v>1182.1929320000002</v>
      </c>
      <c r="G303" s="3">
        <f>1578.1+(776.6-814.2)+(-4.024155+(-1.98033--2.07621))+0-423.7--1.08043499999994</f>
        <v>1113.9521599999998</v>
      </c>
      <c r="H303" s="3">
        <f>1577.3+(742.4-767.7)+(1.608846+(0.757248-0.783054))+0-419.3-0.427686000000067</f>
        <v>1133.855354</v>
      </c>
      <c r="I303" s="3">
        <f>1578.5+(706-810.7)+(0+(0-0))+0-405.5-0</f>
        <v>1068.3</v>
      </c>
      <c r="J303" s="3">
        <f>1577.5+(739.9-791.4)+(0.804525+(0.377349-0.403614))+0-414.1-0.211190999999958</f>
        <v>1112.4670690000003</v>
      </c>
      <c r="K303" s="3">
        <f>1577.7+(632.5-751.3)+(-4.023135+(-1.612875--1.915815))+0-401.1--1.02280499999994</f>
        <v>1055.1026099999997</v>
      </c>
      <c r="L303" s="3">
        <f>1578.7+(912-909.7)+(0+(0-0))+0-405.6-0</f>
        <v>1175.4000000000001</v>
      </c>
      <c r="M303" s="3">
        <f>1594.4+(957.4-1067.5)+(-2.439432+(-1.464822--1.633275))+0-407.3--0.623169000000024</f>
        <v>1075.3521900000003</v>
      </c>
      <c r="N303" s="3">
        <f>1615.7+(755.8-719.8)+(-2.472021+(-1.156374--1.101294))+0-403.8--0.617814000000023</f>
        <v>1245.9907130000001</v>
      </c>
      <c r="O303" s="3">
        <f>1657.1+(809.8-816.9)+(0.845121+(0.412998-0.416619))+0-397.3-0.20262299999996</f>
        <v>1253.3388770000001</v>
      </c>
      <c r="P303" s="3">
        <f>1815.6+(642-734.5)+(-4.62978+(-1.6371--1.872975))+0-408.5--1.04167499999994</f>
        <v>1311.2477699999999</v>
      </c>
      <c r="Q303" s="3">
        <f>1844.3+(718.2-811.4)+(0.940593+(0.366282-0.413814))+0-407.1-0.207620999999959</f>
        <v>1344.6854399999997</v>
      </c>
      <c r="R303" s="3">
        <f>1831.7+(762.2-898.2)+(-4.670835+(-1.94361--2.29041))+0-406.9--1.03759499999994</f>
        <v>1285.5135600000001</v>
      </c>
      <c r="S303" s="3">
        <f>1839.6+(629.9-825)+(0+(0-0))+0-407.4-0</f>
        <v>1237.0999999999999</v>
      </c>
      <c r="T303" s="3">
        <f>1834.1+(656.9-833)+(-2.806173+(-1.005057--1.27449))+0-405.3--0.620109000000023</f>
        <v>1250.783369</v>
      </c>
      <c r="U303" s="3">
        <f>1842.2+(635.6-783.5)+(-1.879044+(-0.648312--0.79917))+0-409.5--0.417690000000065</f>
        <v>1283.4895040000001</v>
      </c>
      <c r="V303" s="3">
        <f>1859.4+(577.6-774.5)+(-0.948294+(-0.294576--0.394995))+0-409.9--0.209048999999958</f>
        <v>1251.961174</v>
      </c>
      <c r="W303" s="3">
        <f>2153.4+(452.9-788.9)+(-1.098234+(-0.230979--0.402339))+0-403.5--0.205784999999959</f>
        <v>1413.178911</v>
      </c>
      <c r="X303" s="3">
        <f>2229.1+(546-839.4)+(-3.410523+(-0.83538--1.284282))+0-408--0.624240000000024</f>
        <v>1525.362619</v>
      </c>
      <c r="Y303" s="3">
        <f>2172.5+(589.9-859.7)+(-3.323925+(-0.902547--1.315341))+0-407.9--0.624087000000023</f>
        <v>1492.5129559999998</v>
      </c>
      <c r="Z303" s="3">
        <f>1912.4+(528.3-606.1)+(0+(0-0))+0-399.9-0</f>
        <v>1434.6999999999998</v>
      </c>
      <c r="AA303" s="3">
        <f>1876.7+(527.9-612.5)+(0.957117+(0.269229-0.312375))+0-408-0.208079999999959</f>
        <v>1384.805891</v>
      </c>
      <c r="AB303" s="3">
        <f>1782.8+(460.5-482.9)+(-1.818456+(-0.46971--0.492558))+0-396.4--0.404328000000063</f>
        <v>1362.6087200000002</v>
      </c>
      <c r="AC303" s="3">
        <f>1614.8+(489.4-395)+(-1.647096+(-0.499188--0.4029))+0-410.3--0.418506000000065</f>
        <v>1297.5751219999997</v>
      </c>
      <c r="AD303">
        <f t="shared" si="4"/>
        <v>30291.476940999997</v>
      </c>
      <c r="AE303" s="3">
        <f>2228+(479.6-787.4)+(0+(0-0))+0-418.7-0</f>
        <v>1501.5</v>
      </c>
    </row>
    <row r="304" spans="1:31" s="2" customFormat="1" x14ac:dyDescent="0.25">
      <c r="A304">
        <v>89</v>
      </c>
      <c r="B304">
        <v>10</v>
      </c>
      <c r="C304">
        <v>28</v>
      </c>
      <c r="D304">
        <v>4</v>
      </c>
      <c r="E304">
        <v>1</v>
      </c>
      <c r="F304" s="3">
        <f>1562.8+(623.5-608.6)+(-4.782168+(-1.90791--1.862316))+0-402.1--1.23042600000005</f>
        <v>1172.0026640000001</v>
      </c>
      <c r="G304" s="3">
        <f>1498.2+(764.9-688.6)+(-0.764082+(-0.390099--0.351186))+0-410.5--0.209354999999958</f>
        <v>1163.4063599999999</v>
      </c>
      <c r="H304" s="3">
        <f>1498.7+(635.1-626.5)+(-0.764337+(-0.323901--0.319515))+0-398.1--0.20303099999996</f>
        <v>1108.6343080000001</v>
      </c>
      <c r="I304" s="3">
        <f>1497.1+(633.1-616.8)+(-2.290563+(-0.968643--0.943704))+0-390.1--0.596853000000023</f>
        <v>1121.5813510000003</v>
      </c>
      <c r="J304" s="3">
        <f>1496.7+(680.9-627.2)+(0+(0-0))+0-409.9-0</f>
        <v>1140.5</v>
      </c>
      <c r="K304" s="3">
        <f>1497.8+(657.1-635.5)+(0+(0-0))+0-417.9-0</f>
        <v>1101.5</v>
      </c>
      <c r="L304" s="3">
        <f>1498.6+(621.6-449.3)+(-3.82143+(-1.58508--1.145715))+0-422--1.07609999999994</f>
        <v>1245.7153049999999</v>
      </c>
      <c r="M304" s="3">
        <f>1497.4+(472.9-388.9)+(1.527348+(0.482358-0.396678))+0-419.1-0.427482000000067</f>
        <v>1163.4855459999999</v>
      </c>
      <c r="N304" s="3">
        <f>1593.7+(313-368.3)+(0.812787+(0.15963-0.187833))+0-394-0.20093999999996</f>
        <v>1144.9836440000001</v>
      </c>
      <c r="O304" s="3">
        <f>1743.5+(364.4-433.1)+(-2.667555+(-0.557532--0.662643))+0-394.8--0.604044000000023</f>
        <v>1278.0416</v>
      </c>
      <c r="P304" s="3">
        <f>1846.5+(628.3-684.7)+(-0.941715+(-0.320433--0.349197))+0-415.2--0.211751999999958</f>
        <v>1374.1988009999998</v>
      </c>
      <c r="Q304" s="3">
        <f>1837.7+(739.5-826.1)+(-1.874454+(-0.75429--0.842622))+0-417.5--0.425850000000067</f>
        <v>1332.239728</v>
      </c>
      <c r="R304" s="3">
        <f>1731.2+(742-712.4)+(-3.531648+(-1.51368--1.453296))+0-414--0.844559999999982</f>
        <v>1344.0525280000002</v>
      </c>
      <c r="S304" s="3">
        <f>1710.6+(589.8-643.6)+(0+(0-0))+0-414.1-0</f>
        <v>1242.6999999999998</v>
      </c>
      <c r="T304" s="3">
        <f>1715.5+(530.4-503.3)+(0+(0-0))+0-417-0</f>
        <v>1325.6</v>
      </c>
      <c r="U304" s="3">
        <f>1711.8+(390.7-388.6)+(-1.746036+(-0.398514--0.396372))+0-417.9--0.426258000000067</f>
        <v>1294.6780799999997</v>
      </c>
      <c r="V304" s="3">
        <f>1805.8+(286.7-468.9)+(-5.525748+(-0.877302--1.434834))+0-415.3--1.27081800000005</f>
        <v>1204.6026019999999</v>
      </c>
      <c r="W304" s="3">
        <f>2193.6+(495.1-752.8)+(-2.237472+(-0.505002--0.767856))+0-411.1--0.419322000000066</f>
        <v>1523.244704</v>
      </c>
      <c r="X304" s="3">
        <f>2221.7+(364.9-649.4)+(-3.399201+(-0.558297--0.993582))+0-418.4--0.640152000000024</f>
        <v>1516.476236</v>
      </c>
      <c r="Y304" s="3">
        <f>2227.8+(599.4-882.3)+(-2.272356+(-0.611388--0.899946))+0-414.9--0.423198000000066</f>
        <v>1528.4394000000002</v>
      </c>
      <c r="Z304" s="3">
        <f>2160.6+(562.4-835.1)+(-3.305718+(-0.860472--1.277703))+0-402.1--0.615213000000023</f>
        <v>1483.5267260000001</v>
      </c>
      <c r="AA304" s="3">
        <f>2002.7+(485.3-671.2)+(-1.021377+(-0.247503--0.342312))+0-390.4--0.19910399999996</f>
        <v>1425.6725359999998</v>
      </c>
      <c r="AB304" s="3">
        <f>1975.1+(576.3-754.7)+(-1.007301+(-0.293913--0.384897))+0-414.2--0.211241999999958</f>
        <v>1381.7949249999997</v>
      </c>
      <c r="AC304" s="3">
        <f>1752.3+(632.7-664.3)+(-2.681019+(-0.968031--1.016379))+0-420--0.642600000000024</f>
        <v>1298.7099290000001</v>
      </c>
      <c r="AD304">
        <f t="shared" si="4"/>
        <v>30915.786972999995</v>
      </c>
      <c r="AE304" s="3">
        <f>2225+(381.7-638.3)+(0+(0-0))+0-390.1-0</f>
        <v>1578.3000000000002</v>
      </c>
    </row>
    <row r="305" spans="1:31" s="2" customFormat="1" x14ac:dyDescent="0.25">
      <c r="A305">
        <v>89</v>
      </c>
      <c r="B305">
        <v>10</v>
      </c>
      <c r="C305">
        <v>29</v>
      </c>
      <c r="D305">
        <v>5</v>
      </c>
      <c r="E305">
        <v>1</v>
      </c>
      <c r="F305" s="3">
        <f>1584.1+(664.6-606.3)+(-4.039455+(-1.69473--1.546065))+0-420.8--1.07303999999994</f>
        <v>1218.4849200000001</v>
      </c>
      <c r="G305" s="3">
        <f>1510.5+(861.7-774.9)+(2.311065+(1.318401-1.185597))+0-406.1-0.621333000000023</f>
        <v>1193.0225359999999</v>
      </c>
      <c r="H305" s="3">
        <f>1498.6+(729.8-721.1)+(-2.292858+(-1.116594--1.103283))+0-411.7--0.629901000000024</f>
        <v>1093.9237319999997</v>
      </c>
      <c r="I305" s="3">
        <f>1499.1+(858.2-820.1)+(0.764541+(0.437682-0.418251))+0-408.8-0.208487999999959</f>
        <v>1128.9754839999998</v>
      </c>
      <c r="J305" s="3">
        <f>1499.4+(885-862.8)+(-3.82347+(-2.25675--2.20014))+0-418.1--1.06615499999994</f>
        <v>1100.6860750000001</v>
      </c>
      <c r="K305" s="3">
        <f>1506.7+(934.4-908)+(0.768417+(0.476544-0.46308))+0-408.7-0.208436999999959</f>
        <v>1124.973444</v>
      </c>
      <c r="L305" s="3">
        <f>1499.5+(812.8-703.2)+(0.764745+(0.414528-0.358632))+0-414.2-0.211241999999958</f>
        <v>1195.509399</v>
      </c>
      <c r="M305" s="3">
        <f>1501.3+(589.1-497.8)+(0+(0-0))+0-411.8-0</f>
        <v>1180.8</v>
      </c>
      <c r="N305" s="3">
        <f>1570+(723.8-644.3)+(2.4021+(1.107414-0.985779))+0-412.7-0.631431000000024</f>
        <v>1238.6923039999999</v>
      </c>
      <c r="O305" s="3">
        <f>1708.1+(639-606.5)+(0+(0-0))+0-395.8-0</f>
        <v>1344.8</v>
      </c>
      <c r="P305" s="3">
        <f>1711.3+(605-578)+(-3.491052+(-1.2342--1.17912))+0-400.6--0.817223999999983</f>
        <v>1334.9710919999998</v>
      </c>
      <c r="Q305" s="3">
        <f>1703.7+(876.7-843.7)+(-0.868887+(-0.447117--0.430287))+0-406.2--0.207161999999959</f>
        <v>1329.8214449999998</v>
      </c>
      <c r="R305" s="3">
        <f>1574.7+(1019.4-855.3)+(-2.409291+(-1.559682--1.308609))+0-411.6--0.629748000000024</f>
        <v>1325.169384</v>
      </c>
      <c r="S305" s="3">
        <f>1551.3+(669.4-544.8)+(-1.582326+(-0.682788--0.555696))+0-418.6--0.426972000000067</f>
        <v>1256.0175540000002</v>
      </c>
      <c r="T305" s="3">
        <f>1550.7+(519-365.4)+(0+(0-0))+0-416.2-0</f>
        <v>1288.1000000000001</v>
      </c>
      <c r="U305" s="3">
        <f>1549.3+(355.1-217.4)+(0+(0-0))+0-420.7-0</f>
        <v>1266.3</v>
      </c>
      <c r="V305" s="3">
        <f>1594.5+(399.6-303.6)+(0+(0-0))+0-411.8-0</f>
        <v>1278.7</v>
      </c>
      <c r="W305" s="3">
        <f>1854.3+(608.7-665.3)+(-3.782772+(-1.241748--1.357212))+0-416.3--0.849251999999982</f>
        <v>1378.581944</v>
      </c>
      <c r="X305" s="3">
        <f>2062+(714.1-795.3)+(-2.10324+(-0.728382--0.811206))+0-428.6--0.437172000000068</f>
        <v>1550.6167560000001</v>
      </c>
      <c r="Y305" s="3">
        <f>2186.7+(555.2-810.5)+(-5.576085+(-1.41576--2.066775))+0-423--1.07864999999994</f>
        <v>1504.5535799999998</v>
      </c>
      <c r="Z305" s="3">
        <f>2103.8+(684.5-868.9)+(0+(0-0))+0-434.8-0</f>
        <v>1484.6000000000001</v>
      </c>
      <c r="AA305" s="3">
        <f>2097.2+(505.1-736.5)+(2.139144+(0.515202-0.75123))+0-426.9-0.435438000000068</f>
        <v>1440.3676779999996</v>
      </c>
      <c r="AB305" s="3">
        <f>1897.4+(497.6-576.7)+(1.935348+(0.507552-0.588234))+0-421.4-0.429828000000067</f>
        <v>1398.3248380000002</v>
      </c>
      <c r="AC305" s="3">
        <f>1725.7+(453.4-437.7)+(-3.520428+(-0.924936--0.892908))+0-423.4--0.863735999999982</f>
        <v>1315.3112800000001</v>
      </c>
      <c r="AD305">
        <f t="shared" si="4"/>
        <v>30971.303444999998</v>
      </c>
      <c r="AE305" s="3">
        <f>2082+(776.4-848.6)+(0+(0-0))+0-442.6-0</f>
        <v>1567.1999999999998</v>
      </c>
    </row>
    <row r="306" spans="1:31" s="2" customFormat="1" x14ac:dyDescent="0.25">
      <c r="A306">
        <v>89</v>
      </c>
      <c r="B306">
        <v>10</v>
      </c>
      <c r="C306">
        <v>30</v>
      </c>
      <c r="D306">
        <v>6</v>
      </c>
      <c r="E306">
        <v>1</v>
      </c>
      <c r="F306" s="3">
        <f>1623.2+(487.1-453.2)+(-1.655664+(-0.496842--0.462264))+0-398.9--0.406878000000064</f>
        <v>1256.9166360000002</v>
      </c>
      <c r="G306" s="3">
        <f>1620.8+(417.9-458)+(0+(0-0))+0-426.6-0</f>
        <v>1154.0999999999999</v>
      </c>
      <c r="H306" s="3">
        <f>1622.6+(513.1-578.3)+(0+(0-0))+0-425.4-0</f>
        <v>1132</v>
      </c>
      <c r="I306" s="3">
        <f>1622.9+(552.3-623.6)+(-0.827679+(-0.281673--0.318036))+0-430--0.219299999999956</f>
        <v>1121.0279839999998</v>
      </c>
      <c r="J306" s="3">
        <f>1624.5+(508.8-571)+(-1.65699+(-0.518976--0.58242))+0-432.4--0.441048000000069</f>
        <v>1128.7475020000002</v>
      </c>
      <c r="K306" s="3">
        <f>1627.1+(486.5-571.4)+(3.319284+(0.99246-1.165656))+0-413-0.842519999999982</f>
        <v>1131.5035679999999</v>
      </c>
      <c r="L306" s="3">
        <f>1626.5+(425.4-512.3)+(0.829515+(0.216954-0.261273))+0-397.4-0.20267399999996</f>
        <v>1142.7825220000002</v>
      </c>
      <c r="M306" s="3">
        <f>1625.3+(453.8-502.6)+(-2.486709+(-0.694314--0.768978))+0-399.7--0.611541000000023</f>
        <v>1174.9994959999999</v>
      </c>
      <c r="N306" s="3">
        <f>1669.3+(425.1-492)+(0+(0-0))+0-388.8-0</f>
        <v>1213.6000000000001</v>
      </c>
      <c r="O306" s="3">
        <f>1718.6+(360.8-389.4)+(3.505944+(0.736032-0.794376))+0-414.6-0.845783999999982</f>
        <v>1278.001816</v>
      </c>
      <c r="P306" s="3">
        <f>1716.2+(349.3-460.3)+(0.875262+(0.178143-0.234753))+0-413.3-0.210782999999958</f>
        <v>1192.507869</v>
      </c>
      <c r="Q306" s="3">
        <f>1715.8+(396.1-452.4)+(-3.500232+(-0.808044--0.922896))+0-412.6--0.841703999999982</f>
        <v>1244.3563239999999</v>
      </c>
      <c r="R306" s="3">
        <f>1718.6+(447.3-455.1)+(1.752972+(0.456246-0.464202))+0-421.9-0.430338000000067</f>
        <v>1290.2146779999998</v>
      </c>
      <c r="S306" s="3">
        <f>1711.9+(612.1-735.4)+(-1.746138+(-0.624342--0.750108))+0-416.3--0.424626000000066</f>
        <v>1171.1042540000001</v>
      </c>
      <c r="T306" s="3">
        <f>1716.1+(336.7-467.1)+(-0.875211+(-0.171717--0.238221))+0-422.6--0.215525999999957</f>
        <v>1162.5068189999997</v>
      </c>
      <c r="U306" s="3">
        <f>1716.1+(324.4-415.2)+(-0.875211+(-0.165444--0.211752))+0-412.3--0.210272999999958</f>
        <v>1212.3813699999998</v>
      </c>
      <c r="V306" s="3">
        <f>1757.8+(298.2-441.8)+(0.896478+(0.152082-0.225318))+0-409.9-0.209048999999958</f>
        <v>1204.9141929999996</v>
      </c>
      <c r="W306" s="3">
        <f>2145.8+(228.8-671.6)+(-1.094358+(-0.116688--0.342516))+0-423.6--0.216035999999957</f>
        <v>1278.7475060000004</v>
      </c>
      <c r="X306" s="3">
        <f>2245.8+(383.2-745.9)+(-4.581432+(-0.781728--1.521636))+0-413.8--0.844151999999982</f>
        <v>1466.3026280000001</v>
      </c>
      <c r="Y306" s="3">
        <f>2247.2+(377.6-746.8)+(-3.438216+(-0.577728--1.142604))+0-427.2--0.653616000000025</f>
        <v>1448.5802759999999</v>
      </c>
      <c r="Z306" s="3">
        <f>2204+(380.6-770)+(-5.6202+(-0.97053--1.9635))+0-422.9--1.07839499999994</f>
        <v>1388.1511649999998</v>
      </c>
      <c r="AA306" s="3">
        <f>2007.2+(403.7-641.8)+(2.047344+(0.411774-0.654636))+0-399.9-0.407898000000064</f>
        <v>1370.5965840000001</v>
      </c>
      <c r="AB306" s="3">
        <f>1848+(553.7-660)+(2.82744+(0.847161-1.0098))+0-391.9-0.599607000000023</f>
        <v>1351.865194</v>
      </c>
      <c r="AC306" s="3">
        <f>1727.8+(555.2-646.3)+(-2.643534+(-0.849456--0.988839))+0-395.5--0.605115000000023</f>
        <v>1239.300964</v>
      </c>
      <c r="AD306">
        <f t="shared" si="4"/>
        <v>29755.209348000004</v>
      </c>
      <c r="AE306" s="3">
        <f>2250+(387.1-802.3)+(0+(0-0))+0-356.9-0</f>
        <v>1477.9</v>
      </c>
    </row>
    <row r="307" spans="1:31" s="2" customFormat="1" x14ac:dyDescent="0.25">
      <c r="A307">
        <v>89</v>
      </c>
      <c r="B307">
        <v>11</v>
      </c>
      <c r="C307">
        <v>1</v>
      </c>
      <c r="D307">
        <v>7</v>
      </c>
      <c r="E307">
        <v>1</v>
      </c>
      <c r="F307" s="3">
        <f>1706.6+(558.9-678.1)+(-4.35183+(-1.425195--1.729155))+0-393.4--1.00316999999994</f>
        <v>1190.9552999999996</v>
      </c>
      <c r="G307" s="3">
        <f>1698.8+(614.9-774.2)+(-1.732776+(-0.627198--0.789684))+0-395.9--0.403818000000063</f>
        <v>1142.4335279999998</v>
      </c>
      <c r="H307" s="3">
        <f>1639.5+(643.8-858.6)+(-5.01687+(-1.970028--2.627316))+0-394.2--1.20625200000005</f>
        <v>1027.3466699999997</v>
      </c>
      <c r="I307" s="3">
        <f>1639.7+(595.1-752.9)+(0+(0-0))+0-393.7-0</f>
        <v>1088.2</v>
      </c>
      <c r="J307" s="3">
        <f>1640.8+(558.1-746.8)+(-0.836808+(-0.284631--0.380868))+0-393.2--0.20053199999996</f>
        <v>1058.3599609999999</v>
      </c>
      <c r="K307" s="3">
        <f>1639+(540.5-699.8)+(0+(0-0))+0-394.1-0</f>
        <v>1085.5999999999999</v>
      </c>
      <c r="L307" s="3">
        <f>1626.5+(507.2-671.1)+(-8.29515+(-2.58672--3.42261))+0-393.5--2.00685000000003</f>
        <v>1063.6475899999998</v>
      </c>
      <c r="M307" s="3">
        <f>1639.4+(591.8-841.9)+(1.672188+(0.603636-0.858738))+0-394.4-0.402288000000063</f>
        <v>995.91479800000002</v>
      </c>
      <c r="N307" s="3">
        <f>1691.9+(779.9-1042.9)+(-4.314345+(-1.988745--2.659395))+0-392--0.999599999999943</f>
        <v>1034.255905</v>
      </c>
      <c r="O307" s="3">
        <f>1712.8+(771.6-1033.8)+(-0.873528+(-0.393516--0.527238))+0-396.7--0.20231699999996</f>
        <v>1053.3625109999998</v>
      </c>
      <c r="P307" s="3">
        <f>1712.7+(633-825.9)+(-3.493908+(-1.29132--1.684836))+0-393.8--0.803351999999983</f>
        <v>1123.7029600000001</v>
      </c>
      <c r="Q307" s="3">
        <f>1711.5+(513.7-700.8)+(-2.618595+(-0.785961--1.072224))+0-396.1--0.606033000000023</f>
        <v>1126.5737010000003</v>
      </c>
      <c r="R307" s="3">
        <f>1712.8+(532.5-761.1)+(0.873528+(0.271575-0.388161))+0-378.5-0.193034999999962</f>
        <v>1106.2639069999998</v>
      </c>
      <c r="S307" s="3">
        <f>1714.2+(629.4-867.7)+(-3.496968+(-1.283976--1.770108))+0-387.5--0.790499999999983</f>
        <v>1086.1796640000002</v>
      </c>
      <c r="T307" s="3">
        <f>1710.5+(593.5-883.4)+(-0.872355+(-0.302685--0.450534))+0-382.8--0.195227999999961</f>
        <v>1037.270722</v>
      </c>
      <c r="U307" s="3">
        <f>1709.7+(560.3-848.8)+(-2.615841+(-0.857259--1.298664))+0-382.9--0.585837000000022</f>
        <v>1036.711401</v>
      </c>
      <c r="V307" s="3">
        <f>1787.9+(560.3-930.7)+(-3.647316+(-1.143012--1.898628))+0-379.4--0.773975999999983</f>
        <v>1035.9822760000002</v>
      </c>
      <c r="W307" s="3">
        <f>2052.3+(472.4-905.2)+(1.046673+(0.240924-0.461652))+0-382.8-0.195227999999961</f>
        <v>1237.330717</v>
      </c>
      <c r="X307" s="3">
        <f>2208.3+(576.7-1060.9)+(-3.378699+(-0.882351--1.623177))+0-393.9--0.602667000000023</f>
        <v>1328.1647940000003</v>
      </c>
      <c r="Y307" s="3">
        <f>2226.9+(478.4-968.9)+(-1.135719+(-0.243984--0.494139))+0-392.5--0.20017499999996</f>
        <v>1343.2146110000001</v>
      </c>
      <c r="Z307" s="3">
        <f>2136.4+(417.6-845.6)+(-4.358256+(-0.851904--1.725024))+0-391.9--0.799475999999983</f>
        <v>1313.8143400000001</v>
      </c>
      <c r="AA307" s="3">
        <f>2026.7+(567.3-744.9)+(3.100851+(0.867969-1.139697))+0-392.3-0.600219000000023</f>
        <v>1459.028904</v>
      </c>
      <c r="AB307" s="3">
        <f>1951.3+(427.3-689.7)+(-3.980652+(-0.871692--1.406988))+0-386.9--0.789275999999983</f>
        <v>1299.3439199999998</v>
      </c>
      <c r="AC307" s="3">
        <f>1745.7+(518.5-662.5)+(-1.780614+(-0.52887--0.67575))+0-407.8--0.415956000000065</f>
        <v>1192.6822220000001</v>
      </c>
      <c r="AD307">
        <f t="shared" si="4"/>
        <v>27466.340401999994</v>
      </c>
      <c r="AE307" s="3">
        <f>2215+(629.4-1095.4)+(0+(0-0))+0-393.2-0</f>
        <v>1355.8</v>
      </c>
    </row>
    <row r="308" spans="1:31" s="2" customFormat="1" x14ac:dyDescent="0.25">
      <c r="A308">
        <v>89</v>
      </c>
      <c r="B308">
        <v>11</v>
      </c>
      <c r="C308">
        <v>2</v>
      </c>
      <c r="D308">
        <v>1</v>
      </c>
      <c r="E308">
        <v>1</v>
      </c>
      <c r="F308" s="3">
        <f>1694.8+(490.9-655.1)+(-6.050436+(-1.752513--2.338707))+0-422.5--1.50832500000001</f>
        <v>1104.1440829999999</v>
      </c>
      <c r="G308" s="3">
        <f>1643+(533-699.5)+(-3.35172+(-1.08732--1.42698))+0-426.2--0.869447999999981</f>
        <v>1048.1573879999999</v>
      </c>
      <c r="H308" s="3">
        <f>1643.9+(503.2-713.3)+(0.838389+(0.256632-0.363783))+0-419-0.213689999999957</f>
        <v>1015.3175480000003</v>
      </c>
      <c r="I308" s="3">
        <f>1642.8+(500.2-700)+(0+(0-0))+0-426-0</f>
        <v>1017</v>
      </c>
      <c r="J308" s="3">
        <f>1644.2+(666.8-871.6)+(-2.515626+(-1.020204--1.333548))+0-422.8--0.646884000000024</f>
        <v>1015.0446020000002</v>
      </c>
      <c r="K308" s="3">
        <f>1644.1+(629.9-819.4)+(0.838491+(0.321249-0.417894))+0-413-0.210629999999958</f>
        <v>1042.1312159999998</v>
      </c>
      <c r="L308" s="3">
        <f>1663.5+(740.1-898.7)+(0.848385+(0.377451-0.458337))+0-382.9-0.195278999999961</f>
        <v>1122.57222</v>
      </c>
      <c r="M308" s="3">
        <f>1715.4+(775.4-954.2)+(-1.749708+(-0.790908--0.973284))+0-394.2--0.402084000000063</f>
        <v>1141.2347519999998</v>
      </c>
      <c r="N308" s="3">
        <f>1714.4+(935.2-986.7)+(-1.748688+(-0.953904--1.006434))+0-401.7--0.409734000000064</f>
        <v>1259.9135760000001</v>
      </c>
      <c r="O308" s="3">
        <f>1715.1+(658.9-649.8)+(-0.874701+(-0.336039--0.331398))+0-385.8--0.196757999999961</f>
        <v>1337.717416</v>
      </c>
      <c r="P308" s="3">
        <f>1705.9+(515-517.9)+(-3.480036+(-1.0506--1.056516))+0-380.5--0.776219999999983</f>
        <v>1319.8020999999999</v>
      </c>
      <c r="Q308" s="3">
        <f>1717.1+(528.5-461.2)+(-2.627163+(-0.808605--0.705636))+0-381.7--0.584001000000022</f>
        <v>1400.5538689999998</v>
      </c>
      <c r="R308" s="3">
        <f>1716.5+(638.2-664)+(-4.377075+(-1.62741--1.6932))+0-350.3--0.893264999999949</f>
        <v>1336.98198</v>
      </c>
      <c r="S308" s="3">
        <f>1716.1+(628-819.4)+(1.750422+(0.64056-0.835788))+0-356.9-0.364038000000057</f>
        <v>1168.9911559999996</v>
      </c>
      <c r="T308" s="3">
        <f>1716.6+(551.7-744)+(-0.875466+(-0.281367--0.37944))+1.8-362.4--0.184823999999963</f>
        <v>1163.1074309999999</v>
      </c>
      <c r="U308" s="3">
        <f>1715.6+(403.8-480.1)+(0.874956+(0.205938-0.244851))+0-365.4-0.186353999999963</f>
        <v>1274.5496889999999</v>
      </c>
      <c r="V308" s="3">
        <f>1732+(420.7-557.2)+(0+(0-0))+0-369.1-0</f>
        <v>1226.4000000000001</v>
      </c>
      <c r="W308" s="3">
        <f>1961.1+(336.4-564.8)+(3.000483+(0.514692-0.864144))+0-380.2-0.581706000000022</f>
        <v>1354.5693249999999</v>
      </c>
      <c r="X308" s="3">
        <f>2214.8+(528.1-753.5)+(-3.388644+(-0.807993--1.152855))+0-392.7--0.600831000000023</f>
        <v>1594.2570490000001</v>
      </c>
      <c r="Y308" s="3">
        <f>2141.8+(425.2-645.1)+(-3.276954+(-0.650556--0.987003))+0-393.7--0.602361000000023</f>
        <v>1525.861854</v>
      </c>
      <c r="Z308" s="3">
        <f>1889.7+(528.6-598.8)+(-3.854988+(-1.078344--1.221552))+0-398.2--0.812327999999983</f>
        <v>1418.4005479999998</v>
      </c>
      <c r="AA308" s="3">
        <f>1753.1+(598.6-528.3)+(-0.894081+(-0.305286--0.269433))+0-401.6--0.204815999999959</f>
        <v>1421.0748819999999</v>
      </c>
      <c r="AB308" s="3">
        <f>1711.8+(512.8-450.4)+(-3.492072+(-1.046112--0.918816))+0-416.8--0.850271999999982</f>
        <v>1354.6309039999999</v>
      </c>
      <c r="AC308" s="3">
        <f>1633.1+(441.8-442.6)+(-6.663048+(-1.802544--1.805808))+0-409.5--1.67075999999996</f>
        <v>1217.810976</v>
      </c>
      <c r="AD308">
        <f t="shared" si="4"/>
        <v>29880.224564000004</v>
      </c>
      <c r="AE308" s="3">
        <f>2224+(571.5-843.9)+(0+(0-0))+0-401.9-0</f>
        <v>1549.6999999999998</v>
      </c>
    </row>
    <row r="309" spans="1:31" s="2" customFormat="1" x14ac:dyDescent="0.25">
      <c r="A309">
        <v>89</v>
      </c>
      <c r="B309">
        <v>11</v>
      </c>
      <c r="C309">
        <v>3</v>
      </c>
      <c r="D309">
        <v>2</v>
      </c>
      <c r="E309">
        <v>1</v>
      </c>
      <c r="F309" s="3">
        <f>1639.6+(577.7-595.3)+(-2.508588+(-0.883881--0.910809))+0-418.7--0.640611000000024</f>
        <v>1201.4589510000001</v>
      </c>
      <c r="G309" s="3">
        <f>1643.6+(555.8-603.2)+(-3.352944+(-1.133832--1.230528))+0-431.5--0.880259999999981</f>
        <v>1162.3240119999998</v>
      </c>
      <c r="H309" s="3">
        <f>1642.3+(419.3-584.4)+(-4.187865+(-1.069215--1.49022))+0-412.7--1.05238499999994</f>
        <v>1061.785525</v>
      </c>
      <c r="I309" s="3">
        <f>1642.7+(503.1-585.5)+(0.837777+(0.256581-0.298605))+0-415.1-0.211700999999958</f>
        <v>1145.7840520000002</v>
      </c>
      <c r="J309" s="3">
        <f>1643.4+(510.7-636.8)+(1.676268+(0.520914-0.649536))+0-431.8-0.440436000000069</f>
        <v>1086.6072100000001</v>
      </c>
      <c r="K309" s="3">
        <f>1641+(638.7-724.3)+(0+(0-0))+0-423.4-0</f>
        <v>1132</v>
      </c>
      <c r="L309" s="3">
        <f>1700.7+(501.1-645.3)+(-3.469428+(-1.022244--1.316412))+0-413.8--0.844151999999982</f>
        <v>1140.368892</v>
      </c>
      <c r="M309" s="3">
        <f>1712.7+(516.9-592.8)+(-1.746954+(-0.527238--0.604656))+0-424.7--0.433194000000068</f>
        <v>1210.863658</v>
      </c>
      <c r="N309" s="3">
        <f>1715.3+(507.1-570.7)+(0+(0-0))+0-430.1-0</f>
        <v>1221.5999999999999</v>
      </c>
      <c r="O309" s="3">
        <f>1714.6+(250.3-289.3)+(-0.874446+(-0.127653--0.147543))+0-427.2--0.217871999999957</f>
        <v>1247.7633159999998</v>
      </c>
      <c r="P309" s="3">
        <f>1714.7+(229.8-240.3)+(-0.874497+(-0.117198--0.122553))+0-426--0.217259999999957</f>
        <v>1277.5481179999999</v>
      </c>
      <c r="Q309" s="3">
        <f>1713.2+(325.5-238.2)+(-1.747464+(-0.33201--0.242964))+0-425.6--0.434112000000068</f>
        <v>1373.4976020000001</v>
      </c>
      <c r="R309" s="3">
        <f>1709.5+(212.1-223.8)+(-0.871845+(-0.108171--0.114138))+0-437.6--0.223175999999956</f>
        <v>1259.5572979999997</v>
      </c>
      <c r="S309" s="3">
        <f>1713+(215.1-308.1)+(-0.87363+(-0.109701--0.157131))+0-425.6--0.217055999999957</f>
        <v>1193.7908560000001</v>
      </c>
      <c r="T309" s="3">
        <f>1773.5+(184-301.8)+(-4.522425+(-0.4692--0.76959))+0-420.8--1.07303999999994</f>
        <v>1231.7510050000001</v>
      </c>
      <c r="U309" s="3">
        <f>1819.1+(256.7-402)+(0.927741+(0.130917-0.20502))+0-430-0.219299999999956</f>
        <v>1244.434338</v>
      </c>
      <c r="V309" s="3">
        <f>1743.7+(207.6-279)+(-2.667861+(-0.317628--0.42687))+0-418.9--0.640917000000024</f>
        <v>1251.4822980000001</v>
      </c>
      <c r="W309" s="3">
        <f>1931.9+(325.7-488.7)+(-1.970538+(-0.332214--0.498474))+0-425.9--0.434418000000068</f>
        <v>1341.63014</v>
      </c>
      <c r="X309" s="3">
        <f>2142.3+(378.4-594.8)+(-4.370292+(-0.771936--1.213392))+0-424.3--0.865571999999981</f>
        <v>1498.536736</v>
      </c>
      <c r="Y309" s="3">
        <f>2163.2+(299.6-577.6)+(-4.412928+(-0.611184--1.178304))+0-423.5--0.863939999999982</f>
        <v>1458.7181319999997</v>
      </c>
      <c r="Z309" s="3">
        <f>2098.6+(307.4-564)+(-1.070286+(-0.156774--0.28764))+0-425.8--0.217157999999957</f>
        <v>1415.477738</v>
      </c>
      <c r="AA309" s="3">
        <f>1976.3+(394.6-543.1)+(-1.007913+(-0.201246--0.276981))+0-434.4--0.221543999999956</f>
        <v>1392.6893660000001</v>
      </c>
      <c r="AB309" s="3">
        <f>1810.1+(552.6-607)+(0+(0-0))+0-398.5-0</f>
        <v>1357.1999999999998</v>
      </c>
      <c r="AC309" s="3">
        <f>1734.2+(501.3-571.4)+(-4.42221+(-1.278315--1.45707))+0-397.6--1.01387999999994</f>
        <v>1263.2704250000002</v>
      </c>
      <c r="AD309">
        <f t="shared" si="4"/>
        <v>30170.139668</v>
      </c>
      <c r="AE309" s="3">
        <f>2141+(428.9-568)+(0+(0-0))+0-447.9-0</f>
        <v>1554</v>
      </c>
    </row>
    <row r="310" spans="1:31" s="2" customFormat="1" x14ac:dyDescent="0.25">
      <c r="A310">
        <v>89</v>
      </c>
      <c r="B310">
        <v>11</v>
      </c>
      <c r="C310">
        <v>4</v>
      </c>
      <c r="D310">
        <v>3</v>
      </c>
      <c r="E310">
        <v>1</v>
      </c>
      <c r="F310" s="3">
        <f>1700.2+(457.4-588.7)+(-1.734204+(-0.466548--0.600474))+0-387.9--0.395658000000062</f>
        <v>1179.7953800000003</v>
      </c>
      <c r="G310" s="3">
        <f>1643.7+(582.5-687.5)+(-0.838287+(-0.297075--0.350625))+0-387.4--0.197573999999961</f>
        <v>1150.7128370000003</v>
      </c>
      <c r="H310" s="3">
        <f>1640.8+(562.1-685.1)+(-1.673616+(-0.573342--0.698802))+0-388.2--0.395964000000062</f>
        <v>1128.4478079999999</v>
      </c>
      <c r="I310" s="3">
        <f>1643.4+(544.7-680.9)+(1.676268+(0.555594-0.694518))+0-390.3-0.398106000000062</f>
        <v>1118.0392380000003</v>
      </c>
      <c r="J310" s="3">
        <f>1643.2+(601.7-740.6)+(1.676064+(0.613734-0.755412))+0-384.4-0.392088000000061</f>
        <v>1121.0422980000003</v>
      </c>
      <c r="K310" s="3">
        <f>1643.2+(655.5-791.9)+(3.352128+(1.33722-1.615476))+0-383.5-0.782339999999983</f>
        <v>1125.5915320000001</v>
      </c>
      <c r="L310" s="3">
        <f>1638.6+(631.7-737)+(-2.507058+(-0.966501--1.12761))+0-385.1--0.589203000000022</f>
        <v>1146.4432539999998</v>
      </c>
      <c r="M310" s="3">
        <f>1691.7+(371.9-502.6)+(-4.313835+(-0.948345--1.28163))+0-391.1--0.997304999999943</f>
        <v>1166.9167549999997</v>
      </c>
      <c r="N310" s="3">
        <f>1700+(487-613.5)+(0+(0-0))+0-380-0</f>
        <v>1193.5</v>
      </c>
      <c r="O310" s="3">
        <f>1711.4+(617.6-553.2)+(0+(0-0))+0-383-0</f>
        <v>1392.8000000000002</v>
      </c>
      <c r="P310" s="3">
        <f>1711.3+(567.2-581.6)+(-3.491052+(-1.157088--1.186464))+0-382--0.779279999999983</f>
        <v>1312.2176040000002</v>
      </c>
      <c r="Q310" s="3">
        <f>1709.2+(593.6-604.1)+(-4.35846+(-1.51368--1.540455))+0-393.9--1.00444499999994</f>
        <v>1301.4727600000001</v>
      </c>
      <c r="R310" s="3">
        <f>1713.4+(470-555.8)+(-3.495336+(-0.9588--1.133832))+0-392.8--0.801311999999983</f>
        <v>1232.2810080000002</v>
      </c>
      <c r="S310" s="3">
        <f>1714.5+(415.1-512.9)+(-0.874395+(-0.211701--0.261579))+0-391.1--0.19946099999996</f>
        <v>1224.9749439999998</v>
      </c>
      <c r="T310" s="3">
        <f>1713+(408.7-486.4)+(0+(0-0))+0-331.9-0</f>
        <v>1303.4000000000001</v>
      </c>
      <c r="U310" s="3">
        <f>1717.8+(443.8-563.2)+(2.628234+(0.679014-0.861696))+0-392.2-0.600066000000023</f>
        <v>1208.0454859999998</v>
      </c>
      <c r="V310" s="3">
        <f>1775+(396.8-527.3)+(0+(0-0))+0-392.3-0</f>
        <v>1252.2</v>
      </c>
      <c r="W310" s="3">
        <f>1974.2+(546.3-855.2)+(0+(0-0))+0-391.3-0</f>
        <v>1274</v>
      </c>
      <c r="X310" s="3">
        <f>2196.2+(850.4-1100.1)+(-3.360186+(-1.301112--1.683153))+0-390.8--0.597924000000023</f>
        <v>1553.3197789999999</v>
      </c>
      <c r="Y310" s="3">
        <f>2224.4+(539.4-899)+(-3.403332+(-0.825282--1.37547))+0-362.4--0.554472000000021</f>
        <v>1500.1013280000004</v>
      </c>
      <c r="Z310" s="3">
        <f>2125.5+(426.1-751.2)+(-3.252015+(-0.651933--1.149336))+0-376.7--0.576351000000022</f>
        <v>1421.521739</v>
      </c>
      <c r="AA310" s="3">
        <f>2064.1+(478.2-749.8)+(-1.052691+(-0.243882--0.382398))+0-369.8--0.188597999999962</f>
        <v>1421.9744230000001</v>
      </c>
      <c r="AB310" s="3">
        <f>1961.7+(457-725.5)+(-2.000934+(-0.46614--0.74001))+0-370.5--0.377910000000059</f>
        <v>1321.3508460000003</v>
      </c>
      <c r="AC310" s="3">
        <f>1681.1+(625.7-677.2)+(0+(0-0))+0-376.8-0</f>
        <v>1252.8</v>
      </c>
      <c r="AD310">
        <f t="shared" si="4"/>
        <v>30302.949019000007</v>
      </c>
      <c r="AE310" s="3">
        <f>2152+(842.6-1158.6)+(0+(0-0))+0-390.9-0</f>
        <v>1445.1</v>
      </c>
    </row>
    <row r="311" spans="1:31" s="2" customFormat="1" x14ac:dyDescent="0.25">
      <c r="A311">
        <v>89</v>
      </c>
      <c r="B311">
        <v>11</v>
      </c>
      <c r="C311">
        <v>5</v>
      </c>
      <c r="D311">
        <v>4</v>
      </c>
      <c r="E311">
        <v>5</v>
      </c>
      <c r="F311" s="3">
        <f>1618.6+(707.7-741.7)+(-0.825486+(-0.360927--0.378267))+0-383.2--0.195431999999961</f>
        <v>1200.7872859999998</v>
      </c>
      <c r="G311" s="3">
        <f>1619.3+(649.9-729.2)+(-2.477529+(-0.994347--1.115676))+0-389.1--0.595323000000022</f>
        <v>1149.1391229999999</v>
      </c>
      <c r="H311" s="3">
        <f>1622.3+(639.5-759.6)+(1.654746+(0.65229-0.774792))+0-395.9-0.403818000000063</f>
        <v>1107.4284259999997</v>
      </c>
      <c r="I311" s="3">
        <f>1612.8+(656.8-793.8)+(-0.822528+(-0.334968--0.404838))+0-377.5--0.192524999999962</f>
        <v>1097.7398669999998</v>
      </c>
      <c r="J311" s="3">
        <f>1611.7+(647-809.2)+(-0.821967+(-0.32997--0.412692))+0-378.3--0.192932999999962</f>
        <v>1070.6536880000001</v>
      </c>
      <c r="K311" s="3">
        <f>1609.6+(720.3-872.5)+(0.820896+(0.367353-0.444975))+0-370.7-0.189056999999962</f>
        <v>1087.2542169999997</v>
      </c>
      <c r="L311" s="3">
        <f>1611.3+(655.5-788.8)+(-4.930578+(-2.00583--2.413728))+0-380.4--1.16402400000004</f>
        <v>1094.2413439999998</v>
      </c>
      <c r="M311" s="3">
        <f>1607.8+(680.6-806.3)+(-4.09989+(-1.73553--2.056065))+0-386.8--0.986339999999944</f>
        <v>1092.506985</v>
      </c>
      <c r="N311" s="3">
        <f>1611+(726.6-911.6)+(-1.64322+(-0.741132--0.929832))+0-394.5--0.402390000000063</f>
        <v>1030.44787</v>
      </c>
      <c r="O311" s="3">
        <f>1608.5+(669.5-764.9)+(-3.28134+(-1.36578--1.560396))+0-394.3--0.804371999999983</f>
        <v>1116.517648</v>
      </c>
      <c r="P311" s="3">
        <f>1610.9+(635.6-708)+(-2.464677+(-0.972468--1.08324))+0-396.6--0.606798000000023</f>
        <v>1140.1528930000002</v>
      </c>
      <c r="Q311" s="3">
        <f>1609.6+(636.5-712.6)+(-4.10448+(-1.623075--1.81713))+0-397.6--1.01387999999994</f>
        <v>1133.003455</v>
      </c>
      <c r="R311" s="3">
        <f>1607.9+(580-685.7)+(-4.920174+(-1.7748--2.098242))+0-395.4--1.20992400000005</f>
        <v>1103.4131920000002</v>
      </c>
      <c r="S311" s="3">
        <f>1611.5+(638.9-772.6)+(-1.64373+(-0.651678--0.788052))+0-392.7--0.400554000000063</f>
        <v>1083.9931979999999</v>
      </c>
      <c r="T311" s="3">
        <f>1610.6+(718.6-855.6)+(-4.10703+(-1.83243--2.18178))+0-392.8--1.00163999999994</f>
        <v>1078.04396</v>
      </c>
      <c r="U311" s="3">
        <f>1612.7+(688-822.8)+(1.644954+(0.70176-0.839256))+0-394-0.401880000000063</f>
        <v>1085.005578</v>
      </c>
      <c r="V311" s="3">
        <f>1655.3+(687-828.4)+(1.688406+(0.70074-0.844968))+0-392.7-0.400554000000063</f>
        <v>1122.3436240000001</v>
      </c>
      <c r="W311" s="3">
        <f>1970.1+(307.2-723.9)+(0+(0-0))+0-388.5-0</f>
        <v>1164.8999999999999</v>
      </c>
      <c r="X311" s="3">
        <f>2230+(472.5-886.1)+(-1.1373+(-0.240975--0.451911))+0-388.6--0.198185999999961</f>
        <v>1427.0718220000001</v>
      </c>
      <c r="Y311" s="3">
        <f>2229.4+(367.6-843)+(-4.547976+(-0.749904--1.71972))+0-386.7--0.788867999999983</f>
        <v>1364.510708</v>
      </c>
      <c r="Z311" s="3">
        <f>2228.1+(391.5-862.8)+(0+(0-0))+0-386.9-0</f>
        <v>1369.9</v>
      </c>
      <c r="AA311" s="3">
        <f>2198.7+(405.2-901.2)+(0+(0-0))+0-390.9-0</f>
        <v>1311.7999999999997</v>
      </c>
      <c r="AB311" s="3">
        <f>2004.6+(546.2-807.2)+(-6.134076+(-1.671372--2.470032))+0-396.2--1.21237200000005</f>
        <v>1343.2769559999999</v>
      </c>
      <c r="AC311" s="3">
        <f>1844.1+(692.6-884.4)+(-1.880982+(-0.706452--0.902088))+0-396.3--0.404226000000063</f>
        <v>1254.7188800000001</v>
      </c>
      <c r="AD311">
        <f t="shared" si="4"/>
        <v>28028.850720000006</v>
      </c>
      <c r="AE311" s="3">
        <f>2221+(506.9-935.8)+(0+(0-0))+0-385.7-0</f>
        <v>1406.3999999999999</v>
      </c>
    </row>
    <row r="312" spans="1:31" s="2" customFormat="1" x14ac:dyDescent="0.25">
      <c r="A312">
        <v>89</v>
      </c>
      <c r="B312">
        <v>11</v>
      </c>
      <c r="C312">
        <v>6</v>
      </c>
      <c r="D312">
        <v>5</v>
      </c>
      <c r="E312">
        <v>1</v>
      </c>
      <c r="F312" s="3">
        <f>1714.1+(851.7-981)+(-2.622573+(-1.303101--1.50093))+0-395.9--0.605727000000023</f>
        <v>1187.0809830000003</v>
      </c>
      <c r="G312" s="3">
        <f>1714.5+(893.1-1101.7)+(-0.874395+(-0.455481--0.561867))+0-398.2--0.20308199999996</f>
        <v>1107.1350730000001</v>
      </c>
      <c r="H312" s="3">
        <f>1715.8+(881.6-1117.3)+(0.875058+(0.449616-0.569823))+0-397.7-0.20282699999996</f>
        <v>1082.9520239999997</v>
      </c>
      <c r="I312" s="3">
        <f>1716.3+(781.8-1039.5)+(0+(0-0))+0-396.1-0</f>
        <v>1062.5</v>
      </c>
      <c r="J312" s="3">
        <f>1719.6+(810.7-1075.7)+(3.507984+(1.653828-2.194428))+0-396-0.807839999999983</f>
        <v>1060.759544</v>
      </c>
      <c r="K312" s="3">
        <f>1717.3+(846.7-1069.3)+(0.875823+(0.431817-0.545343))+0-393.3-0.20058299999996</f>
        <v>1101.961714</v>
      </c>
      <c r="L312" s="3">
        <f>1714.4+(1027-1182.3)+(-1.748688+(-1.04754--1.205946))+0-391.8--0.399636000000063</f>
        <v>1166.1093540000004</v>
      </c>
      <c r="M312" s="3">
        <f>1719.4+(945.5-1111.4)+(1.753788+(0.96441-1.133628))+0-394.2-0.402084000000063</f>
        <v>1160.4824859999999</v>
      </c>
      <c r="N312" s="3">
        <f>1717+(906.9-1018.5)+(-0.87567+(-0.462519--0.519435))+0-393.6--0.20073599999996</f>
        <v>1211.1819820000003</v>
      </c>
      <c r="O312" s="3">
        <f>1715+(868.8-900.3)+(-1.7493+(-0.886176--0.918306))+0-394.5--0.402390000000063</f>
        <v>1287.6852200000001</v>
      </c>
      <c r="P312" s="3">
        <f>1718.8+(972.2-956)+(1.753176+(0.991644-0.97512))+0-396.2-0.404124000000063</f>
        <v>1340.1655759999999</v>
      </c>
      <c r="Q312" s="3">
        <f>1717+(951.3-891.3)+(0.87567+(0.485163-0.454563))+0-395.2-0.20155199999996</f>
        <v>1382.5047179999999</v>
      </c>
      <c r="R312" s="3">
        <f>1711.9+(980.4-971.2)+(-4.365345+(-2.50002--2.47656))+0-278.3--0.70966499999996</f>
        <v>1439.1208599999998</v>
      </c>
      <c r="S312" s="3">
        <f>1718.5+(1080.2-1087.2)+(0+(0-0))+0-395-0</f>
        <v>1316.5</v>
      </c>
      <c r="T312" s="3">
        <f>1754+(1038.4-1065.3)+(0+(0-0))+0-394.2-0</f>
        <v>1332.9</v>
      </c>
      <c r="U312" s="3">
        <f>1843.4+(1077.8-1150)+(-0.940134+(-0.549678--0.5865))+0-394.6--0.20124599999996</f>
        <v>1375.8979339999999</v>
      </c>
      <c r="V312" s="3">
        <f>2043+(879.7-1162.7)+(-4.16772+(-1.794588--2.371908))+0-388.8--0.793151999999983</f>
        <v>1368.402752</v>
      </c>
      <c r="W312" s="3">
        <f>2200.4+(654.4-985.4)+(-4.488816+(-1.334976--2.010216))+0-382.3--0.779891999999983</f>
        <v>1484.0663160000001</v>
      </c>
      <c r="X312" s="3">
        <f>2229.7+(445.3-748)+(1.137147+(0.227103-0.38148))+0-382.9-0.195278999999961</f>
        <v>1544.887491</v>
      </c>
      <c r="Y312" s="3">
        <f>2225.1+(459.7-815.7)+(1.134801+(0.234447-0.416007))+0-382.3-0.194972999999961</f>
        <v>1487.558268</v>
      </c>
      <c r="Z312" s="3">
        <f>2080.5+(476-715.3)+(-5.305275+(-1.2138--1.824015))+0-380.3--0.969764999999945</f>
        <v>1457.1747050000001</v>
      </c>
      <c r="AA312" s="3">
        <f>1767.1+(615.5-587.4)+(0+(0-0))+0-384.5-0</f>
        <v>1410.6999999999998</v>
      </c>
      <c r="AB312" s="3">
        <f>1741.7+(619.1-619.1)+(-4.441335+(-1.578705--1.578705))+0-383.9--0.978944999999944</f>
        <v>1354.33761</v>
      </c>
      <c r="AC312" s="3">
        <f>1732.4+(585.2-649.7)+(-5.301144+(-1.790712--1.988082))+0-387.3--1.18513800000004</f>
        <v>1276.6813640000003</v>
      </c>
      <c r="AD312">
        <f t="shared" si="4"/>
        <v>30998.745974000001</v>
      </c>
      <c r="AE312" s="3">
        <f>2231+(481.3-784.1)+(0+(0-0))+0-390-0</f>
        <v>1538.2</v>
      </c>
    </row>
    <row r="313" spans="1:31" s="2" customFormat="1" x14ac:dyDescent="0.25">
      <c r="A313">
        <v>89</v>
      </c>
      <c r="B313">
        <v>11</v>
      </c>
      <c r="C313">
        <v>7</v>
      </c>
      <c r="D313">
        <v>6</v>
      </c>
      <c r="E313">
        <v>1</v>
      </c>
      <c r="F313" s="3">
        <f>1714.7+(653.9-798.5)+(-2.623491+(-1.000467--1.221705))+0-392.1--0.599913000000023</f>
        <v>1176.1976599999998</v>
      </c>
      <c r="G313" s="3">
        <f>1715.6+(722.1-897)+(3.499824+(1.473084-1.82988))+0-395.2-0.806207999999983</f>
        <v>1147.8368199999998</v>
      </c>
      <c r="H313" s="3">
        <f>1715.9+(888.2-1113.1)+(2.625327+(1.358946-1.703043))+0-394.9-0.604197000000023</f>
        <v>1097.7770330000003</v>
      </c>
      <c r="I313" s="3">
        <f>1715.1+(990.2-1198.4)+(0.874701+(0.505002-0.611184))+0-387-0.197369999999961</f>
        <v>1120.471149</v>
      </c>
      <c r="J313" s="3">
        <f>1715.5+(975.5-1191.9)+(0+(0-0))+0-386-0</f>
        <v>1113.0999999999999</v>
      </c>
      <c r="K313" s="3">
        <f>1707.7+(1123.1-1344.1)+(0+(0-0))+0-388.8-0</f>
        <v>1097.9000000000001</v>
      </c>
      <c r="L313" s="3">
        <f>1636.3+(1311.2-1414.1)+(1.669026+(1.337424-1.442382))+0-391.5-0.399330000000062</f>
        <v>1143.064738</v>
      </c>
      <c r="M313" s="3">
        <f>1588.2+(1270.7-1234)+(-0.809982+(-0.648057--0.62934))+0-394.3--0.20109299999996</f>
        <v>1229.9723940000001</v>
      </c>
      <c r="N313" s="3">
        <f>1621.5+(824.6-849.8)+(-1.65393+(-0.841092--0.866796))+0-383.2--0.390864000000061</f>
        <v>1211.8626380000001</v>
      </c>
      <c r="O313" s="3">
        <f>1770+(726.6-824.4)+(-3.6108+(-1.482264--1.681776))+0-379.9--0.774995999999983</f>
        <v>1289.6637079999998</v>
      </c>
      <c r="P313" s="3">
        <f>1890.2+(633.3-834.4)+(-0.964002+(-0.322983--0.425544))+0-370.8--0.189107999999962</f>
        <v>1317.627667</v>
      </c>
      <c r="Q313" s="3">
        <f>1895.5+(601.8-878.5)+(0+(0-0))+0-360.5-0</f>
        <v>1258.3</v>
      </c>
      <c r="R313" s="3">
        <f>1817.7+(706.8-933.9)+(-3.708108+(-1.441872--1.905156))+0-356.5--0.727259999999984</f>
        <v>1231.5824359999997</v>
      </c>
      <c r="S313" s="3">
        <f>1710+(706.7-831.1)+(-6.1047+(-2.522919--2.967027))+0-356.3--1.271991</f>
        <v>1224.9113990000001</v>
      </c>
      <c r="T313" s="3">
        <f>1708.4+(725.8-837.4)+(-4.35642+(-1.85079--2.13537))+0-359--0.915449999999948</f>
        <v>1234.6436100000001</v>
      </c>
      <c r="U313" s="3">
        <f>1711.4+(762.8-915.5)+(-1.745628+(-0.778056--0.93381))+0-363.1--0.370362000000058</f>
        <v>1194.3804880000002</v>
      </c>
      <c r="V313" s="3">
        <f>1753.7+(653.1-867.4)+(-3.577548+(-1.332324--1.769496))+0-370.6--0.756023999999984</f>
        <v>1166.4156479999999</v>
      </c>
      <c r="W313" s="3">
        <f>2031.9+(594.6-878.8)+(1.036269+(0.303246-0.448188))+0-372.5-0.189974999999962</f>
        <v>1375.9013520000003</v>
      </c>
      <c r="X313" s="3">
        <f>2076+(509.7-813.9)+(-5.2938+(-1.299735--2.075445))+0-359.5--0.916724999999948</f>
        <v>1408.698635</v>
      </c>
      <c r="Y313" s="3">
        <f>2112.9+(546.3-864.4)+(-3.232737+(-0.835839--1.322532))+0-356.2--0.544986000000021</f>
        <v>1436.3989420000003</v>
      </c>
      <c r="Z313" s="3">
        <f>2135.4+(618.8-940)+(-1.089054+(-0.315588--0.4794))+0-356.3--0.181712999999964</f>
        <v>1457.156471</v>
      </c>
      <c r="AA313" s="3">
        <f>1968.9+(706.2-853.6)+(-2.008278+(-0.720324--0.870672))+0-347.2--0.354144000000055</f>
        <v>1472.7962140000002</v>
      </c>
      <c r="AB313" s="3">
        <f>1866.2+(772.1-945.5)+(-3.807048+(-1.575084--1.92882))+0-347--0.707879999999985</f>
        <v>1343.054568</v>
      </c>
      <c r="AC313" s="3">
        <f>1688.4+(766.5-816.9)+(0+(0-0))+0-359.3-0</f>
        <v>1278.7</v>
      </c>
      <c r="AD313">
        <f t="shared" si="4"/>
        <v>30028.413569999997</v>
      </c>
      <c r="AE313" s="3">
        <f>2058+(534.2-786.9)+(0+(0-0))+0-367.9-0</f>
        <v>1437.4</v>
      </c>
    </row>
    <row r="314" spans="1:31" s="2" customFormat="1" x14ac:dyDescent="0.25">
      <c r="A314">
        <v>89</v>
      </c>
      <c r="B314">
        <v>11</v>
      </c>
      <c r="C314">
        <v>8</v>
      </c>
      <c r="D314">
        <v>7</v>
      </c>
      <c r="E314">
        <v>1</v>
      </c>
      <c r="F314" s="3">
        <f>1585.2+(748.8-794.7)+(-4.04226+(-1.90944--2.026485))+0-359.2--0.915959999999948</f>
        <v>1177.090745</v>
      </c>
      <c r="G314" s="3">
        <f>1587.4+(549.2-655.4)+(-2.428722+(-0.840276--1.002762))+0-357.5--0.546975000000021</f>
        <v>1121.9807390000003</v>
      </c>
      <c r="H314" s="3">
        <f>1585.9+(690.7-826.8)+(-0.808809+(-0.352257--0.421668))+0-355.9--0.181508999999964</f>
        <v>1093.3421110000004</v>
      </c>
      <c r="I314" s="3">
        <f>1584.5+(834.7-973.2)+(-0.808095+(-0.425697--0.496332))+0-367.4--0.187373999999963</f>
        <v>1078.0499139999999</v>
      </c>
      <c r="J314" s="3">
        <f>1587.1+(728.9-867.5)+(0.809421+(0.371739-0.442425))+0-366.3-0.186812999999963</f>
        <v>1082.7519219999999</v>
      </c>
      <c r="K314" s="3">
        <f>1584.2+(675-819.2)+(-2.423826+(-1.03275--1.253376))+0-365.5--0.559215000000021</f>
        <v>1072.8560150000001</v>
      </c>
      <c r="L314" s="3">
        <f>1584.2+(691.6-829.6)+(-1.615884+(-0.705432--0.846192))+0-368.7--0.376074000000059</f>
        <v>1076.40095</v>
      </c>
      <c r="M314" s="3">
        <f>1585.6+(737-923.2)+(0+(0-0))+0-375.5-0</f>
        <v>1023.8999999999999</v>
      </c>
      <c r="N314" s="3">
        <f>1583.3+(767.3-936.1)+(-1.614966+(-0.782646--0.954822))+0-376.9--0.38443800000006</f>
        <v>1036.5416479999999</v>
      </c>
      <c r="O314" s="3">
        <f>1588+(757.9-864.7)+(2.42964+(1.159587-1.322991))+0-386.9-0.591957000000022</f>
        <v>1095.9742789999996</v>
      </c>
      <c r="P314" s="3">
        <f>1584.3+(795.4-854.3)+(-2.423979+(-1.216962--1.307079))+0-390.3--0.597159000000023</f>
        <v>1133.3632970000001</v>
      </c>
      <c r="Q314" s="3">
        <f>1586+(798.9-866.7)+(-1.61772+(-0.814878--0.884034))+0-378.6--0.38617200000006</f>
        <v>1138.4376079999997</v>
      </c>
      <c r="R314" s="3">
        <f>1578.5+(672.9-753.2)+(-7.245315+(-3.088611--3.457188))+0-368.8--1.69279200000006</f>
        <v>1124.216054</v>
      </c>
      <c r="S314" s="3">
        <f>1586.3+(625-755.2)+(0+(0-0))+0-372.6-0</f>
        <v>1083.5</v>
      </c>
      <c r="T314" s="3">
        <f>1584.5+(572.8-728.7)+(-0.808095+(-0.292128--0.371637))+0-356.5--0.181814999999964</f>
        <v>1071.5532289999999</v>
      </c>
      <c r="U314" s="3">
        <f>1586.6+(584.2-726.2)+(-0.809166+(-0.297942--0.370362))+0-366.9--0.187118999999963</f>
        <v>1077.1503729999997</v>
      </c>
      <c r="V314" s="3">
        <f>1609.5+(520.1-666.2)+(-2.462535+(-0.795753--1.019286))+0-385.2--0.589356000000022</f>
        <v>1076.550354</v>
      </c>
      <c r="W314" s="3">
        <f>1891.4+(605.1-926.9)+(-3.858456+(-1.234404--1.890876))+0-397.4--0.810695999999983</f>
        <v>1169.808712</v>
      </c>
      <c r="X314" s="3">
        <f>1987.2+(862.5-1079.1)+(-4.053888+(-1.7595--2.201364))+0-410.7--0.837827999999982</f>
        <v>1357.125804</v>
      </c>
      <c r="Y314" s="3">
        <f>1901.9+(811-929.9)+(-2.909907+(-1.24083--1.422747))+0-421.2--0.644436000000024</f>
        <v>1359.7164459999999</v>
      </c>
      <c r="Z314" s="3">
        <f>1873.9+(722.2-851.9)+(-1.911378+(-0.736644--0.868938))+0-404.9--0.412998000000065</f>
        <v>1337.9339140000004</v>
      </c>
      <c r="AA314" s="3">
        <f>1774.8+(717.1-768.5)+(-0.905148+(-0.365721--0.391935))+0-400.2--0.204101999999959</f>
        <v>1322.5251679999999</v>
      </c>
      <c r="AB314" s="3">
        <f>1648.7+(773.9-710.3)+(-1.681674+(-0.789378--0.724506))+0-415.7--0.424014000000066</f>
        <v>1295.2774680000002</v>
      </c>
      <c r="AC314" s="3">
        <f>1580.8+(763.7-706.3)+(-5.643456+(-2.726409--2.521491))+0-426.9--1.52403300000001</f>
        <v>1206.975659</v>
      </c>
      <c r="AD314">
        <f t="shared" si="4"/>
        <v>27613.022408999997</v>
      </c>
      <c r="AE314" s="3">
        <f>1990+(969-1204.1)+(0+(0-0))+0-390-0</f>
        <v>1364.9</v>
      </c>
    </row>
    <row r="315" spans="1:31" s="2" customFormat="1" x14ac:dyDescent="0.25">
      <c r="A315">
        <v>89</v>
      </c>
      <c r="B315">
        <v>11</v>
      </c>
      <c r="C315">
        <v>9</v>
      </c>
      <c r="D315">
        <v>1</v>
      </c>
      <c r="E315">
        <v>1</v>
      </c>
      <c r="F315" s="3">
        <f>1555.2+(734.8-745.2)+(0+(0-0))+0-420.6-0</f>
        <v>1124.1999999999998</v>
      </c>
      <c r="G315" s="3">
        <f>1510.9+(710.7-754.1)+(-5.393913+(-2.537199--2.692137))+0-423.7--1.51260900000001</f>
        <v>1040.0736340000001</v>
      </c>
      <c r="H315" s="3">
        <f>1516.5+(760.5-818.9)+(-0.773415+(-0.387855--0.417639))+0-428--0.218279999999957</f>
        <v>1029.5746489999999</v>
      </c>
      <c r="I315" s="3">
        <f>1515+(758-830.9)+(-2.31795+(-1.15974--1.271277))+0-414.3--0.633879000000024</f>
        <v>1026.2274659999998</v>
      </c>
      <c r="J315" s="3">
        <f>1515.8+(724.2-794.4)+(0+(0-0))+0-423.1-0</f>
        <v>1022.4999999999999</v>
      </c>
      <c r="K315" s="3">
        <f>1516.4+(689.4-752)+(0+(0-0))+0-418.3-0</f>
        <v>1035.5000000000002</v>
      </c>
      <c r="L315" s="3">
        <f>1518.1+(871.2-892.8)+(0+(0-0))+0-417.2-0</f>
        <v>1079.3</v>
      </c>
      <c r="M315" s="3">
        <f>1567.3+(754.4-763.8)+(-3.996615+(-1.92372--1.94769))+0-417.4--1.06436999999994</f>
        <v>1137.5917250000002</v>
      </c>
      <c r="N315" s="3">
        <f>1765.2+(536.7-636.1)+(0.900252+(0.273717-0.324411))+0-415.5-0.211904999999958</f>
        <v>1250.9376530000002</v>
      </c>
      <c r="O315" s="3">
        <f>1775.6+(473.7-539.9)+(-0.905556+(-0.241587--0.275349))+0-414.9--0.211598999999958</f>
        <v>1293.8398049999998</v>
      </c>
      <c r="P315" s="3">
        <f>1785.6+(364.9-383.5)+(-1.821312+(-0.372198--0.39117))+0-428.9--0.437478000000068</f>
        <v>1336.7351380000002</v>
      </c>
      <c r="Q315" s="3">
        <f>1837.9+(418.8-503.3)+(-4.686645+(-1.06794--1.283415))+0-425.9--1.08604499999994</f>
        <v>1324.1148750000002</v>
      </c>
      <c r="R315" s="3">
        <f>1838.9+(480.5-567.8)+(0+(0-0))+0-429.6-0</f>
        <v>1322</v>
      </c>
      <c r="S315" s="3">
        <f>1840+(472.8-619.1)+(-3.7536+(-0.964512--1.262964))+0-423.8--0.864551999999982</f>
        <v>1267.3094040000001</v>
      </c>
      <c r="T315" s="3">
        <f>1838.2+(499.3-658)+(2.812446+(0.763929-1.00674))+0-429.5-0.657135000000025</f>
        <v>1251.9125000000001</v>
      </c>
      <c r="U315" s="3">
        <f>1836.8+(533.5-650)+(-2.810304+(-0.816255--0.9945))+0-427.3--0.653769000000025</f>
        <v>1291.02171</v>
      </c>
      <c r="V315" s="3">
        <f>1838.9+(489-549.4)+(2.813517+(0.74817-0.840582))+0-419.2-0.641376000000024</f>
        <v>1361.379729</v>
      </c>
      <c r="W315" s="3">
        <f>1932.3+(436.4-578.6)+(-2.956419+(-0.667692--0.885258))+0-419--0.641070000000024</f>
        <v>1369.002217</v>
      </c>
      <c r="X315" s="3">
        <f>1988.5+(532.3-560.7)+(-6.08481+(-1.628838--1.715742))+0-422.6--1.29315600000005</f>
        <v>1532.7952499999999</v>
      </c>
      <c r="Y315" s="3">
        <f>1970+(575.6-593.5)+(-7.0329+(-2.054892--2.118795))+0-422.2--1.50725400000001</f>
        <v>1524.438257</v>
      </c>
      <c r="Z315" s="3">
        <f>1847.1+(723.1-709.3)+(0.942021+(0.368781-0.361743))+0-416.7-0.212516999999958</f>
        <v>1444.9365420000001</v>
      </c>
      <c r="AA315" s="3">
        <f>1743.1+(738-636.2)+(-0.888981+(-0.37638--0.324462))+0-418.4--0.213383999999958</f>
        <v>1425.7724849999997</v>
      </c>
      <c r="AB315" s="3">
        <f>1665.2+(780.9-662.4)+(-0.849252+(-0.398259--0.337824))+0-419.3--0.213842999999957</f>
        <v>1363.704156</v>
      </c>
      <c r="AC315" s="3">
        <f>1557.8+(861.9-710.9)+(-0.794478+(-0.439569--0.362559))+0-422.5--0.215474999999957</f>
        <v>1285.6439869999999</v>
      </c>
      <c r="AD315">
        <f t="shared" si="4"/>
        <v>30140.511182000002</v>
      </c>
      <c r="AE315" s="3">
        <f>1985+(555.4-572.3)+(0+(0-0))+0-438.6-0</f>
        <v>1529.5</v>
      </c>
    </row>
    <row r="316" spans="1:31" s="2" customFormat="1" x14ac:dyDescent="0.25">
      <c r="A316">
        <v>89</v>
      </c>
      <c r="B316">
        <v>11</v>
      </c>
      <c r="C316">
        <v>10</v>
      </c>
      <c r="D316">
        <v>2</v>
      </c>
      <c r="E316">
        <v>1</v>
      </c>
      <c r="F316" s="3">
        <f>1515.3+(787.5-749.9)+(0.772803+(0.401625-0.382449))+0-425-0.216749999999957</f>
        <v>1128.4752290000001</v>
      </c>
      <c r="G316" s="3">
        <f>1518.4+(440.9-416.9)+(0+(0-0))+0-424.8-0</f>
        <v>1117.6000000000001</v>
      </c>
      <c r="H316" s="3">
        <f>1514.7+(354.8-407.3)+(-2.317491+(-0.542844--0.623169))+0-421.3--0.644589000000024</f>
        <v>1039.3074230000002</v>
      </c>
      <c r="I316" s="3">
        <f>1512.2+(334.3-371)+(-3.85611+(-0.852465--0.94605))+0-420.4--1.07201999999994</f>
        <v>1052.4094949999997</v>
      </c>
      <c r="J316" s="3">
        <f>1519.9+(317.9-424.4)+(1.550298+(0.324258-0.432888))+0-422.2-0.430644000000067</f>
        <v>992.21102399999995</v>
      </c>
      <c r="K316" s="3">
        <f>1514.7+(347.4-410.3)+(-3.089988+(-0.708696--0.837012))+0-423.8--0.864551999999982</f>
        <v>1025.9028800000001</v>
      </c>
      <c r="L316" s="3">
        <f>1520.1+(456.1-434.6)+(3.101004+(0.930444-0.886584))+0-417.9-0.852515999999982</f>
        <v>1125.9923480000002</v>
      </c>
      <c r="M316" s="3">
        <f>1519.9+(472.6-394.1)+(0.775149+(0.241026-0.200991))+0-421.9-0.215168999999957</f>
        <v>1177.100015</v>
      </c>
      <c r="N316" s="3">
        <f>1653.2+(341.5-354.8)+(-4.21566+(-0.870825--0.90474))+0-414.8--1.05773999999994</f>
        <v>1221.975995</v>
      </c>
      <c r="O316" s="3">
        <f>1736.9+(314.5-358.6)+(0.885819+(0.160395-0.182886))+0-439.4-0.224093999999955</f>
        <v>1254.0392340000001</v>
      </c>
      <c r="P316" s="3">
        <f>1869.7+(411-519.5)+(-1.907094+(-0.41922--0.52989))+0-426.8--0.435336000000068</f>
        <v>1333.0389120000002</v>
      </c>
      <c r="Q316" s="3">
        <f>1897+(389.6-533.8)+(0+(0-0))+0-423.6-0</f>
        <v>1329.2000000000003</v>
      </c>
      <c r="R316" s="3">
        <f>1842.2+(360.7-504.4)+(-2.818566+(-0.551871--0.771732))+0-427.7--0.654381000000025</f>
        <v>1268.8556759999999</v>
      </c>
      <c r="S316" s="3">
        <f>1770.5+(391.5-502.8)+(-1.80591+(-0.39933--0.512856))+0-411.1--0.419322000000066</f>
        <v>1246.8269379999999</v>
      </c>
      <c r="T316" s="3">
        <f>1769.7+(512.7-583.6)+(-1.805094+(-0.522954--0.595272))+0-413.6--0.421872000000066</f>
        <v>1283.8890960000001</v>
      </c>
      <c r="U316" s="3">
        <f>1770+(488.6-555)+(0.9027+(0.249186-0.28305))+0-413-0.210629999999958</f>
        <v>1291.258206</v>
      </c>
      <c r="V316" s="3">
        <f>1768.9+(357.1-417.6)+(-1.804278+(-0.364242--0.425952))+0-413.7--0.421974000000066</f>
        <v>1293.3794060000002</v>
      </c>
      <c r="W316" s="3">
        <f>1860.6+(288.9-377.6)+(0+(0-0))+0-410.1-0</f>
        <v>1361.7999999999997</v>
      </c>
      <c r="X316" s="3">
        <f>1983.4+(626.7-670.5)+(-2.023068+(-0.639234--0.68391))+0-414.8--0.423096000000066</f>
        <v>1523.2447040000002</v>
      </c>
      <c r="Y316" s="3">
        <f>1983.3+(581.8-664.2)+(-3.034449+(-0.890154--1.016226))+0-410.4--0.627912000000024</f>
        <v>1488.2195349999997</v>
      </c>
      <c r="Z316" s="3">
        <f>1904+(651.4-702.6)+(-3.88416+(-1.328856--1.433304))+0-408.6--0.833543999999982</f>
        <v>1441.2538319999999</v>
      </c>
      <c r="AA316" s="3">
        <f>1815.5+(487.1-489.9)+(-0.925905+(-0.248421--0.249849))+0-413.9--0.211088999999958</f>
        <v>1398.0866120000001</v>
      </c>
      <c r="AB316" s="3">
        <f>1811.7+(421.4-426.7)+(-3.695868+(-0.859656--0.870468))+0-409.8--0.835991999999982</f>
        <v>1393.7509360000001</v>
      </c>
      <c r="AC316" s="3">
        <f>1718.1+(440.5-461.8)+(-1.752462+(-0.44931--0.471036))+0-394--0.401880000000063</f>
        <v>1301.4711440000001</v>
      </c>
      <c r="AD316">
        <f t="shared" si="4"/>
        <v>30089.288639999995</v>
      </c>
      <c r="AE316" s="3">
        <f>1987+(504.7-561.3)+(0+(0-0))+0-428.9-0</f>
        <v>1501.5</v>
      </c>
    </row>
    <row r="317" spans="1:31" s="2" customFormat="1" x14ac:dyDescent="0.25">
      <c r="A317">
        <v>89</v>
      </c>
      <c r="B317">
        <v>11</v>
      </c>
      <c r="C317">
        <v>11</v>
      </c>
      <c r="D317">
        <v>3</v>
      </c>
      <c r="E317">
        <v>1</v>
      </c>
      <c r="F317" s="3">
        <f>1509+(549.5-424)+(-3.84795+(-1.401225--1.0812))+0-417.1--1.06360499999994</f>
        <v>1214.2956299999998</v>
      </c>
      <c r="G317" s="3">
        <f>1484.9+(525.8-420.9)+(-3.029196+(-1.072632--0.858636))+0-412.7--0.841907999999982</f>
        <v>1174.6987160000001</v>
      </c>
      <c r="H317" s="3">
        <f>1484.4+(547.2-495)+(-3.028176+(-1.116288--1.0098))+0-387.9--0.791315999999983</f>
        <v>1146.3566520000002</v>
      </c>
      <c r="I317" s="3">
        <f>1484.6+(490.9-440.6)+(-3.78573+(-1.251795--1.12353))+0-411.4--1.04906999999994</f>
        <v>1120.6350749999997</v>
      </c>
      <c r="J317" s="3">
        <f>1487+(552.6-513.5)+(3.03348+(1.127304-1.04754))+0-416.7-0.850067999999982</f>
        <v>1111.6631759999998</v>
      </c>
      <c r="K317" s="3">
        <f>1484.3+(574.1-536.3)+(3.784965+(1.463955-1.367565))+0-415.1-1.05850499999994</f>
        <v>1109.82285</v>
      </c>
      <c r="L317" s="3">
        <f>1486.3+(833.9-769.8)+(2.274039+(1.275867-1.177794))+0-410.1-0.627453000000024</f>
        <v>1142.0446590000001</v>
      </c>
      <c r="M317" s="3">
        <f>1496.6+(588.7-508)+(2.289798+(0.900711-0.77724))+0-389-0.595170000000023</f>
        <v>1190.1180989999998</v>
      </c>
      <c r="N317" s="3">
        <f>1633.1+(463.6-409.4)+(1.665762+(0.472872-0.417588))+0-413.5-0.421770000000066</f>
        <v>1275.0992759999997</v>
      </c>
      <c r="O317" s="3">
        <f>1718.3+(286.2-290.9)+(-3.505332+(-0.583848--0.593436))+0-406.7--0.829667999999982</f>
        <v>1304.2339239999999</v>
      </c>
      <c r="P317" s="3">
        <f>1719.2+(338-308.2)+(2.630376+(0.51714-0.471546))+0-391.2-0.598536000000023</f>
        <v>1359.877434</v>
      </c>
      <c r="Q317" s="3">
        <f>1716.2+(369.5-336)+(-2.625786+(-0.565335--0.51408))+0-383.4--0.586602000000022</f>
        <v>1364.2095610000003</v>
      </c>
      <c r="R317" s="3">
        <f>1713.6+(330.5-304)+(-6.117552+(-1.179885--1.08528))+0-415.2--1.48226400000001</f>
        <v>1320.1701069999999</v>
      </c>
      <c r="S317" s="3">
        <f>1706.1+(252.9-274.1)+(-0.870111+(-0.128979--0.139791))+0-421.6--0.215015999999957</f>
        <v>1262.6557169999999</v>
      </c>
      <c r="T317" s="3">
        <f>1675.6+(289.8-273)+(-2.563668+(-0.443394--0.41769))+0-408.4--0.624852000000024</f>
        <v>1282.03548</v>
      </c>
      <c r="U317" s="3">
        <f>1712.4+(314.8-311.3)+(-2.619972+(-0.481644--0.476289))+0-420.1--0.642753000000024</f>
        <v>1293.8174260000001</v>
      </c>
      <c r="V317" s="3">
        <f>1722.6+(300.6-329.7)+(-5.271156+(-0.919836--1.008882))+0-391.9--1.19921400000005</f>
        <v>1297.6171040000002</v>
      </c>
      <c r="W317" s="3">
        <f>1935.7+(290.8-435.1)+(-6.910449+(-1.038156--1.553307))+0-393.1--1.40336700000001</f>
        <v>1393.3080690000004</v>
      </c>
      <c r="X317" s="3">
        <f>1977.8+(374.3-466.1)+(-6.052068+(-1.145358--1.426266))+0-410.8--1.25704800000005</f>
        <v>1470.685888</v>
      </c>
      <c r="Y317" s="3">
        <f>1981.5+(361.5-455.1)+(2.02113+(0.36873-0.464202))+0-408.5-0.416670000000065</f>
        <v>1480.9089880000001</v>
      </c>
      <c r="Z317" s="3">
        <f>1981.2+(282.7-451.5)+(-2.020824+(-0.288354--0.46053))+0-398.7--0.406674000000064</f>
        <v>1412.2580260000002</v>
      </c>
      <c r="AA317" s="3">
        <f>1979.5+(450.4-541.2)+(-4.03818+(-0.918816--1.104048))+0-429.5--0.876179999999981</f>
        <v>1456.2232319999998</v>
      </c>
      <c r="AB317" s="3">
        <f>1974.2+(378.8-572.8)+(-6.041052+(-1.159128--1.752768))+0-431.7--1.32100200000005</f>
        <v>1344.3735900000001</v>
      </c>
      <c r="AC317" s="3">
        <f>1799.8+(636.6-737.6)+(-7.343184+(-2.597328--3.009408))+0-394.9--1.61119199999997</f>
        <v>1298.5800879999999</v>
      </c>
      <c r="AD317">
        <f t="shared" si="4"/>
        <v>30825.688766999996</v>
      </c>
      <c r="AE317" s="3">
        <f>1986+(429.7-466.5)+(0+(0-0))+0-417.3-0</f>
        <v>1531.9</v>
      </c>
    </row>
    <row r="318" spans="1:31" s="2" customFormat="1" x14ac:dyDescent="0.25">
      <c r="A318">
        <v>89</v>
      </c>
      <c r="B318">
        <v>11</v>
      </c>
      <c r="C318">
        <v>12</v>
      </c>
      <c r="D318">
        <v>4</v>
      </c>
      <c r="E318">
        <v>1</v>
      </c>
      <c r="F318" s="3">
        <f>1666.1+(671.7-867.3)+(-1.699422+(-0.685134--0.884646))+0-391.9--0.399738000000062</f>
        <v>1077.499828</v>
      </c>
      <c r="G318" s="3">
        <f>1517+(787.5-739.6)+(-4.64202+(-2.40975--2.263176))+0-420.9--1.28795400000005</f>
        <v>1140.49936</v>
      </c>
      <c r="H318" s="3">
        <f>1516.5+(609.8-668)+(-2.320245+(-0.932994--1.02204))+0-420.2--0.642906000000024</f>
        <v>1036.5117069999999</v>
      </c>
      <c r="I318" s="3">
        <f>1516.5+(666.4-691.3)+(0+(0-0))+0-427.9-0</f>
        <v>1063.6999999999998</v>
      </c>
      <c r="J318" s="3">
        <f>1517.9+(752.6-706.6)+(-3.870645+(-1.91913--1.80183))+0-427.2--1.08935999999994</f>
        <v>1133.8014149999999</v>
      </c>
      <c r="K318" s="3">
        <f>1513.8+(741-676.3)+(-3.088152+(-1.51164--1.379652))+0-432--0.881279999999981</f>
        <v>1144.1611400000002</v>
      </c>
      <c r="L318" s="3">
        <f>1514.9+(737.3-739.5)+(-3.862995+(-1.880115--1.885725))+0-430--1.09649999999994</f>
        <v>1079.9391149999999</v>
      </c>
      <c r="M318" s="3">
        <f>1512.1+(654.5-612.2)+(2.313513+(1.001385-0.936666))+0-428.8-0.656064000000025</f>
        <v>1127.3221679999999</v>
      </c>
      <c r="N318" s="3">
        <f>1518.5+(492.4-325.5)+(-0.774435+(-0.251124--0.166005))+0-424.9--0.216698999999957</f>
        <v>1259.8571450000004</v>
      </c>
      <c r="O318" s="3">
        <f>1558.4+(505.4-303)+(0.794784+(0.257754-0.15453))+0-426.4-0.217463999999957</f>
        <v>1335.0805440000001</v>
      </c>
      <c r="P318" s="3">
        <f>1631+(453-436.2)+(-2.49543+(-0.69309--0.667386))+0-419--0.641070000000024</f>
        <v>1226.919936</v>
      </c>
      <c r="Q318" s="3">
        <f>1813.6+(501.9-499.8)+(-3.699744+(-1.023876--1.019592))+0-423--0.862919999999981</f>
        <v>1389.8588919999997</v>
      </c>
      <c r="R318" s="3">
        <f>1828.6+(410.7-530.1)+(-2.797758+(-0.628371--0.811053))+0-426--0.651780000000025</f>
        <v>1281.2367039999997</v>
      </c>
      <c r="S318" s="3">
        <f>1832.8+(294.3-507.8)+(-0.934728+(-0.150093--0.258978))+0-412.6--0.210425999999958</f>
        <v>1206.0845829999996</v>
      </c>
      <c r="T318" s="3">
        <f>1833.1+(321.3-499.6)+(0.934881+(0.163863-0.254796))+0-397.8-0.20287799999996</f>
        <v>1257.6410699999999</v>
      </c>
      <c r="U318" s="3">
        <f>1830.8+(367.4-488.9)+(-2.801124+(-0.562122--0.748017))+0-419.8--0.642294000000024</f>
        <v>1287.527065</v>
      </c>
      <c r="V318" s="3">
        <f>1832.4+(361.7-505.9)+(0+(0-0))+0-424.2-0</f>
        <v>1264</v>
      </c>
      <c r="W318" s="3">
        <f>1956.4+(403.8-641.2)+(-1.995528+(-0.411876--0.654024))+0-400.1--0.408102000000064</f>
        <v>1317.5547220000001</v>
      </c>
      <c r="X318" s="3">
        <f>1979.6+(575.5-672.2)+(-6.057576+(-1.76103--2.056932))+0-408.5--1.25001000000005</f>
        <v>1469.8883359999998</v>
      </c>
      <c r="Y318" s="3">
        <f>1982+(548.4-724.4)+(-3.03246+(-0.839052--1.108332))+0-418.3--0.639999000000024</f>
        <v>1385.5768190000001</v>
      </c>
      <c r="Z318" s="3">
        <f>1889+(518.9-643.1)+(-1.92678+(-0.529278--0.655962))+0-404.4--0.412488000000064</f>
        <v>1359.0123920000003</v>
      </c>
      <c r="AA318" s="3">
        <f>1867.3+(521.1-654.9)+(-1.904646+(-0.531522--0.667998))+0-418.4--0.426768000000067</f>
        <v>1313.7585980000001</v>
      </c>
      <c r="AB318" s="3">
        <f>1779.9+(562.1-620.8)+(-2.723247+(-0.860013--0.949824))+0-425.4--0.650862000000025</f>
        <v>1293.8174260000001</v>
      </c>
      <c r="AC318" s="3">
        <f>1599.5+(643.1-592.3)+(-1.63149+(-0.655962--0.604146))+0-425.9--0.434418000000068</f>
        <v>1223.1511120000002</v>
      </c>
      <c r="AD318">
        <f t="shared" si="4"/>
        <v>29674.400077000002</v>
      </c>
      <c r="AE318" s="3">
        <f>1982+(599.7-696)+(0+(0-0))+0-426.8-0</f>
        <v>1458.9</v>
      </c>
    </row>
    <row r="319" spans="1:31" s="2" customFormat="1" x14ac:dyDescent="0.25">
      <c r="A319">
        <v>89</v>
      </c>
      <c r="B319">
        <v>11</v>
      </c>
      <c r="C319">
        <v>13</v>
      </c>
      <c r="D319">
        <v>5</v>
      </c>
      <c r="E319">
        <v>5</v>
      </c>
      <c r="F319" s="3">
        <f>1586.7+(563.9-558.3)+(-2.427651+(-0.862767--0.854199))+0-421.7--0.645201000000024</f>
        <v>1168.8089820000002</v>
      </c>
      <c r="G319" s="3">
        <f>1525+(665.8-626.7)+(0.77775+(0.339558-0.319617))+0-428.7-0.218636999999957</f>
        <v>1135.9790539999999</v>
      </c>
      <c r="H319" s="3">
        <f>1511+(607-659.8)+(-1.54122+(-0.61914--0.672996))+0-415.5--0.423810000000066</f>
        <v>1041.636446</v>
      </c>
      <c r="I319" s="3">
        <f>1514.8+(623.7-673.2)+(1.545096+(0.636174-0.686664))+0-421.2-0.429624000000067</f>
        <v>1045.1649819999998</v>
      </c>
      <c r="J319" s="3">
        <f>1516.7+(640.3-667.8)+(1.547034+(0.653106-0.681156))+0-432.3-0.440946000000069</f>
        <v>1057.978038</v>
      </c>
      <c r="K319" s="3">
        <f>1515.9+(596.1-653.7)+(2.319327+(0.912033-1.000161))+0-421.4-0.644742000000024</f>
        <v>1038.4864570000004</v>
      </c>
      <c r="L319" s="3">
        <f>1513.9+(606.7-688.1)+(0+(0-0))+0-421.1-0</f>
        <v>1011.4</v>
      </c>
      <c r="M319" s="3">
        <f>1513.6+(611.2-733.3)+(-3.85968+(-1.55856--1.869915))+0-417.2--1.06385999999994</f>
        <v>971.81553499999995</v>
      </c>
      <c r="N319" s="3">
        <f>1515.4+(410.5-519)+(-0.772854+(-0.209355--0.26469))+0-430--0.219299999999956</f>
        <v>976.40178100000003</v>
      </c>
      <c r="O319" s="3">
        <f>1516.2+(428.1-466.4)+(2.319786+(0.654993-0.713592))+0-430.8-0.659124000000025</f>
        <v>1048.7020630000002</v>
      </c>
      <c r="P319" s="3">
        <f>1514.8+(482.8-467)+(-4.635288+(-1.477368--1.42902))+0-429.6--1.31457600000005</f>
        <v>1097.6309399999998</v>
      </c>
      <c r="Q319" s="3">
        <f>1515.3+(443.8-475.4)+(-2.318409+(-0.679014--0.727362))+0-401.3--0.613989000000023</f>
        <v>1080.7439280000001</v>
      </c>
      <c r="R319" s="3">
        <f>1495.9+(469.4-462.4)+(0+(0-0))+0-417.6-0</f>
        <v>1085.3000000000002</v>
      </c>
      <c r="S319" s="3">
        <f>1523.6+(450.9-470.2)+(-1.554072+(-0.459918--0.479604))+0-414.6--0.422892000000066</f>
        <v>1088.5885060000001</v>
      </c>
      <c r="T319" s="3">
        <f>1584.7+(380.8-482.7)+(-2.424591+(-0.582624--0.738531))+0-415.9--0.636327000000024</f>
        <v>1065.2676430000004</v>
      </c>
      <c r="U319" s="3">
        <f>1580.2+(430.2-474.8)+(-3.223608+(-0.877608--0.968592))+0-413.5--0.843539999999982</f>
        <v>1119.8109159999999</v>
      </c>
      <c r="V319" s="3">
        <f>1588+(480.9-517.6)+(0+(0-0))+0-413-0</f>
        <v>1138.3</v>
      </c>
      <c r="W319" s="3">
        <f>1730.1+(507.5-600.2)+(0+(0-0))+0-391.6-0</f>
        <v>1245.7999999999997</v>
      </c>
      <c r="X319" s="3">
        <f>1979.3+(525.8-762)+(-4.037772+(-1.072632--1.55448))+0-394.7--0.805187999999983</f>
        <v>1345.6492639999999</v>
      </c>
      <c r="Y319" s="3">
        <f>1984.9+(488.3-722.8)+(-2.024598+(-0.498066--0.737256))+0-398--0.405960000000063</f>
        <v>1351.0205520000002</v>
      </c>
      <c r="Z319" s="3">
        <f>1910.3+(525.4-702.8)+(0+(0-0))+0-395.8-0</f>
        <v>1337.1000000000001</v>
      </c>
      <c r="AA319" s="3">
        <f>1862.4+(564.8-682.3)+(0.949824+(0.288048-0.347973))+0-398.9-0.20343899999996</f>
        <v>1346.6864600000004</v>
      </c>
      <c r="AB319" s="3">
        <f>1813.4+(570.3-638.5)+(-0.924834+(-0.290853--0.325635))+0-408.2--0.208181999999959</f>
        <v>1336.3181299999999</v>
      </c>
      <c r="AC319" s="3">
        <f>1665.4+(601.8-602.3)+(-5.096124+(-1.841508--1.843038))+0-403.7--1.23532200000005</f>
        <v>1257.3407280000001</v>
      </c>
      <c r="AD319">
        <f t="shared" si="4"/>
        <v>27391.930404999999</v>
      </c>
      <c r="AE319" s="3">
        <f>1980+(539.7-772.5)+(0+(0-0))+0-364.1-0</f>
        <v>1383.1</v>
      </c>
    </row>
    <row r="320" spans="1:31" s="2" customFormat="1" x14ac:dyDescent="0.25">
      <c r="A320">
        <v>89</v>
      </c>
      <c r="B320">
        <v>11</v>
      </c>
      <c r="C320">
        <v>14</v>
      </c>
      <c r="D320">
        <v>6</v>
      </c>
      <c r="E320">
        <v>6</v>
      </c>
      <c r="F320" s="3">
        <f>1515.1+(669.5-612.4)+(-0.772701+(-0.341445--0.312324))+0-407.6--0.207875999999959</f>
        <v>1164.0060539999999</v>
      </c>
      <c r="G320" s="3">
        <f>1513.8+(686-697.8)+(0+(0-0))+0-401.7-0</f>
        <v>1100.3</v>
      </c>
      <c r="H320" s="3">
        <f>1513+(623.7-655.6)+(-4.62978+(-1.908522--2.006136))+0-408.9--1.25123400000005</f>
        <v>1068.9190679999999</v>
      </c>
      <c r="I320" s="3">
        <f>1515.4+(577.7-608.5)+(3.091416+(1.178508-1.24134))+0-405.7-0.827627999999982</f>
        <v>1081.100956</v>
      </c>
      <c r="J320" s="3">
        <f>1516.8+(563.1-636.4)+(0.773568+(0.287181-0.324564))+0-410.2-0.209201999999958</f>
        <v>1033.8269829999999</v>
      </c>
      <c r="K320" s="3">
        <f>1515.1+(554.6-653.9)+(3.090804+(1.131384-1.333956))+0-401.2-0.818447999999982</f>
        <v>1016.6697839999999</v>
      </c>
      <c r="L320" s="3">
        <f>1513.4+(488.1-595)+(0.771834+(0.248931-0.30345))+0-410.4-0.209303999999958</f>
        <v>996.60801100000015</v>
      </c>
      <c r="M320" s="3">
        <f>1514+(413.5-530)+(-0.77214+(-0.210885--0.2703))+0-412.6--0.210425999999958</f>
        <v>984.39770099999987</v>
      </c>
      <c r="N320" s="3">
        <f>1550.4+(406-462.3)+(-0.790704+(-0.20706--0.235773))+0-394.8--0.20134799999996</f>
        <v>1098.7393570000002</v>
      </c>
      <c r="O320" s="3">
        <f>1723.5+(390-570.4)+(1.75797+(0.3978-0.581808))+0-386.2-0.393924000000062</f>
        <v>1158.0800379999998</v>
      </c>
      <c r="P320" s="3">
        <f>1776.5+(613.1-720.8)+(-0.906015+(-0.312681--0.367608))+0-389.2--0.198491999999961</f>
        <v>1278.9474040000002</v>
      </c>
      <c r="Q320" s="3">
        <f>1775.5+(811.7-806.6)+(0+(0-0))+0-389.4-0</f>
        <v>1391.1999999999998</v>
      </c>
      <c r="R320" s="3">
        <f>1736.6+(798.4-904.4)+(-2.656998+(-1.221552--1.383732))+0-380.8--0.582624000000022</f>
        <v>1247.8878060000002</v>
      </c>
      <c r="S320" s="3">
        <f>1616.9+(567.6-591.5)+(-4.123095+(-1.44738--1.508325))+0-388.4--0.990419999999944</f>
        <v>1201.52827</v>
      </c>
      <c r="T320" s="3">
        <f>1586.4+(597.4-613)+(-2.427192+(-0.914022--0.93789))+0-381.3--0.583389000000022</f>
        <v>1187.6800650000002</v>
      </c>
      <c r="U320" s="3">
        <f>1579.4+(599.9-613.4)+(-7.249446+(-2.753541--2.815506))+0-391.8--1.79836200000007</f>
        <v>1168.7108810000002</v>
      </c>
      <c r="V320" s="3">
        <f>1586.1+(543.5-558.6)+(-1.617822+(-0.55437--0.569772))+0-395.3--0.403206000000063</f>
        <v>1174.5007860000001</v>
      </c>
      <c r="W320" s="3">
        <f>1677.7+(620.8-711.4)+(0.855627+(0.316608-0.362814))+0-393.1-0.20048099999996</f>
        <v>1194.6089400000001</v>
      </c>
      <c r="X320" s="3">
        <f>1974.5+(631.4-775.8)+(-3.020985+(-0.966042--1.186974))+0-395.5--0.605115000000023</f>
        <v>1432.405062</v>
      </c>
      <c r="Y320" s="3">
        <f>1985.6+(623.1-773.7)+(-5.06328+(-1.588905--1.972935))+0-394.4--1.00571999999994</f>
        <v>1436.9264700000001</v>
      </c>
      <c r="Z320" s="3">
        <f>1986.6+(436.6-686.7)+(-3.039498+(-0.667998--1.050651))+0-393.9--0.602667000000023</f>
        <v>1340.545822</v>
      </c>
      <c r="AA320" s="3">
        <f>1985.3+(651.1-895)+(-3.037509+(-0.996183--1.36935))+0-396.1--0.606033000000023</f>
        <v>1343.2416910000002</v>
      </c>
      <c r="AB320" s="3">
        <f>1974.5+(628.5-866.9)+(-1.006995+(-0.320535--0.442119))+0-362.2--0.184721999999963</f>
        <v>1373.1993109999999</v>
      </c>
      <c r="AC320" s="3">
        <f>1854.9+(399-652.1)+(-1.891998+(-0.40698--0.665142))+0-360.2--0.367404000000057</f>
        <v>1240.3335680000002</v>
      </c>
      <c r="AD320">
        <f t="shared" si="4"/>
        <v>28714.364028000007</v>
      </c>
      <c r="AE320" s="3">
        <f>1999+(474.9-700.7)+(0+(0-0))+0-368.5-0</f>
        <v>1404.6999999999998</v>
      </c>
    </row>
    <row r="321" spans="1:31" s="2" customFormat="1" x14ac:dyDescent="0.25">
      <c r="A321">
        <v>89</v>
      </c>
      <c r="B321">
        <v>11</v>
      </c>
      <c r="C321">
        <v>15</v>
      </c>
      <c r="D321">
        <v>7</v>
      </c>
      <c r="E321">
        <v>5</v>
      </c>
      <c r="F321" s="3">
        <f>1774.4+(468.6-664.5)+(-0.904944+(-0.238986--0.338895))+0-375.9--0.191708999999962</f>
        <v>1201.986674</v>
      </c>
      <c r="G321" s="3">
        <f>1651.1+(593.6-782.8)+(-0.842061+(-0.302736--0.399228))+0-374.5--0.190994999999962</f>
        <v>1086.8454260000001</v>
      </c>
      <c r="H321" s="3">
        <f>1586.5+(556.4-761.9)+(-3.23646+(-1.135056--1.554276))+0-374.1--0.763163999999984</f>
        <v>1004.8459239999999</v>
      </c>
      <c r="I321" s="3">
        <f>1584.3+(542-737.3)+(-3.231972+(-1.10568--1.504092))+0-374.2--0.763367999999984</f>
        <v>1012.7298079999999</v>
      </c>
      <c r="J321" s="3">
        <f>1589.1+(599.6-755.3)+(0+(0-0))+0-375.6-0</f>
        <v>1057.8000000000002</v>
      </c>
      <c r="K321" s="3">
        <f>1592.3+(619.2-778.9)+(4.060365+(1.57896-1.986195))+0-373.6-0.952679999999946</f>
        <v>1061.7004499999998</v>
      </c>
      <c r="L321" s="3">
        <f>1587.9+(632.3-820.9)+(-1.619658+(-0.644946--0.837318))+0-370.7--0.378114000000059</f>
        <v>1027.5508280000001</v>
      </c>
      <c r="M321" s="3">
        <f>1587.5+(688.6-865.6)+(-0.809625+(-0.351186--0.441456))+0-374.4--0.190943999999962</f>
        <v>1035.5715890000001</v>
      </c>
      <c r="N321" s="3">
        <f>1585.3+(683.9-937.7)+(-0.808503+(-0.348789--0.478227))+0-371.7--0.189566999999962</f>
        <v>959.31050199999993</v>
      </c>
      <c r="O321" s="3">
        <f>1585.7+(663.3-793.4)+(-1.617414+(-0.676566--0.809268))+0-375.6--0.38311200000006</f>
        <v>1078.8984</v>
      </c>
      <c r="P321" s="3">
        <f>1550.8+(680.3-786.6)+(-5.536356+(-2.428671--2.808162))+0-374--1.33518000000001</f>
        <v>1066.6783150000001</v>
      </c>
      <c r="Q321" s="3">
        <f>1547.4+(713-762.6)+(0+(0-0))+0-377.1-0</f>
        <v>1120.7000000000003</v>
      </c>
      <c r="R321" s="3">
        <f>1565.6+(637.1-752.5)+(0+(0-0))+0-369.6-0</f>
        <v>1080.5999999999999</v>
      </c>
      <c r="S321" s="3">
        <f>1586+(565.3-735.1)+(-0.80886+(-0.288303--0.374901))+0-381.4--0.194513999999961</f>
        <v>1034.272252</v>
      </c>
      <c r="T321" s="3">
        <f>1586.8+(575.2-722.9)+(-1.618536+(-0.586704--0.737358))+0-382.1--0.389742000000061</f>
        <v>1055.9218600000002</v>
      </c>
      <c r="U321" s="3">
        <f>1586.8+(639.3-757.2)+(-1.618536+(-0.652086--0.772344))+0-384.5--0.392190000000061</f>
        <v>1083.2939119999999</v>
      </c>
      <c r="V321" s="3">
        <f>1696.6+(560.4-786.7)+(-0.865266+(-0.285804--0.401217))+0-382.5--0.195074999999961</f>
        <v>1087.2452219999996</v>
      </c>
      <c r="W321" s="3">
        <f>1956.2+(517.1-907.8)+(-1.995324+(-0.527442--0.925956))+0-384.3--0.391986000000061</f>
        <v>1179.9951760000001</v>
      </c>
      <c r="X321" s="3">
        <f>1992.2+(732.3-981.6)+(-2.032044+(-0.746946--1.001232))+0-384.6--0.392292000000061</f>
        <v>1356.914534</v>
      </c>
      <c r="Y321" s="3">
        <f>1988.1+(740.3-1004.1)+(-1.013931+(-0.377553--0.512091))+0-381.7--0.194666999999961</f>
        <v>1341.9152739999997</v>
      </c>
      <c r="Z321" s="3">
        <f>1983.8+(758.5-1016.9)+(-3.035214+(-1.160505--1.555857))+0-384--0.587520000000022</f>
        <v>1339.3476580000001</v>
      </c>
      <c r="AA321" s="3">
        <f>1980.1+(811.1-1109.2)+(0+(0-0))+0-383.8-0</f>
        <v>1298.2</v>
      </c>
      <c r="AB321" s="3">
        <f>1792.5+(789.4-908.6)+(-4.570875+(-2.01297--2.31693))+0-391.8--0.999089999999943</f>
        <v>1278.2321750000001</v>
      </c>
      <c r="AC321" s="3">
        <f>1610.7+(812.2-809)+(-4.107285+(-2.07111--2.06295))+0-416--1.06079999999994</f>
        <v>1194.8453550000002</v>
      </c>
      <c r="AD321">
        <f t="shared" ref="AD321:AD365" si="5">SUM(F321:AC321)</f>
        <v>27045.401334000006</v>
      </c>
      <c r="AE321" s="3">
        <f>1982+(743.6-999.1)+(0+(0-0))+0-375.9-0</f>
        <v>1350.6</v>
      </c>
    </row>
    <row r="322" spans="1:31" s="2" customFormat="1" x14ac:dyDescent="0.25">
      <c r="A322">
        <v>89</v>
      </c>
      <c r="B322">
        <v>11</v>
      </c>
      <c r="C322">
        <v>16</v>
      </c>
      <c r="D322">
        <v>1</v>
      </c>
      <c r="E322">
        <v>1</v>
      </c>
      <c r="F322" s="3">
        <f>1516.1+(736.3-775.4)+(-0.773211+(-0.375513--0.395454))+0-415--0.211649999999958</f>
        <v>1061.45838</v>
      </c>
      <c r="G322" s="3">
        <f>1518.4+(632-701.6)+(2.323152+(0.96696-1.073448))+0-422.4-0.646272000000024</f>
        <v>1027.9703920000002</v>
      </c>
      <c r="H322" s="3">
        <f>1513.9+(538.6-640.1)+(-3.088356+(-1.098744--1.305804))+0-416.5--0.849659999999982</f>
        <v>993.86836400000004</v>
      </c>
      <c r="I322" s="3">
        <f>1516.3+(457.3-563.2)+(-2.319939+(-0.699669--0.861696))+0-423.5--0.647955000000024</f>
        <v>985.39004299999999</v>
      </c>
      <c r="J322" s="3">
        <f>1512.4+(471-549)+(-2.313972+(-0.72063--0.83997))+0-420--0.642600000000024</f>
        <v>1012.8479680000002</v>
      </c>
      <c r="K322" s="3">
        <f>1516.5+(499.1-569.7)+(0+(0-0))+0-422.5-0</f>
        <v>1023.4000000000001</v>
      </c>
      <c r="L322" s="3">
        <f>1516.1+(507.5-552.2)+(0.773211+(0.258825-0.281622))+0-420.8-0.214607999999957</f>
        <v>1051.135806</v>
      </c>
      <c r="M322" s="3">
        <f>1518.4+(498.1-484.7)+(-0.774384+(-0.254031--0.247197))+0-420.1--0.214250999999957</f>
        <v>1111.1330330000001</v>
      </c>
      <c r="N322" s="3">
        <f>1704.3+(521.4-586.9)+(1.738386+(0.531828-0.598638))+0-413.8-0.422076000000066</f>
        <v>1226.2494999999999</v>
      </c>
      <c r="O322" s="3">
        <f>1830.7+(808.6-928.4)+(1.867314+(0.824772-0.946968))+0-391-0.398820000000062</f>
        <v>1321.246298</v>
      </c>
      <c r="P322" s="3">
        <f>1834.1+(953.1-1059.3)+(3.741564+(1.944324-2.160972))+0-379.7-0.774587999999983</f>
        <v>1350.9503280000001</v>
      </c>
      <c r="Q322" s="3">
        <f>1826.3+(1086.4-1155.2)+(-4.657065+(-2.77032--2.94576))+0-388.1--0.989654999999944</f>
        <v>1365.9080300000001</v>
      </c>
      <c r="R322" s="3">
        <f>1827.2+(649.3-766.3)+(-2.795616+(-0.993429--1.172439))+0-388.3--0.594099000000022</f>
        <v>1319.877493</v>
      </c>
      <c r="S322" s="3">
        <f>1823.1+(451.1-682.8)+(-3.719124+(-0.920244--1.392912))+0-384.1--0.783563999999983</f>
        <v>1204.8371079999999</v>
      </c>
      <c r="T322" s="3">
        <f>1827.2+(538.3-715.3)+(-1.863744+(-0.549066--0.729606))+0-386.2--0.393924000000062</f>
        <v>1262.71072</v>
      </c>
      <c r="U322" s="3">
        <f>1830.9+(447-612.2)+(2.801277+(0.68391-0.936666))+0-383.1-0.586143000000022</f>
        <v>1284.5623780000001</v>
      </c>
      <c r="V322" s="3">
        <f>1825.4+(577.9-688)+(-2.792862+(-0.884187--1.05264))+0-391.7--0.599301000000023</f>
        <v>1321.5748920000001</v>
      </c>
      <c r="W322" s="3">
        <f>1903.7+(806.7-980.3)+(0+(0-0))+0-383.2-0</f>
        <v>1346.9</v>
      </c>
      <c r="X322" s="3">
        <f>1984.2+(1421.3-1415.4)+(-3.035826+(-2.174589--2.165562))+0-389.8--0.596394000000023</f>
        <v>1597.8515409999998</v>
      </c>
      <c r="Y322" s="3">
        <f>1984.7+(1098.9-1169.2)+(-1.012197+(-0.560439--0.596292))+0-394.7--0.20129699999996</f>
        <v>1518.9249530000002</v>
      </c>
      <c r="Z322" s="3">
        <f>1981.7+(928.6-1024.4)+(-4.042668+(-1.894344--2.089776))+0-384.5--0.784379999999983</f>
        <v>1498.3371440000001</v>
      </c>
      <c r="AA322" s="3">
        <f>1973.5+(737-875.6)+(-1.006485+(-0.37587--0.446556))+0-392.7--0.20027699999996</f>
        <v>1441.4644779999999</v>
      </c>
      <c r="AB322" s="3">
        <f>1808.6+(612.9-650.8)+(-4.61193+(-1.562895--1.65954))+0-391--0.997049999999943</f>
        <v>1376.1817649999998</v>
      </c>
      <c r="AC322" s="3">
        <f>1558.4+(663.5-543.8)+(-3.179136+(-1.35354--1.109352))+0-383.6--0.782543999999983</f>
        <v>1291.8592200000001</v>
      </c>
      <c r="AD322">
        <f t="shared" si="5"/>
        <v>29996.639834000001</v>
      </c>
      <c r="AE322" s="3">
        <f>1985+(1453.5-1483.2)+(0+(0-0))+0-364.9-0</f>
        <v>1590.4</v>
      </c>
    </row>
    <row r="323" spans="1:31" s="2" customFormat="1" x14ac:dyDescent="0.25">
      <c r="A323">
        <v>89</v>
      </c>
      <c r="B323">
        <v>11</v>
      </c>
      <c r="C323">
        <v>17</v>
      </c>
      <c r="D323">
        <v>2</v>
      </c>
      <c r="E323">
        <v>1</v>
      </c>
      <c r="F323" s="3">
        <f>1517.8+(504.5-470)+(-1.548156+(-0.51459--0.4794))+0-413.4--0.421668000000066</f>
        <v>1137.7383220000002</v>
      </c>
      <c r="G323" s="3">
        <f>1518.8+(624.2-583.1)+(-1.549176+(-0.636684--0.594762))+0-419.4--0.427788000000067</f>
        <v>1139.3366900000001</v>
      </c>
      <c r="H323" s="3">
        <f>1518.3+(747.2-749.6)+(-0.774333+(-0.381072--0.382296))+0-407.6--0.207875999999959</f>
        <v>1107.7347669999999</v>
      </c>
      <c r="I323" s="3">
        <f>1520.3+(793.6-745.9)+(3.876765+(2.02368-1.902045))+0-402.2-1.02560999999994</f>
        <v>1168.77279</v>
      </c>
      <c r="J323" s="3">
        <f>1518.9+(644-633.7)+(-2.323917+(-0.98532--0.969561))+0-413.2--0.632196000000024</f>
        <v>1114.29252</v>
      </c>
      <c r="K323" s="3">
        <f>1522.7+(668.3-639.6)+(0+(0-0))+0-411.3-0</f>
        <v>1140.1000000000001</v>
      </c>
      <c r="L323" s="3">
        <f>1570.5+(389.6-509.4)+(-1.60191+(-0.397392--0.519588))+0-415.5--0.423810000000066</f>
        <v>1034.144096</v>
      </c>
      <c r="M323" s="3">
        <f>1590.8+(344.6-456.2)+(-1.622616+(-0.351492--0.465324))+0-420.4--0.428808000000067</f>
        <v>1057.7200240000002</v>
      </c>
      <c r="N323" s="3">
        <f>1631+(501.3-495.6)+(-0.83181+(-0.255663--0.252756))+0-419.1--0.213740999999957</f>
        <v>1216.9790240000002</v>
      </c>
      <c r="O323" s="3">
        <f>1760.4+(614.5-662)+(0.897804+(0.313395-0.33762))+0-425.9-0.217208999999957</f>
        <v>1287.6563700000002</v>
      </c>
      <c r="P323" s="3">
        <f>1812.8+(736.5-819.1)+(-3.698112+(-1.50246--1.670964))+0-421.4--0.859655999999982</f>
        <v>1306.130048</v>
      </c>
      <c r="Q323" s="3">
        <f>1830.5+(982.5-1035.6)+(-3.73422+(-2.0043--2.112624))+0-421.1--0.859043999999982</f>
        <v>1353.5331480000002</v>
      </c>
      <c r="R323" s="3">
        <f>1830.9+(755.7-853.4)+(-3.735036+(-1.541628--1.740936))+0-419--0.854759999999982</f>
        <v>1311.5190320000002</v>
      </c>
      <c r="S323" s="3">
        <f>1833.7+(631.4-775.9)+(-2.805561+(-0.966042--1.187127))+0-418.7--0.640611000000024</f>
        <v>1268.556135</v>
      </c>
      <c r="T323" s="3">
        <f>1835.2+(609.7-736.6)+(-1.871904+(-0.621894--0.751332))+0-417.9--0.426258000000067</f>
        <v>1289.0837920000004</v>
      </c>
      <c r="U323" s="3">
        <f>1828.4+(574.9-700.9)+(-5.594904+(-1.759194--2.144754))+0-409.3--1.25245800000005</f>
        <v>1289.1431140000002</v>
      </c>
      <c r="V323" s="3">
        <f>1856.8+(372.4-574.9)+(0+(0-0))+0-403.1-0</f>
        <v>1251.1999999999998</v>
      </c>
      <c r="W323" s="3">
        <f>1985.6+(667.2-942.4)+(-3.037968+(-1.020816--1.441872))+0-406.4--0.621792000000023</f>
        <v>1302.00488</v>
      </c>
      <c r="X323" s="3">
        <f>1988.7+(1223.9-1287.7)+(0+(0-0))+0-396.4-0</f>
        <v>1528.5</v>
      </c>
      <c r="Y323" s="3">
        <f>1983.7+(1155.6-1138.9)+(-7.081809+(-4.125492--4.065873))+0-409.1--1.46048700000001</f>
        <v>1585.6190589999999</v>
      </c>
      <c r="Z323" s="3">
        <f>1987+(801.9-869.5)+(-1.01337+(-0.408969--0.443445))+0-419.1--0.213740999999957</f>
        <v>1499.5348469999999</v>
      </c>
      <c r="AA323" s="3">
        <f>1983.5+(598.9-752.9)+(-5.057925+(-1.527195--1.919895))+0-418.7--1.06768499999994</f>
        <v>1407.20246</v>
      </c>
      <c r="AB323" s="3">
        <f>1847.4+(691.7-721.3)+(-1.884348+(-0.705534--0.735726))+0-414.6--0.422892000000066</f>
        <v>1401.768736</v>
      </c>
      <c r="AC323" s="3">
        <f>1670.8+(633.8-649.4)+(-3.408432+(-1.292952--1.324776))+0-420.6--0.858023999999982</f>
        <v>1232.0814159999998</v>
      </c>
      <c r="AD323">
        <f t="shared" si="5"/>
        <v>30430.351270000006</v>
      </c>
      <c r="AE323" s="3">
        <f>1992+(1225-1277.1)+(0+(0-0))+0-421.3-0</f>
        <v>1518.6000000000001</v>
      </c>
    </row>
    <row r="324" spans="1:31" s="2" customFormat="1" x14ac:dyDescent="0.25">
      <c r="A324">
        <v>89</v>
      </c>
      <c r="B324">
        <v>11</v>
      </c>
      <c r="C324">
        <v>18</v>
      </c>
      <c r="D324">
        <v>3</v>
      </c>
      <c r="E324">
        <v>1</v>
      </c>
      <c r="F324" s="3">
        <f>1586.9+(845.7-734.9)+(-3.237276+(-1.725228--1.499196))+0-419.5--0.855779999999982</f>
        <v>1275.5924720000003</v>
      </c>
      <c r="G324" s="3">
        <f>1589.1+(656.4-660.6)+(-0.810441+(-0.334764--0.336906))+0-422.9--0.215678999999957</f>
        <v>1161.4073799999996</v>
      </c>
      <c r="H324" s="3">
        <f>1588.6+(575.1-658.9)+(0.810186+(0.293301-0.336039))+0-419.2-0.213791999999957</f>
        <v>1086.153656</v>
      </c>
      <c r="I324" s="3">
        <f>1587.5+(522.7-629.9)+(-4.048125+(-1.332885--1.606245))+0-423.7--1.08043499999994</f>
        <v>1053.9056700000001</v>
      </c>
      <c r="J324" s="3">
        <f>1587.3+(525.9-633.5)+(-1.619046+(-0.536418--0.64617))+0-416--0.424320000000066</f>
        <v>1062.6150259999999</v>
      </c>
      <c r="K324" s="3">
        <f>1587.6+(426-536.3)+(-0.809676+(-0.21726--0.273513))+0-408--0.208079999999959</f>
        <v>1068.7546569999997</v>
      </c>
      <c r="L324" s="3">
        <f>1585.5+(355.6-457.4)+(-4.85163+(-1.088136--1.399644))+0-401.9--1.22981400000005</f>
        <v>1078.4896919999999</v>
      </c>
      <c r="M324" s="3">
        <f>1586.4+(528.1-525)+(0+(0-0))+0-400.3-0</f>
        <v>1189.2</v>
      </c>
      <c r="N324" s="3">
        <f>1713.2+(433-528.4)+(2.621196+(0.66249-0.808452))+0-406-0.621180000000023</f>
        <v>1213.6540540000001</v>
      </c>
      <c r="O324" s="3">
        <f>1805.8+(784.8-891.3)+(0+(0-0))+0-386.2-0</f>
        <v>1313.1</v>
      </c>
      <c r="P324" s="3">
        <f>1944.3+(752.3-927.2)+(0+(0-0))+0-409.4-0</f>
        <v>1360</v>
      </c>
      <c r="Q324" s="3">
        <f>1946.9+(781.5-935.6)+(0+(0-0))+0-410.2-0</f>
        <v>1382.6000000000001</v>
      </c>
      <c r="R324" s="3">
        <f>1945.5+(607-829)+(-4.961025+(-1.54785--2.11395))+0-410.7--1.04728499999994</f>
        <v>1309.4523599999998</v>
      </c>
      <c r="S324" s="3">
        <f>1943.9+(388.4-678.9)+(-1.982778+(-0.396168--0.692478))+0-402.2--0.410244000000064</f>
        <v>1249.9237760000001</v>
      </c>
      <c r="T324" s="3">
        <f>1944.5+(380.3-681.2)+(-0.991695+(-0.193953--0.347412))+0-417.4--0.212873999999958</f>
        <v>1225.5746379999998</v>
      </c>
      <c r="U324" s="3">
        <f>1920.9+(482.8-719.2)+(-1.959318+(-0.492456--0.733584))+0-410.8--0.419016000000066</f>
        <v>1272.4008260000001</v>
      </c>
      <c r="V324" s="3">
        <f>1899.5+(462.4-730)+(0.968745+(0.235824-0.3723))+0-413.9-0.211088999999958</f>
        <v>1218.6211800000001</v>
      </c>
      <c r="W324" s="3">
        <f>1912.2+(817.4-1001.3)+(-0.975222+(-0.416874--0.510663))+0-405.1--0.206600999999959</f>
        <v>1322.5251680000001</v>
      </c>
      <c r="X324" s="3">
        <f>1998.8+(1117.1-1228)+(-4.077552+(-2.278884--2.50512))+0-389.9--0.795395999999983</f>
        <v>1494.9440799999998</v>
      </c>
      <c r="Y324" s="3">
        <f>1993.9+(905.5-1034.7)+(-4.067556+(-1.84722--2.110788))+0-388.7--0.792947999999983</f>
        <v>1472.9889600000001</v>
      </c>
      <c r="Z324" s="3">
        <f>1983.2+(861.2-1011)+(-3.034296+(-1.317636--1.54683))+0-397.5--0.608175000000023</f>
        <v>1433.7030730000001</v>
      </c>
      <c r="AA324" s="3">
        <f>1948.3+(873-953.6)+(-4.968165+(-2.22615--2.43168))+0-410.6--1.04702999999994</f>
        <v>1453.3843949999998</v>
      </c>
      <c r="AB324" s="3">
        <f>1906.1+(714.3-840.4)+(-3.888444+(-1.457172--1.714416))+0-421.5--0.859859999999982</f>
        <v>1355.72866</v>
      </c>
      <c r="AC324" s="3">
        <f>1671.8+(844.5-764.9)+(-7.673562+(-3.876255--3.510891))+0-414.9--1.90439100000007</f>
        <v>1330.3654650000003</v>
      </c>
      <c r="AD324">
        <f t="shared" si="5"/>
        <v>30385.085188000001</v>
      </c>
      <c r="AE324" s="3">
        <f>2004+(1139.8-1251.5)+(0+(0-0))+0-369.2-0</f>
        <v>1523.1</v>
      </c>
    </row>
    <row r="325" spans="1:31" s="2" customFormat="1" x14ac:dyDescent="0.25">
      <c r="A325">
        <v>89</v>
      </c>
      <c r="B325">
        <v>11</v>
      </c>
      <c r="C325">
        <v>19</v>
      </c>
      <c r="D325">
        <v>4</v>
      </c>
      <c r="E325">
        <v>1</v>
      </c>
      <c r="F325" s="3">
        <f>1543.1+(853.2-774.7)+(3.147924+(1.740528-1.580388))+0-423-0.862919999999981</f>
        <v>1201.0451439999999</v>
      </c>
      <c r="G325" s="3">
        <f>1525.9+(912.8-828.8)+(1.556418+(0.931056-0.845376))+0-421.9-0.430338000000067</f>
        <v>1189.2117600000001</v>
      </c>
      <c r="H325" s="3">
        <f>1516.4+(888.8-865.9)+(-1.546728+(-0.906576--0.883218))+0-420--0.428400000000067</f>
        <v>1118.1583140000002</v>
      </c>
      <c r="I325" s="3">
        <f>1511.8+(804.7-795.4)+(-3.85509+(-2.051985--2.02827))+0-417.3--1.06411499999994</f>
        <v>1100.9853099999998</v>
      </c>
      <c r="J325" s="3">
        <f>1519.5+(802.2-794.3)+(0.774945+(0.409122-0.405093))+0-422.8-0.215627999999957</f>
        <v>1105.1633460000003</v>
      </c>
      <c r="K325" s="3">
        <f>1518.5+(773.8-737)+(3.09774+(1.578552-1.50348))+0-416.8-0.850271999999982</f>
        <v>1140.8225400000001</v>
      </c>
      <c r="L325" s="3">
        <f>1555.1+(644.9-644.2)+(-3.172404+(-1.315596--1.314168))+0-416.4--0.849455999999982</f>
        <v>1137.0756239999996</v>
      </c>
      <c r="M325" s="3">
        <f>1640.1+(573.2-617.6)+(-0.836451+(-0.292332--0.314976))+0-417.6--0.212975999999958</f>
        <v>1177.4991689999999</v>
      </c>
      <c r="N325" s="3">
        <f>1767.1+(833.1-890.7)+(1.802442+(0.849762-0.908514))+0-413.6-0.421872000000066</f>
        <v>1297.2218179999998</v>
      </c>
      <c r="O325" s="3">
        <f>1770.2+(1199-1207.4)+(0.902802+(0.61149-0.615774))+0-417.4-0.212873999999958</f>
        <v>1345.085644</v>
      </c>
      <c r="P325" s="3">
        <f>1812+(471-603.8)+(-3.69648+(-0.96084--1.231752))+0-389.2--0.793967999999983</f>
        <v>1287.3683999999998</v>
      </c>
      <c r="Q325" s="3">
        <f>1825.3+(492.4-465.7)+(-3.723612+(-1.004496--0.950028))+0-410.5--0.837419999999982</f>
        <v>1438.55934</v>
      </c>
      <c r="R325" s="3">
        <f>1824+(505.4-591.6)+(-2.79072+(-0.773262--0.905148))+0-424.1--0.648873000000025</f>
        <v>1311.6900390000001</v>
      </c>
      <c r="S325" s="3">
        <f>1832+(468-631)+(0+(0-0))+0-422-0</f>
        <v>1247</v>
      </c>
      <c r="T325" s="3">
        <f>1835.4+(484.1-559)+(0+(0-0))+0-426-0</f>
        <v>1334.5</v>
      </c>
      <c r="U325" s="3">
        <f>1832.1+(443.4-563.1)+(-1.868742+(-0.452268--0.574362))+0-429.6--0.438192000000069</f>
        <v>1281.491544</v>
      </c>
      <c r="V325" s="3">
        <f>1839.4+(449.5-571)+(-2.814282+(-0.687735--0.87363))+0-425.8--0.651474000000025</f>
        <v>1290.1230870000002</v>
      </c>
      <c r="W325" s="3">
        <f>1979.8+(307.3-544.3)+(1.009698+(0.156723-0.277593))+0-423-0.215729999999957</f>
        <v>1320.4730980000002</v>
      </c>
      <c r="X325" s="3">
        <f>1985.6+(462.8-539.7)+(-2.025312+(-0.472056--0.550494))+0-409--0.417180000000065</f>
        <v>1498.170306</v>
      </c>
      <c r="Y325" s="3">
        <f>1983.5+(784.5-856.9)+(-3.034755+(-1.200285--1.311057))+0-391.2--0.598536000000023</f>
        <v>1517.5745529999999</v>
      </c>
      <c r="Z325" s="3">
        <f>1977.5+(567.1-708)+(-5.042625+(-1.446105--1.8054))+0-390.6--0.996029999999943</f>
        <v>1442.3126999999997</v>
      </c>
      <c r="AA325" s="3">
        <f>1778.5+(548.3-496.8)+(0+(0-0))+0-426.6-0</f>
        <v>1403.4</v>
      </c>
      <c r="AB325" s="3">
        <f>1748.8+(528.3-483.1)+(-0.891888+(-0.269433--0.246381))+0-426.3--0.217412999999957</f>
        <v>1367.002473</v>
      </c>
      <c r="AC325" s="3">
        <f>1688.5+(694.5-674.4)+(-5.16681+(-2.12517--2.063664))+0-429.7--1.31488200000005</f>
        <v>1274.986566</v>
      </c>
      <c r="AD325">
        <f t="shared" si="5"/>
        <v>30826.920774999999</v>
      </c>
      <c r="AE325" s="3">
        <f>1983+(535.8-550.3)+(0+(0-0))+0-393.3-0</f>
        <v>1575.2</v>
      </c>
    </row>
    <row r="326" spans="1:31" s="2" customFormat="1" x14ac:dyDescent="0.25">
      <c r="A326">
        <v>89</v>
      </c>
      <c r="B326">
        <v>11</v>
      </c>
      <c r="C326">
        <v>20</v>
      </c>
      <c r="D326">
        <v>5</v>
      </c>
      <c r="E326">
        <v>1</v>
      </c>
      <c r="F326" s="3">
        <f>1561.6+(831.8-760.5)+(-1.592832+(-0.848436--0.77571))+0-428--0.436560000000068</f>
        <v>1203.671002</v>
      </c>
      <c r="G326" s="3">
        <f>1498.3+(812.6-728.6)+(-4.584798+(-2.486556--2.229516))+0-430.2--1.31641200000005</f>
        <v>1148.574574</v>
      </c>
      <c r="H326" s="3">
        <f>1397.5+(814.4-666.9)+(0.712725+(0.415344-0.340119))+0-431.1-0.219860999999956</f>
        <v>1114.468089</v>
      </c>
      <c r="I326" s="3">
        <f>1363.9+(837.2-674)+(-3.477945+(-2.13486--1.7187))+0-432.4--1.10261999999994</f>
        <v>1091.9085149999999</v>
      </c>
      <c r="J326" s="3">
        <f>1365.9+(837.5-672.1)+(-0.696609+(-0.427125--0.342771))+0-429.3--0.218942999999956</f>
        <v>1101.4379800000002</v>
      </c>
      <c r="K326" s="3">
        <f>1367.3+(795.9-639.6)+(-0.697323+(-0.405909--0.326196))+0-428.2--0.218381999999957</f>
        <v>1094.8413459999999</v>
      </c>
      <c r="L326" s="3">
        <f>1366.9+(739.6-544.8)+(-0.697119+(-0.377196--0.277848))+0-423.9--0.216188999999957</f>
        <v>1137.2197220000005</v>
      </c>
      <c r="M326" s="3">
        <f>1360.2+(580.4-382.9)+(2.081106+(0.888012-0.585837))+0-425.5-0.651015000000025</f>
        <v>1133.932266</v>
      </c>
      <c r="N326" s="3">
        <f>1342+(767.9-372.5)+(1.36884+(0.783258-0.37995))+0-432.9-0.441558000000069</f>
        <v>1305.83059</v>
      </c>
      <c r="O326" s="3">
        <f>1494.7+(682.1-435.8)+(-0.762297+(-0.347871--0.222258))+0-429.1--0.218840999999956</f>
        <v>1311.2309310000001</v>
      </c>
      <c r="P326" s="3">
        <f>1718.7+(662.5-578)+(-1.753074+(-0.67575--0.58956))+0-427.8--0.436356000000068</f>
        <v>1373.9970920000003</v>
      </c>
      <c r="Q326" s="3">
        <f>1789.9+(518.1-529.6)+(-3.651396+(-1.056924--1.080384))+0-425--0.866999999999981</f>
        <v>1350.639064</v>
      </c>
      <c r="R326" s="3">
        <f>1765.2+(502-569.2)+(-5.401512+(-1.53612--1.741752))+0-429.6--1.31457600000005</f>
        <v>1264.5186959999999</v>
      </c>
      <c r="S326" s="3">
        <f>1711.7+(543.3-605.8)+(-0.872967+(-0.277083--0.308958))+0-427.7--0.218126999999957</f>
        <v>1220.877035</v>
      </c>
      <c r="T326" s="3">
        <f>1663.2+(527.6-516)+(0+(0-0))+0-422.3-0</f>
        <v>1252.5000000000002</v>
      </c>
      <c r="U326" s="3">
        <f>1589.7+(522.7-425)+(-3.242988+(-1.066308--0.867))+0-426.4--0.869855999999981</f>
        <v>1258.4275600000003</v>
      </c>
      <c r="V326" s="3">
        <f>1585.5+(496.4-398.8)+(-4.85163+(-1.518984--1.220328))+0-425.4--1.30172400000005</f>
        <v>1253.8514379999999</v>
      </c>
      <c r="W326" s="3">
        <f>1623.4+(537-457)+(-1.655868+(-0.54774--0.46614))+0-418.8--0.427176000000067</f>
        <v>1283.2897080000002</v>
      </c>
      <c r="X326" s="3">
        <f>1660.5+(794.4-591)+(-5.927985+(-2.836008--2.10987))+0-395.5--1.41193500000001</f>
        <v>1463.1578120000001</v>
      </c>
      <c r="Y326" s="3">
        <f>1665.8+(801.8-609)+(-2.548674+(-1.226754--0.93177))+0-393.1--0.601443000000023</f>
        <v>1463.2577849999998</v>
      </c>
      <c r="Z326" s="3">
        <f>1661.3+(715.2-531.4)+(-5.083578+(-2.188512--1.626084))+0-422.5--1.29285000000005</f>
        <v>1418.246844</v>
      </c>
      <c r="AA326" s="3">
        <f>1660.5+(783.5-624.9)+(-2.540565+(-1.198755--0.956097))+0-420.1--0.642753000000024</f>
        <v>1396.8595300000002</v>
      </c>
      <c r="AB326" s="3">
        <f>1603.3+(834.9-653.4)+(-4.088415+(-2.128995--1.66617))+0-424.3--1.08196499999994</f>
        <v>1357.0307249999998</v>
      </c>
      <c r="AC326" s="3">
        <f>1319.8+(1034.4-656.2)+(-0.673098+(-0.527544--0.334662))+0-428.5--0.218534999999957</f>
        <v>1268.8525549999999</v>
      </c>
      <c r="AD326">
        <f t="shared" si="5"/>
        <v>30268.62085900001</v>
      </c>
      <c r="AE326" s="3">
        <f>1663+(764.5-527.4)+(0+(0-0))+0-402-0</f>
        <v>1498.1</v>
      </c>
    </row>
    <row r="327" spans="1:31" s="2" customFormat="1" x14ac:dyDescent="0.25">
      <c r="A327">
        <v>89</v>
      </c>
      <c r="B327">
        <v>11</v>
      </c>
      <c r="C327">
        <v>21</v>
      </c>
      <c r="D327">
        <v>6</v>
      </c>
      <c r="E327">
        <v>1</v>
      </c>
      <c r="F327" s="3">
        <f>1280.4+(999.1-677.5)+(-3.918024+(-3.057246--2.07315))+0-435.1--1.33140600000005</f>
        <v>1163.3292859999999</v>
      </c>
      <c r="G327" s="3">
        <f>1287+(961.8-703.4)+(1.31274+(0.981036-0.717468))+0-432.6-0.441252000000069</f>
        <v>1113.9350559999998</v>
      </c>
      <c r="H327" s="3">
        <f>1283.4+(894.6-633.1)+(-1.309068+(-0.912492--0.645762))+0-429--0.437580000000068</f>
        <v>1114.761782</v>
      </c>
      <c r="I327" s="3">
        <f>1287.3+(869.6-622.4)+(2.626092+(1.773984-1.269696))+0-431.6-0.880463999999981</f>
        <v>1105.1499160000001</v>
      </c>
      <c r="J327" s="3">
        <f>1288.7+(897.7-635.5)+(3.286185+(2.289135-1.620525))+0-433.8-1.10618999999994</f>
        <v>1119.9486050000003</v>
      </c>
      <c r="K327" s="3">
        <f>1283.6+(950.4-715.8)+(-1.309272+(-0.969408--0.730116))+0-428--0.436560000000068</f>
        <v>1089.087996</v>
      </c>
      <c r="L327" s="3">
        <f>1277.1+(907.8-646.9)+(-3.256605+(-2.31489--1.649595))+0-428.5--1.09267499999994</f>
        <v>1106.6707749999998</v>
      </c>
      <c r="M327" s="3">
        <f>1283.8+(808.6-535)+(-1.309476+(-0.824772--0.5457))+0-428--0.436560000000068</f>
        <v>1128.2480120000002</v>
      </c>
      <c r="N327" s="3">
        <f>1323.2+(762.3-453.7)+(-1.349664+(-0.777546--0.462774))+0-424.5--0.432990000000068</f>
        <v>1206.0685539999999</v>
      </c>
      <c r="O327" s="3">
        <f>1413.9+(792.2-486)+(0+(0-0))+0-423.7-0</f>
        <v>1296.4000000000001</v>
      </c>
      <c r="P327" s="3">
        <f>1518.4+(794.6-579)+(-3.097536+(-1.620984--1.18116))+0-423.9--0.864755999999981</f>
        <v>1307.427396</v>
      </c>
      <c r="Q327" s="3">
        <f>1524.8+(611.5-515.5)+(-5.443536+(-2.183055--1.840335))+0-446.3--1.59329100000001</f>
        <v>1170.3070349999998</v>
      </c>
      <c r="R327" s="3">
        <f>1527.3+(492.4-381.8)+(-1.557846+(-0.502248--0.389436))+0-430.7--0.439314000000069</f>
        <v>1205.9686559999998</v>
      </c>
      <c r="S327" s="3">
        <f>1528.9+(540.2-460.3)+(0.779739+(0.275502-0.234753))+0-431.3-0.219962999999956</f>
        <v>1178.1005250000003</v>
      </c>
      <c r="T327" s="3">
        <f>1529.1+(592.6-461.6)+(-0.779841+(-0.302226--0.235416))+0-424.7--0.216596999999957</f>
        <v>1234.7699459999997</v>
      </c>
      <c r="U327" s="3">
        <f>1521.1+(584.2-458.9)+(-4.654566+(-1.787652--1.404234))+0-412.3--1.26163800000005</f>
        <v>1230.323654</v>
      </c>
      <c r="V327" s="3">
        <f>1530.4+(523.3-439.5)+(3.90252+(1.334415-1.120725))+0-405.5-1.03402499999994</f>
        <v>1211.782185</v>
      </c>
      <c r="W327" s="3">
        <f>1566.8+(540.1-490.4)+(-0.799068+(-0.275451--0.250104))+0-415.8--0.212057999999958</f>
        <v>1200.0876430000001</v>
      </c>
      <c r="X327" s="3">
        <f>1667.4+(741-580.3)+(-2.551122+(-1.13373--0.887859))+0-422.2--0.645966000000024</f>
        <v>1403.7489730000002</v>
      </c>
      <c r="Y327" s="3">
        <f>1666+(762.5-584.2)+(-1.69932+(-0.77775--0.595884))+0-418.3--0.426666000000067</f>
        <v>1424.54548</v>
      </c>
      <c r="Z327" s="3">
        <f>1658.7+(766.5-591.7)+(-6.767496+(-3.12732--2.414136))+0-419--1.70951999999996</f>
        <v>1408.72884</v>
      </c>
      <c r="AA327" s="3">
        <f>1516+(863.3-631.7)+(-0.77316+(-0.440283--0.322167))+0-413.7--0.210986999999958</f>
        <v>1333.2197109999997</v>
      </c>
      <c r="AB327" s="3">
        <f>1490.8+(816.3-669.4)+(-3.80154+(-2.081565--1.70697))+0-393.8--1.00418999999994</f>
        <v>1240.7280549999998</v>
      </c>
      <c r="AC327" s="3">
        <f>1324.9+(1051.2-765.4)+(0+(0-0))+0-395.6-0</f>
        <v>1215.1000000000004</v>
      </c>
      <c r="AD327">
        <f t="shared" si="5"/>
        <v>29208.438080999993</v>
      </c>
      <c r="AE327" s="3">
        <f>1665+(779.7-554.9)+(0+(0-0))+0-428.4-0</f>
        <v>1461.4</v>
      </c>
    </row>
    <row r="328" spans="1:31" s="2" customFormat="1" x14ac:dyDescent="0.25">
      <c r="A328">
        <v>89</v>
      </c>
      <c r="B328">
        <v>11</v>
      </c>
      <c r="C328">
        <v>22</v>
      </c>
      <c r="D328">
        <v>7</v>
      </c>
      <c r="E328">
        <v>2</v>
      </c>
      <c r="F328" s="3">
        <f>1287.1+(1041-890.4)+(-0.656421+(-0.53091--0.454104))+0-392--0.19991999999996</f>
        <v>1045.1666929999999</v>
      </c>
      <c r="G328" s="3">
        <f>1284.8+(943.5-747.8)+(-0.655248+(-0.481185--0.381378))+0-396.9--0.20241899999996</f>
        <v>1083.0473639999998</v>
      </c>
      <c r="H328" s="3">
        <f>1284+(897.4-734.9)+(0+(0-0))+0-397-0</f>
        <v>1049.5</v>
      </c>
      <c r="I328" s="3">
        <f>1286.1+(850.7-713.1)+(-1.967733+(-1.301571--1.091043))+0-395.9--0.605727000000023</f>
        <v>1026.2274659999998</v>
      </c>
      <c r="J328" s="3">
        <f>1280.8+(902-702.1)+(-2.612832+(-1.84008--1.432284))+0-394.5--0.804779999999983</f>
        <v>1083.9841519999998</v>
      </c>
      <c r="K328" s="3">
        <f>1285.3+(878.1-748.4)+(0.655503+(0.447831-0.381684))+0-392.2-0.20002199999996</f>
        <v>1023.3216279999999</v>
      </c>
      <c r="L328" s="3">
        <f>1276.2+(730-585.9)+(-4.556034+(-2.6061--2.091663))+0-393.7--1.40550900000001</f>
        <v>1022.9350380000002</v>
      </c>
      <c r="M328" s="3">
        <f>1283.5+(578-489.2)+(0+(0-0))+0-395.8-0</f>
        <v>976.5</v>
      </c>
      <c r="N328" s="3">
        <f>1292+(650.2-530.9)+(1.97676+(0.994806-0.812277))+0-394.6-0.603738000000023</f>
        <v>1018.2555510000001</v>
      </c>
      <c r="O328" s="3">
        <f>1409.1+(605.4-537.6)+(1.437282+(0.617508-0.548352))+0-396.6-0.404532000000063</f>
        <v>1081.4019059999996</v>
      </c>
      <c r="P328" s="3">
        <f>1406+(542.2-462.7)+(0.71706+(0.276522-0.235977))+0-392.7-0.20027699999996</f>
        <v>1093.3573280000001</v>
      </c>
      <c r="Q328" s="3">
        <f>1538.1+(496.2-544.3)+(0.784431+(0.253062-0.277593))+0-391.5-0.19966499999996</f>
        <v>1099.0602350000001</v>
      </c>
      <c r="R328" s="3">
        <f>1599.6+(373.5-519.7)+(-2.447388+(-0.571455--0.795141))+0-371.3--0.568089000000021</f>
        <v>1080.444387</v>
      </c>
      <c r="S328" s="3">
        <f>1588.6+(298.3-456.5)+(-4.861116+(-0.912798--1.39689))+0-369.1--1.12944600000004</f>
        <v>1058.052422</v>
      </c>
      <c r="T328" s="3">
        <f>1503.5+(358.4-487.7)+(-3.06714+(-0.731136--0.994908))+0-377.6--0.770303999999984</f>
        <v>994.56693599999994</v>
      </c>
      <c r="U328" s="3">
        <f>1472.7+(432.6-475.8)+(-0.751077+(-0.220626--0.242658))+0-382.2--0.194921999999961</f>
        <v>1046.7658769999998</v>
      </c>
      <c r="V328" s="3">
        <f>1507.3+(430.5-468.6)+(-0.768723+(-0.219555--0.238986))+0-391.1--0.19946099999996</f>
        <v>1077.5501689999999</v>
      </c>
      <c r="W328" s="3">
        <f>1605.9+(635.7-672.4)+(-2.457027+(-0.972621--1.028772))+0-383.8--0.587214000000022</f>
        <v>1183.5863380000005</v>
      </c>
      <c r="X328" s="3">
        <f>1623.4+(846-779.3)+(-1.655868+(-0.86292--0.794886))+0-384.6--0.392292000000061</f>
        <v>1304.1683900000003</v>
      </c>
      <c r="Y328" s="3">
        <f>1624.8+(864.9-794.3)+(-1.657296+(-0.882198--0.810186))+0-385--0.392700000000061</f>
        <v>1309.0633920000002</v>
      </c>
      <c r="Z328" s="3">
        <f>1626+(750.7-667.1)+(-2.48778+(-1.148571--1.020663))+0-384.9--0.588897000000022</f>
        <v>1322.673209</v>
      </c>
      <c r="AA328" s="3">
        <f>1622.4+(802.6-748.6)+(2.482272+(1.227978-1.145358))+0-392.3-0.600219000000023</f>
        <v>1286.0646730000003</v>
      </c>
      <c r="AB328" s="3">
        <f>1554+(785.7-689)+(-2.37762+(-1.202121--1.05417))+0-394--0.602820000000023</f>
        <v>1254.7772490000002</v>
      </c>
      <c r="AC328" s="3">
        <f>1293.8+(857.1-558.1)+(-3.29919+(-2.185605--1.423155))+0-397.7--1.01413499999994</f>
        <v>1192.0524949999999</v>
      </c>
      <c r="AD328">
        <f t="shared" si="5"/>
        <v>26712.522897999999</v>
      </c>
      <c r="AE328" s="3">
        <f>1620+(865.8-794.8)+(0+(0-0))+0-388.9-0</f>
        <v>1302.0999999999999</v>
      </c>
    </row>
    <row r="329" spans="1:31" s="2" customFormat="1" x14ac:dyDescent="0.25">
      <c r="A329">
        <v>89</v>
      </c>
      <c r="B329">
        <v>11</v>
      </c>
      <c r="C329">
        <v>23</v>
      </c>
      <c r="D329">
        <v>1</v>
      </c>
      <c r="E329">
        <v>1</v>
      </c>
      <c r="F329" s="3">
        <f>1284.5+(800.5-600.5)+(-3.93057+(-2.44953--1.83753))+0-396.1--1.21206600000005</f>
        <v>1085.0694960000001</v>
      </c>
      <c r="G329" s="3">
        <f>1284.4+(816.5-691.2)+(-2.620176+(-1.66566--1.410048))+0-398.5--0.812939999999983</f>
        <v>1009.137152</v>
      </c>
      <c r="H329" s="3">
        <f>1285.7+(860.5-726.3)+(-2.622828+(-1.75542--1.481652))+0-396.3--0.808451999999983</f>
        <v>1021.5118560000001</v>
      </c>
      <c r="I329" s="3">
        <f>1285.5+(851.2-706.9)+(0+(0-0))+0-424.5-0</f>
        <v>1005.3000000000002</v>
      </c>
      <c r="J329" s="3">
        <f>1285.7+(833.6-700)+(1.967121+(1.275408-1.071))+0-426.1-0.651933000000025</f>
        <v>994.71959600000014</v>
      </c>
      <c r="K329" s="3">
        <f>1287+(871.1-732)+(3.93822+(2.665566-2.23992))+0-412-1.26072000000005</f>
        <v>1017.2031459999997</v>
      </c>
      <c r="L329" s="3">
        <f>1280.8+(826.2-657.3)+(-4.572456+(-2.949534--2.346561))+0-424.8--1.51653600000001</f>
        <v>1021.2411070000002</v>
      </c>
      <c r="M329" s="3">
        <f>1284.3+(851.2-671.2)+(1.309986+(0.868224-0.684624))+0-425.6-0.434112000000068</f>
        <v>1039.7594739999997</v>
      </c>
      <c r="N329" s="3">
        <f>1338.6+(831.1-606)+(-3.41343+(-2.119305--1.5453))+0-431.4--1.10006999999994</f>
        <v>1129.4126349999997</v>
      </c>
      <c r="O329" s="3">
        <f>1513.9+(734.9-556.5)+(2.316267+(1.124397-0.851445))+0-429.8-0.657594000000025</f>
        <v>1264.4316250000002</v>
      </c>
      <c r="P329" s="3">
        <f>1527.3+(1222.3-1007.9)+(0.778923+(0.623373-0.514029))+0-429.8-0.219197999999956</f>
        <v>1312.5690689999999</v>
      </c>
      <c r="Q329" s="3">
        <f>1527.5+(1450.6-1217.4)+(-1.55805+(-1.479612--1.241748))+0-388.2--0.395964000000062</f>
        <v>1371.1000499999998</v>
      </c>
      <c r="R329" s="3">
        <f>1525.8+(1282.1-1055)+(-3.89079+(-3.269355--2.69025))+0-384.8--0.981239999999944</f>
        <v>1364.6113449999998</v>
      </c>
      <c r="S329" s="3">
        <f>1526.8+(937.5-815)+(-1.557336+(-0.95625--0.8313))+0-384.1--0.391782000000061</f>
        <v>1263.9094960000002</v>
      </c>
      <c r="T329" s="3">
        <f>1528.7+(733.1-613.3)+(0+(0-0))+0-416.6-0</f>
        <v>1231.9000000000001</v>
      </c>
      <c r="U329" s="3">
        <f>1531.8+(750.4-614.7)+(-2.343654+(-1.148112--0.940491))+0-415.4--0.635562000000024</f>
        <v>1250.184287</v>
      </c>
      <c r="V329" s="3">
        <f>1531.1+(758.7-735.8)+(-3.123444+(-1.547748--1.501032))+0-388.1--0.791723999999983</f>
        <v>1163.5215639999999</v>
      </c>
      <c r="W329" s="3">
        <f>1588.7+(1234-1116)+(-0.810237+(-0.62934--0.56916))+0-370.3--0.188852999999962</f>
        <v>1335.7184359999999</v>
      </c>
      <c r="X329" s="3">
        <f>1664.5+(1322.9-1099.5)+(-1.69779+(-1.349358--1.12149))+0-374.3--0.38178600000006</f>
        <v>1512.0561280000002</v>
      </c>
      <c r="Y329" s="3">
        <f>1664.5+(1223.8-983.1)+(-0.848895+(-0.624138--0.501381))+0-422.9--0.215678999999957</f>
        <v>1481.5440269999999</v>
      </c>
      <c r="Z329" s="3">
        <f>1662.7+(928.3-777.7)+(-3.391908+(-1.893732--1.586508))+0-372.2--0.759287999999984</f>
        <v>1438.1601559999999</v>
      </c>
      <c r="AA329" s="3">
        <f>1662.1+(899.5-775)+(0.847671+(0.458745-0.39525))+0-422.5-0.215474999999957</f>
        <v>1364.795691</v>
      </c>
      <c r="AB329" s="3">
        <f>1623.3+(849.1-751.1)+(-3.311532+(-1.732164--1.532244))+0-426.3--0.869651999999981</f>
        <v>1292.3582000000001</v>
      </c>
      <c r="AC329" s="3">
        <f>1364.8+(973.7-706.4)+(-3.48024+(-2.482935--1.80132))+0-422.9--1.07839499999994</f>
        <v>1206.11654</v>
      </c>
      <c r="AD329">
        <f t="shared" si="5"/>
        <v>29176.331075999995</v>
      </c>
      <c r="AE329" s="3">
        <f>1675+(1309-1098.4)+(0+(0-0))+0-385.2-0</f>
        <v>1500.3999999999999</v>
      </c>
    </row>
    <row r="330" spans="1:31" s="2" customFormat="1" x14ac:dyDescent="0.25">
      <c r="A330">
        <v>89</v>
      </c>
      <c r="B330">
        <v>11</v>
      </c>
      <c r="C330">
        <v>24</v>
      </c>
      <c r="D330">
        <v>2</v>
      </c>
      <c r="E330">
        <v>1</v>
      </c>
      <c r="F330" s="3">
        <f>1285.7+(1171.5-906.7)+(-1.311414+(-1.19493--0.924834))+0-431.9--0.440538000000069</f>
        <v>1117.459028</v>
      </c>
      <c r="G330" s="3">
        <f>1285.2+(921-679.9)+(-3.27726+(-2.34855--1.733745))+0-430--1.09649999999994</f>
        <v>1093.5044350000001</v>
      </c>
      <c r="H330" s="3">
        <f>1285.7+(733.3-488.5)+(0+(0-0))+0-433.3-0</f>
        <v>1097.2</v>
      </c>
      <c r="I330" s="3">
        <f>1285.1+(601.4-433.7)+(-1.966203+(-0.920142--0.663561))+0-393.9--0.602667000000023</f>
        <v>1057.2798830000002</v>
      </c>
      <c r="J330" s="3">
        <f>1285.2+(868.5-650.1)+(2.621808+(1.77174-1.326204))+0-431.9-0.881075999999981</f>
        <v>1073.886268</v>
      </c>
      <c r="K330" s="3">
        <f>1285.2+(965.7-732.1)+(0+(0-0))+0-422.2-0</f>
        <v>1096.6000000000001</v>
      </c>
      <c r="L330" s="3">
        <f>1285.2+(781.2-611.7)+(0.655452+(0.398412-0.311967))+0-426.3-0.217412999999957</f>
        <v>1028.9244840000003</v>
      </c>
      <c r="M330" s="3">
        <f>1284.3+(791.1-540.7)+(0+(0-0))+0-442.1-0</f>
        <v>1092.5999999999999</v>
      </c>
      <c r="N330" s="3">
        <f>1393.4+(761.5-546.5)+(0+(0-0))+0-440.8-0</f>
        <v>1167.6000000000001</v>
      </c>
      <c r="O330" s="3">
        <f>1543.2+(1026.9-798.3)+(-0.787032+(-0.523719--0.407133))+0-438.2--0.223481999999956</f>
        <v>1332.919864</v>
      </c>
      <c r="P330" s="3">
        <f>1588+(1002.2-835.5)+(-2.42964+(-1.533366--1.278315))+0-441.5--0.675495000000025</f>
        <v>1311.1908040000001</v>
      </c>
      <c r="Q330" s="3">
        <f>1584.7+(1188.2-1040.9)+(-2.424591+(-1.817946--1.592577))+0-443.4--0.678402000000026</f>
        <v>1286.6284420000002</v>
      </c>
      <c r="R330" s="3">
        <f>1527.1+(912.9-795.2)+(-4.672926+(-2.793474--2.433312))+0-440.1--1.34670600000005</f>
        <v>1201.0136179999997</v>
      </c>
      <c r="S330" s="3">
        <f>1530.5+(809-678.6)+(0.780555+(0.41259-0.346086))+0-441-0.224909999999955</f>
        <v>1220.5221490000001</v>
      </c>
      <c r="T330" s="3">
        <f>1598.2+(674.3-626.5)+(-4.890492+(-2.063358--1.91709))+0-438.9--1.34303400000005</f>
        <v>1203.4062739999999</v>
      </c>
      <c r="U330" s="3">
        <f>1615.2+(682.8-646.1)+(-0.823752+(-0.348228--0.329511))+0-447.6--0.228275999999955</f>
        <v>1203.6858070000001</v>
      </c>
      <c r="V330" s="3">
        <f>1620.9+(672.8-655.5)+(-3.306636+(-1.372512--1.33722))+0-406.2--0.828647999999982</f>
        <v>1229.4867199999999</v>
      </c>
      <c r="W330" s="3">
        <f>1648+(655-566.9)+(0.84048+(0.33405-0.289119))+0-436-0.222359999999956</f>
        <v>1300.7630509999999</v>
      </c>
      <c r="X330" s="3">
        <f>1674.9+(1031.5-917)+(0+(0-0))+0-433.6-0</f>
        <v>1355.8000000000002</v>
      </c>
      <c r="Y330" s="3">
        <f>1664.5+(1046.6-804.1)+(-5.09337+(-3.202596--2.460546))+0-436.7--1.33630200000005</f>
        <v>1465.800882</v>
      </c>
      <c r="Z330" s="3">
        <f>1667.8+(870.8-697.5)+(-2.551734+(-1.332324--1.067175))+0-438.2--0.670446000000025</f>
        <v>1400.753563</v>
      </c>
      <c r="AA330" s="3">
        <f>1661.9+(867.5-719.1)+(-3.390276+(-1.7697--1.466964))+0-438.1--0.893723999999981</f>
        <v>1369.4007120000001</v>
      </c>
      <c r="AB330" s="3">
        <f>1469.3+(948.5-689.4)+(-1.498686+(-0.96747--0.703188))+0-426.5--0.435030000000068</f>
        <v>1300.5720620000002</v>
      </c>
      <c r="AC330" s="3">
        <f>1334.4+(963.2-604.7)+(-4.083264+(-2.947392--1.850382))+0-445--1.36170000000005</f>
        <v>1244.0814260000002</v>
      </c>
      <c r="AD330">
        <f t="shared" si="5"/>
        <v>29251.079471999998</v>
      </c>
      <c r="AE330" s="3">
        <f>1672+(1131.4-892.4)+(0+(0-0))+0-432.8-0</f>
        <v>1478.2</v>
      </c>
    </row>
    <row r="331" spans="1:31" s="2" customFormat="1" x14ac:dyDescent="0.25">
      <c r="A331">
        <v>89</v>
      </c>
      <c r="B331">
        <v>11</v>
      </c>
      <c r="C331">
        <v>25</v>
      </c>
      <c r="D331">
        <v>3</v>
      </c>
      <c r="E331">
        <v>1</v>
      </c>
      <c r="F331" s="3">
        <f>1276.3+(925.4-599.3)+(-3.905478+(-2.831724--1.833858))+0-451.3--1.38097800000005</f>
        <v>1147.5776340000002</v>
      </c>
      <c r="G331" s="3">
        <f>1284.6+(784.2-534.5)+(0.655146+(0.399942-0.272595))+0-442.4-0.225623999999955</f>
        <v>1092.4568689999999</v>
      </c>
      <c r="H331" s="3">
        <f>1283.9+(553-358.2)+(-0.654789+(-0.28203--0.182682))+0-438.8--0.223787999999955</f>
        <v>1039.3696510000002</v>
      </c>
      <c r="I331" s="3">
        <f>1285.2+(741.3-492.9)+(0+(0-0))+0-446.9-0</f>
        <v>1086.6999999999998</v>
      </c>
      <c r="J331" s="3">
        <f>1284.1+(665.8-471)+(-0.654891+(-0.339558--0.24021))+0-442.4--0.225623999999955</f>
        <v>1035.9713849999996</v>
      </c>
      <c r="K331" s="3">
        <f>1284.4+(689.1-469.7)+(0+(0-0))+0-437.8-0</f>
        <v>1066.0000000000002</v>
      </c>
      <c r="L331" s="3">
        <f>1285.2+(680.1-468.2)+(-0.655452+(-0.346851--0.238782))+0-450--0.229499999999954</f>
        <v>1046.565979</v>
      </c>
      <c r="M331" s="3">
        <f>1284.6+(687-459.5)+(-0.655146+(-0.35037--0.234345))+0-452.8--0.230927999999954</f>
        <v>1058.7597569999998</v>
      </c>
      <c r="N331" s="3">
        <f>1365.3+(789.2-535.6)+(0.696303+(0.402492-0.273156))+0-429.8-0.219197999999956</f>
        <v>1189.706441</v>
      </c>
      <c r="O331" s="3">
        <f>1512.2+(880.3-754.5)+(-3.084888+(-1.795812--1.53918))+0-433.1--0.883523999999981</f>
        <v>1202.4420040000002</v>
      </c>
      <c r="P331" s="3">
        <f>1530.1+(979.8-981.5)+(-1.560702+(-0.999396--1.00113))+0-443--0.451860000000071</f>
        <v>1084.2928919999999</v>
      </c>
      <c r="Q331" s="3">
        <f>1534+(1361.3-1143)+(1.56468+(1.388526-1.16586))+0-422.2-0.430644000000067</f>
        <v>1331.456702</v>
      </c>
      <c r="R331" s="3">
        <f>1528.5+(1185.2-1038)+(-3.897675+(-3.02226--2.6469))+0-413.8--1.05518999999994</f>
        <v>1258.6821550000002</v>
      </c>
      <c r="S331" s="3">
        <f>1529.3+(990.5-883.6)+(-1.559886+(-1.01031--0.901272))+0-399.5--0.407490000000064</f>
        <v>1235.4385659999998</v>
      </c>
      <c r="T331" s="3">
        <f>1530.7+(956.4-847)+(-0.780657+(-0.487764--0.43197))+0-402.6--0.205325999999959</f>
        <v>1236.8688749999999</v>
      </c>
      <c r="U331" s="3">
        <f>1532.9+(839.1-715.6)+(0.781779+(0.427941-0.364956))+0-417.6-0.212975999999958</f>
        <v>1239.4317880000001</v>
      </c>
      <c r="V331" s="3">
        <f>1551.4+(812.5-724.7)+(0+(0-0))+0-378.1-0</f>
        <v>1261.0999999999999</v>
      </c>
      <c r="W331" s="3">
        <f>1648.6+(814.2-771.5)+(-2.522358+(-1.245726--1.180395))+0-371.3--0.568089000000021</f>
        <v>1317.9804000000001</v>
      </c>
      <c r="X331" s="3">
        <f>1665.6+(947.6-776.2)+(-2.548368+(-1.449828--1.187586))+0-396.7--0.606951000000023</f>
        <v>1438.0963409999999</v>
      </c>
      <c r="Y331" s="3">
        <f>1665.4+(1036.9-864.8)+(-2.548062+(-1.586457--1.323144))+0-399.8--0.611694000000023</f>
        <v>1435.5003190000002</v>
      </c>
      <c r="Z331" s="3">
        <f>1664.8+(1026.5-858)+(-3.396192+(-2.09406--1.75032))+0-423.7--0.864347999999981</f>
        <v>1406.724416</v>
      </c>
      <c r="AA331" s="3">
        <f>1665.2+(873-738)+(-3.397008+(-1.78092--1.50552))+0-417.5--0.851699999999982</f>
        <v>1379.8792920000001</v>
      </c>
      <c r="AB331" s="3">
        <f>1597.4+(887.3-717.1)+(-0.814674+(-0.452523--0.365721))+0-426.3--0.217412999999957</f>
        <v>1340.6159369999998</v>
      </c>
      <c r="AC331" s="3">
        <f>1415.1+(1027.4-698.1)+(-6.495309+(-4.715766--3.204279))+0-424.9--1.95029100000007</f>
        <v>1313.4434950000004</v>
      </c>
      <c r="AD331">
        <f t="shared" si="5"/>
        <v>29245.060898</v>
      </c>
      <c r="AE331" s="3">
        <f>1660+(975.2-774)+(0+(0-0))+0-381.6-0</f>
        <v>1479.6</v>
      </c>
    </row>
    <row r="332" spans="1:31" s="2" customFormat="1" x14ac:dyDescent="0.25">
      <c r="A332">
        <v>89</v>
      </c>
      <c r="B332">
        <v>11</v>
      </c>
      <c r="C332">
        <v>26</v>
      </c>
      <c r="D332">
        <v>4</v>
      </c>
      <c r="E332">
        <v>1</v>
      </c>
      <c r="F332" s="3">
        <f>1285.5+(1111.6-828.1)+(-1.966815+(-1.700748--1.266993))+0-423.5--0.647955000000024</f>
        <v>1143.7473849999999</v>
      </c>
      <c r="G332" s="3">
        <f>1281.5+(1196.6-874.8)+(-1.960695+(-1.830798--1.338444))+0-420.8--0.643824000000024</f>
        <v>1180.690775</v>
      </c>
      <c r="H332" s="3">
        <f>1285.9+(1061.3-751.2)+(0.655809+(0.541263-0.383112))+0-418.4-0.213383999999958</f>
        <v>1178.200576</v>
      </c>
      <c r="I332" s="3">
        <f>1284.7+(893.9-692.4)+(-1.965591+(-1.367667--1.059372))+0-414.5--0.634185000000024</f>
        <v>1070.0602990000002</v>
      </c>
      <c r="J332" s="3">
        <f>1285.5+(915.3-694.7)+(0.655605+(0.466803-0.354297))+0-411.3-0.209762999999958</f>
        <v>1095.358348</v>
      </c>
      <c r="K332" s="3">
        <f>1284.2+(941.2-682.5)+(-0.654942+(-0.480012--0.348075))+0-405.3--0.206702999999959</f>
        <v>1137.0198240000002</v>
      </c>
      <c r="L332" s="3">
        <f>1284.2+(931.3-714.3)+(-1.309884+(-0.949926--0.728586))+0-430.7--0.439314000000069</f>
        <v>1069.4080899999999</v>
      </c>
      <c r="M332" s="3">
        <f>1286+(934.7-654.4)+(-0.65586+(-0.476697--0.333744))+0-426--0.217259999999957</f>
        <v>1139.718447</v>
      </c>
      <c r="N332" s="3">
        <f>1367.6+(838.2-567.1)+(2.789904+(1.709928-1.156884))+0-415-0.846599999999982</f>
        <v>1226.1963479999997</v>
      </c>
      <c r="O332" s="3">
        <f>1473.3+(878.4-635.1)+(-1.502766+(-0.895968--0.647802))+0-406.4--0.414528000000065</f>
        <v>1308.8635959999999</v>
      </c>
      <c r="P332" s="3">
        <f>1533.4+(881.8-677.5)+(-0.782034+(-0.449718--0.345525))+0-408.8--0.208487999999959</f>
        <v>1328.2222610000001</v>
      </c>
      <c r="Q332" s="3">
        <f>1532.4+(880.9-637.9)+(-3.126096+(-1.797036--1.301316))+0-378.7--0.772547999999983</f>
        <v>1393.8507319999999</v>
      </c>
      <c r="R332" s="3">
        <f>1526.8+(657.6-572.2)+(-4.672008+(-2.012256--1.750932))+0-343.6--1.05141600000004</f>
        <v>1264.7180839999999</v>
      </c>
      <c r="S332" s="3">
        <f>1531+(609.8-502.5)+(-1.56162+(-0.621996--0.51255))+0-406.9--0.415038000000065</f>
        <v>1230.1439719999998</v>
      </c>
      <c r="T332" s="3">
        <f>1529.7+(581.5-481.2)+(0+(0-0))+0-403.7-0</f>
        <v>1226.3</v>
      </c>
      <c r="U332" s="3">
        <f>1530.1+(667.7-513.1)+(-1.560702+(-0.681054--0.523362))+0-398.9--0.406878000000064</f>
        <v>1284.4884839999997</v>
      </c>
      <c r="V332" s="3">
        <f>1532.4+(632.4-497.8)+(0+(0-0))+0-397.9-0</f>
        <v>1269.0999999999999</v>
      </c>
      <c r="W332" s="3">
        <f>1545.8+(631.7-506.1)+(0+(0-0))+0-361.2-0</f>
        <v>1310.2</v>
      </c>
      <c r="X332" s="3">
        <f>1662.9+(850.6-712.8)+(-1.696158+(-0.867612--0.727056))+0-402.6--0.410652000000064</f>
        <v>1396.6739380000004</v>
      </c>
      <c r="Y332" s="3">
        <f>1662.3+(906.4-690.8)+(-5.086638+(-2.773584--2.113848))+0-397.6--1.21665600000005</f>
        <v>1475.770282</v>
      </c>
      <c r="Z332" s="3">
        <f>1661+(724.8-580)+(-4.23555+(-1.84824--1.479))+0-396.2--1.01030999999994</f>
        <v>1406.0055199999997</v>
      </c>
      <c r="AA332" s="3">
        <f>1656+(703.8-571.8)+(-3.37824+(-1.435752--1.166472))+0-402.7--0.821507999999982</f>
        <v>1382.473988</v>
      </c>
      <c r="AB332" s="3">
        <f>1467.1+(806.5-527.2)+(-1.496442+(-0.82263--0.537744))+0-399.4--0.407388000000064</f>
        <v>1345.6260600000001</v>
      </c>
      <c r="AC332" s="3">
        <f>1280.9+(1016.4-596.6)+(-3.266295+(-2.59182--1.52133))+0-406.2--1.03580999999994</f>
        <v>1291.1990249999999</v>
      </c>
      <c r="AD332">
        <f t="shared" si="5"/>
        <v>30154.036033999997</v>
      </c>
      <c r="AE332" s="3">
        <f>1666+(966-761.5)+(0+(0-0))+0-405.9-0</f>
        <v>1464.6</v>
      </c>
    </row>
    <row r="333" spans="1:31" s="2" customFormat="1" x14ac:dyDescent="0.25">
      <c r="A333">
        <v>89</v>
      </c>
      <c r="B333">
        <v>11</v>
      </c>
      <c r="C333">
        <v>27</v>
      </c>
      <c r="D333">
        <v>5</v>
      </c>
      <c r="E333">
        <v>3</v>
      </c>
      <c r="F333" s="3">
        <f>1276.5+(1068.8-663.7)+(-3.255075+(-2.72544--1.692435))+0-410.8--1.04753999999994</f>
        <v>1267.5594599999999</v>
      </c>
      <c r="G333" s="3">
        <f>1279.4+(891.4-598.8)+(-1.957482+(-1.363842--0.916164))+0-418.5--0.640305000000024</f>
        <v>1151.7351450000001</v>
      </c>
      <c r="H333" s="3">
        <f>1281.2+(785.3-557.9)+(-3.920472+(-2.403018--1.707174))+0-418.3--1.27999800000005</f>
        <v>1086.9636819999998</v>
      </c>
      <c r="I333" s="3">
        <f>1286.4+(810.7-528.8)+(0.656064+(0.413457-0.269688))+0-402.3-0.205172999999959</f>
        <v>1166.5946600000002</v>
      </c>
      <c r="J333" s="3">
        <f>1286.4+(773.3-511.1)+(2.624256+(1.577532-1.042644))+0-407.4-0.831095999999982</f>
        <v>1143.5280480000001</v>
      </c>
      <c r="K333" s="3">
        <f>1287.8+(697.6-467.5)+(3.940668+(2.134656-1.43055))+0-405-1.23930000000005</f>
        <v>1116.3054740000002</v>
      </c>
      <c r="L333" s="3">
        <f>1282+(593.1-421.3)+(-3.2691+(-1.512405--1.074315))+0-404.8--1.03223999999994</f>
        <v>1046.3250499999999</v>
      </c>
      <c r="M333" s="3">
        <f>1281.6+(643.8-409.9)+(1.307232+(0.656676-0.418098))+0-400.3-0.408306000000064</f>
        <v>1116.3375040000001</v>
      </c>
      <c r="N333" s="3">
        <f>1282.3+(788-395.6)+(1.961919+(1.20564-0.605268))+0-367.5-0.562275000000021</f>
        <v>1309.2000159999998</v>
      </c>
      <c r="O333" s="3">
        <f>1382.2+(1070.3-649.8)+(2.114766+(1.637559-0.994194))+0-407.7-0.623781000000024</f>
        <v>1397.13435</v>
      </c>
      <c r="P333" s="3">
        <f>1410.6+(998.8-650.9)+(-2.877624+(-2.037552--1.327836))+0-369.2--0.753167999999984</f>
        <v>1386.4658279999999</v>
      </c>
      <c r="Q333" s="3">
        <f>1532.3+(839.5-614.1)+(-3.125892+(-1.71258--1.252764))+0-371.3--0.757451999999984</f>
        <v>1383.5717439999999</v>
      </c>
      <c r="R333" s="3">
        <f>1498.6+(621.9-474.4)+(-3.82143+(-1.585845--1.20972))+0-407.4--1.03886999999994</f>
        <v>1235.5413149999999</v>
      </c>
      <c r="S333" s="3">
        <f>1405.1+(681-455.7)+(-2.149803+(-1.04193--0.697221))+0-421.7--0.645201000000024</f>
        <v>1206.8506889999999</v>
      </c>
      <c r="T333" s="3">
        <f>1399.8+(698.3-427.3)+(-0.713898+(-0.356133--0.217923))+0-419.7--0.214046999999957</f>
        <v>1250.4619389999998</v>
      </c>
      <c r="U333" s="3">
        <f>1395.3+(751.4-500.4)+(-3.558015+(-1.91607--1.27602))+0-424.8--1.08323999999994</f>
        <v>1218.3851749999999</v>
      </c>
      <c r="V333" s="3">
        <f>1400.3+(792.5-492.9)+(0+(0-0))+0-387.2-0</f>
        <v>1312.7</v>
      </c>
      <c r="W333" s="3">
        <f>1465.6+(773.4-503.4)+(-2.989824+(-1.577736--1.026936))+0-425.5--0.868019999999981</f>
        <v>1307.4273959999998</v>
      </c>
      <c r="X333" s="3">
        <f>1652.5+(773.5-553.5)+(-7.584975+(-3.550365--2.540565))+0-416.7--1.91265300000007</f>
        <v>1449.117878</v>
      </c>
      <c r="Y333" s="3">
        <f>1666.2+(829.9-646.4)+(-0.849762+(-0.423249--0.329664))+0-419.4--0.213893999999957</f>
        <v>1429.5705470000003</v>
      </c>
      <c r="Z333" s="3">
        <f>1577+(921.7-724.5)+(-7.23843+(-4.230603--3.325455))+0-392.5--1.80157500000007</f>
        <v>1375.3579970000001</v>
      </c>
      <c r="AA333" s="3">
        <f>1447.8+(1129.9-745.1)+(-0.738378+(-0.576249--0.380001))+0-410.8--0.209507999999958</f>
        <v>1421.0748819999999</v>
      </c>
      <c r="AB333" s="3">
        <f>1375.3+(1027.6-651.8)+(-3.507015+(-2.62038--1.66209))+0-414.6--1.05722999999994</f>
        <v>1333.0919249999997</v>
      </c>
      <c r="AC333" s="3">
        <f>1283+(944-547.3)+(-3.27165+(-2.4072--1.395615))+0-417.9--1.06564499999994</f>
        <v>1258.5824099999998</v>
      </c>
      <c r="AD333">
        <f t="shared" si="5"/>
        <v>30369.883114</v>
      </c>
      <c r="AE333" s="3">
        <f>1664+(825.1-599.6)+(0+(0-0))+0-411-0</f>
        <v>1478.5</v>
      </c>
    </row>
    <row r="334" spans="1:31" s="2" customFormat="1" x14ac:dyDescent="0.25">
      <c r="A334">
        <v>89</v>
      </c>
      <c r="B334">
        <v>11</v>
      </c>
      <c r="C334">
        <v>28</v>
      </c>
      <c r="D334">
        <v>6</v>
      </c>
      <c r="E334">
        <v>6</v>
      </c>
      <c r="F334" s="3">
        <f>1282.5+(972.7-629)+(-0.654075+(-0.496077--0.32079))+0-437.4--0.223073999999956</f>
        <v>1188.1937120000002</v>
      </c>
      <c r="G334" s="3">
        <f>1283.5+(909.1-668.3)+(0+(0-0))+0-432.6-0</f>
        <v>1091.7000000000003</v>
      </c>
      <c r="H334" s="3">
        <f>1283.4+(910.7-671)+(-2.618136+(-1.857828--1.36884))+0-427--0.871079999999981</f>
        <v>1093.8639559999999</v>
      </c>
      <c r="I334" s="3">
        <f>1283.4+(833.6-599.8)+(3.27267+(2.12568-1.52949))+0-428.8-1.09343999999994</f>
        <v>1091.1754200000005</v>
      </c>
      <c r="J334" s="3">
        <f>1282.3+(853.8-625.5)+(-1.307946+(-0.870876--0.63801))+0-434.2--0.442884000000069</f>
        <v>1075.302072</v>
      </c>
      <c r="K334" s="3">
        <f>1283.5+(672.7-499.3)+(0.654585+(0.343077-0.254643))+0-434.6-0.221645999999956</f>
        <v>1022.8213730000001</v>
      </c>
      <c r="L334" s="3">
        <f>1282.6+(607.8-372.6)+(-1.962378+(-0.929934--0.570078))+0-404.7--0.619191000000023</f>
        <v>1111.3969569999997</v>
      </c>
      <c r="M334" s="3">
        <f>1283.2+(608.6-376.8)+(0+(0-0))+0-406.2-0</f>
        <v>1108.8</v>
      </c>
      <c r="N334" s="3">
        <f>1324.1+(644-432.1)+(0.675291+(0.32844-0.220371))+0-383.7-0.195686999999961</f>
        <v>1152.8876729999999</v>
      </c>
      <c r="O334" s="3">
        <f>1407.6+(750.5-580.2)+(2.153628+(1.148265-0.887706))+0-421.6-0.645048000000024</f>
        <v>1158.069139</v>
      </c>
      <c r="P334" s="3">
        <f>1510.1+(1032.9-842.4)+(-3.850755+(-2.633895--2.14812))+0-398.4--1.01591999999994</f>
        <v>1298.8793899999998</v>
      </c>
      <c r="Q334" s="3">
        <f>1521.9+(1120.7-913.7)+(-3.880845+(-2.857785--2.329935))+0-398.1--1.01515499999994</f>
        <v>1327.4064600000002</v>
      </c>
      <c r="R334" s="3">
        <f>1538+(833.5-707.5)+(-5.49066+(-2.975595--2.525775))+0-409--1.46013000000001</f>
        <v>1250.51965</v>
      </c>
      <c r="S334" s="3">
        <f>1456.7+(681.9-542)+(-0.742917+(-0.347769--0.27642))+0-410.1--0.209150999999958</f>
        <v>1185.8948849999997</v>
      </c>
      <c r="T334" s="3">
        <f>1417.2+(840.6-665)+(-2.168316+(-1.286118--1.01745))+0-408.7--0.625311000000024</f>
        <v>1182.2883270000002</v>
      </c>
      <c r="U334" s="3">
        <f>1417.8+(862.8-656.5)+(-3.61539+(-2.20014--1.674075))+0-407.4--1.03886999999994</f>
        <v>1213.5974149999997</v>
      </c>
      <c r="V334" s="3">
        <f>1421.2+(800.9-600)+(0+(0-0))+0-408.9-0</f>
        <v>1213.1999999999998</v>
      </c>
      <c r="W334" s="3">
        <f>1494+(665.9-523.6)+(-1.52388+(-0.679218--0.534072))+0-399.8--0.407796000000064</f>
        <v>1235.2387699999999</v>
      </c>
      <c r="X334" s="3">
        <f>1654.4+(948-808.3)+(-3.374976+(-1.93392--1.648932))+0-402--0.820079999999982</f>
        <v>1389.2601160000002</v>
      </c>
      <c r="Y334" s="3">
        <f>1656.6+(996.5-876.1)+(-2.534598+(-1.524645--1.340433))+0-363.6--0.556308000000021</f>
        <v>1411.2374979999997</v>
      </c>
      <c r="Z334" s="3">
        <f>1620.2+(1126.6-958.8)+(-0.826302+(-0.574566--0.488988))+0-412.1--0.210170999999958</f>
        <v>1375.1982909999999</v>
      </c>
      <c r="AA334" s="3">
        <f>1493.1+(1251.4-952.3)+(-2.284443+(-1.914642--1.457019))+0-370.6--0.567018000000021</f>
        <v>1419.4249520000001</v>
      </c>
      <c r="AB334" s="3">
        <f>1488.8+(855.6-662.7)+(-4.555728+(-2.618136--2.027862))+0-369.8--1.13158800000004</f>
        <v>1307.8855859999999</v>
      </c>
      <c r="AC334" s="3">
        <f>1482.1+(729.1-566.5)+(-3.779355+(-1.859205--1.444575))+0-370.2--0.944009999999946</f>
        <v>1271.2500249999996</v>
      </c>
      <c r="AD334">
        <f t="shared" si="5"/>
        <v>29175.491667000002</v>
      </c>
      <c r="AE334" s="3">
        <f>1651+(1115.7-917.2)+(0+(0-0))+0-401.8-0</f>
        <v>1447.7</v>
      </c>
    </row>
    <row r="335" spans="1:31" s="2" customFormat="1" x14ac:dyDescent="0.25">
      <c r="A335">
        <v>89</v>
      </c>
      <c r="B335">
        <v>11</v>
      </c>
      <c r="C335">
        <v>29</v>
      </c>
      <c r="D335">
        <v>7</v>
      </c>
      <c r="E335">
        <v>1</v>
      </c>
      <c r="F335" s="3">
        <f>1433.2+(596.9-494.4)+(-3.65466+(-1.522095--1.26072))+0-370.5--0.944774999999946</f>
        <v>1162.22874</v>
      </c>
      <c r="G335" s="3">
        <f>1355.4+(781.1-642.4)+(-2.765016+(-1.593444--1.310496))+0-371.3--0.757451999999984</f>
        <v>1120.5094880000001</v>
      </c>
      <c r="H335" s="3">
        <f>1303.2+(730.6-600.7)+(-1.993896+(-1.117818--0.919071))+0-371.8--0.568854000000022</f>
        <v>1059.676211</v>
      </c>
      <c r="I335" s="3">
        <f>1291.3+(745.7-602.3)+(-2.634252+(-1.521228--1.228692))+0-370.7--0.756227999999984</f>
        <v>1061.82944</v>
      </c>
      <c r="J335" s="3">
        <f>1293.7+(693.5-554.6)+(0.659787+(0.353685-0.282846))+0-371.7-0.189566999999962</f>
        <v>1061.441059</v>
      </c>
      <c r="K335" s="3">
        <f>1292.7+(748.8-533.5)+(0.659277+(0.381888-0.272085))+0-368.3-0.187832999999963</f>
        <v>1140.2812470000001</v>
      </c>
      <c r="L335" s="3">
        <f>1289.1+(666.2-571.4)+(-3.287205+(-1.69881--1.45707))+0-368.9--0.940694999999946</f>
        <v>1012.41175</v>
      </c>
      <c r="M335" s="3">
        <f>1290.6+(698.4-594.6)+(-1.974618+(-1.068552--0.909738))+0-366.6--0.560898000000021</f>
        <v>1026.2274659999996</v>
      </c>
      <c r="N335" s="3">
        <f>1251.5+(731.9-616.8)+(-1.914795+(-1.119807--0.943704))+0-364.2--0.557226000000021</f>
        <v>1000.866328</v>
      </c>
      <c r="O335" s="3">
        <f>1239.8+(588-386.8)+(0.632298+(0.29988-0.197268))+0-367.1-0.187220999999963</f>
        <v>1074.4476889999999</v>
      </c>
      <c r="P335" s="3">
        <f>1290.3+(586.7-419.2)+(-0.658053+(-0.299217--0.213792))+0-372.3--0.189872999999962</f>
        <v>1084.9463949999999</v>
      </c>
      <c r="Q335" s="3">
        <f>1292+(852.5-608.5)+(-2.63568+(-1.7391--1.24134))+0-361.1--0.736643999999984</f>
        <v>1172.5032040000001</v>
      </c>
      <c r="R335" s="3">
        <f>1291.1+(701-486.5)+(-2.633844+(-1.43004--0.99246))+0-360.8--0.736031999999984</f>
        <v>1142.464608</v>
      </c>
      <c r="S335" s="3">
        <f>1291.4+(629.4-431.7)+(-3.29307+(-1.60497--1.100835))+0-359.8--0.917489999999948</f>
        <v>1126.4202850000001</v>
      </c>
      <c r="T335" s="3">
        <f>1292.7+(497.1-364)+(-1.977831+(-0.760563--0.55692))+0-355.2--0.54345600000002</f>
        <v>1068.9619820000003</v>
      </c>
      <c r="U335" s="3">
        <f>1291.9+(559.4-376.9)+(-2.635476+(-1.141176--0.768876))+0-366.6--0.747863999999984</f>
        <v>1105.5400880000002</v>
      </c>
      <c r="V335" s="3">
        <f>1291.9+(527.2-361.7)+(-1.317738+(-0.537744--0.368934))+0-358.4--0.365568000000057</f>
        <v>1097.8790200000003</v>
      </c>
      <c r="W335" s="3">
        <f>1355.5+(433.7-370.2)+(-2.073915+(-0.663561--0.566406))+0-359.4--0.549882000000021</f>
        <v>1057.9788120000001</v>
      </c>
      <c r="X335" s="3">
        <f>1418.9+(763.2-499.6)+(-2.894556+(-1.556928--1.019184))+0-360.9--0.736235999999984</f>
        <v>1318.9039359999999</v>
      </c>
      <c r="Y335" s="3">
        <f>1419.7+(825.6-550.8)+(-3.620235+(-2.10528--1.40454))+0-357--0.910349999999948</f>
        <v>1334.0893749999998</v>
      </c>
      <c r="Z335" s="3">
        <f>1420.8+(851.6-574.7)+(-1.449216+(-0.868632--0.586194))+0-328.8--0.335376000000052</f>
        <v>1367.5037219999999</v>
      </c>
      <c r="AA335" s="3">
        <f>1355.1+(924.3-648.1)+(0.691101+(0.471393-0.330531))+0-344.2-0.175541999999965</f>
        <v>1287.7564209999998</v>
      </c>
      <c r="AB335" s="3">
        <f>1307.8+(867-545.4)+(-2.667912+(-1.76868--1.112616))+0-360.1--0.734603999999984</f>
        <v>1266.710628</v>
      </c>
      <c r="AC335" s="3">
        <f>1296+(912.5-639.1)+(-3.3048+(-2.326875--1.629705))+0-361.6--0.922079999999948</f>
        <v>1204.72011</v>
      </c>
      <c r="AD335">
        <f t="shared" si="5"/>
        <v>27356.298004</v>
      </c>
      <c r="AE335" s="3">
        <f>1419+(815.6-535.7)+(0+(0-0))+0-357.9-0</f>
        <v>1341</v>
      </c>
    </row>
    <row r="336" spans="1:31" s="2" customFormat="1" x14ac:dyDescent="0.25">
      <c r="A336">
        <v>89</v>
      </c>
      <c r="B336">
        <v>11</v>
      </c>
      <c r="C336">
        <v>30</v>
      </c>
      <c r="D336">
        <v>1</v>
      </c>
      <c r="E336">
        <v>1</v>
      </c>
      <c r="F336" s="3">
        <f>1291.8+(866.3-683)+(-1.976454+(-1.325439--1.04499))+0-397.6--0.608328000000023</f>
        <v>1075.8514250000001</v>
      </c>
      <c r="G336" s="3">
        <f>1288.9+(780.8-646.5)+(-3.286695+(-1.99104--1.648575))+0-404.6--1.03172999999994</f>
        <v>1016.00257</v>
      </c>
      <c r="H336" s="3">
        <f>1200.9+(856-626.8)+(0.612459+(0.43656-0.319668))+0-404.2-0.206141999999959</f>
        <v>1026.423209</v>
      </c>
      <c r="I336" s="3">
        <f>1170.9+(894.1-616.9)+(-0.597159+(-0.455991--0.314619))+0-401.7--0.204866999999959</f>
        <v>1045.866336</v>
      </c>
      <c r="J336" s="3">
        <f>1172.8+(786.3-671.8)+(2.392512+(1.604052-1.370472))+0-397.3-0.810491999999983</f>
        <v>891.81560000000002</v>
      </c>
      <c r="K336" s="3">
        <f>1172.9+(783.2-600.5)+(1.196358+(0.798864-0.61251))+0-396.6-0.404532000000063</f>
        <v>959.97818000000018</v>
      </c>
      <c r="L336" s="3">
        <f>1171+(818.6-528.9)+(0+(0-0))+0-419.6-0</f>
        <v>1041.0999999999999</v>
      </c>
      <c r="M336" s="3">
        <f>1197.6+(756.9-445.1)+(0+(0-0))+0-415.2-0</f>
        <v>1094.1999999999998</v>
      </c>
      <c r="N336" s="3">
        <f>1327.8+(685-414.7)+(2.708712+(1.3974-0.845988))+0-422.7-0.862307999999982</f>
        <v>1177.7978159999998</v>
      </c>
      <c r="O336" s="3">
        <f>1406.5+(836.6-555.7)+(-0.717315+(-0.426666--0.283407))+0-418.6--0.213485999999958</f>
        <v>1268.1529119999998</v>
      </c>
      <c r="P336" s="3">
        <f>1407.9+(1035.1-706.6)+(-2.154087+(-1.583703--1.081098))+0-430.6--0.658818000000025</f>
        <v>1303.8021260000003</v>
      </c>
      <c r="Q336" s="3">
        <f>1409.6+(1180.9-837.8)+(-0.718896+(-0.602259--0.427278))+0-408--0.208079999999959</f>
        <v>1344.014203</v>
      </c>
      <c r="R336" s="3">
        <f>1406.8+(1032.4-790.7)+(-0.717468+(-0.526524--0.403257))+0-418.2--0.213281999999958</f>
        <v>1229.6725469999999</v>
      </c>
      <c r="S336" s="3">
        <f>1405.7+(909.3-690.4)+(-3.584535+(-2.318715--1.76052))+0-414.5--1.05697499999994</f>
        <v>1207.0142449999998</v>
      </c>
      <c r="T336" s="3">
        <f>1408.1+(952.6-709.6)+(-0.718131+(-0.485826--0.361896))+0-388--0.197879999999961</f>
        <v>1262.4558189999998</v>
      </c>
      <c r="U336" s="3">
        <f>1405.1+(1026.6-807.6)+(-2.149803+(-1.570698--1.235628))+0-364.8--0.558144000000021</f>
        <v>1257.3732709999999</v>
      </c>
      <c r="V336" s="3">
        <f>1406.6+(1147.9-867.7)+(-2.869464+(-2.341716--1.770108))+0-414.1--0.844763999999982</f>
        <v>1270.1036919999997</v>
      </c>
      <c r="W336" s="3">
        <f>1417.1+(1085.9-876.1)+(-2.890884+(-2.215236--1.787244))+0-397.6--0.811103999999983</f>
        <v>1226.7922279999998</v>
      </c>
      <c r="X336" s="3">
        <f>1423.1+(1820.8-1387.2)+(-2.177343+(-2.785824--2.122416))+0-376.3--0.575739000000022</f>
        <v>1478.134988</v>
      </c>
      <c r="Y336" s="3">
        <f>1421+(1726.2-1239)+(-3.62355+(-4.40181--3.15945))+0-412.9--1.05289499999994</f>
        <v>1491.4869850000002</v>
      </c>
      <c r="Z336" s="3">
        <f>1420.9+(1507.3-1090.6)+(-2.173977+(-2.306169--1.668618))+0-414.5--0.634185000000024</f>
        <v>1420.9226570000003</v>
      </c>
      <c r="AA336" s="3">
        <f>1421.7+(1350.7-922.9)+(-2.175201+(-2.066571--1.412037))+0-423.8--0.648414000000024</f>
        <v>1423.518679</v>
      </c>
      <c r="AB336" s="3">
        <f>1419.9+(1103-775.4)+(-3.620745+(-2.81265--1.97727))+0-419.3--1.06921499999994</f>
        <v>1324.8130900000001</v>
      </c>
      <c r="AC336" s="3">
        <f>1380.6+(1370.8-1082.5)+(-3.52053+(-3.49554--2.760375))+0.7-374.5--0.954974999999946</f>
        <v>1291.7992799999997</v>
      </c>
      <c r="AD336">
        <f t="shared" si="5"/>
        <v>29129.091858</v>
      </c>
      <c r="AE336" s="3">
        <f>1426+(1870.3-1426.8)+(0+(0-0))+0-374.2-0</f>
        <v>1495.3</v>
      </c>
    </row>
    <row r="337" spans="1:31" s="2" customFormat="1" x14ac:dyDescent="0.25">
      <c r="A337">
        <v>89</v>
      </c>
      <c r="B337">
        <v>12</v>
      </c>
      <c r="C337">
        <v>1</v>
      </c>
      <c r="D337">
        <v>2</v>
      </c>
      <c r="E337">
        <v>1</v>
      </c>
      <c r="F337" s="3">
        <f>1293+(1221.8-906.9)+(-4.61601+(-4.361826--3.237633))+0-399.2--1.42514400000001</f>
        <v>1204.384941</v>
      </c>
      <c r="G337" s="3">
        <f>1332.6+(1118.9-878.9)+(0+(0-0))+0-418.8-0</f>
        <v>1153.8</v>
      </c>
      <c r="H337" s="3">
        <f>1267.1+(1121-895.6)+(-2.584884+(-2.28684--1.827024))+0-413.4--0.843335999999982</f>
        <v>1076.8986359999999</v>
      </c>
      <c r="I337" s="3">
        <f>1294.6+(1213.1-996.2)+(3.30123+(3.093405-2.54031))+0-410.6-1.04702999999994</f>
        <v>1103.7072949999999</v>
      </c>
      <c r="J337" s="3">
        <f>1294+(1176.1-958.3)+(0+(0-0))+0-421-0</f>
        <v>1090.8</v>
      </c>
      <c r="K337" s="3">
        <f>1294.6+(1070.6-833.6)+(1.320492+(1.092012-0.850272))+0-418.6-0.426972000000067</f>
        <v>1114.1352599999998</v>
      </c>
      <c r="L337" s="3">
        <f>1294.4+(938.4-715.2)+(1.320288+(0.957168-0.729504))+0-394.4-0.402288000000063</f>
        <v>1124.3456639999997</v>
      </c>
      <c r="M337" s="3">
        <f>1293.9+(984.1-789)+(1.319778+(1.003782-0.80478))+0-410.6-0.418812000000066</f>
        <v>1079.4999679999999</v>
      </c>
      <c r="N337" s="3">
        <f>1294.6+(1276.6-893)+(1.980738+(1.953198-1.36629))+0-387.2-0.592416000000022</f>
        <v>1292.9752299999998</v>
      </c>
      <c r="O337" s="3">
        <f>1332.9+(1662.9-1290)+(-1.359558+(-1.696158--1.3158))+0-388.1--0.395862000000062</f>
        <v>1316.3559460000004</v>
      </c>
      <c r="P337" s="3">
        <f>1431.1+(1817.2-1451.8)+(-2.189583+(-2.780316--2.221254))+0-342.2--0.52356600000002</f>
        <v>1452.0749210000001</v>
      </c>
      <c r="Q337" s="3">
        <f>1554.3+(1561.2-1316.5)+(-5.548851+(-5.573484--4.699905))+0-385.4--1.37587800000001</f>
        <v>1408.5534479999999</v>
      </c>
      <c r="R337" s="3">
        <f>1594.6+(1185.9-1057.3)+(-3.252984+(-2.419236--2.156892))+0-393.8--0.803351999999983</f>
        <v>1326.688024</v>
      </c>
      <c r="S337" s="3">
        <f>1596.6+(1008-945.3)+(-3.257064+(-2.05632--1.928412))+0-391.1--0.797843999999983</f>
        <v>1265.6128719999999</v>
      </c>
      <c r="T337" s="3">
        <f>1597.2+(1089.6-951.6)+(-0.814572+(-0.555696--0.485316))+0-393.4--0.20063399999996</f>
        <v>1341.1156819999999</v>
      </c>
      <c r="U337" s="3">
        <f>1599.3+(1004-884.2)+(2.446929+(1.53612-1.352826))+0-384.6-0.588438000000022</f>
        <v>1336.5417849999997</v>
      </c>
      <c r="V337" s="3">
        <f>1597.7+(1032.5-955.4)+(0+(0-0))+0-385.8-0</f>
        <v>1289.0000000000002</v>
      </c>
      <c r="W337" s="3">
        <f>1642.1+(1324.8-1168.5)+(0+(0-0))+0-383.3-0</f>
        <v>1415.1</v>
      </c>
      <c r="X337" s="3">
        <f>1666.9+(1839.7-1552.5)+(-2.550357+(-2.814741--2.375325))+0-406.2--0.621486000000023</f>
        <v>1545.5317130000001</v>
      </c>
      <c r="Y337" s="3">
        <f>1667.7+(1537.2-1274.9)+(-3.402108+(-3.135888--2.600796))+0-395--0.805799999999983</f>
        <v>1531.8686</v>
      </c>
      <c r="Z337" s="3">
        <f>1666.4+(1499.4-1293.4)+(-1.699728+(-1.529388--1.319268))+0-358.7--0.365874000000057</f>
        <v>1512.1560260000001</v>
      </c>
      <c r="AA337" s="3">
        <f>1666.6+(1417.5-1220.7)+(0.849966+(0.722925-0.622557))+0-397.6-0.20277599999996</f>
        <v>1466.547558</v>
      </c>
      <c r="AB337" s="3">
        <f>1657.7+(1126.3-1045.2)+(-4.227135+(-2.872065--2.66526))+0-351.4--0.896069999999949</f>
        <v>1383.8621300000002</v>
      </c>
      <c r="AC337" s="3">
        <f>1451.5+(1158-984)+(0.740265+(0.59058-0.50184))+0-392.8-0.20032799999996</f>
        <v>1233.3286770000002</v>
      </c>
      <c r="AD337">
        <f t="shared" si="5"/>
        <v>31064.884376000002</v>
      </c>
      <c r="AE337" s="3">
        <f>1665+(1829.8-1589.4)+(0+(0-0))+0-387.5-0</f>
        <v>1517.8999999999999</v>
      </c>
    </row>
    <row r="338" spans="1:31" s="2" customFormat="1" x14ac:dyDescent="0.25">
      <c r="A338">
        <v>89</v>
      </c>
      <c r="B338">
        <v>12</v>
      </c>
      <c r="C338">
        <v>2</v>
      </c>
      <c r="D338">
        <v>3</v>
      </c>
      <c r="E338">
        <v>1</v>
      </c>
      <c r="F338" s="3">
        <f>1293.7+(1369.9-1034.7)+(-2.639148+(-2.794596--2.110788))+0-401.2--0.818447999999982</f>
        <v>1225.1954920000001</v>
      </c>
      <c r="G338" s="3">
        <f>1290.4+(1209.2-994.5)+(-2.632416+(-2.466768--2.02878))+0-404.2--0.824567999999982</f>
        <v>1098.654164</v>
      </c>
      <c r="H338" s="3">
        <f>1295.3+(1253-1014.7)+(0.660603+(0.63903-0.517497))+0-406.9-0.207518999999959</f>
        <v>1127.274617</v>
      </c>
      <c r="I338" s="3">
        <f>1297.1+(1157.9-977.2)+(2.646084+(2.362116-1.993488))+0-405.5-0.827219999999982</f>
        <v>1074.487492</v>
      </c>
      <c r="J338" s="3">
        <f>1294.4+(1187.9-986.7)+(-0.660144+(-0.605829--0.503217))+0-408.4--0.208283999999959</f>
        <v>1086.6455280000002</v>
      </c>
      <c r="K338" s="3">
        <f>1294.8+(1136.3-922.7)+(0+(0-0))+0-409.3-0</f>
        <v>1099.0999999999999</v>
      </c>
      <c r="L338" s="3">
        <f>1290.7+(982-823.8)+(-2.633028+(-2.00328--1.680552))+0-378--0.771119999999983</f>
        <v>1068.7153639999999</v>
      </c>
      <c r="M338" s="3">
        <f>1292.3+(1032.3-771.2)+(-1.977219+(-1.579419--1.179936))+0-426.8--0.653004000000025</f>
        <v>1124.8763019999999</v>
      </c>
      <c r="N338" s="3">
        <f>1296+(678.3-488.1)+(1.98288+(1.037799-0.746793))+0-430-0.657900000000025</f>
        <v>1057.8159859999998</v>
      </c>
      <c r="O338" s="3">
        <f>1295.4+(1159.7-820)+(0.660654+(0.591447-0.4182))+0-431.7-0.220166999999956</f>
        <v>1204.0137340000001</v>
      </c>
      <c r="P338" s="3">
        <f>1345.7+(1404.2-1036.3)+(-1.372614+(-1.432284--1.057026))+0-427--0.435540000000068</f>
        <v>1285.2876680000004</v>
      </c>
      <c r="Q338" s="3">
        <f>1355.8+(1461.7-1116.7)+(-1.382916+(-1.490934--1.139034))+0-429.4--0.437988000000068</f>
        <v>1270.1031720000001</v>
      </c>
      <c r="R338" s="3">
        <f>1354.8+(1336.2-1014.5)+(-4.145688+(-4.088772--3.10437))+0-416.2--1.27357200000005</f>
        <v>1256.4434819999999</v>
      </c>
      <c r="S338" s="3">
        <f>1354.8+(1205.5-1019.8)+(-1.381896+(-1.22961--1.040196))+0-411.8--0.420036000000066</f>
        <v>1127.548726</v>
      </c>
      <c r="T338" s="3">
        <f>1357.1+(1304.3-1049.7)+(1.384242+(1.330386-1.070694))+0-425.9-0.434418000000068</f>
        <v>1187.0095159999998</v>
      </c>
      <c r="U338" s="3">
        <f>1351.9+(1208.3-919.6)+(-2.757876+(-2.464932--1.875984))+0-437.7--0.892907999999981</f>
        <v>1200.4460839999999</v>
      </c>
      <c r="V338" s="3">
        <f>1366.2+(1215.6-931.1)+(1.393524+(1.239912-0.949722))+0-419.3-0.427686000000067</f>
        <v>1232.6560279999999</v>
      </c>
      <c r="W338" s="3">
        <f>1576.9+(1171.1-1081.1)+(-1.608438+(-1.194522--1.102722))+0-428.2--0.436764000000068</f>
        <v>1237.4365260000002</v>
      </c>
      <c r="X338" s="3">
        <f>1665.2+(1443.7-1249.3)+(-0.849252+(-0.736287--0.637143))+0-399.4--0.203693999999959</f>
        <v>1459.4552980000001</v>
      </c>
      <c r="Y338" s="3">
        <f>1669.6+(1371.2-1112.9)+(-1.702992+(-1.398624--1.135158))+0-432.9--0.441558000000069</f>
        <v>1493.4750999999997</v>
      </c>
      <c r="Z338" s="3">
        <f>1653.8+(1096.5-887.3)+(-0.843438+(-0.559215--0.452523))+0-432.7--0.220676999999956</f>
        <v>1429.570547</v>
      </c>
      <c r="AA338" s="3">
        <f>1584.5+(1109.6-854.1)+(-0.808095+(-0.565896--0.435591))+0-432.2--0.220421999999956</f>
        <v>1407.0820219999998</v>
      </c>
      <c r="AB338" s="3">
        <f>1484.9+(1196.1-859.5)+(-3.029196+(-2.440044--1.75338))+0-433--0.883319999999981</f>
        <v>1385.6674599999999</v>
      </c>
      <c r="AC338" s="3">
        <f>1306.1+(1125.7-736)+(0+(0-0))+0-427-0</f>
        <v>1268.8</v>
      </c>
      <c r="AD338">
        <f t="shared" si="5"/>
        <v>29407.760308000001</v>
      </c>
      <c r="AE338" s="3">
        <f>1668+(1431.2-1233.4)+(0+(0-0))+0-400.2-0</f>
        <v>1465.6</v>
      </c>
    </row>
    <row r="339" spans="1:31" s="2" customFormat="1" x14ac:dyDescent="0.25">
      <c r="A339">
        <v>89</v>
      </c>
      <c r="B339">
        <v>12</v>
      </c>
      <c r="C339">
        <v>3</v>
      </c>
      <c r="D339">
        <v>4</v>
      </c>
      <c r="E339">
        <v>1</v>
      </c>
      <c r="F339" s="3">
        <f>1294+(998.8-645.5)+(-1.31988+(-1.018776--0.65841))+0-442.2--0.451044000000071</f>
        <v>1203.8707980000001</v>
      </c>
      <c r="G339" s="3">
        <f>1295.4+(886.5-684.8)+(0+(0-0))+0-440.1-0</f>
        <v>1057</v>
      </c>
      <c r="H339" s="3">
        <f>1294.7+(993-756.5)+(0+(0-0))+0-408.8-0</f>
        <v>1122.4000000000001</v>
      </c>
      <c r="I339" s="3">
        <f>1293.5+(988.1-761.7)+(-1.979055+(-1.511793--1.165401))+0-393.6--0.602208000000023</f>
        <v>1124.576761</v>
      </c>
      <c r="J339" s="3">
        <f>1294.6+(977.3-759.7)+(-2.640984+(-1.993692--1.549788))+0-433.3--0.883931999999981</f>
        <v>1076.6990439999997</v>
      </c>
      <c r="K339" s="3">
        <f>1296+(881.5-669.6)+(1.32192+(0.89913-0.682992))+0-429.2-0.437784000000068</f>
        <v>1079.8002740000002</v>
      </c>
      <c r="L339" s="3">
        <f>1294.8+(1065.4-840.6)+(-1.320696+(-1.086708--0.857412))+0-438.7--0.44747400000007</f>
        <v>1079.7974819999999</v>
      </c>
      <c r="M339" s="3">
        <f>1345.6+(932.5-694.9)+(-2.058768+(-1.426725--1.063197))+0-434.4--0.664632000000025</f>
        <v>1147.042336</v>
      </c>
      <c r="N339" s="3">
        <f>1420.8+(939.9-733.1)+(0+(0-0))+0-394-0</f>
        <v>1233.5999999999999</v>
      </c>
      <c r="O339" s="3">
        <f>1420.6+(1266-1029.7)+(-1.449012+(-1.29132--1.050294))+0-411.2--0.419424000000066</f>
        <v>1244.429386</v>
      </c>
      <c r="P339" s="3">
        <f>1487.3+(1542.5-1292.6)+(-3.792615+(-3.933375--3.29613))+0-410.6--1.04702999999994</f>
        <v>1323.2171700000001</v>
      </c>
      <c r="Q339" s="3">
        <f>1646.3+(1498.7-1389.3)+(-1.679226+(-1.528674--1.417086))+0-419.1--0.427482000000067</f>
        <v>1335.236668</v>
      </c>
      <c r="R339" s="3">
        <f>1653.3+(1384.9-1223.6)+(-4.215915+(-3.531495--3.12018))+0-423.8--1.08068999999994</f>
        <v>1387.2534600000001</v>
      </c>
      <c r="S339" s="3">
        <f>1653.3+(1113.3-963.6)+(0+(0-0))+0-401.8-0</f>
        <v>1401.2</v>
      </c>
      <c r="T339" s="3">
        <f>1655.4+(928.3-804.9)+(0.844254+(0.473433-0.410499))+0-397-0.20246999999996</f>
        <v>1382.5047180000001</v>
      </c>
      <c r="U339" s="3">
        <f>1654.1+(825.6-697.5)+(0+(0-0))+0-434.4-0</f>
        <v>1347.7999999999997</v>
      </c>
      <c r="V339" s="3">
        <f>1656.7+(752.8-685.7)+(0+(0-0))+0-433.3-0</f>
        <v>1290.5</v>
      </c>
      <c r="W339" s="3">
        <f>1655.1+(770.4-791)+(-0.844101+(-0.392904--0.40341))+0-423.3--0.215882999999957</f>
        <v>1210.5822879999998</v>
      </c>
      <c r="X339" s="3">
        <f>1669.8+(1377.1-1155.5)+(-0.851598+(-0.702321--0.589305))+0-419.5--0.213944999999957</f>
        <v>1471.1493309999998</v>
      </c>
      <c r="Y339" s="3">
        <f>1692.9+(1365.7-1120.3)+(-2.590137+(-2.089521--1.714059))+0-395.4--0.604962000000023</f>
        <v>1540.5393630000001</v>
      </c>
      <c r="Z339" s="3">
        <f>1705.6+(1167.8-929.7)+(-1.739712+(-1.191156--0.948294))+0-434.2--0.442884000000069</f>
        <v>1507.9603099999997</v>
      </c>
      <c r="AA339" s="3">
        <f>1715.8+(1134.9-946.3)+(-5.250348+(-3.472794--2.895678))+0-437.7--1.33936200000005</f>
        <v>1462.211898</v>
      </c>
      <c r="AB339" s="3">
        <f>1617.5+(1125.2-914.6)+(-3.2997+(-2.295408--1.865784))+0-451.8--0.92167199999998</f>
        <v>1373.492348</v>
      </c>
      <c r="AC339" s="3">
        <f>1395.3+(1040.3-682.5)+(-4.269618+(-3.183318--2.08845))+0-442--1.35252000000005</f>
        <v>1307.0880340000001</v>
      </c>
      <c r="AD339">
        <f t="shared" si="5"/>
        <v>30709.951669000002</v>
      </c>
      <c r="AE339" s="3">
        <f>1664+(1410.5-1196.9)+(0+(0-0))+0-420.3-0</f>
        <v>1457.3</v>
      </c>
    </row>
    <row r="340" spans="1:31" s="2" customFormat="1" x14ac:dyDescent="0.25">
      <c r="A340">
        <v>89</v>
      </c>
      <c r="B340">
        <v>12</v>
      </c>
      <c r="C340">
        <v>4</v>
      </c>
      <c r="D340">
        <v>5</v>
      </c>
      <c r="E340">
        <v>1</v>
      </c>
      <c r="F340" s="3">
        <f>1415.9+(960.6-744.2)+(1.444218+(0.979812-0.759084))+0-442.9-0.451758000000071</f>
        <v>1190.6131880000003</v>
      </c>
      <c r="G340" s="3">
        <f>1425.9+(794.6-655.4)+(-2.908836+(-1.620984--1.337016))+0-443.2--0.904127999999981</f>
        <v>1119.611324</v>
      </c>
      <c r="H340" s="3">
        <f>1427.6+(709.7-539.4)+(0.728076+(0.361947-0.275094))+0-441.4-0.225113999999955</f>
        <v>1157.0898150000003</v>
      </c>
      <c r="I340" s="3">
        <f>1437.8+(616.5-514.7)+(-2.933112+(-1.25766--1.049988))+0-440.4--0.898415999999981</f>
        <v>1096.9576320000001</v>
      </c>
      <c r="J340" s="3">
        <f>1442.5+(721.1-625.1)+(-2.207025+(-1.103283--0.956403))+0-438.9--0.671517000000025</f>
        <v>1097.917612</v>
      </c>
      <c r="K340" s="3">
        <f>1448.6+(693.4-592.4)+(0.738786+(0.353634-0.302124))+0-433-0.220829999999956</f>
        <v>1117.1694659999998</v>
      </c>
      <c r="L340" s="3">
        <f>1442.5+(726.6-636.6)+(-2.9427+(-1.482264--1.298664))+0-437.2--0.891887999999981</f>
        <v>1093.0655879999999</v>
      </c>
      <c r="M340" s="3">
        <f>1444.5+(488.2-360.1)+(-1.47339+(-0.497964--0.367302))+0-448.5--0.457470000000071</f>
        <v>1122.9534180000001</v>
      </c>
      <c r="N340" s="3">
        <f>1468.4+(567.8-350.7)+(0+(0-0))+0-447.6-0</f>
        <v>1237.9000000000001</v>
      </c>
      <c r="O340" s="3">
        <f>1687.4+(490.9-439.7)+(-0.860574+(-0.250359--0.224247))+0-409.4--0.208793999999958</f>
        <v>1328.5221079999999</v>
      </c>
      <c r="P340" s="3">
        <f>1848.2+(691.9-821.4)+(-0.942582+(-0.352869--0.418914))+0-438.7--0.223736999999955</f>
        <v>1279.3471999999999</v>
      </c>
      <c r="Q340" s="3">
        <f>1856+(895.7-1005)+(-0.94656+(-0.456807--0.51255))+0-426.6--0.217565999999957</f>
        <v>1319.426749</v>
      </c>
      <c r="R340" s="3">
        <f>1867.1+(878.9-898.3)+(-4.761105+(-2.241195--2.290665))+0-437.9--1.11664499999994</f>
        <v>1406.2050099999999</v>
      </c>
      <c r="S340" s="3">
        <f>1882+(656.8-723.3)+(-0.95982+(-0.334968--0.368883))+0-454.3--0.231692999999954</f>
        <v>1360.5057879999999</v>
      </c>
      <c r="T340" s="3">
        <f>1882.1+(617.7-830.8)+(-4.799355+(-1.575135--2.11854))+0-430.8--1.09853999999994</f>
        <v>1235.04259</v>
      </c>
      <c r="U340" s="3">
        <f>1877.7+(733-924.9)+(-2.872881+(-1.12149--1.415097))+0-438--0.670140000000025</f>
        <v>1245.8908660000002</v>
      </c>
      <c r="V340" s="3">
        <f>1885.4+(826.6-981.3)+(-8.653986+(-3.794094--4.504167))+0-415.3--1.90622700000007</f>
        <v>1309.3623140000004</v>
      </c>
      <c r="W340" s="3">
        <f>1903.5+(873.3-1105.6)+(0+(0-0))+0-417.9-0</f>
        <v>1253.3000000000002</v>
      </c>
      <c r="X340" s="3">
        <f>1902.5+(1367-1442.6)+(-3.8811+(-2.78868--2.942904))+0-435.6--0.888623999999981</f>
        <v>1388.4617479999999</v>
      </c>
      <c r="Y340" s="3">
        <f>1861.3+(1308.2-1311.5)+(0+(0-0))+0-388.6-0</f>
        <v>1469.4</v>
      </c>
      <c r="Z340" s="3">
        <f>1800+(1707-1682.6)+(0+(0-0))+0-429.3-0</f>
        <v>1395.1000000000001</v>
      </c>
      <c r="AA340" s="3">
        <f>1698.8+(1725.5-1553.2)+(-1.732776+(-1.76001--1.584264))+0-440.8--0.44961600000007</f>
        <v>1428.8410940000001</v>
      </c>
      <c r="AB340" s="3">
        <f>1522.6+(1647.4-1267.3)+(-3.106104+(-3.360696--2.585292))+0-437.2--0.891887999999981</f>
        <v>1462.5103799999999</v>
      </c>
      <c r="AC340" s="3">
        <f>1474.7+(1398.2-957.6)+(-6.016776+(-5.704656--3.907008))+0-435--1.77479999999996</f>
        <v>1474.2603760000002</v>
      </c>
      <c r="AD340">
        <f t="shared" si="5"/>
        <v>30589.454266000001</v>
      </c>
      <c r="AE340" s="3">
        <f>1865+(1429.5-1367.1)+(0+(0-0))+0-432.9-0</f>
        <v>1494.5</v>
      </c>
    </row>
    <row r="341" spans="1:31" s="2" customFormat="1" x14ac:dyDescent="0.25">
      <c r="A341">
        <v>89</v>
      </c>
      <c r="B341">
        <v>12</v>
      </c>
      <c r="C341">
        <v>5</v>
      </c>
      <c r="D341">
        <v>6</v>
      </c>
      <c r="E341">
        <v>1</v>
      </c>
      <c r="F341" s="3">
        <f>1470.3+(972.7-794.7)+(-2.249559+(-1.488231--1.215891))+0-441.5--0.675495000000025</f>
        <v>1204.9535959999998</v>
      </c>
      <c r="G341" s="3">
        <f>1473.9+(915.5-787.6)+(1.503378+(0.93381-0.803352))+0-440.5-0.44931000000007</f>
        <v>1162.4845260000002</v>
      </c>
      <c r="H341" s="3">
        <f>1460.7+(820.7-762.6)+(-4.469742+(-2.511342--2.333556))+0-441.6--1.35129600000005</f>
        <v>1073.9037680000004</v>
      </c>
      <c r="I341" s="3">
        <f>1466.2+(783.1-711.9)+(1.495524+(0.798762-0.726138))+0-442.2-0.451044000000071</f>
        <v>1096.317104</v>
      </c>
      <c r="J341" s="3">
        <f>1468.4+(731.5-694.2)+(0.748884+(0.373065-0.354042))+0-441.5-0.225164999999955</f>
        <v>1064.7427419999999</v>
      </c>
      <c r="K341" s="3">
        <f>1472.4+(800.9-695.8)+(4.505544+(2.450754-2.129148))+0-448.3-1.37179800000005</f>
        <v>1132.655352</v>
      </c>
      <c r="L341" s="3">
        <f>1466+(826.4-689.5)+(0+(0-0))+0-426.7-0</f>
        <v>1176.2</v>
      </c>
      <c r="M341" s="3">
        <f>1466.8+(760.6-657.2)+(2.244204+(1.163718-1.005516))+0-440.8-0.674424000000025</f>
        <v>1131.1279819999997</v>
      </c>
      <c r="N341" s="3">
        <f>1518.1+(723.1-726.2)+(0+(0-0))+0-428.3-0</f>
        <v>1086.7</v>
      </c>
      <c r="O341" s="3">
        <f>1591.4+(1061.7-1050.8)+(0+(0-0))+0-409.9-0</f>
        <v>1192.4000000000001</v>
      </c>
      <c r="P341" s="3">
        <f>1732.8+(1386.8-1309)+(0+(0-0))+0-440.6-0</f>
        <v>1370</v>
      </c>
      <c r="Q341" s="3">
        <f>1703.4+(1461.5-1367.1)+(0.868734+(0.745365-0.697221))+0-442.6-0.225725999999955</f>
        <v>1355.8911520000004</v>
      </c>
      <c r="R341" s="3">
        <f>1650.4+(1354.3-1234.8)+(-1.683408+(-1.381386--1.259496))+0-432.9--0.441558000000069</f>
        <v>1335.6362600000002</v>
      </c>
      <c r="S341" s="3">
        <f>1563.4+(1138-966.4)+(-1.594668+(-1.16076--0.985728))+0-446.9--0.455838000000071</f>
        <v>1286.7861380000002</v>
      </c>
      <c r="T341" s="3">
        <f>1380.4+(1201.2-936)+(-0.704004+(-0.612612--0.47736))+0-392.7--0.20027699999996</f>
        <v>1252.261021</v>
      </c>
      <c r="U341" s="3">
        <f>1346.1+(1145-851.5)+(-1.373022+(-1.1679--0.86853))+0-436.4--0.44512800000007</f>
        <v>1201.9727359999999</v>
      </c>
      <c r="V341" s="3">
        <f>1342+(1152-833.3)+(-4.79094+(-4.11264--2.974881))+0-442--1.57794000000001</f>
        <v>1214.3492409999999</v>
      </c>
      <c r="W341" s="3">
        <f>1347.9+(1163.7-958.1)+(-0.687429+(-0.593487--0.488631))+0-390.6--0.19920599999996</f>
        <v>1162.3069210000001</v>
      </c>
      <c r="X341" s="3">
        <f>1494.9+(1621.4-1364.3)+(-2.287197+(-2.480742--2.087379))+0-425.1--0.650403000000025</f>
        <v>1324.8698430000004</v>
      </c>
      <c r="Y341" s="3">
        <f>1517.3+(2025.4-1764.7)+(-1.547646+(-2.065908--1.799994))+0-423.6--0.432072000000068</f>
        <v>1353.0185120000001</v>
      </c>
      <c r="Z341" s="3">
        <f>1515.8+(2184.2-1802)+(-2.319174+(-3.341826--2.75706))+0-411.7--0.629901000000024</f>
        <v>1484.0259609999998</v>
      </c>
      <c r="AA341" s="3">
        <f>1516.7+(2125.8-1805.6)+(0+(0-0))+0-385.8-0</f>
        <v>1451.1000000000004</v>
      </c>
      <c r="AB341" s="3">
        <f>1469.4+(1981.6-1584.3)+(-2.997576+(-4.042464--3.231972))+0-381.1--0.777443999999983</f>
        <v>1482.5693760000001</v>
      </c>
      <c r="AC341" s="3">
        <f>1460.7+(1576.7-1175.4)+(-3.724785+(-4.020585--2.99727))+0-388.5--0.990674999999944</f>
        <v>1469.742575</v>
      </c>
      <c r="AD341">
        <f t="shared" si="5"/>
        <v>30066.014805999996</v>
      </c>
      <c r="AE341" s="3">
        <f>1522+(1716.2-1419.5)+(0+(0-0))+0-430.3-0</f>
        <v>1388.4</v>
      </c>
    </row>
    <row r="342" spans="1:31" s="2" customFormat="1" x14ac:dyDescent="0.25">
      <c r="A342">
        <v>89</v>
      </c>
      <c r="B342">
        <v>12</v>
      </c>
      <c r="C342">
        <v>6</v>
      </c>
      <c r="D342">
        <v>7</v>
      </c>
      <c r="E342">
        <v>1</v>
      </c>
      <c r="F342" s="3">
        <f>1456.5+(940.6-780.1)+(-1.48563+(-0.959412--0.795702))+0-388.1--0.395862000000062</f>
        <v>1227.6465220000002</v>
      </c>
      <c r="G342" s="3">
        <f>1345.6+(921.1-774.9)+(-0.686256+(-0.469761--0.395199))+0-382.6--0.195125999999961</f>
        <v>1108.6343080000001</v>
      </c>
      <c r="H342" s="3">
        <f>1149.1+(962.2-698.1)+(0+(0-0))+0-392-0</f>
        <v>1021.1999999999998</v>
      </c>
      <c r="I342" s="3">
        <f>1141.4+(943.9-676.4)+(1.746342+(1.444167-1.034892))+0-383-0.585990000000022</f>
        <v>1027.4696269999999</v>
      </c>
      <c r="J342" s="3">
        <f>1138.3+(919.8-660.4)+(-2.902665+(-2.34549--1.68402))+0-392.2--1.00010999999994</f>
        <v>1002.9359749999996</v>
      </c>
      <c r="K342" s="3">
        <f>1141.2+(919.6-653.1)+(1.746036+(1.406988-0.999243))+0-390.2-0.597006000000023</f>
        <v>1019.0567749999999</v>
      </c>
      <c r="L342" s="3">
        <f>1140.9+(923.8-686)+(-1.163718+(-0.942276--0.69972))+0-388.1--0.395862000000062</f>
        <v>989.58958800000016</v>
      </c>
      <c r="M342" s="3">
        <f>1133.7+(976.7-708)+(0.578187+(0.498117-0.36108))+0-391.9-0.19986899999996</f>
        <v>1011.0153550000002</v>
      </c>
      <c r="N342" s="3">
        <f>1080.5+(1045.8-731.1)+(-1.10211+(-1.066716--0.745722))+0-391.9--0.399738000000062</f>
        <v>1002.2766339999999</v>
      </c>
      <c r="O342" s="3">
        <f>1054.8+(1054.4-679.3)+(0.537948+(0.537744-0.346443))+0-397.1-0.20252099999996</f>
        <v>1033.3267280000002</v>
      </c>
      <c r="P342" s="3">
        <f>1109.1+(1060.3-655.5)+(1.131282+(1.081506-0.66861))+0-395.3-0.403206000000063</f>
        <v>1119.7409720000001</v>
      </c>
      <c r="Q342" s="3">
        <f>1107.1+(1053.6-650.7)+(-2.258484+(-2.149344--1.327428))+0-394.1--0.803963999999983</f>
        <v>1113.6235639999998</v>
      </c>
      <c r="R342" s="3">
        <f>1109.1+(1009-651.7)+(-0.565641+(-0.51459--0.332367))+0-388.9--0.198338999999961</f>
        <v>1076.9504750000001</v>
      </c>
      <c r="S342" s="3">
        <f>1160.8+(987.6-725.9)+(-3.552048+(-3.022056--2.221254))+0-377.9--1.15637400000004</f>
        <v>1041.4035240000003</v>
      </c>
      <c r="T342" s="3">
        <f>1222.1+(960.5-721)+(-1.246542+(-0.97971--0.73542))+0-377.7--0.38525400000006</f>
        <v>1082.7944219999999</v>
      </c>
      <c r="U342" s="3">
        <f>1272.4+(826.3-700.1)+(-3.893544+(-2.528478--2.142306))+0-382.5--1.17045000000004</f>
        <v>1012.990734</v>
      </c>
      <c r="V342" s="3">
        <f>1316.6+(813.8-695.5)+(-1.342932+(-0.830076--0.70941))+0-382.6--0.390252000000061</f>
        <v>1051.2266540000001</v>
      </c>
      <c r="W342" s="3">
        <f>1500.3+(679.8-798.2)+(-0.765153+(-0.346698--0.407082))+0-379.5--0.193544999999961</f>
        <v>1001.8887759999999</v>
      </c>
      <c r="X342" s="3">
        <f>1551+(1268.4-1187.4)+(-2.37303+(-1.940652--1.816722))+0-379.5--0.580635000000022</f>
        <v>1250.5836750000001</v>
      </c>
      <c r="Y342" s="3">
        <f>1551.9+(1544.9-1334.9)+(0.791469+(0.787899-0.680799))+0-381.2-0.194411999999961</f>
        <v>1381.4041569999999</v>
      </c>
      <c r="Z342" s="3">
        <f>1551.8+(1400.5-1196.9)+(-2.374254+(-2.142765--1.831257))+0-384.3--0.587979000000022</f>
        <v>1369.002217</v>
      </c>
      <c r="AA342" s="3">
        <f>1552.7+(1329.8-1082.3)+(0.791877+(0.678198-0.551973))+0-391-0.19940999999996</f>
        <v>1409.9186920000002</v>
      </c>
      <c r="AB342" s="3">
        <f>1549.4+(1106.7-845.5)+(-1.580388+(-1.128834--0.86241))+0-392.8--0.400656000000063</f>
        <v>1416.3538440000002</v>
      </c>
      <c r="AC342" s="3">
        <f>1503.4+(949.3-789.3)+(-3.066936+(-1.936572--1.610172))+0-389--0.793559999999983</f>
        <v>1271.8002240000001</v>
      </c>
      <c r="AD342">
        <f t="shared" si="5"/>
        <v>27042.833442000003</v>
      </c>
      <c r="AE342" s="3">
        <f>1550+(1566.1-1349.8)+(0+(0-0))+0-381-0</f>
        <v>1385.3</v>
      </c>
    </row>
    <row r="343" spans="1:31" s="2" customFormat="1" x14ac:dyDescent="0.25">
      <c r="A343">
        <v>89</v>
      </c>
      <c r="B343">
        <v>12</v>
      </c>
      <c r="C343">
        <v>7</v>
      </c>
      <c r="D343">
        <v>1</v>
      </c>
      <c r="E343">
        <v>1</v>
      </c>
      <c r="F343" s="3">
        <f>1362.1+(861.8-749.5)+(-1.389342+(-0.879036--0.76449))+0-394.6--0.402492000000063</f>
        <v>1078.6986040000002</v>
      </c>
      <c r="G343" s="3">
        <f>1192.9+(941.3-677.2)+(-1.216758+(-0.960126--0.690744))+0-397.4--0.405348000000063</f>
        <v>1058.5192079999999</v>
      </c>
      <c r="H343" s="3">
        <f>1188.1+(869.8-645.5)+(2.423724+(1.774392-1.31682))+0-395.8-0.807431999999983</f>
        <v>1018.673864</v>
      </c>
      <c r="I343" s="3">
        <f>1183+(917.8-639.8)+(-1.20666+(-0.936156--0.652596))+0-394.7--0.402594000000063</f>
        <v>1065.2123740000002</v>
      </c>
      <c r="J343" s="3">
        <f>1189.3+(883.3-597.7)+(3.639258+(2.702898-1.828962))+0-393.9-1.20533400000005</f>
        <v>1084.3078600000001</v>
      </c>
      <c r="K343" s="3">
        <f>1182.2+(937.9-603.8)+(0.602922+(0.478329-0.307938))+0-392.9-0.20037899999996</f>
        <v>1123.9729340000004</v>
      </c>
      <c r="L343" s="3">
        <f>1164.9+(954.6-697.7)+(1.782297+(1.460538-1.067481))+0-391.4-0.598842000000023</f>
        <v>1031.976512</v>
      </c>
      <c r="M343" s="3">
        <f>1177.6+(965.8-744.3)+(3.00288+(2.46279-1.897965))+0-392.5-1.00087499999994</f>
        <v>1009.1668299999999</v>
      </c>
      <c r="N343" s="3">
        <f>1339.4+(794.2-684.9)+(0.683094+(0.405042-0.349299))+0-392.7-0.20027699999996</f>
        <v>1056.5385600000004</v>
      </c>
      <c r="O343" s="3">
        <f>1514+(969.7-959.4)+(0.77214+(0.494547-0.489294))+0-393.1-0.20048099999996</f>
        <v>1131.7769120000003</v>
      </c>
      <c r="P343" s="3">
        <f>1521.7+(1150.5-911.9)+(2.328201+(1.760265-1.395207))+0-391.1-0.598383000000023</f>
        <v>1371.2948759999999</v>
      </c>
      <c r="Q343" s="3">
        <f>1532.9+(1059.6-810.5)+(-0.781779+(-0.540396--0.413355))+0-389.1--0.198440999999961</f>
        <v>1392.189621</v>
      </c>
      <c r="R343" s="3">
        <f>1538.2+(751.1-578.2)+(-0.784482+(-0.383061--0.294882))+0-391.9--0.19986899999996</f>
        <v>1318.527208</v>
      </c>
      <c r="S343" s="3">
        <f>1538.6+(698.2-496)+(-2.354058+(-1.068246--0.75888))+0-390.7--0.597771000000023</f>
        <v>1348.0343469999998</v>
      </c>
      <c r="T343" s="3">
        <f>1542+(546.1-365.8)+(0+(0-0))+0-390-0</f>
        <v>1332.3</v>
      </c>
      <c r="U343" s="3">
        <f>1582.8+(437.1-352.8)+(-1.614456+(-0.445842--0.359856))+0-372--0.379440000000059</f>
        <v>1293.778998</v>
      </c>
      <c r="V343" s="3">
        <f>1607.4+(376.6-316.3)+(0+(0-0))+0-381-0</f>
        <v>1286.7</v>
      </c>
      <c r="W343" s="3">
        <f>1644.2+(399.6-423)+(-3.354168+(-0.815184--0.86292))+0-369.2--0.753167999999984</f>
        <v>1249.046736</v>
      </c>
      <c r="X343" s="3">
        <f>1654.3+(934.1-859.6)+(-4.218465+(-2.381955--2.19198))+0-354.7--0.904484999999948</f>
        <v>1370.596045</v>
      </c>
      <c r="Y343" s="3">
        <f>1653.4+(1096.3-884.8)+(-2.529702+(-1.677339--1.353744))+0-351.8--0.53825400000002</f>
        <v>1510.7849570000001</v>
      </c>
      <c r="Z343" s="3">
        <f>1652.7+(1158.3-981.4)+(-0.842877+(-0.590733--0.500514))+0-354.3--0.180692999999964</f>
        <v>1474.547597</v>
      </c>
      <c r="AA343" s="3">
        <f>1633.5+(1071-894.2)+(-1.66617+(-1.09242--0.912084))+0-362.5--0.369750000000058</f>
        <v>1446.3232439999999</v>
      </c>
      <c r="AB343" s="3">
        <f>1530.4+(982.6-771.4)+(-3.90252+(-2.50563--1.96707))+0-362.2--0.923609999999947</f>
        <v>1375.8825300000001</v>
      </c>
      <c r="AC343" s="3">
        <f>1376.9+(979.6-775.5)+(-2.808876+(-1.998384--1.58202))+0-369.2--0.753167999999984</f>
        <v>1209.3279279999999</v>
      </c>
      <c r="AD343">
        <f t="shared" si="5"/>
        <v>29638.177744999997</v>
      </c>
      <c r="AE343" s="3">
        <f>1647+(1137.7-925.2)+(0+(0-0))+0-349.3-0</f>
        <v>1510.2</v>
      </c>
    </row>
    <row r="344" spans="1:31" s="2" customFormat="1" x14ac:dyDescent="0.25">
      <c r="A344">
        <v>89</v>
      </c>
      <c r="B344">
        <v>12</v>
      </c>
      <c r="C344">
        <v>8</v>
      </c>
      <c r="D344">
        <v>2</v>
      </c>
      <c r="E344">
        <v>1</v>
      </c>
      <c r="F344" s="3">
        <f>1251+(972.7-734.6)+(-0.63801+(-0.496077--0.374646))+0-369.6--0.188495999999963</f>
        <v>1118.9290549999998</v>
      </c>
      <c r="G344" s="3">
        <f>1144+(962.3-628.6)+(0+(0-0))+0-378-0</f>
        <v>1099.6999999999998</v>
      </c>
      <c r="H344" s="3">
        <f>1141.6+(902.5-576.8)+(-1.746648+(-1.380825--0.882504))+0-380.3--0.581859000000022</f>
        <v>1085.33689</v>
      </c>
      <c r="I344" s="3">
        <f>1140.4+(855.6-493.2)+(-1.744812+(-1.309068--0.754596))+0-379.5--0.580635000000022</f>
        <v>1121.5813510000003</v>
      </c>
      <c r="J344" s="3">
        <f>1142.4+(823.3-480.7)+(-0.582624+(-0.419883--0.245157))+0-382.4--0.195023999999961</f>
        <v>1102.0376739999999</v>
      </c>
      <c r="K344" s="3">
        <f>1143.2+(830.8-525.5)+(0.583032+(0.423708-0.268005))+0-381.5-0.194564999999961</f>
        <v>1067.5441699999999</v>
      </c>
      <c r="L344" s="3">
        <f>1276.1+(919.5-614.9)+(-1.301622+(-0.93789--0.627198))+0-379.9--0.387498000000061</f>
        <v>1199.5751839999998</v>
      </c>
      <c r="M344" s="3">
        <f>1277.3+(934-612.9)+(-0.651423+(-0.47634--0.312579))+0-379.3--0.193442999999962</f>
        <v>1218.478259</v>
      </c>
      <c r="N344" s="3">
        <f>1273+(918.2-603.9)+(-1.29846+(-0.936564--0.615978))+0-377.6--0.38515200000006</f>
        <v>1208.4661060000001</v>
      </c>
      <c r="O344" s="3">
        <f>1316.6+(1067.3-728.2)+(1.342932+(1.088646-0.742764))+0-387-0.394740000000062</f>
        <v>1269.994074</v>
      </c>
      <c r="P344" s="3">
        <f>1487.8+(1054.4-823.8)+(-3.035112+(-2.150976--1.680552))+0-382.1--0.779483999999983</f>
        <v>1333.573948</v>
      </c>
      <c r="Q344" s="3">
        <f>1398.1+(1169-823.5)+(-2.139093+(-1.78857--1.259955))+0-385.8--0.590274000000022</f>
        <v>1355.7225659999999</v>
      </c>
      <c r="R344" s="3">
        <f>1411.5+(1026.4-703.6)+(-4.31919+(-3.140784--2.153016))+0-387.8--1.18666800000004</f>
        <v>1342.3797100000004</v>
      </c>
      <c r="S344" s="3">
        <f>1484+(895.9-596.7)+(-2.27052+(-1.370727--0.912951))+0-400.5--0.612765000000023</f>
        <v>1380.5844689999999</v>
      </c>
      <c r="T344" s="3">
        <f>1522.8+(759.2-667.3)+(-2.329884+(-1.161576--1.020969))+0-386.2--0.590886000000022</f>
        <v>1226.6203949999999</v>
      </c>
      <c r="U344" s="3">
        <f>1520.4+(794.2-645.5)+(-1.550808+(-0.810084--0.65841))+0-372.7--0.380154000000059</f>
        <v>1295.0776720000001</v>
      </c>
      <c r="V344" s="3">
        <f>1522.3+(793.7-670.1)+(-4.658238+(-2.428722--2.050506))+0-373.1--1.14168600000004</f>
        <v>1268.9052320000001</v>
      </c>
      <c r="W344" s="3">
        <f>1546.8+(861.7-805.2)+(-2.366604+(-1.318401--1.231956))+0-369.7--0.565641000000021</f>
        <v>1231.7125919999999</v>
      </c>
      <c r="X344" s="3">
        <f>1630.9+(1494.4-1417)+(-1.663518+(-1.524288--1.44534))+0-370.7--0.378114000000059</f>
        <v>1336.2356480000003</v>
      </c>
      <c r="Y344" s="3">
        <f>1667.1+(1841.4-1619.3)+(-5.101326+(-5.634684--4.955058))+0-369.7--1.13128200000004</f>
        <v>1514.85033</v>
      </c>
      <c r="Z344" s="3">
        <f>1591.7+(1742.3-1480.4)+(-1.623534+(-1.777146--1.510008))+0-372.9--0.380358000000059</f>
        <v>1479.1896859999999</v>
      </c>
      <c r="AA344" s="3">
        <f>1509+(1627.5-1284.2)+(-2.30877+(-2.490075--1.964826))+0-376.5--0.576045000000022</f>
        <v>1473.5420260000001</v>
      </c>
      <c r="AB344" s="3">
        <f>1426.3+(1595-1210.5)+(-3.637065+(-4.06725--3.086775))+0-421.1--1.07380499999994</f>
        <v>1386.1562650000001</v>
      </c>
      <c r="AC344" s="3">
        <f>1315.8+(1389-1032.5)+(-3.35529+(-3.54195--2.632875))+0-381.1--0.971804999999945</f>
        <v>1287.9074399999997</v>
      </c>
      <c r="AD344">
        <f t="shared" si="5"/>
        <v>30404.100742000002</v>
      </c>
      <c r="AE344" s="3">
        <f>1651+(1765.5-1534.2)+(0+(0-0))+0-370.7-0</f>
        <v>1511.6</v>
      </c>
    </row>
    <row r="345" spans="1:31" s="2" customFormat="1" x14ac:dyDescent="0.25">
      <c r="A345">
        <v>89</v>
      </c>
      <c r="B345">
        <v>12</v>
      </c>
      <c r="C345">
        <v>9</v>
      </c>
      <c r="D345">
        <v>3</v>
      </c>
      <c r="E345">
        <v>1</v>
      </c>
      <c r="F345" s="3">
        <f>1284+(1085.9-801.6)+(0+(0-0))+0-418.5-0</f>
        <v>1149.8000000000002</v>
      </c>
      <c r="G345" s="3">
        <f>1284.6+(867.2-684.2)+(0+(0-0))+0-430.4-0</f>
        <v>1037.1999999999998</v>
      </c>
      <c r="H345" s="3">
        <f>1282.5+(768.6-593)+(0+(0-0))+0-408.6-0</f>
        <v>1049.5</v>
      </c>
      <c r="I345" s="3">
        <f>1286.2+(768.4-565.6)+(0+(0-0))+0-421.2-0</f>
        <v>1067.8</v>
      </c>
      <c r="J345" s="3">
        <f>1284.3+(754.3-579.2)+(0+(0-0))+0-421.1-0</f>
        <v>1038.2999999999997</v>
      </c>
      <c r="K345" s="3">
        <f>1282+(800.5-608.7)+(0+(0-0))+0-414.8-0</f>
        <v>1059</v>
      </c>
      <c r="L345" s="3">
        <f>1285.7+(862.6-668.1)+(0+(0-0))+0-391.2-0</f>
        <v>1089</v>
      </c>
      <c r="M345" s="3">
        <f>1284.9+(976.3-714.3)+(0+(0-0))+0-406.4-0</f>
        <v>1140.5</v>
      </c>
      <c r="N345" s="3">
        <f>1294.8+(784.4-482.9)+(0+(0-0))+0-397.1-0</f>
        <v>1199.1999999999998</v>
      </c>
      <c r="O345" s="3">
        <f>1458+(734.3-570.9)+(0+(0-0))+0-366.9-0</f>
        <v>1254.5</v>
      </c>
      <c r="P345" s="3">
        <f>1633.6+(761.7-711.2)+(-1.666272+(-0.776934--0.725424))+0-358.2--0.365364000000057</f>
        <v>1324.5475819999999</v>
      </c>
      <c r="Q345" s="3">
        <f>1645.6+(820.1-697)+(-2.517768+(-1.254753--1.06641))+0-396.1--0.606033000000023</f>
        <v>1370.499922</v>
      </c>
      <c r="R345" s="3">
        <f>1643.6+(553.4-489.2)+(-3.352944+(-1.128936--0.997968))+0-355.5--0.725219999999984</f>
        <v>1349.5413080000001</v>
      </c>
      <c r="S345" s="3">
        <f>1644.8+(459.1-449.2)+(-3.355392+(-0.936564--0.916368))+0-353.5--0.721139999999985</f>
        <v>1298.5455519999998</v>
      </c>
      <c r="T345" s="3">
        <f>1574.5+(490.3-391.7)+(-0.802995+(-0.250053--0.199767))+0-396.2--0.20206199999996</f>
        <v>1276.248781</v>
      </c>
      <c r="U345" s="3">
        <f>1533.9+(492.1-372.4)+(0+(0-0))+0-389.7-0</f>
        <v>1263.9000000000001</v>
      </c>
      <c r="V345" s="3">
        <f>1532+(539.1-437.7)+(-4.68792+(-1.649646--1.339362))+0-354.6--1.08507600000004</f>
        <v>1274.8868720000003</v>
      </c>
      <c r="W345" s="3">
        <f>1592.2+(531-482.8)+(-4.06011+(-1.35405--1.23114))+0-395.6--1.00877999999994</f>
        <v>1241.6257600000001</v>
      </c>
      <c r="X345" s="3">
        <f>1667.5+(1098.9-1028.7)+(-3.4017+(-2.241756--2.098548))+0-401.2--0.818447999999982</f>
        <v>1333.7735399999999</v>
      </c>
      <c r="Y345" s="3">
        <f>1654.7+(1537.6-1310.6)+(-2.531691+(-2.352528--2.005218))+0-409.2--0.626076000000024</f>
        <v>1470.247075</v>
      </c>
      <c r="Z345" s="3">
        <f>1553.5+(2022-1717.5)+(-4.75371+(-6.18732--5.25555))+0-355.3--1.08721800000004</f>
        <v>1498.1017380000001</v>
      </c>
      <c r="AA345" s="3">
        <f>1469.8+(2014.6-1635.5)+(-0.749598+(-1.027446--0.834105))+0-410.4--0.209303999999958</f>
        <v>1437.766365</v>
      </c>
      <c r="AB345" s="3">
        <f>1427.6+(1724-1353.7)+(-2.912304+(-3.51696--2.761548))+0-367.2--0.749087999999984</f>
        <v>1427.7813719999999</v>
      </c>
      <c r="AC345" s="3">
        <f>1312.2+(1635.4-1249.9)+(-4.684554+(-5.838378--4.462143))+0-395.7--1.41264900000001</f>
        <v>1297.3518600000002</v>
      </c>
      <c r="AD345">
        <f t="shared" si="5"/>
        <v>29949.617726999993</v>
      </c>
      <c r="AE345" s="3">
        <f>1673+(1421.7-1120.3)+(0+(0-0))+0-400.8-0</f>
        <v>1573.6000000000001</v>
      </c>
    </row>
    <row r="346" spans="1:31" s="2" customFormat="1" x14ac:dyDescent="0.25">
      <c r="A346">
        <v>89</v>
      </c>
      <c r="B346">
        <v>12</v>
      </c>
      <c r="C346">
        <v>10</v>
      </c>
      <c r="D346">
        <v>4</v>
      </c>
      <c r="E346">
        <v>1</v>
      </c>
      <c r="F346" s="3">
        <f>1284.2+(1514.3-1182.5)+(-2.619768+(-3.089172--2.4123))+0-404.8--0.825791999999982</f>
        <v>1208.7291520000001</v>
      </c>
      <c r="G346" s="3">
        <f>1283.8+(1064.9-836.2)+(-1.964214+(-1.629297--1.279386))+0-419.9--0.642447000000024</f>
        <v>1090.928322</v>
      </c>
      <c r="H346" s="3">
        <f>1284+(1061.4-865.7)+(-2.61936+(-2.165256--1.766028))+0-397.1--0.810083999999983</f>
        <v>1080.391496</v>
      </c>
      <c r="I346" s="3">
        <f>1279.1+(996.7-794.1)+(-3.261705+(-2.541585--2.024955))+0-420.3--1.07176499999994</f>
        <v>1058.6934299999998</v>
      </c>
      <c r="J346" s="3">
        <f>1286.1+(902-702.7)+(0+(0-0))+0-419.7-0</f>
        <v>1065.6999999999998</v>
      </c>
      <c r="K346" s="3">
        <f>1281.4+(954.6-735.7)+(-1.960542+(-1.460538--1.125621))+0-415.2--0.635256000000024</f>
        <v>1083.4397970000002</v>
      </c>
      <c r="L346" s="3">
        <f>1274.8+(958.4-722.6)+(-1.950444+(-1.466352--1.105578))+0-408.4--0.624852000000024</f>
        <v>1100.5136339999999</v>
      </c>
      <c r="M346" s="3">
        <f>1264.6+(1005.4-690.7)+(0+(0-0))+0-426.8-0</f>
        <v>1152.4999999999998</v>
      </c>
      <c r="N346" s="3">
        <f>1295+(1123-774.8)+(0.66045+(0.57273-0.395148))+0-386-0.196859999999961</f>
        <v>1257.8411720000001</v>
      </c>
      <c r="O346" s="3">
        <f>1454.7+(1184.8-902.3)+(-0.741897+(-0.604248--0.460173))+0-384.4--0.196043999999961</f>
        <v>1352.1100720000002</v>
      </c>
      <c r="P346" s="3">
        <f>1522.8+(1188.8-925.6)+(0+(0-0))+0-411.5-0</f>
        <v>1374.5</v>
      </c>
      <c r="Q346" s="3">
        <f>1510.8+(1342.7-1052)+(-1.541016+(-1.369554--1.07304))+0-418.3--0.426666000000067</f>
        <v>1381.7891360000001</v>
      </c>
      <c r="R346" s="3">
        <f>1518.8+(1382-1216)+(-3.87294+(-3.5241--3.1008))+0-384.6--0.980729999999944</f>
        <v>1296.8844900000001</v>
      </c>
      <c r="S346" s="3">
        <f>1530.9+(1446.9-1249.9)+(0.780759+(0.737919-0.637449))+0-417.5-0.212924999999958</f>
        <v>1311.0683040000001</v>
      </c>
      <c r="T346" s="3">
        <f>1531.6+(1317-1119.5)+(-1.562232+(-1.34334--1.14189))+0-383.6--0.391272000000061</f>
        <v>1344.1275899999998</v>
      </c>
      <c r="U346" s="3">
        <f>1531.2+(1238.6-981.5)+(0+(0-0))+0-418.3-0</f>
        <v>1370</v>
      </c>
      <c r="V346" s="3">
        <f>1560+(1125.8-922.6)+(-1.5912+(-1.148316--0.941052))+0-419--0.427380000000067</f>
        <v>1342.8289159999999</v>
      </c>
      <c r="W346" s="3">
        <f>1654.9+(1200.3-1157.2)+(-1.687998+(-1.224306--1.180344))+0-376.9--0.38443800000006</f>
        <v>1319.7524779999999</v>
      </c>
      <c r="X346" s="3">
        <f>1667.3+(1779-1666.9)+(-2.550969+(-2.72187--2.550357))+0-369.1--0.564723000000021</f>
        <v>1408.142241</v>
      </c>
      <c r="Y346" s="3">
        <f>1668.3+(1911.3-1639.3)+(-2.552499+(-2.924289--2.508129))+0-370.9--0.567477000000021</f>
        <v>1566.998818</v>
      </c>
      <c r="Z346" s="3">
        <f>1623.5+(1613.4-1283.7)+(-1.65597+(-1.645668--1.309374))+0-370.9--0.378318000000059</f>
        <v>1580.6860540000002</v>
      </c>
      <c r="AA346" s="3">
        <f>1486.9+(1440.2-1032.3)+(-3.033276+(-2.938008--2.105892))+0-406.3--0.828851999999982</f>
        <v>1485.4634600000002</v>
      </c>
      <c r="AB346" s="3">
        <f>1371+(1307.8-819.5)+(-4.19526+(-4.001868--2.50767))+0-423.2--1.29499200000005</f>
        <v>1431.7055339999999</v>
      </c>
      <c r="AC346" s="3">
        <f>1357.8+(1072.3-779.8)+(-1.384956+(-1.093746--0.795396))+0-420.4--0.428808000000067</f>
        <v>1228.6455020000003</v>
      </c>
      <c r="AD346">
        <f t="shared" si="5"/>
        <v>30893.439597999997</v>
      </c>
      <c r="AE346" s="3">
        <f>1669+(1941.5-1674.2)+(0+(0-0))+0-374.9-0</f>
        <v>1561.4</v>
      </c>
    </row>
    <row r="347" spans="1:31" s="2" customFormat="1" x14ac:dyDescent="0.25">
      <c r="A347">
        <v>89</v>
      </c>
      <c r="B347">
        <v>12</v>
      </c>
      <c r="C347">
        <v>11</v>
      </c>
      <c r="D347">
        <v>5</v>
      </c>
      <c r="E347">
        <v>1</v>
      </c>
      <c r="F347" s="3">
        <f>1359.6+(976.5-823.2)+(-2.773584+(-1.99206--1.679328))+0-388.8--0.793151999999983</f>
        <v>1121.806836</v>
      </c>
      <c r="G347" s="3">
        <f>1330.1+(1103.9-883.4)+(-2.713404+(-2.251956--1.802136))+0-423.8--0.864551999999982</f>
        <v>1124.5013280000001</v>
      </c>
      <c r="H347" s="3">
        <f>1297+(1063.6-849.1)+(-1.32294+(-1.084872--0.866082))+0-430.5--0.439110000000069</f>
        <v>1079.8973800000001</v>
      </c>
      <c r="I347" s="3">
        <f>1291.9+(1002.1-798.2)+(-1.317738+(-1.022142--0.814164))+0-425.2--0.433704000000068</f>
        <v>1069.5079880000001</v>
      </c>
      <c r="J347" s="3">
        <f>1292.6+(885.1-681.4)+(1.977678+(1.354203-1.042542))+0-425.7-0.651321000000025</f>
        <v>1072.2380179999998</v>
      </c>
      <c r="K347" s="3">
        <f>1291.5+(873.9-660.1)+(-1.31733+(-0.891378--0.673302))+0-430.2--0.438804000000069</f>
        <v>1074.0033980000001</v>
      </c>
      <c r="L347" s="3">
        <f>1276.7+(864.9-600.8)+(0+(0-0))+0-416.8-0</f>
        <v>1124.0000000000002</v>
      </c>
      <c r="M347" s="3">
        <f>1295.5+(806.6-601.7)+(0.660705+(0.411366-0.306867))+0-418.6-0.213485999999958</f>
        <v>1082.3517180000001</v>
      </c>
      <c r="N347" s="3">
        <f>1265.3+(937.6-622.9)+(-0.645303+(-0.478176--0.317679))+0-426.1--0.217310999999957</f>
        <v>1153.3115109999999</v>
      </c>
      <c r="O347" s="3">
        <f>1297.8+(1118.5-716.8)+(1.323756+(1.14087-0.731136))+0-422.9-0.431358000000067</f>
        <v>1277.9021319999999</v>
      </c>
      <c r="P347" s="3">
        <f>1313.1+(1327.3-948.3)+(-0.669681+(-0.676923--0.483633))+0-427.4--0.217973999999957</f>
        <v>1264.0550029999997</v>
      </c>
      <c r="Q347" s="3">
        <f>1333.7+(1449.8-1103.1)+(-1.360374+(-1.478796--1.125162))+0-428.8--0.437376000000068</f>
        <v>1250.3233680000003</v>
      </c>
      <c r="R347" s="3">
        <f>1351.4+(1350.8-999.2)+(-1.378428+(-1.377816--1.019184))+0-426.6--0.435132000000068</f>
        <v>1275.0980720000002</v>
      </c>
      <c r="S347" s="3">
        <f>1351.3+(1255.6-941.6)+(-0.689163+(-0.640356--0.480216))+0-407.5--0.207824999999959</f>
        <v>1257.1585219999997</v>
      </c>
      <c r="T347" s="3">
        <f>1350.1+(1220.2-844.5)+(-1.377102+(-1.244604--0.86139))+0-413--0.421260000000066</f>
        <v>1311.4609439999999</v>
      </c>
      <c r="U347" s="3">
        <f>1351.5+(1125.3-685.9)+(1.37853+(1.147806-0.699618))+0-417.7-0.426054000000067</f>
        <v>1374.6006640000001</v>
      </c>
      <c r="V347" s="3">
        <f>1349.9+(1075.1-622)+(-2.753796+(-2.193204--1.26888))+0-415--0.846599999999982</f>
        <v>1385.16848</v>
      </c>
      <c r="W347" s="3">
        <f>1364.8+(1035-616.6)+(-2.784192+(-2.1114--1.257864))+0-378.7--0.772547999999983</f>
        <v>1401.6348199999998</v>
      </c>
      <c r="X347" s="3">
        <f>1365+(1177.8-691.8)+(-2.7846+(-2.402712--1.411272))+0-375.9--0.766835999999984</f>
        <v>1472.0907960000002</v>
      </c>
      <c r="Y347" s="3">
        <f>1363.6+(1180.7-693.5)+(-3.47718+(-3.010785--1.768425))+0-368.9--0.940694999999946</f>
        <v>1478.121155</v>
      </c>
      <c r="Z347" s="3">
        <f>1362.5+(1199.1-735.7)+(-4.16925+(-3.669246--2.251242))+0-367.5--1.12455000000004</f>
        <v>1453.9372959999998</v>
      </c>
      <c r="AA347" s="3">
        <f>1365.4+(1185.5-690.3)+(-0.696354+(-0.604605--0.352053))+0-414.7--0.211496999999958</f>
        <v>1445.162591</v>
      </c>
      <c r="AB347" s="3">
        <f>1364.7+(1121.2-691.4)+(-2.783988+(-2.287248--1.410456))+0-428--0.873119999999981</f>
        <v>1363.71234</v>
      </c>
      <c r="AC347" s="3">
        <f>1348.8+(890.1-529.9)+(-3.43944+(-2.269755--1.351245))+0-420.6--1.07252999999994</f>
        <v>1285.1145799999999</v>
      </c>
      <c r="AD347">
        <f t="shared" si="5"/>
        <v>30197.158940000001</v>
      </c>
      <c r="AE347" s="3">
        <f>1362+(1242.4-725.2)+(0+(0-0))+0-374.9-0</f>
        <v>1504.3000000000002</v>
      </c>
    </row>
    <row r="348" spans="1:31" s="2" customFormat="1" x14ac:dyDescent="0.25">
      <c r="A348">
        <v>89</v>
      </c>
      <c r="B348">
        <v>12</v>
      </c>
      <c r="C348">
        <v>12</v>
      </c>
      <c r="D348">
        <v>6</v>
      </c>
      <c r="E348">
        <v>1</v>
      </c>
      <c r="F348" s="3">
        <f>1134.3+(976-564.7)+(-2.892465+(-2.4888--1.439985))+0-420.3--1.07176499999994</f>
        <v>1122.4304849999999</v>
      </c>
      <c r="G348" s="3">
        <f>1105.2+(912.5-490.5)+(-1.690956+(-1.396125--0.750465))+0-420.9--0.643977000000024</f>
        <v>1104.6073610000001</v>
      </c>
      <c r="H348" s="3">
        <f>1107.2+(913.8-482.2)+(-0.564672+(-0.466038--0.245922))+0-420.5--0.214454999999957</f>
        <v>1117.7296670000001</v>
      </c>
      <c r="I348" s="3">
        <f>1107+(795.1-456.3)+(-2.82285+(-2.027505--1.163565))+0-414.2--1.05620999999994</f>
        <v>1028.9694199999999</v>
      </c>
      <c r="J348" s="3">
        <f>1109.4+(793.3-448.1)+(2.82897+(2.022915-1.142655))+0-412.6-1.05212999999994</f>
        <v>1044.6570999999999</v>
      </c>
      <c r="K348" s="3">
        <f>1109.5+(833.7-502.6)+(1.13169+(0.850374-0.512652))+0-410.8-0.419016000000066</f>
        <v>1030.8503959999998</v>
      </c>
      <c r="L348" s="3">
        <f>1097.1+(899.2-517.4)+(-0.559521+(-0.458592--0.263874))+0-402.4--0.205223999999959</f>
        <v>1075.9509850000002</v>
      </c>
      <c r="M348" s="3">
        <f>1103.9+(971.6-545.3)+(0.562989+(0.495516-0.278103))+0-417.4-0.212873999999958</f>
        <v>1113.3675280000004</v>
      </c>
      <c r="N348" s="3">
        <f>1091.5+(1040.3-491.4)+(1.11333+(1.061106-0.501228))+0-417.5-0.425850000000067</f>
        <v>1224.1473579999999</v>
      </c>
      <c r="O348" s="3">
        <f>1190.8+(943.8-516.5)+(0+(0-0))+0-420.7-0</f>
        <v>1197.3999999999999</v>
      </c>
      <c r="P348" s="3">
        <f>1335.9+(1168.5-856.2)+(1.362618+(1.19187-0.873324))+0-434.6-0.443292000000069</f>
        <v>1214.8378719999998</v>
      </c>
      <c r="Q348" s="3">
        <f>1329.1+(1413.3-973.8)+(0.677841+(0.720783-0.496638))+0-427.6-0.218075999999957</f>
        <v>1341.68391</v>
      </c>
      <c r="R348" s="3">
        <f>1339.5+(1251.8-863.3)+(-1.36629+(-1.276836--0.880566))+0-387.8--0.395556000000062</f>
        <v>1338.8329960000003</v>
      </c>
      <c r="S348" s="3">
        <f>1334.1+(1085.2-755.4)+(-4.082346+(-3.320712--2.311524))+0-419.5--1.28367000000005</f>
        <v>1240.5921360000002</v>
      </c>
      <c r="T348" s="3">
        <f>1339.1+(975.6-640.5)+(-2.731764+(-1.990224--1.30662))+0-427.8--0.872711999999981</f>
        <v>1243.857344</v>
      </c>
      <c r="U348" s="3">
        <f>1341.5+(1006.8-692.4)+(0+(0-0))+0-429.8-0</f>
        <v>1226.1000000000001</v>
      </c>
      <c r="V348" s="3">
        <f>1340+(1009.4-714.8)+(-1.3668+(-1.029588--0.729096))+0-423.1--0.431562000000068</f>
        <v>1210.2642699999999</v>
      </c>
      <c r="W348" s="3">
        <f>1344.4+(992.7-644.9)+(0.685644+(0.506277-0.328899))+0-429.7-0.219146999999956</f>
        <v>1263.1438750000002</v>
      </c>
      <c r="X348" s="3">
        <f>1365+(1144.6-711)+(-0.69615+(-0.583746--0.36261))+0-384.5--0.196094999999961</f>
        <v>1413.3788089999998</v>
      </c>
      <c r="Y348" s="3">
        <f>1341.4+(1440.1-961.4)+(-4.104684+(-4.406706--2.941884))+0-387.4--1.18544400000004</f>
        <v>1428.315938</v>
      </c>
      <c r="Z348" s="3">
        <f>1251.1+(1620.7-1000.3)+(-1.276122+(-1.653114--1.020306))+0-370--0.377400000000059</f>
        <v>1499.96847</v>
      </c>
      <c r="AA348" s="3">
        <f>1249.4+(1499-1029.8)+(-1.911582+(-2.29347--1.575594))+0-390.6--0.597618000000023</f>
        <v>1325.9681600000001</v>
      </c>
      <c r="AB348" s="3">
        <f>1247.2+(1523.4-1065.5)+(-3.18036+(-3.88467--2.717025))+0-369.4--0.941969999999946</f>
        <v>1332.2939649999998</v>
      </c>
      <c r="AC348" s="3">
        <f>1247.1+(1340.1-894)+(-3.180105+(-3.417255--2.2797))+0-386.3--0.985064999999944</f>
        <v>1303.5674049999998</v>
      </c>
      <c r="AD348">
        <f t="shared" si="5"/>
        <v>29442.91545</v>
      </c>
      <c r="AE348" s="3">
        <f>1369+(1253.9-781.9)+(0+(0-0))+0-388-0</f>
        <v>1453</v>
      </c>
    </row>
    <row r="349" spans="1:31" s="2" customFormat="1" x14ac:dyDescent="0.25">
      <c r="A349">
        <v>89</v>
      </c>
      <c r="B349">
        <v>12</v>
      </c>
      <c r="C349">
        <v>13</v>
      </c>
      <c r="D349">
        <v>7</v>
      </c>
      <c r="E349">
        <v>1</v>
      </c>
      <c r="F349" s="3">
        <f>1235.8+(1040.7-687.9)+(-3.15129+(-2.653785--1.754145))+0-383.3--0.977414999999944</f>
        <v>1202.2264849999997</v>
      </c>
      <c r="G349" s="3">
        <f>1164+(1025.4-761.9)+(-1.78092+(-1.568862--1.165707))+0-382.5--0.585225000000022</f>
        <v>1043.4011500000001</v>
      </c>
      <c r="H349" s="3">
        <f>1022.3+(1160.5-768.1)+(-2.085492+(-2.36742--1.566924))+0-381.2--0.777647999999983</f>
        <v>1031.3916599999998</v>
      </c>
      <c r="I349" s="3">
        <f>981.5+(1274.1-819.2)+(1.501695+(1.949373-1.253376))+0-379.5-0.580635000000022</f>
        <v>1058.5170569999998</v>
      </c>
      <c r="J349" s="3">
        <f>982.9+(1261.2-790)+(0.501279+(0.643212-0.4029))+0-382-0.194819999999961</f>
        <v>1072.6467709999999</v>
      </c>
      <c r="K349" s="3">
        <f>983.1+(1189.5-768.5)+(1.002762+(1.21329-0.78387))+0-380.9-0.388518000000061</f>
        <v>1024.2436639999999</v>
      </c>
      <c r="L349" s="3">
        <f>976.2+(1102.9-699.9)+(-1.991448+(-2.249916--1.427796))+0-382.4--0.780095999999983</f>
        <v>994.76652800000022</v>
      </c>
      <c r="M349" s="3">
        <f>977.2+(977.1-574.9)+(0.498372+(0.498321-0.293199))+0-384.7-0.196196999999961</f>
        <v>995.20729700000015</v>
      </c>
      <c r="N349" s="3">
        <f>1051.7+(965.5-532.7)+(0+(0-0))+0-384.3-0</f>
        <v>1100.2</v>
      </c>
      <c r="O349" s="3">
        <f>1147.8+(996.2-641.1)+(0+(0-0))+0-383.7-0</f>
        <v>1119.2</v>
      </c>
      <c r="P349" s="3">
        <f>1165.1+(1233.8-905.8)+(0.594201+(0.629238-0.461958))+0-384.5-0.196094999999961</f>
        <v>1109.1653859999999</v>
      </c>
      <c r="Q349" s="3">
        <f>1199.8+(1154.5-719.1)+(0+(0-0))+0-382.2-0</f>
        <v>1252.9999999999998</v>
      </c>
      <c r="R349" s="3">
        <f>1236.7+(1038.5-662.9)+(0+(0-0))+0-373.8-0</f>
        <v>1238.5000000000002</v>
      </c>
      <c r="S349" s="3">
        <f>1234.6+(917.4-598.4)+(0+(0-0))+0-375.9-0</f>
        <v>1177.6999999999998</v>
      </c>
      <c r="T349" s="3">
        <f>1237.2+(956.8-685.9)+(0+(0-0))+0-379.3-0</f>
        <v>1128.8</v>
      </c>
      <c r="U349" s="3">
        <f>1239.2+(991.8-746.5)+(0+(0-0))+0-380.4-0</f>
        <v>1104.0999999999999</v>
      </c>
      <c r="V349" s="3">
        <f>1236.8+(1039.3-806.1)+(0+(0-0))+0-380.7-0</f>
        <v>1089.3</v>
      </c>
      <c r="W349" s="3">
        <f>1289.8+(1066.4-849.2)+(0+(0-0))+0-380.6-0</f>
        <v>1126.4000000000001</v>
      </c>
      <c r="X349" s="3">
        <f>1360.1+(1430.2-1196.3)+(0+(0-0))+0-378.8-0</f>
        <v>1215.2</v>
      </c>
      <c r="Y349" s="3">
        <f>1360.2+(1790.8-1441.4)+(0+(0-0))+0-378.6-0</f>
        <v>1331</v>
      </c>
      <c r="Z349" s="3">
        <f>1360.2+(2021.8-1694.6)+(0+(0-0))+0-379.6-0</f>
        <v>1307.8000000000002</v>
      </c>
      <c r="AA349" s="3">
        <f>1360.1+(2092.6-1826.7)+(0+(0-0))+0-385.1-0</f>
        <v>1240.8999999999996</v>
      </c>
      <c r="AB349" s="3">
        <f>1360.2+(1560.6-1170.6)+(0+(0-0))+0-387.1-0</f>
        <v>1363.1</v>
      </c>
      <c r="AC349" s="3">
        <f>1285+(1284.5-933.9)+(0+(0-0))+0-387.8-0</f>
        <v>1247.8</v>
      </c>
      <c r="AD349">
        <f t="shared" si="5"/>
        <v>27574.565997999995</v>
      </c>
      <c r="AE349" s="3">
        <f>1379+(1702.9-1375.5)+(0+(0-0))+0-379.4-0</f>
        <v>1327</v>
      </c>
    </row>
    <row r="350" spans="1:31" s="2" customFormat="1" x14ac:dyDescent="0.25">
      <c r="A350">
        <v>89</v>
      </c>
      <c r="B350">
        <v>12</v>
      </c>
      <c r="C350">
        <v>14</v>
      </c>
      <c r="D350">
        <v>1</v>
      </c>
      <c r="E350">
        <v>1</v>
      </c>
      <c r="F350" s="3">
        <f>1024.1+(1215.5-747)+(-1.566873+(-1.859715--1.14291))+0-422.4--0.646272000000024</f>
        <v>1068.562594</v>
      </c>
      <c r="G350" s="3">
        <f>935.2+(1042.5-490.1)+(1.430856+(1.595025-0.749853))+0-423.5-0.647955000000024</f>
        <v>1065.728073</v>
      </c>
      <c r="H350" s="3">
        <f>934.7+(972.1-408.2)+(0+(0-0))+0-433.3-0</f>
        <v>1065.3000000000002</v>
      </c>
      <c r="I350" s="3">
        <f>936+(889.2-410.7)+(2.3868+(2.26746-1.047285))+0-422.4-1.07711999999994</f>
        <v>994.62985500000002</v>
      </c>
      <c r="J350" s="3">
        <f>936.4+(865.6-405.3)+(2.865384+(2.648736-1.240218))+0-433.4-1.32620400000005</f>
        <v>966.2476979999999</v>
      </c>
      <c r="K350" s="3">
        <f>940.5+(836.4-339)+(0+(0-0))+0-440.7-0</f>
        <v>997.2</v>
      </c>
      <c r="L350" s="3">
        <f>981.6+(883.6-374.7)+(0+(0-0))+0-396.8-0</f>
        <v>1093.7</v>
      </c>
      <c r="M350" s="3">
        <f>985.4+(909.8-427.3)+(0+(0-0))+0-423.1-0</f>
        <v>1044.7999999999997</v>
      </c>
      <c r="N350" s="3">
        <f>1095.8+(895.4-356.6)+(0+(0-0))+0-423.2-0</f>
        <v>1211.3999999999999</v>
      </c>
      <c r="O350" s="3">
        <f>1108.8+(1157.7-653.2)+(0+(0-0))+0-411.2-0</f>
        <v>1202.0999999999999</v>
      </c>
      <c r="P350" s="3">
        <f>1163.3+(1342-889.7)+(0+(0-0))+0-418-0</f>
        <v>1197.5999999999999</v>
      </c>
      <c r="Q350" s="3">
        <f>1229.5+(1545.7-1023.4)+(0+(0-0))+0-406.1-0</f>
        <v>1345.7000000000003</v>
      </c>
      <c r="R350" s="3">
        <f>1229.1+(1306-805.5)+(0+(0-0))+0-408.6-0</f>
        <v>1321</v>
      </c>
      <c r="S350" s="3">
        <f>1229.5+(1060.6-520.4)+(0+(0-0))+0-409.6-0</f>
        <v>1360.1</v>
      </c>
      <c r="T350" s="3">
        <f>1231.8+(916.8-398.4)+(0+(0-0))+0-409.8-0</f>
        <v>1340.3999999999999</v>
      </c>
      <c r="U350" s="3">
        <f>1262.6+(779.5-307.5)+(0+(0-0))+0-410.2-0</f>
        <v>1324.3999999999999</v>
      </c>
      <c r="V350" s="3">
        <f>1292.4+(761.6-306.7)+(0+(0-0))+0-410.4-0</f>
        <v>1336.9</v>
      </c>
      <c r="W350" s="3">
        <f>1326.7+(647.1-340.8)+(0+(0-0))+0-404.8-0</f>
        <v>1228.2</v>
      </c>
      <c r="X350" s="3">
        <f>1499.1+(950.1-714.6)+(0+(0-0))+0-377.6-0</f>
        <v>1357</v>
      </c>
      <c r="Y350" s="3">
        <f>1544.6+(1189.9-872.5)+(0+(0-0))+0-373.2-0</f>
        <v>1488.8</v>
      </c>
      <c r="Z350" s="3">
        <f>1436.1+(1238.8-871)+(0+(0-0))+0-371.9-0</f>
        <v>1432</v>
      </c>
      <c r="AA350" s="3">
        <f>1399.3+(1230.3-728.2)+(0+(0-0))+0-408.1-0</f>
        <v>1493.2999999999997</v>
      </c>
      <c r="AB350" s="3">
        <f>1367.1+(1024.1-478.5)+(0+(0-0))+0-418.1-0</f>
        <v>1494.6</v>
      </c>
      <c r="AC350" s="3">
        <f>1226.2+(843.4-329.2)+(0+(0-0))+0-420.2-0</f>
        <v>1320.2</v>
      </c>
      <c r="AD350">
        <f t="shared" si="5"/>
        <v>29749.868220000004</v>
      </c>
      <c r="AE350" s="3">
        <f>1535+(1244.1-898.8)+(0+(0-0))+0-374.1-0</f>
        <v>1506.1999999999998</v>
      </c>
    </row>
    <row r="351" spans="1:31" s="2" customFormat="1" x14ac:dyDescent="0.25">
      <c r="A351">
        <v>89</v>
      </c>
      <c r="B351">
        <v>12</v>
      </c>
      <c r="C351">
        <v>15</v>
      </c>
      <c r="D351">
        <v>2</v>
      </c>
      <c r="E351">
        <v>1</v>
      </c>
      <c r="F351" s="3">
        <f>1210.9+(696.3-340.1)+(0+(0-0))+0-417.2-0</f>
        <v>1149.8999999999999</v>
      </c>
      <c r="G351" s="3">
        <f>1214.1+(738.8-408.6)+(0+(0-0))+0-424.5-0</f>
        <v>1119.7999999999997</v>
      </c>
      <c r="H351" s="3">
        <f>1220.4+(710.6-422.6)+(0+(0-0))+0-419.9-0</f>
        <v>1088.5</v>
      </c>
      <c r="I351" s="3">
        <f>1215.5+(726.1-415.3)+(0+(0-0))+0-422.7-0</f>
        <v>1103.5999999999999</v>
      </c>
      <c r="J351" s="3">
        <f>1219.7+(707-400.4)+(0+(0-0))+0-419.2-0</f>
        <v>1107.1000000000001</v>
      </c>
      <c r="K351" s="3">
        <f>1227.3+(736.8-401.6)+(0+(0-0))+0-401.8-0</f>
        <v>1160.7</v>
      </c>
      <c r="L351" s="3">
        <f>1213.2+(763.4-436)+(0+(0-0))+0-404.7-0</f>
        <v>1135.8999999999999</v>
      </c>
      <c r="M351" s="3">
        <f>1221.3+(755.1-487.5)+(0+(0-0))+0-407.8-0</f>
        <v>1081.1000000000001</v>
      </c>
      <c r="N351" s="3">
        <f>1237.9+(851-468.3)+(0+(0-0))+0-409.1-0</f>
        <v>1211.5</v>
      </c>
      <c r="O351" s="3">
        <f>1284.3+(1091.6-803.6)+(0+(0-0))+0-398.1-0</f>
        <v>1174.1999999999998</v>
      </c>
      <c r="P351" s="3">
        <f>1438.5+(1157.7-978.4)+(0+(0-0))+0-412-0</f>
        <v>1205.8000000000002</v>
      </c>
      <c r="Q351" s="3">
        <f>1470.9+(1357.4-1054.9)+(0+(0-0))+0-417.7-0</f>
        <v>1355.7</v>
      </c>
      <c r="R351" s="3">
        <f>1518.3+(1093.8-897.6)+(-3.097332+(-2.231352--1.831104))+0-393.5--0.802739999999983</f>
        <v>1318.3051600000001</v>
      </c>
      <c r="S351" s="3">
        <f>1519.7+(1250.8-1148.8)+(-0.775047+(-0.637908--0.585888))+0-430.7--0.219656999999956</f>
        <v>1190.3925899999999</v>
      </c>
      <c r="T351" s="3">
        <f>1518.9+(1255.1-1053.9)+(-2.323917+(-1.920303--1.612467))+0-430.4--0.658512000000025</f>
        <v>1287.7267590000001</v>
      </c>
      <c r="U351" s="3">
        <f>1520.1+(1137.4-844.3)+(-1.550502+(-1.160148--0.861186))+0-427--0.435540000000068</f>
        <v>1384.7860760000003</v>
      </c>
      <c r="V351" s="3">
        <f>1520+(993.2-704.7)+(-1.5504+(-1.013064--0.718794))+0-423.9--0.432378000000068</f>
        <v>1383.1877079999999</v>
      </c>
      <c r="W351" s="3">
        <f>1557+(656.5-552.9)+(-4.76442+(-2.00889--1.691874))+0-384.1--1.17534600000004</f>
        <v>1272.5939100000001</v>
      </c>
      <c r="X351" s="3">
        <f>1666.1+(1169.8-1040.6)+(-1.699422+(-1.193196--1.061412))+0-379.6--0.387192000000061</f>
        <v>1414.2559860000001</v>
      </c>
      <c r="Y351" s="3">
        <f>1666.6+(1395.8-1160.9)+(-4.24983+(-3.55929--2.960295))+0-381.4--0.972569999999945</f>
        <v>1516.2237449999998</v>
      </c>
      <c r="Z351" s="3">
        <f>1664.8+(1317.7-1110.6)+(-4.24524+(-3.360135--2.83203))+0-383.5--0.977924999999944</f>
        <v>1484.6045799999999</v>
      </c>
      <c r="AA351" s="3">
        <f>1665.4+(1301.3-1110.3)+(-2.548062+(-1.990989--1.698759))+0-417.1--0.638163000000024</f>
        <v>1437.0978709999999</v>
      </c>
      <c r="AB351" s="3">
        <f>1651.8+(1259.9-1081.8)+(-0.842418+(-0.642549--0.551718))+0-416.9--0.212618999999958</f>
        <v>1412.2793700000002</v>
      </c>
      <c r="AC351" s="3">
        <f>1348.2+(1327.5-1160.2)+(-3.43791+(-3.385125--2.95851))+0-417--1.06334999999994</f>
        <v>1095.6988249999999</v>
      </c>
      <c r="AD351">
        <f t="shared" si="5"/>
        <v>30090.952580000001</v>
      </c>
      <c r="AE351" s="3">
        <f>1667+(1388-1150)+(0+(0-0))+0-381.6-0</f>
        <v>1523.4</v>
      </c>
    </row>
    <row r="352" spans="1:31" s="2" customFormat="1" x14ac:dyDescent="0.25">
      <c r="A352">
        <v>89</v>
      </c>
      <c r="B352">
        <v>12</v>
      </c>
      <c r="C352">
        <v>16</v>
      </c>
      <c r="D352">
        <v>3</v>
      </c>
      <c r="E352">
        <v>1</v>
      </c>
      <c r="F352" s="3">
        <f>1306.7+(1015-695.4)+(-1.999251+(-1.55295--1.063962))+9.2-430.4--0.658512000000025</f>
        <v>1203.2702730000001</v>
      </c>
      <c r="G352" s="3">
        <f>1286.1+(895.4-591.1)+(-2.623644+(-1.826616--1.205844))+10.8-418.1--0.852923999999982</f>
        <v>1180.7085079999999</v>
      </c>
      <c r="H352" s="3">
        <f>1210.1+(851.4-464.6)+(0.617151+(0.434214-0.236946))+0-420-0.214199999999957</f>
        <v>1177.500219</v>
      </c>
      <c r="I352" s="3">
        <f>1186.1+(699.3-314.5)+(0.604911+(0.356643-0.160395))+0-424.5-0.216494999999957</f>
        <v>1146.9846640000001</v>
      </c>
      <c r="J352" s="3">
        <f>1183.9+(705.5-316.6)+(-1.207578+(-0.71961--0.322932))+0-431.7--0.440334000000069</f>
        <v>1139.9360780000002</v>
      </c>
      <c r="K352" s="3">
        <f>1190.8+(645.3-233.7)+(3.03654+(1.645515-0.595935))+0-430.8-1.09853999999994</f>
        <v>1174.5875799999999</v>
      </c>
      <c r="L352" s="3">
        <f>1175.5+(614.6-253.4)+(0+(0-0))+0-430.4-0</f>
        <v>1106.3000000000002</v>
      </c>
      <c r="M352" s="3">
        <f>1243.8+(565.9-235.4)+(0+(0-0))+0-435.4-0</f>
        <v>1138.9000000000001</v>
      </c>
      <c r="N352" s="3">
        <f>1292.9+(715.5-437.2)+(0+(0-0))+0-427.5-0</f>
        <v>1143.7</v>
      </c>
      <c r="O352" s="3">
        <f>1463.1+(964.7-674.3)+(0+(0-0))+0-430.6-0</f>
        <v>1322.9</v>
      </c>
      <c r="P352" s="3">
        <f>1453.1+(1164.1-737.2)+(0+(0-0))+0-430.4-0</f>
        <v>1449.6</v>
      </c>
      <c r="Q352" s="3">
        <f>1458.6+(1328.9-803.4)+(0+(0-0))+0-427.5-0</f>
        <v>1556.6</v>
      </c>
      <c r="R352" s="3">
        <f>1473.2+(1137.1-796.9)+(0+(0-0))+0-397.7-0</f>
        <v>1415.7</v>
      </c>
      <c r="S352" s="3">
        <f>1475.7+(931.7-687.9)+(-0.752607+(-0.475167--0.350829))+0-387.2--0.197471999999961</f>
        <v>1331.620527</v>
      </c>
      <c r="T352" s="3">
        <f>1474.7+(1005.1-672)+(-1.504194+(-1.025202--0.68544))+0-388.5--0.396270000000062</f>
        <v>1417.8523140000002</v>
      </c>
      <c r="U352" s="3">
        <f>1477.5+(851-579.3)+(2.260575+(1.30203-0.886329))+0-391.2-0.598536000000023</f>
        <v>1360.0777399999999</v>
      </c>
      <c r="V352" s="3">
        <f>1473.2+(1005.2-752.2)+(-3.005328+(-2.050608--1.534488))+0-409.4--0.835175999999982</f>
        <v>1314.1137280000003</v>
      </c>
      <c r="W352" s="3">
        <f>1503.3+(761.9-487.9)+(-4.600098+(-2.331414--1.492974))+0-390.7--1.19554200000005</f>
        <v>1382.357004</v>
      </c>
      <c r="X352" s="3">
        <f>1664+(1305.4-1143.3)+(-1.69728+(-1.331508--1.166166))+0-391--0.398820000000062</f>
        <v>1433.6361980000001</v>
      </c>
      <c r="Y352" s="3">
        <f>1669.5+(1716-1424.8)+(-2.554335+(-2.62548--2.179944))+0-394--0.602820000000023</f>
        <v>1564.3029490000001</v>
      </c>
      <c r="Z352" s="3">
        <f>1667.1+(1499.7-1229.5)+(-5.951547+(-5.353929--4.389315))+0-386.5--1.37980500000001</f>
        <v>1545.2636439999999</v>
      </c>
      <c r="AA352" s="3">
        <f>1667.2+(1490.5-1334.7)+(-3.401088+(-3.04062--2.722788))+0-406.9--0.830075999999982</f>
        <v>1413.2111560000001</v>
      </c>
      <c r="AB352" s="3">
        <f>1510.9+(1421.7-1130.6)+(-2.311677+(-2.175201--1.729818))+0-408.7--0.625311000000024</f>
        <v>1391.1682510000003</v>
      </c>
      <c r="AC352" s="3">
        <f>1209.6+(1469.5-925.2)+(-3.08448+(-3.747225--2.35926))+0-411.7--1.04983499999994</f>
        <v>1338.7773899999997</v>
      </c>
      <c r="AD352">
        <f t="shared" si="5"/>
        <v>31649.068223000002</v>
      </c>
      <c r="AE352" s="3">
        <f>1669+(1665.6-1342.3)+(0+(0-0))+0-400.8-0</f>
        <v>1591.5</v>
      </c>
    </row>
    <row r="353" spans="1:31" s="2" customFormat="1" x14ac:dyDescent="0.25">
      <c r="A353">
        <v>89</v>
      </c>
      <c r="B353">
        <v>12</v>
      </c>
      <c r="C353">
        <v>17</v>
      </c>
      <c r="D353">
        <v>4</v>
      </c>
      <c r="E353">
        <v>1</v>
      </c>
      <c r="F353" s="3">
        <f>1184.3+(1078.2-556.9)+(-3.019965+(-2.74941--1.420095))+0-410.3--1.04626499999994</f>
        <v>1291.996985</v>
      </c>
      <c r="G353" s="3">
        <f>1181.2+(926.6-555.3)+(-3.614472+(-2.835396--1.699218))+0-409.3--1.25245800000005</f>
        <v>1139.7018080000003</v>
      </c>
      <c r="H353" s="3">
        <f>1185.7+(794.2-427.8)+(-1.209414+(-0.810084--0.436356))+0-411.4--0.419628000000066</f>
        <v>1139.5364860000004</v>
      </c>
      <c r="I353" s="3">
        <f>1187.9+(702.9-406.9)+(0.605829+(0.358479-0.207519))+0-407.3-0.207722999999959</f>
        <v>1077.1490660000002</v>
      </c>
      <c r="J353" s="3">
        <f>1187.9+(735.6-490.2)+(-0.605829+(-0.375156--0.250002))+0-408--0.208079999999959</f>
        <v>1024.7770970000001</v>
      </c>
      <c r="K353" s="3">
        <f>1188.4+(719.3-429.5)+(1.212168+(0.733686-0.43809))+0-406.3-0.414426000000065</f>
        <v>1072.993338</v>
      </c>
      <c r="L353" s="3">
        <f>1209.6+(761.6-465.9)+(-1.233792+(-0.776832--0.475218))+0-405.4--0.413508000000065</f>
        <v>1098.7781020000002</v>
      </c>
      <c r="M353" s="3">
        <f>1296.1+(660.6-389.3)+(-0.661011+(-0.336906--0.198543))+0-408.6--0.208385999999959</f>
        <v>1158.209012</v>
      </c>
      <c r="N353" s="3">
        <f>1404.1+(679.2-464.4)+(-0.716091+(-0.346392--0.236844))+0-400.3--0.204152999999959</f>
        <v>1217.9785140000001</v>
      </c>
      <c r="O353" s="3">
        <f>1507+(808-687.6)+(-1.53714+(-0.82416--0.701352))+0-398.9--0.406878000000064</f>
        <v>1227.24693</v>
      </c>
      <c r="P353" s="3">
        <f>1523.8+(930.1-760.4)+(-2.331414+(-1.423053--1.163412))+0-397.7--0.608481000000023</f>
        <v>1293.8174259999998</v>
      </c>
      <c r="Q353" s="3">
        <f>1511.1+(855-571.1)+(-0.770661+(-0.43605--0.291261))+0-386.6--0.197165999999961</f>
        <v>1407.6817160000001</v>
      </c>
      <c r="R353" s="3">
        <f>1532.9+(729.4-507.1)+(-1.563558+(-0.743988--0.517242))+0-378.2--0.38576400000006</f>
        <v>1375.59546</v>
      </c>
      <c r="S353" s="3">
        <f>1469.9+(735.9-459.2)+(-1.499298+(-0.750618--0.468384))+0-388.8--0.396576000000062</f>
        <v>1356.4150440000003</v>
      </c>
      <c r="T353" s="3">
        <f>1409.6+(894.8-533.8)+(-1.437792+(-0.912696--0.544476))+0-398.8--0.406776000000064</f>
        <v>1370.400764</v>
      </c>
      <c r="U353" s="3">
        <f>1410.1+(860-531.7)+(-0.719151+(-0.4386--0.271167))+0-404.2--0.206141999999959</f>
        <v>1333.5195579999997</v>
      </c>
      <c r="V353" s="3">
        <f>1412.2+(904.4-572.8)+(0+(0-0))+0-387-0</f>
        <v>1356.8000000000002</v>
      </c>
      <c r="W353" s="3">
        <f>1627.7+(728.7-562.5)+(-4.150635+(-1.858185--1.434375))+0-377.6--0.962879999999945</f>
        <v>1412.688435</v>
      </c>
      <c r="X353" s="3">
        <f>1680.6+(1301.2-1107)+(-0.857106+(-0.663612--0.56457))+0-377.6--0.192575999999962</f>
        <v>1496.436428</v>
      </c>
      <c r="Y353" s="3">
        <f>1662.3+(1463.6-1296.2)+(-3.391092+(-2.985744--2.644248))+0-379.8--0.774791999999983</f>
        <v>1446.9422039999997</v>
      </c>
      <c r="Z353" s="3">
        <f>1662.4+(1348.5-1130.5)+(2.543472+(2.063205-1.729665))+0-387.8-0.593334000000022</f>
        <v>1494.8836780000001</v>
      </c>
      <c r="AA353" s="3">
        <f>1661.5+(1185.6-975.2)+(0.847365+(0.604656-0.497352))+0-394.5-0.20119499999996</f>
        <v>1478.153474</v>
      </c>
      <c r="AB353" s="3">
        <f>1659.9+(717.7-546.8)+(-3.386196+(-1.464108--1.115472))+0-424.5--0.865979999999981</f>
        <v>1403.4311480000001</v>
      </c>
      <c r="AC353" s="3">
        <f>1481.4+(620.2-321.6)+(-3.022056+(-1.265208--0.656064))+0-418.3--0.853331999999982</f>
        <v>1358.9221319999999</v>
      </c>
      <c r="AD353">
        <f t="shared" si="5"/>
        <v>31034.054804999996</v>
      </c>
      <c r="AE353" s="3">
        <f>1686+(1460.6-1329.6)+(0+(0-0))+0-380.1-0</f>
        <v>1436.9</v>
      </c>
    </row>
    <row r="354" spans="1:31" s="2" customFormat="1" x14ac:dyDescent="0.25">
      <c r="A354">
        <v>89</v>
      </c>
      <c r="B354">
        <v>12</v>
      </c>
      <c r="C354">
        <v>18</v>
      </c>
      <c r="D354">
        <v>5</v>
      </c>
      <c r="E354">
        <v>1</v>
      </c>
      <c r="F354" s="3">
        <f>1286.5+(739.2-353.1)+(-1.968345+(-1.130976--0.540243))+0-431.2--0.659736000000025</f>
        <v>1239.5006579999999</v>
      </c>
      <c r="G354" s="3">
        <f>1284.8+(661.6-304.6)+(-3.27624+(-1.68708--0.77673))+0-432.5--1.10287499999994</f>
        <v>1206.216285</v>
      </c>
      <c r="H354" s="3">
        <f>1285.1+(485.5-172.7)+(-0.655401+(-0.247605--0.088077))+0-432.4--0.220523999999956</f>
        <v>1164.9055949999999</v>
      </c>
      <c r="I354" s="3">
        <f>1284.1+(535.3-240.7)+(-2.619564+(-1.092012--0.491028))+0-429.8--0.876791999999981</f>
        <v>1146.5562439999999</v>
      </c>
      <c r="J354" s="3">
        <f>1285.5+(524-234.8)+(-1.31121+(-0.53448--0.239496))+0-431.3--0.439926000000069</f>
        <v>1142.2337320000001</v>
      </c>
      <c r="K354" s="3">
        <f>1284+(495.6-225.1)+(-1.30968+(-0.505512--0.229602))+0-428.8--0.437376000000068</f>
        <v>1124.5517860000002</v>
      </c>
      <c r="L354" s="3">
        <f>1260.1+(490.9-212)+(0+(0-0))+0-429.4-0</f>
        <v>1109.5999999999999</v>
      </c>
      <c r="M354" s="3">
        <f>1265.3+(630.9-240.6)+(-0.645303+(-0.321759--0.122706))+0-425.6--0.217055999999957</f>
        <v>1229.3726999999999</v>
      </c>
      <c r="N354" s="3">
        <f>1272.6+(909.3-455.2)+(1.298052+(0.927486-0.464304))+0-407.4-0.415548000000065</f>
        <v>1320.6456859999996</v>
      </c>
      <c r="O354" s="3">
        <f>1295+(1205-832.8)+(-0.66045+(-0.61455--0.424728))+0-415.8--0.212057999999958</f>
        <v>1250.7617860000003</v>
      </c>
      <c r="P354" s="3">
        <f>1396.6+(1753.6-1275.8)+(-2.136798+(-2.683008--1.951974))+0-416.3--0.636939000000024</f>
        <v>1455.869107</v>
      </c>
      <c r="Q354" s="3">
        <f>1536.6+(1713.4-1347.3)+(-2.350998+(-2.621502--2.061369))+0-422.2--0.645966000000024</f>
        <v>1478.234835</v>
      </c>
      <c r="R354" s="3">
        <f>1644+(1731-1396.6)+(-4.1922+(-4.41405--3.56133))+0-414.7--1.05748499999994</f>
        <v>1559.712565</v>
      </c>
      <c r="S354" s="3">
        <f>1623.8+(1730.8-1342.8)+(-3.312552+(-3.530832--2.739312))+0-409.4--0.835175999999982</f>
        <v>1599.1311040000001</v>
      </c>
      <c r="T354" s="3">
        <f>1585.4+(1517-1192.9)+(-1.617108+(-1.54734--1.216758))+0-416.9--0.425238000000066</f>
        <v>1491.077548</v>
      </c>
      <c r="U354" s="3">
        <f>1587+(1258.2-882.9)+(-3.23748+(-2.566728--1.801116))+0-406.2--0.828647999999982</f>
        <v>1552.9255560000001</v>
      </c>
      <c r="V354" s="3">
        <f>1586.6+(908.1-642.6)+(0.809166+(0.463131-0.327726))+0-411.7-0.209966999999958</f>
        <v>1441.1346039999999</v>
      </c>
      <c r="W354" s="3">
        <f>1592.6+(894.5-670.7)+(-3.248904+(-1.82478--1.368228))+0-393.4--0.802535999999983</f>
        <v>1420.0970799999998</v>
      </c>
      <c r="X354" s="3">
        <f>1660+(993.5-731.3)+(-1.6932+(-1.01337--0.745926))+0-376.1--0.38362200000006</f>
        <v>1544.5229780000002</v>
      </c>
      <c r="Y354" s="3">
        <f>1654.1+(1345.5-1017.7)+(-4.217955+(-3.431025--2.595135))+0-378.8--0.965939999999945</f>
        <v>1599.012095</v>
      </c>
      <c r="Z354" s="3">
        <f>1560.4+(1624.4-1232.3)+(0+(0-0))+0-383.4-0</f>
        <v>1569.1000000000004</v>
      </c>
      <c r="AA354" s="3">
        <f>1556.3+(1436.5-977.7)+(-1.587426+(-1.46523--0.997254))+0-423.4--0.431868000000067</f>
        <v>1590.076466</v>
      </c>
      <c r="AB354" s="3">
        <f>1427.4+(1361.4-791.1)+(-3.63987+(-3.47157--2.017305))+0-416.7--1.06258499999994</f>
        <v>1576.9684500000001</v>
      </c>
      <c r="AC354" s="3">
        <f>1277.2+(1405.4-765.1)+(-1.302744+(-1.433508--0.780402))+0-425.4--0.433908000000068</f>
        <v>1490.5780580000001</v>
      </c>
      <c r="AD354">
        <f t="shared" si="5"/>
        <v>33302.784917999998</v>
      </c>
      <c r="AE354" s="3">
        <f>1665+(1039.6-803.9)+(0+(0-0))+0-379.1-0</f>
        <v>1521.6</v>
      </c>
    </row>
    <row r="355" spans="1:31" s="2" customFormat="1" x14ac:dyDescent="0.25">
      <c r="A355">
        <v>89</v>
      </c>
      <c r="B355">
        <v>12</v>
      </c>
      <c r="C355">
        <v>19</v>
      </c>
      <c r="D355">
        <v>6</v>
      </c>
      <c r="E355">
        <v>1</v>
      </c>
      <c r="F355" s="3">
        <f>1234.6+(843.3-450.2)+(0+(0-0))+0-430.2-0</f>
        <v>1197.4999999999998</v>
      </c>
      <c r="G355" s="3">
        <f>1235.1+(912.8-572.8)+(0+(0-0))+0-427.2-0</f>
        <v>1147.8999999999999</v>
      </c>
      <c r="H355" s="3">
        <f>1234.8+(808.4-497)+(0+(0-0))+0-425.9-0</f>
        <v>1120.2999999999997</v>
      </c>
      <c r="I355" s="3">
        <f>1235.4+(742.1-454.8)+(0+(0-0))+0-421.5-0</f>
        <v>1101.2</v>
      </c>
      <c r="J355" s="3">
        <f>1236.6+(714.1-428)+(0+(0-0))+0-423-0</f>
        <v>1099.6999999999998</v>
      </c>
      <c r="K355" s="3">
        <f>1236.9+(703-357.8)+(0+(0-0))+0-427.6-0</f>
        <v>1154.5</v>
      </c>
      <c r="L355" s="3">
        <f>1222.7+(664-296.2)+(0+(0-0))+0-433.2-0</f>
        <v>1157.3</v>
      </c>
      <c r="M355" s="3">
        <f>1310+(668.1-336.7)+(0+(0-0))+0-425.5-0</f>
        <v>1215.9000000000001</v>
      </c>
      <c r="N355" s="3">
        <f>1399+(983.1-659.9)+(0+(0-0))+0-423.2-0</f>
        <v>1299</v>
      </c>
      <c r="O355" s="3">
        <f>1492.8+(1107.3-768)+(0+(0-0))+0-420.6-0</f>
        <v>1411.5</v>
      </c>
      <c r="P355" s="3">
        <f>1567.1+(1053.2-758.2)+(0+(0-0))+0-419-0</f>
        <v>1443.1</v>
      </c>
      <c r="Q355" s="3">
        <f>1577.5+(1090.5-831)+(0+(0-0))+0-395.4-0</f>
        <v>1441.6</v>
      </c>
      <c r="R355" s="3">
        <f>1582+(862.5-676.6)+(-4.0341+(-2.199375--1.72533))+0-391.4--0.998069999999943</f>
        <v>1372.9899250000001</v>
      </c>
      <c r="S355" s="3">
        <f>1588.6+(632.8-422.9)+(2.430558+(0.968184-0.647037))+0-410-0.627300000000024</f>
        <v>1390.6244049999998</v>
      </c>
      <c r="T355" s="3">
        <f>1585.4+(504.1-438.2)+(-2.425662+(-0.771273--0.670446))+0-414.5--0.634185000000024</f>
        <v>1234.9076960000002</v>
      </c>
      <c r="U355" s="3">
        <f>1583.5+(538.1-413)+(-2.422755+(-0.823293--0.63189))+0-421--0.644130000000024</f>
        <v>1285.629972</v>
      </c>
      <c r="V355" s="3">
        <f>1587+(655.6-571.2)+(-2.42811+(-1.003068--0.873936))+0-423.6--0.648108000000025</f>
        <v>1245.890866</v>
      </c>
      <c r="W355" s="3">
        <f>1632.3+(670.3-626.2)+(0+(0-0))+0-385.8-0</f>
        <v>1290.5999999999999</v>
      </c>
      <c r="X355" s="3">
        <f>1669.5+(1339.8-1282.1)+(-1.70289+(-1.366596--1.307742))+0-386.9--0.394638000000062</f>
        <v>1338.9328940000003</v>
      </c>
      <c r="Y355" s="3">
        <f>1667.7+(1544.5-1453.8)+(-5.953689+(-5.513865--5.190066))+0-390.1--1.39265700000001</f>
        <v>1363.4151690000001</v>
      </c>
      <c r="Z355" s="3">
        <f>1667+(1328.8-1091)+(-3.40068+(-2.710752--2.22564))+0-388.7--0.792947999999983</f>
        <v>1513.0071559999999</v>
      </c>
      <c r="AA355" s="3">
        <f>1669.6+(1087.9-821.1)+(-3.405984+(-2.219316--1.675044))+0-387.9--0.791315999999983</f>
        <v>1545.34106</v>
      </c>
      <c r="AB355" s="3">
        <f>1550.7+(959.8-745.5)+(-3.954285+(-2.44749--1.901025))+0-388.7--0.991184999999944</f>
        <v>1372.7904349999999</v>
      </c>
      <c r="AC355" s="3">
        <f>1355.6+(1045.8-665.3)+(-2.765424+(-2.133432--1.357212))+0-390.8--0.797231999999983</f>
        <v>1342.5555879999999</v>
      </c>
      <c r="AD355">
        <f t="shared" si="5"/>
        <v>31086.185165999996</v>
      </c>
      <c r="AE355" s="3">
        <f>1671+(1587.1-1514.9)+(0+(0-0))+0-389.9-0</f>
        <v>1353.2999999999997</v>
      </c>
    </row>
    <row r="356" spans="1:31" s="2" customFormat="1" x14ac:dyDescent="0.25">
      <c r="A356">
        <v>89</v>
      </c>
      <c r="B356">
        <v>12</v>
      </c>
      <c r="C356">
        <v>20</v>
      </c>
      <c r="D356">
        <v>7</v>
      </c>
      <c r="E356">
        <v>1</v>
      </c>
      <c r="F356" s="3">
        <f>1292.4+(1015.8-750.9)+(0+(0-0))+0-390.9-0</f>
        <v>1166.4000000000001</v>
      </c>
      <c r="G356" s="3">
        <f>1286.1+(913-767.5)+(0+(0-0))+0-392-0</f>
        <v>1039.5999999999999</v>
      </c>
      <c r="H356" s="3">
        <f>1287.1+(938.7-731.9)+(0+(0-0))+0-392.7-0</f>
        <v>1101.2</v>
      </c>
      <c r="I356" s="3">
        <f>1284.7+(911.5-759)+(0+(0-0))+0-389.4-0</f>
        <v>1047.8000000000002</v>
      </c>
      <c r="J356" s="3">
        <f>1287.3+(917-720.8)+(0+(0-0))+0-390.2-0</f>
        <v>1093.3</v>
      </c>
      <c r="K356" s="3">
        <f>1286.7+(890.9-747.5)+(0+(0-0))+0-388.2-0</f>
        <v>1041.8999999999999</v>
      </c>
      <c r="L356" s="3">
        <f>1269.3+(861.4-703.1)+(0+(0-0))+0-389.8-0</f>
        <v>1037.8</v>
      </c>
      <c r="M356" s="3">
        <f>1271.8+(882.2-705.9)+(0+(0-0))+0-387.7-0</f>
        <v>1060.3999999999999</v>
      </c>
      <c r="N356" s="3">
        <f>1310.8+(982.9-805.5)+(0+(0-0))+0-388.8-0</f>
        <v>1099.3999999999999</v>
      </c>
      <c r="O356" s="3">
        <f>1452.9+(1017.1-985.4)+(0+(0-0))+0-384.7-0</f>
        <v>1099.9000000000001</v>
      </c>
      <c r="P356" s="3">
        <f>1495.5+(1067.7-1020.6)+(0+(0-0))+0-378.2-0</f>
        <v>1164.3999999999999</v>
      </c>
      <c r="Q356" s="3">
        <f>1511.9+(1052.7-1034.6)+(0+(0-0))+0-378.6-0</f>
        <v>1151.4000000000001</v>
      </c>
      <c r="R356" s="3">
        <f>1525.7+(941.1-926.9)+(-3.890535+(-2.399805--2.363595))+0-364.7--0.929984999999947</f>
        <v>1172.2032400000001</v>
      </c>
      <c r="S356" s="3">
        <f>1526.3+(872.6-837.6)+(-3.113652+(-1.780104--1.708704))+0-366.4--0.747455999999984</f>
        <v>1192.4624039999999</v>
      </c>
      <c r="T356" s="3">
        <f>1528.8+(771.7-788.6)+(-1.559376+(-0.787134--0.804372))+0-377--0.38454000000006</f>
        <v>1133.7424020000001</v>
      </c>
      <c r="U356" s="3">
        <f>1517.3+(784.9-755.7)+(-3.095292+(-1.601196--1.541628))+0-376.4--0.767855999999984</f>
        <v>1167.7129959999997</v>
      </c>
      <c r="V356" s="3">
        <f>1518.1+(741.1-793.3)+(1.548462+(0.755922-0.809166))+0-376.4-0.38392800000006</f>
        <v>1090.6112900000001</v>
      </c>
      <c r="W356" s="3">
        <f>1527+(790.3-782.4)+(-1.55754+(-0.806106--0.798048))+0-375.6--0.38311200000006</f>
        <v>1158.117514</v>
      </c>
      <c r="X356" s="3">
        <f>1640.8+(1174.3-1216.9)+(0+(0-0))+0-376.8-0</f>
        <v>1221.3999999999999</v>
      </c>
      <c r="Y356" s="3">
        <f>1664.8+(1460.2-1598)+(-5.094288+(-4.468212--4.88988))+0-382.3--1.16983800000004</f>
        <v>1141.197218</v>
      </c>
      <c r="Z356" s="3">
        <f>1667.9+(1682.5-1571.9)+(-1.701258+(-1.71615--1.603338))+0-384.9--0.392598000000061</f>
        <v>1392.1785280000001</v>
      </c>
      <c r="AA356" s="3">
        <f>1667.4+(1533.3-1345.9)+(-0.850374+(-0.781983--0.686409))+0-388.7--0.198236999999961</f>
        <v>1465.3522889999999</v>
      </c>
      <c r="AB356" s="3">
        <f>1529.2+(1488.7-1246.2)+(-1.559784+(-1.518474--1.271124))+0-391.7--0.399534000000062</f>
        <v>1378.5924000000002</v>
      </c>
      <c r="AC356" s="3">
        <f>1307.9+(1442.5-1158.1)+(-2.668116+(-2.9427--2.362524))+0-387--0.789479999999983</f>
        <v>1202.8411880000001</v>
      </c>
      <c r="AD356">
        <f t="shared" si="5"/>
        <v>27819.911469000002</v>
      </c>
      <c r="AE356" s="3">
        <f>1671+(1585.2-1581)+(0+(0-0))+0-383.9-0</f>
        <v>1291.3000000000002</v>
      </c>
    </row>
    <row r="357" spans="1:31" s="2" customFormat="1" x14ac:dyDescent="0.25">
      <c r="A357">
        <v>89</v>
      </c>
      <c r="B357">
        <v>12</v>
      </c>
      <c r="C357">
        <v>21</v>
      </c>
      <c r="D357">
        <v>1</v>
      </c>
      <c r="E357">
        <v>1</v>
      </c>
      <c r="F357" s="3">
        <f>1295.2+(1141.8-847.8)+(-3.30276+(-2.91159--2.16189))+0-422.4--1.07711999999994</f>
        <v>1163.8246599999998</v>
      </c>
      <c r="G357" s="3">
        <f>1283.9+(1052.7-778)+(-1.309578+(-1.073754--0.79356))+0-425--0.433500000000068</f>
        <v>1132.4437280000002</v>
      </c>
      <c r="H357" s="3">
        <f>1283.4+(951.1-818.8)+(-1.963602+(-1.455183--1.252764))+0-410.1--0.627453000000024</f>
        <v>1004.0614320000003</v>
      </c>
      <c r="I357" s="3">
        <f>1287.8+(890.8-741.2)+(1.970334+(1.362924-1.134036))+0-415.6-0.635868000000024</f>
        <v>1023.3633539999997</v>
      </c>
      <c r="J357" s="3">
        <f>1283.5+(907.8-788)+(-0.654585+(-0.462978--0.40188))+0-422.5--0.215474999999957</f>
        <v>980.29979200000002</v>
      </c>
      <c r="K357" s="3">
        <f>1285.2+(894.1-749.2)+(0+(0-0))+0-423.5-0</f>
        <v>1006.5999999999999</v>
      </c>
      <c r="L357" s="3">
        <f>1276.4+(944.5-726.5)+(-0.650964+(-0.481695--0.370515))+0-422.2--0.215321999999957</f>
        <v>1071.653178</v>
      </c>
      <c r="M357" s="3">
        <f>1333.9+(975.1-721)+(0+(0-0))+0-425.6-0</f>
        <v>1162.4000000000001</v>
      </c>
      <c r="N357" s="3">
        <f>1462.3+(990.8-773.7)+(0+(0-0))+0-420.9-0</f>
        <v>1258.5</v>
      </c>
      <c r="O357" s="3">
        <f>1502.5+(1045.8-860.8)+(0+(0-0))+0-414.8-0</f>
        <v>1272.7</v>
      </c>
      <c r="P357" s="3">
        <f>1629.7+(1239.7-1049.8)+(1.662294+(1.264494-1.070796))+0-412.8-0.421056000000066</f>
        <v>1408.2349360000001</v>
      </c>
      <c r="Q357" s="3">
        <f>1643.2+(1312.8-1116.3)+(-1.676064+(-1.339056--1.138626))+0-430.1--0.438702000000069</f>
        <v>1408.162208</v>
      </c>
      <c r="R357" s="3">
        <f>1654.4+(1235.8-1081.1)+(-4.21872+(-3.15129--2.756805))+0-421.4--1.07456999999994</f>
        <v>1384.1613650000002</v>
      </c>
      <c r="S357" s="3">
        <f>1654+(1137.9-1025.7)+(-3.37416+(-2.321316--2.092428))+0-420.9--0.858635999999982</f>
        <v>1342.5555880000002</v>
      </c>
      <c r="T357" s="3">
        <f>1652+(1179.5-1150.8)+(0+(0-0))+0-415.3-0</f>
        <v>1265.4000000000001</v>
      </c>
      <c r="U357" s="3">
        <f>1654.4+(1149.5-1090.5)+(-0.843744+(-0.586245--0.556155))+0-416.2--0.212261999999958</f>
        <v>1296.5384280000001</v>
      </c>
      <c r="V357" s="3">
        <f>1653.2+(1231.9-1148)+(0.843132+(0.628269-0.58548))+0-411.3-0.209762999999958</f>
        <v>1326.4761580000002</v>
      </c>
      <c r="W357" s="3">
        <f>1654+(1376.3-1280.1)+(-0.84354+(-0.701913--0.652851))+0-389.8--0.19879799999996</f>
        <v>1359.7061960000001</v>
      </c>
      <c r="X357" s="3">
        <f>1665.5+(1755.4-1544.4)+(-1.69881+(-1.790508--1.575288))+0-393.2--0.401064000000063</f>
        <v>1481.7870340000002</v>
      </c>
      <c r="Y357" s="3">
        <f>1663.5+(1883.6-1604)+(-0.848385+(-0.960636--0.81804))+0-390--0.19889999999996</f>
        <v>1552.3079189999999</v>
      </c>
      <c r="Z357" s="3">
        <f>1509.4+(2032.5-1679.1)+(-1.539588+(-2.07315--1.712682))+0-392.7--0.400554000000063</f>
        <v>1468.6004980000002</v>
      </c>
      <c r="AA357" s="3">
        <f>1498+(1931-1549.6)+(-2.29194+(-2.95443--2.370888))+0-426.5--0.652545000000025</f>
        <v>1450.6770630000001</v>
      </c>
      <c r="AB357" s="3">
        <f>1493.3+(1562.4-1221)+(-5.331081+(-5.577768--4.35897))+0-425.2--1.51796400000001</f>
        <v>1404.4680850000002</v>
      </c>
      <c r="AC357" s="3">
        <f>1342.3+(1688.2-1269.2)+(-2.738292+(-3.443928--2.589168))+0-423.7--0.864347999999981</f>
        <v>1334.871296</v>
      </c>
      <c r="AD357">
        <f t="shared" si="5"/>
        <v>30559.792918000003</v>
      </c>
      <c r="AE357" s="3">
        <f>1680+(1876.8-1668.3)+(0+(0-0))+0-391.4-0</f>
        <v>1497.1</v>
      </c>
    </row>
    <row r="358" spans="1:31" s="2" customFormat="1" x14ac:dyDescent="0.25">
      <c r="A358">
        <v>89</v>
      </c>
      <c r="B358">
        <v>12</v>
      </c>
      <c r="C358">
        <v>22</v>
      </c>
      <c r="D358">
        <v>2</v>
      </c>
      <c r="E358">
        <v>1</v>
      </c>
      <c r="F358" s="3">
        <f>1283.3+(1380.9-1086)+(-3.272415+(-3.521295--2.7693))+0-424.1--1.08145499999994</f>
        <v>1151.1570449999999</v>
      </c>
      <c r="G358" s="3">
        <f>1281.9+(1250.5-853.6)+(-3.922614+(-3.82653--2.612016))+0-419.6--1.28397600000005</f>
        <v>1255.3468479999999</v>
      </c>
      <c r="H358" s="3">
        <f>1284.1+(1111.8-843.6)+(-2.619564+(-2.268072--1.720944))+0-429.9--0.876995999999981</f>
        <v>1120.1103039999998</v>
      </c>
      <c r="I358" s="3">
        <f>1284.5+(1101.4-831.4)+(1.965285+(1.685142-1.272042))+0-421.4-0.644742000000024</f>
        <v>1134.8336429999999</v>
      </c>
      <c r="J358" s="3">
        <f>1284.3+(1025.8-823.2)+(-1.964979+(-1.569474--1.259496))+0-426.6--0.652698000000025</f>
        <v>1058.6777409999997</v>
      </c>
      <c r="K358" s="3">
        <f>1272.8+(1061.8-814.4)+(2.596512+(2.166072-1.661376))+0-427.1-0.871283999999981</f>
        <v>1095.3299239999999</v>
      </c>
      <c r="L358" s="3">
        <f>1167.7+(1143-802.1)+(-3.573162+(-3.49758--2.454426))+0-426.4--1.30478400000005</f>
        <v>1078.8884679999999</v>
      </c>
      <c r="M358" s="3">
        <f>1116.8+(1127-688.2)+(1.139136+(1.14954-0.701964))+0-420.6-0.429012000000067</f>
        <v>1136.1576999999997</v>
      </c>
      <c r="N358" s="3">
        <f>1219.3+(1088.1-695.9)+(1.243686+(1.109862-0.709818))+0-420.3-0.428706000000067</f>
        <v>1192.4150239999999</v>
      </c>
      <c r="O358" s="3">
        <f>1384.3+(1069.6-885.3)+(0.705993+(0.545496-0.451503))+0-427.9-0.218228999999957</f>
        <v>1141.2817569999997</v>
      </c>
      <c r="P358" s="3">
        <f>1462.5+(1422.4-1120.8)+(0.745875+(0.725424-0.571608))+0-423.9-0.216188999999957</f>
        <v>1340.8835020000004</v>
      </c>
      <c r="Q358" s="3">
        <f>1466.6+(1378-1010.4)+(-2.243898+(-2.10834--1.545912))+0-400.6--0.612918000000023</f>
        <v>1431.406592</v>
      </c>
      <c r="R358" s="3">
        <f>1481.3+(1160-872.6)+(0+(0-0))+0-390.3-0</f>
        <v>1378.3999999999999</v>
      </c>
      <c r="S358" s="3">
        <f>1483.2+(1012.4-668.2)+(0.756432+(0.516324-0.340782))+0-409.5-0.208844999999958</f>
        <v>1418.6231290000003</v>
      </c>
      <c r="T358" s="3">
        <f>1481.1+(1073-771.3)+(-1.510722+(-1.09446--0.786726))+0-417.3--0.425646000000067</f>
        <v>1364.1071900000002</v>
      </c>
      <c r="U358" s="3">
        <f>1481.1+(897.4-596.9)+(0+(0-0))+0-410.8-0</f>
        <v>1370.8</v>
      </c>
      <c r="V358" s="3">
        <f>1479.1+(894.4-620.8)+(-3.771705+(-2.28072--1.58304))+0-401.8--1.02458999999994</f>
        <v>1347.4552049999998</v>
      </c>
      <c r="W358" s="3">
        <f>1497.7+(914.4-615.3)+(0+(0-0))+0-403.1-0</f>
        <v>1393.7000000000003</v>
      </c>
      <c r="X358" s="3">
        <f>1587.1+(1112.7-885)+(-0.809421+(-0.567477--0.45135))+0-399.6--0.203795999999959</f>
        <v>1414.4782480000001</v>
      </c>
      <c r="Y358" s="3">
        <f>1662.1+(1028.2-813.7)+(-2.543013+(-1.573146--1.244961))+0-384.8--0.588744000000022</f>
        <v>1489.517546</v>
      </c>
      <c r="Z358" s="3">
        <f>1666.5+(1043-805.4)+(-1.69983+(-1.06386--0.821508))+0-389.5--0.397290000000062</f>
        <v>1513.055108</v>
      </c>
      <c r="AA358" s="3">
        <f>1664.7+(930.9-750.7)+(-2.546991+(-1.424277--1.148571))+0-422.7--0.646731000000024</f>
        <v>1420.024034</v>
      </c>
      <c r="AB358" s="3">
        <f>1638.7+(753.2-707.3)+(-1.671474+(-0.768264--0.721446))+0-424.6--0.433092000000068</f>
        <v>1258.7148</v>
      </c>
      <c r="AC358" s="3">
        <f>1495.7+(792.4-690.8)+(-2.288421+(-1.212372--1.056924))+0-425.7--0.651321000000025</f>
        <v>1169.8074520000002</v>
      </c>
      <c r="AD358">
        <f t="shared" si="5"/>
        <v>30675.171259999996</v>
      </c>
      <c r="AE358" s="3">
        <f>1600+(1182.6-1009)+(0+(0-0))+0-394.4-0</f>
        <v>1379.1999999999998</v>
      </c>
    </row>
    <row r="359" spans="1:31" s="2" customFormat="1" x14ac:dyDescent="0.25">
      <c r="A359">
        <v>89</v>
      </c>
      <c r="B359">
        <v>12</v>
      </c>
      <c r="C359">
        <v>23</v>
      </c>
      <c r="D359">
        <v>3</v>
      </c>
      <c r="E359">
        <v>1</v>
      </c>
      <c r="F359" s="3">
        <f>1440.8+(861.5-728.5)+(-7.34808+(-4.39365--3.71535))+0-423.1--2.15781000000003</f>
        <v>1144.83143</v>
      </c>
      <c r="G359" s="3">
        <f>1288.1+(792-645.9)+(-3.941586+(-2.42352--1.976454))+0-421.5--1.28979000000005</f>
        <v>1009.6011379999998</v>
      </c>
      <c r="H359" s="3">
        <f>1281.5+(851.2-749.1)+(-1.960695+(-1.302336--1.146123))+0-420.3--0.643059000000024</f>
        <v>961.82615099999998</v>
      </c>
      <c r="I359" s="3">
        <f>1281.1+(878.8-751.9)+(-1.960083+(-1.344564--1.150407))+0-421.1--0.644283000000024</f>
        <v>985.39004299999988</v>
      </c>
      <c r="J359" s="3">
        <f>1282.7+(781.4-720.6)+(1.308354+(0.797028-0.735012))+0-434-0.442680000000069</f>
        <v>910.42768999999998</v>
      </c>
      <c r="K359" s="3">
        <f>1282.7+(888.1-764.6)+(-0.654177+(-0.452931--0.389946))+0-429--0.218789999999956</f>
        <v>976.70162800000014</v>
      </c>
      <c r="L359" s="3">
        <f>1257.6+(836.3-728.7)+(-0.641376+(-0.426513--0.371637))+0-420--0.214199999999957</f>
        <v>944.71794799999986</v>
      </c>
      <c r="M359" s="3">
        <f>1265.9+(855.5-663.6)+(2.582436+(1.74522-1.353744))+0-432-0.881279999999981</f>
        <v>1027.892632</v>
      </c>
      <c r="N359" s="3">
        <f>1277+(937.3-693.2)+(0+(0-0))+0-416-0</f>
        <v>1105.0999999999999</v>
      </c>
      <c r="O359" s="3">
        <f>1344.1+(1016.5-798.8)+(-2.741964+(-2.07366--1.629552))+0-432--0.881279999999981</f>
        <v>1127.495208</v>
      </c>
      <c r="P359" s="3">
        <f>1603.2+(881.9-787.9)+(-3.270528+(-1.799076--1.607316))+0-439--0.895559999999981</f>
        <v>1255.633272</v>
      </c>
      <c r="Q359" s="3">
        <f>1623.4+(895.7-904.3)+(-2.483802+(-1.370421--1.383579))+0-414.9--0.634797000000024</f>
        <v>1198.064153</v>
      </c>
      <c r="R359" s="3">
        <f>1555.8+(798.9-827.8)+(-3.173832+(-1.629756--1.688712))+0-418.2--0.853127999999982</f>
        <v>1106.4382519999999</v>
      </c>
      <c r="S359" s="3">
        <f>1560.3+(744.1-702.1)+(1.591506+(0.758982-0.716142))+0-428.8-0.437376000000068</f>
        <v>1174.69697</v>
      </c>
      <c r="T359" s="3">
        <f>1564.7+(622.2-644.2)+(-1.595994+(-0.634644--0.657084))+0-430.7--0.439314000000069</f>
        <v>1110.8657599999999</v>
      </c>
      <c r="U359" s="3">
        <f>1559.2+(743.2-723.2)+(0+(0-0))+0-429.3-0</f>
        <v>1149.9000000000001</v>
      </c>
      <c r="V359" s="3">
        <f>1556+(763.4-737.4)+(-3.17424+(-1.557336--1.504296))+0-431.1--0.879443999999981</f>
        <v>1148.5521639999999</v>
      </c>
      <c r="W359" s="3">
        <f>1554.5+(1011.1-1044.6)+(-0.792795+(-0.515661--0.532746))+0-403.7--0.205886999999959</f>
        <v>1116.7301769999999</v>
      </c>
      <c r="X359" s="3">
        <f>1552.4+(1129.8-915.9)+(-0.791724+(-0.576198--0.467109))+0-385.6--0.196655999999961</f>
        <v>1379.9958429999999</v>
      </c>
      <c r="Y359" s="3">
        <f>1545+(995.4-697.2)+(-4.7277+(-3.045924--2.133432))+0-386.1--1.18146600000004</f>
        <v>1452.6412739999996</v>
      </c>
      <c r="Z359" s="3">
        <f>1544.9+(830.3-727.4)+(-2.363697+(-1.270359--1.112922))+0-388.3--0.594099000000022</f>
        <v>1257.5729650000001</v>
      </c>
      <c r="AA359" s="3">
        <f>1547.2+(1088-1002.8)+(-2.367216+(-1.66464--1.534284))+0-389.1--0.595323000000022</f>
        <v>1241.397751</v>
      </c>
      <c r="AB359" s="3">
        <f>1466+(1291.9-1090.4)+(-2.99064+(-2.635476--2.224416))+0-385.4--0.786215999999983</f>
        <v>1279.484516</v>
      </c>
      <c r="AC359" s="3">
        <f>1250+(1197.7-790)+(-3.1875+(-3.054135--2.0145))+0-389.5--0.993224999999944</f>
        <v>1264.9660899999999</v>
      </c>
      <c r="AD359">
        <f t="shared" si="5"/>
        <v>27330.923055000007</v>
      </c>
      <c r="AE359" s="3">
        <f>1671+(1041.2-707.8)+(0+(0-0))+0-384.2-0</f>
        <v>1620.2</v>
      </c>
    </row>
    <row r="360" spans="1:31" s="2" customFormat="1" x14ac:dyDescent="0.25">
      <c r="A360">
        <v>89</v>
      </c>
      <c r="B360">
        <v>12</v>
      </c>
      <c r="C360">
        <v>24</v>
      </c>
      <c r="D360">
        <v>4</v>
      </c>
      <c r="E360">
        <v>1</v>
      </c>
      <c r="F360" s="3">
        <f>1282.4+(875-449)+(-3.924144+(-2.6775--1.37394))+0-391.6--1.19829600000005</f>
        <v>1312.7705920000003</v>
      </c>
      <c r="G360" s="3">
        <f>1281.7+(628.8-263.7)+(-3.268335+(-1.60344--0.672435))+0-398.7--1.01668499999994</f>
        <v>1244.9173450000001</v>
      </c>
      <c r="H360" s="3">
        <f>1282+(568.2-387.3)+(0+(0-0))+0-405.7-0</f>
        <v>1057.2</v>
      </c>
      <c r="I360" s="3">
        <f>1279.7+(602-358.3)+(-3.915882+(-1.84212--1.096398))+0-397.8--1.21726800000005</f>
        <v>1122.1556640000003</v>
      </c>
      <c r="J360" s="3">
        <f>1285.4+(540-301.1)+(1.966662+(0.8262-0.460683))+0-398.7-0.610011000000023</f>
        <v>1127.3221680000001</v>
      </c>
      <c r="K360" s="3">
        <f>1281.6+(622.1-363.8)+(-3.26808+(-1.586355--0.92769))+0-393.9--1.00444499999994</f>
        <v>1143.0776999999998</v>
      </c>
      <c r="L360" s="3">
        <f>1282.7+(530.7-329.4)+(-1.962531+(-0.811971--0.503982))+0-398.8--0.610164000000023</f>
        <v>1083.539644</v>
      </c>
      <c r="M360" s="3">
        <f>1301+(593.2-401.5)+(-1.32702+(-0.605064--0.40953))+0-403.3--0.411366000000064</f>
        <v>1088.2888120000002</v>
      </c>
      <c r="N360" s="3">
        <f>1469.8+(550.7-517.2)+(0+(0-0))+0-408.2-0</f>
        <v>1095.0999999999999</v>
      </c>
      <c r="O360" s="3">
        <f>1533.5+(1101.2-1146.8)+(-1.56417+(-1.123224--1.169736))+0-401.1--0.409122000000064</f>
        <v>1085.691464</v>
      </c>
      <c r="P360" s="3">
        <f>1641.9+(1235.8-1255.5)+(-0.837369+(-0.630258--0.640305))+0-390.3--0.19905299999996</f>
        <v>1231.271731</v>
      </c>
      <c r="Q360" s="3">
        <f>1641.2+(1271-1325.9)+(-2.511036+(-1.94463--2.028627))+0-386.7--0.591651000000022</f>
        <v>1197.7646119999999</v>
      </c>
      <c r="R360" s="3">
        <f>1644+(1239-1261.6)+(-1.67688+(-1.26378--1.286832))+0-390.3--0.398106000000062</f>
        <v>1229.8442780000003</v>
      </c>
      <c r="S360" s="3">
        <f>1642.7+(1119.1-1045)+(-0.837777+(-0.570741--0.53295))+0-397.2--0.20257199999996</f>
        <v>1318.9270039999999</v>
      </c>
      <c r="T360" s="3">
        <f>1644.6+(942.1-876.7)+(-0.838746+(-0.480471--0.447117))+0-393.1--0.20048099999996</f>
        <v>1316.2283809999999</v>
      </c>
      <c r="U360" s="3">
        <f>1641.1+(765.7-677.2)+(-2.510883+(-1.171521--1.036116))+0-404.3--0.618579000000023</f>
        <v>1323.272291</v>
      </c>
      <c r="V360" s="3">
        <f>1637.9+(685.1-630.5)+(-6.682632+(-2.795208--2.57244))+0-409.3--1.66994399999996</f>
        <v>1277.9645439999999</v>
      </c>
      <c r="W360" s="3">
        <f>1642.8+(746.4-776)+(0.837828+(0.380664-0.39576))+0-402.9-0.205478999999959</f>
        <v>1210.9172529999998</v>
      </c>
      <c r="X360" s="3">
        <f>1666.1+(1313.4-1393.2)+(0.849711+(0.669834-0.710532))+0-359.9-0.183548999999963</f>
        <v>1227.0254640000003</v>
      </c>
      <c r="Y360" s="3">
        <f>1669.2+(1738.2-1472.8)+(-3.405168+(-3.545928--3.004512))+0-362.9--0.740315999999984</f>
        <v>1568.4937319999999</v>
      </c>
      <c r="Z360" s="3">
        <f>1597.6+(1573.6-1336)+(-1.629552+(-1.605072--1.36272))+0-364.8--0.372096000000058</f>
        <v>1468.9001919999998</v>
      </c>
      <c r="AA360" s="3">
        <f>1496.8+(1436.6-1040.6)+(-1.526736+(-1.465332--1.061412))+0-403.5--0.411570000000064</f>
        <v>1487.7809139999999</v>
      </c>
      <c r="AB360" s="3">
        <f>1493+(1230.6-781)+(-0.76143+(-0.627606--0.39831))+0-407--0.207569999999959</f>
        <v>1534.8168439999999</v>
      </c>
      <c r="AC360" s="3">
        <f>1468.5+(835.1-564)+(-0.748935+(-0.425901--0.28764))+0-396.8--0.20236799999996</f>
        <v>1342.115172</v>
      </c>
      <c r="AD360">
        <f t="shared" si="5"/>
        <v>30095.385801</v>
      </c>
      <c r="AE360" s="3">
        <f>1669+(1740.9-1538.7)+(0+(0-0))+0-360.2-0</f>
        <v>1511</v>
      </c>
    </row>
    <row r="361" spans="1:31" s="2" customFormat="1" x14ac:dyDescent="0.25">
      <c r="A361">
        <v>89</v>
      </c>
      <c r="B361">
        <v>12</v>
      </c>
      <c r="C361">
        <v>25</v>
      </c>
      <c r="D361">
        <v>5</v>
      </c>
      <c r="E361">
        <v>1</v>
      </c>
      <c r="F361" s="3">
        <f>1287.7+(856.4-519.5)+(-0.656727+(-0.436764--0.264945))+0-402.5--0.205274999999959</f>
        <v>1221.476729</v>
      </c>
      <c r="G361" s="3">
        <f>1283.5+(754-498.9)+(-1.30917+(-0.76908--0.508878))+0-408.4--0.416568000000065</f>
        <v>1129.047196</v>
      </c>
      <c r="H361" s="3">
        <f>1282.9+(753.2-483.3)+(-2.617116+(-1.536528--0.985932))+0-409.3--0.834971999999982</f>
        <v>1141.1672600000002</v>
      </c>
      <c r="I361" s="3">
        <f>1285.6+(745.8-501.2)+(1.311312+(0.760716-0.511224))+0-407.6-0.415752000000065</f>
        <v>1123.7450519999995</v>
      </c>
      <c r="J361" s="3">
        <f>1283.7+(740.5-519.4)+(0+(0-0))+0-413.8-0</f>
        <v>1091.0000000000002</v>
      </c>
      <c r="K361" s="3">
        <f>1289.3+(721.6-492.3)+(1.315086+(0.736032-0.502146))+0-410.8-0.419016000000066</f>
        <v>1108.9299559999999</v>
      </c>
      <c r="L361" s="3">
        <f>1263.3+(615.2-441.7)+(-3.221415+(-1.56876--1.126335))+0-420.1--1.07125499999994</f>
        <v>1014.1074149999999</v>
      </c>
      <c r="M361" s="3">
        <f>1279.4+(601.7-488.5)+(1.304988+(0.613734-0.49827))+0-416.4-0.424728000000066</f>
        <v>977.19572400000015</v>
      </c>
      <c r="N361" s="3">
        <f>1369.6+(1238.7-947.3)+(0.698496+(0.631737-0.483123))+0-407.7-0.207926999999959</f>
        <v>1253.939183</v>
      </c>
      <c r="O361" s="3">
        <f>1608.6+(1375.7-1281.6)+(-1.640772+(-1.403214--1.307232))+0-402.9--0.410958000000064</f>
        <v>1298.4742040000003</v>
      </c>
      <c r="P361" s="3">
        <f>1700.2+(1422.1-1341.7)+(1.734204+(1.450542-1.368534))+0-406-0.414120000000065</f>
        <v>1376.0020919999997</v>
      </c>
      <c r="Q361" s="3">
        <f>1706.7+(1724.4-1612.1)+(2.611251+(2.638332-2.466513))+0-401.4-0.614142000000023</f>
        <v>1419.7689280000002</v>
      </c>
      <c r="R361" s="3">
        <f>1702.4+(1343.5-1304.5)+(-2.604672+(-2.055555--1.995885))+0-402.4--0.615672000000023</f>
        <v>1336.9513300000001</v>
      </c>
      <c r="S361" s="3">
        <f>1700.4+(1043-1037.3)+(-0.867204+(-0.53193--0.529023))+0-404.7--0.206396999999959</f>
        <v>1300.7362860000001</v>
      </c>
      <c r="T361" s="3">
        <f>1698.1+(1096.8-1118.5)+(-2.598093+(-1.678104--1.711305))+0-403.4--0.617202000000023</f>
        <v>1271.0523099999998</v>
      </c>
      <c r="U361" s="3">
        <f>1698.4+(1041.3-997.1)+(-3.464736+(-2.124252--2.034084))+0-407.2--0.830687999999982</f>
        <v>1332.6757839999998</v>
      </c>
      <c r="V361" s="3">
        <f>1698.1+(975.7-962.2)+(-1.732062+(-0.995214--0.981444))+0-405.7--0.413814000000065</f>
        <v>1304.5679819999998</v>
      </c>
      <c r="W361" s="3">
        <f>1694.8+(643.2-713)+(-5.186088+(-1.968192--2.18178))+0-381.6--1.16769600000004</f>
        <v>1239.5951959999998</v>
      </c>
      <c r="X361" s="3">
        <f>1701+(1087.3-1114.2)+(0.86751+(0.554523-0.568242))+0-372.7-0.190076999999962</f>
        <v>1302.0637139999999</v>
      </c>
      <c r="Y361" s="3">
        <f>1697+(1652.6-1486.1)+(-4.32735+(-4.21413--3.789555))+0-373--0.951149999999946</f>
        <v>1486.6992249999998</v>
      </c>
      <c r="Z361" s="3">
        <f>1699.7+(1424.8-1201)+(-1.733694+(-1.453296--1.22502))+0-357.7--0.364854000000057</f>
        <v>1564.202884</v>
      </c>
      <c r="AA361" s="3">
        <f>1696.6+(1216.8-1030.5)+(-4.32633+(-3.10284--2.627775))+0-394--1.00469999999994</f>
        <v>1485.1033049999999</v>
      </c>
      <c r="AB361" s="3">
        <f>1696.6+(966.6-769.9)+(-4.32633+(-2.46483--1.963245))+0-399.6--1.01897999999994</f>
        <v>1489.8910649999998</v>
      </c>
      <c r="AC361" s="3">
        <f>1676.5+(646.8-611.5)+(-3.42006+(-1.319472--1.24746))+0-394.8--0.805391999999983</f>
        <v>1314.31332</v>
      </c>
      <c r="AD361">
        <f t="shared" si="5"/>
        <v>30582.706139999998</v>
      </c>
      <c r="AE361" s="3">
        <f>1667+(1670.7-1573.6)+(0+(0-0))+0-372.6-0</f>
        <v>1391.5</v>
      </c>
    </row>
    <row r="362" spans="1:31" s="2" customFormat="1" x14ac:dyDescent="0.25">
      <c r="A362">
        <v>89</v>
      </c>
      <c r="B362">
        <v>12</v>
      </c>
      <c r="C362">
        <v>26</v>
      </c>
      <c r="D362">
        <v>6</v>
      </c>
      <c r="E362">
        <v>1</v>
      </c>
      <c r="F362" s="3">
        <f>1373.4+(733.3-469)+(-2.101302+(-1.121949--0.71757))+0-408.6--0.625158000000024</f>
        <v>1227.2194769999999</v>
      </c>
      <c r="G362" s="3">
        <f>1283.5+(592-373.8)+(-1.30917+(-0.60384--0.381276))+0-418.5--0.426870000000067</f>
        <v>1082.0951360000001</v>
      </c>
      <c r="H362" s="3">
        <f>1283+(532.6-366.8)+(-1.96299+(-0.814878--0.561204))+0-419--0.641070000000024</f>
        <v>1028.224406</v>
      </c>
      <c r="I362" s="3">
        <f>1284.6+(579-405.4)+(0.655146+(0.29529-0.206754))+0-412.8-0.210527999999958</f>
        <v>1045.9331539999998</v>
      </c>
      <c r="J362" s="3">
        <f>1281.4+(648.3-449.2)+(-1.960542+(-0.991899--0.687276))+0-413.8--0.633114000000024</f>
        <v>1065.067949</v>
      </c>
      <c r="K362" s="3">
        <f>1283+(643-440.3)+(-0.65433+(-0.32793--0.224553))+0-417.1--0.212720999999958</f>
        <v>1068.055014</v>
      </c>
      <c r="L362" s="3">
        <f>1284.3+(649.1-497.8)+(-2.619972+(-1.324164--1.015512))+0-411.7--0.839867999999982</f>
        <v>1021.811244</v>
      </c>
      <c r="M362" s="3">
        <f>1289.1+(675.5-547.3)+(0.657441+(0.344505-0.279123))+0-423.4-0.215933999999957</f>
        <v>994.40688900000009</v>
      </c>
      <c r="N362" s="3">
        <f>1288.6+(893.2-744.8)+(0.657186+(0.455532-0.379848))+0-419.2-0.213791999999957</f>
        <v>1018.319078</v>
      </c>
      <c r="O362" s="3">
        <f>1429.4+(1153-984.2)+(-2.186982+(-1.76409--1.505826))+0-402.6--0.615978000000023</f>
        <v>1193.7707320000002</v>
      </c>
      <c r="P362" s="3">
        <f>1476.5+(1114.9-956.1)+(-2.259045+(-1.705797--1.462833))+0-415.9--0.636327000000024</f>
        <v>1217.5343180000002</v>
      </c>
      <c r="Q362" s="3">
        <f>1476.9+(1142.5-880)+(-0.753219+(-0.582675--0.4488))+0-411.3--0.209762999999958</f>
        <v>1327.4226690000003</v>
      </c>
      <c r="R362" s="3">
        <f>1474.8+(1034.4-808)+(-2.256444+(-1.582632--1.23624))+0-418.5--0.640305000000024</f>
        <v>1280.7374690000001</v>
      </c>
      <c r="S362" s="3">
        <f>1476.4+(857.4-764)+(0+(0-0))+0-416-0</f>
        <v>1153.8000000000002</v>
      </c>
      <c r="T362" s="3">
        <f>1474.3+(949.8-765.9)+(-2.255679+(-1.453194--1.171827))+0-419.5--0.641835000000024</f>
        <v>1236.804789</v>
      </c>
      <c r="U362" s="3">
        <f>1471.9+(615.9-507)+(-5.254683+(-2.198763--1.80999))+0-418.3--1.49333100000001</f>
        <v>1158.3498750000001</v>
      </c>
      <c r="V362" s="3">
        <f>1475.6+(549.6-521.7)+(-1.505112+(-0.560592--0.532134))+0-424.9--0.433398000000068</f>
        <v>1077.499828</v>
      </c>
      <c r="W362" s="3">
        <f>1487.2+(776.3-794)+(-3.033888+(-1.583652--1.61976))+0-393.6--0.802943999999983</f>
        <v>1073.705164</v>
      </c>
      <c r="X362" s="3">
        <f>1615+(935.2-968.4)+(0+(0-0))+0-388.3-0</f>
        <v>1193.5000000000002</v>
      </c>
      <c r="Y362" s="3">
        <f>1669.3+(1272-1108.6)+(-3.405372+(-2.59488--2.261544))+0-388.1--0.791723999999983</f>
        <v>1441.653016</v>
      </c>
      <c r="Z362" s="3">
        <f>1645.5+(1235.5-1086.8)+(-2.517615+(-1.890315--1.662804))+0-387.3--0.592569000000022</f>
        <v>1404.747443</v>
      </c>
      <c r="AA362" s="3">
        <f>1495.7+(1486.7-1144.9)+(-0.762807+(-0.758217--0.583899))+0-421.1--0.214760999999957</f>
        <v>1415.6776360000001</v>
      </c>
      <c r="AB362" s="3">
        <f>1323.1+(1556-1021.7)+(2.024343+(2.38068-1.563201))+0-422.1-0.645813000000024</f>
        <v>1437.496009</v>
      </c>
      <c r="AC362" s="3">
        <f>1186.6+(1275.5-834.9)+(-3.02583+(-3.252525--2.128995))+0-424.1--1.08145499999994</f>
        <v>1200.032095</v>
      </c>
      <c r="AD362">
        <f t="shared" si="5"/>
        <v>28363.863389999999</v>
      </c>
      <c r="AE362" s="3">
        <f>1669+(1166.6-1141.8)+(0+(0-0))+0-387.2-0</f>
        <v>1306.5999999999999</v>
      </c>
    </row>
    <row r="363" spans="1:31" s="2" customFormat="1" x14ac:dyDescent="0.25">
      <c r="A363">
        <v>89</v>
      </c>
      <c r="B363">
        <v>12</v>
      </c>
      <c r="C363">
        <v>27</v>
      </c>
      <c r="D363">
        <v>7</v>
      </c>
      <c r="E363">
        <v>1</v>
      </c>
      <c r="F363" s="3">
        <f>1284.8+(1121.3-674.9)+(-2.620992+(-2.287452--1.376796))+0-415.8--0.848231999999982</f>
        <v>1312.716584</v>
      </c>
      <c r="G363" s="3">
        <f>1285.3+(934.6-713.8)+(-1.966509+(-1.429938--1.092114))+0-422--0.645660000000024</f>
        <v>1082.441327</v>
      </c>
      <c r="H363" s="3">
        <f>1284.2+(817.6-690.7)+(-0.654942+(-0.416976--0.352257))+0-426.1--0.217310999999957</f>
        <v>984.49764999999979</v>
      </c>
      <c r="I363" s="3">
        <f>1284.8+(670.8-532.3)+(-1.965744+(-1.026324--0.814419))+0-430.8--0.659124000000025</f>
        <v>990.98147500000005</v>
      </c>
      <c r="J363" s="3">
        <f>1285.6+(670.1-524.6)+(0.655656+(0.341751-0.267546))+0-424.1-0.216290999999957</f>
        <v>1007.51357</v>
      </c>
      <c r="K363" s="3">
        <f>1285+(811.1-616.1)+(-1.96605+(-1.240983--0.942633))+0-423.4--0.647802000000024</f>
        <v>1054.9834019999998</v>
      </c>
      <c r="L363" s="3">
        <f>1261.5+(733.7-596.6)+(-1.28673+(-0.748374--0.608532))+0-425.6--0.434112000000068</f>
        <v>972.00753999999984</v>
      </c>
      <c r="M363" s="3">
        <f>1265+(814.8-638.3)+(0+(0-0))+0-425.4-0</f>
        <v>1016.1</v>
      </c>
      <c r="N363" s="3">
        <f>1247.3+(928.9-715.4)+(0.636123+(0.473739-0.364854))+0-422-0.215219999999957</f>
        <v>1039.329788</v>
      </c>
      <c r="O363" s="3">
        <f>1238.4+(986.9-752.1)+(-0.631584+(-0.503319--0.383571))+0-424.5--0.216494999999957</f>
        <v>1048.1651629999999</v>
      </c>
      <c r="P363" s="3">
        <f>1262.3+(995.9-784.1)+(-2.575092+(-2.031636--1.599564))+0-423.8--0.864551999999982</f>
        <v>1048.1573879999999</v>
      </c>
      <c r="Q363" s="3">
        <f>1273.1+(1052.1-743.6)+(-2.597124+(-2.146284--1.516944))+0-428--0.873119999999981</f>
        <v>1151.2466559999998</v>
      </c>
      <c r="R363" s="3">
        <f>1286.4+(990.8-719.6)+(-0.656064+(-0.505308--0.366996))+0-425--0.216749999999957</f>
        <v>1132.0223739999999</v>
      </c>
      <c r="S363" s="3">
        <f>1284.6+(949.6-717.4)+(0.655146+(0.484296-0.365874))+0-420.8-0.214607999999957</f>
        <v>1096.5589600000001</v>
      </c>
      <c r="T363" s="3">
        <f>1283.6+(901.3-721.2)+(-3.27318+(-2.298315--1.83906))+0-415--1.05824999999994</f>
        <v>1046.025815</v>
      </c>
      <c r="U363" s="3">
        <f>1285.1+(918-665.3)+(-3.277005+(-2.3409--1.696515))+0-415.8--1.06028999999994</f>
        <v>1119.1388999999999</v>
      </c>
      <c r="V363" s="3">
        <f>1285.7+(891.3-693.4)+(-1.967121+(-1.363689--1.060902))+0-398.8--0.610164000000023</f>
        <v>1083.1402559999999</v>
      </c>
      <c r="W363" s="3">
        <f>1396.9+(717.4-707.6)+(-1.424838+(-0.731748--0.721752))+0-380.5--0.388110000000061</f>
        <v>1025.1532760000002</v>
      </c>
      <c r="X363" s="3">
        <f>1632.6+(939.9-1080)+(0+(0-0))+0-382.4-0</f>
        <v>1110.0999999999999</v>
      </c>
      <c r="Y363" s="3">
        <f>1669.9+(1454.8-1338.3)+(-2.554947+(-2.225844--2.047599))+0-385.1--0.589203000000022</f>
        <v>1399.156011</v>
      </c>
      <c r="Z363" s="3">
        <f>1670+(1355.1-1284.4)+(-1.7034+(-1.382202--1.310088))+0-389.6--0.397392000000062</f>
        <v>1349.7218780000001</v>
      </c>
      <c r="AA363" s="3">
        <f>1661.9+(1441.8-1471.8)+(-1.695138+(-1.470636--1.501236))+0-386.3--0.394026000000062</f>
        <v>1244.3294880000003</v>
      </c>
      <c r="AB363" s="3">
        <f>1559+(1585.4-1378.1)+(-3.18036+(-3.234216--2.811324))+0-387.8--0.791111999999983</f>
        <v>1375.68786</v>
      </c>
      <c r="AC363" s="3">
        <f>1385.7+(1242.9-964.3)+(-2.826828+(-2.535516--1.967172))+0-387.6--0.790703999999983</f>
        <v>1274.0955320000003</v>
      </c>
      <c r="AD363">
        <f t="shared" si="5"/>
        <v>26963.270893000001</v>
      </c>
      <c r="AE363" s="3">
        <f>1667+(1407.4-1350.5)+(0+(0-0))+0-384.2-0</f>
        <v>1339.7</v>
      </c>
    </row>
    <row r="364" spans="1:31" s="2" customFormat="1" x14ac:dyDescent="0.25">
      <c r="A364">
        <v>89</v>
      </c>
      <c r="B364">
        <v>12</v>
      </c>
      <c r="C364">
        <v>28</v>
      </c>
      <c r="D364">
        <v>1</v>
      </c>
      <c r="E364">
        <v>6</v>
      </c>
      <c r="F364" s="3">
        <f>1219.7+(1257.3-836.5)+(-2.488188+(-2.564892--1.70646))+0-382.5--0.780299999999983</f>
        <v>1255.4336799999999</v>
      </c>
      <c r="G364" s="3">
        <f>1096.8+(1101.3-778)+(-2.79684+(-2.808315--1.9839))+0-389.8--0.993989999999943</f>
        <v>1027.6727349999999</v>
      </c>
      <c r="H364" s="3">
        <f>1095+(1018.7-699.8)+(0.55845+(0.519537-0.356898))+0-388.4-0.198083999999961</f>
        <v>1026.0230050000002</v>
      </c>
      <c r="I364" s="3">
        <f>1093.6+(960.6-684.4)+(-2.78868+(-2.44953--1.74522))+0-387.5--0.988124999999944</f>
        <v>979.79513499999996</v>
      </c>
      <c r="J364" s="3">
        <f>1095+(978-740.4)+(1.1169+(0.99756-0.755208))+0-387.9-0.395658000000062</f>
        <v>945.66359399999988</v>
      </c>
      <c r="K364" s="3">
        <f>1093.8+(1064.5-728.5)+(0+(0-0))+0-388.7-0</f>
        <v>1041.0999999999999</v>
      </c>
      <c r="L364" s="3">
        <f>1083.9+(1070.6-751)+(-1.658367+(-1.638018--1.14903))+0-390.4--0.597312000000022</f>
        <v>1011.5499569999999</v>
      </c>
      <c r="M364" s="3">
        <f>1084.9+(1061.7-806.2)+(-0.553299+(-0.541467--0.411162))+0-388.1--0.197930999999961</f>
        <v>951.81432699999993</v>
      </c>
      <c r="N364" s="3">
        <f>1108.7+(1064.7-770.3)+(-0.565437+(-0.542997--0.392853))+0-388--0.197879999999961</f>
        <v>1014.5822990000001</v>
      </c>
      <c r="O364" s="3">
        <f>1162.3+(1008.6-784.9)+(-1.778319+(-1.543158--1.200897))+0-389.3--0.595629000000023</f>
        <v>995.17504900000006</v>
      </c>
      <c r="P364" s="3">
        <f>1284.3+(1035.5-850.3)+(-0.654993+(-0.528105--0.433653))+0-389--0.198389999999961</f>
        <v>1079.9489450000001</v>
      </c>
      <c r="Q364" s="3">
        <f>1301.6+(1164.3-1004.7)+(-2.655264+(-2.375172--2.049588))+0-388.3--0.792131999999983</f>
        <v>1070.711284</v>
      </c>
      <c r="R364" s="3">
        <f>1318.5+(1159.1-1109.1)+(-1.34487+(-1.182282--1.131282))+0-389.4--0.397188000000062</f>
        <v>978.10131799999999</v>
      </c>
      <c r="S364" s="3">
        <f>1299.7+(1273.4-1111)+(0+(0-0))+0-380.6-0</f>
        <v>1081.5</v>
      </c>
      <c r="T364" s="3">
        <f>1270.3+(1292.3-1123.1)+(0.647853+(0.659073-0.572781))+0-374.6-0.191045999999962</f>
        <v>1065.4430990000001</v>
      </c>
      <c r="U364" s="3">
        <f>1305.9+(1355.7-1329.2)+(-0.666009+(-0.691407--0.677892))+0-378.2--0.192881999999962</f>
        <v>953.71335800000008</v>
      </c>
      <c r="V364" s="3">
        <f>1299.6+(1569.5-1548.3)+(-3.31398+(-4.002225--3.948165))+0-356.8--0.909839999999948</f>
        <v>961.54179999999985</v>
      </c>
      <c r="W364" s="3">
        <f>1297.9+(1769.7-1641.3)+(-2.647716+(-3.610188--3.348252))+0-362.1--0.738683999999984</f>
        <v>1062.0290319999999</v>
      </c>
      <c r="X364" s="3">
        <f>1457.1+(1906.7-1737.9)+(-0.743121+(-0.972417--0.886329))+0-373.3--0.190382999999962</f>
        <v>1251.9611739999998</v>
      </c>
      <c r="Y364" s="3">
        <f>1670.7+(1833.1-1777.5)+(-1.704114+(-1.869762--1.81305))+0-381--0.388620000000061</f>
        <v>1343.9277940000002</v>
      </c>
      <c r="Z364" s="3">
        <f>1534.9+(2075.1-1858.1)+(-0.782799+(-1.058301--0.947631))+0-385.2--0.196451999999961</f>
        <v>1366.0029829999999</v>
      </c>
      <c r="AA364" s="3">
        <f>1371.8+(2147.8-1697.4)+(-2.098854+(-3.286134--2.597022))+0-388.3--0.594099000000022</f>
        <v>1431.7061329999999</v>
      </c>
      <c r="AB364" s="3">
        <f>1292.7+(2047.1-1476.5)+(-1.977831+(-3.132063--2.259045))+0-386--0.590580000000022</f>
        <v>1475.0397310000001</v>
      </c>
      <c r="AC364" s="3">
        <f>1275.3+(1574.3-1096.7)+(-1.951209+(-2.408679--1.677951))+0-387.5--0.592875000000022</f>
        <v>1363.3109379999999</v>
      </c>
      <c r="AD364">
        <f t="shared" si="5"/>
        <v>26733.747369999994</v>
      </c>
      <c r="AE364" s="3">
        <f>1672+(1847.4-1704)+(0+(0-0))+0-382.4-0</f>
        <v>1433</v>
      </c>
    </row>
    <row r="365" spans="1:31" s="2" customFormat="1" x14ac:dyDescent="0.25">
      <c r="A365">
        <v>89</v>
      </c>
      <c r="B365">
        <v>12</v>
      </c>
      <c r="C365">
        <v>29</v>
      </c>
      <c r="D365">
        <v>2</v>
      </c>
      <c r="E365">
        <v>2</v>
      </c>
      <c r="F365" s="3">
        <f>1221.6+(1347.5-939.3)+(-1.869048+(-2.061675--1.437129))+0-388.9--0.595017000000022</f>
        <v>1239.0014230000002</v>
      </c>
      <c r="G365" s="3">
        <f>1179.8+(1136.9-876.2)+(-1.805094+(-1.739457--1.340586))+0-388.1--0.593793000000022</f>
        <v>1050.7898279999999</v>
      </c>
      <c r="H365" s="3">
        <f>1180.4+(1012.3-832.8)+(-2.408016+(-2.065092--1.698912))+0-373.7--0.762347999999984</f>
        <v>984.18815199999995</v>
      </c>
      <c r="I365" s="3">
        <f>1183.1+(1048.1-852.3)+(0.603381+(0.534531-0.434673))+0-380.4-0.194003999999961</f>
        <v>999.00923499999988</v>
      </c>
      <c r="J365" s="3">
        <f>1183.8+(960.5-814.7)+(1.811214+(1.469565-1.246491))+0-388.6-0.594558000000022</f>
        <v>942.43972999999994</v>
      </c>
      <c r="K365" s="3">
        <f>1182.7+(1064.2-871.7)+(-1.206354+(-1.085484--0.889134))+0-388.7--0.396474000000062</f>
        <v>985.49376999999993</v>
      </c>
      <c r="L365" s="3">
        <f>1171.3+(931.1-792)+(-1.792089+(-1.424583--1.21176))+0-388.7--0.594711000000022</f>
        <v>920.28979900000002</v>
      </c>
      <c r="M365" s="3">
        <f>1142.5+(1113.2-867)+(2.3307+(2.270928-1.76868))+0-382.9-0.781115999999983</f>
        <v>1007.8518320000001</v>
      </c>
      <c r="N365" s="3">
        <f>1167.9+(1034.9-728.4)+(0+(0-0))+0-385.2-0</f>
        <v>1089.2</v>
      </c>
      <c r="O365" s="3">
        <f>1148.6+(921.6-782.3)+(-1.171572+(-0.940032--0.797946))+0-378.8--0.38637600000006</f>
        <v>908.17271800000015</v>
      </c>
      <c r="P365" s="3">
        <f>1219.9+(1013.2-916.5)+(-2.488596+(-2.066928--1.86966))+0-385.5--0.786419999999983</f>
        <v>929.20055600000012</v>
      </c>
      <c r="Q365" s="3">
        <f>1234.8+(1160.5-943)+(-1.889244+(-1.775565--1.44279))+0-384.6--0.588438000000022</f>
        <v>1066.066419</v>
      </c>
      <c r="R365" s="3">
        <f>1188.1+(1186.4-885.4)+(-1.817793+(-1.815192--1.354662))+0-386.9--0.591957000000022</f>
        <v>1100.5136339999999</v>
      </c>
      <c r="S365" s="3">
        <f>1108.8+(1171.6-848.2)+(-2.82744+(-2.98758--2.16291))+0-389.9--0.994244999999943</f>
        <v>1039.6421349999996</v>
      </c>
      <c r="T365" s="3">
        <f>1104.9+(1148.7-858.8)+(-2.253996+(-2.343348--1.751952))+0-386.1--0.787643999999983</f>
        <v>1006.6422520000002</v>
      </c>
      <c r="U365" s="3">
        <f>1106.1+(1145.8-860.3)+(-1.692333+(-1.753074--1.316259))+0-387.5--0.592875000000022</f>
        <v>1002.563727</v>
      </c>
      <c r="V365" s="3">
        <f>1108.5+(1155.5-869.1)+(0.565335+(0.589305-0.443241))+0-385.8-0.196757999999961</f>
        <v>1009.6146410000002</v>
      </c>
      <c r="W365" s="3">
        <f>1141.8+(1142.2-883.6)+(0+(0-0))+0-387-0</f>
        <v>1013.4000000000001</v>
      </c>
      <c r="X365" s="3">
        <f>1341.6+(1439.8-1349.8)+(0.684216+(0.734298-0.688398))+0-387.1-0.197420999999961</f>
        <v>1045.0326949999999</v>
      </c>
      <c r="Y365" s="3">
        <f>1365.2+(2079.4-1679.1)+(-3.48126+(-5.30247--4.281705))+0-386--0.984299999999944</f>
        <v>1375.9822750000001</v>
      </c>
      <c r="Z365" s="3">
        <f>1367.9+(1951.5-1524.2)+(-2.092887+(-2.985795--2.332026))+0-387.8--0.593334000000022</f>
        <v>1405.246678</v>
      </c>
      <c r="AA365" s="3">
        <f>1367.2+(1783.5-1407.6)+(-1.394544+(-1.81917--1.435752))+0-377.1--0.38464200000006</f>
        <v>1364.6066800000003</v>
      </c>
      <c r="AB365" s="3">
        <f>1352.6+(1648.7-1212.9)+(-0.689826+(-0.840837--0.618579))+0-383.3--0.195482999999961</f>
        <v>1404.3833989999998</v>
      </c>
      <c r="AC365" s="3">
        <f>1339.9+(1353.3-971.4)+(-2.733396+(-2.760732--1.981656))+0-385.5--0.786419999999983</f>
        <v>1333.5739480000002</v>
      </c>
      <c r="AD365">
        <f t="shared" si="5"/>
        <v>26222.905526000002</v>
      </c>
      <c r="AE365" s="3">
        <f>1365+(2117.4-1790.8)+(0+(0-0))+0-389.9-0</f>
        <v>1301.7000000000003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89</v>
      </c>
      <c r="B1">
        <v>1</v>
      </c>
      <c r="C1">
        <v>1</v>
      </c>
      <c r="D1">
        <v>2</v>
      </c>
      <c r="E1">
        <v>2</v>
      </c>
      <c r="F1" s="3">
        <f>572.8+(628.5-534)+(0+(0-0))+0-0-0</f>
        <v>667.3</v>
      </c>
      <c r="G1" s="3">
        <f>558.1+(547.9-531)+(0+(0-0))+0-0-0</f>
        <v>575</v>
      </c>
      <c r="H1" s="3">
        <f>469.7+(486.5-445.1)+(0+(0-0))+0-0-0</f>
        <v>511.09999999999997</v>
      </c>
      <c r="I1" s="3">
        <f>461.7+(436.4-407.6)+(-0.235467+(-0.222564--0.207876))+0-0-0</f>
        <v>490.24984499999994</v>
      </c>
      <c r="J1" s="3">
        <f>461.8+(426.5-401.1)+(-1.17759+(-1.087575--1.022805))+0-0-0</f>
        <v>485.95763999999997</v>
      </c>
      <c r="K1" s="3">
        <f>462.9+(431.8-407.1)+(-0.236079+(-0.220218--0.207621))+0-0-0</f>
        <v>487.35132399999998</v>
      </c>
      <c r="L1" s="3">
        <f>462.8+(365.6-351.3)+(-1.18014+(-0.93228--0.895815))+0-0-0</f>
        <v>475.88339500000001</v>
      </c>
      <c r="M1" s="3">
        <f>462.4+(241.5-207.5)+(0.707472+(0.369495-0.317475))+0-0-0</f>
        <v>497.159492</v>
      </c>
      <c r="N1" s="3">
        <f>467.3+(311.8-242.3)+(0+(0-0))+0-0-0</f>
        <v>536.79999999999995</v>
      </c>
      <c r="O1" s="3">
        <f>616.7+(216.8-249.8)+(-1.258068+(-0.442272--0.509592))+0-0-0</f>
        <v>582.50925200000006</v>
      </c>
      <c r="P1" s="3">
        <f>652.3+(184.7-244.3)+(-1.663365+(-0.470985--0.622965))+0-0-0</f>
        <v>591.18861499999991</v>
      </c>
      <c r="Q1" s="3">
        <f>652.9+(166.1-236.7)+(-0.665958+(-0.169422--0.241434))+0-0-0</f>
        <v>581.70605399999999</v>
      </c>
      <c r="R1" s="3">
        <f>654.2+(159.6-247.3)+(-0.667284+(-0.162792--0.252246))+0-0-0</f>
        <v>565.92217000000005</v>
      </c>
      <c r="S1" s="3">
        <f>655.9+(149.3-254.7)+(0+(0-0))+0-0-0</f>
        <v>550.5</v>
      </c>
      <c r="T1" s="3">
        <f>656.3+(128-243.7)+(-1.004139+(-0.19584--0.372861))+0-0-0</f>
        <v>539.77288199999987</v>
      </c>
      <c r="U1" s="3">
        <f>656.7+(126.8-245.3)+(-1.004751+(-0.194004--0.375309))+0-0-0</f>
        <v>537.37655400000006</v>
      </c>
      <c r="V1" s="3">
        <f>655.7+(154.2-265.4)+(-1.003221+(-0.235926--0.406062))+0-0-0</f>
        <v>543.66691500000002</v>
      </c>
      <c r="W1" s="3">
        <f>656.9+(223.5-310.3)+(-0.670038+(-0.22797--0.316506))+0-0-0</f>
        <v>569.51849799999991</v>
      </c>
      <c r="X1" s="3">
        <f>656+(359.5-330.1)+(-0.33456+(-0.183345--0.168351))+0-0-0</f>
        <v>685.05044599999997</v>
      </c>
      <c r="Y1" s="3">
        <f>655.3+(658.4-434.3)+(0+(0-0))+0-0-0</f>
        <v>879.39999999999986</v>
      </c>
      <c r="Z1" s="3">
        <f>654.7+(793.4-578.9)+(-0.333897+(-0.404634--0.295239))+0-0-0</f>
        <v>868.756708</v>
      </c>
      <c r="AA1" s="3">
        <f>653.2+(779.6-592)+(-1.66566+(-1.98798--1.5096))+0-0-0</f>
        <v>838.65596000000005</v>
      </c>
      <c r="AB1" s="3">
        <f>653.4+(697.3-545.6)+(-0.666468+(-0.711246--0.556512))+0-0-0</f>
        <v>804.27879799999994</v>
      </c>
      <c r="AC1" s="3">
        <f>654+(599.8-517.4)+(-2.33478+(-2.141286--1.847118))+0-0-0</f>
        <v>733.77105199999994</v>
      </c>
      <c r="AD1">
        <f t="shared" ref="AD1:AD64" si="0">SUM(F1:AC1)</f>
        <v>14598.875599999998</v>
      </c>
      <c r="AE1" s="3">
        <f>655+(651-416)+(0+(0-0))+0-0-0</f>
        <v>890</v>
      </c>
    </row>
    <row r="2" spans="1:31" s="2" customFormat="1" x14ac:dyDescent="0.25">
      <c r="A2">
        <v>89</v>
      </c>
      <c r="B2">
        <v>1</v>
      </c>
      <c r="C2">
        <v>2</v>
      </c>
      <c r="D2">
        <v>3</v>
      </c>
      <c r="E2">
        <v>2</v>
      </c>
      <c r="F2" s="3">
        <f>(G2+AC1)/2</f>
        <v>647.66770099999997</v>
      </c>
      <c r="G2" s="3">
        <f>655+(369-461)+(-1.67025+(-0.94095--1.17555))+0-0-0</f>
        <v>561.56434999999999</v>
      </c>
      <c r="H2" s="3">
        <f>655+(323.9-443.9)+(-2.0043+(-0.991134--1.358334))+0-0-0</f>
        <v>533.36289999999997</v>
      </c>
      <c r="I2" s="3">
        <f>655.1+(273.2-424)+(-0.668202+(-0.278664--0.43248))+0-0-0</f>
        <v>503.78561400000001</v>
      </c>
      <c r="J2" s="3">
        <f>653.9+(249.2-402.7)+(0+(0-0))+0-0-0</f>
        <v>500.4</v>
      </c>
      <c r="K2" s="3">
        <f>654.2+(239.6-394)+(0.667284+(0.244392-0.40188))+0-0-0</f>
        <v>500.30979600000006</v>
      </c>
      <c r="L2" s="3">
        <f>655+(265.4-413)+(0.33405+(0.135354-0.21063))+0-0-0</f>
        <v>507.65877399999999</v>
      </c>
      <c r="M2" s="3">
        <f>656+(281.3-459.2)+(-1.6728+(-0.717315--1.17096))+0-0-0</f>
        <v>476.88084500000002</v>
      </c>
      <c r="N2" s="3">
        <f>655.8+(329.4-496.6)+(-0.668916+(-0.335988--0.506532))+0-0-0</f>
        <v>488.10162799999989</v>
      </c>
      <c r="O2" s="3">
        <f>653.6+(357.4-465.3)+(-0.666672+(-0.364548--0.474606))+0-0-0</f>
        <v>545.14338600000008</v>
      </c>
      <c r="P2" s="3">
        <f>656.1+(383.8-454.1)+(-0.669222+(-0.391476--0.463182))+0-0-0</f>
        <v>585.20248399999991</v>
      </c>
      <c r="Q2" s="3">
        <f>650.3+(402-453.1)+(-0.994959+(-0.61506--0.693243))+0-0-0</f>
        <v>598.2832239999999</v>
      </c>
      <c r="R2" s="3">
        <f>652.5+(458.4-515.8)+(0+(0-0))+0-0-0</f>
        <v>595.1</v>
      </c>
      <c r="S2" s="3">
        <f>654.6+(462.8-536.3)+(-1.66923+(-1.18014--1.367565))+0-0-0</f>
        <v>579.61819500000013</v>
      </c>
      <c r="T2" s="3">
        <f>655.9+(470.3-562.5)+(-0.334509+(-0.239853--0.286875))+0-0-0</f>
        <v>563.41251299999999</v>
      </c>
      <c r="U2" s="3">
        <f>653.9+(443-546.5)+(-0.333489+(-0.22593--0.278715))+0-0-0</f>
        <v>550.11929599999996</v>
      </c>
      <c r="V2" s="3">
        <f>654.6+(443-540.3)+(-1.001538+(-0.67779--0.826659))+0-0-0</f>
        <v>556.44733100000008</v>
      </c>
      <c r="W2" s="3">
        <f>654.5+(422.8-516.3)+(-0.66759+(-0.431256--0.526626))+0-0-0</f>
        <v>560.42777999999998</v>
      </c>
      <c r="X2" s="3">
        <f>655.4+(419.9-511.9)+(0+(0-0))+0-0-0</f>
        <v>563.4</v>
      </c>
      <c r="Y2" s="3">
        <f>854.4+(391.8-533.6)+(-0.435744+(-0.199818--0.272136))+0-0-0</f>
        <v>712.23657399999991</v>
      </c>
      <c r="Z2" s="3">
        <f>888.4+(593-579.1)+(-1.812336+(-1.20972--1.181364))+0-0-0</f>
        <v>900.45930799999996</v>
      </c>
      <c r="AA2" s="3">
        <f>846+(639.8-589.7)+(-0.86292+(-0.652596--0.601494))+0-0-0</f>
        <v>895.18597799999986</v>
      </c>
      <c r="AB2" s="3">
        <f>770.4+(705.4-612.9)+(-1.178712+(-1.079262--0.937737))+0-0-0</f>
        <v>861.57976299999996</v>
      </c>
      <c r="AC2" s="3">
        <f>770.1+(602.4-558.4)+(-1.178253+(-0.921672--0.854352))+0-0-0</f>
        <v>812.85442699999999</v>
      </c>
      <c r="AD2">
        <f t="shared" si="0"/>
        <v>14599.201866999998</v>
      </c>
      <c r="AE2" s="3">
        <f>894+(606-593)+(0+(0-0))+0-0-0</f>
        <v>907</v>
      </c>
    </row>
    <row r="3" spans="1:31" s="2" customFormat="1" x14ac:dyDescent="0.25">
      <c r="A3">
        <v>89</v>
      </c>
      <c r="B3">
        <v>1</v>
      </c>
      <c r="C3">
        <v>3</v>
      </c>
      <c r="D3">
        <v>4</v>
      </c>
      <c r="E3">
        <v>2</v>
      </c>
      <c r="F3" s="3">
        <f>662+(573.1-509.7)+(-1.35048+(-1.169124--1.039788))+0-0-0</f>
        <v>723.92018400000006</v>
      </c>
      <c r="G3" s="3">
        <f>654+(399.2-443.3)+(-1.00062+(-0.610776--0.678249))+0-0-0</f>
        <v>608.96685300000001</v>
      </c>
      <c r="H3" s="3">
        <f>653.6+(350.9-475.5)+(-2.000016+(-1.073754--1.45503))+0-0-0</f>
        <v>527.38126</v>
      </c>
      <c r="I3" s="3">
        <f>653.7+(282.6-425.7)+(-0.666774+(-0.288252--0.434214))+0-0-0</f>
        <v>510.0791880000001</v>
      </c>
      <c r="J3" s="3">
        <f>654.1+(270.3-417.3)+(-1.000773+(-0.413559--0.638469))+0-0-0</f>
        <v>506.32413700000001</v>
      </c>
      <c r="K3" s="3">
        <f>652.8+(279-429.6)+(-0.332928+(-0.14229--0.219096))+0-0-0</f>
        <v>501.94387799999993</v>
      </c>
      <c r="L3" s="3">
        <f>654.7+(319.4-466.6)+(-1.335588+(-0.651576--0.951864))+0-0-0</f>
        <v>506.46469999999999</v>
      </c>
      <c r="M3" s="3">
        <f>655.1+(307.6-471.5)+(-1.002303+(-0.470628--0.721395))+0-0-0</f>
        <v>490.44846400000006</v>
      </c>
      <c r="N3" s="3">
        <f>655.5+(360.5-509.6)+(0.334305+(0.183855-0.259896))+0-0-0</f>
        <v>506.65826399999997</v>
      </c>
      <c r="O3" s="3">
        <f>655.2+(438.1-534.6)+(0+(0-0))+0-0-0</f>
        <v>558.70000000000005</v>
      </c>
      <c r="P3" s="3">
        <f>655.1+(476.6-538.8)+(0.334101+(0.243066-0.274788))+0-0-0</f>
        <v>593.20237900000006</v>
      </c>
      <c r="Q3" s="3">
        <f>657.2+(442.9-500)+(-0.335172+(-0.225879--0.255))+0-0-0</f>
        <v>599.793949</v>
      </c>
      <c r="R3" s="3">
        <f>655.3+(410.1-478)+(-0.668406+(-0.418302--0.48756))+0-0-0</f>
        <v>586.80085199999996</v>
      </c>
      <c r="S3" s="3">
        <f>652.4+(391.1-479.6)+(-0.332724+(-0.199461--0.244596))+0-0-0</f>
        <v>563.61241099999995</v>
      </c>
      <c r="T3" s="3">
        <f>650.7+(392.8-501.6)+(0+(0-0))+0-0-0</f>
        <v>541.90000000000009</v>
      </c>
      <c r="U3" s="3">
        <f>651.9+(385.5-491.8)+(-0.997407+(-0.589815--0.752454))+0-0-0</f>
        <v>544.76523199999986</v>
      </c>
      <c r="V3" s="3">
        <f>652.3+(389.6-491.9)+(-0.665346+(-0.397392--0.501738))+0-0-0</f>
        <v>549.43899999999996</v>
      </c>
      <c r="W3" s="3">
        <f>653.6+(398.6-488)+(-0.666672+(-0.406572--0.49776))+0-0-0</f>
        <v>563.62451600000009</v>
      </c>
      <c r="X3" s="3">
        <f>654.5+(415.8-480.2)+(0+(0-0))+0-0-0</f>
        <v>590.1</v>
      </c>
      <c r="Y3" s="3">
        <f>715.5+(502.6-482)+(0+(0-0))+0-0-0</f>
        <v>736.1</v>
      </c>
      <c r="Z3" s="3">
        <f>779.5+(668.5-555.9)+(-1.59018+(-1.36374--1.134036))+0-0-0</f>
        <v>890.28011600000002</v>
      </c>
      <c r="AA3" s="3">
        <f>783.1+(638-546.4)+(0+(0-0))+0-0-0</f>
        <v>874.7</v>
      </c>
      <c r="AB3" s="3">
        <f>731+(634.5-523.7)+(-0.37281+(-0.323595--0.267087))+0-0-0</f>
        <v>841.37068199999999</v>
      </c>
      <c r="AC3" s="3">
        <f>655.5+(634.6-512.5)+(-0.66861+(-0.647292--0.52275))+0-0-0</f>
        <v>776.80684800000006</v>
      </c>
      <c r="AD3">
        <f t="shared" si="0"/>
        <v>14693.382913000003</v>
      </c>
      <c r="AE3" s="3">
        <f>782+(691-578)+(0+(0-0))+0-0-0</f>
        <v>895</v>
      </c>
    </row>
    <row r="4" spans="1:31" s="2" customFormat="1" x14ac:dyDescent="0.25">
      <c r="A4">
        <v>89</v>
      </c>
      <c r="B4">
        <v>1</v>
      </c>
      <c r="C4">
        <v>4</v>
      </c>
      <c r="D4">
        <v>5</v>
      </c>
      <c r="E4">
        <v>2</v>
      </c>
      <c r="F4" s="3">
        <f>654.2+(562.3-532.7)+(-0.667284+(-0.573546--0.543354))+0-0-0</f>
        <v>683.1025239999999</v>
      </c>
      <c r="G4" s="3">
        <f>653.8+(446.4-518.5)+(-1.333752+(-0.910656--1.05774))+0-0-0</f>
        <v>580.51333199999988</v>
      </c>
      <c r="H4" s="3">
        <f>653.8+(331.8-458.9)+(-1.000314+(-0.507654--0.702117))+0-0-0</f>
        <v>525.89414900000008</v>
      </c>
      <c r="I4" s="3">
        <f>654.3+(276.6-424.6)+(0.667386+(0.282132-0.433092))+0-0-0</f>
        <v>506.81642599999998</v>
      </c>
      <c r="J4" s="3">
        <f>654.5+(231.3-390.4)+(-0.333795+(-0.117963--0.199104))+0-0-0</f>
        <v>495.14734600000003</v>
      </c>
      <c r="K4" s="3">
        <f>654.5+(243.5-400.7)+(0.333795+(0.124185-0.204357))+0-0-0</f>
        <v>497.55362300000002</v>
      </c>
      <c r="L4" s="3">
        <f>655.5+(274.9-424.1)+(-0.334305+(-0.140199--0.216291))+0-0-0</f>
        <v>506.04178699999994</v>
      </c>
      <c r="M4" s="3">
        <f>655.1+(310.7-467.5)+(-0.668202+(-0.316914--0.47685))+0-0-0</f>
        <v>497.79173400000002</v>
      </c>
      <c r="N4" s="3">
        <f>654.4+(360.3-498.9)+(0+(0-0))+0-0-0</f>
        <v>515.79999999999995</v>
      </c>
      <c r="O4" s="3">
        <f>654.1+(416.3-501)+(0.333591+(0.212313-0.25551))+0-0-0</f>
        <v>569.69039400000008</v>
      </c>
      <c r="P4" s="3">
        <f>654.2+(407.1-459.8)+(-1.334568+(-0.830484--0.937992))+0-0-0</f>
        <v>600.27293999999995</v>
      </c>
      <c r="Q4" s="3">
        <f>653+(358.3-388.2)+(-0.66606+(-0.365466--0.395964))+0-0-0</f>
        <v>622.46443799999997</v>
      </c>
      <c r="R4" s="3">
        <f>651.3+(414-463.7)+(0+(0-0))+0-0-0</f>
        <v>601.59999999999991</v>
      </c>
      <c r="S4" s="3">
        <f>650.6+(409.4-483)+(0.331806+(0.208794-0.24633))+0-0-0</f>
        <v>577.29426999999998</v>
      </c>
      <c r="T4" s="3">
        <f>653.9+(399.9-489.4)+(-0.666978+(-0.407898--0.499188))+0-0-0</f>
        <v>563.82431199999996</v>
      </c>
      <c r="U4" s="3">
        <f>652.6+(395.2-486.9)+(-0.998478+(-0.604656--0.744957))+0-0-0</f>
        <v>560.04182300000014</v>
      </c>
      <c r="V4" s="3">
        <f>653.5+(406.2-489.1)+(0+(0-0))+0-0-0</f>
        <v>570.59999999999991</v>
      </c>
      <c r="W4" s="3">
        <f>654.5+(436-492.5)+(-0.333795+(-0.22236--0.251175))+0-0-0</f>
        <v>597.69502</v>
      </c>
      <c r="X4" s="3">
        <f>660.1+(470.9-499)+(-0.336651+(-0.240159--0.25449))+0-0-0</f>
        <v>631.67768000000001</v>
      </c>
      <c r="Y4" s="3">
        <f>835.6+(428.3-491.2)+(-0.426156+(-0.218433--0.250512))+0-0-0</f>
        <v>772.30592300000001</v>
      </c>
      <c r="Z4" s="3">
        <f>893.7+(536.1-531.9)+(-1.823148+(-1.093644--1.085076))+0-0-0</f>
        <v>896.06828400000006</v>
      </c>
      <c r="AA4" s="3">
        <f>895.2+(504.9-517.5)+(-0.913104+(-0.514998--0.52785))+0-0-0</f>
        <v>881.699748</v>
      </c>
      <c r="AB4" s="3">
        <f>898.6+(490-532.5)+(0+(0-0))+0-0-0</f>
        <v>856.1</v>
      </c>
      <c r="AC4" s="3">
        <f>869.8+(451.1-505.2)+(-0.887196+(-0.460122--0.515304))+0-0-0</f>
        <v>814.86798600000009</v>
      </c>
      <c r="AD4">
        <f t="shared" si="0"/>
        <v>14924.863739</v>
      </c>
      <c r="AE4" s="3">
        <f>895+(562-539)+(0+(0-0))+0-0-0</f>
        <v>918</v>
      </c>
    </row>
    <row r="5" spans="1:31" s="2" customFormat="1" x14ac:dyDescent="0.25">
      <c r="A5">
        <v>89</v>
      </c>
      <c r="B5">
        <v>1</v>
      </c>
      <c r="C5">
        <v>5</v>
      </c>
      <c r="D5">
        <v>6</v>
      </c>
      <c r="E5">
        <v>6</v>
      </c>
      <c r="F5" s="3">
        <f>760.9+(414.7-467.3)+(-1.940295+(-1.057485--1.191615))+0-0-0</f>
        <v>706.49383499999999</v>
      </c>
      <c r="G5" s="3">
        <f>680.3+(370.1-462.5)+(-1.040859+(-0.566253--0.707625))+0-0-0</f>
        <v>587.00051299999996</v>
      </c>
      <c r="H5" s="3">
        <f>634.5+(356.1-464.2)+(-0.64719+(-0.363222--0.473484))+0-0-0</f>
        <v>525.8630720000001</v>
      </c>
      <c r="I5" s="3">
        <f>512.8+(402.7-422.5)+(-0.261528+(-0.205377--0.215475))+0-0-0</f>
        <v>492.74856999999992</v>
      </c>
      <c r="J5" s="3">
        <f>497.4+(378.9-390)+(-0.253674+(-0.193239--0.1989))+0-0-0</f>
        <v>486.05198699999994</v>
      </c>
      <c r="K5" s="3">
        <f>495.8+(370.9-378.6)+(-0.252858+(-0.189159--0.193086))+0-0-0</f>
        <v>487.85106899999994</v>
      </c>
      <c r="L5" s="3">
        <f>495.4+(418-415.5)+(-1.010616+(-0.85272--0.84762))+0-0-0</f>
        <v>496.88428399999998</v>
      </c>
      <c r="M5" s="3">
        <f>499.5+(460.9-473.2)+(0.254745+(0.235059-0.241332))+0-0-0</f>
        <v>487.44847199999998</v>
      </c>
      <c r="N5" s="3">
        <f>497.1+(510.8-492.9)+(0.253521+(0.260508-0.251379))+0-0-0</f>
        <v>515.26265000000001</v>
      </c>
      <c r="O5" s="3">
        <f>496.8+(544.8-482.9)+(0.253368+(0.277848-0.246279))+0-0-0</f>
        <v>558.98493700000006</v>
      </c>
      <c r="P5" s="3">
        <f>588.7+(496.1-482.4)+(0+(0-0))+0-0-0</f>
        <v>602.40000000000009</v>
      </c>
      <c r="Q5" s="3">
        <f>654.3+(448.3-471)+(0.667386+(0.457266-0.48042))+0-0-0</f>
        <v>632.2442319999999</v>
      </c>
      <c r="R5" s="3">
        <f>654.4+(452.3-490.7)+(-0.333744+(-0.230673--0.250257))+0-0-0</f>
        <v>615.68583999999998</v>
      </c>
      <c r="S5" s="3">
        <f>653.9+(416.6-487.3)+(-0.666978+(-0.424932--0.497046))+0-0-0</f>
        <v>582.60513600000002</v>
      </c>
      <c r="T5" s="3">
        <f>652.4+(398.7-484.4)+(0.332724+(0.203337-0.247044))+0-0-0</f>
        <v>566.98901699999999</v>
      </c>
      <c r="U5" s="3">
        <f>651.4+(372.4-467.6)+(-0.664428+(-0.379848--0.476952))+0-0-0</f>
        <v>555.63267599999995</v>
      </c>
      <c r="V5" s="3">
        <f>651+(363.7-453.7)+(0+(0-0))+0-0-0</f>
        <v>561</v>
      </c>
      <c r="W5" s="3">
        <f>651.6+(361-447.1)+(-0.996948+(-0.55233--0.684063))+0-0-0</f>
        <v>564.63478499999997</v>
      </c>
      <c r="X5" s="3">
        <f>683.8+(396.3-491.3)+(-1.394952+(-0.808452--1.002252))+0-0-0</f>
        <v>587.59884799999998</v>
      </c>
      <c r="Y5" s="3">
        <f>814.5+(396.5-493.2)+(-0.83079+(-0.40443--0.503064))+0-0-0</f>
        <v>717.06784399999992</v>
      </c>
      <c r="Z5" s="3">
        <f>882.2+(516.3-501.8)+(-1.349766+(-0.789939--0.767754))+0-0-0</f>
        <v>895.32804900000008</v>
      </c>
      <c r="AA5" s="3">
        <f>886+(519.2-524.6)+(0+(0-0))+0-0-0</f>
        <v>880.6</v>
      </c>
      <c r="AB5" s="3">
        <f>885.6+(476.4-511)+(-0.451656+(-0.242964--0.26061))+0-0-0</f>
        <v>850.56599000000006</v>
      </c>
      <c r="AC5" s="3">
        <f>885.3+(410.8-494.5)+(-0.903006+(-0.419016--0.50439))+0-0-0</f>
        <v>800.78236799999991</v>
      </c>
      <c r="AD5">
        <f t="shared" si="0"/>
        <v>14757.724173999999</v>
      </c>
      <c r="AE5" s="3">
        <f>884+(523-510)+(0+(0-0))+0-0-0</f>
        <v>897</v>
      </c>
    </row>
    <row r="6" spans="1:31" s="2" customFormat="1" x14ac:dyDescent="0.25">
      <c r="A6">
        <v>89</v>
      </c>
      <c r="B6">
        <v>1</v>
      </c>
      <c r="C6">
        <v>6</v>
      </c>
      <c r="D6">
        <v>7</v>
      </c>
      <c r="E6">
        <v>1</v>
      </c>
      <c r="F6" s="3">
        <f>722.4+(459.9-478)+(-0.368424+(-0.234549--0.24378))+0-0-0</f>
        <v>703.94080699999995</v>
      </c>
      <c r="G6" s="3">
        <f>611.4+(415.4-443.1)+(-0.623628+(-0.423708--0.451962))+0-0-0</f>
        <v>583.10462599999994</v>
      </c>
      <c r="H6" s="3">
        <f>557.9+(367.5-417.7)+(-0.853587+(-0.562275--0.639081))+0-0-0</f>
        <v>506.92321899999996</v>
      </c>
      <c r="I6" s="3">
        <f>557.5+(327.7-396.9)+(0+(0-0))+0-0-0</f>
        <v>488.3</v>
      </c>
      <c r="J6" s="3">
        <f>557.1+(318.9-393.2)+(-0.852363+(-0.487917--0.601596))+0-0-0</f>
        <v>482.06131600000003</v>
      </c>
      <c r="K6" s="3">
        <f>557.7+(304.2-377.6)+(0+(0-0))+0-0-0</f>
        <v>484.3</v>
      </c>
      <c r="L6" s="3">
        <f>558+(335.3-398.2)+(0.85374+(0.513009-0.609246))+0-0-0</f>
        <v>495.85750300000001</v>
      </c>
      <c r="M6" s="3">
        <f>557.6+(357.2-432.3)+(-1.706256+(-1.093032--1.322838))+0-0-0</f>
        <v>481.02355</v>
      </c>
      <c r="N6" s="3">
        <f>557.1+(391.5-458)+(0.568242+(0.39933-0.46716))+0-0-0</f>
        <v>491.10041200000001</v>
      </c>
      <c r="O6" s="3">
        <f>557.2+(455.2-496.1)+(0+(0-0))+0-0-0</f>
        <v>516.29999999999995</v>
      </c>
      <c r="P6" s="3">
        <f>639.9+(433.2-505.1)+(0+(0-0))+0-0-0</f>
        <v>568</v>
      </c>
      <c r="Q6" s="3">
        <f>652.9+(431.9-497.8)+(0.665958+(0.440538-0.507756))+0-0-0</f>
        <v>587.59874000000002</v>
      </c>
      <c r="R6" s="3">
        <f>656.8+(438.2-514.9)+(0+(0-0))+0-0-0</f>
        <v>580.09999999999991</v>
      </c>
      <c r="S6" s="3">
        <f>656.1+(413.4-509.3)+(-1.003833+(-0.632502--0.779229))+0-0-0</f>
        <v>559.342894</v>
      </c>
      <c r="T6" s="3">
        <f>656.1+(377.6-490.7)+(-1.003833+(-0.577728--0.750771))+0-0-0</f>
        <v>542.16921000000002</v>
      </c>
      <c r="U6" s="3">
        <f>655.3+(339.5-452.4)+(-1.002609+(-0.519435--0.692172))+0-0-0</f>
        <v>541.57012799999995</v>
      </c>
      <c r="V6" s="3">
        <f>653.8+(363-472.8)+(-1.000314+(-0.55539--0.723384))+0-0-0</f>
        <v>543.16768000000002</v>
      </c>
      <c r="W6" s="3">
        <f>652.9+(377.1-473.9)+(0+(0-0))+0-0-0</f>
        <v>556.1</v>
      </c>
      <c r="X6" s="3">
        <f>664.1+(413.2-464.4)+(-1.016073+(-0.632196--0.710532))+0-0-0</f>
        <v>611.96226300000012</v>
      </c>
      <c r="Y6" s="3">
        <f>921.7+(309.5-479.9)+(-1.410201+(-0.473535--0.734247))+0-0-0</f>
        <v>750.15051100000005</v>
      </c>
      <c r="Z6" s="3">
        <f>1011.4+(424.6-541.5)+(-2.063256+(-0.866184--1.10466))+0-0-0</f>
        <v>892.67521999999997</v>
      </c>
      <c r="AA6" s="3">
        <f>1012+(439.7-566)+(-1.03224+(-0.448494--0.57732))+0-0-0</f>
        <v>884.79658600000005</v>
      </c>
      <c r="AB6" s="3">
        <f>1015.3+(357.7-512.4)+(-0.517803+(-0.182427--0.261324))+0-0-0</f>
        <v>860.16109399999993</v>
      </c>
      <c r="AC6" s="3">
        <f>1007.7+(321.1-501.7)+(0+(0-0))+0-0-0</f>
        <v>827.10000000000014</v>
      </c>
      <c r="AD6">
        <f t="shared" si="0"/>
        <v>14537.805759000001</v>
      </c>
      <c r="AE6" s="3">
        <f>1017+(423-553)+(0+(0-0))+0-0-0</f>
        <v>887</v>
      </c>
    </row>
    <row r="7" spans="1:31" s="2" customFormat="1" x14ac:dyDescent="0.25">
      <c r="A7">
        <v>89</v>
      </c>
      <c r="B7">
        <v>1</v>
      </c>
      <c r="C7">
        <v>7</v>
      </c>
      <c r="D7">
        <v>1</v>
      </c>
      <c r="E7">
        <v>1</v>
      </c>
      <c r="F7" s="3">
        <f>922.5+(239.8-425.6)+(-0.470475+(-0.122298--0.217056))+0-0-0</f>
        <v>736.32428300000004</v>
      </c>
      <c r="G7" s="3">
        <f>687+(284.3-366.4)+(-1.05111+(-0.434979--0.560592))+0-0-0</f>
        <v>603.97450300000014</v>
      </c>
      <c r="H7" s="3">
        <f>555.5+(307.8-342.7)+(0+(0-0))+0-0-0</f>
        <v>520.6</v>
      </c>
      <c r="I7" s="3">
        <f>553.6+(274.2-321)+(-1.129344+(-0.559368--0.65484))+0-0-0</f>
        <v>505.76612800000004</v>
      </c>
      <c r="J7" s="3">
        <f>555.8+(233.4-298.1)+(0.283458+(0.119034-0.152031))+0-0-0</f>
        <v>491.35046099999988</v>
      </c>
      <c r="K7" s="3">
        <f>555.8+(206.2-275.2)+(-0.283458+(-0.105162--0.140352))+0-0-0</f>
        <v>486.55173199999996</v>
      </c>
      <c r="L7" s="3">
        <f>555+(241.8-300)+(-0.5661+(-0.246636--0.306))+0-0-0</f>
        <v>496.29326400000002</v>
      </c>
      <c r="M7" s="3">
        <f>581.4+(258.7-341.2)+(-1.186056+(-0.527748--0.696048))+0-0-0</f>
        <v>497.88224399999996</v>
      </c>
      <c r="N7" s="3">
        <f>650.5+(270.5-399.9)+(0.66351+(0.27591-0.407898))+0-0-0</f>
        <v>521.63152200000002</v>
      </c>
      <c r="O7" s="3">
        <f>651.5+(359.6-431.6)+(-0.332265+(-0.183396--0.220116))+0-0-0</f>
        <v>579.20445500000005</v>
      </c>
      <c r="P7" s="3">
        <f>691.1+(409-468.6)+(0+(0-0))+0-0-0</f>
        <v>631.5</v>
      </c>
      <c r="Q7" s="3">
        <f>843.9+(270.1-442.1)+(-0.860778+(-0.275502--0.450942))+0-0-0</f>
        <v>671.21466199999998</v>
      </c>
      <c r="R7" s="3">
        <f>889.9+(225.7-450.9)+(-0.453849+(-0.115107--0.229959))+0-0-0</f>
        <v>664.3610030000001</v>
      </c>
      <c r="S7" s="3">
        <f>968.4+(179.6-504.5)+(-1.481652+(-0.274788--0.771885))+0-0-0</f>
        <v>642.515445</v>
      </c>
      <c r="T7" s="3">
        <f>991.5+(172.4-528.6)+(-2.02266+(-0.351696--1.078344))+0-0-0</f>
        <v>634.00398799999994</v>
      </c>
      <c r="U7" s="3">
        <f>1010.1+(160.9-530.1)+(-1.030302+(-0.164118--0.540702))+0-0-0</f>
        <v>640.24628199999995</v>
      </c>
      <c r="V7" s="3">
        <f>1002.7+(182.7-528.8)+(-2.556885+(-0.465885--1.34844))+0-0-0</f>
        <v>654.92567000000008</v>
      </c>
      <c r="W7" s="3">
        <f>951.7+(244.1-528.4)+(0+(0-0))+0-0-0</f>
        <v>667.40000000000009</v>
      </c>
      <c r="X7" s="3">
        <f>965.9+(279.2-529.3)+(-1.477827+(-0.427176--0.809829))+0-0-0</f>
        <v>714.70482599999991</v>
      </c>
      <c r="Y7" s="3">
        <f>1038.5+(325.7-552.7)+(0+(0-0))+0-0-0</f>
        <v>811.5</v>
      </c>
      <c r="Z7" s="3">
        <f>1130+(340.1-548.9)+(-1.1526+(-0.346902--0.559878))+0-0-0</f>
        <v>920.26037600000006</v>
      </c>
      <c r="AA7" s="3">
        <f>1130+(327.2-537.2)+(-1.1526+(-0.333744--0.547944))+0-0-0</f>
        <v>919.0616</v>
      </c>
      <c r="AB7" s="3">
        <f>1083.1+(299.1-497.4)+(-0.552381+(-0.152541--0.253674))+0-0-0</f>
        <v>884.34875199999999</v>
      </c>
      <c r="AC7" s="3">
        <f>1071.4+(253.8-479.7)+(-0.546414+(-0.129438--0.244647))+0-0-0</f>
        <v>845.06879500000014</v>
      </c>
      <c r="AD7">
        <f t="shared" si="0"/>
        <v>15740.689990999999</v>
      </c>
      <c r="AE7" s="3">
        <f>1135+(336-549)+(0+(0-0))+0-0-0</f>
        <v>922</v>
      </c>
    </row>
    <row r="8" spans="1:31" s="2" customFormat="1" x14ac:dyDescent="0.25">
      <c r="A8">
        <v>89</v>
      </c>
      <c r="B8">
        <v>1</v>
      </c>
      <c r="C8">
        <v>8</v>
      </c>
      <c r="D8">
        <v>2</v>
      </c>
      <c r="E8">
        <v>1</v>
      </c>
      <c r="F8" s="3">
        <f>1030+(210.9-485.8)+(-2.1012+(-0.430236--0.991032))+0-0-0</f>
        <v>753.55959600000006</v>
      </c>
      <c r="G8" s="3">
        <f>906.7+(142.7-422.2)+(-1.387251+(-0.218331--0.645966))+0-0-0</f>
        <v>626.24038400000006</v>
      </c>
      <c r="H8" s="3">
        <f>772.5+(131.6-325)+(-1.5759+(-0.268464--0.663))+0-0-0</f>
        <v>577.91863599999999</v>
      </c>
      <c r="I8" s="3">
        <f>776+(105.2-294)+(-0.79152+(-0.107304--0.29988))+0-0-0</f>
        <v>586.60105600000009</v>
      </c>
      <c r="J8" s="3">
        <f>777.2+(106.5-294)+(0+(0-0))+0-0-0</f>
        <v>589.70000000000005</v>
      </c>
      <c r="K8" s="3">
        <f>776.8+(97.9-290)+(0.396168+(0.049929-0.1479))+0-0-0</f>
        <v>584.99819699999989</v>
      </c>
      <c r="L8" s="3">
        <f>776.6+(99.5-278)+(0.792132+(0.10149-0.28356))+0-0-0</f>
        <v>598.71006199999999</v>
      </c>
      <c r="M8" s="3">
        <f>773+(94-290)+(-0.39423+(-0.04794--0.1479))+0-0-0</f>
        <v>576.70573000000002</v>
      </c>
      <c r="N8" s="3">
        <f>773.9+(131.7-347.1)+(-0.394689+(-0.067167--0.177021))+0-0-0</f>
        <v>558.21516499999996</v>
      </c>
      <c r="O8" s="3">
        <f>777.9+(218.9-378.2)+(-0.793458+(-0.223278--0.385764))+0-0-0</f>
        <v>617.96902799999998</v>
      </c>
      <c r="P8" s="3">
        <f>844+(220-390.9)+(0+(0-0))+0-0-0</f>
        <v>673.1</v>
      </c>
      <c r="Q8" s="3">
        <f>890.6+(215.5-408.6)+(-0.908412+(-0.21981--0.416772))+0-0-0</f>
        <v>696.78854999999999</v>
      </c>
      <c r="R8" s="3">
        <f>889.2+(233.2-453)+(-1.360476+(-0.356796--0.69309))+0-0-0</f>
        <v>668.37581800000009</v>
      </c>
      <c r="S8" s="3">
        <f>889.6+(241.1-477.7)+(0+(0-0))+0-0-0</f>
        <v>653</v>
      </c>
      <c r="T8" s="3">
        <f>887.5+(223.8-471.5)+(-1.8105+(-0.456552--0.96186))+0-0-0</f>
        <v>638.49480799999992</v>
      </c>
      <c r="U8" s="3">
        <f>890.3+(222.6-478.5)+(-1.362159+(-0.340578--0.732105))+0-0-0</f>
        <v>633.42936799999995</v>
      </c>
      <c r="V8" s="3">
        <f>864.3+(268.9-486.3)+(-0.440793+(-0.137139--0.248013))+0-0-0</f>
        <v>646.57008099999985</v>
      </c>
      <c r="W8" s="3">
        <f>773.2+(379.9-498)+(-1.182996+(-0.581247--0.76194))+0-0-0</f>
        <v>654.09769700000004</v>
      </c>
      <c r="X8" s="3">
        <f>782.5+(388.3-484.7)+(-0.399075+(-0.198033--0.247197))+0-0-0</f>
        <v>685.750089</v>
      </c>
      <c r="Y8" s="3">
        <f>862.6+(420.5-495)+(-0.879852+(-0.42891--0.5049))+0-0-0</f>
        <v>787.29613800000004</v>
      </c>
      <c r="Z8" s="3">
        <f>1007+(462.4-542.4)+(-2.05428+(-0.943296--1.106496))+0-0-0</f>
        <v>925.10892000000001</v>
      </c>
      <c r="AA8" s="3">
        <f>966.5+(493.3-543.7)+(-0.492915+(-0.251583--0.277287))+0-0-0</f>
        <v>915.63278899999989</v>
      </c>
      <c r="AB8" s="3">
        <f>834.6+(562.7-527.4)+(-1.276938+(-0.860931--0.806922))+0-0-0</f>
        <v>868.56905300000005</v>
      </c>
      <c r="AC8" s="3">
        <f>694.4+(640.4-520.5)+(0.354144+(0.326604-0.265455))+0-0-0</f>
        <v>814.71529299999997</v>
      </c>
      <c r="AD8">
        <f t="shared" si="0"/>
        <v>16331.546457999995</v>
      </c>
      <c r="AE8" s="3">
        <f>999+(488-533)+(0+(0-0))+0-0-0</f>
        <v>954</v>
      </c>
    </row>
    <row r="9" spans="1:31" s="2" customFormat="1" x14ac:dyDescent="0.25">
      <c r="A9">
        <v>89</v>
      </c>
      <c r="B9">
        <v>1</v>
      </c>
      <c r="C9">
        <v>9</v>
      </c>
      <c r="D9">
        <v>3</v>
      </c>
      <c r="E9">
        <v>1</v>
      </c>
      <c r="F9" s="3">
        <f>552+(645.5-481.8)+(-1.4076+(-1.646025--1.22859))+0-0-0</f>
        <v>713.87496500000009</v>
      </c>
      <c r="G9" s="3">
        <f>450.7+(579.7-453.6)+(-1.149285+(-1.478235--1.15668))+0-0-0</f>
        <v>575.32916</v>
      </c>
      <c r="H9" s="3">
        <f>452.8+(492.6-433.9)+(0+(0-0))+0-0-0</f>
        <v>511.50000000000006</v>
      </c>
      <c r="I9" s="3">
        <f>453.6+(456.2-420.1)+(-0.462672+(-0.465324--0.428502))+0-0-0</f>
        <v>489.20050599999996</v>
      </c>
      <c r="J9" s="3">
        <f>450.6+(426.9-390.9)+(-1.14903+(-1.088595--0.996795))+0-0-0</f>
        <v>485.35917000000001</v>
      </c>
      <c r="K9" s="3">
        <f>450.9+(421.8-380.7)+(-0.459918+(-0.430236--0.388314))+0-0-0</f>
        <v>491.49815999999998</v>
      </c>
      <c r="L9" s="3">
        <f>452.2+(458.8-401.4)+(0+(0-0))+0-0-0</f>
        <v>509.6</v>
      </c>
      <c r="M9" s="3">
        <f>451.4+(509.8-457.3)+(-0.230214+(-0.259998--0.233223))+0-0-0</f>
        <v>503.643011</v>
      </c>
      <c r="N9" s="3">
        <f>559.5+(474.6-486.4)+(-0.57069+(-0.484092--0.496128))+0-0-0</f>
        <v>547.141346</v>
      </c>
      <c r="O9" s="3">
        <f>591.9+(486.7-474.9)+(-0.301869+(-0.248217--0.242199))+0-0-0</f>
        <v>603.39211299999999</v>
      </c>
      <c r="P9" s="3">
        <f>692.1+(457.9-485.2)+(0+(0-0))+0-0-0</f>
        <v>664.8</v>
      </c>
      <c r="Q9" s="3">
        <f>692.3+(463.3-470)+(0+(0-0))+0-0-0</f>
        <v>685.59999999999991</v>
      </c>
      <c r="R9" s="3">
        <f>692.3+(471.2-491.1)+(0+(0-0))+0-0-0</f>
        <v>672.39999999999986</v>
      </c>
      <c r="S9" s="3">
        <f>688.4+(475.1-519.4)+(-1.404336+(-0.969204--1.059576))+0-0-0</f>
        <v>642.78603599999997</v>
      </c>
      <c r="T9" s="3">
        <f>687.9+(457.7-523.1)+(-1.052487+(-0.700281--0.800343))+0-0-0</f>
        <v>621.54757500000005</v>
      </c>
      <c r="U9" s="3">
        <f>677.4+(462-523.6)+(-0.345474+(-0.23562--0.267036))+0-0-0</f>
        <v>615.48594199999991</v>
      </c>
      <c r="V9" s="3">
        <f>670.2+(460.3-510.3)+(-1.367208+(-0.939012--1.041012))+0-0-0</f>
        <v>618.93479200000002</v>
      </c>
      <c r="W9" s="3">
        <f>677.1+(455.1-517.6)+(0.345321+(0.232101-0.263976))+0-0-0</f>
        <v>614.91344600000002</v>
      </c>
      <c r="X9" s="3">
        <f>692.3+(456.4-527.2)+(-1.412292+(-0.931056--1.075488))+0-0-0</f>
        <v>620.23213999999984</v>
      </c>
      <c r="Y9" s="3">
        <f>771.2+(464.7-493.2)+(0.393312+(0.236997-0.251532))+0-0-0</f>
        <v>743.07877700000006</v>
      </c>
      <c r="Z9" s="3">
        <f>805.7+(671.2-557.8)+(-1.643628+(-1.369248--1.137912))+0-0-0</f>
        <v>917.22503600000016</v>
      </c>
      <c r="AA9" s="3">
        <f>810.3+(639.3-549.9)+(-0.413253+(-0.326043--0.280449))+0-0-0</f>
        <v>899.24115299999994</v>
      </c>
      <c r="AB9" s="3">
        <f>788.3+(651.2-561)+(-0.804066+(-0.664224--0.57222))+0-0-0</f>
        <v>877.60392999999999</v>
      </c>
      <c r="AC9" s="3">
        <f>735.7+(617.7-529.6)+(-1.125621+(-0.945081--0.810288))+0-0-0</f>
        <v>822.5395860000001</v>
      </c>
      <c r="AD9">
        <f t="shared" si="0"/>
        <v>15446.926844000001</v>
      </c>
      <c r="AE9" s="3">
        <f>810+(630.9-533.8)+(0+(0-0))+0-0-0</f>
        <v>907.1</v>
      </c>
    </row>
    <row r="10" spans="1:31" s="2" customFormat="1" x14ac:dyDescent="0.25">
      <c r="A10">
        <v>89</v>
      </c>
      <c r="B10">
        <v>1</v>
      </c>
      <c r="C10">
        <v>10</v>
      </c>
      <c r="D10">
        <v>4</v>
      </c>
      <c r="E10">
        <v>1</v>
      </c>
      <c r="F10" s="3">
        <f>618.4+(605.2-475.2)+(-1.261536+(-1.234608--0.969408))+0-0-0</f>
        <v>746.87326400000006</v>
      </c>
      <c r="G10" s="3">
        <f>569+(506.2-458.5)+(-1.45095+(-1.29081--1.169175))+0-0-0</f>
        <v>615.12741500000004</v>
      </c>
      <c r="H10" s="3">
        <f>523.4+(454.4-447.8)+(-1.067736+(-0.926976--0.913512))+0-0-0</f>
        <v>528.91880000000003</v>
      </c>
      <c r="I10" s="3">
        <f>507.8+(398-394.1)+(-0.517956+(-0.40596--0.401982))+0-0-0</f>
        <v>511.178066</v>
      </c>
      <c r="J10" s="3">
        <f>511.1+(372.4-376.9)+(0+(0-0))+0-0-0</f>
        <v>506.6</v>
      </c>
      <c r="K10" s="3">
        <f>511+(372.6-374.7)+(-0.52122+(-0.380052--0.382194))+0-0-0</f>
        <v>508.38092200000006</v>
      </c>
      <c r="L10" s="3">
        <f>544.7+(380.6-404.4)+(-0.555594+(-0.388212--0.412488))+0-0-0</f>
        <v>520.36868200000004</v>
      </c>
      <c r="M10" s="3">
        <f>570.6+(413.5-458.8)+(-0.582012+(-0.42177--0.467976))+0-0-0</f>
        <v>524.76419399999997</v>
      </c>
      <c r="N10" s="3">
        <f>573.4+(486.5-502.8)+(0.584868+(0.49623-0.512856))+0-0-0</f>
        <v>557.66824199999996</v>
      </c>
      <c r="O10" s="3">
        <f>572.7+(525.5-485.6)+(0.292077+(0.268005-0.247656))+0-0-0</f>
        <v>612.91242599999998</v>
      </c>
      <c r="P10" s="3">
        <f>687.8+(491.2-516.6)+(-0.350778+(-0.250512--0.263466))+0-0-0</f>
        <v>662.06217599999991</v>
      </c>
      <c r="Q10" s="3">
        <f>805+(422.5-543.3)+(0.41055+(0.215475-0.277083))+0-0-0</f>
        <v>684.54894200000001</v>
      </c>
      <c r="R10" s="3">
        <f>805.4+(385.1-520.3)+(-0.821508+(-0.392802--0.530706))+0-0-0</f>
        <v>669.5163960000001</v>
      </c>
      <c r="S10" s="3">
        <f>804.7+(377.3-534.3)+(-1.641588+(-0.769692--1.089972))+0-0-0</f>
        <v>646.378692</v>
      </c>
      <c r="T10" s="3">
        <f>796.7+(379.5-546.6)+(0.812634+(0.38709-0.557532))+0-0-0</f>
        <v>630.24219200000005</v>
      </c>
      <c r="U10" s="3">
        <f>772.5+(399.9-549.1)+(0+(0-0))+0-0-0</f>
        <v>623.29999999999995</v>
      </c>
      <c r="V10" s="3">
        <f>769+(404.9-545.1)+(-0.78438+(-0.412998--0.556002))+0-0-0</f>
        <v>628.15862399999992</v>
      </c>
      <c r="W10" s="3">
        <f>771.1+(404.4-537.9)+(-0.393261+(-0.206244--0.274329))+0-0-0</f>
        <v>637.27482399999997</v>
      </c>
      <c r="X10" s="3">
        <f>771.5+(393.1-511.2)+(-0.78693+(-0.400962--0.521424))+0-0-0</f>
        <v>652.73353200000008</v>
      </c>
      <c r="Y10" s="3">
        <f>767.4+(520.4-525.1)+(-1.174122+(-0.796212--0.803403))+0-0-0</f>
        <v>761.53306899999995</v>
      </c>
      <c r="Z10" s="3">
        <f>822.9+(616.3-522.7)+(-0.839358+(-0.628626--0.533154))+0-0-0</f>
        <v>915.56516999999985</v>
      </c>
      <c r="AA10" s="3">
        <f>850+(582.2-536.3)+(-1.734+(-1.187688--1.094052))+0-0-0</f>
        <v>894.07236400000011</v>
      </c>
      <c r="AB10" s="3">
        <f>806.7+(572.4-541.8)+(-1.645668+(-1.167696--1.105272))+0-0-0</f>
        <v>835.5919080000001</v>
      </c>
      <c r="AC10" s="3">
        <f>809.1+(524.8-535.6)+(-1.237923+(-0.802944--0.819468))+0-0-0</f>
        <v>797.07860099999994</v>
      </c>
      <c r="AD10">
        <f t="shared" si="0"/>
        <v>15670.848500999999</v>
      </c>
      <c r="AE10" s="3">
        <f>834+(657-530.9)+(0+(0-0))+0-0-0</f>
        <v>960.1</v>
      </c>
    </row>
    <row r="11" spans="1:31" s="2" customFormat="1" x14ac:dyDescent="0.25">
      <c r="A11">
        <v>89</v>
      </c>
      <c r="B11">
        <v>1</v>
      </c>
      <c r="C11">
        <v>11</v>
      </c>
      <c r="D11">
        <v>5</v>
      </c>
      <c r="E11">
        <v>1</v>
      </c>
      <c r="F11" s="3">
        <f>758+(443.6-463.4)+(-1.9329+(-1.13118--1.18167))+0-0-0</f>
        <v>736.31759</v>
      </c>
      <c r="G11" s="3">
        <f>588.6+(461.1-446.6)+(-0.900558+(-0.705483--0.683298))+0-0-0</f>
        <v>602.17725700000005</v>
      </c>
      <c r="H11" s="3">
        <f>570.5+(370.7-411)+(-1.16382+(-0.756228--0.83844))+0-0-0</f>
        <v>529.11839200000009</v>
      </c>
      <c r="I11" s="3">
        <f>571.7+(309.5-381.2)+(-1.166268+(-0.63138--0.777648))+0-0-0</f>
        <v>498.98000000000008</v>
      </c>
      <c r="J11" s="3">
        <f>570.7+(296.5-367)+(-0.873171+(-0.453645--0.56151))+0-0-0</f>
        <v>499.43469400000004</v>
      </c>
      <c r="K11" s="3">
        <f>574+(297.4-373.8)+(0+(0-0))+0-0-0</f>
        <v>497.59999999999997</v>
      </c>
      <c r="L11" s="3">
        <f>571.6+(329.4-393)+(-0.874548+(-0.503982--0.60129))+0-0-0</f>
        <v>507.22275999999999</v>
      </c>
      <c r="M11" s="3">
        <f>574.8+(380.7-449.4)+(0+(0-0))+0-0-0</f>
        <v>506.09999999999997</v>
      </c>
      <c r="N11" s="3">
        <f>573.7+(449.4-488.4)+(-0.292587+(-0.229194--0.249084))+0-0-0</f>
        <v>534.42730300000005</v>
      </c>
      <c r="O11" s="3">
        <f>574.2+(489.5-476.4)+(-0.292842+(-0.249645--0.242964))+0-0-0</f>
        <v>587.00047700000005</v>
      </c>
      <c r="P11" s="3">
        <f>567.2+(542.2-488.5)+(-1.735632+(-1.659132--1.49481))+0-0-0</f>
        <v>619.00004600000011</v>
      </c>
      <c r="Q11" s="3">
        <f>572.7+(530.9-466.2)+(0+(0-0))+0-0-0</f>
        <v>637.40000000000009</v>
      </c>
      <c r="R11" s="3">
        <f>571.6+(535.6-476.8)+(-0.583032+(-0.546312--0.486336))+0-0-0</f>
        <v>629.75699200000008</v>
      </c>
      <c r="S11" s="3">
        <f>570.2+(539.3-505.9)+(0+(0-0))+0-0-0</f>
        <v>603.6</v>
      </c>
      <c r="T11" s="3">
        <f>570.3+(509-486.8)+(-0.290853+(-0.25959--0.248268))+0-0-0</f>
        <v>592.19782499999997</v>
      </c>
      <c r="U11" s="3">
        <f>569.3+(499.4-483.5)+(-1.161372+(-1.018776--0.98634))+0-0-0</f>
        <v>584.00619199999994</v>
      </c>
      <c r="V11" s="3">
        <f>570.7+(514.2-496)+(-0.582114+(-0.524484--0.50592))+0-0-0</f>
        <v>588.29932200000007</v>
      </c>
      <c r="W11" s="3">
        <f>545.2+(536.3-489.2)+(-0.834156+(-0.820539--0.748476))+0-0-0</f>
        <v>591.39378099999999</v>
      </c>
      <c r="X11" s="3">
        <f>531.3+(557.7-490.3)+(-0.541926+(-0.568854--0.500106))+0-0-0</f>
        <v>598.08932600000003</v>
      </c>
      <c r="Y11" s="3">
        <f>632.8+(553-482)+(-0.322728+(-0.28203--0.24582))+0-0-0</f>
        <v>703.44106199999999</v>
      </c>
      <c r="Z11" s="3">
        <f>782.8+(636.7-525.7)+(-1.197684+(-0.974151--0.804321))+0-0-0</f>
        <v>892.43248599999993</v>
      </c>
      <c r="AA11" s="3">
        <f>809.9+(613.7-530.4)+(-1.239147+(-0.938961--0.811512))+0-0-0</f>
        <v>891.83340400000009</v>
      </c>
      <c r="AB11" s="3">
        <f>791.3+(600.8-539.5)+(-1.210689+(-0.919224--0.825435))+0-0-0</f>
        <v>851.29552199999989</v>
      </c>
      <c r="AC11" s="3">
        <f>728.5+(561.5-499.8)+(-1.114605+(-0.859095--0.764694))+0-0-0</f>
        <v>788.990994</v>
      </c>
      <c r="AD11">
        <f t="shared" si="0"/>
        <v>15070.115425000004</v>
      </c>
      <c r="AE11" s="3">
        <f>815+(630.6-531.5)+(0+(0-0))+0-0-0</f>
        <v>914.1</v>
      </c>
    </row>
    <row r="12" spans="1:31" s="2" customFormat="1" x14ac:dyDescent="0.25">
      <c r="A12">
        <v>89</v>
      </c>
      <c r="B12">
        <v>1</v>
      </c>
      <c r="C12">
        <v>12</v>
      </c>
      <c r="D12">
        <v>6</v>
      </c>
      <c r="E12">
        <v>2</v>
      </c>
      <c r="F12" s="3">
        <f>727.4+(436.1-461.7)+(-1.483896+(-0.889644--0.941868))+0-0-0</f>
        <v>700.36832799999991</v>
      </c>
      <c r="G12" s="3">
        <f>683.5+(384.1-533.6)+(-0.348585+(-0.195891--0.272136))+0-0-0</f>
        <v>533.72766000000001</v>
      </c>
      <c r="H12" s="3">
        <f>540.8+(408.8-428.8)+(-0.827424+(-0.625464--0.656064))+0-0-0</f>
        <v>520.00317599999994</v>
      </c>
      <c r="I12" s="3">
        <f>531.3+(345.1-383.6)+(-1.083852+(-0.704004--0.782544))+0-0-0</f>
        <v>491.79468799999995</v>
      </c>
      <c r="J12" s="3">
        <f>552.5+(333-379.2)+(-0.56355+(-0.33966--0.386784))+0-0-0</f>
        <v>505.78357399999999</v>
      </c>
      <c r="K12" s="3">
        <f>575.2+(325.4-380.7)+(0+(0-0))+0-0-0</f>
        <v>519.90000000000009</v>
      </c>
      <c r="L12" s="3">
        <f>565.7+(343.7-404)+(-1.442535+(-0.876435--1.0302))+0-0-0</f>
        <v>504.11123000000003</v>
      </c>
      <c r="M12" s="3">
        <f>450.6+(450.7-407.3)+(0.459612+(0.459714-0.415446))+0-0-0</f>
        <v>494.50387999999998</v>
      </c>
      <c r="N12" s="3">
        <f>525.9+(472.3-466.5)+(0.268209+(0.240873-0.237915))+0-0-0</f>
        <v>531.97116700000004</v>
      </c>
      <c r="O12" s="3">
        <f>553.2+(497.5-463.3)+(0+(0-0))+0-0-0</f>
        <v>587.40000000000009</v>
      </c>
      <c r="P12" s="3">
        <f>606.7+(470.8-451.9)+(-0.309417+(-0.240108--0.230469))+0-0-0</f>
        <v>625.28094400000009</v>
      </c>
      <c r="Q12" s="3">
        <f>663.3+(435.3-454.1)+(0+(0-0))+0-0-0</f>
        <v>644.5</v>
      </c>
      <c r="R12" s="3">
        <f>662.4+(438.3-473)+(-0.675648+(-0.447066--0.48246))+0-0-0</f>
        <v>627.05974600000002</v>
      </c>
      <c r="S12" s="3">
        <f>657.8+(403.4-454.7)+(-1.341912+(-0.822936--0.927588))+0-0-0</f>
        <v>605.26274000000001</v>
      </c>
      <c r="T12" s="3">
        <f>665.7+(389.4-463.4)+(1.018521+(0.595782-0.709002))+0-0-0</f>
        <v>592.60530100000005</v>
      </c>
      <c r="U12" s="3">
        <f>637.5+(405.5-450.8)+(-0.975375+(-0.620415--0.689724))+0-0-0</f>
        <v>591.29393400000004</v>
      </c>
      <c r="V12" s="3">
        <f>555.8+(499.7-480.6)+(-0.566916+(-0.509694--0.490212))+0-0-0</f>
        <v>574.31360199999983</v>
      </c>
      <c r="W12" s="3">
        <f>554.6+(470.7-458.8)+(-0.848538+(-0.720171--0.701964))+0-0-0</f>
        <v>565.63325499999996</v>
      </c>
      <c r="X12" s="3">
        <f>575.8+(458.6-467.3)+(-1.174632+(-0.935544--0.953292))+0-0-0</f>
        <v>565.94311599999992</v>
      </c>
      <c r="Y12" s="3">
        <f>699.2+(451.5-472.9)+(0+(0-0))+0-0-0</f>
        <v>677.80000000000007</v>
      </c>
      <c r="Z12" s="3">
        <f>820+(581-524.8)+(-1.6728+(-1.18524--1.070592))+0-0-0</f>
        <v>874.41255200000001</v>
      </c>
      <c r="AA12" s="3">
        <f>864.3+(537.9-523.8)+(-0.440793+(-0.274329--0.267138))+0-0-0</f>
        <v>877.95201599999996</v>
      </c>
      <c r="AB12" s="3">
        <f>863.1+(514.2-523.5)+(-0.880362+(-0.524484--0.53397))+0-0-0</f>
        <v>852.92912400000012</v>
      </c>
      <c r="AC12" s="3">
        <f>866.4+(433.7-495.9)+(-1.767456+(-0.884748--1.011636))+0-0-0</f>
        <v>802.55943200000002</v>
      </c>
      <c r="AD12">
        <f t="shared" si="0"/>
        <v>14867.109465</v>
      </c>
      <c r="AE12" s="3">
        <f>857+(552.8-515.6)+(0+(0-0))+0-0-0</f>
        <v>894.19999999999993</v>
      </c>
    </row>
    <row r="13" spans="1:31" s="2" customFormat="1" x14ac:dyDescent="0.25">
      <c r="A13">
        <v>89</v>
      </c>
      <c r="B13">
        <v>1</v>
      </c>
      <c r="C13">
        <v>13</v>
      </c>
      <c r="D13">
        <v>7</v>
      </c>
      <c r="E13">
        <v>2</v>
      </c>
      <c r="F13" s="3">
        <f>772.8+(419.9-452.2)+(-0.788256+(-0.428298--0.461244))+0-0-0</f>
        <v>739.74468999999999</v>
      </c>
      <c r="G13" s="3">
        <f>548.4+(486.4-435.6)+(-0.559368+(-0.496128--0.444312))+0-0-0</f>
        <v>598.58881599999995</v>
      </c>
      <c r="H13" s="3">
        <f>473.5+(472.4-431.4)+(-0.48297+(-0.481848--0.440028))+0-0-0</f>
        <v>513.97520999999995</v>
      </c>
      <c r="I13" s="3">
        <f>439.2+(427.7-387.7)+(-0.671976+(-0.654381--0.593181))+0-0-0</f>
        <v>478.46682399999997</v>
      </c>
      <c r="J13" s="3">
        <f>327.2+(499.3-366.8)+(-0.333744+(-0.509286--0.374136))+0-0-0</f>
        <v>459.23110600000001</v>
      </c>
      <c r="K13" s="3">
        <f>288.4+(525.5-362.6)+(0.147084+(0.268005-0.184926))+0-0-0</f>
        <v>451.53016299999996</v>
      </c>
      <c r="L13" s="3">
        <f>283.7+(566.4-386.8)+(-0.434061+(-0.866592--0.591804))+0-0-0</f>
        <v>462.59115099999997</v>
      </c>
      <c r="M13" s="3">
        <f>283+(567.3-401.1)+(0+(0-0))+0-0-0</f>
        <v>449.19999999999993</v>
      </c>
      <c r="N13" s="3">
        <f>284.8+(599-433.2)+(0.290496+(0.61098-0.441864))+0-0-0</f>
        <v>451.05961200000002</v>
      </c>
      <c r="O13" s="3">
        <f>286.8+(630.7-453.7)+(-0.146268+(-0.321657--0.231387))+0-0-0</f>
        <v>463.56346200000007</v>
      </c>
      <c r="P13" s="3">
        <f>288.9+(609.8-440.8)+(-0.147339+(-0.310998--0.224808))+0-0-0</f>
        <v>457.66647099999994</v>
      </c>
      <c r="Q13" s="3">
        <f>289.1+(601.8-448.1)+(-0.294882+(-0.613836--0.457062))+0-0-0</f>
        <v>442.34834399999994</v>
      </c>
      <c r="R13" s="3">
        <f>290.3+(611-471.4)+(-0.296106+(-0.62322--0.480828))+0-0-0</f>
        <v>429.46150200000005</v>
      </c>
      <c r="S13" s="3">
        <f>291+(598.2-477.3)+(-0.14841+(-0.305082--0.243423))+0-0-0</f>
        <v>411.68993100000006</v>
      </c>
      <c r="T13" s="3">
        <f>290.3+(587.3-477)+(0+(0-0))+0-0-0</f>
        <v>400.59999999999997</v>
      </c>
      <c r="U13" s="3">
        <f>288.8+(592.1-451)+(0+(0-0))+0-0-0</f>
        <v>429.90000000000003</v>
      </c>
      <c r="V13" s="3">
        <f>353+(553.9-451.8)+(0+(0-0))+0-0-0</f>
        <v>455.09999999999997</v>
      </c>
      <c r="W13" s="3">
        <f>440.9+(463.8-428.5)+(-0.674577+(-0.709614--0.655605))+0-0-0</f>
        <v>475.47141399999998</v>
      </c>
      <c r="X13" s="3">
        <f>470+(446.6-418.6)+(-0.4794+(-0.455532--0.426972))+0-0-0</f>
        <v>497.49203999999997</v>
      </c>
      <c r="Y13" s="3">
        <f>596.5+(359.8-361.3)+(-0.60843+(-0.366996--0.368526))+0-0-0</f>
        <v>594.3931</v>
      </c>
      <c r="Z13" s="3">
        <f>674.3+(565-435.9)+(-1.719465+(-1.44075--1.111545))+0-0-0</f>
        <v>801.35132999999996</v>
      </c>
      <c r="AA13" s="3">
        <f>677.1+(622.1-467.4)+(-1.035963+(-0.951813--0.715122))+0-0-0</f>
        <v>830.52734600000008</v>
      </c>
      <c r="AB13" s="3">
        <f>678+(595.3-475.7)+(-0.69156+(-0.607206--0.485214))+0-0-0</f>
        <v>796.78644799999995</v>
      </c>
      <c r="AC13" s="3">
        <f>628+(577.9-474.2)+(-0.96084+(-0.884187--0.725526))+0-0-0</f>
        <v>730.58049900000003</v>
      </c>
      <c r="AD13">
        <f t="shared" si="0"/>
        <v>12821.319459</v>
      </c>
      <c r="AE13" s="3">
        <f>680+(612.6-463.6)+(0+(0-0))+0-0-0</f>
        <v>829</v>
      </c>
    </row>
    <row r="14" spans="1:31" s="2" customFormat="1" x14ac:dyDescent="0.25">
      <c r="A14">
        <v>89</v>
      </c>
      <c r="B14">
        <v>1</v>
      </c>
      <c r="C14">
        <v>14</v>
      </c>
      <c r="D14">
        <v>1</v>
      </c>
      <c r="E14">
        <v>1</v>
      </c>
      <c r="F14" s="3">
        <f>615.8+(473.8-455.4)+(-0.628116+(-0.483276--0.464508))+0-0-0</f>
        <v>633.55311600000005</v>
      </c>
      <c r="G14" s="3">
        <f>557+(420.4-432.7)+(-1.13628+(-0.857616--0.882708))+0-0-0</f>
        <v>543.58881200000008</v>
      </c>
      <c r="H14" s="3">
        <f>560.5+(393.5-441.8)+(-0.285855+(-0.200685--0.225318))+0-0-0</f>
        <v>511.93877800000007</v>
      </c>
      <c r="I14" s="3">
        <f>563.8+(356.3-417.6)+(-0.287538+(-0.181713--0.212976))+0-0-0</f>
        <v>502.24372499999993</v>
      </c>
      <c r="J14" s="3">
        <f>564+(332.6-397.3)+(0.28764+(0.169626-0.202623))+0-0-0</f>
        <v>499.554643</v>
      </c>
      <c r="K14" s="3">
        <f>624.2+(293.5-409.4)+(0.636684+(0.29937-0.417588))+0-0-0</f>
        <v>508.81846600000006</v>
      </c>
      <c r="L14" s="3">
        <f>660.1+(299.3-428.8)+(-1.346604+(-0.610572--0.874752))+0-0-0</f>
        <v>529.51757600000008</v>
      </c>
      <c r="M14" s="3">
        <f>695.2+(322.8-468.5)+(0.354552+(0.164628-0.238935))+0-0-0</f>
        <v>549.78024500000004</v>
      </c>
      <c r="N14" s="3">
        <f>723.2+(389-519.6)+(0+(0-0))+0-0-0</f>
        <v>592.6</v>
      </c>
      <c r="O14" s="3">
        <f>812.2+(421.6-573.5)+(-0.414222+(-0.215016--0.292485))+0-0-0</f>
        <v>659.96324700000002</v>
      </c>
      <c r="P14" s="3">
        <f>814.9+(461.1-579.2)+(0+(0-0))+0-0-0</f>
        <v>696.8</v>
      </c>
      <c r="Q14" s="3">
        <f>811.2+(463.1-563.7)+(0+(0-0))+0-0-0</f>
        <v>710.6</v>
      </c>
      <c r="R14" s="3">
        <f>804.8+(445.3-562.4)+(0+(0-0))+0-0-0</f>
        <v>687.7</v>
      </c>
      <c r="S14" s="3">
        <f>789.2+(442.6-571)+(-1.609968+(-0.902904--1.16484))+0-0-0</f>
        <v>659.45196800000008</v>
      </c>
      <c r="T14" s="3">
        <f>802.8+(418.4-577.4)+(0.409428+(0.213384-0.294474))+0-0-0</f>
        <v>644.12833799999999</v>
      </c>
      <c r="U14" s="3">
        <f>826.1+(396.6-574.1)+(0.842622+(0.404532-0.585582))+0-0-0</f>
        <v>649.261572</v>
      </c>
      <c r="V14" s="3">
        <f>821.2+(412.2-572.4)+(-0.418812+(-0.210222--0.291924))+0-0-0</f>
        <v>660.66288999999995</v>
      </c>
      <c r="W14" s="3">
        <f>824.7+(419.9-580.7)+(-1.261791+(-0.642447--0.888471))+0-0-0</f>
        <v>662.88423299999999</v>
      </c>
      <c r="X14" s="3">
        <f>828.1+(408.4-569.9)+(-2.533986+(-1.249704--1.743894))+0-0-0</f>
        <v>664.560204</v>
      </c>
      <c r="Y14" s="3">
        <f>833.7+(478-560.1)+(0.425187+(0.24378-0.285651))+0-0-0</f>
        <v>751.98331600000006</v>
      </c>
      <c r="Z14" s="3">
        <f>838.2+(617.3-522.9)+(-0.854964+(-0.629646--0.533358))+0-0-0</f>
        <v>931.64874800000007</v>
      </c>
      <c r="AA14" s="3">
        <f>842.4+(566.7-493)+(-1.718496+(-1.156068--1.00572))+0-0-0</f>
        <v>914.23115600000006</v>
      </c>
      <c r="AB14" s="3">
        <f>800.7+(583.1-517.6)+(-1.633428+(-1.189524--1.055904))+0-0-0</f>
        <v>864.432952</v>
      </c>
      <c r="AC14" s="3">
        <f>808.7+(517.5-520.1)+(-0.824874+(-0.52785--0.530502))+0-0-0</f>
        <v>805.27777800000001</v>
      </c>
      <c r="AD14">
        <f t="shared" si="0"/>
        <v>15835.181762999999</v>
      </c>
      <c r="AE14" s="3">
        <f>840+(624.4-515)+(0+(0-0))+0-0-0</f>
        <v>949.4</v>
      </c>
    </row>
    <row r="15" spans="1:31" s="2" customFormat="1" x14ac:dyDescent="0.25">
      <c r="A15">
        <v>89</v>
      </c>
      <c r="B15">
        <v>1</v>
      </c>
      <c r="C15">
        <v>15</v>
      </c>
      <c r="D15">
        <v>2</v>
      </c>
      <c r="E15">
        <v>1</v>
      </c>
      <c r="F15" s="3">
        <f>802.3+(397.9-504.4)+(-2.455038+(-1.217574--1.543464))+0-0-0</f>
        <v>693.67085199999997</v>
      </c>
      <c r="G15" s="3">
        <f>810.1+(330.8-540.4)+(-0.826302+(-0.337416--0.551208))+0-0-0</f>
        <v>599.88748999999996</v>
      </c>
      <c r="H15" s="3">
        <f>810.6+(296.1-549.6)+(-0.413406+(-0.151011--0.280296))+0-0-0</f>
        <v>556.815879</v>
      </c>
      <c r="I15" s="3">
        <f>806.8+(251.7-512.7)+(-1.645872+(-0.513468--1.045908))+0-0-0</f>
        <v>544.68656799999997</v>
      </c>
      <c r="J15" s="3">
        <f>808.8+(232.4-499.6)+(-0.824976+(-0.237048--0.509592))+0-0-0</f>
        <v>541.04756799999996</v>
      </c>
      <c r="K15" s="3">
        <f>807.7+(239.7-498.3)+(-1.235781+(-0.366741--0.762399))+0-0-0</f>
        <v>548.25987700000007</v>
      </c>
      <c r="L15" s="3">
        <f>813.8+(275.1-523.2)+(-0.415038+(-0.140301--0.266832))+0-0-0</f>
        <v>565.41149299999995</v>
      </c>
      <c r="M15" s="3">
        <f>806.8+(326.4-553.9)+(-1.645872+(-0.665856--1.129956))+0-0-0</f>
        <v>578.11822799999993</v>
      </c>
      <c r="N15" s="3">
        <f>815.4+(396.8-583.6)+(0+(0-0))+0-0-0</f>
        <v>628.59999999999991</v>
      </c>
      <c r="O15" s="3">
        <f>814.5+(407.2-559.5)+(0+(0-0))+0-0-0</f>
        <v>662.2</v>
      </c>
      <c r="P15" s="3">
        <f>811.7+(431.2-542.9)+(-0.413967+(-0.219912--0.276879))+0-0-0</f>
        <v>699.64300000000003</v>
      </c>
      <c r="Q15" s="3">
        <f>810.4+(398.2-500)+(-0.826608+(-0.406164--0.51))+0-0-0</f>
        <v>707.87722799999995</v>
      </c>
      <c r="R15" s="3">
        <f>793.3+(367-480.5)+(-1.618332+(-0.74868--0.98022))+0-0-0</f>
        <v>678.41320799999994</v>
      </c>
      <c r="S15" s="3">
        <f>783.4+(370.2-492.4)+(-0.799068+(-0.377604--0.502248))+0-0-0</f>
        <v>660.525576</v>
      </c>
      <c r="T15" s="3">
        <f>797.2+(403.5-555.8)+(-1.219716+(-0.617355--0.850374))+0-0-0</f>
        <v>643.91330300000004</v>
      </c>
      <c r="U15" s="3">
        <f>805.9+(382.8-533.9)+(0+(0-0))+0-0-0</f>
        <v>654.79999999999995</v>
      </c>
      <c r="V15" s="3">
        <f>806.9+(374.7-524.7)+(-1.234557+(-0.573291--0.802791))+0-0-0</f>
        <v>655.8949429999999</v>
      </c>
      <c r="W15" s="3">
        <f>809.7+(373.1-520.5)+(0.412947+(0.190281-0.265455))+0-0-0</f>
        <v>662.63777300000004</v>
      </c>
      <c r="X15" s="3">
        <f>772.6+(413.1-511.8)+(-1.97013+(-1.053405--1.30509))+0-0-0</f>
        <v>672.18155500000012</v>
      </c>
      <c r="Y15" s="3">
        <f>775.2+(506.3-524.9)+(0.790704+(0.516426-0.535398))+0-0-0</f>
        <v>757.37173200000018</v>
      </c>
      <c r="Z15" s="3">
        <f>822.1+(604.4-486.5)+(-0.838542+(-0.616488--0.49623))+0-0-0</f>
        <v>939.0412</v>
      </c>
      <c r="AA15" s="3">
        <f>826.9+(538.6-434)+(-2.108595+(-1.37343--1.1067))+0-0-0</f>
        <v>929.12467500000002</v>
      </c>
      <c r="AB15" s="3">
        <f>772.2+(551.9-447.3)+(-0.787644+(-0.562938--0.456246))+0-0-0</f>
        <v>875.905664</v>
      </c>
      <c r="AC15" s="3">
        <f>768+(470.8-442.4)+(-1.17504+(-0.720324--0.676872))+0-0-0</f>
        <v>795.18150800000012</v>
      </c>
      <c r="AD15">
        <f t="shared" si="0"/>
        <v>16251.209319999994</v>
      </c>
      <c r="AE15" s="3">
        <f>823+(627.8-522)+(0+(0-0))+0-0-0</f>
        <v>928.8</v>
      </c>
    </row>
    <row r="16" spans="1:31" s="2" customFormat="1" x14ac:dyDescent="0.25">
      <c r="A16">
        <v>89</v>
      </c>
      <c r="B16">
        <v>1</v>
      </c>
      <c r="C16">
        <v>16</v>
      </c>
      <c r="D16">
        <v>3</v>
      </c>
      <c r="E16">
        <v>1</v>
      </c>
      <c r="F16" s="3">
        <f>769.5+(418.8-528.8)+(-1.56978+(-0.854352--1.078752))+0-0-0</f>
        <v>658.15462000000002</v>
      </c>
      <c r="G16" s="3">
        <f>775.1+(274.7-482.7)+(0+(0-0))+0-0-0</f>
        <v>567.1</v>
      </c>
      <c r="H16" s="3">
        <f>773.4+(302-514.2)+(-0.788868+(-0.30804--0.524484))+0-0-0</f>
        <v>560.62757599999998</v>
      </c>
      <c r="I16" s="3">
        <f>768.4+(280-489.7)+(-1.567536+(-0.5712--0.998988))+0-0-0</f>
        <v>557.56025199999999</v>
      </c>
      <c r="J16" s="3">
        <f>774.9+(280.8-505.4)+(0.395199+(0.143208-0.257754))+0-0-0</f>
        <v>550.58065299999998</v>
      </c>
      <c r="K16" s="3">
        <f>776+(278.8-499.1)+(0+(0-0))+0-0-0</f>
        <v>555.70000000000005</v>
      </c>
      <c r="L16" s="3">
        <f>811.4+(294.7-532.5)+(-0.413814+(-0.150297--0.271575))+0-0-0</f>
        <v>573.30746399999987</v>
      </c>
      <c r="M16" s="3">
        <f>812.7+(341.6-564.4)+(-0.414477+(-0.174216--0.287844))+0-0-0</f>
        <v>589.59915100000012</v>
      </c>
      <c r="N16" s="3">
        <f>816.7+(338.9-521.1)+(0.416517+(0.172839-0.265761))+0-0-0</f>
        <v>634.82359499999995</v>
      </c>
      <c r="O16" s="3">
        <f>816.1+(172.6-289.1)+(0.416211+(0.088026-0.147441))+0-0-0</f>
        <v>699.95679600000005</v>
      </c>
      <c r="P16" s="3">
        <f>801.8+(138-205.9)+(0.408918+(0.07038-0.105009))+0-0-0</f>
        <v>734.27428899999995</v>
      </c>
      <c r="Q16" s="3">
        <f>810.3+(137-210.7)+(-0.413253+(-0.06987--0.107457))+0-0-0</f>
        <v>736.22433399999989</v>
      </c>
      <c r="R16" s="3">
        <f>799.8+(122.5-203.8)+(0+(0-0))+0-0-0</f>
        <v>718.5</v>
      </c>
      <c r="S16" s="3">
        <f>792+(151.2-247.9)+(-1.61568+(-0.308448--0.505716))+0-0-0</f>
        <v>693.88158799999997</v>
      </c>
      <c r="T16" s="3">
        <f>797.2+(208.9-326.6)+(-0.406572+(-0.106539--0.166566))+0-0-0</f>
        <v>679.15345500000001</v>
      </c>
      <c r="U16" s="3">
        <f>794.7+(234.4-349.2)+(-0.810594+(-0.239088--0.356184))+0-0-0</f>
        <v>679.20650200000011</v>
      </c>
      <c r="V16" s="3">
        <f>797.5+(207.1-313.9)+(-0.406725+(-0.105621--0.160089))+0-0-0</f>
        <v>690.34774300000004</v>
      </c>
      <c r="W16" s="3">
        <f>793.3+(177.4-265.7)+(-0.809166+(-0.180948--0.271014))+0-0-0</f>
        <v>704.28089999999997</v>
      </c>
      <c r="X16" s="3">
        <f>787.7+(176.6-236.2)+(-2.008635+(-0.45033--0.60231))+0-0-0</f>
        <v>726.24334499999998</v>
      </c>
      <c r="Y16" s="3">
        <f>796.5+(317.6-318.2)+(-0.406215+(-0.161976--0.162282))+0-0-0</f>
        <v>795.49409100000014</v>
      </c>
      <c r="Z16" s="3">
        <f>840.2+(609.7-516.4)+(-1.285506+(-0.932841--0.790092))+0-0-0</f>
        <v>932.07174500000008</v>
      </c>
      <c r="AA16" s="3">
        <f>843.3+(580.9-501.7)+(-1.720332+(-1.185036--1.023468))+0-0-0</f>
        <v>920.61810000000003</v>
      </c>
      <c r="AB16" s="3">
        <f>816.4+(549.2-493.6)+(-0.832728+(-0.560184--0.503472))+0-0-0</f>
        <v>871.11055999999996</v>
      </c>
      <c r="AC16" s="3">
        <f>772.7+(492.8-481.3)+(-1.576308+(-1.005312--0.981852))+0-0-0</f>
        <v>782.60023200000001</v>
      </c>
      <c r="AD16">
        <f t="shared" si="0"/>
        <v>16611.416990999998</v>
      </c>
      <c r="AE16" s="3">
        <f>832+(637.9-523.9)+(0+(0-0))+0-0-0</f>
        <v>946</v>
      </c>
    </row>
    <row r="17" spans="1:31" s="2" customFormat="1" x14ac:dyDescent="0.25">
      <c r="A17">
        <v>89</v>
      </c>
      <c r="B17">
        <v>1</v>
      </c>
      <c r="C17">
        <v>17</v>
      </c>
      <c r="D17">
        <v>4</v>
      </c>
      <c r="E17">
        <v>1</v>
      </c>
      <c r="F17" s="3">
        <f>772.9+(362.2-465.3)+(-1.182537+(-0.554166--0.711909))+0-0-0</f>
        <v>668.77520599999991</v>
      </c>
      <c r="G17" s="3">
        <f>767.9+(259.2-431.8)+(-1.958145+(-0.66096--1.10109))+0-0-0</f>
        <v>593.78198499999996</v>
      </c>
      <c r="H17" s="3">
        <f>775.3+(244.9-461.1)+(-1.186209+(-0.374697--0.705483))+0-0-0</f>
        <v>558.24457699999994</v>
      </c>
      <c r="I17" s="3">
        <f>724.4+(290.4-476.1)+(-1.84722+(-0.74052--1.214055))+0-0-0</f>
        <v>537.32631499999991</v>
      </c>
      <c r="J17" s="3">
        <f>720.3+(292.7-479.6)+(0+(0-0))+0-0-0</f>
        <v>533.39999999999986</v>
      </c>
      <c r="K17" s="3">
        <f>730.7+(286-477.6)+(0.745314+(0.29172-0.487152))+0-0-0</f>
        <v>539.64988200000005</v>
      </c>
      <c r="L17" s="3">
        <f>818.2+(270.6-522)+(0+(0-0))+0-0-0</f>
        <v>566.80000000000007</v>
      </c>
      <c r="M17" s="3">
        <f>808.9+(296.5-524.9)+(-1.650156+(-0.60486--1.070796))+0-0-0</f>
        <v>579.31578000000002</v>
      </c>
      <c r="N17" s="3">
        <f>816.2+(98.2-272.1)+(0+(0-0))+0-0-0</f>
        <v>642.29999999999995</v>
      </c>
      <c r="O17" s="3">
        <f>822.8+(139.1-253.5)+(1.258884+(0.212823-0.387855))+0-0-0</f>
        <v>709.48385199999996</v>
      </c>
      <c r="P17" s="3">
        <f>817.8+(157.8-252.1)+(0.417078+(0.080478-0.128571))+0-0-0</f>
        <v>723.86898499999995</v>
      </c>
      <c r="Q17" s="3">
        <f>846.7+(141.6-245.4)+(-1.295451+(-0.216648--0.375462))+0-0-0</f>
        <v>741.76336300000014</v>
      </c>
      <c r="R17" s="3">
        <f>838.2+(167.4-281.3)+(-0.427482+(-0.085374--0.143463))+0-0-0</f>
        <v>723.93060700000012</v>
      </c>
      <c r="S17" s="3">
        <f>796.5+(192.7-294)+(-0.81243+(-0.196554--0.29988))+0-0-0</f>
        <v>694.49089600000002</v>
      </c>
      <c r="T17" s="3">
        <f>817+(200.4-322.7)+(-0.41667+(-0.102204--0.164577))+0-0-0</f>
        <v>694.34570300000007</v>
      </c>
      <c r="U17" s="3">
        <f>774.8+(225-306.2)+(0.790296+(0.2295-0.312324))+0-0-0</f>
        <v>694.30747199999996</v>
      </c>
      <c r="V17" s="3">
        <f>780.1+(224.1-300.4)+(0.795702+(0.228582-0.306408))+0-0-0</f>
        <v>704.51787600000011</v>
      </c>
      <c r="W17" s="3">
        <f>773.4+(233.4-278.5)+(-1.183302+(-0.357102--0.426105))+0-0-0</f>
        <v>727.18570099999999</v>
      </c>
      <c r="X17" s="3">
        <f>775.1+(238-263.4)+(-0.790602+(-0.24276--0.268668))+0-0-0</f>
        <v>748.93530600000008</v>
      </c>
      <c r="Y17" s="3">
        <f>774.8+(307.8-278.1)+(-0.790296+(-0.313956--0.283662))+0-0-0</f>
        <v>803.67940999999996</v>
      </c>
      <c r="Z17" s="3">
        <f>835.3+(612.3-502.7)+(-0.852006+(-0.624546--0.512754))+0-0-0</f>
        <v>943.93620199999987</v>
      </c>
      <c r="AA17" s="3">
        <f>855.7+(606.2-519.7)+(-0.872814+(-0.618324--0.530094))+0-0-0</f>
        <v>941.23895600000003</v>
      </c>
      <c r="AB17" s="3">
        <f>857.1+(578.4-551.3)+(0+(0-0))+0-0-0</f>
        <v>884.2</v>
      </c>
      <c r="AC17" s="3">
        <f>858.7+(499.6-565.8)+(-0.437937+(-0.254796--0.288558))+0-0-0</f>
        <v>792.0958250000001</v>
      </c>
      <c r="AD17">
        <f t="shared" si="0"/>
        <v>16747.573898999999</v>
      </c>
      <c r="AE17" s="3">
        <f>851+(604.4-497.4)+(0+(0-0))+0-0-0</f>
        <v>958</v>
      </c>
    </row>
    <row r="18" spans="1:31" s="2" customFormat="1" x14ac:dyDescent="0.25">
      <c r="A18">
        <v>89</v>
      </c>
      <c r="B18">
        <v>1</v>
      </c>
      <c r="C18">
        <v>18</v>
      </c>
      <c r="D18">
        <v>5</v>
      </c>
      <c r="E18">
        <v>1</v>
      </c>
      <c r="F18" s="3">
        <f>816.2+(402.7-531.6)+(-1.248786+(-0.616131--0.813348))+0-0-0</f>
        <v>686.24843099999998</v>
      </c>
      <c r="G18" s="3">
        <f>821.2+(315-528.1)+(0.418812+(0.16065-0.269331))+0-0-0</f>
        <v>608.41013099999998</v>
      </c>
      <c r="H18" s="3">
        <f>817.4+(297.9-547.1)+(-0.416874+(-0.151929--0.279021))+0-0-0</f>
        <v>567.91021799999999</v>
      </c>
      <c r="I18" s="3">
        <f>818.7+(285.7-553.5)+(-0.417537+(-0.145707--0.282285))+0-0-0</f>
        <v>550.61904100000004</v>
      </c>
      <c r="J18" s="3">
        <f>806.8+(301.1-560)+(-2.468808+(-0.921366--1.7136))+0-0-0</f>
        <v>546.22342600000002</v>
      </c>
      <c r="K18" s="3">
        <f>818.4+(297.4-558.7)+(0+(0-0))+0-0-0</f>
        <v>557.09999999999991</v>
      </c>
      <c r="L18" s="3">
        <f>816.2+(320.6-563.4)+(-0.832524+(-0.327012--0.574668))+0-0-0</f>
        <v>572.81513200000006</v>
      </c>
      <c r="M18" s="3">
        <f>815.1+(241.4-472.3)+(-0.415701+(-0.123114--0.240873))+0-0-0</f>
        <v>583.90205800000001</v>
      </c>
      <c r="N18" s="3">
        <f>817.7+(96.9-274.2)+(0.417027+(0.049419-0.139842))+0-0-0</f>
        <v>640.72660400000007</v>
      </c>
      <c r="O18" s="3">
        <f>816.6+(128.7-246.2)+(0+(0-0))+0-0-0</f>
        <v>699.1</v>
      </c>
      <c r="P18" s="3">
        <f>813.8+(137.1-216.9)+(0+(0-0))+0-0-0</f>
        <v>734</v>
      </c>
      <c r="Q18" s="3">
        <f>809.1+(165.5-234.8)+(-0.825282+(-0.16881--0.239496))+0-0-0</f>
        <v>739.04540399999996</v>
      </c>
      <c r="R18" s="3">
        <f>791+(186.1-255.8)+(-1.21023+(-0.284733--0.391374))+0-0-0</f>
        <v>720.1964109999999</v>
      </c>
      <c r="S18" s="3">
        <f>787.1+(172.6-260)+(-1.204263+(-0.264078--0.3978))+0-0-0</f>
        <v>698.629459</v>
      </c>
      <c r="T18" s="3">
        <f>788+(164.6-259.8)+(-1.20564+(-0.251838--0.397494))+0-0-0</f>
        <v>691.74001599999997</v>
      </c>
      <c r="U18" s="3">
        <f>789.3+(159.7-253.3)+(-1.207629+(-0.244341--0.387549))+0-0-0</f>
        <v>694.63557899999989</v>
      </c>
      <c r="V18" s="3">
        <f>798.8+(166.4-255.3)+(-0.407388+(-0.084864--0.130203))+0-0-0</f>
        <v>709.53795100000002</v>
      </c>
      <c r="W18" s="3">
        <f>816.4+(168.3-249.2)+(-2.08182+(-0.429165--0.63546))+0-0-0</f>
        <v>733.62447499999996</v>
      </c>
      <c r="X18" s="3">
        <f>770.1+(163.6-193.9)+(-1.178253+(-0.250308--0.296667))+0-0-0</f>
        <v>738.66810599999997</v>
      </c>
      <c r="Y18" s="3">
        <f>774.3+(222.3-175.9)+(-0.789786+(-0.226746--0.179418))+0-0-0</f>
        <v>819.86288599999989</v>
      </c>
      <c r="Z18" s="3">
        <f>851.7+(260.8-148.2)+(-3.040569+(-0.931056--0.529074))+0-0-0</f>
        <v>960.85744900000009</v>
      </c>
      <c r="AA18" s="3">
        <f>848+(256.5-165.3)+(-1.29744+(-0.392445--0.252909))+0-0-0</f>
        <v>937.76302400000009</v>
      </c>
      <c r="AB18" s="3">
        <f>845.5+(254.8-225.6)+(-1.293615+(-0.389844--0.345168))+0-0-0</f>
        <v>873.36170900000002</v>
      </c>
      <c r="AC18" s="3">
        <f>843.7+(265.5-323.3)+(0.430287+(0.135405-0.164883))+0-0-0</f>
        <v>786.30080900000007</v>
      </c>
      <c r="AD18">
        <f t="shared" si="0"/>
        <v>16851.278319000001</v>
      </c>
      <c r="AE18" s="3">
        <f>847+(278.2-159.4)+(0+(0-0))+0-0-0</f>
        <v>965.8</v>
      </c>
    </row>
    <row r="19" spans="1:31" s="2" customFormat="1" x14ac:dyDescent="0.25">
      <c r="A19">
        <v>89</v>
      </c>
      <c r="B19">
        <v>1</v>
      </c>
      <c r="C19">
        <v>19</v>
      </c>
      <c r="D19">
        <v>6</v>
      </c>
      <c r="E19">
        <v>1</v>
      </c>
      <c r="F19" s="3">
        <f>765.8+(407.2-490.8)+(-1.562232+(-0.830688--1.001232))+0-0-0</f>
        <v>680.80831199999989</v>
      </c>
      <c r="G19" s="3">
        <f>722.9+(385.6-504.4)+(-1.106037+(-0.589968--0.771732))+0-0-0</f>
        <v>603.17572700000005</v>
      </c>
      <c r="H19" s="3">
        <f>720.8+(370.8-524.2)+(-0.735216+(-0.378216--0.534684))+0-0-0</f>
        <v>566.82125199999984</v>
      </c>
      <c r="I19" s="3">
        <f>720.9+(350.9-515.9)+(-1.102977+(-0.536877--0.789327))+0-0-0</f>
        <v>555.04947299999992</v>
      </c>
      <c r="J19" s="3">
        <f>723.8+(319.7-500.4)+(0+(0-0))+0-0-0</f>
        <v>543.09999999999991</v>
      </c>
      <c r="K19" s="3">
        <f>725.5+(311.1-490.2)+(0.370005+(0.158661-0.250002))+0-0-0</f>
        <v>546.67866400000014</v>
      </c>
      <c r="L19" s="3">
        <f>724.8+(330.2-489.9)+(-0.739296+(-0.336804--0.499698))+0-0-0</f>
        <v>564.52359799999988</v>
      </c>
      <c r="M19" s="3">
        <f>719.2+(388.5-527.2)+(-0.366792+(-0.198135--0.268872))+0-0-0</f>
        <v>580.20394499999998</v>
      </c>
      <c r="N19" s="3">
        <f>680.9+(430.5-496.1)+(-0.347259+(-0.219555--0.253011))+0-0-0</f>
        <v>614.98619699999995</v>
      </c>
      <c r="O19" s="3">
        <f>684.9+(236.9-230.8)+(1.047897+(0.362457-0.353124))+0-0-0</f>
        <v>692.05723</v>
      </c>
      <c r="P19" s="3">
        <f>683.1+(236.4-190.2)+(0.696762+(0.241128-0.194004))+0-0-0</f>
        <v>730.04388600000004</v>
      </c>
      <c r="Q19" s="3">
        <f>682.1+(212.9-167.3)+(0.347871+(0.108579-0.085323))+0-0-0</f>
        <v>728.07112700000005</v>
      </c>
      <c r="R19" s="3">
        <f>679.5+(250.6-223.8)+(0+(0-0))+0-0-0</f>
        <v>706.3</v>
      </c>
      <c r="S19" s="3">
        <f>675.4+(299.5-289.2)+(-1.377816+(-0.61098--0.589968))+0-0-0</f>
        <v>684.30117200000007</v>
      </c>
      <c r="T19" s="3">
        <f>684.6+(329.7-341.7)+(1.047438+(0.504441-0.522801))+0-0-0</f>
        <v>673.62907800000005</v>
      </c>
      <c r="U19" s="3">
        <f>682.1+(372.2-394.8)+(-0.347871+(-0.189822--0.201348))+0-0-0</f>
        <v>659.16365499999995</v>
      </c>
      <c r="V19" s="3">
        <f>682.7+(381.2-414.5)+(-0.348177+(-0.194412--0.211395))+0-0-0</f>
        <v>649.06880600000011</v>
      </c>
      <c r="W19" s="3">
        <f>679.9+(417.2-379.9)+(-0.693498+(-0.425544--0.387498))+0-0-0</f>
        <v>716.46845600000006</v>
      </c>
      <c r="X19" s="3">
        <f>678.6+(428.3-370.3)+(-0.346086+(-0.218433--0.188853))+0-0-0</f>
        <v>736.224334</v>
      </c>
      <c r="Y19" s="3">
        <f>689.6+(383.8-242.1)+(0.703392+(0.391476-0.246942))+0-0-0</f>
        <v>832.1479260000001</v>
      </c>
      <c r="Z19" s="3">
        <f>712.4+(547.3-335.5)+(0.363324+(0.279123-0.171105))+0-0-0</f>
        <v>924.67134199999998</v>
      </c>
      <c r="AA19" s="3">
        <f>712.2+(663.2-482.9)+(0+(0-0))+0-0-0</f>
        <v>892.50000000000011</v>
      </c>
      <c r="AB19" s="3">
        <f>663.7+(693-510.7)+(-1.015461+(-1.06029--0.781371))+0-0-0</f>
        <v>844.70561999999995</v>
      </c>
      <c r="AC19" s="3">
        <f>666.3+(558.5-451.3)+(0+(0-0))+0-0-0</f>
        <v>773.5</v>
      </c>
      <c r="AD19">
        <f t="shared" si="0"/>
        <v>16498.199800000002</v>
      </c>
      <c r="AE19" s="3">
        <f>710+(638.2-424.3)+(0+(0-0))+0-0-0</f>
        <v>923.90000000000009</v>
      </c>
    </row>
    <row r="20" spans="1:31" s="2" customFormat="1" x14ac:dyDescent="0.25">
      <c r="A20">
        <v>89</v>
      </c>
      <c r="B20">
        <v>1</v>
      </c>
      <c r="C20">
        <v>20</v>
      </c>
      <c r="D20">
        <v>7</v>
      </c>
      <c r="E20">
        <v>1</v>
      </c>
      <c r="F20" s="3">
        <f>662.4+(466.7-467.2)+(-0.675648+(-0.476034--0.476544))+0-0-0</f>
        <v>661.22486200000003</v>
      </c>
      <c r="G20" s="3">
        <f>660.8+(359.2-432.6)+(-1.348032+(-0.732768--0.882504))+0-0-0</f>
        <v>586.20170399999984</v>
      </c>
      <c r="H20" s="3">
        <f>659.7+(363.8-480.5)+(-0.672894+(-0.371076--0.49011))+0-0-0</f>
        <v>542.44614000000001</v>
      </c>
      <c r="I20" s="3">
        <f>662.1+(357.7-491.7)+(-0.337671+(-0.182427--0.250767))+0-0-0</f>
        <v>527.83066900000006</v>
      </c>
      <c r="J20" s="3">
        <f>663.8+(369.6-515.2)+(-0.677076+(-0.376992--0.525504))+0-0-0</f>
        <v>517.67143599999997</v>
      </c>
      <c r="K20" s="3">
        <f>667.1+(379.2-527.6)+(-0.340221+(-0.193392--0.269076))+0-0-0</f>
        <v>518.43546300000003</v>
      </c>
      <c r="L20" s="3">
        <f>645.2+(392-517.4)+(-1.316208+(-0.79968--1.055496))+0-0-0</f>
        <v>518.73960800000009</v>
      </c>
      <c r="M20" s="3">
        <f>622.4+(417.9-531.3)+(0+(0-0))+0-0-0</f>
        <v>509</v>
      </c>
      <c r="N20" s="3">
        <f>662.4+(416.7-540.4)+(-0.675648+(-0.425034--0.551208))+0-0-0</f>
        <v>538.15052600000001</v>
      </c>
      <c r="O20" s="3">
        <f>662.5+(427.3-509.3)+(1.013625+(0.653769-0.779229))+0-0-0</f>
        <v>581.38816499999996</v>
      </c>
      <c r="P20" s="3">
        <f>663.5+(458.7-503.1)+(0.67677+(0.467874-0.513162))+0-0-0</f>
        <v>619.73148199999991</v>
      </c>
      <c r="Q20" s="3">
        <f>701.1+(444.8-510.8)+(0.357561+(0.226848-0.260508))+0-0-0</f>
        <v>635.423901</v>
      </c>
      <c r="R20" s="3">
        <f>673.4+(468.2-513.9)+(0+(0-0))+0-0-0</f>
        <v>627.70000000000005</v>
      </c>
      <c r="S20" s="3">
        <f>672.2+(455.7-512.9)+(-0.342822+(-0.232407--0.261579))+0-0-0</f>
        <v>614.68634999999995</v>
      </c>
      <c r="T20" s="3">
        <f>671.8+(438.6-507.3)+(-0.685236+(-0.447372--0.517446))+0-0-0</f>
        <v>602.48483799999985</v>
      </c>
      <c r="U20" s="3">
        <f>684.6+(403.6-493.7)+(0.349146+(0.205836-0.251787))+0-0-0</f>
        <v>594.80319499999996</v>
      </c>
      <c r="V20" s="3">
        <f>701.8+(392.4-496)+(-1.431672+(-0.800496--1.01184))+0-0-0</f>
        <v>596.97967199999994</v>
      </c>
      <c r="W20" s="3">
        <f>704.8+(399.4-504.3)+(-0.718896+(-0.407388--0.514386))+0-0-0</f>
        <v>599.28810199999987</v>
      </c>
      <c r="X20" s="3">
        <f>692+(416.6-501.2)+(-2.11752+(-1.274796--1.533672))+0-0-0</f>
        <v>605.54135600000006</v>
      </c>
      <c r="Y20" s="3">
        <f>645.9+(502.5-469.2)+(0+(0-0))+0-0-0</f>
        <v>679.2</v>
      </c>
      <c r="Z20" s="3">
        <f>721.4+(693.2-539.5)+(-0.367914+(-0.353532--0.275145))+0-0-0</f>
        <v>874.65369900000007</v>
      </c>
      <c r="AA20" s="3">
        <f>725.4+(697-536.8)+(-1.109862+(-1.06641--0.821304))+0-0-0</f>
        <v>884.24503200000004</v>
      </c>
      <c r="AB20" s="3">
        <f>698.1+(647.5-502)+(-1.068093+(-0.990675--0.76806))+0-0-0</f>
        <v>842.30929200000003</v>
      </c>
      <c r="AC20" s="3">
        <f>663+(582.5-479.8)+(-1.35252+(-1.1883--0.978792))+0-0-0</f>
        <v>764.13797199999999</v>
      </c>
      <c r="AD20">
        <f t="shared" si="0"/>
        <v>15042.273464000004</v>
      </c>
      <c r="AE20" s="3">
        <f>719+(718.4-550.6)+(0+(0-0))+0-0-0</f>
        <v>886.8</v>
      </c>
    </row>
    <row r="21" spans="1:31" s="2" customFormat="1" x14ac:dyDescent="0.25">
      <c r="A21">
        <v>89</v>
      </c>
      <c r="B21">
        <v>1</v>
      </c>
      <c r="C21">
        <v>21</v>
      </c>
      <c r="D21">
        <v>1</v>
      </c>
      <c r="E21">
        <v>1</v>
      </c>
      <c r="F21" s="3">
        <f>661.2+(466.7-464.9)+(-1.68606+(-1.190085--1.185495))+0-0-0</f>
        <v>661.30934999999999</v>
      </c>
      <c r="G21" s="3">
        <f>661+(386.1-462.1)+(-1.68555+(-0.984555--1.178355))+0-0-0</f>
        <v>583.50824999999998</v>
      </c>
      <c r="H21" s="3">
        <f>628.5+(396-467.7)+(-1.92321+(-1.21176--1.431162))+0-0-0</f>
        <v>555.09619199999997</v>
      </c>
      <c r="I21" s="3">
        <f>610.7+(390.1-456)+(-0.311457+(-0.198951--0.23256))+0-0-0</f>
        <v>544.52215200000012</v>
      </c>
      <c r="J21" s="3">
        <f>610.2+(385.6-454)+(-0.933606+(-0.589968--0.69462))+0-0-0</f>
        <v>540.97104600000011</v>
      </c>
      <c r="K21" s="3">
        <f>611.5+(370.3-429.5)+(-0.62373+(-0.377706--0.43809))+0-0-0</f>
        <v>551.73665399999993</v>
      </c>
      <c r="L21" s="3">
        <f>563.1+(439.6-440.2)+(-1.723086+(-1.345176--1.347012))+0-0-0</f>
        <v>560.77874999999995</v>
      </c>
      <c r="M21" s="3">
        <f>608.1+(434.1-472.6)+(0.310131+(0.221391-0.241026))+0-0-0</f>
        <v>569.89049599999998</v>
      </c>
      <c r="N21" s="3">
        <f>681.9+(441.3-505.3)+(0+(0-0))+0-0-0</f>
        <v>617.9</v>
      </c>
      <c r="O21" s="3">
        <f>677.6+(494.9-497.3)+(-0.691152+(-0.504798--0.507246))+0-0-0</f>
        <v>674.51129600000002</v>
      </c>
      <c r="P21" s="3">
        <f>682.7+(508.1-470.9)+(0.348177+(0.259131-0.240159))+0-0-0</f>
        <v>720.26714900000013</v>
      </c>
      <c r="Q21" s="3">
        <f>681+(491.9-459.3)+(0.34731+(0.250869-0.234243))+0-0-0</f>
        <v>713.96393599999988</v>
      </c>
      <c r="R21" s="3">
        <f>678.1+(482.1-468.4)+(-0.691662+(-0.491742--0.477768))+0-0-0</f>
        <v>691.09436400000004</v>
      </c>
      <c r="S21" s="3">
        <f>662.8+(494.5-499.3)+(-1.69014+(-1.260975--1.273215))+0-0-0</f>
        <v>656.32209999999998</v>
      </c>
      <c r="T21" s="3">
        <f>681.7+(488.8-505)+(0.347667+(0.249288-0.25755))+0-0-0</f>
        <v>665.83940500000006</v>
      </c>
      <c r="U21" s="3">
        <f>673.8+(468.6-476.2)+(-1.374552+(-0.955944--0.971448))+0-0-0</f>
        <v>664.84095200000002</v>
      </c>
      <c r="V21" s="3">
        <f>679.2+(446.9-457.6)+(0+(0-0))+0-0-0</f>
        <v>668.5</v>
      </c>
      <c r="W21" s="3">
        <f>674.4+(484.3-487)+(-1.375776+(-0.987972--0.99348))+0-0-0</f>
        <v>670.32973200000004</v>
      </c>
      <c r="X21" s="3">
        <f>676.9+(481.1-483.5)+(-0.690438+(-0.490722--0.49317))+0-0-0</f>
        <v>673.81200999999999</v>
      </c>
      <c r="Y21" s="3">
        <f>679.7+(487-411.9)+(-1.386588+(-0.99348--0.840276))+0-0-0</f>
        <v>753.26020800000003</v>
      </c>
      <c r="Z21" s="3">
        <f>668+(732.9-471.8)+(-1.02204+(-1.121337--0.721854))+0-0-0</f>
        <v>927.67847699999993</v>
      </c>
      <c r="AA21" s="3">
        <f>689+(752-505.6)+(-1.05417+(-1.15056--0.773568))+0-0-0</f>
        <v>933.96883800000001</v>
      </c>
      <c r="AB21" s="3">
        <f>715+(678-500.4)+(-1.09395+(-1.03734--0.765612))+0-0-0</f>
        <v>891.23432200000002</v>
      </c>
      <c r="AC21" s="3">
        <f>777+(497.8-481)+(-1.58508+(-1.015512--0.98124))+0-0-0</f>
        <v>792.18064799999991</v>
      </c>
      <c r="AD21">
        <f t="shared" si="0"/>
        <v>16283.516326999999</v>
      </c>
      <c r="AE21" s="3">
        <f>680+(726-467)+(0+(0-0))+0-0-0</f>
        <v>939</v>
      </c>
    </row>
    <row r="22" spans="1:31" s="2" customFormat="1" x14ac:dyDescent="0.25">
      <c r="A22">
        <v>89</v>
      </c>
      <c r="B22">
        <v>1</v>
      </c>
      <c r="C22">
        <v>22</v>
      </c>
      <c r="D22">
        <v>2</v>
      </c>
      <c r="E22">
        <v>1</v>
      </c>
      <c r="F22" s="3">
        <f>693+(480.6-502)+(-0.70686+(-0.490212--0.51204))+0-0-0</f>
        <v>670.91496800000004</v>
      </c>
      <c r="G22" s="3">
        <f>689.9+(394.5-469.5)+(-1.759245+(-1.005975--1.197225))+0-0-0</f>
        <v>613.33200499999998</v>
      </c>
      <c r="H22" s="3">
        <f>692.7+(362.5-477.1)+(-1.059831+(-0.554625--0.729963))+0-0-0</f>
        <v>577.215507</v>
      </c>
      <c r="I22" s="3">
        <f>692.3+(319.3-449.8)+(-1.059219+(-0.488529--0.688194))+0-0-0</f>
        <v>560.94044599999995</v>
      </c>
      <c r="J22" s="3">
        <f>678.5+(320.3-445.6)+(-1.730175+(-0.816765--1.13628))+0-0-0</f>
        <v>551.78934000000004</v>
      </c>
      <c r="K22" s="3">
        <f>635.3+(339.2-418.7)+(0.648006+(0.345984-0.427074))+0-0-0</f>
        <v>556.36691599999995</v>
      </c>
      <c r="L22" s="3">
        <f>629.9+(392.9-449.3)+(-1.606245+(-1.001895--1.145715))+0-0-0</f>
        <v>572.03757499999995</v>
      </c>
      <c r="M22" s="3">
        <f>642.4+(432.5-483.5)+(-0.327624+(-0.220575--0.246585))+0-0-0</f>
        <v>591.098386</v>
      </c>
      <c r="N22" s="3">
        <f>696.2+(474.6-535.9)+(0.355062+(0.242046-0.273309))+0-0-0</f>
        <v>635.2237990000001</v>
      </c>
      <c r="O22" s="3">
        <f>689+(495.2-495.1)+(-0.35139+(-0.252552--0.252501))+0-0-0</f>
        <v>688.74855899999989</v>
      </c>
      <c r="P22" s="3">
        <f>694.6+(514.4-497.9)+(-0.354246+(-0.262344--0.253929))+0-0-0</f>
        <v>710.73733900000002</v>
      </c>
      <c r="Q22" s="3">
        <f>696.6+(517.9-487.6)+(0.355266+(0.264129-0.248676))+0-0-0</f>
        <v>727.27071899999999</v>
      </c>
      <c r="R22" s="3">
        <f>688.1+(505.3-495.6)+(-1.052793+(-0.773109--0.758268))+0-0-0</f>
        <v>696.73236599999996</v>
      </c>
      <c r="S22" s="3">
        <f>687.9+(473.2-476.6)+(-1.052487+(-0.723996--0.729198))+0-0-0</f>
        <v>683.45271500000001</v>
      </c>
      <c r="T22" s="3">
        <f>697.2+(476.4-505.7)+(0+(0-0))+0-0-0</f>
        <v>667.90000000000009</v>
      </c>
      <c r="U22" s="3">
        <f>780+(379.1-490.2)+(0+(0-0))+0-0-0</f>
        <v>668.90000000000009</v>
      </c>
      <c r="V22" s="3">
        <f>908.2+(286.3-515.2)+(-0.463182+(-0.146013--0.262752))+0-0-0</f>
        <v>678.95355699999993</v>
      </c>
      <c r="W22" s="3">
        <f>975.3+(260.4-542.9)+(-2.984418+(-0.796824--1.661274))+0-0-0</f>
        <v>690.68003199999998</v>
      </c>
      <c r="X22" s="3">
        <f>994.2+(250.2-539.7)+(-0.507042+(-0.127602--0.275247))+0-0-0</f>
        <v>704.3406030000001</v>
      </c>
      <c r="Y22" s="3">
        <f>995.9+(294.5-506.1)+(-1.015818+(-0.30039--0.516222))+0-0-0</f>
        <v>783.50001399999996</v>
      </c>
      <c r="Z22" s="3">
        <f>994.4+(457.8-498.3)+(-3.042864+(-1.400868--1.524798))+0-0-0</f>
        <v>950.98106599999994</v>
      </c>
      <c r="AA22" s="3">
        <f>994.9+(452.3-497.9)+(-2.029596+(-0.922692--1.015716))+0-0-0</f>
        <v>947.363428</v>
      </c>
      <c r="AB22" s="3">
        <f>1000.1+(396.7-504.7)+(0+(0-0))+0-0-0</f>
        <v>892.1</v>
      </c>
      <c r="AC22" s="3">
        <f>1001+(338.8-529)+(-0.51051+(-0.172788--0.26979))+0-0-0</f>
        <v>810.38649199999998</v>
      </c>
      <c r="AD22">
        <f t="shared" si="0"/>
        <v>16630.965832000002</v>
      </c>
      <c r="AE22" s="3">
        <f>998+(460.6-507)+(0+(0-0))+0-0-0</f>
        <v>951.6</v>
      </c>
    </row>
    <row r="23" spans="1:31" s="2" customFormat="1" x14ac:dyDescent="0.25">
      <c r="A23">
        <v>89</v>
      </c>
      <c r="B23">
        <v>1</v>
      </c>
      <c r="C23">
        <v>23</v>
      </c>
      <c r="D23">
        <v>3</v>
      </c>
      <c r="E23">
        <v>1</v>
      </c>
      <c r="F23" s="3">
        <f>996.5+(229.2-524.1)+(-1.524645+(-0.350676--0.801873))+0-0-0</f>
        <v>700.52655199999992</v>
      </c>
      <c r="G23" s="3">
        <f>1001.5+(210.7-589.9)+(0+(0-0))+0-0-0</f>
        <v>622.29999999999995</v>
      </c>
      <c r="H23" s="3">
        <f>1000.3+(191.3-598)+(-1.020306+(-0.195126--0.60996))+0-0-0</f>
        <v>592.99452799999995</v>
      </c>
      <c r="I23" s="3">
        <f>1002+(180.2-601.7)+(-0.51102+(-0.091902--0.306867))+0-0-0</f>
        <v>580.20394499999998</v>
      </c>
      <c r="J23" s="3">
        <f>1001.3+(159.1-584.2)+(-2.042652+(-0.324564--1.191768))+0-0-0</f>
        <v>575.02455199999997</v>
      </c>
      <c r="K23" s="3">
        <f>1005.9+(135.8-560.1)+(-0.513009+(-0.069258--0.285651))+0-0-0</f>
        <v>581.30338399999994</v>
      </c>
      <c r="L23" s="3">
        <f>1007+(137.4-549)+(-0.51357+(-0.070074--0.27999))+0-0-0</f>
        <v>595.09634599999993</v>
      </c>
      <c r="M23" s="3">
        <f>1005.4+(180-577.3)+(-1.025508+(-0.1836--0.588846))+0-0-0</f>
        <v>607.479738</v>
      </c>
      <c r="N23" s="3">
        <f>1004.8+(187.4-541.4)+(-2.049792+(-0.382296--1.104456))+0-0-0</f>
        <v>649.47236799999996</v>
      </c>
      <c r="O23" s="3">
        <f>1002.2+(84.9-377.2)+(-1.533366+(-0.129897--0.577116))+0-0-0</f>
        <v>708.81385300000011</v>
      </c>
      <c r="P23" s="3">
        <f>978+(45.6-266.1)+(-1.49634+(-0.069768--0.407133))+0-0-0</f>
        <v>756.34102499999995</v>
      </c>
      <c r="Q23" s="3">
        <f>992.6+(96.3-330.6)+(-1.012452+(-0.098226--0.337212))+0-0-0</f>
        <v>757.52653399999997</v>
      </c>
      <c r="R23" s="3">
        <f>1003.5+(130-398.3)+(0+(0-0))+0-0-0</f>
        <v>735.2</v>
      </c>
      <c r="S23" s="3">
        <f>1018.9+(253.3-553.8)+(-0.519639+(-0.129183--0.282438))+0-0-0</f>
        <v>718.03361600000005</v>
      </c>
      <c r="T23" s="3">
        <f>1001.7+(288-590.3)+(-1.021734+(-0.29376--0.602106))+0-0-0</f>
        <v>698.68661200000008</v>
      </c>
      <c r="U23" s="3">
        <f>980+(228.2-505.2)+(-0.9996+(-0.232764--0.515304))+0-0-0</f>
        <v>702.28294000000005</v>
      </c>
      <c r="V23" s="3">
        <f>981.4+(217.4-488.9)+(-1.001028+(-0.221748--0.498678))+0-0-0</f>
        <v>709.17590199999995</v>
      </c>
      <c r="W23" s="3">
        <f>981.1+(237.4-505.9)+(-0.500361+(-0.121074--0.258009))+0-0-0</f>
        <v>712.23657400000002</v>
      </c>
      <c r="X23" s="3">
        <f>979.5+(279.2-534.7)+(-0.499545+(-0.142392--0.272697))+0-0-0</f>
        <v>723.63076000000001</v>
      </c>
      <c r="Y23" s="3">
        <f>991+(379.5-564.8)+(0+(0-0))+0-0-0</f>
        <v>805.7</v>
      </c>
      <c r="Z23" s="3">
        <f>1010.3+(473.2-522.3)+(-1.030506+(-0.482664--0.532746))+0-0-0</f>
        <v>960.21957600000007</v>
      </c>
      <c r="AA23" s="3">
        <f>988+(489.6-545.4)+(-1.00776+(-0.499392--0.556308))+0-0-0</f>
        <v>931.24915600000008</v>
      </c>
      <c r="AB23" s="3">
        <f>989+(406.7-519.1)+(-2.01756+(-0.829668--1.058964))+0-0-0</f>
        <v>874.81173599999988</v>
      </c>
      <c r="AC23" s="3">
        <f>990.7+(289.9-507.2)+(-1.010514+(-0.295698--0.517344))+0-0-0</f>
        <v>772.61113200000011</v>
      </c>
      <c r="AD23">
        <f t="shared" si="0"/>
        <v>17070.920828999999</v>
      </c>
      <c r="AE23" s="3">
        <f>999+(463.8-525.1)+(0+(0-0))+0-0-0</f>
        <v>937.7</v>
      </c>
    </row>
    <row r="24" spans="1:31" s="2" customFormat="1" x14ac:dyDescent="0.25">
      <c r="A24">
        <v>89</v>
      </c>
      <c r="B24">
        <v>1</v>
      </c>
      <c r="C24">
        <v>24</v>
      </c>
      <c r="D24">
        <v>4</v>
      </c>
      <c r="E24">
        <v>1</v>
      </c>
      <c r="F24" s="3">
        <f>991.4+(261.1-570)+(-1.516842+(-0.399483--0.8721))+0-0-0</f>
        <v>681.45577500000002</v>
      </c>
      <c r="G24" s="3">
        <f>985.3+(228-600.4)+(-1.507509+(-0.34884--0.918612))+0-0-0</f>
        <v>611.96226300000001</v>
      </c>
      <c r="H24" s="3">
        <f>924.1+(212.8-571.5)+(0.471291+(0.108528-0.291465))+0-0-0</f>
        <v>565.68835400000012</v>
      </c>
      <c r="I24" s="3">
        <f>909.6+(199.5-563.5)+(-1.391688+(-0.305235--0.862155))+0-0-0</f>
        <v>544.76523199999997</v>
      </c>
      <c r="J24" s="3">
        <f>909.1+(200.4-567.9)+(-2.318205+(-0.51102--1.448145))+0-0-0</f>
        <v>540.21892000000003</v>
      </c>
      <c r="K24" s="3">
        <f>911.9+(171.3-537)+(-1.395207+(-0.262089--0.82161))+0-0-0</f>
        <v>545.36431400000004</v>
      </c>
      <c r="L24" s="3">
        <f>915.3+(178.8-533.4)+(-0.466803+(-0.091188--0.272034))+0-0-0</f>
        <v>560.41404299999999</v>
      </c>
      <c r="M24" s="3">
        <f>871.1+(223.4-524.7)+(0+(0-0))+0-0-0</f>
        <v>569.79999999999995</v>
      </c>
      <c r="N24" s="3">
        <f>962.8+(204.6-556.4)+(0+(0-0))+0-0-0</f>
        <v>611</v>
      </c>
      <c r="O24" s="3">
        <f>976.5+(193.7-507)+(-0.498015+(-0.098787--0.25857))+0-0-0</f>
        <v>662.8617680000001</v>
      </c>
      <c r="P24" s="3">
        <f>968.4+(229.2-493.6)+(0+(0-0))+0-0-0</f>
        <v>704</v>
      </c>
      <c r="Q24" s="3">
        <f>985.1+(231-505.3)+(0+(0-0))+0-0-0</f>
        <v>710.8</v>
      </c>
      <c r="R24" s="3">
        <f>988+(243.1-545.3)+(-1.51164+(-0.371943--0.834309))+0-0-0</f>
        <v>684.7507260000001</v>
      </c>
      <c r="S24" s="3">
        <f>985.6+(227.5-537.2)+(-1.005312+(-0.23205--0.547944))+0-0-0</f>
        <v>675.21058199999993</v>
      </c>
      <c r="T24" s="3">
        <f>987+(188.2-509.7)+(-0.50337+(-0.095982--0.259947))+0-0-0</f>
        <v>665.16059499999994</v>
      </c>
      <c r="U24" s="3">
        <f>986.4+(202.1-529.2)+(0.503064+(0.103071-0.269892))+0-0-0</f>
        <v>659.63624299999992</v>
      </c>
      <c r="V24" s="3">
        <f>984.5+(238-542)+(-0.502095+(-0.12138--0.27642))+0-0-0</f>
        <v>680.15294500000005</v>
      </c>
      <c r="W24" s="3">
        <f>985.6+(248.1-558.8)+(-1.507968+(-0.379593--0.854964))+0-0-0</f>
        <v>673.86740300000008</v>
      </c>
      <c r="X24" s="3">
        <f>984.1+(271.2-567)+(-2.509455+(-0.69156--1.44585))+0-0-0</f>
        <v>686.54483499999992</v>
      </c>
      <c r="Y24" s="3">
        <f>871.8+(416.5-532.5)+(-0.889236+(-0.42483--0.54315))+0-0-0</f>
        <v>755.0290839999999</v>
      </c>
      <c r="Z24" s="3">
        <f>933.1+(618.8-622.2)+(-1.903524+(-1.262352--1.269288))+0-0-0</f>
        <v>927.80341199999998</v>
      </c>
      <c r="AA24" s="3">
        <f>989.2+(598.3-668.1)+(-2.52246+(-1.525665--1.703655))+0-0-0</f>
        <v>917.05552999999998</v>
      </c>
      <c r="AB24" s="3">
        <f>990.5+(498-618.6)+(-2.02062+(-1.01592--1.261944))+0-0-0</f>
        <v>868.125404</v>
      </c>
      <c r="AC24" s="3">
        <f>943.1+(394.1-552.3)+(-1.923924+(-0.803964--1.126692))+0-0-0</f>
        <v>783.29880400000013</v>
      </c>
      <c r="AD24">
        <f t="shared" si="0"/>
        <v>16284.966231999999</v>
      </c>
      <c r="AE24" s="3">
        <f>997+(594-667)+(0+(0-0))+0-0-0</f>
        <v>924</v>
      </c>
    </row>
    <row r="25" spans="1:31" s="2" customFormat="1" x14ac:dyDescent="0.25">
      <c r="A25">
        <v>89</v>
      </c>
      <c r="B25">
        <v>1</v>
      </c>
      <c r="C25">
        <v>25</v>
      </c>
      <c r="D25">
        <v>5</v>
      </c>
      <c r="E25">
        <v>1</v>
      </c>
      <c r="F25" s="3">
        <f>877.9+(345.4-554.7)+(-1.343187+(-0.528462--0.848691))+0-0-0</f>
        <v>667.57704199999989</v>
      </c>
      <c r="G25" s="3">
        <f>877.2+(218.7-500.3)+(-1.342116+(-0.334611--0.765459))+0-0-0</f>
        <v>594.68873200000007</v>
      </c>
      <c r="H25" s="3">
        <f>879.7+(163.2-477.1)+(-0.897294+(-0.166464--0.486642))+0-0-0</f>
        <v>565.22288399999991</v>
      </c>
      <c r="I25" s="3">
        <f>879.7+(146.6-472.6)+(-0.897294+(-0.149532--0.482052))+0-0-0</f>
        <v>553.13522599999999</v>
      </c>
      <c r="J25" s="3">
        <f>879.7+(151.5-477.9)+(-0.897294+(-0.15453--0.487458))+0-0-0</f>
        <v>552.73563400000012</v>
      </c>
      <c r="K25" s="3">
        <f>872.4+(143.2-456.2)+(0.444924+(0.073032-0.232662))+0-0-0</f>
        <v>559.685294</v>
      </c>
      <c r="L25" s="3">
        <f>855+(195.7-476.9)+(-0.43605+(-0.099807--0.243219))+0-0-0</f>
        <v>573.50736199999994</v>
      </c>
      <c r="M25" s="3">
        <f>854.8+(215.3-489.5)+(0.435948+(0.109803-0.249645))+0-0-0</f>
        <v>580.89610599999992</v>
      </c>
      <c r="N25" s="3">
        <f>956.7+(214.4-536.7)+(0+(0-0))+0-0-0</f>
        <v>634.4</v>
      </c>
      <c r="O25" s="3">
        <f>979.7+(236.7-537.1)+(-0.499647+(-0.120717--0.273921))+0-0-0</f>
        <v>678.95355699999993</v>
      </c>
      <c r="P25" s="3">
        <f>984.3+(294.7-562.8)+(1.003986+(0.300594-0.574056))+0-0-0</f>
        <v>716.93052399999999</v>
      </c>
      <c r="Q25" s="3">
        <f>980.2+(283.6-541.7)+(-1.499706+(-0.433908--0.828801))+0-0-0</f>
        <v>720.99518699999999</v>
      </c>
      <c r="R25" s="3">
        <f>983.7+(243-518.4)+(0.501687+(0.12393-0.264384))+0-0-0</f>
        <v>708.66123300000004</v>
      </c>
      <c r="S25" s="3">
        <f>981.1+(233.5-525.2)+(-0.500361+(-0.119085--0.267852))+0-0-0</f>
        <v>689.048406</v>
      </c>
      <c r="T25" s="3">
        <f>984.4+(213.3-523.1)+(0.502044+(0.108783-0.266781))+0-0-0</f>
        <v>674.94404599999996</v>
      </c>
      <c r="U25" s="3">
        <f>980.7+(199.1-502.7)+(-1.500471+(-0.304623--0.769131))+0-0-0</f>
        <v>676.06403699999998</v>
      </c>
      <c r="V25" s="3">
        <f>986+(236.5-539.1)+(0+(0-0))+0-0-0</f>
        <v>683.4</v>
      </c>
      <c r="W25" s="3">
        <f>980.8+(265.9-566)+(-1.500624+(-0.406827--0.86598))+0-0-0</f>
        <v>679.65852899999993</v>
      </c>
      <c r="X25" s="3">
        <f>928.7+(305.2-549.3)+(-2.841822+(-0.933912--1.680858))+0-0-0</f>
        <v>682.50512400000014</v>
      </c>
      <c r="Y25" s="3">
        <f>911.9+(378.9-552.6)+(-0.930138+(-0.386478--0.563652))+0-0-0</f>
        <v>737.44703599999991</v>
      </c>
      <c r="Z25" s="3">
        <f>1027.6+(486.5-574.1)+(-2.096304+(-0.99246--1.171164))+0-0-0</f>
        <v>938.08239999999989</v>
      </c>
      <c r="AA25" s="3">
        <f>1010.4+(495-562.2)+(-1.545912+(-0.75735--0.860166))+0-0-0</f>
        <v>941.75690399999996</v>
      </c>
      <c r="AB25" s="3">
        <f>1008.1+(468.5-578.1)+(-2.056524+(-0.95574--1.179324))+0-0-0</f>
        <v>896.66705999999999</v>
      </c>
      <c r="AC25" s="3">
        <f>1000.9+(366.6-565.1)+(0+(0-0))+0-0-0</f>
        <v>802.4</v>
      </c>
      <c r="AD25">
        <f t="shared" si="0"/>
        <v>16509.362322999998</v>
      </c>
      <c r="AE25" s="3">
        <f>1042+(523-584)+(0+(0-0))+0-0-0</f>
        <v>981</v>
      </c>
    </row>
    <row r="26" spans="1:31" s="2" customFormat="1" x14ac:dyDescent="0.25">
      <c r="A26">
        <v>89</v>
      </c>
      <c r="B26">
        <v>1</v>
      </c>
      <c r="C26">
        <v>26</v>
      </c>
      <c r="D26">
        <v>6</v>
      </c>
      <c r="E26">
        <v>1</v>
      </c>
      <c r="F26" s="3">
        <f>993+(217.2-519.1)+(-1.51929+(-0.332316--0.794223))+0-0-0</f>
        <v>690.04261699999995</v>
      </c>
      <c r="G26" s="3">
        <f>994+(215.4-590.1)+(-0.50694+(-0.109854--0.300951))+0-0-0</f>
        <v>618.98415699999998</v>
      </c>
      <c r="H26" s="3">
        <f>997.9+(235.6-645.5)+(0+(0-0))+0-0-0</f>
        <v>588</v>
      </c>
      <c r="I26" s="3">
        <f>992+(235.9-649.5)+(-2.02368+(-0.481236--1.32498))+0-0-0</f>
        <v>577.22006399999998</v>
      </c>
      <c r="J26" s="3">
        <f>947.8+(227.8-601.5)+(-1.450134+(-0.348534--0.920295))+0-0-0</f>
        <v>573.2216269999999</v>
      </c>
      <c r="K26" s="3">
        <f>938.9+(223-585.2)+(0+(0-0))+0-0-0</f>
        <v>576.69999999999993</v>
      </c>
      <c r="L26" s="3">
        <f>932.3+(204.1-551.9)+(-2.852838+(-0.624546--1.688814))+0-0-0</f>
        <v>582.71142999999995</v>
      </c>
      <c r="M26" s="3">
        <f>935.9+(223.7-572)+(0.477309+(0.114087-0.29172))+0-0-0</f>
        <v>587.89967599999989</v>
      </c>
      <c r="N26" s="3">
        <f>992.5+(217.9-571.8)+(0+(0-0))+0-0-0</f>
        <v>638.6</v>
      </c>
      <c r="O26" s="3">
        <f>1007.4+(235.9-554.1)+(1.027548+(0.240618-0.565182))+0-0-0</f>
        <v>689.90298399999995</v>
      </c>
      <c r="P26" s="3">
        <f>1001.9+(259.2-540.9)+(-1.532907+(-0.396576--0.827577))+0-0-0</f>
        <v>719.09809400000006</v>
      </c>
      <c r="Q26" s="3">
        <f>997.5+(254.2-528.8)+(-1.526175+(-0.388926--0.809064))+0-0-0</f>
        <v>721.79396300000008</v>
      </c>
      <c r="R26" s="3">
        <f>1003.9+(226.5-530.1)+(0+(0-0))+0-0-0</f>
        <v>700.3</v>
      </c>
      <c r="S26" s="3">
        <f>961.3+(196.8-484.6)+(-1.470789+(-0.301104--0.741438))+0-0-0</f>
        <v>672.46954500000004</v>
      </c>
      <c r="T26" s="3">
        <f>985.8+(188.1-501.9)+(-0.502758+(-0.095931--0.255969))+0-0-0</f>
        <v>671.65728000000001</v>
      </c>
      <c r="U26" s="3">
        <f>988.8+(249-563.2)+(-0.504288+(-0.12699--0.287232))+0-0-0</f>
        <v>674.25595399999986</v>
      </c>
      <c r="V26" s="3">
        <f>992.2+(284.6-586.9)+(-1.518066+(-0.435438--0.897957))+0-0-0</f>
        <v>688.84445300000004</v>
      </c>
      <c r="W26" s="3">
        <f>993.3+(227.3-535.3)+(-1.519749+(-0.347769--0.819009))+0-0-0</f>
        <v>684.25149099999999</v>
      </c>
      <c r="X26" s="3">
        <f>991.6+(210.9-521.4)+(-1.517148+(-0.322677--0.797742))+0-0-0</f>
        <v>680.05791699999997</v>
      </c>
      <c r="Y26" s="3">
        <f>996.8+(247.5-522.9)+(0.508368+(0.126225-0.266679))+0-0-0</f>
        <v>721.76791400000002</v>
      </c>
      <c r="Z26" s="3">
        <f>1027.3+(404.6-518)+(-1.047846+(-0.412692--0.52836))+0-0-0</f>
        <v>912.96782199999996</v>
      </c>
      <c r="AA26" s="3">
        <f>1035.9+(397.2-515.9)+(-0.528309+(-0.202572--0.263109))+0-0-0</f>
        <v>916.73222800000008</v>
      </c>
      <c r="AB26" s="3">
        <f>1039.9+(355-510.9)+(-1.060698+(-0.3621--0.521118))+0-0-0</f>
        <v>883.09832000000006</v>
      </c>
      <c r="AC26" s="3">
        <f>1021.8+(314.7-531.8)+(-3.126708+(-0.962982--1.627308))+0-0-0</f>
        <v>802.237618</v>
      </c>
      <c r="AD26">
        <f t="shared" si="0"/>
        <v>16572.815154</v>
      </c>
      <c r="AE26" s="3">
        <f>1032+(434.2-525.1)+(0+(0-0))+0-0-0</f>
        <v>941.09999999999991</v>
      </c>
    </row>
    <row r="27" spans="1:31" s="2" customFormat="1" x14ac:dyDescent="0.25">
      <c r="A27">
        <v>89</v>
      </c>
      <c r="B27">
        <v>1</v>
      </c>
      <c r="C27">
        <v>27</v>
      </c>
      <c r="D27">
        <v>7</v>
      </c>
      <c r="E27">
        <v>1</v>
      </c>
      <c r="F27" s="3">
        <f>919.6+(356.3-562)+(-0.937992+(-0.363426--0.57324))+0-0-0</f>
        <v>713.17182200000013</v>
      </c>
      <c r="G27" s="3">
        <f>800.9+(391.5-551.1)+(-2.042295+(-0.998325--1.405305))+0-0-0</f>
        <v>639.66468499999996</v>
      </c>
      <c r="H27" s="3">
        <f>823.4+(367-588.8)+(-2.09967+(-0.93585--1.50144))+0-0-0</f>
        <v>600.06592000000001</v>
      </c>
      <c r="I27" s="3">
        <f>717.7+(367.1-502.7)+(-0.732054+(-0.374442--0.512754))+0-0-0</f>
        <v>581.50625800000012</v>
      </c>
      <c r="J27" s="3">
        <f>580.6+(443.5-467.6)+(0+(0-0))+0-0-0</f>
        <v>556.5</v>
      </c>
      <c r="K27" s="3">
        <f>565.8+(437.3-444.3)+(-1.154232+(-0.892092--0.906372))+0-0-0</f>
        <v>557.66004799999996</v>
      </c>
      <c r="L27" s="3">
        <f>506.1+(504.1-455.6)+(-1.806777+(-1.799637--1.626492))+0-0-0</f>
        <v>552.62007800000003</v>
      </c>
      <c r="M27" s="3">
        <f>507.4+(490.9-462.5)+(-1.035096+(-1.001436--0.9435))+0-0-0</f>
        <v>534.70696799999996</v>
      </c>
      <c r="N27" s="3">
        <f>513.3+(520.8-475.9)+(0+(0-0))+0-0-0</f>
        <v>558.19999999999993</v>
      </c>
      <c r="O27" s="3">
        <f>624.7+(477.1-509.2)+(0.637194+(0.486642-0.519384))+0-0-0</f>
        <v>593.20445200000017</v>
      </c>
      <c r="P27" s="3">
        <f>689.9+(440.7-500.1)+(0+(0-0))+0-0-0</f>
        <v>630.5</v>
      </c>
      <c r="Q27" s="3">
        <f>686.9+(462.7-513.7)+(-0.700638+(-0.471954--0.523974))+0-0-0</f>
        <v>635.25138199999981</v>
      </c>
      <c r="R27" s="3">
        <f>684.5+(454.6-501.5)+(-0.69819+(-0.463692--0.51153))+0-0-0</f>
        <v>636.94964800000002</v>
      </c>
      <c r="S27" s="3">
        <f>678.5+(455.3-514.9)+(0+(0-0))+0-0-0</f>
        <v>618.90000000000009</v>
      </c>
      <c r="T27" s="3">
        <f>683.1+(435-515)+(-1.393524+(-0.8874--1.0506))+0-0-0</f>
        <v>601.86967600000003</v>
      </c>
      <c r="U27" s="3">
        <f>665.8+(458.7-515.8)+(-2.376906+(-1.637559--1.841406))+0-0-0</f>
        <v>606.52694100000008</v>
      </c>
      <c r="V27" s="3">
        <f>664.9+(432-484.2)+(-2.034594+(-1.32192--1.481652))+0-0-0</f>
        <v>610.82513800000004</v>
      </c>
      <c r="W27" s="3">
        <f>612.3+(487-483.3)+(-0.312273+(-0.24837--0.246483))+0-0-0</f>
        <v>615.68583999999998</v>
      </c>
      <c r="X27" s="3">
        <f>608.1+(504.9-504.3)+(-1.550655+(-1.287495--1.285965))+0-0-0</f>
        <v>607.14781500000004</v>
      </c>
      <c r="Y27" s="3">
        <f>611.9+(561.3-515.9)+(-0.624138+(-0.572526--0.526218))+0-0-0</f>
        <v>656.62955399999998</v>
      </c>
      <c r="Z27" s="3">
        <f>688.5+(693.4-513.1)+(-0.70227+(-0.707268--0.523362))+0-0-0</f>
        <v>867.91382399999998</v>
      </c>
      <c r="AA27" s="3">
        <f>683.5+(725.8-509.1)+(0+(0-0))+0-0-0</f>
        <v>900.19999999999993</v>
      </c>
      <c r="AB27" s="3">
        <f>674.6+(707.7-515.9)+(-1.032138+(-1.082781--0.789327))+0-0-0</f>
        <v>865.07440800000006</v>
      </c>
      <c r="AC27" s="3">
        <f>674.4+(605.5-509.8)+(-1.031832+(-0.926415--0.779994))+0-0-0</f>
        <v>768.92174699999987</v>
      </c>
      <c r="AD27">
        <f t="shared" si="0"/>
        <v>15509.696204</v>
      </c>
      <c r="AE27" s="3">
        <f>702+(723-508.2)+(0+(0-0))+0-0-0</f>
        <v>916.8</v>
      </c>
    </row>
    <row r="28" spans="1:31" s="2" customFormat="1" x14ac:dyDescent="0.25">
      <c r="A28">
        <v>89</v>
      </c>
      <c r="B28">
        <v>1</v>
      </c>
      <c r="C28">
        <v>28</v>
      </c>
      <c r="D28">
        <v>1</v>
      </c>
      <c r="E28">
        <v>1</v>
      </c>
      <c r="F28" s="3">
        <f>670.3+(487-493.9)+(-1.709265+(-1.24185--1.259445))+0-0-0</f>
        <v>661.70832999999993</v>
      </c>
      <c r="G28" s="3">
        <f>669.9+(418.1-495.6)+(-2.049894+(-1.279386--1.516536))+0-0-0</f>
        <v>590.58725600000002</v>
      </c>
      <c r="H28" s="3">
        <f>672.3+(387.3-497)+(-1.371492+(-0.790092--1.01388))+0-0-0</f>
        <v>561.45229599999993</v>
      </c>
      <c r="I28" s="3">
        <f>675.3+(385.4-507.8)+(-0.688806+(-0.393108--0.517956))+0-0-0</f>
        <v>552.33604199999991</v>
      </c>
      <c r="J28" s="3">
        <f>676.2+(381.2-504.3)+(-1.034586+(-0.583236--0.771579))+0-0-0</f>
        <v>552.25375700000006</v>
      </c>
      <c r="K28" s="3">
        <f>676.4+(367.9-485.8)+(-0.689928+(-0.375258--0.495516))+0-0-0</f>
        <v>557.93033000000003</v>
      </c>
      <c r="L28" s="3">
        <f>679.1+(391.3-499.7)+(-0.346341+(-0.199563--0.254847))+0-0-0</f>
        <v>570.40894300000002</v>
      </c>
      <c r="M28" s="3">
        <f>679.6+(403.7-496.5)+(0.346596+(0.205887-0.253215))+0-0-0</f>
        <v>587.09926799999994</v>
      </c>
      <c r="N28" s="3">
        <f>703+(436.9-497.5)+(-0.35853+(-0.222819--0.253725))+0-0-0</f>
        <v>642.07237599999996</v>
      </c>
      <c r="O28" s="3">
        <f>677.9+(500.9-485.6)+(0+(0-0))+0-0-0</f>
        <v>693.19999999999993</v>
      </c>
      <c r="P28" s="3">
        <f>671.7+(552.8-502.1)+(-1.027701+(-0.845784--0.768213))+0-0-0</f>
        <v>721.29472799999996</v>
      </c>
      <c r="Q28" s="3">
        <f>671.7+(561.6-486.1)+(-1.027701+(-0.859248--0.743733))+0-0-0</f>
        <v>746.05678399999999</v>
      </c>
      <c r="R28" s="3">
        <f>675.9+(508.8-466)+(-1.034127+(-0.778464--0.71298))+0-0-0</f>
        <v>717.60038900000006</v>
      </c>
      <c r="S28" s="3">
        <f>671.9+(481.6-457.6)+(-1.713345+(-1.22808--1.16688))+0-0-0</f>
        <v>694.12545499999999</v>
      </c>
      <c r="T28" s="3">
        <f>674.1+(304.3-321.5)+(-1.031373+(-0.465579--0.491895))+0-0-0</f>
        <v>655.89494300000013</v>
      </c>
      <c r="U28" s="3">
        <f>680.4+(306.6-316.1)+(-0.347004+(-0.156366--0.161211))+0-0-0</f>
        <v>670.55784099999994</v>
      </c>
      <c r="V28" s="3">
        <f>654.7+(328.1-290.3)+(-0.667794+(-0.334662--0.296106))+0-0-0</f>
        <v>691.79364999999996</v>
      </c>
      <c r="W28" s="3">
        <f>626.3+(327.1-229.7)+(-0.319413+(-0.166821--0.117147))+0-0-0</f>
        <v>723.33091300000001</v>
      </c>
      <c r="X28" s="3">
        <f>630.6+(348-219.4)+(-0.964818+(-0.53244--0.335682))+0-0-0</f>
        <v>758.03842400000008</v>
      </c>
      <c r="Y28" s="3">
        <f>631.6+(341.6-159.4)+(-0.322116+(-0.174216--0.081294))+0-0-0</f>
        <v>813.38496200000009</v>
      </c>
      <c r="Z28" s="3">
        <f>639.4+(444.3-170)+(-1.304376+(-0.906372--0.3468))+0-0-0</f>
        <v>911.836052</v>
      </c>
      <c r="AA28" s="3">
        <f>643+(434.9-174.5)+(-0.98379+(-0.665397--0.266985))+0-0-0</f>
        <v>902.01779799999997</v>
      </c>
      <c r="AB28" s="3">
        <f>665.7+(379.9-196.9)+(-0.679014+(-0.387498--0.200838))+0-0-0</f>
        <v>847.83432600000003</v>
      </c>
      <c r="AC28" s="3">
        <f>708.5+(217.5-169)+(-0.72267+(-0.22185--0.17238))+0-0-0</f>
        <v>756.22785999999996</v>
      </c>
      <c r="AD28">
        <f t="shared" si="0"/>
        <v>16579.042722999999</v>
      </c>
      <c r="AE28" s="3">
        <f>633+(457.2-166.7)+(0+(0-0))+0-0-0</f>
        <v>923.5</v>
      </c>
    </row>
    <row r="29" spans="1:31" s="2" customFormat="1" x14ac:dyDescent="0.25">
      <c r="A29">
        <v>89</v>
      </c>
      <c r="B29">
        <v>1</v>
      </c>
      <c r="C29">
        <v>29</v>
      </c>
      <c r="D29">
        <v>2</v>
      </c>
      <c r="E29">
        <v>1</v>
      </c>
      <c r="F29" s="3">
        <f>701.4+(185.6-226.6)+(-1.073142+(-0.283968--0.346698))+0-0-0</f>
        <v>659.389588</v>
      </c>
      <c r="G29" s="3">
        <f>682.4+(184-271.5)+(-1.392096+(-0.37536--0.55386))+0-0-0</f>
        <v>593.68640399999992</v>
      </c>
      <c r="H29" s="3">
        <f>690.6+(215.2-336.2)+(-0.352206+(-0.109752--0.171462))+0-0-0</f>
        <v>569.30950400000006</v>
      </c>
      <c r="I29" s="3">
        <f>690.4+(217-346.9)+(-0.352104+(-0.11067--0.176919))+0-0-0</f>
        <v>560.21414500000003</v>
      </c>
      <c r="J29" s="3">
        <f>690+(223.2-359.7)+(-0.7038+(-0.227664--0.366894))+0-0-0</f>
        <v>552.93543</v>
      </c>
      <c r="K29" s="3">
        <f>671.9+(204.6-320.6)+(-1.713345+(-0.52173--0.81753))+0-0-0</f>
        <v>554.48245499999996</v>
      </c>
      <c r="L29" s="3">
        <f>588.4+(189.6-213.5)+(-0.300084+(-0.096696--0.108885))+0-0-0</f>
        <v>564.21210499999995</v>
      </c>
      <c r="M29" s="3">
        <f>596.4+(164.3-182.5)+(-0.608328+(-0.167586--0.18615))+0-0-0</f>
        <v>577.6102360000001</v>
      </c>
      <c r="N29" s="3">
        <f>669.7+(158.8-207.9)+(-1.024641+(-0.242964--0.318087))+0-0-0</f>
        <v>619.65048200000001</v>
      </c>
      <c r="O29" s="3">
        <f>662.8+(179.1-185.7)+(0+(0-0))+0-0-0</f>
        <v>656.19999999999993</v>
      </c>
      <c r="P29" s="3">
        <f>662.1+(181.2-147.6)+(0+(0-0))+0-0-0</f>
        <v>695.7</v>
      </c>
      <c r="Q29" s="3">
        <f>657.7+(204.9-154.5)+(-0.670854+(-0.208998--0.15759))+0-0-0</f>
        <v>707.37773800000002</v>
      </c>
      <c r="R29" s="3">
        <f>657.3+(201.5-160.2)+(-1.005669+(-0.308295--0.245106))+0-0-0</f>
        <v>697.53114199999993</v>
      </c>
      <c r="S29" s="3">
        <f>660.8+(230.4-192.3)+(-0.337008+(-0.117504--0.098073))+0-0-0</f>
        <v>698.54356099999995</v>
      </c>
      <c r="T29" s="3">
        <f>663.3+(208-204.1)+(0.338283+(0.10608-0.104091))+0-0-0</f>
        <v>667.54027199999996</v>
      </c>
      <c r="U29" s="3">
        <f>655.7+(198.2-193.8)+(-1.337628+(-0.404328--0.395352))+0-0-0</f>
        <v>658.75339600000007</v>
      </c>
      <c r="V29" s="3">
        <f>659.4+(168.2-158)+(-0.336294+(-0.085782--0.08058))+0-0-0</f>
        <v>669.2585039999999</v>
      </c>
      <c r="W29" s="3">
        <f>657.7+(185.9-153.1)+(-1.006281+(-0.284427--0.234243))+0-0-0</f>
        <v>689.443535</v>
      </c>
      <c r="X29" s="3">
        <f>658.7+(227.4-162.1)+(-1.007811+(-0.347922--0.248013))+0-0-0</f>
        <v>722.89228000000003</v>
      </c>
      <c r="Y29" s="3">
        <f>660.5+(296.8-166)+(-0.67371+(-0.302736--0.16932))+0-0-0</f>
        <v>790.49287399999992</v>
      </c>
      <c r="Z29" s="3">
        <f>658.8+(420.3-165)+(-1.343952+(-0.857412--0.3366))+0-0-0</f>
        <v>912.23523599999987</v>
      </c>
      <c r="AA29" s="3">
        <f>657.6+(427.9-176.4)+(-1.67688+(-1.091145--0.44982))+0-0-0</f>
        <v>906.78179499999999</v>
      </c>
      <c r="AB29" s="3">
        <f>664+(394.5-202.2)+(-0.33864+(-0.201195--0.103122))+0-0-0</f>
        <v>855.8632869999999</v>
      </c>
      <c r="AC29" s="3">
        <f>662.6+(274.3-167)+(-0.675852+(-0.279786--0.17034))+0-0-0</f>
        <v>769.11470200000008</v>
      </c>
      <c r="AD29">
        <f t="shared" si="0"/>
        <v>16349.218671000002</v>
      </c>
      <c r="AE29" s="3">
        <f>663+(487.1-163.9)+(0+(0-0))+0-0-0</f>
        <v>986.2</v>
      </c>
    </row>
    <row r="30" spans="1:31" s="2" customFormat="1" x14ac:dyDescent="0.25">
      <c r="A30">
        <v>89</v>
      </c>
      <c r="B30">
        <v>1</v>
      </c>
      <c r="C30">
        <v>30</v>
      </c>
      <c r="D30">
        <v>3</v>
      </c>
      <c r="E30">
        <v>1</v>
      </c>
      <c r="F30" s="3">
        <f>661.8+(167.7-164.4)+(-1.012554+(-0.256581--0.251532))+0-0-0</f>
        <v>664.0823969999999</v>
      </c>
      <c r="G30" s="3">
        <f>659.3+(193.3-253.8)+(-1.344972+(-0.394332--0.517752))+0-0-0</f>
        <v>597.57844799999998</v>
      </c>
      <c r="H30" s="3">
        <f>665.6+(247.1-338)+(0+(0-0))+0-0-0</f>
        <v>574.70000000000005</v>
      </c>
      <c r="I30" s="3">
        <f>621.7+(260.3-316.3)+(-1.268268+(-0.531012--0.645252))+0-0-0</f>
        <v>564.54597200000001</v>
      </c>
      <c r="J30" s="3">
        <f>609.9+(237.4-288.8)+(-0.622098+(-0.242148--0.294576))+0-0-0</f>
        <v>557.93033000000003</v>
      </c>
      <c r="K30" s="3">
        <f>608.3+(220.9-271.6)+(-0.930699+(-0.337977--0.415548))+0-0-0</f>
        <v>556.74687199999994</v>
      </c>
      <c r="L30" s="3">
        <f>578.6+(182.7-197)+(-0.590172+(-0.186354--0.20094))+0-0-0</f>
        <v>563.72441399999991</v>
      </c>
      <c r="M30" s="3">
        <f>586+(138.2-160.8)+(-0.29886+(-0.070482--0.082008))+0-0-0</f>
        <v>563.11266599999999</v>
      </c>
      <c r="N30" s="3">
        <f>693.3+(135.2-208.9)+(0+(0-0))+0-0-0</f>
        <v>619.59999999999991</v>
      </c>
      <c r="O30" s="3">
        <f>694.2+(109.1-137.7)+(0.354042+(0.055641-0.070227))+0-0-0</f>
        <v>665.93945600000006</v>
      </c>
      <c r="P30" s="3">
        <f>680.6+(156.9-151)+(0+(0-0))+0-0-0</f>
        <v>686.5</v>
      </c>
      <c r="Q30" s="3">
        <f>658.8+(243.6-206.3)+(-0.335988+(-0.124236--0.105213))+0-0-0</f>
        <v>695.74498899999992</v>
      </c>
      <c r="R30" s="3">
        <f>664.1+(206.6-189.6)+(0.677382+(0.210732-0.193392))+0-0-0</f>
        <v>681.79472199999998</v>
      </c>
      <c r="S30" s="3">
        <f>661.9+(145.1-139.8)+(0.337569+(0.074001-0.071298))+0-0-0</f>
        <v>667.54027199999996</v>
      </c>
      <c r="T30" s="3">
        <f>688.5+(120.4-153.8)+(-0.351135+(-0.061404--0.078438))+0-0-0</f>
        <v>654.76589899999999</v>
      </c>
      <c r="U30" s="3">
        <f>707.8+(130.4-187.6)+(-1.80489+(-0.33252--0.47838))+0-0-0</f>
        <v>648.94096999999988</v>
      </c>
      <c r="V30" s="3">
        <f>705.6+(130.4-179.4)+(-0.719712+(-0.133008--0.182988))+0-0-0</f>
        <v>655.93026800000007</v>
      </c>
      <c r="W30" s="3">
        <f>708.4+(142.5-172.6)+(-1.80642+(-0.363375--0.44013))+0-0-0</f>
        <v>676.570335</v>
      </c>
      <c r="X30" s="3">
        <f>668.5+(166.7-159.6)+(-1.704675+(-0.425085--0.40698))+0-0-0</f>
        <v>673.87722000000008</v>
      </c>
      <c r="Y30" s="3">
        <f>662.1+(232.8-167.1)+(-1.013013+(-0.356184--0.255663))+0-0-0</f>
        <v>726.68646600000011</v>
      </c>
      <c r="Z30" s="3">
        <f>661.8+(430.1-173)+(-1.350072+(-0.877404--0.35292))+0-0-0</f>
        <v>917.02544399999999</v>
      </c>
      <c r="AA30" s="3">
        <f>654+(448.1-175.4)+(-2.00124+(-1.371186--0.536724))+0-0-0</f>
        <v>923.86429800000008</v>
      </c>
      <c r="AB30" s="3">
        <f>655.1+(400.6-177.5)+(-1.670505+(-1.02153--0.452625))+0-0-0</f>
        <v>875.96059000000002</v>
      </c>
      <c r="AC30" s="3">
        <f>654.5+(299-164.6)+(-2.00277+(-0.91494--0.503676))+0-0-0</f>
        <v>786.48596599999996</v>
      </c>
      <c r="AD30">
        <f t="shared" si="0"/>
        <v>16199.647994000003</v>
      </c>
      <c r="AE30" s="3">
        <f>664+(466.1-175.2)+(0+(0-0))+0-0-0</f>
        <v>954.90000000000009</v>
      </c>
    </row>
    <row r="31" spans="1:31" s="2" customFormat="1" x14ac:dyDescent="0.25">
      <c r="A31">
        <v>89</v>
      </c>
      <c r="B31">
        <v>1</v>
      </c>
      <c r="C31">
        <v>31</v>
      </c>
      <c r="D31">
        <v>4</v>
      </c>
      <c r="E31">
        <v>1</v>
      </c>
      <c r="F31" s="3">
        <f>654.4+(187.7-167.9)+(-2.002464+(-0.574362--0.513774))+0-0-0</f>
        <v>672.13694799999996</v>
      </c>
      <c r="G31" s="3">
        <f>656+(208.7-249.8)+(-2.00736+(-0.638622--0.764388))+0-0-0</f>
        <v>613.01840600000003</v>
      </c>
      <c r="H31" s="3">
        <f>661.3+(232.2-314.8)+(-0.337263+(-0.118422--0.160548))+0-0-0</f>
        <v>578.40486299999998</v>
      </c>
      <c r="I31" s="3">
        <f>660.9+(199.6-297.3)+(-0.674118+(-0.203592--0.303246))+0-0-0</f>
        <v>562.6255359999999</v>
      </c>
      <c r="J31" s="3">
        <f>663+(207.9-312.3)+(0+(0-0))+0-0-0</f>
        <v>558.6</v>
      </c>
      <c r="K31" s="3">
        <f>662.3+(196.5-292.5)+(-0.337773+(-0.100215--0.149175))+0-0-0</f>
        <v>566.01118699999995</v>
      </c>
      <c r="L31" s="3">
        <f>612.2+(183.2-223.8)+(-0.624444+(-0.186864--0.228276))+0-0-0</f>
        <v>571.01696800000002</v>
      </c>
      <c r="M31" s="3">
        <f>650.9+(153.1-228.8)+(-0.663918+(-0.156162--0.233376))+0-0-0</f>
        <v>574.61329599999988</v>
      </c>
      <c r="N31" s="3">
        <f>656.6+(151.2-183)+(-1.004598+(-0.231336--0.27999))+0-0-0</f>
        <v>623.84405599999991</v>
      </c>
      <c r="O31" s="3">
        <f>655.3+(115.2-75)+(-1.002609+(-0.176256--0.11475))+0-0-0</f>
        <v>694.43588499999998</v>
      </c>
      <c r="P31" s="3">
        <f>660.7+(105.4-59.3)+(0+(0-0))+0-0-0</f>
        <v>706.80000000000007</v>
      </c>
      <c r="Q31" s="3">
        <f>662+(117.6-65.7)+(0.33762+(0.059976-0.033507))+0-0-0</f>
        <v>714.26408900000001</v>
      </c>
      <c r="R31" s="3">
        <f>658.8+(119-86.3)+(-0.335988+(-0.06069--0.044013))+0-0-0</f>
        <v>691.147335</v>
      </c>
      <c r="S31" s="3">
        <f>658.1+(171.7-151.4)+(-0.335631+(-0.087567--0.077214))+0-0-0</f>
        <v>678.05401599999993</v>
      </c>
      <c r="T31" s="3">
        <f>681.3+(183-194.8)+(0+(0-0))+0-0-0</f>
        <v>669.5</v>
      </c>
      <c r="U31" s="3">
        <f>673.1+(196.7-198.4)+(-1.029843+(-0.300951--0.303552))+0-0-0</f>
        <v>670.37275799999998</v>
      </c>
      <c r="V31" s="3">
        <f>675+(203-197.9)+(-1.03275+(-0.31059--0.302787))+0-0-0</f>
        <v>679.05944699999998</v>
      </c>
      <c r="W31" s="3">
        <f>671.1+(211.4-199.4)+(-1.711305+(-0.53907--0.50847))+0-0-0</f>
        <v>681.35809500000005</v>
      </c>
      <c r="X31" s="3">
        <f>673.7+(271.7-266.5)+(-1.374348+(-0.554268--0.54366))+0-0-0</f>
        <v>677.5150440000001</v>
      </c>
      <c r="Y31" s="3">
        <f>676+(589.7-551.1)+(-0.68952+(-0.601494--0.562122))+0-0-0</f>
        <v>713.87110800000005</v>
      </c>
      <c r="Z31" s="3">
        <f>675.4+(772.1-528.8)+(-1.033362+(-1.181313--0.809064))+0-0-0</f>
        <v>917.29438900000002</v>
      </c>
      <c r="AA31" s="3">
        <f>676.1+(801-540.9)+(-0.344811+(-0.40851--0.275859))+0-0-0</f>
        <v>935.7225380000001</v>
      </c>
      <c r="AB31" s="3">
        <f>672.2+(719.4-507.2)+(-1.71411+(-1.83447--1.29336))+0-0-0</f>
        <v>882.14478000000008</v>
      </c>
      <c r="AC31" s="3">
        <f>671.9+(610.9-494.1)+(-1.370676+(-1.246236--1.007964))+0-0-0</f>
        <v>787.09105199999988</v>
      </c>
      <c r="AD31">
        <f t="shared" si="0"/>
        <v>16418.901795999998</v>
      </c>
      <c r="AE31" s="3">
        <f>673+(788.9-506.7)+(0+(0-0))+0-0-0</f>
        <v>955.2</v>
      </c>
    </row>
    <row r="32" spans="1:31" s="2" customFormat="1" x14ac:dyDescent="0.25">
      <c r="A32">
        <v>89</v>
      </c>
      <c r="B32">
        <v>2</v>
      </c>
      <c r="C32">
        <v>1</v>
      </c>
      <c r="D32">
        <v>5</v>
      </c>
      <c r="E32">
        <v>1</v>
      </c>
      <c r="F32" s="3">
        <f>675.7+(546.1-537.1)+(-0.689214+(-0.557022--0.547842))+0-0-0</f>
        <v>684.00160600000004</v>
      </c>
      <c r="G32" s="3">
        <f>672.8+(494.9-557.7)+(-1.71564+(-1.261995--1.422135))+0-0-0</f>
        <v>608.44449999999983</v>
      </c>
      <c r="H32" s="3">
        <f>669.2+(456.8-547.4)+(0+(0-0))+0-0-0</f>
        <v>578.60000000000014</v>
      </c>
      <c r="I32" s="3">
        <f>637.6+(439.4-510.5)+(-0.975528+(-0.672282--0.781065))+0-0-0</f>
        <v>565.63325499999996</v>
      </c>
      <c r="J32" s="3">
        <f>631.5+(392.9-463.2)+(-0.966195+(-0.601137--0.708696))+0-0-0</f>
        <v>560.341364</v>
      </c>
      <c r="K32" s="3">
        <f>628.9+(391.4-460.7)+(-1.282956+(-0.798456--0.939828))+0-0-0</f>
        <v>558.45841599999994</v>
      </c>
      <c r="L32" s="3">
        <f>608.8+(482.9-523.6)+(-0.931464+(-0.738837--0.801108))+0-0-0</f>
        <v>567.23080699999991</v>
      </c>
      <c r="M32" s="3">
        <f>609.1+(499.5-544.9)+(0+(0-0))+0-0-0</f>
        <v>563.70000000000005</v>
      </c>
      <c r="N32" s="3">
        <f>697.8+(477.9-547.4)+(0.711756+(0.487458-0.558348))+0-0-0</f>
        <v>628.94086599999991</v>
      </c>
      <c r="O32" s="3">
        <f>697.8+(501.8-521.2)+(1.423512+(1.023672-1.063248))+0-0-0</f>
        <v>679.78393599999981</v>
      </c>
      <c r="P32" s="3">
        <f>685.7+(469-484.1)+(-0.349707+(-0.23919--0.246891))+0-0-0</f>
        <v>670.25799400000005</v>
      </c>
      <c r="Q32" s="3">
        <f>690.5+(520.3-480.4)+(1.056465+(0.796059-0.735012))+0-0-0</f>
        <v>731.51751200000001</v>
      </c>
      <c r="R32" s="3">
        <f>685+(485.6-472.8)+(0.34935+(0.247656-0.241128))+0-0-0</f>
        <v>698.15587799999992</v>
      </c>
      <c r="S32" s="3">
        <f>674.9+(484.3-476.1)+(-1.376796+(-0.987972--0.971244))+0-0-0</f>
        <v>681.70647599999995</v>
      </c>
      <c r="T32" s="3">
        <f>676.6+(367.9-358.4)+(-0.345066+(-0.187629--0.182784))+0-0-0</f>
        <v>685.750089</v>
      </c>
      <c r="U32" s="3">
        <f>685.8+(449.7-462.9)+(-0.349758+(-0.229347--0.236079))+0-0-0</f>
        <v>672.2569739999999</v>
      </c>
      <c r="V32" s="3">
        <f>669.4+(480.1-472)+(-1.70697+(-1.224255--1.2036))+0-0-0</f>
        <v>675.77237500000001</v>
      </c>
      <c r="W32" s="3">
        <f>670.7+(496.9-483.1)+(-1.026171+(-0.760257--0.739143))+0-0-0</f>
        <v>683.45271500000001</v>
      </c>
      <c r="X32" s="3">
        <f>665.5+(482.4-462)+(-2.03643+(-1.476144--1.41372))+0-0-0</f>
        <v>683.80114600000002</v>
      </c>
      <c r="Y32" s="3">
        <f>672+(527.9-455)+(-0.34272+(-0.269229--0.23205))+0-0-0</f>
        <v>744.52010099999995</v>
      </c>
      <c r="Z32" s="3">
        <f>695.6+(718.3-492.3)+(-1.419024+(-1.465332--1.004292))+0-0-0</f>
        <v>919.71993599999996</v>
      </c>
      <c r="AA32" s="3">
        <f>654.1+(748.4-472.6)+(-2.001546+(-2.290104--1.446156))+0-0-0</f>
        <v>927.05450599999995</v>
      </c>
      <c r="AB32" s="3">
        <f>658.2+(715.8-494)+(-1.007046+(-1.095174--0.75582))+0-0-0</f>
        <v>878.65359999999998</v>
      </c>
      <c r="AC32" s="3">
        <f>612.2+(654.7-473.9)+(-0.624444+(-0.667794--0.483378))+0-0-0</f>
        <v>792.19114000000013</v>
      </c>
      <c r="AD32">
        <f t="shared" si="0"/>
        <v>16439.945191999996</v>
      </c>
      <c r="AE32" s="3">
        <f>706+(710.4-464.5)+(0+(0-0))+0-0-0</f>
        <v>951.9</v>
      </c>
    </row>
    <row r="33" spans="1:31" s="2" customFormat="1" x14ac:dyDescent="0.25">
      <c r="A33">
        <v>89</v>
      </c>
      <c r="B33">
        <v>2</v>
      </c>
      <c r="C33">
        <v>2</v>
      </c>
      <c r="D33">
        <v>6</v>
      </c>
      <c r="E33">
        <v>1</v>
      </c>
      <c r="F33" s="3">
        <f>557.8+(601.8-475.3)+(-0.568956+(-0.613836--0.484806))+0-0-0</f>
        <v>683.60201399999994</v>
      </c>
      <c r="G33" s="3">
        <f>561.6+(533.2-479.5)+(0+(0-0))+0-0-0</f>
        <v>615.30000000000007</v>
      </c>
      <c r="H33" s="3">
        <f>569.1+(502.2-496.6)+(-0.870723+(-0.768366--0.759798))+0-0-0</f>
        <v>573.82070900000008</v>
      </c>
      <c r="I33" s="3">
        <f>558.6+(462.6-460.2)+(-1.42443+(-1.17963--1.17351))+0-0-0</f>
        <v>559.56944999999996</v>
      </c>
      <c r="J33" s="3">
        <f>571.8+(441.7-449)+(0.291618+(0.225267-0.22899))+0-0-0</f>
        <v>564.78789500000005</v>
      </c>
      <c r="K33" s="3">
        <f>567.6+(442.5-447.2)+(0+(0-0))+0-0-0</f>
        <v>562.90000000000009</v>
      </c>
      <c r="L33" s="3">
        <f>497.6+(533.8-455.3)+(-0.761328+(-0.816714--0.696609))+0-0-0</f>
        <v>575.21856699999989</v>
      </c>
      <c r="M33" s="3">
        <f>453.8+(588.1-479.6)+(-0.231438+(-0.299931--0.244596))+0-0-0</f>
        <v>562.01322699999992</v>
      </c>
      <c r="N33" s="3">
        <f>556.3+(561.6-491.3)+(0+(0-0))+0-0-0</f>
        <v>626.59999999999991</v>
      </c>
      <c r="O33" s="3">
        <f>553.7+(591.5-449.3)+(-0.564774+(-0.60333--0.458286))+0-0-0</f>
        <v>695.19018200000005</v>
      </c>
      <c r="P33" s="3">
        <f>543.4+(629.6-446.5)+(-0.554268+(-0.642192--0.45543))+0-0-0</f>
        <v>725.75896999999998</v>
      </c>
      <c r="Q33" s="3">
        <f>544.1+(644-465.8)+(-0.277491+(-0.32844--0.237558))+0-0-0</f>
        <v>721.93162699999993</v>
      </c>
      <c r="R33" s="3">
        <f>545.2+(637-470.9)+(-0.278052+(-0.32487--0.240159))+0-0-0</f>
        <v>710.9372370000001</v>
      </c>
      <c r="S33" s="3">
        <f>548.2+(588.7-461.7)+(-0.279582+(-0.300237--0.235467))+0-0-0</f>
        <v>674.85564800000009</v>
      </c>
      <c r="T33" s="3">
        <f>562.7+(547.9-431.7)+(-0.286977+(-0.279429--0.220167))+0-0-0</f>
        <v>678.55376100000012</v>
      </c>
      <c r="U33" s="3">
        <f>561.7+(586.4-467.5)+(-0.286467+(-0.299064--0.238425))+0-0-0</f>
        <v>680.25289399999997</v>
      </c>
      <c r="V33" s="3">
        <f>562+(599.9-462.4)+(-1.14648+(-1.223796--0.943296))+0-0-0</f>
        <v>698.07302000000004</v>
      </c>
      <c r="W33" s="3">
        <f>562.4+(635.9-474.4)+(-1.720944+(-1.945854--1.451664))+0-0-0</f>
        <v>721.68486599999994</v>
      </c>
      <c r="X33" s="3">
        <f>541.7+(671.3-465.6)+(-0.552534+(-0.684726--0.474912))+0-0-0</f>
        <v>746.637652</v>
      </c>
      <c r="Y33" s="3">
        <f>543.5+(723.8-487)+(-0.277185+(-0.369138--0.24837))+0-0-0</f>
        <v>779.90204699999992</v>
      </c>
      <c r="Z33" s="3">
        <f>573.6+(703.3-410.2)+(-0.585072+(-0.717366--0.418404))+0-0-0</f>
        <v>865.815966</v>
      </c>
      <c r="AA33" s="3">
        <f>562+(694-408.7)+(-0.28662+(-0.35394--0.208437))+0-0-0</f>
        <v>846.86787699999991</v>
      </c>
      <c r="AB33" s="3">
        <f>556.3+(719.7-483.1)+(0.283713+(0.367047-0.246381))+0-0-0</f>
        <v>793.30437899999993</v>
      </c>
      <c r="AC33" s="3">
        <f>554.4+(658.9-473.2)+(0+(0-0))+0-0-0</f>
        <v>740.09999999999991</v>
      </c>
      <c r="AD33">
        <f t="shared" si="0"/>
        <v>16403.677987999996</v>
      </c>
      <c r="AE33" s="3">
        <f>578+(737.9-436.2)+(0+(0-0))+0-0-0</f>
        <v>879.7</v>
      </c>
    </row>
    <row r="34" spans="1:31" s="2" customFormat="1" x14ac:dyDescent="0.25">
      <c r="A34">
        <v>89</v>
      </c>
      <c r="B34">
        <v>2</v>
      </c>
      <c r="C34">
        <v>3</v>
      </c>
      <c r="D34">
        <v>7</v>
      </c>
      <c r="E34">
        <v>1</v>
      </c>
      <c r="F34" s="3">
        <f>556.9+(581-494.6)+(0.284019+(0.29631-0.252246))+0-0-0</f>
        <v>643.62808299999995</v>
      </c>
      <c r="G34" s="3">
        <f>554.7+(502.7-480.3)+(-0.282897+(-0.256377--0.244953))+0-0-0</f>
        <v>576.80567900000005</v>
      </c>
      <c r="H34" s="3">
        <f>554.7+(427.6-450.4)+(-0.282897+(-0.218076--0.229704))+0-0-0</f>
        <v>531.62873100000013</v>
      </c>
      <c r="I34" s="3">
        <f>555.6+(386.4-427)+(0+(0-0))+0-0-0</f>
        <v>515</v>
      </c>
      <c r="J34" s="3">
        <f>552.4+(379.4-433.2)+(-1.126896+(-0.773976--0.883728))+0-0-0</f>
        <v>497.58285599999999</v>
      </c>
      <c r="K34" s="3">
        <f>555.3+(352.9-409.1)+(-0.849609+(-0.539937--0.625923))+0-0-0</f>
        <v>498.33637699999991</v>
      </c>
      <c r="L34" s="3">
        <f>550+(399.7-452.9)+(-1.683+(-1.223082--1.385874))+0-0-0</f>
        <v>495.27979199999999</v>
      </c>
      <c r="M34" s="3">
        <f>554.2+(411.2-469.7)+(-0.847926+(-0.629136--0.718641))+0-0-0</f>
        <v>494.94157900000005</v>
      </c>
      <c r="N34" s="3">
        <f>554.3+(463.6-497.6)+(-0.282693+(-0.236436--0.253776))+0-0-0</f>
        <v>520.03464699999995</v>
      </c>
      <c r="O34" s="3">
        <f>556.5+(509.3-493.3)+(0.56763+(0.519486-0.503166))+0-0-0</f>
        <v>573.08394999999996</v>
      </c>
      <c r="P34" s="3">
        <f>554.5+(545.8-485.6)+(-0.848385+(-0.835074--0.742968))+0-0-0</f>
        <v>613.75950899999998</v>
      </c>
      <c r="Q34" s="3">
        <f>553.7+(558.7-480.5)+(-0.564774+(-0.569874--0.49011))+0-0-0</f>
        <v>631.25546200000008</v>
      </c>
      <c r="R34" s="3">
        <f>557.6+(560.7-503.1)+(-0.568752+(-0.571914--0.513162))+0-0-0</f>
        <v>614.572496</v>
      </c>
      <c r="S34" s="3">
        <f>560.4+(555.4-518.3)+(0.285804+(0.283254-0.264333))+0-0-0</f>
        <v>597.80472499999996</v>
      </c>
      <c r="T34" s="3">
        <f>553.9+(547.9-514.4)+(-1.412445+(-1.397145--1.31172))+0-0-0</f>
        <v>585.90212999999994</v>
      </c>
      <c r="U34" s="3">
        <f>556.8+(476.3-444.7)+(-1.135872+(-0.971652--0.907188))+0-0-0</f>
        <v>587.19966399999998</v>
      </c>
      <c r="V34" s="3">
        <f>560.5+(495.6-442)+(-0.57171+(-0.505512--0.45084))+0-0-0</f>
        <v>613.47361799999999</v>
      </c>
      <c r="W34" s="3">
        <f>559.8+(533.4-485)+(-1.42749+(-1.36017--1.23675))+0-0-0</f>
        <v>606.64908999999989</v>
      </c>
      <c r="X34" s="3">
        <f>561.4+(558-472.4)+(-0.286314+(-0.28458--0.240924))+0-0-0</f>
        <v>646.67003</v>
      </c>
      <c r="Y34" s="3">
        <f>558.4+(611.2-475.9)+(-1.139136+(-1.246848--0.970836))+0-0-0</f>
        <v>692.284852</v>
      </c>
      <c r="Z34" s="3">
        <f>559+(778.5-517.7)+(-1.42545+(-1.985175--1.320135))+0-0-0</f>
        <v>817.70950999999991</v>
      </c>
      <c r="AA34" s="3">
        <f>560.4+(797.3-526.5)+(-0.571608+(-0.813246--0.53703))+0-0-0</f>
        <v>830.35217599999999</v>
      </c>
      <c r="AB34" s="3">
        <f>561.4+(753.9-524)+(-0.572628+(-0.768978--0.53448))+0-0-0</f>
        <v>790.49287399999992</v>
      </c>
      <c r="AC34" s="3">
        <f>562.7+(651.1-504.9)+(-0.573954+(-0.664122--0.514998))+0-0-0</f>
        <v>708.1769220000001</v>
      </c>
      <c r="AD34">
        <f t="shared" si="0"/>
        <v>14682.624752</v>
      </c>
      <c r="AE34" s="3">
        <f>562+(826.5-538.4)+(0+(0-0))+0-0-0</f>
        <v>850.1</v>
      </c>
    </row>
    <row r="35" spans="1:31" s="2" customFormat="1" x14ac:dyDescent="0.25">
      <c r="A35">
        <v>89</v>
      </c>
      <c r="B35">
        <v>2</v>
      </c>
      <c r="C35">
        <v>4</v>
      </c>
      <c r="D35">
        <v>1</v>
      </c>
      <c r="E35">
        <v>1</v>
      </c>
      <c r="F35" s="3">
        <f>562+(533.7-486.3)+(-1.14648+(-1.088748--0.992052))+0-0-0</f>
        <v>608.15682400000014</v>
      </c>
      <c r="G35" s="3">
        <f>565.5+(449.6-465.4)+(0.288405+(0.229296-0.237354))+0-0-0</f>
        <v>549.98034700000005</v>
      </c>
      <c r="H35" s="3">
        <f>565.2+(437-488.4)+(0+(0-0))+0-0-0</f>
        <v>513.80000000000007</v>
      </c>
      <c r="I35" s="3">
        <f>560.1+(418.1-479.2)+(-1.142604+(-0.852924--0.977568))+0-0-0</f>
        <v>497.98204000000004</v>
      </c>
      <c r="J35" s="3">
        <f>571+(384.5-459.1)+(0.29121+(0.196095-0.234141))+0-0-0</f>
        <v>496.653164</v>
      </c>
      <c r="K35" s="3">
        <f>573.1+(380.2-448)+(0+(0-0))+0-0-0</f>
        <v>505.3</v>
      </c>
      <c r="L35" s="3">
        <f>569.1+(431.1-478.2)+(-1.451205+(-1.099305--1.21941))+0-0-0</f>
        <v>520.66890000000001</v>
      </c>
      <c r="M35" s="3">
        <f>573.1+(442.1-485.7)+(-0.292281+(-0.225471--0.247707))+0-0-0</f>
        <v>529.22995500000002</v>
      </c>
      <c r="N35" s="3">
        <f>575.1+(485.9-492.9)+(0.586602+(0.495618-0.502758))+0-0-0</f>
        <v>568.67946200000006</v>
      </c>
      <c r="O35" s="3">
        <f>606+(533.7-524.6)+(-0.92718+(-0.816561--0.802638))+0-0-0</f>
        <v>614.15889700000002</v>
      </c>
      <c r="P35" s="3">
        <f>688.4+(490.1-525.9)+(-0.702168+(-0.499902--0.536418))+0-0-0</f>
        <v>651.934348</v>
      </c>
      <c r="Q35" s="3">
        <f>692.9+(470-546)+(0.353379+(0.2397-0.27846))+0-0-0</f>
        <v>617.21461899999997</v>
      </c>
      <c r="R35" s="3">
        <f>690.3+(484.2-541.4)+(-0.704106+(-0.493884--0.552228))+0-0-0</f>
        <v>632.45423799999992</v>
      </c>
      <c r="S35" s="3">
        <f>681.2+(451.2-513.5)+(-1.389648+(-0.920448--1.04754))+0-0-0</f>
        <v>617.63744400000007</v>
      </c>
      <c r="T35" s="3">
        <f>673.7+(390.2-464.9)+(-0.687174+(-0.398004--0.474198))+0-0-0</f>
        <v>598.38901999999996</v>
      </c>
      <c r="U35" s="3">
        <f>670.2+(412.1-476.2)+(-1.025406+(-0.630513--0.728586))+0-0-0</f>
        <v>605.17266700000016</v>
      </c>
      <c r="V35" s="3">
        <f>673.7+(418.1-478.1)+(-0.343587+(-0.213231--0.243831))+0-0-0</f>
        <v>613.38701300000002</v>
      </c>
      <c r="W35" s="3">
        <f>670.5+(434.9-481.3)+(-1.36782+(-0.887196--0.981852))+0-0-0</f>
        <v>622.82683599999996</v>
      </c>
      <c r="X35" s="3">
        <f>671+(451.4-503.1)+(-1.02663+(-0.690642--0.769743))+0-0-0</f>
        <v>618.35247099999992</v>
      </c>
      <c r="Y35" s="3">
        <f>671.7+(498.9-506.9)+(-1.370268+(-1.017756--1.034076))+0-0-0</f>
        <v>662.3460520000001</v>
      </c>
      <c r="Z35" s="3">
        <f>675.4+(671-479.7)+(-1.033362+(-1.02663--0.733941))+0-0-0</f>
        <v>865.37394900000004</v>
      </c>
      <c r="AA35" s="3">
        <f>675.4+(684.5-461.7)+(-1.033362+(-1.047285--0.706401))+0-0-0</f>
        <v>896.82575400000007</v>
      </c>
      <c r="AB35" s="3">
        <f>672.6+(668.2-492.1)+(-1.71513+(-1.70391--1.254855))+0-0-0</f>
        <v>846.53581500000007</v>
      </c>
      <c r="AC35" s="3">
        <f>669.2+(592.9-504.9)+(-1.70646+(-1.511895--1.287495))+0-0-0</f>
        <v>755.26913999999999</v>
      </c>
      <c r="AD35">
        <f t="shared" si="0"/>
        <v>15008.328955000003</v>
      </c>
      <c r="AE35" s="3">
        <f>679+(706.3-480)+(0+(0-0))+0-0-0</f>
        <v>905.3</v>
      </c>
    </row>
    <row r="36" spans="1:31" s="2" customFormat="1" x14ac:dyDescent="0.25">
      <c r="A36">
        <v>89</v>
      </c>
      <c r="B36">
        <v>2</v>
      </c>
      <c r="C36">
        <v>5</v>
      </c>
      <c r="D36">
        <v>2</v>
      </c>
      <c r="E36">
        <v>1</v>
      </c>
      <c r="F36" s="3">
        <f>684.2+(472.1-499.6)+(-0.697884+(-0.481542--0.509592))+0-0-0</f>
        <v>656.03016600000001</v>
      </c>
      <c r="G36" s="3">
        <f>681.3+(412.4-508.9)+(-1.042389+(-0.630972--0.778617))+0-0-0</f>
        <v>583.90525600000001</v>
      </c>
      <c r="H36" s="3">
        <f>681.4+(378.8-509.5)+(-1.042542+(-0.579564--0.779535))+0-0-0</f>
        <v>549.85742900000002</v>
      </c>
      <c r="I36" s="3">
        <f>686.2+(346.6-498.9)+(-1.049886+(-0.530298--0.763317))+0-0-0</f>
        <v>533.08313300000009</v>
      </c>
      <c r="J36" s="3">
        <f>694.7+(377.4-541.4)+(1.062891+(0.577422-0.828342))+0-0-0</f>
        <v>531.51197100000002</v>
      </c>
      <c r="K36" s="3">
        <f>666.6+(404.8-537.9)+(-1.69983+(-1.03224--1.371645))+0-0-0</f>
        <v>532.13957500000004</v>
      </c>
      <c r="L36" s="3">
        <f>621.1+(445.3-530.1)+(-1.583805+(-1.135515--1.351755))+0-0-0</f>
        <v>534.93243499999994</v>
      </c>
      <c r="M36" s="3">
        <f>667.1+(437.2-549.6)+(-0.680442+(-0.445944--0.560592))+0-0-0</f>
        <v>554.13420600000006</v>
      </c>
      <c r="N36" s="3">
        <f>680.6+(455.2-543.3)+(0.694212+(0.464304-0.554166))+0-0-0</f>
        <v>593.10434999999995</v>
      </c>
      <c r="O36" s="3">
        <f>683.1+(464.2-516.5)+(-0.348381+(-0.236742--0.263415))+0-0-0</f>
        <v>630.47829200000001</v>
      </c>
      <c r="P36" s="3">
        <f>678.9+(455.5-470)+(-1.038717+(-0.696915--0.7191))+0-0-0</f>
        <v>663.38346799999999</v>
      </c>
      <c r="Q36" s="3">
        <f>673+(468.8-481.4)+(-1.02969+(-0.717264--0.736542))+0-0-0</f>
        <v>659.38958800000012</v>
      </c>
      <c r="R36" s="3">
        <f>671.4+(456.5-483.6)+(0+(0-0))+0-0-0</f>
        <v>644.29999999999995</v>
      </c>
      <c r="S36" s="3">
        <f>658.9+(447-485.2)+(-1.344156+(-0.91188--0.989808))+0-0-0</f>
        <v>619.43377200000009</v>
      </c>
      <c r="T36" s="3">
        <f>671.6+(428.4-484.7)+(0+(0-0))+0-0-0</f>
        <v>615.29999999999995</v>
      </c>
      <c r="U36" s="3">
        <f>664.3+(422.4-471.7)+(-1.355172+(-0.861696--0.962268))+0-0-0</f>
        <v>613.74540000000002</v>
      </c>
      <c r="V36" s="3">
        <f>689.2+(383.4-443.4)+(-0.702984+(-0.391068--0.452268))+0-0-0</f>
        <v>628.55821600000002</v>
      </c>
      <c r="W36" s="3">
        <f>696.1+(425.8-486.9)+(-1.775055+(-1.08579--1.241595))+0-0-0</f>
        <v>633.38075000000003</v>
      </c>
      <c r="X36" s="3">
        <f>828.1+(297.7-482)+(-2.533986+(-0.910962--1.47492))+0-0-0</f>
        <v>641.829972</v>
      </c>
      <c r="Y36" s="3">
        <f>950.8+(247.7-502.7)+(-0.484908+(-0.126327--0.256377))+0-0-0</f>
        <v>695.44514199999992</v>
      </c>
      <c r="Z36" s="3">
        <f>990.9+(443.2-537.8)+(-3.032154+(-1.356192--1.645668))+0-0-0</f>
        <v>893.557322</v>
      </c>
      <c r="AA36" s="3">
        <f>974.3+(505.4-560.3)+(-3.975144+(-2.062032--2.286024))+0-0-0</f>
        <v>915.64884799999993</v>
      </c>
      <c r="AB36" s="3">
        <f>975.9+(428.5-535.4)+(-3.483963+(-1.529745--1.911378))+0-0-0</f>
        <v>865.89766999999995</v>
      </c>
      <c r="AC36" s="3">
        <f>908.9+(345.7-476.6)+(-1.854156+(-0.705228--0.972264))+0-0-0</f>
        <v>776.41287999999997</v>
      </c>
      <c r="AD36">
        <f t="shared" si="0"/>
        <v>15565.459841</v>
      </c>
      <c r="AE36" s="3">
        <f>976+(507.1-557.1)+(0+(0-0))+0-0-0</f>
        <v>926</v>
      </c>
    </row>
    <row r="37" spans="1:31" s="2" customFormat="1" x14ac:dyDescent="0.25">
      <c r="A37">
        <v>89</v>
      </c>
      <c r="B37">
        <v>2</v>
      </c>
      <c r="C37">
        <v>6</v>
      </c>
      <c r="D37">
        <v>3</v>
      </c>
      <c r="E37">
        <v>1</v>
      </c>
      <c r="F37" s="3">
        <f>857.6+(275.1-461.4)+(-2.18688+(-0.701505--1.17657))+0-0-0</f>
        <v>669.58818500000007</v>
      </c>
      <c r="G37" s="3">
        <f>748.6+(324.8-478.7)+(-1.527144+(-0.662592--0.976548))+0-0-0</f>
        <v>593.4868120000001</v>
      </c>
      <c r="H37" s="3">
        <f>747.8+(337.5-515.7)+(-2.669646+(-1.204875--1.841049))+0-0-0</f>
        <v>567.56652799999995</v>
      </c>
      <c r="I37" s="3">
        <f>751.7+(343-536.9)+(-0.766734+(-0.34986--0.547638))+0-0-0</f>
        <v>557.23104400000011</v>
      </c>
      <c r="J37" s="3">
        <f>749.9+(297.6-497.3)+(-1.529796+(-0.607104--1.014492))+0-0-0</f>
        <v>549.0775920000001</v>
      </c>
      <c r="K37" s="3">
        <f>753+(282.3-473.5)+(0.38403+(0.143973-0.241485))+0-0-0</f>
        <v>562.08651799999996</v>
      </c>
      <c r="L37" s="3">
        <f>691.7+(330.5-452.2)+(-2.116602+(-1.01133--1.383732))+0-0-0</f>
        <v>568.25580000000002</v>
      </c>
      <c r="M37" s="3">
        <f>782.1+(268.3-482.8)+(-0.398871+(-0.136833--0.246228))+0-0-0</f>
        <v>567.31052399999999</v>
      </c>
      <c r="N37" s="3">
        <f>864.6+(267.5-519.2)+(-0.881892+(-0.27285--0.529584))+0-0-0</f>
        <v>612.27484199999992</v>
      </c>
      <c r="O37" s="3">
        <f>825+(322.9-475)+(-1.683+(-0.658716--0.969))+0-0-0</f>
        <v>671.52728400000001</v>
      </c>
      <c r="P37" s="3">
        <f>802+(360.3-461.4)+(0+(0-0))+0-0-0</f>
        <v>700.90000000000009</v>
      </c>
      <c r="Q37" s="3">
        <f>797.3+(365.5-456.4)+(-0.813246+(-0.37281--0.465528))+0-0-0</f>
        <v>705.67947200000003</v>
      </c>
      <c r="R37" s="3">
        <f>834+(389.7-510.3)+(-0.85068+(-0.397494--0.520506))+0-0-0</f>
        <v>712.67233199999998</v>
      </c>
      <c r="S37" s="3">
        <f>842.7+(313.3-488.5)+(-1.289331+(-0.479349--0.747405))+0-0-0</f>
        <v>666.47872500000005</v>
      </c>
      <c r="T37" s="3">
        <f>836.1+(330.1-504.4)+(-1.705644+(-0.673404--1.028976))+0-0-0</f>
        <v>660.44992800000011</v>
      </c>
      <c r="U37" s="3">
        <f>883.5+(340.8-563.4)+(-1.351755+(-0.521424--0.862002))+0-0-0</f>
        <v>659.88882300000012</v>
      </c>
      <c r="V37" s="3">
        <f>965+(317.9-609.1)+(-1.47645+(-0.486387--0.931923))+0-0-0</f>
        <v>672.7690859999999</v>
      </c>
      <c r="W37" s="3">
        <f>956.2+(304.6-582.9)+(-0.975324+(-0.310692--0.594558))+0-0-0</f>
        <v>677.20854200000008</v>
      </c>
      <c r="X37" s="3">
        <f>827.1+(382.9-528.3)+(-1.687284+(-0.781116--1.077732))+0-0-0</f>
        <v>680.30933200000004</v>
      </c>
      <c r="Y37" s="3">
        <f>863.5+(357.1-499.6)+(-0.88077+(-0.364242--0.509592))+0-0-0</f>
        <v>720.26458000000002</v>
      </c>
      <c r="Z37" s="3">
        <f>999.1+(427.9-497.2)+(-1.528623+(-0.654687--0.760716))+0-0-0</f>
        <v>928.37740599999995</v>
      </c>
      <c r="AA37" s="3">
        <f>946.3+(506.7-515.3)+(0+(0-0))+0-0-0</f>
        <v>937.7</v>
      </c>
      <c r="AB37" s="3">
        <f>947+(450.7-502.1)+(-1.44891+(-0.689571--0.768213))+0-0-0</f>
        <v>894.2297319999999</v>
      </c>
      <c r="AC37" s="3">
        <f>946+(343.9-487.7)+(-0.96492+(-0.350778--0.497454))+0-0-0</f>
        <v>801.381756</v>
      </c>
      <c r="AD37">
        <f t="shared" si="0"/>
        <v>16336.714843000003</v>
      </c>
      <c r="AE37" s="3">
        <f>1001+(452-536)+(0+(0-0))+0-0-0</f>
        <v>917</v>
      </c>
    </row>
    <row r="38" spans="1:31" s="2" customFormat="1" x14ac:dyDescent="0.25">
      <c r="A38">
        <v>89</v>
      </c>
      <c r="B38">
        <v>2</v>
      </c>
      <c r="C38">
        <v>7</v>
      </c>
      <c r="D38">
        <v>4</v>
      </c>
      <c r="E38">
        <v>1</v>
      </c>
      <c r="F38" s="3">
        <f>945.8+(281.6-535)+(-1.929432+(-0.574464--1.0914))+0-0-0</f>
        <v>690.98750399999994</v>
      </c>
      <c r="G38" s="3">
        <f>890.6+(293.5-556.6)+(-3.179442+(-1.047795--1.987062))+0-0-0</f>
        <v>625.25982499999998</v>
      </c>
      <c r="H38" s="3">
        <f>814.9+(321.2-547.4)+(-1.246797+(-0.491436--0.837522))+0-0-0</f>
        <v>587.79928900000004</v>
      </c>
      <c r="I38" s="3">
        <f>855.8+(337.8-611.9)+(-0.872916+(-0.344556--0.624138))+0-0-0</f>
        <v>581.10666600000002</v>
      </c>
      <c r="J38" s="3">
        <f>868.1+(328-617)+(-2.656386+(-1.00368--1.88802))+0-0-0</f>
        <v>577.32795399999998</v>
      </c>
      <c r="K38" s="3">
        <f>873.7+(312-601.5)+(-0.891174+(-0.31824--0.61353))+0-0-0</f>
        <v>583.60411600000009</v>
      </c>
      <c r="L38" s="3">
        <f>815.5+(318.3-541.2)+(-2.49543+(-0.973998--1.656072))+0-0-0</f>
        <v>590.78664399999991</v>
      </c>
      <c r="M38" s="3">
        <f>787.1+(305.4-508.7)+(-1.204263+(-0.467262--0.778311))+0-0-0</f>
        <v>582.90678600000001</v>
      </c>
      <c r="N38" s="3">
        <f>859.1+(313-537.4)+(-0.438141+(-0.15963--0.274074))+0-0-0</f>
        <v>634.37630300000001</v>
      </c>
      <c r="O38" s="3">
        <f>857.6+(338.1-520.4)+(-1.312128+(-0.517293--0.796212))+0-0-0</f>
        <v>674.26679100000001</v>
      </c>
      <c r="P38" s="3">
        <f>856.3+(349.3-510.8)+(-1.310139+(-0.534429--0.781524))+0-0-0</f>
        <v>693.73695599999996</v>
      </c>
      <c r="Q38" s="3">
        <f>927.9+(245.1-457.3)+(0+(0-0))+0-0-0</f>
        <v>715.69999999999993</v>
      </c>
      <c r="R38" s="3">
        <f>988.8+(328-605.7)+(-1.512864+(-0.50184--0.926721))+0-0-0</f>
        <v>710.0120169999999</v>
      </c>
      <c r="S38" s="3">
        <f>995.2+(377.8-684.3)+(0+(0-0))+0-0-0</f>
        <v>688.7</v>
      </c>
      <c r="T38" s="3">
        <f>990.6+(459.5-756.6)+(-1.010412+(-0.46869--0.771732))+0-0-0</f>
        <v>692.79263000000003</v>
      </c>
      <c r="U38" s="3">
        <f>989.1+(501.3-791.3)+(-2.017764+(-1.022652--1.614252))+0-0-0</f>
        <v>697.67383600000016</v>
      </c>
      <c r="V38" s="3">
        <f>988.8+(467.5-756.1)+(-1.512864+(-0.715275--1.156833))+0-0-0</f>
        <v>699.12869399999988</v>
      </c>
      <c r="W38" s="3">
        <f>992.9+(357.6-656.2)+(-2.025516+(-0.729504--1.338648))+0-0-0</f>
        <v>692.88362799999993</v>
      </c>
      <c r="X38" s="3">
        <f>952.7+(335.1-600)+(-1.457631+(-0.512703--0.918))+0-0-0</f>
        <v>686.74766600000009</v>
      </c>
      <c r="Y38" s="3">
        <f>964.3+(284.6-519.8)+(-1.967172+(-0.580584--1.060392))+0-0-0</f>
        <v>727.61263600000007</v>
      </c>
      <c r="Z38" s="3">
        <f>994.6+(442.3-506.4)+(-1.014492+(-0.451146--0.516528))+0-0-0</f>
        <v>929.55088999999998</v>
      </c>
      <c r="AA38" s="3">
        <f>990.1+(465.1-495.9)+(-2.019804+(-0.948804--1.011636))+0-0-0</f>
        <v>957.34302800000012</v>
      </c>
      <c r="AB38" s="3">
        <f>995.6+(413-501.2)+(-1.015512+(-0.42126--0.511224))+0-0-0</f>
        <v>906.47445200000004</v>
      </c>
      <c r="AC38" s="3">
        <f>996.2+(339.4-516.6)+(-1.016124+(-0.346188--0.526932))+0-0-0</f>
        <v>818.16462000000001</v>
      </c>
      <c r="AD38">
        <f t="shared" si="0"/>
        <v>16744.942930999998</v>
      </c>
      <c r="AE38" s="3">
        <f>994+(479.4-500.7)+(0+(0-0))+0-0-0</f>
        <v>972.7</v>
      </c>
    </row>
    <row r="39" spans="1:31" s="2" customFormat="1" x14ac:dyDescent="0.25">
      <c r="A39">
        <v>89</v>
      </c>
      <c r="B39">
        <v>2</v>
      </c>
      <c r="C39">
        <v>8</v>
      </c>
      <c r="D39">
        <v>5</v>
      </c>
      <c r="E39">
        <v>1</v>
      </c>
      <c r="F39" s="3">
        <f>999.1+(332.8-629.6)+(-0.509541+(-0.169728--0.321096))+0-0-0</f>
        <v>701.94182699999999</v>
      </c>
      <c r="G39" s="3">
        <f>996.1+(313.5-682.8)+(-0.508011+(-0.159885--0.348228))+0-0-0</f>
        <v>626.48033200000009</v>
      </c>
      <c r="H39" s="3">
        <f>997.3+(279.4-684.2)+(-1.017246+(-0.284988--0.697884))+0-0-0</f>
        <v>591.89564999999993</v>
      </c>
      <c r="I39" s="3">
        <f>932+(280.9-635.4)+(0+(0-0))+0-0-0</f>
        <v>577.5</v>
      </c>
      <c r="J39" s="3">
        <f>812.5+(286.9-542.5)+(-0.82875+(-0.292638--0.55335))+0-0-0</f>
        <v>556.33196199999998</v>
      </c>
      <c r="K39" s="3">
        <f>812.2+(258.4-507.8)+(-2.07111+(-0.65892--1.29489))+0-0-0</f>
        <v>561.36485999999991</v>
      </c>
      <c r="L39" s="3">
        <f>812.7+(257.5-508.6)+(-1.243431+(-0.393975--0.778158))+0-0-0</f>
        <v>560.74075200000004</v>
      </c>
      <c r="M39" s="3">
        <f>959.4+(190.9-571.7)+(0+(0-0))+0-0-0</f>
        <v>578.59999999999991</v>
      </c>
      <c r="N39" s="3">
        <f>1003.5+(198-569.3)+(-1.02357+(-0.20196--0.580686))+0-0-0</f>
        <v>631.55515600000001</v>
      </c>
      <c r="O39" s="3">
        <f>950+(243.1-531.7)+(-0.4845+(-0.123981--0.271167))+0-0-0</f>
        <v>661.06268599999999</v>
      </c>
      <c r="P39" s="3">
        <f>985.9+(229.1-523.6)+(-1.508427+(-0.350523--0.801108))+0-0-0</f>
        <v>690.34215799999993</v>
      </c>
      <c r="Q39" s="3">
        <f>997+(248.3-544.5)+(-1.52541+(-0.379899--0.833085))+0-0-0</f>
        <v>699.72777599999995</v>
      </c>
      <c r="R39" s="3">
        <f>985.3+(308.5-591)+(-1.507509+(-0.472005--0.90423))+0-0-0</f>
        <v>701.72471599999994</v>
      </c>
      <c r="S39" s="3">
        <f>982.1+(357.4-643.9)+(-2.003484+(-0.729096--1.313556))+0-0-0</f>
        <v>694.18097599999999</v>
      </c>
      <c r="T39" s="3">
        <f>998.8+(346.8-657.3)+(-0.509388+(-0.176868--0.335223))+0-0-0</f>
        <v>687.94896699999993</v>
      </c>
      <c r="U39" s="3">
        <f>988.3+(391.2-687.7)+(-0.504033+(-0.199512--0.350727))+0-0-0</f>
        <v>691.447182</v>
      </c>
      <c r="V39" s="3">
        <f>966.9+(366.1-632.3)+(-2.465595+(-0.933555--1.612365))+0-0-0</f>
        <v>698.91321500000004</v>
      </c>
      <c r="W39" s="3">
        <f>969.3+(291.9-560.9)+(-1.977372+(-0.595476--1.144236))+0-0-0</f>
        <v>698.87138799999991</v>
      </c>
      <c r="X39" s="3">
        <f>965.8+(304.1-537)+(-1.970232+(-0.620364--1.09548))+0-0-0</f>
        <v>731.40488399999992</v>
      </c>
      <c r="Y39" s="3">
        <f>912.8+(230.2-320.2)+(-1.396584+(-0.352206--0.489906))+0-0-0</f>
        <v>821.54111599999999</v>
      </c>
      <c r="Z39" s="3">
        <f>987.1+(170.4-218.4)+(-1.510263+(-0.260712--0.334152))+0-0-0</f>
        <v>937.66317700000002</v>
      </c>
      <c r="AA39" s="3">
        <f>1002.8+(228.7-310.6)+(-1.022856+(-0.233274--0.316812))+0-0-0</f>
        <v>919.96068199999991</v>
      </c>
      <c r="AB39" s="3">
        <f>1002.6+(269.3-435.9)+(-2.045304+(-0.549372--0.889236))+0-0-0</f>
        <v>834.29456000000005</v>
      </c>
      <c r="AC39" s="3">
        <f>1000.7+(344.1-592.5)+(-2.041428+(-0.701964--1.2087))+0-0-0</f>
        <v>750.76530800000012</v>
      </c>
      <c r="AD39">
        <f t="shared" si="0"/>
        <v>16606.259330000001</v>
      </c>
      <c r="AE39" s="3">
        <f>1003+(176-235.1)+(0+(0-0))+0-0-0</f>
        <v>943.9</v>
      </c>
    </row>
    <row r="40" spans="1:31" s="2" customFormat="1" x14ac:dyDescent="0.25">
      <c r="A40">
        <v>89</v>
      </c>
      <c r="B40">
        <v>2</v>
      </c>
      <c r="C40">
        <v>9</v>
      </c>
      <c r="D40">
        <v>6</v>
      </c>
      <c r="E40">
        <v>1</v>
      </c>
      <c r="F40" s="3">
        <f>1004.2+(417.9-746.4)+(-0.512142+(-0.213129--0.380664))+0-0-0</f>
        <v>675.35539300000005</v>
      </c>
      <c r="G40" s="3">
        <f>1003.2+(472.6-857.9)+(-1.534896+(-0.723078--1.312587))+0-0-0</f>
        <v>616.95461300000011</v>
      </c>
      <c r="H40" s="3">
        <f>980.7+(424.9-818.4)+(1.500471+(0.650097-1.252152))+0-0-0</f>
        <v>588.09841600000004</v>
      </c>
      <c r="I40" s="3">
        <f>913.5+(398.3-736.5)+(-1.397655+(-0.609399--1.126845))+0-0-0</f>
        <v>574.41979099999992</v>
      </c>
      <c r="J40" s="3">
        <f>877.9+(393.2-705.5)+(0.447729+(0.200532-0.359805))+0-0-0</f>
        <v>565.88845599999991</v>
      </c>
      <c r="K40" s="3">
        <f>875.6+(380.8-690.9)+(-1.339668+(-0.582624--1.057077))+0-0-0</f>
        <v>564.63478499999997</v>
      </c>
      <c r="L40" s="3">
        <f>874.7+(333.9-642.9)+(-1.784388+(-0.681156--1.311516))+0-0-0</f>
        <v>564.54597200000001</v>
      </c>
      <c r="M40" s="3">
        <f>892.5+(295.4-606.3)+(-1.365525+(-0.451962--0.927639))+0-0-0</f>
        <v>580.71015199999999</v>
      </c>
      <c r="N40" s="3">
        <f>948.5+(270.2-587.3)+(0+(0-0))+0-0-0</f>
        <v>631.40000000000009</v>
      </c>
      <c r="O40" s="3">
        <f>986.8+(240.9-551.9)+(-0.503268+(-0.122859--0.281469))+0-0-0</f>
        <v>675.45534199999997</v>
      </c>
      <c r="P40" s="3">
        <f>1000.5+(246.7-539.9)+(-1.02051+(-0.251634--0.550698))+0-0-0</f>
        <v>706.57855399999994</v>
      </c>
      <c r="Q40" s="3">
        <f>1002.3+(250.9-542)+(0+(0-0))+0-0-0</f>
        <v>711.19999999999993</v>
      </c>
      <c r="R40" s="3">
        <f>983.7+(303.9-589.2)+(-1.505061+(-0.464967--0.901476))+0-0-0</f>
        <v>697.33144800000002</v>
      </c>
      <c r="S40" s="3">
        <f>980.9+(371.5-686.8)+(-1.000518+(-0.37893--0.700536))+0-0-0</f>
        <v>664.92108800000005</v>
      </c>
      <c r="T40" s="3">
        <f>975.4+(411.5-717.2)+(-0.497454+(-0.209865--0.365772))+0-0-0</f>
        <v>669.35845299999994</v>
      </c>
      <c r="U40" s="3">
        <f>967.3+(398.1-689.7)+(-1.479969+(-0.609093--1.055241))+0-0-0</f>
        <v>674.66617899999994</v>
      </c>
      <c r="V40" s="3">
        <f>966.3+(422.8-706.5)+(-0.985626+(-0.431256--0.72063))+0-0-0</f>
        <v>681.90374799999995</v>
      </c>
      <c r="W40" s="3">
        <f>967.4+(494.8-790.2)+(-3.453618+(-1.766436--2.821014))+0-0-0</f>
        <v>669.60095999999999</v>
      </c>
      <c r="X40" s="3">
        <f>977.1+(388.4-703.9)+(0+(0-0))+0-0-0</f>
        <v>661.6</v>
      </c>
      <c r="Y40" s="3">
        <f>944.4+(359.3-617.3)+(-0.963288+(-0.366486--0.629646))+0-0-0</f>
        <v>685.69987200000014</v>
      </c>
      <c r="Z40" s="3">
        <f>987.6+(440.4-546.5)+(-2.51838+(-1.12302--1.393575))+0-0-0</f>
        <v>879.25217499999997</v>
      </c>
      <c r="AA40" s="3">
        <f>984.4+(436.7-494.6)+(-1.004088+(-0.445434--0.504492))+0-0-0</f>
        <v>925.55497000000003</v>
      </c>
      <c r="AB40" s="3">
        <f>996+(450.8-566.7)+(-2.03184+(-0.919632--1.156068))+0-0-0</f>
        <v>878.30459599999995</v>
      </c>
      <c r="AC40" s="3">
        <f>1001.7+(430.4-615.1)+(-0.510867+(-0.219504--0.313701))+0-0-0</f>
        <v>816.58333000000005</v>
      </c>
      <c r="AD40">
        <f t="shared" si="0"/>
        <v>16360.018293000001</v>
      </c>
      <c r="AE40" s="3">
        <f>995+(447.5-504.1)+(0+(0-0))+0-0-0</f>
        <v>938.4</v>
      </c>
    </row>
    <row r="41" spans="1:31" s="2" customFormat="1" x14ac:dyDescent="0.25">
      <c r="A41">
        <v>89</v>
      </c>
      <c r="B41">
        <v>2</v>
      </c>
      <c r="C41">
        <v>10</v>
      </c>
      <c r="D41">
        <v>7</v>
      </c>
      <c r="E41">
        <v>1</v>
      </c>
      <c r="F41" s="3">
        <f>1003.2+(451.1-740.7)+(0+(0-0))+0-0-0</f>
        <v>713.6</v>
      </c>
      <c r="G41" s="3">
        <f>981.4+(471.7-804.2)+(0+(0-0))+0-0-0</f>
        <v>648.89999999999986</v>
      </c>
      <c r="H41" s="3">
        <f>807.2+(459-675.1)+(0.823344+(0.46818-0.688602))+0-0-0</f>
        <v>591.70292200000006</v>
      </c>
      <c r="I41" s="3">
        <f>678.9+(445.8-565.2)+(-0.346239+(-0.227358--0.288252))+0-0-0</f>
        <v>559.21465499999999</v>
      </c>
      <c r="J41" s="3">
        <f>679.7+(443.2-569.1)+(0.693294+(0.452064-0.580482))+0-0-0</f>
        <v>554.36487599999998</v>
      </c>
      <c r="K41" s="3">
        <f>670.7+(431.7-547.5)+(-1.710285+(-1.100835--1.396125))+0-0-0</f>
        <v>553.48500500000011</v>
      </c>
      <c r="L41" s="3">
        <f>578.1+(451-494)+(-1.474155+(-1.15005--1.2597))+0-0-0</f>
        <v>533.73549500000001</v>
      </c>
      <c r="M41" s="3">
        <f>490.7+(485.6-461.7)+(-0.500514+(-0.495312--0.470934))+0-0-0</f>
        <v>514.075108</v>
      </c>
      <c r="N41" s="3">
        <f>626.7+(401.3-481.5)+(0.319617+(0.204663-0.245565))+0-0-0</f>
        <v>546.77871500000003</v>
      </c>
      <c r="O41" s="3">
        <f>650.1+(448-512.3)+(-0.331551+(-0.22848--0.261273))+0-0-0</f>
        <v>585.50124200000005</v>
      </c>
      <c r="P41" s="3">
        <f>648.8+(462.4-494.4)+(-0.661776+(-0.471648--0.504288))+0-0-0</f>
        <v>616.17086399999994</v>
      </c>
      <c r="Q41" s="3">
        <f>647.1+(451.4-474.4)+(-0.990063+(-0.690642--0.725832))+0-0-0</f>
        <v>623.145127</v>
      </c>
      <c r="R41" s="3">
        <f>650.3+(474-509.5)+(0.331653+(0.24174-0.259845))+0-0-0</f>
        <v>615.11354799999992</v>
      </c>
      <c r="S41" s="3">
        <f>649.5+(503.4-544.5)+(-0.66249+(-0.513468--0.55539))+0-0-0</f>
        <v>607.77943199999993</v>
      </c>
      <c r="T41" s="3">
        <f>666.1+(518.3-583.7)+(1.019133+(0.792999-0.893061))+0-0-0</f>
        <v>601.61907099999996</v>
      </c>
      <c r="U41" s="3">
        <f>689.2+(475.8-560.5)+(-1.054476+(-0.727974--0.857565))+0-0-0</f>
        <v>603.57511499999998</v>
      </c>
      <c r="V41" s="3">
        <f>689+(475.6-562.6)+(-1.05417+(-0.727668--0.860778))+0-0-0</f>
        <v>601.07893999999999</v>
      </c>
      <c r="W41" s="3">
        <f>667.5+(477.1-548.2)+(-1.702125+(-1.216605--1.39791))+0-0-0</f>
        <v>594.87918000000002</v>
      </c>
      <c r="X41" s="3">
        <f>579.5+(500.6-485.2)+(-1.477725+(-1.27653--1.23726))+0-0-0</f>
        <v>593.38300500000014</v>
      </c>
      <c r="Y41" s="3">
        <f>658.9+(508.1-519.9)+(-0.336039+(-0.259131--0.265149))+0-0-0</f>
        <v>646.76997900000003</v>
      </c>
      <c r="Z41" s="3">
        <f>881.4+(458.4-494.8)+(-1.798056+(-0.935136--1.009392))+0-0-0</f>
        <v>843.27620000000002</v>
      </c>
      <c r="AA41" s="3">
        <f>987.8+(410.1-490.4)+(-1.007556+(-0.418302--0.500208))+0-0-0</f>
        <v>906.57434999999998</v>
      </c>
      <c r="AB41" s="3">
        <f>983.1+(391.2-508.8)+(-3.008286+(-1.197072--1.556928))+0-0-0</f>
        <v>862.85157000000004</v>
      </c>
      <c r="AC41" s="3">
        <f>987.8+(320.1-525.1)+(-1.007556+(-0.326502--0.535602))+0-0-0</f>
        <v>782.00154399999997</v>
      </c>
      <c r="AD41">
        <f t="shared" si="0"/>
        <v>15299.575943000002</v>
      </c>
      <c r="AE41" s="3">
        <f>987+(410.4-483.4)+(0+(0-0))+0-0-0</f>
        <v>914</v>
      </c>
    </row>
    <row r="42" spans="1:31" s="2" customFormat="1" x14ac:dyDescent="0.25">
      <c r="A42">
        <v>89</v>
      </c>
      <c r="B42">
        <v>2</v>
      </c>
      <c r="C42">
        <v>11</v>
      </c>
      <c r="D42">
        <v>1</v>
      </c>
      <c r="E42">
        <v>1</v>
      </c>
      <c r="F42" s="3">
        <f>985.3+(440.9-740.1)+(-2.010012+(-0.899436--1.509804))+0-0-0</f>
        <v>684.70035599999994</v>
      </c>
      <c r="G42" s="3">
        <f>984.3+(520.2-875.7)+(-2.509965+(-1.32651--2.233035))+0-0-0</f>
        <v>627.19655999999998</v>
      </c>
      <c r="H42" s="3">
        <f>987.6+(514.1-907.2)+(-1.007352+(-0.524382--0.925344))+0-0-0</f>
        <v>593.89360999999997</v>
      </c>
      <c r="I42" s="3">
        <f>983.2+(486.9-893.2)+(-2.005728+(-0.993276--1.822128))+0-0-0</f>
        <v>575.72312399999998</v>
      </c>
      <c r="J42" s="3">
        <f>986+(424.6-850.8)+(0+(0-0))+0-0-0</f>
        <v>559.80000000000007</v>
      </c>
      <c r="K42" s="3">
        <f>988.7+(385.8-812)+(-0.504237+(-0.196758--0.41412))+0-0-0</f>
        <v>562.21312499999999</v>
      </c>
      <c r="L42" s="3">
        <f>914.8+(328.3-672.8)+(-1.866192+(-0.669732--1.372512))+0-0-0</f>
        <v>569.13658799999996</v>
      </c>
      <c r="M42" s="3">
        <f>920.2+(286.4-626.6)+(-0.938604+(-0.292128--0.639132))+0-0-0</f>
        <v>579.40840000000003</v>
      </c>
      <c r="N42" s="3">
        <f>1005.9+(230.1-591.2)+(-1.026018+(-0.234702--0.603024))+0-0-0</f>
        <v>644.14230399999997</v>
      </c>
      <c r="O42" s="3">
        <f>994.1+(204.1-486.9)+(-1.520973+(-0.312273--0.744957))+0-0-0</f>
        <v>710.21171100000004</v>
      </c>
      <c r="P42" s="3">
        <f>968+(281.5-518.6)+(-0.98736+(-0.28713--0.528972))+0-0-0</f>
        <v>730.15448200000003</v>
      </c>
      <c r="Q42" s="3">
        <f>969.2+(263.5-490.7)+(-0.494292+(-0.134385--0.250257))+0-0-0</f>
        <v>741.62157999999999</v>
      </c>
      <c r="R42" s="3">
        <f>965.4+(246.2-500.4)+(-2.46177+(-0.62781--1.27602))+0-0-0</f>
        <v>709.38643999999999</v>
      </c>
      <c r="S42" s="3">
        <f>966.9+(229.3-514.9)+(-0.986238+(-0.233886--0.525198))+0-0-0</f>
        <v>680.60507399999995</v>
      </c>
      <c r="T42" s="3">
        <f>973.6+(213.8-522.2)+(-0.496536+(-0.109038--0.266322))+0-0-0</f>
        <v>664.86074800000006</v>
      </c>
      <c r="U42" s="3">
        <f>985.1+(216.1-541.4)+(-2.512005+(-0.551055--1.38057))+0-0-0</f>
        <v>658.11751000000004</v>
      </c>
      <c r="V42" s="3">
        <f>937.4+(270.1-544.5)+(-2.39037+(-0.688755--1.388475))+0-0-0</f>
        <v>661.30934999999999</v>
      </c>
      <c r="W42" s="3">
        <f>813.2+(361.7-517.2)+(-1.244196+(-0.553401--0.791316))+0-0-0</f>
        <v>656.6937190000001</v>
      </c>
      <c r="X42" s="3">
        <f>806.2+(324.9-469.7)+(-1.233486+(-0.497097--0.718641))+0-0-0</f>
        <v>660.38805800000011</v>
      </c>
      <c r="Y42" s="3">
        <f>847+(330.9-480)+(-0.43197+(-0.168759--0.2448))+0-0-0</f>
        <v>697.54407100000003</v>
      </c>
      <c r="Z42" s="3">
        <f>928.4+(482.4-517.8)+(-1.893936+(-0.984096--1.056312))+0-0-0</f>
        <v>891.17827999999997</v>
      </c>
      <c r="AA42" s="3">
        <f>929.6+(532.2-526.1)+(-0.948192+(-0.542844--0.536622))+0-0-0</f>
        <v>934.745586</v>
      </c>
      <c r="AB42" s="3">
        <f>931+(481.3-509)+(-0.94962+(-0.490926--0.51918))+0-0-0</f>
        <v>902.37863399999992</v>
      </c>
      <c r="AC42" s="3">
        <f>930+(395-506.7)+(-1.4229+(-0.60435--0.775251))+0-0-0</f>
        <v>817.048001</v>
      </c>
      <c r="AD42">
        <f t="shared" si="0"/>
        <v>16512.457310999998</v>
      </c>
      <c r="AE42" s="3">
        <f>925+(557.9-532.9)+(0+(0-0))+0-0-0</f>
        <v>950</v>
      </c>
    </row>
    <row r="43" spans="1:31" s="2" customFormat="1" x14ac:dyDescent="0.25">
      <c r="A43">
        <v>89</v>
      </c>
      <c r="B43">
        <v>2</v>
      </c>
      <c r="C43">
        <v>12</v>
      </c>
      <c r="D43">
        <v>2</v>
      </c>
      <c r="E43">
        <v>1</v>
      </c>
      <c r="F43" s="3">
        <f>931.8+(323.1-550.2)+(0+(0-0))+0-0-0</f>
        <v>704.69999999999993</v>
      </c>
      <c r="G43" s="3">
        <f>933.1+(337-644.8)+(-0.475881+(-0.17187--0.328848))+0-0-0</f>
        <v>624.98109700000009</v>
      </c>
      <c r="H43" s="3">
        <f>933.2+(351.9-690.7)+(0+(0-0))+0-0-0</f>
        <v>594.4</v>
      </c>
      <c r="I43" s="3">
        <f>932.7+(333.7-686.5)+(-0.951354+(-0.340374--0.70023))+0-0-0</f>
        <v>579.30850200000009</v>
      </c>
      <c r="J43" s="3">
        <f>931.9+(313.6-672.1)+(-0.475269+(-0.159936--0.342771))+0-0-0</f>
        <v>573.10756600000002</v>
      </c>
      <c r="K43" s="3">
        <f>928.4+(277.4-631.9)+(-2.36742+(-0.70737--1.611345))+0-0-0</f>
        <v>572.436555</v>
      </c>
      <c r="L43" s="3">
        <f>866.2+(226.4-511.7)+(-0.883524+(-0.230928--0.521934))+0-0-0</f>
        <v>580.30748200000005</v>
      </c>
      <c r="M43" s="3">
        <f>806.8+(227.9-444.1)+(0+(0-0))+0-0-0</f>
        <v>590.59999999999991</v>
      </c>
      <c r="N43" s="3">
        <f>919.9+(123.1-409.5)+(-0.469149+(-0.062781--0.208845))+0-0-0</f>
        <v>633.17691500000001</v>
      </c>
      <c r="O43" s="3">
        <f>961+(175.5-445.5)+(0+(0-0))+0-0-0</f>
        <v>691</v>
      </c>
      <c r="P43" s="3">
        <f>960.9+(328-534.4)+(0.980118+(0.33456-0.545088))+0-0-0</f>
        <v>755.26958999999999</v>
      </c>
      <c r="Q43" s="3">
        <f>946.8+(360.6-550.8)+(-0.482868+(-0.183906--0.280908))+0-0-0</f>
        <v>756.21413400000006</v>
      </c>
      <c r="R43" s="3">
        <f>957.7+(332.3-560.4)+(-1.465281+(-0.508419--0.857412))+0-0-0</f>
        <v>728.48371200000008</v>
      </c>
      <c r="S43" s="3">
        <f>965.4+(291.7-556.2)+(-1.969416+(-0.595068--1.134648))+0-0-0</f>
        <v>699.47016399999984</v>
      </c>
      <c r="T43" s="3">
        <f>972.7+(241-552)+(0.496077+(0.12291-0.28152))+0-0-0</f>
        <v>662.03746699999999</v>
      </c>
      <c r="U43" s="3">
        <f>969.5+(227.2-553.1)+(-1.483335+(-0.347616--0.846243))+0-0-0</f>
        <v>642.61529199999995</v>
      </c>
      <c r="V43" s="3">
        <f>930.5+(256.1-540.2)+(-2.84733+(-0.783666--1.653012))+0-0-0</f>
        <v>644.42201599999999</v>
      </c>
      <c r="W43" s="3">
        <f>915.2+(279.3-544.5)+(-0.466752+(-0.142443--0.277695))+0-0-0</f>
        <v>649.66849999999999</v>
      </c>
      <c r="X43" s="3">
        <f>916.1+(282.7-539.3)+(-1.401633+(-0.432531--0.825129))+0-0-0</f>
        <v>658.49096499999996</v>
      </c>
      <c r="Y43" s="3">
        <f>869.2+(355.4-517.5)+(-0.886584+(-0.362508--0.52785))+0-0-0</f>
        <v>706.37875800000006</v>
      </c>
      <c r="Z43" s="3">
        <f>953.2+(486-571.3)+(-3.402924+(-1.73502--2.039541))+0-0-0</f>
        <v>864.80159700000013</v>
      </c>
      <c r="AA43" s="3">
        <f>985+(498.9-586.7)+(-2.0094+(-1.017756--1.196868))+0-0-0</f>
        <v>895.36971199999994</v>
      </c>
      <c r="AB43" s="3">
        <f>985.6+(420.4-558.9)+(-2.51328+(-1.07202--1.425195))+0-0-0</f>
        <v>844.93989499999998</v>
      </c>
      <c r="AC43" s="3">
        <f>985.2+(294.2-516.3)+(-2.51226+(-0.75021--1.316565))+0-0-0</f>
        <v>761.1540950000001</v>
      </c>
      <c r="AD43">
        <f t="shared" si="0"/>
        <v>16413.334014</v>
      </c>
      <c r="AE43" s="3">
        <f>982+(530.9-592.2)+(0+(0-0))+0-0-0</f>
        <v>920.69999999999993</v>
      </c>
    </row>
    <row r="44" spans="1:31" s="2" customFormat="1" x14ac:dyDescent="0.25">
      <c r="A44">
        <v>89</v>
      </c>
      <c r="B44">
        <v>2</v>
      </c>
      <c r="C44">
        <v>13</v>
      </c>
      <c r="D44">
        <v>3</v>
      </c>
      <c r="E44">
        <v>1</v>
      </c>
      <c r="F44" s="3">
        <f>910.7+(242.8-510.7)+(-2.786742+(-0.742968--1.562742))+0-0-0</f>
        <v>640.83303200000012</v>
      </c>
      <c r="G44" s="3">
        <f>887.1+(207.2-519.9)+(-3.166947+(-0.739704--1.856043))+0-0-0</f>
        <v>572.34939200000008</v>
      </c>
      <c r="H44" s="3">
        <f>891+(200.3-544.6)+(-0.45441+(-0.102153--0.277746))+0-0-0</f>
        <v>546.42118300000004</v>
      </c>
      <c r="I44" s="3">
        <f>778.6+(213.4-464.3)+(-0.397086+(-0.108834--0.236793))+0-0-0</f>
        <v>527.43087300000002</v>
      </c>
      <c r="J44" s="3">
        <f>776.2+(195.8-454.4)+(-0.791724+(-0.199716--0.463488))+0-0-0</f>
        <v>517.07204800000011</v>
      </c>
      <c r="K44" s="3">
        <f>812.7+(172.2-456.5)+(-2.072385+(-0.43911--1.164075))+0-0-0</f>
        <v>527.05258000000003</v>
      </c>
      <c r="L44" s="3">
        <f>749.1+(266.7-493.3)+(-2.292246+(-0.816102--1.509498))+0-0-0</f>
        <v>520.90115000000003</v>
      </c>
      <c r="M44" s="3">
        <f>743.2+(310.9-534.3)+(0.379032+(0.158559-0.272493))+0-0-0</f>
        <v>520.06509800000003</v>
      </c>
      <c r="N44" s="3">
        <f>895.5+(206.5-521.1)+(0+(0-0))+0-0-0</f>
        <v>580.9</v>
      </c>
      <c r="O44" s="3">
        <f>945.5+(227.5-526.6)+(-1.446615+(-0.348075--0.805698))+0-0-0</f>
        <v>645.41100799999992</v>
      </c>
      <c r="P44" s="3">
        <f>720.3+(432.3-488.3)+(0+(0-0))+0-0-0</f>
        <v>664.3</v>
      </c>
      <c r="Q44" s="3">
        <f>692.7+(460.8-480.3)+(-1.413108+(-0.940032--0.979812))+0-0-0</f>
        <v>671.82667200000003</v>
      </c>
      <c r="R44" s="3">
        <f>692.8+(439.4-465.6)+(-0.353328+(-0.224094--0.237456))+0-0-0</f>
        <v>666.26003399999991</v>
      </c>
      <c r="S44" s="3">
        <f>677.2+(450-491.5)+(-1.381488+(-0.918--1.00266))+0-0-0</f>
        <v>634.40317200000004</v>
      </c>
      <c r="T44" s="3">
        <f>690.1+(416.9-484.2)+(-1.407804+(-0.850476--0.987768))+0-0-0</f>
        <v>621.5294879999999</v>
      </c>
      <c r="U44" s="3">
        <f>695+(378.9-450.9)+(-1.06335+(-0.579717--0.689877))+0-0-0</f>
        <v>622.04681000000005</v>
      </c>
      <c r="V44" s="3">
        <f>694.2+(396.1-467.3)+(-1.062126+(-0.606033--0.714969))+0-0-0</f>
        <v>622.04681000000005</v>
      </c>
      <c r="W44" s="3">
        <f>695.5+(426.2-472.3)+(0+(0-0))+0-0-0</f>
        <v>649.4</v>
      </c>
      <c r="X44" s="3">
        <f>697.3+(443.7-472.5)+(-1.422492+(-0.905148--0.9639))+0-0-0</f>
        <v>667.13625999999999</v>
      </c>
      <c r="Y44" s="3">
        <f>697.2+(485.9-469.7)+(0.355572+(0.247809-0.239547))+0-0-0</f>
        <v>713.76383400000009</v>
      </c>
      <c r="Z44" s="3">
        <f>728+(617.8-483.3)+(-1.8564+(-1.57539--1.232415))+0-0-0</f>
        <v>860.30062499999997</v>
      </c>
      <c r="AA44" s="3">
        <f>723.3+(644.6-476.9)+(-1.844415+(-1.64373--1.216095))+0-0-0</f>
        <v>888.72794999999996</v>
      </c>
      <c r="AB44" s="3">
        <f>701+(596.2-455)+(-0.35751+(-0.304062--0.23205))+0-0-0</f>
        <v>841.77047800000003</v>
      </c>
      <c r="AC44" s="3">
        <f>699.8+(517.7-467.2)+(-0.356898+(-0.264027--0.238272))+0-0-0</f>
        <v>749.91734699999995</v>
      </c>
      <c r="AD44">
        <f t="shared" si="0"/>
        <v>15471.865844</v>
      </c>
      <c r="AE44" s="3">
        <f>755+(619.2-473.9)+(0+(0-0))+0-0-0</f>
        <v>900.30000000000007</v>
      </c>
    </row>
    <row r="45" spans="1:31" s="2" customFormat="1" x14ac:dyDescent="0.25">
      <c r="A45">
        <v>89</v>
      </c>
      <c r="B45">
        <v>2</v>
      </c>
      <c r="C45">
        <v>14</v>
      </c>
      <c r="D45">
        <v>4</v>
      </c>
      <c r="E45">
        <v>1</v>
      </c>
      <c r="F45" s="3">
        <f>697+(407.1-449.7)+(-1.42188+(-0.830484--0.917388))+0-0-0</f>
        <v>653.06502400000011</v>
      </c>
      <c r="G45" s="3">
        <f>655.4+(351.1-418.8)+(-1.337016+(-0.716244--0.854352))+0-0-0</f>
        <v>586.50109200000009</v>
      </c>
      <c r="H45" s="3">
        <f>609+(361.4-422.4)+(-0.93177+(-0.552942--0.646272))+0-0-0</f>
        <v>547.16156000000001</v>
      </c>
      <c r="I45" s="3">
        <f>600.3+(373.1-446.4)+(0.306153+(0.190281-0.227664))+0-0-0</f>
        <v>527.26877000000002</v>
      </c>
      <c r="J45" s="3">
        <f>638.2+(329-443.4)+(1.301928+(0.67116-0.904536))+0-0-0</f>
        <v>524.86855200000002</v>
      </c>
      <c r="K45" s="3">
        <f>654.8+(319.4-439.9)+(-0.333948+(-0.162894--0.224349))+0-0-0</f>
        <v>534.0275069999999</v>
      </c>
      <c r="L45" s="3">
        <f>643.3+(306.8-419.9)+(-1.640415+(-0.78234--1.070745))+0-0-0</f>
        <v>528.8479900000001</v>
      </c>
      <c r="M45" s="3">
        <f>603.3+(348.9-419.9)+(0+(0-0))+0-0-0</f>
        <v>532.29999999999995</v>
      </c>
      <c r="N45" s="3">
        <f>662.9+(364.4-447.3)+(-0.676158+(-0.371688--0.456246))+0-0-0</f>
        <v>579.40840000000003</v>
      </c>
      <c r="O45" s="3">
        <f>698.6+(394.4-476)+(0.712572+(0.402288-0.48552))+0-0-0</f>
        <v>617.62933999999996</v>
      </c>
      <c r="P45" s="3">
        <f>899.7+(270.4-511.5)+(-1.376541+(-0.413712--0.782595))+0-0-0</f>
        <v>657.59234200000003</v>
      </c>
      <c r="Q45" s="3">
        <f>969.8+(201.6-508.7)+(-0.989196+(-0.205632--0.518874))+0-0-0</f>
        <v>662.02404599999988</v>
      </c>
      <c r="R45" s="3">
        <f>968.3+(203.7-525.7)+(-1.975332+(-0.415548--1.072428))+0-0-0</f>
        <v>644.98154799999998</v>
      </c>
      <c r="S45" s="3">
        <f>969.9+(251.5-587.9)+(0+(0-0))+0-0-0</f>
        <v>633.5</v>
      </c>
      <c r="T45" s="3">
        <f>969.4+(259.6-597.2)+(0.988788+(0.264792-0.609144))+0-0-0</f>
        <v>632.444436</v>
      </c>
      <c r="U45" s="3">
        <f>969.7+(245.7-583.8)+(-0.494547+(-0.125307--0.297738))+0-0-0</f>
        <v>631.27788400000009</v>
      </c>
      <c r="V45" s="3">
        <f>969.2+(250-582.2)+(-0.988584+(-0.255--0.593844))+0-0-0</f>
        <v>636.35026000000005</v>
      </c>
      <c r="W45" s="3">
        <f>957.3+(262.9-566.8)+(-1.952892+(-0.536316--1.156272))+0-0-0</f>
        <v>652.06706399999996</v>
      </c>
      <c r="X45" s="3">
        <f>806.8+(294.6-464.3)+(-2.05734+(-0.75123--1.183965))+0-0-0</f>
        <v>635.47539499999993</v>
      </c>
      <c r="Y45" s="3">
        <f>806.9+(345.5-477.1)+(-0.823038+(-0.35241--0.486642))+0-0-0</f>
        <v>674.61119399999995</v>
      </c>
      <c r="Z45" s="3">
        <f>935.5+(405.1-482.8)+(-1.90842+(-0.826404--0.984912))+0-0-0</f>
        <v>856.05008799999996</v>
      </c>
      <c r="AA45" s="3">
        <f>913.8+(485.1-481.7)+(-0.932076+(-0.494802--0.491334))+0-0-0</f>
        <v>916.264456</v>
      </c>
      <c r="AB45" s="3">
        <f>950.6+(410.7-494.7)+(-1.454418+(-0.628371--0.756891))+0-0-0</f>
        <v>865.27410199999997</v>
      </c>
      <c r="AC45" s="3">
        <f>937.8+(303.7-476.6)+(-0.956556+(-0.309774--0.486132))+0-0-0</f>
        <v>764.11980199999982</v>
      </c>
      <c r="AD45">
        <f t="shared" si="0"/>
        <v>15493.110851999998</v>
      </c>
      <c r="AE45" s="3">
        <f>971+(449-497.5)+(0+(0-0))+0-0-0</f>
        <v>922.5</v>
      </c>
    </row>
    <row r="46" spans="1:31" s="2" customFormat="1" x14ac:dyDescent="0.25">
      <c r="A46">
        <v>89</v>
      </c>
      <c r="B46">
        <v>2</v>
      </c>
      <c r="C46">
        <v>15</v>
      </c>
      <c r="D46">
        <v>5</v>
      </c>
      <c r="E46">
        <v>1</v>
      </c>
      <c r="F46" s="3">
        <f>929.4+(217.7-490.4)+(-0.473994+(-0.111027--0.250104))+0-0-0</f>
        <v>656.36508300000003</v>
      </c>
      <c r="G46" s="3">
        <f>799.6+(257.5-469.7)+(-1.223388+(-0.393975--0.718641))+0-0-0</f>
        <v>586.50127800000007</v>
      </c>
      <c r="H46" s="3">
        <f>805.4+(306.4-548.2)+(-0.821508+(-0.312528--0.559164))+0-0-0</f>
        <v>563.02512799999988</v>
      </c>
      <c r="I46" s="3">
        <f>802.8+(299.1-550.9)+(-1.637712+(-0.610164--1.123836))+0-0-0</f>
        <v>549.87595999999996</v>
      </c>
      <c r="J46" s="3">
        <f>803.9+(278.2-538.3)+(0.409989+(0.141882-0.274533))+0-0-0</f>
        <v>544.07733799999994</v>
      </c>
      <c r="K46" s="3">
        <f>807.4+(276.9-539.4)+(0.411774+(0.141219-0.275094))+0-0-0</f>
        <v>545.17789900000002</v>
      </c>
      <c r="L46" s="3">
        <f>809.2+(244.3-513.8)+(-1.650768+(-0.498372--1.048152))+0-0-0</f>
        <v>538.59901200000002</v>
      </c>
      <c r="M46" s="3">
        <f>861.5+(201.3-513.8)+(0+(0-0))+0-0-0</f>
        <v>549</v>
      </c>
      <c r="N46" s="3">
        <f>892.9+(209.2-506.8)+(-0.455379+(-0.106692--0.258468))+0-0-0</f>
        <v>594.996397</v>
      </c>
      <c r="O46" s="3">
        <f>975.4+(190.4-515.2)+(0+(0-0))+0-0-0</f>
        <v>650.59999999999991</v>
      </c>
      <c r="P46" s="3">
        <f>967.7+(201.9-485)+(-0.987054+(-0.205938--0.4947))+0-0-0</f>
        <v>683.90170799999999</v>
      </c>
      <c r="Q46" s="3">
        <f>978+(229.1-517.3)+(-0.99756+(-0.233682--0.527646))+0-0-0</f>
        <v>689.09640400000012</v>
      </c>
      <c r="R46" s="3">
        <f>992.9+(328.8-634.5)+(-1.012758+(-0.335376--0.64719))+0-0-0</f>
        <v>686.499056</v>
      </c>
      <c r="S46" s="3">
        <f>985.5+(342.4-658.9)+(0.502605+(0.174624-0.336039))+0-0-0</f>
        <v>669.34118999999998</v>
      </c>
      <c r="T46" s="3">
        <f>967+(345.1-653.6)+(1.47951+(0.528003-1.000008))+0-0-0</f>
        <v>659.50750500000004</v>
      </c>
      <c r="U46" s="3">
        <f>978.5+(361.5-666.8)+(-0.99807+(-0.36873--0.680136))+0-0-0</f>
        <v>672.51333600000009</v>
      </c>
      <c r="V46" s="3">
        <f>980.3+(366.7-676.4)+(-1.499859+(-0.561051--1.034892))+0-0-0</f>
        <v>669.57398199999989</v>
      </c>
      <c r="W46" s="3">
        <f>981.6+(382.6-688.2)+(-1.501848+(-0.585378--1.052946))+0-0-0</f>
        <v>674.96572000000003</v>
      </c>
      <c r="X46" s="3">
        <f>937.9+(391.2-646.7)+(-2.391645+(-0.99756--1.649085))+0-0-0</f>
        <v>680.65987999999982</v>
      </c>
      <c r="Y46" s="3">
        <f>880.1+(403.1-580.3)+(-0.897702+(-0.411162--0.591906))+0-0-0</f>
        <v>702.18304200000011</v>
      </c>
      <c r="Z46" s="3">
        <f>983.4+(460.1-553.2)+(-0.501534+(-0.234651--0.282132))+0-0-0</f>
        <v>889.84594699999991</v>
      </c>
      <c r="AA46" s="3">
        <f>978.1+(492.5-543.1)+(-2.494155+(-1.255875--1.384905))+0-0-0</f>
        <v>925.13487499999997</v>
      </c>
      <c r="AB46" s="3">
        <f>983.1+(440.9-533.1)+(-1.002762+(-0.449718--0.543762))+0-0-0</f>
        <v>889.99128199999996</v>
      </c>
      <c r="AC46" s="3">
        <f>982.5+(396.4-575.8)+(-1.503225+(-0.606492--0.880974))+0-0-0</f>
        <v>801.87125700000001</v>
      </c>
      <c r="AD46">
        <f t="shared" si="0"/>
        <v>16073.303278999998</v>
      </c>
      <c r="AE46" s="3">
        <f>983.5+(498.1-536.8)+(0+(0-0))+0-0-0</f>
        <v>944.80000000000007</v>
      </c>
    </row>
    <row r="47" spans="1:31" s="2" customFormat="1" x14ac:dyDescent="0.25">
      <c r="A47">
        <v>89</v>
      </c>
      <c r="B47">
        <v>2</v>
      </c>
      <c r="C47">
        <v>16</v>
      </c>
      <c r="D47">
        <v>6</v>
      </c>
      <c r="E47">
        <v>1</v>
      </c>
      <c r="F47" s="3">
        <f>905.1+(392-605.3)+(0+(0-0))+0-0-0</f>
        <v>691.80000000000007</v>
      </c>
      <c r="G47" s="3">
        <f>789.5+(432.9-602.9)+(0+(0-0))+0-0-0</f>
        <v>619.5</v>
      </c>
      <c r="H47" s="3">
        <f>700.4+(431.1-546.9)+(0+(0-0))+0-0-0</f>
        <v>584.6</v>
      </c>
      <c r="I47" s="3">
        <f>629+(456-532.2)+(0+(0-0))+0-0-0</f>
        <v>552.79999999999995</v>
      </c>
      <c r="J47" s="3">
        <f>504.7+(509.2-475.6)+(0+(0-0))+0-0-0</f>
        <v>538.29999999999995</v>
      </c>
      <c r="K47" s="3">
        <f>505.7+(497.9-465.2)+(0+(0-0))+0-0-0</f>
        <v>538.4</v>
      </c>
      <c r="L47" s="3">
        <f>505.3+(507.5-478.3)+(0+(0-0))+0-0-0</f>
        <v>534.5</v>
      </c>
      <c r="M47" s="3">
        <f>605+(474.2-532.7)+(0+(0-0))+0-0-0</f>
        <v>546.5</v>
      </c>
      <c r="N47" s="3">
        <f>966+(403.6-730.7)+(0+(0-0))+0-0-0</f>
        <v>638.9</v>
      </c>
      <c r="O47" s="3">
        <f>979.9+(393.1-671.5)+(0+(0-0))+0-0-0</f>
        <v>701.5</v>
      </c>
      <c r="P47" s="3">
        <f>953.9+(391.3-618.2)+(0+(0-0))+0-0-0</f>
        <v>727</v>
      </c>
      <c r="Q47" s="3">
        <f>962.9+(370.2-601.1)+(0+(0-0))+0-0-0</f>
        <v>732</v>
      </c>
      <c r="R47" s="3">
        <f>986.5+(377.7-658.3)+(0.503115+(0.192627-0.335733))+0-0-0</f>
        <v>706.26000900000008</v>
      </c>
      <c r="S47" s="3">
        <f>972.5+(380.4-670.4)+(0+(0-0))+0-0-0</f>
        <v>682.5</v>
      </c>
      <c r="T47" s="3">
        <f>981.2+(369-673.1)+(-1.000824+(-0.37638--0.686562))+0-0-0</f>
        <v>676.409358</v>
      </c>
      <c r="U47" s="3">
        <f>982.3+(394.7-701.1)+(-1.502919+(-0.603891--1.072683))+0-0-0</f>
        <v>674.86587299999985</v>
      </c>
      <c r="V47" s="3">
        <f>981.3+(457-750.4)+(-2.502315+(-1.16535--1.91352))+0-0-0</f>
        <v>686.14585499999998</v>
      </c>
      <c r="W47" s="3">
        <f>984.6+(416.5-711.7)+(-1.506438+(-0.637245--1.088901))+0-0-0</f>
        <v>688.34521799999993</v>
      </c>
      <c r="X47" s="3">
        <f>984.6+(413-702.3)+(-1.004292+(-0.42126--0.716346))+0-0-0</f>
        <v>694.59079400000007</v>
      </c>
      <c r="Y47" s="3">
        <f>984.8+(389.1-644.6)+(-1.004496+(-0.396882--0.657492))+0-0-0</f>
        <v>728.55611399999998</v>
      </c>
      <c r="Z47" s="3">
        <f>983.8+(416.8-528.9)+(-1.505214+(-0.637704--0.809217))+0-0-0</f>
        <v>870.36629900000003</v>
      </c>
      <c r="AA47" s="3">
        <f>983.3+(465.2-540.1)+(-2.005932+(-0.949008--1.101804))+0-0-0</f>
        <v>906.54686399999991</v>
      </c>
      <c r="AB47" s="3">
        <f>987.8+(436.2-551.4)+(0.503778+(0.222462-0.281214))+0-0-0</f>
        <v>873.04502599999989</v>
      </c>
      <c r="AC47" s="3">
        <f>985.2+(400-578)+(-1.004904+(-0.408--0.58956))+0-0-0</f>
        <v>806.37665600000003</v>
      </c>
      <c r="AD47">
        <f t="shared" si="0"/>
        <v>16399.808065999998</v>
      </c>
      <c r="AE47" s="3">
        <f>984+(450-526)+(0+(0-0))+0-0-0</f>
        <v>908</v>
      </c>
    </row>
    <row r="48" spans="1:31" s="2" customFormat="1" x14ac:dyDescent="0.25">
      <c r="A48">
        <v>89</v>
      </c>
      <c r="B48">
        <v>2</v>
      </c>
      <c r="C48">
        <v>17</v>
      </c>
      <c r="D48">
        <v>7</v>
      </c>
      <c r="E48">
        <v>1</v>
      </c>
      <c r="F48" s="3">
        <f>984+(413.1-689.5)+(-1.00368+(-0.421362--0.70329))+0-0-0</f>
        <v>706.87824799999999</v>
      </c>
      <c r="G48" s="3">
        <f>981.5+(409.1-747.6)+(-1.501695+(-0.625923--1.143828))+0-0-0</f>
        <v>642.01621</v>
      </c>
      <c r="H48" s="3">
        <f>982.3+(445.4-823.1)+(-2.003892+(-0.908616--1.679124))+0-0-0</f>
        <v>603.36661599999991</v>
      </c>
      <c r="I48" s="3">
        <f>957.7+(423.8-798.6)+(-0.488427+(-0.216138--0.407286))+0-0-0</f>
        <v>582.60272100000009</v>
      </c>
      <c r="J48" s="3">
        <f>877.9+(400.3-710.4)+(-1.343187+(-0.612459--1.086912))+0-0-0</f>
        <v>566.93126599999994</v>
      </c>
      <c r="K48" s="3">
        <f>767.7+(391.3-595.4)+(0+(0-0))+0-0-0</f>
        <v>563.60000000000014</v>
      </c>
      <c r="L48" s="3">
        <f>735.2+(368.9-565.8)+(-1.499808+(-0.752556--1.154232))+0-0-0</f>
        <v>537.2018680000001</v>
      </c>
      <c r="M48" s="3">
        <f>758.3+(383.8-615.1)+(-0.773466+(-0.391476--0.627402))+0-0-0</f>
        <v>526.46245999999996</v>
      </c>
      <c r="N48" s="3">
        <f>819.5+(398.5-642.2)+(-1.253835+(-0.609705--0.982566))+0-0-0</f>
        <v>574.91902599999992</v>
      </c>
      <c r="O48" s="3">
        <f>867.7+(354.7-621.8)+(0+(0-0))+0-0-0</f>
        <v>600.60000000000014</v>
      </c>
      <c r="P48" s="3">
        <f>982.4+(361-707.1)+(-0.501024+(-0.18411--0.360621))+0-0-0</f>
        <v>635.97548699999993</v>
      </c>
      <c r="Q48" s="3">
        <f>983.4+(366.7-707.9)+(0+(0-0))+0-0-0</f>
        <v>642.20000000000005</v>
      </c>
      <c r="R48" s="3">
        <f>980+(360.5-706.7)+(0+(0-0))+0-0-0</f>
        <v>633.79999999999995</v>
      </c>
      <c r="S48" s="3">
        <f>982.3+(340.3-707)+(0+(0-0))+0-0-0</f>
        <v>615.59999999999991</v>
      </c>
      <c r="T48" s="3">
        <f>979.3+(345-708)+(0+(0-0))+0-0-0</f>
        <v>616.29999999999995</v>
      </c>
      <c r="U48" s="3">
        <f>913.1+(401-691)+(0+(0-0))+0-0-0</f>
        <v>623.1</v>
      </c>
      <c r="V48" s="3">
        <f>815.6+(393.9-598.8)+(-2.07978+(-1.004445--1.52694))+0-0-0</f>
        <v>609.14271500000007</v>
      </c>
      <c r="W48" s="3">
        <f>817.3+(401.9-605.9)+(-1.250469+(-0.614907--0.927027))+0-0-0</f>
        <v>612.36165099999994</v>
      </c>
      <c r="X48" s="3">
        <f>819.3+(404.5-604.9)+(-0.835686+(-0.41259--0.616998))+0-0-0</f>
        <v>618.26872200000003</v>
      </c>
      <c r="Y48" s="3">
        <f>820.6+(398.9-576.6)+(-0.837012+(-0.406878--0.588132))+0-0-0</f>
        <v>642.24424199999999</v>
      </c>
      <c r="Z48" s="3">
        <f>977.7+(404.2-553.8)+(-2.493135+(-1.03071--1.41219))+0-0-0</f>
        <v>825.98834500000009</v>
      </c>
      <c r="AA48" s="3">
        <f>985.7+(463.8-538.5)+(-1.005414+(-0.473076--0.54927))+0-0-0</f>
        <v>910.07078000000001</v>
      </c>
      <c r="AB48" s="3">
        <f>984.9+(465.6-566.5)+(-1.506897+(-0.712368--0.866745))+0-0-0</f>
        <v>882.64747999999997</v>
      </c>
      <c r="AC48" s="3">
        <f>922.1+(421.5-551.3)+(-0.470271+(-0.214965--0.281163))+0-0-0</f>
        <v>791.89592700000003</v>
      </c>
      <c r="AD48">
        <f t="shared" si="0"/>
        <v>15564.173763999999</v>
      </c>
      <c r="AE48" s="3">
        <f>987+(460.3-544.8)+(0+(0-0))+0-0-0</f>
        <v>902.5</v>
      </c>
    </row>
    <row r="49" spans="1:31" s="2" customFormat="1" x14ac:dyDescent="0.25">
      <c r="A49">
        <v>89</v>
      </c>
      <c r="B49">
        <v>2</v>
      </c>
      <c r="C49">
        <v>18</v>
      </c>
      <c r="D49">
        <v>1</v>
      </c>
      <c r="E49">
        <v>1</v>
      </c>
      <c r="F49" s="3">
        <f>784.6+(406.3-514.6)+(-1.200438+(-0.621639--0.787338))+0-0-0</f>
        <v>675.26526100000001</v>
      </c>
      <c r="G49" s="3">
        <f>640.1+(435.1-473.2)+(-0.326451+(-0.221901--0.241332))+0-0-0</f>
        <v>601.69298000000003</v>
      </c>
      <c r="H49" s="3">
        <f>507.9+(489.6-434)+(-0.518058+(-0.499392--0.44268))+0-0-0</f>
        <v>562.92523000000006</v>
      </c>
      <c r="I49" s="3">
        <f>530.6+(442.1-429.4)+(-0.270606+(-0.225471--0.218994))+0-0-0</f>
        <v>543.02291700000012</v>
      </c>
      <c r="J49" s="3">
        <f>671+(402.6-522.1)+(0.34221+(0.205326-0.266271))+0-0-0</f>
        <v>551.78126499999996</v>
      </c>
      <c r="K49" s="3">
        <f>668.1+(392-505.6)+(-0.681462+(-0.39984--0.515712))+0-0-0</f>
        <v>553.93440999999996</v>
      </c>
      <c r="L49" s="3">
        <f>668.9+(371.2-492.6)+(-0.341139+(-0.189312--0.251226))+0-0-0</f>
        <v>547.220775</v>
      </c>
      <c r="M49" s="3">
        <f>733.9+(359.1-522.4)+(0+(0-0))+0-0-0</f>
        <v>570.6</v>
      </c>
      <c r="N49" s="3">
        <f>977.7+(369.8-708.4)+(-1.495881+(-0.565794--1.083852))+0-0-0</f>
        <v>638.12217700000019</v>
      </c>
      <c r="O49" s="3">
        <f>987.2+(368.2-664.4)+(0+(0-0))+0-0-0</f>
        <v>691</v>
      </c>
      <c r="P49" s="3">
        <f>997.3+(386.9-666.2)+(-1.017246+(-0.394638--0.679524))+0-0-0</f>
        <v>717.26763999999991</v>
      </c>
      <c r="Q49" s="3">
        <f>1006.2+(395.2-680.2)+(-1.026324+(-0.403104--0.693804))+0-0-0</f>
        <v>720.46437600000002</v>
      </c>
      <c r="R49" s="3">
        <f>1025.7+(391.6-721.9)+(-0.523107+(-0.199716--0.368169))+0-0-0</f>
        <v>695.04534600000011</v>
      </c>
      <c r="S49" s="3">
        <f>1021.4+(400.3-749)+(-1.562742+(-0.612459--1.14597))+0-0-0</f>
        <v>671.67076900000006</v>
      </c>
      <c r="T49" s="3">
        <f>1015.7+(392-746.3)+(-1.554021+(-0.59976--1.141839))+0-0-0</f>
        <v>660.38805800000011</v>
      </c>
      <c r="U49" s="3">
        <f>1014.2+(413.3-763.6)+(-2.068968+(-0.843132--1.557744))+0-0-0</f>
        <v>662.54564400000004</v>
      </c>
      <c r="V49" s="3">
        <f>1010.5+(424-764.4)+(-1.03071+(-0.43248--0.779688))+0-0-0</f>
        <v>669.41649800000005</v>
      </c>
      <c r="W49" s="3">
        <f>1014.7+(409.5-740.8)+(-3.104982+(-1.25307--2.266848))+0-0-0</f>
        <v>681.30879600000014</v>
      </c>
      <c r="X49" s="3">
        <f>1017.6+(366.7-696.9)+(-3.632832+(-1.309119--2.487933))+0-0-0</f>
        <v>684.94598200000007</v>
      </c>
      <c r="Y49" s="3">
        <f>1023.8+(411.9-718.3)+(-2.088552+(-0.840276--1.465332))+0-0-0</f>
        <v>715.93650400000001</v>
      </c>
      <c r="Z49" s="3">
        <f>1032.7+(434.5-596.4)+(-1.053354+(-0.44319--0.608328))+0-0-0</f>
        <v>869.91178400000013</v>
      </c>
      <c r="AA49" s="3">
        <f>1035.2+(436.9-540.9)+(-1.583856+(-0.668457--0.827577))+0-0-0</f>
        <v>929.77526399999999</v>
      </c>
      <c r="AB49" s="3">
        <f>1040.7+(415.6-559.4)+(-2.123028+(-0.847824--1.141176))+0-0-0</f>
        <v>895.07032400000014</v>
      </c>
      <c r="AC49" s="3">
        <f>999+(430.6-609.3)+(-1.01898+(-0.439212--0.621486))+0-0-0</f>
        <v>819.46329400000002</v>
      </c>
      <c r="AD49">
        <f t="shared" si="0"/>
        <v>16328.775293999999</v>
      </c>
      <c r="AE49" s="3">
        <f>1038+(463.9-539.3)+(0+(0-0))+0-0-0</f>
        <v>962.6</v>
      </c>
    </row>
    <row r="50" spans="1:31" s="2" customFormat="1" x14ac:dyDescent="0.25">
      <c r="A50">
        <v>89</v>
      </c>
      <c r="B50">
        <v>2</v>
      </c>
      <c r="C50">
        <v>19</v>
      </c>
      <c r="D50">
        <v>2</v>
      </c>
      <c r="E50">
        <v>1</v>
      </c>
      <c r="F50" s="3">
        <f>997.2+(441-704)+(-1.017144+(-0.44982--0.71808))+0-0-0</f>
        <v>733.45111600000007</v>
      </c>
      <c r="G50" s="3">
        <f>1000.7+(422-761.6)+(-0.510357+(-0.21522--0.388416))+0-0-0</f>
        <v>660.76283899999999</v>
      </c>
      <c r="H50" s="3">
        <f>861.4+(420.8-670.2)+(0+(0-0))+0-0-0</f>
        <v>612</v>
      </c>
      <c r="I50" s="3">
        <f>845.9+(413.4-663.9)+(-0.431409+(-0.210834--0.338589))+0-0-0</f>
        <v>595.09634599999993</v>
      </c>
      <c r="J50" s="3">
        <f>814.3+(428.1-654.9)+(-0.830586+(-0.436662--0.667998))+0-0-0</f>
        <v>586.90075000000002</v>
      </c>
      <c r="K50" s="3">
        <f>783.9+(440.7-628.9)+(-1.998945+(-1.123785--1.603695))+0-0-0</f>
        <v>594.18096500000001</v>
      </c>
      <c r="L50" s="3">
        <f>726.3+(428-575.3)+(-1.852065+(-1.0914--1.467015))+0-0-0</f>
        <v>577.52355</v>
      </c>
      <c r="M50" s="3">
        <f>822.8+(382.1-609.3)+(-0.839256+(-0.389742--0.621486))+0-0-0</f>
        <v>594.99248799999998</v>
      </c>
      <c r="N50" s="3">
        <f>959.9+(380.8-676.7)+(-1.468647+(-0.582624--1.035351))+0-0-0</f>
        <v>662.98407999999995</v>
      </c>
      <c r="O50" s="3">
        <f>985.3+(398.4-667.7)+(-0.502503+(-0.203184--0.340527))+0-0-0</f>
        <v>715.63483999999994</v>
      </c>
      <c r="P50" s="3">
        <f>981.5+(404.1-648.5)+(0+(0-0))+0-0-0</f>
        <v>737.1</v>
      </c>
      <c r="Q50" s="3">
        <f>999.1+(398.7-654.6)+(-0.509541+(-0.203337--0.333846))+0-0-0</f>
        <v>742.82096799999999</v>
      </c>
      <c r="R50" s="3">
        <f>999.3+(389.3-654.3)+(-1.019286+(-0.397086--0.667386))+0-0-0</f>
        <v>733.55101400000001</v>
      </c>
      <c r="S50" s="3">
        <f>996.7+(405.4-679.5)+(-1.524951+(-0.620262--1.039635))+0-0-0</f>
        <v>721.49442199999999</v>
      </c>
      <c r="T50" s="3">
        <f>1000+(425.8-706.9)+(-1.02+(-0.434316--0.721038))+0-0-0</f>
        <v>718.16672200000005</v>
      </c>
      <c r="U50" s="3">
        <f>1013.6+(437.3-712.2)+(-2.58468+(-1.115115--1.81611))+0-0-0</f>
        <v>736.81631500000003</v>
      </c>
      <c r="V50" s="3">
        <f>1010.4+(471.2-727.7)+(-1.030608+(-0.480624--0.742254))+0-0-0</f>
        <v>753.13102199999992</v>
      </c>
      <c r="W50" s="3">
        <f>985.6+(447.2-693.9)+(-3.015936+(-1.368432--2.123334))+0-0-0</f>
        <v>736.6389660000001</v>
      </c>
      <c r="X50" s="3">
        <f>981.7+(342.7-607.9)+(-2.002668+(-0.699108--1.240116))+0-0-0</f>
        <v>715.03833999999995</v>
      </c>
      <c r="Y50" s="3">
        <f>893.9+(353.2-519.9)+(0+(0-0))+0-0-0</f>
        <v>727.2</v>
      </c>
      <c r="Z50" s="3">
        <f>981.5+(413.5-484.8)+(-2.00226+(-0.84354--0.988992))+0-0-0</f>
        <v>908.34319200000004</v>
      </c>
      <c r="AA50" s="3">
        <f>990.6+(472.2-491.5)+(-2.52603+(-1.20411--1.253325))+0-0-0</f>
        <v>968.82318499999997</v>
      </c>
      <c r="AB50" s="3">
        <f>998.4+(422.3-491.5)+(-1.527552+(-0.646119--0.751995))+0-0-0</f>
        <v>927.778324</v>
      </c>
      <c r="AC50" s="3">
        <f>995.9+(394.2-560.7)+(-2.539545+(-1.00521--1.429785))+0-0-0</f>
        <v>827.28502999999989</v>
      </c>
      <c r="AD50">
        <f t="shared" si="0"/>
        <v>17287.714474</v>
      </c>
      <c r="AE50" s="3">
        <f>995+(472.8-490.9)+(0+(0-0))+0-0-0</f>
        <v>976.90000000000009</v>
      </c>
    </row>
    <row r="51" spans="1:31" s="2" customFormat="1" x14ac:dyDescent="0.25">
      <c r="A51">
        <v>89</v>
      </c>
      <c r="B51">
        <v>2</v>
      </c>
      <c r="C51">
        <v>20</v>
      </c>
      <c r="D51">
        <v>3</v>
      </c>
      <c r="E51">
        <v>1</v>
      </c>
      <c r="F51" s="3">
        <f>990.7+(335.1-598.8)+(-4.547313+(-1.538109--2.748492))+0-0-0</f>
        <v>723.66307000000006</v>
      </c>
      <c r="G51" s="3">
        <f>987+(369.1-701.5)+(-4.53033+(-1.694169--3.219885))+0-0-0</f>
        <v>651.59538600000008</v>
      </c>
      <c r="H51" s="3">
        <f>893.1+(379.4-655.8)+(0.455481+(0.193494-0.334458))+0-0-0</f>
        <v>617.01451700000007</v>
      </c>
      <c r="I51" s="3">
        <f>861.4+(382.5-642.7)+(-3.075198+(-1.365525--2.294439))+0-0-0</f>
        <v>599.05371599999989</v>
      </c>
      <c r="J51" s="3">
        <f>868.6+(374.1-647.9)+(-0.442986+(-0.190791--0.330429))+0-0-0</f>
        <v>594.49665200000004</v>
      </c>
      <c r="K51" s="3">
        <f>842.4+(360.4-593)+(-2.14812+(-0.91902--1.51215))+0-0-0</f>
        <v>608.24500999999998</v>
      </c>
      <c r="L51" s="3">
        <f>690.6+(378.8-478)+(-1.056618+(-0.579564--0.73134))+0-0-0</f>
        <v>590.49515800000006</v>
      </c>
      <c r="M51" s="3">
        <f>789.1+(323.3-501.8)+(0.804882+(0.329766-0.511836))+0-0-0</f>
        <v>611.22281199999998</v>
      </c>
      <c r="N51" s="3">
        <f>926.2+(252.5-513.2)+(0.944724+(0.25755-0.523464))+0-0-0</f>
        <v>666.17881</v>
      </c>
      <c r="O51" s="3">
        <f>978.7+(226-510.3)+(-1.497411+(-0.34578--0.780759))+0-0-0</f>
        <v>693.33756800000015</v>
      </c>
      <c r="P51" s="3">
        <f>981+(249-488.4)+(-1.00062+(-0.25398--0.498168))+0-0-0</f>
        <v>740.843568</v>
      </c>
      <c r="Q51" s="3">
        <f>1008.2+(287.4-531.1)+(-0.514182+(-0.146574--0.270861))+0-0-0</f>
        <v>764.11010499999998</v>
      </c>
      <c r="R51" s="3">
        <f>1009+(402.7-666.9)+(-1.54377+(-0.616131--1.020357))+0-0-0</f>
        <v>743.66045599999995</v>
      </c>
      <c r="S51" s="3">
        <f>986.3+(496.4-754.1)+(-1.006026+(-0.506328--0.769182))+0-0-0</f>
        <v>727.85682799999995</v>
      </c>
      <c r="T51" s="3">
        <f>995.6+(502.1-749.4)+(-1.015512+(-0.512142--0.764388))+0-0-0</f>
        <v>747.53673400000002</v>
      </c>
      <c r="U51" s="3">
        <f>1003.2+(476.3-746.1)+(0+(0-0))+0-0-0</f>
        <v>733.40000000000009</v>
      </c>
      <c r="V51" s="3">
        <f>976.5+(446.1-682.7)+(-2.490075+(-1.137555--1.740885))+0-0-0</f>
        <v>738.01325499999996</v>
      </c>
      <c r="W51" s="3">
        <f>977.2+(449.2-692.6)+(-2.49186+(-1.14546--1.76613))+0-0-0</f>
        <v>731.92881</v>
      </c>
      <c r="X51" s="3">
        <f>975.5+(429.5-680.6)+(-2.98503+(-1.31427--2.082636))+0-0-0</f>
        <v>722.18333599999994</v>
      </c>
      <c r="Y51" s="3">
        <f>981.5+(405-631.6)+(-0.500565+(-0.20655--0.322116))+0-0-0</f>
        <v>754.51500099999998</v>
      </c>
      <c r="Z51" s="3">
        <f>980.9+(409.4-490)+(-2.001036+(-0.835176--0.9996))+0-0-0</f>
        <v>898.46338800000001</v>
      </c>
      <c r="AA51" s="3">
        <f>976.9+(473.2-473)+(-2.989314+(-1.447992--1.44738))+0-0-0</f>
        <v>974.11007399999994</v>
      </c>
      <c r="AB51" s="3">
        <f>949.6+(439.1-453.2)+(-1.937184+(-0.895764--0.924528))+0-0-0</f>
        <v>933.59158000000002</v>
      </c>
      <c r="AC51" s="3">
        <f>951.1+(383.3-479.4)+(-1.455183+(-0.586449--0.733482))+0-0-0</f>
        <v>853.69185000000004</v>
      </c>
      <c r="AD51">
        <f t="shared" si="0"/>
        <v>17419.207683999997</v>
      </c>
      <c r="AE51" s="3">
        <f>985.5+(467.9-464.5)+(0+(0-0))+0-0-0</f>
        <v>988.9</v>
      </c>
    </row>
    <row r="52" spans="1:31" s="2" customFormat="1" x14ac:dyDescent="0.25">
      <c r="A52">
        <v>89</v>
      </c>
      <c r="B52">
        <v>2</v>
      </c>
      <c r="C52">
        <v>21</v>
      </c>
      <c r="D52">
        <v>4</v>
      </c>
      <c r="E52">
        <v>1</v>
      </c>
      <c r="F52" s="3">
        <f>983.6+(330.1-583.2)+(-0.501636+(-0.168351--0.297432))+0-0-0</f>
        <v>730.12744499999997</v>
      </c>
      <c r="G52" s="3">
        <f>1000.2+(322.4-666.6)+(-1.020204+(-0.328848--0.679932))+0-0-0</f>
        <v>655.33087999999998</v>
      </c>
      <c r="H52" s="3">
        <f>995.8+(307.8-691.9)+(-2.53929+(-0.78489--1.764345))+0-0-0</f>
        <v>610.14016500000002</v>
      </c>
      <c r="I52" s="3">
        <f>998.4+(323.3-719)+(-1.018368+(-0.329766--0.73338))+0-0-0</f>
        <v>602.0852460000001</v>
      </c>
      <c r="J52" s="3">
        <f>976.7+(312.7-690.1)+(0+(0-0))+0-0-0</f>
        <v>599.29999999999995</v>
      </c>
      <c r="K52" s="3">
        <f>996.8+(317.6-705.3)+(-2.033472+(-0.647904--1.438812))+0-0-0</f>
        <v>607.85743600000001</v>
      </c>
      <c r="L52" s="3">
        <f>841.4+(306.3-556.3)+(-1.287342+(-0.468639--0.851139))+0-0-0</f>
        <v>590.49515800000006</v>
      </c>
      <c r="M52" s="3">
        <f>901.8+(249.8-550.9)+(0+(0-0))+0-0-0</f>
        <v>600.70000000000005</v>
      </c>
      <c r="N52" s="3">
        <f>1003+(219-556.3)+(1.02306+(0.22338-0.567426))+0-0-0</f>
        <v>666.3790140000001</v>
      </c>
      <c r="O52" s="3">
        <f>995.3+(256.9-527.5)+(-0.507603+(-0.131019--0.269025))+0-0-0</f>
        <v>724.33040299999993</v>
      </c>
      <c r="P52" s="3">
        <f>999+(260.2-502)+(1.01898+(0.265404-0.51204))+0-0-0</f>
        <v>757.97234400000002</v>
      </c>
      <c r="Q52" s="3">
        <f>999.1+(289.2-516.8)+(1.019082+(0.294984-0.527136))+0-0-0</f>
        <v>772.28692999999998</v>
      </c>
      <c r="R52" s="3">
        <f>992.4+(419.5-643.5)+(-1.518372+(-0.641835--0.984555))+0-0-0</f>
        <v>767.22434799999996</v>
      </c>
      <c r="S52" s="3">
        <f>994+(458.7-699.6)+(-0.50694+(-0.233937--0.356796))+0-0-0</f>
        <v>752.71591899999987</v>
      </c>
      <c r="T52" s="3">
        <f>979.3+(482.3-712.6)+(-1.498329+(-0.737919--1.090278))+0-0-0</f>
        <v>747.85402999999997</v>
      </c>
      <c r="U52" s="3">
        <f>989.5+(488.1-717.1)+(-2.01858+(-0.995724--1.462884))+0-0-0</f>
        <v>758.94857999999999</v>
      </c>
      <c r="V52" s="3">
        <f>988.8+(480.1-704)+(-2.017152+(-0.979404--1.43616))+0-0-0</f>
        <v>763.33960400000001</v>
      </c>
      <c r="W52" s="3">
        <f>985.3+(452.2-675.8)+(-3.015018+(-1.383732--2.067948))+0-0-0</f>
        <v>759.3691980000001</v>
      </c>
      <c r="X52" s="3">
        <f>986.3+(431.6-657.5)+(-2.012052+(-0.880464--1.3413))+0-0-0</f>
        <v>758.84878400000002</v>
      </c>
      <c r="Y52" s="3">
        <f>950.5+(408.7-583.9)+(-0.96951+(-0.416874--0.595578))+0-0-0</f>
        <v>774.50919399999998</v>
      </c>
      <c r="Z52" s="3">
        <f>992.5+(412.3-473.2)+(-0.506175+(-0.210273--0.241332))+0-0-0</f>
        <v>931.12488400000007</v>
      </c>
      <c r="AA52" s="3">
        <f>997.4+(483.6-485.8)+(-1.526022+(-0.739908--0.743274))+0-0-0</f>
        <v>993.67734400000006</v>
      </c>
      <c r="AB52" s="3">
        <f>1000.9+(464.8-502.7)+(-1.531377+(-0.711144--0.769131))+0-0-0</f>
        <v>961.52661000000001</v>
      </c>
      <c r="AC52" s="3">
        <f>994+(431-550.5)+(-2.02776+(-0.87924--1.12302))+0-0-0</f>
        <v>872.71601999999996</v>
      </c>
      <c r="AD52">
        <f t="shared" si="0"/>
        <v>17758.859536000004</v>
      </c>
      <c r="AE52" s="3">
        <f>997+(493.9-496.8)+(0+(0-0))+0-0-0</f>
        <v>994.09999999999991</v>
      </c>
    </row>
    <row r="53" spans="1:31" s="2" customFormat="1" x14ac:dyDescent="0.25">
      <c r="A53">
        <v>89</v>
      </c>
      <c r="B53">
        <v>2</v>
      </c>
      <c r="C53">
        <v>22</v>
      </c>
      <c r="D53">
        <v>5</v>
      </c>
      <c r="E53">
        <v>1</v>
      </c>
      <c r="F53" s="3">
        <f>985.2+(403.6-621.1)+(-0.502452+(-0.205836--0.316761))+0-0-0</f>
        <v>767.30847300000005</v>
      </c>
      <c r="G53" s="3">
        <f>968.7+(409.1-689.4)+(-1.976148+(-0.834564--1.406376))+0-0-0</f>
        <v>686.99566400000015</v>
      </c>
      <c r="H53" s="3">
        <f>971.9+(362.8-684.7)+(-2.478345+(-0.92514--1.745985))+0-0-0</f>
        <v>648.34249999999997</v>
      </c>
      <c r="I53" s="3">
        <f>979+(326-674)+(-1.49787+(-0.49878--1.03122))+0-0-0</f>
        <v>630.03457000000003</v>
      </c>
      <c r="J53" s="3">
        <f>960.4+(342.2-677.2)+(-0.979608+(-0.349044--0.690744))+0-0-0</f>
        <v>624.76209199999983</v>
      </c>
      <c r="K53" s="3">
        <f>1001.8+(325.1-693.6)+(-0.510918+(-0.165801--0.353736))+0-0-0</f>
        <v>632.97701699999993</v>
      </c>
      <c r="L53" s="3">
        <f>882.5+(312.3-573.8)+(-1.8003+(-0.637092--1.170552))+0-0-0</f>
        <v>619.73316</v>
      </c>
      <c r="M53" s="3">
        <f>954.9+(257-564.4)+(-1.460997+(-0.39321--0.863532))+0-0-0</f>
        <v>646.50932499999999</v>
      </c>
      <c r="N53" s="3">
        <f>997.7+(258.8-539.8)+(0+(0-0))+0-0-0</f>
        <v>716.7</v>
      </c>
      <c r="O53" s="3">
        <f>984.5+(234.6-478.7)+(-1.00419+(-0.239292--0.488274))+0-0-0</f>
        <v>739.64479199999994</v>
      </c>
      <c r="P53" s="3">
        <f>991.4+(227.7-448.2)+(-1.011228+(-0.232254--0.457164))+0-0-0</f>
        <v>770.11368199999993</v>
      </c>
      <c r="Q53" s="3">
        <f>970.9+(286.9-451.8)+(0+(0-0))+0-0-0</f>
        <v>806</v>
      </c>
      <c r="R53" s="3">
        <f>968.9+(358-492)+(-0.988278+(-0.36516--0.50184))+0-0-0</f>
        <v>834.04840200000001</v>
      </c>
      <c r="S53" s="3">
        <f>972.8+(399.9-601.6)+(-0.992256+(-0.407898--0.613632))+0-0-0</f>
        <v>770.31347799999992</v>
      </c>
      <c r="T53" s="3">
        <f>979.7+(424.7-644.5)+(-0.499647+(-0.216597--0.328695))+0-0-0</f>
        <v>759.51245100000006</v>
      </c>
      <c r="U53" s="3">
        <f>992.4+(413.7-663.4)+(-1.518372+(-0.632961--1.015002))+0-0-0</f>
        <v>741.563669</v>
      </c>
      <c r="V53" s="3">
        <f>1000.3+(450.7-702.1)+(-0.510153+(-0.229857--0.358071))+0-0-0</f>
        <v>748.51806099999988</v>
      </c>
      <c r="W53" s="3">
        <f>1003.1+(441.9-669.9)+(-3.069486+(-1.352214--2.049894))+0-0-0</f>
        <v>772.72819400000003</v>
      </c>
      <c r="X53" s="3">
        <f>975.4+(378.4-572.5)+(-1.989816+(-0.771936--1.1679))+0-0-0</f>
        <v>779.70614799999998</v>
      </c>
      <c r="Y53" s="3">
        <f>954.4+(398-528.2)+(-1.460232+(-0.60894--0.808146))+0-0-0</f>
        <v>822.93897399999992</v>
      </c>
      <c r="Z53" s="3">
        <f>954.4+(439.3-471.3)+(-1.946976+(-0.896172--0.961452))+0-0-0</f>
        <v>920.51830399999994</v>
      </c>
      <c r="AA53" s="3">
        <f>963.5+(455.4-470.1)+(-1.96554+(-0.929016--0.959004))+0-0-0</f>
        <v>946.86444799999992</v>
      </c>
      <c r="AB53" s="3">
        <f>965.8+(449.2-507.5)+(-0.985116+(-0.458184--0.51765))+0-0-0</f>
        <v>906.57434999999998</v>
      </c>
      <c r="AC53" s="3">
        <f>980.2+(429.5-577.3)+(-2.49951+(-1.095225--1.472115))+0-0-0</f>
        <v>830.27738000000011</v>
      </c>
      <c r="AD53">
        <f t="shared" si="0"/>
        <v>18122.685133999996</v>
      </c>
      <c r="AE53" s="3">
        <f>967+(472.1-482.2)+(0+(0-0))+0-0-0</f>
        <v>956.90000000000009</v>
      </c>
    </row>
    <row r="54" spans="1:31" s="2" customFormat="1" x14ac:dyDescent="0.25">
      <c r="A54">
        <v>89</v>
      </c>
      <c r="B54">
        <v>2</v>
      </c>
      <c r="C54">
        <v>23</v>
      </c>
      <c r="D54">
        <v>6</v>
      </c>
      <c r="E54">
        <v>1</v>
      </c>
      <c r="F54" s="3">
        <f>930.4+(428.9-634.8)+(-3.796032+(-1.749912--2.589984))+0-0-0</f>
        <v>721.54404</v>
      </c>
      <c r="G54" s="3">
        <f>932.7+(422.4-694.9)+(-2.378385+(-1.07712--1.771995))+0-0-0</f>
        <v>658.51649000000009</v>
      </c>
      <c r="H54" s="3">
        <f>942.2+(398.1-718.2)+(-0.480522+(-0.203031--0.366282))+0-0-0</f>
        <v>621.78272900000002</v>
      </c>
      <c r="I54" s="3">
        <f>937.2+(390.6-716.7)+(-2.38986+(-0.99603--1.827585))+0-0-0</f>
        <v>609.541695</v>
      </c>
      <c r="J54" s="3">
        <f>943.9+(370.4-711.5)+(0+(0-0))+0-0-0</f>
        <v>602.79999999999995</v>
      </c>
      <c r="K54" s="3">
        <f>939.1+(356.4-682.7)+(-2.394705+(-0.90882--1.740885))+0-0-0</f>
        <v>611.23735999999997</v>
      </c>
      <c r="L54" s="3">
        <f>853+(321-576.3)+(-0.87006+(-0.32742--0.587826))+0-0-0</f>
        <v>597.09034600000007</v>
      </c>
      <c r="M54" s="3">
        <f>931.6+(273.1-583.6)+(0+(0-0))+0-0-0</f>
        <v>621.1</v>
      </c>
      <c r="N54" s="3">
        <f>991.2+(282.1-580.9)+(-0.505512+(-0.143871--0.296259))+0-0-0</f>
        <v>692.04687600000011</v>
      </c>
      <c r="O54" s="3">
        <f>982.6+(314-542.3)+(0+(0-0))+0-0-0</f>
        <v>754.30000000000007</v>
      </c>
      <c r="P54" s="3">
        <f>969+(305.2-487.2)+(-0.98838+(-0.311304--0.496944))+0-0-0</f>
        <v>786.19726000000003</v>
      </c>
      <c r="Q54" s="3">
        <f>994.1+(375.8-564.9)+(0+(0-0))+0-0-0</f>
        <v>805</v>
      </c>
      <c r="R54" s="3">
        <f>968.1+(451.4-633.3)+(-1.974924+(-0.920856--1.291932))+0-0-0</f>
        <v>784.59615200000007</v>
      </c>
      <c r="S54" s="3">
        <f>973.6+(478.3-687.6)+(-0.496536+(-0.243933--0.350676))+0-0-0</f>
        <v>763.9102069999999</v>
      </c>
      <c r="T54" s="3">
        <f>969.4+(360.7-571.3)+(-1.483182+(-0.551871--0.874089))+0-0-0</f>
        <v>757.63903599999992</v>
      </c>
      <c r="U54" s="3">
        <f>961.9+(366.4-563)+(-0.981138+(-0.373728--0.57426))+0-0-0</f>
        <v>764.51939399999992</v>
      </c>
      <c r="V54" s="3">
        <f>954.8+(392.3-575)+(-2.43474+(-1.000365--1.46625))+0-0-0</f>
        <v>770.13114499999995</v>
      </c>
      <c r="W54" s="3">
        <f>941.9+(432.5-613.9)+(-1.441107+(-0.661725--0.939267))+0-0-0</f>
        <v>759.33643500000005</v>
      </c>
      <c r="X54" s="3">
        <f>935.5+(404.3-582)+(-1.90842+(-0.824772--1.18728))+0-0-0</f>
        <v>756.25408799999991</v>
      </c>
      <c r="Y54" s="3">
        <f>922+(417.7-548.5)+(-1.88088+(-0.852108--1.11894))+0-0-0</f>
        <v>789.58595200000002</v>
      </c>
      <c r="Z54" s="3">
        <f>956.7+(474.2-500.4)+(-1.951668+(-0.967368--1.020816))+0-0-0</f>
        <v>928.60177999999996</v>
      </c>
      <c r="AA54" s="3">
        <f>952.8+(549.4-507.3)+(-1.943712+(-1.120776--1.034892))+0-0-0</f>
        <v>992.87040399999989</v>
      </c>
      <c r="AB54" s="3">
        <f>951.9+(497.7-496.6)+(-2.427345+(-1.269135--1.26633))+0-0-0</f>
        <v>950.56984999999997</v>
      </c>
      <c r="AC54" s="3">
        <f>886.8+(398.2-417.6)+(-1.356804+(-0.609246--0.638928))+0-0-0</f>
        <v>866.07287799999983</v>
      </c>
      <c r="AD54">
        <f t="shared" si="0"/>
        <v>17965.244116999998</v>
      </c>
      <c r="AE54" s="3">
        <f>979+(522.7-488.3)+(0+(0-0))+0-0-0</f>
        <v>1013.4000000000001</v>
      </c>
    </row>
    <row r="55" spans="1:31" s="2" customFormat="1" x14ac:dyDescent="0.25">
      <c r="A55">
        <v>89</v>
      </c>
      <c r="B55">
        <v>2</v>
      </c>
      <c r="C55">
        <v>24</v>
      </c>
      <c r="D55">
        <v>7</v>
      </c>
      <c r="E55">
        <v>1</v>
      </c>
      <c r="F55" s="3">
        <f>732.4+(534.3-506.3)+(-0.373524+(-0.272493--0.258213))+0-0-0</f>
        <v>760.0121959999999</v>
      </c>
      <c r="G55" s="3">
        <f>687+(563.1-573.2)+(-1.05111+(-0.861543--0.876996))+0-0-0</f>
        <v>675.86434299999996</v>
      </c>
      <c r="H55" s="3">
        <f>686.8+(544.2-594.7)+(0+(0-0))+0-0-0</f>
        <v>636.29999999999995</v>
      </c>
      <c r="I55" s="3">
        <f>673.1+(545.4-602.5)+(-0.686562+(-0.556308--0.61455))+0-0-0</f>
        <v>615.37167999999997</v>
      </c>
      <c r="J55" s="3">
        <f>673+(551-615.8)+(-0.34323+(-0.28101--0.314058))+0-0-0</f>
        <v>607.88981799999999</v>
      </c>
      <c r="K55" s="3">
        <f>605.1+(558.1-556.3)+(-3.703212+(-3.415572--3.404556))+0-0-0</f>
        <v>603.18577200000004</v>
      </c>
      <c r="L55" s="3">
        <f>488+(574.3-484.9)+(-1.99104+(-2.343144--1.978392))+0-0-0</f>
        <v>575.04420800000003</v>
      </c>
      <c r="M55" s="3">
        <f>509.2+(551.8-496)+(-0.259692+(-0.281418--0.25296))+0-0-0</f>
        <v>564.71185000000003</v>
      </c>
      <c r="N55" s="3">
        <f>664.4+(486.5-538.8)+(-0.677688+(-0.49623--0.549576))+0-0-0</f>
        <v>611.47565800000007</v>
      </c>
      <c r="O55" s="3">
        <f>651.6+(535.6-519.6)+(-0.996948+(-0.819468--0.794988))+0-0-0</f>
        <v>666.57857200000001</v>
      </c>
      <c r="P55" s="3">
        <f>665.7+(529.8-485.7)+(-0.339507+(-0.270198--0.247707))+0-0-0</f>
        <v>709.43800199999998</v>
      </c>
      <c r="Q55" s="3">
        <f>659.4+(572.1-501.3)+(-1.345176+(-1.167084--1.022652))+0-0-0</f>
        <v>728.71039200000007</v>
      </c>
      <c r="R55" s="3">
        <f>636.2+(599.4-533.9)+(-0.648924+(-0.611388--0.544578))+0-0-0</f>
        <v>700.98426600000005</v>
      </c>
      <c r="S55" s="3">
        <f>629.9+(633.2-552.1)+(-1.284996+(-1.291728--1.126284))+0-0-0</f>
        <v>709.54956000000004</v>
      </c>
      <c r="T55" s="3">
        <f>633.7+(659.5-592.7)+(0+(0-0))+0-0-0</f>
        <v>700.5</v>
      </c>
      <c r="U55" s="3">
        <f>647.3+(696.3-640.8)+(-0.660246+(-0.710226--0.653616))+0-0-0</f>
        <v>702.08314399999995</v>
      </c>
      <c r="V55" s="3">
        <f>658.2+(670.8-629.8)+(-1.67841+(-1.71054--1.60599))+0-0-0</f>
        <v>697.41704000000004</v>
      </c>
      <c r="W55" s="3">
        <f>659.3+(647.6-594.8)+(-2.017458+(-1.981656--1.820088))+0-0-0</f>
        <v>709.920974</v>
      </c>
      <c r="X55" s="3">
        <f>586+(669.3-533.9)+(-0.59772+(-0.682686--0.544578))+0-0-0</f>
        <v>720.66417200000001</v>
      </c>
      <c r="Y55" s="3">
        <f>523.9+(676.6-463)+(-1.068756+(-1.380264--0.94452))+0-0-0</f>
        <v>735.99549999999999</v>
      </c>
      <c r="Z55" s="3">
        <f>643.4+(661.3-462)+(-0.656268+(-0.674526--0.47124))+0-0-0</f>
        <v>841.84044599999993</v>
      </c>
      <c r="AA55" s="3">
        <f>662.9+(701.8-468.4)+(-1.014237+(-1.073754--0.716652))+0-0-0</f>
        <v>894.92866099999992</v>
      </c>
      <c r="AB55" s="3">
        <f>661.4+(697.7-492.5)+(-1.68657+(-1.779135--1.255875))+0-0-0</f>
        <v>864.39017000000001</v>
      </c>
      <c r="AC55" s="3">
        <f>647.9+(640.7-496.9)+(-0.330429+(-0.326757--0.253419))+0-0-0</f>
        <v>791.29623300000003</v>
      </c>
      <c r="AD55">
        <f t="shared" si="0"/>
        <v>16824.152657000002</v>
      </c>
      <c r="AE55" s="3">
        <f>664+(705.7-481.7)+(0+(0-0))+0-0-0</f>
        <v>888</v>
      </c>
    </row>
    <row r="56" spans="1:31" s="2" customFormat="1" x14ac:dyDescent="0.25">
      <c r="A56">
        <v>89</v>
      </c>
      <c r="B56">
        <v>2</v>
      </c>
      <c r="C56">
        <v>25</v>
      </c>
      <c r="D56">
        <v>1</v>
      </c>
      <c r="E56">
        <v>1</v>
      </c>
      <c r="F56" s="3">
        <f>575.6+(626.2-524.9)+(-0.293556+(-0.319362--0.267699))+0-0-0</f>
        <v>676.55478100000005</v>
      </c>
      <c r="G56" s="3">
        <f>555.4+(583.2-525.1)+(-0.283254+(-0.297432--0.267801))+0-0-0</f>
        <v>613.18711499999995</v>
      </c>
      <c r="H56" s="3">
        <f>524.7+(550.5-487.7)+(0.267597+(0.280755-0.248727))+0-0-0</f>
        <v>587.79962499999999</v>
      </c>
      <c r="I56" s="3">
        <f>475.4+(570.4-477.2)+(-0.969816+(-1.163616--0.973488))+0-0-0</f>
        <v>567.44005599999991</v>
      </c>
      <c r="J56" s="3">
        <f>510.5+(530.2-479.5)+(0.781065+(0.811206-0.733635))+0-0-0</f>
        <v>562.05863600000009</v>
      </c>
      <c r="K56" s="3">
        <f>516.4+(519.9-476)+(-0.526728+(-0.530298--0.48552))+0-0-0</f>
        <v>559.72849399999996</v>
      </c>
      <c r="L56" s="3">
        <f>520.3+(498.1-469)+(0.265353+(0.254031-0.23919))+0-0-0</f>
        <v>549.68019400000003</v>
      </c>
      <c r="M56" s="3">
        <f>572.2+(459.9-442.1)+(-0.583644+(-0.469098--0.450942))+0-0-0</f>
        <v>589.39819999999997</v>
      </c>
      <c r="N56" s="3">
        <f>577.9+(561.5-475.3)+(-0.294729+(-0.286365--0.242403))+0-0-0</f>
        <v>663.76130899999987</v>
      </c>
      <c r="O56" s="3">
        <f>535.8+(706.4-515.4)+(-0.546516+(-0.720528--0.525708))+0-0-0</f>
        <v>726.05866399999991</v>
      </c>
      <c r="P56" s="3">
        <f>620.8+(629-486.9)+(-0.633216+(-0.64158--0.496638))+0-0-0</f>
        <v>762.12184200000002</v>
      </c>
      <c r="Q56" s="3">
        <f>681.8+(577.9-469.7)+(0+(0-0))+0-0-0</f>
        <v>790</v>
      </c>
      <c r="R56" s="3">
        <f>662.4+(574-458.9)+(-1.013472+(-0.87822--0.702117))+0-0-0</f>
        <v>776.31042500000001</v>
      </c>
      <c r="S56" s="3">
        <f>660.5+(628.2-528.2)+(-1.010565+(-0.961146--0.808146))+0-0-0</f>
        <v>759.33643500000005</v>
      </c>
      <c r="T56" s="3">
        <f>661.5+(615.6-527.3)+(-1.34946+(-1.255824--1.075692))+0-0-0</f>
        <v>748.27040800000009</v>
      </c>
      <c r="U56" s="3">
        <f>671.3+(634.1-538)+(0+(0-0))+0-0-0</f>
        <v>767.4</v>
      </c>
      <c r="V56" s="3">
        <f>660.1+(631.8-520.9)+(-0.336651+(-0.322218--0.265659))+0-0-0</f>
        <v>770.60679000000005</v>
      </c>
      <c r="W56" s="3">
        <f>642.2+(642.6-511.5)+(-1.965132+(-1.966356--1.56519))+0-0-0</f>
        <v>770.93370200000004</v>
      </c>
      <c r="X56" s="3">
        <f>653.3+(592.2-480.8)+(-0.666366+(-0.604044--0.490416))+0-0-0</f>
        <v>763.92000600000006</v>
      </c>
      <c r="Y56" s="3">
        <f>556.9+(713.1-501.1)+(-1.136076+(-1.454724--1.022244))+0-0-0</f>
        <v>767.33144400000003</v>
      </c>
      <c r="Z56" s="3">
        <f>565.8+(802-465.7)+(-0.865674+(-1.22706--0.712521))+0-0-0</f>
        <v>900.71978699999988</v>
      </c>
      <c r="AA56" s="3">
        <f>648.4+(775.1-441.8)+(-0.992052+(-1.185903--0.675954))+0-0-0</f>
        <v>980.1979990000001</v>
      </c>
      <c r="AB56" s="3">
        <f>658.3+(759.3-466.6)+(-1.007199+(-1.161729--0.713898))+0-0-0</f>
        <v>949.54496999999992</v>
      </c>
      <c r="AC56" s="3">
        <f>707.7+(636.2-493.1)+(-0.721854+(-0.648924--0.502962))+0-0-0</f>
        <v>849.93218400000012</v>
      </c>
      <c r="AD56">
        <f t="shared" si="0"/>
        <v>17452.293065999998</v>
      </c>
      <c r="AE56" s="3">
        <f>653+(742.4-416.3)+(0+(0-0))+0-0-0</f>
        <v>979.09999999999991</v>
      </c>
    </row>
    <row r="57" spans="1:31" s="2" customFormat="1" x14ac:dyDescent="0.25">
      <c r="A57">
        <v>89</v>
      </c>
      <c r="B57">
        <v>2</v>
      </c>
      <c r="C57">
        <v>26</v>
      </c>
      <c r="D57">
        <v>2</v>
      </c>
      <c r="E57">
        <v>1</v>
      </c>
      <c r="F57" s="3">
        <f>688.6+(559.5-512.5)+(-1.053558+(-0.856035--0.784125))+0-0-0</f>
        <v>734.47453200000007</v>
      </c>
      <c r="G57" s="3">
        <f>737+(418.4-497.7)+(-1.12761+(-0.640152--0.761481))+0-0-0</f>
        <v>656.6937190000001</v>
      </c>
      <c r="H57" s="3">
        <f>774.5+(324.7-468.3)+(-1.974975+(-0.827985--1.194165))+0-0-0</f>
        <v>629.29120499999999</v>
      </c>
      <c r="I57" s="3">
        <f>696.4+(394.3-478.8)+(-1.065492+(-0.603279--0.732564))+0-0-0</f>
        <v>610.96379300000001</v>
      </c>
      <c r="J57" s="3">
        <f>679.4+(425.5-498.9)+(-1.385976+(-0.86802--1.017756))+0-0-0</f>
        <v>604.76376000000005</v>
      </c>
      <c r="K57" s="3">
        <f>555.5+(520.4-475.5)+(-0.849915+(-0.796212--0.727515))+0-0-0</f>
        <v>599.48138799999992</v>
      </c>
      <c r="L57" s="3">
        <f>510.3+(541.4-483.9)+(-0.780759+(-0.828342--0.740367))+0-0-0</f>
        <v>566.93126599999994</v>
      </c>
      <c r="M57" s="3">
        <f>683.5+(417.3-495.6)+(-0.348585+(-0.212823--0.252756))+0-0-0</f>
        <v>604.89134799999999</v>
      </c>
      <c r="N57" s="3">
        <f>862.2+(321.9-499.7)+(-1.319166+(-0.492507--0.764541))+0-0-0</f>
        <v>683.35286800000006</v>
      </c>
      <c r="O57" s="3">
        <f>976+(305.7-515.7)+(-1.49328+(-0.467721--0.789021))+0-0-0</f>
        <v>764.82802000000004</v>
      </c>
      <c r="P57" s="3">
        <f>935.9+(336.2-480.1)+(-0.954618+(-0.342924--0.489702))+0-0-0</f>
        <v>791.19215999999994</v>
      </c>
      <c r="Q57" s="3">
        <f>980.3+(329.8-505.9)+(0+(0-0))+0-0-0</f>
        <v>804.2</v>
      </c>
      <c r="R57" s="3">
        <f>981.2+(316.2-498.4)+(-1.501236+(-0.483786--0.762552))+0-0-0</f>
        <v>797.77752999999996</v>
      </c>
      <c r="S57" s="3">
        <f>985.2+(427.9-627.3)+(0+(0-0))+0-0-0</f>
        <v>785.80000000000007</v>
      </c>
      <c r="T57" s="3">
        <f>996.9+(567.2-794.3)+(0+(0-0))+0-0-0</f>
        <v>769.80000000000007</v>
      </c>
      <c r="U57" s="3">
        <f>984.1+(566.3-784.6)+(-1.505673+(-0.866439--1.200438))+0-0-0</f>
        <v>764.6283259999999</v>
      </c>
      <c r="V57" s="3">
        <f>984.5+(555.3-759.6)+(-2.510475+(-1.416015--1.93698))+0-0-0</f>
        <v>778.21048999999994</v>
      </c>
      <c r="W57" s="3">
        <f>982.2+(507.9-702.3)+(-2.50461+(-1.295145--1.790865))+0-0-0</f>
        <v>785.79111000000012</v>
      </c>
      <c r="X57" s="3">
        <f>869.4+(544.8-638.1)+(-2.21697+(-1.38924--1.627155))+0-0-0</f>
        <v>774.12094499999989</v>
      </c>
      <c r="Y57" s="3">
        <f>905.7+(523.5-555.4)+(-1.385721+(-0.800955--0.849762))+0-0-0</f>
        <v>872.46308600000009</v>
      </c>
      <c r="Z57" s="3">
        <f>933.7+(499.6-511)+(-1.904748+(-1.019184--1.04244))+0-0-0</f>
        <v>920.41850800000009</v>
      </c>
      <c r="AA57" s="3">
        <f>988.6+(554.6-514.1)+(-2.016744+(-1.131384--1.048764))+0-0-0</f>
        <v>1027.000636</v>
      </c>
      <c r="AB57" s="3">
        <f>990.2+(511-507)+(0+(0-0))+0-0-0</f>
        <v>994.2</v>
      </c>
      <c r="AC57" s="3">
        <f>918.8+(500.4-518.6)+(0+(0-0))+0-0-0</f>
        <v>900.59999999999991</v>
      </c>
      <c r="AD57">
        <f t="shared" si="0"/>
        <v>18221.874689999997</v>
      </c>
      <c r="AE57" s="3">
        <f>992+(579.6-522)+(0+(0-0))+0-0-0</f>
        <v>1049.5999999999999</v>
      </c>
    </row>
    <row r="58" spans="1:31" s="2" customFormat="1" x14ac:dyDescent="0.25">
      <c r="A58">
        <v>89</v>
      </c>
      <c r="B58">
        <v>2</v>
      </c>
      <c r="C58">
        <v>27</v>
      </c>
      <c r="D58">
        <v>3</v>
      </c>
      <c r="E58">
        <v>5</v>
      </c>
      <c r="F58" s="3">
        <f>879.3+(522.7-616)+(-0.448443+(-0.266577--0.31416))+0-0-0</f>
        <v>785.59914000000003</v>
      </c>
      <c r="G58" s="3">
        <f>795.8+(461.8-557.2)+(-0.405858+(-0.235518--0.284172))+0-0-0</f>
        <v>700.04279599999984</v>
      </c>
      <c r="H58" s="3">
        <f>781+(466-583.8)+(-0.39831+(-0.23766--0.297738))+0-0-0</f>
        <v>662.8617680000001</v>
      </c>
      <c r="I58" s="3">
        <f>689.6+(461.5-509.3)+(-1.406784+(-0.94146--1.038972))+0-0-0</f>
        <v>640.49072799999999</v>
      </c>
      <c r="J58" s="3">
        <f>671.9+(463.8-508.3)+(0+(0-0))+0-0-0</f>
        <v>627.4</v>
      </c>
      <c r="K58" s="3">
        <f>663.5+(500.3-536.2)+(-1.691925+(-1.275765--1.36731))+0-0-0</f>
        <v>625.99961999999994</v>
      </c>
      <c r="L58" s="3">
        <f>636.7+(484.6-514.1)+(-0.324717+(-0.247146--0.262191))+0-0-0</f>
        <v>606.89032800000007</v>
      </c>
      <c r="M58" s="3">
        <f>560.3+(514.6-461.6)+(0.571506+(0.524892-0.470832))+0-0-0</f>
        <v>613.925566</v>
      </c>
      <c r="N58" s="3">
        <f>614.1+(522.1-472.4)+(-0.939573+(-0.798813--0.722772))+0-0-0</f>
        <v>662.78438600000004</v>
      </c>
      <c r="O58" s="3">
        <f>811.3+(419.9-497.5)+(0+(0-0))+0-0-0</f>
        <v>733.69999999999993</v>
      </c>
      <c r="P58" s="3">
        <f>871.2+(426-521.5)+(-1.777248+(-0.86904--1.06386))+0-0-0</f>
        <v>774.117572</v>
      </c>
      <c r="Q58" s="3">
        <f>871.7+(416.4-490.3)+(-1.778268+(-0.849456--1.000212))+0-0-0</f>
        <v>796.17248799999993</v>
      </c>
      <c r="R58" s="3">
        <f>871.1+(503-570.9)+(-1.777044+(-1.02612--1.164636))+0-0-0</f>
        <v>801.56147200000009</v>
      </c>
      <c r="S58" s="3">
        <f>876.7+(578.7-674.9)+(0+(0-0))+0-0-0</f>
        <v>780.50000000000011</v>
      </c>
      <c r="T58" s="3">
        <f>885.9+(587.1-700.9)+(-1.355427+(-0.898263--1.072377))+0-0-0</f>
        <v>770.91868699999998</v>
      </c>
      <c r="U58" s="3">
        <f>888.2+(603.3-706)+(-0.905964+(-0.615366--0.72012))+0-0-0</f>
        <v>784.69879000000003</v>
      </c>
      <c r="V58" s="3">
        <f>884+(576.7-667.1)+(-1.35252+(-0.882351--1.020663))+0-0-0</f>
        <v>792.38579200000004</v>
      </c>
      <c r="W58" s="3">
        <f>872.1+(601.2-680.2)+(-0.889542+(-0.613224--0.693804))+0-0-0</f>
        <v>792.29103800000007</v>
      </c>
      <c r="X58" s="3">
        <f>823.3+(592.5-638.1)+(-1.679532+(-1.2087--1.301724))+0-0-0</f>
        <v>776.11349199999995</v>
      </c>
      <c r="Y58" s="3">
        <f>795.4+(594.1-610.3)+(0+(0-0))+0-0-0</f>
        <v>779.2</v>
      </c>
      <c r="Z58" s="3">
        <f>877+(569.2-512.6)+(-0.44727+(-0.290292--0.261426))+0-0-0</f>
        <v>933.12386400000003</v>
      </c>
      <c r="AA58" s="3">
        <f>877.3+(674.8-515.8)+(-1.789692+(-1.376592--1.052232))+0-0-0</f>
        <v>1034.1859480000001</v>
      </c>
      <c r="AB58" s="3">
        <f>922.6+(565.1-487.5)+(-0.941052+(-0.576402--0.49725))+0-0-0</f>
        <v>999.17979600000001</v>
      </c>
      <c r="AC58" s="3">
        <f>985.9+(624-686.2)+(-0.502809+(-0.31824--0.349962))+0-0-0</f>
        <v>923.22891299999992</v>
      </c>
      <c r="AD58">
        <f t="shared" si="0"/>
        <v>18397.372184</v>
      </c>
      <c r="AE58" s="3">
        <f>878+(667-512.5)+(0+(0-0))+0-0-0</f>
        <v>1032.5</v>
      </c>
    </row>
    <row r="59" spans="1:31" s="2" customFormat="1" x14ac:dyDescent="0.25">
      <c r="A59">
        <v>89</v>
      </c>
      <c r="B59">
        <v>2</v>
      </c>
      <c r="C59">
        <v>28</v>
      </c>
      <c r="D59">
        <v>4</v>
      </c>
      <c r="E59">
        <v>1</v>
      </c>
      <c r="F59" s="3">
        <f>988.5+(556.5-734.2)+(0+(0-0))+0-0-0</f>
        <v>810.8</v>
      </c>
      <c r="G59" s="3">
        <f>985.4+(434.5-694.5)+(-1.507662+(-0.664785--1.062585))+0-0-0</f>
        <v>724.29013799999996</v>
      </c>
      <c r="H59" s="3">
        <f>934+(415.4-677.4)+(0.47634+(0.211854-0.345474))+0-0-0</f>
        <v>672.34271999999999</v>
      </c>
      <c r="I59" s="3">
        <f>895.5+(412.9-652.5)+(-0.91341+(-0.421158--0.66555))+0-0-0</f>
        <v>655.23098199999993</v>
      </c>
      <c r="J59" s="3">
        <f>895.3+(382.3-635.2)+(0.456603+(0.194973-0.323952))+0-0-0</f>
        <v>642.72762399999988</v>
      </c>
      <c r="K59" s="3">
        <f>890+(354.3-600)+(-1.8156+(-0.722772--1.224))+0-0-0</f>
        <v>642.98562799999991</v>
      </c>
      <c r="L59" s="3">
        <f>805.7+(399-566.8)+(-1.643628+(-0.81396--1.156272))+0-0-0</f>
        <v>636.59868400000005</v>
      </c>
      <c r="M59" s="3">
        <f>821.8+(371-548.6)+(-0.838236+(-0.37842--0.559572))+0-0-0</f>
        <v>643.54291599999988</v>
      </c>
      <c r="N59" s="3">
        <f>1058+(261.7-569.3)+(-1.61874+(-0.400401--0.871029))+0-0-0</f>
        <v>749.25188800000012</v>
      </c>
      <c r="O59" s="3">
        <f>1049.9+(288.7-543.2)+(0.535449+(0.147237-0.277032))+0-0-0</f>
        <v>795.80565400000012</v>
      </c>
      <c r="P59" s="3">
        <f>1078.5+(362-587.2)+(-0.550035+(-0.18462--0.299472))+0-0-0</f>
        <v>852.8648169999999</v>
      </c>
      <c r="Q59" s="3">
        <f>1094+(376.4-586.8)+(0+(0-0))+0-0-0</f>
        <v>883.6</v>
      </c>
      <c r="R59" s="3">
        <f>1073.3+(418-633.2)+(-1.642149+(-0.63954--0.968796))+0-0-0</f>
        <v>856.78710699999988</v>
      </c>
      <c r="S59" s="3">
        <f>1064.8+(550.5-768.8)+(-1.086096+(-0.56151--0.784176))+0-0-0</f>
        <v>845.63657000000001</v>
      </c>
      <c r="T59" s="3">
        <f>1072+(605-830.8)+(0.54672+(0.30855-0.423708))+0-0-0</f>
        <v>846.63156200000003</v>
      </c>
      <c r="U59" s="3">
        <f>1077.5+(610.4-806.1)+(-0.549525+(-0.311304--0.411111))+0-0-0</f>
        <v>881.35028199999999</v>
      </c>
      <c r="V59" s="3">
        <f>1079.4+(587.1-821.7)+(-1.651482+(-0.898263--1.257201))+0-0-0</f>
        <v>843.50745600000005</v>
      </c>
      <c r="W59" s="3">
        <f>1078.6+(479.8-726.9)+(-3.300516+(-1.468188--2.224314))+0-0-0</f>
        <v>828.95560999999998</v>
      </c>
      <c r="X59" s="3">
        <f>1055.5+(411.9-640.7)+(-2.691525+(-1.050345--1.633785))+0-0-0</f>
        <v>824.59191499999997</v>
      </c>
      <c r="Y59" s="3">
        <f>968.9+(412.8-539)+(-0.988278+(-0.421056--0.54978))+0-0-0</f>
        <v>841.84044600000004</v>
      </c>
      <c r="Z59" s="3">
        <f>1075.8+(476-562.7)+(-1.097316+(-0.48552--0.573954))+0-0-0</f>
        <v>988.09111799999994</v>
      </c>
      <c r="AA59" s="3">
        <f>1111.5+(551-579.5)+(-2.834325+(-1.40505--1.477725))+0-0-0</f>
        <v>1080.2383500000001</v>
      </c>
      <c r="AB59" s="3">
        <f>1092.4+(620.4-670.3)+(-1.671372+(-0.949212--1.025559))+0-0-0</f>
        <v>1040.9049749999999</v>
      </c>
      <c r="AC59" s="3">
        <f>1114.3+(574.8-744.6)+(-1.136586+(-0.586296--0.759492))+0-0-0</f>
        <v>943.53660999999988</v>
      </c>
      <c r="AD59">
        <f t="shared" si="0"/>
        <v>19532.113052000001</v>
      </c>
      <c r="AE59" s="3">
        <f>1097+(526.3-576.9)+(0+(0-0))+0-0-0</f>
        <v>1046.4000000000001</v>
      </c>
    </row>
    <row r="60" spans="1:31" s="2" customFormat="1" x14ac:dyDescent="0.25">
      <c r="A60">
        <v>89</v>
      </c>
      <c r="B60">
        <v>2</v>
      </c>
      <c r="C60">
        <v>29</v>
      </c>
      <c r="D60">
        <v>5</v>
      </c>
      <c r="E60">
        <v>1</v>
      </c>
      <c r="F60" s="3">
        <f>1107.1+(487.4-782)+(-1.693863+(-0.745722--1.19646))+0-0-0</f>
        <v>811.25687499999992</v>
      </c>
      <c r="G60" s="3">
        <f>1112.1+(448.5-821.3)+(0.567171+(0.228735-0.418863))+0-0-0</f>
        <v>739.67704299999991</v>
      </c>
      <c r="H60" s="3">
        <f>1105+(426.2-833.8)+(-1.69065+(-0.652086--1.275714))+0-0-0</f>
        <v>696.33297800000014</v>
      </c>
      <c r="I60" s="3">
        <f>1032.7+(361.2-724.5)+(-1.580031+(-0.552636--1.108485))+0-0-0</f>
        <v>668.37581800000009</v>
      </c>
      <c r="J60" s="3">
        <f>1002.3+(309.9-654.7)+(0.511173+(0.158049-0.333897))+0-0-0</f>
        <v>657.8353249999999</v>
      </c>
      <c r="K60" s="3">
        <f>899.6+(323-571.3)+(-2.29398+(-0.82365--1.456815))+0-0-0</f>
        <v>649.63918500000011</v>
      </c>
      <c r="L60" s="3">
        <f>724.2+(401.2-506.4)+(0+(0-0))+0-0-0</f>
        <v>619</v>
      </c>
      <c r="M60" s="3">
        <f>973.3+(272.9-586.1)+(-1.489149+(-0.417537--0.896733))+0-0-0</f>
        <v>659.09004699999991</v>
      </c>
      <c r="N60" s="3">
        <f>1070.5+(298.6-591.3)+(-1.09191+(-0.304572--0.603126))+0-0-0</f>
        <v>777.00664400000005</v>
      </c>
      <c r="O60" s="3">
        <f>1098.7+(313.5-598.7)+(-0.560337+(-0.159885--0.305337))+0-0-0</f>
        <v>813.08511499999997</v>
      </c>
      <c r="P60" s="3">
        <f>1093.6+(395.4-626.6)+(-1.115472+(-0.403308--0.639132))+0-0-0</f>
        <v>861.52035199999989</v>
      </c>
      <c r="Q60" s="3">
        <f>1092.7+(382.8-599.7)+(-1.114554+(-0.390456--0.611694))+0-0-0</f>
        <v>874.90668399999993</v>
      </c>
      <c r="R60" s="3">
        <f>1109.6+(415.1-655.3)+(0+(0-0))+0-0-0</f>
        <v>869.4</v>
      </c>
      <c r="S60" s="3">
        <f>1052.2+(432.8-646.5)+(-2.146488+(-0.882912--1.31886))+0-0-0</f>
        <v>836.78945999999996</v>
      </c>
      <c r="T60" s="3">
        <f>1060.3+(456.2-670.6)+(0+(0-0))+0-0-0</f>
        <v>845.89999999999986</v>
      </c>
      <c r="U60" s="3">
        <f>1057.3+(470.5-687.2)+(-1.617669+(-0.719865--1.051416))+0-0-0</f>
        <v>839.31388199999992</v>
      </c>
      <c r="V60" s="3">
        <f>1054+(497.8-702.6)+(-2.15016+(-1.015512--1.433304))+0-0-0</f>
        <v>847.46763200000009</v>
      </c>
      <c r="W60" s="3">
        <f>1041.2+(531.6-720.3)+(-2.124048+(-1.084464--1.469412))+0-0-0</f>
        <v>850.76090000000011</v>
      </c>
      <c r="X60" s="3">
        <f>1032.3+(527.2-690.5)+(-2.632365+(-1.34436--1.760775))+0-0-0</f>
        <v>866.78404999999998</v>
      </c>
      <c r="Y60" s="3">
        <f>1000.3+(489.5-581.8)+(-1.020306+(-0.49929--0.593436))+0-0-0</f>
        <v>907.07384000000002</v>
      </c>
      <c r="Z60" s="3">
        <f>1097.8+(524.5-586.8)+(-0.559878+(-0.267495--0.299268))+0-0-0</f>
        <v>1034.9718949999999</v>
      </c>
      <c r="AA60" s="3">
        <f>1088.3+(573.7-571.7)+(-1.665099+(-0.877761--0.874701))+0-0-0</f>
        <v>1088.6318409999999</v>
      </c>
      <c r="AB60" s="3">
        <f>1076.4+(628.3-644.4)+(-2.74482+(-1.602165--1.64322))+0-0-0</f>
        <v>1057.5962350000002</v>
      </c>
      <c r="AC60" s="3">
        <f>1076.4+(595.5-709.6)+(-2.195856+(-1.21482--1.447584))+0-0-0</f>
        <v>960.33690800000011</v>
      </c>
      <c r="AD60">
        <f t="shared" si="0"/>
        <v>19832.752708999997</v>
      </c>
      <c r="AE60" s="3">
        <f>1090+(570.9-690.5)+(0+(0-0))+0-0-0</f>
        <v>970.4</v>
      </c>
    </row>
    <row r="61" spans="1:31" s="2" customFormat="1" x14ac:dyDescent="0.25">
      <c r="A61">
        <v>89</v>
      </c>
      <c r="B61">
        <v>2</v>
      </c>
      <c r="C61">
        <v>30</v>
      </c>
      <c r="D61">
        <v>6</v>
      </c>
      <c r="E61">
        <v>1</v>
      </c>
      <c r="F61" s="3">
        <f>1068+(522.8-752.6)+(-4.35744+(-2.133024--3.070608))+0-0-0</f>
        <v>834.78014399999995</v>
      </c>
      <c r="G61" s="3">
        <f>1075.9+(436.5-768.2)+(-1.646127+(-0.667845--1.175346))+0-0-0</f>
        <v>743.061374</v>
      </c>
      <c r="H61" s="3">
        <f>1076.3+(422.8-793.4)+(-1.097826+(-0.431256--0.809268))+0-0-0</f>
        <v>704.980186</v>
      </c>
      <c r="I61" s="3">
        <f>1074.3+(408.8-791.8)+(-2.191572+(-0.833952--1.615272))+0-0-0</f>
        <v>689.88974799999994</v>
      </c>
      <c r="J61" s="3">
        <f>1084+(423.7-823.5)+(1.10568+(0.432174-0.83997))+0-0-0</f>
        <v>684.89788400000009</v>
      </c>
      <c r="K61" s="3">
        <f>1063.8+(415.1-791.6)+(-2.71269+(-1.058505--2.01858))+0-0-0</f>
        <v>685.54738499999996</v>
      </c>
      <c r="L61" s="3">
        <f>895.9+(420-659.1)+(-1.827636+(-0.8568--1.344564))+0-0-0</f>
        <v>655.46012799999994</v>
      </c>
      <c r="M61" s="3">
        <f>991.1+(361.1-680.2)+(1.010922+(0.368322-0.693804))+0-0-0</f>
        <v>672.68543999999997</v>
      </c>
      <c r="N61" s="3">
        <f>1078.1+(351.6-665)+(-1.099662+(-0.358632--0.6783))+0-0-0</f>
        <v>763.92000599999994</v>
      </c>
      <c r="O61" s="3">
        <f>1080.8+(442.9-682.8)+(-0.551208+(-0.225879--0.348228))+0-0-0</f>
        <v>840.47114099999999</v>
      </c>
      <c r="P61" s="3">
        <f>1082.2+(469.4-674.4)+(0+(0-0))+0-0-0</f>
        <v>877.2</v>
      </c>
      <c r="Q61" s="3">
        <f>1108.7+(457.5-681.7)+(1.130874+(0.46665-0.695334))+0-0-0</f>
        <v>885.40219000000002</v>
      </c>
      <c r="R61" s="3">
        <f>1111.7+(452.3-700.8)+(-2.267868+(-0.922692--1.429632))+0-0-0</f>
        <v>861.43907200000001</v>
      </c>
      <c r="S61" s="3">
        <f>1112.1+(532.8-804.9)+(-1.701513+(-0.815184--1.231497))+0-0-0</f>
        <v>838.71479999999985</v>
      </c>
      <c r="T61" s="3">
        <f>1108.3+(596.7-860.1)+(-1.130466+(-0.608634--0.877302))+0-0-0</f>
        <v>844.03820199999996</v>
      </c>
      <c r="U61" s="3">
        <f>1107+(671.7-928.7)+(-0.56457+(-0.342567--0.473637))+0-0-0</f>
        <v>849.56650000000002</v>
      </c>
      <c r="V61" s="3">
        <f>1111.7+(665.2-923)+(-1.700901+(-1.017756--1.41219))+0-0-0</f>
        <v>852.59353300000009</v>
      </c>
      <c r="W61" s="3">
        <f>1117.6+(656.6-929.9)+(-2.279904+(-1.339464--1.896996))+0-0-0</f>
        <v>842.577628</v>
      </c>
      <c r="X61" s="3">
        <f>1119.1+(519.7-808.5)+(-3.424446+(-1.590282--2.47401))+0-0-0</f>
        <v>827.75928199999998</v>
      </c>
      <c r="Y61" s="3">
        <f>1008.3+(440-604.4)+(-1.542699+(-0.6732--0.924732))+0-0-0</f>
        <v>842.608833</v>
      </c>
      <c r="Z61" s="3">
        <f>1059.7+(515.9-605.7)+(-0.540447+(-0.263109--0.308907))+0-0-0</f>
        <v>969.405351</v>
      </c>
      <c r="AA61" s="3">
        <f>1079.7+(560.5-572.2)+(-1.101294+(-0.57171--0.583644))+0-0-0</f>
        <v>1066.9106400000001</v>
      </c>
      <c r="AB61" s="3">
        <f>1078.1+(549.5-601.1)+(-1.649493+(-0.840735--0.919683))+0-0-0</f>
        <v>1024.929455</v>
      </c>
      <c r="AC61" s="3">
        <f>1083.1+(579.6-722.7)+(-0.552381+(-0.295596--0.368577))+0-0-0</f>
        <v>939.52059999999983</v>
      </c>
      <c r="AD61">
        <f t="shared" si="0"/>
        <v>19798.359521999999</v>
      </c>
      <c r="AE61" s="3">
        <f>1080+(558.2-573.5)+(0+(0-0))+0-0-0</f>
        <v>1064.7</v>
      </c>
    </row>
    <row r="62" spans="1:31" s="2" customFormat="1" x14ac:dyDescent="0.25">
      <c r="A62">
        <v>89</v>
      </c>
      <c r="B62">
        <v>2</v>
      </c>
      <c r="C62">
        <v>31</v>
      </c>
      <c r="D62">
        <v>7</v>
      </c>
      <c r="E62">
        <v>1</v>
      </c>
      <c r="F62" s="3">
        <f>1081.8+(517.2-764.5)+(-0.551718+(-0.263772--0.389895))+0-0-0</f>
        <v>834.07440499999996</v>
      </c>
      <c r="G62" s="3">
        <f>1034.6+(484.4-769.8)+(0.527646+(0.247044-0.392598))+0-0-0</f>
        <v>749.58209199999988</v>
      </c>
      <c r="H62" s="3">
        <f>890+(450.9-652.3)+(-1.8156+(-0.919836--1.330692))+0-0-0</f>
        <v>687.19525599999997</v>
      </c>
      <c r="I62" s="3">
        <f>746.8+(462.7-559.7)+(0.761736+(0.471954-0.570894))+0-0-0</f>
        <v>650.46279599999991</v>
      </c>
      <c r="J62" s="3">
        <f>730.8+(467.2-558.5)+(-0.372708+(-0.238272--0.284835))+0-0-0</f>
        <v>639.173855</v>
      </c>
      <c r="K62" s="3">
        <f>728.6+(464-555.5)+(-1.486344+(-0.94656--1.13322))+0-0-0</f>
        <v>635.80031600000007</v>
      </c>
      <c r="L62" s="3">
        <f>642+(471.7-512.2)+(-1.30968+(-0.962268--1.044888))+0-0-0</f>
        <v>600.27293999999995</v>
      </c>
      <c r="M62" s="3">
        <f>610.3+(463.4-475.2)+(-0.622506+(-0.472668--0.484704))+0-0-0</f>
        <v>597.88953000000004</v>
      </c>
      <c r="N62" s="3">
        <f>702.5+(464.9-523.4)+(-0.71655+(-0.474198--0.533868))+0-0-0</f>
        <v>643.34312</v>
      </c>
      <c r="O62" s="3">
        <f>866.7+(352.5-510.2)+(-1.768068+(-0.7191--1.040808))+0-0-0</f>
        <v>707.55363999999997</v>
      </c>
      <c r="P62" s="3">
        <f>1067.6+(217.3-525.1)+(-1.088952+(-0.221646--0.535602))+0-0-0</f>
        <v>759.02500399999997</v>
      </c>
      <c r="Q62" s="3">
        <f>1068.3+(246.5-537.8)+(-1.089666+(-0.25143--0.548556))+0-0-0</f>
        <v>776.20745999999997</v>
      </c>
      <c r="R62" s="3">
        <f>1069.2+(340.5-632.4)+(-2.181168+(-0.69462--1.290096))+0-0-0</f>
        <v>775.71430800000007</v>
      </c>
      <c r="S62" s="3">
        <f>1073.4+(426.1-726.8)+(-0.547434+(-0.217311--0.370668))+0-0-0</f>
        <v>772.30592300000012</v>
      </c>
      <c r="T62" s="3">
        <f>1071.1+(493.6-794.5)+(-1.092522+(-0.503472--0.81039))+0-0-0</f>
        <v>769.4143959999999</v>
      </c>
      <c r="U62" s="3">
        <f>1064.6+(541.7-832)+(-3.257676+(-1.657602--2.54592))+0-0-0</f>
        <v>771.93064199999992</v>
      </c>
      <c r="V62" s="3">
        <f>1069.3+(537.4-830.2)+(-2.181372+(-1.096296--1.693608))+0-0-0</f>
        <v>774.91593999999986</v>
      </c>
      <c r="W62" s="3">
        <f>1073+(500.8-811.2)+(-1.64169+(-0.766224--1.241136))+0-0-0</f>
        <v>761.43322199999989</v>
      </c>
      <c r="X62" s="3">
        <f>917.7+(479.8-642.7)+(-3.276189+(-1.712886--2.294439))+0-0-0</f>
        <v>752.10536400000001</v>
      </c>
      <c r="Y62" s="3">
        <f>911.9+(462.3-625.5)+(-0.930138+(-0.471546--0.63801))+0-0-0</f>
        <v>747.93632600000001</v>
      </c>
      <c r="Z62" s="3">
        <f>1029.6+(529.9-663.5)+(-1.575288+(-0.810747--1.015155))+0-0-0</f>
        <v>894.62911999999983</v>
      </c>
      <c r="AA62" s="3">
        <f>1049.6+(549.5-571.1)+(-1.605888+(-0.840735--0.873783))+0-0-0</f>
        <v>1026.42716</v>
      </c>
      <c r="AB62" s="3">
        <f>1035+(583.6-609.7)+(-2.1114+(-1.190544--1.243788))+0-0-0</f>
        <v>1006.8418439999999</v>
      </c>
      <c r="AC62" s="3">
        <f>1035.6+(556.3-680.2)+(-1.584468+(-0.851139--1.040706))+0-0-0</f>
        <v>910.30509899999981</v>
      </c>
      <c r="AD62">
        <f t="shared" si="0"/>
        <v>18244.539757999999</v>
      </c>
      <c r="AE62" s="3">
        <f>1041+(524.7-558)+(0+(0-0))+0-0-0</f>
        <v>1007.7</v>
      </c>
    </row>
    <row r="63" spans="1:31" s="2" customFormat="1" x14ac:dyDescent="0.25">
      <c r="A63">
        <v>89</v>
      </c>
      <c r="B63">
        <v>3</v>
      </c>
      <c r="C63">
        <v>1</v>
      </c>
      <c r="D63">
        <v>1</v>
      </c>
      <c r="E63">
        <v>1</v>
      </c>
      <c r="F63" s="3">
        <f>1040.4+(488.6-729.2)+(-1.061208+(-0.498372--0.743784))+0-0-0</f>
        <v>798.98420400000009</v>
      </c>
      <c r="G63" s="3">
        <f>976.9+(440.7-707.4)+(1.494657+(0.674271-1.082322))+0-0-0</f>
        <v>711.28660600000001</v>
      </c>
      <c r="H63" s="3">
        <f>734.6+(492.2-572.4)+(-1.87323+(-1.25511--1.45962))+0-0-0</f>
        <v>652.73128000000008</v>
      </c>
      <c r="I63" s="3">
        <f>724.9+(507.6-590.9)+(-0.369699+(-0.258876--0.301359))+0-0-0</f>
        <v>641.272784</v>
      </c>
      <c r="J63" s="3">
        <f>688.9+(536.5-593.9)+(0.351339+(0.273615-0.302889))+0-0-0</f>
        <v>631.82206499999995</v>
      </c>
      <c r="K63" s="3">
        <f>590.9+(573-536.3)+(-1.506795+(-1.46115--1.367565))+0-0-0</f>
        <v>625.99962000000005</v>
      </c>
      <c r="L63" s="3">
        <f>680.2+(491.8-526)+(0+(0-0))+0-0-0</f>
        <v>646</v>
      </c>
      <c r="M63" s="3">
        <f>933.2+(377-568.3)+(0.475932+(0.19227-0.289833))+0-0-0</f>
        <v>742.27836900000011</v>
      </c>
      <c r="N63" s="3">
        <f>1059.6+(301.9-578.6)+(0+(0-0))+0-0-0</f>
        <v>782.89999999999986</v>
      </c>
      <c r="O63" s="3">
        <f>1070.1+(222.8-508.9)+(-1.091502+(-0.227256--0.519078))+0-0-0</f>
        <v>783.20032000000003</v>
      </c>
      <c r="P63" s="3">
        <f>1065+(236.9-534.9)+(-2.71575+(-0.604095--1.363995))+0-0-0</f>
        <v>765.04414999999995</v>
      </c>
      <c r="Q63" s="3">
        <f>1062+(264.9-536.9)+(-0.54162+(-0.135099--0.273819))+0-0-0</f>
        <v>789.59709999999995</v>
      </c>
      <c r="R63" s="3">
        <f>1077.5+(375.9-638.1)+(-1.09905+(-0.383418--0.650862))+0-0-0</f>
        <v>814.46839399999999</v>
      </c>
      <c r="S63" s="3">
        <f>1075.6+(488.7-715)+(-1.645668+(-0.747711--1.09395))+0-0-0</f>
        <v>848.00057099999992</v>
      </c>
      <c r="T63" s="3">
        <f>1084.3+(531.7-768.4)+(0.552993+(0.271167-0.391884))+0-0-0</f>
        <v>848.03227600000002</v>
      </c>
      <c r="U63" s="3">
        <f>1068.4+(499.4-716.3)+(-2.72442+(-1.27347--1.826565))+0-0-0</f>
        <v>849.32867500000009</v>
      </c>
      <c r="V63" s="3">
        <f>1100.4+(561.7-803)+(-1.122408+(-0.572934--0.81906))+0-0-0</f>
        <v>858.22371800000019</v>
      </c>
      <c r="W63" s="3">
        <f>1067.5+(581.6-794.5)+(-2.722125+(-1.48308--2.025975))+0-0-0</f>
        <v>852.42077000000006</v>
      </c>
      <c r="X63" s="3">
        <f>1007.8+(536.8-710.3)+(-2.055912+(-1.095072--1.449012))+0-0-0</f>
        <v>832.598028</v>
      </c>
      <c r="Y63" s="3">
        <f>854.5+(601.2-625.2)+(-1.74318+(-1.226448--1.275408))+0-0-0</f>
        <v>828.80578000000003</v>
      </c>
      <c r="Z63" s="3">
        <f>1035.3+(584.8-644.2)+(-2.640015+(-1.49124--1.64271))+0-0-0</f>
        <v>973.41145499999982</v>
      </c>
      <c r="AA63" s="3">
        <f>1067.1+(572.7-562.8)+(-3.809547+(-2.044539--2.009196))+0-0-0</f>
        <v>1073.1551099999999</v>
      </c>
      <c r="AB63" s="3">
        <f>1072.5+(518.2-553.1)+(-2.1879+(-1.057128--1.128324))+0-0-0</f>
        <v>1035.4832959999999</v>
      </c>
      <c r="AC63" s="3">
        <f>1075.9+(498.6-624.5)+(-1.097418+(-0.508572--0.63699))+0-0-0</f>
        <v>949.03100000000006</v>
      </c>
      <c r="AD63">
        <f t="shared" si="0"/>
        <v>19334.075570999998</v>
      </c>
      <c r="AE63" s="3">
        <f>1072+(575.5-560.6)+(0+(0-0))+0-0-0</f>
        <v>1086.9000000000001</v>
      </c>
    </row>
    <row r="64" spans="1:31" s="2" customFormat="1" x14ac:dyDescent="0.25">
      <c r="A64">
        <v>89</v>
      </c>
      <c r="B64">
        <v>3</v>
      </c>
      <c r="C64">
        <v>2</v>
      </c>
      <c r="D64">
        <v>2</v>
      </c>
      <c r="E64">
        <v>1</v>
      </c>
      <c r="F64" s="3">
        <f>1079.6+(493.1-743.9)+(-1.101192+(-0.502962--0.758778))+0-0-0</f>
        <v>827.95462399999997</v>
      </c>
      <c r="G64" s="3">
        <f>1070+(512.2-838.7)+(-2.7285+(-1.30611--2.138685))+0-0-0</f>
        <v>741.60407499999997</v>
      </c>
      <c r="H64" s="3">
        <f>853.8+(486.1-652.1)+(-1.306314+(-0.743733--0.997713))+0-0-0</f>
        <v>686.74766599999998</v>
      </c>
      <c r="I64" s="3">
        <f>760+(485.6-593.8)+(-1.1628+(-0.742968--0.908514))+0-0-0</f>
        <v>650.80274600000007</v>
      </c>
      <c r="J64" s="3">
        <f>800.9+(482.7-629.4)+(-0.816918+(-0.492354--0.641988))+0-0-0</f>
        <v>653.53271600000005</v>
      </c>
      <c r="K64" s="3">
        <f>754.3+(511.3-606.4)+(-1.154079+(-0.782289--0.927792))+0-0-0</f>
        <v>658.1914240000001</v>
      </c>
      <c r="L64" s="3">
        <f>595.2+(551.3-522)+(-0.303552+(-0.281163--0.26622))+0-0-0</f>
        <v>624.18150500000002</v>
      </c>
      <c r="M64" s="3">
        <f>761.1+(405.7-507.7)+(-0.388161+(-0.206907--0.258927))+0-0-0</f>
        <v>658.76385900000002</v>
      </c>
      <c r="N64" s="3">
        <f>903.5+(373.9-518.5)+(-0.460785+(-0.190689--0.264435))+0-0-0</f>
        <v>758.51296100000002</v>
      </c>
      <c r="O64" s="3">
        <f>971.9+(372.9-530.3)+(-0.991338+(-0.380358--0.540906))+0-0-0</f>
        <v>813.66921000000002</v>
      </c>
      <c r="P64" s="3">
        <f>1071.3+(327.8-534.5)+(-3.278178+(-1.003068--1.63557))+0-0-0</f>
        <v>861.95432399999993</v>
      </c>
      <c r="Q64" s="3">
        <f>1082+(419.6-617.6)+(-0.55182+(-0.213996--0.314976))+0-0-0</f>
        <v>883.54916000000003</v>
      </c>
      <c r="R64" s="3">
        <f>1094.8+(455-678.8)+(-1.116696+(-0.4641--0.692376))+0-0-0</f>
        <v>870.11158</v>
      </c>
      <c r="S64" s="3">
        <f>1081.8+(585.4-801.4)+(-2.75859+(-1.49277--2.04357))+0-0-0</f>
        <v>863.59220999999991</v>
      </c>
      <c r="T64" s="3">
        <f>1099.3+(576.7-823.3)+(0+(0-0))+0-0-0</f>
        <v>852.7</v>
      </c>
      <c r="U64" s="3">
        <f>1113.4+(568.6-815.4)+(-1.703502+(-0.869958--1.247562))+0-0-0</f>
        <v>865.27410200000008</v>
      </c>
      <c r="V64" s="3">
        <f>1110.1+(571.8-804.4)+(-2.264604+(-1.166472--1.640976))+0-0-0</f>
        <v>875.70989999999983</v>
      </c>
      <c r="W64" s="3">
        <f>1055+(568.3-753.5)+(-3.2283+(-1.738998--2.30571))+0-0-0</f>
        <v>867.1384119999999</v>
      </c>
      <c r="X64" s="3">
        <f>1052.9+(525.1-725)+(-2.684895+(-1.339005--1.84875))+0-0-0</f>
        <v>850.82485000000008</v>
      </c>
      <c r="Y64" s="3">
        <f>915.4+(581.3-642.1)+(-0.466854+(-0.296463--0.327471))+0-0-0</f>
        <v>854.16415399999994</v>
      </c>
      <c r="Z64" s="3">
        <f>1047.7+(520.9-579.3)+(-0.534327+(-0.265659--0.295443))+0-0-0</f>
        <v>988.79545700000006</v>
      </c>
      <c r="AA64" s="3">
        <f>1067.5+(605.5-562.2)+(-1.633275+(-0.926415--0.860166))+0-0-0</f>
        <v>1109.1004759999998</v>
      </c>
      <c r="AB64" s="3">
        <f>1046.1+(682.4-656.2)+(-2.667555+(-1.74012--1.67331))+0-0-0</f>
        <v>1069.5656349999997</v>
      </c>
      <c r="AC64" s="3">
        <f>1051.6+(676.1-748.3)+(-1.072632+(-0.689622--0.763266))+0-0-0</f>
        <v>978.40101199999992</v>
      </c>
      <c r="AD64">
        <f t="shared" si="0"/>
        <v>19864.842057999998</v>
      </c>
      <c r="AE64" s="3">
        <f>1091+(596.8-579.9)+(0+(0-0))+0-0-0</f>
        <v>1107.9000000000001</v>
      </c>
    </row>
    <row r="65" spans="1:31" s="2" customFormat="1" x14ac:dyDescent="0.25">
      <c r="A65">
        <v>89</v>
      </c>
      <c r="B65">
        <v>3</v>
      </c>
      <c r="C65">
        <v>3</v>
      </c>
      <c r="D65">
        <v>3</v>
      </c>
      <c r="E65">
        <v>1</v>
      </c>
      <c r="F65" s="3">
        <f>1041.8+(581.3-759.6)+(-1.593954+(-0.889389--1.162188))+0-0-0</f>
        <v>862.17884499999991</v>
      </c>
      <c r="G65" s="3">
        <f>906.2+(599.9-739.6)+(-0.462162+(-0.305949--0.377196))+0-0-0</f>
        <v>766.10908500000005</v>
      </c>
      <c r="H65" s="3">
        <f>864.3+(563.3-702.7)+(-0.440793+(-0.287283--0.358377))+0-0-0</f>
        <v>724.53030099999989</v>
      </c>
      <c r="I65" s="3">
        <f>777.5+(558.4-643)+(-0.79305+(-0.569568--0.65586))+0-0-0</f>
        <v>692.19324199999994</v>
      </c>
      <c r="J65" s="3">
        <f>768.6+(536.2-625.8)+(-1.95993+(-1.36731--1.59579))+0-0-0</f>
        <v>677.26855000000012</v>
      </c>
      <c r="K65" s="3">
        <f>749.2+(535.3-603.5)+(-1.146276+(-0.819009--0.923355))+0-0-0</f>
        <v>679.95807000000002</v>
      </c>
      <c r="L65" s="3">
        <f>561.8+(574.3-485.8)+(-0.286518+(-0.292893--0.247758))+0-0-0</f>
        <v>649.96834699999999</v>
      </c>
      <c r="M65" s="3">
        <f>723.8+(446.4-488)+(0+(0-0))+0-0-0</f>
        <v>682.19999999999993</v>
      </c>
      <c r="N65" s="3">
        <f>915.8+(357.5-515.3)+(-0.467058+(-0.182325--0.262803))+0-0-0</f>
        <v>757.61342000000002</v>
      </c>
      <c r="O65" s="3">
        <f>1064.1+(315.4-553.7)+(-0.542691+(-0.160854--0.282387))+0-0-0</f>
        <v>825.37884199999985</v>
      </c>
      <c r="P65" s="3">
        <f>1088.8+(326.7-553.1)+(-0.555288+(-0.166617--0.282081))+0-0-0</f>
        <v>861.96017599999982</v>
      </c>
      <c r="Q65" s="3">
        <f>1087.4+(394.4-599.9)+(-1.109148+(-0.402288--0.611898))+0-0-0</f>
        <v>881.00046200000008</v>
      </c>
      <c r="R65" s="3">
        <f>1085.2+(483-694.6)+(-1.106904+(-0.49266--0.708492))+0-0-0</f>
        <v>872.70892800000001</v>
      </c>
      <c r="S65" s="3">
        <f>1083.3+(566.2-800)+(-1.104966+(-0.577524--0.816))+0-0-0</f>
        <v>848.63351</v>
      </c>
      <c r="T65" s="3">
        <f>1084.8+(546.6-790.3)+(0+(0-0))+0-0-0</f>
        <v>841.1</v>
      </c>
      <c r="U65" s="3">
        <f>1078.3+(545.1-777.5)+(-1.099866+(-0.556002--0.79305))+0-0-0</f>
        <v>845.03718200000003</v>
      </c>
      <c r="V65" s="3">
        <f>1059+(525.9-723.9)+(-3.24054+(-1.609254--2.215134))+0-0-0</f>
        <v>858.36533999999995</v>
      </c>
      <c r="W65" s="3">
        <f>1071.6+(560.4-771.7)+(-2.186064+(-1.143216--1.574268))+0-0-0</f>
        <v>858.54498799999988</v>
      </c>
      <c r="X65" s="3">
        <f>1077.4+(524.2-755.6)+(-3.296844+(-1.604052--2.312136))+0-0-0</f>
        <v>843.41124000000013</v>
      </c>
      <c r="Y65" s="3">
        <f>1029.7+(515.1-691.5)+(-2.625735+(-1.313505--1.763325))+0-0-0</f>
        <v>851.12408500000004</v>
      </c>
      <c r="Z65" s="3">
        <f>1038.5+(551.6-609.9)+(-1.588905+(-0.843948--0.933147))+0-0-0</f>
        <v>978.7002940000001</v>
      </c>
      <c r="AA65" s="3">
        <f>1074.9+(563.8-538.7)+(-3.837393+(-2.012766--1.923159))+0-0-0</f>
        <v>1096.0730000000001</v>
      </c>
      <c r="AB65" s="3">
        <f>1079.1+(642.4-654.1)+(-2.201364+(-1.310496--1.334364))+0-0-0</f>
        <v>1065.2225039999998</v>
      </c>
      <c r="AC65" s="3">
        <f>1078.8+(523.5-638.7)+(-2.75094+(-1.334925--1.628685))+0-0-0</f>
        <v>961.14281999999992</v>
      </c>
      <c r="AD65">
        <f t="shared" ref="AD65:AD128" si="1">SUM(F65:AC65)</f>
        <v>19980.423231000001</v>
      </c>
      <c r="AE65" s="3">
        <f>1085+(555-521.9)+(0+(0-0))+0-0-0</f>
        <v>1118.0999999999999</v>
      </c>
    </row>
    <row r="66" spans="1:31" s="2" customFormat="1" x14ac:dyDescent="0.25">
      <c r="A66">
        <v>89</v>
      </c>
      <c r="B66">
        <v>3</v>
      </c>
      <c r="C66">
        <v>4</v>
      </c>
      <c r="D66">
        <v>4</v>
      </c>
      <c r="E66">
        <v>1</v>
      </c>
      <c r="F66" s="3">
        <f>988.9+(502.8-646.5)+(-1.513017+(-0.769284--0.989145))+0-0-0</f>
        <v>843.90684400000009</v>
      </c>
      <c r="G66" s="3">
        <f>769.5+(517.2-552.8)+(-1.177335+(-0.791316--0.845784))+0-0-0</f>
        <v>732.77713300000005</v>
      </c>
      <c r="H66" s="3">
        <f>765.7+(509-589.9)+(-0.781014+(-0.51918--0.601698))+0-0-0</f>
        <v>684.10150400000009</v>
      </c>
      <c r="I66" s="3">
        <f>754.4+(466.7-554.4)+(-2.308464+(-1.428102--1.696464))+0-0-0</f>
        <v>664.659898</v>
      </c>
      <c r="J66" s="3">
        <f>768.6+(459.5-574.7)+(-0.783972+(-0.46869--0.586194))+0-0-0</f>
        <v>652.73353199999997</v>
      </c>
      <c r="K66" s="3">
        <f>730+(481.8-561.1)+(-1.8615+(-1.22859--1.430805))+0-0-0</f>
        <v>649.04071500000009</v>
      </c>
      <c r="L66" s="3">
        <f>585.3+(563.5-522.3)+(-1.492515+(-1.436925--1.331865))+0-0-0</f>
        <v>624.90242499999999</v>
      </c>
      <c r="M66" s="3">
        <f>937.4+(322.3-592)+(-1.912296+(-0.657492--1.20768))+0-0-0</f>
        <v>666.33789200000001</v>
      </c>
      <c r="N66" s="3">
        <f>1086.3+(276.8-597.4)+(-1.108026+(-0.282336--0.609348))+0-0-0</f>
        <v>764.91898600000002</v>
      </c>
      <c r="O66" s="3">
        <f>1084.3+(328.8-600.8)+(-1.658979+(-0.503064--0.919224))+0-0-0</f>
        <v>811.0571809999999</v>
      </c>
      <c r="P66" s="3">
        <f>1082.7+(352.2-582.6)+(-0.552177+(-0.179622--0.297126))+0-0-0</f>
        <v>851.86532699999998</v>
      </c>
      <c r="Q66" s="3">
        <f>1082.7+(377-583)+(-0.552177+(-0.19227--0.29733))+0-0-0</f>
        <v>876.252883</v>
      </c>
      <c r="R66" s="3">
        <f>1084.4+(524.1-742)+(-1.106088+(-0.534582--0.75684))+0-0-0</f>
        <v>865.61617000000012</v>
      </c>
      <c r="S66" s="3">
        <f>1082.6+(619.2-850.3)+(-1.104252+(-0.631584--0.867306))+0-0-0</f>
        <v>850.63147000000004</v>
      </c>
      <c r="T66" s="3">
        <f>1087.9+(633.6-873.7)+(-1.664487+(-0.969408--1.336761))+0-0-0</f>
        <v>846.50286600000004</v>
      </c>
      <c r="U66" s="3">
        <f>1092.3+(667.9-900)+(0.557073+(0.340629-0.459))+0-0-0</f>
        <v>860.63870199999997</v>
      </c>
      <c r="V66" s="3">
        <f>1093.9+(659.6-875.7)+(0.557889+(0.336396-0.446607))+0-0-0</f>
        <v>878.24767800000006</v>
      </c>
      <c r="W66" s="3">
        <f>1085.5+(538.2-768)+(-2.21442+(-1.097928--1.56672))+0-0-0</f>
        <v>853.95437200000003</v>
      </c>
      <c r="X66" s="3">
        <f>1035.5+(476.1-661.2)+(-3.16863+(-1.456866--2.023272))+0-0-0</f>
        <v>847.797776</v>
      </c>
      <c r="Y66" s="3">
        <f>868.5+(506.1-535.7)+(-2.214675+(-1.290555--1.366035))+0-0-0</f>
        <v>836.760805</v>
      </c>
      <c r="Z66" s="3">
        <f>911.3+(582.6-537.1)+(-2.788578+(-1.782756--1.643526))+0-0-0</f>
        <v>953.87219199999993</v>
      </c>
      <c r="AA66" s="3">
        <f>1078.1+(595.7-572.6)+(-4.398648+(-2.430456--2.336208))+0-0-0</f>
        <v>1096.7071039999998</v>
      </c>
      <c r="AB66" s="3">
        <f>1090.1+(571.1-617)+(-0.555951+(-0.291261--0.31467))+0-0-0</f>
        <v>1043.6674579999999</v>
      </c>
      <c r="AC66" s="3">
        <f>1084.8+(569.8-711.4)+(-2.76624+(-1.45299--1.81407))+0-0-0</f>
        <v>940.79483999999991</v>
      </c>
      <c r="AD66">
        <f t="shared" si="1"/>
        <v>19697.745752999999</v>
      </c>
      <c r="AE66" s="3">
        <f>1078+(577-551.7)+(0+(0-0))+0-0-0</f>
        <v>1103.3</v>
      </c>
    </row>
    <row r="67" spans="1:31" s="2" customFormat="1" x14ac:dyDescent="0.25">
      <c r="A67">
        <v>89</v>
      </c>
      <c r="B67">
        <v>3</v>
      </c>
      <c r="C67">
        <v>5</v>
      </c>
      <c r="D67">
        <v>5</v>
      </c>
      <c r="E67">
        <v>1</v>
      </c>
      <c r="F67" s="3">
        <f>1035.7+(526.5-737)+(-2.112828+(-1.07406--1.50348))+0-0-0</f>
        <v>823.51659200000006</v>
      </c>
      <c r="G67" s="3">
        <f>905.4+(490-668.5)+(0.461754+(0.2499-0.340935))+0-0-0</f>
        <v>727.27071899999999</v>
      </c>
      <c r="H67" s="3">
        <f>793+(501-613.8)+(-2.02215+(-1.27755--1.56519))+0-0-0</f>
        <v>678.46549000000005</v>
      </c>
      <c r="I67" s="3">
        <f>768.8+(482.8-595.6)+(-1.176264+(-0.738684--0.911268))+0-0-0</f>
        <v>654.99631999999997</v>
      </c>
      <c r="J67" s="3">
        <f>772.1+(470.9-592.1)+(-0.393771+(-0.240159--0.301971))+0-0-0</f>
        <v>650.56804099999999</v>
      </c>
      <c r="K67" s="3">
        <f>765.8+(466.3-578.5)+(-2.343348+(-1.426878--1.77021))+0-0-0</f>
        <v>651.59998399999995</v>
      </c>
      <c r="L67" s="3">
        <f>711.7+(479.1-560.8)+(-1.451868+(-0.977364--1.144032))+0-0-0</f>
        <v>628.71480000000008</v>
      </c>
      <c r="M67" s="3">
        <f>820.3+(396.8-544.8)+(-0.836706+(-0.404736--0.555696))+0-0-0</f>
        <v>671.61425399999996</v>
      </c>
      <c r="N67" s="3">
        <f>945.7+(364.5-560.9)+(0.482307+(0.185895-0.286059))+0-0-0</f>
        <v>749.68214300000011</v>
      </c>
      <c r="O67" s="3">
        <f>1080.2+(361.7-610.4)+(-2.203608+(-0.737868--1.245216))+0-0-0</f>
        <v>829.80373999999995</v>
      </c>
      <c r="P67" s="3">
        <f>1089.3+(382.4-585.6)+(0+(0-0))+0-0-0</f>
        <v>886.09999999999991</v>
      </c>
      <c r="Q67" s="3">
        <f>1089.4+(465.1-656.9)+(-0.555594+(-0.237201--0.335019))+0-0-0</f>
        <v>897.14222400000017</v>
      </c>
      <c r="R67" s="3">
        <f>1096.7+(541.2-755.7)+(-0.559317+(-0.276012--0.385407))+0-0-0</f>
        <v>881.75007800000003</v>
      </c>
      <c r="S67" s="3">
        <f>1087.3+(613.1-830.1)+(-0.554523+(-0.312681--0.423351))+0-0-0</f>
        <v>869.85614699999996</v>
      </c>
      <c r="T67" s="3">
        <f>1085.2+(598.4-829.6)+(-1.106904+(-0.610368--0.846192))+0-0-0</f>
        <v>853.12891999999999</v>
      </c>
      <c r="U67" s="3">
        <f>1084.1+(618.1-817.4)+(-0.552891+(-0.315231--0.416874))+0-0-0</f>
        <v>884.34875199999999</v>
      </c>
      <c r="V67" s="3">
        <f>1076.9+(604.9-790.5)+(-1.647657+(-0.925497--1.209465))+0-0-0</f>
        <v>889.93631100000005</v>
      </c>
      <c r="W67" s="3">
        <f>1069+(602.4-796)+(-3.81633+(-2.150568--2.84172))+0-0-0</f>
        <v>872.27482199999997</v>
      </c>
      <c r="X67" s="3">
        <f>1069.9+(540.9-754.8)+(-3.819543+(-1.931013--2.694636))+0-0-0</f>
        <v>852.9440800000001</v>
      </c>
      <c r="Y67" s="3">
        <f>1005.9+(490.1-639.1)+(-2.052036+(-0.999804--1.303764))+0-0-0</f>
        <v>855.15192400000001</v>
      </c>
      <c r="Z67" s="3">
        <f>1044.2+(522-603.1)+(-1.065084+(-0.53244--0.615162))+0-0-0</f>
        <v>962.11763800000006</v>
      </c>
      <c r="AA67" s="3">
        <f>1089.4+(608.6-584.8)+(-3.333564+(-1.862316--1.789488))+0-0-0</f>
        <v>1109.7936080000002</v>
      </c>
      <c r="AB67" s="3">
        <f>1098.2+(686.3-710.5)+(0.560082+(0.350013-0.362355))+0-0-0</f>
        <v>1074.54774</v>
      </c>
      <c r="AC67" s="3">
        <f>1109.5+(603.1-743)+(-0.565845+(-0.307581--0.37893))+0-0-0</f>
        <v>969.105504</v>
      </c>
      <c r="AD67">
        <f t="shared" si="1"/>
        <v>19924.429831000001</v>
      </c>
      <c r="AE67" s="3">
        <f>1088+(627.5-606)+(0+(0-0))+0-0-0</f>
        <v>1109.5</v>
      </c>
    </row>
    <row r="68" spans="1:31" s="2" customFormat="1" x14ac:dyDescent="0.25">
      <c r="A68">
        <v>89</v>
      </c>
      <c r="B68">
        <v>3</v>
      </c>
      <c r="C68">
        <v>6</v>
      </c>
      <c r="D68">
        <v>6</v>
      </c>
      <c r="E68">
        <v>1</v>
      </c>
      <c r="F68" s="3">
        <f>1149.5+(533.1-818.2)+(-2.34498+(-1.087524--1.669128))+0-0-0</f>
        <v>862.63662399999998</v>
      </c>
      <c r="G68" s="3">
        <f>1070.9+(437.2-746.8)+(-0.546159+(-0.222972--0.380868))+0-0-0</f>
        <v>760.91173700000013</v>
      </c>
      <c r="H68" s="3">
        <f>889.8+(474.6-656.1)+(-0.907596+(-0.484092--0.669222))+0-0-0</f>
        <v>707.5775339999999</v>
      </c>
      <c r="I68" s="3">
        <f>783.7+(507.3-617)+(-2.398122+(-1.552338--1.88802))+0-0-0</f>
        <v>671.93755999999996</v>
      </c>
      <c r="J68" s="3">
        <f>788.5+(490.7-616)+(-1.206405+(-0.750771--0.94248))+0-0-0</f>
        <v>662.18530400000009</v>
      </c>
      <c r="K68" s="3">
        <f>750.7+(528.7-609.1)+(-3.062856+(-2.157096--2.485128))+0-0-0</f>
        <v>667.56517600000006</v>
      </c>
      <c r="L68" s="3">
        <f>557.7+(625.2-537.5)+(-0.568854+(-0.637704--0.54825))+0-0-0</f>
        <v>644.74169200000006</v>
      </c>
      <c r="M68" s="3">
        <f>737.4+(459.7-528.9)+(0+(0-0))+0-0-0</f>
        <v>668.2</v>
      </c>
      <c r="N68" s="3">
        <f>1072.2+(317.8-617.6)+(1.093644+(0.324156-0.629952))+0-0-0</f>
        <v>773.18784800000014</v>
      </c>
      <c r="O68" s="3">
        <f>1086.7+(383.1-629.4)+(-1.108434+(-0.390762--0.641988))+0-0-0</f>
        <v>839.54279200000008</v>
      </c>
      <c r="P68" s="3">
        <f>1088.2+(397.3-594.3)+(-0.554982+(-0.202623--0.303093))+0-0-0</f>
        <v>890.74548800000002</v>
      </c>
      <c r="Q68" s="3">
        <f>1087.6+(424.6-607.8)+(0+(0-0))+0-0-0</f>
        <v>904.4</v>
      </c>
      <c r="R68" s="3">
        <f>1082.3+(507.7-685.6)+(-1.655919+(-0.776781--1.048968))+0-0-0</f>
        <v>903.01626799999985</v>
      </c>
      <c r="S68" s="3">
        <f>1084.8+(592.4-797.5)+(-1.106496+(-0.604248--0.81345))+0-0-0</f>
        <v>878.80270599999994</v>
      </c>
      <c r="T68" s="3">
        <f>1085.8+(632.4-843.5)+(-1.107516+(-0.645048--0.86037))+0-0-0</f>
        <v>873.80780599999991</v>
      </c>
      <c r="U68" s="3">
        <f>1083.2+(672.4-876.9)+(-1.104864+(-0.685848--0.894438))+0-0-0</f>
        <v>877.8037260000001</v>
      </c>
      <c r="V68" s="3">
        <f>1085.8+(685.3-881.8)+(-0.553758+(-0.349503--0.449718))+0-0-0</f>
        <v>888.84645699999999</v>
      </c>
      <c r="W68" s="3">
        <f>1078.5+(685-867.6)+(-2.750175+(-1.74675--2.21238))+0-0-0</f>
        <v>893.615455</v>
      </c>
      <c r="X68" s="3">
        <f>1043.7+(586.2-755.5)+(-2.661435+(-1.49481--1.926525))+0-0-0</f>
        <v>872.17028000000005</v>
      </c>
      <c r="Y68" s="3">
        <f>912.2+(603.2-665.7)+(-0.930444+(-0.615264--0.679014))+0-0-0</f>
        <v>848.83330599999999</v>
      </c>
      <c r="Z68" s="3">
        <f>1004.2+(682-713)+(-1.536426+(-1.04346--1.09089))+0-0-0</f>
        <v>971.711004</v>
      </c>
      <c r="AA68" s="3">
        <f>1090.3+(625.2-608.4)+(-1.668159+(-0.956556--0.930852))+0-0-0</f>
        <v>1105.4061369999999</v>
      </c>
      <c r="AB68" s="3">
        <f>1090.4+(576.6-609.9)+(-2.224416+(-1.176264--1.244196))+0-0-0</f>
        <v>1054.943516</v>
      </c>
      <c r="AC68" s="3">
        <f>1087.6+(588.2-707)+(-2.218704+(-1.199928--1.44228))+0-0-0</f>
        <v>966.82364799999993</v>
      </c>
      <c r="AD68">
        <f t="shared" si="1"/>
        <v>20189.412064</v>
      </c>
      <c r="AE68" s="3">
        <f>1092+(674.8-649)+(0+(0-0))+0-0-0</f>
        <v>1117.8</v>
      </c>
    </row>
    <row r="69" spans="1:31" s="2" customFormat="1" x14ac:dyDescent="0.25">
      <c r="A69">
        <v>89</v>
      </c>
      <c r="B69">
        <v>3</v>
      </c>
      <c r="C69">
        <v>7</v>
      </c>
      <c r="D69">
        <v>7</v>
      </c>
      <c r="E69">
        <v>1</v>
      </c>
      <c r="F69" s="3">
        <f>1097+(493.3-742.7)+(2.23788+(1.006332-1.515108))+0-0-0</f>
        <v>849.32910399999992</v>
      </c>
      <c r="G69" s="3">
        <f>1095.7+(402.2-728.9)+(1.117614+(0.410244-0.743478))+0-0-0</f>
        <v>769.78438000000006</v>
      </c>
      <c r="H69" s="3">
        <f>1062.9+(364-707.4)+(1.084158+(0.37128-0.721548))+0-0-0</f>
        <v>720.23389000000009</v>
      </c>
      <c r="I69" s="3">
        <f>859.6+(431.6-609.6)+(0+(0-0))+0-0-0</f>
        <v>681.6</v>
      </c>
      <c r="J69" s="3">
        <f>785.9+(458-573.4)+(0.801618+(0.46716-0.584868))+0-0-0</f>
        <v>671.18390999999997</v>
      </c>
      <c r="K69" s="3">
        <f>775.6+(466.8-583.3)+(-1.186668+(-0.714204--0.892449))+0-0-0</f>
        <v>658.09157700000014</v>
      </c>
      <c r="L69" s="3">
        <f>663.5+(501-537.3)+(-1.015155+(-0.76653--0.822069))+0-0-0</f>
        <v>626.24038400000006</v>
      </c>
      <c r="M69" s="3">
        <f>619.3+(519-510.9)+(-0.631686+(-0.52938--0.521118))+0-0-0</f>
        <v>626.76005199999997</v>
      </c>
      <c r="N69" s="3">
        <f>866.6+(394.2-572)+(-1.325898+(-0.603126--0.87516))+0-0-0</f>
        <v>687.74613599999998</v>
      </c>
      <c r="O69" s="3">
        <f>1057.6+(345.3-647.8)+(-1.618128+(-0.528309--0.991134))+0-0-0</f>
        <v>753.94469699999991</v>
      </c>
      <c r="P69" s="3">
        <f>1086.3+(337.9-618.2)+(0+(0-0))+0-0-0</f>
        <v>805.99999999999989</v>
      </c>
      <c r="Q69" s="3">
        <f>1078.9+(323.6-582.1)+(-0.550239+(-0.165036--0.296871))+0-0-0</f>
        <v>819.98159600000008</v>
      </c>
      <c r="R69" s="3">
        <f>1064.4+(473.3-700.6)+(0+(0-0))+0-0-0</f>
        <v>837.10000000000014</v>
      </c>
      <c r="S69" s="3">
        <f>1062.7+(583.3-833.2)+(-0.541977+(-0.297483--0.424932))+0-0-0</f>
        <v>812.38547199999994</v>
      </c>
      <c r="T69" s="3">
        <f>1063.1+(613.1-876.1)+(0+(0-0))+0-0-0</f>
        <v>800.09999999999991</v>
      </c>
      <c r="U69" s="3">
        <f>1065.7+(627.6-884.5)+(0.543507+(0.320076-0.451095))+0-0-0</f>
        <v>809.21248800000012</v>
      </c>
      <c r="V69" s="3">
        <f>1058.7+(594.6-843.9)+(-3.239622+(-1.819476--2.582334))+0-0-0</f>
        <v>806.92323600000009</v>
      </c>
      <c r="W69" s="3">
        <f>1058+(508.1-758.9)+(-3.23748+(-1.554786--2.322234))+0-0-0</f>
        <v>804.7299680000001</v>
      </c>
      <c r="X69" s="3">
        <f>998.1+(485.2-674.6)+(-2.036124+(-0.989808--1.376184))+0-0-0</f>
        <v>807.050252</v>
      </c>
      <c r="Y69" s="3">
        <f>856.8+(474.4-536.9)+(-1.310904+(-0.725832--0.821457))+0-0-0</f>
        <v>793.08472099999994</v>
      </c>
      <c r="Z69" s="3">
        <f>1002.4+(547.5-635.9)+(-1.533672+(-0.837675--0.972927))+0-0-0</f>
        <v>912.60158000000001</v>
      </c>
      <c r="AA69" s="3">
        <f>1091.8+(548.1-557.9)+(-1.113636+(-0.559062--0.569058))+0-0-0</f>
        <v>1080.89636</v>
      </c>
      <c r="AB69" s="3">
        <f>1093.8+(588.7-625.3)+(-1.115676+(-0.600474--0.637806))+0-0-0</f>
        <v>1056.121656</v>
      </c>
      <c r="AC69" s="3">
        <f>1087.9+(624.2-748)+(-2.219316+(-1.273368--1.52592))+0-0-0</f>
        <v>962.13323600000012</v>
      </c>
      <c r="AD69">
        <f t="shared" si="1"/>
        <v>19153.234694999999</v>
      </c>
      <c r="AE69" s="3">
        <f>1087+(579.8-595.5)+(0+(0-0))+0-0-0</f>
        <v>1071.3</v>
      </c>
    </row>
    <row r="70" spans="1:31" s="2" customFormat="1" x14ac:dyDescent="0.25">
      <c r="A70">
        <v>89</v>
      </c>
      <c r="B70">
        <v>3</v>
      </c>
      <c r="C70">
        <v>8</v>
      </c>
      <c r="D70">
        <v>1</v>
      </c>
      <c r="E70">
        <v>1</v>
      </c>
      <c r="F70" s="3">
        <f>1087.2+(593-818.5)+(-1.663416+(-0.90729--1.252305))+0-0-0</f>
        <v>860.38159900000005</v>
      </c>
      <c r="G70" s="3">
        <f>1079.3+(566.4-872.3)+(-3.853101+(-2.022048--3.114111))+0-0-0</f>
        <v>770.63896199999999</v>
      </c>
      <c r="H70" s="3">
        <f>1086.5+(519.1-878.1)+(-2.21646+(-1.058964--1.791324))+0-0-0</f>
        <v>726.01589999999999</v>
      </c>
      <c r="I70" s="3">
        <f>1067.1+(484-847)+(-0.544221+(-0.24684--0.43197))+0-0-0</f>
        <v>703.74090899999987</v>
      </c>
      <c r="J70" s="3">
        <f>967.7+(447.7-736.8)+(0+(0-0))+0-0-0</f>
        <v>678.60000000000014</v>
      </c>
      <c r="K70" s="3">
        <f>884.8+(448.5-655.4)+(-2.25624+(-1.143675--1.67127))+0-0-0</f>
        <v>676.17135499999995</v>
      </c>
      <c r="L70" s="3">
        <f>741.6+(411.8-491.4)+(-0.378216+(-0.210018--0.250614))+0-0-0</f>
        <v>661.66237999999998</v>
      </c>
      <c r="M70" s="3">
        <f>876.9+(321.8-538.5)+(0+(0-0))+0-0-0</f>
        <v>660.2</v>
      </c>
      <c r="N70" s="3">
        <f>1089+(267.1-589.7)+(-1.66617+(-0.408663--0.902241))+0-0-0</f>
        <v>765.22740799999997</v>
      </c>
      <c r="O70" s="3">
        <f>1101.3+(374.5-627.2)+(-0.561663+(-0.190995--0.319872))+0-0-0</f>
        <v>848.16721399999994</v>
      </c>
      <c r="P70" s="3">
        <f>1090.9+(415.5-595)+(0+(0-0))+0-0-0</f>
        <v>911.40000000000009</v>
      </c>
      <c r="Q70" s="3">
        <f>1114.8+(472.2-621)+(-0.568548+(-0.240822--0.31671))+0-0-0</f>
        <v>965.50734</v>
      </c>
      <c r="R70" s="3">
        <f>1108.9+(462.3-642)+(0+(0-0))+0-0-0</f>
        <v>929.2</v>
      </c>
      <c r="S70" s="3">
        <f>1103.7+(497.9-710.9)+(0.562887+(0.253929-0.362559))+0-0-0</f>
        <v>891.15425700000003</v>
      </c>
      <c r="T70" s="3">
        <f>1095.3+(498.7-726.9)+(0+(0-0))+0-0-0</f>
        <v>867.09999999999991</v>
      </c>
      <c r="U70" s="3">
        <f>1089.9+(532.2-771.8)+(-0.555849+(-0.271422--0.393618))+0-0-0</f>
        <v>849.86634700000013</v>
      </c>
      <c r="V70" s="3">
        <f>1088.2+(543.7-752.3)+(-1.664946+(-0.831861--1.151019))+0-0-0</f>
        <v>878.25421200000017</v>
      </c>
      <c r="W70" s="3">
        <f>1087.2+(554.3-763)+(-3.881304+(-1.978851--2.72391))+0-0-0</f>
        <v>875.36375499999997</v>
      </c>
      <c r="X70" s="3">
        <f>1046.1+(527.8-685.2)+(-2.667555+(-1.34589--1.74726))+0-0-0</f>
        <v>886.43381499999987</v>
      </c>
      <c r="Y70" s="3">
        <f>847.8+(557.1-542.7)+(-0.432378+(-0.284121--0.276777))+0-0-0</f>
        <v>861.76027799999997</v>
      </c>
      <c r="Z70" s="3">
        <f>1063.9+(541.5-600)+(-0.542589+(-0.276165--0.306))+0-0-0</f>
        <v>1004.8872460000001</v>
      </c>
      <c r="AA70" s="3">
        <f>1078.4+(609.9-548.9)+(-1.099968+(-0.622098--0.559878))+0-0-0</f>
        <v>1138.2378120000001</v>
      </c>
      <c r="AB70" s="3">
        <f>1070.3+(679.5-656)+(-2.729265+(-1.732725--1.6728))+0-0-0</f>
        <v>1091.01081</v>
      </c>
      <c r="AC70" s="3">
        <f>1061+(648.5-700.1)+(-2.16444+(-1.32294--1.428204))+0-0-0</f>
        <v>1007.340824</v>
      </c>
      <c r="AD70">
        <f t="shared" si="1"/>
        <v>20508.322422999998</v>
      </c>
      <c r="AE70" s="3">
        <f>1082+(576.6-521.4)+(0+(0-0))+0-0-0</f>
        <v>1137.2</v>
      </c>
    </row>
    <row r="71" spans="1:31" s="2" customFormat="1" x14ac:dyDescent="0.25">
      <c r="A71">
        <v>89</v>
      </c>
      <c r="B71">
        <v>3</v>
      </c>
      <c r="C71">
        <v>9</v>
      </c>
      <c r="D71">
        <v>2</v>
      </c>
      <c r="E71">
        <v>1</v>
      </c>
      <c r="F71" s="3">
        <f>1042.7+(599.7-765.7)+(-1.595331+(-0.917541--1.171521))+0-0-0</f>
        <v>875.35864900000001</v>
      </c>
      <c r="G71" s="3">
        <f>1040.2+(505.9-749.8)+(-1.061004+(-0.516018--0.764796))+0-0-0</f>
        <v>795.48777400000006</v>
      </c>
      <c r="H71" s="3">
        <f>1047.1+(403.8-707.3)+(-0.534021+(-0.205938--0.360723))+0-0-0</f>
        <v>743.22076399999992</v>
      </c>
      <c r="I71" s="3">
        <f>1040.2+(389.5-714.2)+(-2.122008+(-0.79458--1.456968))+0-0-0</f>
        <v>714.04038000000003</v>
      </c>
      <c r="J71" s="3">
        <f>1046.2+(399.3-735.6)+(-0.533562+(-0.203643--0.375156))+0-0-0</f>
        <v>709.53795100000013</v>
      </c>
      <c r="K71" s="3">
        <f>967.8+(418.1-669.7)+(-1.480734+(-0.639693--1.024641))+0-0-0</f>
        <v>715.10421399999996</v>
      </c>
      <c r="L71" s="3">
        <f>836.3+(359.6-515.1)+(-1.706052+(-0.733584--1.050804))+0-0-0</f>
        <v>679.41116799999998</v>
      </c>
      <c r="M71" s="3">
        <f>900.4+(322.6-516.5)+(0+(0-0))+0-0-0</f>
        <v>706.5</v>
      </c>
      <c r="N71" s="3">
        <f>1023.8+(323.1-557.1)+(0.522138+(0.164781-0.284121))+0-0-0</f>
        <v>790.20279799999992</v>
      </c>
      <c r="O71" s="3">
        <f>1048.8+(379.7-567.8)+(-0.534888+(-0.193647--0.289578))+0-0-0</f>
        <v>860.26104300000009</v>
      </c>
      <c r="P71" s="3">
        <f>1050.6+(408.2-565.5)+(0.535806+(0.208182-0.288405))+0-0-0</f>
        <v>893.755583</v>
      </c>
      <c r="Q71" s="3">
        <f>1054+(444.2-584.9)+(0+(0-0))+0-0-0</f>
        <v>913.3</v>
      </c>
      <c r="R71" s="3">
        <f>1050.1+(481.8-615.1)+(-1.071102+(-0.491436--0.627402))+0-0-0</f>
        <v>915.8648639999999</v>
      </c>
      <c r="S71" s="3">
        <f>1046.6+(541.2-688)+(-1.067532+(-0.552024--0.70176))+0-0-0</f>
        <v>898.882204</v>
      </c>
      <c r="T71" s="3">
        <f>1062.2+(559.2-726)+(0+(0-0))+0-0-0</f>
        <v>895.40000000000009</v>
      </c>
      <c r="U71" s="3">
        <f>1049.7+(587-737.6)+(0.535347+(0.29937-0.376176))+0-0-0</f>
        <v>899.55854099999999</v>
      </c>
      <c r="V71" s="3">
        <f>1042.5+(580.6-707)+(-1.595025+(-0.888318--1.08171))+0-0-0</f>
        <v>914.69836700000008</v>
      </c>
      <c r="W71" s="3">
        <f>1043.7+(625.4-757.6)+(-1.596861+(-0.956862--1.159128))+0-0-0</f>
        <v>910.10540500000002</v>
      </c>
      <c r="X71" s="3">
        <f>1038.8+(547.7-688.7)+(-4.238304+(-2.234616--2.809896))+0-0-0</f>
        <v>894.136976</v>
      </c>
      <c r="Y71" s="3">
        <f>888.2+(509.6-527.2)+(-0.452982+(-0.259896--0.268872))+0-0-0</f>
        <v>870.15599400000008</v>
      </c>
      <c r="Z71" s="3">
        <f>1060.2+(538.1-597)+(0+(0-0))+0-0-0</f>
        <v>1001.3000000000001</v>
      </c>
      <c r="AA71" s="3">
        <f>1059.2+(574.2-504.2)+(-1.620576+(-0.878526--0.771426))+0-0-0</f>
        <v>1127.4723240000001</v>
      </c>
      <c r="AB71" s="3">
        <f>1057.9+(623.7-586)+(-1.618587+(-0.954261--0.89658))+0-0-0</f>
        <v>1093.9237320000002</v>
      </c>
      <c r="AC71" s="3">
        <f>923.6+(689-625.9)+(-2.35518+(-1.75695--1.596045))+0-0-0</f>
        <v>984.18391500000007</v>
      </c>
      <c r="AD71">
        <f t="shared" si="1"/>
        <v>20801.862645999998</v>
      </c>
      <c r="AE71" s="3">
        <f>1060+(553.9-525.2)+(0+(0-0))+0-0-0</f>
        <v>1088.6999999999998</v>
      </c>
    </row>
    <row r="72" spans="1:31" s="2" customFormat="1" x14ac:dyDescent="0.25">
      <c r="A72">
        <v>89</v>
      </c>
      <c r="B72">
        <v>3</v>
      </c>
      <c r="C72">
        <v>10</v>
      </c>
      <c r="D72">
        <v>3</v>
      </c>
      <c r="E72">
        <v>1</v>
      </c>
      <c r="F72" s="3">
        <f>765.7+(666.3-573.5)+(-0.390507+(-0.339813--0.292485))+0-0-0</f>
        <v>858.06216500000005</v>
      </c>
      <c r="G72" s="3">
        <f>741.7+(619.4-584.7)+(-0.756534+(-0.631788--0.596394))+0-0-0</f>
        <v>775.60807199999999</v>
      </c>
      <c r="H72" s="3">
        <f>611.8+(665.6-552.5)+(0+(0-0))+0-0-0</f>
        <v>724.9</v>
      </c>
      <c r="I72" s="3">
        <f>602.8+(682-582.4)+(-0.922284+(-1.04346--0.891072))+0-0-0</f>
        <v>701.32532800000001</v>
      </c>
      <c r="J72" s="3">
        <f>600.2+(654.2-564.9)+(-0.918306+(-1.000926--0.864297))+0-0-0</f>
        <v>688.44506500000011</v>
      </c>
      <c r="K72" s="3">
        <f>560.4+(664.6-541.3)+(-0.571608+(-0.677892--0.552126))+0-0-0</f>
        <v>683.00262600000008</v>
      </c>
      <c r="L72" s="3">
        <f>389.2+(750.6-489.3)+(0+(0-0))+0-0-0</f>
        <v>650.5</v>
      </c>
      <c r="M72" s="3">
        <f>458.3+(719.6-500)+(0.233733+(0.366996-0.255))+0-0-0</f>
        <v>678.2457290000001</v>
      </c>
      <c r="N72" s="3">
        <f>713.9+(610.5-562.6)+(0.728178+(0.62271-0.573852))+0-0-0</f>
        <v>762.57703599999991</v>
      </c>
      <c r="O72" s="3">
        <f>761.2+(654-618.1)+(0+(0-0))+0-0-0</f>
        <v>797.1</v>
      </c>
      <c r="P72" s="3">
        <f>763.4+(690.9-592.1)+(0.389334+(0.352359-0.301971))+0-0-0</f>
        <v>862.63972199999989</v>
      </c>
      <c r="Q72" s="3">
        <f>770.2+(685.8-564.7)+(0.392802+(0.349758-0.287997))+0-0-0</f>
        <v>891.75456299999996</v>
      </c>
      <c r="R72" s="3">
        <f>772.6+(646.4-528.9)+(-0.788052+(-0.659328--0.539478))+0-0-0</f>
        <v>889.19209799999999</v>
      </c>
      <c r="S72" s="3">
        <f>772.6+(689.2-550)+(-0.788052+(-0.702984--0.561))+0-0-0</f>
        <v>910.8699640000001</v>
      </c>
      <c r="T72" s="3">
        <f>764.9+(687.3-582.2)+(-0.390099+(-0.350523--0.296922))+0-0-0</f>
        <v>869.55629999999985</v>
      </c>
      <c r="U72" s="3">
        <f>755.6+(709.5-587.4)+(-0.770712+(-0.72369--0.599148))+0-0-0</f>
        <v>876.80474600000002</v>
      </c>
      <c r="V72" s="3">
        <f>743.9+(691-553.4)+(-1.517556+(-1.40964--1.128936))+0-0-0</f>
        <v>879.70173999999997</v>
      </c>
      <c r="W72" s="3">
        <f>741+(707.8-570)+(-2.26746+(-2.165868--1.7442))+0-0-0</f>
        <v>876.11087199999997</v>
      </c>
      <c r="X72" s="3">
        <f>729.9+(679.3-555)+(-1.861245+(-1.732215--1.41525))+0-0-0</f>
        <v>852.0217899999999</v>
      </c>
      <c r="Y72" s="3">
        <f>720.3+(632.5-516)+(-0.734706+(-0.64515--0.52632))+0-0-0</f>
        <v>835.94646399999999</v>
      </c>
      <c r="Z72" s="3">
        <f>742.9+(711.3-516.2)+(-0.757758+(-0.725526--0.526524))+0-0-0</f>
        <v>937.04323999999986</v>
      </c>
      <c r="AA72" s="3">
        <f>766.6+(837.7-531.9)+(-0.390966+(-0.427227--0.271269))+0-0-0</f>
        <v>1071.8530760000001</v>
      </c>
      <c r="AB72" s="3">
        <f>763.8+(808.3-543.2)+(-0.779076+(-0.824466--0.554064))+0-0-0</f>
        <v>1027.850522</v>
      </c>
      <c r="AC72" s="3">
        <f>756.8+(726.2-543.9)+(-1.157904+(-1.111086--0.832167))+0-0-0</f>
        <v>937.66317700000002</v>
      </c>
      <c r="AD72">
        <f t="shared" si="1"/>
        <v>20038.774294999999</v>
      </c>
      <c r="AE72" s="3">
        <f>766+(835.6-527.9)+(0+(0-0))+0-0-0</f>
        <v>1073.7</v>
      </c>
    </row>
    <row r="73" spans="1:31" s="2" customFormat="1" x14ac:dyDescent="0.25">
      <c r="A73">
        <v>89</v>
      </c>
      <c r="B73">
        <v>3</v>
      </c>
      <c r="C73">
        <v>11</v>
      </c>
      <c r="D73">
        <v>4</v>
      </c>
      <c r="E73">
        <v>1</v>
      </c>
      <c r="F73" s="3">
        <f>753.4+(644.5-570.2)+(-1.92117+(-1.643475--1.45401))+0-0-0</f>
        <v>825.58936499999993</v>
      </c>
      <c r="G73" s="3">
        <f>756+(586.8-599.7)+(-1.15668+(-0.897804--0.917541))+0-0-0</f>
        <v>741.96305699999994</v>
      </c>
      <c r="H73" s="3">
        <f>747.4+(548.4-587)+(-1.143522+(-0.839052--0.89811))+0-0-0</f>
        <v>707.71553599999993</v>
      </c>
      <c r="I73" s="3">
        <f>646.1+(570.5-542.8)+(0+(0-0))+0-0-0</f>
        <v>673.80000000000007</v>
      </c>
      <c r="J73" s="3">
        <f>648.4+(565.5-554.9)+(0.330684+(0.288405-0.282999))+0-0-0</f>
        <v>659.33609000000001</v>
      </c>
      <c r="K73" s="3">
        <f>625+(592.2-551.6)+(-1.9125+(-1.812132--1.687896))+0-0-0</f>
        <v>663.563264</v>
      </c>
      <c r="L73" s="3">
        <f>536.1+(613.5-519.6)+(-0.273411+(-0.312885--0.264996))+0-0-0</f>
        <v>629.67870000000005</v>
      </c>
      <c r="M73" s="3">
        <f>623.3+(613-561.9)+(-1.271532+(-1.25052--1.146276))+0-0-0</f>
        <v>673.024224</v>
      </c>
      <c r="N73" s="3">
        <f>731.7+(616.1-585.5)+(0.373167+(0.314211-0.298605))+0-0-0</f>
        <v>762.68877300000008</v>
      </c>
      <c r="O73" s="3">
        <f>761.8+(668.3-582)+(0.388518+(0.340833-0.29682))+0-0-0</f>
        <v>848.53253099999995</v>
      </c>
      <c r="P73" s="3">
        <f>756.5+(706-564.2)+(-0.77163+(-0.72012--0.575484))+0-0-0</f>
        <v>897.383734</v>
      </c>
      <c r="Q73" s="3">
        <f>757.9+(722-569.6)+(-0.386529+(-0.36822--0.290496))+0-0-0</f>
        <v>909.83574699999997</v>
      </c>
      <c r="R73" s="3">
        <f>759.5+(672-524.6)+(0.387345+(0.34272-0.267546))+0-0-0</f>
        <v>907.36251900000002</v>
      </c>
      <c r="S73" s="3">
        <f>766+(656.5-523.8)+(-0.39066+(-0.334815--0.267138))+0-0-0</f>
        <v>898.24166300000002</v>
      </c>
      <c r="T73" s="3">
        <f>824.7+(646.4-583.5)+(0.841194+(0.659328-0.59517))+0-0-0</f>
        <v>888.50535200000002</v>
      </c>
      <c r="U73" s="3">
        <f>962.7+(579.7-647.7)+(-1.472931+(-0.886941--0.990981))+0-0-0</f>
        <v>893.33110900000008</v>
      </c>
      <c r="V73" s="3">
        <f>1055.4+(567.5-713.6)+(-1.076508+(-0.57885--0.727872))+0-0-0</f>
        <v>908.37251400000002</v>
      </c>
      <c r="W73" s="3">
        <f>1053.6+(581-729.2)+(-2.68668+(-1.48155--1.85946))+0-0-0</f>
        <v>903.09122999999988</v>
      </c>
      <c r="X73" s="3">
        <f>1055.5+(538-707.9)+(-2.691525+(-1.3719--1.805145))+0-0-0</f>
        <v>883.34172000000001</v>
      </c>
      <c r="Y73" s="3">
        <f>1029.1+(525.8-678.4)+(-0.524841+(-0.268158--0.345984))+0-0-0</f>
        <v>876.05298499999992</v>
      </c>
      <c r="Z73" s="3">
        <f>1055.4+(552.1-624.2)+(-1.076508+(-0.563142--0.636684))+0-0-0</f>
        <v>982.29703400000005</v>
      </c>
      <c r="AA73" s="3">
        <f>1062.4+(595.9-530.7)+(-0.541824+(-0.303909--0.270657))+0-0-0</f>
        <v>1127.0249239999998</v>
      </c>
      <c r="AB73" s="3">
        <f>1037.8+(640.5-573.2)+(-0.529278+(-0.326655--0.292332))+0-0-0</f>
        <v>1104.5363989999998</v>
      </c>
      <c r="AC73" s="3">
        <f>1038.3+(704.9-728.7)+(-2.118132+(-1.437996--1.486548))+0-0-0</f>
        <v>1012.4304199999999</v>
      </c>
      <c r="AD73">
        <f t="shared" si="1"/>
        <v>20377.698890000003</v>
      </c>
      <c r="AE73" s="3">
        <f>1070+(589.7-529.2)+(0+(0-0))+0-0-0</f>
        <v>1130.5</v>
      </c>
    </row>
    <row r="74" spans="1:31" s="2" customFormat="1" x14ac:dyDescent="0.25">
      <c r="A74">
        <v>89</v>
      </c>
      <c r="B74">
        <v>3</v>
      </c>
      <c r="C74">
        <v>12</v>
      </c>
      <c r="D74">
        <v>5</v>
      </c>
      <c r="E74">
        <v>1</v>
      </c>
      <c r="F74" s="3">
        <f>1090.8+(510.1-716.8)+(-0.556308+(-0.260151--0.365568))+0-0-0</f>
        <v>883.64910900000007</v>
      </c>
      <c r="G74" s="3">
        <f>1081.3+(389.5-673.5)+(-1.102926+(-0.39729--0.68697))+0-0-0</f>
        <v>796.48675399999991</v>
      </c>
      <c r="H74" s="3">
        <f>1021.4+(383.2-659)+(-0.520914+(-0.195432--0.33609))+0-0-0</f>
        <v>745.21974399999988</v>
      </c>
      <c r="I74" s="3">
        <f>983.4+(398.6-664)+(-2.006136+(-0.813144--1.35456))+0-0-0</f>
        <v>716.53527999999994</v>
      </c>
      <c r="J74" s="3">
        <f>987.1+(398.8-680.4)+(0.503421+(0.203388-0.347004))+0-0-0</f>
        <v>705.85980500000005</v>
      </c>
      <c r="K74" s="3">
        <f>971.3+(400.7-656.1)+(-1.981452+(-0.817428--1.338444))+0-0-0</f>
        <v>714.4395639999999</v>
      </c>
      <c r="L74" s="3">
        <f>793.1+(416.6-551.5)+(-1.617924+(-0.849864--1.12506))+0-0-0</f>
        <v>656.85727200000008</v>
      </c>
      <c r="M74" s="3">
        <f>1031.4+(302.8-623.5)+(0.526014+(0.154428-0.317985))+0-0-0</f>
        <v>711.06245699999999</v>
      </c>
      <c r="N74" s="3">
        <f>1074.1+(336-606.6)+(-1.643373+(-0.51408--0.928098))+0-0-0</f>
        <v>802.27064499999983</v>
      </c>
      <c r="O74" s="3">
        <f>1074.1+(410.2-620.9)+(-1.095582+(-0.418404--0.633318))+0-0-0</f>
        <v>862.51933199999985</v>
      </c>
      <c r="P74" s="3">
        <f>1073.9+(443.3-600.9)+(0+(0-0))+0-0-0</f>
        <v>916.30000000000018</v>
      </c>
      <c r="Q74" s="3">
        <f>1062.4+(419.3-557.4)+(0.541824+(0.213843-0.284274))+0-0-0</f>
        <v>924.77139300000022</v>
      </c>
      <c r="R74" s="3">
        <f>1098.5+(439.1-612.6)+(1.12047+(0.447882-0.624852))+0-0-0</f>
        <v>925.94349999999997</v>
      </c>
      <c r="S74" s="3">
        <f>1095.3+(495.2-666.2)+(-0.558603+(-0.252552--0.339762))+0-0-0</f>
        <v>923.82860699999992</v>
      </c>
      <c r="T74" s="3">
        <f>1095.1+(497.1-671.1)+(-1.675503+(-0.760563--1.026783))+0-0-0</f>
        <v>919.69071699999995</v>
      </c>
      <c r="U74" s="3">
        <f>1092.3+(500.2-678.9)+(0+(0-0))+0-0-0</f>
        <v>913.59999999999991</v>
      </c>
      <c r="V74" s="3">
        <f>1089.8+(506.8-683.3)+(-0.555798+(-0.258468--0.348483))+0-0-0</f>
        <v>912.83421699999997</v>
      </c>
      <c r="W74" s="3">
        <f>1089.1+(532.7-699.6)+(-1.110882+(-0.543354--0.713592))+0-0-0</f>
        <v>921.25935599999991</v>
      </c>
      <c r="X74" s="3">
        <f>1090.3+(474.1-662.5)+(-1.668159+(-0.725373--1.013625))+0-0-0</f>
        <v>900.52009299999997</v>
      </c>
      <c r="Y74" s="3">
        <f>1057.9+(459-631.9)+(0+(0-0))+0-0-0</f>
        <v>885.00000000000011</v>
      </c>
      <c r="Z74" s="3">
        <f>1047.6+(504.6-576.6)+(0+(0-0))+0-0-0</f>
        <v>975.59999999999991</v>
      </c>
      <c r="AA74" s="3">
        <f>1079.5+(608.1-551.6)+(-1.10109+(-0.620262--0.562632))+0-0-0</f>
        <v>1134.8412800000001</v>
      </c>
      <c r="AB74" s="3">
        <f>1083.8+(585.3-564.7)+(-1.105476+(-0.597006--0.575994))+0-0-0</f>
        <v>1103.2735119999998</v>
      </c>
      <c r="AC74" s="3">
        <f>1081.4+(619-682.3)+(-1.654542+(-0.94707--1.043919))+0-0-0</f>
        <v>1016.5423070000002</v>
      </c>
      <c r="AD74">
        <f t="shared" si="1"/>
        <v>20968.904943999998</v>
      </c>
      <c r="AE74" s="3">
        <f>1076+(637.4-574.2)+(0+(0-0))+0-0-0</f>
        <v>1139.1999999999998</v>
      </c>
    </row>
    <row r="75" spans="1:31" s="2" customFormat="1" x14ac:dyDescent="0.25">
      <c r="A75">
        <v>89</v>
      </c>
      <c r="B75">
        <v>3</v>
      </c>
      <c r="C75">
        <v>13</v>
      </c>
      <c r="D75">
        <v>6</v>
      </c>
      <c r="E75">
        <v>1</v>
      </c>
      <c r="F75" s="3">
        <f>1086.4+(591.9-759)+(0+(0-0))+0-0-0</f>
        <v>919.30000000000007</v>
      </c>
      <c r="G75" s="3">
        <f>1118.4+(509.5-790.2)+(-0.570384+(-0.259845--0.403002))+0-0-0</f>
        <v>837.27277300000003</v>
      </c>
      <c r="H75" s="3">
        <f>1080.5+(507.9-797.6)+(-1.10211+(-0.518058--0.813552))+0-0-0</f>
        <v>789.99338399999999</v>
      </c>
      <c r="I75" s="3">
        <f>1083.4+(472.4-788.4)+(-1.105068+(-0.481848--0.804168))+0-0-0</f>
        <v>766.61725200000012</v>
      </c>
      <c r="J75" s="3">
        <f>1078.7+(402.7-731.7)+(-1.100274+(-0.410754--0.746334))+0-0-0</f>
        <v>748.93530600000008</v>
      </c>
      <c r="K75" s="3">
        <f>1080.4+(378.5-721.9)+(-1.102008+(-0.38607--0.736338))+0-0-0</f>
        <v>736.24826000000007</v>
      </c>
      <c r="L75" s="3">
        <f>1046.5+(336.8-678.9)+(-0.533715+(-0.171768--0.346239))+0-0-0</f>
        <v>704.0407560000001</v>
      </c>
      <c r="M75" s="3">
        <f>1062.2+(284.4-616.2)+(0+(0-0))+0-0-0</f>
        <v>730.4</v>
      </c>
      <c r="N75" s="3">
        <f>1067.6+(312.7-562.7)+(1.088952+(0.318954-0.573954))+0-0-0</f>
        <v>818.43395199999986</v>
      </c>
      <c r="O75" s="3">
        <f>1038.3+(404-542.2)+(-0.529533+(-0.20604--0.276522))+0-0-0</f>
        <v>899.64094899999986</v>
      </c>
      <c r="P75" s="3">
        <f>1080.3+(503.3-631.9)+(0+(0-0))+0-0-0</f>
        <v>951.7</v>
      </c>
      <c r="Q75" s="3">
        <f>1100.3+(490.9-609.6)+(1.122306+(0.500718-0.621792))+0-0-0</f>
        <v>982.60123199999987</v>
      </c>
      <c r="R75" s="3">
        <f>1097.5+(480.9-631.5)+(0+(0-0))+0-0-0</f>
        <v>946.9</v>
      </c>
      <c r="S75" s="3">
        <f>1075.3+(520.9-672.9)+(-1.096806+(-0.531318--0.686358))+0-0-0</f>
        <v>922.35823399999992</v>
      </c>
      <c r="T75" s="3">
        <f>1082.2+(535.4-708.1)+(-1.103844+(-0.546108--0.722262))+0-0-0</f>
        <v>908.57231000000002</v>
      </c>
      <c r="U75" s="3">
        <f>1089+(542.4-723.1)+(-0.55539+(-0.276624--0.368781))+0-0-0</f>
        <v>907.83676700000001</v>
      </c>
      <c r="V75" s="3">
        <f>1087+(539.2-694.9)+(-2.77185+(-1.37496--1.771995))+0-0-0</f>
        <v>928.92518500000006</v>
      </c>
      <c r="W75" s="3">
        <f>1086.4+(568.8-727.2)+(-2.77032+(-1.45044--1.85436))+0-0-0</f>
        <v>925.6336</v>
      </c>
      <c r="X75" s="3">
        <f>1063.7+(514.5-674.6)+(-2.169948+(-1.04958--1.376184))+0-0-0</f>
        <v>901.75665600000002</v>
      </c>
      <c r="Y75" s="3">
        <f>1087.8+(463.1-663.8)+(0+(0-0))+0-0-0</f>
        <v>887.1</v>
      </c>
      <c r="Z75" s="3">
        <f>1094.9+(507.7-631.8)+(-1.675197+(-0.776781--0.966654))+0-0-0</f>
        <v>969.31467600000019</v>
      </c>
      <c r="AA75" s="3">
        <f>1102.4+(551.8-533.2)+(-1.686672+(-0.844254--0.815796))+0-0-0</f>
        <v>1119.28487</v>
      </c>
      <c r="AB75" s="3">
        <f>1109.1+(582.6-595)+(-0.565641+(-0.297126--0.30345))+0-0-0</f>
        <v>1096.1406829999999</v>
      </c>
      <c r="AC75" s="3">
        <f>1116.2+(682.2-772.8)+(-1.707786+(-1.043766--1.182384))+0-0-0</f>
        <v>1024.0308320000001</v>
      </c>
      <c r="AD75">
        <f t="shared" si="1"/>
        <v>21423.037677</v>
      </c>
      <c r="AE75" s="3">
        <f>1098+(560-541)+(0+(0-0))+0-0-0</f>
        <v>1117</v>
      </c>
    </row>
    <row r="76" spans="1:31" s="2" customFormat="1" x14ac:dyDescent="0.25">
      <c r="A76">
        <v>89</v>
      </c>
      <c r="B76">
        <v>3</v>
      </c>
      <c r="C76">
        <v>14</v>
      </c>
      <c r="D76">
        <v>7</v>
      </c>
      <c r="E76">
        <v>4</v>
      </c>
      <c r="F76" s="3">
        <f>1107.9+(596.6-775)+(0+(0-0))+0-0-0</f>
        <v>929.50000000000011</v>
      </c>
      <c r="G76" s="3">
        <f>1082.8+(516-766.5)+(-0.552228+(-0.26316--0.390915))+0-0-0</f>
        <v>831.87552699999992</v>
      </c>
      <c r="H76" s="3">
        <f>1088+(478.6-798.3)+(1.10976+(0.488172-0.814266))+0-0-0</f>
        <v>769.08366600000011</v>
      </c>
      <c r="I76" s="3">
        <f>1081.8+(478.9-813.3)+(-1.103436+(-0.488478--0.829566))+0-0-0</f>
        <v>746.637652</v>
      </c>
      <c r="J76" s="3">
        <f>1084.8+(436.8-791.6)+(0+(0-0))+0-0-0</f>
        <v>730</v>
      </c>
      <c r="K76" s="3">
        <f>1082.3+(461.9-824.1)+(0+(0-0))+0-0-0</f>
        <v>720.09999999999991</v>
      </c>
      <c r="L76" s="3">
        <f>923+(461-690.7)+(0+(0-0))+0-0-0</f>
        <v>693.3</v>
      </c>
      <c r="M76" s="3">
        <f>859.6+(429.8-588.6)+(-1.315188+(-0.657594--0.900558))+0-0-0</f>
        <v>699.72777599999995</v>
      </c>
      <c r="N76" s="3">
        <f>856+(435.8-559.2)+(-0.87312+(-0.444516--0.570384))+0-0-0</f>
        <v>731.85274799999991</v>
      </c>
      <c r="O76" s="3">
        <f>970+(427.5-617)+(-0.4947+(-0.218025--0.31467))+0-0-0</f>
        <v>780.101945</v>
      </c>
      <c r="P76" s="3">
        <f>1063.2+(419.5-642.9)+(0.542232+(0.213945-0.327879))+0-0-0</f>
        <v>840.22829800000011</v>
      </c>
      <c r="Q76" s="3">
        <f>1040.5+(441-609.6)+(0+(0-0))+0-0-0</f>
        <v>871.9</v>
      </c>
      <c r="R76" s="3">
        <f>1036.4+(423.6-574)+(-1.057128+(-0.432072--0.58548))+0-0-0</f>
        <v>885.09628000000009</v>
      </c>
      <c r="S76" s="3">
        <f>1072.3+(443.6-649)+(-1.093746+(-0.452472--0.66198))+0-0-0</f>
        <v>866.015762</v>
      </c>
      <c r="T76" s="3">
        <f>1086.1+(445.4-659.9)+(-1.107822+(-0.454308--0.673098))+0-0-0</f>
        <v>870.71096799999987</v>
      </c>
      <c r="U76" s="3">
        <f>1070.9+(460.2-653.5)+(-1.092318+(-0.469404--0.66657))+2.7-0-0</f>
        <v>879.40484800000013</v>
      </c>
      <c r="V76" s="3">
        <f>1041.7+(460.2-636.5)+(-1.062534+(-0.469404--0.64923))+0-0-0</f>
        <v>864.51729200000011</v>
      </c>
      <c r="W76" s="3">
        <f>1036.4+(446.6-620.2)+(-1.585692+(-0.683298--0.948906))+0-0-0</f>
        <v>861.47991600000012</v>
      </c>
      <c r="X76" s="3">
        <f>1037.6+(403.6-588)+(-1.058352+(-0.411672--0.59976))+0-0-0</f>
        <v>852.32973599999991</v>
      </c>
      <c r="Y76" s="3">
        <f>1043.6+(400.1-591.9)+(-0.532236+(-0.204051--0.301869))+0-0-0</f>
        <v>851.3655819999999</v>
      </c>
      <c r="Z76" s="3">
        <f>1044+(536.6-647.6)+(-0.53244+(-0.273666--0.330276))+0-0-0</f>
        <v>932.52417000000003</v>
      </c>
      <c r="AA76" s="3">
        <f>1049.9+(597-545.6)+(-0.535449+(-0.30447--0.278256))+0-0-0</f>
        <v>1100.7383370000002</v>
      </c>
      <c r="AB76" s="3">
        <f>1061+(602.1-576.4)+(-1.62333+(-0.921213--0.881892))+0-0-0</f>
        <v>1085.0373489999999</v>
      </c>
      <c r="AC76" s="3">
        <f>1110+(573.3-655.6)+(-1.1322+(-0.584766--0.668712))+0-0-0</f>
        <v>1026.6517459999998</v>
      </c>
      <c r="AD76">
        <f t="shared" si="1"/>
        <v>20420.179597999999</v>
      </c>
      <c r="AE76" s="3">
        <f>1067+(579.5-536.4)+(0+(0-0))+0-0-0</f>
        <v>1110.0999999999999</v>
      </c>
    </row>
    <row r="77" spans="1:31" s="2" customFormat="1" x14ac:dyDescent="0.25">
      <c r="A77">
        <v>89</v>
      </c>
      <c r="B77">
        <v>3</v>
      </c>
      <c r="C77">
        <v>15</v>
      </c>
      <c r="D77">
        <v>1</v>
      </c>
      <c r="E77">
        <v>4</v>
      </c>
      <c r="F77" s="3">
        <f>1112.7+(522-783.1)+(-1.702431+(-0.79866--1.198143))+0-0-0</f>
        <v>850.29705200000001</v>
      </c>
      <c r="G77" s="3">
        <f>1120+(477.1-758.6)+(0+(0-0))+0-0-0</f>
        <v>838.5</v>
      </c>
      <c r="H77" s="3">
        <f>1050.8+(424.4-703.3)+(1.071816+(0.432888-0.717366))+6.2-0-0</f>
        <v>778.887338</v>
      </c>
      <c r="I77" s="3">
        <f>1006.4+(430.4-693.1)+(-1.026528+(-0.439008--0.706962))+6-0-0</f>
        <v>748.94142599999998</v>
      </c>
      <c r="J77" s="3">
        <f>990.4+(407.8-668.2)+(0+(0-0))+0-0-0</f>
        <v>730</v>
      </c>
      <c r="K77" s="3">
        <f>984.6+(415.8-677.2)+(-2.008584+(-0.848232--1.381488))+0-0-0</f>
        <v>721.72467200000006</v>
      </c>
      <c r="L77" s="3">
        <f>984.6+(407.9-704.1)+(-1.004292+(-0.416058--0.718182))+0-0-0</f>
        <v>687.69783199999995</v>
      </c>
      <c r="M77" s="3">
        <f>1030.6+(290.3-628.1)+(0+(0-0))+0-0-0</f>
        <v>692.8</v>
      </c>
      <c r="N77" s="3">
        <f>1083.7+(298.9-620.9)+(0.552687+(0.152439-0.316659))+0-0-0</f>
        <v>762.08846700000004</v>
      </c>
      <c r="O77" s="3">
        <f>1080+(341.7-576.7)+(0.5508+(0.174267-0.294117))+0-0-0</f>
        <v>845.43095000000005</v>
      </c>
      <c r="P77" s="3">
        <f>1094.5+(414.6-604.6)+(1.674585+(0.634338-0.925038))+0-0-0</f>
        <v>905.88388499999996</v>
      </c>
      <c r="Q77" s="3">
        <f>1093.7+(466.1-619.7)+(1.115574+(0.475422-0.632094))+0-0-0</f>
        <v>941.05890199999999</v>
      </c>
      <c r="R77" s="3">
        <f>1089.9+(452-594.8)+(0+(0-0))+18.6-0-0</f>
        <v>965.70000000000016</v>
      </c>
      <c r="S77" s="3">
        <f>1086.2+(419.6-564.8)+(-0.553962+(-0.213996--0.288048))+26-0-0</f>
        <v>966.5200900000001</v>
      </c>
      <c r="T77" s="3">
        <f>1083.3+(469-611)+(0+(0-0))+19.9-0-0</f>
        <v>961.19999999999993</v>
      </c>
      <c r="U77" s="3">
        <f>1081.4+(495.9-621.5)+(-1.103028+(-0.505818--0.63393))+12-0-0</f>
        <v>966.82508400000006</v>
      </c>
      <c r="V77" s="3">
        <f>1088.7+(457.9-605.6)+(-0.555237+(-0.233529--0.308856))+12-0-0</f>
        <v>952.52008999999998</v>
      </c>
      <c r="W77" s="3">
        <f>1104.5+(469.4-651.7)+(-2.816475+(-1.19697--1.661835))+12-0-0</f>
        <v>931.84838999999988</v>
      </c>
      <c r="X77" s="3">
        <f>1105.7+(488.4-709.6)+(-1.691721+(-0.747252--1.085688))+11.2-0-0</f>
        <v>894.34671500000002</v>
      </c>
      <c r="Y77" s="3">
        <f>1105.9+(472.2-693)+(-3.384054+(-1.444932--2.12058))+0-0-0</f>
        <v>882.39159400000017</v>
      </c>
      <c r="Z77" s="3">
        <f>1112.8+(435.2-581.2)+(-0.567528+(-0.221952--0.296412))+0-0-0</f>
        <v>966.30693199999996</v>
      </c>
      <c r="AA77" s="3">
        <f>1118.7+(519.1-552.6)+(-2.852685+(-1.323705--1.40913))+0-0-0</f>
        <v>1082.43274</v>
      </c>
      <c r="AB77" s="3">
        <f>1116.1+(514.8-551.6)+(-1.138422+(-0.525096--0.562632))+0-0-0</f>
        <v>1078.1991139999998</v>
      </c>
      <c r="AC77" s="3">
        <f>1119.1+(631.1-732.1)+(-2.282964+(-1.287444--1.493484))+0-0-0</f>
        <v>1016.0230759999999</v>
      </c>
      <c r="AD77">
        <f t="shared" si="1"/>
        <v>21167.624349000002</v>
      </c>
      <c r="AE77" s="3">
        <f>1112+(525-549)+(0+(0-0))+0-0-0</f>
        <v>1088</v>
      </c>
    </row>
    <row r="78" spans="1:31" s="2" customFormat="1" x14ac:dyDescent="0.25">
      <c r="A78">
        <v>89</v>
      </c>
      <c r="B78">
        <v>3</v>
      </c>
      <c r="C78">
        <v>16</v>
      </c>
      <c r="D78">
        <v>2</v>
      </c>
      <c r="E78">
        <v>1</v>
      </c>
      <c r="F78" s="3">
        <f>1111.5+(595.5-796.5)+(-2.834325+(-1.518525--2.031075))+0-0-0</f>
        <v>908.178225</v>
      </c>
      <c r="G78" s="3">
        <f>1037.9+(562.2-781.5)+(-1.587987+(-0.860166--1.195695))+0-0-0</f>
        <v>817.34754200000009</v>
      </c>
      <c r="H78" s="3">
        <f>1049.1+(510.8-785)+(0.535041+(0.260508-0.40035))+0-0-0</f>
        <v>775.29519899999991</v>
      </c>
      <c r="I78" s="3">
        <f>1037.7+(418.3-700.3)+(-2.646135+(-1.066665--1.785765))+0-0-0</f>
        <v>753.772965</v>
      </c>
      <c r="J78" s="3">
        <f>1045.7+(427.7-787.6)+(0+(0-0))+0-0-0</f>
        <v>685.8</v>
      </c>
      <c r="K78" s="3">
        <f>1027.9+(421.4-717.3)+(-2.621145+(-1.07457--1.829115))+0-0-0</f>
        <v>730.13340000000017</v>
      </c>
      <c r="L78" s="3">
        <f>891.1+(395.5-593.2)+(0.454461+(0.201705-0.302532))+0-0-0</f>
        <v>693.75363400000003</v>
      </c>
      <c r="M78" s="3">
        <f>1031.8+(370.6-666.3)+(-0.526218+(-0.189006--0.339813))+0-0-0</f>
        <v>735.72458900000004</v>
      </c>
      <c r="N78" s="3">
        <f>1084.5+(397.9-655.6)+(0+(0-0))+0-0-0</f>
        <v>826.8</v>
      </c>
      <c r="O78" s="3">
        <f>1082.6+(417.9-605.8)+(0.552126+(0.213129-0.308958))+0-0-0</f>
        <v>895.15629699999988</v>
      </c>
      <c r="P78" s="3">
        <f>1078.3+(420.4-567.4)+(0+(0-0))+0-0-0</f>
        <v>931.3</v>
      </c>
      <c r="Q78" s="3">
        <f>1077.6+(368.7-475.7)+(0.549576+(0.188037-0.242607))+0-0-0</f>
        <v>971.0950059999999</v>
      </c>
      <c r="R78" s="3">
        <f>1055.7+(385-472.8)+(-0.538407+(-0.19635--0.241128))+0-0-0</f>
        <v>967.40637100000004</v>
      </c>
      <c r="S78" s="3">
        <f>1060.1+(335.9-431.4)+(-1.081302+(-0.342618--0.440028))+0-0-0</f>
        <v>963.61610799999994</v>
      </c>
      <c r="T78" s="3">
        <f>1067+(352.1-450.6)+(-1.08834+(-0.359142--0.459612))+0-0-0</f>
        <v>967.51212999999996</v>
      </c>
      <c r="U78" s="3">
        <f>1062.9+(379.5-475.2)+(-1.084158+(-0.38709--0.484704))+0-0-0</f>
        <v>966.21345600000006</v>
      </c>
      <c r="V78" s="3">
        <f>1056.8+(406.8-487.6)+(-2.155872+(-0.829872--0.994704))+0-0-0</f>
        <v>974.00896</v>
      </c>
      <c r="W78" s="3">
        <f>1058.8+(374.4-461.9)+(-2.69994+(-0.95472--1.177845))+0-0-0</f>
        <v>968.82318499999997</v>
      </c>
      <c r="X78" s="3">
        <f>1002.3+(413.3-463.4)+(-3.067038+(-1.264698--1.418004))+0-0-0</f>
        <v>949.28626800000006</v>
      </c>
      <c r="Y78" s="3">
        <f>860.2+(509.9-451.1)+(-1.754808+(-1.040196--0.920244))+0-0-0</f>
        <v>917.12523999999996</v>
      </c>
      <c r="Z78" s="3">
        <f>986.5+(502.8-487.1)+(0+(0-0))+0-0-0</f>
        <v>1002.2</v>
      </c>
      <c r="AA78" s="3">
        <f>1036.4+(636-511.1)+(-2.64282+(-1.6218--1.303305))+0-0-0</f>
        <v>1158.3386850000002</v>
      </c>
      <c r="AB78" s="3">
        <f>1038.3+(607.2-503.1)+(-2.118132+(-1.238688--1.026324))+0-0-0</f>
        <v>1140.0695040000001</v>
      </c>
      <c r="AC78" s="3">
        <f>1035.6+(619.5-596.3)+(-3.168936+(-1.89567--1.824678))+0-0-0</f>
        <v>1055.560072</v>
      </c>
      <c r="AD78">
        <f t="shared" si="1"/>
        <v>21754.516835999999</v>
      </c>
      <c r="AE78" s="3">
        <f>1028+(620.8-512)+(0+(0-0))+0-0-0</f>
        <v>1136.8</v>
      </c>
    </row>
    <row r="79" spans="1:31" s="2" customFormat="1" x14ac:dyDescent="0.25">
      <c r="A79">
        <v>89</v>
      </c>
      <c r="B79">
        <v>3</v>
      </c>
      <c r="C79">
        <v>17</v>
      </c>
      <c r="D79">
        <v>3</v>
      </c>
      <c r="E79">
        <v>1</v>
      </c>
      <c r="F79" s="3">
        <f>1041.2+(573-681.1)+(0+(0-0))+0-0-0</f>
        <v>933.1</v>
      </c>
      <c r="G79" s="3">
        <f>1017.1+(510.6-685.9)+(-1.037442+(-0.520812--0.699618))+0-0-0</f>
        <v>840.94136400000002</v>
      </c>
      <c r="H79" s="3">
        <f>812.1+(539.3-587.4)+(0+(0-0))+0-0-0</f>
        <v>764</v>
      </c>
      <c r="I79" s="3">
        <f>786.1+(559.7-611.5)+(-1.202733+(-0.856341--0.935595))+0-0-0</f>
        <v>733.17652100000009</v>
      </c>
      <c r="J79" s="3">
        <f>789+(552.2-611.1)+(-0.40239+(-0.281622--0.311661))+0-0-0</f>
        <v>729.72764900000004</v>
      </c>
      <c r="K79" s="3">
        <f>783.6+(522.1-576.2)+(-1.598544+(-1.065084--1.175448))+0-0-0</f>
        <v>728.01181999999994</v>
      </c>
      <c r="L79" s="3">
        <f>696.3+(576.6-571.9)+(-0.710226+(-0.588132--0.583338))+0-0-0</f>
        <v>700.28498000000002</v>
      </c>
      <c r="M79" s="3">
        <f>796.1+(541.5-614.2)+(0+(0-0))+0-0-0</f>
        <v>723.4</v>
      </c>
      <c r="N79" s="3">
        <f>1055.2+(443.4-658.4)+(-0.538152+(-0.226134--0.335784))+0-0-0</f>
        <v>839.77149800000007</v>
      </c>
      <c r="O79" s="3">
        <f>1076.2+(433.9-586.6)+(-1.097724+(-0.442578--0.598332))+0-0-0</f>
        <v>922.55803000000003</v>
      </c>
      <c r="P79" s="3">
        <f>1076.7+(467-567.1)+(-0.549117+(-0.23817--0.289221))+0-0-0</f>
        <v>976.10193400000003</v>
      </c>
      <c r="Q79" s="3">
        <f>1061.8+(514-566.2)+(0+(0-0))+0-0-0</f>
        <v>1009.5999999999999</v>
      </c>
      <c r="R79" s="3">
        <f>1057.7+(459.2-544.9)+(-1.078854+(-0.468384--0.555798))+0-0-0</f>
        <v>971.00855999999999</v>
      </c>
      <c r="S79" s="3">
        <f>1055.9+(468.3-548.5)+(-1.615527+(-0.716499--0.839205))+0-0-0</f>
        <v>974.207179</v>
      </c>
      <c r="T79" s="3">
        <f>1058.3+(493.4-577)+(-1.079466+(-0.503268--0.58854))+0-0-0</f>
        <v>973.70580599999994</v>
      </c>
      <c r="U79" s="3">
        <f>1082+(472.9-576.6)+(-0.55182+(-0.241179--0.294066))+0-0-0</f>
        <v>977.80106699999999</v>
      </c>
      <c r="V79" s="3">
        <f>1080.3+(474.9-581.3)+(-1.101906+(-0.484398--0.592926))+0-0-0</f>
        <v>972.90662199999997</v>
      </c>
      <c r="W79" s="3">
        <f>1080.6+(484.5-590.4)+(-2.204424+(-0.98838--1.204416))+0-0-0</f>
        <v>972.71161199999995</v>
      </c>
      <c r="X79" s="3">
        <f>1042.1+(509.6-598.9)+(-2.125884+(-1.039584--1.221756))+0-0-0</f>
        <v>950.85628799999995</v>
      </c>
      <c r="Y79" s="3">
        <f>1036.3+(548.1-654.6)+(-1.585539+(-0.838593--1.001538))+0-0-0</f>
        <v>928.37740599999995</v>
      </c>
      <c r="Z79" s="3">
        <f>1059.4+(592.2-639)+(-1.620882+(-0.906066--0.97767))+0-0-0</f>
        <v>1011.0507220000002</v>
      </c>
      <c r="AA79" s="3">
        <f>1106+(591.6-558.9)+(-1.12812+(-0.603432--0.570078))+0-0-0</f>
        <v>1137.538526</v>
      </c>
      <c r="AB79" s="3">
        <f>1113.5+(571.5-562.7)+(-1.703655+(-0.874395--0.860931))+0-0-0</f>
        <v>1120.582881</v>
      </c>
      <c r="AC79" s="3">
        <f>1115.9+(606.6-668.5)+(-1.707327+(-0.928098--1.022805))+0-0-0</f>
        <v>1052.3873799999999</v>
      </c>
      <c r="AD79">
        <f t="shared" si="1"/>
        <v>21943.807844999999</v>
      </c>
      <c r="AE79" s="3">
        <f>1109+(601.4-514)+(0+(0-0))+0-0-0</f>
        <v>1196.4000000000001</v>
      </c>
    </row>
    <row r="80" spans="1:31" s="2" customFormat="1" x14ac:dyDescent="0.25">
      <c r="A80">
        <v>89</v>
      </c>
      <c r="B80">
        <v>3</v>
      </c>
      <c r="C80">
        <v>18</v>
      </c>
      <c r="D80">
        <v>4</v>
      </c>
      <c r="E80">
        <v>1</v>
      </c>
      <c r="F80" s="3">
        <f>1117.3+(676.4-826.7)+(-1.709469+(-1.034892--1.264851))+0-0-0</f>
        <v>965.52048999999988</v>
      </c>
      <c r="G80" s="3">
        <f>1111.2+(617.6-848.5)+(-2.83356+(-1.57488--2.163675))+0-0-0</f>
        <v>878.05523500000004</v>
      </c>
      <c r="H80" s="3">
        <f>1036.9+(545.7-773.5)+(0+(0-0))+0-0-0</f>
        <v>809.10000000000014</v>
      </c>
      <c r="I80" s="3">
        <f>1026.1+(510.6-754.1)+(-2.093244+(-1.041624--1.538364))+0-0-0</f>
        <v>781.00349599999993</v>
      </c>
      <c r="J80" s="3">
        <f>993.7+(501.4-734.9)+(-0.506787+(-0.255714--0.374799))+0-0-0</f>
        <v>759.81229800000006</v>
      </c>
      <c r="K80" s="3">
        <f>986.9+(487.6-712.3)+(-3.019914+(-1.492056--2.179638))+0-0-0</f>
        <v>759.86766800000009</v>
      </c>
      <c r="L80" s="3">
        <f>992.7+(443.4-709.8)+(-1.012554+(-0.452268--0.723996))+0-0-0</f>
        <v>725.5591740000001</v>
      </c>
      <c r="M80" s="3">
        <f>1018.9+(364.5-630.6)+(0+(0-0))+0-0-0</f>
        <v>752.8</v>
      </c>
      <c r="N80" s="3">
        <f>1081+(412.8-641.6)+(-1.10262+(-0.421056--0.654432))+0-0-0</f>
        <v>851.33075600000006</v>
      </c>
      <c r="O80" s="3">
        <f>1065.1+(506.9-651.7)+(1.629603+(0.775557-0.997101))+0-0-0</f>
        <v>921.70805899999982</v>
      </c>
      <c r="P80" s="3">
        <f>1086.6+(486.9-612.8)+(-1.108332+(-0.496638--0.625056))+0-0-0</f>
        <v>959.72008599999992</v>
      </c>
      <c r="Q80" s="3">
        <f>1070+(474.3-566)+(1.0914+(0.483786-0.57732))+0-0-0</f>
        <v>979.297866</v>
      </c>
      <c r="R80" s="3">
        <f>1057+(478.6-573.3)+(-1.61721+(-0.732258--0.877149))+0-0-0</f>
        <v>960.8276810000001</v>
      </c>
      <c r="S80" s="3">
        <f>1079.3+(488.4-608.4)+(-1.100886+(-0.498168--0.620568))+0-0-0</f>
        <v>958.32151399999998</v>
      </c>
      <c r="T80" s="3">
        <f>1104.6+(491.5-649.4)+(0.563346+(0.250665-0.331194))+0-0-0</f>
        <v>947.18281699999989</v>
      </c>
      <c r="U80" s="3">
        <f>1100+(484.5-629.6)+(0+(0-0))+0-0-0</f>
        <v>954.9</v>
      </c>
      <c r="V80" s="3">
        <f>1075.3+(467.8-584.6)+(0+(0-0))+0-0-0</f>
        <v>958.5</v>
      </c>
      <c r="W80" s="3">
        <f>1097.9+(511.6-671.1)+(-2.239716+(-1.043664--1.369044))+0-0-0</f>
        <v>936.48566400000004</v>
      </c>
      <c r="X80" s="3">
        <f>1089.4+(559-707.7)+(-2.222376+(-1.14036--1.443708))+0-0-0</f>
        <v>938.78097200000002</v>
      </c>
      <c r="Y80" s="3">
        <f>1046.4+(521.9-654.8)+(-4.269312+(-2.129352--2.671584))+0-0-0</f>
        <v>909.77292000000011</v>
      </c>
      <c r="Z80" s="3">
        <f>1093.3+(541.9-641.1)+(-2.230332+(-1.105476--1.307844))+0-0-0</f>
        <v>992.07203599999991</v>
      </c>
      <c r="AA80" s="3">
        <f>1116.6+(564.9-533.8)+(-1.138932+(-0.576198--0.544476))+0-0-0</f>
        <v>1146.5293459999998</v>
      </c>
      <c r="AB80" s="3">
        <f>1123.2+(529.6-522.1)+(-1.718496+(-0.810288--0.798813))+0-0-0</f>
        <v>1128.9700290000001</v>
      </c>
      <c r="AC80" s="3">
        <f>1122.9+(572-638.6)+(-2.290716+(-1.16688--1.302744))+0-0-0</f>
        <v>1054.1451480000003</v>
      </c>
      <c r="AD80">
        <f t="shared" si="1"/>
        <v>22030.263254999998</v>
      </c>
      <c r="AE80" s="3">
        <f>1115+(572.9-544.1)+(0+(0-0))+0-0-0</f>
        <v>1143.8</v>
      </c>
    </row>
    <row r="81" spans="1:31" s="2" customFormat="1" x14ac:dyDescent="0.25">
      <c r="A81">
        <v>89</v>
      </c>
      <c r="B81">
        <v>3</v>
      </c>
      <c r="C81">
        <v>19</v>
      </c>
      <c r="D81">
        <v>5</v>
      </c>
      <c r="E81">
        <v>1</v>
      </c>
      <c r="F81" s="3">
        <f>1123.2+(617.9-797.7)+(-1.718496+(-0.945387--1.220481))+0-0-0</f>
        <v>941.95659799999999</v>
      </c>
      <c r="G81" s="3">
        <f>1076.1+(633.5-852.7)+(-2.195244+(-1.29234--1.739508))+0-0-0</f>
        <v>855.15192399999989</v>
      </c>
      <c r="H81" s="3">
        <f>985.7+(611.3-790)+(-1.005414+(-0.623526--0.8058))+0-0-0</f>
        <v>806.17686000000003</v>
      </c>
      <c r="I81" s="3">
        <f>987+(584.2-777.4)+(-2.51685+(-1.48971--1.98237))+0-0-0</f>
        <v>791.77581000000009</v>
      </c>
      <c r="J81" s="3">
        <f>983.4+(547.1-754.3)+(1.003068+(0.558042-0.769386))+0-0-0</f>
        <v>776.99172400000009</v>
      </c>
      <c r="K81" s="3">
        <f>888.6+(555.3-676)+(-2.26593+(-1.416015--1.7238))+0-0-0</f>
        <v>765.94185500000003</v>
      </c>
      <c r="L81" s="3">
        <f>712.3+(564.1-561.3)+(-0.363273+(-0.287691--0.286263))+0-0-0</f>
        <v>714.73529900000005</v>
      </c>
      <c r="M81" s="3">
        <f>787.9+(539.4-586.3)+(0.803658+(0.550188-0.598026))+0-0-0</f>
        <v>741.75581999999997</v>
      </c>
      <c r="N81" s="3">
        <f>1018.2+(470.7-660.2)+(0+(0-0))+0-0-0</f>
        <v>828.7</v>
      </c>
      <c r="O81" s="3">
        <f>1082.2+(490.7-668.6)+(0+(0-0))+0-0-0</f>
        <v>904.3</v>
      </c>
      <c r="P81" s="3">
        <f>1077.2+(492.8-620.5)+(-1.098744+(-0.502656--0.63291))+0-0-0</f>
        <v>948.53151000000003</v>
      </c>
      <c r="Q81" s="3">
        <f>1081.1+(500.6-598.4)+(1.102722+(0.510612-0.610368))+0-0-0</f>
        <v>984.30296599999997</v>
      </c>
      <c r="R81" s="3">
        <f>1074.9+(489.4-583.3)+(-1.644597+(-0.748782--0.892449))+0-0-0</f>
        <v>979.49907000000007</v>
      </c>
      <c r="S81" s="3">
        <f>1066.3+(475.3-572.6)+(-0.543813+(-0.242403--0.292026))+0-0-0</f>
        <v>968.50581</v>
      </c>
      <c r="T81" s="3">
        <f>1057.7+(470.2-576.6)+(-0.539427+(-0.239802--0.294066))+0-0-0</f>
        <v>950.8148369999999</v>
      </c>
      <c r="U81" s="3">
        <f>1056.5+(476.6-573)+(-1.07763+(-0.486132--0.58446))+0-0-0</f>
        <v>959.12069800000006</v>
      </c>
      <c r="V81" s="3">
        <f>1056.8+(481.7-575.2)+(-1.616904+(-0.737001--0.880056))+0-0-0</f>
        <v>961.82615099999998</v>
      </c>
      <c r="W81" s="3">
        <f>1058.2+(501.1-596.3)+(-1.619046+(-0.766683--0.912339))+0-0-0</f>
        <v>961.52661000000012</v>
      </c>
      <c r="X81" s="3">
        <f>1054.4+(556.1-663.3)+(-2.68872+(-1.418055--1.691415))+0-0-0</f>
        <v>944.78464000000019</v>
      </c>
      <c r="Y81" s="3">
        <f>1052.6+(466.1-585.5)+(-2.68413+(-1.188555--1.493025))+0-0-0</f>
        <v>930.82033999999999</v>
      </c>
      <c r="Z81" s="3">
        <f>1064.2+(502.2-549.9)+(-1.085484+(-0.512244--0.560898))+0-0-0</f>
        <v>1015.46317</v>
      </c>
      <c r="AA81" s="3">
        <f>1062.2+(653.4-545.3)+(-1.625166+(-0.999702--0.834309))+0-0-0</f>
        <v>1168.5094410000002</v>
      </c>
      <c r="AB81" s="3">
        <f>1057.8+(618.4-526.3)+(-2.69739+(-1.57692--1.342065))+0-0-0</f>
        <v>1146.9677550000001</v>
      </c>
      <c r="AC81" s="3">
        <f>1065.2+(676.3-646.1)+(0+(0-0))+0-0-0</f>
        <v>1095.4000000000001</v>
      </c>
      <c r="AD81">
        <f t="shared" si="1"/>
        <v>22143.558888000003</v>
      </c>
      <c r="AE81" s="3">
        <f>1068+(679-539.1)+(0+(0-0))+0-0-0</f>
        <v>1207.9000000000001</v>
      </c>
    </row>
    <row r="82" spans="1:31" s="2" customFormat="1" x14ac:dyDescent="0.25">
      <c r="A82">
        <v>89</v>
      </c>
      <c r="B82">
        <v>3</v>
      </c>
      <c r="C82">
        <v>20</v>
      </c>
      <c r="D82">
        <v>6</v>
      </c>
      <c r="E82">
        <v>1</v>
      </c>
      <c r="F82" s="3">
        <f>1074.3+(724-827.8)+(-1.095786+(-0.73848--0.844356))+0-0-0</f>
        <v>969.51008999999999</v>
      </c>
      <c r="G82" s="3">
        <f>1096.5+(644.3-859.5)+(1.677645+(0.985779-1.315035))+0-0-0</f>
        <v>882.64838899999995</v>
      </c>
      <c r="H82" s="3">
        <f>1089.5+(598.2-852.5)+(0+(0-0))+0-0-0</f>
        <v>835.2</v>
      </c>
      <c r="I82" s="3">
        <f>1092.1+(571.3-854.2)+(0.556971+(0.291363-0.435642))+0-0-0</f>
        <v>809.61269199999981</v>
      </c>
      <c r="J82" s="3">
        <f>1087.8+(554.7-842)+(-1.109556+(-0.565794--0.85884))+0-0-0</f>
        <v>799.68349000000001</v>
      </c>
      <c r="K82" s="3">
        <f>1087.4+(566.6-860.9)+(-1.663722+(-0.866898--1.317177))+0-0-0</f>
        <v>791.88655700000015</v>
      </c>
      <c r="L82" s="3">
        <f>924.6+(577.3-746.4)+(-0.471546+(-0.294423--0.380664))+0-0-0</f>
        <v>755.11469499999998</v>
      </c>
      <c r="M82" s="3">
        <f>967.1+(483.4-679.2)+(0.493221+(0.246534-0.346392))+0-0-0</f>
        <v>771.69336299999998</v>
      </c>
      <c r="N82" s="3">
        <f>1087.5+(454.3-696.9)+(1.10925+(0.463386-0.710838))+0-0-0</f>
        <v>845.76179800000011</v>
      </c>
      <c r="O82" s="3">
        <f>1089.7+(473-653.2)+(2.222988+(0.96492-1.332528))+0-0-0</f>
        <v>911.35537999999997</v>
      </c>
      <c r="P82" s="3">
        <f>1083.4+(472.5-604.1)+(1.105068+(0.48195-0.616182))+0-0-0</f>
        <v>952.77083600000003</v>
      </c>
      <c r="Q82" s="3">
        <f>1078.3+(448.2-547.7)+(1.099866+(0.457164-0.558654))+0-0-0</f>
        <v>979.79837599999996</v>
      </c>
      <c r="R82" s="3">
        <f>1068.8+(348-448.5)+(0.545088+(0.17748-0.228735))+0-0-0</f>
        <v>968.79383299999995</v>
      </c>
      <c r="S82" s="3">
        <f>1064.9+(371.8-486.1)+(0+(0-0))+0-0-0</f>
        <v>950.60000000000014</v>
      </c>
      <c r="T82" s="3">
        <f>1064.9+(451.9-573.8)+(0+(0-0))+0-0-0</f>
        <v>943.00000000000011</v>
      </c>
      <c r="U82" s="3">
        <f>1064.3+(470.7-591.1)+(-0.542793+(-0.240057--0.301461))+0-0-0</f>
        <v>943.41861099999983</v>
      </c>
      <c r="V82" s="3">
        <f>1064+(478-587.3)+(-1.08528+(-0.48756--0.599046))+0-0-0</f>
        <v>953.72620600000005</v>
      </c>
      <c r="W82" s="3">
        <f>1062.3+(538.6-660.3)+(-1.625319+(-0.824058--1.010259))+0-0-0</f>
        <v>939.16088200000002</v>
      </c>
      <c r="X82" s="3">
        <f>1055+(569.5-702.1)+(-2.69025+(-1.452225--1.790355))+0-0-0</f>
        <v>920.04787999999996</v>
      </c>
      <c r="Y82" s="3">
        <f>1054.4+(572.3-712.2)+(-1.613232+(-0.875619--1.089666))+0-0-0</f>
        <v>913.10081500000001</v>
      </c>
      <c r="Z82" s="3">
        <f>1067.8+(598.4-686.6)+(-0.544578+(-0.305184--0.350166))+0-0-0</f>
        <v>979.10040399999991</v>
      </c>
      <c r="AA82" s="3">
        <f>1069.9+(581-516.9)+(-1.091298+(-0.59262--0.527238))+0-0-0</f>
        <v>1132.8433199999999</v>
      </c>
      <c r="AB82" s="3">
        <f>1067.6+(577-533.4)+(-1.088952+(-0.58854--0.544068))+0-0-0</f>
        <v>1110.0665759999997</v>
      </c>
      <c r="AC82" s="3">
        <f>1063.2+(653.3-676.6)+(-0.542232+(-0.333183--0.345066))+0-0-0</f>
        <v>1039.3696510000002</v>
      </c>
      <c r="AD82">
        <f t="shared" si="1"/>
        <v>22098.263844000005</v>
      </c>
      <c r="AE82" s="3">
        <f>1074+(592.5-521.1)+(0+(0-0))+0-0-0</f>
        <v>1145.4000000000001</v>
      </c>
    </row>
    <row r="83" spans="1:31" s="2" customFormat="1" x14ac:dyDescent="0.25">
      <c r="A83">
        <v>89</v>
      </c>
      <c r="B83">
        <v>3</v>
      </c>
      <c r="C83">
        <v>21</v>
      </c>
      <c r="D83">
        <v>7</v>
      </c>
      <c r="E83">
        <v>1</v>
      </c>
      <c r="F83" s="3">
        <f>1091+(605.2-750.2)+(0+(0-0))+0-0-0</f>
        <v>946</v>
      </c>
      <c r="G83" s="3">
        <f>1014.4+(640.9-783.2)+(-1.552032+(-0.980577--1.198296))+0-0-0</f>
        <v>870.76568699999996</v>
      </c>
      <c r="H83" s="3">
        <f>996.4+(610.5-801.8)+(0+(0-0))+0-0-0</f>
        <v>805.1</v>
      </c>
      <c r="I83" s="3">
        <f>1001.8+(502.7-742.8)+(0+(0-0))+0-0-0</f>
        <v>761.7</v>
      </c>
      <c r="J83" s="3">
        <f>1008.3+(472-734.2)+(1.028466+(0.48144-0.748884))+0-0-0</f>
        <v>746.86102199999993</v>
      </c>
      <c r="K83" s="3">
        <f>985.5+(463.3-717.4)+(-2.01042+(-0.945132--1.463496))+0-0-0</f>
        <v>729.90794400000004</v>
      </c>
      <c r="L83" s="3">
        <f>920.6+(469.8-700.5)+(0+(0-0))+0-0-0</f>
        <v>689.90000000000009</v>
      </c>
      <c r="M83" s="3">
        <f>888+(454.6-648.4)+(-1.35864+(-0.695538--0.992052))+0-0-0</f>
        <v>693.13787400000001</v>
      </c>
      <c r="N83" s="3">
        <f>986.2+(393.1-662.3)+(0+(0-0))+0-0-0</f>
        <v>717.00000000000011</v>
      </c>
      <c r="O83" s="3">
        <f>1083.5+(336.4-631.8)+(0+(0-0))+0-0-0</f>
        <v>788.1</v>
      </c>
      <c r="P83" s="3">
        <f>1079.5+(401.3-621.9)+(-0.550545+(-0.204663--0.317169))+0-0-0</f>
        <v>858.46196100000009</v>
      </c>
      <c r="Q83" s="3">
        <f>1077.3+(433.7-629.6)+(1.648269+(0.663561-0.963288))+0-0-0</f>
        <v>882.74854199999982</v>
      </c>
      <c r="R83" s="3">
        <f>1057.7+(460.3-629.7)+(0+(0-0))+0-0-0</f>
        <v>888.3</v>
      </c>
      <c r="S83" s="3">
        <f>1057.8+(458.6-630.9)+(0+(0-0))+0-0-0</f>
        <v>885.5</v>
      </c>
      <c r="T83" s="3">
        <f>1055.6+(477.2-653.8)+(-1.076712+(-0.486744--0.666876))+0-0-0</f>
        <v>878.10342000000003</v>
      </c>
      <c r="U83" s="3">
        <f>1063.1+(504.6-688)+(0+(0-0))+0-0-0</f>
        <v>879.69999999999993</v>
      </c>
      <c r="V83" s="3">
        <f>1064.1+(500.9-682)+(0+(0-0))+0-0-0</f>
        <v>882.99999999999989</v>
      </c>
      <c r="W83" s="3">
        <f>1065+(520.2-709)+(0.54315+(0.265302-0.36159))+0-0-0</f>
        <v>876.64686200000006</v>
      </c>
      <c r="X83" s="3">
        <f>1060.5+(560.2-755.3)+(-0.540855+(-0.285702--0.385203))+0-0-0</f>
        <v>864.95864600000004</v>
      </c>
      <c r="Y83" s="3">
        <f>1027.3+(543.9-707.3)+(0+(0-0))+0-0-0</f>
        <v>863.9</v>
      </c>
      <c r="Z83" s="3">
        <f>1039.3+(628-727)+(-0.530043+(-0.32028--0.37077))+0-0-0</f>
        <v>939.82044699999994</v>
      </c>
      <c r="AA83" s="3">
        <f>1066+(634.3-583.9)+(0.54366+(0.323493-0.297789))+0-0-0</f>
        <v>1116.969364</v>
      </c>
      <c r="AB83" s="3">
        <f>1061.9+(653.3-604.5)+(-1.083138+(-0.666366--0.61659))+0-0-0</f>
        <v>1109.567086</v>
      </c>
      <c r="AC83" s="3">
        <f>1059.6+(652.3-666.2)+(-1.621188+(-0.998019--1.019286))+0-0-0</f>
        <v>1044.1000789999998</v>
      </c>
      <c r="AD83">
        <f t="shared" si="1"/>
        <v>20720.248933999999</v>
      </c>
      <c r="AE83" s="3">
        <f>1065+(640.8-591)+(0+(0-0))+0-0-0</f>
        <v>1114.8</v>
      </c>
    </row>
    <row r="84" spans="1:31" s="2" customFormat="1" x14ac:dyDescent="0.25">
      <c r="A84">
        <v>89</v>
      </c>
      <c r="B84">
        <v>3</v>
      </c>
      <c r="C84">
        <v>22</v>
      </c>
      <c r="D84">
        <v>1</v>
      </c>
      <c r="E84">
        <v>1</v>
      </c>
      <c r="F84" s="3">
        <f>1061+(593.1-745.7)+(-1.08222+(-0.604962--0.760614))+0-0-0</f>
        <v>907.473432</v>
      </c>
      <c r="G84" s="3">
        <f>1059+(536.6-758.8)+(-1.62027+(-0.820998--1.160964))+0-0-0</f>
        <v>835.51969600000007</v>
      </c>
      <c r="H84" s="3">
        <f>1064.9+(512.8-785.2)+(-0.543099+(-0.261528--0.400452))+0-0-0</f>
        <v>792.09582499999999</v>
      </c>
      <c r="I84" s="3">
        <f>1063.6+(473.7-767.9)+(-1.084872+(-0.483174--0.783258))+0-0-0</f>
        <v>768.61521199999981</v>
      </c>
      <c r="J84" s="3">
        <f>1056.6+(465.5-761.9)+(-2.69433+(-1.187025--1.942845))+0-0-0</f>
        <v>758.26148999999998</v>
      </c>
      <c r="K84" s="3">
        <f>1059.7+(443.5-746.6)+(-2.161788+(-0.90474--1.523064))+0-0-0</f>
        <v>755.05653600000005</v>
      </c>
      <c r="L84" s="3">
        <f>1060+(396.1-727.6)+(-1.6218+(-0.606033--1.113228))+0-0-0</f>
        <v>727.38539500000002</v>
      </c>
      <c r="M84" s="3">
        <f>1067.3+(322.9-636.5)+(0+(0-0))+0-0-0</f>
        <v>753.69999999999993</v>
      </c>
      <c r="N84" s="3">
        <f>1068.1+(486-695)+(0+(0-0))+0-0-0</f>
        <v>859.09999999999991</v>
      </c>
      <c r="O84" s="3">
        <f>1063.4+(506-642.9)+(0.542334+(0.25806-0.327879))+0-0-0</f>
        <v>926.97251500000016</v>
      </c>
      <c r="P84" s="3">
        <f>1059.1+(534.6-639.7)+(1.080282+(0.545292-0.652494))+0-0-0</f>
        <v>954.97307999999987</v>
      </c>
      <c r="Q84" s="3">
        <f>955.2+(601.6-598.1)+(-0.487152+(-0.306816--0.305031))+0-0-0</f>
        <v>958.21106300000008</v>
      </c>
      <c r="R84" s="3">
        <f>973.7+(582.5-554)+(1.489761+(0.891225-0.84762))+0-0-0</f>
        <v>1003.733366</v>
      </c>
      <c r="S84" s="3">
        <f>1001.1+(460-466.2)+(-0.510561+(-0.2346--0.237762))+0-0-0</f>
        <v>994.39260100000013</v>
      </c>
      <c r="T84" s="3">
        <f>1092.2+(387.3-513.3)+(1.671066+(0.592569-0.785349))+0-0-0</f>
        <v>967.67828600000007</v>
      </c>
      <c r="U84" s="3">
        <f>1089.8+(406.1-510.7)+(0+(0-0))+0-0-0</f>
        <v>985.2</v>
      </c>
      <c r="V84" s="3">
        <f>1088.1+(411.7-498.5)+(0.554931+(0.209967-0.254235))+0-0-0</f>
        <v>1001.810663</v>
      </c>
      <c r="W84" s="3">
        <f>1088.3+(434.6-514.5)+(-0.555033+(-0.221646--0.262395))+0-0-0</f>
        <v>1007.885716</v>
      </c>
      <c r="X84" s="3">
        <f>1091.3+(482.3-579.2)+(-1.113126+(-0.491946--0.590784))+0-0-0</f>
        <v>993.3857119999999</v>
      </c>
      <c r="Y84" s="3">
        <f>1095+(480.8-597.6)+(-0.55845+(-0.245208--0.304776))+0-0-0</f>
        <v>977.70111800000006</v>
      </c>
      <c r="Z84" s="3">
        <f>1101.6+(557.1-612.4)+(-1.123632+(-0.568242--0.624648))+0-0-0</f>
        <v>1045.2327740000001</v>
      </c>
      <c r="AA84" s="3">
        <f>1023.2+(661.2-487.6)+(-0.521832+(-0.337212--0.248676))+0-0-0</f>
        <v>1196.1896320000001</v>
      </c>
      <c r="AB84" s="3">
        <f>1105.1+(547.2-473.1)+(-0.563601+(-0.279072--0.241281))+0-0-0</f>
        <v>1178.5986079999998</v>
      </c>
      <c r="AC84" s="3">
        <f>1112.1+(528.7-537.7)+(-0.567171+(-0.269637--0.274227))+0-0-0</f>
        <v>1102.537419</v>
      </c>
      <c r="AD84">
        <f t="shared" si="1"/>
        <v>22451.710139000006</v>
      </c>
      <c r="AE84" s="3">
        <f>984+(692.5-483.5)+(0+(0-0))+0-0-0</f>
        <v>1193</v>
      </c>
    </row>
    <row r="85" spans="1:31" s="2" customFormat="1" x14ac:dyDescent="0.25">
      <c r="A85">
        <v>89</v>
      </c>
      <c r="B85">
        <v>3</v>
      </c>
      <c r="C85">
        <v>23</v>
      </c>
      <c r="D85">
        <v>2</v>
      </c>
      <c r="E85">
        <v>1</v>
      </c>
      <c r="F85" s="3">
        <f>1121+(620.6-747.8)+(-0.57171+(-0.316506--0.381378))+0-0-0</f>
        <v>993.29316200000005</v>
      </c>
      <c r="G85" s="3">
        <f>1128.6+(627.3-860.9)+(-2.302344+(-1.279692--1.756236))+0-0-0</f>
        <v>893.17419999999993</v>
      </c>
      <c r="H85" s="3">
        <f>1131.8+(566.3-859.6)+(-1.731654+(-0.866439--1.315188))+0-0-0</f>
        <v>837.21709499999986</v>
      </c>
      <c r="I85" s="3">
        <f>1136.7+(513.8-832.4)+(0+(0-0))+0-0-0</f>
        <v>818.1</v>
      </c>
      <c r="J85" s="3">
        <f>1141.7+(478.8-825)+(0.582267+(0.244188-0.42075))+0-0-0</f>
        <v>795.90570500000001</v>
      </c>
      <c r="K85" s="3">
        <f>1144.5+(456.6-814.9)+(-2.33478+(-0.931464--1.662396))+0-0-0</f>
        <v>784.59615200000007</v>
      </c>
      <c r="L85" s="3">
        <f>1087.2+(412.7-748.8)+(1.663416+(0.631431-1.145664))+0-0-0</f>
        <v>752.24918300000013</v>
      </c>
      <c r="M85" s="3">
        <f>1073.7+(368.4-655.8)+(0.547587+(0.187884-0.334458))+0-0-0</f>
        <v>786.7010130000001</v>
      </c>
      <c r="N85" s="3">
        <f>1069.1+(390.5-594.7)+(-1.635723+(-0.597465--0.909891))+0-0-0</f>
        <v>863.57670299999984</v>
      </c>
      <c r="O85" s="3">
        <f>1118+(415.3-595.6)+(-1.14036+(-0.423606--0.607512))+0-0-0</f>
        <v>936.74354600000004</v>
      </c>
      <c r="P85" s="3">
        <f>1107.4+(450.5-579.3)+(-0.564774+(-0.229755--0.295443))+0-0-0</f>
        <v>978.1009140000001</v>
      </c>
      <c r="Q85" s="3">
        <f>1097.7+(452.2-527.1)+(0+(0-0))+0-0-0</f>
        <v>1022.8</v>
      </c>
      <c r="R85" s="3">
        <f>1092.4+(410.7-482.8)+(-1.114248+(-0.418914--0.492456))+0-0-0</f>
        <v>1019.2592940000001</v>
      </c>
      <c r="S85" s="3">
        <f>1093+(411.5-499.6)+(-1.67229+(-0.629595--0.764388))+0-0-0</f>
        <v>1003.3625029999999</v>
      </c>
      <c r="T85" s="3">
        <f>1088.3+(409.1-494.8)+(-0.555033+(-0.208641--0.252348))+0-0-0</f>
        <v>1002.0886739999999</v>
      </c>
      <c r="U85" s="3">
        <f>1083.9+(436.2-515)+(0.552789+(0.222462-0.26265))+0-0-0</f>
        <v>1005.6126010000002</v>
      </c>
      <c r="V85" s="3">
        <f>1082.4+(451.7-523)+(-0.552024+(-0.230367--0.26673))+0-0-0</f>
        <v>1010.5843390000001</v>
      </c>
      <c r="W85" s="3">
        <f>1079.8+(448.4-510.8)+(-0.550698+(-0.228684--0.260508))+0-0-0</f>
        <v>1016.8811259999999</v>
      </c>
      <c r="X85" s="3">
        <f>1075.7+(417.4-503.7)+(-1.645821+(-0.638622--0.770661))+0-0-0</f>
        <v>987.8862180000001</v>
      </c>
      <c r="Y85" s="3">
        <f>1044.4+(524.3-590.6)+(-1.065288+(-0.534786--0.602412))+0-0-0</f>
        <v>977.10233800000003</v>
      </c>
      <c r="Z85" s="3">
        <f>1056.8+(497.3-515.6)+(-0.538968+(-0.253623--0.262956))+0-0-0</f>
        <v>1037.9703649999999</v>
      </c>
      <c r="AA85" s="3">
        <f>1069.9+(625-501.4)+(0+(0-0))+0-0-0</f>
        <v>1193.5</v>
      </c>
      <c r="AB85" s="3">
        <f>1071.5+(634.9-530.8)+(-0.546465+(-0.323799--0.270708))+0-0-0</f>
        <v>1175.000444</v>
      </c>
      <c r="AC85" s="3">
        <f>1062.6+(533.3-489.9)+(-1.625778+(-0.815949--0.749547))+0-0-0</f>
        <v>1104.30782</v>
      </c>
      <c r="AD85">
        <f t="shared" si="1"/>
        <v>22996.013395000002</v>
      </c>
      <c r="AE85" s="3">
        <f>1075+(649-520)+(0+(0-0))+0-0-0</f>
        <v>1204</v>
      </c>
    </row>
    <row r="86" spans="1:31" s="2" customFormat="1" x14ac:dyDescent="0.25">
      <c r="A86">
        <v>89</v>
      </c>
      <c r="B86">
        <v>3</v>
      </c>
      <c r="C86">
        <v>24</v>
      </c>
      <c r="D86">
        <v>3</v>
      </c>
      <c r="E86">
        <v>1</v>
      </c>
      <c r="F86" s="3">
        <f>1059.6+(591.5-660.3)+(-1.080792+(-0.60333--0.673506))+0-0-0</f>
        <v>989.78938399999993</v>
      </c>
      <c r="G86" s="3">
        <f>1065+(527-701.1)+(0+(0-0))+0-0-0</f>
        <v>890.9</v>
      </c>
      <c r="H86" s="3">
        <f>1064.2+(480.1-702.4)+(-1.085484+(-0.489702--0.716448))+0-0-0</f>
        <v>841.04126200000007</v>
      </c>
      <c r="I86" s="3">
        <f>1069.2+(498.3-751.2)+(1.090584+(0.508266-0.766224))+0-0-0</f>
        <v>817.13262599999996</v>
      </c>
      <c r="J86" s="3">
        <f>1061.9+(525.4-784.9)+(-0.541569+(-0.267954--0.400299))+0-0-0</f>
        <v>801.9907760000001</v>
      </c>
      <c r="K86" s="3">
        <f>1058.5+(544.3-809.4)+(-1.07967+(-0.555186--0.825588))+0-0-0</f>
        <v>792.590732</v>
      </c>
      <c r="L86" s="3">
        <f>925.7+(510.1-680.7)+(0.472107+(0.260151-0.347157))+0-0-0</f>
        <v>755.48510099999999</v>
      </c>
      <c r="M86" s="3">
        <f>968.9+(391.2-590.4)+(0.494139+(0.199512-0.301104))+0-0-0</f>
        <v>770.09254700000008</v>
      </c>
      <c r="N86" s="3">
        <f>1061.7+(379.2-577.5)+(-1.082934+(-0.386784--0.58905))+0-0-0</f>
        <v>862.51933200000008</v>
      </c>
      <c r="O86" s="3">
        <f>1059.9+(467.9-581.7)+(0+(0-0))+0-0-0</f>
        <v>946.1</v>
      </c>
      <c r="P86" s="3">
        <f>1063.7+(485.6-559.3)+(1.084974+(0.495312-0.570486))+0-0-0</f>
        <v>991.00980000000015</v>
      </c>
      <c r="Q86" s="3">
        <f>1067+(495.8-536.2)+(0.54417+(0.252858-0.273462))+0-0-0</f>
        <v>1027.123566</v>
      </c>
      <c r="R86" s="3">
        <f>1080.9+(422.3-471)+(0.551259+(0.215373-0.24021))+0-0-0</f>
        <v>1032.726422</v>
      </c>
      <c r="S86" s="3">
        <f>1077.2+(226.3-270.8)+(-1.098744+(-0.230826--0.276216))+0-0-0</f>
        <v>1031.6466460000001</v>
      </c>
      <c r="T86" s="3">
        <f>1075.4+(196-241.7)+(1.096908+(0.19992-0.246534))+0-0-0</f>
        <v>1030.7502939999999</v>
      </c>
      <c r="U86" s="3">
        <f>1020+(212.5-209.4)+(2.0808+(0.4335-0.427176))+0-0-0</f>
        <v>1025.187124</v>
      </c>
      <c r="V86" s="3">
        <f>1072.5+(209.8-251.6)+(-0.546975+(-0.106998--0.128316))+0-0-0</f>
        <v>1030.1743430000001</v>
      </c>
      <c r="W86" s="3">
        <f>1073.7+(237.9-274.1)+(-1.095174+(-0.242658--0.279582))+0-0-0</f>
        <v>1036.44175</v>
      </c>
      <c r="X86" s="3">
        <f>1074.9+(376.3-431.7)+(-2.192796+(-0.767652--0.880668))+0-0-0</f>
        <v>1017.4202200000001</v>
      </c>
      <c r="Y86" s="3">
        <f>1077.5+(510.9-601.6)+(0+(0-0))+0-0-0</f>
        <v>986.8</v>
      </c>
      <c r="Z86" s="3">
        <f>1096.1+(479.8-530.7)+(0.559011+(0.244698-0.270657))+0-0-0</f>
        <v>1045.7330519999998</v>
      </c>
      <c r="AA86" s="3">
        <f>1101.6+(596-488.9)+(-0.561816+(-0.30396--0.249339))+0-0-0</f>
        <v>1208.0835629999999</v>
      </c>
      <c r="AB86" s="3">
        <f>1101.6+(603.8-501.9)+(-1.685448+(-0.923814--0.767907))+0-0-0</f>
        <v>1201.658645</v>
      </c>
      <c r="AC86" s="3">
        <f>1102+(536.6-507.1)+(-1.12404+(-0.547332--0.517242))+0-0-0</f>
        <v>1130.3458700000001</v>
      </c>
      <c r="AD86">
        <f t="shared" si="1"/>
        <v>23262.743054999999</v>
      </c>
      <c r="AE86" s="3">
        <f>1102+(604.2-499.4)+(0+(0-0))+0-0-0</f>
        <v>1206.8000000000002</v>
      </c>
    </row>
    <row r="87" spans="1:31" s="2" customFormat="1" x14ac:dyDescent="0.25">
      <c r="A87">
        <v>89</v>
      </c>
      <c r="B87">
        <v>3</v>
      </c>
      <c r="C87">
        <v>25</v>
      </c>
      <c r="D87">
        <v>4</v>
      </c>
      <c r="E87">
        <v>1</v>
      </c>
      <c r="F87" s="3">
        <f>1100+(582.3-657)+(-1.683+(-0.890919--1.00521))+0-0-0</f>
        <v>1023.7312909999999</v>
      </c>
      <c r="G87" s="3">
        <f>1058.1+(467.8-614.2)+(0+(0-0))+0-0-0</f>
        <v>911.69999999999982</v>
      </c>
      <c r="H87" s="3">
        <f>968.7+(507-621.2)+(-0.988074+(-0.51714--0.633624))+0-0-0</f>
        <v>853.62841000000003</v>
      </c>
      <c r="I87" s="3">
        <f>970.2+(469.4-607.7)+(-0.494802+(-0.239394--0.309927))+0-0-0</f>
        <v>831.475731</v>
      </c>
      <c r="J87" s="3">
        <f>970.7+(445.6-597.7)+(-0.990114+(-0.454512--0.609654))+0-0-0</f>
        <v>817.76502800000003</v>
      </c>
      <c r="K87" s="3">
        <f>963.5+(481.6-638.2)+(-2.456925+(-1.22808--1.62741))+0-0-0</f>
        <v>804.84240499999999</v>
      </c>
      <c r="L87" s="3">
        <f>964.7+(446.8-641)+(-2.459985+(-1.13934--1.63455))+0-0-0</f>
        <v>768.53522499999997</v>
      </c>
      <c r="M87" s="3">
        <f>1034.8+(372.4-608.9)+(1.055496+(0.379848-0.621078))+0-0-0</f>
        <v>799.11426599999993</v>
      </c>
      <c r="N87" s="3">
        <f>1059.9+(331.4-509.7)+(0.540549+(0.169014-0.259947))+0-0-0</f>
        <v>882.04961600000013</v>
      </c>
      <c r="O87" s="3">
        <f>1062.3+(399.8-497.6)+(0.541773+(0.203898-0.253776))+0-0-0</f>
        <v>964.991895</v>
      </c>
      <c r="P87" s="3">
        <f>1059.1+(480.1-528.7)+(-0.540141+(-0.244851--0.269637))+0-0-0</f>
        <v>1009.9846449999999</v>
      </c>
      <c r="Q87" s="3">
        <f>1055.6+(505.7-518.6)+(0+(0-0))+0-0-0</f>
        <v>1042.6999999999998</v>
      </c>
      <c r="R87" s="3">
        <f>1054.7+(435.1-434)+(-1.075794+(-0.443802--0.44268))+0-0-0</f>
        <v>1054.7230840000002</v>
      </c>
      <c r="S87" s="3">
        <f>1074.4+(390.7-423.5)+(-1.095888+(-0.398514--0.43197))+0-0-0</f>
        <v>1040.5375680000002</v>
      </c>
      <c r="T87" s="3">
        <f>1079.2+(349.8-390.7)+(0+(0-0))+0-0-0</f>
        <v>1038.3000000000002</v>
      </c>
      <c r="U87" s="3">
        <f>1075.1+(364.5-401.7)+(1.096602+(0.37179-0.409734))+0-0-0</f>
        <v>1038.9586579999998</v>
      </c>
      <c r="V87" s="3">
        <f>1073.3+(355.2-375.8)+(-1.094766+(-0.362304--0.383316))+0-0-0</f>
        <v>1051.6262459999998</v>
      </c>
      <c r="W87" s="3">
        <f>1073.3+(398-421.1)+(-1.642149+(-0.60894--0.644283))+0-0-0</f>
        <v>1048.5931939999998</v>
      </c>
      <c r="X87" s="3">
        <f>1074.3+(453.9-496.4)+(-1.643679+(-0.694467--0.759492))+0-0-0</f>
        <v>1030.221346</v>
      </c>
      <c r="Y87" s="3">
        <f>1041+(527.2-558.1)+(-1.06182+(-0.537744--0.569262))+0-0-0</f>
        <v>1009.069698</v>
      </c>
      <c r="Z87" s="3">
        <f>1041.5+(566.7-538.2)+(-0.531165+(-0.289017--0.274482))+0-0-0</f>
        <v>1069.4543000000001</v>
      </c>
      <c r="AA87" s="3">
        <f>1041.2+(677.1-498.5)+(-1.593036+(-1.035963--0.762705))+0-0-0</f>
        <v>1217.9337060000003</v>
      </c>
      <c r="AB87" s="3">
        <f>1041.3+(672.2-509.7)+(-1.593189+(-1.028466--0.779841))+0-0-0</f>
        <v>1201.9581859999998</v>
      </c>
      <c r="AC87" s="3">
        <f>1039.2+(614.9-534.6)+(-1.059984+(-0.627198--0.545292))+0-0-0</f>
        <v>1118.3581099999999</v>
      </c>
      <c r="AD87">
        <f t="shared" si="1"/>
        <v>23630.252607999999</v>
      </c>
      <c r="AE87" s="3">
        <f>1042+(698.4-518.8)+(0+(0-0))+0-0-0</f>
        <v>1221.5999999999999</v>
      </c>
    </row>
    <row r="88" spans="1:31" s="2" customFormat="1" x14ac:dyDescent="0.25">
      <c r="A88">
        <v>89</v>
      </c>
      <c r="B88">
        <v>3</v>
      </c>
      <c r="C88">
        <v>26</v>
      </c>
      <c r="D88">
        <v>5</v>
      </c>
      <c r="E88">
        <v>1</v>
      </c>
      <c r="F88" s="3">
        <f>1037.3+(606.8-624.3)+(-1.058046+(-0.618936--0.636786))+0-0-0</f>
        <v>1018.7598039999999</v>
      </c>
      <c r="G88" s="3">
        <f>1042.2+(547.1-680.1)+(-0.531522+(-0.279021--0.346851))+0-0-0</f>
        <v>908.73630800000001</v>
      </c>
      <c r="H88" s="3">
        <f>1040.6+(547.3-722.1)+(-1.061412+(-0.558246--0.736542))+0-0-0</f>
        <v>864.91688399999987</v>
      </c>
      <c r="I88" s="3">
        <f>1040.8+(561.7-756.4)+(-1.592424+(-0.859401--1.157292))+0-0-0</f>
        <v>844.80546700000002</v>
      </c>
      <c r="J88" s="3">
        <f>1058.8+(526.9-752.7)+(-0.539988+(-0.268719--0.383877))+0-0-0</f>
        <v>832.57516999999984</v>
      </c>
      <c r="K88" s="3">
        <f>1056.8+(532.7-746.9)+(-2.69484+(-1.358385--1.904595))+0-0-0</f>
        <v>840.45137</v>
      </c>
      <c r="L88" s="3">
        <f>883.3+(456.8-565.7)+(-0.450483+(-0.232968--0.288507))+0-0-0</f>
        <v>774.00505599999985</v>
      </c>
      <c r="M88" s="3">
        <f>1032.5+(384.9-619)+(-0.526575+(-0.196299--0.31569))+0-0-0</f>
        <v>797.99281599999995</v>
      </c>
      <c r="N88" s="3">
        <f>1078.7+(428.6-605.4)+(-1.100274+(-0.437172--0.617508))+0-0-0</f>
        <v>900.98006200000009</v>
      </c>
      <c r="O88" s="3">
        <f>1071.8+(488.5-592.9)+(-0.546618+(-0.249135--0.302379))+0-0-0</f>
        <v>966.90662599999996</v>
      </c>
      <c r="P88" s="3">
        <f>1061.6+(525.2-569.6)+(0+(0-0))+0-0-0</f>
        <v>1017.1999999999999</v>
      </c>
      <c r="Q88" s="3">
        <f>1004.1+(566.4-532)+(-1.024182+(-0.577728--0.54264))+0-0-0</f>
        <v>1037.44073</v>
      </c>
      <c r="R88" s="3">
        <f>1093.3+(467.8-508.7)+(0+(0-0))+0-0-0</f>
        <v>1052.4000000000001</v>
      </c>
      <c r="S88" s="3">
        <f>1086.8+(377.2-435)+(0+(0-0))+0-0-0</f>
        <v>1029</v>
      </c>
      <c r="T88" s="3">
        <f>1081.5+(390.4-462.5)+(0+(0-0))+0-0-0</f>
        <v>1009.4</v>
      </c>
      <c r="U88" s="3">
        <f>1085.5+(353.8-463.1)+(-0.553605+(-0.180438--0.236181))+0-0-0</f>
        <v>975.70213799999999</v>
      </c>
      <c r="V88" s="3">
        <f>1081.1+(372.6-450.3)+(1.102722+(0.380052-0.459306))+0-0-0</f>
        <v>1004.4234679999998</v>
      </c>
      <c r="W88" s="3">
        <f>1082.2+(391.2-462.8)+(-2.75961+(-0.99756--1.18014))+0-0-0</f>
        <v>1008.02297</v>
      </c>
      <c r="X88" s="3">
        <f>1084.4+(439.3-536.8)+(-2.76522+(-1.120215--1.36884))+0-0-0</f>
        <v>984.38340500000004</v>
      </c>
      <c r="Y88" s="3">
        <f>942.1+(498.6-478.2)+(-0.960942+(-0.508572--0.487764))+0-0-0</f>
        <v>961.51824999999997</v>
      </c>
      <c r="Z88" s="3">
        <f>1014.2+(522.6-513.1)+(0+(0-0))+0-0-0</f>
        <v>1023.7</v>
      </c>
      <c r="AA88" s="3">
        <f>1102.8+(610.9-507)+(-1.687284+(-0.934677--0.77571))+0-0-0</f>
        <v>1204.8537489999999</v>
      </c>
      <c r="AB88" s="3">
        <f>1070.9+(627.1-510.4)+(-0.546159+(-0.319821--0.260304))+0-0-0</f>
        <v>1186.9943240000002</v>
      </c>
      <c r="AC88" s="3">
        <f>1062.4+(579.9-514.4)+(-0.541824+(-0.295749--0.262344))+0-0-0</f>
        <v>1127.3247710000001</v>
      </c>
      <c r="AD88">
        <f t="shared" si="1"/>
        <v>23372.493367999996</v>
      </c>
      <c r="AE88" s="3">
        <f>1100+(628.1-521.5)+(0+(0-0))+0-0-0</f>
        <v>1206.5999999999999</v>
      </c>
    </row>
    <row r="89" spans="1:31" s="2" customFormat="1" x14ac:dyDescent="0.25">
      <c r="A89">
        <v>89</v>
      </c>
      <c r="B89">
        <v>3</v>
      </c>
      <c r="C89">
        <v>27</v>
      </c>
      <c r="D89">
        <v>6</v>
      </c>
      <c r="E89">
        <v>1</v>
      </c>
      <c r="F89" s="3">
        <f>1067.2+(546.6-592.4)+(-1.088544+(-0.557532--0.604248))+0-0-0</f>
        <v>1020.3581720000001</v>
      </c>
      <c r="G89" s="3">
        <f>1070.3+(434.8-590.4)+(0+(0-0))+0-0-0</f>
        <v>914.7</v>
      </c>
      <c r="H89" s="3">
        <f>1036.5+(460.2-635.9)+(-1.585845+(-0.704106--0.972927))+0-0-0</f>
        <v>859.48297600000001</v>
      </c>
      <c r="I89" s="3">
        <f>1024+(528.5-710.6)+(-1.04448+(-0.53907--0.724812))+0-0-0</f>
        <v>841.04126199999996</v>
      </c>
      <c r="J89" s="3">
        <f>1024.9+(519.2-720.3)+(-1.045398+(-0.529584--0.734706))+0-0-0</f>
        <v>822.95972400000016</v>
      </c>
      <c r="K89" s="3">
        <f>1017.7+(451.5-662.9)+(-2.595135+(-1.151325--1.690395))+0-0-0</f>
        <v>804.24393500000008</v>
      </c>
      <c r="L89" s="3">
        <f>939.1+(419.6-587.7)+(-2.394705+(-1.06998--1.498635))+0-0-0</f>
        <v>769.03395</v>
      </c>
      <c r="M89" s="3">
        <f>1009.1+(385.8-596.3)+(1.543923+(0.590274-0.912339))+0-0-0</f>
        <v>799.82185800000013</v>
      </c>
      <c r="N89" s="3">
        <f>1043.3+(417.9-580.2)+(0+(0-0))+0-0-0</f>
        <v>880.99999999999989</v>
      </c>
      <c r="O89" s="3">
        <f>1064.4+(417.5-526.7)+(1.628532+(0.638775-0.805851))+0-0-0</f>
        <v>956.66145600000004</v>
      </c>
      <c r="P89" s="3">
        <f>1108+(437.9-542)+(0+(0-0))+0-0-0</f>
        <v>1003.9</v>
      </c>
      <c r="Q89" s="3">
        <f>1103.8+(491.1-574.7)+(1.125876+(0.500922-0.586194))+0-0-0</f>
        <v>1021.240604</v>
      </c>
      <c r="R89" s="3">
        <f>1097.6+(463.9-539.3)+(0+(0-0))+0-0-0</f>
        <v>1022.1999999999999</v>
      </c>
      <c r="S89" s="3">
        <f>1094+(509.1-604)+(0+(0-0))+0-0-0</f>
        <v>999.1</v>
      </c>
      <c r="T89" s="3">
        <f>1093.5+(541.2-640.6)+(0+(0-0))+0-0-0</f>
        <v>994.1</v>
      </c>
      <c r="U89" s="3">
        <f>1090.9+(591.7-674.4)+(-1.112718+(-0.603534--0.687888))+0-0-0</f>
        <v>1007.1716360000001</v>
      </c>
      <c r="V89" s="3">
        <f>1081.6+(633.2-702.5)+(0+(0-0))+0-0-0</f>
        <v>1012.3</v>
      </c>
      <c r="W89" s="3">
        <f>1083.6+(643.6-728.2)+(-2.76318+(-1.64118--1.85691))+0-0-0</f>
        <v>996.45254999999986</v>
      </c>
      <c r="X89" s="3">
        <f>1065.4+(595.7-690.2)+(-2.173416+(-1.215228--1.408008))+0-0-0</f>
        <v>968.91936400000009</v>
      </c>
      <c r="Y89" s="3">
        <f>1048.6+(579.4-680.7)+(-0.534786+(-0.295494--0.347157))+0-0-0</f>
        <v>946.81687699999986</v>
      </c>
      <c r="Z89" s="3">
        <f>1056.2+(637.7-667.9)+(-0.538662+(-0.325227--0.340629))+0-0-0</f>
        <v>1025.4767400000001</v>
      </c>
      <c r="AA89" s="3">
        <f>1053.6+(717.4-583.9)+(-2.68668+(-1.82937--1.488945))+0-0-0</f>
        <v>1184.072895</v>
      </c>
      <c r="AB89" s="3">
        <f>1061.8+(723.5-627)+(-0.541518+(-0.368985--0.31977))+0-0-0</f>
        <v>1157.709267</v>
      </c>
      <c r="AC89" s="3">
        <f>1074.3+(713.9-683.9)+(-2.191572+(-1.456356--1.395156))+0-0-0</f>
        <v>1102.0472279999999</v>
      </c>
      <c r="AD89">
        <f t="shared" si="1"/>
        <v>23110.810494000005</v>
      </c>
      <c r="AE89" s="3">
        <f>1097+(706.4-583.4)+(0+(0-0))+0-0-0</f>
        <v>1220</v>
      </c>
    </row>
    <row r="90" spans="1:31" s="2" customFormat="1" x14ac:dyDescent="0.25">
      <c r="A90">
        <v>89</v>
      </c>
      <c r="B90">
        <v>3</v>
      </c>
      <c r="C90">
        <v>28</v>
      </c>
      <c r="D90">
        <v>7</v>
      </c>
      <c r="E90">
        <v>1</v>
      </c>
      <c r="F90" s="3">
        <f>1078.4+(645.1-709)+(-1.649952+(-0.987003--1.08477))+0-0-0</f>
        <v>1012.9478150000001</v>
      </c>
      <c r="G90" s="3">
        <f>1078.4+(565.9-721.6)+(-1.099968+(-0.577218--0.736032))+0-0-0</f>
        <v>921.75884600000006</v>
      </c>
      <c r="H90" s="3">
        <f>1082.8+(534-751.3)+(-1.656684+(-0.81702--1.149489))+0-0-0</f>
        <v>864.17578500000002</v>
      </c>
      <c r="I90" s="3">
        <f>1076.6+(494.8-732.2)+(-1.647198+(-0.757044--1.120266))+0-0-0</f>
        <v>837.91602399999977</v>
      </c>
      <c r="J90" s="3">
        <f>1085.9+(454-725.3)+(-1.661427+(-0.69462--1.109709))+0-0-0</f>
        <v>813.3536620000001</v>
      </c>
      <c r="K90" s="3">
        <f>1076.7+(456.6-737.7)+(-1.647351+(-0.698598--1.128681))+0-0-0</f>
        <v>794.38273200000003</v>
      </c>
      <c r="L90" s="3">
        <f>898.7+(509.8-668.1)+(0+(0-0))+0-0-0</f>
        <v>740.40000000000009</v>
      </c>
      <c r="M90" s="3">
        <f>906.1+(499.1-678.1)+(0+(0-0))+0-0-0</f>
        <v>727.1</v>
      </c>
      <c r="N90" s="3">
        <f>1071+(455.6-742.9)+(-2.18484+(-0.929424--1.515516))+0-0-0</f>
        <v>782.10125200000004</v>
      </c>
      <c r="O90" s="3">
        <f>1081.5+(453.6-660.5)+(-1.654695+(-0.694008--1.010565))+0-0-0</f>
        <v>873.26186200000006</v>
      </c>
      <c r="P90" s="3">
        <f>1080.7+(454.4-647.2)+(0+(0-0))+0-0-0</f>
        <v>887.9</v>
      </c>
      <c r="Q90" s="3">
        <f>1063.5+(551.7-677.6)+(0+(0-0))+0-0-0</f>
        <v>937.6</v>
      </c>
      <c r="R90" s="3">
        <f>1086.2+(659.1-793.7)+(-0.553962+(-0.336141--0.404787))+0-0-0</f>
        <v>951.11468400000001</v>
      </c>
      <c r="S90" s="3">
        <f>1104.3+(708.4-872.7)+(-0.563193+(-0.361284--0.445077))+0-0-0</f>
        <v>939.52059999999983</v>
      </c>
      <c r="T90" s="3">
        <f>1092.2+(741-901.6)+(-0.557022+(-0.37791--0.459816))+0-0-0</f>
        <v>931.12488400000007</v>
      </c>
      <c r="U90" s="3">
        <f>1063.5+(693-792.8)+(-1.08477+(-0.70686--0.808656))+0-0-0</f>
        <v>962.71702600000003</v>
      </c>
      <c r="V90" s="3">
        <f>1063+(652.5-753.4)+(-0.54213+(-0.332775--0.384234))+0-0-0</f>
        <v>961.609329</v>
      </c>
      <c r="W90" s="3">
        <f>1060.6+(613-722.5)+(-1.622718+(-0.93789--1.105425))+0-0-0</f>
        <v>949.64481699999988</v>
      </c>
      <c r="X90" s="3">
        <f>953.4+(609-632.9)+(-2.43117+(-1.55295--1.613895))+0-0-0</f>
        <v>927.129775</v>
      </c>
      <c r="Y90" s="3">
        <f>853.6+(586-541.9)+(-0.870672+(-0.59772--0.552738))+0-0-0</f>
        <v>896.78434600000003</v>
      </c>
      <c r="Z90" s="3">
        <f>897+(633.9-573.2)+(-0.45747+(-0.323289--0.292332))+0-0-0</f>
        <v>957.21157299999993</v>
      </c>
      <c r="AA90" s="3">
        <f>1073.4+(707.8-646.1)+(-1.642302+(-1.082934--0.988533))+0-0-0</f>
        <v>1133.3632969999999</v>
      </c>
      <c r="AB90" s="3">
        <f>1074.2+(760.9-697.5)+(-1.095684+(-0.776118--0.71145))+0-0-0</f>
        <v>1136.4396479999998</v>
      </c>
      <c r="AC90" s="3">
        <f>1082.2+(772.4-773.1)+(-2.207688+(-1.575696--1.577124))+0-0-0</f>
        <v>1079.2937400000001</v>
      </c>
      <c r="AD90">
        <f t="shared" si="1"/>
        <v>22018.851697000006</v>
      </c>
      <c r="AE90" s="3">
        <f>1074+(727.4-653.2)+(0+(0-0))+0-0-0</f>
        <v>1148.1999999999998</v>
      </c>
    </row>
    <row r="91" spans="1:31" s="2" customFormat="1" x14ac:dyDescent="0.25">
      <c r="A91">
        <v>89</v>
      </c>
      <c r="B91">
        <v>3</v>
      </c>
      <c r="C91">
        <v>29</v>
      </c>
      <c r="D91">
        <v>1</v>
      </c>
      <c r="E91">
        <v>1</v>
      </c>
      <c r="F91" s="3">
        <f>1079+(702.5-786.2)+(-1.10058+(-0.71655--0.801924))+0-0-0</f>
        <v>994.28479399999992</v>
      </c>
      <c r="G91" s="3">
        <f>1074.4+(644.2-835.4)+(-2.191776+(-1.314168--1.704216))+0-0-0</f>
        <v>881.39827200000013</v>
      </c>
      <c r="H91" s="3">
        <f>1076.2+(595.2-836.8)+(-1.646586+(-0.910656--1.280304))+0-0-0</f>
        <v>833.32306200000016</v>
      </c>
      <c r="I91" s="3">
        <f>1068.5+(544.9-804)+(-3.26961+(-1.667394--2.46024))+0-0-0</f>
        <v>806.92323599999997</v>
      </c>
      <c r="J91" s="3">
        <f>1047.9+(551.4-802.6)+(0+(0-0))+0-0-0</f>
        <v>796.7</v>
      </c>
      <c r="K91" s="3">
        <f>1022.3+(580.3-824)+(-0.521373+(-0.295953--0.42024))+0-0-0</f>
        <v>778.20291399999996</v>
      </c>
      <c r="L91" s="3">
        <f>868.5+(608.5-729.3)+(-0.442935+(-0.310335--0.371943))+0-0-0</f>
        <v>747.31867299999999</v>
      </c>
      <c r="M91" s="3">
        <f>1013.4+(512.3-753.1)+(-1.033668+(-0.522546--0.768162))+0-0-0</f>
        <v>771.81194799999992</v>
      </c>
      <c r="N91" s="3">
        <f>1057.4+(571.6-766.8)+(0.539274+(0.291516-0.391068))+0-0-0</f>
        <v>862.63972200000012</v>
      </c>
      <c r="O91" s="3">
        <f>1083.2+(552.1-702.8)+(0.552432+(0.281571-0.358428))+0-0-0</f>
        <v>932.97557500000016</v>
      </c>
      <c r="P91" s="3">
        <f>1084.3+(527.1-622.9)+(-1.105986+(-0.537642--0.635358))+0-0-0</f>
        <v>987.49172999999996</v>
      </c>
      <c r="Q91" s="3">
        <f>1106.1+(489.8-588.3)+(1.128222+(0.499596-0.600066))+0-0-0</f>
        <v>1008.6277519999999</v>
      </c>
      <c r="R91" s="3">
        <f>1089.8+(449.9-529.5)+(-1.111596+(-0.458898--0.54009))+0-0-0</f>
        <v>1009.169596</v>
      </c>
      <c r="S91" s="3">
        <f>1081.1+(466.7-545.1)+(0+(0-0))+0-0-0</f>
        <v>1002.6999999999998</v>
      </c>
      <c r="T91" s="3">
        <f>1084.9+(442.2-518.2)+(-0.553299+(-0.225522--0.264282))+0-0-0</f>
        <v>1008.3854610000001</v>
      </c>
      <c r="U91" s="3">
        <f>1089.9+(456.8-538.8)+(-1.111698+(-0.465936--0.549576))+0-0-0</f>
        <v>1006.8719420000001</v>
      </c>
      <c r="V91" s="3">
        <f>1090.3+(497.2-567.2)+(0.556053+(0.253572-0.289272))+0-0-0</f>
        <v>1020.820353</v>
      </c>
      <c r="W91" s="3">
        <f>1086+(555-633.4)+(-2.21544+(-1.1322--1.292136))+0-0-0</f>
        <v>1005.544496</v>
      </c>
      <c r="X91" s="3">
        <f>1036+(591.2-643.1)+(-3.17016+(-1.809072--1.967886))+0-0-0</f>
        <v>981.08865400000002</v>
      </c>
      <c r="Y91" s="3">
        <f>1038.8+(600.3-648)+(-0.529788+(-0.306153--0.33048))+0-0-0</f>
        <v>990.59453899999994</v>
      </c>
      <c r="Z91" s="3">
        <f>1089.4+(619.8-649.3)+(0+(0-0))+0-0-0</f>
        <v>1059.9000000000001</v>
      </c>
      <c r="AA91" s="3">
        <f>1096.3+(574.3-465.6)+(0+(0-0))+0-0-0</f>
        <v>1205</v>
      </c>
      <c r="AB91" s="3">
        <f>1100.1+(578.7-490.9)+(-1.683153+(-0.885411--0.751077))+0-0-0</f>
        <v>1186.0825130000001</v>
      </c>
      <c r="AC91" s="3">
        <f>1108.1+(641.9-637.3)+(-1.130262+(-0.654738--0.650046))+0-0-0</f>
        <v>1111.5650459999997</v>
      </c>
      <c r="AD91">
        <f t="shared" si="1"/>
        <v>22989.420277999998</v>
      </c>
      <c r="AE91" s="3">
        <f>1095+(567.1-446.1)+(0+(0-0))+0-0-0</f>
        <v>1216</v>
      </c>
    </row>
    <row r="92" spans="1:31" s="2" customFormat="1" x14ac:dyDescent="0.25">
      <c r="A92">
        <v>89</v>
      </c>
      <c r="B92">
        <v>3</v>
      </c>
      <c r="C92">
        <v>30</v>
      </c>
      <c r="D92">
        <v>2</v>
      </c>
      <c r="E92">
        <v>1</v>
      </c>
      <c r="F92" s="3">
        <f>1112.9+(728-809.4)+(-2.270316+(-1.48512--1.651176))+0-0-0</f>
        <v>1029.3957399999999</v>
      </c>
      <c r="G92" s="3">
        <f>1116.7+(675.5-871)+(-0.569517+(-0.344505--0.44421))+0-0-0</f>
        <v>920.730188</v>
      </c>
      <c r="H92" s="3">
        <f>1116.5+(604.2-875.7)+(0.569415+(0.308142-0.446607))+0-0-0</f>
        <v>845.43095000000005</v>
      </c>
      <c r="I92" s="3">
        <f>1125.6+(496.3-795.7)+(-1.722168+(-0.759339--1.217421))+0-0-0</f>
        <v>824.9359139999998</v>
      </c>
      <c r="J92" s="3">
        <f>1125.6+(430.4-747.6)+(-1.722168+(-0.658512--1.143828))+0-0-0</f>
        <v>807.16314799999986</v>
      </c>
      <c r="K92" s="3">
        <f>1127.6+(443.5-777.3)+(-2.300304+(-0.90474--1.585692))+0-0-0</f>
        <v>792.18064799999991</v>
      </c>
      <c r="L92" s="3">
        <f>922+(379.2-601.5)+(0.47022+(0.193392-0.306765))+0-0-0</f>
        <v>700.05684700000006</v>
      </c>
      <c r="M92" s="3">
        <f>1089+(315.7-603.4)+(0+(0-0))+0-0-0</f>
        <v>801.3</v>
      </c>
      <c r="N92" s="3">
        <f>1081+(371.9-596.7)+(1.10262+(0.379338-0.608634))+0-0-0</f>
        <v>857.07332399999996</v>
      </c>
      <c r="O92" s="3">
        <f>1064+(402.5-538.9)+(1.08528+(0.41055-0.549678))+0-0-0</f>
        <v>928.54615200000001</v>
      </c>
      <c r="P92" s="3">
        <f>1040+(436.6-494.3)+(0.5304+(0.222666-0.252093))+0-0-0</f>
        <v>982.800973</v>
      </c>
      <c r="Q92" s="3">
        <f>1066.6+(470.5-513.1)+(0.543966+(0.239955-0.261681))+0-0-0</f>
        <v>1024.5222399999998</v>
      </c>
      <c r="R92" s="3">
        <f>1089.4+(461.7-522)+(0.555594+(0.235467-0.26622))+0-0-0</f>
        <v>1029.6248410000001</v>
      </c>
      <c r="S92" s="3">
        <f>1086.4+(432.5-511.2)+(0+(0-0))+0-0-0</f>
        <v>1007.7</v>
      </c>
      <c r="T92" s="3">
        <f>1082.1+(417.1-492.1)+(0.551871+(0.212721-0.250971))+0-0-0</f>
        <v>1007.6136209999999</v>
      </c>
      <c r="U92" s="3">
        <f>1083.5+(444.2-520.5)+(-1.10517+(-0.453084--0.53091))+0-0-0</f>
        <v>1006.1726560000001</v>
      </c>
      <c r="V92" s="3">
        <f>1091+(482.7-555.3)+(-1.11282+(-0.492354--0.566406))+0-0-0</f>
        <v>1017.3612320000001</v>
      </c>
      <c r="W92" s="3">
        <f>1094.4+(568.7-661)+(-1.116288+(-0.580074--0.67422))+0-0-0</f>
        <v>1001.0778580000001</v>
      </c>
      <c r="X92" s="3">
        <f>1066.8+(554.1-630)+(-1.632204+(-0.847773--0.9639))+0-0-0</f>
        <v>989.38392299999998</v>
      </c>
      <c r="Y92" s="3">
        <f>1060+(591.9-666.8)+(-0.5406+(-0.301869--0.340068))+0-0-0</f>
        <v>984.59759900000006</v>
      </c>
      <c r="Z92" s="3">
        <f>1072.7+(630.6-663.8)+(0+(0-0))+0-0-0</f>
        <v>1039.5</v>
      </c>
      <c r="AA92" s="3">
        <f>1066.4+(594.8-528.8)+(-1.087728+(-0.606696--0.539376))+0-0-0</f>
        <v>1131.244952</v>
      </c>
      <c r="AB92" s="3">
        <f>1059.9+(562.7-518.8)+(-0.540549+(-0.286977--0.264588))+0-0-0</f>
        <v>1103.2370620000002</v>
      </c>
      <c r="AC92" s="3">
        <f>1065.2+(597.3-640.8)+(0+(0-0))+0-0-0</f>
        <v>1021.7</v>
      </c>
      <c r="AD92">
        <f t="shared" si="1"/>
        <v>22853.349868000005</v>
      </c>
      <c r="AE92" s="3">
        <f>1070+(611.3-543.8)+(0+(0-0))+0-0-0</f>
        <v>1137.5</v>
      </c>
    </row>
    <row r="93" spans="1:31" s="2" customFormat="1" x14ac:dyDescent="0.25">
      <c r="A93">
        <v>89</v>
      </c>
      <c r="B93">
        <v>3</v>
      </c>
      <c r="C93">
        <v>31</v>
      </c>
      <c r="D93">
        <v>3</v>
      </c>
      <c r="E93">
        <v>1</v>
      </c>
      <c r="F93" s="3">
        <f>1062.7+(639.7-798.3)+(-0.541977+(-0.326247--0.407133))+0-0-0</f>
        <v>903.63890900000013</v>
      </c>
      <c r="G93" s="3">
        <f>1065.8+(674-907.8)+(0.543558+(0.34374-0.462978))+0-0-0</f>
        <v>832.42431999999997</v>
      </c>
      <c r="H93" s="3">
        <f>1026.3+(592.3-834.3)+(0.523413+(0.302073-0.425493))+0-0-0</f>
        <v>784.69999299999995</v>
      </c>
      <c r="I93" s="3">
        <f>1028.4+(497.3-763.9)+(1.048968+(0.507246-0.779178))+0-0-0</f>
        <v>762.57703600000013</v>
      </c>
      <c r="J93" s="3">
        <f>1052.5+(433.1-735.6)+(2.1471+(0.883524-1.500624))+0-0-0</f>
        <v>751.53</v>
      </c>
      <c r="K93" s="3">
        <f>1086.7+(459.4-797.1)+(0+(0-0))+0-0-0</f>
        <v>749</v>
      </c>
      <c r="L93" s="3">
        <f>1091.5+(491.9-849.8)+(-0.556665+(-0.250869--0.433398))+0-0-0</f>
        <v>733.225864</v>
      </c>
      <c r="M93" s="3">
        <f>1082.3+(507.5-817.1)+(0+(0-0))+0-0-0</f>
        <v>772.69999999999993</v>
      </c>
      <c r="N93" s="3">
        <f>1058.7+(519.4-726)+(1.079874+(0.529788-0.74052))+0-0-0</f>
        <v>852.96914200000003</v>
      </c>
      <c r="O93" s="3">
        <f>903.3+(534.6-519.2)+(0.921366+(0.545292-0.529584))+0-0-0</f>
        <v>919.63707399999998</v>
      </c>
      <c r="P93" s="3">
        <f>759.2+(529.2-342.1)+(0+(0-0))+0-0-0</f>
        <v>946.30000000000007</v>
      </c>
      <c r="Q93" s="3">
        <f>781.9+(442.8-233)+(0+(0-0))+0-0-0</f>
        <v>991.7</v>
      </c>
      <c r="R93" s="3">
        <f>776.7+(545.8-318.5)+(0.396117+(0.278358-0.162435))+0-0-0</f>
        <v>1004.51204</v>
      </c>
      <c r="S93" s="3">
        <f>775+(590.2-365.9)+(0+(0-0))+0-0-0</f>
        <v>999.30000000000007</v>
      </c>
      <c r="T93" s="3">
        <f>775.4+(385.3-175.7)+(0.395454+(0.196503-0.089607))+0-0-0</f>
        <v>985.50234999999998</v>
      </c>
      <c r="U93" s="3">
        <f>773.3+(329.9-123.7)+(-0.394383+(-0.168249--0.063087))+0-0-0</f>
        <v>979.00045499999999</v>
      </c>
      <c r="V93" s="3">
        <f>770.9+(445.8-228.9)+(0.786318+(0.454716-0.233478))+0-0-0</f>
        <v>988.80755599999998</v>
      </c>
      <c r="W93" s="3">
        <f>770.8+(468.7-248.1)+(0.393108+(0.239037-0.126531))+0-0-0</f>
        <v>991.90561400000001</v>
      </c>
      <c r="X93" s="3">
        <f>760.2+(611.6-411.8)+(0+(0-0))+0-0-0</f>
        <v>960</v>
      </c>
      <c r="Y93" s="3">
        <f>738.7+(659.3-457.5)+(0.753474+(0.672486-0.46665))+0-0-0</f>
        <v>941.45930999999996</v>
      </c>
      <c r="Z93" s="3">
        <f>761.6+(692.4-453.2)+(0+(0-0))+0-0-0</f>
        <v>1000.8</v>
      </c>
      <c r="AA93" s="3">
        <f>773.6+(764.3-371.5)+(-0.394536+(-0.389793--0.189465))+0-0-0</f>
        <v>1165.8051360000002</v>
      </c>
      <c r="AB93" s="3">
        <f>745.1+(809.7-407.7)+(0+(0-0))+0-0-0</f>
        <v>1147.1000000000001</v>
      </c>
      <c r="AC93" s="3">
        <f>734+(789.8-443.8)+(-1.12302+(-1.208394--0.679014))+0-0-0</f>
        <v>1078.3476000000001</v>
      </c>
      <c r="AD93">
        <f t="shared" si="1"/>
        <v>22242.942398999992</v>
      </c>
      <c r="AE93" s="3">
        <f>783+(742.9-382)+(0+(0-0))+0-0-0</f>
        <v>1143.9000000000001</v>
      </c>
    </row>
    <row r="94" spans="1:31" s="2" customFormat="1" x14ac:dyDescent="0.25">
      <c r="A94">
        <v>89</v>
      </c>
      <c r="B94">
        <v>4</v>
      </c>
      <c r="C94">
        <v>1</v>
      </c>
      <c r="D94">
        <v>4</v>
      </c>
      <c r="E94">
        <v>1</v>
      </c>
      <c r="F94" s="3">
        <f>731.9+(805.1-545.1)+(-1.866345+(-2.053005--1.390005))+0-0-0</f>
        <v>989.37065499999994</v>
      </c>
      <c r="G94" s="3">
        <f>733.3+(699.3-546.5)+(-1.121949+(-1.069929--0.836145))+0-0-0</f>
        <v>884.74426699999992</v>
      </c>
      <c r="H94" s="3">
        <f>735.3+(607-508)+(-1.500012+(-1.23828--1.03632))+0-0-0</f>
        <v>832.598028</v>
      </c>
      <c r="I94" s="3">
        <f>735.8+(593.5-521.8)+(-1.125774+(-0.908055--0.798354))+0-0-0</f>
        <v>806.26452500000005</v>
      </c>
      <c r="J94" s="3">
        <f>740.1+(512.9-477)+(-0.377451+(-0.261579--0.24327))+0-0-0</f>
        <v>775.60424</v>
      </c>
      <c r="K94" s="3">
        <f>733.1+(490.8-458.7)+(-1.495524+(-1.001232--0.935748))+0-0-0</f>
        <v>763.63899200000003</v>
      </c>
      <c r="L94" s="3">
        <f>540.3+(626.1-440.1)+(0.275553+(0.319311-0.224451))+0-0-0</f>
        <v>726.67041299999994</v>
      </c>
      <c r="M94" s="3">
        <f>652.1+(504.6-404)+(0.665142+(0.514692-0.41208))+0-0-0</f>
        <v>753.46775400000001</v>
      </c>
      <c r="N94" s="3">
        <f>762+(519.2-444.8)+(-0.38862+(-0.264792--0.226848))+0-0-0</f>
        <v>835.97343600000011</v>
      </c>
      <c r="O94" s="3">
        <f>792.4+(597.1-487.3)+(0.808248+(0.609042-0.497046))+0-0-0</f>
        <v>903.12024400000007</v>
      </c>
      <c r="P94" s="3">
        <f>871.2+(550.8-470.5)+(0.444312+(0.280908-0.239955))+0-0-0</f>
        <v>951.98526500000003</v>
      </c>
      <c r="Q94" s="3">
        <f>818.7+(591.2-405.7)+(0+(0-0))+0-0-0</f>
        <v>1004.2</v>
      </c>
      <c r="R94" s="3">
        <f>740.5+(669.9-419.9)+(-0.377655+(-0.341649--0.214149))+0-0-0</f>
        <v>989.99484500000005</v>
      </c>
      <c r="S94" s="3">
        <f>740.6+(672.6-436.4)+(-0.755412+(-0.686052--0.445128))+0-0-0</f>
        <v>975.80366400000003</v>
      </c>
      <c r="T94" s="3">
        <f>747.8+(700.7-472.1)+(0.381378+(0.357357-0.240771))+0-0-0</f>
        <v>976.897964</v>
      </c>
      <c r="U94" s="3">
        <f>819.3+(636-456)+(1.253529+(0.97308-0.69768))+0-0-0</f>
        <v>1000.8289289999999</v>
      </c>
      <c r="V94" s="3">
        <f>968.8+(510.5-458)+(-0.988176+(-0.52071--0.46716))+0-0-0</f>
        <v>1020.2582739999999</v>
      </c>
      <c r="W94" s="3">
        <f>1013.1+(524.9-519.1)+(-1.033362+(-0.535398--0.529482))+0-0-0</f>
        <v>1017.860722</v>
      </c>
      <c r="X94" s="3">
        <f>1036+(465.4-525.6)+(-1.58508+(-0.712062--0.804168))+0-0-0</f>
        <v>974.30702599999995</v>
      </c>
      <c r="Y94" s="3">
        <f>1042.7+(449.6-530.8)+(0.531777+(0.229296-0.270708))+0-0-0</f>
        <v>961.99036500000011</v>
      </c>
      <c r="Z94" s="3">
        <f>1036.1+(542.1-568)+(-1.585233+(-0.829413--0.86904))+0-0-0</f>
        <v>1008.6543939999999</v>
      </c>
      <c r="AA94" s="3">
        <f>964.7+(674.7-535.2)+(-0.491997+(-0.344097--0.272952))+0-0-0</f>
        <v>1103.6368580000001</v>
      </c>
      <c r="AB94" s="3">
        <f>721.1+(843.4-504.7)+(0+(0-0))+0-0-0</f>
        <v>1059.8</v>
      </c>
      <c r="AC94" s="3">
        <f>720+(815.8-482.9)+(-0.3672+(-0.416058--0.246279))+0-0-0</f>
        <v>1052.3630210000001</v>
      </c>
      <c r="AD94">
        <f t="shared" si="1"/>
        <v>22370.033881000003</v>
      </c>
      <c r="AE94" s="3">
        <f>1042+(610.3-495.5)+(0+(0-0))+0-0-0</f>
        <v>1156.8</v>
      </c>
    </row>
    <row r="95" spans="1:31" s="2" customFormat="1" x14ac:dyDescent="0.25">
      <c r="A95">
        <v>89</v>
      </c>
      <c r="B95">
        <v>4</v>
      </c>
      <c r="C95">
        <v>2</v>
      </c>
      <c r="D95">
        <v>5</v>
      </c>
      <c r="E95">
        <v>1</v>
      </c>
      <c r="F95" s="3">
        <f>719.7+(751.1-507.5)+(0+(0-0))+0-0-0</f>
        <v>963.30000000000007</v>
      </c>
      <c r="G95" s="3">
        <f>718.4+(662.3-520.4)+(-0.732768+(-0.675546--0.530808))+0-0-0</f>
        <v>859.42249399999992</v>
      </c>
      <c r="H95" s="3">
        <f>720.8+(611.2-523.8)+(0+(0-0))+0-0-0</f>
        <v>808.2</v>
      </c>
      <c r="I95" s="3">
        <f>717.3+(619.1-553.4)+(-0.731646+(-0.631482--0.564468))+0-0-0</f>
        <v>782.20133999999996</v>
      </c>
      <c r="J95" s="3">
        <f>719.2+(605.6-555.9)+(-0.366792+(-0.308856--0.283509))+0-0-0</f>
        <v>768.50786100000005</v>
      </c>
      <c r="K95" s="3">
        <f>719.5+(602.9-566.3)+(-0.73389+(-0.614958--0.577626))+0-0-0</f>
        <v>755.32877800000006</v>
      </c>
      <c r="L95" s="3">
        <f>654.4+(597.5-539)+(-0.333744+(-0.304725--0.27489))+0-0-0</f>
        <v>712.53642100000002</v>
      </c>
      <c r="M95" s="3">
        <f>631.7+(645.2-525.9)+(-0.322167+(-0.329052--0.268209))+0-0-0</f>
        <v>750.6169900000001</v>
      </c>
      <c r="N95" s="3">
        <f>727.2+(659.5-565.4)+(0+(0-0))+0-0-0</f>
        <v>821.30000000000007</v>
      </c>
      <c r="O95" s="3">
        <f>728+(696.6-527.2)+(-1.11384+(-1.065798--0.806616))+0-0-0</f>
        <v>896.02697799999999</v>
      </c>
      <c r="P95" s="3">
        <f>742.6+(695.5-482.3)+(0.378726+(0.354705-0.245973))+0-0-0</f>
        <v>956.2874579999999</v>
      </c>
      <c r="Q95" s="3">
        <f>739.4+(697.8-463.2)+(-0.377094+(-0.355878--0.236232))+0-0-0</f>
        <v>973.50325999999995</v>
      </c>
      <c r="R95" s="3">
        <f>770.8+(692-486.1)+(0.393108+(0.35292-0.247911))+0-0-0</f>
        <v>977.19811699999991</v>
      </c>
      <c r="S95" s="3">
        <f>770+(674.8-483.8)+(-0.3927+(-0.344148--0.246738))+0-0-0</f>
        <v>960.50989000000004</v>
      </c>
      <c r="T95" s="3">
        <f>766.5+(579.1-386.9)+(0.78183+(0.590682-0.394638))+0-0-0</f>
        <v>959.67787400000009</v>
      </c>
      <c r="U95" s="3">
        <f>762.9+(479.8-278.1)+(0.389079+(0.244698-0.141831))+0-0-0</f>
        <v>965.09194599999989</v>
      </c>
      <c r="V95" s="3">
        <f>763.1+(610-411.9)+(0+(0-0))+0-0-0</f>
        <v>961.2</v>
      </c>
      <c r="W95" s="3">
        <f>762.1+(704.4-509.5)+(-0.388671+(-0.359244--0.259845))+0-0-0</f>
        <v>956.51193000000001</v>
      </c>
      <c r="X95" s="3">
        <f>764+(694.4-516.2)+(-1.16892+(-1.062432--0.789786))+0-0-0</f>
        <v>940.75843399999997</v>
      </c>
      <c r="Y95" s="3">
        <f>766.4+(704-534.7)+(-0.781728+(-0.71808--0.545394))+0-0-0</f>
        <v>934.74558599999989</v>
      </c>
      <c r="Z95" s="3">
        <f>820.4+(706.9-520.2)+(0+(0-0))+0-0-0</f>
        <v>1007.0999999999999</v>
      </c>
      <c r="AA95" s="3">
        <f>804.2+(830.4-477.2)+(-1.230426+(-1.270512--0.730116))+0-0-0</f>
        <v>1155.6291780000001</v>
      </c>
      <c r="AB95" s="3">
        <f>790.2+(812.6-474.1)+(-0.806004+(-0.828852--0.483582))+0-0-0</f>
        <v>1127.548726</v>
      </c>
      <c r="AC95" s="3">
        <f>743.4+(809.4-498.4)+(-0.379134+(-0.412794--0.254184))+0-0-0</f>
        <v>1053.8622560000001</v>
      </c>
      <c r="AD95">
        <f t="shared" si="1"/>
        <v>22047.065517000003</v>
      </c>
      <c r="AE95" s="3">
        <f>775+(869.5-482.6)+(0+(0-0))+0-0-0</f>
        <v>1161.9000000000001</v>
      </c>
    </row>
    <row r="96" spans="1:31" s="2" customFormat="1" x14ac:dyDescent="0.25">
      <c r="A96">
        <v>89</v>
      </c>
      <c r="B96">
        <v>4</v>
      </c>
      <c r="C96">
        <v>3</v>
      </c>
      <c r="D96">
        <v>6</v>
      </c>
      <c r="E96">
        <v>1</v>
      </c>
      <c r="F96" s="3">
        <f>734.2+(750.1-524.1)+(-1.497768+(-1.530204--1.069164))+0-0-0</f>
        <v>958.24119200000007</v>
      </c>
      <c r="G96" s="3">
        <f>731+(738.1-602.8)+(-1.86405+(-1.882155--1.53714))+0-0-0</f>
        <v>864.09093500000006</v>
      </c>
      <c r="H96" s="3">
        <f>738.5+(727.4-651.6)+(-0.376635+(-0.370974--0.332316))+0-0-0</f>
        <v>813.88470699999993</v>
      </c>
      <c r="I96" s="3">
        <f>734.8+(705.2-650.4)+(-0.749496+(-0.719304--0.663408))+0-0-0</f>
        <v>788.79460800000004</v>
      </c>
      <c r="J96" s="3">
        <f>737.4+(673.6-638.5)+(-0.376074+(-0.343536--0.325635))+0-0-0</f>
        <v>772.10602500000005</v>
      </c>
      <c r="K96" s="3">
        <f>734.4+(669.5-642.7)+(-1.123632+(-1.024335--0.983331))+0-0-0</f>
        <v>760.03536399999996</v>
      </c>
      <c r="L96" s="3">
        <f>694.1+(641.2-606.1)+(0+(0-0))+0-0-0</f>
        <v>729.2</v>
      </c>
      <c r="M96" s="3">
        <f>685.3+(595.8-534.2)+(-0.349503+(-0.303858--0.272442))+0-0-0</f>
        <v>746.51908099999991</v>
      </c>
      <c r="N96" s="3">
        <f>686.6+(652-527.5)+(0+(0-0))+0-0-0</f>
        <v>811.1</v>
      </c>
      <c r="O96" s="3">
        <f>700.5+(682.1-504.4)+(0.357255+(0.347871-0.257244))+0-0-0</f>
        <v>878.6478820000001</v>
      </c>
      <c r="P96" s="3">
        <f>741+(706.4-517)+(0.75582+(0.720528-0.52734))+0-0-0</f>
        <v>931.34900800000003</v>
      </c>
      <c r="Q96" s="3">
        <f>744.1+(697.1-495.8)+(1.138473+(1.066563-0.758574))+0-0-0</f>
        <v>946.84646200000009</v>
      </c>
      <c r="R96" s="3">
        <f>741.4+(697.6-498.6)+(0.378114+(0.355776-0.254286))+0-0-0</f>
        <v>940.87960399999997</v>
      </c>
      <c r="S96" s="3">
        <f>741+(670.4-492.8)+(0.75582+(0.683808-0.502656))+0-0-0</f>
        <v>919.53697199999988</v>
      </c>
      <c r="T96" s="3">
        <f>734.8+(652.6-472.4)+(-1.124244+(-0.998478--0.722772))+0-0-0</f>
        <v>913.60005000000001</v>
      </c>
      <c r="U96" s="3">
        <f>741.4+(678.7-506.6)+(-0.378114+(-0.346137--0.258366))+0-0-0</f>
        <v>913.03411500000004</v>
      </c>
      <c r="V96" s="3">
        <f>734.7+(689.7-511.4)+(-1.498788+(-1.406988--1.043256))+0-0-0</f>
        <v>911.1374800000001</v>
      </c>
      <c r="W96" s="3">
        <f>735.8+(668.6-490.8)+(-1.501032+(-1.363944--1.001232))+0-0-0</f>
        <v>911.73625599999991</v>
      </c>
      <c r="X96" s="3">
        <f>720.1+(644.1-470.2)+(-1.101753+(-0.985473--0.719406))+0-0-0</f>
        <v>892.63217999999995</v>
      </c>
      <c r="Y96" s="3">
        <f>549.3+(804.5-488.1)+(-0.280143+(-0.410295--0.248931))+0-0-0</f>
        <v>865.25849299999993</v>
      </c>
      <c r="Z96" s="3">
        <f>610.8+(772.7-462.9)+(-0.311508+(-0.394077--0.236079))+0-0-0</f>
        <v>920.130494</v>
      </c>
      <c r="AA96" s="3">
        <f>755.1+(830.6-490.2)+(-1.540404+(-1.694424--1.000008))+0-0-0</f>
        <v>1093.2651800000001</v>
      </c>
      <c r="AB96" s="3">
        <f>759.4+(811.6-486.8)+(-0.387294+(-0.413916--0.248268))+0-0-0</f>
        <v>1083.647058</v>
      </c>
      <c r="AC96" s="3">
        <f>758.4+(784.2-516.4)+(0.386784+(0.399942-0.263364))+0-0-0</f>
        <v>1026.723362</v>
      </c>
      <c r="AD96">
        <f t="shared" si="1"/>
        <v>21392.396508000002</v>
      </c>
      <c r="AE96" s="3">
        <f>750+(839.2-490.1)+(0+(0-0))+0-0-0</f>
        <v>1099.0999999999999</v>
      </c>
    </row>
    <row r="97" spans="1:31" s="2" customFormat="1" x14ac:dyDescent="0.25">
      <c r="A97">
        <v>89</v>
      </c>
      <c r="B97">
        <v>4</v>
      </c>
      <c r="C97">
        <v>4</v>
      </c>
      <c r="D97">
        <v>7</v>
      </c>
      <c r="E97">
        <v>1</v>
      </c>
      <c r="F97" s="3">
        <f>756+(646.9-455.9)+(0.38556+(0.329919-0.232509))+0-0-0</f>
        <v>947.48297000000002</v>
      </c>
      <c r="G97" s="3">
        <f>749.9+(600.5-504.6)+(-0.382449+(-0.306255--0.257346))+0-0-0</f>
        <v>845.36864199999991</v>
      </c>
      <c r="H97" s="3">
        <f>826.2+(538.4-558.7)+(-0.842724+(-0.549168--0.569874))+0-0-0</f>
        <v>805.07798200000002</v>
      </c>
      <c r="I97" s="3">
        <f>924.1+(461.9-599.8)+(0.471291+(0.235569-0.305898))+0-0-0</f>
        <v>786.6009620000001</v>
      </c>
      <c r="J97" s="3">
        <f>925+(464.3-618.5)+(-0.9435+(-0.473586--0.63087))+0-0-0</f>
        <v>770.01378399999999</v>
      </c>
      <c r="K97" s="3">
        <f>972.2+(431-644.1)+(-1.487466+(-0.65943--0.985473))+0-0-0</f>
        <v>757.93857700000001</v>
      </c>
      <c r="L97" s="3">
        <f>852.2+(426.1-578.7)+(-0.869244+(-0.434622--0.590274))+0-0-0</f>
        <v>698.88640800000007</v>
      </c>
      <c r="M97" s="3">
        <f>764.5+(504.3-498.2)+(-1.55958+(-1.028772--1.016328))+0-0-0</f>
        <v>769.02797599999997</v>
      </c>
      <c r="N97" s="3">
        <f>640.2+(617.5-496.9)+(-0.326502+(-0.314925--0.253419))+0-0-0</f>
        <v>760.41199200000005</v>
      </c>
      <c r="O97" s="3">
        <f>711.9+(590.7-516.3)+(0.363069+(0.301257-0.263313))+0-0-0</f>
        <v>786.7010130000001</v>
      </c>
      <c r="P97" s="3">
        <f>894.1+(458.9-507.6)+(-2.279955+(-1.170195--1.29438))+0-0-0</f>
        <v>843.24423000000002</v>
      </c>
      <c r="Q97" s="3">
        <f>924.3+(444.8-511)+(0.471393+(0.226848-0.26061))+0-0-0</f>
        <v>858.53763099999992</v>
      </c>
      <c r="R97" s="3">
        <f>949.5+(468-549.3)+(-0.484245+(-0.23868--0.280143))+0-0-0</f>
        <v>867.75721800000008</v>
      </c>
      <c r="S97" s="3">
        <f>960.3+(482.9-580.2)+(0+(0-0))+0-0-0</f>
        <v>862.99999999999989</v>
      </c>
      <c r="T97" s="3">
        <f>962.4+(499.9-606.7)+(-1.472472+(-0.764847--0.928251))+0-0-0</f>
        <v>854.29093199999988</v>
      </c>
      <c r="U97" s="3">
        <f>982+(526.9-644.8)+(1.50246+(0.806157-0.986544))+0-0-0</f>
        <v>865.42207300000007</v>
      </c>
      <c r="V97" s="3">
        <f>991.1+(537-662.4)+(-1.010922+(-0.54774--0.675648))+0-0-0</f>
        <v>864.81698600000004</v>
      </c>
      <c r="W97" s="3">
        <f>940.7+(608.5-682.4)+(-1.919028+(-1.24134--1.392096))+0-0-0</f>
        <v>865.03172800000004</v>
      </c>
      <c r="X97" s="3">
        <f>821+(586.9-562.2)+(-0.41871+(-0.299319--0.286722))+0-0-0</f>
        <v>845.26869299999998</v>
      </c>
      <c r="Y97" s="3">
        <f>671+(672-526.1)+(-0.68442+(-0.68544--0.536622))+0-0-0</f>
        <v>816.06676199999993</v>
      </c>
      <c r="Z97" s="3">
        <f>754.6+(661.2-549.3)+(-0.769692+(-0.674424--0.560286))+0-0-0</f>
        <v>865.61617000000012</v>
      </c>
      <c r="AA97" s="3">
        <f>824.2+(712.7-496.7)+(-1.261026+(-1.090431--0.759951))+0-0-0</f>
        <v>1038.6084940000001</v>
      </c>
      <c r="AB97" s="3">
        <f>887.5+(672.9-510.2)+(-0.90525+(-0.686358--0.520404))+0-0-0</f>
        <v>1049.128796</v>
      </c>
      <c r="AC97" s="3">
        <f>944.7+(620-578.3)+(-0.963594+(-0.6324--0.589866))+0-0-0</f>
        <v>985.3938720000001</v>
      </c>
      <c r="AD97">
        <f t="shared" si="1"/>
        <v>20409.693891000003</v>
      </c>
      <c r="AE97" s="3">
        <f>876+(693.5-500)+(0+(0-0))+0-0-0</f>
        <v>1069.5</v>
      </c>
    </row>
    <row r="98" spans="1:31" s="2" customFormat="1" x14ac:dyDescent="0.25">
      <c r="A98">
        <v>89</v>
      </c>
      <c r="B98">
        <v>4</v>
      </c>
      <c r="C98">
        <v>5</v>
      </c>
      <c r="D98">
        <v>1</v>
      </c>
      <c r="E98">
        <v>3</v>
      </c>
      <c r="F98" s="3">
        <f>872.6+(636.6-631)+(-1.335078+(-0.973998--0.96543))+0-0-0</f>
        <v>876.85635400000001</v>
      </c>
      <c r="G98" s="3">
        <f>890.4+(491-595.1)+(-1.816416+(-1.00164--1.214004))+0-0-0</f>
        <v>784.69594799999993</v>
      </c>
      <c r="H98" s="3">
        <f>880.2+(452.5-587)+(-0.448902+(-0.230775--0.29937))+0-0-0</f>
        <v>745.31969300000003</v>
      </c>
      <c r="I98" s="3">
        <f>741.4+(513.3-549.5)+(-1.134342+(-0.785349--0.840735))+0-0-0</f>
        <v>704.12104399999998</v>
      </c>
      <c r="J98" s="3">
        <f>723.6+(523.9-557.9)+(-0.738072+(-0.534378--0.569058))+0-0-0</f>
        <v>688.89660800000001</v>
      </c>
      <c r="K98" s="3">
        <f>689.2+(549.4-558.2)+(-2.460444+(-1.961358--1.992774))+0-0-0</f>
        <v>677.97097199999996</v>
      </c>
      <c r="L98" s="3">
        <f>546+(595.6-501.2)+(-0.55692+(-0.607512--0.511224))+0-0-0</f>
        <v>639.74679200000014</v>
      </c>
      <c r="M98" s="3">
        <f>667.7+(512.6-524.2)+(-1.362108+(-1.045704--1.069368))+0-0-0</f>
        <v>654.76155600000004</v>
      </c>
      <c r="N98" s="3">
        <f>813.1+(434.8-521.5)+(-0.829362+(-0.443496--0.53193))+0-0-0</f>
        <v>725.65907200000004</v>
      </c>
      <c r="O98" s="3">
        <f>938.5+(413.5-568.1)+(-0.95727+(-0.42177--0.579462))+0-0-0</f>
        <v>783.10042199999998</v>
      </c>
      <c r="P98" s="3">
        <f>1048.4+(373.2-570.7)+(-1.604052+(-0.570996--0.873171))+0-0-0</f>
        <v>849.5981230000001</v>
      </c>
      <c r="Q98" s="3">
        <f>1047.2+(411.1-571.5)+(-1.068144+(-0.419322--0.58293))+0-0-0</f>
        <v>885.89546400000006</v>
      </c>
      <c r="R98" s="3">
        <f>1039+(485-617)+(-1.05978+(-0.4947--0.62934))+0-0-0</f>
        <v>906.07485999999994</v>
      </c>
      <c r="S98" s="3">
        <f>1027.7+(519.4-652.2)+(-1.572381+(-0.794682--0.997866))+0-0-0</f>
        <v>893.53080299999999</v>
      </c>
      <c r="T98" s="3">
        <f>1054.3+(518.8-682.5)+(0+(0-0))+0-0-0</f>
        <v>890.59999999999991</v>
      </c>
      <c r="U98" s="3">
        <f>1060.5+(493.6-657.7)+(-0.540855+(-0.251736--0.335427))+0-0-0</f>
        <v>895.94283599999994</v>
      </c>
      <c r="V98" s="3">
        <f>1057.8+(535.5-682.7)+(-2.69739+(-1.365525--1.740885))+0-0-0</f>
        <v>908.27796999999987</v>
      </c>
      <c r="W98" s="3">
        <f>1056.2+(552.2-696.7)+(-1.615986+(-0.844866--1.065951))+0-0-0</f>
        <v>910.30509900000004</v>
      </c>
      <c r="X98" s="3">
        <f>1042.3+(448.8-590.2)+(-1.594719+(-0.686664--0.903006))+0-0-0</f>
        <v>899.52162299999986</v>
      </c>
      <c r="Y98" s="3">
        <f>845.3+(535.9-513)+(0+(0-0))+0-0-0</f>
        <v>868.19999999999993</v>
      </c>
      <c r="Z98" s="3">
        <f>907+(523.7-519.4)+(0+(0-0))+0-0-0</f>
        <v>911.30000000000007</v>
      </c>
      <c r="AA98" s="3">
        <f>1034.1+(604.3-545.5)+(-1.054782+(-0.616386--0.55641))+0-0-0</f>
        <v>1091.7852419999999</v>
      </c>
      <c r="AB98" s="3">
        <f>1034.3+(588.4-535.3)+(0+(0-0))+0-0-0</f>
        <v>1087.4000000000001</v>
      </c>
      <c r="AC98" s="3">
        <f>1039.7+(585.5-606.3)+(1.060494+(0.59721-0.618426))+0-0-0</f>
        <v>1019.9392780000001</v>
      </c>
      <c r="AD98">
        <f t="shared" si="1"/>
        <v>20299.499759000002</v>
      </c>
      <c r="AE98" s="3">
        <f>1034+(603.3-544)+(0+(0-0))+0-0-0</f>
        <v>1093.3</v>
      </c>
    </row>
    <row r="99" spans="1:31" s="2" customFormat="1" x14ac:dyDescent="0.25">
      <c r="A99">
        <v>89</v>
      </c>
      <c r="B99">
        <v>4</v>
      </c>
      <c r="C99">
        <v>6</v>
      </c>
      <c r="D99">
        <v>2</v>
      </c>
      <c r="E99">
        <v>1</v>
      </c>
      <c r="F99" s="3">
        <f>1038+(513.6-626)+(0+(0-0))+0-0-0</f>
        <v>925.6</v>
      </c>
      <c r="G99" s="3">
        <f>904.4+(536.9-607)+(-1.383732+(-0.821457--0.92871))+0-0-0</f>
        <v>833.02352099999996</v>
      </c>
      <c r="H99" s="3">
        <f>748.7+(580.7-560.7)+(-1.909185+(-1.480785--1.429785))+0-0-0</f>
        <v>766.73981500000002</v>
      </c>
      <c r="I99" s="3">
        <f>743.1+(563.8-573.7)+(-1.894905+(-1.43769--1.462935))+0-0-0</f>
        <v>731.33033999999998</v>
      </c>
      <c r="J99" s="3">
        <f>749.1+(545.2-571.9)+(-0.382041+(-0.278052--0.291669))+0-0-0</f>
        <v>722.03157600000009</v>
      </c>
      <c r="K99" s="3">
        <f>684.8+(581.9-549.6)+(-1.396992+(-1.187076--1.121184))+0-0-0</f>
        <v>715.63711599999988</v>
      </c>
      <c r="L99" s="3">
        <f>552.4+(648.1-525.9)+(-0.281724+(-0.330531--0.268209))+0-0-0</f>
        <v>674.25595399999997</v>
      </c>
      <c r="M99" s="3">
        <f>720+(537.2-538.3)+(0.3672+(0.273972-0.274533))+0-0-0</f>
        <v>719.26663900000005</v>
      </c>
      <c r="N99" s="3">
        <f>952.5+(418.8-564.4)+(-0.97155+(-0.427176--0.575688))+0-0-0</f>
        <v>806.07696200000009</v>
      </c>
      <c r="O99" s="3">
        <f>1030.2+(435.4-584.4)+(0.525402+(0.222054-0.298044))+0-0-0</f>
        <v>881.6494120000001</v>
      </c>
      <c r="P99" s="3">
        <f>1029+(463.6-555.1)+(0+(0-0))+0-0-0</f>
        <v>937.5</v>
      </c>
      <c r="Q99" s="3">
        <f>1059.6+(447.9-539.6)+(1.080792+(0.456858-0.550392))+0-0-0</f>
        <v>968.88725799999986</v>
      </c>
      <c r="R99" s="3">
        <f>1057.5+(419.3-514.4)+(0+(0-0))+0-0-0</f>
        <v>962.40000000000009</v>
      </c>
      <c r="S99" s="3">
        <f>1055.6+(406.6-507.3)+(-0.538356+(-0.207366--0.258723))+0-0-0</f>
        <v>954.41300099999989</v>
      </c>
      <c r="T99" s="3">
        <f>1064.7+(441-554.5)+(0+(0-0))+0-0-0</f>
        <v>951.2</v>
      </c>
      <c r="U99" s="3">
        <f>1064.2+(430-545.8)+(-1.085484+(-0.4386--0.556716))+0-0-0</f>
        <v>947.43263200000013</v>
      </c>
      <c r="V99" s="3">
        <f>1062.5+(446.1-543.8)+(0+(0-0))+0-0-0</f>
        <v>964.80000000000007</v>
      </c>
      <c r="W99" s="3">
        <f>1060.1+(441.5-541.4)+(-1.081302+(-0.45033--0.552228))+0-0-0</f>
        <v>959.22059599999989</v>
      </c>
      <c r="X99" s="3">
        <f>1041.9+(526.3-619.8)+(-2.125476+(-1.073652--1.264392))+0-0-0</f>
        <v>946.46526400000005</v>
      </c>
      <c r="Y99" s="3">
        <f>1036.7+(502.2-601.5)+(-0.528717+(-0.256122--0.306765))+0-0-0</f>
        <v>936.9219260000001</v>
      </c>
      <c r="Z99" s="3">
        <f>1045.1+(552.1-623.4)+(-0.533001+(-0.281571--0.317934))+0-0-0</f>
        <v>973.30336199999999</v>
      </c>
      <c r="AA99" s="3">
        <f>1064.3+(563.2-485.7)+(0+(0-0))+0-0-0</f>
        <v>1141.8</v>
      </c>
      <c r="AB99" s="3">
        <f>1059.7+(565.3-501.2)+(-0.540447+(-0.288303--0.255612))+0-0-0</f>
        <v>1123.226862</v>
      </c>
      <c r="AC99" s="3">
        <f>1062+(626.1-633.6)+(-0.54162+(-0.319311--0.323136))+0-0-0</f>
        <v>1053.962205</v>
      </c>
      <c r="AD99">
        <f t="shared" si="1"/>
        <v>21597.144441</v>
      </c>
      <c r="AE99" s="3">
        <f>1065+(572.6-494.1)+(0+(0-0))+0-0-0</f>
        <v>1143.5</v>
      </c>
    </row>
    <row r="100" spans="1:31" s="2" customFormat="1" x14ac:dyDescent="0.25">
      <c r="A100">
        <v>89</v>
      </c>
      <c r="B100">
        <v>4</v>
      </c>
      <c r="C100">
        <v>7</v>
      </c>
      <c r="D100">
        <v>3</v>
      </c>
      <c r="E100">
        <v>1</v>
      </c>
      <c r="F100" s="3">
        <f>1061.3+(620.2-713.6)+(-1.082526+(-0.632604--0.727872))+0-0-0</f>
        <v>966.91274199999998</v>
      </c>
      <c r="G100" s="3">
        <f>1063+(541.4-745.5)+(-0.54213+(-0.276114--0.380205))+0-0-0</f>
        <v>858.46196099999997</v>
      </c>
      <c r="H100" s="3">
        <f>987.7+(479.3-671.2)+(-1.511181+(-0.733329--1.026936))+0-0-0</f>
        <v>794.58242599999994</v>
      </c>
      <c r="I100" s="3">
        <f>870.9+(534.6-641)+(-0.888318+(-0.545292--0.65382))+0-0-0</f>
        <v>763.72020999999995</v>
      </c>
      <c r="J100" s="3">
        <f>860+(505-612.5)+(-2.193+(-1.28775--1.561875))+0-0-0</f>
        <v>750.58112500000004</v>
      </c>
      <c r="K100" s="3">
        <f>792.3+(492.3-547.4)+(-1.616292+(-1.004292--1.116696))+0-0-0</f>
        <v>735.69611200000008</v>
      </c>
      <c r="L100" s="3">
        <f>667.6+(528.9-505.9)+(-1.361904+(-1.078956--1.032036))+0-0-0</f>
        <v>689.19117600000004</v>
      </c>
      <c r="M100" s="3">
        <f>835.6+(459.7-569)+(-0.426156+(-0.234447--0.29019))+0-0-0</f>
        <v>725.92958699999997</v>
      </c>
      <c r="N100" s="3">
        <f>1006.7+(411.9-614.1)+(0+(0-0))+0-0-0</f>
        <v>804.5</v>
      </c>
      <c r="O100" s="3">
        <f>1077.6+(384.3-575.8)+(-1.099152+(-0.391986--0.587316))+0-0-0</f>
        <v>885.19617799999992</v>
      </c>
      <c r="P100" s="3">
        <f>1075.8+(402.6-533.4)+(-1.645974+(-0.615978--0.816102))+0-0-0</f>
        <v>943.55415000000005</v>
      </c>
      <c r="Q100" s="3">
        <f>1069+(432.2-524.7)+(-0.54519+(-0.220422--0.267597))+0-0-0</f>
        <v>976.00198499999999</v>
      </c>
      <c r="R100" s="3">
        <f>1084.1+(428.2-520.6)+(0+(0-0))+0-0-0</f>
        <v>991.69999999999982</v>
      </c>
      <c r="S100" s="3">
        <f>1059.1+(396.2-492.4)+(0+(0-0))+0-0-0</f>
        <v>962.89999999999986</v>
      </c>
      <c r="T100" s="3">
        <f>1040.2+(438.7-532.9)+(-1.061004+(-0.447474--0.543558))+0-0-0</f>
        <v>945.03507999999999</v>
      </c>
      <c r="U100" s="3">
        <f>1046.1+(406.3-500.7)+(1.600533+(0.621639-0.766071))+0-0-0</f>
        <v>953.15610099999992</v>
      </c>
      <c r="V100" s="3">
        <f>1041.6+(453.8-527.9)+(0.531216+(0.231438-0.269229))+0-0-0</f>
        <v>967.993425</v>
      </c>
      <c r="W100" s="3">
        <f>1039.8+(430.1-503)+(-1.060596+(-0.438702--0.51306))+0-0-0</f>
        <v>965.91376200000002</v>
      </c>
      <c r="X100" s="3">
        <f>1035+(469-554.4)+(-2.63925+(-1.19595--1.41372))+0-0-0</f>
        <v>947.17852000000005</v>
      </c>
      <c r="Y100" s="3">
        <f>1040.6+(456.8-563.6)+(-1.061412+(-0.465936--0.574872))+0-0-0</f>
        <v>932.84752399999991</v>
      </c>
      <c r="Z100" s="3">
        <f>1044.6+(542.4-602.1)+(-0.532746+(-0.276624--0.307071))+0-0-0</f>
        <v>984.39770099999987</v>
      </c>
      <c r="AA100" s="3">
        <f>1053.9+(578.5-480.1)+(-1.612467+(-0.885105--0.734553))+0-0-0</f>
        <v>1150.5369810000002</v>
      </c>
      <c r="AB100" s="3">
        <f>1053.5+(584.5-493.3)+(-2.14914+(-1.19238--1.006332))+0-0-0</f>
        <v>1142.364812</v>
      </c>
      <c r="AC100" s="3">
        <f>1053.1+(557.2-547.3)+(-2.148324+(-1.136688--1.116492))+0-0-0</f>
        <v>1060.8314800000001</v>
      </c>
      <c r="AD100">
        <f t="shared" si="1"/>
        <v>21899.183038000006</v>
      </c>
      <c r="AE100" s="3">
        <f>1064+(607-511.6)+(0+(0-0))+0-0-0</f>
        <v>1159.4000000000001</v>
      </c>
    </row>
    <row r="101" spans="1:31" s="2" customFormat="1" x14ac:dyDescent="0.25">
      <c r="A101">
        <v>89</v>
      </c>
      <c r="B101">
        <v>4</v>
      </c>
      <c r="C101">
        <v>8</v>
      </c>
      <c r="D101">
        <v>4</v>
      </c>
      <c r="E101">
        <v>1</v>
      </c>
      <c r="F101" s="3">
        <f>1055.9+(594-690.7)+(-2.692545+(-1.5147--1.761285))+0-0-0</f>
        <v>956.75404000000003</v>
      </c>
      <c r="G101" s="3">
        <f>1064.2+(570.3-775.4)+(-0.542742+(-0.290853--0.395454))+0-0-0</f>
        <v>858.66185900000005</v>
      </c>
      <c r="H101" s="3">
        <f>1060.9+(524.4-774.4)+(-1.082118+(-0.534888--0.789888))+0-0-0</f>
        <v>810.07288200000005</v>
      </c>
      <c r="I101" s="3">
        <f>1051+(497.5-769.6)+(-2.68005+(-1.268625--1.96248))+0-0-0</f>
        <v>776.91380500000002</v>
      </c>
      <c r="J101" s="3">
        <f>1053.5+(489-775.6)+(-2.14914+(-0.99756--1.582224))+0-0-0</f>
        <v>765.33552399999996</v>
      </c>
      <c r="K101" s="3">
        <f>1051.7+(480.2-778.6)+(-2.681835+(-1.22451--1.98543))+0-0-0</f>
        <v>751.37908499999992</v>
      </c>
      <c r="L101" s="3">
        <f>873+(427.8-592.4)+(-1.33569+(-0.654534--0.906372))+0-0-0</f>
        <v>707.31614800000011</v>
      </c>
      <c r="M101" s="3">
        <f>943.1+(361.6-579.3)+(0+(0-0))+0-0-0</f>
        <v>725.40000000000009</v>
      </c>
      <c r="N101" s="3">
        <f>1069.5+(350.1-598.2)+(-1.636335+(-0.535653--0.915246))+0-0-0</f>
        <v>820.14325799999995</v>
      </c>
      <c r="O101" s="3">
        <f>1079.4+(419.4-606.9)+(0.550494+(0.213894-0.309519))+0-0-0</f>
        <v>892.35486900000012</v>
      </c>
      <c r="P101" s="3">
        <f>1073.7+(447.2-571.3)+(0.547587+(0.228072-0.291363))+0-0-0</f>
        <v>950.08429600000011</v>
      </c>
      <c r="Q101" s="3">
        <f>1062+(448.2-524.7)+(1.08324+(0.457164-0.535194))+0-0-0</f>
        <v>986.50521000000003</v>
      </c>
      <c r="R101" s="3">
        <f>1058+(477.3-551.3)+(0.53958+(0.243423-0.281163))+0-0-0</f>
        <v>984.50184000000002</v>
      </c>
      <c r="S101" s="3">
        <f>1050+(464.5-549.2)+(-0.5355+(-0.236895--0.280092))+0-0-0</f>
        <v>964.80769699999996</v>
      </c>
      <c r="T101" s="3">
        <f>1056.8+(414.1-503.5)+(1.077936+(0.422382-0.51357))+0-0-0</f>
        <v>968.38674800000001</v>
      </c>
      <c r="U101" s="3">
        <f>1064.2+(453.4-547.7)+(-1.085484+(-0.462468--0.558654))+0-0-0</f>
        <v>968.91070200000001</v>
      </c>
      <c r="V101" s="3">
        <f>1071.1+(443.9-546.7)+(0+(0-0))+0-0-0</f>
        <v>968.29999999999984</v>
      </c>
      <c r="W101" s="3">
        <f>1076.2+(438.4-552.2)+(-2.195448+(-0.894336--1.126488))+0-0-0</f>
        <v>960.43670399999996</v>
      </c>
      <c r="X101" s="3">
        <f>1044+(439.7-539.6)+(-2.12976+(-0.896988--1.100784))+0-0-0</f>
        <v>942.17403599999989</v>
      </c>
      <c r="Y101" s="3">
        <f>1039+(486.7-594.8)+(-0.52989+(-0.248217--0.303348))+0-0-0</f>
        <v>930.42524100000014</v>
      </c>
      <c r="Z101" s="3">
        <f>1047.9+(518.8-580.4)+(0.534429+(0.264588-0.296004))+0-0-0</f>
        <v>986.80301300000008</v>
      </c>
      <c r="AA101" s="3">
        <f>1061.8+(598.6-518.3)+(-1.083036+(-0.610572--0.528666))+0-0-0</f>
        <v>1140.9350579999998</v>
      </c>
      <c r="AB101" s="3">
        <f>1063.8+(580.4-519.3)+(0.542538+(0.296004-0.264843))+0-0-0</f>
        <v>1125.4736990000001</v>
      </c>
      <c r="AC101" s="3">
        <f>1063.2+(524.9-537.1)+(-0.542232+(-0.267699--0.273921))+0-0-0</f>
        <v>1050.46399</v>
      </c>
      <c r="AD101">
        <f t="shared" si="1"/>
        <v>21992.539703999999</v>
      </c>
      <c r="AE101" s="3">
        <f>1063+(583.3-502.1)+(0+(0-0))+0-0-0</f>
        <v>1144.1999999999998</v>
      </c>
    </row>
    <row r="102" spans="1:31" s="2" customFormat="1" x14ac:dyDescent="0.25">
      <c r="A102">
        <v>89</v>
      </c>
      <c r="B102">
        <v>4</v>
      </c>
      <c r="C102">
        <v>9</v>
      </c>
      <c r="D102">
        <v>5</v>
      </c>
      <c r="E102">
        <v>1</v>
      </c>
      <c r="F102" s="3">
        <f>1056.3+(602.6-685.8)+(-3.232278+(-1.843956--2.098548))+0-0-0</f>
        <v>970.12231400000007</v>
      </c>
      <c r="G102" s="3">
        <f>1062.6+(566.2-766.1)+(0.541926+(0.288762-0.390711))+0-0-0</f>
        <v>863.13997699999993</v>
      </c>
      <c r="H102" s="3">
        <f>1058.5+(530.6-775.4)+(-2.15934+(-1.082424--1.581816))+0-0-0</f>
        <v>812.04005200000006</v>
      </c>
      <c r="I102" s="3">
        <f>1036.6+(488.5-738.5)+(-1.057332+(-0.49827--0.75327))+0-0-0</f>
        <v>785.79766799999993</v>
      </c>
      <c r="J102" s="3">
        <f>894.3+(530.4-666.6)+(-0.456093+(-0.270504--0.339966))+0-0-0</f>
        <v>757.71336899999994</v>
      </c>
      <c r="K102" s="3">
        <f>873.7+(515.6-646.5)+(-1.782348+(-1.051824--1.31886))+0-0-0</f>
        <v>741.28468800000007</v>
      </c>
      <c r="L102" s="3">
        <f>853.1+(476.5-619.3)+(0+(0-0))+0-0-0</f>
        <v>710.30000000000007</v>
      </c>
      <c r="M102" s="3">
        <f>845+(481.1-594.9)+(0.43095+(0.245361-0.303399))+0-0-0</f>
        <v>731.57291200000009</v>
      </c>
      <c r="N102" s="3">
        <f>994.8+(430-605.1)+(-1.014696+(-0.4386--0.617202))+0-0-0</f>
        <v>818.86390599999993</v>
      </c>
      <c r="O102" s="3">
        <f>1061.5+(428.4-596.4)+(1.08273+(0.436968-0.608328))+0-0-0</f>
        <v>894.41137000000003</v>
      </c>
      <c r="P102" s="3">
        <f>1061.7+(420.4-542.7)+(0+(0-0))+0-0-0</f>
        <v>939.4</v>
      </c>
      <c r="Q102" s="3">
        <f>1032.4+(475.9-530.1)+(1.053048+(0.485418-0.540702))+0-0-0</f>
        <v>979.19776400000001</v>
      </c>
      <c r="R102" s="3">
        <f>1066.8+(426.3-543.8)+(-0.544068+(-0.217413--0.277338))+58.3-0-0</f>
        <v>1007.1158569999999</v>
      </c>
      <c r="S102" s="3">
        <f>1069.3+(369.7-516.5)+(1.090686+(0.377094-0.52683))+70-0-0</f>
        <v>993.44095000000004</v>
      </c>
      <c r="T102" s="3">
        <f>1060.6+(363.3-503.3)+(0.540906+(0.185283-0.256683))+35-0-0</f>
        <v>956.06950599999993</v>
      </c>
      <c r="U102" s="3">
        <f>1054.6+(249.7-344.9)+(0.537846+(0.127347-0.175899))+0-0-0</f>
        <v>959.88929399999984</v>
      </c>
      <c r="V102" s="3">
        <f>1042.2+(379.2-448)+(-1.594566+(-0.580176--0.68544))+0-0-0</f>
        <v>971.91069800000014</v>
      </c>
      <c r="W102" s="3">
        <f>1036.9+(374.1-447.8)+(-2.115276+(-0.763164--0.913512))+0-0-0</f>
        <v>961.23507200000006</v>
      </c>
      <c r="X102" s="3">
        <f>1044.9+(413.5-511.7)+(-2.131596+(-0.84354--1.043868))+0-0-0</f>
        <v>944.768732</v>
      </c>
      <c r="Y102" s="3">
        <f>1059.9+(427.9-554.7)+(-2.162196+(-0.872916--1.131588))+0-0-0</f>
        <v>931.19647600000008</v>
      </c>
      <c r="Z102" s="3">
        <f>1094.9+(480.7-593)+(0.558399+(0.245157-0.30243))+0-0-0</f>
        <v>983.10112600000014</v>
      </c>
      <c r="AA102" s="3">
        <f>1104.8+(414.5-371.4)+(0+(0-0))+0-0-0</f>
        <v>1147.9000000000001</v>
      </c>
      <c r="AB102" s="3">
        <f>1109.2+(393.3-366.8)+(-0.565692+(-0.200583--0.187068))+0-0-0</f>
        <v>1135.120793</v>
      </c>
      <c r="AC102" s="3">
        <f>1118.8+(454.2-508.6)+(-0.570588+(-0.231642--0.259386))+0-0-0</f>
        <v>1063.8571559999998</v>
      </c>
      <c r="AD102">
        <f t="shared" si="1"/>
        <v>22059.449680000005</v>
      </c>
      <c r="AE102" s="3">
        <f>1098+(401.8-356.9)+(0+(0-0))+0-0-0</f>
        <v>1142.9000000000001</v>
      </c>
    </row>
    <row r="103" spans="1:31" s="2" customFormat="1" x14ac:dyDescent="0.25">
      <c r="A103">
        <v>89</v>
      </c>
      <c r="B103">
        <v>4</v>
      </c>
      <c r="C103">
        <v>10</v>
      </c>
      <c r="D103">
        <v>6</v>
      </c>
      <c r="E103">
        <v>1</v>
      </c>
      <c r="F103" s="3">
        <f>1115.5+(498.8-651.9)+(-1.706715+(-0.763164--0.997407))+0-0-0</f>
        <v>960.92752800000005</v>
      </c>
      <c r="G103" s="3">
        <f>1114.3+(533.4-779)+(-0.568293+(-0.272034--0.39729))+0-0-0</f>
        <v>868.25696299999993</v>
      </c>
      <c r="H103" s="3">
        <f>1116.7+(515.3-815.6)+(-1.708551+(-0.788409--1.247868))+0-0-0</f>
        <v>815.15090799999996</v>
      </c>
      <c r="I103" s="3">
        <f>1066.7+(475.3-752.3)+(0+(0-0))+0-0-0</f>
        <v>789.7</v>
      </c>
      <c r="J103" s="3">
        <f>1030.1+(460.4-721.5)+(1.050702+(0.469608-0.73593))+0-0-0</f>
        <v>769.78437999999994</v>
      </c>
      <c r="K103" s="3">
        <f>996+(484.8-725.8)+(-2.03184+(-0.988992--1.480632))+0-0-0</f>
        <v>753.45979999999997</v>
      </c>
      <c r="L103" s="3">
        <f>802.5+(513-596.9)+(-0.81855+(-0.52326--0.608838))+0-0-0</f>
        <v>717.867028</v>
      </c>
      <c r="M103" s="3">
        <f>802.3+(468.4-531.4)+(1.227519+(0.716652-0.813042))+0-0-0</f>
        <v>740.43112899999994</v>
      </c>
      <c r="N103" s="3">
        <f>934.1+(445.6-576.7)+(-0.476391+(-0.227256--0.294117))+0-0-0</f>
        <v>802.59046999999998</v>
      </c>
      <c r="O103" s="3">
        <f>1068.2+(414.5-601.7)+(0+(0-0))+0-0-0</f>
        <v>881</v>
      </c>
      <c r="P103" s="3">
        <f>1069.2+(399.9-530.7)+(2.72646+(1.019745-1.353285))+0-0-0</f>
        <v>940.79291999999998</v>
      </c>
      <c r="Q103" s="3">
        <f>1062.4+(437.4-530.2)+(0.541824+(0.223074-0.270402))+0-0-0</f>
        <v>970.09449600000005</v>
      </c>
      <c r="R103" s="3">
        <f>1061.6+(421.8-528.3)+(0.541416+(0.215118-0.269433))+0-0-0</f>
        <v>955.58710099999996</v>
      </c>
      <c r="S103" s="3">
        <f>1074.6+(410.1-536)+(0+(0-0))+0-0-0</f>
        <v>948.69999999999993</v>
      </c>
      <c r="T103" s="3">
        <f>1050.9+(393.2-500.1)+(0+(0-0))+0-0-0</f>
        <v>944</v>
      </c>
      <c r="U103" s="3">
        <f>1078.8+(383.1-513.7)+(-1.650564+(-0.586143--0.785961))+0-0-0</f>
        <v>946.74925399999995</v>
      </c>
      <c r="V103" s="3">
        <f>1059.8+(444.5-557.7)+(0+(0-0))+0-0-0</f>
        <v>946.59999999999991</v>
      </c>
      <c r="W103" s="3">
        <f>1032.5+(480.7-575)+(-2.632875+(-1.225785--1.46625))+0-0-0</f>
        <v>935.80759</v>
      </c>
      <c r="X103" s="3">
        <f>1031.7+(498.9-597.8)+(-2.104668+(-1.017756--1.219512))+0-0-0</f>
        <v>930.89708800000005</v>
      </c>
      <c r="Y103" s="3">
        <f>1032+(539.4-658.2)+(-2.10528+(-1.100376--1.342728))+0-0-0</f>
        <v>911.33707199999992</v>
      </c>
      <c r="Z103" s="3">
        <f>1052.4+(604-687.6)+(-0.536724+(-0.30804--0.350676))+0-0-0</f>
        <v>968.30591200000003</v>
      </c>
      <c r="AA103" s="3">
        <f>1075.2+(608.3-544.9)+(-1.096704+(-0.620466--0.555798))+0-0-0</f>
        <v>1137.4386279999999</v>
      </c>
      <c r="AB103" s="3">
        <f>1067.4+(604.8-564.1)+(-1.088748+(-0.616896--0.575382))+0-0-0</f>
        <v>1106.969738</v>
      </c>
      <c r="AC103" s="3">
        <f>1071.3+(630.1-648.5)+(-0.546363+(-0.321351--0.330735))+0-0-0</f>
        <v>1052.3630210000001</v>
      </c>
      <c r="AD103">
        <f t="shared" si="1"/>
        <v>21794.811025999999</v>
      </c>
      <c r="AE103" s="3">
        <f>1070+(611.8-558.7)+(0+(0-0))+0-0-0</f>
        <v>1123.0999999999999</v>
      </c>
    </row>
    <row r="104" spans="1:31" s="2" customFormat="1" x14ac:dyDescent="0.25">
      <c r="A104">
        <v>89</v>
      </c>
      <c r="B104">
        <v>4</v>
      </c>
      <c r="C104">
        <v>11</v>
      </c>
      <c r="D104">
        <v>7</v>
      </c>
      <c r="E104">
        <v>1</v>
      </c>
      <c r="F104" s="3">
        <f>1068.1+(638.3-743.5)+(0+(0-0))+0-0-0</f>
        <v>962.89999999999986</v>
      </c>
      <c r="G104" s="3">
        <f>1064.2+(586.1-770.1)+(-1.085484+(-0.597822--0.785502))+0-0-0</f>
        <v>879.30219600000009</v>
      </c>
      <c r="H104" s="3">
        <f>1067.4+(582.6-825.4)+(0+(0-0))+0-0-0</f>
        <v>824.60000000000014</v>
      </c>
      <c r="I104" s="3">
        <f>1059.3+(581.4-850.5)+(-2.160972+(-1.186056--1.73502))+0-0-0</f>
        <v>788.58799199999999</v>
      </c>
      <c r="J104" s="3">
        <f>1061.1+(586-872.6)+(-1.082322+(-0.59772--0.890052))+0-0-0</f>
        <v>773.7100099999999</v>
      </c>
      <c r="K104" s="3">
        <f>1052.3+(501.4-796.4)+(-2.683365+(-1.27857--2.03082))+0-0-0</f>
        <v>755.36888499999998</v>
      </c>
      <c r="L104" s="3">
        <f>881.6+(508.2-676.2)+(-0.899232+(-0.518364--0.689724))+0-0-0</f>
        <v>712.87212799999986</v>
      </c>
      <c r="M104" s="3">
        <f>857.4+(504.7-651.3)+(0+(0-0))+0-0-0</f>
        <v>710.8</v>
      </c>
      <c r="N104" s="3">
        <f>869.1+(521.8-640.6)+(0+(0-0))+0-0-0</f>
        <v>750.3</v>
      </c>
      <c r="O104" s="3">
        <f>940.4+(540.4-668.2)+(-0.959208+(-0.551208--0.681564))+0-0-0</f>
        <v>811.77114799999993</v>
      </c>
      <c r="P104" s="3">
        <f>1014.1+(514.8-660.3)+(0+(0-0))+0-0-0</f>
        <v>868.6</v>
      </c>
      <c r="Q104" s="3">
        <f>1041.1+(579.6-714.9)+(-0.530961+(-0.295596--0.364599))+0-0-0</f>
        <v>905.33804199999997</v>
      </c>
      <c r="R104" s="3">
        <f>1072.9+(688.1-824.7)+(-0.547179+(-0.350931--0.420597))+0-0-0</f>
        <v>935.82248700000002</v>
      </c>
      <c r="S104" s="3">
        <f>1078.4+(681.3-832.1)+(1.099968+(0.694926-0.848742))+0-0-0</f>
        <v>928.54615200000001</v>
      </c>
      <c r="T104" s="3">
        <f>1073.8+(684.9-835.4)+(-0.547638+(-0.349299--0.426054))+0-0-0</f>
        <v>922.829117</v>
      </c>
      <c r="U104" s="3">
        <f>1070+(705.6-849.6)+(-0.5457+(-0.359856--0.433296))+0-0-0</f>
        <v>925.52773999999999</v>
      </c>
      <c r="V104" s="3">
        <f>1065.4+(696.1-834.2)+(0.543354+(0.355011-0.425442))+0-0-0</f>
        <v>927.77292300000011</v>
      </c>
      <c r="W104" s="3">
        <f>1068.6+(686.5-832.4)+(-2.179944+(-1.40046--1.698096))+0-0-0</f>
        <v>920.81769199999997</v>
      </c>
      <c r="X104" s="3">
        <f>1074.9+(646.7-811.4)+(-0.548199+(-0.329817--0.413814))+0-0-0</f>
        <v>909.73579800000016</v>
      </c>
      <c r="Y104" s="3">
        <f>1081.1+(626.9-813.8)+(-1.654083+(-0.959157--1.245114))+0-0-0</f>
        <v>892.83187399999997</v>
      </c>
      <c r="Z104" s="3">
        <f>1090.4+(642.7-798)+(0+(0-0))+0-0-0</f>
        <v>935.10000000000014</v>
      </c>
      <c r="AA104" s="3">
        <f>1097+(669.5-664.5)+(-0.55947+(-0.341445--0.338895))+0-0-0</f>
        <v>1101.4379799999999</v>
      </c>
      <c r="AB104" s="3">
        <f>1101.7+(649.9-642.7)+(-1.123734+(-0.662898--0.655554))+0-0-0</f>
        <v>1107.7689220000002</v>
      </c>
      <c r="AC104" s="3">
        <f>1103.3+(688.1-734.6)+(0.562683+(0.350931-0.374646))+0-0-0</f>
        <v>1057.338968</v>
      </c>
      <c r="AD104">
        <f t="shared" si="1"/>
        <v>21309.680053999997</v>
      </c>
      <c r="AE104" s="3">
        <f>1092+(652.7-637.1)+(0+(0-0))+0-0-0</f>
        <v>1107.5999999999999</v>
      </c>
    </row>
    <row r="105" spans="1:31" s="2" customFormat="1" x14ac:dyDescent="0.25">
      <c r="A105">
        <v>89</v>
      </c>
      <c r="B105">
        <v>4</v>
      </c>
      <c r="C105">
        <v>12</v>
      </c>
      <c r="D105">
        <v>1</v>
      </c>
      <c r="E105">
        <v>1</v>
      </c>
      <c r="F105" s="3">
        <f>1087.7+(669.1-784.9)+(1.109454+(0.682482-0.800598))+0-0-0</f>
        <v>972.89133800000013</v>
      </c>
      <c r="G105" s="3">
        <f>1083.5+(649.2-853.2)+(-0.552585+(-0.331092--0.435132))+0-0-0</f>
        <v>879.05145500000003</v>
      </c>
      <c r="H105" s="3">
        <f>1111.4+(629.6-915.8)+(-0.566814+(-0.321096--0.467058))+0-0-0</f>
        <v>824.77914800000019</v>
      </c>
      <c r="I105" s="3">
        <f>1037.9+(616.1-860.6)+(0+(0-0))+0-0-0</f>
        <v>793.40000000000009</v>
      </c>
      <c r="J105" s="3">
        <f>987.1+(625.9-829.1)+(-1.510263+(-0.957627--1.268523))+0-0-0</f>
        <v>782.70063299999993</v>
      </c>
      <c r="K105" s="3">
        <f>936.8+(609.1-779.8)+(-2.38884+(-1.553205--1.98849))+0-0-0</f>
        <v>764.14644499999997</v>
      </c>
      <c r="L105" s="3">
        <f>945.7+(542.1-755.3)+(0+(0-0))+0-0-0</f>
        <v>732.50000000000011</v>
      </c>
      <c r="M105" s="3">
        <f>1019.6+(483.5-741.6)+(1.039992+(0.49317-0.756432))+0-0-0</f>
        <v>762.27673000000004</v>
      </c>
      <c r="N105" s="3">
        <f>1044+(514.7-716.2)+(0.53244+(0.262497-0.365262))+0-0-0</f>
        <v>842.92967499999997</v>
      </c>
      <c r="O105" s="3">
        <f>1066.1+(518.5-665.7)+(1.631133+(0.793305-1.018521))+0-0-0</f>
        <v>920.30591699999991</v>
      </c>
      <c r="P105" s="3">
        <f>1071.9+(465.6-575.9)+(2.186676+(0.949824-1.174836))+0-0-0</f>
        <v>963.56166400000018</v>
      </c>
      <c r="Q105" s="3">
        <f>1086.2+(475.8-552.1)+(-0.553962+(-0.242658--0.281571))+0-0-0</f>
        <v>1009.3849510000001</v>
      </c>
      <c r="R105" s="3">
        <f>1084+(477-568.9)+(0+(0-0))+0-0-0</f>
        <v>992.1</v>
      </c>
      <c r="S105" s="3">
        <f>1082.4+(486.5-556.4)+(0+(0-0))+0-0-0</f>
        <v>1012.5000000000001</v>
      </c>
      <c r="T105" s="3">
        <f>1076.6+(438.1-510.9)+(0.549066+(0.223431-0.260559))+0-0-0</f>
        <v>1004.3119379999999</v>
      </c>
      <c r="U105" s="3">
        <f>1072.7+(395.8-451.1)+(0.547077+(0.201858-0.230061))+0-0-0</f>
        <v>1017.9188740000001</v>
      </c>
      <c r="V105" s="3">
        <f>1068.5+(403-452)+(1.08987+(0.41106-0.46104))+0-0-0</f>
        <v>1020.53989</v>
      </c>
      <c r="W105" s="3">
        <f>1060.5+(458.1-506)+(0+(0-0))+0-0-0</f>
        <v>1012.6</v>
      </c>
      <c r="X105" s="3">
        <f>1062.6+(544-603.9)+(-1.083852+(-0.55488--0.615978))+0-0-0</f>
        <v>1001.677246</v>
      </c>
      <c r="Y105" s="3">
        <f>1030.3+(594.8-632.4)+(0+(0-0))+0-0-0</f>
        <v>992.69999999999993</v>
      </c>
      <c r="Z105" s="3">
        <f>1034.2+(639.7-625.1)+(-0.527442+(-0.326247--0.318801))+0-0-0</f>
        <v>1048.2651120000003</v>
      </c>
      <c r="AA105" s="3">
        <f>1093.3+(610.7-496.8)+(-1.115166+(-0.622914--0.506736))+0-0-0</f>
        <v>1205.968656</v>
      </c>
      <c r="AB105" s="3">
        <f>1100.4+(621.4-534.5)+(0+(0-0))+0-0-0</f>
        <v>1187.3000000000002</v>
      </c>
      <c r="AC105" s="3">
        <f>1085.3+(628.1-598.2)+(-0.553503+(-0.320331--0.305082))+0-0-0</f>
        <v>1114.6312479999999</v>
      </c>
      <c r="AD105">
        <f t="shared" si="1"/>
        <v>22858.440920000008</v>
      </c>
      <c r="AE105" s="3">
        <f>1088+(627.8-502)+(0+(0-0))+0-0-0</f>
        <v>1213.8</v>
      </c>
    </row>
    <row r="106" spans="1:31" s="2" customFormat="1" x14ac:dyDescent="0.25">
      <c r="A106">
        <v>89</v>
      </c>
      <c r="B106">
        <v>4</v>
      </c>
      <c r="C106">
        <v>13</v>
      </c>
      <c r="D106">
        <v>2</v>
      </c>
      <c r="E106">
        <v>1</v>
      </c>
      <c r="F106" s="3">
        <f>1062.5+(636.1-675)+(-1.08375+(-0.648822--0.6885))+0-0-0</f>
        <v>1022.555928</v>
      </c>
      <c r="G106" s="3">
        <f>1062.8+(615.7-755.8)+(-1.084056+(-0.628014--0.770916))+0-0-0</f>
        <v>921.75884600000006</v>
      </c>
      <c r="H106" s="3">
        <f>942.8+(596.6-680.2)+(0+(0-0))+0-0-0</f>
        <v>859.19999999999993</v>
      </c>
      <c r="I106" s="3">
        <f>866.4+(576.8-619.3)+(0+(0-0))+0-0-0</f>
        <v>823.9</v>
      </c>
      <c r="J106" s="3">
        <f>873.6+(547.8-619.5)+(1.336608+(0.838134-0.947835))+0-0-0</f>
        <v>803.12690699999996</v>
      </c>
      <c r="K106" s="3">
        <f>868.1+(525.7-618.3)+(-0.442731+(-0.268107--0.315333))+0-0-0</f>
        <v>775.10449500000016</v>
      </c>
      <c r="L106" s="3">
        <f>836.7+(515.6-607.5)+(0+(0-0))+0-0-0</f>
        <v>744.80000000000007</v>
      </c>
      <c r="M106" s="3">
        <f>905.5+(451.8-585)+(-1.385415+(-0.691254--0.89505))+0-0-0</f>
        <v>771.118381</v>
      </c>
      <c r="N106" s="3">
        <f>1042.8+(433-611.3)+(-1.063656+(-0.44166--0.623526))+0-0-0</f>
        <v>863.61820999999998</v>
      </c>
      <c r="O106" s="3">
        <f>1053+(460.6-563.4)+(-1.61109+(-0.704718--0.862002))+0-0-0</f>
        <v>948.74619400000006</v>
      </c>
      <c r="P106" s="3">
        <f>1076.2+(520.2-576.3)+(-0.548862+(-0.265302--0.293913))+0-0-0</f>
        <v>1019.5797490000001</v>
      </c>
      <c r="Q106" s="3">
        <f>1079.6+(519.3-531.8)+(-0.550596+(-0.264843--0.271218))+0-0-0</f>
        <v>1066.5557789999998</v>
      </c>
      <c r="R106" s="3">
        <f>1082.8+(511-519.1)+(1.104456+(0.52122-0.529482))+0-0-0</f>
        <v>1075.7961939999998</v>
      </c>
      <c r="S106" s="3">
        <f>1074.2+(404.9-423.1)+(0.547842+(0.206499-0.215781))+0-0-0</f>
        <v>1056.53856</v>
      </c>
      <c r="T106" s="3">
        <f>1057.9+(420.8-437.8)+(0.539529+(0.214608-0.223278))+0-0-0</f>
        <v>1041.4308590000001</v>
      </c>
      <c r="U106" s="3">
        <f>1059.1+(441.3-459.5)+(0.540141+(0.225063-0.234345))+0-0-0</f>
        <v>1041.4308589999998</v>
      </c>
      <c r="V106" s="3">
        <f>1057.6+(442.1-449.2)+(-0.539376+(-0.225471--0.229092))+0-0-0</f>
        <v>1049.9642449999999</v>
      </c>
      <c r="W106" s="3">
        <f>1054.5+(478.1-492.6)+(-1.613385+(-0.731493--0.753678))+0-0-0</f>
        <v>1038.4087999999999</v>
      </c>
      <c r="X106" s="3">
        <f>1056.5+(524.1-560.5)+(-1.07763+(-0.534582--0.57171))+0-0-0</f>
        <v>1019.0594980000001</v>
      </c>
      <c r="Y106" s="3">
        <f>1030.7+(657.2-645.2)+(-0.525657+(-0.335172--0.329052))+0-0-0</f>
        <v>1042.1682230000001</v>
      </c>
      <c r="Z106" s="3">
        <f>1020.8+(614.6-580.4)+(1.041216+(0.626892-0.592008))+0-0-0</f>
        <v>1056.0761</v>
      </c>
      <c r="AA106" s="3">
        <f>1070.4+(668-538.7)+(0+(0-0))+0-0-0</f>
        <v>1199.7</v>
      </c>
      <c r="AB106" s="3">
        <f>1082.1+(647.3-529.1)+(-0.551871+(-0.330123--0.269841))+0-0-0</f>
        <v>1199.6878469999997</v>
      </c>
      <c r="AC106" s="3">
        <f>1070.8+(601.9-519.3)+(0.546108+(0.306969-0.264843))+0-0-0</f>
        <v>1153.9882340000001</v>
      </c>
      <c r="AD106">
        <f t="shared" si="1"/>
        <v>23594.313908</v>
      </c>
      <c r="AE106" s="3">
        <f>1072+(695.8-544)+(0+(0-0))+0-0-0</f>
        <v>1223.8</v>
      </c>
    </row>
    <row r="107" spans="1:31" s="2" customFormat="1" x14ac:dyDescent="0.25">
      <c r="A107">
        <v>89</v>
      </c>
      <c r="B107">
        <v>4</v>
      </c>
      <c r="C107">
        <v>14</v>
      </c>
      <c r="D107">
        <v>3</v>
      </c>
      <c r="E107">
        <v>1</v>
      </c>
      <c r="F107" s="3">
        <f>1052.3+(616.7-635.7)+(0.536673+(0.314517-0.324207))+0-0-0</f>
        <v>1033.8269829999999</v>
      </c>
      <c r="G107" s="3">
        <f>1023.1+(667.8-751)+(-0.521781+(-0.340578--0.38301))+0-0-0</f>
        <v>939.42065100000002</v>
      </c>
      <c r="H107" s="3">
        <f>955.9+(641.8-740.9)+(-0.975018+(-0.654636--0.755718))+0-0-0</f>
        <v>855.926064</v>
      </c>
      <c r="I107" s="3">
        <f>953.1+(637.3-760.8)+(-0.486081+(-0.325023--0.388008))+0-0-0</f>
        <v>829.17690400000004</v>
      </c>
      <c r="J107" s="3">
        <f>952.9+(587.8-722.6)+(-0.971958+(-0.599556--0.737052))+0-0-0</f>
        <v>817.26553799999988</v>
      </c>
      <c r="K107" s="3">
        <f>942.6+(488.3-639.2)+(-2.40363+(-1.245165--1.62996))+0-0-0</f>
        <v>789.68116500000008</v>
      </c>
      <c r="L107" s="3">
        <f>946.6+(409.6-608.3)+(-1.931064+(-0.835584--1.240932))+0-0-0</f>
        <v>746.3742840000001</v>
      </c>
      <c r="M107" s="3">
        <f>997+(451.6-656.3)+(0+(0-0))+0-0-0</f>
        <v>792.30000000000007</v>
      </c>
      <c r="N107" s="3">
        <f>1051.6+(463.5-626.3)+(0+(0-0))+0-0-0</f>
        <v>888.8</v>
      </c>
      <c r="O107" s="3">
        <f>1058.1+(462.4-554)+(0.539631+(0.235824-0.28254))+0-0-0</f>
        <v>966.99291499999993</v>
      </c>
      <c r="P107" s="3">
        <f>1078.5+(502-553.1)+(0.550035+(0.25602-0.282081))+0-0-0</f>
        <v>1027.923974</v>
      </c>
      <c r="Q107" s="3">
        <f>1068.6+(480.7-485.2)+(1.089972+(0.490314-0.494904))+0-0-0</f>
        <v>1065.1853819999999</v>
      </c>
      <c r="R107" s="3">
        <f>1057.9+(455.8-451.9)+(1.618587+(0.697374-0.691407))+0-0-0</f>
        <v>1063.4245540000002</v>
      </c>
      <c r="S107" s="3">
        <f>1053.8+(383.4-397.8)+(1.074876+(0.391068-0.405756))+0-0-0</f>
        <v>1040.4601879999998</v>
      </c>
      <c r="T107" s="3">
        <f>1052.7+(345.4-382.3)+(1.610631+(0.528462-0.584919))+0-0-0</f>
        <v>1017.3541739999999</v>
      </c>
      <c r="U107" s="3">
        <f>1049.9+(356-392.8)+(1.606347+(0.54468-0.600984))+0-0-0</f>
        <v>1014.6500430000001</v>
      </c>
      <c r="V107" s="3">
        <f>1048.1+(350.6-376.3)+(0+(0-0))+0-0-0</f>
        <v>1022.3999999999999</v>
      </c>
      <c r="W107" s="3">
        <f>1048.1+(373.8-400.7)+(-1.069062+(-0.381276--0.408714))+0-0-0</f>
        <v>1020.158376</v>
      </c>
      <c r="X107" s="3">
        <f>1049.6+(410.2-451.6)+(-1.070592+(-0.418404--0.460632))+0-0-0</f>
        <v>1007.1716359999998</v>
      </c>
      <c r="Y107" s="3">
        <f>1056.8+(486.4-552.8)+(-0.538968+(-0.248064--0.281928))+0-0-0</f>
        <v>989.89489600000002</v>
      </c>
      <c r="Z107" s="3">
        <f>1054.2+(544-540)+(1.075284+(0.55488-0.5508))+0-0-0</f>
        <v>1059.279364</v>
      </c>
      <c r="AA107" s="3">
        <f>1062.4+(679.3-537.5)+(-0.541824+(-0.346443--0.274125))+0-0-0</f>
        <v>1203.5858580000001</v>
      </c>
      <c r="AB107" s="3">
        <f>1069.5+(670-546.5)+(0+(0-0))+0-0-0</f>
        <v>1193</v>
      </c>
      <c r="AC107" s="3">
        <f>1072.4+(587.3-544.2)+(-1.093848+(-0.599046--0.555084))+0-0-0</f>
        <v>1114.3621900000001</v>
      </c>
      <c r="AD107">
        <f t="shared" si="1"/>
        <v>23498.615139000001</v>
      </c>
      <c r="AE107" s="3">
        <f>1074+(703.6-545.6)+(0+(0-0))+0-0-0</f>
        <v>1232</v>
      </c>
    </row>
    <row r="108" spans="1:31" s="2" customFormat="1" x14ac:dyDescent="0.25">
      <c r="A108">
        <v>89</v>
      </c>
      <c r="B108">
        <v>4</v>
      </c>
      <c r="C108">
        <v>15</v>
      </c>
      <c r="D108">
        <v>4</v>
      </c>
      <c r="E108">
        <v>1</v>
      </c>
      <c r="F108" s="3">
        <f>1078.9+(597.9-653.3)+(-2.200956+(-1.219716--1.332732))+0-0-0</f>
        <v>1021.4120600000001</v>
      </c>
      <c r="G108" s="3">
        <f>1081.2+(714.1-851.5)+(1.654236+(1.092573-1.302795))+0-0-0</f>
        <v>945.24401400000011</v>
      </c>
      <c r="H108" s="3">
        <f>1039.9+(707.9-850)+(0+(0-0))+0-0-0</f>
        <v>897.80000000000007</v>
      </c>
      <c r="I108" s="3">
        <f>1044.7+(644.1-829)+(-0.532797+(-0.328491--0.42279))+0-0-0</f>
        <v>859.36150200000009</v>
      </c>
      <c r="J108" s="3">
        <f>1038.8+(634.5-828.8)+(-2.119152+(-1.29438--1.690752))+0-0-0</f>
        <v>842.77721999999994</v>
      </c>
      <c r="K108" s="3">
        <f>1040.7+(558.7-784.2)+(-1.592271+(-0.854811--1.199826))+0-0-0</f>
        <v>813.95274400000005</v>
      </c>
      <c r="L108" s="3">
        <f>1042.8+(513.3-771.8)+(-1.063656+(-0.523566--0.787236))+0-0-0</f>
        <v>783.50001399999996</v>
      </c>
      <c r="M108" s="3">
        <f>1048.1+(490.7-702.8)+(0+(0-0))+0-0-0</f>
        <v>836</v>
      </c>
      <c r="N108" s="3">
        <f>1082.3+(566.7-735.9)+(0.551973+(0.289017-0.375309))+0-0-0</f>
        <v>913.56568100000004</v>
      </c>
      <c r="O108" s="3">
        <f>1084.2+(489.5-597.7)+(2.211768+(0.99858-1.219308))+0-0-0</f>
        <v>977.99104</v>
      </c>
      <c r="P108" s="3">
        <f>1065.2+(480.2-512.3)+(1.086504+(0.489804-0.522546))+0-0-0</f>
        <v>1034.1537620000001</v>
      </c>
      <c r="Q108" s="3">
        <f>1064.2+(418.7-420.5)+(0.542742+(0.213537-0.214455))+0-0-0</f>
        <v>1062.941824</v>
      </c>
      <c r="R108" s="3">
        <f>1066.9+(346-364.2)+(0.544119+(0.17646-0.185742))+0-0-0</f>
        <v>1049.234837</v>
      </c>
      <c r="S108" s="3">
        <f>1062.5+(313.2-351.9)+(0.541875+(0.159732-0.179469))+0-0-0</f>
        <v>1024.322138</v>
      </c>
      <c r="T108" s="3">
        <f>1059.2+(323.1-359.8)+(1.080384+(0.329562-0.366996))+0-0-0</f>
        <v>1023.54295</v>
      </c>
      <c r="U108" s="3">
        <f>1059+(328.1-361.2)+(1.62027+(0.501993-0.552636))+0-0-0</f>
        <v>1027.4696270000002</v>
      </c>
      <c r="V108" s="3">
        <f>1057.9+(347-388.4)+(1.079058+(0.35394-0.396168))+0-0-0</f>
        <v>1017.5368300000001</v>
      </c>
      <c r="W108" s="3">
        <f>1058+(365.3-405.4)+(0.53958+(0.186303-0.206754))+0-0-0</f>
        <v>1018.4191290000001</v>
      </c>
      <c r="X108" s="3">
        <f>1060.3+(411.2-472.5)+(-0.540753+(-0.209712--0.240975))+0-0-0</f>
        <v>998.49050999999997</v>
      </c>
      <c r="Y108" s="3">
        <f>1044.8+(555.1-622.9)+(0+(0-0))+0-0-0</f>
        <v>977</v>
      </c>
      <c r="Z108" s="3">
        <f>1063.9+(555.8-583.2)+(1.085178+(0.566916-0.594864))+0-0-0</f>
        <v>1037.5572299999999</v>
      </c>
      <c r="AA108" s="3">
        <f>1078.9+(621.9-520.3)+(0+(0-0))+0-0-0</f>
        <v>1180.5</v>
      </c>
      <c r="AB108" s="3">
        <f>1085.1+(595.8-510.1)+(0.553401+(0.303858-0.260151))+0-0-0</f>
        <v>1171.3971079999997</v>
      </c>
      <c r="AC108" s="3">
        <f>1088.7+(555.1-539.8)+(-1.665711+(-0.849303--0.825894))+0-0-0</f>
        <v>1102.31088</v>
      </c>
      <c r="AD108">
        <f t="shared" si="1"/>
        <v>23616.481100000001</v>
      </c>
      <c r="AE108" s="3">
        <f>1073+(645.4-518)+(0+(0-0))+0-0-0</f>
        <v>1200.4000000000001</v>
      </c>
    </row>
    <row r="109" spans="1:31" s="2" customFormat="1" x14ac:dyDescent="0.25">
      <c r="A109">
        <v>89</v>
      </c>
      <c r="B109">
        <v>4</v>
      </c>
      <c r="C109">
        <v>16</v>
      </c>
      <c r="D109">
        <v>5</v>
      </c>
      <c r="E109">
        <v>1</v>
      </c>
      <c r="F109" s="3">
        <f>1090.2+(516.9-586.4)+(-1.112004+(-0.527238--0.598128))+0-0-0</f>
        <v>1019.6588860000001</v>
      </c>
      <c r="G109" s="3">
        <f>1092.8+(590.9-762.6)+(-0.557328+(-0.301359--0.388926))+0-0-0</f>
        <v>920.63023899999996</v>
      </c>
      <c r="H109" s="3">
        <f>1075.8+(567.4-777.9)+(0+(0-0))+0-0-0</f>
        <v>865.3</v>
      </c>
      <c r="I109" s="3">
        <f>1066.7+(578.3-797.4)+(-0.544017+(-0.294933--0.406674))+0-0-0</f>
        <v>847.16772400000002</v>
      </c>
      <c r="J109" s="3">
        <f>1068.5+(549.2-792.9)+(0+(0-0))+0-0-0</f>
        <v>824.80000000000007</v>
      </c>
      <c r="K109" s="3">
        <f>1061.7+(480.8-735.4)+(-2.707335+(-1.22604--1.87527))+0-0-0</f>
        <v>805.04189500000018</v>
      </c>
      <c r="L109" s="3">
        <f>1023.7+(461.2-713.1)+(-1.044174+(-0.470424--0.727362))+0-0-0</f>
        <v>771.01276399999995</v>
      </c>
      <c r="M109" s="3">
        <f>1032.8+(410.3-647.1)+(0.526728+(0.209253-0.330021))+0-0-0</f>
        <v>796.40596000000005</v>
      </c>
      <c r="N109" s="3">
        <f>1039.6+(448.1-608.9)+(0.530196+(0.228531-0.310539))+0-0-0</f>
        <v>879.24818799999991</v>
      </c>
      <c r="O109" s="3">
        <f>1074.5+(402.5-513.2)+(0.547995+(0.205275-0.261732))+0-0-0</f>
        <v>964.29153799999995</v>
      </c>
      <c r="P109" s="3">
        <f>1092.5+(451.4-508.2)+(1.11435+(0.460428-0.518364))+0-0-0</f>
        <v>1036.7564139999999</v>
      </c>
      <c r="Q109" s="3">
        <f>1080+(454.7-500.3)+(0+(0-0))+0-0-0</f>
        <v>1034.4000000000001</v>
      </c>
      <c r="R109" s="3">
        <f>1071.4+(403.5-426.9)+(1.639242+(0.617355-0.653157))+0-0-0</f>
        <v>1049.6034400000001</v>
      </c>
      <c r="S109" s="3">
        <f>1064.8+(301-324)+(0.543048+(0.15351-0.16524))+0-0-0</f>
        <v>1042.331318</v>
      </c>
      <c r="T109" s="3">
        <f>1060.3+(301.3-325.5)+(0+(0-0))+0-0-0</f>
        <v>1036.0999999999999</v>
      </c>
      <c r="U109" s="3">
        <f>1053.7+(187.4-187.3)+(-1.074774+(-0.191148--0.191046))+0-0-0</f>
        <v>1052.7251240000001</v>
      </c>
      <c r="V109" s="3">
        <f>1051.2+(187.3-180.2)+(-0.536112+(-0.095523--0.091902))+0-0-0</f>
        <v>1057.7602670000001</v>
      </c>
      <c r="W109" s="3">
        <f>1052.6+(214.3-221)+(1.073652+(0.218586-0.22542))+0-0-0</f>
        <v>1046.9668179999999</v>
      </c>
      <c r="X109" s="3">
        <f>1054.6+(301.8-337.3)+(-0.537846+(-0.153918--0.172023))+0-0-0</f>
        <v>1018.580259</v>
      </c>
      <c r="Y109" s="3">
        <f>1062.4+(412.1-481.3)+(0+(0-0))+0-0-0</f>
        <v>993.2</v>
      </c>
      <c r="Z109" s="3">
        <f>1070.9+(483-511.6)+(0.546159+(0.24633-0.260916))+0-0-0</f>
        <v>1042.8315730000002</v>
      </c>
      <c r="AA109" s="3">
        <f>1078.1+(622.4-494)+(0+(0-0))+0-0-0</f>
        <v>1206.5</v>
      </c>
      <c r="AB109" s="3">
        <f>1082.1+(637.1-525.3)+(0.551871+(0.324921-0.267903))+0-0-0</f>
        <v>1194.5088890000002</v>
      </c>
      <c r="AC109" s="3">
        <f>1080.3+(530.9-489.1)+(0+(0-0))+0-0-0</f>
        <v>1122.0999999999999</v>
      </c>
      <c r="AD109">
        <f t="shared" si="1"/>
        <v>23627.921295999997</v>
      </c>
      <c r="AE109" s="3">
        <f>1074+(638.5-498.3)+(0+(0-0))+0-0-0</f>
        <v>1214.2</v>
      </c>
    </row>
    <row r="110" spans="1:31" s="2" customFormat="1" x14ac:dyDescent="0.25">
      <c r="A110">
        <v>89</v>
      </c>
      <c r="B110">
        <v>4</v>
      </c>
      <c r="C110">
        <v>17</v>
      </c>
      <c r="D110">
        <v>6</v>
      </c>
      <c r="E110">
        <v>1</v>
      </c>
      <c r="F110" s="3">
        <f>1082.5+(485.1-529.2)+(0.552075+(0.247401-0.269892))+0-0-0</f>
        <v>1038.9295840000002</v>
      </c>
      <c r="G110" s="3">
        <f>1058.7+(566-688.4)+(0+(0-0))+0-0-0</f>
        <v>936.30000000000007</v>
      </c>
      <c r="H110" s="3">
        <f>1050.8+(620.6-790.5)+(0.535908+(0.316506-0.403155))+0-0-0</f>
        <v>881.34925899999996</v>
      </c>
      <c r="I110" s="3">
        <f>1049.9+(666-862.6)+(1.070898+(0.67932-0.879852))+0-0-0</f>
        <v>854.17036600000006</v>
      </c>
      <c r="J110" s="3">
        <f>1098.6+(595.2-854.5)+(0.560286+(0.303552-0.435795))+0-0-0</f>
        <v>839.72804299999996</v>
      </c>
      <c r="K110" s="3">
        <f>1065.2+(471.7-722.1)+(0+(0-0))+0-0-0</f>
        <v>814.8</v>
      </c>
      <c r="L110" s="3">
        <f>1044.5+(390.8-662)+(-1.598085+(-0.597924--1.01286))+0-0-0</f>
        <v>772.116851</v>
      </c>
      <c r="M110" s="3">
        <f>1044.7+(427.4-668.2)+(-1.598391+(-0.653922--1.022346))+0-0-0</f>
        <v>802.67003299999999</v>
      </c>
      <c r="N110" s="3">
        <f>1039.1+(468.4-625.7)+(-2.119764+(-0.955536--1.276428))+0-0-0</f>
        <v>880.00112799999988</v>
      </c>
      <c r="O110" s="3">
        <f>1047.1+(454.4-556.5)+(-0.534021+(-0.231744--0.283815))+0-0-0</f>
        <v>944.5180499999999</v>
      </c>
      <c r="P110" s="3">
        <f>1073.9+(484.3-552.8)+(0.547689+(0.246993-0.281928))+0-0-0</f>
        <v>1005.9127540000001</v>
      </c>
      <c r="Q110" s="3">
        <f>1071.5+(487.3-515.1)+(1.09293+(0.497046-0.525402))+0-0-0</f>
        <v>1044.764574</v>
      </c>
      <c r="R110" s="3">
        <f>1064+(499.7-512.7)+(1.08528+(0.509694-0.522954))+0-0-0</f>
        <v>1052.0720200000001</v>
      </c>
      <c r="S110" s="3">
        <f>1055.8+(488.3-524.6)+(0+(0-0))+0-0-0</f>
        <v>1019.5</v>
      </c>
      <c r="T110" s="3">
        <f>1051.6+(502-539.8)+(0.536316+(0.25602-0.275298))+0-0-0</f>
        <v>1014.3170379999999</v>
      </c>
      <c r="U110" s="3">
        <f>1047.2+(488-518.3)+(0.534072+(0.24888-0.264333))+0-0-0</f>
        <v>1017.418619</v>
      </c>
      <c r="V110" s="3">
        <f>1045.5+(468.6-478)+(0+(0-0))+0-0-0</f>
        <v>1036.0999999999999</v>
      </c>
      <c r="W110" s="3">
        <f>1040+(485.8-494.6)+(-0.5304+(-0.247758--0.252246))+0-0-0</f>
        <v>1030.674088</v>
      </c>
      <c r="X110" s="3">
        <f>1043.5+(483.6-521.9)+(-1.596555+(-0.739908--0.798507))+0-0-0</f>
        <v>1003.662044</v>
      </c>
      <c r="Y110" s="3">
        <f>1022.4+(531.3-576.9)+(-0.521424+(-0.270963--0.294219))+0-0-0</f>
        <v>976.30183199999999</v>
      </c>
      <c r="Z110" s="3">
        <f>1066.4+(598.3-620.6)+(0+(0-0))+0-0-0</f>
        <v>1044.0999999999999</v>
      </c>
      <c r="AA110" s="3">
        <f>1082.3+(622-499.4)+(-2.207892+(-1.26888--1.018776))+0-0-0</f>
        <v>1202.442004</v>
      </c>
      <c r="AB110" s="3">
        <f>1088.1+(616.9-516)+(-0.554931+(-0.314619--0.26316))+0-0-0</f>
        <v>1188.3936100000001</v>
      </c>
      <c r="AC110" s="3">
        <f>1056.1+(604.4-538.4)+(0.538611+(0.308244-0.274584))+0-0-0</f>
        <v>1122.6722709999999</v>
      </c>
      <c r="AD110">
        <f t="shared" si="1"/>
        <v>23522.914168000003</v>
      </c>
      <c r="AE110" s="3">
        <f>1080+(669.5-557.8)+(0+(0-0))+0-0-0</f>
        <v>1191.7</v>
      </c>
    </row>
    <row r="111" spans="1:31" s="2" customFormat="1" x14ac:dyDescent="0.25">
      <c r="A111">
        <v>89</v>
      </c>
      <c r="B111">
        <v>4</v>
      </c>
      <c r="C111">
        <v>18</v>
      </c>
      <c r="D111">
        <v>7</v>
      </c>
      <c r="E111">
        <v>1</v>
      </c>
      <c r="F111" s="3">
        <f>883.5+(721.6-587.4)+(0+(0-0))+0-0-0</f>
        <v>1017.7</v>
      </c>
      <c r="G111" s="3">
        <f>777.8+(777.9-627.9)+(-0.396678+(-0.396729--0.320229))+0-0-0</f>
        <v>927.32682199999999</v>
      </c>
      <c r="H111" s="3">
        <f>783.7+(765.3-678.6)+(0.399687+(0.390303-0.346086))+0-0-0</f>
        <v>870.84390399999995</v>
      </c>
      <c r="I111" s="3">
        <f>787+(724.6-677.8)+(0.40137+(0.369546-0.345678))+0-0-0</f>
        <v>834.2252380000001</v>
      </c>
      <c r="J111" s="3">
        <f>792+(705.6-682.2)+(0.40392+(0.359856-0.347922))+0-0-0</f>
        <v>815.81585399999994</v>
      </c>
      <c r="K111" s="3">
        <f>796.1+(608.1-620.7)+(-1.218033+(-0.930393--0.949671))+0-0-0</f>
        <v>782.30124499999999</v>
      </c>
      <c r="L111" s="3">
        <f>799.6+(515.7-586.3)+(0+(0-0))+0-0-0</f>
        <v>729.00000000000011</v>
      </c>
      <c r="M111" s="3">
        <f>800.1+(517.5-593.7)+(0+(0-0))+0-0-0</f>
        <v>723.9</v>
      </c>
      <c r="N111" s="3">
        <f>794.2+(527.4-554)+(-0.810084+(-0.537948--0.56508))+0-0-0</f>
        <v>766.817048</v>
      </c>
      <c r="O111" s="3">
        <f>781.7+(628.2-573.1)+(0+(0-0))+0-0-0</f>
        <v>836.80000000000007</v>
      </c>
      <c r="P111" s="3">
        <f>770.3+(660.8-523.9)+(0.785706+(0.674016-0.534378))+0-0-0</f>
        <v>908.12534399999993</v>
      </c>
      <c r="Q111" s="3">
        <f>759.9+(660.6-474.6)+(0+(0-0))+0-0-0</f>
        <v>945.9</v>
      </c>
      <c r="R111" s="3">
        <f>752.2+(700.4-488.4)+(0.383622+(0.357204-0.249084))+0-0-0</f>
        <v>964.69174200000009</v>
      </c>
      <c r="S111" s="3">
        <f>744.9+(685.9-487)+(0.759798+(0.699618-0.49674))+0-0-0</f>
        <v>944.76267599999994</v>
      </c>
      <c r="T111" s="3">
        <f>741.1+(675-481.7)+(0.377961+(0.34425-0.245667))+0-0-0</f>
        <v>934.87654400000008</v>
      </c>
      <c r="U111" s="3">
        <f>744.3+(646.2-455.5)+(-0.759186+(-0.659124--0.46461))+0-0-0</f>
        <v>934.04629999999997</v>
      </c>
      <c r="V111" s="3">
        <f>743.1+(663.5-463.9)+(-0.378981+(-0.338385--0.236589))+0-0-0</f>
        <v>942.21922300000006</v>
      </c>
      <c r="W111" s="3">
        <f>744.4+(713.7-511.4)+(-0.379644+(-0.363987--0.260814))+0-0-0</f>
        <v>946.21718300000009</v>
      </c>
      <c r="X111" s="3">
        <f>749.5+(749.4-580.7)+(-0.76449+(-0.764388--0.592314))+0-0-0</f>
        <v>917.26343599999996</v>
      </c>
      <c r="Y111" s="3">
        <f>755.2+(689.2-551.8)+(-1.155456+(-1.054476--0.844254))+0-0-0</f>
        <v>891.23432200000013</v>
      </c>
      <c r="Z111" s="3">
        <f>761.7+(747.7-557.1)+(0.388467+(0.381327-0.284121))+0-0-0</f>
        <v>952.78567300000009</v>
      </c>
      <c r="AA111" s="3">
        <f>767+(857.8-500.3)+(-0.39117+(-0.437478--0.255153))+0-0-0</f>
        <v>1123.9265049999999</v>
      </c>
      <c r="AB111" s="3">
        <f>767.5+(863.5-501.9)+(0+(0-0))+0-0-0</f>
        <v>1129.0999999999999</v>
      </c>
      <c r="AC111" s="3">
        <f>727.2+(867.3-518.8)+(0.370872+(0.442323-0.264588))+0-0-0</f>
        <v>1076.248607</v>
      </c>
      <c r="AD111">
        <f t="shared" si="1"/>
        <v>21916.127666</v>
      </c>
      <c r="AE111" s="3">
        <f>767+(845.2-483.4)+(0+(0-0))+0-0-0</f>
        <v>1128.8000000000002</v>
      </c>
    </row>
    <row r="112" spans="1:31" s="2" customFormat="1" x14ac:dyDescent="0.25">
      <c r="A112">
        <v>89</v>
      </c>
      <c r="B112">
        <v>4</v>
      </c>
      <c r="C112">
        <v>19</v>
      </c>
      <c r="D112">
        <v>1</v>
      </c>
      <c r="E112">
        <v>3</v>
      </c>
      <c r="F112" s="3">
        <f>714.9+(817.8-536.1)+(-1.458396+(-1.668312--1.093644))+0-0-0</f>
        <v>994.56693599999994</v>
      </c>
      <c r="G112" s="3">
        <f>713.7+(819.8-628)+(-1.091961+(-1.254294--0.96084))+0-0-0</f>
        <v>904.11458500000003</v>
      </c>
      <c r="H112" s="3">
        <f>721.2+(786.3-662.3)+(-0.735624+(-0.802026--0.675546))+0-0-0</f>
        <v>844.337896</v>
      </c>
      <c r="I112" s="3">
        <f>777.9+(702.5-668.8)+(-0.793458+(-0.71655--0.682176))+0-0-0</f>
        <v>810.77216800000008</v>
      </c>
      <c r="J112" s="3">
        <f>895.2+(565.8-665.4)+(-0.913104+(-0.577116--0.678708))+0-0-0</f>
        <v>794.78848800000003</v>
      </c>
      <c r="K112" s="3">
        <f>1045+(481.4-732.1)+(0+(0-0))+0-0-0</f>
        <v>794.3</v>
      </c>
      <c r="L112" s="3">
        <f>1050+(476.1-765.3)+(0+(0-0))+0-0-0</f>
        <v>760.80000000000007</v>
      </c>
      <c r="M112" s="3">
        <f>1032.9+(447.5-712.7)+(-1.580337+(-0.684675--1.090431))+0-0-0</f>
        <v>766.52541900000006</v>
      </c>
      <c r="N112" s="3">
        <f>1078.8+(436.1-683)+(-0.550188+(-0.222411--0.34833))+0-0-0</f>
        <v>831.475731</v>
      </c>
      <c r="O112" s="3">
        <f>1080.4+(521.3-656.4)+(1.102008+(0.531726-0.669528))+0-0-0</f>
        <v>946.26420600000006</v>
      </c>
      <c r="P112" s="3">
        <f>1093.4+(564.9-656.7)+(1.115268+(0.576198-0.669834))+0-0-0</f>
        <v>1002.621632</v>
      </c>
      <c r="Q112" s="3">
        <f>1087+(499.8-591.8)+(1.10874+(0.509796-0.603636))+0-0-0</f>
        <v>996.01490000000001</v>
      </c>
      <c r="R112" s="3">
        <f>1082.2+(478.8-522.2)+(0+(0-0))+0-0-0</f>
        <v>1038.8</v>
      </c>
      <c r="S112" s="3">
        <f>1078.6+(461.9-525.1)+(0+(0-0))+0-0-0</f>
        <v>1015.3999999999999</v>
      </c>
      <c r="T112" s="3">
        <f>1074.6+(468.7-525.2)+(0.548046+(0.239037-0.267852))+0-0-0</f>
        <v>1018.6192309999999</v>
      </c>
      <c r="U112" s="3">
        <f>1067.8+(526.9-575.1)+(0+(0-0))+0-0-0</f>
        <v>1019.5999999999999</v>
      </c>
      <c r="V112" s="3">
        <f>1069.1+(515.6-561.9)+(0+(0-0))+0-0-0</f>
        <v>1022.8</v>
      </c>
      <c r="W112" s="3">
        <f>1070.1+(541.4-583.2)+(-1.091502+(-0.552228--0.594864))+0-0-0</f>
        <v>1027.2511339999996</v>
      </c>
      <c r="X112" s="3">
        <f>1071.9+(532.8-592.3)+(0+(0-0))+0-0-0</f>
        <v>1012.4000000000001</v>
      </c>
      <c r="Y112" s="3">
        <f>1048.9+(529.5-564.9)+(0.534939+(0.270045-0.288099))+0-0-0</f>
        <v>1014.0168850000001</v>
      </c>
      <c r="Z112" s="3">
        <f>1046.7+(655.9-650.5)+(0+(0-0))+0-0-0</f>
        <v>1052.0999999999999</v>
      </c>
      <c r="AA112" s="3">
        <f>1087.3+(642.1-517.4)+(-0.554523+(-0.327471--0.263874))+0-0-0</f>
        <v>1211.3818799999999</v>
      </c>
      <c r="AB112" s="3">
        <f>1091.8+(639.8-525.6)+(0+(0-0))+0-0-0</f>
        <v>1206</v>
      </c>
      <c r="AC112" s="3">
        <f>1096.3+(613.1-558.1)+(0+(0-0))+0-0-0</f>
        <v>1151.3</v>
      </c>
      <c r="AD112">
        <f t="shared" si="1"/>
        <v>23236.251091000002</v>
      </c>
      <c r="AE112" s="3">
        <f>1078+(668.4-552.7)+(0+(0-0))+0-0-0</f>
        <v>1193.6999999999998</v>
      </c>
    </row>
    <row r="113" spans="1:31" s="2" customFormat="1" x14ac:dyDescent="0.25">
      <c r="A113">
        <v>89</v>
      </c>
      <c r="B113">
        <v>4</v>
      </c>
      <c r="C113">
        <v>20</v>
      </c>
      <c r="D113">
        <v>2</v>
      </c>
      <c r="E113">
        <v>1</v>
      </c>
      <c r="F113" s="3">
        <f>1096.6+(687.5-705.1)+(0+(0-0))+0-0-0</f>
        <v>1079</v>
      </c>
      <c r="G113" s="3">
        <f>1101.2+(792.7-903.1)+(-1.684836+(-1.212831--1.381743))+0-0-0</f>
        <v>989.28407600000003</v>
      </c>
      <c r="H113" s="3">
        <f>1109.7+(789.3-967)+(-1.131894+(-0.805086--0.98634))+0-0-0</f>
        <v>931.04935999999998</v>
      </c>
      <c r="I113" s="3">
        <f>1112.2+(735.2-953.8)+(-1.701666+(-1.124856--1.459314))+0-0-0</f>
        <v>892.23279200000013</v>
      </c>
      <c r="J113" s="3">
        <f>1115.4+(687-932.7)+(0+(0-0))+0-0-0</f>
        <v>869.7</v>
      </c>
      <c r="K113" s="3">
        <f>1120.5+(614.8-890.1)+(0+(0-0))+0-0-0</f>
        <v>845.19999999999993</v>
      </c>
      <c r="L113" s="3">
        <f>1124.7+(519.1-838.1)+(-1.147194+(-0.529482--0.854862))+0-0-0</f>
        <v>804.87818600000003</v>
      </c>
      <c r="M113" s="3">
        <f>1101.5+(491.6-770.9)+(-0.561765+(-0.250716--0.393159))+0-0-0</f>
        <v>821.78067800000008</v>
      </c>
      <c r="N113" s="3">
        <f>1088.8+(532.6-729.9)+(0.555288+(0.271626-0.372249))+0-0-0</f>
        <v>891.95466499999998</v>
      </c>
      <c r="O113" s="3">
        <f>1111.8+(472.4-609)+(0.567018+(0.240924-0.31059))+0-0-0</f>
        <v>975.69735199999991</v>
      </c>
      <c r="P113" s="3">
        <f>1100.1+(357.4-421.4)+(1.122102+(0.364548-0.429828))+0-0-0</f>
        <v>1037.1568219999999</v>
      </c>
      <c r="Q113" s="3">
        <f>1090.6+(353.4-367.9)+(1.112412+(0.360468-0.375258))+14.3-0-0</f>
        <v>1091.4976219999999</v>
      </c>
      <c r="R113" s="3">
        <f>1083.6+(337.6-357)+(0.552636+(0.172176-0.18207))+43-0-0</f>
        <v>1107.7427419999999</v>
      </c>
      <c r="S113" s="3">
        <f>1077.6+(312.9-354.7)+(0.549576+(0.159579-0.180897))+43-0-0</f>
        <v>1079.328258</v>
      </c>
      <c r="T113" s="3">
        <f>1074.7+(326.9-367.6)+(0.548097+(0.166719-0.187476))+43-0-0</f>
        <v>1077.5273400000001</v>
      </c>
      <c r="U113" s="3">
        <f>1069.6+(349.1-374.6)+(1.090992+(0.356082-0.382092))+43-0-0</f>
        <v>1088.164982</v>
      </c>
      <c r="V113" s="3">
        <f>1075.8+(339.5-410.5)+(0+(0-0))+43-0-0</f>
        <v>1047.8</v>
      </c>
      <c r="W113" s="3">
        <f>1076.1+(353.9-475.5)+(-2.195244+(-0.721956--0.97002))+43-0-0</f>
        <v>995.55281999999988</v>
      </c>
      <c r="X113" s="3">
        <f>1078.8+(445.7-491.2)+(0+(0-0))+17.9-0-0</f>
        <v>1051.2</v>
      </c>
      <c r="Y113" s="3">
        <f>1083.3+(491.3-625)+(-0.552483+(-0.250563--0.31875))+0-0-0</f>
        <v>949.11570399999994</v>
      </c>
      <c r="Z113" s="3">
        <f>1085.5+(439.9-525.8)+(0.553605+(0.224349-0.268158))+0-0-0</f>
        <v>1000.1097960000001</v>
      </c>
      <c r="AA113" s="3">
        <f>1097.4+(524.4-446.7)+(-1.119348+(-0.534888--0.455634))+0-0-0</f>
        <v>1173.9013980000002</v>
      </c>
      <c r="AB113" s="3">
        <f>1099.6+(539.1-477.7)+(-0.560796+(-0.274941--0.243627))+0-0-0</f>
        <v>1160.40789</v>
      </c>
      <c r="AC113" s="3">
        <f>1094.5+(475.7-470.1)+(-0.558195+(-0.242607--0.239751))+0-0-0</f>
        <v>1099.538949</v>
      </c>
      <c r="AD113">
        <f t="shared" si="1"/>
        <v>24059.821432000004</v>
      </c>
      <c r="AE113" s="3">
        <f>1091+(540.1-360.4)+(0+(0-0))+0-0-0</f>
        <v>1270.7</v>
      </c>
    </row>
    <row r="114" spans="1:31" s="2" customFormat="1" x14ac:dyDescent="0.25">
      <c r="A114">
        <v>89</v>
      </c>
      <c r="B114">
        <v>4</v>
      </c>
      <c r="C114">
        <v>21</v>
      </c>
      <c r="D114">
        <v>3</v>
      </c>
      <c r="E114">
        <v>1</v>
      </c>
      <c r="F114" s="3">
        <f>1100.1+(526.1-528.6)+(-1.122102+(-0.536622--0.539172))+0-0-0</f>
        <v>1096.4804479999998</v>
      </c>
      <c r="G114" s="3">
        <f>1104.4+(678.7-778.1)+(-0.563244+(-0.346137--0.396831))+0-0-0</f>
        <v>1004.4874500000001</v>
      </c>
      <c r="H114" s="3">
        <f>1101.8+(680.8-869.8)+(-2.247672+(-1.388832--1.774392))+0-0-0</f>
        <v>910.93788799999993</v>
      </c>
      <c r="I114" s="3">
        <f>1066.3+(622.3-799.1)+(1.087626+(0.634746-0.815082))+0-0-0</f>
        <v>890.40728999999988</v>
      </c>
      <c r="J114" s="3">
        <f>1063+(587.7-783.4)+(-1.08426+(-0.599454--0.799068))+0-0-0</f>
        <v>866.41535400000009</v>
      </c>
      <c r="K114" s="3">
        <f>1065.3+(553.8-797.9)+(-1.086606+(-0.564876--0.813858))+0-0-0</f>
        <v>820.36237599999993</v>
      </c>
      <c r="L114" s="3">
        <f>1023.9+(554.1-791.6)+(0+(0-0))+0-0-0</f>
        <v>786.4</v>
      </c>
      <c r="M114" s="3">
        <f>1057.3+(547.5-790.7)+(0+(0-0))+0-0-0</f>
        <v>814.09999999999991</v>
      </c>
      <c r="N114" s="3">
        <f>1067.8+(564.3-628.9)+(0+(0-0))+0-0-0</f>
        <v>1003.1999999999999</v>
      </c>
      <c r="O114" s="3">
        <f>1068.3+(342.3-365.5)+(0+(0-0))+0-0-0</f>
        <v>1045.0999999999999</v>
      </c>
      <c r="P114" s="3">
        <f>1087.9+(230.2-276)+(0+(0-0))+0-0-0</f>
        <v>1042.1000000000001</v>
      </c>
      <c r="Q114" s="3">
        <f>1088+(166-183.7)+(2.21952+(0.33864-0.374748))+0-0-0</f>
        <v>1072.483412</v>
      </c>
      <c r="R114" s="3">
        <f>1081.5+(232.8-228.9)+(-1.10313+(-0.237456--0.233478))+20-0-0</f>
        <v>1104.2928920000002</v>
      </c>
      <c r="S114" s="3">
        <f>1075.2+(237.1-253.1)+(0.548352+(0.120921-0.129081))+30-0-0</f>
        <v>1089.740192</v>
      </c>
      <c r="T114" s="3">
        <f>1072.6+(211-222.6)+(0.547026+(0.10761-0.113526))+30-0-0</f>
        <v>1091.5411099999999</v>
      </c>
      <c r="U114" s="3">
        <f>1068.7+(185.2-191.6)+(1.090074+(0.188904-0.195432))+30-0-0</f>
        <v>1093.383546</v>
      </c>
      <c r="V114" s="3">
        <f>1058.7+(198.3-179.5)+(-0.539937+(-0.101133--0.091545))+30-0-0</f>
        <v>1106.9504750000001</v>
      </c>
      <c r="W114" s="3">
        <f>1058.8+(239-226.2)+(-1.619964+(-0.36567--0.346086))+30-0-0</f>
        <v>1099.9604519999998</v>
      </c>
      <c r="X114" s="3">
        <f>1057.6+(293.8-291.1)+(-1.618128+(-0.449514--0.445383))+5-0-0</f>
        <v>1063.677741</v>
      </c>
      <c r="Y114" s="3">
        <f>1063.4+(362-378.5)+(-0.542334+(-0.18462--0.193035))+0-0-0</f>
        <v>1046.3660810000001</v>
      </c>
      <c r="Z114" s="3">
        <f>1071.9+(412.4-373.6)+(0.546669+(0.210324-0.190536))+0-0-0</f>
        <v>1111.2664569999999</v>
      </c>
      <c r="AA114" s="3">
        <f>1074.8+(355.7-160.3)+(-0.548148+(-0.181407--0.081753))+0-0-0</f>
        <v>1269.5521979999999</v>
      </c>
      <c r="AB114" s="3">
        <f>1079.6+(350.2-178.5)+(-0.550596+(-0.178602--0.091035))+0-0-0</f>
        <v>1250.6618369999999</v>
      </c>
      <c r="AC114" s="3">
        <f>1079.9+(359.9-259)+(0+(0-0))+0-0-0</f>
        <v>1180.8000000000002</v>
      </c>
      <c r="AD114">
        <f t="shared" si="1"/>
        <v>24860.667199</v>
      </c>
      <c r="AE114" s="3">
        <f>1073+(343.2-138.4)+(0+(0-0))+0-0-0</f>
        <v>1277.8</v>
      </c>
    </row>
    <row r="115" spans="1:31" s="2" customFormat="1" x14ac:dyDescent="0.25">
      <c r="A115">
        <v>89</v>
      </c>
      <c r="B115">
        <v>4</v>
      </c>
      <c r="C115">
        <v>22</v>
      </c>
      <c r="D115">
        <v>4</v>
      </c>
      <c r="E115">
        <v>1</v>
      </c>
      <c r="F115" s="3">
        <f>1084.4+(475-476.8)+(0+(0-0))+0-0-0</f>
        <v>1082.6000000000001</v>
      </c>
      <c r="G115" s="3">
        <f>1091.6+(584.6-671.5)+(-1.113432+(-0.596292--0.68493))+0-0-0</f>
        <v>1003.6752059999999</v>
      </c>
      <c r="H115" s="3">
        <f>1098.7+(533.3-684.8)+(0.560337+(0.271983-0.349248))+0-0-0</f>
        <v>947.68307200000004</v>
      </c>
      <c r="I115" s="3">
        <f>1076.8+(487.7-655.1)+(0+(0-0))+0-0-0</f>
        <v>909.39999999999986</v>
      </c>
      <c r="J115" s="3">
        <f>1066.8+(426-612.5)+(1.632204+(0.65178-0.937125))+0-0-0</f>
        <v>881.64685899999995</v>
      </c>
      <c r="K115" s="3">
        <f>1063.8+(452.7-717.6)+(0+(0-0))+0-0-0</f>
        <v>798.89999999999986</v>
      </c>
      <c r="L115" s="3">
        <f>1063.5+(427.4-642.6)+(-0.542385+(-0.217974--0.327726))+0-0-0</f>
        <v>847.86736699999994</v>
      </c>
      <c r="M115" s="3">
        <f>1063.9+(437.1-643.4)+(0+(0-0))+0-0-0</f>
        <v>857.60000000000014</v>
      </c>
      <c r="N115" s="3">
        <f>1066.8+(475-592.6)+(2.176272+(0.969-1.208904))+0-0-0</f>
        <v>951.13636799999995</v>
      </c>
      <c r="O115" s="3">
        <f>1054.6+(466-511)+(0+(0-0))+0-0-0</f>
        <v>1009.5999999999999</v>
      </c>
      <c r="P115" s="3">
        <f>1071.1+(391.6-385)+(1.638783+(0.599148-0.58905))+0-0-0</f>
        <v>1079.3488809999999</v>
      </c>
      <c r="Q115" s="3">
        <f>1088.5+(349.4-329.4)+(0.555135+(0.178194-0.167994))+0-0-0</f>
        <v>1109.065335</v>
      </c>
      <c r="R115" s="3">
        <f>1081.7+(413.9-373.5)+(-1.103334+(-0.422178--0.38097))+6.7-0-0</f>
        <v>1127.655458</v>
      </c>
      <c r="S115" s="3">
        <f>1076.5+(385.2-368.1)+(0+(0-0))+10-0-0</f>
        <v>1103.5999999999999</v>
      </c>
      <c r="T115" s="3">
        <f>1073.7+(382.8-360.4)+(1.642761+(0.585684-0.551412))+10-0-0</f>
        <v>1107.7770330000001</v>
      </c>
      <c r="U115" s="3">
        <f>1072.5+(397.8-373.1)+(-0.546975+(-0.202878--0.190281))+10-0-0</f>
        <v>1106.6404280000002</v>
      </c>
      <c r="V115" s="3">
        <f>1067.6+(400.1-366.3)+(-0.544476+(-0.204051--0.186813))+10-0-0</f>
        <v>1110.8382859999999</v>
      </c>
      <c r="W115" s="3">
        <f>1065.6+(448-408.9)+(-3.260736+(-1.37088--1.251234))+10-0-0</f>
        <v>1111.3196179999998</v>
      </c>
      <c r="X115" s="3">
        <f>1062.4+(497.3-491.7)+(-2.167296+(-1.014492--1.003068))+0-0-0</f>
        <v>1065.8212799999999</v>
      </c>
      <c r="Y115" s="3">
        <f>1066.3+(568-583.8)+(-1.631439+(-0.86904--0.893214))+0-0-0</f>
        <v>1048.8927349999999</v>
      </c>
      <c r="Z115" s="3">
        <f>1075.1+(529.2-518)+(0.548301+(0.269892-0.26418))+0-0-0</f>
        <v>1086.8540129999999</v>
      </c>
      <c r="AA115" s="3">
        <f>1084.7+(506.8-333.2)+(-2.212788+(-1.033872--0.679728))+0-0-0</f>
        <v>1255.7330680000002</v>
      </c>
      <c r="AB115" s="3">
        <f>1043.9+(515.3-313.2)+(-2.129556+(-1.051212--0.638928))+0-0-0</f>
        <v>1243.4581599999999</v>
      </c>
      <c r="AC115" s="3">
        <f>1046.3+(507.1-372.5)+(1.067226+(0.517242-0.37995))+0-0-0</f>
        <v>1182.1045180000001</v>
      </c>
      <c r="AD115">
        <f t="shared" si="1"/>
        <v>25029.217685000003</v>
      </c>
      <c r="AE115" s="3">
        <f>1100+(493-320)+(0+(0-0))+0-0-0</f>
        <v>1273</v>
      </c>
    </row>
    <row r="116" spans="1:31" s="2" customFormat="1" x14ac:dyDescent="0.25">
      <c r="A116">
        <v>89</v>
      </c>
      <c r="B116">
        <v>4</v>
      </c>
      <c r="C116">
        <v>23</v>
      </c>
      <c r="D116">
        <v>5</v>
      </c>
      <c r="E116">
        <v>1</v>
      </c>
      <c r="F116" s="3">
        <f>1040+(584.6-550.6)+(-1.0608+(-0.596292--0.561612))+0-0-0</f>
        <v>1072.90452</v>
      </c>
      <c r="G116" s="3">
        <f>1043.9+(666.3-724.8)+(-0.532389+(-0.339813--0.369648))+0-0-0</f>
        <v>984.89744600000006</v>
      </c>
      <c r="H116" s="3">
        <f>1044.3+(632.7-746.9)+(-1.065186+(-0.645354--0.761838))+0-0-0</f>
        <v>929.151298</v>
      </c>
      <c r="I116" s="3">
        <f>1040.7+(578.4-716.9)+(-1.061514+(-0.589968--0.731238))+0-0-0</f>
        <v>901.27975600000002</v>
      </c>
      <c r="J116" s="3">
        <f>1052.3+(520.1-701.3)+(1.610019+(0.795753-1.072989))+0-0-0</f>
        <v>872.43278299999997</v>
      </c>
      <c r="K116" s="3">
        <f>1041.9+(464-650.7)+(-1.062738+(-0.47328--0.663714))+0-0-0</f>
        <v>854.32769600000006</v>
      </c>
      <c r="L116" s="3">
        <f>988.1+(426.1-594.9)+(-0.503931+(-0.217311--0.303399))+0-0-0</f>
        <v>818.88215700000012</v>
      </c>
      <c r="M116" s="3">
        <f>1026+(427.6-612.6)+(1.56978+(0.654228-0.937278))+0-0-0</f>
        <v>842.28673000000003</v>
      </c>
      <c r="N116" s="3">
        <f>1050.8+(389.7-519.7)+(-0.535908+(-0.198747--0.265047))+0-0-0</f>
        <v>920.33039199999996</v>
      </c>
      <c r="O116" s="3">
        <f>1083.3+(462.9-543.7)+(1.104966+(0.472158-0.554574))+0-0-0</f>
        <v>1003.5225499999999</v>
      </c>
      <c r="P116" s="3">
        <f>1093.6+(530.8-557.3)+(0.557736+(0.270708-0.284223))+25-0-0</f>
        <v>1092.644221</v>
      </c>
      <c r="Q116" s="3">
        <f>1076.6+(552.5-534.4)+(-0.549066+(-0.281775--0.272544))+60-0-0</f>
        <v>1154.1417029999998</v>
      </c>
      <c r="R116" s="3">
        <f>1078.3+(547.1-599)+(-1.099866+(-0.558042--0.61098))+120-0-0</f>
        <v>1145.3530720000001</v>
      </c>
      <c r="S116" s="3">
        <f>1074+(505.8-589.2)+(0+(0-0))+120-0-0</f>
        <v>1110.5999999999999</v>
      </c>
      <c r="T116" s="3">
        <f>1068.2+(474.1-539)+(0.544782+(0.241791-0.27489))+120-0-0</f>
        <v>1123.8116829999999</v>
      </c>
      <c r="U116" s="3">
        <f>1073.3+(427.3-515.5)+(-0.547383+(-0.217923--0.262905))+120-0-0</f>
        <v>1104.5975989999999</v>
      </c>
      <c r="V116" s="3">
        <f>1072.2+(444.3-544.3)+(-1.093644+(-0.453186--0.555186))+120-0-0</f>
        <v>1091.2083560000001</v>
      </c>
      <c r="W116" s="3">
        <f>1073.5+(501.8-716.8)+(1.642455+(0.767754-1.096704))+120-0-0</f>
        <v>979.81350499999996</v>
      </c>
      <c r="X116" s="3">
        <f>1075.3+(500.7-549.8)+(-1.096806+(-0.510714--0.560796))+40-0-0</f>
        <v>1065.153276</v>
      </c>
      <c r="Y116" s="3">
        <f>1052.7+(459.9-483.4)+(0.536877+(0.234549-0.246534))+0-0-0</f>
        <v>1029.724892</v>
      </c>
      <c r="Z116" s="3">
        <f>1059.4+(533.8-502.1)+(1.080588+(0.544476-0.512142))+0-0-0</f>
        <v>1092.2129219999999</v>
      </c>
      <c r="AA116" s="3">
        <f>1096.3+(498.4-378.2)+(-1.677339+(-0.762552--0.578646))+0-0-0</f>
        <v>1214.6387549999999</v>
      </c>
      <c r="AB116" s="3">
        <f>1094.7+(482.2-307)+(-0.558297+(-0.245922--0.15657))+0-0-0</f>
        <v>1269.2523510000001</v>
      </c>
      <c r="AC116" s="3">
        <f>1090.4+(519.3-470.6)+(-0.556104+(-0.264843--0.240006))+0-0-0</f>
        <v>1138.519059</v>
      </c>
      <c r="AD116">
        <f t="shared" si="1"/>
        <v>24811.686721999995</v>
      </c>
      <c r="AE116" s="3">
        <f>1094+(502.6-366.5)+(0+(0-0))+0-0-0</f>
        <v>1230.0999999999999</v>
      </c>
    </row>
    <row r="117" spans="1:31" s="2" customFormat="1" x14ac:dyDescent="0.25">
      <c r="A117">
        <v>89</v>
      </c>
      <c r="B117">
        <v>4</v>
      </c>
      <c r="C117">
        <v>24</v>
      </c>
      <c r="D117">
        <v>6</v>
      </c>
      <c r="E117">
        <v>1</v>
      </c>
      <c r="F117" s="3">
        <f>1047.1+(598.5-582.4)+(-0.534021+(-0.305235--0.297024))+0-0-0</f>
        <v>1062.6577679999998</v>
      </c>
      <c r="G117" s="3">
        <f>1044.1+(641.5-718.1)+(-0.532491+(-0.327165--0.366231))+0-0-0</f>
        <v>967.00657499999988</v>
      </c>
      <c r="H117" s="3">
        <f>1062.8+(590.2-707.4)+(2.168112+(1.204008-1.443096))+0-0-0</f>
        <v>947.52902400000005</v>
      </c>
      <c r="I117" s="3">
        <f>1059.4+(525-699.5)+(-1.080588+(-0.5355--0.71349))+0-0-0</f>
        <v>883.99740200000008</v>
      </c>
      <c r="J117" s="3">
        <f>1059.8+(405.4-583.1)+(-0.540498+(-0.206754--0.297381))+0-0-0</f>
        <v>881.65012899999988</v>
      </c>
      <c r="K117" s="3">
        <f>1059.8+(402-614.8)+(-1.080996+(-0.41004--0.627096))+0-0-0</f>
        <v>846.13606000000004</v>
      </c>
      <c r="L117" s="3">
        <f>1060.2+(409.3-632)+(-1.081404+(-0.417486--0.64464))+0-0-0</f>
        <v>836.64575000000002</v>
      </c>
      <c r="M117" s="3">
        <f>1062.7+(375.5-601.6)+(-0.541977+(-0.191505--0.306816))+0-0-0</f>
        <v>836.17333400000007</v>
      </c>
      <c r="N117" s="3">
        <f>1064+(424-552.6)+(0.54264+(0.21624-0.281826))+0-0-0</f>
        <v>935.87705399999993</v>
      </c>
      <c r="O117" s="3">
        <f>1080.6+(423.2-513.2)+(2.75553+(1.07916-1.30866))+0-0-0</f>
        <v>993.1260299999999</v>
      </c>
      <c r="P117" s="3">
        <f>1101.3+(468.9-539.4)+(0.561663+(0.239139-0.275094))+55-0-0</f>
        <v>1086.3257079999998</v>
      </c>
      <c r="Q117" s="3">
        <f>1094.8+(458.6-527.3)+(0.558348+(0.233886-0.268923))+88-0-0</f>
        <v>1114.6233109999998</v>
      </c>
      <c r="R117" s="3">
        <f>1088.6+(522.9-609)+(-0.555186+(-0.266679--0.31059))+88-0-0</f>
        <v>1089.9887249999999</v>
      </c>
      <c r="S117" s="3">
        <f>1087.1+(571.1-656.8)+(-1.108842+(-0.582522--0.669936))+88-0-0</f>
        <v>1088.3785720000001</v>
      </c>
      <c r="T117" s="3">
        <f>1081.3+(578.9-667.6)+(-0.551463+(-0.295239--0.340476))+88-0-0</f>
        <v>1080.0937739999999</v>
      </c>
      <c r="U117" s="3">
        <f>1079.6+(595-678.7)+(-0.550596+(-0.30345--0.346137))+88-0-0</f>
        <v>1083.3920909999997</v>
      </c>
      <c r="V117" s="3">
        <f>1081.2+(609-679.6)+(0+(0-0))+73.4-0-0</f>
        <v>1084</v>
      </c>
      <c r="W117" s="3">
        <f>1072+(597.9-634.7)+(-1.09344+(-0.609858--0.647394))+0-0-0</f>
        <v>1034.1440959999998</v>
      </c>
      <c r="X117" s="3">
        <f>1059.1+(579-634)+(-2.700705+(-1.47645--1.6167))+0-0-0</f>
        <v>1001.5395449999999</v>
      </c>
      <c r="Y117" s="3">
        <f>1035.4+(443.4-502.3)+(-0.528054+(-0.226134--0.256173))+0-0-0</f>
        <v>976.00198499999999</v>
      </c>
      <c r="Z117" s="3">
        <f>1071.7+(562.9-591.7)+(-1.093134+(-0.574158--0.603534))+0-0-0</f>
        <v>1041.8362420000001</v>
      </c>
      <c r="AA117" s="3">
        <f>1101.3+(558.6-471.7)+(-1.684989+(-0.854658--0.721701))+0-0-0</f>
        <v>1186.3820540000002</v>
      </c>
      <c r="AB117" s="3">
        <f>1095.8+(630.9-527.9)+(-0.558858+(-0.321759--0.269229))+0-0-0</f>
        <v>1198.1886119999999</v>
      </c>
      <c r="AC117" s="3">
        <f>1072.6+(656.2-583.7)+(-1.641078+(-1.003986--0.893061))+0-0-0</f>
        <v>1143.3479969999999</v>
      </c>
      <c r="AD117">
        <f t="shared" si="1"/>
        <v>24399.041838000001</v>
      </c>
      <c r="AE117" s="3">
        <f>1103+(542.5-420.6)+(0+(0-0))+0-0-0</f>
        <v>1224.9000000000001</v>
      </c>
    </row>
    <row r="118" spans="1:31" s="2" customFormat="1" x14ac:dyDescent="0.25">
      <c r="A118">
        <v>89</v>
      </c>
      <c r="B118">
        <v>4</v>
      </c>
      <c r="C118">
        <v>25</v>
      </c>
      <c r="D118">
        <v>7</v>
      </c>
      <c r="E118">
        <v>1</v>
      </c>
      <c r="F118" s="3">
        <f>927.2+(719.2-592.5)+(1.418616+(1.100376-0.906525))+0-0-0</f>
        <v>1055.512467</v>
      </c>
      <c r="G118" s="3">
        <f>785.4+(737.4-535.4)+(-0.400554+(-0.376074--0.273054))+0-0-0</f>
        <v>986.89642600000002</v>
      </c>
      <c r="H118" s="3">
        <f>745.8+(685.3-541.8)+(0.380358+(0.349503-0.276318))+0-0-0</f>
        <v>889.75354299999992</v>
      </c>
      <c r="I118" s="3">
        <f>747.1+(608.2-545.6)+(0.381021+(0.310182-0.278256))+0-0-0</f>
        <v>810.11294700000008</v>
      </c>
      <c r="J118" s="3">
        <f>737.8+(576.9-466.7)+(-1.128834+(-0.882657--0.714051))+0-0-0</f>
        <v>846.70255999999995</v>
      </c>
      <c r="K118" s="3">
        <f>734+(558.9-495.6)+(-2.24604+(-1.710234--1.516536))+0-0-0</f>
        <v>794.86026199999992</v>
      </c>
      <c r="L118" s="3">
        <f>706+(626.3-575.4)+(-1.8003+(-1.597065--1.46727))+0-0-0</f>
        <v>754.96990499999993</v>
      </c>
      <c r="M118" s="3">
        <f>589.8+(619.7-461.2)+(0+(0-0))+0-0-0</f>
        <v>748.3</v>
      </c>
      <c r="N118" s="3">
        <f>584.7+(613.4-399.6)+(-0.596394+(-0.625668--0.407592))+0-0-0</f>
        <v>797.68552999999997</v>
      </c>
      <c r="O118" s="3">
        <f>677.9+(605.8-427.6)+(-0.691458+(-0.617916--0.436152))+0-0-0</f>
        <v>855.22677799999985</v>
      </c>
      <c r="P118" s="3">
        <f>747+(636.4-475)+(-0.38097+(-0.324564--0.24225))+0-0-0</f>
        <v>907.93671599999993</v>
      </c>
      <c r="Q118" s="3">
        <f>755.3+(675.6-488.4)+(-0.770406+(-0.689112--0.498168))+0-0-0</f>
        <v>941.53864999999996</v>
      </c>
      <c r="R118" s="3">
        <f>713.1+(640.3-418.8)+(-0.363681+(-0.326553--0.213588))+22-0-0</f>
        <v>956.12335399999995</v>
      </c>
      <c r="S118" s="3">
        <f>729.4+(679.8-512.6)+(-0.371994+(-0.346698--0.261426))+44-0-0</f>
        <v>940.1427339999999</v>
      </c>
      <c r="T118" s="3">
        <f>738.5+(725.8-509.6)+(0.75327+(0.740316-0.519792))+44-0-0</f>
        <v>999.67379399999993</v>
      </c>
      <c r="U118" s="3">
        <f>766.8+(722.6-631.5)+(-0.782136+(-0.737052--0.64413))+44-0-0</f>
        <v>901.02494200000001</v>
      </c>
      <c r="V118" s="3">
        <f>766.9+(742.3-605)+(0.782238+(0.757146-0.6171))+44-0-0</f>
        <v>949.12228399999992</v>
      </c>
      <c r="W118" s="3">
        <f>748.1+(783.4-581.6)+(-0.763062+(-0.799068--0.593232))+0-0-0</f>
        <v>948.93110200000001</v>
      </c>
      <c r="X118" s="3">
        <f>708.4+(783.9-563.1)+(-2.528988+(-2.798523--2.010267))+0-0-0</f>
        <v>925.88275599999997</v>
      </c>
      <c r="Y118" s="3">
        <f>674.3+(736.1-511.8)+(0.687786+(0.750822-0.522036))+0-0-0</f>
        <v>899.51657199999988</v>
      </c>
      <c r="Z118" s="3">
        <f>726.4+(767.8-528.1)+(-1.111392+(-1.174734--0.807993))+0-0-0</f>
        <v>964.62186699999995</v>
      </c>
      <c r="AA118" s="3">
        <f>748.2+(821.3-432.1)+(-0.763164+(-0.837726--0.440742))+0-0-0</f>
        <v>1136.2398520000002</v>
      </c>
      <c r="AB118" s="3">
        <f>749.6+(809.2-426)+(0+(0-0))+0-0-0</f>
        <v>1132.8000000000002</v>
      </c>
      <c r="AC118" s="3">
        <f>747.1+(807.6-497.5)+(-0.762042+(-0.823752--0.50745))+0-0-0</f>
        <v>1056.121656</v>
      </c>
      <c r="AD118">
        <f t="shared" si="1"/>
        <v>22199.696696999999</v>
      </c>
      <c r="AE118" s="3">
        <f>750+(837.1-419.8)+(0+(0-0))+0-0-0</f>
        <v>1167.3</v>
      </c>
    </row>
    <row r="119" spans="1:31" s="2" customFormat="1" x14ac:dyDescent="0.25">
      <c r="A119">
        <v>89</v>
      </c>
      <c r="B119">
        <v>4</v>
      </c>
      <c r="C119">
        <v>26</v>
      </c>
      <c r="D119">
        <v>1</v>
      </c>
      <c r="E119">
        <v>1</v>
      </c>
      <c r="F119" s="3">
        <f>737+(823-556.6)+(-1.12761+(-1.25919--0.851598))+0-0-0</f>
        <v>1001.864798</v>
      </c>
      <c r="G119" s="3">
        <f>736.8+(709.4-531)+(-1.127304+(-1.085382--0.81243))+0-0-0</f>
        <v>913.79974399999992</v>
      </c>
      <c r="H119" s="3">
        <f>740.5+(638.7-527.1)+(-0.377655+(-0.325737--0.268821))+0-0-0</f>
        <v>851.66542900000002</v>
      </c>
      <c r="I119" s="3">
        <f>730.7+(634.2-539.8)+(-2.235942+(-1.940652--1.651788))+0-0-0</f>
        <v>822.57519400000012</v>
      </c>
      <c r="J119" s="3">
        <f>741.1+(577.3-509.4)+(-0.755922+(-0.588846--0.519588))+0-0-0</f>
        <v>808.17481999999995</v>
      </c>
      <c r="K119" s="3">
        <f>737.6+(550.8-503)+(-1.504704+(-1.123632--1.02612))+0-0-0</f>
        <v>783.79778399999998</v>
      </c>
      <c r="L119" s="3">
        <f>739.1+(538.6-523.7)+(-1.884705+(-1.37343--1.335435))+0-0-0</f>
        <v>752.07730000000004</v>
      </c>
      <c r="M119" s="3">
        <f>837.9+(505-524.8)+(0.427329+(0.25755-0.267648))+0-0-0</f>
        <v>818.51723100000004</v>
      </c>
      <c r="N119" s="3">
        <f>957.1+(474.7-553)+(0+(0-0))+0-0-0</f>
        <v>878.8</v>
      </c>
      <c r="O119" s="3">
        <f>1060.5+(535.6-645.9)+(0.540855+(0.273156-0.329409))+0-0-0</f>
        <v>950.68460200000004</v>
      </c>
      <c r="P119" s="3">
        <f>1062.7+(636.6-678.5)+(0.541977+(0.324666-0.346035))+22.5-0-0</f>
        <v>1043.820608</v>
      </c>
      <c r="Q119" s="3">
        <f>1097.8+(594.1-690.3)+(0+(0-0))+90-0-0</f>
        <v>1091.5999999999999</v>
      </c>
      <c r="R119" s="3">
        <f>1094.7+(589.7-680.1)+(0+(0-0))+90-0-0</f>
        <v>1094.3000000000002</v>
      </c>
      <c r="S119" s="3">
        <f>1092.4+(584.1-679.4)+(0+(0-0))+90-0-0</f>
        <v>1087.1000000000001</v>
      </c>
      <c r="T119" s="3">
        <f>1090.4+(597-682.7)+(0.556104+(0.30447-0.348177))+90-0-0</f>
        <v>1095.212397</v>
      </c>
      <c r="U119" s="3">
        <f>1086.1+(607-709)+(1.107822+(0.61914-0.72318))+90-0-0</f>
        <v>1075.1037819999999</v>
      </c>
      <c r="V119" s="3">
        <f>1082.9+(596.5-674.3)+(-0.552279+(-0.304215--0.343893))+60-0-0</f>
        <v>1064.587399</v>
      </c>
      <c r="W119" s="3">
        <f>1084.3+(570.2-608.5)+(0+(0-0))+0-0-0</f>
        <v>1046</v>
      </c>
      <c r="X119" s="3">
        <f>1085.5+(567.6-630.6)+(-1.660815+(-0.868428--0.964818))+0-0-0</f>
        <v>1020.935575</v>
      </c>
      <c r="Y119" s="3">
        <f>1087.6+(553.8-621)+(0+(0-0))+0-0-0</f>
        <v>1020.3999999999999</v>
      </c>
      <c r="Z119" s="3">
        <f>1095+(543.7-581.5)+(0+(0-0))+0-0-0</f>
        <v>1057.2</v>
      </c>
      <c r="AA119" s="3">
        <f>1105.2+(578.8-424.8)+(-1.690956+(-0.885564--0.649944))+0-0-0</f>
        <v>1257.273424</v>
      </c>
      <c r="AB119" s="3">
        <f>1087.9+(642.7-544.8)+(-2.219316+(-1.311108--1.111392))+0-0-0</f>
        <v>1183.3809680000002</v>
      </c>
      <c r="AC119" s="3">
        <f>1061.6+(645.1-571.6)+(-2.165664+(-1.316004--1.166064))+0-0-0</f>
        <v>1132.784396</v>
      </c>
      <c r="AD119">
        <f t="shared" si="1"/>
        <v>23851.655451000002</v>
      </c>
      <c r="AE119" s="3">
        <f>1109+(588.2-444.1)+(0+(0-0))+0-0-0</f>
        <v>1253.0999999999999</v>
      </c>
    </row>
    <row r="120" spans="1:31" s="2" customFormat="1" x14ac:dyDescent="0.25">
      <c r="A120">
        <v>89</v>
      </c>
      <c r="B120">
        <v>4</v>
      </c>
      <c r="C120">
        <v>27</v>
      </c>
      <c r="D120">
        <v>2</v>
      </c>
      <c r="E120">
        <v>1</v>
      </c>
      <c r="F120" s="3">
        <f>1058.7+(745.6-695.3)+(-2.159748+(-1.521024--1.418412))+0-0-0</f>
        <v>1106.7376400000001</v>
      </c>
      <c r="G120" s="3">
        <f>1064.5+(667.6-791.1)+(-0.542895+(-0.340476--0.403461))+0-0-0</f>
        <v>940.52008999999998</v>
      </c>
      <c r="H120" s="3">
        <f>1066.1+(585.3-757.2)+(0+(0-0))+0-0-0</f>
        <v>894.19999999999982</v>
      </c>
      <c r="I120" s="3">
        <f>1057.2+(540.6-738.7)+(-1.617516+(-0.827118--1.130211))+0-0-0</f>
        <v>857.78557699999999</v>
      </c>
      <c r="J120" s="3">
        <f>1061.3+(509.1-723.9)+(-1.082526+(-0.519282--0.738378))+0-0-0</f>
        <v>845.63657000000001</v>
      </c>
      <c r="K120" s="3">
        <f>1018.8+(498.8-698.9)+(-2.59794+(-1.27194--1.782195))+0-0-0</f>
        <v>816.61231500000008</v>
      </c>
      <c r="L120" s="3">
        <f>857.2+(567.4-639.1)+(-1.748688+(-1.157496--1.303764))+0-0-0</f>
        <v>783.89757999999995</v>
      </c>
      <c r="M120" s="3">
        <f>996.6+(498.8-658.6)+(-0.508266+(-0.254388--0.335886))+0-0-0</f>
        <v>836.37323199999992</v>
      </c>
      <c r="N120" s="3">
        <f>1060.9+(465.2-645)+(-1.082118+(-0.474504--0.6579))+0-0-0</f>
        <v>880.20127800000012</v>
      </c>
      <c r="O120" s="3">
        <f>1064.6+(501.7-614)+(0.542946+(0.255867-0.31314))+0-0-0</f>
        <v>952.78567299999997</v>
      </c>
      <c r="P120" s="3">
        <f>1075.7+(598.7-620.9)+(0.548607+(0.305337-0.316659))+29.3-0-0</f>
        <v>1083.3372850000001</v>
      </c>
      <c r="Q120" s="3">
        <f>1081.9+(583.4-652.2)+(1.103538+(0.595068-0.665244))+88-0-0</f>
        <v>1102.133362</v>
      </c>
      <c r="R120" s="3">
        <f>1095.5+(523.7-610.5)+(0.558705+(0.267087-0.311355))+88-0-0</f>
        <v>1097.2144370000001</v>
      </c>
      <c r="S120" s="3">
        <f>1090.4+(543-634.2)+(0.556104+(0.27693-0.323442))+88-0-0</f>
        <v>1087.7095920000002</v>
      </c>
      <c r="T120" s="3">
        <f>1087.5+(537.7-645.2)+(1.10925+(0.548454-0.658104))+88-0-0</f>
        <v>1068.9996000000001</v>
      </c>
      <c r="U120" s="3">
        <f>1083.5+(540.4-664.3)+(1.10517+(0.551208-0.677586))+88-0-0</f>
        <v>1048.578792</v>
      </c>
      <c r="V120" s="3">
        <f>1080.4+(546.5-600.9)+(0.551004+(0.278715-0.306459))+88-0-0</f>
        <v>1114.5232599999999</v>
      </c>
      <c r="W120" s="3">
        <f>1079.6+(533.1-559.4)+(0+(0-0))+14.7-0-0</f>
        <v>1068</v>
      </c>
      <c r="X120" s="3">
        <f>1075.1+(551.3-606.1)+(-1.644903+(-0.843489--0.927333))+0-0-0</f>
        <v>1018.7389409999998</v>
      </c>
      <c r="Y120" s="3">
        <f>982.1+(550.5-525.5)+(-0.500871+(-0.280755--0.268005))+0-0-0</f>
        <v>1006.5863790000001</v>
      </c>
      <c r="Z120" s="3">
        <f>1036.9+(597.2-584.3)+(0.528819+(0.304572-0.297993))+0-0-0</f>
        <v>1050.3353980000002</v>
      </c>
      <c r="AA120" s="3">
        <f>1103.9+(566.5-464.1)+(0+(0-0))+0-0-0</f>
        <v>1206.3000000000002</v>
      </c>
      <c r="AB120" s="3">
        <f>1061+(609.5-463.7)+(-2.16444+(-1.24338--0.945948))+0-0-0</f>
        <v>1204.3381279999999</v>
      </c>
      <c r="AC120" s="3">
        <f>1050.2+(649-547.9)+(-1.071204+(-0.66198--0.558858))+0-0-0</f>
        <v>1150.1256740000001</v>
      </c>
      <c r="AD120">
        <f t="shared" si="1"/>
        <v>24221.670802999997</v>
      </c>
      <c r="AE120" s="3">
        <f>1099+(538-436.1)+(0+(0-0))+0-0-0</f>
        <v>1200.9000000000001</v>
      </c>
    </row>
    <row r="121" spans="1:31" s="2" customFormat="1" x14ac:dyDescent="0.25">
      <c r="A121">
        <v>89</v>
      </c>
      <c r="B121">
        <v>4</v>
      </c>
      <c r="C121">
        <v>28</v>
      </c>
      <c r="D121">
        <v>3</v>
      </c>
      <c r="E121">
        <v>1</v>
      </c>
      <c r="F121" s="3">
        <f>1038.6+(714.6-692.1)+(-1.589058+(-1.093338--1.058913))+0-0-0</f>
        <v>1059.4765169999998</v>
      </c>
      <c r="G121" s="3">
        <f>1041.2+(693.4-798.2)+(-1.062024+(-0.707268--0.814164))+0-0-0</f>
        <v>935.44487200000003</v>
      </c>
      <c r="H121" s="3">
        <f>1042.7+(564.9-717.8)+(-2.127108+(-1.152396--1.464312))+0-0-0</f>
        <v>887.98480800000004</v>
      </c>
      <c r="I121" s="3">
        <f>1038.9+(518.7-720.4)+(-1.589517+(-0.793611--1.102212))+0-0-0</f>
        <v>835.91908400000011</v>
      </c>
      <c r="J121" s="3">
        <f>1041.1+(503.2-703.1)+(-1.061922+(-0.513264--0.717162))+0-0-0</f>
        <v>840.34197599999982</v>
      </c>
      <c r="K121" s="3">
        <f>1037.5+(430.5-624.3)+(-2.1165+(-0.87822--1.273572))+0-0-0</f>
        <v>841.97885200000007</v>
      </c>
      <c r="L121" s="3">
        <f>1011.2+(452.7-683.1)+(-2.062848+(-0.923508--1.393524))+0-0-0</f>
        <v>779.20716799999991</v>
      </c>
      <c r="M121" s="3">
        <f>974.4+(448.2-613.2)+(-1.490832+(-0.685746--0.938196))+0-0-0</f>
        <v>808.16161799999986</v>
      </c>
      <c r="N121" s="3">
        <f>1066+(486.8-644.1)+(0.54366+(0.248268-0.328491))+0-0-0</f>
        <v>909.16343700000004</v>
      </c>
      <c r="O121" s="3">
        <f>1064.3+(480.8-604.4)+(0.542793+(0.245208-0.308244))+0-0-0</f>
        <v>941.179757</v>
      </c>
      <c r="P121" s="3">
        <f>1062.5+(526-555.1)+(0+(0-0))+0-0-0</f>
        <v>1033.4000000000001</v>
      </c>
      <c r="Q121" s="3">
        <f>1093.7+(472.3-499.5)+(0.557787+(0.240873-0.254745))+0-0-0</f>
        <v>1067.043915</v>
      </c>
      <c r="R121" s="3">
        <f>1090.9+(422.9-396.2)+(-0.556359+(-0.215679--0.202062))+0-0-0</f>
        <v>1117.0300240000001</v>
      </c>
      <c r="S121" s="3">
        <f>1085.7+(425.4-467.4)+(-0.553707+(-0.216954--0.238374))+0-0-0</f>
        <v>1043.167713</v>
      </c>
      <c r="T121" s="3">
        <f>1081.3+(412.5-441.8)+(1.102926+(0.42075-0.450636))+0-0-0</f>
        <v>1053.07304</v>
      </c>
      <c r="U121" s="3">
        <f>1078.3+(365.7-419.2)+(0.549933+(0.186507-0.213792))+0-0-0</f>
        <v>1025.3226479999998</v>
      </c>
      <c r="V121" s="3">
        <f>1080.6+(368.5-411.6)+(-1.102212+(-0.37587--0.419832))+0-0-0</f>
        <v>1036.44175</v>
      </c>
      <c r="W121" s="3">
        <f>1051+(414.9-398.8)+(-2.14404+(-0.846396--0.813552))+0-0-0</f>
        <v>1064.9231159999999</v>
      </c>
      <c r="X121" s="3">
        <f>1071.1+(462.2-453.4)+(-2.185044+(-0.942888--0.924936))+0-0-0</f>
        <v>1077.6970039999999</v>
      </c>
      <c r="Y121" s="3">
        <f>1084.5+(484.7-541.6)+(0+(0-0))+0-0-0</f>
        <v>1027.5999999999999</v>
      </c>
      <c r="Z121" s="3">
        <f>1101.7+(510.8-554.1)+(0.561867+(0.260508-0.282591))+0-0-0</f>
        <v>1058.9397840000001</v>
      </c>
      <c r="AA121" s="3">
        <f>1141.9+(470-397.1)+(-1.164738+(-0.4794--0.405042))+0-0-0</f>
        <v>1213.5609040000002</v>
      </c>
      <c r="AB121" s="3">
        <f>1094.3+(526.5-388.9)+(-0.558093+(-0.268515--0.198339))+0-0-0</f>
        <v>1231.271731</v>
      </c>
      <c r="AC121" s="3">
        <f>1110.4+(567.1-546)+(0+(0-0))+0-0-0</f>
        <v>1131.5</v>
      </c>
      <c r="AD121">
        <f t="shared" si="1"/>
        <v>24019.829718000005</v>
      </c>
      <c r="AE121" s="3">
        <f>1144+(439.5-359.7)+(0+(0-0))+0-0-0</f>
        <v>1223.8</v>
      </c>
    </row>
    <row r="122" spans="1:31" s="2" customFormat="1" x14ac:dyDescent="0.25">
      <c r="A122">
        <v>89</v>
      </c>
      <c r="B122">
        <v>4</v>
      </c>
      <c r="C122">
        <v>29</v>
      </c>
      <c r="D122">
        <v>4</v>
      </c>
      <c r="E122">
        <v>1</v>
      </c>
      <c r="F122" s="3">
        <f>1106.6+(669.5-685.1)+(-2.257464+(-1.36578--1.397604))+0-0-0</f>
        <v>1088.7743599999999</v>
      </c>
      <c r="G122" s="3">
        <f>1099.3+(642.4-756.6)+(-3.363858+(-1.965744--2.315196))+0-0-0</f>
        <v>982.0855939999999</v>
      </c>
      <c r="H122" s="3">
        <f>976.2+(535.6-620.6)+(-1.493586+(-0.819468--0.949518))+0-0-0</f>
        <v>889.83646400000009</v>
      </c>
      <c r="I122" s="3">
        <f>940.7+(515.9-594.3)+(-1.439271+(-0.789327--0.909279))+0-0-0</f>
        <v>860.98068100000012</v>
      </c>
      <c r="J122" s="3">
        <f>952+(514.2-603.8)+(0.97104+(0.524484-0.615876))+0-0-0</f>
        <v>863.27964800000007</v>
      </c>
      <c r="K122" s="3">
        <f>926.3+(524.5-605.8)+(-0.944826+(-0.53499--0.617916))+0-0-0</f>
        <v>844.13810000000001</v>
      </c>
      <c r="L122" s="3">
        <f>769.2+(463-404.4)+(-2.353752+(-1.41678--1.237464))+0-0-0</f>
        <v>825.26693200000011</v>
      </c>
      <c r="M122" s="3">
        <f>817+(362.2-361.8)+(0.41667+(0.184722-0.184518))+0-0-0</f>
        <v>817.81687399999998</v>
      </c>
      <c r="N122" s="3">
        <f>1052.1+(291.3-437.9)+(0.536571+(0.148563-0.223329))+0-0-0</f>
        <v>905.96180500000003</v>
      </c>
      <c r="O122" s="3">
        <f>1072+(400.2-476.5)+(1.09344+(0.408204-0.48603))+0-0-0</f>
        <v>996.71561400000007</v>
      </c>
      <c r="P122" s="3">
        <f>1072.1+(411.1-427.4)+(1.093542+(0.419322-0.435948))+0-0-0</f>
        <v>1056.8769159999999</v>
      </c>
      <c r="Q122" s="3">
        <f>1082.3+(387.1-378.4)+(0.551973+(0.197421-0.192984))+0-0-0</f>
        <v>1091.5564099999999</v>
      </c>
      <c r="R122" s="3">
        <f>1081.6+(365.1-354)+(1.654848+(0.558603-0.54162))+0-0-0</f>
        <v>1094.3718309999999</v>
      </c>
      <c r="S122" s="3">
        <f>1080+(347.6-344.6)+(0.5508+(0.177276-0.175746))+0-0-0</f>
        <v>1083.55233</v>
      </c>
      <c r="T122" s="3">
        <f>1079.5+(317.3-319.7)+(2.20218+(0.647292-0.652188))+0-0-0</f>
        <v>1079.297284</v>
      </c>
      <c r="U122" s="3">
        <f>1074.8+(305.3-299.9)+(0.548148+(0.155703-0.152949))+0-0-0</f>
        <v>1080.750902</v>
      </c>
      <c r="V122" s="3">
        <f>1068.6+(307.9-285.5)+(-0.544986+(-0.157029--0.145605))+0-0-0</f>
        <v>1090.4435900000001</v>
      </c>
      <c r="W122" s="3">
        <f>1108.6+(360.7-366.8)+(-1.696158+(-0.551871--0.561204))+0-0-0</f>
        <v>1100.813175</v>
      </c>
      <c r="X122" s="3">
        <f>1110.3+(456.7-485.8)+(-1.698759+(-0.698751--0.743274))+0-0-0</f>
        <v>1079.5457639999997</v>
      </c>
      <c r="Y122" s="3">
        <f>1063.1+(497.9-506.9)+(-1.626543+(-0.761787--0.775557))+0-0-0</f>
        <v>1052.4872269999998</v>
      </c>
      <c r="Z122" s="3">
        <f>1125.9+(483.6-459.1)+(0+(0-0))+0-0-0</f>
        <v>1150.4000000000001</v>
      </c>
      <c r="AA122" s="3">
        <f>1176.4+(392.8-283.5)+(-0.599964+(-0.200328--0.144585))+0-0-0</f>
        <v>1285.0442930000002</v>
      </c>
      <c r="AB122" s="3">
        <f>1091.3+(424.6-349.5)+(-1.113126+(-0.433092--0.35649))+0-0-0</f>
        <v>1165.210272</v>
      </c>
      <c r="AC122" s="3">
        <f>1068.9+(532.6-427.5)+(1.090278+(0.543252-0.43605))+0-0-0</f>
        <v>1175.19748</v>
      </c>
      <c r="AD122">
        <f t="shared" si="1"/>
        <v>24660.403545999998</v>
      </c>
      <c r="AE122" s="3">
        <f>1160+(374.3-248.5)+(0+(0-0))+0-0-0</f>
        <v>1285.8</v>
      </c>
    </row>
    <row r="123" spans="1:31" s="2" customFormat="1" x14ac:dyDescent="0.25">
      <c r="A123">
        <v>89</v>
      </c>
      <c r="B123">
        <v>4</v>
      </c>
      <c r="C123">
        <v>30</v>
      </c>
      <c r="D123">
        <v>5</v>
      </c>
      <c r="E123">
        <v>1</v>
      </c>
      <c r="F123" s="3">
        <f>1044+(629.5-592.8)+(0+(0-0))+0-0-0</f>
        <v>1080.7</v>
      </c>
      <c r="G123" s="3">
        <f>1042.5+(573.9-617.7)+(-0.531675+(-0.292689--0.315027))+0-0-0</f>
        <v>998.19066299999997</v>
      </c>
      <c r="H123" s="3">
        <f>1045.3+(389.7-505.3)+(0.533103+(0.198747-0.257703))+0-0-0</f>
        <v>930.17414699999995</v>
      </c>
      <c r="I123" s="3">
        <f>1005.4+(377-489.4)+(-0.512754+(-0.19227--0.249594))+0-0-0</f>
        <v>892.54457000000002</v>
      </c>
      <c r="J123" s="3">
        <f>991.9+(339.2-455.6)+(-1.011738+(-0.345984--0.464712))+0-0-0</f>
        <v>874.60699</v>
      </c>
      <c r="K123" s="3">
        <f>987.9+(357.9-475.5)+(-0.503829+(-0.182529--0.242505))+0-0-0</f>
        <v>869.85614699999996</v>
      </c>
      <c r="L123" s="3">
        <f>864.5+(385.7-416.3)+(-0.440895+(-0.196707--0.212313))+0-0-0</f>
        <v>833.47471099999996</v>
      </c>
      <c r="M123" s="3">
        <f>802.9+(397.5-349)+(-0.409479+(-0.202725--0.17799))+0-0-0</f>
        <v>850.96578599999998</v>
      </c>
      <c r="N123" s="3">
        <f>982.2+(417.5-466.8)+(-0.500922+(-0.212925--0.238068))+0-0-0</f>
        <v>932.4242210000001</v>
      </c>
      <c r="O123" s="3">
        <f>1053.4+(410.2-436.8)+(0+(0-0))+0-0-0</f>
        <v>1026.8000000000002</v>
      </c>
      <c r="P123" s="3">
        <f>1079.4+(495.3-495.5)+(-0.550494+(-0.252603--0.252705))+0-0-0</f>
        <v>1078.6496079999999</v>
      </c>
      <c r="Q123" s="3">
        <f>1082.8+(479.3-446)+(0.552228+(0.244443-0.22746))+0-0-0</f>
        <v>1116.6692109999999</v>
      </c>
      <c r="R123" s="3">
        <f>1082.9+(439.2-415.7)+(-0.552279+(-0.223992--0.212007))+11.3-0-0</f>
        <v>1117.135736</v>
      </c>
      <c r="S123" s="3">
        <f>1078.2+(437.1-450.7)+(-0.549882+(-0.222921--0.229857))+45-0-0</f>
        <v>1109.0570540000001</v>
      </c>
      <c r="T123" s="3">
        <f>1073.2+(403.4-424.1)+(1.641996+(0.617202-0.648873))+45-0-0</f>
        <v>1099.1103250000001</v>
      </c>
      <c r="U123" s="3">
        <f>1067.6+(374-381)+(0+(0-0))+45-0-0</f>
        <v>1105.5999999999999</v>
      </c>
      <c r="V123" s="3">
        <f>1065.9+(372.1-369.2)+(-0.543609+(-0.189771--0.188292))+45-0-0</f>
        <v>1113.2549120000001</v>
      </c>
      <c r="W123" s="3">
        <f>1064.8+(407.2-407.9)+(-1.629144+(-0.623016--0.624087))+33.8-0-0</f>
        <v>1096.2719269999998</v>
      </c>
      <c r="X123" s="3">
        <f>1064.3+(427.8-424.1)+(-1.628379+(-0.654534--0.648873))+0-0-0</f>
        <v>1066.3659600000001</v>
      </c>
      <c r="Y123" s="3">
        <f>1029.7+(477.1-450.8)+(0.525147+(0.243321-0.229908))+0-0-0</f>
        <v>1056.53856</v>
      </c>
      <c r="Z123" s="3">
        <f>1040.9+(530.5-427.8)+(1.061718+(0.54111-0.436356))+0-0-0</f>
        <v>1144.7664720000002</v>
      </c>
      <c r="AA123" s="3">
        <f>1081.4+(450.5-246.3)+(-0.551514+(-0.229755--0.125613))+0-0-0</f>
        <v>1284.9443440000002</v>
      </c>
      <c r="AB123" s="3">
        <f>1088.9+(483.2-317.2)+(-0.555339+(-0.246432--0.161772))+0-0-0</f>
        <v>1254.2600010000001</v>
      </c>
      <c r="AC123" s="3">
        <f>1090.7+(532.5-426.4)+(-1.112514+(-0.54315--0.434928))+0-0-0</f>
        <v>1195.5792640000002</v>
      </c>
      <c r="AD123">
        <f t="shared" si="1"/>
        <v>25127.940608999997</v>
      </c>
      <c r="AE123" s="3">
        <f>1077+(432.5-213.5)+(0+(0-0))+0-0-0</f>
        <v>1296</v>
      </c>
    </row>
    <row r="124" spans="1:31" s="2" customFormat="1" x14ac:dyDescent="0.25">
      <c r="A124">
        <v>89</v>
      </c>
      <c r="B124">
        <v>4</v>
      </c>
      <c r="C124">
        <v>31</v>
      </c>
      <c r="D124">
        <v>6</v>
      </c>
      <c r="E124">
        <v>1</v>
      </c>
      <c r="F124" s="3">
        <f>1085.4+(614.3-599.7)+(-1.107108+(-0.626586--0.611694))+0-0-0</f>
        <v>1098.8779999999999</v>
      </c>
      <c r="G124" s="3">
        <f>1090.1+(598.6-648.5)+(1.111902+(0.610572-0.66147))+0-0-0</f>
        <v>1041.2610039999997</v>
      </c>
      <c r="H124" s="3">
        <f>1097.4+(542.3-660.9)+(-2.238696+(-1.106292--1.348236))+0-0-0</f>
        <v>976.80324800000005</v>
      </c>
      <c r="I124" s="3">
        <f>1056.2+(496.5-623.5)+(-2.69331+(-1.266075--1.589925))+0-0-0</f>
        <v>926.83054000000004</v>
      </c>
      <c r="J124" s="3">
        <f>1062.1+(444.7-587.6)+(0.541671+(0.226797-0.299676))+0-0-0</f>
        <v>919.66879199999983</v>
      </c>
      <c r="K124" s="3">
        <f>1054.6+(390.8-536.7)+(-2.68923+(-0.99654--1.368585))+0-0-0</f>
        <v>906.38281499999982</v>
      </c>
      <c r="L124" s="3">
        <f>882.5+(458.5-473)+(-0.90015+(-0.46767--0.48246))+0-0-0</f>
        <v>867.11464000000001</v>
      </c>
      <c r="M124" s="3">
        <f>1019.4+(413.2-556.8)+(-0.519894+(-0.210732--0.283968))+0-0-0</f>
        <v>875.353342</v>
      </c>
      <c r="N124" s="3">
        <f>1065.3+(394.7-511.5)+(0.543303+(0.201297-0.260865))+0-0-0</f>
        <v>948.98373500000002</v>
      </c>
      <c r="O124" s="3">
        <f>1063.6+(440.8-479.7)+(0+(0-0))+0-0-0</f>
        <v>1024.6999999999998</v>
      </c>
      <c r="P124" s="3">
        <f>1078.7+(451.2-451.9)+(0+(0-0))+0-0-0</f>
        <v>1078</v>
      </c>
      <c r="Q124" s="3">
        <f>1087.3+(447.7-396.1)+(0+(0-0))+0-0-0</f>
        <v>1138.8999999999999</v>
      </c>
      <c r="R124" s="3">
        <f>1082.5+(393.3-424.8)+(0.552075+(0.200583-0.216648))+0-0-0</f>
        <v>1051.53601</v>
      </c>
      <c r="S124" s="3">
        <f>1077+(410.3-438.4)+(0.54927+(0.209253-0.223584))+0-0-0</f>
        <v>1049.434939</v>
      </c>
      <c r="T124" s="3">
        <f>1073.7+(427.9-473.4)+(1.095174+(0.436458-0.482868))+0-0-0</f>
        <v>1029.2487639999999</v>
      </c>
      <c r="U124" s="3">
        <f>1070.7+(431.2-434.5)+(0+(0-0))+0-0-0</f>
        <v>1067.4000000000001</v>
      </c>
      <c r="V124" s="3">
        <f>1070+(447.9-444.7)+(0+(0-0))+0-0-0</f>
        <v>1073.2</v>
      </c>
      <c r="W124" s="3">
        <f>1065.5+(493.2-492.1)+(-1.08681+(-0.503064--0.501942))+0-0-0</f>
        <v>1065.512068</v>
      </c>
      <c r="X124" s="3">
        <f>1123.1+(515-550.5)+(-3.436686+(-1.5759--1.68453))+0-0-0</f>
        <v>1084.2719439999998</v>
      </c>
      <c r="Y124" s="3">
        <f>1165.9+(485.6-618.9)+(-0.594609+(-0.247656--0.315639))+0-0-0</f>
        <v>1032.0733740000001</v>
      </c>
      <c r="Z124" s="3">
        <f>1172.6+(526.2-570)+(-2.392104+(-1.073448--1.1628))+0-0-0</f>
        <v>1126.4972479999999</v>
      </c>
      <c r="AA124" s="3">
        <f>1178.8+(492.8-397.9)+(-2.404752+(-1.005312--0.811716))+0-0-0</f>
        <v>1271.1016520000001</v>
      </c>
      <c r="AB124" s="3">
        <f>1158.2+(486-399.2)+(0+(0-0))+0-0-0</f>
        <v>1245</v>
      </c>
      <c r="AC124" s="3">
        <f>1154.3+(504.3-470.2)+(-1.177386+(-0.514386--0.479604))+0-0-0</f>
        <v>1187.1878320000001</v>
      </c>
      <c r="AD124">
        <f t="shared" si="1"/>
        <v>25085.339946999997</v>
      </c>
      <c r="AE124" s="3">
        <f>1179+(484.2-379.1)+(0+(0-0))+0-0-0</f>
        <v>1284.0999999999999</v>
      </c>
    </row>
    <row r="125" spans="1:31" s="2" customFormat="1" x14ac:dyDescent="0.25">
      <c r="A125">
        <v>89</v>
      </c>
      <c r="B125">
        <v>5</v>
      </c>
      <c r="C125">
        <v>1</v>
      </c>
      <c r="D125">
        <v>7</v>
      </c>
      <c r="E125">
        <v>1</v>
      </c>
      <c r="F125" s="3">
        <f>1180.3+(543.3-597.9)+(-0.601953+(-0.277083--0.304929))+0-0-0</f>
        <v>1125.1258929999999</v>
      </c>
      <c r="G125" s="3">
        <f>1086.6+(519.2-613.7)+(-3.324996+(-1.588752--1.877922))+0-0-0</f>
        <v>989.06417399999987</v>
      </c>
      <c r="H125" s="3">
        <f>1058.7+(542.2-643.7)+(-2.699685+(-1.38261--1.641435))+0-0-0</f>
        <v>954.75914</v>
      </c>
      <c r="I125" s="3">
        <f>1067+(508.2-645.9)+(0.54417+(0.259182-0.329409))+0-0-0</f>
        <v>929.77394299999992</v>
      </c>
      <c r="J125" s="3">
        <f>1062.8+(433.4-592.7)+(-0.542028+(-0.221034--0.302277))+0-0-0</f>
        <v>903.0392149999999</v>
      </c>
      <c r="K125" s="3">
        <f>1062.8+(415.5-596.7)+(-1.084056+(-0.42381--0.608634))+0-0-0</f>
        <v>880.70076799999993</v>
      </c>
      <c r="L125" s="3">
        <f>951.2+(510.8-614.9)+(-0.485112+(-0.260508--0.313599))+0-0-0</f>
        <v>846.66797900000017</v>
      </c>
      <c r="M125" s="3">
        <f>853.3+(524-554.3)+(-0.435183+(-0.26724--0.282693))+0-0-0</f>
        <v>822.58027000000004</v>
      </c>
      <c r="N125" s="3">
        <f>851.9+(508.9-508.9)+(0+(0-0))+0-0-0</f>
        <v>851.9</v>
      </c>
      <c r="O125" s="3">
        <f>943.4+(482.5-521.1)+(0.481134+(0.246075-0.265761))+0-0-0</f>
        <v>905.26144799999997</v>
      </c>
      <c r="P125" s="3">
        <f>1037.5+(410.3-486.5)+(-1.05825+(-0.418506--0.49623))+0-0-0</f>
        <v>960.3194739999999</v>
      </c>
      <c r="Q125" s="3">
        <f>1080.1+(483.7-535.7)+(0.550851+(0.246687-0.273207))+0-0-0</f>
        <v>1028.624331</v>
      </c>
      <c r="R125" s="3">
        <f>1084.3+(565.5-612.7)+(-1.105986+(-0.57681--0.624954))+0-0-0</f>
        <v>1036.042158</v>
      </c>
      <c r="S125" s="3">
        <f>1097.9+(602.9-670.3)+(-0.559929+(-0.307479--0.341853))+0-0-0</f>
        <v>1029.9744450000001</v>
      </c>
      <c r="T125" s="3">
        <f>1187.5+(627.7-789.9)+(-1.21125+(-0.640254--0.805698))+0-0-0</f>
        <v>1024.2541940000001</v>
      </c>
      <c r="U125" s="3">
        <f>1130.2+(669-777.7)+(0+(0-0))+0-0-0</f>
        <v>1021.5</v>
      </c>
      <c r="V125" s="3">
        <f>1074.5+(653.6-717.7)+(0+(0-0))+0-0-0</f>
        <v>1010.4</v>
      </c>
      <c r="W125" s="3">
        <f>1077.3+(611.3-687.4)+(-2.197692+(-1.247052--1.402296))+0-0-0</f>
        <v>999.1575519999999</v>
      </c>
      <c r="X125" s="3">
        <f>1018+(565.1-603.8)+(-1.03836+(-0.576402--0.615876))+0-0-0</f>
        <v>978.3011140000001</v>
      </c>
      <c r="Y125" s="3">
        <f>921.1+(584.7-557.6)+(0+(0-0))+0-0-0</f>
        <v>948.2</v>
      </c>
      <c r="Z125" s="3">
        <f>967.5+(663.6-609.9)+(-0.98685+(-0.676872--0.622098))+0-0-0</f>
        <v>1020.1583760000001</v>
      </c>
      <c r="AA125" s="3">
        <f>1051.2+(697.1-541.9)+(0+(0-0))+0-0-0</f>
        <v>1206.4000000000001</v>
      </c>
      <c r="AB125" s="3">
        <f>1044.8+(695.4-552.4)+(-1.065696+(-0.709308--0.563448))+0-0-0</f>
        <v>1186.588444</v>
      </c>
      <c r="AC125" s="3">
        <f>1043.3+(707.3-597.4)+(-0.532083+(-0.360723--0.304674))+0-0-0</f>
        <v>1152.6118679999997</v>
      </c>
      <c r="AD125">
        <f t="shared" si="1"/>
        <v>23811.404786000003</v>
      </c>
      <c r="AE125" s="3">
        <f>1060+(677.3-527.1)+(0+(0-0))+0-0-0</f>
        <v>1210.1999999999998</v>
      </c>
    </row>
    <row r="126" spans="1:31" s="2" customFormat="1" x14ac:dyDescent="0.25">
      <c r="A126">
        <v>89</v>
      </c>
      <c r="B126">
        <v>5</v>
      </c>
      <c r="C126">
        <v>2</v>
      </c>
      <c r="D126">
        <v>1</v>
      </c>
      <c r="E126">
        <v>1</v>
      </c>
      <c r="F126" s="3">
        <f>1045.1+(772.9-835.9)+(-0.533001+(-0.394179--0.426309))+0-0-0</f>
        <v>981.59912899999995</v>
      </c>
      <c r="G126" s="3">
        <f>1045.7+(712-824.3)+(0.533307+(0.36312-0.420393))+0-0-0</f>
        <v>933.87603400000012</v>
      </c>
      <c r="H126" s="3">
        <f>1045.5+(615.3-772.8)+(0.533205+(0.313803-0.394128))+0-0-0</f>
        <v>888.45288000000005</v>
      </c>
      <c r="I126" s="3">
        <f>1043.8+(576.5-758.1)+(-1.064676+(-0.58803--0.773262))+0-0-0</f>
        <v>861.3205559999999</v>
      </c>
      <c r="J126" s="3">
        <f>1045.8+(540.5-759.1)+(0+(0-0))+0-0-0</f>
        <v>827.19999999999993</v>
      </c>
      <c r="K126" s="3">
        <f>1043.2+(492.9-709.2)+(-1.064064+(-0.502758--0.723384))+0-0-0</f>
        <v>826.05656199999999</v>
      </c>
      <c r="L126" s="3">
        <f>1045.5+(488.4-758.9)+(0+(0-0))+0-0-0</f>
        <v>775</v>
      </c>
      <c r="M126" s="3">
        <f>1051.2+(440.4-668.7)+(1.072224+(0.449208-0.682074))+0-0-0</f>
        <v>823.73935799999992</v>
      </c>
      <c r="N126" s="3">
        <f>1042.7+(463.7-631.6)+(-1.063554+(-0.472974--0.644232))+0-0-0</f>
        <v>873.90770399999997</v>
      </c>
      <c r="O126" s="3">
        <f>1043.8+(574.8-645.7)+(0+(0-0))+0-0-0</f>
        <v>972.89999999999986</v>
      </c>
      <c r="P126" s="3">
        <f>1043.1+(634.2-699.5)+(0.531981+(0.323442-0.356745))+0-0-0</f>
        <v>978.298678</v>
      </c>
      <c r="Q126" s="3">
        <f>1044.8+(644.5-692.2)+(0+(0-0))+52.5-0-0</f>
        <v>1049.5999999999999</v>
      </c>
      <c r="R126" s="3">
        <f>1077+(638-674.3)+(0.54927+(0.32538-0.343893))+70-0-0</f>
        <v>1111.230757</v>
      </c>
      <c r="S126" s="3">
        <f>1086.9+(615.1-716.1)+(0.554319+(0.313701-0.365211))+70-0-0</f>
        <v>1056.4028090000002</v>
      </c>
      <c r="T126" s="3">
        <f>1085.1+(564.5-630.3)+(0.553401+(0.287895-0.321453))+70-0-0</f>
        <v>1089.819843</v>
      </c>
      <c r="U126" s="3">
        <f>1083.5+(536.8-606.2)+(0.552585+(0.273768-0.309162))+70-0-0</f>
        <v>1084.6171909999998</v>
      </c>
      <c r="V126" s="3">
        <f>1086+(575.2-643)+(-2.21544+(-1.173408--1.31172))+70-0-0</f>
        <v>1086.1228719999999</v>
      </c>
      <c r="W126" s="3">
        <f>1080.8+(607.8-640.3)+(-1.102416+(-0.619956--0.653106))+29.2-0-0</f>
        <v>1076.430734</v>
      </c>
      <c r="X126" s="3">
        <f>1054+(650.6-703.7)+(-2.15016+(-1.327224--1.435548))+0-0-0</f>
        <v>998.85816399999999</v>
      </c>
      <c r="Y126" s="3">
        <f>972.8+(655.3-667.4)+(-0.992256+(-0.668406--0.680748))+0-0-0</f>
        <v>959.72008599999992</v>
      </c>
      <c r="Z126" s="3">
        <f>1058.6+(665.8-678)+(-1.079772+(-0.679116--0.69156))+0-0-0</f>
        <v>1045.3326719999998</v>
      </c>
      <c r="AA126" s="3">
        <f>1105.2+(571.5-474.4)+(-0.563652+(-0.291465--0.241944))+0-0-0</f>
        <v>1201.6868270000002</v>
      </c>
      <c r="AB126" s="3">
        <f>1101.3+(605.3-453.9)+(0+(0-0))+0-0-0</f>
        <v>1252.6999999999998</v>
      </c>
      <c r="AC126" s="3">
        <f>1076.9+(603.1-568.6)+(-0.549219+(-0.307581--0.289986))+0-0-0</f>
        <v>1110.8331860000001</v>
      </c>
      <c r="AD126">
        <f t="shared" si="1"/>
        <v>23865.706042000002</v>
      </c>
      <c r="AE126" s="3">
        <f>1101+(539.9-401.3)+(0+(0-0))+0-0-0</f>
        <v>1239.5999999999999</v>
      </c>
    </row>
    <row r="127" spans="1:31" s="2" customFormat="1" x14ac:dyDescent="0.25">
      <c r="A127">
        <v>89</v>
      </c>
      <c r="B127">
        <v>5</v>
      </c>
      <c r="C127">
        <v>3</v>
      </c>
      <c r="D127">
        <v>2</v>
      </c>
      <c r="E127">
        <v>1</v>
      </c>
      <c r="F127" s="3">
        <f>1060.8+(688.6-725.9)+(-1.623024+(-1.053558--1.110627))+0-0-0</f>
        <v>1021.934045</v>
      </c>
      <c r="G127" s="3">
        <f>1029.9+(570.8-660.4)+(-2.100996+(-1.164432--1.347216))+0-0-0</f>
        <v>938.38178800000003</v>
      </c>
      <c r="H127" s="3">
        <f>968.9+(487.8-558.2)+(-0.988278+(-0.497556--0.569364))+0-0-0</f>
        <v>897.58353</v>
      </c>
      <c r="I127" s="3">
        <f>971.4+(389.7-514.5)+(0+(0-0))+0-0-0</f>
        <v>846.59999999999991</v>
      </c>
      <c r="J127" s="3">
        <f>973.9+(376.6-509)+(0+(0-0))+0-0-0</f>
        <v>841.5</v>
      </c>
      <c r="K127" s="3">
        <f>964+(398.2-548.4)+(-1.47492+(-0.609246--0.839052))+0-0-0</f>
        <v>812.55488600000001</v>
      </c>
      <c r="L127" s="3">
        <f>837.9+(372.2-409)+(0.427329+(0.189822-0.20859))+0-0-0</f>
        <v>801.50856099999987</v>
      </c>
      <c r="M127" s="3">
        <f>1026+(317-455.1)+(1.04652+(0.32334-0.464202))+0-0-0</f>
        <v>888.80565799999999</v>
      </c>
      <c r="N127" s="3">
        <f>1026+(320-465.1)+(1.04652+(0.3264-0.474402))+0-0-0</f>
        <v>881.79851799999994</v>
      </c>
      <c r="O127" s="3">
        <f>1060.5+(441.6-547.2)+(1.08171+(0.450432-0.558144))+0-0-0</f>
        <v>955.87399800000003</v>
      </c>
      <c r="P127" s="3">
        <f>1064.8+(544.3-611.9)+(1.629144+(0.832779-0.936207))+0-0-0</f>
        <v>998.72571599999992</v>
      </c>
      <c r="Q127" s="3">
        <f>1083.7+(621.1-658.4)+(0+(0-0))+0-0-0</f>
        <v>1046.4000000000001</v>
      </c>
      <c r="R127" s="3">
        <f>1095.7+(593.6-604.3)+(-1.117614+(-0.605472--0.616386))+0-0-0</f>
        <v>1083.8933</v>
      </c>
      <c r="S127" s="3">
        <f>1092.4+(583.1-653)+(-0.557124+(-0.297381--0.33303))+0-0-0</f>
        <v>1021.9785250000001</v>
      </c>
      <c r="T127" s="3">
        <f>1091+(574.8-602.9)+(0.55641+(0.293148-0.307479))+0-0-0</f>
        <v>1063.4420790000001</v>
      </c>
      <c r="U127" s="3">
        <f>1092.2+(546.6-561.2)+(1.114044+(0.557532-0.572424))+0-0-0</f>
        <v>1078.6991519999999</v>
      </c>
      <c r="V127" s="3">
        <f>1094.4+(566.3-599)+(-0.558144+(-0.288813--0.30549))+0-0-0</f>
        <v>1061.158533</v>
      </c>
      <c r="W127" s="3">
        <f>1090.8+(619.9-618)+(-2.78154+(-1.580745--1.5759))+0-0-0</f>
        <v>1089.9136149999997</v>
      </c>
      <c r="X127" s="3">
        <f>1083.8+(525.7-624.8)+(-2.76369+(-1.340535--1.59324))+0-0-0</f>
        <v>982.18901500000004</v>
      </c>
      <c r="Y127" s="3">
        <f>929.6+(541.2-413.5)+(-0.948192+(-0.552024--0.42177))+0-0-0</f>
        <v>1056.2215540000002</v>
      </c>
      <c r="Z127" s="3">
        <f>1008.4+(614.3-630.8)+(-1.542852+(-0.939879--0.965124))+0-0-0</f>
        <v>990.38239299999998</v>
      </c>
      <c r="AA127" s="3">
        <f>1094.2+(635.3-511.7)+(-1.116084+(-0.648006--0.521934))+0-0-0</f>
        <v>1216.5578439999999</v>
      </c>
      <c r="AB127" s="3">
        <f>1068.4+(648.6-477.7)+(-0.544884+(-0.330786--0.243627))+0-0-0</f>
        <v>1238.6679570000001</v>
      </c>
      <c r="AC127" s="3">
        <f>1065.1+(656.7-587)+(0+(0-0))+0-0-0</f>
        <v>1134.8</v>
      </c>
      <c r="AD127">
        <f t="shared" si="1"/>
        <v>23949.570667</v>
      </c>
      <c r="AE127" s="3">
        <f>1102+(632.7-565.3)+(0+(0-0))+0-0-0</f>
        <v>1169.4000000000001</v>
      </c>
    </row>
    <row r="128" spans="1:31" s="2" customFormat="1" x14ac:dyDescent="0.25">
      <c r="A128">
        <v>89</v>
      </c>
      <c r="B128">
        <v>5</v>
      </c>
      <c r="C128">
        <v>4</v>
      </c>
      <c r="D128">
        <v>3</v>
      </c>
      <c r="E128">
        <v>1</v>
      </c>
      <c r="F128" s="3">
        <f>1066.4+(654.7-664.8)+(0.543864+(0.333897-0.339048))+0-0-0</f>
        <v>1056.8387130000001</v>
      </c>
      <c r="G128" s="3">
        <f>1068+(561.6-693.1)+(0.54468+(0.286416-0.353481))+0-0-0</f>
        <v>936.97761500000001</v>
      </c>
      <c r="H128" s="3">
        <f>1067.3+(469.1-645.6)+(-0.544323+(-0.239241--0.329256))+0-0-0</f>
        <v>890.34569199999999</v>
      </c>
      <c r="I128" s="3">
        <f>1063.9+(455.8-673.4)+(-1.627767+(-0.697374--1.030302))+0-0-0</f>
        <v>845.00516100000016</v>
      </c>
      <c r="J128" s="3">
        <f>1060.3+(446.8-661)+(-1.622259+(-0.683604--1.01133))+0-0-0</f>
        <v>844.80546699999991</v>
      </c>
      <c r="K128" s="3">
        <f>1062.2+(424.8-682.8)+(-1.083444+(-0.433296--0.696456))+0-0-0</f>
        <v>803.37971600000003</v>
      </c>
      <c r="L128" s="3">
        <f>996.2+(450-620.8)+(-1.524186+(-0.6885--0.949824))+0-0-0</f>
        <v>824.13713800000005</v>
      </c>
      <c r="M128" s="3">
        <f>906.1+(418.5-466.9)+(0+(0-0))+0-0-0</f>
        <v>857.7</v>
      </c>
      <c r="N128" s="3">
        <f>1032.9+(427.6-575.7)+(0.526779+(0.218076-0.293607))+0-0-0</f>
        <v>885.25124800000003</v>
      </c>
      <c r="O128" s="3">
        <f>1068.9+(446.4-533.2)+(0+(0-0))+0-0-0</f>
        <v>982.1</v>
      </c>
      <c r="P128" s="3">
        <f>1059.2+(455-435)+(0+(0-0))+0-0-0</f>
        <v>1079.2</v>
      </c>
      <c r="Q128" s="3">
        <f>1095.9+(494.2-505.7)+(0+(0-0))+0-0-0</f>
        <v>1084.4000000000001</v>
      </c>
      <c r="R128" s="3">
        <f>1102.3+(468.3-492.9)+(0+(0-0))+0-0-0</f>
        <v>1077.7</v>
      </c>
      <c r="S128" s="3">
        <f>1143.8+(473.9-570.3)+(0+(0-0))+0-0-0</f>
        <v>1047.4000000000001</v>
      </c>
      <c r="T128" s="3">
        <f>1143.9+(445-564.1)+(0.583389+(0.22695-0.287691))+0-0-0</f>
        <v>1025.3226480000001</v>
      </c>
      <c r="U128" s="3">
        <f>1195.8+(404.3-501.8)+(-0.609858+(-0.206193--0.255918))+0-0-0</f>
        <v>1097.739867</v>
      </c>
      <c r="V128" s="3">
        <f>1176+(432.5-569.8)+(-1.19952+(-0.44115--0.581196))+0-0-0</f>
        <v>1037.6405260000001</v>
      </c>
      <c r="W128" s="3">
        <f>1168.2+(485.6-581.3)+(-1.191564+(-0.495312--0.592926))+0-0-0</f>
        <v>1071.4060500000001</v>
      </c>
      <c r="X128" s="3">
        <f>1167.2+(537-658.5)+(-2.381088+(-1.09548--1.34334))+0-0-0</f>
        <v>1043.5667720000001</v>
      </c>
      <c r="Y128" s="3">
        <f>978.3+(512.3-487.9)+(-0.498933+(-0.261273--0.248829))+0-0-0</f>
        <v>1002.1886229999999</v>
      </c>
      <c r="Z128" s="3">
        <f>1125.5+(515.4-588.7)+(-0.574005+(-0.262854--0.300237))+0-0-0</f>
        <v>1051.6633779999997</v>
      </c>
      <c r="AA128" s="3">
        <f>1182.8+(580.4-546.1)+(-1.206456+(-0.592008--0.557022))+0-0-0</f>
        <v>1215.8585579999999</v>
      </c>
      <c r="AB128" s="3">
        <f>1181.9+(608.2-601.4)+(-0.602769+(-0.310182--0.306714))+0-0-0</f>
        <v>1188.0937630000003</v>
      </c>
      <c r="AC128" s="3">
        <f>1122.4+(632.8-642.8)+(0+(0-0))+0-0-0</f>
        <v>1112.4000000000001</v>
      </c>
      <c r="AD128">
        <f t="shared" si="1"/>
        <v>24061.120935000003</v>
      </c>
      <c r="AE128" s="3">
        <f>1184+(564.7-510.2)+(0+(0-0))+0-0-0</f>
        <v>1238.5</v>
      </c>
    </row>
    <row r="129" spans="1:31" s="2" customFormat="1" x14ac:dyDescent="0.25">
      <c r="A129">
        <v>89</v>
      </c>
      <c r="B129">
        <v>5</v>
      </c>
      <c r="C129">
        <v>5</v>
      </c>
      <c r="D129">
        <v>4</v>
      </c>
      <c r="E129">
        <v>3</v>
      </c>
      <c r="F129" s="3">
        <f>1103.3+(651.3-712.6)+(-1.125366+(-0.664326--0.726852))+0-0-0</f>
        <v>1040.9371599999999</v>
      </c>
      <c r="G129" s="3">
        <f>986.6+(660.3-556.2)+(-2.51583+(-1.683765--1.41831))+0-0-0</f>
        <v>1087.9187149999998</v>
      </c>
      <c r="H129" s="3">
        <f>749.7+(662.6-567.2)+(-0.764694+(-0.675852--0.578544))+0-0-0</f>
        <v>844.23799800000006</v>
      </c>
      <c r="I129" s="3">
        <f>755.9+(642.4-533.7)+(0+(0-0))+0-0-0</f>
        <v>864.59999999999991</v>
      </c>
      <c r="J129" s="3">
        <f>730.1+(574.6-458.3)+(0.744702+(0.586092-0.467466))+0-0-0</f>
        <v>847.26332800000012</v>
      </c>
      <c r="K129" s="3">
        <f>658.1+(604.2-435)+(-1.006893+(-0.924426--0.66555))+0-0-0</f>
        <v>826.03423100000009</v>
      </c>
      <c r="L129" s="3">
        <f>649.9+(499.9-371.8)+(-0.994347+(-0.764847--0.568854))+0-0-0</f>
        <v>776.80966000000001</v>
      </c>
      <c r="M129" s="3">
        <f>657.8+(493.3-380)+(0.670956+(0.503166-0.3876))+0-0-0</f>
        <v>771.8865219999999</v>
      </c>
      <c r="N129" s="3">
        <f>688.7+(496.5-380.1)+(-0.702474+(-0.50643--0.387702))+0-0-0</f>
        <v>804.27879800000005</v>
      </c>
      <c r="O129" s="3">
        <f>746.3+(520.7-348.8)+(0.380613+(0.265557-0.177888))+0-0-0</f>
        <v>918.66828200000009</v>
      </c>
      <c r="P129" s="3">
        <f>772.8+(588.5-412.1)+(1.182384+(0.900405-0.630513))+0-0-0</f>
        <v>950.65227599999992</v>
      </c>
      <c r="Q129" s="3">
        <f>791.4+(750.2-546.1)+(0.403614+(0.382602-0.278511))+0-0-0</f>
        <v>996.00770499999999</v>
      </c>
      <c r="R129" s="3">
        <f>769.2+(790.3-523.3)+(0+(0-0))+0-0-0</f>
        <v>1036.2</v>
      </c>
      <c r="S129" s="3">
        <f>763.2+(740.2-520.7)+(0.389232+(0.377502-0.265557))+0-0-0</f>
        <v>983.20117700000003</v>
      </c>
      <c r="T129" s="3">
        <f>761.2+(718-460.2)+(0.388212+(0.36618-0.234702))+0-0-0</f>
        <v>1019.51969</v>
      </c>
      <c r="U129" s="3">
        <f>777.8+(706.6-469.4)+(-0.793356+(-0.720732--0.478788))+0-0-0</f>
        <v>1013.9647</v>
      </c>
      <c r="V129" s="3">
        <f>776+(702.4-458.8)+(-0.79152+(-0.716448--0.467976))+0-0-0</f>
        <v>1018.5600079999999</v>
      </c>
      <c r="W129" s="3">
        <f>801.2+(725-516.4)+(-2.04306+(-1.84875--1.31682))+0-0-0</f>
        <v>1007.2250100000001</v>
      </c>
      <c r="X129" s="3">
        <f>879.3+(753.6-619.5)+(-2.242215+(-1.92168--1.579725))+0-0-0</f>
        <v>1010.81583</v>
      </c>
      <c r="Y129" s="3">
        <f>837.5+(705.9-520.9)+(0+(0-0))+0-0-0</f>
        <v>1022.5</v>
      </c>
      <c r="Z129" s="3">
        <f>862+(715.4-550.7)+(0.43962+(0.364854-0.280857))+0-0-0</f>
        <v>1027.2236169999999</v>
      </c>
      <c r="AA129" s="3">
        <f>873.3+(615.4-181.3)+(0+(0-0))+0-0-0</f>
        <v>1307.3999999999999</v>
      </c>
      <c r="AB129" s="3">
        <f>880+(655.1-415.7)+(-0.4488+(-0.334101--0.212007))+0-0-0</f>
        <v>1118.8291060000001</v>
      </c>
      <c r="AC129" s="3">
        <f>807.5+(693.6-393.1)+(0+(0-0))+0-0-0</f>
        <v>1108</v>
      </c>
      <c r="AD129">
        <f t="shared" ref="AD129:AD192" si="2">SUM(F129:AC129)</f>
        <v>23402.733813000006</v>
      </c>
      <c r="AE129" s="3">
        <f>877+(658.7-317.1)+(0+(0-0))+0-0-0</f>
        <v>1218.5999999999999</v>
      </c>
    </row>
    <row r="130" spans="1:31" s="2" customFormat="1" x14ac:dyDescent="0.25">
      <c r="A130">
        <v>89</v>
      </c>
      <c r="B130">
        <v>5</v>
      </c>
      <c r="C130">
        <v>6</v>
      </c>
      <c r="D130">
        <v>5</v>
      </c>
      <c r="E130">
        <v>1</v>
      </c>
      <c r="F130" s="3">
        <f>838+(693-524.9)+(0+(0-0))+0-0-0</f>
        <v>1006.1</v>
      </c>
      <c r="G130" s="3">
        <f>873.1+(638.9-590.5)+(-0.890562+(-0.651678--0.60231))+0-0-0</f>
        <v>920.56007</v>
      </c>
      <c r="H130" s="3">
        <f>879.8+(577.8-572.7)+(0+(0-0))+0-0-0</f>
        <v>884.89999999999986</v>
      </c>
      <c r="I130" s="3">
        <f>785+(587.6-519.3)+(0.40035+(0.299676-0.264843))+0-0-0</f>
        <v>853.73518300000012</v>
      </c>
      <c r="J130" s="3">
        <f>785.3+(575.7-468.1)+(0+(0-0))+0-0-0</f>
        <v>892.9</v>
      </c>
      <c r="K130" s="3">
        <f>737.1+(561.3-469.5)+(0+(0-0))+0-0-0</f>
        <v>828.9</v>
      </c>
      <c r="L130" s="3">
        <f>677.1+(522.2-397.6)+(0+(0-0))+0-0-0</f>
        <v>801.7</v>
      </c>
      <c r="M130" s="3">
        <f>739.7+(414.6-366.8)+(0.754494+(0.422892-0.374136))+0-0-0</f>
        <v>788.30325000000005</v>
      </c>
      <c r="N130" s="3">
        <f>917.9+(425.7-447.4)+(0.468129+(0.217107-0.228174))+0-0-0</f>
        <v>896.657062</v>
      </c>
      <c r="O130" s="3">
        <f>1013.7+(456.8-478.6)+(0.516987+(0.232968-0.244086))+0-0-0</f>
        <v>992.40586900000005</v>
      </c>
      <c r="P130" s="3">
        <f>1062+(480.6-512.8)+(-0.54162+(-0.245106--0.261528))+0-0-0</f>
        <v>1029.2748020000001</v>
      </c>
      <c r="Q130" s="3">
        <f>1061.4+(512.4-534.3)+(0.541314+(0.261324-0.272493))+58.3-0-0</f>
        <v>1098.3301449999999</v>
      </c>
      <c r="R130" s="3">
        <f>1029.8+(475.1-514)+(0.525198+(0.242301-0.26214))+70-0-0</f>
        <v>1061.4053589999999</v>
      </c>
      <c r="S130" s="3">
        <f>1020+(517.3-562)+(0.5202+(0.263823-0.28662))+70-0-0</f>
        <v>1045.797403</v>
      </c>
      <c r="T130" s="3">
        <f>1031.2+(489.5-520.4)+(1.051824+(0.49929-0.530808))+70-0-0</f>
        <v>1071.3203060000001</v>
      </c>
      <c r="U130" s="3">
        <f>1041.7+(456.1-505)+(0.531267+(0.232611-0.25755))+70-0-0</f>
        <v>1063.3063280000001</v>
      </c>
      <c r="V130" s="3">
        <f>1033+(482.5-502.7)+(0+(0-0))+70-0-0</f>
        <v>1082.8</v>
      </c>
      <c r="W130" s="3">
        <f>1030.1+(518.3-517)+(-0.525351+(-0.264333--0.26367))+23.3-0-0</f>
        <v>1054.1739859999998</v>
      </c>
      <c r="X130" s="3">
        <f>1046.2+(580.1-597.1)+(-1.067124+(-0.591702--0.609042))+0-0-0</f>
        <v>1028.150216</v>
      </c>
      <c r="Y130" s="3">
        <f>1072.3+(557.2-619.7)+(-0.546873+(-0.284172--0.316047))+0-0-0</f>
        <v>1009.285002</v>
      </c>
      <c r="Z130" s="3">
        <f>1113.6+(632.7-631.5)+(-0.567936+(-0.322677--0.322065))+0-0-0</f>
        <v>1114.231452</v>
      </c>
      <c r="AA130" s="3">
        <f>1195.8+(554-528.7)+(-1.829574+(-0.84762--0.808911))+0-0-0</f>
        <v>1219.2317169999999</v>
      </c>
      <c r="AB130" s="3">
        <f>1201.9+(607.9-576.4)+(-0.612969+(-0.310029--0.293964))+0-0-0</f>
        <v>1232.770966</v>
      </c>
      <c r="AC130" s="3">
        <f>1172.7+(685.4-739.6)+(0+(0-0))+0-0-0</f>
        <v>1118.5</v>
      </c>
      <c r="AD130">
        <f t="shared" si="2"/>
        <v>24094.739116000001</v>
      </c>
      <c r="AE130" s="3">
        <f>1205+(591-530)+(0+(0-0))+0-0-0</f>
        <v>1266</v>
      </c>
    </row>
    <row r="131" spans="1:31" s="2" customFormat="1" x14ac:dyDescent="0.25">
      <c r="A131">
        <v>89</v>
      </c>
      <c r="B131">
        <v>5</v>
      </c>
      <c r="C131">
        <v>7</v>
      </c>
      <c r="D131">
        <v>6</v>
      </c>
      <c r="E131">
        <v>1</v>
      </c>
      <c r="F131" s="3">
        <f>1174.9+(665.4-780.4)+(-0.599199+(-0.339354--0.398004))+0-0-0</f>
        <v>1059.359451</v>
      </c>
      <c r="G131" s="3">
        <f>1179.4+(617.6-847)+(-2.405976+(-1.259904--1.72788))+0-0-0</f>
        <v>948.06200000000013</v>
      </c>
      <c r="H131" s="3">
        <f>1180.9+(544.4-819.8)+(-1.204518+(-0.555288--0.836196))+0-0-0</f>
        <v>904.57639000000006</v>
      </c>
      <c r="I131" s="3">
        <f>1077.8+(519.2-716.6)+(0+(0-0))+0-0-0</f>
        <v>880.4</v>
      </c>
      <c r="J131" s="3">
        <f>1061.2+(488.6-679.5)+(0+(0-0))+0-0-0</f>
        <v>870.30000000000007</v>
      </c>
      <c r="K131" s="3">
        <f>1055.9+(475.8-677.8)+(-1.077018+(-0.485316--0.691356))+0-0-0</f>
        <v>853.02902200000005</v>
      </c>
      <c r="L131" s="3">
        <f>948.7+(516.6-617.6)+(-2.903022+(-1.580796--1.889856))+0-0-0</f>
        <v>845.10603800000001</v>
      </c>
      <c r="M131" s="3">
        <f>924.1+(517.3-573.4)+(0.471291+(0.263823-0.292434))+0-0-0</f>
        <v>868.44268</v>
      </c>
      <c r="N131" s="3">
        <f>1035.9+(460.8-595.6)+(1.584927+(0.705024-0.911268))+0-0-0</f>
        <v>902.47868300000016</v>
      </c>
      <c r="O131" s="3">
        <f>1038.8+(515.7-554.9)+(0.529788+(0.263007-0.282999))+0-0-0</f>
        <v>1000.1097960000001</v>
      </c>
      <c r="P131" s="3">
        <f>1063.7+(565.1-566.5)+(-0.542487+(-0.288201--0.288915))+0-0-0</f>
        <v>1061.7582270000003</v>
      </c>
      <c r="Q131" s="3">
        <f>1063.5+(601-612.9)+(0.542385+(0.30651-0.312579))+0-0-0</f>
        <v>1052.1363159999999</v>
      </c>
      <c r="R131" s="3">
        <f>1094.9+(546.1-596.6)+(0+(0-0))+0-0-0</f>
        <v>1044.4000000000001</v>
      </c>
      <c r="S131" s="3">
        <f>1104.1+(517.7-612.8)+(-0.563091+(-0.264027--0.312528))+0-0-0</f>
        <v>1008.48541</v>
      </c>
      <c r="T131" s="3">
        <f>1101.7+(567.9-667.1)+(0+(0-0))+0-0-0</f>
        <v>1002.5</v>
      </c>
      <c r="U131" s="3">
        <f>1095.1+(573.4-620.7)+(-0.558501+(-0.292434--0.316557))+0-0-0</f>
        <v>1047.2656219999997</v>
      </c>
      <c r="V131" s="3">
        <f>1100.9+(579.2-647.8)+(-1.684377+(-0.886176--0.991134))+0-0-0</f>
        <v>1030.7205810000003</v>
      </c>
      <c r="W131" s="3">
        <f>1101.6+(591.2-668.8)+(-1.123632+(-0.603024--0.682176))+0-0-0</f>
        <v>1022.95552</v>
      </c>
      <c r="X131" s="3">
        <f>1074.8+(597.2-671.5)+(-2.74074+(-1.52286--1.712325))+0-0-0</f>
        <v>997.94872499999997</v>
      </c>
      <c r="Y131" s="3">
        <f>1058.9+(577.3-657.2)+(-1.620117+(-0.883269--1.005516))+0-0-0</f>
        <v>977.50212999999997</v>
      </c>
      <c r="Z131" s="3">
        <f>1082.4+(694.2-682.7)+(0+(0-0))+0-0-0</f>
        <v>1093.9000000000001</v>
      </c>
      <c r="AA131" s="3">
        <f>1108.3+(661.7-547.5)+(-1.130466+(-0.674934--0.55845))+0-0-0</f>
        <v>1221.25305</v>
      </c>
      <c r="AB131" s="3">
        <f>1105.7+(668.1-567.1)+(0+(0-0))+0-0-0</f>
        <v>1206.7</v>
      </c>
      <c r="AC131" s="3">
        <f>1106.6+(692-651.3)+(-1.693098+(-1.05876--0.996489))+0-0-0</f>
        <v>1145.544631</v>
      </c>
      <c r="AD131">
        <f t="shared" si="2"/>
        <v>24044.934271999999</v>
      </c>
      <c r="AE131" s="3">
        <f>1107+(677.1-510)+(0+(0-0))+0-0-0</f>
        <v>1274.0999999999999</v>
      </c>
    </row>
    <row r="132" spans="1:31" s="2" customFormat="1" x14ac:dyDescent="0.25">
      <c r="A132">
        <v>89</v>
      </c>
      <c r="B132">
        <v>5</v>
      </c>
      <c r="C132">
        <v>8</v>
      </c>
      <c r="D132">
        <v>7</v>
      </c>
      <c r="E132">
        <v>1</v>
      </c>
      <c r="F132" s="3">
        <f>1116.2+(695.2-716.9)+(-2.84631+(-1.77276--1.828095))+0-0-0</f>
        <v>1091.7090250000001</v>
      </c>
      <c r="G132" s="3">
        <f>1120.5+(645.9-795.7)+(0.571455+(0.329409-0.405807))+0-0-0</f>
        <v>971.19505699999991</v>
      </c>
      <c r="H132" s="3">
        <f>1128.5+(570.2-780.7)+(0+(0-0))+0-0-0</f>
        <v>918</v>
      </c>
      <c r="I132" s="3">
        <f>1133.2+(556.7-772.1)+(-2.88966+(-1.419585--1.968855))+0-0-0</f>
        <v>915.45961000000011</v>
      </c>
      <c r="J132" s="3">
        <f>1133.3+(566.6-798.8)+(-1.733949+(-0.866898--1.222164))+0-0-0</f>
        <v>899.721317</v>
      </c>
      <c r="K132" s="3">
        <f>1132.1+(549.9-806.3)+(-4.041597+(-1.963143--2.878491))+0-0-0</f>
        <v>872.5737509999999</v>
      </c>
      <c r="L132" s="3">
        <f>980+(492.7-659.4)+(-1.9992+(-1.005108--1.345176))+0-0-0</f>
        <v>811.64086799999995</v>
      </c>
      <c r="M132" s="3">
        <f>872.5+(500.8-543.9)+(0.444975+(0.255408-0.277389))+0-0-0</f>
        <v>829.82299400000011</v>
      </c>
      <c r="N132" s="3">
        <f>905.4+(497.5-580.6)+(0+(0-0))+0-0-0</f>
        <v>822.3</v>
      </c>
      <c r="O132" s="3">
        <f>980.4+(486.4-542.1)+(0+(0-0))+0-0-0</f>
        <v>924.69999999999993</v>
      </c>
      <c r="P132" s="3">
        <f>1016.7+(455-506.4)+(0.518517+(0.23205-0.258264))+0-0-0</f>
        <v>965.79230300000006</v>
      </c>
      <c r="Q132" s="3">
        <f>1087.5+(556.6-653.8)+(0.554625+(0.283866-0.333438))+0-0-0</f>
        <v>990.80505300000004</v>
      </c>
      <c r="R132" s="3">
        <f>1114.5+(636.7-736.1)+(0+(0-0))+0-0-0</f>
        <v>1015.1</v>
      </c>
      <c r="S132" s="3">
        <f>1122.6+(639.9-775)+(-1.145052+(-0.652698--0.7905))+0-0-0</f>
        <v>986.49274999999989</v>
      </c>
      <c r="T132" s="3">
        <f>1114.7+(598.3-704.3)+(0.568497+(0.305133-0.359193))+0-0-0</f>
        <v>1009.2144370000001</v>
      </c>
      <c r="U132" s="3">
        <f>1082+(545.3-646.7)+(-1.65546+(-0.834309--0.989451))+0-0-0</f>
        <v>979.09968199999992</v>
      </c>
      <c r="V132" s="3">
        <f>1096.6+(567.4-644.1)+(-0.559266+(-0.289374--0.328491))+0-0-0</f>
        <v>1019.3798509999999</v>
      </c>
      <c r="W132" s="3">
        <f>1068.5+(542.4-643)+(-0.544935+(-0.276624--0.32793))+0-0-0</f>
        <v>967.40637099999992</v>
      </c>
      <c r="X132" s="3">
        <f>1051.3+(441.7-518.2)+(-2.680815+(-1.126335--1.32141))+0-0-0</f>
        <v>972.31425999999999</v>
      </c>
      <c r="Y132" s="3">
        <f>881.3+(519.2-464.6)+(-0.898926+(-0.529584--0.473892))+0-0-0</f>
        <v>934.945382</v>
      </c>
      <c r="Z132" s="3">
        <f>1046.6+(563.5-556.5)+(-1.601298+(-0.862155--0.851445))+0-0-0</f>
        <v>1051.9879919999998</v>
      </c>
      <c r="AA132" s="3">
        <f>1054.3+(640.4-523.5)+(-3.226158+(-1.959624--1.60191))+0-0-0</f>
        <v>1167.6161279999999</v>
      </c>
      <c r="AB132" s="3">
        <f>1085.3+(613.3-520.8)+(-1.107006+(-0.625566--0.531216))+0-0-0</f>
        <v>1176.5986439999999</v>
      </c>
      <c r="AC132" s="3">
        <f>1127+(629.2-630.2)+(-0.57477+(-0.320892--0.321402))+0-0-0</f>
        <v>1125.4257399999999</v>
      </c>
      <c r="AD132">
        <f t="shared" si="2"/>
        <v>23419.301215000003</v>
      </c>
      <c r="AE132" s="3">
        <f>1065+(604.9-470.1)+(0+(0-0))+0-0-0</f>
        <v>1199.8</v>
      </c>
    </row>
    <row r="133" spans="1:31" s="2" customFormat="1" x14ac:dyDescent="0.25">
      <c r="A133">
        <v>89</v>
      </c>
      <c r="B133">
        <v>5</v>
      </c>
      <c r="C133">
        <v>9</v>
      </c>
      <c r="D133">
        <v>1</v>
      </c>
      <c r="E133">
        <v>1</v>
      </c>
      <c r="F133" s="3">
        <f>1130.9+(572-627.5)+(-2.307036+(-1.16688--1.2801))+0-0-0</f>
        <v>1073.2061840000001</v>
      </c>
      <c r="G133" s="3">
        <f>1061.2+(548.6-671.3)+(-3.247272+(-1.678716--2.054178))+0-0-0</f>
        <v>935.62819000000013</v>
      </c>
      <c r="H133" s="3">
        <f>939.5+(595.6-623.1)+(-1.91658+(-1.215024--1.271124))+0-0-0</f>
        <v>910.13951999999995</v>
      </c>
      <c r="I133" s="3">
        <f>942.6+(593-661.6)+(-0.961452+(-0.60486--0.674832))+0-0-0</f>
        <v>873.10852</v>
      </c>
      <c r="J133" s="3">
        <f>949+(534.1-602.2)+(0.96798+(0.544782-0.614244))+0-0-0</f>
        <v>881.79851799999994</v>
      </c>
      <c r="K133" s="3">
        <f>947.5+(539.6-682.7)+(0.483225+(0.275196-0.348177))+0-0-0</f>
        <v>804.81024400000001</v>
      </c>
      <c r="L133" s="3">
        <f>862+(579.7-634.9)+(0+(0-0))+0-0-0</f>
        <v>806.80000000000007</v>
      </c>
      <c r="M133" s="3">
        <f>860.7+(533.9-559)+(0+(0-0))+0-0-0</f>
        <v>835.6</v>
      </c>
      <c r="N133" s="3">
        <f>925.4+(495.7-516.2)+(-0.943908+(-0.505614--0.526524))+0-0-0</f>
        <v>903.97700199999986</v>
      </c>
      <c r="O133" s="3">
        <f>1052.6+(448.8-547)+(-1.073652+(-0.457776--0.55794))+0-0-0</f>
        <v>953.42651199999989</v>
      </c>
      <c r="P133" s="3">
        <f>1066.2+(498.1-536.1)+(1.631286+(0.762093-0.820233))+0-0-0</f>
        <v>1029.773146</v>
      </c>
      <c r="Q133" s="3">
        <f>1064+(496.6-522.8)+(1.08528+(0.506532-0.533256))+0-0-0</f>
        <v>1038.8585560000001</v>
      </c>
      <c r="R133" s="3">
        <f>1061.6+(534-564)+(0+(0-0))+0-0-0</f>
        <v>1031.5999999999999</v>
      </c>
      <c r="S133" s="3">
        <f>1058.1+(666.5-682.8)+(-1.618893+(-1.019745--1.044684))+0-0-0</f>
        <v>1040.206046</v>
      </c>
      <c r="T133" s="3">
        <f>1062.2+(677-686.8)+(-0.541722+(-0.34527--0.350268))+0-0-0</f>
        <v>1051.863276</v>
      </c>
      <c r="U133" s="3">
        <f>1061.8+(654.4-653.6)+(-0.541518+(-0.333744--0.333336))+0-0-0</f>
        <v>1062.0580739999998</v>
      </c>
      <c r="V133" s="3">
        <f>1061.3+(670.2-664.3)+(-0.541263+(-0.341802--0.338793))+0-0-0</f>
        <v>1066.655728</v>
      </c>
      <c r="W133" s="3">
        <f>1059.5+(674.9-666)+(-1.08069+(-0.688398--0.67932))+0-0-0</f>
        <v>1067.310232</v>
      </c>
      <c r="X133" s="3">
        <f>1070.6+(645.6-673.7)+(-2.184024+(-1.317024--1.374348))+0-0-0</f>
        <v>1040.3733</v>
      </c>
      <c r="Y133" s="3">
        <f>1086.3+(610.5-646.5)+(0+(0-0))+0-0-0</f>
        <v>1050.3</v>
      </c>
      <c r="Z133" s="3">
        <f>1079.4+(735.5-680)+(-0.550494+(-0.375105--0.3468))+0-0-0</f>
        <v>1134.3212010000002</v>
      </c>
      <c r="AA133" s="3">
        <f>1113.6+(721.8-585.4)+(-1.703808+(-1.104354--0.895662))+0-0-0</f>
        <v>1248.0875000000001</v>
      </c>
      <c r="AB133" s="3">
        <f>1084.2+(604.9-603.5)+(-1.105884+(-0.616998--0.61557))+0-0-0</f>
        <v>1084.4926879999998</v>
      </c>
      <c r="AC133" s="3">
        <f>1090.8+(653.1-587.5)+(-1.112616+(-0.666162--0.59925))+0-0-0</f>
        <v>1155.2204720000002</v>
      </c>
      <c r="AD133">
        <f t="shared" si="2"/>
        <v>24079.614908999996</v>
      </c>
      <c r="AE133" s="3">
        <f>1128+(717.8-622.3)+(0+(0-0))+0-0-0</f>
        <v>1223.5</v>
      </c>
    </row>
    <row r="134" spans="1:31" s="2" customFormat="1" x14ac:dyDescent="0.25">
      <c r="A134">
        <v>89</v>
      </c>
      <c r="B134">
        <v>5</v>
      </c>
      <c r="C134">
        <v>10</v>
      </c>
      <c r="D134">
        <v>2</v>
      </c>
      <c r="E134">
        <v>1</v>
      </c>
      <c r="F134" s="3">
        <f>1079.3+(639.8-660.8)+(-2.201772+(-1.305192--1.348032))+0-0-0</f>
        <v>1056.1410679999999</v>
      </c>
      <c r="G134" s="3">
        <f>1038.8+(639.5-765.5)+(-2.64894+(-1.630725--1.952025))+0-0-0</f>
        <v>910.47235999999998</v>
      </c>
      <c r="H134" s="3">
        <f>901.3+(554.9-653.8)+(0.459663+(0.282999-0.333438))+0-0-0</f>
        <v>802.80922399999997</v>
      </c>
      <c r="I134" s="3">
        <f>802.8+(564-610.6)+(-1.228284+(-0.86292--0.934218))+0-0-0</f>
        <v>755.04301399999997</v>
      </c>
      <c r="J134" s="3">
        <f>774.6+(510.3-525.9)+(-0.790092+(-0.520506--0.536418))+0-0-0</f>
        <v>758.22582</v>
      </c>
      <c r="K134" s="3">
        <f>777+(535.8-543.6)+(-0.39627+(-0.273258--0.277236))+0-0-0</f>
        <v>768.80770799999993</v>
      </c>
      <c r="L134" s="3">
        <f>627.1+(544-469.1)+(-0.639642+(-0.55488--0.478482))+0-0-0</f>
        <v>701.28395999999998</v>
      </c>
      <c r="M134" s="3">
        <f>674.6+(506.3-449.5)+(0+(0-0))+0-0-0</f>
        <v>731.40000000000009</v>
      </c>
      <c r="N134" s="3">
        <f>1010.9+(429.3-646)+(-1.031118+(-0.437886--0.65892))+0-0-0</f>
        <v>793.38991600000008</v>
      </c>
      <c r="O134" s="3">
        <f>1093+(342-585.8)+(-1.11486+(-0.34884--0.597516))+0-0-0</f>
        <v>848.33381600000007</v>
      </c>
      <c r="P134" s="3">
        <f>1103.2+(379.1-591.7)+(-0.562632+(-0.193341--0.301767))+0-0-0</f>
        <v>890.14579400000002</v>
      </c>
      <c r="Q134" s="3">
        <f>1099.4+(452.9-629.4)+(-1.121388+(-0.461958--0.641988))+0-0-0</f>
        <v>921.95864200000005</v>
      </c>
      <c r="R134" s="3">
        <f>1084.9+(543.5-682.4)+(-0.553299+(-0.277185--0.348024))+0-0-0</f>
        <v>945.51754000000017</v>
      </c>
      <c r="S134" s="3">
        <f>1082.4+(575.3-701.9)+(-1.104048+(-0.586806--0.715938))+0-0-0</f>
        <v>954.82508400000006</v>
      </c>
      <c r="T134" s="3">
        <f>1083+(526.7-665.8)+(-1.10466+(-0.537234--0.679116))+0-0-0</f>
        <v>942.93722200000013</v>
      </c>
      <c r="U134" s="3">
        <f>1068.1+(573.6-704)+(-0.544731+(-0.292536--0.35904))+0-0-0</f>
        <v>937.22177299999998</v>
      </c>
      <c r="V134" s="3">
        <f>1060.1+(546.7-652.6)+(-1.621953+(-0.836451--0.998478))+0-0-0</f>
        <v>952.74007399999994</v>
      </c>
      <c r="W134" s="3">
        <f>1057.8+(551.9-688.3)+(-2.157912+(-1.125876--1.404132))+0-0-0</f>
        <v>919.52034400000002</v>
      </c>
      <c r="X134" s="3">
        <f>1054.5+(475.9-590.9)+(-3.22677+(-1.456254--1.808154))+0-0-0</f>
        <v>936.62513000000001</v>
      </c>
      <c r="Y134" s="3">
        <f>913.2+(603.2-620.8)+(-1.862928+(-1.230528--1.266432))+0-0-0</f>
        <v>893.77297600000009</v>
      </c>
      <c r="Z134" s="3">
        <f>989+(643.9-629)+(0+(0-0))+0-0-0</f>
        <v>1003.9</v>
      </c>
      <c r="AA134" s="3">
        <f>1057.5+(529-459)+(-2.1573+(-1.07916--0.93636))+0-0-0</f>
        <v>1125.1999000000001</v>
      </c>
      <c r="AB134" s="3">
        <f>1058+(472.8-434.4)+(-1.61874+(-0.723384--0.664632))+0-0-0</f>
        <v>1094.7225080000001</v>
      </c>
      <c r="AC134" s="3">
        <f>1060+(391-406.3)+(-1.6218+(-0.59823--0.621639))+0-0-0</f>
        <v>1043.1016090000001</v>
      </c>
      <c r="AD134">
        <f t="shared" si="2"/>
        <v>21688.095482000001</v>
      </c>
      <c r="AE134" s="3">
        <f>1064+(645.8-469.3)+(0+(0-0))+0-0-0</f>
        <v>1240.5</v>
      </c>
    </row>
    <row r="135" spans="1:31" s="2" customFormat="1" x14ac:dyDescent="0.25">
      <c r="A135">
        <v>89</v>
      </c>
      <c r="B135">
        <v>5</v>
      </c>
      <c r="C135">
        <v>11</v>
      </c>
      <c r="D135">
        <v>3</v>
      </c>
      <c r="E135">
        <v>1</v>
      </c>
      <c r="F135" s="3">
        <f>1049.4+(484-591.9)+(-2.67597+(-1.2342--1.509345))+0-0-0</f>
        <v>939.09917500000006</v>
      </c>
      <c r="G135" s="3">
        <f>1020.3+(510.5-546.7)+(-2.081412+(-1.04142--1.115268))+0-0-0</f>
        <v>982.09243599999991</v>
      </c>
      <c r="H135" s="3">
        <f>806.1+(476.3-493.7)+(-1.233333+(-0.728739--0.755361))+0-0-0</f>
        <v>787.493289</v>
      </c>
      <c r="I135" s="3">
        <f>748.6+(492.8-482)+(-1.145358+(-0.753984--0.73746))+0-0-0</f>
        <v>758.2381180000001</v>
      </c>
      <c r="J135" s="3">
        <f>757.9+(407.3-403.2)+(1.159587+(0.623169-0.616896))+0-0-0</f>
        <v>763.16585999999995</v>
      </c>
      <c r="K135" s="3">
        <f>743.8+(425-421.1)+(-1.138014+(-0.65025--0.644283))+0-0-0</f>
        <v>746.55601899999988</v>
      </c>
      <c r="L135" s="3">
        <f>672.2+(481.5-432.6)+(-1.71411+(-1.227825--1.10313))+0-0-0</f>
        <v>719.26119500000004</v>
      </c>
      <c r="M135" s="3">
        <f>771.6+(434.9-511.9)+(0+(0-0))+0-0-0</f>
        <v>694.6</v>
      </c>
      <c r="N135" s="3">
        <f>1044.8+(392.3-670)+(0.532848+(0.200073-0.3417))+0-0-0</f>
        <v>767.49122099999988</v>
      </c>
      <c r="O135" s="3">
        <f>1062.3+(376.1-580.3)+(-1.083546+(-0.383622--0.591906))+0-0-0</f>
        <v>857.224738</v>
      </c>
      <c r="P135" s="3">
        <f>1074.4+(378.4-560)+(0+(0-0))+0-0-0</f>
        <v>892.80000000000007</v>
      </c>
      <c r="Q135" s="3">
        <f>1076+(394.8-546.3)+(0+(0-0))+0-0-0</f>
        <v>924.5</v>
      </c>
      <c r="R135" s="3">
        <f>1018.2+(429-484.6)+(-0.519282+(-0.21879--0.247146))+0-0-0</f>
        <v>962.10907400000008</v>
      </c>
      <c r="S135" s="3">
        <f>1083.5+(435.8-563.7)+(0+(0-0))+0-0-0</f>
        <v>955.59999999999991</v>
      </c>
      <c r="T135" s="3">
        <f>1083.7+(379.7-536.4)+(-1.105374+(-0.387294--0.547128))+0-0-0</f>
        <v>926.05445999999995</v>
      </c>
      <c r="U135" s="3">
        <f>1078.4+(373.9-497.5)+(-0.549984+(-0.190689--0.253725))+0-0-0</f>
        <v>954.31305200000008</v>
      </c>
      <c r="V135" s="3">
        <f>1064.4+(383.1-501.3)+(-1.085688+(-0.390762--0.511326))+0-0-0</f>
        <v>945.2348760000001</v>
      </c>
      <c r="W135" s="3">
        <f>1053.1+(409.6-539.6)+(-3.759567+(-1.462272--1.926372))+0-0-0</f>
        <v>919.80453299999988</v>
      </c>
      <c r="X135" s="3">
        <f>1056.9+(405.6-566.4)+(-2.695095+(-1.03428--1.44432))+0-0-0</f>
        <v>893.81494500000008</v>
      </c>
      <c r="Y135" s="3">
        <f>982.3+(423.2-497.7)+(-1.001946+(-0.431664--0.507654))+0-0-0</f>
        <v>906.87404399999991</v>
      </c>
      <c r="Z135" s="3">
        <f>1074.4+(552.6-545.5)+(-1.095888+(-0.563652--0.55641))+0-0-0</f>
        <v>1080.39687</v>
      </c>
      <c r="AA135" s="3">
        <f>1083.3+(593.8-513.5)+(-2.209932+(-1.211352--1.04754))+0-0-0</f>
        <v>1161.2262559999999</v>
      </c>
      <c r="AB135" s="3">
        <f>1082.2+(584.3-572.6)+(-2.207688+(-1.191972--1.168104))+0-0-0</f>
        <v>1091.6684440000001</v>
      </c>
      <c r="AC135" s="3">
        <f>1087.4+(524.6-594.9)+(0+(0-0))+0-0-0</f>
        <v>1017.1000000000001</v>
      </c>
      <c r="AD135">
        <f t="shared" si="2"/>
        <v>21646.718604999998</v>
      </c>
      <c r="AE135" s="3">
        <f>1091.5+(667-481.3)+(0+(0-0))+0-0-0</f>
        <v>1277.2</v>
      </c>
    </row>
    <row r="136" spans="1:31" s="2" customFormat="1" x14ac:dyDescent="0.25">
      <c r="A136">
        <v>89</v>
      </c>
      <c r="B136">
        <v>5</v>
      </c>
      <c r="C136">
        <v>12</v>
      </c>
      <c r="D136">
        <v>4</v>
      </c>
      <c r="E136">
        <v>1</v>
      </c>
      <c r="F136" s="3">
        <f>1062+(614.3-664.5)+(-0.54162+(-0.313293--0.338895))+0-0-0</f>
        <v>1011.2839819999999</v>
      </c>
      <c r="G136" s="3">
        <f>1039.7+(589.5-750)+(-1.060494+(-0.60129--0.765))+0-0-0</f>
        <v>878.30321600000002</v>
      </c>
      <c r="H136" s="3">
        <f>936.4+(562.2-610.3)+(0.477564+(0.286722-0.311253))+0-0-0</f>
        <v>888.75303300000007</v>
      </c>
      <c r="I136" s="3">
        <f>875.6+(552.5-645.2)+(0+(0-0))+0-0-0</f>
        <v>782.9</v>
      </c>
      <c r="J136" s="3">
        <f>874.7+(571-634.7)+(-0.446097+(-0.29121--0.323697))+0-0-0</f>
        <v>810.58639000000005</v>
      </c>
      <c r="K136" s="3">
        <f>881.8+(575.9-659)+(0.899436+(0.587418-0.67218))+0-0-0</f>
        <v>799.5146739999999</v>
      </c>
      <c r="L136" s="3">
        <f>861.3+(513.5-580.5)+(-1.317789+(-0.785655--0.888165))+0-0-0</f>
        <v>793.08472099999994</v>
      </c>
      <c r="M136" s="3">
        <f>832.7+(420-434.2)+(-0.424677+(-0.2142--0.221442))+0-0-0</f>
        <v>818.08256500000005</v>
      </c>
      <c r="N136" s="3">
        <f>1028.6+(379.7-551.7)+(0+(0-0))+0-0-0</f>
        <v>856.59999999999991</v>
      </c>
      <c r="O136" s="3">
        <f>1086.8+(402.8-576.6)+(0.554268+(0.205428-0.294066))+0-0-0</f>
        <v>913.46563000000003</v>
      </c>
      <c r="P136" s="3">
        <f>1100.6+(386.4-511.4)+(-1.122612+(-0.394128--0.521628))+0-0-0</f>
        <v>974.60488799999996</v>
      </c>
      <c r="Q136" s="3">
        <f>1083.6+(359.2-440.1)+(-0.552636+(-0.183192--0.224451))+0-0-0</f>
        <v>1002.1886229999998</v>
      </c>
      <c r="R136" s="3">
        <f>1117.2+(315.8-465.4)+(0+(0-0))+0-0-0</f>
        <v>967.60000000000014</v>
      </c>
      <c r="S136" s="3">
        <f>1129.2+(330.8-502.7)+(0+(0-0))+0-0-0</f>
        <v>957.30000000000007</v>
      </c>
      <c r="T136" s="3">
        <f>1136.4+(301.7-464.4)+(0.579564+(0.153867-0.236844))+0-0-0</f>
        <v>974.19658700000002</v>
      </c>
      <c r="U136" s="3">
        <f>1134.5+(295.4-515.1)+(0.578595+(0.150654-0.262701))+0-0-0</f>
        <v>915.26654799999994</v>
      </c>
      <c r="V136" s="3">
        <f>1102.6+(339.2-495.2)+(0.562326+(0.172992-0.252552))+0-0-0</f>
        <v>947.08276599999988</v>
      </c>
      <c r="W136" s="3">
        <f>1078.6+(338.5-482.3)+(0+(0-0))+0-0-0</f>
        <v>934.8</v>
      </c>
      <c r="X136" s="3">
        <f>1089.4+(404.2-561.3)+(-0.555594+(-0.206142--0.286263))+0-0-0</f>
        <v>931.82452700000022</v>
      </c>
      <c r="Y136" s="3">
        <f>1095.3+(411.5-626.1)+(1.675809+(0.629595-0.957933))+0-0-0</f>
        <v>882.04747099999997</v>
      </c>
      <c r="Z136" s="3">
        <f>1107.7+(566.6-676.9)+(0.564927+(0.288966-0.345219))+0-0-0</f>
        <v>997.90867400000013</v>
      </c>
      <c r="AA136" s="3">
        <f>1127.6+(605.1-604)+(-1.725228+(-0.925803--0.92412))+0-0-0</f>
        <v>1126.9730889999998</v>
      </c>
      <c r="AB136" s="3">
        <f>1086+(619.8-638.6)+(-1.10772+(-0.632196--0.651372))+0-0-0</f>
        <v>1066.1114559999999</v>
      </c>
      <c r="AC136" s="3">
        <f>1137+(546.7-676.6)+(-2.89935+(-1.394085--1.72533))+0-0-0</f>
        <v>1004.5318950000001</v>
      </c>
      <c r="AD136">
        <f t="shared" si="2"/>
        <v>22235.010734999996</v>
      </c>
      <c r="AE136" s="3">
        <f>1146+(682.9-641.1)+(0+(0-0))+0-0-0</f>
        <v>1187.8</v>
      </c>
    </row>
    <row r="137" spans="1:31" s="2" customFormat="1" x14ac:dyDescent="0.25">
      <c r="A137">
        <v>89</v>
      </c>
      <c r="B137">
        <v>5</v>
      </c>
      <c r="C137">
        <v>13</v>
      </c>
      <c r="D137">
        <v>5</v>
      </c>
      <c r="E137">
        <v>1</v>
      </c>
      <c r="F137" s="3">
        <f>1107.3+(642.1-752.9)+(-1.129446+(-0.654942--0.767958))+0-0-0</f>
        <v>995.48356999999999</v>
      </c>
      <c r="G137" s="3">
        <f>1036.9+(614.4-756.1)+(-1.057638+(-0.626688--0.771222))+0-0-0</f>
        <v>894.28689600000007</v>
      </c>
      <c r="H137" s="3">
        <f>878.5+(606.4-633.9)+(-0.448035+(-0.309264--0.323289))+0-0-0</f>
        <v>850.56599000000006</v>
      </c>
      <c r="I137" s="3">
        <f>870.8+(583.1-635.4)+(-1.776432+(-1.189524--1.296216))+0-0-0</f>
        <v>816.83025999999995</v>
      </c>
      <c r="J137" s="3">
        <f>866.3+(563.7-620.1)+(-2.209065+(-1.437435--1.581255))+0-0-0</f>
        <v>807.83475499999997</v>
      </c>
      <c r="K137" s="3">
        <f>867.8+(554.3-589.2)+(-1.770312+(-1.130772--1.201968))+0-0-0</f>
        <v>831.20088399999986</v>
      </c>
      <c r="L137" s="3">
        <f>797+(527.8-464.7)+(-1.62588+(-1.076712--0.947988))+0-0-0</f>
        <v>858.34539599999994</v>
      </c>
      <c r="M137" s="3">
        <f>793.9+(467-520)+(0.809778+(0.47634-0.5304))+0-0-0</f>
        <v>741.65571799999998</v>
      </c>
      <c r="N137" s="3">
        <f>1051+(364.5-541)+(-0.53601+(-0.185895--0.27591))+0-0-0</f>
        <v>874.05400499999996</v>
      </c>
      <c r="O137" s="3">
        <f>1122.6+(372.1-487.7)+(-0.572526+(-0.189771--0.248727))+0-0-0</f>
        <v>1006.48643</v>
      </c>
      <c r="P137" s="3">
        <f>1128.4+(379-541)+(2.87742+(0.96645-1.37955))+0-0-0</f>
        <v>968.86432000000013</v>
      </c>
      <c r="Q137" s="3">
        <f>1117.4+(397-557.4)+(0+(0-0))+0-0-0</f>
        <v>957.00000000000011</v>
      </c>
      <c r="R137" s="3">
        <f>1109.3+(442.7-575)+(1.131486+(0.451554-0.5865))+0-0-0</f>
        <v>977.99653999999998</v>
      </c>
      <c r="S137" s="3">
        <f>1101.2+(487.6-575.3)+(-1.123224+(-0.497352--0.586806))+0-0-0</f>
        <v>1012.4662300000001</v>
      </c>
      <c r="T137" s="3">
        <f>1104.5+(474.9-575.3)+(0+(0-0))+0-0-0</f>
        <v>1004.1</v>
      </c>
      <c r="U137" s="3">
        <f>1091.3+(476.4-562.7)+(0+(0-0))+0-0-0</f>
        <v>1004.9999999999999</v>
      </c>
      <c r="V137" s="3">
        <f>1081.6+(501.5-568.1)+(-0.551616+(-0.255765--0.289731))+0-0-0</f>
        <v>1014.4823499999999</v>
      </c>
      <c r="W137" s="3">
        <f>1080.6+(569.3-653)+(-1.102212+(-0.580686--0.66606))+0-0-0</f>
        <v>995.88316199999986</v>
      </c>
      <c r="X137" s="3">
        <f>1066.5+(631.9-673.2)+(-2.17566+(-1.289076--1.373328))+0-0-0</f>
        <v>1023.1085919999998</v>
      </c>
      <c r="Y137" s="3">
        <f>991.5+(589.2-622.1)+(-0.505665+(-0.300492--0.317271))+0-0-0</f>
        <v>958.11111400000004</v>
      </c>
      <c r="Z137" s="3">
        <f>1122.6+(692.7-718.9)+(-1.717578+(-1.059831--1.099917))+0-0-0</f>
        <v>1094.7225080000001</v>
      </c>
      <c r="AA137" s="3">
        <f>1136+(723.2-644)+(-1.73808+(-1.106496--0.98532))+0-0-0</f>
        <v>1213.3407440000001</v>
      </c>
      <c r="AB137" s="3">
        <f>1110.5+(789-715.1)+(0.566355+(0.40239-0.364701))+0-0-0</f>
        <v>1185.004044</v>
      </c>
      <c r="AC137" s="3">
        <f>1102.8+(785.5-789.1)+(-1.687284+(-1.201815--1.207323))+0-0-0</f>
        <v>1097.5182239999999</v>
      </c>
      <c r="AD137">
        <f t="shared" si="2"/>
        <v>23184.341732000001</v>
      </c>
      <c r="AE137" s="3">
        <f>1144+(706.9-608.6)+(0+(0-0))+0-0-0</f>
        <v>1242.3</v>
      </c>
    </row>
    <row r="138" spans="1:31" s="2" customFormat="1" x14ac:dyDescent="0.25">
      <c r="A138">
        <v>89</v>
      </c>
      <c r="B138">
        <v>5</v>
      </c>
      <c r="C138">
        <v>14</v>
      </c>
      <c r="D138">
        <v>6</v>
      </c>
      <c r="E138">
        <v>1</v>
      </c>
      <c r="F138" s="3">
        <f>1110.1+(683.7-729.9)+(-0.566151+(-0.348687--0.372249))+0-0-0</f>
        <v>1063.3574110000002</v>
      </c>
      <c r="G138" s="3">
        <f>1034.9+(563.8-712.2)+(-0.527799+(-0.287538--0.363222))+0-0-0</f>
        <v>886.04788499999995</v>
      </c>
      <c r="H138" s="3">
        <f>995.4+(549.3-712.9)+(-1.015308+(-0.560286--0.727158))+0-0-0</f>
        <v>830.95156399999996</v>
      </c>
      <c r="I138" s="3">
        <f>1008.1+(571.6-752.9)+(-1.028262+(-0.583032--0.767958))+0-0-0</f>
        <v>825.95666400000005</v>
      </c>
      <c r="J138" s="3">
        <f>1005+(583.5-778.4)+(-2.0502+(-1.19034--1.587936))+0-0-0</f>
        <v>808.44739600000003</v>
      </c>
      <c r="K138" s="3">
        <f>992+(549.3-744.3)+(-2.5296+(-1.400715--1.897965))+0-0-0</f>
        <v>794.96765000000005</v>
      </c>
      <c r="L138" s="3">
        <f>813.6+(505.3-565.4)+(-1.244808+(-0.773109--0.865062))+0-0-0</f>
        <v>752.34714499999995</v>
      </c>
      <c r="M138" s="3">
        <f>935.9+(445-596.7)+(-0.477309+(-0.22695--0.304317))+0-0-0</f>
        <v>783.80005799999992</v>
      </c>
      <c r="N138" s="3">
        <f>1106.1+(353.7-633.1)+(0.564111+(0.180387-0.322881))+0-0-0</f>
        <v>827.12161699999979</v>
      </c>
      <c r="O138" s="3">
        <f>1087.3+(351.2-522.7)+(-0.554523+(-0.179112--0.266577))+0-0-0</f>
        <v>915.332942</v>
      </c>
      <c r="P138" s="3">
        <f>1084.7+(398.9-527.4)+(0.553197+(0.203439-0.268974))+0-0-0</f>
        <v>956.68766200000005</v>
      </c>
      <c r="Q138" s="3">
        <f>1081.6+(405.2-473.3)+(-0.551616+(-0.206652--0.241383))+0-0-0</f>
        <v>1012.9831149999999</v>
      </c>
      <c r="R138" s="3">
        <f>1082.5+(422.7-493)+(0+(0-0))+0-0-0</f>
        <v>1012.2</v>
      </c>
      <c r="S138" s="3">
        <f>1075.5+(429-524.3)+(-1.645515+(-0.65637--0.802179))+0-0-0</f>
        <v>978.7002940000001</v>
      </c>
      <c r="T138" s="3">
        <f>1078.9+(423-519.6)+(0+(0-0))+0-0-0</f>
        <v>982.30000000000007</v>
      </c>
      <c r="U138" s="3">
        <f>1054.2+(414-476.5)+(-2.68821+(-1.0557--1.215075))+0-0-0</f>
        <v>989.17116500000009</v>
      </c>
      <c r="V138" s="3">
        <f>1064.2+(398.4-473.6)+(0.542742+(0.203184-0.241536))+0-0-0</f>
        <v>989.50438999999994</v>
      </c>
      <c r="W138" s="3">
        <f>1058.4+(495.6-569)+(-1.619352+(-0.758268--0.87057))+0-0-0</f>
        <v>983.49295000000006</v>
      </c>
      <c r="X138" s="3">
        <f>1049.1+(550-622.1)+(-2.140164+(-1.122--1.269084))+0-0-0</f>
        <v>975.00691999999992</v>
      </c>
      <c r="Y138" s="3">
        <f>1011.8+(542.4-590.6)+(-0.516018+(-0.276624--0.301206))+0-0-0</f>
        <v>963.10856399999989</v>
      </c>
      <c r="Z138" s="3">
        <f>1073.7+(632.5-636)+(-1.642761+(-0.967725--0.97308))+0-0-0</f>
        <v>1068.562594</v>
      </c>
      <c r="AA138" s="3">
        <f>1104.2+(670.4-572.2)+(-1.689426+(-1.025712--0.875466))+0-0-0</f>
        <v>1200.560328</v>
      </c>
      <c r="AB138" s="3">
        <f>1077.6+(634.9-573.1)+(-2.198304+(-1.295196--1.169124))+0-0-0</f>
        <v>1137.0756239999998</v>
      </c>
      <c r="AC138" s="3">
        <f>1084.2+(669.9-652.2)+(-0.552942+(-0.341649--0.332622))+0-0-0</f>
        <v>1101.338031</v>
      </c>
      <c r="AD138">
        <f t="shared" si="2"/>
        <v>22839.021968999998</v>
      </c>
      <c r="AE138" s="3">
        <f>1118+(672.1-481.1)+(0+(0-0))+0-0-0</f>
        <v>1309</v>
      </c>
    </row>
    <row r="139" spans="1:31" s="2" customFormat="1" x14ac:dyDescent="0.25">
      <c r="A139">
        <v>89</v>
      </c>
      <c r="B139">
        <v>5</v>
      </c>
      <c r="C139">
        <v>15</v>
      </c>
      <c r="D139">
        <v>7</v>
      </c>
      <c r="E139">
        <v>1</v>
      </c>
      <c r="F139" s="3">
        <f>1086+(655.9-684.5)+(-1.66158+(-1.003527--1.047285))+0-0-0</f>
        <v>1055.7821780000002</v>
      </c>
      <c r="G139" s="3">
        <f>1083.5+(509.7-638.9)+(-1.657755+(-0.779841--0.977517))+0-0-0</f>
        <v>952.839921</v>
      </c>
      <c r="H139" s="3">
        <f>1091.1+(485.7-657.9)+(0+(0-0))+0-0-0</f>
        <v>918.89999999999986</v>
      </c>
      <c r="I139" s="3">
        <f>930+(485.2-619.9)+(-1.4229+(-0.742356--0.948447))+0-0-0</f>
        <v>794.08319099999994</v>
      </c>
      <c r="J139" s="3">
        <f>767.7+(518.3-495)+(-0.391527+(-0.264333--0.25245))+0-0-0</f>
        <v>790.59658999999999</v>
      </c>
      <c r="K139" s="3">
        <f>764.1+(497.5-468.6)+(-1.948455+(-1.268625--1.19493))+0-0-0</f>
        <v>790.97784999999999</v>
      </c>
      <c r="L139" s="3">
        <f>583.3+(560.9-426.3)+(-1.487415+(-1.430295--1.087065))+0-0-0</f>
        <v>716.06935499999986</v>
      </c>
      <c r="M139" s="3">
        <f>574.4+(543.1-474.5)+(0+(0-0))+0-0-0</f>
        <v>643</v>
      </c>
      <c r="N139" s="3">
        <f>721+(490.1-518.4)+(-1.47084+(-0.999804--1.057536))+0-0-0</f>
        <v>691.28689200000008</v>
      </c>
      <c r="O139" s="3">
        <f>885.7+(399.8-464.9)+(0.903414+(0.407796-0.474198))+0-0-0</f>
        <v>821.4370120000001</v>
      </c>
      <c r="P139" s="3">
        <f>1041.8+(371.9-466.2)+(0+(0-0))+0-0-0</f>
        <v>947.5</v>
      </c>
      <c r="Q139" s="3">
        <f>1055.7+(361.4-528.2)+(-0.538407+(-0.184314--0.269382))+0-0-0</f>
        <v>888.44666099999995</v>
      </c>
      <c r="R139" s="3">
        <f>1035.3+(399.6-454.2)+(-1.584009+(-0.611388--0.694926))+0-0-0</f>
        <v>979.1995290000001</v>
      </c>
      <c r="S139" s="3">
        <f>1035.6+(360.3-452)+(-0.528156+(-0.183753--0.23052))+0-0-0</f>
        <v>943.41861099999983</v>
      </c>
      <c r="T139" s="3">
        <f>1035.6+(423.8-507.4)+(-1.584468+(-0.648414--0.776322))+0-0-0</f>
        <v>950.54344000000003</v>
      </c>
      <c r="U139" s="3">
        <f>1036.9+(426.9-551.1)+(-0.528819+(-0.217719--0.281061))+0-0-0</f>
        <v>912.23452300000008</v>
      </c>
      <c r="V139" s="3">
        <f>1029.8+(428.8-502.3)+(-2.62599+(-1.09344--1.280865))+0-0-0</f>
        <v>953.86143499999991</v>
      </c>
      <c r="W139" s="3">
        <f>1030.2+(454.5-558.6)+(-2.62701+(-1.158975--1.42443))+0-0-0</f>
        <v>923.73844500000007</v>
      </c>
      <c r="X139" s="3">
        <f>1053.9+(487.2-583.8)+(-1.612467+(-0.745416--0.893214))+0-0-0</f>
        <v>955.83533100000022</v>
      </c>
      <c r="Y139" s="3">
        <f>1064.3+(478.2-646.4)+(0+(0-0))+0-0-0</f>
        <v>896.09999999999991</v>
      </c>
      <c r="Z139" s="3">
        <f>1081.5+(455.3-506.6)+(0.551565+(0.232203-0.258366))+0-0-0</f>
        <v>1030.725402</v>
      </c>
      <c r="AA139" s="3">
        <f>1107.7+(530.4-481.1)+(-0.564927+(-0.270504--0.245361))+0-0-0</f>
        <v>1156.40993</v>
      </c>
      <c r="AB139" s="3">
        <f>1113.7+(566-539.6)+(0+(0-0))+0-0-0</f>
        <v>1140.0999999999999</v>
      </c>
      <c r="AC139" s="3">
        <f>1099+(589.2-545.1)+(-1.68147+(-0.901476--0.834003))+0-0-0</f>
        <v>1141.3510569999999</v>
      </c>
      <c r="AD139">
        <f t="shared" si="2"/>
        <v>21994.437352999998</v>
      </c>
      <c r="AE139" s="3">
        <f>1100+(551.9-479.4)+(0+(0-0))+0-0-0</f>
        <v>1172.5</v>
      </c>
    </row>
    <row r="140" spans="1:31" s="2" customFormat="1" x14ac:dyDescent="0.25">
      <c r="A140">
        <v>89</v>
      </c>
      <c r="B140">
        <v>5</v>
      </c>
      <c r="C140">
        <v>16</v>
      </c>
      <c r="D140">
        <v>1</v>
      </c>
      <c r="E140">
        <v>1</v>
      </c>
      <c r="F140" s="3">
        <f>1085.7+(617.8-685.1)+(-0.553707+(-0.315078--0.349401))+0-0-0</f>
        <v>1017.880616</v>
      </c>
      <c r="G140" s="3">
        <f>1081.9+(573.5-720)+(-0.551769+(-0.292485--0.3672))+0-0-0</f>
        <v>934.92294600000014</v>
      </c>
      <c r="H140" s="3">
        <f>1082.9+(562.7-798.9)+(-0.552279+(-0.286977--0.407439))+0-0-0</f>
        <v>846.26818300000014</v>
      </c>
      <c r="I140" s="3">
        <f>1082.6+(580.7-796)+(-1.104252+(-0.592314--0.81192))+0-0-0</f>
        <v>866.41535399999998</v>
      </c>
      <c r="J140" s="3">
        <f>1080.6+(562.9-824.7)+(-1.653318+(-0.861237--1.261791))+0-0-0</f>
        <v>817.54723599999988</v>
      </c>
      <c r="K140" s="3">
        <f>1081.1+(532.9-770)+(-1.654083+(-0.815337--1.1781))+0-0-0</f>
        <v>842.70867999999984</v>
      </c>
      <c r="L140" s="3">
        <f>947.2+(533.5-695.3)+(-2.41536+(-1.360425--1.773015))+0-0-0</f>
        <v>783.39723000000004</v>
      </c>
      <c r="M140" s="3">
        <f>929+(465.8-607.3)+(0+(0-0))+0-0-0</f>
        <v>787.5</v>
      </c>
      <c r="N140" s="3">
        <f>1087.2+(482.5-681.1)+(-0.554472+(-0.246075--0.347361))+0-0-0</f>
        <v>888.14681400000006</v>
      </c>
      <c r="O140" s="3">
        <f>1099.6+(544.4-685.5)+(0+(0-0))+0-0-0</f>
        <v>958.49999999999989</v>
      </c>
      <c r="P140" s="3">
        <f>1087.8+(563.5-628.8)+(0.554778+(0.287385-0.320688))+0-0-0</f>
        <v>1023.021475</v>
      </c>
      <c r="Q140" s="3">
        <f>1086.5+(573.8-609.3)+(-0.554115+(-0.292638--0.310743))+0-0-0</f>
        <v>1050.46399</v>
      </c>
      <c r="R140" s="3">
        <f>1124.3+(549.7-595.9)+(0.573393+(0.280347-0.303909))+0-0-0</f>
        <v>1078.6498309999999</v>
      </c>
      <c r="S140" s="3">
        <f>1134.5+(523.6-616.9)+(-1.735785+(-0.801108--0.943857))+0-0-0</f>
        <v>1039.6069640000001</v>
      </c>
      <c r="T140" s="3">
        <f>1132+(481.8-565.6)+(0+(0-0))+0-0-0</f>
        <v>1048.2</v>
      </c>
      <c r="U140" s="3">
        <f>1129+(420.7-505)+(0+(0-0))+0-0-0</f>
        <v>1044.7</v>
      </c>
      <c r="V140" s="3">
        <f>1125.5+(448.9-525.7)+(-2.29602+(-0.915756--1.072428))+0-0-0</f>
        <v>1046.5606519999999</v>
      </c>
      <c r="W140" s="3">
        <f>1124.6+(498-577.8)+(-1.147092+(-0.50796--0.589356))+0-0-0</f>
        <v>1043.7343040000001</v>
      </c>
      <c r="X140" s="3">
        <f>1160.1+(595.8-673)+(-1.774953+(-0.911574--1.02969))+0-0-0</f>
        <v>1081.2431629999999</v>
      </c>
      <c r="Y140" s="3">
        <f>1135.8+(589.9-714)+(0+(0-0))+0-0-0</f>
        <v>1011.6999999999999</v>
      </c>
      <c r="Z140" s="3">
        <f>1164.2+(617.9-653.1)+(0+(0-0))+0-0-0</f>
        <v>1129</v>
      </c>
      <c r="AA140" s="3">
        <f>1190.6+(612.7-586.4)+(0+(0-0))+0-0-0</f>
        <v>1216.9000000000001</v>
      </c>
      <c r="AB140" s="3">
        <f>1192.1+(640.1-639.9)+(1.215942+(0.652902-0.652698))+0-0-0</f>
        <v>1193.5161459999999</v>
      </c>
      <c r="AC140" s="3">
        <f>1146.9+(698.4-723.9)+(-0.584919+(-0.356184--0.369189))+0-0-0</f>
        <v>1120.828086</v>
      </c>
      <c r="AD140">
        <f t="shared" si="2"/>
        <v>23871.411670000009</v>
      </c>
      <c r="AE140" s="3">
        <f>1186+(596.8-508.9)+(0+(0-0))+0-0-0</f>
        <v>1273.9000000000001</v>
      </c>
    </row>
    <row r="141" spans="1:31" s="2" customFormat="1" x14ac:dyDescent="0.25">
      <c r="A141">
        <v>89</v>
      </c>
      <c r="B141">
        <v>5</v>
      </c>
      <c r="C141">
        <v>17</v>
      </c>
      <c r="D141">
        <v>2</v>
      </c>
      <c r="E141">
        <v>1</v>
      </c>
      <c r="F141" s="3">
        <f>1105.2+(701.7-746.8)+(-2.254608+(-1.431468--1.523472))+0-0-0</f>
        <v>1057.937396</v>
      </c>
      <c r="G141" s="3">
        <f>1000.6+(649.3-698.1)+(-0.510306+(-0.331143--0.356031))+0-0-0</f>
        <v>951.31458199999997</v>
      </c>
      <c r="H141" s="3">
        <f>909.1+(620.3-654.9)+(0+(0-0))+0-0-0</f>
        <v>874.5</v>
      </c>
      <c r="I141" s="3">
        <f>896.1+(593.6-626.4)+(-1.371033+(-0.908208--0.958392))+0-0-0</f>
        <v>861.97915100000012</v>
      </c>
      <c r="J141" s="3">
        <f>899.4+(613.5-662.1)+(-0.917388+(-0.62577--0.675342))+0-0-0</f>
        <v>849.93218400000001</v>
      </c>
      <c r="K141" s="3">
        <f>874.5+(565.8-577.2)+(-0.89199+(-0.577116--0.588744))+0-0-0</f>
        <v>862.21963799999992</v>
      </c>
      <c r="L141" s="3">
        <f>700.7+(578.7-478.2)+(-1.429428+(-1.180548--0.975528))+0-0-0</f>
        <v>799.56555200000003</v>
      </c>
      <c r="M141" s="3">
        <f>812.5+(470.2-489.5)+(0+(0-0))+0-0-0</f>
        <v>793.2</v>
      </c>
      <c r="N141" s="3">
        <f>1088.8+(426.3-614.1)+(-0.555288+(-0.217413--0.313191))+0-0-0</f>
        <v>900.54048999999998</v>
      </c>
      <c r="O141" s="3">
        <f>1096.7+(439.1-561.8)+(-1.677951+(-0.671823--0.859554))+0-0-0</f>
        <v>972.50978000000009</v>
      </c>
      <c r="P141" s="3">
        <f>1110.2+(478.5-598.8)+(0+(0-0))+0-0-0</f>
        <v>989.90000000000009</v>
      </c>
      <c r="Q141" s="3">
        <f>1181+(433.1-541.1)+(0+(0-0))+0-0-0</f>
        <v>1073</v>
      </c>
      <c r="R141" s="3">
        <f>1245.4+(400.2-563.7)+(0.635154+(0.204102-0.287487))+0-0-0</f>
        <v>1082.451769</v>
      </c>
      <c r="S141" s="3">
        <f>1159.9+(421.6-620.7)+(-0.591549+(-0.215016--0.316557))+0-0-0</f>
        <v>960.30999200000008</v>
      </c>
      <c r="T141" s="3">
        <f>1156+(420-546.3)+(0.58956+(0.2142-0.278613))+0-0-0</f>
        <v>1030.2251470000001</v>
      </c>
      <c r="U141" s="3">
        <f>1129.1+(422.5-542.8)+(-0.575841+(-0.215475--0.276828))+0-0-0</f>
        <v>1008.2855119999999</v>
      </c>
      <c r="V141" s="3">
        <f>1122.2+(430.8-527.7)+(-0.572322+(-0.219708--0.269127))+0-0-0</f>
        <v>1024.7770969999999</v>
      </c>
      <c r="W141" s="3">
        <f>1122.4+(527.9-616)+(-1.717272+(-0.807687--0.94248))+0-0-0</f>
        <v>1032.7175210000003</v>
      </c>
      <c r="X141" s="3">
        <f>1114.2+(571.4-655)+(-2.84121+(-1.45707--1.67025))+0-0-0</f>
        <v>1027.9719699999998</v>
      </c>
      <c r="Y141" s="3">
        <f>1089.3+(573.6-636.6)+(-1.111086+(-0.585072--0.649332))+0-0-0</f>
        <v>1025.2531739999999</v>
      </c>
      <c r="Z141" s="3">
        <f>1125.5+(627.3-629.5)+(-0.574005+(-0.319923--0.321045))+0-0-0</f>
        <v>1122.7271169999999</v>
      </c>
      <c r="AA141" s="3">
        <f>1141.9+(604.4-514.3)+(-1.747107+(-0.924732--0.786879))+0-0-0</f>
        <v>1230.1150399999999</v>
      </c>
      <c r="AB141" s="3">
        <f>1143.2+(647.9-581.1)+(0+(0-0))+0-0-0</f>
        <v>1210</v>
      </c>
      <c r="AC141" s="3">
        <f>1103.3+(657.6-597.7)+(-1.125366+(-0.670752--0.609654))+0-0-0</f>
        <v>1162.0135359999999</v>
      </c>
      <c r="AD141">
        <f t="shared" si="2"/>
        <v>23903.446647999997</v>
      </c>
      <c r="AE141" s="3">
        <f>1139+(584.5-477.3)+(0+(0-0))+0-0-0</f>
        <v>1246.2</v>
      </c>
    </row>
    <row r="142" spans="1:31" s="2" customFormat="1" x14ac:dyDescent="0.25">
      <c r="A142">
        <v>89</v>
      </c>
      <c r="B142">
        <v>5</v>
      </c>
      <c r="C142">
        <v>18</v>
      </c>
      <c r="D142">
        <v>3</v>
      </c>
      <c r="E142">
        <v>1</v>
      </c>
      <c r="F142" s="3">
        <f>1097.3+(582.8-650.5)+(-2.798115+(-1.48614--1.658775))+0-0-0</f>
        <v>1026.97452</v>
      </c>
      <c r="G142" s="3">
        <f>1100.9+(489.7-679.7)+(-1.122918+(-0.499494--0.693294))+0-0-0</f>
        <v>909.97088200000007</v>
      </c>
      <c r="H142" s="3">
        <f>1101.1+(477.3-710.1)+(-0.561561+(-0.243423--0.362151))+0-0-0</f>
        <v>867.857167</v>
      </c>
      <c r="I142" s="3">
        <f>1061+(469.8-691.3)+(0.54111+(0.239598-0.352563))+0-0-0</f>
        <v>839.92814499999997</v>
      </c>
      <c r="J142" s="3">
        <f>979.1+(509.2-663.5)+(1.498023+(0.779076-1.015155))+0-0-0</f>
        <v>826.06194399999993</v>
      </c>
      <c r="K142" s="3">
        <f>957.4+(514.9-652.1)+(-0.488274+(-0.262599--0.332571))+0-0-0</f>
        <v>819.78169799999989</v>
      </c>
      <c r="L142" s="3">
        <f>930+(492-604.4)+(-1.4229+(-0.75276--0.924732))+0-0-0</f>
        <v>816.34907199999998</v>
      </c>
      <c r="M142" s="3">
        <f>912.5+(478-617.8)+(0+(0-0))+0-0-0</f>
        <v>772.7</v>
      </c>
      <c r="N142" s="3">
        <f>1051.9+(518.1-682.7)+(1.072938+(0.528462-0.696354))+0-0-0</f>
        <v>888.20504600000004</v>
      </c>
      <c r="O142" s="3">
        <f>1154.2+(476.9-667)+(-1.177284+(-0.486438--0.68034))+0-0-0</f>
        <v>963.11661800000002</v>
      </c>
      <c r="P142" s="3">
        <f>1171.2+(455.6-623.5)+(1.791936+(0.697068-0.953955))+0-0-0</f>
        <v>1004.835049</v>
      </c>
      <c r="Q142" s="3">
        <f>1180.7+(393.2-557.6)+(0.602157+(0.200532-0.284376))+0-0-0</f>
        <v>1016.818313</v>
      </c>
      <c r="R142" s="3">
        <f>1237.3+(372-534.8)+(-1.262046+(-0.37944--0.545496))+0-0-0</f>
        <v>1073.40401</v>
      </c>
      <c r="S142" s="3">
        <f>1233.3+(363.9-544.6)+(0.628983+(0.185589-0.277746))+0-0-0</f>
        <v>1053.1368259999999</v>
      </c>
      <c r="T142" s="3">
        <f>1230.4+(321.7-455.8)+(0+(0-0))+3.6-0-0</f>
        <v>1099.9000000000001</v>
      </c>
      <c r="U142" s="3">
        <f>1232+(320.9-475.4)+(0+(0-0))+0-0-0</f>
        <v>1077.5</v>
      </c>
      <c r="V142" s="3">
        <f>1230.5+(395.8-525.6)+(-0.627555+(-0.201858--0.268056))+0-0-0</f>
        <v>1100.138643</v>
      </c>
      <c r="W142" s="3">
        <f>1232.3+(476.4-600.2)+(-1.256946+(-0.485928--0.612204))+0-0-0</f>
        <v>1107.36933</v>
      </c>
      <c r="X142" s="3">
        <f>1222.5+(558.8-679.9)+(-3.117375+(-1.42494--1.733745))+0-0-0</f>
        <v>1098.5914300000002</v>
      </c>
      <c r="Y142" s="3">
        <f>1203.3+(547-693.6)+(-1.227366+(-0.55794--0.707472))+0-0-0</f>
        <v>1055.6221659999999</v>
      </c>
      <c r="Z142" s="3">
        <f>1142.6+(581.1-621.1)+(-0.582726+(-0.296361--0.316761))+0-0-0</f>
        <v>1102.0376739999999</v>
      </c>
      <c r="AA142" s="3">
        <f>1138.3+(571.5-414.6)+(-2.322132+(-1.16586--0.845784))+0-0-0</f>
        <v>1292.5577919999998</v>
      </c>
      <c r="AB142" s="3">
        <f>1111.6+(608.8-472.5)+(-1.133832+(-0.620976--0.48195))+0-0-0</f>
        <v>1246.6271419999998</v>
      </c>
      <c r="AC142" s="3">
        <f>1099.9+(641.2-513.8)+(-1.121898+(-0.654024--0.524076))+0-0-0</f>
        <v>1226.0481540000003</v>
      </c>
      <c r="AD142">
        <f t="shared" si="2"/>
        <v>24285.531620999998</v>
      </c>
      <c r="AE142" s="3">
        <f>1144+(598.6-411.5)+(0+(0-0))+0-0-0</f>
        <v>1331.1</v>
      </c>
    </row>
    <row r="143" spans="1:31" s="2" customFormat="1" x14ac:dyDescent="0.25">
      <c r="A143">
        <v>89</v>
      </c>
      <c r="B143">
        <v>5</v>
      </c>
      <c r="C143">
        <v>19</v>
      </c>
      <c r="D143">
        <v>4</v>
      </c>
      <c r="E143">
        <v>1</v>
      </c>
      <c r="F143" s="3">
        <f>1086.1+(650.7-676.9)+(-1.107822+(-0.663714--0.690438))+0-0-0</f>
        <v>1058.818902</v>
      </c>
      <c r="G143" s="3">
        <f>1029.2+(555.8-634)+(-1.049784+(-0.566916--0.64668))+0-0-0</f>
        <v>950.02998000000002</v>
      </c>
      <c r="H143" s="3">
        <f>990.1+(529.9-635.6)+(-2.019804+(-1.080996--1.296624))+0-0-0</f>
        <v>882.59582399999999</v>
      </c>
      <c r="I143" s="3">
        <f>996.3+(577.4-693)+(0.508113+(0.294474-0.35343))+0-0-0</f>
        <v>881.14915699999995</v>
      </c>
      <c r="J143" s="3">
        <f>1000.5+(608-747.5)+(2.04102+(1.24032-1.5249))+0-0-0</f>
        <v>862.75644</v>
      </c>
      <c r="K143" s="3">
        <f>966.3+(648.5-762.4)+(0.985626+(0.66147-0.777648))+0-0-0</f>
        <v>853.26944800000001</v>
      </c>
      <c r="L143" s="3">
        <f>852.2+(631.3-648)+(-0.869244+(-0.643926--0.66096))+0-0-0</f>
        <v>834.64778999999999</v>
      </c>
      <c r="M143" s="3">
        <f>811.2+(609.6-613.5)+(0.827424+(0.621792-0.62577))+0-0-0</f>
        <v>808.12344600000006</v>
      </c>
      <c r="N143" s="3">
        <f>965.4+(631.4-714.1)+(1.477062+(0.966042-1.092573))+0-0-0</f>
        <v>884.05053099999998</v>
      </c>
      <c r="O143" s="3">
        <f>1098.1+(631.1-743.3)+(2.240124+(1.287444-1.516332))+0-0-0</f>
        <v>987.91123600000003</v>
      </c>
      <c r="P143" s="3">
        <f>1120.6+(535.1-617.3)+(1.143012+(0.545802-0.629646))+0-0-0</f>
        <v>1039.4591680000001</v>
      </c>
      <c r="Q143" s="3">
        <f>1117.1+(496-535.3)+(0+(0-0))+0-0-0</f>
        <v>1077.8</v>
      </c>
      <c r="R143" s="3">
        <f>1130.6+(443.9-469)+(0.576606+(0.226389-0.23919))+0-0-0</f>
        <v>1106.063805</v>
      </c>
      <c r="S143" s="3">
        <f>1132.5+(436.6-517.9)+(0+(0-0))+0-0-0</f>
        <v>1051.2</v>
      </c>
      <c r="T143" s="3">
        <f>1213.9+(372.3-468.3)+(0+(0-0))+0-0-0</f>
        <v>1117.9000000000001</v>
      </c>
      <c r="U143" s="3">
        <f>1211.3+(352.7-482.7)+(0.617763+(0.179877-0.246177))+0-0-0</f>
        <v>1081.851463</v>
      </c>
      <c r="V143" s="3">
        <f>1312.5+(341.7-490.4)+(1.33875+(0.348534-0.500208))+0-0-0</f>
        <v>1164.9870759999999</v>
      </c>
      <c r="W143" s="3">
        <f>1206.4+(432.6-568.6)+(-2.461056+(-0.882504--1.159944))+0-0-0</f>
        <v>1068.2163840000001</v>
      </c>
      <c r="X143" s="3">
        <f>1232.2+(544.5-683.5)+(-3.14211+(-1.388475--1.742925))+0-0-0</f>
        <v>1090.4123400000001</v>
      </c>
      <c r="Y143" s="3">
        <f>1215.7+(525.4-724.2)+(1.240014+(0.535908-0.738684))+0-0-0</f>
        <v>1017.937238</v>
      </c>
      <c r="Z143" s="3">
        <f>1246.1+(563.8-640.3)+(0+(0-0))+0-0-0</f>
        <v>1169.5999999999999</v>
      </c>
      <c r="AA143" s="3">
        <f>1262.8+(556.2-556.2)+(-1.288056+(-0.567324--0.567324))+0-0-0</f>
        <v>1261.5119439999999</v>
      </c>
      <c r="AB143" s="3">
        <f>1153.3+(630.2-601.9)+(-0.588183+(-0.321402--0.306969))+0-0-0</f>
        <v>1180.997384</v>
      </c>
      <c r="AC143" s="3">
        <f>1153.4+(682.2-665)+(-2.352936+(-1.391688--1.3566))+0-0-0</f>
        <v>1168.211976</v>
      </c>
      <c r="AD143">
        <f t="shared" si="2"/>
        <v>24599.501531999991</v>
      </c>
      <c r="AE143" s="3">
        <f>1264+(575.4-522.8)+(0+(0-0))+0-0-0</f>
        <v>1316.6</v>
      </c>
    </row>
    <row r="144" spans="1:31" s="2" customFormat="1" x14ac:dyDescent="0.25">
      <c r="A144">
        <v>89</v>
      </c>
      <c r="B144">
        <v>5</v>
      </c>
      <c r="C144">
        <v>20</v>
      </c>
      <c r="D144">
        <v>5</v>
      </c>
      <c r="E144">
        <v>1</v>
      </c>
      <c r="F144" s="3">
        <f>1111.9+(715.2-802.8)+(-2.268276+(-1.459008--1.637712))+0-0-0</f>
        <v>1022.2104280000002</v>
      </c>
      <c r="G144" s="3">
        <f>1017.1+(602.5-726.8)+(-1.556163+(-0.921825--1.112004))+0-0-0</f>
        <v>891.43401600000004</v>
      </c>
      <c r="H144" s="3">
        <f>1018.7+(535.5-722.1)+(-2.078148+(-1.09242--1.473084))+0-0-0</f>
        <v>830.40251599999999</v>
      </c>
      <c r="I144" s="3">
        <f>1012.2+(526.5-739.4)+(-2.58111+(-1.342575--1.88547))+0-0-0</f>
        <v>797.26178500000003</v>
      </c>
      <c r="J144" s="3">
        <f>1013.1+(503-695.2)+(-3.100086+(-1.53918--2.127312))+0-0-0</f>
        <v>818.38804600000003</v>
      </c>
      <c r="K144" s="3">
        <f>1016.5+(477.4-704.6)+(-2.07366+(-0.973896--1.437384))+0-0-0</f>
        <v>787.68982799999992</v>
      </c>
      <c r="L144" s="3">
        <f>963.6+(462.1-643.4)+(-2.948616+(-1.414026--1.968804))+0-0-0</f>
        <v>779.90616200000011</v>
      </c>
      <c r="M144" s="3">
        <f>1036.2+(432.2-642)+(-1.585386+(-0.661266--0.98226))+0-0-0</f>
        <v>825.13560800000005</v>
      </c>
      <c r="N144" s="3">
        <f>1108.3+(382.4-589.4)+(0+(0-0))+0-0-0</f>
        <v>901.3</v>
      </c>
      <c r="O144" s="3">
        <f>1143.8+(415.4-607.6)+(-0.583338+(-0.211854--0.309876))+0-0-0</f>
        <v>951.1146839999999</v>
      </c>
      <c r="P144" s="3">
        <f>1149.4+(467.6-524.3)+(1.758582+(0.715428-0.802179))+0-0-0</f>
        <v>1094.3718310000004</v>
      </c>
      <c r="Q144" s="3">
        <f>1178.8+(465.3-573.8)+(-0.601188+(-0.237303--0.292638))+0-0-0</f>
        <v>1069.7541469999999</v>
      </c>
      <c r="R144" s="3">
        <f>1250.8+(417.9-541.6)+(0.637908+(0.213129-0.276216))+0-0-0</f>
        <v>1127.6748209999998</v>
      </c>
      <c r="S144" s="3">
        <f>1212.7+(385.4-569.9)+(0+(0-0))+0-0-0</f>
        <v>1028.2</v>
      </c>
      <c r="T144" s="3">
        <f>1171.8+(357.5-389.2)+(0.597618+(0.182325-0.198492))+0-0-0</f>
        <v>1140.6814509999999</v>
      </c>
      <c r="U144" s="3">
        <f>1169.2+(349.6-454.4)+(0+(0-0))+0-0-0</f>
        <v>1064.4000000000001</v>
      </c>
      <c r="V144" s="3">
        <f>1223.2+(315.9-386.5)+(-2.495328+(-0.644436--0.78846))+0-0-0</f>
        <v>1150.2486959999999</v>
      </c>
      <c r="W144" s="3">
        <f>1204.5+(377.8-543.1)+(-2.45718+(-0.770712--1.107924))+0-0-0</f>
        <v>1037.0800320000001</v>
      </c>
      <c r="X144" s="3">
        <f>1131.8+(489.7-598.5)+(-3.463308+(-1.498482--1.83141))+0-0-0</f>
        <v>1019.8696200000001</v>
      </c>
      <c r="Y144" s="3">
        <f>1080.4+(580.9-615.6)+(0.551004+(0.296259-0.313956))+0-0-0</f>
        <v>1046.233307</v>
      </c>
      <c r="Z144" s="3">
        <f>1112.9+(497.1-418.6)+(1.135158+(0.507042-0.426972))+0-0-0</f>
        <v>1192.6152280000001</v>
      </c>
      <c r="AA144" s="3">
        <f>1128.3+(574.7-433.8)+(-1.726299+(-0.879291--0.663714))+0-0-0</f>
        <v>1267.258124</v>
      </c>
      <c r="AB144" s="3">
        <f>1134.5+(544.9-380.7)+(0+(0-0))+0-0-0</f>
        <v>1298.7</v>
      </c>
      <c r="AC144" s="3">
        <f>1140.9+(531.2-484)+(-1.745577+(-0.812736--0.74052))+0-0-0</f>
        <v>1186.2822070000002</v>
      </c>
      <c r="AD144">
        <f t="shared" si="2"/>
        <v>24328.212537000003</v>
      </c>
      <c r="AE144" s="3">
        <f>1129+(584-404.7)+(0+(0-0))+0-0-0</f>
        <v>1308.3</v>
      </c>
    </row>
    <row r="145" spans="1:31" s="2" customFormat="1" x14ac:dyDescent="0.25">
      <c r="A145">
        <v>89</v>
      </c>
      <c r="B145">
        <v>5</v>
      </c>
      <c r="C145">
        <v>21</v>
      </c>
      <c r="D145">
        <v>6</v>
      </c>
      <c r="E145">
        <v>8</v>
      </c>
      <c r="F145" s="3">
        <f>1144.1+(626.8-688.9)+(-2.333964+(-1.278672--1.405356))+0-0-0</f>
        <v>1079.7927199999999</v>
      </c>
      <c r="G145" s="3">
        <f>1092.3+(587.8-746.7)+(-2.228292+(-1.199112--1.523268))+0-0-0</f>
        <v>931.49586399999987</v>
      </c>
      <c r="H145" s="3">
        <f>971.7+(538.1-617.4)+(0+(0-0))+0-0-0</f>
        <v>892.40000000000009</v>
      </c>
      <c r="I145" s="3">
        <f>907.9+(561.1-584.5)+(0.926058+(0.572322-0.59619))+0-0-0</f>
        <v>885.40219000000002</v>
      </c>
      <c r="J145" s="3">
        <f>901.8+(607.5-593.6)+(-1.379754+(-0.929475--0.908208))+0-0-0</f>
        <v>914.29897899999992</v>
      </c>
      <c r="K145" s="3">
        <f>900.7+(596-633.3)+(-2.296785+(-1.5198--1.614915))+0-0-0</f>
        <v>861.19833000000006</v>
      </c>
      <c r="L145" s="3">
        <f>897.8+(586.3-654.1)+(-3.663024+(-2.392104--2.668728))+0-0-0</f>
        <v>826.61359999999991</v>
      </c>
      <c r="M145" s="3">
        <f>920.4+(540.1-629.9)+(0.938808+(0.550902-0.642498))+0-0-0</f>
        <v>831.44721200000004</v>
      </c>
      <c r="N145" s="3">
        <f>1005.3+(536.9-663)+(1.025406+(0.547638-0.67626))+0-0-0</f>
        <v>880.09678399999996</v>
      </c>
      <c r="O145" s="3">
        <f>1089.4+(529.2-640.6)+(2.222376+(1.079568-1.306824))+0-0-0</f>
        <v>979.99512000000016</v>
      </c>
      <c r="P145" s="3">
        <f>1117.2+(469.4-566.1)+(1.139544+(0.478788-0.577422))+0-0-0</f>
        <v>1021.5409100000001</v>
      </c>
      <c r="Q145" s="3">
        <f>1114.9+(486.7-535.4)+(0+(0-0))+0-0-0</f>
        <v>1066.2</v>
      </c>
      <c r="R145" s="3">
        <f>1122.4+(522.8-545.3)+(1.144848+(0.533256-0.556206))+0-0-0</f>
        <v>1101.0218980000002</v>
      </c>
      <c r="S145" s="3">
        <f>1130.1+(483.2-527.2)+(0+(0-0))+0-0-0</f>
        <v>1086.0999999999999</v>
      </c>
      <c r="T145" s="3">
        <f>1107+(426.4-463.3)+(0+(0-0))+0-0-0</f>
        <v>1070.0999999999999</v>
      </c>
      <c r="U145" s="3">
        <f>1104.7+(470.8-538.8)+(-0.563397+(-0.240108--0.274788))+0-0-0</f>
        <v>1036.1712830000001</v>
      </c>
      <c r="V145" s="3">
        <f>1025.1+(541.2-448.1)+(-0.522801+(-0.276012--0.228531))+0-0-0</f>
        <v>1117.6297179999999</v>
      </c>
      <c r="W145" s="3">
        <f>1013+(616.9-556)+(-1.54989+(-0.943857--0.85068))+0-0-0</f>
        <v>1072.2569330000001</v>
      </c>
      <c r="X145" s="3">
        <f>1010.1+(648.8-603.5)+(-2.060604+(-1.323552--1.23114))+0-0-0</f>
        <v>1053.2469840000001</v>
      </c>
      <c r="Y145" s="3">
        <f>988.2+(596.8-517.2)+(0.503982+(0.304368-0.263772))+0-0-0</f>
        <v>1068.344578</v>
      </c>
      <c r="Z145" s="3">
        <f>1020.7+(524.2-352.3)+(1.041114+(0.534684-0.359346))+0-0-0</f>
        <v>1193.816452</v>
      </c>
      <c r="AA145" s="3">
        <f>1021.7+(563.4-254.8)+(-0.521067+(-0.287334--0.129948))+0-0-0</f>
        <v>1329.621547</v>
      </c>
      <c r="AB145" s="3">
        <f>1006+(582.3-266.7)+(-0.51306+(-0.296973--0.136017))+0-0-0</f>
        <v>1320.925984</v>
      </c>
      <c r="AC145" s="3">
        <f>996.9+(615.5-566)+(0.508419+(0.313905-0.28866))+0-0-0</f>
        <v>1046.9336640000001</v>
      </c>
      <c r="AD145">
        <f t="shared" si="2"/>
        <v>24666.650750000004</v>
      </c>
      <c r="AE145" s="3">
        <f>1027+(640.1-326.8)+(0+(0-0))+0-0-0</f>
        <v>1340.3</v>
      </c>
    </row>
    <row r="146" spans="1:31" s="2" customFormat="1" x14ac:dyDescent="0.25">
      <c r="A146">
        <v>89</v>
      </c>
      <c r="B146">
        <v>5</v>
      </c>
      <c r="C146">
        <v>22</v>
      </c>
      <c r="D146">
        <v>7</v>
      </c>
      <c r="E146">
        <v>1</v>
      </c>
      <c r="F146" s="3">
        <f>985.7+(677.8-587.8)+(0.502707+(0.345678-0.299778))+0-0-0</f>
        <v>1076.248607</v>
      </c>
      <c r="G146" s="3">
        <f>821.4+(637.9-486.1)+(-0.837828+(-0.650658--0.495822))+0-0-0</f>
        <v>972.20733599999994</v>
      </c>
      <c r="H146" s="3">
        <f>672.1+(660.4-418.2)+(-0.342771+(-0.336804--0.213282))+0-0-0</f>
        <v>913.833707</v>
      </c>
      <c r="I146" s="3">
        <f>586.2+(724-380.8)+(0+(0-0))+0-0-0</f>
        <v>929.40000000000009</v>
      </c>
      <c r="J146" s="3">
        <f>613.2+(718.7-404.4)+(-0.312732+(-0.366537--0.206244))+0-0-0</f>
        <v>927.02697500000011</v>
      </c>
      <c r="K146" s="3">
        <f>606.4+(706.8-365.3)+(-0.618528+(-0.720936--0.372606))+0-0-0</f>
        <v>946.93314199999986</v>
      </c>
      <c r="L146" s="3">
        <f>543.1+(705.5-393.2)+(-1.107924+(-1.43922--0.802128))+0-0-0</f>
        <v>853.65498400000013</v>
      </c>
      <c r="M146" s="3">
        <f>531.9+(708.5-426.4)+(-0.271269+(-0.361335--0.217464))+0-0-0</f>
        <v>813.58486000000005</v>
      </c>
      <c r="N146" s="3">
        <f>554.3+(682.6-368.2)+(-0.848079+(-1.044378--0.563346))+0-0-0</f>
        <v>867.37088900000003</v>
      </c>
      <c r="O146" s="3">
        <f>675.1+(660.2-432.4)+(0.344301+(0.336702-0.220524))+0-0-0</f>
        <v>903.36047900000005</v>
      </c>
      <c r="P146" s="3">
        <f>680.5+(687.7-374.8)+(-0.69411+(-0.701454--0.382296))+0-0-0</f>
        <v>992.38673200000005</v>
      </c>
      <c r="Q146" s="3">
        <f>679.6+(768.4-416.8)+(0+(0-0))+0-0-0</f>
        <v>1031.2</v>
      </c>
      <c r="R146" s="3">
        <f>675.9+(832.8-472.8)+(0.344709+(0.424728-0.241128))+0-0-0</f>
        <v>1036.4283089999999</v>
      </c>
      <c r="S146" s="3">
        <f>688.3+(780.9-445.3)+(0+(0-0))+0-0-0</f>
        <v>1023.8999999999999</v>
      </c>
      <c r="T146" s="3">
        <f>689.9+(784.3-428.5)+(0.351849+(0.399993-0.218535))+0-0-0</f>
        <v>1046.2333069999997</v>
      </c>
      <c r="U146" s="3">
        <f>689.7+(797.8-458.2)+(0+(0-0))+0-0-0</f>
        <v>1029.3</v>
      </c>
      <c r="V146" s="3">
        <f>691+(796.1-443.5)+(-1.05723+(-1.218033--0.678555))+0-0-0</f>
        <v>1042.0032919999999</v>
      </c>
      <c r="W146" s="3">
        <f>682+(842.4-533.3)+(-1.04346+(-1.288872--0.815949))+0-0-0</f>
        <v>989.583617</v>
      </c>
      <c r="X146" s="3">
        <f>659.1+(793.5-452)+(-1.344564+(-1.61874--0.92208))+0-0-0</f>
        <v>998.55877599999997</v>
      </c>
      <c r="Y146" s="3">
        <f>745.9+(759.5-489.1)+(-0.760818+(-0.77469--0.498882))+0-0-0</f>
        <v>1015.263374</v>
      </c>
      <c r="Z146" s="3">
        <f>961.5+(690.9-470.7)+(-0.490365+(-0.352359--0.240057))+0-0-0</f>
        <v>1181.0973329999999</v>
      </c>
      <c r="AA146" s="3">
        <f>1040+(713.8-496.4)+(-2.652+(-1.82019--1.26582))+0-0-0</f>
        <v>1254.19363</v>
      </c>
      <c r="AB146" s="3">
        <f>1037.6+(791-596.7)+(-1.058352+(-0.80682--0.608634))+0-0-0</f>
        <v>1230.6434619999998</v>
      </c>
      <c r="AC146" s="3">
        <f>1030.6+(789.2-632.4)+(0.525606+(0.402492-0.322524))+0-0-0</f>
        <v>1188.005574</v>
      </c>
      <c r="AD146">
        <f t="shared" si="2"/>
        <v>24262.418385000004</v>
      </c>
      <c r="AE146" s="3">
        <f>1033+(668.3-443.2)+(0+(0-0))+0-0-0</f>
        <v>1258.0999999999999</v>
      </c>
    </row>
    <row r="147" spans="1:31" s="2" customFormat="1" x14ac:dyDescent="0.25">
      <c r="A147">
        <v>89</v>
      </c>
      <c r="B147">
        <v>5</v>
      </c>
      <c r="C147">
        <v>23</v>
      </c>
      <c r="D147">
        <v>1</v>
      </c>
      <c r="E147">
        <v>1</v>
      </c>
      <c r="F147" s="3">
        <f>996.9+(738.2-682.2)+(-2.033676+(-1.505928--1.391688))+0-0-0</f>
        <v>1050.7520840000002</v>
      </c>
      <c r="G147" s="3">
        <f>999.7+(652.6-677.6)+(0.509847+(0.332826-0.345576))+0-0-0</f>
        <v>975.1970970000001</v>
      </c>
      <c r="H147" s="3">
        <f>1000.1+(596.6-667.9)+(-1.020102+(-0.608532--0.681258))+0-0-0</f>
        <v>927.85262400000011</v>
      </c>
      <c r="I147" s="3">
        <f>999.2+(592-666.8)+(-2.038368+(-1.20768--1.360272))+0-0-0</f>
        <v>922.51422400000013</v>
      </c>
      <c r="J147" s="3">
        <f>1003.4+(553.8-612.1)+(-0.511734+(-0.282438--0.312171))+0-0-0</f>
        <v>944.61799899999994</v>
      </c>
      <c r="K147" s="3">
        <f>1001.8+(575.1-621)+(-1.021836+(-0.586602--0.63342))+0-0-0</f>
        <v>954.924982</v>
      </c>
      <c r="L147" s="3">
        <f>1006.2+(562.9-679.3)+(-1.026324+(-0.574158--0.692886))+0-0-0</f>
        <v>888.89240400000006</v>
      </c>
      <c r="M147" s="3">
        <f>1009.4+(527.3-664.1)+(-0.514794+(-0.268923--0.338691))+0-0-0</f>
        <v>872.15497399999992</v>
      </c>
      <c r="N147" s="3">
        <f>1010.5+(602.7-605.5)+(0.515355+(0.307377-0.308805))+0-0-0</f>
        <v>1008.213927</v>
      </c>
      <c r="O147" s="3">
        <f>1069.2+(576.3-603.9)+(-1.635876+(-0.881739--0.923967))+0-0-0</f>
        <v>1040.0063519999999</v>
      </c>
      <c r="P147" s="3">
        <f>1110.1+(555.9-563)+(0.566151+(0.283509-0.28713))+0-0-0</f>
        <v>1103.5625299999999</v>
      </c>
      <c r="Q147" s="3">
        <f>1100.9+(549.2-492.5)+(1.684377+(0.840276-0.753525))+0-0-0</f>
        <v>1159.3711280000002</v>
      </c>
      <c r="R147" s="3">
        <f>1119.6+(532.3-510.4)+(0.570996+(0.271473-0.260304))+0-0-0</f>
        <v>1142.082165</v>
      </c>
      <c r="S147" s="3">
        <f>1128.2+(498.8-519.5)+(0.575382+(0.254388-0.264945))+0-0-0</f>
        <v>1108.0648249999999</v>
      </c>
      <c r="T147" s="3">
        <f>1102.4+(459.2-467)+(0.562224+(0.234192-0.23817))+0-0-0</f>
        <v>1095.1582460000002</v>
      </c>
      <c r="U147" s="3">
        <f>1115.7+(473.2-488.7)+(-0.569007+(-0.241332--0.249237))+0-0-0</f>
        <v>1099.6388980000002</v>
      </c>
      <c r="V147" s="3">
        <f>1154.8+(513.4-570.2)+(0+(0-0))+0-0-0</f>
        <v>1098</v>
      </c>
      <c r="W147" s="3">
        <f>1167.2+(550.3-637.8)+(-2.97636+(-1.403265--1.62639))+0-0-0</f>
        <v>1076.9467650000001</v>
      </c>
      <c r="X147" s="3">
        <f>1206.3+(532.5-680.9)+(-1.230426+(-0.54315--0.694518))+0-0-0</f>
        <v>1056.8209420000001</v>
      </c>
      <c r="Y147" s="3">
        <f>1220.6+(498.7-577.7)+(-1.245012+(-0.508674--0.589254))+0-0-0</f>
        <v>1140.4355679999999</v>
      </c>
      <c r="Z147" s="3">
        <f>1233.9+(542.2-515)+(-0.629289+(-0.276522--0.26265))+0-0-0</f>
        <v>1260.4568390000002</v>
      </c>
      <c r="AA147" s="3">
        <f>1228.3+(570.8-435.2)+(-2.505732+(-1.164432--0.887808))+0-0-0</f>
        <v>1361.1176439999999</v>
      </c>
      <c r="AB147" s="3">
        <f>1202+(635.1-606.5)+(-1.22604+(-0.647802--0.61863))+0-0-0</f>
        <v>1229.3447879999999</v>
      </c>
      <c r="AC147" s="3">
        <f>1094+(706.4-542.4)+(-1.11588+(-0.720528--0.553248))+0-0-0</f>
        <v>1256.71684</v>
      </c>
      <c r="AD147">
        <f t="shared" si="2"/>
        <v>25772.843844999999</v>
      </c>
      <c r="AE147" s="3">
        <f>1233+(571.7-466.9)+(0+(0-0))+0-0-0</f>
        <v>1337.8000000000002</v>
      </c>
    </row>
    <row r="148" spans="1:31" s="2" customFormat="1" x14ac:dyDescent="0.25">
      <c r="A148">
        <v>89</v>
      </c>
      <c r="B148">
        <v>5</v>
      </c>
      <c r="C148">
        <v>24</v>
      </c>
      <c r="D148">
        <v>2</v>
      </c>
      <c r="E148">
        <v>1</v>
      </c>
      <c r="F148" s="3">
        <f>1092+(748-750.8)+(-1.67076+(-1.14444--1.148724))+0-0-0</f>
        <v>1087.5335239999999</v>
      </c>
      <c r="G148" s="3">
        <f>1096.6+(683-736.7)+(-0.559266+(-0.34833--0.375717))+0-0-0</f>
        <v>1042.368121</v>
      </c>
      <c r="H148" s="3">
        <f>1100.1+(605.3-786)+(0.561051+(0.308703-0.40086))+0-0-0</f>
        <v>919.86889399999984</v>
      </c>
      <c r="I148" s="3">
        <f>1091.8+(580-689.3)+(-2.227272+(-1.1832--1.406172))+0-0-0</f>
        <v>980.49570000000006</v>
      </c>
      <c r="J148" s="3">
        <f>1122+(560.6-709.7)+(0.57222+(0.285906-0.361947))+0-0-0</f>
        <v>973.39617899999996</v>
      </c>
      <c r="K148" s="3">
        <f>1129.5+(608.2-761.2)+(-1.728135+(-0.930546--1.164636))+0-0-0</f>
        <v>975.00595499999997</v>
      </c>
      <c r="L148" s="3">
        <f>1003.4+(603.8-725.6)+(-2.046936+(-1.231752--1.480224))+0-0-0</f>
        <v>879.80153599999994</v>
      </c>
      <c r="M148" s="3">
        <f>962.3+(575.5-591.4)+(-0.981546+(-0.58701--0.603228))+0-0-0</f>
        <v>945.43467199999998</v>
      </c>
      <c r="N148" s="3">
        <f>997.4+(593.7-651.4)+(1.017348+(0.605574-0.664428))+0-0-0</f>
        <v>940.65849400000002</v>
      </c>
      <c r="O148" s="3">
        <f>1148+(555.2-646.5)+(-2.34192+(-1.132608--1.31886))+0-0-0</f>
        <v>1054.5443319999999</v>
      </c>
      <c r="P148" s="3">
        <f>1227+(552.9-688.6)+(1.87731+(0.845937-1.053558))+0-0-0</f>
        <v>1092.969689</v>
      </c>
      <c r="Q148" s="3">
        <f>1224.1+(534.2-628)+(-1.248582+(-0.544884--0.64056))+0-0-0</f>
        <v>1129.1470939999999</v>
      </c>
      <c r="R148" s="3">
        <f>1220.9+(518.6-635.3)+(0+(0-0))+0-0-0</f>
        <v>1104.2000000000003</v>
      </c>
      <c r="S148" s="3">
        <f>1243.2+(530.9-668.9)+(-1.268064+(-0.541518--0.682278))+0-0-0</f>
        <v>1104.072696</v>
      </c>
      <c r="T148" s="3">
        <f>1346.4+(439.2-664)+(0.686664+(0.223992-0.33864))+0-0-0</f>
        <v>1122.1720160000002</v>
      </c>
      <c r="U148" s="3">
        <f>1341.4+(452.1-704.8)+(-0.684114+(-0.230571--0.359448))+0-0-0</f>
        <v>1088.1447630000002</v>
      </c>
      <c r="V148" s="3">
        <f>1212.8+(484.5-663.3)+(-1.237056+(-0.49419--0.676566))+0-0-0</f>
        <v>1032.94532</v>
      </c>
      <c r="W148" s="3">
        <f>1203.6+(598.5-679.4)+(0+(0-0))+0-0-0</f>
        <v>1122.6999999999998</v>
      </c>
      <c r="X148" s="3">
        <f>1191.6+(595.2-702.3)+(-1.215432+(-0.607104--0.716346))+0-0-0</f>
        <v>1083.39381</v>
      </c>
      <c r="Y148" s="3">
        <f>1170+(560.4-626.4)+(0+(0-0))+0-0-0</f>
        <v>1104</v>
      </c>
      <c r="Z148" s="3">
        <f>1218.9+(581.3-537.1)+(-1.243278+(-0.592926--0.547842))+0-0-0</f>
        <v>1261.8116379999999</v>
      </c>
      <c r="AA148" s="3">
        <f>1228.5+(584.4-472.9)+(-1.25307+(-0.596088--0.482358))+0-0-0</f>
        <v>1338.6332</v>
      </c>
      <c r="AB148" s="3">
        <f>1231.6+(635.8-598.2)+(-1.256232+(-0.648516--0.610164))+0-0-0</f>
        <v>1267.9054159999998</v>
      </c>
      <c r="AC148" s="3">
        <f>1228.2+(698.9-732.3)+(-1.252764+(-0.712878--0.746946))+0-0-0</f>
        <v>1193.5813040000003</v>
      </c>
      <c r="AD148">
        <f t="shared" si="2"/>
        <v>25844.784353000003</v>
      </c>
      <c r="AE148" s="3">
        <f>1239+(570.2-416)+(0+(0-0))+0-0-0</f>
        <v>1393.2</v>
      </c>
    </row>
    <row r="149" spans="1:31" s="2" customFormat="1" x14ac:dyDescent="0.25">
      <c r="A149">
        <v>89</v>
      </c>
      <c r="B149">
        <v>5</v>
      </c>
      <c r="C149">
        <v>25</v>
      </c>
      <c r="D149">
        <v>3</v>
      </c>
      <c r="E149">
        <v>1</v>
      </c>
      <c r="F149" s="3">
        <f>1215+(676.1-788.6)+(-4.33755+(-2.413677--2.815302))+0-0-0</f>
        <v>1098.564075</v>
      </c>
      <c r="G149" s="3">
        <f>1216.9+(560.9-768.5)+(-3.103095+(-1.430295--1.959675))+0-0-0</f>
        <v>1006.7262850000001</v>
      </c>
      <c r="H149" s="3">
        <f>1111.6+(544.9-717)+(-0.566916+(-0.277899--0.36567))+0-0-0</f>
        <v>939.02085499999987</v>
      </c>
      <c r="I149" s="3">
        <f>1111.4+(532.5-685.7)+(0.566814+(0.271575-0.349707))+0-0-0</f>
        <v>958.68868200000009</v>
      </c>
      <c r="J149" s="3">
        <f>1153.6+(509.9-713.4)+(0.588336+(0.260049-0.363834))+0-0-0</f>
        <v>950.58455099999992</v>
      </c>
      <c r="K149" s="3">
        <f>1106.4+(579.4-739.2)+(-2.257056+(-1.181976--1.507968))+0-0-0</f>
        <v>944.66893600000003</v>
      </c>
      <c r="L149" s="3">
        <f>1027.8+(565.1-719.2)+(-2.096712+(-1.152804--1.467168))+0-0-0</f>
        <v>871.91765199999998</v>
      </c>
      <c r="M149" s="3">
        <f>900.6+(535.7-557.8)+(0+(0-0))+0-0-0</f>
        <v>878.50000000000011</v>
      </c>
      <c r="N149" s="3">
        <f>1063.2+(523.3-646.9)+(0+(0-0))+0-0-0</f>
        <v>939.6</v>
      </c>
      <c r="O149" s="3">
        <f>1133+(559.8-652.8)+(0+(0-0))+0-0-0</f>
        <v>1040</v>
      </c>
      <c r="P149" s="3">
        <f>1146.7+(603.6-643.1)+(1.754451+(0.923508-0.983943))+0-0-0</f>
        <v>1108.894016</v>
      </c>
      <c r="Q149" s="3">
        <f>1251.7+(540.1-603)+(1.276734+(0.550902-0.61506))+0-0-0</f>
        <v>1190.0125760000001</v>
      </c>
      <c r="R149" s="3">
        <f>1230.2+(531.7-664.8)+(2.509608+(1.084668-1.356192))+0-0-0</f>
        <v>1099.3380840000002</v>
      </c>
      <c r="S149" s="3">
        <f>1234.2+(513.3-629.8)+(-1.258884+(-0.523566--0.642396))+0-0-0</f>
        <v>1116.5599460000001</v>
      </c>
      <c r="T149" s="3">
        <f>1204.9+(465.2-604.2)+(1.228998+(0.474504-0.616284))+0-0-0</f>
        <v>1066.987218</v>
      </c>
      <c r="U149" s="3">
        <f>1234+(436.3-557.8)+(1.25868+(0.445026-0.568956))+0-0-0</f>
        <v>1113.6347499999999</v>
      </c>
      <c r="V149" s="3">
        <f>1214.4+(451.4-586.1)+(-2.477376+(-0.920856--1.195644))+0-0-0</f>
        <v>1077.4974119999999</v>
      </c>
      <c r="W149" s="3">
        <f>1247.1+(525.4-660.6)+(-1.272042+(-0.535908--0.673812))+0-0-0</f>
        <v>1110.765862</v>
      </c>
      <c r="X149" s="3">
        <f>1251.6+(582.9-771)+(-1.276632+(-0.594558--0.78642))+0-0-0</f>
        <v>1062.4152300000001</v>
      </c>
      <c r="Y149" s="3">
        <f>1252.9+(601.1-743.9)+(0.638979+(0.306561-0.379389))+0-0-0</f>
        <v>1110.6661510000001</v>
      </c>
      <c r="Z149" s="3">
        <f>1275.2+(529.3-558.1)+(-0.650352+(-0.269943--0.284631))+0-0-0</f>
        <v>1245.7643360000002</v>
      </c>
      <c r="AA149" s="3">
        <f>1279.4+(543.9-501.7)+(0+(0-0))+0-0-0</f>
        <v>1321.6000000000001</v>
      </c>
      <c r="AB149" s="3">
        <f>1284.7+(604.8-601.5)+(-1.310394+(-0.616896--0.61353))+0-0-0</f>
        <v>1286.68624</v>
      </c>
      <c r="AC149" s="3">
        <f>1245+(644.7-692.3)+(-1.2699+(-0.657594--0.706146))+0-0-0</f>
        <v>1196.1786520000001</v>
      </c>
      <c r="AD149">
        <f t="shared" si="2"/>
        <v>25735.271508999998</v>
      </c>
      <c r="AE149" s="3">
        <f>1277+(517.3-472.5)+(0+(0-0))+0-0-0</f>
        <v>1321.8</v>
      </c>
    </row>
    <row r="150" spans="1:31" s="2" customFormat="1" x14ac:dyDescent="0.25">
      <c r="A150">
        <v>89</v>
      </c>
      <c r="B150">
        <v>5</v>
      </c>
      <c r="C150">
        <v>26</v>
      </c>
      <c r="D150">
        <v>4</v>
      </c>
      <c r="E150">
        <v>1</v>
      </c>
      <c r="F150" s="3">
        <f>1238+(646.4-769.3)+(-2.52552+(-1.318656--1.569372))+0-0-0</f>
        <v>1112.825196</v>
      </c>
      <c r="G150" s="3">
        <f>1198+(617.8-798.2)+(-1.22196+(-0.630156--0.814164))+0-0-0</f>
        <v>1016.5620479999999</v>
      </c>
      <c r="H150" s="3">
        <f>1122.7+(579.4-740.5)+(-0.572577+(-0.295494--0.377655))+0-0-0</f>
        <v>961.10958400000004</v>
      </c>
      <c r="I150" s="3">
        <f>1117.6+(506.3-663.5)+(-2.279904+(-1.032852--1.35354))+0-0-0</f>
        <v>958.44078399999989</v>
      </c>
      <c r="J150" s="3">
        <f>1129.8+(479.7-677.5)+(1.152396+(0.489294-0.69105))+0-0-0</f>
        <v>932.95064000000002</v>
      </c>
      <c r="K150" s="3">
        <f>1122.1+(500.1-680.5)+(-1.144542+(-0.510102--0.69411))+0-0-0</f>
        <v>940.73946599999988</v>
      </c>
      <c r="L150" s="3">
        <f>1123.3+(500.8-750)+(-2.291532+(-1.021632--1.53))+0-0-0</f>
        <v>872.31683599999985</v>
      </c>
      <c r="M150" s="3">
        <f>1132.4+(431-667.2)+(0.577524+(0.21981-0.340272))+0-0-0</f>
        <v>896.657062</v>
      </c>
      <c r="N150" s="3">
        <f>1131.3+(499.1-675.9)+(0+(0-0))+0-0-0</f>
        <v>954.5</v>
      </c>
      <c r="O150" s="3">
        <f>1211.3+(536.5-737.2)+(0+(0-0))+0-0-0</f>
        <v>1010.5999999999999</v>
      </c>
      <c r="P150" s="3">
        <f>1257.4+(538.8-665.1)+(1.282548+(0.549576-0.678402))+0-0-0</f>
        <v>1132.2537219999999</v>
      </c>
      <c r="Q150" s="3">
        <f>1240.5+(508.4-620.7)+(1.26531+(0.518568-0.633114))+0-0-0</f>
        <v>1129.3507639999998</v>
      </c>
      <c r="R150" s="3">
        <f>1250.5+(486.8-572)+(0+(0-0))+0-0-0</f>
        <v>1165.3</v>
      </c>
      <c r="S150" s="3">
        <f>1254.4+(427.9-579.2)+(0+(0-0))+0-0-0</f>
        <v>1103.0999999999999</v>
      </c>
      <c r="T150" s="3">
        <f>1253.3+(373.6-527.6)+(0+(0-0))+0-0-0</f>
        <v>1099.3</v>
      </c>
      <c r="U150" s="3">
        <f>1250.1+(370.1-503.9)+(-0.637551+(-0.188751--0.256989))+0-0-0</f>
        <v>1115.730687</v>
      </c>
      <c r="V150" s="3">
        <f>1250.7+(404.8-526.7)+(-0.637857+(-0.206448--0.268617))+0-0-0</f>
        <v>1128.2243120000001</v>
      </c>
      <c r="W150" s="3">
        <f>1244.2+(495-642)+(-2.538168+(-1.0098--1.30968))+0-0-0</f>
        <v>1094.961712</v>
      </c>
      <c r="X150" s="3">
        <f>1233.8+(576.4-708.5)+(-1.887714+(-0.881892--1.084005))+0-0-0</f>
        <v>1100.0143989999999</v>
      </c>
      <c r="Y150" s="3">
        <f>1211.9+(577.2-663.9)+(0.618069+(0.294372-0.338589))+0-0-0</f>
        <v>1125.7738520000003</v>
      </c>
      <c r="Z150" s="3">
        <f>1256.1+(495.5-480.8)+(-0.640611+(-0.252705--0.245208))+0-0-0</f>
        <v>1270.1518919999999</v>
      </c>
      <c r="AA150" s="3">
        <f>1271+(520.6-449.3)+(-1.94463+(-0.796518--0.687429))+0-0-0</f>
        <v>1340.246281</v>
      </c>
      <c r="AB150" s="3">
        <f>1275.2+(577.8-579.9)+(0.650352+(0.294678-0.295749))+0-0-0</f>
        <v>1273.7492809999999</v>
      </c>
      <c r="AC150" s="3">
        <f>1269.4+(617.3-654.6)+(0+(0-0))+0-0-0</f>
        <v>1232.0999999999999</v>
      </c>
      <c r="AD150">
        <f t="shared" si="2"/>
        <v>25966.958517999996</v>
      </c>
      <c r="AE150" s="3">
        <f>1266+(516.5-449.9)+(0+(0-0))+0-0-0</f>
        <v>1332.6</v>
      </c>
    </row>
    <row r="151" spans="1:31" s="2" customFormat="1" x14ac:dyDescent="0.25">
      <c r="A151">
        <v>89</v>
      </c>
      <c r="B151">
        <v>5</v>
      </c>
      <c r="C151">
        <v>27</v>
      </c>
      <c r="D151">
        <v>5</v>
      </c>
      <c r="E151">
        <v>1</v>
      </c>
      <c r="F151" s="3">
        <f>1270.1+(673.5-897.6)+(-1.943253+(-1.030455--1.373328))+0-0-0</f>
        <v>1044.3996199999999</v>
      </c>
      <c r="G151" s="3">
        <f>1120.4+(684.4-855.9)+(-0.571404+(-0.349044--0.436509))+0-0-0</f>
        <v>948.41606100000013</v>
      </c>
      <c r="H151" s="3">
        <f>1115.8+(612.2-813.7)+(-0.569058+(-0.312222--0.414987))+0-0-0</f>
        <v>913.833707</v>
      </c>
      <c r="I151" s="3">
        <f>1116.4+(588.5-790.2)+(0+(0-0))+0-0-0</f>
        <v>914.7</v>
      </c>
      <c r="J151" s="3">
        <f>1112.3+(561.3-765.1)+(-1.701819+(-0.858789--1.170603))+0-0-0</f>
        <v>907.10999499999991</v>
      </c>
      <c r="K151" s="3">
        <f>1113+(447.9-700.3)+(-1.70289+(-0.685287--1.071459))+0-0-0</f>
        <v>859.28328199999999</v>
      </c>
      <c r="L151" s="3">
        <f>1103.4+(375.4-704.7)+(-1.125468+(-0.382908--0.718794))+0-0-0</f>
        <v>773.31041800000003</v>
      </c>
      <c r="M151" s="3">
        <f>1004+(484.9-683.4)+(0.51204+(0.247299-0.348534))+0-0-0</f>
        <v>805.91080499999998</v>
      </c>
      <c r="N151" s="3">
        <f>1087.7+(491.8-718.7)+(-1.109454+(-0.501636--0.733074))+0-0-0</f>
        <v>859.92198399999995</v>
      </c>
      <c r="O151" s="3">
        <f>1154.3+(593.9-794.5)+(0+(0-0))+0-0-0</f>
        <v>953.69999999999993</v>
      </c>
      <c r="P151" s="3">
        <f>1191.5+(564.9-757.6)+(1.21533+(0.576198-0.772752))+0-0-0</f>
        <v>999.81877599999996</v>
      </c>
      <c r="Q151" s="3">
        <f>1207.6+(511.9-710.5)+(0+(0-0))+0-0-0</f>
        <v>1008.9999999999999</v>
      </c>
      <c r="R151" s="3">
        <f>1209.7+(482.7-567.6)+(0.616947+(0.246177-0.289476))+0-0-0</f>
        <v>1125.373648</v>
      </c>
      <c r="S151" s="3">
        <f>1231.1+(453.8-591.1)+(0+(0-0))+0-0-0</f>
        <v>1093.8</v>
      </c>
      <c r="T151" s="3">
        <f>1224.8+(395.3-486.8)+(0.624648+(0.201603-0.248268))+0-0-0</f>
        <v>1133.8779829999999</v>
      </c>
      <c r="U151" s="3">
        <f>1221.6+(410.9-462.3)+(0+(0-0))+0-0-0</f>
        <v>1170.1999999999998</v>
      </c>
      <c r="V151" s="3">
        <f>1215.8+(446.4-503.3)+(-0.620058+(-0.227664--0.256683))+0-0-0</f>
        <v>1158.308961</v>
      </c>
      <c r="W151" s="3">
        <f>1212.4+(518.1-603.2)+(-1.236648+(-0.528462--0.615264))+0-0-0</f>
        <v>1126.1501540000002</v>
      </c>
      <c r="X151" s="3">
        <f>1215.7+(604.9-667.3)+(-0.620007+(-0.308499--0.340323))+0-0-0</f>
        <v>1152.7118170000001</v>
      </c>
      <c r="Y151" s="3">
        <f>1219+(608.3-655.2)+(0+(0-0))+0-0-0</f>
        <v>1172.0999999999999</v>
      </c>
      <c r="Z151" s="3">
        <f>1234.9+(471.5-407.2)+(0+(0-0))+0-0-0</f>
        <v>1299.2</v>
      </c>
      <c r="AA151" s="3">
        <f>1233.7+(497.4-412.1)+(-1.887561+(-0.761022--0.630513))+0-0-0</f>
        <v>1316.9819299999999</v>
      </c>
      <c r="AB151" s="3">
        <f>1240.9+(576.1-507)+(-0.632859+(-0.293811--0.25857))+0-0-0</f>
        <v>1309.3318999999999</v>
      </c>
      <c r="AC151" s="3">
        <f>1227.3+(629.1-560.6)+(-1.251846+(-0.641682--0.571812))+0-0-0</f>
        <v>1294.478284</v>
      </c>
      <c r="AD151">
        <f t="shared" si="2"/>
        <v>25341.919324999995</v>
      </c>
      <c r="AE151" s="3">
        <f>1238+(482.6-414.2)+(0+(0-0))+0-0-0</f>
        <v>1306.4000000000001</v>
      </c>
    </row>
    <row r="152" spans="1:31" s="2" customFormat="1" x14ac:dyDescent="0.25">
      <c r="A152">
        <v>89</v>
      </c>
      <c r="B152">
        <v>5</v>
      </c>
      <c r="C152">
        <v>28</v>
      </c>
      <c r="D152">
        <v>6</v>
      </c>
      <c r="E152">
        <v>1</v>
      </c>
      <c r="F152" s="3">
        <f>1085.8+(606-715.8)+(-1.107516+(-0.61812--0.730116))+0-0-0</f>
        <v>975.00447999999994</v>
      </c>
      <c r="G152" s="3">
        <f>1084.7+(611.8-774.6)+(-1.659591+(-0.936054--1.185138))+0-0-0</f>
        <v>920.48949299999992</v>
      </c>
      <c r="H152" s="3">
        <f>1104.6+(595.1-726.9)+(0.563346+(0.303501-0.370719))+0-0-0</f>
        <v>973.29612799999995</v>
      </c>
      <c r="I152" s="3">
        <f>1066.3+(531.5-659.8)+(0+(0-0))+0-0-0</f>
        <v>938</v>
      </c>
      <c r="J152" s="3">
        <f>989.7+(507.3-540.8)+(0+(0-0))+0-0-0</f>
        <v>956.2</v>
      </c>
      <c r="K152" s="3">
        <f>961.4+(462.2-500.3)+(-1.961256+(-0.942888--1.020612))+0-0-0</f>
        <v>921.41646800000001</v>
      </c>
      <c r="L152" s="3">
        <f>963.3+(395.8-520.8)+(-1.965132+(-0.807432--1.062432))+0-0-0</f>
        <v>836.58986799999991</v>
      </c>
      <c r="M152" s="3">
        <f>997.3+(351-512.5)+(-1.017246+(-0.35802--0.52275))+0-0-0</f>
        <v>834.94748399999992</v>
      </c>
      <c r="N152" s="3">
        <f>1100.9+(308.9-527.8)+(-0.561459+(-0.157539--0.269178))+0-0-0</f>
        <v>881.55018000000007</v>
      </c>
      <c r="O152" s="3">
        <f>1226.2+(270.5-501.7)+(1.250724+(0.27591-0.511734))+0-0-0</f>
        <v>996.01490000000001</v>
      </c>
      <c r="P152" s="3">
        <f>1235.5+(308.2-476.8)+(1.26021+(0.314364-0.486336))+0-0-0</f>
        <v>1067.9882380000001</v>
      </c>
      <c r="Q152" s="3">
        <f>1230.3+(339.9-474.7)+(0+(0-0))+0-0-0</f>
        <v>1095.5</v>
      </c>
      <c r="R152" s="3">
        <f>1243.8+(430.2-604.5)+(0+(0-0))+0-0-0</f>
        <v>1069.5</v>
      </c>
      <c r="S152" s="3">
        <f>1240.6+(452.2-628.4)+(-0.632706+(-0.230622--0.320484))+0-0-0</f>
        <v>1063.8571559999998</v>
      </c>
      <c r="T152" s="3">
        <f>1242.3+(462.3-606.2)+(0.633573+(0.235773-0.309162))+0-0-0</f>
        <v>1098.9601839999998</v>
      </c>
      <c r="U152" s="3">
        <f>1240.3+(444.1-629.6)+(1.265106+(0.452982-0.642192))+0-0-0</f>
        <v>1055.875896</v>
      </c>
      <c r="V152" s="3">
        <f>1239.4+(456.4-610.6)+(-0.632094+(-0.232764--0.311406))+0-0-0</f>
        <v>1084.6465479999999</v>
      </c>
      <c r="W152" s="3">
        <f>1241.7+(538.5-672.6)+(-1.899801+(-0.823905--1.029078))+0-0-0</f>
        <v>1105.9053719999999</v>
      </c>
      <c r="X152" s="3">
        <f>1226.3+(583.4-724.2)+(-1.876239+(-0.892602--1.108026))+0-0-0</f>
        <v>1083.839185</v>
      </c>
      <c r="Y152" s="3">
        <f>1223.6+(574.8-714.1)+(-0.624036+(-0.293148--0.364191))+0-0-0</f>
        <v>1083.7470069999997</v>
      </c>
      <c r="Z152" s="3">
        <f>1262.8+(445.5-468.9)+(0.644028+(0.227205-0.239139))+0-0-0</f>
        <v>1240.0320940000001</v>
      </c>
      <c r="AA152" s="3">
        <f>1272.5+(453.7-431.3)+(-1.946925+(-0.694161--0.659889))+0-0-0</f>
        <v>1292.918803</v>
      </c>
      <c r="AB152" s="3">
        <f>1275+(530.3-519.3)+(-1.3005+(-0.540906--0.529686))+0-0-0</f>
        <v>1284.6882800000001</v>
      </c>
      <c r="AC152" s="3">
        <f>1270.8+(557.3-649.3)+(0+(0-0))+0-0-0</f>
        <v>1178.8</v>
      </c>
      <c r="AD152">
        <f t="shared" si="2"/>
        <v>25039.767763999997</v>
      </c>
      <c r="AE152" s="3">
        <f>1264+(489.9-445.3)+(0+(0-0))+0-0-0</f>
        <v>1308.5999999999999</v>
      </c>
    </row>
    <row r="153" spans="1:31" s="2" customFormat="1" x14ac:dyDescent="0.25">
      <c r="A153">
        <v>89</v>
      </c>
      <c r="B153">
        <v>5</v>
      </c>
      <c r="C153">
        <v>29</v>
      </c>
      <c r="D153">
        <v>7</v>
      </c>
      <c r="E153">
        <v>1</v>
      </c>
      <c r="F153" s="3">
        <f>1138.5+(621.2-782.8)+(-1.16127+(-0.633624--0.798456))+0-0-0</f>
        <v>975.90356200000008</v>
      </c>
      <c r="G153" s="3">
        <f>1117.7+(569.6-740.9)+(1.140054+(0.580992-0.755718))+0-0-0</f>
        <v>947.36532800000009</v>
      </c>
      <c r="H153" s="3">
        <f>1108.3+(522.9-646.2)+(-0.565233+(-0.266679--0.329562))+0-0-0</f>
        <v>984.49764999999991</v>
      </c>
      <c r="I153" s="3">
        <f>1105.6+(535.7-746.8)+(-2.81928+(-1.366035--1.90434))+0-0-0</f>
        <v>892.21902499999999</v>
      </c>
      <c r="J153" s="3">
        <f>1117.1+(546-709.7)+(0.569721+(0.27846-0.361947))+0-0-0</f>
        <v>953.88623399999983</v>
      </c>
      <c r="K153" s="3">
        <f>1041.3+(549.6-672.5)+(-3.717441+(-1.962072--2.400825))+0-0-0</f>
        <v>915.12131199999999</v>
      </c>
      <c r="L153" s="3">
        <f>972.8+(504.4-638.9)+(-1.984512+(-1.028976--1.303356))+0-0-0</f>
        <v>836.58986799999991</v>
      </c>
      <c r="M153" s="3">
        <f>949.7+(478.5-642.3)+(-0.484347+(-0.244035--0.327573))+0-0-0</f>
        <v>785.49919100000011</v>
      </c>
      <c r="N153" s="3">
        <f>1023.8+(450.5-605.2)+(-0.522138+(-0.229755--0.308652))+0-0-0</f>
        <v>868.65675899999997</v>
      </c>
      <c r="O153" s="3">
        <f>1121.5+(438.1-676.8)+(0+(0-0))+0-0-0</f>
        <v>882.80000000000007</v>
      </c>
      <c r="P153" s="3">
        <f>1119.2+(487.4-616.2)+(0.570792+(0.248574-0.314262))+0-0-0</f>
        <v>990.90510399999994</v>
      </c>
      <c r="Q153" s="3">
        <f>1111.3+(548.5-610.2)+(-1.133526+(-0.55947--0.622404))+0-0-0</f>
        <v>1048.5294079999999</v>
      </c>
      <c r="R153" s="3">
        <f>1130.2+(611.3-692.4)+(-0.576402+(-0.311763--0.353124))+0-0-0</f>
        <v>1048.5649589999998</v>
      </c>
      <c r="S153" s="3">
        <f>1129+(582.3-704.8)+(0+(0-0))+0-0-0</f>
        <v>1006.5</v>
      </c>
      <c r="T153" s="3">
        <f>1124.7+(550.1-624.4)+(0+(0-0))+0-0-0</f>
        <v>1050.4000000000001</v>
      </c>
      <c r="U153" s="3">
        <f>1121+(549.4-639)+(-0.57171+(-0.280194--0.32589))+0-0-0</f>
        <v>1030.8739860000001</v>
      </c>
      <c r="V153" s="3">
        <f>1097.3+(553.5-586.9)+(-1.678869+(-0.846855--0.897957))+0-0-0</f>
        <v>1062.2722330000001</v>
      </c>
      <c r="W153" s="3">
        <f>1092.8+(563-620.5)+(-0.557328+(-0.28713--0.316455))+0-0-0</f>
        <v>1034.7719970000001</v>
      </c>
      <c r="X153" s="3">
        <f>1085.8+(558.8-638.9)+(-3.876306+(-1.994916--2.280873))+0-0-0</f>
        <v>1002.109651</v>
      </c>
      <c r="Y153" s="3">
        <f>1095.6+(489.2-577.2)+(-0.558756+(-0.249492--0.294372))+0-0-0</f>
        <v>1007.0861239999999</v>
      </c>
      <c r="Z153" s="3">
        <f>1100.1+(538.6-430.3)+(0+(0-0))+0-0-0</f>
        <v>1208.3999999999999</v>
      </c>
      <c r="AA153" s="3">
        <f>1102.6+(580.2-438.3)+(0+(0-0))+0-0-0</f>
        <v>1244.5</v>
      </c>
      <c r="AB153" s="3">
        <f>1099.1+(557.7-412.3)+(-1.121082+(-0.568854--0.420546))+0-0-0</f>
        <v>1243.2306100000001</v>
      </c>
      <c r="AC153" s="3">
        <f>1099+(541.9-468)+(-1.12098+(-0.552738--0.47736))+0-0-0</f>
        <v>1171.7036420000002</v>
      </c>
      <c r="AD153">
        <f t="shared" si="2"/>
        <v>24192.386642999998</v>
      </c>
      <c r="AE153" s="3">
        <f>1099+(577-404.4)+(0+(0-0))+0-0-0</f>
        <v>1271.5999999999999</v>
      </c>
    </row>
    <row r="154" spans="1:31" s="2" customFormat="1" x14ac:dyDescent="0.25">
      <c r="A154">
        <v>89</v>
      </c>
      <c r="B154">
        <v>5</v>
      </c>
      <c r="C154">
        <v>30</v>
      </c>
      <c r="D154">
        <v>1</v>
      </c>
      <c r="E154">
        <v>1</v>
      </c>
      <c r="F154" s="3">
        <f>1091.7+(566-580.7)+(-1.670301+(-0.86598--0.888471))+0-0-0</f>
        <v>1075.3521900000001</v>
      </c>
      <c r="G154" s="3">
        <f>1096.8+(559.9-691.5)+(-1.118736+(-0.571098--0.70533))+0-0-0</f>
        <v>964.21549599999992</v>
      </c>
      <c r="H154" s="3">
        <f>1088.4+(558.5-706.9)+(-1.665252+(-0.854505--1.081557))+0-0-0</f>
        <v>938.56180000000006</v>
      </c>
      <c r="I154" s="3">
        <f>1096.5+(556.7-696)+(-0.559215+(-0.283917--0.35496))+0-0-0</f>
        <v>956.71182800000008</v>
      </c>
      <c r="J154" s="3">
        <f>1092+(522.7-625.2)+(-2.7846+(-1.332885--1.59426))+0-0-0</f>
        <v>986.97677499999998</v>
      </c>
      <c r="K154" s="3">
        <f>1094.5+(514.8-648)+(-1.674585+(-0.787644--0.99144))+0-0-0</f>
        <v>959.82921099999999</v>
      </c>
      <c r="L154" s="3">
        <f>991.6+(466.3-536)+(-1.517148+(-0.713439--0.82008))+0-0-0</f>
        <v>920.48949300000004</v>
      </c>
      <c r="M154" s="3">
        <f>918.9+(515.6-558)+(1.874556+(1.051824-1.13832))+0-0-0</f>
        <v>878.28805999999997</v>
      </c>
      <c r="N154" s="3">
        <f>960.8+(559-528.1)+(0.980016+(0.57018-0.538662))+0-0-0</f>
        <v>992.71153399999992</v>
      </c>
      <c r="O154" s="3">
        <f>1180.8+(517-650.6)+(0.602208+(0.26367-0.331806))+0-0-0</f>
        <v>1047.7340719999997</v>
      </c>
      <c r="P154" s="3">
        <f>1246.4+(430.8-589.8)+(1.906992+(0.659124-0.902394))+0-0-0</f>
        <v>1089.0637220000001</v>
      </c>
      <c r="Q154" s="3">
        <f>1252.6+(363.4-496.2)+(2.555304+(0.741336-1.012248))+0-0-0</f>
        <v>1122.084392</v>
      </c>
      <c r="R154" s="3">
        <f>1243.8+(313.1-440.1)+(1.268676+(0.319362-0.448902))+0-0-0</f>
        <v>1117.939136</v>
      </c>
      <c r="S154" s="3">
        <f>1240.4+(320.3-502.9)+(-0.632604+(-0.163353--0.256479))+0-0-0</f>
        <v>1057.2605220000003</v>
      </c>
      <c r="T154" s="3">
        <f>1234.7+(327.1-462.9)+(0.629697+(0.166821-0.236079))+0-0-0</f>
        <v>1099.4604390000002</v>
      </c>
      <c r="U154" s="3">
        <f>1227.7+(344.9-473.3)+(0+(0-0))+0-0-0</f>
        <v>1099.3</v>
      </c>
      <c r="V154" s="3">
        <f>1225.4+(351.5-459)+(0+(0-0))+0-0-0</f>
        <v>1117.9000000000001</v>
      </c>
      <c r="W154" s="3">
        <f>1216.9+(411.2-545.6)+(0+(0-0))+0-0-0</f>
        <v>1082.5</v>
      </c>
      <c r="X154" s="3">
        <f>1191.7+(437.8-564.2)+(0+(0-0))+0-0-0</f>
        <v>1065.3</v>
      </c>
      <c r="Y154" s="3">
        <f>1211.6+(468.3-502.6)+(0.617916+(0.238833-0.256326))+0-0-0</f>
        <v>1177.900423</v>
      </c>
      <c r="Z154" s="3">
        <f>1211+(490.8-451.8)+(0+(0-0))+0-0-0</f>
        <v>1250</v>
      </c>
      <c r="AA154" s="3">
        <f>1247.5+(481.1-413.3)+(-1.27245+(-0.490722--0.421566))+0-0-0</f>
        <v>1313.958394</v>
      </c>
      <c r="AB154" s="3">
        <f>1262+(563.1-573.6)+(0+(0-0))+0-0-0</f>
        <v>1251.5</v>
      </c>
      <c r="AC154" s="3">
        <f>1255.1+(596.9-665.1)+(-1.920303+(-0.913257--1.017603))+0-0-0</f>
        <v>1185.0840429999998</v>
      </c>
      <c r="AD154">
        <f t="shared" si="2"/>
        <v>25750.121529999997</v>
      </c>
      <c r="AE154" s="3">
        <f>1260+(530-433.6)+(0+(0-0))+0-0-0</f>
        <v>1356.4</v>
      </c>
    </row>
    <row r="155" spans="1:31" s="2" customFormat="1" x14ac:dyDescent="0.25">
      <c r="A155">
        <v>89</v>
      </c>
      <c r="B155">
        <v>5</v>
      </c>
      <c r="C155">
        <v>31</v>
      </c>
      <c r="D155">
        <v>2</v>
      </c>
      <c r="E155">
        <v>1</v>
      </c>
      <c r="F155" s="3">
        <f>1144.8+(684.5-817.8)+(-1.167696+(-0.69819--0.834156))+0-0-0</f>
        <v>1010.46827</v>
      </c>
      <c r="G155" s="3">
        <f>1148.2+(657.6-799.6)+(-1.171164+(-0.670752--0.815592))+0-0-0</f>
        <v>1005.173676</v>
      </c>
      <c r="H155" s="3">
        <f>1156+(618.7-846.6)+(0.58956+(0.315537-0.431766))+0-0-0</f>
        <v>928.57333100000005</v>
      </c>
      <c r="I155" s="3">
        <f>1162.4+(640.4-840.7)+(-0.592824+(-0.326604--0.428757))+0-0-0</f>
        <v>961.609329</v>
      </c>
      <c r="J155" s="3">
        <f>1163.5+(598.2-799.4)+(-1.18677+(-0.610164--0.815388))+0-0-0</f>
        <v>961.31845400000009</v>
      </c>
      <c r="K155" s="3">
        <f>1143.8+(562.7-751.3)+(-0.583338+(-0.286977--0.383163))+0-0-0</f>
        <v>954.71284800000001</v>
      </c>
      <c r="L155" s="3">
        <f>1052.6+(544.3-746.8)+(-3.220956+(-1.665558--2.285208))+0-0-0</f>
        <v>847.49869399999989</v>
      </c>
      <c r="M155" s="3">
        <f>905.8+(598.1-563.7)+(0+(0-0))+0-0-0</f>
        <v>940.19999999999993</v>
      </c>
      <c r="N155" s="3">
        <f>1096+(601.5-632)+(0+(0-0))+0-0-0</f>
        <v>1065.5</v>
      </c>
      <c r="O155" s="3">
        <f>1110+(606-677)+(0+(0-0))+0-0-0</f>
        <v>1039</v>
      </c>
      <c r="P155" s="3">
        <f>1264.6+(605.9-717)+(1.289892+(0.618018-0.73134))+0-0-0</f>
        <v>1154.6765700000001</v>
      </c>
      <c r="Q155" s="3">
        <f>1265.3+(595.4-729.7)+(-1.290606+(-0.607308--0.744294))+0-0-0</f>
        <v>1129.84638</v>
      </c>
      <c r="R155" s="3">
        <f>1260.5+(564.7-709.5)+(1.28571+(0.575994-0.72369))+0-0-0</f>
        <v>1116.8380140000002</v>
      </c>
      <c r="S155" s="3">
        <f>1252+(574.3-673.1)+(-1.91556+(-0.878679--1.029843))+0-0-0</f>
        <v>1151.4356039999998</v>
      </c>
      <c r="T155" s="3">
        <f>1209+(579.1-635.9)+(-0.61659+(-0.295341--0.324309))+0-0-0</f>
        <v>1151.612378</v>
      </c>
      <c r="U155" s="3">
        <f>1122.2+(610.5-624.2)+(0+(0-0))+0-0-0</f>
        <v>1108.5</v>
      </c>
      <c r="V155" s="3">
        <f>1094.5+(655.5-595.3)+(-1.11639+(-0.66861--0.607206))+0-0-0</f>
        <v>1153.5222060000001</v>
      </c>
      <c r="W155" s="3">
        <f>1086.6+(697.4-705.5)+(-1.662498+(-1.067022--1.079415))+0-0-0</f>
        <v>1076.8498950000001</v>
      </c>
      <c r="X155" s="3">
        <f>1118.9+(698.7-690.8)+(-1.141278+(-0.712674--0.704616))+0-0-0</f>
        <v>1125.6506640000002</v>
      </c>
      <c r="Y155" s="3">
        <f>1150.8+(693.9-701)+(-1.173816+(-0.707778--0.71502))+0-0-0</f>
        <v>1142.5334259999997</v>
      </c>
      <c r="Z155" s="3">
        <f>1219.1+(651.4-574.2)+(-0.621741+(-0.332214--0.292842))+0-0-0</f>
        <v>1295.6388869999998</v>
      </c>
      <c r="AA155" s="3">
        <f>1173.9+(625.9-524.3)+(-1.796067+(-0.957627--0.802179))+0-0-0</f>
        <v>1273.548485</v>
      </c>
      <c r="AB155" s="3">
        <f>1140.7+(712.5-571.5)+(0+(0-0))+0-0-0</f>
        <v>1281.7</v>
      </c>
      <c r="AC155" s="3">
        <f>1122.8+(790.1-696.9)+(-0.572628+(-0.402951--0.355419))+0-0-0</f>
        <v>1215.3798400000001</v>
      </c>
      <c r="AD155">
        <f t="shared" si="2"/>
        <v>26091.786951000002</v>
      </c>
      <c r="AE155" s="3">
        <f>1192+(619.3-511)+(0+(0-0))+0-0-0</f>
        <v>1300.3</v>
      </c>
    </row>
    <row r="156" spans="1:31" s="2" customFormat="1" x14ac:dyDescent="0.25">
      <c r="A156">
        <v>89</v>
      </c>
      <c r="B156">
        <v>6</v>
      </c>
      <c r="C156">
        <v>1</v>
      </c>
      <c r="D156">
        <v>3</v>
      </c>
      <c r="E156">
        <v>1</v>
      </c>
      <c r="F156" s="3">
        <f>1094.1+(766.6-752)+(0+(0-0))+0-0-0</f>
        <v>1108.6999999999998</v>
      </c>
      <c r="G156" s="3">
        <f>1088.9+(697.8-761.8)+(-2.221356+(-1.423512--1.554072))+0-0-0</f>
        <v>1022.8092040000001</v>
      </c>
      <c r="H156" s="3">
        <f>1102.2+(703.9-848.6)+(1.686366+(1.076967-1.298358))+0-0-0</f>
        <v>958.96497499999998</v>
      </c>
      <c r="I156" s="3">
        <f>1093.4+(687.3-841)+(-1.115268+(-0.701046--0.85782))+0-0-0</f>
        <v>938.74150600000007</v>
      </c>
      <c r="J156" s="3">
        <f>1169.4+(675.6-789.9)+(-0.596394+(-0.344556--0.402849))+0-0-0</f>
        <v>1054.561899</v>
      </c>
      <c r="K156" s="3">
        <f>1140.8+(653-763.6)+(-0.581808+(-0.33303--0.389436))+0-0-0</f>
        <v>1029.6745979999998</v>
      </c>
      <c r="L156" s="3">
        <f>1116.2+(631.5-774.1)+(-1.138524+(-0.64413--0.789582))+0-0-0</f>
        <v>972.60692800000004</v>
      </c>
      <c r="M156" s="3">
        <f>1118.7+(601.7-756)+(1.141074+(0.613734-0.77112))+0-0-0</f>
        <v>965.38368800000012</v>
      </c>
      <c r="N156" s="3">
        <f>1113.8+(647.6-746.5)+(0.568038+(0.330276-0.380715))+0-0-0</f>
        <v>1015.417599</v>
      </c>
      <c r="O156" s="3">
        <f>1127.5+(665.9-695.1)+(0.575025+(0.339609-0.354501))+0-0-0</f>
        <v>1098.8601329999999</v>
      </c>
      <c r="P156" s="3">
        <f>1272.6+(666.1-780.8)+(0+(0-0))+0-0-0</f>
        <v>1157.9000000000001</v>
      </c>
      <c r="Q156" s="3">
        <f>1273.2+(676.9-766)+(0.649332+(0.345219-0.39066))+0-0-0</f>
        <v>1184.7038909999999</v>
      </c>
      <c r="R156" s="3">
        <f>1265.7+(659.5-790.5)+(0.645507+(0.336345-0.403155))+0-0-0</f>
        <v>1135.278697</v>
      </c>
      <c r="S156" s="3">
        <f>1261.1+(661.1-818.1)+(0+(0-0))+0-0-0</f>
        <v>1104.0999999999999</v>
      </c>
      <c r="T156" s="3">
        <f>1256.2+(670.3-769.9)+(0+(0-0))+0-0-0</f>
        <v>1156.5999999999999</v>
      </c>
      <c r="U156" s="3">
        <f>1257.8+(643.3-757.8)+(0.641478+(0.328083-0.386478))+0-0-0</f>
        <v>1143.8830829999999</v>
      </c>
      <c r="V156" s="3">
        <f>1243+(661.1-763.2)+(0.63393+(0.337161-0.389232))+0-0-0</f>
        <v>1141.481859</v>
      </c>
      <c r="W156" s="3">
        <f>1248.4+(718.3-840.5)+(-0.636684+(-0.366333--0.428655))+0-0-0</f>
        <v>1125.625638</v>
      </c>
      <c r="X156" s="3">
        <f>1238.2+(734-862.3)+(-1.894446+(-1.12302--1.319319))+0-0-0</f>
        <v>1108.201853</v>
      </c>
      <c r="Y156" s="3">
        <f>1240.9+(714.8-849.6)+(-1.898577+(-1.093644--1.299888))+0-0-0</f>
        <v>1104.4076669999999</v>
      </c>
      <c r="Z156" s="3">
        <f>1255+(727-687.1)+(-0.64005+(-0.37077--0.350421))+0-0-0</f>
        <v>1294.239601</v>
      </c>
      <c r="AA156" s="3">
        <f>1266.2+(727.9-650.5)+(-1.291524+(-0.742458--0.66351))+0-0-0</f>
        <v>1342.2295279999998</v>
      </c>
      <c r="AB156" s="3">
        <f>1271.2+(763.5-781)+(0+(0-0))+0-0-0</f>
        <v>1253.7</v>
      </c>
      <c r="AC156" s="3">
        <f>1236.6+(781-802.3)+(-1.261332+(-0.79662--0.818346))+0-0-0</f>
        <v>1214.0603939999999</v>
      </c>
      <c r="AD156">
        <f t="shared" si="2"/>
        <v>26632.132741000001</v>
      </c>
      <c r="AE156" s="3">
        <f>1256+(717.6-638.3)+(0+(0-0))+0-0-0</f>
        <v>1335.3000000000002</v>
      </c>
    </row>
    <row r="157" spans="1:31" s="2" customFormat="1" x14ac:dyDescent="0.25">
      <c r="A157">
        <v>89</v>
      </c>
      <c r="B157">
        <v>6</v>
      </c>
      <c r="C157">
        <v>2</v>
      </c>
      <c r="D157">
        <v>4</v>
      </c>
      <c r="E157">
        <v>1</v>
      </c>
      <c r="F157" s="3">
        <f>1109.4+(741.9-872.3)+(-0.565794+(-0.378369--0.444873))+0-0-0</f>
        <v>978.50071000000014</v>
      </c>
      <c r="G157" s="3">
        <f>1107.4+(726.8-872.5)+(-1.694322+(-1.112004--1.334925))+0-0-0</f>
        <v>960.22859900000003</v>
      </c>
      <c r="H157" s="3">
        <f>1112+(662.6-870.1)+(-0.56712+(-0.337926--0.443751))+0-0-0</f>
        <v>904.03870500000005</v>
      </c>
      <c r="I157" s="3">
        <f>1121.5+(593.1-799.5)+(0.571965+(0.302481-0.407745))+0-0-0</f>
        <v>915.56670099999997</v>
      </c>
      <c r="J157" s="3">
        <f>1162.2+(538-796.5)+(0+(0-0))+0-0-0</f>
        <v>903.7</v>
      </c>
      <c r="K157" s="3">
        <f>1162.2+(500-738.3)+(-2.96361+(-1.275--1.882665))+0-0-0</f>
        <v>921.54405500000007</v>
      </c>
      <c r="L157" s="3">
        <f>1168.5+(367.1-693.5)+(0+(0-0))+0-0-0</f>
        <v>842.1</v>
      </c>
      <c r="M157" s="3">
        <f>1169.9+(379.4-678.1)+(-1.193298+(-0.386988--0.691662))+0-0-0</f>
        <v>870.311376</v>
      </c>
      <c r="N157" s="3">
        <f>1139.8+(407.6-646.5)+(0+(0-0))+0-0-0</f>
        <v>900.9</v>
      </c>
      <c r="O157" s="3">
        <f>1168.2+(462.2-633.7)+(0.595782+(0.235722-0.323187))+0-0-0</f>
        <v>997.20831700000008</v>
      </c>
      <c r="P157" s="3">
        <f>1227+(473.7-642.9)+(0.62577+(0.241587-0.327879))+0-0-0</f>
        <v>1058.3394779999999</v>
      </c>
      <c r="Q157" s="3">
        <f>1229.5+(464-573.1)+(0+(0-0))+0-0-0</f>
        <v>1120.4000000000001</v>
      </c>
      <c r="R157" s="3">
        <f>1226.5+(478-608.8)+(-0.625515+(-0.24378--0.310488))+0-0-0</f>
        <v>1095.1411930000002</v>
      </c>
      <c r="S157" s="3">
        <f>1223+(534.8-607.1)+(-0.62373+(-0.272748--0.309621))+0-0-0</f>
        <v>1150.1131429999998</v>
      </c>
      <c r="T157" s="3">
        <f>1230.6+(602.9-688.6)+(0.627606+(0.307479-0.351186))+0-0-0</f>
        <v>1145.4838989999998</v>
      </c>
      <c r="U157" s="3">
        <f>1218.6+(613.2-718.9)+(-1.242972+(-0.625464--0.733278))+0-0-0</f>
        <v>1111.764842</v>
      </c>
      <c r="V157" s="3">
        <f>1209.4+(639.3-669.4)+(0+(0-0))+0-0-0</f>
        <v>1179.3000000000002</v>
      </c>
      <c r="W157" s="3">
        <f>1195.6+(690.9-765.9)+(-2.439024+(-1.409436--1.562436))+0-0-0</f>
        <v>1118.3139759999999</v>
      </c>
      <c r="X157" s="3">
        <f>1204.2+(707.4-812)+(1.228284+(0.721548-0.82824))+0-0-0</f>
        <v>1100.7215919999999</v>
      </c>
      <c r="Y157" s="3">
        <f>1204.9+(702.1-790.9)+(0.614499+(0.358071-0.403359))+0-0-0</f>
        <v>1116.6692110000001</v>
      </c>
      <c r="Z157" s="3">
        <f>1241.9+(692.9-631.3)+(-1.266738+(-0.706758--0.643926))+0-0-0</f>
        <v>1302.1704299999999</v>
      </c>
      <c r="AA157" s="3">
        <f>1223.9+(703.4-616)+(-1.872567+(-1.076202--0.94248))+0-0-0</f>
        <v>1309.2937110000003</v>
      </c>
      <c r="AB157" s="3">
        <f>1211+(761.3-688.6)+(-1.85283+(-1.164789--1.053558))+0-0-0</f>
        <v>1281.7359389999999</v>
      </c>
      <c r="AC157" s="3">
        <f>1216.8+(751.8-765)+(-1.241136+(-0.766836--0.7803))+0-0-0</f>
        <v>1202.3723279999999</v>
      </c>
      <c r="AD157">
        <f t="shared" si="2"/>
        <v>25485.918204999998</v>
      </c>
      <c r="AE157" s="3">
        <f>1259+(680.5-539.5)+(0+(0-0))+0-0-0</f>
        <v>1400</v>
      </c>
    </row>
    <row r="158" spans="1:31" s="2" customFormat="1" x14ac:dyDescent="0.25">
      <c r="A158">
        <v>89</v>
      </c>
      <c r="B158">
        <v>6</v>
      </c>
      <c r="C158">
        <v>3</v>
      </c>
      <c r="D158">
        <v>5</v>
      </c>
      <c r="E158">
        <v>1</v>
      </c>
      <c r="F158" s="3">
        <f>1209.7+(714-830)+(-0.616947+(-0.36414--0.4233))+0-0-0</f>
        <v>1093.1422130000001</v>
      </c>
      <c r="G158" s="3">
        <f>1211.4+(719.2-938.6)+(-1.235628+(-0.733584--0.957372))+0-0-0</f>
        <v>990.98816000000011</v>
      </c>
      <c r="H158" s="3">
        <f>1216.4+(676.5-914.6)+(0+(0-0))+0-0-0</f>
        <v>978.30000000000007</v>
      </c>
      <c r="I158" s="3">
        <f>1206.2+(646.7-923.8)+(-2.460648+(-1.319268--1.884552))+0-0-0</f>
        <v>927.20463600000016</v>
      </c>
      <c r="J158" s="3">
        <f>1212.3+(579.3-823.1)+(0+(0-0))+0-0-0</f>
        <v>968.49999999999989</v>
      </c>
      <c r="K158" s="3">
        <f>1228.2+(466.6-739.2)+(-0.626382+(-0.237966--0.376992))+0-0-0</f>
        <v>955.11264400000005</v>
      </c>
      <c r="L158" s="3">
        <f>1159.1+(376.1-662.1)+(-2.955705+(-0.959055--1.688355))+0-0-0</f>
        <v>870.87359499999991</v>
      </c>
      <c r="M158" s="3">
        <f>1168.4+(353.8-702.8)+(-1.787652+(-0.541314--1.075284))+0-0-0</f>
        <v>818.14631800000006</v>
      </c>
      <c r="N158" s="3">
        <f>1254.5+(372.7-683.1)+(0.639795+(0.190077-0.348381))+0-0-0</f>
        <v>944.58149099999991</v>
      </c>
      <c r="O158" s="3">
        <f>1269.8+(415.9-693.3)+(-0.647598+(-0.212109--0.353583))+0-0-0</f>
        <v>991.89387599999998</v>
      </c>
      <c r="P158" s="3">
        <f>1246.9+(469.7-651.2)+(0+(0-0))+0-0-0</f>
        <v>1065.4000000000001</v>
      </c>
      <c r="Q158" s="3">
        <f>1230.9+(498.7-612.6)+(0+(0-0))+0-0-0</f>
        <v>1117</v>
      </c>
      <c r="R158" s="3">
        <f>1232.7+(590.6-672.2)+(0+(0-0))+0-0-0</f>
        <v>1151.0999999999999</v>
      </c>
      <c r="S158" s="3">
        <f>1232.8+(633.1-741.1)+(-1.257456+(-0.645762--0.755922))+0-0-0</f>
        <v>1123.6527039999999</v>
      </c>
      <c r="T158" s="3">
        <f>1233.1+(634.8-764.7)+(0+(0-0))+0-0-0</f>
        <v>1103.1999999999998</v>
      </c>
      <c r="U158" s="3">
        <f>1230.6+(680.3-793.6)+(-0.627606+(-0.346953--0.404736))+0-0-0</f>
        <v>1116.7301769999997</v>
      </c>
      <c r="V158" s="3">
        <f>1228.2+(715.1-801.8)+(0.626382+(0.364701-0.408918))+0-0-0</f>
        <v>1142.082165</v>
      </c>
      <c r="W158" s="3">
        <f>1157.2+(767.2-827.2)+(-0.590172+(-0.391272--0.421872))+0-0-0</f>
        <v>1096.6404280000002</v>
      </c>
      <c r="X158" s="3">
        <f>1206.1+(680.5-817.6)+(-1.230222+(-0.69411--0.833952))+0-0-0</f>
        <v>1067.9096199999999</v>
      </c>
      <c r="Y158" s="3">
        <f>1210.5+(683.9-807.1)+(-0.617355+(-0.348789--0.411621))+0-0-0</f>
        <v>1086.7454769999999</v>
      </c>
      <c r="Z158" s="3">
        <f>1225+(740.4-690.1)+(-1.87425+(-1.132812--1.055853))+0-0-0</f>
        <v>1273.3487909999999</v>
      </c>
      <c r="AA158" s="3">
        <f>1206.3+(792-689.4)+(-0.615213+(-0.40392--0.351594))+0-0-0</f>
        <v>1308.2324610000001</v>
      </c>
      <c r="AB158" s="3">
        <f>1204.3+(799.3-742.6)+(-1.842579+(-1.222929--1.136178))+0-0-0</f>
        <v>1259.0706700000001</v>
      </c>
      <c r="AC158" s="3">
        <f>1186.2+(761.5-740.7)+(-0.604962+(-0.388365--0.377757))+0-0-0</f>
        <v>1206.3844300000001</v>
      </c>
      <c r="AD158">
        <f t="shared" si="2"/>
        <v>25656.239856</v>
      </c>
      <c r="AE158" s="3">
        <f>1218+(766.5-640.7)+(0+(0-0))+0-0-0</f>
        <v>1343.8</v>
      </c>
    </row>
    <row r="159" spans="1:31" s="2" customFormat="1" x14ac:dyDescent="0.25">
      <c r="A159">
        <v>89</v>
      </c>
      <c r="B159">
        <v>6</v>
      </c>
      <c r="C159">
        <v>4</v>
      </c>
      <c r="D159">
        <v>6</v>
      </c>
      <c r="E159">
        <v>1</v>
      </c>
      <c r="F159" s="3">
        <f>1022.3+(776.7-728.8)+(-2.085492+(-1.584468--1.486752))+0-0-0</f>
        <v>1068.0167920000001</v>
      </c>
      <c r="G159" s="3">
        <f>915.9+(807.2-746.6)+(-2.802654+(-2.470032--2.284596))+0-0-0</f>
        <v>973.51190999999994</v>
      </c>
      <c r="H159" s="3">
        <f>923+(781.8-767.7)+(-0.94146+(-0.797436--0.783054))+0-0-0</f>
        <v>936.14415799999995</v>
      </c>
      <c r="I159" s="3">
        <f>934.2+(717.5-741.5)+(1.905768+(1.4637-1.51266))+0-0-0</f>
        <v>912.05680800000005</v>
      </c>
      <c r="J159" s="3">
        <f>943.5+(674.8-690)+(0+(0-0))+0-0-0</f>
        <v>928.3</v>
      </c>
      <c r="K159" s="3">
        <f>969.3+(607-679.8)+(-2.471715+(-1.54785--1.73349))+0-0-0</f>
        <v>894.21392500000002</v>
      </c>
      <c r="L159" s="3">
        <f>920+(520.6-584.9)+(-2.346+(-1.32753--1.491495))+0-0-0</f>
        <v>853.517965</v>
      </c>
      <c r="M159" s="3">
        <f>836.4+(526-506.8)+(0+(0-0))+0-0-0</f>
        <v>855.59999999999991</v>
      </c>
      <c r="N159" s="3">
        <f>888+(605.7-596.3)+(-0.45288+(-0.308907--0.304113))+0-0-0</f>
        <v>896.94232600000009</v>
      </c>
      <c r="O159" s="3">
        <f>966.8+(671.7-641.3)+(-0.493068+(-0.342567--0.327063))+0-0-0</f>
        <v>996.69142800000009</v>
      </c>
      <c r="P159" s="3">
        <f>974+(786.3-682.2)+(-1.49022+(-1.203039--1.043766))+0-0-0</f>
        <v>1076.450507</v>
      </c>
      <c r="Q159" s="3">
        <f>959.8+(773.6-629.7)+(0+(0-0))+0-0-0</f>
        <v>1103.6999999999998</v>
      </c>
      <c r="R159" s="3">
        <f>949.2+(771-652.8)+(0.968184+(0.78642-0.665856))+0-0-0</f>
        <v>1068.488748</v>
      </c>
      <c r="S159" s="3">
        <f>909.9+(818.3-664.1)+(0.464049+(0.417333-0.338691))+0-0-0</f>
        <v>1064.642691</v>
      </c>
      <c r="T159" s="3">
        <f>888.4+(816.1-638.7)+(-0.906168+(-0.832422--0.651474))+0-0-0</f>
        <v>1064.712884</v>
      </c>
      <c r="U159" s="3">
        <f>901.5+(842.6-680.6)+(-1.379295+(-1.289178--1.041318))+0-0-0</f>
        <v>1061.8728450000001</v>
      </c>
      <c r="V159" s="3">
        <f>913.9+(874.9-707.9)+(-1.864356+(-1.784796--1.444116))+0-0-0</f>
        <v>1078.694964</v>
      </c>
      <c r="W159" s="3">
        <f>902.4+(888.2-725.3)+(-2.30112+(-2.26491--1.849515))+0-0-0</f>
        <v>1062.5834850000001</v>
      </c>
      <c r="X159" s="3">
        <f>905.7+(825.3-673.7)+(-0.923814+(-0.841806--0.687174))+0-0-0</f>
        <v>1056.221554</v>
      </c>
      <c r="Y159" s="3">
        <f>908.4+(765.2-647.6)+(0.463284+(0.390252-0.330276))+0-0-0</f>
        <v>1026.5232599999999</v>
      </c>
      <c r="Z159" s="3">
        <f>875.1+(826.8-456.8)+(-1.338903+(-1.265004--0.698904))+0-0-0</f>
        <v>1243.1949969999998</v>
      </c>
      <c r="AA159" s="3">
        <f>876.5+(879.4-500.8)+(-2.235075+(-2.24247--1.27704))+0-0-0</f>
        <v>1251.8994949999999</v>
      </c>
      <c r="AB159" s="3">
        <f>878.4+(910.5-592.9)+(-0.447984+(-0.464355--0.302379))+0-0-0</f>
        <v>1195.39004</v>
      </c>
      <c r="AC159" s="3">
        <f>873.1+(906.2-619.3)+(-1.781124+(-1.848648--1.263372))+0-0-0</f>
        <v>1157.6335999999999</v>
      </c>
      <c r="AD159">
        <f t="shared" si="2"/>
        <v>24827.004382000003</v>
      </c>
      <c r="AE159" s="3">
        <f>866+(834.3-426.1)+(0+(0-0))+0-0-0</f>
        <v>1274.1999999999998</v>
      </c>
    </row>
    <row r="160" spans="1:31" s="2" customFormat="1" x14ac:dyDescent="0.25">
      <c r="A160">
        <v>89</v>
      </c>
      <c r="B160">
        <v>6</v>
      </c>
      <c r="C160">
        <v>5</v>
      </c>
      <c r="D160">
        <v>7</v>
      </c>
      <c r="E160">
        <v>1</v>
      </c>
      <c r="F160" s="3">
        <f>880.1+(851.9-679.2)+(-0.448851+(-0.434469--0.346392))+0-0-0</f>
        <v>1052.263072</v>
      </c>
      <c r="G160" s="3">
        <f>881+(757-675.9)+(-0.44931+(-0.38607--0.344709))+0-0-0</f>
        <v>961.609329</v>
      </c>
      <c r="H160" s="3">
        <f>948.6+(647.4-682.9)+(-2.902716+(-1.981044--2.089674))+0-0-0</f>
        <v>910.30591400000003</v>
      </c>
      <c r="I160" s="3">
        <f>1104.9+(559-769.8)+(1.690497+(0.85527-1.177794))+0-0-0</f>
        <v>895.46797300000014</v>
      </c>
      <c r="J160" s="3">
        <f>1189.2+(463.7-739.5)+(-2.425968+(-0.945948--1.50858))+0-0-0</f>
        <v>911.53666400000009</v>
      </c>
      <c r="K160" s="3">
        <f>1002.2+(546.1-662.9)+(-0.511122+(-0.278511--0.338079))+0-0-0</f>
        <v>884.9484460000001</v>
      </c>
      <c r="L160" s="3">
        <f>887.3+(607.9-680.9)+(0+(0-0))+0-0-0</f>
        <v>814.3</v>
      </c>
      <c r="M160" s="3">
        <f>770.4+(601.1-591.5)+(0+(0-0))+0-0-0</f>
        <v>780</v>
      </c>
      <c r="N160" s="3">
        <f>914.4+(539.5-655.8)+(0+(0-0))+0-0-0</f>
        <v>798.1</v>
      </c>
      <c r="O160" s="3">
        <f>871+(591.7-594.5)+(-0.88842+(-0.603534--0.60639))+0-0-0</f>
        <v>867.314436</v>
      </c>
      <c r="P160" s="3">
        <f>920.6+(622.6-629.1)+(-0.939012+(-0.635052--0.641682))+0-0-0</f>
        <v>913.16761800000006</v>
      </c>
      <c r="Q160" s="3">
        <f>936.4+(735-698.1)+(0+(0-0))+0-0-0</f>
        <v>973.3</v>
      </c>
      <c r="R160" s="3">
        <f>945.6+(768.7-691.9)+(-0.482256+(-0.392037--0.352869))+0-0-0</f>
        <v>1021.8785760000001</v>
      </c>
      <c r="S160" s="3">
        <f>944+(782.7-755.6)+(-0.96288+(-0.798354--0.770712))+0-0-0</f>
        <v>970.10947799999997</v>
      </c>
      <c r="T160" s="3">
        <f>942.7+(798.9-768.2)+(-1.442331+(-1.222317--1.175346))+0-0-0</f>
        <v>971.91069800000002</v>
      </c>
      <c r="U160" s="3">
        <f>937.7+(797.1-717.3)+(-1.912908+(-1.626084--1.463292))+0-0-0</f>
        <v>1015.4243000000001</v>
      </c>
      <c r="V160" s="3">
        <f>934.6+(760.4-720.3)+(-0.953292+(-0.775608--0.734706))+0-0-0</f>
        <v>973.70580600000005</v>
      </c>
      <c r="W160" s="3">
        <f>925.6+(770.6-755.8)+(0.944112+(0.786012-0.770916))+0-0-0</f>
        <v>941.35920800000008</v>
      </c>
      <c r="X160" s="3">
        <f>934+(506.8-473.8)+(0+(0-0))+0-0-0</f>
        <v>967</v>
      </c>
      <c r="Y160" s="3">
        <f>937.4+(551.4-610.9)+(0+(0-0))+0-0-0</f>
        <v>877.9</v>
      </c>
      <c r="Z160" s="3">
        <f>944.4+(800.6-550.9)+(-0.481644+(-0.408306--0.280959))+0-0-0</f>
        <v>1193.4910089999998</v>
      </c>
      <c r="AA160" s="3">
        <f>950.4+(827.1-540.5)+(-0.484704+(-0.421821--0.275655))+0-0-0</f>
        <v>1236.36913</v>
      </c>
      <c r="AB160" s="3">
        <f>954.2+(859.7-619.4)+(-0.973284+(-0.876894--0.631788))+0-0-0</f>
        <v>1193.28161</v>
      </c>
      <c r="AC160" s="3">
        <f>957.6+(786.2-642.9)+(0+(0-0))+0-0-0</f>
        <v>1100.9000000000001</v>
      </c>
      <c r="AD160">
        <f t="shared" si="2"/>
        <v>23225.643267000007</v>
      </c>
      <c r="AE160" s="3">
        <f>945+(829.8-542.7)+(0+(0-0))+0-0-0</f>
        <v>1232.0999999999999</v>
      </c>
    </row>
    <row r="161" spans="1:31" s="2" customFormat="1" x14ac:dyDescent="0.25">
      <c r="A161">
        <v>89</v>
      </c>
      <c r="B161">
        <v>6</v>
      </c>
      <c r="C161">
        <v>6</v>
      </c>
      <c r="D161">
        <v>1</v>
      </c>
      <c r="E161">
        <v>1</v>
      </c>
      <c r="F161" s="3">
        <f>963.6+(778.6-711.9)+(-0.491436+(-0.397086--0.363069))+0-0-0</f>
        <v>1029.7745470000002</v>
      </c>
      <c r="G161" s="3">
        <f>964.3+(768.6-772.1)+(0+(0-0))+0-0-0</f>
        <v>960.8</v>
      </c>
      <c r="H161" s="3">
        <f>968.1+(679.3-755.5)+(-1.974924+(-1.385772--1.54122))+0-0-0</f>
        <v>890.08052399999997</v>
      </c>
      <c r="I161" s="3">
        <f>964.2+(587.7-688.6)+(0+(0-0))+0-0-0</f>
        <v>863.30000000000007</v>
      </c>
      <c r="J161" s="3">
        <f>970+(539.4-634)+(-0.9894+(-0.550188--0.64668))+0-0-0</f>
        <v>874.50709199999994</v>
      </c>
      <c r="K161" s="3">
        <f>974+(517.4-624.7)+(-2.4837+(-1.31937--1.592985))+0-0-0</f>
        <v>864.48991499999988</v>
      </c>
      <c r="L161" s="3">
        <f>756.6+(523-453.4)+(-2.315196+(-1.60038--1.387404))+0-0-0</f>
        <v>823.671828</v>
      </c>
      <c r="M161" s="3">
        <f>711.2+(532.2-425.4)+(0.362712+(0.271422-0.216954))+0-0-0</f>
        <v>818.41718000000014</v>
      </c>
      <c r="N161" s="3">
        <f>924.2+(493.7-558)+(0+(0-0))+0-0-0</f>
        <v>859.90000000000009</v>
      </c>
      <c r="O161" s="3">
        <f>965.4+(587.5-607.2)+(-0.492354+(-0.299625--0.309672))+0-0-0</f>
        <v>945.21769299999994</v>
      </c>
      <c r="P161" s="3">
        <f>1051.9+(591.3-604.5)+(1.072938+(0.603126-0.61659))+0-0-0</f>
        <v>1039.759474</v>
      </c>
      <c r="Q161" s="3">
        <f>1138.6+(562.8-592.1)+(0.580686+(0.287028-0.301971))+0-0-0</f>
        <v>1109.8657429999998</v>
      </c>
      <c r="R161" s="3">
        <f>1149.9+(609.1-703.9)+(0.586449+(0.310641-0.358989))+0-0-0</f>
        <v>1055.6381010000002</v>
      </c>
      <c r="S161" s="3">
        <f>1149.5+(658.6-763.5)+(0+(0-0))+0-0-0</f>
        <v>1044.5999999999999</v>
      </c>
      <c r="T161" s="3">
        <f>1184.6+(669.8-785.7)+(0+(0-0))+0-0-0</f>
        <v>1068.6999999999998</v>
      </c>
      <c r="U161" s="3">
        <f>1269.1+(690.6-872.5)+(-2.588964+(-1.408824--1.7799))+0-0-0</f>
        <v>1084.9821119999999</v>
      </c>
      <c r="V161" s="3">
        <f>1275.1+(697.3-840.4)+(-3.251505+(-1.778115--2.14302))+0-0-0</f>
        <v>1129.1134</v>
      </c>
      <c r="W161" s="3">
        <f>1270.3+(697.5-860.2)+(-2.591412+(-1.4229--1.754808))+0-0-0</f>
        <v>1105.3404959999998</v>
      </c>
      <c r="X161" s="3">
        <f>1267+(613.6-807.5)+(-1.93851+(-0.938808--1.235475))+0-0-0</f>
        <v>1071.4581569999998</v>
      </c>
      <c r="Y161" s="3">
        <f>1270.9+(636.6-816.1)+(0.648159+(0.324666-0.416211))+0-0-0</f>
        <v>1091.9566140000002</v>
      </c>
      <c r="Z161" s="3">
        <f>1282.6+(723.1-678.3)+(-2.616504+(-1.475124--1.383732))+0-0-0</f>
        <v>1324.6921040000002</v>
      </c>
      <c r="AA161" s="3">
        <f>1289.4+(708.3-685.8)+(-3.945564+(-2.167398--2.098548))+0-0-0</f>
        <v>1307.8855860000001</v>
      </c>
      <c r="AB161" s="3">
        <f>1291.5+(593.5-637.3)+(-1.31733+(-0.60537--0.650046))+0-0-0</f>
        <v>1246.4273459999999</v>
      </c>
      <c r="AC161" s="3">
        <f>1274.3+(501.6-626.6)+(-1.299786+(-0.511632--0.639132))+0-0-0</f>
        <v>1148.127714</v>
      </c>
      <c r="AD161">
        <f t="shared" si="2"/>
        <v>24758.705626000003</v>
      </c>
      <c r="AE161" s="3">
        <f>1283.5+(701.5-662.7)+(0+(0-0))+0-0-0</f>
        <v>1322.3</v>
      </c>
    </row>
    <row r="162" spans="1:31" s="2" customFormat="1" x14ac:dyDescent="0.25">
      <c r="A162">
        <v>89</v>
      </c>
      <c r="B162">
        <v>6</v>
      </c>
      <c r="C162">
        <v>7</v>
      </c>
      <c r="D162">
        <v>2</v>
      </c>
      <c r="E162">
        <v>1</v>
      </c>
      <c r="F162" s="3">
        <f>1236.9+(446.8-657.7)+(-1.261638+(-0.455736--0.670854))+0-0-0</f>
        <v>1024.9534799999999</v>
      </c>
      <c r="G162" s="3">
        <f>1228.2+(545-825)+(-2.505528+(-1.1118--1.683))+0-0-0</f>
        <v>946.265672</v>
      </c>
      <c r="H162" s="3">
        <f>1227.9+(578.8-874.4)+(-3.131145+(-1.47594--2.22972))+0-0-0</f>
        <v>929.92263500000001</v>
      </c>
      <c r="I162" s="3">
        <f>1227.9+(577.6-874.9)+(-1.252458+(-0.589152--0.892398))+0-0-0</f>
        <v>929.65078800000015</v>
      </c>
      <c r="J162" s="3">
        <f>1240.7+(569-868)+(2.531028+(1.16076-1.77072))+0-0-0</f>
        <v>943.62106800000004</v>
      </c>
      <c r="K162" s="3">
        <f>1228.1+(548.5-859.1)+(-1.878993+(-0.839205--1.314423))+0-0-0</f>
        <v>916.09622499999989</v>
      </c>
      <c r="L162" s="3">
        <f>1150.8+(569.5-867.1)+(0+(0-0))+0-0-0</f>
        <v>853.19999999999993</v>
      </c>
      <c r="M162" s="3">
        <f>1138.6+(485.2-796.6)+(0+(0-0))+0-0-0</f>
        <v>827.19999999999982</v>
      </c>
      <c r="N162" s="3">
        <f>1110.2+(456.6-692.4)+(1.132404+(0.465732-0.706248))+0-0-0</f>
        <v>875.29188800000009</v>
      </c>
      <c r="O162" s="3">
        <f>1211.4+(533.9-822.5)+(-0.617814+(-0.272289--0.419475))+0-0-0</f>
        <v>922.32937200000003</v>
      </c>
      <c r="P162" s="3">
        <f>1248.8+(595.5-836.3)+(0+(0-0))+0-0-0</f>
        <v>1008</v>
      </c>
      <c r="Q162" s="3">
        <f>1252.4+(657.2-832.6)+(0.638724+(0.335172-0.424626))+0-0-0</f>
        <v>1077.54927</v>
      </c>
      <c r="R162" s="3">
        <f>1243.6+(668.1-857.6)+(-1.902708+(-1.022193--1.312128))+0-0-0</f>
        <v>1052.4872269999998</v>
      </c>
      <c r="S162" s="3">
        <f>1234.5+(682.2-896.5)+(-1.888785+(-1.043766--1.371645))+0-0-0</f>
        <v>1018.639094</v>
      </c>
      <c r="T162" s="3">
        <f>1245.7+(695-875)+(-1.905921+(-1.06335--1.33875))+0-0-0</f>
        <v>1064.069479</v>
      </c>
      <c r="U162" s="3">
        <f>1242.5+(688-851.1)+(-1.26735+(-0.70176--0.868122))+0-0-0</f>
        <v>1078.2990120000002</v>
      </c>
      <c r="V162" s="3">
        <f>1228.4+(683.5-811.8)+(-5.011872+(-2.78868--3.312144))+0-0-0</f>
        <v>1095.6115920000002</v>
      </c>
      <c r="W162" s="3">
        <f>1227.1+(677.2-862.6)+(-2.503284+(-1.381488--1.759704))+0-0-0</f>
        <v>1039.5749319999998</v>
      </c>
      <c r="X162" s="3">
        <f>1229.4+(583-776.3)+(-1.253988+(-0.59466--0.791826))+0-0-0</f>
        <v>1035.0431780000001</v>
      </c>
      <c r="Y162" s="3">
        <f>1253.3+(590.2-765.7)+(0.639183+(0.301002-0.390507))+0-0-0</f>
        <v>1078.349678</v>
      </c>
      <c r="Z162" s="3">
        <f>1260.8+(606.6-644.5)+(-1.929024+(-0.928098--0.986085))+0-0-0</f>
        <v>1221.0289630000002</v>
      </c>
      <c r="AA162" s="3">
        <f>1251.4+(598.8-674.7)+(-3.829284+(-1.832328--2.064582))+0-0-0</f>
        <v>1171.9029700000001</v>
      </c>
      <c r="AB162" s="3">
        <f>1256.5+(565.1-652.3)+(-1.922445+(-0.864603--0.998019))+0-0-0</f>
        <v>1167.5109710000002</v>
      </c>
      <c r="AC162" s="3">
        <f>1251.2+(475.1-603)+(-1.276224+(-0.484602--0.61506))+0-0-0</f>
        <v>1122.1542340000001</v>
      </c>
      <c r="AD162">
        <f t="shared" si="2"/>
        <v>24398.751727999999</v>
      </c>
      <c r="AE162" s="3">
        <f>1252+(623.2-685.6)+(0+(0-0))+0-0-0</f>
        <v>1189.5999999999999</v>
      </c>
    </row>
    <row r="163" spans="1:31" s="2" customFormat="1" x14ac:dyDescent="0.25">
      <c r="A163">
        <v>89</v>
      </c>
      <c r="B163">
        <v>6</v>
      </c>
      <c r="C163">
        <v>8</v>
      </c>
      <c r="D163">
        <v>3</v>
      </c>
      <c r="E163">
        <v>1</v>
      </c>
      <c r="F163" s="3">
        <f>1250.9+(524.6-748.7)+(-1.275918+(-0.535092--0.763674))+0-0-0</f>
        <v>1025.7526640000001</v>
      </c>
      <c r="G163" s="3">
        <f>1253.3+(583.9-888.2)+(-0.639183+(-0.297789--0.452982))+0-0-0</f>
        <v>948.51600999999994</v>
      </c>
      <c r="H163" s="3">
        <f>1258.5+(566.1-904.2)+(0+(0-0))+0-0-0</f>
        <v>920.4</v>
      </c>
      <c r="I163" s="3">
        <f>1250.9+(528.1-876.5)+(-1.275918+(-0.538662--0.89403))+0-0-0</f>
        <v>901.57945000000007</v>
      </c>
      <c r="J163" s="3">
        <f>1202.6+(508.7-785.4)+(0.613326+(0.259437-0.400554))+0-0-0</f>
        <v>926.37220899999988</v>
      </c>
      <c r="K163" s="3">
        <f>1118.7+(517.7-724.8)+(-2.282148+(-1.056108--1.478592))+0-0-0</f>
        <v>909.74033600000018</v>
      </c>
      <c r="L163" s="3">
        <f>1058.5+(511.2-725.7)+(-3.23901+(-1.564272--2.220642))+0-0-0</f>
        <v>841.41736000000003</v>
      </c>
      <c r="M163" s="3">
        <f>1021.1+(486-701.6)+(1.041522+(0.49572-0.715632))+0-0-0</f>
        <v>806.32160999999996</v>
      </c>
      <c r="N163" s="3">
        <f>1140.7+(422.9-697.5)+(0.581757+(0.215679-0.355725))+0-0-0</f>
        <v>866.54171100000008</v>
      </c>
      <c r="O163" s="3">
        <f>1257.8+(469.7-773.7)+(0+(0-0))+0-0-0</f>
        <v>953.8</v>
      </c>
      <c r="P163" s="3">
        <f>1253.8+(456.6-706.9)+(2.557752+(0.931464-1.442076))+0-0-0</f>
        <v>1005.54714</v>
      </c>
      <c r="Q163" s="3">
        <f>1250.8+(440.4-618.7)+(1.275816+(0.449208-0.631074))+0-0-0</f>
        <v>1073.5939499999999</v>
      </c>
      <c r="R163" s="3">
        <f>1263.1+(408.1-604.1)+(-0.644181+(-0.208131--0.308091))+0-0-0</f>
        <v>1066.5557789999998</v>
      </c>
      <c r="S163" s="3">
        <f>1264.4+(439.1-635.3)+(0+(0-0))+0-0-0</f>
        <v>1068.2000000000003</v>
      </c>
      <c r="T163" s="3">
        <f>1243.9+(407.5-577.4)+(0.634389+(0.207825-0.294474))+0-0-0</f>
        <v>1074.54774</v>
      </c>
      <c r="U163" s="3">
        <f>1241.6+(399.4-589.9)+(0.633216+(0.203694-0.300849))+0-0-0</f>
        <v>1051.6360609999999</v>
      </c>
      <c r="V163" s="3">
        <f>1254.4+(429.5-607.5)+(-1.919232+(-0.657135--0.929475))+0-0-0</f>
        <v>1074.7531080000001</v>
      </c>
      <c r="W163" s="3">
        <f>1248.1+(490.9-621.9)+(-1.909593+(-0.751077--0.951507))+0-0-0</f>
        <v>1115.3908369999999</v>
      </c>
      <c r="X163" s="3">
        <f>1220.8+(519.6-682.5)+(-0.622608+(-0.264996--0.348075))+0-0-0</f>
        <v>1057.3604710000002</v>
      </c>
      <c r="Y163" s="3">
        <f>1235.6+(547.1-684.4)+(0.630156+(0.279021-0.349044))+0-0-0</f>
        <v>1098.8601329999999</v>
      </c>
      <c r="Z163" s="3">
        <f>1278.4+(520.3-508.9)+(-0.651984+(-0.265353--0.259539))+0-0-0</f>
        <v>1289.1422020000002</v>
      </c>
      <c r="AA163" s="3">
        <f>1283.4+(573.9-575.4)+(0+(0-0))+0-0-0</f>
        <v>1281.9000000000001</v>
      </c>
      <c r="AB163" s="3">
        <f>1288.4+(644.8-675.7)+(-1.314168+(-0.657696--0.689214))+0-0-0</f>
        <v>1256.2173499999999</v>
      </c>
      <c r="AC163" s="3">
        <f>1283.2+(651.2-781.5)+(0+(0-0))+0-0-0</f>
        <v>1152.9000000000001</v>
      </c>
      <c r="AD163">
        <f t="shared" si="2"/>
        <v>24767.046120999999</v>
      </c>
      <c r="AE163" s="3">
        <f>1276+(547.6-520.9)+(0+(0-0))+0-0-0</f>
        <v>1302.7</v>
      </c>
    </row>
    <row r="164" spans="1:31" s="2" customFormat="1" x14ac:dyDescent="0.25">
      <c r="A164">
        <v>89</v>
      </c>
      <c r="B164">
        <v>6</v>
      </c>
      <c r="C164">
        <v>9</v>
      </c>
      <c r="D164">
        <v>4</v>
      </c>
      <c r="E164">
        <v>1</v>
      </c>
      <c r="F164" s="3">
        <f>1280.2+(632.8-827)+(-3.26451+(-1.61364--2.10885))+0-0-0</f>
        <v>1083.2307000000001</v>
      </c>
      <c r="G164" s="3">
        <f>1284.7+(517.4-862.5)+(-2.620788+(-1.055496--1.7595))+0-0-0</f>
        <v>937.68321600000002</v>
      </c>
      <c r="H164" s="3">
        <f>1285.9+(520.4-870)+(-1.967427+(-0.796212--1.3311))+0-0-0</f>
        <v>934.86746100000005</v>
      </c>
      <c r="I164" s="3">
        <f>1238.5+(501.8-841.6)+(-3.158175+(-1.27959--2.14608))+0-0-0</f>
        <v>896.40831500000002</v>
      </c>
      <c r="J164" s="3">
        <f>1249.7+(480-810.5)+(0+(0-0))+0-0-0</f>
        <v>919.2</v>
      </c>
      <c r="K164" s="3">
        <f>1237.9+(453-784.8)+(-3.156645+(-1.15515--2.00124))+0-0-0</f>
        <v>903.78944500000011</v>
      </c>
      <c r="L164" s="3">
        <f>1209.9+(449.2-796.3)+(-2.468196+(-0.916368--1.624452))+0-0-0</f>
        <v>861.03988800000013</v>
      </c>
      <c r="M164" s="3">
        <f>1222.5+(429.8-823.9)+(0+(0-0))+0-0-0</f>
        <v>828.40000000000009</v>
      </c>
      <c r="N164" s="3">
        <f>1248.7+(368.5-694.6)+(0.636837+(0.187935-0.354246))+0-0-0</f>
        <v>923.07052599999997</v>
      </c>
      <c r="O164" s="3">
        <f>1237.8+(424.1-692.8)+(0+(0-0))+0-0-0</f>
        <v>969.1</v>
      </c>
      <c r="P164" s="3">
        <f>1243.5+(414.4-630.5)+(0.634185+(0.211344-0.321555))+0-0-0</f>
        <v>1027.923974</v>
      </c>
      <c r="Q164" s="3">
        <f>1278.7+(383.9-542.1)+(1.956411+(0.587367-0.829413))+0-0-0</f>
        <v>1122.214365</v>
      </c>
      <c r="R164" s="3">
        <f>1271.6+(379.8-590.4)+(0.648516+(0.193698-0.301104))+0-0-0</f>
        <v>1061.5411099999999</v>
      </c>
      <c r="S164" s="3">
        <f>1266.5+(369.3-589)+(0+(0-0))+0-0-0</f>
        <v>1046.8</v>
      </c>
      <c r="T164" s="3">
        <f>1265.2+(233.6-439.4)+(0.645252+(0.119136-0.224094))+0-0-0</f>
        <v>1059.940294</v>
      </c>
      <c r="U164" s="3">
        <f>1265.5+(244.3-438.4)+(-3.227025+(-0.622965--1.11792))+0-0-0</f>
        <v>1068.6679300000001</v>
      </c>
      <c r="V164" s="3">
        <f>1260.7+(272.6-473.4)+(-1.285914+(-0.278052--0.482868))+0-0-0</f>
        <v>1058.818902</v>
      </c>
      <c r="W164" s="3">
        <f>1242.7+(335.7-521.4)+(-1.267554+(-0.342414--0.531828))+0-0-0</f>
        <v>1055.9218599999999</v>
      </c>
      <c r="X164" s="3">
        <f>1253.5+(445.1-636.5)+(-1.27857+(-0.454002--0.64923))+0-0-0</f>
        <v>1061.016658</v>
      </c>
      <c r="Y164" s="3">
        <f>1261.7+(489.8-702.3)+(-1.286934+(-0.499596--0.716346))+0-0-0</f>
        <v>1048.1298160000001</v>
      </c>
      <c r="Z164" s="3">
        <f>1285.7+(602.9-606.2)+(0+(0-0))+0-0-0</f>
        <v>1282.4000000000001</v>
      </c>
      <c r="AA164" s="3">
        <f>1258+(630.1-629.4)+(-2.56632+(-1.285404--1.283976))+0-0-0</f>
        <v>1256.1322520000001</v>
      </c>
      <c r="AB164" s="3">
        <f>1239.8+(698.1-714.8)+(0+(0-0))+0-0-0</f>
        <v>1223.0999999999999</v>
      </c>
      <c r="AC164" s="3">
        <f>1247.4+(653.3-742.5)+(-3.18087+(-1.665915--1.893375))+0-0-0</f>
        <v>1155.24659</v>
      </c>
      <c r="AD164">
        <f t="shared" si="2"/>
        <v>24784.643301999997</v>
      </c>
      <c r="AE164" s="3">
        <f>1286+(588.8-582.6)+(0+(0-0))+0-0-0</f>
        <v>1292.1999999999998</v>
      </c>
    </row>
    <row r="165" spans="1:31" s="2" customFormat="1" x14ac:dyDescent="0.25">
      <c r="A165">
        <v>89</v>
      </c>
      <c r="B165">
        <v>6</v>
      </c>
      <c r="C165">
        <v>10</v>
      </c>
      <c r="D165">
        <v>5</v>
      </c>
      <c r="E165">
        <v>5</v>
      </c>
      <c r="F165" s="3">
        <f>1249.6+(581.1-787.8)+(-1.911888+(-0.889083--1.205334))+0-0-0</f>
        <v>1041.3043630000002</v>
      </c>
      <c r="G165" s="3">
        <f>1245.8+(541.2-827.5)+(-1.906074+(-0.828036--1.266075))+0-0-0</f>
        <v>958.03196500000001</v>
      </c>
      <c r="H165" s="3">
        <f>1251.7+(494.8-812.4)+(-0.638367+(-0.252348--0.414324))+0-0-0</f>
        <v>933.6236090000001</v>
      </c>
      <c r="I165" s="3">
        <f>1252.5+(499.1-858.4)+(-1.27755+(-0.509082--0.875568))+0-0-0</f>
        <v>892.28893600000004</v>
      </c>
      <c r="J165" s="3">
        <f>1246.6+(452.9-788.4)+(-2.543064+(-0.923916--1.608336))+0-0-0</f>
        <v>909.24135599999988</v>
      </c>
      <c r="K165" s="3">
        <f>1248.6+(433.4-833.8)+(-3.18393+(-1.10517--2.12619))+0-0-0</f>
        <v>846.03708999999992</v>
      </c>
      <c r="L165" s="3">
        <f>1245.9+(493.6-918.9)+(-3.177045+(-1.25868--2.343195))+0-0-0</f>
        <v>818.50747000000013</v>
      </c>
      <c r="M165" s="3">
        <f>1151.8+(452.8-809.6)+(0+(0-0))+0-0-0</f>
        <v>795</v>
      </c>
      <c r="N165" s="3">
        <f>1143.6+(453.5-804.8)+(-1.166472+(-0.46257--0.820896))+0-0-0</f>
        <v>791.49185399999999</v>
      </c>
      <c r="O165" s="3">
        <f>1109.5+(477.3-732.1)+(-1.13169+(-0.486846--0.746742))+0-0-0</f>
        <v>853.82820600000002</v>
      </c>
      <c r="P165" s="3">
        <f>1127.6+(501.6-689.3)+(-0.575076+(-0.255816--0.351543))+0-0-0</f>
        <v>939.42065100000002</v>
      </c>
      <c r="Q165" s="3">
        <f>1135.7+(526.4-681.5)+(1.158414+(0.536928-0.69513))+0-0-0</f>
        <v>981.60021200000006</v>
      </c>
      <c r="R165" s="3">
        <f>1127.8+(651.3-793.1)+(-0.575178+(-0.332163--0.404481))+0-0-0</f>
        <v>985.49713999999983</v>
      </c>
      <c r="S165" s="3">
        <f>1223+(614.1-880.9)+(-0.62373+(-0.313191--0.449259))+0-0-0</f>
        <v>955.71233800000005</v>
      </c>
      <c r="T165" s="3">
        <f>1258.3+(560.9-877.1)+(0+(0-0))+0-0-0</f>
        <v>942.09999999999991</v>
      </c>
      <c r="U165" s="3">
        <f>1230.6+(611.3-842.4)+(-2.510424+(-1.247052--1.718496))+0-0-0</f>
        <v>997.46101999999985</v>
      </c>
      <c r="V165" s="3">
        <f>1215.6+(614.8-839.1)+(-0.619956+(-0.313548--0.427941))+0-0-0</f>
        <v>990.79443699999979</v>
      </c>
      <c r="W165" s="3">
        <f>1211.3+(632.6-831.7)+(-1.235526+(-0.645252--0.848334))+0-0-0</f>
        <v>1011.1675559999999</v>
      </c>
      <c r="X165" s="3">
        <f>1218.1+(549.6-773.2)+(-1.242462+(-0.560592--0.788664))+0-0-0</f>
        <v>993.48560999999984</v>
      </c>
      <c r="Y165" s="3">
        <f>1222.6+(547.7-742.4)+(0+(0-0))+0-0-0</f>
        <v>1027.9000000000001</v>
      </c>
      <c r="Z165" s="3">
        <f>1236.1+(534.3-524.9)+(-0.630411+(-0.272493--0.267699))+0-0-0</f>
        <v>1244.864795</v>
      </c>
      <c r="AA165" s="3">
        <f>1249.8+(525.6-535.4)+(-1.912194+(-0.804168--0.819162))+0-0-0</f>
        <v>1238.1027999999999</v>
      </c>
      <c r="AB165" s="3">
        <f>1252.6+(540.3-588.3)+(0.638826+(0.275553-0.300033))+0-0-0</f>
        <v>1205.214346</v>
      </c>
      <c r="AC165" s="3">
        <f>1253.6+(512.2-590.9)+(-0.639336+(-0.261222--0.301359))+0-0-0</f>
        <v>1174.3008010000001</v>
      </c>
      <c r="AD165">
        <f t="shared" si="2"/>
        <v>23526.976555000005</v>
      </c>
      <c r="AE165" s="3">
        <f>1248+(550.5-535.7)+(0+(0-0))+0-0-0</f>
        <v>1262.8</v>
      </c>
    </row>
    <row r="166" spans="1:31" s="2" customFormat="1" x14ac:dyDescent="0.25">
      <c r="A166">
        <v>89</v>
      </c>
      <c r="B166">
        <v>6</v>
      </c>
      <c r="C166">
        <v>11</v>
      </c>
      <c r="D166">
        <v>6</v>
      </c>
      <c r="E166">
        <v>6</v>
      </c>
      <c r="F166" s="3">
        <f>1255.9+(543.4-763.7)+(0+(0-0))+0-0-0</f>
        <v>1035.5999999999999</v>
      </c>
      <c r="G166" s="3">
        <f>1251.9+(544.3-824.7)+(-0.638469+(-0.277593--0.420597))+0-0-0</f>
        <v>971.00453500000003</v>
      </c>
      <c r="H166" s="3">
        <f>1258.6+(517.8-876.1)+(0.641886+(0.264078-0.446811))+0-0-0</f>
        <v>900.75915299999986</v>
      </c>
      <c r="I166" s="3">
        <f>1248.8+(512-877)+(0+(0-0))+0-0-0</f>
        <v>883.8</v>
      </c>
      <c r="J166" s="3">
        <f>1255.9+(455.1-810.5)+(0+(0-0))+0-0-0</f>
        <v>900.50000000000011</v>
      </c>
      <c r="K166" s="3">
        <f>1248.4+(488.2-817)+(0+(0-0))+0-0-0</f>
        <v>919.60000000000014</v>
      </c>
      <c r="L166" s="3">
        <f>1253.2+(475.3-900.8)+(-2.556528+(-0.969612--1.837632))+0-0-0</f>
        <v>826.01149200000009</v>
      </c>
      <c r="M166" s="3">
        <f>1261.1+(437.3-881.1)+(0.643161+(0.223023-0.449361))+0-0-0</f>
        <v>817.71682299999998</v>
      </c>
      <c r="N166" s="3">
        <f>1252.5+(394.3-763.8)+(-0.638775+(-0.201093--0.389538))+0-0-0</f>
        <v>882.54966999999999</v>
      </c>
      <c r="O166" s="3">
        <f>1253.4+(516.7-759.4)+(1.278468+(0.527034-0.774588))+0-0-0</f>
        <v>1011.7309140000002</v>
      </c>
      <c r="P166" s="3">
        <f>1253.6+(421.4-589.9)+(1.278672+(0.429828-0.601698))+0-0-0</f>
        <v>1086.2068019999999</v>
      </c>
      <c r="Q166" s="3">
        <f>1261+(324.8-476.4)+(0.64311+(0.165648-0.242964))+0-0-0</f>
        <v>1109.9657940000002</v>
      </c>
      <c r="R166" s="3">
        <f>1245.8+(244.4-453.6)+(0.635358+(0.124644-0.231336))+0-0-0</f>
        <v>1037.1286659999998</v>
      </c>
      <c r="S166" s="3">
        <f>1231.4+(245.7-484.3)+(-0.628014+(-0.125307--0.246993))+0-0-0</f>
        <v>992.29367200000002</v>
      </c>
      <c r="T166" s="3">
        <f>1233.6+(249.9-449.2)+(0.629136+(0.127449-0.229092))+0-0-0</f>
        <v>1034.827493</v>
      </c>
      <c r="U166" s="3">
        <f>1232.2+(269.6-476.1)+(-0.628422+(-0.137496--0.242811))+0-0-0</f>
        <v>1025.1768930000001</v>
      </c>
      <c r="V166" s="3">
        <f>1228+(343-547)+(-1.87884+(-0.52479--0.83691))+0-0-0</f>
        <v>1022.43328</v>
      </c>
      <c r="W166" s="3">
        <f>1232.9+(413-616.5)+(0+(0-0))+0-0-0</f>
        <v>1029.4000000000001</v>
      </c>
      <c r="X166" s="3">
        <f>1226.3+(470.7-708.6)+(0.625413+(0.240057-0.361386))+0-0-0</f>
        <v>988.9040839999999</v>
      </c>
      <c r="Y166" s="3">
        <f>1252.6+(406.9-583.3)+(1.277652+(0.415038-0.594966))+0-0-0</f>
        <v>1077.2977239999998</v>
      </c>
      <c r="Z166" s="3">
        <f>1284.2+(398.5-437)+(-0.654942+(-0.203235--0.22287))+0-0-0</f>
        <v>1245.064693</v>
      </c>
      <c r="AA166" s="3">
        <f>1294.4+(403.7-459.3)+(0.660144+(0.205887-0.234243))+0-0-0</f>
        <v>1239.4317880000001</v>
      </c>
      <c r="AB166" s="3">
        <f>1298.2+(482.2-581.5)+(-1.324164+(-0.491844--0.59313))+0-0-0</f>
        <v>1197.6771220000001</v>
      </c>
      <c r="AC166" s="3">
        <f>1292.5+(509.4-646.1)+(1.31835+(0.519588-0.659022))+0-0-0</f>
        <v>1156.978916</v>
      </c>
      <c r="AD166">
        <f t="shared" si="2"/>
        <v>24392.059514000008</v>
      </c>
      <c r="AE166" s="3">
        <f>1285+(426-434.4)+(0+(0-0))+0-0-0</f>
        <v>1276.5999999999999</v>
      </c>
    </row>
    <row r="167" spans="1:31" s="2" customFormat="1" x14ac:dyDescent="0.25">
      <c r="A167">
        <v>89</v>
      </c>
      <c r="B167">
        <v>6</v>
      </c>
      <c r="C167">
        <v>12</v>
      </c>
      <c r="D167">
        <v>7</v>
      </c>
      <c r="E167">
        <v>1</v>
      </c>
      <c r="F167" s="3">
        <f>1241.5+(526.2-705.5)+(0+(0-0))+0-0-0</f>
        <v>1062.2</v>
      </c>
      <c r="G167" s="3">
        <f>1148.7+(562.1-735.1)+(0.585837+(0.286671-0.374901))+0-0-0</f>
        <v>976.19760700000006</v>
      </c>
      <c r="H167" s="3">
        <f>1149.4+(533.3-788.9)+(0+(0-0))+0-0-0</f>
        <v>893.80000000000007</v>
      </c>
      <c r="I167" s="3">
        <f>1155.7+(493.4-732.9)+(2.947035+(1.25817-1.868895))+0-0-0</f>
        <v>918.53631000000007</v>
      </c>
      <c r="J167" s="3">
        <f>1146.9+(502.7-729.7)+(-1.169838+(-0.512754--0.744294))+0-0-0</f>
        <v>918.96170200000006</v>
      </c>
      <c r="K167" s="3">
        <f>1142.4+(467.5-747.1)+(-2.91312+(-1.192125--1.905105))+0-0-0</f>
        <v>860.59986000000004</v>
      </c>
      <c r="L167" s="3">
        <f>1150+(444.4-763.6)+(-2.9325+(-1.13322--1.94718))+0-0-0</f>
        <v>828.6814599999999</v>
      </c>
      <c r="M167" s="3">
        <f>1147.6+(478.6-824)+(-2.341104+(-0.976344--1.68096))+0-0-0</f>
        <v>800.56351199999995</v>
      </c>
      <c r="N167" s="3">
        <f>1157.6+(446.8-774.9)+(0.590376+(0.227868-0.395199))+0-0-0</f>
        <v>829.923045</v>
      </c>
      <c r="O167" s="3">
        <f>1153.3+(446.3-714.3)+(0+(0-0))+0-0-0</f>
        <v>885.3</v>
      </c>
      <c r="P167" s="3">
        <f>1146+(469.2-671.6)+(-0.58446+(-0.239292--0.342516))+0-0-0</f>
        <v>943.11876399999994</v>
      </c>
      <c r="Q167" s="3">
        <f>1139+(467.8-624)+(-0.58089+(-0.238578--0.31824))+0-0-0</f>
        <v>982.29877199999999</v>
      </c>
      <c r="R167" s="3">
        <f>1136.6+(482.5-642.1)+(-0.579666+(-0.246075--0.327471))+0-0-0</f>
        <v>976.50172999999984</v>
      </c>
      <c r="S167" s="3">
        <f>1129.2+(517.9-653.1)+(-1.151784+(-0.528258--0.666162))+0-0-0</f>
        <v>992.98612000000003</v>
      </c>
      <c r="T167" s="3">
        <f>1139.8+(480-651.5)+(0+(0-0))+0-0-0</f>
        <v>968.3</v>
      </c>
      <c r="U167" s="3">
        <f>1128.4+(505-638.8)+(-1.726452+(-0.77265--0.977364))+0-0-0</f>
        <v>993.07826200000011</v>
      </c>
      <c r="V167" s="3">
        <f>1116.8+(548.9-647.8)+(-0.569568+(-0.279939--0.330378))+0-0-0</f>
        <v>1017.380871</v>
      </c>
      <c r="W167" s="3">
        <f>1119.2+(580.7-698.1)+(-1.712376+(-0.888471--1.068093))+0-0-0</f>
        <v>1000.2672460000001</v>
      </c>
      <c r="X167" s="3">
        <f>1117.7+(556.4-706.4)+(-2.850135+(-1.41882--1.80132))+0-0-0</f>
        <v>965.23236500000007</v>
      </c>
      <c r="Y167" s="3">
        <f>1129.9+(557.9-658.2)+(0+(0-0))+0-0-0</f>
        <v>1029.5999999999999</v>
      </c>
      <c r="Z167" s="3">
        <f>1131.1+(556.3-447.5)+(-1.153722+(-0.567426--0.45645))+0-0-0</f>
        <v>1238.6353019999999</v>
      </c>
      <c r="AA167" s="3">
        <f>1151.6+(519.3-422.3)+(-2.349264+(-1.059372--0.861492))+0-0-0</f>
        <v>1246.052856</v>
      </c>
      <c r="AB167" s="3">
        <f>1146.1+(577.4-534.7)+(-0.584511+(-0.294474--0.272697))+0-0-0</f>
        <v>1188.1937119999998</v>
      </c>
      <c r="AC167" s="3">
        <f>1147.5+(590.1-595.7)+(-0.585225+(-0.300951--0.303807))+0-0-0</f>
        <v>1141.3176310000001</v>
      </c>
      <c r="AD167">
        <f t="shared" si="2"/>
        <v>23657.727126999998</v>
      </c>
      <c r="AE167" s="3">
        <f>1174+(512.9-439.8)+(0+(0-0))+0-0-0</f>
        <v>1247.0999999999999</v>
      </c>
    </row>
    <row r="168" spans="1:31" s="2" customFormat="1" x14ac:dyDescent="0.25">
      <c r="A168">
        <v>89</v>
      </c>
      <c r="B168">
        <v>6</v>
      </c>
      <c r="C168">
        <v>13</v>
      </c>
      <c r="D168">
        <v>1</v>
      </c>
      <c r="E168">
        <v>1</v>
      </c>
      <c r="F168" s="3">
        <f>1144.2+(652.6-791.3)+(-1.750626+(-0.998478--1.210689))+0-0-0</f>
        <v>1003.9615850000001</v>
      </c>
      <c r="G168" s="3">
        <f>1144.6+(625.2-810.7)+(-1.751238+(-0.956556--1.240371))+0-0-0</f>
        <v>957.63257699999986</v>
      </c>
      <c r="H168" s="3">
        <f>1149+(593.3-791.3)+(-1.17198+(-0.605166--0.807126))+0-0-0</f>
        <v>950.02998000000002</v>
      </c>
      <c r="I168" s="3">
        <f>1143.3+(549.9-798.3)+(0.583083+(0.280449-0.407133))+0-0-0</f>
        <v>895.35639900000001</v>
      </c>
      <c r="J168" s="3">
        <f>1154.7+(540.5-801)+(0.588897+(0.275655-0.40851))+0-0-0</f>
        <v>894.65604200000007</v>
      </c>
      <c r="K168" s="3">
        <f>1137.5+(530-765.6)+(-2.900625+(-1.3515--1.95228))+0-0-0</f>
        <v>899.60015499999997</v>
      </c>
      <c r="L168" s="3">
        <f>995.2+(571-723.5)+(-3.552864+(-2.03847--2.582895))+0-0-0</f>
        <v>839.69156100000009</v>
      </c>
      <c r="M168" s="3">
        <f>1083.9+(500.2-764.5)+(0+(0-0))+0-0-0</f>
        <v>819.60000000000014</v>
      </c>
      <c r="N168" s="3">
        <f>1159+(478.7-745.7)+(0+(0-0))+0-0-0</f>
        <v>892</v>
      </c>
      <c r="O168" s="3">
        <f>1152.5+(547.9-706.7)+(0.587775+(0.279429-0.360417))+0-0-0</f>
        <v>994.20678699999996</v>
      </c>
      <c r="P168" s="3">
        <f>1169.7+(487.7-644.2)+(1.789641+(0.746181-0.985626))+0-0-0</f>
        <v>1014.7501960000001</v>
      </c>
      <c r="Q168" s="3">
        <f>1174+(430.7-544.5)+(2.39496+(0.878628-1.11078))+0-0-0</f>
        <v>1062.3628080000001</v>
      </c>
      <c r="R168" s="3">
        <f>1167.8+(447.6-571)+(0+(0-0))+0-0-0</f>
        <v>1044.4000000000001</v>
      </c>
      <c r="S168" s="3">
        <f>1163.4+(468-590.7)+(-1.780002+(-0.71604--0.903771))+0-0-0</f>
        <v>1039.1077290000001</v>
      </c>
      <c r="T168" s="3">
        <f>1162.8+(439.8-519)+(0+(0-0))+0-0-0</f>
        <v>1083.5999999999999</v>
      </c>
      <c r="U168" s="3">
        <f>1165.4+(432.1-525.9)+(0+(0-0))+0-0-0</f>
        <v>1071.6000000000001</v>
      </c>
      <c r="V168" s="3">
        <f>1159.1+(469.8-600)+(-1.182282+(-0.479196--0.612))+0-0-0</f>
        <v>1027.850522</v>
      </c>
      <c r="W168" s="3">
        <f>1154.4+(601.9-721.8)+(-1.766232+(-0.920907--1.104354))+0-0-0</f>
        <v>1032.9172149999999</v>
      </c>
      <c r="X168" s="3">
        <f>1127.1+(641.2-700)+(-3.448926+(-1.962072--2.142))+0-0-0</f>
        <v>1065.0310019999999</v>
      </c>
      <c r="Y168" s="3">
        <f>1115+(651.1-664.4)+(-2.2746+(-1.328244--1.355376))+0-0-0</f>
        <v>1099.452532</v>
      </c>
      <c r="Z168" s="3">
        <f>1158.5+(647.9-537.3)+(-2.36334+(-1.321716--1.096092))+0-0-0</f>
        <v>1266.5110359999999</v>
      </c>
      <c r="AA168" s="3">
        <f>1122.4+(673.7-532.5)+(-1.717272+(-1.030761--0.814725))+0-0-0</f>
        <v>1261.6666920000002</v>
      </c>
      <c r="AB168" s="3">
        <f>1118.1+(708-621.5)+(-1.140462+(-0.72216--0.63393))+0-0-0</f>
        <v>1203.371308</v>
      </c>
      <c r="AC168" s="3">
        <f>1109.2+(747.8-797.6)+(-1.697076+(-1.144134--1.220328))+0-0-0</f>
        <v>1057.7791180000002</v>
      </c>
      <c r="AD168">
        <f t="shared" si="2"/>
        <v>24477.135243999997</v>
      </c>
      <c r="AE168" s="3">
        <f>1178+(632-493.7)+(0+(0-0))+0-0-0</f>
        <v>1316.3</v>
      </c>
    </row>
    <row r="169" spans="1:31" s="2" customFormat="1" x14ac:dyDescent="0.25">
      <c r="A169">
        <v>89</v>
      </c>
      <c r="B169">
        <v>6</v>
      </c>
      <c r="C169">
        <v>14</v>
      </c>
      <c r="D169">
        <v>2</v>
      </c>
      <c r="E169">
        <v>1</v>
      </c>
      <c r="F169" s="3">
        <f>1107.4+(745.6-792.1)+(-0.564774+(-0.380256--0.403971))+0-0-0</f>
        <v>1060.3589410000002</v>
      </c>
      <c r="G169" s="3">
        <f>1108.5+(689.6-835.4)+(-1.696005+(-1.055088--1.278162))+0-0-0</f>
        <v>961.22706900000003</v>
      </c>
      <c r="H169" s="3">
        <f>1112.8+(676.9-904.6)+(0+(0-0))+0-0-0</f>
        <v>885.09999999999991</v>
      </c>
      <c r="I169" s="3">
        <f>1112.1+(627.2-853)+(0+(0-0))+0-0-0</f>
        <v>886.3</v>
      </c>
      <c r="J169" s="3">
        <f>1116.7+(565.3-778.6)+(2.278068+(1.153212-1.588344))+0-0-0</f>
        <v>905.24293599999999</v>
      </c>
      <c r="K169" s="3">
        <f>1110.1+(579-788.2)+(-1.132302+(-0.59058--0.803964))+0-0-0</f>
        <v>899.9810819999999</v>
      </c>
      <c r="L169" s="3">
        <f>936.5+(613.8-715.3)+(-1.91046+(-1.252152--1.459212))+0-0-0</f>
        <v>833.29660000000001</v>
      </c>
      <c r="M169" s="3">
        <f>1044.4+(586.6-737.3)+(1.597932+(0.897498-1.128069))+0-0-0</f>
        <v>895.06736100000012</v>
      </c>
      <c r="N169" s="3">
        <f>1129.6+(527.2-685.2)+(-0.576096+(-0.268872--0.349452))+0-0-0</f>
        <v>971.10448399999996</v>
      </c>
      <c r="O169" s="3">
        <f>1127.6+(597.7-682.5)+(0+(0-0))+0-0-0</f>
        <v>1042.8</v>
      </c>
      <c r="P169" s="3">
        <f>1118.7+(625-650.9)+(1.711611+(0.95625-0.995877))+0-0-0</f>
        <v>1094.4719840000002</v>
      </c>
      <c r="Q169" s="3">
        <f>1119.5+(602.1-670.3)+(0.570945+(0.307071-0.341853))+0-0-0</f>
        <v>1051.8361630000002</v>
      </c>
      <c r="R169" s="3">
        <f>1129.7+(558.4-616.5)+(0.576147+(0.284784-0.314415))+0-0-0</f>
        <v>1072.146516</v>
      </c>
      <c r="S169" s="3">
        <f>1139.6+(606.6-676.7)+(-0.581196+(-0.309366--0.345117))+0-0-0</f>
        <v>1068.954555</v>
      </c>
      <c r="T169" s="3">
        <f>1137.5+(596.2-664.9)+(0.580125+(0.304062-0.339099))+0-0-0</f>
        <v>1069.3450880000003</v>
      </c>
      <c r="U169" s="3">
        <f>1138.3+(574.4-637.6)+(-1.741599+(-0.878832--0.975528))+0-0-0</f>
        <v>1073.4550969999998</v>
      </c>
      <c r="V169" s="3">
        <f>1136.9+(624.8-678.8)+(0+(0-0))+0-0-0</f>
        <v>1082.9000000000001</v>
      </c>
      <c r="W169" s="3">
        <f>1138.9+(704.8-744.1)+(-2.323356+(-1.437792--1.517964))+0-0-0</f>
        <v>1097.356816</v>
      </c>
      <c r="X169" s="3">
        <f>1127.8+(661.7-734.2)+(-1.725534+(-1.012401--1.123326))+0-0-0</f>
        <v>1053.685391</v>
      </c>
      <c r="Y169" s="3">
        <f>1135.6+(631-674.9)+(-0.579156+(-0.32181--0.344199))+0-0-0</f>
        <v>1091.1432329999998</v>
      </c>
      <c r="Z169" s="3">
        <f>1146.5+(641.9-535.8)+(-1.16943+(-0.654738--0.546516))+0-0-0</f>
        <v>1251.3223479999999</v>
      </c>
      <c r="AA169" s="3">
        <f>1150.5+(681.5-565.7)+(-1.17351+(-0.69513--0.577014))+0-0-0</f>
        <v>1265.008374</v>
      </c>
      <c r="AB169" s="3">
        <f>1156.1+(707.6-660.7)+(-0.589611+(-0.360876--0.336957))+0-0-0</f>
        <v>1202.3864699999999</v>
      </c>
      <c r="AC169" s="3">
        <f>1115+(704.8-676.1)+(-1.70595+(-1.078344--1.034433))+0-0-0</f>
        <v>1141.9501389999998</v>
      </c>
      <c r="AD169">
        <f t="shared" si="2"/>
        <v>24956.440647000003</v>
      </c>
      <c r="AE169" s="3">
        <f>1144+(624-500.3)+(0+(0-0))+0-0-0</f>
        <v>1267.7</v>
      </c>
    </row>
    <row r="170" spans="1:31" s="2" customFormat="1" x14ac:dyDescent="0.25">
      <c r="A170">
        <v>89</v>
      </c>
      <c r="B170">
        <v>6</v>
      </c>
      <c r="C170">
        <v>15</v>
      </c>
      <c r="D170">
        <v>3</v>
      </c>
      <c r="E170">
        <v>1</v>
      </c>
      <c r="F170" s="3">
        <f>1113.4+(648.8-759.1)+(-1.703502+(-0.992664--1.161423))+0-0-0</f>
        <v>1001.565257</v>
      </c>
      <c r="G170" s="3">
        <f>1117.7+(602.6-757.7)+(-1.710081+(-0.921978--1.159281))+0-0-0</f>
        <v>961.12722200000007</v>
      </c>
      <c r="H170" s="3">
        <f>1121.3+(573.5-796.5)+(-1.143726+(-0.58497--0.81243))+0-0-0</f>
        <v>897.383734</v>
      </c>
      <c r="I170" s="3">
        <f>1120.1+(542.1-783.2)+(-1.713753+(-0.829413--1.198296))+0-0-0</f>
        <v>877.65512999999987</v>
      </c>
      <c r="J170" s="3">
        <f>1120.9+(455.1-712.4)+(-1.143318+(-0.464202--0.726648))+0-0-0</f>
        <v>862.71912800000018</v>
      </c>
      <c r="K170" s="3">
        <f>1121.8+(449.9-693.6)+(-2.288472+(-0.917796--1.414944))+0-0-0</f>
        <v>876.30867599999988</v>
      </c>
      <c r="L170" s="3">
        <f>1054.5+(498.4-732.2)+(-4.840155+(-2.287656--3.360798))+0-0-0</f>
        <v>816.93298699999991</v>
      </c>
      <c r="M170" s="3">
        <f>988.3+(533.3-718.3)+(-1.512099+(-0.815949--1.098999))+0-0-0</f>
        <v>802.07095099999992</v>
      </c>
      <c r="N170" s="3">
        <f>1044.7+(519.6-701.5)+(-1.065594+(-0.529992--0.71553))+0-0-0</f>
        <v>861.9199440000001</v>
      </c>
      <c r="O170" s="3">
        <f>1226.7+(480.6-754.3)+(-1.876851+(-0.735318--1.154079))+0-0-0</f>
        <v>951.54191000000014</v>
      </c>
      <c r="P170" s="3">
        <f>1225.6+(497.7-744.4)+(-2.500224+(-1.015308--1.518576))+0-0-0</f>
        <v>976.90304399999991</v>
      </c>
      <c r="Q170" s="3">
        <f>1237.6+(538.6-721.9)+(1.893528+(0.824058-1.104507))+0-0-0</f>
        <v>1055.9130789999999</v>
      </c>
      <c r="R170" s="3">
        <f>1247.4+(482.9-655.9)+(0+(0-0))+0-0-0</f>
        <v>1074.4000000000001</v>
      </c>
      <c r="S170" s="3">
        <f>1256.4+(463.8-676.8)+(0+(0-0))+0-0-0</f>
        <v>1043.4000000000001</v>
      </c>
      <c r="T170" s="3">
        <f>1253.5+(436.2-622.7)+(0.639285+(0.222462-0.317577))+0-0-0</f>
        <v>1067.5441699999999</v>
      </c>
      <c r="U170" s="3">
        <f>1244.7+(459.7-638.4)+(-1.269594+(-0.468894--0.651168))+0-0-0</f>
        <v>1064.9126799999999</v>
      </c>
      <c r="V170" s="3">
        <f>1244.7+(492.6-676.4)+(-1.269594+(-0.502452--0.689928))+0-0-0</f>
        <v>1059.8178820000001</v>
      </c>
      <c r="W170" s="3">
        <f>1243.2+(548.5-723.3)+(-1.902096+(-0.839205--1.106649))+0-0-0</f>
        <v>1066.7653480000001</v>
      </c>
      <c r="X170" s="3">
        <f>1204.5+(553.4-711.1)+(-1.22859+(-0.564468--0.725322))+0-0-0</f>
        <v>1045.732264</v>
      </c>
      <c r="Y170" s="3">
        <f>1207.7+(574.4-713.7)+(0.615927+(0.292944-0.363987))+0-0-0</f>
        <v>1068.944884</v>
      </c>
      <c r="Z170" s="3">
        <f>1263.5+(609.8-593.4)+(-0.644385+(-0.310998--0.302634))+0-0-0</f>
        <v>1279.247251</v>
      </c>
      <c r="AA170" s="3">
        <f>1267+(663.6-668.5)+(-1.93851+(-1.015308--1.022805))+0-0-0</f>
        <v>1260.168987</v>
      </c>
      <c r="AB170" s="3">
        <f>1257.6+(685.8-704.3)+(0+(0-0))+0-0-0</f>
        <v>1239.0999999999999</v>
      </c>
      <c r="AC170" s="3">
        <f>1225.3+(667.7-750.7)+(-0.624903+(-0.340527--0.382857))+0-0-0</f>
        <v>1141.717427</v>
      </c>
      <c r="AD170">
        <f t="shared" si="2"/>
        <v>24353.791954999997</v>
      </c>
      <c r="AE170" s="3">
        <f>1264+(632.8-613.6)+(0+(0-0))+0-0-0</f>
        <v>1283.1999999999998</v>
      </c>
    </row>
    <row r="171" spans="1:31" s="2" customFormat="1" x14ac:dyDescent="0.25">
      <c r="A171">
        <v>89</v>
      </c>
      <c r="B171">
        <v>6</v>
      </c>
      <c r="C171">
        <v>16</v>
      </c>
      <c r="D171">
        <v>4</v>
      </c>
      <c r="E171">
        <v>1</v>
      </c>
      <c r="F171" s="3">
        <f>1222.4+(646.3-798.9)+(-1.246848+(-0.659226--0.814878))+0-0-0</f>
        <v>1068.7088040000001</v>
      </c>
      <c r="G171" s="3">
        <f>1214+(584.1-845.9)+(-3.0957+(-1.489455--2.157045))+0-0-0</f>
        <v>949.7718900000001</v>
      </c>
      <c r="H171" s="3">
        <f>1225.2+(533-840.4)+(0.624852+(0.27183-0.428604))+0-0-0</f>
        <v>918.26807800000006</v>
      </c>
      <c r="I171" s="3">
        <f>1218.4+(496.1-855.7)+(-3.10692+(-1.265055--2.182035))+0-0-0</f>
        <v>856.61006000000009</v>
      </c>
      <c r="J171" s="3">
        <f>1225.5+(469-803.6)+(0.625005+(0.23919-0.409836))+0-0-0</f>
        <v>891.35435899999993</v>
      </c>
      <c r="K171" s="3">
        <f>1219.7+(448.3-789.6)+(-3.110235+(-1.143165--2.01348))+0-0-0</f>
        <v>876.16008000000011</v>
      </c>
      <c r="L171" s="3">
        <f>1144.6+(487.2-788.2)+(-2.91873+(-1.24236--2.00991))+0-0-0</f>
        <v>841.44881999999996</v>
      </c>
      <c r="M171" s="3">
        <f>1079.2+(496.3-804.2)+(0+(0-0))+0-0-0</f>
        <v>771.3</v>
      </c>
      <c r="N171" s="3">
        <f>1251.7+(476.4-840.2)+(0.638367+(0.242964-0.428502))+0-0-0</f>
        <v>888.35282899999993</v>
      </c>
      <c r="O171" s="3">
        <f>1249.3+(467.9-780.1)+(1.911429+(0.715887-1.193553))+0-0-0</f>
        <v>938.53376299999991</v>
      </c>
      <c r="P171" s="3">
        <f>1232.1+(519.1-724.4)+(-0.628371+(-0.264741--0.369444))+0-0-0</f>
        <v>1026.2763319999999</v>
      </c>
      <c r="Q171" s="3">
        <f>1227.4+(576.6-758.1)+(0.625974+(0.294066-0.386631))+0-0-0</f>
        <v>1046.433409</v>
      </c>
      <c r="R171" s="3">
        <f>1250.9+(573-765.8)+(0.637959+(0.29223-0.390558))+0-0-0</f>
        <v>1058.6396310000002</v>
      </c>
      <c r="S171" s="3">
        <f>1251.9+(532-738.2)+(-1.276938+(-0.54264--0.752964))+0-0-0</f>
        <v>1044.633386</v>
      </c>
      <c r="T171" s="3">
        <f>1261+(509.3-727.7)+(0+(0-0))+0-0-0</f>
        <v>1042.5999999999999</v>
      </c>
      <c r="U171" s="3">
        <f>1264.2+(483.1-710)+(-0.644742+(-0.246381--0.3621))+0-0-0</f>
        <v>1036.7709770000001</v>
      </c>
      <c r="V171" s="3">
        <f>1274.4+(498.7-668.4)+(-1.299888+(-0.508674--0.681768))+0-0-0</f>
        <v>1103.573206</v>
      </c>
      <c r="W171" s="3">
        <f>1237.2+(549.8-794.1)+(-0.630972+(-0.280398--0.404991))+0-0-0</f>
        <v>992.39362099999994</v>
      </c>
      <c r="X171" s="3">
        <f>1208.4+(542.3-713.6)+(0+(0-0))+0-0-0</f>
        <v>1037.0999999999999</v>
      </c>
      <c r="Y171" s="3">
        <f>1208.6+(556-679.7)+(-1.232772+(-0.56712--0.693294))+0-0-0</f>
        <v>1083.7934019999998</v>
      </c>
      <c r="Z171" s="3">
        <f>1208.6+(606.3-585.7)+(-1.849158+(-0.927639--0.896121))+0-0-0</f>
        <v>1227.3193239999998</v>
      </c>
      <c r="AA171" s="3">
        <f>1198.5+(604.9-568.7)+(-1.833705+(-0.925497--0.870111))+0-0-0</f>
        <v>1232.8109089999998</v>
      </c>
      <c r="AB171" s="3">
        <f>1201.1+(671.3-691.4)+(-0.612561+(-0.342363--0.352614))+0-0-0</f>
        <v>1180.39769</v>
      </c>
      <c r="AC171" s="3">
        <f>1210.1+(706-816.3)+(-1.234302+(-0.72012--0.832626))+0-0-0</f>
        <v>1098.6782040000001</v>
      </c>
      <c r="AD171">
        <f t="shared" si="2"/>
        <v>24211.928773999996</v>
      </c>
      <c r="AE171" s="3">
        <f>1233+(587.7-559.9)+(0+(0-0))+0-0-0</f>
        <v>1260.8000000000002</v>
      </c>
    </row>
    <row r="172" spans="1:31" s="2" customFormat="1" x14ac:dyDescent="0.25">
      <c r="A172">
        <v>89</v>
      </c>
      <c r="B172">
        <v>6</v>
      </c>
      <c r="C172">
        <v>17</v>
      </c>
      <c r="D172">
        <v>5</v>
      </c>
      <c r="E172">
        <v>1</v>
      </c>
      <c r="F172" s="3">
        <f>1218.8+(698.8-915.6)+(-0.621588+(-0.356388--0.466956))+0-0-0</f>
        <v>1001.4889799999999</v>
      </c>
      <c r="G172" s="3">
        <f>1215.2+(667.7-935.1)+(-2.479008+(-1.362108--1.907604))+0-0-0</f>
        <v>945.86648800000012</v>
      </c>
      <c r="H172" s="3">
        <f>1215.4+(586.5-891.9)+(-1.859562+(-0.897345--1.364607))+0-0-0</f>
        <v>908.60770000000014</v>
      </c>
      <c r="I172" s="3">
        <f>1216.8+(519.2-862.2)+(-1.861704+(-0.794376--1.319166))+0-0-0</f>
        <v>872.46308599999998</v>
      </c>
      <c r="J172" s="3">
        <f>1224+(505.9-857.7)+(0.62424+(0.258009-0.437427))+0-0-0</f>
        <v>872.64482199999998</v>
      </c>
      <c r="K172" s="3">
        <f>1126.4+(521.4-769.9)+(-1.723392+(-0.797742--1.177947))+0-0-0</f>
        <v>876.55681300000015</v>
      </c>
      <c r="L172" s="3">
        <f>1031.4+(521.2-732.8)+(-0.526014+(-0.265812--0.373728))+0-0-0</f>
        <v>819.3819020000002</v>
      </c>
      <c r="M172" s="3">
        <f>1032.2+(514-747.6)+(-0.526422+(-0.26214--0.381276))+0-0-0</f>
        <v>798.19271400000002</v>
      </c>
      <c r="N172" s="3">
        <f>1110.5+(449-687.5)+(-1.699065+(-0.68697--1.051875))+0-0-0</f>
        <v>870.66584</v>
      </c>
      <c r="O172" s="3">
        <f>1244.1+(435.8-718.4)+(-1.268982+(-0.444516--0.732768))+0-0-0</f>
        <v>960.51927000000001</v>
      </c>
      <c r="P172" s="3">
        <f>1235.1+(481.1-704.1)+(-1.889703+(-0.736083--1.077273))+0-0-0</f>
        <v>1010.551487</v>
      </c>
      <c r="Q172" s="3">
        <f>1217.7+(531.2-702.5)+(-0.621027+(-0.270912--0.358275))+0-0-0</f>
        <v>1045.866336</v>
      </c>
      <c r="R172" s="3">
        <f>1223.8+(479.4-656.8)+(-0.624138+(-0.244494--0.334968))+0-0-0</f>
        <v>1045.866336</v>
      </c>
      <c r="S172" s="3">
        <f>1249.7+(462.1-669.4)+(-1.274694+(-0.471342--0.682788))+0-0-0</f>
        <v>1041.3367520000002</v>
      </c>
      <c r="T172" s="3">
        <f>1246+(451.6-686)+(-0.63546+(-0.230316--0.34986))+0-0-0</f>
        <v>1011.0840840000001</v>
      </c>
      <c r="U172" s="3">
        <f>1243.9+(455.7-646.1)+(0.634389+(0.232407-0.329511))+0-0-0</f>
        <v>1054.0372850000001</v>
      </c>
      <c r="V172" s="3">
        <f>1242.2+(488.5-684.8)+(-1.900566+(-0.747405--1.047744))+0-0-0</f>
        <v>1044.2997730000002</v>
      </c>
      <c r="W172" s="3">
        <f>1227.3+(512.4-702.9)+(-1.251846+(-0.522648--0.716958))+0-0-0</f>
        <v>1035.7424639999999</v>
      </c>
      <c r="X172" s="3">
        <f>1187.3+(477.6-631.3)+(-2.422092+(-0.974304--1.287852))+0-0-0</f>
        <v>1031.491456</v>
      </c>
      <c r="Y172" s="3">
        <f>1205.2+(519.3-636.2)+(-0.614652+(-0.264843--0.324462))+0-0-0</f>
        <v>1087.7449669999999</v>
      </c>
      <c r="Z172" s="3">
        <f>1241.1+(583.1-590.3)+(-1.898883+(-0.892143--0.903159))+0-0-0</f>
        <v>1232.0121330000002</v>
      </c>
      <c r="AA172" s="3">
        <f>1236.8+(630.9-618.3)+(-1.261536+(-0.643518--0.630666))+0-0-0</f>
        <v>1248.125612</v>
      </c>
      <c r="AB172" s="3">
        <f>1226.1+(669.2-693.6)+(0.625311+(0.341292-0.353736))+0-0-0</f>
        <v>1202.3128669999999</v>
      </c>
      <c r="AC172" s="3">
        <f>1217.2+(707.5-780.2)+(-2.483088+(-1.4433--1.591608))+0-0-0</f>
        <v>1142.1652200000001</v>
      </c>
      <c r="AD172">
        <f t="shared" si="2"/>
        <v>24159.024386999998</v>
      </c>
      <c r="AE172" s="3">
        <f>1211+(564.4-533)+(0+(0-0))+0-0-0</f>
        <v>1242.4000000000001</v>
      </c>
    </row>
    <row r="173" spans="1:31" s="2" customFormat="1" x14ac:dyDescent="0.25">
      <c r="A173">
        <v>89</v>
      </c>
      <c r="B173">
        <v>6</v>
      </c>
      <c r="C173">
        <v>18</v>
      </c>
      <c r="D173">
        <v>6</v>
      </c>
      <c r="E173">
        <v>1</v>
      </c>
      <c r="F173" s="3">
        <f>1218.5+(653.9-829.5)+(0+(0-0))+0-0-0</f>
        <v>1042.9000000000001</v>
      </c>
      <c r="G173" s="3">
        <f>1218.7+(565.5-854.2)+(-1.243074+(-0.57681--0.871284))+0-0-0</f>
        <v>929.05139999999994</v>
      </c>
      <c r="H173" s="3">
        <f>1221.3+(529.7-872.2)+(0+(0-0))+0-0-0</f>
        <v>878.8</v>
      </c>
      <c r="I173" s="3">
        <f>1221.4+(557.8-922.3)+(-1.245828+(-0.568956--0.940746))+0-0-0</f>
        <v>856.02596200000005</v>
      </c>
      <c r="J173" s="3">
        <f>1228.5+(504.7-859.1)+(0.626535+(0.257397-0.438141))+0-0-0</f>
        <v>874.54579099999989</v>
      </c>
      <c r="K173" s="3">
        <f>1228.5+(476.8-837.1)+(0+(0-0))+0-0-0</f>
        <v>868.2</v>
      </c>
      <c r="L173" s="3">
        <f>1145+(471.6-785.7)+(-1.1679+(-0.481032--0.801414))+0-0-0</f>
        <v>830.05248199999994</v>
      </c>
      <c r="M173" s="3">
        <f>1150.4+(436.8-809.4)+(0.586704+(0.222768-0.412794))+0-0-0</f>
        <v>778.19667800000013</v>
      </c>
      <c r="N173" s="3">
        <f>1219.7+(447.8-815.5)+(-0.622047+(-0.228378--0.415905))+0-0-0</f>
        <v>851.56547999999998</v>
      </c>
      <c r="O173" s="3">
        <f>1223.3+(464.9-775.5)+(0+(0-0))+0-0-0</f>
        <v>912.69999999999993</v>
      </c>
      <c r="P173" s="3">
        <f>1222.8+(545.3-778.8)+(0.623628+(0.278103-0.397188))+0-0-0</f>
        <v>989.80454299999997</v>
      </c>
      <c r="Q173" s="3">
        <f>1213.7+(536.8-717.2)+(0.618987+(0.273768-0.365772))+0-0-0</f>
        <v>1033.8269829999999</v>
      </c>
      <c r="R173" s="3">
        <f>1208.3+(537.4-727.6)+(-1.232466+(-0.548148--0.742152))+0-0-0</f>
        <v>1017.0615379999999</v>
      </c>
      <c r="S173" s="3">
        <f>1204.4+(569.9-756.5)+(-2.456976+(-1.162596--1.54326))+0-0-0</f>
        <v>1015.723688</v>
      </c>
      <c r="T173" s="3">
        <f>1203.6+(615.8-829.6)+(-1.227672+(-0.628116--0.846192))+0-0-0</f>
        <v>988.79040399999985</v>
      </c>
      <c r="U173" s="3">
        <f>1224.8+(641.5-839.4)+(0+(0-0))+0-0-0</f>
        <v>1026.9000000000001</v>
      </c>
      <c r="V173" s="3">
        <f>1224.6+(588.8-794.5)+(-1.249092+(-0.600576--0.81039))+0-0-0</f>
        <v>1017.8607219999999</v>
      </c>
      <c r="W173" s="3">
        <f>1224.9+(615.1-800.7)+(-2.498796+(-1.254804--1.633428))+0-0-0</f>
        <v>1037.1798280000003</v>
      </c>
      <c r="X173" s="3">
        <f>1195.2+(615.4-820.2)+(1.219104+(0.627708-0.836604))+0-0-0</f>
        <v>991.41020800000001</v>
      </c>
      <c r="Y173" s="3">
        <f>1201.2+(636-786.4)+(0.612612+(0.32436-0.401064))+0-0-0</f>
        <v>1051.3359080000002</v>
      </c>
      <c r="Z173" s="3">
        <f>1255.3+(648.1-673.8)+(-1.280406+(-0.661062--0.687276))+0-0-0</f>
        <v>1228.3458079999998</v>
      </c>
      <c r="AA173" s="3">
        <f>1267.4+(657.1-708.9)+(-1.292748+(-0.670242--0.723078))+0-0-0</f>
        <v>1214.3600880000001</v>
      </c>
      <c r="AB173" s="3">
        <f>1274.3+(679-841.1)+(-1.299786+(-0.69258--0.857922))+0-0-0</f>
        <v>1111.0655559999998</v>
      </c>
      <c r="AC173" s="3">
        <f>1273.2+(700.8-867.3)+(0+(0-0))+0-0-0</f>
        <v>1106.7</v>
      </c>
      <c r="AD173">
        <f t="shared" si="2"/>
        <v>23652.403067000003</v>
      </c>
      <c r="AE173" s="3">
        <f>1257+(644.4-635.9)+(0+(0-0))+0-0-0</f>
        <v>1265.5</v>
      </c>
    </row>
    <row r="174" spans="1:31" s="2" customFormat="1" x14ac:dyDescent="0.25">
      <c r="A174">
        <v>89</v>
      </c>
      <c r="B174">
        <v>6</v>
      </c>
      <c r="C174">
        <v>19</v>
      </c>
      <c r="D174">
        <v>7</v>
      </c>
      <c r="E174">
        <v>3</v>
      </c>
      <c r="F174" s="3">
        <f>1096.8+(607.7-825)+(-2.237472+(-1.239708--1.683))+0-0-0</f>
        <v>877.70582000000002</v>
      </c>
      <c r="G174" s="3">
        <f>896.1+(581.9-710.4)+(-1.371033+(-0.890307--1.086912))+0-0-0</f>
        <v>766.42557199999999</v>
      </c>
      <c r="H174" s="3">
        <f>719+(531.2-517.8)+(-1.10007+(-0.812736--0.792234))+0-0-0</f>
        <v>731.27942800000005</v>
      </c>
      <c r="I174" s="3">
        <f>719.7+(519.5-457)+(-0.367047+(-0.264945--0.23307))+0-0-0</f>
        <v>781.80107800000008</v>
      </c>
      <c r="J174" s="3">
        <f>720.9+(518.6-463.8)+(0+(0-0))+0-0-0</f>
        <v>775.7</v>
      </c>
      <c r="K174" s="3">
        <f>716.4+(485.8-411.4)+(0+(0-0))+0-0-0</f>
        <v>790.8</v>
      </c>
      <c r="L174" s="3">
        <f>658+(511.1-386.2)+(-2.34906+(-1.824627--1.378734))+0-0-0</f>
        <v>780.10504700000013</v>
      </c>
      <c r="M174" s="3">
        <f>485.4+(652.6-420)+(-0.247554+(-0.332826--0.2142))+0-0-0</f>
        <v>717.63382000000001</v>
      </c>
      <c r="N174" s="3">
        <f>550.3+(608.2-434.7)+(1.403265+(1.55091-1.108485))+0-0-0</f>
        <v>725.64568999999995</v>
      </c>
      <c r="O174" s="3">
        <f>629.2+(581-431.8)+(-0.320892+(-0.29631--0.220218))+0-0-0</f>
        <v>778.00301600000012</v>
      </c>
      <c r="P174" s="3">
        <f>626.4+(622.6-451.9)+(-0.638928+(-0.635052--0.460938))+0-0-0</f>
        <v>796.28695800000003</v>
      </c>
      <c r="Q174" s="3">
        <f>627.9+(628.2-440.6)+(-0.320229+(-0.320382--0.224706))+0-0-0</f>
        <v>815.08409500000005</v>
      </c>
      <c r="R174" s="3">
        <f>665.1+(613.2-425.3)+(-1.017603+(-0.938196--0.650709))+0-0-0</f>
        <v>851.69491000000005</v>
      </c>
      <c r="S174" s="3">
        <f>666.8+(628-444.6)+(-0.680136+(-0.64056--0.453492))+0-0-0</f>
        <v>849.33279599999992</v>
      </c>
      <c r="T174" s="3">
        <f>661.9+(660.3-446.4)+(-0.675138+(-0.673506--0.455328))+0-0-0</f>
        <v>874.90668399999993</v>
      </c>
      <c r="U174" s="3">
        <f>662.4+(632-428)+(-0.337824+(-0.32232--0.21828))+0-0-0</f>
        <v>865.95813599999997</v>
      </c>
      <c r="V174" s="3">
        <f>661.8+(617.5-416.8)+(-1.012554+(-0.944775--0.637704))+0-0-0</f>
        <v>861.18037500000003</v>
      </c>
      <c r="W174" s="3">
        <f>659.9+(609.5-417.2)+(-2.019294+(-1.86507--1.276632))+0-0-0</f>
        <v>849.59226799999999</v>
      </c>
      <c r="X174" s="3">
        <f>543.7+(710.5-410.1)+(-0.554574+(-0.72471--0.418302))+0-0-0</f>
        <v>843.23901799999999</v>
      </c>
      <c r="Y174" s="3">
        <f>634.6+(683.6-431)+(-0.647292+(-0.697272--0.43962))+0-0-0</f>
        <v>886.29505600000005</v>
      </c>
      <c r="Z174" s="3">
        <f>678.4+(817.8-410.8)+(-1.383936+(-1.668312--0.838032))+0-0-0</f>
        <v>1083.1857839999998</v>
      </c>
      <c r="AA174" s="3">
        <f>659.9+(832.9-425.6)+(-1.346196+(-1.699116--0.868224))+0-0-0</f>
        <v>1065.0229119999999</v>
      </c>
      <c r="AB174" s="3">
        <f>662.1+(811-441.4)+(-0.337671+(-0.41361--0.225114))+0-0-0</f>
        <v>1031.1738330000001</v>
      </c>
      <c r="AC174" s="3">
        <f>662.6+(718.8-422.3)+(-1.013778+(-1.099764--0.646119))+0-0-0</f>
        <v>957.63257699999986</v>
      </c>
      <c r="AD174">
        <f t="shared" si="2"/>
        <v>20355.684873000006</v>
      </c>
      <c r="AE174" s="3">
        <f>685+(811.2-426)+(0+(0-0))+0-0-0</f>
        <v>1070.2</v>
      </c>
    </row>
    <row r="175" spans="1:31" s="2" customFormat="1" x14ac:dyDescent="0.25">
      <c r="A175">
        <v>89</v>
      </c>
      <c r="B175">
        <v>6</v>
      </c>
      <c r="C175">
        <v>20</v>
      </c>
      <c r="D175">
        <v>1</v>
      </c>
      <c r="E175">
        <v>1</v>
      </c>
      <c r="F175" s="3">
        <f>656.3+(651.7-408.5)+(-1.338852+(-1.329468--0.83334))+0-0-0</f>
        <v>897.66502000000003</v>
      </c>
      <c r="G175" s="3">
        <f>655.1+(567.3-407.4)+(-1.002303+(-0.867969--0.623322))+0-0-0</f>
        <v>813.75305000000003</v>
      </c>
      <c r="H175" s="3">
        <f>652.7+(558.2-420.7)+(-1.997262+(-1.708092--1.287342))+0-0-0</f>
        <v>787.78198800000007</v>
      </c>
      <c r="I175" s="3">
        <f>659.7+(513.3-398.6)+(-0.672894+(-0.523566--0.406572))+0-0-0</f>
        <v>773.61011199999996</v>
      </c>
      <c r="J175" s="3">
        <f>659+(495.3-402.8)+(-0.67218+(-0.505206--0.410856))+0-0-0</f>
        <v>750.73347000000001</v>
      </c>
      <c r="K175" s="3">
        <f>663+(498.1-425.5)+(0+(0-0))+0-0-0</f>
        <v>735.6</v>
      </c>
      <c r="L175" s="3">
        <f>613.4+(527.7-387)+(-2.189838+(-1.883889--1.38159))+0-0-0</f>
        <v>751.40786300000002</v>
      </c>
      <c r="M175" s="3">
        <f>628.5+(463-377.9)+(-0.961605+(-0.70839--0.578187))+0-0-0</f>
        <v>712.50819200000001</v>
      </c>
      <c r="N175" s="3">
        <f>831.8+(351.2-433)+(-1.272654+(-0.537336--0.66249))+0-0-0</f>
        <v>748.85249999999996</v>
      </c>
      <c r="O175" s="3">
        <f>990.9+(307.2-461.3)+(-0.505359+(-0.156672--0.235263))+0-0-0</f>
        <v>836.37323199999992</v>
      </c>
      <c r="P175" s="3">
        <f>991.8+(356-472.6)+(-1.011636+(-0.36312--0.482052))+0-0-0</f>
        <v>874.30729599999995</v>
      </c>
      <c r="Q175" s="3">
        <f>993.9+(372.4-433.5)+(-0.506889+(-0.189924--0.221085))+0-0-0</f>
        <v>932.32427199999995</v>
      </c>
      <c r="R175" s="3">
        <f>996+(377.5-425.1)+(-0.50796+(-0.192525--0.216801))+0-0-0</f>
        <v>947.91631599999994</v>
      </c>
      <c r="S175" s="3">
        <f>992.9+(428.8-516.2)+(-1.012758+(-0.437376--0.526524))+0-0-0</f>
        <v>904.57638999999995</v>
      </c>
      <c r="T175" s="3">
        <f>987.9+(523.5-590.2)+(0.503829+(0.266985-0.301002))+0-0-0</f>
        <v>921.66981199999998</v>
      </c>
      <c r="U175" s="3">
        <f>975+(536.8-551.4)+(-0.9945+(-0.547536--0.562428))+0-0-0</f>
        <v>959.42039199999999</v>
      </c>
      <c r="V175" s="3">
        <f>974.8+(579-570.3)+(0+(0-0))+0-0-0</f>
        <v>983.5</v>
      </c>
      <c r="W175" s="3">
        <f>970.2+(581.1-624.5)+(-2.47401+(-1.481805--1.592475))+0-0-0</f>
        <v>924.43666000000007</v>
      </c>
      <c r="X175" s="3">
        <f>935.8+(508.1-537)+(-2.863548+(-1.554786--1.64322))+0-0-0</f>
        <v>904.12488599999995</v>
      </c>
      <c r="Y175" s="3">
        <f>956.4+(488.6-435.8)+(-0.487764+(-0.249186--0.222258))+0-0-0</f>
        <v>1008.6853080000001</v>
      </c>
      <c r="Z175" s="3">
        <f>995.3+(585.4-384.7)+(-1.015206+(-0.597108--0.392394))+0-0-0</f>
        <v>1194.78008</v>
      </c>
      <c r="AA175" s="3">
        <f>993.8+(574.4-432)+(-2.027352+(-1.171776--0.88128))+0-0-0</f>
        <v>1133.8821519999999</v>
      </c>
      <c r="AB175" s="3">
        <f>993.4+(636.6-540)+(-1.519902+(-0.973998--0.8262))+0-0-0</f>
        <v>1088.3323</v>
      </c>
      <c r="AC175" s="3">
        <f>989.7+(680.9-613)+(-2.523735+(-1.736295--1.56315))+0-0-0</f>
        <v>1054.9031199999999</v>
      </c>
      <c r="AD175">
        <f t="shared" si="2"/>
        <v>21641.144410999997</v>
      </c>
      <c r="AE175" s="3">
        <f>994+(613.1-429.6)+(0+(0-0))+0-0-0</f>
        <v>1177.5</v>
      </c>
    </row>
    <row r="176" spans="1:31" s="2" customFormat="1" x14ac:dyDescent="0.25">
      <c r="A176">
        <v>89</v>
      </c>
      <c r="B176">
        <v>6</v>
      </c>
      <c r="C176">
        <v>21</v>
      </c>
      <c r="D176">
        <v>2</v>
      </c>
      <c r="E176">
        <v>1</v>
      </c>
      <c r="F176" s="3">
        <f>994.2+(592.8-607.7)+(-1.521126+(-0.906984--0.929781))+0-0-0</f>
        <v>977.80167099999994</v>
      </c>
      <c r="G176" s="3">
        <f>874.1+(596.3-635.3)+(-0.445791+(-0.304113--0.324003))+0-0-0</f>
        <v>834.67409900000007</v>
      </c>
      <c r="H176" s="3">
        <f>788.7+(556.4-524.2)+(-0.804474+(-0.567528--0.534684))+0-0-0</f>
        <v>820.062682</v>
      </c>
      <c r="I176" s="3">
        <f>785.4+(491.4-456)+(-1.201662+(-0.751842--0.69768))+0-0-0</f>
        <v>819.54417599999999</v>
      </c>
      <c r="J176" s="3">
        <f>781+(439.8-480.9)+(-1.19493+(-0.672894--0.735777))+0-0-0</f>
        <v>738.76795300000003</v>
      </c>
      <c r="K176" s="3">
        <f>657.2+(520.9-439.6)+(0+(0-0))+0-0-0</f>
        <v>738.5</v>
      </c>
      <c r="L176" s="3">
        <f>649.8+(539.4-441.2)+(-1.65699+(-1.37547--1.12506))+0-0-0</f>
        <v>746.09259999999995</v>
      </c>
      <c r="M176" s="3">
        <f>674.7+(496.8-447.1)+(0+(0-0))+0-0-0</f>
        <v>724.40000000000009</v>
      </c>
      <c r="N176" s="3">
        <f>953+(353.8-480)+(0.48603+(0.180438-0.2448))+0-0-0</f>
        <v>827.22166799999991</v>
      </c>
      <c r="O176" s="3">
        <f>1011.1+(417.8-536.4)+(-1.546983+(-0.639234--0.820692))+0-0-0</f>
        <v>891.13447499999995</v>
      </c>
      <c r="P176" s="3">
        <f>1010.8+(487.3-550.8)+(0+(0-0))+0-0-0</f>
        <v>947.3</v>
      </c>
      <c r="Q176" s="3">
        <f>1012.1+(579.1-592.9)+(0+(0-0))+0-0-0</f>
        <v>998.30000000000007</v>
      </c>
      <c r="R176" s="3">
        <f>998.6+(650.7-642.6)+(-1.527858+(-0.995571--0.983178))+0-0-0</f>
        <v>1005.159749</v>
      </c>
      <c r="S176" s="3">
        <f>993.6+(748.5-747.9)+(-2.53368+(-1.908675--1.907145))+0-0-0</f>
        <v>991.66479000000004</v>
      </c>
      <c r="T176" s="3">
        <f>1007+(756.7-777.6)+(0+(0-0))+0-0-0</f>
        <v>986.1</v>
      </c>
      <c r="U176" s="3">
        <f>1010.8+(740.8-767.4)+(1.031016+(0.755616-0.782748))+0-0-0</f>
        <v>985.2038839999999</v>
      </c>
      <c r="V176" s="3">
        <f>1000.6+(681.6-664.5)+(-2.041224+(-1.390464--1.35558))+0-0-0</f>
        <v>1015.6238920000001</v>
      </c>
      <c r="W176" s="3">
        <f>986.8+(573.1-559.7)+(-2.013072+(-1.169124--1.141788))+0-0-0</f>
        <v>998.15959199999998</v>
      </c>
      <c r="X176" s="3">
        <f>993.4+(479.2-502.8)+(-0.506634+(-0.244392--0.256428))+0-0-0</f>
        <v>969.30540199999996</v>
      </c>
      <c r="Y176" s="3">
        <f>993.7+(522.6-491.6)+(-0.506787+(-0.266526--0.250716))+0-0-0</f>
        <v>1024.1774030000001</v>
      </c>
      <c r="Z176" s="3">
        <f>995.2+(716.7-507.9)+(-1.522656+(-1.096551--0.777087))+0-0-0</f>
        <v>1202.15788</v>
      </c>
      <c r="AA176" s="3">
        <f>985.4+(805.5-592.1)+(-3.517878+(-2.875635--2.113797))+0-0-0</f>
        <v>1194.5202839999999</v>
      </c>
      <c r="AB176" s="3">
        <f>993.7+(680.2-546.6)+(-0.506787+(-0.346902--0.278766))+0-0-0</f>
        <v>1126.7250770000003</v>
      </c>
      <c r="AC176" s="3">
        <f>992.6+(673.2-604.2)+(-1.012452+(-0.686664--0.616284))+0-0-0</f>
        <v>1060.5171679999999</v>
      </c>
      <c r="AD176">
        <f t="shared" si="2"/>
        <v>22623.114444999996</v>
      </c>
      <c r="AE176" s="3">
        <f>1004+(753.3-542.8)+(0+(0-0))+0-0-0</f>
        <v>1214.5</v>
      </c>
    </row>
    <row r="177" spans="1:31" s="2" customFormat="1" x14ac:dyDescent="0.25">
      <c r="A177">
        <v>89</v>
      </c>
      <c r="B177">
        <v>6</v>
      </c>
      <c r="C177">
        <v>22</v>
      </c>
      <c r="D177">
        <v>3</v>
      </c>
      <c r="E177">
        <v>1</v>
      </c>
      <c r="F177" s="3">
        <f>995.5+(661.1-670.9)+(-2.03082+(-1.348644--1.368636))+0-0-0</f>
        <v>983.6891720000001</v>
      </c>
      <c r="G177" s="3">
        <f>999.1+(587.5-634.5)+(-0.509541+(-0.299625--0.323595))+0-0-0</f>
        <v>951.61442899999997</v>
      </c>
      <c r="H177" s="3">
        <f>1000.1+(578.9-652.8)+(-1.020102+(-0.590478--0.665856))+0-0-0</f>
        <v>925.25527600000009</v>
      </c>
      <c r="I177" s="3">
        <f>999.1+(585.2-693.5)+(-1.528623+(-0.895356--1.061055))+0-0-0</f>
        <v>889.43707600000005</v>
      </c>
      <c r="J177" s="3">
        <f>999.1+(545.7-652.2)+(-1.019082+(-0.556614--0.665244))+0-0-0</f>
        <v>891.68954800000006</v>
      </c>
      <c r="K177" s="3">
        <f>1007.3+(531.8-673.8)+(2.054892+(1.084872-1.374552))+0-0-0</f>
        <v>867.06521199999997</v>
      </c>
      <c r="L177" s="3">
        <f>932.6+(470.2-570.1)+(-1.902504+(-0.959208--1.163004))+0-0-0</f>
        <v>831.00129200000003</v>
      </c>
      <c r="M177" s="3">
        <f>875.4+(391.1-468)+(1.339362+(0.598383-0.71604))+0-0-0</f>
        <v>799.72170500000004</v>
      </c>
      <c r="N177" s="3">
        <f>1011.3+(410.2-547.5)+(-0.515763+(-0.209202--0.279225))+0-0-0</f>
        <v>873.55426</v>
      </c>
      <c r="O177" s="3">
        <f>1010.6+(478.9-559.2)+(0.515406+(0.244239-0.285192))+0-0-0</f>
        <v>930.77445299999999</v>
      </c>
      <c r="P177" s="3">
        <f>1035.8+(529.4-575.6)+(1.056516+(0.539988-0.587112))+0-0-0</f>
        <v>990.60939199999996</v>
      </c>
      <c r="Q177" s="3">
        <f>1117.4+(594.1-709.2)+(-0.569874+(-0.302991--0.361692))+0-0-0</f>
        <v>1001.7888270000001</v>
      </c>
      <c r="R177" s="3">
        <f>1110.4+(645.9-760)+(0+(0-0))+0-0-0</f>
        <v>996.30000000000007</v>
      </c>
      <c r="S177" s="3">
        <f>1105.6+(697-829.4)+(-1.127712+(-0.71094--0.845988))+0-0-0</f>
        <v>972.20733599999994</v>
      </c>
      <c r="T177" s="3">
        <f>1083.3+(669.3-749.2)+(0+(0-0))+0-0-0</f>
        <v>1003.3999999999999</v>
      </c>
      <c r="U177" s="3">
        <f>1107.1+(699.7-831.3)+(0+(0-0))+0-0-0</f>
        <v>975.5</v>
      </c>
      <c r="V177" s="3">
        <f>1109.8+(704.5-782.9)+(-2.82999+(-1.796475--1.996395))+0-0-0</f>
        <v>1028.7699300000002</v>
      </c>
      <c r="W177" s="3">
        <f>1106.4+(698.5-826.7)+(-3.385584+(-2.13741--2.529702))+0-0-0</f>
        <v>975.20670800000005</v>
      </c>
      <c r="X177" s="3">
        <f>1132.5+(559.8-725.8)+(-1.732725+(-0.856494--1.110474))+0-0-0</f>
        <v>965.021255</v>
      </c>
      <c r="Y177" s="3">
        <f>1138.6+(647.4-751.7)+(-1.161372+(-0.660348--0.766734))+0-0-0</f>
        <v>1033.2450139999996</v>
      </c>
      <c r="Z177" s="3">
        <f>1179.9+(663.7-605.2)+(-1.805247+(-1.015461--0.925956))+0-0-0</f>
        <v>1236.5052480000002</v>
      </c>
      <c r="AA177" s="3">
        <f>1177.1+(709.3-705.3)+(-1.800963+(-1.085229--1.079109))+0-0-0</f>
        <v>1179.292917</v>
      </c>
      <c r="AB177" s="3">
        <f>1152.3+(675.5-679)+(-2.350692+(-1.37802--1.38516))+0-0-0</f>
        <v>1146.4564479999999</v>
      </c>
      <c r="AC177" s="3">
        <f>1132.2+(693.8-756.1)+(-1.154844+(-0.707676--0.771222))+0-0-0</f>
        <v>1068.808702</v>
      </c>
      <c r="AD177">
        <f t="shared" si="2"/>
        <v>23516.914199999999</v>
      </c>
      <c r="AE177" s="3">
        <f>1158+(651.5-623.2)+(0+(0-0))+0-0-0</f>
        <v>1186.3</v>
      </c>
    </row>
    <row r="178" spans="1:31" s="2" customFormat="1" x14ac:dyDescent="0.25">
      <c r="A178">
        <v>89</v>
      </c>
      <c r="B178">
        <v>6</v>
      </c>
      <c r="C178">
        <v>23</v>
      </c>
      <c r="D178">
        <v>4</v>
      </c>
      <c r="E178">
        <v>1</v>
      </c>
      <c r="F178" s="3">
        <f>1073.1+(637.5-747.8)+(-1.641843+(-0.975375--1.144134))+0-0-0</f>
        <v>961.32691599999998</v>
      </c>
      <c r="G178" s="3">
        <f>1075.9+(550.2-758.1)+(-1.646127+(-0.841806--1.159893))+0-0-0</f>
        <v>866.67196000000013</v>
      </c>
      <c r="H178" s="3">
        <f>1078.9+(514.7-667)+(-0.550239+(-0.262497--0.34017))+0-0-0</f>
        <v>926.12743400000011</v>
      </c>
      <c r="I178" s="3">
        <f>1077.6+(504.1-711.1)+(-1.648728+(-0.771273--1.087983))+0-0-0</f>
        <v>869.26798199999996</v>
      </c>
      <c r="J178" s="3">
        <f>1073.1+(487.9-697.8)+(-2.736405+(-1.244145--1.77939))+0-0-0</f>
        <v>860.99883999999997</v>
      </c>
      <c r="K178" s="3">
        <f>1079.7+(424.2-643.8)+(-0.550647+(-0.216342--0.328338))+0-0-0</f>
        <v>859.66134900000009</v>
      </c>
      <c r="L178" s="3">
        <f>1050.6+(333.9-579.2)+(-2.143224+(-0.681156--1.181568))+0-0-0</f>
        <v>803.65718799999979</v>
      </c>
      <c r="M178" s="3">
        <f>972.1+(336.5-522)+(0+(0-0))+0-0-0</f>
        <v>786.6</v>
      </c>
      <c r="N178" s="3">
        <f>1043.9+(353.7-525.6)+(-1.064778+(-0.360774--0.536112))+0-0-0</f>
        <v>871.11055999999996</v>
      </c>
      <c r="O178" s="3">
        <f>1124.6+(353.4-564.4)+(-1.720638+(-0.540702--0.863532))+0-0-0</f>
        <v>912.20219199999985</v>
      </c>
      <c r="P178" s="3">
        <f>1269.6+(362.2-669.8)+(-0.647496+(-0.184722--0.341598))+0-0-0</f>
        <v>961.50937999999996</v>
      </c>
      <c r="Q178" s="3">
        <f>1287.5+(398.8-676.1)+(-1.31325+(-0.406776--0.689622))+0-0-0</f>
        <v>1009.1695960000001</v>
      </c>
      <c r="R178" s="3">
        <f>1281.6+(445.9-718.7)+(-3.26808+(-1.137045--1.832685))+0-0-0</f>
        <v>1006.2275599999998</v>
      </c>
      <c r="S178" s="3">
        <f>1282.4+(517.4-795)+(-2.616096+(-1.055496--1.6218))+0-0-0</f>
        <v>1002.750208</v>
      </c>
      <c r="T178" s="3">
        <f>1261.9+(576.7-863.6)+(-0.643569+(-0.294117--0.440436))+0-0-0</f>
        <v>974.50275000000011</v>
      </c>
      <c r="U178" s="3">
        <f>1247.3+(623.8-880.6)+(-2.544492+(-1.272552--1.796424))+0-0-0</f>
        <v>988.47937999999988</v>
      </c>
      <c r="V178" s="3">
        <f>1255.6+(633.9-870)+(-1.280712+(-0.646578--0.8874))+0-0-0</f>
        <v>1018.4601099999999</v>
      </c>
      <c r="W178" s="3">
        <f>1237.5+(654.5-923.1)+(-1.26225+(-0.66759--0.941562))+0-0-0</f>
        <v>967.91172199999994</v>
      </c>
      <c r="X178" s="3">
        <f>1190.8+(582.9-812.9)+(-1.214616+(-0.594558--0.829158))+0-0-0</f>
        <v>959.81998399999998</v>
      </c>
      <c r="Y178" s="3">
        <f>1226.4+(529.7-724.5)+(-1.876392+(-0.810441--1.108485))+0-0-0</f>
        <v>1030.0216520000001</v>
      </c>
      <c r="Z178" s="3">
        <f>1271.3+(623-678.8)+(-1.945089+(-0.95319--1.038564))+0-0-0</f>
        <v>1213.6402849999999</v>
      </c>
      <c r="AA178" s="3">
        <f>1248.8+(681.6-756.6)+(-3.18444+(-1.73808--1.92933))+0-0-0</f>
        <v>1170.80681</v>
      </c>
      <c r="AB178" s="3">
        <f>1252.5+(698.9-826.8)+(-1.27755+(-0.712878--0.843336))+0-0-0</f>
        <v>1123.452908</v>
      </c>
      <c r="AC178" s="3">
        <f>1258.9+(682.4-881.9)+(-1.284078+(-0.696048--0.899538))+0-0-0</f>
        <v>1058.3194120000001</v>
      </c>
      <c r="AD178">
        <f t="shared" si="2"/>
        <v>23202.696178000002</v>
      </c>
      <c r="AE178" s="3">
        <f>1288+(606.2-684.7)+(0+(0-0))+0-0-0</f>
        <v>1209.5</v>
      </c>
    </row>
    <row r="179" spans="1:31" s="2" customFormat="1" x14ac:dyDescent="0.25">
      <c r="A179">
        <v>89</v>
      </c>
      <c r="B179">
        <v>6</v>
      </c>
      <c r="C179">
        <v>24</v>
      </c>
      <c r="D179">
        <v>5</v>
      </c>
      <c r="E179">
        <v>1</v>
      </c>
      <c r="F179" s="3">
        <f>1258+(705.3-992.6)+(-1.28316+(-0.719406--1.012452))+0-0-0</f>
        <v>969.70988599999998</v>
      </c>
      <c r="G179" s="3">
        <f>1259.9+(645.3-1030.8)+(-0.642549+(-0.329103--0.525708))+0-0-0</f>
        <v>873.95405600000004</v>
      </c>
      <c r="H179" s="3">
        <f>1269.1+(509.5-934.1)+(1.941723+(0.779535-1.429173))+0-0-0</f>
        <v>845.79208499999993</v>
      </c>
      <c r="I179" s="3">
        <f>1266.3+(452-911.4)+(0+(0-0))+0-0-0</f>
        <v>806.9</v>
      </c>
      <c r="J179" s="3">
        <f>1260.2+(474-936.9)+(-1.285404+(-0.48348--0.955638))+0-0-0</f>
        <v>796.48675400000002</v>
      </c>
      <c r="K179" s="3">
        <f>1264+(422-878.7)+(0+(0-0))+0-0-0</f>
        <v>807.3</v>
      </c>
      <c r="L179" s="3">
        <f>1221.9+(326-737)+(-1.869507+(-0.49878--1.12761))+0-0-0</f>
        <v>809.65932300000009</v>
      </c>
      <c r="M179" s="3">
        <f>1084.9+(262-575.2)+(-1.106598+(-0.26724--0.586704))+0-0-0</f>
        <v>770.91286600000001</v>
      </c>
      <c r="N179" s="3">
        <f>1149+(312.4-679.2)+(0.58599+(0.159324-0.346392))+0-0-0</f>
        <v>782.5989219999999</v>
      </c>
      <c r="O179" s="3">
        <f>1150.1+(356.9-626.3)+(-0.586551+(-0.182019--0.319413))+0-0-0</f>
        <v>880.25084299999992</v>
      </c>
      <c r="P179" s="3">
        <f>1148.5+(414-608.5)+(0+(0-0))+0-0-0</f>
        <v>954</v>
      </c>
      <c r="Q179" s="3">
        <f>1019.4+(510.3-574.5)+(0.519894+(0.260253-0.292995))+0-0-0</f>
        <v>955.68715200000008</v>
      </c>
      <c r="R179" s="3">
        <f>857.1+(625.3-542.5)+(-0.437121+(-0.318903--0.276675))+0-0-0</f>
        <v>939.42065100000002</v>
      </c>
      <c r="S179" s="3">
        <f>888.3+(704.3-631.6)+(-0.453033+(-0.359193--0.322116))+0-0-0</f>
        <v>960.50988999999993</v>
      </c>
      <c r="T179" s="3">
        <f>1047.9+(681.6-744.1)+(-1.603287+(-1.042848--1.138473))+0-0-0</f>
        <v>983.89233800000011</v>
      </c>
      <c r="U179" s="3">
        <f>1127.4+(644.6-794.3)+(1.149948+(0.657492-0.810186))+0-0-0</f>
        <v>978.69725400000016</v>
      </c>
      <c r="V179" s="3">
        <f>1120.5+(641.9-796)+(0+(0-0))+0-0-0</f>
        <v>966.4</v>
      </c>
      <c r="W179" s="3">
        <f>1116.6+(669.8-824.6)+(-2.277864+(-1.366392--1.682184))+0-0-0</f>
        <v>959.83792799999981</v>
      </c>
      <c r="X179" s="3">
        <f>1124.4+(591.3-752.5)+(0.573444+(0.301563-0.383775))+0-0-0</f>
        <v>963.69123200000001</v>
      </c>
      <c r="Y179" s="3">
        <f>1124+(587.5-692.5)+(-0.57324+(-0.299625--0.353175))+0-0-0</f>
        <v>1018.48031</v>
      </c>
      <c r="Z179" s="3">
        <f>1119.6+(612.3-553.9)+(-2.85498+(-1.561365--1.412445))+0-0-0</f>
        <v>1174.9961000000001</v>
      </c>
      <c r="AA179" s="3">
        <f>1117.9+(708.7-665)+(-2.850645+(-1.807185--1.69575))+0-0-0</f>
        <v>1158.6379200000001</v>
      </c>
      <c r="AB179" s="3">
        <f>1130.2+(681-708.2)+(-2.305608+(-1.38924--1.444728))+0-0-0</f>
        <v>1100.7498800000001</v>
      </c>
      <c r="AC179" s="3">
        <f>1143+(707.6-832.1)+(-0.58293+(-0.360876--0.424371))+0-0-0</f>
        <v>1017.980565</v>
      </c>
      <c r="AD179">
        <f t="shared" si="2"/>
        <v>22476.545955000001</v>
      </c>
      <c r="AE179" s="3">
        <f>1119+(666.4-598.1)+(0+(0-0))+0-0-0</f>
        <v>1187.3</v>
      </c>
    </row>
    <row r="180" spans="1:31" s="2" customFormat="1" x14ac:dyDescent="0.25">
      <c r="A180">
        <v>89</v>
      </c>
      <c r="B180">
        <v>6</v>
      </c>
      <c r="C180">
        <v>25</v>
      </c>
      <c r="D180">
        <v>6</v>
      </c>
      <c r="E180">
        <v>1</v>
      </c>
      <c r="F180" s="3">
        <f>1130.6+(681.9-885.6)+(-2.88303+(-1.738845--2.25828))+0-0-0</f>
        <v>924.53640499999983</v>
      </c>
      <c r="G180" s="3">
        <f>1133.2+(603.1-918.9)+(-2.311728+(-1.230324--1.874556))+0-0-0</f>
        <v>815.73250400000006</v>
      </c>
      <c r="H180" s="3">
        <f>1139.4+(489.7-835.2)+(0.581094+(0.249747-0.425952))+0-0-0</f>
        <v>794.30488900000012</v>
      </c>
      <c r="I180" s="3">
        <f>1131.1+(460.8-822.7)+(-3.461166+(-1.410048--2.517462))+0-0-0</f>
        <v>766.84624799999983</v>
      </c>
      <c r="J180" s="3">
        <f>1140.5+(438.3-816.1)+(0.581655+(0.223533-0.416211))+0-0-0</f>
        <v>763.088977</v>
      </c>
      <c r="K180" s="3">
        <f>1139.6+(440.8-844.5)+(0+(0-0))+0-0-0</f>
        <v>735.89999999999986</v>
      </c>
      <c r="L180" s="3">
        <f>1119.6+(393-777.7)+(-2.85498+(-1.00215--1.983135))+0-0-0</f>
        <v>733.02600499999983</v>
      </c>
      <c r="M180" s="3">
        <f>1071.9+(372.8-694.6)+(0.546669+(0.190128-0.354246))+0-0-0</f>
        <v>750.48255100000017</v>
      </c>
      <c r="N180" s="3">
        <f>1103.4+(408.1-717.7)+(-1.125468+(-0.416262--0.732054))+0-0-0</f>
        <v>792.9903240000001</v>
      </c>
      <c r="O180" s="3">
        <f>1111.6+(451.4-693)+(-0.566916+(-0.230214--0.35343))+0-0-0</f>
        <v>869.55629999999985</v>
      </c>
      <c r="P180" s="3">
        <f>1107.6+(520.5-684.5)+(-1.694628+(-0.796365--1.047285))+0-0-0</f>
        <v>942.15629199999989</v>
      </c>
      <c r="Q180" s="3">
        <f>1124.5+(587.9-765.2)+(-2.867475+(-1.499145--1.95126))+0-0-0</f>
        <v>944.78463999999997</v>
      </c>
      <c r="R180" s="3">
        <f>1122.8+(668.8-835.9)+(-6.298908+(-3.751968--4.689399))+0-0-0</f>
        <v>950.3385229999999</v>
      </c>
      <c r="S180" s="3">
        <f>1132.7+(672.5-891.8)+(-1.155354+(-0.68595--0.909636))+0-0-0</f>
        <v>912.46833200000015</v>
      </c>
      <c r="T180" s="3">
        <f>1135+(688-891.4)+(-1.1577+(-0.70176--0.909228))+0-0-0</f>
        <v>930.64976799999999</v>
      </c>
      <c r="U180" s="3">
        <f>1136.2+(659.3-837.3)+(-0.579462+(-0.336243--0.427023))+0-0-0</f>
        <v>957.71131800000001</v>
      </c>
      <c r="V180" s="3">
        <f>1134.9+(520.1-746.2)+(-1.157598+(-0.530502--0.761124))+0-0-0</f>
        <v>907.8730240000001</v>
      </c>
      <c r="W180" s="3">
        <f>1101.9+(498-759.3)+(-2.809845+(-1.2699--1.936215))+0-0-0</f>
        <v>838.45647000000008</v>
      </c>
      <c r="X180" s="3">
        <f>939.6+(560.6-602)+(-0.479196+(-0.285906--0.30702))+0-0-0</f>
        <v>897.74191800000006</v>
      </c>
      <c r="Y180" s="3">
        <f>1075.6+(605.7-693.9)+(0+(0-0))+0-0-0</f>
        <v>987.4</v>
      </c>
      <c r="Z180" s="3">
        <f>1126.6+(669.3-606.3)+(-0.574566+(-0.341343--0.309213))+0-0-0</f>
        <v>1188.9933039999999</v>
      </c>
      <c r="AA180" s="3">
        <f>1109.9+(624.2-608.8)+(-1.698147+(-0.955026--0.931464))+0-0-0</f>
        <v>1123.5782910000003</v>
      </c>
      <c r="AB180" s="3">
        <f>1094+(544.7-565.5)+(-2.23176+(-1.111188--1.15362))+0-0-0</f>
        <v>1071.0106720000001</v>
      </c>
      <c r="AC180" s="3">
        <f>1057.1+(647.6-717.2)+(-1.617363+(-0.990828--1.097316))+0-0-0</f>
        <v>985.98912499999983</v>
      </c>
      <c r="AD180">
        <f t="shared" si="2"/>
        <v>21585.615880000001</v>
      </c>
      <c r="AE180" s="3">
        <f>1130+(669.1-682.5)+(0+(0-0))+0-0-0</f>
        <v>1116.5999999999999</v>
      </c>
    </row>
    <row r="181" spans="1:31" s="2" customFormat="1" x14ac:dyDescent="0.25">
      <c r="A181">
        <v>89</v>
      </c>
      <c r="B181">
        <v>6</v>
      </c>
      <c r="C181">
        <v>26</v>
      </c>
      <c r="D181">
        <v>7</v>
      </c>
      <c r="E181">
        <v>1</v>
      </c>
      <c r="F181" s="3">
        <f>1090.5+(589.5-748.4)+(-2.22462+(-1.20258--1.526736))+0-0-0</f>
        <v>929.69953599999997</v>
      </c>
      <c r="G181" s="3">
        <f>1044.2+(557.1-758.7)+(-2.66271+(-1.420605--1.934685))+0-0-0</f>
        <v>840.45137</v>
      </c>
      <c r="H181" s="3">
        <f>1017.3+(476.2-703.6)+(0.518823+(0.242862-0.358836))+0-0-0</f>
        <v>790.30284899999981</v>
      </c>
      <c r="I181" s="3">
        <f>896.8+(433.2-586.6)+(0.457368+(0.220932-0.299166))+0-0-0</f>
        <v>743.77913399999989</v>
      </c>
      <c r="J181" s="3">
        <f>887+(435.5-577.5)+(0+(0-0))+0-0-0</f>
        <v>745</v>
      </c>
      <c r="K181" s="3">
        <f>886.2+(426.8-596.5)+(0.451962+(0.217668-0.304215))+0-0-0</f>
        <v>716.86541499999998</v>
      </c>
      <c r="L181" s="3">
        <f>831.3+(436-539.1)+(-2.119815+(-1.1118--1.374705))+0-0-0</f>
        <v>726.34308999999996</v>
      </c>
      <c r="M181" s="3">
        <f>765.1+(477.8-546.3)+(-1.170603+(-0.731034--0.835839))+0-0-0</f>
        <v>695.53420200000016</v>
      </c>
      <c r="N181" s="3">
        <f>849.5+(410.5-539.2)+(0+(0-0))+0-0-0</f>
        <v>720.8</v>
      </c>
      <c r="O181" s="3">
        <f>987+(316.1-528.7)+(-0.50337+(-0.161211--0.269637))+0-0-0</f>
        <v>774.00505599999997</v>
      </c>
      <c r="P181" s="3">
        <f>1028.3+(347.7-542.7)+(-1.048866+(-0.354654--0.553554))+0-0-0</f>
        <v>832.45003399999996</v>
      </c>
      <c r="Q181" s="3">
        <f>1028.1+(415.4-577.4)+(-1.572993+(-0.635562--0.883422))+0-0-0</f>
        <v>864.77486699999986</v>
      </c>
      <c r="R181" s="3">
        <f>1026.3+(479.8-617.2)+(0+(0-0))+0-0-0</f>
        <v>888.89999999999986</v>
      </c>
      <c r="S181" s="3">
        <f>1022.9+(526.6-689.8)+(-1.043358+(-0.537132--0.703596))+0-0-0</f>
        <v>858.82310600000005</v>
      </c>
      <c r="T181" s="3">
        <f>1045.2+(546.3-758.8)+(-2.132208+(-1.114452--1.547952))+0-0-0</f>
        <v>831.00129200000003</v>
      </c>
      <c r="U181" s="3">
        <f>1028.3+(526.3-682.8)+(-1.048866+(-0.536826--0.696456))+0-0-0</f>
        <v>870.91076399999997</v>
      </c>
      <c r="V181" s="3">
        <f>1025+(503.4-647.6)+(-1.0455+(-0.513468--0.660552))+0-0-0</f>
        <v>879.90158399999996</v>
      </c>
      <c r="W181" s="3">
        <f>1025.7+(444.9-615)+(-0.523107+(-0.226899--0.31365))+0-0-0</f>
        <v>855.16364399999998</v>
      </c>
      <c r="X181" s="3">
        <f>1022+(372.6-541.7)+(-1.56366+(-0.570078--0.828801))+0-0-0</f>
        <v>851.59506299999998</v>
      </c>
      <c r="Y181" s="3">
        <f>1028+(450.3-543.7)+(-1.57284+(-0.688959--0.831861))+0-0-0</f>
        <v>933.17006199999992</v>
      </c>
      <c r="Z181" s="3">
        <f>1032.1+(602-531.3)+(0+(0-0))+0-0-0</f>
        <v>1102.8</v>
      </c>
      <c r="AA181" s="3">
        <f>1018.1+(636.9-545.6)+(-3.634617+(-2.273733--1.947792))+0-0-0</f>
        <v>1105.4394420000001</v>
      </c>
      <c r="AB181" s="3">
        <f>1025.5+(686.9-654)+(-2.09202+(-1.401276--1.33416))+0-0-0</f>
        <v>1056.2408640000001</v>
      </c>
      <c r="AC181" s="3">
        <f>1027.2+(576.4-641.1)+(-1.047744+(-0.587928--0.653922))+0-0-0</f>
        <v>961.51824999999997</v>
      </c>
      <c r="AD181">
        <f t="shared" si="2"/>
        <v>20575.469623999998</v>
      </c>
      <c r="AE181" s="3">
        <f>1042+(612.6-546.8)+(0+(0-0))+0-0-0</f>
        <v>1107.8000000000002</v>
      </c>
    </row>
    <row r="182" spans="1:31" s="2" customFormat="1" x14ac:dyDescent="0.25">
      <c r="A182">
        <v>89</v>
      </c>
      <c r="B182">
        <v>6</v>
      </c>
      <c r="C182">
        <v>27</v>
      </c>
      <c r="D182">
        <v>1</v>
      </c>
      <c r="E182">
        <v>1</v>
      </c>
      <c r="F182" s="3">
        <f>1042.5+(564.5-707.3)+(-1.595025+(-0.863685--1.082169))+0-0-0</f>
        <v>898.32345900000007</v>
      </c>
      <c r="G182" s="3">
        <f>1046.4+(501.8-735.3)+(-2.134656+(-1.023672--1.500012))+0-0-0</f>
        <v>811.24168400000008</v>
      </c>
      <c r="H182" s="3">
        <f>1043.8+(418.1-685.3)+(-2.129352+(-0.852924--1.398012))+0-0-0</f>
        <v>775.01573600000006</v>
      </c>
      <c r="I182" s="3">
        <f>1049.4+(404.3-688.8)+(-0.535194+(-0.206193--0.351288))+0-0-0</f>
        <v>764.50990100000013</v>
      </c>
      <c r="J182" s="3">
        <f>1087.5+(356.8-699.9)+(0.554625+(0.181968-0.356949))+0-0-0</f>
        <v>744.77964400000008</v>
      </c>
      <c r="K182" s="3">
        <f>1089.2+(344.7-662.6)+(0.555492+(0.175797-0.337926))+0-0-0</f>
        <v>771.69336299999998</v>
      </c>
      <c r="L182" s="3">
        <f>1057.5+(298.9-612.1)+(-2.696625+(-0.762195--1.560855))+0-0-0</f>
        <v>742.40203499999996</v>
      </c>
      <c r="M182" s="3">
        <f>1021.4+(247.6-520.9)+(-2.083656+(-0.505104--1.062636))+0-0-0</f>
        <v>746.57387600000004</v>
      </c>
      <c r="N182" s="3">
        <f>1054.5+(324-593.5)+(0+(0-0))+0-0-0</f>
        <v>785</v>
      </c>
      <c r="O182" s="3">
        <f>1048.2+(417.5-588.5)+(0+(0-0))+0-0-0</f>
        <v>877.2</v>
      </c>
      <c r="P182" s="3">
        <f>1039.3+(431.3-509.9)+(-0.530043+(-0.219963--0.260049))+0-0-0</f>
        <v>960.21004300000004</v>
      </c>
      <c r="Q182" s="3">
        <f>1042.2+(500.5-583)+(-2.126088+(-1.02102--1.18932))+0-0-0</f>
        <v>957.74221199999999</v>
      </c>
      <c r="R182" s="3">
        <f>1024.3+(594.3-655.4)+(-1.044786+(-0.606186--0.668508))+0-0-0</f>
        <v>962.21753599999988</v>
      </c>
      <c r="S182" s="3">
        <f>1035.3+(679.3-786.1)+(-3.168018+(-2.078658--2.405466))+0-0-0</f>
        <v>925.65878999999984</v>
      </c>
      <c r="T182" s="3">
        <f>1029.8+(702.1-796.3)+(-1.050396+(-0.716142--0.812226))+0-0-0</f>
        <v>934.64568800000006</v>
      </c>
      <c r="U182" s="3">
        <f>1022.3+(690.4-771.6)+(-1.564119+(-1.056312--1.180548))+0-0-0</f>
        <v>939.6601169999999</v>
      </c>
      <c r="V182" s="3">
        <f>1016.5+(688-766.5)+(-1.03683+(-0.70176--0.78183))+0-0-0</f>
        <v>937.04323999999997</v>
      </c>
      <c r="W182" s="3">
        <f>1041.1+(664.9-731.1)+(-2.123844+(-1.356396--1.491444))+0-0-0</f>
        <v>972.91120399999988</v>
      </c>
      <c r="X182" s="3">
        <f>1042.8+(636.9-573.9)+(-1.595484+(-0.974457--0.878067))+0-0-0</f>
        <v>1104.1081259999999</v>
      </c>
      <c r="Y182" s="3">
        <f>1043.6+(589.7-567.9)+(-0.532236+(-0.300747--0.289629))+0-0-0</f>
        <v>1064.8566460000002</v>
      </c>
      <c r="Z182" s="3">
        <f>1047.3+(660.3-512.2)+(-2.136492+(-1.347012--1.044888))+0-0-0</f>
        <v>1192.961384</v>
      </c>
      <c r="AA182" s="3">
        <f>1049.1+(638.5-531.9)+(0.535041+(0.325635-0.271269))+0-0-0</f>
        <v>1156.2894069999998</v>
      </c>
      <c r="AB182" s="3">
        <f>1047.7+(632.7-582.4)+(-2.137308+(-1.290708--1.188096))+0-0-0</f>
        <v>1095.76008</v>
      </c>
      <c r="AC182" s="3">
        <f>1047.4+(618.9-631.7)+(-2.136696+(-1.262556--1.288668))+0-0-0</f>
        <v>1032.4894159999999</v>
      </c>
      <c r="AD182">
        <f t="shared" si="2"/>
        <v>22153.293586999996</v>
      </c>
      <c r="AE182" s="3">
        <f>1040+(650.6-526.5)+(0+(0-0))+0-0-0</f>
        <v>1164.0999999999999</v>
      </c>
    </row>
    <row r="183" spans="1:31" s="2" customFormat="1" x14ac:dyDescent="0.25">
      <c r="A183">
        <v>89</v>
      </c>
      <c r="B183">
        <v>6</v>
      </c>
      <c r="C183">
        <v>28</v>
      </c>
      <c r="D183">
        <v>2</v>
      </c>
      <c r="E183">
        <v>1</v>
      </c>
      <c r="F183" s="3">
        <f>1038.7+(481.6-590)+(0+(0-0))+0-0-0</f>
        <v>930.30000000000007</v>
      </c>
      <c r="G183" s="3">
        <f>1032.1+(553.3-754.7)+(-0.526371+(-0.282183--0.384897))+0-0-0</f>
        <v>830.27634299999977</v>
      </c>
      <c r="H183" s="3">
        <f>978.6+(500.6-685.4)+(-0.499086+(-0.255306--0.349554))+0-0-0</f>
        <v>793.39516200000003</v>
      </c>
      <c r="I183" s="3">
        <f>927.5+(483.6-658.3)+(-0.94605+(-0.493272--0.671466))+0-0-0</f>
        <v>752.03214400000002</v>
      </c>
      <c r="J183" s="3">
        <f>837.4+(467.4-410.9)+(-0.427074+(-0.238374--0.209559))+0-0-0</f>
        <v>893.44411100000002</v>
      </c>
      <c r="K183" s="3">
        <f>784.2+(407.7-442.2)+(-0.799884+(-0.415854--0.451044))+0-0-0</f>
        <v>748.93530600000008</v>
      </c>
      <c r="L183" s="3">
        <f>782.9+(346.3-388)+(-1.996395+(-0.883065--0.9894))+0-0-0</f>
        <v>739.3099400000001</v>
      </c>
      <c r="M183" s="3">
        <f>818.7+(300.3-454.7)+(0+(0-0))+0-0-0</f>
        <v>664.30000000000007</v>
      </c>
      <c r="N183" s="3">
        <f>1003.5+(380.1-513.9)+(-1.02357+(-0.387702--0.524178))+0-0-0</f>
        <v>868.812906</v>
      </c>
      <c r="O183" s="3">
        <f>1030.1+(369.1-552.2)+(-2.626755+(-0.941205--1.40811))+0-0-0</f>
        <v>844.84014999999988</v>
      </c>
      <c r="P183" s="3">
        <f>1036.4+(418.6-531.5)+(0+(0-0))+0-0-0</f>
        <v>923.50000000000011</v>
      </c>
      <c r="Q183" s="3">
        <f>1042.5+(438.2-431.2)+(-1.595025+(-0.670446--0.659736))+0-0-0</f>
        <v>1047.8942649999999</v>
      </c>
      <c r="R183" s="3">
        <f>1038.3+(474.3-690)+(-1.588599+(-0.725679--1.0557))+0-0-0</f>
        <v>821.34142199999997</v>
      </c>
      <c r="S183" s="3">
        <f>1038.3+(611.9-701.2)+(-2.118132+(-1.248276--1.430448))+0-0-0</f>
        <v>947.06403999999986</v>
      </c>
      <c r="T183" s="3">
        <f>1035.9+(622-790)+(0.528309+(0.31722-0.4029))+0-0-0</f>
        <v>868.3426290000001</v>
      </c>
      <c r="U183" s="3">
        <f>1025.2+(627.3-787.6)+(-1.045704+(-0.639846--0.803352))+0-0-0</f>
        <v>864.01780199999996</v>
      </c>
      <c r="V183" s="3">
        <f>1020+(630.9-797.9)+(-2.601+(-1.608795--2.034645))+0-0-0</f>
        <v>850.82484999999997</v>
      </c>
      <c r="W183" s="3">
        <f>1021.6+(610.6-670.2)+(-2.084064+(-1.245624--1.367208))+0-0-0</f>
        <v>960.03751999999997</v>
      </c>
      <c r="X183" s="3">
        <f>982.4+(519.4-616.8)+(0.501024+(0.264894-0.314568))+0-0-0</f>
        <v>885.45135000000005</v>
      </c>
      <c r="Y183" s="3">
        <f>1011.9+(538.3-543.4)+(-0.516069+(-0.274533--0.277134))+0-0-0</f>
        <v>1006.286532</v>
      </c>
      <c r="Z183" s="3">
        <f>1041.5+(622.8-560.8)+(-1.593495+(-0.952884--0.858024))+0-0-0</f>
        <v>1101.811645</v>
      </c>
      <c r="AA183" s="3">
        <f>1038.8+(639.2-604.2)+(-2.119152+(-1.303968--1.232568))+0-0-0</f>
        <v>1071.6094479999999</v>
      </c>
      <c r="AB183" s="3">
        <f>1033.6+(647.9-679.6)+(-3.162816+(-1.982574--2.079576))+0-0-0</f>
        <v>998.83418599999982</v>
      </c>
      <c r="AC183" s="3">
        <f>1040.9+(604.2-686.2)+(-0.530859+(-0.308142--0.349962))+0-0-0</f>
        <v>958.41096100000004</v>
      </c>
      <c r="AD183">
        <f t="shared" si="2"/>
        <v>21371.072712000001</v>
      </c>
      <c r="AE183" s="3">
        <f>1046+(614.5-600.9)+(0+(0-0))+0-0-0</f>
        <v>1059.5999999999999</v>
      </c>
    </row>
    <row r="184" spans="1:31" s="2" customFormat="1" x14ac:dyDescent="0.25">
      <c r="A184">
        <v>89</v>
      </c>
      <c r="B184">
        <v>6</v>
      </c>
      <c r="C184">
        <v>29</v>
      </c>
      <c r="D184">
        <v>3</v>
      </c>
      <c r="E184">
        <v>1</v>
      </c>
      <c r="F184" s="3">
        <f>1036+(480.6-586.1)+(-2.11344+(-0.980424--1.195644))+0-0-0</f>
        <v>928.60177999999996</v>
      </c>
      <c r="G184" s="3">
        <f>1039.5+(391.1-642.7)+(0+(0-0))+0-0-0</f>
        <v>787.9</v>
      </c>
      <c r="H184" s="3">
        <f>1028.1+(368.8-609.5)+(-1.572993+(-0.564264--0.932535))+0-0-0</f>
        <v>786.19527799999992</v>
      </c>
      <c r="I184" s="3">
        <f>953.7+(369.1-563)+(-0.972774+(-0.376482--0.57426))+0-0-0</f>
        <v>759.02500400000008</v>
      </c>
      <c r="J184" s="3">
        <f>955.5+(335-582.9)+(0.487305+(0.17085-0.297279))+0-0-0</f>
        <v>707.96087599999998</v>
      </c>
      <c r="K184" s="3">
        <f>954.8+(324.9-542.5)+(0+(0-0))+0-0-0</f>
        <v>737.19999999999993</v>
      </c>
      <c r="L184" s="3">
        <f>942.1+(290.2-453.9)+(-2.882826+(-0.888012--1.388934))+0-0-0</f>
        <v>776.01809600000013</v>
      </c>
      <c r="M184" s="3">
        <f>786.8+(275.7-315)+(0+(0-0))+0-0-0</f>
        <v>747.5</v>
      </c>
      <c r="N184" s="3">
        <f>857+(217.5-275.7)+(-0.43707+(-0.110925--0.140607))+0-0-0</f>
        <v>798.39261199999999</v>
      </c>
      <c r="O184" s="3">
        <f>870.9+(244.8-252.4)+(-0.444159+(-0.124848--0.128724))+0-0-0</f>
        <v>862.85971699999993</v>
      </c>
      <c r="P184" s="3">
        <f>872.7+(331.9-337.9)+(0+(0-0))+0-0-0</f>
        <v>866.7</v>
      </c>
      <c r="Q184" s="3">
        <f>880.5+(474.8-453.1)+(-1.347165+(-0.726444--0.693243))+0-0-0</f>
        <v>900.81963400000006</v>
      </c>
      <c r="R184" s="3">
        <f>979.1+(479.4-529.1)+(-0.499341+(-0.244494--0.269841))+0-0-0</f>
        <v>928.92600600000003</v>
      </c>
      <c r="S184" s="3">
        <f>1024.5+(519.5-671.5)+(-3.657465+(-1.854615--2.397255))+0-0-0</f>
        <v>869.385175</v>
      </c>
      <c r="T184" s="3">
        <f>1016.9+(513.9-584.7)+(0.518619+(0.262089-0.298197))+0-0-0</f>
        <v>946.58251099999995</v>
      </c>
      <c r="U184" s="3">
        <f>1014.1+(535.7-685.8)+(-2.068764+(-1.092828--1.399032))+0-0-0</f>
        <v>862.23744000000011</v>
      </c>
      <c r="V184" s="3">
        <f>1017.6+(563.4-681.8)+(-2.075904+(-1.149336--1.390872))+0-0-0</f>
        <v>897.36563200000001</v>
      </c>
      <c r="W184" s="3">
        <f>1019+(522.4-595.3)+(-2.59845+(-1.33212--1.518015))+0-0-0</f>
        <v>943.68744500000003</v>
      </c>
      <c r="X184" s="3">
        <f>1024.2+(473.6-583.7)+(-0.522342+(-0.241536--0.297687))+0-0-0</f>
        <v>913.63380900000004</v>
      </c>
      <c r="Y184" s="3">
        <f>1029.1+(522.8-445.5)+(0.524841+(0.266628-0.227205))+0-0-0</f>
        <v>1106.964264</v>
      </c>
      <c r="Z184" s="3">
        <f>1022.2+(539.1-460.7)+(-2.085288+(-1.099764--0.939828))+0-0-0</f>
        <v>1098.3547760000001</v>
      </c>
      <c r="AA184" s="3">
        <f>1021+(572.5-467.4)+(-3.12426+(-1.75185--1.430244))+0-0-0</f>
        <v>1122.6541339999999</v>
      </c>
      <c r="AB184" s="3">
        <f>1022.3+(549.1-606.2)+(-2.085492+(-1.120164--1.236648))+0-0-0</f>
        <v>963.2309919999999</v>
      </c>
      <c r="AC184" s="3">
        <f>1021.8+(450.4-481)+(-2.084472+(-0.918816--0.98124))+0-0-0</f>
        <v>989.17795199999989</v>
      </c>
      <c r="AD184">
        <f t="shared" si="2"/>
        <v>21301.373133000001</v>
      </c>
      <c r="AE184" s="3">
        <f>1027+(544.3-438.1)+(0+(0-0))+0-0-0</f>
        <v>1133.1999999999998</v>
      </c>
    </row>
    <row r="185" spans="1:31" s="2" customFormat="1" x14ac:dyDescent="0.25">
      <c r="A185">
        <v>89</v>
      </c>
      <c r="B185">
        <v>6</v>
      </c>
      <c r="C185">
        <v>30</v>
      </c>
      <c r="D185">
        <v>4</v>
      </c>
      <c r="E185">
        <v>1</v>
      </c>
      <c r="F185" s="3">
        <f>1026.3+(452.9-630.9)+(-1.570239+(-0.692937--0.965277))+0-0-0</f>
        <v>847.00210099999993</v>
      </c>
      <c r="G185" s="3">
        <f>888.5+(493.6-518.9)+(-1.359405+(-0.755208--0.793917))+0-0-0</f>
        <v>861.87930400000005</v>
      </c>
      <c r="H185" s="3">
        <f>718.4+(482.7-460.4)+(0+(0-0))+0-0-0</f>
        <v>740.7</v>
      </c>
      <c r="I185" s="3">
        <f>714.5+(464.7-470.4)+(-0.364395+(-0.236997--0.239904))+0-0-0</f>
        <v>708.43851199999995</v>
      </c>
      <c r="J185" s="3">
        <f>714.5+(478.4-487.3)+(-0.364395+(-0.243984--0.248523))+0-0-0</f>
        <v>705.24014399999987</v>
      </c>
      <c r="K185" s="3">
        <f>716.7+(452.9-439.6)+(0.365517+(0.230979-0.224196))+0-0-0</f>
        <v>730.3723</v>
      </c>
      <c r="L185" s="3">
        <f>706.8+(411.6-399.7)+(-0.720936+(-0.419832--0.407694))+0-0-0</f>
        <v>717.96692600000006</v>
      </c>
      <c r="M185" s="3">
        <f>651.3+(438.6-358)+(-0.664326+(-0.447372--0.36516))+0-0-0</f>
        <v>731.15346199999999</v>
      </c>
      <c r="N185" s="3">
        <f>844.9+(296.6-378.1)+(0.430899+(0.151266-0.192831))+0-0-0</f>
        <v>763.78933399999994</v>
      </c>
      <c r="O185" s="3">
        <f>966.9+(267.2-420)+(-0.986238+(-0.272544--0.4284))+0-0-0</f>
        <v>813.26961799999992</v>
      </c>
      <c r="P185" s="3">
        <f>986+(303.6-420.5)+(-0.50286+(-0.154836--0.214455))+0-0-0</f>
        <v>868.65675900000008</v>
      </c>
      <c r="Q185" s="3">
        <f>1014.3+(340.2-425.1)+(0+(0-0))+0-0-0</f>
        <v>929.39999999999986</v>
      </c>
      <c r="R185" s="3">
        <f>1032.3+(359.9-519.4)+(0.526473+(0.183549-0.264894))+0-0-0</f>
        <v>873.24512799999991</v>
      </c>
      <c r="S185" s="3">
        <f>1025.9+(446.3-534.9)+(-2.616045+(-1.138065--1.363995))+0-0-0</f>
        <v>934.90988500000014</v>
      </c>
      <c r="T185" s="3">
        <f>1034.1+(463.3-577.4)+(1.054782+(0.472566-0.588948))+0-0-0</f>
        <v>920.9384</v>
      </c>
      <c r="U185" s="3">
        <f>1030.1+(469.6-575.8)+(-1.050702+(-0.478992--0.587316))+0-0-0</f>
        <v>922.95762200000001</v>
      </c>
      <c r="V185" s="3">
        <f>1027.8+(479.5-608.9)+(-2.096712+(-0.97818--1.242156))+0-0-0</f>
        <v>896.56726400000002</v>
      </c>
      <c r="W185" s="3">
        <f>1029.4+(449.2-697.2)+(-1.049988+(-0.458184--0.711144))+0-0-0</f>
        <v>780.60297200000014</v>
      </c>
      <c r="X185" s="3">
        <f>1031.7+(403.6-505.2)+(-1.052334+(-0.411672--0.515304))+0-0-0</f>
        <v>929.15129800000011</v>
      </c>
      <c r="Y185" s="3">
        <f>1034.1+(581.2-472.7)+(0+(0-0))+0-0-0</f>
        <v>1142.5999999999999</v>
      </c>
      <c r="Z185" s="3">
        <f>1025.2+(548-414.3)+(-2.61426+(-1.3974--1.056465))+0-0-0</f>
        <v>1155.9448050000001</v>
      </c>
      <c r="AA185" s="3">
        <f>1022.1+(548.1-474.1)+(-3.127626+(-1.677186--1.450746))+0-0-0</f>
        <v>1092.7459339999998</v>
      </c>
      <c r="AB185" s="3">
        <f>1030.5+(478.6-478.1)+(-1.05111+(-0.488172--0.487662))+0-0-0</f>
        <v>1029.94838</v>
      </c>
      <c r="AC185" s="3">
        <f>1031.2+(401.3-473.9)+(-1.051824+(-0.409326--0.483378))+0-0-0</f>
        <v>957.62222800000018</v>
      </c>
      <c r="AD185">
        <f t="shared" si="2"/>
        <v>21055.102375999999</v>
      </c>
      <c r="AE185" s="3">
        <f>1030+(589.3-457.6)+(0+(0-0))+0-0-0</f>
        <v>1161.6999999999998</v>
      </c>
    </row>
    <row r="186" spans="1:31" s="2" customFormat="1" x14ac:dyDescent="0.25">
      <c r="A186">
        <v>89</v>
      </c>
      <c r="B186">
        <v>6</v>
      </c>
      <c r="C186">
        <v>31</v>
      </c>
      <c r="D186">
        <v>5</v>
      </c>
      <c r="E186">
        <v>1</v>
      </c>
      <c r="F186" s="3">
        <f>934.4+(421-511.4)+(-0.953088+(-0.42942--0.521628))+0-0-0</f>
        <v>843.13912000000005</v>
      </c>
      <c r="G186" s="3">
        <f>834.4+(472.5-523)+(-1.276632+(-0.722925--0.80019))+0-0-0</f>
        <v>782.70063299999993</v>
      </c>
      <c r="H186" s="3">
        <f>739.6+(514.3-510.3)+(-1.131588+(-0.786879--0.780759))+0-0-0</f>
        <v>742.46229199999993</v>
      </c>
      <c r="I186" s="3">
        <f>720.6+(470.1-483.1)+(0.735012+(0.479502-0.492762))+0-0-0</f>
        <v>708.32175200000006</v>
      </c>
      <c r="J186" s="3">
        <f>716.3+(502.9-498.1)+(-0.365313+(-0.256479--0.254031))+0-0-0</f>
        <v>720.73223899999994</v>
      </c>
      <c r="K186" s="3">
        <f>714.8+(493.3-495.2)+(-0.729096+(-0.503166--0.505104))+0-0-0</f>
        <v>712.17284199999995</v>
      </c>
      <c r="L186" s="3">
        <f>712.5+(437-474.1)+(-0.72675+(-0.44574--0.483582))+0-0-0</f>
        <v>674.71109200000001</v>
      </c>
      <c r="M186" s="3">
        <f>841.7+(298.1-453.5)+(0+(0-0))+0-0-0</f>
        <v>686.30000000000007</v>
      </c>
      <c r="N186" s="3">
        <f>1018.3+(306.1-474.1)+(0.519333+(0.156111-0.241791))+0-0-0</f>
        <v>850.733653</v>
      </c>
      <c r="O186" s="3">
        <f>1024.8+(351.9-444.8)+(0+(0-0))+0-0-0</f>
        <v>931.89999999999986</v>
      </c>
      <c r="P186" s="3">
        <f>1030+(418.4-503)+(1.0506+(0.426768-0.51306))+0-0-0</f>
        <v>946.36430799999994</v>
      </c>
      <c r="Q186" s="3">
        <f>1024.2+(370.1-476.5)+(-0.522342+(-0.188751--0.243015))+0-0-0</f>
        <v>917.33192200000008</v>
      </c>
      <c r="R186" s="3">
        <f>1014.8+(464.8-595.5)+(-4.140384+(-1.896384--2.42964))+0-0-0</f>
        <v>880.49287199999992</v>
      </c>
      <c r="S186" s="3">
        <f>1019.2+(528.6-625.7)+(-0.519792+(-0.269586--0.319107))+0-0-0</f>
        <v>921.629729</v>
      </c>
      <c r="T186" s="3">
        <f>1018.4+(543.5-615.2)+(-0.519384+(-0.277185--0.313752))+0-0-0</f>
        <v>946.21718299999998</v>
      </c>
      <c r="U186" s="3">
        <f>1024.6+(564.4-670.8)+(-1.567638+(-0.863532--1.026324))+0-0-0</f>
        <v>916.79515399999991</v>
      </c>
      <c r="V186" s="3">
        <f>1031.7+(586.9-671)+(0+(0-0))+0-0-0</f>
        <v>947.6</v>
      </c>
      <c r="W186" s="3">
        <f>1056.9+(516.2-622.6)+(-0.539019+(-0.263262--0.317526))+0-0-0</f>
        <v>950.01524500000016</v>
      </c>
      <c r="X186" s="3">
        <f>1085.1+(394.6-379.9)+(-0.553401+(-0.201246--0.193749))+0-0-0</f>
        <v>1099.239102</v>
      </c>
      <c r="Y186" s="3">
        <f>1115.1+(473.2-497.5)+(0.568701+(0.241332-0.253725))+0-0-0</f>
        <v>1091.3563079999999</v>
      </c>
      <c r="Z186" s="3">
        <f>1131.5+(544.7-582.9)+(-1.15413+(-0.555594--0.594558))+0-0-0</f>
        <v>1092.1848340000001</v>
      </c>
      <c r="AA186" s="3">
        <f>1020.8+(663.1-646.6)+(-3.123648+(-2.029086--1.978596))+0-0-0</f>
        <v>1034.1258619999999</v>
      </c>
      <c r="AB186" s="3">
        <f>1020.8+(598.8-653.2)+(-2.082432+(-1.221552--1.332528))+0-0-0</f>
        <v>964.42854399999987</v>
      </c>
      <c r="AC186" s="3">
        <f>1027.6+(533.4-627.3)+(-2.096304+(-1.088136--1.279692))+0-0-0</f>
        <v>931.79525199999989</v>
      </c>
      <c r="AD186">
        <f t="shared" si="2"/>
        <v>21292.749938000001</v>
      </c>
      <c r="AE186" s="3">
        <f>1112+(450.1-475.9)+(0+(0-0))+0-0-0</f>
        <v>1086.2</v>
      </c>
    </row>
    <row r="187" spans="1:31" s="2" customFormat="1" x14ac:dyDescent="0.25">
      <c r="A187">
        <v>89</v>
      </c>
      <c r="B187">
        <v>7</v>
      </c>
      <c r="C187">
        <v>1</v>
      </c>
      <c r="D187">
        <v>6</v>
      </c>
      <c r="E187">
        <v>1</v>
      </c>
      <c r="F187" s="3">
        <f>1013.4+(501.8-677)+(-1.033668+(-0.511836--0.69054))+0-0-0</f>
        <v>837.34503600000005</v>
      </c>
      <c r="G187" s="3">
        <f>1021.3+(464.5-766.6)+(-1.562589+(-0.710685--1.172898))+0-0-0</f>
        <v>718.09962399999995</v>
      </c>
      <c r="H187" s="3">
        <f>1024.5+(435.2-713.1)+(-0.522495+(-0.221952--0.363681))+0-0-0</f>
        <v>746.21923399999991</v>
      </c>
      <c r="I187" s="3">
        <f>1028.5+(363.6-691.4)+(0.524535+(0.185436-0.352614))+0-0-0</f>
        <v>701.05735700000002</v>
      </c>
      <c r="J187" s="3">
        <f>1026.3+(339.4-673.4)+(-1.570239+(-0.519282--1.030302))+0-0-0</f>
        <v>691.24078099999997</v>
      </c>
      <c r="K187" s="3">
        <f>1027.2+(324.9-627.7)+(-1.047744+(-0.331398--0.640254))+0-0-0</f>
        <v>723.661112</v>
      </c>
      <c r="L187" s="3">
        <f>1009.9+(251.7-547.6)+(0.515049+(0.128367-0.279276))+0-0-0</f>
        <v>714.36414000000002</v>
      </c>
      <c r="M187" s="3">
        <f>985.3+(253.4-496.1)+(0+(0-0))+0-0-0</f>
        <v>742.59999999999991</v>
      </c>
      <c r="N187" s="3">
        <f>1041.7+(343.2-552)+(0.531267+(0.175032-0.28152))+0-0-0</f>
        <v>833.32477900000004</v>
      </c>
      <c r="O187" s="3">
        <f>1041.6+(411.8-588.4)+(-0.531216+(-0.210018--0.300084))+0-0-0</f>
        <v>864.55885000000001</v>
      </c>
      <c r="P187" s="3">
        <f>1016.3+(443.7-547.6)+(-0.518313+(-0.226287--0.279276))+0-0-0</f>
        <v>911.93467599999985</v>
      </c>
      <c r="Q187" s="3">
        <f>1032.3+(393.4-504.9)+(-0.526473+(-0.200634--0.257499))+0-0-0</f>
        <v>920.33039199999996</v>
      </c>
      <c r="R187" s="3">
        <f>1034.7+(410.7-574.7)+(-0.527697+(-0.209457--0.293097))+0-0-0</f>
        <v>870.255943</v>
      </c>
      <c r="S187" s="3">
        <f>1051.1+(540.9-719.6)+(-1.608183+(-0.827577--1.100988))+0-0-0</f>
        <v>871.06522799999982</v>
      </c>
      <c r="T187" s="3">
        <f>1047.5+(577.2-724)+(-1.602675+(-0.883116--1.10772))+0-0-0</f>
        <v>899.32192900000007</v>
      </c>
      <c r="U187" s="3">
        <f>1049.9+(563.1-688.3)+(-3.212694+(-1.723086--2.106198))+0-0-0</f>
        <v>921.8704180000002</v>
      </c>
      <c r="V187" s="3">
        <f>1049.7+(519.8-687.7)+(-3.212082+(-1.590588--2.104362))+0-0-0</f>
        <v>879.10169199999996</v>
      </c>
      <c r="W187" s="3">
        <f>1054.1+(459.1-627.4)+(-1.075182+(-0.468282--0.639948))+0-0-0</f>
        <v>884.89648399999999</v>
      </c>
      <c r="X187" s="3">
        <f>1056.3+(525.9-505.2)+(0+(0-0))+0-0-0</f>
        <v>1077</v>
      </c>
      <c r="Y187" s="3">
        <f>1059.2+(602.8-586.3)+(-2.160768+(-1.229712--1.196052))+0-0-0</f>
        <v>1073.505572</v>
      </c>
      <c r="Z187" s="3">
        <f>1067.7+(616.5-596.7)+(-2.722635+(-1.572075--1.521585))+0-0-0</f>
        <v>1084.7268750000001</v>
      </c>
      <c r="AA187" s="3">
        <f>1074.2+(543.8-550.1)+(-2.191368+(-1.109352--1.122204))+0-0-0</f>
        <v>1065.7214840000001</v>
      </c>
      <c r="AB187" s="3">
        <f>1071.1+(418.7-507.7)+(0+(0-0))+0-0-0</f>
        <v>982.09999999999991</v>
      </c>
      <c r="AC187" s="3">
        <f>1055.1+(392.3-566.7)+(-1.076202+(-0.400146--0.578034))+0-0-0</f>
        <v>879.80168599999979</v>
      </c>
      <c r="AD187">
        <f t="shared" si="2"/>
        <v>20894.103292</v>
      </c>
      <c r="AE187" s="3">
        <f>1060+(591.8-547.5)+(0+(0-0))+0-0-0</f>
        <v>1104.3</v>
      </c>
    </row>
    <row r="188" spans="1:31" s="2" customFormat="1" x14ac:dyDescent="0.25">
      <c r="A188">
        <v>89</v>
      </c>
      <c r="B188">
        <v>7</v>
      </c>
      <c r="C188">
        <v>2</v>
      </c>
      <c r="D188">
        <v>7</v>
      </c>
      <c r="E188">
        <v>1</v>
      </c>
      <c r="F188" s="3">
        <f>1027+(406.2-636.8)+(-2.09508+(-0.828648--1.299072))+0-0-0</f>
        <v>794.77534400000013</v>
      </c>
      <c r="G188" s="3">
        <f>1026.9+(375.5-636.7)+(-2.094876+(-0.76602--1.298868))+0-0-0</f>
        <v>764.13797199999999</v>
      </c>
      <c r="H188" s="3">
        <f>1031.4+(361.4-686.3)+(-0.526014+(-0.184314--0.350013))+0-0-0</f>
        <v>706.1396850000001</v>
      </c>
      <c r="I188" s="3">
        <f>1029.8+(379.2-676.2)+(-1.575594+(-0.580176--1.034586))+0-0-0</f>
        <v>731.67881599999998</v>
      </c>
      <c r="J188" s="3">
        <f>1034.1+(352.8-674.4)+(0.527391+(0.179928-0.343944))+0-0-0</f>
        <v>712.86337500000002</v>
      </c>
      <c r="K188" s="3">
        <f>959.5+(345.3-577)+(-2.93607+(-1.056618--1.76562))+0-0-0</f>
        <v>725.57293199999992</v>
      </c>
      <c r="L188" s="3">
        <f>875.2+(361.9-559.3)+(-0.892704+(-0.369138--0.570486))+0-0-0</f>
        <v>677.10864400000003</v>
      </c>
      <c r="M188" s="3">
        <f>947.2+(341.1-623.3)+(-1.449216+(-0.521883--0.953649))+0-0-0</f>
        <v>663.98255000000006</v>
      </c>
      <c r="N188" s="3">
        <f>982.1+(354.8-601.6)+(-1.502613+(-0.542844--0.920448))+0-0-0</f>
        <v>734.17499099999998</v>
      </c>
      <c r="O188" s="3">
        <f>1040.9+(364.8-578.9)+(-2.123436+(-0.744192--1.180956))+0-0-0</f>
        <v>825.11332800000014</v>
      </c>
      <c r="P188" s="3">
        <f>1036.5+(455.1-687.1)+(-1.585845+(-0.696303--1.051263))+0-0-0</f>
        <v>803.26911500000006</v>
      </c>
      <c r="Q188" s="3">
        <f>1032.8+(510.7-670.6)+(0.526728+(0.260457-0.342006))+0-0-0</f>
        <v>873.34517899999992</v>
      </c>
      <c r="R188" s="3">
        <f>1027+(501.1-693.4)+(0+(0-0))+0-0-0</f>
        <v>834.7</v>
      </c>
      <c r="S188" s="3">
        <f>1022.6+(582.6-784)+(-1.043052+(-0.594252--0.79968))+0-0-0</f>
        <v>820.36237600000004</v>
      </c>
      <c r="T188" s="3">
        <f>1026.4+(612.2-807.8)+(0.523464+(0.312222-0.411978))+0-0-0</f>
        <v>831.22370800000022</v>
      </c>
      <c r="U188" s="3">
        <f>1024.1+(620.7-787.7)+(-1.044582+(-0.633114--0.803454))+0-0-0</f>
        <v>856.22575799999993</v>
      </c>
      <c r="V188" s="3">
        <f>1022.6+(606.2-774.8)+(-1.564578+(-0.927486--1.185444))+0-0-0</f>
        <v>852.69338000000016</v>
      </c>
      <c r="W188" s="3">
        <f>1000.4+(517.5-684.6)+(-2.55102+(-1.319625--1.74573))+0-0-0</f>
        <v>831.17508499999997</v>
      </c>
      <c r="X188" s="3">
        <f>1042.6+(505.4-524.6)+(-1.063452+(-0.515508--0.535092))+0-0-0</f>
        <v>1022.3561319999999</v>
      </c>
      <c r="Y188" s="3">
        <f>1042.3+(500.1-482.6)+(-1.063146+(-0.510102--0.492252))+0-0-0</f>
        <v>1058.719004</v>
      </c>
      <c r="Z188" s="3">
        <f>1041.9+(530.6-557)+(-0.531369+(-0.270606--0.28407))+0-0-0</f>
        <v>1014.9820950000001</v>
      </c>
      <c r="AA188" s="3">
        <f>1044+(583.7-654.7)+(-0.53244+(-0.297687--0.333897))+0-0-0</f>
        <v>972.50377000000003</v>
      </c>
      <c r="AB188" s="3">
        <f>1040+(577.7-632.1)+(-2.652+(-1.473135--1.611855))+0-0-0</f>
        <v>983.08672000000001</v>
      </c>
      <c r="AC188" s="3">
        <f>1044.1+(426.8-581.9)+(-1.064982+(-0.435336--0.593538))+0-0-0</f>
        <v>888.09321999999997</v>
      </c>
      <c r="AD188">
        <f t="shared" si="2"/>
        <v>19978.283179000002</v>
      </c>
      <c r="AE188" s="3">
        <f>1050+(496.5-475.1)+(0+(0-0))+0-0-0</f>
        <v>1071.4000000000001</v>
      </c>
    </row>
    <row r="189" spans="1:31" s="2" customFormat="1" x14ac:dyDescent="0.25">
      <c r="A189">
        <v>89</v>
      </c>
      <c r="B189">
        <v>7</v>
      </c>
      <c r="C189">
        <v>3</v>
      </c>
      <c r="D189">
        <v>1</v>
      </c>
      <c r="E189">
        <v>1</v>
      </c>
      <c r="F189" s="3">
        <f>1045.2+(440.4-723.1)+(-1.599156+(-0.673812--1.106343))+0-0-0</f>
        <v>761.33337500000005</v>
      </c>
      <c r="G189" s="3">
        <f>1044.2+(435.6-735.1)+(-2.130168+(-0.888624--1.499604))+0-0-0</f>
        <v>743.18081200000006</v>
      </c>
      <c r="H189" s="3">
        <f>1047.4+(394.7-747.9)+(-1.068348+(-0.402594--0.762858))+0-0-0</f>
        <v>693.49191600000006</v>
      </c>
      <c r="I189" s="3">
        <f>1053.9+(405.8-753)+(1.074978+(0.413916-0.76806))+0-0-0</f>
        <v>707.42083400000001</v>
      </c>
      <c r="J189" s="3">
        <f>1045.2+(367-673.3)+(-2.132208+(-0.74868--1.373532))+0-0-0</f>
        <v>737.39264400000013</v>
      </c>
      <c r="K189" s="3">
        <f>973.4+(307.8-558.4)+(-1.489302+(-0.470934--0.854352))+0-0-0</f>
        <v>721.69411600000001</v>
      </c>
      <c r="L189" s="3">
        <f>877.7+(271.1-448.9)+(-0.895254+(-0.276522--0.457878))+0-0-0</f>
        <v>699.18610200000012</v>
      </c>
      <c r="M189" s="3">
        <f>924.5+(288.9-485.5)+(0.471495+(0.147339-0.247605))+0-0-0</f>
        <v>728.27122899999995</v>
      </c>
      <c r="N189" s="3">
        <f>1043.4+(269.5-486.7)+(0+(0-0))+0-0-0</f>
        <v>826.2</v>
      </c>
      <c r="O189" s="3">
        <f>1040.6+(319-520.8)+(-0.530706+(-0.16269--0.265608))+0-0-0</f>
        <v>838.37221199999999</v>
      </c>
      <c r="P189" s="3">
        <f>1040.7+(374.1-535.2)+(-0.530757+(-0.190791--0.272952))+0-0-0</f>
        <v>879.15140400000007</v>
      </c>
      <c r="Q189" s="3">
        <f>1045.7+(448.6-579.3)+(0.533307+(0.228786-0.295443))+0-0-0</f>
        <v>915.46665000000007</v>
      </c>
      <c r="R189" s="3">
        <f>1051.2+(528.5-703)+(0+(0-0))+0-0-0</f>
        <v>876.7</v>
      </c>
      <c r="S189" s="3">
        <f>1046.4+(620.6-779.1)+(0+(0-0))+0-0-0</f>
        <v>887.90000000000009</v>
      </c>
      <c r="T189" s="3">
        <f>1052.5+(636.8-758.9)+(-1.07355+(-0.649536--0.774078))+0-0-0</f>
        <v>929.45099199999993</v>
      </c>
      <c r="U189" s="3">
        <f>1049.1+(604.3-735)+(-1.605123+(-0.924579--1.12455))+0-0-0</f>
        <v>916.99484799999982</v>
      </c>
      <c r="V189" s="3">
        <f>1050.1+(567.5-757)+(-1.606653+(-0.868275--1.15821))+0-0-0</f>
        <v>859.28328199999987</v>
      </c>
      <c r="W189" s="3">
        <f>1053.5+(546.1-541.9)+(0.537285+(0.278511-0.276369))+0-0-0</f>
        <v>1058.239427</v>
      </c>
      <c r="X189" s="3">
        <f>1060.1+(532.7-491.4)+(-2.162604+(-1.086708--1.002456))+0-0-0</f>
        <v>1099.1531440000001</v>
      </c>
      <c r="Y189" s="3">
        <f>1057.8+(589.3-527.5)+(0+(0-0))+0-0-0</f>
        <v>1119.5999999999999</v>
      </c>
      <c r="Z189" s="3">
        <f>1031.9+(646-641.5)+(1.052538+(0.65892-0.65433))+0-0-0</f>
        <v>1037.457128</v>
      </c>
      <c r="AA189" s="3">
        <f>1029.9+(737.5-746.3)+(-1.575747+(-1.128375--1.141839))+0-0-0</f>
        <v>1019.5377170000002</v>
      </c>
      <c r="AB189" s="3">
        <f>1023.9+(729.9-745.5)+(-2.610945+(-1.861245--1.901025))+0-0-0</f>
        <v>1005.728835</v>
      </c>
      <c r="AC189" s="3">
        <f>1024.2+(622.1-811.8)+(-2.61171+(-1.586355--2.07009))+0-0-0</f>
        <v>832.37202500000012</v>
      </c>
      <c r="AD189">
        <f t="shared" si="2"/>
        <v>20893.578691999999</v>
      </c>
      <c r="AE189" s="3">
        <f>1062+(580.5-495.8)+(0+(0-0))+0-0-0</f>
        <v>1146.7</v>
      </c>
    </row>
    <row r="190" spans="1:31" s="2" customFormat="1" x14ac:dyDescent="0.25">
      <c r="A190">
        <v>89</v>
      </c>
      <c r="B190">
        <v>7</v>
      </c>
      <c r="C190">
        <v>4</v>
      </c>
      <c r="D190">
        <v>2</v>
      </c>
      <c r="E190">
        <v>1</v>
      </c>
      <c r="F190" s="3">
        <f>1026+(552.5-773.6)+(-1.04652+(-0.56355--0.789072))+0-0-0</f>
        <v>804.07900199999995</v>
      </c>
      <c r="G190" s="3">
        <f>1024.2+(497.3-753.6)+(-2.61171+(-1.268115--1.92168))+0-0-0</f>
        <v>765.94185500000015</v>
      </c>
      <c r="H190" s="3">
        <f>1026.5+(411.9-747.8)+(-1.570545+(-0.630207--1.144134))+0-0-0</f>
        <v>689.54338200000007</v>
      </c>
      <c r="I190" s="3">
        <f>996.4+(418.6-682.1)+(-0.508164+(-0.213486--0.347871))+0-0-0</f>
        <v>732.52622099999996</v>
      </c>
      <c r="J190" s="3">
        <f>935.2+(402.9-626.7)+(0+(0-0))+0-0-0</f>
        <v>711.4</v>
      </c>
      <c r="K190" s="3">
        <f>931.1+(404.1-652.8)+(0+(0-0))+0-0-0</f>
        <v>682.40000000000009</v>
      </c>
      <c r="L190" s="3">
        <f>913.6+(370.4-578.1)+(-0.465936+(-0.188904--0.294831))+0-0-0</f>
        <v>705.53999099999999</v>
      </c>
      <c r="M190" s="3">
        <f>882.8+(422.2-592.7)+(-0.900456+(-0.430644--0.604554))+0-0-0</f>
        <v>711.57345399999997</v>
      </c>
      <c r="N190" s="3">
        <f>977.3+(418.1-545.5)+(0+(0-0))+0-0-0</f>
        <v>849.9</v>
      </c>
      <c r="O190" s="3">
        <f>1029.9+(456.5-655.3)+(-0.525249+(-0.232815--0.334203))+0-0-0</f>
        <v>830.67613900000015</v>
      </c>
      <c r="P190" s="3">
        <f>1039.2+(476.7-604.1)+(0+(0-0))+0-0-0</f>
        <v>911.8</v>
      </c>
      <c r="Q190" s="3">
        <f>1139.4+(474.2-659)+(0.581094+(0.241842-0.33609))+0-0-0</f>
        <v>955.08684600000015</v>
      </c>
      <c r="R190" s="3">
        <f>1141.2+(453.5-709.7)+(-0.582012+(-0.231285--0.361947))+0-0-0</f>
        <v>884.54864999999995</v>
      </c>
      <c r="S190" s="3">
        <f>1144.1+(511.7-807.6)+(0.583491+(0.260967-0.411876))+0-0-0</f>
        <v>848.63258199999984</v>
      </c>
      <c r="T190" s="3">
        <f>1141.4+(613.1-867.2)+(-0.582114+(-0.312681--0.442272))+0-0-0</f>
        <v>886.84747700000003</v>
      </c>
      <c r="U190" s="3">
        <f>1135.3+(624-790)+(-1.158006+(-0.63648--0.8058))+0-0-0</f>
        <v>968.31131399999992</v>
      </c>
      <c r="V190" s="3">
        <f>1079+(612.7-823.9)+(-1.65087+(-0.937431--1.260567))+0-0-0</f>
        <v>866.4722660000001</v>
      </c>
      <c r="W190" s="3">
        <f>1120.6+(526.2-663.3)+(0+(0-0))+0-0-0</f>
        <v>983.5</v>
      </c>
      <c r="X190" s="3">
        <f>1138.5+(485.2-547.7)+(-1.16127+(-0.494904--0.558654))+0-0-0</f>
        <v>1074.90248</v>
      </c>
      <c r="Y190" s="3">
        <f>1144.9+(585-614.8)+(-1.751697+(-0.89505--0.940644))+0-0-0</f>
        <v>1113.3938970000002</v>
      </c>
      <c r="Z190" s="3">
        <f>1151.7+(650.8-756.7)+(-1.174734+(-0.663816--0.771834))+0-0-0</f>
        <v>1044.7332839999999</v>
      </c>
      <c r="AA190" s="3">
        <f>1154.9+(706.6-819.2)+(0.588999+(0.360366-0.417792))+0-0-0</f>
        <v>1042.8315730000002</v>
      </c>
      <c r="AB190" s="3">
        <f>1085.8+(709.2-793.2)+(0+(0-0))+0-0-0</f>
        <v>1001.8</v>
      </c>
      <c r="AC190" s="3">
        <f>1028.1+(577-682.3)+(-1.048662+(-0.58854--0.695946))+0-0-0</f>
        <v>921.858744</v>
      </c>
      <c r="AD190">
        <f t="shared" si="2"/>
        <v>20988.299157000005</v>
      </c>
      <c r="AE190" s="3">
        <f>1146+(560.8-546.3)+(0+(0-0))+0-0-0</f>
        <v>1160.5</v>
      </c>
    </row>
    <row r="191" spans="1:31" s="2" customFormat="1" x14ac:dyDescent="0.25">
      <c r="A191">
        <v>89</v>
      </c>
      <c r="B191">
        <v>7</v>
      </c>
      <c r="C191">
        <v>5</v>
      </c>
      <c r="D191">
        <v>3</v>
      </c>
      <c r="E191">
        <v>1</v>
      </c>
      <c r="F191" s="3">
        <f>1030.6+(486.3-713.4)+(-1.576818+(-0.744039--1.091502))+0-0-0</f>
        <v>802.27064499999994</v>
      </c>
      <c r="G191" s="3">
        <f>1031.6+(482.3-783.4)+(0+(0-0))+0-0-0</f>
        <v>730.5</v>
      </c>
      <c r="H191" s="3">
        <f>1025.4+(492.6-787.5)+(-1.045908+(-0.502452--0.80325))+0-0-0</f>
        <v>729.75489000000016</v>
      </c>
      <c r="I191" s="3">
        <f>935.6+(504.2-698.5)+(0.477156+(0.257142-0.356235))+0-0-0</f>
        <v>741.67806299999995</v>
      </c>
      <c r="J191" s="3">
        <f>843.3+(468.9-596.7)+(0.430083+(0.239139-0.304317))+0-0-0</f>
        <v>715.86490499999991</v>
      </c>
      <c r="K191" s="3">
        <f>819.3+(412.7-481)+(-2.924901+(-1.473339--1.71717))+0-0-0</f>
        <v>748.31893000000002</v>
      </c>
      <c r="L191" s="3">
        <f>747.7+(426.9-447.5)+(0.381327+(0.217719-0.228225))+0-0-0</f>
        <v>727.470821</v>
      </c>
      <c r="M191" s="3">
        <f>730.5+(461.1-468)+(0.74511+(0.470322-0.47736))+0-0-0</f>
        <v>724.33807200000001</v>
      </c>
      <c r="N191" s="3">
        <f>828.6+(403.8-460.9)+(0+(0-0))+0-0-0</f>
        <v>771.5</v>
      </c>
      <c r="O191" s="3">
        <f>1027.1+(451.1-618.4)+(0+(0-0))+0-0-0</f>
        <v>859.8</v>
      </c>
      <c r="P191" s="3">
        <f>1029.2+(547-721.8)+(1.049784+(0.55794-0.736236))+0-0-0</f>
        <v>855.27148800000009</v>
      </c>
      <c r="Q191" s="3">
        <f>1030.6+(573.8-681.4)+(1.576818+(0.877914-1.042542))+0-0-0</f>
        <v>924.4121899999999</v>
      </c>
      <c r="R191" s="3">
        <f>1025.8+(647.2-768.1)+(-1.046316+(-0.660144--0.783462))+0-0-0</f>
        <v>903.97700199999997</v>
      </c>
      <c r="S191" s="3">
        <f>1022.2+(717.5-791.6)+(-0.521322+(-0.365925--0.403716))+0-0-0</f>
        <v>947.61646900000005</v>
      </c>
      <c r="T191" s="3">
        <f>1023.4+(731.4-839.5)+(-1.043868+(-0.746028--0.85629))+0-0-0</f>
        <v>914.3663939999999</v>
      </c>
      <c r="U191" s="3">
        <f>1020.3+(722.7-791.5)+(-2.081412+(-1.474308--1.61466))+0-0-0</f>
        <v>949.55894000000001</v>
      </c>
      <c r="V191" s="3">
        <f>1024.7+(698.7-806.8)+(-2.612985+(-1.781685--2.05734))+0-0-0</f>
        <v>914.26267000000018</v>
      </c>
      <c r="W191" s="3">
        <f>1036.8+(620.5-710.4)+(-0.528768+(-0.316455--0.362304))+0-0-0</f>
        <v>946.41708099999994</v>
      </c>
      <c r="X191" s="3">
        <f>1048+(606.3-589.3)+(0.53448+(0.309213-0.300543))+0-0-0</f>
        <v>1065.54315</v>
      </c>
      <c r="Y191" s="3">
        <f>1070.7+(666.5-580.3)+(-3.276342+(-2.03949--1.775718))+0-0-0</f>
        <v>1153.3598860000002</v>
      </c>
      <c r="Z191" s="3">
        <f>1042.2+(707.9-672.2)+(-1.594566+(-1.083087--1.028466))+0-0-0</f>
        <v>1076.2508130000001</v>
      </c>
      <c r="AA191" s="3">
        <f>1029+(777.1-722.7)+(-2.09916+(-1.585284--1.474308))+0-0-0</f>
        <v>1081.1898640000002</v>
      </c>
      <c r="AB191" s="3">
        <f>1055.4+(745.2-854.6)+(-2.153016+(-1.520208--1.743384))+0-0-0</f>
        <v>944.0701600000001</v>
      </c>
      <c r="AC191" s="3">
        <f>1066+(700.1-869.3)+(-2.7183+(-1.785255--2.216715))+0-0-0</f>
        <v>894.51316000000008</v>
      </c>
      <c r="AD191">
        <f t="shared" si="2"/>
        <v>21122.305592999997</v>
      </c>
      <c r="AE191" s="3">
        <f>1067+(644.4-586.9)+(0+(0-0))+0-0-0</f>
        <v>1124.5</v>
      </c>
    </row>
    <row r="192" spans="1:31" s="2" customFormat="1" x14ac:dyDescent="0.25">
      <c r="A192">
        <v>89</v>
      </c>
      <c r="B192">
        <v>7</v>
      </c>
      <c r="C192">
        <v>6</v>
      </c>
      <c r="D192">
        <v>4</v>
      </c>
      <c r="E192">
        <v>1</v>
      </c>
      <c r="F192" s="3">
        <f>1069.3+(575.7-792.2)+(-2.181372+(-1.174428--1.616088))+0-0-0</f>
        <v>851.0602879999999</v>
      </c>
      <c r="G192" s="3">
        <f>1006.3+(520.1-771.7)+(-1.539639+(-0.795753--1.180701))+0-0-0</f>
        <v>753.54530899999997</v>
      </c>
      <c r="H192" s="3">
        <f>796.6+(519.7-594.7)+(-0.812532+(-0.530094--0.606594))+0-0-0</f>
        <v>720.863968</v>
      </c>
      <c r="I192" s="3">
        <f>777.5+(490.3-560.8)+(-0.79305+(-0.500106--0.572016))+0-0-0</f>
        <v>706.27886000000001</v>
      </c>
      <c r="J192" s="3">
        <f>783.3+(423.6-516.8)+(1.597932+(0.864144-1.054272))+0-0-0</f>
        <v>691.50780400000008</v>
      </c>
      <c r="K192" s="3">
        <f>803.9+(363-427.2)+(-1.639956+(-0.74052--0.871488))+0-0-0</f>
        <v>738.191012</v>
      </c>
      <c r="L192" s="3">
        <f>757.6+(349.2-404)+(0.386376+(0.178092-0.20604))+0-0-0</f>
        <v>703.15842799999996</v>
      </c>
      <c r="M192" s="3">
        <f>756.7+(352-411.3)+(-0.385917+(-0.17952--0.209763))+0-0-0</f>
        <v>697.04432600000007</v>
      </c>
      <c r="N192" s="3">
        <f>881.3+(343.8-473.9)+(0+(0-0))+0-0-0</f>
        <v>751.2</v>
      </c>
      <c r="O192" s="3">
        <f>1016.4+(320.9-576.1)+(-2.073456+(-0.654636--1.175244))+0-0-0</f>
        <v>759.64715199999989</v>
      </c>
      <c r="P192" s="3">
        <f>1040+(448.3-653.2)+(-0.5304+(-0.228633--0.333132))+0-0-0</f>
        <v>834.67409899999996</v>
      </c>
      <c r="Q192" s="3">
        <f>1049.9+(479.4-640)+(2.141796+(0.977976-1.3056))+0-0-0</f>
        <v>891.11417200000005</v>
      </c>
      <c r="R192" s="3">
        <f>1059.2+(526.5-740.6)+(-1.080384+(-0.53703--0.755412))+0-0-0</f>
        <v>844.23799800000006</v>
      </c>
      <c r="S192" s="3">
        <f>1055.4+(590-777)+(0.538254+(0.3009-0.39627))+0-0-0</f>
        <v>868.84288400000014</v>
      </c>
      <c r="T192" s="3">
        <f>1048.7+(625.1-783.5)+(-2.139348+(-1.275204--1.59834))+0-0-0</f>
        <v>888.48378800000012</v>
      </c>
      <c r="U192" s="3">
        <f>1044.4+(648.3-780)+(-2.66322+(-1.653165--1.989))+0-0-0</f>
        <v>910.372615</v>
      </c>
      <c r="V192" s="3">
        <f>1053.2+(618.6-760.5)+(-2.68566+(-1.57743--1.939275))+0-0-0</f>
        <v>908.9761850000001</v>
      </c>
      <c r="W192" s="3">
        <f>1056.6+(554.8-724.4)+(-1.616598+(-0.848844--1.108332))+0-0-0</f>
        <v>885.64288999999985</v>
      </c>
      <c r="X192" s="3">
        <f>1063.3+(584.4-575.6)+(0+(0-0))+0-0-0</f>
        <v>1072.0999999999999</v>
      </c>
      <c r="Y192" s="3">
        <f>1064.8+(630.7-598.3)+(-1.629144+(-0.964971--0.915399))+0-0-0</f>
        <v>1095.5212840000002</v>
      </c>
      <c r="Z192" s="3">
        <f>1068.9+(698.7-754.2)+(-1.635417+(-1.069011--1.153926))+0-0-0</f>
        <v>1011.849498</v>
      </c>
      <c r="AA192" s="3">
        <f>1053.3+(693.6-701.4)+(-1.074366+(-0.707472--0.715428))+0-0-0</f>
        <v>1044.4335900000001</v>
      </c>
      <c r="AB192" s="3">
        <f>1016+(659.9-711.6)+(-1.03632+(-0.673098--0.725832))+0-0-0</f>
        <v>963.31641400000001</v>
      </c>
      <c r="AC192" s="3">
        <f>1014.4+(532.3-662.1)+(-1.034688+(-0.542946--0.675342))+0-0-0</f>
        <v>883.69770799999992</v>
      </c>
      <c r="AD192">
        <f t="shared" si="2"/>
        <v>20475.760272</v>
      </c>
      <c r="AE192" s="3">
        <f>1061+(612.2-570.1)+(0+(0-0))+0-0-0</f>
        <v>1103.0999999999999</v>
      </c>
    </row>
    <row r="193" spans="1:31" s="2" customFormat="1" x14ac:dyDescent="0.25">
      <c r="A193">
        <v>89</v>
      </c>
      <c r="B193">
        <v>7</v>
      </c>
      <c r="C193">
        <v>7</v>
      </c>
      <c r="D193">
        <v>5</v>
      </c>
      <c r="E193">
        <v>1</v>
      </c>
      <c r="F193" s="3">
        <f>976.4+(522.5-687)+(-2.987784+(-1.59885--2.10222))+0-0-0</f>
        <v>809.41558599999996</v>
      </c>
      <c r="G193" s="3">
        <f>713.3+(582.2-544.2)+(-2.182698+(-1.781532--1.665252))+0-0-0</f>
        <v>749.00102199999992</v>
      </c>
      <c r="H193" s="3">
        <f>698.2+(510-508.5)+(0+(0-0))+0-0-0</f>
        <v>699.7</v>
      </c>
      <c r="I193" s="3">
        <f>691.7+(488.5-491.3)+(-0.705534+(-0.49827--0.501126))+0-0-0</f>
        <v>688.1973220000001</v>
      </c>
      <c r="J193" s="3">
        <f>700.8+(468.6-512)+(1.072224+(0.716958-0.78336))+0-0-0</f>
        <v>658.40582199999994</v>
      </c>
      <c r="K193" s="3">
        <f>697.6+(450.4-487.7)+(-1.067328+(-0.689112--0.746181))+0-0-0</f>
        <v>659.28974099999994</v>
      </c>
      <c r="L193" s="3">
        <f>698.9+(440.3-449.8)+(-0.712878+(-0.449106--0.458796))+0-0-0</f>
        <v>688.69681200000002</v>
      </c>
      <c r="M193" s="3">
        <f>730.9+(400.8-457.7)+(0+(0-0))+0-0-0</f>
        <v>674</v>
      </c>
      <c r="N193" s="3">
        <f>973+(330.2-513.6)+(0+(0-0))+0-0-0</f>
        <v>789.59999999999991</v>
      </c>
      <c r="O193" s="3">
        <f>1033.1+(329.3-530.3)+(-1.053762+(-0.335886--0.540906))+0-0-0</f>
        <v>831.25125799999989</v>
      </c>
      <c r="P193" s="3">
        <f>1011.7+(395.2-580.6)+(-1.547901+(-0.604656--0.888318))+0-0-0</f>
        <v>825.03576099999998</v>
      </c>
      <c r="Q193" s="3">
        <f>1038.7+(489.4-670.9)+(-1.059474+(-0.499188--0.684318))+0-0-0</f>
        <v>856.32565600000009</v>
      </c>
      <c r="R193" s="3">
        <f>1026.2+(554.9-711.6)+(-1.046724+(-0.565998--0.725832))+0-0-0</f>
        <v>868.61311000000001</v>
      </c>
      <c r="S193" s="3">
        <f>1029.6+(574.4-698.3)+(0+(0-0))+0-0-0</f>
        <v>905.69999999999993</v>
      </c>
      <c r="T193" s="3">
        <f>1027+(576.9-732.2)+(-1.04754+(-0.588438--0.746844))+0-0-0</f>
        <v>870.81086599999992</v>
      </c>
      <c r="U193" s="3">
        <f>1025.4+(579.3-704.7)+(-1.045908+(-0.590886--0.718794))+0-0-0</f>
        <v>899.08199999999999</v>
      </c>
      <c r="V193" s="3">
        <f>1023.3+(530.1-641.2)+(-2.087532+(-1.081404--1.308048))+0-0-0</f>
        <v>910.33911199999989</v>
      </c>
      <c r="W193" s="3">
        <f>1029.5+(441.7-574.7)+(0.525045+(0.225267-0.293097))+0-0-0</f>
        <v>896.95721500000002</v>
      </c>
      <c r="X193" s="3">
        <f>1034.1+(531.6-481.6)+(0.527391+(0.271116-0.245616))+0-0-0</f>
        <v>1084.652891</v>
      </c>
      <c r="Y193" s="3">
        <f>1004.9+(604.3-495.2)+(-2.049996+(-1.232772--1.010208))+0-0-0</f>
        <v>1111.7274399999999</v>
      </c>
      <c r="Z193" s="3">
        <f>1035.4+(602-591)+(-0.528054+(-0.30702--0.30141))+0-0-0</f>
        <v>1045.866336</v>
      </c>
      <c r="AA193" s="3">
        <f>1023.4+(649.1-667.4)+(-1.565802+(-0.993123--1.021122))+0-0-0</f>
        <v>1003.562197</v>
      </c>
      <c r="AB193" s="3">
        <f>1017.4+(645-754.7)+(-2.075496+(-1.3158--1.539588))+0-0-0</f>
        <v>905.8482919999999</v>
      </c>
      <c r="AC193" s="3">
        <f>1015+(562.2-702)+(-2.0706+(-1.146888--1.43208))+0-0-0</f>
        <v>873.41459200000008</v>
      </c>
      <c r="AD193">
        <f t="shared" ref="AD193:AD256" si="3">SUM(F193:AC193)</f>
        <v>20305.493030999998</v>
      </c>
      <c r="AE193" s="3">
        <f>1036+(566.8-487.2)+(0+(0-0))+0-0-0</f>
        <v>1115.5999999999999</v>
      </c>
    </row>
    <row r="194" spans="1:31" s="2" customFormat="1" x14ac:dyDescent="0.25">
      <c r="A194">
        <v>89</v>
      </c>
      <c r="B194">
        <v>7</v>
      </c>
      <c r="C194">
        <v>8</v>
      </c>
      <c r="D194">
        <v>6</v>
      </c>
      <c r="E194">
        <v>1</v>
      </c>
      <c r="F194" s="3">
        <f>1014.2+(487.7-732.8)+(-1.551726+(-0.746181--1.121184))+0-0-0</f>
        <v>767.9232770000001</v>
      </c>
      <c r="G194" s="3">
        <f>1006.5+(471-713.4)+(-2.05326+(-0.96084--1.455336))+0-0-0</f>
        <v>762.54123600000003</v>
      </c>
      <c r="H194" s="3">
        <f>1006.7+(416.9-736.6)+(-1.026834+(-0.425238--0.751332))+0-0-0</f>
        <v>686.29926</v>
      </c>
      <c r="I194" s="3">
        <f>1009.8+(423.6-699.8)+(-0.514998+(-0.216036--0.356898))+0-0-0</f>
        <v>733.225864</v>
      </c>
      <c r="J194" s="3">
        <f>1006.3+(368.9-717.4)+(-1.026426+(-0.376278--0.731748))+0-0-0</f>
        <v>657.12904399999991</v>
      </c>
      <c r="K194" s="3">
        <f>910.8+(374.6-571.8)+(-1.858032+(-0.764184--1.166472))+0-0-0</f>
        <v>712.14425600000004</v>
      </c>
      <c r="L194" s="3">
        <f>811.7+(345.7-455.6)+(0+(0-0))+0-0-0</f>
        <v>701.8</v>
      </c>
      <c r="M194" s="3">
        <f>863.6+(333.5-460.7)+(-0.440436+(-0.170085--0.234957))+0-0-0</f>
        <v>736.02443600000004</v>
      </c>
      <c r="N194" s="3">
        <f>945.7+(368-514.3)+(-0.482307+(-0.18768--0.262293))+0-0-0</f>
        <v>798.9923060000001</v>
      </c>
      <c r="O194" s="3">
        <f>963.9+(373.1-526.8)+(-1.474767+(-0.570843--0.806004))+0-0-0</f>
        <v>808.96039400000006</v>
      </c>
      <c r="P194" s="3">
        <f>966.7+(409.5-506.8)+(-0.493017+(-0.208845--0.258468))+0-0-0</f>
        <v>868.95660600000008</v>
      </c>
      <c r="Q194" s="3">
        <f>929.1+(439.6-523.6)+(-0.473841+(-0.224196--0.267036))+0-0-0</f>
        <v>844.66899899999999</v>
      </c>
      <c r="R194" s="3">
        <f>960+(537.1-664.2)+(0+(0-0))+0-0-0</f>
        <v>832.9</v>
      </c>
      <c r="S194" s="3">
        <f>987+(603.4-837.5)+(-0.50337+(-0.307734--0.427125))+0-0-0</f>
        <v>752.51602100000002</v>
      </c>
      <c r="T194" s="3">
        <f>985.6+(645.3-760.5)+(-0.502656+(-0.329103--0.387855))+0-0-0</f>
        <v>869.956096</v>
      </c>
      <c r="U194" s="3">
        <f>987.1+(651.4-796.8)+(-0.503421+(-0.332214--0.406368))+0-0-0</f>
        <v>841.27073300000006</v>
      </c>
      <c r="V194" s="3">
        <f>991.5+(623.1-703.9)+(-3.03399+(-1.906686--2.153934))+0-0-0</f>
        <v>907.91325800000004</v>
      </c>
      <c r="W194" s="3">
        <f>994+(540.8-604.3)+(0.50694+(0.275808-0.308193))+0-0-0</f>
        <v>930.97455500000001</v>
      </c>
      <c r="X194" s="3">
        <f>980.7+(523.1-464.9)+(0+(0-0))+0-0-0</f>
        <v>1038.9000000000001</v>
      </c>
      <c r="Y194" s="3">
        <f>1010.8+(587.3-539.3)+(-2.062032+(-1.198092--1.100172))+0-0-0</f>
        <v>1056.640048</v>
      </c>
      <c r="Z194" s="3">
        <f>1012.6+(592.8-567.9)+(-2.065704+(-1.209312--1.158516))+0-0-0</f>
        <v>1035.3834999999999</v>
      </c>
      <c r="AA194" s="3">
        <f>1016.4+(520.7-551)+(-1.036728+(-0.531114--0.56202))+0-0-0</f>
        <v>985.09417800000006</v>
      </c>
      <c r="AB194" s="3">
        <f>1010.7+(494.8-582.8)+(-1.546371+(-0.757044--0.891684))+0-0-0</f>
        <v>921.28826900000001</v>
      </c>
      <c r="AC194" s="3">
        <f>1070.4+(456.4-732.9)+(-2.72952+(-1.16382--1.868895))+0-0-0</f>
        <v>791.87555500000008</v>
      </c>
      <c r="AD194">
        <f t="shared" si="3"/>
        <v>20043.377890999996</v>
      </c>
      <c r="AE194" s="3">
        <f>987+(549-478.2)+(0+(0-0))+0-0-0</f>
        <v>1057.8</v>
      </c>
    </row>
    <row r="195" spans="1:31" s="2" customFormat="1" x14ac:dyDescent="0.25">
      <c r="A195">
        <v>89</v>
      </c>
      <c r="B195">
        <v>7</v>
      </c>
      <c r="C195">
        <v>9</v>
      </c>
      <c r="D195">
        <v>7</v>
      </c>
      <c r="E195">
        <v>1</v>
      </c>
      <c r="F195" s="3">
        <f>1072.5+(462.1-791.6)+(-0.546975+(-0.235671--0.403716))+0-0-0</f>
        <v>742.62107000000003</v>
      </c>
      <c r="G195" s="3">
        <f>1066.5+(451.6-798.3)+(-2.719575+(-1.15158--2.035665))+0-0-0</f>
        <v>717.96451000000002</v>
      </c>
      <c r="H195" s="3">
        <f>974.2+(439.6-737.5)+(0+(0-0))+0-0-0</f>
        <v>676.30000000000007</v>
      </c>
      <c r="I195" s="3">
        <f>945.4+(410.9-693.1)+(-1.928616+(-0.838236--1.413924))+0-0-0</f>
        <v>661.84707199999991</v>
      </c>
      <c r="J195" s="3">
        <f>947+(356.5-659.4)+(-1.44891+(-0.545445--1.008882))+0-0-0</f>
        <v>643.11452700000007</v>
      </c>
      <c r="K195" s="3">
        <f>937.9+(309.8-604.9)+(-2.391645+(-0.78999--1.542495))+0-0-0</f>
        <v>641.16085999999996</v>
      </c>
      <c r="L195" s="3">
        <f>793.8+(368.3-546.4)+(-1.214514+(-0.563499--0.835992))+0-0-0</f>
        <v>614.75797900000009</v>
      </c>
      <c r="M195" s="3">
        <f>787.9+(321.8-489.7)+(-1.205487+(-0.492354--0.749241))+0-0-0</f>
        <v>619.05139999999994</v>
      </c>
      <c r="N195" s="3">
        <f>946.2+(333.3-597.5)+(-0.482562+(-0.169983--0.304725))+0-0-0</f>
        <v>681.65218000000004</v>
      </c>
      <c r="O195" s="3">
        <f>974.8+(284.1-600.9)+(-0.994296+(-0.289782--0.612918))+0-0-0</f>
        <v>657.32884000000001</v>
      </c>
      <c r="P195" s="3">
        <f>1040.2+(351.5-644.6)+(-0.530502+(-0.179265--0.328746))+0-0-0</f>
        <v>746.71897899999999</v>
      </c>
      <c r="Q195" s="3">
        <f>1084.4+(361-724.6)+(-1.106088+(-0.36822--0.739092))+0-0-0</f>
        <v>720.06478400000003</v>
      </c>
      <c r="R195" s="3">
        <f>1139.7+(370.7-752)+(-1.743741+(-0.567171--1.15056))+0-0-0</f>
        <v>757.2396480000001</v>
      </c>
      <c r="S195" s="3">
        <f>1253.5+(439.6-849.1)+(-1.917855+(-0.672588--1.299123))+0-0-0</f>
        <v>842.70867999999996</v>
      </c>
      <c r="T195" s="3">
        <f>1246.4+(489.8-864.6)+(-3.17832+(-1.24899--2.20473))+0-0-0</f>
        <v>869.37742000000014</v>
      </c>
      <c r="U195" s="3">
        <f>1140.9+(518.9-767.4)+(-1.745577+(-0.793917--1.174122))+0-0-0</f>
        <v>891.03462800000011</v>
      </c>
      <c r="V195" s="3">
        <f>1145.5+(406.6-704.4)+(-1.752615+(-0.622098--1.077732))+0-0-0</f>
        <v>846.40301900000009</v>
      </c>
      <c r="W195" s="3">
        <f>1146.3+(355.1-648.1)+(0+(0-0))+0-0-0</f>
        <v>853.3</v>
      </c>
      <c r="X195" s="3">
        <f>1144.1+(383.2-554.2)+(-0.583491+(-0.195432--0.282642))+0-0-0</f>
        <v>972.60371899999996</v>
      </c>
      <c r="Y195" s="3">
        <f>1139.9+(461.6-591.5)+(-1.162698+(-0.470832--0.60333))+0-0-0</f>
        <v>1008.9698000000001</v>
      </c>
      <c r="Z195" s="3">
        <f>1145.6+(485.3-613.5)+(-2.337024+(-0.990012--1.25154))+0-0-0</f>
        <v>1015.3245039999998</v>
      </c>
      <c r="AA195" s="3">
        <f>1150.8+(535.7-698.8)+(-1.760724+(-0.819621--1.069164))+0-0-0</f>
        <v>986.18881900000008</v>
      </c>
      <c r="AB195" s="3">
        <f>1149.6+(581.6-748.6)+(-2.93148+(-1.48308--1.90893))+0-0-0</f>
        <v>980.09436999999991</v>
      </c>
      <c r="AC195" s="3">
        <f>1148.7+(584.9-834.9)+(-2.929185+(-1.491495--2.128995))+0-0-0</f>
        <v>896.40831500000002</v>
      </c>
      <c r="AD195">
        <f t="shared" si="3"/>
        <v>19042.235123000002</v>
      </c>
      <c r="AE195" s="3">
        <f>1151+(429.7-565.7)+(0+(0-0))+0-0-0</f>
        <v>1015</v>
      </c>
    </row>
    <row r="196" spans="1:31" s="2" customFormat="1" x14ac:dyDescent="0.25">
      <c r="A196">
        <v>89</v>
      </c>
      <c r="B196">
        <v>7</v>
      </c>
      <c r="C196">
        <v>10</v>
      </c>
      <c r="D196">
        <v>1</v>
      </c>
      <c r="E196">
        <v>1</v>
      </c>
      <c r="F196" s="3">
        <f>1151.5+(550-864.8)+(-3.52359+(-1.683--2.646288))+0-0-0</f>
        <v>834.13969800000007</v>
      </c>
      <c r="G196" s="3">
        <f>1154+(488.4-833.8)+(-1.76562+(-0.747252--1.275714))+0-0-0</f>
        <v>807.362842</v>
      </c>
      <c r="H196" s="3">
        <f>1154+(471.2-846.9)+(-2.9427+(-1.20156--2.159595))+0-0-0</f>
        <v>776.315335</v>
      </c>
      <c r="I196" s="3">
        <f>1156.8+(478.5-857.7)+(-0.589968+(-0.244035--0.437427))+0-0-0</f>
        <v>777.20342399999993</v>
      </c>
      <c r="J196" s="3">
        <f>1157.4+(453.1-848.8)+(-1.180548+(-0.462162--0.865776))+0-0-0</f>
        <v>760.92306600000018</v>
      </c>
      <c r="K196" s="3">
        <f>1143.9+(387.7-740.9)+(-2.333556+(-0.790908--1.511436))+0-0-0</f>
        <v>789.08697200000006</v>
      </c>
      <c r="L196" s="3">
        <f>1076+(338.9-656.2)+(0.54876+(0.172839-0.334662))+0-0-0</f>
        <v>759.08693699999992</v>
      </c>
      <c r="M196" s="3">
        <f>1076+(290.8-631.3)+(-0.54876+(-0.148308--0.321963))+0-0-0</f>
        <v>735.12489500000004</v>
      </c>
      <c r="N196" s="3">
        <f>1074.6+(271.9-567.9)+(-0.548046+(-0.138669--0.289629))+0-0-0</f>
        <v>778.20291399999996</v>
      </c>
      <c r="O196" s="3">
        <f>1149.6+(375.6-646)+(-0.586296+(-0.191556--0.32946))+0-0-0</f>
        <v>878.75160799999992</v>
      </c>
      <c r="P196" s="3">
        <f>1149.6+(430.5-666.1)+(0+(0-0))+0-0-0</f>
        <v>913.99999999999989</v>
      </c>
      <c r="Q196" s="3">
        <f>1148.5+(417-729.7)+(0.585735+(0.21267-0.372147))+0-0-0</f>
        <v>836.22625799999992</v>
      </c>
      <c r="R196" s="3">
        <f>1144.7+(477.9-810.9)+(0+(0-0))+0-0-0</f>
        <v>811.7</v>
      </c>
      <c r="S196" s="3">
        <f>1142.7+(510.5-831.3)+(0+(0-0))+0-0-0</f>
        <v>821.90000000000009</v>
      </c>
      <c r="T196" s="3">
        <f>1139+(533.8-835.7)+(-2.32356+(-1.088952--1.704828))+0-0-0</f>
        <v>835.39231599999994</v>
      </c>
      <c r="U196" s="3">
        <f>1136.7+(563.1-859.8)+(-3.478302+(-1.723086--2.630988))+0-0-0</f>
        <v>837.42960000000016</v>
      </c>
      <c r="V196" s="3">
        <f>1141.9+(550.9-871.8)+(-2.911845+(-1.404795--2.22309))+0-0-0</f>
        <v>818.90645000000006</v>
      </c>
      <c r="W196" s="3">
        <f>1076.4+(476.9-718.7)+(1.646892+(0.729657-1.099611))+0-0-0</f>
        <v>835.876938</v>
      </c>
      <c r="X196" s="3">
        <f>1062.2+(452.7-561.2)+(-0.541722+(-0.230877--0.286212))+0-0-0</f>
        <v>953.21361300000001</v>
      </c>
      <c r="Y196" s="3">
        <f>1029.3+(528.1-511.8)+(-2.624715+(-1.346655--1.30509))+0-0-0</f>
        <v>1042.93372</v>
      </c>
      <c r="Z196" s="3">
        <f>1028.9+(607.7-622.3)+(-1.574217+(-0.929781--0.952119))+0-0-0</f>
        <v>1012.7481210000002</v>
      </c>
      <c r="AA196" s="3">
        <f>1027.4+(682.9-669.9)+(-2.095896+(-1.393116--1.366596))+0-0-0</f>
        <v>1038.2775840000002</v>
      </c>
      <c r="AB196" s="3">
        <f>1027.2+(622-746)+(-2.095488+(-1.26888--1.52184))+0-0-0</f>
        <v>901.35747200000003</v>
      </c>
      <c r="AC196" s="3">
        <f>1024.6+(579.7-791.8)+(-3.135276+(-1.773882--2.422908))+0-0-0</f>
        <v>810.01374999999996</v>
      </c>
      <c r="AD196">
        <f t="shared" si="3"/>
        <v>20366.173512999998</v>
      </c>
      <c r="AE196" s="3">
        <f>1027+(527.1-506.6)+(0+(0-0))+0-0-0</f>
        <v>1047.5</v>
      </c>
    </row>
    <row r="197" spans="1:31" s="2" customFormat="1" x14ac:dyDescent="0.25">
      <c r="A197">
        <v>89</v>
      </c>
      <c r="B197">
        <v>7</v>
      </c>
      <c r="C197">
        <v>11</v>
      </c>
      <c r="D197">
        <v>2</v>
      </c>
      <c r="E197">
        <v>1</v>
      </c>
      <c r="F197" s="3">
        <f>1028.7+(527.9-745.9)+(-1.049274+(-0.538458--0.760818))+0-0-0</f>
        <v>809.87308600000006</v>
      </c>
      <c r="G197" s="3">
        <f>1031.1+(477.1-743.4)+(-0.525861+(-0.243321--0.379134))+0-0-0</f>
        <v>764.40995199999998</v>
      </c>
      <c r="H197" s="3">
        <f>1027.5+(490.9-765.8)+(-2.620125+(-1.251795--1.95279))+0-0-0</f>
        <v>750.68087000000003</v>
      </c>
      <c r="I197" s="3">
        <f>1031.3+(475.1-735.7)+(-1.051926+(-0.484602--0.750414))+0-0-0</f>
        <v>769.91388599999993</v>
      </c>
      <c r="J197" s="3">
        <f>1033.5+(377.8-668.6)+(0+(0-0))+0-0-0</f>
        <v>742.7</v>
      </c>
      <c r="K197" s="3">
        <f>1034+(305.7-636.1)+(-0.52734+(-0.155907--0.324411))+0-0-0</f>
        <v>703.24116399999991</v>
      </c>
      <c r="L197" s="3">
        <f>913.1+(248.5-523.9)+(0.465681+(0.126735-0.267189))+0-0-0</f>
        <v>638.02522700000009</v>
      </c>
      <c r="M197" s="3">
        <f>945.5+(225.5-480.1)+(-0.482205+(-0.115005--0.244851))+0-0-0</f>
        <v>690.547641</v>
      </c>
      <c r="N197" s="3">
        <f>1024.5+(246.7-518)+(0.522495+(0.125817-0.26418))+0-0-0</f>
        <v>753.58413200000007</v>
      </c>
      <c r="O197" s="3">
        <f>1042.9+(333.6-510.1)+(-1.063758+(-0.340272--0.520302))+0-0-0</f>
        <v>865.51627200000007</v>
      </c>
      <c r="P197" s="3">
        <f>1040.6+(434.1-609.5)+(-1.061412+(-0.442782--0.62169))+0-0-0</f>
        <v>864.31749599999989</v>
      </c>
      <c r="Q197" s="3">
        <f>1050.3+(406.1-607.4)+(0.535653+(0.207111-0.309774))+0-0-0</f>
        <v>849.43299000000002</v>
      </c>
      <c r="R197" s="3">
        <f>1056.2+(458.3-640.2)+(-0.538662+(-0.233733--0.326502))+0-0-0</f>
        <v>873.854107</v>
      </c>
      <c r="S197" s="3">
        <f>1055.2+(532.9-687.3)+(0.538152+(0.271779-0.350523))+0-0-0</f>
        <v>901.25940800000012</v>
      </c>
      <c r="T197" s="3">
        <f>1052+(507.6-767.4)+(-1.60956+(-0.776628--1.174122))+0-0-0</f>
        <v>790.987934</v>
      </c>
      <c r="U197" s="3">
        <f>1052.7+(542.1-856.2)+(-2.684385+(-1.382355--2.18331))+0-0-0</f>
        <v>736.71657000000005</v>
      </c>
      <c r="V197" s="3">
        <f>1040.2+(582.2-752.6)+(-1.591506+(-0.890766--1.151478))+0-0-0</f>
        <v>868.4692060000001</v>
      </c>
      <c r="W197" s="3">
        <f>1089.1+(443.6-634.1)+(-2.777205+(-1.13118--1.616955))+0-0-0</f>
        <v>896.30856999999992</v>
      </c>
      <c r="X197" s="3">
        <f>1148.4+(364.9-561.6)+(-1.171368+(-0.372198--0.572832))+0-0-0</f>
        <v>950.72926600000005</v>
      </c>
      <c r="Y197" s="3">
        <f>1162.2+(498.2-563.1)+(-1.778166+(-0.762246--0.861543))+0-0-0</f>
        <v>1095.6211309999999</v>
      </c>
      <c r="Z197" s="3">
        <f>1169.4+(593-670)+(-2.385576+(-1.20972--1.3668))+0-0-0</f>
        <v>1090.1715040000001</v>
      </c>
      <c r="AA197" s="3">
        <f>1171.7+(630.5-752.9)+(-2.390268+(-1.28622--1.535916))+0-0-0</f>
        <v>1047.1594280000002</v>
      </c>
      <c r="AB197" s="3">
        <f>1145.3+(573.9-715.3)+(-2.920515+(-1.463445--1.824015))+0-0-0</f>
        <v>1001.340055</v>
      </c>
      <c r="AC197" s="3">
        <f>1048.8+(482.2-729.9)+(-1.604664+(-0.737766--1.116747))+0-0-0</f>
        <v>799.87431699999991</v>
      </c>
      <c r="AD197">
        <f t="shared" si="3"/>
        <v>20254.734211999999</v>
      </c>
      <c r="AE197" s="3">
        <f>1154+(393-507)+(0+(0-0))+0-0-0</f>
        <v>1040</v>
      </c>
    </row>
    <row r="198" spans="1:31" s="2" customFormat="1" x14ac:dyDescent="0.25">
      <c r="A198">
        <v>89</v>
      </c>
      <c r="B198">
        <v>7</v>
      </c>
      <c r="C198">
        <v>12</v>
      </c>
      <c r="D198">
        <v>3</v>
      </c>
      <c r="E198">
        <v>5</v>
      </c>
      <c r="F198" s="3">
        <f>1051.6+(479.4-820.1)+(-1.072632+(-0.488988--0.836502))+0-0-0</f>
        <v>710.17488199999991</v>
      </c>
      <c r="G198" s="3">
        <f>1050.5+(413.9-798.4)+(-1.07151+(-0.422178--0.814368))+0-0-0</f>
        <v>665.32068000000004</v>
      </c>
      <c r="H198" s="3">
        <f>958.7+(443.7-786.1)+(-2.444685+(-1.131435--2.004555))+0-0-0</f>
        <v>614.72843499999999</v>
      </c>
      <c r="I198" s="3">
        <f>958.3+(364.2-686.8)+(0.977466+(0.371484-0.700536))+0-0-0</f>
        <v>636.34841400000005</v>
      </c>
      <c r="J198" s="3">
        <f>953.2+(353.7-700.2)+(-0.486132+(-0.180387--0.357102))+0-0-0</f>
        <v>606.39058299999999</v>
      </c>
      <c r="K198" s="3">
        <f>911+(361-649.4)+(-0.92922+(-0.36822--0.662388))+0-0-0</f>
        <v>621.96494800000005</v>
      </c>
      <c r="L198" s="3">
        <f>799.5+(304-524.2)+(-1.63098+(-0.62016--1.069368))+0-0-0</f>
        <v>578.11822799999993</v>
      </c>
      <c r="M198" s="3">
        <f>783.1+(293.4-465.8)+(0.798762+(0.299268-0.475116))+0-0-0</f>
        <v>611.32291400000008</v>
      </c>
      <c r="N198" s="3">
        <f>843.8+(295-487.2)+(0+(0-0))+0-0-0</f>
        <v>651.59999999999991</v>
      </c>
      <c r="O198" s="3">
        <f>974+(251.2-490.4)+(-1.49022+(-0.384336--0.750312))+0-0-0</f>
        <v>733.67575599999998</v>
      </c>
      <c r="P198" s="3">
        <f>1018.9+(250-500.7)+(0+(0-0))+0-0-0</f>
        <v>768.2</v>
      </c>
      <c r="Q198" s="3">
        <f>1011.6+(381-650.8)+(0+(0-0))+0-0-0</f>
        <v>741.80000000000007</v>
      </c>
      <c r="R198" s="3">
        <f>1030.4+(604-745.7)+(-1.051008+(-0.61608--0.760614))+0-0-0</f>
        <v>887.79352600000004</v>
      </c>
      <c r="S198" s="3">
        <f>1028.5+(580-804.1)+(1.04907+(0.5916-0.820182))+0-0-0</f>
        <v>805.22048799999993</v>
      </c>
      <c r="T198" s="3">
        <f>1027.4+(663-803.8)+(-1.571922+(-1.01439--1.229814))+0-0-0</f>
        <v>885.24350200000015</v>
      </c>
      <c r="U198" s="3">
        <f>1029.2+(614.3-747.3)+(-3.149352+(-1.879758--2.286738))+0-0-0</f>
        <v>893.457628</v>
      </c>
      <c r="V198" s="3">
        <f>986.3+(439.8-667.9)+(-2.515065+(-1.12149--1.703145))+0-0-0</f>
        <v>756.26659000000006</v>
      </c>
      <c r="W198" s="3">
        <f>1098+(395.4-603.4)+(0+(0-0))+0-0-0</f>
        <v>890</v>
      </c>
      <c r="X198" s="3">
        <f>1027.5+(416.5-484.6)+(-1.572075+(-0.637245--0.741438))+0-0-0</f>
        <v>957.93211799999995</v>
      </c>
      <c r="Y198" s="3">
        <f>1030.3+(443.9-472.2)+(-1.576359+(-0.679167--0.722466))+0-0-0</f>
        <v>1000.46694</v>
      </c>
      <c r="Z198" s="3">
        <f>1033.2+(468.2-512.7)+(-1.580796+(-0.716346--0.784431))+0-0-0</f>
        <v>987.18728900000008</v>
      </c>
      <c r="AA198" s="3">
        <f>1032.8+(556.4-575.5)+(-2.63364+(-1.41882--1.467525))+0-0-0</f>
        <v>1011.115065</v>
      </c>
      <c r="AB198" s="3">
        <f>1035.8+(510.8-602.2)+(-1.584774+(-0.781524--0.921366))+0-0-0</f>
        <v>942.95506799999987</v>
      </c>
      <c r="AC198" s="3">
        <f>1037.1+(470.4-626.6)+(-1.586763+(-0.719712--0.958698))+0-0-0</f>
        <v>879.55222299999991</v>
      </c>
      <c r="AD198">
        <f t="shared" si="3"/>
        <v>18836.835276999998</v>
      </c>
      <c r="AE198" s="3">
        <f>1036+(439.8-482.7)+(0+(0-0))+0-0-0</f>
        <v>993.1</v>
      </c>
    </row>
    <row r="199" spans="1:31" s="2" customFormat="1" x14ac:dyDescent="0.25">
      <c r="A199">
        <v>89</v>
      </c>
      <c r="B199">
        <v>7</v>
      </c>
      <c r="C199">
        <v>13</v>
      </c>
      <c r="D199">
        <v>4</v>
      </c>
      <c r="E199">
        <v>1</v>
      </c>
      <c r="F199" s="3">
        <f>1046.8+(504.5-711.1)+(0+(0-0))+0-0-0</f>
        <v>840.19999999999993</v>
      </c>
      <c r="G199" s="3">
        <f>1016.2+(412.6-760.5)+(-0.518262+(-0.210426--0.387855))+0-0-0</f>
        <v>667.95916700000009</v>
      </c>
      <c r="H199" s="3">
        <f>950.5+(463.6-690.3)+(0.484755+(0.236436-0.352053))+0-0-0</f>
        <v>724.16913800000009</v>
      </c>
      <c r="I199" s="3">
        <f>953.4+(443.6-688.4)+(1.944936+(0.904944-1.404336))+0-0-0</f>
        <v>710.04554400000006</v>
      </c>
      <c r="J199" s="3">
        <f>944.4+(407-645.7)+(-1.444932+(-0.62271--0.987921))+0-0-0</f>
        <v>704.62027899999998</v>
      </c>
      <c r="K199" s="3">
        <f>944.9+(371-624.4)+(-1.445697+(-0.56763--0.955332))+0-0-0</f>
        <v>690.44200499999999</v>
      </c>
      <c r="L199" s="3">
        <f>898.7+(281.4-565.7)+(0+(0-0))+0-0-0</f>
        <v>614.4</v>
      </c>
      <c r="M199" s="3">
        <f>784+(322.7-461)+(0.39984+(0.164577-0.23511))+0-0-0</f>
        <v>646.02930700000002</v>
      </c>
      <c r="N199" s="3">
        <f>779.7+(352.8-451)+(0+(0-0))+0-0-0</f>
        <v>681.5</v>
      </c>
      <c r="O199" s="3">
        <f>986.6+(275.8-490.6)+(-1.509498+(-0.421974--0.750618))+0-0-0</f>
        <v>770.619146</v>
      </c>
      <c r="P199" s="3">
        <f>1003.7+(300.7-514.7)+(0.511887+(0.153357-0.262497))+0-0-0</f>
        <v>790.10274700000002</v>
      </c>
      <c r="Q199" s="3">
        <f>991.1+(419.6-573.7)+(0+(0-0))+0-0-0</f>
        <v>837</v>
      </c>
      <c r="R199" s="3">
        <f>1040.2+(503.4-739.4)+(-0.530502+(-0.256734--0.377094))+0-0-0</f>
        <v>803.78985800000009</v>
      </c>
      <c r="S199" s="3">
        <f>1031.2+(570.6-786.8)+(1.577736+(0.873018-1.203804))+0-0-0</f>
        <v>816.24695000000008</v>
      </c>
      <c r="T199" s="3">
        <f>1031.7+(575.2-806)+(-0.526167+(-0.293352--0.41106))+0-0-0</f>
        <v>800.4915410000001</v>
      </c>
      <c r="U199" s="3">
        <f>1152.4+(581.2-913)+(-2.350896+(-1.185648--1.86252))+0-0-0</f>
        <v>818.92597600000011</v>
      </c>
      <c r="V199" s="3">
        <f>1154+(519.3-870.9)+(-1.76562+(-0.794529--1.332477))+0-0-0</f>
        <v>801.17232799999999</v>
      </c>
      <c r="W199" s="3">
        <f>1155.8+(437.2-762.4)+(-1.768374+(-0.668916--1.166472))+0-0-0</f>
        <v>829.32918199999995</v>
      </c>
      <c r="X199" s="3">
        <f>1160.2+(513.5-725.5)+(0.591702+(0.261885-0.370005))+0-0-0</f>
        <v>948.683582</v>
      </c>
      <c r="Y199" s="3">
        <f>1163.9+(548.2-690.6)+(-2.374356+(-1.118328--1.408824))+0-0-0</f>
        <v>1019.4161400000002</v>
      </c>
      <c r="Z199" s="3">
        <f>1159.8+(564.7-755)+(0.591498+(0.287997-0.38505))+0-0-0</f>
        <v>969.99444500000004</v>
      </c>
      <c r="AA199" s="3">
        <f>1158.9+(587.2-808.9)+(-1.773117+(-0.898416--1.237617))+0-0-0</f>
        <v>935.76608400000021</v>
      </c>
      <c r="AB199" s="3">
        <f>1162.7+(542.8-922.6)+(-2.371908+(-1.107312--1.882104))+0-0-0</f>
        <v>781.30288399999995</v>
      </c>
      <c r="AC199" s="3">
        <f>1164.2+(523-889)+(-1.187484+(-0.53346--0.90678))+0-0-0</f>
        <v>797.38583600000004</v>
      </c>
      <c r="AD199">
        <f t="shared" si="3"/>
        <v>18999.592139</v>
      </c>
      <c r="AE199" s="3">
        <f>1186+(529.9-695.3)+(0+(0-0))+0-0-0</f>
        <v>1020.6</v>
      </c>
    </row>
    <row r="200" spans="1:31" s="2" customFormat="1" x14ac:dyDescent="0.25">
      <c r="A200">
        <v>89</v>
      </c>
      <c r="B200">
        <v>7</v>
      </c>
      <c r="C200">
        <v>14</v>
      </c>
      <c r="D200">
        <v>5</v>
      </c>
      <c r="E200">
        <v>1</v>
      </c>
      <c r="F200" s="3">
        <f>1176.6+(475.9-954.5)+(-1.200132+(-0.485418--0.97359))+0-0-0</f>
        <v>697.28803999999991</v>
      </c>
      <c r="G200" s="3">
        <f>1071.6+(495.2-899.4)+(-0.546516+(-0.252552--0.458694))+0-0-0</f>
        <v>667.05962599999987</v>
      </c>
      <c r="H200" s="3">
        <f>1056.5+(523.6-936.5)+(-1.616445+(-0.801108--1.432845))+0-0-0</f>
        <v>642.61529200000007</v>
      </c>
      <c r="I200" s="3">
        <f>1045.4+(541.8-957.5)+(-1.066308+(-0.552636--0.97665))+0-0-0</f>
        <v>629.05770600000005</v>
      </c>
      <c r="J200" s="3">
        <f>1043+(459.7-884.9)+(-0.53193+(-0.234447--0.451299))+0-0-0</f>
        <v>617.48492199999998</v>
      </c>
      <c r="K200" s="3">
        <f>1047+(431.8-862.5)+(-2.13588+(-0.880872--1.7595))+0-0-0</f>
        <v>615.04274799999996</v>
      </c>
      <c r="L200" s="3">
        <f>850.3+(383-620.5)+(-0.433653+(-0.19533--0.316455))+0-0-0</f>
        <v>612.48747199999991</v>
      </c>
      <c r="M200" s="3">
        <f>940.7+(280.5-561.5)+(0.479757+(0.143055-0.286365))+0-0-0</f>
        <v>660.03644700000007</v>
      </c>
      <c r="N200" s="3">
        <f>1138.3+(223.9-681.1)+(1.161066+(0.228378-0.694722))+0-0-0</f>
        <v>681.79472199999987</v>
      </c>
      <c r="O200" s="3">
        <f>1160.9+(322.1-712.1)+(-0.592059+(-0.164271--0.363171))+0-0-0</f>
        <v>770.50684100000012</v>
      </c>
      <c r="P200" s="3">
        <f>1156.7+(412.6-761.2)+(-1.769751+(-0.631278--1.164636))+0-0-0</f>
        <v>806.863607</v>
      </c>
      <c r="Q200" s="3">
        <f>1031.4+(513.7-711)+(0+(0-0))+0-0-0</f>
        <v>834.10000000000014</v>
      </c>
      <c r="R200" s="3">
        <f>840.4+(640.7-746.9)+(0.428604+(0.326757-0.380919))+0-0-0</f>
        <v>734.57444200000009</v>
      </c>
      <c r="S200" s="3">
        <f>969.1+(652.5-848)+(0.494241+(0.332775-0.43248))+0-0-0</f>
        <v>773.99453600000004</v>
      </c>
      <c r="T200" s="3">
        <f>1144.1+(556.4-917.5)+(-2.917455+(-1.41882--2.339625))+0-0-0</f>
        <v>781.00334999999984</v>
      </c>
      <c r="U200" s="3">
        <f>1170.2+(556.1-967.6)+(-1.193604+(-0.567222--0.986952))+0-0-0</f>
        <v>757.92612600000007</v>
      </c>
      <c r="V200" s="3">
        <f>1172+(522.7-930.3)+(-2.39088+(-1.066308--1.897812))+0-0-0</f>
        <v>762.84062400000005</v>
      </c>
      <c r="W200" s="3">
        <f>1180.5+(489.3-858.9)+(-0.602055+(-0.249543--0.438039))+0-0-0</f>
        <v>810.48644100000013</v>
      </c>
      <c r="X200" s="3">
        <f>1190.3+(454.8-660.6)+(-1.214106+(-0.463896--0.673812))+0-0-0</f>
        <v>983.49581000000001</v>
      </c>
      <c r="Y200" s="3">
        <f>1194.7+(483.6-679)+(-2.437188+(-0.986544--1.38516))+0-0-0</f>
        <v>997.26142800000002</v>
      </c>
      <c r="Z200" s="3">
        <f>1134.7+(400.8-572.4)+(-1.157394+(-0.408816--0.583848))+0-0-0</f>
        <v>962.11763800000017</v>
      </c>
      <c r="AA200" s="3">
        <f>1065.8+(476-626)+(-3.804906+(-1.69932--2.23482))+0-0-0</f>
        <v>912.53059399999995</v>
      </c>
      <c r="AB200" s="3">
        <f>1080.5+(500.4-721.4)+(-1.10211+(-0.510408--0.735828))+0-0-0</f>
        <v>858.62330999999995</v>
      </c>
      <c r="AC200" s="3">
        <f>1027.3+(461.3-725.7)+(-2.095692+(-0.941052--1.480428))+0-0-0</f>
        <v>761.34368399999983</v>
      </c>
      <c r="AD200">
        <f t="shared" si="3"/>
        <v>18330.535406000003</v>
      </c>
      <c r="AE200" s="3">
        <f>1190+(439-599.1)+(0+(0-0))+0-0-0</f>
        <v>1029.9000000000001</v>
      </c>
    </row>
    <row r="201" spans="1:31" s="2" customFormat="1" x14ac:dyDescent="0.25">
      <c r="A201">
        <v>89</v>
      </c>
      <c r="B201">
        <v>7</v>
      </c>
      <c r="C201">
        <v>15</v>
      </c>
      <c r="D201">
        <v>6</v>
      </c>
      <c r="E201">
        <v>1</v>
      </c>
      <c r="F201" s="3">
        <f>884.6+(505.5-699.3)+(-1.353438+(-0.773415--1.069929))+0-0-0</f>
        <v>689.74307600000009</v>
      </c>
      <c r="G201" s="3">
        <f>830.7+(532.8-722.3)+(-0.423657+(-0.271728--0.368373))+0-0-0</f>
        <v>640.87298800000008</v>
      </c>
      <c r="H201" s="3">
        <f>764.4+(539-681.4)+(-1.169532+(-0.82467--1.042542))+0-0-0</f>
        <v>621.04834000000005</v>
      </c>
      <c r="I201" s="3">
        <f>767.5+(515.5-653.9)+(-1.957125+(-1.314525--1.667445))+0-0-0</f>
        <v>627.49579500000004</v>
      </c>
      <c r="J201" s="3">
        <f>771+(509.5-669.4)+(-0.39321+(-0.259845--0.341394))+0-0-0</f>
        <v>610.78833900000006</v>
      </c>
      <c r="K201" s="3">
        <f>740.9+(495.6-628.2)+(-1.133577+(-0.758268--0.961146))+0-0-0</f>
        <v>607.36930099999995</v>
      </c>
      <c r="L201" s="3">
        <f>596.7+(423.2-438.3)+(0.608634+(0.431664-0.447066))+0-0-0</f>
        <v>582.19323199999997</v>
      </c>
      <c r="M201" s="3">
        <f>671.1+(390.4-445.2)+(0.342261+(0.199104-0.227052))+0-0-0</f>
        <v>616.61431299999992</v>
      </c>
      <c r="N201" s="3">
        <f>954.3+(402.7-667.7)+(-0.486693+(-0.205377--0.340527))+0-0-0</f>
        <v>688.94845699999996</v>
      </c>
      <c r="O201" s="3">
        <f>1084+(402.7-739.6)+(0+(0-0))+0-0-0</f>
        <v>747.09999999999991</v>
      </c>
      <c r="P201" s="3">
        <f>1082+(447.8-745.1)+(-0.55182+(-0.228378--0.380001))+0-0-0</f>
        <v>784.299803</v>
      </c>
      <c r="Q201" s="3">
        <f>1113.6+(496.9-836.7)+(-0.567936+(-0.253419--0.426717))+0-0-0</f>
        <v>773.40536199999985</v>
      </c>
      <c r="R201" s="3">
        <f>1172.5+(589.5-982.8)+(-1.793925+(-0.901935--1.503684))+0-0-0</f>
        <v>778.00782400000003</v>
      </c>
      <c r="S201" s="3">
        <f>1176.6+(622-1027.8)+(-1.200132+(-0.63444--1.048356))+0-0-0</f>
        <v>770.01378399999999</v>
      </c>
      <c r="T201" s="3">
        <f>1139.4+(611.2-973.8)+(-2.324376+(-1.246848--1.986552))+0-0-0</f>
        <v>775.21532800000023</v>
      </c>
      <c r="U201" s="3">
        <f>1071.7+(589.1-902.6)+(-3.825969+(-2.103087--3.222282))+0-0-0</f>
        <v>755.49322600000005</v>
      </c>
      <c r="V201" s="3">
        <f>1027.7+(526-833.7)+(-1.048254+(-0.53652--0.850374))+0-0-0</f>
        <v>719.26559999999995</v>
      </c>
      <c r="W201" s="3">
        <f>1078.4+(466.8-760.2)+(-1.099968+(-0.476136--0.775404))+0-0-0</f>
        <v>784.19929999999999</v>
      </c>
      <c r="X201" s="3">
        <f>1113.6+(488.7-658.3)+(-1.703808+(-0.747711--1.007199))+0-0-0</f>
        <v>942.55568000000005</v>
      </c>
      <c r="Y201" s="3">
        <f>1118.5+(519.4-643.9)+(-1.711305+(-0.794682--0.985167))+0-0-0</f>
        <v>992.47918000000004</v>
      </c>
      <c r="Z201" s="3">
        <f>1071.3+(474.5-586.9)+(0.546363+(0.241995-0.299319))+0-0-0</f>
        <v>959.38903900000003</v>
      </c>
      <c r="AA201" s="3">
        <f>1065.4+(408.7-579.1)+(-2.173416+(-0.833748--1.181364))+0-0-0</f>
        <v>893.17420000000004</v>
      </c>
      <c r="AB201" s="3">
        <f>1079.5+(442.3-658.8)+(-1.10109+(-0.451146--0.671976))+0-0-0</f>
        <v>862.11973999999998</v>
      </c>
      <c r="AC201" s="3">
        <f>1078.5+(396.5-700.7)+(-2.20014+(-0.80886--1.429428))+0-0-0</f>
        <v>772.72042799999997</v>
      </c>
      <c r="AD201">
        <f t="shared" si="3"/>
        <v>17994.512334999999</v>
      </c>
      <c r="AE201" s="3">
        <f>1161+(479.5-648.5)+(0+(0-0))+0-0-0</f>
        <v>992</v>
      </c>
    </row>
    <row r="202" spans="1:31" s="2" customFormat="1" x14ac:dyDescent="0.25">
      <c r="A202">
        <v>89</v>
      </c>
      <c r="B202">
        <v>7</v>
      </c>
      <c r="C202">
        <v>16</v>
      </c>
      <c r="D202">
        <v>7</v>
      </c>
      <c r="E202">
        <v>1</v>
      </c>
      <c r="F202" s="3">
        <f>1069.3+(389.8-785.4)+(-1.636029+(-0.596394--1.201662))+0-0-0</f>
        <v>672.66923900000006</v>
      </c>
      <c r="G202" s="3">
        <f>1069.7+(409.2-851.7)+(-0.545547+(-0.208692--0.434367))+0-0-0</f>
        <v>626.88012800000001</v>
      </c>
      <c r="H202" s="3">
        <f>918+(428.1-742.5)+(0+(0-0))+0-0-0</f>
        <v>603.6</v>
      </c>
      <c r="I202" s="3">
        <f>782.3+(461.1-677.8)+(0.398973+(0.235161-0.345678))+0-0-0</f>
        <v>565.88845600000002</v>
      </c>
      <c r="J202" s="3">
        <f>667.4+(441.6-529.5)+(0+(0-0))+0-0-0</f>
        <v>579.5</v>
      </c>
      <c r="K202" s="3">
        <f>658.1+(426.5-503.9)+(-1.678155+(-1.087575--1.284945))+0-0-0</f>
        <v>579.21921500000008</v>
      </c>
      <c r="L202" s="3">
        <f>609.9+(461.3-507.1)+(-1.555245+(-1.176315--1.293105))+0-0-0</f>
        <v>562.66154499999993</v>
      </c>
      <c r="M202" s="3">
        <f>610.9+(438.6-500.2)+(0.934677+(0.671058-0.765306))+0-0-0</f>
        <v>550.14042899999993</v>
      </c>
      <c r="N202" s="3">
        <f>677+(459.8-533.3)+(-0.69054+(-0.468996--0.543966))+0-0-0</f>
        <v>602.88442999999995</v>
      </c>
      <c r="O202" s="3">
        <f>1062.7+(319.3-716.1)+(-1.083954+(-0.325686--0.730422))+0-0-0</f>
        <v>665.2207820000001</v>
      </c>
      <c r="P202" s="3">
        <f>1130.3+(250-580.2)+(-1.729359+(-0.3825--0.887706))+0-0-0</f>
        <v>798.87584699999991</v>
      </c>
      <c r="Q202" s="3">
        <f>1099.5+(362.4-738.1)+(-0.560745+(-0.184824--0.376431))+0-0-0</f>
        <v>723.43086199999993</v>
      </c>
      <c r="R202" s="3">
        <f>1145+(417.8-915.7)+(-1.75185+(-0.639234--1.401021))+0-0-0</f>
        <v>646.10993699999995</v>
      </c>
      <c r="S202" s="3">
        <f>1146.3+(539.8-1060.1)+(0+(0-0))+0-0-0</f>
        <v>626</v>
      </c>
      <c r="T202" s="3">
        <f>1143+(567.9-1028.9)+(-1.74879+(-0.868887--1.574217))+0-0-0</f>
        <v>680.9565399999999</v>
      </c>
      <c r="U202" s="3">
        <f>1131.2+(503.6-936.4)+(-2.307648+(-1.027344--1.910256))+0-0-0</f>
        <v>696.97526400000004</v>
      </c>
      <c r="V202" s="3">
        <f>1063.3+(446.3-819)+(-2.169132+(-0.910452--1.67076))+0-0-0</f>
        <v>689.19117599999993</v>
      </c>
      <c r="W202" s="3">
        <f>1036.4+(401.5-729.3)+(-2.64282+(-1.023825--1.859715))+0-0-0</f>
        <v>706.79307000000017</v>
      </c>
      <c r="X202" s="3">
        <f>1120.1+(423.5-637.7)+(-2.285004+(-0.86394--1.300908))+0-0-0</f>
        <v>904.05196399999988</v>
      </c>
      <c r="Y202" s="3">
        <f>1136.1+(456.9-635.5)+(-1.158822+(-0.466038--0.64821))+0-0-0</f>
        <v>956.52334999999994</v>
      </c>
      <c r="Z202" s="3">
        <f>1158.4+(426.8-661.3)+(-1.772352+(-0.653004--1.011789))+0-0-0</f>
        <v>922.48643300000015</v>
      </c>
      <c r="AA202" s="3">
        <f>1162.2+(449.5-695.6)+(-1.778166+(-0.687735--1.064268))+0-0-0</f>
        <v>914.69836700000008</v>
      </c>
      <c r="AB202" s="3">
        <f>1108.8+(486.8-717.9)+(-2.82744+(-1.24134--1.830645))+0-0-0</f>
        <v>875.46186499999999</v>
      </c>
      <c r="AC202" s="3">
        <f>884.3+(521.4-670.2)+(-0.901986+(-0.531828--0.683604))+0-0-0</f>
        <v>734.74978999999985</v>
      </c>
      <c r="AD202">
        <f t="shared" si="3"/>
        <v>16884.968689000001</v>
      </c>
      <c r="AE202" s="3">
        <f>1152+(453.4-619.1)+(0+(0-0))+0-0-0</f>
        <v>986.3</v>
      </c>
    </row>
    <row r="203" spans="1:31" s="2" customFormat="1" x14ac:dyDescent="0.25">
      <c r="A203">
        <v>89</v>
      </c>
      <c r="B203">
        <v>7</v>
      </c>
      <c r="C203">
        <v>17</v>
      </c>
      <c r="D203">
        <v>1</v>
      </c>
      <c r="E203">
        <v>1</v>
      </c>
      <c r="F203" s="3">
        <f>839+(573.5-758.2)+(-2.13945+(-1.462425--1.93341))+0-0-0</f>
        <v>652.63153499999999</v>
      </c>
      <c r="G203" s="3">
        <f>838.9+(577.3-806.8)+(-2.139195+(-1.472115--2.05734))+0-0-0</f>
        <v>607.84602999999993</v>
      </c>
      <c r="H203" s="3">
        <f>843.5+(557.8-794.4)+(-0.430185+(-0.284478--0.405144))+0-0-0</f>
        <v>606.59048099999995</v>
      </c>
      <c r="I203" s="3">
        <f>848.2+(481.8-733.5)+(-1.730328+(-0.982872--1.49634))+0-0-0</f>
        <v>595.28314</v>
      </c>
      <c r="J203" s="3">
        <f>846.7+(414.5-691.6)+(-0.431817+(-0.211395--0.352716))+0-0-0</f>
        <v>569.30950400000006</v>
      </c>
      <c r="K203" s="3">
        <f>850.6+(355.7-630.8)+(0+(0-0))+0-0-0</f>
        <v>575.5</v>
      </c>
      <c r="L203" s="3">
        <f>851.8+(295.8-580.6)+(0.434418+(0.150858-0.296106))+0-0-0</f>
        <v>567.28917000000001</v>
      </c>
      <c r="M203" s="3">
        <f>846.9+(370.1-622)+(-0.431919+(-0.188751--0.31722))+0-0-0</f>
        <v>594.69655</v>
      </c>
      <c r="N203" s="3">
        <f>1071.1+(332.8-723.9)+(-0.546261+(-0.169728--0.369189))+0-0-0</f>
        <v>679.65319999999997</v>
      </c>
      <c r="O203" s="3">
        <f>1122.7+(398.4-777.1)+(-1.145154+(-0.406368--0.792642))+0-0-0</f>
        <v>743.24112000000002</v>
      </c>
      <c r="P203" s="3">
        <f>1155.9+(428.5-815)+(-0.589509+(-0.218535--0.41565))+0-0-0</f>
        <v>769.00760600000012</v>
      </c>
      <c r="Q203" s="3">
        <f>1140.8+(455.9-797.6)+(-1.163616+(-0.465018--0.813552))+0-0-0</f>
        <v>798.28491799999995</v>
      </c>
      <c r="R203" s="3">
        <f>1135.9+(518.4-917.5)+(-0.579309+(-0.264384--0.467925))+0-0-0</f>
        <v>736.42423200000007</v>
      </c>
      <c r="S203" s="3">
        <f>1136.3+(560.2-945.9)+(-1.159026+(-0.571404--0.964818))+0-0-0</f>
        <v>749.83438799999999</v>
      </c>
      <c r="T203" s="3">
        <f>1125.2+(590.1-897.2)+(-1.147704+(-0.601902--0.915144))+0-0-0</f>
        <v>817.26553799999999</v>
      </c>
      <c r="U203" s="3">
        <f>1132.6+(594.5-902.6)+(-2.310504+(-1.21278--1.841304))+0-0-0</f>
        <v>822.81801999999993</v>
      </c>
      <c r="V203" s="3">
        <f>1133.2+(542.7-908.9)+(-3.467592+(-1.660662--2.781234))+0-0-0</f>
        <v>764.65298000000007</v>
      </c>
      <c r="W203" s="3">
        <f>1140+(419.6-774.9)+(-1.1628+(-0.427992--0.790398))+0-0-0</f>
        <v>783.89960600000006</v>
      </c>
      <c r="X203" s="3">
        <f>1141.4+(394.4-546.9)+(-1.746342+(-0.603432--0.836757))+0-0-0</f>
        <v>987.3869830000001</v>
      </c>
      <c r="Y203" s="3">
        <f>1145.4+(473.5-661.1)+(-2.92077+(-1.207425--1.685805))+0-0-0</f>
        <v>955.35761000000002</v>
      </c>
      <c r="Z203" s="3">
        <f>1146+(532.1-711.7)+(-1.75338+(-0.814113--1.088901))+0-0-0</f>
        <v>964.92140799999993</v>
      </c>
      <c r="AA203" s="3">
        <f>1147.5+(563.1-772)+(-2.926125+(-1.435905--1.9686))+0-0-0</f>
        <v>936.20657000000006</v>
      </c>
      <c r="AB203" s="3">
        <f>1145.3+(542.1-818.5)+(-2.920515+(-1.382355--2.087175))+0-0-0</f>
        <v>866.68430499999999</v>
      </c>
      <c r="AC203" s="3">
        <f>1151.2+(355.4-760.1)+(0+(0-0))+0-0-0</f>
        <v>746.5</v>
      </c>
      <c r="AD203">
        <f t="shared" si="3"/>
        <v>17891.284894</v>
      </c>
      <c r="AE203" s="3">
        <f>1145+(427-579.5)+(0+(0-0))+0-0-0</f>
        <v>992.5</v>
      </c>
    </row>
    <row r="204" spans="1:31" s="2" customFormat="1" x14ac:dyDescent="0.25">
      <c r="A204">
        <v>89</v>
      </c>
      <c r="B204">
        <v>7</v>
      </c>
      <c r="C204">
        <v>18</v>
      </c>
      <c r="D204">
        <v>2</v>
      </c>
      <c r="E204">
        <v>1</v>
      </c>
      <c r="F204" s="3">
        <f>1150.9+(405.3-854.2)+(0+(0-0))+0-0-0</f>
        <v>702</v>
      </c>
      <c r="G204" s="3">
        <f>1123.1+(384.6-866.2)+(0+(0-0))+0-0-0</f>
        <v>641.49999999999989</v>
      </c>
      <c r="H204" s="3">
        <f>1148.9+(367.1-877.4)+(0+(0-0))+0-0-0</f>
        <v>638.60000000000014</v>
      </c>
      <c r="I204" s="3">
        <f>1110.3+(331.6-841.4)+(0+(0-0))+0-0-0</f>
        <v>600.5</v>
      </c>
      <c r="J204" s="3">
        <f>1052.3+(345.8-827.6)+(0+(0-0))+0-0-0</f>
        <v>570.5</v>
      </c>
      <c r="K204" s="3">
        <f>874.8+(403.3-697.6)+(0+(0-0))+0-0-0</f>
        <v>580.5</v>
      </c>
      <c r="L204" s="3">
        <f>785.2+(345.4-560.8)+(0+(0-0))+0-0-0</f>
        <v>569.80000000000007</v>
      </c>
      <c r="M204" s="3">
        <f>804.2+(292.2-475.1)+(0+(0-0))+0-0-0</f>
        <v>621.29999999999995</v>
      </c>
      <c r="N204" s="3">
        <f>886.6+(330-530.8)+(0+(0-0))+0-0-0</f>
        <v>685.80000000000007</v>
      </c>
      <c r="O204" s="3">
        <f>1024.1+(409.8-676.3)+(0+(0-0))+0-0-0</f>
        <v>757.59999999999991</v>
      </c>
      <c r="P204" s="3">
        <f>1017.1+(468.3-733.4)+(0+(0-0))+0-0-0</f>
        <v>752</v>
      </c>
      <c r="Q204" s="3">
        <f>1164.7+(501.4-881.5)+(0+(0-0))+0-0-0</f>
        <v>784.6</v>
      </c>
      <c r="R204" s="3">
        <f>1175.8+(549.1-980.1)+(-0.599658+(-0.280041--0.499851))+0-0-0</f>
        <v>744.42015199999992</v>
      </c>
      <c r="S204" s="3">
        <f>1172.7+(589.7-997.6)+(-1.196154+(-0.601494--1.017552))+0-0-0</f>
        <v>764.01990400000011</v>
      </c>
      <c r="T204" s="3">
        <f>1155.2+(571.7-963.2)+(-1.178304+(-0.583134--0.982464))+0-0-0</f>
        <v>762.9210260000001</v>
      </c>
      <c r="U204" s="3">
        <f>1165.1+(525.2-966.7)+(-2.376804+(-1.071408--1.972068))+0-0-0</f>
        <v>722.12385599999993</v>
      </c>
      <c r="V204" s="3">
        <f>1155.7+(516.8-894.7)+(-1.768221+(-0.790704--1.368891))+0-0-0</f>
        <v>776.60996599999999</v>
      </c>
      <c r="W204" s="3">
        <f>1099.7+(465.2-760.3)+(0+(0-0))+0-0-0</f>
        <v>804.60000000000014</v>
      </c>
      <c r="X204" s="3">
        <f>1165.7+(398.1-619)+(-0.594507+(-0.203031--0.31569))+0-0-0</f>
        <v>944.31815200000005</v>
      </c>
      <c r="Y204" s="3">
        <f>1168.3+(488.4-657.8)+(-1.787499+(-0.747252--1.006434))+0-0-0</f>
        <v>997.37168299999996</v>
      </c>
      <c r="Z204" s="3">
        <f>1163.2+(557.9-765)+(-3.559392+(-1.707174--2.3409))+0-0-0</f>
        <v>953.17433400000004</v>
      </c>
      <c r="AA204" s="3">
        <f>1168+(581.1-818.3)+(-1.19136+(-0.592722--0.834666))+0-0-0</f>
        <v>929.85058400000003</v>
      </c>
      <c r="AB204" s="3">
        <f>1166+(584.6-870.2)+(-3.56796+(-1.788876--2.662812))+0-0-0</f>
        <v>877.70597599999996</v>
      </c>
      <c r="AC204" s="3">
        <f>1163.7+(550.7-976.3)+(-2.967435+(-1.404285--2.489565))+0-0-0</f>
        <v>736.21784500000012</v>
      </c>
      <c r="AD204">
        <f t="shared" si="3"/>
        <v>17918.033478000001</v>
      </c>
      <c r="AE204" s="3">
        <f>1169+(435-592.8)+(0+(0-0))+0-0-0</f>
        <v>1011.2</v>
      </c>
    </row>
    <row r="205" spans="1:31" s="2" customFormat="1" x14ac:dyDescent="0.25">
      <c r="A205">
        <v>89</v>
      </c>
      <c r="B205">
        <v>7</v>
      </c>
      <c r="C205">
        <v>19</v>
      </c>
      <c r="D205">
        <v>3</v>
      </c>
      <c r="E205">
        <v>1</v>
      </c>
      <c r="F205" s="3">
        <f>1173.2+(524.7-1006)+(0.598332+(0.267597-0.51306))+0-0-0</f>
        <v>692.25286900000015</v>
      </c>
      <c r="G205" s="3">
        <f>1167.8+(461.5-994.1)+(-2.382312+(-0.94146--2.027964))+0-0-0</f>
        <v>633.90419199999997</v>
      </c>
      <c r="H205" s="3">
        <f>1113.1+(406.9-900.4)+(-2.270724+(-0.830076--1.836816))+0-0-0</f>
        <v>618.33601599999986</v>
      </c>
      <c r="I205" s="3">
        <f>1074.3+(368.1-859.2)+(-1.095786+(-0.375462--0.876384))+0-0-0</f>
        <v>582.6051359999999</v>
      </c>
      <c r="J205" s="3">
        <f>1073+(335.1-817)+(-1.09446+(-0.341802--0.83334))+0-0-0</f>
        <v>590.49707799999999</v>
      </c>
      <c r="K205" s="3">
        <f>1080.3+(326.3-815.4)+(0.550953+(0.166413-0.415854))+0-0-0</f>
        <v>591.50151200000005</v>
      </c>
      <c r="L205" s="3">
        <f>1074.2+(269-759.8)+(-1.095684+(-0.27438--0.774996))+0-0-0</f>
        <v>582.80493200000012</v>
      </c>
      <c r="M205" s="3">
        <f>1134.5+(272.8-781.6)+(0.578595+(0.139128-0.398616))+0-0-0</f>
        <v>626.01910700000008</v>
      </c>
      <c r="N205" s="3">
        <f>1175.7+(292.6-750.4)+(-0.599607+(-0.149226--0.382704))+0-0-0</f>
        <v>717.53387100000009</v>
      </c>
      <c r="O205" s="3">
        <f>1174.2+(367.2-780.1)+(0+(0-0))+0-0-0</f>
        <v>761.3</v>
      </c>
      <c r="P205" s="3">
        <f>1169+(423-830.9)+(0+(0-0))+0-0-0</f>
        <v>761.1</v>
      </c>
      <c r="Q205" s="3">
        <f>1167.6+(459.2-850.8)+(0+(0-0))+0-0-0</f>
        <v>776</v>
      </c>
      <c r="R205" s="3">
        <f>1148.9+(567.4-980.8)+(-1.171878+(-0.578748--1.000416))+0-0-0</f>
        <v>734.74979000000008</v>
      </c>
      <c r="S205" s="3">
        <f>1177.1+(648.9-1068.6)+(0+(0-0))+0-0-0</f>
        <v>757.4</v>
      </c>
      <c r="T205" s="3">
        <f>1172.7+(594.2-994.2)+(-1.196154+(-0.606084--1.014084))+0-0-0</f>
        <v>771.91184600000008</v>
      </c>
      <c r="U205" s="3">
        <f>1149.1+(619-1059.3)+(-2.344164+(-1.26276--2.160972))+0-0-0</f>
        <v>707.35404799999992</v>
      </c>
      <c r="V205" s="3">
        <f>1144.3+(610.4-986.2)+(-2.334372+(-1.245216--2.011848))+0-0-0</f>
        <v>766.93225999999993</v>
      </c>
      <c r="W205" s="3">
        <f>1154.2+(548.7-880.9)+(1.177284+(0.559674-0.898518))+0-0-0</f>
        <v>822.83844000000011</v>
      </c>
      <c r="X205" s="3">
        <f>1152.3+(493.9-671.2)+(-1.763019+(-0.755667--1.026936))+0-0-0</f>
        <v>973.50824999999986</v>
      </c>
      <c r="Y205" s="3">
        <f>1154.2+(545.7-733.9)+(-2.354568+(-1.113228--1.497156))+0-0-0</f>
        <v>964.02936000000011</v>
      </c>
      <c r="Z205" s="3">
        <f>1155.4+(620.7-858.3)+(-1.767762+(-0.949671--1.313199))+0-0-0</f>
        <v>916.39576600000021</v>
      </c>
      <c r="AA205" s="3">
        <f>1157.8+(659.4-905.2)+(-1.180956+(-0.672588--0.923304))+0-0-0</f>
        <v>911.06975999999986</v>
      </c>
      <c r="AB205" s="3">
        <f>1155.8+(674.5-989)+(-1.178916+(-0.68799--1.00878))+0-0-0</f>
        <v>840.44187399999998</v>
      </c>
      <c r="AC205" s="3">
        <f>1168.4+(596-997.7)+(-0.595884+(-0.30396--0.508827))+0-0-0</f>
        <v>766.30898300000001</v>
      </c>
      <c r="AD205">
        <f t="shared" si="3"/>
        <v>17866.79509</v>
      </c>
      <c r="AE205" s="3">
        <f>1154+(506.9-693.2)+(0+(0-0))+0-0-0</f>
        <v>967.69999999999993</v>
      </c>
    </row>
    <row r="206" spans="1:31" s="2" customFormat="1" x14ac:dyDescent="0.25">
      <c r="A206">
        <v>89</v>
      </c>
      <c r="B206">
        <v>7</v>
      </c>
      <c r="C206">
        <v>20</v>
      </c>
      <c r="D206">
        <v>4</v>
      </c>
      <c r="E206">
        <v>1</v>
      </c>
      <c r="F206" s="3">
        <f>1154.9+(528.7-998.6)+(-2.355996+(-1.078548--2.037144))+0-0-0</f>
        <v>683.60260000000017</v>
      </c>
      <c r="G206" s="3">
        <f>1156.6+(437.2-981.4)+(-0.589866+(-0.222972--0.500514))+0-0-0</f>
        <v>612.08767599999987</v>
      </c>
      <c r="H206" s="3">
        <f>1156+(426.3-963.8)+(-1.76868+(-0.652239--1.474614))+0-0-0</f>
        <v>617.55369499999995</v>
      </c>
      <c r="I206" s="3">
        <f>1159.6+(416.7-967.9)+(-1.774188+(-0.637551--1.480887))+0-0-0</f>
        <v>607.4691479999999</v>
      </c>
      <c r="J206" s="3">
        <f>1160.1+(404.1-965.5)+(-1.183302+(-0.412182--0.98481))+0-0-0</f>
        <v>598.08932599999991</v>
      </c>
      <c r="K206" s="3">
        <f>1160.9+(386.1-953.9)+(0+(0-0))+0-0-0</f>
        <v>593.10000000000014</v>
      </c>
      <c r="L206" s="3">
        <f>1161.5+(314.3-903.2)+(0+(0-0))+0-0-0</f>
        <v>572.59999999999991</v>
      </c>
      <c r="M206" s="3">
        <f>1169+(329.9-862.4)+(0.59619+(0.168249-0.439824))+0-0-0</f>
        <v>636.82461499999999</v>
      </c>
      <c r="N206" s="3">
        <f>1155+(261.7-735.5)+(0+(0-0))+0-0-0</f>
        <v>681.2</v>
      </c>
      <c r="O206" s="3">
        <f>1155+(330.2-739)+(0+(0-0))+0-0-0</f>
        <v>746.2</v>
      </c>
      <c r="P206" s="3">
        <f>1147+(401.9-780)+(-2.92485+(-1.024845--1.989))+0-0-0</f>
        <v>766.93930499999999</v>
      </c>
      <c r="Q206" s="3">
        <f>1145.3+(469.2-867)+(0+(0-0))+0-0-0</f>
        <v>747.5</v>
      </c>
      <c r="R206" s="3">
        <f>1150.9+(608.6-943.7)+(0+(0-0))+0-0-0</f>
        <v>815.80000000000007</v>
      </c>
      <c r="S206" s="3">
        <f>1145.7+(669.3-1061.4)+(0+(0-0))+0-0-0</f>
        <v>753.59999999999991</v>
      </c>
      <c r="T206" s="3">
        <f>1144.7+(660.1-1064.2)+(-2.918985+(-1.683255--2.71371))+0-0-0</f>
        <v>738.71147000000008</v>
      </c>
      <c r="U206" s="3">
        <f>1145.3+(695.3-1090)+(-1.168206+(-0.709206--1.1118))+0-0-0</f>
        <v>749.83438799999988</v>
      </c>
      <c r="V206" s="3">
        <f>1145.3+(644.2-1038.4)+(-3.504618+(-1.971252--3.177504))+0-0-0</f>
        <v>748.80163399999992</v>
      </c>
      <c r="W206" s="3">
        <f>1153.1+(520.5-874.4)+(-2.352324+(-1.06182--1.783776))+0-0-0</f>
        <v>797.56963199999996</v>
      </c>
      <c r="X206" s="3">
        <f>1153.9+(596-765.7)+(-2.353956+(-1.21584--1.562028))+0-0-0</f>
        <v>982.19223199999999</v>
      </c>
      <c r="Y206" s="3">
        <f>1154.7+(608.2-765.8)+(-1.766691+(-0.930546--1.171674))+0-0-0</f>
        <v>995.5744370000001</v>
      </c>
      <c r="Z206" s="3">
        <f>1154.5+(595.4-798.3)+(-1.766385+(-0.910962--1.221399))+0-0-0</f>
        <v>950.14405199999999</v>
      </c>
      <c r="AA206" s="3">
        <f>1146.2+(574.6-833)+(-3.507372+(-1.758276--2.54898))+0-0-0</f>
        <v>885.08333200000004</v>
      </c>
      <c r="AB206" s="3">
        <f>1164.6+(467.6-791.3)+(-2.375784+(-0.953904--1.614252))+0-0-0</f>
        <v>839.18456400000002</v>
      </c>
      <c r="AC206" s="3">
        <f>1145.1+(418.8-850)+(-2.920005+(-1.06794--2.1675))+0-0-0</f>
        <v>712.07955499999991</v>
      </c>
      <c r="AD206">
        <f t="shared" si="3"/>
        <v>17831.741660999996</v>
      </c>
      <c r="AE206" s="3">
        <f>1153+(620.1-756.7)+(0+(0-0))+0-0-0</f>
        <v>1016.4</v>
      </c>
    </row>
    <row r="207" spans="1:31" s="2" customFormat="1" x14ac:dyDescent="0.25">
      <c r="A207">
        <v>89</v>
      </c>
      <c r="B207">
        <v>7</v>
      </c>
      <c r="C207">
        <v>21</v>
      </c>
      <c r="D207">
        <v>5</v>
      </c>
      <c r="E207">
        <v>1</v>
      </c>
      <c r="F207" s="3">
        <f>1160.6+(387.9-862.2)+(-0.591906+(-0.197829--0.439722))+0-0-0</f>
        <v>685.94998699999985</v>
      </c>
      <c r="G207" s="3">
        <f>1159.7+(367.9-903.4)+(-1.774341+(-0.562887--1.382202))+0-0-0</f>
        <v>623.24497400000007</v>
      </c>
      <c r="H207" s="3">
        <f>1156.3+(354.6-906.4)+(-1.769139+(-0.542538--1.386792))+0-0-0</f>
        <v>603.57511499999998</v>
      </c>
      <c r="I207" s="3">
        <f>1065.8+(364.4-827.9)+(-1.630674+(-0.557532--1.266687))+0-0-0</f>
        <v>601.37848099999997</v>
      </c>
      <c r="J207" s="3">
        <f>1066.9+(353.4-829.6)+(0+(0-0))+0-0-0</f>
        <v>590.70000000000005</v>
      </c>
      <c r="K207" s="3">
        <f>1034.2+(316.6-770.2)+(-2.109768+(-0.645864--1.571208))+0-0-0</f>
        <v>579.41557599999999</v>
      </c>
      <c r="L207" s="3">
        <f>935.6+(306.4-686.1)+(-1.431468+(-0.468792--1.049733))+0-0-0</f>
        <v>555.04947299999992</v>
      </c>
      <c r="M207" s="3">
        <f>1011.3+(276.6-688.2)+(1.031526+(0.282132-0.701964))+0-0-0</f>
        <v>600.31169399999999</v>
      </c>
      <c r="N207" s="3">
        <f>1037.6+(281.5-632.1)+(-1.058352+(-0.28713--0.644742))+0-0-0</f>
        <v>686.29925999999989</v>
      </c>
      <c r="O207" s="3">
        <f>1117+(333-709.9)+(-1.70901+(-0.50949--1.086147))+0-0-0</f>
        <v>738.96764700000006</v>
      </c>
      <c r="P207" s="3">
        <f>1126.6+(362.9-736.4)+(-1.723698+(-0.555237--1.126692))+0-0-0</f>
        <v>751.94775699999991</v>
      </c>
      <c r="Q207" s="3">
        <f>1165.2+(407.1-812.6)+(0.594252+(0.207621-0.414426))+0-0-0</f>
        <v>760.087447</v>
      </c>
      <c r="R207" s="3">
        <f>1137.8+(455.2-744.4)+(-3.481668+(-1.392912--2.277864))+0-0-0</f>
        <v>846.00328399999989</v>
      </c>
      <c r="S207" s="3">
        <f>1132.1+(400.8-801.6)+(-0.577371+(-0.204408--0.408816))+0-0-0</f>
        <v>730.92703699999993</v>
      </c>
      <c r="T207" s="3">
        <f>1134.9+(416.9-820)+(-1.157598+(-0.425238--0.8364))+0-0-0</f>
        <v>731.05356400000005</v>
      </c>
      <c r="U207" s="3">
        <f>1132.9+(392.3-884.9)+(-1.155558+(-0.400146--0.902598))+0-0-0</f>
        <v>639.6468940000002</v>
      </c>
      <c r="V207" s="3">
        <f>1133.2+(363-830.8)+(-2.311728+(-0.74052--1.694832))+0-0-0</f>
        <v>664.04258400000015</v>
      </c>
      <c r="W207" s="3">
        <f>1115.5+(293.2-642.8)+(-0.568905+(-0.149532--0.327828))+0-0-0</f>
        <v>765.50939100000005</v>
      </c>
      <c r="X207" s="3">
        <f>1162+(367.2-573.7)+(-2.37048+(-0.749088--1.170348))+0-0-0</f>
        <v>953.55078000000003</v>
      </c>
      <c r="Y207" s="3">
        <f>1163.3+(389.3-569.2)+(-2.373132+(-0.794172--1.161168))+0-0-0</f>
        <v>981.39386399999989</v>
      </c>
      <c r="Z207" s="3">
        <f>1165.5+(414.3-627.6)+(-2.972025+(-1.056465--1.60038))+0-0-0</f>
        <v>949.7718900000001</v>
      </c>
      <c r="AA207" s="3">
        <f>1167.8+(274.3-547.9)+(-1.786734+(-0.419679--0.838287))+0-0-0</f>
        <v>892.83187400000008</v>
      </c>
      <c r="AB207" s="3">
        <f>1165.9+(277.1-609.9)+(-1.783827+(-0.423963--0.933147))+0-0-0</f>
        <v>831.82535700000017</v>
      </c>
      <c r="AC207" s="3">
        <f>1062.2+(331-643.9)+(-2.70861+(-0.84405--1.641945))+0-0-0</f>
        <v>747.38928500000009</v>
      </c>
      <c r="AD207">
        <f t="shared" si="3"/>
        <v>17510.873215</v>
      </c>
      <c r="AE207" s="3">
        <f>1169+(345.9-546.3)+(0+(0-0))+0-0-0</f>
        <v>968.6</v>
      </c>
    </row>
    <row r="208" spans="1:31" s="2" customFormat="1" x14ac:dyDescent="0.25">
      <c r="A208">
        <v>89</v>
      </c>
      <c r="B208">
        <v>7</v>
      </c>
      <c r="C208">
        <v>22</v>
      </c>
      <c r="D208">
        <v>6</v>
      </c>
      <c r="E208">
        <v>1</v>
      </c>
      <c r="F208" s="3">
        <f>1016.4+(320.3-654.9)+(-3.628548+(-1.143471--2.337993))+0-0-0</f>
        <v>679.36597399999994</v>
      </c>
      <c r="G208" s="3">
        <f>949.9+(368.8-706.1)+(-0.968898+(-0.376176--0.720222))+0-0-0</f>
        <v>611.97514799999988</v>
      </c>
      <c r="H208" s="3">
        <f>750.7+(361.4-512.4)+(-1.148571+(-0.552942--0.783972))+0-0-0</f>
        <v>598.78245900000002</v>
      </c>
      <c r="I208" s="3">
        <f>805.2+(294-521.6)+(-0.821304+(-0.29988--0.532032))+0-0-0</f>
        <v>577.01084800000001</v>
      </c>
      <c r="J208" s="3">
        <f>807.5+(292.6-529.6)+(0.411825+(0.149226-0.270096))+0-0-0</f>
        <v>570.79095500000005</v>
      </c>
      <c r="K208" s="3">
        <f>800.5+(279.3-500)+(-1.224765+(-0.427329--0.765))+0-0-0</f>
        <v>578.91290599999991</v>
      </c>
      <c r="L208" s="3">
        <f>631.1+(380.2-465.5)+(-0.643722+(-0.387804--0.47481))+0-0-0</f>
        <v>545.2432839999999</v>
      </c>
      <c r="M208" s="3">
        <f>746.3+(336.6-470.1)+(0.761226+(0.343332-0.479502))+0-0-0</f>
        <v>613.42505599999993</v>
      </c>
      <c r="N208" s="3">
        <f>1090.5+(140-548.9)+(-0.556155+(-0.0714--0.279939))+1-0-0</f>
        <v>682.25238400000001</v>
      </c>
      <c r="O208" s="3">
        <f>1154.6+(173.5-563.2)+(0.588846+(0.088485-0.287232))+0-0-0</f>
        <v>765.29009899999983</v>
      </c>
      <c r="P208" s="3">
        <f>1164.8+(161.3-587)+(-1.188096+(-0.164526--0.59874))+0-0-0</f>
        <v>738.34611799999993</v>
      </c>
      <c r="Q208" s="3">
        <f>1160+(230.7-623.6)+(1.1832+(0.235314-0.636072))+0-0-0</f>
        <v>767.88244199999986</v>
      </c>
      <c r="R208" s="3">
        <f>1155.9+(265.5-683.7)+(-4.126563+(-0.947835--2.440809))+0-0-0</f>
        <v>735.06641100000002</v>
      </c>
      <c r="S208" s="3">
        <f>1140.9+(331.4-750.6)+(-3.491154+(-1.014084--2.296836))+0-0-0</f>
        <v>719.49159800000007</v>
      </c>
      <c r="T208" s="3">
        <f>1070.6+(398-710.1)+(-1.092012+(-0.40596--0.724302))+0-0-0</f>
        <v>757.72632999999985</v>
      </c>
      <c r="U208" s="3">
        <f>1072.8+(398.3-685.4)+(-2.73564+(-1.015665--1.74777))+0-0-0</f>
        <v>783.69646499999999</v>
      </c>
      <c r="V208" s="3">
        <f>1073.5+(353.9-671.4)+(0.547485+(0.180489-0.342414))+0-0-0</f>
        <v>756.38556000000005</v>
      </c>
      <c r="W208" s="3">
        <f>1110.8+(285.9-612)+(-1.133016+(-0.291618--0.62424))+0-0-0</f>
        <v>783.89960599999995</v>
      </c>
      <c r="X208" s="3">
        <f>1152.1+(280.5-476.1)+(-1.175142+(-0.28611--0.485622))+0-0-0</f>
        <v>955.52436999999986</v>
      </c>
      <c r="Y208" s="3">
        <f>1154.5+(285.8-518)+(-2.35518+(-0.583032--1.05672))+0-0-0</f>
        <v>920.41850799999997</v>
      </c>
      <c r="Z208" s="3">
        <f>1157.4+(268.5-501.8)+(-1.180548+(-0.27387--0.511836))+0-0-0</f>
        <v>923.15741800000012</v>
      </c>
      <c r="AA208" s="3">
        <f>1162.3+(220-484.9)+(-2.963865+(-0.561--1.236495))+0-0-0</f>
        <v>895.11162999999999</v>
      </c>
      <c r="AB208" s="3">
        <f>1162.7+(230.1-567.6)+(-0.592977+(-0.117351--0.289476))+0-0-0</f>
        <v>824.77914800000008</v>
      </c>
      <c r="AC208" s="3">
        <f>1163+(293.7-733.3)+(-3.55878+(-0.898722--2.243898))+0-0-0</f>
        <v>721.18639600000006</v>
      </c>
      <c r="AD208">
        <f t="shared" si="3"/>
        <v>17505.721113000003</v>
      </c>
      <c r="AE208" s="3">
        <f>1179+(370.3-482.2)+(0+(0-0))+0-0-0</f>
        <v>1067.0999999999999</v>
      </c>
    </row>
    <row r="209" spans="1:31" s="2" customFormat="1" x14ac:dyDescent="0.25">
      <c r="A209">
        <v>89</v>
      </c>
      <c r="B209">
        <v>7</v>
      </c>
      <c r="C209">
        <v>23</v>
      </c>
      <c r="D209">
        <v>7</v>
      </c>
      <c r="E209">
        <v>1</v>
      </c>
      <c r="F209" s="3">
        <f>1172.7+(351.7-827.6)+(-1.196154+(-0.358734--0.844152))+0-0-0</f>
        <v>696.08926399999996</v>
      </c>
      <c r="G209" s="3">
        <f>1174.9+(319.3-869.1)+(-1.797597+(-0.488529--1.329723))+0-0-0</f>
        <v>624.14359700000011</v>
      </c>
      <c r="H209" s="3">
        <f>1177.9+(301.8-878.5)+(0+(0-0))+0-0-0</f>
        <v>601.20000000000005</v>
      </c>
      <c r="I209" s="3">
        <f>1148.1+(282.1-825.4)+(-0.585531+(-0.143871--0.420954))+0-0-0</f>
        <v>604.49155199999996</v>
      </c>
      <c r="J209" s="3">
        <f>956.6+(298.8-669.8)+(0.487866+(0.152388-0.341598))+0-0-0</f>
        <v>585.89865600000019</v>
      </c>
      <c r="K209" s="3">
        <f>864.5+(288.6-568.9)+(-1.322685+(-0.441558--0.870417))+0-0-0</f>
        <v>583.30617400000006</v>
      </c>
      <c r="L209" s="3">
        <f>755.9+(316.4-512.9)+(-1.156527+(-0.484092--0.784737))+0-0-0</f>
        <v>558.54411800000003</v>
      </c>
      <c r="M209" s="3">
        <f>660.9+(384.3-467.5)+(0+(0-0))+0-0-0</f>
        <v>577.70000000000005</v>
      </c>
      <c r="N209" s="3">
        <f>612.6+(442.1-452.1)+(0+(0-0))+0-0-0</f>
        <v>602.6</v>
      </c>
      <c r="O209" s="3">
        <f>866.5+(386.7-603.7)+(-2.209575+(-0.986085--1.539435))+0-0-0</f>
        <v>647.84377500000005</v>
      </c>
      <c r="P209" s="3">
        <f>1071.9+(366.5-744)+(-2.186676+(-0.74766--1.51776))+0-0-0</f>
        <v>692.98342400000013</v>
      </c>
      <c r="Q209" s="3">
        <f>1158.5+(406-842.6)+(-1.18167+(-0.41412--0.859452))+0-0-0</f>
        <v>721.16366199999993</v>
      </c>
      <c r="R209" s="3">
        <f>1157.9+(441.8-906.8)+(-1.181058+(-0.450636--0.924936))+0-0-0</f>
        <v>692.19324200000005</v>
      </c>
      <c r="S209" s="3">
        <f>1121.5+(476.8-930.5)+(0+(0-0))+0-0-0</f>
        <v>667.8</v>
      </c>
      <c r="T209" s="3">
        <f>1142.3+(520-992.1)+(-0.582573+(-0.2652--0.505971))+0-0-0</f>
        <v>669.8581979999999</v>
      </c>
      <c r="U209" s="3">
        <f>1125.1+(487.6-929.1)+(-2.295204+(-0.994704--1.895364))+0-0-0</f>
        <v>682.20545599999991</v>
      </c>
      <c r="V209" s="3">
        <f>1127.5+(435.7-883.1)+(-1.15005+(-0.444414--0.900762))+0-0-0</f>
        <v>679.40629799999988</v>
      </c>
      <c r="W209" s="3">
        <f>1040.7+(356.7-669.4)+(-2.123028+(-0.727668--1.365576))+0-0-0</f>
        <v>726.51487999999995</v>
      </c>
      <c r="X209" s="3">
        <f>1141.6+(279.7-485.2)+(-1.164432+(-0.285294--0.494904))+0-0-0</f>
        <v>935.14517799999987</v>
      </c>
      <c r="Y209" s="3">
        <f>1135.4+(294-483)+(-2.316216+(-0.59976--0.98532))+0-0-0</f>
        <v>944.46934400000009</v>
      </c>
      <c r="Z209" s="3">
        <f>1143.9+(223.1-451.9)+(0+(0-0))+0-0-0</f>
        <v>915.10000000000014</v>
      </c>
      <c r="AA209" s="3">
        <f>1140.9+(253.6-505.6)+(-1.745577+(-0.388008--0.773568))+0-0-0</f>
        <v>887.53998300000012</v>
      </c>
      <c r="AB209" s="3">
        <f>1145+(249.2-570.8)+(0+(0-0))+0-0-0</f>
        <v>823.40000000000009</v>
      </c>
      <c r="AC209" s="3">
        <f>1089.1+(283.5-636.6)+(-3.332646+(-0.86751--1.947996))+0-0-0</f>
        <v>733.74783999999988</v>
      </c>
      <c r="AD209">
        <f t="shared" si="3"/>
        <v>16853.344641</v>
      </c>
      <c r="AE209" s="3">
        <f>1171+(298.7-503.1)+(0+(0-0))+0-0-0</f>
        <v>966.59999999999991</v>
      </c>
    </row>
    <row r="210" spans="1:31" s="2" customFormat="1" x14ac:dyDescent="0.25">
      <c r="A210">
        <v>89</v>
      </c>
      <c r="B210">
        <v>7</v>
      </c>
      <c r="C210">
        <v>24</v>
      </c>
      <c r="D210">
        <v>1</v>
      </c>
      <c r="E210">
        <v>1</v>
      </c>
      <c r="F210" s="3">
        <f>949.4+(396.6-673.2)+(-2.42097+(-1.01133--1.71666))+0-0-0</f>
        <v>671.08435999999995</v>
      </c>
      <c r="G210" s="3">
        <f>950.1+(397.4-725.9)+(-2.422755+(-1.01337--1.851045))+0-0-0</f>
        <v>620.01492000000007</v>
      </c>
      <c r="H210" s="3">
        <f>872.3+(406.6-699.7)+(-0.444873+(-0.207366--0.356847))+0-0-0</f>
        <v>578.90460799999994</v>
      </c>
      <c r="I210" s="3">
        <f>869+(391.1-697.5)+(0.44319+(0.199461-0.355725))+0-0-0</f>
        <v>562.88692600000002</v>
      </c>
      <c r="J210" s="3">
        <f>868.2+(397.8-695.4)+(-0.885564+(-0.405756--0.709308))+0-0-0</f>
        <v>570.01798800000017</v>
      </c>
      <c r="K210" s="3">
        <f>869.4+(316.4-630.6)+(-0.443394+(-0.161364--0.321606))+0-0-0</f>
        <v>554.91684799999996</v>
      </c>
      <c r="L210" s="3">
        <f>873.8+(293.1-609)+(0.445638+(0.149481-0.31059))+0-0-0</f>
        <v>558.184529</v>
      </c>
      <c r="M210" s="3">
        <f>988.8+(257.8-648.1)+(1.008576+(0.262956-0.661062))+0-0-0</f>
        <v>599.11046999999996</v>
      </c>
      <c r="N210" s="3">
        <f>1069.7+(258.7-627.5)+(-0.545547+(-0.131937--0.320025))+0-0-0</f>
        <v>700.54254100000014</v>
      </c>
      <c r="O210" s="3">
        <f>1124.8+(309.5-713.6)+(0+(0-0))+0-0-0</f>
        <v>720.69999999999993</v>
      </c>
      <c r="P210" s="3">
        <f>1143.4+(324.3-714)+(0+(0-0))+0-0-0</f>
        <v>753.7</v>
      </c>
      <c r="Q210" s="3">
        <f>1137.2+(366.3-732.8)+(-1.159944+(-0.373626--0.747456))+0-0-0</f>
        <v>769.91388600000005</v>
      </c>
      <c r="R210" s="3">
        <f>1140.9+(417.7-824.9)+(-0.581859+(-0.213027--0.420699))+0-0-0</f>
        <v>733.32581300000004</v>
      </c>
      <c r="S210" s="3">
        <f>1143+(454.8-862.6)+(0.58293+(0.231948-0.439926))+0-0-0</f>
        <v>735.57495200000005</v>
      </c>
      <c r="T210" s="3">
        <f>1140.6+(493.2-893.8)+(0+(0-0))+0-0-0</f>
        <v>740</v>
      </c>
      <c r="U210" s="3">
        <f>1205.7+(475.8-939.1)+(-1.229814+(-0.485316--0.957882))+0-0-0</f>
        <v>741.64275200000009</v>
      </c>
      <c r="V210" s="3">
        <f>1258.1+(428.6-918.2)+(0.641631+(0.218586-0.468282))+0-0-0</f>
        <v>768.89193499999988</v>
      </c>
      <c r="W210" s="3">
        <f>1258.6+(353.8-812.5)+(-0.641886+(-0.180438--0.414375))+0-0-0</f>
        <v>799.49205099999983</v>
      </c>
      <c r="X210" s="3">
        <f>1274.2+(302.6-596.1)+(-3.24921+(-0.77163--1.520055))+0-0-0</f>
        <v>978.19921500000009</v>
      </c>
      <c r="Y210" s="3">
        <f>1282.5+(364.1-630)+(0.654075+(0.185691-0.3213))+0-0-0</f>
        <v>1017.118466</v>
      </c>
      <c r="Z210" s="3">
        <f>1307.8+(419.7-749.1)+(0+(0-0))+0-0-0</f>
        <v>978.39999999999986</v>
      </c>
      <c r="AA210" s="3">
        <f>1322.9+(503.3-897)+(0+(0-0))+0-0-0</f>
        <v>929.2</v>
      </c>
      <c r="AB210" s="3">
        <f>1324.9+(494.8-947.9)+(-2.702796+(-1.009392--1.933716))+0-0-0</f>
        <v>870.02152800000022</v>
      </c>
      <c r="AC210" s="3">
        <f>1296+(366.8-862.8)+(-3.3048+(-0.93534--2.20014))+0-0-0</f>
        <v>797.96</v>
      </c>
      <c r="AD210">
        <f t="shared" si="3"/>
        <v>17749.803787999997</v>
      </c>
      <c r="AE210" s="3">
        <f>1282+(315.3-580.2)+(0+(0-0))+0-0-0</f>
        <v>1017.0999999999999</v>
      </c>
    </row>
    <row r="211" spans="1:31" s="2" customFormat="1" x14ac:dyDescent="0.25">
      <c r="A211">
        <v>89</v>
      </c>
      <c r="B211">
        <v>7</v>
      </c>
      <c r="C211">
        <v>25</v>
      </c>
      <c r="D211">
        <v>2</v>
      </c>
      <c r="E211">
        <v>1</v>
      </c>
      <c r="F211" s="3">
        <f>1149.4+(311.4-789.8)+(-1.758582+(-0.476442--1.208394))+0-0-0</f>
        <v>669.97337000000016</v>
      </c>
      <c r="G211" s="3">
        <f>1012.2+(374.7-761.3)+(-1.548666+(-0.573291--1.164789))+0-0-0</f>
        <v>624.64283200000011</v>
      </c>
      <c r="H211" s="3">
        <f>965.9+(404-767.4)+(-1.477827+(-0.61812--1.174122))+0-0-0</f>
        <v>601.57817499999999</v>
      </c>
      <c r="I211" s="3">
        <f>867.6+(381.2-653.4)+(-0.442476+(-0.194412--0.333234))+0-0-0</f>
        <v>595.09634600000004</v>
      </c>
      <c r="J211" s="3">
        <f>807.7+(372.2-588.8)+(0.411927+(0.189822-0.300288))+0-0-0</f>
        <v>591.40146100000015</v>
      </c>
      <c r="K211" s="3">
        <f>809.2+(325.7-541.8)+(-0.412692+(-0.166107--0.276318))+0-0-0</f>
        <v>592.79751900000019</v>
      </c>
      <c r="L211" s="3">
        <f>809.8+(264.1-520.2)+(-0.412998+(-0.134691--0.265302))+0-0-0</f>
        <v>553.41761299999996</v>
      </c>
      <c r="M211" s="3">
        <f>896.4+(225.7-505.5)+(0.457164+(0.115107-0.257805))+0-0-0</f>
        <v>616.91446599999995</v>
      </c>
      <c r="N211" s="3">
        <f>965+(309.1-572.5)+(1.47645+(0.472923-0.875925))+0-0-0</f>
        <v>702.67344800000001</v>
      </c>
      <c r="O211" s="3">
        <f>1159.4+(325.1-707.9)+(0+(0-0))+0-0-0</f>
        <v>776.60000000000014</v>
      </c>
      <c r="P211" s="3">
        <f>1214.7+(313-723.6)+(-0.619497+(-0.15963--0.369036))+0-0-0</f>
        <v>803.68990900000006</v>
      </c>
      <c r="Q211" s="3">
        <f>1297+(306.3-821)+(-0.66147+(-0.156213--0.41871))+0-0-0</f>
        <v>781.901027</v>
      </c>
      <c r="R211" s="3">
        <f>1256.4+(331.1-852.7)+(0+(0-0))+0-0-0</f>
        <v>734.80000000000007</v>
      </c>
      <c r="S211" s="3">
        <f>1267.3+(378-884.1)+(-0.646323+(-0.19278--0.450891))+0-0-0</f>
        <v>760.81178799999998</v>
      </c>
      <c r="T211" s="3">
        <f>1263.9+(401.1-945.1)+(0+(0-0))+0-0-0</f>
        <v>719.90000000000009</v>
      </c>
      <c r="U211" s="3">
        <f>1261.9+(419-909.5)+(-1.930707+(-0.64107--1.391535))+0-0-0</f>
        <v>770.21975800000007</v>
      </c>
      <c r="V211" s="3">
        <f>1170.5+(377.1-791.5)+(-1.19391+(-0.384642--0.80733))+0-0-0</f>
        <v>755.32877800000006</v>
      </c>
      <c r="W211" s="3">
        <f>1176.5+(319.2-695.9)+(-0.600015+(-0.162792--0.354909))+0-0-0</f>
        <v>799.39210199999991</v>
      </c>
      <c r="X211" s="3">
        <f>1180.9+(333.8-521.7)+(-1.806777+(-0.510714--0.798201))+0-0-0</f>
        <v>991.48071000000004</v>
      </c>
      <c r="Y211" s="3">
        <f>1188.6+(410.3-611)+(-2.424744+(-0.837012--1.24644))+0-0-0</f>
        <v>985.88468399999988</v>
      </c>
      <c r="Z211" s="3">
        <f>1183.6+(381.3-607.9)+(-1.810908+(-0.583389--0.930087))+0-0-0</f>
        <v>955.53579000000002</v>
      </c>
      <c r="AA211" s="3">
        <f>1181.8+(432.1-679.6)+(-0.602718+(-0.220371--0.346596))+0-0-0</f>
        <v>933.82350699999995</v>
      </c>
      <c r="AB211" s="3">
        <f>1184.2+(441.9-756.1)+(-1.811826+(-0.676107--1.156833))+0-0-0</f>
        <v>868.66890000000001</v>
      </c>
      <c r="AC211" s="3">
        <f>1183.9+(341.4-776.6)+(-0.603789+(-0.174114--0.396066))+0-0-0</f>
        <v>748.31816300000003</v>
      </c>
      <c r="AD211">
        <f t="shared" si="3"/>
        <v>17934.850345999999</v>
      </c>
      <c r="AE211" s="3">
        <f>1180+(369.5-538.7)+(0+(0-0))+0-0-0</f>
        <v>1010.8</v>
      </c>
    </row>
    <row r="212" spans="1:31" s="2" customFormat="1" x14ac:dyDescent="0.25">
      <c r="A212">
        <v>89</v>
      </c>
      <c r="B212">
        <v>7</v>
      </c>
      <c r="C212">
        <v>26</v>
      </c>
      <c r="D212">
        <v>3</v>
      </c>
      <c r="E212">
        <v>1</v>
      </c>
      <c r="F212" s="3">
        <f>1158.6+(330.5-787.9)+(-2.363544+(-0.67422--1.607316))+0-0-0</f>
        <v>699.76955199999998</v>
      </c>
      <c r="G212" s="3">
        <f>1108.6+(285.5-755.9)+(0.565386+(0.145605-0.385509))+0-0-0</f>
        <v>638.5254819999999</v>
      </c>
      <c r="H212" s="3">
        <f>990.5+(328.9-700.7)+(-1.01031+(-0.335478--0.714714))+0-0-0</f>
        <v>618.06892599999992</v>
      </c>
      <c r="I212" s="3">
        <f>951.6+(302-651.2)+(-1.941264+(-0.61608--1.328448))+0-0-0</f>
        <v>601.17110400000001</v>
      </c>
      <c r="J212" s="3">
        <f>926.4+(296.3-635.8)+(1.417392+(0.453339-0.972774))+0-0-0</f>
        <v>587.79795700000011</v>
      </c>
      <c r="K212" s="3">
        <f>925.3+(260.3-595.4)+(-1.415709+(-0.398259--0.910962))+0-0-0</f>
        <v>589.29699400000004</v>
      </c>
      <c r="L212" s="3">
        <f>871.3+(241.1-508.7)+(0.888726+(0.245922-0.518874))+0-0-0</f>
        <v>604.31577399999992</v>
      </c>
      <c r="M212" s="3">
        <f>859.5+(262.1-505.4)+(0.438345+(0.133671-0.257754))+0-0-0</f>
        <v>616.51426200000003</v>
      </c>
      <c r="N212" s="3">
        <f>922.8+(274.3-499.1)+(0.941256+(0.279786-0.509082))+0-0-0</f>
        <v>698.71195999999998</v>
      </c>
      <c r="O212" s="3">
        <f>1078.6+(224.4-576)+(0+(0-0))+0-0-0</f>
        <v>726.99999999999989</v>
      </c>
      <c r="P212" s="3">
        <f>1147.8+(254.5-629)+(0+(0-0))+0-0-0</f>
        <v>773.3</v>
      </c>
      <c r="Q212" s="3">
        <f>1164.7+(296.2-708.3)+(0+(0-0))+0-0-0</f>
        <v>752.60000000000014</v>
      </c>
      <c r="R212" s="3">
        <f>1154.3+(422.9-820.6)+(1.177386+(0.431358-0.837012))+0-0-0</f>
        <v>757.37173199999995</v>
      </c>
      <c r="S212" s="3">
        <f>1141.8+(470.6-852.7)+(0.582318+(0.240006-0.434877))+0-0-0</f>
        <v>760.08744699999988</v>
      </c>
      <c r="T212" s="3">
        <f>1136.1+(462.7-845.6)+(-1.738233+(-0.707931--1.293768))+0-0-0</f>
        <v>752.04760399999986</v>
      </c>
      <c r="U212" s="3">
        <f>1139.1+(419.7-804.1)+(-0.580941+(-0.214047--0.410091))+0-0-0</f>
        <v>754.31510299999979</v>
      </c>
      <c r="V212" s="3">
        <f>1141.2+(374-740.7)+(-1.164024+(-0.38148--0.755514))+0-0-0</f>
        <v>773.71001000000001</v>
      </c>
      <c r="W212" s="3">
        <f>1146.4+(315.8-688.7)+(0.584664+(0.161058-0.351237))+0-0-0</f>
        <v>773.89448500000003</v>
      </c>
      <c r="X212" s="3">
        <f>1145.5+(356.6-513.1)+(-1.752615+(-0.545598--0.785043))+0-0-0</f>
        <v>987.48683000000005</v>
      </c>
      <c r="Y212" s="3">
        <f>1153.5+(378.6-520.3)+(0+(0-0))+0-0-0</f>
        <v>1011.8000000000001</v>
      </c>
      <c r="Z212" s="3">
        <f>1157.1+(422.3-612.1)+(0+(0-0))+0-0-0</f>
        <v>967.3</v>
      </c>
      <c r="AA212" s="3">
        <f>1154.1+(493.9-705.4)+(-2.942955+(-1.259445--1.79877))+0-0-0</f>
        <v>940.19636999999989</v>
      </c>
      <c r="AB212" s="3">
        <f>1153.6+(504.6-801.9)+(-1.176672+(-0.514692--0.817938))+0-0-0</f>
        <v>855.42657399999996</v>
      </c>
      <c r="AC212" s="3">
        <f>1136.8+(411.9-782.7)+(-3.478608+(-1.260414--2.395062))+0-0-0</f>
        <v>763.65603999999985</v>
      </c>
      <c r="AD212">
        <f t="shared" si="3"/>
        <v>18004.364205999998</v>
      </c>
      <c r="AE212" s="3">
        <f>1147+(373.3-524.5)+(0+(0-0))+0-0-0</f>
        <v>995.8</v>
      </c>
    </row>
    <row r="213" spans="1:31" s="2" customFormat="1" x14ac:dyDescent="0.25">
      <c r="A213">
        <v>89</v>
      </c>
      <c r="B213">
        <v>7</v>
      </c>
      <c r="C213">
        <v>27</v>
      </c>
      <c r="D213">
        <v>4</v>
      </c>
      <c r="E213">
        <v>1</v>
      </c>
      <c r="F213" s="3">
        <f>977.7+(421.3-706.2)+(-0.997254+(-0.429726--0.720324))+0-0-0</f>
        <v>692.093344</v>
      </c>
      <c r="G213" s="3">
        <f>957.3+(362-687)+(-0.488223+(-0.18462--0.35037))+0-0-0</f>
        <v>631.97752700000001</v>
      </c>
      <c r="H213" s="3">
        <f>932.4+(389.9-699.3)+(-1.426572+(-0.596547--1.069929))+0-0-0</f>
        <v>622.04681000000005</v>
      </c>
      <c r="I213" s="3">
        <f>862.2+(400.3-667.1)+(-0.439722+(-0.204153--0.340221))+0-0-0</f>
        <v>595.09634600000004</v>
      </c>
      <c r="J213" s="3">
        <f>874.1+(382.3-655)+(0.891582+(0.389946-0.6681))+0-0-0</f>
        <v>602.01342800000009</v>
      </c>
      <c r="K213" s="3">
        <f>773.5+(363-532.5)+(0.78897+(0.37026-0.54315))+0-0-0</f>
        <v>604.61608000000001</v>
      </c>
      <c r="L213" s="3">
        <f>713.1+(326-442.6)+(0+(0-0))+0-0-0</f>
        <v>596.5</v>
      </c>
      <c r="M213" s="3">
        <f>834.6+(245.8-510.6)+(0.851292+(0.250716-0.520812))+0-0-0</f>
        <v>570.38119599999993</v>
      </c>
      <c r="N213" s="3">
        <f>1118.6+(162.2-581.7)+(0.570486+(0.082722-0.296667))+0-0-0</f>
        <v>699.4565409999999</v>
      </c>
      <c r="O213" s="3">
        <f>1163.8+(186-598.2)+(2.374152+(0.37944-1.220328))+0-0-0</f>
        <v>753.13326399999994</v>
      </c>
      <c r="P213" s="3">
        <f>1154+(211-569.5)+(-0.58854+(-0.10761--0.290445))+0-0-0</f>
        <v>795.09429499999999</v>
      </c>
      <c r="Q213" s="3">
        <f>1151+(285.8-695.6)+(0.58701+(0.145758-0.354756))+0-0-0</f>
        <v>741.57801200000006</v>
      </c>
      <c r="R213" s="3">
        <f>1146.6+(349.1-782.4)+(-2.92383+(-0.890205--1.99512))+0-0-0</f>
        <v>711.48108500000001</v>
      </c>
      <c r="S213" s="3">
        <f>1162.5+(364.1-861.4)+(0+(0-0))+0-0-0</f>
        <v>665.2</v>
      </c>
      <c r="T213" s="3">
        <f>1151.5+(440.5-842.9)+(-0.587265+(-0.224655--0.429879))+0-0-0</f>
        <v>748.71795900000006</v>
      </c>
      <c r="U213" s="3">
        <f>1152.9+(415-825)+(-1.763937+(-0.63495--1.26225))+0-0-0</f>
        <v>741.76336300000014</v>
      </c>
      <c r="V213" s="3">
        <f>1151.9+(403.8-801.7)+(0+(0-0))+0-0-0</f>
        <v>754</v>
      </c>
      <c r="W213" s="3">
        <f>1152.1+(336.7-686.2)+(1.175142+(0.343434-0.699924))+0-0-0</f>
        <v>803.41865199999995</v>
      </c>
      <c r="X213" s="3">
        <f>1180.5+(350.1-522.4)+(0+(0-0))+0-0-0</f>
        <v>1008.2</v>
      </c>
      <c r="Y213" s="3">
        <f>1193.6+(402.6-595.7)+(-0.608736+(-0.205326--0.303807))+0-0-0</f>
        <v>999.98974499999986</v>
      </c>
      <c r="Z213" s="3">
        <f>1194.2+(451.7-672.3)+(-1.218084+(-0.460734--0.685746))+0-0-0</f>
        <v>972.60692800000015</v>
      </c>
      <c r="AA213" s="3">
        <f>1170.2+(506.1-745.5)+(-1.193604+(-0.516222--0.76041))+0-0-0</f>
        <v>929.85058400000003</v>
      </c>
      <c r="AB213" s="3">
        <f>1166.5+(522.6-854.5)+(-2.37966+(-1.066104--1.74318))+0-0-0</f>
        <v>832.89741600000002</v>
      </c>
      <c r="AC213" s="3">
        <f>1168.2+(471.2-877.4)+(-1.787346+(-0.720936--1.342422))+0-0-0</f>
        <v>760.83414000000005</v>
      </c>
      <c r="AD213">
        <f t="shared" si="3"/>
        <v>17832.946715000002</v>
      </c>
      <c r="AE213" s="3">
        <f>1194+(353.6-531.2)+(0+(0-0))+0-0-0</f>
        <v>1016.4</v>
      </c>
    </row>
    <row r="214" spans="1:31" s="2" customFormat="1" x14ac:dyDescent="0.25">
      <c r="A214">
        <v>89</v>
      </c>
      <c r="B214">
        <v>7</v>
      </c>
      <c r="C214">
        <v>28</v>
      </c>
      <c r="D214">
        <v>5</v>
      </c>
      <c r="E214">
        <v>1</v>
      </c>
      <c r="F214" s="3">
        <f>1149.8+(360.9-810.6)+(-3.518388+(-1.104354--2.480436))+0-0-0</f>
        <v>697.95769399999995</v>
      </c>
      <c r="G214" s="3">
        <f>1074.3+(290.1-760)+(-1.095786+(-0.295902--0.7752))+0-0-0</f>
        <v>603.78351199999997</v>
      </c>
      <c r="H214" s="3">
        <f>1070.1+(254.5-697.3)+(-1.637253+(-0.389385--1.066869))+0-0-0</f>
        <v>626.3402309999999</v>
      </c>
      <c r="I214" s="3">
        <f>1072.1+(234.5-703)+(-1.093542+(-0.23919--0.71706))+0-0-0</f>
        <v>602.98432799999989</v>
      </c>
      <c r="J214" s="3">
        <f>1079.9+(243.5-729.4)+(0.550749+(0.124185-0.371994))+0-0-0</f>
        <v>594.30294000000015</v>
      </c>
      <c r="K214" s="3">
        <f>1079.2+(275.8-734.1)+(-0.550392+(-0.140658--0.374391))+0-0-0</f>
        <v>620.58334100000013</v>
      </c>
      <c r="L214" s="3">
        <f>915+(160.6-467.2)+(-2.33325+(-0.40953--1.19136))+0-0-0</f>
        <v>606.84857999999997</v>
      </c>
      <c r="M214" s="3">
        <f>1082.8+(97.2-566.7)+(1.104456+(0.099144-0.578034))+0-0-0</f>
        <v>613.925566</v>
      </c>
      <c r="N214" s="3">
        <f>1150+(181.1-633.8)+(0.5865+(0.092361-0.323238))+0-0-0</f>
        <v>697.65562300000011</v>
      </c>
      <c r="O214" s="3">
        <f>1151.7+(188.2-584.3)+(0+(0-0))+0-0-0</f>
        <v>755.60000000000014</v>
      </c>
      <c r="P214" s="3">
        <f>1147.3+(215.7-591.4)+(1.755369+(0.330021-0.904842))+0-0-0</f>
        <v>772.78054799999995</v>
      </c>
      <c r="Q214" s="3">
        <f>1140.3+(277.4-678.7)+(-0.581553+(-0.141474--0.346137))+0-0-0</f>
        <v>738.62310999999988</v>
      </c>
      <c r="R214" s="3">
        <f>1131.1+(355.7-754.8)+(-1.730583+(-0.544221--1.154844))+0-0-0</f>
        <v>730.88004000000001</v>
      </c>
      <c r="S214" s="3">
        <f>1129.2+(412.1-801.2)+(0+(0-0))+0-0-0</f>
        <v>740.1</v>
      </c>
      <c r="T214" s="3">
        <f>1123.8+(437-799.7)+(-0.573138+(-0.22287--0.407847))+0-0-0</f>
        <v>760.71183899999994</v>
      </c>
      <c r="U214" s="3">
        <f>1120.4+(458-828.7)+(-1.142808+(-0.46716--0.845274))+0-0-0</f>
        <v>748.93530600000008</v>
      </c>
      <c r="V214" s="3">
        <f>1119.4+(418.8-775.9)+(-0.570894+(-0.213588--0.395709))+0-0-0</f>
        <v>761.91122700000017</v>
      </c>
      <c r="W214" s="3">
        <f>1105.6+(331-579.4)+(-1.691568+(-0.50643--0.886482))+0-0-0</f>
        <v>855.88848399999995</v>
      </c>
      <c r="X214" s="3">
        <f>1153.2+(326.1-497.5)+(-0.588132+(-0.166311--0.253725))+0-0-0</f>
        <v>981.29928200000006</v>
      </c>
      <c r="Y214" s="3">
        <f>1154+(363.9-527.7)+(-1.17708+(-0.371178--0.538254))+0-0-0</f>
        <v>989.18999599999995</v>
      </c>
      <c r="Z214" s="3">
        <f>1157.6+(364.3-570.9)+(-1.771128+(-0.557379--0.873477))+0-0-0</f>
        <v>949.54497000000003</v>
      </c>
      <c r="AA214" s="3">
        <f>1162.4+(419.2-685.2)+(-0.592824+(-0.213792--0.349452))+0-0-0</f>
        <v>895.94283600000006</v>
      </c>
      <c r="AB214" s="3">
        <f>1160.9+(441.7-730.9)+(-4.736472+(-1.802136--2.982072))+0-0-0</f>
        <v>868.14346399999999</v>
      </c>
      <c r="AC214" s="3">
        <f>1171+(294.9-717.3)+(-1.79163+(-0.451197--1.097469))+0-0-0</f>
        <v>747.45464200000004</v>
      </c>
      <c r="AD214">
        <f t="shared" si="3"/>
        <v>17961.387558999999</v>
      </c>
      <c r="AE214" s="3">
        <f>1160+(361.1-518.4)+(0+(0-0))+0-0-0</f>
        <v>1002.7</v>
      </c>
    </row>
    <row r="215" spans="1:31" s="2" customFormat="1" x14ac:dyDescent="0.25">
      <c r="A215">
        <v>89</v>
      </c>
      <c r="B215">
        <v>7</v>
      </c>
      <c r="C215">
        <v>29</v>
      </c>
      <c r="D215">
        <v>6</v>
      </c>
      <c r="E215">
        <v>1</v>
      </c>
      <c r="F215" s="3">
        <f>1170+(254-731.6)+(-2.3868+(-0.51816--1.492464))+0-0-0</f>
        <v>690.98750399999994</v>
      </c>
      <c r="G215" s="3">
        <f>1166.8+(219.8-741.1)+(-1.785204+(-0.336294--1.133883))+0-0-0</f>
        <v>644.51238499999999</v>
      </c>
      <c r="H215" s="3">
        <f>1168.3+(171.2-736.3)+(-1.191666+(-0.174624--0.751026))+0-0-0</f>
        <v>602.58473600000002</v>
      </c>
      <c r="I215" s="3">
        <f>1173.9+(157.5-728.4)+(0+(0-0))+0-0-0</f>
        <v>603.00000000000011</v>
      </c>
      <c r="J215" s="3">
        <f>1175.9+(163.9-737)+(0+(0-0))+0-0-0</f>
        <v>602.80000000000007</v>
      </c>
      <c r="K215" s="3">
        <f>1158.4+(129.2-675.5)+(-2.363136+(-0.263568--1.37802))+0-0-0</f>
        <v>610.85131600000011</v>
      </c>
      <c r="L215" s="3">
        <f>1064.4+(108.7-511.4)+(-0.542844+(-0.055437--0.260814))+0-0-0</f>
        <v>661.3625330000001</v>
      </c>
      <c r="M215" s="3">
        <f>1078.9+(89.8-497.6)+(-0.550239+(-0.045798--0.253776))+0-0-0</f>
        <v>670.75773900000013</v>
      </c>
      <c r="N215" s="3">
        <f>1087.4+(168.8-520)+(-1.109148+(-0.172176--0.5304))+0-0-0</f>
        <v>735.44907599999999</v>
      </c>
      <c r="O215" s="3">
        <f>1131.9+(163-529.6)+(0.577269+(0.08313-0.270096))+0-0-0</f>
        <v>765.69030300000009</v>
      </c>
      <c r="P215" s="3">
        <f>1164.6+(155.2-534.8)+(0.593946+(0.079152-0.272748))+0-0-0</f>
        <v>785.40035</v>
      </c>
      <c r="Q215" s="3">
        <f>1165.2+(218.9-661.9)+(-0.594252+(-0.111639--0.337569))+0-0-0</f>
        <v>721.83167800000001</v>
      </c>
      <c r="R215" s="3">
        <f>1152.5+(289.7-707.4)+(-2.938875+(-0.738735--1.80387))+0-0-0</f>
        <v>732.92625999999996</v>
      </c>
      <c r="S215" s="3">
        <f>1153.8+(339.7-741.5)+(0+(0-0))+0-0-0</f>
        <v>752</v>
      </c>
      <c r="T215" s="3">
        <f>1155.8+(382.1-790.5)+(0.589458+(0.194871-0.403155))+0-0-0</f>
        <v>747.78117399999996</v>
      </c>
      <c r="U215" s="3">
        <f>1145.1+(376.9-782.4)+(-2.920005+(-0.961095--1.99512))+0-0-0</f>
        <v>737.71401999999989</v>
      </c>
      <c r="V215" s="3">
        <f>1149.4+(312.4-717)+(-2.344776+(-0.637296--1.46268))+0-0-0</f>
        <v>743.28060800000003</v>
      </c>
      <c r="W215" s="3">
        <f>1158.9+(199.2-586.7)+(0.591039+(0.101592-0.299217))+0-0-0</f>
        <v>771.7934140000001</v>
      </c>
      <c r="X215" s="3">
        <f>1164.5+(288.6-460.8)+(1.18779+(0.294372-0.470016))+0-0-0</f>
        <v>993.31214599999998</v>
      </c>
      <c r="Y215" s="3">
        <f>1159.6+(280.1-462)+(-2.95698+(-0.714255--1.1781))+0-0-0</f>
        <v>975.20686499999988</v>
      </c>
      <c r="Z215" s="3">
        <f>1162.3+(282.1-502.4)+(-2.371092+(-0.575484--1.024896))+0-0-0</f>
        <v>940.07831999999996</v>
      </c>
      <c r="AA215" s="3">
        <f>1168.7+(345.7-629)+(-1.192074+(-0.352614--0.64158))+0-0-0</f>
        <v>884.49689200000012</v>
      </c>
      <c r="AB215" s="3">
        <f>1167.2+(349.7-663.2)+(-1.785816+(-0.535041--1.014696))+0-0-0</f>
        <v>852.39383900000007</v>
      </c>
      <c r="AC215" s="3">
        <f>1172.8+(307.7-735.1)+(0+(0-0))+0-0-0</f>
        <v>745.39999999999986</v>
      </c>
      <c r="AD215">
        <f t="shared" si="3"/>
        <v>17971.611158000003</v>
      </c>
      <c r="AE215" s="3">
        <f>1168+(279.8-467)+(0+(0-0))+0-0-0</f>
        <v>980.8</v>
      </c>
    </row>
    <row r="216" spans="1:31" s="2" customFormat="1" x14ac:dyDescent="0.25">
      <c r="A216">
        <v>89</v>
      </c>
      <c r="B216">
        <v>7</v>
      </c>
      <c r="C216">
        <v>30</v>
      </c>
      <c r="D216">
        <v>7</v>
      </c>
      <c r="E216">
        <v>1</v>
      </c>
      <c r="F216" s="3">
        <f>1171.3+(255.2-739.7)+(0.597363+(0.130152-0.377247))+0-0-0</f>
        <v>687.15026799999998</v>
      </c>
      <c r="G216" s="3">
        <f>1159.1+(223.2-749.8)+(-2.364564+(-0.455328--1.529592))+0-0-0</f>
        <v>631.2097</v>
      </c>
      <c r="H216" s="3">
        <f>965.8+(219.2-566.5)+(-2.46279+(-0.55896--1.444575))+0-0-0</f>
        <v>616.92282499999999</v>
      </c>
      <c r="I216" s="3">
        <f>851.6+(234.4-488.4)+(-1.302948+(-0.358632--0.747252))+0-0-0</f>
        <v>596.68567200000007</v>
      </c>
      <c r="J216" s="3">
        <f>858.8+(226.5-508.2)+(0+(0-0))+0-0-0</f>
        <v>577.09999999999991</v>
      </c>
      <c r="K216" s="3">
        <f>858.3+(215.3-480.7)+(0+(0-0))+0-0-0</f>
        <v>592.9</v>
      </c>
      <c r="L216" s="3">
        <f>750.3+(248.9-436.9)+(-1.147959+(-0.380817--0.668457))+0-0-0</f>
        <v>561.43968099999995</v>
      </c>
      <c r="M216" s="3">
        <f>748.2+(270.9-478.4)+(0.381582+(0.138159-0.243984))+0-0-0</f>
        <v>540.97575700000004</v>
      </c>
      <c r="N216" s="3">
        <f>975.7+(156.2-509.5)+(0+(0-0))+0-0-0</f>
        <v>622.40000000000009</v>
      </c>
      <c r="O216" s="3">
        <f>1039.5+(125.8-478.6)+(0+(0-0))+0-0-0</f>
        <v>686.7</v>
      </c>
      <c r="P216" s="3">
        <f>1063+(137.3-507.8)+(-1.62639+(-0.210069--0.776934))+0-0-0</f>
        <v>691.44047499999999</v>
      </c>
      <c r="Q216" s="3">
        <f>1100+(214.8-623.7)+(0+(0-0))+0-0-0</f>
        <v>691.09999999999991</v>
      </c>
      <c r="R216" s="3">
        <f>1114.1+(243.5-655.9)+(-0.568191+(-0.124185--0.334509))+0-0-0</f>
        <v>701.34213299999988</v>
      </c>
      <c r="S216" s="3">
        <f>1113.9+(284.7-705.3)+(-2.272356+(-0.580788--1.438812))+0-0-0</f>
        <v>691.88566800000024</v>
      </c>
      <c r="T216" s="3">
        <f>1122.9+(296.9-745)+(-1.718037+(-0.454257--1.13985))+0-0-0</f>
        <v>673.76755600000001</v>
      </c>
      <c r="U216" s="3">
        <f>1095.4+(297.6-705.2)+(-2.79327+(-0.75888--1.79826))+0-0-0</f>
        <v>686.04611000000011</v>
      </c>
      <c r="V216" s="3">
        <f>1063.1+(222.8-581.8)+(-1.084362+(-0.227256--0.593436))+0-0-0</f>
        <v>703.38181799999995</v>
      </c>
      <c r="W216" s="3">
        <f>1119+(155.6-551.7)+(1.14138+(0.158712-0.562734))+0-0-0</f>
        <v>723.63735799999995</v>
      </c>
      <c r="X216" s="3">
        <f>1156+(270.7-481.1)+(1.76868+(0.414171-0.736083))+0-0-0</f>
        <v>947.04676799999993</v>
      </c>
      <c r="Y216" s="3">
        <f>1154.4+(259.6-485)+(0.588744+(0.132396-0.24735))+0-0-0</f>
        <v>929.47379000000012</v>
      </c>
      <c r="Z216" s="3">
        <f>1154.6+(216.9-476.1)+(0.588846+(0.110619-0.242811))+0-0-0</f>
        <v>895.85665399999982</v>
      </c>
      <c r="AA216" s="3">
        <f>1153.5+(222.8-502.6)+(-1.17657+(-0.227256--0.512652))+0-0-0</f>
        <v>872.80882600000007</v>
      </c>
      <c r="AB216" s="3">
        <f>1153.6+(277.4-616.7)+(-1.765008+(-0.424422--0.943551))+0-0-0</f>
        <v>813.0541209999999</v>
      </c>
      <c r="AC216" s="3">
        <f>1122.9+(256.7-643.6)+(-1.145358+(-0.261834--0.656472))+0-0-0</f>
        <v>735.24928</v>
      </c>
      <c r="AD216">
        <f t="shared" si="3"/>
        <v>16869.57446</v>
      </c>
      <c r="AE216" s="3">
        <f>1158+(263.6-517.8)+(0+(0-0))+0-0-0</f>
        <v>903.80000000000007</v>
      </c>
    </row>
    <row r="217" spans="1:31" s="2" customFormat="1" x14ac:dyDescent="0.25">
      <c r="A217">
        <v>89</v>
      </c>
      <c r="B217">
        <v>8</v>
      </c>
      <c r="C217">
        <v>1</v>
      </c>
      <c r="D217">
        <v>1</v>
      </c>
      <c r="E217">
        <v>1</v>
      </c>
      <c r="F217" s="3">
        <f>1064.1+(229.6-635.8)+(-1.085382+(-0.234192--0.648516))+0-0-0</f>
        <v>657.22894199999996</v>
      </c>
      <c r="G217" s="3">
        <f>1062.2+(218.1-681.9)+(-1.625166+(-0.333693--1.043307))+0-0-0</f>
        <v>597.48444800000004</v>
      </c>
      <c r="H217" s="3">
        <f>1022+(226.1-643.2)+(-1.56366+(-0.345933--0.984096))+0-0-0</f>
        <v>603.97450300000003</v>
      </c>
      <c r="I217" s="3">
        <f>987.6+(241.6-622.3)+(-1.511028+(-0.369648--0.952119))+0-0-0</f>
        <v>605.97144300000014</v>
      </c>
      <c r="J217" s="3">
        <f>910.1+(257.2-588.6)+(-1.856604+(-0.524688--1.200744))+0-0-0</f>
        <v>577.519452</v>
      </c>
      <c r="K217" s="3">
        <f>913.5+(212.5-552.9)+(0+(0-0))+0-0-0</f>
        <v>573.1</v>
      </c>
      <c r="L217" s="3">
        <f>867.1+(182.7-441.6)+(-0.442221+(-0.093177--0.225216))+0-0-0</f>
        <v>607.88981799999999</v>
      </c>
      <c r="M217" s="3">
        <f>952.1+(132.3-476.8)+(1.456713+(0.202419-0.729504))+0-0-0</f>
        <v>608.529628</v>
      </c>
      <c r="N217" s="3">
        <f>1071.3+(210.8-590)+(0+(0-0))+0-0-0</f>
        <v>692.09999999999991</v>
      </c>
      <c r="O217" s="3">
        <f>1112.2+(235.2-603.5)+(-0.567222+(-0.119952--0.307785))+0-0-0</f>
        <v>743.52061100000014</v>
      </c>
      <c r="P217" s="3">
        <f>1139.7+(296.9-649)+(1.743741+(0.454257-0.99297))+0-0-0</f>
        <v>788.80502799999999</v>
      </c>
      <c r="Q217" s="3">
        <f>1148.7+(360-702.8)+(0+(0-0))+0-0-0</f>
        <v>805.90000000000009</v>
      </c>
      <c r="R217" s="3">
        <f>1142.9+(435.5-865.3)+(-1.748637+(-0.666315--1.323909))+0-0-0</f>
        <v>712.00895700000012</v>
      </c>
      <c r="S217" s="3">
        <f>1139.1+(526.3-938.7)+(-3.485646+(-1.610478--2.872422))+0-0-0</f>
        <v>724.47629799999982</v>
      </c>
      <c r="T217" s="3">
        <f>1143.4+(530.8-925.6)+(0+(0-0))+0-0-0</f>
        <v>748.6</v>
      </c>
      <c r="U217" s="3">
        <f>1141+(519.2-897.4)+(-1.16382+(-0.529584--0.915348))+0-0-0</f>
        <v>762.02194400000008</v>
      </c>
      <c r="V217" s="3">
        <f>1140.8+(400.5-780.9)+(-1.745424+(-0.612765--1.194777))+0-0-0</f>
        <v>759.23658799999998</v>
      </c>
      <c r="W217" s="3">
        <f>1149.5+(305.3-632.2)+(0.586245+(0.155703-0.322422))+0-0-0</f>
        <v>823.01952599999993</v>
      </c>
      <c r="X217" s="3">
        <f>1145.4+(316.8-473.7)+(-1.752462+(-0.484704--0.724761))+0-0-0</f>
        <v>986.98759500000017</v>
      </c>
      <c r="Y217" s="3">
        <f>1149.2+(330.4-510.1)+(-1.172184+(-0.337008--0.520302))+0-0-0</f>
        <v>968.51111000000003</v>
      </c>
      <c r="Z217" s="3">
        <f>1151.4+(400.4-596.8)+(-1.761642+(-0.612612--0.913104))+0-0-0</f>
        <v>953.53885000000014</v>
      </c>
      <c r="AA217" s="3">
        <f>1156.6+(468-709.9)+(-1.179732+(-0.47736--0.724098))+0-0-0</f>
        <v>913.76700599999992</v>
      </c>
      <c r="AB217" s="3">
        <f>1153.7+(511.9-816.3)+(-2.941935+(-1.305345--2.081565))+0-0-0</f>
        <v>847.13428500000009</v>
      </c>
      <c r="AC217" s="3">
        <f>1152.5+(374.9-758)+(-2.938875+(-0.955995--1.9329))+0-0-0</f>
        <v>767.43803000000003</v>
      </c>
      <c r="AD217">
        <f t="shared" si="3"/>
        <v>17828.764062000002</v>
      </c>
      <c r="AE217" s="3">
        <f>1143+(326.3-476.5)+(0+(0-0))+0-0-0</f>
        <v>992.8</v>
      </c>
    </row>
    <row r="218" spans="1:31" s="2" customFormat="1" x14ac:dyDescent="0.25">
      <c r="A218">
        <v>89</v>
      </c>
      <c r="B218">
        <v>8</v>
      </c>
      <c r="C218">
        <v>2</v>
      </c>
      <c r="D218">
        <v>2</v>
      </c>
      <c r="E218">
        <v>1</v>
      </c>
      <c r="F218" s="3">
        <f>1152.3+(236.9-724.4)+(-2.350692+(-0.483276--1.477776))+0-0-0</f>
        <v>663.44380799999999</v>
      </c>
      <c r="G218" s="3">
        <f>1158.1+(146.2-669)+(-0.590631+(-0.074562--0.34119))+0-0-0</f>
        <v>634.97599700000001</v>
      </c>
      <c r="H218" s="3">
        <f>1127.9+(173.6-675.6)+(-2.876145+(-0.44268--1.72278))+0-0-0</f>
        <v>624.30395500000009</v>
      </c>
      <c r="I218" s="3">
        <f>1060.4+(198.9-678.9)+(2.70402+(0.507195-1.731195))+0-0-0</f>
        <v>581.88002000000006</v>
      </c>
      <c r="J218" s="3">
        <f>1039.8+(164.1-601.8)+(1.060596+(0.167382-0.613836))+0-0-0</f>
        <v>602.71414200000004</v>
      </c>
      <c r="K218" s="3">
        <f>1037.1+(121.2-558.8)+(-1.057842+(-0.123624--0.569976))+0-0-0</f>
        <v>598.88851</v>
      </c>
      <c r="L218" s="3">
        <f>956+(174.8-545.7)+(-0.97512+(-0.178296--0.556614))+0-0-0</f>
        <v>584.50319799999988</v>
      </c>
      <c r="M218" s="3">
        <f>1064.1+(95.5-488.1)+(1.085382+(0.09741-0.497862))+0-0-0</f>
        <v>672.18492999999989</v>
      </c>
      <c r="N218" s="3">
        <f>1089.5+(109.6-515)+(-1.666935+(-0.167688--0.78795))+0-0-0</f>
        <v>683.05332699999997</v>
      </c>
      <c r="O218" s="3">
        <f>1110.2+(176.1-563.6)+(-1.698606+(-0.269433--0.862308))+0-0-0</f>
        <v>721.59426900000005</v>
      </c>
      <c r="P218" s="3">
        <f>1134.6+(223.6-586.8)+(-1.735938+(-0.342108--0.897804))+0-0-0</f>
        <v>770.21975799999996</v>
      </c>
      <c r="Q218" s="3">
        <f>1136.4+(297.2-675.1)+(-2.89782+(-0.75786--1.721505))+0-0-0</f>
        <v>756.56582500000002</v>
      </c>
      <c r="R218" s="3">
        <f>1149+(340-734.2)+(-2.92995+(-0.867--1.87221))+0-0-0</f>
        <v>752.87525999999991</v>
      </c>
      <c r="S218" s="3">
        <f>1157.2+(433-842.8)+(-1.180344+(-0.44166--0.859656))+0-0-0</f>
        <v>746.63765200000012</v>
      </c>
      <c r="T218" s="3">
        <f>1152.9+(461.4-857.6)+(-2.351916+(-0.941256--1.749504))+0-0-0</f>
        <v>755.15633200000002</v>
      </c>
      <c r="U218" s="3">
        <f>1152.6+(430.1-831.3)+(-2.351304+(-0.877404--1.695852))+0-0-0</f>
        <v>749.86714399999994</v>
      </c>
      <c r="V218" s="3">
        <f>1160.2+(239.6-647.6)+(0.591702+(0.122196-0.330276))+0-0-0</f>
        <v>752.58362199999999</v>
      </c>
      <c r="W218" s="3">
        <f>1165.5+(177.4-493.7)+(0+(0-0))+0-0-0</f>
        <v>849.2</v>
      </c>
      <c r="X218" s="3">
        <f>1223.7+(256.1-486.9)+(-2.496348+(-0.522444--0.993276))+0-0-0</f>
        <v>990.87448400000005</v>
      </c>
      <c r="Y218" s="3">
        <f>1247.2+(289.3-547.8)+(-2.544288+(-0.590172--1.117512))+0-0-0</f>
        <v>986.68305200000009</v>
      </c>
      <c r="Z218" s="3">
        <f>1226.8+(297-580.6)+(-1.251336+(-0.30294--0.592212))+0-0-0</f>
        <v>942.23793599999988</v>
      </c>
      <c r="AA218" s="3">
        <f>1117.7+(249.3-476.8)+(-1.140054+(-0.254286--0.486336))+0-0-0</f>
        <v>889.29199600000004</v>
      </c>
      <c r="AB218" s="3">
        <f>1108.4+(225-465.6)+(-2.82642+(-0.57375--1.18728))+0-0-0</f>
        <v>865.58711000000005</v>
      </c>
      <c r="AC218" s="3">
        <f>1108.7+(180.3-559.9)+(-2.827185+(-0.459765--1.427745))+0-0-0</f>
        <v>727.24079500000016</v>
      </c>
      <c r="AD218">
        <f t="shared" si="3"/>
        <v>17902.563122</v>
      </c>
      <c r="AE218" s="3">
        <f>1295+(253-549.8)+(0+(0-0))+0-0-0</f>
        <v>998.2</v>
      </c>
    </row>
    <row r="219" spans="1:31" s="2" customFormat="1" x14ac:dyDescent="0.25">
      <c r="A219">
        <v>89</v>
      </c>
      <c r="B219">
        <v>8</v>
      </c>
      <c r="C219">
        <v>3</v>
      </c>
      <c r="D219">
        <v>3</v>
      </c>
      <c r="E219">
        <v>1</v>
      </c>
      <c r="F219" s="3">
        <f>1093+(231.5-642.3)+(-1.67229+(-0.354195--0.982719))+0-0-0</f>
        <v>681.15623400000004</v>
      </c>
      <c r="G219" s="3">
        <f>984+(273.3-637.4)+(-2.5092+(-0.696915--1.62537))+0-0-0</f>
        <v>618.31925500000011</v>
      </c>
      <c r="H219" s="3">
        <f>907.9+(254.8-560.7)+(-0.926058+(-0.259896--0.571914))+0-0-0</f>
        <v>601.38595999999995</v>
      </c>
      <c r="I219" s="3">
        <f>852.7+(246.7-513.3)+(0+(0-0))+0-0-0</f>
        <v>586.10000000000014</v>
      </c>
      <c r="J219" s="3">
        <f>852.5+(232.5-492.4)+(0.434775+(0.118575-0.251124))+0-0-0</f>
        <v>592.90222600000004</v>
      </c>
      <c r="K219" s="3">
        <f>852.6+(206.7-475)+(-0.869652+(-0.210834--0.4845))+0-0-0</f>
        <v>583.70401399999992</v>
      </c>
      <c r="L219" s="3">
        <f>846.8+(210-462.6)+(-0.431868+(-0.1071--0.235926))+0-0-0</f>
        <v>593.89695799999993</v>
      </c>
      <c r="M219" s="3">
        <f>942.3+(167.9-503.1)+(1.441719+(0.256887-0.769743))+0-0-0</f>
        <v>608.02886299999989</v>
      </c>
      <c r="N219" s="3">
        <f>1054.7+(140.5-499.1)+(-0.537897+(-0.071655--0.254541))+0-0-0</f>
        <v>695.74498900000003</v>
      </c>
      <c r="O219" s="3">
        <f>1107.2+(189.6-543.7)+(-0.564672+(-0.096696--0.277287))+0-0-0</f>
        <v>752.71591899999999</v>
      </c>
      <c r="P219" s="3">
        <f>1088.4+(278.7-615.8)+(0+(0-0))+0-0-0</f>
        <v>751.30000000000018</v>
      </c>
      <c r="Q219" s="3">
        <f>1099.8+(358.1-692.8)+(-1.121796+(-0.365262--0.706656))+0-0-0</f>
        <v>764.31959800000004</v>
      </c>
      <c r="R219" s="3">
        <f>1086.2+(452.4-809.4)+(-3.323772+(-1.384344--2.476764))+0-0-0</f>
        <v>726.96864800000003</v>
      </c>
      <c r="S219" s="3">
        <f>1085.4+(515.4-845.3)+(-2.214216+(-1.051416--1.724412))+0-0-0</f>
        <v>753.95878000000016</v>
      </c>
      <c r="T219" s="3">
        <f>1084+(496.8-839.4)+(-1.65852+(-0.760104--1.284282))+0-0-0</f>
        <v>740.26565800000014</v>
      </c>
      <c r="U219" s="3">
        <f>1074.4+(470.5-795.8)+(1.095888+(0.47991-0.811716))+0-0-0</f>
        <v>749.86408200000017</v>
      </c>
      <c r="V219" s="3">
        <f>1075+(454.1-762.1)+(0+(0-0))+0-0-0</f>
        <v>767</v>
      </c>
      <c r="W219" s="3">
        <f>1076.9+(341.4-604.5)+(0.549219+(0.174114-0.308295))+0-0-0</f>
        <v>814.21503800000005</v>
      </c>
      <c r="X219" s="3">
        <f>1089.4+(406.8-505.4)+(-0.555594+(-0.207468--0.257754))+0-0-0</f>
        <v>990.29469200000017</v>
      </c>
      <c r="Y219" s="3">
        <f>1087.9+(394-493.5)+(-2.219316+(-0.80376--1.00674))+0-0-0</f>
        <v>986.38366400000007</v>
      </c>
      <c r="Z219" s="3">
        <f>1091.9+(373.5-526.9)+(-1.113738+(-0.38097--0.537438))+0-0-0</f>
        <v>937.54273000000012</v>
      </c>
      <c r="AA219" s="3">
        <f>1092.1+(421-620)+(-0.556971+(-0.21471--0.3162))+0-0-0</f>
        <v>892.64451899999995</v>
      </c>
      <c r="AB219" s="3">
        <f>1090.2+(401.2-632.5)+(-1.668006+(-0.613836--0.967725))+0-0-0</f>
        <v>857.58588300000008</v>
      </c>
      <c r="AC219" s="3">
        <f>1087.5+(344.6-672.2)+(-2.773125+(-0.87873--1.71411))+0-0-0</f>
        <v>757.96225500000003</v>
      </c>
      <c r="AD219">
        <f t="shared" si="3"/>
        <v>17804.259965000001</v>
      </c>
      <c r="AE219" s="3">
        <f>1090+(411.1-508.3)+(0+(0-0))+0-0-0</f>
        <v>992.8</v>
      </c>
    </row>
    <row r="220" spans="1:31" s="2" customFormat="1" x14ac:dyDescent="0.25">
      <c r="A220">
        <v>89</v>
      </c>
      <c r="B220">
        <v>8</v>
      </c>
      <c r="C220">
        <v>4</v>
      </c>
      <c r="D220">
        <v>4</v>
      </c>
      <c r="E220">
        <v>1</v>
      </c>
      <c r="F220" s="3">
        <f>1090.8+(254.2-671.3)+(-2.225232+(-0.518568--1.369452))+0-0-0</f>
        <v>672.32565199999999</v>
      </c>
      <c r="G220" s="3">
        <f>1002.4+(210.2-609.6)+(0+(0-0))+0-0-0</f>
        <v>603</v>
      </c>
      <c r="H220" s="3">
        <f>909.4+(250.7-580.4)+(0.463794+(0.127857-0.296004))+0-0-0</f>
        <v>579.99564700000008</v>
      </c>
      <c r="I220" s="3">
        <f>905.6+(237.7-593.9)+(0.923712+(0.242454-0.605778))+0-0-0</f>
        <v>549.96038800000008</v>
      </c>
      <c r="J220" s="3">
        <f>902.6+(213.1-554.2)+(-0.920652+(-0.217362--0.565284))+0-0-0</f>
        <v>560.92727000000002</v>
      </c>
      <c r="K220" s="3">
        <f>901.5+(169.3-507.5)+(-0.91953+(-0.172686--0.51765))+0-0-0</f>
        <v>562.72543399999995</v>
      </c>
      <c r="L220" s="3">
        <f>902.1+(195.5-532.1)+(-1.380213+(-0.299115--0.814113))+0-0-0</f>
        <v>564.63478499999997</v>
      </c>
      <c r="M220" s="3">
        <f>950.4+(191.9-524.4)+(-0.484704+(-0.097869--0.267444))+0-0-0</f>
        <v>617.58487100000002</v>
      </c>
      <c r="N220" s="3">
        <f>1090.4+(120.7-505.9)+(0+(0-0))+0-0-0</f>
        <v>705.2</v>
      </c>
      <c r="O220" s="3">
        <f>1099.7+(106.9-477.4)+(0.560847+(0.054519-0.243474))+0-0-0</f>
        <v>729.57189200000005</v>
      </c>
      <c r="P220" s="3">
        <f>1104.8+(192.9-537.4)+(0+(0-0))+0-0-0</f>
        <v>760.3</v>
      </c>
      <c r="Q220" s="3">
        <f>1101.7+(315.5-655.8)+(-0.561867+(-0.160905--0.334458))+0-0-0</f>
        <v>761.01168600000005</v>
      </c>
      <c r="R220" s="3">
        <f>1093.7+(403.2-767.2)+(-1.673361+(-0.616896--1.173816))+0-0-0</f>
        <v>728.58355900000004</v>
      </c>
      <c r="S220" s="3">
        <f>1092.4+(440.7-805.5)+(-2.228496+(-0.899028--1.64322))+0-0-0</f>
        <v>726.11569600000018</v>
      </c>
      <c r="T220" s="3">
        <f>1095.1+(409.6-749.9)+(-2.792505+(-1.04448--1.912245))+0-0-0</f>
        <v>752.87525999999991</v>
      </c>
      <c r="U220" s="3">
        <f>1095.9+(369.2-687.4)+(-2.235636+(-0.753168--1.402296))+0-0-0</f>
        <v>776.11349200000006</v>
      </c>
      <c r="V220" s="3">
        <f>1099.9+(320-691.7)+(-0.560949+(-0.1632--0.352767))+0-0-0</f>
        <v>727.82861800000001</v>
      </c>
      <c r="W220" s="3">
        <f>1101.8+(217.6-483)+(0+(0-0))+0-0-0</f>
        <v>836.4</v>
      </c>
      <c r="X220" s="3">
        <f>1100.8+(353.5-458.7)+(-1.684224+(-0.540855--0.701811))+0-0-0</f>
        <v>994.07673199999988</v>
      </c>
      <c r="Y220" s="3">
        <f>1096.1+(342.9-459.9)+(-3.354066+(-1.049274--1.407294))+0-0-0</f>
        <v>976.10395399999993</v>
      </c>
      <c r="Z220" s="3">
        <f>1100.3+(367.7-542.2)+(-1.683459+(-0.562581--0.829566))+0-0-0</f>
        <v>924.38352599999996</v>
      </c>
      <c r="AA220" s="3">
        <f>1106.1+(431.2-629)+(0.564111+(0.219912-0.32079))+0-0-0</f>
        <v>908.7632329999999</v>
      </c>
      <c r="AB220" s="3">
        <f>1103.7+(373.2-641.9)+(-1.125774+(-0.380664--0.654738))+0-0-0</f>
        <v>834.14829999999995</v>
      </c>
      <c r="AC220" s="3">
        <f>1100.1+(263.9-624)+(-2.244204+(-0.538356--1.27296))+0-0-0</f>
        <v>738.49039999999991</v>
      </c>
      <c r="AD220">
        <f t="shared" si="3"/>
        <v>17591.120394999998</v>
      </c>
      <c r="AE220" s="3">
        <f>1103+(416.7-453.9)+(0+(0-0))+0-0-0</f>
        <v>1065.8</v>
      </c>
    </row>
    <row r="221" spans="1:31" s="2" customFormat="1" x14ac:dyDescent="0.25">
      <c r="A221">
        <v>89</v>
      </c>
      <c r="B221">
        <v>8</v>
      </c>
      <c r="C221">
        <v>5</v>
      </c>
      <c r="D221">
        <v>5</v>
      </c>
      <c r="E221">
        <v>1</v>
      </c>
      <c r="F221" s="3">
        <f>1088.8+(202.5-618)+(-1.110576+(-0.20655--0.63036))+0-0-0</f>
        <v>672.61323399999992</v>
      </c>
      <c r="G221" s="3">
        <f>1000.7+(196.9-553.8)+(-2.551785+(-0.502095--1.41219))+0-0-0</f>
        <v>642.15831000000003</v>
      </c>
      <c r="H221" s="3">
        <f>1007.5+(214-638.2)+(-0.513825+(-0.10914--0.325482))+0-0-0</f>
        <v>583.0025169999999</v>
      </c>
      <c r="I221" s="3">
        <f>981.7+(198.8-599.1)+(-0.500667+(-0.101388--0.305541))+0-0-0</f>
        <v>581.10348600000009</v>
      </c>
      <c r="J221" s="3">
        <f>987.7+(172-575.8)+(2.518635+(0.4386-1.46829))+0-0-0</f>
        <v>585.38894500000004</v>
      </c>
      <c r="K221" s="3">
        <f>983.7+(113.3-513.8)+(0.501687+(0.057783-0.262038))+0-0-0</f>
        <v>583.497432</v>
      </c>
      <c r="L221" s="3">
        <f>979.7+(123.8-510.3)+(-1.498941+(-0.189414--0.780759))+0-0-0</f>
        <v>592.29240400000003</v>
      </c>
      <c r="M221" s="3">
        <f>1012.4+(160.9-562.9)+(1.032648+(0.164118-0.574158))+0-0-0</f>
        <v>611.02260799999999</v>
      </c>
      <c r="N221" s="3">
        <f>1103+(138.9-554.2)+(-1.68759+(-0.212517--0.847926))+0-0-0</f>
        <v>686.64781899999991</v>
      </c>
      <c r="O221" s="3">
        <f>1116.2+(112.4-500.3)+(0+(0-0))+0-0-0</f>
        <v>728.30000000000007</v>
      </c>
      <c r="P221" s="3">
        <f>1104.7+(160.5-524)+(0+(0-0))+0-0-0</f>
        <v>741.2</v>
      </c>
      <c r="Q221" s="3">
        <f>1094+(222.3-580.4)+(-0.55794+(-0.113373--0.296004))+0-0-0</f>
        <v>735.52469100000008</v>
      </c>
      <c r="R221" s="3">
        <f>1095.3+(269.6-651.6)+(-2.793015+(-0.68748--1.66158))+0-0-0</f>
        <v>711.48108500000001</v>
      </c>
      <c r="S221" s="3">
        <f>1115+(334-717.4)+(-1.70595+(-0.51102--1.097622))+0-0-0</f>
        <v>730.48065200000008</v>
      </c>
      <c r="T221" s="3">
        <f>1092.6+(301.2-677.2)+(-1.671678+(-0.460836--1.036116))+0-0-0</f>
        <v>715.50360199999989</v>
      </c>
      <c r="U221" s="3">
        <f>1091.5+(324.9-700.1)+(-2.783325+(-0.828495--1.785255))+0-0-0</f>
        <v>714.47343499999999</v>
      </c>
      <c r="V221" s="3">
        <f>1092.7+(313.7-688.4)+(-2.786385+(-0.799935--1.75542))+0-0-0</f>
        <v>716.16909999999996</v>
      </c>
      <c r="W221" s="3">
        <f>1100.1+(293.1-558.4)+(-1.122102+(-0.298962--0.569568))+0-0-0</f>
        <v>833.94850399999996</v>
      </c>
      <c r="X221" s="3">
        <f>1098.7+(362.8-491.8)+(-1.120674+(-0.370056--0.501636))+0-0-0</f>
        <v>968.71090600000002</v>
      </c>
      <c r="Y221" s="3">
        <f>1099.7+(357.1-502.3)+(-1.682541+(-0.546363--0.768519))+0-0-0</f>
        <v>953.03961500000003</v>
      </c>
      <c r="Z221" s="3">
        <f>1099.5+(375.8-539.8)+(-1.12149+(-0.383316--0.550596))+0-0-0</f>
        <v>934.54579000000001</v>
      </c>
      <c r="AA221" s="3">
        <f>1099.4+(287.5-503.8)+(-2.80347+(-0.733125--1.28469))+0-0-0</f>
        <v>880.84809500000017</v>
      </c>
      <c r="AB221" s="3">
        <f>1108+(192.3-488.2)+(0.56508+(0.098073-0.248982))+0-0-0</f>
        <v>812.51417100000003</v>
      </c>
      <c r="AC221" s="3">
        <f>1076.2+(144.5-475.6)+(-2.74431+(-0.368475--1.21278))+0-0-0</f>
        <v>743.19999500000006</v>
      </c>
      <c r="AD221">
        <f t="shared" si="3"/>
        <v>17457.666395999997</v>
      </c>
      <c r="AE221" s="3">
        <f>1097+(367-492.5)+(0+(0-0))+0-0-0</f>
        <v>971.5</v>
      </c>
    </row>
    <row r="222" spans="1:31" s="2" customFormat="1" x14ac:dyDescent="0.25">
      <c r="A222">
        <v>89</v>
      </c>
      <c r="B222">
        <v>8</v>
      </c>
      <c r="C222">
        <v>6</v>
      </c>
      <c r="D222">
        <v>6</v>
      </c>
      <c r="E222">
        <v>1</v>
      </c>
      <c r="F222" s="3">
        <f>993.9+(200.8-538.6)+(-2.027556+(-0.409632--1.098744))+0-0-0</f>
        <v>654.76155599999993</v>
      </c>
      <c r="G222" s="3">
        <f>828.6+(230.9-454.6)+(0.422586+(0.117759-0.231846))+0-0-0</f>
        <v>605.20849899999996</v>
      </c>
      <c r="H222" s="3">
        <f>794+(242.2-450.8)+(0.40494+(0.123522-0.229908))+0-0-0</f>
        <v>585.69855399999994</v>
      </c>
      <c r="I222" s="3">
        <f>823+(220.8-470.3)+(-0.83946+(-0.225216--0.479706))+0-0-0</f>
        <v>572.91503</v>
      </c>
      <c r="J222" s="3">
        <f>877.6+(173.2-477.2)+(-0.447576+(-0.088332--0.243372))+0-0-0</f>
        <v>573.30746399999998</v>
      </c>
      <c r="K222" s="3">
        <f>868.4+(187.8-489.3)+(-0.885768+(-0.191556--0.499086))+0-0-0</f>
        <v>566.32176199999992</v>
      </c>
      <c r="L222" s="3">
        <f>922.8+(175.7-531.9)+(-0.941256+(-0.179214--0.542538))+0-0-0</f>
        <v>566.02206799999988</v>
      </c>
      <c r="M222" s="3">
        <f>1092.3+(84.4-543.8)+(-0.557073+(-0.043044--0.277338))+0-0-0</f>
        <v>632.57722100000001</v>
      </c>
      <c r="N222" s="3">
        <f>1108.2+(94.8-524.2)+(1.695546+(0.145044-0.802026))+0-0-0</f>
        <v>679.83856399999991</v>
      </c>
      <c r="O222" s="3">
        <f>1104.6+(106.6-477.3)+(1.126692+(0.108732-0.486846))+0-0-0</f>
        <v>734.64857799999982</v>
      </c>
      <c r="P222" s="3">
        <f>1093.1+(116.3-466.5)+(-2.229924+(-0.237252--0.95166))+0-0-0</f>
        <v>741.38448399999982</v>
      </c>
      <c r="Q222" s="3">
        <f>1110.2+(126.5-516.9)+(-1.132404+(-0.12903--0.527238))+0-0-0</f>
        <v>719.06580400000007</v>
      </c>
      <c r="R222" s="3">
        <f>1083.2+(131.6-513.7)+(-4.419456+(-0.536928--2.095896))+0-0-0</f>
        <v>698.23951199999999</v>
      </c>
      <c r="S222" s="3">
        <f>1086.4+(162.8-563.9)+(0+(0-0))+0-0-0</f>
        <v>685.30000000000018</v>
      </c>
      <c r="T222" s="3">
        <f>1095.6+(188.4-597.7)+(0+(0-0))+0-0-0</f>
        <v>686.29999999999984</v>
      </c>
      <c r="U222" s="3">
        <f>1103.4+(184.7-574.9)+(-1.688202+(-0.282591--0.879597))+0-0-0</f>
        <v>712.10880400000008</v>
      </c>
      <c r="V222" s="3">
        <f>1115.3+(180.3-496.7)+(0+(0-0))+0-0-0</f>
        <v>798.9</v>
      </c>
      <c r="W222" s="3">
        <f>1115.4+(187-510)+(-1.706562+(-0.28611--0.7803))+0-0-0</f>
        <v>791.18762800000013</v>
      </c>
      <c r="X222" s="3">
        <f>1124+(313-492.2)+(-2.8662+(-0.79815--1.25511))+0-0-0</f>
        <v>942.39076</v>
      </c>
      <c r="Y222" s="3">
        <f>1120.9+(299.2-490.8)+(-4.573272+(-1.220736--2.002464))+0-0-0</f>
        <v>925.50845600000002</v>
      </c>
      <c r="Z222" s="3">
        <f>1131.4+(232.8-484.2)+(-1.154028+(-0.237456--0.493884))+0-0-0</f>
        <v>879.1024000000001</v>
      </c>
      <c r="AA222" s="3">
        <f>1132.5+(198.9-479.6)+(-2.3103+(-0.405756--0.978384))+0-0-0</f>
        <v>850.06232799999998</v>
      </c>
      <c r="AB222" s="3">
        <f>1131.2+(153.2-470.4)+(-3.461472+(-0.468792--1.439424))+0-0-0</f>
        <v>811.50915999999995</v>
      </c>
      <c r="AC222" s="3">
        <f>1141.4+(87.5-486.9)+(-0.582114+(-0.044625--0.248319))+0-0-0</f>
        <v>741.62158000000011</v>
      </c>
      <c r="AD222">
        <f t="shared" si="3"/>
        <v>17153.980211999999</v>
      </c>
      <c r="AE222" s="3">
        <f>1136+(314-519.2)+(0+(0-0))+0-0-0</f>
        <v>930.8</v>
      </c>
    </row>
    <row r="223" spans="1:31" s="2" customFormat="1" x14ac:dyDescent="0.25">
      <c r="A223">
        <v>89</v>
      </c>
      <c r="B223">
        <v>8</v>
      </c>
      <c r="C223">
        <v>7</v>
      </c>
      <c r="D223">
        <v>7</v>
      </c>
      <c r="E223">
        <v>1</v>
      </c>
      <c r="F223" s="3">
        <f>1136.1+(124.9-582.9)+(-2.897055+(-0.318495--1.486395))+0-0-0</f>
        <v>676.37084499999992</v>
      </c>
      <c r="G223" s="3">
        <f>1135.6+(151.6-665.9)+(-3.474936+(-0.463896--2.037654))+0-0-0</f>
        <v>619.398822</v>
      </c>
      <c r="H223" s="3">
        <f>1095.2+(181.3-677.6)+(-1.675656+(-0.277389--1.036728))+0-0-0</f>
        <v>597.98368300000004</v>
      </c>
      <c r="I223" s="3">
        <f>1057.5+(181.4-656.6)+(-0.539325+(-0.092514--0.334866))+0-0-0</f>
        <v>582.00302699999997</v>
      </c>
      <c r="J223" s="3">
        <f>933+(219.5-585.2)+(0+(0-0))+0-0-0</f>
        <v>567.29999999999995</v>
      </c>
      <c r="K223" s="3">
        <f>872.9+(224.8-531.2)+(-0.445179+(-0.114648--0.270912))+0-0-0</f>
        <v>566.21108500000003</v>
      </c>
      <c r="L223" s="3">
        <f>760.3+(243.9-463)+(-0.387753+(-0.124389--0.23613))+0-0-0</f>
        <v>540.92398799999989</v>
      </c>
      <c r="M223" s="3">
        <f>746.1+(275.8-473.9)+(-0.380511+(-0.140658--0.241689))+0-0-0</f>
        <v>547.72051999999996</v>
      </c>
      <c r="N223" s="3">
        <f>774+(305.2-481.8)+(-1.18422+(-0.466956--0.737154))+0-0-0</f>
        <v>596.48597799999993</v>
      </c>
      <c r="O223" s="3">
        <f>842.5+(312-506.1)+(-0.85935+(-0.31824--0.516222))+0-0-0</f>
        <v>647.73863199999994</v>
      </c>
      <c r="P223" s="3">
        <f>887.6+(277.9-458.3)+(-0.905352+(-0.283458--0.467466))+0-0-0</f>
        <v>706.478656</v>
      </c>
      <c r="Q223" s="3">
        <f>1079.7+(209.4-599.7)+(-1.101294+(-0.213588--0.611694))+0-0-0</f>
        <v>688.69681200000002</v>
      </c>
      <c r="R223" s="3">
        <f>1112.8+(212.1-661)+(-1.135056+(-0.216342--0.67422))+0-0-0</f>
        <v>663.22282199999995</v>
      </c>
      <c r="S223" s="3">
        <f>1005.9+(228.9-588.8)+(-1.026018+(-0.233478--0.600576))+0-0-0</f>
        <v>645.34108000000003</v>
      </c>
      <c r="T223" s="3">
        <f>867.9+(251.3-450.5)+(-1.770516+(-0.512652--0.91902))+0-0-0</f>
        <v>667.33585200000005</v>
      </c>
      <c r="U223" s="3">
        <f>891+(253.4-512.6)+(-0.45441+(-0.129234--0.261426))+0-0-0</f>
        <v>631.47778199999993</v>
      </c>
      <c r="V223" s="3">
        <f>926.5+(237.8-495.8)+(0.472515+(0.121278-0.252858))+0-0-0</f>
        <v>668.84093499999994</v>
      </c>
      <c r="W223" s="3">
        <f>1034+(233.7-490.6)+(-0.52734+(-0.119187--0.250206))+0-0-0</f>
        <v>776.70367899999997</v>
      </c>
      <c r="X223" s="3">
        <f>1117.3+(295.5-488.7)+(-2.279292+(-0.60282--0.996948))+0-0-0</f>
        <v>922.21483599999988</v>
      </c>
      <c r="Y223" s="3">
        <f>1113.2+(284.6-486.4)+(1.135464+(0.290292-0.496128))+0-0-0</f>
        <v>912.32962800000007</v>
      </c>
      <c r="Z223" s="3">
        <f>1108.1+(300.1-530.7)+(-1.695393+(-0.459153--0.811971))+0-0-0</f>
        <v>876.15742499999988</v>
      </c>
      <c r="AA223" s="3">
        <f>1130.8+(285.9-556.5)+(-1.153416+(-0.291618--0.56763))+0-0-0</f>
        <v>859.32259599999998</v>
      </c>
      <c r="AB223" s="3">
        <f>1152.9+(255.6-599.4)+(-1.175958+(-0.260712--0.611388))+0-0-0</f>
        <v>808.27471800000012</v>
      </c>
      <c r="AC223" s="3">
        <f>986.7+(336.2-619)+(-2.516085+(-0.85731--1.57845))+0-0-0</f>
        <v>702.10505500000011</v>
      </c>
      <c r="AD223">
        <f t="shared" si="3"/>
        <v>16470.638455999997</v>
      </c>
      <c r="AE223" s="3">
        <f>1136+(310.5-484.8)+(0+(0-0))+0-0-0</f>
        <v>961.7</v>
      </c>
    </row>
    <row r="224" spans="1:31" s="2" customFormat="1" x14ac:dyDescent="0.25">
      <c r="A224">
        <v>89</v>
      </c>
      <c r="B224">
        <v>8</v>
      </c>
      <c r="C224">
        <v>8</v>
      </c>
      <c r="D224">
        <v>1</v>
      </c>
      <c r="E224">
        <v>1</v>
      </c>
      <c r="F224" s="3">
        <f>787.1+(330-491.6)+(-0.401421+(-0.1683--0.250716))+0-0-0</f>
        <v>625.18099500000005</v>
      </c>
      <c r="G224" s="3">
        <f>688.2+(336.8-429)+(-0.350982+(-0.171768--0.21879))+0-0-0</f>
        <v>595.69604000000004</v>
      </c>
      <c r="H224" s="3">
        <f>632.3+(352.8-416.6)+(-0.967419+(-0.539784--0.637398))+0-0-0</f>
        <v>567.63019499999996</v>
      </c>
      <c r="I224" s="3">
        <f>666.6+(320.3-436.9)+(0.339966+(0.163353-0.222819))+0-0-0</f>
        <v>550.28049999999996</v>
      </c>
      <c r="J224" s="3">
        <f>693.5+(313.3-445.8)+(-1.41474+(-0.639132--0.909432))+0-0-0</f>
        <v>559.85555999999997</v>
      </c>
      <c r="K224" s="3">
        <f>694.3+(298.7-428.8)+(0+(0-0))+0-0-0</f>
        <v>564.19999999999993</v>
      </c>
      <c r="L224" s="3">
        <f>668.7+(344.9-442.3)+(0+(0-0))+0-0-0</f>
        <v>571.29999999999995</v>
      </c>
      <c r="M224" s="3">
        <f>726.9+(341.7-467.8)+(-0.370719+(-0.174267--0.238578))+0-0-0</f>
        <v>600.49359199999992</v>
      </c>
      <c r="N224" s="3">
        <f>772.6+(365.7-449.6)+(-1.182078+(-0.559521--0.687888))+0-0-0</f>
        <v>687.64628900000002</v>
      </c>
      <c r="O224" s="3">
        <f>978.7+(259-500.3)+(-0.998274+(-0.26418--0.510306))+0-0-0</f>
        <v>736.64785200000006</v>
      </c>
      <c r="P224" s="3">
        <f>1116+(166.6-514.3)+(-2.27664+(-0.339864--1.049172))+0-0-0</f>
        <v>766.7326680000001</v>
      </c>
      <c r="Q224" s="3">
        <f>1125.8+(135.3-493.8)+(-0.574158+(-0.069003--0.251838))+0-0-0</f>
        <v>766.9086769999999</v>
      </c>
      <c r="R224" s="3">
        <f>1125.9+(107.1-513.3)+(-1.148418+(-0.109242--0.523566))+0-0-0</f>
        <v>718.96590600000013</v>
      </c>
      <c r="S224" s="3">
        <f>1124.5+(169-603.9)+(-2.29398+(-0.34476--1.231956))+0-0-0</f>
        <v>688.19321600000001</v>
      </c>
      <c r="T224" s="3">
        <f>1141.5+(220.5-564.9)+(0+(0-0))+0-0-0</f>
        <v>797.1</v>
      </c>
      <c r="U224" s="3">
        <f>1158+(174.7-559.5)+(-2.36232+(-0.356388--1.14138))+0-0-0</f>
        <v>771.62267200000008</v>
      </c>
      <c r="V224" s="3">
        <f>1160.7+(166.9-523.9)+(-1.775871+(-0.255357--0.801567))+0-0-0</f>
        <v>802.47033900000008</v>
      </c>
      <c r="W224" s="3">
        <f>1176.4+(199.7-459.3)+(0+(0-0))+0-0-0</f>
        <v>916.80000000000007</v>
      </c>
      <c r="X224" s="3">
        <f>1179.5+(297.2-459.2)+(-1.804635+(-0.454716--0.702576))+0-0-0</f>
        <v>1015.943225</v>
      </c>
      <c r="Y224" s="3">
        <f>1174.9+(275.7-465.1)+(-2.995995+(-0.703035--1.186005))+0-0-0</f>
        <v>982.98697500000003</v>
      </c>
      <c r="Z224" s="3">
        <f>1178.1+(271.8-463.3)+(-2.403324+(-0.554472--0.945132))+0-0-0</f>
        <v>984.58733599999994</v>
      </c>
      <c r="AA224" s="3">
        <f>1181.4+(302.2-530.2)+(-1.807542+(-0.462366--0.811206))+0-0-0</f>
        <v>951.94129800000007</v>
      </c>
      <c r="AB224" s="3">
        <f>1160.1+(335-572.2)+(-2.958255+(-0.85425--1.45911))+0-0-0</f>
        <v>920.54660499999989</v>
      </c>
      <c r="AC224" s="3">
        <f>1075.3+(336.3-580.8)+(-3.290418+(-1.029078--1.777248))+0-0-0</f>
        <v>828.25775199999998</v>
      </c>
      <c r="AD224">
        <f t="shared" si="3"/>
        <v>17971.987691999999</v>
      </c>
      <c r="AE224" s="3">
        <f>1183+(282.7-451.7)+(0+(0-0))+0-0-0</f>
        <v>1014</v>
      </c>
    </row>
    <row r="225" spans="1:31" s="2" customFormat="1" x14ac:dyDescent="0.25">
      <c r="A225">
        <v>89</v>
      </c>
      <c r="B225">
        <v>8</v>
      </c>
      <c r="C225">
        <v>9</v>
      </c>
      <c r="D225">
        <v>2</v>
      </c>
      <c r="E225">
        <v>1</v>
      </c>
      <c r="F225" s="3">
        <f>1071.7+(330.5-633.3)+(-1.639701+(-0.505665--0.968949))+0-0-0</f>
        <v>767.72358300000008</v>
      </c>
      <c r="G225" s="3">
        <f>984.8+(275.2-598.3)+(-1.004496+(-0.280704--0.610266))+0-0-0</f>
        <v>661.02506600000004</v>
      </c>
      <c r="H225" s="3">
        <f>949.5+(235.2-536.5)+(-1.93698+(-0.479808--1.09446))+0-0-0</f>
        <v>646.87767200000008</v>
      </c>
      <c r="I225" s="3">
        <f>815.4+(224.6-439.6)+(-1.247562+(-0.343638--0.672588))+0-0-0</f>
        <v>599.48138799999992</v>
      </c>
      <c r="J225" s="3">
        <f>748.6+(229.1-398.2)+(0+(0-0))+0-0-0</f>
        <v>579.5</v>
      </c>
      <c r="K225" s="3">
        <f>765.4+(242.7-427.8)+(0+(0-0))+0-0-0</f>
        <v>580.29999999999995</v>
      </c>
      <c r="L225" s="3">
        <f>810.7+(237.4-458.6)+(-0.826914+(-0.242148--0.467772))+0-0-0</f>
        <v>588.89871000000005</v>
      </c>
      <c r="M225" s="3">
        <f>934.1+(182.3-520.3)+(0+(0-0))+0-0-0</f>
        <v>596.10000000000014</v>
      </c>
      <c r="N225" s="3">
        <f>1070.5+(144.2-541.4)+(-1.09191+(-0.147084--0.552228))+0-0-0</f>
        <v>672.61323399999992</v>
      </c>
      <c r="O225" s="3">
        <f>1055.1+(194.6-528.5)+(-0.538101+(-0.099246--0.269535))+0-0-0</f>
        <v>720.83218799999997</v>
      </c>
      <c r="P225" s="3">
        <f>1042.4+(233.1-530.5)+(-1.063248+(-0.237762--0.54111))+0-0-0</f>
        <v>744.2401000000001</v>
      </c>
      <c r="Q225" s="3">
        <f>1049.9+(254.3-563.7)+(-2.141796+(-0.518772--1.149948))+0-0-0</f>
        <v>738.98937999999998</v>
      </c>
      <c r="R225" s="3">
        <f>1051.2+(361.5-604.4)+(-0.536112+(-0.184365--0.308244))+0-0-0</f>
        <v>807.88776700000005</v>
      </c>
      <c r="S225" s="3">
        <f>1068.3+(402.2-663.6)+(-1.089666+(-0.410244--0.676872))+0-0-0</f>
        <v>806.07696199999987</v>
      </c>
      <c r="T225" s="3">
        <f>1070.9+(403.7-670.4)+(-0.546159+(-0.205887--0.341904))+0-0-0</f>
        <v>803.78985800000009</v>
      </c>
      <c r="U225" s="3">
        <f>1055.7+(378.2-632.9)+(-2.692035+(-0.96441--1.613895))+0-0-0</f>
        <v>798.95744999999999</v>
      </c>
      <c r="V225" s="3">
        <f>1075.8+(349.2-603)+(0+(0-0))+0-0-0</f>
        <v>822</v>
      </c>
      <c r="W225" s="3">
        <f>1170.2+(189.8-483)+(-1.193604+(-0.193596--0.49266))+0-0-0</f>
        <v>876.10545999999999</v>
      </c>
      <c r="X225" s="3">
        <f>1171.6+(288.7-470.3)+(-2.390064+(-0.588948--0.959412))+0-0-0</f>
        <v>987.98039999999992</v>
      </c>
      <c r="Y225" s="3">
        <f>1172.1+(272.9-452.6)+(-2.391084+(-0.556716--0.923304))+0-0-0</f>
        <v>990.37550399999986</v>
      </c>
      <c r="Z225" s="3">
        <f>1172.8+(299.1-490.2)+(-1.196256+(-0.305082--0.500004))+0-0-0</f>
        <v>980.698666</v>
      </c>
      <c r="AA225" s="3">
        <f>1172.8+(336.1-552.1)+(-1.794384+(-0.514233--0.844713))+0-0-0</f>
        <v>955.336096</v>
      </c>
      <c r="AB225" s="3">
        <f>1171+(343.5-595)+(-2.38884+(-0.70074--1.2138))+0-0-0</f>
        <v>917.62422000000004</v>
      </c>
      <c r="AC225" s="3">
        <f>1170.7+(301.8-639.9)+(-2.388228+(-0.615672--1.305396))+0-0-0</f>
        <v>830.90149600000018</v>
      </c>
      <c r="AD225">
        <f t="shared" si="3"/>
        <v>18474.315200000001</v>
      </c>
      <c r="AE225" s="3">
        <f>1173+(270.1-488.4)+(0+(0-0))+0-0-0</f>
        <v>954.7</v>
      </c>
    </row>
    <row r="226" spans="1:31" s="2" customFormat="1" x14ac:dyDescent="0.25">
      <c r="A226">
        <v>89</v>
      </c>
      <c r="B226">
        <v>8</v>
      </c>
      <c r="C226">
        <v>10</v>
      </c>
      <c r="D226">
        <v>3</v>
      </c>
      <c r="E226">
        <v>1</v>
      </c>
      <c r="F226" s="3">
        <f>1143.5+(273.8-687.3)+(-0.583185+(-0.139638--0.350523))+0-0-0</f>
        <v>729.6277</v>
      </c>
      <c r="G226" s="3">
        <f>1063.6+(312.2-686)+(-2.71218+(-0.79611--1.7493))+0-0-0</f>
        <v>688.04100999999991</v>
      </c>
      <c r="H226" s="3">
        <f>912.6+(246.6-503.7)+(-0.930852+(-0.251532--0.513774))+0-0-0</f>
        <v>654.83139000000006</v>
      </c>
      <c r="I226" s="3">
        <f>773.5+(211.3-380.4)+(0.78897+(0.215526-0.388008))+0-0-0</f>
        <v>605.01648800000009</v>
      </c>
      <c r="J226" s="3">
        <f>797.8+(238.6-443.3)+(-1.627512+(-0.486744--0.904332))+0-0-0</f>
        <v>591.89007599999991</v>
      </c>
      <c r="K226" s="3">
        <f>812.9+(228.1-449.5)+(1.243737+(0.348993-0.687735))+0-0-0</f>
        <v>592.40499499999999</v>
      </c>
      <c r="L226" s="3">
        <f>857.5+(230.6-502.6)+(-1.311975+(-0.352818--0.768978))+0-0-0</f>
        <v>584.60418500000003</v>
      </c>
      <c r="M226" s="3">
        <f>1034.6+(264.8-537.9)+(0+(0-0))+0-0-0</f>
        <v>761.5</v>
      </c>
      <c r="N226" s="3">
        <f>1030.6+(213-553)+(-1.051212+(-0.21726--0.56406))+0-0-0</f>
        <v>689.89558799999986</v>
      </c>
      <c r="O226" s="3">
        <f>1045.1+(236.8-528.2)+(-2.665005+(-0.60384--1.34691))+0-0-0</f>
        <v>751.77806499999986</v>
      </c>
      <c r="P226" s="3">
        <f>1142.4+(201.6-537.7)+(-1.747872+(-0.308448--0.822681))+0-0-0</f>
        <v>805.06636100000003</v>
      </c>
      <c r="Q226" s="3">
        <f>1169.9+(181-538.7)+(0+(0-0))+0-0-0</f>
        <v>812.2</v>
      </c>
      <c r="R226" s="3">
        <f>1123.5+(162.7-560.4)+(-4.010895+(-0.580839--2.000628))+0-0-0</f>
        <v>723.20889399999999</v>
      </c>
      <c r="S226" s="3">
        <f>1132+(217.9-640.8)+(0+(0-0))+0-0-0</f>
        <v>709.1</v>
      </c>
      <c r="T226" s="3">
        <f>1130.1+(206.2-633)+(-1.729053+(-0.315486--0.96849))+0-0-0</f>
        <v>702.22395099999994</v>
      </c>
      <c r="U226" s="3">
        <f>1127.8+(176-597)+(-3.451068+(-0.53856--1.82682))+0-0-0</f>
        <v>704.63719199999991</v>
      </c>
      <c r="V226" s="3">
        <f>1146.8+(152.8-567.3)+(0+(0-0))+0-0-0</f>
        <v>732.3</v>
      </c>
      <c r="W226" s="3">
        <f>1175.2+(185.9-502.2)+(0.599352+(0.094809-0.256122))+0-0-0</f>
        <v>859.33803900000009</v>
      </c>
      <c r="X226" s="3">
        <f>1156.7+(272.9-477.8)+(-2.359668+(-0.556716--0.974712))+0-0-0</f>
        <v>949.85832799999991</v>
      </c>
      <c r="Y226" s="3">
        <f>1032.5+(346.6-449.7)+(-2.632875+(-0.88383--1.146735))+0-0-0</f>
        <v>927.03003000000012</v>
      </c>
      <c r="Z226" s="3">
        <f>1041.1+(321.7-474.7)+(0+(0-0))+0-0-0</f>
        <v>888.09999999999991</v>
      </c>
      <c r="AA226" s="3">
        <f>1037.4+(281.6-458.7)+(-1.058148+(-0.287232--0.467874))+0-0-0</f>
        <v>859.42249400000014</v>
      </c>
      <c r="AB226" s="3">
        <f>1033+(75.6-321)+(-2.63415+(-0.19278--0.81855))+0-0-0</f>
        <v>785.59162000000003</v>
      </c>
      <c r="AC226" s="3">
        <f>947.9+(35.2-314.9)+(-0.483429+(-0.017952--0.160599))+0-0-0</f>
        <v>667.85921800000006</v>
      </c>
      <c r="AD226">
        <f t="shared" si="3"/>
        <v>17775.525624000002</v>
      </c>
      <c r="AE226" s="3">
        <f>1175+(259.5-485.5)+(0+(0-0))+0-0-0</f>
        <v>949</v>
      </c>
    </row>
    <row r="227" spans="1:31" s="2" customFormat="1" x14ac:dyDescent="0.25">
      <c r="A227">
        <v>89</v>
      </c>
      <c r="B227">
        <v>8</v>
      </c>
      <c r="C227">
        <v>11</v>
      </c>
      <c r="D227">
        <v>4</v>
      </c>
      <c r="E227">
        <v>1</v>
      </c>
      <c r="F227" s="3">
        <f>922+(42.2-273.1)+(0.47022+(0.021522-0.139281))+0-0-0</f>
        <v>691.45246099999986</v>
      </c>
      <c r="G227" s="3">
        <f>776.1+(79.5-335.9)+(-1.187433+(-0.121635--0.513927))+0-0-0</f>
        <v>518.9048590000001</v>
      </c>
      <c r="H227" s="3">
        <f>761+(112.1-312.6)+(-1.16433+(-0.171513--0.478278))+0-0-0</f>
        <v>559.64243499999998</v>
      </c>
      <c r="I227" s="3">
        <f>809.6+(88.5-327.2)+(0.825792+(0.09027-0.333744))+0-0-0</f>
        <v>571.48231800000008</v>
      </c>
      <c r="J227" s="3">
        <f>763.9+(82.1-297.5)+(0.389589+(0.041871-0.151725))+0-0-0</f>
        <v>548.77973499999996</v>
      </c>
      <c r="K227" s="3">
        <f>797.2+(82-315.6)+(0+(0-0))+0-0-0</f>
        <v>563.6</v>
      </c>
      <c r="L227" s="3">
        <f>798.2+(31.4-246.6)+(0.407082+(0.016014-0.125766))+0-0-0</f>
        <v>583.29732999999999</v>
      </c>
      <c r="M227" s="3">
        <f>822.1+(35-260.6)+(-0.419271+(-0.01785--0.132906))+0-0-0</f>
        <v>596.195785</v>
      </c>
      <c r="N227" s="3">
        <f>1117.9+(57.4-420.5)+(-1.710387+(-0.087822--0.643365))+0-0-0</f>
        <v>753.64515600000004</v>
      </c>
      <c r="O227" s="3">
        <f>1181.2+(37-505.1)+(-1.204824+(-0.03774--0.515202))+0-0-0</f>
        <v>712.37263800000005</v>
      </c>
      <c r="P227" s="3">
        <f>1142.2+(20-453.1)+(0+(0-0))+0-0-0</f>
        <v>709.1</v>
      </c>
      <c r="Q227" s="3">
        <f>1151.3+(20-437.7)+(-2.348652+(-0.0408--0.892908))+0-0-0</f>
        <v>732.10345599999994</v>
      </c>
      <c r="R227" s="3">
        <f>1160.8+(14.4-490.8)+(1.184016+(0.014688-0.500616))+0-0-0</f>
        <v>685.09808799999985</v>
      </c>
      <c r="S227" s="3">
        <f>1155+(22.3-524.8)+(-2.3562+(-0.045492--1.070592))+0-0-0</f>
        <v>651.16890000000001</v>
      </c>
      <c r="T227" s="3">
        <f>1156.9+(24.5-535)+(-1.180038+(-0.02499--0.5457))+0-0-0</f>
        <v>645.74067200000013</v>
      </c>
      <c r="U227" s="3">
        <f>1164.6+(94-642.4)+(-2.96973+(-0.2397--1.63812))+0-0-0</f>
        <v>614.62868999999989</v>
      </c>
      <c r="V227" s="3">
        <f>1193.6+(93.4-603.6)+(1.826208+(0.142902-0.923508))+0-0-0</f>
        <v>684.44560199999989</v>
      </c>
      <c r="W227" s="3">
        <f>1187+(136.8-505.9)+(-1.81611+(-0.209304--0.774027))+0-0-0</f>
        <v>816.64861300000007</v>
      </c>
      <c r="X227" s="3">
        <f>1183.3+(246.9-519.6)+(-3.017415+(-0.629595--1.32498))+0-0-0</f>
        <v>908.27796999999987</v>
      </c>
      <c r="Y227" s="3">
        <f>1187.5+(201.5-498.8)+(-1.21125+(-0.20553--0.508776))+0-0-0</f>
        <v>889.29199600000004</v>
      </c>
      <c r="Z227" s="3">
        <f>1189.3+(140.9-467.9)+(-0.606543+(-0.071859--0.238629))+0-0-0</f>
        <v>861.86022700000001</v>
      </c>
      <c r="AA227" s="3">
        <f>1187.3+(106.6-468.7)+(-1.816569+(-0.163098--0.717111))+0-0-0</f>
        <v>823.93744399999991</v>
      </c>
      <c r="AB227" s="3">
        <f>1167.6+(107.2-518.9)+(-1.190952+(-0.109344--0.529278))+0-0-0</f>
        <v>755.12898199999984</v>
      </c>
      <c r="AC227" s="3">
        <f>1158.4+(74.9-536.9)+(-1.181568+(-0.076398--0.547638))+0-0-0</f>
        <v>695.68967200000009</v>
      </c>
      <c r="AD227">
        <f t="shared" si="3"/>
        <v>16572.493028999997</v>
      </c>
      <c r="AE227" s="3">
        <f>1106+(247.2-500.8)+(0+(0-0))+0-0-0</f>
        <v>852.4</v>
      </c>
    </row>
    <row r="228" spans="1:31" s="2" customFormat="1" x14ac:dyDescent="0.25">
      <c r="A228">
        <v>89</v>
      </c>
      <c r="B228">
        <v>8</v>
      </c>
      <c r="C228">
        <v>12</v>
      </c>
      <c r="D228">
        <v>5</v>
      </c>
      <c r="E228">
        <v>1</v>
      </c>
      <c r="F228" s="3">
        <f>900.2+(85.3-445.5)+(-0.459102+(-0.043503--0.227205))+0-0-0</f>
        <v>539.72460000000001</v>
      </c>
      <c r="G228" s="3">
        <f>892.1+(159.9-475.1)+(-2.274855+(-0.407745--1.211505))+0-0-0</f>
        <v>575.42890499999999</v>
      </c>
      <c r="H228" s="3">
        <f>905.5+(139.3-492.8)+(-0.92361+(-0.142086--0.502656))+0-0-0</f>
        <v>551.43696</v>
      </c>
      <c r="I228" s="3">
        <f>875.9+(156-494.8)+(0+(0-0))+0-0-0</f>
        <v>537.09999999999991</v>
      </c>
      <c r="J228" s="3">
        <f>835.4+(179.8-499.5)+(-1.704216+(-0.366792--1.01898))+0-0-0</f>
        <v>514.6479720000001</v>
      </c>
      <c r="K228" s="3">
        <f>657.5+(231.7-413.5)+(-0.67065+(-0.236334--0.42177))+0-0-0</f>
        <v>475.214786</v>
      </c>
      <c r="L228" s="3">
        <f>618.3+(318.4-432.2)+(0.630666+(0.324768-0.440844))+0-0-0</f>
        <v>505.01458999999994</v>
      </c>
      <c r="M228" s="3">
        <f>914+(244.5-503.7)+(-0.46614+(-0.124695--0.256887))+0-0-0</f>
        <v>654.46605199999999</v>
      </c>
      <c r="N228" s="3">
        <f>1096.3+(142.2-594.5)+(-1.118226+(-0.145044--0.60639))+0-0-0</f>
        <v>643.34312</v>
      </c>
      <c r="O228" s="3">
        <f>1175.9+(122.4-531.5)+(-0.599709+(-0.062424--0.271065))+0-0-0</f>
        <v>766.40893200000005</v>
      </c>
      <c r="P228" s="3">
        <f>1112.6+(108-524.8)+(-2.269704+(-0.22032--1.070592))+0-0-0</f>
        <v>694.38056799999993</v>
      </c>
      <c r="Q228" s="3">
        <f>1121.3+(88.4-529.1)+(1.143726+(0.090168-0.539682))+0-0-0</f>
        <v>681.2942119999999</v>
      </c>
      <c r="R228" s="3">
        <f>1116.4+(93-536.5)+(-1.138728+(-0.09486--0.54723))+0-0-0</f>
        <v>672.21364200000005</v>
      </c>
      <c r="S228" s="3">
        <f>1121.2+(71.1-541.2)+(1.143624+(0.072522-0.552024))+0-0-0</f>
        <v>651.76412200000004</v>
      </c>
      <c r="T228" s="3">
        <f>1119+(75.3-532.4)+(1.14138+(0.076806-0.543048))+0-0-0</f>
        <v>662.57513800000004</v>
      </c>
      <c r="U228" s="3">
        <f>1119.2+(99.8-554.9)+(1.141584+(0.101796-0.565998))+0-0-0</f>
        <v>664.7773820000001</v>
      </c>
      <c r="V228" s="3">
        <f>1117+(109.9-532.1)+(0+(0-0))+0-0-0</f>
        <v>694.8</v>
      </c>
      <c r="W228" s="3">
        <f>1116.8+(200-507.7)+(-1.139136+(-0.204--0.517854))+0-0-0</f>
        <v>808.27471799999989</v>
      </c>
      <c r="X228" s="3">
        <f>1126+(363.1-542.5)+(-1.72278+(-0.555543--0.830025))+0-0-0</f>
        <v>945.151702</v>
      </c>
      <c r="Y228" s="3">
        <f>1092+(268.1-461.3)+(-2.7846+(-0.683655--1.176315))+0-0-0</f>
        <v>896.50806</v>
      </c>
      <c r="Z228" s="3">
        <f>1112+(252.4-476.3)+(-2.8356+(-0.64362--1.214565))+0-0-0</f>
        <v>885.83534500000007</v>
      </c>
      <c r="AA228" s="3">
        <f>1112+(233.9-438.1)+(-3.40272+(-0.715734--1.340586))+0-0-0</f>
        <v>905.02213199999994</v>
      </c>
      <c r="AB228" s="3">
        <f>1077+(179.6-470.7)+(-1.09854+(-0.183192--0.480114))+0-0-0</f>
        <v>785.09838200000002</v>
      </c>
      <c r="AC228" s="3">
        <f>1032+(93.6-462.9)+(-1.57896+(-0.143208--0.708237))+0-0-0</f>
        <v>661.68606900000009</v>
      </c>
      <c r="AD228">
        <f t="shared" si="3"/>
        <v>16372.167388999997</v>
      </c>
      <c r="AE228" s="3">
        <f>1120+(356.2-543.4)+(0+(0-0))+0-0-0</f>
        <v>932.8</v>
      </c>
    </row>
    <row r="229" spans="1:31" s="2" customFormat="1" x14ac:dyDescent="0.25">
      <c r="A229">
        <v>89</v>
      </c>
      <c r="B229">
        <v>8</v>
      </c>
      <c r="C229">
        <v>13</v>
      </c>
      <c r="D229">
        <v>6</v>
      </c>
      <c r="E229">
        <v>1</v>
      </c>
      <c r="F229" s="3">
        <f>1004.2+(129.8-490.2)+(-0.512142+(-0.066198--0.250002))+0-0-0</f>
        <v>643.47166200000004</v>
      </c>
      <c r="G229" s="3">
        <f>893.5+(79.6-388.7)+(-0.91137+(-0.081192--0.396474))+0-0-0</f>
        <v>583.80391199999997</v>
      </c>
      <c r="H229" s="3">
        <f>740.4+(138.9-355.6)+(-0.377604+(-0.070839--0.181356))+0-0-0</f>
        <v>523.43291299999999</v>
      </c>
      <c r="I229" s="3">
        <f>649+(218-331.1)+(0+(0-0))+0-0-0</f>
        <v>535.9</v>
      </c>
      <c r="J229" s="3">
        <f>599.8+(269.3-324.4)+(1.223592+(0.549372-0.661776))+0-0-0</f>
        <v>545.81118800000002</v>
      </c>
      <c r="K229" s="3">
        <f>596.1+(308-345.3)+(-0.304011+(-0.15708--0.176103))+0-0-0</f>
        <v>558.51501199999996</v>
      </c>
      <c r="L229" s="3">
        <f>593.4+(368.6-396.3)+(-1.210536+(-0.751944--0.808452))+0-0-0</f>
        <v>564.54597200000001</v>
      </c>
      <c r="M229" s="3">
        <f>633.8+(381.4-436)+(-0.646476+(-0.389028--0.44472))+0-0-0</f>
        <v>578.60921599999995</v>
      </c>
      <c r="N229" s="3">
        <f>665.3+(407.4-427)+(-0.339303+(-0.207774--0.21777))+0-0-0</f>
        <v>645.37069299999996</v>
      </c>
      <c r="O229" s="3">
        <f>661.6+(428.4-405)+(-1.012248+(-0.655452--0.61965))+0-0-0</f>
        <v>683.95195000000001</v>
      </c>
      <c r="P229" s="3">
        <f>676.2+(426.7-400.8)+(0+(0-0))+0-0-0</f>
        <v>702.1</v>
      </c>
      <c r="Q229" s="3">
        <f>689.8+(416.2-391.7)+(0+(0-0))+0-0-0</f>
        <v>714.3</v>
      </c>
      <c r="R229" s="3">
        <f>681.8+(395.3-443.9)+(-1.043154+(-0.604809--0.679167))+0-0-0</f>
        <v>632.23120400000005</v>
      </c>
      <c r="S229" s="3">
        <f>667.8+(437.5-444.9)+(-1.362312+(-0.8925--0.907596))+0-0-0</f>
        <v>659.05278399999997</v>
      </c>
      <c r="T229" s="3">
        <f>674+(397.3-425.5)+(0.34374+(0.202623-0.217005))+0-0-0</f>
        <v>646.12935799999991</v>
      </c>
      <c r="U229" s="3">
        <f>668.9+(385-416.8)+(-1.705695+(-0.98175--1.06284))+0-0-0</f>
        <v>635.47539499999993</v>
      </c>
      <c r="V229" s="3">
        <f>578.3+(514.4-444.9)+(-0.884799+(-0.787032--0.680697))+0-0-0</f>
        <v>646.80886599999997</v>
      </c>
      <c r="W229" s="3">
        <f>541.3+(691.1-454.7)+(-0.552126+(-0.704922--0.463794))+0-0-0</f>
        <v>776.906746</v>
      </c>
      <c r="X229" s="3">
        <f>539.9+(823.3-453.5)+(-1.101396+(-1.679532--0.92514))+0-0-0</f>
        <v>907.84421199999997</v>
      </c>
      <c r="Y229" s="3">
        <f>539+(764.3-424.2)+(-1.37445+(-1.948965--1.08171))+0-0-0</f>
        <v>876.85829499999988</v>
      </c>
      <c r="Z229" s="3">
        <f>541.1+(773.4-451.5)+(-0.827883+(-1.183302--0.690795))+0-0-0</f>
        <v>861.67961000000003</v>
      </c>
      <c r="AA229" s="3">
        <f>542.7+(732.4-433)+(-0.276777+(-0.373524--0.22083))+0-0-0</f>
        <v>841.67052899999999</v>
      </c>
      <c r="AB229" s="3">
        <f>540.1+(668.2-439.2)+(-1.101804+(-1.363128--0.895968))+0-0-0</f>
        <v>767.53103600000009</v>
      </c>
      <c r="AC229" s="3">
        <f>539.5+(550.5-431.1)+(-1.375725+(-1.403775--1.099305))+0-0-0</f>
        <v>657.21980499999995</v>
      </c>
      <c r="AD229">
        <f t="shared" si="3"/>
        <v>16189.220357999999</v>
      </c>
      <c r="AE229" s="3">
        <f>544+(856.5-459.7)+(0+(0-0))+0-0-0</f>
        <v>940.8</v>
      </c>
    </row>
    <row r="230" spans="1:31" s="2" customFormat="1" x14ac:dyDescent="0.25">
      <c r="A230">
        <v>89</v>
      </c>
      <c r="B230">
        <v>8</v>
      </c>
      <c r="C230">
        <v>14</v>
      </c>
      <c r="D230">
        <v>7</v>
      </c>
      <c r="E230">
        <v>1</v>
      </c>
      <c r="F230" s="3">
        <f>542.4+(485.1-412.5)+(-0.553248+(-0.494802--0.42075))+0-0-0</f>
        <v>614.37270000000001</v>
      </c>
      <c r="G230" s="3">
        <f>544+(416.8-397.6)+(-0.27744+(-0.212568--0.202776))+0-0-0</f>
        <v>562.91276800000003</v>
      </c>
      <c r="H230" s="3">
        <f>545.4+(377.9-399.3)+(-0.278154+(-0.192729--0.203643))+0-0-0</f>
        <v>523.73275999999998</v>
      </c>
      <c r="I230" s="3">
        <f>544.1+(359.1-353.8)+(-0.554982+(-0.366282--0.360876))+0-0-0</f>
        <v>548.8396120000001</v>
      </c>
      <c r="J230" s="3">
        <f>541.2+(352.9-357.7)+(-0.828036+(-0.539937--0.547281))+0-0-0</f>
        <v>535.57930800000008</v>
      </c>
      <c r="K230" s="3">
        <f>549.1+(367.1-382)+(0.560082+(0.374442-0.38964))+0-0-0</f>
        <v>534.74488400000007</v>
      </c>
      <c r="L230" s="3">
        <f>523.6+(416-439.6)+(-1.33518+(-1.0608--1.12098))+0-0-0</f>
        <v>498.72500000000002</v>
      </c>
      <c r="M230" s="3">
        <f>489.5+(469.7-436)+(0+(0-0))+0-0-0</f>
        <v>523.20000000000005</v>
      </c>
      <c r="N230" s="3">
        <f>504.8+(535.9-464)+(-0.257448+(-0.273309--0.23664))+0-0-0</f>
        <v>576.40588300000002</v>
      </c>
      <c r="O230" s="3">
        <f>571+(519.1-452.3)+(0.29121+(0.264741-0.230673))+0-0-0</f>
        <v>638.12527799999998</v>
      </c>
      <c r="P230" s="3">
        <f>578.6+(512.9-437.8)+(-0.590172+(-0.523158--0.446556))+0-0-0</f>
        <v>653.03322600000001</v>
      </c>
      <c r="Q230" s="3">
        <f>576.6+(506.3-432.4)+(-1.47033+(-1.291065--1.10262))+0-0-0</f>
        <v>648.84122500000001</v>
      </c>
      <c r="R230" s="3">
        <f>576.1+(497.6-450.6)+(-0.587622+(-0.507552--0.459612))+0-0-0</f>
        <v>622.46443799999997</v>
      </c>
      <c r="S230" s="3">
        <f>573.9+(467.4-439.9)+(-0.878067+(-0.715122--0.673047))+0-0-0</f>
        <v>600.47985799999992</v>
      </c>
      <c r="T230" s="3">
        <f>528.1+(514.3-440)+(-0.538662+(-0.524586--0.4488))+0-0-0</f>
        <v>601.78555199999994</v>
      </c>
      <c r="U230" s="3">
        <f>508.8+(526.8-423.3)+(-0.778464+(-0.806004--0.647649))+0-0-0</f>
        <v>611.36318099999994</v>
      </c>
      <c r="V230" s="3">
        <f>509.7+(548.2-437)+(-0.519894+(-0.559164--0.44574))+0-0-0</f>
        <v>620.26668200000006</v>
      </c>
      <c r="W230" s="3">
        <f>572.4+(610.5-442.7)+(-0.291924+(-0.311355--0.225777))+0-0-0</f>
        <v>739.822498</v>
      </c>
      <c r="X230" s="3">
        <f>610.5+(734.7-460.9)+(-0.62271+(-0.749394--0.470118))+0-0-0</f>
        <v>883.3980140000001</v>
      </c>
      <c r="Y230" s="3">
        <f>600.1+(722.1-450.7)+(-0.612102+(-0.736542--0.459714))+0-0-0</f>
        <v>870.61107000000004</v>
      </c>
      <c r="Z230" s="3">
        <f>597.8+(709.5-464)+(-0.914634+(-1.085535--0.70992))+0-0-0</f>
        <v>842.00975099999994</v>
      </c>
      <c r="AA230" s="3">
        <f>605.6+(643.2-438)+(-0.617712+(-0.656064--0.44676))+0-0-0</f>
        <v>809.97298400000011</v>
      </c>
      <c r="AB230" s="3">
        <f>609.1+(575.7-429.6)+(-0.310641+(-0.293607--0.219096))+0-0-0</f>
        <v>754.8148480000001</v>
      </c>
      <c r="AC230" s="3">
        <f>605.7+(463.3-402.5)+(-1.544535+(-1.181415--1.026375))+0-0-0</f>
        <v>664.80042500000002</v>
      </c>
      <c r="AD230">
        <f t="shared" si="3"/>
        <v>15480.301944999999</v>
      </c>
      <c r="AE230" s="3">
        <f>600+(721.3-470.4)+(0+(0-0))+0-0-0</f>
        <v>850.9</v>
      </c>
    </row>
    <row r="231" spans="1:31" s="2" customFormat="1" x14ac:dyDescent="0.25">
      <c r="A231">
        <v>89</v>
      </c>
      <c r="B231">
        <v>8</v>
      </c>
      <c r="C231">
        <v>15</v>
      </c>
      <c r="D231">
        <v>1</v>
      </c>
      <c r="E231">
        <v>1</v>
      </c>
      <c r="F231" s="3">
        <f>613.6+(397.6-416.6)+(-1.56468+(-1.01388--1.06233))+0-0-0</f>
        <v>593.08377000000007</v>
      </c>
      <c r="G231" s="3">
        <f>611.7+(336.6-391.6)+(-2.495736+(-1.373328--1.597728))+0-0-0</f>
        <v>554.42866400000003</v>
      </c>
      <c r="H231" s="3">
        <f>587.7+(306.4-360.7)+(-1.198908+(-0.625056--0.735828))+0-0-0</f>
        <v>532.31186400000013</v>
      </c>
      <c r="I231" s="3">
        <f>543.6+(302-334.8)+(0.554472+(0.30804-0.341496))+0-0-0</f>
        <v>511.32101599999999</v>
      </c>
      <c r="J231" s="3">
        <f>542.2+(305.2-337)+(-0.276522+(-0.155652--0.17187))+0-0-0</f>
        <v>510.13969600000001</v>
      </c>
      <c r="K231" s="3">
        <f>541.8+(336-360.6)+(-0.828954+(-0.51408--0.551718))+0-0-0</f>
        <v>516.40868399999988</v>
      </c>
      <c r="L231" s="3">
        <f>554.2+(393.8-405.2)+(0+(0-0))+0-0-0</f>
        <v>542.80000000000007</v>
      </c>
      <c r="M231" s="3">
        <f>569.1+(443.7-455.6)+(-0.290241+(-0.226287--0.232356))+0-0-0</f>
        <v>556.91582800000003</v>
      </c>
      <c r="N231" s="3">
        <f>563.5+(528.7-485.6)+(0.287385+(0.269637-0.247656))+0-0-0</f>
        <v>606.90936599999998</v>
      </c>
      <c r="O231" s="3">
        <f>614.4+(531-491)+(0.626688+(0.54162-0.50082))+0-0-0</f>
        <v>655.06748800000003</v>
      </c>
      <c r="P231" s="3">
        <f>627.1+(536.1-487.7)+(0+(0-0))+0-0-0</f>
        <v>675.5</v>
      </c>
      <c r="Q231" s="3">
        <f>624.6+(528-489.4)+(-0.955638+(-0.80784--0.748782))+0-0-0</f>
        <v>662.18530400000009</v>
      </c>
      <c r="R231" s="3">
        <f>612.5+(500.7-483.4)+(-2.186625+(-1.787499--1.725738))+0-0-0</f>
        <v>627.55161399999997</v>
      </c>
      <c r="S231" s="3">
        <f>609.8+(514-485.2)+(-0.310998+(-0.26214--0.247452))+0-0-0</f>
        <v>638.27431399999989</v>
      </c>
      <c r="T231" s="3">
        <f>606.5+(505.5-472.6)+(-1.23726+(-1.03122--0.964104))+0-0-0</f>
        <v>638.09562399999993</v>
      </c>
      <c r="U231" s="3">
        <f>604.6+(478.3-444.2)+(0+(0-0))+0-0-0</f>
        <v>638.70000000000005</v>
      </c>
      <c r="V231" s="3">
        <f>571.3+(543.3-455.1)+(-0.291363+(-0.277083--0.232101))+0-0-0</f>
        <v>659.16365499999984</v>
      </c>
      <c r="W231" s="3">
        <f>615.2+(623-458.4)+(-0.313752+(-0.31773--0.233784))+0-0-0</f>
        <v>779.40230200000008</v>
      </c>
      <c r="X231" s="3">
        <f>615.5+(778.5-473.8)+(-1.569525+(-1.985175--1.20819))+0-0-0</f>
        <v>917.85349000000008</v>
      </c>
      <c r="Y231" s="3">
        <f>651.6+(730.3-469.5)+(-1.993896+(-2.234718--1.43667))+0-0-0</f>
        <v>909.60805600000003</v>
      </c>
      <c r="Z231" s="3">
        <f>653.7+(670.9-456.9)+(-1.000161+(-1.026477--0.699057))+0-0-0</f>
        <v>866.37241900000004</v>
      </c>
      <c r="AA231" s="3">
        <f>654.4+(611.9-438.9)+(-1.001232+(-0.936207--0.671517))+0-0-0</f>
        <v>826.13407799999993</v>
      </c>
      <c r="AB231" s="3">
        <f>654.8+(571.2-457.4)+(-1.001844+(-0.873936--0.699822))+0-0-0</f>
        <v>767.42404199999999</v>
      </c>
      <c r="AC231" s="3">
        <f>654.5+(469.3-440.3)+(-1.33518+(-0.957372--0.898212))+0-0-0</f>
        <v>682.10565999999994</v>
      </c>
      <c r="AD231">
        <f t="shared" si="3"/>
        <v>15867.756934000001</v>
      </c>
      <c r="AE231" s="3">
        <f>636+(711.8-456.9)+(0+(0-0))+0-0-0</f>
        <v>890.9</v>
      </c>
    </row>
    <row r="232" spans="1:31" s="2" customFormat="1" x14ac:dyDescent="0.25">
      <c r="A232">
        <v>89</v>
      </c>
      <c r="B232">
        <v>8</v>
      </c>
      <c r="C232">
        <v>16</v>
      </c>
      <c r="D232">
        <v>2</v>
      </c>
      <c r="E232">
        <v>1</v>
      </c>
      <c r="F232" s="3">
        <f>614.1+(418-417.2)+(-0.626382+(-0.42636--0.425544))+0-0-0</f>
        <v>614.27280200000007</v>
      </c>
      <c r="G232" s="3">
        <f>556.3+(405.6-395.6)+(-0.283713+(-0.206856--0.201756))+0-0-0</f>
        <v>566.01118699999995</v>
      </c>
      <c r="H232" s="3">
        <f>558.3+(355.4-359.7)+(-0.854199+(-0.543762--0.550341))+0-0-0</f>
        <v>553.15237999999999</v>
      </c>
      <c r="I232" s="3">
        <f>559.9+(330.4-344.7)+(-0.571098+(-0.337008--0.351594))+0-0-0</f>
        <v>545.04348799999991</v>
      </c>
      <c r="J232" s="3">
        <f>563+(326.9-344.1)+(0.57426+(0.333438-0.350982))+0-0-0</f>
        <v>546.35671600000001</v>
      </c>
      <c r="K232" s="3">
        <f>595+(340.3-378.6)+(1.51725+(0.867765-0.96543))+0-0-0</f>
        <v>558.11958500000003</v>
      </c>
      <c r="L232" s="3">
        <f>682.9+(320.3-446)+(-1.044837+(-0.490059--0.68238))+0-0-0</f>
        <v>556.34748400000001</v>
      </c>
      <c r="M232" s="3">
        <f>753.9+(303.5-484.4)+(-1.922445+(-0.773925--1.23522))+0-0-0</f>
        <v>571.53885000000002</v>
      </c>
      <c r="N232" s="3">
        <f>751+(321.1-445.1)+(1.14903+(0.491283-0.681003))+0-0-0</f>
        <v>627.95930999999996</v>
      </c>
      <c r="O232" s="3">
        <f>671.2+(420.9-447.4)+(-1.026936+(-0.643977--0.684522))+0-0-0</f>
        <v>643.71360900000002</v>
      </c>
      <c r="P232" s="3">
        <f>675.7+(453.5-451.8)+(-0.344607+(-0.231285--0.230418))+0-0-0</f>
        <v>677.05452600000012</v>
      </c>
      <c r="Q232" s="3">
        <f>755.8+(412.2-444.3)+(-0.385458+(-0.210222--0.226593))+0-0-0</f>
        <v>723.3309129999999</v>
      </c>
      <c r="R232" s="3">
        <f>665+(432.2-434.6)+(-1.3566+(-0.881688--0.886584))+0-0-0</f>
        <v>661.24829599999987</v>
      </c>
      <c r="S232" s="3">
        <f>624.2+(472.7-426.1)+(0+(0-0))+0-0-0</f>
        <v>670.8</v>
      </c>
      <c r="T232" s="3">
        <f>622.9+(457.5-427.9)+(0.635358+(0.46665-0.436458))+0-0-0</f>
        <v>653.16555000000005</v>
      </c>
      <c r="U232" s="3">
        <f>623.9+(442.9-418.6)+(-0.636378+(-0.451758--0.426972))+0-0-0</f>
        <v>647.53883599999995</v>
      </c>
      <c r="V232" s="3">
        <f>691+(414.6-436.1)+(-0.35241+(-0.211446--0.222411))+0-0-0</f>
        <v>669.15855499999998</v>
      </c>
      <c r="W232" s="3">
        <f>743.4+(536.5-475.2)+(-0.379134+(-0.273615--0.242352))+0-0-0</f>
        <v>804.28960300000006</v>
      </c>
      <c r="X232" s="3">
        <f>742.5+(676.3-486.4)+(-0.378675+(-0.344913--0.248064))+0-0-0</f>
        <v>931.92447600000003</v>
      </c>
      <c r="Y232" s="3">
        <f>746.6+(618.7-457.1)+(-1.90383+(-1.577685--1.165605))+0-0-0</f>
        <v>905.88409000000001</v>
      </c>
      <c r="Z232" s="3">
        <f>749.8+(579.2-458.5)+(-1.91199+(-1.47696--1.169175))+0-0-0</f>
        <v>868.28022499999997</v>
      </c>
      <c r="AA232" s="3">
        <f>751.1+(515.3-438.3)+(-0.766122+(-0.525606--0.447066))+0-0-0</f>
        <v>827.25533799999994</v>
      </c>
      <c r="AB232" s="3">
        <f>663.4+(552.6-438.6)+(-0.676668+(-0.563652--0.447372))+0-0-0</f>
        <v>776.60705199999995</v>
      </c>
      <c r="AC232" s="3">
        <f>618.7+(507.5-437)+(-1.577685+(-1.294125--1.11435))+0-0-0</f>
        <v>687.44254000000001</v>
      </c>
      <c r="AD232">
        <f t="shared" si="3"/>
        <v>16286.495410999996</v>
      </c>
      <c r="AE232" s="3">
        <f>744+(687.6-498.1)+(0+(0-0))+0-0-0</f>
        <v>933.5</v>
      </c>
    </row>
    <row r="233" spans="1:31" s="2" customFormat="1" x14ac:dyDescent="0.25">
      <c r="A233">
        <v>89</v>
      </c>
      <c r="B233">
        <v>8</v>
      </c>
      <c r="C233">
        <v>17</v>
      </c>
      <c r="D233">
        <v>3</v>
      </c>
      <c r="E233">
        <v>1</v>
      </c>
      <c r="F233" s="3">
        <f>619.6+(398.7-424.7)+(-0.947988+(-0.610011--0.649791))+0-0-0</f>
        <v>592.69179200000008</v>
      </c>
      <c r="G233" s="3">
        <f>619.2+(329.8-394.7)+(-1.263168+(-0.672792--0.805188))+0-0-0</f>
        <v>553.16922800000009</v>
      </c>
      <c r="H233" s="3">
        <f>620.6+(284.6-356.4)+(-0.949518+(-0.435438--0.545292))+0-0-0</f>
        <v>547.9603360000001</v>
      </c>
      <c r="I233" s="3">
        <f>621.2+(253.3-334.7)+(-0.316812+(-0.129183--0.170697))+0-0-0</f>
        <v>539.52470200000005</v>
      </c>
      <c r="J233" s="3">
        <f>592.7+(267.2-313.7)+(-0.302277+(-0.136272--0.159987))+0-0-0</f>
        <v>545.92143800000008</v>
      </c>
      <c r="K233" s="3">
        <f>572+(309.3-331.4)+(0+(0-0))+0-0-0</f>
        <v>549.90000000000009</v>
      </c>
      <c r="L233" s="3">
        <f>571.5+(395.7-419.1)+(-0.58293+(-0.403614--0.427482))+0-0-0</f>
        <v>547.54093799999987</v>
      </c>
      <c r="M233" s="3">
        <f>583.5+(471.8-505.7)+(-0.892755+(-0.721854--0.773721))+0-0-0</f>
        <v>548.75911200000007</v>
      </c>
      <c r="N233" s="3">
        <f>629.4+(455.5-437.8)+(-0.641988+(-0.46461--0.446556))+0-0-0</f>
        <v>646.43995799999993</v>
      </c>
      <c r="O233" s="3">
        <f>627.8+(487.2-406)+(0+(0-0))+0-0-0</f>
        <v>709</v>
      </c>
      <c r="P233" s="3">
        <f>627.9+(486.6-419.6)+(0+(0-0))+0-0-0</f>
        <v>694.9</v>
      </c>
      <c r="Q233" s="3">
        <f>619.7+(484.1-409.9)+(-0.948141+(-0.740673--0.627147))+0-0-0</f>
        <v>692.83833300000015</v>
      </c>
      <c r="R233" s="3">
        <f>598.8+(330.8-264.8)+(-1.52694+(-0.84354--0.67524))+0-0-0</f>
        <v>663.10475999999994</v>
      </c>
      <c r="S233" s="3">
        <f>588.3+(499.5-438.1)+(0.300033+(0.254745-0.223431))+0-0-0</f>
        <v>650.03134699999998</v>
      </c>
      <c r="T233" s="3">
        <f>586.7+(522.2-429)+(-0.598434+(-0.532644--0.43758))+0-0-0</f>
        <v>679.20650200000011</v>
      </c>
      <c r="U233" s="3">
        <f>552.6+(551.6-447.8)+(0+(0-0))+0-0-0</f>
        <v>656.40000000000009</v>
      </c>
      <c r="V233" s="3">
        <f>549.8+(570.5-444.9)+(-0.280398+(-0.290955--0.226899))+0-0-0</f>
        <v>675.05554599999994</v>
      </c>
      <c r="W233" s="3">
        <f>606.7+(697.7-503.3)+(0+(0-0))+0-0-0</f>
        <v>801.10000000000014</v>
      </c>
      <c r="X233" s="3">
        <f>630.9+(743.2-429.6)+(-0.643518+(-0.758064--0.438192))+0-0-0</f>
        <v>943.53661</v>
      </c>
      <c r="Y233" s="3">
        <f>599.8+(798.3-481.1)+(-1.52949+(-2.035665--1.226805))+0-0-0</f>
        <v>914.6616499999999</v>
      </c>
      <c r="Z233" s="3">
        <f>500.7+(863.6-487.5)+(-0.766071+(-1.321308--0.745875))+0-0-0</f>
        <v>875.45849599999997</v>
      </c>
      <c r="AA233" s="3">
        <f>500.3+(818.4-474.7)+(-0.510306+(-0.834768--0.484194))+0-0-0</f>
        <v>843.13912000000005</v>
      </c>
      <c r="AB233" s="3">
        <f>522.4+(717.2-456)+(-1.33212+(-1.82886--1.1628))+0-0-0</f>
        <v>781.60181999999998</v>
      </c>
      <c r="AC233" s="3">
        <f>531.7+(620.2-467.6)+(-1.084668+(-1.265208--0.953904))+0-0-0</f>
        <v>682.90402800000004</v>
      </c>
      <c r="AD233">
        <f t="shared" si="3"/>
        <v>16334.845716</v>
      </c>
      <c r="AE233" s="3">
        <f>637+(813.6-527.8)+(0+(0-0))+0-0-0</f>
        <v>922.80000000000007</v>
      </c>
    </row>
    <row r="234" spans="1:31" s="2" customFormat="1" x14ac:dyDescent="0.25">
      <c r="A234">
        <v>89</v>
      </c>
      <c r="B234">
        <v>8</v>
      </c>
      <c r="C234">
        <v>18</v>
      </c>
      <c r="D234">
        <v>4</v>
      </c>
      <c r="E234">
        <v>1</v>
      </c>
      <c r="F234" s="3">
        <f>510.8+(505.1-408.4)+(-1.042032+(-1.030404--0.833136))+0-0-0</f>
        <v>606.26070000000004</v>
      </c>
      <c r="G234" s="3">
        <f>409.4+(476-333.6)+(0+(0-0))+0-0-0</f>
        <v>551.79999999999995</v>
      </c>
      <c r="H234" s="3">
        <f>376.1+(479.7-322.5)+(-0.191811+(-0.244647--0.164475))+0-0-0</f>
        <v>533.02801699999998</v>
      </c>
      <c r="I234" s="3">
        <f>353.6+(486-319.4)+(0.360672+(0.49572-0.325788))+0-0-0</f>
        <v>520.73060400000008</v>
      </c>
      <c r="J234" s="3">
        <f>344.5+(490.1-311.9)+(0.175695+(0.249951-0.159069))+0-0-0</f>
        <v>522.96657700000003</v>
      </c>
      <c r="K234" s="3">
        <f>343.7+(532.1-343.5)+(0+(0-0))+0-0-0</f>
        <v>532.29999999999995</v>
      </c>
      <c r="L234" s="3">
        <f>348.7+(575.2-377.5)+(0.177837+(0.293352-0.192525))+0-0-0</f>
        <v>546.67866400000014</v>
      </c>
      <c r="M234" s="3">
        <f>454.5+(552.4-456.7)+(0+(0-0))+0-0-0</f>
        <v>550.20000000000005</v>
      </c>
      <c r="N234" s="3">
        <f>565+(500.9-425.5)+(0.28815+(0.255459-0.217005))+0-0-0</f>
        <v>640.72660399999995</v>
      </c>
      <c r="O234" s="3">
        <f>627.7+(469.8-414.9)+(-0.960381+(-0.718794--0.634797))+0-0-0</f>
        <v>681.55562200000008</v>
      </c>
      <c r="P234" s="3">
        <f>629.8+(472.9-433.5)+(0+(0-0))+0-0-0</f>
        <v>669.19999999999993</v>
      </c>
      <c r="Q234" s="3">
        <f>708.5+(423.7-439.8)+(-1.806675+(-1.080435--1.12149))+0-0-0</f>
        <v>690.63437999999996</v>
      </c>
      <c r="R234" s="3">
        <f>729.6+(386.9-456.1)+(0+(0-0))+0-0-0</f>
        <v>660.4</v>
      </c>
      <c r="S234" s="3">
        <f>662.9+(423.1-444.5)+(0+(0-0))+0-0-0</f>
        <v>641.5</v>
      </c>
      <c r="T234" s="3">
        <f>690+(403.8-433.3)+(0.3519+(0.205938-0.220983))+0-0-0</f>
        <v>660.83685500000001</v>
      </c>
      <c r="U234" s="3">
        <f>692.2+(413.4-461.7)+(0+(0-0))+0-0-0</f>
        <v>643.90000000000009</v>
      </c>
      <c r="V234" s="3">
        <f>724.1+(432.5-479.9)+(0.738582+(0.44115-0.489498))+0-0-0</f>
        <v>677.39023400000008</v>
      </c>
      <c r="W234" s="3">
        <f>758+(528.2-488.8)+(0.38658+(0.269382-0.249288))+0-0-0</f>
        <v>797.80667400000004</v>
      </c>
      <c r="X234" s="3">
        <f>768.9+(626.4-479)+(-1.176417+(-0.958392--0.73287))+0-0-0</f>
        <v>914.89806099999998</v>
      </c>
      <c r="Y234" s="3">
        <f>767.9+(606.6-477.1)+(-1.958145+(-1.54683--1.216605))+0-0-0</f>
        <v>895.11162999999999</v>
      </c>
      <c r="Z234" s="3">
        <f>720.1+(613.9-474.2)+(-0.367251+(-0.313089--0.241842))+0-0-0</f>
        <v>859.36150199999997</v>
      </c>
      <c r="AA234" s="3">
        <f>772.9+(515.5-457.3)+(-0.788358+(-0.52581--0.466446))+0-0-0</f>
        <v>830.25227799999993</v>
      </c>
      <c r="AB234" s="3">
        <f>785.6+(437.7-452.4)+(-2.403936+(-1.339362--1.384344))+0-0-0</f>
        <v>768.54104600000005</v>
      </c>
      <c r="AC234" s="3">
        <f>770.2+(374.4-456.1)+(-1.96401+(-0.95472--1.163055))+0-0-0</f>
        <v>686.744325</v>
      </c>
      <c r="AD234">
        <f t="shared" si="3"/>
        <v>16082.823772999998</v>
      </c>
      <c r="AE234" s="3">
        <f>770+(630-468.8)+(0+(0-0))+0-0-0</f>
        <v>931.2</v>
      </c>
    </row>
    <row r="235" spans="1:31" s="2" customFormat="1" x14ac:dyDescent="0.25">
      <c r="A235">
        <v>89</v>
      </c>
      <c r="B235">
        <v>8</v>
      </c>
      <c r="C235">
        <v>19</v>
      </c>
      <c r="D235">
        <v>5</v>
      </c>
      <c r="E235">
        <v>1</v>
      </c>
      <c r="F235" s="3">
        <f>718.2+(332.2-450.6)+(-1.098846+(-0.508266--0.689418))+0-0-0</f>
        <v>598.88230599999997</v>
      </c>
      <c r="G235" s="3">
        <f>675.6+(308-425.5)+(-0.689112+(-0.31416--0.43401))+0-0-0</f>
        <v>557.53073800000004</v>
      </c>
      <c r="H235" s="3">
        <f>657.2+(295.8-418)+(0+(0-0))+0-0-0</f>
        <v>535</v>
      </c>
      <c r="I235" s="3">
        <f>593.6+(312.4-379.6)+(-1.210944+(-0.637296--0.774384))+0-0-0</f>
        <v>525.326144</v>
      </c>
      <c r="J235" s="3">
        <f>603.2+(301.3-380.5)+(1.53816+(0.768315-0.970275))+0-0-0</f>
        <v>525.33619999999996</v>
      </c>
      <c r="K235" s="3">
        <f>682.1+(298.6-438.5)+(-1.043613+(-0.456858--0.670905))+0-0-0</f>
        <v>541.37043400000005</v>
      </c>
      <c r="L235" s="3">
        <f>693.6+(342.4-472.2)+(-1.76868+(-0.87312--1.20411))+0-0-0</f>
        <v>562.36230999999998</v>
      </c>
      <c r="M235" s="3">
        <f>672.6+(360.8-459.8)+(-0.343026+(-0.184008--0.234498))+0-0-0</f>
        <v>573.30746399999998</v>
      </c>
      <c r="N235" s="3">
        <f>736.1+(406.1-491.3)+(0+(0-0))+0-0-0</f>
        <v>650.90000000000009</v>
      </c>
      <c r="O235" s="3">
        <f>691.9+(477.8-489.3)+(0+(0-0))+0-0-0</f>
        <v>680.4</v>
      </c>
      <c r="P235" s="3">
        <f>734.4+(444.9-482.9)+(0.374544+(0.226899-0.246279))+0-0-0</f>
        <v>696.75516399999992</v>
      </c>
      <c r="Q235" s="3">
        <f>728.9+(449.9-478.8)+(-2.230434+(-1.376694--1.465128))+0-0-0</f>
        <v>697.85799999999995</v>
      </c>
      <c r="R235" s="3">
        <f>733.8+(455.5-522)+(-0.748476+(-0.46461--0.53244))+0-0-0</f>
        <v>666.61935399999993</v>
      </c>
      <c r="S235" s="3">
        <f>735.8+(441.8-515.5)+(0+(0-0))+0-0-0</f>
        <v>662.09999999999991</v>
      </c>
      <c r="T235" s="3">
        <f>730.9+(430.6-488.1)+(-0.745518+(-0.439212--0.497862))+0-0-0</f>
        <v>672.71313199999997</v>
      </c>
      <c r="U235" s="3">
        <f>726.6+(436.3-499.1)+(-1.111698+(-0.667539--0.763623))+0-0-0</f>
        <v>662.78438599999993</v>
      </c>
      <c r="V235" s="3">
        <f>740.1+(469.8-529.9)+(0.377451+(0.239598-0.270249))+0-0-0</f>
        <v>680.34680000000003</v>
      </c>
      <c r="W235" s="3">
        <f>818.5+(546.1-567.2)+(0.417435+(0.278511-0.289272))+0-0-0</f>
        <v>797.80667399999993</v>
      </c>
      <c r="X235" s="3">
        <f>824.3+(684.8-582.9)+(0+(0-0))+0-0-0</f>
        <v>926.19999999999993</v>
      </c>
      <c r="Y235" s="3">
        <f>839.9+(613.3-547.2)+(-2.570094+(-1.876698--1.674432))+0-0-0</f>
        <v>903.22763999999984</v>
      </c>
      <c r="Z235" s="3">
        <f>848.6+(557-537.3)+(-0.865572+(-0.56814--0.548046))+0-0-0</f>
        <v>867.41433400000005</v>
      </c>
      <c r="AA235" s="3">
        <f>808.4+(547.5-525.7)+(0.412284+(0.279225-0.268107))+0-0-0</f>
        <v>830.62340199999994</v>
      </c>
      <c r="AB235" s="3">
        <f>728.9+(568.1-520.6)+(-1.486956+(-1.158924--1.062024))+0-0-0</f>
        <v>774.81614400000001</v>
      </c>
      <c r="AC235" s="3">
        <f>729.9+(428.5-474)+(-1.116747+(-0.655605--0.72522))+0-0-0</f>
        <v>683.35286799999994</v>
      </c>
      <c r="AD235">
        <f t="shared" si="3"/>
        <v>16273.033493999999</v>
      </c>
      <c r="AE235" s="3">
        <f>818+(688.6-593.6)+(0+(0-0))+0-0-0</f>
        <v>913</v>
      </c>
    </row>
    <row r="236" spans="1:31" s="2" customFormat="1" x14ac:dyDescent="0.25">
      <c r="A236">
        <v>89</v>
      </c>
      <c r="B236">
        <v>8</v>
      </c>
      <c r="C236">
        <v>20</v>
      </c>
      <c r="D236">
        <v>6</v>
      </c>
      <c r="E236">
        <v>1</v>
      </c>
      <c r="F236" s="3">
        <f>730.9+(329.2-443)+(-0.745518+(-0.335784--0.45186))+0-0-0</f>
        <v>616.47055799999987</v>
      </c>
      <c r="G236" s="3">
        <f>731.2+(278.4-427.5)+(-1.118736+(-0.425952--0.654075))+0-0-0</f>
        <v>581.20938699999999</v>
      </c>
      <c r="H236" s="3">
        <f>718.2+(247.6-400.3)+(-1.098846+(-0.378828--0.612459))+0-0-0</f>
        <v>564.63478499999997</v>
      </c>
      <c r="I236" s="3">
        <f>641.9+(288.7-378.1)+(0.327369+(0.147237-0.192831))+0-0-0</f>
        <v>552.78177500000004</v>
      </c>
      <c r="J236" s="3">
        <f>615.4+(300-367.1)+(0.941562+(0.459-0.561663))+0-0-0</f>
        <v>549.13889899999992</v>
      </c>
      <c r="K236" s="3">
        <f>615.2+(335.2-386.1)+(0.627504+(0.341904-0.393822))+0-0-0</f>
        <v>564.875586</v>
      </c>
      <c r="L236" s="3">
        <f>661+(384.1-465.2)+(-0.33711+(-0.195891--0.237252))+0-0-0</f>
        <v>579.60425100000009</v>
      </c>
      <c r="M236" s="3">
        <f>714.1+(415.3-532.4)+(1.092573+(0.635409-0.814572))+0-0-0</f>
        <v>597.91341</v>
      </c>
      <c r="N236" s="3">
        <f>739.9+(409.6-486.7)+(1.132047+(0.626688-0.744651))+0-0-0</f>
        <v>663.81408399999998</v>
      </c>
      <c r="O236" s="3">
        <f>729.7+(456.3-464.7)+(0.744294+(0.465426-0.473994))+0-0-0</f>
        <v>722.03572600000007</v>
      </c>
      <c r="P236" s="3">
        <f>862.6+(379.9-490.7)+(1.319778+(0.581247-0.750771))+0-0-0</f>
        <v>752.95025399999997</v>
      </c>
      <c r="Q236" s="3">
        <f>846.7+(357.7-482.2)+(-0.863634+(-0.364854--0.491844))+0-0-0</f>
        <v>721.46335600000009</v>
      </c>
      <c r="R236" s="3">
        <f>821.3+(325.2-475.6)+(-0.837726+(-0.331704--0.485112))+0-0-0</f>
        <v>670.2156819999999</v>
      </c>
      <c r="S236" s="3">
        <f>822.1+(329.4-491.3)+(-1.677084+(-0.671976--1.002252))+0-0-0</f>
        <v>658.85319200000004</v>
      </c>
      <c r="T236" s="3">
        <f>782.5+(333-458.3)+(-1.5963+(-0.67932--0.934932))+0-0-0</f>
        <v>655.85931200000005</v>
      </c>
      <c r="U236" s="3">
        <f>781.9+(332.1-463)+(-1.196307+(-0.508113--0.70839))+0-0-0</f>
        <v>650.00396999999998</v>
      </c>
      <c r="V236" s="3">
        <f>793+(329.9-435.9)+(0.80886+(0.336498-0.444618))+0-0-0</f>
        <v>687.70074</v>
      </c>
      <c r="W236" s="3">
        <f>831+(446.8-458.7)+(-0.42381+(-0.227868--0.233937))+0-0-0</f>
        <v>818.68225900000004</v>
      </c>
      <c r="X236" s="3">
        <f>863.3+(542-466)+(-2.201415+(-1.3821--1.1883))+0-0-0</f>
        <v>936.90478499999995</v>
      </c>
      <c r="Y236" s="3">
        <f>866.3+(487.9-441.7)+(-1.325439+(-0.746487--0.675801))+0-0-0</f>
        <v>911.10387500000002</v>
      </c>
      <c r="Z236" s="3">
        <f>870.6+(481-479.8)+(-0.444006+(-0.24531--0.244698))+0-0-0</f>
        <v>871.35538199999996</v>
      </c>
      <c r="AA236" s="3">
        <f>867.5+(477.2-501.6)+(-1.327275+(-0.730116--0.767448))+0-0-0</f>
        <v>841.81005699999992</v>
      </c>
      <c r="AB236" s="3">
        <f>864.2+(439.3-509.6)+(-1.322226+(-0.672129--0.779688))+0-0-0</f>
        <v>792.68533300000013</v>
      </c>
      <c r="AC236" s="3">
        <f>863.8+(355.2-508.2)+(-1.762152+(-0.724608--1.036728))+0-0-0</f>
        <v>709.34996799999999</v>
      </c>
      <c r="AD236">
        <f t="shared" si="3"/>
        <v>16671.416626000002</v>
      </c>
      <c r="AE236" s="3">
        <f>855+(569.9-510.3)+(0+(0-0))+0-0-0</f>
        <v>914.59999999999991</v>
      </c>
    </row>
    <row r="237" spans="1:31" s="2" customFormat="1" x14ac:dyDescent="0.25">
      <c r="A237">
        <v>89</v>
      </c>
      <c r="B237">
        <v>8</v>
      </c>
      <c r="C237">
        <v>21</v>
      </c>
      <c r="D237">
        <v>7</v>
      </c>
      <c r="E237">
        <v>1</v>
      </c>
      <c r="F237" s="3">
        <f>862.8+(282.7-518.3)+(-1.320084+(-0.432531--0.792999))+0-0-0</f>
        <v>626.24038400000006</v>
      </c>
      <c r="G237" s="3">
        <f>799.1+(252.4-479.5)+(-1.222623+(-0.386172--0.733635))+0-0-0</f>
        <v>571.12483999999995</v>
      </c>
      <c r="H237" s="3">
        <f>748.4+(258.1-454.6)+(-0.763368+(-0.263262--0.463692))+0-0-0</f>
        <v>551.33706199999995</v>
      </c>
      <c r="I237" s="3">
        <f>748.8+(236.8-439.6)+(-1.145664+(-0.362304--0.672588))+0-0-0</f>
        <v>545.16462000000001</v>
      </c>
      <c r="J237" s="3">
        <f>744.3+(231.6-436.5)+(-0.379593+(-0.118116--0.222615))+0-0-0</f>
        <v>539.12490600000001</v>
      </c>
      <c r="K237" s="3">
        <f>742.4+(256-456.8)+(-0.378624+(-0.13056--0.232968))+0-0-0</f>
        <v>541.32378399999993</v>
      </c>
      <c r="L237" s="3">
        <f>666.6+(315-433.9)+(-2.379762+(-1.12455--1.549023))+0-0-0</f>
        <v>545.74471100000005</v>
      </c>
      <c r="M237" s="3">
        <f>631.4+(355.9-454.2)+(0.322014+(0.181509-0.231642))+0-0-0</f>
        <v>533.37188099999992</v>
      </c>
      <c r="N237" s="3">
        <f>764.1+(326.9-520.7)+(-1.169073+(-0.500157--0.796671))+0-0-0</f>
        <v>569.42744099999993</v>
      </c>
      <c r="O237" s="3">
        <f>865.4+(327.1-559.3)+(-0.882708+(-0.333642--0.570486))+0-0-0</f>
        <v>632.55413600000009</v>
      </c>
      <c r="P237" s="3">
        <f>866.4+(334.9-540.6)+(-0.441864+(-0.170799--0.275706))+0-0-0</f>
        <v>660.36304299999995</v>
      </c>
      <c r="Q237" s="3">
        <f>833+(325.5-516.4)+(-0.42483+(-0.166005--0.263364))+0-0-0</f>
        <v>641.77252900000008</v>
      </c>
      <c r="R237" s="3">
        <f>816.8+(307.3-503.1)+(-1.666272+(-0.626892--1.026324))+0-0-0</f>
        <v>619.73316</v>
      </c>
      <c r="S237" s="3">
        <f>761.4+(321-464.1)+(1.553256+(0.65484-0.946764))+0-0-0</f>
        <v>619.56133199999999</v>
      </c>
      <c r="T237" s="3">
        <f>619.9+(433.9-458.4)+(-0.948447+(-0.663867--0.701352))+0-0-0</f>
        <v>594.48903799999994</v>
      </c>
      <c r="U237" s="3">
        <f>660.7+(382-441.6)+(-0.336957+(-0.19482--0.225216))+0-0-0</f>
        <v>600.79343900000003</v>
      </c>
      <c r="V237" s="3">
        <f>652.7+(408-453.1)+(-0.332877+(-0.20808--0.231081))+0-0-0</f>
        <v>607.29012399999999</v>
      </c>
      <c r="W237" s="3">
        <f>822.8+(417.3-482.3)+(-1.258884+(-0.638469--0.737919))+0-0-0</f>
        <v>756.64056599999992</v>
      </c>
      <c r="X237" s="3">
        <f>832+(577.4-531.1)+(-2.97024+(-2.061318--1.896027))+0-0-0</f>
        <v>875.16446899999994</v>
      </c>
      <c r="Y237" s="3">
        <f>855.4+(541.9-525.3)+(-1.308762+(-0.829107--0.803709))+0-0-0</f>
        <v>870.66584</v>
      </c>
      <c r="Z237" s="3">
        <f>875.1+(486.5-512.9)+(-1.785204+(-0.99246--1.046316))+0-0-0</f>
        <v>846.96865200000002</v>
      </c>
      <c r="AA237" s="3">
        <f>884.5+(445.2-519.5)+(-0.90219+(-0.454104--0.52989))+0-0-0</f>
        <v>809.37359600000002</v>
      </c>
      <c r="AB237" s="3">
        <f>908.8+(378.5-524.7)+(-1.390464+(-0.579105--0.802791))+0-0-0</f>
        <v>761.43322199999989</v>
      </c>
      <c r="AC237" s="3">
        <f>908.7+(273.9-505.7)+(-1.390311+(-0.419067--0.773721))+0-0-0</f>
        <v>675.86434300000008</v>
      </c>
      <c r="AD237">
        <f t="shared" si="3"/>
        <v>15595.527117999995</v>
      </c>
      <c r="AE237" s="3">
        <f>838+(576.5-549.4)+(0+(0-0))+0-0-0</f>
        <v>865.1</v>
      </c>
    </row>
    <row r="238" spans="1:31" s="2" customFormat="1" x14ac:dyDescent="0.25">
      <c r="A238">
        <v>89</v>
      </c>
      <c r="B238">
        <v>8</v>
      </c>
      <c r="C238">
        <v>22</v>
      </c>
      <c r="D238">
        <v>1</v>
      </c>
      <c r="E238">
        <v>1</v>
      </c>
      <c r="F238" s="3">
        <f>846.3+(242.4-485.6)+(0.863226+(0.247248-0.495312))+0-0-0</f>
        <v>603.71516199999996</v>
      </c>
      <c r="G238" s="3">
        <f>839.2+(202.9-481.3)+(0+(0-0))+0-0-0</f>
        <v>560.80000000000007</v>
      </c>
      <c r="H238" s="3">
        <f>853+(160.3-469.5)+(0.43503+(0.081753-0.239445))+0-0-0</f>
        <v>544.07733799999994</v>
      </c>
      <c r="I238" s="3">
        <f>868.6+(142.8-469.6)+(0.885972+(0.145656-0.478992))+0-0-0</f>
        <v>542.35263599999996</v>
      </c>
      <c r="J238" s="3">
        <f>867.1+(147.8-472.1)+(0.884442+(0.150756-0.481542))+0-0-0</f>
        <v>543.353656</v>
      </c>
      <c r="K238" s="3">
        <f>866.9+(177.9-488.9)+(-0.442119+(-0.090729--0.249339))+0-0-0</f>
        <v>555.616491</v>
      </c>
      <c r="L238" s="3">
        <f>867+(227.5-522.2)+(-1.32651+(-0.348075--0.798966))+0-0-0</f>
        <v>571.42438099999993</v>
      </c>
      <c r="M238" s="3">
        <f>960.8+(212.9-582.3)+(-0.490008+(-0.108579--0.296973))+0-0-0</f>
        <v>591.098386</v>
      </c>
      <c r="N238" s="3">
        <f>1070.9+(188-583.1)+(-1.092318+(-0.19176--0.594762))+0-0-0</f>
        <v>675.11068400000011</v>
      </c>
      <c r="O238" s="3">
        <f>1143.2+(172.9-588.5)+(-1.749096+(-0.264537--0.900405))+0-0-0</f>
        <v>726.48677199999997</v>
      </c>
      <c r="P238" s="3">
        <f>1178.9+(171.3-606.3)+(0+(0-0))+0-0-0</f>
        <v>743.90000000000009</v>
      </c>
      <c r="Q238" s="3">
        <f>1178.2+(174.5-609.8)+(-0.600882+(-0.088995--0.310998))+0-0-0</f>
        <v>742.52112100000011</v>
      </c>
      <c r="R238" s="3">
        <f>1176.3+(148.7-611.8)+(-2.399652+(-0.303348--1.248072))+0-0-0</f>
        <v>711.74507200000005</v>
      </c>
      <c r="S238" s="3">
        <f>1177.8+(162.4-639)+(-1.201356+(-0.165648--0.65178))+0-0-0</f>
        <v>700.4847759999999</v>
      </c>
      <c r="T238" s="3">
        <f>1167.4+(166.8-629.7)+(-0.595374+(-0.085068--0.321147))+0-0-0</f>
        <v>704.14070500000003</v>
      </c>
      <c r="U238" s="3">
        <f>1159.4+(161-619.2)+(0.591294+(0.08211-0.315792))+0-0-0</f>
        <v>701.55761200000006</v>
      </c>
      <c r="V238" s="3">
        <f>1142.4+(173.8-597.1)+(1.165248+(0.177276-0.609042))+0-0-0</f>
        <v>719.83348200000012</v>
      </c>
      <c r="W238" s="3">
        <f>1144.6+(378.3-672.1)+(0+(0-0))+0-0-0</f>
        <v>850.8</v>
      </c>
      <c r="X238" s="3">
        <f>1158.9+(471.1-671.5)+(-0.591039+(-0.240261--0.342465))+0-0-0</f>
        <v>958.01116500000012</v>
      </c>
      <c r="Y238" s="3">
        <f>1161.9+(345-567)+(-2.370276+(-0.7038--1.15668))+0-0-0</f>
        <v>937.98260400000004</v>
      </c>
      <c r="Z238" s="3">
        <f>1168.4+(293.8-554)+(-0.595884+(-0.149838--0.28254))+0-0-0</f>
        <v>907.73681800000008</v>
      </c>
      <c r="AA238" s="3">
        <f>1167.1+(274.9-569.9)+(-1.785663+(-0.420597--0.871947))+0-0-0</f>
        <v>870.76568699999996</v>
      </c>
      <c r="AB238" s="3">
        <f>1161.4+(276.6-629.6)+(-2.96157+(-0.70533--1.60548))+0-0-0</f>
        <v>806.33858000000009</v>
      </c>
      <c r="AC238" s="3">
        <f>1160.7+(237.5-681.7)+(-2.959785+(-0.605625--1.738335))+0-0-0</f>
        <v>714.67292499999996</v>
      </c>
      <c r="AD238">
        <f t="shared" si="3"/>
        <v>16984.526052999998</v>
      </c>
      <c r="AE238" s="3">
        <f>1170+(488.8-688.2)+(0+(0-0))+0-0-0</f>
        <v>970.59999999999991</v>
      </c>
    </row>
    <row r="239" spans="1:31" s="2" customFormat="1" x14ac:dyDescent="0.25">
      <c r="A239">
        <v>89</v>
      </c>
      <c r="B239">
        <v>8</v>
      </c>
      <c r="C239">
        <v>23</v>
      </c>
      <c r="D239">
        <v>2</v>
      </c>
      <c r="E239">
        <v>1</v>
      </c>
      <c r="F239" s="3">
        <f>1042.4+(221.1-620.8)+(-2.126496+(-0.451044--1.266432))+0-0-0</f>
        <v>641.38889200000017</v>
      </c>
      <c r="G239" s="3">
        <f>863.7+(273.2-551.4)+(-2.202435+(-0.69666--1.40607))+0-0-0</f>
        <v>584.00697500000001</v>
      </c>
      <c r="H239" s="3">
        <f>860.2+(216-511.4)+(-0.438702+(-0.11016--0.260814))+0-0-0</f>
        <v>564.51195200000006</v>
      </c>
      <c r="I239" s="3">
        <f>860+(196.5-494.4)+(-0.8772+(-0.20043--0.504288))+0-0-0</f>
        <v>561.526658</v>
      </c>
      <c r="J239" s="3">
        <f>782.1+(230-455)+(-0.797742+(-0.2346--0.4641))+0-0-0</f>
        <v>556.53175799999997</v>
      </c>
      <c r="K239" s="3">
        <f>746+(282.1-461.7)+(1.14138+(0.431613-0.706401))+0-0-0</f>
        <v>567.26659200000006</v>
      </c>
      <c r="L239" s="3">
        <f>707.5+(360.5-514.4)+(0+(0-0))+0-0-0</f>
        <v>553.6</v>
      </c>
      <c r="M239" s="3">
        <f>847.3+(313.8-566)+(0.432123+(0.160038-0.28866))+0-0-0</f>
        <v>595.40350099999989</v>
      </c>
      <c r="N239" s="3">
        <f>1064.7+(189.2-581.2)+(-2.171988+(-0.385968--1.185648))+0-0-0</f>
        <v>671.32769200000007</v>
      </c>
      <c r="O239" s="3">
        <f>1152.4+(189.1-609.2)+(0+(0-0))+0-0-0</f>
        <v>732.30000000000007</v>
      </c>
      <c r="P239" s="3">
        <f>1160.4+(173.5-599.4)+(-0.591804+(-0.088485--0.305694))+0-0-0</f>
        <v>734.12540500000011</v>
      </c>
      <c r="Q239" s="3">
        <f>1159.9+(179.2-614.5)+(-1.774647+(-0.274176--0.940185))+0-0-0</f>
        <v>723.49136200000009</v>
      </c>
      <c r="R239" s="3">
        <f>1154.4+(158.7-625.1)+(-2.354976+(-0.323748--1.275204))+0-0-0</f>
        <v>686.59648000000004</v>
      </c>
      <c r="S239" s="3">
        <f>1161.1+(150.4-621.7)+(-1.184322+(-0.153408--0.634134))+0-0-0</f>
        <v>689.09640399999989</v>
      </c>
      <c r="T239" s="3">
        <f>1160.4+(147.1-620)+(-0.591804+(-0.075021--0.3162))+0-0-0</f>
        <v>687.14937500000008</v>
      </c>
      <c r="U239" s="3">
        <f>1157.6+(158.8-627.4)+(-1.180752+(-0.161976--0.639948))+0-0-0</f>
        <v>688.29722000000004</v>
      </c>
      <c r="V239" s="3">
        <f>1155.7+(162-606.7)+(0+(0-0))+0-0-0</f>
        <v>711</v>
      </c>
      <c r="W239" s="3">
        <f>1157+(370.8-689.1)+(1.77021+(0.567324-1.054323))+0-0-0</f>
        <v>839.9832110000001</v>
      </c>
      <c r="X239" s="3">
        <f>1210.1+(444.8-711)+(-2.468604+(-0.907392--1.45044))+0-0-0</f>
        <v>941.97444399999983</v>
      </c>
      <c r="Y239" s="3">
        <f>1219.5+(357.4-649.3)+(-3.109725+(-0.91137--1.655715))+0-0-0</f>
        <v>925.23462000000006</v>
      </c>
      <c r="Z239" s="3">
        <f>1217.1+(272-596.8)+(-1.241442+(-0.27744--0.608736))+0-0-0</f>
        <v>891.3898539999999</v>
      </c>
      <c r="AA239" s="3">
        <f>1215.5+(235.8-581.5)+(-1.859715+(-0.360774--0.889695))+0-0-0</f>
        <v>868.46920599999999</v>
      </c>
      <c r="AB239" s="3">
        <f>1124.6+(251.9-566.3)+(-2.294184+(-0.513876--1.155252))+0-0-0</f>
        <v>808.54719199999988</v>
      </c>
      <c r="AC239" s="3">
        <f>1145.3+(179.7-605.4)+(-2.920515+(-0.458235--1.54377))+0-0-0</f>
        <v>717.76501999999994</v>
      </c>
      <c r="AD239">
        <f t="shared" si="3"/>
        <v>16940.983812999999</v>
      </c>
      <c r="AE239" s="3">
        <f>1216+(476.3-731.9)+(0+(0-0))+0-0-0</f>
        <v>960.40000000000009</v>
      </c>
    </row>
    <row r="240" spans="1:31" s="2" customFormat="1" x14ac:dyDescent="0.25">
      <c r="A240">
        <v>89</v>
      </c>
      <c r="B240">
        <v>8</v>
      </c>
      <c r="C240">
        <v>24</v>
      </c>
      <c r="D240">
        <v>3</v>
      </c>
      <c r="E240">
        <v>1</v>
      </c>
      <c r="F240" s="3">
        <f>963+(180.4-514.6)+(-2.45565+(-0.46002--1.31223))+0-0-0</f>
        <v>627.19655999999998</v>
      </c>
      <c r="G240" s="3">
        <f>778.8+(248.1-448.8)+(-1.588752+(-0.506124--0.915552))+0-0-0</f>
        <v>576.92067599999996</v>
      </c>
      <c r="H240" s="3">
        <f>737.8+(220.6-401.5)+(-1.128834+(-0.337518--0.614295))+0-0-0</f>
        <v>556.04794300000003</v>
      </c>
      <c r="I240" s="3">
        <f>705.6+(217.7-371.9)+(0+(0-0))+0-0-0</f>
        <v>551.40000000000009</v>
      </c>
      <c r="J240" s="3">
        <f>650.2+(260.7-358.9)+(-0.331602+(-0.132957--0.183039))+0-0-0</f>
        <v>551.71848</v>
      </c>
      <c r="K240" s="3">
        <f>698.8+(290.3-435.1)+(1.069164+(0.444159-0.665703))+0-0-0</f>
        <v>554.84762000000001</v>
      </c>
      <c r="L240" s="3">
        <f>765.2+(313.5-503.3)+(-0.390252+(-0.159885--0.256683))+0-0-0</f>
        <v>575.10654600000009</v>
      </c>
      <c r="M240" s="3">
        <f>990.3+(170.3-554.4)+(-1.010106+(-0.173706--0.565488))+0-0-0</f>
        <v>605.58167600000002</v>
      </c>
      <c r="N240" s="3">
        <f>1147.6+(33.3-494.4)+(-0.585276+(-0.016983--0.252144))+0-0-0</f>
        <v>686.14988500000004</v>
      </c>
      <c r="O240" s="3">
        <f>1149+(34.3-458.5)+(-0.58599+(-0.017493--0.233835))+0-0-0</f>
        <v>724.43035199999997</v>
      </c>
      <c r="P240" s="3">
        <f>1138.3+(33.3-412.7)+(-1.161066+(-0.033966--0.420954))+0-0-0</f>
        <v>758.12592199999995</v>
      </c>
      <c r="Q240" s="3">
        <f>1141.9+(34.3-420.7)+(-2.329476+(-0.069972--0.858228))+0-0-0</f>
        <v>753.95878000000016</v>
      </c>
      <c r="R240" s="3">
        <f>1141.2+(32.3-455.2)+(-2.91006+(-0.082365--1.16076))+0-0-0</f>
        <v>716.46833500000002</v>
      </c>
      <c r="S240" s="3">
        <f>1141.4+(34.3-471.3)+(-0.582114+(-0.017493--0.240363))+0-0-0</f>
        <v>704.0407560000001</v>
      </c>
      <c r="T240" s="3">
        <f>958.3+(64.7-315.4)+(-0.977466+(-0.065994--0.321708))+0-0-0</f>
        <v>706.87824799999987</v>
      </c>
      <c r="U240" s="3">
        <f>931.5+(77.5-303.7)+(-0.475065+(-0.039525--0.154887))+0-0-0</f>
        <v>704.94029699999999</v>
      </c>
      <c r="V240" s="3">
        <f>1042.3+(42.4-355.7)+(0+(0-0))+0-0-0</f>
        <v>729</v>
      </c>
      <c r="W240" s="3">
        <f>1149.4+(85.2-373.5)+(-1.758582+(-0.130356--0.571455))+0-0-0</f>
        <v>859.7825170000001</v>
      </c>
      <c r="X240" s="3">
        <f>1143.9+(182.1-365.9)+(-2.916945+(-0.464355--0.933045))+0-0-0</f>
        <v>957.65174500000012</v>
      </c>
      <c r="Y240" s="3">
        <f>1144+(130.7-330.4)+(-3.50064+(-0.399942--1.011024))+0-0-0</f>
        <v>941.41044199999999</v>
      </c>
      <c r="Z240" s="3">
        <f>1149.8+(136.7-377.4)+(-1.759194+(-0.209151--0.577422))+0-0-0</f>
        <v>907.70907699999987</v>
      </c>
      <c r="AA240" s="3">
        <f>1147+(129.5-397.6)+(-2.92485+(-0.330225--1.01388))+0-0-0</f>
        <v>876.65880500000003</v>
      </c>
      <c r="AB240" s="3">
        <f>1146.5+(169.7-485.1)+(-2.33886+(-0.346188--0.989604))+0-0-0</f>
        <v>829.40455599999996</v>
      </c>
      <c r="AC240" s="3">
        <f>1081.4+(92.9-438.7)+(-2.75757+(-0.236895--1.118685))+0-0-0</f>
        <v>733.72422000000017</v>
      </c>
      <c r="AD240">
        <f t="shared" si="3"/>
        <v>17189.153437999998</v>
      </c>
      <c r="AE240" s="3">
        <f>1153+(207.4-396.5)+(0+(0-0))+0-0-0</f>
        <v>963.9</v>
      </c>
    </row>
    <row r="241" spans="1:31" s="2" customFormat="1" x14ac:dyDescent="0.25">
      <c r="A241">
        <v>89</v>
      </c>
      <c r="B241">
        <v>8</v>
      </c>
      <c r="C241">
        <v>25</v>
      </c>
      <c r="D241">
        <v>4</v>
      </c>
      <c r="E241">
        <v>1</v>
      </c>
      <c r="F241" s="3">
        <f>926.8+(37.9-295.7)+(-2.36334+(-0.096645--0.754035))+0-0-0</f>
        <v>667.29404999999997</v>
      </c>
      <c r="G241" s="3">
        <f>623.3+(123.6-158.4)+(-0.317883+(-0.063036--0.080784))+0-0-0</f>
        <v>588.19986500000005</v>
      </c>
      <c r="H241" s="3">
        <f>619.9+(102.1-150.7)+(-1.580745+(-0.260355--0.384285))+0-0-0</f>
        <v>569.84318499999995</v>
      </c>
      <c r="I241" s="3">
        <f>619.5+(120.8-180.7)+(0.63189+(0.123216-0.184314))+0-0-0</f>
        <v>560.17079200000001</v>
      </c>
      <c r="J241" s="3">
        <f>619.6+(126.5-186.9)+(0+(0-0))+0-0-0</f>
        <v>559.20000000000005</v>
      </c>
      <c r="K241" s="3">
        <f>619.5+(144.1-188.4)+(-0.315945+(-0.073491--0.096084))+0-0-0</f>
        <v>574.90664800000002</v>
      </c>
      <c r="L241" s="3">
        <f>619.6+(149.1-177.4)+(0.315996+(0.076041-0.090474))+0-0-0</f>
        <v>591.60156299999994</v>
      </c>
      <c r="M241" s="3">
        <f>711.2+(139.1-242)+(0.362712+(0.070941-0.12342))+0-0-0</f>
        <v>608.61023300000011</v>
      </c>
      <c r="N241" s="3">
        <f>1047.6+(44.6-411.5)+(1.602828+(0.068238-0.629595))+0-0-0</f>
        <v>681.74147099999993</v>
      </c>
      <c r="O241" s="3">
        <f>1140.5+(33.3-433.4)+(-1.744965+(-0.050949--0.663102))+0-0-0</f>
        <v>739.26718800000015</v>
      </c>
      <c r="P241" s="3">
        <f>1189.6+(34.3-464.3)+(0+(0-0))+0-0-0</f>
        <v>759.59999999999991</v>
      </c>
      <c r="Q241" s="3">
        <f>1185.3+(33.3-465.2)+(-1.813509+(-0.050949--0.711756))+0-0-0</f>
        <v>752.247298</v>
      </c>
      <c r="R241" s="3">
        <f>1146.1+(35.3-471.6)+(-2.338044+(-0.072012--0.962064))+0-0-0</f>
        <v>708.35200799999996</v>
      </c>
      <c r="S241" s="3">
        <f>1151+(34.3-489)+(-0.58701+(-0.017493--0.24939))+0-0-0</f>
        <v>695.94488699999999</v>
      </c>
      <c r="T241" s="3">
        <f>1135.2+(35.3-473.1)+(-1.736856+(-0.054009--0.723843))+0-0-0</f>
        <v>696.33297800000014</v>
      </c>
      <c r="U241" s="3">
        <f>1106.7+(35.3-444.8)+(-2.822085+(-0.090015--1.13424))+0-0-0</f>
        <v>695.42214000000001</v>
      </c>
      <c r="V241" s="3">
        <f>1106.1+(37.3-420.3)+(-2.256444+(-0.076092--0.857412))+0-0-0</f>
        <v>721.62487599999986</v>
      </c>
      <c r="W241" s="3">
        <f>1183.3+(37.3-404.8)+(0+(0-0))+0-0-0</f>
        <v>815.8</v>
      </c>
      <c r="X241" s="3">
        <f>1199.8+(209.7-521.5)+(-2.447592+(-0.427788--1.06386))+0-0-0</f>
        <v>886.18848000000003</v>
      </c>
      <c r="Y241" s="3">
        <f>1098.5+(297.5-501.7)+(-3.36141+(-0.91035--1.535202))+0-0-0</f>
        <v>891.56344200000001</v>
      </c>
      <c r="Z241" s="3">
        <f>972.7+(364.7-472.3)+(-0.992154+(-0.371994--0.481746))+0-0-0</f>
        <v>864.21759800000007</v>
      </c>
      <c r="AA241" s="3">
        <f>941.8+(346.5-447.6)+(-1.440954+(-0.530145--0.684828))+0-0-0</f>
        <v>839.41372899999988</v>
      </c>
      <c r="AB241" s="3">
        <f>923.1+(309.2-425.1)+(-2.353905+(-0.78846--1.084005))+0-0-0</f>
        <v>805.14164000000005</v>
      </c>
      <c r="AC241" s="3">
        <f>737.7+(378.1-415.8)+(0+(0-0))+0-0-0</f>
        <v>700</v>
      </c>
      <c r="AD241">
        <f t="shared" si="3"/>
        <v>16972.684071000003</v>
      </c>
      <c r="AE241" s="3">
        <f>1220+(97.5-385)+(0+(0-0))+0-0-0</f>
        <v>932.5</v>
      </c>
    </row>
    <row r="242" spans="1:31" s="2" customFormat="1" x14ac:dyDescent="0.25">
      <c r="A242">
        <v>89</v>
      </c>
      <c r="B242">
        <v>8</v>
      </c>
      <c r="C242">
        <v>26</v>
      </c>
      <c r="D242">
        <v>5</v>
      </c>
      <c r="E242">
        <v>3</v>
      </c>
      <c r="F242" s="3">
        <f>644.8+(372.8-377.2)+(-1.315392+(-0.760512--0.769488))+0-0-0</f>
        <v>639.09358399999996</v>
      </c>
      <c r="G242" s="3">
        <f>599.6+(321.9-335.6)+(0+(0-0))+0-0-0</f>
        <v>585.9</v>
      </c>
      <c r="H242" s="3">
        <f>574.8+(302.9-319.8)+(-1.46574+(-0.772395--0.81549))+0-0-0</f>
        <v>556.47735499999987</v>
      </c>
      <c r="I242" s="3">
        <f>541.8+(316.6-316)+(-1.105272+(-0.645864--0.64464))+0-0-0</f>
        <v>541.29350399999998</v>
      </c>
      <c r="J242" s="3">
        <f>552.6+(279.2-302.2)+(0.845478+(0.427176-0.462366))+0-0-0</f>
        <v>530.41028800000004</v>
      </c>
      <c r="K242" s="3">
        <f>595.9+(269.8-331.6)+(-0.303909+(-0.137598--0.169116))+0-0-0</f>
        <v>533.82760899999994</v>
      </c>
      <c r="L242" s="3">
        <f>594.1+(332-384.2)+(0.302991+(0.16932-0.195942))+0-0-0</f>
        <v>542.17636900000014</v>
      </c>
      <c r="M242" s="3">
        <f>553.6+(404.5-432.6)+(-0.564672+(-0.41259--0.441252))+0-0-0</f>
        <v>524.96398999999997</v>
      </c>
      <c r="N242" s="3">
        <f>698.8+(356-476.2)+(0+(0-0))+0-0-0</f>
        <v>578.59999999999991</v>
      </c>
      <c r="O242" s="3">
        <f>768.6+(335-487.6)+(-1.567944+(-0.6834--0.994704))+0-0-0</f>
        <v>614.74336000000005</v>
      </c>
      <c r="P242" s="3">
        <f>767.2+(345.2-468.6)+(-1.173816+(-0.528156--0.716958))+0-0-0</f>
        <v>642.81498599999998</v>
      </c>
      <c r="Q242" s="3">
        <f>768.5+(355.8-543.5)+(-1.56774+(-0.725832--1.10874))+0-0-0</f>
        <v>579.61516799999993</v>
      </c>
      <c r="R242" s="3">
        <f>768.7+(369.1-549.1)+(-0.784074+(-0.376482--0.560082))+0-0-0</f>
        <v>588.09952600000008</v>
      </c>
      <c r="S242" s="3">
        <f>772.8+(317.8-468.2)+(-0.788256+(-0.324156--0.477564))+0-0-0</f>
        <v>621.76515199999994</v>
      </c>
      <c r="T242" s="3">
        <f>788.8+(277-484.6)+(-0.402288+(-0.14127--0.247146))+0-0-0</f>
        <v>580.9035879999999</v>
      </c>
      <c r="U242" s="3">
        <f>818.6+(234.4-454.4)+(-0.417486+(-0.119544--0.231744))+0-0-0</f>
        <v>598.294714</v>
      </c>
      <c r="V242" s="3">
        <f>818.3+(228.8-439.3)+(-1.669332+(-0.466752--0.896172))+0-0-0</f>
        <v>606.56008799999995</v>
      </c>
      <c r="W242" s="3">
        <f>818.3+(392.9-444.9)+(-1.251999+(-0.601137--0.680697))+0-0-0</f>
        <v>765.1275609999999</v>
      </c>
      <c r="X242" s="3">
        <f>820.2+(477.9-456.9)+(-2.09151+(-1.218645--1.165095))+0-0-0</f>
        <v>839.0549400000001</v>
      </c>
      <c r="Y242" s="3">
        <f>888.3+(401.1-455.2)+(-0.906066+(-0.409122--0.464304))+0-0-0</f>
        <v>833.34911600000009</v>
      </c>
      <c r="Z242" s="3">
        <f>910.8+(351-445.2)+(-0.929016+(-0.35802--0.454104))+0-0-0</f>
        <v>815.76706799999988</v>
      </c>
      <c r="AA242" s="3">
        <f>915.7+(323.6-435.8)+(-1.868028+(-0.660144--0.889032))+0-0-0</f>
        <v>801.86086</v>
      </c>
      <c r="AB242" s="3">
        <f>936.5+(261.2-441.2)+(-2.388075+(-0.66606--1.12506))+0-0-0</f>
        <v>754.57092499999999</v>
      </c>
      <c r="AC242" s="3">
        <f>864.6+(257.9-397.2)+(-1.763784+(-0.526116--0.810288))+0-0-0</f>
        <v>723.82038799999998</v>
      </c>
      <c r="AD242">
        <f t="shared" si="3"/>
        <v>15399.090139</v>
      </c>
      <c r="AE242" s="3">
        <f>821+(474.2-450.1)+(0+(0-0))+0-0-0</f>
        <v>845.09999999999991</v>
      </c>
    </row>
    <row r="243" spans="1:31" s="2" customFormat="1" x14ac:dyDescent="0.25">
      <c r="A243">
        <v>89</v>
      </c>
      <c r="B243">
        <v>8</v>
      </c>
      <c r="C243">
        <v>27</v>
      </c>
      <c r="D243">
        <v>6</v>
      </c>
      <c r="E243">
        <v>6</v>
      </c>
      <c r="F243" s="3">
        <f>785.6+(222.6-369.2)+(-2.00328+(-0.56763--0.94146))+0-0-0</f>
        <v>637.37054999999998</v>
      </c>
      <c r="G243" s="3">
        <f>642.3+(273.6-337.1)+(-1.310292+(-0.558144--0.687684))+0-0-0</f>
        <v>577.61924799999997</v>
      </c>
      <c r="H243" s="3">
        <f>626.5+(243.2-316.2)+(-1.27806+(-0.496128--0.645048))+0-0-0</f>
        <v>552.37085999999999</v>
      </c>
      <c r="I243" s="3">
        <f>628.7+(215.7-307.2)+(0.641274+(0.220014-0.313344))+0-0-0</f>
        <v>537.74794400000007</v>
      </c>
      <c r="J243" s="3">
        <f>664.5+(188-314.3)+(-1.016685+(-0.28764--0.480879))+0-0-0</f>
        <v>537.37655400000006</v>
      </c>
      <c r="K243" s="3">
        <f>689.9+(189.5-340.4)+(-0.351849+(-0.096645--0.173604))+0-0-0</f>
        <v>538.72510999999997</v>
      </c>
      <c r="L243" s="3">
        <f>686.2+(237.7-377.3)+(-2.099772+(-0.727362--1.154538))+0-0-0</f>
        <v>544.92740400000002</v>
      </c>
      <c r="M243" s="3">
        <f>755.3+(210.8-416.1)+(0+(0-0))+0-0-0</f>
        <v>550</v>
      </c>
      <c r="N243" s="3">
        <f>823.2+(244.9-448.1)+(-0.839664+(-0.249798--0.457062))+0-0-0</f>
        <v>619.36760000000004</v>
      </c>
      <c r="O243" s="3">
        <f>824.4+(329.6-466.2)+(0.840888+(0.336192-0.475524))+0-0-0</f>
        <v>688.50155599999994</v>
      </c>
      <c r="P243" s="3">
        <f>821.3+(361.8-465.6)+(-1.675452+(-0.738072--0.949824))+0-0-0</f>
        <v>716.03629999999998</v>
      </c>
      <c r="Q243" s="3">
        <f>820+(353.4-451.4)+(-1.6728+(-0.720936--0.920856))+0-0-0</f>
        <v>720.52711999999997</v>
      </c>
      <c r="R243" s="3">
        <f>818.2+(334.2-492.9)+(-1.251846+(-0.511326--0.754137))+0-0-0</f>
        <v>658.49096499999996</v>
      </c>
      <c r="S243" s="3">
        <f>806.3+(337.6-468.7)+(-1.233639+(-0.516528--0.717111))+0-0-0</f>
        <v>674.16694400000006</v>
      </c>
      <c r="T243" s="3">
        <f>760+(374.8-483.4)+(0.3876+(0.191148-0.246534))+0-0-0</f>
        <v>651.73221400000011</v>
      </c>
      <c r="U243" s="3">
        <f>757.8+(377.9-456.6)+(0.386478+(0.192729-0.232866))+0-0-0</f>
        <v>679.44634099999996</v>
      </c>
      <c r="V243" s="3">
        <f>758.2+(379.1-434.5)+(0+(0-0))+0-0-0</f>
        <v>702.80000000000007</v>
      </c>
      <c r="W243" s="3">
        <f>803.9+(467.7-462.8)+(0+(0-0))+0-0-0</f>
        <v>808.8</v>
      </c>
      <c r="X243" s="3">
        <f>822.6+(509.7-404)+(-1.258578+(-0.779841--0.61812))+0-0-0</f>
        <v>926.87970099999995</v>
      </c>
      <c r="Y243" s="3">
        <f>818.9+(467.5-432)+(-0.835278+(-0.47685--0.44064))+0-0-0</f>
        <v>853.52851199999998</v>
      </c>
      <c r="Z243" s="3">
        <f>808.9+(465.3-439.8)+(-0.412539+(-0.237303--0.224298))+0-0-0</f>
        <v>833.97445600000003</v>
      </c>
      <c r="AA243" s="3">
        <f>833+(420.6-440.1)+(-0.42483+(-0.214506--0.224451))+0-0-0</f>
        <v>813.08511499999997</v>
      </c>
      <c r="AB243" s="3">
        <f>832.1+(365.8-419)+(-1.273113+(-0.559674--0.64107))+0-0-0</f>
        <v>777.70828300000005</v>
      </c>
      <c r="AC243" s="3">
        <f>797.8+(309.7-379.5)+(-0.813756+(-0.315894--0.38709))+0-0-0</f>
        <v>727.25743999999997</v>
      </c>
      <c r="AD243">
        <f t="shared" si="3"/>
        <v>16328.440216999998</v>
      </c>
      <c r="AE243" s="3">
        <f>831+(545-458.1)+(0+(0-0))+0-0-0</f>
        <v>917.9</v>
      </c>
    </row>
    <row r="244" spans="1:31" s="2" customFormat="1" x14ac:dyDescent="0.25">
      <c r="A244">
        <v>89</v>
      </c>
      <c r="B244">
        <v>8</v>
      </c>
      <c r="C244">
        <v>28</v>
      </c>
      <c r="D244">
        <v>7</v>
      </c>
      <c r="E244">
        <v>1</v>
      </c>
      <c r="F244" s="3">
        <f>700.2+(293.9-347.9)+(-1.428408+(-0.599556--0.709716))+0-0-0</f>
        <v>644.88175200000001</v>
      </c>
      <c r="G244" s="3">
        <f>695.1+(210.7-323)+(-1.772505+(-0.537285--0.82365))+0-0-0</f>
        <v>581.31385999999998</v>
      </c>
      <c r="H244" s="3">
        <f>675.3+(194.6-313.7)+(-1.722015+(-0.49623--0.799935))+0-0-0</f>
        <v>554.78168999999991</v>
      </c>
      <c r="I244" s="3">
        <f>635.6+(212.4-299.5)+(-0.324156+(-0.108324--0.152745))+0-0-0</f>
        <v>548.22026500000004</v>
      </c>
      <c r="J244" s="3">
        <f>637.9+(193.3-298.4)+(0.650658+(0.197166-0.304368))+0-0-0</f>
        <v>533.34345599999995</v>
      </c>
      <c r="K244" s="3">
        <f>669+(184.7-327.4)+(-0.34119+(-0.094197--0.166974))+0-0-0</f>
        <v>526.03158699999994</v>
      </c>
      <c r="L244" s="3">
        <f>675.3+(219-362.9)+(-1.377612+(-0.44676--0.740316))+0-0-0</f>
        <v>530.31594399999994</v>
      </c>
      <c r="M244" s="3">
        <f>644.1+(278.7-409)+(0.985473+(0.426411-0.62577))+0-0-0</f>
        <v>514.58611399999995</v>
      </c>
      <c r="N244" s="3">
        <f>761.6+(259.9-448.4)+(0+(0-0))+0-0-0</f>
        <v>573.1</v>
      </c>
      <c r="O244" s="3">
        <f>818.3+(300.6-495.8)+(-0.417333+(-0.153306--0.252858))+0-0-0</f>
        <v>622.78221899999994</v>
      </c>
      <c r="P244" s="3">
        <f>818.6+(294.6-469)+(0.417486+(0.150246-0.23919))+0-0-0</f>
        <v>644.52854200000002</v>
      </c>
      <c r="Q244" s="3">
        <f>816.3+(318.8-486.6)+(0.416313+(0.162588-0.248166))+0-0-0</f>
        <v>648.830735</v>
      </c>
      <c r="R244" s="3">
        <f>813.3+(298.9-486.7)+(-2.073915+(-0.762195--1.241085))+0-0-0</f>
        <v>623.90497500000004</v>
      </c>
      <c r="S244" s="3">
        <f>815+(275.1-485.2)+(-1.24695+(-0.420903--0.742356))+0-0-0</f>
        <v>603.97450300000014</v>
      </c>
      <c r="T244" s="3">
        <f>813.1+(284.5-482.8)+(0.414681+(0.145095-0.246228))+0-0-0</f>
        <v>615.11354799999992</v>
      </c>
      <c r="U244" s="3">
        <f>811.7+(280.4-475.1)+(-1.655868+(-0.572016--0.969204))+0-0-0</f>
        <v>615.74131999999997</v>
      </c>
      <c r="V244" s="3">
        <f>819.1+(278.5-463.7)+(0.417741+(0.142035-0.236487))+0-0-0</f>
        <v>634.22328900000014</v>
      </c>
      <c r="W244" s="3">
        <f>927.4+(302.6-448.4)+(0+(0-0))+0-0-0</f>
        <v>781.6</v>
      </c>
      <c r="X244" s="3">
        <f>944.3+(419.1-489.1)+(-1.926372+(-0.854964--0.997764))+0-0-0</f>
        <v>872.51642799999991</v>
      </c>
      <c r="Y244" s="3">
        <f>948.1+(425.8-506.7)+(-0.967062+(-0.434316--0.516834))+0-0-0</f>
        <v>866.31545600000004</v>
      </c>
      <c r="Z244" s="3">
        <f>947.7+(373.7-483.8)+(-0.966654+(-0.381174--0.493476))+0-0-0</f>
        <v>836.74564800000007</v>
      </c>
      <c r="AA244" s="3">
        <f>949.3+(353-494.5)+(-0.484143+(-0.18003--0.252195))+0-0-0</f>
        <v>807.38802199999998</v>
      </c>
      <c r="AB244" s="3">
        <f>894.7+(336.8-472.1)+(-1.368891+(-0.515304--0.722313))+0-0-0</f>
        <v>758.2381180000001</v>
      </c>
      <c r="AC244" s="3">
        <f>788.3+(355.1-459.6)+(0+(0-0))+0-0-0</f>
        <v>683.8</v>
      </c>
      <c r="AD244">
        <f t="shared" si="3"/>
        <v>15622.277470999996</v>
      </c>
      <c r="AE244" s="3">
        <f>951+(438.3-512.3)+(0+(0-0))+0-0-0</f>
        <v>877</v>
      </c>
    </row>
    <row r="245" spans="1:31" s="2" customFormat="1" x14ac:dyDescent="0.25">
      <c r="A245">
        <v>89</v>
      </c>
      <c r="B245">
        <v>8</v>
      </c>
      <c r="C245">
        <v>29</v>
      </c>
      <c r="D245">
        <v>1</v>
      </c>
      <c r="E245">
        <v>1</v>
      </c>
      <c r="F245" s="3">
        <f>703.4+(290-394)+(-1.434936+(-0.5916--0.80376))+0-0-0</f>
        <v>598.17722400000002</v>
      </c>
      <c r="G245" s="3">
        <f>555.8+(335.1-346.4)+(-0.850374+(-0.512703--0.529992))+0-0-0</f>
        <v>543.66691500000002</v>
      </c>
      <c r="H245" s="3">
        <f>518.8+(341-328.3)+(-0.793764+(-0.52173--0.502299))+0-0-0</f>
        <v>530.68680500000005</v>
      </c>
      <c r="I245" s="3">
        <f>471.1+(370.7-316.5)+(0.720783+(0.567171-0.484245))+0-0-0</f>
        <v>526.10370899999998</v>
      </c>
      <c r="J245" s="3">
        <f>505.6+(335-311.7)+(-0.773568+(-0.51255--0.476901))+0-0-0</f>
        <v>528.0907830000001</v>
      </c>
      <c r="K245" s="3">
        <f>530.4+(337.2-323.9)+(-0.270504+(-0.171972--0.165189))+0-0-0</f>
        <v>543.42271300000004</v>
      </c>
      <c r="L245" s="3">
        <f>513.7+(421.3-365.3)+(-1.047948+(-0.859452--0.745212))+0-0-0</f>
        <v>568.53781200000003</v>
      </c>
      <c r="M245" s="3">
        <f>752.4+(258-403.6)+(1.151172+(0.39474-0.617508))+0-0-0</f>
        <v>607.72840399999995</v>
      </c>
      <c r="N245" s="3">
        <f>832.6+(300.6-473.7)+(0.424626+(0.153306-0.241587))+0-0-0</f>
        <v>659.83634500000005</v>
      </c>
      <c r="O245" s="3">
        <f>827.5+(418-528.9)+(-0.84405+(-0.42636--0.539478))+0-0-0</f>
        <v>715.86906799999997</v>
      </c>
      <c r="P245" s="3">
        <f>826.9+(456.6-557)+(0+(0-0))+0-0-0</f>
        <v>726.5</v>
      </c>
      <c r="Q245" s="3">
        <f>827.5+(458.9-553.2)+(0+(0-0))+0-0-0</f>
        <v>733.19999999999993</v>
      </c>
      <c r="R245" s="3">
        <f>825.9+(431-568.7)+(-1.684836+(-0.87924--1.160148))+0-0-0</f>
        <v>686.79607199999998</v>
      </c>
      <c r="S245" s="3">
        <f>828.2+(425.6-576.3)+(1.267146+(0.651168-0.881739))+0-0-0</f>
        <v>678.53657500000008</v>
      </c>
      <c r="T245" s="3">
        <f>827.5+(406.2-559)+(0+(0-0))+0-0-0</f>
        <v>674.7</v>
      </c>
      <c r="U245" s="3">
        <f>822.5+(402.4-541.2)+(-0.83895+(-0.410448--0.552024))+0-0-0</f>
        <v>683.00262599999996</v>
      </c>
      <c r="V245" s="3">
        <f>827.9+(407.7-522)+(0.422229+(0.207927-0.26622))+0-0-0</f>
        <v>713.96393599999988</v>
      </c>
      <c r="W245" s="3">
        <f>874.9+(532.5-552.5)+(-0.892398+(-0.54315--0.56355))+0-0-0</f>
        <v>854.02800200000001</v>
      </c>
      <c r="X245" s="3">
        <f>953.7+(537.8-534.1)+(-1.459161+(-0.822834--0.817173))+0-0-0</f>
        <v>955.93517799999995</v>
      </c>
      <c r="Y245" s="3">
        <f>938.4+(557.7-558.1)+(-0.478584+(-0.284427--0.284631))+0-0-0</f>
        <v>937.52161999999998</v>
      </c>
      <c r="Z245" s="3">
        <f>889.4+(614.6-605.9)+(-0.453594+(-0.313446--0.309009))+0-0-0</f>
        <v>897.64196900000002</v>
      </c>
      <c r="AA245" s="3">
        <f>889.3+(569.3-592.7)+(-0.907086+(-0.580686--0.604554))+0-0-0</f>
        <v>865.01678199999981</v>
      </c>
      <c r="AB245" s="3">
        <f>888.6+(476.5-559.9)+(-0.453186+(-0.243015--0.285549))+0-0-0</f>
        <v>804.78934800000002</v>
      </c>
      <c r="AC245" s="3">
        <f>775.2+(470.1-526.8)+(-1.581408+(-0.959004--1.074672))+0-0-0</f>
        <v>717.03426000000013</v>
      </c>
      <c r="AD245">
        <f t="shared" si="3"/>
        <v>16750.786146000002</v>
      </c>
      <c r="AE245" s="3">
        <f>955+(566.6-580.1)+(0+(0-0))+0-0-0</f>
        <v>941.5</v>
      </c>
    </row>
    <row r="246" spans="1:31" s="2" customFormat="1" x14ac:dyDescent="0.25">
      <c r="A246">
        <v>89</v>
      </c>
      <c r="B246">
        <v>8</v>
      </c>
      <c r="C246">
        <v>30</v>
      </c>
      <c r="D246">
        <v>2</v>
      </c>
      <c r="E246">
        <v>1</v>
      </c>
      <c r="F246" s="3">
        <f>556+(552.8-477.4)+(-0.28356+(-0.281928--0.243474))+0-0-0</f>
        <v>631.07798600000001</v>
      </c>
      <c r="G246" s="3">
        <f>410.4+(592.3-440.6)+(-0.627912+(-0.906219--0.674118))+0-0-0</f>
        <v>561.23998699999993</v>
      </c>
      <c r="H246" s="3">
        <f>399.9+(532.9-381.9)+(-0.203949+(-0.271779--0.194769))+0-0-0</f>
        <v>550.61904099999992</v>
      </c>
      <c r="I246" s="3">
        <f>398.4+(495.8-349.8)+(-0.203184+(-0.252858--0.178398))+0-0-0</f>
        <v>544.12235599999997</v>
      </c>
      <c r="J246" s="3">
        <f>398.6+(479.1-341)+(0.813144+(0.977364-0.69564))+0-0-0</f>
        <v>537.79486800000006</v>
      </c>
      <c r="K246" s="3">
        <f>399+(499.5-352.5)+(0.20349+(0.254745-0.179775))+0-0-0</f>
        <v>546.27846</v>
      </c>
      <c r="L246" s="3">
        <f>493.2+(515.2-438.3)+(0+(0-0))+0-0-0</f>
        <v>570.1</v>
      </c>
      <c r="M246" s="3">
        <f>712.9+(422.6-530)+(-1.090737+(-0.646578--0.8109))+0-0-0</f>
        <v>604.57358499999998</v>
      </c>
      <c r="N246" s="3">
        <f>805.2+(353.6-503)+(0.821304+(0.360672-0.51306))+0-0-0</f>
        <v>656.46891600000004</v>
      </c>
      <c r="O246" s="3">
        <f>828.1+(356.6-473.8)+(-1.266993+(-0.545598--0.724914))+0-0-0</f>
        <v>709.81232300000011</v>
      </c>
      <c r="P246" s="3">
        <f>827.8+(425.3-526.5)+(0.422178+(0.216903-0.268515))+0-0-0</f>
        <v>726.97056599999996</v>
      </c>
      <c r="Q246" s="3">
        <f>799.7+(411.4-480.7)+(-0.815694+(-0.419628--0.490314))+0-0-0</f>
        <v>729.65499200000011</v>
      </c>
      <c r="R246" s="3">
        <f>817.6+(313.2-425.4)+(-2.08488+(-0.79866--1.08477))+0-0-0</f>
        <v>703.6012300000001</v>
      </c>
      <c r="S246" s="3">
        <f>825+(253-398)+(-0.42075+(-0.12903--0.20298))+0-0-0</f>
        <v>679.65319999999997</v>
      </c>
      <c r="T246" s="3">
        <f>825.5+(268.9-409.4)+(-1.263015+(-0.411417--0.626382))+0-0-0</f>
        <v>683.95195000000001</v>
      </c>
      <c r="U246" s="3">
        <f>828+(266.9-407.4)+(0.42228+(0.136119-0.207774))+0-0-0</f>
        <v>687.85062500000004</v>
      </c>
      <c r="V246" s="3">
        <f>827.3+(306.7-408.2)+(-0.421923+(-0.156417--0.208182))+0-0-0</f>
        <v>725.42984200000001</v>
      </c>
      <c r="W246" s="3">
        <f>874.2+(543-553.5)+(0+(0-0))+0-0-0</f>
        <v>863.7</v>
      </c>
      <c r="X246" s="3">
        <f>938.2+(587.9-571.6)+(-1.913928+(-1.199316--1.166064))+0-0-0</f>
        <v>952.55282</v>
      </c>
      <c r="Y246" s="3">
        <f>928.5+(536.7-532.1)+(-1.89414+(-1.094868--1.085484))+0-0-0</f>
        <v>931.19647600000008</v>
      </c>
      <c r="Z246" s="3">
        <f>884.1+(522.8-507.8)+(-2.254455+(-1.33314--1.29489))+0-0-0</f>
        <v>896.80729499999995</v>
      </c>
      <c r="AA246" s="3">
        <f>882.6+(494-523)+(-1.350378+(-0.75582--0.80019))+0-0-0</f>
        <v>852.293992</v>
      </c>
      <c r="AB246" s="3">
        <f>874.3+(393.7-468.8)+(-1.337679+(-0.602361--0.717264))+0-0-0</f>
        <v>797.97722399999998</v>
      </c>
      <c r="AC246" s="3">
        <f>816.9+(376.7-489.5)+(-1.249857+(-0.576351--0.748935))+0-0-0</f>
        <v>703.02272699999992</v>
      </c>
      <c r="AD246">
        <f t="shared" si="3"/>
        <v>16846.750461000003</v>
      </c>
      <c r="AE246" s="3">
        <f>939+(594.4-583.7)+(0+(0-0))+0-0-0</f>
        <v>949.69999999999993</v>
      </c>
    </row>
    <row r="247" spans="1:31" s="2" customFormat="1" x14ac:dyDescent="0.25">
      <c r="A247">
        <v>89</v>
      </c>
      <c r="B247">
        <v>9</v>
      </c>
      <c r="C247">
        <v>1</v>
      </c>
      <c r="D247">
        <v>3</v>
      </c>
      <c r="E247">
        <v>1</v>
      </c>
      <c r="F247" s="3">
        <f>627.7+(454.3-473.6)+(-1.600635+(-1.158465--1.20768))+0-0-0</f>
        <v>606.84858000000008</v>
      </c>
      <c r="G247" s="3">
        <f>517.2+(470.3-418.9)+(-0.263772+(-0.239853--0.213639))+0-0-0</f>
        <v>568.31001400000014</v>
      </c>
      <c r="H247" s="3">
        <f>582.1+(354.6-383.9)+(-0.890613+(-0.542538--0.587367))+0-0-0</f>
        <v>551.95421600000009</v>
      </c>
      <c r="I247" s="3">
        <f>600.6+(337.1-395.1)+(-0.306306+(-0.171921--0.201501))+0-0-0</f>
        <v>542.32327399999997</v>
      </c>
      <c r="J247" s="3">
        <f>604+(329.4-389.6)+(0.30804+(0.167994-0.198696))+0-0-0</f>
        <v>544.07733799999994</v>
      </c>
      <c r="K247" s="3">
        <f>603.5+(326.1-368.1)+(-0.923355+(-0.498933--0.563193))+0-0-0</f>
        <v>560.64090499999998</v>
      </c>
      <c r="L247" s="3">
        <f>605.1+(379.9-408.9)+(0+(0-0))+0-0-0</f>
        <v>576.1</v>
      </c>
      <c r="M247" s="3">
        <f>694.3+(374.7-476.4)+(-0.354093+(-0.191097--0.242964))+0-0-0</f>
        <v>592.29777399999989</v>
      </c>
      <c r="N247" s="3">
        <f>818+(331.3-487.2)+(-1.66872+(-0.675852--0.993888))+0-0-0</f>
        <v>660.74931600000002</v>
      </c>
      <c r="O247" s="3">
        <f>823.2+(400.2-507.4)+(-1.259496+(-0.612306--0.776322))+0-0-0</f>
        <v>714.90452000000005</v>
      </c>
      <c r="P247" s="3">
        <f>836.7+(447.4-552.1)+(-0.853434+(-0.456348--0.563142))+0-0-0</f>
        <v>731.25336000000004</v>
      </c>
      <c r="Q247" s="3">
        <f>824.9+(449.5-546.7)+(-0.841398+(-0.45849--0.557634))+0-0-0</f>
        <v>726.95774599999993</v>
      </c>
      <c r="R247" s="3">
        <f>824.9+(402.4-523.8)+(-0.420699+(-0.205224--0.267138))+0-0-0</f>
        <v>703.14121499999999</v>
      </c>
      <c r="S247" s="3">
        <f>765.8+(369.8-434.2)+(-1.171674+(-0.565794--0.664326))+0-0-0</f>
        <v>700.32685800000002</v>
      </c>
      <c r="T247" s="3">
        <f>764.8+(425.7-474.2)+(0+(0-0))+0-0-0</f>
        <v>716.3</v>
      </c>
      <c r="U247" s="3">
        <f>765+(407.5-473.9)+(0.39015+(0.207825-0.241689))+0-0-0</f>
        <v>698.95628599999998</v>
      </c>
      <c r="V247" s="3">
        <f>769.4+(425-484.7)+(0+(0-0))+0-0-0</f>
        <v>709.7</v>
      </c>
      <c r="W247" s="3">
        <f>835.3+(547.8-526.4)+(-0.426003+(-0.279378--0.268464))+0-0-0</f>
        <v>856.26308299999994</v>
      </c>
      <c r="X247" s="3">
        <f>841+(621.1-523.8)+(-2.14455+(-1.583805--1.33569))+0-0-0</f>
        <v>935.9073350000001</v>
      </c>
      <c r="Y247" s="3">
        <f>832.3+(571.2-492.2)+(-0.424473+(-0.291312--0.251022))+0-0-0</f>
        <v>910.83523700000001</v>
      </c>
      <c r="Z247" s="3">
        <f>828.4+(572.8-516)+(-1.267452+(-0.876384--0.78948))+0-0-0</f>
        <v>883.84564399999988</v>
      </c>
      <c r="AA247" s="3">
        <f>829.8+(572.9-553.9)+(-1.692792+(-1.168716--1.129956))+0-0-0</f>
        <v>847.06844799999999</v>
      </c>
      <c r="AB247" s="3">
        <f>828+(487.4-517.2)+(-1.68912+(-0.994296--1.055088))+0-0-0</f>
        <v>796.57167199999992</v>
      </c>
      <c r="AC247" s="3">
        <f>696.2+(549.8-539.6)+(-2.485434+(-1.962786--1.926372))+0-0-0</f>
        <v>703.878152</v>
      </c>
      <c r="AD247">
        <f t="shared" si="3"/>
        <v>16839.210972999997</v>
      </c>
      <c r="AE247" s="3">
        <f>841+(628.8-542.5)+(0+(0-0))+0-0-0</f>
        <v>927.3</v>
      </c>
    </row>
    <row r="248" spans="1:31" s="2" customFormat="1" x14ac:dyDescent="0.25">
      <c r="A248">
        <v>89</v>
      </c>
      <c r="B248">
        <v>9</v>
      </c>
      <c r="C248">
        <v>2</v>
      </c>
      <c r="D248">
        <v>4</v>
      </c>
      <c r="E248">
        <v>1</v>
      </c>
      <c r="F248" s="3">
        <f>595.1+(510-494.8)+(-0.910503+(-0.7803--0.757044))+0-0-0</f>
        <v>609.36624099999995</v>
      </c>
      <c r="G248" s="3">
        <f>553.7+(439.4-428.8)+(-0.564774+(-0.448188--0.437376))+0-0-0</f>
        <v>563.72441399999991</v>
      </c>
      <c r="H248" s="3">
        <f>553+(404-409.8)+(-0.84609+(-0.61812--0.626994))+0-0-0</f>
        <v>546.36278400000003</v>
      </c>
      <c r="I248" s="3">
        <f>553.4+(381.1-397.2)+(-0.846702+(-0.583083--0.607716))+0-0-0</f>
        <v>536.4779309999999</v>
      </c>
      <c r="J248" s="3">
        <f>579.9+(360.5-404.5)+(0+(0-0))+0-0-0</f>
        <v>535.9</v>
      </c>
      <c r="K248" s="3">
        <f>656.6+(307.5-409.5)+(-1.339464+(-0.6273--0.83538))+0-0-0</f>
        <v>553.468616</v>
      </c>
      <c r="L248" s="3">
        <f>803.4+(257.1-477.4)+(-0.409734+(-0.131121--0.243474))+0-0-0</f>
        <v>582.80261900000005</v>
      </c>
      <c r="M248" s="3">
        <f>817.8+(309.5-521.4)+(-0.417078+(-0.157845--0.265914))+0-0-0</f>
        <v>605.59099100000003</v>
      </c>
      <c r="N248" s="3">
        <f>822.3+(352.6-508.4)+(0.419373+(0.179826-0.259284))+0-0-0</f>
        <v>666.83991500000002</v>
      </c>
      <c r="O248" s="3">
        <f>821.7+(379-475.4)+(-1.257201+(-0.57987--0.727362))+0-0-0</f>
        <v>724.19029100000012</v>
      </c>
      <c r="P248" s="3">
        <f>832.3+(407.1-501.7)+(0.424473+(0.207621-0.255867))+0-0-0</f>
        <v>738.07622700000002</v>
      </c>
      <c r="Q248" s="3">
        <f>836.1+(391.1-488.9)+(-1.705644+(-0.797844--0.997356))+0-0-0</f>
        <v>736.79386800000009</v>
      </c>
      <c r="R248" s="3">
        <f>830.3+(398.2-531.3)+(-0.423453+(-0.203082--0.270963))+0-0-0</f>
        <v>696.84442799999999</v>
      </c>
      <c r="S248" s="3">
        <f>827.8+(401.2-546.2)+(0.844356+(0.409224-0.557124))+0-0-0</f>
        <v>683.49645599999997</v>
      </c>
      <c r="T248" s="3">
        <f>822.8+(401-545.5)+(0.839256+(0.40902-0.55641))+0-0-0</f>
        <v>678.99186599999996</v>
      </c>
      <c r="U248" s="3">
        <f>825.9+(391.4-521.8)+(0.421209+(0.199614-0.266118))+0-0-0</f>
        <v>695.85470499999997</v>
      </c>
      <c r="V248" s="3">
        <f>824.5+(385.8-485.9)+(-0.84099+(-0.393516--0.495618))+0-0-0</f>
        <v>723.66111200000012</v>
      </c>
      <c r="W248" s="3">
        <f>825.1+(652.5-613.8)+(0.420801+(0.332775-0.313038))+0-0-0</f>
        <v>864.24053800000002</v>
      </c>
      <c r="X248" s="3">
        <f>821+(759.1-647.1)+(-1.25613+(-1.161423--0.990063))+0-0-0</f>
        <v>931.57250999999997</v>
      </c>
      <c r="Y248" s="3">
        <f>823.6+(659.9-562.2)+(-1.260108+(-1.009647--0.860166))+0-0-0</f>
        <v>919.89041099999997</v>
      </c>
      <c r="Z248" s="3">
        <f>825.1+(597.2-534.8)+(-0.841602+(-0.609144--0.545496))+0-0-0</f>
        <v>886.59475000000009</v>
      </c>
      <c r="AA248" s="3">
        <f>818.6+(557.7-518.6)+(-1.252458+(-0.853281--0.793458))+0-0-0</f>
        <v>856.38771900000006</v>
      </c>
      <c r="AB248" s="3">
        <f>817.9+(543.5-554.3)+(-1.668516+(-1.10874--1.130772))+0-0-0</f>
        <v>805.45351600000004</v>
      </c>
      <c r="AC248" s="3">
        <f>821.4+(463-574)+(-0.837828+(-0.47226--0.58548))+0-0-0</f>
        <v>709.67539199999999</v>
      </c>
      <c r="AD248">
        <f t="shared" si="3"/>
        <v>16852.257300000001</v>
      </c>
      <c r="AE248" s="3">
        <f>828+(786.6-677.6)+(0+(0-0))+0-0-0</f>
        <v>937</v>
      </c>
    </row>
    <row r="249" spans="1:31" s="2" customFormat="1" x14ac:dyDescent="0.25">
      <c r="A249">
        <v>89</v>
      </c>
      <c r="B249">
        <v>9</v>
      </c>
      <c r="C249">
        <v>3</v>
      </c>
      <c r="D249">
        <v>5</v>
      </c>
      <c r="E249">
        <v>1</v>
      </c>
      <c r="F249" s="3">
        <f>786.5+(422.5-569.8)+(-1.60446+(-0.8619--1.162392))+0-0-0</f>
        <v>637.89603199999999</v>
      </c>
      <c r="G249" s="3">
        <f>629.6+(455.9-504)+(-0.963288+(-0.697527--0.77112))+0-0-0</f>
        <v>580.61030500000004</v>
      </c>
      <c r="H249" s="3">
        <f>583.8+(424-446.2)+(-1.48869+(-1.0812--1.13781))+0-0-0</f>
        <v>560.16791999999987</v>
      </c>
      <c r="I249" s="3">
        <f>548+(420.5-420.8)+(-0.27948+(-0.214455--0.214608))+0-0-0</f>
        <v>547.42067300000008</v>
      </c>
      <c r="J249" s="3">
        <f>604+(345-398.4)+(0+(0-0))+0-0-0</f>
        <v>550.6</v>
      </c>
      <c r="K249" s="3">
        <f>606.7+(357.5-407.2)+(-0.928251+(-0.546975--0.623016))+0-0-0</f>
        <v>556.14778999999999</v>
      </c>
      <c r="L249" s="3">
        <f>606.7+(441.9-465.7)+(-0.928251+(-0.676107--0.712521))+0-0-0</f>
        <v>582.00816300000008</v>
      </c>
      <c r="M249" s="3">
        <f>673.7+(422.5-491.5)+(-1.030761+(-0.646425--0.751995))+0-0-0</f>
        <v>603.774809</v>
      </c>
      <c r="N249" s="3">
        <f>810.7+(373.4-519.3)+(-0.826914+(-0.380868--0.529686))+0-0-0</f>
        <v>664.12190400000009</v>
      </c>
      <c r="O249" s="3">
        <f>829.7+(341-450.3)+(0+(0-0))+0-0-0</f>
        <v>720.40000000000009</v>
      </c>
      <c r="P249" s="3">
        <f>828.9+(359.5-461.4)+(-0.845478+(-0.36669--0.470628))+0-0-0</f>
        <v>726.25846000000001</v>
      </c>
      <c r="Q249" s="3">
        <f>831.6+(366.7-471)+(-0.848232+(-0.374034--0.48042))+0-0-0</f>
        <v>726.55815399999994</v>
      </c>
      <c r="R249" s="3">
        <f>830.3+(321.1-460.4)+(-0.423453+(-0.163761--0.234804))+0-0-0</f>
        <v>690.64759000000004</v>
      </c>
      <c r="S249" s="3">
        <f>832.2+(305.8-453.5)+(-0.848844+(-0.311916--0.46257))+0-0-0</f>
        <v>683.80181000000005</v>
      </c>
      <c r="T249" s="3">
        <f>843.8+(329.8-481.5)+(-0.860676+(-0.336396--0.49113))+0-0-0</f>
        <v>691.39405799999986</v>
      </c>
      <c r="U249" s="3">
        <f>842.5+(319.4-471.4)+(0.429675+(0.162894-0.240414))+0-0-0</f>
        <v>690.85215500000004</v>
      </c>
      <c r="V249" s="3">
        <f>865.9+(322.7-481.3)+(0+(0-0))+0-0-0</f>
        <v>707.3</v>
      </c>
      <c r="W249" s="3">
        <f>968.7+(515.2-610.3)+(0+(0-0))+0-0-0</f>
        <v>873.60000000000014</v>
      </c>
      <c r="X249" s="3">
        <f>965.3+(616.1-637.6)+(-1.476909+(-0.942633--0.975528))+0-0-0</f>
        <v>942.35598599999992</v>
      </c>
      <c r="Y249" s="3">
        <f>951.1+(548.3-580.8)+(-1.940244+(-1.118532--1.184832))+0-0-0</f>
        <v>916.72605599999997</v>
      </c>
      <c r="Z249" s="3">
        <f>947.8+(501.9-565.4)+(-2.900268+(-1.535814--1.730124))+0-0-0</f>
        <v>881.59404199999994</v>
      </c>
      <c r="AA249" s="3">
        <f>949+(440.4-534.7)+(-1.93596+(-0.898416--1.090788))+0-0-0</f>
        <v>852.95641199999989</v>
      </c>
      <c r="AB249" s="3">
        <f>865.4+(427-476.6)+(-0.882708+(-0.43554--0.486132))+0-0-0</f>
        <v>814.96788399999991</v>
      </c>
      <c r="AC249" s="3">
        <f>558.2+(595.7-441.8)+(-1.138728+(-1.215228--0.901272))+0-0-0</f>
        <v>710.64731600000016</v>
      </c>
      <c r="AD249">
        <f t="shared" si="3"/>
        <v>16912.807518999998</v>
      </c>
      <c r="AE249" s="3">
        <f>968+(643.2-662.3)+(0+(0-0))+0-0-0</f>
        <v>948.90000000000009</v>
      </c>
    </row>
    <row r="250" spans="1:31" s="2" customFormat="1" x14ac:dyDescent="0.25">
      <c r="A250">
        <v>89</v>
      </c>
      <c r="B250">
        <v>9</v>
      </c>
      <c r="C250">
        <v>4</v>
      </c>
      <c r="D250">
        <v>6</v>
      </c>
      <c r="E250">
        <v>3</v>
      </c>
      <c r="F250" s="3">
        <f>418.2+(654.4-450.5)+(0+(0-0))+0-0-0</f>
        <v>622.09999999999991</v>
      </c>
      <c r="G250" s="3">
        <f>356.3+(643.9-435.3)+(0+(0-0))+0-0-0</f>
        <v>564.9</v>
      </c>
      <c r="H250" s="3">
        <f>332.6+(613.5-405.2)+(0+(0-0))+0-0-0</f>
        <v>540.90000000000009</v>
      </c>
      <c r="I250" s="3">
        <f>291.9+(601.4-365.9)+(0+(0-0))+0-0-0</f>
        <v>527.4</v>
      </c>
      <c r="J250" s="3">
        <f>290.8+(592.6-360.5)+(-0.148308+(-0.302226--0.183855))+0-0-0</f>
        <v>522.63332100000014</v>
      </c>
      <c r="K250" s="3">
        <f>290.8+(623.8-389.4)+(0.444924+(0.954414-0.595782))+0-0-0</f>
        <v>526.003556</v>
      </c>
      <c r="L250" s="3">
        <f>335.9+(682.2-447.6)+(0+(0-0))+0-0-0</f>
        <v>570.5</v>
      </c>
      <c r="M250" s="3">
        <f>352+(684.4-465.5)+(-0.35904+(-0.698088--0.47481))+0-0-0</f>
        <v>570.31768199999999</v>
      </c>
      <c r="N250" s="3">
        <f>454.4+(591.9-440.8)+(-0.463488+(-0.603738--0.449616))+0-0-0</f>
        <v>604.88238999999999</v>
      </c>
      <c r="O250" s="3">
        <f>510.5+(604.3-440)+(-0.781065+(-0.924579--0.6732))+0-0-0</f>
        <v>673.7675559999999</v>
      </c>
      <c r="P250" s="3">
        <f>510.7+(648.7-440.6)+(-0.520914+(-0.661674--0.449412))+0-0-0</f>
        <v>718.066824</v>
      </c>
      <c r="Q250" s="3">
        <f>510.9+(640.8-437.7)+(-0.521118+(-0.653616--0.446454))+0-0-0</f>
        <v>713.27171999999996</v>
      </c>
      <c r="R250" s="3">
        <f>507.8+(584.9-441.4)+(-1.29489+(-1.491495--1.12557))+0-0-0</f>
        <v>649.639185</v>
      </c>
      <c r="S250" s="3">
        <f>510.1+(574.1-438.8)+(0.520302+(0.585582-0.447576))+0-0-0</f>
        <v>646.05830800000012</v>
      </c>
      <c r="T250" s="3">
        <f>506.4+(582.9-447.1)+(-1.29132+(-1.486395--1.140105))+0-0-0</f>
        <v>640.56238999999994</v>
      </c>
      <c r="U250" s="3">
        <f>475.1+(601.1-440.6)+(0+(0-0))+0-0-0</f>
        <v>635.6</v>
      </c>
      <c r="V250" s="3">
        <f>500.1+(610.1-445.8)+(-0.765153+(-0.933453--0.682074))+0-0-0</f>
        <v>663.38346800000011</v>
      </c>
      <c r="W250" s="3">
        <f>584.9+(660.7-452.1)+(0.298299+(0.336957-0.230571))+0-0-0</f>
        <v>793.90468499999997</v>
      </c>
      <c r="X250" s="3">
        <f>630.7+(675.5-439.4)+(0+(0-0))+0-0-0</f>
        <v>866.80000000000007</v>
      </c>
      <c r="Y250" s="3">
        <f>628.5+(638.2-421.6)+(-1.602675+(-1.62741--1.07508))+0-0-0</f>
        <v>842.94499500000006</v>
      </c>
      <c r="Z250" s="3">
        <f>630.2+(614.9-436)+(-0.321402+(-0.313599--0.22236))+0-0-0</f>
        <v>808.68735900000001</v>
      </c>
      <c r="AA250" s="3">
        <f>644.4+(589-440.7)+(-0.328644+(-0.30039--0.224757))+0-0-0</f>
        <v>792.29572300000007</v>
      </c>
      <c r="AB250" s="3">
        <f>605.3+(590.6-444.5)+(-0.617406+(-0.602412--0.45339))+0-0-0</f>
        <v>750.63357199999996</v>
      </c>
      <c r="AC250" s="3">
        <f>510.5+(587.8-417.3)+(-1.04142+(-1.199112--0.851292))+0-0-0</f>
        <v>679.61076000000003</v>
      </c>
      <c r="AD250">
        <f t="shared" si="3"/>
        <v>15924.863493999997</v>
      </c>
      <c r="AE250" s="3">
        <f>633+(697.2-453.1)+(0+(0-0))+0-0-0</f>
        <v>877.1</v>
      </c>
    </row>
    <row r="251" spans="1:31" s="2" customFormat="1" x14ac:dyDescent="0.25">
      <c r="A251">
        <v>89</v>
      </c>
      <c r="B251">
        <v>9</v>
      </c>
      <c r="C251">
        <v>5</v>
      </c>
      <c r="D251">
        <v>7</v>
      </c>
      <c r="E251">
        <v>1</v>
      </c>
      <c r="F251" s="3">
        <f>414.2+(615.4-426.4)+(-0.633726+(-0.941562--0.652392))+0-0-0</f>
        <v>602.27710400000001</v>
      </c>
      <c r="G251" s="3">
        <f>342.1+(631.9-417.4)+(-0.523413+(-0.966807--0.638622))+0-0-0</f>
        <v>555.74840200000006</v>
      </c>
      <c r="H251" s="3">
        <f>321.3+(624.3-409.8)+(-0.491589+(-0.955179--0.626994))+0-0-0</f>
        <v>534.9802259999999</v>
      </c>
      <c r="I251" s="3">
        <f>297.8+(602.3-381.7)+(-0.303756+(-0.614346--0.389334))+0-0-0</f>
        <v>517.87123199999996</v>
      </c>
      <c r="J251" s="3">
        <f>297.8+(591.3-371.5)+(0.303756+(0.603126-0.37893))+0-0-0</f>
        <v>518.12795199999994</v>
      </c>
      <c r="K251" s="3">
        <f>350.8+(560.9-389.8)+(0.178908+(0.286059-0.198798))+0-0-0</f>
        <v>522.16616899999997</v>
      </c>
      <c r="L251" s="3">
        <f>348.1+(601.5-426)+(-0.710124+(-1.22706--0.86904))+0-0-0</f>
        <v>522.53185600000006</v>
      </c>
      <c r="M251" s="3">
        <f>448.3+(584.2-446.8)+(-0.457266+(-0.595884--0.455736))+0-0-0</f>
        <v>585.10258600000009</v>
      </c>
      <c r="N251" s="3">
        <f>509.8+(515.3-458.2)+(0.259998+(0.262803-0.233682))+0-0-0</f>
        <v>567.18911900000001</v>
      </c>
      <c r="O251" s="3">
        <f>542.4+(540.3-483.9)+(0+(0-0))+0-0-0</f>
        <v>598.79999999999995</v>
      </c>
      <c r="P251" s="3">
        <f>627.6+(487-488.7)+(-0.320076+(-0.24837--0.249237))+0-0-0</f>
        <v>625.58079100000009</v>
      </c>
      <c r="Q251" s="3">
        <f>621.9+(481.6-475.1)+(-2.537352+(-1.964928--1.938408))+0-0-0</f>
        <v>625.83612800000003</v>
      </c>
      <c r="R251" s="3">
        <f>625.2+(456.4-463.1)+(-0.956556+(-0.698292--0.708543))+0-0-0</f>
        <v>617.55369499999995</v>
      </c>
      <c r="S251" s="3">
        <f>596.5+(468.4-455.4)+(-0.60843+(-0.477768--0.464508))+0-0-0</f>
        <v>608.87831000000006</v>
      </c>
      <c r="T251" s="3">
        <f>536.5+(501.9-442.2)+(-0.273615+(-0.255969--0.225522))+0-0-0</f>
        <v>595.895938</v>
      </c>
      <c r="U251" s="3">
        <f>499.9+(531.6-440.4)+(-0.509898+(-0.542232--0.449208))+0-0-0</f>
        <v>590.49707799999999</v>
      </c>
      <c r="V251" s="3">
        <f>574.5+(520.3-469.7)+(0+(0-0))+0-0-0</f>
        <v>625.09999999999991</v>
      </c>
      <c r="W251" s="3">
        <f>608.9+(645.5-482.9)+(-0.310539+(-0.329205--0.246279))+0-0-0</f>
        <v>771.10653500000001</v>
      </c>
      <c r="X251" s="3">
        <f>608.2+(692.1-443.6)+(-0.310182+(-0.352971--0.226236))+0-0-0</f>
        <v>856.26308300000005</v>
      </c>
      <c r="Y251" s="3">
        <f>607.3+(677.1-431.1)+(-0.929169+(-1.035963--0.659583))+0-0-0</f>
        <v>851.99445099999991</v>
      </c>
      <c r="Z251" s="3">
        <f>616+(645.7-443)+(-0.62832+(-0.658614--0.45186))+0-0-0</f>
        <v>817.86492600000008</v>
      </c>
      <c r="AA251" s="3">
        <f>625.1+(612-446)+(-1.275204+(-1.24848--0.90984))+0-0-0</f>
        <v>789.48615600000005</v>
      </c>
      <c r="AB251" s="3">
        <f>523.5+(655.2-434.6)+(-0.800955+(-1.002456--0.664938))+0-0-0</f>
        <v>742.96152700000005</v>
      </c>
      <c r="AC251" s="3">
        <f>506.3+(649.7-436.1)+(-1.549278+(-1.988082--1.334466))+0-0-0</f>
        <v>717.69710600000008</v>
      </c>
      <c r="AD251">
        <f t="shared" si="3"/>
        <v>15361.510370000002</v>
      </c>
      <c r="AE251" s="3">
        <f>611+(684.6-443.3)+(0+(0-0))+0-0-0</f>
        <v>852.3</v>
      </c>
    </row>
    <row r="252" spans="1:31" s="2" customFormat="1" x14ac:dyDescent="0.25">
      <c r="A252">
        <v>89</v>
      </c>
      <c r="B252">
        <v>9</v>
      </c>
      <c r="C252">
        <v>6</v>
      </c>
      <c r="D252">
        <v>1</v>
      </c>
      <c r="E252">
        <v>1</v>
      </c>
      <c r="F252" s="3">
        <f>438.1+(590-454.4)+(0+(0-0))+0-0-0</f>
        <v>573.70000000000005</v>
      </c>
      <c r="G252" s="3">
        <f>438.6+(518.3-420.2)+(0+(0-0))+0-0-0</f>
        <v>536.70000000000005</v>
      </c>
      <c r="H252" s="3">
        <f>439.1+(492-407.5)+(0.223941+(0.25092-0.207825))+0-0-0</f>
        <v>523.86703599999998</v>
      </c>
      <c r="I252" s="3">
        <f>439.1+(458.6-380.6)+(0.447882+(0.467772-0.388212))+0-0-0</f>
        <v>517.62744199999997</v>
      </c>
      <c r="J252" s="3">
        <f>438.8+(457.1-375.1)+(0+(0-0))+0-0-0</f>
        <v>520.79999999999995</v>
      </c>
      <c r="K252" s="3">
        <f>425.7+(503.4-393.2)+(-0.434214+(-0.513468--0.401064))+0-0-0</f>
        <v>535.35338200000001</v>
      </c>
      <c r="L252" s="3">
        <f>451.6+(540.9-428.2)+(-1.15158+(-1.379295--1.09191))+0-0-0</f>
        <v>562.8610349999999</v>
      </c>
      <c r="M252" s="3">
        <f>453.9+(594.8-470.8)+(0.231489+(0.303348-0.240108))+0-0-0</f>
        <v>578.19472899999982</v>
      </c>
      <c r="N252" s="3">
        <f>504.6+(586.1-471.2)+(0+(0-0))+0-0-0</f>
        <v>619.5</v>
      </c>
      <c r="O252" s="3">
        <f>511.1+(625.8-470.7)+(0.781983+(0.957474-0.720171))+0-0-0</f>
        <v>667.21928600000001</v>
      </c>
      <c r="P252" s="3">
        <f>510.1+(630.8-451.5)+(0+(0-0))+0-0-0</f>
        <v>689.4</v>
      </c>
      <c r="Q252" s="3">
        <f>509.5+(620.1-435.4)+(-0.259845+(-0.316251--0.222054))+0-0-0</f>
        <v>693.845958</v>
      </c>
      <c r="R252" s="3">
        <f>508.8+(623.7-466.8)+(-0.259488+(-0.318087--0.238068))+0-0-0</f>
        <v>665.36049300000002</v>
      </c>
      <c r="S252" s="3">
        <f>509+(620-469.1)+(-0.25959+(-0.3162--0.239241))+0-0-0</f>
        <v>659.56345099999999</v>
      </c>
      <c r="T252" s="3">
        <f>510.6+(619.1-476)+(-0.520812+(-0.631482--0.48552))+0-0-0</f>
        <v>653.03322600000001</v>
      </c>
      <c r="U252" s="3">
        <f>513.6+(633.1-470.8)+(-0.261936+(-0.322881--0.240108))+0-0-0</f>
        <v>675.55529100000012</v>
      </c>
      <c r="V252" s="3">
        <f>510.6+(660.3-473.9)+(-0.520812+(-0.673506--0.483378))+0-0-0</f>
        <v>696.28905999999995</v>
      </c>
      <c r="W252" s="3">
        <f>512.8+(789.2-463.7)+(0.523056+(0.804984-0.472974))+0-0-0</f>
        <v>839.15506599999992</v>
      </c>
      <c r="X252" s="3">
        <f>511+(889.9-483.1)+(-0.52122+(-0.907698--0.492762))+0-0-0</f>
        <v>916.86384399999997</v>
      </c>
      <c r="Y252" s="3">
        <f>509.6+(878.9-485.4)+(-1.039584+(-1.792956--0.990216))+0-0-0</f>
        <v>901.25767600000006</v>
      </c>
      <c r="Z252" s="3">
        <f>509.5+(852.6-486)+(-1.299225+(-2.17413--1.2393))+0-0-0</f>
        <v>873.86594500000001</v>
      </c>
      <c r="AA252" s="3">
        <f>512.4+(806.7-479.9)+(0.261324+(0.411417-0.244749))+0-0-0</f>
        <v>839.62799200000006</v>
      </c>
      <c r="AB252" s="3">
        <f>509.2+(711.2-441.5)+(-1.038768+(-1.450848--0.90066))+0-0-0</f>
        <v>777.31104400000004</v>
      </c>
      <c r="AC252" s="3">
        <f>511+(585.3-409.7)+(-0.78183+(-0.895509--0.626841))+0-0-0</f>
        <v>685.54950199999996</v>
      </c>
      <c r="AD252">
        <f t="shared" si="3"/>
        <v>16202.501457999997</v>
      </c>
      <c r="AE252" s="3">
        <f>514+(862.8-452.6)+(0+(0-0))+0-0-0</f>
        <v>924.19999999999993</v>
      </c>
    </row>
    <row r="253" spans="1:31" s="2" customFormat="1" x14ac:dyDescent="0.25">
      <c r="A253">
        <v>89</v>
      </c>
      <c r="B253">
        <v>9</v>
      </c>
      <c r="C253">
        <v>7</v>
      </c>
      <c r="D253">
        <v>2</v>
      </c>
      <c r="E253">
        <v>1</v>
      </c>
      <c r="F253" s="3">
        <f>511+(512.9-430.4)+(-0.26061+(-0.261579--0.219504))+0-0-0</f>
        <v>593.197315</v>
      </c>
      <c r="G253" s="3">
        <f>471.9+(491.4-408.1)+(-1.203345+(-1.25307--1.040655))+0-0-0</f>
        <v>553.78423999999995</v>
      </c>
      <c r="H253" s="3">
        <f>441.2+(522.9-431)+(-0.225012+(-0.266679--0.21981))+0-0-0</f>
        <v>532.8281189999999</v>
      </c>
      <c r="I253" s="3">
        <f>440.8+(492.4-404.5)+(-0.224808+(-0.251124--0.206295))+0-0-0</f>
        <v>528.43036300000006</v>
      </c>
      <c r="J253" s="3">
        <f>440.6+(479.2-392.4)+(-0.449412+(-0.488784--0.400248))+0-0-0</f>
        <v>526.86205200000006</v>
      </c>
      <c r="K253" s="3">
        <f>441.7+(495.6-413.8)+(0+(0-0))+0-0-0</f>
        <v>523.5</v>
      </c>
      <c r="L253" s="3">
        <f>475.1+(594.6-475.3)+(-0.969204+(-1.212984--0.969612))+0-0-0</f>
        <v>593.18742400000008</v>
      </c>
      <c r="M253" s="3">
        <f>501.1+(602.5-525.7)+(-0.255561+(-0.307275--0.268107))+0-0-0</f>
        <v>577.60527100000002</v>
      </c>
      <c r="N253" s="3">
        <f>510+(577.3-460)+(0+(0-0))+0-0-0</f>
        <v>627.29999999999995</v>
      </c>
      <c r="O253" s="3">
        <f>510+(641.7-435)+(0.2601+(0.327267-0.22185))+0-0-0</f>
        <v>717.065517</v>
      </c>
      <c r="P253" s="3">
        <f>510.2+(625.9-440)+(0.520404+(0.638418-0.4488))+0-0-0</f>
        <v>696.81002199999989</v>
      </c>
      <c r="Q253" s="3">
        <f>509.7+(622.1-441)+(0+(0-0))+0-0-0</f>
        <v>690.8</v>
      </c>
      <c r="R253" s="3">
        <f>506.9+(589.5-441)+(-1.292595+(-1.503225--1.12455))+0-0-0</f>
        <v>653.72872999999993</v>
      </c>
      <c r="S253" s="3">
        <f>508.3+(562.7-442.2)+(-0.777699+(-0.860931--0.676566))+0-0-0</f>
        <v>627.83793600000001</v>
      </c>
      <c r="T253" s="3">
        <f>509.5+(590.4-447.3)+(0.259845+(0.301104-0.228123))+0-0-0</f>
        <v>652.93282599999986</v>
      </c>
      <c r="U253" s="3">
        <f>510.7+(587.1-445.6)+(0.520914+(0.598842-0.454512))+0-0-0</f>
        <v>652.86524400000008</v>
      </c>
      <c r="V253" s="3">
        <f>509.2+(621.1-459.7)+(-0.259692+(-0.316761--0.234447))+0-0-0</f>
        <v>670.25799400000005</v>
      </c>
      <c r="W253" s="3">
        <f>512.2+(774-470.7)+(0.261222+(0.39474-0.240057))+0-0-0</f>
        <v>815.91590499999995</v>
      </c>
      <c r="X253" s="3">
        <f>521+(845.4-470.2)+(-1.85997+(-3.018078--1.678614))+0-0-0</f>
        <v>893.00056600000005</v>
      </c>
      <c r="Y253" s="3">
        <f>523+(823.2-470.5)+(-1.06692+(-1.679328--0.95982))+0-0-0</f>
        <v>873.91357200000004</v>
      </c>
      <c r="Z253" s="3">
        <f>524+(799-477.5)+(-0.26724+(-0.40749--0.243525))+0-0-0</f>
        <v>845.06879500000002</v>
      </c>
      <c r="AA253" s="3">
        <f>525+(735.4-453.8)+(-0.80325+(-1.125162--0.694314))+0-0-0</f>
        <v>805.36590199999989</v>
      </c>
      <c r="AB253" s="3">
        <f>526+(684.5-451)+(-0.53652+(-0.69819--0.46002))+0-0-0</f>
        <v>758.72531000000004</v>
      </c>
      <c r="AC253" s="3">
        <f>525+(615.5-455.7)+(-1.071+(-1.25562--0.929628))+0-0-0</f>
        <v>683.403008</v>
      </c>
      <c r="AD253">
        <f t="shared" si="3"/>
        <v>16094.386110999998</v>
      </c>
      <c r="AE253" s="3">
        <f>524+(854.6-484.5)+(0+(0-0))+0-0-0</f>
        <v>894.1</v>
      </c>
    </row>
    <row r="254" spans="1:31" s="2" customFormat="1" x14ac:dyDescent="0.25">
      <c r="A254">
        <v>89</v>
      </c>
      <c r="B254">
        <v>9</v>
      </c>
      <c r="C254">
        <v>8</v>
      </c>
      <c r="D254">
        <v>3</v>
      </c>
      <c r="E254">
        <v>1</v>
      </c>
      <c r="F254" s="3">
        <f>440+(614-453)+(-0.8976+(-1.25256--0.92412))+0-0-0</f>
        <v>599.77395999999999</v>
      </c>
      <c r="G254" s="3">
        <f>343+(625-422.8)+(-0.17493+(-0.31875--0.215628))+0-0-0</f>
        <v>544.92194800000004</v>
      </c>
      <c r="H254" s="3">
        <f>346+(557.8-377.4)+(0.17646+(0.284478-0.192474))+0-0-0</f>
        <v>526.66846399999997</v>
      </c>
      <c r="I254" s="3">
        <f>301+(561.3-348.9)+(-0.30702+(-0.572526--0.355878))+0-0-0</f>
        <v>512.87633199999993</v>
      </c>
      <c r="J254" s="3">
        <f>238+(617.4-345.5)+(0.12138+(0.314874-0.176205))+0-0-0</f>
        <v>510.16004899999996</v>
      </c>
      <c r="K254" s="3">
        <f>238+(642.6-360.6)+(0.12138+(0.327726-0.183906))+0-0-0</f>
        <v>520.26520000000005</v>
      </c>
      <c r="L254" s="3">
        <f>418+(661.6-419.9)+(0+(0-0))+0-0-0</f>
        <v>659.7</v>
      </c>
      <c r="M254" s="3">
        <f>510+(584.6-480.3)+(-1.3005+(-1.49073--1.224765))+0-0-0</f>
        <v>612.73353499999996</v>
      </c>
      <c r="N254" s="3">
        <f>510+(583.8-467.5)+(0.7803+(0.893214-0.715275))+0-0-0</f>
        <v>627.258239</v>
      </c>
      <c r="O254" s="3">
        <f>509+(665.9-457.1)+(-0.77877+(-1.018827--0.699363))+0-0-0</f>
        <v>716.70176599999991</v>
      </c>
      <c r="P254" s="3">
        <f>482+(662.3-454.9)+(0.24582+(0.337773-0.231999))+0-0-0</f>
        <v>689.75159399999995</v>
      </c>
      <c r="Q254" s="3">
        <f>495+(673-444)+(-1.26225+(-1.71615--1.1322))+0-0-0</f>
        <v>722.15380000000005</v>
      </c>
      <c r="R254" s="3">
        <f>444+(635-438.7)+(-0.45288+(-0.6477--0.447474))+0-0-0</f>
        <v>639.64689399999997</v>
      </c>
      <c r="S254" s="3">
        <f>443+(628.1-422.1)+(0+(0-0))+0-0-0</f>
        <v>649</v>
      </c>
      <c r="T254" s="3">
        <f>497+(612.2-454.2)+(0+(0-0))+0-0-0</f>
        <v>655</v>
      </c>
      <c r="U254" s="3">
        <f>507+(636.5-460.3)+(0.25857+(0.324615-0.234753))+0-0-0</f>
        <v>683.54843200000005</v>
      </c>
      <c r="V254" s="3">
        <f>508+(634-451.3)+(0.77724+(0.97002-0.690489))+0-0-0</f>
        <v>691.75677100000007</v>
      </c>
      <c r="W254" s="3">
        <f>506+(791.5-462.1)+(0.77418+(1.210995-0.707013))+0-0-0</f>
        <v>836.67816199999993</v>
      </c>
      <c r="X254" s="3">
        <f>506+(878.1-468.8)+(-1.03224+(-1.791324--0.956352))+0-0-0</f>
        <v>913.43278799999996</v>
      </c>
      <c r="Y254" s="3">
        <f>506+(855.6-464.4)+(-0.77418+(-1.309068--0.710532))+0-0-0</f>
        <v>895.82728400000008</v>
      </c>
      <c r="Z254" s="3">
        <f>506+(821.5-466.6)+(-0.77418+(-1.256895--0.713898))+0-0-0</f>
        <v>859.58282299999996</v>
      </c>
      <c r="AA254" s="3">
        <f>507+(780.3-450.8)+(-0.51714+(-0.795906--0.459816))+0-0-0</f>
        <v>835.64676999999995</v>
      </c>
      <c r="AB254" s="3">
        <f>507+(729.8-444.9)+(0+(0-0))+0-0-0</f>
        <v>791.9</v>
      </c>
      <c r="AC254" s="3">
        <f>506+(630.8-437.8)+(-1.2903+(-1.60854--1.11639))+0-0-0</f>
        <v>697.21754999999996</v>
      </c>
      <c r="AD254">
        <f t="shared" si="3"/>
        <v>16392.202361</v>
      </c>
      <c r="AE254" s="3">
        <f>504+(887.4-480.4)+(0+(0-0))+0-0-0</f>
        <v>911</v>
      </c>
    </row>
    <row r="255" spans="1:31" s="2" customFormat="1" x14ac:dyDescent="0.25">
      <c r="A255">
        <v>89</v>
      </c>
      <c r="B255">
        <v>9</v>
      </c>
      <c r="C255">
        <v>9</v>
      </c>
      <c r="D255">
        <v>4</v>
      </c>
      <c r="E255">
        <v>1</v>
      </c>
      <c r="F255" s="3">
        <f>423+(639.4-449.7)+(-0.86292+(-1.304376--0.917388))+0-0-0</f>
        <v>611.45009200000004</v>
      </c>
      <c r="G255" s="3">
        <f>334+(668.1-442.1)+(-0.34068+(-0.681462--0.450942))+0-0-0</f>
        <v>559.42880000000002</v>
      </c>
      <c r="H255" s="3">
        <f>287+(660.5-412.5)+(-0.43911+(-1.010565--0.631125))+0-0-0</f>
        <v>534.18145000000004</v>
      </c>
      <c r="I255" s="3">
        <f>288+(619.9-385.4)+(-0.29376+(-0.632298--0.393108))+0-0-0</f>
        <v>521.96704999999997</v>
      </c>
      <c r="J255" s="3">
        <f>289+(614.9-384.6)+(-0.29478+(-0.627198--0.392292))+0-0-0</f>
        <v>518.77031399999998</v>
      </c>
      <c r="K255" s="3">
        <f>289+(638.2-397.3)+(0+(0-0))+0-0-0</f>
        <v>529.90000000000009</v>
      </c>
      <c r="L255" s="3">
        <f>448+(624.6-445.2)+(-0.45696+(-0.637092--0.454104))+0-0-0</f>
        <v>626.76005200000009</v>
      </c>
      <c r="M255" s="3">
        <f>503+(562.4-474.6)+(-0.25653+(-0.286824--0.242046))+0-0-0</f>
        <v>590.49869200000001</v>
      </c>
      <c r="N255" s="3">
        <f>502+(585.1-463.4)+(0.25602+(0.298401-0.236334))+0-0-0</f>
        <v>624.01808700000004</v>
      </c>
      <c r="O255" s="3">
        <f>498+(656.6-475.9)+(0+(0-0))+0-0-0</f>
        <v>678.7</v>
      </c>
      <c r="P255" s="3">
        <f>499+(625.3-425.6)+(-0.25449+(-0.318903--0.217056))+0-0-0</f>
        <v>698.34366299999988</v>
      </c>
      <c r="Q255" s="3">
        <f>500+(654.6-433.3)+(-0.51+(-0.667692--0.441966))+0-0-0</f>
        <v>720.56427399999995</v>
      </c>
      <c r="R255" s="3">
        <f>502+(656.2-458.5)+(-0.25602+(-0.334662--0.233835))+0-0-0</f>
        <v>699.34315300000003</v>
      </c>
      <c r="S255" s="3">
        <f>502+(610.7-448.4)+(0+(0-0))+0-0-0</f>
        <v>664.30000000000007</v>
      </c>
      <c r="T255" s="3">
        <f>493+(599.6-447.6)+(-0.75429+(-0.917388--0.684828))+0-0-0</f>
        <v>644.01315</v>
      </c>
      <c r="U255" s="3">
        <f>501+(592-437.6)+(-0.76653+(-0.90576--0.669528))+0-0-0</f>
        <v>654.39723800000002</v>
      </c>
      <c r="V255" s="3">
        <f>494+(652.5-463)+(-0.75582+(-0.998325--0.70839))+0-0-0</f>
        <v>682.45424500000001</v>
      </c>
      <c r="W255" s="3">
        <f>510+(796.7-457.8)+(-0.5202+(-0.812634--0.466956))+0-0-0</f>
        <v>848.03412200000014</v>
      </c>
      <c r="X255" s="3">
        <f>501+(862.7-447.1)+(-1.02204+(-1.759908--0.912084))+0-0-0</f>
        <v>914.73013600000002</v>
      </c>
      <c r="Y255" s="3">
        <f>501+(857.8-463.4)+(-1.02204+(-1.749912--0.945336))+0-0-0</f>
        <v>893.57338400000003</v>
      </c>
      <c r="Z255" s="3">
        <f>502+(837.8-471.9)+(-0.51204+(-0.854556--0.481338))+0-0-0</f>
        <v>867.01474199999996</v>
      </c>
      <c r="AA255" s="3">
        <f>510+(771.7-467)+(-0.7803+(-1.180701--0.71451))+0-0-0</f>
        <v>813.45350900000005</v>
      </c>
      <c r="AB255" s="3">
        <f>501+(703.6-434.6)+(-0.76653+(-1.076508--0.664938))+0-0-0</f>
        <v>768.82190000000003</v>
      </c>
      <c r="AC255" s="3">
        <f>447+(743.5-446.2)+(-1.13985+(-1.895925--1.13781))+0-0-0</f>
        <v>742.40203499999996</v>
      </c>
      <c r="AD255">
        <f t="shared" si="3"/>
        <v>16407.120088000003</v>
      </c>
      <c r="AE255" s="3">
        <f>508+(870.3-458.8)+(0+(0-0))+0-0-0</f>
        <v>919.5</v>
      </c>
    </row>
    <row r="256" spans="1:31" s="2" customFormat="1" x14ac:dyDescent="0.25">
      <c r="A256">
        <v>89</v>
      </c>
      <c r="B256">
        <v>9</v>
      </c>
      <c r="C256">
        <v>10</v>
      </c>
      <c r="D256">
        <v>5</v>
      </c>
      <c r="E256">
        <v>1</v>
      </c>
      <c r="F256" s="3">
        <f>290+(726.4-448.6)+(-0.7395+(-1.85232--1.14393))+0-0-0</f>
        <v>566.35210999999993</v>
      </c>
      <c r="G256" s="3">
        <f>287+(676-431.6)+(0+(0-0))+0-0-0</f>
        <v>531.4</v>
      </c>
      <c r="H256" s="3">
        <f>290+(651.9-414.7)+(-0.1479+(-0.332469--0.211497))+0-0-0</f>
        <v>526.93112800000006</v>
      </c>
      <c r="I256" s="3">
        <f>290+(617.6-385)+(-0.1479+(-0.314976--0.19635))+0-0-0</f>
        <v>522.33347400000002</v>
      </c>
      <c r="J256" s="3">
        <f>289+(602.5-379.8)+(0.29478+(0.61455-0.387396))+0-0-0</f>
        <v>512.22193400000003</v>
      </c>
      <c r="K256" s="3">
        <f>290+(635.7-400.4)+(-0.2958+(-0.648414--0.408408))+0-0-0</f>
        <v>524.76419400000009</v>
      </c>
      <c r="L256" s="3">
        <f>286+(717.5-457.2)+(-0.14586+(-0.365925--0.233172))+0-0-0</f>
        <v>546.021387</v>
      </c>
      <c r="M256" s="3">
        <f>324+(745.8-478.6)+(0+(0-0))+0-0-0</f>
        <v>591.19999999999993</v>
      </c>
      <c r="N256" s="3">
        <f>436+(652.2-442.7)+(-0.22236+(-0.332622--0.225777))+0-0-0</f>
        <v>645.170795</v>
      </c>
      <c r="O256" s="3">
        <f>477+(628.4-442.5)+(-0.97308+(-1.281936--0.9027))+0-0-0</f>
        <v>661.547684</v>
      </c>
      <c r="P256" s="3">
        <f>500+(654.2-455.8)+(0.255+(0.333642-0.232458))+0-0-0</f>
        <v>698.75618400000008</v>
      </c>
      <c r="Q256" s="3">
        <f>500+(538.7-327.5)+(-0.255+(-0.274737--0.167025))+0-0-0</f>
        <v>710.83728800000006</v>
      </c>
      <c r="R256" s="3">
        <f>483+(428.5-239.3)+(-1.23165+(-1.092675--0.610215))+0-0-0</f>
        <v>670.48589000000004</v>
      </c>
      <c r="S256" s="3">
        <f>466+(597.7-402.5)+(0+(0-0))+0-0-0</f>
        <v>661.2</v>
      </c>
      <c r="T256" s="3">
        <f>504+(614.2-457)+(0+(0-0))+0-0-0</f>
        <v>661.2</v>
      </c>
      <c r="U256" s="3">
        <f>504+(591.5-438.9)+(-0.25704+(-0.301665--0.223839))+0-0-0</f>
        <v>656.26513399999999</v>
      </c>
      <c r="V256" s="3">
        <f>504+(623.1-444.9)+(0.51408+(0.635562-0.453798))+0-0-0</f>
        <v>682.89584400000001</v>
      </c>
      <c r="W256" s="3">
        <f>503+(793.1-464.4)+(0+(0-0))+0-0-0</f>
        <v>831.7</v>
      </c>
      <c r="X256" s="3">
        <f>501+(873.2-455.4)+(-1.02204+(-1.781328--0.929016))+0-0-0</f>
        <v>916.92564800000002</v>
      </c>
      <c r="Y256" s="3">
        <f>503+(848.6-455.1)+(-0.76959+(-1.298358--0.696303))+0-0-0</f>
        <v>895.12835500000006</v>
      </c>
      <c r="Z256" s="3">
        <f>459+(843.6-444.5)+(-0.23409+(-0.430236--0.226695))+0-0-0</f>
        <v>857.66236900000001</v>
      </c>
      <c r="AA256" s="3">
        <f>444+(842.3-461.8)+(0+(0-0))+0-0-0</f>
        <v>824.5</v>
      </c>
      <c r="AB256" s="3">
        <f>445+(780.7-453.1)+(-0.9078+(-1.592628--0.924324))+0-0-0</f>
        <v>771.02389600000004</v>
      </c>
      <c r="AC256" s="3">
        <f>397+(747.5-456.7)+(-0.60741+(-1.143675--0.698751))+0-0-0</f>
        <v>686.74766599999998</v>
      </c>
      <c r="AD256">
        <f t="shared" si="3"/>
        <v>16153.270980000001</v>
      </c>
      <c r="AE256" s="3">
        <f>504+(884.9-480.7)+(0+(0-0))+0-0-0</f>
        <v>908.2</v>
      </c>
    </row>
    <row r="257" spans="1:31" s="2" customFormat="1" x14ac:dyDescent="0.25">
      <c r="A257">
        <v>89</v>
      </c>
      <c r="B257">
        <v>9</v>
      </c>
      <c r="C257">
        <v>11</v>
      </c>
      <c r="D257">
        <v>6</v>
      </c>
      <c r="E257">
        <v>1</v>
      </c>
      <c r="F257" s="3">
        <f>302+(740.3-438.8)+(-0.30804+(-0.755106--0.447576))+0-0-0</f>
        <v>602.88442999999995</v>
      </c>
      <c r="G257" s="3">
        <f>288+(692.4-427.1)+(0.29376+(0.706248-0.435642))+0-0-0</f>
        <v>553.8643659999999</v>
      </c>
      <c r="H257" s="3">
        <f>287+(680.5-427.7)+(0.43911+(1.041165-0.654381))+0-0-0</f>
        <v>540.6258939999999</v>
      </c>
      <c r="I257" s="3">
        <f>286+(663.6-412.7)+(-0.14586+(-0.338436--0.210477))+0-0-0</f>
        <v>536.62618100000009</v>
      </c>
      <c r="J257" s="3">
        <f>285+(647.1-398.5)+(0.14535+(0.330021-0.203235))+0-0-0</f>
        <v>533.87213600000007</v>
      </c>
      <c r="K257" s="3">
        <f>323+(644-421.3)+(0+(0-0))+0-0-0</f>
        <v>545.70000000000005</v>
      </c>
      <c r="L257" s="3">
        <f>349+(673-459.8)+(-0.35598+(-0.68646--0.468996))+0-0-0</f>
        <v>561.62655600000005</v>
      </c>
      <c r="M257" s="3">
        <f>489+(685.7-482.5)+(0.24939+(0.349707-0.246075))+0-0-0</f>
        <v>692.55302200000006</v>
      </c>
      <c r="N257" s="3">
        <f>510+(588-446.7)+(0+(0-0))+0-0-0</f>
        <v>651.29999999999995</v>
      </c>
      <c r="O257" s="3">
        <f>510+(599.3-420.1)+(-1.0404+(-1.222572--0.857004))+0-0-0</f>
        <v>687.7940319999999</v>
      </c>
      <c r="P257" s="3">
        <f>510+(665.4-458.9)+(-0.7803+(-1.018062--0.702117))+0-0-0</f>
        <v>715.40375500000005</v>
      </c>
      <c r="Q257" s="3">
        <f>510+(656.8-458.8)+(-0.2601+(-0.334968--0.233988))+0-0-0</f>
        <v>707.63891999999998</v>
      </c>
      <c r="R257" s="3">
        <f>510+(604.3-440.7)+(-1.0404+(-1.232772--0.899028))+0-0-0</f>
        <v>672.22585599999991</v>
      </c>
      <c r="S257" s="3">
        <f>487+(626.5-453.2)+(-0.49674+(-0.63903--0.462264))+9.3-0-0</f>
        <v>668.92649399999993</v>
      </c>
      <c r="T257" s="3">
        <f>443+(664-461)+(-0.45186+(-0.67728--0.47022))+0-0-0</f>
        <v>645.34108000000003</v>
      </c>
      <c r="U257" s="3">
        <f>442+(642-437.1)+(-0.22542+(-0.32742--0.222921))+0-0-0</f>
        <v>646.57008099999996</v>
      </c>
      <c r="V257" s="3">
        <f>501+(639.6-474.3)+(-1.27755+(-1.63098--1.209465))+0-0-0</f>
        <v>664.60093499999994</v>
      </c>
      <c r="W257" s="3">
        <f>505+(777.3-468.1)+(0+(0-0))+0-0-0</f>
        <v>814.19999999999993</v>
      </c>
      <c r="X257" s="3">
        <f>502+(874.9-481.5)+(-1.79214+(-3.123393--1.718955))+0-0-0</f>
        <v>892.20342199999993</v>
      </c>
      <c r="Y257" s="3">
        <f>503+(840.3-472.7)+(-0.76959+(-1.285659--0.723231))+0-0-0</f>
        <v>869.26798199999996</v>
      </c>
      <c r="Z257" s="3">
        <f>504+(807.7-469.3)+(-0.77112+(-1.235781--0.718029))+0-0-0</f>
        <v>841.11112800000012</v>
      </c>
      <c r="AA257" s="3">
        <f>504+(780.4-465.9)+(-1.2852+(-1.99002--1.188045))+0-0-0</f>
        <v>816.412825</v>
      </c>
      <c r="AB257" s="3">
        <f>506+(718.5-463.2)+(0+(0-0))+0-0-0</f>
        <v>761.3</v>
      </c>
      <c r="AC257" s="3">
        <f>503+(614.6-420.6)+(-0.76959+(-0.940338--0.643518))+0-0-0</f>
        <v>695.93358999999998</v>
      </c>
      <c r="AD257">
        <f t="shared" ref="AD257:AD320" si="4">SUM(F257:AC257)</f>
        <v>16317.982685000001</v>
      </c>
      <c r="AE257" s="3">
        <f>506+(883.6-486.5)+(0+(0-0))+0-0-0</f>
        <v>903.1</v>
      </c>
    </row>
    <row r="258" spans="1:31" s="2" customFormat="1" x14ac:dyDescent="0.25">
      <c r="A258">
        <v>89</v>
      </c>
      <c r="B258">
        <v>9</v>
      </c>
      <c r="C258">
        <v>12</v>
      </c>
      <c r="D258">
        <v>7</v>
      </c>
      <c r="E258">
        <v>1</v>
      </c>
      <c r="F258" s="3">
        <f>491+(569.2-437.7)+(-1.50246+(-1.741752--1.339362))+0-0-0</f>
        <v>620.59514999999999</v>
      </c>
      <c r="G258" s="3">
        <f>390+(578.1-402.8)+(0+(0-0))+0-0-0</f>
        <v>565.29999999999995</v>
      </c>
      <c r="H258" s="3">
        <f>387+(531.9-378.1)+(-0.19737+(-0.271269--0.192831))+0-0-0</f>
        <v>540.52419199999997</v>
      </c>
      <c r="I258" s="3">
        <f>369+(530.9-368.7)+(0.18819+(0.270759-0.188037))+0-0-0</f>
        <v>531.470912</v>
      </c>
      <c r="J258" s="3">
        <f>362+(541.3-376.5)+(0+(0-0))+0-0-0</f>
        <v>526.79999999999995</v>
      </c>
      <c r="K258" s="3">
        <f>363+(563.9-403.3)+(0.55539+(0.862767-0.617049))+0-0-0</f>
        <v>524.40110799999991</v>
      </c>
      <c r="L258" s="3">
        <f>364+(629.5-463.3)+(-0.37128+(-0.64209--0.472566))+0-0-0</f>
        <v>529.65919600000007</v>
      </c>
      <c r="M258" s="3">
        <f>356+(627.6-474.1)+(-0.9078+(-1.60038--1.208955))+0-0-0</f>
        <v>508.20077500000002</v>
      </c>
      <c r="N258" s="3">
        <f>388+(674.4-504.1)+(0.19788+(0.343944-0.257091))+0-0-0</f>
        <v>558.58473299999991</v>
      </c>
      <c r="O258" s="3">
        <f>388+(719.9-492.5)+(0.19788+(0.367149-0.251175))+0-0-0</f>
        <v>615.71385399999997</v>
      </c>
      <c r="P258" s="3">
        <f>389+(763.4-504.7)+(-0.79356+(-1.557336--1.029588))+0-0-0</f>
        <v>646.378692</v>
      </c>
      <c r="Q258" s="3">
        <f>389+(766.1-504.1)+(-0.19839+(-0.390711--0.257091))+0-0-0</f>
        <v>650.66799000000003</v>
      </c>
      <c r="R258" s="3">
        <f>328+(764.2-504.4)+(-0.50184+(-1.169226--0.771732))+0-0-0</f>
        <v>586.90066600000011</v>
      </c>
      <c r="S258" s="3">
        <f>328+(804.5-525.2)+(-0.50184+(-1.230885--0.803556))+0-0-0</f>
        <v>606.37083099999995</v>
      </c>
      <c r="T258" s="3">
        <f>326+(791.6-519)+(0.16626+(0.403716-0.26469))+0-0-0</f>
        <v>598.90528600000005</v>
      </c>
      <c r="U258" s="3">
        <f>328+(795.5-522.6)+(-0.33456+(-0.81141--0.533052))+0-0-0</f>
        <v>600.28708199999994</v>
      </c>
      <c r="V258" s="3">
        <f>452+(746.5-519.9)+(-0.46104+(-0.76143--0.530298))+0-0-0</f>
        <v>677.90782799999999</v>
      </c>
      <c r="W258" s="3">
        <f>491+(826.5-525.9)+(0+(0-0))+0-0-0</f>
        <v>791.6</v>
      </c>
      <c r="X258" s="3">
        <f>444+(930.7-539)+(-0.45288+(-0.949314--0.54978))+0-0-0</f>
        <v>834.84758600000009</v>
      </c>
      <c r="Y258" s="3">
        <f>448+(954.5-537.2)+(-0.22848+(-0.486795--0.273972))+0-0-0</f>
        <v>864.85869700000001</v>
      </c>
      <c r="Z258" s="3">
        <f>447+(923.9-530)+(-0.45594+(-0.942378--0.5406))+0-0-0</f>
        <v>840.042282</v>
      </c>
      <c r="AA258" s="3">
        <f>445+(892.3-528.7)+(-0.4539+(-0.910146--0.539274))+0-0-0</f>
        <v>807.77522799999986</v>
      </c>
      <c r="AB258" s="3">
        <f>443+(839.4-517.8)+(0+(0-0))+0-0-0</f>
        <v>764.6</v>
      </c>
      <c r="AC258" s="3">
        <f>430+(757.8-500)+(-1.0965+(-1.93239--1.275))+0-0-0</f>
        <v>686.04611</v>
      </c>
      <c r="AD258">
        <f t="shared" si="4"/>
        <v>15478.438198</v>
      </c>
      <c r="AE258" s="3">
        <f>505+(921.3-544)+(0+(0-0))+0-0-0</f>
        <v>882.3</v>
      </c>
    </row>
    <row r="259" spans="1:31" s="2" customFormat="1" x14ac:dyDescent="0.25">
      <c r="A259">
        <v>89</v>
      </c>
      <c r="B259">
        <v>9</v>
      </c>
      <c r="C259">
        <v>13</v>
      </c>
      <c r="D259">
        <v>1</v>
      </c>
      <c r="E259">
        <v>1</v>
      </c>
      <c r="F259" s="3">
        <f>350+(733.9-480.1)+(-1.071+(-2.245734--1.469106))+0-0-0</f>
        <v>601.95237199999997</v>
      </c>
      <c r="G259" s="3">
        <f>294+(734.5-472.3)+(-0.59976+(-1.49838--0.963492))+0-0-0</f>
        <v>555.06535200000008</v>
      </c>
      <c r="H259" s="3">
        <f>291+(687.5-438.5)+(-0.59364+(-1.4025--0.89454))+0-0-0</f>
        <v>538.89840000000004</v>
      </c>
      <c r="I259" s="3">
        <f>289+(665.8-419.9)+(-0.29478+(-0.679116--0.428298))+0-0-0</f>
        <v>534.35440199999994</v>
      </c>
      <c r="J259" s="3">
        <f>289+(654.8-412.6)+(0+(0-0))+0-0-0</f>
        <v>531.19999999999993</v>
      </c>
      <c r="K259" s="3">
        <f>289+(685-429.3)+(0.14739+(0.34935-0.218943))+0-0-0</f>
        <v>544.97779700000001</v>
      </c>
      <c r="L259" s="3">
        <f>416+(694.7-484.2)+(-0.84864+(-1.417188--0.987768))+0-0-0</f>
        <v>625.22194000000002</v>
      </c>
      <c r="M259" s="3">
        <f>486+(604.7-495.9)+(-0.49572+(-0.616794--0.505818))+0-0-0</f>
        <v>594.19330400000001</v>
      </c>
      <c r="N259" s="3">
        <f>550+(642.2-504.6)+(0+(0-0))+0-0-0</f>
        <v>687.6</v>
      </c>
      <c r="O259" s="3">
        <f>601.1+(594.9-496.8)+(0.919683+(0.910197-0.760104))+0-0-0</f>
        <v>700.26977600000009</v>
      </c>
      <c r="P259" s="3">
        <f>639.8+(495.8-392)+(-0.978894+(-0.758574--0.59976))+5.9-0-0</f>
        <v>748.36229199999991</v>
      </c>
      <c r="Q259" s="3">
        <f>686.7+(441.8-399.1)+(0+(0-0))+3.7-0-0</f>
        <v>733.10000000000014</v>
      </c>
      <c r="R259" s="3">
        <f>812.4+(363.8-473.7)+(-2.485944+(-1.113228--1.449522))+0-0-0</f>
        <v>700.35035000000005</v>
      </c>
      <c r="S259" s="3">
        <f>824.9+(362-488.6)+(-1.262097+(-0.55386--0.747558))+0-0-0</f>
        <v>697.23160099999996</v>
      </c>
      <c r="T259" s="3">
        <f>817.7+(331.1-451.5)+(0+(0-0))+0-0-0</f>
        <v>697.30000000000007</v>
      </c>
      <c r="U259" s="3">
        <f>788.7+(373.8-464.9)+(0+(0-0))+0-0-0</f>
        <v>697.60000000000014</v>
      </c>
      <c r="V259" s="3">
        <f>836+(379.9-487)+(-0.42636+(-0.193749--0.24837))+0-0-0</f>
        <v>728.52826099999993</v>
      </c>
      <c r="W259" s="3">
        <f>838.1+(522.7-484.7)+(1.282293+(0.799731-0.741591))+0-0-0</f>
        <v>877.4404330000001</v>
      </c>
      <c r="X259" s="3">
        <f>842.2+(618.1-510.3)+(-1.718088+(-1.260924--1.041012))+0-0-0</f>
        <v>948.06200000000001</v>
      </c>
      <c r="Y259" s="3">
        <f>843.9+(584.2-493.3)+(-2.151945+(-1.48971--1.257915))+0-0-0</f>
        <v>932.41625999999997</v>
      </c>
      <c r="Z259" s="3">
        <f>843.4+(538.9-487)+(0+(0-0))+0-0-0</f>
        <v>895.3</v>
      </c>
      <c r="AA259" s="3">
        <f>827.1+(523.7-489.8)+(-2.109105+(-1.335435--1.24899))+0-0-0</f>
        <v>858.80444999999997</v>
      </c>
      <c r="AB259" s="3">
        <f>827.6+(462.4-486.3)+(-0.844152+(-0.471648--0.496026))+0-0-0</f>
        <v>802.88022599999999</v>
      </c>
      <c r="AC259" s="3">
        <f>804.5+(385.7-478.3)+(-2.051475+(-0.983535--1.219665))+0-0-0</f>
        <v>710.084655</v>
      </c>
      <c r="AD259">
        <f t="shared" si="4"/>
        <v>16941.193870999996</v>
      </c>
      <c r="AE259" s="3">
        <f>838+(643-529.6)+(0+(0-0))+0-0-0</f>
        <v>951.4</v>
      </c>
    </row>
    <row r="260" spans="1:31" s="2" customFormat="1" x14ac:dyDescent="0.25">
      <c r="A260">
        <v>89</v>
      </c>
      <c r="B260">
        <v>9</v>
      </c>
      <c r="C260">
        <v>14</v>
      </c>
      <c r="D260">
        <v>2</v>
      </c>
      <c r="E260">
        <v>1</v>
      </c>
      <c r="F260" s="3">
        <f>648.2+(451.1-476.5)+(-1.322328+(-0.920244--0.97206))+0-0-0</f>
        <v>621.52948800000001</v>
      </c>
      <c r="G260" s="3">
        <f>501.6+(541-478.2)+(0+(0-0))+0-0-0</f>
        <v>564.40000000000009</v>
      </c>
      <c r="H260" s="3">
        <f>451.3+(553.3-465.7)+(-0.230163+(-0.282183--0.237507))+0-0-0</f>
        <v>538.62516099999993</v>
      </c>
      <c r="I260" s="3">
        <f>449.8+(519.4-435)+(0+(0-0))+0-0-0</f>
        <v>534.20000000000005</v>
      </c>
      <c r="J260" s="3">
        <f>449.8+(508.5-424.6)+(-0.458796+(-0.51867--0.433092))+0-0-0</f>
        <v>533.1556260000001</v>
      </c>
      <c r="K260" s="3">
        <f>450.2+(539.7-439.4)+(0+(0-0))+0-0-0</f>
        <v>550.5</v>
      </c>
      <c r="L260" s="3">
        <f>601.8+(481.6-490.6)+(-0.613836+(-0.491232--0.500412))+0-0-0</f>
        <v>592.19534399999998</v>
      </c>
      <c r="M260" s="3">
        <f>820+(306-507.7)+(-0.8364+(-0.31212--0.517854))+0-0-0</f>
        <v>617.66933399999994</v>
      </c>
      <c r="N260" s="3">
        <f>825.1+(334.5-497.8)+(0.420801+(0.170595-0.253878))+0-0-0</f>
        <v>662.137518</v>
      </c>
      <c r="O260" s="3">
        <f>823.1+(375.3-473.1)+(0.419781+(0.191403-0.241281))+0-0-0</f>
        <v>725.66990299999998</v>
      </c>
      <c r="P260" s="3">
        <f>820.5+(399.4-464.8)+(-0.418455+(-0.203694--0.237048))+0-0-0</f>
        <v>754.71489899999995</v>
      </c>
      <c r="Q260" s="3">
        <f>822.3+(386.4-455.2)+(-1.258119+(-0.591192--0.696456))+0-0-0</f>
        <v>752.34714499999995</v>
      </c>
      <c r="R260" s="3">
        <f>784.6+(380.8-446.3)+(-1.200438+(-0.582624--0.682839))+0-0-0</f>
        <v>717.99977699999999</v>
      </c>
      <c r="S260" s="3">
        <f>767+(379.6-376.7)+(-0.39117+(-0.193596--0.192117))+0-0-0</f>
        <v>769.50735100000009</v>
      </c>
      <c r="T260" s="3">
        <f>798.7+(344.9-462.4)+(-0.407337+(-0.175899--0.235824))+0-0-0</f>
        <v>680.85258800000008</v>
      </c>
      <c r="U260" s="3">
        <f>828.4+(342.2-479.1)+(0+(0-0))+0-0-0</f>
        <v>691.5</v>
      </c>
      <c r="V260" s="3">
        <f>825.5+(384.2-478)+(-2.105025+(-0.97971--1.2189))+0-0-0</f>
        <v>729.8341650000001</v>
      </c>
      <c r="W260" s="3">
        <f>828.8+(539.6-496.2)+(0+(0-0))+0-0-0</f>
        <v>872.2</v>
      </c>
      <c r="X260" s="3">
        <f>780.3+(704.2-526.3)+(-1.989765+(-1.79571--1.342065))+0-0-0</f>
        <v>955.75659000000007</v>
      </c>
      <c r="Y260" s="3">
        <f>771.5+(655.8-491.4)+(-0.78693+(-0.668916--0.501228))+0-0-0</f>
        <v>934.945382</v>
      </c>
      <c r="Z260" s="3">
        <f>771.9+(645.9-520)+(-1.968345+(-1.647045--1.326))+0-0-0</f>
        <v>895.51060999999993</v>
      </c>
      <c r="AA260" s="3">
        <f>773.4+(605.1-507.4)+(-0.788868+(-0.617202--0.517548))+0-0-0</f>
        <v>870.21147800000006</v>
      </c>
      <c r="AB260" s="3">
        <f>767.8+(553-500.1)+(-1.95789+(-1.41015--1.275255))+0-0-0</f>
        <v>818.60721499999988</v>
      </c>
      <c r="AC260" s="3">
        <f>535.2+(665.5-482.2)+(-0.545904+(-0.67881--0.491844))+0-0-0</f>
        <v>717.76712999999995</v>
      </c>
      <c r="AD260">
        <f t="shared" si="4"/>
        <v>17101.836704000001</v>
      </c>
      <c r="AE260" s="3">
        <f>829+(604.4-503.2)+(0+(0-0))+0-0-0</f>
        <v>930.2</v>
      </c>
    </row>
    <row r="261" spans="1:31" s="2" customFormat="1" x14ac:dyDescent="0.25">
      <c r="A261">
        <v>89</v>
      </c>
      <c r="B261">
        <v>9</v>
      </c>
      <c r="C261">
        <v>15</v>
      </c>
      <c r="D261">
        <v>3</v>
      </c>
      <c r="E261">
        <v>1</v>
      </c>
      <c r="F261" s="3">
        <f>454+(611.3-430.1)+(-0.69462+(-0.935289--0.658053))+0-0-0</f>
        <v>634.22814399999993</v>
      </c>
      <c r="G261" s="3">
        <f>454.4+(564.3-430.3)+(-0.463488+(-0.575586--0.438906))+0-0-0</f>
        <v>587.79983199999981</v>
      </c>
      <c r="H261" s="3">
        <f>501.2+(513-445.2)+(-0.766836+(-0.78489--0.681156))+0-0-0</f>
        <v>568.12942999999996</v>
      </c>
      <c r="I261" s="3">
        <f>466.7+(532.8-436.5)+(-0.714051+(-0.815184--0.667845))+0-0-0</f>
        <v>562.13860999999997</v>
      </c>
      <c r="J261" s="3">
        <f>457.6+(520.5-425.1)+(-0.233376+(-0.265455--0.216801))+0-0-0</f>
        <v>552.71797000000004</v>
      </c>
      <c r="K261" s="3">
        <f>484.5+(513.5-437.7)+(0+(0-0))+0-0-0</f>
        <v>560.29999999999995</v>
      </c>
      <c r="L261" s="3">
        <f>687.3+(402.2-482.2)+(-0.350523+(-0.205122--0.245922))+0-0-0</f>
        <v>606.99027699999999</v>
      </c>
      <c r="M261" s="3">
        <f>834.3+(307.8-496.7)+(0+(0-0))+0-0-0</f>
        <v>645.4</v>
      </c>
      <c r="N261" s="3">
        <f>832.2+(350.5-489.2)+(0+(0-0))+0-0-0</f>
        <v>693.5</v>
      </c>
      <c r="O261" s="3">
        <f>830.5+(351.8-487.6)+(1.270665+(0.538254-0.746028))+0-0-0</f>
        <v>695.76289100000008</v>
      </c>
      <c r="P261" s="3">
        <f>827.4+(396.7-469.3)+(-0.843948+(-0.404634--0.478686))+0-0-0</f>
        <v>754.03010399999994</v>
      </c>
      <c r="Q261" s="3">
        <f>826.4+(403.1-467.7)+(-1.264392+(-0.616743--0.715581))+0-0-0</f>
        <v>760.63444599999991</v>
      </c>
      <c r="R261" s="3">
        <f>831.5+(357.6-467)+(-2.968455+(-1.276632--1.66719))+0-0-0</f>
        <v>719.52210300000002</v>
      </c>
      <c r="S261" s="3">
        <f>828.3+(365.1-494.2)+(-0.422433+(-0.186201--0.252042))+0-0-0</f>
        <v>698.84340800000007</v>
      </c>
      <c r="T261" s="3">
        <f>823.3+(367.1-495.1)+(-1.259649+(-0.561663--0.757503))+0-0-0</f>
        <v>694.23619099999996</v>
      </c>
      <c r="U261" s="3">
        <f>827.3+(365.1-488.3)+(-1.265769+(-0.558603--0.747099))+0-0-0</f>
        <v>703.02272699999992</v>
      </c>
      <c r="V261" s="3">
        <f>829.4+(405.2-492.9)+(-1.268982+(-0.619956--0.754137))+0-0-0</f>
        <v>740.56519900000001</v>
      </c>
      <c r="W261" s="3">
        <f>829.9+(579.3-513.2)+(0.423249+(0.295443-0.261732))+0-0-0</f>
        <v>896.45695999999987</v>
      </c>
      <c r="X261" s="3">
        <f>826.4+(644-506.9)+(-0.842928+(-0.65688--0.517038))+0-0-0</f>
        <v>962.51723000000004</v>
      </c>
      <c r="Y261" s="3">
        <f>770.7+(630.3-498.9)+(-2.751399+(-2.250171--1.781073))+0-0-0</f>
        <v>898.879503</v>
      </c>
      <c r="Z261" s="3">
        <f>771+(639.2-502.2)+(-1.17963+(-0.977976--0.768366))+0-0-0</f>
        <v>906.61076000000003</v>
      </c>
      <c r="AA261" s="3">
        <f>770.3+(594.7-487.4)+(-1.178559+(-0.909891--0.745722))+0-0-0</f>
        <v>876.25727200000006</v>
      </c>
      <c r="AB261" s="3">
        <f>723.4+(588.6-486.4)+(-1.475736+(-1.200744--0.992256))+0-0-0</f>
        <v>823.91577600000005</v>
      </c>
      <c r="AC261" s="3">
        <f>634.8+(560.6-461.4)+(-1.942488+(-1.715436--1.411884))+0-0-0</f>
        <v>731.75396000000001</v>
      </c>
      <c r="AD261">
        <f t="shared" si="4"/>
        <v>17274.212792999999</v>
      </c>
      <c r="AE261" s="3">
        <f>825+(655.3-528.1)+(0+(0-0))+0-0-0</f>
        <v>952.19999999999993</v>
      </c>
    </row>
    <row r="262" spans="1:31" s="2" customFormat="1" x14ac:dyDescent="0.25">
      <c r="A262">
        <v>89</v>
      </c>
      <c r="B262">
        <v>9</v>
      </c>
      <c r="C262">
        <v>16</v>
      </c>
      <c r="D262">
        <v>4</v>
      </c>
      <c r="E262">
        <v>1</v>
      </c>
      <c r="F262" s="3">
        <f>609.2+(471.9-445.2)+(-0.932076+(-0.722007--0.681156))+0-0-0</f>
        <v>634.92707300000006</v>
      </c>
      <c r="G262" s="3">
        <f>583.9+(444.6-432.7)+(-0.595578+(-0.453492--0.441354))+0-0-0</f>
        <v>595.19228399999997</v>
      </c>
      <c r="H262" s="3">
        <f>582.9+(412.7-417.7)+(0+(0-0))+0-0-0</f>
        <v>577.9</v>
      </c>
      <c r="I262" s="3">
        <f>583.2+(416.2-436.8)+(-0.594864+(-0.424524--0.445536))+0-0-0</f>
        <v>562.02614800000003</v>
      </c>
      <c r="J262" s="3">
        <f>582.9+(422.4-447.7)+(-0.594558+(-0.430848--0.456654))+0-0-0</f>
        <v>557.03124799999989</v>
      </c>
      <c r="K262" s="3">
        <f>584+(444.2-456.4)+(-0.29784+(-0.226542--0.232764))+0-0-0</f>
        <v>571.50838199999998</v>
      </c>
      <c r="L262" s="3">
        <f>712+(392.3-509.4)+(-1.08936+(-0.600219--0.779382))+0-0-0</f>
        <v>593.98980300000005</v>
      </c>
      <c r="M262" s="3">
        <f>772.3+(364-515.7)+(0+(0-0))+0-0-0</f>
        <v>620.59999999999991</v>
      </c>
      <c r="N262" s="3">
        <f>769.8+(402.6-511.7)+(-1.177794+(-0.615978--0.782901))+0-0-0</f>
        <v>659.68912900000009</v>
      </c>
      <c r="O262" s="3">
        <f>828.9+(439.9-516.1)+(1.268217+(0.673047-0.789633))+0-0-0</f>
        <v>753.85163099999988</v>
      </c>
      <c r="P262" s="3">
        <f>800.1+(419.8-506.7)+(-1.224153+(-0.642294--0.775251))+0-0-0</f>
        <v>712.10880400000008</v>
      </c>
      <c r="Q262" s="3">
        <f>797.9+(418.5-477)+(-0.813858+(-0.42687--0.48654))+0-0-0</f>
        <v>738.64581199999998</v>
      </c>
      <c r="R262" s="3">
        <f>762.5+(408.4-482.8)+(-0.77775+(-0.416568--0.492456))+0-0-0</f>
        <v>687.3981379999999</v>
      </c>
      <c r="S262" s="3">
        <f>765.6+(405.8-485.8)+(-0.390456+(-0.206958--0.247758))+0-0-0</f>
        <v>685.25034400000004</v>
      </c>
      <c r="T262" s="3">
        <f>762.3+(411.3-490.7)+(0.388773+(0.209763-0.250257))+0-0-0</f>
        <v>683.24827900000003</v>
      </c>
      <c r="U262" s="3">
        <f>764.3+(418.9-496.4)+(0.389793+(0.213639-0.253164))+0-0-0</f>
        <v>687.15026799999998</v>
      </c>
      <c r="V262" s="3">
        <f>827.9+(425.3-495.6)+(-2.111145+(-1.084515--1.26378))+0-0-0</f>
        <v>755.66811999999993</v>
      </c>
      <c r="W262" s="3">
        <f>831+(548.9-509.9)+(0+(0-0))+0-0-0</f>
        <v>870</v>
      </c>
      <c r="X262" s="3">
        <f>825.2+(608-490.6)+(-2.525112+(-1.86048--1.501236))+0-0-0</f>
        <v>939.715644</v>
      </c>
      <c r="Y262" s="3">
        <f>830.4+(609.5-512.2)+(-1.694016+(-1.24338--1.044888))+0-0-0</f>
        <v>925.80749199999991</v>
      </c>
      <c r="Z262" s="3">
        <f>829.8+(571.1-510)+(-1.269594+(-0.873783--0.7803))+0-0-0</f>
        <v>889.536923</v>
      </c>
      <c r="AA262" s="3">
        <f>830.4+(512.1-482.9)+(-1.270512+(-0.783513--0.738837))+0-0-0</f>
        <v>858.28481199999999</v>
      </c>
      <c r="AB262" s="3">
        <f>833.1+(466.3-489.1)+(-1.699524+(-0.951252--0.997764))+0-0-0</f>
        <v>808.64698799999996</v>
      </c>
      <c r="AC262" s="3">
        <f>826.4+(380.9-489.8)+(-2.10732+(-0.971295--1.24899))+0-0-0</f>
        <v>715.67037500000004</v>
      </c>
      <c r="AD262">
        <f t="shared" si="4"/>
        <v>17083.847697000001</v>
      </c>
      <c r="AE262" s="3">
        <f>824+(634.2-499.8)+(0+(0-0))+0-0-0</f>
        <v>958.40000000000009</v>
      </c>
    </row>
    <row r="263" spans="1:31" s="2" customFormat="1" x14ac:dyDescent="0.25">
      <c r="A263">
        <v>89</v>
      </c>
      <c r="B263">
        <v>9</v>
      </c>
      <c r="C263">
        <v>17</v>
      </c>
      <c r="D263">
        <v>5</v>
      </c>
      <c r="E263">
        <v>1</v>
      </c>
      <c r="F263" s="3">
        <f>704.1+(430.1-505.6)+(-2.154546+(-1.316106--1.547136))+0-0-0</f>
        <v>626.67648400000007</v>
      </c>
      <c r="G263" s="3">
        <f>645.4+(412-490.2)+(-1.316616+(-0.84048--1.000008))+0-0-0</f>
        <v>566.042912</v>
      </c>
      <c r="H263" s="3">
        <f>637+(404.9-492)+(-1.62435+(-1.032495--1.2546))+0-0-0</f>
        <v>548.49775499999998</v>
      </c>
      <c r="I263" s="3">
        <f>583.9+(417.4-457.2)+(0+(0-0))+0-0-0</f>
        <v>544.09999999999991</v>
      </c>
      <c r="J263" s="3">
        <f>579.4+(412.6-446.2)+(0.295494+(0.210426-0.227562))+0-0-0</f>
        <v>546.07835799999998</v>
      </c>
      <c r="K263" s="3">
        <f>580.7+(466-461)+(-0.592314+(-0.47532--0.47022))+0-0-0</f>
        <v>585.10258600000009</v>
      </c>
      <c r="L263" s="3">
        <f>541.3+(537.3-496.8)+(0+(0-0))+0-0-0</f>
        <v>581.79999999999995</v>
      </c>
      <c r="M263" s="3">
        <f>550.7+(545.4-499.9)+(-0.561714+(-0.556308--0.509898))+0-0-0</f>
        <v>595.59187600000007</v>
      </c>
      <c r="N263" s="3">
        <f>775+(387.7-490.9)+(-1.18575+(-0.593181--0.751077))+0-0-0</f>
        <v>670.77214599999991</v>
      </c>
      <c r="O263" s="3">
        <f>760.3+(447.1-501.4)+(-0.775506+(-0.456042--0.511428))+0-0-0</f>
        <v>705.27988000000005</v>
      </c>
      <c r="P263" s="3">
        <f>787.2+(412-471.2)+(-1.204416+(-0.63036--0.720936))+0-0-0</f>
        <v>726.88616000000002</v>
      </c>
      <c r="Q263" s="3">
        <f>844.3+(313.9-429.2)+(-1.291779+(-0.480267--0.656676))+0-0-0</f>
        <v>727.88463000000002</v>
      </c>
      <c r="R263" s="3">
        <f>843.8+(251.4-403.3)+(-2.15169+(-0.64107--1.028415))+0-0-0</f>
        <v>690.13565499999993</v>
      </c>
      <c r="S263" s="3">
        <f>801.5+(295.7-410.8)+(-0.81753+(-0.301614--0.419016))+0-0-0</f>
        <v>685.69987200000003</v>
      </c>
      <c r="T263" s="3">
        <f>796.5+(300.8-407.3)+(-0.81243+(-0.306816--0.415446))+0-0-0</f>
        <v>689.2962</v>
      </c>
      <c r="U263" s="3">
        <f>750.8+(320-382.1)+(-0.765816+(-0.3264--0.389742))+0-0-0</f>
        <v>687.99752599999988</v>
      </c>
      <c r="V263" s="3">
        <f>733.5+(446-468.3)+(-1.49634+(-0.90984--0.955332))+0-0-0</f>
        <v>709.74915200000009</v>
      </c>
      <c r="W263" s="3">
        <f>819.2+(605.2-534.5)+(-0.417792+(-0.308652--0.272595))+0-0-0</f>
        <v>889.4461510000001</v>
      </c>
      <c r="X263" s="3">
        <f>832.3+(617-514.2)+(-1.273419+(-0.94401--0.786726))+0-0-0</f>
        <v>933.66929699999991</v>
      </c>
      <c r="Y263" s="3">
        <f>792.1+(617.6-491.6)+(-1.615884+(-1.259904--1.002864))+0-0-0</f>
        <v>916.22707600000001</v>
      </c>
      <c r="Z263" s="3">
        <f>770.3+(623-504.9)+(0.392853+(0.31773-0.257499))+0-0-0</f>
        <v>888.85308399999997</v>
      </c>
      <c r="AA263" s="3">
        <f>770.1+(603.4-518.6)+(-0.785502+(-0.615468--0.528972))+0-0-0</f>
        <v>854.02800200000001</v>
      </c>
      <c r="AB263" s="3">
        <f>769.8+(580.5-545.4)+(-1.96299+(-1.480275--1.39077))+0-0-0</f>
        <v>802.84750499999996</v>
      </c>
      <c r="AC263" s="3">
        <f>768.3+(478.5-524)+(-0.783666+(-0.48807--0.53448))+0-0-0</f>
        <v>722.06274399999995</v>
      </c>
      <c r="AD263">
        <f t="shared" si="4"/>
        <v>16894.725051000001</v>
      </c>
      <c r="AE263" s="3">
        <f>831+(666.6-562.6)+(0+(0-0))+0-0-0</f>
        <v>935</v>
      </c>
    </row>
    <row r="264" spans="1:31" s="2" customFormat="1" x14ac:dyDescent="0.25">
      <c r="A264">
        <v>89</v>
      </c>
      <c r="B264">
        <v>9</v>
      </c>
      <c r="C264">
        <v>18</v>
      </c>
      <c r="D264">
        <v>6</v>
      </c>
      <c r="E264">
        <v>1</v>
      </c>
      <c r="F264" s="3">
        <f>712.1+(438-519.7)+(0.363171+(0.22338-0.265047))+0-0-0</f>
        <v>630.72150399999998</v>
      </c>
      <c r="G264" s="3">
        <f>671.8+(398.9-478.7)+(-0.342618+(-0.203439--0.244137))+0-0-0</f>
        <v>591.69808</v>
      </c>
      <c r="H264" s="3">
        <f>651.8+(373.5-452.8)+(-0.332418+(-0.190485--0.230928))+0-0-0</f>
        <v>572.20802500000002</v>
      </c>
      <c r="I264" s="3">
        <f>577.2+(397.6-415.9)+(0+(0-0))+0-0-0</f>
        <v>558.90000000000009</v>
      </c>
      <c r="J264" s="3">
        <f>577+(424.8-445.4)+(0.88281+(0.649944-0.681462))+0-0-0</f>
        <v>557.25129200000003</v>
      </c>
      <c r="K264" s="3">
        <f>583.5+(457.1-473.6)+(0.297585+(0.233121-0.241536))+0-0-0</f>
        <v>567.28917000000001</v>
      </c>
      <c r="L264" s="3">
        <f>664.2+(447.3-502.2)+(-1.354968+(-0.912492--1.024488))+0-0-0</f>
        <v>608.05702800000006</v>
      </c>
      <c r="M264" s="3">
        <f>773+(371-513)+(-0.78846+(-0.37842--0.52326))+0-0-0</f>
        <v>630.35637999999994</v>
      </c>
      <c r="N264" s="3">
        <f>834.7+(314.2-492.1)+(1.702788+(0.640968-1.003884))+0-0-0</f>
        <v>658.13987199999997</v>
      </c>
      <c r="O264" s="3">
        <f>831.7+(368.7-483.5)+(-0.424167+(-0.188037--0.246585))+0-0-0</f>
        <v>716.53438100000005</v>
      </c>
      <c r="P264" s="3">
        <f>822.8+(326.1-426.3)+(0.419628+(0.166311-0.217413))+0-0-0</f>
        <v>722.96852599999988</v>
      </c>
      <c r="Q264" s="3">
        <f>823+(339.5-428.7)+(-0.41973+(-0.173145--0.218637))+0-0-0</f>
        <v>733.42576199999996</v>
      </c>
      <c r="R264" s="3">
        <f>817.6+(313.7-435)+(-2.08488+(-0.799935--1.10925))+0-0-0</f>
        <v>694.52443499999993</v>
      </c>
      <c r="S264" s="3">
        <f>762.6+(335.1-416.9)+(-0.777852+(-0.341802--0.425238))+0-0-0</f>
        <v>680.10558400000002</v>
      </c>
      <c r="T264" s="3">
        <f>768+(342.3-433.1)+(-0.39168+(-0.174573--0.220881))+0-0-0</f>
        <v>676.85462800000005</v>
      </c>
      <c r="U264" s="3">
        <f>804.8+(314.1-424.3)+(-0.820896+(-0.320382--0.432786))+0-0-0</f>
        <v>693.89150799999993</v>
      </c>
      <c r="V264" s="3">
        <f>822+(388-501.4)+(0+(0-0))+0-0-0</f>
        <v>708.6</v>
      </c>
      <c r="W264" s="3">
        <f>835.1+(514.3-480.4)+(0.425901+(0.262293-0.245004))+0-0-0</f>
        <v>869.44318999999996</v>
      </c>
      <c r="X264" s="3">
        <f>827.7+(604.1-505.5)+(0+(0-0))+0-0-0</f>
        <v>926.30000000000007</v>
      </c>
      <c r="Y264" s="3">
        <f>822.2+(602.9-519)+(-1.257966+(-0.922437--0.79407))+0-0-0</f>
        <v>904.71366699999999</v>
      </c>
      <c r="Z264" s="3">
        <f>822.7+(532.3-485.1)+(-0.839154+(-0.542946--0.494802))+0-0-0</f>
        <v>869.01270199999999</v>
      </c>
      <c r="AA264" s="3">
        <f>822.5+(476.2-459.3)+(0.419475+(0.242862-0.234243))+0-0-0</f>
        <v>839.82809399999996</v>
      </c>
      <c r="AB264" s="3">
        <f>823.1+(420.1-440.5)+(-2.098905+(-1.071255--1.123275))+0-0-0</f>
        <v>800.65311500000007</v>
      </c>
      <c r="AC264" s="3">
        <f>814.6+(345.4-434.6)+(-3.323568+(-1.409232--1.773168))+0-0-0</f>
        <v>722.44036799999992</v>
      </c>
      <c r="AD264">
        <f t="shared" si="4"/>
        <v>16933.917311000001</v>
      </c>
      <c r="AE264" s="3">
        <f>844+(585-482.6)+(0+(0-0))+0-0-0</f>
        <v>946.4</v>
      </c>
    </row>
    <row r="265" spans="1:31" s="2" customFormat="1" x14ac:dyDescent="0.25">
      <c r="A265">
        <v>89</v>
      </c>
      <c r="B265">
        <v>9</v>
      </c>
      <c r="C265">
        <v>19</v>
      </c>
      <c r="D265">
        <v>7</v>
      </c>
      <c r="E265">
        <v>1</v>
      </c>
      <c r="F265" s="3">
        <f>771.9+(338.5-469.5)+(0+(0-0))+0-0-0</f>
        <v>640.9</v>
      </c>
      <c r="G265" s="3">
        <f>770.9+(259.4-440)+(-1.179477+(-0.396882--0.6732))+0-0-0</f>
        <v>589.39684099999999</v>
      </c>
      <c r="H265" s="3">
        <f>770.7+(270.4-471.4)+(-0.786114+(-0.275808--0.480828))+0-0-0</f>
        <v>569.11890600000004</v>
      </c>
      <c r="I265" s="3">
        <f>783.9+(251.2-474)+(0.399789+(0.128112-0.24174))+0-0-0</f>
        <v>561.3861609999999</v>
      </c>
      <c r="J265" s="3">
        <f>821.3+(205.9-472)+(-2.094315+(-0.525045--1.2036))+0-0-0</f>
        <v>553.78423999999995</v>
      </c>
      <c r="K265" s="3">
        <f>825.1+(208.6-474.6)+(0.420801+(0.106386-0.242046))+0-0-0</f>
        <v>559.38514099999998</v>
      </c>
      <c r="L265" s="3">
        <f>826+(246.9-501.4)+(-0.84252+(-0.251838--0.511428))+0-0-0</f>
        <v>570.91706999999997</v>
      </c>
      <c r="M265" s="3">
        <f>780.1+(262.4-477.7)+(-1.193553+(-0.401472--0.730881))+0-0-0</f>
        <v>563.93585599999994</v>
      </c>
      <c r="N265" s="3">
        <f>771.6+(314.8-503.7)+(-0.787032+(-0.321096--0.513774))+0-0-0</f>
        <v>582.10564600000009</v>
      </c>
      <c r="O265" s="3">
        <f>830.6+(307.5-495.2)+(-1.270818+(-0.470475--0.757656))+0-0-0</f>
        <v>641.91636300000005</v>
      </c>
      <c r="P265" s="3">
        <f>837.5+(338.1-509.7)+(-1.7085+(-0.689724--1.039788))+0-0-0</f>
        <v>664.54156400000011</v>
      </c>
      <c r="Q265" s="3">
        <f>815.3+(353.4-510.5)+(-0.831606+(-0.360468--0.52071))+0-0-0</f>
        <v>657.52863599999989</v>
      </c>
      <c r="R265" s="3">
        <f>821.9+(322.5-506.4)+(-1.257507+(-0.493425--0.774792))+0-0-0</f>
        <v>637.02386000000001</v>
      </c>
      <c r="S265" s="3">
        <f>820.2+(330-501.5)+(-1.673208+(-0.6732--1.02306))+0-0-0</f>
        <v>647.37665200000004</v>
      </c>
      <c r="T265" s="3">
        <f>819.3+(343.5-473.3)+(-0.835686+(-0.35037--0.482766))+0-0-0</f>
        <v>688.79670999999996</v>
      </c>
      <c r="U265" s="3">
        <f>817+(344.6-479.3)+(0+(0-0))+0-0-0</f>
        <v>682.3</v>
      </c>
      <c r="V265" s="3">
        <f>817.5+(336.9-498.6)+(-2.084625+(-0.859095--1.27143))+0-0-0</f>
        <v>654.12770999999998</v>
      </c>
      <c r="W265" s="3">
        <f>817.8+(542.7-548)+(0.417078+(0.276777-0.27948))+0-0-0</f>
        <v>812.91437499999995</v>
      </c>
      <c r="X265" s="3">
        <f>817.2+(633.8-567.5)+(-0.416772+(-0.323238--0.289425))+0-0-0</f>
        <v>883.04941499999995</v>
      </c>
      <c r="Y265" s="3">
        <f>818.6+(608.9-558.9)+(-1.252458+(-0.931617--0.855117))+0-0-0</f>
        <v>867.27104200000008</v>
      </c>
      <c r="Z265" s="3">
        <f>819.5+(570.1-547.5)+(-0.417945+(-0.290751--0.279225))+0-0-0</f>
        <v>841.67052899999999</v>
      </c>
      <c r="AA265" s="3">
        <f>818.4+(524.6-523.6)+(0+(0-0))+0-0-0</f>
        <v>819.4</v>
      </c>
      <c r="AB265" s="3">
        <f>818.8+(469.4-509.4)+(-0.835176+(-0.478788--0.519588))+0-0-0</f>
        <v>778.0056239999999</v>
      </c>
      <c r="AC265" s="3">
        <f>816.6+(363.8-479.9)+(-2.498796+(-1.113228--1.468494))+0-0-0</f>
        <v>698.35646999999994</v>
      </c>
      <c r="AD265">
        <f t="shared" si="4"/>
        <v>16165.208811000002</v>
      </c>
      <c r="AE265" s="3">
        <f>824+(656.4-597.9)+(0+(0-0))+0-0-0</f>
        <v>882.5</v>
      </c>
    </row>
    <row r="266" spans="1:31" s="2" customFormat="1" x14ac:dyDescent="0.25">
      <c r="A266">
        <v>89</v>
      </c>
      <c r="B266">
        <v>9</v>
      </c>
      <c r="C266">
        <v>20</v>
      </c>
      <c r="D266">
        <v>1</v>
      </c>
      <c r="E266">
        <v>1</v>
      </c>
      <c r="F266" s="3">
        <f>735.2+(352.2-469.9)+(-1.124856+(-0.538866--0.718947))+0-0-0</f>
        <v>616.55522499999995</v>
      </c>
      <c r="G266" s="3">
        <f>655.6+(378.7-473.6)+(1.003068+(0.579411-0.724608))+0-0-0</f>
        <v>561.55787100000009</v>
      </c>
      <c r="H266" s="3">
        <f>642.8+(383.6-483.2)+(-0.655656+(-0.391272--0.492864))+0-0-0</f>
        <v>542.64593600000001</v>
      </c>
      <c r="I266" s="3">
        <f>585.7+(400.9-443)+(0+(0-0))+0-0-0</f>
        <v>543.6</v>
      </c>
      <c r="J266" s="3">
        <f>624+(359.7-443)+(-0.31824+(-0.183447--0.22593))+0-0-0</f>
        <v>540.42424300000005</v>
      </c>
      <c r="K266" s="3">
        <f>642.9+(372.5-457.4)+(1.639395+(0.949875-1.16637))+0-0-0</f>
        <v>559.42290000000003</v>
      </c>
      <c r="L266" s="3">
        <f>696.2+(320.4-428.7)+(-0.355062+(-0.163404--0.218637))+0-0-0</f>
        <v>587.60017100000005</v>
      </c>
      <c r="M266" s="3">
        <f>821+(243.2-441.4)+(-0.41871+(-0.124032--0.225114))+0-0-0</f>
        <v>622.48237199999994</v>
      </c>
      <c r="N266" s="3">
        <f>823.5+(311.5-463)+(0+(0-0))+0-0-0</f>
        <v>672</v>
      </c>
      <c r="O266" s="3">
        <f>820.5+(371.5-451.8)+(-0.83691+(-0.37893--0.460836))+0-0-0</f>
        <v>739.44499600000006</v>
      </c>
      <c r="P266" s="3">
        <f>819.4+(459.7-526.5)+(0.417894+(0.234447-0.268515))+0-0-0</f>
        <v>752.98382599999991</v>
      </c>
      <c r="Q266" s="3">
        <f>819.6+(463-538.8)+(-2.08998+(-1.18065--1.37394))+0-0-0</f>
        <v>741.90331000000003</v>
      </c>
      <c r="R266" s="3">
        <f>821.3+(386.3-496)+(-1.675452+(-0.788052--1.01184))+0-0-0</f>
        <v>710.14833599999986</v>
      </c>
      <c r="S266" s="3">
        <f>822.1+(330.1-451.3)+(-1.677084+(-0.673404--0.920652))+0-0-0</f>
        <v>699.47016400000007</v>
      </c>
      <c r="T266" s="3">
        <f>822.7+(337.4-458.5)+(1.678308+(0.688296-0.93534))+0-0-0</f>
        <v>703.03126400000008</v>
      </c>
      <c r="U266" s="3">
        <f>822.3+(398.9-497.8)+(-2.096865+(-1.017195--1.26939))+0-0-0</f>
        <v>721.55532999999991</v>
      </c>
      <c r="V266" s="3">
        <f>821.1+(450.5-501.2)+(-1.256283+(-0.689265--0.766836))+0-0-0</f>
        <v>769.22128800000007</v>
      </c>
      <c r="W266" s="3">
        <f>820.8+(642.3-561.8)+(-1.255824+(-0.982719--0.859554))+0-0-0</f>
        <v>899.92101099999991</v>
      </c>
      <c r="X266" s="3">
        <f>822.9+(666-534.2)+(-1.678716+(-1.35864--1.089768))+0-0-0</f>
        <v>952.75241199999994</v>
      </c>
      <c r="Y266" s="3">
        <f>824.3+(624.1-519.6)+(-1.261179+(-0.954873--0.794988))+0-0-0</f>
        <v>927.37893599999995</v>
      </c>
      <c r="Z266" s="3">
        <f>825+(591.8-519.9)+(-1.683+(-1.207272--1.060596))+0-0-0</f>
        <v>895.07032400000003</v>
      </c>
      <c r="AA266" s="3">
        <f>825.2+(558.5-521.3)+(-1.262556+(-0.854505--0.797589))+0-0-0</f>
        <v>861.08052800000007</v>
      </c>
      <c r="AB266" s="3">
        <f>821.8+(504.2-520.2)+(-1.676472+(-1.028568--1.061208))+0-0-0</f>
        <v>804.15616799999998</v>
      </c>
      <c r="AC266" s="3">
        <f>815+(437.4-527.1)+(-1.24695+(-0.669222--0.806463))+0-0-0</f>
        <v>724.190291</v>
      </c>
      <c r="AD266">
        <f t="shared" si="4"/>
        <v>17148.596901999997</v>
      </c>
      <c r="AE266" s="3">
        <f>823+(711.7-577.7)+(0+(0-0))+0-0-0</f>
        <v>957</v>
      </c>
    </row>
    <row r="267" spans="1:31" s="2" customFormat="1" x14ac:dyDescent="0.25">
      <c r="A267">
        <v>89</v>
      </c>
      <c r="B267">
        <v>9</v>
      </c>
      <c r="C267">
        <v>21</v>
      </c>
      <c r="D267">
        <v>2</v>
      </c>
      <c r="E267">
        <v>1</v>
      </c>
      <c r="F267" s="3">
        <f>681.7+(424.1-485.2)+(-1.738335+(-1.081455--1.23726))+0-0-0</f>
        <v>619.01747000000012</v>
      </c>
      <c r="G267" s="3">
        <f>522.7+(488.8-443.6)+(-0.266577+(-0.249288--0.226236))+0-0-0</f>
        <v>567.6103710000001</v>
      </c>
      <c r="H267" s="3">
        <f>505.9+(355.2-304.4)+(-1.032036+(-0.724608--0.620976))+0-0-0</f>
        <v>555.56433200000004</v>
      </c>
      <c r="I267" s="3">
        <f>510.1+(314.2-273.8)+(0.780453+(0.480726-0.418914))+0-0-0</f>
        <v>551.342265</v>
      </c>
      <c r="J267" s="3">
        <f>509.6+(320.4-287.2)+(1.29948+(0.81702-0.73236))+0-0-0</f>
        <v>544.18413999999996</v>
      </c>
      <c r="K267" s="3">
        <f>540.3+(327.5-324.6)+(0.826659+(0.501075-0.496638))+0-0-0</f>
        <v>544.03109599999993</v>
      </c>
      <c r="L267" s="3">
        <f>738+(263.6-401.7)+(-0.37638+(-0.134436--0.204867))+0-0-0</f>
        <v>599.59405100000004</v>
      </c>
      <c r="M267" s="3">
        <f>825.6+(280.2-477.7)+(-0.421056+(-0.142902--0.243627))+0-0-0</f>
        <v>627.77966900000001</v>
      </c>
      <c r="N267" s="3">
        <f>827.1+(337.4-496.3)+(0+(0-0))+0-0-0</f>
        <v>668.2</v>
      </c>
      <c r="O267" s="3">
        <f>827.2+(340.9-458.3)+(-1.265616+(-0.521577--0.701199))+0-0-0</f>
        <v>708.71400599999993</v>
      </c>
      <c r="P267" s="3">
        <f>823.6+(326.4-399.2)+(-0.420036+(-0.166464--0.203592))+0-0-0</f>
        <v>750.41709199999991</v>
      </c>
      <c r="Q267" s="3">
        <f>823.5+(352.7-419.3)+(-1.259955+(-0.539631--0.641529))+0-0-0</f>
        <v>755.74194299999999</v>
      </c>
      <c r="R267" s="3">
        <f>820.5+(363.1-461.2)+(-3.34764+(-1.481448--1.881696))+0-0-0</f>
        <v>719.45260800000005</v>
      </c>
      <c r="S267" s="3">
        <f>823.7+(340.4-482.2)+(-0.420087+(-0.173604--0.245922))+0-0-0</f>
        <v>681.55223100000012</v>
      </c>
      <c r="T267" s="3">
        <f>821.8+(338-480.5)+(-1.257354+(-0.51714--0.735165))+0-0-0</f>
        <v>678.260671</v>
      </c>
      <c r="U267" s="3">
        <f>823.6+(300.4-440.1)+(1.260108+(0.459612-0.673353))+0-0-0</f>
        <v>684.94636700000001</v>
      </c>
      <c r="V267" s="3">
        <f>823.8+(317.6-414.2)+(-2.10069+(-0.80988--1.05621))+0-0-0</f>
        <v>725.34564</v>
      </c>
      <c r="W267" s="3">
        <f>829.3+(509-465.8)+(0.422943+(0.25959-0.237558))+0-0-0</f>
        <v>872.944975</v>
      </c>
      <c r="X267" s="3">
        <f>827.7+(591.5-510.8)+(-1.266381+(-0.904995--0.781524))+0-0-0</f>
        <v>907.01014800000007</v>
      </c>
      <c r="Y267" s="3">
        <f>827.8+(544.9-485.6)+(-1.266534+(-0.833697--0.742968))+0-0-0</f>
        <v>885.74273699999992</v>
      </c>
      <c r="Z267" s="3">
        <f>826.4+(493-459.9)+(-0.842928+(-0.50286--0.469098))+0-0-0</f>
        <v>858.62330999999995</v>
      </c>
      <c r="AA267" s="3">
        <f>824.4+(429-421.6)+(0+(0-0))+0-0-0</f>
        <v>831.8</v>
      </c>
      <c r="AB267" s="3">
        <f>826.1+(317-362.4)+(-1.263933+(-0.48501--0.554472))+0-0-0</f>
        <v>779.50552900000002</v>
      </c>
      <c r="AC267" s="3">
        <f>796.9+(123.4-206.3)+(-0.812838+(-0.125868--0.210426))+0-0-0</f>
        <v>713.27171999999996</v>
      </c>
      <c r="AD267">
        <f t="shared" si="4"/>
        <v>16830.652370999996</v>
      </c>
      <c r="AE267" s="3">
        <f>828+(578.5-495.3)+(0+(0-0))+0-0-0</f>
        <v>911.2</v>
      </c>
    </row>
    <row r="268" spans="1:31" s="2" customFormat="1" x14ac:dyDescent="0.25">
      <c r="A268">
        <v>89</v>
      </c>
      <c r="B268">
        <v>9</v>
      </c>
      <c r="C268">
        <v>22</v>
      </c>
      <c r="D268">
        <v>3</v>
      </c>
      <c r="E268">
        <v>1</v>
      </c>
      <c r="F268" s="3">
        <f>607+(178.7-176.1)+(-1.85742+(-0.546822--0.538866))+3-0-0</f>
        <v>610.73462400000005</v>
      </c>
      <c r="G268" s="3">
        <f>528.7+(110.7-102.4)+(-1.887459+(-0.395199--0.365568))+10.7-0-0</f>
        <v>545.78291000000002</v>
      </c>
      <c r="H268" s="3">
        <f>528.7+(113.1-75.1)+(-0.808911+(-0.173043--0.114903))+0-0-0</f>
        <v>565.8329490000001</v>
      </c>
      <c r="I268" s="3">
        <f>529.4+(116.8-96.4)+(0+(0-0))+0-0-0</f>
        <v>549.79999999999995</v>
      </c>
      <c r="J268" s="3">
        <f>530.1+(108.8-96.7)+(-0.270351+(-0.055488--0.049317))+0-0-0</f>
        <v>541.92347800000005</v>
      </c>
      <c r="K268" s="3">
        <f>532.9+(129.4-115.9)+(0.543558+(0.131988-0.118218))+0-0-0</f>
        <v>546.95732799999996</v>
      </c>
      <c r="L268" s="3">
        <f>615.9+(104.3-155)+(-0.628218+(-0.106386--0.1581))+0-0-0</f>
        <v>564.62349599999993</v>
      </c>
      <c r="M268" s="3">
        <f>739.8+(98.1-198.6)+(0.377298+(0.050031-0.101286))+0-0-0</f>
        <v>639.62604299999998</v>
      </c>
      <c r="N268" s="3">
        <f>809.5+(91.1-285.8)+(-0.82569+(-0.092922--0.291516))+0-0-0</f>
        <v>614.1729039999999</v>
      </c>
      <c r="O268" s="3">
        <f>846.1+(232.3-386.7)+(0+(0-0))+0-0-0</f>
        <v>691.7</v>
      </c>
      <c r="P268" s="3">
        <f>844.1+(283.2-438.5)+(0+(0-0))+0-0-0</f>
        <v>688.8</v>
      </c>
      <c r="Q268" s="3">
        <f>842.3+(280.6-424.3)+(0+(0-0))+0-0-0</f>
        <v>698.59999999999991</v>
      </c>
      <c r="R268" s="3">
        <f>851.1+(299.3-477.9)+(0+(0-0))+0-0-0</f>
        <v>672.5</v>
      </c>
      <c r="S268" s="3">
        <f>869.1+(251.5-478.3)+(0+(0-0))+0-0-0</f>
        <v>642.29999999999995</v>
      </c>
      <c r="T268" s="3">
        <f>988.1+(136-481.6)+(0+(0-0))+0-0-0</f>
        <v>642.5</v>
      </c>
      <c r="U268" s="3">
        <f>982.6+(174.5-514.3)+(0+(0-0))+0-0-0</f>
        <v>642.80000000000007</v>
      </c>
      <c r="V268" s="3">
        <f>982+(212.3-496.3)+(0+(0-0))+0-0-0</f>
        <v>698</v>
      </c>
      <c r="W268" s="3">
        <f>963.3+(362.6-490.3)+(0+(0-0))+0-0-0</f>
        <v>835.59999999999991</v>
      </c>
      <c r="X268" s="3">
        <f>977.4+(404.6-462.5)+(0+(0-0))+0-0-0</f>
        <v>919.5</v>
      </c>
      <c r="Y268" s="3">
        <f>970.1+(403.5-479.3)+(0+(0-0))+0-0-0</f>
        <v>894.3</v>
      </c>
      <c r="Z268" s="3">
        <f>970.6+(391.6-497.6)+(0+(0-0))+0-0-0</f>
        <v>864.6</v>
      </c>
      <c r="AA268" s="3">
        <f>864.7+(482-506.9)+(0+(0-0))+0-0-0</f>
        <v>839.80000000000007</v>
      </c>
      <c r="AB268" s="3">
        <f>838+(457.2-494.9)+(0+(0-0))+0-0-0</f>
        <v>800.3</v>
      </c>
      <c r="AC268" s="3">
        <f>838+(367.9-457)+(0+(0-0))+0-0-0</f>
        <v>748.9</v>
      </c>
      <c r="AD268">
        <f t="shared" si="4"/>
        <v>16459.653731999999</v>
      </c>
      <c r="AE268" s="3">
        <f>970+(406.8-471.2)+(0+(0-0))+0-0-0</f>
        <v>905.6</v>
      </c>
    </row>
    <row r="269" spans="1:31" s="2" customFormat="1" x14ac:dyDescent="0.25">
      <c r="A269">
        <v>89</v>
      </c>
      <c r="B269">
        <v>9</v>
      </c>
      <c r="C269">
        <v>23</v>
      </c>
      <c r="D269">
        <v>4</v>
      </c>
      <c r="E269">
        <v>1</v>
      </c>
      <c r="F269" s="3">
        <f>720+(384.2-479)+(0+(0-0))+0-0-0</f>
        <v>625.20000000000005</v>
      </c>
      <c r="G269" s="3">
        <f>620+(444.7-462.8)+(0+(0-0))+0-0-0</f>
        <v>601.9</v>
      </c>
      <c r="H269" s="3">
        <f>535+(434.8-442.5)+(0+(0-0))+0-0-0</f>
        <v>527.29999999999995</v>
      </c>
      <c r="I269" s="3">
        <f>535+(447.6-434.6)+(0+(0-0))+0-0-0</f>
        <v>548</v>
      </c>
      <c r="J269" s="3">
        <f>535+(464.9-450.7)+(0+(0-0))+0-0-0</f>
        <v>549.20000000000005</v>
      </c>
      <c r="K269" s="3">
        <f>535+(488.2-461.1)+(0+(0-0))+0-0-0</f>
        <v>562.09999999999991</v>
      </c>
      <c r="L269" s="3">
        <f>603+(525.5-492.7)+(0+(0-0))+0-0-0</f>
        <v>635.79999999999995</v>
      </c>
      <c r="M269" s="3">
        <f>766+(421.1-499.1)+(0+(0-0))+0-0-0</f>
        <v>688</v>
      </c>
      <c r="N269" s="3">
        <f>831+(343.9-487)+(0+(0-0))+0-0-0</f>
        <v>687.9</v>
      </c>
      <c r="O269" s="3">
        <f>831+(311.8-460.8)+(0+(0-0))+0-0-0</f>
        <v>682</v>
      </c>
      <c r="P269" s="3">
        <f>835.6+(296.1-420.1)+(0+(0-0))+0-0-0</f>
        <v>711.6</v>
      </c>
      <c r="Q269" s="3">
        <f>829.8+(330.1-459)+(0+(0-0))+0-0-0</f>
        <v>700.9</v>
      </c>
      <c r="R269" s="3">
        <f>832.8+(359.2-506.7)+(-2.12364+(-0.91596--1.292085))+0-0-0</f>
        <v>683.55248499999993</v>
      </c>
      <c r="S269" s="3">
        <f>830.8+(304.1-482.6)+(-0.423708+(-0.155091--0.246126))+0-0-0</f>
        <v>651.96732699999995</v>
      </c>
      <c r="T269" s="3">
        <f>828+(314.9-507.9)+(-1.26684+(-0.481797--0.777087))+0-0-0</f>
        <v>634.02845000000002</v>
      </c>
      <c r="U269" s="3">
        <f>819.8+(322.5-510.1)+(-2.09049+(-0.822375--1.300755))+0-0-0</f>
        <v>630.5878899999999</v>
      </c>
      <c r="V269" s="3">
        <f>816.9+(368.3-500.9)+(-2.083095+(-0.939165--1.277295))+0-0-0</f>
        <v>682.55503499999998</v>
      </c>
      <c r="W269" s="3">
        <f>815.7+(533.5-511)+(-0.832014+(-0.54417--0.52122))+0-0-0</f>
        <v>837.34503600000005</v>
      </c>
      <c r="X269" s="3">
        <f>792.2+(610.5-495.6)+(-2.02011+(-1.556775--1.26378))+0-0-0</f>
        <v>904.78689500000007</v>
      </c>
      <c r="Y269" s="3">
        <f>740.6+(643.4-506.7)+(-0.377706+(-0.328134--0.258417))+0-0-0</f>
        <v>876.852577</v>
      </c>
      <c r="Z269" s="3">
        <f>729.7+(623.2-508.3)+(-1.488588+(-1.271328--1.036932))+0-0-0</f>
        <v>842.87701600000014</v>
      </c>
      <c r="AA269" s="3">
        <f>725+(604.5-527.1)+(0+(0-0))+0-0-0</f>
        <v>802.4</v>
      </c>
      <c r="AB269" s="3">
        <f>707.1+(573.4-499.8)+(-1.442484+(-1.169736--1.019592))+0-0-0</f>
        <v>779.10737200000005</v>
      </c>
      <c r="AC269" s="3">
        <f>682.1+(527.1-484.8)+(-0.347871+(-0.268821--0.247248))+0-0-0</f>
        <v>724.03055600000005</v>
      </c>
      <c r="AD269">
        <f t="shared" si="4"/>
        <v>16569.990639</v>
      </c>
      <c r="AE269" s="3">
        <f>828+(603.9-523.2)+(0+(0-0))+0-0-0</f>
        <v>908.69999999999993</v>
      </c>
    </row>
    <row r="270" spans="1:31" s="2" customFormat="1" x14ac:dyDescent="0.25">
      <c r="A270">
        <v>89</v>
      </c>
      <c r="B270">
        <v>9</v>
      </c>
      <c r="C270">
        <v>24</v>
      </c>
      <c r="D270">
        <v>5</v>
      </c>
      <c r="E270">
        <v>5</v>
      </c>
      <c r="F270" s="3">
        <f>614.6+(460.1-451)+(-0.626892+(-0.469302--0.46002))+0-0-0</f>
        <v>623.06382600000006</v>
      </c>
      <c r="G270" s="3">
        <f>489.5+(559.1-477.9)+(0.49929+(0.570282-0.487458))+0-0-0</f>
        <v>571.28211400000009</v>
      </c>
      <c r="H270" s="3">
        <f>394+(630.7-480.1)+(0+(0-0))+0-0-0</f>
        <v>544.6</v>
      </c>
      <c r="I270" s="3">
        <f>389.6+(588.6-450.3)+(0.198696+(0.300186-0.229653))+0-0-0</f>
        <v>528.16922900000009</v>
      </c>
      <c r="J270" s="3">
        <f>391.1+(571.1-438.8)+(0.199461+(0.291261-0.223788))+0-0-0</f>
        <v>523.66693400000008</v>
      </c>
      <c r="K270" s="3">
        <f>391.5+(575.4-436.2)+(-0.199665+(-0.293454--0.222462))+0-0-0</f>
        <v>530.42934300000002</v>
      </c>
      <c r="L270" s="3">
        <f>384.9+(636.4-473.4)+(-0.196299+(-0.324564--0.241434))+0-0-0</f>
        <v>547.62057099999993</v>
      </c>
      <c r="M270" s="3">
        <f>385.6+(659.3-497.9)+(-0.393312+(-0.672486--0.507858))+0-0-0</f>
        <v>546.44205999999997</v>
      </c>
      <c r="N270" s="3">
        <f>367+(674.2-484.3)+(0.37434+(0.687684-0.493986))+0-0-0</f>
        <v>557.46803800000009</v>
      </c>
      <c r="O270" s="3">
        <f>364.3+(696.6-456.2)+(0.185793+(0.355266-0.232662))+0-0-0</f>
        <v>605.00839700000006</v>
      </c>
      <c r="P270" s="3">
        <f>363+(737-478.9)+(-0.74052+(-1.50348--0.976956))+0-0-0</f>
        <v>619.83295599999997</v>
      </c>
      <c r="Q270" s="3">
        <f>397.5+(723.3-487.4)+(-1.013625+(-1.844415--1.24287))+0-0-0</f>
        <v>631.78482999999994</v>
      </c>
      <c r="R270" s="3">
        <f>396.8+(690.7-481.1)+(-0.404736+(-0.704514--0.490722))+0-0-0</f>
        <v>605.78147200000012</v>
      </c>
      <c r="S270" s="3">
        <f>397+(682.9-482.2)+(-0.60741+(-1.044837--0.737766))+0-0-0</f>
        <v>596.78551900000002</v>
      </c>
      <c r="T270" s="3">
        <f>361.9+(686.7-468.5)+(-0.738276+(-1.400868--0.95574))+0-0-0</f>
        <v>578.91659600000003</v>
      </c>
      <c r="U270" s="3">
        <f>362+(693.4-468.7)+(-0.55386+(-1.060902--0.717111))+0-0-0</f>
        <v>585.80234900000005</v>
      </c>
      <c r="V270" s="3">
        <f>363.1+(761.4-491.3)+(0.370362+(0.776628-0.501126))+0-0-0</f>
        <v>633.84586400000001</v>
      </c>
      <c r="W270" s="3">
        <f>552.9+(722.3-482.1)+(-0.281979+(-0.368373--0.245871))+0-0-0</f>
        <v>792.69551899999988</v>
      </c>
      <c r="X270" s="3">
        <f>711.6+(666.9-483.8)+(-2.177496+(-2.040714--1.480428))+0-0-0</f>
        <v>891.96221800000001</v>
      </c>
      <c r="Y270" s="3">
        <f>713.7+(632.3-483.2)+(-1.455948+(-1.289892--0.985728))+0-0-0</f>
        <v>861.03988799999991</v>
      </c>
      <c r="Z270" s="3">
        <f>692.2+(596.6-463.2)+(0.353022+(0.304266-0.236232))+0-0-0</f>
        <v>826.02105600000016</v>
      </c>
      <c r="AA270" s="3">
        <f>611.5+(683.5-495.4)+(-0.311865+(-0.348585--0.252654))+0-0-0</f>
        <v>799.19220400000006</v>
      </c>
      <c r="AB270" s="3">
        <f>536.3+(713.9-474.4)+(-0.547026+(-0.728178--0.483888))+0-0-0</f>
        <v>775.0086839999999</v>
      </c>
      <c r="AC270" s="3">
        <f>405.7+(764.3-455.3)+(-0.620721+(-1.169379--0.696609))+0-0-0</f>
        <v>713.60650899999996</v>
      </c>
      <c r="AD270">
        <f t="shared" si="4"/>
        <v>15490.026176000001</v>
      </c>
      <c r="AE270" s="3">
        <f>677+(718-501.1)+(0+(0-0))+0-0-0</f>
        <v>893.9</v>
      </c>
    </row>
    <row r="271" spans="1:31" s="2" customFormat="1" x14ac:dyDescent="0.25">
      <c r="A271">
        <v>89</v>
      </c>
      <c r="B271">
        <v>9</v>
      </c>
      <c r="C271">
        <v>25</v>
      </c>
      <c r="D271">
        <v>6</v>
      </c>
      <c r="E271">
        <v>5</v>
      </c>
      <c r="F271" s="3">
        <f>399.6+(705-465.8)+(-0.815184+(-1.4382--0.950232))+0-0-0</f>
        <v>637.496848</v>
      </c>
      <c r="G271" s="3">
        <f>399.7+(635.8-452.5)+(-0.611541+(-0.972774--0.692325))+0-0-0</f>
        <v>582.10801000000004</v>
      </c>
      <c r="H271" s="3">
        <f>398.9+(625.4-468.4)+(-0.406878+(-0.637908--0.477768))+0-0-0</f>
        <v>555.33298200000002</v>
      </c>
      <c r="I271" s="3">
        <f>399.3+(592.4-444.4)+(-1.018215+(-1.51062--1.13322))+0-0-0</f>
        <v>545.90438499999993</v>
      </c>
      <c r="J271" s="3">
        <f>400.8+(605.3-463.9)+(-0.408816+(-0.617406--0.473178))+0-0-0</f>
        <v>541.64695600000005</v>
      </c>
      <c r="K271" s="3">
        <f>401.3+(620.4-480.1)+(0+(0-0))+0-0-0</f>
        <v>541.59999999999991</v>
      </c>
      <c r="L271" s="3">
        <f>402.1+(636.8-480.4)+(-0.820284+(-1.299072--0.980016))+0-0-0</f>
        <v>557.36066000000005</v>
      </c>
      <c r="M271" s="3">
        <f>402.1+(614.1-473.3)+(-0.410142+(-0.626382--0.482766))+0-0-0</f>
        <v>542.34624200000007</v>
      </c>
      <c r="N271" s="3">
        <f>403.5+(640.4-484.4)+(-0.205785+(-0.326604--0.247044))+0-0-0</f>
        <v>559.21465499999999</v>
      </c>
      <c r="O271" s="3">
        <f>403+(668.2-489)+(0.41106+(0.681564-0.49878))+0-0-0</f>
        <v>582.79384400000004</v>
      </c>
      <c r="P271" s="3">
        <f>404.2+(651.5-475.6)+(-1.442994+(-2.325855--1.697892))+0-0-0</f>
        <v>578.02904299999989</v>
      </c>
      <c r="Q271" s="3">
        <f>404.1+(627.4-459.6)+(-0.412182+(-0.639948--0.468792))+0-0-0</f>
        <v>571.31666199999995</v>
      </c>
      <c r="R271" s="3">
        <f>402.2+(619.3-463.6)+(0.205122+(0.315843-0.236436))+0-0-0</f>
        <v>558.18452899999988</v>
      </c>
      <c r="S271" s="3">
        <f>401+(617.3-455.1)+(-0.40902+(-0.629646--0.464202))+0-0-0</f>
        <v>562.6255359999999</v>
      </c>
      <c r="T271" s="3">
        <f>399.1+(642.4-482.1)+(-1.017705+(-1.63812--1.229355))+0-0-0</f>
        <v>557.97352999999998</v>
      </c>
      <c r="U271" s="3">
        <f>397.3+(637.8-478.2)+(0+(0-0))+0-0-0</f>
        <v>556.9</v>
      </c>
      <c r="V271" s="3">
        <f>409.5+(649.5-463.2)+(-0.626535+(-0.993735--0.708696))+0-0-0</f>
        <v>594.88842599999998</v>
      </c>
      <c r="W271" s="3">
        <f>563.5+(702.1-496.4)+(-1.436925+(-1.790355--1.26582))+0-0-0</f>
        <v>767.23854000000006</v>
      </c>
      <c r="X271" s="3">
        <f>705.3+(679.2-519.4)+(-0.719406+(-0.692784--0.529788))+0-0-0</f>
        <v>864.21759800000007</v>
      </c>
      <c r="Y271" s="3">
        <f>712.6+(630.4-486.4)+(0+(0-0))+0-0-0</f>
        <v>856.6</v>
      </c>
      <c r="Z271" s="3">
        <f>670.4+(632-491.5)+(-1.025712+(-0.96696--0.751995))+0-0-0</f>
        <v>809.65932299999997</v>
      </c>
      <c r="AA271" s="3">
        <f>618.9+(660.2-490.9)+(0.315639+(0.336702-0.250359))+0-0-0</f>
        <v>788.60198200000002</v>
      </c>
      <c r="AB271" s="3">
        <f>523.3+(711.8-483.7)+(-0.533766+(-0.726036--0.493374))+0-0-0</f>
        <v>750.63357199999984</v>
      </c>
      <c r="AC271" s="3">
        <f>484.3+(696.2-481.9)+(-0.493986+(-0.710124--0.491538))+0-0-0</f>
        <v>697.88742800000011</v>
      </c>
      <c r="AD271">
        <f t="shared" si="4"/>
        <v>15160.560750999997</v>
      </c>
      <c r="AE271" s="3">
        <f>710+(697.6-527.9)+(0+(0-0))+0-0-0</f>
        <v>879.7</v>
      </c>
    </row>
    <row r="272" spans="1:31" s="2" customFormat="1" x14ac:dyDescent="0.25">
      <c r="A272">
        <v>89</v>
      </c>
      <c r="B272">
        <v>9</v>
      </c>
      <c r="C272">
        <v>26</v>
      </c>
      <c r="D272">
        <v>7</v>
      </c>
      <c r="E272">
        <v>1</v>
      </c>
      <c r="F272" s="3">
        <f>396+(707.4-491.6)+(-0.60588+(-1.082322--0.752148))+0-0-0</f>
        <v>610.86394599999994</v>
      </c>
      <c r="G272" s="3">
        <f>395.4+(643.5-468.3)+(0+(0-0))+0-0-0</f>
        <v>570.59999999999991</v>
      </c>
      <c r="H272" s="3">
        <f>394.3+(616.7-461.9)+(-1.407651+(-2.201619--1.648983))+0-0-0</f>
        <v>547.13971300000014</v>
      </c>
      <c r="I272" s="3">
        <f>394+(595.5-447.9)+(0+(0-0))+0-0-0</f>
        <v>541.6</v>
      </c>
      <c r="J272" s="3">
        <f>394.2+(608.4-470)+(0+(0-0))+0-0-0</f>
        <v>532.59999999999991</v>
      </c>
      <c r="K272" s="3">
        <f>393.8+(607.6-466.4)+(0.602514+(0.929628-0.713592))+0-0-0</f>
        <v>535.81854999999996</v>
      </c>
      <c r="L272" s="3">
        <f>394.6+(655.8-493.1)+(-0.603738+(-1.003374--0.754443))+0-0-0</f>
        <v>556.44733099999996</v>
      </c>
      <c r="M272" s="3">
        <f>406.8+(631.9-500.6)+(-0.622404+(-0.966807--0.765918))+0-0-0</f>
        <v>537.27670699999987</v>
      </c>
      <c r="N272" s="3">
        <f>563.2+(495.1-486.1)+(0+(0-0))+0-0-0</f>
        <v>572.20000000000005</v>
      </c>
      <c r="O272" s="3">
        <f>566.2+(546.7-494.9)+(0.288762+(0.278817-0.252399))+0-0-0</f>
        <v>618.31518000000017</v>
      </c>
      <c r="P272" s="3">
        <f>671.1+(491.6-499.4)+(-1.711305+(-1.25358--1.27347))+0-0-0</f>
        <v>661.60858500000006</v>
      </c>
      <c r="Q272" s="3">
        <f>712.4+(458.1-501.1)+(-0.726648+(-0.467262--0.511122))+0-0-0</f>
        <v>668.71721200000002</v>
      </c>
      <c r="R272" s="3">
        <f>710.6+(413.3-476.3)+(-0.362406+(-0.210783--0.242913))+0-0-0</f>
        <v>647.269724</v>
      </c>
      <c r="S272" s="3">
        <f>713.1+(395.7-490.6)+(-1.091043+(-0.605421--0.750618))+0-0-0</f>
        <v>617.25415400000009</v>
      </c>
      <c r="T272" s="3">
        <f>712+(426.1-523.1)+(-1.08936+(-0.651933--0.800343))+0-0-0</f>
        <v>614.05904999999996</v>
      </c>
      <c r="U272" s="3">
        <f>710.7+(458.8-545.2)+(-1.087371+(-0.701964--0.834156))+0-0-0</f>
        <v>623.34482099999991</v>
      </c>
      <c r="V272" s="3">
        <f>765.2+(491.5-589.2)+(-1.170756+(-0.751995--0.901476))+0-0-0</f>
        <v>666.47872500000005</v>
      </c>
      <c r="W272" s="3">
        <f>828.2+(512.2-531)+(-0.422382+(-0.261222--0.27081))+0-0-0</f>
        <v>808.98720600000013</v>
      </c>
      <c r="X272" s="3">
        <f>846.7+(547.8-500.8)+(-1.727268+(-1.117512--1.021632))+0-0-0</f>
        <v>891.8768520000001</v>
      </c>
      <c r="Y272" s="3">
        <f>838.8+(533.8-488.2)+(-1.283364+(-0.816714--0.746946))+0-0-0</f>
        <v>883.0468679999999</v>
      </c>
      <c r="Z272" s="3">
        <f>836.2+(517.1-490.6)+(-1.705848+(-1.054884--1.000824))+0-0-0</f>
        <v>860.94009200000005</v>
      </c>
      <c r="AA272" s="3">
        <f>833.3+(503.5-493.2)+(-0.849966+(-0.51357--0.503064))+0-0-0</f>
        <v>842.73952799999995</v>
      </c>
      <c r="AB272" s="3">
        <f>825.5+(468.2-484.5)+(-2.105025+(-1.19391--1.235475))+0-0-0</f>
        <v>807.13654000000008</v>
      </c>
      <c r="AC272" s="3">
        <f>716.5+(506.9-487.1)+(-1.096245+(-0.775557--0.745263))+0-0-0</f>
        <v>735.17346099999997</v>
      </c>
      <c r="AD272">
        <f t="shared" si="4"/>
        <v>15951.494245</v>
      </c>
      <c r="AE272" s="3">
        <f>845+(528.7-490.2)+(0+(0-0))+0-0-0</f>
        <v>883.5</v>
      </c>
    </row>
    <row r="273" spans="1:31" s="2" customFormat="1" x14ac:dyDescent="0.25">
      <c r="A273">
        <v>89</v>
      </c>
      <c r="B273">
        <v>9</v>
      </c>
      <c r="C273">
        <v>27</v>
      </c>
      <c r="D273">
        <v>1</v>
      </c>
      <c r="E273">
        <v>1</v>
      </c>
      <c r="F273" s="3">
        <f>596.6+(527-482.2)+(-0.912798+(-0.80631--0.737766))+0-0-0</f>
        <v>640.41865800000005</v>
      </c>
      <c r="G273" s="3">
        <f>526+(512.8-454.3)+(-1.3413+(-1.30764--1.158465))+0-0-0</f>
        <v>583.00952500000005</v>
      </c>
      <c r="H273" s="3">
        <f>526.5+(494-450.5)+(-0.53703+(-0.50388--0.45951))+0-0-0</f>
        <v>569.41859999999997</v>
      </c>
      <c r="I273" s="3">
        <f>490.6+(507.3-440.1)+(-0.500412+(-0.517446--0.448902))+0-0-0</f>
        <v>557.231044</v>
      </c>
      <c r="J273" s="3">
        <f>477.4+(534.8-452.9)+(0+(0-0))+0-0-0</f>
        <v>559.29999999999995</v>
      </c>
      <c r="K273" s="3">
        <f>513.2+(512.1-456.7)+(-0.523464+(-0.522342--0.465834))+0-0-0</f>
        <v>568.02002800000014</v>
      </c>
      <c r="L273" s="3">
        <f>659.4+(451.9-499.7)+(0+(0-0))+0-0-0</f>
        <v>611.59999999999991</v>
      </c>
      <c r="M273" s="3">
        <f>711.5+(446-511)+(0+(0-0))+0-0-0</f>
        <v>646.5</v>
      </c>
      <c r="N273" s="3">
        <f>710.4+(466.9-487.2)+(0+(0-0))+0-0-0</f>
        <v>690.09999999999991</v>
      </c>
      <c r="O273" s="3">
        <f>715.3+(481.6-457.3)+(0+(0-0))+0-0-0</f>
        <v>739.59999999999991</v>
      </c>
      <c r="P273" s="3">
        <f>691.2+(530.7-464.8)+(0+(0-0))+0-0-0</f>
        <v>757.10000000000014</v>
      </c>
      <c r="Q273" s="3">
        <f>713.1+(507.7-454.2)+(0+(0-0))+0-0-0</f>
        <v>766.6</v>
      </c>
      <c r="R273" s="3">
        <f>712.9+(478.4-436.1)+(-0.363579+(-0.243984--0.222411))+0-0-0</f>
        <v>754.81484799999998</v>
      </c>
      <c r="S273" s="3">
        <f>716.1+(495.3-473.2)+(-0.365211+(-0.252603--0.241332))+0-0-0</f>
        <v>737.82351800000004</v>
      </c>
      <c r="T273" s="3">
        <f>713.5+(504.6-488.7)+(0+(0-0))+0-0-0</f>
        <v>729.40000000000009</v>
      </c>
      <c r="U273" s="3">
        <f>715.1+(484.2-467.2)+(1.094103+(0.740826-0.714816))+0-0-0</f>
        <v>733.22011299999997</v>
      </c>
      <c r="V273" s="3">
        <f>711.5+(557-486.1)+(0.72573+(0.56814-0.495822))+0-0-0</f>
        <v>783.19804799999997</v>
      </c>
      <c r="W273" s="3">
        <f>710.8+(685.2-498.4)+(0+(0-0))+0-0-0</f>
        <v>897.6</v>
      </c>
      <c r="X273" s="3">
        <f>712.8+(740.2-496.5)+(-0.363528+(-0.377502--0.253215))+0-0-0</f>
        <v>956.01218500000004</v>
      </c>
      <c r="Y273" s="3">
        <f>714.2+(707.4-502.5)+(-1.82121+(-1.80387--1.281375))+0-0-0</f>
        <v>916.75629500000002</v>
      </c>
      <c r="Z273" s="3">
        <f>711.3+(667.9-511.6)+(0.362763+(0.340629-0.260916))+0-0-0</f>
        <v>868.04247599999997</v>
      </c>
      <c r="AA273" s="3">
        <f>709.9+(653.4-530.5)+(-0.362049+(-0.333234--0.270555))+0-0-0</f>
        <v>832.375272</v>
      </c>
      <c r="AB273" s="3">
        <f>709.3+(599.3-481.9)+(-0.723486+(-0.611286--0.491538))+0-0-0</f>
        <v>825.85676599999988</v>
      </c>
      <c r="AC273" s="3">
        <f>654+(577.6-488)+(-0.33354+(-0.294576--0.24888))+0-0-0</f>
        <v>743.22076400000003</v>
      </c>
      <c r="AD273">
        <f t="shared" si="4"/>
        <v>17467.218140000001</v>
      </c>
      <c r="AE273" s="3">
        <f>710+(710.2-452)+(0+(0-0))+0-0-0</f>
        <v>968.2</v>
      </c>
    </row>
    <row r="274" spans="1:31" s="2" customFormat="1" x14ac:dyDescent="0.25">
      <c r="A274">
        <v>89</v>
      </c>
      <c r="B274">
        <v>9</v>
      </c>
      <c r="C274">
        <v>28</v>
      </c>
      <c r="D274">
        <v>2</v>
      </c>
      <c r="E274">
        <v>1</v>
      </c>
      <c r="F274" s="3">
        <f>497.6+(648-486.4)+(0+(0-0))+0-0-0</f>
        <v>659.2</v>
      </c>
      <c r="G274" s="3">
        <f>480+(620.8-489.4)+(-0.7344+(-0.949824--0.748782))+0-0-0</f>
        <v>610.46455800000001</v>
      </c>
      <c r="H274" s="3">
        <f>473.9+(599.9-475.7)+(-0.725067+(-0.917847--0.727821))+0-0-0</f>
        <v>597.18490699999995</v>
      </c>
      <c r="I274" s="3">
        <f>401.1+(631.3-464.4)+(0+(0-0))+0-0-0</f>
        <v>568</v>
      </c>
      <c r="J274" s="3">
        <f>400.7+(627.6-468.9)+(0+(0-0))+0-0-0</f>
        <v>559.40000000000009</v>
      </c>
      <c r="K274" s="3">
        <f>400.9+(680.1-469.2)+(-0.613377+(-1.040553--0.717876))+0-0-0</f>
        <v>610.86394599999994</v>
      </c>
      <c r="L274" s="3">
        <f>450.9+(657.7-495.7)+(0+(0-0))+0-0-0</f>
        <v>612.90000000000009</v>
      </c>
      <c r="M274" s="3">
        <f>612.2+(503-498.9)+(0+(0-0))+0-0-0</f>
        <v>616.30000000000007</v>
      </c>
      <c r="N274" s="3">
        <f>709.4+(517-497.6)+(-0.361794+(-0.26367--0.253776))+0-0-0</f>
        <v>728.42831200000001</v>
      </c>
      <c r="O274" s="3">
        <f>715.6+(483.3-484.1)+(0+(0-0))+0-0-0</f>
        <v>714.8</v>
      </c>
      <c r="P274" s="3">
        <f>714.8+(469.5-470.8)+(0+(0-0))+0-0-0</f>
        <v>713.5</v>
      </c>
      <c r="Q274" s="3">
        <f>713.2+(484.2-453.2)+(-1.454928+(-0.987768--0.924528))+0-0-0</f>
        <v>742.6818320000001</v>
      </c>
      <c r="R274" s="3">
        <f>712+(533.3-486.7)+(-1.08936+(-0.815949--0.744651))+0-0-0</f>
        <v>757.4393419999999</v>
      </c>
      <c r="S274" s="3">
        <f>714.5+(454.3-484.8)+(-0.72879+(-0.463386--0.494496))+0-0-0</f>
        <v>683.30232000000001</v>
      </c>
      <c r="T274" s="3">
        <f>714.7+(456.4-450.4)+(-0.728994+(-0.465528--0.459408))+0-0-0</f>
        <v>719.96488600000009</v>
      </c>
      <c r="U274" s="3">
        <f>714.8+(522.3-484.8)+(-0.729096+(-0.532746--0.494496))+0-0-0</f>
        <v>751.53265399999998</v>
      </c>
      <c r="V274" s="3">
        <f>714.2+(480.6-483)+(0+(0-0))+0-0-0</f>
        <v>711.80000000000007</v>
      </c>
      <c r="W274" s="3">
        <f>714.8+(657.8-474)+(-0.364548+(-0.335478--0.24174))+0-0-0</f>
        <v>898.14171399999987</v>
      </c>
      <c r="X274" s="3">
        <f>715.2+(696.7-499)+(-1.094256+(-1.065951--0.76347))+0-0-0</f>
        <v>911.50326300000006</v>
      </c>
      <c r="Y274" s="3">
        <f>715.6+(696.9-506.1)+(-1.094868+(-1.066257--0.774333))+0-0-0</f>
        <v>905.01320799999996</v>
      </c>
      <c r="Z274" s="3">
        <f>717.2+(674.1-509.2)+(-0.365772+(-0.343791--0.259692))+0-0-0</f>
        <v>881.65012900000011</v>
      </c>
      <c r="AA274" s="3">
        <f>718.1+(637.6-488.3)+(-1.098693+(-0.975528--0.747099))+0-0-0</f>
        <v>866.07287800000006</v>
      </c>
      <c r="AB274" s="3">
        <f>717.6+(519.9-474.1)+(-1.097928+(-0.795447--0.725373))+0-0-0</f>
        <v>762.23199799999998</v>
      </c>
      <c r="AC274" s="3">
        <f>588.6+(625-456.4)+(-0.600372+(-0.6375--0.465528))+0-0-0</f>
        <v>756.42765600000007</v>
      </c>
      <c r="AD274">
        <f t="shared" si="4"/>
        <v>17338.803603</v>
      </c>
      <c r="AE274" s="3">
        <f>713+(722.2-494.8)+(0+(0-0))+0-0-0</f>
        <v>940.40000000000009</v>
      </c>
    </row>
    <row r="275" spans="1:31" s="2" customFormat="1" x14ac:dyDescent="0.25">
      <c r="A275">
        <v>89</v>
      </c>
      <c r="B275">
        <v>9</v>
      </c>
      <c r="C275">
        <v>29</v>
      </c>
      <c r="D275">
        <v>3</v>
      </c>
      <c r="E275">
        <v>1</v>
      </c>
      <c r="F275" s="3">
        <f>421.3+(649.4-460.8)+(-1.074315+(-1.65597--1.17504))+0-0-0</f>
        <v>608.34475499999996</v>
      </c>
      <c r="G275" s="3">
        <f>396.5+(673.4-490.1)+(0.202215+(0.343434-0.249951))+0-0-0</f>
        <v>580.09569799999997</v>
      </c>
      <c r="H275" s="3">
        <f>400.9+(633-460.3)+(-0.408918+(-0.64566--0.469506))+0-0-0</f>
        <v>573.01492799999994</v>
      </c>
      <c r="I275" s="3">
        <f>399.2+(612.8-448.8)+(-0.203592+(-0.312528--0.228888))+0-0-0</f>
        <v>562.91276799999991</v>
      </c>
      <c r="J275" s="3">
        <f>400+(580.7-449.7)+(0.408+(0.592314-0.458694))+0-0-0</f>
        <v>531.54161999999997</v>
      </c>
      <c r="K275" s="3">
        <f>464.3+(535.5-476.2)+(-0.947172+(-1.09242--0.971448))+0-0-0</f>
        <v>522.53185600000006</v>
      </c>
      <c r="L275" s="3">
        <f>671.3+(445.8-502.3)+(-0.684726+(-0.454716--0.512346))+0-0-0</f>
        <v>614.1729039999999</v>
      </c>
      <c r="M275" s="3">
        <f>710.2+(423.2-505.2)+(-0.362202+(-0.215832--0.257652))+0-0-0</f>
        <v>627.87961800000005</v>
      </c>
      <c r="N275" s="3">
        <f>714.9+(452.1-498.2)+(-1.093797+(-0.691713--0.762246))+0-0-0</f>
        <v>667.77673599999991</v>
      </c>
      <c r="O275" s="3">
        <f>711.5+(468.3-481.2)+(-0.72573+(-0.477666--0.490824))+0-0-0</f>
        <v>697.887428</v>
      </c>
      <c r="P275" s="3">
        <f>750.2+(428.4-474.2)+(-1.147806+(-0.655452--0.725526))+0-0-0</f>
        <v>703.32226800000012</v>
      </c>
      <c r="Q275" s="3">
        <f>762.1+(403.9-443.7)+(-1.166013+(-0.617967--0.678861))+0-0-0</f>
        <v>721.19488100000001</v>
      </c>
      <c r="R275" s="3">
        <f>762.8+(358.4-448.2)+(-0.778056+(-0.365568--0.457164))+0-0-0</f>
        <v>672.31353999999999</v>
      </c>
      <c r="S275" s="3">
        <f>763.5+(349.1-447)+(-1.55754+(-0.712164--0.91188))+0-0-0</f>
        <v>664.24217599999997</v>
      </c>
      <c r="T275" s="3">
        <f>764+(371.1-477.2)+(-1.16892+(-0.567783--0.730116))+0-0-0</f>
        <v>656.89341300000012</v>
      </c>
      <c r="U275" s="3">
        <f>763.7+(354.7-455.7)+(-1.168461+(-0.542691--0.697221))+0-0-0</f>
        <v>661.68606900000009</v>
      </c>
      <c r="V275" s="3">
        <f>763.6+(388.1-453.1)+(-1.168308+(-0.593793--0.693243))+0-0-0</f>
        <v>697.53114200000005</v>
      </c>
      <c r="W275" s="3">
        <f>804.8+(485.7-453.1)+(0.410448+(0.247707-0.231081))+0-0-0</f>
        <v>837.82707399999981</v>
      </c>
      <c r="X275" s="3">
        <f>854.2+(553.5-485.3)+(-2.613852+(-1.69371--1.485018))+0-0-0</f>
        <v>919.5774560000001</v>
      </c>
      <c r="Y275" s="3">
        <f>800.5+(609.7-513.7)+(-0.81651+(-0.621894--0.523974))+0-0-0</f>
        <v>895.58556999999996</v>
      </c>
      <c r="Z275" s="3">
        <f>755.6+(610.2-502.7)+(-0.770712+(-0.622404--0.512754))+0-0-0</f>
        <v>862.21963800000015</v>
      </c>
      <c r="AA275" s="3">
        <f>718.8+(606.9-481.1)+(-1.466352+(-1.238076--0.981444))+0-0-0</f>
        <v>842.87701599999991</v>
      </c>
      <c r="AB275" s="3">
        <f>659.7+(632.3-484.9)+(-1.345788+(-1.289892--0.989196))+0-0-0</f>
        <v>805.45351600000004</v>
      </c>
      <c r="AC275" s="3">
        <f>539.9+(642.2-465.4)+(-0.826047+(-0.982566--0.712062))+0-0-0</f>
        <v>715.60344900000007</v>
      </c>
      <c r="AD275">
        <f t="shared" si="4"/>
        <v>16642.485518999998</v>
      </c>
      <c r="AE275" s="3">
        <f>854+(501.3-440.2)+(0+(0-0))+0-0-0</f>
        <v>915.1</v>
      </c>
    </row>
    <row r="276" spans="1:31" s="2" customFormat="1" x14ac:dyDescent="0.25">
      <c r="A276">
        <v>89</v>
      </c>
      <c r="B276">
        <v>9</v>
      </c>
      <c r="C276">
        <v>30</v>
      </c>
      <c r="D276">
        <v>4</v>
      </c>
      <c r="E276">
        <v>1</v>
      </c>
      <c r="F276" s="3">
        <f>520.1+(586.6-485.3)+(-0.530502+(-0.598332--0.495006))+0-0-0</f>
        <v>620.7661720000001</v>
      </c>
      <c r="G276" s="3">
        <f>519.3+(535.5-472.6)+(0.529686+(0.54621-0.482052))+0-0-0</f>
        <v>582.79384399999992</v>
      </c>
      <c r="H276" s="3">
        <f>518.7+(488.4-448.5)+(-0.529074+(-0.498168--0.45747))+0-0-0</f>
        <v>558.03022800000008</v>
      </c>
      <c r="I276" s="3">
        <f>519.7+(479.9-446)+(-1.325235+(-1.223745--1.1373))+0-0-0</f>
        <v>552.18831999999998</v>
      </c>
      <c r="J276" s="3">
        <f>521.1+(494.9-470.1)+(-0.531522+(-0.504798--0.479502))+0-0-0</f>
        <v>545.34318199999996</v>
      </c>
      <c r="K276" s="3">
        <f>521.3+(519.7-485.8)+(-0.265863+(-0.265047--0.247758))+0-0-0</f>
        <v>554.91684800000007</v>
      </c>
      <c r="L276" s="3">
        <f>586.2+(506.8-503.4)+(-1.195848+(-1.033872--1.026936))+0-0-0</f>
        <v>588.39721600000018</v>
      </c>
      <c r="M276" s="3">
        <f>688.6+(449-518.6)+(-1.404744+(-0.91596--1.057944))+0-0-0</f>
        <v>617.73724000000004</v>
      </c>
      <c r="N276" s="3">
        <f>709.2+(423.8-483.5)+(-0.361692+(-0.216138--0.246585))+0-0-0</f>
        <v>649.16875500000003</v>
      </c>
      <c r="O276" s="3">
        <f>704.7+(435.2-454.4)+(-1.796985+(-1.10976--1.15872))+0-0-0</f>
        <v>683.75197500000002</v>
      </c>
      <c r="P276" s="3">
        <f>689.7+(481.5-465.7)+(-0.351747+(-0.245565--0.237507))+0-0-0</f>
        <v>705.14019499999995</v>
      </c>
      <c r="Q276" s="3">
        <f>698.4+(478.8-466.3)+(-1.068552+(-0.732564--0.713439))+0-0-0</f>
        <v>709.81232299999999</v>
      </c>
      <c r="R276" s="3">
        <f>713.8+(434-467.3)+(-1.456152+(-0.88536--0.953292))+0-0-0</f>
        <v>679.11177999999995</v>
      </c>
      <c r="S276" s="3">
        <f>712.3+(443.6-477.5)+(-0.363273+(-0.226236--0.243525))+0-0-0</f>
        <v>678.05401599999993</v>
      </c>
      <c r="T276" s="3">
        <f>711.5+(453.9-493.6)+(-1.45146+(-0.925956--1.006944))+0-0-0</f>
        <v>670.429528</v>
      </c>
      <c r="U276" s="3">
        <f>712.6+(460.5-501.1)+(-1.090278+(-0.704565--0.766683))+0-0-0</f>
        <v>670.97184000000004</v>
      </c>
      <c r="V276" s="3">
        <f>714.4+(462.3-479.7)+(0+(0-0))+0-0-0</f>
        <v>697</v>
      </c>
      <c r="W276" s="3">
        <f>714+(572.6-463.9)+(0.72828+(0.584052-0.473178))+0-0-0</f>
        <v>823.53915400000005</v>
      </c>
      <c r="X276" s="3">
        <f>714.8+(691.4-509)+(-2.187288+(-2.115684--1.55754))+0-0-0</f>
        <v>894.45456799999988</v>
      </c>
      <c r="Y276" s="3">
        <f>716.4+(651.1-496.6)+(-2.557548+(-2.324427--1.772862))+0-0-0</f>
        <v>867.790887</v>
      </c>
      <c r="Z276" s="3">
        <f>713.7+(616.8-497.8)+(-1.819935+(-1.57284--1.26939))+0-0-0</f>
        <v>830.57661500000006</v>
      </c>
      <c r="AA276" s="3">
        <f>716.5+(588.2-490.3)+(0.365415+(0.299982-0.250053))+0-0-0</f>
        <v>814.8153440000001</v>
      </c>
      <c r="AB276" s="3">
        <f>655.4+(611.7-481)+(-1.002762+(-0.935901--0.73593))+0-0-0</f>
        <v>784.89726700000006</v>
      </c>
      <c r="AC276" s="3">
        <f>520.5+(671.2-474.5)+(-1.06182+(-1.369248--0.96798))+0-0-0</f>
        <v>715.73691200000007</v>
      </c>
      <c r="AD276">
        <f t="shared" si="4"/>
        <v>16495.424209000001</v>
      </c>
      <c r="AE276" s="3">
        <f>713+(662.6-478.1)+(0+(0-0))+0-0-0</f>
        <v>897.5</v>
      </c>
    </row>
    <row r="277" spans="1:31" s="2" customFormat="1" x14ac:dyDescent="0.25">
      <c r="A277">
        <v>89</v>
      </c>
      <c r="B277">
        <v>10</v>
      </c>
      <c r="C277">
        <v>1</v>
      </c>
      <c r="D277">
        <v>5</v>
      </c>
      <c r="E277">
        <v>1</v>
      </c>
      <c r="F277" s="3">
        <f>419.4+(723.3-502.3)+(0.213894+(0.368883-0.256173))+0-0-0</f>
        <v>640.72660399999984</v>
      </c>
      <c r="G277" s="3">
        <f>396.1+(659.7-475.8)+(-0.606033+(-1.009341--0.727974))+0-0-0</f>
        <v>579.11260000000004</v>
      </c>
      <c r="H277" s="3">
        <f>395.5+(635.5-478.3)+(-0.40341+(-0.64821--0.487866))+0-0-0</f>
        <v>552.13624600000003</v>
      </c>
      <c r="I277" s="3">
        <f>393.4+(632.3-484.4)+(-0.200634+(-0.322473--0.247044))+0-0-0</f>
        <v>541.02393699999993</v>
      </c>
      <c r="J277" s="3">
        <f>396.8+(602.5-457.8)+(-0.202368+(-0.307275--0.233478))+0-0-0</f>
        <v>541.22383500000001</v>
      </c>
      <c r="K277" s="3">
        <f>396.3+(626.6-474.8)+(0+(0-0))+0-0-0</f>
        <v>548.1</v>
      </c>
      <c r="L277" s="3">
        <f>395.5+(680.7-498.5)+(-1.008525+(-1.735785--1.271175))+0-0-0</f>
        <v>576.22686500000009</v>
      </c>
      <c r="M277" s="3">
        <f>574.2+(520.6-504.5)+(-0.292842+(-0.265506--0.257295))+0-0-0</f>
        <v>589.99894700000004</v>
      </c>
      <c r="N277" s="3">
        <f>695.2+(434-489.9)+(0.354552+(0.22134-0.249849))+0-0-0</f>
        <v>639.6260430000001</v>
      </c>
      <c r="O277" s="3">
        <f>671.9+(509.8-491.9)+(0.342669+(0.259998-0.250869))+0-0-0</f>
        <v>690.15179799999999</v>
      </c>
      <c r="P277" s="3">
        <f>666.5+(534.4-485.5)+(-1.019745+(-0.817632--0.742815))+0-0-0</f>
        <v>714.30543799999998</v>
      </c>
      <c r="Q277" s="3">
        <f>670.3+(519.7-467.6)+(-0.683706+(-0.530094--0.476952))+0-0-0</f>
        <v>721.66315199999997</v>
      </c>
      <c r="R277" s="3">
        <f>674.1+(503.7-488.5)+(-0.687582+(-0.513774--0.49827))+0-0-0</f>
        <v>688.59691399999997</v>
      </c>
      <c r="S277" s="3">
        <f>675.9+(474.3-484.4)+(-0.689418+(-0.483786--0.494088))+0-0-0</f>
        <v>665.12088399999993</v>
      </c>
      <c r="T277" s="3">
        <f>674.7+(465.7-489)+(1.720485+(1.187535-1.24695))+0-0-0</f>
        <v>653.06107000000009</v>
      </c>
      <c r="U277" s="3">
        <f>676.5+(482.6-504.5)+(0.345015+(0.246126-0.257295))+0-0-0</f>
        <v>654.93384600000002</v>
      </c>
      <c r="V277" s="3">
        <f>679.1+(513.2-496.8)+(-1.039023+(-0.785196--0.760104))+0-0-0</f>
        <v>694.43588499999998</v>
      </c>
      <c r="W277" s="3">
        <f>679.1+(649.5-500.6)+(-0.346341+(-0.331245--0.255306))+0-0-0</f>
        <v>827.57772</v>
      </c>
      <c r="X277" s="3">
        <f>712.9+(690.7-502.5)+(-1.454316+(-1.409028--1.0251))+0-0-0</f>
        <v>899.26175599999999</v>
      </c>
      <c r="Y277" s="3">
        <f>715.2+(679.2-523.1)+(-1.82376+(-1.73196--1.333905))+0-0-0</f>
        <v>869.07818500000008</v>
      </c>
      <c r="Z277" s="3">
        <f>715.2+(634.1-505.3)+(-1.094256+(-0.970173--0.773109))+0-0-0</f>
        <v>842.70867999999996</v>
      </c>
      <c r="AA277" s="3">
        <f>715.9+(596.5-485.9)+(0+(0-0))+0-0-0</f>
        <v>826.5</v>
      </c>
      <c r="AB277" s="3">
        <f>711.3+(569-495.3)+(-1.813815+(-1.45095--1.263015))+0-0-0</f>
        <v>782.99824999999998</v>
      </c>
      <c r="AC277" s="3">
        <f>608.8+(594.8-500.8)+(-0.931464+(-0.910044--0.766224))+0-0-0</f>
        <v>701.72471599999994</v>
      </c>
      <c r="AD277">
        <f t="shared" si="4"/>
        <v>16440.293371</v>
      </c>
      <c r="AE277" s="3">
        <f>713+(686-467.9)+(0+(0-0))+0-0-0</f>
        <v>931.1</v>
      </c>
    </row>
    <row r="278" spans="1:31" s="2" customFormat="1" x14ac:dyDescent="0.25">
      <c r="A278">
        <v>89</v>
      </c>
      <c r="B278">
        <v>10</v>
      </c>
      <c r="C278">
        <v>2</v>
      </c>
      <c r="D278">
        <v>6</v>
      </c>
      <c r="E278">
        <v>1</v>
      </c>
      <c r="F278" s="3">
        <f>513.8+(612.3-500)+(-1.31019+(-1.561365--1.275))+0-0-0</f>
        <v>624.50344499999994</v>
      </c>
      <c r="G278" s="3">
        <f>504.4+(566.7-481.9)+(0+(0-0))+0-0-0</f>
        <v>589.20000000000005</v>
      </c>
      <c r="H278" s="3">
        <f>506.3+(509.5-449.2)+(-1.291065+(-1.299225--1.14546))+0-0-0</f>
        <v>565.15517</v>
      </c>
      <c r="I278" s="3">
        <f>506.2+(497.8-453)+(0.258162+(0.253878-0.23103))+0-0-0</f>
        <v>551.28101000000004</v>
      </c>
      <c r="J278" s="3">
        <f>503+(507.2-458.7)+(0.76959+(0.776016-0.701811))+0-0-0</f>
        <v>552.343795</v>
      </c>
      <c r="K278" s="3">
        <f>501.1+(528.5-461.8)+(1.022244+(1.07814-0.942072))+0-0-0</f>
        <v>568.95831199999998</v>
      </c>
      <c r="L278" s="3">
        <f>521.8+(550.2-487.9)+(1.33059+(1.40301-1.244145))+0-0-0</f>
        <v>585.58945500000004</v>
      </c>
      <c r="M278" s="3">
        <f>660.9+(437.5-480.5)+(-0.337059+(-0.223125--0.245055))+0-0-0</f>
        <v>617.58487100000002</v>
      </c>
      <c r="N278" s="3">
        <f>712.2+(445.3-489.5)+(-0.726444+(-0.454206--0.49929))+0-0-0</f>
        <v>667.31863999999996</v>
      </c>
      <c r="O278" s="3">
        <f>715.2+(478.9-478)+(-0.364752+(-0.244239--0.24378))+0-0-0</f>
        <v>715.73478899999998</v>
      </c>
      <c r="P278" s="3">
        <f>713.7+(481.5-473.7)+(0.727974+(0.49113-0.483174))+0-0-0</f>
        <v>722.23593000000005</v>
      </c>
      <c r="Q278" s="3">
        <f>713.5+(498.2-494.9)+(-0.363885+(-0.254082--0.252399))+0-0-0</f>
        <v>716.4344319999999</v>
      </c>
      <c r="R278" s="3">
        <f>711.9+(457.2-495)+(-1.089207+(-0.699516--0.75735))+0-0-0</f>
        <v>673.06862699999988</v>
      </c>
      <c r="S278" s="3">
        <f>714.6+(454.3-500.3)+(-0.728892+(-0.463386--0.510306))+0-0-0</f>
        <v>667.91802800000005</v>
      </c>
      <c r="T278" s="3">
        <f>714.2+(420.3-465.9)+(-0.364242+(-0.214353--0.237609))+0-0-0</f>
        <v>668.25901400000009</v>
      </c>
      <c r="U278" s="3">
        <f>714+(439-473.3)+(0.72828+(0.44778-0.482766))+0-0-0</f>
        <v>680.39329400000008</v>
      </c>
      <c r="V278" s="3">
        <f>714.1+(471.2-482.7)+(-1.092573+(-0.720936--0.738531))+0-0-0</f>
        <v>701.52502200000004</v>
      </c>
      <c r="W278" s="3">
        <f>714.7+(611.6-497.9)+(-1.093491+(-0.935748--0.761787))+0-0-0</f>
        <v>827.13254800000004</v>
      </c>
      <c r="X278" s="3">
        <f>715.6+(677.6-522.4)+(-0.729912+(-0.691152--0.532848))+0-0-0</f>
        <v>869.91178400000001</v>
      </c>
      <c r="Y278" s="3">
        <f>715.4+(637.2-500.5)+(-0.364854+(-0.324972--0.255255))+0-0-0</f>
        <v>851.66542900000002</v>
      </c>
      <c r="Z278" s="3">
        <f>716.8+(581.4-476)+(-0.365568+(-0.296514--0.24276))+0-0-0</f>
        <v>821.78067799999997</v>
      </c>
      <c r="AA278" s="3">
        <f>714.2+(568.8-481.2)+(-2.185452+(-1.740528--1.472472))+0-0-0</f>
        <v>799.3464919999999</v>
      </c>
      <c r="AB278" s="3">
        <f>705.4+(558.6-499.3)+(-1.079262+(-0.854658--0.763929))+0-0-0</f>
        <v>763.53000900000006</v>
      </c>
      <c r="AC278" s="3">
        <f>556.4+(627.4-488.4)+(-0.851292+(-0.959922--0.747252))+0-0-0</f>
        <v>694.33603800000003</v>
      </c>
      <c r="AD278">
        <f t="shared" si="4"/>
        <v>16495.206812</v>
      </c>
      <c r="AE278" s="3">
        <f>715+(644.9-511.8)+(0+(0-0))+0-0-0</f>
        <v>848.09999999999991</v>
      </c>
    </row>
    <row r="279" spans="1:31" s="2" customFormat="1" x14ac:dyDescent="0.25">
      <c r="A279">
        <v>89</v>
      </c>
      <c r="B279">
        <v>10</v>
      </c>
      <c r="C279">
        <v>3</v>
      </c>
      <c r="D279">
        <v>7</v>
      </c>
      <c r="E279">
        <v>1</v>
      </c>
      <c r="F279" s="3">
        <f>488.9+(614.2-488)+(0+(0-0))+0-0-0</f>
        <v>615.1</v>
      </c>
      <c r="G279" s="3">
        <f>486.4+(571.1-482.9)+(-1.24032+(-1.456305--1.231395))+0-0-0</f>
        <v>573.13477</v>
      </c>
      <c r="H279" s="3">
        <f>486.2+(551.3-482.4)+(0.495924+(0.562326-0.492048))+0-0-0</f>
        <v>555.66620199999988</v>
      </c>
      <c r="I279" s="3">
        <f>486.4+(501.6-447.3)+(0+(0-0))+0-0-0</f>
        <v>540.70000000000005</v>
      </c>
      <c r="J279" s="3">
        <f>487.1+(505.1-446.2)+(0+(0-0))+0-0-0</f>
        <v>546</v>
      </c>
      <c r="K279" s="3">
        <f>487.5+(512.6-452.7)+(-0.248625+(-0.261426--0.230877))+0-0-0</f>
        <v>547.12082600000008</v>
      </c>
      <c r="L279" s="3">
        <f>488.2+(535.8-472)+(-0.248982+(-0.273258--0.24072))+0-0-0</f>
        <v>551.71848</v>
      </c>
      <c r="M279" s="3">
        <f>510.4+(508.8-468.7)+(-1.30152+(-1.29744--1.195185))+0-0-0</f>
        <v>549.096225</v>
      </c>
      <c r="N279" s="3">
        <f>577.9+(455.4-470.3)+(0.589458+(0.464508-0.479706))+0-0-0</f>
        <v>563.57425999999998</v>
      </c>
      <c r="O279" s="3">
        <f>578.3+(513.6-483.2)+(0.294933+(0.261936-0.246432))+0-0-0</f>
        <v>609.01043700000002</v>
      </c>
      <c r="P279" s="3">
        <f>657.2+(470.1-483.6)+(-2.011032+(-1.438506--1.479816))+0-0-0</f>
        <v>641.730278</v>
      </c>
      <c r="Q279" s="3">
        <f>706.1+(429.9-491.8)+(-0.720222+(-0.438498--0.501636))+0-0-0</f>
        <v>643.54291599999999</v>
      </c>
      <c r="R279" s="3">
        <f>708+(401.4-498)+(-0.72216+(-0.409428--0.50796))+0-0-0</f>
        <v>610.77637199999992</v>
      </c>
      <c r="S279" s="3">
        <f>710.7+(376.4-510.6)+(-1.449828+(-0.767856--1.041624))+0-0-0</f>
        <v>575.32393999999999</v>
      </c>
      <c r="T279" s="3">
        <f>710.1+(368.6-509.2)+(-1.810755+(-0.93993--1.29846))+0-0-0</f>
        <v>568.047775</v>
      </c>
      <c r="U279" s="3">
        <f>709.4+(386.2-503)+(0+(0-0))+0-0-0</f>
        <v>592.59999999999991</v>
      </c>
      <c r="V279" s="3">
        <f>708.3+(454.8-509.4)+(-0.361233+(-0.231948--0.259794))+0-0-0</f>
        <v>653.36661300000003</v>
      </c>
      <c r="W279" s="3">
        <f>708.5+(626.3-521.4)+(-0.361335+(-0.319413--0.265914))+0-0-0</f>
        <v>812.98516599999994</v>
      </c>
      <c r="X279" s="3">
        <f>709.3+(618.9-499.7)+(-1.808715+(-1.578195--1.274235))+0-0-0</f>
        <v>826.38732500000003</v>
      </c>
      <c r="Y279" s="3">
        <f>710.4+(588.6-483)+(0.362304+(0.300186-0.24633))+0-0-0</f>
        <v>816.41615999999999</v>
      </c>
      <c r="Z279" s="3">
        <f>711.7+(526.7-479.9)+(0.362967+(0.268617-0.244749))+0-0-0</f>
        <v>758.88683500000013</v>
      </c>
      <c r="AA279" s="3">
        <f>710.9+(566.7-495.6)+(0+(0-0))+0-0-0</f>
        <v>782</v>
      </c>
      <c r="AB279" s="3">
        <f>652.5+(604.5-505)+(-0.998325+(-0.924885--0.77265))+0-0-0</f>
        <v>750.84943999999996</v>
      </c>
      <c r="AC279" s="3">
        <f>526.5+(636.9-487.3)+(-0.53703+(-0.649638--0.497046))+0-0-0</f>
        <v>675.41037799999992</v>
      </c>
      <c r="AD279">
        <f t="shared" si="4"/>
        <v>15359.444398000001</v>
      </c>
      <c r="AE279" s="3">
        <f>713+(654.7-523.2)+(0+(0-0))+0-0-0</f>
        <v>844.5</v>
      </c>
    </row>
    <row r="280" spans="1:31" s="2" customFormat="1" x14ac:dyDescent="0.25">
      <c r="A280">
        <v>89</v>
      </c>
      <c r="B280">
        <v>10</v>
      </c>
      <c r="C280">
        <v>4</v>
      </c>
      <c r="D280">
        <v>1</v>
      </c>
      <c r="E280">
        <v>1</v>
      </c>
      <c r="F280" s="3">
        <f>536.6+(574.1-494)+(-1.094664+(-1.171164--1.00776))+0-0-0</f>
        <v>615.44193200000007</v>
      </c>
      <c r="G280" s="3">
        <f>421.9+(620.4-473.1)+(0+(0-0))+0-0-0</f>
        <v>569.19999999999993</v>
      </c>
      <c r="H280" s="3">
        <f>401.1+(629.5-483.3)+(-0.613683+(-0.963135--0.739449))+0-0-0</f>
        <v>546.46263099999999</v>
      </c>
      <c r="I280" s="3">
        <f>401.1+(602.2-461.6)+(0.613683+(0.921366-0.706248))+0-0-0</f>
        <v>542.52880100000004</v>
      </c>
      <c r="J280" s="3">
        <f>400.8+(592.2-453.5)+(-0.204408+(-0.302022--0.231285))+0-0-0</f>
        <v>539.22485500000005</v>
      </c>
      <c r="K280" s="3">
        <f>401.3+(622.2-476.9)+(0.818652+(1.269288-0.972876))+0-0-0</f>
        <v>547.7150640000001</v>
      </c>
      <c r="L280" s="3">
        <f>461.9+(594-478.8)+(0.235569+(0.30294-0.244188))+0-0-0</f>
        <v>577.39432099999988</v>
      </c>
      <c r="M280" s="3">
        <f>698.8+(427.8-502.1)+(-1.069164+(-0.654534--0.768213))+0-0-0</f>
        <v>623.54451500000005</v>
      </c>
      <c r="N280" s="3">
        <f>713.6+(457.3-509.2)+(-1.091808+(-0.699669--0.779076))+0-0-0</f>
        <v>660.68759900000009</v>
      </c>
      <c r="O280" s="3">
        <f>711+(467.5-479.1)+(0.36261+(0.238425-0.244341))+0-0-0</f>
        <v>699.75669399999992</v>
      </c>
      <c r="P280" s="3">
        <f>712.6+(495.2-497.6)+(-1.090278+(-0.757656--0.761328))+0-0-0</f>
        <v>709.11339400000008</v>
      </c>
      <c r="Q280" s="3">
        <f>711.3+(495.5-499.5)+(-1.451052+(-1.01082--1.01898))+0-0-0</f>
        <v>705.85710799999993</v>
      </c>
      <c r="R280" s="3">
        <f>712.7+(467.8-522.3)+(-2.180862+(-1.431468--1.598238))+0-0-0</f>
        <v>656.18590800000004</v>
      </c>
      <c r="S280" s="3">
        <f>712.5+(457.1-559.6)+(-1.090125+(-0.699363--0.856188))+0-0-0</f>
        <v>609.06669999999997</v>
      </c>
      <c r="T280" s="3">
        <f>707.6+(453.6-550.7)+(-1.443504+(-0.925344--1.123428))+0-0-0</f>
        <v>609.25458000000003</v>
      </c>
      <c r="U280" s="3">
        <f>709.7+(432.7-522.5)+(0+(0-0))+0-0-0</f>
        <v>619.90000000000009</v>
      </c>
      <c r="V280" s="3">
        <f>771.1+(454.6-521.8)+(-2.359566+(-1.391076--1.596708))+0-0-0</f>
        <v>701.74606600000004</v>
      </c>
      <c r="W280" s="3">
        <f>842.3+(478.1-476.4)+(-0.859146+(-0.487662--0.485928))+0-0-0</f>
        <v>843.13912000000005</v>
      </c>
      <c r="X280" s="3">
        <f>835.4+(524.7-451.4)+(-1.704216+(-1.070388--0.920856))+0-0-0</f>
        <v>906.84625200000005</v>
      </c>
      <c r="Y280" s="3">
        <f>807.7+(617.2-473.9)+(-0.411927+(-0.314772--0.241689))+0-0-0</f>
        <v>950.51499000000013</v>
      </c>
      <c r="Z280" s="3">
        <f>717.7+(586.4-479.5)+(-1.098081+(-0.897192--0.733635))+0-0-0</f>
        <v>823.33836200000007</v>
      </c>
      <c r="AA280" s="3">
        <f>716.8+(590.3-495.9)+(-1.462272+(-1.204212--1.011636))+0-0-0</f>
        <v>809.54515199999992</v>
      </c>
      <c r="AB280" s="3">
        <f>716.3+(503.3-451.6)+(-1.095939+(-0.770049--0.690948))+0-0-0</f>
        <v>766.82496000000003</v>
      </c>
      <c r="AC280" s="3">
        <f>655.1+(528.3-484.6)+(-0.668202+(-0.538866--0.494292))+0-0-0</f>
        <v>698.08722399999999</v>
      </c>
      <c r="AD280">
        <f t="shared" si="4"/>
        <v>16331.376227999999</v>
      </c>
      <c r="AE280" s="3">
        <f>850+(484-448.3)+(0+(0-0))+0-0-0</f>
        <v>885.7</v>
      </c>
    </row>
    <row r="281" spans="1:31" s="2" customFormat="1" x14ac:dyDescent="0.25">
      <c r="A281">
        <v>89</v>
      </c>
      <c r="B281">
        <v>10</v>
      </c>
      <c r="C281">
        <v>5</v>
      </c>
      <c r="D281">
        <v>2</v>
      </c>
      <c r="E281">
        <v>1</v>
      </c>
      <c r="F281" s="3">
        <f>531.1+(581.1-500.6)+(-0.270861+(-0.296361--0.255306))+0-0-0</f>
        <v>611.28808400000003</v>
      </c>
      <c r="G281" s="3">
        <f>530.8+(556.1-509.6)+(-0.270708+(-0.283611--0.259896))+0-0-0</f>
        <v>577.0055769999999</v>
      </c>
      <c r="H281" s="3">
        <f>530.8+(534.8-504.9)+(-0.812124+(-0.818244--0.772497))+0-0-0</f>
        <v>559.84212899999989</v>
      </c>
      <c r="I281" s="3">
        <f>531.2+(520.5-495.8)+(-0.541824+(-0.53091--0.505716))+0-0-0</f>
        <v>555.33298200000013</v>
      </c>
      <c r="J281" s="3">
        <f>529.8+(493.1-466.7)+(0.810594+(0.754443-0.714051))+0-0-0</f>
        <v>557.05098600000008</v>
      </c>
      <c r="K281" s="3">
        <f>530.2+(494.1-464)+(0.540804+(0.503982-0.47328))+0-0-0</f>
        <v>560.87150600000007</v>
      </c>
      <c r="L281" s="3">
        <f>585.1+(490.3-499.5)+(-0.298401+(-0.250053--0.254745))+0-0-0</f>
        <v>575.60629100000006</v>
      </c>
      <c r="M281" s="3">
        <f>708.9+(389.1-487.6)+(-0.723078+(-0.396882--0.497352))+0-0-0</f>
        <v>609.77739199999996</v>
      </c>
      <c r="N281" s="3">
        <f>711.5+(405.6-473.9)+(-1.814325+(-1.03428--1.208445))+0-0-0</f>
        <v>641.55984000000001</v>
      </c>
      <c r="O281" s="3">
        <f>713.9+(469-481.4)+(-1.092267+(-0.71757--0.736542))+0-0-0</f>
        <v>700.42670499999997</v>
      </c>
      <c r="P281" s="3">
        <f>711+(472.1-473.6)+(0.36261+(0.240771-0.241536))+0-0-0</f>
        <v>709.86184500000002</v>
      </c>
      <c r="Q281" s="3">
        <f>713.4+(473.2-489.6)+(-1.091502+(-0.723996--0.749088))+0-0-0</f>
        <v>695.93358999999998</v>
      </c>
      <c r="R281" s="3">
        <f>711.9+(439.5-489.8)+(-1.089207+(-0.672435--0.749394))+0-0-0</f>
        <v>660.58775199999991</v>
      </c>
      <c r="S281" s="3">
        <f>711.6+(475.3-530.4)+(1.088748+(0.727209-0.811512))+0-0-0</f>
        <v>657.50444500000003</v>
      </c>
      <c r="T281" s="3">
        <f>713.8+(444.6-503.3)+(-1.456152+(-0.906984--1.026732))+0-0-0</f>
        <v>653.76359599999989</v>
      </c>
      <c r="U281" s="3">
        <f>715+(453.3-509.6)+(0+(0-0))+0-0-0</f>
        <v>658.7</v>
      </c>
      <c r="V281" s="3">
        <f>712.1+(443.7-471.5)+(-0.726342+(-0.452574--0.48093))+0-0-0</f>
        <v>683.60201399999994</v>
      </c>
      <c r="W281" s="3">
        <f>714.4+(595.7-511.8)+(-0.728688+(-0.607614--0.522036))+0-0-0</f>
        <v>797.48573399999998</v>
      </c>
      <c r="X281" s="3">
        <f>717.3+(661.2-495.3)+(-2.194938+(-2.023272--1.515618))+0-0-0</f>
        <v>880.49740800000006</v>
      </c>
      <c r="Y281" s="3">
        <f>717.9+(635.6-490.3)+(0.366129+(0.324156-0.250053))+0-0-0</f>
        <v>863.64023200000008</v>
      </c>
      <c r="Z281" s="3">
        <f>716.8+(572.8-456.7)+(-1.096704+(-0.876384--0.698751))+0-0-0</f>
        <v>831.62566299999992</v>
      </c>
      <c r="AA281" s="3">
        <f>715.9+(533.1-440)+(-1.460436+(-1.087524--0.8976))+0-0-0</f>
        <v>807.34964000000002</v>
      </c>
      <c r="AB281" s="3">
        <f>715.9+(510.1-451.8)+(-0.365109+(-0.260151--0.230418))+0-0-0</f>
        <v>773.80515800000001</v>
      </c>
      <c r="AC281" s="3">
        <f>705.6+(492.3-507.2)+(-3.238704+(-2.259657--2.328048))+0-0-0</f>
        <v>687.52968700000008</v>
      </c>
      <c r="AD281">
        <f t="shared" si="4"/>
        <v>16310.648256</v>
      </c>
      <c r="AE281" s="3">
        <f>712+(670.3-513.3)+(0+(0-0))+0-0-0</f>
        <v>869</v>
      </c>
    </row>
    <row r="282" spans="1:31" s="2" customFormat="1" x14ac:dyDescent="0.25">
      <c r="A282">
        <v>89</v>
      </c>
      <c r="B282">
        <v>10</v>
      </c>
      <c r="C282">
        <v>6</v>
      </c>
      <c r="D282">
        <v>3</v>
      </c>
      <c r="E282">
        <v>1</v>
      </c>
      <c r="F282" s="3">
        <f>634+(479.8-505.3)+(-1.29336+(-0.978792--1.030812))+0-0-0</f>
        <v>607.25865999999996</v>
      </c>
      <c r="G282" s="3">
        <f>492.8+(570.7-503.8)+(-0.251328+(-0.291057--0.256938))+0-0-0</f>
        <v>559.41455300000007</v>
      </c>
      <c r="H282" s="3">
        <f>484.9+(535.7-478.8)+(-0.494598+(-0.546414--0.488376))+0-0-0</f>
        <v>541.24736399999995</v>
      </c>
      <c r="I282" s="3">
        <f>484.8+(530.1-480.6)+(0.247248+(0.270351-0.245106))+0-0-0</f>
        <v>534.57249300000001</v>
      </c>
      <c r="J282" s="3">
        <f>485.1+(535.5-483.5)+(-0.742203+(-0.819315--0.739755))+0-0-0</f>
        <v>536.27823699999999</v>
      </c>
      <c r="K282" s="3">
        <f>487.6+(536.3-481.4)+(0.746028+(0.820539-0.736542))+0-0-0</f>
        <v>543.33002499999998</v>
      </c>
      <c r="L282" s="3">
        <f>534.8+(528.5-484.1)+(-0.272748+(-0.269535--0.246891))+0-0-0</f>
        <v>578.90460799999994</v>
      </c>
      <c r="M282" s="3">
        <f>679.6+(422.7-494.3)+(0.693192+(0.431154-0.504186))+0-0-0</f>
        <v>608.62016000000006</v>
      </c>
      <c r="N282" s="3">
        <f>832.2+(445.6-558.7)+(0+(0-0))+0-0-0</f>
        <v>719.1</v>
      </c>
      <c r="O282" s="3">
        <f>954.2+(405.5-642.5)+(-1.459926+(-0.620415--0.983025))+0-0-0</f>
        <v>716.10268400000007</v>
      </c>
      <c r="P282" s="3">
        <f>1021.6+(318.4-614)+(-1.563048+(-0.487152--0.93942))+0-0-0</f>
        <v>724.88922000000002</v>
      </c>
      <c r="Q282" s="3">
        <f>1056.9+(249-582.2)+(-0.539019+(-0.12699--0.296922))+0-0-0</f>
        <v>723.33091300000001</v>
      </c>
      <c r="R282" s="3">
        <f>1078.4+(236.3-577.1)+(-1.649952+(-0.361539--0.882963))+0-0-0</f>
        <v>736.47147200000018</v>
      </c>
      <c r="S282" s="3">
        <f>1017.2+(256.4-601.9)+(-1.556316+(-0.392292--0.920907))+0-0-0</f>
        <v>670.67229900000007</v>
      </c>
      <c r="T282" s="3">
        <f>1013.5+(267.4-614)+(-0.516885+(-0.136374--0.31314))+0-0-0</f>
        <v>666.55988100000002</v>
      </c>
      <c r="U282" s="3">
        <f>1029.3+(243.1-605.1)+(1.574829+(0.371943-0.925803))+0-0-0</f>
        <v>668.32096899999999</v>
      </c>
      <c r="V282" s="3">
        <f>1183.9+(159-652.8)+(-2.415156+(-0.32436--1.331712))+0-0-0</f>
        <v>688.69219600000008</v>
      </c>
      <c r="W282" s="3">
        <f>1204.3+(151.9-561.3)+(-1.842579+(-0.232407--0.858789))+0-0-0</f>
        <v>793.68380300000001</v>
      </c>
      <c r="X282" s="3">
        <f>1074.9+(254.5-530.3)+(-0.548199+(-0.129795--0.270453))+0-0-0</f>
        <v>798.6924590000001</v>
      </c>
      <c r="Y282" s="3">
        <f>1076.1+(294.2-522.7)+(-0.548811+(-0.150042--0.266577))+0-0-0</f>
        <v>847.16772399999991</v>
      </c>
      <c r="Z282" s="3">
        <f>1074.3+(276.7-520.5)+(-1.095786+(-0.282234--0.53091))+0-0-0</f>
        <v>829.65288999999996</v>
      </c>
      <c r="AA282" s="3">
        <f>1073.9+(240.7-498.1)+(-0.547689+(-0.122757--0.254031))+0-0-0</f>
        <v>816.08358499999997</v>
      </c>
      <c r="AB282" s="3">
        <f>1071.8+(255.8-539.9)+(-1.093236+(-0.260916--0.550698))+0-0-0</f>
        <v>786.89654600000006</v>
      </c>
      <c r="AC282" s="3">
        <f>1073.6+(227.6-587.3)+(-1.095072+(-0.232152--0.599046))+0-0-0</f>
        <v>713.17182200000002</v>
      </c>
      <c r="AD282">
        <f t="shared" si="4"/>
        <v>16409.114562999999</v>
      </c>
      <c r="AE282" s="3">
        <f>1201+(200.1-530.5)+(0+(0-0))+0-0-0</f>
        <v>870.6</v>
      </c>
    </row>
    <row r="283" spans="1:31" s="2" customFormat="1" x14ac:dyDescent="0.25">
      <c r="A283">
        <v>89</v>
      </c>
      <c r="B283">
        <v>10</v>
      </c>
      <c r="C283">
        <v>7</v>
      </c>
      <c r="D283">
        <v>4</v>
      </c>
      <c r="E283">
        <v>1</v>
      </c>
      <c r="F283" s="3">
        <f>983.6+(218.2-563.1)+(-2.50818+(-0.55641--1.435905))+0-0-0</f>
        <v>637.07131500000003</v>
      </c>
      <c r="G283" s="3">
        <f>776.5+(331.3-522.5)+(0+(0-0))+0-0-0</f>
        <v>585.29999999999995</v>
      </c>
      <c r="H283" s="3">
        <f>715.8+(379.2-523.6)+(-0.730116+(-0.386784--0.534072))+0-0-0</f>
        <v>570.81717199999991</v>
      </c>
      <c r="I283" s="3">
        <f>569.9+(457.9-484.3)+(0+(0-0))+0-0-0</f>
        <v>543.5</v>
      </c>
      <c r="J283" s="3">
        <f>562.3+(472.8-488.2)+(0.286773+(0.241128-0.248982))+0-0-0</f>
        <v>547.17891899999995</v>
      </c>
      <c r="K283" s="3">
        <f>562.2+(476.9-474.3)+(0+(0-0))+0-0-0</f>
        <v>564.79999999999995</v>
      </c>
      <c r="L283" s="3">
        <f>700.2+(392.3-519.2)+(-0.714204+(-0.400146--0.529584))+0-0-0</f>
        <v>572.71523400000001</v>
      </c>
      <c r="M283" s="3">
        <f>858.2+(362.3-601.8)+(-0.437682+(-0.184773--0.306918))+0-0-0</f>
        <v>618.3844630000001</v>
      </c>
      <c r="N283" s="3">
        <f>1045.3+(237.4-630.7)+(3.731721+(0.847518-2.251599))+0-0-0</f>
        <v>654.32763999999986</v>
      </c>
      <c r="O283" s="3">
        <f>1037.7+(189-533.9)+(0+(0-0))+0-0-0</f>
        <v>692.80000000000007</v>
      </c>
      <c r="P283" s="3">
        <f>1035.7+(214.4-537.9)+(-1.056414+(-0.218688--0.548658))+0-0-0</f>
        <v>711.47355600000003</v>
      </c>
      <c r="Q283" s="3">
        <f>1036.7+(184.4-511.2)+(-1.057434+(-0.188088--0.521424))+0-0-0</f>
        <v>709.17590200000006</v>
      </c>
      <c r="R283" s="3">
        <f>1033.3+(188.7-548.9)+(-1.580949+(-0.288711--0.839817))+0-0-0</f>
        <v>672.07015699999988</v>
      </c>
      <c r="S283" s="3">
        <f>1032.6+(239.6-600.1)+(-2.106504+(-0.488784--1.224204))+0-0-0</f>
        <v>670.72891599999991</v>
      </c>
      <c r="T283" s="3">
        <f>1034+(261.5-613.5)+(1.58202+(0.400095-0.938655))+0-0-0</f>
        <v>683.04345999999998</v>
      </c>
      <c r="U283" s="3">
        <f>951.6+(312.1-594.6)+(-1.941264+(-0.636684--1.212984))+0-0-0</f>
        <v>667.73503600000004</v>
      </c>
      <c r="V283" s="3">
        <f>958.8+(268.6-586.2)+(-0.977976+(-0.273972--0.597924))+0-0-0</f>
        <v>640.54597599999988</v>
      </c>
      <c r="W283" s="3">
        <f>1148.2+(162.9-543.5)+(-0.585582+(-0.083079--0.277185))+0-0-0</f>
        <v>767.20852400000001</v>
      </c>
      <c r="X283" s="3">
        <f>1209+(196.2-524.5)+(-1.84977+(-0.300186--0.802485))+0-0-0</f>
        <v>879.352529</v>
      </c>
      <c r="Y283" s="3">
        <f>1183.4+(167.1-524.8)+(-3.01767+(-0.426105--1.33824))+0-0-0</f>
        <v>823.59446500000013</v>
      </c>
      <c r="Z283" s="3">
        <f>1054.3+(246.2-498.1)+(0+(0-0))+0-0-0</f>
        <v>802.39999999999986</v>
      </c>
      <c r="AA283" s="3">
        <f>900.8+(370.2-474)+(-1.378224+(-0.566406--0.72522))+0-0-0</f>
        <v>795.78058999999996</v>
      </c>
      <c r="AB283" s="3">
        <f>879.3+(302.7-464.5)+(-1.345329+(-0.463131--0.710685))+0-0-0</f>
        <v>716.40222500000004</v>
      </c>
      <c r="AC283" s="3">
        <f>793.5+(364.3-491.8)+(-2.42811+(-1.114758--1.504908))+0-0-0</f>
        <v>663.96204</v>
      </c>
      <c r="AD283">
        <f t="shared" si="4"/>
        <v>16190.368118999999</v>
      </c>
      <c r="AE283" s="3">
        <f>1212+(204.3-515)+(0+(0-0))+0-0-0</f>
        <v>901.3</v>
      </c>
    </row>
    <row r="284" spans="1:31" s="2" customFormat="1" x14ac:dyDescent="0.25">
      <c r="A284">
        <v>89</v>
      </c>
      <c r="B284">
        <v>10</v>
      </c>
      <c r="C284">
        <v>8</v>
      </c>
      <c r="D284">
        <v>5</v>
      </c>
      <c r="E284">
        <v>1</v>
      </c>
      <c r="F284" s="3">
        <f>774.4+(336.2-493.1)+(0+(0-0))+0-0-0</f>
        <v>617.5</v>
      </c>
      <c r="G284" s="3">
        <f>652.3+(409-465)+(-0.665346+(-0.41718--0.4743))+0-0-0</f>
        <v>595.69177400000001</v>
      </c>
      <c r="H284" s="3">
        <f>525.5+(486.6-468.5)+(-0.53601+(-0.496332--0.47787))+0-0-0</f>
        <v>543.04552799999999</v>
      </c>
      <c r="I284" s="3">
        <f>523.3+(499.5-470.1)+(-0.533766+(-0.50949--0.479502))+0-0-0</f>
        <v>552.13624599999991</v>
      </c>
      <c r="J284" s="3">
        <f>524.2+(498.8-479.3)+(-0.267342+(-0.254388--0.244443))+0-0-0</f>
        <v>543.42271300000004</v>
      </c>
      <c r="K284" s="3">
        <f>611.3+(484-471.2)+(-0.623526+(-0.49368--0.480624))+0-0-0</f>
        <v>623.46341799999993</v>
      </c>
      <c r="L284" s="3">
        <f>631.9+(472.8-507.4)+(-0.322269+(-0.241128--0.258774))+0-0-0</f>
        <v>596.99537699999996</v>
      </c>
      <c r="M284" s="3">
        <f>646.2+(502-510.1)+(-0.659124+(-0.51204--0.520302))+0-0-0</f>
        <v>637.44913800000006</v>
      </c>
      <c r="N284" s="3">
        <f>813.7+(342.9-535.9)+(0+(0-0))+0-0-0</f>
        <v>620.70000000000005</v>
      </c>
      <c r="O284" s="3">
        <f>1033.2+(226.4-594.7)+(1.053864+(0.230928-0.606594))+0-0-0</f>
        <v>665.57819799999993</v>
      </c>
      <c r="P284" s="3">
        <f>1147.2+(232.2-601.8)+(-0.585072+(-0.118422--0.306918))+0-0-0</f>
        <v>777.20342400000015</v>
      </c>
      <c r="Q284" s="3">
        <f>1013.7+(252.9-540.1)+(0+(0-0))+0-0-0</f>
        <v>726.5</v>
      </c>
      <c r="R284" s="3">
        <f>971.9+(287.5-556.9)+(-1.487007+(-0.439875--0.852057))+0-0-0</f>
        <v>701.42517499999997</v>
      </c>
      <c r="S284" s="3">
        <f>981.4+(233.4-555)+(0+(0-0))+0-0-0</f>
        <v>659.8</v>
      </c>
      <c r="T284" s="3">
        <f>991.7+(242.2-573.4)+(0+(0-0))+0-0-0</f>
        <v>660.5</v>
      </c>
      <c r="U284" s="3">
        <f>990.4+(207.8-539.3)+(0+(0-0))+0-0-0</f>
        <v>658.90000000000009</v>
      </c>
      <c r="V284" s="3">
        <f>988.1+(248.6-553)+(-2.015724+(-0.507144--1.12812))+0-0-0</f>
        <v>682.305252</v>
      </c>
      <c r="W284" s="3">
        <f>1038.3+(263.9-504.1)+(0+(0-0))+0-0-0</f>
        <v>798.09999999999991</v>
      </c>
      <c r="X284" s="3">
        <f>1052.3+(341.6-529.5)+(-2.683365+(-0.87108--1.350225))+0-0-0</f>
        <v>862.19578000000001</v>
      </c>
      <c r="Y284" s="3">
        <f>1051.1+(324.2-526.3)+(-4.288488+(-1.322736--2.147304))+0-0-0</f>
        <v>845.53607999999997</v>
      </c>
      <c r="Z284" s="3">
        <f>985.3+(304.4-471.9)+(0+(0-0))+0-0-0</f>
        <v>817.8</v>
      </c>
      <c r="AA284" s="3">
        <f>943.2+(351-489.9)+(-0.962064+(-0.35802--0.499698))+0-0-0</f>
        <v>803.47961400000008</v>
      </c>
      <c r="AB284" s="3">
        <f>937.3+(331.4-494.7)+(-0.956046+(-0.338028--0.504594))+0-0-0</f>
        <v>773.21051999999997</v>
      </c>
      <c r="AC284" s="3">
        <f>763.8+(421.2-466.3)+(-1.94769+(-1.07406--1.189065))+0-0-0</f>
        <v>716.86731499999996</v>
      </c>
      <c r="AD284">
        <f t="shared" si="4"/>
        <v>16479.805551999998</v>
      </c>
      <c r="AE284" s="3">
        <f>1045+(323.3-512.3)+(0+(0-0))+0-0-0</f>
        <v>856</v>
      </c>
    </row>
    <row r="285" spans="1:31" s="2" customFormat="1" x14ac:dyDescent="0.25">
      <c r="A285">
        <v>89</v>
      </c>
      <c r="B285">
        <v>10</v>
      </c>
      <c r="C285">
        <v>9</v>
      </c>
      <c r="D285">
        <v>6</v>
      </c>
      <c r="E285">
        <v>1</v>
      </c>
      <c r="F285" s="3">
        <f>656.5+(470.3-510.5)+(-1.004445+(-0.719559--0.781065))+0-0-0</f>
        <v>615.35706099999993</v>
      </c>
      <c r="G285" s="3">
        <f>493.3+(539.8-474.8)+(0.251583+(0.275298-0.242148))+0-0-0</f>
        <v>558.58473299999991</v>
      </c>
      <c r="H285" s="3">
        <f>452.1+(569.4-481.9)+(-0.922284+(-1.161576--0.983076))+0-0-0</f>
        <v>538.49921600000005</v>
      </c>
      <c r="I285" s="3">
        <f>450.9+(570.4-487.5)+(-0.459918+(-0.581808--0.49725))+0-0-0</f>
        <v>533.25552399999992</v>
      </c>
      <c r="J285" s="3">
        <f>452.6+(548.3-473.8)+(-0.692478+(-0.838899--0.724914))+0-0-0</f>
        <v>526.2935369999999</v>
      </c>
      <c r="K285" s="3">
        <f>456.4+(545.6-476.2)+(0+(0-0))+0-0-0</f>
        <v>525.79999999999995</v>
      </c>
      <c r="L285" s="3">
        <f>516+(547.1-492)+(-0.78948+(-0.837063--0.75276))+0-0-0</f>
        <v>570.22621700000002</v>
      </c>
      <c r="M285" s="3">
        <f>624.2+(473.8-493.3)+(0.636684+(0.483276-0.503166))+0-0-0</f>
        <v>605.31679400000007</v>
      </c>
      <c r="N285" s="3">
        <f>827.7+(342.9-522.1)+(0.422127+(0.174879-0.266271))+0-0-0</f>
        <v>648.830735</v>
      </c>
      <c r="O285" s="3">
        <f>840.7+(389.7-523.7)+(-2.143785+(-0.993735--1.335435))+0-0-0</f>
        <v>704.89791500000001</v>
      </c>
      <c r="P285" s="3">
        <f>890.1+(325-502.1)+(0+(0-0))+0-0-0</f>
        <v>713</v>
      </c>
      <c r="Q285" s="3">
        <f>969.2+(295.6-554.2)+(-0.988584+(-0.301512--0.565284))+0-0-0</f>
        <v>709.87518799999998</v>
      </c>
      <c r="R285" s="3">
        <f>972.9+(280.6-566)+(-1.984716+(-0.572424--1.15464))+0-0-0</f>
        <v>686.09749999999997</v>
      </c>
      <c r="S285" s="3">
        <f>963.1+(328.1-610.5)+(-1.473543+(-0.501993--0.934065))+0-0-0</f>
        <v>679.65852900000004</v>
      </c>
      <c r="T285" s="3">
        <f>814+(387.8-531.6)+(-0.41514+(-0.197778--0.271116))+0-0-0</f>
        <v>669.85819800000002</v>
      </c>
      <c r="U285" s="3">
        <f>770.2+(402.4-506.4)+(-0.392802+(-0.205224--0.258264))+0-0-0</f>
        <v>665.86023800000009</v>
      </c>
      <c r="V285" s="3">
        <f>777.9+(395.5-489)+(-1.586916+(-0.80682--0.99756))+0-0-0</f>
        <v>683.00382400000001</v>
      </c>
      <c r="W285" s="3">
        <f>832.6+(457-497.5)+(-1.273878+(-0.69921--0.761175))+0-0-0</f>
        <v>790.88808700000004</v>
      </c>
      <c r="X285" s="3">
        <f>830.6+(511.5-483.5)+(-2.541636+(-1.56519--1.47951))+0-0-0</f>
        <v>855.97268400000007</v>
      </c>
      <c r="Y285" s="3">
        <f>832.4+(504.5-496.7)+(0+(0-0))+0-0-0</f>
        <v>840.2</v>
      </c>
      <c r="Z285" s="3">
        <f>833.4+(481-503.4)+(-1.275102+(-0.73593--0.770202))+0-0-0</f>
        <v>809.75917000000004</v>
      </c>
      <c r="AA285" s="3">
        <f>834.9+(460.1-491.4)+(-0.425799+(-0.234651--0.250614))+0-0-0</f>
        <v>803.19016399999998</v>
      </c>
      <c r="AB285" s="3">
        <f>835+(424.5-485.2)+(-1.7034+(-0.86598--0.989808))+0-0-0</f>
        <v>772.72042799999997</v>
      </c>
      <c r="AC285" s="3">
        <f>829.8+(425.3-526.4)+(-2.539188+(-1.301418--1.610784))+0-0-0</f>
        <v>726.47017800000003</v>
      </c>
      <c r="AD285">
        <f t="shared" si="4"/>
        <v>16233.615919999997</v>
      </c>
      <c r="AE285" s="3">
        <f>832+(524.6-499.8)+(0+(0-0))+0-0-0</f>
        <v>856.8</v>
      </c>
    </row>
    <row r="286" spans="1:31" s="2" customFormat="1" x14ac:dyDescent="0.25">
      <c r="A286">
        <v>89</v>
      </c>
      <c r="B286">
        <v>10</v>
      </c>
      <c r="C286">
        <v>10</v>
      </c>
      <c r="D286">
        <v>7</v>
      </c>
      <c r="E286">
        <v>1</v>
      </c>
      <c r="F286" s="3">
        <f>682.5+(442.3-476.9)+(0+(0-0))+0-0-0</f>
        <v>647.90000000000009</v>
      </c>
      <c r="G286" s="3">
        <f>522.4+(526.8-474.8)+(-0.532848+(-0.537336--0.484296))+0-0-0</f>
        <v>573.81411199999991</v>
      </c>
      <c r="H286" s="3">
        <f>511.7+(527.6-484.3)+(0+(0-0))+0-0-0</f>
        <v>555</v>
      </c>
      <c r="I286" s="3">
        <f>456.4+(529.9-445.3)+(-0.698292+(-0.810747--0.681309))+0-0-0</f>
        <v>540.17227000000003</v>
      </c>
      <c r="J286" s="3">
        <f>478+(495.6-435.1)+(-0.48756+(-0.505512--0.443802))+0-0-0</f>
        <v>537.95073000000002</v>
      </c>
      <c r="K286" s="3">
        <f>512.3+(430.2-401.5)+(0.261273+(0.219402-0.204765))+0-0-0</f>
        <v>541.27590999999995</v>
      </c>
      <c r="L286" s="3">
        <f>512.1+(474.6-437.5)+(0+(0-0))+0-0-0</f>
        <v>549.20000000000005</v>
      </c>
      <c r="M286" s="3">
        <f>510.6+(532.5-489.6)+(-0.520812+(-0.54315--0.499392))+0-0-0</f>
        <v>552.93543</v>
      </c>
      <c r="N286" s="3">
        <f>521.2+(559.8-504.1)+(-0.797436+(-0.856494--0.771273))+0-0-0</f>
        <v>576.01734299999998</v>
      </c>
      <c r="O286" s="3">
        <f>658.7+(485.3-509.7)+(-0.335937+(-0.247503--0.259947))+0-0-0</f>
        <v>633.97650700000008</v>
      </c>
      <c r="P286" s="3">
        <f>664.4+(497.6-488.9)+(-1.69422+(-1.26888--1.246695))+0-0-0</f>
        <v>671.38359500000001</v>
      </c>
      <c r="Q286" s="3">
        <f>679.5+(426.2-433.1)+(0.346545+(0.217362-0.220881))+0-0-0</f>
        <v>672.94302599999992</v>
      </c>
      <c r="R286" s="3">
        <f>688.7+(425.6-468)+(-0.702474+(-0.434112--0.47736))+0-0-0</f>
        <v>645.64077400000008</v>
      </c>
      <c r="S286" s="3">
        <f>688.3+(438.1-480.4)+(-2.106198+(-1.340586--1.470024))+0-0-0</f>
        <v>644.02323999999999</v>
      </c>
      <c r="T286" s="3">
        <f>688.9+(424.6-495.1)+(0.702678+(0.433092-0.505002))+0-0-0</f>
        <v>619.03076799999997</v>
      </c>
      <c r="U286" s="3">
        <f>689.2+(397-468.3)+(-0.351492+(-0.20247--0.238833))+0-0-0</f>
        <v>617.58487100000013</v>
      </c>
      <c r="V286" s="3">
        <f>712.3+(428.1-483.6)+(-0.363273+(-0.218331--0.246636))+0-0-0</f>
        <v>656.46503199999995</v>
      </c>
      <c r="W286" s="3">
        <f>837+(447-506.3)+(0.42687+(0.22797-0.258213))+0-0-0</f>
        <v>778.09662700000001</v>
      </c>
      <c r="X286" s="3">
        <f>847.1+(493.7-497)+(-1.296063+(-0.755361--0.76041))+0-0-0</f>
        <v>842.50898599999994</v>
      </c>
      <c r="Y286" s="3">
        <f>848.6+(444.4-460.9)+(-0.432786+(-0.226644--0.235059))+0-0-0</f>
        <v>831.67562900000007</v>
      </c>
      <c r="Z286" s="3">
        <f>848.9+(395-434.8)+(0.432939+(0.20145-0.221748))+0-0-0</f>
        <v>809.51264099999992</v>
      </c>
      <c r="AA286" s="3">
        <f>848.2+(393.5-449.6)+(-1.297746+(-0.602055--0.687888))+0-0-0</f>
        <v>790.88808700000004</v>
      </c>
      <c r="AB286" s="3">
        <f>837.1+(396.8-471.5)+(-2.134605+(-1.01184--1.202325))+0-0-0</f>
        <v>760.45588000000009</v>
      </c>
      <c r="AC286" s="3">
        <f>610.2+(550.8-475.6)+(-0.311202+(-0.280908--0.242556))+0-0-0</f>
        <v>685.05044599999997</v>
      </c>
      <c r="AD286">
        <f t="shared" si="4"/>
        <v>15733.501904000001</v>
      </c>
      <c r="AE286" s="3">
        <f>846+(503.3-513.8)+(0+(0-0))+0-0-0</f>
        <v>835.5</v>
      </c>
    </row>
    <row r="287" spans="1:31" s="2" customFormat="1" x14ac:dyDescent="0.25">
      <c r="A287">
        <v>89</v>
      </c>
      <c r="B287">
        <v>10</v>
      </c>
      <c r="C287">
        <v>11</v>
      </c>
      <c r="D287">
        <v>1</v>
      </c>
      <c r="E287">
        <v>1</v>
      </c>
      <c r="F287" s="3">
        <f>523.2+(548.3-450.3)+(-1.33416+(-1.398165--1.148265))+0-0-0</f>
        <v>619.61594000000002</v>
      </c>
      <c r="G287" s="3">
        <f>505.4+(503.7-449.1)+(-1.28877+(-1.284435--1.145205))+0-0-0</f>
        <v>558.572</v>
      </c>
      <c r="H287" s="3">
        <f>501.3+(503.7-453.2)+(-1.022652+(-1.027548--0.924528))+0-0-0</f>
        <v>550.67432799999995</v>
      </c>
      <c r="I287" s="3">
        <f>482+(483.2-430.5)+(-0.49164+(-0.492864--0.43911))+0-0-0</f>
        <v>534.15460600000006</v>
      </c>
      <c r="J287" s="3">
        <f>456.6+(492.7-423.4)+(0+(0-0))+0-0-0</f>
        <v>525.90000000000009</v>
      </c>
      <c r="K287" s="3">
        <f>459.7+(511.5-425.6)+(0.703341+(0.782595-0.651168))+0-0-0</f>
        <v>546.43476799999996</v>
      </c>
      <c r="L287" s="3">
        <f>573.5+(462.2-463.5)+(-0.58497+(-0.471444--0.47277))+0-0-0</f>
        <v>571.616356</v>
      </c>
      <c r="M287" s="3">
        <f>762.8+(360.7-512.2)+(0.389028+(0.183957-0.261222))+0-0-0</f>
        <v>611.611763</v>
      </c>
      <c r="N287" s="3">
        <f>830.4+(360.2-540.3)+(-0.847008+(-0.367404--0.551106))+0-0-0</f>
        <v>649.63669399999992</v>
      </c>
      <c r="O287" s="3">
        <f>828.8+(393.2-510.7)+(0+(0-0))+0-0-0</f>
        <v>711.3</v>
      </c>
      <c r="P287" s="3">
        <f>808.3+(442.9-512.6)+(0.412233+(0.225879-0.261426))+0-0-0</f>
        <v>738.97668599999986</v>
      </c>
      <c r="Q287" s="3">
        <f>831.7+(409.7-510.7)+(-1.696668+(-0.835788--1.041828))+0-0-0</f>
        <v>729.20937200000003</v>
      </c>
      <c r="R287" s="3">
        <f>831.3+(379.7-520.1)+(-1.271889+(-0.580941--0.795753))+0-0-0</f>
        <v>689.84292299999981</v>
      </c>
      <c r="S287" s="3">
        <f>846.2+(350.2-514.2)+(-0.863124+(-0.357204--0.524484))+0-0-0</f>
        <v>681.50415600000008</v>
      </c>
      <c r="T287" s="3">
        <f>851.1+(331.6-507.9)+(-1.302183+(-0.507348--0.777087))+0-0-0</f>
        <v>673.76755600000001</v>
      </c>
      <c r="U287" s="3">
        <f>851.5+(329.6-504.7)+(0.86853+(0.336192-0.514794))+0-0-0</f>
        <v>677.0899280000001</v>
      </c>
      <c r="V287" s="3">
        <f>835.6+(351.8-483.1)+(0+(0-0))+0-0-0</f>
        <v>704.3</v>
      </c>
      <c r="W287" s="3">
        <f>849.5+(450.2-493.8)+(-2.166225+(-1.14801--1.25919))+0-0-0</f>
        <v>803.84495500000003</v>
      </c>
      <c r="X287" s="3">
        <f>851.2+(529.7-500.7)+(-2.17056+(-1.350735--1.276785))+0-0-0</f>
        <v>877.95549000000005</v>
      </c>
      <c r="Y287" s="3">
        <f>851.3+(514.8-507.5)+(-0.868326+(-0.525096--0.51765))+0-0-0</f>
        <v>857.72422799999993</v>
      </c>
      <c r="Z287" s="3">
        <f>850.5+(477.4-482.9)+(-0.86751+(-0.486948--0.492558))+0-0-0</f>
        <v>844.13810000000001</v>
      </c>
      <c r="AA287" s="3">
        <f>850.2+(473.3-512.6)+(-1.300806+(-0.724149--0.784278))+0-0-0</f>
        <v>809.65932300000009</v>
      </c>
      <c r="AB287" s="3">
        <f>809.2+(504.7-515.3)+(-0.412692+(-0.257397--0.262803))+0-0-0</f>
        <v>798.19271400000014</v>
      </c>
      <c r="AC287" s="3">
        <f>766.7+(457.2-503)+(-1.955085+(-1.16586--1.28265))+0-0-0</f>
        <v>719.06170500000007</v>
      </c>
      <c r="AD287">
        <f t="shared" si="4"/>
        <v>16484.783590999999</v>
      </c>
      <c r="AE287" s="3">
        <f>848+(511.7-501.8)+(0+(0-0))+0-0-0</f>
        <v>857.9</v>
      </c>
    </row>
    <row r="288" spans="1:31" s="2" customFormat="1" x14ac:dyDescent="0.25">
      <c r="A288">
        <v>89</v>
      </c>
      <c r="B288">
        <v>10</v>
      </c>
      <c r="C288">
        <v>12</v>
      </c>
      <c r="D288">
        <v>2</v>
      </c>
      <c r="E288">
        <v>1</v>
      </c>
      <c r="F288" s="3">
        <f>534.1+(524.5-495.3)+(-0.817173+(-0.802485--0.757809))+0-0-0</f>
        <v>562.43815099999995</v>
      </c>
      <c r="G288" s="3">
        <f>497.7+(510.6-493.3)+(0+(0-0))+0-0-0</f>
        <v>515</v>
      </c>
      <c r="H288" s="3">
        <f>466.9+(523.7-489)+(-1.190595+(-1.335435--1.24695))+0-0-0</f>
        <v>500.32092</v>
      </c>
      <c r="I288" s="3">
        <f>461.8+(498.1-469.4)+(0.706554+(0.762093-0.718182))+0-0-0</f>
        <v>491.25046500000008</v>
      </c>
      <c r="J288" s="3">
        <f>523.2+(445.8-477.4)+(-1.067328+(-0.909432--0.973896))+0-0-0</f>
        <v>490.59713600000009</v>
      </c>
      <c r="K288" s="3">
        <f>525.3+(442-470.1)+(-0.267903+(-0.22542--0.239751))+0-0-0</f>
        <v>496.94642799999991</v>
      </c>
      <c r="L288" s="3">
        <f>682.6+(394.6-489.8)+(-0.696252+(-0.402492--0.499596))+0-0-0</f>
        <v>586.80085200000008</v>
      </c>
      <c r="M288" s="3">
        <f>831.2+(348.1-510.6)+(-0.423912+(-0.177531--0.260406))+0-0-0</f>
        <v>668.35896300000002</v>
      </c>
      <c r="N288" s="3">
        <f>768+(421.8-497.4)+(-0.39168+(-0.215118--0.253674))+0-0-0</f>
        <v>692.04687600000011</v>
      </c>
      <c r="O288" s="3">
        <f>773.9+(456.9-493.8)+(-1.184067+(-0.699057--0.755514))+0-0-0</f>
        <v>735.87239</v>
      </c>
      <c r="P288" s="3">
        <f>787.7+(412.7-476.4)+(1.205181+(0.631431-0.728892))+0-0-0</f>
        <v>725.10771999999997</v>
      </c>
      <c r="Q288" s="3">
        <f>922.1+(334.5-529.9)+(-2.351355+(-0.852975--1.351245))+0-0-0</f>
        <v>724.84691500000008</v>
      </c>
      <c r="R288" s="3">
        <f>922.4+(354.5-575.4)+(-2.35212+(-0.903975--1.46727))+0-0-0</f>
        <v>699.71117500000003</v>
      </c>
      <c r="S288" s="3">
        <f>766.8+(417.2-511.5)+(0+(0-0))+0-0-0</f>
        <v>672.5</v>
      </c>
      <c r="T288" s="3">
        <f>767.2+(431.4-523.1)+(-0.391272+(-0.220014--0.266781))+0-0-0</f>
        <v>675.15549499999997</v>
      </c>
      <c r="U288" s="3">
        <f>764+(447.7-534.7)+(-1.9482+(-1.141635--1.363485))+0-0-0</f>
        <v>675.27364999999998</v>
      </c>
      <c r="V288" s="3">
        <f>764.5+(465.7-538.5)+(-1.949475+(-1.187535--1.373175))+0-0-0</f>
        <v>689.93616500000007</v>
      </c>
      <c r="W288" s="3">
        <f>811.9+(483.1-508.5)+(-2.070345+(-1.231905--1.296675))+0-0-0</f>
        <v>784.49442499999998</v>
      </c>
      <c r="X288" s="3">
        <f>831.3+(518.9-469.7)+(-2.543778+(-1.587834--1.437282))+0-0-0</f>
        <v>877.80566999999996</v>
      </c>
      <c r="Y288" s="3">
        <f>831+(479.5-452.2)+(-2.11905+(-1.222725--1.15311))+0-0-0</f>
        <v>856.11133499999994</v>
      </c>
      <c r="Z288" s="3">
        <f>805.6+(484.5-459)+(-1.232568+(-0.741285--0.70227))+0-0-0</f>
        <v>829.82841700000006</v>
      </c>
      <c r="AA288" s="3">
        <f>770.7+(524.2-475.7)+(0+(0-0))+0-0-0</f>
        <v>819.2</v>
      </c>
      <c r="AB288" s="3">
        <f>770.3+(493.7-472.3)+(-1.178559+(-0.755361--0.722619))+0-0-0</f>
        <v>790.48869899999988</v>
      </c>
      <c r="AC288" s="3">
        <f>770.1+(394.8-453.1)+(-1.571004+(-0.805392--0.924324))+0-0-0</f>
        <v>710.34792799999991</v>
      </c>
      <c r="AD288">
        <f t="shared" si="4"/>
        <v>16270.439774999997</v>
      </c>
      <c r="AE288" s="3">
        <f>835+(516.7-495.7)+(0+(0-0))+0-0-0</f>
        <v>856</v>
      </c>
    </row>
    <row r="289" spans="1:31" s="2" customFormat="1" x14ac:dyDescent="0.25">
      <c r="A289">
        <v>89</v>
      </c>
      <c r="B289">
        <v>10</v>
      </c>
      <c r="C289">
        <v>13</v>
      </c>
      <c r="D289">
        <v>3</v>
      </c>
      <c r="E289">
        <v>1</v>
      </c>
      <c r="F289" s="3">
        <f>710.2+(386.5-465)+(-1.448808+(-0.78846--0.9486))+0-0-0</f>
        <v>630.41133200000002</v>
      </c>
      <c r="G289" s="3">
        <f>604.2+(457.4-473.1)+(-0.616284+(-0.466548--0.482562))+0-0-0</f>
        <v>587.89972999999998</v>
      </c>
      <c r="H289" s="3">
        <f>463+(569.8-470.7)+(-0.47226+(-0.581196--0.480114))+0-0-0</f>
        <v>561.52665799999988</v>
      </c>
      <c r="I289" s="3">
        <f>455.5+(550.1-454.8)+(-0.696915+(-0.841653--0.695844))+0-0-0</f>
        <v>549.95727599999998</v>
      </c>
      <c r="J289" s="3">
        <f>456.4+(554.3-460.7)+(0.698292+(0.848079-0.704871))+0-0-0</f>
        <v>550.8415</v>
      </c>
      <c r="K289" s="3">
        <f>512.4+(494.9-450.5)+(0+(0-0))+0-0-0</f>
        <v>556.79999999999995</v>
      </c>
      <c r="L289" s="3">
        <f>512.4+(495.9-453.5)+(0+(0-0))+0-0-0</f>
        <v>554.79999999999995</v>
      </c>
      <c r="M289" s="3">
        <f>726.4+(371.6-496.6)+(-0.740928+(-0.379032--0.506532))+0-0-0</f>
        <v>600.78657199999998</v>
      </c>
      <c r="N289" s="3">
        <f>830.2+(373-567.5)+(-0.423402+(-0.19023--0.289425))+0-0-0</f>
        <v>635.37579300000004</v>
      </c>
      <c r="O289" s="3">
        <f>836.7+(402.8-515.7)+(-0.853434+(-0.410856--0.526014))+0-0-0</f>
        <v>723.06172399999991</v>
      </c>
      <c r="P289" s="3">
        <f>817.8+(404.1-481)+(-1.668312+(-0.824364--0.98124))+0-0-0</f>
        <v>739.38856399999997</v>
      </c>
      <c r="Q289" s="3">
        <f>825.1+(373-489.2)+(-1.262403+(-0.57069--0.748476))+0-0-0</f>
        <v>707.81538300000011</v>
      </c>
      <c r="R289" s="3">
        <f>827.2+(345.2-490.6)+(-1.687488+(-0.704208--1.000824))+0-0-0</f>
        <v>680.40912800000001</v>
      </c>
      <c r="S289" s="3">
        <f>826+(368.5-526.1)+(-0.84252+(-0.37587--0.536622))+0-0-0</f>
        <v>667.71823199999994</v>
      </c>
      <c r="T289" s="3">
        <f>833.2+(353.5-536.3)+(-0.424932+(-0.180285--0.273513))+0-0-0</f>
        <v>650.06829600000015</v>
      </c>
      <c r="U289" s="3">
        <f>833.8+(369.4-550.1)+(-0.850476+(-0.376788--0.561102))+0-0-0</f>
        <v>652.43383799999992</v>
      </c>
      <c r="V289" s="3">
        <f>838.2+(386.5-550.5)+(-2.13741+(-0.985575--1.403775))+0-0-0</f>
        <v>672.48079000000007</v>
      </c>
      <c r="W289" s="3">
        <f>844+(422.4-495.3)+(-2.1522+(-1.07712--1.263015))+0-0-0</f>
        <v>769.13369499999988</v>
      </c>
      <c r="X289" s="3">
        <f>845.9+(479.2-465.3)+(-1.725636+(-0.977568--0.949212))+0-0-0</f>
        <v>858.04600799999992</v>
      </c>
      <c r="Y289" s="3">
        <f>845.9+(482-478.6)+(-0.862818+(-0.49164--0.488172))+0-0-0</f>
        <v>848.43371400000001</v>
      </c>
      <c r="Z289" s="3">
        <f>836.5+(464.5-468.8)+(-0.85323+(-0.47379--0.478176))+0-0-0</f>
        <v>831.35115600000006</v>
      </c>
      <c r="AA289" s="3">
        <f>771.1+(506.4-464.8)+(0.393261+(0.258264-0.237048))+0-0-0</f>
        <v>813.11447700000008</v>
      </c>
      <c r="AB289" s="3">
        <f>766.5+(496.8-480.2)+(-1.172745+(-0.760104--0.734706))+0-0-0</f>
        <v>781.90185700000006</v>
      </c>
      <c r="AC289" s="3">
        <f>668.8+(492-461.4)+(-1.70544+(-1.2546--1.17657))+0-0-0</f>
        <v>697.61653000000001</v>
      </c>
      <c r="AD289">
        <f t="shared" si="4"/>
        <v>16321.372253000001</v>
      </c>
      <c r="AE289" s="3">
        <f>847+(487.9-490.8)+(0+(0-0))+0-0-0</f>
        <v>844.09999999999991</v>
      </c>
    </row>
    <row r="290" spans="1:31" s="2" customFormat="1" x14ac:dyDescent="0.25">
      <c r="A290">
        <v>89</v>
      </c>
      <c r="B290">
        <v>10</v>
      </c>
      <c r="C290">
        <v>14</v>
      </c>
      <c r="D290">
        <v>4</v>
      </c>
      <c r="E290">
        <v>1</v>
      </c>
      <c r="F290" s="3">
        <f>531.4+(538.6-460.4)+(-1.084056+(-1.098744--0.939216))+0-0-0</f>
        <v>608.35641599999997</v>
      </c>
      <c r="G290" s="3">
        <f>407.1+(610.4-462.7)+(-0.415242+(-0.622608--0.471954))+0-0-0</f>
        <v>554.234104</v>
      </c>
      <c r="H290" s="3">
        <f>394.2+(632.9-487.3)+(0+(0-0))+0-0-0</f>
        <v>539.79999999999995</v>
      </c>
      <c r="I290" s="3">
        <f>394+(614.3-461.6)+(-0.40188+(-0.626586--0.470832))+0-0-0</f>
        <v>546.14236599999992</v>
      </c>
      <c r="J290" s="3">
        <f>398+(627.1-478.9)+(0.81192+(1.279284-0.976956))+0-0-0</f>
        <v>547.31424800000002</v>
      </c>
      <c r="K290" s="3">
        <f>434.9+(603.1-477.5)+(0.221799+(0.307581-0.243525))+0-0-0</f>
        <v>560.78585499999997</v>
      </c>
      <c r="L290" s="3">
        <f>648.5+(421.3-476.3)+(-0.66147+(-0.429726--0.485826))+0-0-0</f>
        <v>592.89463000000001</v>
      </c>
      <c r="M290" s="3">
        <f>711.1+(400.7-486.6)+(-1.087983+(-0.613071--0.744498))+0-0-0</f>
        <v>624.24344400000007</v>
      </c>
      <c r="N290" s="3">
        <f>713.2+(439.8-492.5)+(-0.727464+(-0.448596--0.50235))+0-0-0</f>
        <v>659.82628999999997</v>
      </c>
      <c r="O290" s="3">
        <f>734.2+(470.3-495.2)+(-0.748884+(-0.479706--0.505104))+0-0-0</f>
        <v>708.57651400000009</v>
      </c>
      <c r="P290" s="3">
        <f>806.2+(408-469.2)+(-0.411162+(-0.20808--0.239292))+0-0-0</f>
        <v>744.62004999999999</v>
      </c>
      <c r="Q290" s="3">
        <f>820.9+(371.2-428.2)+(-1.674636+(-0.757248--0.873528))+0-0-0</f>
        <v>762.34164399999997</v>
      </c>
      <c r="R290" s="3">
        <f>823+(328.8-439.3)+(-0.83946+(-0.335376--0.448086))+0-0-0</f>
        <v>711.77324999999996</v>
      </c>
      <c r="S290" s="3">
        <f>814.7+(362.2-465.7)+(-0.830994+(-0.369444--0.475014))+0-0-0</f>
        <v>710.47457600000007</v>
      </c>
      <c r="T290" s="3">
        <f>821.3+(364.4-479.9)+(-0.418863+(-0.185844--0.244749))+0-0-0</f>
        <v>705.44004199999995</v>
      </c>
      <c r="U290" s="3">
        <f>821.6+(363.7-481.8)+(0+(0-0))+0-0-0</f>
        <v>703.5</v>
      </c>
      <c r="V290" s="3">
        <f>821.5+(435.6-487.6)+(-1.67586+(-0.888624--0.994704))+0-0-0</f>
        <v>767.93021999999996</v>
      </c>
      <c r="W290" s="3">
        <f>830.9+(495.2-497.7)+(0+(0-0))+0-0-0</f>
        <v>828.4</v>
      </c>
      <c r="X290" s="3">
        <f>845.1+(504.1-573.2)+(-0.862002+(-0.514182--0.584664))+0-0-0</f>
        <v>775.20848000000001</v>
      </c>
      <c r="Y290" s="3">
        <f>847.8+(465.5-461.9)+(-0.432378+(-0.237405--0.235569))+0-0-0</f>
        <v>850.96578599999998</v>
      </c>
      <c r="Z290" s="3">
        <f>847+(469.5-450.3)+(-2.15985+(-1.197225--1.148265))+0-0-0</f>
        <v>863.99119000000007</v>
      </c>
      <c r="AA290" s="3">
        <f>805.8+(552.8-470.5)+(0+(0-0))+0-0-0</f>
        <v>888.09999999999991</v>
      </c>
      <c r="AB290" s="3">
        <f>712.9+(601.8-481.2)+(-0.363579+(-0.306918--0.245412))+0-0-0</f>
        <v>833.07491500000003</v>
      </c>
      <c r="AC290" s="3">
        <f>634.2+(607.3-476.6)+(-0.970326+(-0.929169--0.729198))+0-0-0</f>
        <v>763.72970299999997</v>
      </c>
      <c r="AD290">
        <f t="shared" si="4"/>
        <v>16851.723723000003</v>
      </c>
      <c r="AE290" s="3">
        <f>836+(515.6-495.8)+(0+(0-0))+0-0-0</f>
        <v>855.8</v>
      </c>
    </row>
    <row r="291" spans="1:31" s="2" customFormat="1" x14ac:dyDescent="0.25">
      <c r="A291">
        <v>89</v>
      </c>
      <c r="B291">
        <v>10</v>
      </c>
      <c r="C291">
        <v>15</v>
      </c>
      <c r="D291">
        <v>5</v>
      </c>
      <c r="E291">
        <v>1</v>
      </c>
      <c r="F291" s="3">
        <f>335.4+(725.5-464.5)+(-0.684216+(-1.48002--0.94758))+0-0-0</f>
        <v>595.18334400000003</v>
      </c>
      <c r="G291" s="3">
        <f>328.8+(733.4-509.8)+(-0.335376+(-0.748068--0.519996))+0-0-0</f>
        <v>551.83655199999998</v>
      </c>
      <c r="H291" s="3">
        <f>328.5+(704.8-500.4)+(-0.167535+(-0.359448--0.255204))+0-0-0</f>
        <v>532.62822099999994</v>
      </c>
      <c r="I291" s="3">
        <f>329.6+(672.1-479)+(-0.168096+(-0.342771--0.24429))+0-0-0</f>
        <v>522.43342300000006</v>
      </c>
      <c r="J291" s="3">
        <f>330.1+(679.8-487.7)+(-0.168351+(-0.346698--0.248727))+0-0-0</f>
        <v>521.9336780000001</v>
      </c>
      <c r="K291" s="3">
        <f>349.1+(674.6-496.1)+(-0.356082+(-0.688092--0.506022))+0-0-0</f>
        <v>527.06184800000005</v>
      </c>
      <c r="L291" s="3">
        <f>512.4+(562.9-515)+(-0.522648+(-0.574158--0.5253))+0-0-0</f>
        <v>559.72849399999996</v>
      </c>
      <c r="M291" s="3">
        <f>640.2+(468.7-508.4)+(-0.653004+(-0.478074--0.518568))+0-0-0</f>
        <v>599.88748999999996</v>
      </c>
      <c r="N291" s="3">
        <f>643.2+(448.6-462)+(-1.312128+(-0.915144--0.94248))+0-0-0</f>
        <v>628.51520800000003</v>
      </c>
      <c r="O291" s="3">
        <f>641.7+(488.5-455.4)+(-0.327267+(-0.249135--0.232254))+0-0-0</f>
        <v>674.45585200000005</v>
      </c>
      <c r="P291" s="3">
        <f>649.6+(489.4-436.8)+(-0.331296+(-0.249594--0.222768))+0-0-0</f>
        <v>701.84187800000007</v>
      </c>
      <c r="Q291" s="3">
        <f>724.5+(436.5-468.2)+(-0.369495+(-0.222615--0.238782))+0-0-0</f>
        <v>692.44667199999992</v>
      </c>
      <c r="R291" s="3">
        <f>771.7+(377.7-481.9)+(-0.787134+(-0.385254--0.491538))+0-0-0</f>
        <v>666.81915000000004</v>
      </c>
      <c r="S291" s="3">
        <f>773.1+(390.7-506.9)+(-1.182843+(-0.597771--0.775557))+0-0-0</f>
        <v>655.89494300000013</v>
      </c>
      <c r="T291" s="3">
        <f>773.5+(404.5-519.9)+(-0.78897+(-0.41259--0.530298))+0-0-0</f>
        <v>657.42873800000007</v>
      </c>
      <c r="U291" s="3">
        <f>764.7+(375-474.4)+(1.949985+(0.95625-1.20972))+0-0-0</f>
        <v>666.99651500000004</v>
      </c>
      <c r="V291" s="3">
        <f>719.3+(470.7-505)+(-1.100529+(-0.720171--0.77265))+0-0-0</f>
        <v>683.95195000000001</v>
      </c>
      <c r="W291" s="3">
        <f>642.7+(618.4-475.1)+(0.327777+(0.315384-0.242301))+0-0-0</f>
        <v>786.40085999999997</v>
      </c>
      <c r="X291" s="3">
        <f>644.7+(699.4-485.4)+(-1.315188+(-1.426776--0.990216))+0-0-0</f>
        <v>856.94825200000002</v>
      </c>
      <c r="Y291" s="3">
        <f>645.8+(663.9-475.5)+(-0.988074+(-1.015767--0.727515))+0-0-0</f>
        <v>832.92367399999989</v>
      </c>
      <c r="Z291" s="3">
        <f>645.4+(651.9-489.5)+(-0.329154+(-0.332469--0.249645))+0-0-0</f>
        <v>807.38802199999998</v>
      </c>
      <c r="AA291" s="3">
        <f>646.1+(660.9-510.9)+(-0.988533+(-1.011177--0.781677))+0-0-0</f>
        <v>794.88196700000003</v>
      </c>
      <c r="AB291" s="3">
        <f>646.1+(595-478.8)+(-1.647555+(-1.51725--1.22094))+0-0-0</f>
        <v>760.35613499999999</v>
      </c>
      <c r="AC291" s="3">
        <f>645.9+(513.9-461.5)+(-1.647045+(-1.310445--1.176825))+0-0-0</f>
        <v>696.51933499999996</v>
      </c>
      <c r="AD291">
        <f t="shared" si="4"/>
        <v>15974.462201000002</v>
      </c>
      <c r="AE291" s="3">
        <f>713+(669.4-443)+(0+(0-0))+0-0-0</f>
        <v>939.4</v>
      </c>
    </row>
    <row r="292" spans="1:31" s="2" customFormat="1" x14ac:dyDescent="0.25">
      <c r="A292">
        <v>89</v>
      </c>
      <c r="B292">
        <v>10</v>
      </c>
      <c r="C292">
        <v>16</v>
      </c>
      <c r="D292">
        <v>6</v>
      </c>
      <c r="E292">
        <v>1</v>
      </c>
      <c r="F292" s="3">
        <f>548.6+(551.1-486.1)+(-0.559572+(-0.562122--0.495822))+0-0-0</f>
        <v>612.97412800000006</v>
      </c>
      <c r="G292" s="3">
        <f>507.8+(548.7-488.8)+(-0.776934+(-0.839511--0.747864))+0-0-0</f>
        <v>566.8314190000001</v>
      </c>
      <c r="H292" s="3">
        <f>509+(514.7-474.9)+(-1.03836+(-1.049988--0.968796))+0-0-0</f>
        <v>547.68044800000007</v>
      </c>
      <c r="I292" s="3">
        <f>509.8+(497.8-475.8)+(-0.779994+(-0.761634--0.727974))+0-0-0</f>
        <v>530.98634599999991</v>
      </c>
      <c r="J292" s="3">
        <f>510.7+(485.3-466.9)+(-0.260457+(-0.247503--0.238119))+0-0-0</f>
        <v>528.83015899999998</v>
      </c>
      <c r="K292" s="3">
        <f>510.5+(498.4-466.8)+(0+(0-0))+0-0-0</f>
        <v>542.09999999999991</v>
      </c>
      <c r="L292" s="3">
        <f>535+(514.2-478.9)+(-0.27285+(-0.262242--0.244239))+0-0-0</f>
        <v>570.0091470000001</v>
      </c>
      <c r="M292" s="3">
        <f>606.9+(437.3-442.1)+(0+(0-0))+0-0-0</f>
        <v>602.09999999999991</v>
      </c>
      <c r="N292" s="3">
        <f>607.8+(493.7-471.2)+(-0.309978+(-0.251787--0.240312))+0-0-0</f>
        <v>629.97854699999993</v>
      </c>
      <c r="O292" s="3">
        <f>610.9+(529.4-463.5)+(-0.623118+(-0.539988--0.47277))+0-0-0</f>
        <v>676.10966399999995</v>
      </c>
      <c r="P292" s="3">
        <f>608.8+(545.1-451.8)+(0+(0-0))+0-0-0</f>
        <v>702.09999999999991</v>
      </c>
      <c r="Q292" s="3">
        <f>606.9+(549.7-463)+(-0.619038+(-0.560694--0.47226))+0-0-0</f>
        <v>692.89252799999997</v>
      </c>
      <c r="R292" s="3">
        <f>606.1+(506.5-454.6)+(-1.854666+(-1.54989--1.391076))+0-0-0</f>
        <v>655.98652000000004</v>
      </c>
      <c r="S292" s="3">
        <f>605.5+(501.3-476.9)+(-0.926415+(-0.766989--0.729657))+0-0-0</f>
        <v>628.93625300000008</v>
      </c>
      <c r="T292" s="3">
        <f>605.1+(486.8-461.6)+(-0.617202+(-0.496536--0.470832))+0-0-0</f>
        <v>629.65709399999992</v>
      </c>
      <c r="U292" s="3">
        <f>605.5+(540.8-516.2)+(0+(0-0))+0-0-0</f>
        <v>630.09999999999991</v>
      </c>
      <c r="V292" s="3">
        <f>636+(511.6-477.8)+(-0.64872+(-0.521832--0.487356))+0-0-0</f>
        <v>669.116804</v>
      </c>
      <c r="W292" s="3">
        <f>644.5+(587.5-469.2)+(0+(0-0))+0-0-0</f>
        <v>762.8</v>
      </c>
      <c r="X292" s="3">
        <f>644.6+(693.8-488.2)+(-1.64373+(-1.76919--1.24491))+0-0-0</f>
        <v>848.03199000000006</v>
      </c>
      <c r="Y292" s="3">
        <f>644.5+(679.1-495.2)+(-0.986085+(-1.039023--0.757656))+0-0-0</f>
        <v>827.13254800000004</v>
      </c>
      <c r="Z292" s="3">
        <f>644.6+(659.2-503)+(-0.328746+(-0.336192--0.25653))+0-0-0</f>
        <v>800.39159200000006</v>
      </c>
      <c r="AA292" s="3">
        <f>645.9+(639.3-492)+(-0.658818+(-0.652086--0.50184))+0-0-0</f>
        <v>792.3909359999999</v>
      </c>
      <c r="AB292" s="3">
        <f>645+(598.6-488.6)+(-0.32895+(-0.305286--0.249186))+0-0-0</f>
        <v>754.61495000000002</v>
      </c>
      <c r="AC292" s="3">
        <f>646+(533.7-480.3)+(-0.98838+(-0.816561--0.734859))+0-0-0</f>
        <v>698.32991800000013</v>
      </c>
      <c r="AD292">
        <f t="shared" si="4"/>
        <v>15900.080990999997</v>
      </c>
      <c r="AE292" s="3">
        <f>643+(653.8-472.8)+(0+(0-0))+0-0-0</f>
        <v>824</v>
      </c>
    </row>
    <row r="293" spans="1:31" s="2" customFormat="1" x14ac:dyDescent="0.25">
      <c r="A293">
        <v>89</v>
      </c>
      <c r="B293">
        <v>10</v>
      </c>
      <c r="C293">
        <v>17</v>
      </c>
      <c r="D293">
        <v>7</v>
      </c>
      <c r="E293">
        <v>1</v>
      </c>
      <c r="F293" s="3">
        <f>648.3+(481.1-495.6)+(-0.330633+(-0.245361--0.252756))+0-0-0</f>
        <v>633.47676200000001</v>
      </c>
      <c r="G293" s="3">
        <f>558.7+(528.5-507.2)+(-0.854811+(-0.808605--0.776016))+0-0-0</f>
        <v>579.11260000000004</v>
      </c>
      <c r="H293" s="3">
        <f>502.8+(551.7-502.6)+(0+(0-0))+0-0-0</f>
        <v>551.90000000000009</v>
      </c>
      <c r="I293" s="3">
        <f>501.6+(518.8-478.8)+(0.255816+(0.264588-0.244188))+0-0-0</f>
        <v>541.87621599999989</v>
      </c>
      <c r="J293" s="3">
        <f>561.6+(471.9-492.2)+(-0.572832+(-0.481338--0.502044))+0-0-0</f>
        <v>540.74787399999991</v>
      </c>
      <c r="K293" s="3">
        <f>629.7+(407-485.3)+(0.321147+(0.20757-0.247503))+0-0-0</f>
        <v>551.68121400000007</v>
      </c>
      <c r="L293" s="3">
        <f>645.1+(435.6-520.6)+(-1.645005+(-1.11078--1.32753))+0-0-0</f>
        <v>558.67174499999999</v>
      </c>
      <c r="M293" s="3">
        <f>644+(426.7-529.3)+(0+(0-0))+0-0-0</f>
        <v>541.40000000000009</v>
      </c>
      <c r="N293" s="3">
        <f>642+(457.1-535.5)+(0+(0-0))+0-0-0</f>
        <v>563.6</v>
      </c>
      <c r="O293" s="3">
        <f>642.9+(468-503.5)+(1.311516+(0.95472-1.02714))+0-0-0</f>
        <v>608.639096</v>
      </c>
      <c r="P293" s="3">
        <f>643.5+(476.4-488.9)+(-0.984555+(-0.728892--0.748017))+0-0-0</f>
        <v>630.03457000000003</v>
      </c>
      <c r="Q293" s="3">
        <f>642.3+(493.4-500.6)+(-0.327573+(-0.251634--0.255306))+0-0-0</f>
        <v>634.77609899999993</v>
      </c>
      <c r="R293" s="3">
        <f>641.7+(471.9-497)+(-0.981801+(-0.722007--0.76041))+0-0-0</f>
        <v>615.65660200000002</v>
      </c>
      <c r="S293" s="3">
        <f>640.6+(443.2-478)+(-0.653412+(-0.452064--0.48756))+0-0-0</f>
        <v>605.18208399999992</v>
      </c>
      <c r="T293" s="3">
        <f>641.7+(469.7-520.8)+(0.654534+(0.479094-0.531216))+0-0-0</f>
        <v>591.20241200000009</v>
      </c>
      <c r="U293" s="3">
        <f>641.6+(485.2-535.4)+(0+(0-0))+0-0-0</f>
        <v>591.40000000000009</v>
      </c>
      <c r="V293" s="3">
        <f>641.8+(474.8-501.9)+(-1.963908+(-1.452888--1.535814))+0-0-0</f>
        <v>612.81901800000003</v>
      </c>
      <c r="W293" s="3">
        <f>644.5+(568.4-507.5)+(-0.328695+(-0.289884--0.258825))+0-0-0</f>
        <v>705.04024600000002</v>
      </c>
      <c r="X293" s="3">
        <f>646.7+(677.6-525.8)+(-0.989451+(-1.036728--0.804474))+0-0-0</f>
        <v>797.27829500000007</v>
      </c>
      <c r="Y293" s="3">
        <f>646.5+(671.9-527.9)+(0+(0-0))+0-0-0</f>
        <v>790.5</v>
      </c>
      <c r="Z293" s="3">
        <f>646.1+(655.4-533)+(-1.318044+(-1.337016--1.08732))+0-0-0</f>
        <v>766.93226000000004</v>
      </c>
      <c r="AA293" s="3">
        <f>645.7+(637.2-518.3)+(-0.329307+(-0.324972--0.264333))+0-0-0</f>
        <v>764.21005400000013</v>
      </c>
      <c r="AB293" s="3">
        <f>647.1+(572.9-486.1)+(-0.330021+(-0.292179--0.247911))+0-0-0</f>
        <v>733.525711</v>
      </c>
      <c r="AC293" s="3">
        <f>611.7+(575.2-509.1)+(-0.935901+(-0.880056--0.778923))+0-0-0</f>
        <v>676.76296600000012</v>
      </c>
      <c r="AD293">
        <f t="shared" si="4"/>
        <v>15186.425824000002</v>
      </c>
      <c r="AE293" s="3">
        <f>646+(647.5-517.7)+(0+(0-0))+0-0-0</f>
        <v>775.8</v>
      </c>
    </row>
    <row r="294" spans="1:31" s="2" customFormat="1" x14ac:dyDescent="0.25">
      <c r="A294">
        <v>89</v>
      </c>
      <c r="B294">
        <v>10</v>
      </c>
      <c r="C294">
        <v>18</v>
      </c>
      <c r="D294">
        <v>1</v>
      </c>
      <c r="E294">
        <v>1</v>
      </c>
      <c r="F294" s="3">
        <f>349.2+(753.7-509.2)+(-0.89046+(-1.921935--1.29846))+0-0-0</f>
        <v>592.1860650000001</v>
      </c>
      <c r="G294" s="3">
        <f>330+(727.4-510.9)+(-0.3366+(-0.741948--0.521118))+0-0-0</f>
        <v>545.94257000000005</v>
      </c>
      <c r="H294" s="3">
        <f>330.8+(689-492.2)+(-0.84354+(-1.75695--1.25511))+0-0-0</f>
        <v>526.25462000000005</v>
      </c>
      <c r="I294" s="3">
        <f>331+(665.9-482.8)+(-0.33762+(-0.679218--0.492456))+0-0-0</f>
        <v>513.57561799999996</v>
      </c>
      <c r="J294" s="3">
        <f>332.1+(686.4-499.1)+(-0.169371+(-0.350064--0.254541))+0-0-0</f>
        <v>519.13510599999995</v>
      </c>
      <c r="K294" s="3">
        <f>334.2+(677.2-485.9)+(-0.340884+(-0.690744--0.495618))+0-0-0</f>
        <v>524.96398999999997</v>
      </c>
      <c r="L294" s="3">
        <f>420.8+(639.4-507.5)+(-0.214608+(-0.326094--0.258825))+0-0-0</f>
        <v>552.41812300000004</v>
      </c>
      <c r="M294" s="3">
        <f>524.6+(573.3-508.4)+(0.267546+(0.292383-0.259284))+0-0-0</f>
        <v>589.80064500000003</v>
      </c>
      <c r="N294" s="3">
        <f>599.1+(536-512.1)+(0+(0-0))+0-0-0</f>
        <v>623</v>
      </c>
      <c r="O294" s="3">
        <f>642.2+(536.6-508.4)+(-0.327522+(-0.273666--0.259284))+0-0-0</f>
        <v>670.05809600000009</v>
      </c>
      <c r="P294" s="3">
        <f>643.3+(519.4-476.3)+(-0.656166+(-0.529788--0.485826))+0-0-0</f>
        <v>685.69987199999991</v>
      </c>
      <c r="Q294" s="3">
        <f>753.1+(437.3-509)+(-0.384081+(-0.223023--0.25959))+0-0-0</f>
        <v>681.05248600000004</v>
      </c>
      <c r="R294" s="3">
        <f>771.4+(371.7-491.3)+(-0.393414+(-0.189567--0.250563))+0-0-0</f>
        <v>651.46758199999999</v>
      </c>
      <c r="S294" s="3">
        <f>763.1+(352.2-467.9)+(-0.778362+(-0.359244--0.477258))+0-0-0</f>
        <v>646.73965200000009</v>
      </c>
      <c r="T294" s="3">
        <f>762+(345.5-468.6)+(-0.77724+(-0.35241--0.477972))+0-0-0</f>
        <v>638.24832200000003</v>
      </c>
      <c r="U294" s="3">
        <f>762.4+(363.8-477.7)+(0+(0-0))+0-0-0</f>
        <v>648.5</v>
      </c>
      <c r="V294" s="3">
        <f>764.2+(416.9-507.5)+(0+(0-0))+0-0-0</f>
        <v>673.6</v>
      </c>
      <c r="W294" s="3">
        <f>766.3+(485.7-479)+(0.781626+(0.495414-0.48858))+0-0-0</f>
        <v>773.78845999999999</v>
      </c>
      <c r="X294" s="3">
        <f>766.4+(562.9-467.1)+(-1.172592+(-0.861237--0.714663))+0-0-0</f>
        <v>860.88083399999994</v>
      </c>
      <c r="Y294" s="3">
        <f>712.4+(613.1-486.1)+(-1.453296+(-1.250724--0.991644))+0-0-0</f>
        <v>837.68762400000003</v>
      </c>
      <c r="Z294" s="3">
        <f>648.2+(653.1-492)+(-0.661164+(-0.666162--0.50184))+0-0-0</f>
        <v>808.47451400000011</v>
      </c>
      <c r="AA294" s="3">
        <f>649.3+(629.8-491.8)+(-0.662286+(-0.642396--0.501636))+0-0-0</f>
        <v>786.49695399999996</v>
      </c>
      <c r="AB294" s="3">
        <f>639.7+(608-502.5)+(-0.326247+(-0.31008--0.256275))+0-0-0</f>
        <v>744.81994800000007</v>
      </c>
      <c r="AC294" s="3">
        <f>407.6+(745.8-478.3)+(-0.831504+(-1.521432--0.975732))+0-0-0</f>
        <v>673.7227959999999</v>
      </c>
      <c r="AD294">
        <f t="shared" si="4"/>
        <v>15768.513876999999</v>
      </c>
      <c r="AE294" s="3">
        <f>765+(551.6-454)+(0+(0-0))+0-0-0</f>
        <v>862.6</v>
      </c>
    </row>
    <row r="295" spans="1:31" s="2" customFormat="1" x14ac:dyDescent="0.25">
      <c r="A295">
        <v>89</v>
      </c>
      <c r="B295">
        <v>10</v>
      </c>
      <c r="C295">
        <v>19</v>
      </c>
      <c r="D295">
        <v>2</v>
      </c>
      <c r="E295">
        <v>1</v>
      </c>
      <c r="F295" s="3">
        <f>328.4+(732.3-476.6)+(-0.502452+(-1.120419--0.729198))+0-0-0</f>
        <v>583.20632699999987</v>
      </c>
      <c r="G295" s="3">
        <f>328.8+(702.2-491.2)+(-1.006128+(-2.148732--1.503072))+0-0-0</f>
        <v>538.14821200000006</v>
      </c>
      <c r="H295" s="3">
        <f>328.7+(712.1-502)+(0.167637+(0.363171-0.25602))+0-0-0</f>
        <v>539.0747879999999</v>
      </c>
      <c r="I295" s="3">
        <f>328.8+(691.1-487.8)+(-0.503064+(-1.057383--0.746334))+0-0-0</f>
        <v>531.285887</v>
      </c>
      <c r="J295" s="3">
        <f>329.7+(699.4-498.1)+(0.336294+(0.713388-0.508062))+0-0-0</f>
        <v>531.54161999999997</v>
      </c>
      <c r="K295" s="3">
        <f>333.8+(688.8-483.4)+(-0.340476+(-0.702576--0.493068))+0-0-0</f>
        <v>538.65001600000005</v>
      </c>
      <c r="L295" s="3">
        <f>501.3+(555.5-486.9)+(-1.022652+(-1.13322--0.993276))+0-0-0</f>
        <v>568.73740400000008</v>
      </c>
      <c r="M295" s="3">
        <f>607.7+(484.7-489.7)+(-0.929781+(-0.741591--0.749241))+0-0-0</f>
        <v>601.77786900000001</v>
      </c>
      <c r="N295" s="3">
        <f>643.5+(490.3-501.7)+(0.328185+(0.250053-0.255867))+0-0-0</f>
        <v>632.422371</v>
      </c>
      <c r="O295" s="3">
        <f>652.9+(538.6-520.3)+(-0.332979+(-0.274686--0.265353))+0-0-0</f>
        <v>670.85768800000005</v>
      </c>
      <c r="P295" s="3">
        <f>721.8+(497.9-491.1)+(0+(0-0))+0-0-0</f>
        <v>728.59999999999991</v>
      </c>
      <c r="Q295" s="3">
        <f>708.3+(445.8-481.3)+(0+(0-0))+0-0-0</f>
        <v>672.8</v>
      </c>
      <c r="R295" s="3">
        <f>722.1+(364.6-424.2)+(-1.473084+(-0.743784--0.865368))+0-0-0</f>
        <v>661.14850000000001</v>
      </c>
      <c r="S295" s="3">
        <f>721.9+(366.3-439.1)+(-0.736338+(-0.373626--0.447882))+0-0-0</f>
        <v>648.43791799999985</v>
      </c>
      <c r="T295" s="3">
        <f>741.9+(387.3-480.4)+(-1.513476+(-0.790092--0.980016))+0-0-0</f>
        <v>647.476448</v>
      </c>
      <c r="U295" s="3">
        <f>750.9+(396.1-497.6)+(0+(0-0))+0-0-0</f>
        <v>649.4</v>
      </c>
      <c r="V295" s="3">
        <f>744.8+(417.4-486.6)+(0+(0-0))+0-0-0</f>
        <v>675.59999999999991</v>
      </c>
      <c r="W295" s="3">
        <f>694.9+(536.3-466.3)+(0+(0-0))+2.8-0-0</f>
        <v>767.69999999999982</v>
      </c>
      <c r="X295" s="3">
        <f>646.3+(691.3-497)+(-0.988839+(-1.057689--0.76041))+0-0-0</f>
        <v>839.31388199999992</v>
      </c>
      <c r="Y295" s="3">
        <f>647.3+(637.3-456)+(-0.990369+(-0.975069--0.69768))+0-0-0</f>
        <v>827.33224199999995</v>
      </c>
      <c r="Z295" s="3">
        <f>645.9+(643-476.2)+(-0.658818+(-0.65586--0.485724))+0-0-0</f>
        <v>811.87104600000009</v>
      </c>
      <c r="AA295" s="3">
        <f>643+(651.8-511.3)+(-0.65586+(-0.664836--0.521526))+0-0-0</f>
        <v>782.70083</v>
      </c>
      <c r="AB295" s="3">
        <f>645.7+(600.8-495.8)+(-1.317228+(-1.225632--1.011432))+0-0-0</f>
        <v>749.16857200000004</v>
      </c>
      <c r="AC295" s="3">
        <f>535+(617.8-477.6)+(-0.27285+(-0.315078--0.243576))+0-0-0</f>
        <v>674.85564799999997</v>
      </c>
      <c r="AD295">
        <f t="shared" si="4"/>
        <v>15872.107268000002</v>
      </c>
      <c r="AE295" s="3">
        <f>645+(649.6-470.8)+(0+(0-0))+0-0-0</f>
        <v>823.8</v>
      </c>
    </row>
    <row r="296" spans="1:31" s="2" customFormat="1" x14ac:dyDescent="0.25">
      <c r="A296">
        <v>89</v>
      </c>
      <c r="B296">
        <v>10</v>
      </c>
      <c r="C296">
        <v>20</v>
      </c>
      <c r="D296">
        <v>3</v>
      </c>
      <c r="E296">
        <v>1</v>
      </c>
      <c r="F296" s="3">
        <f>413.3+(654.8-468.6)+(-0.632349+(-1.001844--0.716958))+0-0-0</f>
        <v>598.58276499999999</v>
      </c>
      <c r="G296" s="3">
        <f>327.7+(680.8-464.2)+(-0.501381+(-1.041624--0.710226))+0-0-0</f>
        <v>543.467221</v>
      </c>
      <c r="H296" s="3">
        <f>328.5+(690.8-493.2)+(0.502605+(1.056924-0.754596))+0-0-0</f>
        <v>526.90493299999991</v>
      </c>
      <c r="I296" s="3">
        <f>328.7+(684-483.1)+(-0.335274+(-0.69768--0.492762))+0-0-0</f>
        <v>529.05980799999986</v>
      </c>
      <c r="J296" s="3">
        <f>328.7+(679.7-491.9)+(-0.335274+(-0.693294--0.501738))+0-0-0</f>
        <v>515.97316999999998</v>
      </c>
      <c r="K296" s="3">
        <f>326.9+(671.4-470.3)+(0+(0-0))+0-0-0</f>
        <v>528</v>
      </c>
      <c r="L296" s="3">
        <f>327.5+(706.7-483.8)+(-0.167025+(-0.360417--0.246738))+0-0-0</f>
        <v>550.11929600000008</v>
      </c>
      <c r="M296" s="3">
        <f>336.2+(728.8-496.3)+(0.342924+(0.743376-0.506226))+0-0-0</f>
        <v>569.2800739999999</v>
      </c>
      <c r="N296" s="3">
        <f>632.8+(479.3-520.7)+(0+(0-0))+0-0-0</f>
        <v>591.39999999999986</v>
      </c>
      <c r="O296" s="3">
        <f>758.6+(377.2-472)+(0+(0-0))+0-0-0</f>
        <v>663.8</v>
      </c>
      <c r="P296" s="3">
        <f>833.2+(339.4-483.6)+(-0.849864+(-0.346188--0.493272))+0-0-0</f>
        <v>688.29722000000004</v>
      </c>
      <c r="Q296" s="3">
        <f>842.3+(315-470.6)+(-0.429573+(-0.16065--0.240006))+0-0-0</f>
        <v>686.34978299999989</v>
      </c>
      <c r="R296" s="3">
        <f>836.5+(314.6-449.4)+(-2.986305+(-1.123122--1.604358))+0-0-0</f>
        <v>699.194931</v>
      </c>
      <c r="S296" s="3">
        <f>697.5+(424-473.2)+(-0.355725+(-0.21624--0.241332))+0-0-0</f>
        <v>647.96936699999992</v>
      </c>
      <c r="T296" s="3">
        <f>694.3+(440.1-493.7)+(0+(0-0))+0-0-0</f>
        <v>640.70000000000005</v>
      </c>
      <c r="U296" s="3">
        <f>730.5+(405.9-495.8)+(0+(0-0))+0-0-0</f>
        <v>640.59999999999991</v>
      </c>
      <c r="V296" s="3">
        <f>765.1+(407.4-500.3)+(-1.951005+(-1.03887--1.275765))+0-0-0</f>
        <v>670.48589000000004</v>
      </c>
      <c r="W296" s="3">
        <f>763.9+(500.8-508.9)+(0+(0-0))+0-0-0</f>
        <v>755.8</v>
      </c>
      <c r="X296" s="3">
        <f>762.6+(586.9-496)+(-1.555704+(-1.197276--1.01184))+0-0-0</f>
        <v>851.75886000000003</v>
      </c>
      <c r="Y296" s="3">
        <f>715+(625.3-505.9)+(-1.09395+(-0.956709--0.774027))+0-0-0</f>
        <v>833.12336800000003</v>
      </c>
      <c r="Z296" s="3">
        <f>651+(619.3-468.6)+(-0.33201+(-0.315843--0.238986))+0-0-0</f>
        <v>801.29113299999995</v>
      </c>
      <c r="AA296" s="3">
        <f>646.9+(594.1-455.1)+(0.659838+(0.605982-0.464202))+0-0-0</f>
        <v>786.70161799999994</v>
      </c>
      <c r="AB296" s="3">
        <f>646.5+(586.6-478.3)+(-0.65943+(-0.598332--0.487866))+0-0-0</f>
        <v>754.03010399999994</v>
      </c>
      <c r="AC296" s="3">
        <f>626+(529.1-468.3)+(-0.63852+(-0.539682--0.477666))+0-0-0</f>
        <v>686.0994639999999</v>
      </c>
      <c r="AD296">
        <f t="shared" si="4"/>
        <v>15758.989004999999</v>
      </c>
      <c r="AE296" s="3">
        <f>764+(581-508)+(0+(0-0))+0-0-0</f>
        <v>837</v>
      </c>
    </row>
    <row r="297" spans="1:31" s="2" customFormat="1" x14ac:dyDescent="0.25">
      <c r="A297">
        <v>89</v>
      </c>
      <c r="B297">
        <v>10</v>
      </c>
      <c r="C297">
        <v>21</v>
      </c>
      <c r="D297">
        <v>4</v>
      </c>
      <c r="E297">
        <v>1</v>
      </c>
      <c r="F297" s="3">
        <f>536.5+(556.3-486.3)+(-0.54723+(-0.567426--0.496026))+0-0-0</f>
        <v>605.88136999999995</v>
      </c>
      <c r="G297" s="3">
        <f>361.5+(652.9-468.2)+(-0.36873+(-0.665958--0.477564))+0-0-0</f>
        <v>545.642876</v>
      </c>
      <c r="H297" s="3">
        <f>326.3+(696.3-488.6)+(0.166413+(0.355113-0.249186))+0-0-0</f>
        <v>534.27233999999999</v>
      </c>
      <c r="I297" s="3">
        <f>327.6+(673.7-475.2)+(0.167076+(0.343587-0.242352))+0-0-0</f>
        <v>526.36831100000018</v>
      </c>
      <c r="J297" s="3">
        <f>328.5+(652.6-449)+(0.33507+(0.665652-0.45798))+0-0-0</f>
        <v>532.642742</v>
      </c>
      <c r="K297" s="3">
        <f>328.1+(665.8-456.5)+(-0.167331+(-0.339558--0.232815))+0-0-0</f>
        <v>537.12592599999994</v>
      </c>
      <c r="L297" s="3">
        <f>387.4+(652.9-481.4)+(-1.185444+(-1.997874--1.473084))+0-0-0</f>
        <v>557.18976599999996</v>
      </c>
      <c r="M297" s="3">
        <f>522.8+(574.8-500.2)+(0+(0-0))+0-0-0</f>
        <v>597.39999999999986</v>
      </c>
      <c r="N297" s="3">
        <f>639+(462.4-467.3)+(-0.65178+(-0.471648--0.476646))+0-0-0</f>
        <v>633.45321799999988</v>
      </c>
      <c r="O297" s="3">
        <f>644.3+(478.7-449.9)+(-0.328593+(-0.244137--0.229449))+0-0-0</f>
        <v>672.75671899999986</v>
      </c>
      <c r="P297" s="3">
        <f>634.8+(515.6-461.1)+(0.323748+(0.262956-0.235161))+0-0-0</f>
        <v>689.65154299999995</v>
      </c>
      <c r="Q297" s="3">
        <f>628.4+(514.3-452.1)+(-0.961452+(-0.786879--0.691713))+0-0-0</f>
        <v>689.54338199999995</v>
      </c>
      <c r="R297" s="3">
        <f>645.1+(441.4-426.1)+(-1.645005+(-1.12557--1.086555))+0-0-0</f>
        <v>658.71597999999994</v>
      </c>
      <c r="S297" s="3">
        <f>641.6+(463.4-456.4)+(0+(0-0))+0-0-0</f>
        <v>648.6</v>
      </c>
      <c r="T297" s="3">
        <f>643.1+(468.8-466.2)+(0.327981+(0.239088-0.237762))+0-0-0</f>
        <v>646.02930700000002</v>
      </c>
      <c r="U297" s="3">
        <f>644+(480.4-467.8)+(0+(0-0))+0-0-0</f>
        <v>656.59999999999991</v>
      </c>
      <c r="V297" s="3">
        <f>653.7+(543.3-512)+(-0.333387+(-0.277083--0.26112))+0-0-0</f>
        <v>684.65065000000004</v>
      </c>
      <c r="W297" s="3">
        <f>673.9+(572.8-479.4)+(0.343689+(0.292128-0.244494))+0-0-0</f>
        <v>767.69132300000001</v>
      </c>
      <c r="X297" s="3">
        <f>644.8+(709.2-507.1)+(-0.986544+(-1.085076--0.775863))+0-0-0</f>
        <v>845.604243</v>
      </c>
      <c r="Y297" s="3">
        <f>644.7+(695.8-508.3)+(-1.315188+(-1.419432--1.036932))+0-0-0</f>
        <v>830.50231200000007</v>
      </c>
      <c r="Z297" s="3">
        <f>645.1+(671.8-512.2)+(-1.316004+(-1.370472--1.044888))+0-0-0</f>
        <v>803.05841199999998</v>
      </c>
      <c r="AA297" s="3">
        <f>645.7+(627.1-478.4)+(-1.317228+(-1.279284--0.975936))+0-0-0</f>
        <v>792.77942400000006</v>
      </c>
      <c r="AB297" s="3">
        <f>642.2+(588.7-470.5)+(-0.982566+(-0.900711--0.719865))+0-0-0</f>
        <v>759.2365880000001</v>
      </c>
      <c r="AC297" s="3">
        <f>642.2+(542.9-484.3)+(-2.292654+(-1.938153--1.728951))+0-0-0</f>
        <v>698.29814399999998</v>
      </c>
      <c r="AD297">
        <f t="shared" si="4"/>
        <v>15913.694576000002</v>
      </c>
      <c r="AE297" s="3">
        <f>646+(694.3-484)+(0+(0-0))+0-0-0</f>
        <v>856.3</v>
      </c>
    </row>
    <row r="298" spans="1:31" s="2" customFormat="1" x14ac:dyDescent="0.25">
      <c r="A298">
        <v>89</v>
      </c>
      <c r="B298">
        <v>10</v>
      </c>
      <c r="C298">
        <v>22</v>
      </c>
      <c r="D298">
        <v>5</v>
      </c>
      <c r="E298">
        <v>1</v>
      </c>
      <c r="F298" s="3">
        <f>454.5+(674.6-515.4)+(0.46359+(0.688092-0.525708))+0-0-0</f>
        <v>614.32597400000009</v>
      </c>
      <c r="G298" s="3">
        <f>328.3+(743.1-515.8)+(0+(0-0))+0-0-0</f>
        <v>555.60000000000014</v>
      </c>
      <c r="H298" s="3">
        <f>326.5+(690.9-482.5)+(0+(0-0))+0-0-0</f>
        <v>534.9</v>
      </c>
      <c r="I298" s="3">
        <f>325.1+(693.2-484.6)+(0+(0-0))+0-0-0</f>
        <v>533.70000000000005</v>
      </c>
      <c r="J298" s="3">
        <f>324.9+(681.6-470.9)+(0.828495+(1.73808-1.200795))+0-0-0</f>
        <v>536.96578</v>
      </c>
      <c r="K298" s="3">
        <f>323.8+(682.7-456.6)+(0+(0-0))+0-0-0</f>
        <v>549.90000000000009</v>
      </c>
      <c r="L298" s="3">
        <f>428.1+(625.4-482.5)+(-0.218331+(-0.318954--0.246075))+0-0-0</f>
        <v>570.70879000000002</v>
      </c>
      <c r="M298" s="3">
        <f>601.4+(486.9-486.9)+(0.306714+(0.248319-0.248319))+0-0-0</f>
        <v>601.70671400000003</v>
      </c>
      <c r="N298" s="3">
        <f>644.3+(453.5-470.3)+(1.314372+(0.92514-0.959412))+0-0-0</f>
        <v>628.78009999999995</v>
      </c>
      <c r="O298" s="3">
        <f>647.5+(503.3-481.8)+(0.66045+(0.513366-0.491436))+0-0-0</f>
        <v>669.68237999999997</v>
      </c>
      <c r="P298" s="3">
        <f>755.5+(372.4-434.5)+(1.54122+(0.759696-0.88638))+0-0-0</f>
        <v>694.81453599999998</v>
      </c>
      <c r="Q298" s="3">
        <f>764.9+(299.8-425.9)+(0+(0-0))+0-0-0</f>
        <v>638.79999999999995</v>
      </c>
      <c r="R298" s="3">
        <f>763.2+(269.6-423.5)+(-1.167696+(-0.412488--0.647955))+0-0-0</f>
        <v>608.36777100000006</v>
      </c>
      <c r="S298" s="3">
        <f>784+(266.5-390)+(-1.59936+(-0.54366--0.7956))+0-0-0</f>
        <v>659.15257999999994</v>
      </c>
      <c r="T298" s="3">
        <f>901.6+(121.9-362.1)+(0+(0-0))+0-0-0</f>
        <v>661.4</v>
      </c>
      <c r="U298" s="3">
        <f>811.3+(242.9-388.7)+(-0.827526+(-0.247758--0.396474))+0-0-0</f>
        <v>664.82119</v>
      </c>
      <c r="V298" s="3">
        <f>809.4+(291.1-425)+(-2.476764+(-0.890766--1.3005))+0-0-0</f>
        <v>673.43296999999995</v>
      </c>
      <c r="W298" s="3">
        <f>898+(304.1-437)+(-0.45798+(-0.155091--0.22287))+0-0-0</f>
        <v>764.70979899999998</v>
      </c>
      <c r="X298" s="3">
        <f>906.1+(387.4-430.2)+(-1.386333+(-0.592722--0.658206))+0-0-0</f>
        <v>861.979151</v>
      </c>
      <c r="Y298" s="3">
        <f>906.1+(383.4-438.8)+(-0.924222+(-0.391068--0.447576))+0-0-0</f>
        <v>849.83228600000007</v>
      </c>
      <c r="Z298" s="3">
        <f>860.6+(411.9-445.6)+(-0.438906+(-0.210069--0.227256))+0-0-0</f>
        <v>826.47828099999992</v>
      </c>
      <c r="AA298" s="3">
        <f>700.1+(523.8-417.5)+(-0.357051+(-0.267138--0.212925))+0-0-0</f>
        <v>805.98873600000002</v>
      </c>
      <c r="AB298" s="3">
        <f>646.2+(530.4-423.5)+(-0.329562+(-0.270504--0.215985))+0-0-0</f>
        <v>752.71591899999999</v>
      </c>
      <c r="AC298" s="3">
        <f>630.9+(538.7-477)+(-0.643518+(-0.549474--0.48654))+0-0-0</f>
        <v>691.89354800000001</v>
      </c>
      <c r="AD298">
        <f t="shared" si="4"/>
        <v>15950.656505000001</v>
      </c>
      <c r="AE298" s="3">
        <f>906+(391.7-446)+(0+(0-0))+0-0-0</f>
        <v>851.7</v>
      </c>
    </row>
    <row r="299" spans="1:31" s="2" customFormat="1" x14ac:dyDescent="0.25">
      <c r="A299">
        <v>89</v>
      </c>
      <c r="B299">
        <v>10</v>
      </c>
      <c r="C299">
        <v>23</v>
      </c>
      <c r="D299">
        <v>6</v>
      </c>
      <c r="E299">
        <v>1</v>
      </c>
      <c r="F299" s="3">
        <f>551.8+(540.3-472.8)+(-0.844254+(-0.826659--0.723384))+0-0-0</f>
        <v>618.35247099999992</v>
      </c>
      <c r="G299" s="3">
        <f>547.3+(496.5-467.3)+(0+(0-0))+0-0-0</f>
        <v>576.5</v>
      </c>
      <c r="H299" s="3">
        <f>547.4+(453.8-437.6)+(0.279174+(0.231438-0.223176))+0-0-0</f>
        <v>563.88743599999987</v>
      </c>
      <c r="I299" s="3">
        <f>548.6+(463.1-461.6)+(0.279786+(0.236181-0.235416))+0-0-0</f>
        <v>550.38055099999997</v>
      </c>
      <c r="J299" s="3">
        <f>548.1+(476.2-470.3)+(0.559062+(0.485724-0.479706))+0-0-0</f>
        <v>554.56507999999997</v>
      </c>
      <c r="K299" s="3">
        <f>563.2+(447.6-457.9)+(0.574464+(0.456552-0.467058))+0-0-0</f>
        <v>553.46395800000005</v>
      </c>
      <c r="L299" s="3">
        <f>636.4+(410.8-459.5)+(0+(0-0))+0-0-0</f>
        <v>587.70000000000005</v>
      </c>
      <c r="M299" s="3">
        <f>642.6+(428.3-472.9)+(-0.327726+(-0.218433--0.241179))+0-0-0</f>
        <v>597.69502</v>
      </c>
      <c r="N299" s="3">
        <f>722.6+(359.2-452)+(-0.737052+(-0.366384--0.46104))+0-0-0</f>
        <v>629.15760399999999</v>
      </c>
      <c r="O299" s="3">
        <f>761.8+(359.5-465.9)+(0.388518+(0.183345-0.237609))+0-0-0</f>
        <v>655.73425399999996</v>
      </c>
      <c r="P299" s="3">
        <f>764.5+(406-476.3)+(0.77979+(0.41412-0.485826))+0-0-0</f>
        <v>694.90808400000003</v>
      </c>
      <c r="Q299" s="3">
        <f>763+(421.2-505.1)+(-0.38913+(-0.214812--0.257601))+0-0-0</f>
        <v>678.75365899999986</v>
      </c>
      <c r="R299" s="3">
        <f>568.7+(587.6-508.5)+(-0.290037+(-0.299676--0.259335))+0-0-0</f>
        <v>647.46962200000007</v>
      </c>
      <c r="S299" s="3">
        <f>441.1+(700.1-526)+(0+(0-0))+0-0-0</f>
        <v>615.20000000000005</v>
      </c>
      <c r="T299" s="3">
        <f>431.8+(648.6-469.6)+(-0.880872+(-1.323144--0.957984))+0-0-0</f>
        <v>609.55396799999994</v>
      </c>
      <c r="U299" s="3">
        <f>380+(666.9-428.5)+(0+(0-0))+0-0-0</f>
        <v>618.4</v>
      </c>
      <c r="V299" s="3">
        <f>380.6+(718.3-458.3)+(-0.194106+(-0.366333--0.233733))+0-0-0</f>
        <v>640.27329399999996</v>
      </c>
      <c r="W299" s="3">
        <f>438.1+(784.1-498.2)+(0+(0-0))+0-0-0</f>
        <v>724</v>
      </c>
      <c r="X299" s="3">
        <f>441+(842.9-462.7)+(-0.44982+(-0.859758--0.471954))+0-0-0</f>
        <v>820.36237600000004</v>
      </c>
      <c r="Y299" s="3">
        <f>441.5+(816.2-461.5)+(-0.45033+(-0.832524--0.47073))+0-0-0</f>
        <v>795.38787600000001</v>
      </c>
      <c r="Z299" s="3">
        <f>441.5+(816.8-478.8)+(-0.45033+(-0.833136--0.488376))+0-0-0</f>
        <v>778.70491000000004</v>
      </c>
      <c r="AA299" s="3">
        <f>442.9+(804.9-475.2)+(0.451758+(0.820998-0.484704))+0-0-0</f>
        <v>773.3880519999999</v>
      </c>
      <c r="AB299" s="3">
        <f>395.7+(827.1-488.2)+(-0.403614+(-0.843642--0.497964))+0-0-0</f>
        <v>733.85070800000005</v>
      </c>
      <c r="AC299" s="3">
        <f>329.4+(839.2-491.9)+(-0.503982+(-1.283976--0.752607))+0-0-0</f>
        <v>675.66464900000005</v>
      </c>
      <c r="AD299">
        <f t="shared" si="4"/>
        <v>15693.353572000002</v>
      </c>
      <c r="AE299" s="3">
        <f>440+(862.3-481.2)+(0+(0-0))+0-0-0</f>
        <v>821.09999999999991</v>
      </c>
    </row>
    <row r="300" spans="1:31" s="2" customFormat="1" x14ac:dyDescent="0.25">
      <c r="A300">
        <v>89</v>
      </c>
      <c r="B300">
        <v>10</v>
      </c>
      <c r="C300">
        <v>24</v>
      </c>
      <c r="D300">
        <v>7</v>
      </c>
      <c r="E300">
        <v>1</v>
      </c>
      <c r="F300" s="3">
        <f>320.3+(793.2-505.4)+(0+(0-0))+0-0-0</f>
        <v>608.10000000000014</v>
      </c>
      <c r="G300" s="3">
        <f>320.4+(749.3-509)+(-0.490212+(-1.146429--0.77877))+0-0-0</f>
        <v>559.84212899999989</v>
      </c>
      <c r="H300" s="3">
        <f>320.5+(710.1-488.2)+(-0.163455+(-0.362151--0.248982))+0-0-0</f>
        <v>542.12337600000012</v>
      </c>
      <c r="I300" s="3">
        <f>354.8+(627.6-451.6)+(0.180948+(0.320076-0.230316))+0-0-0</f>
        <v>531.07070799999997</v>
      </c>
      <c r="J300" s="3">
        <f>457.1+(496.7-419.2)+(0.233121+(0.253317-0.213792))+0-0-0</f>
        <v>534.87264600000003</v>
      </c>
      <c r="K300" s="3">
        <f>481+(521.1-464.9)+(0.98124+(1.063044-0.948396))+0-0-0</f>
        <v>538.29588799999999</v>
      </c>
      <c r="L300" s="3">
        <f>479.1+(559.6-490.3)+(-0.733023+(-0.856188--0.750159))+0-0-0</f>
        <v>547.56094800000005</v>
      </c>
      <c r="M300" s="3">
        <f>488.5+(540.7-483.1)+(-0.99654+(-1.103028--0.985524))+0-0-0</f>
        <v>544.98595599999999</v>
      </c>
      <c r="N300" s="3">
        <f>575.9+(423.9-446.6)+(0.881127+(0.648567-0.683298))+0-0-0</f>
        <v>554.04639599999996</v>
      </c>
      <c r="O300" s="3">
        <f>644.8+(385.3-427.6)+(-0.657696+(-0.393006--0.436152))+0-0-0</f>
        <v>601.88544999999999</v>
      </c>
      <c r="P300" s="3">
        <f>641.7+(413.8-424)+(-0.654534+(-0.422076--0.43248))+0-0-0</f>
        <v>630.85586999999998</v>
      </c>
      <c r="Q300" s="3">
        <f>634.4+(454.9-456.3)+(-0.970632+(-0.695997--0.698139))+0-0-0</f>
        <v>632.03151000000003</v>
      </c>
      <c r="R300" s="3">
        <f>643.2+(437.3-472.9)+(-1.312128+(-0.892092--0.964716))+0-0-0</f>
        <v>606.36049600000013</v>
      </c>
      <c r="S300" s="3">
        <f>644.2+(423.3-474)+(-0.985626+(-0.647649--0.72522))+0-0-0</f>
        <v>592.59194500000001</v>
      </c>
      <c r="T300" s="3">
        <f>644+(396.2-451.6)+(-0.32844+(-0.202062--0.230316))+0-0-0</f>
        <v>588.29981399999986</v>
      </c>
      <c r="U300" s="3">
        <f>644.9+(398.7-453.2)+(-1.644495+(-1.016685--1.15566))+0-0-0</f>
        <v>588.89447999999993</v>
      </c>
      <c r="V300" s="3">
        <f>644.5+(454.6-470.9)+(-1.643475+(-1.15923--1.200795))+0-0-0</f>
        <v>626.59809000000007</v>
      </c>
      <c r="W300" s="3">
        <f>644.2+(549-483.1)+(-0.985626+(-0.83997--0.739143))+0-0-0</f>
        <v>709.01354700000002</v>
      </c>
      <c r="X300" s="3">
        <f>644.1+(639.7-475.1)+(-0.328491+(-0.326247--0.242301))+0-0-0</f>
        <v>808.28756300000009</v>
      </c>
      <c r="Y300" s="3">
        <f>644+(632.2-474)+(-0.98532+(-0.967266--0.72522))+0-0-0</f>
        <v>800.97263400000008</v>
      </c>
      <c r="Z300" s="3">
        <f>643.9+(636.7-496.3)+(0.328389+(0.324717-0.253113))+0-0-0</f>
        <v>784.69999299999995</v>
      </c>
      <c r="AA300" s="3">
        <f>642.7+(651.2-519.6)+(-0.327777+(-0.332112--0.264996))+0-0-0</f>
        <v>773.90510700000004</v>
      </c>
      <c r="AB300" s="3">
        <f>642.5+(636-532.6)+(-0.983025+(-0.97308--0.814878))+0-0-0</f>
        <v>744.75877300000002</v>
      </c>
      <c r="AC300" s="3">
        <f>496.7+(664.6-477.5)+(0.506634+(0.677892-0.48705))+0-0-0</f>
        <v>684.49747600000001</v>
      </c>
      <c r="AD300">
        <f t="shared" si="4"/>
        <v>15134.550794999999</v>
      </c>
      <c r="AE300" s="3">
        <f>644+(640.2-495.9)+(0+(0-0))+0-0-0</f>
        <v>788.30000000000007</v>
      </c>
    </row>
    <row r="301" spans="1:31" s="2" customFormat="1" x14ac:dyDescent="0.25">
      <c r="A301">
        <v>89</v>
      </c>
      <c r="B301">
        <v>10</v>
      </c>
      <c r="C301">
        <v>25</v>
      </c>
      <c r="D301">
        <v>1</v>
      </c>
      <c r="E301">
        <v>1</v>
      </c>
      <c r="F301" s="3">
        <f>330.3+(684.4-429.7)+(-0.505359+(-1.047132--0.657441))+0-0-0</f>
        <v>584.10495000000003</v>
      </c>
      <c r="G301" s="3">
        <f>330.3+(676.1-456.6)+(0+(0-0))+0-0-0</f>
        <v>549.79999999999995</v>
      </c>
      <c r="H301" s="3">
        <f>328.6+(675.5-473.2)+(-0.335172+(-0.68901--0.482664))+0-0-0</f>
        <v>530.35848200000009</v>
      </c>
      <c r="I301" s="3">
        <f>328.1+(680.6-487)+(0.334662+(0.694212-0.49674))+0-0-0</f>
        <v>522.23213400000009</v>
      </c>
      <c r="J301" s="3">
        <f>327.1+(637.6-445.4)+(0.333642+(0.650352-0.454308))+0-0-0</f>
        <v>519.82968600000004</v>
      </c>
      <c r="K301" s="3">
        <f>425.6+(530.2-411.8)+(-0.434112+(-0.540804--0.420036))+0-0-0</f>
        <v>543.44511999999997</v>
      </c>
      <c r="L301" s="3">
        <f>506.7+(527.9-466.9)+(-0.775251+(-0.807687--0.714357))+0-0-0</f>
        <v>566.8314190000001</v>
      </c>
      <c r="M301" s="3">
        <f>602.8+(468.7-478.2)+(-0.307428+(-0.239037--0.243882))+0-0-0</f>
        <v>592.99741699999993</v>
      </c>
      <c r="N301" s="3">
        <f>659.7+(457.5-487.4)+(0.336447+(0.233325-0.248574))+0-0-0</f>
        <v>630.12119800000005</v>
      </c>
      <c r="O301" s="3">
        <f>733.2+(395.5-449.4)+(0.373932+(0.201705-0.229194))+0-0-0</f>
        <v>679.64644300000009</v>
      </c>
      <c r="P301" s="3">
        <f>776.6+(362.3-424.3)+(0+(0-0))+0-0-0</f>
        <v>714.6</v>
      </c>
      <c r="Q301" s="3">
        <f>776.2+(258.4-307.6)+(0+(0-0))+0-0-0</f>
        <v>727</v>
      </c>
      <c r="R301" s="3">
        <f>731.2+(355.6-375.7)+(-0.372912+(-0.181356--0.191607))+0-0-0</f>
        <v>710.73733900000013</v>
      </c>
      <c r="S301" s="3">
        <f>692.9+(445-449.7)+(0+(0-0))+0-0-0</f>
        <v>688.2</v>
      </c>
      <c r="T301" s="3">
        <f>693.5+(447.6-464)+(0.353685+(0.228276-0.23664))+0-0-0</f>
        <v>677.44532100000004</v>
      </c>
      <c r="U301" s="3">
        <f>757.1+(392.9-462.4)+(0.386121+(0.200379-0.235824))+0-0-0</f>
        <v>687.95067600000004</v>
      </c>
      <c r="V301" s="3">
        <f>894.1+(339-513.5)+(-0.455991+(-0.17289--0.261885))+0-0-0</f>
        <v>719.23300400000005</v>
      </c>
      <c r="W301" s="3">
        <f>1011.4+(280.4-497.9)+(0.515814+(0.143004-0.253929))+0-0-0</f>
        <v>794.304889</v>
      </c>
      <c r="X301" s="3">
        <f>1010.7+(312.6-496.9)+(-2.061828+(-0.637704--1.013676))+0-0-0</f>
        <v>824.71414400000015</v>
      </c>
      <c r="Y301" s="3">
        <f>1011.8+(341.3-540.1)+(-0.516018+(-0.174063--0.275451))+0-0-0</f>
        <v>812.58537000000001</v>
      </c>
      <c r="Z301" s="3">
        <f>940.1+(427.5-556.1)+(-2.397255+(-1.090125--1.418055))+0-0-0</f>
        <v>809.43067499999995</v>
      </c>
      <c r="AA301" s="3">
        <f>820.9+(492.4-526.4)+(-1.255977+(-0.753372--0.805392))+0-0-0</f>
        <v>785.69604300000003</v>
      </c>
      <c r="AB301" s="3">
        <f>781.3+(449-484.9)+(-0.796926+(-0.45798--0.494598))+0-0-0</f>
        <v>744.63969199999997</v>
      </c>
      <c r="AC301" s="3">
        <f>577.6+(581.9-475.3)+(-1.47288+(-1.483845--1.212015))+0-0-0</f>
        <v>682.45528999999999</v>
      </c>
      <c r="AD301">
        <f t="shared" si="4"/>
        <v>16098.359292000001</v>
      </c>
      <c r="AE301" s="3">
        <f>1013+(306.5-484.5)+(0+(0-0))+0-0-0</f>
        <v>835</v>
      </c>
    </row>
    <row r="302" spans="1:31" s="2" customFormat="1" x14ac:dyDescent="0.25">
      <c r="A302">
        <v>89</v>
      </c>
      <c r="B302">
        <v>10</v>
      </c>
      <c r="C302">
        <v>26</v>
      </c>
      <c r="D302">
        <v>2</v>
      </c>
      <c r="E302">
        <v>1</v>
      </c>
      <c r="F302" s="3">
        <f>329.2+(752.3-490.6)+(-0.167892+(-0.383673--0.250206))+0-0-0</f>
        <v>590.59864099999982</v>
      </c>
      <c r="G302" s="3">
        <f>326+(707.1-487.2)+(-0.33252+(-0.721242--0.496944))+0-0-0</f>
        <v>545.34318200000007</v>
      </c>
      <c r="H302" s="3">
        <f>327.7+(660.5-450.4)+(-0.501381+(-1.010565--0.689112))+0-0-0</f>
        <v>536.97716600000001</v>
      </c>
      <c r="I302" s="3">
        <f>326.8+(610.6-409.6)+(-0.333336+(-0.622812--0.417792))+0-0-0</f>
        <v>527.26164399999993</v>
      </c>
      <c r="J302" s="3">
        <f>327.1+(625.8-429.5)+(-0.834105+(-1.59579--1.095225))+0-0-0</f>
        <v>522.06533000000002</v>
      </c>
      <c r="K302" s="3">
        <f>329.2+(626.9-425.4)+(0.335784+(0.639438-0.433908))+0-0-0</f>
        <v>531.2413140000001</v>
      </c>
      <c r="L302" s="3">
        <f>428+(590.3-456.9)+(-1.30968+(-1.806318--1.398114))+0-0-0</f>
        <v>559.68211599999995</v>
      </c>
      <c r="M302" s="3">
        <f>540.8+(522.1-477)+(-0.275808+(-0.266271--0.24327))+0-0-0</f>
        <v>585.60119099999997</v>
      </c>
      <c r="N302" s="3">
        <f>637.2+(488.9-503.2)+(-1.299888+(-0.997356--1.026528))+0-0-0</f>
        <v>621.6292840000001</v>
      </c>
      <c r="O302" s="3">
        <f>636.1+(527.5-503.8)+(0+(0-0))+0-0-0</f>
        <v>659.8</v>
      </c>
      <c r="P302" s="3">
        <f>637.7+(512.7-460.4)+(-0.650454+(-0.522954--0.469608))+0-0-0</f>
        <v>689.29620000000011</v>
      </c>
      <c r="Q302" s="3">
        <f>643+(513.1-464.6)+(-0.65586+(-0.523362--0.473892))+0-0-0</f>
        <v>690.79467</v>
      </c>
      <c r="R302" s="3">
        <f>644.5+(508-487.6)+(0+(0-0))+0-0-0</f>
        <v>664.9</v>
      </c>
      <c r="S302" s="3">
        <f>644.3+(499.4-500.4)+(-0.328593+(-0.254694--0.255204))+0-0-0</f>
        <v>642.97191699999996</v>
      </c>
      <c r="T302" s="3">
        <f>642.7+(501.9-511.1)+(-0.655554+(-0.511938--0.521322))+0-0-0</f>
        <v>632.85383000000002</v>
      </c>
      <c r="U302" s="3">
        <f>642.6+(518.1-518.3)+(-0.655452+(-0.528462--0.528666))+0-0-0</f>
        <v>641.74475200000006</v>
      </c>
      <c r="V302" s="3">
        <f>667.9+(477.5-474.1)+(-1.362516+(-0.9741--0.967164))+0-0-0</f>
        <v>669.93054799999993</v>
      </c>
      <c r="W302" s="3">
        <f>747.3+(465.1-477.9)+(0+(0-0))+0-0-0</f>
        <v>734.5</v>
      </c>
      <c r="X302" s="3">
        <f>760.9+(432.3-337.3)+(-0.388059+(-0.220473--0.172023))+0-0-0</f>
        <v>855.46349099999998</v>
      </c>
      <c r="Y302" s="3">
        <f>760.8+(584.5-511.8)+(-1.94004+(-1.490475--1.30509))+0-0-0</f>
        <v>831.37457500000005</v>
      </c>
      <c r="Z302" s="3">
        <f>718.1+(595.7-495.5)+(-1.098693+(-0.911421--0.758115))+0-0-0</f>
        <v>817.04800100000011</v>
      </c>
      <c r="AA302" s="3">
        <f>646.3+(635.5-494.8)+(-1.318452+(-1.29642--1.009392))+0-0-0</f>
        <v>785.39452000000006</v>
      </c>
      <c r="AB302" s="3">
        <f>644.2+(631.1-511.1)+(0+(0-0))+0-0-0</f>
        <v>764.2</v>
      </c>
      <c r="AC302" s="3">
        <f>564.5+(650.1-511.1)+(-2.015265+(-2.320857--1.824627))+0-0-0</f>
        <v>700.98850500000003</v>
      </c>
      <c r="AD302">
        <f t="shared" si="4"/>
        <v>15801.660877000002</v>
      </c>
      <c r="AE302" s="3">
        <f>760+(578.2-498.8)+(0+(0-0))+0-0-0</f>
        <v>839.40000000000009</v>
      </c>
    </row>
    <row r="303" spans="1:31" s="2" customFormat="1" x14ac:dyDescent="0.25">
      <c r="A303">
        <v>89</v>
      </c>
      <c r="B303">
        <v>10</v>
      </c>
      <c r="C303">
        <v>27</v>
      </c>
      <c r="D303">
        <v>3</v>
      </c>
      <c r="E303">
        <v>1</v>
      </c>
      <c r="F303" s="3">
        <f>352.9+(776.2-519.8)+(-0.359958+(-0.791724--0.530196))+0-0-0</f>
        <v>608.67851400000006</v>
      </c>
      <c r="G303" s="3">
        <f>326.3+(767.6-523.3)+(-0.832065+(-1.95738--1.334415))+0-0-0</f>
        <v>569.14497000000017</v>
      </c>
      <c r="H303" s="3">
        <f>326.4+(711.8-489.7)+(0.332928+(0.726036-0.499494))+0-0-0</f>
        <v>549.05947000000003</v>
      </c>
      <c r="I303" s="3">
        <f>326.4+(690-473.1)+(0+(0-0))+0-0-0</f>
        <v>543.29999999999995</v>
      </c>
      <c r="J303" s="3">
        <f>323.7+(717.3-504.1)+(0.165087+(0.365823-0.257091))+0-0-0</f>
        <v>537.17381899999987</v>
      </c>
      <c r="K303" s="3">
        <f>461.5+(591.9-502.6)+(-1.176825+(-1.509345--1.28163))+0-0-0</f>
        <v>549.39545999999996</v>
      </c>
      <c r="L303" s="3">
        <f>643.6+(455.2-496.5)+(0+(0-0))+0-0-0</f>
        <v>602.29999999999995</v>
      </c>
      <c r="M303" s="3">
        <f>643+(490-493.2)+(-0.98379+(-0.7497--0.754596))+0-0-0</f>
        <v>638.82110599999999</v>
      </c>
      <c r="N303" s="3">
        <f>741.1+(395-529.3)+(-1.133883+(-0.60435--0.809829))+0-0-0</f>
        <v>605.87159600000007</v>
      </c>
      <c r="O303" s="3">
        <f>1030+(282.2-625.3)+(0.5253+(0.143922-0.318903))+0-0-0</f>
        <v>687.2503190000001</v>
      </c>
      <c r="P303" s="3">
        <f>1020.7+(257.3-566.2)+(-2.602785+(-0.656115--1.44381))+0-0-0</f>
        <v>709.9849099999999</v>
      </c>
      <c r="Q303" s="3">
        <f>1040.9+(259.9-591.3)+(0.530859+(0.132549-0.301563))+0-0-0</f>
        <v>709.86184500000013</v>
      </c>
      <c r="R303" s="3">
        <f>998.9+(260.5-579.2)+(-2.547195+(-0.664275--1.47696))+0-0-0</f>
        <v>678.46548999999993</v>
      </c>
      <c r="S303" s="3">
        <f>939.2+(288.6-561.6)+(0+(0-0))+0-0-0</f>
        <v>666.2</v>
      </c>
      <c r="T303" s="3">
        <f>889.9+(359.5-597.2)+(-1.361547+(-0.550035--0.913716))+0-0-0</f>
        <v>651.20213399999989</v>
      </c>
      <c r="U303" s="3">
        <f>873.9+(397.7-616.7)+(-0.891378+(-0.405654--0.629034))+0-0-0</f>
        <v>654.23200199999985</v>
      </c>
      <c r="V303" s="3">
        <f>874+(380.7-588.8)+(-0.44574+(-0.194157--0.300288))+0-0-0</f>
        <v>665.5603910000001</v>
      </c>
      <c r="W303" s="3">
        <f>914+(432.9-600.1)+(-0.46614+(-0.220779--0.306051))+0-0-0</f>
        <v>746.41913199999999</v>
      </c>
      <c r="X303" s="3">
        <f>1035.3+(444.8-602.9)+(-1.584009+(-0.680544--0.922437))+0-0-0</f>
        <v>875.85788400000001</v>
      </c>
      <c r="Y303" s="3">
        <f>1026.9+(458.9-619.2)+(-1.571157+(-0.702117--0.947376))+0-0-0</f>
        <v>865.27410199999997</v>
      </c>
      <c r="Z303" s="3">
        <f>830.9+(503.8-502.1)+(0+(0-0))+0-0-0</f>
        <v>832.59999999999991</v>
      </c>
      <c r="AA303" s="3">
        <f>784.8+(500.2-476.4)+(0.400248+(0.255102-0.242964))+0-0-0</f>
        <v>809.01238599999988</v>
      </c>
      <c r="AB303" s="3">
        <f>786.1+(437.4-447.9)+(-0.801822+(-0.446148--0.456858))+0-0-0</f>
        <v>774.80888800000002</v>
      </c>
      <c r="AC303" s="3">
        <f>749.9+(427.3-463.4)+(-0.764898+(-0.435846--0.472668))+0-0-0</f>
        <v>713.07192399999997</v>
      </c>
      <c r="AD303">
        <f t="shared" si="4"/>
        <v>16243.546342000001</v>
      </c>
      <c r="AE303" s="3">
        <f>1039+(432.9-596.5)+(0+(0-0))+0-0-0</f>
        <v>875.4</v>
      </c>
    </row>
    <row r="304" spans="1:31" s="2" customFormat="1" x14ac:dyDescent="0.25">
      <c r="A304">
        <v>89</v>
      </c>
      <c r="B304">
        <v>10</v>
      </c>
      <c r="C304">
        <v>28</v>
      </c>
      <c r="D304">
        <v>4</v>
      </c>
      <c r="E304">
        <v>1</v>
      </c>
      <c r="F304" s="3">
        <f>470.9+(621.3-454.5)+(-1.440954+(-1.901178--1.39077))+0-0-0</f>
        <v>635.74863799999991</v>
      </c>
      <c r="G304" s="3">
        <f>328.7+(720.3-478.4)+(-0.167637+(-0.367353--0.243984))+0-0-0</f>
        <v>570.30899399999987</v>
      </c>
      <c r="H304" s="3">
        <f>330.6+(680.4-456)+(-0.168606+(-0.347004--0.23256))+0-0-0</f>
        <v>554.71695</v>
      </c>
      <c r="I304" s="3">
        <f>325.9+(676.3-456.7)+(-0.498627+(-1.034739--0.698751))+0-0-0</f>
        <v>544.66538500000001</v>
      </c>
      <c r="J304" s="3">
        <f>322.9+(685.3-462)+(0+(0-0))+0-0-0</f>
        <v>546.19999999999993</v>
      </c>
      <c r="K304" s="3">
        <f>322.3+(700.4-456.1)+(0+(0-0))+0-0-0</f>
        <v>566.59999999999991</v>
      </c>
      <c r="L304" s="3">
        <f>545.1+(533.1-496.4)+(-1.390005+(-1.359405--1.26582))+0-0-0</f>
        <v>580.31641000000002</v>
      </c>
      <c r="M304" s="3">
        <f>642+(447.6-480.6)+(0.65484+(0.456552-0.490212))+0-0-0</f>
        <v>609.62117999999998</v>
      </c>
      <c r="N304" s="3">
        <f>676.9+(374.1-486)+(0.345219+(0.190791-0.24786))+0-0-0</f>
        <v>565.28814999999997</v>
      </c>
      <c r="O304" s="3">
        <f>1017.5+(162.8-500.6)+(-1.556775+(-0.249084--0.765918))+0-0-0</f>
        <v>678.66005900000005</v>
      </c>
      <c r="P304" s="3">
        <f>1022.3+(179.8-496.2)+(-0.521373+(-0.091698--0.253062))+0-0-0</f>
        <v>705.53999099999999</v>
      </c>
      <c r="Q304" s="3">
        <f>1021.6+(159-476.1)+(-1.042032+(-0.16218--0.485622))+0-0-0</f>
        <v>703.78141000000005</v>
      </c>
      <c r="R304" s="3">
        <f>963.9+(190.1-486.6)+(-1.966356+(-0.387804--0.992664))+0-0-0</f>
        <v>666.03850399999999</v>
      </c>
      <c r="S304" s="3">
        <f>916.5+(234.6-512.4)+(0+(0-0))+0-0-0</f>
        <v>638.70000000000005</v>
      </c>
      <c r="T304" s="3">
        <f>910.9+(174.7-452.6)+(0+(0-0))+0-0-0</f>
        <v>633</v>
      </c>
      <c r="U304" s="3">
        <f>858.6+(255.5-450.7)+(-0.875772+(-0.26061--0.459714))+0-0-0</f>
        <v>662.72333200000014</v>
      </c>
      <c r="V304" s="3">
        <f>852.1+(291.1-437.4)+(-2.607426+(-0.890766--1.338444))+0-0-0</f>
        <v>703.64025200000003</v>
      </c>
      <c r="W304" s="3">
        <f>975.9+(257.2-453)+(-0.995418+(-0.262344--0.46206))+0-0-0</f>
        <v>779.3042979999999</v>
      </c>
      <c r="X304" s="3">
        <f>1076.8+(255.9-492)+(-1.647504+(-0.391527--0.75276))+0-0-0</f>
        <v>839.41372899999988</v>
      </c>
      <c r="Y304" s="3">
        <f>1102.8+(242.8-511.9)+(-1.124856+(-0.247656--0.522138))+0-0-0</f>
        <v>832.84962600000006</v>
      </c>
      <c r="Z304" s="3">
        <f>1119.4+(268.2-578.3)+(-1.712682+(-0.410346--0.884799))+0-0-0</f>
        <v>808.06177100000014</v>
      </c>
      <c r="AA304" s="3">
        <f>1082.8+(299.9-588.9)+(-0.552228+(-0.152949--0.300339))+0-0-0</f>
        <v>793.39516199999991</v>
      </c>
      <c r="AB304" s="3">
        <f>953.9+(394.3-578.4)+(-0.486489+(-0.201093--0.294984))+0-0-0</f>
        <v>769.40740199999993</v>
      </c>
      <c r="AC304" s="3">
        <f>787.2+(446.6-529.4)+(-1.204416+(-0.683298--0.809982))+0-0-0</f>
        <v>703.32226800000012</v>
      </c>
      <c r="AD304">
        <f t="shared" si="4"/>
        <v>16091.303510999998</v>
      </c>
      <c r="AE304" s="3">
        <f>1081+(266.3-507.1)+(0+(0-0))+0-0-0</f>
        <v>840.2</v>
      </c>
    </row>
    <row r="305" spans="1:31" s="2" customFormat="1" x14ac:dyDescent="0.25">
      <c r="A305">
        <v>89</v>
      </c>
      <c r="B305">
        <v>10</v>
      </c>
      <c r="C305">
        <v>29</v>
      </c>
      <c r="D305">
        <v>5</v>
      </c>
      <c r="E305">
        <v>1</v>
      </c>
      <c r="F305" s="3">
        <f>645.5+(467-495.8)+(-1.646025+(-1.19085--1.26429))+0-0-0</f>
        <v>615.12741500000004</v>
      </c>
      <c r="G305" s="3">
        <f>361.5+(654.2-458.5)+(0.553095+(1.000926-0.701505))+0-0-0</f>
        <v>558.05251600000008</v>
      </c>
      <c r="H305" s="3">
        <f>333.9+(679.2-476.3)+(-0.510867+(-1.039176--0.728739))+0-0-0</f>
        <v>535.9786959999999</v>
      </c>
      <c r="I305" s="3">
        <f>335.5+(691.8-497.7)+(0.171105+(0.352818-0.253827))+0-0-0</f>
        <v>529.87009599999988</v>
      </c>
      <c r="J305" s="3">
        <f>334.2+(685.3-481.3)+(-0.85221+(-1.747515--1.227315))+0-0-0</f>
        <v>536.82758999999999</v>
      </c>
      <c r="K305" s="3">
        <f>336.2+(654.9-446.8)+(0.171462+(0.333999-0.227868))+0-0-0</f>
        <v>544.57759299999998</v>
      </c>
      <c r="L305" s="3">
        <f>481.8+(545-450.1)+(0.245718+(0.27795-0.229551))+0-0-0</f>
        <v>576.99411700000007</v>
      </c>
      <c r="M305" s="3">
        <f>642+(457.6-512.1)+(0+(0-0))+0-0-0</f>
        <v>587.5</v>
      </c>
      <c r="N305" s="3">
        <f>693.2+(370.1-479.4)+(1.060596+(0.566253-0.733482))+0-0-0</f>
        <v>584.7933670000001</v>
      </c>
      <c r="O305" s="3">
        <f>783.1+(232.5-462.8)+(0+(0-0))+0-0-0</f>
        <v>552.79999999999995</v>
      </c>
      <c r="P305" s="3">
        <f>1025.9+(166.3-524.4)+(-2.092836+(-0.339252--1.069776))+0-0-0</f>
        <v>666.43768800000021</v>
      </c>
      <c r="Q305" s="3">
        <f>1024.7+(180.9-537.2)+(-0.522597+(-0.092259--0.273972))+0-0-0</f>
        <v>668.05911600000002</v>
      </c>
      <c r="R305" s="3">
        <f>977.1+(218.5-554.4)+(-1.494963+(-0.334305--0.848232))+0-0-0</f>
        <v>640.21896400000003</v>
      </c>
      <c r="S305" s="3">
        <f>922.4+(173.2-471)+(-0.940848+(-0.176664--0.48042))+0-0-0</f>
        <v>623.96290799999986</v>
      </c>
      <c r="T305" s="3">
        <f>918+(198-490.2)+(0+(0-0))+0-0-0</f>
        <v>625.79999999999995</v>
      </c>
      <c r="U305" s="3">
        <f>921.5+(177.6-471.2)+(0+(0-0))+0-0-0</f>
        <v>627.9</v>
      </c>
      <c r="V305" s="3">
        <f>922.5+(243.2-516.6)+(0+(0-0))+0-0-0</f>
        <v>649.09999999999991</v>
      </c>
      <c r="W305" s="3">
        <f>926+(307.9-518.3)+(-1.88904+(-0.628116--1.057332))+0-0-0</f>
        <v>714.140176</v>
      </c>
      <c r="X305" s="3">
        <f>1000.9+(356.7-522.5)+(-1.020918+(-0.363834--0.53295))+0-0-0</f>
        <v>834.24819799999989</v>
      </c>
      <c r="Y305" s="3">
        <f>973.6+(336.9-485.5)+(-2.48268+(-0.859095--1.238025))+0-0-0</f>
        <v>822.89625000000001</v>
      </c>
      <c r="Z305" s="3">
        <f>812.2+(531.3-549.7)+(0+(0-0))+0-0-0</f>
        <v>793.8</v>
      </c>
      <c r="AA305" s="3">
        <f>764.2+(535-529.3)+(0.779484+(0.5457-0.539886))+0-0-0</f>
        <v>770.6852980000001</v>
      </c>
      <c r="AB305" s="3">
        <f>765.9+(494.5-510.3)+(0.781218+(0.50439-0.520506))+0-0-0</f>
        <v>750.86510199999987</v>
      </c>
      <c r="AC305" s="3">
        <f>763.3+(424.7-491)+(-1.557132+(-0.866388--1.00164))+0-0-0</f>
        <v>695.57812000000001</v>
      </c>
      <c r="AD305">
        <f t="shared" si="4"/>
        <v>15506.21321</v>
      </c>
      <c r="AE305" s="3">
        <f>1005+(394-566.6)+(0+(0-0))+0-0-0</f>
        <v>832.4</v>
      </c>
    </row>
    <row r="306" spans="1:31" s="2" customFormat="1" x14ac:dyDescent="0.25">
      <c r="A306">
        <v>89</v>
      </c>
      <c r="B306">
        <v>10</v>
      </c>
      <c r="C306">
        <v>30</v>
      </c>
      <c r="D306">
        <v>6</v>
      </c>
      <c r="E306">
        <v>1</v>
      </c>
      <c r="F306" s="3">
        <f>682.4+(417.9-491.8)+(-0.696048+(-0.426258--0.501636))+0-0-0</f>
        <v>607.87932999999998</v>
      </c>
      <c r="G306" s="3">
        <f>591.7+(454.7-486.6)+(0+(0-0))+0-0-0</f>
        <v>559.79999999999995</v>
      </c>
      <c r="H306" s="3">
        <f>443.9+(574.6-490.7)+(0+(0-0))+0-0-0</f>
        <v>527.79999999999995</v>
      </c>
      <c r="I306" s="3">
        <f>380.5+(601.6-456.5)+(-0.194055+(-0.306816--0.232815))+0-0-0</f>
        <v>525.33194400000002</v>
      </c>
      <c r="J306" s="3">
        <f>387.1+(595.7-458.7)+(-0.394842+(-0.607614--0.467874))+0-0-0</f>
        <v>523.56541800000014</v>
      </c>
      <c r="K306" s="3">
        <f>433.4+(571.1-475.3)+(0.884136+(1.165044-0.969612))+0-0-0</f>
        <v>530.27956800000004</v>
      </c>
      <c r="L306" s="3">
        <f>605.4+(441.9-479.8)+(0.308754+(0.225369-0.244698))+0-0-0</f>
        <v>567.78942500000005</v>
      </c>
      <c r="M306" s="3">
        <f>733.2+(331.3-479.3)+(-1.121796+(-0.506889--0.733329))+0-0-0</f>
        <v>584.30464400000005</v>
      </c>
      <c r="N306" s="3">
        <f>755.4+(306-450.8)+(0+(0-0))+0-0-0</f>
        <v>610.59999999999991</v>
      </c>
      <c r="O306" s="3">
        <f>756.6+(379.5-461.3)+(1.543464+(0.77418-0.941052))+0-0-0</f>
        <v>676.17659199999991</v>
      </c>
      <c r="P306" s="3">
        <f>756.7+(435.8-481)+(0.385917+(0.222258-0.24531))+0-0-0</f>
        <v>711.86286500000006</v>
      </c>
      <c r="Q306" s="3">
        <f>783+(376.5-479.1)+(-1.59732+(-0.76806--0.977364))+0-0-0</f>
        <v>679.01198399999998</v>
      </c>
      <c r="R306" s="3">
        <f>770.4+(365.3-485.4)+(0.785808+(0.372606-0.495108))+0-0-0</f>
        <v>650.96330599999999</v>
      </c>
      <c r="S306" s="3">
        <f>768.3+(374.4-506)+(-0.783666+(-0.381888--0.51612))+0-0-0</f>
        <v>636.05056599999989</v>
      </c>
      <c r="T306" s="3">
        <f>767.4+(318.9-457.9)+(-0.391374+(-0.162639--0.233529))+0-0-0</f>
        <v>628.07951600000001</v>
      </c>
      <c r="U306" s="3">
        <f>767.6+(380.4-524.2)+(-0.391476+(-0.194004--0.267342))+0-0-0</f>
        <v>623.48186199999998</v>
      </c>
      <c r="V306" s="3">
        <f>769.7+(416.8-536)+(0.392547+(0.212568-0.27336))+0-0-0</f>
        <v>650.83175500000004</v>
      </c>
      <c r="W306" s="3">
        <f>768.7+(456.3-493.4)+(-0.392037+(-0.232713--0.251634))+0-0-0</f>
        <v>731.22688400000015</v>
      </c>
      <c r="X306" s="3">
        <f>769.2+(534.4-452.2)+(-1.569168+(-1.090176--0.922488))+0-0-0</f>
        <v>849.6631440000001</v>
      </c>
      <c r="Y306" s="3">
        <f>770.4+(548.4-490.1)+(-1.178712+(-0.839052--0.749853))+0-0-0</f>
        <v>827.43208899999991</v>
      </c>
      <c r="Z306" s="3">
        <f>769.8+(529.1-493.1)+(-1.96299+(-1.349205--1.257405))+0-0-0</f>
        <v>803.74520999999993</v>
      </c>
      <c r="AA306" s="3">
        <f>771.8+(528.3-515.5)+(0.787236+(0.538866-0.52581))+0-0-0</f>
        <v>785.40029199999992</v>
      </c>
      <c r="AB306" s="3">
        <f>705.2+(570.8-519.1)+(1.078956+(0.873324-0.794223))+0-0-0</f>
        <v>758.05805699999996</v>
      </c>
      <c r="AC306" s="3">
        <f>642.4+(604.8-538.7)+(-0.982872+(-0.925344--0.824211))+0-0-0</f>
        <v>707.41599499999984</v>
      </c>
      <c r="AD306">
        <f t="shared" si="4"/>
        <v>15756.750445999996</v>
      </c>
      <c r="AE306" s="3">
        <f>766+(566.6-483.2)+(0+(0-0))+0-0-0</f>
        <v>849.40000000000009</v>
      </c>
    </row>
    <row r="307" spans="1:31" s="2" customFormat="1" x14ac:dyDescent="0.25">
      <c r="A307">
        <v>89</v>
      </c>
      <c r="B307">
        <v>11</v>
      </c>
      <c r="C307">
        <v>1</v>
      </c>
      <c r="D307">
        <v>7</v>
      </c>
      <c r="E307">
        <v>1</v>
      </c>
      <c r="F307" s="3">
        <f>521+(654.4-525.2)+(-1.32855+(-1.66872--1.33926))+0-0-0</f>
        <v>648.54198999999994</v>
      </c>
      <c r="G307" s="3">
        <f>331.1+(769.5-507.2)+(-0.337722+(-0.78489--0.517344))+0-0-0</f>
        <v>592.79473200000007</v>
      </c>
      <c r="H307" s="3">
        <f>330.1+(757.4-522.7)+(-1.010106+(-2.317644--1.599462))+0-0-0</f>
        <v>563.07171199999993</v>
      </c>
      <c r="I307" s="3">
        <f>327.3+(738.7-521.3)+(0+(0-0))+0-0-0</f>
        <v>544.70000000000005</v>
      </c>
      <c r="J307" s="3">
        <f>328+(723.8-506.2)+(-0.16728+(-0.369138--0.258162))+0-0-0</f>
        <v>545.32174399999985</v>
      </c>
      <c r="K307" s="3">
        <f>386.7+(663-494.6)+(0+(0-0))+0-0-0</f>
        <v>555.09999999999991</v>
      </c>
      <c r="L307" s="3">
        <f>548.7+(562.1-537.3)+(-2.79837+(-2.86671--2.74023))+0-0-0</f>
        <v>570.57515000000012</v>
      </c>
      <c r="M307" s="3">
        <f>642.9+(465.4-535)+(0.655758+(0.474708-0.5457))+0-0-0</f>
        <v>573.8847659999999</v>
      </c>
      <c r="N307" s="3">
        <f>643.4+(483.6-542.3)+(-1.64067+(-1.23318--1.382865))+0-0-0</f>
        <v>583.20901500000002</v>
      </c>
      <c r="O307" s="3">
        <f>641.7+(534.6-560.9)+(-0.327267+(-0.272646--0.286059))+0-0-0</f>
        <v>615.0861460000001</v>
      </c>
      <c r="P307" s="3">
        <f>643.1+(530.8-537.9)+(-1.311924+(-1.082832--1.097316))+0-0-0</f>
        <v>634.70255999999995</v>
      </c>
      <c r="Q307" s="3">
        <f>645.8+(497.5-511.4)+(-0.988074+(-0.761175--0.782442))+0-0-0</f>
        <v>630.93319299999996</v>
      </c>
      <c r="R307" s="3">
        <f>645.2+(480.5-512.4)+(0.329052+(0.245055-0.261324))+0-0-0</f>
        <v>613.61278300000004</v>
      </c>
      <c r="S307" s="3">
        <f>644+(487.3-534.7)+(-1.31376+(-0.994092--1.090788))+0-0-0</f>
        <v>595.38293599999986</v>
      </c>
      <c r="T307" s="3">
        <f>642.6+(461.2-508.5)+(-0.327726+(-0.235212--0.259335))+0-0-0</f>
        <v>594.996397</v>
      </c>
      <c r="U307" s="3">
        <f>642.2+(461.3-510.4)+(-0.982566+(-0.705789--0.780912))+0-0-0</f>
        <v>592.19255700000019</v>
      </c>
      <c r="V307" s="3">
        <f>642.4+(479.3-508.6)+(-1.310496+(-0.977772--1.037544))+0-0-0</f>
        <v>611.84927599999992</v>
      </c>
      <c r="W307" s="3">
        <f>642.5+(573.5-537.2)+(0.327675+(0.292485-0.273972))+0-0-0</f>
        <v>679.14618799999994</v>
      </c>
      <c r="X307" s="3">
        <f>644.4+(695.5-523.1)+(-0.985932+(-1.064115--0.800343))+0-0-0</f>
        <v>815.550296</v>
      </c>
      <c r="Y307" s="3">
        <f>644.7+(709.9-539.6)+(-0.328797+(-0.362049--0.275196))+0-0-0</f>
        <v>814.58434999999997</v>
      </c>
      <c r="Z307" s="3">
        <f>645.2+(679.3-530)+(-1.316208+(-1.385772--1.0812))+0-0-0</f>
        <v>792.87922000000003</v>
      </c>
      <c r="AA307" s="3">
        <f>646.3+(675.5-541.8)+(0.988839+(1.033515-0.828954))+0-0-0</f>
        <v>781.1934</v>
      </c>
      <c r="AB307" s="3">
        <f>647.6+(663.8-555.7)+(-1.321104+(-1.354152--1.133628))+0-0-0</f>
        <v>754.15837199999999</v>
      </c>
      <c r="AC307" s="3">
        <f>597.4+(621.4-519.6)+(-0.609348+(-0.633828--0.529992))+0-0-0</f>
        <v>698.48681599999998</v>
      </c>
      <c r="AD307">
        <f t="shared" si="4"/>
        <v>15401.953599000002</v>
      </c>
      <c r="AE307" s="3">
        <f>643+(715.2-537.4)+(0+(0-0))+0-0-0</f>
        <v>820.80000000000007</v>
      </c>
    </row>
    <row r="308" spans="1:31" s="2" customFormat="1" x14ac:dyDescent="0.25">
      <c r="A308">
        <v>89</v>
      </c>
      <c r="B308">
        <v>11</v>
      </c>
      <c r="C308">
        <v>2</v>
      </c>
      <c r="D308">
        <v>1</v>
      </c>
      <c r="E308">
        <v>1</v>
      </c>
      <c r="F308" s="3">
        <f>445.9+(700.4-521)+(-1.591863+(-2.500428--1.85997))+0-0-0</f>
        <v>623.067679</v>
      </c>
      <c r="G308" s="3">
        <f>326.8+(760.4-507.8)+(-0.666672+(-1.551216--1.035912))+0-0-0</f>
        <v>578.21802400000001</v>
      </c>
      <c r="H308" s="3">
        <f>324.8+(738.3-502.1)+(0.165648+(0.376533-0.256071))+0-0-0</f>
        <v>561.28611000000001</v>
      </c>
      <c r="I308" s="3">
        <f>322.5+(695.8-465.4)+(0+(0-0))+0-0-0</f>
        <v>552.9</v>
      </c>
      <c r="J308" s="3">
        <f>322.1+(719.9-497.1)+(-0.492813+(-1.101447--0.760563))+0-0-0</f>
        <v>544.06630299999995</v>
      </c>
      <c r="K308" s="3">
        <f>334.2+(720.6-502)+(0.170442+(0.367506-0.25602))+0-0-0</f>
        <v>553.08192799999995</v>
      </c>
      <c r="L308" s="3">
        <f>592.4+(516.6-521.7)+(0.302124+(0.263466-0.266067))+0-0-0</f>
        <v>587.59952299999998</v>
      </c>
      <c r="M308" s="3">
        <f>649+(451.3-486.4)+(-0.66198+(-0.460326--0.496128))+0-0-0</f>
        <v>613.27382200000011</v>
      </c>
      <c r="N308" s="3">
        <f>748.6+(382.8-484.3)+(-0.763572+(-0.390456--0.493986))+0-0-0</f>
        <v>646.43995800000005</v>
      </c>
      <c r="O308" s="3">
        <f>762.7+(423.5-501)+(-0.388977+(-0.215985--0.25551))+0-0-0</f>
        <v>684.850548</v>
      </c>
      <c r="P308" s="3">
        <f>760.5+(458.3-505.3)+(-1.55142+(-0.934932--1.030812))+0-0-0</f>
        <v>712.04445999999996</v>
      </c>
      <c r="Q308" s="3">
        <f>760.6+(462.6-513.2)+(-1.163718+(-0.707778--0.785196))+0-0-0</f>
        <v>708.91369999999995</v>
      </c>
      <c r="R308" s="3">
        <f>760.4+(421-508.3)+(-1.93902+(-1.07355--1.296165))+0-0-0</f>
        <v>671.3835949999999</v>
      </c>
      <c r="S308" s="3">
        <f>764.8+(417.2-521.7)+(0.780096+(0.425544-0.532134))+0-0-0</f>
        <v>660.97350599999993</v>
      </c>
      <c r="T308" s="3">
        <f>763.4+(406.9-517.4)+(-0.389334+(-0.207519--0.263874))+0-0-0</f>
        <v>652.56702099999995</v>
      </c>
      <c r="U308" s="3">
        <f>762.5+(408.1-524.7)+(0.388875+(0.208131-0.267597))+0-0-0</f>
        <v>646.22940900000003</v>
      </c>
      <c r="V308" s="3">
        <f>762.6+(419.8-526)+(0+(0-0))+0-0-0</f>
        <v>656.40000000000009</v>
      </c>
      <c r="W308" s="3">
        <f>754.6+(494.4-537.6)+(1.154538+(0.756432-0.822528))+0-0-0</f>
        <v>712.48844199999996</v>
      </c>
      <c r="X308" s="3">
        <f>775.2+(572.1-495)+(-1.186056+(-0.875313--0.75735))+0-0-0</f>
        <v>850.99598100000003</v>
      </c>
      <c r="Y308" s="3">
        <f>774.9+(593-515.2)+(-1.185597+(-0.90729--0.788256))+0-0-0</f>
        <v>851.39536899999996</v>
      </c>
      <c r="Z308" s="3">
        <f>774.3+(560.6-519.2)+(-1.579572+(-1.143624--1.059168))+0-0-0</f>
        <v>814.0359719999999</v>
      </c>
      <c r="AA308" s="3">
        <f>776.1+(516.6-499.7)+(-0.395811+(-0.263466--0.254847))+0-0-0</f>
        <v>792.59556999999995</v>
      </c>
      <c r="AB308" s="3">
        <f>775.9+(454.2-466.8)+(-1.582836+(-0.926568--0.952272))+0-0-0</f>
        <v>761.74286799999993</v>
      </c>
      <c r="AC308" s="3">
        <f>733.4+(461.8-487.4)+(-2.992272+(-1.884144--1.988592))+0-0-0</f>
        <v>704.91217599999993</v>
      </c>
      <c r="AD308">
        <f t="shared" si="4"/>
        <v>16141.461963999998</v>
      </c>
      <c r="AE308" s="3">
        <f>774+(579.2-505.6)+(0+(0-0))+0-0-0</f>
        <v>847.6</v>
      </c>
    </row>
    <row r="309" spans="1:31" s="2" customFormat="1" x14ac:dyDescent="0.25">
      <c r="A309">
        <v>89</v>
      </c>
      <c r="B309">
        <v>11</v>
      </c>
      <c r="C309">
        <v>3</v>
      </c>
      <c r="D309">
        <v>2</v>
      </c>
      <c r="E309">
        <v>1</v>
      </c>
      <c r="F309" s="3">
        <f>520.5+(615.5-517.5)+(-0.796365+(-0.941715--0.791775))+0-0-0</f>
        <v>617.55369499999995</v>
      </c>
      <c r="G309" s="3">
        <f>441.5+(627.2-501)+(-0.90066+(-1.279488--1.02204))+0-0-0</f>
        <v>566.54189200000008</v>
      </c>
      <c r="H309" s="3">
        <f>411+(611.4-472.7)+(-1.04805+(-1.55907--1.205385))+0-0-0</f>
        <v>548.29826500000001</v>
      </c>
      <c r="I309" s="3">
        <f>383.7+(609.4-457)+(0.195687+(0.310794-0.23307))+0-0-0</f>
        <v>536.37341099999992</v>
      </c>
      <c r="J309" s="3">
        <f>388.1+(644.7-493.9)+(0.395862+(0.657594-0.503778))+0-0-0</f>
        <v>539.44967800000006</v>
      </c>
      <c r="K309" s="3">
        <f>391.2+(681.6-514.4)+(0+(0-0))+0-0-0</f>
        <v>558.40000000000009</v>
      </c>
      <c r="L309" s="3">
        <f>549.2+(553.2-516.3)+(-1.120368+(-1.128528--1.053252))+0-0-0</f>
        <v>584.90435600000012</v>
      </c>
      <c r="M309" s="3">
        <f>692.1+(435.5-515.3)+(-0.705942+(-0.44421--0.525606))+0-0-0</f>
        <v>611.67545400000006</v>
      </c>
      <c r="N309" s="3">
        <f>870.5+(281.5-492.5)+(0+(0-0))+0-0-0</f>
        <v>659.5</v>
      </c>
      <c r="O309" s="3">
        <f>884.3+(294.6-486.7)+(-0.450993+(-0.150246--0.248217))+0-0-0</f>
        <v>691.84697800000004</v>
      </c>
      <c r="P309" s="3">
        <f>960.7+(220.3-506.5)+(-0.489957+(-0.112353--0.258315))+0-0-0</f>
        <v>674.15600500000005</v>
      </c>
      <c r="Q309" s="3">
        <f>1027.5+(180.5-524.4)+(-1.04805+(-0.18411--0.534888))+0-0-0</f>
        <v>682.90272800000002</v>
      </c>
      <c r="R309" s="3">
        <f>1021.4+(172.2-526)+(-0.520914+(-0.087822--0.26826))+0-0-0</f>
        <v>667.25952399999994</v>
      </c>
      <c r="S309" s="3">
        <f>966.6+(209.1-481.4)+(-0.492966+(-0.106641--0.245514))+0-0-0</f>
        <v>693.94590700000003</v>
      </c>
      <c r="T309" s="3">
        <f>893.7+(239.2-448.3)+(-2.278935+(-0.60996--1.143165))+0-0-0</f>
        <v>682.85427000000004</v>
      </c>
      <c r="U309" s="3">
        <f>891.5+(209.9-459.9)+(0.454665+(0.107049-0.234549))+0-0-0</f>
        <v>641.82716500000004</v>
      </c>
      <c r="V309" s="3">
        <f>948.5+(167-510)+(-1.451205+(-0.25551--0.7803))+0-0-0</f>
        <v>604.57358499999998</v>
      </c>
      <c r="W309" s="3">
        <f>1008.7+(229.5-505.5)+(-1.028874+(-0.23409--0.51561))+0-0-0</f>
        <v>731.95264600000007</v>
      </c>
      <c r="X309" s="3">
        <f>1043.3+(333.6-517.1)+(-2.128332+(-0.680544--1.054884))+0-0-0</f>
        <v>858.04600799999992</v>
      </c>
      <c r="Y309" s="3">
        <f>1043.2+(345.2-527.3)+(-2.128128+(-0.704208--1.075692))+0-0-0</f>
        <v>859.34335600000009</v>
      </c>
      <c r="Z309" s="3">
        <f>1045.8+(322.4-541.2)+(-0.533358+(-0.164424--0.276012))+0-0-0</f>
        <v>826.57822999999985</v>
      </c>
      <c r="AA309" s="3">
        <f>1026.2+(341.2-554.2)+(-0.523362+(-0.174012--0.282642))+0-0-0</f>
        <v>812.78526800000009</v>
      </c>
      <c r="AB309" s="3">
        <f>748.6+(537.5-500.9)+(0+(0-0))+0-0-0</f>
        <v>785.2</v>
      </c>
      <c r="AC309" s="3">
        <f>646.1+(541.9-475.1)+(-1.647555+(-1.381845--1.211505))+0-0-0</f>
        <v>711.08210499999996</v>
      </c>
      <c r="AD309">
        <f t="shared" si="4"/>
        <v>16147.050525999999</v>
      </c>
      <c r="AE309" s="3">
        <f>1043+(296.2-484.7)+(0+(0-0))+0-0-0</f>
        <v>854.5</v>
      </c>
    </row>
    <row r="310" spans="1:31" s="2" customFormat="1" x14ac:dyDescent="0.25">
      <c r="A310">
        <v>89</v>
      </c>
      <c r="B310">
        <v>11</v>
      </c>
      <c r="C310">
        <v>4</v>
      </c>
      <c r="D310">
        <v>3</v>
      </c>
      <c r="E310">
        <v>1</v>
      </c>
      <c r="F310" s="3">
        <f>477.9+(595.5-451.3)+(-0.487458+(-0.60741--0.460326))+0-0-0</f>
        <v>621.4654579999999</v>
      </c>
      <c r="G310" s="3">
        <f>327.1+(695.9-459.1)+(-0.166821+(-0.354909--0.234141))+0-0-0</f>
        <v>563.61241099999995</v>
      </c>
      <c r="H310" s="3">
        <f>325+(703.5-488.2)+(-0.3315+(-0.71757--0.497964))+0-0-0</f>
        <v>539.74889399999995</v>
      </c>
      <c r="I310" s="3">
        <f>323.5+(707.1-492.1)+(0.32997+(0.721242-0.501942))+0-0-0</f>
        <v>539.04926999999998</v>
      </c>
      <c r="J310" s="3">
        <f>326+(694.9-472.6)+(0.33252+(0.708798-0.482052))+0-0-0</f>
        <v>548.85926599999993</v>
      </c>
      <c r="K310" s="3">
        <f>326.4+(689-454.7)+(0.665856+(1.40556-0.927588))+0-0-0</f>
        <v>561.84382800000003</v>
      </c>
      <c r="L310" s="3">
        <f>453.7+(608.6-474.7)+(-0.694161+(-0.931158--0.726291))+0-0-0</f>
        <v>586.70097199999998</v>
      </c>
      <c r="M310" s="3">
        <f>636.8+(450.5-462.2)+(-1.62384+(-1.148775--1.17861))+0-0-0</f>
        <v>623.50599499999987</v>
      </c>
      <c r="N310" s="3">
        <f>636+(509.3-467)+(0+(0-0))+0-0-0</f>
        <v>678.3</v>
      </c>
      <c r="O310" s="3">
        <f>643.1+(527.3-427)+(0+(0-0))+0-0-0</f>
        <v>743.4</v>
      </c>
      <c r="P310" s="3">
        <f>642.5+(562.2-489)+(-1.3107+(-1.146888--0.99756))+0-0-0</f>
        <v>714.23997200000008</v>
      </c>
      <c r="Q310" s="3">
        <f>642.1+(558.3-462.8)+(-1.637355+(-1.423665--1.18014))+0-0-0</f>
        <v>735.71911999999986</v>
      </c>
      <c r="R310" s="3">
        <f>643.9+(537.2-482.8)+(-1.313556+(-1.095888--0.984912))+0-0-0</f>
        <v>696.87546799999996</v>
      </c>
      <c r="S310" s="3">
        <f>642.3+(504.8-489.4)+(-0.327573+(-0.257448--0.249594))+0-0-0</f>
        <v>657.36457300000006</v>
      </c>
      <c r="T310" s="3">
        <f>643.5+(469.6-456.3)+(0+(0-0))+0-0-0</f>
        <v>656.8</v>
      </c>
      <c r="U310" s="3">
        <f>641.5+(509.4-460.4)+(0.981495+(0.779382-0.704412))+0-0-0</f>
        <v>691.556465</v>
      </c>
      <c r="V310" s="3">
        <f>640.9+(504.2-464)+(0+(0-0))+0-0-0</f>
        <v>681.09999999999991</v>
      </c>
      <c r="W310" s="3">
        <f>642+(554.5-476)+(0+(0-0))+0-0-0</f>
        <v>720.5</v>
      </c>
      <c r="X310" s="3">
        <f>642.3+(715.6-494.6)+(-0.982719+(-1.094868--0.756738))+0-0-0</f>
        <v>861.979151</v>
      </c>
      <c r="Y310" s="3">
        <f>642.2+(709.7-508.1)+(-0.982566+(-1.085841--0.777393))+0-0-0</f>
        <v>842.50898600000005</v>
      </c>
      <c r="Z310" s="3">
        <f>642.8+(665.4-480.4)+(-0.983484+(-1.018062--0.735012))+0-0-0</f>
        <v>826.53346599999998</v>
      </c>
      <c r="AA310" s="3">
        <f>643.1+(626.7-465.2)+(-0.327981+(-0.319617--0.237252))+0-0-0</f>
        <v>804.18965400000013</v>
      </c>
      <c r="AB310" s="3">
        <f>643.6+(635.1-499.3)+(-0.656472+(-0.647802--0.509286))+0-0-0</f>
        <v>778.6050120000001</v>
      </c>
      <c r="AC310" s="3">
        <f>565.1+(650.8-496.3)+(0+(0-0))+0-0-0</f>
        <v>719.59999999999991</v>
      </c>
      <c r="AD310">
        <f t="shared" si="4"/>
        <v>16394.057960999999</v>
      </c>
      <c r="AE310" s="3">
        <f>641+(750.7-522)+(0+(0-0))+0-0-0</f>
        <v>869.7</v>
      </c>
    </row>
    <row r="311" spans="1:31" s="2" customFormat="1" x14ac:dyDescent="0.25">
      <c r="A311">
        <v>89</v>
      </c>
      <c r="B311">
        <v>11</v>
      </c>
      <c r="C311">
        <v>5</v>
      </c>
      <c r="D311">
        <v>4</v>
      </c>
      <c r="E311">
        <v>5</v>
      </c>
      <c r="F311" s="3">
        <f>380.3+(747.9-494.1)+(-0.193953+(-0.381429--0.251991))+0-0-0</f>
        <v>633.77660899999989</v>
      </c>
      <c r="G311" s="3">
        <f>330.3+(727.5-460.6)+(-0.505359+(-1.113075--0.704718))+0-0-0</f>
        <v>596.28628400000002</v>
      </c>
      <c r="H311" s="3">
        <f>327.3+(719-473.8)+(0.333846+(0.73338-0.483276))+0-0-0</f>
        <v>573.08394999999996</v>
      </c>
      <c r="I311" s="3">
        <f>325.8+(722-482.6)+(-0.166158+(-0.36822--0.246126))+0-0-0</f>
        <v>564.91174799999999</v>
      </c>
      <c r="J311" s="3">
        <f>327.2+(732.2-507.1)+(-0.166872+(-0.373422--0.258621))+0-0-0</f>
        <v>552.018327</v>
      </c>
      <c r="K311" s="3">
        <f>328+(714.2-482.4)+(0.16728+(0.364242-0.246024))+0-0-0</f>
        <v>560.08549800000003</v>
      </c>
      <c r="L311" s="3">
        <f>397.2+(650.9-481.1)+(-1.215432+(-1.991754--1.472166))+0-0-0</f>
        <v>565.26498000000004</v>
      </c>
      <c r="M311" s="3">
        <f>423.7+(633.2-494.3)+(-1.080435+(-1.61466--1.260465))+0-0-0</f>
        <v>561.16537000000005</v>
      </c>
      <c r="N311" s="3">
        <f>595.9+(490.9-495.4)+(-0.607818+(-0.500718--0.505308))+0-0-0</f>
        <v>590.79677200000003</v>
      </c>
      <c r="O311" s="3">
        <f>644.8+(472.3-492.7)+(-1.315392+(-0.963492--1.005108))+0-0-0</f>
        <v>623.12622399999998</v>
      </c>
      <c r="P311" s="3">
        <f>645.3+(486.4-472)+(-0.987309+(-0.744192--0.72216))+0-0-0</f>
        <v>658.69065899999998</v>
      </c>
      <c r="Q311" s="3">
        <f>644.5+(496.3-463)+(-1.643475+(-1.265565--1.18065))+0-0-0</f>
        <v>676.07160999999996</v>
      </c>
      <c r="R311" s="3">
        <f>642.8+(446.2-423)+(-1.966968+(-1.365372--1.29438))+0-0-0</f>
        <v>663.96204</v>
      </c>
      <c r="S311" s="3">
        <f>643.1+(432-478)+(-0.655962+(-0.44064--0.48756))+0-0-0</f>
        <v>596.49095799999998</v>
      </c>
      <c r="T311" s="3">
        <f>644.3+(479.2-505)+(-1.642965+(-1.22196--1.28775))+0-0-0</f>
        <v>616.92282499999999</v>
      </c>
      <c r="U311" s="3">
        <f>643.6+(487.9-507)+(0.656472+(0.497658-0.51714))+0-0-0</f>
        <v>625.13698999999997</v>
      </c>
      <c r="V311" s="3">
        <f>643.8+(508.1-479)+(0.656676+(0.518262-0.48858))+0-0-0</f>
        <v>673.58635800000002</v>
      </c>
      <c r="W311" s="3">
        <f>644.6+(585.9-515.4)+(0+(0-0))+0-0-0</f>
        <v>715.1</v>
      </c>
      <c r="X311" s="3">
        <f>644.3+(700.3-509.5)+(-0.328593+(-0.357153--0.259845))+0-0-0</f>
        <v>834.67409899999996</v>
      </c>
      <c r="Y311" s="3">
        <f>644.3+(716.6-529.5)+(-1.314372+(-1.461864--1.08018))+0-0-0</f>
        <v>829.70394399999998</v>
      </c>
      <c r="Z311" s="3">
        <f>644.6+(703-536.8)+(0+(0-0))+0-0-0</f>
        <v>810.80000000000007</v>
      </c>
      <c r="AA311" s="3">
        <f>645.6+(679.1-528.2)+(0+(0-0))+0-0-0</f>
        <v>796.5</v>
      </c>
      <c r="AB311" s="3">
        <f>644.3+(613.5-492.9)+(-1.971558+(-1.87731--1.508274))+0-0-0</f>
        <v>762.55940599999997</v>
      </c>
      <c r="AC311" s="3">
        <f>586+(610.6-498.4)+(-0.59772+(-0.622812--0.508368))+0-0-0</f>
        <v>697.48783600000002</v>
      </c>
      <c r="AD311">
        <f t="shared" si="4"/>
        <v>15778.202487</v>
      </c>
      <c r="AE311" s="3">
        <f>644+(720.2-515.4)+(0+(0-0))+0-0-0</f>
        <v>848.80000000000007</v>
      </c>
    </row>
    <row r="312" spans="1:31" s="2" customFormat="1" x14ac:dyDescent="0.25">
      <c r="A312">
        <v>89</v>
      </c>
      <c r="B312">
        <v>11</v>
      </c>
      <c r="C312">
        <v>6</v>
      </c>
      <c r="D312">
        <v>5</v>
      </c>
      <c r="E312">
        <v>1</v>
      </c>
      <c r="F312" s="3">
        <f>462.8+(656.6-495.5)+(-0.708084+(-1.004598--0.758115))+0-0-0</f>
        <v>622.94543300000009</v>
      </c>
      <c r="G312" s="3">
        <f>443.8+(622-490.6)+(-0.226338+(-0.31722--0.250206))+0-0-0</f>
        <v>574.90664800000002</v>
      </c>
      <c r="H312" s="3">
        <f>443.9+(616-501.7)+(0.226389+(0.31416-0.255867))+0-0-0</f>
        <v>558.48468200000002</v>
      </c>
      <c r="I312" s="3">
        <f>445.9+(589.1-485.3)+(0+(0-0))+0-0-0</f>
        <v>549.70000000000005</v>
      </c>
      <c r="J312" s="3">
        <f>447+(549.8-448.7)+(0.91188+(1.121592-0.915348))+0-0-0</f>
        <v>549.21812399999988</v>
      </c>
      <c r="K312" s="3">
        <f>476.5+(519.6-452.8)+(0.243015+(0.264996-0.230928))+0-0-0</f>
        <v>543.5770829999999</v>
      </c>
      <c r="L312" s="3">
        <f>632+(468.3-504.9)+(-0.64464+(-0.477666--0.514998))+0-0-0</f>
        <v>594.7926920000001</v>
      </c>
      <c r="M312" s="3">
        <f>642.7+(496.8-513.4)+(0.655554+(0.506736-0.523668))+0-0-0</f>
        <v>626.73862200000019</v>
      </c>
      <c r="N312" s="3">
        <f>646.4+(507.5-500.8)+(-0.329664+(-0.258825--0.255408))+0-0-0</f>
        <v>652.76691899999992</v>
      </c>
      <c r="O312" s="3">
        <f>778.6+(430.7-491.2)+(-0.794172+(-0.439314--0.501024))+0-0-0</f>
        <v>717.36753799999997</v>
      </c>
      <c r="P312" s="3">
        <f>769.8+(426.8-456.8)+(0.785196+(0.435336-0.465936))+0-0-0</f>
        <v>740.55459599999995</v>
      </c>
      <c r="Q312" s="3">
        <f>770.3+(399.3-423)+(0.392853+(0.203643-0.21573))+0-0-0</f>
        <v>746.9807659999999</v>
      </c>
      <c r="R312" s="3">
        <f>770.3+(440.4-497.9)+(-1.964265+(-1.12302--1.269645))+0-0-0</f>
        <v>710.98235999999997</v>
      </c>
      <c r="S312" s="3">
        <f>761.8+(452-530.5)+(0+(0-0))+0-0-0</f>
        <v>683.3</v>
      </c>
      <c r="T312" s="3">
        <f>769.8+(442.2-529.4)+(0+(0-0))+0-0-0</f>
        <v>682.59999999999991</v>
      </c>
      <c r="U312" s="3">
        <f>769.1+(391.1-481.4)+(-0.392241+(-0.199461--0.245514))+0-0-0</f>
        <v>678.45381200000008</v>
      </c>
      <c r="V312" s="3">
        <f>860.5+(352.7-478.9)+(-1.75542+(-0.719508--0.976956))+0-0-0</f>
        <v>732.80202799999995</v>
      </c>
      <c r="W312" s="3">
        <f>950.7+(311.1-474.2)+(-1.939428+(-0.634644--0.967368))+0-0-0</f>
        <v>785.9932960000001</v>
      </c>
      <c r="X312" s="3">
        <f>985.1+(258.1-398.9)+(0.502401+(0.131631-0.203439))+0-0-0</f>
        <v>844.73059300000011</v>
      </c>
      <c r="Y312" s="3">
        <f>882.3+(445.1-496)+(0.449973+(0.227001-0.25296))+0-0-0</f>
        <v>831.82401400000003</v>
      </c>
      <c r="Z312" s="3">
        <f>807.8+(507.1-516.4)+(-2.05989+(-1.293105--1.31682))+0-0-0</f>
        <v>796.46382500000004</v>
      </c>
      <c r="AA312" s="3">
        <f>790.9+(493.5-506)+(0+(0-0))+0-0-0</f>
        <v>778.4</v>
      </c>
      <c r="AB312" s="3">
        <f>788.2+(483.8-522.9)+(-2.00991+(-1.23369--1.333395))+0-0-0</f>
        <v>747.18979500000012</v>
      </c>
      <c r="AC312" s="3">
        <f>736.9+(502.6-529.2)+(-2.254914+(-1.537956--1.619352))+0-0-0</f>
        <v>708.12648200000001</v>
      </c>
      <c r="AD312">
        <f t="shared" si="4"/>
        <v>16458.899308</v>
      </c>
      <c r="AE312" s="3">
        <f>993+(259.5-403.1)+(0+(0-0))+0-0-0</f>
        <v>849.4</v>
      </c>
    </row>
    <row r="313" spans="1:31" s="2" customFormat="1" x14ac:dyDescent="0.25">
      <c r="A313">
        <v>89</v>
      </c>
      <c r="B313">
        <v>11</v>
      </c>
      <c r="C313">
        <v>7</v>
      </c>
      <c r="D313">
        <v>6</v>
      </c>
      <c r="E313">
        <v>1</v>
      </c>
      <c r="F313" s="3">
        <f>508.1+(615.1-511.1)+(-0.777393+(-0.941103--0.781983))+0-0-0</f>
        <v>611.16348700000003</v>
      </c>
      <c r="G313" s="3">
        <f>473.5+(615-519.1)+(0.96594+(1.2546-1.058964))+0-0-0</f>
        <v>570.56157599999995</v>
      </c>
      <c r="H313" s="3">
        <f>500.5+(542.1-485.2)+(0.765765+(0.829413-0.742356))+0-0-0</f>
        <v>558.25282200000004</v>
      </c>
      <c r="I313" s="3">
        <f>528.5+(509.4-478.8)+(0.269535+(0.259794-0.244188))+0-0-0</f>
        <v>559.38514099999986</v>
      </c>
      <c r="J313" s="3">
        <f>535.5+(503.1-487.4)+(0+(0-0))+0-0-0</f>
        <v>551.20000000000005</v>
      </c>
      <c r="K313" s="3">
        <f>535.5+(507.3-476.3)+(0+(0-0))+0-0-0</f>
        <v>566.5</v>
      </c>
      <c r="L313" s="3">
        <f>541.1+(557-507.4)+(0.551922+(0.56814-0.517548))+0-0-0</f>
        <v>591.30251400000009</v>
      </c>
      <c r="M313" s="3">
        <f>698.2+(445.2-495.4)+(-0.356082+(-0.227052--0.252654))+0-0-0</f>
        <v>647.66952000000003</v>
      </c>
      <c r="N313" s="3">
        <f>701.4+(433-497.6)+(-0.715428+(-0.44166--0.507552))+0-0-0</f>
        <v>636.15046399999994</v>
      </c>
      <c r="O313" s="3">
        <f>770.9+(418.3-485.8)+(-1.572636+(-0.853332--0.991032))+0-0-0</f>
        <v>701.96506399999998</v>
      </c>
      <c r="P313" s="3">
        <f>769.6+(416.4-490.9)+(-0.392496+(-0.212364--0.250359))+0-0-0</f>
        <v>694.745499</v>
      </c>
      <c r="Q313" s="3">
        <f>767.6+(449.4-521.8)+(0+(0-0))+0-0-0</f>
        <v>695.2</v>
      </c>
      <c r="R313" s="3">
        <f>766.5+(394.2-519.8)+(-1.56366+(-0.804168--1.060392))+0-0-0</f>
        <v>639.59256400000004</v>
      </c>
      <c r="S313" s="3">
        <f>751.6+(376.1-507.3)+(-2.683212+(-1.342677--1.811061))+0-0-0</f>
        <v>618.18517200000008</v>
      </c>
      <c r="T313" s="3">
        <f>717.3+(417.3-524.5)+(-1.829115+(-1.064115--1.337475))+0-0-0</f>
        <v>608.54424499999993</v>
      </c>
      <c r="U313" s="3">
        <f>718.8+(441.9-530)+(-0.733176+(-0.450738--0.5406))+0-0-0</f>
        <v>630.0566859999999</v>
      </c>
      <c r="V313" s="3">
        <f>718.7+(452.6-510.2)+(-1.466148+(-0.923304--1.040808))+0-0-0</f>
        <v>659.7513560000001</v>
      </c>
      <c r="W313" s="3">
        <f>732+(521.1-534.4)+(0.37332+(0.265761-0.272544))+0-0-0</f>
        <v>719.06653700000004</v>
      </c>
      <c r="X313" s="3">
        <f>769.6+(619.5-535.4)+(-1.96248+(-1.579725--1.36527))+0-0-0</f>
        <v>851.52306500000009</v>
      </c>
      <c r="Y313" s="3">
        <f>771.6+(578.5-538.7)+(-1.180548+(-0.885105--0.824211))+0-0-0</f>
        <v>810.15855799999997</v>
      </c>
      <c r="Z313" s="3">
        <f>770.5+(508.5-534)+(-0.392955+(-0.259335--0.27234))+0-0-0</f>
        <v>744.62004999999999</v>
      </c>
      <c r="AA313" s="3">
        <f>734.1+(577.8-567.2)+(-0.748782+(-0.589356--0.578544))+0-0-0</f>
        <v>743.94040599999994</v>
      </c>
      <c r="AB313" s="3">
        <f>686.1+(606.6-525.5)+(-1.399644+(-1.237464--1.07202))+0-0-0</f>
        <v>765.6349120000001</v>
      </c>
      <c r="AC313" s="3">
        <f>646.1+(584.4-515.2)+(0+(0-0))+0-0-0</f>
        <v>715.3</v>
      </c>
      <c r="AD313">
        <f t="shared" si="4"/>
        <v>15890.469637999997</v>
      </c>
      <c r="AE313" s="3">
        <f>770+(627.4-559.7)+(0+(0-0))+0-0-0</f>
        <v>837.69999999999993</v>
      </c>
    </row>
    <row r="314" spans="1:31" s="2" customFormat="1" x14ac:dyDescent="0.25">
      <c r="A314">
        <v>89</v>
      </c>
      <c r="B314">
        <v>11</v>
      </c>
      <c r="C314">
        <v>8</v>
      </c>
      <c r="D314">
        <v>7</v>
      </c>
      <c r="E314">
        <v>1</v>
      </c>
      <c r="F314" s="3">
        <f>646+(520-509.3)+(-1.6473+(-1.326--1.298715))+0-0-0</f>
        <v>655.02541500000007</v>
      </c>
      <c r="G314" s="3">
        <f>644.8+(467.5-506.2)+(-0.986544+(-0.715275--0.774486))+0-0-0</f>
        <v>605.17266699999993</v>
      </c>
      <c r="H314" s="3">
        <f>507.1+(532.4-469.3)+(-0.258621+(-0.271524--0.239343))+0-0-0</f>
        <v>569.90919800000006</v>
      </c>
      <c r="I314" s="3">
        <f>326+(683.9-469.3)+(-0.16626+(-0.348789--0.239343))+0-0-0</f>
        <v>540.3242939999999</v>
      </c>
      <c r="J314" s="3">
        <f>327.7+(693.4-492.5)+(0.167127+(0.353634-0.251175))+0-0-0</f>
        <v>528.86958599999991</v>
      </c>
      <c r="K314" s="3">
        <f>331.7+(712.4-505)+(-0.507501+(-1.089972--0.77265))+0-0-0</f>
        <v>538.27517699999987</v>
      </c>
      <c r="L314" s="3">
        <f>331.3+(727.3-517.7)+(-0.337926+(-0.741846--0.528054))+0-0-0</f>
        <v>540.34828199999981</v>
      </c>
      <c r="M314" s="3">
        <f>331.9+(722.2-510.7)+(0+(0-0))+0-0-0</f>
        <v>543.40000000000009</v>
      </c>
      <c r="N314" s="3">
        <f>325.3+(742-520.3)+(-0.331806+(-0.75684--0.530706))+0-0-0</f>
        <v>546.44205999999997</v>
      </c>
      <c r="O314" s="3">
        <f>438.3+(662.9-508.2)+(0.670599+(1.014237-0.777546))+0-0-0</f>
        <v>593.90728999999999</v>
      </c>
      <c r="P314" s="3">
        <f>475.3+(681.5-520.5)+(-0.727209+(-1.042695--0.796365))+0-0-0</f>
        <v>635.32646099999999</v>
      </c>
      <c r="Q314" s="3">
        <f>444.3+(704.3-509.8)+(-0.453186+(-0.718386--0.519996))+0-0-0</f>
        <v>638.14842399999998</v>
      </c>
      <c r="R314" s="3">
        <f>467.2+(641.9-500.1)+(-2.144448+(-2.946321--2.295459))+0-0-0</f>
        <v>606.20469000000003</v>
      </c>
      <c r="S314" s="3">
        <f>483.9+(615.7-510.9)+(0+(0-0))+0-0-0</f>
        <v>588.70000000000005</v>
      </c>
      <c r="T314" s="3">
        <f>482.8+(598.2-508.9)+(-0.246228+(-0.305082--0.259539))+0-0-0</f>
        <v>571.8082290000001</v>
      </c>
      <c r="U314" s="3">
        <f>483.1+(607.3-518.5)+(-0.246381+(-0.309723--0.264435))+0-0-0</f>
        <v>571.60833100000002</v>
      </c>
      <c r="V314" s="3">
        <f>572.3+(530.3-503)+(-0.875619+(-0.811359--0.76959))+0-0-0</f>
        <v>598.68261199999995</v>
      </c>
      <c r="W314" s="3">
        <f>640.6+(526.3-498.4)+(-1.306824+(-1.073652--1.016736))+0-0-0</f>
        <v>667.13625999999999</v>
      </c>
      <c r="X314" s="3">
        <f>643.4+(652.7-495.9)+(-1.312536+(-1.331508--1.011636))+0-0-0</f>
        <v>798.56759199999999</v>
      </c>
      <c r="Y314" s="3">
        <f>644.7+(675.7-522.5)+(-0.986391+(-1.033821--0.799425))+0-0-0</f>
        <v>796.67921300000012</v>
      </c>
      <c r="Z314" s="3">
        <f>644.7+(663.5-537.4)+(-0.657594+(-0.67677--0.548148))+0-0-0</f>
        <v>770.0137840000001</v>
      </c>
      <c r="AA314" s="3">
        <f>644.9+(669.4-562)+(-0.328899+(-0.341394--0.28662))+0-0-0</f>
        <v>751.91632699999991</v>
      </c>
      <c r="AB314" s="3">
        <f>644.2+(616.3-522)+(-0.657084+(-0.628626--0.53244))+0-0-0</f>
        <v>737.74672999999996</v>
      </c>
      <c r="AC314" s="3">
        <f>603.1+(604.2-524.2)+(-2.153067+(-2.156994--1.871394))+0-0-0</f>
        <v>680.66133300000001</v>
      </c>
      <c r="AD314">
        <f t="shared" si="4"/>
        <v>15074.873954999997</v>
      </c>
      <c r="AE314" s="3">
        <f>643+(709-554.4)+(0+(0-0))+0-0-0</f>
        <v>797.6</v>
      </c>
    </row>
    <row r="315" spans="1:31" s="2" customFormat="1" x14ac:dyDescent="0.25">
      <c r="A315">
        <v>89</v>
      </c>
      <c r="B315">
        <v>11</v>
      </c>
      <c r="C315">
        <v>9</v>
      </c>
      <c r="D315">
        <v>1</v>
      </c>
      <c r="E315">
        <v>1</v>
      </c>
      <c r="F315" s="3">
        <f>418.6+(714.8-535.9)+(0+(0-0))+0-0-0</f>
        <v>597.5</v>
      </c>
      <c r="G315" s="3">
        <f>330.6+(751.3-532.5)+(-1.180242+(-2.682141--1.901025))+0-0-0</f>
        <v>547.43864199999996</v>
      </c>
      <c r="H315" s="3">
        <f>333.1+(730.4-535.3)+(-0.169881+(-0.372504--0.273003))+0-0-0</f>
        <v>527.93061800000009</v>
      </c>
      <c r="I315" s="3">
        <f>329.5+(687.6-490.9)+(-0.504135+(-1.052028--0.751077))+0-0-0</f>
        <v>525.39491400000009</v>
      </c>
      <c r="J315" s="3">
        <f>328.5+(674.4-478.5)+(0+(0-0))+0-0-0</f>
        <v>524.4</v>
      </c>
      <c r="K315" s="3">
        <f>328.5+(696.3-497.5)+(0+(0-0))+0-0-0</f>
        <v>527.29999999999995</v>
      </c>
      <c r="L315" s="3">
        <f>370+(723.8-533.6)+(0+(0-0))+0-0-0</f>
        <v>560.19999999999993</v>
      </c>
      <c r="M315" s="3">
        <f>611.1+(481.5-499.9)+(-1.558305+(-1.227825--1.274745))+0-0-0</f>
        <v>591.18861500000003</v>
      </c>
      <c r="N315" s="3">
        <f>645.4+(203.7-204.1)+(0.329154+(0.103887-0.104091))+0-0-0</f>
        <v>645.32894999999996</v>
      </c>
      <c r="O315" s="3">
        <f>640.2+(234.6-182.2)+(-0.326502+(-0.119646--0.092922))+0-0-0</f>
        <v>692.24677400000007</v>
      </c>
      <c r="P315" s="3">
        <f>639.9+(236.2-158.7)+(-0.652698+(-0.240924--0.161874))+0-0-0</f>
        <v>716.66825199999994</v>
      </c>
      <c r="Q315" s="3">
        <f>622.5+(248.2-154.4)+(-1.587375+(-0.63291--0.39372))+0-0-0</f>
        <v>714.47343499999999</v>
      </c>
      <c r="R315" s="3">
        <f>640.1+(257.6-200.8)+(0+(0-0))+0-0-0</f>
        <v>696.90000000000009</v>
      </c>
      <c r="S315" s="3">
        <f>642.4+(287.4-237)+(-1.310496+(-0.586296--0.48348))+0-0-0</f>
        <v>691.38668799999994</v>
      </c>
      <c r="T315" s="3">
        <f>643+(278.8-240.6)+(0.98379+(0.426564-0.368118))+0-0-0</f>
        <v>682.24223600000005</v>
      </c>
      <c r="U315" s="3">
        <f>642.6+(283.9-237.6)+(-0.983178+(-0.434367--0.363528))+0-0-0</f>
        <v>687.84598299999993</v>
      </c>
      <c r="V315" s="3">
        <f>642.4+(282.6-203.5)+(0.982872+(0.432378-0.311355))+0-0-0</f>
        <v>722.60389499999997</v>
      </c>
      <c r="W315" s="3">
        <f>646+(330.7-203.5)+(-0.98838+(-0.505971--0.311355))+0-0-0</f>
        <v>772.01700400000004</v>
      </c>
      <c r="X315" s="3">
        <f>648.9+(399.6-189.1)+(-1.985634+(-1.222776--0.578646))+0-0-0</f>
        <v>856.77023599999995</v>
      </c>
      <c r="Y315" s="3">
        <f>647.2+(416.1-217.4)+(-2.310504+(-1.485477--0.776118))+0-0-0</f>
        <v>842.8801370000001</v>
      </c>
      <c r="Z315" s="3">
        <f>645.1+(438.6-259.7)+(0.329001+(0.223686-0.132447))+0-0-0</f>
        <v>824.42024000000004</v>
      </c>
      <c r="AA315" s="3">
        <f>644.7+(431.6-273.7)+(-0.328797+(-0.220116--0.139587))+0-0-0</f>
        <v>802.19067400000017</v>
      </c>
      <c r="AB315" s="3">
        <f>622.3+(420.8-274.2)+(-0.317373+(-0.214608--0.139842))+0-0-0</f>
        <v>768.50786099999993</v>
      </c>
      <c r="AC315" s="3">
        <f>477+(470-248.8)+(-0.24327+(-0.2397--0.126888))+0-0-0</f>
        <v>697.84391800000003</v>
      </c>
      <c r="AD315">
        <f t="shared" si="4"/>
        <v>16215.679071999999</v>
      </c>
      <c r="AE315" s="3">
        <f>648+(415.9-196.8)+(0+(0-0))+0-0-0</f>
        <v>867.09999999999991</v>
      </c>
    </row>
    <row r="316" spans="1:31" s="2" customFormat="1" x14ac:dyDescent="0.25">
      <c r="A316">
        <v>89</v>
      </c>
      <c r="B316">
        <v>11</v>
      </c>
      <c r="C316">
        <v>10</v>
      </c>
      <c r="D316">
        <v>2</v>
      </c>
      <c r="E316">
        <v>1</v>
      </c>
      <c r="F316" s="3">
        <f>331.8+(513.3-223.5)+(0.169218+(0.261783-0.113985))+0-0-0</f>
        <v>621.91701599999988</v>
      </c>
      <c r="G316" s="3">
        <f>329.8+(397.8-161.2)+(0+(0-0))+0-0-0</f>
        <v>566.40000000000009</v>
      </c>
      <c r="H316" s="3">
        <f>331+(370-156.2)+(-0.50643+(-0.5661--0.238986))+0-0-0</f>
        <v>543.96645599999999</v>
      </c>
      <c r="I316" s="3">
        <f>331+(361.4-151.1)+(-0.84405+(-0.92157--0.385305))+0-0-0</f>
        <v>539.91968499999996</v>
      </c>
      <c r="J316" s="3">
        <f>331.3+(366.2-151.5)+(0.337926+(0.373524-0.15453))+0-0-0</f>
        <v>546.55691999999999</v>
      </c>
      <c r="K316" s="3">
        <f>329.9+(375.7-150.2)+(-0.672996+(-0.766428--0.306408))+0-0-0</f>
        <v>554.26698399999998</v>
      </c>
      <c r="L316" s="3">
        <f>329+(388.1-152.4)+(0.67116+(0.791724-0.310896))+0-0-0</f>
        <v>565.85198800000001</v>
      </c>
      <c r="M316" s="3">
        <f>336.7+(406.1-152.2)+(0.171717+(0.207111-0.077622))+0-0-0</f>
        <v>590.901206</v>
      </c>
      <c r="N316" s="3">
        <f>573.5+(240.1-178.9)+(-1.462425+(-0.612255--0.456195))+0-0-0</f>
        <v>633.08151500000008</v>
      </c>
      <c r="O316" s="3">
        <f>644+(219.3-179.2)+(0.32844+(0.111843-0.091392))+0-0-0</f>
        <v>684.448891</v>
      </c>
      <c r="P316" s="3">
        <f>633.9+(253-168.3)+(-0.646578+(-0.25806--0.171666))+0-0-0</f>
        <v>717.86702799999989</v>
      </c>
      <c r="Q316" s="3">
        <f>642.8+(254.2-180.8)+(0+(0-0))+0-0-0</f>
        <v>716.19999999999993</v>
      </c>
      <c r="R316" s="3">
        <f>641.8+(237.3-195.2)+(-0.981954+(-0.363069--0.298656))+0-0-0</f>
        <v>682.85363299999995</v>
      </c>
      <c r="S316" s="3">
        <f>640.4+(246.4-219.1)+(-0.653208+(-0.251328--0.223482))+0-0-0</f>
        <v>667.01894600000003</v>
      </c>
      <c r="T316" s="3">
        <f>639.3+(262.4-235.1)+(-0.652086+(-0.267648--0.239802))+0-0-0</f>
        <v>665.9200679999999</v>
      </c>
      <c r="U316" s="3">
        <f>640.4+(250.4-214.1)+(0.326604+(0.127704-0.109191))+0-0-0</f>
        <v>677.045117</v>
      </c>
      <c r="V316" s="3">
        <f>644.7+(239.7-181.3)+(-0.657594+(-0.244494--0.184926))+0-0-0</f>
        <v>702.38283799999999</v>
      </c>
      <c r="W316" s="3">
        <f>642.8+(261.6-145.4)+(0+(0-0))+0-0-0</f>
        <v>759</v>
      </c>
      <c r="X316" s="3">
        <f>642.6+(414.1-203.7)+(-0.655452+(-0.422382--0.207774))+0-0-0</f>
        <v>852.12994000000003</v>
      </c>
      <c r="Y316" s="3">
        <f>642.6+(411.8-209.1)+(-0.983178+(-0.630054--0.319923))+0-0-0</f>
        <v>844.00669100000005</v>
      </c>
      <c r="Z316" s="3">
        <f>642.6+(404.6-235.5)+(-1.310904+(-0.825384--0.48042))+0-0-0</f>
        <v>810.04413199999999</v>
      </c>
      <c r="AA316" s="3">
        <f>643.3+(370.7-206.6)+(-0.328083+(-0.189057--0.105366))+0-0-0</f>
        <v>806.98822599999994</v>
      </c>
      <c r="AB316" s="3">
        <f>643.5+(307.8-166.5)+(-1.31274+(-0.627912--0.33966))+0-0-0</f>
        <v>783.19900799999994</v>
      </c>
      <c r="AC316" s="3">
        <f>544.7+(365-187.4)+(-0.555594+(-0.3723--0.191148))+0-0-0</f>
        <v>721.56325400000003</v>
      </c>
      <c r="AD316">
        <f t="shared" si="4"/>
        <v>16253.529541999998</v>
      </c>
      <c r="AE316" s="3">
        <f>641+(366.8-156.1)+(0+(0-0))+0-0-0</f>
        <v>851.7</v>
      </c>
    </row>
    <row r="317" spans="1:31" s="2" customFormat="1" x14ac:dyDescent="0.25">
      <c r="A317">
        <v>89</v>
      </c>
      <c r="B317">
        <v>11</v>
      </c>
      <c r="C317">
        <v>11</v>
      </c>
      <c r="D317">
        <v>3</v>
      </c>
      <c r="E317">
        <v>1</v>
      </c>
      <c r="F317" s="3">
        <f>372.9+(413.1-141)+(-0.950895+(-1.053405--0.35955))+0-0-0</f>
        <v>643.35524999999996</v>
      </c>
      <c r="G317" s="3">
        <f>326+(405.9-145)+(-0.66504+(-0.828036--0.2958))+0-0-0</f>
        <v>585.70272399999999</v>
      </c>
      <c r="H317" s="3">
        <f>325.5+(393.8-145)+(-0.66402+(-0.803352--0.2958))+0-0-0</f>
        <v>573.12842799999999</v>
      </c>
      <c r="I317" s="3">
        <f>325.5+(388.2-145)+(-0.830025+(-0.98991--0.36975))+0-0-0</f>
        <v>567.24981500000001</v>
      </c>
      <c r="J317" s="3">
        <f>325+(375.8-148)+(0.663+(0.766632-0.30192))+0-0-0</f>
        <v>553.92771199999993</v>
      </c>
      <c r="K317" s="3">
        <f>325.6+(377.2-141)+(0.83028+(0.96186-0.35955))+0-0-0</f>
        <v>563.23258999999996</v>
      </c>
      <c r="L317" s="3">
        <f>332.5+(386.2-140)+(0.508725+(0.590886-0.2142))+0-0-0</f>
        <v>579.58541100000002</v>
      </c>
      <c r="M317" s="3">
        <f>432.3+(302.2-140)+(0.661419+(0.462366-0.2142))+0-0-0</f>
        <v>595.40958499999999</v>
      </c>
      <c r="N317" s="3">
        <f>576.5+(224.6-173.2)+(0.58803+(0.229092-0.176664))+0-0-0</f>
        <v>628.54045799999994</v>
      </c>
      <c r="O317" s="3">
        <f>638+(201.1-172.9)+(-1.30152+(-0.410244--0.352716))+0-0-0</f>
        <v>664.84095200000002</v>
      </c>
      <c r="P317" s="3">
        <f>635+(230.6-155.4)+(0.97155+(0.352818-0.237762))+0-0-0</f>
        <v>711.28660600000001</v>
      </c>
      <c r="Q317" s="3">
        <f>637.7+(238.6-173.1)+(-0.975681+(-0.365058--0.264843))+0-0-0</f>
        <v>702.1241040000001</v>
      </c>
      <c r="R317" s="3">
        <f>640+(214.6-163.5)+(-2.2848+(-0.766122--0.583695))+0-0-0</f>
        <v>688.63277300000004</v>
      </c>
      <c r="S317" s="3">
        <f>643.6+(192.6-158)+(-0.328236+(-0.098226--0.08058))+0-0-0</f>
        <v>677.85411800000008</v>
      </c>
      <c r="T317" s="3">
        <f>641.5+(195.1-176.5)+(-0.981495+(-0.298503--0.270045))+0-0-0</f>
        <v>659.09004700000003</v>
      </c>
      <c r="U317" s="3">
        <f>642.2+(194.4-171.4)+(-0.982566+(-0.297432--0.262242))+0-0-0</f>
        <v>664.18224400000008</v>
      </c>
      <c r="V317" s="3">
        <f>642.9+(208.4-156.3)+(-1.967274+(-0.637704--0.478278))+0-0-0</f>
        <v>692.87329999999997</v>
      </c>
      <c r="W317" s="3">
        <f>644.7+(273.2-179.3)+(-2.301579+(-0.975324--0.640101))+0-0-0</f>
        <v>735.96319800000003</v>
      </c>
      <c r="X317" s="3">
        <f>647.7+(334.3-139.3)+(-1.981962+(-1.022958--0.426258))+0-0-0</f>
        <v>840.12133800000004</v>
      </c>
      <c r="Y317" s="3">
        <f>644.3+(322.9-139.6)+(0.657186+(0.329358-0.142392))+0-0-0</f>
        <v>828.44415199999992</v>
      </c>
      <c r="Z317" s="3">
        <f>644.3+(301.3-142.9)+(-0.657186+(-0.307326--0.145758))+0-0-0</f>
        <v>801.88124599999992</v>
      </c>
      <c r="AA317" s="3">
        <f>643.6+(326.3-250.2)+(-1.312944+(-0.665652--0.510408))+0-0-0</f>
        <v>718.23181199999999</v>
      </c>
      <c r="AB317" s="3">
        <f>641.6+(525.9-514)+(-1.963296+(-1.609254--1.57284))+0-0-0</f>
        <v>651.50028999999995</v>
      </c>
      <c r="AC317" s="3">
        <f>540.3+(653.9-518)+(-2.204424+(-2.667912--2.11344))+0-0-0</f>
        <v>673.44110399999988</v>
      </c>
      <c r="AD317">
        <f t="shared" si="4"/>
        <v>16000.599256999998</v>
      </c>
      <c r="AE317" s="3">
        <f>649+(342.1-139.9)+(0+(0-0))+0-0-0</f>
        <v>851.2</v>
      </c>
    </row>
    <row r="318" spans="1:31" s="2" customFormat="1" x14ac:dyDescent="0.25">
      <c r="A318">
        <v>89</v>
      </c>
      <c r="B318">
        <v>11</v>
      </c>
      <c r="C318">
        <v>12</v>
      </c>
      <c r="D318">
        <v>4</v>
      </c>
      <c r="E318">
        <v>1</v>
      </c>
      <c r="F318" s="3">
        <f>356.3+(752.2-490)+(-0.363426+(-0.767244--0.4998))+0-0-0</f>
        <v>617.86913000000004</v>
      </c>
      <c r="G318" s="3">
        <f>328.9+(725.8-489)+(-1.006434+(-2.220948--1.49634))+0-0-0</f>
        <v>563.96895799999993</v>
      </c>
      <c r="H318" s="3">
        <f>328.9+(705.3-506)+(-0.503217+(-1.079109--0.77418))+0-0-0</f>
        <v>527.39185399999997</v>
      </c>
      <c r="I318" s="3">
        <f>329.4+(699.1-495)+(0+(0-0))+0-0-0</f>
        <v>533.5</v>
      </c>
      <c r="J318" s="3">
        <f>323.4+(707.5-469)+(-0.82467+(-1.804125--1.19595))+0-0-0</f>
        <v>560.46715499999993</v>
      </c>
      <c r="K318" s="3">
        <f>322.3+(678.8-473)+(-0.657492+(-1.384752--0.96492))+0-0-0</f>
        <v>527.02267599999993</v>
      </c>
      <c r="L318" s="3">
        <f>326.9+(706.3-482)+(-0.833595+(-1.801065--1.2291))+0-0-0</f>
        <v>549.7944399999999</v>
      </c>
      <c r="M318" s="3">
        <f>416.2+(637.7-482)+(0.636786+(0.975681-0.73746))+0-0-0</f>
        <v>572.77500700000007</v>
      </c>
      <c r="N318" s="3">
        <f>631.6+(278.8-379)+(-0.322116+(-0.142188--0.19329))+0-0-0</f>
        <v>531.12898600000005</v>
      </c>
      <c r="O318" s="3">
        <f>639.5+(225.1-204.7)+(0.326145+(0.114801-0.104397))+0-0-0</f>
        <v>660.23654899999997</v>
      </c>
      <c r="P318" s="3">
        <f>642.9+(339.5-279)+(-0.983637+(-0.519435--0.42687))+0-0-0</f>
        <v>702.32379800000001</v>
      </c>
      <c r="Q318" s="3">
        <f>645+(400.3-391)+(-1.3158+(-0.816612--0.79764))+0-0-0</f>
        <v>652.96522799999991</v>
      </c>
      <c r="R318" s="3">
        <f>645.8+(487.7-515)+(-0.988074+(-0.746181--0.78795))+0-0-0</f>
        <v>617.55369499999995</v>
      </c>
      <c r="S318" s="3">
        <f>643.5+(499.2-503)+(-0.328185+(-0.254592--0.25653))+0-0-0</f>
        <v>639.37375300000008</v>
      </c>
      <c r="T318" s="3">
        <f>640.9+(487-492)+(0.326859+(0.24837-0.25092))+0-0-0</f>
        <v>636.22430899999995</v>
      </c>
      <c r="U318" s="3">
        <f>641.4+(488.6-486)+(-0.981342+(-0.747558--0.74358))+0-0-0</f>
        <v>643.01468</v>
      </c>
      <c r="V318" s="3">
        <f>642.6+(504.4-529)+(0+(0-0))+0-0-0</f>
        <v>618</v>
      </c>
      <c r="W318" s="3">
        <f>646.7+(565.5-523)+(-0.659634+(-0.57681--0.53346))+0-0-0</f>
        <v>688.49701600000003</v>
      </c>
      <c r="X318" s="3">
        <f>646.6+(707.5-522)+(-1.978596+(-2.16495--1.59732))+0-0-0</f>
        <v>829.55377399999998</v>
      </c>
      <c r="Y318" s="3">
        <f>647+(690.5-474)+(-0.98991+(-1.056465--0.72522))+0-0-0</f>
        <v>862.17884500000002</v>
      </c>
      <c r="Z318" s="3">
        <f>647.7+(625.3-496)+(-0.660654+(-0.637806--0.50592))+0-0-0</f>
        <v>776.20745999999997</v>
      </c>
      <c r="AA318" s="3">
        <f>646.7+(635.2-502.9)+(-0.659634+(-0.647904--0.512958))+0-0-0</f>
        <v>778.20542000000012</v>
      </c>
      <c r="AB318" s="3">
        <f>645.9+(598.6-498)+(-0.988227+(-0.915858--0.76194))+0-0-0</f>
        <v>745.35785499999997</v>
      </c>
      <c r="AC318" s="3">
        <f>646+(558.3-500)+(-0.65892+(-0.569466--0.51))+0-0-0</f>
        <v>703.58161399999995</v>
      </c>
      <c r="AD318">
        <f t="shared" si="4"/>
        <v>15537.192202</v>
      </c>
      <c r="AE318" s="3">
        <f>647+(672-561.9)+(0+(0-0))+0-0-0</f>
        <v>757.1</v>
      </c>
    </row>
    <row r="319" spans="1:31" s="2" customFormat="1" x14ac:dyDescent="0.25">
      <c r="A319">
        <v>89</v>
      </c>
      <c r="B319">
        <v>11</v>
      </c>
      <c r="C319">
        <v>13</v>
      </c>
      <c r="D319">
        <v>5</v>
      </c>
      <c r="E319">
        <v>5</v>
      </c>
      <c r="F319" s="3">
        <f>614.9+(527.9-514.2)+(-0.940797+(-0.807687--0.786726))+0-0-0</f>
        <v>627.63824199999988</v>
      </c>
      <c r="G319" s="3">
        <f>440.5+(638.5-471)+(0.224655+(0.325635-0.24021))+0-0-0</f>
        <v>608.31007999999997</v>
      </c>
      <c r="H319" s="3">
        <f>327.6+(681.9-468)+(-0.334152+(-0.695538--0.47736))+0-0-0</f>
        <v>540.94767000000002</v>
      </c>
      <c r="I319" s="3">
        <f>330.8+(684.5-510)+(0.337416+(0.69819-0.5202))+0-0-0</f>
        <v>505.815406</v>
      </c>
      <c r="J319" s="3">
        <f>332+(689.7-497)+(0.33864+(0.703494-0.50694))+0-0-0</f>
        <v>525.23519400000009</v>
      </c>
      <c r="K319" s="3">
        <f>328.6+(676.1-495)+(0.502758+(1.034433-0.75735))+0-0-0</f>
        <v>510.47984100000002</v>
      </c>
      <c r="L319" s="3">
        <f>326+(721.4-523)+(0+(0-0))+0-0-0</f>
        <v>524.4</v>
      </c>
      <c r="M319" s="3">
        <f>326.2+(720.3-515)+(-0.83181+(-1.836765--1.31325))+0-0-0</f>
        <v>530.14467500000001</v>
      </c>
      <c r="N319" s="3">
        <f>530.1+(530.3-497)+(-0.270351+(-0.270453--0.25347))+0-0-0</f>
        <v>563.11266599999999</v>
      </c>
      <c r="O319" s="3">
        <f>645.9+(464.7-496.4)+(0.988227+(0.710991-0.759492))+0-0-0</f>
        <v>615.139726</v>
      </c>
      <c r="P319" s="3">
        <f>644.3+(468.3-463)+(-1.971558+(-1.432998--1.41678))+0-0-0</f>
        <v>647.61222399999986</v>
      </c>
      <c r="Q319" s="3">
        <f>645.5+(471.7-483)+(-0.987615+(-0.721701--0.73899))+0-0-0</f>
        <v>633.22967400000005</v>
      </c>
      <c r="R319" s="3">
        <f>646.3+(455.6-489)+(0+(0-0))+0-0-0</f>
        <v>612.9</v>
      </c>
      <c r="S319" s="3">
        <f>645.5+(461.4-500)+(-0.65841+(-0.470628--0.51))+0-0-0</f>
        <v>606.28096199999993</v>
      </c>
      <c r="T319" s="3">
        <f>642.1+(464.7-473)+(-0.982413+(-0.710991--0.72369))+0-0-0</f>
        <v>632.830286</v>
      </c>
      <c r="U319" s="3">
        <f>644.3+(444.9-460.7)+(-1.314372+(-0.907596--0.939828))+0-0-0</f>
        <v>627.21785999999997</v>
      </c>
      <c r="V319" s="3">
        <f>640.6+(504.8-469.2)+(0+(0-0))+0-0-0</f>
        <v>676.2</v>
      </c>
      <c r="W319" s="3">
        <f>642.4+(569.8-513)+(0+(0-0))+0-0-0</f>
        <v>699.19999999999993</v>
      </c>
      <c r="X319" s="3">
        <f>642.9+(703-525)+(-1.311516+(-1.43412--1.071))+0-0-0</f>
        <v>819.22536400000001</v>
      </c>
      <c r="Y319" s="3">
        <f>644.2+(682.8-509.7)+(-0.657084+(-0.696456--0.519894))+0-0-0</f>
        <v>816.46635399999991</v>
      </c>
      <c r="Z319" s="3">
        <f>644.2+(668.7-533.3)+(0+(0-0))+0-0-0</f>
        <v>779.60000000000014</v>
      </c>
      <c r="AA319" s="3">
        <f>645.3+(645.8-546.7)+(0.329103+(0.329358-0.278817))+0-0-0</f>
        <v>744.77964399999985</v>
      </c>
      <c r="AB319" s="3">
        <f>645.6+(635-533.2)+(-0.329256+(-0.32385--0.271932))+0-0-0</f>
        <v>747.01882599999999</v>
      </c>
      <c r="AC319" s="3">
        <f>630.8+(580.7-501.9)+(-1.930248+(-1.776942--1.535814))+0-0-0</f>
        <v>707.42862400000001</v>
      </c>
      <c r="AD319">
        <f t="shared" si="4"/>
        <v>15301.213318000002</v>
      </c>
      <c r="AE319" s="3">
        <f>643+(709.4-516.8)+(0+(0-0))+0-0-0</f>
        <v>835.6</v>
      </c>
    </row>
    <row r="320" spans="1:31" s="2" customFormat="1" x14ac:dyDescent="0.25">
      <c r="A320">
        <v>89</v>
      </c>
      <c r="B320">
        <v>11</v>
      </c>
      <c r="C320">
        <v>14</v>
      </c>
      <c r="D320">
        <v>6</v>
      </c>
      <c r="E320">
        <v>6</v>
      </c>
      <c r="F320" s="3">
        <f>520.3+(583.9-495.4)+(-0.265353+(-0.297789--0.252654))+0-0-0</f>
        <v>608.48951199999999</v>
      </c>
      <c r="G320" s="3">
        <f>384.1+(656.1-478)+(0+(0-0))+0-0-0</f>
        <v>562.20000000000005</v>
      </c>
      <c r="H320" s="3">
        <f>330.6+(638.8-478)+(-1.011636+(-1.954728--1.46268))+0-0-0</f>
        <v>489.89631599999996</v>
      </c>
      <c r="I320" s="3">
        <f>326.3+(601.7-482)+(0.665652+(1.227468-0.98328))+0-0-0</f>
        <v>446.90984000000003</v>
      </c>
      <c r="J320" s="3">
        <f>328.1+(629.4-471)+(0.167331+(0.320994-0.24021))+0-0-0</f>
        <v>486.74811499999998</v>
      </c>
      <c r="K320" s="3">
        <f>329.7+(643.8-439)+(0.672588+(1.313352-0.89556))+0-0-0</f>
        <v>535.59037999999998</v>
      </c>
      <c r="L320" s="3">
        <f>408.2+(587.1-457)+(0.208182+(0.299421-0.23307))+0-0-0</f>
        <v>538.57453299999997</v>
      </c>
      <c r="M320" s="3">
        <f>504.5+(508.6-470)+(-0.257295+(-0.259386--0.2397))+0-0-0</f>
        <v>542.82301900000004</v>
      </c>
      <c r="N320" s="3">
        <f>630.4+(414.5-456.2)+(-0.321504+(-0.211395--0.232662))+0-0-0</f>
        <v>588.39976300000001</v>
      </c>
      <c r="O320" s="3">
        <f>638.5+(449.2-418.1)+(0.65127+(0.458184-0.426462))+0-0-0</f>
        <v>670.28299199999992</v>
      </c>
      <c r="P320" s="3">
        <f>637.3+(534.5-535)+(-0.325023+(-0.272595--0.27285))+0-0-0</f>
        <v>636.47523200000001</v>
      </c>
      <c r="Q320" s="3">
        <f>631.4+(571.9-535.7)+(0+(0-0))+0-0-0</f>
        <v>667.59999999999991</v>
      </c>
      <c r="R320" s="3">
        <f>636.9+(531.6-523.8)+(-0.974457+(-0.813348--0.801414))+0-0-0</f>
        <v>643.71360900000002</v>
      </c>
      <c r="S320" s="3">
        <f>640.1+(441.7-501.5)+(-1.632255+(-1.126335--1.278825))+0-0-0</f>
        <v>578.82023499999991</v>
      </c>
      <c r="T320" s="3">
        <f>640.3+(479.5-526)+(-0.979659+(-0.733635--0.80478))+0-0-0</f>
        <v>592.89148599999999</v>
      </c>
      <c r="U320" s="3">
        <f>636.6+(493.8-527.4)+(-2.921994+(-2.266542--2.420766))+0-0-0</f>
        <v>600.23222999999996</v>
      </c>
      <c r="V320" s="3">
        <f>638.6+(516.2-512.9)+(-0.651372+(-0.526524--0.523158))+0-0-0</f>
        <v>641.24526200000014</v>
      </c>
      <c r="W320" s="3">
        <f>642+(550.2-517)+(0.32742+(0.280602-0.26367))+0-0-0</f>
        <v>675.544352</v>
      </c>
      <c r="X320" s="3">
        <f>645.3+(652.9-504)+(-0.987309+(-0.998937--0.77112))+0-0-0</f>
        <v>792.98487399999988</v>
      </c>
      <c r="Y320" s="3">
        <f>646.7+(668.7-488.3)+(-1.649085+(-1.705185--1.245165))+0-0-0</f>
        <v>824.99089500000014</v>
      </c>
      <c r="Z320" s="3">
        <f>646.8+(627.5-499)+(-0.989604+(-0.960075--0.76347))+0-0-0</f>
        <v>774.11379099999999</v>
      </c>
      <c r="AA320" s="3">
        <f>646.2+(663.6-582.5)+(-0.988686+(-1.015308--0.891225))+0-0-0</f>
        <v>726.18723100000011</v>
      </c>
      <c r="AB320" s="3">
        <f>645.4+(672.8-545)+(-0.329154+(-0.343128--0.27795))+0-0-0</f>
        <v>772.80566799999997</v>
      </c>
      <c r="AC320" s="3">
        <f>592.6+(622.1-515.6)+(-0.604452+(-0.634542--0.525912))+0-0-0</f>
        <v>698.38691800000004</v>
      </c>
      <c r="AD320">
        <f t="shared" si="4"/>
        <v>15095.906253000001</v>
      </c>
      <c r="AE320" s="3">
        <f>645+(674.6-483.1)+(0+(0-0))+0-0-0</f>
        <v>836.5</v>
      </c>
    </row>
    <row r="321" spans="1:31" s="2" customFormat="1" x14ac:dyDescent="0.25">
      <c r="A321">
        <v>89</v>
      </c>
      <c r="B321">
        <v>11</v>
      </c>
      <c r="C321">
        <v>15</v>
      </c>
      <c r="D321">
        <v>7</v>
      </c>
      <c r="E321">
        <v>5</v>
      </c>
      <c r="F321" s="3">
        <f>410.4+(678.9-485.3)+(-0.209304+(-0.346239--0.247503))+0-0-0</f>
        <v>603.69195999999999</v>
      </c>
      <c r="G321" s="3">
        <f>322.7+(691.5-497)+(-0.164577+(-0.352665--0.25347))+0-0-0</f>
        <v>516.93622800000003</v>
      </c>
      <c r="H321" s="3">
        <f>323+(709.8-480)+(-0.65892+(-1.447992--0.9792))+0-0-0</f>
        <v>551.67228799999998</v>
      </c>
      <c r="I321" s="3">
        <f>323+(660.8-490)+(-0.65892+(-1.348032--0.9996))+0-0-0</f>
        <v>492.79264799999993</v>
      </c>
      <c r="J321" s="3">
        <f>324+(651.1-470)+(0+(0-0))+0-0-0</f>
        <v>505.1</v>
      </c>
      <c r="K321" s="3">
        <f>324+(648.2-495)+(0.8262+(1.65291-1.26225))+0-0-0</f>
        <v>478.41686000000004</v>
      </c>
      <c r="L321" s="3">
        <f>322+(696-487)+(-0.32844+(-0.70992--0.49674))+0-0-0</f>
        <v>530.45838000000003</v>
      </c>
      <c r="M321" s="3">
        <f>319+(688.4-502)+(-0.16269+(-0.351084--0.25602))+0-0-0</f>
        <v>505.142246</v>
      </c>
      <c r="N321" s="3">
        <f>320+(711.1-492)+(-0.1632+(-0.362661--0.25092))+0-0-0</f>
        <v>538.82505900000001</v>
      </c>
      <c r="O321" s="3">
        <f>325+(737.7-496)+(-0.3315+(-0.752454--0.50592))+0-0-0</f>
        <v>566.12196600000004</v>
      </c>
      <c r="P321" s="3">
        <f>323+(740.4-453)+(-1.15311+(-2.643228--1.61721))+0-0-0</f>
        <v>608.22087199999999</v>
      </c>
      <c r="Q321" s="3">
        <f>322+(783.7-514.1)+(0+(0-0))+0-0-0</f>
        <v>591.6</v>
      </c>
      <c r="R321" s="3">
        <f>322+(776.6-488.6)+(0+(0-0))+0-0-0</f>
        <v>610</v>
      </c>
      <c r="S321" s="3">
        <f>322+(736.6-516.2)+(-0.16422+(-0.375666--0.263262))+0-0-0</f>
        <v>542.12337600000001</v>
      </c>
      <c r="T321" s="3">
        <f>322+(737.7-511.3)+(-0.32844+(-0.752454--0.521526))+0-0-0</f>
        <v>547.84063200000014</v>
      </c>
      <c r="U321" s="3">
        <f>322+(754-483.9)+(-0.32844+(-0.76908--0.493578))+0-0-0</f>
        <v>591.49605800000006</v>
      </c>
      <c r="V321" s="3">
        <f>322+(800.7-529.8)+(-0.16422+(-0.408357--0.270198))+0-0-0</f>
        <v>592.59762100000012</v>
      </c>
      <c r="W321" s="3">
        <f>322+(847-492.6)+(-0.32844+(-0.86394--0.502452))+0-0-0</f>
        <v>675.71007199999997</v>
      </c>
      <c r="X321" s="3">
        <f>322+(963.4-511.8)+(-0.32844+(-0.982668--0.522036))+0-0-0</f>
        <v>772.81092799999988</v>
      </c>
      <c r="Y321" s="3">
        <f>322+(968.8-532.1)+(-0.16422+(-0.494088--0.271371))+0-0-0</f>
        <v>758.31306299999994</v>
      </c>
      <c r="Z321" s="3">
        <f>322+(969-508)+(-0.49266+(-1.48257--0.77724))+0-0-0</f>
        <v>781.80201</v>
      </c>
      <c r="AA321" s="3">
        <f>322+(951.5-502)+(0+(0-0))+0-0-0</f>
        <v>771.5</v>
      </c>
      <c r="AB321" s="3">
        <f>322+(897.4-475)+(-0.8211+(-2.28837--1.21125))+0-0-0</f>
        <v>742.50177999999994</v>
      </c>
      <c r="AC321" s="3">
        <f>322+(834.6-513)+(-0.8211+(-2.12823--1.30815))+0-0-0</f>
        <v>641.95882000000006</v>
      </c>
      <c r="AD321">
        <f t="shared" ref="AD321:AD365" si="5">SUM(F321:AC321)</f>
        <v>14517.632867</v>
      </c>
      <c r="AE321" s="3">
        <f>321+(980.7-515.8)+(0+(0-0))+0-0-0</f>
        <v>785.90000000000009</v>
      </c>
    </row>
    <row r="322" spans="1:31" s="2" customFormat="1" x14ac:dyDescent="0.25">
      <c r="A322">
        <v>89</v>
      </c>
      <c r="B322">
        <v>11</v>
      </c>
      <c r="C322">
        <v>16</v>
      </c>
      <c r="D322">
        <v>1</v>
      </c>
      <c r="E322">
        <v>1</v>
      </c>
      <c r="F322" s="3">
        <f>320+(789.5-511.5)+(-0.1632+(-0.402645--0.260865))+0-0-0</f>
        <v>597.69502</v>
      </c>
      <c r="G322" s="3">
        <f>320+(731-501.7)+(0.4896+(1.11843-0.767601))+0-0-0</f>
        <v>550.14042899999993</v>
      </c>
      <c r="H322" s="3">
        <f>340+(665.9-475.2)+(-0.6936+(-1.358436--0.969408))+0-0-0</f>
        <v>529.61737200000005</v>
      </c>
      <c r="I322" s="3">
        <f>412.8+(575.9-480.5)+(-0.631584+(-0.881127--0.735165))+0-0-0</f>
        <v>507.42245400000002</v>
      </c>
      <c r="J322" s="3">
        <f>479.9+(539.3-503)+(-0.734247+(-0.825129--0.76959))+0-0-0</f>
        <v>515.41021399999988</v>
      </c>
      <c r="K322" s="3">
        <f>484.6+(537.7-453.6)+(0+(0-0))+0-0-0</f>
        <v>568.70000000000005</v>
      </c>
      <c r="L322" s="3">
        <f>551+(503.6-496.9)+(0.28101+(0.256836-0.253419))+0-0-0</f>
        <v>557.9844270000001</v>
      </c>
      <c r="M322" s="3">
        <f>624.8+(465.1-495.4)+(-0.318648+(-0.237201--0.252654))+0-0-0</f>
        <v>594.19680500000004</v>
      </c>
      <c r="N322" s="3">
        <f>632.2+(538.7-509.9)+(0.644844+(0.549474-0.520098))+0-0-0</f>
        <v>661.6742200000001</v>
      </c>
      <c r="O322" s="3">
        <f>643.6+(562.5-525.5)+(0.656472+(0.57375-0.53601))+0-0-0</f>
        <v>681.29421200000002</v>
      </c>
      <c r="P322" s="3">
        <f>645.6+(585.5-516)+(1.317024+(1.19442-1.05264))+0-0-0</f>
        <v>716.55880400000001</v>
      </c>
      <c r="Q322" s="3">
        <f>645.7+(623.5-556.7)+(-1.646535+(-1.589925--1.419585))+0-0-0</f>
        <v>710.68312500000002</v>
      </c>
      <c r="R322" s="3">
        <f>643.4+(561.8-555.8)+(-0.984402+(-0.859554--0.850374))+0-0-0</f>
        <v>648.40641800000003</v>
      </c>
      <c r="S322" s="3">
        <f>643.5+(568.5-554.8)+(-1.31274+(-1.15974--1.131792))+0-0-0</f>
        <v>655.85931200000005</v>
      </c>
      <c r="T322" s="3">
        <f>642.7+(519.9-498.3)+(-0.655554+(-0.530298--0.508266))+0-0-0</f>
        <v>663.62241399999994</v>
      </c>
      <c r="U322" s="3">
        <f>642.8+(513.3-531.3)+(0.983484+(0.785349-0.812889))+0-0-0</f>
        <v>625.755944</v>
      </c>
      <c r="V322" s="3">
        <f>642.8+(554-518.2)+(-0.983484+(-0.84762--0.792846))+0-0-0</f>
        <v>677.56174199999987</v>
      </c>
      <c r="W322" s="3">
        <f>643.5+(569.8-518)+(0+(0-0))+0-0-0</f>
        <v>695.3</v>
      </c>
      <c r="X322" s="3">
        <f>645.5+(708-500.2)+(-0.987615+(-1.08324--0.765306))+0-0-0</f>
        <v>851.99445099999991</v>
      </c>
      <c r="Y322" s="3">
        <f>645.5+(719.9-521.5)+(-0.329205+(-0.367149--0.265965))+0-0-0</f>
        <v>843.46961099999999</v>
      </c>
      <c r="Z322" s="3">
        <f>645.6+(694.7-524.1)+(-1.317024+(-1.417188--1.069164))+0-0-0</f>
        <v>814.53495200000009</v>
      </c>
      <c r="AA322" s="3">
        <f>645.7+(676-542.9)+(-0.329307+(-0.34476--0.276879))+0-0-0</f>
        <v>778.40281200000004</v>
      </c>
      <c r="AB322" s="3">
        <f>645.7+(644.3-544)+(-1.646535+(-1.642965--1.3872))+0-0-0</f>
        <v>744.09770000000003</v>
      </c>
      <c r="AC322" s="3">
        <f>644.2+(551.2-484)+(-1.314168+(-1.124448--0.98736))+0-0-0</f>
        <v>709.94874400000015</v>
      </c>
      <c r="AD322">
        <f t="shared" si="5"/>
        <v>15900.331182</v>
      </c>
      <c r="AE322" s="3">
        <f>644+(694.3-481.2)+(0+(0-0))+0-0-0</f>
        <v>857.09999999999991</v>
      </c>
    </row>
    <row r="323" spans="1:31" s="2" customFormat="1" x14ac:dyDescent="0.25">
      <c r="A323">
        <v>89</v>
      </c>
      <c r="B323">
        <v>11</v>
      </c>
      <c r="C323">
        <v>17</v>
      </c>
      <c r="D323">
        <v>2</v>
      </c>
      <c r="E323">
        <v>1</v>
      </c>
      <c r="F323" s="3">
        <f>644+(495-532)+(-0.65688+(-0.5049--0.54264))+0-0-0</f>
        <v>606.38085999999998</v>
      </c>
      <c r="G323" s="3">
        <f>564.4+(523.2-500)+(-0.575688+(-0.533664--0.51))+0-0-0</f>
        <v>587.00064800000007</v>
      </c>
      <c r="H323" s="3">
        <f>457.9+(596.8-492)+(-0.233529+(-0.304368--0.25092))+0-0-0</f>
        <v>562.41302299999995</v>
      </c>
      <c r="I323" s="3">
        <f>444.2+(591-509)+(1.13271+(1.50705-1.29795))+0-0-0</f>
        <v>527.54181000000005</v>
      </c>
      <c r="J323" s="3">
        <f>443.4+(585.3-481)+(-0.678402+(-0.895509--0.73593))+0-0-0</f>
        <v>546.86201899999992</v>
      </c>
      <c r="K323" s="3">
        <f>447+(586.5-510)+(0+(0-0))+0-0-0</f>
        <v>523.5</v>
      </c>
      <c r="L323" s="3">
        <f>586.9+(485.2-480)+(-0.598638+(-0.494904--0.4896))+0-0-0</f>
        <v>591.49605799999995</v>
      </c>
      <c r="M323" s="3">
        <f>644.4+(426.5-495)+(-0.657288+(-0.43503--0.5049))+0-0-0</f>
        <v>575.31258200000002</v>
      </c>
      <c r="N323" s="3">
        <f>643.5+(486.3-499)+(-0.328185+(-0.248013--0.25449))+0-0-0</f>
        <v>630.47829200000001</v>
      </c>
      <c r="O323" s="3">
        <f>641.9+(544-521)+(0.327369+(0.27744-0.26571))+0-0-0</f>
        <v>665.23909900000001</v>
      </c>
      <c r="P323" s="3">
        <f>642.3+(538.3-495)+(-1.310292+(-1.098132--1.0098))+0-0-0</f>
        <v>684.20137599999987</v>
      </c>
      <c r="Q323" s="3">
        <f>643.4+(524-494)+(-1.312536+(-1.06896--1.00776))+0-0-0</f>
        <v>672.02626399999997</v>
      </c>
      <c r="R323" s="3">
        <f>642.3+(494.8-494.1)+(-1.310292+(-1.009392--1.007964))+0-0-0</f>
        <v>641.68827999999996</v>
      </c>
      <c r="S323" s="3">
        <f>641.7+(500.7-477.6)+(-0.981801+(-0.766071--0.730728))+0-0-0</f>
        <v>663.78285599999992</v>
      </c>
      <c r="T323" s="3">
        <f>639.8+(516.5-529.4)+(-0.652596+(-0.52683--0.539988))+0-0-0</f>
        <v>626.26056199999994</v>
      </c>
      <c r="U323" s="3">
        <f>639.9+(511.4-480.3)+(-1.958094+(-1.564884--1.469718))+0-0-0</f>
        <v>668.94673999999998</v>
      </c>
      <c r="V323" s="3">
        <f>641.8+(496.5-510.5)+(0+(0-0))+0-0-0</f>
        <v>627.79999999999995</v>
      </c>
      <c r="W323" s="3">
        <f>643.9+(575.2-542.8)+(-0.985167+(-0.880056--0.830484))+0-0-0</f>
        <v>675.26526100000012</v>
      </c>
      <c r="X323" s="3">
        <f>644.2+(712.1-542.7)+(0+(0-0))+0-0-0</f>
        <v>813.6</v>
      </c>
      <c r="Y323" s="3">
        <f>645.4+(727.7-481.5)+(-2.304078+(-2.597889--1.718955))+0-0-0</f>
        <v>888.41698800000006</v>
      </c>
      <c r="Z323" s="3">
        <f>643.6+(665.8-476.5)+(-0.328236+(-0.339558--0.243015))+0-0-0</f>
        <v>832.47522100000003</v>
      </c>
      <c r="AA323" s="3">
        <f>643.1+(657.4-511)+(-1.639905+(-1.67637--1.30305))+0-0-0</f>
        <v>787.48677499999997</v>
      </c>
      <c r="AB323" s="3">
        <f>643.2+(635.7-540)+(-0.656064+(-0.648414--0.5508))+0-0-0</f>
        <v>738.14632200000005</v>
      </c>
      <c r="AC323" s="3">
        <f>643.7+(585.5-527.8)+(-1.313148+(-1.19442--1.076712))+0-0-0</f>
        <v>699.96914400000014</v>
      </c>
      <c r="AD323">
        <f t="shared" si="5"/>
        <v>15836.290180000002</v>
      </c>
      <c r="AE323" s="3">
        <f>645+(734.8-511.5)+(0+(0-0))+0-0-0</f>
        <v>868.3</v>
      </c>
    </row>
    <row r="324" spans="1:31" s="2" customFormat="1" x14ac:dyDescent="0.25">
      <c r="A324">
        <v>89</v>
      </c>
      <c r="B324">
        <v>11</v>
      </c>
      <c r="C324">
        <v>18</v>
      </c>
      <c r="D324">
        <v>3</v>
      </c>
      <c r="E324">
        <v>1</v>
      </c>
      <c r="F324" s="3">
        <f>561.1+(573.3-516.6)+(-1.144644+(-1.169532--1.053864))+0-0-0</f>
        <v>616.53968799999996</v>
      </c>
      <c r="G324" s="3">
        <f>430.5+(654.1-487.7)+(-0.219555+(-0.333591--0.248727))+0-0-0</f>
        <v>596.59558100000004</v>
      </c>
      <c r="H324" s="3">
        <f>333.9+(688.6-476.7)+(0.170289+(0.351186-0.243117))+0-0-0</f>
        <v>546.07835799999998</v>
      </c>
      <c r="I324" s="3">
        <f>332.6+(683.8-476)+(-0.84813+(-1.74369--1.2138))+0-0-0</f>
        <v>539.02197999999999</v>
      </c>
      <c r="J324" s="3">
        <f>331.5+(705.8-493)+(-0.33813+(-0.719916--0.50286))+0-0-0</f>
        <v>543.74481399999991</v>
      </c>
      <c r="K324" s="3">
        <f>387.9+(636.3-462)+(-0.197829+(-0.324513--0.23562))+0-0-0</f>
        <v>561.91327799999988</v>
      </c>
      <c r="L324" s="3">
        <f>557.4+(521.7-519)+(-1.705644+(-1.596402--1.58814))+0-0-0</f>
        <v>558.38609400000007</v>
      </c>
      <c r="M324" s="3">
        <f>640.8+(475-524)+(0+(0-0))+0-0-0</f>
        <v>591.79999999999995</v>
      </c>
      <c r="N324" s="3">
        <f>642.1+(484.9-477)+(0.982413+(0.741897-0.72981))+0-0-0</f>
        <v>650.99450000000002</v>
      </c>
      <c r="O324" s="3">
        <f>652.2+(461.9-463.6)+(0+(0-0))+0-0-0</f>
        <v>650.5</v>
      </c>
      <c r="P324" s="3">
        <f>746.3+(401.1-470.9)+(0+(0-0))+0-0-0</f>
        <v>676.5</v>
      </c>
      <c r="Q324" s="3">
        <f>778.8+(381.3-455)+(0+(0-0))+0-0-0</f>
        <v>705.09999999999991</v>
      </c>
      <c r="R324" s="3">
        <f>750.6+(352.2-459.4)+(-1.91403+(-0.89811--1.17147))+0-0-0</f>
        <v>641.75933000000009</v>
      </c>
      <c r="S324" s="3">
        <f>699.6+(368.4-439.4)+(-0.713592+(-0.375768--0.448188))+0-0-0</f>
        <v>627.95882800000004</v>
      </c>
      <c r="T324" s="3">
        <f>700.9+(356.9-438.1)+(-0.357459+(-0.182019--0.223431))+0-0-0</f>
        <v>619.38395299999991</v>
      </c>
      <c r="U324" s="3">
        <f>717.4+(398.8-523.9)+(-0.731748+(-0.406776--0.534378))+0-0-0</f>
        <v>591.69585399999994</v>
      </c>
      <c r="V324" s="3">
        <f>771.2+(375.8-448.5)+(0.393312+(0.191658-0.228735))+0-0-0</f>
        <v>698.85623499999997</v>
      </c>
      <c r="W324" s="3">
        <f>772.4+(404.5-510)+(-0.393924+(-0.206295--0.2601))+0-0-0</f>
        <v>666.55988100000002</v>
      </c>
      <c r="X324" s="3">
        <f>773.1+(560-477.8)+(-1.577124+(-1.1424--0.974712))+0-0-0</f>
        <v>853.55518799999993</v>
      </c>
      <c r="Y324" s="3">
        <f>772.7+(570.4-566.7)+(-1.576308+(-1.163616--1.156068))+0-0-0</f>
        <v>774.81614400000001</v>
      </c>
      <c r="Z324" s="3">
        <f>765.9+(622.7-551)+(-1.171827+(-0.952731--0.84303))+0-0-0</f>
        <v>836.31847200000004</v>
      </c>
      <c r="AA324" s="3">
        <f>660.3+(705.7-549)+(-1.683765+(-1.799535--1.39995))+0-0-0</f>
        <v>814.91665</v>
      </c>
      <c r="AB324" s="3">
        <f>646.2+(680.8-571.8)+(-1.318248+(-1.388832--1.166472))+0-0-0</f>
        <v>753.65939200000003</v>
      </c>
      <c r="AC324" s="3">
        <f>641.5+(549.9-446.6)+(-2.944485+(-2.524041--2.049894))+0-0-0</f>
        <v>741.38136799999995</v>
      </c>
      <c r="AD324">
        <f t="shared" si="5"/>
        <v>15858.035587999997</v>
      </c>
      <c r="AE324" s="3">
        <f>772+(577-512.2)+(0+(0-0))+0-0-0</f>
        <v>836.8</v>
      </c>
    </row>
    <row r="325" spans="1:31" s="2" customFormat="1" x14ac:dyDescent="0.25">
      <c r="A325">
        <v>89</v>
      </c>
      <c r="B325">
        <v>11</v>
      </c>
      <c r="C325">
        <v>19</v>
      </c>
      <c r="D325">
        <v>4</v>
      </c>
      <c r="E325">
        <v>1</v>
      </c>
      <c r="F325" s="3">
        <f>548.7+(588.7-527)+(1.119348+(1.200948-1.07508))+0-0-0</f>
        <v>611.64521600000012</v>
      </c>
      <c r="G325" s="3">
        <f>377.3+(699.6-512)+(0.384846+(0.713592-0.52224))+0-0-0</f>
        <v>565.47619800000007</v>
      </c>
      <c r="H325" s="3">
        <f>328.2+(725.3-505)+(-0.334764+(-0.739806--0.5151))+0-0-0</f>
        <v>547.94052999999997</v>
      </c>
      <c r="I325" s="3">
        <f>327.9+(684.1-449)+(-0.836145+(-1.744455--1.14495))+0-0-0</f>
        <v>561.56434999999999</v>
      </c>
      <c r="J325" s="3">
        <f>328.9+(667.9-445)+(0.167739+(0.340629-0.22695))+0-0-0</f>
        <v>552.08141799999999</v>
      </c>
      <c r="K325" s="3">
        <f>327.2+(694.5-475)+(0.667488+(1.41678-0.969))+0-0-0</f>
        <v>547.81526800000006</v>
      </c>
      <c r="L325" s="3">
        <f>397.6+(691.1-516.8)+(-0.811104+(-1.409844--1.054272))+0-0-0</f>
        <v>570.73332400000004</v>
      </c>
      <c r="M325" s="3">
        <f>566.3+(539.6-507.3)+(-0.288813+(-0.275196--0.258723))+0-0-0</f>
        <v>598.29471399999989</v>
      </c>
      <c r="N325" s="3">
        <f>648.5+(445.4-459.4)+(0.66147+(0.454308-0.468588))+0-0-0</f>
        <v>635.14719000000002</v>
      </c>
      <c r="O325" s="3">
        <f>800.5+(381.8-511.3)+(0.408255+(0.194718-0.260763))+0-0-0</f>
        <v>671.34221000000002</v>
      </c>
      <c r="P325" s="3">
        <f>898.8+(335.3-505.1)+(-1.833552+(-0.684012--1.030404))+0-0-0</f>
        <v>727.51283999999998</v>
      </c>
      <c r="Q325" s="3">
        <f>896.6+(309.1-499.9)+(-1.829064+(-0.630564--1.019796))+0-0-0</f>
        <v>704.36016800000004</v>
      </c>
      <c r="R325" s="3">
        <f>903.5+(305.8-522.3)+(-1.382355+(-0.467874--0.799119))+0-0-0</f>
        <v>685.94889000000001</v>
      </c>
      <c r="S325" s="3">
        <f>948.7+(353.3-543)+(0+(0-0))+0-0-0</f>
        <v>759</v>
      </c>
      <c r="T325" s="3">
        <f>837.8+(353.3-526)+(0+(0-0))+0-0-0</f>
        <v>665.09999999999991</v>
      </c>
      <c r="U325" s="3">
        <f>834.7+(354.1-499.1)+(-0.851394+(-0.361182--0.509082))+0-0-0</f>
        <v>688.99650600000007</v>
      </c>
      <c r="V325" s="3">
        <f>833.4+(321-501.9)+(-1.275102+(-0.49113--0.767907))+0-0-0</f>
        <v>651.50167499999998</v>
      </c>
      <c r="W325" s="3">
        <f>833.6+(381.9-493.7)+(0.425136+(0.194769-0.251787))+0-0-0</f>
        <v>722.16811799999994</v>
      </c>
      <c r="X325" s="3">
        <f>905.6+(448.1-509.9)+(-0.923712+(-0.457062--0.520098))+0-0-0</f>
        <v>842.93932400000006</v>
      </c>
      <c r="Y325" s="3">
        <f>900.7+(511.7-554.9)+(-1.378071+(-0.782901--0.848997))+0-0-0</f>
        <v>856.18802500000004</v>
      </c>
      <c r="Z325" s="3">
        <f>901.7+(461.2-533.5)+(-2.299335+(-1.17606--1.360425))+0-0-0</f>
        <v>827.28503000000012</v>
      </c>
      <c r="AA325" s="3">
        <f>904+(413.5-512.7)+(0+(0-0))+0-0-0</f>
        <v>804.8</v>
      </c>
      <c r="AB325" s="3">
        <f>869+(448.7-521)+(-0.44319+(-0.228837--0.26571))+0-0-0</f>
        <v>796.2936830000001</v>
      </c>
      <c r="AC325" s="3">
        <f>600.7+(619.9-512.6)+(-1.838142+(-1.896894--1.568556))+0-0-0</f>
        <v>705.83352000000002</v>
      </c>
      <c r="AD325">
        <f t="shared" si="5"/>
        <v>16299.968196999998</v>
      </c>
      <c r="AE325" s="3">
        <f>909+(475.3-518)+(0+(0-0))+0-0-0</f>
        <v>866.3</v>
      </c>
    </row>
    <row r="326" spans="1:31" s="2" customFormat="1" x14ac:dyDescent="0.25">
      <c r="A326">
        <v>89</v>
      </c>
      <c r="B326">
        <v>11</v>
      </c>
      <c r="C326">
        <v>20</v>
      </c>
      <c r="D326">
        <v>5</v>
      </c>
      <c r="E326">
        <v>1</v>
      </c>
      <c r="F326" s="3">
        <f>362.7+(746-456)+(-0.369954+(-0.76092--0.46512))+0-0-0</f>
        <v>652.03424600000005</v>
      </c>
      <c r="G326" s="3">
        <f>328.8+(733.6-511)+(-1.006128+(-2.244816--1.56366))+0-0-0</f>
        <v>549.71271600000011</v>
      </c>
      <c r="H326" s="3">
        <f>329+(693.6-491)+(0.16779+(0.353736-0.25041))+0-0-0</f>
        <v>531.87111600000003</v>
      </c>
      <c r="I326" s="3">
        <f>330+(696.8-488)+(-0.8415+(-1.77684--1.2444))+0-0-0</f>
        <v>537.42606000000001</v>
      </c>
      <c r="J326" s="3">
        <f>330.3+(691.7-495)+(-0.168453+(-0.352767--0.25245))+0-0-0</f>
        <v>526.73122999999998</v>
      </c>
      <c r="K326" s="3">
        <f>371.5+(651.2-469)+(-0.189465+(-0.332112--0.23919))+0-0-0</f>
        <v>553.41761300000007</v>
      </c>
      <c r="L326" s="3">
        <f>501.9+(543.1-494)+(-0.255969+(-0.276981--0.25194))+0-0-0</f>
        <v>550.71898999999996</v>
      </c>
      <c r="M326" s="3">
        <f>679.7+(390.3-467)+(1.039941+(0.597159-0.71451))+0-0-0</f>
        <v>603.92259000000001</v>
      </c>
      <c r="N326" s="3">
        <f>715.7+(379.8-496)+(0.730014+(0.387396-0.50592))+0-0-0</f>
        <v>600.11149</v>
      </c>
      <c r="O326" s="3">
        <f>782.1+(359.8-482)+(-0.398871+(-0.183498--0.24582))+0-0-0</f>
        <v>659.5634510000001</v>
      </c>
      <c r="P326" s="3">
        <f>783.9+(358.3-456.2)+(-0.799578+(-0.365466--0.465324))+0-0-0</f>
        <v>685.30028000000004</v>
      </c>
      <c r="Q326" s="3">
        <f>782.2+(343.9-460)+(-1.595688+(-0.701556--0.9384))+0-0-0</f>
        <v>664.74115600000005</v>
      </c>
      <c r="R326" s="3">
        <f>782+(376.7-493.8)+(-2.39292+(-1.152702--1.511028))+0-0-0</f>
        <v>662.86540600000001</v>
      </c>
      <c r="S326" s="3">
        <f>780.9+(383-547.6)+(-0.398259+(-0.19533--0.279276))+0-0-0</f>
        <v>615.98568699999998</v>
      </c>
      <c r="T326" s="3">
        <f>775.7+(364-488.9)+(0+(0-0))+0-0-0</f>
        <v>650.80000000000007</v>
      </c>
      <c r="U326" s="3">
        <f>736.3+(388.6-499.6)+(-1.502052+(-0.792744--1.019184))+0-0-0</f>
        <v>624.02438799999993</v>
      </c>
      <c r="V326" s="3">
        <f>779+(381.7-522.8)+(-2.38374+(-1.168002--1.599768))+0-0-0</f>
        <v>635.94802600000014</v>
      </c>
      <c r="W326" s="3">
        <f>777+(413.8-532)+(-0.79254+(-0.422076--0.54264))+0-0-0</f>
        <v>658.12802399999998</v>
      </c>
      <c r="X326" s="3">
        <f>781.1+(566.6-534)+(-2.788527+(-2.022762--1.90638))+0-0-0</f>
        <v>810.79509100000007</v>
      </c>
      <c r="Y326" s="3">
        <f>783.4+(548.7-502)+(-1.198602+(-0.839511--0.76806))+0-0-0</f>
        <v>828.82994700000006</v>
      </c>
      <c r="Z326" s="3">
        <f>782.5+(524.4-505)+(-2.39445+(-1.604664--1.5453))+0-0-0</f>
        <v>799.44618600000001</v>
      </c>
      <c r="AA326" s="3">
        <f>728.1+(555.2-507)+(-1.113993+(-0.849456--0.77571))+0-0-0</f>
        <v>775.1122610000001</v>
      </c>
      <c r="AB326" s="3">
        <f>642.7+(636.4-527)+(-1.638885+(-1.62282--1.34385))+0-0-0</f>
        <v>750.18214499999999</v>
      </c>
      <c r="AC326" s="3">
        <f>525.9+(702.8-525)+(-0.268209+(-0.358428--0.26775))+0-0-0</f>
        <v>703.34111299999995</v>
      </c>
      <c r="AD326">
        <f t="shared" si="5"/>
        <v>15631.009211999999</v>
      </c>
      <c r="AE326" s="3">
        <f>780+(531.4-520)+(0+(0-0))+0-0-0</f>
        <v>791.4</v>
      </c>
    </row>
    <row r="327" spans="1:31" s="2" customFormat="1" x14ac:dyDescent="0.25">
      <c r="A327">
        <v>89</v>
      </c>
      <c r="B327">
        <v>11</v>
      </c>
      <c r="C327">
        <v>21</v>
      </c>
      <c r="D327">
        <v>6</v>
      </c>
      <c r="E327">
        <v>1</v>
      </c>
      <c r="F327" s="3">
        <f>408.8+(735.4-499)+(-1.250928+(-2.250324--1.52694))+0-0-0</f>
        <v>643.22568799999999</v>
      </c>
      <c r="G327" s="3">
        <f>326.6+(744.1-492)+(0.333132+(0.758982-0.50184))+0-0-0</f>
        <v>579.29027400000007</v>
      </c>
      <c r="H327" s="3">
        <f>328.1+(711.3-480)+(-0.334662+(-0.725526--0.4896))+0-0-0</f>
        <v>558.82941199999993</v>
      </c>
      <c r="I327" s="3">
        <f>326.1+(714.1-498)+(0.665244+(1.456764-1.01592))+0-0-0</f>
        <v>543.30608800000005</v>
      </c>
      <c r="J327" s="3">
        <f>324.2+(721.1-521)+(0.82671+(1.838805-1.32855))+0-0-0</f>
        <v>525.63696499999992</v>
      </c>
      <c r="K327" s="3">
        <f>331.8+(750.4-522)+(-0.338436+(-0.765408--0.53244))+0-0-0</f>
        <v>559.62859600000002</v>
      </c>
      <c r="L327" s="3">
        <f>464.1+(610.8-506.9)+(-1.183455+(-1.55754--1.292595))+0-0-0</f>
        <v>566.55160000000001</v>
      </c>
      <c r="M327" s="3">
        <f>629.8+(468.9-513.7)+(-0.642396+(-0.478278--0.523974))+0-0-0</f>
        <v>584.40329999999983</v>
      </c>
      <c r="N327" s="3">
        <f>643.2+(485.9-525)+(-0.656064+(-0.495618--0.5355))+0-0-0</f>
        <v>603.48381800000004</v>
      </c>
      <c r="O327" s="3">
        <f>642.9+(519.1-512.7)+(0+(0-0))+0-0-0</f>
        <v>649.29999999999995</v>
      </c>
      <c r="P327" s="3">
        <f>643+(526.1-487.3)+(-1.31172+(-1.073244--0.994092))+0-0-0</f>
        <v>680.40912800000001</v>
      </c>
      <c r="Q327" s="3">
        <f>641.2+(381.5-371.1)+(-2.289084+(-1.361955--1.324827))+0-0-0</f>
        <v>649.27378799999997</v>
      </c>
      <c r="R327" s="3">
        <f>639.6+(338.9-411.2)+(-0.652392+(-0.345678--0.419424))+0-0-0</f>
        <v>566.72135399999991</v>
      </c>
      <c r="S327" s="3">
        <f>641.2+(452.1-476.1)+(0.327012+(0.230571-0.242811))+0-0-0</f>
        <v>617.51477199999999</v>
      </c>
      <c r="T327" s="3">
        <f>644.2+(507.6-511.7)+(-0.328542+(-0.258876--0.260967))+0-0-0</f>
        <v>639.77354900000012</v>
      </c>
      <c r="U327" s="3">
        <f>643+(492.5-495.2)+(-1.96758+(-1.50705--1.515312))+0-0-0</f>
        <v>638.3406819999999</v>
      </c>
      <c r="V327" s="3">
        <f>642.2+(470.9-513)+(1.63761+(1.200795-1.30815))+0-0-0</f>
        <v>601.63025500000003</v>
      </c>
      <c r="W327" s="3">
        <f>643.6+(507.6-522.6)+(-0.328236+(-0.258876--0.266526))+0-0-0</f>
        <v>628.27941399999997</v>
      </c>
      <c r="X327" s="3">
        <f>641.8+(610.7-519)+(-0.981954+(-0.934371--0.79407))+0-0-0</f>
        <v>732.377745</v>
      </c>
      <c r="Y327" s="3">
        <f>640.5+(637.7-467)+(-0.65331+(-0.650454--0.47634))+0-0-0</f>
        <v>810.37257600000009</v>
      </c>
      <c r="Z327" s="3">
        <f>640.8+(646.9-523)+(-2.614464+(-2.639352--2.13384))+0-0-0</f>
        <v>761.58002399999998</v>
      </c>
      <c r="AA327" s="3">
        <f>641.2+(658.3-512)+(-0.327012+(-0.335733--0.26112))+0-0-0</f>
        <v>787.09837500000003</v>
      </c>
      <c r="AB327" s="3">
        <f>640.4+(640.5-506)+(-1.63302+(-1.633275--1.2903))+0-0-0</f>
        <v>772.92400499999997</v>
      </c>
      <c r="AC327" s="3">
        <f>496.5+(733.2-516)+(0+(0-0))+0-0-0</f>
        <v>713.7</v>
      </c>
      <c r="AD327">
        <f t="shared" si="5"/>
        <v>15413.651408000002</v>
      </c>
      <c r="AE327" s="3">
        <f>695+(617.6-455)+(0+(0-0))+0-0-0</f>
        <v>857.6</v>
      </c>
    </row>
    <row r="328" spans="1:31" s="2" customFormat="1" x14ac:dyDescent="0.25">
      <c r="A328">
        <v>89</v>
      </c>
      <c r="B328">
        <v>11</v>
      </c>
      <c r="C328">
        <v>22</v>
      </c>
      <c r="D328">
        <v>7</v>
      </c>
      <c r="E328">
        <v>2</v>
      </c>
      <c r="F328" s="3">
        <f>325.1+(803.3-506)+(-0.165801+(-0.409683--0.25806))+0-0-0</f>
        <v>622.08257600000002</v>
      </c>
      <c r="G328" s="3">
        <f>324.3+(757.7-501)+(-0.165393+(-0.386427--0.25551))+0-0-0</f>
        <v>580.70369000000005</v>
      </c>
      <c r="H328" s="3">
        <f>324.1+(736.4-503)+(0+(0-0))+0-0-0</f>
        <v>557.5</v>
      </c>
      <c r="I328" s="3">
        <f>326.5+(724-490)+(-0.499545+(-1.10772--0.7497))+0-0-0</f>
        <v>559.64243499999998</v>
      </c>
      <c r="J328" s="3">
        <f>327.7+(718.4-494)+(-0.668508+(-1.465536--1.00776))+0-0-0</f>
        <v>550.97371599999985</v>
      </c>
      <c r="K328" s="3">
        <f>329.7+(700-494)+(0.168147+(0.357-0.25194))+0-0-0</f>
        <v>535.973207</v>
      </c>
      <c r="L328" s="3">
        <f>501.8+(571.8-521)+(-1.791426+(-2.041326--1.85997))+0-0-0</f>
        <v>550.62721799999986</v>
      </c>
      <c r="M328" s="3">
        <f>640.7+(430.2-505)+(0+(0-0))+0-0-0</f>
        <v>565.90000000000009</v>
      </c>
      <c r="N328" s="3">
        <f>639.2+(454.8-534.8)+(0.977976+(0.695844-0.818244))+0-0-0</f>
        <v>560.05557600000009</v>
      </c>
      <c r="O328" s="3">
        <f>641.3+(483.4-485.7)+(0.654126+(0.493068-0.495414))+0-0-0</f>
        <v>639.65178000000003</v>
      </c>
      <c r="P328" s="3">
        <f>644.2+(466.5-504)+(0.328542+(0.237915-0.25704))+0-0-0</f>
        <v>607.0094170000001</v>
      </c>
      <c r="Q328" s="3">
        <f>669.1+(496.1-508)+(0.341241+(0.253011-0.25908))+0-0-0</f>
        <v>657.5351720000001</v>
      </c>
      <c r="R328" s="3">
        <f>696.7+(455.3-517.9)+(-1.065951+(-0.696609--0.792387))+0-0-0</f>
        <v>633.12982700000009</v>
      </c>
      <c r="S328" s="3">
        <f>737.5+(381.1-467.6)+(-2.25675+(-1.166166--1.430856))+0-0-0</f>
        <v>649.00793999999996</v>
      </c>
      <c r="T328" s="3">
        <f>731.6+(377.8-519)+(-1.492464+(-0.770712--1.05876))+0-0-0</f>
        <v>589.19558400000005</v>
      </c>
      <c r="U328" s="3">
        <f>757.9+(391.4-525)+(-0.386529+(-0.199614--0.26775))+0-0-0</f>
        <v>623.98160699999994</v>
      </c>
      <c r="V328" s="3">
        <f>780.9+(411.4-545.7)+(-0.398259+(-0.209814--0.278307))+0-0-0</f>
        <v>646.27023399999996</v>
      </c>
      <c r="W328" s="3">
        <f>682.2+(534.9-512.8)+(-1.043766+(-0.818397--0.784584))+0-0-0</f>
        <v>703.22242100000005</v>
      </c>
      <c r="X328" s="3">
        <f>641.3+(613.2-502)+(-0.654126+(-0.625464--0.51204))+0-0-0</f>
        <v>751.73244999999997</v>
      </c>
      <c r="Y328" s="3">
        <f>640.6+(672.4-498)+(-0.653412+(-0.685848--0.50796))+0-0-0</f>
        <v>814.16869999999994</v>
      </c>
      <c r="Z328" s="3">
        <f>640.5+(643.2-498)+(-0.979965+(-0.984096--0.76194))+0-0-0</f>
        <v>784.49787900000001</v>
      </c>
      <c r="AA328" s="3">
        <f>640.1+(665.1-547)+(0.979353+(1.017603-0.83691))+0-0-0</f>
        <v>759.36004600000001</v>
      </c>
      <c r="AB328" s="3">
        <f>640.5+(637.8-543)+(-0.979965+(-0.975834--0.83079))+0-0-0</f>
        <v>734.17499099999998</v>
      </c>
      <c r="AC328" s="3">
        <f>638.1+(529.2-458)+(-1.627155+(-1.34946--1.1679))+0-0-0</f>
        <v>707.49128500000006</v>
      </c>
      <c r="AD328">
        <f t="shared" si="5"/>
        <v>15383.887751</v>
      </c>
      <c r="AE328" s="3">
        <f>640+(674.1-460)+(0+(0-0))+0-0-0</f>
        <v>854.1</v>
      </c>
    </row>
    <row r="329" spans="1:31" s="2" customFormat="1" x14ac:dyDescent="0.25">
      <c r="A329">
        <v>89</v>
      </c>
      <c r="B329">
        <v>11</v>
      </c>
      <c r="C329">
        <v>23</v>
      </c>
      <c r="D329">
        <v>1</v>
      </c>
      <c r="E329">
        <v>1</v>
      </c>
      <c r="F329" s="3">
        <f>503.8+(611.9-502)+(-1.541628+(-1.872414--1.53612))+0-0-0</f>
        <v>611.82207800000003</v>
      </c>
      <c r="G329" s="3">
        <f>350.3+(722-500)+(-0.714612+(-1.47288--1.02))+0-0-0</f>
        <v>571.13250799999992</v>
      </c>
      <c r="H329" s="3">
        <f>330.7+(731.6-469)+(-0.674628+(-1.492464--0.95676))+0-0-0</f>
        <v>592.08966799999996</v>
      </c>
      <c r="I329" s="3">
        <f>331.1+(706.5-480)+(0+(0-0))+0-0-0</f>
        <v>557.6</v>
      </c>
      <c r="J329" s="3">
        <f>328.6+(685.2-474)+(0.502758+(1.048356-0.72522))+0-0-0</f>
        <v>540.62589400000002</v>
      </c>
      <c r="K329" s="3">
        <f>330.4+(679.8-454)+(1.011024+(2.080188-1.38924))+0-0-0</f>
        <v>557.90197199999989</v>
      </c>
      <c r="L329" s="3">
        <f>422.8+(640.4-500)+(-1.509396+(-2.286228--1.785))+0-0-0</f>
        <v>561.18937600000004</v>
      </c>
      <c r="M329" s="3">
        <f>538.6+(561.3-515)+(0.549372+(0.572526-0.5253))+0-0-0</f>
        <v>585.49659799999995</v>
      </c>
      <c r="N329" s="3">
        <f>616.6+(502.4-458.2)+(-1.57233+(-1.28112--1.16841))+0-0-0</f>
        <v>659.11496</v>
      </c>
      <c r="O329" s="3">
        <f>640.5+(494.2-460.5)+(0.979965+(0.756126-0.704565))+0-0-0</f>
        <v>675.23152600000003</v>
      </c>
      <c r="P329" s="3">
        <f>642.3+(581.7-522.6)+(0.327573+(0.296667-0.266526))+0-0-0</f>
        <v>701.75771399999996</v>
      </c>
      <c r="Q329" s="3">
        <f>628.4+(616.7-550.7)+(-0.640968+(-0.629034--0.561714))+0-0-0</f>
        <v>693.69171199999994</v>
      </c>
      <c r="R329" s="3">
        <f>644.1+(590-567.5)+(-1.642455+(-1.5045--1.447125))+0-0-0</f>
        <v>664.90017</v>
      </c>
      <c r="S329" s="3">
        <f>643.4+(574.2-563.2)+(-0.656268+(-0.585684--0.574464))+0-0-0</f>
        <v>653.73251199999993</v>
      </c>
      <c r="T329" s="3">
        <f>642.2+(502.9-476.8)+(0+(0-0))+0-0-0</f>
        <v>668.3</v>
      </c>
      <c r="U329" s="3">
        <f>643.2+(516-531.2)+(-0.984096+(-0.78948--0.812736))+0-0-0</f>
        <v>627.03916000000004</v>
      </c>
      <c r="V329" s="3">
        <f>642.6+(549.8-539.2)+(-1.310904+(-1.121592--1.099968))+0-0-0</f>
        <v>651.86747199999991</v>
      </c>
      <c r="W329" s="3">
        <f>642.4+(580.2-543.4)+(-0.327624+(-0.295902--0.277134))+0-0-0</f>
        <v>678.85360800000001</v>
      </c>
      <c r="X329" s="3">
        <f>641.3+(746-573.8)+(-0.654126+(-0.76092--0.585276))+0-0-0</f>
        <v>812.67022999999995</v>
      </c>
      <c r="Y329" s="3">
        <f>644.7+(756.4-580.7)+(-0.328797+(-0.385764--0.296157))+0-0-0</f>
        <v>819.98159599999997</v>
      </c>
      <c r="Z329" s="3">
        <f>646.4+(704.4-530.7)+(-1.318656+(-1.436976--1.082628))+0-0-0</f>
        <v>818.42699599999992</v>
      </c>
      <c r="AA329" s="3">
        <f>646.3+(681.6-550.7)+(0.329613+(0.347616-0.280857))+0-0-0</f>
        <v>777.59637199999997</v>
      </c>
      <c r="AB329" s="3">
        <f>646.3+(656.1-552.3)+(-1.318452+(-1.338444--1.126692))+0-0-0</f>
        <v>748.569796</v>
      </c>
      <c r="AC329" s="3">
        <f>637.3+(569.4-492.5)+(-1.625115+(-1.45197--1.255875))+0-0-0</f>
        <v>712.37878999999998</v>
      </c>
      <c r="AD329">
        <f t="shared" si="5"/>
        <v>15941.970707999999</v>
      </c>
      <c r="AE329" s="3">
        <f>642+(774.9-571.8)+(0+(0-0))+0-0-0</f>
        <v>845.1</v>
      </c>
    </row>
    <row r="330" spans="1:31" s="2" customFormat="1" x14ac:dyDescent="0.25">
      <c r="A330">
        <v>89</v>
      </c>
      <c r="B330">
        <v>11</v>
      </c>
      <c r="C330">
        <v>24</v>
      </c>
      <c r="D330">
        <v>2</v>
      </c>
      <c r="E330">
        <v>1</v>
      </c>
      <c r="F330" s="3">
        <f>415.7+(694.8-490.4)+(-0.424014+(-0.708696--0.500208))+0-0-0</f>
        <v>619.46749799999986</v>
      </c>
      <c r="G330" s="3">
        <f>323.7+(420.7-202.9)+(-0.825435+(-1.072785--0.517395))+0-0-0</f>
        <v>540.11917500000004</v>
      </c>
      <c r="H330" s="3">
        <f>329.7+(352.6-158.3)+(0+(0-0))+0-0-0</f>
        <v>524</v>
      </c>
      <c r="I330" s="3">
        <f>326.9+(359.5-229.7)+(-0.500157+(-0.550035--0.351441))+0-0-0</f>
        <v>456.00124899999997</v>
      </c>
      <c r="J330" s="3">
        <f>324.8+(590.7-519.5)+(0.662592+(1.205028-1.05978))+0-0-0</f>
        <v>396.80784000000006</v>
      </c>
      <c r="K330" s="3">
        <f>324.7+(712.6-501.5)+(0+(0-0))+0-0-0</f>
        <v>535.79999999999995</v>
      </c>
      <c r="L330" s="3">
        <f>439.8+(613.1-484.2)+(0.224298+(0.312681-0.246942))+0-0-0</f>
        <v>568.99003700000003</v>
      </c>
      <c r="M330" s="3">
        <f>529.1+(525.5-475.2)+(0+(0-0))+0-0-0</f>
        <v>579.40000000000009</v>
      </c>
      <c r="N330" s="3">
        <f>636.4+(479.5-500.8)+(0+(0-0))+0-0-0</f>
        <v>615.09999999999991</v>
      </c>
      <c r="O330" s="3">
        <f>642.1+(530.3-512)+(-0.327471+(-0.270453--0.26112))+0-0-0</f>
        <v>660.06319599999995</v>
      </c>
      <c r="P330" s="3">
        <f>631.3+(561.6-512.1)+(-0.965889+(-0.859248--0.783513))+0-0-0</f>
        <v>679.758376</v>
      </c>
      <c r="Q330" s="3">
        <f>614.9+(579.9-512.4)+(-0.940797+(-0.887247--0.783972))+0-0-0</f>
        <v>681.35592799999995</v>
      </c>
      <c r="R330" s="3">
        <f>635.5+(497.3-518.6)+(-1.94463+(-1.521738--1.586916))+0-0-0</f>
        <v>612.32054800000003</v>
      </c>
      <c r="S330" s="3">
        <f>627+(525.2-516.2)+(0.31977+(0.267852-0.263262))+0-0-0</f>
        <v>636.32435999999996</v>
      </c>
      <c r="T330" s="3">
        <f>616.5+(511.4-489.3)+(-1.88649+(-1.564884--1.497258))+0-0-0</f>
        <v>636.64588399999991</v>
      </c>
      <c r="U330" s="3">
        <f>643.1+(499.8-512.7)+(-0.327981+(-0.254898--0.261477))+0-0-0</f>
        <v>629.87859800000001</v>
      </c>
      <c r="V330" s="3">
        <f>642.2+(529.2-463.8)+(-1.310088+(-1.079568--0.946152))+0-0-0</f>
        <v>706.15649600000017</v>
      </c>
      <c r="W330" s="3">
        <f>642.9+(505.3-475.7)+(0.327879+(0.257703-0.242607))+0-0-0</f>
        <v>672.84297500000002</v>
      </c>
      <c r="X330" s="3">
        <f>645.7+(650.5-496.7)+(0+(0-0))+0-0-0</f>
        <v>799.5</v>
      </c>
      <c r="Y330" s="3">
        <f>646.8+(688.2-519.9)+(-1.979208+(-2.105892--1.590894))+0-0-0</f>
        <v>812.60579400000006</v>
      </c>
      <c r="Z330" s="3">
        <f>646.7+(669.8-513.7)+(-0.989451+(-1.024794--0.785961))+0-0-0</f>
        <v>801.57171599999992</v>
      </c>
      <c r="AA330" s="3">
        <f>646.6+(661.9-515.7)+(-1.319064+(-1.350276--1.052028))+0-0-0</f>
        <v>791.18268799999998</v>
      </c>
      <c r="AB330" s="3">
        <f>645.9+(634.9-520.5)+(-0.658818+(-0.647598--0.53091))+0-0-0</f>
        <v>759.524494</v>
      </c>
      <c r="AC330" s="3">
        <f>645.7+(559.8-483.6)+(-1.975842+(-1.712988--1.479816))+0-0-0</f>
        <v>719.69098599999995</v>
      </c>
      <c r="AD330">
        <f t="shared" si="5"/>
        <v>15435.107837999998</v>
      </c>
      <c r="AE330" s="3">
        <f>646+(663.4-473)+(0+(0-0))+0-0-0</f>
        <v>836.4</v>
      </c>
    </row>
    <row r="331" spans="1:31" s="2" customFormat="1" x14ac:dyDescent="0.25">
      <c r="A331">
        <v>89</v>
      </c>
      <c r="B331">
        <v>11</v>
      </c>
      <c r="C331">
        <v>25</v>
      </c>
      <c r="D331">
        <v>3</v>
      </c>
      <c r="E331">
        <v>1</v>
      </c>
      <c r="F331" s="3">
        <f>615.8+(487.8-496.3)+(-1.884348+(-1.492668--1.518678))+0-0-0</f>
        <v>605.44166199999995</v>
      </c>
      <c r="G331" s="3">
        <f>547.8+(508.1-514.1)+(0.279378+(0.259131-0.262191))+0-0-0</f>
        <v>542.0763179999999</v>
      </c>
      <c r="H331" s="3">
        <f>546.4+(317.3-375.5)+(-0.278664+(-0.161823--0.191505))+0-0-0</f>
        <v>487.95101799999998</v>
      </c>
      <c r="I331" s="3">
        <f>560.8+(475.5-459.4)+(0+(0-0))+0-0-0</f>
        <v>576.9</v>
      </c>
      <c r="J331" s="3">
        <f>596.2+(445.8-482.2)+(-0.304062+(-0.227358--0.245922))+0-0-0</f>
        <v>559.51450200000011</v>
      </c>
      <c r="K331" s="3">
        <f>605.4+(441.9-498.5)+(0+(0-0))+0-0-0</f>
        <v>548.79999999999995</v>
      </c>
      <c r="L331" s="3">
        <f>645.6+(451.4-497.2)+(-0.329256+(-0.230214--0.253572))+0-0-0</f>
        <v>599.494102</v>
      </c>
      <c r="M331" s="3">
        <f>646.9+(450.2-501.5)+(-0.329919+(-0.229602--0.255765))+0-0-0</f>
        <v>595.29624399999989</v>
      </c>
      <c r="N331" s="3">
        <f>646.7+(482.1-509.4)+(0.329817+(0.245871-0.259794))+0-0-0</f>
        <v>619.71589400000005</v>
      </c>
      <c r="O331" s="3">
        <f>637.5+(541.3-482.5)+(-1.3005+(-1.104252--0.9843))+0-0-0</f>
        <v>694.879548</v>
      </c>
      <c r="P331" s="3">
        <f>631+(558.5-510.1)+(-0.64362+(-0.56967--0.520302))+0-0-0</f>
        <v>678.70701199999996</v>
      </c>
      <c r="Q331" s="3">
        <f>643.4+(552-481.8)+(0.656268+(0.56304-0.491436))+0-0-0</f>
        <v>714.32787199999996</v>
      </c>
      <c r="R331" s="3">
        <f>641+(517.9-519.6)+(-1.63455+(-1.320645--1.32498))+0-0-0</f>
        <v>637.66978499999993</v>
      </c>
      <c r="S331" s="3">
        <f>640.8+(535.8-548.1)+(-0.653616+(-0.546516--0.559062))+0-0-0</f>
        <v>627.85892999999987</v>
      </c>
      <c r="T331" s="3">
        <f>640.2+(533.2-529.3)+(-0.326502+(-0.271932--0.269943))+0-0-0</f>
        <v>643.77150900000015</v>
      </c>
      <c r="U331" s="3">
        <f>641.9+(490.6-482.6)+(0.327369+(0.250206-0.246126))+0-0-0</f>
        <v>650.231449</v>
      </c>
      <c r="V331" s="3">
        <f>643.4+(521.9-513)+(0+(0-0))+0-0-0</f>
        <v>652.29999999999995</v>
      </c>
      <c r="W331" s="3">
        <f>644+(543.9-455.8)+(-0.98532+(-0.832167--0.697374))+0-0-0</f>
        <v>730.97988699999996</v>
      </c>
      <c r="X331" s="3">
        <f>643.6+(651.7-491.1)+(-0.984708+(-0.997101--0.751383))+0-0-0</f>
        <v>802.96957400000008</v>
      </c>
      <c r="Y331" s="3">
        <f>643.7+(701.1-507.7)+(-0.984861+(-1.072683--0.776781))+0-0-0</f>
        <v>835.81923700000016</v>
      </c>
      <c r="Z331" s="3">
        <f>644.3+(679.4-505.3)+(-1.314372+(-1.385976--1.030812))+0-0-0</f>
        <v>816.73046399999987</v>
      </c>
      <c r="AA331" s="3">
        <f>644.4+(669.6-517)+(-1.314576+(-1.365984--1.05468))+0-0-0</f>
        <v>795.37411999999995</v>
      </c>
      <c r="AB331" s="3">
        <f>644.9+(645.4-528)+(-0.328899+(-0.329154--0.26928))+0-0-0</f>
        <v>761.91122699999994</v>
      </c>
      <c r="AC331" s="3">
        <f>637.9+(594.7-505.3)+(-2.927961+(-2.729673--2.319327))+0-0-0</f>
        <v>723.96169299999997</v>
      </c>
      <c r="AD331">
        <f t="shared" si="5"/>
        <v>15902.682047</v>
      </c>
      <c r="AE331" s="3">
        <f>643+(694.8-488.9)+(0+(0-0))+0-0-0</f>
        <v>848.9</v>
      </c>
    </row>
    <row r="332" spans="1:31" s="2" customFormat="1" x14ac:dyDescent="0.25">
      <c r="A332">
        <v>89</v>
      </c>
      <c r="B332">
        <v>11</v>
      </c>
      <c r="C332">
        <v>26</v>
      </c>
      <c r="D332">
        <v>4</v>
      </c>
      <c r="E332">
        <v>1</v>
      </c>
      <c r="F332" s="3">
        <f>402.6+(703-491.7)+(-0.615978+(-1.07559--0.752301))+0-0-0</f>
        <v>612.96073300000012</v>
      </c>
      <c r="G332" s="3">
        <f>327.8+(720.7-481.4)+(-0.501534+(-1.102671--0.736542))+0-0-0</f>
        <v>566.23233700000014</v>
      </c>
      <c r="H332" s="3">
        <f>328.9+(715.5-468.7)+(0.167739+(0.364905-0.239037))+0-0-0</f>
        <v>575.993607</v>
      </c>
      <c r="I332" s="3">
        <f>330+(675-457)+(-0.5049+(-1.03275--0.69921))+0-0-0</f>
        <v>547.16156000000001</v>
      </c>
      <c r="J332" s="3">
        <f>330.1+(680.2-469.9)+(0.168351+(0.346902-0.239649))+0-0-0</f>
        <v>540.67560400000013</v>
      </c>
      <c r="K332" s="3">
        <f>330.7+(689.8-467.8)+(-0.168657+(-0.351798--0.238578))+0-0-0</f>
        <v>552.41812299999992</v>
      </c>
      <c r="L332" s="3">
        <f>330.9+(740-514.3)+(-0.337518+(-0.7548--0.524586))+0-0-0</f>
        <v>556.03226800000004</v>
      </c>
      <c r="M332" s="3">
        <f>437+(657.6-502.9)+(-0.22287+(-0.335376--0.256479))+0-0-0</f>
        <v>591.398233</v>
      </c>
      <c r="N332" s="3">
        <f>621.8+(527.3-495.8)+(1.268472+(1.075692-1.011432))+0-0-0</f>
        <v>654.63273199999992</v>
      </c>
      <c r="O332" s="3">
        <f>641.3+(542.4-509.8)+(-0.654126+(-0.553248--0.519996))+0-0-0</f>
        <v>673.2126219999999</v>
      </c>
      <c r="P332" s="3">
        <f>626.9+(530.9-424.3)+(-0.319719+(-0.270759--0.216393))+0-0-0</f>
        <v>733.12591499999996</v>
      </c>
      <c r="Q332" s="3">
        <f>617.5+(513.3-438.5)+(-1.2597+(-1.047132--0.89454))+0-0-0</f>
        <v>690.88770799999998</v>
      </c>
      <c r="R332" s="3">
        <f>634+(501.6-520.7)+(-1.94004+(-1.534896--1.593342))+0-0-0</f>
        <v>613.01840600000003</v>
      </c>
      <c r="S332" s="3">
        <f>642.4+(513.7-489.2)+(-0.655248+(-0.523974--0.498984))+0-0-0</f>
        <v>666.21976200000006</v>
      </c>
      <c r="T332" s="3">
        <f>642.5+(479.9-488.8)+(0+(0-0))+0-0-0</f>
        <v>633.59999999999991</v>
      </c>
      <c r="U332" s="3">
        <f>644.6+(508.1-513.6)+(-0.657492+(-0.518262--0.523872))+0-0-0</f>
        <v>638.44811800000002</v>
      </c>
      <c r="V332" s="3">
        <f>641.3+(528.6-499.4)+(0+(0-0))+0-0-0</f>
        <v>670.5</v>
      </c>
      <c r="W332" s="3">
        <f>642.1+(551.6-486.8)+(0+(0-0))+0-0-0</f>
        <v>706.90000000000009</v>
      </c>
      <c r="X332" s="3">
        <f>642.7+(666.3-514.6)+(-0.655554+(-0.679626--0.524892))+0-0-0</f>
        <v>793.58971199999996</v>
      </c>
      <c r="Y332" s="3">
        <f>643.6+(690.2-506.2)+(-1.969416+(-2.112012--1.548972))+0-0-0</f>
        <v>825.06754400000011</v>
      </c>
      <c r="Z332" s="3">
        <f>643.2+(582.9-314.2)+(-1.64016+(-1.486395--0.80121))+0-0-0</f>
        <v>909.57465500000012</v>
      </c>
      <c r="AA332" s="3">
        <f>641.4+(408.6-323.2)+(-1.308456+(-0.833544--0.659328))+0-0-0</f>
        <v>725.31732799999997</v>
      </c>
      <c r="AB332" s="3">
        <f>642.9+(437.8-314.4)+(-0.655758+(-0.446556--0.320688))+0-0-0</f>
        <v>765.51837399999999</v>
      </c>
      <c r="AC332" s="3">
        <f>484.5+(512.4-333.8)+(-1.235475+(-1.30662--0.85119))+0-0-0</f>
        <v>661.40909499999987</v>
      </c>
      <c r="AD332">
        <f t="shared" si="5"/>
        <v>15903.894435999999</v>
      </c>
      <c r="AE332" s="3">
        <f>643+(712.6-519.2)+(0+(0-0))+0-0-0</f>
        <v>836.4</v>
      </c>
    </row>
    <row r="333" spans="1:31" s="2" customFormat="1" x14ac:dyDescent="0.25">
      <c r="A333">
        <v>89</v>
      </c>
      <c r="B333">
        <v>11</v>
      </c>
      <c r="C333">
        <v>27</v>
      </c>
      <c r="D333">
        <v>5</v>
      </c>
      <c r="E333">
        <v>3</v>
      </c>
      <c r="F333" s="3">
        <f>326+(637.5-371.9)+(-0.8313+(-1.625625--0.948345))+0-0-0</f>
        <v>590.09141999999997</v>
      </c>
      <c r="G333" s="3">
        <f>325.8+(581.8-352.2)+(-0.498474+(-0.890154--0.538866))+0-0-0</f>
        <v>554.55023799999992</v>
      </c>
      <c r="H333" s="3">
        <f>324.5+(551.3-344.6)+(-0.99297+(-1.686978--1.054476))+0-0-0</f>
        <v>529.57452799999999</v>
      </c>
      <c r="I333" s="3">
        <f>325.3+(528.7-337.8)+(0.165903+(0.269637-0.172278))+0-0-0</f>
        <v>516.4632620000001</v>
      </c>
      <c r="J333" s="3">
        <f>326.3+(521.7-328.9)+(0.665652+(1.064268-0.670956))+0-0-0</f>
        <v>520.15896400000008</v>
      </c>
      <c r="K333" s="3">
        <f>402.1+(447.7-329.7)+(1.230426+(1.369962-1.008882))+0-0-0</f>
        <v>521.691506</v>
      </c>
      <c r="L333" s="3">
        <f>508.8+(392-348.5)+(-1.29744+(-0.9996--0.888675))+0-0-0</f>
        <v>550.89163499999995</v>
      </c>
      <c r="M333" s="3">
        <f>583.3+(375.2-362.8)+(0.594966+(0.382704-0.370056))+0-0-0</f>
        <v>596.30761399999994</v>
      </c>
      <c r="N333" s="3">
        <f>606.8+(400.5-373)+(0.928404+(0.612765-0.57069))+0-0-0</f>
        <v>635.27047899999991</v>
      </c>
      <c r="O333" s="3">
        <f>614.3+(403.3-348.1)+(0.939879+(0.617049-0.532593))+0-0-0</f>
        <v>670.52433499999995</v>
      </c>
      <c r="P333" s="3">
        <f>640.3+(365.6-319.6)+(-1.306212+(-0.745824--0.651984))+0-0-0</f>
        <v>684.89994799999999</v>
      </c>
      <c r="Q333" s="3">
        <f>645.6+(359.3-310.2)+(-1.317024+(-0.732972--0.632808))+0-0-0</f>
        <v>693.28281200000004</v>
      </c>
      <c r="R333" s="3">
        <f>642.9+(329.6-314.6)+(-1.639395+(-0.84048--0.80223))+0-0-0</f>
        <v>656.22235499999999</v>
      </c>
      <c r="S333" s="3">
        <f>642.7+(320-341.5)+(-0.983331+(-0.4896--0.522495))+0-0-0</f>
        <v>620.24956400000008</v>
      </c>
      <c r="T333" s="3">
        <f>644.7+(321-337.6)+(-0.328797+(-0.16371--0.172176))+0-0-0</f>
        <v>627.77966900000001</v>
      </c>
      <c r="U333" s="3">
        <f>644.1+(351.3-368.5)+(-1.642455+(-0.895815--0.939675))+0-0-0</f>
        <v>625.30140500000005</v>
      </c>
      <c r="V333" s="3">
        <f>642.4+(384.8-374.1)+(0+(0-0))+0-0-0</f>
        <v>653.09999999999991</v>
      </c>
      <c r="W333" s="3">
        <f>643.1+(444.8-390)+(-1.311924+(-0.907392--0.7956))+0-0-0</f>
        <v>696.47628400000008</v>
      </c>
      <c r="X333" s="3">
        <f>645.1+(545.2-357.8)+(-2.961009+(-2.502468--1.642302))+0-0-0</f>
        <v>828.67882499999996</v>
      </c>
      <c r="Y333" s="3">
        <f>644.6+(549.9-385.9)+(-0.328746+(-0.280449--0.196809))+0-0-0</f>
        <v>808.18761400000005</v>
      </c>
      <c r="Z333" s="3">
        <f>645.6+(522.2-376.5)+(-2.963304+(-2.396898--1.728135))+0-0-0</f>
        <v>787.66793300000006</v>
      </c>
      <c r="AA333" s="3">
        <f>643.9+(540.2-436.6)+(-0.328389+(-0.275502--0.222666))+0-0-0</f>
        <v>747.11877500000003</v>
      </c>
      <c r="AB333" s="3">
        <f>641.2+(503.1-361.6)+(-1.63506+(-1.282905--0.92208))+0-0-0</f>
        <v>780.704115</v>
      </c>
      <c r="AC333" s="3">
        <f>618+(450.9-385.6)+(-1.5759+(-1.149795--0.98328))+0-0-0</f>
        <v>681.5575849999999</v>
      </c>
      <c r="AD333">
        <f t="shared" si="5"/>
        <v>15576.750865000004</v>
      </c>
      <c r="AE333" s="3">
        <f>644+(543.7-354.6)+(0+(0-0))+0-0-0</f>
        <v>833.1</v>
      </c>
    </row>
    <row r="334" spans="1:31" s="2" customFormat="1" x14ac:dyDescent="0.25">
      <c r="A334">
        <v>89</v>
      </c>
      <c r="B334">
        <v>11</v>
      </c>
      <c r="C334">
        <v>28</v>
      </c>
      <c r="D334">
        <v>6</v>
      </c>
      <c r="E334">
        <v>6</v>
      </c>
      <c r="F334" s="3">
        <f>487.4+(519.1-409.1)+(-0.248574+(-0.264741--0.208641))+0-0-0</f>
        <v>597.095326</v>
      </c>
      <c r="G334" s="3">
        <f>325.9+(617.4-401.2)+(0+(0-0))+0-0-0</f>
        <v>542.09999999999991</v>
      </c>
      <c r="H334" s="3">
        <f>324.7+(594.1-385.5)+(-0.662388+(-1.211964--0.78642))+0-0-0</f>
        <v>532.21206799999993</v>
      </c>
      <c r="I334" s="3">
        <f>323.6+(558.5-370.3)+(0.82518+(1.424175-0.944265))+0-0-0</f>
        <v>513.10509000000002</v>
      </c>
      <c r="J334" s="3">
        <f>324.7+(557.7-349.1)+(-0.331194+(-0.568854--0.356082))+0-0-0</f>
        <v>532.756034</v>
      </c>
      <c r="K334" s="3">
        <f>393.9+(497.4-385.8)+(0.200889+(0.253674-0.196758))+0-0-0</f>
        <v>505.75780499999996</v>
      </c>
      <c r="L334" s="3">
        <f>606.4+(350-409.8)+(-0.927792+(-0.5355--0.626994))+0-0-0</f>
        <v>545.76370199999985</v>
      </c>
      <c r="M334" s="3">
        <f>638.1+(348.7-401.8)+(0+(0-0))+0-0-0</f>
        <v>585</v>
      </c>
      <c r="N334" s="3">
        <f>641.4+(379.6-389.5)+(0.327114+(0.193596-0.198645))+0-0-0</f>
        <v>631.82206499999995</v>
      </c>
      <c r="O334" s="3">
        <f>641.8+(419.5-383.9)+(0.981954+(0.641835-0.587367))+0-0-0</f>
        <v>678.43642199999999</v>
      </c>
      <c r="P334" s="3">
        <f>639.1+(438.6-391.8)+(-1.629705+(-1.11843--0.99909))+0-0-0</f>
        <v>684.15095500000007</v>
      </c>
      <c r="Q334" s="3">
        <f>640+(425.6-385.4)+(-1.632+(-1.08528--0.98277))+0-0-0</f>
        <v>678.46549000000005</v>
      </c>
      <c r="R334" s="3">
        <f>641.4+(405.9-383.4)+(-2.289798+(-1.449063--1.368738))+0-0-0</f>
        <v>661.52987699999994</v>
      </c>
      <c r="S334" s="3">
        <f>643.8+(369.7-385.8)+(-0.328338+(-0.188547--0.196758))+0-0-0</f>
        <v>627.37987299999998</v>
      </c>
      <c r="T334" s="3">
        <f>613.8+(395-369.9)+(-0.939114+(-0.60435--0.565947))+0-0-0</f>
        <v>637.92248299999994</v>
      </c>
      <c r="U334" s="3">
        <f>641.6+(383.6-392.8)+(-1.63608+(-0.97818--1.00164))+0-0-0</f>
        <v>630.7873800000001</v>
      </c>
      <c r="V334" s="3">
        <f>640.7+(383.9-388.9)+(0+(0-0))+0-0-0</f>
        <v>635.70000000000005</v>
      </c>
      <c r="W334" s="3">
        <f>641.5+(427.3-390.7)+(-0.65433+(-0.435846--0.398514))+0-0-0</f>
        <v>677.40833800000007</v>
      </c>
      <c r="X334" s="3">
        <f>640.9+(535.6-403.3)+(-1.307436+(-1.092624--0.822732))+0-0-0</f>
        <v>771.62267200000008</v>
      </c>
      <c r="Y334" s="3">
        <f>644.2+(568.8-397.6)+(-0.985626+(-0.870264--0.608328))+0-0-0</f>
        <v>814.15243799999996</v>
      </c>
      <c r="Z334" s="3">
        <f>644.2+(543.4-411.6)+(-0.328542+(-0.277134--0.209916))+0-0-0</f>
        <v>775.60424</v>
      </c>
      <c r="AA334" s="3">
        <f>644.4+(547-442.1)+(-0.985932+(-0.83691--0.676413))+0-0-0</f>
        <v>748.15357099999994</v>
      </c>
      <c r="AB334" s="3">
        <f>643.4+(479.9-396.5)+(-1.968804+(-1.468494--1.21329))+0-0-0</f>
        <v>724.57599199999993</v>
      </c>
      <c r="AC334" s="3">
        <f>642.7+(442.1-390.6)+(-1.638885+(-1.127355--0.99603))+0-0-0</f>
        <v>692.42979000000003</v>
      </c>
      <c r="AD334">
        <f t="shared" si="5"/>
        <v>15423.931611000002</v>
      </c>
      <c r="AE334" s="3">
        <f>640+(562.8-388.5)+(0+(0-0))+0-0-0</f>
        <v>814.3</v>
      </c>
    </row>
    <row r="335" spans="1:31" s="2" customFormat="1" x14ac:dyDescent="0.25">
      <c r="A335">
        <v>89</v>
      </c>
      <c r="B335">
        <v>11</v>
      </c>
      <c r="C335">
        <v>29</v>
      </c>
      <c r="D335">
        <v>7</v>
      </c>
      <c r="E335">
        <v>1</v>
      </c>
      <c r="F335" s="3">
        <f>551.1+(433.2-317.1)+(-1.405305+(-1.10466--0.808605))+0-0-0</f>
        <v>665.49864000000002</v>
      </c>
      <c r="G335" s="3">
        <f>337.5+(600.4-386.7)+(-0.6885+(-1.224816--0.788868))+0-0-0</f>
        <v>550.07555200000002</v>
      </c>
      <c r="H335" s="3">
        <f>326.5+(583-361.5)+(-0.499545+(-0.89199--0.553095))+0-0-0</f>
        <v>547.16156000000001</v>
      </c>
      <c r="I335" s="3">
        <f>321.9+(549.1-338.8)+(-0.656676+(-1.120164--0.691152))+0-0-0</f>
        <v>531.11431200000004</v>
      </c>
      <c r="J335" s="3">
        <f>325.3+(554.8-378.6)+(0.165903+(0.282948-0.193086))+0-0-0</f>
        <v>501.75576499999994</v>
      </c>
      <c r="K335" s="3">
        <f>327.9+(573-380.3)+(0.167229+(0.29223-0.193953))+0-0-0</f>
        <v>520.86550599999987</v>
      </c>
      <c r="L335" s="3">
        <f>329.4+(584.2-397.9)+(-0.83997+(-1.48971--1.014645))+0-0-0</f>
        <v>514.38496500000008</v>
      </c>
      <c r="M335" s="3">
        <f>342.3+(565.9-400.4)+(-0.523719+(-0.865827--0.612612))+0-0-0</f>
        <v>507.02306600000003</v>
      </c>
      <c r="N335" s="3">
        <f>475.3+(463.5-379.3)+(-0.727209+(-0.709155--0.580329))+0-0-0</f>
        <v>558.64396499999998</v>
      </c>
      <c r="O335" s="3">
        <f>582.4+(397-376.7)+(0.297024+(0.20247-0.192117))+0-0-0</f>
        <v>603.00737700000002</v>
      </c>
      <c r="P335" s="3">
        <f>643.1+(372.4-393.8)+(-0.327981+(-0.189924--0.200838))+0-0-0</f>
        <v>621.38293300000009</v>
      </c>
      <c r="Q335" s="3">
        <f>643.9+(387.7-375)+(-1.313556+(-0.790908--0.765))+0-0-0</f>
        <v>655.26053599999989</v>
      </c>
      <c r="R335" s="3">
        <f>641.8+(352.5-386.7)+(-1.309272+(-0.7191--0.788868))+0-0-0</f>
        <v>606.3604959999999</v>
      </c>
      <c r="S335" s="3">
        <f>640.6+(327.2-392.1)+(-1.63353+(-0.83436--0.999855))+0.2-0-0</f>
        <v>574.4319650000001</v>
      </c>
      <c r="T335" s="3">
        <f>643+(321.4-386.6)+(-0.98379+(-0.491742--0.591498))+5-0-0</f>
        <v>581.91596599999991</v>
      </c>
      <c r="U335" s="3">
        <f>643.1+(333.6-396.8)+(-1.311924+(-0.680544--0.809472))+0-0-0</f>
        <v>578.71700400000009</v>
      </c>
      <c r="V335" s="3">
        <f>643.9+(324.9-374.9)+(-0.656778+(-0.331398--0.382398))+0-0-0</f>
        <v>593.29422199999999</v>
      </c>
      <c r="W335" s="3">
        <f>644.5+(356-376.8)+(-0.986085+(-0.54468--0.576504))+0-0-0</f>
        <v>622.74573900000007</v>
      </c>
      <c r="X335" s="3">
        <f>645.7+(463.7-378.3)+(-1.317228+(-0.945948--0.771732))+0-0-0</f>
        <v>729.60855600000002</v>
      </c>
      <c r="Y335" s="3">
        <f>647.3+(510.1-379.2)+(-1.650615+(-1.300755--0.96696))+0-0-0</f>
        <v>776.21559000000002</v>
      </c>
      <c r="Z335" s="3">
        <f>648.1+(499.5-384.4)+(-0.661062+(-0.50949--0.392088))+0-0-0</f>
        <v>762.42153600000006</v>
      </c>
      <c r="AA335" s="3">
        <f>648.3+(507.4-404.1)+(0.330633+(0.258774-0.206091))+0-0-0</f>
        <v>751.98331599999995</v>
      </c>
      <c r="AB335" s="3">
        <f>645.4+(472.7-379.2)+(-1.316616+(-0.964308--0.773568))+0-0-0</f>
        <v>737.39264400000002</v>
      </c>
      <c r="AC335" s="3">
        <f>571.7+(506.3-399.6)+(-1.457835+(-1.291065--1.01898))+0-0-0</f>
        <v>676.6700800000001</v>
      </c>
      <c r="AD335">
        <f t="shared" si="5"/>
        <v>14767.931290999999</v>
      </c>
      <c r="AE335" s="3">
        <f>645+(523.1-377.2)+(0+(0-0))+0-0-0</f>
        <v>790.90000000000009</v>
      </c>
    </row>
    <row r="336" spans="1:31" s="2" customFormat="1" x14ac:dyDescent="0.25">
      <c r="A336">
        <v>89</v>
      </c>
      <c r="B336">
        <v>11</v>
      </c>
      <c r="C336">
        <v>30</v>
      </c>
      <c r="D336">
        <v>1</v>
      </c>
      <c r="E336">
        <v>1</v>
      </c>
      <c r="F336" s="3">
        <f>320+(618.6-399.3)+(-0.4896+(-0.946458--0.610929))+0-0-0</f>
        <v>538.47487100000001</v>
      </c>
      <c r="G336" s="3">
        <f>320+(588-356.3)+(-0.816+(-1.4994--0.908565))+0-0-0</f>
        <v>550.29316500000004</v>
      </c>
      <c r="H336" s="3">
        <f>320+(566-361.8)+(0.1632+(0.28866-0.184518))+0-0-0</f>
        <v>524.46734200000003</v>
      </c>
      <c r="I336" s="3">
        <f>320+(557-349)+(-0.1632+(-0.28407--0.17799))+0-0-0</f>
        <v>527.73072000000002</v>
      </c>
      <c r="J336" s="3">
        <f>320+(545-336.2)+(0.6528+(1.1118-0.685848))+0-0-0</f>
        <v>529.87875199999996</v>
      </c>
      <c r="K336" s="3">
        <f>320+(543.3-340.2)+(0.3264+(0.554166-0.347004))+0-0-0</f>
        <v>523.63356199999987</v>
      </c>
      <c r="L336" s="3">
        <f>520+(521.9-371.8)+(0+(0-0))+0-0-0</f>
        <v>670.09999999999991</v>
      </c>
      <c r="M336" s="3">
        <f>640+(420.3-393.1)+(0+(0-0))+0-0-0</f>
        <v>667.2</v>
      </c>
      <c r="N336" s="3">
        <f>640+(372-379.7)+(1.3056+(0.75888-0.774588))+2-0-0</f>
        <v>635.58989199999996</v>
      </c>
      <c r="O336" s="3">
        <f>640+(418.4-380.8)+(-0.3264+(-0.213384--0.194208))+9-0-0</f>
        <v>686.25442399999986</v>
      </c>
      <c r="P336" s="3">
        <f>640+(469.1-401.7)+(-0.9792+(-0.717723--0.614601))+1.8-0-0</f>
        <v>708.11767800000007</v>
      </c>
      <c r="Q336" s="3">
        <f>640+(501.9-437.1)+(-0.3264+(-0.255969--0.222921))+0-0-0</f>
        <v>704.44055199999991</v>
      </c>
      <c r="R336" s="3">
        <f>640+(443-420.7)+(-0.3264+(-0.22593--0.214557))+0-0-0</f>
        <v>661.96222699999998</v>
      </c>
      <c r="S336" s="3">
        <f>640+(410.4-404.9)+(-1.632+(-1.04652--1.032495))+0-0-0</f>
        <v>643.85397499999999</v>
      </c>
      <c r="T336" s="3">
        <f>640+(418.1-440.8)+(-0.3264+(-0.213231--0.224808))+0-0-0</f>
        <v>616.98517699999991</v>
      </c>
      <c r="U336" s="3">
        <f>640+(434.5-433.6)+(-0.9792+(-0.664785--0.663408))+0-0-0</f>
        <v>639.91942299999994</v>
      </c>
      <c r="V336" s="3">
        <f>640+(514.1-546)+(-1.3056+(-1.048764--1.11384))+0-0-0</f>
        <v>606.85947599999997</v>
      </c>
      <c r="W336" s="3">
        <f>640+(475-465.6)+(-1.3056+(-0.969--0.949824))+0-0-0</f>
        <v>648.07522399999993</v>
      </c>
      <c r="X336" s="3">
        <f>640+(682.3-541.7)+(-0.9792+(-1.043919--0.828801))+0-0-0</f>
        <v>779.40568199999996</v>
      </c>
      <c r="Y336" s="3">
        <f>640+(689.8-499.6)+(-1.632+(-1.75899--1.27398))+0-0-0</f>
        <v>828.08298999999988</v>
      </c>
      <c r="Z336" s="3">
        <f>640+(635.8-477.4)+(-0.9792+(-0.972774--0.730422))+0-0-0</f>
        <v>797.178448</v>
      </c>
      <c r="AA336" s="3">
        <f>640+(614.4-488.1)+(-0.9792+(-0.940032--0.746793))+0-0-0</f>
        <v>765.1275609999999</v>
      </c>
      <c r="AB336" s="3">
        <f>640+(549.8-436.2)+(-1.632+(-1.40199--1.11231))+0-0-0</f>
        <v>751.67831999999987</v>
      </c>
      <c r="AC336" s="3">
        <f>480+(597.7-433.7)+(-1.224+(-1.524135--1.105935))+0-0-0</f>
        <v>642.3578</v>
      </c>
      <c r="AD336">
        <f t="shared" si="5"/>
        <v>15647.667260999997</v>
      </c>
      <c r="AE336" s="3">
        <f>644+(742.1-562.7)+(0+(0-0))+0-0-0</f>
        <v>823.4</v>
      </c>
    </row>
    <row r="337" spans="1:31" s="2" customFormat="1" x14ac:dyDescent="0.25">
      <c r="A337">
        <v>89</v>
      </c>
      <c r="B337">
        <v>12</v>
      </c>
      <c r="C337">
        <v>1</v>
      </c>
      <c r="D337">
        <v>2</v>
      </c>
      <c r="E337">
        <v>1</v>
      </c>
      <c r="F337" s="3">
        <f>488.4+(535.7-406.8)+(-1.743588+(-1.912449--1.452276))+0-0-0</f>
        <v>615.09623899999997</v>
      </c>
      <c r="G337" s="3">
        <f>359+(569.5-374.5)+(0+(0-0))+0-0-0</f>
        <v>554</v>
      </c>
      <c r="H337" s="3">
        <f>327.5+(571.8-374.3)+(-0.6681+(-1.166472--0.763572))+0-0-0</f>
        <v>523.92899999999997</v>
      </c>
      <c r="I337" s="3">
        <f>327.5+(585.2-386.1)+(0.835125+(1.49226-0.984555))+0-0-0</f>
        <v>527.94283000000007</v>
      </c>
      <c r="J337" s="3">
        <f>326.6+(567.3-360.4)+(0+(0-0))+0-0-0</f>
        <v>533.5</v>
      </c>
      <c r="K337" s="3">
        <f>328.5+(529.7-335.4)+(0.33507+(0.540294-0.342108))+0-0-0</f>
        <v>523.33325600000012</v>
      </c>
      <c r="L337" s="3">
        <f>338.3+(501.4-285.2)+(0.345066+(0.511428-0.290904))+0-0-0</f>
        <v>555.06559000000004</v>
      </c>
      <c r="M337" s="3">
        <f>500.8+(377.1-311.8)+(0.510816+(0.384642-0.318036))+0-0-0</f>
        <v>566.67742199999998</v>
      </c>
      <c r="N337" s="3">
        <f>634.5+(354.6-362.7)+(0.970785+(0.542538-0.554931))+0-0-0</f>
        <v>627.35839200000009</v>
      </c>
      <c r="O337" s="3">
        <f>620.4+(494.8-434.6)+(-0.632808+(-0.504696--0.443292))+0-0-0</f>
        <v>679.90578799999992</v>
      </c>
      <c r="P337" s="3">
        <f>640.4+(502.5-405.1)+(-0.979812+(-0.768825--0.619803))+0-0-0</f>
        <v>736.67116599999997</v>
      </c>
      <c r="Q337" s="3">
        <f>638.7+(379.3-329.3)+(-2.280159+(-1.354101--1.175601))+0-0-0</f>
        <v>686.24134100000003</v>
      </c>
      <c r="R337" s="3">
        <f>642.6+(301.9-300.9)+(-1.310904+(-0.615876--0.613836))+0-0-0</f>
        <v>642.28705600000001</v>
      </c>
      <c r="S337" s="3">
        <f>643.1+(286.5-288.6)+(-1.311924+(-0.58446--0.588744))+0-0-0</f>
        <v>639.69236000000001</v>
      </c>
      <c r="T337" s="3">
        <f>640.9+(291.6-312.4)+(-0.326859+(-0.148716--0.159324))+0-0-0</f>
        <v>619.78374900000006</v>
      </c>
      <c r="U337" s="3">
        <f>638+(296.5-302.5)+(0.97614+(0.453645-0.462825))+0-0-0</f>
        <v>632.96695999999997</v>
      </c>
      <c r="V337" s="3">
        <f>641.6+(312.9-287.5)+(0+(0-0))+0-0-0</f>
        <v>667</v>
      </c>
      <c r="W337" s="3">
        <f>644.8+(405.2-374.7)+(0+(0-0))+0-0-0</f>
        <v>675.3</v>
      </c>
      <c r="X337" s="3">
        <f>646.8+(606.2-472.7)+(-0.989604+(-0.927486--0.723231))+0-0-0</f>
        <v>779.10614099999998</v>
      </c>
      <c r="Y337" s="3">
        <f>646.5+(595.6-439.3)+(-1.31886+(-1.215024--0.896172))+0-0-0</f>
        <v>801.16228799999999</v>
      </c>
      <c r="Z337" s="3">
        <f>645+(605-477.2)+(-0.6579+(-0.6171--0.486744))+0-0-0</f>
        <v>772.01174399999991</v>
      </c>
      <c r="AA337" s="3">
        <f>645+(609.6-510.7)+(0.32895+(0.310896-0.260457))+0-0-0</f>
        <v>744.27938900000004</v>
      </c>
      <c r="AB337" s="3">
        <f>645.4+(585.4-489.9)+(-1.64577+(-1.49277--1.249245))+0-0-0</f>
        <v>739.01070500000003</v>
      </c>
      <c r="AC337" s="3">
        <f>642.8+(537.2-495.6)+(0.327828+(0.273972-0.252756))+0-0-0</f>
        <v>684.74904400000003</v>
      </c>
      <c r="AD337">
        <f t="shared" si="5"/>
        <v>15527.070459999999</v>
      </c>
      <c r="AE337" s="3">
        <f>645+(677.3-524)+(0+(0-0))+0-0-0</f>
        <v>798.3</v>
      </c>
    </row>
    <row r="338" spans="1:31" s="2" customFormat="1" x14ac:dyDescent="0.25">
      <c r="A338">
        <v>89</v>
      </c>
      <c r="B338">
        <v>12</v>
      </c>
      <c r="C338">
        <v>2</v>
      </c>
      <c r="D338">
        <v>3</v>
      </c>
      <c r="E338">
        <v>1</v>
      </c>
      <c r="F338" s="3">
        <f>590.9+(552-522.2)+(-1.205436+(-1.12608--1.065288))+0-0-0</f>
        <v>619.43377199999998</v>
      </c>
      <c r="G338" s="3">
        <f>482.8+(546.6-463.4)+(-0.984912+(-1.115064--0.945336))+0-0-0</f>
        <v>564.84536000000003</v>
      </c>
      <c r="H338" s="3">
        <f>323.9+(589.5-388.7)+(0.165189+(0.300645-0.198237))+0-0-0</f>
        <v>524.96759700000007</v>
      </c>
      <c r="I338" s="3">
        <f>324.9+(593.3-403.2)+(0.662796+(1.210332-0.822528))+0-0-0</f>
        <v>516.05060000000003</v>
      </c>
      <c r="J338" s="3">
        <f>325.6+(598.2-404.3)+(-0.166056+(-0.305082--0.206193))+0-0-0</f>
        <v>519.23505499999999</v>
      </c>
      <c r="K338" s="3">
        <f>326.2+(585.6-389.2)+(0+(0-0))+0-0-0</f>
        <v>522.6</v>
      </c>
      <c r="L338" s="3">
        <f>326.8+(551.1-356.3)+(-0.666672+(-1.124244--0.726852))+0-0-0</f>
        <v>520.53593599999999</v>
      </c>
      <c r="M338" s="3">
        <f>354.5+(520-368.6)+(-0.542385+(-0.7956--0.563958))+0-0-0</f>
        <v>505.12597299999999</v>
      </c>
      <c r="N338" s="3">
        <f>574.9+(348.8-367.7)+(0.879597+(0.533664-0.562581))+0-0-0</f>
        <v>556.85068000000001</v>
      </c>
      <c r="O338" s="3">
        <f>642.2+(442.5-458)+(0.327522+(0.225675-0.23358))+0-0-0</f>
        <v>627.01961700000004</v>
      </c>
      <c r="P338" s="3">
        <f>640.3+(442-459.4)+(-0.653106+(-0.45084--0.468588))+0-0-0</f>
        <v>622.26464199999998</v>
      </c>
      <c r="Q338" s="3">
        <f>643.5+(446.6-552.5)+(-0.65637+(-0.455532--0.56355))+0-0-0</f>
        <v>537.051648</v>
      </c>
      <c r="R338" s="3">
        <f>769.2+(413.6-553.3)+(-2.353752+(-1.265616--1.693098))+0-0-0</f>
        <v>627.57373000000007</v>
      </c>
      <c r="S338" s="3">
        <f>774.2+(404.2-571.1)+(-0.789684+(-0.412284--0.582522))+0-0-0</f>
        <v>606.68055399999992</v>
      </c>
      <c r="T338" s="3">
        <f>669.6+(474.1-535.6)+(0.682992+(0.483582-0.546312))+0-0-0</f>
        <v>608.72026200000005</v>
      </c>
      <c r="U338" s="3">
        <f>640.3+(461-487.9)+(-1.306212+(-0.94044--0.995316))+0-0-0</f>
        <v>612.14866399999994</v>
      </c>
      <c r="V338" s="3">
        <f>638.8+(439.5-452.8)+(0.651576+(0.44829-0.461856))+0-0-0</f>
        <v>626.13801000000001</v>
      </c>
      <c r="W338" s="3">
        <f>657.5+(459.7-464.1)+(-0.67065+(-0.468894--0.473382))+0-0-0</f>
        <v>652.43383799999992</v>
      </c>
      <c r="X338" s="3">
        <f>706.9+(574.8-527.1)+(-0.360519+(-0.293148--0.268821))+0-0-0</f>
        <v>754.21515399999987</v>
      </c>
      <c r="Y338" s="3">
        <f>714.1+(581.1-512.4)+(-0.728382+(-0.592722--0.522648))+0-0-0</f>
        <v>782.00154400000008</v>
      </c>
      <c r="Z338" s="3">
        <f>778.3+(463.1-481.1)+(-0.396933+(-0.236181--0.245361))+0-0-0</f>
        <v>759.91224699999998</v>
      </c>
      <c r="AA338" s="3">
        <f>778.4+(473.7-501.7)+(-0.396984+(-0.241587--0.255867))+0-0-0</f>
        <v>750.01729599999999</v>
      </c>
      <c r="AB338" s="3">
        <f>779.8+(467.7-521.5)+(-1.590792+(-0.954108--1.06386))+0-0-0</f>
        <v>724.51895999999999</v>
      </c>
      <c r="AC338" s="3">
        <f>734.6+(447.3-505.1)+(0+(0-0))+0-0-0</f>
        <v>676.8</v>
      </c>
      <c r="AD338">
        <f t="shared" si="5"/>
        <v>14817.141138999999</v>
      </c>
      <c r="AE338" s="3">
        <f>687+(624.4-529.3)+(0+(0-0))+0-0-0</f>
        <v>782.1</v>
      </c>
    </row>
    <row r="339" spans="1:31" s="2" customFormat="1" x14ac:dyDescent="0.25">
      <c r="A339">
        <v>89</v>
      </c>
      <c r="B339">
        <v>12</v>
      </c>
      <c r="C339">
        <v>3</v>
      </c>
      <c r="D339">
        <v>4</v>
      </c>
      <c r="E339">
        <v>1</v>
      </c>
      <c r="F339" s="3">
        <f>529.1+(482.9-406.5)+(-0.539682+(-0.492558--0.41463))+0-0-0</f>
        <v>604.88238999999999</v>
      </c>
      <c r="G339" s="3">
        <f>327+(598.6-387.9)+(0+(0-0))+0-0-0</f>
        <v>537.70000000000005</v>
      </c>
      <c r="H339" s="3">
        <f>328.9+(541.5-356.6)+(0+(0-0))+0-0-0</f>
        <v>513.79999999999995</v>
      </c>
      <c r="I339" s="3">
        <f>327.6+(533.2-354.1)+(-0.501228+(-0.815796--0.541773))+0-0-0</f>
        <v>505.92474900000002</v>
      </c>
      <c r="J339" s="3">
        <f>325.7+(532.7-346.6)+(-0.664428+(-1.086708--0.707064))+0-0-0</f>
        <v>510.75592800000004</v>
      </c>
      <c r="K339" s="3">
        <f>324.7+(543.3-355.2)+(0.331194+(0.554166-0.362304))+0-0-0</f>
        <v>513.32305599999995</v>
      </c>
      <c r="L339" s="3">
        <f>325.4+(585.8-372.2)+(-0.331908+(-0.597516--0.379644))+0-0-0</f>
        <v>538.45021999999994</v>
      </c>
      <c r="M339" s="3">
        <f>544.2+(407.2-379.5)+(-0.832626+(-0.623016--0.580635))+0-0-0</f>
        <v>571.02499300000011</v>
      </c>
      <c r="N339" s="3">
        <f>712.3+(341.7-428.7)+(0+(0-0))+0-0-0</f>
        <v>625.29999999999995</v>
      </c>
      <c r="O339" s="3">
        <f>817.7+(344.8-478.2)+(-0.834054+(-0.351696--0.487764))+0-0-0</f>
        <v>683.60201400000005</v>
      </c>
      <c r="P339" s="3">
        <f>947.6+(348.2-602.2)+(-2.41638+(-0.88791--1.53561))+0-0-0</f>
        <v>691.83131999999989</v>
      </c>
      <c r="Q339" s="3">
        <f>903+(360.6-571)+(-0.92106+(-0.367812--0.58242))+0-0-0</f>
        <v>691.89354800000001</v>
      </c>
      <c r="R339" s="3">
        <f>859+(334.2-547)+(-2.19045+(-0.85221--1.39485))+0-0-0</f>
        <v>644.55219</v>
      </c>
      <c r="S339" s="3">
        <f>912.8+(244.7-527.3)+(0+(0-0))+0-0-0</f>
        <v>630.20000000000005</v>
      </c>
      <c r="T339" s="3">
        <f>963.8+(197.7-528.1)+(0.491538+(0.100827-0.269331))+0-0-0</f>
        <v>633.72303399999987</v>
      </c>
      <c r="U339" s="3">
        <f>940+(199.1-513.7)+(0+(0-0))+0-0-0</f>
        <v>625.4</v>
      </c>
      <c r="V339" s="3">
        <f>899.7+(226.4-473.7)+(0+(0-0))+0-0-0</f>
        <v>652.40000000000009</v>
      </c>
      <c r="W339" s="3">
        <f>898.6+(224.6-459.8)+(-0.458286+(-0.114546--0.234498))+0-0-0</f>
        <v>663.06166599999995</v>
      </c>
      <c r="X339" s="3">
        <f>899.7+(409.8-541.8)+(-0.458847+(-0.208998--0.276318))+0-0-0</f>
        <v>767.30847300000005</v>
      </c>
      <c r="Y339" s="3">
        <f>901.8+(438.6-522.1)+(-1.379754+(-0.671058--0.798813))+0-0-0</f>
        <v>817.048001</v>
      </c>
      <c r="Z339" s="3">
        <f>903.2+(383.1-488.9)+(-0.921264+(-0.390762--0.498678))+0-0-0</f>
        <v>796.58665200000007</v>
      </c>
      <c r="AA339" s="3">
        <f>873.8+(407.6-497.2)+(-2.673828+(-1.247256--1.521432))+0-0-0</f>
        <v>781.8003480000001</v>
      </c>
      <c r="AB339" s="3">
        <f>767.5+(450.3-475.3)+(-1.5657+(-0.918612--0.969612))+0-0-0</f>
        <v>740.98530000000005</v>
      </c>
      <c r="AC339" s="3">
        <f>729.8+(419.1-463.1)+(-2.233188+(-1.282446--1.417086))+0-0-0</f>
        <v>683.7014519999999</v>
      </c>
      <c r="AD339">
        <f t="shared" si="5"/>
        <v>15425.255334000001</v>
      </c>
      <c r="AE339" s="3">
        <f>900+(450.1-543.4)+(0+(0-0))+0-0-0</f>
        <v>806.7</v>
      </c>
    </row>
    <row r="340" spans="1:31" s="2" customFormat="1" x14ac:dyDescent="0.25">
      <c r="A340">
        <v>89</v>
      </c>
      <c r="B340">
        <v>12</v>
      </c>
      <c r="C340">
        <v>4</v>
      </c>
      <c r="D340">
        <v>5</v>
      </c>
      <c r="E340">
        <v>1</v>
      </c>
      <c r="F340" s="3">
        <f>512.4+(514.3-406.8)+(0.522648+(0.524586-0.414936))+0-0-0</f>
        <v>620.53229799999986</v>
      </c>
      <c r="G340" s="3">
        <f>446.4+(477.9-374.9)+(-0.910656+(-0.974916--0.764796))+0-0-0</f>
        <v>548.279224</v>
      </c>
      <c r="H340" s="3">
        <f>447+(433.6-359.3)+(0.22797+(0.221136-0.183243))+0-0-0</f>
        <v>521.56586299999992</v>
      </c>
      <c r="I340" s="3">
        <f>436.9+(414-335.7)+(-0.891276+(-0.84456--0.684828))+0-0-0</f>
        <v>514.14899200000002</v>
      </c>
      <c r="J340" s="3">
        <f>385.8+(471.6-333)+(-0.590274+(-0.721548--0.50949))+0-0-0</f>
        <v>523.59766800000011</v>
      </c>
      <c r="K340" s="3">
        <f>386.2+(516.2-366.4)+(0.196962+(0.263262-0.186864))+0-0-0</f>
        <v>536.27336000000003</v>
      </c>
      <c r="L340" s="3">
        <f>429.5+(498.7-393.5)+(-0.87618+(-1.017348--0.80274))+0-0-0</f>
        <v>533.60921200000007</v>
      </c>
      <c r="M340" s="3">
        <f>728.3+(262.3-415.6)+(-0.742866+(-0.267546--0.423912))+0-0-0</f>
        <v>574.4135</v>
      </c>
      <c r="N340" s="3">
        <f>847.3+(180.7-415.7)+(0+(0-0))+0-0-0</f>
        <v>612.29999999999995</v>
      </c>
      <c r="O340" s="3">
        <f>905.6+(194.4-438.7)+(-0.461856+(-0.099144--0.223737))+0-0-0</f>
        <v>660.96273700000006</v>
      </c>
      <c r="P340" s="3">
        <f>900.7+(226.9-455.9)+(-0.459357+(-0.115719--0.232509))+0-0-0</f>
        <v>671.35743300000001</v>
      </c>
      <c r="Q340" s="3">
        <f>899+(268.2-501.2)+(-0.45849+(-0.136782--0.255612))+0-0-0</f>
        <v>665.66034000000002</v>
      </c>
      <c r="R340" s="3">
        <f>874.9+(266.8-491.2)+(-2.230995+(-0.68034--1.25256))+0-0-0</f>
        <v>648.84122500000001</v>
      </c>
      <c r="S340" s="3">
        <f>794.3+(297.5-451.8)+(-0.405093+(-0.151725--0.230418))+0-0-0</f>
        <v>639.67359999999996</v>
      </c>
      <c r="T340" s="3">
        <f>760.6+(320.3-454)+(-1.93953+(-0.816765--1.1577))+0-0-0</f>
        <v>625.30140500000005</v>
      </c>
      <c r="U340" s="3">
        <f>763.3+(315.8-451.7)+(-1.167849+(-0.483174--0.691101))+0-0-0</f>
        <v>626.44007799999997</v>
      </c>
      <c r="V340" s="3">
        <f>757.2+(317.5-439.7)+(-3.475548+(-1.457325--2.018223))+0-0-0</f>
        <v>632.08534999999995</v>
      </c>
      <c r="W340" s="3">
        <f>752+(332.1-439.6)+(0+(0-0))+0-0-0</f>
        <v>644.5</v>
      </c>
      <c r="X340" s="3">
        <f>861.8+(425.4-515.9)+(-1.758072+(-0.867816--1.052436))+0-0-0</f>
        <v>769.72654799999998</v>
      </c>
      <c r="Y340" s="3">
        <f>844.4+(458.8-477.2)+(0+(0-0))+0-0-0</f>
        <v>826</v>
      </c>
      <c r="Z340" s="3">
        <f>664.5+(627.1-498.2)+(0+(0-0))+0-0-0</f>
        <v>793.40000000000009</v>
      </c>
      <c r="AA340" s="3">
        <f>561.5+(693.8-488.7)+(-0.57273+(-0.707676--0.498474))+0-0-0</f>
        <v>765.81806799999993</v>
      </c>
      <c r="AB340" s="3">
        <f>458.7+(724.5-445.6)+(-0.935748+(-1.47798--0.909024))+0-0-0</f>
        <v>736.09529599999996</v>
      </c>
      <c r="AC340" s="3">
        <f>343.7+(722.5-385.5)+(-1.402296+(-2.9478--1.57284))+0-0-0</f>
        <v>677.92274400000008</v>
      </c>
      <c r="AD340">
        <f t="shared" si="5"/>
        <v>15368.504940999999</v>
      </c>
      <c r="AE340" s="3">
        <f>898+(443.6-522.2)+(0+(0-0))+0-0-0</f>
        <v>819.4</v>
      </c>
    </row>
    <row r="341" spans="1:31" s="2" customFormat="1" x14ac:dyDescent="0.25">
      <c r="A341">
        <v>89</v>
      </c>
      <c r="B341">
        <v>12</v>
      </c>
      <c r="C341">
        <v>5</v>
      </c>
      <c r="D341">
        <v>6</v>
      </c>
      <c r="E341">
        <v>1</v>
      </c>
      <c r="F341" s="3">
        <f>253.9+(706.5-353.7)+(-0.388467+(-1.080945--0.541161))+0-0-0</f>
        <v>605.771749</v>
      </c>
      <c r="G341" s="3">
        <f>163.9+(724.5-334.4)+(0.167178+(0.73899-0.341088))+0-0-0</f>
        <v>554.56507999999997</v>
      </c>
      <c r="H341" s="3">
        <f>164.8+(682.1-316.1)+(-0.504288+(-2.087226--0.967266))+0-0-0</f>
        <v>529.17575199999999</v>
      </c>
      <c r="I341" s="3">
        <f>162.4+(673.2-314.4)+(0.165648+(0.686664-0.320688))+0-0-0</f>
        <v>521.73162400000001</v>
      </c>
      <c r="J341" s="3">
        <f>162.1+(649.5-290.1)+(0.082671+(0.331245-0.147951))+0-0-0</f>
        <v>521.76596500000005</v>
      </c>
      <c r="K341" s="3">
        <f>162.3+(676-313.8)+(0.496638+(2.06856-0.960228))+0-0-0</f>
        <v>526.10496999999998</v>
      </c>
      <c r="L341" s="3">
        <f>162.8+(707-332.4)+(0+(0-0))+0-0-0</f>
        <v>537.40000000000009</v>
      </c>
      <c r="M341" s="3">
        <f>249.9+(654.6-351.9)+(0.382347+(1.001538-0.538407))+0-0-0</f>
        <v>553.44547799999998</v>
      </c>
      <c r="N341" s="3">
        <f>357+(598.1-348.4)+(0+(0-0))+0-0-0</f>
        <v>606.70000000000005</v>
      </c>
      <c r="O341" s="3">
        <f>420.2+(592.4-368.6)+(0+(0-0))+0-0-0</f>
        <v>644</v>
      </c>
      <c r="P341" s="3">
        <f>454.2+(548.5-373.8)+(0+(0-0))+0-0-0</f>
        <v>628.9</v>
      </c>
      <c r="Q341" s="3">
        <f>455.4+(623.6-407.9)+(0.232254+(0.318036-0.208029))+0-0-0</f>
        <v>671.44226100000003</v>
      </c>
      <c r="R341" s="3">
        <f>366.3+(667.7-410.1)+(-0.373626+(-0.681054--0.418302))+0-0-0</f>
        <v>623.26362200000005</v>
      </c>
      <c r="S341" s="3">
        <f>371.7+(616.9-394.3)+(-0.379134+(-0.629238--0.402186))+0-0-0</f>
        <v>593.69381399999997</v>
      </c>
      <c r="T341" s="3">
        <f>371.4+(610.7-394.9)+(-0.189414+(-0.311457--0.201399))+0-0-0</f>
        <v>586.90052800000001</v>
      </c>
      <c r="U341" s="3">
        <f>373.6+(604.4-389.8)+(-0.381072+(-0.616488--0.397596))+0-0-0</f>
        <v>587.60003600000005</v>
      </c>
      <c r="V341" s="3">
        <f>372.3+(612.2-396.2)+(-1.329111+(-2.185554--1.414434))+0-0-0</f>
        <v>586.19976900000006</v>
      </c>
      <c r="W341" s="3">
        <f>388.1+(586.8-380.5)+(-0.197931+(-0.299268--0.194055))+0-0-0</f>
        <v>594.096856</v>
      </c>
      <c r="X341" s="3">
        <f>402.7+(726.5-404)+(-0.616131+(-1.111545--0.61812))+0-0-0</f>
        <v>724.09044400000005</v>
      </c>
      <c r="Y341" s="3">
        <f>415.2+(888-521.6)+(-0.423504+(-0.90576--0.532032))+0-0-0</f>
        <v>780.8027679999999</v>
      </c>
      <c r="Z341" s="3">
        <f>345.8+(966.9-554.1)+(-0.529074+(-1.479357--0.847773))+0-0-0</f>
        <v>757.4393419999999</v>
      </c>
      <c r="AA341" s="3">
        <f>321.8+(977.1-561.1)+(0+(0-0))+0-0-0</f>
        <v>737.8</v>
      </c>
      <c r="AB341" s="3">
        <f>321.9+(940.7-552.8)+(-0.656676+(-1.919028--1.127712))+0-0-0</f>
        <v>708.35200800000007</v>
      </c>
      <c r="AC341" s="3">
        <f>321.4+(863-530.7)+(-0.81957+(-2.20065--1.353285))+0-0-0</f>
        <v>652.03306499999997</v>
      </c>
      <c r="AD341">
        <f t="shared" si="5"/>
        <v>14833.275130999999</v>
      </c>
      <c r="AE341" s="3">
        <f>421+(771.7-417.6)+(0+(0-0))+0-0-0</f>
        <v>775.1</v>
      </c>
    </row>
    <row r="342" spans="1:31" s="2" customFormat="1" x14ac:dyDescent="0.25">
      <c r="A342">
        <v>89</v>
      </c>
      <c r="B342">
        <v>12</v>
      </c>
      <c r="C342">
        <v>6</v>
      </c>
      <c r="D342">
        <v>7</v>
      </c>
      <c r="E342">
        <v>1</v>
      </c>
      <c r="F342" s="3">
        <f>320.6+(804.3-517.3)+(-0.327012+(-0.820386--0.527646))+0-0-0</f>
        <v>606.98024800000007</v>
      </c>
      <c r="G342" s="3">
        <f>320.6+(729.8-486.5)+(-0.163506+(-0.372198--0.248115))+0-0-0</f>
        <v>563.61241099999995</v>
      </c>
      <c r="H342" s="3">
        <f>320.9+(679.9-468.4)+(0+(0-0))+0-0-0</f>
        <v>532.4</v>
      </c>
      <c r="I342" s="3">
        <f>320.5+(669.6-466.5)+(0.490365+(1.024488-0.713745))+0-0-0</f>
        <v>524.40110800000002</v>
      </c>
      <c r="J342" s="3">
        <f>320.1+(668.4-467.4)+(-0.816255+(-1.70442--1.19187))+0-0-0</f>
        <v>519.77119500000003</v>
      </c>
      <c r="K342" s="3">
        <f>321.4+(664.4-464.4)+(0.491742+(1.016532-0.710532))+0-0-0</f>
        <v>522.19774199999995</v>
      </c>
      <c r="L342" s="3">
        <f>321.8+(694.3-496.6)+(-0.328236+(-0.708186--0.506532))+0-0-0</f>
        <v>518.97010999999998</v>
      </c>
      <c r="M342" s="3">
        <f>321.1+(710.9-519.3)+(0.163761+(0.362559-0.264843))+0-0-0</f>
        <v>512.96147700000006</v>
      </c>
      <c r="N342" s="3">
        <f>344.7+(725.7-523.2)+(-0.351594+(-0.740214--0.533664))+0-0-0</f>
        <v>546.64185600000008</v>
      </c>
      <c r="O342" s="3">
        <f>383.9+(741-535.7)+(0.195789+(0.37791-0.273207))+0-0-0</f>
        <v>589.50049199999989</v>
      </c>
      <c r="P342" s="3">
        <f>418.6+(727.1-529.7)+(0.426972+(0.741642-0.540294))+0-0-0</f>
        <v>616.62832000000003</v>
      </c>
      <c r="Q342" s="3">
        <f>419.1+(729.1-534)+(-0.854964+(-1.487364--1.08936))+0-0-0</f>
        <v>612.94703200000004</v>
      </c>
      <c r="R342" s="3">
        <f>393.2+(728.1-534.3)+(-0.200532+(-0.371331--0.272493))+0-0-0</f>
        <v>586.70063000000005</v>
      </c>
      <c r="S342" s="3">
        <f>317.9+(788.2-532.3)+(-0.972774+(-2.411892--1.628838))+0-0-0</f>
        <v>572.04417200000012</v>
      </c>
      <c r="T342" s="3">
        <f>318.5+(784.3-537.5)+(-0.32487+(-0.799986--0.54825))+0-0-0</f>
        <v>564.72339399999998</v>
      </c>
      <c r="U342" s="3">
        <f>318.8+(735.7-526.1)+(-0.975528+(-2.251242--1.609866))+0-0-0</f>
        <v>526.78309600000011</v>
      </c>
      <c r="V342" s="3">
        <f>319.5+(728.8-517.1)+(-0.32589+(-0.743376--0.527442))+0-0-0</f>
        <v>530.65817599999991</v>
      </c>
      <c r="W342" s="3">
        <f>320.3+(746.2-529.1)+(-0.163353+(-0.380562--0.269841))+0-0-0</f>
        <v>537.12592600000005</v>
      </c>
      <c r="X342" s="3">
        <f>321+(890.8-542.8)+(-0.49113+(-1.362924--0.830484))+0-0-0</f>
        <v>667.97643000000005</v>
      </c>
      <c r="Y342" s="3">
        <f>320.4+(975.1-563.2)+(0.163404+(0.497301-0.287232))+0-0-0</f>
        <v>732.67347299999994</v>
      </c>
      <c r="Z342" s="3">
        <f>320.4+(934.1-545)+(-0.490212+(-1.429173--0.83385))+0-0-0</f>
        <v>708.41446499999995</v>
      </c>
      <c r="AA342" s="3">
        <f>320.6+(904.9-523.3)+(0.163506+(0.461499-0.266883))+0-0-0</f>
        <v>702.55812200000003</v>
      </c>
      <c r="AB342" s="3">
        <f>319.4+(841.8-485)+(-0.325788+(-0.858636--0.4947))+0-0-0</f>
        <v>675.51027599999998</v>
      </c>
      <c r="AC342" s="3">
        <f>320.1+(812.4-508.1)+(-0.653004+(-1.657296--1.036524))+0-0-0</f>
        <v>623.12622399999998</v>
      </c>
      <c r="AD342">
        <f t="shared" si="5"/>
        <v>14095.306375000004</v>
      </c>
      <c r="AE342" s="3">
        <f>320+(973.6-561.4)+(0+(0-0))+0-0-0</f>
        <v>732.2</v>
      </c>
    </row>
    <row r="343" spans="1:31" s="2" customFormat="1" x14ac:dyDescent="0.25">
      <c r="A343">
        <v>89</v>
      </c>
      <c r="B343">
        <v>12</v>
      </c>
      <c r="C343">
        <v>7</v>
      </c>
      <c r="D343">
        <v>1</v>
      </c>
      <c r="E343">
        <v>1</v>
      </c>
      <c r="F343" s="3">
        <f>320.8+(755.4-517.6)+(-0.327216+(-0.770508--0.527952))+0-0-0</f>
        <v>558.03022799999997</v>
      </c>
      <c r="G343" s="3">
        <f>320.9+(684.6-493.4)+(-0.327318+(-0.698292--0.503268))+0-0-0</f>
        <v>511.57765800000004</v>
      </c>
      <c r="H343" s="3">
        <f>321+(631.3-460.3)+(0.65484+(1.287852-0.939012))+0-0-0</f>
        <v>493.00367999999992</v>
      </c>
      <c r="I343" s="3">
        <f>321.2+(616.5-452)+(-0.327624+(-0.62883--0.46104))+0-0-0</f>
        <v>485.20458600000001</v>
      </c>
      <c r="J343" s="3">
        <f>321.5+(584.6-424.1)+(0.98379+(1.788876-1.297746))+2.4-0-0</f>
        <v>485.87491999999997</v>
      </c>
      <c r="K343" s="3">
        <f>321.5+(591.2-417.5)+(0.163965+(0.301512-0.212925))+0-0-0</f>
        <v>495.45255200000003</v>
      </c>
      <c r="L343" s="3">
        <f>321.4+(635-441.1)+(0.491742+(0.97155-0.674883))+0-0-0</f>
        <v>516.08840899999996</v>
      </c>
      <c r="M343" s="3">
        <f>442.4+(672.8-490.1)+(1.12812+(1.71564-1.249755))+0-0-0</f>
        <v>626.69400499999995</v>
      </c>
      <c r="N343" s="3">
        <f>551+(587.6-559.7)+(0.28101+(0.299676-0.285447))+0-0-0</f>
        <v>579.19523900000002</v>
      </c>
      <c r="O343" s="3">
        <f>698.4+(589.6-611.8)+(0.356184+(0.300696-0.312018))+0-0-0</f>
        <v>676.54486200000008</v>
      </c>
      <c r="P343" s="3">
        <f>693.2+(570.3-609.8)+(1.060596+(0.872559-0.932994))+0-0-0</f>
        <v>654.70016100000009</v>
      </c>
      <c r="Q343" s="3">
        <f>691+(530.4-564.7)+(-0.35241+(-0.270504--0.287997))+0-0-0</f>
        <v>656.36508299999991</v>
      </c>
      <c r="R343" s="3">
        <f>689.4+(470.7-536.9)+(-0.351594+(-0.240057--0.273819))+0-0-0</f>
        <v>622.88216800000009</v>
      </c>
      <c r="S343" s="3">
        <f>685.6+(461.4-536.6)+(-1.048968+(-0.705942--0.820998))+0-0-0</f>
        <v>609.46608800000001</v>
      </c>
      <c r="T343" s="3">
        <f>687+(339.1-448.6)+(0+(0-0))+0-0-0</f>
        <v>577.5</v>
      </c>
      <c r="U343" s="3">
        <f>696.4+(228.3-191.8)+(-0.710328+(-0.232866--0.195636))+0-0-0</f>
        <v>732.15244199999995</v>
      </c>
      <c r="V343" s="3">
        <f>716.8+(185.1-283.9)+(0+(0-0))+0-0-0</f>
        <v>618</v>
      </c>
      <c r="W343" s="3">
        <f>682.3+(225.2-266.7)+(-1.391892+(-0.459408--0.544068))+0-0-0</f>
        <v>639.49276799999996</v>
      </c>
      <c r="X343" s="3">
        <f>685+(380.6-307.4)+(-1.74675+(-0.97053--0.78387))+0-0-0</f>
        <v>756.26659000000006</v>
      </c>
      <c r="Y343" s="3">
        <f>642.8+(450.9-299)+(-0.983484+(-0.689877--0.45747))+0-0-0</f>
        <v>793.48410899999988</v>
      </c>
      <c r="Z343" s="3">
        <f>572.7+(579-402.1)+(-0.292077+(-0.29529--0.205071))+0-0-0</f>
        <v>749.21770400000003</v>
      </c>
      <c r="AA343" s="3">
        <f>563.1+(705.5-539.9)+(-0.574362+(-0.71961--0.550698))+0-0-0</f>
        <v>727.956726</v>
      </c>
      <c r="AB343" s="3">
        <f>546.3+(691.2-516.9)+(-1.393065+(-1.76256--1.318095))+0-0-0</f>
        <v>718.76247000000001</v>
      </c>
      <c r="AC343" s="3">
        <f>404.6+(703-464)+(-0.825384+(-1.43412--0.94656))+0-0-0</f>
        <v>642.28705600000001</v>
      </c>
      <c r="AD343">
        <f t="shared" si="5"/>
        <v>14926.199503999998</v>
      </c>
      <c r="AE343" s="3">
        <f>687+(448.6-332)+(0+(0-0))+0-0-0</f>
        <v>803.6</v>
      </c>
    </row>
    <row r="344" spans="1:31" s="2" customFormat="1" x14ac:dyDescent="0.25">
      <c r="A344">
        <v>89</v>
      </c>
      <c r="B344">
        <v>12</v>
      </c>
      <c r="C344">
        <v>8</v>
      </c>
      <c r="D344">
        <v>2</v>
      </c>
      <c r="E344">
        <v>1</v>
      </c>
      <c r="F344" s="3">
        <f>377+(658-472.4)+(-0.19227+(-0.33558--0.240924))+0-0-0</f>
        <v>562.31307400000003</v>
      </c>
      <c r="G344" s="3">
        <f>375.1+(573.8-434.2)+(0+(0-0))+0-0-0</f>
        <v>514.70000000000005</v>
      </c>
      <c r="H344" s="3">
        <f>375.3+(547.6-425.6)+(-0.574209+(-0.837828--0.651168))+0-0-0</f>
        <v>496.539131</v>
      </c>
      <c r="I344" s="3">
        <f>376.4+(504.7-392.5)+(-0.575892+(-0.772191--0.600525))+0-0-0</f>
        <v>487.85244199999994</v>
      </c>
      <c r="J344" s="3">
        <f>376.5+(497-379.4)+(-0.192015+(-0.25347--0.193494))+0-0-0</f>
        <v>493.84800900000005</v>
      </c>
      <c r="K344" s="3">
        <f>377.2+(532.9-399.7)+(0.192372+(0.271779-0.203847))+0-0-0</f>
        <v>510.660304</v>
      </c>
      <c r="L344" s="3">
        <f>376.3+(597.3-461.1)+(-0.383826+(-0.609246--0.470322))+0-0-0</f>
        <v>511.97725000000003</v>
      </c>
      <c r="M344" s="3">
        <f>407.5+(625-487.5)+(-0.207825+(-0.31875--0.248625))+0-0-0</f>
        <v>544.72204999999997</v>
      </c>
      <c r="N344" s="3">
        <f>546+(519-468.2)+(-0.55692+(-0.52938--0.477564))+0-0-0</f>
        <v>596.19126399999993</v>
      </c>
      <c r="O344" s="3">
        <f>583+(540.5-493.9)+(0.59466+(0.55131-0.503778))+0-0-0</f>
        <v>630.24219200000005</v>
      </c>
      <c r="P344" s="3">
        <f>577.9+(596.9-522.4)+(-1.178916+(-1.217676--1.065696))+0-0-0</f>
        <v>651.06910399999992</v>
      </c>
      <c r="Q344" s="3">
        <f>577.4+(575.9-504)+(-0.883422+(-0.881127--0.77112))+0-0-0</f>
        <v>648.30657099999996</v>
      </c>
      <c r="R344" s="3">
        <f>575.1+(559.5-527.9)+(-1.759806+(-1.71207--1.615374))+0-0-0</f>
        <v>604.84349800000007</v>
      </c>
      <c r="S344" s="3">
        <f>575.1+(571.6-536.7)+(-0.879903+(-0.874548--0.821151))+0-0-0</f>
        <v>609.06669999999997</v>
      </c>
      <c r="T344" s="3">
        <f>573.4+(587.3-545.8)+(-0.877302+(-0.898569--0.835074))+0-0-0</f>
        <v>613.959203</v>
      </c>
      <c r="U344" s="3">
        <f>573.2+(575.8-543.6)+(-0.584664+(-0.587316--0.554472))+0-0-0</f>
        <v>604.78249199999993</v>
      </c>
      <c r="V344" s="3">
        <f>573.4+(597.3-554.6)+(-1.754604+(-1.827738--1.697076))+0-0-0</f>
        <v>614.21473399999991</v>
      </c>
      <c r="W344" s="3">
        <f>575.2+(652.2-611.5)+(-0.880056+(-0.997866--0.935595))+0-0-0</f>
        <v>614.95767300000011</v>
      </c>
      <c r="X344" s="3">
        <f>576.8+(769.7-604)+(-0.588336+(-0.785094--0.61608))+0-0-0</f>
        <v>741.74265000000003</v>
      </c>
      <c r="Y344" s="3">
        <f>576.7+(825.3-625)+(-1.764702+(-2.525418--1.9125))+0-0-0</f>
        <v>774.62238000000002</v>
      </c>
      <c r="Z344" s="3">
        <f>503.3+(848.6-599.7)+(-0.513366+(-0.865572--0.611694))+0-0-0</f>
        <v>751.43275600000004</v>
      </c>
      <c r="AA344" s="3">
        <f>420.8+(905.4-584.7)+(-0.643824+(-1.385262--0.894591))+0-0-0</f>
        <v>740.36550499999998</v>
      </c>
      <c r="AB344" s="3">
        <f>376.1+(884.7-566.9)+(-0.959055+(-2.255985--1.445595))+0-0-0</f>
        <v>692.13055500000007</v>
      </c>
      <c r="AC344" s="3">
        <f>368.6+(779.9-516.3)+(-0.93993+(-1.988745--1.316565))+0-0-0</f>
        <v>630.58789000000002</v>
      </c>
      <c r="AD344">
        <f t="shared" si="5"/>
        <v>14641.127427000001</v>
      </c>
      <c r="AE344" s="3">
        <f>579+(826-603.3)+(0+(0-0))+0-0-0</f>
        <v>801.7</v>
      </c>
    </row>
    <row r="345" spans="1:31" s="2" customFormat="1" x14ac:dyDescent="0.25">
      <c r="A345">
        <v>89</v>
      </c>
      <c r="B345">
        <v>12</v>
      </c>
      <c r="C345">
        <v>9</v>
      </c>
      <c r="D345">
        <v>3</v>
      </c>
      <c r="E345">
        <v>1</v>
      </c>
      <c r="F345" s="3">
        <f>356.2+(738.3-512)+(0+(0-0))+0-0-0</f>
        <v>582.5</v>
      </c>
      <c r="G345" s="3">
        <f>370.8+(655.3-441.1)+(0+(0-0))+0-0-0</f>
        <v>585</v>
      </c>
      <c r="H345" s="3">
        <f>367.8+(561.6-403.4)+(0+(0-0))+0-0-0</f>
        <v>526</v>
      </c>
      <c r="I345" s="3">
        <f>367.7+(569.7-414.4)+(0+(0-0))+0-0-0</f>
        <v>523</v>
      </c>
      <c r="J345" s="3">
        <f>367.4+(581.2-424.3)+(0+(0-0))+0-0-0</f>
        <v>524.29999999999995</v>
      </c>
      <c r="K345" s="3">
        <f>367.3+(615.5-451.9)+(0+(0-0))+0-0-0</f>
        <v>530.90000000000009</v>
      </c>
      <c r="L345" s="3">
        <f>367.7+(679.1-511.7)+(0+(0-0))+0-0-0</f>
        <v>535.1</v>
      </c>
      <c r="M345" s="3">
        <f>369.6+(711.4-546.7)+(0+(0-0))+0-0-0</f>
        <v>534.29999999999995</v>
      </c>
      <c r="N345" s="3">
        <f>450.4+(457.8-321.8)+(0+(0-0))+0-0-0</f>
        <v>586.4</v>
      </c>
      <c r="O345" s="3">
        <f>459+(395.6-224.3)+(0+(0-0))+0-0-0</f>
        <v>630.29999999999995</v>
      </c>
      <c r="P345" s="3">
        <f>456.3+(403.2-208.8)+(-0.465426+(-0.411264--0.212976))+0-0-0</f>
        <v>650.03628600000002</v>
      </c>
      <c r="Q345" s="3">
        <f>501.2+(369.7-215.8)+(-0.766836+(-0.565641--0.330174))+0-0-0</f>
        <v>654.09769699999993</v>
      </c>
      <c r="R345" s="3">
        <f>573.1+(235.3-181.4)+(-1.169124+(-0.480012--0.370056))+0-0-0</f>
        <v>625.72091999999998</v>
      </c>
      <c r="S345" s="3">
        <f>581.9+(238.7-208.6)+(-1.187076+(-0.486948--0.425544))+0-0-0</f>
        <v>610.75152000000003</v>
      </c>
      <c r="T345" s="3">
        <f>580.5+(227.9-214.9)+(-0.296055+(-0.116229--0.109599))+0-0-0</f>
        <v>593.197315</v>
      </c>
      <c r="U345" s="3">
        <f>473.1+(306-180.4)+(0+(0-0))+0-0-0</f>
        <v>598.70000000000005</v>
      </c>
      <c r="V345" s="3">
        <f>452.7+(322.1-169.7)+(-1.385262+(-0.985626--0.519282))+0-0-0</f>
        <v>603.24839400000008</v>
      </c>
      <c r="W345" s="3">
        <f>546.7+(265.7-205.7)+(-1.394085+(-0.677535--0.524535))+0-0-0</f>
        <v>605.15291500000001</v>
      </c>
      <c r="X345" s="3">
        <f>586.3+(468-317.9)+(-1.196052+(-0.95472--0.648516))+0-0-0</f>
        <v>734.89774399999999</v>
      </c>
      <c r="Y345" s="3">
        <f>586.4+(750.3-557.1)+(-0.897192+(-1.147959--0.852363))+0-0-0</f>
        <v>778.40721199999996</v>
      </c>
      <c r="Z345" s="3">
        <f>537+(839.2-613.3)+(-1.64322+(-2.567952--1.876698))+0-0-0</f>
        <v>760.56552600000009</v>
      </c>
      <c r="AA345" s="3">
        <f>370.7+(927.6-572.8)+(-0.189057+(-0.473076--0.292128))+0-0-0</f>
        <v>725.12999500000001</v>
      </c>
      <c r="AB345" s="3">
        <f>356.1+(903.1-560.6)+(-0.726444+(-1.842324--1.143624))+0-0-0</f>
        <v>697.17485599999998</v>
      </c>
      <c r="AC345" s="3">
        <f>354.8+(826.2-527)+(-1.266636+(-2.949534--1.88139))+0-0-0</f>
        <v>651.66521999999998</v>
      </c>
      <c r="AD345">
        <f t="shared" si="5"/>
        <v>14846.545600000001</v>
      </c>
      <c r="AE345" s="3">
        <f>585+(541.9-365.3)+(0+(0-0))+0-0-0</f>
        <v>761.59999999999991</v>
      </c>
    </row>
    <row r="346" spans="1:31" s="2" customFormat="1" x14ac:dyDescent="0.25">
      <c r="A346">
        <v>89</v>
      </c>
      <c r="B346">
        <v>12</v>
      </c>
      <c r="C346">
        <v>10</v>
      </c>
      <c r="D346">
        <v>4</v>
      </c>
      <c r="E346">
        <v>1</v>
      </c>
      <c r="F346" s="3">
        <f>219.8+(866.4-528.6)+(-0.448392+(-1.767456--1.078344))+0-0-0</f>
        <v>556.46249599999987</v>
      </c>
      <c r="G346" s="3">
        <f>215.7+(788.7-470.5)+(-0.330021+(-1.206711--0.719865))+0-0-0</f>
        <v>533.08313300000009</v>
      </c>
      <c r="H346" s="3">
        <f>214.6+(760-453.8)+(-0.437784+(-1.5504--0.925752))+0-0-0</f>
        <v>519.73756800000001</v>
      </c>
      <c r="I346" s="3">
        <f>213.4+(724.7-434.7)+(-0.54417+(-1.847985--1.108485))+0-0-0</f>
        <v>502.11633000000012</v>
      </c>
      <c r="J346" s="3">
        <f>213.3+(712.3-428.5)+(0+(0-0))+0-0-0</f>
        <v>497.09999999999997</v>
      </c>
      <c r="K346" s="3">
        <f>213.6+(747.2-445.7)+(-0.326808+(-1.143216--0.681921))+0-0-0</f>
        <v>514.31189700000004</v>
      </c>
      <c r="L346" s="3">
        <f>268.3+(734.6-480.4)+(-0.410499+(-1.123938--0.735012))+0-0-0</f>
        <v>521.70057499999996</v>
      </c>
      <c r="M346" s="3">
        <f>372.7+(688.4-512.7)+(0+(0-0))+0-0-0</f>
        <v>548.39999999999986</v>
      </c>
      <c r="N346" s="3">
        <f>410.7+(706.1-533.1)+(0.209457+(0.360111-0.271881))+0-0-0</f>
        <v>583.99768700000004</v>
      </c>
      <c r="O346" s="3">
        <f>459.6+(690.4-543.5)+(-0.234396+(-0.352104--0.277185))+0-0-0</f>
        <v>606.19068500000003</v>
      </c>
      <c r="P346" s="3">
        <f>457.3+(684.5-512.6)+(0+(0-0))+0-0-0</f>
        <v>629.20000000000005</v>
      </c>
      <c r="Q346" s="3">
        <f>454.6+(710.7-534.3)+(-0.463692+(-0.724914--0.544986))+0-0-0</f>
        <v>630.35638000000006</v>
      </c>
      <c r="R346" s="3">
        <f>455.8+(748.6-565.5)+(-1.16229+(-1.90893--1.442025))+0-0-0</f>
        <v>637.27080500000011</v>
      </c>
      <c r="S346" s="3">
        <f>486.8+(732.1-587.4)+(0.248268+(0.373371-0.299574))+0-0-0</f>
        <v>631.82206499999995</v>
      </c>
      <c r="T346" s="3">
        <f>546.3+(639.5-562.7)+(-0.557226+(-0.65229--0.573954))+0-0-0</f>
        <v>622.46443799999986</v>
      </c>
      <c r="U346" s="3">
        <f>456.3+(724.6-553.4)+(0+(0-0))+0-0-0</f>
        <v>627.5</v>
      </c>
      <c r="V346" s="3">
        <f>452.9+(736.5-557.8)+(-0.461958+(-0.75123--0.568956))+0-0-0</f>
        <v>630.95576800000003</v>
      </c>
      <c r="W346" s="3">
        <f>391.7+(811.6-561.2)+(-0.399534+(-0.827832--0.572424))+0-0-0</f>
        <v>641.4450579999999</v>
      </c>
      <c r="X346" s="3">
        <f>415.1+(915.2-576.7)+(-0.635103+(-1.400256--0.882351))+0-0-0</f>
        <v>752.44699200000002</v>
      </c>
      <c r="Y346" s="3">
        <f>457.1+(941.9-585.9)+(-0.699363+(-1.441107--0.896427))+0-0-0</f>
        <v>811.85595699999999</v>
      </c>
      <c r="Z346" s="3">
        <f>458.1+(912.1-585.8)+(-0.467262+(-0.930342--0.597516))+0-0-0</f>
        <v>783.59991200000013</v>
      </c>
      <c r="AA346" s="3">
        <f>460.4+(879.9-581.9)+(-0.939216+(-1.794996--1.187076))+0-0-0</f>
        <v>756.85286399999995</v>
      </c>
      <c r="AB346" s="3">
        <f>460.7+(818.4-550.4)+(-1.409742+(-2.504304--1.684224))+0-0-0</f>
        <v>726.47017800000003</v>
      </c>
      <c r="AC346" s="3">
        <f>461.4+(751.6-535.2)+(-0.470628+(-0.766632--0.545904))+0-0-0</f>
        <v>677.10864399999991</v>
      </c>
      <c r="AD346">
        <f t="shared" si="5"/>
        <v>14942.449431999998</v>
      </c>
      <c r="AE346" s="3">
        <f>457+(959.1-609)+(0+(0-0))+0-0-0</f>
        <v>807.1</v>
      </c>
    </row>
    <row r="347" spans="1:31" s="2" customFormat="1" x14ac:dyDescent="0.25">
      <c r="A347">
        <v>89</v>
      </c>
      <c r="B347">
        <v>12</v>
      </c>
      <c r="C347">
        <v>11</v>
      </c>
      <c r="D347">
        <v>5</v>
      </c>
      <c r="E347">
        <v>1</v>
      </c>
      <c r="F347" s="3">
        <f>461.6+(676.8-529.6)+(-0.941664+(-1.380672--1.080384))+0-0-0</f>
        <v>607.55804799999999</v>
      </c>
      <c r="G347" s="3">
        <f>460.8+(647.5-542.5)+(-0.940032+(-1.3209--1.1067))+0-0-0</f>
        <v>564.64576799999998</v>
      </c>
      <c r="H347" s="3">
        <f>461.7+(604.1-529.7)+(-0.470934+(-0.616182--0.540294))+0-0-0</f>
        <v>535.55317799999989</v>
      </c>
      <c r="I347" s="3">
        <f>462.4+(582.2-517.7)+(-0.471648+(-0.593844--0.528054))+0-0-0</f>
        <v>526.36256200000003</v>
      </c>
      <c r="J347" s="3">
        <f>463.4+(568.6-504.5)+(0.709002+(0.869958-0.771885))+0-0-0</f>
        <v>528.30707500000005</v>
      </c>
      <c r="K347" s="3">
        <f>463.7+(596-523.5)+(-0.472974+(-0.60792--0.53397))+0-0-0</f>
        <v>535.65307600000006</v>
      </c>
      <c r="L347" s="3">
        <f>464.3+(614.8-543.7)+(0+(0-0))+0-0-0</f>
        <v>535.39999999999986</v>
      </c>
      <c r="M347" s="3">
        <f>528+(583.5-581.1)+(0.26928+(0.297585-0.296361))+0-0-0</f>
        <v>530.67050399999994</v>
      </c>
      <c r="N347" s="3">
        <f>615.1+(572.6-594.2)+(-0.313701+(-0.292026--0.303042))+0-0-0</f>
        <v>593.197315</v>
      </c>
      <c r="O347" s="3">
        <f>630.3+(601-576.7)+(0.642906+(0.61302-0.588234))+0-0-0</f>
        <v>655.2676919999999</v>
      </c>
      <c r="P347" s="3">
        <f>697.1+(534.6-559.2)+(-0.355521+(-0.272646--0.285192))+0-0-0</f>
        <v>672.15702499999998</v>
      </c>
      <c r="Q347" s="3">
        <f>710+(537.3-585.7)+(-0.7242+(-0.548046--0.597414))+0-0-0</f>
        <v>660.92516799999987</v>
      </c>
      <c r="R347" s="3">
        <f>673+(579.2-614.4)+(-0.68646+(-0.590784--0.626688))+0-0-0</f>
        <v>637.14944400000002</v>
      </c>
      <c r="S347" s="3">
        <f>741.7+(512.9-631.8)+(-0.378267+(-0.261579--0.322218))+0-0-0</f>
        <v>622.48237200000005</v>
      </c>
      <c r="T347" s="3">
        <f>740.1+(487.6-608.7)+(-0.754902+(-0.497352--0.620874))+0-0-0</f>
        <v>618.36861999999996</v>
      </c>
      <c r="U347" s="3">
        <f>743.7+(481.9-604.6)+(0.758574+(0.491538-0.616692))+0-0-0</f>
        <v>621.63342</v>
      </c>
      <c r="V347" s="3">
        <f>838.1+(408.4-614.3)+(-1.709724+(-0.833136--1.253172))+0-0-0</f>
        <v>630.91031200000009</v>
      </c>
      <c r="W347" s="3">
        <f>874.8+(390.1-675.6)+(-1.784592+(-0.795804--1.378224))+0-0-0</f>
        <v>588.09782799999994</v>
      </c>
      <c r="X347" s="3">
        <f>947.9+(455.2-647)+(-1.933716+(-0.928608--1.31988))+0-0-0</f>
        <v>754.55755599999986</v>
      </c>
      <c r="Y347" s="3">
        <f>965.2+(495.8-656.8)+(-2.46126+(-1.26429--1.67484))+0-0-0</f>
        <v>802.14929000000006</v>
      </c>
      <c r="Z347" s="3">
        <f>966.3+(480.9-658.5)+(-2.956878+(-1.471554--2.01501))+0-0-0</f>
        <v>786.28657799999996</v>
      </c>
      <c r="AA347" s="3">
        <f>973.7+(449.6-660.6)+(-0.496587+(-0.229296--0.336906))+0-0-0</f>
        <v>762.31102300000009</v>
      </c>
      <c r="AB347" s="3">
        <f>972.2+(412.6-659.4)+(-1.983288+(-0.841704--1.345176))+0-0-0</f>
        <v>723.92018400000006</v>
      </c>
      <c r="AC347" s="3">
        <f>956.6+(371.9-664.2)+(-2.43933+(-0.948345--1.69371))+0-0-0</f>
        <v>662.60603499999991</v>
      </c>
      <c r="AD347">
        <f t="shared" si="5"/>
        <v>15156.170072999998</v>
      </c>
      <c r="AE347" s="3">
        <f>964+(505.2-662.6)+(0+(0-0))+0-0-0</f>
        <v>806.59999999999991</v>
      </c>
    </row>
    <row r="348" spans="1:31" s="2" customFormat="1" x14ac:dyDescent="0.25">
      <c r="A348">
        <v>89</v>
      </c>
      <c r="B348">
        <v>12</v>
      </c>
      <c r="C348">
        <v>12</v>
      </c>
      <c r="D348">
        <v>6</v>
      </c>
      <c r="E348">
        <v>1</v>
      </c>
      <c r="F348" s="3">
        <f>969.4+(303.2-658.1)+(-2.47197+(-0.77316--1.678155))+0-0-0</f>
        <v>612.93302500000004</v>
      </c>
      <c r="G348" s="3">
        <f>816.3+(346.7-579.6)+(-1.248939+(-0.530451--0.886788))+0-0-0</f>
        <v>582.50739799999985</v>
      </c>
      <c r="H348" s="3">
        <f>661.2+(447.6-566.5)+(-0.337212+(-0.228276--0.288915))+0-0-0</f>
        <v>542.02342700000008</v>
      </c>
      <c r="I348" s="3">
        <f>656.6+(416.8-534.8)+(-1.67433+(-1.06284--1.36374))+0-0-0</f>
        <v>537.22657000000015</v>
      </c>
      <c r="J348" s="3">
        <f>665.5+(414.5-543.7)+(1.697025+(1.056975-1.386435))+0-0-0</f>
        <v>537.66756499999997</v>
      </c>
      <c r="K348" s="3">
        <f>663.8+(452.9-562.3)+(0.677076+(0.461958-0.573546))+0-0-0</f>
        <v>554.96548799999994</v>
      </c>
      <c r="L348" s="3">
        <f>651.3+(476.4-607.2)+(-0.332163+(-0.242964--0.309672))+0-0-0</f>
        <v>520.23454499999991</v>
      </c>
      <c r="M348" s="3">
        <f>673+(501.8-633.8)+(0.34323+(0.255918-0.323238))+0-0-0</f>
        <v>541.27590999999995</v>
      </c>
      <c r="N348" s="3">
        <f>770.3+(439.9-620.6)+(0.785706+(0.448698-0.633012))+0-0-0</f>
        <v>590.20139199999994</v>
      </c>
      <c r="O348" s="3">
        <f>828.3+(437.6-607.1)+(0+(0-0))+0-0-0</f>
        <v>658.8</v>
      </c>
      <c r="P348" s="3">
        <f>727.4+(554.8-632.1)+(0.741948+(0.565896-0.644742))+0-0-0</f>
        <v>650.76310199999989</v>
      </c>
      <c r="Q348" s="3">
        <f>721.3+(564.5-633.3)+(0.367863+(0.287895-0.322983))+0-0-0</f>
        <v>652.83277499999997</v>
      </c>
      <c r="R348" s="3">
        <f>719.4+(509.7-606.8)+(-0.733788+(-0.519894--0.618936))+0-0-0</f>
        <v>621.665254</v>
      </c>
      <c r="S348" s="3">
        <f>717.7+(516.6-621.2)+(-2.196162+(-1.580796--1.900872))+0-0-0</f>
        <v>611.22391400000004</v>
      </c>
      <c r="T348" s="3">
        <f>755.7+(478.7-626.7)+(-1.541628+(-0.976548--1.278468))+0-0-0</f>
        <v>606.46029200000009</v>
      </c>
      <c r="U348" s="3">
        <f>673.3+(515.5-587.9)+(0+(0-0))+0-0-0</f>
        <v>600.9</v>
      </c>
      <c r="V348" s="3">
        <f>602.8+(566.1-592.6)+(-0.614856+(-0.577422--0.604452))+0-0-0</f>
        <v>575.712174</v>
      </c>
      <c r="W348" s="3">
        <f>733.3+(457.2-575.8)+(0.373983+(0.233172-0.293658))+0-0-0</f>
        <v>615.01349700000003</v>
      </c>
      <c r="X348" s="3">
        <f>819.9+(508.5-610.7)+(-0.418149+(-0.259335--0.311457))+0-0-0</f>
        <v>717.3339729999999</v>
      </c>
      <c r="Y348" s="3">
        <f>772.6+(612.3-626.5)+(-2.364156+(-1.873638--1.91709))+0-0-0</f>
        <v>756.079296</v>
      </c>
      <c r="Z348" s="3">
        <f>819.7+(562.4-619.8)+(-0.836094+(-0.573648--0.632196))+0-0-0</f>
        <v>761.52245400000004</v>
      </c>
      <c r="AA348" s="3">
        <f>832.4+(519.9-645.2)+(-1.273572+(-0.795447--0.987156))+0-0-0</f>
        <v>706.01813699999991</v>
      </c>
      <c r="AB348" s="3">
        <f>825.9+(493.7-648.7)+(-2.106045+(-1.258935--1.654185))+0-0-0</f>
        <v>669.1892049999999</v>
      </c>
      <c r="AC348" s="3">
        <f>814.1+(436.3-613.2)+(-2.075955+(-1.112565--1.56366))+0-0-0</f>
        <v>635.57514000000003</v>
      </c>
      <c r="AD348">
        <f t="shared" si="5"/>
        <v>14858.124533</v>
      </c>
      <c r="AE348" s="3">
        <f>855+(577.1-646.3)+(0+(0-0))+0-0-0</f>
        <v>785.80000000000007</v>
      </c>
    </row>
    <row r="349" spans="1:31" s="2" customFormat="1" x14ac:dyDescent="0.25">
      <c r="A349">
        <v>89</v>
      </c>
      <c r="B349">
        <v>12</v>
      </c>
      <c r="C349">
        <v>13</v>
      </c>
      <c r="D349">
        <v>7</v>
      </c>
      <c r="E349">
        <v>1</v>
      </c>
      <c r="F349" s="3">
        <f>815.6+(363.7-591.2)+(-2.07978+(-0.927435--1.50756))+0-0-0</f>
        <v>586.60034499999995</v>
      </c>
      <c r="G349" s="3">
        <f>814.2+(307-549.9)+(-1.245726+(-0.46971--0.841347))+0-0-0</f>
        <v>570.42591100000004</v>
      </c>
      <c r="H349" s="3">
        <f>778.3+(316-550.3)+(-1.587732+(-0.64464--1.122612))+0-0-0</f>
        <v>542.89023999999995</v>
      </c>
      <c r="I349" s="3">
        <f>663.1+(404.9-544.6)+(1.014543+(0.619497-0.833238))+0-0-0</f>
        <v>524.20080199999995</v>
      </c>
      <c r="J349" s="3">
        <f>594.7+(468.1-562.8)+(0.303297+(0.238731-0.287028))+0-0-0</f>
        <v>500.25500000000011</v>
      </c>
      <c r="K349" s="3">
        <f>597.9+(471.6-564.1)+(0.609858+(0.481032-0.575382))+0-0-0</f>
        <v>505.91550799999999</v>
      </c>
      <c r="L349" s="3">
        <f>590.5+(483.5-561.7)+(-1.20462+(-0.98634--1.145868))+0-0-0</f>
        <v>511.25490799999994</v>
      </c>
      <c r="M349" s="3">
        <f>624+(447.4-564.5)+(0.31824+(0.228174-0.287895))+0-0-0</f>
        <v>507.15851899999996</v>
      </c>
      <c r="N349" s="3">
        <f>776.1+(369.4-601.6)+(0+(0-0))+0-0-0</f>
        <v>543.9</v>
      </c>
      <c r="O349" s="3">
        <f>838.9+(380-623.8)+(0+(0-0))+0-0-0</f>
        <v>595.1</v>
      </c>
      <c r="P349" s="3">
        <f>822+(426-637.7)+(0.41922+(0.21726-0.325227))+0-0-0</f>
        <v>610.61125299999992</v>
      </c>
      <c r="Q349" s="3">
        <f>840.4+(435.3-634.2)+(0+(0-0))+0-0-0</f>
        <v>641.5</v>
      </c>
      <c r="R349" s="3">
        <f>821.1+(415.4-641.3)+(0+(0-0))+0-0-0</f>
        <v>595.20000000000005</v>
      </c>
      <c r="S349" s="3">
        <f>816.1+(414.2-647.5)+(0+(0-0))+0-0-0</f>
        <v>582.79999999999995</v>
      </c>
      <c r="T349" s="3">
        <f>820.8+(416.4-644.4)+(0+(0-0))+0-0-0</f>
        <v>592.79999999999995</v>
      </c>
      <c r="U349" s="3">
        <f>746.9+(476.3-645.2)+(0+(0-0))+0-0-0</f>
        <v>578</v>
      </c>
      <c r="V349" s="3">
        <f>742.1+(470.1-631.6)+(0+(0-0))+0-0-0</f>
        <v>580.6</v>
      </c>
      <c r="W349" s="3">
        <f>743.4+(475.4-629.7)+(0+(0-0))+0-0-0</f>
        <v>589.09999999999991</v>
      </c>
      <c r="X349" s="3">
        <f>813.5+(530.7-639.4)+(0+(0-0))+0-0-0</f>
        <v>704.80000000000007</v>
      </c>
      <c r="Y349" s="3">
        <f>830.1+(585.1-638.2)+(0+(0-0))+0-0-0</f>
        <v>777</v>
      </c>
      <c r="Z349" s="3">
        <f>745.7+(673.4-663.1)+(0+(0-0))+0-0-0</f>
        <v>756</v>
      </c>
      <c r="AA349" s="3">
        <f>663+(740.2-682.8)+(0+(0-0))+0-0-0</f>
        <v>720.40000000000009</v>
      </c>
      <c r="AB349" s="3">
        <f>658.8+(696.1-654)+(0+(0-0))+0-0-0</f>
        <v>700.9</v>
      </c>
      <c r="AC349" s="3">
        <f>659.3+(580.4-591.5)+(0+(0-0))+0-0-0</f>
        <v>648.19999999999993</v>
      </c>
      <c r="AD349">
        <f t="shared" si="5"/>
        <v>14465.612486</v>
      </c>
      <c r="AE349" s="3">
        <f>833+(606.1-629.9)+(0+(0-0))+0-0-0</f>
        <v>809.2</v>
      </c>
    </row>
    <row r="350" spans="1:31" s="2" customFormat="1" x14ac:dyDescent="0.25">
      <c r="A350">
        <v>89</v>
      </c>
      <c r="B350">
        <v>12</v>
      </c>
      <c r="C350">
        <v>14</v>
      </c>
      <c r="D350">
        <v>1</v>
      </c>
      <c r="E350">
        <v>1</v>
      </c>
      <c r="F350" s="3">
        <f>659.8+(529-590.5)+(-1.009494+(-0.80937--0.903465))+0-0-0</f>
        <v>597.38460099999998</v>
      </c>
      <c r="G350" s="3">
        <f>664.6+(469.1-577.8)+(1.016838+(0.717723-0.884034))+0-0-0</f>
        <v>556.75052700000015</v>
      </c>
      <c r="H350" s="3">
        <f>664.5+(418.4-550.2)+(0+(0-0))+0-0-0</f>
        <v>532.69999999999993</v>
      </c>
      <c r="I350" s="3">
        <f>623.7+(414.8-512.1)+(1.590435+(1.05774-1.305855))+0-0-0</f>
        <v>527.74232000000006</v>
      </c>
      <c r="J350" s="3">
        <f>607.6+(413-493.2)+(1.859256+(1.26378-1.509192))+0-0-0</f>
        <v>529.01384400000006</v>
      </c>
      <c r="K350" s="3">
        <f>693.8+(349-508.3)+(0+(0-0))+0-0-0</f>
        <v>534.5</v>
      </c>
      <c r="L350" s="3">
        <f>738.8+(363.4-534.2)+(0+(0-0))+0-0-0</f>
        <v>567.99999999999989</v>
      </c>
      <c r="M350" s="3">
        <f>805.3+(333.6-545.9)+(0+(0-0))+0-0-0</f>
        <v>593</v>
      </c>
      <c r="N350" s="3">
        <f>965.1+(287.4-615.4)+(0+(0-0))+0-0-0</f>
        <v>637.1</v>
      </c>
      <c r="O350" s="3">
        <f>966.7+(349.2-633)+(0+(0-0))+0-0-0</f>
        <v>682.90000000000009</v>
      </c>
      <c r="P350" s="3">
        <f>963.7+(382.2-619.8)+(0+(0-0))+0-0-0</f>
        <v>726.10000000000014</v>
      </c>
      <c r="Q350" s="3">
        <f>950.5+(389.5-613.2)+(0+(0-0))+0-0-0</f>
        <v>726.8</v>
      </c>
      <c r="R350" s="3">
        <f>943.9+(306.6-608.7)+(0+(0-0))+0-0-0</f>
        <v>641.79999999999995</v>
      </c>
      <c r="S350" s="3">
        <f>942.8+(332.7-644.2)+(0+(0-0))+0-0-0</f>
        <v>631.29999999999995</v>
      </c>
      <c r="T350" s="3">
        <f>949.2+(326.6-636.9)+(0+(0-0))+0-0-0</f>
        <v>638.90000000000009</v>
      </c>
      <c r="U350" s="3">
        <f>948.9+(284.4-594.5)+(0+(0-0))+0-0-0</f>
        <v>638.79999999999995</v>
      </c>
      <c r="V350" s="3">
        <f>949.8+(286.4-580.3)+(0+(0-0))+0-0-0</f>
        <v>655.9</v>
      </c>
      <c r="W350" s="3">
        <f>981.4+(288.3-618.5)+(0+(0-0))+0-0-0</f>
        <v>651.20000000000005</v>
      </c>
      <c r="X350" s="3">
        <f>1070.5+(308.2-611.3)+(0+(0-0))+0-0-0</f>
        <v>767.40000000000009</v>
      </c>
      <c r="Y350" s="3">
        <f>1091.7+(375.1-643.6)+(0+(0-0))+0-0-0</f>
        <v>823.2</v>
      </c>
      <c r="Z350" s="3">
        <f>1031.9+(402.8-637.8)+(0+(0-0))+0-0-0</f>
        <v>796.90000000000009</v>
      </c>
      <c r="AA350" s="3">
        <f>1059.4+(380.9-658.2)+(0+(0-0))+0-0-0</f>
        <v>782.1</v>
      </c>
      <c r="AB350" s="3">
        <f>983.2+(386.3-617.2)+(0+(0-0))+0-0-0</f>
        <v>752.3</v>
      </c>
      <c r="AC350" s="3">
        <f>983.2+(302.8-590.7)+(0+(0-0))+0-0-0</f>
        <v>695.3</v>
      </c>
      <c r="AD350">
        <f t="shared" si="5"/>
        <v>15687.091291999999</v>
      </c>
      <c r="AE350" s="3">
        <f>1090+(399.4-658.8)+(0+(0-0))+0-0-0</f>
        <v>830.6</v>
      </c>
    </row>
    <row r="351" spans="1:31" s="2" customFormat="1" x14ac:dyDescent="0.25">
      <c r="A351">
        <v>89</v>
      </c>
      <c r="B351">
        <v>12</v>
      </c>
      <c r="C351">
        <v>15</v>
      </c>
      <c r="D351">
        <v>2</v>
      </c>
      <c r="E351">
        <v>1</v>
      </c>
      <c r="F351" s="3">
        <f>984.5+(259.1-633.9)+(0+(0-0))+0-0-0</f>
        <v>609.70000000000005</v>
      </c>
      <c r="G351" s="3">
        <f>966.1+(189.9-586.4)+(0+(0-0))+0-0-0</f>
        <v>569.6</v>
      </c>
      <c r="H351" s="3">
        <f>797.6+(306.5-553.2)+(0+(0-0))+0-0-0</f>
        <v>550.9</v>
      </c>
      <c r="I351" s="3">
        <f>773+(296.2-522.3)+(0+(0-0))+0-0-0</f>
        <v>546.90000000000009</v>
      </c>
      <c r="J351" s="3">
        <f>780+(304.2-532.5)+(0+(0-0))+0-0-0</f>
        <v>551.70000000000005</v>
      </c>
      <c r="K351" s="3">
        <f>783.8+(307.5-537.5)+(0+(0-0))+0-0-0</f>
        <v>553.79999999999995</v>
      </c>
      <c r="L351" s="3">
        <f>694.9+(407.9-529.1)+(0+(0-0))+0-0-0</f>
        <v>573.69999999999993</v>
      </c>
      <c r="M351" s="3">
        <f>658.7+(433.1-540.2)+(0+(0-0))+0-0-0</f>
        <v>551.6</v>
      </c>
      <c r="N351" s="3">
        <f>977.8+(220.1-572.6)+(0+(0-0))+0-0-0</f>
        <v>625.29999999999995</v>
      </c>
      <c r="O351" s="3">
        <f>999.1+(259.8-596.3)+(0+(0-0))+0-0-0</f>
        <v>662.60000000000014</v>
      </c>
      <c r="P351" s="3">
        <f>1008.1+(279.9-614.9)+(0+(0-0))+0-0-0</f>
        <v>673.1</v>
      </c>
      <c r="Q351" s="3">
        <f>984+(316.9-626.1)+(0+(0-0))+0-0-0</f>
        <v>674.8</v>
      </c>
      <c r="R351" s="3">
        <f>960.6+(289.7-578.7)+(-1.959624+(-0.590988--1.180548))+0-0-0</f>
        <v>670.22993599999995</v>
      </c>
      <c r="S351" s="3">
        <f>838.1+(410.8-601.2)+(-0.427431+(-0.209508--0.306612))+0-0-0</f>
        <v>647.36967300000003</v>
      </c>
      <c r="T351" s="3">
        <f>793.7+(444.1-593.1)+(-1.214361+(-0.679473--0.907443))+0-0-0</f>
        <v>643.71360900000002</v>
      </c>
      <c r="U351" s="3">
        <f>790.8+(438.6-570.5)+(-0.806616+(-0.447372--0.58191))+0-0-0</f>
        <v>658.22792199999992</v>
      </c>
      <c r="V351" s="3">
        <f>797+(426.4-567.3)+(-0.81294+(-0.434928--0.578646))+0-0-0</f>
        <v>655.43077800000003</v>
      </c>
      <c r="W351" s="3">
        <f>905+(339.1-574.9)+(-2.7693+(-1.037646--1.759194))+0-0-0</f>
        <v>667.1522480000001</v>
      </c>
      <c r="X351" s="3">
        <f>961+(402.3-586)+(-0.98022+(-0.410346--0.59772))+0-0-0</f>
        <v>776.5071539999999</v>
      </c>
      <c r="Y351" s="3">
        <f>990.2+(432-581.4)+(-2.52501+(-1.1016--1.48257))+0-0-0</f>
        <v>838.65596000000005</v>
      </c>
      <c r="Z351" s="3">
        <f>1087.9+(381.7-714.7)+(-2.774145+(-0.973335--1.822485))+0-0-0</f>
        <v>752.97500500000012</v>
      </c>
      <c r="AA351" s="3">
        <f>1083.7+(383.2-658.5)+(-1.658061+(-0.586296--1.007505))+0-0-0</f>
        <v>807.16314800000009</v>
      </c>
      <c r="AB351" s="3">
        <f>953.8+(477.4-647.5)+(-0.486438+(-0.243474--0.330225))+0-0-0</f>
        <v>783.30031299999996</v>
      </c>
      <c r="AC351" s="3">
        <f>927.2+(514.6-641.4)+(-2.36436+(-1.31223--1.63557))+0-0-0</f>
        <v>798.35898000000009</v>
      </c>
      <c r="AD351">
        <f t="shared" si="5"/>
        <v>15842.784726000002</v>
      </c>
      <c r="AE351" s="3">
        <f>969+(477.9-601.5)+(0+(0-0))+0-0-0</f>
        <v>845.4</v>
      </c>
    </row>
    <row r="352" spans="1:31" s="2" customFormat="1" x14ac:dyDescent="0.25">
      <c r="A352">
        <v>89</v>
      </c>
      <c r="B352">
        <v>12</v>
      </c>
      <c r="C352">
        <v>16</v>
      </c>
      <c r="D352">
        <v>3</v>
      </c>
      <c r="E352">
        <v>1</v>
      </c>
      <c r="F352" s="3">
        <f>923.9+(346.9-605.2)+(-1.413567+(-0.530757--0.925956))+0-0-0</f>
        <v>664.5816319999999</v>
      </c>
      <c r="G352" s="3">
        <f>816.5+(327.8-569.8)+(-1.66566+(-0.668712--1.162392))+0-0-0</f>
        <v>573.32802000000004</v>
      </c>
      <c r="H352" s="3">
        <f>816.3+(306.2-563.7)+(0.416313+(0.156162-0.287487))+0-0-0</f>
        <v>559.08498799999995</v>
      </c>
      <c r="I352" s="3">
        <f>815.9+(272.5-541.6)+(0.416109+(0.138975-0.276216))+0-0-0</f>
        <v>547.07886799999994</v>
      </c>
      <c r="J352" s="3">
        <f>825.8+(278.6-536.4)+(-0.842316+(-0.284172--0.547128))+0-0-0</f>
        <v>567.42064000000005</v>
      </c>
      <c r="K352" s="3">
        <f>879.8+(216.3-544.1)+(2.24349+(0.551565-1.387455))+0-0-0</f>
        <v>553.4076</v>
      </c>
      <c r="L352" s="3">
        <f>926.1+(238.1-581.3)+(0+(0-0))+0-0-0</f>
        <v>582.90000000000009</v>
      </c>
      <c r="M352" s="3">
        <f>979.9+(214-600.1)+(0+(0-0))+0-0-0</f>
        <v>593.79999999999995</v>
      </c>
      <c r="N352" s="3">
        <f>1033.4+(239.3-614.8)+(0+(0-0))+0-0-0</f>
        <v>657.90000000000009</v>
      </c>
      <c r="O352" s="3">
        <f>1028.2+(251.3-619.5)+(0+(0-0))+0-0-0</f>
        <v>660</v>
      </c>
      <c r="P352" s="3">
        <f>1021.9+(276.3-583.8)+(0+(0-0))+0-0-0</f>
        <v>714.40000000000009</v>
      </c>
      <c r="Q352" s="3">
        <f>1009.4+(281.9-574.4)+(0+(0-0))+0-0-0</f>
        <v>716.9</v>
      </c>
      <c r="R352" s="3">
        <f>1003.9+(274.4-598.4)+(0+(0-0))+0-0-0</f>
        <v>679.9</v>
      </c>
      <c r="S352" s="3">
        <f>1003.4+(236.2-564.8)+(-0.511734+(-0.120462--0.288048))+0-0-0</f>
        <v>674.45585199999994</v>
      </c>
      <c r="T352" s="3">
        <f>992.4+(237.7-560.2)+(-1.012248+(-0.242454--0.571404))+0-0-0</f>
        <v>669.21670199999983</v>
      </c>
      <c r="U352" s="3">
        <f>1004.5+(216.8-547.9)+(1.536885+(0.331704-0.838287))+0-0-0</f>
        <v>674.4303020000001</v>
      </c>
      <c r="V352" s="3">
        <f>1004.1+(201.1-520.8)+(-2.048364+(-0.410244--1.062432))+0-0-0</f>
        <v>683.00382400000012</v>
      </c>
      <c r="W352" s="3">
        <f>1003.8+(231.9-562.8)+(-3.071628+(-0.709614--1.722168))+0-0-0</f>
        <v>670.84092599999997</v>
      </c>
      <c r="X352" s="3">
        <f>1011.5+(345.8-581.5)+(-1.03173+(-0.352716--0.59313))+0-0-0</f>
        <v>775.0086839999999</v>
      </c>
      <c r="Y352" s="3">
        <f>1009.5+(471.3-646.4)+(-1.544535+(-0.721089--0.988992))+0-0-0</f>
        <v>833.12336800000014</v>
      </c>
      <c r="Z352" s="3">
        <f>1004.2+(411-602.7)+(-3.584994+(-1.46727--2.151639))+0-0-0</f>
        <v>809.59937500000001</v>
      </c>
      <c r="AA352" s="3">
        <f>1009+(398.9-608.3)+(-2.05836+(-0.813756--1.240932))+0-0-0</f>
        <v>797.96881600000006</v>
      </c>
      <c r="AB352" s="3">
        <f>990.6+(373.9-597.5)+(-1.515618+(-0.572067--0.914175))+0-0-0</f>
        <v>765.82649000000004</v>
      </c>
      <c r="AC352" s="3">
        <f>851+(352.7-513.2)+(-2.17005+(-0.899385--1.30866))+0-0-0</f>
        <v>688.73922500000003</v>
      </c>
      <c r="AD352">
        <f t="shared" si="5"/>
        <v>16112.915311999999</v>
      </c>
      <c r="AE352" s="3">
        <f>1012+(444.3-611)+(0+(0-0))+0-0-0</f>
        <v>845.3</v>
      </c>
    </row>
    <row r="353" spans="1:31" s="2" customFormat="1" x14ac:dyDescent="0.25">
      <c r="A353">
        <v>89</v>
      </c>
      <c r="B353">
        <v>12</v>
      </c>
      <c r="C353">
        <v>17</v>
      </c>
      <c r="D353">
        <v>4</v>
      </c>
      <c r="E353">
        <v>1</v>
      </c>
      <c r="F353" s="3">
        <f>730.6+(349.4-446.1)+(-1.86303+(-0.89097--1.137555))+0-0-0</f>
        <v>632.28355499999998</v>
      </c>
      <c r="G353" s="3">
        <f>637.4+(373.8-421.3)+(-1.950444+(-1.143828--1.289178))+0-0-0</f>
        <v>588.09490599999992</v>
      </c>
      <c r="H353" s="3">
        <f>564.5+(373.4-373.3)+(-0.57579+(-0.380868--0.380766))+0-0-0</f>
        <v>564.02410799999996</v>
      </c>
      <c r="I353" s="3">
        <f>522.6+(366.3-317.9)+(0.266526+(0.186813-0.162129))+0-0-0</f>
        <v>571.29120999999998</v>
      </c>
      <c r="J353" s="3">
        <f>481.6+(375.8-293.6)+(-0.245616+(-0.191658--0.149736))+0-0-0</f>
        <v>563.51246199999991</v>
      </c>
      <c r="K353" s="3">
        <f>481.3+(382.5-285.8)+(0.490926+(0.39015-0.291516))+0-0-0</f>
        <v>578.58956000000001</v>
      </c>
      <c r="L353" s="3">
        <f>488.6+(441.4-339)+(-0.498372+(-0.450228--0.34578))+0-0-0</f>
        <v>590.39718000000005</v>
      </c>
      <c r="M353" s="3">
        <f>675+(369.3-424.6)+(-0.34425+(-0.188343--0.216546))+0-0-0</f>
        <v>619.38395300000002</v>
      </c>
      <c r="N353" s="3">
        <f>762.9+(404.5-481.6)+(-0.389079+(-0.206295--0.245616))+0-0-0</f>
        <v>685.450242</v>
      </c>
      <c r="O353" s="3">
        <f>778.4+(446.2-475.8)+(-0.793968+(-0.455124--0.485316))+0-0-0</f>
        <v>748.03622399999995</v>
      </c>
      <c r="P353" s="3">
        <f>806.1+(314.1-369.4)+(-1.233333+(-0.480573--0.565182))+0-0-0</f>
        <v>749.65127600000005</v>
      </c>
      <c r="Q353" s="3">
        <f>810.5+(139.5-182.3)+(-0.413355+(-0.071145--0.092973))+0-0-0</f>
        <v>767.30847300000005</v>
      </c>
      <c r="R353" s="3">
        <f>811+(68.1-196.8)+(-0.82722+(-0.069462--0.200736))+0-0-0</f>
        <v>681.60405399999991</v>
      </c>
      <c r="S353" s="3">
        <f>729.4+(132.9-197.9)+(-0.743988+(-0.135558--0.201858))+0-0-0</f>
        <v>663.72231199999999</v>
      </c>
      <c r="T353" s="3">
        <f>725.5+(162.2-239.7)+(-0.74001+(-0.165444--0.244494))+0-0-0</f>
        <v>647.33903999999995</v>
      </c>
      <c r="U353" s="3">
        <f>730.7+(157.3-232.4)+(-0.372657+(-0.080223--0.118524))+0-0-0</f>
        <v>655.26564400000007</v>
      </c>
      <c r="V353" s="3">
        <f>729.6+(185.9-251.7)+(0+(0-0))+0-0-0</f>
        <v>663.80000000000007</v>
      </c>
      <c r="W353" s="3">
        <f>721.6+(144-199.7)+(-1.84008+(-0.3672--0.509235))+0-0-0</f>
        <v>664.20195500000011</v>
      </c>
      <c r="X353" s="3">
        <f>728.5+(316.2-289.2)+(-0.371535+(-0.161262--0.147492))+0-0-0</f>
        <v>755.11469499999998</v>
      </c>
      <c r="Y353" s="3">
        <f>722.2+(399.7-334.9)+(-1.473288+(-0.815388--0.683196))+0-0-0</f>
        <v>785.39452000000006</v>
      </c>
      <c r="Z353" s="3">
        <f>733.7+(347-316.1)+(1.122561+(0.53091-0.483633))+0-0-0</f>
        <v>765.76983800000005</v>
      </c>
      <c r="AA353" s="3">
        <f>729.3+(326.9-310.7)+(0.371943+(0.166719-0.158457))+0-0-0</f>
        <v>745.88020500000005</v>
      </c>
      <c r="AB353" s="3">
        <f>724.6+(248.2-246.3)+(-1.478184+(-0.506328--0.502452))+0-0-0</f>
        <v>725.01793999999995</v>
      </c>
      <c r="AC353" s="3">
        <f>720.7+(174.3-218.4)+(-1.470228+(-0.355572--0.445536))+0-0-0</f>
        <v>675.21973600000001</v>
      </c>
      <c r="AD353">
        <f t="shared" si="5"/>
        <v>16086.353088</v>
      </c>
      <c r="AE353" s="3">
        <f>730+(406.8-332.9)+(0+(0-0))+0-0-0</f>
        <v>803.90000000000009</v>
      </c>
    </row>
    <row r="354" spans="1:31" s="2" customFormat="1" x14ac:dyDescent="0.25">
      <c r="A354">
        <v>89</v>
      </c>
      <c r="B354">
        <v>12</v>
      </c>
      <c r="C354">
        <v>18</v>
      </c>
      <c r="D354">
        <v>5</v>
      </c>
      <c r="E354">
        <v>1</v>
      </c>
      <c r="F354" s="3">
        <f>726.3+(131.5-291.2)+(-1.111239+(-0.201195--0.445536))+0-0-0</f>
        <v>565.73310199999992</v>
      </c>
      <c r="G354" s="3">
        <f>584.1+(161.4-236)+(-1.489455+(-0.41157--0.6018))+0-0-0</f>
        <v>508.20077500000002</v>
      </c>
      <c r="H354" s="3">
        <f>543.1+(129.6-168)+(-0.276981+(-0.066096--0.08568))+0-0-0</f>
        <v>504.44260300000002</v>
      </c>
      <c r="I354" s="3">
        <f>543.2+(121-169.5)+(-1.108128+(-0.24684--0.34578))+0-0-0</f>
        <v>493.69081200000005</v>
      </c>
      <c r="J354" s="3">
        <f>542.4+(115.1-168.3)+(-0.553248+(-0.117402--0.171666))+0-0-0</f>
        <v>488.70101599999992</v>
      </c>
      <c r="K354" s="3">
        <f>543.1+(117.6-162.8)+(-0.553962+(-0.119952--0.166056))+0-0-0</f>
        <v>497.39214199999998</v>
      </c>
      <c r="L354" s="3">
        <f>540+(128.9-173.1)+(0+(0-0))+0-0-0</f>
        <v>495.8</v>
      </c>
      <c r="M354" s="3">
        <f>592.9+(132.1-209.8)+(-0.302379+(-0.067371--0.106998))+0-0-0</f>
        <v>514.93724799999995</v>
      </c>
      <c r="N354" s="3">
        <f>652.8+(198.3-292.5)+(0.665856+(0.202266-0.29835))+0-0-0</f>
        <v>559.16977199999985</v>
      </c>
      <c r="O354" s="3">
        <f>787.8+(213.7-389.4)+(-0.401778+(-0.108987--0.198594))+3-0-0</f>
        <v>614.78782899999987</v>
      </c>
      <c r="P354" s="3">
        <f>811.1+(264.7-456.2)+(-1.240983+(-0.404991--0.697986))+0-0-0</f>
        <v>618.65201200000001</v>
      </c>
      <c r="Q354" s="3">
        <f>812.3+(253.7-437.1)+(-1.242819+(-0.388161--0.668763))+0-0-0</f>
        <v>627.93778299999985</v>
      </c>
      <c r="R354" s="3">
        <f>791.4+(226.2-407.5)+(-2.01807+(-0.57681--1.039125))+0-0-0</f>
        <v>608.54424499999993</v>
      </c>
      <c r="S354" s="3">
        <f>677.4+(290.2-379.8)+(-1.381896+(-0.592008--0.774792))+0-0-0</f>
        <v>586.60088799999994</v>
      </c>
      <c r="T354" s="3">
        <f>664.4+(273.9-358.5)+(-0.677688+(-0.279378--0.36567))+0-0-0</f>
        <v>579.20860399999992</v>
      </c>
      <c r="U354" s="3">
        <f>663.5+(254.5-324.8)+(-1.35354+(-0.51918--0.662592))+0-0-0</f>
        <v>591.98987199999999</v>
      </c>
      <c r="V354" s="3">
        <f>669.2+(216.5-258.7)+(0.341292+(0.110415-0.131937))+0-0-0</f>
        <v>627.31976999999995</v>
      </c>
      <c r="W354" s="3">
        <f>664.3+(195.3-234.2)+(-1.355172+(-0.398412--0.477768))+0-0-0</f>
        <v>624.12418400000001</v>
      </c>
      <c r="X354" s="3">
        <f>739.9+(234.9-295.4)+(-0.754698+(-0.239598--0.301308))+0-0-0</f>
        <v>678.70701199999996</v>
      </c>
      <c r="Y354" s="3">
        <f>778.4+(305.4-379.7)+(-1.98492+(-0.77877--0.968235))+0-0-0</f>
        <v>702.30454499999996</v>
      </c>
      <c r="Z354" s="3">
        <f>683.7+(382.8-399.4)+(0+(0-0))+0-0-0</f>
        <v>667.10000000000014</v>
      </c>
      <c r="AA354" s="3">
        <f>630.1+(373.4-330.2)+(-0.642702+(-0.380868--0.336804))+0-0-0</f>
        <v>672.61323399999992</v>
      </c>
      <c r="AB354" s="3">
        <f>497.3+(423.6-301.6)+(-1.268115+(-1.08018--0.76908))+0-0-0</f>
        <v>617.72078499999998</v>
      </c>
      <c r="AC354" s="3">
        <f>453.4+(452.8-329.5)+(-0.462468+(-0.461856--0.33609))+0-0-0</f>
        <v>576.11176599999999</v>
      </c>
      <c r="AD354">
        <f t="shared" si="5"/>
        <v>14021.789998999999</v>
      </c>
      <c r="AE354" s="3">
        <f>810+(297.6-307.8)+(0+(0-0))+0-0-0</f>
        <v>799.8</v>
      </c>
    </row>
    <row r="355" spans="1:31" s="2" customFormat="1" x14ac:dyDescent="0.25">
      <c r="A355">
        <v>89</v>
      </c>
      <c r="B355">
        <v>12</v>
      </c>
      <c r="C355">
        <v>19</v>
      </c>
      <c r="D355">
        <v>6</v>
      </c>
      <c r="E355">
        <v>1</v>
      </c>
      <c r="F355" s="3">
        <f>454.5+(345.7-192.6)+(0+(0-0))+0-0-0</f>
        <v>607.6</v>
      </c>
      <c r="G355" s="3">
        <f>353.1+(376.4-152.1)+(0+(0-0))+0-0-0</f>
        <v>577.4</v>
      </c>
      <c r="H355" s="3">
        <f>217+(401.8-98.9)+(0+(0-0))+0-0-0</f>
        <v>519.9</v>
      </c>
      <c r="I355" s="3">
        <f>214+(381-87.3)+(0+(0-0))+0-0-0</f>
        <v>507.7</v>
      </c>
      <c r="J355" s="3">
        <f>213+(381.5-82.4)+(0+(0-0))+0-0-0</f>
        <v>512.1</v>
      </c>
      <c r="K355" s="3">
        <f>243+(360.9-85.3)+(0+(0-0))+0-0-0</f>
        <v>518.59999999999991</v>
      </c>
      <c r="L355" s="3">
        <f>350+(286.7-98.1)+(0+(0-0))+0-0-0</f>
        <v>538.6</v>
      </c>
      <c r="M355" s="3">
        <f>421.6+(278.7-135.1)+(0+(0-0))+0-0-0</f>
        <v>565.20000000000005</v>
      </c>
      <c r="N355" s="3">
        <f>451.1+(355.1-203.6)+(0+(0-0))+0-0-0</f>
        <v>602.6</v>
      </c>
      <c r="O355" s="3">
        <f>450.7+(422.6-213.6)+(0+(0-0))+0-0-0</f>
        <v>659.7</v>
      </c>
      <c r="P355" s="3">
        <f>449.6+(403.5-183.5)+(0+(0-0))+0-0-0</f>
        <v>669.6</v>
      </c>
      <c r="Q355" s="3">
        <f>448+(409.2-194.8)+(0+(0-0))+0-0-0</f>
        <v>662.4</v>
      </c>
      <c r="R355" s="3">
        <f>448.1+(348.9-172.8)+(-1.142655+(-0.889695--0.44064))+0-0-0</f>
        <v>622.60829000000001</v>
      </c>
      <c r="S355" s="3">
        <f>448.2+(275.1-128.3)+(0.685746+(0.420903-0.196299))+0-0-0</f>
        <v>595.91034999999999</v>
      </c>
      <c r="T355" s="3">
        <f>447.5+(262-115.1)+(-0.684675+(-0.40086--0.176103))+0-0-0</f>
        <v>593.49056799999994</v>
      </c>
      <c r="U355" s="3">
        <f>449.8+(315.5-299.2)+(-0.688194+(-0.482715--0.457776))+0-0-0</f>
        <v>465.386867</v>
      </c>
      <c r="V355" s="3">
        <f>450.9+(537.5-411.9)+(-0.689877+(-0.822375--0.630207))+0-0-0</f>
        <v>575.61795500000005</v>
      </c>
      <c r="W355" s="3">
        <f>451.7+(609.7-461.8)+(0+(0-0))+0-0-0</f>
        <v>599.6</v>
      </c>
      <c r="X355" s="3">
        <f>452.4+(745.1-501.7)+(-0.461448+(-0.760002--0.511734))+0-0-0</f>
        <v>695.090284</v>
      </c>
      <c r="Y355" s="3">
        <f>452.4+(860.3-549.9)+(-1.615068+(-3.071271--1.963143))+0-0-0</f>
        <v>760.07680399999992</v>
      </c>
      <c r="Z355" s="3">
        <f>454.4+(815.1-517.6)+(-0.926976+(-1.662804--1.055904))+0-0-0</f>
        <v>750.36612400000001</v>
      </c>
      <c r="AA355" s="3">
        <f>454+(798.7-512.8)+(-0.92616+(-1.629348--1.046112))+0-0-0</f>
        <v>738.39060400000005</v>
      </c>
      <c r="AB355" s="3">
        <f>453.9+(783.8-514.2)+(-1.157445+(-1.99869--1.31121))+0-0-0</f>
        <v>721.6550749999999</v>
      </c>
      <c r="AC355" s="3">
        <f>436.3+(749.6-480.7)+(-0.890052+(-1.529184--0.980628))+0-0-0</f>
        <v>703.761392</v>
      </c>
      <c r="AD355">
        <f t="shared" si="5"/>
        <v>14763.354313</v>
      </c>
      <c r="AE355" s="3">
        <f>452+(856.3-521.7)+(0+(0-0))+0-0-0</f>
        <v>786.59999999999991</v>
      </c>
    </row>
    <row r="356" spans="1:31" s="2" customFormat="1" x14ac:dyDescent="0.25">
      <c r="A356">
        <v>89</v>
      </c>
      <c r="B356">
        <v>12</v>
      </c>
      <c r="C356">
        <v>20</v>
      </c>
      <c r="D356">
        <v>7</v>
      </c>
      <c r="E356">
        <v>1</v>
      </c>
      <c r="F356" s="3">
        <f>321+(773-479.9)+(0+(0-0))+0-0-0</f>
        <v>614.1</v>
      </c>
      <c r="G356" s="3">
        <f>321+(723.3-462.1)+(0+(0-0))+0-0-0</f>
        <v>582.19999999999993</v>
      </c>
      <c r="H356" s="3">
        <f>320+(702.4-477.9)+(0+(0-0))+0-0-0</f>
        <v>544.5</v>
      </c>
      <c r="I356" s="3">
        <f>322+(699.6-493.7)+(0+(0-0))+0-0-0</f>
        <v>527.90000000000009</v>
      </c>
      <c r="J356" s="3">
        <f>323+(693.4-486.7)+(0+(0-0))+0-0-0</f>
        <v>529.70000000000005</v>
      </c>
      <c r="K356" s="3">
        <f>323+(692.3-508.9)+(0+(0-0))+0-0-0</f>
        <v>506.4</v>
      </c>
      <c r="L356" s="3">
        <f>323+(701.7-511.1)+(0+(0-0))+0-0-0</f>
        <v>513.6</v>
      </c>
      <c r="M356" s="3">
        <f>323+(712.4-529.1)+(0+(0-0))+0-0-0</f>
        <v>506.29999999999995</v>
      </c>
      <c r="N356" s="3">
        <f>323+(787.8-556.2)+(0+(0-0))+0-0-0</f>
        <v>554.59999999999991</v>
      </c>
      <c r="O356" s="3">
        <f>323+(839.8-582.1)+(0+(0-0))+0-0-0</f>
        <v>580.69999999999993</v>
      </c>
      <c r="P356" s="3">
        <f>323+(865.1-545.8)+(0+(0-0))+0-0-0</f>
        <v>642.30000000000007</v>
      </c>
      <c r="Q356" s="3">
        <f>323+(861-575.4)+(0+(0-0))+0-0-0</f>
        <v>608.6</v>
      </c>
      <c r="R356" s="3">
        <f>322+(845.7-554.7)+(-0.8211+(-2.156535--1.414485))+0-0-0</f>
        <v>611.43685000000005</v>
      </c>
      <c r="S356" s="3">
        <f>321+(807.2-562.7)+(-0.65484+(-1.646688--1.147908))+0-0-0</f>
        <v>564.34637999999995</v>
      </c>
      <c r="T356" s="3">
        <f>321+(810-561)+(-0.32742+(-0.8262--0.57222))+0-0-0</f>
        <v>569.41859999999997</v>
      </c>
      <c r="U356" s="3">
        <f>322+(783.3-541.7)+(-0.65688+(-1.597932--1.105068))+0-0-0</f>
        <v>562.45025599999985</v>
      </c>
      <c r="V356" s="3">
        <f>321+(783.5-518.7)+(0.32742+(0.79917-0.529074))+0-0-0</f>
        <v>586.397516</v>
      </c>
      <c r="W356" s="3">
        <f>322+(772-537.3)+(-0.32844+(-0.78744--0.548046))+0-0-0</f>
        <v>556.1321660000001</v>
      </c>
      <c r="X356" s="3">
        <f>322+(906.6-553.3)+(0+(0-0))+0-0-0</f>
        <v>675.30000000000007</v>
      </c>
      <c r="Y356" s="3">
        <f>323+(1007-591.2)+(-0.98838+(-3.08142--1.809072))+0-0-0</f>
        <v>736.53927199999998</v>
      </c>
      <c r="Z356" s="3">
        <f>321+(984.9-587.4)+(-0.32742+(-1.004598--0.599148))+0-0-0</f>
        <v>717.76712999999995</v>
      </c>
      <c r="AA356" s="3">
        <f>321+(988.1-592.2)+(-0.16371+(-0.503931--0.302022))+0-0-0</f>
        <v>716.53438099999994</v>
      </c>
      <c r="AB356" s="3">
        <f>322+(944.5-566.3)+(-0.32844+(-0.96339--0.577626))+0-0-0</f>
        <v>699.48579600000005</v>
      </c>
      <c r="AC356" s="3">
        <f>322+(872.3-560.9)+(-0.65688+(-1.779492--1.144236))+0-0-0</f>
        <v>632.10786399999995</v>
      </c>
      <c r="AD356">
        <f t="shared" si="5"/>
        <v>14338.816210999999</v>
      </c>
      <c r="AE356" s="3">
        <f>322+(1021.9-585.7)+(0+(0-0))+0-0-0</f>
        <v>758.19999999999993</v>
      </c>
    </row>
    <row r="357" spans="1:31" s="2" customFormat="1" x14ac:dyDescent="0.25">
      <c r="A357">
        <v>89</v>
      </c>
      <c r="B357">
        <v>12</v>
      </c>
      <c r="C357">
        <v>21</v>
      </c>
      <c r="D357">
        <v>1</v>
      </c>
      <c r="E357">
        <v>1</v>
      </c>
      <c r="F357" s="3">
        <f>323+(794.1-550.9)+(-0.82365+(-2.024955--1.404795))+0-0-0</f>
        <v>564.75619000000006</v>
      </c>
      <c r="G357" s="3">
        <f>323+(743.8-543.3)+(-0.32946+(-0.758676--0.554166))+0-0-0</f>
        <v>522.96603000000005</v>
      </c>
      <c r="H357" s="3">
        <f>323+(723.9-543.5)+(-0.49419+(-1.107567--0.831555))+0-0-0</f>
        <v>502.62979799999999</v>
      </c>
      <c r="I357" s="3">
        <f>323+(694.8-521.8)+(0.49419+(1.063044-0.798354))+0-0-0</f>
        <v>496.75887999999998</v>
      </c>
      <c r="J357" s="3">
        <f>323+(707.8-529.7)+(-0.16473+(-0.360978--0.270147))+0-0-0</f>
        <v>500.84443899999991</v>
      </c>
      <c r="K357" s="3">
        <f>323+(701-520.8)+(0+(0-0))+0-0-0</f>
        <v>503.20000000000005</v>
      </c>
      <c r="L357" s="3">
        <f>322+(730.2-547.5)+(-0.16422+(-0.372402--0.279225))+0-0-0</f>
        <v>504.44260300000002</v>
      </c>
      <c r="M357" s="3">
        <f>369.9+(724-574.7)+(0+(0-0))+0-0-0</f>
        <v>519.19999999999993</v>
      </c>
      <c r="N357" s="3">
        <f>446.6+(779.4-617.6)+(0+(0-0))+0-0-0</f>
        <v>608.4</v>
      </c>
      <c r="O357" s="3">
        <f>446.9+(834.4-652.4)+(0+(0-0))+0-0-0</f>
        <v>628.9</v>
      </c>
      <c r="P357" s="3">
        <f>447+(899-675.7)+(0.45594+(0.91698-0.689214))+0-0-0</f>
        <v>670.98370599999998</v>
      </c>
      <c r="Q357" s="3">
        <f>442.6+(885-683.8)+(-0.451452+(-0.9027--0.697476))+0-0-0</f>
        <v>643.14332400000012</v>
      </c>
      <c r="R357" s="3">
        <f>442.3+(853.7-660.8)+(-1.127865+(-2.176935--1.68504))+0-0-0</f>
        <v>633.58024</v>
      </c>
      <c r="S357" s="3">
        <f>441+(862.2-667.9)+(-0.89964+(-1.758888--1.362516))+0-0-0</f>
        <v>634.00398800000005</v>
      </c>
      <c r="T357" s="3">
        <f>443.3+(874.6-683.1)+(0+(0-0))+0-0-0</f>
        <v>634.79999999999995</v>
      </c>
      <c r="U357" s="3">
        <f>444+(847.2-662.6)+(-0.22644+(-0.432072--0.337926))+0-0-0</f>
        <v>628.27941399999997</v>
      </c>
      <c r="V357" s="3">
        <f>440.9+(870.1-682.3)+(0.224859+(0.443751-0.347973))+0-0-0</f>
        <v>629.02063700000008</v>
      </c>
      <c r="W357" s="3">
        <f>438.7+(860.8-629.2)+(-0.223737+(-0.439008--0.320892))+0-0-0</f>
        <v>669.95814699999994</v>
      </c>
      <c r="X357" s="3">
        <f>439.2+(899.4-610.5)+(-0.447984+(-0.917388--0.62271))+0-0-0</f>
        <v>727.35733799999991</v>
      </c>
      <c r="Y357" s="3">
        <f>439.1+(984.8-630.1)+(-0.223941+(-0.502248--0.321351))+0-0-0</f>
        <v>793.39516199999991</v>
      </c>
      <c r="Z357" s="3">
        <f>452.9+(962.3-640.8)+(-0.461958+(-0.981546--0.653616))+0-0-0</f>
        <v>773.61011199999996</v>
      </c>
      <c r="AA357" s="3">
        <f>453.8+(940.6-637.5)+(-0.694314+(-1.439118--0.975375))+0-0-0</f>
        <v>755.74194300000011</v>
      </c>
      <c r="AB357" s="3">
        <f>453.3+(898-618.7)+(-1.618281+(-3.20586--2.208759))+0-0-0</f>
        <v>729.98461799999995</v>
      </c>
      <c r="AC357" s="3">
        <f>304.9+(921.7-559.5)+(-0.621996+(-1.880268--1.14138))+0-0-0</f>
        <v>665.73911599999997</v>
      </c>
      <c r="AD357">
        <f t="shared" si="5"/>
        <v>14941.695685000002</v>
      </c>
      <c r="AE357" s="3">
        <f>438+(1009.3-618.8)+(0+(0-0))+0-0-0</f>
        <v>828.5</v>
      </c>
    </row>
    <row r="358" spans="1:31" s="2" customFormat="1" x14ac:dyDescent="0.25">
      <c r="A358">
        <v>89</v>
      </c>
      <c r="B358">
        <v>12</v>
      </c>
      <c r="C358">
        <v>22</v>
      </c>
      <c r="D358">
        <v>2</v>
      </c>
      <c r="E358">
        <v>1</v>
      </c>
      <c r="F358" s="3">
        <f>165+(934.8-515.7)+(-0.42075+(-2.38374--1.315035))+0-0-0</f>
        <v>582.61054499999989</v>
      </c>
      <c r="G358" s="3">
        <f>163+(894.2-500.1)+(-0.49878+(-2.736252--1.530306))+0-0-0</f>
        <v>555.39527399999997</v>
      </c>
      <c r="H358" s="3">
        <f>164+(891-507.9)+(-0.33456+(-1.81764--1.036116))+0-0-0</f>
        <v>545.98391600000002</v>
      </c>
      <c r="I358" s="3">
        <f>163+(886.5-504.2)+(0.24939+(1.356345-0.771426))+0-0-0</f>
        <v>546.13430899999992</v>
      </c>
      <c r="J358" s="3">
        <f>163+(874.7-498.4)+(-0.24939+(-1.338291--0.762552))+0-0-0</f>
        <v>538.47487100000012</v>
      </c>
      <c r="K358" s="3">
        <f>161+(878.1-506.7)+(0.32844+(1.791324-1.033668))+0-0-0</f>
        <v>533.48609600000009</v>
      </c>
      <c r="L358" s="3">
        <f>192+(824.2-512.8)+(-0.58752+(-2.522052--1.569168))+0-0-0</f>
        <v>501.85959600000007</v>
      </c>
      <c r="M358" s="3">
        <f>393.9+(704.3-534.5)+(0.401778+(0.718386-0.54519))+0-0-0</f>
        <v>564.27497399999993</v>
      </c>
      <c r="N358" s="3">
        <f>554.5+(646.7-543.1)+(0.56559+(0.659634-0.553962))+0-0-0</f>
        <v>658.77126199999998</v>
      </c>
      <c r="O358" s="3">
        <f>570.1+(713.6-582.6)+(0.290751+(0.363936-0.297126))+0-0-0</f>
        <v>701.45756100000006</v>
      </c>
      <c r="P358" s="3">
        <f>634.8+(741.5-628.2)+(0.323748+(0.378165-0.320382))+0-0-0</f>
        <v>748.4815309999999</v>
      </c>
      <c r="Q358" s="3">
        <f>689.2+(677.7-624)+(-1.054476+(-1.036881--0.95472))+0-0-0</f>
        <v>741.76336300000014</v>
      </c>
      <c r="R358" s="3">
        <f>690.2+(620.7-659.4)+(0+(0-0))+0-0-0</f>
        <v>651.50000000000011</v>
      </c>
      <c r="S358" s="3">
        <f>690.9+(577.1-620.3)+(0.352359+(0.294321-0.316353))+0-0-0</f>
        <v>648.03032700000006</v>
      </c>
      <c r="T358" s="3">
        <f>686.2+(600.3-643.8)+(-0.699924+(-0.612306--0.656676))+0-0-0</f>
        <v>642.04444599999999</v>
      </c>
      <c r="U358" s="3">
        <f>687.1+(567.7-617.8)+(0+(0-0))+0-0-0</f>
        <v>637.00000000000011</v>
      </c>
      <c r="V358" s="3">
        <f>683.9+(565.2-604.4)+(-1.743945+(-1.44126--1.54122))+0-0-0</f>
        <v>643.056015</v>
      </c>
      <c r="W358" s="3">
        <f>692.5+(545.4-598.3)+(0+(0-0))+0-0-0</f>
        <v>639.6</v>
      </c>
      <c r="X358" s="3">
        <f>693.5+(622.7-598.3)+(-0.353685+(-0.317577--0.305133))+0-0-0</f>
        <v>717.53387100000009</v>
      </c>
      <c r="Y358" s="3">
        <f>689.2+(691.8-600.8)+(-1.054476+(-1.058454--0.919224))+0-0-0</f>
        <v>779.00629400000003</v>
      </c>
      <c r="Z358" s="3">
        <f>691.7+(696.6-615.9)+(-0.705534+(-0.710532--0.628218))+0-0-0</f>
        <v>771.61215200000004</v>
      </c>
      <c r="AA358" s="3">
        <f>691.1+(684.2-610.3)+(-1.057383+(-1.046826--0.933759))+0-0-0</f>
        <v>763.82955000000015</v>
      </c>
      <c r="AB358" s="3">
        <f>692+(672.5-613.4)+(-0.70584+(-0.68595--0.625668))+0-0-0</f>
        <v>750.33387800000003</v>
      </c>
      <c r="AC358" s="3">
        <f>646.7+(664.6-622.8)+(-0.989451+(-1.016838--0.952884))+0-0-0</f>
        <v>687.44659500000012</v>
      </c>
      <c r="AD358">
        <f t="shared" si="5"/>
        <v>15549.686426000002</v>
      </c>
      <c r="AE358" s="3">
        <f>695+(633.2-590.8)+(0+(0-0))+0-0-0</f>
        <v>737.40000000000009</v>
      </c>
    </row>
    <row r="359" spans="1:31" s="2" customFormat="1" x14ac:dyDescent="0.25">
      <c r="A359">
        <v>89</v>
      </c>
      <c r="B359">
        <v>12</v>
      </c>
      <c r="C359">
        <v>23</v>
      </c>
      <c r="D359">
        <v>3</v>
      </c>
      <c r="E359">
        <v>1</v>
      </c>
      <c r="F359" s="3">
        <f>472+(702.3-578.3)+(-2.4072+(-3.58173--2.94933))+0-0-0</f>
        <v>592.96040000000005</v>
      </c>
      <c r="G359" s="3">
        <f>447.2+(656.1-541.2)+(-1.368432+(-2.007666--1.656072))+0-0-0</f>
        <v>560.37997399999995</v>
      </c>
      <c r="H359" s="3">
        <f>334.2+(727.6-542.3)+(-0.511326+(-1.113228--0.829719))+0-0-0</f>
        <v>518.70516499999997</v>
      </c>
      <c r="I359" s="3">
        <f>334+(702-516.3)+(-0.51102+(-1.07406--0.789939))+0-0-0</f>
        <v>518.9048590000001</v>
      </c>
      <c r="J359" s="3">
        <f>377.1+(678.5-528.2)+(0.384642+(0.69207-0.538764))+0-0-0</f>
        <v>527.93794800000001</v>
      </c>
      <c r="K359" s="3">
        <f>389.9+(704-569)+(-0.198849+(-0.35904--0.29019))+0-0-0</f>
        <v>524.63230099999998</v>
      </c>
      <c r="L359" s="3">
        <f>386.2+(714.1-571.9)+(-0.196962+(-0.364191--0.291669))+0-0-0</f>
        <v>528.13051600000006</v>
      </c>
      <c r="M359" s="3">
        <f>532.7+(656.7-569.9)+(1.086708+(1.339668-1.162596))+0-0-0</f>
        <v>620.76378000000011</v>
      </c>
      <c r="N359" s="3">
        <f>607.3+(628.5-630.9)+(0+(0-0))+0-0-0</f>
        <v>604.9</v>
      </c>
      <c r="O359" s="3">
        <f>680.8+(696.5-660.2)+(-1.388832+(-1.42086--1.346808))+0-0-0</f>
        <v>715.63711599999988</v>
      </c>
      <c r="P359" s="3">
        <f>723.7+(636.2-639.9)+(-1.476348+(-1.297848--1.305396))+0-0-0</f>
        <v>718.53120000000013</v>
      </c>
      <c r="Q359" s="3">
        <f>725.1+(622.7-653.3)+(-1.109403+(-0.952731--0.999549))+0-0-0</f>
        <v>693.4374150000001</v>
      </c>
      <c r="R359" s="3">
        <f>726.5+(615-619.1)+(-1.48206+(-1.2546--1.262964))+0-0-0</f>
        <v>720.92630399999996</v>
      </c>
      <c r="S359" s="3">
        <f>733.4+(599.4-644)+(0.748068+(0.611388-0.65688))+0-0-0</f>
        <v>689.50257599999998</v>
      </c>
      <c r="T359" s="3">
        <f>727.3+(558.3-611.5)+(-0.741846+(-0.569466--0.62373))+0-0-0</f>
        <v>673.41241799999989</v>
      </c>
      <c r="U359" s="3">
        <f>731.6+(616.4-668.8)+(0+(0-0))+0-0-0</f>
        <v>679.2</v>
      </c>
      <c r="V359" s="3">
        <f>726.4+(545.9-585.1)+(-1.481856+(-1.113636--1.193604))+0-0-0</f>
        <v>685.79811199999995</v>
      </c>
      <c r="W359" s="3">
        <f>748.8+(551-646.3)+(-0.381888+(-0.28101--0.329613))+0-0-0</f>
        <v>653.16671499999995</v>
      </c>
      <c r="X359" s="3">
        <f>825+(670.8-644.3)+(-0.42075+(-0.342108--0.328593))+0-0-0</f>
        <v>851.06573500000002</v>
      </c>
      <c r="Y359" s="3">
        <f>812.3+(673.3-624.3)+(-2.485638+(-2.060298--1.910358))+0-0-0</f>
        <v>858.66442199999995</v>
      </c>
      <c r="Z359" s="3">
        <f>817.4+(407.3-564.8)+(-1.250622+(-0.623169--0.864144))+0-0-0</f>
        <v>658.89035300000012</v>
      </c>
      <c r="AA359" s="3">
        <f>821.1+(371.3-401.3)+(-1.256283+(-0.568089--0.613989))+0-0-0</f>
        <v>789.88961700000004</v>
      </c>
      <c r="AB359" s="3">
        <f>735+(422.4-413.8)+(-1.4994+(-0.861696--0.844152))+0-0-0</f>
        <v>742.08305599999994</v>
      </c>
      <c r="AC359" s="3">
        <f>674.7+(377.9-341.4)+(-1.720485+(-0.963645--0.87057))+0-0-0</f>
        <v>709.38643999999999</v>
      </c>
      <c r="AD359">
        <f t="shared" si="5"/>
        <v>15836.906422000002</v>
      </c>
      <c r="AE359" s="3">
        <f>820+(614.4-620)+(0+(0-0))+0-0-0</f>
        <v>814.4</v>
      </c>
    </row>
    <row r="360" spans="1:31" s="2" customFormat="1" x14ac:dyDescent="0.25">
      <c r="A360">
        <v>89</v>
      </c>
      <c r="B360">
        <v>12</v>
      </c>
      <c r="C360">
        <v>24</v>
      </c>
      <c r="D360">
        <v>4</v>
      </c>
      <c r="E360">
        <v>1</v>
      </c>
      <c r="F360" s="3">
        <f>639.4+(298.7-271)+(-1.956564+(-0.914022--0.82926))+0-0-0</f>
        <v>665.05867399999988</v>
      </c>
      <c r="G360" s="3">
        <f>510.7+(266.3-260.5)+(-1.302285+(-0.679065--0.664275))+0-0-0</f>
        <v>515.18292499999995</v>
      </c>
      <c r="H360" s="3">
        <f>501.3+(271.9-234.2)+(0+(0-0))+0-0-0</f>
        <v>539</v>
      </c>
      <c r="I360" s="3">
        <f>501.2+(264.5-247.1)+(-1.533672+(-0.80937--0.756126))+0-0-0</f>
        <v>517.01308400000005</v>
      </c>
      <c r="J360" s="3">
        <f>501.2+(250.6-239.4)+(0.766836+(0.383418-0.366282))+0-0-0</f>
        <v>513.18397199999993</v>
      </c>
      <c r="K360" s="3">
        <f>498.1+(277-238.8)+(-1.270155+(-0.70635--0.60894))+0-0-0</f>
        <v>534.93243499999994</v>
      </c>
      <c r="L360" s="3">
        <f>499.5+(262.7-240.6)+(-0.764235+(-0.401931--0.368118))+0-0-0</f>
        <v>520.80195200000003</v>
      </c>
      <c r="M360" s="3">
        <f>556+(288.3-303.3)+(-0.56712+(-0.294066--0.309366))+0-0-0</f>
        <v>540.44817999999998</v>
      </c>
      <c r="N360" s="3">
        <f>650.4+(253.4-239.8)+(0+(0-0))+0-0-0</f>
        <v>664</v>
      </c>
      <c r="O360" s="3">
        <f>661.4+(357.5-183.1)+(-0.674628+(-0.36465--0.186762))+0-0-0</f>
        <v>834.94748399999992</v>
      </c>
      <c r="P360" s="3">
        <f>662.6+(350.3-178.6)+(-0.337926+(-0.178653--0.091086))+0-0-0</f>
        <v>833.87450700000011</v>
      </c>
      <c r="Q360" s="3">
        <f>662.1+(357.7-178.5)+(-1.013013+(-0.547281--0.273105))+0-0-0</f>
        <v>840.01281099999994</v>
      </c>
      <c r="R360" s="3">
        <f>661.2+(272-173.5)+(-0.674424+(-0.27744--0.17697))+0-0-0</f>
        <v>758.92510600000003</v>
      </c>
      <c r="S360" s="3">
        <f>662.8+(212-202.2)+(-0.338028+(-0.10812--0.103122))+0-0-0</f>
        <v>672.2569739999999</v>
      </c>
      <c r="T360" s="3">
        <f>659.9+(190.1-181.6)+(-0.336549+(-0.096951--0.092616))+0-0-0</f>
        <v>668.05911600000002</v>
      </c>
      <c r="U360" s="3">
        <f>661+(185.1-192)+(-1.01133+(-0.283203--0.29376))+0-0-0</f>
        <v>653.09922700000004</v>
      </c>
      <c r="V360" s="3">
        <f>647.3+(248.4-216.4)+(-2.640984+(-1.013472--0.882912))+0-0-0</f>
        <v>676.52845600000001</v>
      </c>
      <c r="W360" s="3">
        <f>570+(353.4-251.6)+(0.2907+(0.180234-0.128316))+0-0-0</f>
        <v>672.14261799999997</v>
      </c>
      <c r="X360" s="3">
        <f>585.6+(597.8-410.7)+(0.298656+(0.304878-0.209457))+0-0-0</f>
        <v>773.09407700000008</v>
      </c>
      <c r="Y360" s="3">
        <f>706.6+(678.4-587.6)+(-1.441464+(-1.383936--1.198704))+0-0-0</f>
        <v>795.77330399999994</v>
      </c>
      <c r="Z360" s="3">
        <f>740.1+(642.4-613.5)+(-0.754902+(-0.655248--0.62577))+0-0-0</f>
        <v>768.21561999999994</v>
      </c>
      <c r="AA360" s="3">
        <f>741.4+(601.8-602.8)+(-0.756228+(-0.613836--0.614856))+0-0-0</f>
        <v>739.64479199999994</v>
      </c>
      <c r="AB360" s="3">
        <f>743.6+(575.4-593.7)+(-0.379236+(-0.293454--0.302787))+0-0-0</f>
        <v>724.93009699999993</v>
      </c>
      <c r="AC360" s="3">
        <f>706.9+(553.7-583.8)+(-0.360519+(-0.282387--0.297738))+0-0-0</f>
        <v>676.45483200000012</v>
      </c>
      <c r="AD360">
        <f t="shared" si="5"/>
        <v>16097.580243</v>
      </c>
      <c r="AE360" s="3">
        <f>738+(731.2-586.3)+(0+(0-0))+0-0-0</f>
        <v>882.90000000000009</v>
      </c>
    </row>
    <row r="361" spans="1:31" s="2" customFormat="1" x14ac:dyDescent="0.25">
      <c r="A361">
        <v>89</v>
      </c>
      <c r="B361">
        <v>12</v>
      </c>
      <c r="C361">
        <v>25</v>
      </c>
      <c r="D361">
        <v>5</v>
      </c>
      <c r="E361">
        <v>1</v>
      </c>
      <c r="F361" s="3">
        <f>601.8+(534.4-544.7)+(-0.306918+(-0.272544--0.277797))+0-0-0</f>
        <v>591.19833499999993</v>
      </c>
      <c r="G361" s="3">
        <f>520+(545.7-522.6)+(-0.5304+(-0.556614--0.533052))+0-0-0</f>
        <v>542.54603800000007</v>
      </c>
      <c r="H361" s="3">
        <f>485.6+(536.1-494.2)+(-0.990624+(-1.093644--1.008168))+0-0-0</f>
        <v>526.4239</v>
      </c>
      <c r="I361" s="3">
        <f>432.1+(568.2-488.5)+(0.440742+(0.579564-0.49827))+0-0-0</f>
        <v>512.32203600000003</v>
      </c>
      <c r="J361" s="3">
        <f>439.8+(586.9-518.9)+(0+(0-0))+0-0-0</f>
        <v>507.8</v>
      </c>
      <c r="K361" s="3">
        <f>522.2+(527.2-536.3)+(0.532644+(0.537744-0.547026))+0-0-0</f>
        <v>513.62336200000016</v>
      </c>
      <c r="L361" s="3">
        <f>534.2+(493-504)+(-1.36221+(-1.25715--1.2852))+0-0-0</f>
        <v>521.86584000000005</v>
      </c>
      <c r="M361" s="3">
        <f>542.3+(517.1-510.5)+(0.553146+(0.527442-0.52071))+0-0-0</f>
        <v>549.459878</v>
      </c>
      <c r="N361" s="3">
        <f>540.4+(627.5-559.3)+(0.275604+(0.320025-0.285243))+0-0-0</f>
        <v>608.91038600000002</v>
      </c>
      <c r="O361" s="3">
        <f>570.8+(658.4-579.2)+(-0.582216+(-0.671568--0.590784))+0-0-0</f>
        <v>649.33699999999988</v>
      </c>
      <c r="P361" s="3">
        <f>684.1+(570.1-592.9)+(0.697782+(0.581502-0.604758))+0-0-0</f>
        <v>661.97452600000008</v>
      </c>
      <c r="Q361" s="3">
        <f>709.6+(455.7-516)+(1.085688+(0.697221-0.78948))+0-0-0</f>
        <v>650.29342899999995</v>
      </c>
      <c r="R361" s="3">
        <f>695.4+(332.9-376.4)+(-1.063962+(-0.509337--0.575892))+0-0-0</f>
        <v>650.90259300000002</v>
      </c>
      <c r="S361" s="3">
        <f>695.4+(422.9-486)+(-0.354654+(-0.215679--0.24786))+0-0-0</f>
        <v>631.97752700000001</v>
      </c>
      <c r="T361" s="3">
        <f>692.5+(513.6-580)+(-1.059525+(-0.785808--0.8874))+0-0-0</f>
        <v>625.142067</v>
      </c>
      <c r="U361" s="3">
        <f>646.3+(569.8-595.5)+(-1.318452+(-1.162392--1.21482))+0-0-0</f>
        <v>619.33397599999989</v>
      </c>
      <c r="V361" s="3">
        <f>612.9+(592.2-582.9)+(-0.625158+(-0.604044--0.594558))+0-0-0</f>
        <v>621.56535600000007</v>
      </c>
      <c r="W361" s="3">
        <f>608.2+(585.1-567.9)+(-1.861092+(-1.790406--1.737774))+0-0-0</f>
        <v>623.48627600000009</v>
      </c>
      <c r="X361" s="3">
        <f>654.8+(630.2-577.3)+(0.333948+(0.321402-0.294423))+0-0-0</f>
        <v>708.06092699999999</v>
      </c>
      <c r="Y361" s="3">
        <f>672.2+(741.2-610.1)+(-1.71411+(-1.89006--1.555755))+0-0-0</f>
        <v>801.25158500000009</v>
      </c>
      <c r="Z361" s="3">
        <f>677.1+(696.7-596.3)+(-0.690642+(-0.710634--0.608226))+0-0-0</f>
        <v>776.70695000000012</v>
      </c>
      <c r="AA361" s="3">
        <f>673+(681.2-598.7)+(-1.71615+(-1.73706--1.526685))+0-0-0</f>
        <v>753.57347500000003</v>
      </c>
      <c r="AB361" s="3">
        <f>673.5+(637.7-590.5)+(-1.717425+(-1.626135--1.505775))+0-0-0</f>
        <v>718.86221499999999</v>
      </c>
      <c r="AC361" s="3">
        <f>672.1+(570-566.6)+(-1.371084+(-1.1628--1.155864))+0-0-0</f>
        <v>674.12198000000001</v>
      </c>
      <c r="AD361">
        <f t="shared" si="5"/>
        <v>15040.739656999998</v>
      </c>
      <c r="AE361" s="3">
        <f>683+(751.9-595.9)+(0+(0-0))+0-0-0</f>
        <v>839</v>
      </c>
    </row>
    <row r="362" spans="1:31" s="2" customFormat="1" x14ac:dyDescent="0.25">
      <c r="A362">
        <v>89</v>
      </c>
      <c r="B362">
        <v>12</v>
      </c>
      <c r="C362">
        <v>26</v>
      </c>
      <c r="D362">
        <v>6</v>
      </c>
      <c r="E362">
        <v>1</v>
      </c>
      <c r="F362" s="3">
        <f>679.2+(446.9-538.8)+(-1.039176+(-0.683757--0.824364))+0-0-0</f>
        <v>586.40143100000012</v>
      </c>
      <c r="G362" s="3">
        <f>679.6+(389.3-525.2)+(-0.693192+(-0.397086--0.535704))+0-0-0</f>
        <v>543.14542600000004</v>
      </c>
      <c r="H362" s="3">
        <f>553.7+(399.4-532.2)+(-0.847161+(-0.611082--0.814266))+0-0-0</f>
        <v>420.25602299999997</v>
      </c>
      <c r="I362" s="3">
        <f>554.4+(457.7-499.3)+(0.282744+(0.233427-0.254643))+0-0-0</f>
        <v>513.06152799999995</v>
      </c>
      <c r="J362" s="3">
        <f>555.3+(464.9-517.5)+(-0.849609+(-0.711297--0.791775))+0-0-0</f>
        <v>501.93086899999992</v>
      </c>
      <c r="K362" s="3">
        <f>555.8+(461.3-505.7)+(-0.283458+(-0.235263--0.257907))+0-0-0</f>
        <v>511.139186</v>
      </c>
      <c r="L362" s="3">
        <f>470.5+(552.8-522.9)+(-0.95982+(-1.127712--1.066716))+0-0-0</f>
        <v>499.37918399999995</v>
      </c>
      <c r="M362" s="3">
        <f>448+(566.2-527.7)+(0.22848+(0.288762-0.269127))+0-0-0</f>
        <v>486.74811499999998</v>
      </c>
      <c r="N362" s="3">
        <f>552+(587.8-566.7)+(0.28152+(0.299778-0.289017))+0-0-0</f>
        <v>573.39228099999991</v>
      </c>
      <c r="O362" s="3">
        <f>643.9+(528.4-604.2)+(-0.985167+(-0.808452--0.924426))+0-0-0</f>
        <v>567.23080699999991</v>
      </c>
      <c r="P362" s="3">
        <f>714+(460.4-552.8)+(-1.09242+(-0.704412--0.845784))+0-0-0</f>
        <v>620.64895200000001</v>
      </c>
      <c r="Q362" s="3">
        <f>746+(477.5-582.3)+(-0.38046+(-0.243525--0.296973))+0-0-0</f>
        <v>640.87298800000008</v>
      </c>
      <c r="R362" s="3">
        <f>649+(498.6-545)+(-0.99297+(-0.762858--0.83385))+0-0-0</f>
        <v>601.67802200000006</v>
      </c>
      <c r="S362" s="3">
        <f>546.9+(540.5-520.7)+(0+(0-0))+0-0-0</f>
        <v>566.69999999999993</v>
      </c>
      <c r="T362" s="3">
        <f>561.9+(541.7-545.8)+(-0.859707+(-0.828801--0.835074))+0-0-0</f>
        <v>556.94656600000008</v>
      </c>
      <c r="U362" s="3">
        <f>647.9+(471.2-563.3)+(-2.313003+(-1.682184--2.010981))+0-0-0</f>
        <v>553.81579399999998</v>
      </c>
      <c r="V362" s="3">
        <f>660+(466.8-550.8)+(-0.6732+(-0.476136--0.561816))+0-0-0</f>
        <v>575.41247999999996</v>
      </c>
      <c r="W362" s="3">
        <f>627+(504.3-570.6)+(-1.27908+(-1.028772--1.164024))+0-0-0</f>
        <v>559.55617200000006</v>
      </c>
      <c r="X362" s="3">
        <f>679+(554.9-586.9)+(0+(0-0))+0-0-0</f>
        <v>647</v>
      </c>
      <c r="Y362" s="3">
        <f>723+(670.3-640.2)+(-1.47492+(-1.367412--1.306008))+0-0-0</f>
        <v>751.56367599999987</v>
      </c>
      <c r="Z362" s="3">
        <f>710+(670-637.8)+(-1.0863+(-1.0251--0.975834))+0-0-0</f>
        <v>741.06443400000001</v>
      </c>
      <c r="AA362" s="3">
        <f>507+(801.4-574)+(-0.25857+(-0.408714--0.29274))+0-0-0</f>
        <v>734.02545599999996</v>
      </c>
      <c r="AB362" s="3">
        <f>424.9+(817.6-551.6)+(0.650097+(1.250928-0.843948))+0-0-0</f>
        <v>691.95707700000003</v>
      </c>
      <c r="AC362" s="3">
        <f>382+(758.6-499.6)+(-0.9741+(-1.93443--1.27398))+0-0-0</f>
        <v>639.36545000000001</v>
      </c>
      <c r="AD362">
        <f t="shared" si="5"/>
        <v>14083.291917</v>
      </c>
      <c r="AE362" s="3">
        <f>726+(674.8-626.4)+(0+(0-0))+0-0-0</f>
        <v>774.4</v>
      </c>
    </row>
    <row r="363" spans="1:31" s="2" customFormat="1" x14ac:dyDescent="0.25">
      <c r="A363">
        <v>89</v>
      </c>
      <c r="B363">
        <v>12</v>
      </c>
      <c r="C363">
        <v>27</v>
      </c>
      <c r="D363">
        <v>7</v>
      </c>
      <c r="E363">
        <v>1</v>
      </c>
      <c r="F363" s="3">
        <f>369.9+(716-511.6)+(-0.754596+(-1.46064--1.043664))+0-0-0</f>
        <v>573.12842799999999</v>
      </c>
      <c r="G363" s="3">
        <f>369.9+(673.4-511.3)+(-0.565947+(-1.030302--0.782289))+0-0-0</f>
        <v>531.18604000000005</v>
      </c>
      <c r="H363" s="3">
        <f>434.9+(614.8-499.1)+(-0.221799+(-0.313548--0.254541))+0-0-0</f>
        <v>550.31919399999992</v>
      </c>
      <c r="I363" s="3">
        <f>436.5+(537.4-467.9)+(-0.667845+(-0.822222--0.715887))+0-0-0</f>
        <v>505.22582</v>
      </c>
      <c r="J363" s="3">
        <f>502.2+(500.1-484.9)+(0.256122+(0.255051-0.247299))+0-0-0</f>
        <v>517.66387400000008</v>
      </c>
      <c r="K363" s="3">
        <f>395+(627.4-503)+(-0.60435+(-0.959922--0.76959))+0-0-0</f>
        <v>518.60531800000001</v>
      </c>
      <c r="L363" s="3">
        <f>369.9+(642-514.9)+(-0.377298+(-0.65484--0.525198))+0-0-0</f>
        <v>496.49306000000001</v>
      </c>
      <c r="M363" s="3">
        <f>370+(646.2-522.1)+(0+(0-0))+0-0-0</f>
        <v>494.1</v>
      </c>
      <c r="N363" s="3">
        <f>370+(702.9-522.7)+(0.1887+(0.358479-0.266577))+0-0-0</f>
        <v>550.48060199999998</v>
      </c>
      <c r="O363" s="3">
        <f>370+(762.1-529)+(-0.1887+(-0.388671--0.26979))+0-0-0</f>
        <v>602.792419</v>
      </c>
      <c r="P363" s="3">
        <f>369.9+(789.2-543)+(-0.754596+(-1.609968--1.10772))+0-0-0</f>
        <v>614.84315600000002</v>
      </c>
      <c r="Q363" s="3">
        <f>370+(766.6-527.7)+(-0.7548+(-1.563864--1.076508))+0-0-0</f>
        <v>607.65784399999995</v>
      </c>
      <c r="R363" s="3">
        <f>370+(759.5-541)+(-0.1887+(-0.387345--0.27591))+0-0-0</f>
        <v>588.19986500000005</v>
      </c>
      <c r="S363" s="3">
        <f>369.9+(731.1-532.8)+(0.188649+(0.372861-0.271728))+0-0-0</f>
        <v>568.48978199999999</v>
      </c>
      <c r="T363" s="3">
        <f>371+(741.8-545.4)+(-0.94605+(-1.89159--1.39077))+0-0-0</f>
        <v>565.95312999999999</v>
      </c>
      <c r="U363" s="3">
        <f>371.9+(721.5-538.1)+(-0.948345+(-1.839825--1.372155))+0-0-0</f>
        <v>553.88398499999994</v>
      </c>
      <c r="V363" s="3">
        <f>372+(735.6-536)+(-0.56916+(-1.125468--0.82008))+0-0-0</f>
        <v>570.72545200000002</v>
      </c>
      <c r="W363" s="3">
        <f>374+(736.9-529.9)+(-0.38148+(-0.751638--0.540498))+0-0-0</f>
        <v>580.40737999999999</v>
      </c>
      <c r="X363" s="3">
        <f>373+(816.4-515.9)+(0+(0-0))+0-0-0</f>
        <v>673.5</v>
      </c>
      <c r="Y363" s="3">
        <f>372.9+(947.9-555)+(-0.570537+(-1.450287--0.84915))+0-0-0</f>
        <v>764.6283259999999</v>
      </c>
      <c r="Z363" s="3">
        <f>372.9+(951.1-575.4)+(-0.380358+(-0.970122--0.586908))+0-0-0</f>
        <v>747.83642800000007</v>
      </c>
      <c r="AA363" s="3">
        <f>373+(922.1-567)+(-0.38046+(-0.940542--0.57834))+0-0-0</f>
        <v>727.35733800000003</v>
      </c>
      <c r="AB363" s="3">
        <f>374+(869.7-548.3)+(-0.76296+(-1.774188--1.118532))+0-0-0</f>
        <v>693.98138400000005</v>
      </c>
      <c r="AC363" s="3">
        <f>351+(782.4-492.9)+(-0.71604+(-1.596096--1.005516))+0-0-0</f>
        <v>639.19338000000005</v>
      </c>
      <c r="AD363">
        <f t="shared" si="5"/>
        <v>14236.652205000004</v>
      </c>
      <c r="AE363" s="3">
        <f>373+(930.7-542.3)+(0+(0-0))+0-0-0</f>
        <v>761.40000000000009</v>
      </c>
    </row>
    <row r="364" spans="1:31" s="2" customFormat="1" x14ac:dyDescent="0.25">
      <c r="A364">
        <v>89</v>
      </c>
      <c r="B364">
        <v>12</v>
      </c>
      <c r="C364">
        <v>28</v>
      </c>
      <c r="D364">
        <v>1</v>
      </c>
      <c r="E364">
        <v>6</v>
      </c>
      <c r="F364" s="3">
        <f>232+(830.5-498.2)+(-0.47328+(-1.69422--1.016328))+0-0-0</f>
        <v>563.14882799999998</v>
      </c>
      <c r="G364" s="3">
        <f>215+(821.5-524.2)+(-0.54825+(-2.094825--1.33671))+0-0-0</f>
        <v>510.99363499999993</v>
      </c>
      <c r="H364" s="3">
        <f>215+(768.6-496.1)+(0.10965+(0.391986-0.253011))+0-0-0</f>
        <v>487.748625</v>
      </c>
      <c r="I364" s="3">
        <f>215+(726.7-455.7)+(-0.54825+(-1.853085--1.162035))+0-0-0</f>
        <v>484.76070000000004</v>
      </c>
      <c r="J364" s="3">
        <f>217+(735-457.9)+(0.22134+(0.7497-0.467058))+0-0-0</f>
        <v>494.60398200000003</v>
      </c>
      <c r="K364" s="3">
        <f>215.9+(760.3-490.4)+(0+(0-0))+0-0-0</f>
        <v>485.79999999999995</v>
      </c>
      <c r="L364" s="3">
        <f>209.9+(788.7-529.6)+(-0.321147+(-1.206711--0.810288))+0-0-0</f>
        <v>468.28242999999998</v>
      </c>
      <c r="M364" s="3">
        <f>290.1+(818.6-552.9)+(-0.147951+(-0.417486--0.281979))+0-0-0</f>
        <v>555.51654200000007</v>
      </c>
      <c r="N364" s="3">
        <f>300.4+(769.4-561.1)+(-0.153204+(-0.392394--0.286161))+0-0-0</f>
        <v>508.44056299999994</v>
      </c>
      <c r="O364" s="3">
        <f>419.6+(745.3-563.8)+(-0.641988+(-1.140309--0.862614))+0-0-0</f>
        <v>600.18031700000006</v>
      </c>
      <c r="P364" s="3">
        <f>439.9+(776.5-585.2)+(-0.224349+(-0.396015--0.298452))+0-0-0</f>
        <v>630.87808799999993</v>
      </c>
      <c r="Q364" s="3">
        <f>439.6+(758.1-572)+(-0.896784+(-1.546524--1.16688))+0-0-0</f>
        <v>624.42357200000004</v>
      </c>
      <c r="R364" s="3">
        <f>439.6+(759.9-594.5)+(-0.448392+(-0.775098--0.60639))+0-0-0</f>
        <v>604.38289999999995</v>
      </c>
      <c r="S364" s="3">
        <f>440+(731-602.9)+(0+(0-0))+0-0-0</f>
        <v>568.1</v>
      </c>
      <c r="T364" s="3">
        <f>408+(727-573.8)+(0.20808+(0.37077-0.292638))+0-0-0</f>
        <v>561.48621200000002</v>
      </c>
      <c r="U364" s="3">
        <f>370+(777.9-584.5)+(-0.1887+(-0.396729--0.298095))+0-0-0</f>
        <v>563.11266599999999</v>
      </c>
      <c r="V364" s="3">
        <f>369.9+(802.4-601.4)+(-0.943245+(-2.04612--1.53357))+0-0-0</f>
        <v>569.44420500000001</v>
      </c>
      <c r="W364" s="3">
        <f>372+(782.1-587.7)+(-0.75888+(-1.595484--1.198908))+0-0-0</f>
        <v>565.24454400000002</v>
      </c>
      <c r="X364" s="3">
        <f>391.5+(841-587.7)+(-0.199665+(-0.42891--0.299727))+0-0-0</f>
        <v>644.47115199999996</v>
      </c>
      <c r="Y364" s="3">
        <f>449.7+(908.5-597.3)+(-0.458694+(-0.92667--0.609246))+0-0-0</f>
        <v>760.12388200000009</v>
      </c>
      <c r="Z364" s="3">
        <f>380.3+(962-593.9)+(-0.193953+(-0.49062--0.302889))+0-0-0</f>
        <v>748.01831600000014</v>
      </c>
      <c r="AA364" s="3">
        <f>356+(952.8-580.1)+(-0.54468+(-1.457784--0.887553))+0-0-0</f>
        <v>727.58508899999993</v>
      </c>
      <c r="AB364" s="3">
        <f>231+(1019.6-562.9)+(-0.35343+(-1.559988--0.861237))+0-0-0</f>
        <v>686.64781900000003</v>
      </c>
      <c r="AC364" s="3">
        <f>216+(952.2-542.7)+(-0.33048+(-1.456866--0.830331))+0-0-0</f>
        <v>624.54298500000004</v>
      </c>
      <c r="AD364">
        <f t="shared" si="5"/>
        <v>14037.937051999999</v>
      </c>
      <c r="AE364" s="3">
        <f>452+(904-594.3)+(0+(0-0))+0-0-0</f>
        <v>761.7</v>
      </c>
    </row>
    <row r="365" spans="1:31" s="2" customFormat="1" x14ac:dyDescent="0.25">
      <c r="A365">
        <v>89</v>
      </c>
      <c r="B365">
        <v>12</v>
      </c>
      <c r="C365">
        <v>29</v>
      </c>
      <c r="D365">
        <v>2</v>
      </c>
      <c r="E365">
        <v>2</v>
      </c>
      <c r="F365" s="3">
        <f>215.1+(896.7-504.6)+(-0.329103+(-1.371951--0.772038))+0-0-0</f>
        <v>606.270984</v>
      </c>
      <c r="G365" s="3">
        <f>216+(832.7-509.6)+(-0.33048+(-1.274031--0.779688))+0-0-0</f>
        <v>538.27517699999999</v>
      </c>
      <c r="H365" s="3">
        <f>216+(819.8-518.9)+(-0.44064+(-1.672392--1.058556))+0-0-0</f>
        <v>515.84552399999995</v>
      </c>
      <c r="I365" s="3">
        <f>216+(781.8-488.6)+(0.11016+(0.398718-0.249186))+0-0-0</f>
        <v>509.4596919999999</v>
      </c>
      <c r="J365" s="3">
        <f>215.9+(773.9-481.4)+(0.330327+(1.184067-0.736542))+0-0-0</f>
        <v>509.17785199999997</v>
      </c>
      <c r="K365" s="3">
        <f>216.9+(806.3-507.8)+(-0.221238+(-0.822426--0.517956))+0-0-0</f>
        <v>514.87429199999997</v>
      </c>
      <c r="L365" s="3">
        <f>217+(789.8-522.7)+(-0.33201+(-1.208394--0.799731))+0-0-0</f>
        <v>483.35932699999989</v>
      </c>
      <c r="M365" s="3">
        <f>217.8+(803.8-527)+(0.444312+(1.639752-1.07508))+0-0-0</f>
        <v>495.60898399999996</v>
      </c>
      <c r="N365" s="3">
        <f>299.2+(764-516.7)+(0+(0-0))+0-0-0</f>
        <v>546.5</v>
      </c>
      <c r="O365" s="3">
        <f>298.2+(805.3-518.9)+(-0.304164+(-0.821406--0.529278))+0-0-0</f>
        <v>584.00370799999996</v>
      </c>
      <c r="P365" s="3">
        <f>283.8+(830.5-514.2)+(-0.578952+(-1.69422--1.048968))+0-0-0</f>
        <v>598.87579599999992</v>
      </c>
      <c r="Q365" s="3">
        <f>215+(911.7-534)+(-0.32895+(-1.394901--0.81702))+0-0-0</f>
        <v>591.79316900000003</v>
      </c>
      <c r="R365" s="3">
        <f>214+(878-508)+(-0.32742+(-1.34334--0.77724))+0-0-0</f>
        <v>583.10648000000003</v>
      </c>
      <c r="S365" s="3">
        <f>213+(856.9-500.7)+(-0.54315+(-2.185095--1.276785))+0-0-0</f>
        <v>567.74854000000005</v>
      </c>
      <c r="T365" s="3">
        <f>212+(871.5-515)+(-0.43248+(-1.77786--1.0506))+0-0-0</f>
        <v>567.34025999999994</v>
      </c>
      <c r="U365" s="3">
        <f>211.9+(856.7-517.5)+(-0.324207+(-1.310751--0.791775))+0-0-0</f>
        <v>550.25681700000007</v>
      </c>
      <c r="V365" s="3">
        <f>212+(877.3-519.5)+(0.10812+(0.447423-0.264945))+0-0-0</f>
        <v>570.090598</v>
      </c>
      <c r="W365" s="3">
        <f>228+(838.5-507.1)+(0+(0-0))+0-0-0</f>
        <v>559.4</v>
      </c>
      <c r="X365" s="3">
        <f>356+(834.9-527.7)+(0.18156+(0.425799-0.269127))+0-0-0</f>
        <v>663.53823199999988</v>
      </c>
      <c r="Y365" s="3">
        <f>371.9+(926.5-539.8)+(-0.948345+(-2.362575--1.37649))+0-0-0</f>
        <v>756.66557</v>
      </c>
      <c r="Z365" s="3">
        <f>373+(889.2-511.6)+(-0.57069+(-1.360476--0.782748))+0-0-0</f>
        <v>749.45158200000003</v>
      </c>
      <c r="AA365" s="3">
        <f>389.9+(845.5-498.9)+(-0.397698+(-0.86241--0.508878))+0-0-0</f>
        <v>735.74877000000004</v>
      </c>
      <c r="AB365" s="3">
        <f>433.6+(825.9-521.6)+(-0.221136+(-0.421209--0.266016))+0-0-0</f>
        <v>737.52367099999992</v>
      </c>
      <c r="AC365" s="3">
        <f>304.5+(876.9-495.6)+(-0.62118+(-1.788876--1.011024))+0-0-0</f>
        <v>684.40096799999992</v>
      </c>
      <c r="AD365">
        <f t="shared" si="5"/>
        <v>14219.315993000002</v>
      </c>
      <c r="AE365" s="3">
        <f>372+(994.7-559.8)+(0+(0-0))+0-0-0</f>
        <v>806.90000000000009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5"/>
  <sheetViews>
    <sheetView workbookViewId="0">
      <selection activeCell="J37" sqref="J37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89</v>
      </c>
      <c r="B1">
        <v>1</v>
      </c>
      <c r="C1">
        <v>1</v>
      </c>
      <c r="D1">
        <v>2</v>
      </c>
      <c r="E1">
        <v>2</v>
      </c>
      <c r="F1" s="3">
        <f>1955.3+(919.2-832.6)+(0+(0-0))+0-489.4-0</f>
        <v>1552.5</v>
      </c>
      <c r="G1" s="3">
        <f>1939.1+(816.7-796.1)+(0+(0-0))+0-529.7-0</f>
        <v>1429.9999999999998</v>
      </c>
      <c r="H1" s="3">
        <f>1765.6+(981.5-631.9)+(0+(0-0))+0-779.2-0</f>
        <v>1335.9999999999998</v>
      </c>
      <c r="I1" s="3">
        <f>1759.4+(729.4-585.9)+(-0.897294+(-0.371994--0.298809))+0-710--0.362099999999928</f>
        <v>1192.2916209999999</v>
      </c>
      <c r="J1" s="3">
        <f>1762.7+(725.5-589.2)+(-4.494885+(-1.850025--1.50246))+0-698.4--1.7809199999999</f>
        <v>1197.5384699999997</v>
      </c>
      <c r="K1" s="3">
        <f>1762.5+(771.3-552.9)+(-0.898875+(-0.393363--0.281979))+0-678.6--0.346085999999931</f>
        <v>1301.6358270000001</v>
      </c>
      <c r="L1" s="3">
        <f>1760.4+(636.2-489.4)+(-4.48902+(-1.62231--1.24797))+0-672.3--1.7143649999999</f>
        <v>1231.7510050000001</v>
      </c>
      <c r="M1" s="3">
        <f>1767.6+(605.9-471.2)+(2.704428+(0.927027-0.720936))+0-657.4-1.00582200000004</f>
        <v>1246.804697</v>
      </c>
      <c r="N1" s="3">
        <f>1894.9+(567.2-506.3)+(0+(0-0))+0-650.9-0</f>
        <v>1304.9000000000001</v>
      </c>
      <c r="O1" s="3">
        <f>1988.2+(451.9-409.7)+(-4.055928+(-0.921876--0.835788))+0-699.2--1.42636799999997</f>
        <v>1328.4843519999999</v>
      </c>
      <c r="P1" s="3">
        <f>2010.4+(328.8-377.2)+(-5.12652+(-0.83844--0.96186))+0-624.3--1.59196499999991</f>
        <v>1334.288865</v>
      </c>
      <c r="Q1" s="3">
        <f>2002+(238.2-397.5)+(-2.04204+(-0.242964--0.40545))+0-524.3--0.534786000000084</f>
        <v>1317.0552320000002</v>
      </c>
      <c r="R1" s="3">
        <f>1996.4+(360-407)+(-2.036328+(-0.3672--0.41514))+0-640.3--0.653106000000102</f>
        <v>1307.7647180000004</v>
      </c>
      <c r="S1" s="3">
        <f>1995.9+(422.3-432.3)+(0+(0-0))+0-705.7-0</f>
        <v>1280.2</v>
      </c>
      <c r="T1" s="3">
        <f>2003.2+(334.1-422.1)+(-3.064896+(-0.511173--0.645813))+0-657.3--1.00566900000004</f>
        <v>1255.9754130000001</v>
      </c>
      <c r="U1" s="3">
        <f>2008.4+(323.2-406.7)+(-3.072852+(-0.494496--0.622251))+0-688.7--1.05371100000004</f>
        <v>1234.308614</v>
      </c>
      <c r="V1" s="3">
        <f>2011.2+(492.6-510.7)+(-3.077136+(-0.753678--0.781371))+0-749.3--1.14642900000004</f>
        <v>1241.8969860000002</v>
      </c>
      <c r="W1" s="3">
        <f>2016+(617.9-658.6)+(-2.05632+(-0.630258--0.671772))+0-701.2--0.715224000000112</f>
        <v>1272.800418</v>
      </c>
      <c r="X1" s="3">
        <f>2061.9+(997.5-728.3)+(-1.051569+(-0.508725--0.371433))+0-700.9--0.357458999999929</f>
        <v>1629.368598</v>
      </c>
      <c r="Y1" s="3">
        <f>2268.5+(1098.1-1050.3)+(0+(0-0))+0-623.1-0</f>
        <v>1693.2000000000003</v>
      </c>
      <c r="Z1" s="3">
        <f>2219.7+(1161.5-1082.9)+(-1.132047+(-0.592365--0.552279))+0-622.4--0.317423999999937</f>
        <v>1675.0452909999995</v>
      </c>
      <c r="AA1" s="3">
        <f>2091.6+(1246.3-956.4)+(-5.33358+(-3.178065--2.43882))+0-732.8--1.86863999999989</f>
        <v>1644.4958149999998</v>
      </c>
      <c r="AB1" s="3">
        <f>2089.2+(1103.1-968.9)+(-2.130984+(-1.125162--0.988278))+0-617.1--0.629442000000098</f>
        <v>1604.661574</v>
      </c>
      <c r="AC1" s="3">
        <f>2095.5+(1075.1-911.8)+(-7.480935+(-3.838107--3.255126))+0-742.7--2.65143900000001</f>
        <v>1510.6875230000001</v>
      </c>
      <c r="AD1">
        <f t="shared" ref="AD1:AD64" si="0">SUM(F1:AC1)</f>
        <v>33123.655018999998</v>
      </c>
      <c r="AE1" s="3">
        <f>2301+(1085-1011)+(0+(0-0))+0-657-0</f>
        <v>1718</v>
      </c>
    </row>
    <row r="2" spans="1:31" s="2" customFormat="1" x14ac:dyDescent="0.25">
      <c r="A2">
        <v>89</v>
      </c>
      <c r="B2">
        <v>1</v>
      </c>
      <c r="C2">
        <v>2</v>
      </c>
      <c r="D2">
        <v>3</v>
      </c>
      <c r="E2">
        <v>2</v>
      </c>
      <c r="F2" s="3">
        <f>(G2+AC1)/2</f>
        <v>1424.8322014999999</v>
      </c>
      <c r="G2" s="3">
        <f>2091+(490.4-530)+(-5.33205+(-1.25052--1.3515))+0-709--1.8079499999999</f>
        <v>1338.9768799999999</v>
      </c>
      <c r="H2" s="3">
        <f>2001.2+(536.8-509.2)+(-6.123672+(-1.642608--1.558152))+0-710.4--2.17382400000008</f>
        <v>1314.3656959999998</v>
      </c>
      <c r="I2" s="3">
        <f>1836.7+(637.5-511.6)+(-1.873434+(-0.65025--0.521832))+0-693.8--0.707676000000111</f>
        <v>1267.5058240000001</v>
      </c>
      <c r="J2" s="3">
        <f>1776.9+(675.5-503.9)+(0+(0-0))+0-649.3-0</f>
        <v>1299.2</v>
      </c>
      <c r="K2" s="3">
        <f>1778.6+(642.2-479.6)+(1.814172+(0.655044-0.489192))+0-683.6-0.697272000000109</f>
        <v>1258.8827519999998</v>
      </c>
      <c r="L2" s="3">
        <f>1771.5+(610.2-496.5)+(0.903465+(0.311202-0.253215))+0-642.3-0.327572999999935</f>
        <v>1243.5338790000001</v>
      </c>
      <c r="M2" s="3">
        <f>1774.9+(371.2-385.3)+(-4.525995+(-0.94656--0.982515))+0-589--1.50194999999991</f>
        <v>1168.8119100000001</v>
      </c>
      <c r="N2" s="3">
        <f>1773+(410-388.2)+(-1.80846+(-0.4182--0.395964))+0-591.8--0.603636000000094</f>
        <v>1201.7729400000001</v>
      </c>
      <c r="O2" s="3">
        <f>1846.6+(577.1-414.4)+(-1.883532+(-0.588642--0.422688))+0-726--0.740520000000116</f>
        <v>1281.9910340000001</v>
      </c>
      <c r="P2" s="3">
        <f>1880.6+(659.3-532.6)+(-1.918212+(-0.672486--0.543252))+0-657--0.670140000000105</f>
        <v>1348.9226939999999</v>
      </c>
      <c r="Q2" s="3">
        <f>1946.4+(599.8-612.4)+(-2.977992+(-0.917694--0.936972))+0-561.7--0.859401000000033</f>
        <v>1370.000687</v>
      </c>
      <c r="R2" s="3">
        <f>1950.8+(807.7-788.4)+(0+(0-0))+0-598.8-0</f>
        <v>1371.3</v>
      </c>
      <c r="S2" s="3">
        <f>1966+(846.9-748.1)+(-5.0133+(-2.159595--1.907655))+0-695.1--1.7725049999999</f>
        <v>1366.207265</v>
      </c>
      <c r="T2" s="3">
        <f>1938.5+(730.9-835)+(-0.988635+(-0.372759--0.42585))+0-491.7--0.25076699999995</f>
        <v>1342.0152230000001</v>
      </c>
      <c r="U2" s="3">
        <f>1986.3+(700.7-825.7)+(-1.013013+(-0.357357--0.421107))+0-531.5--0.271064999999946</f>
        <v>1329.1218019999999</v>
      </c>
      <c r="V2" s="3">
        <f>1993.5+(716.2-772.3)+(-3.050055+(-1.095786--1.181619))+0-610.8--0.934524000000035</f>
        <v>1324.5703020000001</v>
      </c>
      <c r="W2" s="3">
        <f>1940+(728.1-704.8)+(-1.9788+(-0.742662--0.718896))+0-641.9--0.654738000000102</f>
        <v>1320.0521720000006</v>
      </c>
      <c r="X2" s="3">
        <f>1893+(655.4-602.9)+(0+(0-0))+0-595-0</f>
        <v>1350.5</v>
      </c>
      <c r="Y2" s="3">
        <f>1979.6+(1044.7-735.4)+(-1.009596+(-0.532797--0.375054))+0-670.4--0.341903999999932</f>
        <v>1617.6745649999998</v>
      </c>
      <c r="Z2" s="3">
        <f>2103.4+(1115.1-843.9)+(-4.290936+(-2.274804--1.721556))+0-624.3--1.27357199999997</f>
        <v>1746.729388</v>
      </c>
      <c r="AA2" s="3">
        <f>2109.9+(1306.2-982.8)+(-2.152098+(-1.332324--1.002456))+0-706.9--0.721038000000113</f>
        <v>1724.6390720000004</v>
      </c>
      <c r="AB2" s="3">
        <f>2116+(1342.5-1122.7)+(-3.23748+(-2.054025--1.717731))+0-620.3--0.949059000000036</f>
        <v>1712.8752850000003</v>
      </c>
      <c r="AC2" s="3">
        <f>2107.8+(1184.9-967.2)+(-3.224934+(-1.812897--1.479816))+0-638--0.976140000000037</f>
        <v>1684.9181249999999</v>
      </c>
      <c r="AD2">
        <f t="shared" si="0"/>
        <v>33409.399696500004</v>
      </c>
      <c r="AE2" s="3">
        <f>2089+(1079-879)+(0+(0-0))+0-602-0</f>
        <v>1687</v>
      </c>
    </row>
    <row r="3" spans="1:31" s="2" customFormat="1" x14ac:dyDescent="0.25">
      <c r="A3">
        <v>89</v>
      </c>
      <c r="B3">
        <v>1</v>
      </c>
      <c r="C3">
        <v>3</v>
      </c>
      <c r="D3">
        <v>4</v>
      </c>
      <c r="E3">
        <v>2</v>
      </c>
      <c r="F3" s="3">
        <f>2077.2+(1091.9-1015.4)+(-4.237488+(-2.227476--2.071416))+0-615--1.25459999999997</f>
        <v>1535.5610519999998</v>
      </c>
      <c r="G3" s="3">
        <f>2076.4+(668.6-695.8)+(-3.176892+(-1.022958--1.064574))+0-647.7--0.990981000000038</f>
        <v>1399.3557050000004</v>
      </c>
      <c r="H3" s="3">
        <f>2079.6+(481-573.8)+(-6.363576+(-1.47186--1.755828))+0-670.7--2.05234200000008</f>
        <v>1312.0727340000001</v>
      </c>
      <c r="I3" s="3">
        <f>1959.7+(450.4-455.4)+(-1.998894+(-0.459408--0.464508))+0-674.2--0.687684000000108</f>
        <v>1279.1938900000002</v>
      </c>
      <c r="J3" s="3">
        <f>1852.3+(590.3-426.3)+(-2.834019+(-0.903159--0.652239))+0-700.8--1.07222400000004</f>
        <v>1313.4872849999999</v>
      </c>
      <c r="K3" s="3">
        <f>1852.1+(551.5-497.5)+(-0.944571+(-0.281265--0.253725))+0-643.8--0.328337999999935</f>
        <v>1261.6562269999999</v>
      </c>
      <c r="L3" s="3">
        <f>1862+(599-551.4)+(-3.79848+(-1.22196--1.124856))+0-630.1--1.28540399999997</f>
        <v>1276.8898199999996</v>
      </c>
      <c r="M3" s="3">
        <f>1864.2+(329.4-476.1)+(-2.852226+(-0.503982--0.728433))+0-521.1--0.79728300000003</f>
        <v>1194.5695080000003</v>
      </c>
      <c r="N3" s="3">
        <f>1877.7+(517.6-545.5)+(0.957627+(0.263976-0.278205))+0-599.3-0.305642999999939</f>
        <v>1251.1377550000002</v>
      </c>
      <c r="O3" s="3">
        <f>1902.4+(790.5-695.1)+(0+(0-0))+0-667-0</f>
        <v>1330.8000000000002</v>
      </c>
      <c r="P3" s="3">
        <f>1931+(888.8-798.9)+(0.98481+(0.453288-0.407439))+0-616.6-0.314465999999937</f>
        <v>1405.0161930000002</v>
      </c>
      <c r="Q3" s="3">
        <f>2102.8+(768.4-765.5)+(-1.072428+(-0.391884--0.390405))+0-682.7--0.348176999999931</f>
        <v>1422.2742700000001</v>
      </c>
      <c r="R3" s="3">
        <f>2177.3+(714.2-875.1)+(-2.220846+(-0.728484--0.892602))+0-582.6--0.594252000000093</f>
        <v>1432.3375240000003</v>
      </c>
      <c r="S3" s="3">
        <f>2166.2+(832.2-963.9)+(-1.104762+(-0.424422--0.491589))+0-613.7--0.312986999999938</f>
        <v>1420.075392</v>
      </c>
      <c r="T3" s="3">
        <f>2026.6+(773-817.7)+(0+(0-0))+0-589.2-0</f>
        <v>1392.6999999999998</v>
      </c>
      <c r="U3" s="3">
        <f>2041.4+(748.6-853.7)+(-3.123342+(-1.145358--1.306161))+0-544.7--0.833391000000032</f>
        <v>1389.4708520000001</v>
      </c>
      <c r="V3" s="3">
        <f>2042.6+(688-792.6)+(-2.083452+(-0.70176--0.808452))+0-549.1--0.560082000000088</f>
        <v>1387.4833220000003</v>
      </c>
      <c r="W3" s="3">
        <f>2054.9+(722.9-820.1)+(-2.095998+(-0.737358--0.836502))+0-563.6--0.57487200000009</f>
        <v>1392.6780180000001</v>
      </c>
      <c r="X3" s="3">
        <f>2066.5+(740.6-846.9)+(0+(0-0))+0-520.3-0</f>
        <v>1439.9</v>
      </c>
      <c r="Y3" s="3">
        <f>2175.1+(1096.3-977)+(0+(0-0))+0-588.1-0</f>
        <v>1706.2999999999997</v>
      </c>
      <c r="Z3" s="3">
        <f>2296.5+(1207.2-980)+(-4.68486+(-2.462688--1.9992))+0-701.9--1.43187599999997</f>
        <v>1818.0835279999994</v>
      </c>
      <c r="AA3" s="3">
        <f>2300.4+(1004.4-917)+(0+(0-0))+0-608.9-0</f>
        <v>1778.9</v>
      </c>
      <c r="AB3" s="3">
        <f>2304.9+(1014.2-962.1)+(-1.175499+(-0.517242--0.490671))+0-618--0.315179999999937</f>
        <v>1738.11311</v>
      </c>
      <c r="AC3" s="3">
        <f>2293.8+(1048.2-969.8)+(-2.339676+(-1.069164--0.989196))+0-694.5--0.708390000000111</f>
        <v>1675.9887460000002</v>
      </c>
      <c r="AD3">
        <f t="shared" si="0"/>
        <v>34554.044931000004</v>
      </c>
      <c r="AE3" s="3">
        <f>2291+(1246-1026)+(0+(0-0))+0-650-0</f>
        <v>1861</v>
      </c>
    </row>
    <row r="4" spans="1:31" s="2" customFormat="1" x14ac:dyDescent="0.25">
      <c r="A4">
        <v>89</v>
      </c>
      <c r="B4">
        <v>1</v>
      </c>
      <c r="C4">
        <v>4</v>
      </c>
      <c r="D4">
        <v>5</v>
      </c>
      <c r="E4">
        <v>2</v>
      </c>
      <c r="F4" s="3">
        <f>2222.1+(978.8-951.3)+(-2.266542+(-0.998376--0.970326))+0-695.1--0.709002000000111</f>
        <v>1552.9144099999999</v>
      </c>
      <c r="G4" s="3">
        <f>1950.8+(959.6-821.6)+(-3.979632+(-1.957584--1.676064))+0-673.5--1.37393999999997</f>
        <v>1412.4127880000001</v>
      </c>
      <c r="H4" s="3">
        <f>1901.8+(718-569.3)+(-2.909754+(-1.09854--0.871029))+0-706.6--1.08109800000004</f>
        <v>1341.8438329999999</v>
      </c>
      <c r="I4" s="3">
        <f>1893.8+(668.6-526.1)+(1.931676+(0.681972-0.536622))+0-723.8-0.738276000000115</f>
        <v>1313.8387499999999</v>
      </c>
      <c r="J4" s="3">
        <f>1896.4+(613.5-499.6)+(-0.967164+(-0.312885--0.254796))+0-706--0.360059999999928</f>
        <v>1303.6348070000001</v>
      </c>
      <c r="K4" s="3">
        <f>1897.6+(600.2-523.1)+(0.967776+(0.306102-0.266781))+0-669.8-0.341597999999932</f>
        <v>1305.5654989999998</v>
      </c>
      <c r="L4" s="3">
        <f>1917.5+(628.7-508.7)+(-0.977925+(-0.320637--0.259437))+0-739.3--0.377042999999925</f>
        <v>1297.537918</v>
      </c>
      <c r="M4" s="3">
        <f>1916.4+(443.4-405)+(-1.954728+(-0.452268--0.4131))+0-711.1--0.725322000000113</f>
        <v>1242.4314260000003</v>
      </c>
      <c r="N4" s="3">
        <f>1927.6+(625.9-566)+(0+(0-0))+0-694.5-0</f>
        <v>1293</v>
      </c>
      <c r="O4" s="3">
        <f>2056.2+(768.9-725.7)+(1.048662+(0.392139-0.370107))+0-715.9-0.365108999999927</f>
        <v>1384.2055849999997</v>
      </c>
      <c r="P4" s="3">
        <f>2207.6+(551.1-683.6)+(-4.503504+(-1.124244--1.394544))+0-650--1.32599999999997</f>
        <v>1422.1927959999998</v>
      </c>
      <c r="Q4" s="3">
        <f>2260.1+(547.7-654.3)+(-2.305302+(-0.558654--0.667386))+0-631.1--0.643722000000101</f>
        <v>1520.8471520000001</v>
      </c>
      <c r="R4" s="3">
        <f>2257.7+(551.3-623.7)+(0+(0-0))+0-629.9-0</f>
        <v>1555.3999999999996</v>
      </c>
      <c r="S4" s="3">
        <f>2183.4+(713.4-725.1)+(1.113534+(0.363834-0.369801))+0-602.6-0.307325999999939</f>
        <v>1569.9002410000001</v>
      </c>
      <c r="T4" s="3">
        <f>2198.2+(713.1-715.9)+(-2.242164+(-0.727362--0.730218))+0-642.6--0.655452000000103</f>
        <v>1551.2161439999998</v>
      </c>
      <c r="U4" s="3">
        <f>2233.8+(616.1-803.9)+(-3.417714+(-0.942633--1.229967))+0-633.1--0.968643000000037</f>
        <v>1410.738263</v>
      </c>
      <c r="V4" s="3">
        <f>2203.3+(699.8-782.8)+(0+(0-0))+0-644.7-0</f>
        <v>1475.6000000000001</v>
      </c>
      <c r="W4" s="3">
        <f>2217.5+(713.5-809.7)+(-1.130925+(-0.363885--0.412947))+0-653.1--0.333080999999934</f>
        <v>1467.4512180000004</v>
      </c>
      <c r="X4" s="3">
        <f>2240.4+(767-737.8)+(-1.142604+(-0.39117--0.376278))+0-659.1--0.336140999999933</f>
        <v>1609.6786450000006</v>
      </c>
      <c r="Y4" s="3">
        <f>2279.1+(894.7-754.4)+(-1.162341+(-0.456297--0.384744))+0-686.9--0.35031899999993</f>
        <v>1731.6164249999999</v>
      </c>
      <c r="Z4" s="3">
        <f>2325.8+(1019.1-910)+(-4.744632+(-2.078964--1.8564))+0-664.2--1.35496799999997</f>
        <v>1767.0877719999999</v>
      </c>
      <c r="AA4" s="3">
        <f>2321+(956.4-806.3)+(-2.36742+(-0.975528--0.822426))+0-692.6--0.70645200000011</f>
        <v>1776.6859300000003</v>
      </c>
      <c r="AB4" s="3">
        <f>2322.8+(882.4-850.3)+(0+(0-0))+0-656.1-0</f>
        <v>1698.8000000000002</v>
      </c>
      <c r="AC4" s="3">
        <f>2308.2+(880.8-817.2)+(-2.354364+(-0.898416--0.833544))+0-728.4--0.742968000000116</f>
        <v>1641.7237319999995</v>
      </c>
      <c r="AD4">
        <f t="shared" si="0"/>
        <v>35646.323333999993</v>
      </c>
      <c r="AE4" s="3">
        <f>2335+(1101-880)+(0+(0-0))+0-663-0</f>
        <v>1893</v>
      </c>
    </row>
    <row r="5" spans="1:31" s="2" customFormat="1" x14ac:dyDescent="0.25">
      <c r="A5">
        <v>89</v>
      </c>
      <c r="B5">
        <v>1</v>
      </c>
      <c r="C5">
        <v>5</v>
      </c>
      <c r="D5">
        <v>6</v>
      </c>
      <c r="E5">
        <v>6</v>
      </c>
      <c r="F5" s="3">
        <f>2277+(567.6-721)+(-5.80635+(-1.44738--1.83855))+0-591.3--1.50781499999991</f>
        <v>1528.3926349999999</v>
      </c>
      <c r="G5" s="3">
        <f>2245.1+(475.6-661.1)+(-3.435003+(-0.727668--1.011483))+0-647.2--0.990216000000038</f>
        <v>1410.2390280000002</v>
      </c>
      <c r="H5" s="3">
        <f>2136.3+(551.8-673.3)+(-2.179026+(-0.562836--0.686766))+0-685.4--0.699108000000109</f>
        <v>1328.0440120000001</v>
      </c>
      <c r="I5" s="3">
        <f>1964.2+(548.2-556)+(-1.001742+(-0.279582--0.28356))+0-671.4--0.342413999999932</f>
        <v>1284.3446500000002</v>
      </c>
      <c r="J5" s="3">
        <f>1877+(635.5-556.8)+(-0.95727+(-0.324105--0.283968))+0-687.3--0.35052299999993</f>
        <v>1267.7531159999999</v>
      </c>
      <c r="K5" s="3">
        <f>1883.7+(671.5-576.9)+(-0.960687+(-0.342465--0.294219))+0-702.9--0.358478999999929</f>
        <v>1274.749546</v>
      </c>
      <c r="L5" s="3">
        <f>1883.2+(576.8-526.1)+(-3.841728+(-1.176672--1.073244))+0-666.3--1.35925199999997</f>
        <v>1265.0140960000001</v>
      </c>
      <c r="M5" s="3">
        <f>1880.9+(410.8-427.7)+(0.959259+(0.209508-0.218127))+0-658.2-0.335681999999933</f>
        <v>1206.4149580000001</v>
      </c>
      <c r="N5" s="3">
        <f>1876.2+(608.8-593.5)+(0.956862+(0.310488-0.302685))+0-629.4-0.320993999999936</f>
        <v>1262.7436709999999</v>
      </c>
      <c r="O5" s="3">
        <f>1998.2+(581.2-764)+(1.019082+(0.296412-0.38964))+0-477.7-0.243626999999952</f>
        <v>1338.3822270000001</v>
      </c>
      <c r="P5" s="3">
        <f>2226.7+(469.5-812.7)+(0+(0-0))+0-466.8-0</f>
        <v>1416.6999999999998</v>
      </c>
      <c r="Q5" s="3">
        <f>2253.6+(645.7-834.1)+(2.298672+(0.658614-0.850782))+0-620.3-0.632706000000099</f>
        <v>1446.3737979999996</v>
      </c>
      <c r="R5" s="3">
        <f>2238+(726.1-804.3)+(-1.14138+(-0.370311--0.410193))+0-724.7--0.369596999999927</f>
        <v>1434.368099</v>
      </c>
      <c r="S5" s="3">
        <f>2226.3+(580.3-730.7)+(-2.270826+(-0.591906--0.745314))+0-679--0.692580000000108</f>
        <v>1395.4751620000004</v>
      </c>
      <c r="T5" s="3">
        <f>2231.8+(564-830.5)+(1.138218+(0.28764-0.423555))+0-590.5-0.30115499999994</f>
        <v>1375.5011480000003</v>
      </c>
      <c r="U5" s="3">
        <f>2225.7+(514.1-694.7)+(-2.270214+(-0.524382--0.708594))+0-681.7--0.695334000000109</f>
        <v>1362.0093319999999</v>
      </c>
      <c r="V5" s="3">
        <f>2224.8+(419-652.3)+(0+(0-0))+0-627.3-0</f>
        <v>1364.2000000000003</v>
      </c>
      <c r="W5" s="3">
        <f>2223.4+(456-655)+(-3.401802+(-0.69768--1.00215))+0-656.4--1.00429200000004</f>
        <v>1365.9069600000003</v>
      </c>
      <c r="X5" s="3">
        <f>2239.9+(440.6-666.2)+(-4.569396+(-0.898824--1.359048))+0-597.5--1.21889999999997</f>
        <v>1413.9097280000003</v>
      </c>
      <c r="Y5" s="3">
        <f>2253.8+(764.2-731.8)+(-2.298876+(-0.779484--0.746436))+0-617.3--0.629646000000098</f>
        <v>1667.1977220000003</v>
      </c>
      <c r="Z5" s="3">
        <f>2265.5+(966.6-833.2)+(-3.466215+(-1.478898--1.274796))+0-602.5--0.921825000000035</f>
        <v>1793.6515080000001</v>
      </c>
      <c r="AA5" s="3">
        <f>2264.1+(958-779)+(0+(0-0))+0-676.8-0</f>
        <v>1766.3</v>
      </c>
      <c r="AB5" s="3">
        <f>2078.2+(989.1-814)+(-1.059882+(-0.504441--0.41514))+0-542.8--0.276827999999945</f>
        <v>1709.6276449999998</v>
      </c>
      <c r="AC5" s="3">
        <f>1971.7+(1061.3-703.1)+(-2.011134+(-1.082526--0.717162))+0-666.9--0.680238000000106</f>
        <v>1661.3037400000001</v>
      </c>
      <c r="AD5">
        <f t="shared" si="0"/>
        <v>34338.602781000001</v>
      </c>
      <c r="AE5" s="3">
        <f>2266+(1073-799)+(0+(0-0))+0-772-0</f>
        <v>1768</v>
      </c>
    </row>
    <row r="6" spans="1:31" s="2" customFormat="1" x14ac:dyDescent="0.25">
      <c r="A6">
        <v>89</v>
      </c>
      <c r="B6">
        <v>1</v>
      </c>
      <c r="C6">
        <v>6</v>
      </c>
      <c r="D6">
        <v>7</v>
      </c>
      <c r="E6">
        <v>1</v>
      </c>
      <c r="F6" s="3">
        <f>1960.2+(968-689.5)+(-0.999702+(-0.49368--0.351645))+0-700.2--0.357101999999929</f>
        <v>1537.7153649999998</v>
      </c>
      <c r="G6" s="3">
        <f>1911.3+(601.7-509.9)+(-1.949526+(-0.613734--0.520098))+0-615.1--0.627402000000098</f>
        <v>1386.5842400000001</v>
      </c>
      <c r="H6" s="3">
        <f>1823.9+(534-332.6)+(-2.790567+(-0.81702--0.508878))+0-723.5--1.10695500000004</f>
        <v>1299.8082460000001</v>
      </c>
      <c r="I6" s="3">
        <f>1818.6+(538.9-369)+(0+(0-0))+0-718.9-0</f>
        <v>1269.5999999999999</v>
      </c>
      <c r="J6" s="3">
        <f>1674.3+(585.6-371.8)+(-2.561679+(-0.895968--0.568854))+0-627.7--0.960381000000036</f>
        <v>1258.4715879999999</v>
      </c>
      <c r="K6" s="3">
        <f>1600+(729.6-402.5)+(0+(0-0))+0-664-0</f>
        <v>1263.0999999999999</v>
      </c>
      <c r="L6" s="3">
        <f>1608.8+(759.1-406)+(2.461464+(1.161423-0.62118))+0-698.4-1.06855200000004</f>
        <v>1265.4331549999999</v>
      </c>
      <c r="M6" s="3">
        <f>1609.1+(562.5-340)+(-4.923846+(-1.72125--1.0404))+0-656.9--2.01011400000008</f>
        <v>1171.1054180000001</v>
      </c>
      <c r="N6" s="3">
        <f>1606.8+(625-383.1)+(1.638936+(0.6375-0.390762))+0-635.1-0.647802000000101</f>
        <v>1214.8378719999998</v>
      </c>
      <c r="O6" s="3">
        <f>1610.7+(788.3-400)+(0+(0-0))+0-696.7-0</f>
        <v>1302.3</v>
      </c>
      <c r="P6" s="3">
        <f>1886.1+(742.9-560.2)+(0+(0-0))+0-687.4-0</f>
        <v>1381.3999999999996</v>
      </c>
      <c r="Q6" s="3">
        <f>1944.6+(797.1-725.4)+(1.983492+(0.813042-0.739908))+0-594.3-0.606186000000095</f>
        <v>1423.4504399999998</v>
      </c>
      <c r="R6" s="3">
        <f>1929.5+(895.3-794.3)+(0+(0-0))+0-617.7-0</f>
        <v>1412.8</v>
      </c>
      <c r="S6" s="3">
        <f>1926.2+(862.4-776.6)+(-2.947086+(-1.319472--1.188198))+0-621.5--0.950895000000036</f>
        <v>1388.372535</v>
      </c>
      <c r="T6" s="3">
        <f>1933.5+(726-716)+(-2.958255+(-1.11078--1.09548))+0-577.1--0.882963000000033</f>
        <v>1364.3094080000001</v>
      </c>
      <c r="U6" s="3">
        <f>1925.2+(740.3-642.9)+(-2.945556+(-1.132659--0.983637))+0-669.2--1.02387600000004</f>
        <v>1351.3292979999999</v>
      </c>
      <c r="V6" s="3">
        <f>1920.3+(670.9-639.4)+(-2.938059+(-1.026477--0.978282))+0-596.9--0.913257000000035</f>
        <v>1352.8270030000001</v>
      </c>
      <c r="W6" s="3">
        <f>1921.2+(695.9-560.7)+(0+(0-0))+0-672.5-0</f>
        <v>1383.9</v>
      </c>
      <c r="X6" s="3">
        <f>1946.5+(741.9-586.7)+(-2.978145+(-1.135107--0.897651))+0-610.2--0.933606000000035</f>
        <v>1489.2180049999999</v>
      </c>
      <c r="Y6" s="3">
        <f>1961.9+(976-539.5)+(-3.001707+(-1.49328--0.825435))+0-674.3--1.03167900000004</f>
        <v>1721.4621270000002</v>
      </c>
      <c r="Z6" s="3">
        <f>1975.9+(801.7-555.6)+(-4.030836+(-1.635468--1.133424))+0-452.1--0.92228399999998</f>
        <v>1766.2894039999999</v>
      </c>
      <c r="AA6" s="3">
        <f>1982+(710.9-632.4)+(-2.02164+(-0.725118--0.645048))+0-327--0.333540000000052</f>
        <v>1731.7318300000002</v>
      </c>
      <c r="AB6" s="3">
        <f>1981.3+(808.1-659.3)+(-1.010463+(-0.412131--0.336243))+0-434.8--0.221747999999956</f>
        <v>1694.435397</v>
      </c>
      <c r="AC6" s="3">
        <f>1978.2+(835.7-580.9)+(0+(0-0))+0-565.6-0</f>
        <v>1667.4</v>
      </c>
      <c r="AD6">
        <f t="shared" si="0"/>
        <v>34097.881331000004</v>
      </c>
      <c r="AE6" s="3">
        <f>1971+(879-639)+(0+(0-0))+0-505-0</f>
        <v>1706</v>
      </c>
    </row>
    <row r="7" spans="1:31" s="2" customFormat="1" x14ac:dyDescent="0.25">
      <c r="A7">
        <v>89</v>
      </c>
      <c r="B7">
        <v>1</v>
      </c>
      <c r="C7">
        <v>7</v>
      </c>
      <c r="D7">
        <v>1</v>
      </c>
      <c r="E7">
        <v>1</v>
      </c>
      <c r="F7" s="3">
        <f>1947+(863.2-581.5)+(-0.99297+(-0.440232--0.296565))+0-698.2--0.356081999999929</f>
        <v>1529.7194449999997</v>
      </c>
      <c r="G7" s="3">
        <f>1792.2+(770.2-601.2)+(-2.742066+(-1.178406--0.919836))+0-550.2--0.841806000000032</f>
        <v>1408.8411700000001</v>
      </c>
      <c r="H7" s="3">
        <f>1732.2+(648.7-373)+(0+(0-0))+0-661.6-0</f>
        <v>1346.3000000000002</v>
      </c>
      <c r="I7" s="3">
        <f>1734+(497-304.8)+(-3.53736+(-1.01388--0.621792))+0-619.1--1.26296399999997</f>
        <v>1304.4335160000001</v>
      </c>
      <c r="J7" s="3">
        <f>1733.3+(498.9-222.6)+(0.883983+(0.254439-0.113526))+0-717.5-0.365924999999927</f>
        <v>1292.758971</v>
      </c>
      <c r="K7" s="3">
        <f>1734+(464.3-205.8)+(-0.88434+(-0.236793--0.104958))+0-697.8--0.355877999999929</f>
        <v>1294.0397029999999</v>
      </c>
      <c r="L7" s="3">
        <f>1760.7+(458.6-220.5)+(-1.795914+(-0.467772--0.22491))+0-670.5--0.683910000000107</f>
        <v>1326.9451340000003</v>
      </c>
      <c r="M7" s="3">
        <f>1872.5+(335.6-243.4)+(-3.8199+(-0.684624--0.496536))+0-614.6--1.25378399999997</f>
        <v>1347.3457960000001</v>
      </c>
      <c r="N7" s="3">
        <f>1968.2+(462.5-288.2)+(2.007564+(0.47175-0.293964))+0-692-0.70584000000011</f>
        <v>1451.9795100000001</v>
      </c>
      <c r="O7" s="3">
        <f>1968.6+(580.8-296.8)+(-1.003986+(-0.296208--0.151368))+0-706.7--0.360416999999928</f>
        <v>1545.1115909999996</v>
      </c>
      <c r="P7" s="3">
        <f>1961.2+(734.4-409.4)+(0+(0-0))+0-695.6-0</f>
        <v>1590.6</v>
      </c>
      <c r="Q7" s="3">
        <f>1957.4+(786.8-425.5)+(-1.996548+(-0.802536--0.43401))+0-660.5--0.673710000000105</f>
        <v>1656.508636</v>
      </c>
      <c r="R7" s="3">
        <f>1960+(833.6-442.5)+(-0.9996+(-0.425136--0.225675))+0-670.6--0.342005999999932</f>
        <v>1679.6429450000001</v>
      </c>
      <c r="S7" s="3">
        <f>2102.8+(654.5-444.1)+(-3.217284+(-1.001385--0.679473))+0-697.3--1.06686900000004</f>
        <v>1613.4276730000001</v>
      </c>
      <c r="T7" s="3">
        <f>2210.1+(456.2-463.6)+(-4.508604+(-0.930648--0.945744))+0-616.7--1.25806799999997</f>
        <v>1582.7645599999996</v>
      </c>
      <c r="U7" s="3">
        <f>2232.3+(395-499)+(-2.276946+(-0.4029--0.50898))+0-645.6--0.658512000000103</f>
        <v>1481.1876460000005</v>
      </c>
      <c r="V7" s="3">
        <f>2277.1+(363.9-496.2)+(-5.806605+(-0.927945--1.26531))+0-678.2--1.7294099999999</f>
        <v>1462.8601699999997</v>
      </c>
      <c r="W7" s="3">
        <f>2300.8+(360.4-492.4)+(0+(0-0))+0-672.9-0</f>
        <v>1495.9</v>
      </c>
      <c r="X7" s="3">
        <f>2307+(410.3-545.4)+(-3.52971+(-0.627759--0.834462))+0-647.7--0.990981000000038</f>
        <v>1521.8679740000002</v>
      </c>
      <c r="Y7" s="3">
        <f>2313.2+(611.5-511.6)+(0+(0-0))+0-699-0</f>
        <v>1714.1</v>
      </c>
      <c r="Z7" s="3">
        <f>2337.2+(583-468.2)+(-2.383944+(-0.59466--0.477564))+0-653.8--0.666876000000104</f>
        <v>1796.3658359999999</v>
      </c>
      <c r="AA7" s="3">
        <f>2344.9+(710.6-598.6)+(-2.391798+(-0.724812--0.610572))+0-701.7--0.715734000000112</f>
        <v>1753.4096960000002</v>
      </c>
      <c r="AB7" s="3">
        <f>2342.3+(742.3-670.2)+(-1.194573+(-0.378573--0.341802))+0-719--0.366689999999927</f>
        <v>1694.5353460000001</v>
      </c>
      <c r="AC7" s="3">
        <f>2337.4+(708.4-764.7)+(-1.192074+(-0.361284--0.389997))+0-610.5--0.311354999999938</f>
        <v>1669.7479940000001</v>
      </c>
      <c r="AD7">
        <f t="shared" si="0"/>
        <v>36560.393311999993</v>
      </c>
      <c r="AE7" s="3">
        <f>2348+(584-442)+(0+(0-0))+0-665-0</f>
        <v>1825</v>
      </c>
    </row>
    <row r="8" spans="1:31" s="2" customFormat="1" x14ac:dyDescent="0.25">
      <c r="A8">
        <v>89</v>
      </c>
      <c r="B8">
        <v>1</v>
      </c>
      <c r="C8">
        <v>8</v>
      </c>
      <c r="D8">
        <v>2</v>
      </c>
      <c r="E8">
        <v>1</v>
      </c>
      <c r="F8" s="3">
        <f>2263.7+(457.2-502.8)+(-4.617948+(-0.932688--1.025712))+0-696.2--1.42024799999997</f>
        <v>1518.7953239999999</v>
      </c>
      <c r="G8" s="3">
        <f>2186.8+(239.3-341.7)+(-3.345804+(-0.366129--0.522801))+0-694.2--1.06212600000004</f>
        <v>1388.0729940000001</v>
      </c>
      <c r="H8" s="3">
        <f>2184.6+(219.9-390.5)+(-4.456584+(-0.448596--0.79662))+0-693.8--1.41535199999997</f>
        <v>1317.5067920000001</v>
      </c>
      <c r="I8" s="3">
        <f>2092.5+(203.8-354.4)+(-2.13435+(-0.207876--0.361488))+0-656.4--0.669528000000105</f>
        <v>1284.1887900000004</v>
      </c>
      <c r="J8" s="3">
        <f>1973.5+(333.1-374.5)+(0+(0-0))+0-674.4-0</f>
        <v>1257.6999999999998</v>
      </c>
      <c r="K8" s="3">
        <f>1957+(274.6-391.7)+(0.99807+(0.140046-0.199767))+0-576.2-0.293861999999942</f>
        <v>1264.3444870000001</v>
      </c>
      <c r="L8" s="3">
        <f>1969.4+(323.1-371)+(2.008788+(0.329562-0.37842))+0-630.4-0.643008000000101</f>
        <v>1292.4169219999999</v>
      </c>
      <c r="M8" s="3">
        <f>1966+(268.2-419.3)+(-1.00266+(-0.136782--0.213843))+0-548.3--0.279632999999944</f>
        <v>1265.9540340000001</v>
      </c>
      <c r="N8" s="3">
        <f>2093+(219.6-441.8)+(-1.06743+(-0.111996--0.225318))+0-516.6--0.263465999999948</f>
        <v>1353.5093579999998</v>
      </c>
      <c r="O8" s="3">
        <f>2173+(241.7-461.5)+(-2.21646+(-0.246534--0.47073))+0-484.4--0.494088000000077</f>
        <v>1467.3018240000004</v>
      </c>
      <c r="P8" s="3">
        <f>2170.2+(371.6-464.7)+(0+(0-0))+0-541.7-0</f>
        <v>1535.3999999999999</v>
      </c>
      <c r="Q8" s="3">
        <f>2168+(408.7-528)+(-2.21136+(-0.416874--0.53856))+0-475.4--0.484908000000076</f>
        <v>1571.695234</v>
      </c>
      <c r="R8" s="3">
        <f>2153.6+(364.4-486.3)+(-3.295008+(-0.557532--0.744039))+0-467.6--0.715428000000027</f>
        <v>1561.7069269999997</v>
      </c>
      <c r="S8" s="3">
        <f>2150.5+(419.4-606.2)+(0+(0-0))+0-488.1-0</f>
        <v>1475.6</v>
      </c>
      <c r="T8" s="3">
        <f>2149.7+(446.7-611.4)+(-4.385388+(-0.911268--1.247256))+0-499.5--1.01897999999998</f>
        <v>1482.4695799999997</v>
      </c>
      <c r="U8" s="3">
        <f>2153.2+(380.3-569.4)+(-3.294396+(-0.581859--0.871182))+0-466.1--0.713133000000027</f>
        <v>1495.7080599999997</v>
      </c>
      <c r="V8" s="3">
        <f>2155.6+(500.9-519.9)+(-1.099356+(-0.255459--0.265149))+0-645.3--0.329102999999935</f>
        <v>1490.5394370000001</v>
      </c>
      <c r="W8" s="3">
        <f>2175.5+(510.8-738.2)+(-3.328515+(-0.781524--1.129446))+0-477.7--0.730881000000028</f>
        <v>1468.1502879999998</v>
      </c>
      <c r="X8" s="3">
        <f>2185.7+(642-785)+(-1.114707+(-0.32742--0.40035))+0-542.2--0.276521999999945</f>
        <v>1499.7347449999997</v>
      </c>
      <c r="Y8" s="3">
        <f>2186.6+(940.7-703.4)+(-2.230332+(-0.959514--0.717468))+0-698.7--0.712674000000112</f>
        <v>1723.4402960000002</v>
      </c>
      <c r="Z8" s="3">
        <f>2194.8+(970.3-688)+(-4.477392+(-1.979412--1.40352))+0-620.1--1.26500399999997</f>
        <v>1853.2117200000002</v>
      </c>
      <c r="AA8" s="3">
        <f>2196.9+(1032.6-714)+(-1.120419+(-0.526626--0.36414))+0-716.3--0.365312999999927</f>
        <v>1798.282408</v>
      </c>
      <c r="AB8" s="3">
        <f>2191+(992.6-820.9)+(-3.35223+(-1.518678--1.255977))+0-612.2--0.936666000000035</f>
        <v>1747.8217349999998</v>
      </c>
      <c r="AC8" s="3">
        <f>2163.3+(1013.6-822.4)+(1.103283+(0.516936-0.419424))+0-640.9-0.326858999999935</f>
        <v>1714.4739360000001</v>
      </c>
      <c r="AD8">
        <f t="shared" si="0"/>
        <v>35828.024891000001</v>
      </c>
      <c r="AE8" s="3">
        <f>2200+(999-762)+(0+(0-0))+0-633-0</f>
        <v>1804</v>
      </c>
    </row>
    <row r="9" spans="1:31" s="2" customFormat="1" x14ac:dyDescent="0.25">
      <c r="A9">
        <v>89</v>
      </c>
      <c r="B9">
        <v>1</v>
      </c>
      <c r="C9">
        <v>9</v>
      </c>
      <c r="D9">
        <v>3</v>
      </c>
      <c r="E9">
        <v>1</v>
      </c>
      <c r="F9" s="3">
        <f>2140.3+(851.3-737.9)+(-5.457765+(-2.170815--1.881645))+0-659.7--1.6822349999999</f>
        <v>1589.9353000000001</v>
      </c>
      <c r="G9" s="3">
        <f>2144.2+(612.4-618.5)+(-5.46771+(-1.56162--1.577175))+0-674.6--1.7202299999999</f>
        <v>1459.768075</v>
      </c>
      <c r="H9" s="3">
        <f>2014.2+(447.7-395.7)+(0+(0-0))+0-681.5-0</f>
        <v>1384.6999999999998</v>
      </c>
      <c r="I9" s="3">
        <f>1996.8+(374.4-314.9)+(-2.036736+(-0.381888--0.321198))+0-714.4--0.728688000000114</f>
        <v>1340.5312620000004</v>
      </c>
      <c r="J9" s="3">
        <f>1997.9+(267.5-347.7)+(-5.094645+(-0.682125--0.886635))+0-587.6--1.49837999999991</f>
        <v>1326.7082449999998</v>
      </c>
      <c r="K9" s="3">
        <f>2025.7+(278.9-406.3)+(-2.066214+(-0.284478--0.414426))+0-571.6--0.583032000000091</f>
        <v>1325.3467660000001</v>
      </c>
      <c r="L9" s="3">
        <f>2088.7+(302.7-376.8)+(0+(0-0))+0-677.9-0</f>
        <v>1336.6999999999998</v>
      </c>
      <c r="M9" s="3">
        <f>2090.3+(208.9-466.1)+(-1.066053+(-0.106539--0.237711))+0-518.3--0.264332999999947</f>
        <v>1314.1294520000001</v>
      </c>
      <c r="N9" s="3">
        <f>2101.9+(297.6-282.7)+(-2.143938+(-0.303552--0.288354))+0-681--0.694620000000109</f>
        <v>1434.3354840000002</v>
      </c>
      <c r="O9" s="3">
        <f>2163.6+(277.6-334.2)+(-1.103436+(-0.141576--0.170442))+0-548.4--0.279683999999944</f>
        <v>1557.8051139999995</v>
      </c>
      <c r="P9" s="3">
        <f>2184.1+(430.6-373.2)+(0+(0-0))+0-606.1-0</f>
        <v>1635.4</v>
      </c>
      <c r="Q9" s="3">
        <f>2187.9+(474.9-456.9)+(0+(0-0))+0-575.7-0</f>
        <v>1630.2</v>
      </c>
      <c r="R9" s="3">
        <f>2175.2+(571.9-530)+(0+(0-0))+0-597.5-0</f>
        <v>1619.6</v>
      </c>
      <c r="S9" s="3">
        <f>2173.5+(439.6-538)+(-4.43394+(-0.896784--1.09752))+0-587.3--1.19809199999997</f>
        <v>1484.7648879999997</v>
      </c>
      <c r="T9" s="3">
        <f>2169.6+(326.3-465.7)+(-3.319488+(-0.499239--0.712521))+0-525.4--0.80386200000003</f>
        <v>1502.4976559999998</v>
      </c>
      <c r="U9" s="3">
        <f>2163.4+(344.3-415.3)+(-1.103334+(-0.175593--0.211803))+0-567.6--0.289475999999942</f>
        <v>1524.022352</v>
      </c>
      <c r="V9" s="3">
        <f>2167.1+(277.8-437.3)+(-4.420884+(-0.566712--0.892092))+0-537--1.09547999999998</f>
        <v>1467.599976</v>
      </c>
      <c r="W9" s="3">
        <f>2138.6+(299.7-321.5)+(1.090686+(0.152847-0.163965))+0-591.4-0.30161399999994</f>
        <v>1526.1779539999998</v>
      </c>
      <c r="X9" s="3">
        <f>2155.6+(289.2-335.6)+(-4.397424+(-0.589968--0.684624))+0-562.6--1.14770399999998</f>
        <v>1543.4449359999999</v>
      </c>
      <c r="Y9" s="3">
        <f>2177.6+(787.7-526.9)+(1.110576+(0.401727-0.268719))+0-667.1-0.340220999999932</f>
        <v>1772.2033630000001</v>
      </c>
      <c r="Z9" s="3">
        <f>2216.1+(990.9-716.6)+(-4.520844+(-2.021436--1.461864))+0-571.3--1.16545199999998</f>
        <v>1915.1850359999999</v>
      </c>
      <c r="AA9" s="3">
        <f>2220.2+(964.8-625.6)+(-1.132302+(-0.492048--0.319056))+0-711--0.362609999999928</f>
        <v>1847.4573159999998</v>
      </c>
      <c r="AB9" s="3">
        <f>2219.2+(1049.5-748.4)+(-2.263584+(-1.07049--0.763368))+0-723.2--0.737664000000115</f>
        <v>1795.2669579999999</v>
      </c>
      <c r="AC9" s="3">
        <f>2182.7+(1012.8-745.1)+(-3.339531+(-1.549584--1.140003))+0-655.7--1.00322100000004</f>
        <v>1791.9541089999996</v>
      </c>
      <c r="AD9">
        <f t="shared" si="0"/>
        <v>37125.734241999991</v>
      </c>
      <c r="AE9" s="3">
        <f>2204+(1097.6-653.4)+(0+(0-0))+0-714.2-0</f>
        <v>1933.9999999999998</v>
      </c>
    </row>
    <row r="10" spans="1:31" s="2" customFormat="1" x14ac:dyDescent="0.25">
      <c r="A10">
        <v>89</v>
      </c>
      <c r="B10">
        <v>1</v>
      </c>
      <c r="C10">
        <v>10</v>
      </c>
      <c r="D10">
        <v>4</v>
      </c>
      <c r="E10">
        <v>1</v>
      </c>
      <c r="F10" s="3">
        <f>2029.6+(1010.6-731)+(-4.140384+(-2.061624--1.49124))+0-662.6--1.35170399999997</f>
        <v>1643.2409359999999</v>
      </c>
      <c r="G10" s="3">
        <f>1998.4+(655.6-453.2)+(-5.09592+(-1.67178--1.15566))+0-707.4--1.8038699999999</f>
        <v>1489.5918300000001</v>
      </c>
      <c r="H10" s="3">
        <f>2003.9+(357.3-287.3)+(-4.087956+(-0.728892--0.586092))+0-666.8--1.36027199999997</f>
        <v>1404.2295160000001</v>
      </c>
      <c r="I10" s="3">
        <f>2001.9+(354.7-311.5)+(-2.041938+(-0.361794--0.31773))+0-677.1--0.690642000000108</f>
        <v>1366.60464</v>
      </c>
      <c r="J10" s="3">
        <f>1999.1+(281.5-312.4)+(0+(0-0))+0-616.9-0</f>
        <v>1351.2999999999997</v>
      </c>
      <c r="K10" s="3">
        <f>2001.2+(395.7-359.5)+(-2.041224+(-0.403614--0.36669))+0-662.5--0.675750000000106</f>
        <v>1373.4976020000001</v>
      </c>
      <c r="L10" s="3">
        <f>2004.7+(420-336.9)+(-2.044794+(-0.4284--0.343638))+0-696.8--0.710736000000111</f>
        <v>1389.5811800000006</v>
      </c>
      <c r="M10" s="3">
        <f>1954+(337-308.6)+(-1.99308+(-0.34374--0.314772))+0-620--0.632400000000099</f>
        <v>1361.0103520000002</v>
      </c>
      <c r="N10" s="3">
        <f>1866+(404.6-285.8)+(1.90332+(0.412692-0.291516))+0-490-0.499800000000078</f>
        <v>1496.3246959999999</v>
      </c>
      <c r="O10" s="3">
        <f>1923.2+(520.7-259.1)+(0.980832+(0.265557-0.132141))+0-674.4-0.343943999999932</f>
        <v>1511.170304</v>
      </c>
      <c r="P10" s="3">
        <f>2013.5+(550.1-376.8)+(-1.026885+(-0.280551--0.192168))+0-501.1--0.255560999999949</f>
        <v>1684.8402930000002</v>
      </c>
      <c r="Q10" s="3">
        <f>2031+(726.8-328)+(1.03581+(0.370668-0.16728))+0-692.9-0.35337899999993</f>
        <v>1737.7858190000004</v>
      </c>
      <c r="R10" s="3">
        <f>2019.3+(614.1-347.8)+(-2.059686+(-0.626382--0.354756))+0-570.8--0.582216000000091</f>
        <v>1713.0509040000002</v>
      </c>
      <c r="S10" s="3">
        <f>1972.6+(582.1-373.1)+(-4.024104+(-1.187484--0.761124))+0-571.9--1.16667599999997</f>
        <v>1606.4162119999999</v>
      </c>
      <c r="T10" s="3">
        <f>1962.8+(618.2-357.2)+(2.002056+(0.630564-0.364344))+0-599.6-0.611592000000096</f>
        <v>1625.8566839999999</v>
      </c>
      <c r="U10" s="3">
        <f>1963.7+(561.8-384.6)+(0+(0-0))+0-516.8-0</f>
        <v>1624.1000000000001</v>
      </c>
      <c r="V10" s="3">
        <f>2044.6+(560.6-342.1)+(-2.085492+(-0.571812--0.348942))+0-652--0.665040000000104</f>
        <v>1609.4566779999998</v>
      </c>
      <c r="W10" s="3">
        <f>1971.6+(574.4-366.6)+(-1.005516+(-0.292944--0.186966))+0-581.3--0.296462999999941</f>
        <v>1597.2849689999994</v>
      </c>
      <c r="X10" s="3">
        <f>1988.4+(620.6-330.1)+(-2.028168+(-0.633012--0.336702))+0-645.3--0.658206000000103</f>
        <v>1631.9337280000002</v>
      </c>
      <c r="Y10" s="3">
        <f>2107.8+(767.4-394.2)+(-3.224934+(-1.174122--0.603126))+0-681.4--1.04254200000004</f>
        <v>1796.8466119999998</v>
      </c>
      <c r="Z10" s="3">
        <f>2226.7+(896.5-529.9)+(-2.271234+(-0.91443--0.540498))+0-648.9--0.661878000000103</f>
        <v>1942.416712</v>
      </c>
      <c r="AA10" s="3">
        <f>2225.1+(999.2-687.5)+(-4.539204+(-2.038368--1.4025))+0-643.9--1.31355599999997</f>
        <v>1889.0384840000002</v>
      </c>
      <c r="AB10" s="3">
        <f>2225.5+(1009.6-714.1)+(-4.54002+(-2.059584--1.456764))+0-689.2--1.40596799999997</f>
        <v>1828.063128</v>
      </c>
      <c r="AC10" s="3">
        <f>2208.1+(949.7-673.4)+(-3.378393+(-1.453041--1.030302))+0-670.5--1.02586500000004</f>
        <v>1811.1247330000001</v>
      </c>
      <c r="AD10">
        <f t="shared" si="0"/>
        <v>38484.766011999993</v>
      </c>
      <c r="AE10" s="3">
        <f>2230+(1024.7-508.5)+(0+(0-0))+0-667-0</f>
        <v>2079.1999999999998</v>
      </c>
    </row>
    <row r="11" spans="1:31" s="2" customFormat="1" x14ac:dyDescent="0.25">
      <c r="A11">
        <v>89</v>
      </c>
      <c r="B11">
        <v>1</v>
      </c>
      <c r="C11">
        <v>11</v>
      </c>
      <c r="D11">
        <v>5</v>
      </c>
      <c r="E11">
        <v>1</v>
      </c>
      <c r="F11" s="3">
        <f>2187.2+(586.1-475)+(-5.57736+(-1.494555--1.21125))+0-599.9--1.52974499999991</f>
        <v>1694.0690799999993</v>
      </c>
      <c r="G11" s="3">
        <f>2188.5+(459-353.3)+(-3.348405+(-0.70227--0.540549))+0-750.4--1.14811200000004</f>
        <v>1541.4379859999997</v>
      </c>
      <c r="H11" s="3">
        <f>2185.7+(308.7-399.9)+(-4.458828+(-0.629748--0.815796))+0-641.6--1.30886399999997</f>
        <v>1449.9360840000002</v>
      </c>
      <c r="I11" s="3">
        <f>2184.5+(326.7-359.4)+(-4.45638+(-0.666468--0.733176))+0-738.8--1.50715199999997</f>
        <v>1410.1174800000003</v>
      </c>
      <c r="J11" s="3">
        <f>2151.9+(254.3-324.6)+(-3.292407+(-0.389079--0.496638))+0-678.8--1.03856400000004</f>
        <v>1400.653716</v>
      </c>
      <c r="K11" s="3">
        <f>2119+(306.8-321.9)+(0+(0-0))+0-697.2-0</f>
        <v>1406.7</v>
      </c>
      <c r="L11" s="3">
        <f>2119+(297.3-365.1)+(-3.24207+(-0.454869--0.558603))+0-646.8--0.989604000000037</f>
        <v>1402.251268</v>
      </c>
      <c r="M11" s="3">
        <f>2121.3+(170-396.6)+(0+(0-0))+0-508.2-0</f>
        <v>1386.5000000000002</v>
      </c>
      <c r="N11" s="3">
        <f>2127.9+(289.7-347)+(-1.085229+(-0.147747--0.17697))+0-541.7--0.276266999999945</f>
        <v>1528.120261</v>
      </c>
      <c r="O11" s="3">
        <f>2187.4+(434.9-400.7)+(-1.115574+(-0.221799--0.204357))+0-556.4--0.283763999999944</f>
        <v>1664.3507479999996</v>
      </c>
      <c r="P11" s="3">
        <f>2184.6+(390.1-393.6)+(-6.684876+(-1.193706--1.204416))+0-454.3--1.39015800000005</f>
        <v>1721.5159920000003</v>
      </c>
      <c r="Q11" s="3">
        <f>2173.7+(461.7-442)+(0+(0-0))+0-417-0</f>
        <v>1776.3999999999996</v>
      </c>
      <c r="R11" s="3">
        <f>2162.3+(477.5-402.8)+(-2.205546+(-0.48705--0.410856))+0-473.8--0.483276000000076</f>
        <v>1761.4015360000003</v>
      </c>
      <c r="S11" s="3">
        <f>2151.2+(374.9-406.4)+(0+(0-0))+0-488.3-0</f>
        <v>1631.3999999999999</v>
      </c>
      <c r="T11" s="3">
        <f>2183.7+(403.7-401.5)+(-1.113687+(-0.205887--0.204765))+0-525.7--0.268106999999947</f>
        <v>1659.3532979999993</v>
      </c>
      <c r="U11" s="3">
        <f>2179.7+(421.7-392.1)+(-4.446588+(-0.860268--0.799884))+0-538.6--1.09874399999998</f>
        <v>1667.2917719999996</v>
      </c>
      <c r="V11" s="3">
        <f>2174.7+(467.2-376.8)+(-2.218194+(-0.476544--0.384336))+0-618.6--0.630972000000099</f>
        <v>1644.8205700000001</v>
      </c>
      <c r="W11" s="3">
        <f>2171.9+(447-352.6)+(-3.323007+(-0.68391--0.539478))+0-639.7--0.978741000000037</f>
        <v>1624.1113020000003</v>
      </c>
      <c r="X11" s="3">
        <f>2216.9+(350-366.8)+(-2.261238+(-0.357--0.374136))+0-574--0.585480000000091</f>
        <v>1624.441378</v>
      </c>
      <c r="Y11" s="3">
        <f>2204.5+(741.3-444.5)+(-1.124295+(-0.378063--0.226695))+0-679--0.346289999999931</f>
        <v>1821.3706270000002</v>
      </c>
      <c r="Z11" s="3">
        <f>2221.1+(888.4-518.9)+(-3.398283+(-1.359252--0.793917))+0-611.6--0.935748000000035</f>
        <v>1975.9721299999999</v>
      </c>
      <c r="AA11" s="3">
        <f>2227.8+(841.6-571.4)+(-3.408534+(-1.287648--0.874242))+0-583.2--0.892296000000034</f>
        <v>1911.8703560000001</v>
      </c>
      <c r="AB11" s="3">
        <f>2217.1+(843.3-578.9)+(-3.392163+(-1.290249--0.885717))+0-640.9--0.980577000000037</f>
        <v>1837.7838819999999</v>
      </c>
      <c r="AC11" s="3">
        <f>2157.9+(819-536.9)+(-3.301587+(-1.25307--0.821457))+0-617.2--0.944316000000036</f>
        <v>1820.0111159999999</v>
      </c>
      <c r="AD11">
        <f t="shared" si="0"/>
        <v>39361.880582000005</v>
      </c>
      <c r="AE11" s="3">
        <f>2224+(919.4-526.4)+(0+(0-0))+0-639.7-0</f>
        <v>1977.3</v>
      </c>
    </row>
    <row r="12" spans="1:31" s="2" customFormat="1" x14ac:dyDescent="0.25">
      <c r="A12">
        <v>89</v>
      </c>
      <c r="B12">
        <v>1</v>
      </c>
      <c r="C12">
        <v>12</v>
      </c>
      <c r="D12">
        <v>6</v>
      </c>
      <c r="E12">
        <v>2</v>
      </c>
      <c r="F12" s="3">
        <f>2119.4+(509.6-353.3)+(-4.323576+(-1.039584--0.720732))+0-577.7--1.17850799999997</f>
        <v>1694.5360800000001</v>
      </c>
      <c r="G12" s="3">
        <f>2137.4+(416.2-344.9)+(-1.090074+(-0.212262--0.175899))+0-672.7--0.343076999999932</f>
        <v>1535.2166400000003</v>
      </c>
      <c r="H12" s="3">
        <f>2196.4+(254.8-352.1)+(-3.360492+(-0.389844--0.538713))+0-683.1--1.04514300000004</f>
        <v>1413.8335199999999</v>
      </c>
      <c r="I12" s="3">
        <f>2194.7+(254.1-309.2)+(-4.477188+(-0.518364--0.630768))+0-732--1.49327999999997</f>
        <v>1404.728496</v>
      </c>
      <c r="J12" s="3">
        <f>2193.1+(200-326.7)+(-2.236962+(-0.204--0.333234))+0-674.6--0.688092000000108</f>
        <v>1390.3803640000003</v>
      </c>
      <c r="K12" s="3">
        <f>2186.3+(249.3-307.9)+(0+(0-0))+0-719.1-0</f>
        <v>1408.6000000000004</v>
      </c>
      <c r="L12" s="3">
        <f>2190+(172.1-352.1)+(-5.5845+(-0.438855--0.897855))+0-630--1.60649999999991</f>
        <v>1376.4809999999998</v>
      </c>
      <c r="M12" s="3">
        <f>2196.7+(152.9-366.9)+(2.240634+(0.155958-0.374238))+0-662.7-0.675954000000106</f>
        <v>1321.3463999999997</v>
      </c>
      <c r="N12" s="3">
        <f>2171+(264-289.6)+(1.10721+(0.13464-0.147696))+0-727.8-0.371177999999926</f>
        <v>1418.3229760000002</v>
      </c>
      <c r="O12" s="3">
        <f>2112+(377.3-324.2)+(0+(0-0))+0-626.3-0</f>
        <v>1538.8</v>
      </c>
      <c r="P12" s="3">
        <f>2078.8+(524.1-305.6)+(-1.060188+(-0.267291--0.155856))+0-686.4--0.35006399999993</f>
        <v>1610.0784409999999</v>
      </c>
      <c r="Q12" s="3">
        <f>2064.3+(564.5-306.6)+(0+(0-0))+0-679.8-0</f>
        <v>1642.4000000000003</v>
      </c>
      <c r="R12" s="3">
        <f>2068.5+(612.2-327.5)+(-2.10987+(-0.624444--0.33405))+0-705.4--0.719508000000113</f>
        <v>1646.119244</v>
      </c>
      <c r="S12" s="3">
        <f>2128.9+(491.5-392.4)+(-4.342956+(-1.00266--0.800496))+0-665.5--1.35761999999997</f>
        <v>1559.3124999999998</v>
      </c>
      <c r="T12" s="3">
        <f>2147.3+(542.3-431.8)+(3.285369+(0.829719-0.660654))+0-683.4-1.04560200000004</f>
        <v>1576.8088320000002</v>
      </c>
      <c r="U12" s="3">
        <f>2163.9+(441.6-450.4)+(-3.310767+(-0.675648--0.689112))+0-586--0.896580000000034</f>
        <v>1566.6992770000006</v>
      </c>
      <c r="V12" s="3">
        <f>2159.3+(299.8-512.3)+(-2.202486+(-0.305796--0.522546))+0-379.7--0.387294000000061</f>
        <v>1565.5015580000002</v>
      </c>
      <c r="W12" s="3">
        <f>2163.2+(297.8-458.4)+(-3.309696+(-0.455634--0.701352))+0-468.3--0.716499000000027</f>
        <v>1531.9525210000002</v>
      </c>
      <c r="X12" s="3">
        <f>2185.4+(341.6-392)+(-4.458216+(-0.696864--0.79968))+0-603.3--1.23073199999997</f>
        <v>1528.5753320000001</v>
      </c>
      <c r="Y12" s="3">
        <f>2201.7+(634.1-455.3)+(0+(0-0))+0-641.5-0</f>
        <v>1739</v>
      </c>
      <c r="Z12" s="3">
        <f>2218.8+(754-437.6)+(-4.526352+(-1.53816--0.892704))+0-621.4--1.26765599999997</f>
        <v>1909.8958480000001</v>
      </c>
      <c r="AA12" s="3">
        <f>2220.8+(837-585)+(-1.132608+(-0.42687--0.29835))+0-607.4--0.309773999999938</f>
        <v>1864.4486459999998</v>
      </c>
      <c r="AB12" s="3">
        <f>2164.3+(888.2-561.4)+(-2.207586+(-0.905964--0.572628))+0-664.3--0.677586000000106</f>
        <v>1824.9366640000003</v>
      </c>
      <c r="AC12" s="3">
        <f>2018.9+(890.5-509.4)+(-4.118556+(-1.81662--1.039176))+0-627.6--1.28030399999997</f>
        <v>1768.7843039999998</v>
      </c>
      <c r="AD12">
        <f t="shared" si="0"/>
        <v>37836.758643000001</v>
      </c>
      <c r="AE12" s="3">
        <f>2214+(805.7-421.8)+(0+(0-0))+0-683.2-0</f>
        <v>1914.7</v>
      </c>
    </row>
    <row r="13" spans="1:31" s="2" customFormat="1" x14ac:dyDescent="0.25">
      <c r="A13">
        <v>89</v>
      </c>
      <c r="B13">
        <v>1</v>
      </c>
      <c r="C13">
        <v>13</v>
      </c>
      <c r="D13">
        <v>7</v>
      </c>
      <c r="E13">
        <v>2</v>
      </c>
      <c r="F13" s="3">
        <f>2001.5+(727.8-552.1)+(-2.04153+(-0.742356--0.563142))+0-497.7--0.507654000000079</f>
        <v>1677.7869099999996</v>
      </c>
      <c r="G13" s="3">
        <f>2006.8+(637.9-534.3)+(-2.046936+(-0.650658--0.544986))+0-592.7--0.604554000000095</f>
        <v>1516.1519460000002</v>
      </c>
      <c r="H13" s="3">
        <f>2011.1+(316.9-351.9)+(-2.051322+(-0.323238--0.358938))+0-547.4--0.558348000000087</f>
        <v>1427.2427259999999</v>
      </c>
      <c r="I13" s="3">
        <f>2014+(284.8-317.4)+(-3.08142+(-0.435744--0.485622))+0-591.4--0.904842000000034</f>
        <v>1387.8733000000004</v>
      </c>
      <c r="J13" s="3">
        <f>1985.6+(267.6-334.5)+(-2.025312+(-0.272952--0.34119))+0-551.3--0.562326000000088</f>
        <v>1366.0052519999999</v>
      </c>
      <c r="K13" s="3">
        <f>1790.4+(364.2-248.4)+(0.913104+(0.185742-0.126684))+0-557.7-0.284426999999943</f>
        <v>1349.187735</v>
      </c>
      <c r="L13" s="3">
        <f>1753.1+(351-193.1)+(-2.682243+(-0.53703--0.295443))+0-602.6--0.921978000000035</f>
        <v>1306.398148</v>
      </c>
      <c r="M13" s="3">
        <f>1597.8+(323.7-149.1)+(0+(0-0))+0-548.6-0</f>
        <v>1223.7999999999997</v>
      </c>
      <c r="N13" s="3">
        <f>1589.4+(495-120.1)+(1.621188+(0.5049-0.122502))+0-677.4-0.690948000000108</f>
        <v>1288.2126380000002</v>
      </c>
      <c r="O13" s="3">
        <f>1621.8+(478.7-213.6)+(-0.827118+(-0.244137--0.108936))+0-565.4--0.288353999999943</f>
        <v>1320.8260350000003</v>
      </c>
      <c r="P13" s="3">
        <f>1691.7+(501.3-250.4)+(-0.862767+(-0.255663--0.127704))+0-621.6--0.317015999999937</f>
        <v>1320.32629</v>
      </c>
      <c r="Q13" s="3">
        <f>1703.4+(337.3-239.4)+(-1.737468+(-0.344046--0.244188))+0-491.2--0.501024000000078</f>
        <v>1308.7636980000002</v>
      </c>
      <c r="R13" s="3">
        <f>1704.4+(407.5-217.3)+(-1.738488+(-0.41565--0.221646))+0-588.3--0.600066000000094</f>
        <v>1304.9675740000005</v>
      </c>
      <c r="S13" s="3">
        <f>1698.1+(318.7-190.5)+(-0.866031+(-0.162537--0.097155))+0-544.7--0.277796999999945</f>
        <v>1280.9463839999999</v>
      </c>
      <c r="T13" s="3">
        <f>1692.9+(315.4-162.7)+(0+(0-0))+0-584.6-0</f>
        <v>1261</v>
      </c>
      <c r="U13" s="3">
        <f>1680.3+(241.2-185.5)+(0+(0-0))+0-492.6-0</f>
        <v>1243.4000000000001</v>
      </c>
      <c r="V13" s="3">
        <f>1674+(376-155.7)+(0+(0-0))+0-644-0</f>
        <v>1250.3</v>
      </c>
      <c r="W13" s="3">
        <f>1675.6+(285.3-129.8)+(-2.563668+(-0.436509--0.198594))+0-555.7--0.850221000000032</f>
        <v>1273.4486379999998</v>
      </c>
      <c r="X13" s="3">
        <f>1773.7+(359.4-130.6)+(-1.809174+(-0.366588--0.133212))+0-701.8--0.715836000000112</f>
        <v>1299.3732860000002</v>
      </c>
      <c r="Y13" s="3">
        <f>1889.2+(438.9-258.1)+(-1.926984+(-0.447678--0.263262))+0-558.2--0.569364000000089</f>
        <v>1510.2579640000004</v>
      </c>
      <c r="Z13" s="3">
        <f>2024.3+(633.5-244.8)+(-5.161965+(-1.615425--0.62424))+0-679.8--1.7334899999999</f>
        <v>1728.7803399999998</v>
      </c>
      <c r="AA13" s="3">
        <f>2086.7+(518.6-330.1)+(-3.192651+(-0.793458--0.505053))+0-534.9--0.818397000000031</f>
        <v>1737.6373409999997</v>
      </c>
      <c r="AB13" s="3">
        <f>2102.7+(725.6-449.9)+(-2.144754+(-0.740112--0.458898))+0-683.8--0.697476000000109</f>
        <v>1692.8715079999997</v>
      </c>
      <c r="AC13" s="3">
        <f>2106.6+(619.8-464.2)+(-3.223098+(-0.948294--0.710226))+0-611.7--0.935901000000035</f>
        <v>1647.9747349999998</v>
      </c>
      <c r="AD13">
        <f t="shared" si="0"/>
        <v>33723.532448000005</v>
      </c>
      <c r="AE13" s="3">
        <f>2092+(595.4-283.2)+(0+(0-0))+0-626.4-0</f>
        <v>1777.7999999999997</v>
      </c>
    </row>
    <row r="14" spans="1:31" s="2" customFormat="1" x14ac:dyDescent="0.25">
      <c r="A14">
        <v>89</v>
      </c>
      <c r="B14">
        <v>1</v>
      </c>
      <c r="C14">
        <v>14</v>
      </c>
      <c r="D14">
        <v>1</v>
      </c>
      <c r="E14">
        <v>1</v>
      </c>
      <c r="F14" s="3">
        <f>2105+(465.3-455.9)+(-2.1471+(-0.474606--0.465018))+0-599.3--0.611286000000095</f>
        <v>1513.5545980000002</v>
      </c>
      <c r="G14" s="3">
        <f>2111.1+(248.6-306)+(-4.306644+(-0.507144--0.62424))+0-659.5--1.34537999999997</f>
        <v>1391.355832</v>
      </c>
      <c r="H14" s="3">
        <f>2064.4+(159.8-308)+(-1.052844+(-0.081498--0.15708))+0-563.8--0.287537999999943</f>
        <v>1351.710276</v>
      </c>
      <c r="I14" s="3">
        <f>1895.6+(273.9-193.2)+(-0.966756+(-0.139689--0.098532))+0-658.1--0.335630999999933</f>
        <v>1317.5277179999998</v>
      </c>
      <c r="J14" s="3">
        <f>1891.7+(257.6-214.2)+(0.964767+(0.131376-0.109242))+0-620.8-0.316607999999937</f>
        <v>1314.9702930000003</v>
      </c>
      <c r="K14" s="3">
        <f>1893+(295.5-176.1)+(1.93086+(0.30141-0.179622))+0-679.3-0.692886000000108</f>
        <v>1334.4597620000002</v>
      </c>
      <c r="L14" s="3">
        <f>1892.1+(298.6-186.6)+(-3.859884+(-0.609144--0.380664))+0-578.7--1.18054799999997</f>
        <v>1422.492184</v>
      </c>
      <c r="M14" s="3">
        <f>1960.7+(280.8-207)+(0.999957+(0.143208-0.10557))+0-554.2-0.282641999999944</f>
        <v>1481.0549530000001</v>
      </c>
      <c r="N14" s="3">
        <f>2194.7+(429-194)+(0+(0-0))+0-531.1-0</f>
        <v>1898.6</v>
      </c>
      <c r="O14" s="3">
        <f>2225.2+(428.7-249.3)+(-1.134852+(-0.218637--0.127143))+0-518.2--0.264281999999947</f>
        <v>1885.4379359999998</v>
      </c>
      <c r="P14" s="3">
        <f>2251.5+(627.1-354.2)+(0+(0-0))+0-548-0</f>
        <v>1976.4</v>
      </c>
      <c r="Q14" s="3">
        <f>2363.7+(728.4-461.3)+(0+(0-0))+0-552-0</f>
        <v>2078.7999999999997</v>
      </c>
      <c r="R14" s="3">
        <f>2447.4+(648.4-422.2)+(0+(0-0))+0-689.8-0</f>
        <v>1983.8</v>
      </c>
      <c r="S14" s="3">
        <f>2439.5+(396.6-426.1)+(-4.97658+(-0.809064--0.869244))+0-571.5--1.16585999999998</f>
        <v>1834.74946</v>
      </c>
      <c r="T14" s="3">
        <f>2438.4+(434.1-408.9)+(1.243584+(0.221391-0.208539))+0-605.2-0.308651999999939</f>
        <v>1859.3477840000005</v>
      </c>
      <c r="U14" s="3">
        <f>2439.3+(437.7-346.7)+(2.488086+(0.446454-0.353634))+0-665.3-0.678606000000106</f>
        <v>1866.9023000000002</v>
      </c>
      <c r="V14" s="3">
        <f>2431.5+(410.7-312.4)+(-1.240065+(-0.209457--0.159324))+0-651.2--0.332111999999934</f>
        <v>1877.6419139999998</v>
      </c>
      <c r="W14" s="3">
        <f>2434.9+(369.6-244)+(-3.725397+(-0.565488--0.37332))+0-698.3--1.06839900000004</f>
        <v>1859.3508339999998</v>
      </c>
      <c r="X14" s="3">
        <f>2528.1+(220.3-302.3)+(-7.735986+(-0.674118--0.925038))+0-594.1--1.81794600000007</f>
        <v>1846.3328799999999</v>
      </c>
      <c r="Y14" s="3">
        <f>2572.5+(550.5-464.4)+(1.311975+(0.280755-0.236844))+0-615.2-0.313751999999938</f>
        <v>2044.4421339999997</v>
      </c>
      <c r="Z14" s="3">
        <f>2581.5+(845-708.9)+(-2.63313+(-0.8619--0.723078))+0-510.8--0.521016000000081</f>
        <v>2204.5490639999998</v>
      </c>
      <c r="AA14" s="3">
        <f>2580.3+(524.9-539)+(-5.263812+(-1.070796--1.09956))+0-445.8--0.909431999999981</f>
        <v>2116.074384</v>
      </c>
      <c r="AB14" s="3">
        <f>2588.8+(449.3-455.1)+(-5.281152+(-0.916572--0.928404))+0-567.4--1.15749599999998</f>
        <v>2011.4881760000001</v>
      </c>
      <c r="AC14" s="3">
        <f>2589.2+(374-505.3)+(-2.640984+(-0.38148--0.515406))+0-503.7--0.51377400000008</f>
        <v>1952.2067159999995</v>
      </c>
      <c r="AD14">
        <f t="shared" si="0"/>
        <v>42423.249197999998</v>
      </c>
      <c r="AE14" s="3">
        <f>2593+(909-741.6)+(0+(0-0))+0-609.6-0</f>
        <v>2150.8000000000002</v>
      </c>
    </row>
    <row r="15" spans="1:31" s="2" customFormat="1" x14ac:dyDescent="0.25">
      <c r="A15">
        <v>89</v>
      </c>
      <c r="B15">
        <v>1</v>
      </c>
      <c r="C15">
        <v>15</v>
      </c>
      <c r="D15">
        <v>2</v>
      </c>
      <c r="E15">
        <v>1</v>
      </c>
      <c r="F15" s="3">
        <f>2568.8+(288.3-467.6)+(-7.860528+(-0.882198--1.430856))+0-598.1--1.83018600000007</f>
        <v>1785.9183160000002</v>
      </c>
      <c r="G15" s="3">
        <f>2573.4+(122-542.3)+(-2.624868+(-0.12444--0.553146))+0-502.9--0.51295800000008</f>
        <v>1648.5167960000001</v>
      </c>
      <c r="H15" s="3">
        <f>2512.3+(120.5-411.9)+(-1.281273+(-0.061455--0.210069))+0-632.9--0.322778999999936</f>
        <v>1587.19012</v>
      </c>
      <c r="I15" s="3">
        <f>2392.1+(119.6-325.8)+(-4.879884+(-0.243984--0.664632))+0-626.8--1.27867199999997</f>
        <v>1555.9194359999999</v>
      </c>
      <c r="J15" s="3">
        <f>2366.4+(58.9-469.7)+(-2.413728+(-0.060078--0.479094))+0-407.8--0.415956000000065</f>
        <v>1546.2212440000003</v>
      </c>
      <c r="K15" s="3">
        <f>2367.5+(66.9-446.3)+(-3.622275+(-0.102357--0.682839))+0-433--0.662490000000025</f>
        <v>1552.7206969999997</v>
      </c>
      <c r="L15" s="3">
        <f>2382+(118.6-425.6)+(-1.21482+(-0.060486--0.217056))+0-492.8--0.25132799999995</f>
        <v>1581.3930780000001</v>
      </c>
      <c r="M15" s="3">
        <f>2388.1+(150.4-382.8)+(-4.871724+(-0.306816--0.780912))+0-510.1--1.04060399999998</f>
        <v>1642.2429759999998</v>
      </c>
      <c r="N15" s="3">
        <f>2458.5+(248.5-350.1)+(0+(0-0))+0-514.3-0</f>
        <v>1842.6000000000001</v>
      </c>
      <c r="O15" s="3">
        <f>2503+(343.9-339.6)+(0+(0-0))+0-508.4-0</f>
        <v>1998.9</v>
      </c>
      <c r="P15" s="3">
        <f>2459.1+(485.5-298.4)+(-1.254141+(-0.247605--0.152184))+0-584.5--0.298094999999941</f>
        <v>2060.648533</v>
      </c>
      <c r="Q15" s="3">
        <f>2440.7+(562.1-309.6)+(-2.489514+(-0.573342--0.315792))+0-589.8--0.601596000000094</f>
        <v>2101.2545319999995</v>
      </c>
      <c r="R15" s="3">
        <f>2421.5+(527.1-289.7)+(-4.93986+(-1.075284--0.590988))+0-583.2--1.18972799999997</f>
        <v>2071.4655719999996</v>
      </c>
      <c r="S15" s="3">
        <f>2398.2+(286.2-329.2)+(-2.446164+(-0.291924--0.335784))+0-458.5--0.467670000000073</f>
        <v>1894.7653659999996</v>
      </c>
      <c r="T15" s="3">
        <f>2402.3+(303.5-335)+(-3.675519+(-0.464355--0.51255))+0-421.1--0.644283000000024</f>
        <v>1946.7169590000003</v>
      </c>
      <c r="U15" s="3">
        <f>2398.2+(352.2-266.5)+(0+(0-0))+0-538.1-0</f>
        <v>1945.7999999999997</v>
      </c>
      <c r="V15" s="3">
        <f>2411.4+(337.7-282.3)+(-3.689442+(-0.516681--0.431919))+0-502.7--0.769131000000029</f>
        <v>1961.0949270000003</v>
      </c>
      <c r="W15" s="3">
        <f>2496.9+(282.9-258.1)+(1.273419+(0.144279-0.131631))+0-590.9-0.30135899999994</f>
        <v>1931.7847079999997</v>
      </c>
      <c r="X15" s="3">
        <f>2516.1+(218.3-292.1)+(-6.416055+(-0.556665--0.744855))+0-501--1.27754999999993</f>
        <v>1936.3496849999999</v>
      </c>
      <c r="Y15" s="3">
        <f>2543+(536.8-380.6)+(2.59386+(0.547536-0.388212))+0-573.5-0.584970000000091</f>
        <v>2127.8682140000001</v>
      </c>
      <c r="Z15" s="3">
        <f>2554.8+(924.9-690.8)+(-2.605896+(-0.943398--0.704616))+0-531.5--0.542130000000085</f>
        <v>2255.0974520000004</v>
      </c>
      <c r="AA15" s="3">
        <f>2559.3+(677.7-481.4)+(-6.526215+(-1.728135--1.22757))+0-605.9--1.54504499999991</f>
        <v>2144.218265</v>
      </c>
      <c r="AB15" s="3">
        <f>2570.1+(393.8-342.6)+(-2.621502+(-0.401676--0.349452))+0-588.8--0.600576000000094</f>
        <v>2030.4268499999998</v>
      </c>
      <c r="AC15" s="3">
        <f>2569.5+(268-272.1)+(-3.931335+(-0.41004--0.416313))+0-645.7--0.987921000000037</f>
        <v>1916.7628590000004</v>
      </c>
      <c r="AD15">
        <f t="shared" si="0"/>
        <v>45065.876585000013</v>
      </c>
      <c r="AE15" s="3">
        <f>2561+(930-666)+(0+(0-0))+0-547-0</f>
        <v>2278</v>
      </c>
    </row>
    <row r="16" spans="1:31" s="2" customFormat="1" x14ac:dyDescent="0.25">
      <c r="A16">
        <v>89</v>
      </c>
      <c r="B16">
        <v>1</v>
      </c>
      <c r="C16">
        <v>16</v>
      </c>
      <c r="D16">
        <v>3</v>
      </c>
      <c r="E16">
        <v>1</v>
      </c>
      <c r="F16" s="3">
        <f>2551.1+(166.5-228.2)+(-5.204244+(-0.33966--0.465528))+0-730--1.48919999999997</f>
        <v>1755.8108240000001</v>
      </c>
      <c r="G16" s="3">
        <f>2564.5+(100.7-444.8)+(0+(0-0))+0-573.9-0</f>
        <v>1646.5</v>
      </c>
      <c r="H16" s="3">
        <f>2570.3+(170.4-420.7)+(-2.621706+(-0.173808--0.429114))+0-717.3--0.731646000000114</f>
        <v>1601.0652460000003</v>
      </c>
      <c r="I16" s="3">
        <f>2581+(143.6-546.2)+(-5.26524+(-0.292944--1.114248))+0-600.4--1.22481599999997</f>
        <v>1574.7808799999998</v>
      </c>
      <c r="J16" s="3">
        <f>2575.5+(108.8-424.3)+(1.313505+(0.055488-0.216393))+0-695.6-0.354755999999929</f>
        <v>1565.197844</v>
      </c>
      <c r="K16" s="3">
        <f>2527.2+(76.7-415.6)+(0+(0-0))+0-562.2-0</f>
        <v>1626.0999999999997</v>
      </c>
      <c r="L16" s="3">
        <f>2454+(135.1-416.1)+(-1.25154+(-0.068901--0.212211))+0-534.2--0.272441999999946</f>
        <v>1637.9642120000001</v>
      </c>
      <c r="M16" s="3">
        <f>2517.6+(159.7-538.5)+(-1.283976+(-0.081447--0.274635))+0-489.5--0.24964499999995</f>
        <v>1648.4588569999996</v>
      </c>
      <c r="N16" s="3">
        <f>2466.5+(295.1-334)+(1.257915+(0.150501-0.17034))+0-524.6-0.267545999999947</f>
        <v>1903.9705300000001</v>
      </c>
      <c r="O16" s="3">
        <f>2429.7+(355.6-222.4)+(1.239147+(0.181356-0.113424))+0-504.4-0.257243999999949</f>
        <v>2059.5498349999998</v>
      </c>
      <c r="P16" s="3">
        <f>2436.2+(491.3-349.7)+(1.242462+(0.250563-0.178347))+0-497.8-0.25387799999995</f>
        <v>2081.0607999999997</v>
      </c>
      <c r="Q16" s="3">
        <f>2465.8+(665.8-438.4)+(-1.257558+(-0.339558--0.223584))+0-567.5--0.289424999999942</f>
        <v>2124.6158930000001</v>
      </c>
      <c r="R16" s="3">
        <f>2505.1+(728.2-465.9)+(0+(0-0))+0-656-0</f>
        <v>2111.4</v>
      </c>
      <c r="S16" s="3">
        <f>2546.9+(333.2-410.2)+(-5.195676+(-0.679728--0.836808))+0-513.5--1.04753999999998</f>
        <v>1952.4089440000002</v>
      </c>
      <c r="T16" s="3">
        <f>2539+(326.1-380.3)+(-1.29489+(-0.166311--0.193953))+0-523.1--0.266780999999947</f>
        <v>1960.6995330000002</v>
      </c>
      <c r="U16" s="3">
        <f>2564.5+(315.9-450.5)+(-2.61579+(-0.322218--0.45951))+0-448.3--0.457266000000072</f>
        <v>1979.5787680000003</v>
      </c>
      <c r="V16" s="3">
        <f>2558.8+(307.4-342.3)+(-1.304988+(-0.156774--0.174573))+0-534.9--0.272798999999946</f>
        <v>1987.9856099999997</v>
      </c>
      <c r="W16" s="3">
        <f>2559.6+(242.7-247.7)+(-2.610792+(-0.247554--0.252654))+0-560--0.571200000000089</f>
        <v>1992.5655079999999</v>
      </c>
      <c r="X16" s="3">
        <f>2588.8+(296.1-222.3)+(-6.60144+(-0.755055--0.566865))+0-670.8--1.7105399999999</f>
        <v>1986.72091</v>
      </c>
      <c r="Y16" s="3">
        <f>2675.2+(446.1-408.1)+(-1.364352+(-0.227511--0.208131))+0-563.4--0.287333999999943</f>
        <v>2148.703602</v>
      </c>
      <c r="Z16" s="3">
        <f>2688.8+(908.5-651.2)+(-4.113864+(-1.390005--0.996336))+0-683.9--1.04636700000004</f>
        <v>2258.7388340000002</v>
      </c>
      <c r="AA16" s="3">
        <f>2695.5+(566.4-476.7)+(-5.49882+(-1.155456--0.972468))+0-619.2--1.26316799999997</f>
        <v>2161.5813599999997</v>
      </c>
      <c r="AB16" s="3">
        <f>2691.6+(419.6-421.6)+(-2.745432+(-0.427992--0.430032))+0-635.2--0.647904000000101</f>
        <v>2052.3045120000002</v>
      </c>
      <c r="AC16" s="3">
        <f>2691.4+(319.3-389)+(-5.490456+(-0.651372--0.79356))+0-670.4--1.36761599999997</f>
        <v>1947.319348</v>
      </c>
      <c r="AD16">
        <f t="shared" si="0"/>
        <v>45765.081850000002</v>
      </c>
      <c r="AE16" s="3">
        <f>2667+(1092.5-673.4)+(0+(0-0))+0-830.5-0</f>
        <v>2255.6</v>
      </c>
    </row>
    <row r="17" spans="1:31" s="2" customFormat="1" x14ac:dyDescent="0.25">
      <c r="A17">
        <v>89</v>
      </c>
      <c r="B17">
        <v>1</v>
      </c>
      <c r="C17">
        <v>17</v>
      </c>
      <c r="D17">
        <v>4</v>
      </c>
      <c r="E17">
        <v>1</v>
      </c>
      <c r="F17" s="3">
        <f>2670.8+(183.4-447.2)+(-4.086324+(-0.280602--0.684216))+0-620.5--0.949365000000036</f>
        <v>1783.7666549999999</v>
      </c>
      <c r="G17" s="3">
        <f>2669.7+(211.8-566.9)+(-6.807735+(-0.54009--1.445595))+0-567.6--1.44737999999992</f>
        <v>1742.5451499999997</v>
      </c>
      <c r="H17" s="3">
        <f>2671.8+(151.8-509.7)+(-4.087854+(-0.232254--0.779841))+0-689.7--1.05524100000004</f>
        <v>1621.7149740000002</v>
      </c>
      <c r="I17" s="3">
        <f>2673+(117.4-529.7)+(-6.81615+(-0.29937--1.350735))+0-671.3--1.7118149999999</f>
        <v>1585.3470299999999</v>
      </c>
      <c r="J17" s="3">
        <f>2618.2+(133.8-497.1)+(0+(0-0))+0-665.2-0</f>
        <v>1589.6999999999996</v>
      </c>
      <c r="K17" s="3">
        <f>2602.5+(94.7-433.1)+(2.65455+(0.096594-0.441762))+0-677-0.690540000000108</f>
        <v>1588.7188419999998</v>
      </c>
      <c r="L17" s="3">
        <f>2619.1+(100.1-389.6)+(0+(0-0))+0-689.4-0</f>
        <v>1640.1999999999998</v>
      </c>
      <c r="M17" s="3">
        <f>2654.5+(108.6-430.3)+(-5.41518+(-0.221544--0.877812))+0-609.1--1.24256399999997</f>
        <v>1720.1836520000004</v>
      </c>
      <c r="N17" s="3">
        <f>2684.4+(135.6-345.3)+(0+(0-0))+0-554.4-0</f>
        <v>1920.3000000000002</v>
      </c>
      <c r="O17" s="3">
        <f>2675.6+(226.1-254)+(4.093668+(0.345933-0.38862))+0-586.5-0.897345000000034</f>
        <v>2064.3536359999998</v>
      </c>
      <c r="P17" s="3">
        <f>2662.8+(300.8-332.3)+(1.358028+(0.153408-0.169473))+0-528.9-0.269738999999946</f>
        <v>2103.4722240000001</v>
      </c>
      <c r="Q17" s="3">
        <f>2640.9+(415.7-322.1)+(-4.040577+(-0.636021--0.492813))+0-590.9--0.904077000000034</f>
        <v>2140.3202919999999</v>
      </c>
      <c r="R17" s="3">
        <f>2630.3+(419.3-331.8)+(-1.341453+(-0.213843--0.169218))+0-598.9--0.305438999999939</f>
        <v>2117.8193609999998</v>
      </c>
      <c r="S17" s="3">
        <f>2618.4+(409.5-529)+(-2.670768+(-0.41769--0.53958))+0-554.8--0.565896000000088</f>
        <v>1942.1170180000001</v>
      </c>
      <c r="T17" s="3">
        <f>2611.1+(492.1-518.4)+(-1.331661+(-0.250971--0.264384))+0-603--0.307529999999939</f>
        <v>1980.7892820000002</v>
      </c>
      <c r="U17" s="3">
        <f>2616.4+(427.8-588.3)+(2.668728+(0.436356-0.600066))+0-462-0.471240000000074</f>
        <v>1995.9337779999998</v>
      </c>
      <c r="V17" s="3">
        <f>2624.2+(456.8-500.1)+(2.676684+(0.465936-0.510102))+0-565.2-0.57650400000009</f>
        <v>2017.7560139999994</v>
      </c>
      <c r="W17" s="3">
        <f>2637.2+(378.5-457.3)+(-4.034916+(-0.579105--0.699669))+0-556.8--0.851904000000032</f>
        <v>1998.537552</v>
      </c>
      <c r="X17" s="3">
        <f>2643.8+(369.4-342.2)+(-2.696676+(-0.376788--0.349044))+0-654.3--0.667386000000104</f>
        <v>2014.6429660000001</v>
      </c>
      <c r="Y17" s="3">
        <f>2691.6+(454-375.7)+(-2.745432+(-0.46308--0.383214))+0-594.6--0.606492000000095</f>
        <v>2173.0811939999999</v>
      </c>
      <c r="Z17" s="3">
        <f>2699.3+(805.5-554.2)+(-2.753286+(-0.82161--0.565284))+0-666.5--0.679830000000106</f>
        <v>2281.7702180000006</v>
      </c>
      <c r="AA17" s="3">
        <f>2700.2+(669.2-556.9)+(-2.754204+(-0.682584--0.568038))+0-622.5--0.634950000000099</f>
        <v>2187.7662</v>
      </c>
      <c r="AB17" s="3">
        <f>2700.9+(501.6-521.3)+(0+(0-0))+0-609.5-0</f>
        <v>2071.7000000000003</v>
      </c>
      <c r="AC17" s="3">
        <f>2721.4+(326.6-429.9)+(-1.387914+(-0.166566--0.219249))+0-651--0.332009999999934</f>
        <v>1966.0967790000002</v>
      </c>
      <c r="AD17">
        <f t="shared" si="0"/>
        <v>46248.632816999991</v>
      </c>
      <c r="AE17" s="3">
        <f>2668+(979.1-523.1)+(0+(0-0))+0-780.5-0</f>
        <v>2343.5</v>
      </c>
    </row>
    <row r="18" spans="1:31" s="2" customFormat="1" x14ac:dyDescent="0.25">
      <c r="A18">
        <v>89</v>
      </c>
      <c r="B18">
        <v>1</v>
      </c>
      <c r="C18">
        <v>18</v>
      </c>
      <c r="D18">
        <v>5</v>
      </c>
      <c r="E18">
        <v>1</v>
      </c>
      <c r="F18" s="3">
        <f>2689.9+(211.4-390.6)+(-4.115547+(-0.323442--0.597618))+0-720.7--1.10267100000004</f>
        <v>1787.2613000000003</v>
      </c>
      <c r="G18" s="3">
        <f>2680.6+(288-565.3)+(1.367106+(0.14688-0.288303))+0-723.3-0.368882999999927</f>
        <v>1680.8568000000005</v>
      </c>
      <c r="H18" s="3">
        <f>2584+(343.1-632.3)+(-1.31784+(-0.174981--0.322473))+0-651.9--0.332468999999934</f>
        <v>1642.0621209999999</v>
      </c>
      <c r="I18" s="3">
        <f>2541.6+(389.8-586.3)+(-1.296216+(-0.198798--0.299013))+0-733.6--0.374135999999926</f>
        <v>1610.6781350000001</v>
      </c>
      <c r="J18" s="3">
        <f>2542.1+(282.4-567.4)+(-7.778826+(-0.864144--1.736244))+0-644--1.97064000000007</f>
        <v>1608.1639139999997</v>
      </c>
      <c r="K18" s="3">
        <f>2540.4+(255.6-532.2)+(0+(0-0))+0-658.1-0</f>
        <v>1605.7000000000003</v>
      </c>
      <c r="L18" s="3">
        <f>2555.4+(176.2-477.2)+(-2.606508+(-0.179724--0.486744))+0-609.3--0.621486000000097</f>
        <v>1643.421998</v>
      </c>
      <c r="M18" s="3">
        <f>2556.1+(137.7-374)+(-1.303611+(-0.070227--0.19074))+0-618.3--0.315332999999937</f>
        <v>1700.6322349999998</v>
      </c>
      <c r="N18" s="3">
        <f>2538.7+(288.2-205.4)+(1.294737+(0.146982-0.104754))+0-690.6-0.35220599999993</f>
        <v>1931.884759</v>
      </c>
      <c r="O18" s="3">
        <f>2538.1+(328.3-230)+(0+(0-0))+0-702.2-0</f>
        <v>1934.2</v>
      </c>
      <c r="P18" s="3">
        <f>2683.5+(305-315.6)+(0+(0-0))+0-565.3-0</f>
        <v>2107.6000000000004</v>
      </c>
      <c r="Q18" s="3">
        <f>2703.8+(448.8-342)+(-2.757876+(-0.457776--0.34884))+0-657--0.670140000000105</f>
        <v>2151.4033280000003</v>
      </c>
      <c r="R18" s="3">
        <f>2751.8+(423.7-417)+(-4.210254+(-0.648261--0.63801))+0-683.7--1.04606100000004</f>
        <v>2071.625556</v>
      </c>
      <c r="S18" s="3">
        <f>2819.5+(262.2-475.9)+(-4.313835+(-0.401166--0.728127))+0-664.9--1.01729700000004</f>
        <v>1937.930423</v>
      </c>
      <c r="T18" s="3">
        <f>2824.8+(295.6-438.3)+(-4.321944+(-0.452268--0.670599))+0-645.8--0.988074000000037</f>
        <v>2033.1844610000003</v>
      </c>
      <c r="U18" s="3">
        <f>2815+(252.1-416.7)+(-4.30695+(-0.385713--0.637551))+0-690--1.05570000000004</f>
        <v>1957.4005880000002</v>
      </c>
      <c r="V18" s="3">
        <f>2827.8+(253.3-380.9)+(-1.442178+(-0.129183--0.194259))+0-677.2--0.345371999999931</f>
        <v>2021.9682700000003</v>
      </c>
      <c r="W18" s="3">
        <f>2829.9+(197.7-361.2)+(-7.216245+(-0.504135--0.92106))+0-667.4--1.7018699999999</f>
        <v>1993.9025499999998</v>
      </c>
      <c r="X18" s="3">
        <f>2850.3+(143.5-314.8)+(-4.360959+(-0.219555--0.481644))+0-669.6--1.02448800000004</f>
        <v>2006.3256180000003</v>
      </c>
      <c r="Y18" s="3">
        <f>2872.6+(520.6-527.7)+(-2.930052+(-0.531012--0.538254))+0-708.7--0.722874000000113</f>
        <v>2154.6000640000002</v>
      </c>
      <c r="Z18" s="3">
        <f>2891.8+(784.9-729.3)+(-10.323726+(-2.802093--2.603601))+0-616.9--2.20233300000001</f>
        <v>2322.1801150000001</v>
      </c>
      <c r="AA18" s="3">
        <f>2899.3+(508.7-537.7)+(-4.435929+(-0.778311--0.822681))+0-654.1--1.00077300000004</f>
        <v>2212.8092140000003</v>
      </c>
      <c r="AB18" s="3">
        <f>2894.2+(294.4-537.3)+(-4.428126+(-0.450432--0.822069))+0-553--0.846090000000032</f>
        <v>2095.0896009999997</v>
      </c>
      <c r="AC18" s="3">
        <f>2840.1+(316.8-564.9)+(1.448451+(0.161568-0.288099))+0-585.5-0.298604999999941</f>
        <v>2007.5233149999999</v>
      </c>
      <c r="AD18">
        <f t="shared" si="0"/>
        <v>46218.404365000009</v>
      </c>
      <c r="AE18" s="3">
        <f>2887+(874.9-753.5)+(0+(0-0))+0-608.7-0</f>
        <v>2399.6999999999998</v>
      </c>
    </row>
    <row r="19" spans="1:31" s="2" customFormat="1" x14ac:dyDescent="0.25">
      <c r="A19">
        <v>89</v>
      </c>
      <c r="B19">
        <v>1</v>
      </c>
      <c r="C19">
        <v>19</v>
      </c>
      <c r="D19">
        <v>6</v>
      </c>
      <c r="E19">
        <v>1</v>
      </c>
      <c r="F19" s="3">
        <f>2750.8+(553.5-768.8)+(-5.611632+(-1.12914--1.568352))+0-686.6--1.40066399999997</f>
        <v>1845.1282440000002</v>
      </c>
      <c r="G19" s="3">
        <f>2703.3+(345.4-755.7)+(-4.136049+(-0.528462--1.156221))+0-580.5--0.888165000000034</f>
        <v>1709.8798749999999</v>
      </c>
      <c r="H19" s="3">
        <f>2669.3+(409.6-783.3)+(-2.722686+(-0.417792--0.798966))+0-636.4--0.649128000000101</f>
        <v>1657.5076160000003</v>
      </c>
      <c r="I19" s="3">
        <f>2672.9+(358.1-724.2)+(-4.089537+(-0.547893--1.108026))+0-672.5--1.02892500000004</f>
        <v>1631.7995210000004</v>
      </c>
      <c r="J19" s="3">
        <f>2671.9+(300.2-712.4)+(0+(0-0))+0-641.4-0</f>
        <v>1618.3000000000002</v>
      </c>
      <c r="K19" s="3">
        <f>2671+(241-624.6)+(1.36221+(0.12291-0.318546))+0-656.5-0.334814999999933</f>
        <v>1631.731759</v>
      </c>
      <c r="L19" s="3">
        <f>2691.3+(195.6-599.6)+(-2.745126+(-0.199512--0.611592))+0-631.2--0.643824000000101</f>
        <v>1654.4107779999999</v>
      </c>
      <c r="M19" s="3">
        <f>2699.2+(111.1-562.7)+(-1.376592+(-0.056661--0.286977))+0-549.5--0.280244999999944</f>
        <v>1697.2339689999999</v>
      </c>
      <c r="N19" s="3">
        <f>2685+(265.5-495.1)+(-1.36935+(-0.135405--0.252501))+0-555.7--0.283406999999944</f>
        <v>1898.7311529999999</v>
      </c>
      <c r="O19" s="3">
        <f>2675.4+(533.9-477.9)+(4.093362+(0.816867-0.731187))+0-706.3-1.08063900000004</f>
        <v>2028.1984030000003</v>
      </c>
      <c r="P19" s="3">
        <f>2660.4+(500.3-492.8)+(2.713608+(0.510306-0.502656))+0-575.9-0.587418000000092</f>
        <v>2094.13384</v>
      </c>
      <c r="Q19" s="3">
        <f>2652.7+(709.6-545.9)+(1.352877+(0.361896-0.278409))+0-677.4-0.345473999999931</f>
        <v>2140.0908899999999</v>
      </c>
      <c r="R19" s="3">
        <f>2745.8+(687.5-659.1)+(0+(0-0))+0-658.5-0</f>
        <v>2115.7000000000003</v>
      </c>
      <c r="S19" s="3">
        <f>2674.8+(621.3-777.1)+(-5.456592+(-1.267452--1.585284))+0-570.4--1.16361599999998</f>
        <v>1944.6248560000001</v>
      </c>
      <c r="T19" s="3">
        <f>2629.8+(789.9-827.3)+(4.023594+(1.208547-1.265769))+0-643.3-0.984249000000037</f>
        <v>1952.0821229999999</v>
      </c>
      <c r="U19" s="3">
        <f>2609.7+(857.6-900.5)+(-1.330947+(-0.437376--0.459255))+0-616.1--0.314210999999938</f>
        <v>1949.7051429999997</v>
      </c>
      <c r="V19" s="3">
        <f>2641.2+(814.2-864.9)+(-1.347012+(-0.415242--0.441099))+0-636.4--0.324563999999935</f>
        <v>1953.1034089999998</v>
      </c>
      <c r="W19" s="3">
        <f>2638+(668.6-741.8)+(-2.69076+(-0.681972--0.756636))+0-625.6--0.6381120000001</f>
        <v>1937.2220160000002</v>
      </c>
      <c r="X19" s="3">
        <f>2649.9+(677.5-708.3)+(-1.351449+(-0.345525--0.361233))+0-642.4--0.327623999999935</f>
        <v>1975.6918830000004</v>
      </c>
      <c r="Y19" s="3">
        <f>2662.2+(664.2-645.3)+(2.715444+(0.677484-0.658206))+0-577.5-0.589050000000092</f>
        <v>2105.745672</v>
      </c>
      <c r="Z19" s="3">
        <f>2679.6+(871.9-630.4)+(1.366596+(0.444669-0.321504))+0-694.1-0.35399099999993</f>
        <v>2228.1357699999999</v>
      </c>
      <c r="AA19" s="3">
        <f>2697.8+(702.8-602.3)+(0+(0-0))+0-655.1-0</f>
        <v>2143.2000000000003</v>
      </c>
      <c r="AB19" s="3">
        <f>2693.5+(589-657.1)+(-4.121055+(-0.90117--1.005363))+0-587.6--0.899028000000034</f>
        <v>2034.6821660000003</v>
      </c>
      <c r="AC19" s="3">
        <f>2700.5+(593.6-752.7)+(0+(0-0))+0-579-0</f>
        <v>1962.4</v>
      </c>
      <c r="AD19">
        <f t="shared" si="0"/>
        <v>45909.439085999991</v>
      </c>
      <c r="AE19" s="3">
        <f>2672+(933.6-621.7)+(0+(0-0))+0-733.1-0</f>
        <v>2250.8000000000002</v>
      </c>
    </row>
    <row r="20" spans="1:31" s="2" customFormat="1" x14ac:dyDescent="0.25">
      <c r="A20">
        <v>89</v>
      </c>
      <c r="B20">
        <v>1</v>
      </c>
      <c r="C20">
        <v>20</v>
      </c>
      <c r="D20">
        <v>7</v>
      </c>
      <c r="E20">
        <v>1</v>
      </c>
      <c r="F20" s="3">
        <f>2684+(470.5-650.3)+(-2.73768+(-0.47991--0.663306))+0-666.8--0.680136000000106</f>
        <v>1835.5258520000002</v>
      </c>
      <c r="G20" s="3">
        <f>2687.3+(439.2-707.7)+(-5.482092+(-0.895968--1.443708))+0-691.7--1.41106799999997</f>
        <v>1723.5767159999998</v>
      </c>
      <c r="H20" s="3">
        <f>2685.8+(503.8-870.4)+(-2.739516+(-0.513876--0.887808))+0-662.7--0.675954000000106</f>
        <v>1654.8103700000001</v>
      </c>
      <c r="I20" s="3">
        <f>2686.9+(510-932.9)+(-1.370319+(-0.2601--0.475779))+0-658.8--0.335987999999933</f>
        <v>1604.3813479999999</v>
      </c>
      <c r="J20" s="3">
        <f>2570.6+(645.6-981.7)+(-2.622012+(-0.658512--1.001334))+0-648.1--0.661062000000103</f>
        <v>1584.781872</v>
      </c>
      <c r="K20" s="3">
        <f>2512.3+(670.7-1000.8)+(-1.281273+(-0.342057--0.510408))+0-582--0.296819999999941</f>
        <v>1599.3838980000005</v>
      </c>
      <c r="L20" s="3">
        <f>2324.3+(720.6-859.9)+(-4.741572+(-1.470024--1.754196))+0-597.4--1.21869599999997</f>
        <v>1584.361296</v>
      </c>
      <c r="M20" s="3">
        <f>2129.4+(859.2-743.2)+(0+(0-0))+0-704.1-0</f>
        <v>1541.3000000000002</v>
      </c>
      <c r="N20" s="3">
        <f>2137+(834.2-749.4)+(-2.17974+(-0.850884--0.764388))+0-623.1--0.635562000000099</f>
        <v>1597.0693260000005</v>
      </c>
      <c r="O20" s="3">
        <f>2340.8+(691.4-703.2)+(3.581424+(1.057842-1.075896))+0-653.6-1.00000800000004</f>
        <v>1677.963362</v>
      </c>
      <c r="P20" s="3">
        <f>2551.5+(562.4-667.4)+(2.60253+(0.573648-0.680748))+0-684.1-0.697782000000109</f>
        <v>1764.1976479999998</v>
      </c>
      <c r="Q20" s="3">
        <f>2538.4+(751.6-763.2)+(1.294584+(0.383316-0.389232))+0-732-0.373319999999926</f>
        <v>1795.7153480000004</v>
      </c>
      <c r="R20" s="3">
        <f>2527.9+(658.4-764.3)+(0+(0-0))+0-643.5-0</f>
        <v>1778.5</v>
      </c>
      <c r="S20" s="3">
        <f>2525.8+(681-811.2)+(-1.288158+(-0.34731--0.413712))+0-655.7--0.334406999999934</f>
        <v>1739.0126510000002</v>
      </c>
      <c r="T20" s="3">
        <f>2531.7+(686.3-894.9)+(-2.582334+(-0.700026--0.912798))+0-614.1--0.626382000000098</f>
        <v>1707.2568200000003</v>
      </c>
      <c r="U20" s="3">
        <f>2534.1+(775.8-946.5)+(1.292391+(0.395658-0.482715))+0-654.6-0.333845999999934</f>
        <v>1709.671488</v>
      </c>
      <c r="V20" s="3">
        <f>2544.1+(657-912.9)+(-5.189964+(-1.34028--1.862316))+0-570.1--1.16300399999998</f>
        <v>1714.5950760000001</v>
      </c>
      <c r="W20" s="3">
        <f>2587.3+(523.4-740.4)+(-2.639046+(-0.533868--0.755208))+0-632.8--0.645456000000101</f>
        <v>1735.7277500000002</v>
      </c>
      <c r="X20" s="3">
        <f>2598.3+(468.8-623.4)+(-7.950798+(-1.434528--1.907604))+0-669.3--2.04805800000008</f>
        <v>1768.9703360000003</v>
      </c>
      <c r="Y20" s="3">
        <f>2606.4+(286.4-465.7)+(0+(0-0))+0-579.7-0</f>
        <v>1847.3999999999999</v>
      </c>
      <c r="Z20" s="3">
        <f>2618.1+(567.2-522.7)+(-1.335231+(-0.289272--0.266577))+0-687.8--0.35077799999993</f>
        <v>1973.7928519999998</v>
      </c>
      <c r="AA20" s="3">
        <f>2593.3+(573.3-524.2)+(-3.967749+(-0.877149--0.802026))+0-698.9--1.06931700000004</f>
        <v>1940.526445</v>
      </c>
      <c r="AB20" s="3">
        <f>2591.5+(550.6-671.2)+(-3.964995+(-0.842418--1.026936))+0-608.7--0.931311000000035</f>
        <v>1859.3508340000003</v>
      </c>
      <c r="AC20" s="3">
        <f>2593.4+(533.6-761.7)+(-5.290536+(-1.088544--1.553868))+0-591.7--1.20706799999997</f>
        <v>1769.9818559999999</v>
      </c>
      <c r="AD20">
        <f t="shared" si="0"/>
        <v>41507.853144000001</v>
      </c>
      <c r="AE20" s="3">
        <f>2616+(596.9-536.9)+(0+(0-0))+0-721.5-0</f>
        <v>1954.5</v>
      </c>
    </row>
    <row r="21" spans="1:31" s="2" customFormat="1" x14ac:dyDescent="0.25">
      <c r="A21">
        <v>89</v>
      </c>
      <c r="B21">
        <v>1</v>
      </c>
      <c r="C21">
        <v>21</v>
      </c>
      <c r="D21">
        <v>1</v>
      </c>
      <c r="E21">
        <v>1</v>
      </c>
      <c r="F21" s="3">
        <f>2606+(508.9-850)+(-6.6453+(-1.297695--2.1675))+0-607.1--1.54810499999991</f>
        <v>1653.5726100000002</v>
      </c>
      <c r="G21" s="3">
        <f>2582.4+(627-1056.2)+(-6.58512+(-1.59885--2.69331))+0-605.5--1.54402499999991</f>
        <v>1543.7533649999998</v>
      </c>
      <c r="H21" s="3">
        <f>2567.4+(637.2-1049.8)+(-7.856244+(-1.949832--3.212388))+0-641.7--1.96360200000007</f>
        <v>1508.4699140000002</v>
      </c>
      <c r="I21" s="3">
        <f>2292.6+(704.3-801.2)+(-1.169226+(-0.359193--0.408612))+0-710.9--0.362558999999928</f>
        <v>1484.0427519999996</v>
      </c>
      <c r="J21" s="3">
        <f>2307.4+(690.4-838.8)+(-3.530322+(-1.056312--1.283364))+0-675.1--1.03290300000004</f>
        <v>1481.6296330000002</v>
      </c>
      <c r="K21" s="3">
        <f>2307.8+(602.9-802.5)+(-2.353956+(-0.614958--0.81855))+0-614.1--0.626382000000098</f>
        <v>1492.5760180000004</v>
      </c>
      <c r="L21" s="3">
        <f>2465.5+(357.5-578.3)+(-7.54443+(-1.09395--1.769598))+0-699.1--2.13924600000008</f>
        <v>1540.8704640000001</v>
      </c>
      <c r="M21" s="3">
        <f>2594.7+(216.8-559.3)+(1.323297+(0.110568-0.285243))+0-636-0.324359999999935</f>
        <v>1617.0242620000001</v>
      </c>
      <c r="N21" s="3">
        <f>2626.1+(292-458.1)+(0+(0-0))+0-655.9-0</f>
        <v>1804.1</v>
      </c>
      <c r="O21" s="3">
        <f>2651.1+(346-378.6)+(-2.704122+(-0.35292--0.386172))+0-634.2--0.646884000000101</f>
        <v>1982.276014</v>
      </c>
      <c r="P21" s="3">
        <f>2654.4+(490.1-401.3)+(1.353744+(0.249951-0.204663))+0-691.8-0.35281799999993</f>
        <v>2052.4462140000001</v>
      </c>
      <c r="Q21" s="3">
        <f>2648.9+(538.1-501)+(1.350939+(0.274431-0.25551))+0-589.1-0.30044099999994</f>
        <v>2097.969419</v>
      </c>
      <c r="R21" s="3">
        <f>2647.5+(741-575.7)+(-2.70045+(-0.75582--0.587214))+0-700.3--0.714306000000112</f>
        <v>2110.3452500000008</v>
      </c>
      <c r="S21" s="3">
        <f>2642+(680.7-725.9)+(-6.7371+(-1.735785--1.851045))+0-689.3--1.7577149999999</f>
        <v>1902.6358750000004</v>
      </c>
      <c r="T21" s="3">
        <f>2631.8+(719.6-733.9)+(1.342218+(0.366996-0.374289))+0-624.1-0.318290999999937</f>
        <v>1994.4166340000002</v>
      </c>
      <c r="U21" s="3">
        <f>2623.8+(597-653.7)+(-5.352552+(-1.21788--1.333548))+0-591.5--1.20665999999997</f>
        <v>1971.5697760000005</v>
      </c>
      <c r="V21" s="3">
        <f>2611.2+(550.2-511.7)+(0+(0-0))+0-669.2-0</f>
        <v>1980.4999999999998</v>
      </c>
      <c r="W21" s="3">
        <f>2614.2+(367.8-441.3)+(-5.332968+(-0.750312--0.900252))+0-567.1--1.15688399999998</f>
        <v>1969.573856</v>
      </c>
      <c r="X21" s="3">
        <f>2624.9+(312-336.5)+(-2.677398+(-0.31824--0.34323))+0-650.5--0.663510000000104</f>
        <v>1947.9111020000003</v>
      </c>
      <c r="Y21" s="3">
        <f>2650.8+(539.6-402)+(-5.407632+(-1.100784--0.82008))+0-673.6--1.37414399999997</f>
        <v>2110.4858079999999</v>
      </c>
      <c r="Z21" s="3">
        <f>2674.2+(910-604.8)+(-4.091526+(-1.3923--0.925344))+0-659.1--1.00842300000004</f>
        <v>2316.749941</v>
      </c>
      <c r="AA21" s="3">
        <f>2680.1+(701.6-503.9)+(-4.100553+(-1.073448--0.770967))+0-668.7--1.02311100000004</f>
        <v>2205.7200770000004</v>
      </c>
      <c r="AB21" s="3">
        <f>2680.5+(545.1-426.7)+(-4.101165+(-0.834003--0.652851))+0-708.2--1.08354600000004</f>
        <v>2087.5012289999995</v>
      </c>
      <c r="AC21" s="3">
        <f>2694.4+(336.3-443.3)+(-5.496576+(-0.686052--0.904332))+0-611.3--1.24705199999997</f>
        <v>1972.0687560000001</v>
      </c>
      <c r="AD21">
        <f t="shared" si="0"/>
        <v>44828.208969000007</v>
      </c>
      <c r="AE21" s="3">
        <f>2663+(1074-641.9)+(0+(0-0))+0-719-0</f>
        <v>2376.1</v>
      </c>
    </row>
    <row r="22" spans="1:31" s="2" customFormat="1" x14ac:dyDescent="0.25">
      <c r="A22">
        <v>89</v>
      </c>
      <c r="B22">
        <v>1</v>
      </c>
      <c r="C22">
        <v>22</v>
      </c>
      <c r="D22">
        <v>2</v>
      </c>
      <c r="E22">
        <v>1</v>
      </c>
      <c r="F22" s="3">
        <f>2593.6+(466.1-566)+(-2.645472+(-0.475422--0.57732))+0-683.2--0.696864000000109</f>
        <v>1808.65329</v>
      </c>
      <c r="G22" s="3">
        <f>2530.9+(475.9-593.4)+(-6.453795+(-1.213545--1.51317))+0-710--1.8104999999999</f>
        <v>1699.0563300000001</v>
      </c>
      <c r="H22" s="3">
        <f>2535.3+(299-474.7)+(-3.879009+(-0.45747--0.726291))+0-711.1--1.08798300000004</f>
        <v>1645.9777950000005</v>
      </c>
      <c r="I22" s="3">
        <f>2533.3+(284.1-526.1)+(-3.875949+(-0.434673--0.804933))+0-745.3--1.14030900000004</f>
        <v>1543.6346200000003</v>
      </c>
      <c r="J22" s="3">
        <f>2533.6+(226.7-596.3)+(-6.46068+(-0.578085--1.520565))+0-555.9--1.41754499999992</f>
        <v>1603.9993449999999</v>
      </c>
      <c r="K22" s="3">
        <f>2404.3+(276.1-348.2)+(2.452386+(0.281622-0.355164))+0-736.3-0.751026000000117</f>
        <v>1597.527818</v>
      </c>
      <c r="L22" s="3">
        <f>2402.8+(256.4-462.8)+(-6.12714+(-0.65382--1.18014))+0-543.5--1.38592499999992</f>
        <v>1648.6851049999998</v>
      </c>
      <c r="M22" s="3">
        <f>2404.5+(281.8-440.8)+(-1.226295+(-0.143718--0.224808))+0-524.2--0.267341999999947</f>
        <v>1720.422137</v>
      </c>
      <c r="N22" s="3">
        <f>2526.5+(282.4-346.4)+(1.288515+(0.144024-0.176664))+0-512.6-0.261425999999948</f>
        <v>1950.8944489999999</v>
      </c>
      <c r="O22" s="3">
        <f>2510.4+(292.6-330.2)+(-1.280304+(-0.149226--0.168402))+0-428.3--0.218432999999957</f>
        <v>2043.4573050000001</v>
      </c>
      <c r="P22" s="3">
        <f>2530.5+(262.9-271.7)+(-1.290555+(-0.134079--0.138567))+0-407.3--0.207722999999959</f>
        <v>2113.3216559999996</v>
      </c>
      <c r="Q22" s="3">
        <f>2511.7+(442.8-226.1)+(1.280967+(0.225828-0.115311))+0-590.6-0.30120599999994</f>
        <v>2138.8902779999999</v>
      </c>
      <c r="R22" s="3">
        <f>2504.9+(420.3-274.3)+(-3.832497+(-0.643059--0.419679))+0-509.9--0.780147000000029</f>
        <v>2137.7242700000002</v>
      </c>
      <c r="S22" s="3">
        <f>2491.8+(417.5-384)+(-3.812454+(-0.638775--0.58752))+0-556.9--0.852057000000032</f>
        <v>1965.388348</v>
      </c>
      <c r="T22" s="3">
        <f>2496.4+(551-444.2)+(0+(0-0))+0-595.1-0</f>
        <v>2008.1000000000004</v>
      </c>
      <c r="U22" s="3">
        <f>2492.4+(511.4-481.5)+(0+(0-0))+0-557.6-0</f>
        <v>1964.7000000000003</v>
      </c>
      <c r="V22" s="3">
        <f>2497.4+(488-371.6)+(-1.273674+(-0.24888--0.189516))+0-577.6--0.294575999999941</f>
        <v>2035.1615380000001</v>
      </c>
      <c r="W22" s="3">
        <f>2503.8+(386.1-300.4)+(-7.661628+(-1.181466--0.919224))+0-587.7--1.79836200000007</f>
        <v>1995.6744919999999</v>
      </c>
      <c r="X22" s="3">
        <f>2494.2+(287.2-225.4)+(-1.272042+(-0.146472--0.114954))+0-573.8--0.292637999999942</f>
        <v>1981.1890780000001</v>
      </c>
      <c r="Y22" s="3">
        <f>2519.9+(488.8-281.8)+(-2.570298+(-0.498576--0.287436))+0-580.7--0.592314000000093</f>
        <v>2144.0108759999998</v>
      </c>
      <c r="Z22" s="3">
        <f>2575.3+(908-554.4)+(-7.880418+(-2.77848--1.696464))+5.9-604--1.84824000000007</f>
        <v>2323.6858060000004</v>
      </c>
      <c r="AA22" s="3">
        <f>2590.8+(776.6-520.6)+(-5.285232+(-1.584264--1.062024))+0-618.6--1.26194399999997</f>
        <v>2223.6544720000002</v>
      </c>
      <c r="AB22" s="3">
        <f>2565+(609.3-429)+(0+(0-0))+0-620.8-0</f>
        <v>2124.5</v>
      </c>
      <c r="AC22" s="3">
        <f>2554.9+(417.1-421.5)+(-1.302999+(-0.212721--0.214965))+0-536.1--0.273410999999946</f>
        <v>2013.3726559999998</v>
      </c>
      <c r="AD22">
        <f t="shared" si="0"/>
        <v>46431.681664000011</v>
      </c>
      <c r="AE22" s="3">
        <f>2555+(985.9-530.1)+(0+(0-0))+0-709.3-0</f>
        <v>2301.5</v>
      </c>
    </row>
    <row r="23" spans="1:31" s="2" customFormat="1" x14ac:dyDescent="0.25">
      <c r="A23">
        <v>89</v>
      </c>
      <c r="B23">
        <v>1</v>
      </c>
      <c r="C23">
        <v>23</v>
      </c>
      <c r="D23">
        <v>3</v>
      </c>
      <c r="E23">
        <v>1</v>
      </c>
      <c r="F23" s="3">
        <f>2536.9+(304.9-479.9)+(-3.881457+(-0.466497--0.734247))+0-529--0.809370000000031</f>
        <v>1830.0956630000001</v>
      </c>
      <c r="G23" s="3">
        <f>2540.3+(432.8-591.1)+(0+(0-0))+0-666.2-0</f>
        <v>1715.8</v>
      </c>
      <c r="H23" s="3">
        <f>2434.4+(365.9-600.7)+(-2.483088+(-0.373218--0.612714))+0-540--0.550800000000086</f>
        <v>1657.9072080000001</v>
      </c>
      <c r="I23" s="3">
        <f>2416.7+(322.2-540.9)+(-1.232517+(-0.164322--0.275859))+0-567.2--0.289271999999942</f>
        <v>1629.9682919999998</v>
      </c>
      <c r="J23" s="3">
        <f>2416.7+(269.2-497.8)+(-4.930068+(-0.549168--1.015512))+0-559.1--1.14056399999998</f>
        <v>1625.6768399999999</v>
      </c>
      <c r="K23" s="3">
        <f>2419.8+(225.8-385.1)+(-1.234098+(-0.115158--0.196401))+0-628.5--0.320534999999936</f>
        <v>1631.16768</v>
      </c>
      <c r="L23" s="3">
        <f>2425.3+(225.9-399.5)+(-1.236903+(-0.115209--0.203745))+0-608.2--0.310181999999938</f>
        <v>1642.6618150000004</v>
      </c>
      <c r="M23" s="3">
        <f>2420.5+(268.2-332.9)+(-2.46891+(-0.273564--0.339558))+0-579.8--0.591396000000092</f>
        <v>1774.1884800000003</v>
      </c>
      <c r="N23" s="3">
        <f>2567+(293.1-296.5)+(-5.23668+(-0.597924--0.60486))+0-552.4--1.12689599999998</f>
        <v>2007.0971519999996</v>
      </c>
      <c r="O23" s="3">
        <f>2633.2+(336.7-313.5)+(-4.028796+(-0.515151--0.479655))+0-530--0.810900000000031</f>
        <v>2123.1466079999996</v>
      </c>
      <c r="P23" s="3">
        <f>2662.8+(400.9-282.1)+(-4.074084+(-0.613377--0.431613))+0-606--0.927180000000035</f>
        <v>2172.2713320000007</v>
      </c>
      <c r="Q23" s="3">
        <f>2652.7+(515.6-296.9)+(-2.705754+(-0.525912--0.302838))+0-556.3--0.567426000000089</f>
        <v>2312.7385979999995</v>
      </c>
      <c r="R23" s="3">
        <f>2523.9+(658.7-434.2)+(0+(0-0))+0-600.7-0</f>
        <v>2147.6999999999998</v>
      </c>
      <c r="S23" s="3">
        <f>2561.9+(600.1-587.4)+(-1.306569+(-0.306051--0.299574))+0-476.7--0.243116999999952</f>
        <v>2096.8300710000003</v>
      </c>
      <c r="T23" s="3">
        <f>2615.7+(564-563.8)+(-2.668014+(-0.57528--0.575076))+0-558.7--0.569874000000089</f>
        <v>2055.1016560000003</v>
      </c>
      <c r="U23" s="3">
        <f>2623+(496.9-527.6)+(-2.67546+(-0.506838--0.538152))+0-510.8--0.521016000000081</f>
        <v>2079.3768700000001</v>
      </c>
      <c r="V23" s="3">
        <f>2615.9+(435.6-468.3)+(-2.668218+(-0.444312--0.477666))+0-533.7--0.544374000000085</f>
        <v>2047.4095100000002</v>
      </c>
      <c r="W23" s="3">
        <f>2628.2+(454.2-465)+(-1.340382+(-0.231642--0.23715))+0-606.7--0.309416999999938</f>
        <v>2009.6745429999994</v>
      </c>
      <c r="X23" s="3">
        <f>2635.8+(553.5-472.6)+(-1.344258+(-0.282285--0.241026))+0-630.3--0.321452999999936</f>
        <v>2085.3359359999999</v>
      </c>
      <c r="Y23" s="3">
        <f>2646.9+(863.4-735.9)+(0+(0-0))+0-555.7-0</f>
        <v>2218.6999999999998</v>
      </c>
      <c r="Z23" s="3">
        <f>2677.2+(1205.5-858.3)+(-2.730744+(-1.22961--0.875466))+0-650.1--0.663102000000104</f>
        <v>2371.8782139999998</v>
      </c>
      <c r="AA23" s="3">
        <f>2726.7+(925.8-838.5)+(-2.781234+(-0.944316--0.85527))+0-557.7--0.568854000000089</f>
        <v>2253.9985740000002</v>
      </c>
      <c r="AB23" s="3">
        <f>2717.8+(625.7-567)+(-5.544312+(-1.276428--1.15668))+0-629.4--1.28397599999997</f>
        <v>2142.719916</v>
      </c>
      <c r="AC23" s="3">
        <f>2705.4+(400.2-484.9)+(-2.759508+(-0.408204--0.494598))+0-581.3--0.592926000000093</f>
        <v>2037.3198120000002</v>
      </c>
      <c r="AD23">
        <f t="shared" si="0"/>
        <v>47668.764770000002</v>
      </c>
      <c r="AE23" s="3">
        <f>2683+(1224-830.2)+(0+(0-0))+0-729.3-0</f>
        <v>2347.5</v>
      </c>
    </row>
    <row r="24" spans="1:31" s="2" customFormat="1" x14ac:dyDescent="0.25">
      <c r="A24">
        <v>89</v>
      </c>
      <c r="B24">
        <v>1</v>
      </c>
      <c r="C24">
        <v>24</v>
      </c>
      <c r="D24">
        <v>4</v>
      </c>
      <c r="E24">
        <v>1</v>
      </c>
      <c r="F24" s="3">
        <f>2437.8+(711.4-656.9)+(-3.729834+(-1.088442--1.005057))+0-599.4--0.917082000000035</f>
        <v>1890.0038629999999</v>
      </c>
      <c r="G24" s="3">
        <f>2370.4+(688.7-674)+(-3.626712+(-1.053711--1.03122))+0-610.4--0.933912000000035</f>
        <v>1771.9847090000003</v>
      </c>
      <c r="H24" s="3">
        <f>2364.8+(601.7-663.4)+(1.206048+(0.306867-0.338334))+0-597.2-0.304571999999939</f>
        <v>1706.7700090000005</v>
      </c>
      <c r="I24" s="3">
        <f>2369.1+(675.5-628.5)+(-3.624723+(-1.033515--0.961605))+0-736.7--1.12715100000004</f>
        <v>1676.830518</v>
      </c>
      <c r="J24" s="3">
        <f>2373+(647.9-770.8)+(-6.05115+(-1.652145--1.96554))+0-583.3--1.48741499999992</f>
        <v>1662.5496599999997</v>
      </c>
      <c r="K24" s="3">
        <f>2383.5+(493.3-601.9)+(-3.646755+(-0.754749--0.920907))+0-598.2--0.915246000000035</f>
        <v>1674.1346489999999</v>
      </c>
      <c r="L24" s="3">
        <f>2382.2+(362-383.1)+(-1.214922+(-0.18462--0.195381))+0-655.2--0.334151999999934</f>
        <v>1705.0299909999997</v>
      </c>
      <c r="M24" s="3">
        <f>2374+(291.6-314.9)+(0+(0-0))+0-538.6-0</f>
        <v>1812.1</v>
      </c>
      <c r="N24" s="3">
        <f>2360.9+(579.5-276.8)+(0+(0-0))+0-621.9-0</f>
        <v>2041.6999999999998</v>
      </c>
      <c r="O24" s="3">
        <f>2297.4+(652.5-276.1)+(-1.171674+(-0.332775--0.140811))+0-603.1--0.307580999999939</f>
        <v>2069.6439430000005</v>
      </c>
      <c r="P24" s="3">
        <f>2363.1+(802.3-377)+(0+(0-0))+0-566.5-0</f>
        <v>2221.8999999999996</v>
      </c>
      <c r="Q24" s="3">
        <f>2392.6+(838.7-482.2)+(0+(0-0))+0-567.8-0</f>
        <v>2181.3000000000002</v>
      </c>
      <c r="R24" s="3">
        <f>2389.6+(1057.4-560)+(-3.656088+(-1.617822--0.8568))+0-637.1--0.974763000000037</f>
        <v>2246.4576530000004</v>
      </c>
      <c r="S24" s="3">
        <f>2420+(848.3-589.8)+(-2.4684+(-0.865266--0.601596))+0-623.6--0.636072000000099</f>
        <v>2052.8040020000003</v>
      </c>
      <c r="T24" s="3">
        <f>2509.4+(929.5-646.2)+(-1.279794+(-0.474045--0.329562))+0-627.6--0.320075999999936</f>
        <v>2163.9957989999998</v>
      </c>
      <c r="U24" s="3">
        <f>2501.7+(946.1-618.2)+(1.275867+(0.482511-0.315282))+0-640.7-0.326756999999935</f>
        <v>2190.0163389999998</v>
      </c>
      <c r="V24" s="3">
        <f>2486+(802-526.4)+(-1.26786+(-0.40902--0.268464))+0-622.5--0.317474999999937</f>
        <v>2138.0090589999995</v>
      </c>
      <c r="W24" s="3">
        <f>2485.2+(698.6-429.6)+(-3.802356+(-1.068858--0.657288))+0-654--1.00062000000004</f>
        <v>2096.9866940000002</v>
      </c>
      <c r="X24" s="3">
        <f>2503.6+(683.4-493.1)+(-6.38418+(-1.74267--1.257405))+0-605.9--1.54504499999991</f>
        <v>2082.6755999999996</v>
      </c>
      <c r="Y24" s="3">
        <f>2502.8+(1134.7-813.6)+(-2.552856+(-1.157394--0.829872))+0-598.9--0.610878000000096</f>
        <v>2222.7305000000001</v>
      </c>
      <c r="Z24" s="3">
        <f>2514.6+(1311.1-929.4)+(-5.129784+(-2.674644--1.895976))+0-639.8--1.30519199999997</f>
        <v>2251.8967399999992</v>
      </c>
      <c r="AA24" s="3">
        <f>2522.5+(1350.5-883.6)+(-6.432375+(-3.443775--2.25318))+0-682.7--1.7408849999999</f>
        <v>2300.8179150000001</v>
      </c>
      <c r="AB24" s="3">
        <f>2558.3+(1153.5-931.9)+(-5.218932+(-2.35314--1.901076))+0-655.6--1.33742399999997</f>
        <v>2119.9664280000002</v>
      </c>
      <c r="AC24" s="3">
        <f>2521+(885.3-688.7)+(-5.14284+(-1.806012--1.404948))+0-739.3--1.50817199999997</f>
        <v>1974.2642679999999</v>
      </c>
      <c r="AD24">
        <f t="shared" si="0"/>
        <v>48254.56833899999</v>
      </c>
      <c r="AE24" s="3">
        <f>2514+(1379-936)+(0+(0-0))+0-559-0</f>
        <v>2398</v>
      </c>
    </row>
    <row r="25" spans="1:31" s="2" customFormat="1" x14ac:dyDescent="0.25">
      <c r="A25">
        <v>89</v>
      </c>
      <c r="B25">
        <v>1</v>
      </c>
      <c r="C25">
        <v>25</v>
      </c>
      <c r="D25">
        <v>5</v>
      </c>
      <c r="E25">
        <v>1</v>
      </c>
      <c r="F25" s="3">
        <f>2394.5+(704.4-578.2)+(-3.663585+(-1.077732--0.884646))+0-707.9--1.08308700000004</f>
        <v>1810.0264159999997</v>
      </c>
      <c r="G25" s="3">
        <f>2409.1+(439-446.7)+(-3.685923+(-0.67167--0.683451))+0-708.4--1.08385200000004</f>
        <v>1690.4097100000001</v>
      </c>
      <c r="H25" s="3">
        <f>2303.8+(431.1-391.5)+(-2.349876+(-0.439722--0.39933))+0-693.5--0.707370000000111</f>
        <v>1648.2171020000001</v>
      </c>
      <c r="I25" s="3">
        <f>2256.8+(462.5-403.2)+(-2.301936+(-0.47175--0.411264))+0-698.6--0.712572000000111</f>
        <v>1615.8501500000004</v>
      </c>
      <c r="J25" s="3">
        <f>2219.6+(435-358.7)+(-2.263992+(-0.4437--0.365874))+0-687.9--0.70165800000011</f>
        <v>1606.3598400000003</v>
      </c>
      <c r="K25" s="3">
        <f>2165.9+(362.1-289.5)+(1.104609+(0.184671-0.147645))+0-621-0.316709999999937</f>
        <v>1618.3249250000001</v>
      </c>
      <c r="L25" s="3">
        <f>2104.8+(377.9-169.9)+(-1.073448+(-0.192729--0.086649))+0-676.8--0.345167999999931</f>
        <v>1635.1656399999999</v>
      </c>
      <c r="M25" s="3">
        <f>2208.1+(294-241.9)+(1.126131+(0.14994-0.123369))+0-537.2-0.273971999999946</f>
        <v>1723.8787299999997</v>
      </c>
      <c r="N25" s="3">
        <f>2384.1+(395.3-268.1)+(0+(0-0))+0-593.3-0</f>
        <v>1917.9999999999998</v>
      </c>
      <c r="O25" s="3">
        <f>2381.4+(662.1-498.8)+(-1.214514+(-0.337671--0.254388))+0-486.2--0.247961999999951</f>
        <v>2057.4501650000002</v>
      </c>
      <c r="P25" s="3">
        <f>2372.9+(897.7-629.9)+(2.420358+(0.915654-0.642498))+0-515.4-0.525708000000082</f>
        <v>2127.4678060000001</v>
      </c>
      <c r="Q25" s="3">
        <f>2388.1+(1001.3-666.2)+(-3.653793+(-1.531989--1.019286))+0-563.2--0.861696000000033</f>
        <v>2156.6952000000001</v>
      </c>
      <c r="R25" s="3">
        <f>2382.4+(901.9-695.8)+(1.215024+(0.459969-0.354858))+0-449-0.228989999999954</f>
        <v>2140.5911449999999</v>
      </c>
      <c r="S25" s="3">
        <f>2375.9+(730.9-640.4)+(-1.211709+(-0.372759--0.326604))+0-524.2--0.267341999999947</f>
        <v>1941.2094779999998</v>
      </c>
      <c r="T25" s="3">
        <f>2376.6+(746.9-626.7)+(1.212066+(0.380919-0.319617))+0-510.3-0.260252999999948</f>
        <v>1987.513115</v>
      </c>
      <c r="U25" s="3">
        <f>2364.3+(779.8-520)+(-3.617379+(-1.193094--0.7956))+0-607.6--0.929628000000035</f>
        <v>2013.4147550000005</v>
      </c>
      <c r="V25" s="3">
        <f>2365.3+(783.7-618.7)+(0+(0-0))+0-493.7-0</f>
        <v>2036.6000000000001</v>
      </c>
      <c r="W25" s="3">
        <f>2373.9+(920.7-681.3)+(-3.632067+(-1.408671--1.042389))+0-601.2--0.919836000000035</f>
        <v>2009.0214870000002</v>
      </c>
      <c r="X25" s="3">
        <f>2408.9+(824.7-702.9)+(-7.371234+(-2.523582--2.150874))+0-547.4--1.67504400000006</f>
        <v>1977.2311020000002</v>
      </c>
      <c r="Y25" s="3">
        <f>2463.3+(1108-839.2)+(-2.512566+(-1.13016--0.855984))+0-618.6--0.630972000000099</f>
        <v>2111.3442300000006</v>
      </c>
      <c r="Z25" s="3">
        <f>2542.2+(1120.1-786)+(-5.186088+(-2.285004--1.60344))+0-582.5--1.18829999999997</f>
        <v>2289.1206479999996</v>
      </c>
      <c r="AA25" s="3">
        <f>2546.3+(1140.5-764.9)+(-3.895839+(-1.744965--1.170297))+0-700.8--1.07222400000004</f>
        <v>2217.7017170000004</v>
      </c>
      <c r="AB25" s="3">
        <f>2463.5+(979.8-675.9)+(-5.02554+(-1.998792--1.378836))+0-654.2--1.33456799999997</f>
        <v>2108.8890719999995</v>
      </c>
      <c r="AC25" s="3">
        <f>2116.5+(1029-485)+(0+(0-0))+0-668.7-0</f>
        <v>1991.8</v>
      </c>
      <c r="AD25">
        <f t="shared" si="0"/>
        <v>46432.282433</v>
      </c>
      <c r="AE25" s="3">
        <f>2562+(1175-852)+(0+(0-0))+0-539-0</f>
        <v>2346</v>
      </c>
    </row>
    <row r="26" spans="1:31" s="2" customFormat="1" x14ac:dyDescent="0.25">
      <c r="A26">
        <v>89</v>
      </c>
      <c r="B26">
        <v>1</v>
      </c>
      <c r="C26">
        <v>26</v>
      </c>
      <c r="D26">
        <v>6</v>
      </c>
      <c r="E26">
        <v>1</v>
      </c>
      <c r="F26" s="3">
        <f>2111.3+(836.8-498.6)+(-3.230289+(-1.280304--0.762858))+0-640--0.979200000000037</f>
        <v>1806.7314650000001</v>
      </c>
      <c r="G26" s="3">
        <f>2119+(817.8-616.7)+(-1.08069+(-0.417078--0.314517))+0-620.8--0.316607999999937</f>
        <v>1698.4333569999999</v>
      </c>
      <c r="H26" s="3">
        <f>2119.9+(876.2-627.6)+(0+(0-0))+0-731.2-0</f>
        <v>1637.3</v>
      </c>
      <c r="I26" s="3">
        <f>2119.7+(774.9-632.6)+(-4.324188+(-1.580796--1.290504))+0-640.3--1.30621199999997</f>
        <v>1618.3917319999998</v>
      </c>
      <c r="J26" s="3">
        <f>2125.3+(753.6-621.6)+(-3.251709+(-1.153008--0.951048))+0-647.9--0.991287000000037</f>
        <v>1606.9376180000002</v>
      </c>
      <c r="K26" s="3">
        <f>2129.8+(757.9-557.9)+(0+(0-0))+0-727.2-0</f>
        <v>1602.6000000000001</v>
      </c>
      <c r="L26" s="3">
        <f>2128.5+(530.7-458.8)+(-6.51321+(-1.623942--1.403928))+0-592.2--1.81213200000007</f>
        <v>1603.278908</v>
      </c>
      <c r="M26" s="3">
        <f>2128.4+(427.4-337.2)+(1.085484+(0.217974-0.171972))+0-537.4-0.274073999999945</f>
        <v>1682.0574120000001</v>
      </c>
      <c r="N26" s="3">
        <f>2116.8+(641.9-342.2)+(0+(0-0))+0-531.3-0</f>
        <v>1885.2</v>
      </c>
      <c r="O26" s="3">
        <f>2107.4+(816.9-358.5)+(2.149548+(0.833238-0.36567))+0-577.1-0.588642000000092</f>
        <v>1990.728474</v>
      </c>
      <c r="P26" s="3">
        <f>2133.3+(1023.7-471.8)+(-3.263949+(-1.566261--0.721854))+0-613.3--0.938349000000035</f>
        <v>2068.7299929999999</v>
      </c>
      <c r="Q26" s="3">
        <f>2201.6+(1127.4-617.5)+(-3.368448+(-1.724922--0.944775))+0-612.2--0.936666000000035</f>
        <v>2096.0880709999997</v>
      </c>
      <c r="R26" s="3">
        <f>2192.6+(1160.8-679.8)+(0+(0-0))+0-590.6-0</f>
        <v>2083</v>
      </c>
      <c r="S26" s="3">
        <f>2191.9+(951.5-677)+(-3.353607+(-1.455795--1.03581))+0-541.2--0.828036000000031</f>
        <v>1922.2544440000001</v>
      </c>
      <c r="T26" s="3">
        <f>2188.9+(1067.1-662.2)+(-1.116339+(-0.544221--0.337722))+0-660.3--0.336752999999933</f>
        <v>1932.5139150000002</v>
      </c>
      <c r="U26" s="3">
        <f>2201+(1000.5-637)+(-1.12251+(-0.510255--0.32487))+0-646.4--0.329663999999934</f>
        <v>1917.1217689999999</v>
      </c>
      <c r="V26" s="3">
        <f>2206.9+(931.9-542.1)+(-3.376557+(-1.425807--0.829413))+0-688.9--1.05401700000004</f>
        <v>1904.8810659999995</v>
      </c>
      <c r="W26" s="3">
        <f>2185.8+(741.1-400.4)+(-3.344274+(-1.133883--0.612612))+0-664.5--1.01668500000004</f>
        <v>1859.1511399999999</v>
      </c>
      <c r="X26" s="3">
        <f>2150.8+(627.4-312.8)+(-3.290724+(-0.959922--0.478584))+0-612.8--0.937584000000035</f>
        <v>1849.7655220000001</v>
      </c>
      <c r="Y26" s="3">
        <f>2162.3+(841.7-518)+(1.102773+(0.429267-0.26418))+0-501.9-0.255968999999949</f>
        <v>1985.1118909999998</v>
      </c>
      <c r="Z26" s="3">
        <f>2249+(1258.8-738.3)+(-2.29398+(-1.283976--0.753066))+0-585.3--0.597006000000093</f>
        <v>2181.9721159999999</v>
      </c>
      <c r="AA26" s="3">
        <f>2256.5+(1148.7-685)+(-1.150815+(-0.585837--0.34935))+0-622.8--0.317627999999937</f>
        <v>2096.3303259999993</v>
      </c>
      <c r="AB26" s="3">
        <f>2238.8+(974.7-531.5)+(-2.283576+(-0.994194--0.54213))+0-700.9--0.714918000000112</f>
        <v>1979.0792780000002</v>
      </c>
      <c r="AC26" s="3">
        <f>2238.8+(855.9-545.1)+(-6.850728+(-2.619054--1.668006))+0-643.2--1.96819200000007</f>
        <v>1900.5664160000006</v>
      </c>
      <c r="AD26">
        <f t="shared" si="0"/>
        <v>44908.224912999991</v>
      </c>
      <c r="AE26" s="3">
        <f>2235+(1327.8-786.3)+(0+(0-0))+0-599.5-0</f>
        <v>2177</v>
      </c>
    </row>
    <row r="27" spans="1:31" s="2" customFormat="1" x14ac:dyDescent="0.25">
      <c r="A27">
        <v>89</v>
      </c>
      <c r="B27">
        <v>1</v>
      </c>
      <c r="C27">
        <v>27</v>
      </c>
      <c r="D27">
        <v>7</v>
      </c>
      <c r="E27">
        <v>1</v>
      </c>
      <c r="F27" s="3">
        <f>2256.4+(874.8-648.7)+(-2.301528+(-0.892296--0.661674))+0-659.7--0.672894000000105</f>
        <v>1820.940744</v>
      </c>
      <c r="G27" s="3">
        <f>2161.1+(910.8-693.1)+(-5.510805+(-2.32254--1.767405))+0-743.4--1.89566999999989</f>
        <v>1631.2297299999996</v>
      </c>
      <c r="H27" s="3">
        <f>1994.1+(889.9-602.7)+(-5.084955+(-2.269245--1.536885))+0-679.8--1.7334899999999</f>
        <v>1597.4161749999998</v>
      </c>
      <c r="I27" s="3">
        <f>1981.3+(841.2-584)+(-2.020926+(-0.858024--0.59568))+0-675.1--0.688602000000108</f>
        <v>1561.8053320000004</v>
      </c>
      <c r="J27" s="3">
        <f>1971.6+(737.8-517.8)+(0+(0-0))+0-656.6-0</f>
        <v>1535</v>
      </c>
      <c r="K27" s="3">
        <f>1866.6+(748.7-447.5)+(-3.807864+(-1.527348--0.9129))+0-618.6--1.26194399999997</f>
        <v>1546.039632</v>
      </c>
      <c r="L27" s="3">
        <f>1831.2+(744.1-412.1)+(-6.537384+(-2.656437--1.471197))+0-667.2--2.38190400000001</f>
        <v>1490.6592799999999</v>
      </c>
      <c r="M27" s="3">
        <f>1831.5+(705.4-460.9)+(-3.73626+(-1.439016--0.940236))+0-605.1--1.23440399999997</f>
        <v>1467.8993640000001</v>
      </c>
      <c r="N27" s="3">
        <f>1884.6+(648.3-442.6)+(0+(0-0))+0-584.4-0</f>
        <v>1505.8999999999996</v>
      </c>
      <c r="O27" s="3">
        <f>1974.9+(725.6-427.2)+(2.014398+(0.740112-0.435744))+0-668.8-0.682176000000107</f>
        <v>1606.1365900000001</v>
      </c>
      <c r="P27" s="3">
        <f>2097.6+(696.6-524.1)+(0+(0-0))+0-572.4-0</f>
        <v>1697.6999999999998</v>
      </c>
      <c r="Q27" s="3">
        <f>2101.5+(804.8-565.7)+(-2.14353+(-0.820896--0.577014))+0-607.3--0.619446000000097</f>
        <v>1731.5320340000001</v>
      </c>
      <c r="R27" s="3">
        <f>2083.7+(898.4-651.6)+(-2.125374+(-0.916368--0.664632))+0-599.4--0.611388000000096</f>
        <v>1729.334278</v>
      </c>
      <c r="S27" s="3">
        <f>2094.9+(904.8-743.9)+(0+(0-0))+0-578.3-0</f>
        <v>1677.5000000000002</v>
      </c>
      <c r="T27" s="3">
        <f>2175.4+(1062.5-893.3)+(-4.437816+(-2.1675--1.822332))+0-640--1.30559999999997</f>
        <v>1701.1226160000003</v>
      </c>
      <c r="U27" s="3">
        <f>2275.7+(937.5-944.2)+(-8.124249+(-3.346875--3.370794))+0-606.3--2.16449100000001</f>
        <v>1656.7641609999998</v>
      </c>
      <c r="V27" s="3">
        <f>2245.3+(649.6-814.4)+(-6.870618+(-1.987776--2.492064))+0-497.4--1.52204400000006</f>
        <v>1578.2557140000001</v>
      </c>
      <c r="W27" s="3">
        <f>2365.6+(504.9-678.2)+(-1.206456+(-0.257499--0.345882))+0-557.2--0.284171999999944</f>
        <v>1634.2660989999995</v>
      </c>
      <c r="X27" s="3">
        <f>2437.5+(335.9-553.3)+(-6.215625+(-0.856545--1.410915))+0-600.4--1.53101999999991</f>
        <v>1615.5697649999997</v>
      </c>
      <c r="Y27" s="3">
        <f>2511.4+(394.6-614.1)+(-2.561628+(-0.402492--0.626382))+0-553.2--0.564264000000088</f>
        <v>1736.926526</v>
      </c>
      <c r="Z27" s="3">
        <f>2596+(608.9-627.6)+(-2.64792+(-0.621078--0.640152))+0-636.8--0.649536000000101</f>
        <v>1938.5206900000003</v>
      </c>
      <c r="AA27" s="3">
        <f>2667+(530.5-655)+(0+(0-0))+0-617.3-0</f>
        <v>1925.2</v>
      </c>
      <c r="AB27" s="3">
        <f>2627.6+(587.5-674.7)+(-4.020228+(-0.898875--1.032291))+0-689.5--1.05493500000004</f>
        <v>1848.0681229999996</v>
      </c>
      <c r="AC27" s="3">
        <f>2626.8+(611.7-754.7)+(-4.019004+(-0.935901--1.154691))+0-708.2--1.08354600000004</f>
        <v>1772.8833320000003</v>
      </c>
      <c r="AD27">
        <f t="shared" si="0"/>
        <v>40006.670184999988</v>
      </c>
      <c r="AE27" s="3">
        <f>2676+(621.7-635.6)+(0+(0-0))+0-766.4-0</f>
        <v>1895.6999999999998</v>
      </c>
    </row>
    <row r="28" spans="1:31" s="2" customFormat="1" x14ac:dyDescent="0.25">
      <c r="A28">
        <v>89</v>
      </c>
      <c r="B28">
        <v>1</v>
      </c>
      <c r="C28">
        <v>28</v>
      </c>
      <c r="D28">
        <v>1</v>
      </c>
      <c r="E28">
        <v>1</v>
      </c>
      <c r="F28" s="3">
        <f>2596.6+(492.9-849.5)+(-6.62133+(-1.256895--2.166225))+0-609--1.55294999999991</f>
        <v>1626.84095</v>
      </c>
      <c r="G28" s="3">
        <f>2558.4+(435.3-714.3)+(-7.828704+(-1.332018--2.185758))+0-750.4--2.29622400000009</f>
        <v>1524.3212600000002</v>
      </c>
      <c r="H28" s="3">
        <f>2537.7+(564-1016.9)+(-5.176908+(-1.15056--2.074476))+0-598.3--1.22053199999997</f>
        <v>1483.4675399999996</v>
      </c>
      <c r="I28" s="3">
        <f>2497.2+(692.4-1074.8)+(-2.547144+(-0.706248--1.096296))+0-647.6--0.660552000000103</f>
        <v>1465.703456</v>
      </c>
      <c r="J28" s="3">
        <f>2499.8+(683.8-1041.8)+(-3.824694+(-1.046214--1.593954))+0-679.5--1.03963500000004</f>
        <v>1460.0626810000003</v>
      </c>
      <c r="K28" s="3">
        <f>2497.8+(629.7-991.4)+(-2.547756+(-0.642294--1.011228))+0-645--0.657900000000103</f>
        <v>1489.5790780000007</v>
      </c>
      <c r="L28" s="3">
        <f>2450.4+(536.9-702.2)+(-1.249704+(-0.273819--0.358122))+0-634.1--0.323390999999936</f>
        <v>1650.1579899999997</v>
      </c>
      <c r="M28" s="3">
        <f>2382.2+(363.9-404.4)+(1.214922+(0.185589-0.206244))+0-633.7-0.323186999999936</f>
        <v>1708.8710799999997</v>
      </c>
      <c r="N28" s="3">
        <f>2372.6+(472.5-346.4)+(-1.210026+(-0.240975--0.176664))+0-658.1--0.335630999999933</f>
        <v>1839.661294</v>
      </c>
      <c r="O28" s="3">
        <f>2471.3+(536.9-323)+(0+(0-0))+0-690.1-0</f>
        <v>1995.1000000000004</v>
      </c>
      <c r="P28" s="3">
        <f>2523.4+(817.9-631.2)+(-3.860802+(-1.251387--0.965736))+0-633.6--0.969408000000037</f>
        <v>2073.3229550000001</v>
      </c>
      <c r="Q28" s="3">
        <f>2525.8+(1040.8-732.4)+(-3.864474+(-1.592424--1.120572))+0-709.3--1.08522900000004</f>
        <v>2121.6489030000002</v>
      </c>
      <c r="R28" s="3">
        <f>2508.1+(925.8-693.2)+(-3.837393+(-1.416474--1.060596))+0-652.4--0.998172000000038</f>
        <v>2085.1049009999997</v>
      </c>
      <c r="S28" s="3">
        <f>2506.4+(715.6-663.7)+(-6.39132+(-1.82478--1.692435))+0-634.9--1.61899499999991</f>
        <v>1918.4953299999997</v>
      </c>
      <c r="T28" s="3">
        <f>2500.8+(783.9-688.1)+(-3.826224+(-1.199367--1.052793))+0-623.5--0.953955000000036</f>
        <v>1970.0811570000005</v>
      </c>
      <c r="U28" s="3">
        <f>2496.9+(780.6-669.6)+(-1.273419+(-0.398106--0.341496))+0-630.3--0.321452999999936</f>
        <v>1976.591424</v>
      </c>
      <c r="V28" s="3">
        <f>2514.2+(754.7-631.4)+(-2.564484+(-0.769794--0.644028))+0-618.8--0.631176000000099</f>
        <v>2016.640926</v>
      </c>
      <c r="W28" s="3">
        <f>2524.1+(559-494.2)+(-1.287291+(-0.28509--0.252042))+0-603.4--0.307733999999939</f>
        <v>1984.4873950000001</v>
      </c>
      <c r="X28" s="3">
        <f>2529.1+(419.9-408)+(-3.869523+(-0.642447--0.62424))+0-578--0.884340000000033</f>
        <v>1959.9966100000001</v>
      </c>
      <c r="Y28" s="3">
        <f>2550.2+(497.2-418.8)+(-1.300602+(-0.253572--0.213588))+15-606.8--0.309467999999938</f>
        <v>2035.7688820000001</v>
      </c>
      <c r="Z28" s="3">
        <f>2556.6+(1109.6-781.2)+(-5.215464+(-2.263584--1.593648))+0-660.2--1.34680799999997</f>
        <v>2220.2614079999998</v>
      </c>
      <c r="AA28" s="3">
        <f>2557+(956.5-651.4)+(-3.91221+(-1.463445--0.996642))+0-726.3--1.11123900000004</f>
        <v>2132.5322259999994</v>
      </c>
      <c r="AB28" s="3">
        <f>2436+(1006.9-765.9)+(-2.48472+(-1.027038--0.781218))+0-651.3--0.664326000000104</f>
        <v>2023.6337860000001</v>
      </c>
      <c r="AC28" s="3">
        <f>2410.2+(655.8-571.6)+(-2.458404+(-0.668916--0.583032))+0-581.9--0.593538000000093</f>
        <v>1910.5492499999996</v>
      </c>
      <c r="AD28">
        <f t="shared" si="0"/>
        <v>44672.880481999986</v>
      </c>
      <c r="AE28" s="3">
        <f>2564+(1253.1-723.8)+(0+(0-0))+0-815.4-0</f>
        <v>2277.9</v>
      </c>
    </row>
    <row r="29" spans="1:31" s="2" customFormat="1" x14ac:dyDescent="0.25">
      <c r="A29">
        <v>89</v>
      </c>
      <c r="B29">
        <v>1</v>
      </c>
      <c r="C29">
        <v>29</v>
      </c>
      <c r="D29">
        <v>2</v>
      </c>
      <c r="E29">
        <v>1</v>
      </c>
      <c r="F29" s="3">
        <f>2409.1+(521.4-604.2)+(-3.685923+(-0.797742--0.924426))+0-597.1--0.913563000000035</f>
        <v>1726.5543239999997</v>
      </c>
      <c r="G29" s="3">
        <f>2383.4+(451.5-609.8)+(-4.862136+(-0.92106--1.243992))+0-604.2--1.23256799999997</f>
        <v>1617.5933640000001</v>
      </c>
      <c r="H29" s="3">
        <f>2320.3+(563.7-674)+(-1.183353+(-0.287487--0.34374))+0-639.1--0.325940999999935</f>
        <v>1570.0988409999998</v>
      </c>
      <c r="I29" s="3">
        <f>2253.5+(663.8-650)+(-1.149285+(-0.338538--0.3315))+0-724--0.369239999999927</f>
        <v>1542.512917</v>
      </c>
      <c r="J29" s="3">
        <f>2212+(653.7-719.4)+(-2.25624+(-0.666774--0.733788))+0-601.2--0.613224000000096</f>
        <v>1543.5239980000003</v>
      </c>
      <c r="K29" s="3">
        <f>2166.2+(585.5-536.9)+(-5.52381+(-1.493025--1.369095))+0-655.7--1.6720349999999</f>
        <v>1555.1242949999996</v>
      </c>
      <c r="L29" s="3">
        <f>2029.7+(497.1-349.5)+(-1.035147+(-0.253521--0.178245))+0-623.2--0.317831999999937</f>
        <v>1553.307409</v>
      </c>
      <c r="M29" s="3">
        <f>2102.3+(444.5-258.8)+(-2.144346+(-0.45339--0.263976))+0-644.4--0.657288000000103</f>
        <v>1641.923528</v>
      </c>
      <c r="N29" s="3">
        <f>2246.1+(514-249.7)+(-3.436533+(-0.78642--0.382041))+0-642.2--0.982566000000037</f>
        <v>1865.3416540000001</v>
      </c>
      <c r="O29" s="3">
        <f>2409.7+(525.3-279.9)+(0+(0-0))+0-657.1-0</f>
        <v>1998</v>
      </c>
      <c r="P29" s="3">
        <f>2484.3+(605.5-332.8)+(0+(0-0))+0-681.1-0</f>
        <v>2075.9</v>
      </c>
      <c r="Q29" s="3">
        <f>2616.3+(670-487.5)+(-2.668626+(-0.6834--0.49725))+0-692.8--0.70665600000011</f>
        <v>2103.8518800000002</v>
      </c>
      <c r="R29" s="3">
        <f>2669.1+(703.4-569.3)+(-4.083723+(-1.076202--0.871029))+0-668.9--1.02341700000004</f>
        <v>2131.0345209999996</v>
      </c>
      <c r="S29" s="3">
        <f>2690.2+(375.2-556.1)+(-1.372002+(-0.191352--0.283611))+0-609.7--0.310946999999938</f>
        <v>1898.6312039999996</v>
      </c>
      <c r="T29" s="3">
        <f>2687+(469.4-581.4)+(1.37037+(0.239394-0.296514))+0-653.3-0.333182999999934</f>
        <v>1922.6800670000002</v>
      </c>
      <c r="U29" s="3">
        <f>2681.3+(595-564.6)+(-5.469852+(-1.2138--1.151784))+0-731.8--1.49287199999997</f>
        <v>1975.8610040000003</v>
      </c>
      <c r="V29" s="3">
        <f>2679.7+(482.4-516.3)+(-1.366647+(-0.246024--0.263313))+0-663.2--0.338231999999933</f>
        <v>1981.5888739999996</v>
      </c>
      <c r="W29" s="3">
        <f>2699.6+(516-564)+(-4.130388+(-0.78948--0.86292))+0-691.3--1.05768900000004</f>
        <v>1957.300741</v>
      </c>
      <c r="X29" s="3">
        <f>2711.3+(370.2-523.9)+(-4.148289+(-0.566406--0.801567))+0-589.7--0.902241000000034</f>
        <v>1964.8891130000002</v>
      </c>
      <c r="Y29" s="3">
        <f>2723.7+(481.8-399.2)+(-2.778174+(-0.491436--0.407184))+0-732.4--0.747048000000117</f>
        <v>2071.7846219999997</v>
      </c>
      <c r="Z29" s="3">
        <f>2758.5+(766.2-620.6)+(-5.62734+(-1.563048--1.266024))+0-700.8--1.42963199999997</f>
        <v>2198.8052679999996</v>
      </c>
      <c r="AA29" s="3">
        <f>2764.8+(730.1-598.6)+(-7.05024+(-1.861755--1.52643))+0-761.9--1.94284499999989</f>
        <v>2128.9572800000001</v>
      </c>
      <c r="AB29" s="3">
        <f>2650+(773.2-719.2)+(-1.3515+(-0.394332--0.366792))+0-678.1--0.345830999999931</f>
        <v>2024.8667910000001</v>
      </c>
      <c r="AC29" s="3">
        <f>2585.1+(717.8-711.2)+(-2.636802+(-0.732156--0.725424))+0-684.3--0.697986000000109</f>
        <v>1905.4544520000002</v>
      </c>
      <c r="AD29">
        <f t="shared" si="0"/>
        <v>44955.586147000002</v>
      </c>
      <c r="AE29" s="3">
        <f>2760+(873-578.7)+(0+(0-0))+0-860.4-0</f>
        <v>2193.9</v>
      </c>
    </row>
    <row r="30" spans="1:31" s="2" customFormat="1" x14ac:dyDescent="0.25">
      <c r="A30">
        <v>89</v>
      </c>
      <c r="B30">
        <v>1</v>
      </c>
      <c r="C30">
        <v>30</v>
      </c>
      <c r="D30">
        <v>3</v>
      </c>
      <c r="E30">
        <v>1</v>
      </c>
      <c r="F30" s="3">
        <f>2441.4+(559-548)+(-3.735342+(-0.85527--0.83844))+0-704.1--1.07727300000004</f>
        <v>1745.6251010000003</v>
      </c>
      <c r="G30" s="3">
        <f>2399.6+(416.8-546.3)+(-4.895184+(-0.850272--1.114452))+0-625.9--1.27683599999997</f>
        <v>1640.845832</v>
      </c>
      <c r="H30" s="3">
        <f>2404+(593.9-627.1)+(0+(0-0))+0-777.8-0</f>
        <v>1593.0000000000002</v>
      </c>
      <c r="I30" s="3">
        <f>2404.2+(550-695.7)+(-4.904568+(-1.122--1.419228))+0-683.6--1.39454399999997</f>
        <v>1571.6872040000001</v>
      </c>
      <c r="J30" s="3">
        <f>2383.7+(475.6-534.3)+(-2.431374+(-0.485112--0.544986))+0-760.7--0.775914000000121</f>
        <v>1562.7044139999998</v>
      </c>
      <c r="K30" s="3">
        <f>2267.8+(420.5-440.6)+(-3.469734+(-0.643365--0.674118))+0-672.8--1.02938400000004</f>
        <v>1572.4904030000005</v>
      </c>
      <c r="L30" s="3">
        <f>2281+(315-319.7)+(-2.32662+(-0.3213--0.326094))+0-676.2--0.689724000000108</f>
        <v>1598.4678980000003</v>
      </c>
      <c r="M30" s="3">
        <f>2328.6+(382.9-310.2)+(-1.187586+(-0.195279--0.158202))+0-715.7--0.365006999999927</f>
        <v>1684.7403439999996</v>
      </c>
      <c r="N30" s="3">
        <f>2410.5+(404-260.3)+(0+(0-0))+0-661.4-0</f>
        <v>1892.7999999999997</v>
      </c>
      <c r="O30" s="3">
        <f>2405.1+(612.6-315)+(1.226601+(0.312426-0.16065))+0-664.1-0.338690999999933</f>
        <v>2039.639686</v>
      </c>
      <c r="P30" s="3">
        <f>2397.5+(899-535.2)+(0+(0-0))+0-667.9-0</f>
        <v>2093.4</v>
      </c>
      <c r="Q30" s="3">
        <f>2397.9+(1125.9-784)+(-1.222929+(-0.574209--0.39984))+0-578.4--0.294983999999941</f>
        <v>2160.2976860000003</v>
      </c>
      <c r="R30" s="3">
        <f>2393.4+(1183.4-751.2)+(2.441268+(1.207068-0.766224))+0-673.8-0.687276000000107</f>
        <v>2153.9948360000003</v>
      </c>
      <c r="S30" s="3">
        <f>2383.5+(950.9-698.3)+(1.215585+(0.484959-0.356133))+0-684.2-0.348941999999931</f>
        <v>1952.895469</v>
      </c>
      <c r="T30" s="3">
        <f>2245.4+(1013.5-528.5)+(-1.145154+(-0.516885--0.269535))+0-686.7--0.35021699999993</f>
        <v>2042.6577130000001</v>
      </c>
      <c r="U30" s="3">
        <f>2219.1+(863.8-394.1)+(-5.658705+(-2.20269--1.004955))+0-726.2--1.85180999999989</f>
        <v>1957.5953699999995</v>
      </c>
      <c r="V30" s="3">
        <f>2309.4+(834.9-371.4)+(-2.355588+(-0.851598--0.378828))+0-775.7--0.791214000000124</f>
        <v>1995.1628559999999</v>
      </c>
      <c r="W30" s="3">
        <f>2304.1+(636-266.4)+(-5.875455+(-1.6218--0.67932))+0-684--1.7441999999999</f>
        <v>1984.6262649999996</v>
      </c>
      <c r="X30" s="3">
        <f>2305.7+(621.9-273)+(-5.879535+(-1.585845--0.69615))+0-697.3--1.7781149999999</f>
        <v>1952.3088849999999</v>
      </c>
      <c r="Y30" s="3">
        <f>2327.5+(725.4-272.3)+(-3.561075+(-1.109862--0.416619))+0-752--1.15056000000004</f>
        <v>2025.4962420000002</v>
      </c>
      <c r="Z30" s="3">
        <f>2351.2+(1020.5-463.2)+(-4.796448+(-2.08182--0.944928))+0-703.6--1.43534399999997</f>
        <v>2200.402004</v>
      </c>
      <c r="AA30" s="3">
        <f>2366.5+(957-481.1)+(-7.24149+(-2.92842--1.472166))+0-721.8--2.20870800000008</f>
        <v>2114.1109640000004</v>
      </c>
      <c r="AB30" s="3">
        <f>2374.2+(877.9-520)+(-6.05421+(-2.238645--1.326))+0-719.7--1.8352349999999</f>
        <v>2007.2683799999998</v>
      </c>
      <c r="AC30" s="3">
        <f>2363.1+(797.3-560.3)+(-7.231086+(-2.439738--1.714518))+0-680.3--2.08171800000008</f>
        <v>1913.9254120000001</v>
      </c>
      <c r="AD30">
        <f t="shared" si="0"/>
        <v>45456.142964000006</v>
      </c>
      <c r="AE30" s="3">
        <f>2347+(1094.6-519)+(0+(0-0))+0-689.4-0</f>
        <v>2233.1999999999998</v>
      </c>
    </row>
    <row r="31" spans="1:31" s="2" customFormat="1" x14ac:dyDescent="0.25">
      <c r="A31">
        <v>89</v>
      </c>
      <c r="B31">
        <v>1</v>
      </c>
      <c r="C31">
        <v>31</v>
      </c>
      <c r="D31">
        <v>4</v>
      </c>
      <c r="E31">
        <v>1</v>
      </c>
      <c r="F31" s="3">
        <f>2297.5+(520.8-425.8)+(-7.03035+(-1.593648--1.302948))+0-638.8--1.95472800000007</f>
        <v>1748.3336780000002</v>
      </c>
      <c r="G31" s="3">
        <f>2240+(461.8-333.7)+(-6.8544+(-1.413108--1.021122))+0-715.3--2.18881800000008</f>
        <v>1647.7424320000002</v>
      </c>
      <c r="H31" s="3">
        <f>2149+(590.9-366.7)+(-1.09599+(-0.301359--0.187017))+0-776.6--0.396065999999921</f>
        <v>1595.7857339999998</v>
      </c>
      <c r="I31" s="3">
        <f>1993.4+(493.8-363.7)+(-2.033268+(-0.503676--0.370974))+0-560.3--0.571506000000089</f>
        <v>1561.605536</v>
      </c>
      <c r="J31" s="3">
        <f>1994.4+(614.6-346.2)+(0+(0-0))+0-706-0</f>
        <v>1556.8000000000002</v>
      </c>
      <c r="K31" s="3">
        <f>1995.5+(578.5-302.6)+(-1.017705+(-0.295035--0.154326))+0-697--0.355469999999929</f>
        <v>1573.5970560000001</v>
      </c>
      <c r="L31" s="3">
        <f>1999.3+(460.9-217.2)+(-2.039286+(-0.470118--0.221544))+0-647.5--0.660450000000103</f>
        <v>1593.8725900000002</v>
      </c>
      <c r="M31" s="3">
        <f>2054.6+(438.1-212.1)+(-2.095692+(-0.446862--0.216342))+0-596--0.607920000000095</f>
        <v>1682.8817080000001</v>
      </c>
      <c r="N31" s="3">
        <f>2256+(492.2-240.3)+(-3.45168+(-0.753066--0.367659))+0-588.1--0.899793000000034</f>
        <v>1916.8627060000003</v>
      </c>
      <c r="O31" s="3">
        <f>2329.4+(506.4-235.2)+(-3.563982+(-0.774792--0.359856))+0-548.1--0.838593000000032</f>
        <v>2049.3596750000002</v>
      </c>
      <c r="P31" s="3">
        <f>2319.1+(660.2-235.8)+(0+(0-0))+0-600.5-0</f>
        <v>2143</v>
      </c>
      <c r="Q31" s="3">
        <f>2307.5+(735.8-296.9)+(1.176825+(0.375258-0.151419))+0-593.9-0.30288899999994</f>
        <v>2153.5977749999997</v>
      </c>
      <c r="R31" s="3">
        <f>2298.9+(711.6-249.8)+(-1.172439+(-0.362916--0.127398))+0-636.5--0.324614999999935</f>
        <v>2123.1166580000004</v>
      </c>
      <c r="S31" s="3">
        <f>2289.2+(612.6-316.8)+(-1.167492+(-0.312426--0.161568))+0-643--0.327929999999935</f>
        <v>1941.0095799999999</v>
      </c>
      <c r="T31" s="3">
        <f>2274.8+(771.8-367.5)+(0+(0-0))+0-663.8-0</f>
        <v>2015.3000000000004</v>
      </c>
      <c r="U31" s="3">
        <f>2268.4+(730.9-356.7)+(-3.470652+(-1.118277--0.545751))+0-610.4--0.933912000000035</f>
        <v>2029.0907339999999</v>
      </c>
      <c r="V31" s="3">
        <f>2267.9+(661.6-314.7)+(-3.469887+(-1.012248--0.481491))+0-586.7--0.897651000000034</f>
        <v>2024.9970069999999</v>
      </c>
      <c r="W31" s="3">
        <f>2282.4+(637-256.7)+(-5.82012+(-1.62435--0.654585))+0-652.5--1.66387499999991</f>
        <v>2005.0739900000001</v>
      </c>
      <c r="X31" s="3">
        <f>2288.4+(450.2-219.1)+(-4.668336+(-0.918408--0.446964))+0-544.7--1.11118799999998</f>
        <v>1970.7714080000001</v>
      </c>
      <c r="Y31" s="3">
        <f>2374.4+(602.6-268.6)+(-2.421888+(-0.614652--0.273972))+0-653.2--0.666264000000104</f>
        <v>2053.1036959999997</v>
      </c>
      <c r="Z31" s="3">
        <f>2493.5+(957.7-548.7)+(-3.815055+(-1.465281--0.839511))+0-611.9--0.936207000000035</f>
        <v>2287.095382</v>
      </c>
      <c r="AA31" s="3">
        <f>2524.6+(738.6-440.4)+(-1.287546+(-0.376686--0.224604))+0-636.2--0.324461999999935</f>
        <v>2185.4848340000003</v>
      </c>
      <c r="AB31" s="3">
        <f>2539.7+(649.4-362.4)+(-6.476235+(-1.65597--0.92412))+0-753.4--1.92116999999989</f>
        <v>2068.0130849999996</v>
      </c>
      <c r="AC31" s="3">
        <f>2536+(426.7-440.2)+(-5.17344+(-0.870468--0.898008))+0-559.8--1.14199199999998</f>
        <v>1958.6960920000001</v>
      </c>
      <c r="AD31">
        <f t="shared" si="0"/>
        <v>45885.191355999996</v>
      </c>
      <c r="AE31" s="3">
        <f>2505+(937.4-566.6)+(0+(0-0))+0-604.9-0</f>
        <v>2270.9</v>
      </c>
    </row>
    <row r="32" spans="1:31" s="2" customFormat="1" x14ac:dyDescent="0.25">
      <c r="A32">
        <v>89</v>
      </c>
      <c r="B32">
        <v>2</v>
      </c>
      <c r="C32">
        <v>1</v>
      </c>
      <c r="D32">
        <v>5</v>
      </c>
      <c r="E32">
        <v>1</v>
      </c>
      <c r="F32" s="3">
        <f>2519.4+(328.9-401.5)+(-2.569788+(-0.335478--0.40953))+0-657.9--0.671058000000105</f>
        <v>1787.0753220000004</v>
      </c>
      <c r="G32" s="3">
        <f>2523.7+(513-657)+(-6.435435+(-1.30815--1.67535))+0-700.3--1.7857649999999</f>
        <v>1675.1175299999995</v>
      </c>
      <c r="H32" s="3">
        <f>2529.7+(618.5-784.3)+(0+(0-0))+0-724.9-0</f>
        <v>1638.9999999999995</v>
      </c>
      <c r="I32" s="3">
        <f>2525.4+(579.5-804)+(-3.863862+(-0.886635--1.23012))+0-680.6--1.04131800000004</f>
        <v>1617.8209410000004</v>
      </c>
      <c r="J32" s="3">
        <f>2228+(647.6-607.4)+(-3.40884+(-0.990828--0.929322))+0-664.7--1.01699100000004</f>
        <v>1601.0466449999997</v>
      </c>
      <c r="K32" s="3">
        <f>2129.5+(579-510.3)+(-4.34418+(-1.18116--1.041012))+0-568.7--1.16014799999998</f>
        <v>1626.1758199999997</v>
      </c>
      <c r="L32" s="3">
        <f>2086.2+(436.3-376.2)+(-3.191886+(-0.667539--0.575586))+0-504.8--0.772344000000029</f>
        <v>1638.9885049999996</v>
      </c>
      <c r="M32" s="3">
        <f>2156.1+(478-271.8)+(0+(0-0))+0-618.6-0</f>
        <v>1743.6999999999998</v>
      </c>
      <c r="N32" s="3">
        <f>2280.5+(548.2-229.3)+(2.32611+(0.559164-0.233886))+0-623-0.635460000000099</f>
        <v>1978.4159280000001</v>
      </c>
      <c r="O32" s="3">
        <f>2276+(595-323.1)+(4.64304+(1.2138-0.659124))+0-433-0.883319999999981</f>
        <v>2119.2143960000003</v>
      </c>
      <c r="P32" s="3">
        <f>2301.5+(657-338.5)+(-1.173765+(-0.33507--0.172635))+0-458.9--0.234038999999953</f>
        <v>2159.9978389999997</v>
      </c>
      <c r="Q32" s="3">
        <f>2322.6+(659.6-252)+(3.553578+(1.009188-0.38556))+0-541-0.827730000000031</f>
        <v>2192.5494759999997</v>
      </c>
      <c r="R32" s="3">
        <f>2397.2+(757.1-266.4)+(1.222572+(0.386121-0.135864))+0-692.9-0.35337899999993</f>
        <v>2196.1194499999992</v>
      </c>
      <c r="S32" s="3">
        <f>2435.4+(595.8-462.3)+(-4.968216+(-1.215432--0.943092))+0-569.7--1.16218799999998</f>
        <v>1995.1216319999999</v>
      </c>
      <c r="T32" s="3">
        <f>2417+(748.4-555.3)+(-1.23267+(-0.381684--0.283203))+0-550.2--0.280601999999944</f>
        <v>2058.849451</v>
      </c>
      <c r="U32" s="3">
        <f>2455.4+(720.3-518.7)+(-1.252254+(-0.367353--0.264537))+0-584.8--0.298247999999941</f>
        <v>2071.1431780000003</v>
      </c>
      <c r="V32" s="3">
        <f>2485.1+(543.4-466.5)+(-6.337005+(-1.38567--1.189575))+0-486.2--1.23980999999993</f>
        <v>2070.5067100000001</v>
      </c>
      <c r="W32" s="3">
        <f>2501.4+(628.3-390.6)+(-3.827142+(-0.961299--0.597618))+0-679.6--1.03978800000004</f>
        <v>2056.3489650000001</v>
      </c>
      <c r="X32" s="3">
        <f>2514.7+(481.2-400.6)+(-7.694982+(-1.472472--1.225836))+0-556.7--1.70350200000006</f>
        <v>2032.3618839999999</v>
      </c>
      <c r="Y32" s="3">
        <f>2542.7+(625-415.1)+(-1.296777+(-0.31875--0.211701))+0-630.3--0.321452999999936</f>
        <v>2121.2176269999995</v>
      </c>
      <c r="Z32" s="3">
        <f>2556.5+(958.7-456.8)+(-5.21526+(-1.955748--0.931872))+0-729--1.48715999999997</f>
        <v>2324.6480240000001</v>
      </c>
      <c r="AA32" s="3">
        <f>2566.3+(727.5-405.8)+(-7.852878+(-2.22615--1.241748))+0-665.8--2.03734800000008</f>
        <v>2215.4000680000004</v>
      </c>
      <c r="AB32" s="3">
        <f>2551.4+(683.8-434.1)+(-3.903642+(-1.046214--0.664173))+0-704--1.07712000000004</f>
        <v>2093.8914369999998</v>
      </c>
      <c r="AC32" s="3">
        <f>2543+(512.9-473.4)+(-2.59386+(-0.523158--0.482868))+0-588.4--0.600168000000094</f>
        <v>1992.0660180000002</v>
      </c>
      <c r="AD32">
        <f t="shared" si="0"/>
        <v>47006.776845999993</v>
      </c>
      <c r="AE32" s="3">
        <f>2546+(954.7-427.1)+(0+(0-0))+0-775.1-0</f>
        <v>2298.5</v>
      </c>
    </row>
    <row r="33" spans="1:31" s="2" customFormat="1" x14ac:dyDescent="0.25">
      <c r="A33">
        <v>89</v>
      </c>
      <c r="B33">
        <v>2</v>
      </c>
      <c r="C33">
        <v>2</v>
      </c>
      <c r="D33">
        <v>6</v>
      </c>
      <c r="E33">
        <v>1</v>
      </c>
      <c r="F33" s="3">
        <f>2491.3+(723.6-613.1)+(-2.541126+(-0.738072--0.625362))+0-759.7--0.774894000000121</f>
        <v>1840.2210580000003</v>
      </c>
      <c r="G33" s="3">
        <f>2492.8+(920-933.4)+(0+(0-0))+0-737.8-0</f>
        <v>1741.6000000000001</v>
      </c>
      <c r="H33" s="3">
        <f>2517.1+(956.9-1069.5)+(-3.851163+(-1.464057--1.636335))+0-720.6--1.10251800000004</f>
        <v>1681.3236330000004</v>
      </c>
      <c r="I33" s="3">
        <f>2509.8+(845.6-956.4)+(-6.39999+(-2.15628--2.43882))+0-751.3--1.91581499999989</f>
        <v>1643.4983649999997</v>
      </c>
      <c r="J33" s="3">
        <f>2396.1+(828.3-898.4)+(1.222011+(0.422433-0.458184))+0-682.7-0.348176999999931</f>
        <v>1644.1380830000001</v>
      </c>
      <c r="K33" s="3">
        <f>2392+(784.1-776.5)+(0+(0-0))+0-749.2-0</f>
        <v>1650.3999999999999</v>
      </c>
      <c r="L33" s="3">
        <f>2389.5+(627.5-706.3)+(-3.655935+(-0.960075--1.080639))+0-660.2--1.01010600000004</f>
        <v>1647.9747349999998</v>
      </c>
      <c r="M33" s="3">
        <f>2475.4+(470.8-501)+(-1.262454+(-0.240108--0.25551))+0-696.4--0.355163999999929</f>
        <v>1747.9081119999998</v>
      </c>
      <c r="N33" s="3">
        <f>2519.8+(426.5-312.7)+(0+(0-0))+0-671.4-0</f>
        <v>1962.2000000000003</v>
      </c>
      <c r="O33" s="3">
        <f>2511.2+(505.9-289.9)+(-2.561424+(-0.516018--0.295698))+0-627.8--0.6403560000001</f>
        <v>2097.2586119999996</v>
      </c>
      <c r="P33" s="3">
        <f>2498.2+(678.9-282.3)+(-2.548164+(-0.692478--0.287946))+0-728.4--0.742968000000116</f>
        <v>2164.1902719999998</v>
      </c>
      <c r="Q33" s="3">
        <f>2488.3+(849.7-430.3)+(-1.269033+(-0.433347--0.219453))+0-679.3--0.346442999999931</f>
        <v>2227.2635160000004</v>
      </c>
      <c r="R33" s="3">
        <f>2454.9+(844.7-499.4)+(-1.251999+(-0.430797--0.254694))+0-638--0.325379999999935</f>
        <v>2161.0972780000002</v>
      </c>
      <c r="S33" s="3">
        <f>2444.3+(898.2-631.6)+(-1.246593+(-0.458082--0.322116))+0-736.3--0.375512999999925</f>
        <v>1973.592954</v>
      </c>
      <c r="T33" s="3">
        <f>2435.2+(1000.6-792.2)+(-1.241952+(-0.510306--0.404022))+0-645.5--0.329204999999935</f>
        <v>1997.0809690000001</v>
      </c>
      <c r="U33" s="3">
        <f>2427.6+(1067.4-779.8)+(-1.238076+(-0.544374--0.397698))+0-705.8--0.359957999999928</f>
        <v>2008.3752059999999</v>
      </c>
      <c r="V33" s="3">
        <f>2424.1+(950.9-675.2)+(-4.945164+(-1.939836--1.377408))+0-684--1.39535999999997</f>
        <v>2011.6877679999998</v>
      </c>
      <c r="W33" s="3">
        <f>2430.1+(771.8-589.6)+(-7.436106+(-2.361708--1.804176))+0-632.9--1.93667400000007</f>
        <v>1973.3430359999998</v>
      </c>
      <c r="X33" s="3">
        <f>2440.4+(642.7-469.2)+(-2.489208+(-0.655554--0.478584))+0-672.5--0.685950000000107</f>
        <v>1939.4197720000002</v>
      </c>
      <c r="Y33" s="3">
        <f>2452.4+(718.2-508)+(-1.250724+(-0.366282--0.25908))+0-643.4--0.328133999999935</f>
        <v>2018.170208</v>
      </c>
      <c r="Z33" s="3">
        <f>2543+(1012-570.6)+(-2.59386+(-1.03224--0.582012))+0-745.9--0.760818000000119</f>
        <v>2236.2167300000001</v>
      </c>
      <c r="AA33" s="3">
        <f>2709.9+(731.8-599.1)+(-1.382049+(-0.373218--0.305541))+0-677.2--0.345371999999931</f>
        <v>2164.2956459999996</v>
      </c>
      <c r="AB33" s="3">
        <f>2729.1+(736.2-662.1)+(1.391841+(0.375462-0.337671))+0-729.7-0.372146999999926</f>
        <v>2074.5574849999994</v>
      </c>
      <c r="AC33" s="3">
        <f>2732.4+(825-838)+(0+(0-0))+0-724.1-0</f>
        <v>1995.3000000000002</v>
      </c>
      <c r="AD33">
        <f t="shared" si="0"/>
        <v>46601.113438</v>
      </c>
      <c r="AE33" s="3">
        <f>2577+(975.7-582.4)+(0+(0-0))+0-775.7-0</f>
        <v>2194.6000000000004</v>
      </c>
    </row>
    <row r="34" spans="1:31" s="2" customFormat="1" x14ac:dyDescent="0.25">
      <c r="A34">
        <v>89</v>
      </c>
      <c r="B34">
        <v>2</v>
      </c>
      <c r="C34">
        <v>3</v>
      </c>
      <c r="D34">
        <v>7</v>
      </c>
      <c r="E34">
        <v>1</v>
      </c>
      <c r="F34" s="3">
        <f>2628.5+(837-974)+(1.340535+(0.42687-0.49674))+0-630.6-0.321605999999936</f>
        <v>1861.8490590000001</v>
      </c>
      <c r="G34" s="3">
        <f>2395.9+(930.3-855.7)+(-1.221909+(-0.474453--0.436407))+0-717.5--0.365924999999927</f>
        <v>1752.1059699999998</v>
      </c>
      <c r="H34" s="3">
        <f>2307.7+(878-827.9)+(-1.176927+(-0.44778--0.422229))+0-694.8--0.35434799999993</f>
        <v>1662.1518699999995</v>
      </c>
      <c r="I34" s="3">
        <f>2325.4+(770.5-775.8)+(0+(0-0))+0-703.3-0</f>
        <v>1616.8000000000004</v>
      </c>
      <c r="J34" s="3">
        <f>2309.9+(747.3-852.4)+(-4.712196+(-1.524492--1.738896))+0-604.5--1.23317999999997</f>
        <v>1597.035388</v>
      </c>
      <c r="K34" s="3">
        <f>2262.6+(735.2-745.5)+(-3.461778+(-1.124856--1.140615))+0-658.5--1.00750500000004</f>
        <v>1591.3614860000002</v>
      </c>
      <c r="L34" s="3">
        <f>2197.6+(735.5-668.5)+(-6.724656+(-2.25063--2.04561))+0-711.7--2.17780200000008</f>
        <v>1548.1481259999998</v>
      </c>
      <c r="M34" s="3">
        <f>2122.5+(689.5-612.4)+(-3.247425+(-1.054935--0.936972))+0-659--1.00827000000004</f>
        <v>1538.2428819999998</v>
      </c>
      <c r="N34" s="3">
        <f>2129.3+(650.6-527.7)+(-1.085943+(-0.331806--0.269127))+0-644--0.328439999999935</f>
        <v>1607.3798180000001</v>
      </c>
      <c r="O34" s="3">
        <f>2133.1+(594.2-412.2)+(2.175762+(0.606084-0.420444))+0-612.7-0.624954000000098</f>
        <v>1704.1364479999997</v>
      </c>
      <c r="P34" s="3">
        <f>2224.9+(664-431.8)+(-3.404097+(-1.01592--0.660654))+0-678.5--1.03810500000004</f>
        <v>1775.8787419999999</v>
      </c>
      <c r="Q34" s="3">
        <f>2236.3+(694.8-521.7)+(-2.281026+(-0.708696--0.532134))+0-611.7--0.623934000000098</f>
        <v>1795.866346</v>
      </c>
      <c r="R34" s="3">
        <f>2245.4+(733-571.7)+(-2.290308+(-0.74766--0.583134))+0-633.8--0.646476000000101</f>
        <v>1771.0916419999999</v>
      </c>
      <c r="S34" s="3">
        <f>2258.8+(795.9-652.4)+(1.151988+(0.405909-0.332724))+0-682.6-0.348125999999931</f>
        <v>1720.5770470000002</v>
      </c>
      <c r="T34" s="3">
        <f>2275.1+(832.8-709.2)+(-5.801505+(-2.12364--1.80846))+0-715.9--1.8255449999999</f>
        <v>1678.5088599999997</v>
      </c>
      <c r="U34" s="3">
        <f>2282.3+(854.5-779.5)+(-4.655892+(-1.74318--1.59018))+0-700.1--1.42820399999997</f>
        <v>1653.8193120000003</v>
      </c>
      <c r="V34" s="3">
        <f>2285.9+(812.4-755.3)+(-2.331618+(-0.828648--0.770406))+0-683.4--0.697068000000109</f>
        <v>1657.9072079999999</v>
      </c>
      <c r="W34" s="3">
        <f>2285.4+(754.1-617.6)+(-5.82777+(-1.922955--1.57488))+0-746.6--1.90382999999989</f>
        <v>1671.0279849999999</v>
      </c>
      <c r="X34" s="3">
        <f>2297.1+(569.5-503.2)+(-1.171521+(-0.290445--0.256632))+0-680.7--0.347156999999931</f>
        <v>1681.8418229999997</v>
      </c>
      <c r="Y34" s="3">
        <f>2306.8+(780.1-556.7)+(-4.705872+(-1.591404--1.135668))+0-717--1.46267999999997</f>
        <v>1809.5010720000002</v>
      </c>
      <c r="Z34" s="3">
        <f>2375.4+(1180.5-750.6)+(-6.05727+(-3.010275--1.91403))+0-768.9--1.96069499999989</f>
        <v>2031.2071800000001</v>
      </c>
      <c r="AA34" s="3">
        <f>2378.2+(1152.5-766.6)+(-2.425764+(-1.17555--0.781932))+0-750.7--0.76571400000012</f>
        <v>2011.3463319999998</v>
      </c>
      <c r="AB34" s="3">
        <f>2371.9+(936.1-865.4)+(-2.419338+(-0.954822--0.882708))+0-510.5--0.520710000000081</f>
        <v>1930.1292580000002</v>
      </c>
      <c r="AC34" s="3">
        <f>2209.7+(1072.3-788.4)+(-2.253894+(-1.093746--0.804168))+0-636.6--0.649332000000101</f>
        <v>1855.1058600000003</v>
      </c>
      <c r="AD34">
        <f t="shared" si="0"/>
        <v>41523.019714000002</v>
      </c>
      <c r="AE34" s="3">
        <f>2364+(1189.4-783.9)+(0+(0-0))+0-719-0</f>
        <v>2050.5</v>
      </c>
    </row>
    <row r="35" spans="1:31" s="2" customFormat="1" x14ac:dyDescent="0.25">
      <c r="A35">
        <v>89</v>
      </c>
      <c r="B35">
        <v>2</v>
      </c>
      <c r="C35">
        <v>4</v>
      </c>
      <c r="D35">
        <v>1</v>
      </c>
      <c r="E35">
        <v>1</v>
      </c>
      <c r="F35" s="3">
        <f>2192.7+(941.9-756.1)+(-4.473108+(-1.921476--1.542444))+0-689.1--1.40576399999997</f>
        <v>1685.953624</v>
      </c>
      <c r="G35" s="3">
        <f>2197+(716.1-819.2)+(1.12047+(0.365211-0.417792))+0-508.8-0.259487999999948</f>
        <v>1585.9084010000001</v>
      </c>
      <c r="H35" s="3">
        <f>2208.9+(644.7-916.1)+(0+(0-0))+0-404.2-0</f>
        <v>1533.3</v>
      </c>
      <c r="I35" s="3">
        <f>2207.2+(597-867.9)+(-4.502688+(-1.21788--1.770516))+0-430.3--0.877811999999981</f>
        <v>1502.9277599999998</v>
      </c>
      <c r="J35" s="3">
        <f>2206.8+(649.9-683.5)+(1.125468+(0.331449-0.348585))+0-682.9-0.348278999999931</f>
        <v>1491.0600530000002</v>
      </c>
      <c r="K35" s="3">
        <f>2206.5+(618.8-698.6)+(0+(0-0))+0-614.6-0</f>
        <v>1512.1</v>
      </c>
      <c r="L35" s="3">
        <f>2209.9+(446.9-490.6)+(-5.635245+(-1.139595--1.25103))+0-627.7--1.60063499999991</f>
        <v>1534.5768249999996</v>
      </c>
      <c r="M35" s="3">
        <f>2306.4+(327.5-327.7)+(-1.176264+(-0.167025--0.167127))+0-631.3--0.321962999999936</f>
        <v>1674.045801</v>
      </c>
      <c r="N35" s="3">
        <f>2327.6+(511.2-366.5)+(2.374152+(0.521424-0.37383))+0-564.2-0.57548400000009</f>
        <v>1910.0462619999994</v>
      </c>
      <c r="O35" s="3">
        <f>2315.1+(733.1-418.4)+(-3.542103+(-1.121643--0.640152))+0-564.3--0.863379000000033</f>
        <v>2062.3397850000006</v>
      </c>
      <c r="P35" s="3">
        <f>2319.9+(819.7-474.7)+(-2.366298+(-0.836094--0.484194))+0-529.9--0.540498000000085</f>
        <v>2132.8223000000003</v>
      </c>
      <c r="Q35" s="3">
        <f>2366.5+(931-532.5)+(1.206915+(0.47481-0.271575))+0-529.9-0.270248999999946</f>
        <v>2236.2399009999999</v>
      </c>
      <c r="R35" s="3">
        <f>2418.9+(1013.8-587.7)+(-2.467278+(-1.034076--0.599454))+0-670.5--0.683910000000107</f>
        <v>2172.2820100000004</v>
      </c>
      <c r="S35" s="3">
        <f>2462.4+(863.3-651.4)+(-5.023296+(-1.761132--1.328856))+0-667.5--1.36169999999997</f>
        <v>2002.7061280000003</v>
      </c>
      <c r="T35" s="3">
        <f>2454.7+(784-694.4)+(-2.503794+(-0.79968--0.708288))+0-503.1--0.51316200000008</f>
        <v>2039.117976</v>
      </c>
      <c r="U35" s="3">
        <f>2446.8+(776.1-618.1)+(-3.743604+(-1.187433--0.945693))+0-550.8--0.842724000000032</f>
        <v>2050.8573800000004</v>
      </c>
      <c r="V35" s="3">
        <f>2444.1+(827.7-532.7)+(-1.246491+(-0.422127--0.271677))+0-672.4--0.342923999999932</f>
        <v>2065.6459829999999</v>
      </c>
      <c r="W35" s="3">
        <f>2465.2+(672-509)+(-5.029008+(-1.37088--1.03836))+0-571.8--1.16647199999997</f>
        <v>2052.2049440000001</v>
      </c>
      <c r="X35" s="3">
        <f>2480.6+(537.2-445.4)+(-3.795318+(-0.821916--0.681462))+0-549--0.839970000000032</f>
        <v>2020.3041980000003</v>
      </c>
      <c r="Y35" s="3">
        <f>2569.3+(534.4-571.4)+(-5.241372+(-1.090176--1.165656))+0-437.3--0.892091999999981</f>
        <v>2090.7262000000001</v>
      </c>
      <c r="Z35" s="3">
        <f>2766.1+(787.3-649.8)+(-4.232133+(-1.204569--0.994194))+0-568--0.869040000000033</f>
        <v>2332.0265319999999</v>
      </c>
      <c r="AA35" s="3">
        <f>2616.1+(907.2-606)+(-4.002633+(-1.388016--0.92718))+0-660.2--1.01010600000004</f>
        <v>2253.6466370000003</v>
      </c>
      <c r="AB35" s="3">
        <f>2526.2+(862.4-628.8)+(-6.44181+(-2.19912--1.60344))+0-604--1.54019999999991</f>
        <v>2150.3027099999995</v>
      </c>
      <c r="AC35" s="3">
        <f>2534.5+(632.5-666.1)+(-6.462975+(-1.612875--1.698555))+0-471.7--1.20283499999993</f>
        <v>2024.0255400000001</v>
      </c>
      <c r="AD35">
        <f t="shared" si="0"/>
        <v>46115.166949999992</v>
      </c>
      <c r="AE35" s="3">
        <f>2753+(849.5-618.8)+(0+(0-0))+0-687.5-0</f>
        <v>2296.1999999999998</v>
      </c>
    </row>
    <row r="36" spans="1:31" s="2" customFormat="1" x14ac:dyDescent="0.25">
      <c r="A36">
        <v>89</v>
      </c>
      <c r="B36">
        <v>2</v>
      </c>
      <c r="C36">
        <v>5</v>
      </c>
      <c r="D36">
        <v>2</v>
      </c>
      <c r="E36">
        <v>1</v>
      </c>
      <c r="F36" s="3">
        <f>2514.1+(656.9-769.2)+(-2.564382+(-0.670038--0.784584))+5.7-562.1--0.57334200000009</f>
        <v>1843.523506</v>
      </c>
      <c r="G36" s="3">
        <f>2526.3+(610.3-725.8)+(-3.865239+(-0.933759--1.110474))+11-693.5--1.06105500000004</f>
        <v>1725.6725310000002</v>
      </c>
      <c r="H36" s="3">
        <f>2514.9+(578-821)+(-3.847797+(-0.88434--1.25613))+11-611--0.934830000000035</f>
        <v>1669.358823</v>
      </c>
      <c r="I36" s="3">
        <f>2407+(582.2-754.1)+(-3.68271+(-0.890766--1.153773))+11-607.6--0.929628000000035</f>
        <v>1636.0099250000001</v>
      </c>
      <c r="J36" s="3">
        <f>2306.2+(681.6-684.5)+(3.528486+(1.042848-1.047285))+9-681.7-1.04300100000004</f>
        <v>1633.0810479999998</v>
      </c>
      <c r="K36" s="3">
        <f>2317.8+(626.7-598.6)+(-5.91039+(-1.598085--1.52643))+0-711.3--1.8138149999999</f>
        <v>1630.4317699999999</v>
      </c>
      <c r="L36" s="3">
        <f>2200.3+(510-386.7)+(-5.610765+(-1.3005--0.986085))+0-677.2--1.7268599999999</f>
        <v>1642.2016800000001</v>
      </c>
      <c r="M36" s="3">
        <f>2273.3+(524.9-322.8)+(-2.318766+(-0.535398--0.329256))+0-694--0.707880000000111</f>
        <v>1779.5829720000004</v>
      </c>
      <c r="N36" s="3">
        <f>2549+(477.2-309.2)+(2.59998+(0.486744-0.315384))+0-695.1-0.709002000000111</f>
        <v>2023.9623379999998</v>
      </c>
      <c r="O36" s="3">
        <f>2613.8+(472.3-216.8)+(-1.333038+(-0.240873--0.110568))+0-726.2--0.370361999999926</f>
        <v>2142.0070190000001</v>
      </c>
      <c r="P36" s="3">
        <f>2654.3+(534.7-228.4)+(-4.061079+(-0.818091--0.349452))+0-749--1.14597000000004</f>
        <v>2208.2162520000006</v>
      </c>
      <c r="Q36" s="3">
        <f>2639.9+(492.1-291.5)+(-4.039047+(-0.752913--0.445995))+0-601.1--0.919683000000035</f>
        <v>2235.9737180000002</v>
      </c>
      <c r="R36" s="3">
        <f>2551.8+(555.9-293.4)+(0+(0-0))+0-644-0</f>
        <v>2170.3000000000002</v>
      </c>
      <c r="S36" s="3">
        <f>2476.8+(638.8-347.1)+(-5.052672+(-1.303152--0.708084))+0-736--1.50143999999997</f>
        <v>2028.3537000000001</v>
      </c>
      <c r="T36" s="3">
        <f>2467.7+(743.5-428.2)+(0+(0-0))+0-693.5-0</f>
        <v>2089.5</v>
      </c>
      <c r="U36" s="3">
        <f>2465.8+(703-464.5)+(-5.030232+(-1.43412--0.94758))+0-589.6--1.20278399999997</f>
        <v>2110.3860120000004</v>
      </c>
      <c r="V36" s="3">
        <f>2467.2+(694.7-442.1)+(-2.516544+(-0.708594--0.450942))+0-602.6--0.614652000000096</f>
        <v>2115.0404560000002</v>
      </c>
      <c r="W36" s="3">
        <f>2476.9+(602.4-354.1)+(-6.316095+(-1.53612--0.902955))+0-608.3--1.55116499999991</f>
        <v>2111.5019050000001</v>
      </c>
      <c r="X36" s="3">
        <f>2480.6+(583.2-341)+(-7.590636+(-1.784592--1.04346))+0-632.5--1.93545000000007</f>
        <v>2083.9036820000001</v>
      </c>
      <c r="Y36" s="3">
        <f>2487.4+(725.7-571.3)+(-1.268574+(-0.370107--0.291363))+0-487.5--0.248624999999951</f>
        <v>2153.2013070000003</v>
      </c>
      <c r="Z36" s="3">
        <f>2513.1+(1098.5-564.5)+(-7.690086+(-3.36141--1.72737))+0-661.6--2.02449600000008</f>
        <v>2378.20037</v>
      </c>
      <c r="AA36" s="3">
        <f>2542.5+(1296.1-782)+(-10.3734+(-5.288088--3.19056))+0-744.2--3.03633599999994</f>
        <v>2302.965408</v>
      </c>
      <c r="AB36" s="3">
        <f>2547.3+(1057.6-893.6)+(-9.093861+(-3.775632--3.190152))+0-518.9--1.85247300000001</f>
        <v>2184.573132</v>
      </c>
      <c r="AC36" s="3">
        <f>2550.9+(795.6-676.4)+(-5.203836+(-1.623024--1.379856))+0-617.3--1.25929199999997</f>
        <v>2048.6122880000003</v>
      </c>
      <c r="AD36">
        <f t="shared" si="0"/>
        <v>47946.559842000002</v>
      </c>
      <c r="AE36" s="3">
        <f>2530+(1218.8-613.3)+(0+(0-0))+0-756.3-0</f>
        <v>2379.1999999999998</v>
      </c>
    </row>
    <row r="37" spans="1:31" s="2" customFormat="1" x14ac:dyDescent="0.25">
      <c r="A37">
        <v>89</v>
      </c>
      <c r="B37">
        <v>2</v>
      </c>
      <c r="C37">
        <v>6</v>
      </c>
      <c r="D37">
        <v>3</v>
      </c>
      <c r="E37">
        <v>1</v>
      </c>
      <c r="F37" s="3">
        <f>2522.5+(549.6-567.3)+(-6.432375+(-1.40148--1.446615))+0-647.1--1.65010499999991</f>
        <v>1852.9628650000002</v>
      </c>
      <c r="G37" s="3">
        <f>2519.8+(552.7-708.4)+(-5.140392+(-1.127508--1.445136))+0-609.8--1.24399199999997</f>
        <v>1750.7212280000003</v>
      </c>
      <c r="H37" s="3">
        <f>2274+(748-653.8)+(-8.11818+(-2.67036--2.334066))+0-668.3--2.38583100000001</f>
        <v>1693.8313569999998</v>
      </c>
      <c r="I37" s="3">
        <f>2074.2+(845.9-581.7)+(-2.115684+(-0.862818--0.593334))+0-676.9--0.690438000000108</f>
        <v>1659.8052699999998</v>
      </c>
      <c r="J37" s="3">
        <f>2075.2+(687.7-451.9)+(-4.233408+(-1.402908--0.921876))+0-651.9--1.32987599999997</f>
        <v>1655.7154359999997</v>
      </c>
      <c r="K37" s="3">
        <f>2079.1+(583.2-356)+(1.060341+(0.297432-0.18156))+0-633-0.322829999999936</f>
        <v>1674.1533830000005</v>
      </c>
      <c r="L37" s="3">
        <f>2095.4+(363-242.4)+(-6.411924+(-1.11078--0.741744))+0-519.9--1.59089400000006</f>
        <v>1690.909934</v>
      </c>
      <c r="M37" s="3">
        <f>2096.9+(517.1-238.8)+(-1.069419+(-0.263721--0.121788))+0-557--0.284069999999943</f>
        <v>1817.2727180000004</v>
      </c>
      <c r="N37" s="3">
        <f>2085.9+(779.9-202.5)+(-2.127618+(-0.795498--0.20655))+0-597.4--0.609348000000095</f>
        <v>2063.792782</v>
      </c>
      <c r="O37" s="3">
        <f>2107.5+(825.4-206.5)+(-4.2993+(-1.683816--0.42126))+0-536.8--1.09507199999998</f>
        <v>2185.1332160000002</v>
      </c>
      <c r="P37" s="3">
        <f>2218+(876.2-224.3)+(0+(0-0))+0-624.2-0</f>
        <v>2245.6999999999998</v>
      </c>
      <c r="Q37" s="3">
        <f>2492.4+(704.4-240.9)+(-2.542248+(-0.718488--0.245718))+0-672.4--0.685848000000107</f>
        <v>2281.17083</v>
      </c>
      <c r="R37" s="3">
        <f>2498.1+(765.1-367.2)+(-2.548062+(-0.780402--0.374544))+0-622.1--0.634542000000099</f>
        <v>2271.5806220000004</v>
      </c>
      <c r="S37" s="3">
        <f>2485.9+(761-534.5)+(-3.803427+(-1.16433--0.817785))+0-613.7--0.938961000000036</f>
        <v>2095.4889889999995</v>
      </c>
      <c r="T37" s="3">
        <f>2484.9+(920-624)+(-5.069196+(-1.8768--1.27296))+0-643.2--1.31212799999997</f>
        <v>2133.3390919999997</v>
      </c>
      <c r="U37" s="3">
        <f>2495.9+(900.8-611.6)+(-3.818727+(-1.378224--0.935748))+0-567.5--0.868275000000033</f>
        <v>2214.2070719999997</v>
      </c>
      <c r="V37" s="3">
        <f>2507.8+(830.7-578.4)+(-3.836934+(-1.270971--0.884952))+0-599.5--0.917235000000035</f>
        <v>2157.2942820000003</v>
      </c>
      <c r="W37" s="3">
        <f>2520.1+(765.6-497.6)+(-2.570502+(-0.780912--0.507552))+0-652--0.665040000000104</f>
        <v>2133.9211780000001</v>
      </c>
      <c r="X37" s="3">
        <f>2524.9+(568.6-419.3)+(-5.150796+(-1.159944--0.855372))+0-571.8--1.16647199999997</f>
        <v>2098.1111040000005</v>
      </c>
      <c r="Y37" s="3">
        <f>2540.3+(668.5-476.4)+(-2.591106+(-0.68187--0.485928))+0-560.2--0.571404000000089</f>
        <v>2169.9843559999999</v>
      </c>
      <c r="Z37" s="3">
        <f>2550.2+(1079.9-530.8)+(-3.901806+(-1.652247--0.812124))+0-716.3--1.09593900000004</f>
        <v>2379.35401</v>
      </c>
      <c r="AA37" s="3">
        <f>2560+(858.5-548.6)+(0+(0-0))+0-592.6-0</f>
        <v>2277.3000000000002</v>
      </c>
      <c r="AB37" s="3">
        <f>2563.9+(912.8-600.1)+(-3.922767+(-1.396584--0.918153))+0-687.4--1.05172200000004</f>
        <v>2185.850524</v>
      </c>
      <c r="AC37" s="3">
        <f>2540.1+(843.3-675.9)+(-2.590902+(-0.860166--0.689418))+0-626.9--0.6394380000001</f>
        <v>2078.4777880000001</v>
      </c>
      <c r="AD37">
        <f t="shared" si="0"/>
        <v>48766.078036000006</v>
      </c>
      <c r="AE37" s="3">
        <f>2552+(1050.1-537.7)+(0+(0-0))+0-698-0</f>
        <v>2366.3999999999996</v>
      </c>
    </row>
    <row r="38" spans="1:31" s="2" customFormat="1" x14ac:dyDescent="0.25">
      <c r="A38">
        <v>89</v>
      </c>
      <c r="B38">
        <v>2</v>
      </c>
      <c r="C38">
        <v>7</v>
      </c>
      <c r="D38">
        <v>4</v>
      </c>
      <c r="E38">
        <v>1</v>
      </c>
      <c r="F38" s="3">
        <f>2406.4+(892.3-687.7)+(-4.909056+(-1.820292--1.402908))+0-718.3--1.46533199999997</f>
        <v>1888.8388920000002</v>
      </c>
      <c r="G38" s="3">
        <f>2369.5+(810.9-669.7)+(-8.459115+(-2.894913--2.390829))+0-734.6--2.62252200000001</f>
        <v>1769.7593230000002</v>
      </c>
      <c r="H38" s="3">
        <f>2103.2+(836.7-607.8)+(-3.217896+(-1.280151--0.929934))+0-627.2--0.959616000000036</f>
        <v>1702.2915030000001</v>
      </c>
      <c r="I38" s="3">
        <f>2079.3+(892.8-607.6)+(-2.120886+(-0.910656--0.619752))+0-693.1--0.706962000000111</f>
        <v>1669.6951720000002</v>
      </c>
      <c r="J38" s="3">
        <f>1959.8+(924.1-537.2)+(-5.996988+(-2.827746--1.643832))+0-672.5--2.05785000000008</f>
        <v>1669.0769479999999</v>
      </c>
      <c r="K38" s="3">
        <f>1932+(845.9-474.5)+(-1.97064+(-0.862818--0.48399))+0-631.2--0.643824000000101</f>
        <v>1670.4943560000002</v>
      </c>
      <c r="L38" s="3">
        <f>1950.8+(737.9-341)+(-5.969448+(-2.257974--1.04346))+0-646.4--1.97798400000007</f>
        <v>1696.0940219999998</v>
      </c>
      <c r="M38" s="3">
        <f>2041.6+(636.6-252.4)+(-3.123648+(-0.973998--0.386172))+0-613--0.937890000000035</f>
        <v>1810.0264159999999</v>
      </c>
      <c r="N38" s="3">
        <f>2353.5+(451.8-263.8)+(-1.200285+(-0.230418--0.134538))+0-491.2--0.25051199999995</f>
        <v>2049.2543470000001</v>
      </c>
      <c r="O38" s="3">
        <f>2445.8+(572.3-274.7)+(-3.742074+(-0.875619--0.420291))+0-559.2--0.855576000000032</f>
        <v>2180.858174</v>
      </c>
      <c r="P38" s="3">
        <f>2469.4+(542-275.9)+(-3.778182+(-0.82926--0.422127))+0-508.1--0.777393000000029</f>
        <v>2223.9920779999998</v>
      </c>
      <c r="Q38" s="3">
        <f>2490.5+(809.5-325.4)+(0+(0-0))+0-697.6-0</f>
        <v>2277</v>
      </c>
      <c r="R38" s="3">
        <f>2488.7+(900.1-511.9)+(-3.807711+(-1.377153--0.783207))+0-596.2--0.912186000000034</f>
        <v>2277.2105289999995</v>
      </c>
      <c r="S38" s="3">
        <f>2502.8+(902.6-716.4)+(0+(0-0))+0-595.7-0</f>
        <v>2093.3000000000002</v>
      </c>
      <c r="T38" s="3">
        <f>2525.9+(1002.6-779.5)+(-2.576418+(-1.022652--0.79509))+0-594.6--0.606492000000095</f>
        <v>2152.2025119999998</v>
      </c>
      <c r="U38" s="3">
        <f>2640.1+(989.4-828.9)+(-5.385804+(-2.018376--1.690956))+0-608.2--1.24072799999997</f>
        <v>2187.9275039999993</v>
      </c>
      <c r="V38" s="3">
        <f>2624.5+(979.7-767.2)+(-4.015485+(-1.498941--1.173816))+0-627.2--0.959616000000036</f>
        <v>2206.4190060000001</v>
      </c>
      <c r="W38" s="3">
        <f>2562.7+(752-570.2)+(-5.227908+(-1.53408--1.163208))+0-574.8--1.17259199999997</f>
        <v>2165.2738120000004</v>
      </c>
      <c r="X38" s="3">
        <f>2574.1+(708-472.1)+(-3.938373+(-1.08324--0.722313))+0-662.1--1.01301300000004</f>
        <v>2144.6137130000002</v>
      </c>
      <c r="Y38" s="3">
        <f>2619+(724.6-468.3)+(-5.34276+(-1.478184--0.955332))+0-695.6--1.41902399999997</f>
        <v>2175.253412</v>
      </c>
      <c r="Z38" s="3">
        <f>2897+(628.7-390)+(-2.95494+(-0.641274--0.3978))+0-742.4--0.757248000000118</f>
        <v>2390.8588340000001</v>
      </c>
      <c r="AA38" s="3">
        <f>2952+(540.6-429.4)+(-6.02208+(-1.102824--0.875976))+0-731.9--1.49307599999997</f>
        <v>2326.5441479999995</v>
      </c>
      <c r="AB38" s="3">
        <f>2890.3+(594.4-569.8)+(-2.948106+(-0.606288--0.581196))+0-700.9--0.714918000000112</f>
        <v>2211.74172</v>
      </c>
      <c r="AC38" s="3">
        <f>2667.6+(776.9-737.2)+(-2.720952+(-0.792438--0.751944))+0-617.5--0.629850000000099</f>
        <v>2087.668404</v>
      </c>
      <c r="AD38">
        <f t="shared" si="0"/>
        <v>49026.394824999996</v>
      </c>
      <c r="AE38" s="3">
        <f>2908+(710.2-381.6)+(0+(0-0))+0-853.9-0</f>
        <v>2382.6999999999998</v>
      </c>
    </row>
    <row r="39" spans="1:31" s="2" customFormat="1" x14ac:dyDescent="0.25">
      <c r="A39">
        <v>89</v>
      </c>
      <c r="B39">
        <v>2</v>
      </c>
      <c r="C39">
        <v>8</v>
      </c>
      <c r="D39">
        <v>5</v>
      </c>
      <c r="E39">
        <v>1</v>
      </c>
      <c r="F39" s="3">
        <f>2479.3+(905.7-808.8)+(-1.264443+(-0.461907--0.412488))+0-657.9--0.335528999999933</f>
        <v>1917.3216670000002</v>
      </c>
      <c r="G39" s="3">
        <f>2466.5+(815.1-757.3)+(-1.257915+(-0.415701--0.386223))+0-737.5--0.376124999999925</f>
        <v>1785.8887320000001</v>
      </c>
      <c r="H39" s="3">
        <f>2377.3+(736.5-804.8)+(-2.424846+(-0.75123--0.820896))+0-581.8--0.593436000000093</f>
        <v>1725.4382560000001</v>
      </c>
      <c r="I39" s="3">
        <f>2341.2+(723.4-729.1)+(0+(0-0))+0-666.8-0</f>
        <v>1668.7</v>
      </c>
      <c r="J39" s="3">
        <f>2340+(598.7-636.7)+(-2.3868+(-0.610674--0.649434))+0-612.3--0.624546000000098</f>
        <v>1687.9765060000002</v>
      </c>
      <c r="K39" s="3">
        <f>2286.7+(502.1-434.7)+(-5.831085+(-1.280355--1.108485))+0-648.1--1.65265499999991</f>
        <v>1701.6496999999999</v>
      </c>
      <c r="L39" s="3">
        <f>2127.2+(510.3-339.4)+(-3.254616+(-0.780759--0.519282))+0-586.2--0.896886000000034</f>
        <v>1709.2807929999997</v>
      </c>
      <c r="M39" s="3">
        <f>2089.1+(644.6-256.6)+(0+(0-0))+0-635.6-0</f>
        <v>1841.5</v>
      </c>
      <c r="N39" s="3">
        <f>2114+(800-251.4)+(-2.15628+(-0.816--0.256428))+0-591.7--0.603534000000094</f>
        <v>2068.7876820000006</v>
      </c>
      <c r="O39" s="3">
        <f>2315.4+(765.8-243.9)+(-1.180854+(-0.390558--0.124389))+0-643--0.327929999999935</f>
        <v>2193.1809069999999</v>
      </c>
      <c r="P39" s="3">
        <f>2513.4+(570.9-278.4)+(-3.845502+(-0.873477--0.425952))+0-544--0.832320000000031</f>
        <v>2258.4392929999999</v>
      </c>
      <c r="Q39" s="3">
        <f>2502.8+(712.6-324.8)+(-3.829284+(-1.090278--0.496944))+0-581.7--0.890001000000034</f>
        <v>2305.3673830000002</v>
      </c>
      <c r="R39" s="3">
        <f>2487.4+(925.4-474)+(-3.805722+(-1.415862--0.72522))+0-639.8--0.978894000000037</f>
        <v>2295.4825300000002</v>
      </c>
      <c r="S39" s="3">
        <f>2477.4+(899.8-657.4)+(-5.053896+(-1.835592--1.341096))+0-621--1.26683999999997</f>
        <v>2094.5184479999998</v>
      </c>
      <c r="T39" s="3">
        <f>2473.8+(1018.4-733.9)+(-1.261638+(-0.519384--0.374289))+0-593.4--0.30263399999994</f>
        <v>2163.7959010000004</v>
      </c>
      <c r="U39" s="3">
        <f>2465.2+(1117.7-730.4)+(-1.257252+(-0.570027--0.372504))+0-654.3--0.333692999999934</f>
        <v>2197.0789179999997</v>
      </c>
      <c r="V39" s="3">
        <f>2470.4+(905.9-592.5)+(-6.29952+(-2.310045--1.510875))+0-576.6--1.47032999999992</f>
        <v>2201.5716400000006</v>
      </c>
      <c r="W39" s="3">
        <f>2550.2+(680.4-362.6)+(-5.202408+(-1.388016--0.739704))+0-693.9--1.41555599999997</f>
        <v>2169.6648359999999</v>
      </c>
      <c r="X39" s="3">
        <f>2569.1+(484.1-274.4)+(-5.240964+(-0.987564--0.559776))+0-601.6--1.22726399999997</f>
        <v>2172.7585120000003</v>
      </c>
      <c r="Y39" s="3">
        <f>2581.1+(668.1-265.5)+(-3.949083+(-1.022193--0.406215))+0-749.8--1.14719400000004</f>
        <v>2230.4821330000004</v>
      </c>
      <c r="Z39" s="3">
        <f>2624.4+(857-436.7)+(-4.015332+(-1.31121--0.668151))+0-652.5--0.998325000000038</f>
        <v>2388.5399340000004</v>
      </c>
      <c r="AA39" s="3">
        <f>2630.2+(746.7-469.7)+(-2.682804+(-0.761634--0.479094))+0-601.4--0.613428000000096</f>
        <v>2303.4480839999997</v>
      </c>
      <c r="AB39" s="3">
        <f>2591.8+(861.2-534)+(-5.287272+(-1.756848--1.08936))+0-719.5--1.46777999999997</f>
        <v>2195.0130199999999</v>
      </c>
      <c r="AC39" s="3">
        <f>2545+(800-660.5)+(-5.1918+(-1.632--1.34742))+0-628.5--1.28213999999997</f>
        <v>2051.8057599999997</v>
      </c>
      <c r="AD39">
        <f t="shared" si="0"/>
        <v>49327.690635000006</v>
      </c>
      <c r="AE39" s="3">
        <f>2647+(850.1-452.6)+(0+(0-0))+0-625.4-0</f>
        <v>2419.1</v>
      </c>
    </row>
    <row r="40" spans="1:31" s="2" customFormat="1" x14ac:dyDescent="0.25">
      <c r="A40">
        <v>89</v>
      </c>
      <c r="B40">
        <v>2</v>
      </c>
      <c r="C40">
        <v>9</v>
      </c>
      <c r="D40">
        <v>6</v>
      </c>
      <c r="E40">
        <v>1</v>
      </c>
      <c r="F40" s="3">
        <f>2352.4+(1158.2-886.1)+(-1.199724+(-0.590682--0.451911))+0-728--0.371279999999926</f>
        <v>1895.5327849999999</v>
      </c>
      <c r="G40" s="3">
        <f>2274.8+(1260.3-1080)+(-3.480444+(-1.928259--1.6524))+0-660.2--1.01010600000004</f>
        <v>1792.1538030000002</v>
      </c>
      <c r="H40" s="3">
        <f>2329.2+(1209.2-1144)+(3.563676+(1.850076-1.75032))+0-648.8-0.992664000000037</f>
        <v>1748.2707679999994</v>
      </c>
      <c r="I40" s="3">
        <f>2459.7+(1128.4-1193.9)+(-3.763341+(-1.726452--1.826667))+0-664.2--1.01622600000004</f>
        <v>1727.3530999999998</v>
      </c>
      <c r="J40" s="3">
        <f>2406.5+(1079.7-1057.9)+(1.227315+(0.550647-0.539529))+0-701.4-0.357713999999929</f>
        <v>1727.7807190000001</v>
      </c>
      <c r="K40" s="3">
        <f>2373.6+(1014.7-944.3)+(-3.631608+(-1.552491--1.444779))+0-717.8--1.09823400000004</f>
        <v>1723.558914</v>
      </c>
      <c r="L40" s="3">
        <f>2173.3+(887.3-655.7)+(-4.433532+(-1.810092--1.337628))+0-688--1.40351999999997</f>
        <v>1713.3975240000002</v>
      </c>
      <c r="M40" s="3">
        <f>2146.8+(890.5-496)+(-3.284604+(-1.362465--0.75888))+0-726.5--1.11154500000004</f>
        <v>1812.0233560000004</v>
      </c>
      <c r="N40" s="3">
        <f>2395.8+(889.8-532.7)+(0+(0-0))+0-708.1-0</f>
        <v>2044.8000000000002</v>
      </c>
      <c r="O40" s="3">
        <f>2481.9+(851.1-459.9)+(-1.265769+(-0.434061--0.234549))+0-691.8--0.35281799999993</f>
        <v>2180.1875370000002</v>
      </c>
      <c r="P40" s="3">
        <f>2502.6+(878.2-483.5)+(-2.552652+(-0.895764--0.49317))+0-651.2--0.664224000000104</f>
        <v>2243.808978</v>
      </c>
      <c r="Q40" s="3">
        <f>2550.5+(983.2-632.7)+(0+(0-0))+0-619.2-0</f>
        <v>2281.8000000000002</v>
      </c>
      <c r="R40" s="3">
        <f>2553.4+(1214.4-869.9)+(-3.906702+(-1.858032--1.330947))+0-610.5--0.934065000000035</f>
        <v>2283.9002780000001</v>
      </c>
      <c r="S40" s="3">
        <f>2550.7+(1255-1095.2)+(-2.601714+(-1.2801--1.117104))+0-610--0.622200000000097</f>
        <v>2098.3574900000003</v>
      </c>
      <c r="T40" s="3">
        <f>2558.9+(1347-1188.5)+(-1.305039+(-0.68697--0.606135))+0-650.3--0.331652999999934</f>
        <v>2066.0457789999996</v>
      </c>
      <c r="U40" s="3">
        <f>2560.5+(1308.9-1179.6)+(-3.917565+(-2.002617--1.804788))+0-640.5--0.979965000000037</f>
        <v>2046.1645710000003</v>
      </c>
      <c r="V40" s="3">
        <f>2586.9+(1325.6-1137.4)+(-2.638638+(-1.352112--1.160148))+0-725.9--0.740418000000116</f>
        <v>2047.1098159999999</v>
      </c>
      <c r="W40" s="3">
        <f>2376.3+(1147.5-911.2)+(-8.483391+(-4.096575--3.252984))+0-602.8--2.15199600000001</f>
        <v>2002.6250140000004</v>
      </c>
      <c r="X40" s="3">
        <f>2223.4+(988.7-630.1)+(0+(0-0))+0-620-0</f>
        <v>1962</v>
      </c>
      <c r="Y40" s="3">
        <f>2227.7+(1108.5-604.3)+(-2.272254+(-1.13067--0.616386))+0-658.8--0.671976000000105</f>
        <v>2070.9854380000002</v>
      </c>
      <c r="Z40" s="3">
        <f>2486+(1056.9-657.7)+(-6.3393+(-2.695095--1.677135))+0-633.2--1.61465999999991</f>
        <v>2246.2573999999991</v>
      </c>
      <c r="AA40" s="3">
        <f>2592.5+(949.3-605.1)+(-2.64435+(-0.968286--0.617202))+0-748.7--0.763674000000119</f>
        <v>2185.7682399999999</v>
      </c>
      <c r="AB40" s="3">
        <f>2529.1+(1067.9-808.1)+(-5.159364+(-2.178516--1.648524))+0-712.8--1.45411199999997</f>
        <v>2071.8647560000004</v>
      </c>
      <c r="AC40" s="3">
        <f>2488.7+(1024.7-841.4)+(-1.269237+(-0.522597--0.429114))+0-644.9--0.328898999999935</f>
        <v>2026.0661789999997</v>
      </c>
      <c r="AD40">
        <f t="shared" si="0"/>
        <v>47997.812445000003</v>
      </c>
      <c r="AE40" s="3">
        <f>2635+(901.9-648.7)+(0+(0-0))+0-683.7-0</f>
        <v>2204.5</v>
      </c>
    </row>
    <row r="41" spans="1:31" s="2" customFormat="1" x14ac:dyDescent="0.25">
      <c r="A41">
        <v>89</v>
      </c>
      <c r="B41">
        <v>2</v>
      </c>
      <c r="C41">
        <v>10</v>
      </c>
      <c r="D41">
        <v>7</v>
      </c>
      <c r="E41">
        <v>1</v>
      </c>
      <c r="F41" s="3">
        <f>2465.5+(1132.3-959.9)+(0+(0-0))+0-759.3-0</f>
        <v>1878.6000000000001</v>
      </c>
      <c r="G41" s="3">
        <f>2452.7+(1194.3-1202.7)+(0+(0-0))+0-668.1-0</f>
        <v>1776.1999999999998</v>
      </c>
      <c r="H41" s="3">
        <f>2432.2+(1031.2-1069.3)+(2.480844+(1.051824-1.090686))+0-694-0.707880000000111</f>
        <v>1701.8341019999996</v>
      </c>
      <c r="I41" s="3">
        <f>2410.6+(904.2-918.3)+(-1.229406+(-0.461142--0.468333))+0-744.8--0.379847999999924</f>
        <v>1650.8576330000001</v>
      </c>
      <c r="J41" s="3">
        <f>2066.2+(973.4-729.9)+(2.107524+(0.992868-0.744498))+0-686.8-0.70053600000011</f>
        <v>1624.5553579999996</v>
      </c>
      <c r="K41" s="3">
        <f>2053+(937.1-643.2)+(-5.23515+(-2.389605--1.64016))+0-737--1.87934999999989</f>
        <v>1605.7947550000001</v>
      </c>
      <c r="L41" s="3">
        <f>2066.7+(713.1-661.5)+(-5.270085+(-1.818405--1.686825))+0-578.3--1.47466499999992</f>
        <v>1536.0729999999999</v>
      </c>
      <c r="M41" s="3">
        <f>2061.4+(658-499.3)+(-2.102628+(-0.67116--0.509286))+0-678.8--0.692376000000108</f>
        <v>1539.7278740000002</v>
      </c>
      <c r="N41" s="3">
        <f>2056.4+(746.2-434.3)+(1.048764+(0.380562-0.221493))+0-749.7-0.382346999999924</f>
        <v>1619.4254860000001</v>
      </c>
      <c r="O41" s="3">
        <f>2196.4+(750.4-570.9)+(-1.120164+(-0.382704--0.291159))+0-626.6--0.319565999999936</f>
        <v>1748.4078569999999</v>
      </c>
      <c r="P41" s="3">
        <f>2359.9+(811-725.8)+(-2.407098+(-0.82722--0.740316))+0-741.5--0.756330000000118</f>
        <v>1701.8623280000006</v>
      </c>
      <c r="Q41" s="3">
        <f>2440.7+(960.5-833)+(-3.734271+(-1.469565--1.27449))+0-737.6--1.12852800000004</f>
        <v>1827.799182</v>
      </c>
      <c r="R41" s="3">
        <f>2367.9+(1077-964.6)+(1.207629+(0.54927-0.491946))+0-704.1-0.359090999999929</f>
        <v>1777.1058620000001</v>
      </c>
      <c r="S41" s="3">
        <f>2357.2+(1249.9-1133.9)+(-2.404344+(-1.274898--1.156578))+0-711.5--0.725730000000113</f>
        <v>1759.9030659999999</v>
      </c>
      <c r="T41" s="3">
        <f>2360.8+(1365-1194.7)+(3.612024+(2.08845-1.827891))+0-782.8-1.19768400000005</f>
        <v>1750.9748990000003</v>
      </c>
      <c r="U41" s="3">
        <f>2399.7+(1160.4-1162.6)+(-3.671541+(-1.775412--1.778778))+0-662.1--1.01301300000004</f>
        <v>1732.7448380000003</v>
      </c>
      <c r="V41" s="3">
        <f>2362.8+(1079.1-1060.3)+(-3.615084+(-1.651023--1.622259))+0-658.3--1.00719900000004</f>
        <v>1720.6633510000004</v>
      </c>
      <c r="W41" s="3">
        <f>2183+(1179.7-900.6)+(-5.56665+(-3.008235--2.29653))+0-748.1--1.90765499999989</f>
        <v>1709.6293000000001</v>
      </c>
      <c r="X41" s="3">
        <f>2114.4+(860.5-690.3)+(-5.39172+(-2.194275--1.760265))+0-583.7--1.48843499999992</f>
        <v>1696.5627050000003</v>
      </c>
      <c r="Y41" s="3">
        <f>2127.6+(869.7-576.2)+(-1.085076+(-0.443547--0.293862))+0-624.2--0.318341999999937</f>
        <v>1795.9835809999997</v>
      </c>
      <c r="Z41" s="3">
        <f>2356.8+(1215.6-742.5)+(-4.807872+(-2.479824--1.5147))+0-740.7--1.51102799999997</f>
        <v>2084.938032</v>
      </c>
      <c r="AA41" s="3">
        <f>2396.2+(1157-695)+(-2.444124+(-1.18014--0.7089))+0-729--0.743580000000116</f>
        <v>2127.0282160000002</v>
      </c>
      <c r="AB41" s="3">
        <f>2280.7+(1080.5-671)+(-6.978942+(-3.30633--2.05326))+0-667.9--2.04377400000008</f>
        <v>2016.1117619999998</v>
      </c>
      <c r="AC41" s="3">
        <f>2418.9+(1030.6-764.2)+(-2.467278+(-1.051212--0.779484))+0-757.2--0.772344000000121</f>
        <v>1926.1333380000005</v>
      </c>
      <c r="AD41">
        <f t="shared" si="0"/>
        <v>42308.916524999993</v>
      </c>
      <c r="AE41" s="3">
        <f>2451+(1211-751.7)+(0+(0-0))+0-720.8-0</f>
        <v>2189.5</v>
      </c>
    </row>
    <row r="42" spans="1:31" s="2" customFormat="1" x14ac:dyDescent="0.25">
      <c r="A42">
        <v>89</v>
      </c>
      <c r="B42">
        <v>2</v>
      </c>
      <c r="C42">
        <v>11</v>
      </c>
      <c r="D42">
        <v>1</v>
      </c>
      <c r="E42">
        <v>1</v>
      </c>
      <c r="F42" s="3">
        <f>2462.7+(1102.7-1173.4)+(-5.023908+(-2.249508--2.393736))+0-608.7--1.24174799999997</f>
        <v>1779.6620679999999</v>
      </c>
      <c r="G42" s="3">
        <f>2474.9+(1217.9-1346.6)+(-6.310995+(-3.105645--3.43383))+0-671.3--1.7118149999999</f>
        <v>1670.6290050000002</v>
      </c>
      <c r="H42" s="3">
        <f>2483.6+(1232.6-1416.3)+(-2.533272+(-1.257252--1.444626))+0-663.3--0.676566000000106</f>
        <v>1634.9306679999997</v>
      </c>
      <c r="I42" s="3">
        <f>2484+(1174.2-1281.5)+(-5.06736+(-2.395368--2.61426))+0-763.4--1.55733599999997</f>
        <v>1610.0088679999997</v>
      </c>
      <c r="J42" s="3">
        <f>2484.7+(1000-1182.6)+(0+(0-0))+0-697.4-0</f>
        <v>1604.6999999999998</v>
      </c>
      <c r="K42" s="3">
        <f>2490.2+(896.9-1028.4)+(-1.270002+(-0.457419--0.524484))+0-715.3--0.364802999999927</f>
        <v>1642.5618659999998</v>
      </c>
      <c r="L42" s="3">
        <f>2326.2+(641.5-640.8)+(-4.745448+(-1.30866--1.307232))+0-687.2--1.40188799999997</f>
        <v>1636.3550119999993</v>
      </c>
      <c r="M42" s="3">
        <f>2179+(665.9-419.7)+(-2.22258+(-0.679218--0.428094))+0-653.2--0.666264000000104</f>
        <v>1770.19256</v>
      </c>
      <c r="N42" s="3">
        <f>2417.3+(553.9-350.7)+(-2.465646+(-0.564978--0.357714))+0-605--0.617100000000096</f>
        <v>2013.4441900000004</v>
      </c>
      <c r="O42" s="3">
        <f>2509.4+(592.5-335)+(-3.839382+(-0.906525--0.51255))+0-712.1--1.08951300000004</f>
        <v>2051.656156</v>
      </c>
      <c r="P42" s="3">
        <f>2468.7+(853.4-484.5)+(-2.518074+(-0.870468--0.49419))+0-717.7--0.732054000000114</f>
        <v>2117.7377020000004</v>
      </c>
      <c r="Q42" s="3">
        <f>2251+(1166.5-632.4)+(-1.14801+(-0.594915--0.322524))+0-694--0.35393999999993</f>
        <v>2090.033539</v>
      </c>
      <c r="R42" s="3">
        <f>2238+(1291.5-752.2)+(-5.7069+(-3.293325--1.91811))+0-678.3--1.7296649999999</f>
        <v>2093.6475499999997</v>
      </c>
      <c r="S42" s="3">
        <f>2175.1+(1408.6-791.5)+(-2.218602+(-1.436772--0.80733))+0-679.6--0.693192000000108</f>
        <v>2110.4451480000002</v>
      </c>
      <c r="T42" s="3">
        <f>2084.7+(1387.2-769.7)+(-1.063197+(-0.707472--0.392547))+0-585.6--0.298655999999941</f>
        <v>2115.5205339999998</v>
      </c>
      <c r="U42" s="3">
        <f>2012.2+(1618.3-773.8)+(-5.13111+(-4.126665--1.97319))+0-705.6--1.7992799999999</f>
        <v>2145.6146949999998</v>
      </c>
      <c r="V42" s="3">
        <f>2013.7+(1591.8-688.5)+(-5.134935+(-4.05909--1.755675))+0-733.3--1.86991499999989</f>
        <v>2178.1315650000001</v>
      </c>
      <c r="W42" s="3">
        <f>2009.4+(1376.4-600.6)+(-3.074382+(-2.105892--0.918918))+0-583.7--0.893061000000034</f>
        <v>2198.1317050000002</v>
      </c>
      <c r="X42" s="3">
        <f>2005.7+(1344.5-513.7)+(-3.068721+(-2.057085--0.785961))+0-628.2--0.961146000000036</f>
        <v>2204.9213009999999</v>
      </c>
      <c r="Y42" s="3">
        <f>2045.2+(1573.4-616.7)+(-1.043052+(-0.802434--0.314517))+0-725.8--0.370157999999926</f>
        <v>2274.9391889999997</v>
      </c>
      <c r="Z42" s="3">
        <f>2252.4+(1535.5-749.9)+(-4.594896+(-3.13242--1.529796))+0-606.8--1.23787199999997</f>
        <v>2426.2403520000003</v>
      </c>
      <c r="AA42" s="3">
        <f>2133.6+(1538.8-700.6)+(-2.176272+(-1.569576--0.714612))+0-647--0.659940000000103</f>
        <v>2322.4287039999999</v>
      </c>
      <c r="AB42" s="3">
        <f>2059.7+(1602.3-690.3)+(-2.100894+(-1.634346--0.704106))+0-731.5--0.746130000000117</f>
        <v>2237.914996</v>
      </c>
      <c r="AC42" s="3">
        <f>2064.5+(1318-677.9)+(-3.158685+(-2.01654--1.037187))+0-630.9--0.965277000000036</f>
        <v>2070.527239</v>
      </c>
      <c r="AD42">
        <f t="shared" si="0"/>
        <v>48000.374612</v>
      </c>
      <c r="AE42" s="3">
        <f>2246+(1476.2-717.2)+(0+(0-0))+0-584.6-0</f>
        <v>2420.4</v>
      </c>
    </row>
    <row r="43" spans="1:31" s="2" customFormat="1" x14ac:dyDescent="0.25">
      <c r="A43">
        <v>89</v>
      </c>
      <c r="B43">
        <v>2</v>
      </c>
      <c r="C43">
        <v>12</v>
      </c>
      <c r="D43">
        <v>2</v>
      </c>
      <c r="E43">
        <v>1</v>
      </c>
      <c r="F43" s="3">
        <f>2031.6+(1299.8-766.8)+(0+(0-0))+0-676.5-0</f>
        <v>1888.1</v>
      </c>
      <c r="G43" s="3">
        <f>1990+(1328.8-809.1)+(-1.0149+(-0.677688--0.412641))+0-713.7--0.363986999999928</f>
        <v>1795.0840399999997</v>
      </c>
      <c r="H43" s="3">
        <f>1926.1+(1222.1-752)+(0+(0-0))+0-659.7-0</f>
        <v>1736.4999999999998</v>
      </c>
      <c r="I43" s="3">
        <f>1926.6+(1027.2-659.5)+(-1.965132+(-1.047744--0.67269))+0-593--0.604860000000095</f>
        <v>1699.5646740000004</v>
      </c>
      <c r="J43" s="3">
        <f>1929.6+(1085-584.7)+(-0.984096+(-0.55335--0.298197))+0-733.5--0.374084999999926</f>
        <v>1695.5348359999994</v>
      </c>
      <c r="K43" s="3">
        <f>1931.9+(991.1-477.2)+(-4.926345+(-2.527305--1.21686))+0-734.8--1.87373999999989</f>
        <v>1706.6369500000003</v>
      </c>
      <c r="L43" s="3">
        <f>1945.5+(805.8-394.7)+(-1.98441+(-0.821916--0.402594))+0-639.3--0.652086000000102</f>
        <v>1715.5483539999998</v>
      </c>
      <c r="M43" s="3">
        <f>2015.1+(771.8-319.6)+(0+(0-0))+0-599.6-0</f>
        <v>1867.6999999999998</v>
      </c>
      <c r="N43" s="3">
        <f>2058.1+(947.7-315.1)+(-1.049631+(-0.483327--0.160701))+0-549--0.279989999999944</f>
        <v>2140.6077329999998</v>
      </c>
      <c r="O43" s="3">
        <f>2049.7+(1150-297.2)+(0+(0-0))+0-606.4-0</f>
        <v>2296.1</v>
      </c>
      <c r="P43" s="3">
        <f>2055.6+(1403.1-492.1)+(2.096712+(1.431162-0.501942))+0-605.1-0.617202000000097</f>
        <v>2363.9087300000001</v>
      </c>
      <c r="Q43" s="3">
        <f>2115.5+(1517.2-673.8)+(-1.078905+(-0.773772--0.343638))+0-584.4--0.298043999999941</f>
        <v>2373.2890050000001</v>
      </c>
      <c r="R43" s="3">
        <f>2389.5+(1369.3-788.5)+(-3.655935+(-2.095029--1.206405))+0-618--0.945540000000036</f>
        <v>2348.7009810000004</v>
      </c>
      <c r="S43" s="3">
        <f>2328.5+(1260.3-888.7)+(-4.75014+(-2.571012--1.812948))+0-546.5--1.11485999999998</f>
        <v>2149.2066559999998</v>
      </c>
      <c r="T43" s="3">
        <f>2083.1+(1546.3-825.8)+(1.062381+(0.788613-0.421158))+0-606.9-0.309518999999938</f>
        <v>2197.8203169999997</v>
      </c>
      <c r="U43" s="3">
        <f>2119.4+(1471-817.5)+(-3.242682+(-2.25063--1.250775))+0-508.9--0.778617000000029</f>
        <v>2260.5360799999999</v>
      </c>
      <c r="V43" s="3">
        <f>2119.8+(1366.2-729.6)+(-6.486588+(-4.180572--2.232576))+0-492.8--1.50796800000006</f>
        <v>2256.6733839999997</v>
      </c>
      <c r="W43" s="3">
        <f>2083.7+(1366-580.3)+(-1.062687+(-0.69666--0.295953))+0-626.6--0.319565999999936</f>
        <v>2241.656172</v>
      </c>
      <c r="X43" s="3">
        <f>2094.1+(1412.4-517.7)+(-3.203973+(-2.160972--0.792081))+0-739--1.13067000000004</f>
        <v>2246.357806</v>
      </c>
      <c r="Y43" s="3">
        <f>2104+(1340.5-553.6)+(-2.14608+(-1.36731--0.564672))+0-667--0.680340000000106</f>
        <v>2221.6316219999999</v>
      </c>
      <c r="Z43" s="3">
        <f>2113.5+(1539.7-573.2)+(-7.545195+(-5.496729--2.046324))+0-678.5--2.42224500000001</f>
        <v>2392.926645</v>
      </c>
      <c r="AA43" s="3">
        <f>2114.4+(1469.9-535.2)+(-4.313376+(-2.998596--1.091808))+0-756.6--1.54346399999997</f>
        <v>2287.8233000000005</v>
      </c>
      <c r="AB43" s="3">
        <f>2142.7+(1368.2-619.8)+(-5.463885+(-3.48891--1.58049))+0-716.8--1.8278399999999</f>
        <v>2168.7555350000002</v>
      </c>
      <c r="AC43" s="3">
        <f>2177.9+(1184.1-618.4)+(-5.553645+(-3.019455--1.57692))+0-698.9--1.7821949999999</f>
        <v>2039.4860149999997</v>
      </c>
      <c r="AD43">
        <f t="shared" si="0"/>
        <v>50090.148835</v>
      </c>
      <c r="AE43" s="3">
        <f>2097+(1511.1-581.5)+(0+(0-0))+0-640-0</f>
        <v>2386.6</v>
      </c>
    </row>
    <row r="44" spans="1:31" s="2" customFormat="1" x14ac:dyDescent="0.25">
      <c r="A44">
        <v>89</v>
      </c>
      <c r="B44">
        <v>2</v>
      </c>
      <c r="C44">
        <v>13</v>
      </c>
      <c r="D44">
        <v>3</v>
      </c>
      <c r="E44">
        <v>1</v>
      </c>
      <c r="F44" s="3">
        <f>2133.3+(1059.1-568.8)+(-6.527898+(-3.240846--1.740528))+0-756.2--2.31397200000009</f>
        <v>1861.6857560000003</v>
      </c>
      <c r="G44" s="3">
        <f>2088.6+(839-511.7)+(-7.456302+(-2.99523--1.826769))+0-648.7--2.31585900000001</f>
        <v>1760.8910960000003</v>
      </c>
      <c r="H44" s="3">
        <f>1970.8+(876.1-432)+(-1.005108+(-0.446811--0.22032))+0-717.1--0.365720999999927</f>
        <v>1696.9341219999999</v>
      </c>
      <c r="I44" s="3">
        <f>1938.5+(855.2-403.3)+(-0.988635+(-0.436152--0.205683))+0-716.5--0.365414999999927</f>
        <v>1673.0463110000003</v>
      </c>
      <c r="J44" s="3">
        <f>1941+(793.1-346.7)+(-1.97982+(-0.808962--0.353634))+0-731.8--0.746436000000117</f>
        <v>1653.9112880000002</v>
      </c>
      <c r="K44" s="3">
        <f>1943.4+(738-263.8)+(-4.95567+(-1.8819--0.67269))+0-746.9--1.90459499999989</f>
        <v>1666.439715</v>
      </c>
      <c r="L44" s="3">
        <f>1963.6+(588.3-188)+(-6.008616+(-1.800198--0.57528))+0-687.5--2.10375000000008</f>
        <v>1671.2702159999997</v>
      </c>
      <c r="M44" s="3">
        <f>1962.1+(822.9-178.3)+(1.000671+(0.419679-0.090933))+0-810.5-0.413354999999918</f>
        <v>1797.1160619999998</v>
      </c>
      <c r="N44" s="3">
        <f>2032.2+(766.3-202.4)+(0+(0-0))+0-543.3-0</f>
        <v>2052.8000000000002</v>
      </c>
      <c r="O44" s="3">
        <f>2183+(1069.6-457.3)+(-3.33999+(-1.636488--0.699669))+0-605.3--0.926109000000035</f>
        <v>2186.6493</v>
      </c>
      <c r="P44" s="3">
        <f>2125+(1383.7-572.8)+(0+(0-0))+0-670.2-0</f>
        <v>2265.6999999999998</v>
      </c>
      <c r="Q44" s="3">
        <f>2078.1+(1522.4-707.4)+(-4.239324+(-3.105696--1.443096))+0-579.3--1.18177199999997</f>
        <v>2309.0798480000003</v>
      </c>
      <c r="R44" s="3">
        <f>2073.7+(1778.7-815.7)+(-1.057587+(-0.907137--0.416007))+0-744.8--0.379847999999924</f>
        <v>2290.731131</v>
      </c>
      <c r="S44" s="3">
        <f>2043.7+(1445.1-753)+(-4.169148+(-2.948004--1.53612))+0-638.3--1.30213199999997</f>
        <v>2093.2210999999998</v>
      </c>
      <c r="T44" s="3">
        <f>2062.3+(1508.4-690.3)+(-4.207092+(-3.077136--1.408212))+0-772.2--1.57528799999997</f>
        <v>2103.8992720000006</v>
      </c>
      <c r="U44" s="3">
        <f>2082.8+(1461-640.1)+(-3.186684+(-2.23533--0.979353))+0-694.7--1.06289100000004</f>
        <v>2205.62023</v>
      </c>
      <c r="V44" s="3">
        <f>2087.7+(1343.3-643.7)+(-3.194181+(-2.055249--0.984861))+0-574.1--0.878373000000033</f>
        <v>2209.8138039999999</v>
      </c>
      <c r="W44" s="3">
        <f>2085.4+(1536.2-612.7)+(0+(0-0))+0-808.5-0</f>
        <v>2200.4</v>
      </c>
      <c r="X44" s="3">
        <f>2088.4+(1486.4-724.5)+(-4.260336+(-3.032256--1.47798))+0-664--1.35455999999997</f>
        <v>2181.8399479999998</v>
      </c>
      <c r="Y44" s="3">
        <f>2095.3+(1589.8-781.2)+(1.068603+(0.810798-0.398412))+0-710.6-0.362405999999928</f>
        <v>2194.4185830000006</v>
      </c>
      <c r="Z44" s="3">
        <f>2118.1+(1866.6-882.6)+(-5.401155+(-4.75983--2.25063))+0-663.5--1.6919249999999</f>
        <v>2432.38157</v>
      </c>
      <c r="AA44" s="3">
        <f>2114.2+(1760.9-818.9)+(-5.39121+(-4.490295--2.088195))+0-673.6--1.7176799999999</f>
        <v>2376.5243699999996</v>
      </c>
      <c r="AB44" s="3">
        <f>2112.3+(1686.2-836.6)+(-1.077273+(-0.859962--0.426666))+0-692.4--0.35312399999993</f>
        <v>2268.3425549999997</v>
      </c>
      <c r="AC44" s="3">
        <f>2084.2+(1524.8-740.4)+(-1.062942+(-0.777648--0.377604))+0-731.4--0.373013999999926</f>
        <v>2136.1100279999996</v>
      </c>
      <c r="AD44">
        <f t="shared" si="0"/>
        <v>49288.826305000002</v>
      </c>
      <c r="AE44" s="3">
        <f>2117+(1853.5-853.6)+(0+(0-0))+0-633.9-0</f>
        <v>2483</v>
      </c>
    </row>
    <row r="45" spans="1:31" s="2" customFormat="1" x14ac:dyDescent="0.25">
      <c r="A45">
        <v>89</v>
      </c>
      <c r="B45">
        <v>2</v>
      </c>
      <c r="C45">
        <v>14</v>
      </c>
      <c r="D45">
        <v>4</v>
      </c>
      <c r="E45">
        <v>1</v>
      </c>
      <c r="F45" s="3">
        <f>2018.1+(1231-647.4)+(-4.116924+(-2.51124--1.320696))+0-705.9--1.44003599999997</f>
        <v>1891.9325679999997</v>
      </c>
      <c r="G45" s="3">
        <f>1961.5+(1212.6-576.4)+(-4.00146+(-2.473704--1.175856))+0-772--1.57487999999997</f>
        <v>1821.9755719999996</v>
      </c>
      <c r="H45" s="3">
        <f>1962.5+(997.2-583)+(-3.002625+(-1.525716--0.89199))+0-557.1--0.852363000000032</f>
        <v>1816.8160119999998</v>
      </c>
      <c r="I45" s="3">
        <f>1965.5+(1101.4-577.3)+(1.002405+(0.561714-0.294423))+0-704.5-0.359294999999929</f>
        <v>1786.0104010000002</v>
      </c>
      <c r="J45" s="3">
        <f>1977.6+(1042.7-533.4)+(4.034304+(2.127108-1.088136))+0-722-1.47287999999997</f>
        <v>1768.5003960000001</v>
      </c>
      <c r="K45" s="3">
        <f>1985.9+(920.4-488.7)+(-1.012809+(-0.469404--0.249237))+0-660.7--0.336956999999933</f>
        <v>1756.0039810000001</v>
      </c>
      <c r="L45" s="3">
        <f>1995.4+(733.9-383.6)+(-5.08827+(-1.871445--0.97818))+0-632.5--1.61287499999991</f>
        <v>1708.8313399999997</v>
      </c>
      <c r="M45" s="3">
        <f>1990+(866.1-302)+(0+(0-0))+0-707.3-0</f>
        <v>1846.8</v>
      </c>
      <c r="N45" s="3">
        <f>1987.6+(1074.3-385.7)+(-2.027352+(-1.095786--0.393414))+0-599.8--0.611796000000096</f>
        <v>2074.282072</v>
      </c>
      <c r="O45" s="3">
        <f>1987.9+(1352-462.1)+(2.027658+(1.37904-0.471342))+0-627.8-0.6403560000001</f>
        <v>2252.2950000000001</v>
      </c>
      <c r="P45" s="3">
        <f>2052.4+(1400.5-573.6)+(-3.140172+(-2.142765--0.877608))+0-580.8--0.888624000000034</f>
        <v>2294.983295</v>
      </c>
      <c r="Q45" s="3">
        <f>2146.9+(1320.3-538.2)+(-2.189838+(-1.346706--0.548964))+0-561.9--0.57313800000009</f>
        <v>2364.6855580000001</v>
      </c>
      <c r="R45" s="3">
        <f>2176.9+(1337-566.6)+(-4.440876+(-2.72748--1.155864))+0-618.2--1.26112799999997</f>
        <v>2324.3486360000006</v>
      </c>
      <c r="S45" s="3">
        <f>2174.7+(1156.1-619.3)+(0+(0-0))+0-602-0</f>
        <v>2109.5</v>
      </c>
      <c r="T45" s="3">
        <f>2166.4+(1213.1-614.7)+(2.209728+(1.237362-0.626994))+0-594.9-0.606798000000095</f>
        <v>2172.1132979999998</v>
      </c>
      <c r="U45" s="3">
        <f>2156.6+(1291.6-638.9)+(-1.099866+(-0.658716--0.325839))+0-598.2--0.305081999999939</f>
        <v>2209.9723389999999</v>
      </c>
      <c r="V45" s="3">
        <f>2159.6+(1271.6-598.3)+(-2.202792+(-1.297032--0.610266))+0-601.1--0.613122000000096</f>
        <v>2229.5235640000001</v>
      </c>
      <c r="W45" s="3">
        <f>2170.5+(1276.8-532)+(-4.42782+(-2.604672--1.08528))+0-712.3--1.45309199999997</f>
        <v>2198.5058800000002</v>
      </c>
      <c r="X45" s="3">
        <f>2127.9+(1094.6-364.6)+(-5.426145+(-2.79123--0.92973))+0-708--1.8053999999999</f>
        <v>2144.4177549999999</v>
      </c>
      <c r="Y45" s="3">
        <f>2070.7+(1179.9-420.6)+(-2.112114+(-1.203498--0.429012))+0-672.9--0.686358000000107</f>
        <v>2154.899758</v>
      </c>
      <c r="Z45" s="3">
        <f>2272.5+(1369.9-511.1)+(-4.6359+(-2.794596--1.042644))+0-710.3--1.44901199999997</f>
        <v>2416.0611600000002</v>
      </c>
      <c r="AA45" s="3">
        <f>2106.3+(1281.3-512.5)+(-2.148426+(-1.306926--0.52275))+0-555.2--0.566304000000089</f>
        <v>2317.5337020000006</v>
      </c>
      <c r="AB45" s="3">
        <f>2231.6+(1236.8-544.1)+(-3.414348+(-1.892304--0.832473))+0-702.1--1.07421300000004</f>
        <v>2218.8000339999999</v>
      </c>
      <c r="AC45" s="3">
        <f>2258.6+(1144.6-583.3)+(-2.303772+(-1.167492--0.594966))+0-734.5--0.749190000000117</f>
        <v>2083.2728919999995</v>
      </c>
      <c r="AD45">
        <f t="shared" si="0"/>
        <v>49962.065212999994</v>
      </c>
      <c r="AE45" s="3">
        <f>2269+(1280-496)+(0+(0-0))+0-654-0</f>
        <v>2399</v>
      </c>
    </row>
    <row r="46" spans="1:31" s="2" customFormat="1" x14ac:dyDescent="0.25">
      <c r="A46">
        <v>89</v>
      </c>
      <c r="B46">
        <v>2</v>
      </c>
      <c r="C46">
        <v>15</v>
      </c>
      <c r="D46">
        <v>5</v>
      </c>
      <c r="E46">
        <v>1</v>
      </c>
      <c r="F46" s="3">
        <f>2077.5+(1102.5-520.4)+(-1.059525+(-0.562275--0.265404))+0-731.3--0.372962999999926</f>
        <v>1927.3165669999998</v>
      </c>
      <c r="G46" s="3">
        <f>2018.9+(1121.6-647)+(-3.088917+(-1.716048--0.98991))+0-659.6--1.00918800000004</f>
        <v>1831.0941330000001</v>
      </c>
      <c r="H46" s="3">
        <f>2010.6+(1255.6-737.7)+(-2.050812+(-1.280712--0.752454))+0-739.9--0.754698000000118</f>
        <v>1786.7756280000003</v>
      </c>
      <c r="I46" s="3">
        <f>2004.1+(1156.7-705.4)+(-4.088364+(-2.359668--1.439016))+0-693.1--1.41392399999997</f>
        <v>1758.7049080000002</v>
      </c>
      <c r="J46" s="3">
        <f>1844.7+(1133.2-605.5)+(0.940797+(0.577932-0.308805))+0-622.3-0.317372999999937</f>
        <v>1750.992551</v>
      </c>
      <c r="K46" s="3">
        <f>1835.3+(1129.8-524)+(0.936003+(0.576198-0.26724))+0-673-0.343229999999932</f>
        <v>1769.0017309999998</v>
      </c>
      <c r="L46" s="3">
        <f>1850.8+(970.7-383.8)+(-3.775632+(-1.980228--0.782952))+0-670--1.36679999999997</f>
        <v>1764.0938919999996</v>
      </c>
      <c r="M46" s="3">
        <f>2040.4+(907.2-429.1)+(0+(0-0))+0-612.6-0</f>
        <v>1905.9</v>
      </c>
      <c r="N46" s="3">
        <f>2143.3+(944.6-383.6)+(-1.093083+(-0.481746--0.195636))+0-611--0.311609999999938</f>
        <v>2092.2324169999997</v>
      </c>
      <c r="O46" s="3">
        <f>2159.8+(1059.5-378.7)+(0+(0-0))+0-561.5-0</f>
        <v>2279.1000000000004</v>
      </c>
      <c r="P46" s="3">
        <f>2158.5+(1188.7-378.2)+(-2.20167+(-1.212474--0.385764))+0-635--0.647700000000101</f>
        <v>2331.6193199999998</v>
      </c>
      <c r="Q46" s="3">
        <f>2213.5+(1211.2-450.3)+(-2.25777+(-1.235424--0.459306))+0-597.7--0.609654000000095</f>
        <v>2374.2757660000002</v>
      </c>
      <c r="R46" s="3">
        <f>2216+(1241.1-474.2)+(-2.26032+(-1.265922--0.483684))+0-638.8--0.651576000000102</f>
        <v>2341.7090179999996</v>
      </c>
      <c r="S46" s="3">
        <f>2214.3+(1125.9-522.5)+(1.129293+(0.574209-0.266475))+0-669-0.341189999999932</f>
        <v>2149.7958370000001</v>
      </c>
      <c r="T46" s="3">
        <f>2221.7+(1111-537.9)+(3.399201+(1.69983-0.822987))+0-595.7-0.911421000000034</f>
        <v>2202.4646229999994</v>
      </c>
      <c r="U46" s="3">
        <f>2234.9+(1198.7-522.7)+(-2.279598+(-1.222674--0.533154))+0-675.8--0.689316000000108</f>
        <v>2232.8201980000003</v>
      </c>
      <c r="V46" s="3">
        <f>2269.2+(1121.7-461.1)+(-3.471876+(-1.716201--0.705483))+0-668.3--1.02249900000004</f>
        <v>2258.0399050000001</v>
      </c>
      <c r="W46" s="3">
        <f>2323+(1094.6-422.5)+(-3.55419+(-1.674738--0.646425))+0-763.9--1.16876700000004</f>
        <v>2227.7862639999998</v>
      </c>
      <c r="X46" s="3">
        <f>2390.9+(947.9-423.4)+(-6.096795+(-2.417145--1.07967))+0-738.2--1.88240999999989</f>
        <v>2171.6481399999998</v>
      </c>
      <c r="Y46" s="3">
        <f>2398.9+(954.3-441.9)+(-2.446878+(-0.973386--0.450738))+0-717.4--0.731748000000114</f>
        <v>2191.6622220000004</v>
      </c>
      <c r="Z46" s="3">
        <f>2411.7+(1194.1-473.1)+(-1.229967+(-0.608991--0.241281))+0-699.2--0.356591999999929</f>
        <v>2432.2589149999994</v>
      </c>
      <c r="AA46" s="3">
        <f>2417.3+(1156.3-553.4)+(-6.164115+(-2.948565--1.41117))+0-651.6--1.66157999999991</f>
        <v>2362.5600700000005</v>
      </c>
      <c r="AB46" s="3">
        <f>2259.9+(1118.2-451.9)+(-2.305098+(-1.140564--0.460938))+0-659.1--0.672282000000105</f>
        <v>2264.7875580000004</v>
      </c>
      <c r="AC46" s="3">
        <f>2228.5+(1075.1-399.5)+(-3.409605+(-1.644903--0.611235))+0-768.1--1.17519300000004</f>
        <v>2132.7319200000002</v>
      </c>
      <c r="AD46">
        <f t="shared" si="0"/>
        <v>50539.371583</v>
      </c>
      <c r="AE46" s="3">
        <f>2430+(1352-551.2)+(0+(0-0))+0-747.9-0</f>
        <v>2482.9</v>
      </c>
    </row>
    <row r="47" spans="1:31" s="2" customFormat="1" x14ac:dyDescent="0.25">
      <c r="A47">
        <v>89</v>
      </c>
      <c r="B47">
        <v>2</v>
      </c>
      <c r="C47">
        <v>16</v>
      </c>
      <c r="D47">
        <v>6</v>
      </c>
      <c r="E47">
        <v>1</v>
      </c>
      <c r="F47" s="3">
        <f>2159.6+(822.2-459.8)+(0+(0-0))+0-551.7-0</f>
        <v>1970.3</v>
      </c>
      <c r="G47" s="3">
        <f>2046+(869.7-474.6)+(0+(0-0))+0-604.8-0</f>
        <v>1836.3</v>
      </c>
      <c r="H47" s="3">
        <f>2010+(827.6-494.7)+(0+(0-0))+0-545.4-0</f>
        <v>1797.5</v>
      </c>
      <c r="I47" s="3">
        <f>1996.2+(880.5-456.6)+(0+(0-0))+0-657.8-0</f>
        <v>1762.3</v>
      </c>
      <c r="J47" s="3">
        <f>1991.6+(892.5-406.9)+(0+(0-0))+0-732.7-0</f>
        <v>1744.4999999999998</v>
      </c>
      <c r="K47" s="3">
        <f>1993.9+(795-365.8)+(0+(0-0))+0-661.6-0</f>
        <v>1761.5</v>
      </c>
      <c r="L47" s="3">
        <f>1998.2+(823.7-411.6)+(0+(0-0))+0-666.8-0</f>
        <v>1743.5000000000002</v>
      </c>
      <c r="M47" s="3">
        <f>2172.3+(954.2-470.2)+(0+(0-0))+0-777.9-0</f>
        <v>1878.4</v>
      </c>
      <c r="N47" s="3">
        <f>2380+(888.1-553.9)+(0+(0-0))+0-605.3-0</f>
        <v>2108.8999999999996</v>
      </c>
      <c r="O47" s="3">
        <f>2431.7+(992.3-474.8)+(0+(0-0))+0-711.6-0</f>
        <v>2237.6</v>
      </c>
      <c r="P47" s="3">
        <f>2416.2+(1112.5-516.8)+(0+(0-0))+0-714.7-0</f>
        <v>2297.1999999999998</v>
      </c>
      <c r="Q47" s="3">
        <f>2465.3+(1113.2-623.7)+(0+(0-0))+0-613.7-0</f>
        <v>2341.1000000000004</v>
      </c>
      <c r="R47" s="3">
        <f>2478.5+(1251.3-675.3)+(1.264035+(0.638163-0.344403))+0-749.4-0.382193999999924</f>
        <v>2306.2756010000003</v>
      </c>
      <c r="S47" s="3">
        <f>2408.1+(1164.1-777.9)+(0+(0-0))+0-670.1-0</f>
        <v>2124.1999999999998</v>
      </c>
      <c r="T47" s="3">
        <f>2406+(1216.3-867.1)+(-2.45412+(-1.240626--0.884442))+0-626.8--0.6393360000001</f>
        <v>2126.2290320000002</v>
      </c>
      <c r="U47" s="3">
        <f>2415.5+(1233.2-871.2)+(-3.695715+(-1.886796--1.332936))+0-670.6--1.02601800000004</f>
        <v>2103.6764430000003</v>
      </c>
      <c r="V47" s="3">
        <f>2409.2+(1324.5-880.3)+(-6.14346+(-3.377475--2.244765))+0-756.7--1.92958499999989</f>
        <v>2091.3534149999996</v>
      </c>
      <c r="W47" s="3">
        <f>2456.8+(1102-905.4)+(-3.758904+(-1.68606--1.385262))+0-581.1--0.889083000000034</f>
        <v>2069.1293810000002</v>
      </c>
      <c r="X47" s="3">
        <f>2387.3+(1174.6-781.8)+(-2.435046+(-1.198092--0.797436))+0-695.4--0.709308000000111</f>
        <v>2082.5736060000004</v>
      </c>
      <c r="Y47" s="3">
        <f>2240.8+(1235.5-617.1)+(-2.285616+(-1.26021--0.629442))+0-744.3--0.759186000000119</f>
        <v>2112.7428020000007</v>
      </c>
      <c r="Z47" s="3">
        <f>2390.1+(1144.5-564.6)+(-3.656853+(-1.751085--0.863838))+0-632.5--0.967725000000037</f>
        <v>2333.9236249999999</v>
      </c>
      <c r="AA47" s="3">
        <f>2443+(1185.2-589.6)+(-4.98372+(-2.417808--1.202784))+0-767--1.56467999999997</f>
        <v>2266.9659360000001</v>
      </c>
      <c r="AB47" s="3">
        <f>2387.7+(1102.8-659.1)+(1.217727+(0.562428-0.336141))+0-691.7-0.35276699999993</f>
        <v>2140.7912469999997</v>
      </c>
      <c r="AC47" s="3">
        <f>2303.6+(1234.6-719.8)+(-2.349672+(-1.259292--0.734196))+0-740.6--0.755412000000118</f>
        <v>2075.6806439999996</v>
      </c>
      <c r="AD47">
        <f t="shared" si="0"/>
        <v>49312.641732000004</v>
      </c>
      <c r="AE47" s="3">
        <f>2410+(1331-555.3)+(0+(0-0))+0-855.5-0</f>
        <v>2330.1999999999998</v>
      </c>
    </row>
    <row r="48" spans="1:31" s="2" customFormat="1" x14ac:dyDescent="0.25">
      <c r="A48">
        <v>89</v>
      </c>
      <c r="B48">
        <v>2</v>
      </c>
      <c r="C48">
        <v>17</v>
      </c>
      <c r="D48">
        <v>7</v>
      </c>
      <c r="E48">
        <v>1</v>
      </c>
      <c r="F48" s="3">
        <f>2057.2+(1348.5-821.6)+(-2.098344+(-1.37547--0.838032))+0-670.5--0.683910000000107</f>
        <v>1911.6481280000003</v>
      </c>
      <c r="G48" s="3">
        <f>2046.7+(1346.3-904.4)+(-3.131451+(-2.059839--1.383732))+0-704.5--1.07788500000004</f>
        <v>1781.3703270000001</v>
      </c>
      <c r="H48" s="3">
        <f>2052+(1347-964.2)+(-4.18608+(-2.74788--1.966968))+0-698.4--1.42473599999997</f>
        <v>1732.8577439999999</v>
      </c>
      <c r="I48" s="3">
        <f>2049.7+(1273.5-974.7)+(-1.045347+(-0.649485--0.497097))+0-652.5--0.332774999999934</f>
        <v>1695.1350399999997</v>
      </c>
      <c r="J48" s="3">
        <f>2047.7+(1157.7-855.5)+(-3.132981+(-1.771281--1.308915))+0-675.4--1.03336200000004</f>
        <v>1671.9380150000002</v>
      </c>
      <c r="K48" s="3">
        <f>1981.4+(1166.6-770.9)+(0+(0-0))+0-715.8-0</f>
        <v>1661.3</v>
      </c>
      <c r="L48" s="3">
        <f>1843.1+(961.3-635.1)+(-3.759924+(-1.961052--1.295604))+0-578.8--1.18075199999997</f>
        <v>1587.2553799999996</v>
      </c>
      <c r="M48" s="3">
        <f>1765.2+(1196.6-584.2)+(-1.800504+(-1.220532--0.595884))+0-765.4--0.780708000000122</f>
        <v>1610.5555560000003</v>
      </c>
      <c r="N48" s="3">
        <f>1788.2+(1362.9-684.3)+(-2.735946+(-2.085237--1.046979))+0-762.7--1.16693100000004</f>
        <v>1701.4927270000003</v>
      </c>
      <c r="O48" s="3">
        <f>1787.5+(1305.7-660.4)+(0+(0-0))+0-634.2-0</f>
        <v>1798.6000000000001</v>
      </c>
      <c r="P48" s="3">
        <f>1805.3+(1246.5-542.8)+(-0.920703+(-0.635715--0.276828))+0-666.6--0.339965999999932</f>
        <v>1841.460376</v>
      </c>
      <c r="Q48" s="3">
        <f>1976.7+(1219.1-625.8)+(0+(0-0))+0-707-0</f>
        <v>1863</v>
      </c>
      <c r="R48" s="3">
        <f>1973.8+(1354.6-789)+(0+(0-0))+0-680.7-0</f>
        <v>1858.6999999999996</v>
      </c>
      <c r="S48" s="3">
        <f>1969.9+(1291.2-955.8)+(0+(0-0))+0-546.7-0</f>
        <v>1758.6000000000001</v>
      </c>
      <c r="T48" s="3">
        <f>1968.3+(1469.9-992.4)+(0+(0-0))+0-729.1-0</f>
        <v>1716.7000000000003</v>
      </c>
      <c r="U48" s="3">
        <f>1964.9+(1461.8-1018)+(0+(0-0))+0-697.5-0</f>
        <v>1711.1999999999998</v>
      </c>
      <c r="V48" s="3">
        <f>1955.8+(1288.1-911.6)+(-4.98729+(-3.284655--2.32458))+0-612.3--1.56136499999991</f>
        <v>1715.6139999999998</v>
      </c>
      <c r="W48" s="3">
        <f>1950+(1288.5-851.3)+(-2.9835+(-1.971405--1.302489))+0-666.2--1.01928600000004</f>
        <v>1718.3668699999998</v>
      </c>
      <c r="X48" s="3">
        <f>1956.7+(1252.6-656.4)+(-1.995834+(-1.277652--0.669528))+0-791.4--0.807228000000126</f>
        <v>1759.70327</v>
      </c>
      <c r="Y48" s="3">
        <f>1964+(1201.5-544.8)+(-2.00328+(-1.22553--0.555696))+0-710.7--0.724914000000113</f>
        <v>1908.0517999999997</v>
      </c>
      <c r="Z48" s="3">
        <f>2016.7+(1275.5-533.8)+(-5.142585+(-3.252525--1.36119))+0-637.4--1.62536999999991</f>
        <v>2115.5914499999999</v>
      </c>
      <c r="AA48" s="3">
        <f>2059.9+(1231.5-546)+(-2.101098+(-1.25613--0.55692))+0-635.6--0.648312000000101</f>
        <v>2107.6480040000006</v>
      </c>
      <c r="AB48" s="3">
        <f>2064.2+(1309.3-569.7)+(-3.158226+(-2.003229--0.871641))+0-766--1.17198000000004</f>
        <v>2034.6821659999996</v>
      </c>
      <c r="AC48" s="3">
        <f>2053.4+(1090.8-575.9)+(-1.047234+(-0.556308--0.293709))+0-650.2--0.331601999999934</f>
        <v>1917.1217690000003</v>
      </c>
      <c r="AD48">
        <f t="shared" si="0"/>
        <v>43178.592621999996</v>
      </c>
      <c r="AE48" s="3">
        <f>2043+(1067.8-581.6)+(0+(0-0))+0-387.9-0</f>
        <v>2141.2999999999997</v>
      </c>
    </row>
    <row r="49" spans="1:31" s="2" customFormat="1" x14ac:dyDescent="0.25">
      <c r="A49">
        <v>89</v>
      </c>
      <c r="B49">
        <v>2</v>
      </c>
      <c r="C49">
        <v>18</v>
      </c>
      <c r="D49">
        <v>1</v>
      </c>
      <c r="E49">
        <v>1</v>
      </c>
      <c r="F49" s="3">
        <f>1943.8+(1112.8-607.3)+(-2.974014+(-1.702584--0.929169))+0-713.4--1.09150200000004</f>
        <v>1733.2440730000001</v>
      </c>
      <c r="G49" s="3">
        <f>1886.3+(1054.9-632.9)+(-0.962013+(-0.537999--0.322779))+0-670.5--0.341954999999932</f>
        <v>1636.9647220000002</v>
      </c>
      <c r="H49" s="3">
        <f>1884.7+(998.5-628.3)+(-1.922394+(-1.01847--0.640866))+0-663.8--0.677076000000106</f>
        <v>1589.4770780000003</v>
      </c>
      <c r="I49" s="3">
        <f>1888.8+(1008.6-615.5)+(-0.963288+(-0.514386--0.313905))+0-693.9--0.35388899999993</f>
        <v>1587.1901200000002</v>
      </c>
      <c r="J49" s="3">
        <f>1887.5+(1028.7-608.2)+(0.962625+(0.524637-0.310182))+0-657-0.335069999999933</f>
        <v>1651.8420100000001</v>
      </c>
      <c r="K49" s="3">
        <f>1887+(1101.2-636.9)+(-1.92474+(-1.123224--0.649638))+0-702.8--0.716856000000112</f>
        <v>1646.8185300000002</v>
      </c>
      <c r="L49" s="3">
        <f>1840+(1036.7-584.3)+(-0.9384+(-0.528717--0.297993))+0-639.7--0.326246999999935</f>
        <v>1651.857123</v>
      </c>
      <c r="M49" s="3">
        <f>1878.5+(1124.1-493.2)+(0+(0-0))+0-703-0</f>
        <v>1806.3999999999996</v>
      </c>
      <c r="N49" s="3">
        <f>2093.9+(1191.9-523.7)+(-3.203667+(-1.823607--0.801261))+0-688.6--1.05355800000004</f>
        <v>2070.3275450000006</v>
      </c>
      <c r="O49" s="3">
        <f>2318+(1239.8-714.3)+(0+(0-0))+0-553.9-0</f>
        <v>2289.6</v>
      </c>
      <c r="P49" s="3">
        <f>2352+(1347.6-776.1)+(-2.39904+(-1.374552--0.791622))+0-599--0.610980000000096</f>
        <v>2322.1290100000001</v>
      </c>
      <c r="Q49" s="3">
        <f>2380.9+(1356.3-780.5)+(-2.428518+(-1.383426--0.79611))+0-572.2--0.583644000000091</f>
        <v>2382.0678100000005</v>
      </c>
      <c r="R49" s="3">
        <f>2369.6+(1373.4-792.8)+(-1.208496+(-0.700434--0.404328))+0-667.4--0.340373999999932</f>
        <v>2281.6357719999996</v>
      </c>
      <c r="S49" s="3">
        <f>2372.1+(1329.1-866.4)+(-3.629313+(-2.033523--1.325592))+0-721--1.10313000000004</f>
        <v>2110.5658859999999</v>
      </c>
      <c r="T49" s="3">
        <f>2368.3+(1379.2-899.8)+(-3.623499+(-2.110176--1.376694))+0-680.6--1.04131800000004</f>
        <v>2163.7843370000005</v>
      </c>
      <c r="U49" s="3">
        <f>2342+(1415.8-907.3)+(-4.77768+(-2.888232--1.850892))+2.8-678.6--1.38434399999997</f>
        <v>2170.2693240000003</v>
      </c>
      <c r="V49" s="3">
        <f>2353.2+(1452.4-899.7)+(-2.400264+(-1.481448--0.917694))+5-729.7--0.744294000000116</f>
        <v>2178.9802759999993</v>
      </c>
      <c r="W49" s="3">
        <f>2393.5+(1386.6-943.8)+(-7.32411+(-4.242996--2.888028))+5-657.2--2.01103200000008</f>
        <v>2177.4319540000001</v>
      </c>
      <c r="X49" s="3">
        <f>2483.3+(1298.4-892.2)+(-8.865381+(-4.635288--3.185154))+0.8-688.3--2.45723100000001</f>
        <v>2194.1417160000005</v>
      </c>
      <c r="Y49" s="3">
        <f>2616.2+(1058.4-867.7)+(-5.337048+(-2.159136--1.770108))+0-568.5--1.15973999999998</f>
        <v>2233.8336639999998</v>
      </c>
      <c r="Z49" s="3">
        <f>2641+(1281.9-815.8)+(-2.69382+(-1.307538--0.832116))+0-719.6--0.733992000000115</f>
        <v>2385.0647500000005</v>
      </c>
      <c r="AA49" s="3">
        <f>2660.8+(1211.9-821.5)+(-4.071024+(-1.854207--1.256895))+0-746.9--1.14275700000004</f>
        <v>2300.7744210000001</v>
      </c>
      <c r="AB49" s="3">
        <f>2664.1+(1069.9-863.1)+(-5.434764+(-2.182596--1.760724))+0-680.1--1.38740399999997</f>
        <v>2186.3307680000003</v>
      </c>
      <c r="AC49" s="3">
        <f>2662.9+(1065.6-954.4)+(-2.716158+(-1.086912--0.973488))+0-693.2--0.707064000000111</f>
        <v>2078.7774820000004</v>
      </c>
      <c r="AD49">
        <f t="shared" si="0"/>
        <v>48829.508370999996</v>
      </c>
      <c r="AE49" s="3">
        <f>2644+(1324.6-817.4)+(0+(0-0))+0-750.9-0</f>
        <v>2400.2999999999997</v>
      </c>
    </row>
    <row r="50" spans="1:31" s="2" customFormat="1" x14ac:dyDescent="0.25">
      <c r="A50">
        <v>89</v>
      </c>
      <c r="B50">
        <v>2</v>
      </c>
      <c r="C50">
        <v>19</v>
      </c>
      <c r="D50">
        <v>2</v>
      </c>
      <c r="E50">
        <v>1</v>
      </c>
      <c r="F50" s="3">
        <f>2647.5+(1030.6-1125.5)+(-2.70045+(-1.051212--1.14801))+0-663--0.676260000000106</f>
        <v>1887.6726080000003</v>
      </c>
      <c r="G50" s="3">
        <f>2531.9+(1083.3-1085.6)+(-1.291269+(-0.552483--0.553656))+0-737.4--0.376073999999925</f>
        <v>1791.2859780000001</v>
      </c>
      <c r="H50" s="3">
        <f>2419.2+(926.3-991.6)+(0+(0-0))+0-608.4-0</f>
        <v>1745.4999999999995</v>
      </c>
      <c r="I50" s="3">
        <f>2414.6+(1017.2-968.1)+(-1.231446+(-0.518772--0.493731))+0-743.9--0.379388999999925</f>
        <v>1718.9229019999996</v>
      </c>
      <c r="J50" s="3">
        <f>2350.7+(921.3-874.1)+(-2.397714+(-0.939726--0.891582))+0-680.2--0.693804000000109</f>
        <v>1715.9479459999995</v>
      </c>
      <c r="K50" s="3">
        <f>2354.5+(955.3-857.7)+(-6.003975+(-2.436015--2.187135))+0-726.3--1.85206499999989</f>
        <v>1721.3992099999996</v>
      </c>
      <c r="L50" s="3">
        <f>2283.4+(847.5-726.6)+(-5.82267+(-2.161125--1.85283))+0-694.3--1.7704649999999</f>
        <v>1705.6395000000002</v>
      </c>
      <c r="M50" s="3">
        <f>2236.4+(666-561.5)+(-2.281128+(-0.67932--0.57273))+0-492.1--0.501942000000078</f>
        <v>1846.9142240000003</v>
      </c>
      <c r="N50" s="3">
        <f>2613.8+(916.4-825.9)+(-3.999114+(-1.402092--1.263627))+0-616.9--0.943857000000036</f>
        <v>2084.2062780000001</v>
      </c>
      <c r="O50" s="3">
        <f>2637+(1018.2-815.5)+(-1.34487+(-0.519282--0.415905))+0-613.6--0.312935999999938</f>
        <v>2224.9646889999999</v>
      </c>
      <c r="P50" s="3">
        <f>2623.2+(1016.6-809.9)+(0+(0-0))+0-532.2-0</f>
        <v>2297.6999999999998</v>
      </c>
      <c r="Q50" s="3">
        <f>2609.1+(1079.5-801.1)+(-1.330641+(-0.550545--0.408561))+0-561.8--0.286517999999943</f>
        <v>2324.5138930000003</v>
      </c>
      <c r="R50" s="3">
        <f>2593.4+(1218.2-829.4)+(-2.645268+(-1.242564--0.845988))+0-662.9--0.676158000000106</f>
        <v>2316.9343140000005</v>
      </c>
      <c r="S50" s="3">
        <f>2580.1+(1205.8-1039.3)+(-3.947553+(-1.844874--1.590129))+0-618.4--0.946152000000036</f>
        <v>2124.9438539999996</v>
      </c>
      <c r="T50" s="3">
        <f>2568+(1178.7-1077.5)+(-2.61936+(-1.202274--1.09905))+0-493.4--0.503268000000079</f>
        <v>2173.5806839999996</v>
      </c>
      <c r="U50" s="3">
        <f>2562.4+(1287.3-1061.6)+(-6.53412+(-3.282615--2.70708))+0-560.7--1.42978499999992</f>
        <v>2221.7201300000002</v>
      </c>
      <c r="V50" s="3">
        <f>2555+(1216.5-1052.6)+(-2.6061+(-1.24083--1.073652))+0-467.8--0.477156000000075</f>
        <v>2248.8038779999997</v>
      </c>
      <c r="W50" s="3">
        <f>2553.3+(1261.8-967.5)+(-7.813098+(-3.861108--2.96055))+0-600.6--1.83783600000007</f>
        <v>2240.1241800000007</v>
      </c>
      <c r="X50" s="3">
        <f>2567.8+(1145.7-910.8)+(-5.238312+(-2.337228--1.858032))+0-583--1.18931999999997</f>
        <v>2215.171812</v>
      </c>
      <c r="Y50" s="3">
        <f>2572.5+(1086.6-831.6)+(0+(0-0))+0-594.5-0</f>
        <v>2233</v>
      </c>
      <c r="Z50" s="3">
        <f>2593+(1171.3-804.9)+(-5.28972+(-2.389452--1.641996))+0-511.1--1.04264399999998</f>
        <v>2443.3054680000005</v>
      </c>
      <c r="AA50" s="3">
        <f>2611.4+(1232.8-803.5)+(-6.65907+(-3.14364--2.048925))+0-677.1--1.7266049999999</f>
        <v>2357.5728199999999</v>
      </c>
      <c r="AB50" s="3">
        <f>2600.2+(1271.7-931.3)+(-3.978306+(-1.945701--1.424889))+0-693.6--1.06120800000004</f>
        <v>2243.5620899999999</v>
      </c>
      <c r="AC50" s="3">
        <f>2607+(1174.2-1029.2)+(-6.64785+(-2.99421--2.62446))+0-650.6--1.65902999999991</f>
        <v>2096.0414299999998</v>
      </c>
      <c r="AD50">
        <f t="shared" si="0"/>
        <v>49979.427887999998</v>
      </c>
      <c r="AE50" s="3">
        <f>2615+(1189.3-802.6)+(0+(0-0))+0-605.5-0</f>
        <v>2396.1999999999998</v>
      </c>
    </row>
    <row r="51" spans="1:31" s="2" customFormat="1" x14ac:dyDescent="0.25">
      <c r="A51">
        <v>89</v>
      </c>
      <c r="B51">
        <v>2</v>
      </c>
      <c r="C51">
        <v>20</v>
      </c>
      <c r="D51">
        <v>3</v>
      </c>
      <c r="E51">
        <v>1</v>
      </c>
      <c r="F51" s="3">
        <f>2606.5+(1033.6-1015.1)+(-11.963835+(-4.744224--4.659309))+0-691.2--3.17260800000012</f>
        <v>1924.9238580000001</v>
      </c>
      <c r="G51" s="3">
        <f>2520.3+(936.9-1009.9)+(-11.568177+(-4.300371--4.635441))+0-640.1--2.93805900000011</f>
        <v>1798.9049520000003</v>
      </c>
      <c r="H51" s="3">
        <f>2457.2+(982.1-1025.9)+(1.253172+(0.500871-0.523209))+0-690.4-0.35210399999993</f>
        <v>1723.8787299999997</v>
      </c>
      <c r="I51" s="3">
        <f>2438.2+(1014.7-1000.6)+(-8.704374+(-3.622479--3.572142))+0-685.1--2.44580700000001</f>
        <v>1760.8910959999998</v>
      </c>
      <c r="J51" s="3">
        <f>2118.6+(926.9-720.3)+(-1.080486+(-0.472719--0.367353))+0-569.7--0.290546999999942</f>
        <v>1754.6046949999995</v>
      </c>
      <c r="K51" s="3">
        <f>2111+(974.6-645.6)+(-5.38305+(-2.48523--1.64628))+0-666--1.6982999999999</f>
        <v>1769.4762999999996</v>
      </c>
      <c r="L51" s="3">
        <f>2116.5+(807.2-608.7)+(-3.238245+(-1.235016--0.931311))+0-550.6--0.842418000000032</f>
        <v>1761.7004680000002</v>
      </c>
      <c r="M51" s="3">
        <f>2113.4+(965.2-537.4)+(2.155668+(0.984504-0.548148))+0-610.8-0.623016000000097</f>
        <v>1932.3690080000003</v>
      </c>
      <c r="N51" s="3">
        <f>2295.6+(1151.7-625.7)+(2.341512+(1.174734-0.638214))+0-655.7-0.668814000000105</f>
        <v>2168.1092180000001</v>
      </c>
      <c r="O51" s="3">
        <f>2506.5+(1168.7-822.3)+(-3.834945+(-1.788111--1.258119))+0-572--0.875160000000033</f>
        <v>2277.4102230000003</v>
      </c>
      <c r="P51" s="3">
        <f>2573.2+(1170.6-854.9)+(-2.624664+(-1.194012--0.871998))+0-558--0.569160000000089</f>
        <v>2328.5224819999999</v>
      </c>
      <c r="Q51" s="3">
        <f>2567.6+(1311-855.4)+(-1.309476+(-0.66861--0.436254))+0-558.9--0.285038999999943</f>
        <v>2463.0432069999997</v>
      </c>
      <c r="R51" s="3">
        <f>2569.1+(1350.5-983.2)+(-3.930723+(-2.066265--1.504296))+0-605.2--0.925956000000035</f>
        <v>2327.6332640000001</v>
      </c>
      <c r="S51" s="3">
        <f>2670.8+(1354.3-1206.8)+(-2.724216+(-1.381386--1.230936))+0-601.3--0.613326000000096</f>
        <v>2214.7386600000004</v>
      </c>
      <c r="T51" s="3">
        <f>2671.4+(1368.9-1206.8)+(-2.724828+(-1.396278--1.230936))+3-572.4--0.583848000000091</f>
        <v>2261.793678</v>
      </c>
      <c r="U51" s="3">
        <f>2654.6+(1346.1-1098.4)+(0+(0-0))+6-569.8-0</f>
        <v>2338.5</v>
      </c>
      <c r="V51" s="3">
        <f>2659.3+(1337.8-1065.5)+(-6.781215+(-3.41139--2.717025))+1.2-633.3--1.61491499999991</f>
        <v>2293.6393350000008</v>
      </c>
      <c r="W51" s="3">
        <f>2666.9+(1172.7-1030.4)+(-6.800595+(-2.990385--2.62752))+0-523.4--1.33466999999992</f>
        <v>2279.9712099999992</v>
      </c>
      <c r="X51" s="3">
        <f>2668.4+(1150-977)+(-8.165304+(-3.519--2.98962))+0-580.5--1.77633000000007</f>
        <v>2253.9816460000002</v>
      </c>
      <c r="Y51" s="3">
        <f>2629.3+(1187.4-892.7)+(-1.340943+(-0.605574--0.455277))+0-665.2--0.339251999999933</f>
        <v>2257.6480119999997</v>
      </c>
      <c r="Z51" s="3">
        <f>2731.7+(1200.2-840.6)+(-5.572668+(-2.448408--1.714824))+0-602.7--1.22950799999997</f>
        <v>2483.5232559999999</v>
      </c>
      <c r="AA51" s="3">
        <f>2832.8+(1134.6-982.9)+(-8.668368+(-3.471876--3.007674))+0-587.2--1.79683200000007</f>
        <v>2389.9642619999995</v>
      </c>
      <c r="AB51" s="3">
        <f>2827.5+(1183.9-990.6)+(-5.7681+(-2.415156--2.020824))+0-726.7--1.48246799999997</f>
        <v>2289.4200360000004</v>
      </c>
      <c r="AC51" s="3">
        <f>2836+(1077.8-1063.2)+(-4.33908+(-1.649034--1.626696))+0-665.9--1.01882700000004</f>
        <v>2181.3574089999997</v>
      </c>
      <c r="AD51">
        <f t="shared" si="0"/>
        <v>51236.005004999992</v>
      </c>
      <c r="AE51" s="3">
        <f>2832+(1062.1-944.3)+(0+(0-0))+0-448.5-0</f>
        <v>2501.3000000000002</v>
      </c>
    </row>
    <row r="52" spans="1:31" s="2" customFormat="1" x14ac:dyDescent="0.25">
      <c r="A52">
        <v>89</v>
      </c>
      <c r="B52">
        <v>2</v>
      </c>
      <c r="C52">
        <v>21</v>
      </c>
      <c r="D52">
        <v>4</v>
      </c>
      <c r="E52">
        <v>1</v>
      </c>
      <c r="F52" s="3">
        <f>2773.3+(961-1175.3)+(-1.414383+(-0.49011--0.599403))+0-559.1--0.285140999999943</f>
        <v>1998.8800510000001</v>
      </c>
      <c r="G52" s="3">
        <f>2586.3+(1138.7-1194.8)+(-2.638026+(-1.161474--1.218696))+0-664.2--0.677484000000106</f>
        <v>1864.0966800000001</v>
      </c>
      <c r="H52" s="3">
        <f>2577.3+(1052.9-1182.5)+(-6.572115+(-2.684895--3.015375))+0-643.7--1.64143499999991</f>
        <v>1799.3998000000004</v>
      </c>
      <c r="I52" s="3">
        <f>2417.1+(1086.2-1078.9)+(-2.465442+(-1.107924--1.100478))+0-640.3--0.653106000000102</f>
        <v>1782.2802180000001</v>
      </c>
      <c r="J52" s="3">
        <f>2418.7+(1079.5-1009.2)+(0+(0-0))+0-709.4-0</f>
        <v>1779.6</v>
      </c>
      <c r="K52" s="3">
        <f>2412.4+(1065.2-983.7)+(-4.921296+(-2.173008--2.006748))+0-691.7--1.41106799999997</f>
        <v>1798.523512</v>
      </c>
      <c r="L52" s="3">
        <f>2248.3+(917.7-701.2)+(-3.439899+(-1.404081--1.072836))+0-694.2--1.06212600000004</f>
        <v>1767.8909820000003</v>
      </c>
      <c r="M52" s="3">
        <f>2223.7+(960.3-590.4)+(0+(0-0))+0-655.1-0</f>
        <v>1938.5</v>
      </c>
      <c r="N52" s="3">
        <f>2510.5+(1132.4-822)+(2.56071+(1.155048-0.83844))+0-656.4-0.669528000000105</f>
        <v>2166.7077899999999</v>
      </c>
      <c r="O52" s="3">
        <f>2618.2+(1287-909)+(-1.335282+(-0.65637--0.46359))+0-693.3--0.35358299999993</f>
        <v>2301.7255210000003</v>
      </c>
      <c r="P52" s="3">
        <f>2468.5+(1243-876.9)+(2.51787+(1.26786-0.894438))+0-566.9-0.57823800000009</f>
        <v>2270.0130539999996</v>
      </c>
      <c r="Q52" s="3">
        <f>2460.2+(1346.3-744.3)+(2.509404+(1.373226-0.759186))+0-654.1-0.667182000000104</f>
        <v>2410.5562619999996</v>
      </c>
      <c r="R52" s="3">
        <f>2637.1+(1333.6-884)+(-4.034763+(-2.040408--1.35252))+0-680.7--1.04147100000004</f>
        <v>2402.31882</v>
      </c>
      <c r="S52" s="3">
        <f>2685.6+(1197.3-1054.3)+(-1.369656+(-0.610623--0.537693))+0-615.5--0.313904999999938</f>
        <v>2211.9713189999998</v>
      </c>
      <c r="T52" s="3">
        <f>2766.9+(1333.9-1135.5)+(-4.233357+(-2.040867--1.737315))+0-657--1.00521000000004</f>
        <v>2304.7683010000005</v>
      </c>
      <c r="U52" s="3">
        <f>2769.2+(1269.7-1121.5)+(-5.649168+(-2.590188--2.28786))+0-574.6--1.17218399999998</f>
        <v>2338.0206879999996</v>
      </c>
      <c r="V52" s="3">
        <f>2757.6+(1221.3-1050.3)+(-5.625504+(-2.491452--2.142612))+0-573.5--1.16993999999997</f>
        <v>2350.2955959999995</v>
      </c>
      <c r="W52" s="3">
        <f>2763.3+(1196.4-965.4)+(-8.455698+(-3.660984--2.954124))+0-686.5--2.10069000000008</f>
        <v>2300.7381320000004</v>
      </c>
      <c r="X52" s="3">
        <f>2551.1+(1048.9-742.9)+(-5.204244+(-2.139756--1.515516))+0-591.2--1.20604799999997</f>
        <v>2261.277564</v>
      </c>
      <c r="Y52" s="3">
        <f>2388.6+(1061.1-515.4)+(-2.436372+(-1.082322--0.525708))+0-715--0.729300000000114</f>
        <v>2217.0363139999995</v>
      </c>
      <c r="Z52" s="3">
        <f>2518.6+(1111-531.5)+(-1.284486+(-0.56661--0.271065))+0-599.5--0.305744999999939</f>
        <v>2497.3257140000001</v>
      </c>
      <c r="AA52" s="3">
        <f>2815.8+(1164.8-875.9)+(-4.308174+(-1.782144--1.340127))+0-700.4--1.07161200000004</f>
        <v>2400.6214210000003</v>
      </c>
      <c r="AB52" s="3">
        <f>2841.5+(1259.2-1025.4)+(-4.347495+(-1.926576--1.568862))+0-755--1.15515000000004</f>
        <v>2316.749941</v>
      </c>
      <c r="AC52" s="3">
        <f>2829.9+(1074.4-1106)+(-5.772996+(-2.191776--2.25624))+0-597.6--1.21910399999997</f>
        <v>2196.210572</v>
      </c>
      <c r="AD52">
        <f t="shared" si="0"/>
        <v>51675.508252</v>
      </c>
      <c r="AE52" s="3">
        <f>2692+(1197.4-690.8)+(0+(0-0))+0-759.9-0</f>
        <v>2438.7000000000003</v>
      </c>
    </row>
    <row r="53" spans="1:31" s="2" customFormat="1" x14ac:dyDescent="0.25">
      <c r="A53">
        <v>89</v>
      </c>
      <c r="B53">
        <v>2</v>
      </c>
      <c r="C53">
        <v>22</v>
      </c>
      <c r="D53">
        <v>5</v>
      </c>
      <c r="E53">
        <v>1</v>
      </c>
      <c r="F53" s="3">
        <f>2862.5+(1046.4-1244.2)+(-1.459875+(-0.533664--0.634542))+0-644.1--0.328490999999935</f>
        <v>2019.5694940000001</v>
      </c>
      <c r="G53" s="3">
        <f>2870.2+(1062.1-1217.3)+(-5.855208+(-2.166684--2.483292))+0-801.5--1.63505999999997</f>
        <v>1909.5964600000002</v>
      </c>
      <c r="H53" s="3">
        <f>2779+(894-1204.8)+(-7.08645+(-2.2797--3.07224))+0-623.3--1.58941499999991</f>
        <v>1840.1955049999999</v>
      </c>
      <c r="I53" s="3">
        <f>2715.2+(927.7-1140.7)+(-4.154256+(-1.419381--1.745271))+0-692.4--1.05937200000004</f>
        <v>1807.0310059999995</v>
      </c>
      <c r="J53" s="3">
        <f>2600.5+(927.7-1001.8)+(-2.65251+(-0.946254--1.021836))+0-713.6--0.727872000000114</f>
        <v>1810.9509440000004</v>
      </c>
      <c r="K53" s="3">
        <f>2331.9+(884.7-724.7)+(-1.189269+(-0.451197--0.369597))+0-669.9--0.341648999999932</f>
        <v>1821.07078</v>
      </c>
      <c r="L53" s="3">
        <f>2333.9+(889.1-684.6)+(-4.761156+(-1.813764--1.396584))+0-722--1.47287999999997</f>
        <v>1812.6945440000002</v>
      </c>
      <c r="M53" s="3">
        <f>2499.3+(846.3-641.9)+(-3.823929+(-1.294839--0.982107))+0-721.7--1.10420100000004</f>
        <v>1978.9675400000003</v>
      </c>
      <c r="N53" s="3">
        <f>2755.8+(796.3-670.6)+(0+(0-0))+0-638.2-0</f>
        <v>2243.3000000000002</v>
      </c>
      <c r="O53" s="3">
        <f>2854.2+(897.5-753.8)+(-2.911284+(-0.91545--0.768876))+0-576.9--0.588438000000092</f>
        <v>2418.5305799999996</v>
      </c>
      <c r="P53" s="3">
        <f>2826+(885.8-714.6)+(-2.88252+(-0.903516--0.728892))+0-525.1--0.535602000000084</f>
        <v>2469.578458</v>
      </c>
      <c r="Q53" s="3">
        <f>2802.5+(801.1-675.4)+(0+(0-0))+0-583.1-0</f>
        <v>2345.1</v>
      </c>
      <c r="R53" s="3">
        <f>2776.5+(1085.2-879.7)+(-2.83203+(-1.106904--0.897294))+0-660.6--0.673812000000105</f>
        <v>2319.0321720000002</v>
      </c>
      <c r="S53" s="3">
        <f>2761.9+(1077.1-1083.6)+(-2.817138+(-1.098642--1.105272))+0-583.3--0.594966000000093</f>
        <v>2169.884458</v>
      </c>
      <c r="T53" s="3">
        <f>2761.9+(1223.4-1003.1)+(-1.408569+(-0.623934--0.511581))+0-707.9--0.361028999999928</f>
        <v>2273.1401070000002</v>
      </c>
      <c r="U53" s="3">
        <f>2772.2+(1280-979.2)+(-4.241466+(-1.9584--1.498176))+0-703.1--1.07574300000004</f>
        <v>2366.2740530000001</v>
      </c>
      <c r="V53" s="3">
        <f>2755.8+(1293.8-973.8)+(-1.405458+(-0.659838--0.496638))+0-700.6--0.357305999999929</f>
        <v>2373.988648</v>
      </c>
      <c r="W53" s="3">
        <f>2844.1+(1160.3-1022.7)+(-8.702946+(-3.550518--3.129462))+0-665--2.03490000000008</f>
        <v>2309.6108979999999</v>
      </c>
      <c r="X53" s="3">
        <f>2883+(1114.7-931.4)+(-5.88132+(-2.273988--1.900056))+0-784.4--1.60017599999997</f>
        <v>2277.2449240000001</v>
      </c>
      <c r="Y53" s="3">
        <f>2797.5+(991.8-910.4)+(-4.280175+(-1.517454--1.392912))+0-652.9--0.998937000000038</f>
        <v>2222.59422</v>
      </c>
      <c r="Z53" s="3">
        <f>2898.1+(1208.7-887.2)+(-5.912124+(-2.465748--1.809888))+0-673.7--1.37434799999997</f>
        <v>2540.7063640000001</v>
      </c>
      <c r="AA53" s="3">
        <f>2948.3+(1282.9-940.2)+(-6.014532+(-2.617116--1.918008))+0-804.4--1.64097599999996</f>
        <v>2481.5273360000001</v>
      </c>
      <c r="AB53" s="3">
        <f>2954.4+(1102.5-1065.7)+(-3.013488+(-1.12455--1.087014))+0-625.4--0.6379080000001</f>
        <v>2363.386884</v>
      </c>
      <c r="AC53" s="3">
        <f>2971.7+(1084.6-1131.5)+(-7.577835+(-2.76573--2.885325))+0-726--1.85129999999989</f>
        <v>2193.1930599999996</v>
      </c>
      <c r="AD53">
        <f t="shared" si="0"/>
        <v>52367.168434999985</v>
      </c>
      <c r="AE53" s="3">
        <f>2935+(1319.9-915.9)+(0+(0-0))+0-811.8-0</f>
        <v>2527.1999999999998</v>
      </c>
    </row>
    <row r="54" spans="1:31" s="2" customFormat="1" x14ac:dyDescent="0.25">
      <c r="A54">
        <v>89</v>
      </c>
      <c r="B54">
        <v>2</v>
      </c>
      <c r="C54">
        <v>23</v>
      </c>
      <c r="D54">
        <v>6</v>
      </c>
      <c r="E54">
        <v>1</v>
      </c>
      <c r="F54" s="3">
        <f>2960+(991.8-1221.8)+(-12.0768+(-4.046544--4.984944))+0-691.7--2.82213599999994</f>
        <v>2029.9837360000001</v>
      </c>
      <c r="G54" s="3">
        <f>2984.4+(909.5-1352.2)+(-7.61022+(-2.319225--3.44811))+0-622.9--1.58839499999991</f>
        <v>1913.9070599999998</v>
      </c>
      <c r="H54" s="3">
        <f>2954.5+(860.6-1206.9)+(-1.506795+(-0.438906--0.615519))+0-738--0.376379999999925</f>
        <v>1869.2461979999996</v>
      </c>
      <c r="I54" s="3">
        <f>2918.4+(831.3-1264)+(-7.44192+(-2.119815--3.2232))+0-642.3--1.63786499999991</f>
        <v>1838.6993299999999</v>
      </c>
      <c r="J54" s="3">
        <f>2815+(823.6-1155.4)+(0+(0-0))+0-652.8-0</f>
        <v>1830.3999999999999</v>
      </c>
      <c r="K54" s="3">
        <f>2787.5+(783.7-1027.7)+(-7.108125+(-1.998435--2.620635))+0-709.7--1.8097349999999</f>
        <v>1829.1238099999998</v>
      </c>
      <c r="L54" s="3">
        <f>2491.3+(815.1-856.5)+(-2.541126+(-0.831402--0.87363))+0-632--0.644640000000101</f>
        <v>1816.0457420000005</v>
      </c>
      <c r="M54" s="3">
        <f>2523.3+(764.7-729)+(0+(0-0))+0-612.4-0</f>
        <v>1946.6</v>
      </c>
      <c r="N54" s="3">
        <f>2788.5+(981-842.5)+(-1.422135+(-0.50031--0.429675))+0-740.5--0.377654999999925</f>
        <v>2185.3848849999999</v>
      </c>
      <c r="O54" s="3">
        <f>2795.8+(1115.8-951.2)+(0+(0-0))+0-677.4-0</f>
        <v>2283</v>
      </c>
      <c r="P54" s="3">
        <f>2743.8+(1213.4-892.9)+(-2.798676+(-1.237668--0.910758))+0-654.7--0.667794000000104</f>
        <v>2407.1422080000002</v>
      </c>
      <c r="Q54" s="3">
        <f>2730.5+(1356.3-849.5)+(0+(0-0))+0-766.1-0</f>
        <v>2471.2000000000003</v>
      </c>
      <c r="R54" s="3">
        <f>2725+(1421.7-977.1)+(-5.559+(-2.900268--1.993284))+0-728.5--1.48613999999997</f>
        <v>2436.120156</v>
      </c>
      <c r="S54" s="3">
        <f>2777+(1291.4-1154)+(-1.41627+(-0.658614--0.58854))+0-690.2--0.35200199999993</f>
        <v>2223.065658</v>
      </c>
      <c r="T54" s="3">
        <f>2651.8+(1239-1118)+(-4.057254+(-1.89567--1.71054))+0-592.2--0.906066000000034</f>
        <v>2177.2636820000002</v>
      </c>
      <c r="U54" s="3">
        <f>2682.3+(1363.8-1055.2)+(-2.735946+(-1.391076--1.076304))+0-724.6--0.739092000000116</f>
        <v>2263.9883740000005</v>
      </c>
      <c r="V54" s="3">
        <f>2751+(1220-973.4)+(-7.01505+(-3.111--2.48217))+0-719.7--1.8352349999999</f>
        <v>2272.091355</v>
      </c>
      <c r="W54" s="3">
        <f>2753.7+(1038.3-924.3)+(-4.213161+(-1.588599--1.414179))+0-624.3--0.955179000000036</f>
        <v>2239.9675979999997</v>
      </c>
      <c r="X54" s="3">
        <f>2695.1+(1046-925.6)+(-5.498004+(-2.13384--1.888224))+0-747.5--1.52489999999997</f>
        <v>2063.7812799999997</v>
      </c>
      <c r="Y54" s="3">
        <f>2680.4+(904.9-935.5)+(-5.468016+(-1.845996--1.90842))+0-641.4--1.30845599999997</f>
        <v>2004.302864</v>
      </c>
      <c r="Z54" s="3">
        <f>2850.6+(979.6-845.5)+(-5.815224+(-1.998384--1.72482))+0-680.5--1.38821999999997</f>
        <v>2299.4994319999996</v>
      </c>
      <c r="AA54" s="3">
        <f>2905.8+(1060.2-938.3)+(-5.927832+(-2.162808--1.914132))+0-746.8--1.52347199999997</f>
        <v>2276.2469639999999</v>
      </c>
      <c r="AB54" s="3">
        <f>2912.6+(855.6-1007.8)+(-7.42713+(-2.18178--2.56989))+0-586.2--1.49480999999992</f>
        <v>2168.6557899999998</v>
      </c>
      <c r="AC54" s="3">
        <f>2765.3+(1033.2-1055)+(-4.230909+(-1.580796--1.61415))+0-762.1--1.16601300000004</f>
        <v>1978.3684579999999</v>
      </c>
      <c r="AD54">
        <f t="shared" si="0"/>
        <v>50824.084579999988</v>
      </c>
      <c r="AE54" s="3">
        <f>2892+(1090-790.3)+(0+(0-0))+0-774.7-0</f>
        <v>2417</v>
      </c>
    </row>
    <row r="55" spans="1:31" s="2" customFormat="1" x14ac:dyDescent="0.25">
      <c r="A55">
        <v>89</v>
      </c>
      <c r="B55">
        <v>2</v>
      </c>
      <c r="C55">
        <v>24</v>
      </c>
      <c r="D55">
        <v>7</v>
      </c>
      <c r="E55">
        <v>1</v>
      </c>
      <c r="F55" s="3">
        <f>2581.1+(1130.6-1064.8)+(-1.316361+(-0.576606--0.543048))+0-638.6--0.325685999999935</f>
        <v>2007.2757669999994</v>
      </c>
      <c r="G55" s="3">
        <f>2578+(1116.5-1067.2)+(-3.94434+(-1.708245--1.632816))+0-746.2--1.14168600000004</f>
        <v>1878.2219170000001</v>
      </c>
      <c r="H55" s="3">
        <f>2443.1+(924-984.9)+(0+(0-0))+0-578.5-0</f>
        <v>1803.6999999999998</v>
      </c>
      <c r="I55" s="3">
        <f>2405.5+(965.2-937.1)+(-2.45361+(-0.984504--0.955842))+0-675.2--0.688704000000108</f>
        <v>1756.6064319999998</v>
      </c>
      <c r="J55" s="3">
        <f>2417.9+(1006.3-912.5)+(-1.233129+(-0.513213--0.465375))+0-774.7--0.395096999999921</f>
        <v>1736.1141299999995</v>
      </c>
      <c r="K55" s="3">
        <f>2450.9+(937.5-928.6)+(-14.999508+(-5.7375--5.683032))+0-729.9--4.4669879999999</f>
        <v>1719.3130119999998</v>
      </c>
      <c r="L55" s="3">
        <f>2219.2+(754.5-703.1)+(-9.054336+(-3.07836--2.868648))+0-638.3--2.60426399999994</f>
        <v>1625.6402159999998</v>
      </c>
      <c r="M55" s="3">
        <f>2231.6+(749.8-621.8)+(-1.138116+(-0.382398--0.317118))+0-707.1--0.360620999999928</f>
        <v>1651.6572250000002</v>
      </c>
      <c r="N55" s="3">
        <f>2251.2+(752.3-597.1)+(-2.296224+(-0.767346--0.609042))+0-668.3--0.681666000000106</f>
        <v>1736.3271379999996</v>
      </c>
      <c r="O55" s="3">
        <f>2385.9+(886.7-705.9)+(-3.650427+(-1.356651--1.080027))+0-707--1.08171000000004</f>
        <v>1856.8546590000001</v>
      </c>
      <c r="P55" s="3">
        <f>2384+(926.9-665.5)+(-1.21584+(-0.472719--0.339405))+0-718.8--0.366587999999927</f>
        <v>1925.617434</v>
      </c>
      <c r="Q55" s="3">
        <f>2559.4+(890.1-853.8)+(-5.221176+(-1.815804--1.741752))+0-663.9--1.35435599999997</f>
        <v>1927.8591280000003</v>
      </c>
      <c r="R55" s="3">
        <f>2643.9+(1020.1-1034)+(-2.696778+(-1.040502--1.05468))+0-686--0.699720000000109</f>
        <v>1942.01712</v>
      </c>
      <c r="S55" s="3">
        <f>2644.9+(836.2-1152.4)+(-5.395596+(-1.705848--2.350896))+0-400.9--0.817835999999982</f>
        <v>1923.8672879999997</v>
      </c>
      <c r="T55" s="3">
        <f>2635.6+(846.1-1253.8)+(0+(0-0))+0-342.4-0</f>
        <v>1885.5</v>
      </c>
      <c r="U55" s="3">
        <f>2640.8+(1009.6-1287.3)+(-2.693616+(-1.029792--1.313046))+0-493.9--0.503778000000079</f>
        <v>1867.2934160000002</v>
      </c>
      <c r="V55" s="3">
        <f>2651.4+(1015.7-1158.8)+(-6.76107+(-2.590035--2.95494))+0-627.7--1.60063499999991</f>
        <v>1875.80447</v>
      </c>
      <c r="W55" s="3">
        <f>2675.2+(1014.1-1039.9)+(-8.186112+(-3.103146--3.182094))+0-738.4--2.25950400000009</f>
        <v>1905.1523399999996</v>
      </c>
      <c r="X55" s="3">
        <f>2655.8+(915.9-1023.4)+(-2.708916+(-0.934218--1.043868))+0-598.5--0.610470000000095</f>
        <v>1947.8112040000001</v>
      </c>
      <c r="Y55" s="3">
        <f>2577.6+(981-913.6)+(-5.258304+(-2.00124--1.863744))+0-694.2--1.41616799999997</f>
        <v>1946.8203680000001</v>
      </c>
      <c r="Z55" s="3">
        <f>2625.3+(1127.3-818.3)+(-2.677806+(-1.149846--0.834666))+0-758--0.773160000000121</f>
        <v>2174.0801740000002</v>
      </c>
      <c r="AA55" s="3">
        <f>2713.3+(1039.6-850.1)+(-4.151349+(-1.590588--1.300653))+0-729.6--1.11628800000004</f>
        <v>2169.8750040000004</v>
      </c>
      <c r="AB55" s="3">
        <f>2670.2+(899.4-839.6)+(-6.80901+(-2.29347--2.14098))+0-640--1.63199999999991</f>
        <v>2084.6705000000002</v>
      </c>
      <c r="AC55" s="3">
        <f>2670.5+(838.3-925.6)+(-1.361955+(-0.427533--0.472056))+0-590.4--0.30110399999994</f>
        <v>1991.7836719999998</v>
      </c>
      <c r="AD55">
        <f t="shared" si="0"/>
        <v>45339.862613999998</v>
      </c>
      <c r="AE55" s="3">
        <f>2717+(1141.6-874.2)+(0+(0-0))+0-729.5-0</f>
        <v>2254.8999999999996</v>
      </c>
    </row>
    <row r="56" spans="1:31" s="2" customFormat="1" x14ac:dyDescent="0.25">
      <c r="A56">
        <v>89</v>
      </c>
      <c r="B56">
        <v>2</v>
      </c>
      <c r="C56">
        <v>25</v>
      </c>
      <c r="D56">
        <v>1</v>
      </c>
      <c r="E56">
        <v>1</v>
      </c>
      <c r="F56" s="3">
        <f>2668.3+(980.8-1122.9)+(-1.360833+(-0.500208--0.572679))+0-683.1--0.348380999999931</f>
        <v>1842.1600190000001</v>
      </c>
      <c r="G56" s="3">
        <f>2666.8+(970.6-1155.7)+(-1.360068+(-0.495006--0.589407))+0-718.4--0.366383999999927</f>
        <v>1762.400717</v>
      </c>
      <c r="H56" s="3">
        <f>2613.8+(886-1180.1)+(1.333038+(0.45186-0.601851))+0-620.8-0.316607999999937</f>
        <v>1699.7664390000004</v>
      </c>
      <c r="I56" s="3">
        <f>2590.8+(905.3-1102)+(-5.285232+(-1.846812--2.24808))+0-726.6--1.48226399999997</f>
        <v>1664.0983000000003</v>
      </c>
      <c r="J56" s="3">
        <f>2587.8+(908-1066.8)+(3.959334+(1.38924-1.632204))+0-750-1.14750000000004</f>
        <v>1681.5688700000001</v>
      </c>
      <c r="K56" s="3">
        <f>2467.1+(861.3-941.4)+(-2.516442+(-0.878526--0.960228))+0-682.6--0.696252000000109</f>
        <v>1702.6615120000001</v>
      </c>
      <c r="L56" s="3">
        <f>2253.6+(823.7-681)+(1.149336+(0.420087-0.34731))+0-668.3-0.340832999999932</f>
        <v>1728.8812800000001</v>
      </c>
      <c r="M56" s="3">
        <f>2216.3+(945.8-557.2)+(-2.260626+(-0.964716--0.568344))+0-695.2--0.709104000000111</f>
        <v>1907.7521060000001</v>
      </c>
      <c r="N56" s="3">
        <f>2584.2+(922-679.9)+(-1.317942+(-0.47022--0.346749))+0-644.3--0.328592999999935</f>
        <v>2180.8871799999993</v>
      </c>
      <c r="O56" s="3">
        <f>2768.1+(947-761)+(-2.823462+(-0.96594--0.77622))+0-605.7--0.617814000000097</f>
        <v>2346.0046320000001</v>
      </c>
      <c r="P56" s="3">
        <f>2897.4+(1018.6-908.5)+(-2.955348+(-1.038972--0.92667))+0-617.5--0.629850000000099</f>
        <v>2387.5622000000003</v>
      </c>
      <c r="Q56" s="3">
        <f>3045.1+(972-893.3)+(0+(0-0))+0-689.7-0</f>
        <v>2434.1000000000004</v>
      </c>
      <c r="R56" s="3">
        <f>3114.4+(944.7-990.4)+(-4.765032+(-1.445391--1.515312))+0-587.1--0.898263000000034</f>
        <v>2477.8031520000004</v>
      </c>
      <c r="S56" s="3">
        <f>3209.2+(1001.5-1219.2)+(-4.910076+(-1.532295--1.865376))+0-571.2--0.873936000000033</f>
        <v>2416.5969409999998</v>
      </c>
      <c r="T56" s="3">
        <f>3198.9+(887.7-1189)+(-6.525756+(-1.810908--2.42556))+0-582.1--1.18748399999997</f>
        <v>2310.7763800000007</v>
      </c>
      <c r="U56" s="3">
        <f>3188.8+(926.8-1221.9)+(0+(0-0))+0-569.5-0</f>
        <v>2324.1999999999998</v>
      </c>
      <c r="V56" s="3">
        <f>3201.9+(1028.5-1142.8)+(-1.632969+(-0.524535--0.582828))+0-689.1--0.35144099999993</f>
        <v>2397.2767650000001</v>
      </c>
      <c r="W56" s="3">
        <f>3248.4+(871.4-1126.8)+(-9.940104+(-2.666484--3.448008))+0-735.3--2.25001800000008</f>
        <v>2250.7914380000007</v>
      </c>
      <c r="X56" s="3">
        <f>3234.9+(681.5-1003.1)+(-3.299598+(-0.69513--1.023162))+0-627.5--0.6400500000001</f>
        <v>2283.468484</v>
      </c>
      <c r="Y56" s="3">
        <f>3196.3+(733.4-950.2)+(-6.520452+(-1.496136--1.938408))+0-707.9--1.44411599999997</f>
        <v>2266.9659360000001</v>
      </c>
      <c r="Z56" s="3">
        <f>3203.2+(896.4-909.1)+(-4.900896+(-1.371492--1.390923))+0-730.2--1.11720600000004</f>
        <v>2456.5357409999997</v>
      </c>
      <c r="AA56" s="3">
        <f>3280.8+(932.5-1045)+(-5.019624+(-1.426725--1.59885))+0-763--1.16739000000004</f>
        <v>2401.6198910000003</v>
      </c>
      <c r="AB56" s="3">
        <f>3178.8+(890.1-1099.9)+(-4.863564+(-1.361853--1.682847))+0-664.2--1.01622600000004</f>
        <v>2301.2736559999998</v>
      </c>
      <c r="AC56" s="3">
        <f>3150.3+(881.7-1133.9)+(-3.213306+(-0.899334--1.156578))+0-717.4--0.731748000000114</f>
        <v>2178.4756860000002</v>
      </c>
      <c r="AD56">
        <f t="shared" si="0"/>
        <v>51403.627324999994</v>
      </c>
      <c r="AE56" s="3">
        <f>3282+(933.6-938.1)+(0+(0-0))+0-778.9-0</f>
        <v>2498.6</v>
      </c>
    </row>
    <row r="57" spans="1:31" s="2" customFormat="1" x14ac:dyDescent="0.25">
      <c r="A57">
        <v>89</v>
      </c>
      <c r="B57">
        <v>2</v>
      </c>
      <c r="C57">
        <v>26</v>
      </c>
      <c r="D57">
        <v>2</v>
      </c>
      <c r="E57">
        <v>1</v>
      </c>
      <c r="F57" s="3">
        <f>3143.2+(743.8-1182.5)+(-4.809096+(-1.138014--1.809225))+0-728.5--1.11460500000004</f>
        <v>1972.9767199999999</v>
      </c>
      <c r="G57" s="3">
        <f>3138.7+(630.5-1190.5)+(-4.802211+(-0.964665--1.821465))+0-703.1--1.07574300000004</f>
        <v>1872.7303319999999</v>
      </c>
      <c r="H57" s="3">
        <f>3075.2+(551.1-1151.4)+(-7.84176+(-1.405305--2.93607))+0-655.8--1.6722899999999</f>
        <v>1814.4612949999998</v>
      </c>
      <c r="I57" s="3">
        <f>3023.2+(552.2-1056.5)+(-4.625496+(-0.844866--1.616445))+0-719.9--1.10144700000004</f>
        <v>1796.2475299999996</v>
      </c>
      <c r="J57" s="3">
        <f>3036.8+(561-1110.5)+(-6.195072+(-1.14444--2.26542))+0-669.5--1.36577999999997</f>
        <v>1814.0916880000002</v>
      </c>
      <c r="K57" s="3">
        <f>3013.6+(529.1-1012.4)+(-4.610808+(-0.809523--1.548972))+0-724.1--1.10787300000004</f>
        <v>1803.436514</v>
      </c>
      <c r="L57" s="3">
        <f>2761.3+(405.9-754.3)+(-4.224789+(-0.621027--1.154079))+0-646.6--0.989298000000037</f>
        <v>1763.597561</v>
      </c>
      <c r="M57" s="3">
        <f>2865.9+(430.4-749.2)+(-1.461609+(-0.219504--0.382092))+0-627.8--0.320177999999936</f>
        <v>1918.3211570000001</v>
      </c>
      <c r="N57" s="3">
        <f>3110.2+(531.8-895.8)+(-4.758606+(-0.813654--1.370574))+0-543.4--0.831402000000031</f>
        <v>2199.4297160000001</v>
      </c>
      <c r="O57" s="3">
        <f>3118.3+(698.7-847.8)+(-4.770999+(-1.069011--1.297134))+0-650.9--0.995877000000038</f>
        <v>2314.753001</v>
      </c>
      <c r="P57" s="3">
        <f>3170.6+(641.9-833.7)+(-3.234012+(-0.654738--0.850374))+0-585.9--0.597618000000093</f>
        <v>2390.4592419999999</v>
      </c>
      <c r="Q57" s="3">
        <f>3234.6+(678.4-853.1)+(0+(0-0))+0-604-0</f>
        <v>2455.8999999999996</v>
      </c>
      <c r="R57" s="3">
        <f>3211.8+(703.7-897.7)+(-4.914054+(-1.076661--1.373481))+0-583.4--0.892602000000034</f>
        <v>2430.6753680000002</v>
      </c>
      <c r="S57" s="3">
        <f>3200.6+(707.9-1155)+(0+(0-0))+0-588.7-0</f>
        <v>2164.8000000000002</v>
      </c>
      <c r="T57" s="3">
        <f>3171.9+(860.7-1176.9)+(0+(0-0))+0-590.8-0</f>
        <v>2264.8999999999996</v>
      </c>
      <c r="U57" s="3">
        <f>3119.3+(990.3-1111.3)+(-4.772529+(-1.515159--1.700289))+0-628.2--0.961146000000036</f>
        <v>2366.4737470000005</v>
      </c>
      <c r="V57" s="3">
        <f>3045+(853.4-1014.7)+(-7.76475+(-2.17617--2.587485))+0-548.9--1.39969499999992</f>
        <v>2328.8462599999998</v>
      </c>
      <c r="W57" s="3">
        <f>3045.4+(831.4-953.7)+(-7.76577+(-2.12007--2.431935))+0-628.2--1.60190999999991</f>
        <v>2289.0480050000001</v>
      </c>
      <c r="X57" s="3">
        <f>2940.6+(739.4-810.7)+(-7.49853+(-1.88547--2.067285))+0-592--1.50959999999991</f>
        <v>2271.4928849999997</v>
      </c>
      <c r="Y57" s="3">
        <f>2675.7+(747-521.1)+(-4.093821+(-1.14291--0.797283))+0-615.2--0.941256000000036</f>
        <v>2282.9018079999996</v>
      </c>
      <c r="Z57" s="3">
        <f>2946+(668.3-727)+(-6.00984+(-1.363332--1.48308))+0-412.5--0.841499999999982</f>
        <v>2469.7514080000001</v>
      </c>
      <c r="AA57" s="3">
        <f>2968.5+(879.7-901.3)+(-6.05574+(-1.794588--1.838652))+0-565--1.15259999999998</f>
        <v>2377.0409239999999</v>
      </c>
      <c r="AB57" s="3">
        <f>2964.7+(783.3-880.7)+(0+(0-0))+0-600.5-0</f>
        <v>2266.7999999999997</v>
      </c>
      <c r="AC57" s="3">
        <f>2966+(834.9-900.4)+(0+(0-0))+0-728-0</f>
        <v>2172.5</v>
      </c>
      <c r="AD57">
        <f t="shared" si="0"/>
        <v>51801.635161000013</v>
      </c>
      <c r="AE57" s="3">
        <f>2975+(827.2-908.4)+(0+(0-0))+0-499.5-0</f>
        <v>2394.3000000000002</v>
      </c>
    </row>
    <row r="58" spans="1:31" s="2" customFormat="1" x14ac:dyDescent="0.25">
      <c r="A58">
        <v>89</v>
      </c>
      <c r="B58">
        <v>2</v>
      </c>
      <c r="C58">
        <v>27</v>
      </c>
      <c r="D58">
        <v>3</v>
      </c>
      <c r="E58">
        <v>5</v>
      </c>
      <c r="F58" s="3">
        <f>2818.8+(836-975.1)+(-1.437588+(-0.42636--0.497301))+0-675--0.344249999999932</f>
        <v>2003.6776030000003</v>
      </c>
      <c r="G58" s="3">
        <f>2810.2+(730.6-1013.4)+(-1.433202+(-0.372606--0.516834))+0-638.8--0.325787999999935</f>
        <v>1887.6368139999995</v>
      </c>
      <c r="H58" s="3">
        <f>2693.3+(811.6-1035.9)+(-1.373583+(-0.413916--0.528309))+0-703--0.358529999999929</f>
        <v>1765.0993399999998</v>
      </c>
      <c r="I58" s="3">
        <f>2564.9+(767.5-911.1)+(-5.232396+(-1.5657--1.858644))+0-625.1--1.27520399999997</f>
        <v>1792.5357520000002</v>
      </c>
      <c r="J58" s="3">
        <f>2445.2+(768.4-777.8)+(0+(0-0))+0-643.8-0</f>
        <v>1791.9999999999998</v>
      </c>
      <c r="K58" s="3">
        <f>2291.3+(917.8-707.8)+(-5.842815+(-2.34039--1.80489))+0-727--1.85384999999989</f>
        <v>1769.7755350000002</v>
      </c>
      <c r="L58" s="3">
        <f>2292.9+(798.8-750.3)+(-1.169379+(-0.407388--0.382653))+0-678--0.345779999999931</f>
        <v>1662.5516660000001</v>
      </c>
      <c r="M58" s="3">
        <f>2293.7+(761.3-614.9)+(2.339574+(0.776526-0.627198))+0-730.5-0.745110000000117</f>
        <v>1711.3437919999999</v>
      </c>
      <c r="N58" s="3">
        <f>2481.6+(769.1-616.6)+(-3.796848+(-1.176723--0.943398))+0-682.8--1.04468400000004</f>
        <v>1948.3145109999998</v>
      </c>
      <c r="O58" s="3">
        <f>2699.9+(704.5-731.8)+(0+(0-0))+0-693.6-0</f>
        <v>1979.0000000000005</v>
      </c>
      <c r="P58" s="3">
        <f>2767.3+(809.8-786.5)+(-5.645292+(-1.651992--1.60446))+0-724.1--1.47716399999997</f>
        <v>2062.2843400000002</v>
      </c>
      <c r="Q58" s="3">
        <f>2753.1+(790.2-789.6)+(-5.616324+(-1.612008--1.610784))+0-664.8--1.35619199999997</f>
        <v>2084.6386439999997</v>
      </c>
      <c r="R58" s="3">
        <f>2804.5+(917.7-903)+(-5.72118+(-1.872108--1.84212))+0-744.6--1.51898399999997</f>
        <v>2070.3678159999999</v>
      </c>
      <c r="S58" s="3">
        <f>2791.8+(843.7-1049.7)+(0+(0-0))+0-606-0</f>
        <v>1979.8000000000002</v>
      </c>
      <c r="T58" s="3">
        <f>2794.2+(939.7-1016.7)+(-4.275126+(-1.437741--1.555551))+0-719.6--1.10098800000004</f>
        <v>1994.5436720000002</v>
      </c>
      <c r="U58" s="3">
        <f>2789.2+(898.4-969)+(-2.844984+(-0.916368--0.98838))+0-699.4--0.713388000000111</f>
        <v>2017.1404159999997</v>
      </c>
      <c r="V58" s="3">
        <f>2749.6+(788.3-935.8)+(-4.206888+(-1.206099--1.431774))+0-566.9--0.867357000000033</f>
        <v>2032.0861439999999</v>
      </c>
      <c r="W58" s="3">
        <f>2740.4+(915.7-938.1)+(-2.795208+(-0.934014--0.956862))+0-736.2--0.750924000000117</f>
        <v>1979.7785640000002</v>
      </c>
      <c r="X58" s="3">
        <f>2700.3+(809.8-876.1)+(-5.508612+(-1.651992--1.787244))+0-691--1.40963999999997</f>
        <v>1939.03628</v>
      </c>
      <c r="Y58" s="3">
        <f>2371.1+(787.4-526.1)+(0+(0-0))+0-665.7-0</f>
        <v>1966.6999999999996</v>
      </c>
      <c r="Z58" s="3">
        <f>2650.4+(959.3-708.5)+(-1.351704+(-0.489243--0.361335))+0-655.2--0.334151999999934</f>
        <v>2244.8545399999998</v>
      </c>
      <c r="AA58" s="3">
        <f>2765.7+(933-781.4)+(-5.642028+(-1.90332--1.594056))+0-664.9--1.35639599999997</f>
        <v>2247.8051039999996</v>
      </c>
      <c r="AB58" s="3">
        <f>2770.3+(912.9-863.1)+(-2.825706+(-0.931158--0.880362))+0-639--0.651780000000102</f>
        <v>2178.8752780000004</v>
      </c>
      <c r="AC58" s="3">
        <f>2777.9+(989.1-1008.2)+(-1.416729+(-0.504441--0.514182))+0-655.8--0.334457999999933</f>
        <v>2101.9274700000001</v>
      </c>
      <c r="AD58">
        <f t="shared" si="0"/>
        <v>47211.773280999994</v>
      </c>
      <c r="AE58" s="3">
        <f>2752+(999-769.3)+(0+(0-0))+0-737.6-0</f>
        <v>2244.1</v>
      </c>
    </row>
    <row r="59" spans="1:31" s="2" customFormat="1" x14ac:dyDescent="0.25">
      <c r="A59">
        <v>89</v>
      </c>
      <c r="B59">
        <v>2</v>
      </c>
      <c r="C59">
        <v>28</v>
      </c>
      <c r="D59">
        <v>4</v>
      </c>
      <c r="E59">
        <v>1</v>
      </c>
      <c r="F59" s="3">
        <f>2774.3+(1015.3-1063.6)+(0+(0-0))+0-780.3-0</f>
        <v>1945.7</v>
      </c>
      <c r="G59" s="3">
        <f>2781+(828.8-1075.6)+(-4.25493+(-1.268064--1.645668))+0-699.5--1.07023500000004</f>
        <v>1831.8929090000001</v>
      </c>
      <c r="H59" s="3">
        <f>2785.9+(809.8-1090.2)+(1.420809+(0.412998-0.556002))+0-741-0.377909999999925</f>
        <v>1765.3998950000002</v>
      </c>
      <c r="I59" s="3">
        <f>2792.8+(775.2-1089.7)+(-2.848656+(-0.790704--1.111494))+0-735.2--0.749904000000117</f>
        <v>1741.3220380000002</v>
      </c>
      <c r="J59" s="3">
        <f>2745.6+(689.9-981.7)+(1.400256+(0.351849-0.500667))+0-718.8-0.366587999999927</f>
        <v>1735.8848499999997</v>
      </c>
      <c r="K59" s="3">
        <f>2667+(691.3-864.9)+(-5.44068+(-1.410252--1.764396))+0-734.1--1.49756399999997</f>
        <v>1755.7110280000004</v>
      </c>
      <c r="L59" s="3">
        <f>2407.8+(650.1-667.9)+(-4.911912+(-1.326204--1.362516))+0-628.8--1.28275199999997</f>
        <v>1757.6071520000003</v>
      </c>
      <c r="M59" s="3">
        <f>2455.4+(803.3-602.2)+(-2.504508+(-0.819366--0.614244))+0-706.7--0.720834000000113</f>
        <v>1947.8112040000003</v>
      </c>
      <c r="N59" s="3">
        <f>2759.3+(873.5-777.4)+(-4.221729+(-1.336455--1.189422))+0-648--0.991440000000037</f>
        <v>2204.0226780000003</v>
      </c>
      <c r="O59" s="3">
        <f>2789+(1017-776.4)+(1.42239+(0.51867-0.395964))+0-678.2-0.345881999999931</f>
        <v>2352.5992139999994</v>
      </c>
      <c r="P59" s="3">
        <f>2805.4+(1034.9-805.8)+(-1.430754+(-0.527799--0.410958))+0-612.8--0.312527999999938</f>
        <v>2420.4649329999997</v>
      </c>
      <c r="Q59" s="3">
        <f>2868.5+(1086.6-772.2)+(0+(0-0))+0-710.1-0</f>
        <v>2472.7999999999997</v>
      </c>
      <c r="R59" s="3">
        <f>2863.1+(1115.8-761.7)+(-4.380543+(-1.707174--1.165401))+0-724.2--1.10802600000004</f>
        <v>2489.1857099999997</v>
      </c>
      <c r="S59" s="3">
        <f>2849.6+(986.1-919.5)+(-2.906592+(-1.005822--0.93789))+0-642--0.654840000000102</f>
        <v>2271.8803159999998</v>
      </c>
      <c r="T59" s="3">
        <f>2844.5+(1101.3-938.1)+(1.450695+(0.561663-0.478431))+0-680.1-0.346850999999931</f>
        <v>2328.7870760000001</v>
      </c>
      <c r="U59" s="3">
        <f>2838.4+(1047.8-970.6)+(-1.447584+(-0.534378--0.495006))+0-661.5--0.337364999999933</f>
        <v>2252.9504089999996</v>
      </c>
      <c r="V59" s="3">
        <f>2823.3+(1094.4-947.7)+(-4.319649+(-1.674432--1.449981))+0-665.9--1.01882700000004</f>
        <v>2300.5747269999997</v>
      </c>
      <c r="W59" s="3">
        <f>2777.2+(1069.2-855.2)+(-8.498232+(-3.271752--2.616912))+0-596.8--1.82620800000007</f>
        <v>2387.0731359999995</v>
      </c>
      <c r="X59" s="3">
        <f>2716.2+(1108.1-754.3)+(-6.92631+(-2.825655--1.923465))+0-760.9--1.94029499999989</f>
        <v>2303.2117949999997</v>
      </c>
      <c r="Y59" s="3">
        <f>2543.6+(984.8-560.1)+(-2.594472+(-1.004496--0.571302))+0-711.5--0.725730000000113</f>
        <v>2254.4980639999999</v>
      </c>
      <c r="Z59" s="3">
        <f>2735.4+(1131.5-662.9)+(-2.790108+(-1.15413--0.676158))+0-685.5--0.699210000000109</f>
        <v>2515.9311300000004</v>
      </c>
      <c r="AA59" s="3">
        <f>2906.2+(1146.2-814.1)+(-7.41081+(-2.92281--2.075955))+0-755.8--1.92728999999989</f>
        <v>2476.169625</v>
      </c>
      <c r="AB59" s="3">
        <f>2908.3+(1072.1-930.4)+(-4.449699+(-1.640313--1.423512))+0-686.3--1.05003900000004</f>
        <v>2360.0835390000007</v>
      </c>
      <c r="AC59" s="3">
        <f>2901.4+(1051.1-1018.6)+(-2.959428+(-1.072122--1.038972))+0-702.3--0.716346000000112</f>
        <v>2229.3237680000002</v>
      </c>
      <c r="AD59">
        <f t="shared" si="0"/>
        <v>52100.885195999996</v>
      </c>
      <c r="AE59" s="3">
        <f>2882+(1249.3-782.2)+(0+(0-0))+0-798.8-0</f>
        <v>2550.3000000000002</v>
      </c>
    </row>
    <row r="60" spans="1:31" s="2" customFormat="1" x14ac:dyDescent="0.25">
      <c r="A60">
        <v>89</v>
      </c>
      <c r="B60">
        <v>2</v>
      </c>
      <c r="C60">
        <v>29</v>
      </c>
      <c r="D60">
        <v>5</v>
      </c>
      <c r="E60">
        <v>1</v>
      </c>
      <c r="F60" s="3">
        <f>2876.2+(1004.1-1083.6)+(-4.400586+(-1.536273--1.657908))+0-749.8--1.14719400000004</f>
        <v>2043.7682430000002</v>
      </c>
      <c r="G60" s="3">
        <f>2860.4+(856.6-1153.8)+(1.458804+(0.436866-0.588438))+0-626.5-0.319514999999936</f>
        <v>1937.6877170000005</v>
      </c>
      <c r="H60" s="3">
        <f>2871.8+(910-1086.9)+(-4.393854+(-1.3923--1.662957))+0-826--1.26378000000005</f>
        <v>1866.0405830000002</v>
      </c>
      <c r="I60" s="3">
        <f>2859+(782.4-1063.7)+(-4.37427+(-1.197072--1.627461))+0-730.4--1.11751200000004</f>
        <v>1844.4736309999996</v>
      </c>
      <c r="J60" s="3">
        <f>2789.3+(829.4-1002.4)+(1.422543+(0.422994-0.511224))+0-780.7-0.398156999999921</f>
        <v>1836.5361560000001</v>
      </c>
      <c r="K60" s="3">
        <f>2778.4+(792.6-991.1)+(-7.08492+(-2.02113--2.527305))+0-705.4--1.7987699999999</f>
        <v>1869.7200250000001</v>
      </c>
      <c r="L60" s="3">
        <f>2497.1+(749.7-683.6)+(0+(0-0))+0-695.6-0</f>
        <v>1867.6</v>
      </c>
      <c r="M60" s="3">
        <f>2721.5+(778.1-800.4)+(-4.163895+(-1.190493--1.224612))+0-697.5--1.06717500000004</f>
        <v>1998.6373989999997</v>
      </c>
      <c r="N60" s="3">
        <f>2829.4+(885.6-824.6)+(-2.885988+(-0.903312--0.841092))+0-562.8--0.57405600000009</f>
        <v>2325.2258480000005</v>
      </c>
      <c r="O60" s="3">
        <f>2888.5+(998.2-833.4)+(-1.473135+(-0.509082--0.425034))+0-639.6--0.326195999999935</f>
        <v>2412.4690130000004</v>
      </c>
      <c r="P60" s="3">
        <f>2903.8+(970.3-849.6)+(-2.961876+(-0.989706--0.866592))+0-528.2--0.538764000000084</f>
        <v>2493.7537739999998</v>
      </c>
      <c r="Q60" s="3">
        <f>2881.6+(919.2-781.5)+(-2.939232+(-0.937584--0.79713))+0-446.8--0.455736000000071</f>
        <v>2569.8760499999999</v>
      </c>
      <c r="R60" s="3">
        <f>2856.2+(938.6-771.9)+(0+(0-0))+0-488.9-0</f>
        <v>2533.9999999999995</v>
      </c>
      <c r="S60" s="3">
        <f>2846.8+(804.5-840.4)+(-5.807472+(-1.64118--1.714416))+0-477.2--0.973487999999979</f>
        <v>2328.9392520000006</v>
      </c>
      <c r="T60" s="3">
        <f>2827.3+(968.6-811.9)+(0+(0-0))+0-493.3-0</f>
        <v>2490.6999999999998</v>
      </c>
      <c r="U60" s="3">
        <f>2749.5+(1200.1-788.6)+(-4.206735+(-1.836153--1.206558))+0-721.8--1.10435400000004</f>
        <v>2435.4680239999998</v>
      </c>
      <c r="V60" s="3">
        <f>2801.3+(1133.9-801.5)+(-5.714652+(-2.313156--1.63506))+0-687.8--1.40311199999997</f>
        <v>2440.9103640000003</v>
      </c>
      <c r="W60" s="3">
        <f>2832.1+(1093.8-838.3)+(-5.777484+(-2.231352--1.710132))+0-694.7--1.41718799999997</f>
        <v>2388.0184839999997</v>
      </c>
      <c r="X60" s="3">
        <f>2849.6+(1075.8-873.9)+(-7.26648+(-2.74329--2.228445))+0-655.6--1.67177999999991</f>
        <v>2389.7904550000003</v>
      </c>
      <c r="Y60" s="3">
        <f>2833.4+(1085-768.7)+(-2.890068+(-1.1067--0.784074))+0-794.6--0.810492000000127</f>
        <v>2352.6977980000001</v>
      </c>
      <c r="Z60" s="3">
        <f>2967.2+(1074.9-817.9)+(-1.513272+(-0.548199--0.417129))+0-645.3--0.329102999999935</f>
        <v>2577.5847610000001</v>
      </c>
      <c r="AA60" s="3">
        <f>3074+(980.7-876.1)+(-4.70322+(-1.500471--1.340433))+0-648.8--0.992664000000037</f>
        <v>2525.9294059999997</v>
      </c>
      <c r="AB60" s="3">
        <f>3063.3+(909.5-957.3)+(-7.811415+(-2.319225--2.441115))+0-602.8--1.53713999999991</f>
        <v>2406.547615</v>
      </c>
      <c r="AC60" s="3">
        <f>3060.7+(941.2-1069.6)+(-6.243828+(-1.920048--2.181984))+0-646.2--1.31824799999997</f>
        <v>2281.4363560000006</v>
      </c>
      <c r="AD60">
        <f t="shared" si="0"/>
        <v>54217.810954000015</v>
      </c>
      <c r="AE60" s="3">
        <f>3075+(1123.7-836.9)+(0+(0-0))+0-776.8-0</f>
        <v>2585</v>
      </c>
    </row>
    <row r="61" spans="1:31" s="2" customFormat="1" x14ac:dyDescent="0.25">
      <c r="A61">
        <v>89</v>
      </c>
      <c r="B61">
        <v>2</v>
      </c>
      <c r="C61">
        <v>30</v>
      </c>
      <c r="D61">
        <v>6</v>
      </c>
      <c r="E61">
        <v>1</v>
      </c>
      <c r="F61" s="3">
        <f>3048.5+(998-1182)+(-12.43788+(-4.07184--4.82256))+0-760.4--3.10243199999993</f>
        <v>2095.5152720000001</v>
      </c>
      <c r="G61" s="3">
        <f>2936.6+(926.9-1141.6)+(-4.492998+(-1.418157--1.746648))+0-739.5--1.13143500000004</f>
        <v>1979.3669280000001</v>
      </c>
      <c r="H61" s="3">
        <f>2959.7+(915.6-1244.8)+(-3.018894+(-0.933912--1.269696))+0-713.7--0.727974000000114</f>
        <v>1914.8448640000001</v>
      </c>
      <c r="I61" s="3">
        <f>3001.1+(914.1-1257.8)+(-6.122244+(-1.864764--2.565912))+0-757.6--1.54550399999997</f>
        <v>1895.9244080000001</v>
      </c>
      <c r="J61" s="3">
        <f>2922.3+(928.4-1243.4)+(2.980746+(0.946968-1.268268))+0-739.2-0.753984000000118</f>
        <v>1870.0054620000001</v>
      </c>
      <c r="K61" s="3">
        <f>2870.3+(978.9-1165.6)+(-7.319265+(-2.496195--2.97228))+0-778.8--1.98593999999989</f>
        <v>1899.9427600000004</v>
      </c>
      <c r="L61" s="3">
        <f>2667.3+(977.9-1004.6)+(-5.441292+(-1.994916--2.049384))+0-741.3--1.51225199999997</f>
        <v>1895.4254280000002</v>
      </c>
      <c r="M61" s="3">
        <f>2676+(941.9-815.3)+(2.72952+(0.960738-0.831606))+0-762.9-0.778158000000122</f>
        <v>2041.7804939999996</v>
      </c>
      <c r="N61" s="3">
        <f>2901.4+(1017.3-908.1)+(-2.959428+(-1.037646--0.926262))+0-737.5--0.752250000000118</f>
        <v>2270.781438</v>
      </c>
      <c r="O61" s="3">
        <f>2880.1+(1189.8-836.8)+(-1.468851+(-0.606798--0.426768))+0-796.9--0.406418999999919</f>
        <v>2434.9575379999997</v>
      </c>
      <c r="P61" s="3">
        <f>2937.7+(1124.3-752.6)+(0+(0-0))+0-768.5-0</f>
        <v>2540.8999999999996</v>
      </c>
      <c r="Q61" s="3">
        <f>2918.8+(1167.6-751.4)+(2.977176+(1.190952-0.766428))+0-764.2-0.779484000000122</f>
        <v>2573.4222159999995</v>
      </c>
      <c r="R61" s="3">
        <f>2929+(1307.6-856.4)+(-5.97516+(-2.667504--1.747056))+0-801.1--1.63424399999997</f>
        <v>2573.838636</v>
      </c>
      <c r="S61" s="3">
        <f>2916.2+(1227.8-1052.3)+(-4.461786+(-1.878534--1.610019))+0-727.8--1.11353400000004</f>
        <v>2360.2832330000001</v>
      </c>
      <c r="T61" s="3">
        <f>2897.1+(1379.8-1142.8)+(-2.955042+(-1.407396--1.165656))+0-743.7--0.758574000000119</f>
        <v>2387.9617919999996</v>
      </c>
      <c r="U61" s="3">
        <f>2826.6+(1444-1284.9)+(-1.441566+(-0.73644--0.655299))+0-590.9--0.30135899999994</f>
        <v>2393.5786519999997</v>
      </c>
      <c r="V61" s="3">
        <f>2734.9+(1470.6-1210.9)+(-4.184397+(-2.250018--1.852677))+0-625.7--0.957321000000036</f>
        <v>2365.2755829999996</v>
      </c>
      <c r="W61" s="3">
        <f>2744.8+(1333.1-1226.4)+(-5.599392+(-2.719524--2.501856))+0-528.4--1.07793599999998</f>
        <v>2318.3608760000002</v>
      </c>
      <c r="X61" s="3">
        <f>2766.3+(1170-937)+(-8.464878+(-3.5802--2.86722))+0-722.5--2.21085000000008</f>
        <v>2269.8329920000001</v>
      </c>
      <c r="Y61" s="3">
        <f>2770.8+(897.6-740.6)+(-4.239324+(-1.373328--1.133118))+0-673.4--1.03030200000004</f>
        <v>2250.9507680000002</v>
      </c>
      <c r="Z61" s="3">
        <f>2821.4+(1210.3-842.5)+(-1.438914+(-0.617253--0.429675))+0-692.2--0.35302199999993</f>
        <v>2495.7265299999995</v>
      </c>
      <c r="AA61" s="3">
        <f>2844.9+(1162.6-956.3)+(-2.901798+(-1.185852--0.975426))+0-596.4--0.608328000000095</f>
        <v>2452.296104</v>
      </c>
      <c r="AB61" s="3">
        <f>2832.7+(1207.2-1023.8)+(-4.334031+(-1.847016--1.566414))+0-653.7--1.00016100000004</f>
        <v>2358.7855279999994</v>
      </c>
      <c r="AC61" s="3">
        <f>2827.8+(1298.9-1149.4)+(-1.442178+(-0.662439--0.586194))+0-704.5--0.359294999999929</f>
        <v>2271.6408719999999</v>
      </c>
      <c r="AD61">
        <f t="shared" si="0"/>
        <v>53911.398374000011</v>
      </c>
      <c r="AE61" s="3">
        <f>2819+(1193.5-921.2)+(0+(0-0))+0-601.3-0</f>
        <v>2490</v>
      </c>
    </row>
    <row r="62" spans="1:31" s="2" customFormat="1" x14ac:dyDescent="0.25">
      <c r="A62">
        <v>89</v>
      </c>
      <c r="B62">
        <v>2</v>
      </c>
      <c r="C62">
        <v>31</v>
      </c>
      <c r="D62">
        <v>7</v>
      </c>
      <c r="E62">
        <v>1</v>
      </c>
      <c r="F62" s="3">
        <f>2840.4+(1171.8-1154.7)+(-1.448604+(-0.597618--0.588897))+0-730.1--0.372350999999926</f>
        <v>2126.3150260000002</v>
      </c>
      <c r="G62" s="3">
        <f>2853.1+(1164.5-1290)+(1.455081+(0.593895-0.6579))+0-708.5-0.361334999999928</f>
        <v>2020.129741</v>
      </c>
      <c r="H62" s="3">
        <f>2842.4+(960.5-1216.7)+(-5.798496+(-1.95942--2.482068))+0-693.3--1.41433199999997</f>
        <v>1889.0384839999997</v>
      </c>
      <c r="I62" s="3">
        <f>2625.9+(965.9-1049)+(2.678418+(0.985218-1.06998))+0-684.9-0.698598000000109</f>
        <v>1859.7950579999999</v>
      </c>
      <c r="J62" s="3">
        <f>2445.3+(943.9-992)+(-1.247103+(-0.481389--0.50592))+0-537--0.273869999999946</f>
        <v>1859.2512980000001</v>
      </c>
      <c r="K62" s="3">
        <f>2278.6+(968.6-815.9)+(-4.648344+(-1.975944--1.664436))+0-601.7--1.22746799999997</f>
        <v>1825.8676160000002</v>
      </c>
      <c r="L62" s="3">
        <f>2257.9+(975.4-695.2)+(-4.606116+(-1.989816--1.418208))+0-706.3--1.44085199999997</f>
        <v>1828.0631279999998</v>
      </c>
      <c r="M62" s="3">
        <f>2234+(815.1-547.3)+(-2.27868+(-0.831402--0.558246))+0-608.4--0.620568000000097</f>
        <v>1891.468732</v>
      </c>
      <c r="N62" s="3">
        <f>2280+(790.1-536.4)+(-2.3256+(-0.805902--0.547128))+0-584.5--0.596190000000093</f>
        <v>1947.211816</v>
      </c>
      <c r="O62" s="3">
        <f>2554.1+(714.9-509.7)+(-5.210364+(-1.458396--1.039788))+0-631--1.28723999999997</f>
        <v>2123.9582679999999</v>
      </c>
      <c r="P62" s="3">
        <f>2604.9+(670.8-534.4)+(-2.656998+(-0.684216--0.545088))+0-605.4--0.617508000000097</f>
        <v>2133.7213820000002</v>
      </c>
      <c r="Q62" s="3">
        <f>2676.8+(929.7-655.2)+(-2.730336+(-0.948294--0.668304))+0-672.2--0.685644000000107</f>
        <v>2276.775318</v>
      </c>
      <c r="R62" s="3">
        <f>2655.5+(1150.6-912.1)+(-5.41722+(-2.347224--1.860684))+0-772.5--1.57589999999997</f>
        <v>2117.1721399999997</v>
      </c>
      <c r="S62" s="3">
        <f>2643.8+(1129.2-1053.5)+(-1.348338+(-0.575892--0.537285))+0-671.6--0.342515999999932</f>
        <v>2046.8555709999998</v>
      </c>
      <c r="T62" s="3">
        <f>2612.1+(1220.6-1119.9)+(-2.664342+(-1.245012--1.142298))+0-740.4--0.755208000000118</f>
        <v>1970.3881519999995</v>
      </c>
      <c r="U62" s="3">
        <f>2613.1+(1263.5-1202.6)+(-7.996086+(-3.86631--3.679956))+0-699.1--2.13924600000008</f>
        <v>1968.8568060000002</v>
      </c>
      <c r="V62" s="3">
        <f>2509+(1163.2-1058.3)+(-5.11836+(-2.372928--2.158932))+0-720.9--1.47063599999997</f>
        <v>1889.1382800000001</v>
      </c>
      <c r="W62" s="3">
        <f>2406.8+(937.6-774.6)+(-3.682404+(-1.434528--1.185138))+0-706.5--1.08094500000004</f>
        <v>1860.449151</v>
      </c>
      <c r="X62" s="3">
        <f>2425.8+(804.2-606.3)+(-8.660106+(-2.870994--2.164491))+0-726.5--2.59360500000001</f>
        <v>1890.4269960000001</v>
      </c>
      <c r="Y62" s="3">
        <f>2439+(831.7-599.4)+(-2.48778+(-0.848334--0.611388))+0-657.2--0.670344000000105</f>
        <v>2012.0456180000003</v>
      </c>
      <c r="Z62" s="3">
        <f>2544.9+(1149.6-679.5)+(-3.893697+(-1.758888--1.039635))+0-765.6--1.17136800000004</f>
        <v>2245.9584180000002</v>
      </c>
      <c r="AA62" s="3">
        <f>2844.9+(1119.6-923)+(-4.352697+(-1.712988--1.41219))+0-735.8--1.12577400000004</f>
        <v>2302.1722790000003</v>
      </c>
      <c r="AB62" s="3">
        <f>2925.5+(1154.3-1083.1)+(-5.96802+(-2.354772--2.209524))+0-678.2--1.38352799999997</f>
        <v>2313.7702599999998</v>
      </c>
      <c r="AC62" s="3">
        <f>2928.7+(1092.8-1092.8)+(-4.480911+(-1.671984--1.671984))+0-789.9--1.20854700000005</f>
        <v>2135.5276359999998</v>
      </c>
      <c r="AD62">
        <f t="shared" si="0"/>
        <v>48534.357173999997</v>
      </c>
      <c r="AE62" s="3">
        <f>2942+(1163-829.1)+(0+(0-0))+0-793.3-0</f>
        <v>2482.6000000000004</v>
      </c>
    </row>
    <row r="63" spans="1:31" s="2" customFormat="1" x14ac:dyDescent="0.25">
      <c r="A63">
        <v>89</v>
      </c>
      <c r="B63">
        <v>3</v>
      </c>
      <c r="C63">
        <v>1</v>
      </c>
      <c r="D63">
        <v>1</v>
      </c>
      <c r="E63">
        <v>1</v>
      </c>
      <c r="F63" s="3">
        <f>2874.5+(953.8-1162.7)+(-2.93199+(-0.972876--1.185954))+0-656.6--0.669732000000105</f>
        <v>2006.9508200000002</v>
      </c>
      <c r="G63" s="3">
        <f>2649.9+(1078.7-1063.3)+(4.054347+(1.650411-1.626849))+0-793.1-1.21344300000005</f>
        <v>1875.0644660000003</v>
      </c>
      <c r="H63" s="3">
        <f>2658.1+(966.4-1099.1)+(-6.778155+(-2.46432--2.802705))+0-711.5--1.8143249999999</f>
        <v>1809.274555</v>
      </c>
      <c r="I63" s="3">
        <f>2677+(966-1200.3)+(-1.36527+(-0.49266--0.612153))+0-663--0.338129999999933</f>
        <v>1778.7923529999996</v>
      </c>
      <c r="J63" s="3">
        <f>2568.1+(983.3-1051.5)+(1.309731+(0.501483-0.536265))+0-714.4-0.364343999999928</f>
        <v>1786.4106049999998</v>
      </c>
      <c r="K63" s="3">
        <f>2452.9+(913.5-858.1)+(-6.254895+(-2.329425--2.188155))+0-713.5--1.8194249999999</f>
        <v>1790.22326</v>
      </c>
      <c r="L63" s="3">
        <f>2412.5+(989.5-563.3)+(0+(0-0))+0-745.1-0</f>
        <v>2093.6</v>
      </c>
      <c r="M63" s="3">
        <f>2757.2+(978.6-640.2)+(1.406172+(0.499086-0.326502))+0-765.6-0.390455999999922</f>
        <v>2331.1882999999998</v>
      </c>
      <c r="N63" s="3">
        <f>2759.2+(1041.7-700.1)+(0+(0-0))+0-688.2-0</f>
        <v>2412.5999999999995</v>
      </c>
      <c r="O63" s="3">
        <f>2880+(1133-745.3)+(-2.9376+(-1.15566--0.760206))+0-688--0.70176000000011</f>
        <v>2577.0687059999996</v>
      </c>
      <c r="P63" s="3">
        <f>2940+(1133-817.2)+(-7.497+(-2.88915--2.08386))+0-688--1.7543999999999</f>
        <v>2561.2521099999999</v>
      </c>
      <c r="Q63" s="3">
        <f>3003+(1130.2-852.2)+(-1.53153+(-0.576402--0.434622))+0-688--0.35087999999993</f>
        <v>2591.6775699999998</v>
      </c>
      <c r="R63" s="3">
        <f>2969.3+(1329.8-1013)+(-3.028686+(-1.356396--1.03326))+0-719.2--0.733584000000115</f>
        <v>2564.2817620000001</v>
      </c>
      <c r="S63" s="3">
        <f>2998.4+(1303.4-1181.4)+(-4.587552+(-1.994202--1.807542))+0-716.5--1.09624500000004</f>
        <v>2400.2220330000005</v>
      </c>
      <c r="T63" s="3">
        <f>2987.8+(1430.6-1224.4)+(1.523778+(0.729606-0.624444))+0-734.9-0.374798999999925</f>
        <v>2460.3541410000003</v>
      </c>
      <c r="U63" s="3">
        <f>2977.9+(1412.8-1161.6)+(-7.593645+(-3.60264--2.96208))+0-725.4--1.84976999999989</f>
        <v>2497.3155649999999</v>
      </c>
      <c r="V63" s="3">
        <f>2892.1+(1458.6-1078.3)+(-2.949942+(-1.487772--1.099866))+0-757.6--0.772752000000121</f>
        <v>2512.2349039999999</v>
      </c>
      <c r="W63" s="3">
        <f>2916.8+(1331.7-1013.9)+(-7.43784+(-3.395835--2.585445))+0-753.7--1.92193499999989</f>
        <v>2474.5737050000002</v>
      </c>
      <c r="X63" s="3">
        <f>2926.2+(1195.6-961.2)+(-5.969448+(-2.439024--1.960848))+0-735.5--1.50041999999997</f>
        <v>2420.1527959999994</v>
      </c>
      <c r="Y63" s="3">
        <f>2684.4+(1062.5-708.6)+(-5.476176+(-2.1675--1.445544))+0-663.4--1.35333599999997</f>
        <v>2370.0552040000002</v>
      </c>
      <c r="Z63" s="3">
        <f>2813+(1267.3-796.1)+(-7.17315+(-3.231615--2.030055))+0-690.5--1.7607749999999</f>
        <v>2587.0860649999995</v>
      </c>
      <c r="AA63" s="3">
        <f>2993.7+(1228-892.1)+(-10.687509+(-4.38396--3.184797))+0-761.5--2.71855500000001</f>
        <v>2558.9318829999997</v>
      </c>
      <c r="AB63" s="3">
        <f>2999+(1115.7-958)+(-6.11796+(-2.276028--1.95432))+0-690.1--1.40780399999997</f>
        <v>2461.5681359999999</v>
      </c>
      <c r="AC63" s="3">
        <f>2969+(1096.1-1031.8)+(-3.02838+(-1.118022--1.052436))+0-681.8--0.695436000000109</f>
        <v>2349.1014700000005</v>
      </c>
      <c r="AD63">
        <f t="shared" si="0"/>
        <v>55269.980409000003</v>
      </c>
      <c r="AE63" s="3">
        <f>3011+(1294.6-864.2)+(0+(0-0))+0-767-0</f>
        <v>2674.3999999999996</v>
      </c>
    </row>
    <row r="64" spans="1:31" s="2" customFormat="1" x14ac:dyDescent="0.25">
      <c r="A64">
        <v>89</v>
      </c>
      <c r="B64">
        <v>3</v>
      </c>
      <c r="C64">
        <v>2</v>
      </c>
      <c r="D64">
        <v>2</v>
      </c>
      <c r="E64">
        <v>1</v>
      </c>
      <c r="F64" s="3">
        <f>2930.3+(1084.8-1175.1)+(-2.988906+(-1.106496--1.198602))+0-606.9--0.619038000000097</f>
        <v>2230.8222380000002</v>
      </c>
      <c r="G64" s="3">
        <f>2803.1+(1198.4-1213.2)+(-7.147905+(-3.05592--3.09366))+0-655.1--1.67050499999991</f>
        <v>2127.7603400000003</v>
      </c>
      <c r="H64" s="3">
        <f>2787.2+(995.8-1109.3)+(-4.264416+(-1.523574--1.697229))+0-613.3--0.938349000000035</f>
        <v>2057.2475880000002</v>
      </c>
      <c r="I64" s="3">
        <f>2680.6+(874.1-908.2)+(-4.101318+(-1.337373--1.389546))+0-608.2--0.930546000000035</f>
        <v>2035.1814010000001</v>
      </c>
      <c r="J64" s="3">
        <f>2375.1+(1005.5-664.1)+(-2.422602+(-1.02561--0.677382))+0-709.5--0.723690000000113</f>
        <v>2004.9528600000001</v>
      </c>
      <c r="K64" s="3">
        <f>2375.4+(1074.3-700.7)+(-3.634362+(-1.643679--1.072071))+0-744.8--1.13954400000004</f>
        <v>2001.1335740000002</v>
      </c>
      <c r="L64" s="3">
        <f>2297.6+(828.2-580.4)+(-1.171776+(-0.422382--0.296004))+0-572.2--0.291821999999942</f>
        <v>1972.1936679999999</v>
      </c>
      <c r="M64" s="3">
        <f>2491.3+(812.8-567.1)+(-1.270563+(-0.414528--0.289221))+0-599.1--0.305540999999939</f>
        <v>2136.809671</v>
      </c>
      <c r="N64" s="3">
        <f>2667.1+(995.2-631.1)+(-1.360221+(-0.507552--0.321861))+0-618.3--0.315332999999937</f>
        <v>2411.6694210000001</v>
      </c>
      <c r="O64" s="3">
        <f>2708.9+(989.1-646.2)+(-2.763078+(-1.008882--0.659124))+0-500--0.51000000000008</f>
        <v>2549.1971640000006</v>
      </c>
      <c r="P64" s="3">
        <f>2740.3+(1215.3-737)+(-8.385318+(-3.718818--2.25522))+0-611.1--1.86996600000007</f>
        <v>2599.5210500000007</v>
      </c>
      <c r="Q64" s="3">
        <f>2767.3+(1143.5-761.5)+(-1.411323+(-0.583185--0.388365))+0-474.8--0.242147999999952</f>
        <v>2673.1360049999998</v>
      </c>
      <c r="R64" s="3">
        <f>2809.7+(1253.1-874.6)+(-2.865894+(-1.278162--0.892092))+0-505.8--0.515916000000081</f>
        <v>2679.6639519999999</v>
      </c>
      <c r="S64" s="3">
        <f>2977.5+(1170.2-1092.6)+(-7.592625+(-2.98401--2.78613))+0-581--1.48154999999992</f>
        <v>2467.7910450000004</v>
      </c>
      <c r="T64" s="3">
        <f>3009.8+(1171.3-1096.2)+(0+(0-0))+0-580.7-0</f>
        <v>2504.1999999999998</v>
      </c>
      <c r="U64" s="3">
        <f>2998.3+(1228.2-1054.3)+(-4.587399+(-1.879146--1.613079))+0-624.4--0.955332000000036</f>
        <v>2543.9018660000002</v>
      </c>
      <c r="V64" s="3">
        <f>3000.3+(1212.2-1019.9)+(-6.120612+(-2.472888--2.080596))+0-634.5--1.29437999999997</f>
        <v>2552.881476</v>
      </c>
      <c r="W64" s="3">
        <f>2969.5+(1097.4-955.7)+(-9.08667+(-3.358044--2.924442))+0-609--1.86354000000007</f>
        <v>2494.5432679999999</v>
      </c>
      <c r="X64" s="3">
        <f>2715+(1092.3-633.7)+(-6.92325+(-2.785365--1.615935))+0-741.8--1.89158999999989</f>
        <v>2425.5989099999993</v>
      </c>
      <c r="Y64" s="3">
        <f>2623.2+(923.6-505.5)+(-1.337832+(-0.471036--0.257805))+0-680.3--0.346952999999931</f>
        <v>2359.7958899999999</v>
      </c>
      <c r="Z64" s="3">
        <f>2888.9+(1100.1-693.9)+(-1.473339+(-0.561051--0.353889))+0-680.1--0.346850999999931</f>
        <v>2613.66635</v>
      </c>
      <c r="AA64" s="3">
        <f>3074.4+(1038.3-811.1)+(-4.703832+(-1.588599--1.240983))+0-709.8--1.08599400000004</f>
        <v>2587.834546</v>
      </c>
      <c r="AB64" s="3">
        <f>3073.3+(1074.8-981.3)+(-7.836915+(-2.74074--2.502315))+0-590.2--1.50500999999991</f>
        <v>2570.0296699999999</v>
      </c>
      <c r="AC64" s="3">
        <f>3066.5+(1108-1081)+(-3.12783+(-1.13016--1.10262))+0-725--0.739500000000116</f>
        <v>2366.0841300000002</v>
      </c>
      <c r="AD64">
        <f t="shared" si="0"/>
        <v>56965.616083000001</v>
      </c>
      <c r="AE64" s="3">
        <f>3068+(1112-772.4)+(0+(0-0))+0-747.6-0</f>
        <v>2660</v>
      </c>
    </row>
    <row r="65" spans="1:31" s="2" customFormat="1" x14ac:dyDescent="0.25">
      <c r="A65">
        <v>89</v>
      </c>
      <c r="B65">
        <v>3</v>
      </c>
      <c r="C65">
        <v>3</v>
      </c>
      <c r="D65">
        <v>3</v>
      </c>
      <c r="E65">
        <v>1</v>
      </c>
      <c r="F65" s="3">
        <f>3041.1+(1006.5-1092.4)+(-4.652883+(-1.539945--1.671372))+0-757.4--1.15882200000004</f>
        <v>2194.4373659999997</v>
      </c>
      <c r="G65" s="3">
        <f>2856.3+(997.4-1095.4)+(-1.456713+(-0.508674--0.558654))+0-729.7--0.372146999999926</f>
        <v>2027.5654140000001</v>
      </c>
      <c r="H65" s="3">
        <f>2778.6+(975.6-1006.8)+(-1.417086+(-0.497556--0.513468))+0-784.6--0.40014599999992</f>
        <v>1961.798972</v>
      </c>
      <c r="I65" s="3">
        <f>2680.2+(960.5-1029.2)+(-2.733804+(-0.97971--1.049784))+0-710.6--0.724812000000113</f>
        <v>1898.961082</v>
      </c>
      <c r="J65" s="3">
        <f>2663.6+(931.7-982.1)+(-6.79218+(-2.375835--2.504355))+0-673.1--1.7164049999999</f>
        <v>1935.1527449999996</v>
      </c>
      <c r="K65" s="3">
        <f>2652.1+(946.4-991.6)+(-4.057713+(-1.447992--1.517148))+0-671.4--1.02724200000004</f>
        <v>1932.5386849999995</v>
      </c>
      <c r="L65" s="3">
        <f>2455.2+(949.5-798.9)+(-1.252152+(-0.484245--0.407439))+0-705--0.359549999999928</f>
        <v>1899.8305919999996</v>
      </c>
      <c r="M65" s="3">
        <f>2499.3+(832.5-571.7)+(0+(0-0))+0-692.9-0</f>
        <v>2067.2000000000003</v>
      </c>
      <c r="N65" s="3">
        <f>2602.2+(869.2-543.9)+(-1.327122+(-0.443292--0.277389))+0-596.5--0.30421499999994</f>
        <v>2329.8111899999999</v>
      </c>
      <c r="O65" s="3">
        <f>2764.3+(902.3-597.3)+(-1.409793+(-0.460173--0.304623))+0-578.1--0.294830999999941</f>
        <v>2489.9294880000002</v>
      </c>
      <c r="P65" s="3">
        <f>2988.8+(937.1-698.4)+(-1.524288+(-0.477921--0.356184))+0-652.8--0.332927999999934</f>
        <v>2573.3869029999996</v>
      </c>
      <c r="Q65" s="3">
        <f>3060+(880.3-722.7)+(-3.1212+(-0.897906--0.737154))+0-523.4--0.533868000000083</f>
        <v>2691.451916</v>
      </c>
      <c r="R65" s="3">
        <f>3042.4+(970.8-835)+(-3.103248+(-0.990216--0.8517))+0-528.4--0.538968000000084</f>
        <v>2647.0972040000001</v>
      </c>
      <c r="S65" s="3">
        <f>2961.7+(1074.9-976.6)+(-3.020934+(-1.096398--0.996132))+0-610.8--0.623016000000097</f>
        <v>2446.7018160000002</v>
      </c>
      <c r="T65" s="3">
        <f>2855+(1186.9-891.7)+(0+(0-0))+0-600-0</f>
        <v>2550.1999999999998</v>
      </c>
      <c r="U65" s="3">
        <f>2791.1+(1100.9-842.3)+(-2.846922+(-1.122918--0.859146))+0-549.5--0.560490000000088</f>
        <v>2497.6497960000002</v>
      </c>
      <c r="V65" s="3">
        <f>2804.3+(1190.1-800.5)+(-8.581158+(-3.641706--2.44953))+0-664.9--2.03459400000008</f>
        <v>2521.2612600000002</v>
      </c>
      <c r="W65" s="3">
        <f>2826.7+(1111.5-837.2)+(-5.766468+(-2.26746--1.707888))+0-610.3--1.24501199999997</f>
        <v>2485.6189719999998</v>
      </c>
      <c r="X65" s="3">
        <f>2872.6+(1053.5-810.1)+(-8.790156+(-3.22371--2.478906))+0-682--2.08692000000008</f>
        <v>2426.5519600000002</v>
      </c>
      <c r="Y65" s="3">
        <f>2892.6+(947.1-764.5)+(-7.37613+(-2.415105--1.949475))+0-679.5--1.7327249999999</f>
        <v>2389.5909649999999</v>
      </c>
      <c r="Z65" s="3">
        <f>2965.8+(1064.9-760.4)+(-4.537674+(-1.629297--1.163412))+0-648.7--0.992511000000038</f>
        <v>2617.5889519999996</v>
      </c>
      <c r="AA65" s="3">
        <f>3106.4+(1026.6-741.6)+(-11.089848+(-3.664962--2.647512))+0-758.1--2.70641700000001</f>
        <v>2623.8991190000002</v>
      </c>
      <c r="AB65" s="3">
        <f>3098.5+(1105.6-998.1)+(-6.32094+(-2.255424--2.036124))+0-681.8--1.39087199999997</f>
        <v>2519.0506320000004</v>
      </c>
      <c r="AC65" s="3">
        <f>3067.2+(921.3-1007.9)+(-7.82136+(-2.349315--2.570145))+0-590.7--1.50628499999991</f>
        <v>2383.8057549999999</v>
      </c>
      <c r="AD65">
        <f t="shared" ref="AD65:AD128" si="1">SUM(F65:AC65)</f>
        <v>56111.080783999998</v>
      </c>
      <c r="AE65" s="3">
        <f>3046+(1089.8-657.1)+(0+(0-0))+0-814.3-0</f>
        <v>2664.3999999999996</v>
      </c>
    </row>
    <row r="66" spans="1:31" s="2" customFormat="1" x14ac:dyDescent="0.25">
      <c r="A66">
        <v>89</v>
      </c>
      <c r="B66">
        <v>3</v>
      </c>
      <c r="C66">
        <v>4</v>
      </c>
      <c r="D66">
        <v>4</v>
      </c>
      <c r="E66">
        <v>1</v>
      </c>
      <c r="F66" s="3">
        <f>2990.6+(740.8-1072.5)+(-4.575618+(-1.133424--1.640925))+0-540.5--0.826965000000031</f>
        <v>2115.158848</v>
      </c>
      <c r="G66" s="3">
        <f>2776.7+(786.6-886.3)+(-4.248351+(-1.203498--1.356039))+0-683.6--1.04590800000004</f>
        <v>1990.3500980000003</v>
      </c>
      <c r="H66" s="3">
        <f>2634.9+(972.4-855.5)+(-2.687598+(-0.991848--0.87261))+0-792.1--0.807942000000126</f>
        <v>1957.7011060000002</v>
      </c>
      <c r="I66" s="3">
        <f>2650.1+(831.1-858.2)+(-8.109306+(-2.543166--2.626092))+0-758--2.31948000000009</f>
        <v>1859.2931000000003</v>
      </c>
      <c r="J66" s="3">
        <f>2665.5+(796-809.7)+(-2.71881+(-0.81192--0.825894))+0-716.5--0.730830000000114</f>
        <v>1933.3259940000005</v>
      </c>
      <c r="K66" s="3">
        <f>2587.6+(833.9-744.2)+(-6.59838+(-2.126445--1.89771))+0-796.5--2.03107499999988</f>
        <v>1876.0039599999996</v>
      </c>
      <c r="L66" s="3">
        <f>2406.1+(774.9-584.5)+(-6.135555+(-1.975995--1.490475))+0-729.6--1.86047999999989</f>
        <v>1862.1394049999999</v>
      </c>
      <c r="M66" s="3">
        <f>2513.2+(612.1-485.1)+(-5.126928+(-1.248684--0.989604))+0-611.9--1.24827599999997</f>
        <v>2024.1622679999998</v>
      </c>
      <c r="N66" s="3">
        <f>2667.9+(684-435.9)+(-2.721258+(-0.69768--0.444618))+0-575.6--0.587112000000092</f>
        <v>2338.0127920000004</v>
      </c>
      <c r="O66" s="3">
        <f>2852.2+(855.2-575.9)+(-4.363866+(-1.308456--0.881127))+0-662.5--1.01362500000004</f>
        <v>2465.2224300000003</v>
      </c>
      <c r="P66" s="3">
        <f>3042.6+(945.9-754.6)+(-1.551726+(-0.482409--0.384846))+0-621.6--0.317015999999937</f>
        <v>2610.9677269999997</v>
      </c>
      <c r="Q66" s="3">
        <f>3136.1+(1025-744.9)+(-1.599411+(-0.52275--0.379899))+0-631--0.321809999999936</f>
        <v>2783.7795479999995</v>
      </c>
      <c r="R66" s="3">
        <f>3127.8+(1140.7-878.3)+(-3.190356+(-1.163514--0.895866))+0-739--0.753780000000118</f>
        <v>2648.4957760000002</v>
      </c>
      <c r="S66" s="3">
        <f>3158.2+(1063.8-1138.2)+(-3.221364+(-1.085076--1.160964))+0-597.3--0.609246000000095</f>
        <v>2483.9637699999994</v>
      </c>
      <c r="T66" s="3">
        <f>3199.3+(1273.4-1122.1)+(-4.894929+(-1.948302--1.716813))+0-766.2--1.17228600000004</f>
        <v>2580.4458680000007</v>
      </c>
      <c r="U66" s="3">
        <f>3190.2+(1187.4-1191.1)+(1.627002+(0.605574-0.607461))+0-600.6-0.306305999999939</f>
        <v>2587.218809</v>
      </c>
      <c r="V66" s="3">
        <f>3114.2+(1089.6-1131.9)+(1.588242+(0.555696-0.577269))+0-653.7-0.333386999999934</f>
        <v>2419.4332819999995</v>
      </c>
      <c r="W66" s="3">
        <f>2839.6+(1214.1-931.9)+(-5.792784+(-2.476764--1.901076))+0-665.1--1.35680399999997</f>
        <v>2451.6883319999997</v>
      </c>
      <c r="X66" s="3">
        <f>2797.9+(1178.3-852.5)+(-8.561574+(-3.605598--2.60865))+0-726.1--2.22186600000008</f>
        <v>2390.263344</v>
      </c>
      <c r="Y66" s="3">
        <f>2657.4+(1079.2-640.6)+(-6.77637+(-2.75196--1.63353))+0-620.6--1.58252999999991</f>
        <v>2469.0877300000002</v>
      </c>
      <c r="Z66" s="3">
        <f>2670.2+(1409.8-656.1)+(-8.170812+(-4.313988--2.007666))+0-740.7--2.26654200000009</f>
        <v>2674.9894079999995</v>
      </c>
      <c r="AA66" s="3">
        <f>2886.4+(1417.9-927.9)+(-11.776512+(-5.785032--3.785832))+0-708.7--2.89149599999994</f>
        <v>2656.8157839999999</v>
      </c>
      <c r="AB66" s="3">
        <f>2882+(1349.1-1036.5)+(-1.46982+(-0.688041--0.528615))+0-678.8--0.346187999999931</f>
        <v>2514.5169419999997</v>
      </c>
      <c r="AC66" s="3">
        <f>2895.7+(1320.2-1134)+(-7.384035+(-3.36651--2.8917))+0-730.2--1.86200999999989</f>
        <v>2345.703164999999</v>
      </c>
      <c r="AD66">
        <f t="shared" si="1"/>
        <v>56038.739485999991</v>
      </c>
      <c r="AE66" s="3">
        <f>2868+(1471.9-850)+(0+(0-0))+0-847-0</f>
        <v>2642.9</v>
      </c>
    </row>
    <row r="67" spans="1:31" s="2" customFormat="1" x14ac:dyDescent="0.25">
      <c r="A67">
        <v>89</v>
      </c>
      <c r="B67">
        <v>3</v>
      </c>
      <c r="C67">
        <v>5</v>
      </c>
      <c r="D67">
        <v>5</v>
      </c>
      <c r="E67">
        <v>1</v>
      </c>
      <c r="F67" s="3">
        <f>2883.3+(1057.1-1124)+(-5.881932+(-2.156484--2.29296))+0-699.7--1.42738799999997</f>
        <v>2112.3819320000002</v>
      </c>
      <c r="G67" s="3">
        <f>2655.5+(1061.1-1021.6)+(1.354305+(0.541161-0.521016))+0-676.3-0.344912999999931</f>
        <v>2019.7295369999999</v>
      </c>
      <c r="H67" s="3">
        <f>2576+(1027.4-1000)+(-6.5688+(-2.61987--2.55))+0-695.2--1.7727599999999</f>
        <v>1903.3340900000001</v>
      </c>
      <c r="I67" s="3">
        <f>2447.8+(1027.4-837.2)+(-3.745134+(-1.571922--1.280916))+0-768.1--1.17519300000004</f>
        <v>1867.039053</v>
      </c>
      <c r="J67" s="3">
        <f>2357.7+(965.8-755.1)+(-1.202427+(-0.492558--0.385101))+0-725.8--0.370157999999926</f>
        <v>1841.6602739999998</v>
      </c>
      <c r="K67" s="3">
        <f>2235.4+(1010.2-612.2)+(-6.840324+(-3.091212--1.873332))+0-719.9--2.20289400000008</f>
        <v>1907.6446900000001</v>
      </c>
      <c r="L67" s="3">
        <f>2167+(953.7-547.5)+(-4.42068+(-1.945548--1.1169))+0-719--1.46675999999997</f>
        <v>1850.417432</v>
      </c>
      <c r="M67" s="3">
        <f>2140.5+(891.9-452.2)+(-2.18331+(-0.909738--0.461244))+0-575.5--0.587010000000092</f>
        <v>2002.6552059999999</v>
      </c>
      <c r="N67" s="3">
        <f>2508.6+(917.3-407.8)+(1.279386+(0.467823-0.207978))+0-617.5-0.314924999999937</f>
        <v>2401.824306</v>
      </c>
      <c r="O67" s="3">
        <f>2745.5+(996.2-581.6)+(-5.60082+(-2.032248--1.186464))+0-632.1--1.28948399999997</f>
        <v>2522.8428799999997</v>
      </c>
      <c r="P67" s="3">
        <f>2830.4+(1090.8-757.2)+(0+(0-0))+0-575.5-0</f>
        <v>2588.5</v>
      </c>
      <c r="Q67" s="3">
        <f>2902.2+(1009.8-754.5)+(-1.480122+(-0.514998--0.384795))+5.1-574.6--0.293045999999942</f>
        <v>2586.6827209999997</v>
      </c>
      <c r="R67" s="3">
        <f>2887.8+(1075.4-832.4)+(-1.472778+(-0.548454--0.424524))+0-516.7--0.263516999999948</f>
        <v>2612.7668090000002</v>
      </c>
      <c r="S67" s="3">
        <f>2871.5+(1002.5-1040.6)+(-1.464465+(-0.511275--0.530706))+0-404--0.206039999999959</f>
        <v>2428.1610060000003</v>
      </c>
      <c r="T67" s="3">
        <f>2851.9+(1014.5-947.3)+(-2.908938+(-1.03479--0.966246))+0-423.3--0.431766000000067</f>
        <v>2493.2542840000006</v>
      </c>
      <c r="U67" s="3">
        <f>2838.6+(1081.7-924.4)+(-1.447686+(-0.551667--0.471444))+0-465.8--0.237557999999953</f>
        <v>2528.8096489999998</v>
      </c>
      <c r="V67" s="3">
        <f>2832.2+(1254.6-880.1)+(-4.333266+(-1.919538--1.346553))+0-653.3--0.999549000000038</f>
        <v>2549.4932980000003</v>
      </c>
      <c r="W67" s="3">
        <f>2831.2+(1049-857.7)+(-10.107384+(-3.74493--3.061989))+0-517.7--1.84818900000001</f>
        <v>2495.8578640000001</v>
      </c>
      <c r="X67" s="3">
        <f>2748.1+(1211.9-778.3)+(-9.810717+(-4.326483--2.778531))+0-736.2--2.62823400000001</f>
        <v>2436.7695649999996</v>
      </c>
      <c r="Y67" s="3">
        <f>2616.1+(966.3-600.3)+(-5.336844+(-1.971252--1.224612))+0-610.4--1.24521599999997</f>
        <v>2366.8617319999994</v>
      </c>
      <c r="Z67" s="3">
        <f>2724.8+(1187.5-603.8)+(-2.779296+(-1.21125--0.615876))+0-708.3--0.722466000000113</f>
        <v>2597.5477959999998</v>
      </c>
      <c r="AA67" s="3">
        <f>2903.7+(1206.6-774.9)+(-8.885322+(-3.692196--2.371194))+0-733.1--2.24328600000008</f>
        <v>2594.3369619999994</v>
      </c>
      <c r="AB67" s="3">
        <f>2898.6+(1252.8-1016.2)+(1.478286+(0.638928-0.518262))+0-631.1-0.321860999999936</f>
        <v>2505.3770909999998</v>
      </c>
      <c r="AC67" s="3">
        <f>2917.9+(1220.5-1074.4)+(-1.488129+(-0.622455--0.547944))+0-710.8--0.362507999999928</f>
        <v>2351.9998679999994</v>
      </c>
      <c r="AD67">
        <f t="shared" si="1"/>
        <v>55565.948045000005</v>
      </c>
      <c r="AE67" s="3">
        <f>2884+(1316.3-768.9)+(0+(0-0))+0-811.8-0</f>
        <v>2619.6000000000004</v>
      </c>
    </row>
    <row r="68" spans="1:31" s="2" customFormat="1" x14ac:dyDescent="0.25">
      <c r="A68">
        <v>89</v>
      </c>
      <c r="B68">
        <v>3</v>
      </c>
      <c r="C68">
        <v>6</v>
      </c>
      <c r="D68">
        <v>6</v>
      </c>
      <c r="E68">
        <v>1</v>
      </c>
      <c r="F68" s="3">
        <f>3026.7+(1113.2-1132.1)+(-6.174468+(-2.270928--2.309484))+0-838.7--1.71094799999996</f>
        <v>2164.6750359999996</v>
      </c>
      <c r="G68" s="3">
        <f>2935.8+(776.2-949)+(-1.497258+(-0.395862--0.48399))+0-733.9--0.374288999999926</f>
        <v>2028.0651589999998</v>
      </c>
      <c r="H68" s="3">
        <f>2923.3+(707.3-940.1)+(-2.981766+(-0.721446--0.958902))+0-723.4--0.737868000000115</f>
        <v>1965.093558</v>
      </c>
      <c r="I68" s="3">
        <f>2860.2+(721.2-909.7)+(-8.752212+(-2.206872--2.783682))+0-741.1--2.26776600000009</f>
        <v>1924.6923640000002</v>
      </c>
      <c r="J68" s="3">
        <f>2655.6+(784.1-784.7)+(-4.063068+(-1.199673--1.200591))+0-736.6--1.12699800000004</f>
        <v>1915.4648479999998</v>
      </c>
      <c r="K68" s="3">
        <f>2543.7+(840.7-717.4)+(-10.378296+(-3.430056--2.926992))+0-760.9--3.10447199999993</f>
        <v>1898.323112</v>
      </c>
      <c r="L68" s="3">
        <f>2443.7+(678.9-584.1)+(-2.492574+(-0.692478--0.595782))+0-690.6--0.70441200000011</f>
        <v>1846.0151420000002</v>
      </c>
      <c r="M68" s="3">
        <f>2605.4+(577.4-475.2)+(0+(0-0))+0-705.9-0</f>
        <v>2001.6999999999998</v>
      </c>
      <c r="N68" s="3">
        <f>2816+(608.7-438.4)+(2.87232+(0.620874-0.447168))+0-720.4-0.734808000000115</f>
        <v>2268.2112179999999</v>
      </c>
      <c r="O68" s="3">
        <f>2943.3+(782.1-497.4)+(-3.002166+(-0.797742--0.507348))+0-788.5--0.804270000000126</f>
        <v>2437.0117100000002</v>
      </c>
      <c r="P68" s="3">
        <f>3072.5+(684.2-587.8)+(-1.566975+(-0.348942--0.299778))+0-649.9--0.331448999999934</f>
        <v>2517.7153099999996</v>
      </c>
      <c r="Q68" s="3">
        <f>3146.3+(814.4-698.3)+(0+(0-0))+0-688.1-0</f>
        <v>2574.3000000000002</v>
      </c>
      <c r="R68" s="3">
        <f>3131.7+(900.1-826.7)+(-4.791501+(-1.377153--1.264851))+0-630.2--0.964206000000037</f>
        <v>2570.9604029999996</v>
      </c>
      <c r="S68" s="3">
        <f>3122.3+(954.4-1052.2)+(-3.184746+(-0.973488--1.073244))+0-639.7--0.652494000000102</f>
        <v>2382.3675039999998</v>
      </c>
      <c r="T68" s="3">
        <f>3113.7+(984.2-1079.4)+(-3.175974+(-1.003884--1.100988))+0-600.7--0.612714000000096</f>
        <v>2415.3338439999998</v>
      </c>
      <c r="U68" s="3">
        <f>3103.3+(998.2-1125.7)+(-3.165366+(-1.018164--1.148214))+0-550--0.561000000000088</f>
        <v>2423.3256840000004</v>
      </c>
      <c r="V68" s="3">
        <f>3095.8+(1072.4-1142.9)+(-1.578858+(-0.546924--0.582879))+0-606.6--0.309365999999938</f>
        <v>2417.4664630000002</v>
      </c>
      <c r="W68" s="3">
        <f>3084.2+(961.5-1067.4)+(-7.86471+(-2.451825--2.72187))+0-623.3--1.58941499999991</f>
        <v>2348.9947499999994</v>
      </c>
      <c r="X68" s="3">
        <f>2958.9+(815.5-853.5)+(-7.545195+(-2.079525--2.176425))+0-629.6--1.60547999999991</f>
        <v>2285.4571849999998</v>
      </c>
      <c r="Y68" s="3">
        <f>2731.4+(756.2-573.5)+(-2.786028+(-0.771324--0.58497))+0-663.7--0.676974000000106</f>
        <v>2248.1045920000006</v>
      </c>
      <c r="Z68" s="3">
        <f>3014.8+(1009.9-851.2)+(-4.612644+(-1.545147--1.302336))+0-675.8--1.03397400000004</f>
        <v>2493.8785189999999</v>
      </c>
      <c r="AA68" s="3">
        <f>3176+(806.9-918.8)+(-4.85928+(-1.234557--1.405764))+0-555--0.849150000000032</f>
        <v>2505.2610770000001</v>
      </c>
      <c r="AB68" s="3">
        <f>3066.8+(849-912.8)+(-6.256272+(-1.73196--1.862112))+0-604.7--1.23358799999997</f>
        <v>2393.4074680000003</v>
      </c>
      <c r="AC68" s="3">
        <f>3068.7+(932.8-1027.2)+(-6.260148+(-1.902912--2.095488))+0-669.4--1.36557599999997</f>
        <v>2300.1980039999999</v>
      </c>
      <c r="AD68">
        <f t="shared" si="1"/>
        <v>54326.022949999999</v>
      </c>
      <c r="AE68" s="3">
        <f>3210+(897.7-950.3)+(0+(0-0))+0-586.8-0</f>
        <v>2570.6000000000004</v>
      </c>
    </row>
    <row r="69" spans="1:31" s="2" customFormat="1" x14ac:dyDescent="0.25">
      <c r="A69">
        <v>89</v>
      </c>
      <c r="B69">
        <v>3</v>
      </c>
      <c r="C69">
        <v>7</v>
      </c>
      <c r="D69">
        <v>7</v>
      </c>
      <c r="E69">
        <v>1</v>
      </c>
      <c r="F69" s="3">
        <f>3058.3+(743.7-983.6)+(6.238932+(1.517148-2.006544))+0-682.9-1.39311599999997</f>
        <v>2139.8564199999996</v>
      </c>
      <c r="G69" s="3">
        <f>3002.8+(584.7-985.6)+(3.062856+(0.596394-1.005312))+0-579.1-0.590682000000092</f>
        <v>2024.8632560000001</v>
      </c>
      <c r="H69" s="3">
        <f>2768.7+(668.8-870.1)+(2.824074+(0.682176-0.887502))+0-636.2-0.648924000000102</f>
        <v>1933.1698239999994</v>
      </c>
      <c r="I69" s="3">
        <f>2687.3+(640.2-842)+(0+(0-0))+0-621.7-0</f>
        <v>1863.8</v>
      </c>
      <c r="J69" s="3">
        <f>2663+(744.8-951.3)+(2.71626+(0.759696-0.970326))+0-607.6-0.619752000000097</f>
        <v>1850.7858780000001</v>
      </c>
      <c r="K69" s="3">
        <f>2509.5+(748.7-819.3)+(-3.839535+(-1.145511--1.253529))+0-641.9--0.982107000000037</f>
        <v>1794.2505899999999</v>
      </c>
      <c r="L69" s="3">
        <f>2326+(615.6-617.3)+(-3.55878+(-0.941868--0.944469))+0-663.7--1.01546100000004</f>
        <v>1658.0592819999999</v>
      </c>
      <c r="M69" s="3">
        <f>2333.8+(618-589.1)+(-2.380476+(-0.63036--0.600882))+0-638.7--0.651474000000102</f>
        <v>1722.24152</v>
      </c>
      <c r="N69" s="3">
        <f>2589+(731.6-780.7)+(-3.96117+(-1.119348--1.194471))+0-710.2--1.08660600000004</f>
        <v>1826.9005590000002</v>
      </c>
      <c r="O69" s="3">
        <f>2895.3+(715.6-1015.8)+(-4.429809+(-1.094868--1.554174))+0-641.2--0.981036000000037</f>
        <v>1950.9105330000004</v>
      </c>
      <c r="P69" s="3">
        <f>2960.9+(703.3-928.7)+(0+(0-0))+0-639.9-0</f>
        <v>2095.6</v>
      </c>
      <c r="Q69" s="3">
        <f>2963.6+(705.6-871.9)+(-1.511436+(-0.359856--0.444669))+0-720.6--0.367505999999927</f>
        <v>2075.6408830000005</v>
      </c>
      <c r="R69" s="3">
        <f>2942.4+(808-1006.8)+(0+(0-0))+0-660-0</f>
        <v>2083.6000000000004</v>
      </c>
      <c r="S69" s="3">
        <f>2928.2+(1039.7-1230.7)+(-1.493382+(-0.530247--0.627657))+0-660.2--0.336701999999933</f>
        <v>2075.9407299999998</v>
      </c>
      <c r="T69" s="3">
        <f>2947.1+(1077-1369.6)+(0+(0-0))+0-569.4-0</f>
        <v>2085.1</v>
      </c>
      <c r="U69" s="3">
        <f>3000.2+(1054.9-1472.8)+(1.530102+(0.537999-0.751128))+0-535.3-0.273002999999946</f>
        <v>2048.0439700000002</v>
      </c>
      <c r="V69" s="3">
        <f>2994.2+(1055.1-1316)+(-9.162252+(-3.228606--4.02696))+0-692.2--2.11813200000008</f>
        <v>2034.8542339999997</v>
      </c>
      <c r="W69" s="3">
        <f>2885.8+(891.7-1125.5)+(-8.830548+(-2.728602--3.44403))+0-632.2--1.93453200000007</f>
        <v>2013.619412</v>
      </c>
      <c r="X69" s="3">
        <f>2683.3+(801.3-819.6)+(-5.473932+(-1.634652--1.671984))+0-651.3--1.32865199999997</f>
        <v>2009.592052</v>
      </c>
      <c r="Y69" s="3">
        <f>2543.8+(619.9-545.9)+(-3.892014+(-0.948447--0.835227))+0-651.1--0.996183000000038</f>
        <v>1963.690949</v>
      </c>
      <c r="Z69" s="3">
        <f>2822.8+(1059.5-856)+(-4.318884+(-1.621035--1.30968))+0-766.5--1.17274500000004</f>
        <v>2256.342506</v>
      </c>
      <c r="AA69" s="3">
        <f>3076.8+(973.8-1015.1)+(-3.138336+(-0.993276--1.035402))+0-684.7--0.698394000000109</f>
        <v>2348.4021839999996</v>
      </c>
      <c r="AB69" s="3">
        <f>3084.4+(1057.5-1115.5)+(-3.146088+(-1.07865--1.13781))+0-740.6--0.755412000000118</f>
        <v>2283.468484</v>
      </c>
      <c r="AC69" s="3">
        <f>2984.9+(1189.3-1268.6)+(-6.089196+(-2.426172--2.587944))+0-688.4--1.40433599999997</f>
        <v>2212.6769120000004</v>
      </c>
      <c r="AD69">
        <f t="shared" si="1"/>
        <v>48351.410177999998</v>
      </c>
      <c r="AE69" s="3">
        <f>3058+(1118.7-1076.2)+(0+(0-0))+0-845.1-0</f>
        <v>2255.4</v>
      </c>
    </row>
    <row r="70" spans="1:31" s="2" customFormat="1" x14ac:dyDescent="0.25">
      <c r="A70">
        <v>89</v>
      </c>
      <c r="B70">
        <v>3</v>
      </c>
      <c r="C70">
        <v>8</v>
      </c>
      <c r="D70">
        <v>1</v>
      </c>
      <c r="E70">
        <v>1</v>
      </c>
      <c r="F70" s="3">
        <f>2863.4+(1312.6-1375.8)+(-4.381002+(-2.008278--2.104974))+0-722.9--1.10603700000004</f>
        <v>2074.1217309999997</v>
      </c>
      <c r="G70" s="3">
        <f>2865.8+(1253.5-1436.4)+(-10.230906+(-4.474995--5.127948))+0-720.6--2.57254200000001</f>
        <v>1955.2945890000003</v>
      </c>
      <c r="H70" s="3">
        <f>2872+(1111.8-1415.3)+(-5.85888+(-2.268072--2.887212))+0-688.6--1.40474399999997</f>
        <v>1876.065004</v>
      </c>
      <c r="I70" s="3">
        <f>2863.4+(1014.6-1327.5)+(-1.460334+(-0.517446--0.677025))+0-702.3--0.358172999999929</f>
        <v>1847.2574179999997</v>
      </c>
      <c r="J70" s="3">
        <f>2867.8+(885.6-1207.3)+(0+(0-0))+0-709.7-0</f>
        <v>1836.4000000000003</v>
      </c>
      <c r="K70" s="3">
        <f>2802.5+(753.1-1158.2)+(-7.146375+(-1.920405--2.95341))+0-562.8--1.43513999999992</f>
        <v>1829.9217699999999</v>
      </c>
      <c r="L70" s="3">
        <f>2521.3+(620.9-656.8)+(-1.285863+(-0.316659--0.334968))+0-658.9--0.336038999999933</f>
        <v>1825.568485</v>
      </c>
      <c r="M70" s="3">
        <f>2819+(578.3-789.7)+(0+(0-0))+0-604.5-0</f>
        <v>2003.1</v>
      </c>
      <c r="N70" s="3">
        <f>2871.9+(971.6-844.8)+(-4.394007+(-1.486548--1.292544))+0-715.6--1.09486800000004</f>
        <v>2279.6068570000007</v>
      </c>
      <c r="O70" s="3">
        <f>2839.5+(1084.3-835.6)+(-1.448145+(-0.552993--0.426156))+0-623.7--0.318086999999937</f>
        <v>2463.243105</v>
      </c>
      <c r="P70" s="3">
        <f>2908.2+(1090.7-787.5)+(0+(0-0))+0-628.6-0</f>
        <v>2582.7999999999997</v>
      </c>
      <c r="Q70" s="3">
        <f>2990.1+(1162.7-739.9)+(-1.524951+(-0.592977--0.377349))+0-741--0.377909999999925</f>
        <v>2670.537331</v>
      </c>
      <c r="R70" s="3">
        <f>2991.1+(1136.4-802.8)+(0+(0-0))+0-642.1-0</f>
        <v>2682.6</v>
      </c>
      <c r="S70" s="3">
        <f>2943.4+(1069-819.5)+(1.501134+(0.54519-0.417945))+0-660.9-0.337058999999933</f>
        <v>2533.2913200000003</v>
      </c>
      <c r="T70" s="3">
        <f>2863.1+(1165-776.7)+(0+(0-0))+0-692-0</f>
        <v>2559.3999999999996</v>
      </c>
      <c r="U70" s="3">
        <f>2874.4+(1137.2-776.4)+(-1.465944+(-0.579972--0.395964))+0-638--0.325379999999935</f>
        <v>2595.8754279999998</v>
      </c>
      <c r="V70" s="3">
        <f>2893.9+(1142.9-759.9)+(-4.427667+(-1.748637--1.162647))+0-675.3--1.03320900000004</f>
        <v>2597.6195520000001</v>
      </c>
      <c r="W70" s="3">
        <f>3110.7+(957.7-781.6)+(-11.105199+(-3.418989--2.790312))+0-752.9--2.68785300000001</f>
        <v>2524.8539769999998</v>
      </c>
      <c r="X70" s="3">
        <f>3100.4+(954-816.9)+(-7.90602+(-2.4327--2.083095))+0-697.3--1.7781149999999</f>
        <v>2533.7224900000001</v>
      </c>
      <c r="Y70" s="3">
        <f>3100.6+(896-817.5)+(-1.581306+(-0.45696--0.416925))+0-703.6--0.358835999999929</f>
        <v>2474.2374949999999</v>
      </c>
      <c r="Z70" s="3">
        <f>3190.7+(993.4-914.8)+(-1.627257+(-0.506634--0.466548))+0-625.1--0.318800999999937</f>
        <v>2642.8514579999996</v>
      </c>
      <c r="AA70" s="3">
        <f>3318.4+(961.3-927.3)+(-3.384768+(-0.980526--0.945846))+0-742.7--0.757554000000119</f>
        <v>2607.0381060000004</v>
      </c>
      <c r="AB70" s="3">
        <f>3307.1+(914.9-1074.4)+(-8.433105+(-2.332995--2.73972))+0-618--1.57589999999991</f>
        <v>2523.1495199999999</v>
      </c>
      <c r="AC70" s="3">
        <f>3058.1+(1052.2-1141.4)+(-6.238524+(-2.146488--2.328456))+0-570.8--1.16443199999998</f>
        <v>2393.2078759999999</v>
      </c>
      <c r="AD70">
        <f t="shared" si="1"/>
        <v>55911.763511999998</v>
      </c>
      <c r="AE70" s="3">
        <f>3287+(931.2-869.5)+(0+(0-0))+0-721.3-0</f>
        <v>2627.3999999999996</v>
      </c>
    </row>
    <row r="71" spans="1:31" s="2" customFormat="1" x14ac:dyDescent="0.25">
      <c r="A71">
        <v>89</v>
      </c>
      <c r="B71">
        <v>3</v>
      </c>
      <c r="C71">
        <v>9</v>
      </c>
      <c r="D71">
        <v>2</v>
      </c>
      <c r="E71">
        <v>1</v>
      </c>
      <c r="F71" s="3">
        <f>3035.6+(1102.7-1287.7)+(-4.644468+(-1.687131--1.970181))+0-651.4--0.996642000000038</f>
        <v>2195.8352239999999</v>
      </c>
      <c r="G71" s="3">
        <f>2919.2+(1006.8-1200.9)+(-2.977584+(-1.026936--1.224918))+0-669--0.682380000000107</f>
        <v>2054.0027779999996</v>
      </c>
      <c r="H71" s="3">
        <f>2809.1+(960-1087.3)+(-1.432641+(-0.4896--0.554523))+0-710.3--0.362252999999928</f>
        <v>1970.4945350000003</v>
      </c>
      <c r="I71" s="3">
        <f>2811.8+(918.9-1088)+(-5.736072+(-1.874556--2.21952))+0-704.9--1.43799599999997</f>
        <v>1933.8468880000003</v>
      </c>
      <c r="J71" s="3">
        <f>2821.6+(959-1072.8)+(-1.439016+(-0.48909--0.547128))+0-774.1--0.394790999999922</f>
        <v>1932.7138130000001</v>
      </c>
      <c r="K71" s="3">
        <f>2615.8+(987.8-892.4)+(-4.002174+(-1.511334--1.365372))+0-775.6--1.18666800000004</f>
        <v>1932.6385320000006</v>
      </c>
      <c r="L71" s="3">
        <f>2439.7+(702.1-695)+(-4.976988+(-1.432284--1.4178))+0-544--1.10975999999998</f>
        <v>1898.9182879999996</v>
      </c>
      <c r="M71" s="3">
        <f>2508+(759.2-593.3)+(0+(0-0))+0-621.1-0</f>
        <v>2052.8000000000002</v>
      </c>
      <c r="N71" s="3">
        <f>2754.8+(827.6-672.8)+(1.404948+(0.422076-0.343128))+0-589.7-0.30074699999994</f>
        <v>2321.0831490000005</v>
      </c>
      <c r="O71" s="3">
        <f>2918.3+(890.6-798.2)+(-1.488333+(-0.454206--0.407082))+0-528.8--0.269687999999946</f>
        <v>2480.6342310000005</v>
      </c>
      <c r="P71" s="3">
        <f>3098.5+(864.3-725.4)+(1.580235+(0.440793-0.369954))+0-551-0.281009999999944</f>
        <v>2687.7700639999998</v>
      </c>
      <c r="Q71" s="3">
        <f>3128.8+(731.6-659.5)+(0+(0-0))+0-537-0</f>
        <v>2663.9</v>
      </c>
      <c r="R71" s="3">
        <f>3122.7+(697.1-672.5)+(-3.185154+(-0.711042--0.68595))+0-463.8--0.473076000000074</f>
        <v>2680.7628299999997</v>
      </c>
      <c r="S71" s="3">
        <f>3092.4+(702-741.1)+(-3.154248+(-0.71604--0.755922))+0-557.6--0.568752000000089</f>
        <v>2493.1543860000006</v>
      </c>
      <c r="T71" s="3">
        <f>3050.1+(805.4-758.7)+(0+(0-0))+0-574.3-0</f>
        <v>2522.5</v>
      </c>
      <c r="U71" s="3">
        <f>3123.5+(841.6-833.3)+(1.592985+(0.429216-0.424983))+0-597.7-0.304826999999939</f>
        <v>2535.3923910000003</v>
      </c>
      <c r="V71" s="3">
        <f>3155.6+(815.2-832)+(-4.828068+(-1.247256--1.27296))+0-556.1--0.850833000000032</f>
        <v>2578.7484690000001</v>
      </c>
      <c r="W71" s="3">
        <f>3172.7+(905.3-881.8)+(-4.854231+(-1.385109--1.349154))+0-663.8--1.01561400000004</f>
        <v>2528.5254279999999</v>
      </c>
      <c r="X71" s="3">
        <f>3186.9+(930.4-856)+(-13.002552+(-3.796032--3.49248))+0-707.2--2.88537599999994</f>
        <v>2543.6792719999999</v>
      </c>
      <c r="Y71" s="3">
        <f>3135.3+(695.8-758.6)+(-1.599003+(-0.354858--0.386886))+0-665.3--0.339302999999932</f>
        <v>2405.9723279999998</v>
      </c>
      <c r="Z71" s="3">
        <f>3220.2+(963.9-834.7)+(0+(0-0))+0-737-0</f>
        <v>2612.3999999999996</v>
      </c>
      <c r="AA71" s="3">
        <f>3299+(789.6-855)+(-5.04747+(-1.208088--1.30815))+0-613.9--0.939267000000035</f>
        <v>2615.691859</v>
      </c>
      <c r="AB71" s="3">
        <f>3308.8+(865.7-970.3)+(-5.062464+(-1.324521--1.484559))+0-678--1.03734000000004</f>
        <v>2522.334914</v>
      </c>
      <c r="AC71" s="3">
        <f>3263.5+(883.9-1076)+(-8.321925+(-2.253945--2.7438))+0-673.2--1.7166599999999</f>
        <v>2392.0845900000004</v>
      </c>
      <c r="AD71">
        <f t="shared" si="1"/>
        <v>56555.883969000002</v>
      </c>
      <c r="AE71" s="3">
        <f>3270+(878.9-798.9)+(0+(0-0))+0-739.1-0</f>
        <v>2610.9</v>
      </c>
    </row>
    <row r="72" spans="1:31" s="2" customFormat="1" x14ac:dyDescent="0.25">
      <c r="A72">
        <v>89</v>
      </c>
      <c r="B72">
        <v>3</v>
      </c>
      <c r="C72">
        <v>10</v>
      </c>
      <c r="D72">
        <v>3</v>
      </c>
      <c r="E72">
        <v>1</v>
      </c>
      <c r="F72" s="3">
        <f>3058.8+(893.4-1133)+(-1.559988+(-0.455634--0.57783))+0-654.3--0.333692999999934</f>
        <v>2163.795901</v>
      </c>
      <c r="G72" s="3">
        <f>2958.6+(858.9-1071.6)+(-3.017772+(-0.876078--1.093032))+0-676.4--0.689928000000108</f>
        <v>2067.3891100000001</v>
      </c>
      <c r="H72" s="3">
        <f>2883.6+(840.3-1029.4)+(0+(0-0))+0-694.9-0</f>
        <v>1999.6</v>
      </c>
      <c r="I72" s="3">
        <f>2838.5+(842.7-994)+(-4.342905+(-1.289331--1.52082))+0-729.8--1.11659400000004</f>
        <v>1954.4051779999998</v>
      </c>
      <c r="J72" s="3">
        <f>2842.5+(763.7-1054.1)+(-4.349025+(-1.168461--1.612773))+0-600.7--0.919071000000035</f>
        <v>1948.4143580000004</v>
      </c>
      <c r="K72" s="3">
        <f>2866+(831.5-998.9)+(-2.92332+(-0.84813--1.018878))+0-784.7--0.800394000000125</f>
        <v>1911.9478220000001</v>
      </c>
      <c r="L72" s="3">
        <f>2612.9+(691.3-758.2)+(0+(0-0))+0-659.6-0</f>
        <v>1886.4</v>
      </c>
      <c r="M72" s="3">
        <f>2618.8+(757-632.1)+(1.335588+(0.38607-0.322371))+0-679.2-0.346391999999931</f>
        <v>2065.5528950000003</v>
      </c>
      <c r="N72" s="3">
        <f>2880.8+(824.9-706.2)+(2.938416+(0.841398-0.720324))+0-711.9-0.726138000000114</f>
        <v>2289.933352</v>
      </c>
      <c r="O72" s="3">
        <f>3105.1+(847.4-806)+(0+(0-0))+0-668.7-0</f>
        <v>2477.8000000000002</v>
      </c>
      <c r="P72" s="3">
        <f>3136.2+(948.8-771.1)+(1.599462+(0.483888-0.393261))+0-717.4-0.365873999999927</f>
        <v>2597.8242149999996</v>
      </c>
      <c r="Q72" s="3">
        <f>3144.8+(1025.5-746.9)+(1.603848+(0.523005-0.380919))+0-732.4-0.373523999999926</f>
        <v>2692.3724099999999</v>
      </c>
      <c r="R72" s="3">
        <f>3134.7+(925-755)+(-3.197394+(-0.9435--0.7701))+0-604.3--0.616386000000096</f>
        <v>2697.6455920000003</v>
      </c>
      <c r="S72" s="3">
        <f>3114.4+(966.1-920.5)+(-3.176688+(-0.985422--0.93891))+0-654.3--0.667386000000104</f>
        <v>2503.1441860000004</v>
      </c>
      <c r="T72" s="3">
        <f>3098.3+(1008.2-874.2)+(-1.580133+(-0.514182--0.445842))+0-661.6--0.337415999999933</f>
        <v>2569.3889429999999</v>
      </c>
      <c r="U72" s="3">
        <f>3149.6+(969.2-859)+(-3.212592+(-0.988584--0.87618))+0-649.8--0.662796000000104</f>
        <v>2607.3378000000007</v>
      </c>
      <c r="V72" s="3">
        <f>3218.8+(784.3-911)+(-6.566352+(-1.599972--1.85844))+0-478.7--0.976547999999979</f>
        <v>2608.0686640000008</v>
      </c>
      <c r="W72" s="3">
        <f>3221.2+(847.6-889.1)+(-9.856872+(-2.593656--2.720646))+0-612.5--1.87425000000007</f>
        <v>2559.3443679999996</v>
      </c>
      <c r="X72" s="3">
        <f>3156.4+(968.9-926.8)+(-8.04882+(-2.470695--2.36334))+0-696.1--1.7750549999999</f>
        <v>2496.0188800000001</v>
      </c>
      <c r="Y72" s="3">
        <f>2791.1+(721.2-583.4)+(-2.846922+(-0.735624--0.595068))+0-515.2--0.525504000000082</f>
        <v>2411.238026</v>
      </c>
      <c r="Z72" s="3">
        <f>3055.5+(1004.5-765.6)+(-3.11661+(-1.02459--0.780912))+0-672.4--0.685848000000107</f>
        <v>2619.3255600000002</v>
      </c>
      <c r="AA72" s="3">
        <f>3298.5+(882.5-835.8)+(-1.682235+(-0.450075--0.426258))+0-712--0.363119999999928</f>
        <v>2631.8570679999998</v>
      </c>
      <c r="AB72" s="3">
        <f>3329.6+(663.6-959.4)+(-3.396192+(-0.676872--0.978588))+0-503.1--0.51316200000008</f>
        <v>2528.1186860000003</v>
      </c>
      <c r="AC72" s="3">
        <f>3320.8+(754.4-963.8)+(-5.080824+(-1.154232--1.474614))+0-687.2--1.05141600000004</f>
        <v>2420.4909740000003</v>
      </c>
      <c r="AD72">
        <f t="shared" si="1"/>
        <v>56707.413988</v>
      </c>
      <c r="AE72" s="3">
        <f>3273+(933.5-788.5)+(0+(0-0))+0-792.1-0</f>
        <v>2625.9</v>
      </c>
    </row>
    <row r="73" spans="1:31" s="2" customFormat="1" x14ac:dyDescent="0.25">
      <c r="A73">
        <v>89</v>
      </c>
      <c r="B73">
        <v>3</v>
      </c>
      <c r="C73">
        <v>11</v>
      </c>
      <c r="D73">
        <v>4</v>
      </c>
      <c r="E73">
        <v>1</v>
      </c>
      <c r="F73" s="3">
        <f>3274.1+(812.6-1122.9)+(-8.348955+(-2.07213--2.863395))+0-725.3--1.84951499999989</f>
        <v>2232.7918249999993</v>
      </c>
      <c r="G73" s="3">
        <f>3233.6+(725.7-1272.4)+(-4.947408+(-1.110321--1.946772))+0-568.9--0.870417000000033</f>
        <v>2114.7594599999998</v>
      </c>
      <c r="H73" s="3">
        <f>3059+(762.5-1169.1)+(-4.68027+(-1.166625--1.788723))+0-619.9--0.948447000000036</f>
        <v>2029.390275</v>
      </c>
      <c r="I73" s="3">
        <f>3021.3+(782.8-1133.1)+(0+(0-0))+0-671.9-0</f>
        <v>1999.1</v>
      </c>
      <c r="J73" s="3">
        <f>2739.1+(691.7-966.5)+(1.396941+(0.352767-0.492915))+0-481.3-0.245462999999951</f>
        <v>1984.0113300000003</v>
      </c>
      <c r="K73" s="3">
        <f>2627.9+(740.4-888)+(-8.041374+(-2.265624--2.71728))+0-507.4--1.55264400000006</f>
        <v>1966.862926</v>
      </c>
      <c r="L73" s="3">
        <f>2640.2+(672.5-744.3)+(-1.346502+(-0.342975--0.379593))+0-651.9--0.332468999999934</f>
        <v>1915.5225849999997</v>
      </c>
      <c r="M73" s="3">
        <f>2707.7+(527.1-656.6)+(-5.523708+(-1.075284--1.339464))+0-509.4--1.03917599999998</f>
        <v>2064.5796479999995</v>
      </c>
      <c r="N73" s="3">
        <f>2865.9+(599.6-609.4)+(1.461609+(0.305796-0.310794))+0-513.6-0.261935999999948</f>
        <v>2343.6946750000006</v>
      </c>
      <c r="O73" s="3">
        <f>3103.2+(770.5-770.1)+(1.582632+(0.392955-0.392751))+0-583.7-0.297686999999941</f>
        <v>2521.1851490000004</v>
      </c>
      <c r="P73" s="3">
        <f>3202.4+(840.1-810.5)+(-3.266448+(-0.856902--0.82671))+0-618.5--0.630870000000099</f>
        <v>2610.8342299999999</v>
      </c>
      <c r="Q73" s="3">
        <f>3295.2+(669.9-751.5)+(-1.680552+(-0.341649--0.383265))+0-622--0.317219999999937</f>
        <v>2590.278284</v>
      </c>
      <c r="R73" s="3">
        <f>3280.5+(743.7-746.1)+(1.673055+(0.379287-0.380511))+0-565-0.288149999999943</f>
        <v>2714.4836810000002</v>
      </c>
      <c r="S73" s="3">
        <f>3265.1+(713.1-873.8)+(-1.665201+(-0.363681--0.445638))+0-573.5--0.292484999999942</f>
        <v>2529.6092410000001</v>
      </c>
      <c r="T73" s="3">
        <f>3242.7+(698-892.3)+(3.307554+(0.71196-0.910146))+0-462-0.471240000000074</f>
        <v>2589.0381279999997</v>
      </c>
      <c r="U73" s="3">
        <f>3254.7+(741.8-851.7)+(-4.979691+(-1.134954--1.303101))+0-522.8--0.79988400000003</f>
        <v>2617.9883399999999</v>
      </c>
      <c r="V73" s="3">
        <f>3246.7+(830.4-819)+(-3.311634+(-0.847008--0.83538))+0-643.8--0.656676000000103</f>
        <v>2611.6334140000004</v>
      </c>
      <c r="W73" s="3">
        <f>3239.2+(864.7-902.9)+(-8.25996+(-2.204985--2.302395))+0-635.5--1.62052499999991</f>
        <v>2558.9579749999998</v>
      </c>
      <c r="X73" s="3">
        <f>3142.4+(1033.2-963.6)+(-8.01312+(-2.63466--2.45718))+0-712.6--1.8171299999999</f>
        <v>2493.0265300000001</v>
      </c>
      <c r="Y73" s="3">
        <f>3134.9+(839.3-898.6)+(-1.598799+(-0.428043--0.458286))+0-647--0.329969999999934</f>
        <v>2427.3614139999995</v>
      </c>
      <c r="Z73" s="3">
        <f>3187.4+(947.5-860)+(-3.251148+(-0.96645--0.8772))+0-651.2--0.664224000000104</f>
        <v>2621.0238260000006</v>
      </c>
      <c r="AA73" s="3">
        <f>3310.6+(902.6-847.9)+(-1.688406+(-0.460326--0.432429))+0-723.2--0.368831999999927</f>
        <v>2640.7525290000003</v>
      </c>
      <c r="AB73" s="3">
        <f>3332.4+(913.6-963.5)+(-1.699524+(-0.465936--0.491385))+0-704.7--0.359396999999929</f>
        <v>2576.485322</v>
      </c>
      <c r="AC73" s="3">
        <f>3291.9+(1014.4-1147)+(-6.715476+(-2.069376--2.33988))+0-739.4--1.50837599999997</f>
        <v>2414.9634040000001</v>
      </c>
      <c r="AD73">
        <f t="shared" si="1"/>
        <v>57168.334190999994</v>
      </c>
      <c r="AE73" s="3">
        <f>3276+(966.6-807)+(0+(0-0))+0-747.1-0</f>
        <v>2688.5</v>
      </c>
    </row>
    <row r="74" spans="1:31" s="2" customFormat="1" x14ac:dyDescent="0.25">
      <c r="A74">
        <v>89</v>
      </c>
      <c r="B74">
        <v>3</v>
      </c>
      <c r="C74">
        <v>12</v>
      </c>
      <c r="D74">
        <v>5</v>
      </c>
      <c r="E74">
        <v>1</v>
      </c>
      <c r="F74" s="3">
        <f>3254.4+(846-1193.6)+(-1.659744+(-0.43146--0.608736))+0-678.1--0.345830999999931</f>
        <v>2227.5633630000002</v>
      </c>
      <c r="G74" s="3">
        <f>3172.9+(635.1-1095.1)+(-3.236358+(-0.647802--1.117002))+0-636.3--0.649026000000101</f>
        <v>2074.4818679999998</v>
      </c>
      <c r="H74" s="3">
        <f>3026.4+(644.8-1031.4)+(-1.543464+(-0.328848--0.526014))+0-644--0.328439999999935</f>
        <v>1994.7821420000002</v>
      </c>
      <c r="I74" s="3">
        <f>2909.5+(673.1-984.1)+(-5.93538+(-1.373124--2.007564))+0-636.6--1.29866399999997</f>
        <v>1957.8977239999999</v>
      </c>
      <c r="J74" s="3">
        <f>2725+(699.8-832.2)+(1.38975+(0.356898-0.424422))+0-645.6-0.329255999999935</f>
        <v>1947.9929699999998</v>
      </c>
      <c r="K74" s="3">
        <f>2621.5+(845.4-759)+(-5.34786+(-1.724616--1.54836))+0-781.9--1.59507599999997</f>
        <v>1922.07096</v>
      </c>
      <c r="L74" s="3">
        <f>2637.3+(585.4-701.7)+(-5.380092+(-1.194216--1.431468))+0-624.3--1.27357199999997</f>
        <v>1892.8307320000001</v>
      </c>
      <c r="M74" s="3">
        <f>2718.5+(447.5-619.7)+(1.386435+(0.228225-0.316047))+0-460.1-0.234650999999953</f>
        <v>2087.2639620000004</v>
      </c>
      <c r="N74" s="3">
        <f>3082.3+(649.5-793.2)+(-4.715919+(-0.993735--1.213596))+0-598.2--0.915246000000035</f>
        <v>2336.8191879999999</v>
      </c>
      <c r="O74" s="3">
        <f>3152.5+(729.9-823.2)+(-3.21555+(-0.744498--0.839664))+0-565.1--0.57640200000009</f>
        <v>2491.5560180000002</v>
      </c>
      <c r="P74" s="3">
        <f>3196.1+(797.1-812.3)+(0+(0-0))+0-563.7-0</f>
        <v>2617.1999999999998</v>
      </c>
      <c r="Q74" s="3">
        <f>3029.4+(944.3-686.9)+(1.544994+(0.481593-0.350319))+0-568.9-0.290138999999942</f>
        <v>2719.2861290000005</v>
      </c>
      <c r="R74" s="3">
        <f>3003.1+(1059.1-741.7)+(3.063162+(1.080282-0.756534))+11-625.8-0.6383160000001</f>
        <v>2708.448594</v>
      </c>
      <c r="S74" s="3">
        <f>2986+(935.8-767)+(-1.52286+(-0.477258--0.39117))+1.4-622.7--0.317576999999937</f>
        <v>2532.2086289999997</v>
      </c>
      <c r="T74" s="3">
        <f>2972.3+(923.9-755.6)+(-4.547619+(-1.413567--1.156068))+0-548.4--0.839052000000032</f>
        <v>2588.2339339999999</v>
      </c>
      <c r="U74" s="3">
        <f>2959.4+(987.3-757.6)+(0+(0-0))+0-549.9-0</f>
        <v>2639.2</v>
      </c>
      <c r="V74" s="3">
        <f>2957.7+(902.2-863.2)+(-1.508427+(-0.460122--0.440232))+0-386.4--0.197063999999961</f>
        <v>2608.9687469999999</v>
      </c>
      <c r="W74" s="3">
        <f>2993.9+(930.9-851.5)+(-3.053778+(-0.949518--0.86853))+0-463.2--0.472464000000074</f>
        <v>2607.4376980000002</v>
      </c>
      <c r="X74" s="3">
        <f>2997.3+(949.2-882.5)+(-4.585869+(-1.452276--1.350225))+0-544.5--0.833085000000031</f>
        <v>2515.6451650000004</v>
      </c>
      <c r="Y74" s="3">
        <f>3005.9+(948.9-834.2)+(0+(0-0))+0-703.1-0</f>
        <v>2417.5</v>
      </c>
      <c r="Z74" s="3">
        <f>3049.1+(988.3-735.5)+(0+(0-0))+0-672.8-0</f>
        <v>2629.0999999999995</v>
      </c>
      <c r="AA74" s="3">
        <f>3184.8+(834.9-745)+(-3.248496+(-0.851598--0.7599))+0-619.1--0.631482000000099</f>
        <v>2652.8912880000007</v>
      </c>
      <c r="AB74" s="3">
        <f>3213.7+(892.5-819.8)+(-3.277974+(-0.91035--0.836196))+0-713.5--0.727770000000114</f>
        <v>2570.2756419999996</v>
      </c>
      <c r="AC74" s="3">
        <f>3217.8+(924.5-1022.9)+(-4.923234+(-1.414485--1.565037))+0-662.5--1.01362500000004</f>
        <v>2453.1409430000003</v>
      </c>
      <c r="AD74">
        <f t="shared" si="1"/>
        <v>57192.795696000001</v>
      </c>
      <c r="AE74" s="3">
        <f>3149+(950-742.4)+(0+(0-0))+0-691.3-0</f>
        <v>2665.3</v>
      </c>
    </row>
    <row r="75" spans="1:31" s="2" customFormat="1" x14ac:dyDescent="0.25">
      <c r="A75">
        <v>89</v>
      </c>
      <c r="B75">
        <v>3</v>
      </c>
      <c r="C75">
        <v>13</v>
      </c>
      <c r="D75">
        <v>6</v>
      </c>
      <c r="E75">
        <v>1</v>
      </c>
      <c r="F75" s="3">
        <f>3185.9+(1111.2-1321)+(0+(0-0))+0-704.9-0</f>
        <v>2271.2000000000003</v>
      </c>
      <c r="G75" s="3">
        <f>3180.3+(1038.5-1424.1)+(-1.621953+(-0.529635--0.726291))+0-673--0.343229999999932</f>
        <v>2120.6179330000004</v>
      </c>
      <c r="H75" s="3">
        <f>3075+(1150.9-1398.9)+(-3.1365+(-1.173918--1.426878))+0-779.1--0.794682000000124</f>
        <v>2045.8111420000005</v>
      </c>
      <c r="I75" s="3">
        <f>3055.9+(1039.7-1342.7)+(-3.117018+(-1.060494--1.369554))+0-751.1--0.76612200000012</f>
        <v>1999.7581640000005</v>
      </c>
      <c r="J75" s="3">
        <f>3014.3+(828.5-1198)+(-3.074586+(-0.84507--1.22196))+0-662.2--0.675444000000106</f>
        <v>1980.5777480000002</v>
      </c>
      <c r="K75" s="3">
        <f>2777.4+(815-996.5)+(-2.832948+(-0.8313--1.01643))+0-629.8--0.6423960000001</f>
        <v>1964.0945780000004</v>
      </c>
      <c r="L75" s="3">
        <f>2689.7+(673.8-804.9)+(-1.371747+(-0.343638--0.410499))+0-716.5--0.365414999999927</f>
        <v>1841.160529</v>
      </c>
      <c r="M75" s="3">
        <f>2835.3+(710.6-708.3)+(0+(0-0))+0-770.7-0</f>
        <v>2066.9000000000005</v>
      </c>
      <c r="N75" s="3">
        <f>3081.2+(806.7-899.4)+(3.142824+(0.822834-0.917388))+0-670.2-0.683604000000107</f>
        <v>2320.6646659999992</v>
      </c>
      <c r="O75" s="3">
        <f>3146.7+(1018.3-928.5)+(-1.604817+(-0.519333--0.473535))+0-740.9--0.377858999999925</f>
        <v>2494.3272439999996</v>
      </c>
      <c r="P75" s="3">
        <f>3156.6+(1014.6-868.4)+(0+(0-0))+0-705.6-0</f>
        <v>2597.2000000000003</v>
      </c>
      <c r="Q75" s="3">
        <f>3164.9+(944.1-777.6)+(3.228198+(0.962982-0.793152))+0-681.2-0.694824000000109</f>
        <v>2652.9032040000002</v>
      </c>
      <c r="R75" s="3">
        <f>3147.8+(1087.5-848.3)+(0+(0-0))+0-737.2-0</f>
        <v>2649.8</v>
      </c>
      <c r="S75" s="3">
        <f>3129.9+(991.4-905.2)+(-3.192498+(-1.011228--0.923304))+0-709.6--0.723792000000113</f>
        <v>2503.9433700000004</v>
      </c>
      <c r="T75" s="3">
        <f>3116.3+(917.1-925.3)+(-3.178626+(-0.935442--0.943806))+0-579.7--0.591294000000092</f>
        <v>2525.8210320000003</v>
      </c>
      <c r="U75" s="3">
        <f>3105.9+(1038.3-926.9)+(-1.584009+(-0.529533--0.472719))+0-678.5--0.346034999999931</f>
        <v>2537.505212</v>
      </c>
      <c r="V75" s="3">
        <f>3104.6+(898.7-928.6)+(-7.91673+(-2.291685--2.36793))+0-573.3--1.46191499999992</f>
        <v>2495.0214299999998</v>
      </c>
      <c r="W75" s="3">
        <f>3120.2+(856.3-950.3)+(-7.95651+(-2.183565--2.423265))+0-593.6--1.51367999999991</f>
        <v>2426.39687</v>
      </c>
      <c r="X75" s="3">
        <f>3119.2+(887.5-944.6)+(-6.363168+(-1.8105--1.926984))+0-701.7--1.43146799999997</f>
        <v>2355.5847839999997</v>
      </c>
      <c r="Y75" s="3">
        <f>3133.6+(760.1-889.2)+(0+(0-0))+0-704-0</f>
        <v>2300.5</v>
      </c>
      <c r="Z75" s="3">
        <f>3154+(852.6-818.8)+(-4.82562+(-1.304478--1.252764))+0-670.2--1.02540600000004</f>
        <v>2513.7480720000008</v>
      </c>
      <c r="AA75" s="3">
        <f>3187.3+(814.6-775.8)+(-4.876569+(-1.246338--1.186974))+0-675.4--1.03336200000004</f>
        <v>2546.7974290000002</v>
      </c>
      <c r="AB75" s="3">
        <f>3196.8+(951.5-911.3)+(-1.630368+(-0.485265--0.464763))+0-779.5--0.397544999999921</f>
        <v>2456.2466749999999</v>
      </c>
      <c r="AC75" s="3">
        <f>3190.5+(1024.6-1110.9)+(-4.881465+(-1.567638--1.699677))+0-712.4--1.08997200000004</f>
        <v>2388.1405460000001</v>
      </c>
      <c r="AD75">
        <f t="shared" si="1"/>
        <v>56054.720628000003</v>
      </c>
      <c r="AE75" s="3">
        <f>3159+(800-748)+(0+(0-0))+0-654-0</f>
        <v>2557</v>
      </c>
    </row>
    <row r="76" spans="1:31" s="2" customFormat="1" x14ac:dyDescent="0.25">
      <c r="A76">
        <v>89</v>
      </c>
      <c r="B76">
        <v>3</v>
      </c>
      <c r="C76">
        <v>14</v>
      </c>
      <c r="D76">
        <v>7</v>
      </c>
      <c r="E76">
        <v>4</v>
      </c>
      <c r="F76" s="3">
        <f>3144.4+(959.5-1157.2)+(0+(0-0))+0-707.9-0</f>
        <v>2238.7999999999997</v>
      </c>
      <c r="G76" s="3">
        <f>3120.2+(878.6-1148.8)+(-1.591302+(-0.448086--0.585888))+0-750.9--0.382958999999924</f>
        <v>2098.0294589999999</v>
      </c>
      <c r="H76" s="3">
        <f>2845+(930.9-1140.7)+(2.9019+(0.949518-1.163514))+0-638.3-0.651066000000102</f>
        <v>1998.9368379999996</v>
      </c>
      <c r="I76" s="3">
        <f>2764+(1022.6-1088.9)+(-2.81928+(-1.043052--1.110678))+0-760.5--0.775710000000121</f>
        <v>1935.2240559999998</v>
      </c>
      <c r="J76" s="3">
        <f>2776.2+(854.2-1040.8)+(0+(0-0))+0-688-0</f>
        <v>1901.6</v>
      </c>
      <c r="K76" s="3">
        <f>2561+(930.9-855.6)+(0+(0-0))+0-775.3-0</f>
        <v>1861.0000000000002</v>
      </c>
      <c r="L76" s="3">
        <f>2536.7+(813-892)+(0+(0-0))+0-719.1-0</f>
        <v>1738.6</v>
      </c>
      <c r="M76" s="3">
        <f>2533.6+(700.1-760.7)+(-3.876408+(-1.071153--1.163871))+0-696.3--1.06533900000004</f>
        <v>1773.9816489999998</v>
      </c>
      <c r="N76" s="3">
        <f>2546.3+(706.2-717.4)+(-2.597226+(-0.720324--0.731748))+0-682.1--0.695742000000109</f>
        <v>1851.1099400000005</v>
      </c>
      <c r="O76" s="3">
        <f>2601.2+(674.5-688.7)+(-1.326612+(-0.343995--0.351237))+0-633.7--0.323186999999936</f>
        <v>1952.3038169999998</v>
      </c>
      <c r="P76" s="3">
        <f>2767.3+(703.3-842.7)+(1.411323+(0.358683-0.429777))+0-583.3-0.297482999999941</f>
        <v>2045.6427460000002</v>
      </c>
      <c r="Q76" s="3">
        <f>2911.2+(759.6-980.2)+(0+(0-0))+0-589.4-0</f>
        <v>2101.1999999999998</v>
      </c>
      <c r="R76" s="3">
        <f>2954.8+(900.7-985.3)+(-3.013896+(-0.918714--1.005006))+0-742.1--0.756942000000118</f>
        <v>2125.9293380000004</v>
      </c>
      <c r="S76" s="3">
        <f>2951+(884.1-1028.1)+(-3.01002+(-0.901782--1.048662))+0-686.5--0.700230000000109</f>
        <v>2118.33709</v>
      </c>
      <c r="T76" s="3">
        <f>2937.7+(919.1-1034.8)+(-2.996454+(-0.937482--1.055496))+0-731.9--0.746538000000117</f>
        <v>2087.9680980000003</v>
      </c>
      <c r="U76" s="3">
        <f>2945.4+(866.3-1045.8)+(-3.004308+(-0.883626--1.066716))+0-675.1--0.688602000000108</f>
        <v>2088.6673840000003</v>
      </c>
      <c r="V76" s="3">
        <f>2931.5+(778.2-998.7)+(-2.99013+(-0.793764--1.018674))+0-621.8--0.634236000000099</f>
        <v>2087.0690159999995</v>
      </c>
      <c r="W76" s="3">
        <f>2932.3+(851.8-932.2)+(-4.486419+(-1.303254--1.426266))+0-764.3--1.16937900000004</f>
        <v>2084.4059720000005</v>
      </c>
      <c r="X76" s="3">
        <f>2908.3+(631.5-932.4)+(-2.966466+(-0.64413--0.951048))+0-571--0.582420000000091</f>
        <v>2034.3228720000002</v>
      </c>
      <c r="Y76" s="3">
        <f>2709.7+(754.8-767.8)+(-1.381947+(-0.384948--0.391578))+0-687.1--0.35042099999993</f>
        <v>2008.5751039999998</v>
      </c>
      <c r="Z76" s="3">
        <f>2785.6+(1042.3-881.1)+(-1.420656+(-0.531573--0.449361))+0-731.9--0.373268999999926</f>
        <v>2213.7704009999993</v>
      </c>
      <c r="AA76" s="3">
        <f>2991.7+(927.3-928.4)+(-1.525767+(-0.472923--0.473484))+0-651.8--0.332417999999934</f>
        <v>2337.6072119999999</v>
      </c>
      <c r="AB76" s="3">
        <f>3015.7+(909.9-983.7)+(-4.614021+(-1.392147--1.505061))+0-661.4--1.01194200000004</f>
        <v>2277.0108349999996</v>
      </c>
      <c r="AC76" s="3">
        <f>2986.6+(942.9-1059)+(-3.046332+(-0.961758--1.08018))+0-629.3--0.6418860000001</f>
        <v>2238.9139760000003</v>
      </c>
      <c r="AD76">
        <f t="shared" si="1"/>
        <v>49199.005803000015</v>
      </c>
      <c r="AE76" s="3">
        <f>2954+(1032.4-927.3)+(0+(0-0))+0-765.5-0</f>
        <v>2293.6000000000004</v>
      </c>
    </row>
    <row r="77" spans="1:31" s="2" customFormat="1" x14ac:dyDescent="0.25">
      <c r="A77">
        <v>89</v>
      </c>
      <c r="B77">
        <v>3</v>
      </c>
      <c r="C77">
        <v>15</v>
      </c>
      <c r="D77">
        <v>1</v>
      </c>
      <c r="E77">
        <v>4</v>
      </c>
      <c r="F77" s="3">
        <f>2972.3+(1078.8-1263.8)+(-4.547619+(-1.650564--1.933614))+0-678.8--1.03856400000004</f>
        <v>2105.273995</v>
      </c>
      <c r="G77" s="3">
        <f>2978+(995.3-1353.9)+(0+(0-0))+0-651.9-0</f>
        <v>1967.4999999999995</v>
      </c>
      <c r="H77" s="3">
        <f>2988.1+(785.7-1277.8)+(3.047862+(0.801414-1.303356))+0-610-0.622200000000097</f>
        <v>1887.92372</v>
      </c>
      <c r="I77" s="3">
        <f>3010.3+(828.7-1229.4)+(-3.070506+(-0.845274--1.253988))+0-738.4--0.753168000000118</f>
        <v>1869.2913760000006</v>
      </c>
      <c r="J77" s="3">
        <f>2897.6+(813.2-1191.1)+(0+(0-0))+0-687.8-0</f>
        <v>1831.8999999999999</v>
      </c>
      <c r="K77" s="3">
        <f>2824.9+(837.4-1133.2)+(-5.762796+(-1.708296--2.311728))+0-724.9--1.47879599999997</f>
        <v>1800.5194319999996</v>
      </c>
      <c r="L77" s="3">
        <f>2562.5+(846.4-933.2)+(-2.61375+(-0.863328--0.951864))+0-739.7--0.754494000000118</f>
        <v>1734.22928</v>
      </c>
      <c r="M77" s="3">
        <f>2561.2+(791.8-765.1)+(0+(0-0))+0-767.1-0</f>
        <v>1820.7999999999997</v>
      </c>
      <c r="N77" s="3">
        <f>2597.5+(807.6-759.4)+(1.324725+(0.411876-0.387294))+0-725.5-0.370004999999926</f>
        <v>1921.1793019999998</v>
      </c>
      <c r="O77" s="3">
        <f>2833+(966.3-925)+(1.44483+(0.492813-0.47175))+0-728.3-0.371432999999926</f>
        <v>2147.0944600000007</v>
      </c>
      <c r="P77" s="3">
        <f>2888.4+(1059.3-913)+(4.419252+(1.620729-1.39689))+0-750.1-1.14765300000004</f>
        <v>2288.0954379999998</v>
      </c>
      <c r="Q77" s="3">
        <f>2867.4+(1123.6-869.4)+(2.924748+(1.146072-0.886788))+0-745.9-0.760818000000119</f>
        <v>2378.1232139999997</v>
      </c>
      <c r="R77" s="3">
        <f>2896.9+(1066.4-836.9)+(0+(0-0))+0-729.9-0</f>
        <v>2396.5</v>
      </c>
      <c r="S77" s="3">
        <f>2883.2+(935.1-866)+(-1.470432+(-0.476901--0.44166))+0-680.9--0.347258999999931</f>
        <v>2270.2415859999996</v>
      </c>
      <c r="T77" s="3">
        <f>2922.3+(1023.2-852.5)+(0+(0-0))+0-769.4-0</f>
        <v>2323.6</v>
      </c>
      <c r="U77" s="3">
        <f>2933.1+(1051.3-899.2)+(-2.991762+(-1.072326--0.917184))+0-745--0.759900000000119</f>
        <v>2337.8129959999997</v>
      </c>
      <c r="V77" s="3">
        <f>2927.7+(1043.3-885.4)+(-1.493127+(-0.532083--0.451554))+0-755.1--0.385100999999923</f>
        <v>2329.3114449999998</v>
      </c>
      <c r="W77" s="3">
        <f>2928.9+(957.7-870.9)+(-7.468695+(-2.442135--2.220795))+0-716.7--1.8275849999999</f>
        <v>2293.1375500000004</v>
      </c>
      <c r="X77" s="3">
        <f>2932+(1055.2-974)+(-4.48596+(-1.614456--1.49022))+0-767.6--1.17442800000004</f>
        <v>2242.1642320000001</v>
      </c>
      <c r="Y77" s="3">
        <f>2951.9+(987.4-947.9)+(-9.032814+(-3.021444--2.900574))+0-775.6--2.37333600000009</f>
        <v>2209.0196520000004</v>
      </c>
      <c r="Z77" s="3">
        <f>2972.9+(845.3-737.5)+(-1.516179+(-0.431103--0.376125))+0-685.7--0.34970699999993</f>
        <v>2393.7785499999995</v>
      </c>
      <c r="AA77" s="3">
        <f>3005.6+(860-738.7)+(-7.66428+(-2.193--1.883685))+0-662.5--1.6893749999999</f>
        <v>2458.1157799999996</v>
      </c>
      <c r="AB77" s="3">
        <f>3004.7+(981.6-824.2)+(-3.064794+(-1.001232--0.840684))+0-758.7--0.773874000000121</f>
        <v>2400.9485319999999</v>
      </c>
      <c r="AC77" s="3">
        <f>3004+(1135.5-1163)+(-6.12816+(-2.31642--2.37252))+0-659--1.34435999999997</f>
        <v>2312.7723000000001</v>
      </c>
      <c r="AD77">
        <f t="shared" si="1"/>
        <v>51719.332840000003</v>
      </c>
      <c r="AE77" s="3">
        <f>2977+(1103.2-738.7)+(0+(0-0))+0-794-0</f>
        <v>2547.5</v>
      </c>
    </row>
    <row r="78" spans="1:31" s="2" customFormat="1" x14ac:dyDescent="0.25">
      <c r="A78">
        <v>89</v>
      </c>
      <c r="B78">
        <v>3</v>
      </c>
      <c r="C78">
        <v>16</v>
      </c>
      <c r="D78">
        <v>2</v>
      </c>
      <c r="E78">
        <v>1</v>
      </c>
      <c r="F78" s="3">
        <f>2981.3+(1209.7-1407.9)+(-7.602315+(-3.084735--3.590145))+0-610.4--1.55651999999991</f>
        <v>2167.1596150000005</v>
      </c>
      <c r="G78" s="3">
        <f>2921.6+(1284.2-1363.5)+(-4.470048+(-1.964826--2.086155))+0-765.3--1.17090900000004</f>
        <v>2073.8221900000003</v>
      </c>
      <c r="H78" s="3">
        <f>2870.6+(1234.7-1388.6)+(1.464006+(0.629697-0.708186))+0-737.8-0.376277999999925</f>
        <v>1979.9092390000001</v>
      </c>
      <c r="I78" s="3">
        <f>2854.5+(1142.3-1294.9)+(-7.278975+(-2.912865--3.301995))+0-777.7--1.98313499999989</f>
        <v>1919.2932899999994</v>
      </c>
      <c r="J78" s="3">
        <f>2837.2+(1031.4-1193.7)+(0+(0-0))+0-759.4-0</f>
        <v>1915.4999999999995</v>
      </c>
      <c r="K78" s="3">
        <f>2778.4+(1035.5-1169.6)+(-7.08492+(-2.640525--2.98248))+0-727.2--1.85435999999989</f>
        <v>1912.211395</v>
      </c>
      <c r="L78" s="3">
        <f>2494.3+(889.9-817.3)+(1.272093+(0.453849-0.416823))+0-713.3-0.363782999999928</f>
        <v>1854.5453360000001</v>
      </c>
      <c r="M78" s="3">
        <f>2521.6+(991.8-802.7)+(-1.286016+(-0.505818--0.409377))+0-648.8--0.330887999999934</f>
        <v>2060.8484309999999</v>
      </c>
      <c r="N78" s="3">
        <f>2918.1+(1126.8-904.5)+(0+(0-0))+0-714.4-0</f>
        <v>2425.9999999999995</v>
      </c>
      <c r="O78" s="3">
        <f>2997.7+(927.8-846.3)+(1.528827+(0.473178-0.431613))+0-571-0.291209999999942</f>
        <v>2509.479182</v>
      </c>
      <c r="P78" s="3">
        <f>2983.1+(1116.9-817.5)+(0+(0-0))+0-656.2-0</f>
        <v>2626.3</v>
      </c>
      <c r="Q78" s="3">
        <f>2967.9+(1301-893.5)+(1.513629+(0.66351-0.455685))+0-648.4-0.330683999999934</f>
        <v>2728.39077</v>
      </c>
      <c r="R78" s="3">
        <f>2947+(1515.9-1011.4)+(-1.50297+(-0.773109--0.515814))+0-665.6--0.339455999999932</f>
        <v>2784.4791910000004</v>
      </c>
      <c r="S78" s="3">
        <f>2948+(1148.9-909.4)+(-3.00696+(-1.171878--0.927588))+0-598.7--0.610674000000096</f>
        <v>2586.1594239999999</v>
      </c>
      <c r="T78" s="3">
        <f>2951.2+(1233.4-910.1)+(-3.010224+(-1.258068--0.928302))+0-628.6--0.6411720000001</f>
        <v>2643.2011820000002</v>
      </c>
      <c r="U78" s="3">
        <f>2954.7+(1239.4-871.1)+(-3.013794+(-1.264188--0.888522))+0-638.8--0.651576000000102</f>
        <v>2681.4621160000006</v>
      </c>
      <c r="V78" s="3">
        <f>2952.9+(1105.6-768.1)+(-6.023916+(-2.255424--1.566924))+0-641.6--1.30886399999997</f>
        <v>2643.3964480000004</v>
      </c>
      <c r="W78" s="3">
        <f>3017.9+(1000-723.8)+(-7.695645+(-2.55--1.84569))+0-705.8--1.7997899999999</f>
        <v>2581.6998350000003</v>
      </c>
      <c r="X78" s="3">
        <f>2977.7+(881.3-769)+(-9.111762+(-2.696778--2.35314))+0-562.8--1.72216800000006</f>
        <v>2519.4667680000002</v>
      </c>
      <c r="Y78" s="3">
        <f>2842.4+(916.9-646.6)+(-5.798496+(-1.870476--1.319064))+0-637--1.29947999999997</f>
        <v>2470.6495719999998</v>
      </c>
      <c r="Z78" s="3">
        <f>2964.4+(996-666.4)+(0+(0-0))+0-666.1-0</f>
        <v>2627.9</v>
      </c>
      <c r="AA78" s="3">
        <f>3146.4+(787.2-807.2)+(-8.02332+(-2.00736--2.05836))+0-504.1--1.28545499999993</f>
        <v>2615.6131350000001</v>
      </c>
      <c r="AB78" s="3">
        <f>3168+(768.6-777.9)+(-6.46272+(-1.567944--1.586916))+0-630--1.28519999999997</f>
        <v>2523.5414519999995</v>
      </c>
      <c r="AC78" s="3">
        <f>3214.2+(756.5-931.5)+(-9.835452+(-2.31489--2.85039))+0-632.7--1.93606200000007</f>
        <v>2399.1361099999999</v>
      </c>
      <c r="AD78">
        <f t="shared" si="1"/>
        <v>57250.164681000002</v>
      </c>
      <c r="AE78" s="3">
        <f>3123+(766.5-784.9)+(0+(0-0))+0-508.9-0</f>
        <v>2595.6999999999998</v>
      </c>
    </row>
    <row r="79" spans="1:31" s="2" customFormat="1" x14ac:dyDescent="0.25">
      <c r="A79">
        <v>89</v>
      </c>
      <c r="B79">
        <v>3</v>
      </c>
      <c r="C79">
        <v>17</v>
      </c>
      <c r="D79">
        <v>3</v>
      </c>
      <c r="E79">
        <v>1</v>
      </c>
      <c r="F79" s="3">
        <f>3080.2+(602.2-902.7)+(0+(0-0))+0-548.2-0</f>
        <v>2231.5</v>
      </c>
      <c r="G79" s="3">
        <f>3042.2+(685.8-856.5)+(-3.103044+(-0.699516--0.87363))+0-766.4--0.781728000000122</f>
        <v>2102.9527979999998</v>
      </c>
      <c r="H79" s="3">
        <f>2973.5+(638.7-954.6)+(0+(0-0))+0-627.8-0</f>
        <v>2029.8</v>
      </c>
      <c r="I79" s="3">
        <f>2983.2+(696-1080.6)+(-4.564296+(-1.06488--1.653318))+0-606.9--0.928557000000035</f>
        <v>1988.652699</v>
      </c>
      <c r="J79" s="3">
        <f>2989.8+(708.9-1036.4)+(-1.524798+(-0.361539--0.528564))+0-680.3--0.346952999999931</f>
        <v>1980.98918</v>
      </c>
      <c r="K79" s="3">
        <f>2995.7+(847.9-1180.2)+(-6.111228+(-1.729716--2.407608))+0-705.2--1.43860799999997</f>
        <v>1954.2052719999995</v>
      </c>
      <c r="L79" s="3">
        <f>3037.6+(650.8-1105.6)+(-3.098352+(-0.663816--1.127712))+0-657.9--0.671058000000105</f>
        <v>1922.9366020000004</v>
      </c>
      <c r="M79" s="3">
        <f>3029.4+(637.7-957.9)+(0+(0-0))+0-658-0</f>
        <v>2051.2000000000003</v>
      </c>
      <c r="N79" s="3">
        <f>3097.2+(800.3-871.4)+(-1.579572+(-0.408153--0.444414))+0-671.4--0.342413999999932</f>
        <v>2353.4991029999996</v>
      </c>
      <c r="O79" s="3">
        <f>3177.5+(819-833.2)+(-3.24105+(-0.83538--0.849864))+0-584.3--0.595986000000093</f>
        <v>2576.3694200000009</v>
      </c>
      <c r="P79" s="3">
        <f>3195.8+(823.8-791.6)+(-1.629858+(-0.420138--0.403716))+0-596.3--0.304112999999939</f>
        <v>2630.357833</v>
      </c>
      <c r="Q79" s="3">
        <f>3169.2+(835.9-758)+(0+(0-0))+0-583.2-0</f>
        <v>2663.8999999999996</v>
      </c>
      <c r="R79" s="3">
        <f>3148.9+(927.6-788.5)+(-3.211878+(-0.946152--0.80427))+0-656.9--0.670038000000105</f>
        <v>2628.4162780000001</v>
      </c>
      <c r="S79" s="3">
        <f>3136.6+(921.6-756.6)+(-4.798998+(-1.410048--1.157598))+0-700.7--1.07207100000004</f>
        <v>2596.9206229999995</v>
      </c>
      <c r="T79" s="3">
        <f>3124.3+(997-873.9)+(-3.186786+(-1.01694--0.891378))+0-579.5--0.591090000000092</f>
        <v>2665.1787420000001</v>
      </c>
      <c r="U79" s="3">
        <f>3135.7+(948.5-840.3)+(-1.599207+(-0.483735--0.428553))+0-536--0.273359999999946</f>
        <v>2706.518971</v>
      </c>
      <c r="V79" s="3">
        <f>3130.6+(976.4-870.2)+(-3.193212+(-0.995928--0.887604))+0-564.1--0.57538200000009</f>
        <v>2669.9738459999999</v>
      </c>
      <c r="W79" s="3">
        <f>2936.6+(933.6-712.6)+(-5.990664+(-1.904544--1.453704))+0-529.9--1.08099599999998</f>
        <v>2622.3394920000001</v>
      </c>
      <c r="X79" s="3">
        <f>2943.5+(948.4-706.1)+(-6.00474+(-1.934736--1.440444))+0-624.3--1.27357199999997</f>
        <v>2556.2745400000003</v>
      </c>
      <c r="Y79" s="3">
        <f>2981.3+(1098.7-870)+(-4.561389+(-1.681011--1.3311))+0-732.2--1.12026600000004</f>
        <v>2474.0089659999994</v>
      </c>
      <c r="Z79" s="3">
        <f>3086.8+(1106.4-792.9)+(-4.722804+(-1.692792--1.213137))+0-722.2--1.10496600000004</f>
        <v>2674.0025070000002</v>
      </c>
      <c r="AA79" s="3">
        <f>3149.6+(965.2-728.7)+(-3.212592+(-0.984504--0.743274))+0-678--0.691560000000108</f>
        <v>2705.3377380000002</v>
      </c>
      <c r="AB79" s="3">
        <f>3151.6+(928.6-833.2)+(-4.821948+(-1.420758--1.274796))+0-669.2--1.02387600000004</f>
        <v>2573.8559660000001</v>
      </c>
      <c r="AC79" s="3">
        <f>3171.9+(936.6-938.1)+(-4.853007+(-1.432998--1.435293))+0-711.9--1.08920700000004</f>
        <v>2454.7384950000001</v>
      </c>
      <c r="AD79">
        <f t="shared" si="1"/>
        <v>57813.929070999999</v>
      </c>
      <c r="AE79" s="3">
        <f>3128+(1080.8-753.1)+(0+(0-0))+0-785.6-0</f>
        <v>2670.1</v>
      </c>
    </row>
    <row r="80" spans="1:31" s="2" customFormat="1" x14ac:dyDescent="0.25">
      <c r="A80">
        <v>89</v>
      </c>
      <c r="B80">
        <v>3</v>
      </c>
      <c r="C80">
        <v>18</v>
      </c>
      <c r="D80">
        <v>4</v>
      </c>
      <c r="E80">
        <v>1</v>
      </c>
      <c r="F80" s="3">
        <f>3158.3+(1078.7-1237.3)+(-4.832199+(-1.650411--1.893069))+0-739--1.13067000000004</f>
        <v>2257.2411290000005</v>
      </c>
      <c r="G80" s="3">
        <f>3168.2+(1095.7-1367.2)+(-8.07891+(-2.794035--3.48636))+0-775.3--1.97701499999989</f>
        <v>2115.9904299999994</v>
      </c>
      <c r="H80" s="3">
        <f>3109.2+(985.4-1366.4)+(0+(0-0))+0-690.6-0</f>
        <v>2037.6</v>
      </c>
      <c r="I80" s="3">
        <f>3074.5+(937.5-1325.2)+(-6.27198+(-1.9125--2.703408))+0-675.3--1.37761199999997</f>
        <v>2007.3965400000002</v>
      </c>
      <c r="J80" s="3">
        <f>2903.6+(944.4-1080.2)+(-1.480836+(-0.481644--0.550902))+0-770--0.392699999999922</f>
        <v>1996.7811219999994</v>
      </c>
      <c r="K80" s="3">
        <f>2761.6+(988.9-1069.2)+(-8.450496+(-3.026034--3.271752))+0-710.1--2.17290600000008</f>
        <v>1965.168128</v>
      </c>
      <c r="L80" s="3">
        <f>2724.5+(923.1-970.7)+(-2.77899+(-0.941562--0.990114))+0-740.5--0.755310000000118</f>
        <v>1934.4248720000001</v>
      </c>
      <c r="M80" s="3">
        <f>3036.5+(776.6-980.2)+(0+(0-0))+0-746.9-0</f>
        <v>2086</v>
      </c>
      <c r="N80" s="3">
        <f>3109+(877.7-933.4)+(-3.17118+(-0.895254--0.952068))+0-701.8--0.715836000000112</f>
        <v>2349.1014700000005</v>
      </c>
      <c r="O80" s="3">
        <f>3165.3+(1007.2-943.7)+(4.842909+(1.541016-1.443861))+0-704-1.07712000000004</f>
        <v>2528.6629440000002</v>
      </c>
      <c r="P80" s="3">
        <f>3176.7+(930.5-797.1)+(-3.240234+(-0.94911--0.813042))+0-678.7--0.692274000000108</f>
        <v>2628.715972</v>
      </c>
      <c r="Q80" s="3">
        <f>3141.8+(1112.6-872.5)+(3.204636+(1.134852-0.88995))+0-661.5-0.674730000000106</f>
        <v>2723.1748079999998</v>
      </c>
      <c r="R80" s="3">
        <f>3125.5+(1312.1-913.5)+(-4.782015+(-2.007513--1.397655))+0-743.7--1.13786100000004</f>
        <v>2776.1459880000002</v>
      </c>
      <c r="S80" s="3">
        <f>3109.2+(945.1-749.1)+(-3.171384+(-0.964002--0.764082))+0-701.2--0.715224000000112</f>
        <v>2601.3439199999998</v>
      </c>
      <c r="T80" s="3">
        <f>3097.5+(1008.3-747.2)+(1.579725+(0.514233-0.381072))+0-670.5-0.341954999999932</f>
        <v>2689.4709309999998</v>
      </c>
      <c r="U80" s="3">
        <f>3093.8+(1047.5-752.7)+(0+(0-0))+0-711.7-0</f>
        <v>2676.9000000000005</v>
      </c>
      <c r="V80" s="3">
        <f>3072.4+(1073.7-751.3)+(0+(0-0))+0-685.4-0</f>
        <v>2709.4</v>
      </c>
      <c r="W80" s="3">
        <f>3080+(979.6-759.8)+(-6.2832+(-1.998384--1.549992))+0-724--1.47695999999997</f>
        <v>2570.5453680000001</v>
      </c>
      <c r="X80" s="3">
        <f>3032.2+(1026.7-891)+(-6.185688+(-2.094468--1.81764))+0-625.8--1.27663199999997</f>
        <v>2536.9141159999999</v>
      </c>
      <c r="Y80" s="3">
        <f>2964.8+(1029.4-854.5)+(-12.096384+(-4.199952--3.48636))+0-696.8--2.84294399999994</f>
        <v>2432.9329680000001</v>
      </c>
      <c r="Z80" s="3">
        <f>3082.7+(978.1-752.2)+(-6.288708+(-1.995324--1.534488))+0-678.4--1.38393599999997</f>
        <v>2624.8343920000002</v>
      </c>
      <c r="AA80" s="3">
        <f>3184.2+(956.6-770.7)+(-3.247884+(-0.975732--0.786114))+0-702.9--0.716958000000112</f>
        <v>2664.4794559999996</v>
      </c>
      <c r="AB80" s="3">
        <f>3208.8+(862.2-752.6)+(-4.909464+(-1.319166--1.151478))+0-726--1.11078000000004</f>
        <v>2588.4336280000002</v>
      </c>
      <c r="AC80" s="3">
        <f>3207.5+(777.3-864.8)+(-6.5433+(-1.585692--1.764192))+0-639.9--1.30539599999997</f>
        <v>2475.0405959999998</v>
      </c>
      <c r="AD80">
        <f t="shared" si="1"/>
        <v>57976.698778000005</v>
      </c>
      <c r="AE80" s="3">
        <f>3172+(1076.1-742.1)+(0+(0-0))+0-881-0</f>
        <v>2625</v>
      </c>
    </row>
    <row r="81" spans="1:31" s="2" customFormat="1" x14ac:dyDescent="0.25">
      <c r="A81">
        <v>89</v>
      </c>
      <c r="B81">
        <v>3</v>
      </c>
      <c r="C81">
        <v>19</v>
      </c>
      <c r="D81">
        <v>5</v>
      </c>
      <c r="E81">
        <v>1</v>
      </c>
      <c r="F81" s="3">
        <f>3173.6+(927.9-1097.9)+(-4.855608+(-1.419687--1.679787))+0-712.3--1.08981900000004</f>
        <v>2287.7943110000001</v>
      </c>
      <c r="G81" s="3">
        <f>3184.7+(1033.7-1315.4)+(-6.496788+(-2.108748--2.683416))+0-741.5--1.51265999999997</f>
        <v>2157.0905399999997</v>
      </c>
      <c r="H81" s="3">
        <f>3082.6+(994.5-1279.3)+(-3.144252+(-1.01439--1.304886))+0-715.8--0.730116000000114</f>
        <v>2079.8763600000007</v>
      </c>
      <c r="I81" s="3">
        <f>2993.1+(1008.5-1160.5)+(-7.632405+(-2.571675--2.959275))+0-791.9--2.01934499999988</f>
        <v>2043.9745399999999</v>
      </c>
      <c r="J81" s="3">
        <f>2994.4+(930-1167.2)+(3.054288+(0.9486-1.190544))+0-730.1-0.744702000000116</f>
        <v>2029.1676419999997</v>
      </c>
      <c r="K81" s="3">
        <f>2902.5+(962.6-1112.8)+(-7.401375+(-2.45463--2.83764))+0-733.6--1.87067999999989</f>
        <v>2013.5523150000004</v>
      </c>
      <c r="L81" s="3">
        <f>2689.4+(854.3-915.4)+(-1.371594+(-0.435693--0.466854))+0-663.9--0.338588999999933</f>
        <v>1963.3981560000002</v>
      </c>
      <c r="M81" s="3">
        <f>2797.8+(752-742.3)+(2.853756+(0.76704-0.757146))+0-700.3-0.714306000000112</f>
        <v>2109.3493439999997</v>
      </c>
      <c r="N81" s="3">
        <f>3097.1+(798.2-850.1)+(0+(0-0))+0-689.8-0</f>
        <v>2355.3999999999996</v>
      </c>
      <c r="O81" s="3">
        <f>3141.1+(985.9-834.2)+(0+(0-0))+0-762.9-0</f>
        <v>2529.8999999999996</v>
      </c>
      <c r="P81" s="3">
        <f>3179.6+(903.5-757.4)+(-3.243192+(-0.92157--0.772548))+0-695.1--0.709002000000111</f>
        <v>2627.916788</v>
      </c>
      <c r="Q81" s="3">
        <f>3162.3+(1103-799.8)+(3.225546+(1.12506-0.815796))+0-743.5-0.758370000000119</f>
        <v>2724.7764400000001</v>
      </c>
      <c r="R81" s="3">
        <f>3151.6+(1244.9-859.5)+(-4.821948+(-1.904697--1.315035))+0-772.2--1.18146600000004</f>
        <v>2760.5698560000001</v>
      </c>
      <c r="S81" s="3">
        <f>3133.1+(1019-809.3)+(-1.597881+(-0.51969--0.412743))+0-759.1--0.387140999999923</f>
        <v>2582.3823130000001</v>
      </c>
      <c r="T81" s="3">
        <f>3120.3+(1065.2-865.5)+(-1.591353+(-0.543252--0.441405))+0-669.1--0.341240999999932</f>
        <v>2649.548041</v>
      </c>
      <c r="U81" s="3">
        <f>3132.6+(940.1-862.1)+(-3.195252+(-0.958902--0.879342))+0-506.2--0.516324000000081</f>
        <v>2701.6415120000001</v>
      </c>
      <c r="V81" s="3">
        <f>3125.5+(986.5-825.4)+(-4.782015+(-1.509345--1.262862))+0-676.3--1.03473900000004</f>
        <v>2606.3062409999998</v>
      </c>
      <c r="W81" s="3">
        <f>3125.3+(998.6-748.8)+(-4.781709+(-1.527858--1.145664))+0-717.5--1.09777500000004</f>
        <v>2653.5338720000004</v>
      </c>
      <c r="X81" s="3">
        <f>3132.5+(1094.4-902.3)+(-7.987875+(-2.79072--2.300865))+0-761.8--1.94258999999989</f>
        <v>2556.2648600000007</v>
      </c>
      <c r="Y81" s="3">
        <f>3142.3+(871.4-901.5)+(-8.012865+(-2.22207--2.298825))+0-673--1.7161499999999</f>
        <v>2432.9800399999999</v>
      </c>
      <c r="Z81" s="3">
        <f>3164+(1031.9-759.2)+(-3.22728+(-1.052538--0.774384))+0-815.6--0.83191200000013</f>
        <v>2618.4264779999999</v>
      </c>
      <c r="AA81" s="3">
        <f>3200+(1004.5-759.3)+(-4.896+(-1.536885--1.161729))+0-748.9--1.14581700000004</f>
        <v>2692.174661</v>
      </c>
      <c r="AB81" s="3">
        <f>3209.8+(869.4-754.6)+(-8.18499+(-2.21697--1.92423))+0-747.8--1.90688999999989</f>
        <v>2570.2291600000003</v>
      </c>
      <c r="AC81" s="3">
        <f>3219.7+(895.3-926.6)+(0+(0-0))+0-715.1-0</f>
        <v>2473.2999999999997</v>
      </c>
      <c r="AD81">
        <f t="shared" si="1"/>
        <v>58219.553470000013</v>
      </c>
      <c r="AE81" s="3">
        <f>3183+(1129.6-770.7)+(0+(0-0))+0-827.5-0</f>
        <v>2714.3999999999996</v>
      </c>
    </row>
    <row r="82" spans="1:31" s="2" customFormat="1" x14ac:dyDescent="0.25">
      <c r="A82">
        <v>89</v>
      </c>
      <c r="B82">
        <v>3</v>
      </c>
      <c r="C82">
        <v>20</v>
      </c>
      <c r="D82">
        <v>6</v>
      </c>
      <c r="E82">
        <v>1</v>
      </c>
      <c r="F82" s="3">
        <f>3208.6+(962-1311.7)+(-3.272772+(-0.98124--1.337934))+0-567.1--0.57844200000009</f>
        <v>2289.4623639999995</v>
      </c>
      <c r="G82" s="3">
        <f>3214.2+(937.8-1385.2)+(4.917726+(1.434834-2.119356))+0-618.1-0.945693000000036</f>
        <v>2151.9875109999998</v>
      </c>
      <c r="H82" s="3">
        <f>3221.4+(926.7-1329.2)+(0+(0-0))+0-738.7-0</f>
        <v>2080.1999999999998</v>
      </c>
      <c r="I82" s="3">
        <f>3223+(909.6-1325.4)+(1.64373+(0.463896-0.675954))+0-776.6-0.396065999999921</f>
        <v>2031.6356060000001</v>
      </c>
      <c r="J82" s="3">
        <f>3157.1+(901.3-1331.1)+(-3.220242+(-0.919326--1.357722))+0-705.3--0.719406000000112</f>
        <v>2019.9375600000005</v>
      </c>
      <c r="K82" s="3">
        <f>3023.2+(987.4-1261.8)+(-4.625496+(-1.510722--1.930554))+0-791.2--1.21053600000005</f>
        <v>1954.6048719999997</v>
      </c>
      <c r="L82" s="3">
        <f>2817.1+(1046.4-1118.5)+(-1.436721+(-0.533664--0.570435))+0-806.7--0.411416999999918</f>
        <v>1937.311467</v>
      </c>
      <c r="M82" s="3">
        <f>2978.7+(881.2-1100.8)+(1.519137+(0.449412-0.561408))+0-774.7-0.395096999999921</f>
        <v>1985.4120440000002</v>
      </c>
      <c r="N82" s="3">
        <f>3197.5+(938.5-1073.7)+(3.26145+(0.95727-1.095174))+0-764-0.779280000000122</f>
        <v>2300.6442659999998</v>
      </c>
      <c r="O82" s="3">
        <f>3216.2+(1014.9-970.5)+(6.561048+(2.070396-1.97982))+0-757-1.54427999999997</f>
        <v>2508.7073439999999</v>
      </c>
      <c r="P82" s="3">
        <f>3189.7+(859.8-803.3)+(3.253494+(0.876996-0.819366))+0-666.2-0.679524000000106</f>
        <v>2582.6315999999997</v>
      </c>
      <c r="Q82" s="3">
        <f>3141.9+(1315.5-1088.3)+(3.204738+(1.34181-1.110066))+0-818.4-0.834768000000131</f>
        <v>2553.3017140000002</v>
      </c>
      <c r="R82" s="3">
        <f>3116.7+(1250.8-1100.2)+(1.589517+(0.637908-0.561102))+0-754.6-0.384845999999923</f>
        <v>2513.9814769999998</v>
      </c>
      <c r="S82" s="3">
        <f>3098.5+(1117.4-889.8)+(0+(0-0))+0-770.7-0</f>
        <v>2555.4000000000005</v>
      </c>
      <c r="T82" s="3">
        <f>3086+(1033-878.8)+(0+(0-0))+0-664.4-0</f>
        <v>2575.7999999999997</v>
      </c>
      <c r="U82" s="3">
        <f>3100.3+(1053.1-774.9)+(-1.581153+(-0.537081--0.395199))+0-800.7--0.408356999999919</f>
        <v>2576.485322</v>
      </c>
      <c r="V82" s="3">
        <f>3095+(933.4-758.1)+(-3.1569+(-0.952068--0.773262))+0-716.8--0.731136000000114</f>
        <v>2550.8954300000005</v>
      </c>
      <c r="W82" s="3">
        <f>3105.7+(904.2-811.8)+(-4.751721+(-1.383426--1.242054))+0-709--1.08477000000004</f>
        <v>2485.2916769999997</v>
      </c>
      <c r="X82" s="3">
        <f>3103.6+(1004.5-978.3)+(-7.91418+(-2.561475--2.494665))+0-702.5--1.7913749999999</f>
        <v>2421.110385</v>
      </c>
      <c r="Y82" s="3">
        <f>3014.1+(1070.7-979.9)+(-4.611573+(-1.638171--1.499247))+0-739.8--1.13189400000004</f>
        <v>2361.4813970000005</v>
      </c>
      <c r="Z82" s="3">
        <f>3093.5+(1048.8-869.6)+(-1.577685+(-0.534888--0.443496))+0-730.2--0.372401999999926</f>
        <v>2541.2033249999995</v>
      </c>
      <c r="AA82" s="3">
        <f>3138.5+(977.8-732.7)+(-3.20127+(-0.997356--0.747354))+0-787.3--0.803046000000125</f>
        <v>2593.6517739999999</v>
      </c>
      <c r="AB82" s="3">
        <f>3128.8+(918-783.8)+(-3.191376+(-0.93636--0.799476))+0-775.8--0.791316000000124</f>
        <v>2484.6630559999999</v>
      </c>
      <c r="AC82" s="3">
        <f>3148.7+(919.1-927.1)+(-1.605837+(-0.468741--0.472821))+0-718.1--0.366230999999927</f>
        <v>2421.364474</v>
      </c>
      <c r="AD82">
        <f t="shared" si="1"/>
        <v>56477.164665000004</v>
      </c>
      <c r="AE82" s="3">
        <f>3146+(975.2-745.7)+(0+(0-0))+0-836.1-0</f>
        <v>2539.4</v>
      </c>
    </row>
    <row r="83" spans="1:31" s="2" customFormat="1" x14ac:dyDescent="0.25">
      <c r="A83">
        <v>89</v>
      </c>
      <c r="B83">
        <v>3</v>
      </c>
      <c r="C83">
        <v>21</v>
      </c>
      <c r="D83">
        <v>7</v>
      </c>
      <c r="E83">
        <v>1</v>
      </c>
      <c r="F83" s="3">
        <f>3106.8+(954.8-978.5)+(0+(0-0))+0-806.8-0</f>
        <v>2276.3000000000002</v>
      </c>
      <c r="G83" s="3">
        <f>3089.3+(786.4-1002.2)+(-4.726629+(-1.203192--1.533366))+0-741.5--1.13449500000004</f>
        <v>2128.7380400000002</v>
      </c>
      <c r="H83" s="3">
        <f>3062.2+(792.2-1045.1)+(0+(0-0))+0-774.2-0</f>
        <v>2035.1000000000001</v>
      </c>
      <c r="I83" s="3">
        <f>2954.4+(799-1105.5)+(0+(0-0))+0-688.3-0</f>
        <v>1959.6000000000001</v>
      </c>
      <c r="J83" s="3">
        <f>2859.1+(907.3-1055)+(2.916282+(0.925446-1.0761))+0-782.6-0.798252000000125</f>
        <v>1930.7673759999998</v>
      </c>
      <c r="K83" s="3">
        <f>2824.2+(896.8-1183.5)+(-5.761368+(-1.829472--2.41434))+0-655.3--1.33681199999997</f>
        <v>1878.360312</v>
      </c>
      <c r="L83" s="3">
        <f>2503.4+(888.6-951)+(0+(0-0))+0-671.4-0</f>
        <v>1769.6</v>
      </c>
      <c r="M83" s="3">
        <f>2491.7+(906.4-888.8)+(-3.812301+(-1.386792--1.359864))+0-713.3--1.09134900000004</f>
        <v>1793.2521199999996</v>
      </c>
      <c r="N83" s="3">
        <f>2717.1+(861.6-999.6)+(0+(0-0))+0-682.2-0</f>
        <v>1896.8999999999999</v>
      </c>
      <c r="O83" s="3">
        <f>2937.2+(674.8-882.1)+(0+(0-0))+0-700.6-0</f>
        <v>2029.2999999999997</v>
      </c>
      <c r="P83" s="3">
        <f>2940.2+(722.5-875.7)+(-1.499502+(-0.368475--0.446607))+0-654.1--0.333590999999934</f>
        <v>2131.8122210000001</v>
      </c>
      <c r="Q83" s="3">
        <f>2931.1+(575.8-742.9)+(4.484583+(0.880974-1.136637))+0-566.8-0.867204000000033</f>
        <v>2200.5617160000002</v>
      </c>
      <c r="R83" s="3">
        <f>3021.1+(612.4-776.9)+(0+(0-0))+0-608.7-0</f>
        <v>2247.8999999999996</v>
      </c>
      <c r="S83" s="3">
        <f>3019.8+(727.4-781.2)+(0+(0-0))+0-747.7-0</f>
        <v>2218.3000000000002</v>
      </c>
      <c r="T83" s="3">
        <f>3083.4+(727-882.4)+(-3.145068+(-0.74154--0.900048))+0-747.3--0.762246000000119</f>
        <v>2178.4756860000007</v>
      </c>
      <c r="U83" s="3">
        <f>3086.2+(677.7-900.6)+(0+(0-0))+0-708.4-0</f>
        <v>2154.8999999999996</v>
      </c>
      <c r="V83" s="3">
        <f>3080.2+(606.8-895.5)+(0+(0-0))+0-632.6-0</f>
        <v>2158.9</v>
      </c>
      <c r="W83" s="3">
        <f>3083+(676.4-909.4)+(1.57233+(0.344964-0.463794))+0-709-0.361589999999928</f>
        <v>2142.0919100000001</v>
      </c>
      <c r="X83" s="3">
        <f>3048.6+(766.7-1044.9)+(-1.554786+(-0.391017--0.532899))+0-669--0.341189999999932</f>
        <v>2100.3282859999999</v>
      </c>
      <c r="Y83" s="3">
        <f>2887.9+(655-852)+(0+(0-0))+0-634.6-0</f>
        <v>2056.3000000000002</v>
      </c>
      <c r="Z83" s="3">
        <f>3033.4+(775.9-873.8)+(-1.547034+(-0.395709--0.445638))+0-631.4--0.322013999999936</f>
        <v>2302.9249089999998</v>
      </c>
      <c r="AA83" s="3">
        <f>3152.8+(785.8-756.4)+(1.607928+(0.400758-0.385764))+0-759.4-0.387293999999923</f>
        <v>2424.0356280000001</v>
      </c>
      <c r="AB83" s="3">
        <f>3167.3+(739.3-795.9)+(-3.230646+(-0.754086--0.811818))+0-735.8--0.750516000000117</f>
        <v>2372.4776019999999</v>
      </c>
      <c r="AC83" s="3">
        <f>3182.6+(771.6-927.3)+(-4.869378+(-1.180548--1.418769))+0-717.1--1.09716300000004</f>
        <v>2306.2660060000003</v>
      </c>
      <c r="AD83">
        <f t="shared" si="1"/>
        <v>50693.191812000005</v>
      </c>
      <c r="AE83" s="3">
        <f>3138+(894.3-765.3)+(0+(0-0))+0-791-0</f>
        <v>2476</v>
      </c>
    </row>
    <row r="84" spans="1:31" s="2" customFormat="1" x14ac:dyDescent="0.25">
      <c r="A84">
        <v>89</v>
      </c>
      <c r="B84">
        <v>3</v>
      </c>
      <c r="C84">
        <v>22</v>
      </c>
      <c r="D84">
        <v>1</v>
      </c>
      <c r="E84">
        <v>1</v>
      </c>
      <c r="F84" s="3">
        <f>3163.5+(834-1067.5)+(-3.22677+(-0.85068--1.08885))+0-772.7--0.788154000000123</f>
        <v>2155.0995539999999</v>
      </c>
      <c r="G84" s="3">
        <f>3174.6+(805.9-1248.8)+(-4.857138+(-1.233027--1.910664))+0-710--1.08630000000004</f>
        <v>2018.6067989999997</v>
      </c>
      <c r="H84" s="3">
        <f>3083.8+(860.6-1218.2)+(-1.572738+(-0.438906--0.621282))+0-776.5--0.396014999999921</f>
        <v>1948.7056530000002</v>
      </c>
      <c r="I84" s="3">
        <f>3013.5+(815.5-1185.6)+(-3.07377+(-0.83181--1.209312))+0-724.6--0.739092000000116</f>
        <v>1916.8428240000001</v>
      </c>
      <c r="J84" s="3">
        <f>2943.9+(862.2-1099.1)+(-7.506945+(-2.19861--2.802705))+0-806.8--2.05733999999988</f>
        <v>1895.3544899999999</v>
      </c>
      <c r="K84" s="3">
        <f>2923.4+(771.4-1077.1)+(-5.963736+(-1.573656--2.197284))+0-747--1.52387999999997</f>
        <v>1866.8837720000004</v>
      </c>
      <c r="L84" s="3">
        <f>2901.8+(714.7-962.1)+(-4.439754+(-1.093491--1.472013))+0-797.2--1.21971600000005</f>
        <v>1854.3584840000001</v>
      </c>
      <c r="M84" s="3">
        <f>3008.4+(648.3-871)+(0+(0-0))+0-728.3-0</f>
        <v>2057.3999999999996</v>
      </c>
      <c r="N84" s="3">
        <f>3141.9+(820.6-887.9)+(0+(0-0))+0-731.9-0</f>
        <v>2342.7000000000003</v>
      </c>
      <c r="O84" s="3">
        <f>3133.2+(889.9-814.3)+(1.597932+(0.453849-0.415293))+0-670.1-0.341750999999932</f>
        <v>2539.994737</v>
      </c>
      <c r="P84" s="3">
        <f>3118.1+(1283.6-957.7)+(3.180462+(1.309272-0.976854))+31.8-780.5-0.796110000000124</f>
        <v>2698.0167700000002</v>
      </c>
      <c r="Q84" s="3">
        <f>3105.4+(1462.7-1074.3)+(-1.583754+(-0.745977--0.547893))+67.1-743.2--0.379031999999925</f>
        <v>2816.2971939999998</v>
      </c>
      <c r="R84" s="3">
        <f>3089.6+(1501.3-1022.2)+(4.727088+(2.296989-1.563966))+0-730-1.11690000000004</f>
        <v>2843.0432109999997</v>
      </c>
      <c r="S84" s="3">
        <f>3075.9+(1257-1002.1)+(-1.568709+(-0.64107--0.511071))+0-700.7--0.357356999999929</f>
        <v>2628.7586490000003</v>
      </c>
      <c r="T84" s="3">
        <f>3065.5+(1542.8-1084.3)+(4.690215+(2.360484-1.658979))+0-812.3-1.24281900000005</f>
        <v>2715.8489010000003</v>
      </c>
      <c r="U84" s="3">
        <f>3074.1+(1414.4-1009.6)+(0+(0-0))+0-724-0</f>
        <v>2754.9</v>
      </c>
      <c r="V84" s="3">
        <f>3066.2+(1382.4-1019)+(1.563762+(0.705024-0.51969))+0-670.5-0.341954999999932</f>
        <v>2760.507141</v>
      </c>
      <c r="W84" s="3">
        <f>3065+(1270.1-899.4)+(-1.56315+(-0.647751--0.458694))+66-748--0.381479999999924</f>
        <v>2752.3292729999998</v>
      </c>
      <c r="X84" s="3">
        <f>3056.5+(956.6-639.1)+(-3.11763+(-0.975732--0.651882))+110-732.4--0.747048000000117</f>
        <v>2748.9055680000001</v>
      </c>
      <c r="Y84" s="3">
        <f>3024.5+(1023.2-735)+(-1.542495+(-0.521832--0.37485))+18.3-777.4--0.396473999999921</f>
        <v>2552.3069970000001</v>
      </c>
      <c r="Z84" s="3">
        <f>3101+(1096.4-717.1)+(-3.16302+(-1.118328--0.731442))+0-776.9--0.792438000000124</f>
        <v>2700.6425319999998</v>
      </c>
      <c r="AA84" s="3">
        <f>3120+(1183.4-815)+(-1.5912+(-0.603534--0.41565))+0-671.7--0.342566999999932</f>
        <v>2815.2634830000002</v>
      </c>
      <c r="AB84" s="3">
        <f>3161.4+(1009.3-777.8)+(-1.612314+(-0.514743--0.396678))+0-645.4--0.329153999999935</f>
        <v>2746.0987749999999</v>
      </c>
      <c r="AC84" s="3">
        <f>3168.4+(955.2-737.5)+(-1.615884+(-0.487152--0.376125))+0-798.2--0.407081999999919</f>
        <v>2586.5801709999996</v>
      </c>
      <c r="AD84">
        <f t="shared" si="1"/>
        <v>58715.444978000007</v>
      </c>
      <c r="AE84" s="3">
        <f>3083+(1323-909.7)+(0+(0-0))+0-786.4-0</f>
        <v>2709.9</v>
      </c>
    </row>
    <row r="85" spans="1:31" s="2" customFormat="1" x14ac:dyDescent="0.25">
      <c r="A85">
        <v>89</v>
      </c>
      <c r="B85">
        <v>3</v>
      </c>
      <c r="C85">
        <v>23</v>
      </c>
      <c r="D85">
        <v>2</v>
      </c>
      <c r="E85">
        <v>1</v>
      </c>
      <c r="F85" s="3">
        <f>3186.3+(945.8-979.6)+(-1.625013+(-0.482358--0.499596))+0-791.7--0.40376699999992</f>
        <v>2359.5959919999996</v>
      </c>
      <c r="G85" s="3">
        <f>3251.6+(1017.4-1316.5)+(-6.633264+(-2.075496--2.68566))+0-772.2--1.57528799999997</f>
        <v>2175.8521879999998</v>
      </c>
      <c r="H85" s="3">
        <f>3070.4+(972.9-1183.6)+(-4.697712+(-1.488537--1.810908))+0-751.5--1.14979500000004</f>
        <v>2104.9744540000002</v>
      </c>
      <c r="I85" s="3">
        <f>3028.1+(946.2-1114)+(0+(0-0))+0-777.7-0</f>
        <v>2082.6000000000004</v>
      </c>
      <c r="J85" s="3">
        <f>2935.5+(971.3-1110.8)+(1.497105+(0.495363-0.566508))+0-727.8-0.371177999999926</f>
        <v>2069.2547820000004</v>
      </c>
      <c r="K85" s="3">
        <f>2932.9+(861.8-1175.1)+(-5.983116+(-1.758072--2.397204))+0-595.9--1.21563599999997</f>
        <v>2019.5716520000001</v>
      </c>
      <c r="L85" s="3">
        <f>2713.1+(754.2-903.3)+(4.151043+(1.153926-1.382049))+0-593.7-0.908361000000034</f>
        <v>1973.3145589999999</v>
      </c>
      <c r="M85" s="3">
        <f>2831.3+(647.7-824.8)+(1.443963+(0.330327-0.420648))+0-512.7-0.261476999999948</f>
        <v>2142.592165</v>
      </c>
      <c r="N85" s="3">
        <f>2923.2+(797.2-731)+(-4.472496+(-1.219716--1.11843))+0-568.2--0.869346000000033</f>
        <v>2417.4955639999994</v>
      </c>
      <c r="O85" s="3">
        <f>2996.9+(875.3-620.1)+(-3.056838+(-0.892806--0.632502))+0-628.5--0.6410700000001</f>
        <v>2620.9239280000002</v>
      </c>
      <c r="P85" s="3">
        <f>3006.1+(910-575.9)+(-1.533111+(-0.4641--0.293709))+0-563.6--0.287435999999943</f>
        <v>2775.1839340000001</v>
      </c>
      <c r="Q85" s="3">
        <f>3055.4+(1243-674.1)+(0+(0-0))+0-664.2-0</f>
        <v>2960.1000000000004</v>
      </c>
      <c r="R85" s="3">
        <f>3063.2+(1224.7-791)+(-3.124464+(-1.249194--0.80682))+0-595.5--0.607410000000095</f>
        <v>2898.4405719999995</v>
      </c>
      <c r="S85" s="3">
        <f>3143.6+(974.8-912.6)+(-4.809708+(-1.491444--1.396278))+0-405.5--0.620415000000023</f>
        <v>2796.0155409999998</v>
      </c>
      <c r="T85" s="3">
        <f>3143.8+(1099.9-1064.1)+(-1.603338+(-0.560949--0.542691))+0-389.9--0.19884899999996</f>
        <v>2788.2772530000002</v>
      </c>
      <c r="U85" s="3">
        <f>3130.6+(1125.5-1043.2)+(1.596606+(0.574005-0.532032))+0-380.2-0.193901999999961</f>
        <v>2834.1446769999998</v>
      </c>
      <c r="V85" s="3">
        <f>3115.6+(1175.8-1022.2)+(-1.588956+(-0.599658--0.521322))+0-425.7--0.217106999999957</f>
        <v>2842.0498149999999</v>
      </c>
      <c r="W85" s="3">
        <f>3152.9+(1067.9-876.3)+(-1.607979+(-0.544629--0.446913))+0-524.7--0.267596999999947</f>
        <v>2818.3619019999996</v>
      </c>
      <c r="X85" s="3">
        <f>3150.1+(784.3-708.1)+(-4.819653+(-1.199979--1.083393))+0-522.8--0.79988400000003</f>
        <v>2699.3636449999995</v>
      </c>
      <c r="Y85" s="3">
        <f>3126.2+(770.6-756.4)+(-3.188724+(-0.786012--0.771528))+0-570.3--0.581706000000091</f>
        <v>2567.4784979999995</v>
      </c>
      <c r="Z85" s="3">
        <f>3174.5+(956.8-724.2)+(-1.618995+(-0.487968--0.369342))+0-659.5--0.336344999999933</f>
        <v>2746.1987239999994</v>
      </c>
      <c r="AA85" s="3">
        <f>3233.3+(1235.2-1012.3)+(0+(0-0))+0-623-0</f>
        <v>2833.2000000000003</v>
      </c>
      <c r="AB85" s="3">
        <f>3251.4+(1144.7-899.8)+(-1.658214+(-0.583797--0.458898))+0-760.7--0.387956999999923</f>
        <v>2734.2048439999999</v>
      </c>
      <c r="AC85" s="3">
        <f>3264.3+(756.2-771.6)+(-4.994379+(-1.156986--1.180548))+0-597.7--0.914481000000035</f>
        <v>2647.1436640000006</v>
      </c>
      <c r="AD85">
        <f t="shared" si="1"/>
        <v>60906.338352999992</v>
      </c>
      <c r="AE85" s="3">
        <f>3231+(1397.5-996.2)+(0+(0-0))+0-810.5-0</f>
        <v>2821.8</v>
      </c>
    </row>
    <row r="86" spans="1:31" s="2" customFormat="1" x14ac:dyDescent="0.25">
      <c r="A86">
        <v>89</v>
      </c>
      <c r="B86">
        <v>3</v>
      </c>
      <c r="C86">
        <v>24</v>
      </c>
      <c r="D86">
        <v>3</v>
      </c>
      <c r="E86">
        <v>1</v>
      </c>
      <c r="F86" s="3">
        <f>3246+(620.1-905)+(-3.31092+(-0.632502--0.9231))+0-529.1--0.539682000000084</f>
        <v>2429.5193600000002</v>
      </c>
      <c r="G86" s="3">
        <f>3153+(719.5-977.5)+(0+(0-0))+0-637.5-0</f>
        <v>2257.5</v>
      </c>
      <c r="H86" s="3">
        <f>3160.2+(565.6-1051.7)+(-3.223404+(-0.576912--1.072734))+0-494.5--0.504390000000079</f>
        <v>2177.376808</v>
      </c>
      <c r="I86" s="3">
        <f>3190.5+(734-1170.3)+(3.25431+(0.74868-1.193706))+0-605.4-0.617508000000097</f>
        <v>2150.9917759999994</v>
      </c>
      <c r="J86" s="3">
        <f>3086.4+(916.7-1189.8)+(-1.574064+(-0.467517--0.606798))+0-689.7--0.35174699999993</f>
        <v>2122.5169639999995</v>
      </c>
      <c r="K86" s="3">
        <f>2920+(1001.4-1249.6)+(-2.9784+(-1.021428--1.274592))+0-587.7--0.599454000000094</f>
        <v>2081.9742180000003</v>
      </c>
      <c r="L86" s="3">
        <f>2645.4+(955.5-903.3)+(1.349154+(0.487305-0.460683))+0-677.7-0.345626999999931</f>
        <v>2020.9301490000003</v>
      </c>
      <c r="M86" s="3">
        <f>2831.7+(735-838.4)+(1.444167+(0.37485-0.427584))+0-582.4-0.297023999999941</f>
        <v>2146.9944089999995</v>
      </c>
      <c r="N86" s="3">
        <f>3073.6+(927.1-862)+(-3.135072+(-0.945642--0.87924))+0-662.9--0.676158000000106</f>
        <v>2473.274684</v>
      </c>
      <c r="O86" s="3">
        <f>3106+(996.7-829.9)+(0+(0-0))+0-615-0</f>
        <v>2657.8</v>
      </c>
      <c r="P86" s="3">
        <f>3088.8+(1140.1-822.2)+(3.150576+(1.162902-0.838644))+0-626.8-0.6393360000001</f>
        <v>2782.735498</v>
      </c>
      <c r="Q86" s="3">
        <f>3054.2+(1397.4-994.1)+(1.557642+(0.712674-0.506991))+0-573.6-0.292535999999942</f>
        <v>2885.3707890000001</v>
      </c>
      <c r="R86" s="3">
        <f>3047.9+(1307.9-979.2)+(1.554429+(0.667029-0.499392))+0-510.1-0.260150999999948</f>
        <v>2867.9619150000003</v>
      </c>
      <c r="S86" s="3">
        <f>3046.5+(757.5-660.7)+(-3.10743+(-0.77265--0.673914))+0-408.5--0.416670000000065</f>
        <v>2732.0105040000003</v>
      </c>
      <c r="T86" s="3">
        <f>3024.3+(985.3-746.4)+(3.084786+(1.005006-0.761328))+0-444.2-0.453084000000071</f>
        <v>2821.8753800000004</v>
      </c>
      <c r="U86" s="3">
        <f>3015.7+(984.8-721.1)+(6.152028+(2.008992-1.471044))+0-434.8-0.886991999999981</f>
        <v>2850.4029839999994</v>
      </c>
      <c r="V86" s="3">
        <f>3004.6+(866-642.9)+(-1.532346+(-0.44166--0.327879))+0-382.6--0.195125999999961</f>
        <v>2843.648999</v>
      </c>
      <c r="W86" s="3">
        <f>3022.7+(799.1-416.1)+(-3.083154+(-0.815082--0.424422))+0-608.1--0.620262000000097</f>
        <v>2794.7464479999999</v>
      </c>
      <c r="X86" s="3">
        <f>3019.2+(647.6-270.6)+(-6.159168+(-1.321104--0.552024))+0-713.5--1.45553999999997</f>
        <v>2677.2272919999996</v>
      </c>
      <c r="Y86" s="3">
        <f>3022.2+(664.7-496.7)+(0+(0-0))+0-632.8-0</f>
        <v>2557.3999999999996</v>
      </c>
      <c r="Z86" s="3">
        <f>3059.9+(620.7-226.1)+(1.560549+(0.316557-0.115311))+0-724.3-0.369392999999926</f>
        <v>2731.5924020000002</v>
      </c>
      <c r="AA86" s="3">
        <f>3111.5+(933.1-599.1)+(-1.586865+(-0.475881--0.305541))+0-644.6--0.328745999999935</f>
        <v>2799.4715410000003</v>
      </c>
      <c r="AB86" s="3">
        <f>3124.8+(695.6-518.9)+(-4.780944+(-1.064268--0.793917))+0-589.8--0.902394000000034</f>
        <v>2707.5510989999998</v>
      </c>
      <c r="AC86" s="3">
        <f>3103.6+(424-379.6)+(-3.165672+(-0.43248--0.387192))+0-533.3--0.543966000000085</f>
        <v>2612.0330060000006</v>
      </c>
      <c r="AD86">
        <f t="shared" si="1"/>
        <v>61182.906224999984</v>
      </c>
      <c r="AE86" s="3">
        <f>3114+(833-584.5)+(0+(0-0))+0-783.8-0</f>
        <v>2578.6999999999998</v>
      </c>
    </row>
    <row r="87" spans="1:31" s="2" customFormat="1" x14ac:dyDescent="0.25">
      <c r="A87">
        <v>89</v>
      </c>
      <c r="B87">
        <v>3</v>
      </c>
      <c r="C87">
        <v>25</v>
      </c>
      <c r="D87">
        <v>4</v>
      </c>
      <c r="E87">
        <v>1</v>
      </c>
      <c r="F87" s="3">
        <f>3103.1+(613.8-650)+(-4.747743+(-0.939114--0.9945))+0-646.3--0.988839000000037</f>
        <v>2416.8964819999997</v>
      </c>
      <c r="G87" s="3">
        <f>3016.5+(557.3-674.2)+(0+(0-0))+0-664.2-0</f>
        <v>2235.3999999999996</v>
      </c>
      <c r="H87" s="3">
        <f>3008.4+(692.8-796.6)+(-3.068568+(-0.706656--0.812532))+0-729.1--0.743682000000116</f>
        <v>2173.2809900000002</v>
      </c>
      <c r="I87" s="3">
        <f>3017.5+(598.5-797.4)+(-1.538925+(-0.305235--0.406674))+0-699.5--0.356744999999929</f>
        <v>2118.0192590000001</v>
      </c>
      <c r="J87" s="3">
        <f>3035.6+(553.6-842)+(-3.096312+(-0.564672--0.85884))+0-634.3--0.646986000000101</f>
        <v>2110.7448419999996</v>
      </c>
      <c r="K87" s="3">
        <f>3042.1+(726.1-1149.7)+(-7.757355+(-1.851555--2.931735))+0-534.9--1.36399499999992</f>
        <v>2078.2868199999998</v>
      </c>
      <c r="L87" s="3">
        <f>3056.5+(674.3-1216.3)+(-7.794075+(-1.719465--3.101565))+0-502.3--1.28086499999993</f>
        <v>2007.06889</v>
      </c>
      <c r="M87" s="3">
        <f>3048.7+(556.2-950.5)+(3.109674+(0.567324-0.96951))+0-478.6-0.488172000000076</f>
        <v>2178.0193159999999</v>
      </c>
      <c r="N87" s="3">
        <f>3023.5+(571.4-707.3)+(1.541985+(0.291414-0.360723))+0-444.4-0.226643999999955</f>
        <v>2444.4460319999998</v>
      </c>
      <c r="O87" s="3">
        <f>3072+(598.7-531.3)+(1.56672+(0.305337-0.270963))+0-525.7-0.268106999999947</f>
        <v>2615.0329870000005</v>
      </c>
      <c r="P87" s="3">
        <f>3099.9+(521.4-375.7)+(-1.580949+(-0.265914--0.191607))+0-496.7--0.25331699999995</f>
        <v>2747.4980610000002</v>
      </c>
      <c r="Q87" s="3">
        <f>3076.3+(980.7-540.2)+(0+(0-0))+0-665.7-0</f>
        <v>2851.1000000000004</v>
      </c>
      <c r="R87" s="3">
        <f>3062.8+(968.5-617.2)+(-3.124056+(-0.98787--0.629544))+0-499--0.50898000000008</f>
        <v>2912.1265980000003</v>
      </c>
      <c r="S87" s="3">
        <f>3044.3+(765.2-768.2)+(-3.105186+(-0.780504--0.783564))+0-315.1--0.32140200000005</f>
        <v>2723.4192760000001</v>
      </c>
      <c r="T87" s="3">
        <f>3025.7+(836.5-823.7)+(0+(0-0))+0-244.5-0</f>
        <v>2794</v>
      </c>
      <c r="U87" s="3">
        <f>3057.7+(853.1-834.1)+(3.118854+(0.870162-0.850782))+0-253.4-0.25846800000004</f>
        <v>2826.1797659999997</v>
      </c>
      <c r="V87" s="3">
        <f>3158+(742.3-754.5)+(-3.22116+(-0.757146--0.76959))+0-310.1--0.316302000000049</f>
        <v>2832.8075860000004</v>
      </c>
      <c r="W87" s="3">
        <f>3217+(736.2-479.7)+(-4.92201+(-1.126386--0.733941))+0-691.2--1.05753600000004</f>
        <v>2778.0430809999998</v>
      </c>
      <c r="X87" s="3">
        <f>3223.1+(470-407.4)+(-4.931343+(-0.7191--0.623322))+0-603.2--0.922896000000035</f>
        <v>2678.395775</v>
      </c>
      <c r="Y87" s="3">
        <f>3226.8+(651.7-668.8)+(-3.291336+(-0.664734--0.682176))+0-669.8--0.683196000000107</f>
        <v>2537.3093020000006</v>
      </c>
      <c r="Z87" s="3">
        <f>3243.5+(450.3-292)+(-1.654185+(-0.229653--0.14892))+0-714.4--0.364343999999928</f>
        <v>2686.0294260000001</v>
      </c>
      <c r="AA87" s="3">
        <f>3294.6+(605.5-504.3)+(-5.040738+(-0.926415--0.771579))+0-637.6--0.975528000000037</f>
        <v>2753.9799539999999</v>
      </c>
      <c r="AB87" s="3">
        <f>3317.9+(465.2-459.8)+(-5.076387+(-0.711756--0.703494))+0-654.8--1.00184400000004</f>
        <v>2664.4171950000004</v>
      </c>
      <c r="AC87" s="3">
        <f>3330.7+(301.2-414.1)+(-3.397314+(-0.307224--0.422382))+0-616.9--0.629238000000098</f>
        <v>2598.2470819999994</v>
      </c>
      <c r="AD87">
        <f t="shared" si="1"/>
        <v>60760.748719999996</v>
      </c>
      <c r="AE87" s="3">
        <f>3289+(702.8-498.2)+(0+(0-0))+0-769.7-0</f>
        <v>2723.8999999999996</v>
      </c>
    </row>
    <row r="88" spans="1:31" s="2" customFormat="1" x14ac:dyDescent="0.25">
      <c r="A88">
        <v>89</v>
      </c>
      <c r="B88">
        <v>3</v>
      </c>
      <c r="C88">
        <v>26</v>
      </c>
      <c r="D88">
        <v>5</v>
      </c>
      <c r="E88">
        <v>1</v>
      </c>
      <c r="F88" s="3">
        <f>3314+(541.1-756.7)+(-3.38028+(-0.551922--0.771834))+0-668.9--0.682278000000107</f>
        <v>2427.0219100000004</v>
      </c>
      <c r="G88" s="3">
        <f>3316.8+(667.5-1022.2)+(-1.691568+(-0.340425--0.521322))+0-695.9--0.354908999999929</f>
        <v>2265.0442380000004</v>
      </c>
      <c r="H88" s="3">
        <f>3328+(770-1273.4)+(-3.39456+(-0.7854--1.298868))+0-633.2--0.645864000000101</f>
        <v>2189.1647720000001</v>
      </c>
      <c r="I88" s="3">
        <f>3332.9+(849.4-1300.8)+(-5.099337+(-1.299582--1.990224))+0-740.2--1.13250600000004</f>
        <v>2138.023811</v>
      </c>
      <c r="J88" s="3">
        <f>3334.4+(660.4-1321.1)+(-1.700544+(-0.336804--0.673761))+0-555.5--0.283304999999944</f>
        <v>2117.1197180000004</v>
      </c>
      <c r="K88" s="3">
        <f>3361.3+(811.4-1421.6)+(-8.571315+(-2.06907--3.62508))+0-661.8--1.6875899999999</f>
        <v>2083.9722850000003</v>
      </c>
      <c r="L88" s="3">
        <f>2990.9+(584.4-1281.8)+(-1.525359+(-0.298044--0.653718))+0-523.5--0.266984999999947</f>
        <v>1769.0973000000001</v>
      </c>
      <c r="M88" s="3">
        <f>3118.6+(483.8-1069)+(-1.590486+(-0.246738--0.54519))+0-480.4--0.245003999999951</f>
        <v>2051.9529699999994</v>
      </c>
      <c r="N88" s="3">
        <f>3199.7+(428.2-717)+(-3.263694+(-0.436764--0.73134))+0-519--0.529380000000083</f>
        <v>2389.4602619999996</v>
      </c>
      <c r="O88" s="3">
        <f>3188.3+(507.4-499.1)+(-1.626033+(-0.258774--0.254541))+0-627.1--0.319820999999936</f>
        <v>2568.1895550000004</v>
      </c>
      <c r="P88" s="3">
        <f>3270.9+(563.8-472.3)+(0+(0-0))+0-611.6-0</f>
        <v>2750.8</v>
      </c>
      <c r="Q88" s="3">
        <f>3260.3+(874.1-364.6)+(-3.325506+(-0.891582--0.371892))+0-864--0.881280000000138</f>
        <v>2902.836084</v>
      </c>
      <c r="R88" s="3">
        <f>3245.3+(861.5-668.1)+(0+(0-0))+0-557.2-0</f>
        <v>2881.5</v>
      </c>
      <c r="S88" s="3">
        <f>3226.8+(600-796.1)+(0+(0-0))+0-361.5-0</f>
        <v>2669.2000000000003</v>
      </c>
      <c r="T88" s="3">
        <f>3219+(786.1-932.8)+(0+(0-0))+0-326.5-0</f>
        <v>2745.8</v>
      </c>
      <c r="U88" s="3">
        <f>3242.5+(869.5-927.5)+(-1.653675+(-0.443445--0.473025))+0-434.6--0.221645999999956</f>
        <v>2748.4975509999999</v>
      </c>
      <c r="V88" s="3">
        <f>3230.1+(818.3-825.8)+(3.294702+(0.834666-0.842316))+0-455-0.464100000000073</f>
        <v>2770.4229519999999</v>
      </c>
      <c r="W88" s="3">
        <f>3256.1+(577.6-552)+(-8.303055+(-1.47288--1.4076))+0-543.6--1.38617999999992</f>
        <v>2731.1178449999998</v>
      </c>
      <c r="X88" s="3">
        <f>3237.7+(535.6-526.3)+(-8.256135+(-1.36578--1.342065))+0-567.4--1.44686999999992</f>
        <v>2672.7670199999998</v>
      </c>
      <c r="Y88" s="3">
        <f>3259.8+(515.6-597.4)+(-3.324996+(-0.525912--0.609348))+0-586.7--0.598434000000094</f>
        <v>2588.6568739999998</v>
      </c>
      <c r="Z88" s="3">
        <f>3315.2+(336.5-286)+(0+(0-0))+0-641.7-0</f>
        <v>2724</v>
      </c>
      <c r="AA88" s="3">
        <f>3348.1+(542.8-474)+(-5.122593+(-0.830484--0.72522))+0-648--0.991440000000037</f>
        <v>2764.663583</v>
      </c>
      <c r="AB88" s="3">
        <f>3321.1+(478.9-443.6)+(-1.693761+(-0.244239--0.226236))+0-672.1--0.342770999999932</f>
        <v>2682.9310069999997</v>
      </c>
      <c r="AC88" s="3">
        <f>3320.4+(370.5-396.9)+(-1.693404+(-0.188955--0.202419))+0-705.6--0.359855999999928</f>
        <v>2587.0799160000001</v>
      </c>
      <c r="AD88">
        <f t="shared" si="1"/>
        <v>60219.319653000006</v>
      </c>
      <c r="AE88" s="3">
        <f>3331+(528.4-462.7)+(0+(0-0))+0-649.3-0</f>
        <v>2747.3999999999996</v>
      </c>
    </row>
    <row r="89" spans="1:31" s="2" customFormat="1" x14ac:dyDescent="0.25">
      <c r="A89">
        <v>89</v>
      </c>
      <c r="B89">
        <v>3</v>
      </c>
      <c r="C89">
        <v>27</v>
      </c>
      <c r="D89">
        <v>6</v>
      </c>
      <c r="E89">
        <v>1</v>
      </c>
      <c r="F89" s="3">
        <f>3325+(565.3-738.3)+(-3.3915+(-0.576606--0.753066))+0-730.4--0.745008000000116</f>
        <v>2419.1299680000002</v>
      </c>
      <c r="G89" s="3">
        <f>3189+(506.8-719.9)+(0+(0-0))+0-703.3-0</f>
        <v>2272.6000000000004</v>
      </c>
      <c r="H89" s="3">
        <f>3119.6+(516.8-757.1)+(-4.772988+(-0.790704--1.158363))+0-677.3--1.03626900000004</f>
        <v>2198.63094</v>
      </c>
      <c r="I89" s="3">
        <f>3125.1+(815.2-996)+(-3.187602+(-0.831504--1.01592))+0-778.8--0.794376000000124</f>
        <v>2163.2911900000004</v>
      </c>
      <c r="J89" s="3">
        <f>3126.3+(1027.3-1313.7)+(-3.188826+(-1.047846--1.339974))+0-699.6--0.713592000000112</f>
        <v>2138.1168940000002</v>
      </c>
      <c r="K89" s="3">
        <f>3139+(1047.2-1338.9)+(-8.00445+(-2.67036--3.414195))+0-767.5--1.95712499999989</f>
        <v>2074.4965099999999</v>
      </c>
      <c r="L89" s="3">
        <f>3264.3+(866.5-1317)+(-8.323965+(-2.209575--3.35835))+0-654.8--1.6697399999999</f>
        <v>2153.4945499999999</v>
      </c>
      <c r="M89" s="3">
        <f>3248.7+(770-1119.4)+(4.970511+(1.1781-1.712682))+0-737.3-1.12806900000004</f>
        <v>2165.3078600000003</v>
      </c>
      <c r="N89" s="3">
        <f>3287.6+(844.9-1060.6)+(0+(0-0))+0-646.8-0</f>
        <v>2425.1000000000004</v>
      </c>
      <c r="O89" s="3">
        <f>3212.7+(724.2-590.2)+(4.915431+(1.108026-0.903006))+0-749-1.14597000000004</f>
        <v>2601.6744809999996</v>
      </c>
      <c r="P89" s="3">
        <f>3158.7+(477.9-274.8)+(0+(0-0))+0-650.5-0</f>
        <v>2711.2999999999997</v>
      </c>
      <c r="Q89" s="3">
        <f>2988.7+(803.6-288.3)+(3.048474+(0.819672-0.294066))+0-686.9-0.700638000000109</f>
        <v>2819.9734419999995</v>
      </c>
      <c r="R89" s="3">
        <f>2904.4+(859.9-319.1)+(0+(0-0))+0-599.5-0</f>
        <v>2845.7</v>
      </c>
      <c r="S89" s="3">
        <f>2862.5+(808.6-336.5)+(0+(0-0))+0-695.1-0</f>
        <v>2639.5</v>
      </c>
      <c r="T89" s="3">
        <f>3000+(694.7-377)+(0+(0-0))+0-665.4-0</f>
        <v>2652.2999999999997</v>
      </c>
      <c r="U89" s="3">
        <f>3051.1+(531.5-397)+(-3.112122+(-0.54213--0.40494))+0-531.8--0.542436000000085</f>
        <v>2651.0931240000004</v>
      </c>
      <c r="V89" s="3">
        <f>3080.7+(520.9-383.9)+(0+(0-0))+0-572.2-0</f>
        <v>2645.5</v>
      </c>
      <c r="W89" s="3">
        <f>3098.6+(640.1-528.6)+(-7.90143+(-1.632255--1.34793))+0-659.1--1.6807049999999</f>
        <v>2544.4949499999998</v>
      </c>
      <c r="X89" s="3">
        <f>2995.9+(809.8-735.1)+(-6.111636+(-1.651992--1.499604))+0-619.5--1.26377999999997</f>
        <v>2446.0997559999996</v>
      </c>
      <c r="Y89" s="3">
        <f>3037+(660.9-771.9)+(-1.54887+(-0.337059--0.393669))+0-588.3--0.30003299999994</f>
        <v>2336.5077729999998</v>
      </c>
      <c r="Z89" s="3">
        <f>3171.9+(712.1-668.1)+(-1.617669+(-0.363171--0.340731))+0-659.6--0.336395999999933</f>
        <v>2554.9962870000004</v>
      </c>
      <c r="AA89" s="3">
        <f>3266.5+(691.4-662.6)+(-8.329575+(-1.76307--1.68963))+0-717.5--1.8296249999999</f>
        <v>2571.2266100000002</v>
      </c>
      <c r="AB89" s="3">
        <f>3316.3+(667-872.7)+(-1.691313+(-0.34017--0.445077))+0-571.3--0.291362999999942</f>
        <v>2538.0049570000006</v>
      </c>
      <c r="AC89" s="3">
        <f>3310.5+(739.6-807.8)+(-6.75342+(-1.508784--1.647912))+0-740.9--1.51143599999997</f>
        <v>2496.2971439999997</v>
      </c>
      <c r="AD89">
        <f t="shared" si="1"/>
        <v>59064.83643599999</v>
      </c>
      <c r="AE89" s="3">
        <f>3279+(690.6-633.3)+(0+(0-0))+0-762.6-0</f>
        <v>2573.7000000000003</v>
      </c>
    </row>
    <row r="90" spans="1:31" s="2" customFormat="1" x14ac:dyDescent="0.25">
      <c r="A90">
        <v>89</v>
      </c>
      <c r="B90">
        <v>3</v>
      </c>
      <c r="C90">
        <v>28</v>
      </c>
      <c r="D90">
        <v>7</v>
      </c>
      <c r="E90">
        <v>1</v>
      </c>
      <c r="F90" s="3">
        <f>3259.8+(713.6-918.1)+(-4.987494+(-1.091808--1.404693))+0-696.5--1.06564500000004</f>
        <v>2355.1910360000002</v>
      </c>
      <c r="G90" s="3">
        <f>3173.5+(701.9-997)+(-3.23697+(-0.715938--1.01694))+0-654.3--0.667386000000104</f>
        <v>2221.8314180000007</v>
      </c>
      <c r="H90" s="3">
        <f>3116.6+(771.1-1003.2)+(-4.768398+(-1.179783--1.534896))+0-767.2--1.17381600000004</f>
        <v>2114.0605309999996</v>
      </c>
      <c r="I90" s="3">
        <f>3125.1+(944.4-1294.4)+(-4.781403+(-1.444932--1.980432))+0-720.5--1.10236500000004</f>
        <v>2051.4564620000001</v>
      </c>
      <c r="J90" s="3">
        <f>3112.6+(892.5-1292.2)+(-4.762278+(-1.365525--1.977066))+0-687.2--1.05141600000004</f>
        <v>2022.6006789999997</v>
      </c>
      <c r="K90" s="3">
        <f>3034.1+(902.2-1301.7)+(-4.642173+(-1.380366--1.991601))+0-662.3--1.01331900000004</f>
        <v>1969.2823810000002</v>
      </c>
      <c r="L90" s="3">
        <f>2759.7+(892.3-1265.2)+(0+(0-0))+0-550.2-0</f>
        <v>1836.5999999999997</v>
      </c>
      <c r="M90" s="3">
        <f>2689.1+(977-1228.9)+(0+(0-0))+0-574.9-0</f>
        <v>1862.2999999999997</v>
      </c>
      <c r="N90" s="3">
        <f>2683.5+(1081.3-1118)+(-5.47434+(-2.205852--2.28072))+0-700.6--1.42922399999997</f>
        <v>1942.2297520000002</v>
      </c>
      <c r="O90" s="3">
        <f>2925.4+(900.7-1132)+(-4.475862+(-1.378071--1.73196))+0-700.8--1.07222400000004</f>
        <v>1990.2502510000006</v>
      </c>
      <c r="P90" s="3">
        <f>2998+(948.7-1095.9)+(0+(0-0))+0-617.2-0</f>
        <v>2233.6000000000004</v>
      </c>
      <c r="Q90" s="3">
        <f>3062.6+(920.7-1090.3)+(0+(0-0))+0-581.7-0</f>
        <v>2311.3000000000002</v>
      </c>
      <c r="R90" s="3">
        <f>3038.7+(1013.1-1106.4)+(-1.549737+(-0.516681--0.564264))+0-639.8--0.326297999999935</f>
        <v>2304.4241439999996</v>
      </c>
      <c r="S90" s="3">
        <f>2992.3+(1034.4-1239.1)+(-1.526073+(-0.527544--0.631941))+0-558.9--0.285038999999943</f>
        <v>2227.5633630000002</v>
      </c>
      <c r="T90" s="3">
        <f>2902.4+(1140.1-1230.2)+(-1.480224+(-0.581451--0.627402))+0-615.6--0.313955999999938</f>
        <v>2195.5796830000004</v>
      </c>
      <c r="U90" s="3">
        <f>2940.6+(1207.8-1225)+(-2.999412+(-1.231956--1.2495))+0-721.7--0.736134000000115</f>
        <v>2199.4542660000002</v>
      </c>
      <c r="V90" s="3">
        <f>2950.6+(1030.2-1120.7)+(-1.504806+(-0.525402--0.571557))+0-670.5--0.341954999999932</f>
        <v>2188.4833039999999</v>
      </c>
      <c r="W90" s="3">
        <f>2904.4+(1081.5-1171.4)+(-4.443732+(-1.654695--1.792242))+0-652.8--0.998784000000038</f>
        <v>2158.3925990000002</v>
      </c>
      <c r="X90" s="3">
        <f>2849.9+(1078.9-1021)+(-7.267245+(-2.751195--2.60355))+0-782.1--1.99435499999989</f>
        <v>2120.2794650000001</v>
      </c>
      <c r="Y90" s="3">
        <f>2605.7+(911.8-812)+(-2.657814+(-0.930036--0.82824))+0-654.2--0.667284000000104</f>
        <v>2049.2076740000002</v>
      </c>
      <c r="Z90" s="3">
        <f>2679+(992-740.5)+(-1.36629+(-0.50592--0.377655))+0-642--0.327419999999935</f>
        <v>2287.3328649999999</v>
      </c>
      <c r="AA90" s="3">
        <f>3051.3+(953.8-821.3)+(-4.668489+(-1.459314--1.256589))+0-755.7--1.15622100000004</f>
        <v>2424.3850070000008</v>
      </c>
      <c r="AB90" s="3">
        <f>3083.1+(910.3-917.9)+(-3.144762+(-0.928506--0.936258))+0-669.1--0.682482000000107</f>
        <v>2403.9454720000003</v>
      </c>
      <c r="AC90" s="3">
        <f>3050.7+(959.7-990.5)+(-6.223428+(-1.957788--2.02062))+0-637.4--1.30029599999997</f>
        <v>2377.6396999999993</v>
      </c>
      <c r="AD90">
        <f t="shared" si="1"/>
        <v>51847.390051999995</v>
      </c>
      <c r="AE90" s="3">
        <f>3043+(956-795.4)+(0+(0-0))+0-809.1-0</f>
        <v>2394.5</v>
      </c>
    </row>
    <row r="91" spans="1:31" s="2" customFormat="1" x14ac:dyDescent="0.25">
      <c r="A91">
        <v>89</v>
      </c>
      <c r="B91">
        <v>3</v>
      </c>
      <c r="C91">
        <v>29</v>
      </c>
      <c r="D91">
        <v>1</v>
      </c>
      <c r="E91">
        <v>1</v>
      </c>
      <c r="F91" s="3">
        <f>3064.4+(902.3-1082.5)+(-3.125688+(-0.920346--1.10415))+0-639.1--0.651882000000102</f>
        <v>2242.8099980000002</v>
      </c>
      <c r="G91" s="3">
        <f>3076.8+(962.8-1271.2)+(-6.276672+(-1.964112--2.593248))+0-675.8--1.37863199999997</f>
        <v>2088.3310959999999</v>
      </c>
      <c r="H91" s="3">
        <f>3091.7+(903.5-1349)+(-4.730301+(-1.382355--2.06397))+0-632.9--0.968337000000037</f>
        <v>2010.2196509999997</v>
      </c>
      <c r="I91" s="3">
        <f>3081.2+(786.2-1216.6)+(-9.428472+(-2.405772--3.722796))+0-698--2.13588000000008</f>
        <v>1946.8244320000001</v>
      </c>
      <c r="J91" s="3">
        <f>3012.6+(690.1-1026.1)+(0+(0-0))+0-738-0</f>
        <v>1938.6</v>
      </c>
      <c r="K91" s="3">
        <f>2849+(766-961.9)+(-1.45299+(-0.39066--0.490569))+0-746.1--0.380510999999924</f>
        <v>1906.0274299999996</v>
      </c>
      <c r="L91" s="3">
        <f>2593+(847-844.1)+(-1.32243+(-0.43197--0.430491))+0-728.4--0.371483999999926</f>
        <v>1866.5475749999998</v>
      </c>
      <c r="M91" s="3">
        <f>2897.6+(628.1-877.6)+(-2.955552+(-0.640662--0.895152))+0-592.1--0.603942000000094</f>
        <v>2053.9028800000001</v>
      </c>
      <c r="N91" s="3">
        <f>2967.3+(795.4-755.5)+(1.513323+(0.405654-0.385305))+0-663.7-0.338486999999933</f>
        <v>2344.6951850000005</v>
      </c>
      <c r="O91" s="3">
        <f>3046.8+(676.6-589.5)+(1.553868+(0.345066-0.300645))+0-609.8-0.310997999999938</f>
        <v>2525.387291</v>
      </c>
      <c r="P91" s="3">
        <f>3105.4+(519.8-319.1)+(-3.167508+(-0.530196--0.325482))+0-607.1--0.619242000000097</f>
        <v>2696.2470200000002</v>
      </c>
      <c r="Q91" s="3">
        <f>3156.4+(632.6-271.9)+(3.219528+(0.645252-0.277338))+0-735.1-0.749802000000117</f>
        <v>2784.8376400000002</v>
      </c>
      <c r="R91" s="3">
        <f>3184.1+(877-477)+(-3.247782+(-0.89454--0.48654))+0-755.1--0.77020200000012</f>
        <v>2826.1144200000003</v>
      </c>
      <c r="S91" s="3">
        <f>3195.4+(797.4-533.7)+(0+(0-0))+0-808.3-0</f>
        <v>2650.8</v>
      </c>
      <c r="T91" s="3">
        <f>3198.6+(865-643.3)+(-1.631286+(-0.44115--0.328083))+0-724.9--0.369698999999926</f>
        <v>2694.0253459999999</v>
      </c>
      <c r="U91" s="3">
        <f>3199.2+(934.4-618.2)+(-3.263184+(-0.953088--0.630564))+0-779.2--0.794784000000124</f>
        <v>2733.4090759999995</v>
      </c>
      <c r="V91" s="3">
        <f>3160.6+(776.5-613.8)+(1.611906+(0.396015-0.313038))+0-598.5-0.305234999999939</f>
        <v>2726.1896480000005</v>
      </c>
      <c r="W91" s="3">
        <f>3030+(812.6-523.1)+(-6.1812+(-1.657704--1.067124))+0-652.9--1.33191599999997</f>
        <v>2661.160136</v>
      </c>
      <c r="X91" s="3">
        <f>2929.7+(784.5-389.5)+(-8.964882+(-2.40057--1.19187))+0-744.7--2.27878200000009</f>
        <v>2572.1051999999995</v>
      </c>
      <c r="Y91" s="3">
        <f>2985.7+(704.8-578.3)+(-1.522707+(-0.359448--0.294933))+0-675.1--0.344300999999932</f>
        <v>2435.8570789999999</v>
      </c>
      <c r="Z91" s="3">
        <f>3144.7+(789.5-550.2)+(0+(0-0))+0-747.2-0</f>
        <v>2636.8</v>
      </c>
      <c r="AA91" s="3">
        <f>3249.7+(826.3-529.6)+(0+(0-0))+0-797.6-0</f>
        <v>2748.7999999999997</v>
      </c>
      <c r="AB91" s="3">
        <f>3264.1+(619.1-546.6)+(-4.994073+(-0.947223--0.836298))+0-671.7--1.02770100000004</f>
        <v>2660.8227029999998</v>
      </c>
      <c r="AC91" s="3">
        <f>3258.4+(758.2-660.3)+(-3.323568+(-0.773364--0.673506))+0-794.4--0.810288000000127</f>
        <v>2559.2868620000004</v>
      </c>
      <c r="AD91">
        <f t="shared" si="1"/>
        <v>58309.800668000003</v>
      </c>
      <c r="AE91" s="3">
        <f>3243+(871-566.2)+(0+(0-0))+0-833.6-0</f>
        <v>2714.2000000000003</v>
      </c>
    </row>
    <row r="92" spans="1:31" s="2" customFormat="1" x14ac:dyDescent="0.25">
      <c r="A92">
        <v>89</v>
      </c>
      <c r="B92">
        <v>3</v>
      </c>
      <c r="C92">
        <v>30</v>
      </c>
      <c r="D92">
        <v>2</v>
      </c>
      <c r="E92">
        <v>1</v>
      </c>
      <c r="F92" s="3">
        <f>3252+(1001.9-1102.8)+(-6.63408+(-2.043876--2.249712))+0-758.6--1.54754399999997</f>
        <v>2387.6192999999998</v>
      </c>
      <c r="G92" s="3">
        <f>3205.3+(1008-1159.7)+(-1.634703+(-0.51408--0.591447))+0-814.2--0.415241999999917</f>
        <v>2238.2579060000007</v>
      </c>
      <c r="H92" s="3">
        <f>3167.8+(894.8-1159)+(1.615578+(0.456348-0.59109))+0-746.4-0.380663999999924</f>
        <v>2158.3001720000007</v>
      </c>
      <c r="I92" s="3">
        <f>3212.5+(857.3-1154.1)+(-4.915125+(-1.311669--1.765773))+0-792.1--1.21191300000005</f>
        <v>2120.3508919999999</v>
      </c>
      <c r="J92" s="3">
        <f>3212.1+(852.4-1234.7)+(-4.914513+(-1.304172--1.889091))+0-748.7--1.14551100000004</f>
        <v>2077.9159169999998</v>
      </c>
      <c r="K92" s="3">
        <f>3190+(862-1122.8)+(-6.5076+(-1.75848--2.290512))+0-817.2--1.66708799999996</f>
        <v>2107.6915200000003</v>
      </c>
      <c r="L92" s="3">
        <f>3221.7+(660.3-987.9)+(1.643067+(0.336753-0.503829))+0-748.9-0.381938999999924</f>
        <v>2146.2940519999997</v>
      </c>
      <c r="M92" s="3">
        <f>3223.9+(608.9-737.8)+(0+(0-0))+0-810.9-0</f>
        <v>2284.1</v>
      </c>
      <c r="N92" s="3">
        <f>3254.3+(590.9-682.8)+(3.319386+(0.602718-0.696456))+0-701.9-0.715938000000112</f>
        <v>2463.0097099999998</v>
      </c>
      <c r="O92" s="3">
        <f>3267.1+(524.8-474.2)+(3.332442+(0.535296-0.483684))+0-736.9-0.751638000000117</f>
        <v>2583.4324159999996</v>
      </c>
      <c r="P92" s="3">
        <f>3236.2+(611.2-385.3)+(1.650462+(0.311712-0.196503))+0-750.5-0.382754999999924</f>
        <v>2712.9829159999999</v>
      </c>
      <c r="Q92" s="3">
        <f>3205.5+(839.5-592.6)+(1.634805+(0.428145-0.302226))+0-634.7-0.323696999999936</f>
        <v>2819.1370270000007</v>
      </c>
      <c r="R92" s="3">
        <f>3199.2+(1054.6-732)+(1.631592+(0.537846-0.37332))+0-677.7-0.345626999999931</f>
        <v>2845.5504909999995</v>
      </c>
      <c r="S92" s="3">
        <f>3191.6+(888-725.5)+(0+(0-0))+0-682.3-0</f>
        <v>2671.8</v>
      </c>
      <c r="T92" s="3">
        <f>3181.2+(950.3-732.9)+(1.622412+(0.484653-0.373779))+0-668.9-0.341138999999932</f>
        <v>2731.0921469999998</v>
      </c>
      <c r="U92" s="3">
        <f>3169.6+(959.9-699.6)+(-3.232992+(-0.979098--0.713592))+0-635.5--0.648210000000101</f>
        <v>2791.549712</v>
      </c>
      <c r="V92" s="3">
        <f>3140.9+(936-668.8)+(-3.203718+(-0.95472--0.682176))+0-618.3--0.630666000000099</f>
        <v>2786.9544040000001</v>
      </c>
      <c r="W92" s="3">
        <f>3082.3+(732.2-560.2)+(-3.143946+(-0.746844--0.571404))+0-602.1--0.614142000000096</f>
        <v>2649.4947560000001</v>
      </c>
      <c r="X92" s="3">
        <f>3032.8+(653.8-518.1)+(-4.640184+(-1.000314--0.792693))+0-656.1--1.00383300000004</f>
        <v>2508.5560280000004</v>
      </c>
      <c r="Y92" s="3">
        <f>3011.5+(753.1-516.3)+(-1.535865+(-0.384081--0.263313))+0-768.3--0.391832999999922</f>
        <v>2478.7352000000005</v>
      </c>
      <c r="Z92" s="3">
        <f>3079+(727.8-526.4)+(0+(0-0))+0-627.6-0</f>
        <v>2652.8</v>
      </c>
      <c r="AA92" s="3">
        <f>3229.5+(761.2-559.1)+(-3.29409+(-0.776424--0.570282))+0-712.2--0.726444000000114</f>
        <v>2716.6262120000001</v>
      </c>
      <c r="AB92" s="3">
        <f>3269.3+(720-607.1)+(-1.667343+(-0.3672--0.309621))+0-783.5--0.399584999999921</f>
        <v>2597.3746630000005</v>
      </c>
      <c r="AC92" s="3">
        <f>3266.6+(741.8-655.9)+(0+(0-0))+0-887.7-0</f>
        <v>2464.8000000000002</v>
      </c>
      <c r="AD92">
        <f t="shared" si="1"/>
        <v>59994.425441000021</v>
      </c>
      <c r="AE92" s="3">
        <f>3224+(828.2-559.8)+(0+(0-0))+0-811.9-0</f>
        <v>2680.5</v>
      </c>
    </row>
    <row r="93" spans="1:31" s="2" customFormat="1" x14ac:dyDescent="0.25">
      <c r="A93">
        <v>89</v>
      </c>
      <c r="B93">
        <v>3</v>
      </c>
      <c r="C93">
        <v>31</v>
      </c>
      <c r="D93">
        <v>3</v>
      </c>
      <c r="E93">
        <v>1</v>
      </c>
      <c r="F93" s="3">
        <f>3268.7+(839.1-903.7)+(-1.667037+(-0.427941--0.460887))+0-897.5--0.457724999999909</f>
        <v>2305.4236339999998</v>
      </c>
      <c r="G93" s="3">
        <f>3283.4+(974.3-1286)+(1.674534+(0.496893-0.65586))+0-823.4-0.419933999999916</f>
        <v>2149.3956329999996</v>
      </c>
      <c r="H93" s="3">
        <f>3301+(765.7-1292.5)+(1.68351+(0.390507-0.659175))+0-708.6-0.361385999999928</f>
        <v>2066.653456</v>
      </c>
      <c r="I93" s="3">
        <f>3310.4+(746.6-1308.7)+(3.376608+(0.761532-1.334874))+0-694.8-0.708696000000111</f>
        <v>2055.5945699999997</v>
      </c>
      <c r="J93" s="3">
        <f>3331+(717.1-1272.5)+(6.79524+(1.462884-2.5959))+0-767.1-1.56488399999997</f>
        <v>2012.5973400000003</v>
      </c>
      <c r="K93" s="3">
        <f>3308.5+(638.8-1360.6)+(0+(0-0))+0-755.1-0</f>
        <v>1831.6</v>
      </c>
      <c r="L93" s="3">
        <f>3208.9+(602.3-1123.3)+(-1.636539+(-0.307173--0.572883))+0-778.6--0.397085999999921</f>
        <v>1908.3262570000002</v>
      </c>
      <c r="M93" s="3">
        <f>3193.6+(685.7-1032.6)+(0+(0-0))+0-757-0</f>
        <v>2089.6999999999998</v>
      </c>
      <c r="N93" s="3">
        <f>3296.1+(712.5-906.2)+(3.362022+(0.72675-0.924324))+0-692-0.70584000000011</f>
        <v>2412.8586079999995</v>
      </c>
      <c r="O93" s="3">
        <f>3276.2+(554.8-575.1)+(3.341724+(0.565896-0.586602))+0-782.7-0.798354000000125</f>
        <v>2475.7226639999994</v>
      </c>
      <c r="P93" s="3">
        <f>3250.9+(623.4-653.5)+(0+(0-0))+0-567.9-0</f>
        <v>2652.9</v>
      </c>
      <c r="Q93" s="3">
        <f>3221.2+(917.8-889.2)+(0+(0-0))+0-494.1-0</f>
        <v>2755.7</v>
      </c>
      <c r="R93" s="3">
        <f>3194.7+(1152.2-995.7)+(1.629297+(0.587622-0.507807))+0-427.4-0.217973999999957</f>
        <v>2925.2911379999996</v>
      </c>
      <c r="S93" s="3">
        <f>3198+(915.6-984.5)+(0+(0-0))+0-327.7-0</f>
        <v>2801.4</v>
      </c>
      <c r="T93" s="3">
        <f>3195.1+(998.7-1085.6)+(1.629501+(0.509337-0.553656))+0-310.6-0.158405999999969</f>
        <v>2799.0267759999997</v>
      </c>
      <c r="U93" s="3">
        <f>3161.8+(895.3-918)+(-1.612518+(-0.456603--0.46818))+0-308--0.157079999999969</f>
        <v>2829.6561390000002</v>
      </c>
      <c r="V93" s="3">
        <f>3151.1+(883.3-823.8)+(3.214122+(0.900966-0.840276))+0-393-0.400860000000063</f>
        <v>2820.4739519999998</v>
      </c>
      <c r="W93" s="3">
        <f>3151+(901.2-645.5)+(1.60701+(0.459612-0.329205))+0-648.4-0.330683999999934</f>
        <v>2759.7067329999995</v>
      </c>
      <c r="X93" s="3">
        <f>3150.1+(590.1-410.3)+(0+(0-0))+0-693.5-0</f>
        <v>2636.4</v>
      </c>
      <c r="Y93" s="3">
        <f>3090.3+(537.9-452.6)+(3.152106+(0.548658-0.461652))+0-668.6-0.681972000000107</f>
        <v>2509.5571400000003</v>
      </c>
      <c r="Z93" s="3">
        <f>3150.8+(944.9-676.9)+(0+(0-0))+0-732.1-0</f>
        <v>2686.7000000000003</v>
      </c>
      <c r="AA93" s="3">
        <f>3210.4+(1032.4-758.8)+(-1.637304+(-0.526524--0.386988))+0-700.4--0.357203999999929</f>
        <v>2782.1803639999998</v>
      </c>
      <c r="AB93" s="3">
        <f>3237.4+(977.7-764.1)+(0+(0-0))+0-735.6-0</f>
        <v>2715.4</v>
      </c>
      <c r="AC93" s="3">
        <f>3231.4+(889.6-696.2)+(-4.944042+(-1.361088--1.065186))+0-735--1.12455000000004</f>
        <v>2685.6846060000003</v>
      </c>
      <c r="AD93">
        <f t="shared" si="1"/>
        <v>59667.949010000004</v>
      </c>
      <c r="AE93" s="3">
        <f>3176+(1136.4-773)+(0+(0-0))+0-800.1-0</f>
        <v>2739.3</v>
      </c>
    </row>
    <row r="94" spans="1:31" s="2" customFormat="1" x14ac:dyDescent="0.25">
      <c r="A94">
        <v>89</v>
      </c>
      <c r="B94">
        <v>4</v>
      </c>
      <c r="C94">
        <v>1</v>
      </c>
      <c r="D94">
        <v>4</v>
      </c>
      <c r="E94">
        <v>1</v>
      </c>
      <c r="F94" s="3">
        <f>3228.7+(880.2-985.9)+(-8.233185+(-2.24451--2.514045))+0-655.9--1.6725449999999</f>
        <v>2460.8088949999997</v>
      </c>
      <c r="G94" s="3">
        <f>3230.2+(838.5-983.2)+(-4.942206+(-1.282905--1.504296))+0-812.6--1.24327800000005</f>
        <v>2269.4224629999999</v>
      </c>
      <c r="H94" s="3">
        <f>3245.1+(675.8-996)+(-6.620004+(-1.378632--2.03184))+0-741--1.51163999999997</f>
        <v>2179.4448439999996</v>
      </c>
      <c r="I94" s="3">
        <f>3271+(665.7-1190.4)+(-5.00463+(-1.018521--1.821312))+0-609.7--0.932841000000035</f>
        <v>2133.3310019999999</v>
      </c>
      <c r="J94" s="3">
        <f>3303.8+(700.2-1143.6)+(-1.684938+(-0.357102--0.583236))+0-753.7--0.384386999999924</f>
        <v>2105.6255830000009</v>
      </c>
      <c r="K94" s="3">
        <f>3321.5+(531.9-1088.6)+(-6.77586+(-1.085076--2.220744))+0-691--1.40963999999997</f>
        <v>2069.5694480000002</v>
      </c>
      <c r="L94" s="3">
        <f>2904.7+(630.1-803.5)+(1.481397+(0.321351-0.409785))+0-709.9-0.362048999999928</f>
        <v>2022.4309139999996</v>
      </c>
      <c r="M94" s="3">
        <f>2956.8+(489.3-636.5)+(3.015936+(0.499086-0.64923))+0-637.4-0.650148000000102</f>
        <v>2174.4156440000002</v>
      </c>
      <c r="N94" s="3">
        <f>3180.4+(461.2-585.4)+(-1.622004+(-0.235212--0.298554))+0-602.9--0.307478999999939</f>
        <v>2452.0488170000003</v>
      </c>
      <c r="O94" s="3">
        <f>3245.4+(409.2-378.2)+(3.310308+(0.417384-0.385764))+0-589.3-0.601086000000094</f>
        <v>2689.8408420000001</v>
      </c>
      <c r="P94" s="3">
        <f>3226.3+(438.4-313.7)+(1.645413+(0.223584-0.159987))+0-605.5-0.308804999999939</f>
        <v>2746.9002049999999</v>
      </c>
      <c r="Q94" s="3">
        <f>3225.6+(711-429.3)+(0+(0-0))+0-690.5-0</f>
        <v>2816.7999999999997</v>
      </c>
      <c r="R94" s="3">
        <f>3212.4+(764.8-752.7)+(-1.638324+(-0.390048--0.383877))+0-390.4--0.19910399999996</f>
        <v>2832.6546089999997</v>
      </c>
      <c r="S94" s="3">
        <f>3220.4+(466.7-674.5)+(-3.284808+(-0.476034--0.68799))+0-357.1--0.364242000000057</f>
        <v>2652.7913900000003</v>
      </c>
      <c r="T94" s="3">
        <f>3217.1+(539.9-636.2)+(1.640721+(0.275349-0.324462))+0-371.5-0.189464999999962</f>
        <v>2750.702143</v>
      </c>
      <c r="U94" s="3">
        <f>3209.9+(579.9-586.1)+(4.911147+(0.887247-0.896733))+0-414.2-0.633726000000024</f>
        <v>2793.7679349999999</v>
      </c>
      <c r="V94" s="3">
        <f>3217.1+(546.6-460.4)+(-3.281442+(-0.557532--0.469608))+0-514.8--0.525096000000082</f>
        <v>2785.6557300000004</v>
      </c>
      <c r="W94" s="3">
        <f>3206.2+(495.2-357.3)+(-3.270324+(-0.505104--0.364446))+0-651.1--0.664122000000104</f>
        <v>2690.2531400000003</v>
      </c>
      <c r="X94" s="3">
        <f>3181.7+(560-495.9)+(-4.868001+(-0.8568--0.758727))+0-632.2--0.967266000000037</f>
        <v>2609.6011919999996</v>
      </c>
      <c r="Y94" s="3">
        <f>3108.6+(525.3-468.1)+(1.585386+(0.267903-0.238731))+0-668.7-0.341036999999932</f>
        <v>2498.3735209999995</v>
      </c>
      <c r="Z94" s="3">
        <f>3219+(583.1-394.3)+(-4.92507+(-0.892143--0.603279))+0-754.9--1.15499700000004</f>
        <v>2648.8410630000003</v>
      </c>
      <c r="AA94" s="3">
        <f>3244+(530.8-374.1)+(-1.65444+(-0.270708--0.190791))+0-696.6--0.355265999999929</f>
        <v>2702.7209090000001</v>
      </c>
      <c r="AB94" s="3">
        <f>3250.3+(487.7-386.5)+(0+(0-0))+0-717.3-0</f>
        <v>2634.2</v>
      </c>
      <c r="AC94" s="3">
        <f>3245.6+(547.5-538.4)+(-1.655256+(-0.279225--0.274584))+0-686.1--0.34991099999993</f>
        <v>2567.2900139999997</v>
      </c>
      <c r="AD94">
        <f t="shared" si="1"/>
        <v>60287.490303000006</v>
      </c>
      <c r="AE94" s="3">
        <f>3258+(615.1-368.4)+(0+(0-0))+0-785.3-0</f>
        <v>2719.3999999999996</v>
      </c>
    </row>
    <row r="95" spans="1:31" s="2" customFormat="1" x14ac:dyDescent="0.25">
      <c r="A95">
        <v>89</v>
      </c>
      <c r="B95">
        <v>4</v>
      </c>
      <c r="C95">
        <v>2</v>
      </c>
      <c r="D95">
        <v>5</v>
      </c>
      <c r="E95">
        <v>1</v>
      </c>
      <c r="F95" s="3">
        <f>3276.5+(641.2-741.2)+(0+(0-0))+0-754.9-0</f>
        <v>2421.6</v>
      </c>
      <c r="G95" s="3">
        <f>3295.8+(601.5-851.6)+(-3.361716+(-0.61353--0.868632))+0-771.9--0.787338000000123</f>
        <v>2271.4807240000005</v>
      </c>
      <c r="H95" s="3">
        <f>3298.5+(534.3-954.1)+(0+(0-0))+0-726.4-0</f>
        <v>2152.2999999999997</v>
      </c>
      <c r="I95" s="3">
        <f>3311.7+(641.7-1106.4)+(-3.377934+(-0.654534--1.128528))+0-733.3--0.747966000000117</f>
        <v>2111.5440259999996</v>
      </c>
      <c r="J95" s="3">
        <f>3295+(716.9-1195.1)+(-1.68045+(-0.365619--0.609501))+0-706.8--0.360467999999928</f>
        <v>2108.9238999999998</v>
      </c>
      <c r="K95" s="3">
        <f>3105.4+(824.6-1113.2)+(-3.167508+(-0.841092--1.135464))+0-736.1--0.750822000000117</f>
        <v>2078.5776860000001</v>
      </c>
      <c r="L95" s="3">
        <f>2830.4+(813.7-959.4)+(-1.443504+(-0.414987--0.489294))+0-658.8--0.335987999999933</f>
        <v>2024.8667910000004</v>
      </c>
      <c r="M95" s="3">
        <f>2823.4+(844.3-808.6)+(-1.439934+(-0.430593--0.412386))+0-651.2--0.332111999999934</f>
        <v>2206.7739709999996</v>
      </c>
      <c r="N95" s="3">
        <f>3040.9+(783.2-694.5)+(0+(0-0))+0-668.5-0</f>
        <v>2461.1000000000004</v>
      </c>
      <c r="O95" s="3">
        <f>3289.3+(533.8-570.9)+(-5.032629+(-0.816714--0.873477))+0-613.5--0.938655000000035</f>
        <v>2634.662789</v>
      </c>
      <c r="P95" s="3">
        <f>3267.2+(451.3-337.2)+(1.666272+(0.230163-0.171972))+0-649.5-0.331244999999934</f>
        <v>2733.1932179999999</v>
      </c>
      <c r="Q95" s="3">
        <f>3259.1+(759.7-511.7)+(-1.662141+(-0.387447--0.260967))+0-679.5--0.346544999999931</f>
        <v>2826.1579239999996</v>
      </c>
      <c r="R95" s="3">
        <f>3231.9+(1073.7-815.3)+(1.648269+(0.547587-0.415803))+0-609.9-0.311048999999938</f>
        <v>2881.8690040000001</v>
      </c>
      <c r="S95" s="3">
        <f>3238.5+(879.2-746.4)+(-1.651635+(-0.448392--0.380664))+0-646.8--0.329867999999934</f>
        <v>2723.1105049999996</v>
      </c>
      <c r="T95" s="3">
        <f>3228.6+(883.6-708.2)+(3.293172+(0.901272-0.722364))+0-623-0.635460000000099</f>
        <v>2783.83662</v>
      </c>
      <c r="U95" s="3">
        <f>3222.7+(741-599.3)+(1.643577+(0.37791-0.305643))+0-527.1-0.268820999999947</f>
        <v>2838.7470229999994</v>
      </c>
      <c r="V95" s="3">
        <f>3213.1+(885.7-626.8)+(0+(0-0))+0-638.5-0</f>
        <v>2833.5</v>
      </c>
      <c r="W95" s="3">
        <f>3227.7+(618.9-406.1)+(-1.646127+(-0.315639--0.207111))+0-672.9--0.343178999999932</f>
        <v>2766.1885239999997</v>
      </c>
      <c r="X95" s="3">
        <f>3202.7+(529.2-474.1)+(-4.900131+(-0.809676--0.725373))+0-611.6--0.935748000000035</f>
        <v>2642.1513139999997</v>
      </c>
      <c r="Y95" s="3">
        <f>3134.3+(602.5-540.8)+(-3.196986+(-0.61455--0.551616))+0-679.3--0.692886000000108</f>
        <v>2514.1329660000006</v>
      </c>
      <c r="Z95" s="3">
        <f>3176.5+(462.1-368.9)+(0+(0-0))+0-591.5-0</f>
        <v>2678.2</v>
      </c>
      <c r="AA95" s="3">
        <f>3249+(518.3-432.6)+(-4.97097+(-0.792999--0.661878))+0-588.1--0.899793000000034</f>
        <v>2742.3977019999998</v>
      </c>
      <c r="AB95" s="3">
        <f>3265.5+(486.4-405.7)+(-3.33081+(-0.496128--0.413814))+0-678.1--0.691662000000108</f>
        <v>2665.3785379999999</v>
      </c>
      <c r="AC95" s="3">
        <f>3277.3+(506.1-535.5)+(-1.671423+(-0.258111--0.273105))+0-671.4--0.342413999999932</f>
        <v>2575.1859849999996</v>
      </c>
      <c r="AD95">
        <f t="shared" si="1"/>
        <v>60675.879209999985</v>
      </c>
      <c r="AE95" s="3">
        <f>3217+(660.2-429.4)+(0+(0-0))+0-712.5-0</f>
        <v>2735.3</v>
      </c>
    </row>
    <row r="96" spans="1:31" s="2" customFormat="1" x14ac:dyDescent="0.25">
      <c r="A96">
        <v>89</v>
      </c>
      <c r="B96">
        <v>4</v>
      </c>
      <c r="C96">
        <v>3</v>
      </c>
      <c r="D96">
        <v>6</v>
      </c>
      <c r="E96">
        <v>1</v>
      </c>
      <c r="F96" s="3">
        <f>3269.8+(733.8-822.7)+(-6.670392+(-1.496952--1.678308))+0-717.7--1.46410799999997</f>
        <v>2458.175072</v>
      </c>
      <c r="G96" s="3">
        <f>3183.9+(808-1137.7)+(-8.118945+(-2.0604--2.901135))+0-599--1.52744999999991</f>
        <v>2249.4492399999999</v>
      </c>
      <c r="H96" s="3">
        <f>3121.9+(878.8-1222.5)+(-1.592169+(-0.448188--0.623475))+0-614.4--0.313343999999938</f>
        <v>2162.6964619999999</v>
      </c>
      <c r="I96" s="3">
        <f>3188.6+(844.7-1364)+(-3.252372+(-0.861594--1.39128))+0-522.1--0.532542000000083</f>
        <v>2145.0098560000001</v>
      </c>
      <c r="J96" s="3">
        <f>3201.1+(856.9-1267.2)+(-1.632561+(-0.437019--0.646272))+0-667--0.340169999999932</f>
        <v>2122.7168619999998</v>
      </c>
      <c r="K96" s="3">
        <f>3024.5+(914.6-1180.4)+(-4.627485+(-1.399338--1.806012))+0-692.7--1.05983100000004</f>
        <v>2062.8390199999999</v>
      </c>
      <c r="L96" s="3">
        <f>2801.5+(878.3-1031.2)+(0+(0-0))+0-696.3-0</f>
        <v>1952.3</v>
      </c>
      <c r="M96" s="3">
        <f>3157.2+(715.3-976.7)+(-1.610172+(-0.364803--0.498117))+0-765.1--0.390200999999922</f>
        <v>2129.6133429999995</v>
      </c>
      <c r="N96" s="3">
        <f>3144.7+(652.1-764.9)+(0+(0-0))+0-665.9-0</f>
        <v>2365.9999999999995</v>
      </c>
      <c r="O96" s="3">
        <f>3182.1+(805.8-679.3)+(1.622871+(0.410958-0.346443))+0-743.9-0.379388999999925</f>
        <v>2566.0079970000002</v>
      </c>
      <c r="P96" s="3">
        <f>3272.4+(548.6-483.7)+(3.337848+(0.559572-0.493374))+0-658.9-0.672078000000105</f>
        <v>2681.1319680000001</v>
      </c>
      <c r="Q96" s="3">
        <f>3244.2+(572.5-303.3)+(4.963626+(0.875925-0.464049))+0-768.1-1.17519300000004</f>
        <v>2749.5003089999996</v>
      </c>
      <c r="R96" s="3">
        <f>3259.4+(640.2-403.9)+(1.662294+(0.326502-0.205989))+0-737.3-0.376022999999925</f>
        <v>2759.8067840000003</v>
      </c>
      <c r="S96" s="3">
        <f>3243.2+(585.8-525.1)+(3.308064+(0.597516-0.535602))+0-719.5-0.733890000000115</f>
        <v>2587.0360879999998</v>
      </c>
      <c r="T96" s="3">
        <f>3228+(595.2-589.2)+(-4.93884+(-0.910656--0.901476))+0-640.4--0.979812000000037</f>
        <v>2589.6317920000001</v>
      </c>
      <c r="U96" s="3">
        <f>3216.7+(697.9-563.9)+(-1.640517+(-0.355929--0.287589))+0-744.1--0.379490999999925</f>
        <v>2605.270634</v>
      </c>
      <c r="V96" s="3">
        <f>3216.9+(558.4-530.7)+(-6.562476+(-1.139136--1.082628))+0-655.2--1.33660799999997</f>
        <v>2584.117624</v>
      </c>
      <c r="W96" s="3">
        <f>3206.9+(563.5-476.7)+(-6.542076+(-1.14954--0.972468))+0-777.9--1.58691599999997</f>
        <v>2510.6677679999998</v>
      </c>
      <c r="X96" s="3">
        <f>3135.2+(670.1-629.1)+(-4.796856+(-1.025253--0.962523))+0-728.1--1.11399300000004</f>
        <v>2444.3544069999998</v>
      </c>
      <c r="Y96" s="3">
        <f>3138.9+(470.9-519.4)+(-1.600839+(-0.240159--0.264894))+0-741.7--0.378266999999925</f>
        <v>2347.5021630000001</v>
      </c>
      <c r="Z96" s="3">
        <f>3145.6+(507.1-430)+(-1.604256+(-0.258621--0.2193))+0-709.3--0.361742999999928</f>
        <v>2512.1181659999997</v>
      </c>
      <c r="AA96" s="3">
        <f>3250.9+(531.1-475.4)+(-6.631836+(-1.083444--0.969816))+0-700.9--1.42983599999997</f>
        <v>2600.384372</v>
      </c>
      <c r="AB96" s="3">
        <f>3262.8+(637.7-615.7)+(-1.664028+(-0.325227--0.314007))+0-761.4--0.388313999999923</f>
        <v>2522.1130659999999</v>
      </c>
      <c r="AC96" s="3">
        <f>3296.5+(735-821.5)+(1.681215+(0.37485-0.418965))+0-736.5-0.375614999999925</f>
        <v>2474.761485</v>
      </c>
      <c r="AD96">
        <f t="shared" si="1"/>
        <v>58183.204477999992</v>
      </c>
      <c r="AE96" s="3">
        <f>3278+(504.1-472.1)+(0+(0-0))+0-656.9-0</f>
        <v>2653.1</v>
      </c>
    </row>
    <row r="97" spans="1:31" s="2" customFormat="1" x14ac:dyDescent="0.25">
      <c r="A97">
        <v>89</v>
      </c>
      <c r="B97">
        <v>4</v>
      </c>
      <c r="C97">
        <v>4</v>
      </c>
      <c r="D97">
        <v>7</v>
      </c>
      <c r="E97">
        <v>1</v>
      </c>
      <c r="F97" s="3">
        <f>3276.8+(706.7-884.8)+(1.671168+(0.360417-0.451248))+0-758.4-0.386783999999923</f>
        <v>2341.4935530000002</v>
      </c>
      <c r="G97" s="3">
        <f>3282.6+(684.2-1026.2)+(-1.674126+(-0.348942--0.523362))+0-701--0.357509999999929</f>
        <v>2238.4578039999997</v>
      </c>
      <c r="H97" s="3">
        <f>3271.2+(683.2-1153.4)+(-3.336624+(-0.696864--1.176468))+0-644--0.656880000000103</f>
        <v>2154.7998600000001</v>
      </c>
      <c r="I97" s="3">
        <f>3141.9+(709-990.3)+(1.602369+(0.36159-0.505053))+0-725.3-0.369902999999926</f>
        <v>2136.3890030000002</v>
      </c>
      <c r="J97" s="3">
        <f>3049.1+(734.7-970.5)+(-3.110082+(-0.749394--0.98991))+0-743--0.757860000000118</f>
        <v>2068.1882940000005</v>
      </c>
      <c r="K97" s="3">
        <f>2886.5+(796.7-1047.7)+(-4.416345+(-1.218951--1.602981))+0-688.8--1.05386400000004</f>
        <v>1943.7215490000001</v>
      </c>
      <c r="L97" s="3">
        <f>2638.8+(735.8-900.9)+(-2.691576+(-0.750516--0.918918))+0-710--0.724200000000113</f>
        <v>1761.9010260000005</v>
      </c>
      <c r="M97" s="3">
        <f>2560.5+(708.3-784)+(-5.22342+(-1.444932--1.59936))+0-667--1.36067999999997</f>
        <v>1814.0916880000002</v>
      </c>
      <c r="N97" s="3">
        <f>2545.5+(717.4-744.3)+(-1.298205+(-0.365874--0.379593))+0-613.3--0.312782999999938</f>
        <v>1904.3282969999998</v>
      </c>
      <c r="O97" s="3">
        <f>2539.4+(716.1-603.2)+(1.295094+(0.365211-0.307632))+0-662.1-0.337670999999933</f>
        <v>1991.2150020000001</v>
      </c>
      <c r="P97" s="3">
        <f>2649.7+(803-598.3)+(-6.756735+(-2.04765--1.525665))+0-709.7--1.8097349999999</f>
        <v>2139.2310149999994</v>
      </c>
      <c r="Q97" s="3">
        <f>2818.5+(737.8-701)+(1.437435+(0.376278-0.35751))+0-672.6-0.343025999999932</f>
        <v>2183.8131770000005</v>
      </c>
      <c r="R97" s="3">
        <f>2914.3+(742.1-775.5)+(-1.486293+(-0.378471--0.395505))+0-667.3--0.340322999999932</f>
        <v>2212.4710639999998</v>
      </c>
      <c r="S97" s="3">
        <f>2968.5+(718.3-790.5)+(0+(0-0))+0-712.1-0</f>
        <v>2184.2000000000003</v>
      </c>
      <c r="T97" s="3">
        <f>2976.6+(727.4-833.2)+(-4.554198+(-1.112922--1.274796))+0-689--1.05417000000004</f>
        <v>2178.4618459999997</v>
      </c>
      <c r="U97" s="3">
        <f>2958.5+(865.7-926.7)+(4.526505+(1.324521-1.417851))+0-710.1-1.08645300000004</f>
        <v>2190.7467220000003</v>
      </c>
      <c r="V97" s="3">
        <f>2951.1+(876.8-983)+(-3.010122+(-0.894336--1.00266))+0-646.1--0.659022000000103</f>
        <v>2196.5572240000001</v>
      </c>
      <c r="W97" s="3">
        <f>2908.4+(862.9-898.1)+(-5.933136+(-1.760316--1.832124))+0-698.9--1.42575599999997</f>
        <v>2169.8644279999999</v>
      </c>
      <c r="X97" s="3">
        <f>2834.5+(757.4-770.3)+(-1.445595+(-0.386274--0.392853))+0-701.7--0.357866999999929</f>
        <v>2118.818851</v>
      </c>
      <c r="Y97" s="3">
        <f>2816.8+(565-655.8)+(-2.873136+(-0.5763--0.668916))+0-645.9--0.658818000000103</f>
        <v>2077.978298</v>
      </c>
      <c r="Z97" s="3">
        <f>2935.3+(607.2-628.1)+(-2.994006+(-0.619344--0.640662))+0-635.4--0.648108000000101</f>
        <v>2276.6754200000005</v>
      </c>
      <c r="AA97" s="3">
        <f>3024.2+(562.1-653.5)+(-4.627026+(-0.860013--0.999855))+0-552.7--0.845631000000032</f>
        <v>2376.458447</v>
      </c>
      <c r="AB97" s="3">
        <f>3044.9+(695.9-759.5)+(-3.105798+(-0.709818--0.77469))+0-652.8--0.665856000000104</f>
        <v>2326.1249300000004</v>
      </c>
      <c r="AC97" s="3">
        <f>3062.1+(717.9-867.7)+(-3.123342+(-0.732258--0.885054))+0-597--0.608940000000095</f>
        <v>2312.9383939999998</v>
      </c>
      <c r="AD97">
        <f t="shared" si="1"/>
        <v>51298.925892000007</v>
      </c>
      <c r="AE97" s="3">
        <f>3031+(700.6-610.8)+(0+(0-0))+0-787.7-0</f>
        <v>2333.1000000000004</v>
      </c>
    </row>
    <row r="98" spans="1:31" s="2" customFormat="1" x14ac:dyDescent="0.25">
      <c r="A98">
        <v>89</v>
      </c>
      <c r="B98">
        <v>4</v>
      </c>
      <c r="C98">
        <v>5</v>
      </c>
      <c r="D98">
        <v>1</v>
      </c>
      <c r="E98">
        <v>3</v>
      </c>
      <c r="F98" s="3">
        <f>3020.3+(767.1-980.4)+(-4.621059+(-1.173663--1.500012))+0-623.8--0.954414000000036</f>
        <v>2179.8597039999995</v>
      </c>
      <c r="G98" s="3">
        <f>3032.9+(528.4-807.1)+(-6.187116+(-1.077936--1.646484))+0-692.7--1.41310799999997</f>
        <v>2057.2945400000003</v>
      </c>
      <c r="H98" s="3">
        <f>3073.5+(448.7-743.8)+(-1.567485+(-0.228837--0.379338))+0-766.1--0.390710999999922</f>
        <v>2011.2737270000002</v>
      </c>
      <c r="I98" s="3">
        <f>2929.1+(512.7-763.1)+(-4.481523+(-0.784431--1.167543))+0-737.5--1.12837500000004</f>
        <v>1938.2299639999999</v>
      </c>
      <c r="J98" s="3">
        <f>2516.1+(689.8-629.3)+(-2.566422+(-0.703596--0.641886))+0-716.3--0.730626000000114</f>
        <v>1858.4024940000002</v>
      </c>
      <c r="K98" s="3">
        <f>2541.4+(725.5-675.5)+(-9.072798+(-2.590035--2.411535))+0-753.3--2.68928100000001</f>
        <v>1831.5379829999999</v>
      </c>
      <c r="L98" s="3">
        <f>2567.1+(594.7-672.4)+(-2.618442+(-0.606594--0.685848))+0-724.5--0.738990000000116</f>
        <v>1763.099802</v>
      </c>
      <c r="M98" s="3">
        <f>2569.1+(589.3-598.3)+(-5.240964+(-1.202172--1.220532))+0-725.4--1.47981599999997</f>
        <v>1830.9572119999998</v>
      </c>
      <c r="N98" s="3">
        <f>2855.4+(497-692.3)+(-2.912508+(-0.50694--0.706146))+0-751.4--0.76642800000012</f>
        <v>1906.7531260000003</v>
      </c>
      <c r="O98" s="3">
        <f>2935.2+(489.3-720.2)+(-2.993904+(-0.499086--0.734604))+0-597.5--0.609450000000095</f>
        <v>2104.6510639999997</v>
      </c>
      <c r="P98" s="3">
        <f>2915+(668.3-695.4)+(-4.45995+(-1.022499--1.063962))+0-644.9--0.986697000000037</f>
        <v>2239.5682099999999</v>
      </c>
      <c r="Q98" s="3">
        <f>2988.7+(639.7-665.7)+(-3.048474+(-0.652494--0.679014))+0-644.5--0.657390000000103</f>
        <v>2315.8354360000003</v>
      </c>
      <c r="R98" s="3">
        <f>2959.2+(669.5-693.6)+(-3.018384+(-0.68289--0.707472))+0-611.8--0.624036000000098</f>
        <v>2320.9302340000004</v>
      </c>
      <c r="S98" s="3">
        <f>2964.7+(680.2-794.6)+(-4.535991+(-1.040706--1.215738))+0-600--0.918000000000035</f>
        <v>2246.8570409999998</v>
      </c>
      <c r="T98" s="3">
        <f>2962.7+(715.8-792.3)+(0+(0-0))+0-615.9-0</f>
        <v>2270.2999999999997</v>
      </c>
      <c r="U98" s="3">
        <f>2952.7+(720.1-729.5)+(-1.505877+(-0.367251--0.372045))+0-628.1--0.320330999999936</f>
        <v>2314.0192479999996</v>
      </c>
      <c r="V98" s="3">
        <f>2949.4+(728.5-754.2)+(-7.52097+(-1.857675--1.92321))+0-593.4--1.51316999999991</f>
        <v>2324.3577349999996</v>
      </c>
      <c r="W98" s="3">
        <f>2949.9+(743.5-775.5)+(-4.513347+(-1.137555--1.186515))+0-627.1--0.959463000000036</f>
        <v>2287.2950760000003</v>
      </c>
      <c r="X98" s="3">
        <f>2763+(595.4-513.3)+(-4.22739+(-0.910962--0.785349))+0-596.3--0.912339000000034</f>
        <v>2245.359336</v>
      </c>
      <c r="Y98" s="3">
        <f>2514.8+(587.9-296.9)+(0+(0-0))+0-638-0</f>
        <v>2167.8000000000002</v>
      </c>
      <c r="Z98" s="3">
        <f>2778.1+(591.7-390.3)+(0+(0-0))+0-621.1-0</f>
        <v>2358.4</v>
      </c>
      <c r="AA98" s="3">
        <f>2960.6+(633.3-488.7)+(-3.019812+(-0.645966--0.498474))+0-642.3--0.655146000000102</f>
        <v>2460.3878420000001</v>
      </c>
      <c r="AB98" s="3">
        <f>3007.4+(676.9-639)+(0+(0-0))+0-622-0</f>
        <v>2423.3000000000002</v>
      </c>
      <c r="AC98" s="3">
        <f>3024.1+(745.9-831.5)+(3.084582+(0.760818-0.84813))+0-573.5-0.584970000000091</f>
        <v>2367.4123</v>
      </c>
      <c r="AD98">
        <f t="shared" si="1"/>
        <v>51823.882074000008</v>
      </c>
      <c r="AE98" s="3">
        <f>3042+(632.8-519.2)+(0+(0-0))+0-669.8-0</f>
        <v>2485.8000000000002</v>
      </c>
    </row>
    <row r="99" spans="1:31" s="2" customFormat="1" x14ac:dyDescent="0.25">
      <c r="A99">
        <v>89</v>
      </c>
      <c r="B99">
        <v>4</v>
      </c>
      <c r="C99">
        <v>6</v>
      </c>
      <c r="D99">
        <v>2</v>
      </c>
      <c r="E99">
        <v>1</v>
      </c>
      <c r="F99" s="3">
        <f>3116.4+(746.2-1073.9)+(0+(0-0))+0-522.1-0</f>
        <v>2266.6</v>
      </c>
      <c r="G99" s="3">
        <f>3047.4+(703.5-1204.3)+(-4.662522+(-1.076355--1.842579))+0-521.4--0.79774200000003</f>
        <v>2022.1014440000001</v>
      </c>
      <c r="H99" s="3">
        <f>3044.4+(708.1-1080.9)+(-7.76322+(-1.805655--2.756295))+0-596.8--1.52183999999991</f>
        <v>2069.5092600000003</v>
      </c>
      <c r="I99" s="3">
        <f>2982.7+(687.8-1001.4)+(-7.605885+(-1.75389--2.55357))+0-649.5--1.65622499999991</f>
        <v>2014.45002</v>
      </c>
      <c r="J99" s="3">
        <f>2986.1+(622-1009.4)+(-1.522911+(-0.31722--0.514794))+0-596.2--0.30406199999994</f>
        <v>2001.4787249999995</v>
      </c>
      <c r="K99" s="3">
        <f>2883.8+(701.4-939.9)+(-5.882952+(-1.430856--1.917396))+0-650.8--1.32763199999997</f>
        <v>1990.4312200000002</v>
      </c>
      <c r="L99" s="3">
        <f>2589.4+(765.3-864.1)+(-1.320594+(-0.390303--0.440691))+0-542.2--0.276521999999945</f>
        <v>1947.4063159999996</v>
      </c>
      <c r="M99" s="3">
        <f>2839.3+(648.2-618.4)+(1.448043+(0.330582-0.315384))+0-663.7-0.338486999999933</f>
        <v>2206.524754</v>
      </c>
      <c r="N99" s="3">
        <f>3211.1+(454.5-802.2)+(-3.275322+(-0.46359--0.818244))+0-502.4--0.51244800000008</f>
        <v>2358.5917799999993</v>
      </c>
      <c r="O99" s="3">
        <f>3308.3+(469.1-614.5)+(1.687233+(0.239241-0.313395))+0-606.1-0.309110999999939</f>
        <v>2558.1039680000004</v>
      </c>
      <c r="P99" s="3">
        <f>3331.5+(559.1-563.8)+(0+(0-0))+0-632.9-0</f>
        <v>2693.9</v>
      </c>
      <c r="Q99" s="3">
        <f>3312.7+(406.7-305.6)+(3.378954+(0.414834-0.311712))+0-620.8-0.633216000000099</f>
        <v>2795.8488599999991</v>
      </c>
      <c r="R99" s="3">
        <f>3274.8+(516.2-290)+(0+(0-0))+0-682-0</f>
        <v>2819</v>
      </c>
      <c r="S99" s="3">
        <f>3287.2+(262.1-420.4)+(-1.676472+(-0.133671--0.214404))+0-471.4--0.240413999999952</f>
        <v>2656.1446749999996</v>
      </c>
      <c r="T99" s="3">
        <f>3276.6+(540.4-443.8)+(0+(0-0))+0-642.9-0</f>
        <v>2730.2999999999997</v>
      </c>
      <c r="U99" s="3">
        <f>3243+(633.8-544.7)+(-3.30786+(-0.646476--0.555594))+0-574.6--0.586092000000092</f>
        <v>2754.6873500000002</v>
      </c>
      <c r="V99" s="3">
        <f>3242.6+(677.2-522.1)+(0+(0-0))+0-631.7-0</f>
        <v>2766</v>
      </c>
      <c r="W99" s="3">
        <f>3222.9+(443.1-271.3)+(-3.287358+(-0.451962--0.276726))+0-689.1--0.70288200000011</f>
        <v>2702.8402880000003</v>
      </c>
      <c r="X99" s="3">
        <f>3173.1+(670.9-571.9)+(-6.473124+(-1.368636--1.166676))+0-646.9--1.31967599999997</f>
        <v>2619.8445919999999</v>
      </c>
      <c r="Y99" s="3">
        <f>2826.6+(789.7-446.6)+(-1.441566+(-0.402747--0.227766))+0-663.8--0.338537999999933</f>
        <v>2504.621991</v>
      </c>
      <c r="Z99" s="3">
        <f>3011.6+(773-472.6)+(-1.535916+(-0.39423--0.241026))+0-661.1--0.337160999999933</f>
        <v>2649.548041</v>
      </c>
      <c r="AA99" s="3">
        <f>3308.7+(410-467.4)+(0+(0-0))+0-518.1-0</f>
        <v>2733.2</v>
      </c>
      <c r="AB99" s="3">
        <f>3317.1+(581.9-531.8)+(-1.691721+(-0.296769--0.271218))+0-722.2--0.368321999999927</f>
        <v>2643.6510499999999</v>
      </c>
      <c r="AC99" s="3">
        <f>3322.4+(715.3-923.9)+(-1.694424+(-0.364803--0.471189))+0-551.6--0.281315999999944</f>
        <v>2560.8932780000005</v>
      </c>
      <c r="AD99">
        <f t="shared" si="1"/>
        <v>59065.677611999999</v>
      </c>
      <c r="AE99" s="3">
        <f>3272+(380-448.3)+(0+(0-0))+0-479.6-0</f>
        <v>2724.1</v>
      </c>
    </row>
    <row r="100" spans="1:31" s="2" customFormat="1" x14ac:dyDescent="0.25">
      <c r="A100">
        <v>89</v>
      </c>
      <c r="B100">
        <v>4</v>
      </c>
      <c r="C100">
        <v>7</v>
      </c>
      <c r="D100">
        <v>3</v>
      </c>
      <c r="E100">
        <v>1</v>
      </c>
      <c r="F100" s="3">
        <f>3315.2+(764.2-1030.3)+(-3.381504+(-0.779484--1.050906))+0-662.1--0.675342000000106</f>
        <v>2384.5652599999999</v>
      </c>
      <c r="G100" s="3">
        <f>3322.9+(709.1-1081.1)+(-1.694679+(-0.361641--0.551361))+0-738.8--0.376787999999925</f>
        <v>2210.9718290000005</v>
      </c>
      <c r="H100" s="3">
        <f>3337.7+(548.7-1061.7)+(-5.106681+(-0.839511--1.624401))+0-703.8--1.07681400000004</f>
        <v>2117.6550230000003</v>
      </c>
      <c r="I100" s="3">
        <f>3228.4+(711.2-1081.9)+(-3.292968+(-0.725424--1.103538))+0-771.3--0.786726000000123</f>
        <v>2084.2718720000003</v>
      </c>
      <c r="J100" s="3">
        <f>3199.7+(580.3-1095.5)+(-8.159235+(-1.479765--2.793525))+0-624.9--1.59349499999991</f>
        <v>2054.3480199999999</v>
      </c>
      <c r="K100" s="3">
        <f>3092.5+(625.6-1019.6)+(-6.3087+(-1.276224--2.079984))+0-667.5--1.36169999999997</f>
        <v>2026.8567600000001</v>
      </c>
      <c r="L100" s="3">
        <f>2955.8+(649.8-938.1)+(-6.029832+(-1.325592--1.913724))+0-699.1--1.42616399999997</f>
        <v>1964.3844640000002</v>
      </c>
      <c r="M100" s="3">
        <f>2905+(560.2-729.3)+(-1.48155+(-0.285702--0.371943))+0-605.7--0.308906999999939</f>
        <v>2129.1135980000004</v>
      </c>
      <c r="N100" s="3">
        <f>3145.4+(539.9-605.2)+(0+(0-0))+0-685.3-0</f>
        <v>2394.8000000000002</v>
      </c>
      <c r="O100" s="3">
        <f>3259+(511.3-491.2)+(-3.32418+(-0.521526--0.501024))+0-710.9--0.725118000000113</f>
        <v>2565.5804360000002</v>
      </c>
      <c r="P100" s="3">
        <f>3296.4+(407.7-362.1)+(-5.043492+(-0.623781--0.554013))+0-628.9--0.962217000000036</f>
        <v>2708.9489570000001</v>
      </c>
      <c r="Q100" s="3">
        <f>3260.5+(450.6-277.9)+(-1.662855+(-0.229806--0.141729))+0-620.8--0.316607999999937</f>
        <v>2810.9656759999998</v>
      </c>
      <c r="R100" s="3">
        <f>3234.3+(652.5-409.1)+(0+(0-0))+0-643.7-0</f>
        <v>2834</v>
      </c>
      <c r="S100" s="3">
        <f>3232.7+(630.9-533.7)+(0+(0-0))+0-665-0</f>
        <v>2664.8999999999996</v>
      </c>
      <c r="T100" s="3">
        <f>3218.9+(690.1-605.5)+(-3.283278+(-0.703902--0.61761))+0-564.9--0.57619800000009</f>
        <v>2735.8066280000003</v>
      </c>
      <c r="U100" s="3">
        <f>3196.7+(792.1-590.9)+(4.890951+(1.211913-0.904077))+0-617.7-0.945081000000036</f>
        <v>2784.4537059999993</v>
      </c>
      <c r="V100" s="3">
        <f>3172.7+(811.8-509.4)+(1.618077+(0.414018-0.259794))+0-696.9-0.355418999999929</f>
        <v>2779.6168819999998</v>
      </c>
      <c r="W100" s="3">
        <f>3155.2+(483-365)+(-3.218304+(-0.49266--0.3723))+0-551.7--0.562734000000088</f>
        <v>2718.7240700000002</v>
      </c>
      <c r="X100" s="3">
        <f>3136.3+(466.6-397.8)+(-7.997565+(-1.18983--1.01439))+0-554.1--1.41295499999992</f>
        <v>2644.2399500000001</v>
      </c>
      <c r="Y100" s="3">
        <f>3046.1+(571.2-520.5)+(-3.107022+(-0.582624--0.53091))+0-574.3--0.585786000000092</f>
        <v>2519.9270500000007</v>
      </c>
      <c r="Z100" s="3">
        <f>3146.2+(586.7-474.3)+(-1.604562+(-0.299217--0.241893))+0-568.6--0.289985999999942</f>
        <v>2688.6280999999999</v>
      </c>
      <c r="AA100" s="3">
        <f>3205+(517.8-297.9)+(-4.90365+(-0.792234--0.455787))+0-641.8--0.981954000000037</f>
        <v>2778.8418570000003</v>
      </c>
      <c r="AB100" s="3">
        <f>3262.6+(499.7-343.5)+(-6.655704+(-1.019388--0.70074))+0-710.3--1.44901199999997</f>
        <v>2702.9746599999999</v>
      </c>
      <c r="AC100" s="3">
        <f>3267.4+(508.2-452.1)+(-6.665496+(-1.036728--0.922284))+0-715.8--1.46023199999997</f>
        <v>2602.3802920000003</v>
      </c>
      <c r="AD100">
        <f t="shared" si="1"/>
        <v>59906.955090000003</v>
      </c>
      <c r="AE100" s="3">
        <f>3173+(590.9-301.8)+(0+(0-0))+0-699.6-0</f>
        <v>2762.5</v>
      </c>
    </row>
    <row r="101" spans="1:31" s="2" customFormat="1" x14ac:dyDescent="0.25">
      <c r="A101">
        <v>89</v>
      </c>
      <c r="B101">
        <v>4</v>
      </c>
      <c r="C101">
        <v>8</v>
      </c>
      <c r="D101">
        <v>4</v>
      </c>
      <c r="E101">
        <v>1</v>
      </c>
      <c r="F101" s="3">
        <f>3250.5+(785.4-795.8)+(-8.288775+(-2.00277--2.02929))+0-783.5--1.99792499999989</f>
        <v>2450.3356699999995</v>
      </c>
      <c r="G101" s="3">
        <f>3266.8+(832.7-1111.2)+(-1.666068+(-0.424677--0.566712))+0-704.9--0.359498999999928</f>
        <v>2282.2354660000001</v>
      </c>
      <c r="H101" s="3">
        <f>3264.6+(731.7-1102)+(-3.329892+(-0.746334--1.12404))+0-703--0.717060000000112</f>
        <v>2189.0648740000001</v>
      </c>
      <c r="I101" s="3">
        <f>3225.5+(719.5-1068.3)+(-8.225025+(-1.834725--2.724165))+0-724.5--1.84747499999989</f>
        <v>2146.71189</v>
      </c>
      <c r="J101" s="3">
        <f>3244.5+(731.8-1105.9)+(-6.61878+(-1.492872--2.256036))+0-734.5--1.49837999999997</f>
        <v>2131.5427639999998</v>
      </c>
      <c r="K101" s="3">
        <f>2912.2+(847.8-897.8)+(-7.42611+(-2.16189--2.28939))+0-758.3--1.93366499999989</f>
        <v>2098.5350549999998</v>
      </c>
      <c r="L101" s="3">
        <f>2827.5+(668.9-713.7)+(-4.326075+(-1.023417--1.091961))+0-756.7--1.15775100000004</f>
        <v>2022.9002199999995</v>
      </c>
      <c r="M101" s="3">
        <f>2976.7+(439.3-563.9)+(0+(0-0))+0-675.3-0</f>
        <v>2176.8000000000002</v>
      </c>
      <c r="N101" s="3">
        <f>3210.7+(477.9-517)+(-4.912371+(-0.731187--0.79101))+0-716.7--1.09655100000004</f>
        <v>2451.1440029999999</v>
      </c>
      <c r="O101" s="3">
        <f>3205.9+(474.1-565.8)+(1.635009+(0.241791-0.288558))+0-466.8-0.238067999999953</f>
        <v>2648.7501739999998</v>
      </c>
      <c r="P101" s="3">
        <f>3231+(473-334.7)+(1.64781+(0.24123-0.170697))+0-604.4-0.308243999999939</f>
        <v>2766.3100990000003</v>
      </c>
      <c r="Q101" s="3">
        <f>3202.3+(762.9-480.5)+(3.266346+(0.778158-0.49011))+0-595.9-0.607818000000095</f>
        <v>2891.746576</v>
      </c>
      <c r="R101" s="3">
        <f>3205.7+(1168.5-822.4)+(1.634907+(0.595935-0.419424))+0-662.8-0.338027999999933</f>
        <v>2890.4733899999992</v>
      </c>
      <c r="S101" s="3">
        <f>3228.2+(922.6-838.9)+(-1.646382+(-0.470526--0.427839))+0-580.6--0.296105999999941</f>
        <v>2729.9070369999995</v>
      </c>
      <c r="T101" s="3">
        <f>3186.3+(1145.4-821.3)+(3.250026+(1.168308-0.837726))+0-692-0.70584000000011</f>
        <v>2821.2747680000007</v>
      </c>
      <c r="U101" s="3">
        <f>3146.9+(1262.4-906)+(-3.209838+(-1.287648--0.92412))+0-635.4--0.648108000000101</f>
        <v>2864.9747420000003</v>
      </c>
      <c r="V101" s="3">
        <f>3124.9+(1397.2-871.3)+(0+(0-0))+0-759.8-0</f>
        <v>2891</v>
      </c>
      <c r="W101" s="3">
        <f>3102.1+(1010.6-618.4)+(-6.328284+(-2.061624--1.261536))+0-688.9--1.40535599999997</f>
        <v>2799.6769839999997</v>
      </c>
      <c r="X101" s="3">
        <f>3111.3+(543.4-279.7)+(-6.347052+(-1.108536--0.570588))+0-686.1--1.39964399999997</f>
        <v>2683.414644</v>
      </c>
      <c r="Y101" s="3">
        <f>3059.3+(608.1-463.3)+(-1.560243+(-0.310131--0.236283))+0-612.6--0.312425999999938</f>
        <v>2590.1783350000005</v>
      </c>
      <c r="Z101" s="3">
        <f>3172.7+(584.6-346.3)+(1.618077+(0.298146-0.176613))+0-677.8-0.345677999999931</f>
        <v>2734.5939320000002</v>
      </c>
      <c r="AA101" s="3">
        <f>3268.2+(679.6-339.2)+(-3.333564+(-0.693192--0.345984))+0-801.6--0.817632000000128</f>
        <v>2804.1368600000001</v>
      </c>
      <c r="AB101" s="3">
        <f>3282.7+(496.8-316)+(1.674177+(0.253368-0.16116))+0-716.3-0.365312999999927</f>
        <v>2748.6010719999999</v>
      </c>
      <c r="AC101" s="3">
        <f>3272.6+(495.5-411.7)+(-1.669026+(-0.252705--0.209967))+0-672.9--0.343178999999932</f>
        <v>2682.1314149999998</v>
      </c>
      <c r="AD101">
        <f t="shared" si="1"/>
        <v>61496.439970000007</v>
      </c>
      <c r="AE101" s="3">
        <f>3250+(741.8-363.3)+(0+(0-0))+0-870.3-0</f>
        <v>2758.2</v>
      </c>
    </row>
    <row r="102" spans="1:31" s="2" customFormat="1" x14ac:dyDescent="0.25">
      <c r="A102">
        <v>89</v>
      </c>
      <c r="B102">
        <v>4</v>
      </c>
      <c r="C102">
        <v>9</v>
      </c>
      <c r="D102">
        <v>5</v>
      </c>
      <c r="E102">
        <v>1</v>
      </c>
      <c r="F102" s="3">
        <f>3257+(857.4-798.9)+(-9.96642+(-2.623644--2.444634))+0-773.6--2.36721600000009</f>
        <v>2534.1217860000002</v>
      </c>
      <c r="G102" s="3">
        <f>3171.4+(1018-1099.3)+(1.617414+(0.51918-0.560643))+0-760.6-0.387905999999923</f>
        <v>2330.6880450000003</v>
      </c>
      <c r="H102" s="3">
        <f>3163.8+(988.7-1236.7)+(-6.454152+(-2.016948--2.522868))+0-694.3--1.41637199999997</f>
        <v>2216.9681400000004</v>
      </c>
      <c r="I102" s="3">
        <f>3179+(894.6-1106.2)+(-3.24258+(-0.912492--1.128324))+0-790.6--0.806412000000126</f>
        <v>2174.5796639999999</v>
      </c>
      <c r="J102" s="3">
        <f>3164.8+(873-1133.1)+(-1.614048+(-0.44523--0.577881))+0-744.2--0.379541999999925</f>
        <v>2159.3981450000006</v>
      </c>
      <c r="K102" s="3">
        <f>2972.9+(890.5-1060.5)+(-6.064716+(-1.81662--2.16342))+0-665.4--1.35741599999997</f>
        <v>2133.1394999999998</v>
      </c>
      <c r="L102" s="3">
        <f>2849+(755-897.7)+(0+(0-0))+0-648.9-0</f>
        <v>2057.4</v>
      </c>
      <c r="M102" s="3">
        <f>3114.4+(581.8-785.8)+(1.588344+(0.296718-0.400758))+0-694.3-0.35409299999993</f>
        <v>2217.2302110000001</v>
      </c>
      <c r="N102" s="3">
        <f>3209.6+(642.7-672.2)+(-3.273792+(-0.655554--0.685644))+0-662.7--0.675954000000106</f>
        <v>2514.8322520000002</v>
      </c>
      <c r="O102" s="3">
        <f>3220.9+(693.5-442.9)+(3.285318+(0.70737-0.451758))+0-774.3-0.789786000000123</f>
        <v>2699.9511439999997</v>
      </c>
      <c r="P102" s="3">
        <f>3207.1+(526.7-266.2)+(0+(0-0))+0-652.3-0</f>
        <v>2815.3</v>
      </c>
      <c r="Q102" s="3">
        <f>3195.3+(770.3-409.2)+(3.259206+(0.785706-0.417384))+0-622.9-0.635358000000099</f>
        <v>2936.49217</v>
      </c>
      <c r="R102" s="3">
        <f>3166.1+(689.3-506.9)+(-1.614711+(-0.351543--0.258519))+165-574.4--0.292943999999942</f>
        <v>2937.6852089999998</v>
      </c>
      <c r="S102" s="3">
        <f>3127.4+(766.1-673.5)+(3.189948+(0.781422-0.68697))+165-560.7-0.571914000000089</f>
        <v>2827.0124859999996</v>
      </c>
      <c r="T102" s="3">
        <f>3098.8+(1011.6-912.2)+(1.580388+(0.515916-0.465222))+123.8-447.4-0.228173999999955</f>
        <v>2876.0029080000004</v>
      </c>
      <c r="U102" s="3">
        <f>3077.9+(1309.7-1046.9)+(1.569729+(0.667947-0.533919))+0-416.8-0.212567999999958</f>
        <v>2925.3911889999999</v>
      </c>
      <c r="V102" s="3">
        <f>3048+(1349.3-1131.2)+(-4.66344+(-2.064429--1.730736))+0-355.2--0.54345600000002</f>
        <v>2906.4463230000001</v>
      </c>
      <c r="W102" s="3">
        <f>2986.5+(1230.8-726.1)+(-6.09246+(-2.510832--1.481244))+0-645.4--1.31661599999997</f>
        <v>2839.9945679999996</v>
      </c>
      <c r="X102" s="3">
        <f>3040.8+(659.9-357.8)+(-6.203232+(-1.346196--0.729912))+0-607--1.23827999999997</f>
        <v>2730.3187640000001</v>
      </c>
      <c r="Y102" s="3">
        <f>3062.7+(551.5-530.7)+(-6.247908+(-1.12506--1.082628))+0-489.3--0.998171999999979</f>
        <v>2588.9078319999999</v>
      </c>
      <c r="Z102" s="3">
        <f>3127.6+(537.5-419.5)+(1.595076+(0.274125-0.213945))+0-527.4-0.268973999999946</f>
        <v>2719.5862819999998</v>
      </c>
      <c r="AA102" s="3">
        <f>3174.6+(381.6-379.9)+(0+(0-0))+0-356-0</f>
        <v>2820.3</v>
      </c>
      <c r="AB102" s="3">
        <f>3197.6+(244.6-351.4)+(-1.630776+(-0.124746--0.179214))+0-361.1--0.184160999999963</f>
        <v>2728.3078529999998</v>
      </c>
      <c r="AC102" s="3">
        <f>3201.8+(496.6-394.8)+(-1.632918+(-0.253266--0.201348))+0-622.2--0.317321999999937</f>
        <v>2680.0324860000001</v>
      </c>
      <c r="AD102">
        <f t="shared" si="1"/>
        <v>62370.086957000007</v>
      </c>
      <c r="AE102" s="3">
        <f>3165+(497.9-383.3)+(0+(0-0))+0-431.4-0</f>
        <v>2848.2</v>
      </c>
    </row>
    <row r="103" spans="1:31" s="2" customFormat="1" x14ac:dyDescent="0.25">
      <c r="A103">
        <v>89</v>
      </c>
      <c r="B103">
        <v>4</v>
      </c>
      <c r="C103">
        <v>10</v>
      </c>
      <c r="D103">
        <v>6</v>
      </c>
      <c r="E103">
        <v>1</v>
      </c>
      <c r="F103" s="3">
        <f>3172.7+(528.9-637.8)+(-4.854231+(-0.809217--0.975834))+0-559.9--0.856647000000032</f>
        <v>2500.0690329999998</v>
      </c>
      <c r="G103" s="3">
        <f>3181.2+(843-928.5)+(-1.622412+(-0.42993--0.473535))+0-763.2--0.389231999999923</f>
        <v>2331.3104250000001</v>
      </c>
      <c r="H103" s="3">
        <f>2981.6+(930.6-971)+(-4.561848+(-1.423818--1.48563))+0-703.5--1.07635500000004</f>
        <v>2234.2763190000001</v>
      </c>
      <c r="I103" s="3">
        <f>2939.7+(894.5-831.6)+(0+(0-0))+0-807.5-0</f>
        <v>2195.1</v>
      </c>
      <c r="J103" s="3">
        <f>2857.9+(786.3-801.2)+(2.915058+(0.802026-0.817224))+0-685.3-0.699006000000109</f>
        <v>2159.900854</v>
      </c>
      <c r="K103" s="3">
        <f>2733.1+(893.5-839)+(-5.575524+(-1.82274--1.71156))+0-662.5--1.35149999999997</f>
        <v>2120.7647959999995</v>
      </c>
      <c r="L103" s="3">
        <f>2466.4+(939.5-678.2)+(-2.515728+(-0.95829--0.691764))+0-686.1--0.699822000000109</f>
        <v>2039.5175679999998</v>
      </c>
      <c r="M103" s="3">
        <f>2591.5+(779.7-537.8)+(3.964995+(1.192941-0.822834))+0-642.7-0.983331000000037</f>
        <v>2194.0517709999999</v>
      </c>
      <c r="N103" s="3">
        <f>2811.2+(810.6-433.9)+(-1.433712+(-0.413406--0.221289))+0-731.1--0.372860999999926</f>
        <v>2455.5470319999995</v>
      </c>
      <c r="O103" s="3">
        <f>2838.6+(905.7-390.1)+(0+(0-0))+0-704.9-0</f>
        <v>2649.2999999999997</v>
      </c>
      <c r="P103" s="3">
        <f>2807+(881.8-229.8)+(7.15785+(2.24859-0.58599))+0-662.5-1.6893749999999</f>
        <v>2803.6310750000002</v>
      </c>
      <c r="Q103" s="3">
        <f>2783.9+(1055.6-274)+(1.419789+(0.538356-0.13974))+0-675.1-0.344300999999932</f>
        <v>2891.874104</v>
      </c>
      <c r="R103" s="3">
        <f>2784.7+(1338.6-508.7)+(1.420197+(0.682686-0.259437))+0-687.6-0.35067599999993</f>
        <v>2928.4927699999994</v>
      </c>
      <c r="S103" s="3">
        <f>2759.6+(1252.3-578.4)+(0+(0-0))+0-691.2-0</f>
        <v>2742.3</v>
      </c>
      <c r="T103" s="3">
        <f>2735.9+(1403.5-668.4)+(0+(0-0))+0-703.5-0</f>
        <v>2767.5</v>
      </c>
      <c r="U103" s="3">
        <f>2710.8+(1430.9-647.5)+(-4.147524+(-2.189277--0.990675))+0-700.9--1.07237700000004</f>
        <v>2789.0262510000002</v>
      </c>
      <c r="V103" s="3">
        <f>2682.8+(1221.6-473.9)+(0+(0-0))+0-669.6-0</f>
        <v>2760.9</v>
      </c>
      <c r="W103" s="3">
        <f>2664.4+(1058-276.1)+(-6.79422+(-2.6979--0.704055))+0-767.5--1.95712499999989</f>
        <v>2671.9690599999999</v>
      </c>
      <c r="X103" s="3">
        <f>2651+(797.4-254.3)+(-5.40804+(-1.626696--0.518772))+0-615.4--1.25541599999997</f>
        <v>2573.4394519999996</v>
      </c>
      <c r="Y103" s="3">
        <f>2611.8+(899.4-466.2)+(-5.328072+(-1.834776--0.951048))+0-594--1.21175999999997</f>
        <v>2445.9999600000001</v>
      </c>
      <c r="Z103" s="3">
        <f>2683.2+(1089.4-421.9)+(-1.368432+(-0.555594--0.215169))+0-726.4--0.370463999999926</f>
        <v>2622.9616069999997</v>
      </c>
      <c r="AA103" s="3">
        <f>2778+(953.7-381.3)+(-2.83356+(-0.972774--0.388926))+0-625--0.6375000000001</f>
        <v>2722.6200920000006</v>
      </c>
      <c r="AB103" s="3">
        <f>2791.3+(934.8-342.5)+(-2.847126+(-0.953496--0.34935))+0-747.6--0.762552000000119</f>
        <v>2633.3112800000008</v>
      </c>
      <c r="AC103" s="3">
        <f>2779.5+(934.7-540.6)+(-1.417545+(-0.476697--0.275706))+0-575.1--0.293300999999942</f>
        <v>2597.1747650000002</v>
      </c>
      <c r="AD103">
        <f t="shared" si="1"/>
        <v>60831.038214000007</v>
      </c>
      <c r="AE103" s="3">
        <f>2770+(1014-354.6)+(0+(0-0))+0-680.1-0</f>
        <v>2749.3</v>
      </c>
    </row>
    <row r="104" spans="1:31" s="2" customFormat="1" x14ac:dyDescent="0.25">
      <c r="A104">
        <v>89</v>
      </c>
      <c r="B104">
        <v>4</v>
      </c>
      <c r="C104">
        <v>11</v>
      </c>
      <c r="D104">
        <v>7</v>
      </c>
      <c r="E104">
        <v>1</v>
      </c>
      <c r="F104" s="3">
        <f>2777.2+(1004.7-723.9)+(0+(0-0))+0-624.4-0</f>
        <v>2433.6</v>
      </c>
      <c r="G104" s="3">
        <f>2780.9+(1020.5-782.2)+(-2.836518+(-1.04091--0.797844))+0-720.8--0.735216000000115</f>
        <v>2296.0556319999996</v>
      </c>
      <c r="H104" s="3">
        <f>2780.7+(1055.6-871.4)+(0+(0-0))+0-694.9-0</f>
        <v>2269.9999999999995</v>
      </c>
      <c r="I104" s="3">
        <f>2788.3+(1061.9-928.4)+(-5.688132+(-2.166276--1.893936))+0-696.1--1.42004399999997</f>
        <v>2221.159572</v>
      </c>
      <c r="J104" s="3">
        <f>2791.5+(972.7-941.6)+(-2.84733+(-0.992154--0.960432))+0-703.2--0.717264000000112</f>
        <v>2117.2382120000002</v>
      </c>
      <c r="K104" s="3">
        <f>2746.8+(959.7-893.5)+(-7.00434+(-2.447235--2.278425))+0-687.4--1.7528699999999</f>
        <v>2120.1797199999996</v>
      </c>
      <c r="L104" s="3">
        <f>2393.2+(953.8-750.9)+(-2.441064+(-0.972876--0.765918))+0-719.5--0.733890000000115</f>
        <v>1874.6858680000003</v>
      </c>
      <c r="M104" s="3">
        <f>2399.2+(834.3-767.6)+(0+(0-0))+0-583-0</f>
        <v>1882.8999999999996</v>
      </c>
      <c r="N104" s="3">
        <f>2401.7+(909.3-707.9)+(0+(0-0))+0-635.9-0</f>
        <v>1967.1999999999998</v>
      </c>
      <c r="O104" s="3">
        <f>2437.2+(1025.4-698.4)+(-2.485944+(-1.045908--0.712368))+0-737.9--0.752658000000118</f>
        <v>2024.2331739999997</v>
      </c>
      <c r="P104" s="3">
        <f>2663.4+(996.1-730.2)+(0+(0-0))+0-635.9-0</f>
        <v>2293.4</v>
      </c>
      <c r="Q104" s="3">
        <f>2769.4+(1093.9-742.3)+(-1.412394+(-0.557889--0.378573))+0-754.3--0.384692999999923</f>
        <v>2365.4929830000001</v>
      </c>
      <c r="R104" s="3">
        <f>2784.4+(1160.7-909.9)+(-1.420044+(-0.591957--0.464049))+0-639.3--0.326042999999935</f>
        <v>2394.6780910000007</v>
      </c>
      <c r="S104" s="3">
        <f>2754.8+(1157.9-955.9)+(2.809896+(1.181058-0.975018))+0-585.1-0.596802000000093</f>
        <v>2374.119134</v>
      </c>
      <c r="T104" s="3">
        <f>2711.3+(1155.3-917.8)+(-1.382763+(-0.589203--0.468078))+0-598.3--0.305132999999939</f>
        <v>2349.3012449999997</v>
      </c>
      <c r="U104" s="3">
        <f>2697.5+(1174.5-929)+(-1.375725+(-0.598995--0.47379))+0-627.3--0.319922999999936</f>
        <v>2314.5189929999997</v>
      </c>
      <c r="V104" s="3">
        <f>2670+(1189-764.8)+(1.3617+(0.60639-0.390048))+0-769.7-0.392546999999922</f>
        <v>2325.6854950000002</v>
      </c>
      <c r="W104" s="3">
        <f>2667+(1131.9-809.8)+(-5.44068+(-2.309076--1.651992))+0-685--1.39739999999997</f>
        <v>2299.3996360000001</v>
      </c>
      <c r="X104" s="3">
        <f>2627.7+(1135.4-691.2)+(-1.340127+(-0.579054--0.352512))+0-718.8--0.366587999999927</f>
        <v>2351.8999189999995</v>
      </c>
      <c r="Y104" s="3">
        <f>2615.9+(1060.5-692.6)+(-4.002327+(-1.622565--1.059678))+0-649.2--0.993276000000038</f>
        <v>2331.0280620000003</v>
      </c>
      <c r="Z104" s="3">
        <f>2708.4+(1042.8-598.9)+(0+(0-0))+0-716.2-0</f>
        <v>2436.1000000000004</v>
      </c>
      <c r="AA104" s="3">
        <f>2778.8+(996.8-620.7)+(-1.417188+(-0.508368--0.316557))+0-590--0.30089999999994</f>
        <v>2563.5919009999998</v>
      </c>
      <c r="AB104" s="3">
        <f>2796.8+(952.1-656.8)+(-2.852736+(-0.971142--0.669936))+0-600.4--0.612408000000096</f>
        <v>2489.1584660000003</v>
      </c>
      <c r="AC104" s="3">
        <f>2816.3+(1063.7-770.5)+(1.436313+(0.542487-0.392955))+0-708.8-0.361487999999928</f>
        <v>2401.9243570000003</v>
      </c>
      <c r="AD104">
        <f t="shared" si="1"/>
        <v>54497.550459999999</v>
      </c>
      <c r="AE104" s="3">
        <f>2746+(994.7-629.9)+(0+(0-0))+0-594.4-0</f>
        <v>2516.4</v>
      </c>
    </row>
    <row r="105" spans="1:31" s="2" customFormat="1" x14ac:dyDescent="0.25">
      <c r="A105">
        <v>89</v>
      </c>
      <c r="B105">
        <v>4</v>
      </c>
      <c r="C105">
        <v>12</v>
      </c>
      <c r="D105">
        <v>1</v>
      </c>
      <c r="E105">
        <v>1</v>
      </c>
      <c r="F105" s="3">
        <f>2808.2+(1151-848.7)+(2.864364+(1.17402-0.865674))+0-751.8-0.76683600000012</f>
        <v>2361.1058739999994</v>
      </c>
      <c r="G105" s="3">
        <f>2812.8+(1104.1-961.4)+(-1.434528+(-0.563091--0.490314))+0-691.4--0.35261399999993</f>
        <v>2262.9453089999997</v>
      </c>
      <c r="H105" s="3">
        <f>2765.6+(1123.2-1070.9)+(-1.410456+(-0.572832--0.546159))+0-641--0.326909999999935</f>
        <v>2175.7897809999995</v>
      </c>
      <c r="I105" s="3">
        <f>2787.9+(1108.4-1031.6)+(0+(0-0))+0-720.9-0</f>
        <v>2143.8000000000002</v>
      </c>
      <c r="J105" s="3">
        <f>2793.5+(1042.5-1033.7)+(-4.274055+(-1.595025--1.581561))+0-710.4--1.08691200000004</f>
        <v>2088.6993930000003</v>
      </c>
      <c r="K105" s="3">
        <f>2737.5+(1048.5-991.9)+(-6.980625+(-2.673675--2.529345))+0-764.4--1.94921999999989</f>
        <v>2024.524265</v>
      </c>
      <c r="L105" s="3">
        <f>2553.6+(1007.7-840)+(0+(0-0))+0-676.7-0</f>
        <v>2044.6000000000001</v>
      </c>
      <c r="M105" s="3">
        <f>2414.4+(1073.4-550.8)+(2.462688+(1.094868-0.561816))+0-690.7-0.70451400000011</f>
        <v>2248.5912259999996</v>
      </c>
      <c r="N105" s="3">
        <f>2693.3+(1064-570.1)+(1.373583+(0.54264-0.290751))+0-751.9-0.383468999999924</f>
        <v>2436.5420030000005</v>
      </c>
      <c r="O105" s="3">
        <f>2933.8+(1016-537.9)+(4.488714+(1.55448-0.822987))+0-690-1.05570000000004</f>
        <v>2726.064507</v>
      </c>
      <c r="P105" s="3">
        <f>2940.4+(956.8-326.5)+(5.998416+(1.951872-0.66606))+0-723.9-1.47675599999997</f>
        <v>2852.6074719999997</v>
      </c>
      <c r="Q105" s="3">
        <f>2957.2+(1060-455.7)+(-1.508172+(-0.5406--0.232407))+0-617.2--0.314771999999937</f>
        <v>2942.7984069999993</v>
      </c>
      <c r="R105" s="3">
        <f>3011.7+(1016.1-630.7)+(0+(0-0))+0-376.1-0</f>
        <v>3021</v>
      </c>
      <c r="S105" s="3">
        <f>2991.3+(924-716)+(0+(0-0))+0-365.2-0</f>
        <v>2834.1000000000004</v>
      </c>
      <c r="T105" s="3">
        <f>2941.4+(1046.8-750.8)+(1.500114+(0.533868-0.382908))+0-321.1-0.163760999999967</f>
        <v>2917.7873130000003</v>
      </c>
      <c r="U105" s="3">
        <f>2926.4+(947.6-664.7)+(1.492464+(0.483276-0.338997))+0-293.1-0.14948099999997</f>
        <v>2917.6872620000004</v>
      </c>
      <c r="V105" s="3">
        <f>2891+(1165.2-584.7)+(2.94882+(1.188504-0.596394))+0-567-0.57834000000009</f>
        <v>2907.4625900000001</v>
      </c>
      <c r="W105" s="3">
        <f>2868.1+(1120.3-427.8)+(0+(0-0))+0-700.4-0</f>
        <v>2860.2</v>
      </c>
      <c r="X105" s="3">
        <f>2964.7+(720.6-295.9)+(-3.023994+(-0.735012--0.301818))+0-640.8--0.653616000000102</f>
        <v>2745.7964280000001</v>
      </c>
      <c r="Y105" s="3">
        <f>3003.9+(745.6-365.8)+(0+(0-0))+0-748.7-0</f>
        <v>2635</v>
      </c>
      <c r="Z105" s="3">
        <f>3097.8+(792.3-453.8)+(-1.579878+(-0.404073--0.231438))+0-664.9--0.339098999999933</f>
        <v>2769.986586</v>
      </c>
      <c r="AA105" s="3">
        <f>3156.2+(901.1-435.8)+(-3.219324+(-0.919122--0.444516))+0-712.1--0.726342000000114</f>
        <v>2906.4324120000001</v>
      </c>
      <c r="AB105" s="3">
        <f>3174.5+(755.3-463.9)+(0+(0-0))+0-688.7-0</f>
        <v>2777.2</v>
      </c>
      <c r="AC105" s="3">
        <f>3181.8+(788.5-571.4)+(-1.622718+(-0.402135--0.291414))+0-711.6--0.362915999999928</f>
        <v>2685.9294770000001</v>
      </c>
      <c r="AD105">
        <f t="shared" si="1"/>
        <v>62286.650304999996</v>
      </c>
      <c r="AE105" s="3">
        <f>3161+(1035.6-431.8)+(0+(0-0))+0-824.3-0</f>
        <v>2940.5</v>
      </c>
    </row>
    <row r="106" spans="1:31" s="2" customFormat="1" x14ac:dyDescent="0.25">
      <c r="A106">
        <v>89</v>
      </c>
      <c r="B106">
        <v>4</v>
      </c>
      <c r="C106">
        <v>13</v>
      </c>
      <c r="D106">
        <v>2</v>
      </c>
      <c r="E106">
        <v>1</v>
      </c>
      <c r="F106" s="3">
        <f>3157.1+(837.3-760.5)+(-3.220242+(-0.854046--0.77571))+0-671.9--0.685338000000107</f>
        <v>2559.3867599999999</v>
      </c>
      <c r="G106" s="3">
        <f>3182.3+(838.9-975.6)+(-3.245946+(-0.855678--0.995112))+0-661.4--0.674628000000105</f>
        <v>2381.7681160000006</v>
      </c>
      <c r="H106" s="3">
        <f>3202.2+(762.7-871.8)+(0+(0-0))+0-716.8-0</f>
        <v>2376.3000000000002</v>
      </c>
      <c r="I106" s="3">
        <f>3206.2+(688.9-943.6)+(0+(0-0))+0-694.2-0</f>
        <v>2257.3000000000002</v>
      </c>
      <c r="J106" s="3">
        <f>3173.6+(725.1-981)+(4.855608+(1.109403-1.50093))+0-666.3-1.01943900000004</f>
        <v>2254.8446419999996</v>
      </c>
      <c r="K106" s="3">
        <f>3112.6+(663-951.1)+(-1.587426+(-0.33813--0.485061))+0-602.8--0.307427999999939</f>
        <v>2220.5669330000001</v>
      </c>
      <c r="L106" s="3">
        <f>2877.8+(779.5-874.5)+(0+(0-0))+0-681.6-0</f>
        <v>2101.2000000000003</v>
      </c>
      <c r="M106" s="3">
        <f>2935.1+(734.6-651.6)+(-4.490703+(-1.123938--0.996948))+0-710.3--1.08675900000004</f>
        <v>2304.2690660000003</v>
      </c>
      <c r="N106" s="3">
        <f>2989.7+(753.9-489.1)+(-3.049494+(-0.768978--0.498882))+0-687--0.70074000000011</f>
        <v>2564.8811500000002</v>
      </c>
      <c r="O106" s="3">
        <f>3147.5+(638.9-442.9)+(-4.815675+(-0.977517--0.677637))+0-580--0.887400000000034</f>
        <v>2759.2718450000002</v>
      </c>
      <c r="P106" s="3">
        <f>3182.8+(669.7-358.7)+(-1.623228+(-0.341547--0.182937))+0-589--0.30038999999994</f>
        <v>2903.3185520000002</v>
      </c>
      <c r="Q106" s="3">
        <f>3165.4+(902.7-501.7)+(-1.614354+(-0.460377--0.255867))+0-509.8--0.259997999999948</f>
        <v>3055.0411340000001</v>
      </c>
      <c r="R106" s="3">
        <f>3184.7+(885-687.3)+(3.248394+(0.9027-0.701046))+0-340.6-0.347412000000054</f>
        <v>3044.9026359999998</v>
      </c>
      <c r="S106" s="3">
        <f>3163.6+(816.2-757.4)+(1.613436+(0.416262-0.386274))+0-373.4-0.190433999999962</f>
        <v>2850.4529899999998</v>
      </c>
      <c r="T106" s="3">
        <f>3132.8+(939.4-800.1)+(1.597728+(0.479094-0.408051))+0-369.5-0.188444999999963</f>
        <v>2904.0803260000007</v>
      </c>
      <c r="U106" s="3">
        <f>3092.5+(1020.7-834)+(1.577175+(0.520557-0.42534))+0-321.4-0.163913999999967</f>
        <v>2959.3084779999999</v>
      </c>
      <c r="V106" s="3">
        <f>3070.6+(1029.7-764.3)+(-1.566006+(-0.525147--0.389793))+0-387.3--0.197522999999961</f>
        <v>2947.1961629999996</v>
      </c>
      <c r="W106" s="3">
        <f>3071.6+(812.7-478.4)+(-4.699548+(-1.243431--0.731952))+0-513.3--0.78534900000003</f>
        <v>2888.1743220000003</v>
      </c>
      <c r="X106" s="3">
        <f>3075.9+(661.5-260.5)+(-3.137418+(-0.67473--0.26571))+0-701--0.715020000000112</f>
        <v>2773.0685820000003</v>
      </c>
      <c r="Y106" s="3">
        <f>3087.5+(664.5-568.9)+(-1.574625+(-0.338895--0.290139))+0-589--0.30038999999994</f>
        <v>2592.7770089999999</v>
      </c>
      <c r="Z106" s="3">
        <f>3128.7+(782.3-425)+(3.191274+(0.797946-0.4335))+0-670-0.683400000000107</f>
        <v>2818.8723199999999</v>
      </c>
      <c r="AA106" s="3">
        <f>3210.3+(869.5-410)+(0+(0-0))+0-706.7-0</f>
        <v>2963.1000000000004</v>
      </c>
      <c r="AB106" s="3">
        <f>3239.2+(703.7-415.7)+(-1.651992+(-0.358887--0.212007))+0-656.6--0.334865999999933</f>
        <v>2869.1359940000002</v>
      </c>
      <c r="AC106" s="3">
        <f>3260.8+(690.3-498.7)+(1.663008+(0.352053-0.254337))+0-715.3-0.364802999999927</f>
        <v>2738.4959210000002</v>
      </c>
      <c r="AD106">
        <f t="shared" si="1"/>
        <v>64087.712938999997</v>
      </c>
      <c r="AE106" s="3">
        <f>3192+(807.4-396.4)+(0+(0-0))+0-660.2-0</f>
        <v>2942.8</v>
      </c>
    </row>
    <row r="107" spans="1:31" s="2" customFormat="1" x14ac:dyDescent="0.25">
      <c r="A107">
        <v>89</v>
      </c>
      <c r="B107">
        <v>4</v>
      </c>
      <c r="C107">
        <v>14</v>
      </c>
      <c r="D107">
        <v>3</v>
      </c>
      <c r="E107">
        <v>1</v>
      </c>
      <c r="F107" s="3">
        <f>3244.6+(756.4-687.7)+(1.654746+(0.385764-0.350727))+0-737.4-0.376073999999925</f>
        <v>2577.2137089999997</v>
      </c>
      <c r="G107" s="3">
        <f>3255.7+(869.4-1005.3)+(-1.660407+(-0.443394--0.512703))+0-708.2--0.361181999999928</f>
        <v>2410.3700839999997</v>
      </c>
      <c r="H107" s="3">
        <f>3272.1+(920.2-1099.8)+(-3.337542+(-0.938604--1.121796))+0-767--0.782340000000122</f>
        <v>2323.1279900000004</v>
      </c>
      <c r="I107" s="3">
        <f>3281.6+(894.4-1216.3)+(-1.673616+(-0.456144--0.620313))+0-695--0.354449999999929</f>
        <v>2263.5450029999997</v>
      </c>
      <c r="J107" s="3">
        <f>3283.8+(773.7-1158.7)+(-3.349476+(-0.789174--1.181874))+0-659.3--0.672486000000105</f>
        <v>2237.2157099999999</v>
      </c>
      <c r="K107" s="3">
        <f>3306.6+(603-1054.7)+(-8.43183+(-1.53765--2.689485))+0-653.1--1.66540499999991</f>
        <v>2196.1854099999996</v>
      </c>
      <c r="L107" s="3">
        <f>2968.5+(655.4-813.3)+(-6.05574+(-1.337016--1.659132))+0-672.2--1.37128799999997</f>
        <v>2134.0376639999999</v>
      </c>
      <c r="M107" s="3">
        <f>2805.1+(786.9-667.6)+(0+(0-0))+0-631.9-0</f>
        <v>2292.4999999999995</v>
      </c>
      <c r="N107" s="3">
        <f>3112.1+(713.7-645.3)+(0+(0-0))+0-634.1-0</f>
        <v>2546.4</v>
      </c>
      <c r="O107" s="3">
        <f>3248.6+(645.5-506.9)+(1.656786+(0.329205-0.258519))+0-627.8-0.320177999999936</f>
        <v>2760.8072940000002</v>
      </c>
      <c r="P107" s="3">
        <f>3220.6+(602.3-321)+(1.642506+(0.307173-0.16371))+0-613.4-0.312833999999938</f>
        <v>2889.9731349999997</v>
      </c>
      <c r="Q107" s="3">
        <f>3189+(840.1-427.8)+(3.25278+(0.856902-0.436356))+0-599.6-0.611592000000096</f>
        <v>3004.7617340000002</v>
      </c>
      <c r="R107" s="3">
        <f>3187.4+(996.4-761.1)+(4.876722+(1.524492-1.164483))+0-386.5-0.591345000000022</f>
        <v>3040.845386</v>
      </c>
      <c r="S107" s="3">
        <f>3160.2+(888.4-905.4)+(3.223404+(0.906168-0.923508))+0-270.5-0.275910000000043</f>
        <v>2875.6301539999999</v>
      </c>
      <c r="T107" s="3">
        <f>3122.6+(1104.8-1041.8)+(4.777578+(1.690344-1.593954))+0-257.2-0.393516000000015</f>
        <v>2932.8804519999999</v>
      </c>
      <c r="U107" s="3">
        <f>3109.8+(1203.7-1046.5)+(4.757994+(1.841661-1.601145))+0-290.3-0.444159000000017</f>
        <v>2981.2543509999996</v>
      </c>
      <c r="V107" s="3">
        <f>3094.4+(1164.3-1010.1)+(0+(0-0))+0-272.1-0</f>
        <v>2976.5</v>
      </c>
      <c r="W107" s="3">
        <f>3091.8+(877.5-733.2)+(-3.153636+(-0.89505--0.747864))+0-321.5--0.327930000000051</f>
        <v>2911.6271080000001</v>
      </c>
      <c r="X107" s="3">
        <f>3087.4+(647.5-316.4)+(-3.149148+(-0.66045--0.322728))+0-610.3--0.622506000000097</f>
        <v>2805.3356360000002</v>
      </c>
      <c r="Y107" s="3">
        <f>3096.8+(577.1-385.2)+(-1.579368+(-0.294321--0.196452))+0-633.4--0.323033999999936</f>
        <v>2653.9457970000003</v>
      </c>
      <c r="Z107" s="3">
        <f>3130.3+(724.4-440.7)+(3.192906+(0.738888-0.449514))+0-594.7-0.606594000000095</f>
        <v>2822.175686</v>
      </c>
      <c r="AA107" s="3">
        <f>3207.8+(1192.9-727.5)+(-1.635978+(-0.608379--0.371025))+0-725.9--0.370208999999926</f>
        <v>2945.7968769999998</v>
      </c>
      <c r="AB107" s="3">
        <f>3244.2+(833.1-622.4)+(0+(0-0))+0-582.9-0</f>
        <v>2871.9999999999995</v>
      </c>
      <c r="AC107" s="3">
        <f>3250.9+(740.1-497.4)+(-3.315918+(-0.754902--0.507348))+0-681.5--0.695130000000109</f>
        <v>2809.2316580000006</v>
      </c>
      <c r="AD107">
        <f t="shared" si="1"/>
        <v>64263.360838000008</v>
      </c>
      <c r="AE107" s="3">
        <f>3120+(1198.8-710.8)+(0+(0-0))+0-726.1-0</f>
        <v>2881.9</v>
      </c>
    </row>
    <row r="108" spans="1:31" s="2" customFormat="1" x14ac:dyDescent="0.25">
      <c r="A108">
        <v>89</v>
      </c>
      <c r="B108">
        <v>4</v>
      </c>
      <c r="C108">
        <v>15</v>
      </c>
      <c r="D108">
        <v>4</v>
      </c>
      <c r="E108">
        <v>1</v>
      </c>
      <c r="F108" s="3">
        <f>3234.2+(598-625.5)+(-6.597768+(-1.21992--1.27602))+0-580.8--1.18483199999997</f>
        <v>2620.5431639999997</v>
      </c>
      <c r="G108" s="3">
        <f>3239.7+(1021.8-1130.7)+(4.956741+(1.563354-1.729971))+0-685.7-1.04912100000004</f>
        <v>2448.8410029999995</v>
      </c>
      <c r="H108" s="3">
        <f>3250.1+(1006.6-1222.2)+(0+(0-0))+0-688.5-0</f>
        <v>2346</v>
      </c>
      <c r="I108" s="3">
        <f>3256+(965.2-1199.3)+(-1.66056+(-0.492252--0.611643))+0-735.2--0.374951999999925</f>
        <v>2285.5337829999999</v>
      </c>
      <c r="J108" s="3">
        <f>3262.8+(908.8-1225.6)+(-6.656112+(-1.853952--2.500224))+0-695.9--1.41963599999997</f>
        <v>2245.5097959999998</v>
      </c>
      <c r="K108" s="3">
        <f>3256.9+(827.6-1173.1)+(-4.983057+(-1.266228--1.794843))+0-690.2--1.05600600000004</f>
        <v>2217.8015639999999</v>
      </c>
      <c r="L108" s="3">
        <f>2883.8+(914-926.4)+(-2.941476+(-0.93228--0.944928))+0-727.8--0.742356000000116</f>
        <v>2141.4135280000005</v>
      </c>
      <c r="M108" s="3">
        <f>2904.6+(890.8-748.5)+(0+(0-0))+0-764.7-0</f>
        <v>2282.1999999999998</v>
      </c>
      <c r="N108" s="3">
        <f>3178.7+(973.5-979.2)+(1.621137+(0.496485-0.499392))+0-635.7-0.324206999999936</f>
        <v>2538.5940230000001</v>
      </c>
      <c r="O108" s="3">
        <f>3238.6+(725.9-626.5)+(6.606744+(1.480836-1.27806))+0-614.8-1.25419199999997</f>
        <v>2728.7553279999997</v>
      </c>
      <c r="P108" s="3">
        <f>3206.6+(559.6-321)+(3.270732+(0.570792-0.32742))+0-581.2-0.592824000000093</f>
        <v>2866.9212799999996</v>
      </c>
      <c r="Q108" s="3">
        <f>3195.7+(746.8-437.8)+(1.629807+(0.380868-0.223278))+0-520.4-0.265403999999947</f>
        <v>2985.821993</v>
      </c>
      <c r="R108" s="3">
        <f>3185.5+(968.7-706.7)+(1.624605+(0.494037-0.360417))+0-409.6-0.208895999999958</f>
        <v>3039.449329</v>
      </c>
      <c r="S108" s="3">
        <f>3165.4+(914.6-822.7)+(1.614354+(0.466446-0.419577))+0-379.9-0.193748999999961</f>
        <v>2878.8674740000001</v>
      </c>
      <c r="T108" s="3">
        <f>3148.7+(1188.6-979.3)+(3.211674+(1.212372-0.998886))+0-410.8-0.419016000000066</f>
        <v>2950.2061439999993</v>
      </c>
      <c r="U108" s="3">
        <f>3104.2+(1237-1009.1)+(4.749426+(1.89261-1.543923))+0-354.6-0.542538000000021</f>
        <v>2982.0555749999999</v>
      </c>
      <c r="V108" s="3">
        <f>3091+(1307.1-987.7)+(3.15282+(1.333242-1.007454))+0-411.1-0.419322000000066</f>
        <v>3002.3592859999994</v>
      </c>
      <c r="W108" s="3">
        <f>3066.9+(1163.3-728.1)+(1.564119+(0.593283-0.371331))+0-608.7-0.310436999999938</f>
        <v>2894.875634</v>
      </c>
      <c r="X108" s="3">
        <f>3065.1+(718-409)+(-1.563201+(-0.36618--0.20859))+0-763.7--0.389486999999923</f>
        <v>2609.0686959999998</v>
      </c>
      <c r="Y108" s="3">
        <f>3091.3+(531.8-416.4)+(0+(0-0))+0-610.9-0</f>
        <v>2595.8000000000002</v>
      </c>
      <c r="Z108" s="3">
        <f>3153.1+(618.2-340.9)+(3.216162+(0.630564-0.347718))+0-625.8-0.6383160000001</f>
        <v>2807.4606920000001</v>
      </c>
      <c r="AA108" s="3">
        <f>3183.5+(1091.3-559.8)+(0+(0-0))+0-756.9-0</f>
        <v>2958.1</v>
      </c>
      <c r="AB108" s="3">
        <f>3207.5+(906.8-510.1)+(1.635825+(0.462468-0.260151))+0-769.6-0.392495999999922</f>
        <v>2836.045646</v>
      </c>
      <c r="AC108" s="3">
        <f>3233.2+(637.5-464.4)+(-4.946796+(-0.975375--0.710532))+0-708.6--1.08415800000004</f>
        <v>2693.5725189999998</v>
      </c>
      <c r="AD108">
        <f t="shared" si="1"/>
        <v>63955.796456999997</v>
      </c>
      <c r="AE108" s="3">
        <f>3171+(1152.6-593.4)+(0+(0-0))+0-763.5-0</f>
        <v>2966.7</v>
      </c>
    </row>
    <row r="109" spans="1:31" s="2" customFormat="1" x14ac:dyDescent="0.25">
      <c r="A109">
        <v>89</v>
      </c>
      <c r="B109">
        <v>4</v>
      </c>
      <c r="C109">
        <v>16</v>
      </c>
      <c r="D109">
        <v>5</v>
      </c>
      <c r="E109">
        <v>1</v>
      </c>
      <c r="F109" s="3">
        <f>3216.1+(557.1-469.2)+(-3.280422+(-0.568242--0.478584))+0-739--0.753780000000118</f>
        <v>2562.3836999999999</v>
      </c>
      <c r="G109" s="3">
        <f>3217.6+(780.8-840.5)+(-1.640976+(-0.398208--0.428655))+0-796.2--0.406061999999919</f>
        <v>2360.4955329999993</v>
      </c>
      <c r="H109" s="3">
        <f>3237.8+(789.7-985.6)+(0+(0-0))+0-750.6-0</f>
        <v>2291.3000000000002</v>
      </c>
      <c r="I109" s="3">
        <f>3249.2+(900.1-1090.1)+(-1.657092+(-0.459051--0.555951))+0-793.3--0.404582999999919</f>
        <v>2264.7443909999997</v>
      </c>
      <c r="J109" s="3">
        <f>3262.6+(915.1-1209)+(0+(0-0))+0-728-0</f>
        <v>2240.6999999999998</v>
      </c>
      <c r="K109" s="3">
        <f>3281.4+(946.6-1264.4)+(-8.36757+(-2.41383--3.22422))+0-768.3--1.95916499999989</f>
        <v>2189.7019850000001</v>
      </c>
      <c r="L109" s="3">
        <f>2857.2+(1053.1-1015.5)+(-2.914344+(-1.074162--1.03581))+0-728.5--0.743070000000116</f>
        <v>2164.0903739999999</v>
      </c>
      <c r="M109" s="3">
        <f>3081.1+(886.5-962.9)+(1.571361+(0.452115-0.491079))+0-657.8-0.335477999999933</f>
        <v>2348.0969189999996</v>
      </c>
      <c r="N109" s="3">
        <f>3221.4+(927.5-832.6)+(1.642914+(0.473025-0.424626))+0-716.6-0.365465999999927</f>
        <v>2601.0258470000003</v>
      </c>
      <c r="O109" s="3">
        <f>3243.3+(580.8-522.5)+(1.654083+(0.296208-0.266475))+0-592.1-0.30197099999994</f>
        <v>2710.8818450000008</v>
      </c>
      <c r="P109" s="3">
        <f>3218.5+(556.2-239)+(3.28287+(0.567324-0.24378))+0-622.3-0.634746000000099</f>
        <v>2916.3716679999993</v>
      </c>
      <c r="Q109" s="3">
        <f>3208.5+(819.2-440.7)+(0+(0-0))+0-572.1-0</f>
        <v>3014.9</v>
      </c>
      <c r="R109" s="3">
        <f>3180.3+(1073.1-737)+(4.865859+(1.641843-1.12761))+0-472.7-0.723231000000027</f>
        <v>3048.3568610000002</v>
      </c>
      <c r="S109" s="3">
        <f>3162.6+(944.4-834.8)+(1.612926+(0.481644-0.425748))+1.7-386.6-0.197165999999961</f>
        <v>2888.7716559999999</v>
      </c>
      <c r="T109" s="3">
        <f>3126.2+(1175-923.5)+(0+(0-0))+0-401.7-0</f>
        <v>2976</v>
      </c>
      <c r="U109" s="3">
        <f>3112.6+(1182.3-895.5)+(-3.174852+(-1.205946--0.91341))+0-399--0.406980000000064</f>
        <v>2997.3395919999998</v>
      </c>
      <c r="V109" s="3">
        <f>3122.7+(1136-890.5)+(-1.592577+(-0.57936--0.454155))+0-410.4--0.209303999999958</f>
        <v>2956.2915219999995</v>
      </c>
      <c r="W109" s="3">
        <f>3111.9+(1065-698.6)+(3.174138+(1.0863-0.712572))+0-567.2-0.578544000000091</f>
        <v>2914.0693220000003</v>
      </c>
      <c r="X109" s="3">
        <f>3121.1+(597.2-468.9)+(-1.591761+(-0.304572--0.239139))+0-538.8--0.274787999999945</f>
        <v>2709.2175940000002</v>
      </c>
      <c r="Y109" s="3">
        <f>3108.1+(583-481.7)+(0+(0-0))+0-574.8-0</f>
        <v>2634.6000000000004</v>
      </c>
      <c r="Z109" s="3">
        <f>3105.6+(769.7-351.4)+(1.583856+(0.392547-0.179214))+0-703.5-0.358784999999929</f>
        <v>2821.8384040000001</v>
      </c>
      <c r="AA109" s="3">
        <f>3194.7+(950.8-611.5)+(0+(0-0))+0-618.6-0</f>
        <v>2915.4</v>
      </c>
      <c r="AB109" s="3">
        <f>3217.4+(905.7-600.8)+(1.640874+(0.461907-0.306408))+0-666.2-0.339761999999932</f>
        <v>2857.5566110000004</v>
      </c>
      <c r="AC109" s="3">
        <f>3236.6+(759.4-495.5)+(0+(0-0))+0-738.1-0</f>
        <v>2762.4</v>
      </c>
      <c r="AD109">
        <f t="shared" si="1"/>
        <v>64146.533824000006</v>
      </c>
      <c r="AE109" s="3">
        <f>3174+(959.6-593.8)+(0+(0-0))+0-598.8-0</f>
        <v>2941</v>
      </c>
    </row>
    <row r="110" spans="1:31" s="2" customFormat="1" x14ac:dyDescent="0.25">
      <c r="A110">
        <v>89</v>
      </c>
      <c r="B110">
        <v>4</v>
      </c>
      <c r="C110">
        <v>17</v>
      </c>
      <c r="D110">
        <v>6</v>
      </c>
      <c r="E110">
        <v>1</v>
      </c>
      <c r="F110" s="3">
        <f>3222.5+(520.3-575.1)+(1.643475+(0.265353-0.293301))+0-688.8-0.35128799999993</f>
        <v>2480.1642389999997</v>
      </c>
      <c r="G110" s="3">
        <f>3227.9+(662.7-679.1)+(0+(0-0))+0-821.3-0</f>
        <v>2390.1999999999998</v>
      </c>
      <c r="H110" s="3">
        <f>3236.7+(861.1-1050.9)+(1.650717+(0.439161-0.535959))+0-789.2-0.40249199999992</f>
        <v>2258.8514270000001</v>
      </c>
      <c r="I110" s="3">
        <f>3291.4+(1055.7-1301.3)+(3.357228+(1.076814-1.327326))+0-783.3-0.798966000000125</f>
        <v>2264.8077499999999</v>
      </c>
      <c r="J110" s="3">
        <f>3301.1+(1043.7-1312.3)+(1.683561+(0.532287-0.669273))+0-756.3-0.385712999999923</f>
        <v>2277.360862</v>
      </c>
      <c r="K110" s="3">
        <f>3306.5+(928-1245.2)+(0+(0-0))+0-726.8-0</f>
        <v>2262.5</v>
      </c>
      <c r="L110" s="3">
        <f>3228.3+(911.6-1135.4)+(-4.939299+(-1.394748--1.737162))+0-757.8--1.15943400000004</f>
        <v>2243.262549</v>
      </c>
      <c r="M110" s="3">
        <f>3282.3+(749.1-1026)+(-5.021919+(-1.146123--1.56978))+0-744--1.13832000000004</f>
        <v>2257.9400580000001</v>
      </c>
      <c r="N110" s="3">
        <f>3294.7+(742.2-889.7)+(-6.721188+(-1.514088--1.814988))+0-723.8--1.47655199999997</f>
        <v>2418.4562640000004</v>
      </c>
      <c r="O110" s="3">
        <f>3266.8+(893.6-570.6)+(-1.666068+(-0.455736--0.291006))+0-808.1--0.412130999999918</f>
        <v>2780.2813330000004</v>
      </c>
      <c r="P110" s="3">
        <f>3229.8+(635.2-298.1)+(1.647198+(0.323952-0.152031))+0-720.1-0.367250999999927</f>
        <v>2848.2518679999998</v>
      </c>
      <c r="Q110" s="3">
        <f>3197.2+(910.2-330.2)+(3.261144+(0.928404-0.336804))+0-760.2-0.775404000000121</f>
        <v>3020.0773399999998</v>
      </c>
      <c r="R110" s="3">
        <f>3168.8+(748.6-474.1)+(3.232176+(0.763572-0.483582))+0-472.6-0.482052000000075</f>
        <v>2973.730114</v>
      </c>
      <c r="S110" s="3">
        <f>3153.6+(585.6-528.5)+(0+(0-0))+0-419.6-0</f>
        <v>2791.1</v>
      </c>
      <c r="T110" s="3">
        <f>3142.6+(706.1-601.2)+(1.602726+(0.360111-0.306612))+0-424.1-0.216290999999957</f>
        <v>2824.8399340000001</v>
      </c>
      <c r="U110" s="3">
        <f>3144+(695.4-643.9)+(1.60344+(0.354654-0.328389))+0-409.9-0.209048999999958</f>
        <v>2787.0206559999997</v>
      </c>
      <c r="V110" s="3">
        <f>3131.9+(611.7-613.3)+(0+(0-0))+0-409.2-0</f>
        <v>2721.1000000000004</v>
      </c>
      <c r="W110" s="3">
        <f>3131+(689-449)+(-1.59681+(-0.35139--0.22899))+0-702.7--0.358376999999929</f>
        <v>2666.939167</v>
      </c>
      <c r="X110" s="3">
        <f>3122.8+(515.1-401)+(-4.777884+(-0.788103--0.61353))+0-723.8--1.10741400000004</f>
        <v>2509.2549570000001</v>
      </c>
      <c r="Y110" s="3">
        <f>3123.6+(764.7-656.5)+(-1.593036+(-0.389997--0.334815))+0-759--0.387089999999923</f>
        <v>2471.5388720000001</v>
      </c>
      <c r="Z110" s="3">
        <f>3163.1+(807.1-498.8)+(0+(0-0))+0-804.6-0</f>
        <v>2666.8</v>
      </c>
      <c r="AA110" s="3">
        <f>3229.7+(791.5-390.3)+(-6.588588+(-1.61466--0.796212))+0-816--1.66463999999996</f>
        <v>2809.1576039999995</v>
      </c>
      <c r="AB110" s="3">
        <f>3239.4+(610.1-421.9)+(-1.652094+(-0.311151--0.215169))+0-731.9--0.373268999999926</f>
        <v>2694.3251930000001</v>
      </c>
      <c r="AC110" s="3">
        <f>3244+(618.9-481.9)+(1.65444+(0.315639-0.245769))+0-785.5-0.40060499999992</f>
        <v>2596.8237050000002</v>
      </c>
      <c r="AD110">
        <f t="shared" si="1"/>
        <v>62014.783891999992</v>
      </c>
      <c r="AE110" s="3">
        <f>3208+(834.1-377.1)+(0+(0-0))+0-842.2-0</f>
        <v>2822.8</v>
      </c>
    </row>
    <row r="111" spans="1:31" s="2" customFormat="1" x14ac:dyDescent="0.25">
      <c r="A111">
        <v>89</v>
      </c>
      <c r="B111">
        <v>4</v>
      </c>
      <c r="C111">
        <v>18</v>
      </c>
      <c r="D111">
        <v>7</v>
      </c>
      <c r="E111">
        <v>1</v>
      </c>
      <c r="F111" s="3">
        <f>3226+(614-680)+(0+(0-0))+0-752.1-0</f>
        <v>2407.9</v>
      </c>
      <c r="G111" s="3">
        <f>3209.6+(868.2-958)+(-1.636896+(-0.442782--0.48858))+0-775--0.395249999999921</f>
        <v>2343.6041520000003</v>
      </c>
      <c r="H111" s="3">
        <f>3210.7+(938.1-1146.5)+(1.637457+(0.478431-0.584715))+0-738-0.376379999999925</f>
        <v>2265.4547929999999</v>
      </c>
      <c r="I111" s="3">
        <f>3152.3+(1023.9-1274.8)+(1.607673+(0.522189-0.650148))+0-675-0.344249999999932</f>
        <v>2227.535464</v>
      </c>
      <c r="J111" s="3">
        <f>2978.3+(1146.5-1189.4)+(1.518933+(0.584715-0.606594))+0-796.8-0.406367999999919</f>
        <v>2139.6906859999999</v>
      </c>
      <c r="K111" s="3">
        <f>3000.4+(1129.3-1189.9)+(-4.590612+(-1.727829--1.820547))+0-765.3--1.17090900000004</f>
        <v>2171.1730149999999</v>
      </c>
      <c r="L111" s="3">
        <f>3011.3+(1055.5-1188.9)+(0+(0-0))+0-797-0</f>
        <v>2080.9</v>
      </c>
      <c r="M111" s="3">
        <f>3010+(876-1127.9)+(0+(0-0))+0-762.8-0</f>
        <v>1995.3</v>
      </c>
      <c r="N111" s="3">
        <f>2969.8+(871-984.5)+(-3.029196+(-0.88842--1.00419))+0-783.7--0.799374000000125</f>
        <v>2070.4859480000005</v>
      </c>
      <c r="O111" s="3">
        <f>3046.7+(859.6-950)+(0+(0-0))+0-765-0</f>
        <v>2191.2999999999997</v>
      </c>
      <c r="P111" s="3">
        <f>3039.8+(864.8-903.6)+(3.100596+(0.882096-0.921672))+0-774.1-0.789582000000123</f>
        <v>2229.1714379999999</v>
      </c>
      <c r="Q111" s="3">
        <f>3026.3+(793.5-705.3)+(0+(0-0))+0-729.6-0</f>
        <v>2384.9</v>
      </c>
      <c r="R111" s="3">
        <f>2995.6+(854.8-990.2)+(1.527756+(0.435948-0.505002))+0-453.5-0.231284999999954</f>
        <v>2407.9274169999999</v>
      </c>
      <c r="S111" s="3">
        <f>2978.8+(773.1-947.8)+(3.038376+(0.788562-0.966756))+0-413.3-0.421566000000066</f>
        <v>2393.2386160000001</v>
      </c>
      <c r="T111" s="3">
        <f>2945.6+(791.9-967.5)+(1.502256+(0.403869-0.493425))+0-419.5-0.213944999999957</f>
        <v>2351.6987549999999</v>
      </c>
      <c r="U111" s="3">
        <f>2959.5+(786.3-972.2)+(-3.01869+(-0.802026--0.991644))+0-402.2--0.410244000000064</f>
        <v>2368.9811720000002</v>
      </c>
      <c r="V111" s="3">
        <f>2945.4+(847.4-815.2)+(-1.502154+(-0.432174--0.415752))+0-425--0.216749999999957</f>
        <v>2551.298174</v>
      </c>
      <c r="W111" s="3">
        <f>2949.6+(840.2-782)+(-1.504296+(-0.428502--0.39882))+0-671.6--0.342515999999932</f>
        <v>2335.008538</v>
      </c>
      <c r="X111" s="3">
        <f>2959.9+(863-859.8)+(-3.019098+(-0.88026--0.876996))+0-687.4--0.70114800000011</f>
        <v>2273.3787860000002</v>
      </c>
      <c r="Y111" s="3">
        <f>2954.9+(931.1-984.5)+(-4.520997+(-1.424583--1.506285))+0-656.4--1.00429200000004</f>
        <v>2241.6649969999999</v>
      </c>
      <c r="Z111" s="3">
        <f>2967.8+(935.1-785.3)+(1.513578+(0.476901-0.400503))+0-692.9-0.35337899999993</f>
        <v>2425.9365970000003</v>
      </c>
      <c r="AA111" s="3">
        <f>3062.7+(664.2-460.9)+(-1.561977+(-0.338742--0.235059))+0-679.5--0.346544999999931</f>
        <v>2585.1808849999998</v>
      </c>
      <c r="AB111" s="3">
        <f>3078.7+(648.2-517.1)+(0+(0-0))+0-694.2-0</f>
        <v>2515.5999999999995</v>
      </c>
      <c r="AC111" s="3">
        <f>3080.7+(626.4-586.8)+(1.571157+(0.319464-0.299268))+0-655.7-0.334406999999934</f>
        <v>2465.8569459999994</v>
      </c>
      <c r="AD111">
        <f t="shared" si="1"/>
        <v>55423.186379000006</v>
      </c>
      <c r="AE111" s="3">
        <f>3052+(766.6-473.6)+(0+(0-0))+0-760.2-0</f>
        <v>2584.8000000000002</v>
      </c>
    </row>
    <row r="112" spans="1:31" s="2" customFormat="1" x14ac:dyDescent="0.25">
      <c r="A112">
        <v>89</v>
      </c>
      <c r="B112">
        <v>4</v>
      </c>
      <c r="C112">
        <v>19</v>
      </c>
      <c r="D112">
        <v>1</v>
      </c>
      <c r="E112">
        <v>3</v>
      </c>
      <c r="F112" s="3">
        <f>3067.1+(699-667.8)+(-6.256884+(-1.42596--1.362312))+0-722.9--1.47471599999997</f>
        <v>2370.5541840000001</v>
      </c>
      <c r="G112" s="3">
        <f>3060.5+(966.1-1106.5)+(-4.682565+(-1.478133--1.692945))+0-655.6--1.00306800000004</f>
        <v>2261.0353150000001</v>
      </c>
      <c r="H112" s="3">
        <f>3068.9+(1027.1-1151)+(-3.130278+(-1.047642--1.17402))+0-754.7--0.76979400000012</f>
        <v>2188.0658939999998</v>
      </c>
      <c r="I112" s="3">
        <f>2970.5+(1035.4-1180.1)+(-3.02991+(-1.056108--1.203702))+0-710.9--0.725118000000113</f>
        <v>2112.7428020000002</v>
      </c>
      <c r="J112" s="3">
        <f>3025.4+(838.6-1077.1)+(-3.085908+(-0.855372--1.098642))+0-698.7--0.712674000000112</f>
        <v>2086.0700360000001</v>
      </c>
      <c r="K112" s="3">
        <f>3058.2+(951.7-1227.5)+(0+(0-0))+0-754.2-0</f>
        <v>2028.1999999999996</v>
      </c>
      <c r="L112" s="3">
        <f>3013.3+(850.7-1201.6)+(0+(0-0))+0-715.9-0</f>
        <v>1946.5000000000005</v>
      </c>
      <c r="M112" s="3">
        <f>3001.8+(763.3-1127)+(-4.592754+(-1.167849--1.72431))+0-636.5--0.973845000000037</f>
        <v>1998.5375520000002</v>
      </c>
      <c r="N112" s="3">
        <f>2969.4+(857.5-1006.1)+(-1.514394+(-0.437325--0.513111))+0-672.2--0.342821999999932</f>
        <v>2147.504214</v>
      </c>
      <c r="O112" s="3">
        <f>2961.7+(903.8-990.9)+(3.020934+(0.921876-1.010718))+0-572.6-0.584052000000091</f>
        <v>2304.3480399999999</v>
      </c>
      <c r="P112" s="3">
        <f>3018.1+(911.9-814.4)+(3.078462+(0.930138-0.830688))+0-675.6-0.689112000000108</f>
        <v>2442.4888000000001</v>
      </c>
      <c r="Q112" s="3">
        <f>2993.4+(727.8-548.9)+(3.053268+(0.742356-0.559878))+0-627.1-0.6396420000001</f>
        <v>2547.796104</v>
      </c>
      <c r="R112" s="3">
        <f>2983.3+(647.4-715.6)+(0+(0-0))+0-330.4-0</f>
        <v>2584.7000000000003</v>
      </c>
      <c r="S112" s="3">
        <f>3007.6+(609.3-812.4)+(0+(0-0))+18-315-0</f>
        <v>2507.5</v>
      </c>
      <c r="T112" s="3">
        <f>3050.4+(596.4-818)+(1.555704+(0.304164-0.41718))+54-375.6-0.191555999999962</f>
        <v>2508.4511320000006</v>
      </c>
      <c r="U112" s="3">
        <f>3075.8+(585.7-867.8)+(0+(0-0))+54-339.8-0</f>
        <v>2507.9</v>
      </c>
      <c r="V112" s="3">
        <f>3096.9+(515.9-827.1)+(0+(0-0))+54-340.5-0</f>
        <v>2499.1999999999998</v>
      </c>
      <c r="W112" s="3">
        <f>3115.3+(566.7-622)+(-3.177606+(-0.578034--0.63444))+54-676.5--0.690030000000108</f>
        <v>2435.0688300000002</v>
      </c>
      <c r="X112" s="3">
        <f>3115.4+(635-716)+(0+(0-0))+40.5-724.5-0</f>
        <v>2350.4</v>
      </c>
      <c r="Y112" s="3">
        <f>3041.1+(753.8-745.2)+(1.550961+(0.384438-0.380052))+0-716.6-0.365465999999927</f>
        <v>2334.2898810000002</v>
      </c>
      <c r="Z112" s="3">
        <f>3126.2+(732.1-674.4)+(0+(0-0))+0-688.5-0</f>
        <v>2495.3999999999996</v>
      </c>
      <c r="AA112" s="3">
        <f>3210.7+(771-577.9)+(-1.637457+(-0.39321--0.294729))+0-741.4--0.378113999999925</f>
        <v>2661.0421759999999</v>
      </c>
      <c r="AB112" s="3">
        <f>3233.3+(661.2-570.4)+(0+(0-0))+0-698.8-0</f>
        <v>2625.3</v>
      </c>
      <c r="AC112" s="3">
        <f>3240.4+(698.2-616.7)+(0+(0-0))+0-742.2-0</f>
        <v>2579.6999999999998</v>
      </c>
      <c r="AD112">
        <f t="shared" si="1"/>
        <v>56522.794960000007</v>
      </c>
      <c r="AE112" s="3">
        <f>3185+(760.6-595.1)+(0+(0-0))+0-716.2-0</f>
        <v>2634.3</v>
      </c>
    </row>
    <row r="113" spans="1:31" s="2" customFormat="1" x14ac:dyDescent="0.25">
      <c r="A113">
        <v>89</v>
      </c>
      <c r="B113">
        <v>4</v>
      </c>
      <c r="C113">
        <v>20</v>
      </c>
      <c r="D113">
        <v>2</v>
      </c>
      <c r="E113">
        <v>1</v>
      </c>
      <c r="F113" s="3">
        <f>3192.4+(667.2-774.6)+(0+(0-0))+0-700.2-0</f>
        <v>2384.8000000000002</v>
      </c>
      <c r="G113" s="3">
        <f>3159.9+(1068.5-1232.6)+(-4.834647+(-1.634805--1.885878))+0-716.1--1.09563300000004</f>
        <v>2276.212059</v>
      </c>
      <c r="H113" s="3">
        <f>3100.9+(1198.7-1374.5)+(-3.162918+(-1.222674--1.40199))+0-719.4--0.733788000000115</f>
        <v>2203.4501860000005</v>
      </c>
      <c r="I113" s="3">
        <f>3133.1+(1118.5-1349)+(-4.793643+(-1.711305--2.06397))+0-731.1--1.11858300000004</f>
        <v>2168.1776049999999</v>
      </c>
      <c r="J113" s="3">
        <f>3168.8+(1063.3-1397.4)+(0+(0-0))+0-669.7-0</f>
        <v>2165</v>
      </c>
      <c r="K113" s="3">
        <f>3191.5+(981.3-1394.4)+(0+(0-0))+0-672.2-0</f>
        <v>2106.1999999999998</v>
      </c>
      <c r="L113" s="3">
        <f>3029.7+(941.4-1194.2)+(-3.090294+(-0.960228--1.218084))+0-663.8--0.677076000000106</f>
        <v>2110.9446379999999</v>
      </c>
      <c r="M113" s="3">
        <f>2901.1+(814.2-989.4)+(-1.479561+(-0.415242--0.504594))+0-512.1--0.261170999999948</f>
        <v>2212.6709620000001</v>
      </c>
      <c r="N113" s="3">
        <f>3194.8+(697-1104.7)+(1.629348+(0.35547-0.563397))+0-352.6-0.179825999999964</f>
        <v>2435.7415950000004</v>
      </c>
      <c r="O113" s="3">
        <f>3246.6+(626.5-825.5)+(1.655766+(0.319515-0.421005))+0-320.2-0.163301999999968</f>
        <v>2728.790974</v>
      </c>
      <c r="P113" s="3">
        <f>3166.6+(576.7-324.8)+(3.229932+(0.588234-0.331296))+0-359.1-0.366282000000057</f>
        <v>3062.5205880000003</v>
      </c>
      <c r="Q113" s="3">
        <f>3125.8+(602.9-434.8)+(3.188316+(0.614958-0.443496))+33.3-346.4-0.353328000000055</f>
        <v>2983.80645</v>
      </c>
      <c r="R113" s="3">
        <f>3093.9+(730.4-534.5)+(1.577889+(0.372504-0.272595))+100-355.6-0.181355999999964</f>
        <v>3035.6964420000004</v>
      </c>
      <c r="S113" s="3">
        <f>3124.8+(662.3-679.2)+(1.593648+(0.337773-0.346392))+100-368.9-0.188138999999963</f>
        <v>2840.39689</v>
      </c>
      <c r="T113" s="3">
        <f>3116.5+(766.6-743.5)+(1.589415+(0.390966-0.379185))+100-347.2-0.177071999999965</f>
        <v>2893.8241240000002</v>
      </c>
      <c r="U113" s="3">
        <f>3121+(817.8-804.7)+(3.18342+(0.834156-0.820794))+100-337-0.343740000000054</f>
        <v>2899.9530419999996</v>
      </c>
      <c r="V113" s="3">
        <f>3132.9+(782.8-795.5)+(0+(0-0))+100-326.9-0</f>
        <v>2893.2999999999997</v>
      </c>
      <c r="W113" s="3">
        <f>3143.9+(657.2-699)+(-6.413556+(-1.340688--1.42596))+100-360--0.734399999999984</f>
        <v>2836.506116</v>
      </c>
      <c r="X113" s="3">
        <f>3139+(352.9-415.4)+(0+(0-0))+41.7-514.3-0</f>
        <v>2603.8999999999996</v>
      </c>
      <c r="Y113" s="3">
        <f>3151.7+(491.2-433.5)+(-1.607367+(-0.250512--0.221085))+0-639.3--0.326042999999935</f>
        <v>2568.7892489999995</v>
      </c>
      <c r="Z113" s="3">
        <f>3187.3+(489.8-450.3)+(1.625523+(0.249798-0.229653))+0-352.6-0.179825999999964</f>
        <v>2875.6658420000003</v>
      </c>
      <c r="AA113" s="3">
        <f>3218.9+(908-734.9)+(-3.283278+(-0.92616--0.749598))+0-300--0.306000000000048</f>
        <v>3088.8461600000001</v>
      </c>
      <c r="AB113" s="3">
        <f>3224.3+(582-652.5)+(-1.644393+(-0.29682--0.332775))+0-320.8--0.163607999999967</f>
        <v>2831.5551699999996</v>
      </c>
      <c r="AC113" s="3">
        <f>3228.8+(695.7-610.5)+(-1.646688+(-0.354807--0.311355))+0-585.8--0.298757999999941</f>
        <v>2726.808618</v>
      </c>
      <c r="AD113">
        <f t="shared" si="1"/>
        <v>62933.556710000012</v>
      </c>
      <c r="AE113" s="3">
        <f>3217+(620.5-643.9)+(0+(0-0))+0-335.4-0</f>
        <v>2858.2</v>
      </c>
    </row>
    <row r="114" spans="1:31" s="2" customFormat="1" x14ac:dyDescent="0.25">
      <c r="A114">
        <v>89</v>
      </c>
      <c r="B114">
        <v>4</v>
      </c>
      <c r="C114">
        <v>21</v>
      </c>
      <c r="D114">
        <v>3</v>
      </c>
      <c r="E114">
        <v>1</v>
      </c>
      <c r="F114" s="3">
        <f>3216.2+(713.9-546.8)+(-3.280524+(-0.728178--0.557736))+0-736.4--0.751128000000117</f>
        <v>2644.2001620000001</v>
      </c>
      <c r="G114" s="3">
        <f>3241.8+(864.4-935)+(-1.653318+(-0.440844--0.47685))+0-642.1--0.327470999999935</f>
        <v>2527.8101590000006</v>
      </c>
      <c r="H114" s="3">
        <f>3240.5+(973.9-1105.3)+(-6.61062+(-1.986756--2.254812))+0-724.4--1.47777599999997</f>
        <v>2379.835212</v>
      </c>
      <c r="I114" s="3">
        <f>3249.1+(942.9-1176.9)+(3.314082+(0.961758-1.200438))+0-691.9-0.70573800000011</f>
        <v>2325.5696639999996</v>
      </c>
      <c r="J114" s="3">
        <f>3260.2+(948.3-1173.8)+(-3.325404+(-0.967266--1.197276))+0-748.4--0.763368000000119</f>
        <v>2283.9679739999997</v>
      </c>
      <c r="K114" s="3">
        <f>3047.7+(1074.8-1166)+(-3.108654+(-1.096296--1.18932))+0-719.2--0.733584000000115</f>
        <v>2235.0179540000004</v>
      </c>
      <c r="L114" s="3">
        <f>2966.4+(1058.7-1157)+(0+(0-0))+0-654.2-0</f>
        <v>2213.9000000000005</v>
      </c>
      <c r="M114" s="3">
        <f>3051.6+(1025.2-1000.9)+(0+(0-0))+0-692.1-0</f>
        <v>2383.8000000000002</v>
      </c>
      <c r="N114" s="3">
        <f>3200.6+(924.6-992.4)+(0+(0-0))+0-613.6-0</f>
        <v>2519.2000000000003</v>
      </c>
      <c r="O114" s="3">
        <f>3218.1+(826.2-683.8)+(0+(0-0))+0-552.6-0</f>
        <v>2807.9</v>
      </c>
      <c r="P114" s="3">
        <f>3199.6+(479.2-345.8)+(0+(0-0))+0-370.7-0</f>
        <v>2962.3</v>
      </c>
      <c r="Q114" s="3">
        <f>3153.2+(641-487)+(6.432528+(1.30764-0.99348))+0-330-0.673199999999986</f>
        <v>2983.2734879999998</v>
      </c>
      <c r="R114" s="3">
        <f>3050.2+(711.2-537.8)+(-3.111204+(-0.725424--0.548556))+114-321.5--0.327930000000051</f>
        <v>3013.139858</v>
      </c>
      <c r="S114" s="3">
        <f>3030.9+(599-615.1)+(1.545759+(0.30549-0.313701))+171-330.6-0.168605999999966</f>
        <v>2856.5689419999999</v>
      </c>
      <c r="T114" s="3">
        <f>3026.2+(680.8-696.4)+(1.543362+(0.347208-0.355164))+171-303.5-0.154784999999969</f>
        <v>2879.4806209999997</v>
      </c>
      <c r="U114" s="3">
        <f>3106.1+(642.9-750.4)+(3.168222+(0.655758-0.765408))+171-281.6-0.287232000000045</f>
        <v>2890.7713399999998</v>
      </c>
      <c r="V114" s="3">
        <f>3096.7+(622.2-775.2)+(-1.579317+(-0.317322--0.395352))+171-266.3--0.135812999999973</f>
        <v>2847.0345259999995</v>
      </c>
      <c r="W114" s="3">
        <f>3036.9+(389.3-528.6)+(-4.646457+(-0.595629--0.808758))+171-292--0.446760000000017</f>
        <v>2772.6134319999996</v>
      </c>
      <c r="X114" s="3">
        <f>3000.6+(490-203.9)+(-4.590918+(-0.7497--0.311967))+0-595.8--0.911574000000034</f>
        <v>2686.7829230000002</v>
      </c>
      <c r="Y114" s="3">
        <f>3005.1+(610.5-410.4)+(-1.532601+(-0.311355--0.209304))+0-677.1--0.345320999999931</f>
        <v>2526.8106689999995</v>
      </c>
      <c r="Z114" s="3">
        <f>3107.5+(636.9-438)+(1.584825+(0.324819-0.22338))+0-418.5-0.213434999999958</f>
        <v>2889.3728289999999</v>
      </c>
      <c r="AA114" s="3">
        <f>3221.5+(533.9-401.6)+(-1.642965+(-0.272289--0.204816))+0-246.9--0.125918999999975</f>
        <v>3105.3154810000001</v>
      </c>
      <c r="AB114" s="3">
        <f>3237.6+(287.6-374.6)+(-1.651176+(-0.146676--0.191046))+0-317.6--0.161975999999968</f>
        <v>2831.5551700000001</v>
      </c>
      <c r="AC114" s="3">
        <f>3257.9+(343.7-448)+(0+(0-0))+0-451.1-0</f>
        <v>2702.5</v>
      </c>
      <c r="AD114">
        <f t="shared" si="1"/>
        <v>64268.720403999992</v>
      </c>
      <c r="AE114" s="3">
        <f>3190+(337.9-398.9)+(0+(0-0))+0-303.1-0</f>
        <v>2825.9</v>
      </c>
    </row>
    <row r="115" spans="1:31" s="2" customFormat="1" x14ac:dyDescent="0.25">
      <c r="A115">
        <v>89</v>
      </c>
      <c r="B115">
        <v>4</v>
      </c>
      <c r="C115">
        <v>22</v>
      </c>
      <c r="D115">
        <v>4</v>
      </c>
      <c r="E115">
        <v>1</v>
      </c>
      <c r="F115" s="3">
        <f>3236.8+(729.4-742.1)+(0+(0-0))+0-717.9-0</f>
        <v>2506.2000000000003</v>
      </c>
      <c r="G115" s="3">
        <f>3252.4+(1169.9-1335)+(-3.317448+(-1.193298--1.3617))+0-626.7--0.6392340000001</f>
        <v>2458.0901880000001</v>
      </c>
      <c r="H115" s="3">
        <f>3249.5+(1148.1-1334.3)+(1.657245+(0.585531-0.680493))+0-697.8-0.355877999999929</f>
        <v>2366.7064050000004</v>
      </c>
      <c r="I115" s="3">
        <f>3258+(1121.5-1279.6)+(0+(0-0))+0-734.4-0</f>
        <v>2365.5</v>
      </c>
      <c r="J115" s="3">
        <f>3178+(982.4-1219.4)+(4.86234+(1.503072-1.865682))+0-636.7-0.974151000000037</f>
        <v>2307.8255789999998</v>
      </c>
      <c r="K115" s="3">
        <f>3176.6+(1012.9-1239.2)+(0+(0-0))+0-696.9-0</f>
        <v>2253.3999999999996</v>
      </c>
      <c r="L115" s="3">
        <f>3180.3+(850.7-1187.9)+(-1.621953+(-0.433857--0.605829))+0-668.7--0.341036999999932</f>
        <v>2173.291056</v>
      </c>
      <c r="M115" s="3">
        <f>3189+(804.8-1213.2)+(0+(0-0))+0-469.5-0</f>
        <v>2311.1</v>
      </c>
      <c r="N115" s="3">
        <f>3238.5+(800.9-1064.8)+(6.60654+(1.633836-2.172192))+0-473.5-0.965939999999979</f>
        <v>2506.2022440000001</v>
      </c>
      <c r="O115" s="3">
        <f>3268.1+(689.4-704.6)+(0+(0-0))+0-514.5-0</f>
        <v>2738.3999999999996</v>
      </c>
      <c r="P115" s="3">
        <f>3231.7+(442.8-439.6)+(4.944501+(0.677484-0.672588))+0-363.9-0.556767000000021</f>
        <v>2875.3926299999994</v>
      </c>
      <c r="Q115" s="3">
        <f>3212.7+(498.9-369.5)+(1.638477+(0.254439-0.188445))+0-342.8-0.174827999999965</f>
        <v>3000.8296429999996</v>
      </c>
      <c r="R115" s="3">
        <f>3194.9+(409.5-424.7)+(-3.258798+(-0.41769--0.433194))+93.3-356.1--0.363222000000057</f>
        <v>2914.0199280000006</v>
      </c>
      <c r="S115" s="3">
        <f>3174.5+(403.2-575.5)+(0+(0-0))+140-343.9-0</f>
        <v>2798.2999999999997</v>
      </c>
      <c r="T115" s="3">
        <f>3175.2+(499.3-576.2)+(4.858056+(0.763929-0.881586))+140-373-0.570690000000022</f>
        <v>2869.4697089999995</v>
      </c>
      <c r="U115" s="3">
        <f>3166.9+(472.2-573.7)+(-1.615119+(-0.240822--0.292587))+140-293.5--0.14968499999997</f>
        <v>2910.4863310000001</v>
      </c>
      <c r="V115" s="3">
        <f>3150+(498.8-530)+(-1.6065+(-0.254388--0.2703))+140-375.4--0.191453999999962</f>
        <v>2882.0008659999999</v>
      </c>
      <c r="W115" s="3">
        <f>3159.8+(346.6-380)+(-9.668988+(-1.060596--1.1628))+0-300.2--0.918612000000035</f>
        <v>2817.5518280000001</v>
      </c>
      <c r="X115" s="3">
        <f>3160.5+(571-346.4)+(-6.44742+(-1.16484--0.706656))+0-690.9--1.40943599999997</f>
        <v>2688.7038319999997</v>
      </c>
      <c r="Y115" s="3">
        <f>3170.5+(739.3-603.5)+(-4.850865+(-1.131129--0.923355))+0-565--0.864450000000033</f>
        <v>2737.1058110000004</v>
      </c>
      <c r="Z115" s="3">
        <f>3208.5+(668.5-503.1)+(1.636335+(0.340935-0.256581))+0-415.2-0.211751999999958</f>
        <v>2960.2089370000003</v>
      </c>
      <c r="AA115" s="3">
        <f>3257.3+(335.6-408.7)+(-6.644892+(-0.684624--0.833748))+0-278.9--0.568955999999988</f>
        <v>2899.373188</v>
      </c>
      <c r="AB115" s="3">
        <f>3267.7+(244.7-424)+(-6.666108+(-0.499188--0.86496))+0-303.7--0.619547999999987</f>
        <v>2779.0192120000002</v>
      </c>
      <c r="AC115" s="3">
        <f>3252.6+(414.7-576.4)+(3.317652+(0.422994-0.587928))+0-443.7-0.452574000000071</f>
        <v>2649.9001440000002</v>
      </c>
      <c r="AD115">
        <f t="shared" si="1"/>
        <v>63769.07753100001</v>
      </c>
      <c r="AE115" s="3">
        <f>3273+(230-435)+(0+(0-0))+0-249-0</f>
        <v>2819</v>
      </c>
    </row>
    <row r="116" spans="1:31" s="2" customFormat="1" x14ac:dyDescent="0.25">
      <c r="A116">
        <v>89</v>
      </c>
      <c r="B116">
        <v>4</v>
      </c>
      <c r="C116">
        <v>23</v>
      </c>
      <c r="D116">
        <v>5</v>
      </c>
      <c r="E116">
        <v>1</v>
      </c>
      <c r="F116" s="3">
        <f>3249.8+(630.6-807.6)+(-3.314796+(-0.643212--0.823752))+0-649.8--0.662796000000104</f>
        <v>2420.5285400000007</v>
      </c>
      <c r="G116" s="3">
        <f>3257.3+(995.8-1313.6)+(-1.661223+(-0.507858--0.669936))+0-571.1--0.291260999999942</f>
        <v>2367.1921159999997</v>
      </c>
      <c r="H116" s="3">
        <f>3262.9+(942.2-1321.3)+(-3.328158+(-0.961044--1.347726))+0-550.7--0.561714000000088</f>
        <v>2330.7202380000003</v>
      </c>
      <c r="I116" s="3">
        <f>3223.8+(913.4-1309.1)+(-3.288276+(-0.931668--1.335282))+0-566--0.57732000000009</f>
        <v>2259.7926580000003</v>
      </c>
      <c r="J116" s="3">
        <f>3149.1+(913.6-1261.8)+(4.818123+(1.397808-1.930554))+0-525.6-0.80416800000003</f>
        <v>2278.7812090000002</v>
      </c>
      <c r="K116" s="3">
        <f>3158.5+(874.2-1236.8)+(-3.22167+(-0.891684--1.261536))+0-599.4--0.611388000000096</f>
        <v>2194.2595700000002</v>
      </c>
      <c r="L116" s="3">
        <f>3174.5+(761.2-1345.6)+(-1.618995+(-0.388212--0.686256))+0-448.4--0.228683999999955</f>
        <v>2140.6077330000003</v>
      </c>
      <c r="M116" s="3">
        <f>3184.4+(756.6-1061.5)+(4.872132+(1.157598-1.624095))+0-623.9-0.954567000000036</f>
        <v>2259.0510679999998</v>
      </c>
      <c r="N116" s="3">
        <f>3173.7+(789.7-890.7)+(-1.618587+(-0.402747--0.454257))+0-563.5--0.287384999999943</f>
        <v>2507.9203079999997</v>
      </c>
      <c r="O116" s="3">
        <f>3212.2+(816.9-856.4)+(3.276444+(0.833238-0.873528))+0-484.6-0.494292000000077</f>
        <v>2690.8418620000002</v>
      </c>
      <c r="P116" s="3">
        <f>3205.3+(801.8-776.2)+(1.634703+(0.408918-0.395862))+62.5-456.3-0.232712999999954</f>
        <v>2838.515046</v>
      </c>
      <c r="Q116" s="3">
        <f>3203.1+(815.6-747.9)+(-1.633581+(-0.415956--0.381429))+150-462.5--0.235874999999953</f>
        <v>2956.8677670000002</v>
      </c>
      <c r="R116" s="3">
        <f>3174.9+(579.4-659.7)+(-3.238398+(-0.590988--0.672894))+200-279.9--0.285498000000045</f>
        <v>3011.8290059999999</v>
      </c>
      <c r="S116" s="3">
        <f>3153.9+(434-592.7)+(0+(0-0))+200-316.5-0</f>
        <v>2878.7</v>
      </c>
      <c r="T116" s="3">
        <f>3142.2+(342.3-480.9)+(1.602522+(0.174573-0.245259))+200-275.4-0.140453999999972</f>
        <v>2929.5913820000001</v>
      </c>
      <c r="U116" s="3">
        <f>3111.1+(253.8-324.3)+(-1.586661+(-0.129438--0.165393))+200-288.3--0.147032999999971</f>
        <v>2950.8963269999999</v>
      </c>
      <c r="V116" s="3">
        <f>3085.7+(296.8-358.1)+(-3.147414+(-0.302736--0.365262))+200-269.9--0.275298000000043</f>
        <v>2951.6904099999997</v>
      </c>
      <c r="W116" s="3">
        <f>3055+(476.1-521.5)+(4.67415+(0.728433-0.797895))+200-302.3-0.462519000000018</f>
        <v>2911.4421689999995</v>
      </c>
      <c r="X116" s="3">
        <f>3071.9+(679.8-772)+(-3.133338+(-0.693396--0.78744))+66.7-266--0.271320000000042</f>
        <v>2777.6320259999993</v>
      </c>
      <c r="Y116" s="3">
        <f>2917.7+(756.8-694.8)+(1.488027+(0.385968-0.354348))+0-247.7-0.126326999999975</f>
        <v>2733.3933200000001</v>
      </c>
      <c r="Z116" s="3">
        <f>2960.1+(586.9-432.9)+(3.019302+(0.598638-0.441558))+0-265.6-0.270912000000042</f>
        <v>2851.4054700000002</v>
      </c>
      <c r="AA116" s="3">
        <f>3055.1+(392.5-261.1)+(-4.674303+(-0.600525--0.399483))+0-261.7--0.400401000000015</f>
        <v>2920.3250560000001</v>
      </c>
      <c r="AB116" s="3">
        <f>3087+(436.3-385.8)+(-1.57437+(-0.222513--0.196758))+0-326--0.166259999999967</f>
        <v>2810.066135</v>
      </c>
      <c r="AC116" s="3">
        <f>3152.8+(540.8-488.2)+(-1.607928+(-0.275808--0.248982))+0-526.2--0.268361999999947</f>
        <v>2677.8336079999999</v>
      </c>
      <c r="AD116">
        <f t="shared" si="1"/>
        <v>63649.88302400001</v>
      </c>
      <c r="AE116" s="3">
        <f>3045+(421.5-271.7)+(0+(0-0))+0-274-0</f>
        <v>2920.8</v>
      </c>
    </row>
    <row r="117" spans="1:31" s="2" customFormat="1" x14ac:dyDescent="0.25">
      <c r="A117">
        <v>89</v>
      </c>
      <c r="B117">
        <v>4</v>
      </c>
      <c r="C117">
        <v>24</v>
      </c>
      <c r="D117">
        <v>6</v>
      </c>
      <c r="E117">
        <v>1</v>
      </c>
      <c r="F117" s="3">
        <f>3132.2+(625.4-672.3)+(-1.597422+(-0.318954--0.342873))+0-641--0.326909999999935</f>
        <v>2443.0534069999994</v>
      </c>
      <c r="G117" s="3">
        <f>3173.4+(966.4-1112.8)+(-1.618434+(-0.492864--0.567528))+0-594.7--0.30329699999994</f>
        <v>2431.0595269999999</v>
      </c>
      <c r="H117" s="3">
        <f>3207.2+(986.3-1137)+(6.542688+(2.012052-2.31948))+0-716-1.46063999999997</f>
        <v>2345.2746200000001</v>
      </c>
      <c r="I117" s="3">
        <f>3221.7+(874-1142.6)+(-3.286134+(-0.89148--1.165452))+0-629.7--0.642294000000101</f>
        <v>2321.0301319999999</v>
      </c>
      <c r="J117" s="3">
        <f>3261.2+(790.5-1113.4)+(-1.663212+(-0.403155--0.567834))+0-580.8--0.296207999999941</f>
        <v>2356.2976749999998</v>
      </c>
      <c r="K117" s="3">
        <f>3283.6+(749-1129.6)+(-3.349272+(-0.76398--1.152192))+0-679.7--0.693294000000108</f>
        <v>2221.0322339999998</v>
      </c>
      <c r="L117" s="3">
        <f>3080.5+(859.6-1096.6)+(-3.14211+(-0.876792--1.118532))+0-676.1--0.689622000000108</f>
        <v>2165.1892520000006</v>
      </c>
      <c r="M117" s="3">
        <f>3077.6+(827.1-948.3)+(-1.569576+(-0.421821--0.483633))+0-696.9--0.355418999999929</f>
        <v>2258.347655</v>
      </c>
      <c r="N117" s="3">
        <f>3191.1+(814.6-834.7)+(1.627461+(0.415446-0.425697))+0-704.4-0.359243999999929</f>
        <v>2467.857966</v>
      </c>
      <c r="O117" s="3">
        <f>3228.4+(752.7-618.5)+(8.23242+(1.919385-1.577175))+0-687-1.7518499999999</f>
        <v>2682.4227800000003</v>
      </c>
      <c r="P117" s="3">
        <f>3209.1+(731-630.8)+(1.636641+(0.37281-0.321708))+198-639.1-0.325940999999935</f>
        <v>2869.5618020000002</v>
      </c>
      <c r="Q117" s="3">
        <f>3172.7+(581.2-424.9)+(1.618077+(0.296412-0.216699))+198-582.9-0.297278999999941</f>
        <v>2945.5005110000002</v>
      </c>
      <c r="R117" s="3">
        <f>3164.9+(532.4-535.5)+(-1.614099+(-0.271524--0.273105))+198-417.7--0.213026999999958</f>
        <v>2940.7005090000002</v>
      </c>
      <c r="S117" s="3">
        <f>3146.3+(600.2-736.4)+(-3.209226+(-0.612204--0.751128))+198-441.8--0.45063600000007</f>
        <v>2763.6803340000001</v>
      </c>
      <c r="T117" s="3">
        <f>3126.9+(676.7-782)+(-1.594719+(-0.345117--0.39882))+198-419.2--0.213791999999957</f>
        <v>2799.0727760000004</v>
      </c>
      <c r="U117" s="3">
        <f>3103.7+(704.4-811)+(-1.582887+(-0.359244--0.41361))+198-383.6--0.195635999999961</f>
        <v>2810.1671149999997</v>
      </c>
      <c r="V117" s="3">
        <f>3074+(720.5-846.8)+(0+(0-0))+171.7-390.1-0</f>
        <v>2729.2999999999997</v>
      </c>
      <c r="W117" s="3">
        <f>3020.1+(782.2-730)+(-3.080502+(-0.797844--0.7446))+40-398.4--0.406368000000064</f>
        <v>2711.172622</v>
      </c>
      <c r="X117" s="3">
        <f>3029.4+(858.6-879.6)+(-7.72497+(-2.18943--2.24298))+0-416.4--1.06181999999994</f>
        <v>2585.3903999999998</v>
      </c>
      <c r="Y117" s="3">
        <f>2966.8+(545.1-629.5)+(-1.513068+(-0.278001--0.321045))+0-410.6--0.209405999999958</f>
        <v>2470.5393819999999</v>
      </c>
      <c r="Z117" s="3">
        <f>3051.1+(702.2-665.9)+(-3.112122+(-0.716244--0.679218))+0-402.8--0.410856000000064</f>
        <v>2681.8617079999999</v>
      </c>
      <c r="AA117" s="3">
        <f>3142.4+(664.6-644.5)+(-4.807872+(-1.016838--0.986085))+0-390.5--0.597465000000023</f>
        <v>2767.75884</v>
      </c>
      <c r="AB117" s="3">
        <f>3171.6+(765-828.7)+(-1.617516+(-0.39015--0.422637))+0-387.9--0.197828999999961</f>
        <v>2718.6127999999999</v>
      </c>
      <c r="AC117" s="3">
        <f>3154.1+(820.9-872.8)+(-4.825773+(-1.255977--1.335384))+0-421.2--0.644436000000024</f>
        <v>2676.8980700000002</v>
      </c>
      <c r="AD117">
        <f t="shared" si="1"/>
        <v>62161.782117000002</v>
      </c>
      <c r="AE117" s="3">
        <f>3148+(658.5-585.7)+(0+(0-0))+0-470.7-0</f>
        <v>2750.1000000000004</v>
      </c>
    </row>
    <row r="118" spans="1:31" s="2" customFormat="1" x14ac:dyDescent="0.25">
      <c r="A118">
        <v>89</v>
      </c>
      <c r="B118">
        <v>4</v>
      </c>
      <c r="C118">
        <v>25</v>
      </c>
      <c r="D118">
        <v>7</v>
      </c>
      <c r="E118">
        <v>1</v>
      </c>
      <c r="F118" s="3">
        <f>3117.9+(855.5-962.9)+(4.770387+(1.308915-1.473237))+0-524.7-0.80279100000003</f>
        <v>2489.6032740000001</v>
      </c>
      <c r="G118" s="3">
        <f>3140.9+(957.6-1103.1)+(-1.601859+(-0.488376--0.562581))+0-615.1--0.313700999999938</f>
        <v>2379.0860470000002</v>
      </c>
      <c r="H118" s="3">
        <f>3159.9+(940.5-1217.6)+(1.611549+(0.479655-0.620976))+0-556-0.283559999999944</f>
        <v>2327.9866680000005</v>
      </c>
      <c r="I118" s="3">
        <f>3086.7+(938.3-1122.9)+(1.574217+(0.478533-0.572679))+0-620.8-0.316607999999937</f>
        <v>2282.4634629999991</v>
      </c>
      <c r="J118" s="3">
        <f>3108.9+(898.5-1109.3)+(-4.756617+(-1.374705--1.697229))+0-645.4--0.987462000000037</f>
        <v>2249.2533690000005</v>
      </c>
      <c r="K118" s="3">
        <f>3105.5+(847.8-1128)+(-9.50283+(-2.594268--3.45168))+0-637.6--1.95105600000007</f>
        <v>2181.0056380000001</v>
      </c>
      <c r="L118" s="3">
        <f>2905.5+(875.1-1159.7)+(-7.409025+(-2.231505--2.957235))+0-681--1.7365499999999</f>
        <v>1934.9532550000001</v>
      </c>
      <c r="M118" s="3">
        <f>2877.5+(885.2-1068.8)+(0+(0-0))+0-678.5-0</f>
        <v>2015.4</v>
      </c>
      <c r="N118" s="3">
        <f>2926.3+(855-999.1)+(-2.984826+(-0.8721--1.019082))+0-613.9--0.626178000000098</f>
        <v>2166.088334</v>
      </c>
      <c r="O118" s="3">
        <f>3089.9+(751.9-990.8)+(-3.151698+(-0.766938--1.010616))+0-620--0.632400000000099</f>
        <v>2228.7243800000001</v>
      </c>
      <c r="P118" s="3">
        <f>3079.1+(756.6-943.9)+(-1.570341+(-0.385866--0.481389))+0-621--0.316709999999937</f>
        <v>2269.6418920000001</v>
      </c>
      <c r="Q118" s="3">
        <f>3070.3+(914.1-998.8)+(-3.131706+(-0.932382--1.018776))+0-632.2--0.644844000000101</f>
        <v>2350.9995320000003</v>
      </c>
      <c r="R118" s="3">
        <f>3067.1+(820.1-1067.6)+(-1.564221+(-0.418251--0.544476))+99-402.5--0.205274999999959</f>
        <v>2514.8672789999996</v>
      </c>
      <c r="S118" s="3">
        <f>3088.3+(824.9-1169.3)+(-1.575033+(-0.420699--0.596343))+99-414.1--0.211190999999958</f>
        <v>2427.6118019999999</v>
      </c>
      <c r="T118" s="3">
        <f>3073.2+(880.3-1265.1)+(3.134664+(0.897906-1.290402))+99-418.9-0.427278000000067</f>
        <v>2370.8148899999997</v>
      </c>
      <c r="U118" s="3">
        <f>3070.4+(967.5-1279.4)+(-3.131808+(-0.98685--1.304988))+82.5-421.8--0.430236000000067</f>
        <v>2416.816566</v>
      </c>
      <c r="V118" s="3">
        <f>3114.9+(964.5-1252.6)+(3.177198+(0.98379-1.277652))+0-442.9-0.451758000000071</f>
        <v>2386.3315779999998</v>
      </c>
      <c r="W118" s="3">
        <f>3114.7+(908.2-1222.9)+(-3.176994+(-0.926364--1.247358))+0-425.3--0.433806000000068</f>
        <v>2372.2778059999996</v>
      </c>
      <c r="X118" s="3">
        <f>3129.2+(900.5-1154.2)+(-11.171244+(-3.214785--4.120494))+0-425.3--1.51832100000001</f>
        <v>2441.4527859999998</v>
      </c>
      <c r="Y118" s="3">
        <f>2928.3+(747.9-963.5)+(2.986866+(0.762858-0.98277))+0-425.3-0.433806000000068</f>
        <v>2289.7331480000003</v>
      </c>
      <c r="Z118" s="3">
        <f>3105.6+(679.2-976.9)+(-4.751568+(-1.039176--1.494657))+0-394.3--0.603279000000023</f>
        <v>2409.9071919999997</v>
      </c>
      <c r="AA118" s="3">
        <f>3209.9+(720.2-919.8)+(-3.274098+(-0.734604--0.938196))+0-394.3--0.402186000000063</f>
        <v>2613.3316800000002</v>
      </c>
      <c r="AB118" s="3">
        <f>3082.1+(754.1-881.9)+(0+(0-0))+0-403.8-0</f>
        <v>2550.5</v>
      </c>
      <c r="AC118" s="3">
        <f>2889.2+(800.4-822.9)+(-2.946984+(-0.816408--0.839358))+0-427--0.435540000000068</f>
        <v>2437.2115059999996</v>
      </c>
      <c r="AD118">
        <f t="shared" si="1"/>
        <v>56106.062084999998</v>
      </c>
      <c r="AE118" s="3">
        <f>3189+(740.4-876.9)+(0+(0-0))+0-462.7-0</f>
        <v>2589.8000000000002</v>
      </c>
    </row>
    <row r="119" spans="1:31" s="2" customFormat="1" x14ac:dyDescent="0.25">
      <c r="A119">
        <v>89</v>
      </c>
      <c r="B119">
        <v>4</v>
      </c>
      <c r="C119">
        <v>26</v>
      </c>
      <c r="D119">
        <v>1</v>
      </c>
      <c r="E119">
        <v>1</v>
      </c>
      <c r="F119" s="3">
        <f>2879.5+(958.4-908.3)+(-4.405635+(-1.466352--1.389699))+0-640.2--0.979506000000037</f>
        <v>2285.8972179999996</v>
      </c>
      <c r="G119" s="3">
        <f>2881.4+(986-922.1)+(-4.408542+(-1.50858--1.410813))+0-634.9--0.971397000000037</f>
        <v>2306.8650880000005</v>
      </c>
      <c r="H119" s="3">
        <f>2896.5+(1008.3-970.5)+(-1.477215+(-0.514233--0.494955))+0-698--0.355979999999929</f>
        <v>2235.1594869999999</v>
      </c>
      <c r="I119" s="3">
        <f>2896.9+(1014.7-1106.4)+(-8.864514+(-3.104982--3.385584))+0-626.1--1.91586600000007</f>
        <v>2172.4319540000001</v>
      </c>
      <c r="J119" s="3">
        <f>2902.3+(1000.9-1015.5)+(-2.960346+(-1.020918--1.03581))+0-693.6--0.707472000000111</f>
        <v>2191.8620180000003</v>
      </c>
      <c r="K119" s="3">
        <f>2905.5+(948.1-976.9)+(-5.92722+(-1.934124--1.992876))+0-721.9--1.47267599999997</f>
        <v>2150.4042079999995</v>
      </c>
      <c r="L119" s="3">
        <f>2623.3+(1054.2-816.7)+(-6.689415+(-2.68821--2.082585))+0-736.7--1.87858499999989</f>
        <v>2118.6835450000003</v>
      </c>
      <c r="M119" s="3">
        <f>2576.6+(936-647.3)+(1.314066+(0.47736-0.330123))+0-625.9-0.319208999999937</f>
        <v>2240.5420940000004</v>
      </c>
      <c r="N119" s="3">
        <f>2847.1+(905.4-688.3)+(0+(0-0))+0-591.2-0</f>
        <v>2473</v>
      </c>
      <c r="O119" s="3">
        <f>2854.6+(1096.2-606.1)+(1.455846+(0.559062-0.309111))+0-696.4-0.355163999999929</f>
        <v>2649.6506329999997</v>
      </c>
      <c r="P119" s="3">
        <f>2927+(997.2-511)+(1.49277+(0.508572-0.26061))+51.3-489.9-0.24984899999995</f>
        <v>2976.0908830000003</v>
      </c>
      <c r="Q119" s="3">
        <f>2903.4+(939.7-441.8)+(0+(0-0))+205-562.5-0</f>
        <v>3043.8</v>
      </c>
      <c r="R119" s="3">
        <f>2888.8+(843.1-468.6)+(0+(0-0))+205-340.5-0</f>
        <v>3127.8</v>
      </c>
      <c r="S119" s="3">
        <f>2881.7+(745.8-588.2)+(0+(0-0))+205-334.4-0</f>
        <v>2909.8999999999996</v>
      </c>
      <c r="T119" s="3">
        <f>2866.4+(776.3-561.9)+(1.461864+(0.395913-0.286569))+205-270.5-0.137954999999973</f>
        <v>3016.7332529999999</v>
      </c>
      <c r="U119" s="3">
        <f>2830.5+(739.6-542.5)+(2.88711+(0.754392-0.55335))+205-239.5-0.244290000000038</f>
        <v>2995.9438619999996</v>
      </c>
      <c r="V119" s="3">
        <f>2826.6+(777.5-547)+(-1.441566+(-0.396525--0.27897))+170.8-271--0.138209999999973</f>
        <v>2955.4790890000004</v>
      </c>
      <c r="W119" s="3">
        <f>2825.6+(823.8-467.7)+(0+(0-0))+0-300.3-0</f>
        <v>2881.3999999999996</v>
      </c>
      <c r="X119" s="3">
        <f>2865.7+(759.7-453)+(-4.384521+(-1.162341--0.69309))+0-382.4--0.585072000000022</f>
        <v>2785.7312999999995</v>
      </c>
      <c r="Y119" s="3">
        <f>2836.9+(771.6-528.2)+(0+(0-0))+0-360.9-0</f>
        <v>2719.4</v>
      </c>
      <c r="Z119" s="3">
        <f>2808.7+(789.6-397.2)+(0+(0-0))+0-325.6-0</f>
        <v>2875.5</v>
      </c>
      <c r="AA119" s="3">
        <f>2936.1+(800-420)+(-4.492233+(-1.224--0.6426))+0-402.6--0.615978000000023</f>
        <v>2909.0423449999998</v>
      </c>
      <c r="AB119" s="3">
        <f>2955.4+(761.3-589.6)+(-6.029016+(-1.553052--1.202784))+0-331.2--0.675647999999985</f>
        <v>2790.1963639999999</v>
      </c>
      <c r="AC119" s="3">
        <f>2951.6+(877.7-644.7)+(-6.021264+(-1.790508--1.315188))+0-399.8--0.815591999999983</f>
        <v>2779.1190079999997</v>
      </c>
      <c r="AD119">
        <f t="shared" si="1"/>
        <v>63590.632349000007</v>
      </c>
      <c r="AE119" s="3">
        <f>2926+(788.1-429.7)+(0+(0-0))+0-422.9-0</f>
        <v>2861.5</v>
      </c>
    </row>
    <row r="120" spans="1:31" s="2" customFormat="1" x14ac:dyDescent="0.25">
      <c r="A120">
        <v>89</v>
      </c>
      <c r="B120">
        <v>4</v>
      </c>
      <c r="C120">
        <v>27</v>
      </c>
      <c r="D120">
        <v>2</v>
      </c>
      <c r="E120">
        <v>1</v>
      </c>
      <c r="F120" s="3">
        <f>2930.8+(1022.2-896.5)+(-5.978832+(-2.085288--1.82886))+0-569--1.16075999999998</f>
        <v>2482.4254999999998</v>
      </c>
      <c r="G120" s="3">
        <f>2902+(1154.5-906)+(-1.48002+(-0.588795--0.46206))+0-674.2--0.343841999999932</f>
        <v>2475.0370870000002</v>
      </c>
      <c r="H120" s="3">
        <f>2844.6+(1171.5-926.3)+(0+(0-0))+0-618.4-0</f>
        <v>2471.4</v>
      </c>
      <c r="I120" s="3">
        <f>2840.5+(1095.9-927.1)+(-4.345965+(-1.676727--1.418463))+0-618.7--0.946611000000036</f>
        <v>2386.9423819999997</v>
      </c>
      <c r="J120" s="3">
        <f>2849.1+(1037.9-908.2)+(-2.906082+(-1.058658--0.926364))+0-597.3--0.609246000000095</f>
        <v>2379.0708700000005</v>
      </c>
      <c r="K120" s="3">
        <f>2848.7+(912.1-922.1)+(-7.264185+(-2.325855--2.351355))+0-564--1.43819999999992</f>
        <v>2268.8995150000001</v>
      </c>
      <c r="L120" s="3">
        <f>2608.3+(980.8-866.7)+(-5.320932+(-2.000832--1.768068))+0-586.1--1.19564399999997</f>
        <v>2131.9419480000001</v>
      </c>
      <c r="M120" s="3">
        <f>2768.9+(929.2-791.7)+(-1.412139+(-0.473892--0.403767))+0-580.3--0.295952999999941</f>
        <v>2324.913689</v>
      </c>
      <c r="N120" s="3">
        <f>2850.8+(987.8-604.3)+(-2.907816+(-1.007556--0.616386))+0-637.7--0.650454000000102</f>
        <v>2593.9514680000007</v>
      </c>
      <c r="O120" s="3">
        <f>2883.1+(961.5-515.8)+(1.470381+(0.490365-0.263058))+0-570.3-0.290852999999942</f>
        <v>2759.9068350000002</v>
      </c>
      <c r="P120" s="3">
        <f>2925.5+(1065.7-447.4)+(1.492005+(0.543507-0.228174))+66-633.4-0.323033999999936</f>
        <v>2977.8843040000002</v>
      </c>
      <c r="Q120" s="3">
        <f>2894.1+(856.7-423.6)+(2.951982+(0.873834-0.432072))+198-436.5-0.44523000000007</f>
        <v>3091.6485139999995</v>
      </c>
      <c r="R120" s="3">
        <f>2941.5+(802.8-406.9)+(1.500165+(0.409428-0.207519))+198-341.5-0.174164999999965</f>
        <v>3195.427909</v>
      </c>
      <c r="S120" s="3">
        <f>3011.3+(662-530.5)+(1.535763+(0.33762-0.270555))+198-340.3-0.173552999999965</f>
        <v>3001.929275</v>
      </c>
      <c r="T120" s="3">
        <f>3021.5+(689.8-506.4)+(3.08193+(0.703596-0.516528))+198-353.4-0.360468000000056</f>
        <v>3052.4085300000002</v>
      </c>
      <c r="U120" s="3">
        <f>3022.6+(550.5-474.2)+(3.083052+(0.56151-0.483684))+198-322.5-0.328950000000051</f>
        <v>2977.2319280000002</v>
      </c>
      <c r="V120" s="3">
        <f>3028.3+(634-433.9)+(1.544433+(0.32334-0.221289))+198-378.4-0.192983999999962</f>
        <v>3049.4535000000001</v>
      </c>
      <c r="W120" s="3">
        <f>3043+(580.7-323.6)+(0+(0-0))+33-326.6-0</f>
        <v>3006.5</v>
      </c>
      <c r="X120" s="3">
        <f>3119.7+(634.2-448)+(-4.773141+(-0.970326--0.68544))+0-378.7--0.579411000000022</f>
        <v>2922.7213839999999</v>
      </c>
      <c r="Y120" s="3">
        <f>3100.5+(645.5-567.8)+(-1.581255+(-0.329205--0.289578))+0-309.3--0.157742999999969</f>
        <v>2867.4368609999992</v>
      </c>
      <c r="Z120" s="3">
        <f>3168.8+(690.7-568.4)+(1.616088+(0.352257-0.289884))+0-351.5-0.179264999999964</f>
        <v>2941.0991960000006</v>
      </c>
      <c r="AA120" s="3">
        <f>3169.3+(583.5-469)+(0+(0-0))+0-329.3-0</f>
        <v>2954.5</v>
      </c>
      <c r="AB120" s="3">
        <f>3133.6+(589-591.4)+(-6.392544+(-1.20156--1.206456))+0-364.1--0.742763999999984</f>
        <v>2761.4551160000001</v>
      </c>
      <c r="AC120" s="3">
        <f>3150.5+(708.1-799.8)+(-3.21351+(-0.722262--0.815796))+0-371.4--0.378828000000059</f>
        <v>2684.658852</v>
      </c>
      <c r="AD120">
        <f t="shared" si="1"/>
        <v>65758.844663000011</v>
      </c>
      <c r="AE120" s="3">
        <f>3131+(664.3-446.2)+(0+(0-0))+0-372.5-0</f>
        <v>2976.6</v>
      </c>
    </row>
    <row r="121" spans="1:31" s="2" customFormat="1" x14ac:dyDescent="0.25">
      <c r="A121">
        <v>89</v>
      </c>
      <c r="B121">
        <v>4</v>
      </c>
      <c r="C121">
        <v>28</v>
      </c>
      <c r="D121">
        <v>3</v>
      </c>
      <c r="E121">
        <v>1</v>
      </c>
      <c r="F121" s="3">
        <f>3065.9+(926.2-995.9)+(-4.690827+(-1.417086--1.523727))+0-614.2--0.939726000000036</f>
        <v>2378.35554</v>
      </c>
      <c r="G121" s="3">
        <f>2980.3+(1272.7-1196.7)+(-3.039906+(-1.298154--1.220634))+0-675.4--0.688908000000108</f>
        <v>2378.4714820000004</v>
      </c>
      <c r="H121" s="3">
        <f>2993.5+(1194.1-1154)+(-6.10674+(-2.435964--2.35416))+0-634.9--1.29519599999997</f>
        <v>2393.8066519999998</v>
      </c>
      <c r="I121" s="3">
        <f>2949+(1033-1066.9)+(-4.51197+(-1.58049--1.632357))+0-635--0.971550000000037</f>
        <v>2276.6114470000002</v>
      </c>
      <c r="J121" s="3">
        <f>2906.8+(980.1-1027.1)+(-2.964936+(-0.999702--1.047642))+0-620.2--0.632604000000099</f>
        <v>2237.3156080000003</v>
      </c>
      <c r="K121" s="3">
        <f>2793.5+(917.1-911.5)+(-5.69874+(-1.870884--1.85946))+0-624.3--1.27357199999997</f>
        <v>2170.3634080000002</v>
      </c>
      <c r="L121" s="3">
        <f>2774.6+(888.5-890)+(-5.660184+(-1.81254--1.8156))+0-564.5--1.15157999999998</f>
        <v>2204.0944560000003</v>
      </c>
      <c r="M121" s="3">
        <f>2773.1+(840.3-762.6)+(-4.242843+(-1.285659--1.166778))+0-507.3--0.776169000000029</f>
        <v>2339.9144449999999</v>
      </c>
      <c r="N121" s="3">
        <f>2861.3+(875.2-599.7)+(1.459263+(0.446352-0.305847))+0-563-0.287129999999943</f>
        <v>2575.1126380000001</v>
      </c>
      <c r="O121" s="3">
        <f>3071.3+(790.8-628.2)+(1.566363+(0.403308-0.320382))+0-434.3-0.221492999999956</f>
        <v>2801.0277959999999</v>
      </c>
      <c r="P121" s="3">
        <f>3176.2+(733.9-501.8)+(0+(0-0))+0-439.2-0</f>
        <v>2969.1</v>
      </c>
      <c r="Q121" s="3">
        <f>3156.2+(675.9-327.5)+(1.609662+(0.344709-0.167025))+0-410.4-0.209303999999958</f>
        <v>3095.7780419999999</v>
      </c>
      <c r="R121" s="3">
        <f>3158.9+(637.6-369.1)+(-1.611039+(-0.325176--0.188241))+0-236--0.120359999999976</f>
        <v>3189.7723860000001</v>
      </c>
      <c r="S121" s="3">
        <f>3151.4+(462.9-421.8)+(-1.607214+(-0.236079--0.215118))+0-243--0.123929999999975</f>
        <v>2947.9957550000004</v>
      </c>
      <c r="T121" s="3">
        <f>3150.9+(622-454.8)+(3.213918+(0.63444-0.463896))+0-299.8-0.305796000000048</f>
        <v>3021.3786659999996</v>
      </c>
      <c r="U121" s="3">
        <f>3061.9+(737.1-526.1)+(1.561569+(0.375921-0.268311))+0-284.5-0.145094999999971</f>
        <v>2989.9240840000002</v>
      </c>
      <c r="V121" s="3">
        <f>3009.4+(754-516.9)+(-3.069588+(-0.76908--0.527238))+0-281.2--0.286824000000045</f>
        <v>2962.2753940000002</v>
      </c>
      <c r="W121" s="3">
        <f>2990.3+(517-320.3)+(-6.100212+(-1.05468--0.653412))+0-284.3--0.579971999999988</f>
        <v>2896.7784919999999</v>
      </c>
      <c r="X121" s="3">
        <f>2981+(514.9-356.3)+(-6.08124+(-1.050396--0.726852))+0-303.5--0.619139999999987</f>
        <v>2830.3143559999999</v>
      </c>
      <c r="Y121" s="3">
        <f>2910+(643.1-561.5)+(0+(0-0))+0-299.7-0</f>
        <v>2691.9</v>
      </c>
      <c r="Z121" s="3">
        <f>3040.7+(575.8-430.5)+(1.550757+(0.293658-0.219555))+0-317.4-0.161873999999968</f>
        <v>2870.0629859999999</v>
      </c>
      <c r="AA121" s="3">
        <f>3187.6+(422.6-306.2)+(-3.251352+(-0.431052--0.312324))+0-351.7--0.358734000000056</f>
        <v>2949.288654</v>
      </c>
      <c r="AB121" s="3">
        <f>3187.6+(398.8-492)+(-1.625676+(-0.203388--0.25092))+0-311.8--0.159017999999968</f>
        <v>2781.1808739999997</v>
      </c>
      <c r="AC121" s="3">
        <f>3193.2+(688.6-696.6)+(0+(0-0))+0-398.3-0</f>
        <v>2786.8999999999996</v>
      </c>
      <c r="AD121">
        <f t="shared" si="1"/>
        <v>64737.723160999994</v>
      </c>
      <c r="AE121" s="3">
        <f>3188+(449.2-308.7)+(0+(0-0))+0-385.1-0</f>
        <v>2943.4</v>
      </c>
    </row>
    <row r="122" spans="1:31" s="2" customFormat="1" x14ac:dyDescent="0.25">
      <c r="A122">
        <v>89</v>
      </c>
      <c r="B122">
        <v>4</v>
      </c>
      <c r="C122">
        <v>29</v>
      </c>
      <c r="D122">
        <v>4</v>
      </c>
      <c r="E122">
        <v>1</v>
      </c>
      <c r="F122" s="3">
        <f>3181.2+(953.2-978)+(-6.489648+(-1.944528--1.99512))+0-640.8--1.30723199999997</f>
        <v>2510.4681759999994</v>
      </c>
      <c r="G122" s="3">
        <f>3190.3+(1081.7-1082.7)+(-9.762318+(-3.310002--3.313062))+0-651.9--1.99481400000008</f>
        <v>2529.6355560000002</v>
      </c>
      <c r="H122" s="3">
        <f>3200+(700.7-1165.1)+(-4.896+(-1.072071--1.782603))+0-315.3--0.482409000000018</f>
        <v>2416.5969410000002</v>
      </c>
      <c r="I122" s="3">
        <f>3120.3+(828.8-1069.8)+(-4.774059+(-1.268064--1.636794))+0-458.3--0.701199000000027</f>
        <v>2417.2958699999999</v>
      </c>
      <c r="J122" s="3">
        <f>3088.7+(833.4-978.7)+(3.150474+(0.850068-0.998274))+0-596.5-0.608430000000095</f>
        <v>2349.2938379999996</v>
      </c>
      <c r="K122" s="3">
        <f>3091.2+(817.4-1009.5)+(-3.153024+(-0.833748--1.02969))+0-613.7--0.625974000000098</f>
        <v>2283.0688919999998</v>
      </c>
      <c r="L122" s="3">
        <f>2931.9+(850-947.9)+(-8.971614+(-2.601--2.900574))+0-636--1.94616000000007</f>
        <v>2191.27412</v>
      </c>
      <c r="M122" s="3">
        <f>2824.6+(910.9-804.2)+(1.440546+(0.464559-0.410142))+0-578-0.294779999999941</f>
        <v>2354.5001830000001</v>
      </c>
      <c r="N122" s="3">
        <f>2967.4+(968.1-626.4)+(1.513374+(0.493731-0.319464))+0-657.7-0.335426999999933</f>
        <v>2652.7522140000001</v>
      </c>
      <c r="O122" s="3">
        <f>2992.1+(1052.9-570.5)+(3.051942+(1.073958-0.58191))+0-641.8-0.654636000000102</f>
        <v>2835.5893539999997</v>
      </c>
      <c r="P122" s="3">
        <f>3071.3+(1017.7-380.5)+(3.132726+(1.038054-0.38811))+0-660.3-0.673506000000105</f>
        <v>3051.3091640000002</v>
      </c>
      <c r="Q122" s="3">
        <f>3052.5+(919.1-285.2)+(1.556775+(0.468741-0.145452))+0-539.6-0.275195999999945</f>
        <v>3148.4048680000001</v>
      </c>
      <c r="R122" s="3">
        <f>3084.9+(786-339.1)+(4.719897+(1.20258-0.518823))+0-342.5-0.52402500000002</f>
        <v>3194.1796290000002</v>
      </c>
      <c r="S122" s="3">
        <f>3098.3+(603.5-436.4)+(1.580133+(0.307785-0.222564))+0-333.9-0.170288999999966</f>
        <v>2932.9950650000001</v>
      </c>
      <c r="T122" s="3">
        <f>3096.8+(733.6-516.3)+(6.317472+(1.496544-1.053252))+0-300.9-0.613835999999987</f>
        <v>3019.3469280000004</v>
      </c>
      <c r="U122" s="3">
        <f>3090.3+(763-506.6)+(1.576053+(0.38913-0.258366))+0-326.5-0.166514999999967</f>
        <v>3021.7403020000002</v>
      </c>
      <c r="V122" s="3">
        <f>3071.8+(759-487.5)+(-1.566618+(-0.38709--0.248625))+0-345.4--0.176153999999965</f>
        <v>2996.371071</v>
      </c>
      <c r="W122" s="3">
        <f>3050+(541.4-354.8)+(-4.6665+(-0.828342--0.542844))+0-323.9--0.495567000000019</f>
        <v>2908.2435689999998</v>
      </c>
      <c r="X122" s="3">
        <f>3012.4+(500.2-467.8)+(-4.608972+(-0.765306--0.715734))+0-346.1--0.52953300000002</f>
        <v>2694.5709890000003</v>
      </c>
      <c r="Y122" s="3">
        <f>2907.1+(705.7-619.9)+(-4.447863+(-1.079721--0.948447))+0-357.7--0.547281000000021</f>
        <v>2631.1681440000002</v>
      </c>
      <c r="Z122" s="3">
        <f>3082.6+(627.3-452.7)+(0+(0-0))+0-356.7-0</f>
        <v>2900.5</v>
      </c>
      <c r="AA122" s="3">
        <f>3166.6+(509.9-316.3)+(-1.614966+(-0.260049--0.161313))+0-349.8--0.178397999999965</f>
        <v>3008.8646959999996</v>
      </c>
      <c r="AB122" s="3">
        <f>3187.1+(394.7-413.5)+(-3.250842+(-0.402594--0.42177))+0-366.9--0.374238000000058</f>
        <v>2798.5425719999994</v>
      </c>
      <c r="AC122" s="3">
        <f>3207.8+(590.6-742.7)+(3.271956+(0.602412-0.757554))+0-321.2-0.327624000000051</f>
        <v>2737.2891900000004</v>
      </c>
      <c r="AD122">
        <f t="shared" si="1"/>
        <v>65584.001330999992</v>
      </c>
      <c r="AE122" s="3">
        <f>3148+(561.5-314.7)+(0+(0-0))+0-384.7-0</f>
        <v>3010.1000000000004</v>
      </c>
    </row>
    <row r="123" spans="1:31" s="2" customFormat="1" x14ac:dyDescent="0.25">
      <c r="A123">
        <v>89</v>
      </c>
      <c r="B123">
        <v>4</v>
      </c>
      <c r="C123">
        <v>30</v>
      </c>
      <c r="D123">
        <v>5</v>
      </c>
      <c r="E123">
        <v>1</v>
      </c>
      <c r="F123" s="3">
        <f>3151+(950.2-947)+(0+(0-0))+0-592.9-0</f>
        <v>2561.2999999999997</v>
      </c>
      <c r="G123" s="3">
        <f>3047.2+(1112.2-1084.1)+(-1.554072+(-0.567222--0.552891))+0-616.8--0.314567999999937</f>
        <v>2457.2461649999996</v>
      </c>
      <c r="H123" s="3">
        <f>3057.7+(966.2-1069.1)+(1.559427+(0.492762-0.545241))+0-532.4-0.271523999999946</f>
        <v>2423.6354240000005</v>
      </c>
      <c r="I123" s="3">
        <f>3072.3+(981.9-982)+(-1.566873+(-0.500769--0.50082))+0-634.6--0.323645999999936</f>
        <v>2436.3568240000004</v>
      </c>
      <c r="J123" s="3">
        <f>3023.6+(893.7-987.9)+(-3.084072+(-0.911574--1.007658))+0-542.9--0.553758000000087</f>
        <v>2384.0657700000002</v>
      </c>
      <c r="K123" s="3">
        <f>2959.4+(961.5-1027.3)+(-1.509294+(-0.490365--0.523923))+0-571--0.291209999999942</f>
        <v>2321.4154740000004</v>
      </c>
      <c r="L123" s="3">
        <f>2854.2+(926.8-965.5)+(-1.455642+(-0.472668--0.492405))+0-538.4--0.274583999999945</f>
        <v>2275.9386789999999</v>
      </c>
      <c r="M123" s="3">
        <f>2786.8+(799.8-766.4)+(-1.421268+(-0.407898--0.390864))+0-431.4--0.220013999999956</f>
        <v>2387.5817120000002</v>
      </c>
      <c r="N123" s="3">
        <f>2880.6+(863.2-670.2)+(-1.469106+(-0.440232--0.341802))+0-498.8--0.254387999999949</f>
        <v>2573.4868519999995</v>
      </c>
      <c r="O123" s="3">
        <f>2961.5+(930.1-588.7)+(0+(0-0))+0-506.9-0</f>
        <v>2796</v>
      </c>
      <c r="P123" s="3">
        <f>2932+(976.3-473.1)+(-1.49532+(-0.497913--0.241281))+0-607--0.309569999999938</f>
        <v>2826.7576179999996</v>
      </c>
      <c r="Q123" s="3">
        <f>2914.8+(836.7-304.4)+(1.486548+(0.426717-0.155244))+0-489.6-0.24969599999995</f>
        <v>2959.0083250000007</v>
      </c>
      <c r="R123" s="3">
        <f>2900.4+(757.2-330)+(-1.479204+(-0.386172--0.1683))+34.7-321.5--0.163964999999967</f>
        <v>3039.2668890000004</v>
      </c>
      <c r="S123" s="3">
        <f>2960.6+(537-417.8)+(-1.509906+(-0.27387--0.213078))+104-299.1--0.15254099999997</f>
        <v>2883.2818429999998</v>
      </c>
      <c r="T123" s="3">
        <f>2963.8+(513.4-428.8)+(4.534614+(0.785502-0.656064))+104-246.6-0.377298000000014</f>
        <v>2910.0867540000004</v>
      </c>
      <c r="U123" s="3">
        <f>2947.9+(601.2-370.3)+(0+(0-0))+104-316.4-0</f>
        <v>2966.4</v>
      </c>
      <c r="V123" s="3">
        <f>2912.8+(602.9-365.4)+(-1.485528+(-0.307479--0.186354))+104-308.2--0.157181999999969</f>
        <v>2944.6505290000005</v>
      </c>
      <c r="W123" s="3">
        <f>2907.5+(520.3-253.3)+(-4.448475+(-0.796059--0.387549))+104-353.9--0.54146700000002</f>
        <v>2920.284482</v>
      </c>
      <c r="X123" s="3">
        <f>2890.5+(677-396.9)+(-4.422465+(-1.03581--0.607257))+0-362.6--0.554778000000021</f>
        <v>2803.7037600000003</v>
      </c>
      <c r="Y123" s="3">
        <f>2795.7+(771.2-567.5)+(1.425807+(0.393312-0.289425))+0-328.1-0.167330999999967</f>
        <v>2672.6623629999995</v>
      </c>
      <c r="Z123" s="3">
        <f>2933.9+(677.8-495)+(2.992578+(0.691356-0.5049))+0-294-0.299880000000047</f>
        <v>2825.5791539999996</v>
      </c>
      <c r="AA123" s="3">
        <f>3019.4+(528.3-266.4)+(-1.539894+(-0.269433--0.135864))+0-337.3--0.172022999999966</f>
        <v>2942.49856</v>
      </c>
      <c r="AB123" s="3">
        <f>3030.3+(503.1-382.4)+(-1.545453+(-0.256581--0.195024))+0-382.4--0.195023999999961</f>
        <v>2767.1880139999998</v>
      </c>
      <c r="AC123" s="3">
        <f>3045.7+(639.4-622.9)+(-3.106614+(-0.652188--0.635358))+0-336.9--0.343638000000054</f>
        <v>2722.5201939999997</v>
      </c>
      <c r="AD123">
        <f t="shared" si="1"/>
        <v>64800.915384999986</v>
      </c>
      <c r="AE123" s="3">
        <f>3020+(590.4-247.9)+(0+(0-0))+0-312.5-0</f>
        <v>3050</v>
      </c>
    </row>
    <row r="124" spans="1:31" s="2" customFormat="1" x14ac:dyDescent="0.25">
      <c r="A124">
        <v>89</v>
      </c>
      <c r="B124">
        <v>4</v>
      </c>
      <c r="C124">
        <v>31</v>
      </c>
      <c r="D124">
        <v>6</v>
      </c>
      <c r="E124">
        <v>1</v>
      </c>
      <c r="F124" s="3">
        <f>3016.1+(900.2-862.8)+(-3.076422+(-0.918204--0.880056))+0-573.6--0.585072000000092</f>
        <v>2477.3705020000002</v>
      </c>
      <c r="G124" s="3">
        <f>3025.9+(1058-1110.6)+(3.086418+(1.07916-1.132812))+0-595.1-0.607002000000095</f>
        <v>2380.6257639999999</v>
      </c>
      <c r="H124" s="3">
        <f>3047.9+(1111-1166.1)+(-6.217716+(-2.26644--2.378844))+0-560.2--1.14280799999998</f>
        <v>2427.6374959999998</v>
      </c>
      <c r="I124" s="3">
        <f>3067.9+(1015.4-1083)+(-7.823145+(-2.58927--2.76165))+0-598--1.52489999999991</f>
        <v>2396.1741350000002</v>
      </c>
      <c r="J124" s="3">
        <f>3070.9+(976-1047.2)+(1.566159+(0.49776-0.534072))+0-613.5-0.312884999999938</f>
        <v>2387.4169619999998</v>
      </c>
      <c r="K124" s="3">
        <f>3040.3+(976.6-1151.3)+(-7.752765+(-2.49033--2.935815))+0-560.5--1.42927499999992</f>
        <v>2299.2219950000003</v>
      </c>
      <c r="L124" s="3">
        <f>2917.6+(1025.8-1214.4)+(-2.975952+(-1.046316--1.238688))+0-615.3--0.627606000000098</f>
        <v>2111.5440260000005</v>
      </c>
      <c r="M124" s="3">
        <f>2925.9+(995-1021.8)+(-1.492209+(-0.50745--0.521118))+0-579.4--0.295493999999941</f>
        <v>2318.5169530000003</v>
      </c>
      <c r="N124" s="3">
        <f>2954.4+(944.7-841.5)+(1.506744+(0.481797-0.429165))+0-503-0.256529999999949</f>
        <v>2555.9028460000004</v>
      </c>
      <c r="O124" s="3">
        <f>2987.9+(998.2-756.2)+(0+(0-0))+0-499.3-0</f>
        <v>2730.6</v>
      </c>
      <c r="P124" s="3">
        <f>3010.5+(921.8-480.4)+(0+(0-0))+0-603.1-0</f>
        <v>2848.8</v>
      </c>
      <c r="Q124" s="3">
        <f>3019.5+(775.5-339.3)+(0+(0-0))+0-601.5-0</f>
        <v>2854.2</v>
      </c>
      <c r="R124" s="3">
        <f>3037.1+(500.6-421.4)+(1.548921+(0.255306-0.214914))+0-336.8-0.171767999999966</f>
        <v>2780.9175449999998</v>
      </c>
      <c r="S124" s="3">
        <f>2983.2+(483.7-465.1)+(1.521432+(0.246687-0.237201))+0-321.5-0.163964999999967</f>
        <v>2681.6669529999995</v>
      </c>
      <c r="T124" s="3">
        <f>2995.2+(653-499.2)+(3.055104+(0.66606-0.509184))+0-345-0.351900000000055</f>
        <v>2806.8600799999999</v>
      </c>
      <c r="U124" s="3">
        <f>3011.6+(580.8-473.9)+(0+(0-0))+0-320.8-0</f>
        <v>2797.7</v>
      </c>
      <c r="V124" s="3">
        <f>3024.9+(482.6-467)+(0+(0-0))+0-249.7-0</f>
        <v>2790.8</v>
      </c>
      <c r="W124" s="3">
        <f>3034.7+(556.5-599.4)+(-3.095394+(-0.56763--0.611388))+0-292--0.297840000000047</f>
        <v>2697.0462039999998</v>
      </c>
      <c r="X124" s="3">
        <f>2990.7+(834.1-884.5)+(-9.151542+(-2.552346--2.70657))+0-358.1--1.09578600000004</f>
        <v>2574.2984679999995</v>
      </c>
      <c r="Y124" s="3">
        <f>2963+(837.3-931.5)+(-1.51113+(-0.427023--0.475065))+0-366.1--0.186710999999963</f>
        <v>2501.4236230000001</v>
      </c>
      <c r="Z124" s="3">
        <f>3138.5+(761.9-784)+(-6.40254+(-1.554276--1.59936))+0-359.8--0.733991999999984</f>
        <v>2750.9765359999997</v>
      </c>
      <c r="AA124" s="3">
        <f>3193+(669-646.3)+(-6.51372+(-1.36476--1.318452))+0-377.7--0.770507999999984</f>
        <v>2832.2104800000002</v>
      </c>
      <c r="AB124" s="3">
        <f>3207.6+(627.2-754.8)+(0+(0-0))+0-339.5-0</f>
        <v>2740.5</v>
      </c>
      <c r="AC124" s="3">
        <f>3046.2+(719.3-754.5)+(-3.107124+(-0.733686--0.76959))+0-332.5--0.339150000000053</f>
        <v>2675.7679300000004</v>
      </c>
      <c r="AD124">
        <f t="shared" si="1"/>
        <v>62418.178498000001</v>
      </c>
      <c r="AE124" s="3">
        <f>3168+(637.2-555.3)+(0+(0-0))+0-423.7-0</f>
        <v>2826.2000000000003</v>
      </c>
    </row>
    <row r="125" spans="1:31" s="2" customFormat="1" x14ac:dyDescent="0.25">
      <c r="A125">
        <v>89</v>
      </c>
      <c r="B125">
        <v>5</v>
      </c>
      <c r="C125">
        <v>1</v>
      </c>
      <c r="D125">
        <v>7</v>
      </c>
      <c r="E125">
        <v>1</v>
      </c>
      <c r="F125" s="3">
        <f>2799.3+(975.7-779.5)+(-1.427643+(-0.497607--0.397545))+0-548.3--0.279632999999944</f>
        <v>2445.9519280000004</v>
      </c>
      <c r="G125" s="3">
        <f>2752.3+(1080.4-873)+(-8.422038+(-3.306024--2.67138))+0-601.3--1.83997800000007</f>
        <v>2351.1832960000002</v>
      </c>
      <c r="H125" s="3">
        <f>2781.6+(1113-994.4)+(-7.09308+(-2.83815--2.53572))+0-561.2--1.43105999999992</f>
        <v>2333.0355499999996</v>
      </c>
      <c r="I125" s="3">
        <f>2784.8+(1067-1071.3)+(1.420248+(0.54417-0.546363))+0-480.7-0.245156999999951</f>
        <v>2300.9728980000004</v>
      </c>
      <c r="J125" s="3">
        <f>2800.3+(1022.1-998.1)+(-1.428153+(-0.521271--0.509031))+0-529.7--0.270146999999946</f>
        <v>2293.4297540000002</v>
      </c>
      <c r="K125" s="3">
        <f>2685.4+(1103.8-994.6)+(-2.739108+(-1.125876--1.014492))+0-573.2--0.584664000000091</f>
        <v>2219.134172</v>
      </c>
      <c r="L125" s="3">
        <f>2405.6+(1131.1-1098.8)+(-1.226856+(-0.576861--0.560388))+0-489.3--0.24954299999995</f>
        <v>1947.6062139999997</v>
      </c>
      <c r="M125" s="3">
        <f>2303.3+(1205.3-929.8)+(-1.174683+(-0.614703--0.474198))+0-593.4--0.30263399999994</f>
        <v>1984.387446</v>
      </c>
      <c r="N125" s="3">
        <f>2300.1+(1222.6-833.5)+(0+(0-0))+0-531.6-0</f>
        <v>2157.6</v>
      </c>
      <c r="O125" s="3">
        <f>2287.1+(1282-677.6)+(1.166421+(0.65382-0.345576))+0-616.4-0.314363999999937</f>
        <v>2276.2603010000003</v>
      </c>
      <c r="P125" s="3">
        <f>2623+(1113.5-640.6)+(-2.67546+(-1.13577--0.653412))+0-639.9--0.652698000000102</f>
        <v>2453.4948800000002</v>
      </c>
      <c r="Q125" s="3">
        <f>2707.1+(1091.5-749.1)+(1.380621+(0.556665-0.382041))+0-628.7-0.320636999999936</f>
        <v>2422.0346079999999</v>
      </c>
      <c r="R125" s="3">
        <f>2692.9+(1146.9-900.8)+(-2.746758+(-1.169838--0.918816))+0-550.7--0.561714000000088</f>
        <v>2385.8639339999995</v>
      </c>
      <c r="S125" s="3">
        <f>2661.6+(1169.5-1067.6)+(-1.357416+(-0.596445--0.544476))+0-369.8--0.188597999999962</f>
        <v>2392.4792130000001</v>
      </c>
      <c r="T125" s="3">
        <f>2627+(1257.2-1164.3)+(-2.67954+(-1.282344--1.187586))+0-341.4--0.348228000000054</f>
        <v>2376.07393</v>
      </c>
      <c r="U125" s="3">
        <f>2592.2+(1299.8-1185.1)+(0+(0-0))+0-339.9-0</f>
        <v>2366.9999999999995</v>
      </c>
      <c r="V125" s="3">
        <f>2578.2+(1328.9-1107.6)+(0+(0-0))+0-401.6-0</f>
        <v>2397.9</v>
      </c>
      <c r="W125" s="3">
        <f>2535.5+(1335.1-952.6)+(-5.17242+(-2.723604--1.943304))+0-538.5--1.09853999999998</f>
        <v>2374.6458199999997</v>
      </c>
      <c r="X125" s="3">
        <f>2454.9+(1354.5-886)+(-2.503998+(-1.38159--0.90372))+0-530.2--0.540804000000085</f>
        <v>2390.7589360000002</v>
      </c>
      <c r="Y125" s="3">
        <f>2183.8+(1393.2-637.7)+(0+(0-0))+0-626.2-0</f>
        <v>2313.1000000000004</v>
      </c>
      <c r="Z125" s="3">
        <f>2389.3+(1232.7-673.8)+(-2.437086+(-1.257354--0.687276))+0-487.5--0.497250000000078</f>
        <v>2458.1900860000001</v>
      </c>
      <c r="AA125" s="3">
        <f>2738.3+(1214.7-787.6)+(0+(0-0))+0-586.8-0</f>
        <v>2578.6000000000004</v>
      </c>
      <c r="AB125" s="3">
        <f>2772.5+(1194.3-948)+(-2.82795+(-1.218186--0.96696))+0-439.3--0.44808600000007</f>
        <v>2576.8689099999997</v>
      </c>
      <c r="AC125" s="3">
        <f>2785+(1193.4-957)+(-1.42035+(-0.608634--0.48807))+0-554.5--0.282794999999944</f>
        <v>2465.641881</v>
      </c>
      <c r="AD125">
        <f t="shared" si="1"/>
        <v>56262.213756999998</v>
      </c>
      <c r="AE125" s="3">
        <f>2725+(1241.2-794.6)+(0+(0-0))+0-583.4-0</f>
        <v>2588.1999999999998</v>
      </c>
    </row>
    <row r="126" spans="1:31" s="2" customFormat="1" x14ac:dyDescent="0.25">
      <c r="A126">
        <v>89</v>
      </c>
      <c r="B126">
        <v>5</v>
      </c>
      <c r="C126">
        <v>2</v>
      </c>
      <c r="D126">
        <v>1</v>
      </c>
      <c r="E126">
        <v>1</v>
      </c>
      <c r="F126" s="3">
        <f>2776.8+(1312.9-1022.2)+(-1.416168+(-0.669579--0.521322))+0-599.1--0.305540999999939</f>
        <v>2467.1411159999998</v>
      </c>
      <c r="G126" s="3">
        <f>2772.9+(1270.3-1136)+(1.414179+(0.647853-0.57936))+0-569.3-0.290342999999942</f>
        <v>2339.0923289999996</v>
      </c>
      <c r="H126" s="3">
        <f>2784.8+(1198.2-1177.9)+(1.420248+(0.611082-0.600729))+0-528.4-0.269483999999946</f>
        <v>2277.8611170000004</v>
      </c>
      <c r="I126" s="3">
        <f>2756.1+(1186.5-1105)+(-2.811222+(-1.21023--1.1271))+0-629.6--0.6421920000001</f>
        <v>2205.7478400000005</v>
      </c>
      <c r="J126" s="3">
        <f>2670.3+(1141.9-1114.5)+(0+(0-0))+0-488.2-0</f>
        <v>2209.5000000000005</v>
      </c>
      <c r="K126" s="3">
        <f>2640.5+(1172.5-1071.2)+(-2.69331+(-1.19595--1.092624))+0-596.7--0.608634000000095</f>
        <v>2142.9119980000005</v>
      </c>
      <c r="L126" s="3">
        <f>2430.8+(1149.1-980.7)+(0+(0-0))+0-566.7-0</f>
        <v>2032.4999999999998</v>
      </c>
      <c r="M126" s="3">
        <f>2503+(1130-823.8)+(2.55306+(1.1526-0.840276))+0-566.8-0.57813600000009</f>
        <v>2244.6872480000002</v>
      </c>
      <c r="N126" s="3">
        <f>2662.7+(1114.3-736.4)+(-2.715954+(-1.136586--0.751128))+0-467.1--0.476442000000075</f>
        <v>2570.8750300000002</v>
      </c>
      <c r="O126" s="3">
        <f>2692.4+(1218.2-617.8)+(0+(0-0))+0-602.6-0</f>
        <v>2690.2000000000003</v>
      </c>
      <c r="P126" s="3">
        <f>2823.8+(1129.3-563.6)+(1.440138+(0.575943-0.287436))+0-539.7-0.275246999999945</f>
        <v>2851.2533980000003</v>
      </c>
      <c r="Q126" s="3">
        <f>2909.1+(951.7-563)+(0+(0-0))+112.5-434.3-0</f>
        <v>2976</v>
      </c>
      <c r="R126" s="3">
        <f>2990.1+(824.9-628.7)+(1.524951+(0.420699-0.320637))+150-319.3-0.162842999999968</f>
        <v>3018.4621699999993</v>
      </c>
      <c r="S126" s="3">
        <f>3003+(735.2-713)+(1.53153+(0.374952-0.36363))+150-364.7-0.185996999999963</f>
        <v>2811.856855</v>
      </c>
      <c r="T126" s="3">
        <f>3024.8+(641.6-564.1)+(1.542648+(0.327216-0.287691))+150-384.6-0.196145999999961</f>
        <v>2869.0860270000003</v>
      </c>
      <c r="U126" s="3">
        <f>2984.4+(545-404.4)+(1.522044+(0.27795-0.206244))+150-335.4-0.171053999999966</f>
        <v>2941.022696</v>
      </c>
      <c r="V126" s="3">
        <f>3069.5+(510.4-467.3)+(-6.26178+(-1.041216--0.953292))+150-346.9--0.707675999999985</f>
        <v>2910.0579719999996</v>
      </c>
      <c r="W126" s="3">
        <f>3144.5+(588.3-643.1)+(-3.20739+(-0.600066--0.655962))+87.5-361.6--0.368832000000058</f>
        <v>2812.8173379999998</v>
      </c>
      <c r="X126" s="3">
        <f>3131.9+(912-817.1)+(-6.389076+(-1.86048--1.666884))+0-467.4--0.95349599999998</f>
        <v>2753.7708240000002</v>
      </c>
      <c r="Y126" s="3">
        <f>2941+(989.7-673.3)+(-2.99982+(-1.009494--0.686766))+0-537--0.547740000000086</f>
        <v>2717.625192</v>
      </c>
      <c r="Z126" s="3">
        <f>3113.1+(861.7-676.3)+(-3.175362+(-0.878934--0.689826))+0-443.3--0.452166000000071</f>
        <v>2852.2876959999999</v>
      </c>
      <c r="AA126" s="3">
        <f>3249.6+(720.2-692.2)+(-1.657296+(-0.367302--0.353022))+0-366.4--0.186863999999963</f>
        <v>2909.7152879999994</v>
      </c>
      <c r="AB126" s="3">
        <f>3266.4+(748.6-813.2)+(0+(0-0))+0-362.8-0</f>
        <v>2839</v>
      </c>
      <c r="AC126" s="3">
        <f>3280.5+(807.4-975.7)+(-1.673055+(-0.411774--0.497607))+0-349--0.177989999999965</f>
        <v>2761.7907679999998</v>
      </c>
      <c r="AD126">
        <f t="shared" si="1"/>
        <v>63205.262901999995</v>
      </c>
      <c r="AE126" s="3">
        <f>3218+(763.1-630.4)+(0+(0-0))+0-381.4-0</f>
        <v>2969.2999999999997</v>
      </c>
    </row>
    <row r="127" spans="1:31" s="2" customFormat="1" x14ac:dyDescent="0.25">
      <c r="A127">
        <v>89</v>
      </c>
      <c r="B127">
        <v>5</v>
      </c>
      <c r="C127">
        <v>3</v>
      </c>
      <c r="D127">
        <v>2</v>
      </c>
      <c r="E127">
        <v>1</v>
      </c>
      <c r="F127" s="3">
        <f>3281.4+(1092.9-1220.2)+(-5.020542+(-1.672137--1.866906))+0-604.5--0.924885000000035</f>
        <v>2545.6991120000002</v>
      </c>
      <c r="G127" s="3">
        <f>3288.6+(1075-1270.7)+(-6.708744+(-2.193--2.592228))+0-622.4--1.26969599999997</f>
        <v>2465.4601799999996</v>
      </c>
      <c r="H127" s="3">
        <f>3286.2+(955.3-1210.2)+(-3.351924+(-0.974406--1.234404))+0-628.4--0.6409680000001</f>
        <v>2400.4490419999997</v>
      </c>
      <c r="I127" s="3">
        <f>3174.5+(975.5-1091.6)+(0+(0-0))+0-641.1-0</f>
        <v>2417.3000000000002</v>
      </c>
      <c r="J127" s="3">
        <f>3009.4+(884.7-1088.4)+(0+(0-0))+0-482-0</f>
        <v>2323.6999999999998</v>
      </c>
      <c r="K127" s="3">
        <f>2911.1+(779.7-1213.3)+(-4.453983+(-1.192941--1.856349))+0-228.4--0.349452000000013</f>
        <v>2245.6588769999998</v>
      </c>
      <c r="L127" s="3">
        <f>2651+(833.2-987.6)+(1.35201+(0.424932-0.503676))+0-113.8-0.0580379999999885</f>
        <v>2384.0152279999998</v>
      </c>
      <c r="M127" s="3">
        <f>2645+(732.3-853.5)+(2.6979+(0.746946-0.87057))+0-127.8-0.13035600000002</f>
        <v>2398.4439199999997</v>
      </c>
      <c r="N127" s="3">
        <f>2840+(732.3-867.5)+(2.8968+(0.746946-0.88485))+0-127.8-0.13035600000002</f>
        <v>2579.6285399999997</v>
      </c>
      <c r="O127" s="3">
        <f>2814+(682.7-811.4)+(2.87028+(0.696354-0.827628))+0-92.9-0.0947580000000148</f>
        <v>2595.0442479999997</v>
      </c>
      <c r="P127" s="3">
        <f>2917+(724.7-751.3)+(4.46301+(1.108791-1.149489))+0-110.1-0.168453000000006</f>
        <v>2784.5538590000001</v>
      </c>
      <c r="Q127" s="3">
        <f>2907.6+(760.8-661.2)+(0+(0-0))+0-111.8-0</f>
        <v>2895.3999999999996</v>
      </c>
      <c r="R127" s="3">
        <f>2905.9+(718.2-521.9)+(-2.964018+(-0.732564--0.532338))+0-140.4--0.143208000000022</f>
        <v>2958.7789640000001</v>
      </c>
      <c r="S127" s="3">
        <f>2943+(602-643.1)+(-1.50093+(-0.30702--0.327981))+0-91.6--0.0467159999999907</f>
        <v>2808.866747</v>
      </c>
      <c r="T127" s="3">
        <f>2987.6+(514.3-540.7)+(1.523676+(0.262293-0.275757))+0-123.9-0.0631889999999874</f>
        <v>2838.7470229999999</v>
      </c>
      <c r="U127" s="3">
        <f>3020.4+(492.9-493.3)+(3.080808+(0.502758-0.503166))+0-128.8-0.131376000000021</f>
        <v>2894.1490239999998</v>
      </c>
      <c r="V127" s="3">
        <f>3029.9+(507-542.8)+(-1.545249+(-0.25857--0.276828))+0-104.4--0.0532439999999894</f>
        <v>2888.2262530000003</v>
      </c>
      <c r="W127" s="3">
        <f>3024.9+(631.1-759.5)+(-7.713495+(-1.609305--1.936725))+0-123.1--0.313904999999982</f>
        <v>2766.3278300000002</v>
      </c>
      <c r="X127" s="3">
        <f>2972.4+(801.7-850.9)+(-7.57962+(-2.044335--2.169795))+0-142--0.362099999999979</f>
        <v>2774.1079400000003</v>
      </c>
      <c r="Y127" s="3">
        <f>2919.7+(680-693.9)+(-2.978094+(-0.6936--0.707778))+0-267.3--0.272646000000043</f>
        <v>2635.8087299999993</v>
      </c>
      <c r="Z127" s="3">
        <f>3007.6+(833.6-711.3)+(-4.601628+(-1.275408--1.088289))+0-360.4--0.551412000000021</f>
        <v>2765.2626649999997</v>
      </c>
      <c r="AA127" s="3">
        <f>3138.1+(792.9-481.8)+(-3.200862+(-0.808758--0.491436))+0-522.2--0.532644000000083</f>
        <v>2924.0144599999994</v>
      </c>
      <c r="AB127" s="3">
        <f>3159.7+(723.2-644)+(-1.611447+(-0.368832--0.32844))+0-437.5--0.223124999999956</f>
        <v>2799.9712859999995</v>
      </c>
      <c r="AC127" s="3">
        <f>3167.8+(768.4-702.3)+(0+(0-0))+0-495.2-0</f>
        <v>2738.7000000000003</v>
      </c>
      <c r="AD127">
        <f t="shared" si="1"/>
        <v>63828.313927999996</v>
      </c>
      <c r="AE127" s="3">
        <f>3148+(857.5-434.2)+(0+(0-0))+0-610.9-0</f>
        <v>2960.4</v>
      </c>
    </row>
    <row r="128" spans="1:31" s="2" customFormat="1" x14ac:dyDescent="0.25">
      <c r="A128">
        <v>89</v>
      </c>
      <c r="B128">
        <v>5</v>
      </c>
      <c r="C128">
        <v>4</v>
      </c>
      <c r="D128">
        <v>3</v>
      </c>
      <c r="E128">
        <v>1</v>
      </c>
      <c r="F128" s="3">
        <f>3142.2+(1041.8-1013.5)+(1.602522+(0.531318-0.516885))+0-598.3-0.305132999999939</f>
        <v>2573.5118220000004</v>
      </c>
      <c r="G128" s="3">
        <f>3153.9+(1073.4-1260.1)+(1.608489+(0.547434-0.642651))+0-505.1-0.257600999999949</f>
        <v>2463.3556710000007</v>
      </c>
      <c r="H128" s="3">
        <f>3114.1+(951.1-1111.7)+(-1.588191+(-0.485061--0.566967))+0-594.9--0.30339899999994</f>
        <v>2357.3971139999999</v>
      </c>
      <c r="I128" s="3">
        <f>3032.7+(951.8-1141.7)+(-4.640031+(-1.456254--1.746801))+0-562.8--0.861084000000032</f>
        <v>2276.5115999999998</v>
      </c>
      <c r="J128" s="3">
        <f>3049.6+(944.7-1134.3)+(-4.665888+(-1.445391--1.735479))+0-610.9--0.934677000000035</f>
        <v>2245.6588770000003</v>
      </c>
      <c r="K128" s="3">
        <f>2953.6+(959.3-1164.7)+(-3.012672+(-0.978486--1.187994))+0-513.5--0.523770000000082</f>
        <v>2232.4206060000001</v>
      </c>
      <c r="L128" s="3">
        <f>2742.2+(955.5-1007.5)+(-4.195566+(-1.461915--1.541475))+0-540.7--0.827271000000031</f>
        <v>2146.2112649999999</v>
      </c>
      <c r="M128" s="3">
        <f>2730.7+(950.9-833.5)+(0+(0-0))+0-559.8-0</f>
        <v>2288.3000000000002</v>
      </c>
      <c r="N128" s="3">
        <f>2819.8+(1032.7-722.1)+(1.438098+(0.526677-0.368271))+0-609.4-0.310793999999938</f>
        <v>2522.2857100000001</v>
      </c>
      <c r="O128" s="3">
        <f>3017+(1015-709.5)+(0+(0-0))+0-691.9-0</f>
        <v>2630.6</v>
      </c>
      <c r="P128" s="3">
        <f>3067.7+(895.7-665.4)+(0+(0-0))+0-671-0</f>
        <v>2627</v>
      </c>
      <c r="Q128" s="3">
        <f>3100.4+(860.3-502.5)+(0+(0-0))+0-595.5-0</f>
        <v>2862.7</v>
      </c>
      <c r="R128" s="3">
        <f>3079.9+(730.1-587.6)+(0+(0-0))+0-318.2-0</f>
        <v>2904.2000000000003</v>
      </c>
      <c r="S128" s="3">
        <f>3055.5+(551.8-487.6)+(0+(0-0))+0-342.9-0</f>
        <v>2776.7999999999997</v>
      </c>
      <c r="T128" s="3">
        <f>3091.5+(448.4-403.6)+(1.576665+(0.228684-0.205836))+0-326-0.166259999999967</f>
        <v>2811.7332530000003</v>
      </c>
      <c r="U128" s="3">
        <f>3129.9+(373.9-348)+(-1.596249+(-0.190689--0.17748))+0-293--0.14942999999997</f>
        <v>2861.3399720000002</v>
      </c>
      <c r="V128" s="3">
        <f>3105.9+(387.4-321.5)+(-3.168018+(-0.395148--0.32793))+0-342.2--0.349044000000055</f>
        <v>2826.7138080000004</v>
      </c>
      <c r="W128" s="3">
        <f>3086.7+(505.7-547.3)+(-3.148434+(-0.515814--0.558246))+0-324.1--0.330582000000052</f>
        <v>2718.2245800000001</v>
      </c>
      <c r="X128" s="3">
        <f>3023.2+(742.2-866.4)+(-6.167328+(-1.514088--1.767456))+0-350.6--0.715223999999985</f>
        <v>2543.2012640000003</v>
      </c>
      <c r="Y128" s="3">
        <f>2943.4+(636.2-732.8)+(-1.501134+(-0.324462--0.373728))+0-347.8--0.177377999999965</f>
        <v>2497.7255099999998</v>
      </c>
      <c r="Z128" s="3">
        <f>3071.6+(522.4-632.5)+(-1.566516+(-0.266424--0.322575))+0-346.8--0.176867999999965</f>
        <v>2613.3665029999997</v>
      </c>
      <c r="AA128" s="3">
        <f>3161.1+(601.5-776.8)+(-3.224322+(-0.61353--0.792336))+0-342--0.348840000000055</f>
        <v>2641.1033240000002</v>
      </c>
      <c r="AB128" s="3">
        <f>3182.5+(770.3-983.8)+(-1.623075+(-0.392853--0.501738))+0-340.8--0.173807999999965</f>
        <v>2626.859618</v>
      </c>
      <c r="AC128" s="3">
        <f>3177.2+(850.9-1047)+(0+(0-0))+0-378.8-0</f>
        <v>2602.2999999999997</v>
      </c>
      <c r="AD128">
        <f t="shared" si="1"/>
        <v>61649.520497000012</v>
      </c>
      <c r="AE128" s="3">
        <f>3159+(530.4-735.8)+(0+(0-0))+0-336-0</f>
        <v>2617.6</v>
      </c>
    </row>
    <row r="129" spans="1:31" s="2" customFormat="1" x14ac:dyDescent="0.25">
      <c r="A129">
        <v>89</v>
      </c>
      <c r="B129">
        <v>5</v>
      </c>
      <c r="C129">
        <v>5</v>
      </c>
      <c r="D129">
        <v>4</v>
      </c>
      <c r="E129">
        <v>3</v>
      </c>
      <c r="F129" s="3">
        <f>3109.3+(988.6-1100.1)+(-3.171486+(-1.008372--1.122102))+0-463.6--0.472872000000074</f>
        <v>2531.6151160000004</v>
      </c>
      <c r="G129" s="3">
        <f>3106.1+(1162.9-1208.7)+(-7.920555+(-2.965395--3.082185))+0-684.4--1.7452199999999</f>
        <v>2369.8414549999998</v>
      </c>
      <c r="H129" s="3">
        <f>3121+(1118.4-1252.5)+(-3.18342+(-1.140768--1.27755))+0-621.1--0.633522000000099</f>
        <v>2363.3868840000005</v>
      </c>
      <c r="I129" s="3">
        <f>3131+(1019-1213.2)+(0+(0-0))+0-635.2-0</f>
        <v>2301.6000000000004</v>
      </c>
      <c r="J129" s="3">
        <f>2941.6+(970-1066.9)+(3.000432+(0.9894-1.088238))+0-673.2-0.686664000000107</f>
        <v>2173.7149299999996</v>
      </c>
      <c r="K129" s="3">
        <f>2756.7+(1014.7-1052)+(-4.217751+(-1.552491--1.60956))+0-626.8--0.959004000000036</f>
        <v>2089.3983219999996</v>
      </c>
      <c r="L129" s="3">
        <f>2688.2+(1142.9-1066.5)+(-4.112946+(-1.748637--1.631745))+0-682.3--1.04391900000004</f>
        <v>2079.1140810000002</v>
      </c>
      <c r="M129" s="3">
        <f>2624+(1075-1047.9)+(2.67648+(1.0965-1.068858))+0-567.9-0.579258000000091</f>
        <v>2085.3248639999997</v>
      </c>
      <c r="N129" s="3">
        <f>2860.4+(1058-1098.7)+(-2.917608+(-1.07916--1.120674))+0-601.3--0.613326000000096</f>
        <v>2216.1372319999996</v>
      </c>
      <c r="O129" s="3">
        <f>2892.5+(986.7-1006.8)+(1.475175+(0.503217-0.513468))+0-584.4-0.298043999999941</f>
        <v>2289.1668799999998</v>
      </c>
      <c r="P129" s="3">
        <f>2935.3+(963.7-1026.5)+(4.491009+(1.474461-1.570545))+0-631.5-0.966195000000036</f>
        <v>2244.4287300000001</v>
      </c>
      <c r="Q129" s="3">
        <f>3052.9+(1021.4-1157.2)+(1.556979+(0.520914-0.590172))+0-612.6-0.312425999999938</f>
        <v>2305.675295</v>
      </c>
      <c r="R129" s="3">
        <f>3065+(1054.1-1308.3)+(0+(0-0))+0-349.5-0</f>
        <v>2461.3000000000002</v>
      </c>
      <c r="S129" s="3">
        <f>3055+(949.6-1211.8)+(1.55805+(0.484296-0.618018))+0-342.7-0.174776999999965</f>
        <v>2451.3495510000002</v>
      </c>
      <c r="T129" s="3">
        <f>3041.1+(856.9-1107.8)+(1.550961+(0.437019-0.564978))+0-345.8-0.176357999999965</f>
        <v>2445.6466439999995</v>
      </c>
      <c r="U129" s="3">
        <f>3028.5+(833.6-1078.6)+(-3.08907+(-0.850272--1.100172))+0-306.2--0.312324000000049</f>
        <v>2474.773154</v>
      </c>
      <c r="V129" s="3">
        <f>3015.4+(778.1-1006.9)+(-3.075708+(-0.793662--1.027038))+0-304.3--0.310386000000049</f>
        <v>2479.7680540000001</v>
      </c>
      <c r="W129" s="3">
        <f>3008.8+(857.3-1129)+(-7.67244+(-2.186115--2.87895))+0-329.1--0.839204999999952</f>
        <v>2401.8596000000002</v>
      </c>
      <c r="X129" s="3">
        <f>3011.1+(1133.6-1234.2)+(-7.678305+(-2.89068--3.14721))+0-636.8--1.62383999999991</f>
        <v>2267.9020649999998</v>
      </c>
      <c r="Y129" s="3">
        <f>3046.5+(1068.7-1144.1)+(0+(0-0))+0-696.3-0</f>
        <v>2274.8000000000002</v>
      </c>
      <c r="Z129" s="3">
        <f>3107.1+(904.2-875.5)+(1.584621+(0.461142-0.446505))+0-640.3-0.326552999999935</f>
        <v>2496.7727050000003</v>
      </c>
      <c r="AA129" s="3">
        <f>3140.3+(665.7-504.9)+(0+(0-0))+0-659.7-0</f>
        <v>2641.4000000000005</v>
      </c>
      <c r="AB129" s="3">
        <f>3153+(677.3-686.4)+(-1.60803+(-0.345423--0.350064))+0-664--0.338639999999933</f>
        <v>2478.6352510000002</v>
      </c>
      <c r="AC129" s="3">
        <f>3158.8+(753.1-827.4)+(0+(0-0))+0-614.3-0</f>
        <v>2470.1999999999998</v>
      </c>
      <c r="AD129">
        <f t="shared" ref="AD129:AD192" si="2">SUM(F129:AC129)</f>
        <v>56393.810813000011</v>
      </c>
      <c r="AE129" s="3">
        <f>3094+(689.6-401.3)+(0+(0-0))+0-755.9-0</f>
        <v>2626.4</v>
      </c>
    </row>
    <row r="130" spans="1:31" s="2" customFormat="1" x14ac:dyDescent="0.25">
      <c r="A130">
        <v>89</v>
      </c>
      <c r="B130">
        <v>5</v>
      </c>
      <c r="C130">
        <v>6</v>
      </c>
      <c r="D130">
        <v>5</v>
      </c>
      <c r="E130">
        <v>1</v>
      </c>
      <c r="F130" s="3">
        <f>3144.7+(939.4-1012.5)+(0+(0-0))+0-715.1-0</f>
        <v>2356.5</v>
      </c>
      <c r="G130" s="3">
        <f>3152.4+(992.4-1276.3)+(-3.215448+(-1.012248--1.301826))+0-625.6--0.6381120000001</f>
        <v>2240.6122420000002</v>
      </c>
      <c r="H130" s="3">
        <f>3161.2+(1081.8-1291.3)+(0+(0-0))+0-705.2-0</f>
        <v>2246.5</v>
      </c>
      <c r="I130" s="3">
        <f>3173.3+(1037.1-1387)+(1.618383+(0.528921-0.70737))+0-644.7-0.328796999999935</f>
        <v>2179.8111369999997</v>
      </c>
      <c r="J130" s="3">
        <f>3179.4+(986.2-1393)+(0+(0-0))+0-636.9-0</f>
        <v>2135.7000000000003</v>
      </c>
      <c r="K130" s="3">
        <f>3093.9+(1087.2-1479.4)+(0+(0-0))+0-595.9-0</f>
        <v>2105.7999999999997</v>
      </c>
      <c r="L130" s="3">
        <f>2971.7+(1061.3-1378.7)+(0+(0-0))+0-583.1-0</f>
        <v>2071.1999999999998</v>
      </c>
      <c r="M130" s="3">
        <f>3006.4+(870-1122.9)+(3.066528+(0.8874-1.145358))+0-578-0.589560000000092</f>
        <v>2177.7190100000003</v>
      </c>
      <c r="N130" s="3">
        <f>3130.6+(854.9-1120.4)+(1.596606+(0.435999-0.571404))+0-568.1-0.289730999999942</f>
        <v>2298.1714700000002</v>
      </c>
      <c r="O130" s="3">
        <f>3135.2+(925.9-1076.7)+(1.598952+(0.472209-0.549117))+0-475.9-0.242708999999952</f>
        <v>2509.7793349999993</v>
      </c>
      <c r="P130" s="3">
        <f>3120.8+(1013.2-962.9)+(-1.591608+(-0.516732--0.491079))+0-557.2--0.284171999999944</f>
        <v>2612.5669110000003</v>
      </c>
      <c r="Q130" s="3">
        <f>3099+(928.1-887.3)+(1.58049+(0.473331-0.452523))+125-495.2-0.25255199999995</f>
        <v>2770.9487460000005</v>
      </c>
      <c r="R130" s="3">
        <f>3071.8+(755.4-871)+(1.566618+(0.385254-0.44421))+150-250.8-0.127907999999975</f>
        <v>2856.7797540000001</v>
      </c>
      <c r="S130" s="3">
        <f>3058.8+(678-929.5)+(1.559988+(0.34578-0.474045))+150-251.4-0.128213999999974</f>
        <v>2707.2035090000004</v>
      </c>
      <c r="T130" s="3">
        <f>3045.6+(588.3-772.3)+(3.106512+(0.600066-0.787746))+150-276.5-0.282030000000044</f>
        <v>2737.7368019999999</v>
      </c>
      <c r="U130" s="3">
        <f>3037.9+(506-699.5)+(1.549329+(0.25806-0.356745))+150-209.3-0.106742999999979</f>
        <v>2786.4439010000001</v>
      </c>
      <c r="V130" s="3">
        <f>3029.8+(521.5-647.6)+(0+(0-0))+0-241.7-0</f>
        <v>2662.0000000000005</v>
      </c>
      <c r="W130" s="3">
        <f>3035.5+(634.6-766.7)+(-1.548105+(-0.323646--0.391017))+0-267.4--0.136373999999973</f>
        <v>2634.6556399999999</v>
      </c>
      <c r="X130" s="3">
        <f>3028.5+(928-1176.5)+(-3.08907+(-0.94656--1.20003))+0-252.5--0.25755000000004</f>
        <v>2524.9219500000004</v>
      </c>
      <c r="Y130" s="3">
        <f>2959.8+(936.5-1194.6)+(-1.509498+(-0.477615--0.609246))+0-240.7--0.122756999999976</f>
        <v>2459.7448900000004</v>
      </c>
      <c r="Z130" s="3">
        <f>3134.2+(821.8-1049.7)+(-1.598442+(-0.419118--0.535347))+0-275.9--0.140708999999972</f>
        <v>2629.0584959999996</v>
      </c>
      <c r="AA130" s="3">
        <f>3238.5+(632.3-787.7)+(-4.954905+(-0.967419--1.205181))+0-341.8--0.52295400000002</f>
        <v>2737.1058109999999</v>
      </c>
      <c r="AB130" s="3">
        <f>3258.4+(738.3-1096.6)+(-1.661784+(-0.376533--0.559266))+0-316.6--0.161465999999968</f>
        <v>2582.1824150000007</v>
      </c>
      <c r="AC130" s="3">
        <f>3259.5+(904.5-1388.7)+(0+(0-0))+0-299.8-0</f>
        <v>2475.5</v>
      </c>
      <c r="AD130">
        <f t="shared" si="2"/>
        <v>59498.642019000006</v>
      </c>
      <c r="AE130" s="3">
        <f>3221+(651-876)+(0+(0-0))+0-369-0</f>
        <v>2627</v>
      </c>
    </row>
    <row r="131" spans="1:31" s="2" customFormat="1" x14ac:dyDescent="0.25">
      <c r="A131">
        <v>89</v>
      </c>
      <c r="B131">
        <v>5</v>
      </c>
      <c r="C131">
        <v>7</v>
      </c>
      <c r="D131">
        <v>6</v>
      </c>
      <c r="E131">
        <v>1</v>
      </c>
      <c r="F131" s="3">
        <f>3160.9+(1131-1297.6)+(-1.612059+(-0.57681--0.661776))+0-558.3--0.284732999999943</f>
        <v>2434.7576400000003</v>
      </c>
      <c r="G131" s="3">
        <f>3247+(1121-1433.5)+(-6.62388+(-2.28684--2.92434))+0-612.5--1.24949999999997</f>
        <v>2317.2631200000001</v>
      </c>
      <c r="H131" s="3">
        <f>3273.2+(993-1446.6)+(-3.338664+(-1.01286--1.475532))+0-540.9--0.551718000000086</f>
        <v>2276.3757259999998</v>
      </c>
      <c r="I131" s="3">
        <f>3289.2+(946.7-1435.1)+(0+(0-0))+0-565.1-0</f>
        <v>2235.7000000000003</v>
      </c>
      <c r="J131" s="3">
        <f>3275.8+(910.6-1417)+(0+(0-0))+0-621.2-0</f>
        <v>2148.1999999999998</v>
      </c>
      <c r="K131" s="3">
        <f>3165.5+(987.9-1318.7)+(-3.22881+(-1.007658--1.345074))+0-690.4--0.70420800000011</f>
        <v>2142.1128139999996</v>
      </c>
      <c r="L131" s="3">
        <f>2874+(1081.1-1310.6)+(-8.79444+(-3.308166--4.010436))+0-582.4--1.78214400000007</f>
        <v>2055.7899740000003</v>
      </c>
      <c r="M131" s="3">
        <f>2777.1+(1115.3-1177.5)+(1.416321+(0.568803-0.600525))+0-554.4-0.282743999999944</f>
        <v>2161.6018549999994</v>
      </c>
      <c r="N131" s="3">
        <f>3001.6+(1160.3-1075.3)+(4.592448+(1.775259-1.645209))+0-655.9-1.00352700000004</f>
        <v>2434.4189710000001</v>
      </c>
      <c r="O131" s="3">
        <f>3143.8+(999.9-1033.7)+(1.603338+(0.509949-0.527187))+0-665.5-0.339404999999933</f>
        <v>2445.7466950000003</v>
      </c>
      <c r="P131" s="3">
        <f>3240.5+(973.9-935.2)+(-1.652655+(-0.496689--0.476952))+0-655.1--0.334100999999934</f>
        <v>2622.7617089999999</v>
      </c>
      <c r="Q131" s="3">
        <f>3177.3+(892.3-787.1)+(1.620423+(0.455073-0.401421))+0-530.5-0.270554999999946</f>
        <v>2753.4035199999998</v>
      </c>
      <c r="R131" s="3">
        <f>2973.4+(833.5-678.8)+(0+(0-0))+0-395.2-0</f>
        <v>2732.9000000000005</v>
      </c>
      <c r="S131" s="3">
        <f>2959+(806.1-852.7)+(-1.50909+(-0.411111--0.434877))+0-329.7--0.168146999999967</f>
        <v>2581.3828229999999</v>
      </c>
      <c r="T131" s="3">
        <f>2951.1+(827.4-891.1)+(0+(0-0))+0-326.2-0</f>
        <v>2561.1999999999998</v>
      </c>
      <c r="U131" s="3">
        <f>2935.9+(869.9-862.2)+(-1.497309+(-0.443649--0.439722))+0-345.4--0.176153999999965</f>
        <v>2596.8749179999995</v>
      </c>
      <c r="V131" s="3">
        <f>2937.6+(930.3-905.3)+(-4.494528+(-1.423359--1.385109))+0-343--0.52479000000002</f>
        <v>2615.5920120000001</v>
      </c>
      <c r="W131" s="3">
        <f>2933+(1049.4-1109)+(-2.99166+(-1.070388--1.13118))+0-348.4--0.355368000000056</f>
        <v>2522.4245000000001</v>
      </c>
      <c r="X131" s="3">
        <f>2930.6+(1288-1164.9)+(-7.47303+(-3.2844--2.970495))+0-652.6--1.66412999999991</f>
        <v>2394.9771949999999</v>
      </c>
      <c r="Y131" s="3">
        <f>2996.9+(1164.2-1141.5)+(-4.585257+(-1.781226--1.746495))+0-590.4--0.903312000000034</f>
        <v>2425.4833240000003</v>
      </c>
      <c r="Z131" s="3">
        <f>3197.6+(993.7-955.4)+(0+(0-0))+0-620.5-0</f>
        <v>2615.4</v>
      </c>
      <c r="AA131" s="3">
        <f>3232.3+(941.9-826.4)+(-3.296946+(-0.960738--0.842928))+0-692.1--0.70594200000011</f>
        <v>2652.9911860000002</v>
      </c>
      <c r="AB131" s="3">
        <f>3245.6+(1000.6-1090.3)+(0+(0-0))+0-575.6-0</f>
        <v>2580.3000000000002</v>
      </c>
      <c r="AC131" s="3">
        <f>3249.6+(1155.8-1128.7)+(-4.971888+(-1.768374--1.726911))+0-716.1--1.09563300000004</f>
        <v>2556.6822819999998</v>
      </c>
      <c r="AD131">
        <f t="shared" si="2"/>
        <v>58864.340264000006</v>
      </c>
      <c r="AE131" s="3">
        <f>3214+(925.9-745.5)+(0+(0-0))+0-733-0</f>
        <v>2661.4</v>
      </c>
    </row>
    <row r="132" spans="1:31" s="2" customFormat="1" x14ac:dyDescent="0.25">
      <c r="A132">
        <v>89</v>
      </c>
      <c r="B132">
        <v>5</v>
      </c>
      <c r="C132">
        <v>8</v>
      </c>
      <c r="D132">
        <v>7</v>
      </c>
      <c r="E132">
        <v>1</v>
      </c>
      <c r="F132" s="3">
        <f>3113.6+(1165.5-1185.6)+(-7.93968+(-2.972025--3.02328))+0-667.5--1.7021249999999</f>
        <v>2419.8136999999997</v>
      </c>
      <c r="G132" s="3">
        <f>3065+(1089.7-1260.4)+(1.56315+(0.555747-0.642804))+0-634.8-0.323747999999936</f>
        <v>2260.6523450000004</v>
      </c>
      <c r="H132" s="3">
        <f>3066.1+(1072.8-1253.5)+(0+(0-0))+0-672.1-0</f>
        <v>2213.2999999999997</v>
      </c>
      <c r="I132" s="3">
        <f>3078.1+(987.5-1152.5)+(-7.849155+(-2.518125--2.938875))+0-664.5--1.6944749999999</f>
        <v>2242.8660699999996</v>
      </c>
      <c r="J132" s="3">
        <f>2925.5+(996.8-1204.4)+(-4.476015+(-1.525104--1.842732))+0-633.5--0.969255000000037</f>
        <v>2081.2108679999997</v>
      </c>
      <c r="K132" s="3">
        <f>2936.4+(1020.7-1225.2)+(-10.482948+(-3.643899--4.373964))+0-719.3--2.56790100000001</f>
        <v>2005.4150180000001</v>
      </c>
      <c r="L132" s="3">
        <f>2744.8+(1046.1-1186.4)+(-5.599392+(-2.134044--2.420256))+0-684.2--1.39576799999997</f>
        <v>1916.3825879999997</v>
      </c>
      <c r="M132" s="3">
        <f>2667.6+(979.2-1078)+(1.360476+(0.499392-0.54978))+0-655-0.334049999999934</f>
        <v>1914.7760380000004</v>
      </c>
      <c r="N132" s="3">
        <f>2687.2+(1077.2-1107.7)+(0+(0-0))+0-649.8-0</f>
        <v>2006.8999999999999</v>
      </c>
      <c r="O132" s="3">
        <f>2775.1+(1068.9-1155.5)+(0+(0-0))+0-616.2-0</f>
        <v>2072.3000000000002</v>
      </c>
      <c r="P132" s="3">
        <f>2770.9+(1198.2-1035.1)+(1.413159+(0.611082-0.527901))+0-691.1-0.35246099999993</f>
        <v>2244.0438790000003</v>
      </c>
      <c r="Q132" s="3">
        <f>2879.9+(1247.5-1182.3)+(1.468749+(0.636225-0.602973))+0-620.4-0.316403999999937</f>
        <v>2325.885597</v>
      </c>
      <c r="R132" s="3">
        <f>3039.6+(1223.3-1307.7)+(0+(0-0))+0-651.7-0</f>
        <v>2303.5</v>
      </c>
      <c r="S132" s="3">
        <f>3030+(1247.2-1370.1)+(-3.0906+(-1.272144--1.397502))+0-651.7--0.664734000000104</f>
        <v>2253.0994920000003</v>
      </c>
      <c r="T132" s="3">
        <f>3026.8+(1156.9-1281.2)+(1.543668+(0.590019-0.653412))+0-680.3-0.346952999999931</f>
        <v>2223.333322</v>
      </c>
      <c r="U132" s="3">
        <f>3021.1+(1064.6-1231.9)+(-4.622283+(-1.628838--1.884807))+0-630.3--0.964359000000036</f>
        <v>2220.0980450000002</v>
      </c>
      <c r="V132" s="3">
        <f>3053.9+(1080.7-1236.9)+(-1.557489+(-0.551157--0.630819))+0-676.3--0.344912999999931</f>
        <v>2220.2670859999998</v>
      </c>
      <c r="W132" s="3">
        <f>3066.7+(1045.1-1341.6)+(-1.564017+(-0.533001--0.684216))+0-584.8--0.298247999999941</f>
        <v>2184.2854459999999</v>
      </c>
      <c r="X132" s="3">
        <f>2820+(1051.2-1187.4)+(-7.191+(-2.68056--3.02787))+0-529.9--1.35124499999992</f>
        <v>2148.4075549999998</v>
      </c>
      <c r="Y132" s="3">
        <f>2560.7+(967.1-894.4)+(-2.611914+(-0.986442--0.912288))+0-523.9--0.534378000000084</f>
        <v>2107.3483099999999</v>
      </c>
      <c r="Z132" s="3">
        <f>2798.5+(984.4-897.9)+(-4.281705+(-1.506132--1.373787))+0-511.4--0.78244200000003</f>
        <v>2369.9683920000002</v>
      </c>
      <c r="AA132" s="3">
        <f>3106.3+(958.7-1231.8)+(-9.505278+(-2.933622--3.769308))+0-401.3--1.22797800000005</f>
        <v>2424.4583859999998</v>
      </c>
      <c r="AB132" s="3">
        <f>3138+(899.6-1088)+(-3.20076+(-0.917592--1.10976))+0-552.4--0.563448000000088</f>
        <v>2394.7548559999996</v>
      </c>
      <c r="AC132" s="3">
        <f>3144.3+(1041.5-1132.4)+(-1.603593+(-0.531165--0.577524))+0-677.7--0.345626999999931</f>
        <v>2374.4883930000001</v>
      </c>
      <c r="AD132">
        <f t="shared" si="2"/>
        <v>52927.555386000007</v>
      </c>
      <c r="AE132" s="3">
        <f>3129+(869.1-1058.9)+(0+(0-0))+0-546.3-0</f>
        <v>2392.8999999999996</v>
      </c>
    </row>
    <row r="133" spans="1:31" s="2" customFormat="1" x14ac:dyDescent="0.25">
      <c r="A133">
        <v>89</v>
      </c>
      <c r="B133">
        <v>5</v>
      </c>
      <c r="C133">
        <v>9</v>
      </c>
      <c r="D133">
        <v>1</v>
      </c>
      <c r="E133">
        <v>1</v>
      </c>
      <c r="F133" s="3">
        <f>3137+(957.8-1260.4)+(-6.39948+(-1.953912--2.571216))+0-614.9--1.25439599999997</f>
        <v>2214.9722199999992</v>
      </c>
      <c r="G133" s="3">
        <f>3142.3+(943.1-1279.5)+(-9.615438+(-2.885886--3.91527))+0-704.4--2.15546400000008</f>
        <v>2095.0694100000001</v>
      </c>
      <c r="H133" s="3">
        <f>2886+(1096.7-1328.1)+(-5.88744+(-2.237268--2.709324))+0-622.6--1.27010399999997</f>
        <v>2027.8547200000005</v>
      </c>
      <c r="I133" s="3">
        <f>2755+(1251.1-1320.1)+(-2.8101+(-1.276122--1.346502))+0-720.9--0.735318000000115</f>
        <v>1963.0955979999999</v>
      </c>
      <c r="J133" s="3">
        <f>2714.5+(1159-1305.9)+(2.76879+(1.18218-1.332018))+0-629.7-0.642294000000101</f>
        <v>1939.8766579999997</v>
      </c>
      <c r="K133" s="3">
        <f>2715.6+(1215.7-1337.4)+(1.384956+(0.620007-0.682074))+0-647.2-0.330071999999934</f>
        <v>1947.6928169999996</v>
      </c>
      <c r="L133" s="3">
        <f>2598+(1257.1-1266.1)+(0+(0-0))+0-667.1-0</f>
        <v>1921.9</v>
      </c>
      <c r="M133" s="3">
        <f>2673+(1132.3-1122.7)+(0+(0-0))+0-622.7-0</f>
        <v>2059.8999999999996</v>
      </c>
      <c r="N133" s="3">
        <f>3031.8+(1021.3-1164.4)+(-3.092436+(-1.041726--1.187688))+0-562.9--0.57415800000009</f>
        <v>2323.4276839999998</v>
      </c>
      <c r="O133" s="3">
        <f>3092.4+(1013.6-1170.4)+(-3.154248+(-1.033872--1.193808))+0-430.1--0.438702000000069</f>
        <v>2502.9443900000001</v>
      </c>
      <c r="P133" s="3">
        <f>3115.7+(1042.8-1075.3)+(4.767021+(1.595484-1.645209))+0-451.5-0.690795000000026</f>
        <v>2635.7265009999996</v>
      </c>
      <c r="Q133" s="3">
        <f>3098.5+(980.1-784.2)+(3.16047+(0.999702-0.799884))+0-577.8-0.589356000000092</f>
        <v>2719.3709320000003</v>
      </c>
      <c r="R133" s="3">
        <f>3086.7+(806-782.7)+(0+(0-0))+0-360-0</f>
        <v>2750</v>
      </c>
      <c r="S133" s="3">
        <f>3130.8+(890.3-1060.8)+(-4.790124+(-1.362159--1.623024))+0-368.7--0.564111000000021</f>
        <v>2587.6348520000006</v>
      </c>
      <c r="T133" s="3">
        <f>3169.3+(804.6-979.3)+(-1.616343+(-0.410346--0.499443))+0-368.3--0.187832999999963</f>
        <v>2624.960587</v>
      </c>
      <c r="U133" s="3">
        <f>3189.6+(751.4-916.1)+(-1.626696+(-0.383214--0.467211))+0-355.2--0.181151999999964</f>
        <v>2668.3384529999998</v>
      </c>
      <c r="V133" s="3">
        <f>3240.6+(743.6-922.9)+(-1.652706+(-0.379236--0.470679))+0-402.5--0.205274999999959</f>
        <v>2657.4440119999999</v>
      </c>
      <c r="W133" s="3">
        <f>3245.4+(889.6-1130.8)+(-3.310308+(-0.907392--1.153416))+0-371.3--0.378726000000059</f>
        <v>2630.214442</v>
      </c>
      <c r="X133" s="3">
        <f>3145.4+(1178.6-1174.6)+(-6.416616+(-2.404344--2.396184))+0-576.3--1.17565199999997</f>
        <v>2567.8508760000004</v>
      </c>
      <c r="Y133" s="3">
        <f>2937.9+(1090.3-1007.9)+(0+(0-0))+0-518.4-0</f>
        <v>2501.9</v>
      </c>
      <c r="Z133" s="3">
        <f>3140.5+(1014.8-1070)+(-1.601655+(-0.517548--0.5457))+0-395.9--0.20190899999996</f>
        <v>2688.0284059999999</v>
      </c>
      <c r="AA133" s="3">
        <f>3338+(868.8-1177.4)+(-5.10714+(-1.329264--1.801422))+0-332.7--0.509031000000019</f>
        <v>2692.5740489999998</v>
      </c>
      <c r="AB133" s="3">
        <f>3246.7+(940.1-999.5)+(-3.311634+(-0.958902--1.01949))+0-567--0.57834000000009</f>
        <v>2617.6272939999999</v>
      </c>
      <c r="AC133" s="3">
        <f>3225.5+(993.9-1201.5)+(-3.29001+(-1.013778--1.22553))+0-474.9--0.484398000000076</f>
        <v>2540.4061400000001</v>
      </c>
      <c r="AD133">
        <f t="shared" si="2"/>
        <v>57878.810040999997</v>
      </c>
      <c r="AE133" s="3">
        <f>3314+(838.6-1137.7)+(0+(0-0))+0-400.1-0</f>
        <v>2614.8000000000002</v>
      </c>
    </row>
    <row r="134" spans="1:31" s="2" customFormat="1" x14ac:dyDescent="0.25">
      <c r="A134">
        <v>89</v>
      </c>
      <c r="B134">
        <v>5</v>
      </c>
      <c r="C134">
        <v>10</v>
      </c>
      <c r="D134">
        <v>2</v>
      </c>
      <c r="E134">
        <v>1</v>
      </c>
      <c r="F134" s="3">
        <f>3208.6+(1089.9-1404.8)+(-6.545544+(-2.223396--2.865792))+0-542.5--1.10669999999998</f>
        <v>2346.4035519999998</v>
      </c>
      <c r="G134" s="3">
        <f>3197.9+(1129.2-1628.1)+(-8.154645+(-2.87946--4.151655))+0-493.7--1.25893499999993</f>
        <v>2199.676485</v>
      </c>
      <c r="H134" s="3">
        <f>3224.6+(1057.5-1595.3)+(1.644546+(0.539325-0.813603))+0-544.9-0.277898999999945</f>
        <v>2142.9923690000001</v>
      </c>
      <c r="I134" s="3">
        <f>3169.6+(1082.4-1656.1)+(-4.849488+(-1.656072--2.533833))+0-503.1--0.769743000000029</f>
        <v>2089.5980159999999</v>
      </c>
      <c r="J134" s="3">
        <f>3137.5+(1002.3-1503.8)+(-3.20025+(-1.022346--1.533876))+0-560.8--0.572016000000089</f>
        <v>2073.0832959999998</v>
      </c>
      <c r="K134" s="3">
        <f>3154.3+(1084.5-1573.1)+(-1.608693+(-0.553095--0.802281))+0-601.7--0.306866999999939</f>
        <v>2062.9473599999997</v>
      </c>
      <c r="L134" s="3">
        <f>3083.1+(1039.8-1471.2)+(-3.144762+(-1.060596--1.500624))+0-639--0.651780000000102</f>
        <v>2010.647046</v>
      </c>
      <c r="M134" s="3">
        <f>2769.5+(1082.6-1149.5)+(0+(0-0))+0-592-0</f>
        <v>2110.6</v>
      </c>
      <c r="N134" s="3">
        <f>2976.4+(1019.2-1093.2)+(-3.035928+(-1.039584--1.115064))+0-581--0.592620000000093</f>
        <v>2319.0321720000002</v>
      </c>
      <c r="O134" s="3">
        <f>3202.7+(889.4-1045.4)+(-3.266754+(-0.907188--1.066308))+0-571.1--0.582522000000091</f>
        <v>2473.0748880000001</v>
      </c>
      <c r="P134" s="3">
        <f>3262.3+(967.6-1112.5)+(-1.663773+(-0.493476--0.567375))+0-540--0.275399999999945</f>
        <v>2576.0855260000003</v>
      </c>
      <c r="Q134" s="3">
        <f>3322.4+(1010.3-1085.7)+(-3.388848+(-1.030506--1.107414))+0-562.8--0.57405600000009</f>
        <v>2681.4621160000002</v>
      </c>
      <c r="R134" s="3">
        <f>3320.5+(998.7-1033.3)+(-1.693455+(-0.509337--0.526983))+0-576--0.293759999999942</f>
        <v>2708.5179510000003</v>
      </c>
      <c r="S134" s="3">
        <f>3310+(882.1-1241.8)+(-3.3762+(-0.899742--1.266636))+0-418.1--0.426462000000067</f>
        <v>2529.6171560000003</v>
      </c>
      <c r="T134" s="3">
        <f>3301.5+(792.6-1006.8)+(-3.36753+(-0.808452--1.026936))+0-489.2--0.498984000000078</f>
        <v>2595.4499380000007</v>
      </c>
      <c r="U134" s="3">
        <f>3313.5+(895.6-995.6)+(-1.689885+(-0.456756--0.507756))+0-579.4--0.295493999999941</f>
        <v>2632.756609</v>
      </c>
      <c r="V134" s="3">
        <f>3309.7+(786.4-835.9)+(-5.063841+(-1.203192--1.278927))+0-603.2--0.922896000000035</f>
        <v>2652.9347900000002</v>
      </c>
      <c r="W134" s="3">
        <f>3287.5+(961.8-1034)+(-6.7065+(-1.962072--2.10936))+0-638.5--1.30253999999997</f>
        <v>2571.5433280000002</v>
      </c>
      <c r="X134" s="3">
        <f>3143.9+(988.5-1037.6)+(-9.620334+(-3.02481--3.175056))+0-591.2--1.80907200000007</f>
        <v>2495.9389840000003</v>
      </c>
      <c r="Y134" s="3">
        <f>2852.4+(1139.9-966.1)+(-5.818896+(-2.325396--1.970844))+0-556.5--1.13525999999998</f>
        <v>2464.6618120000003</v>
      </c>
      <c r="Z134" s="3">
        <f>3043.8+(994.6-779.7)+(0+(0-0))+0-604.8-0</f>
        <v>2653.9000000000005</v>
      </c>
      <c r="AA134" s="3">
        <f>3231.1+(551.2-673.9)+(-6.591444+(-1.124448--1.374756))+0-454--0.92615999999998</f>
        <v>2648.9850240000001</v>
      </c>
      <c r="AB134" s="3">
        <f>3237.1+(565.7-726.7)+(-4.952763+(-0.865521--1.111851))+0-501.3--0.766989000000029</f>
        <v>2570.8605560000001</v>
      </c>
      <c r="AC134" s="3">
        <f>3238.5+(492.3-734.4)+(-4.954905+(-0.753219--1.123632))+0-492.4--0.753372000000028</f>
        <v>2500.1688800000002</v>
      </c>
      <c r="AD134">
        <f t="shared" si="2"/>
        <v>58110.937853999989</v>
      </c>
      <c r="AE134" s="3">
        <f>3207+(690.7-543.3)+(0+(0-0))+0-669.9-0</f>
        <v>2684.5</v>
      </c>
    </row>
    <row r="135" spans="1:31" s="2" customFormat="1" x14ac:dyDescent="0.25">
      <c r="A135">
        <v>89</v>
      </c>
      <c r="B135">
        <v>5</v>
      </c>
      <c r="C135">
        <v>11</v>
      </c>
      <c r="D135">
        <v>3</v>
      </c>
      <c r="E135">
        <v>1</v>
      </c>
      <c r="F135" s="3">
        <f>3221.7+(920.6-1183.9)+(-8.215335+(-2.34753--3.018945))+0-617.9--1.57564499999991</f>
        <v>2334.5317249999994</v>
      </c>
      <c r="G135" s="3">
        <f>3192.3+(1041.5-1397)+(-6.512292+(-2.12466--2.84988))+0-643.7--1.31314799999997</f>
        <v>2188.6260760000005</v>
      </c>
      <c r="H135" s="3">
        <f>2884.4+(1088.3-1315.2)+(-4.413132+(-1.665099--2.012256))+0-555.6--0.850068000000032</f>
        <v>2098.6840930000003</v>
      </c>
      <c r="I135" s="3">
        <f>2784+(1208-1267.9)+(-4.25952+(-1.84824--1.939887))+0-670.5--1.02586500000004</f>
        <v>2050.4579920000001</v>
      </c>
      <c r="J135" s="3">
        <f>2517.7+(1078-995.3)+(3.852081+(1.64934-1.522809))+0-560.2-0.857106000000032</f>
        <v>2043.3215059999995</v>
      </c>
      <c r="K135" s="3">
        <f>2412.9+(1148.8-1059.5)+(-3.691737+(-1.757664--1.621035))+0-469.7--0.718641000000027</f>
        <v>2029.3902749999995</v>
      </c>
      <c r="L135" s="3">
        <f>2425.4+(1129-1118.4)+(-6.18477+(-2.87895--2.85192))+0-433.4--1.10516999999994</f>
        <v>1997.4933699999999</v>
      </c>
      <c r="M135" s="3">
        <f>2465.4+(952.5-1015.7)+(0+(0-0))+0-282.2-0</f>
        <v>2120</v>
      </c>
      <c r="N135" s="3">
        <f>2602.8+(917.1-944.8)+(1.327428+(0.467721-0.481848))+0-297-0.15146999999997</f>
        <v>2279.2618310000007</v>
      </c>
      <c r="O135" s="3">
        <f>3073.6+(789.3-1012)+(-3.135072+(-0.805086--1.03224))+0-398--0.405960000000063</f>
        <v>2450.3980419999998</v>
      </c>
      <c r="P135" s="3">
        <f>3198.6+(826.5-961.2)+(0+(0-0))+0-499.6-0</f>
        <v>2564.2999999999997</v>
      </c>
      <c r="Q135" s="3">
        <f>3276+(778.4-897.4)+(0+(0-0))+0-575-0</f>
        <v>2582</v>
      </c>
      <c r="R135" s="3">
        <f>3316+(680.7-786.8)+(-1.69116+(-0.347157--0.401268))+0-498.5--0.254234999999949</f>
        <v>2710.017186</v>
      </c>
      <c r="S135" s="3">
        <f>3269.3+(635.4-887.5)+(0+(0-0))+0-485.6-0</f>
        <v>2531.6000000000004</v>
      </c>
      <c r="T135" s="3">
        <f>3081.5+(589.9-625.2)+(-3.14313+(-0.601698--0.637704))+0-479.3--0.488886000000076</f>
        <v>2564.2817619999996</v>
      </c>
      <c r="U135" s="3">
        <f>3069+(591.2-584.2)+(-1.56519+(-0.301512--0.297942))+0-465.7--0.237506999999953</f>
        <v>2608.9687469999999</v>
      </c>
      <c r="V135" s="3">
        <f>3060.9+(745.2-596.8)+(-3.122118+(-0.760104--0.608736))+0-527.2--0.537744000000084</f>
        <v>2679.3642580000005</v>
      </c>
      <c r="W135" s="3">
        <f>3050.1+(798.3-702.6)+(-10.888857+(-2.849931--2.508282))+0-552.9--1.97385300000001</f>
        <v>2583.6433469999997</v>
      </c>
      <c r="X135" s="3">
        <f>3005.9+(881.1-786.7)+(-7.665045+(-2.246805--2.006085))+0-564.3--1.43896499999992</f>
        <v>2529.5332000000003</v>
      </c>
      <c r="Y135" s="3">
        <f>3008.7+(765.7-681.6)+(-3.068874+(-0.781014--0.695232))+0-629--0.6415800000001</f>
        <v>2461.2869239999995</v>
      </c>
      <c r="Z135" s="3">
        <f>3069.3+(807-633.8)+(-3.130686+(-0.82314--0.646476))+0-562--0.57324000000009</f>
        <v>2677.7658900000001</v>
      </c>
      <c r="AA135" s="3">
        <f>3111.7+(909.5-794.1)+(-6.347868+(-1.85538--1.619964))+0-546.9--1.11567599999998</f>
        <v>2674.7323919999999</v>
      </c>
      <c r="AB135" s="3">
        <f>3124+(913-915.1)+(-6.37296+(-1.86252--1.866804))+0-541.1--1.10384399999998</f>
        <v>2575.5351679999999</v>
      </c>
      <c r="AC135" s="3">
        <f>3115.7+(965.2-957.6)+(0+(0-0))+0-600.8-0</f>
        <v>2522.5</v>
      </c>
      <c r="AD135">
        <f t="shared" si="2"/>
        <v>57857.693783999996</v>
      </c>
      <c r="AE135" s="3">
        <f>3075+(944.2-783.1)+(0+(0-0))+0-589.8-0</f>
        <v>2646.3</v>
      </c>
    </row>
    <row r="136" spans="1:31" s="2" customFormat="1" x14ac:dyDescent="0.25">
      <c r="A136">
        <v>89</v>
      </c>
      <c r="B136">
        <v>5</v>
      </c>
      <c r="C136">
        <v>12</v>
      </c>
      <c r="D136">
        <v>4</v>
      </c>
      <c r="E136">
        <v>1</v>
      </c>
      <c r="F136" s="3">
        <f>3095.1+(1114.9-1192)+(-1.578501+(-0.568599--0.60792))+0-650.6--0.331805999999934</f>
        <v>2366.192626</v>
      </c>
      <c r="G136" s="3">
        <f>2939.4+(1092.4-1287.7)+(-2.998188+(-1.114248--1.313454))+0-539.5--0.550290000000086</f>
        <v>2202.3513080000007</v>
      </c>
      <c r="H136" s="3">
        <f>2802.5+(1057.1-1120.3)+(1.429275+(0.539121-0.571353))+0-617.3-0.314822999999937</f>
        <v>2123.0822199999998</v>
      </c>
      <c r="I136" s="3">
        <f>2793.3+(1079.6-1156.2)+(0+(0-0))+0-640.1-0</f>
        <v>2076.6</v>
      </c>
      <c r="J136" s="3">
        <f>2783.7+(1059.6-1180.7)+(-1.419687+(-0.540396--0.602157))+0-609.8--0.310997999999938</f>
        <v>2051.7530719999995</v>
      </c>
      <c r="K136" s="3">
        <f>2669.1+(1118-1116.5)+(2.722482+(1.14036-1.13883))+0-635.4-0.648108000000101</f>
        <v>2037.2759039999999</v>
      </c>
      <c r="L136" s="3">
        <f>2463.7+(1077.6-1052.1)+(-3.769461+(-1.648728--1.609713))+0-484.6--0.741438000000028</f>
        <v>2001.5329619999998</v>
      </c>
      <c r="M136" s="3">
        <f>2456+(968.5-867.9)+(-1.25256+(-0.493935--0.442629))+0-436.3--0.222512999999956</f>
        <v>2119.2186469999997</v>
      </c>
      <c r="N136" s="3">
        <f>2748.9+(946.7-765.4)+(0+(0-0))+0-568.4-0</f>
        <v>2361.8000000000002</v>
      </c>
      <c r="O136" s="3">
        <f>3005.1+(878.9-830.4)+(1.532601+(0.448239-0.423504))+0-541-0.275909999999945</f>
        <v>2513.8814259999999</v>
      </c>
      <c r="P136" s="3">
        <f>3062.9+(899.4-771.8)+(-3.124158+(-0.917388--0.787236))+0-551.4--0.562428000000088</f>
        <v>2636.4081180000003</v>
      </c>
      <c r="Q136" s="3">
        <f>3054+(743.9-481.9)+(-1.55754+(-0.379389--0.245769))+0-599.1--0.305540999999939</f>
        <v>2715.514381</v>
      </c>
      <c r="R136" s="3">
        <f>3031.3+(661-353.2)+(0+(0-0))+0-625.2-0</f>
        <v>2713.9000000000005</v>
      </c>
      <c r="S136" s="3">
        <f>3016.6+(492.4-480)+(0+(0-0))+0-503-0</f>
        <v>2526</v>
      </c>
      <c r="T136" s="3">
        <f>3000.4+(507.1-433.1)+(1.530204+(0.258621-0.220881))+0-509.9-0.260048999999948</f>
        <v>2565.8078949999999</v>
      </c>
      <c r="U136" s="3">
        <f>2973.8+(501.6-443.5)+(1.516638+(0.255816-0.226185))+0-426.1-0.217310999999957</f>
        <v>2607.1289580000002</v>
      </c>
      <c r="V136" s="3">
        <f>2987.8+(586.7-527.3)+(1.523778+(0.299217-0.268923))+0-456.3-0.232712999999954</f>
        <v>2592.2213590000001</v>
      </c>
      <c r="W136" s="3">
        <f>3017.8+(595-534.4)+(0+(0-0))+0-506.2-0</f>
        <v>2572.2000000000003</v>
      </c>
      <c r="X136" s="3">
        <f>3040.5+(833.5-790.9)+(-1.550655+(-0.425085--0.403359))+0-552.6--0.281825999999944</f>
        <v>2529.209445</v>
      </c>
      <c r="Y136" s="3">
        <f>3066.2+(753.7-744.3)+(4.691286+(1.153161-1.138779))+0-588.3-0.900099000000034</f>
        <v>2491.1055689999998</v>
      </c>
      <c r="Z136" s="3">
        <f>3070.9+(949.5-733.8)+(1.566159+(0.484245-0.374238))+0-604.6-0.308345999999939</f>
        <v>2683.3678200000008</v>
      </c>
      <c r="AA136" s="3">
        <f>3099.1+(954.4-772.8)+(-4.741623+(-1.460232--1.182384))+0-609.4--0.932382000000035</f>
        <v>2667.2129109999996</v>
      </c>
      <c r="AB136" s="3">
        <f>3093.1+(989.8-954.2)+(-3.154962+(-1.009596--0.973284))+0-542.9--0.553758000000087</f>
        <v>2583.1624839999999</v>
      </c>
      <c r="AC136" s="3">
        <f>2980.5+(1051.4-964.8)+(-7.600275+(-2.68107--2.46024))+0-548.4--1.39841999999992</f>
        <v>2512.2773150000003</v>
      </c>
      <c r="AD136">
        <f t="shared" si="2"/>
        <v>58249.204420000002</v>
      </c>
      <c r="AE136" s="3">
        <f>3076+(1029.3-744.3)+(0+(0-0))+0-735.1-0</f>
        <v>2625.9</v>
      </c>
    </row>
    <row r="137" spans="1:31" s="2" customFormat="1" x14ac:dyDescent="0.25">
      <c r="A137">
        <v>89</v>
      </c>
      <c r="B137">
        <v>5</v>
      </c>
      <c r="C137">
        <v>13</v>
      </c>
      <c r="D137">
        <v>5</v>
      </c>
      <c r="E137">
        <v>1</v>
      </c>
      <c r="F137" s="3">
        <f>2801.1+(1243.5-1223.5)+(-2.857122+(-1.26837--1.24797))+0-488.9--0.498678000000078</f>
        <v>2329.8211559999995</v>
      </c>
      <c r="G137" s="3">
        <f>2722+(1198.9-1155.8)+(-2.77644+(-1.222878--1.178916))+0-580.5--0.592110000000093</f>
        <v>2182.3717080000006</v>
      </c>
      <c r="H137" s="3">
        <f>2673.1+(1131.9-1125.9)+(-1.363281+(-0.577269--0.574209))+0-594.5--0.30319499999994</f>
        <v>2083.5368539999999</v>
      </c>
      <c r="I137" s="3">
        <f>2683.1+(1074.4-1069.1)+(-5.473524+(-2.191776--2.180964))+0-649.6--1.32518399999997</f>
        <v>2034.6408480000002</v>
      </c>
      <c r="J137" s="3">
        <f>2688.6+(1037.2-1024)+(-6.85593+(-2.64486--2.6112))+0-662.8--1.6901399999999</f>
        <v>2033.8005499999999</v>
      </c>
      <c r="K137" s="3">
        <f>2675.4+(1028-972.3)+(-5.457816+(-2.09712--1.983492))+0-679.4--1.38597599999997</f>
        <v>2047.5145320000001</v>
      </c>
      <c r="L137" s="3">
        <f>2326.1+(985.9-687.3)+(-4.745244+(-2.011236--1.402092))+0-500.2--1.02040799999998</f>
        <v>2120.1660199999997</v>
      </c>
      <c r="M137" s="3">
        <f>2317+(969-598.8)+(2.36334+(0.98838-0.610776))+0-607-0.619140000000097</f>
        <v>2082.3218039999997</v>
      </c>
      <c r="N137" s="3">
        <f>2669.8+(948.2-575.2)+(-1.361598+(-0.483582--0.293352))+0-634--0.323339999999936</f>
        <v>2407.571512</v>
      </c>
      <c r="O137" s="3">
        <f>2695.8+(987.3-477.7)+(-1.374858+(-0.503523--0.243627))+0-676.3--0.344912999999931</f>
        <v>2527.8101589999997</v>
      </c>
      <c r="P137" s="3">
        <f>2670.8+(931.9-473.6)+(6.81054+(2.376345-1.20768))+0-588.8-1.50143999999991</f>
        <v>2546.7777650000007</v>
      </c>
      <c r="Q137" s="3">
        <f>2640.8+(918.1-353.6)+(0+(0-0))+0-632.6-0</f>
        <v>2572.7000000000003</v>
      </c>
      <c r="R137" s="3">
        <f>2645.6+(1010.4-295.3)+(2.698512+(1.030608-0.301206))+0-702.7-0.716754000000112</f>
        <v>2660.7111599999998</v>
      </c>
      <c r="S137" s="3">
        <f>2641.7+(923.2-367.7)+(-2.694534+(-0.941664--0.375054))+0-665.2--0.678504000000106</f>
        <v>2529.4173599999999</v>
      </c>
      <c r="T137" s="3">
        <f>2658.3+(893.3-395.8)+(0+(0-0))+0-573.2-0</f>
        <v>2582.6000000000004</v>
      </c>
      <c r="U137" s="3">
        <f>2646+(872.8-408.4)+(0+(0-0))+0-485.8-0</f>
        <v>2624.6</v>
      </c>
      <c r="V137" s="3">
        <f>2639.5+(901.6-438.4)+(-1.346145+(-0.459816--0.223584))+0-467.2--0.238271999999953</f>
        <v>2634.1558949999999</v>
      </c>
      <c r="W137" s="3">
        <f>2635.1+(1019.5-462.3)+(-2.687802+(-1.03989--0.471546))+0-585.2--0.596904000000093</f>
        <v>2604.4407579999997</v>
      </c>
      <c r="X137" s="3">
        <f>2635.1+(1199.6-620.8)+(-5.375604+(-2.447184--1.266432))+0-651.1--1.32824399999997</f>
        <v>2557.5718879999995</v>
      </c>
      <c r="Y137" s="3">
        <f>2557.2+(1128-506.5)+(-1.304172+(-0.57528--0.258315))+0-645.9--0.329408999999934</f>
        <v>2531.5082719999996</v>
      </c>
      <c r="Z137" s="3">
        <f>2666.4+(1218.5-537.5)+(-4.079592+(-1.864305--0.822375))+0-626.8--0.959004000000036</f>
        <v>2716.4374819999998</v>
      </c>
      <c r="AA137" s="3">
        <f>2687.7+(1234.4-558.5)+(-4.112181+(-1.888632--0.854505))+0-682.3--1.04391900000004</f>
        <v>2677.1976110000001</v>
      </c>
      <c r="AB137" s="3">
        <f>2692+(1247.6-705.4)+(1.37292+(0.636276-0.359754))+0-644.3-0.328592999999935</f>
        <v>2591.2208489999998</v>
      </c>
      <c r="AC137" s="3">
        <f>2705.9+(1223.1-770)+(-4.140027+(-1.871343--1.1781))+0-654.6--1.00153800000004</f>
        <v>2500.568268</v>
      </c>
      <c r="AD137">
        <f t="shared" si="2"/>
        <v>58179.462451000007</v>
      </c>
      <c r="AE137" s="3">
        <f>2697+(1264.5-507.9)+(0+(0-0))+0-760.3-0</f>
        <v>2693.3</v>
      </c>
    </row>
    <row r="138" spans="1:31" s="2" customFormat="1" x14ac:dyDescent="0.25">
      <c r="A138">
        <v>89</v>
      </c>
      <c r="B138">
        <v>5</v>
      </c>
      <c r="C138">
        <v>14</v>
      </c>
      <c r="D138">
        <v>6</v>
      </c>
      <c r="E138">
        <v>1</v>
      </c>
      <c r="F138" s="3">
        <f>2693.8+(1360.7-1056.9)+(-1.373838+(-0.693957--0.539019))+0-628--0.320279999999936</f>
        <v>2368.3915040000002</v>
      </c>
      <c r="G138" s="3">
        <f>2593.6+(1306.8-970.2)+(-1.322736+(-0.666468--0.494802))+0-657.9--0.335528999999933</f>
        <v>2271.1411269999999</v>
      </c>
      <c r="H138" s="3">
        <f>2557.5+(1313.7-1009.4)+(-2.60865+(-1.339974--1.029588))+0-691--0.70482000000011</f>
        <v>2168.5857840000003</v>
      </c>
      <c r="I138" s="3">
        <f>2562.2+(1296.6-1107.9)+(-2.613444+(-1.322532--1.130058))+0-627.9--0.6404580000001</f>
        <v>2120.8345399999998</v>
      </c>
      <c r="J138" s="3">
        <f>2559.1+(1268.8-1112.3)+(-5.220564+(-2.588352--2.269092))+0-619.7--1.26418799999997</f>
        <v>2091.6243640000002</v>
      </c>
      <c r="K138" s="3">
        <f>2551.5+(1266.5-976.7)+(-6.506325+(-3.229575--2.490585))+0-721.7--1.8403349999999</f>
        <v>2114.1950200000001</v>
      </c>
      <c r="L138" s="3">
        <f>2375.6+(1162.3-884.8)+(-3.634668+(-1.778319--1.353744))+0-595.2--0.910656000000034</f>
        <v>2054.751413</v>
      </c>
      <c r="M138" s="3">
        <f>2347.4+(1117.9-773.6)+(-1.197174+(-0.570129--0.394536))+0-560.2--0.285701999999943</f>
        <v>2130.4129350000003</v>
      </c>
      <c r="N138" s="3">
        <f>2516.2+(1050.2-556.1)+(1.283262+(0.535602-0.283611))+0-660.6-0.336905999999933</f>
        <v>2350.8983469999998</v>
      </c>
      <c r="O138" s="3">
        <f>2702.2+(912.3-444.4)+(-1.378122+(-0.465273--0.226644))+0-670.6--0.342005999999932</f>
        <v>2498.2252549999998</v>
      </c>
      <c r="P138" s="3">
        <f>2678.1+(987.6-370.6)+(1.365831+(0.503676-0.189006))+0-690.1-0.35195099999993</f>
        <v>2606.3285499999997</v>
      </c>
      <c r="Q138" s="3">
        <f>2683.6+(976.5-293.7)+(-1.368636+(-0.498015--0.149787))+0-697.3--0.355622999999929</f>
        <v>2667.7387589999994</v>
      </c>
      <c r="R138" s="3">
        <f>2782.9+(844.5-359)+(0+(0-0))+0-627.5-0</f>
        <v>2640.9</v>
      </c>
      <c r="S138" s="3">
        <f>2773.2+(659.4-439.8)+(-4.242996+(-1.008882--0.672894))+0-573.8--0.877914000000033</f>
        <v>2415.2989299999995</v>
      </c>
      <c r="T138" s="3">
        <f>2787.8+(697.5-418.2)+(0+(0-0))+0-561.9-0</f>
        <v>2505.2000000000003</v>
      </c>
      <c r="U138" s="3">
        <f>2860+(739.8-382.2)+(-7.293+(-1.88649--0.97461))+0-624.8--1.59323999999991</f>
        <v>2586.1883599999996</v>
      </c>
      <c r="V138" s="3">
        <f>2940.3+(670.1-434.3)+(1.499553+(0.341751-0.221493))+0-557.1-0.284120999999944</f>
        <v>2620.3356900000003</v>
      </c>
      <c r="W138" s="3">
        <f>2945.9+(751.7-637.4)+(-4.507227+(-1.150101--0.975222))+0-690.5--1.05646500000004</f>
        <v>2366.0743590000002</v>
      </c>
      <c r="X138" s="3">
        <f>2949.7+(957.4-865.7)+(-6.017388+(-1.953096--1.766028))+0-646.9--1.31967599999997</f>
        <v>2389.6152199999997</v>
      </c>
      <c r="Y138" s="3">
        <f>2862.1+(921.5-750.7)+(-1.459671+(-0.469965--0.382857))+0-671.5--0.342464999999932</f>
        <v>2360.1956859999996</v>
      </c>
      <c r="Z138" s="3">
        <f>2975.7+(932.5-723.3)+(-4.552821+(-1.426725--1.106649))+0-630.7--0.964971000000037</f>
        <v>2550.2920739999995</v>
      </c>
      <c r="AA138" s="3">
        <f>2997.5+(1009.3-796.4)+(-4.586175+(-1.544229--1.218492))+0-633.8--0.969714000000037</f>
        <v>2572.6578019999997</v>
      </c>
      <c r="AB138" s="3">
        <f>3001.3+(962.4-851.8)+(-6.122652+(-1.963296--1.737672))+0-594.4--1.21257599999997</f>
        <v>2512.3642999999997</v>
      </c>
      <c r="AC138" s="3">
        <f>3003+(1064.5-947.4)+(-1.53153+(-0.542895--0.483174))+0-717--0.365669999999927</f>
        <v>2401.8744190000002</v>
      </c>
      <c r="AD138">
        <f t="shared" si="2"/>
        <v>57364.124437999999</v>
      </c>
      <c r="AE138" s="3">
        <f>3005+(1022.1-759.7)+(0+(0-0))+0-586-0</f>
        <v>2681.4</v>
      </c>
    </row>
    <row r="139" spans="1:31" s="2" customFormat="1" x14ac:dyDescent="0.25">
      <c r="A139">
        <v>89</v>
      </c>
      <c r="B139">
        <v>5</v>
      </c>
      <c r="C139">
        <v>15</v>
      </c>
      <c r="D139">
        <v>7</v>
      </c>
      <c r="E139">
        <v>1</v>
      </c>
      <c r="F139" s="3">
        <f>2984.7+(1076.1-1149.8)+(-4.566591+(-1.646433--1.759194))+0-603.2--0.922896000000035</f>
        <v>2304.2690659999998</v>
      </c>
      <c r="G139" s="3">
        <f>2994+(968.1-1084.3)+(-4.58082+(-1.481193--1.658979))+0-578.3--0.884799000000033</f>
        <v>2295.981765</v>
      </c>
      <c r="H139" s="3">
        <f>3003.5+(886.7-1083.8)+(0+(0-0))+0-650.2-0</f>
        <v>2156.1999999999998</v>
      </c>
      <c r="I139" s="3">
        <f>3005.3+(886.2-1145.5)+(-4.598109+(-1.355886--1.752615))+0-689.7--1.05524100000004</f>
        <v>2053.1538609999998</v>
      </c>
      <c r="J139" s="3">
        <f>3015.1+(889.5-1178.3)+(-1.537701+(-0.453645--0.600933))+0-714.9--0.364598999999927</f>
        <v>2010.374186</v>
      </c>
      <c r="K139" s="3">
        <f>3057.6+(857.1-1243.7)+(-7.79688+(-2.185605--3.171435))+0-676.9--1.7260949999999</f>
        <v>1989.0150450000001</v>
      </c>
      <c r="L139" s="3">
        <f>2905.4+(799.2-1078.2)+(-7.40877+(-2.03796--2.74941))+0-695.9--1.7745449999999</f>
        <v>1925.5772249999998</v>
      </c>
      <c r="M139" s="3">
        <f>2725.5+(772.6-971.5)+(0+(0-0))+0-636.2-0</f>
        <v>1890.3999999999999</v>
      </c>
      <c r="N139" s="3">
        <f>2823.2+(655.8-959.7)+(-5.759328+(-1.337832--1.957788))+0-559.9--1.14219599999998</f>
        <v>1955.4028239999996</v>
      </c>
      <c r="O139" s="3">
        <f>2986.8+(619-871)+(3.046536+(0.63138-0.88842))+0-690.8-0.70461600000011</f>
        <v>2046.0848799999999</v>
      </c>
      <c r="P139" s="3">
        <f>2978.4+(642-836.4)+(0+(0-0))+0-662.9-0</f>
        <v>2121.1</v>
      </c>
      <c r="Q139" s="3">
        <f>2960.3+(622.4-720.1)+(-1.509753+(-0.317424--0.367251))+0-618.2--0.315281999999937</f>
        <v>2243.2553560000001</v>
      </c>
      <c r="R139" s="3">
        <f>2950.1+(502.7-602.9)+(-4.513653+(-0.769131--0.922437))+0-605.4--0.926262000000035</f>
        <v>2241.0659150000001</v>
      </c>
      <c r="S139" s="3">
        <f>2957.5+(443.8-529.8)+(-1.508325+(-0.226338--0.270198))+0-695.6--0.354755999999929</f>
        <v>2174.7902909999998</v>
      </c>
      <c r="T139" s="3">
        <f>2954+(473.6-639.8)+(-4.51962+(-0.724608--0.978894))+0-660.1--1.00995300000004</f>
        <v>2124.4446190000003</v>
      </c>
      <c r="U139" s="3">
        <f>2930.4+(469.9-660.7)+(-1.494504+(-0.239649--0.336957))+0-619.1--0.315740999999937</f>
        <v>2119.418545</v>
      </c>
      <c r="V139" s="3">
        <f>2941.5+(498.7-588.5)+(-7.500825+(-1.271685--1.500675))+0-667.1--1.7011049999999</f>
        <v>2179.02927</v>
      </c>
      <c r="W139" s="3">
        <f>2934.2+(587.6-708.3)+(-7.48221+(-1.49838--1.806165))+0-660.1--1.6832549999999</f>
        <v>2147.9088299999999</v>
      </c>
      <c r="X139" s="3">
        <f>2936.8+(719.7-851.3)+(-4.493304+(-1.101141--1.302489))+0-668.5--1.02280500000004</f>
        <v>2133.4308490000003</v>
      </c>
      <c r="Y139" s="3">
        <f>2975+(647.5-811)+(0+(0-0))+0-665.3-0</f>
        <v>2146.1999999999998</v>
      </c>
      <c r="Z139" s="3">
        <f>3083.8+(463.2-465)+(1.572738+(0.236232-0.23715))+0-673.3-0.343382999999932</f>
        <v>2409.928437</v>
      </c>
      <c r="AA139" s="3">
        <f>3153.2+(499.2-477)+(-1.608132+(-0.254592--0.24327))+0-715.5--0.364904999999927</f>
        <v>2458.6454509999994</v>
      </c>
      <c r="AB139" s="3">
        <f>3192.6+(529.9-679.9)+(0+(0-0))+0-643.4-0</f>
        <v>2399.1999999999998</v>
      </c>
      <c r="AC139" s="3">
        <f>3146+(600.9-696.6)+(-4.81338+(-0.919377--1.065798))+0-720.3--1.10205900000004</f>
        <v>2326.4350999999997</v>
      </c>
      <c r="AD139">
        <f t="shared" si="2"/>
        <v>51851.311514999994</v>
      </c>
      <c r="AE139" s="3">
        <f>3162+(489.8-539.7)+(0+(0-0))+0-742-0</f>
        <v>2370.1</v>
      </c>
    </row>
    <row r="140" spans="1:31" s="2" customFormat="1" x14ac:dyDescent="0.25">
      <c r="A140">
        <v>89</v>
      </c>
      <c r="B140">
        <v>5</v>
      </c>
      <c r="C140">
        <v>16</v>
      </c>
      <c r="D140">
        <v>1</v>
      </c>
      <c r="E140">
        <v>1</v>
      </c>
      <c r="F140" s="3">
        <f>3123.6+(724.2-1055.7)+(-1.593036+(-0.369342--0.538407))+0-582--0.296819999999941</f>
        <v>2208.9728489999998</v>
      </c>
      <c r="G140" s="3">
        <f>3099.1+(909.8-1247.5)+(-1.580541+(-0.463998--0.636225))+0-704.9--0.359498999999928</f>
        <v>2055.4511849999999</v>
      </c>
      <c r="H140" s="3">
        <f>3095.1+(921.1-1317.6)+(-1.578501+(-0.469761--0.671976))+0-640.9--0.326858999999935</f>
        <v>2056.6505729999994</v>
      </c>
      <c r="I140" s="3">
        <f>3095.5+(925.5-1350.7)+(-3.15741+(-0.94401--1.377714))+0-635.7--0.648414000000101</f>
        <v>2032.5247079999999</v>
      </c>
      <c r="J140" s="3">
        <f>3044.4+(956.8-1337)+(-4.657932+(-1.463904--2.04561))+0-639.4--0.978282000000037</f>
        <v>2021.7020559999996</v>
      </c>
      <c r="K140" s="3">
        <f>2974.9+(997-1244.9)+(-4.551597+(-1.52541--1.904697))+0-698.1--1.06809300000004</f>
        <v>2025.7957830000003</v>
      </c>
      <c r="L140" s="3">
        <f>2967.1+(999.1-1212.8)+(-7.566105+(-2.547705--3.09264))+0-723.8--1.84568999999989</f>
        <v>2024.42452</v>
      </c>
      <c r="M140" s="3">
        <f>2995.2+(909.8-1006.5)+(0+(0-0))+0-626.8-0</f>
        <v>2271.6999999999998</v>
      </c>
      <c r="N140" s="3">
        <f>3083.3+(908.6-894.3)+(-1.572483+(-0.463386--0.456093))+0-674.7--0.344096999999932</f>
        <v>2421.6643210000002</v>
      </c>
      <c r="O140" s="3">
        <f>3179.6+(856.2-905)+(0+(0-0))+0-640.8-0</f>
        <v>2490</v>
      </c>
      <c r="P140" s="3">
        <f>3132.9+(907.9-649.4)+(1.597779+(0.463029-0.331194))+0-691-0.35240999999993</f>
        <v>2701.777204</v>
      </c>
      <c r="Q140" s="3">
        <f>3160.5+(870-484.2)+(-1.611855+(-0.4437--0.246942))+0-693.4--0.35363399999993</f>
        <v>2851.445021</v>
      </c>
      <c r="R140" s="3">
        <f>3148.3+(817.4-418.1)+(1.605633+(0.416874-0.213231))+0-723.1-0.368780999999927</f>
        <v>2825.9404950000003</v>
      </c>
      <c r="S140" s="3">
        <f>3133+(580.8-395.1)+(-4.79349+(-0.888624--0.604503))+0-707.8--1.08293400000004</f>
        <v>2606.905323</v>
      </c>
      <c r="T140" s="3">
        <f>3126.9+(509.1-308.4)+(0+(0-0))+0-691.8-0</f>
        <v>2635.8</v>
      </c>
      <c r="U140" s="3">
        <f>3122+(550.2-409.8)+(0+(0-0))+0-569.4-0</f>
        <v>2693</v>
      </c>
      <c r="V140" s="3">
        <f>3115.5+(539.3-323.8)+(-6.35562+(-1.100172--0.660552))+0-658.2--1.34272799999997</f>
        <v>2667.3474879999999</v>
      </c>
      <c r="W140" s="3">
        <f>3099.6+(448.9-476.2)+(-3.161592+(-0.457878--0.485724))+0-523.9--0.534378000000084</f>
        <v>2545.800632</v>
      </c>
      <c r="X140" s="3">
        <f>3112.6+(741.5-650)+(-4.762278+(-1.134495--0.9945))+0-701.9--1.07390700000004</f>
        <v>2498.3716339999996</v>
      </c>
      <c r="Y140" s="3">
        <f>3131+(766.2-832.1)+(0+(0-0))+0-497.3-0</f>
        <v>2567.7999999999997</v>
      </c>
      <c r="Z140" s="3">
        <f>3180.7+(696.5-528.2)+(0+(0-0))+0-559.2-0</f>
        <v>2789.8</v>
      </c>
      <c r="AA140" s="3">
        <f>3207.1+(787.2-598.3)+(0+(0-0))+0-554.4-0</f>
        <v>2841.6</v>
      </c>
      <c r="AB140" s="3">
        <f>3227.2+(737.3-748.9)+(3.291744+(0.752046-0.763878))+0-551.9-0.562938000000088</f>
        <v>2666.4169739999998</v>
      </c>
      <c r="AC140" s="3">
        <f>3227+(850.5-993.5)+(-1.64577+(-0.433755--0.506685))+0-544.3--0.277592999999945</f>
        <v>2538.4047529999998</v>
      </c>
      <c r="AD140">
        <f t="shared" si="2"/>
        <v>59039.295519000007</v>
      </c>
      <c r="AE140" s="3">
        <f>3189+(732.5-573.2)+(0+(0-0))+0-539.5-0</f>
        <v>2808.8</v>
      </c>
    </row>
    <row r="141" spans="1:31" s="2" customFormat="1" x14ac:dyDescent="0.25">
      <c r="A141">
        <v>89</v>
      </c>
      <c r="B141">
        <v>5</v>
      </c>
      <c r="C141">
        <v>17</v>
      </c>
      <c r="D141">
        <v>2</v>
      </c>
      <c r="E141">
        <v>1</v>
      </c>
      <c r="F141" s="3">
        <f>3220.3+(1079.2-1153.4)+(-6.569412+(-2.201568--2.352936))+0-715.6--1.45982399999997</f>
        <v>2425.5417800000005</v>
      </c>
      <c r="G141" s="3">
        <f>3141+(1043.3-1141.2)+(-1.60191+(-0.532083--0.582012))+0-754.3--0.384692999999923</f>
        <v>2287.6327119999996</v>
      </c>
      <c r="H141" s="3">
        <f>3004.3+(1094.2-1131.6)+(0+(0-0))+0-757.5-0</f>
        <v>2209.4000000000005</v>
      </c>
      <c r="I141" s="3">
        <f>3008+(1049.9-1129.4)+(-4.60224+(-1.606347--1.727982))+0-710.5--1.08706500000004</f>
        <v>2214.60646</v>
      </c>
      <c r="J141" s="3">
        <f>2993.6+(1089.8-1144.2)+(-3.053472+(-1.111596--1.167084))+0-775.9--0.791418000000124</f>
        <v>2161.0934339999999</v>
      </c>
      <c r="K141" s="3">
        <f>3004.8+(1067.3-1155.2)+(-3.064896+(-1.088646--1.178304))+0-744.6--0.759492000000119</f>
        <v>2170.0842540000003</v>
      </c>
      <c r="L141" s="3">
        <f>2933.1+(989.3-1096.9)+(-5.983524+(-2.018172--2.237676))+0-726.3--1.48165199999997</f>
        <v>2094.9176320000001</v>
      </c>
      <c r="M141" s="3">
        <f>2894.2+(928-940.8)+(0+(0-0))+0-658.4-0</f>
        <v>2222.9999999999995</v>
      </c>
      <c r="N141" s="3">
        <f>3011.9+(889-785)+(-1.536069+(-0.45339--0.40035))+0-640.3--0.326552999999935</f>
        <v>2474.3374439999998</v>
      </c>
      <c r="O141" s="3">
        <f>3123.5+(842.2-750.7)+(-4.778955+(-1.288566--1.148571))+0-585.3--0.895509000000034</f>
        <v>2625.6765589999995</v>
      </c>
      <c r="P141" s="3">
        <f>3245.9+(817-765.2)+(0+(0-0))+0-622.4-0</f>
        <v>2675.2999999999997</v>
      </c>
      <c r="Q141" s="3">
        <f>3274.5+(637.4-521.7)+(0+(0-0))+0-553.9-0</f>
        <v>2836.2999999999997</v>
      </c>
      <c r="R141" s="3">
        <f>3267.2+(454.8-457.1)+(1.666272+(0.231948-0.233121))+0-610.6-0.311405999999938</f>
        <v>2655.6536929999997</v>
      </c>
      <c r="S141" s="3">
        <f>3263.1+(287.5-532.4)+(-1.664181+(-0.146625--0.271524))+0-463.1--0.236180999999953</f>
        <v>2553.7968989999995</v>
      </c>
      <c r="T141" s="3">
        <f>3271.8+(320.1-425.4)+(1.668618+(0.163251-0.216954))+0-559.8-0.285497999999943</f>
        <v>2608.0294170000002</v>
      </c>
      <c r="U141" s="3">
        <f>3268.2+(313.3-345.7)+(-1.666782+(-0.159783--0.176307))+0-549.7--0.280346999999944</f>
        <v>2684.7300889999997</v>
      </c>
      <c r="V141" s="3">
        <f>3246.2+(320.7-366.2)+(-1.655562+(-0.163557--0.186762))+0-523.1--0.266780999999947</f>
        <v>2676.2344239999998</v>
      </c>
      <c r="W141" s="3">
        <f>3253.9+(481.4-674.5)+(-4.978467+(-0.736542--1.031985))+0-610.4--0.933912000000035</f>
        <v>2446.6508880000001</v>
      </c>
      <c r="X141" s="3">
        <f>3237.9+(824.6-955.1)+(-8.256645+(-2.10273--2.435505))+0-560.1--1.42825499999992</f>
        <v>2540.8043849999999</v>
      </c>
      <c r="Y141" s="3">
        <f>3186.4+(871.2-896.4)+(-3.250128+(-0.888624--0.914328))+0-557.9--0.569058000000089</f>
        <v>2600.6446340000002</v>
      </c>
      <c r="Z141" s="3">
        <f>3257.7+(773-687)+(-1.661427+(-0.39423--0.35037))+0-595.8--0.30385799999994</f>
        <v>2746.4985709999996</v>
      </c>
      <c r="AA141" s="3">
        <f>3309.1+(593.3-695.9)+(-5.062923+(-0.907749--1.064727))+0-508.2--0.777546000000029</f>
        <v>2694.171601</v>
      </c>
      <c r="AB141" s="3">
        <f>3311+(708.3-814.4)+(0+(0-0))+0-639.4-0</f>
        <v>2565.5</v>
      </c>
      <c r="AC141" s="3">
        <f>3319.2+(655.3-1012.9)+(-3.385584+(-0.668406--1.033158))+0-541.2--0.552024000000086</f>
        <v>2417.9311919999996</v>
      </c>
      <c r="AD141">
        <f t="shared" si="2"/>
        <v>59588.536067999994</v>
      </c>
      <c r="AE141" s="3">
        <f>3306+(574.2-470.9)+(0+(0-0))+0-517.6-0</f>
        <v>2891.7000000000003</v>
      </c>
    </row>
    <row r="142" spans="1:31" s="2" customFormat="1" x14ac:dyDescent="0.25">
      <c r="A142">
        <v>89</v>
      </c>
      <c r="B142">
        <v>5</v>
      </c>
      <c r="C142">
        <v>18</v>
      </c>
      <c r="D142">
        <v>3</v>
      </c>
      <c r="E142">
        <v>1</v>
      </c>
      <c r="F142" s="3">
        <f>3288+(686.6-1083.9)+(-8.3844+(-1.75083--2.763945))+0-523--1.33364999999992</f>
        <v>2361.6623649999997</v>
      </c>
      <c r="G142" s="3">
        <f>3202.1+(785.7-990.4)+(-3.266142+(-0.801414--1.010208))+0-713.3--0.727566000000114</f>
        <v>2281.7702180000001</v>
      </c>
      <c r="H142" s="3">
        <f>3143.9+(837.5-1125)+(-1.603389+(-0.427125--0.57375))+0-668--0.340679999999932</f>
        <v>2187.2839159999999</v>
      </c>
      <c r="I142" s="3">
        <f>3064.8+(808.3-1132)+(1.563048+(0.412233-0.57732))+0-626.3-0.319412999999936</f>
        <v>2115.878548000001</v>
      </c>
      <c r="J142" s="3">
        <f>2957.7+(851.3-1257.1)+(4.525281+(1.302489-1.923363))+0-474.6-0.726138000000027</f>
        <v>2080.4782689999997</v>
      </c>
      <c r="K142" s="3">
        <f>2836.4+(905.4-1196.5)+(-1.446564+(-0.461754--0.610215))+0-475.8--0.242657999999952</f>
        <v>2068.444555</v>
      </c>
      <c r="L142" s="3">
        <f>2680.6+(1031.6-1017.1)+(-4.101318+(-1.578348--1.556163))+0-660.5--1.01056500000004</f>
        <v>2031.4870620000002</v>
      </c>
      <c r="M142" s="3">
        <f>2748.5+(937.9-960.8)+(0+(0-0))+0-516.8-0</f>
        <v>2208.8000000000002</v>
      </c>
      <c r="N142" s="3">
        <f>2990.4+(995.3-976.7)+(3.050208+(1.015206-0.996234))+0-656.7-0.669834000000105</f>
        <v>2354.6993459999994</v>
      </c>
      <c r="O142" s="3">
        <f>3273.2+(914.4-964.5)+(-3.338664+(-0.932688--0.98379))+0-604.2--0.616284000000096</f>
        <v>2616.2287220000003</v>
      </c>
      <c r="P142" s="3">
        <f>3301.1+(785.2-677.9)+(5.050683+(1.201356-1.037187))+0-638.8-0.977364000000037</f>
        <v>2773.8374880000006</v>
      </c>
      <c r="Q142" s="3">
        <f>3281.8+(626.8-385.5)+(1.673718+(0.319668-0.196605))+0-592.5-0.30217499999994</f>
        <v>2932.0946060000006</v>
      </c>
      <c r="R142" s="3">
        <f>3247.8+(369.5-339.3)+(-3.312756+(-0.37689--0.346086))+0-543.2--0.554064000000087</f>
        <v>2732.0105039999999</v>
      </c>
      <c r="S142" s="3">
        <f>3244.5+(253.2-387.2)+(1.654695+(0.129132-0.197472))+0-558.5-0.284834999999943</f>
        <v>2553.30152</v>
      </c>
      <c r="T142" s="3">
        <f>3249+(308.2-403.2)+(0+(0-0))+0-539.4-0</f>
        <v>2614.6</v>
      </c>
      <c r="U142" s="3">
        <f>3244.9+(420.7-442.1)+(0+(0-0))+0-573.3-0</f>
        <v>2650.2</v>
      </c>
      <c r="V142" s="3">
        <f>3240.9+(344.4-353.4)+(-1.652859+(-0.175644--0.180234))+0-563.4--0.287333999999943</f>
        <v>2667.1390650000003</v>
      </c>
      <c r="W142" s="3">
        <f>3242.6+(392.7-410.6)+(-3.307452+(-0.400554--0.418812))+0-581.9--0.593538000000093</f>
        <v>2640.1043439999999</v>
      </c>
      <c r="X142" s="3">
        <f>3239.8+(815.5-842.9)+(-8.26149+(-2.079525--2.149395))+0-621.7--1.58533499999991</f>
        <v>2584.093715</v>
      </c>
      <c r="Y142" s="3">
        <f>3211.7+(757.3-866.6)+(-3.275934+(-0.772446--0.883932))+0-579.1--0.590682000000092</f>
        <v>2520.7262339999997</v>
      </c>
      <c r="Z142" s="3">
        <f>3280+(708-647.8)+(-1.6728+(-0.36108--0.330378))+0-603.4--0.307733999999939</f>
        <v>2735.4042319999999</v>
      </c>
      <c r="AA142" s="3">
        <f>3315.1+(496.7-464.1)+(-6.762804+(-1.013268--0.946764))+0-639.5--1.30457999999997</f>
        <v>2702.6752719999999</v>
      </c>
      <c r="AB142" s="3">
        <f>3322.8+(557.9-721.3)+(-3.389256+(-0.569058--0.735726))+0-585.6--0.597312000000093</f>
        <v>2571.174724</v>
      </c>
      <c r="AC142" s="3">
        <f>3226.5+(702-838.9)+(-3.29103+(-0.71604--0.855678))+0-628.7--0.6412740000001</f>
        <v>2458.3898819999999</v>
      </c>
      <c r="AD142">
        <f t="shared" si="2"/>
        <v>59442.484587000006</v>
      </c>
      <c r="AE142" s="3">
        <f>3318+(555.1-469.7)+(0+(0-0))+0-680.2-0</f>
        <v>2723.2</v>
      </c>
    </row>
    <row r="143" spans="1:31" s="2" customFormat="1" x14ac:dyDescent="0.25">
      <c r="A143">
        <v>89</v>
      </c>
      <c r="B143">
        <v>5</v>
      </c>
      <c r="C143">
        <v>19</v>
      </c>
      <c r="D143">
        <v>4</v>
      </c>
      <c r="E143">
        <v>1</v>
      </c>
      <c r="F143" s="3">
        <f>3152.1+(936.7-1194.1)+(-3.215142+(-0.955434--1.217982))+0-592.9--0.604758000000095</f>
        <v>2299.4521639999998</v>
      </c>
      <c r="G143" s="3">
        <f>3118.7+(1041.3-1216.7)+(-3.181074+(-1.062126--1.241034))+0-709.8--0.723996000000113</f>
        <v>2231.22183</v>
      </c>
      <c r="H143" s="3">
        <f>3124+(1012.6-1263.2)+(-6.37296+(-2.065704--2.576928))+0-708.9--1.44615599999997</f>
        <v>2160.0844200000001</v>
      </c>
      <c r="I143" s="3">
        <f>3033.1+(1062.5-1332.6)+(1.546881+(0.541875-0.679626))+0-650.7-0.331856999999934</f>
        <v>2113.3772730000001</v>
      </c>
      <c r="J143" s="3">
        <f>2959+(1122.3-1348.6)+(6.03636+(2.289492-2.751144))+0-652.1-1.33028399999997</f>
        <v>2084.8444239999999</v>
      </c>
      <c r="K143" s="3">
        <f>2881.4+(1192.8-1354.5)+(2.939028+(1.216656-1.38159))+0-674.2-0.687684000000108</f>
        <v>2047.5864099999992</v>
      </c>
      <c r="L143" s="3">
        <f>2773.3+(1111.2-1341)+(-2.828766+(-1.133424--1.36782))+0-477.7--0.487254000000076</f>
        <v>2063.6928840000005</v>
      </c>
      <c r="M143" s="3">
        <f>2824.6+(1131.7-1208.6)+(2.881092+(1.154334-1.232772))+0-556-0.567120000000089</f>
        <v>2193.9355339999997</v>
      </c>
      <c r="N143" s="3">
        <f>3092.5+(1103-1196.8)+(4.731525+(1.68759-1.831104))+0-615.6-0.941868000000036</f>
        <v>2386.7461429999998</v>
      </c>
      <c r="O143" s="3">
        <f>3270.6+(1041.3-1116.5)+(6.672024+(2.124252-2.27766))+0-620.4-1.26561599999997</f>
        <v>2580.2529999999992</v>
      </c>
      <c r="P143" s="3">
        <f>3290.5+(855.8-900.8)+(3.35631+(0.872916-0.918816))+0-533.5-0.544170000000085</f>
        <v>2714.7662399999999</v>
      </c>
      <c r="Q143" s="3">
        <f>3257.2+(654.3-642.3)+(0+(0-0))+0-421.1-0</f>
        <v>2848.1</v>
      </c>
      <c r="R143" s="3">
        <f>3238.3+(442-369.2)+(1.651533+(0.22542-0.188292))+0-505.2-0.257651999999949</f>
        <v>2807.3310090000009</v>
      </c>
      <c r="S143" s="3">
        <f>3234.3+(337.7-262.1)+(0+(0-0))+0-628.2-0</f>
        <v>2681.7</v>
      </c>
      <c r="T143" s="3">
        <f>3235.1+(380.6-277.2)+(0+(0-0))+0-687.2-0</f>
        <v>2651.3</v>
      </c>
      <c r="U143" s="3">
        <f>3229.4+(448.9-282.6)+(1.646994+(0.228939-0.144126))+0-699.8-0.356897999999929</f>
        <v>2697.2749089999998</v>
      </c>
      <c r="V143" s="3">
        <f>3218.7+(451.3-301.7)+(3.283074+(0.460326-0.307734))+0-687.7-0.70145400000011</f>
        <v>2683.3342119999998</v>
      </c>
      <c r="W143" s="3">
        <f>3237.4+(457.8-387.7)+(-6.604296+(-0.933912--0.790908))+0-707.6--1.44350399999997</f>
        <v>2594.5962039999999</v>
      </c>
      <c r="X143" s="3">
        <f>3233.8+(854.2-909.3)+(-8.24619+(-2.17821--2.318715))+0-660.3--1.6837649999999</f>
        <v>2511.9780799999999</v>
      </c>
      <c r="Y143" s="3">
        <f>3193.2+(896.5-871.7)+(3.257064+(0.91443-0.889134))+0-672.6-0.686052000000107</f>
        <v>2547.9963080000002</v>
      </c>
      <c r="Z143" s="3">
        <f>3258.5+(699.8-517.6)+(0+(0-0))+0-676.3-0</f>
        <v>2764.3999999999996</v>
      </c>
      <c r="AA143" s="3">
        <f>3313.2+(564.6-457.7)+(-3.379464+(-0.575892--0.466854))+0-668.2--0.681564000000107</f>
        <v>2749.0930619999995</v>
      </c>
      <c r="AB143" s="3">
        <f>3308.6+(681.8-729.7)+(-1.687386+(-0.347718--0.372147))+0-640.7--0.326756999999935</f>
        <v>2618.6637999999994</v>
      </c>
      <c r="AC143" s="3">
        <f>3306.8+(806.9-972.8)+(-6.745872+(-1.646076--1.984512))+0-639.7--1.30498799999997</f>
        <v>2496.0975520000002</v>
      </c>
      <c r="AD143">
        <f t="shared" si="2"/>
        <v>59527.825458000014</v>
      </c>
      <c r="AE143" s="3">
        <f>3267+(544.7-350.3)+(0+(0-0))+0-693.1-0</f>
        <v>2768.3</v>
      </c>
    </row>
    <row r="144" spans="1:31" s="2" customFormat="1" x14ac:dyDescent="0.25">
      <c r="A144">
        <v>89</v>
      </c>
      <c r="B144">
        <v>5</v>
      </c>
      <c r="C144">
        <v>20</v>
      </c>
      <c r="D144">
        <v>5</v>
      </c>
      <c r="E144">
        <v>1</v>
      </c>
      <c r="F144" s="3">
        <f>3295.8+(1133.7-1373)+(-6.723432+(-2.312748--2.80092))+0-720.8--1.47043199999997</f>
        <v>2330.9351720000004</v>
      </c>
      <c r="G144" s="3">
        <f>3312.8+(1102.6-1531.1)+(-5.068584+(-1.686978--2.342583))+0-569.6--0.871488000000033</f>
        <v>2311.1585090000003</v>
      </c>
      <c r="H144" s="3">
        <f>3318.1+(1010.9-1419.5)+(-6.768924+(-2.062236--2.89578))+0-702.3--1.43269199999997</f>
        <v>2202.6973119999998</v>
      </c>
      <c r="I144" s="3">
        <f>3261.8+(988.2-1403.8)+(-8.31759+(-2.51991--3.57969))+0-696.2--1.7753099999999</f>
        <v>2144.5174999999999</v>
      </c>
      <c r="J144" s="3">
        <f>3258.4+(1019.1-1431.2)+(-9.970704+(-3.118446--4.379472))+0-716.4--2.19218400000008</f>
        <v>2123.3825059999999</v>
      </c>
      <c r="K144" s="3">
        <f>2960.6+(1156.5-1283.2)+(-6.039624+(-2.35926--2.617728))+0-754.2--1.53856799999997</f>
        <v>2075.4574119999997</v>
      </c>
      <c r="L144" s="3">
        <f>2852.3+(1098-1180.8)+(-8.728038+(-3.35988--3.613248))+0-708.5--2.16801000000008</f>
        <v>2054.6933399999998</v>
      </c>
      <c r="M144" s="3">
        <f>2849.8+(1019.2-1103.1)+(-4.360194+(-1.559376--1.687743))+0-568.1--0.869193000000033</f>
        <v>2194.4373660000006</v>
      </c>
      <c r="N144" s="3">
        <f>3129.7+(830.8-1169.6)+(0+(0-0))+0-426.6-0</f>
        <v>2364.2999999999997</v>
      </c>
      <c r="O144" s="3">
        <f>3309.4+(935.9-1078.4)+(-1.687794+(-0.477309--0.549984))+0-605.9--0.309008999999939</f>
        <v>2559.69389</v>
      </c>
      <c r="P144" s="3">
        <f>3300.2+(956-907.6)+(5.049306+(1.46268-1.388628))+0-649.3-0.993429000000037</f>
        <v>2703.4299289999999</v>
      </c>
      <c r="Q144" s="3">
        <f>3263.8+(813.4-582.8)+(-1.664538+(-0.414834--0.297228))+0-696.6--0.355265999999929</f>
        <v>2796.3731220000004</v>
      </c>
      <c r="R144" s="3">
        <f>3244.6+(502.2-364.5)+(1.654746+(0.256122-0.185895))+0-639.6-0.326195999999935</f>
        <v>2744.0987769999997</v>
      </c>
      <c r="S144" s="3">
        <f>3229.3+(307.3-296.3)+(0+(0-0))+0-623.7-0</f>
        <v>2616.6000000000004</v>
      </c>
      <c r="T144" s="3">
        <f>3229.1+(278.1-403.6)+(1.646841+(0.141831-0.205836))+0-651.8-0.332417999999934</f>
        <v>2453.0504179999998</v>
      </c>
      <c r="U144" s="3">
        <f>3227.7+(341.3-386.7)+(0+(0-0))+0-628.5-0</f>
        <v>2553.7999999999997</v>
      </c>
      <c r="V144" s="3">
        <f>3229.8+(551.3-490.8)+(-6.588792+(-1.124652--1.001232))+0-638.4--1.30233599999997</f>
        <v>2646.4901240000004</v>
      </c>
      <c r="W144" s="3">
        <f>3228.2+(453.7-470.1)+(-6.585528+(-0.925548--0.959004))+0-597--1.21787999999997</f>
        <v>2609.4658079999999</v>
      </c>
      <c r="X144" s="3">
        <f>3233.7+(574.4-688.7)+(-9.895122+(-1.757664--2.107422))+0-553--1.69218000000006</f>
        <v>2558.5468159999996</v>
      </c>
      <c r="Y144" s="3">
        <f>3214.4+(761.6-835.6)+(1.639344+(0.388416-0.426156))+0-602.1-0.307070999999939</f>
        <v>2539.5945330000004</v>
      </c>
      <c r="Z144" s="3">
        <f>3281.7+(513.7-406.8)+(3.347334+(0.523974-0.414936))+0-630.8-0.643416000000101</f>
        <v>2760.6129559999999</v>
      </c>
      <c r="AA144" s="3">
        <f>3300.8+(605.3-506.9)+(-5.050224+(-0.926109--0.775557))+0-648.6--0.992358000000037</f>
        <v>2746.3915820000002</v>
      </c>
      <c r="AB144" s="3">
        <f>3303.2+(417.6-403.3)+(0+(0-0))+0-652.5-0</f>
        <v>2665</v>
      </c>
      <c r="AC144" s="3">
        <f>3327.8+(452.6-458)+(-5.091534+(-0.692478--0.70074))+0-708.1--1.08339300000004</f>
        <v>2610.3001210000002</v>
      </c>
      <c r="AD144">
        <f t="shared" si="2"/>
        <v>59365.027193000009</v>
      </c>
      <c r="AE144" s="3">
        <f>3306+(772.1-531.6)+(0+(0-0))+0-736.9-0</f>
        <v>2809.6</v>
      </c>
    </row>
    <row r="145" spans="1:31" s="2" customFormat="1" x14ac:dyDescent="0.25">
      <c r="A145">
        <v>89</v>
      </c>
      <c r="B145">
        <v>5</v>
      </c>
      <c r="C145">
        <v>21</v>
      </c>
      <c r="D145">
        <v>6</v>
      </c>
      <c r="E145">
        <v>8</v>
      </c>
      <c r="F145" s="3">
        <f>3252+(854.3-967.7)+(-6.63408+(-1.742772--1.974108))+0-699.9--1.42779599999997</f>
        <v>2433.7250519999998</v>
      </c>
      <c r="G145" s="3">
        <f>3226+(1036.4-1238.5)+(-6.58104+(-2.114256--2.52654))+0-757.2--1.54468799999997</f>
        <v>2262.0759319999997</v>
      </c>
      <c r="H145" s="3">
        <f>3177.3+(1019-1274.6)+(0+(0-0))+0-743.3-0</f>
        <v>2178.4000000000005</v>
      </c>
      <c r="I145" s="3">
        <f>3184.4+(946.2-1228.7)+(3.248088+(0.965124-1.253274))+0-768.7-0.784074000000123</f>
        <v>2135.3758639999996</v>
      </c>
      <c r="J145" s="3">
        <f>3172+(1019.1-1228.3)+(-4.85316+(-1.559223--1.879299))+0-779--1.19187000000005</f>
        <v>2180.4587860000001</v>
      </c>
      <c r="K145" s="3">
        <f>3092.5+(1070.5-1273.5)+(-7.885875+(-2.729775--3.247425))+0-747.6--1.90637999999989</f>
        <v>2136.4381549999998</v>
      </c>
      <c r="L145" s="3">
        <f>2883.3+(1104.7-1182.7)+(-11.763864+(-4.507176--4.825416))+0-689.7--2.81397599999994</f>
        <v>2106.9683520000003</v>
      </c>
      <c r="M145" s="3">
        <f>2852.6+(962-1053.8)+(2.909652+(0.98124-1.074876))+0-602.4-0.614448000000096</f>
        <v>2160.601568</v>
      </c>
      <c r="N145" s="3">
        <f>3105.5+(990.8-1111.7)+(3.16761+(1.010616-1.133934))+0-645.5-0.658410000000103</f>
        <v>2341.4858819999999</v>
      </c>
      <c r="O145" s="3">
        <f>3240.6+(987.4-948.6)+(6.610824+(2.014296-1.935144))+0-731-1.49123999999997</f>
        <v>2553.5987359999999</v>
      </c>
      <c r="P145" s="3">
        <f>3233.3+(652.3-644.2)+(3.297966+(0.665346-0.657084))+0-639.8-0.652596000000102</f>
        <v>2604.2536319999999</v>
      </c>
      <c r="Q145" s="3">
        <f>3199.9+(503.2-320.1)+(0+(0-0))+0-720.4-0</f>
        <v>2662.6</v>
      </c>
      <c r="R145" s="3">
        <f>3178.6+(525.9-355.1)+(3.242172+(0.536418-0.362202))+0-678.1-0.691662000000108</f>
        <v>2674.0247259999996</v>
      </c>
      <c r="S145" s="3">
        <f>3166.6+(388.9-322.8)+(0+(0-0))+0-683.4-0</f>
        <v>2549.2999999999997</v>
      </c>
      <c r="T145" s="3">
        <f>3167.9+(356.9-280.4)+(0+(0-0))+0-728.6-0</f>
        <v>2515.8000000000002</v>
      </c>
      <c r="U145" s="3">
        <f>3161.7+(352.8-327.5)+(-1.612467+(-0.179928--0.167025))+0-707.4--0.360773999999928</f>
        <v>2478.3354039999995</v>
      </c>
      <c r="V145" s="3">
        <f>3156.4+(415.4-485.4)+(-1.609764+(-0.211854--0.247554))+0-645.9--0.329408999999934</f>
        <v>2439.255345</v>
      </c>
      <c r="W145" s="3">
        <f>3168.1+(613.5-643.5)+(-4.847193+(-0.938655--0.984555))+0-666.7--1.02005100000004</f>
        <v>2467.6187580000001</v>
      </c>
      <c r="X145" s="3">
        <f>3149.5+(828.9-973.5)+(-6.42498+(-1.690956--1.98594))+0-591.8--1.20727199999997</f>
        <v>2408.1772759999999</v>
      </c>
      <c r="Y145" s="3">
        <f>3141.5+(687.8-742.1)+(1.602165+(0.350778-0.378471))+0-680.8-0.347207999999931</f>
        <v>2407.6272639999997</v>
      </c>
      <c r="Z145" s="3">
        <f>3217.2+(489.5-366.3)+(3.281544+(0.49929-0.373626))+0-704.7-0.718794000000112</f>
        <v>2638.3884139999996</v>
      </c>
      <c r="AA145" s="3">
        <f>3235.9+(364.7-318.4)+(-1.650309+(-0.185997--0.162384))+0-684.1--0.348890999999931</f>
        <v>2596.7749690000005</v>
      </c>
      <c r="AB145" s="3">
        <f>3246.7+(395.3-478.4)+(-1.655817+(-0.201603--0.243984))+0-634.2--0.323441999999936</f>
        <v>2528.1100059999999</v>
      </c>
      <c r="AC145" s="3">
        <f>3229.9+(644.4-668.8)+(1.647249+(0.328644-0.341088))+0-723.2-0.368831999999927</f>
        <v>2483.5659729999998</v>
      </c>
      <c r="AD145">
        <f t="shared" si="2"/>
        <v>57942.960093999995</v>
      </c>
      <c r="AE145" s="3">
        <f>3216+(520.5-342.1)+(0+(0-0))+0-793.9-0</f>
        <v>2600.5</v>
      </c>
    </row>
    <row r="146" spans="1:31" s="2" customFormat="1" x14ac:dyDescent="0.25">
      <c r="A146">
        <v>89</v>
      </c>
      <c r="B146">
        <v>5</v>
      </c>
      <c r="C146">
        <v>22</v>
      </c>
      <c r="D146">
        <v>7</v>
      </c>
      <c r="E146">
        <v>1</v>
      </c>
      <c r="F146" s="3">
        <f>3103.8+(845.1-867.1)+(1.582938+(0.431001-0.442221))+0-749.4-0.382193999999924</f>
        <v>2333.5895240000004</v>
      </c>
      <c r="G146" s="3">
        <f>3121.4+(793-968.9)+(-3.183828+(-0.80886--0.988278))+0-756.9--0.772038000000121</f>
        <v>2186.367628</v>
      </c>
      <c r="H146" s="3">
        <f>3139.8+(836.4-1107.5)+(-1.601298+(-0.426564--0.564825))+0-770.8--0.393107999999922</f>
        <v>2096.8300709999999</v>
      </c>
      <c r="I146" s="3">
        <f>3049.1+(790.6-1075.9)+(0+(0-0))+0-719.1-0</f>
        <v>2044.6999999999998</v>
      </c>
      <c r="J146" s="3">
        <f>3024.2+(950.5-1115.4)+(-1.542342+(-0.484755--0.568854))+0-769.5--0.392444999999922</f>
        <v>2088.7342019999996</v>
      </c>
      <c r="K146" s="3">
        <f>3049.2+(963.9-1255.8)+(-3.110184+(-0.983178--1.280916))+0-731.9--0.746538000000117</f>
        <v>2023.3340919999998</v>
      </c>
      <c r="L146" s="3">
        <f>2913.1+(948.4-1191.1)+(-5.942724+(-1.934736--2.429844))+0-716.6--1.46186399999997</f>
        <v>1949.8142480000001</v>
      </c>
      <c r="M146" s="3">
        <f>2641.7+(1020.1-1065.9)+(-1.347267+(-0.520251--0.543609))+0-780.6--0.398105999999921</f>
        <v>1814.3741969999994</v>
      </c>
      <c r="N146" s="3">
        <f>2626.4+(943.8-1049.4)+(-4.018392+(-1.444014--1.605582))+0-684.9--1.04789700000004</f>
        <v>1833.0910730000003</v>
      </c>
      <c r="O146" s="3">
        <f>2602.7+(1020.8-967.1)+(1.327377+(0.520608-0.493221))+0-745.4-0.380153999999924</f>
        <v>1911.9746099999998</v>
      </c>
      <c r="P146" s="3">
        <f>2914.1+(982.5-1047.5)+(-2.972382+(-1.00215--1.06845))+0-754.1--0.76918200000012</f>
        <v>2092.8631</v>
      </c>
      <c r="Q146" s="3">
        <f>2993+(1018.2-1134.8)+(0+(0-0))+0-705.5-0</f>
        <v>2170.9</v>
      </c>
      <c r="R146" s="3">
        <f>3062.3+(954.7-1203.5)+(1.561773+(0.486897-0.613785))+0-621.9-0.317168999999937</f>
        <v>2192.7177160000001</v>
      </c>
      <c r="S146" s="3">
        <f>3051.1+(827.5-1130)+(0+(0-0))+0-559.5-0</f>
        <v>2189.1</v>
      </c>
      <c r="T146" s="3">
        <f>3055.3+(800.1-1034.3)+(1.558203+(0.408051-0.527493))+0-626.6-0.319565999999936</f>
        <v>2195.6191950000002</v>
      </c>
      <c r="U146" s="3">
        <f>3062.2+(796.3-949.2)+(0+(0-0))+0-721.5-0</f>
        <v>2187.7999999999997</v>
      </c>
      <c r="V146" s="3">
        <f>3074.9+(776.3-1037.2)+(-4.704597+(-1.187739--1.586916))+0-652.2--0.997866000000038</f>
        <v>2158.4924459999997</v>
      </c>
      <c r="W146" s="3">
        <f>3071+(936.9-1122.7)+(-4.69863+(-1.433457--1.717731))+0-729.6--1.11628800000004</f>
        <v>2152.3019319999999</v>
      </c>
      <c r="X146" s="3">
        <f>3076.8+(787.6-1104.8)+(-6.276672+(-1.606704--2.253792))+0-628.2--1.28152799999997</f>
        <v>2127.0519440000003</v>
      </c>
      <c r="Y146" s="3">
        <f>3143.9+(697.2-948.7)+(-3.206778+(-0.711144--0.967674))+0-675.6--0.689112000000108</f>
        <v>2214.5388640000001</v>
      </c>
      <c r="Z146" s="3">
        <f>3238.6+(575-690.9)+(-1.651686+(-0.29325--0.352359))+0-683.7--0.348686999999931</f>
        <v>2437.7561099999998</v>
      </c>
      <c r="AA146" s="3">
        <f>3265.4+(702.3-770.3)+(-8.32677+(-1.790865--1.964265))+0-726.1--1.85155499999989</f>
        <v>2464.9981849999999</v>
      </c>
      <c r="AB146" s="3">
        <f>3260.7+(891.3-1000.2)+(-3.325914+(-0.909126--1.020204))+0-725.1--0.739602000000116</f>
        <v>2424.2247659999998</v>
      </c>
      <c r="AC146" s="3">
        <f>3158.6+(1065.4-1105)+(1.610886+(0.543354-0.56355))+0-722.9-0.368678999999927</f>
        <v>2397.3220110000002</v>
      </c>
      <c r="AD146">
        <f t="shared" si="2"/>
        <v>51688.495913999999</v>
      </c>
      <c r="AE146" s="3">
        <f>3248+(664.1-559.7)+(0+(0-0))+0-831-0</f>
        <v>2521.4</v>
      </c>
    </row>
    <row r="147" spans="1:31" s="2" customFormat="1" x14ac:dyDescent="0.25">
      <c r="A147">
        <v>89</v>
      </c>
      <c r="B147">
        <v>5</v>
      </c>
      <c r="C147">
        <v>23</v>
      </c>
      <c r="D147">
        <v>1</v>
      </c>
      <c r="E147">
        <v>1</v>
      </c>
      <c r="F147" s="3">
        <f>3135+(1119.1-1260.2)+(-6.3954+(-2.282964--2.570808))+0-744.2--1.51816799999997</f>
        <v>2245.1106119999999</v>
      </c>
      <c r="G147" s="3">
        <f>3089.9+(1079.5-1341.1)+(1.575849+(0.550545-0.683961))+0-721.7-0.368066999999927</f>
        <v>2107.6743660000006</v>
      </c>
      <c r="H147" s="3">
        <f>2993.9+(1058-1299)+(-3.053778+(-1.07916--1.32498))+0-719.3--0.733686000000115</f>
        <v>2031.5257280000003</v>
      </c>
      <c r="I147" s="3">
        <f>3008.1+(1012.6-1333.8)+(-6.136524+(-2.065704--2.720952))+0-695.1--1.41800399999997</f>
        <v>1987.7367280000001</v>
      </c>
      <c r="J147" s="3">
        <f>3018.4+(1018-1255.3)+(-1.539384+(-0.51918--0.640203))+0-743.6--0.379235999999925</f>
        <v>2036.4608750000004</v>
      </c>
      <c r="K147" s="3">
        <f>3016.6+(1061.2-1328.8)+(-3.076932+(-1.082424--1.355376))+0-729.5--0.744090000000116</f>
        <v>2017.44011</v>
      </c>
      <c r="L147" s="3">
        <f>2769.3+(1148.2-1161.8)+(-2.824686+(-1.171164--1.185036))+0-727.3--0.741846000000116</f>
        <v>2026.3310320000005</v>
      </c>
      <c r="M147" s="3">
        <f>2758.5+(1056.1-1040.2)+(-1.406835+(-0.538611--0.530502))+0-647.4--0.330173999999934</f>
        <v>2125.9152299999992</v>
      </c>
      <c r="N147" s="3">
        <f>3031+(1041.9-1022.9)+(1.54581+(0.531369-0.521679))+0-720.7-0.367556999999927</f>
        <v>2330.4879429999996</v>
      </c>
      <c r="O147" s="3">
        <f>3146.2+(959.1-1018.6)+(-4.813686+(-1.467423--1.558458))+0-584.5--0.894285000000034</f>
        <v>2498.3716339999996</v>
      </c>
      <c r="P147" s="3">
        <f>3257.1+(763.7-847.4)+(1.661121+(0.389487-0.432174))+0-563.2-0.287231999999943</f>
        <v>2611.5312019999997</v>
      </c>
      <c r="Q147" s="3">
        <f>3229.8+(705.7-583.1)+(4.941594+(1.079721-0.892143))+0-702.3-1.07451900000004</f>
        <v>2654.1546530000001</v>
      </c>
      <c r="R147" s="3">
        <f>3213.1+(544.3-462)+(1.638681+(0.277593-0.23562))+0-658.5-0.335834999999933</f>
        <v>2638.2448189999996</v>
      </c>
      <c r="S147" s="3">
        <f>3209+(484.2-396.7)+(1.63659+(0.246942-0.202317))+0-711.6-0.362915999999928</f>
        <v>2586.2182990000001</v>
      </c>
      <c r="T147" s="3">
        <f>3196.3+(375.4-397.5)+(1.630113+(0.191454-0.202725))+0-674.4-0.343943999999932</f>
        <v>2501.0748980000003</v>
      </c>
      <c r="U147" s="3">
        <f>3174.3+(406.6-398.8)+(-1.618893+(-0.207366--0.203388))+0-637.2--0.324971999999935</f>
        <v>2543.6021009999999</v>
      </c>
      <c r="V147" s="3">
        <f>3187.9+(532.7-522.7)+(0+(0-0))+0-679.1-0</f>
        <v>2518.8000000000002</v>
      </c>
      <c r="W147" s="3">
        <f>3196.9+(707.5-871)+(-8.152095+(-1.804125--2.22105))+0-539.8--1.37648999999992</f>
        <v>2487.2413200000005</v>
      </c>
      <c r="X147" s="3">
        <f>3142+(863.4-904.9)+(-3.20484+(-0.880668--0.922998))+0-642.4--0.655248000000102</f>
        <v>2455.5927379999998</v>
      </c>
      <c r="Y147" s="3">
        <f>3131.3+(602.1-664.1)+(-3.193926+(-0.614142--0.677382))+0-595.9--0.607818000000095</f>
        <v>2470.8771320000001</v>
      </c>
      <c r="Z147" s="3">
        <f>3261.3+(428.8-379.2)+(-1.663263+(-0.218688--0.193392))+0-677--0.345269999999931</f>
        <v>2632.5567109999997</v>
      </c>
      <c r="AA147" s="3">
        <f>3288.5+(515.6-452.8)+(-6.70854+(-1.051824--0.923712))+0-701.5--1.43105999999997</f>
        <v>2644.3944080000001</v>
      </c>
      <c r="AB147" s="3">
        <f>3291.9+(691.6-710.2)+(-3.357738+(-0.705432--0.724404))+0-673.5--0.686970000000107</f>
        <v>2597.1482040000005</v>
      </c>
      <c r="AC147" s="3">
        <f>3191.2+(900-927.9)+(-3.255024+(-0.918--0.946458))+0-616.2--0.628524000000098</f>
        <v>2544.5019580000003</v>
      </c>
      <c r="AD147">
        <f t="shared" si="2"/>
        <v>57292.992700999996</v>
      </c>
      <c r="AE147" s="3">
        <f>3286+(521.5-373.4)+(0+(0-0))+0-732-0</f>
        <v>2702.1</v>
      </c>
    </row>
    <row r="148" spans="1:31" s="2" customFormat="1" x14ac:dyDescent="0.25">
      <c r="A148">
        <v>89</v>
      </c>
      <c r="B148">
        <v>5</v>
      </c>
      <c r="C148">
        <v>24</v>
      </c>
      <c r="D148">
        <v>2</v>
      </c>
      <c r="E148">
        <v>1</v>
      </c>
      <c r="F148" s="3">
        <f>3158.8+(1170.7-1220.9)+(-4.832964+(-1.791171--1.867977))+0-727.1--1.11246300000004</f>
        <v>2377.8563050000002</v>
      </c>
      <c r="G148" s="3">
        <f>3167.4+(1076.4-1331.7)+(-1.615374+(-0.548964--0.679167))+0-679.3--0.346442999999931</f>
        <v>2231.6612720000007</v>
      </c>
      <c r="H148" s="3">
        <f>3170.1+(1021.3-1314.8)+(1.616751+(0.520863-0.670548))+0-708.8-0.361487999999928</f>
        <v>2168.9055780000003</v>
      </c>
      <c r="I148" s="3">
        <f>3174.4+(886.4-1313.3)+(-6.475776+(-1.808256--2.679132))+0-627.8--1.28071199999997</f>
        <v>2115.3758120000002</v>
      </c>
      <c r="J148" s="3">
        <f>3174.6+(940.5-1265.5)+(1.619046+(0.479655-0.645405))+0-690.1-0.35195099999993</f>
        <v>2160.601345</v>
      </c>
      <c r="K148" s="3">
        <f>2859.7+(1132.6-1217.5)+(-4.375341+(-1.732878--1.862775))+0-608.9--0.931617000000035</f>
        <v>2162.5861729999997</v>
      </c>
      <c r="L148" s="3">
        <f>2798.8+(1084.9-1242.5)+(-5.709552+(-2.213196--2.5347))+0-487--0.993479999999979</f>
        <v>2149.8054320000006</v>
      </c>
      <c r="M148" s="3">
        <f>2850.7+(968.9-1085.3)+(-2.907714+(-0.988278--1.107006))+0-507.1--0.517242000000081</f>
        <v>2224.9282559999997</v>
      </c>
      <c r="N148" s="3">
        <f>3039+(1057.1-1135.2)+(3.09978+(1.078242-1.157904))+0-581-0.592620000000093</f>
        <v>2382.3274979999997</v>
      </c>
      <c r="O148" s="3">
        <f>3150.4+(1031.2-1046.1)+(-6.426816+(-2.103648--2.134044))+0-623--1.27091999999997</f>
        <v>2507.3744999999999</v>
      </c>
      <c r="P148" s="3">
        <f>3234.1+(1001-1057.3)+(4.948173+(1.53153-1.617669))+0-534.6-0.817938000000031</f>
        <v>2647.2440960000004</v>
      </c>
      <c r="Q148" s="3">
        <f>3247.1+(812.2-815.2)+(-3.312042+(-0.828444--0.831504))+0-551.7--0.562734000000088</f>
        <v>2689.6537520000002</v>
      </c>
      <c r="R148" s="3">
        <f>3186.1+(656.6-567)+(0+(0-0))+0-599.1-0</f>
        <v>2676.6</v>
      </c>
      <c r="S148" s="3">
        <f>3143.8+(607.7-505.2)+(-3.206676+(-0.619854--0.515304))+0-702--0.716040000000112</f>
        <v>2541.7048140000006</v>
      </c>
      <c r="T148" s="3">
        <f>3223.9+(479.5-581.7)+(1.644189+(0.244545-0.296667))+0-551.1-0.281060999999944</f>
        <v>2571.9110059999998</v>
      </c>
      <c r="U148" s="3">
        <f>3192.7+(551.9-626.5)+(-1.628277+(-0.281469--0.319515))+0-469.3--0.239342999999952</f>
        <v>2647.4491119999993</v>
      </c>
      <c r="V148" s="3">
        <f>3169.1+(553-676.7)+(-3.232482+(-0.56406--0.690234))+0-454.4--0.463488000000072</f>
        <v>2588.3571799999995</v>
      </c>
      <c r="W148" s="3">
        <f>3182.8+(836.6-880.1)+(0+(0-0))+0-620.8-0</f>
        <v>2518.5</v>
      </c>
      <c r="X148" s="3">
        <f>3143.2+(869.5-1032.8)+(-3.206064+(-0.88689--1.053456))+0-545.3--0.556206000000087</f>
        <v>2432.1167079999996</v>
      </c>
      <c r="Y148" s="3">
        <f>3163.5+(780.9-762.5)+(0+(0-0))+0-665.8-0</f>
        <v>2516.1000000000004</v>
      </c>
      <c r="Z148" s="3">
        <f>3248.3+(590.6-533.4)+(-3.313266+(-0.602412--0.544068))+0-651.1--0.664122000000104</f>
        <v>2651.6925120000001</v>
      </c>
      <c r="AA148" s="3">
        <f>3269.7+(634.8-524.8)+(-3.335094+(-0.647496--0.535296))+0-675.5--0.689010000000108</f>
        <v>2701.4417159999998</v>
      </c>
      <c r="AB148" s="3">
        <f>3275.9+(769.4-690)+(-3.341418+(-0.784788--0.7038))+0-721.7--0.736134000000115</f>
        <v>2630.913728</v>
      </c>
      <c r="AC148" s="3">
        <f>3265.8+(919-936.9)+(-3.331116+(-0.93738--0.955638))+0-667.5--0.680850000000106</f>
        <v>2577.7679920000005</v>
      </c>
      <c r="AD148">
        <f t="shared" si="2"/>
        <v>58872.874787000001</v>
      </c>
      <c r="AE148" s="3">
        <f>3280+(558.4-512.7)+(0+(0-0))+0-571.8-0</f>
        <v>2753.8999999999996</v>
      </c>
    </row>
    <row r="149" spans="1:31" s="2" customFormat="1" x14ac:dyDescent="0.25">
      <c r="A149">
        <v>89</v>
      </c>
      <c r="B149">
        <v>5</v>
      </c>
      <c r="C149">
        <v>25</v>
      </c>
      <c r="D149">
        <v>3</v>
      </c>
      <c r="E149">
        <v>1</v>
      </c>
      <c r="F149" s="3">
        <f>3250.3+(1023.1-1197.4)+(-11.603571+(-3.652467--4.274718))+0-684.2--2.44259400000001</f>
        <v>2383.2612740000004</v>
      </c>
      <c r="G149" s="3">
        <f>3264.8+(929.9-1249.4)+(-8.32524+(-2.371245--3.18597))+0-695.4--1.7732699999999</f>
        <v>2244.1627549999998</v>
      </c>
      <c r="H149" s="3">
        <f>3177.1+(932.1-1249.7)+(-1.620321+(-0.475371--0.637347))+0-694.8--0.35434799999993</f>
        <v>2163.5960029999997</v>
      </c>
      <c r="I149" s="3">
        <f>3158.1+(898-1271.2)+(1.610631+(0.45798-0.648312))+0-668.3-0.340832999999932</f>
        <v>2117.679466</v>
      </c>
      <c r="J149" s="3">
        <f>3166+(924.3-1212.1)+(1.61466+(0.471393-0.618171))+0-723-0.368729999999927</f>
        <v>2156.2991519999996</v>
      </c>
      <c r="K149" s="3">
        <f>3168.8+(1017.5-1262)+(-6.464352+(-2.0757--2.57448))+0-756.5--1.54325999999997</f>
        <v>2163.377688</v>
      </c>
      <c r="L149" s="3">
        <f>3150+(939.9-1358.6)+(-6.426+(-1.917396--2.771544))+0-609.7--1.24378799999997</f>
        <v>2117.2719360000001</v>
      </c>
      <c r="M149" s="3">
        <f>3004.7+(893.7-1204.5)+(0+(0-0))+0-511.4-0</f>
        <v>2182.4999999999995</v>
      </c>
      <c r="N149" s="3">
        <f>3036.3+(992.4-1089.5)+(0+(0-0))+0-597-0</f>
        <v>2342.2000000000003</v>
      </c>
      <c r="O149" s="3">
        <f>3190.6+(911.7-1096.4)+(0+(0-0))+0-521.4-0</f>
        <v>2484.4999999999995</v>
      </c>
      <c r="P149" s="3">
        <f>3254+(844.1-920)+(4.97862+(1.291473-1.4076))+0-531.5-0.813195000000031</f>
        <v>2650.6492979999998</v>
      </c>
      <c r="Q149" s="3">
        <f>3218.5+(689.5-675.6)+(3.28287+(0.70329-0.689112))+0-565-0.57630000000009</f>
        <v>2670.1207479999998</v>
      </c>
      <c r="R149" s="3">
        <f>3202.1+(564.9-536.8)+(6.532284+(1.152396-1.095072))+0-558.5-1.13933999999998</f>
        <v>2677.1502679999999</v>
      </c>
      <c r="S149" s="3">
        <f>3187.5+(419.3-467.2)+(-3.25125+(-0.427686--0.476544))+0-576.7--0.588234000000092</f>
        <v>2560.2858419999998</v>
      </c>
      <c r="T149" s="3">
        <f>3182.4+(295.2-383.8)+(3.246048+(0.301104-0.391476))+0-529-0.539580000000084</f>
        <v>2567.4160959999999</v>
      </c>
      <c r="U149" s="3">
        <f>3184.5+(276.2-356.5)+(3.24819+(0.281724-0.36363))+0-525.7-0.536214000000084</f>
        <v>2581.1300699999997</v>
      </c>
      <c r="V149" s="3">
        <f>3188.5+(289.8-358.3)+(-6.50454+(-0.591192--0.730932))+0-593.2--1.21012799999997</f>
        <v>2521.6453280000001</v>
      </c>
      <c r="W149" s="3">
        <f>3179.2+(577.2-593.2)+(-3.242784+(-0.588744--0.605064))+0-664--0.677280000000106</f>
        <v>2496.6508159999998</v>
      </c>
      <c r="X149" s="3">
        <f>3178.1+(949.1-973.7)+(-3.241662+(-0.968082--0.993174))+0-668.7--0.682074000000107</f>
        <v>2482.265504</v>
      </c>
      <c r="Y149" s="3">
        <f>3194.5+(867.6-863.9)+(1.629195+(0.442476-0.440589))+0-638-0.325379999999935</f>
        <v>2561.5057019999999</v>
      </c>
      <c r="Z149" s="3">
        <f>3236.6+(383.9-462.3)+(-1.650666+(-0.195789--0.235773))+0-554--0.282539999999944</f>
        <v>2602.871858</v>
      </c>
      <c r="AA149" s="3">
        <f>3256.8+(432.9-511.4)+(0+(0-0))+0-548.1-0</f>
        <v>2630.2000000000003</v>
      </c>
      <c r="AB149" s="3">
        <f>3258.5+(734.8-743.9)+(-3.32367+(-0.749496--0.758778))+0-572--0.583440000000091</f>
        <v>2674.6690520000002</v>
      </c>
      <c r="AC149" s="3">
        <f>3261.7+(791.4-861.5)+(-3.326934+(-0.807228--0.87873))+0-637.9--0.650658000000102</f>
        <v>2551.0952259999999</v>
      </c>
      <c r="AD149">
        <f t="shared" si="2"/>
        <v>58582.504081999999</v>
      </c>
      <c r="AE149" s="3">
        <f>3236+(411.8-392.2)+(0+(0-0))+0-551.1-0</f>
        <v>2704.5</v>
      </c>
    </row>
    <row r="150" spans="1:31" s="2" customFormat="1" x14ac:dyDescent="0.25">
      <c r="A150">
        <v>89</v>
      </c>
      <c r="B150">
        <v>5</v>
      </c>
      <c r="C150">
        <v>26</v>
      </c>
      <c r="D150">
        <v>4</v>
      </c>
      <c r="E150">
        <v>1</v>
      </c>
      <c r="F150" s="3">
        <f>3248.2+(992.4-1190.5)+(-6.626328+(-2.024496--2.42862))+0-639.8--1.30519199999997</f>
        <v>2405.3829879999994</v>
      </c>
      <c r="G150" s="3">
        <f>3146+(1116.1-1325.9)+(-3.20892+(-1.138422--1.352418))+0-654.6--0.667692000000104</f>
        <v>2279.2727679999998</v>
      </c>
      <c r="H150" s="3">
        <f>3131.9+(1042.6-1324.3)+(-1.597269+(-0.531726--0.675393))+0-650.8--0.331907999999934</f>
        <v>2198.2783060000002</v>
      </c>
      <c r="I150" s="3">
        <f>3152.8+(1016.1-1288.7)+(-6.431712+(-2.072844--2.628948))+0-695.1--1.41800399999997</f>
        <v>2180.6423960000006</v>
      </c>
      <c r="J150" s="3">
        <f>3162.1+(1045.3-1284.5)+(3.225342+(1.066206-1.31019))+0-709.1-0.723282000000113</f>
        <v>2216.0580759999998</v>
      </c>
      <c r="K150" s="3">
        <f>3184.9+(953.5-1324.1)+(-3.248598+(-0.97257--1.350582))+0-598.8--0.610776000000095</f>
        <v>2213.24019</v>
      </c>
      <c r="L150" s="3">
        <f>3206.8+(940.6-1318.1)+(-6.541872+(-1.918824--2.688924))+0-640.6--1.30682399999997</f>
        <v>2184.235052</v>
      </c>
      <c r="M150" s="3">
        <f>3202.7+(783.4-1231.1)+(1.633377+(0.399534-0.627861))+0-533-0.271829999999946</f>
        <v>2223.1332199999997</v>
      </c>
      <c r="N150" s="3">
        <f>3181.9+(947.1-1174.7)+(0+(0-0))+0-571.4-0</f>
        <v>2382.9</v>
      </c>
      <c r="O150" s="3">
        <f>3155.9+(1121.6-1039.6)+(0+(0-0))+0-644.7-0</f>
        <v>2593.1999999999998</v>
      </c>
      <c r="P150" s="3">
        <f>3125.1+(962.2-763.6)+(3.187602+(0.981444-0.778872))+0-609.2-0.621384000000097</f>
        <v>2717.2687900000001</v>
      </c>
      <c r="Q150" s="3">
        <f>3101.7+(698.6-492.1)+(3.163734+(0.712572-0.501942))+0-536.4-0.547128000000086</f>
        <v>2774.6272359999994</v>
      </c>
      <c r="R150" s="3">
        <f>3083.9+(564.7-409.2)+(0+(0-0))+0-582.3-0</f>
        <v>2657.1000000000004</v>
      </c>
      <c r="S150" s="3">
        <f>3080.4+(519.4-302.7)+(0+(0-0))+0-604.2-0</f>
        <v>2692.8999999999996</v>
      </c>
      <c r="T150" s="3">
        <f>3109.2+(516-373.9)+(0+(0-0))+0-508.6-0</f>
        <v>2742.7</v>
      </c>
      <c r="U150" s="3">
        <f>3101.7+(465.3-401.3)+(-1.581867+(-0.237303--0.204663))+0-610.9--0.311558999999938</f>
        <v>2553.4970519999997</v>
      </c>
      <c r="V150" s="3">
        <f>3101.3+(541.1-254.5)+(-1.581663+(-0.275961--0.129795))+0-709.3--0.361742999999928</f>
        <v>2677.2339139999999</v>
      </c>
      <c r="W150" s="3">
        <f>3104.1+(562.9-389.2)+(-6.332364+(-1.148316--0.793968))+0-657--1.34027999999997</f>
        <v>2615.4535679999994</v>
      </c>
      <c r="X150" s="3">
        <f>3101.9+(925.4-838.5)+(-4.745907+(-1.415862--1.282905))+0-640.4--0.979812000000037</f>
        <v>2544.5009480000003</v>
      </c>
      <c r="Y150" s="3">
        <f>3128.3+(778-750.4)+(1.595433+(0.39678-0.382704))+0-630.6-0.321605999999936</f>
        <v>2526.5879030000001</v>
      </c>
      <c r="Z150" s="3">
        <f>3200.5+(563.9-316.1)+(-1.632255+(-0.287589--0.161211))+0-697.9--0.355928999999929</f>
        <v>2748.997296</v>
      </c>
      <c r="AA150" s="3">
        <f>3230.6+(516-361.5)+(-4.942818+(-0.78948--0.553095))+0-646.5--0.989145000000037</f>
        <v>2734.4099419999998</v>
      </c>
      <c r="AB150" s="3">
        <f>3229.8+(519.5-472.2)+(1.647198+(0.264945-0.240822))+0-612.5-0.312374999999938</f>
        <v>2665.9589460000002</v>
      </c>
      <c r="AC150" s="3">
        <f>3219.2+(656.2-730.9)+(0+(0-0))+0-527.6-0</f>
        <v>2616.9</v>
      </c>
      <c r="AD150">
        <f t="shared" si="2"/>
        <v>60144.478590999992</v>
      </c>
      <c r="AE150" s="3">
        <f>3213+(568.6-386.7)+(0+(0-0))+0-593.8-0</f>
        <v>2801.1000000000004</v>
      </c>
    </row>
    <row r="151" spans="1:31" s="2" customFormat="1" x14ac:dyDescent="0.25">
      <c r="A151">
        <v>89</v>
      </c>
      <c r="B151">
        <v>5</v>
      </c>
      <c r="C151">
        <v>27</v>
      </c>
      <c r="D151">
        <v>5</v>
      </c>
      <c r="E151">
        <v>1</v>
      </c>
      <c r="F151" s="3">
        <f>3205.2+(964.5-1053.1)+(-4.903956+(-1.475685--1.611243))+0-696.9--1.06625700000004</f>
        <v>2415.9978589999996</v>
      </c>
      <c r="G151" s="3">
        <f>3175.5+(1041.3-1312.7)+(-1.619505+(-0.531063--0.669477))+0-630.6--0.321605999999936</f>
        <v>2272.3405149999999</v>
      </c>
      <c r="H151" s="3">
        <f>3095.8+(1041.9-1292.7)+(-1.578858+(-0.531369--0.659277))+0-666.3--0.339812999999932</f>
        <v>2177.5888630000004</v>
      </c>
      <c r="I151" s="3">
        <f>3121.3+(1013.1-1351.6)+(0+(0-0))+0-652.3-0</f>
        <v>2130.5</v>
      </c>
      <c r="J151" s="3">
        <f>3143.4+(969.4-1287)+(-4.809402+(-1.483182--1.96911))+0-666--1.01898000000004</f>
        <v>2156.4955060000002</v>
      </c>
      <c r="K151" s="3">
        <f>3154.8+(1018-1284.1)+(-4.826844+(-1.55754--1.964673))+0-734.8--1.12424400000004</f>
        <v>2150.6045330000002</v>
      </c>
      <c r="L151" s="3">
        <f>3050.2+(975.8-1205.1)+(-3.111204+(-0.995316--1.229202))+0-682.9--0.696558000000109</f>
        <v>2135.8192399999998</v>
      </c>
      <c r="M151" s="3">
        <f>3108.3+(823.5-1084.6)+(1.585233+(0.419985-0.553146))+0-653.1-0.333080999999934</f>
        <v>2195.2189910000006</v>
      </c>
      <c r="N151" s="3">
        <f>3193.6+(874.2-1075.8)+(-3.257472+(-0.891684--1.097316))+0-658.6--0.671772000000105</f>
        <v>2331.0199320000002</v>
      </c>
      <c r="O151" s="3">
        <f>3196+(1029.7-975.3)+(0+(0-0))+0-672.7-0</f>
        <v>2577.6999999999998</v>
      </c>
      <c r="P151" s="3">
        <f>3241.3+(869.2-815.9)+(3.306126+(0.886584-0.832218))+0-596.3-0.608226000000095</f>
        <v>2701.0522659999997</v>
      </c>
      <c r="Q151" s="3">
        <f>3177.2+(731.5-431.4)+(0+(0-0))+0-719.8-0</f>
        <v>2757.5</v>
      </c>
      <c r="R151" s="3">
        <f>3193.1+(417.7-255.8)+(1.628481+(0.213027-0.130458))+0-636.9-0.324818999999935</f>
        <v>2719.4862309999999</v>
      </c>
      <c r="S151" s="3">
        <f>3211.6+(401.9-285.6)+(0+(0-0))+0-694.6-0</f>
        <v>2633.2999999999997</v>
      </c>
      <c r="T151" s="3">
        <f>3210.6+(456.3-375.2)+(1.637406+(0.232713-0.191352))+0-685-0.34934999999993</f>
        <v>2608.0294169999997</v>
      </c>
      <c r="U151" s="3">
        <f>3196.5+(398.4-322.2)+(0+(0-0))+0-680.1-0</f>
        <v>2592.6</v>
      </c>
      <c r="V151" s="3">
        <f>3187.9+(329-274.8)+(-1.625829+(-0.16779--0.140148))+0-647.6--0.330275999999934</f>
        <v>2593.1768050000001</v>
      </c>
      <c r="W151" s="3">
        <f>3196+(404.3-330.8)+(-3.25992+(-0.412386--0.337416))+0-708.9--0.723078000000113</f>
        <v>2557.9881879999998</v>
      </c>
      <c r="X151" s="3">
        <f>3096.1+(864-787.3)+(-1.579011+(-0.44064--0.401523))+0-657.1--0.335120999999933</f>
        <v>2514.4169930000003</v>
      </c>
      <c r="Y151" s="3">
        <f>3104.6+(799.3-734.5)+(0+(0-0))+0-695-0</f>
        <v>2474.3999999999996</v>
      </c>
      <c r="Z151" s="3">
        <f>3258.5+(452.4-339.2)+(0+(0-0))+0-675.1-0</f>
        <v>2696.6</v>
      </c>
      <c r="AA151" s="3">
        <f>3282+(428.6-340)+(-5.02146+(-0.655758--0.5202))+0-656.8--1.00490400000004</f>
        <v>2709.6478860000002</v>
      </c>
      <c r="AB151" s="3">
        <f>3271.3+(448.2-428.6)+(-1.668363+(-0.228582--0.218586))+0-663.2--0.338231999999933</f>
        <v>2626.3598730000003</v>
      </c>
      <c r="AC151" s="3">
        <f>3267.8+(567.1-636.3)+(-3.333156+(-0.578442--0.649026))+0-617.2--0.629544000000098</f>
        <v>2578.7669719999999</v>
      </c>
      <c r="AD151">
        <f t="shared" si="2"/>
        <v>59306.610069999995</v>
      </c>
      <c r="AE151" s="3">
        <f>3254+(632.2-322.5)+(0+(0-0))+0-757.5-0</f>
        <v>2806.2</v>
      </c>
    </row>
    <row r="152" spans="1:31" s="2" customFormat="1" x14ac:dyDescent="0.25">
      <c r="A152">
        <v>89</v>
      </c>
      <c r="B152">
        <v>5</v>
      </c>
      <c r="C152">
        <v>28</v>
      </c>
      <c r="D152">
        <v>6</v>
      </c>
      <c r="E152">
        <v>1</v>
      </c>
      <c r="F152" s="3">
        <f>3250.4+(814.3-1040.3)+(-3.315408+(-0.830586--1.061106))+0-608.9--0.621078000000097</f>
        <v>2413.0361900000003</v>
      </c>
      <c r="G152" s="3">
        <f>3260.5+(916-1259.7)+(-4.988565+(-1.40148--1.927341))+0-643.5--0.984555000000037</f>
        <v>2269.8218510000002</v>
      </c>
      <c r="H152" s="3">
        <f>3260.4+(952.8-1340.6)+(1.662804+(0.485928-0.683706))+0-688.7-0.35123699999993</f>
        <v>2185.0137890000005</v>
      </c>
      <c r="I152" s="3">
        <f>3302.5+(839.5-1323.7)+(0+(0-0))+0-682.3-0</f>
        <v>2136</v>
      </c>
      <c r="J152" s="3">
        <f>3329+(778.3-1237.6)+(0+(0-0))+0-709.8-0</f>
        <v>2159.8999999999996</v>
      </c>
      <c r="K152" s="3">
        <f>3330.5+(863.3-1298)+(-6.79422+(-1.761132--2.64792))+0-733.1--1.49552399999997</f>
        <v>2158.2880920000002</v>
      </c>
      <c r="L152" s="3">
        <f>3360.3+(757.3-1279)+(-6.855012+(-1.544892--2.60916))+0-699.3--1.42657199999997</f>
        <v>2134.9358280000001</v>
      </c>
      <c r="M152" s="3">
        <f>3359.2+(569.3-1244)+(-3.426384+(-0.580686--1.26888))+0-505.2--0.515304000000081</f>
        <v>2177.0771140000002</v>
      </c>
      <c r="N152" s="3">
        <f>3332+(628.1-1176.5)+(-1.69932+(-0.320331--0.600015))+0-439.5--0.224144999999955</f>
        <v>2342.904509</v>
      </c>
      <c r="O152" s="3">
        <f>3291.8+(805.7-994.5)+(3.357636+(0.821814-1.01439))+0-602.4-0.614448000000096</f>
        <v>2503.1506119999995</v>
      </c>
      <c r="P152" s="3">
        <f>3255+(684.5-621.9)+(3.3201+(0.69819-0.634338))+0-704.6-0.718692000000112</f>
        <v>2615.6652600000002</v>
      </c>
      <c r="Q152" s="3">
        <f>3217.2+(458.8-355.7)+(0+(0-0))+0-657.1-0</f>
        <v>2663.2</v>
      </c>
      <c r="R152" s="3">
        <f>3198.4+(426.2-290)+(0+(0-0))+0-668.2-0</f>
        <v>2666.3999999999996</v>
      </c>
      <c r="S152" s="3">
        <f>3193+(367.1-365.6)+(-1.62843+(-0.187221--0.186456))+0-645--0.328949999999935</f>
        <v>2548.1997550000001</v>
      </c>
      <c r="T152" s="3">
        <f>3203.5+(307.7-431.4)+(1.633785+(0.156927-0.220014))+0-547.4-0.279173999999944</f>
        <v>2533.6915240000003</v>
      </c>
      <c r="U152" s="3">
        <f>3194.2+(352.4-476.5)+(3.258084+(0.359448-0.48603))+0-590.8-0.602616000000094</f>
        <v>2481.8288860000002</v>
      </c>
      <c r="V152" s="3">
        <f>3189.6+(381.4-464.3)+(-1.626696+(-0.194514--0.236793))+0-618.5--0.315434999999937</f>
        <v>2486.9310179999998</v>
      </c>
      <c r="W152" s="3">
        <f>3180.9+(553.1-673.4)+(-4.866777+(-0.846243--1.030302))+0-589.1--0.901323000000034</f>
        <v>2467.7186050000005</v>
      </c>
      <c r="X152" s="3">
        <f>3178+(788.6-956.9)+(-4.86234+(-1.206558--1.464057))+0-589.1--0.901323000000034</f>
        <v>2416.8964820000001</v>
      </c>
      <c r="Y152" s="3">
        <f>3199.8+(545.2-774.1)+(-1.631898+(-0.278052--0.394791))+0-557.4--0.284273999999943</f>
        <v>2412.2691150000001</v>
      </c>
      <c r="Z152" s="3">
        <f>3234.8+(412.9-313.9)+(1.649748+(0.210579-0.160089))+0-577.5-0.294524999999941</f>
        <v>2757.7057130000003</v>
      </c>
      <c r="AA152" s="3">
        <f>3258.3+(418.2-324)+(-4.985199+(-0.639846--0.49572))+0-619.2--0.947376000000036</f>
        <v>2729.1180510000004</v>
      </c>
      <c r="AB152" s="3">
        <f>3267.9+(320.9-444)+(-3.333258+(-0.327318--0.45288))+0-584.1--0.595782000000093</f>
        <v>2558.0880860000002</v>
      </c>
      <c r="AC152" s="3">
        <f>3157.9+(449.5-557.1)+(0+(0-0))+0-624.3-0</f>
        <v>2426</v>
      </c>
      <c r="AD152">
        <f t="shared" si="2"/>
        <v>58243.840480000013</v>
      </c>
      <c r="AE152" s="3">
        <f>3213+(577.1-340.4)+(0+(0-0))+0-638.9-0</f>
        <v>2810.7999999999997</v>
      </c>
    </row>
    <row r="153" spans="1:31" s="2" customFormat="1" x14ac:dyDescent="0.25">
      <c r="A153">
        <v>89</v>
      </c>
      <c r="B153">
        <v>5</v>
      </c>
      <c r="C153">
        <v>29</v>
      </c>
      <c r="D153">
        <v>7</v>
      </c>
      <c r="E153">
        <v>1</v>
      </c>
      <c r="F153" s="3">
        <f>3151.4+(630.6-972.9)+(-3.214428+(-0.643212--0.992358))+0-645.8--0.658716000000103</f>
        <v>2161.0934340000003</v>
      </c>
      <c r="G153" s="3">
        <f>3120.1+(725.7-1173.3)+(3.182502+(0.740214-1.196766))+0-643.8-0.656676000000103</f>
        <v>2030.769274</v>
      </c>
      <c r="H153" s="3">
        <f>3126.3+(687.1-1160.3)+(-1.594413+(-0.350421--0.591753))+0-635.3--0.324002999999936</f>
        <v>2016.7709220000002</v>
      </c>
      <c r="I153" s="3">
        <f>3197.3+(637.2-1225)+(-8.153115+(-1.62486--3.12375))+0-653.7--1.66693499999991</f>
        <v>1950.8127099999997</v>
      </c>
      <c r="J153" s="3">
        <f>3208.8+(638.8-1206.1)+(1.636488+(0.325788-0.615111))+0-691.2-0.35251199999993</f>
        <v>1951.2946530000002</v>
      </c>
      <c r="K153" s="3">
        <f>3210.5+(617.3-1221.3)+(-11.461485+(-2.203761--4.360041))+0-641.3--2.28944100000001</f>
        <v>1958.1842359999998</v>
      </c>
      <c r="L153" s="3">
        <f>2927.5+(628.2-1029.1)+(-5.9721+(-1.281528--2.099364))+0-647.6--1.32110399999997</f>
        <v>1875.1668400000005</v>
      </c>
      <c r="M153" s="3">
        <f>2795.4+(612.1-926.1)+(-1.425654+(-0.312171--0.472311))+0-673.7--0.343586999999932</f>
        <v>1806.7780729999997</v>
      </c>
      <c r="N153" s="3">
        <f>2864.6+(579.5-927.3)+(-1.460946+(-0.295545--0.472923))+0-632.1--0.322370999999936</f>
        <v>1883.7388030000004</v>
      </c>
      <c r="O153" s="3">
        <f>2953.6+(555.2-866.4)+(0+(0-0))+0-679.8-0</f>
        <v>1962.6000000000001</v>
      </c>
      <c r="P153" s="3">
        <f>3118+(499.7-983.4)+(1.59018+(0.254847-0.501534))+0-558.5-0.284834999999943</f>
        <v>2076.8586580000001</v>
      </c>
      <c r="Q153" s="3">
        <f>3000.7+(749.4-1057.4)+(-3.060714+(-0.764388--1.078548))+0-657.2--0.670344000000105</f>
        <v>2033.4237900000001</v>
      </c>
      <c r="R153" s="3">
        <f>3032+(741.4-1072)+(-1.54632+(-0.378114--0.54672))+0-682.5--0.348074999999931</f>
        <v>2017.8703609999998</v>
      </c>
      <c r="S153" s="3">
        <f>2964.8+(673.8-980.1)+(0+(0-0))+0-579.7-0</f>
        <v>2078.8000000000002</v>
      </c>
      <c r="T153" s="3">
        <f>2967+(592-893.3)+(0+(0-0))+0-549-0</f>
        <v>2116.6999999999998</v>
      </c>
      <c r="U153" s="3">
        <f>3001.8+(588-799.8)+(-1.530918+(-0.29988--0.407898))+0-675.6--0.344555999999931</f>
        <v>2113.3216560000001</v>
      </c>
      <c r="V153" s="3">
        <f>3074.4+(504.9-842.2)+(-4.703832+(-0.772497--1.288566))+0-622.3--0.952119000000036</f>
        <v>2111.5643560000003</v>
      </c>
      <c r="W153" s="3">
        <f>3171.5+(502.9-986.3)+(-1.617465+(-0.256479--0.503013))+0-618.4--0.315383999999937</f>
        <v>2068.6444529999999</v>
      </c>
      <c r="X153" s="3">
        <f>3178.4+(671.1-1110.9)+(-11.346888+(-2.395827--3.965913))+0-688.3--2.45723100000001</f>
        <v>2042.9804290000002</v>
      </c>
      <c r="Y153" s="3">
        <f>3185.7+(437.8-802)+(-1.624707+(-0.223278--0.40902))+0-604.9--0.308498999999939</f>
        <v>2215.4695339999998</v>
      </c>
      <c r="Z153" s="3">
        <f>3215.8+(382.4-472.6)+(0+(0-0))+0-648.3-0</f>
        <v>2477.3000000000002</v>
      </c>
      <c r="AA153" s="3">
        <f>3238.4+(350.5-483.5)+(0+(0-0))+0-605.6-0</f>
        <v>2499.8000000000002</v>
      </c>
      <c r="AB153" s="3">
        <f>3252.1+(391.7-469.6)+(-3.317142+(-0.399534--0.478992))+0-691.4--0.70522800000011</f>
        <v>2480.2675439999998</v>
      </c>
      <c r="AC153" s="3">
        <f>3247.8+(387-567.8)+(-3.312756+(-0.39474--0.579156))+0-661.5--0.674730000000106</f>
        <v>2403.04639</v>
      </c>
      <c r="AD153">
        <f t="shared" si="2"/>
        <v>50333.256116000019</v>
      </c>
      <c r="AE153" s="3">
        <f>3202+(363.4-425.9)+(0+(0-0))+0-681.3-0</f>
        <v>2458.1999999999998</v>
      </c>
    </row>
    <row r="154" spans="1:31" s="2" customFormat="1" x14ac:dyDescent="0.25">
      <c r="A154">
        <v>89</v>
      </c>
      <c r="B154">
        <v>5</v>
      </c>
      <c r="C154">
        <v>30</v>
      </c>
      <c r="D154">
        <v>1</v>
      </c>
      <c r="E154">
        <v>1</v>
      </c>
      <c r="F154" s="3">
        <f>3241.9+(509.1-839.8)+(-4.960107+(-0.778923--1.284894))+0-724.2--1.10802600000004</f>
        <v>2183.6538900000005</v>
      </c>
      <c r="G154" s="3">
        <f>3259.9+(630.3-1201.7)+(-3.325098+(-0.642906--1.225734))+0-700.2--0.714204000000112</f>
        <v>1986.2719339999999</v>
      </c>
      <c r="H154" s="3">
        <f>3277.6+(606.3-1291.8)+(-5.014728+(-0.927639--1.976454))+0-686.2--1.04988600000004</f>
        <v>1902.9839729999999</v>
      </c>
      <c r="I154" s="3">
        <f>3279.3+(560.1-1262.3)+(-1.672443+(-0.285651--0.643773))+0-662.1--0.337670999999933</f>
        <v>1914.0233500000006</v>
      </c>
      <c r="J154" s="3">
        <f>3312.8+(572.2-1178.2)+(-8.44764+(-1.45911--3.00441))+0-744.4--1.89821999999989</f>
        <v>1957.3958799999998</v>
      </c>
      <c r="K154" s="3">
        <f>3318.4+(554.2-1191.5)+(-5.077152+(-0.847926--1.822995))+0-702.7--1.07513100000004</f>
        <v>1975.3730480000002</v>
      </c>
      <c r="L154" s="3">
        <f>3201.4+(560.3-1059.5)+(-4.898142+(-0.857259--1.621035))+0-722--1.10466000000004</f>
        <v>1977.1702939999996</v>
      </c>
      <c r="M154" s="3">
        <f>2928.8+(669.8-869)+(5.974752+(1.366392-1.77276))+0-681.6-1.39046399999997</f>
        <v>2052.1779200000005</v>
      </c>
      <c r="N154" s="3">
        <f>2922+(716.9-827.1)+(2.98044+(0.731238-0.843642))+0-637.3-0.650046000000102</f>
        <v>2176.7179899999996</v>
      </c>
      <c r="O154" s="3">
        <f>3095.2+(751-774.6)+(1.578552+(0.38301-0.395046))+0-705.3-0.359702999999928</f>
        <v>2367.506813</v>
      </c>
      <c r="P154" s="3">
        <f>3240.5+(583.8-428.6)+(4.957965+(0.893214-0.655758))+0-728.5-1.11460500000004</f>
        <v>2671.2808159999995</v>
      </c>
      <c r="Q154" s="3">
        <f>3211.7+(496.9-233.9)+(6.551868+(1.013676-0.477156))+0-651.1-1.32824399999997</f>
        <v>2829.3601440000002</v>
      </c>
      <c r="R154" s="3">
        <f>3177.9+(740.6-304.7)+(3.241458+(0.755412-0.310794))+0-708.6-0.722772000000113</f>
        <v>2908.1633040000002</v>
      </c>
      <c r="S154" s="3">
        <f>3199.2+(669.9-470)+(-1.631592+(-0.341649--0.2397))+0-726.6--0.370565999999926</f>
        <v>2671.137025</v>
      </c>
      <c r="T154" s="3">
        <f>3197.1+(607-575.9)+(1.630521+(0.30957-0.293709))+0-543.3-0.277082999999945</f>
        <v>2686.2692989999996</v>
      </c>
      <c r="U154" s="3">
        <f>3199+(607.8-546.5)+(0+(0-0))+0-637.5-0</f>
        <v>2622.8</v>
      </c>
      <c r="V154" s="3">
        <f>3184.7+(466.9-496)+(0+(0-0))+0-596.8-0</f>
        <v>2558.8000000000002</v>
      </c>
      <c r="W154" s="3">
        <f>3181.4+(313.1-352.2)+(0+(0-0))+0-640.2-0</f>
        <v>2502.1000000000004</v>
      </c>
      <c r="X154" s="3">
        <f>3192.3+(435.6-457.5)+(0+(0-0))+0-669.5-0</f>
        <v>2500.9</v>
      </c>
      <c r="Y154" s="3">
        <f>3207.2+(495.5-406.7)+(1.635672+(0.252705-0.207417))+0-650.4-0.331703999999934</f>
        <v>2646.9492560000003</v>
      </c>
      <c r="Z154" s="3">
        <f>3242.2+(658.5-416.2)+(0+(0-0))+0-724.7-0</f>
        <v>2759.8</v>
      </c>
      <c r="AA154" s="3">
        <f>3266.2+(458.3-359)+(-3.331524+(-0.467466--0.36618))+0-679.6--0.693192000000108</f>
        <v>2683.1603820000005</v>
      </c>
      <c r="AB154" s="3">
        <f>3265.8+(466.5-425.8)+(0+(0-0))+0-648.5-0</f>
        <v>2658</v>
      </c>
      <c r="AC154" s="3">
        <f>3251.6+(546.7-572.5)+(-4.974948+(-0.836451--0.875925))+0-666.6--1.01989800000004</f>
        <v>2555.2844240000004</v>
      </c>
      <c r="AD154">
        <f t="shared" si="2"/>
        <v>57747.279742000006</v>
      </c>
      <c r="AE154" s="3">
        <f>3278+(758-390.8)+(0+(0-0))+0-774.9-0</f>
        <v>2870.2999999999997</v>
      </c>
    </row>
    <row r="155" spans="1:31" s="2" customFormat="1" x14ac:dyDescent="0.25">
      <c r="A155">
        <v>89</v>
      </c>
      <c r="B155">
        <v>5</v>
      </c>
      <c r="C155">
        <v>31</v>
      </c>
      <c r="D155">
        <v>2</v>
      </c>
      <c r="E155">
        <v>1</v>
      </c>
      <c r="F155" s="3">
        <f>3248.8+(963.3-1096.5)+(-3.313776+(-0.982566--1.11843))+0-717.6--0.731952000000114</f>
        <v>2395.5540400000004</v>
      </c>
      <c r="G155" s="3">
        <f>3173.8+(979.6-1265)+(-3.237276+(-0.999192--1.2903))+0-639.8--0.652596000000102</f>
        <v>2246.3064279999999</v>
      </c>
      <c r="H155" s="3">
        <f>3156.9+(998.6-1331.7)+(1.610019+(0.509286-0.679167))+0-617.5-0.314924999999937</f>
        <v>2207.425213</v>
      </c>
      <c r="I155" s="3">
        <f>3161.1+(1027.9-1339.7)+(-1.612161+(-0.524229--0.683247))+0-690.4--0.35210399999993</f>
        <v>2157.798961</v>
      </c>
      <c r="J155" s="3">
        <f>3167.8+(992.9-1298.5)+(-3.231156+(-1.012758--1.32447))+0-677.9--0.691458000000108</f>
        <v>2182.0720140000003</v>
      </c>
      <c r="K155" s="3">
        <f>3156.3+(1009.5-1288.5)+(-1.609713+(-0.514845--0.657135))+0-713.8--0.364037999999928</f>
        <v>2162.3966149999997</v>
      </c>
      <c r="L155" s="3">
        <f>3163+(962.7-1301.9)+(-9.67878+(-2.945862--3.983814))+0-669.7--2.04928200000008</f>
        <v>2147.5084539999998</v>
      </c>
      <c r="M155" s="3">
        <f>3162.2+(836.6-1234.4)+(0+(0-0))+0-540.1-0</f>
        <v>2224.2999999999997</v>
      </c>
      <c r="N155" s="3">
        <f>3185+(898-1231)+(0+(0-0))+0-474-0</f>
        <v>2378</v>
      </c>
      <c r="O155" s="3">
        <f>3244+(943-1215)+(0+(0-0))+0-422-0</f>
        <v>2550</v>
      </c>
      <c r="P155" s="3">
        <f>3211.3+(825.9-952.7)+(3.275526+(0.842418-0.971754))+0-354-0.361080000000056</f>
        <v>2733.2851099999998</v>
      </c>
      <c r="Q155" s="3">
        <f>3186.8+(613.7-699.4)+(-3.250536+(-0.625974--0.713388))+0-319.1--0.325482000000051</f>
        <v>2779.1623600000007</v>
      </c>
      <c r="R155" s="3">
        <f>3140.3+(541.3-464.2)+(3.203106+(0.552126-0.473484))+0-416-0.424320000000066</f>
        <v>2804.2574279999999</v>
      </c>
      <c r="S155" s="3">
        <f>3137.8+(570-532.3)+(-4.800834+(-0.8721--0.814419))+0-481.3--0.736389000000028</f>
        <v>2690.0778740000001</v>
      </c>
      <c r="T155" s="3">
        <f>3149.7+(499.9-565.5)+(-1.606347+(-0.254949--0.288405))+0-386.4--0.197063999999961</f>
        <v>2696.324173</v>
      </c>
      <c r="U155" s="3">
        <f>3138.8+(572.4-553.9)+(0+(0-0))+0-483.7-0</f>
        <v>2673.6000000000004</v>
      </c>
      <c r="V155" s="3">
        <f>3144.9+(622.7-635.4)+(-3.207798+(-0.635154--0.648108))+0-486.9--0.496638000000078</f>
        <v>2642.6017940000002</v>
      </c>
      <c r="W155" s="3">
        <f>3139.2+(811.8-781.3)+(-4.802976+(-1.242054--1.195389))+0-569.7--0.871641000000033</f>
        <v>2596.0220000000004</v>
      </c>
      <c r="X155" s="3">
        <f>3142.2+(970.1-900)+(-3.205044+(-0.989502--0.918))+0-659.9--0.673098000000105</f>
        <v>2549.7965519999998</v>
      </c>
      <c r="Y155" s="3">
        <f>3159.7+(853.7-897.2)+(-3.222894+(-0.870774--0.915144))+0-521.9--0.532338000000083</f>
        <v>2591.6538139999998</v>
      </c>
      <c r="Z155" s="3">
        <f>3196.1+(752.4-611.3)+(-1.630011+(-0.383724--0.311763))+0-573.9--0.292688999999942</f>
        <v>2761.8907169999998</v>
      </c>
      <c r="AA155" s="3">
        <f>3240.4+(671.9-522.4)+(-4.957812+(-1.028007--0.799272))+0-622.6--0.952578000000036</f>
        <v>2763.0660310000003</v>
      </c>
      <c r="AB155" s="3">
        <f>3241.3+(731.9-755)+(0+(0-0))+0-518-0</f>
        <v>2700.2000000000003</v>
      </c>
      <c r="AC155" s="3">
        <f>3246.6+(954.6-1025.8)+(-1.655766+(-0.486846--0.523158))+0-525.7--0.268106999999947</f>
        <v>2648.348653</v>
      </c>
      <c r="AD155">
        <f t="shared" si="2"/>
        <v>60281.648231000006</v>
      </c>
      <c r="AE155" s="3">
        <f>3216+(680.3-462.3)+(0+(0-0))+0-724-0</f>
        <v>2710</v>
      </c>
    </row>
    <row r="156" spans="1:31" s="2" customFormat="1" x14ac:dyDescent="0.25">
      <c r="A156">
        <v>89</v>
      </c>
      <c r="B156">
        <v>6</v>
      </c>
      <c r="C156">
        <v>1</v>
      </c>
      <c r="D156">
        <v>3</v>
      </c>
      <c r="E156">
        <v>1</v>
      </c>
      <c r="F156" s="3">
        <f>3155.9+(1014.1-1109.7)+(0+(0-0))+0-584.8-0</f>
        <v>2475.5</v>
      </c>
      <c r="G156" s="3">
        <f>3087.8+(958.7-1067.5)+(-6.299112+(-1.955748--2.1777))+0-656--1.33823999999997</f>
        <v>2318.2610800000002</v>
      </c>
      <c r="H156" s="3">
        <f>3093.1+(1018.1-1200.8)+(4.732443+(1.557693-1.837224))+0-675.2-1.03305600000004</f>
        <v>2238.6198560000003</v>
      </c>
      <c r="I156" s="3">
        <f>3112.1+(948.4-1269)+(-3.174342+(-0.967368--1.29438))+0-616.3--0.628626000000098</f>
        <v>2172.9812960000004</v>
      </c>
      <c r="J156" s="3">
        <f>3147.3+(918.8-1266.2)+(-1.605123+(-0.468588--0.645762))+0-596.4--0.304163999999939</f>
        <v>2202.3762150000002</v>
      </c>
      <c r="K156" s="3">
        <f>3095.8+(978.5-1241.1)+(-1.578858+(-0.499035--0.632961))+0-630.3--0.321452999999936</f>
        <v>2201.7765210000002</v>
      </c>
      <c r="L156" s="3">
        <f>2885.6+(1035.3-1156.8)+(-2.943312+(-1.056006--1.179936))+0-571.1--0.582522000000091</f>
        <v>2190.76314</v>
      </c>
      <c r="M156" s="3">
        <f>2771.3+(960.2-1013.3)+(2.826726+(0.979404-1.033566))+0-476.4-0.485928000000076</f>
        <v>2244.086636</v>
      </c>
      <c r="N156" s="3">
        <f>3053.5+(1053.7-1091.4)+(1.557285+(0.537387-0.556614))+0-595.8-0.30385799999994</f>
        <v>2421.2342000000003</v>
      </c>
      <c r="O156" s="3">
        <f>3106+(1062.5-1101.4)+(1.58406+(0.541875-0.561714))+0-488.4-0.24908399999995</f>
        <v>2580.0151369999999</v>
      </c>
      <c r="P156" s="3">
        <f>3086.8+(1093.1-887.8)+(0+(0-0))+0-582.1-0</f>
        <v>2710.0000000000005</v>
      </c>
      <c r="Q156" s="3">
        <f>3066.3+(1008.7-812.9)+(1.563813+(0.514437-0.414579))+0-522.2-0.266321999999947</f>
        <v>2741.2973489999999</v>
      </c>
      <c r="R156" s="3">
        <f>3060.4+(897.3-605.7)+(1.560804+(0.457623-0.308907))+0-557.1-0.284120999999944</f>
        <v>2796.3253989999998</v>
      </c>
      <c r="S156" s="3">
        <f>3046.6+(862.6-632.4)+(0+(0-0))+0-565.4-0</f>
        <v>2711.4</v>
      </c>
      <c r="T156" s="3">
        <f>3039.1+(827.4-651)+(0+(0-0))+0-507.6-0</f>
        <v>2707.9</v>
      </c>
      <c r="U156" s="3">
        <f>3025.8+(825.3-609.7)+(1.543158+(0.420903-0.310947))+0-548.1-0.279530999999944</f>
        <v>2694.6735830000002</v>
      </c>
      <c r="V156" s="3">
        <f>3011.2+(786.1-640.9)+(1.535712+(0.400911-0.326859))+33.4-514.6-0.262445999999948</f>
        <v>2676.5473179999999</v>
      </c>
      <c r="W156" s="3">
        <f>3011.2+(957.2-866.5)+(-1.535712+(-0.488172--0.441915))+0-483.1--0.246380999999951</f>
        <v>2617.4644119999998</v>
      </c>
      <c r="X156" s="3">
        <f>3013.4+(1132-991.8)+(-4.610502+(-1.73196--1.517454))+0-591.4--0.904842000000034</f>
        <v>2558.2798340000004</v>
      </c>
      <c r="Y156" s="3">
        <f>3035.5+(1077.4-859.2)+(-4.644315+(-1.648422--1.314576))+0-613.5--0.938655000000035</f>
        <v>2636.1604939999997</v>
      </c>
      <c r="Z156" s="3">
        <f>3082.3+(824.9-588.4)+(-1.571973+(-0.420699--0.300084))+0-552.5--0.281774999999944</f>
        <v>2764.8891870000002</v>
      </c>
      <c r="AA156" s="3">
        <f>3112.1+(875.9-599.7)+(-3.174342+(-0.893418--0.611694))+0-619.5--0.631890000000099</f>
        <v>2765.9758239999996</v>
      </c>
      <c r="AB156" s="3">
        <f>3118.5+(998.3-822.6)+(0+(0-0))+0-533-0</f>
        <v>2761.2</v>
      </c>
      <c r="AC156" s="3">
        <f>3118.3+(1071.4-836)+(-3.180666+(-1.092828--0.85272))+0-679.7--0.693294000000108</f>
        <v>2671.27252</v>
      </c>
      <c r="AD156">
        <f t="shared" si="2"/>
        <v>60859.000001000008</v>
      </c>
      <c r="AE156" s="3">
        <f>3086+(886.1-543.9)+(0+(0-0))+0-641.9-0</f>
        <v>2786.2999999999997</v>
      </c>
    </row>
    <row r="157" spans="1:31" s="2" customFormat="1" x14ac:dyDescent="0.25">
      <c r="A157">
        <v>89</v>
      </c>
      <c r="B157">
        <v>6</v>
      </c>
      <c r="C157">
        <v>2</v>
      </c>
      <c r="D157">
        <v>4</v>
      </c>
      <c r="E157">
        <v>1</v>
      </c>
      <c r="F157" s="3">
        <f>3109.3+(1133.2-1129.6)+(-1.585743+(-0.577932--0.576096))+0-606--0.309059999999939</f>
        <v>2505.6214810000006</v>
      </c>
      <c r="G157" s="3">
        <f>3075.3+(1280.5-1318.4)+(-4.705209+(-1.959165--2.017152))+0-681--1.04193000000004</f>
        <v>2352.7947079999999</v>
      </c>
      <c r="H157" s="3">
        <f>2990.3+(1253.4-1329.5)+(-1.525053+(-0.639234--0.678045))+0-645--0.328949999999935</f>
        <v>2268.0427080000004</v>
      </c>
      <c r="I157" s="3">
        <f>2982.6+(1167.2-1288.3)+(1.521126+(0.595272-0.657033))+0-626.2-0.319361999999936</f>
        <v>2236.4400030000002</v>
      </c>
      <c r="J157" s="3">
        <f>2984.4+(1133.8-1248)+(0+(0-0))+0-615.6-0</f>
        <v>2254.6</v>
      </c>
      <c r="K157" s="3">
        <f>2991.4+(1167.4-1294)+(-7.62807+(-2.97687--3.2997))+0-609--1.55294999999991</f>
        <v>2250.0477099999998</v>
      </c>
      <c r="L157" s="3">
        <f>2832.5+(1139.3-1078.7)+(0+(0-0))+0-654.9-0</f>
        <v>2238.1999999999998</v>
      </c>
      <c r="M157" s="3">
        <f>2860.2+(1108.1-1020.3)+(-2.917404+(-1.130262--1.040706))+0-665.8--0.679116000000106</f>
        <v>2279.8721560000004</v>
      </c>
      <c r="N157" s="3">
        <f>2987.5+(1087-1044.9)+(0+(0-0))+0-550.6-0</f>
        <v>2479</v>
      </c>
      <c r="O157" s="3">
        <f>2969.1+(1260.2-997)+(1.514241+(0.642702-0.50847))+0-584.8-0.298247999999941</f>
        <v>2648.8502250000001</v>
      </c>
      <c r="P157" s="3">
        <f>3118.8+(1077.4-1036.3)+(1.590588+(0.549474-0.528513))+0-403-0.205529999999959</f>
        <v>2758.3060190000006</v>
      </c>
      <c r="Q157" s="3">
        <f>3164.2+(827-767.8)+(0+(0-0))+0-391.8-0</f>
        <v>2831.5999999999995</v>
      </c>
      <c r="R157" s="3">
        <f>3219.9+(745.5-754.2)+(-1.642149+(-0.380205--0.384642))+0-354.7--0.180896999999964</f>
        <v>2855.043185</v>
      </c>
      <c r="S157" s="3">
        <f>3236+(748.7-945.3)+(-1.65036+(-0.381837--0.482103))+0-271.4--0.138413999999972</f>
        <v>2766.5883199999998</v>
      </c>
      <c r="T157" s="3">
        <f>3225.5+(728.2-1049.9)+(1.645005+(0.371382-0.535449))+0-137.7-0.070226999999986</f>
        <v>2767.5107110000004</v>
      </c>
      <c r="U157" s="3">
        <f>3232.4+(796.2-1049.6)+(-3.297048+(-0.812124--1.070592))+0-205.5--0.209610000000033</f>
        <v>2770.67103</v>
      </c>
      <c r="V157" s="3">
        <f>3216.9+(857.7-873.3)+(0+(0-0))+0-493.9-0</f>
        <v>2707.4</v>
      </c>
      <c r="W157" s="3">
        <f>3207.8+(938.6-949)+(-6.543912+(-1.914744--1.93596))+0-590.7--1.20502799999997</f>
        <v>2601.3823319999997</v>
      </c>
      <c r="X157" s="3">
        <f>3205.6+(1019.3-1024.6)+(3.269712+(1.039686-1.045092))+0-597.5-0.609450000000095</f>
        <v>2605.4548560000003</v>
      </c>
      <c r="Y157" s="3">
        <f>3224.8+(884.6-906.1)+(1.644648+(0.451146-0.462111))+0-546-0.278459999999945</f>
        <v>2658.6552230000002</v>
      </c>
      <c r="Z157" s="3">
        <f>3274.9+(725.2-652.8)+(-3.340398+(-0.739704--0.665856))+0-561--0.572220000000089</f>
        <v>2783.4579740000004</v>
      </c>
      <c r="AA157" s="3">
        <f>3306.4+(832.8-698.5)+(-5.058792+(-1.274184--1.068705))+0-660.2--1.01010600000004</f>
        <v>2776.2458350000002</v>
      </c>
      <c r="AB157" s="3">
        <f>3305+(927-891.1)+(-5.05665+(-1.41831--1.363383))+0-613.6--0.938808000000036</f>
        <v>2723.1272309999999</v>
      </c>
      <c r="AC157" s="3">
        <f>3308.7+(931-943.1)+(-3.374874+(-0.94962--0.961962))+0-611.9--0.624138000000098</f>
        <v>2681.9616059999998</v>
      </c>
      <c r="AD157">
        <f t="shared" si="2"/>
        <v>61800.873313000004</v>
      </c>
      <c r="AE157" s="3">
        <f>3305+(771.1-597)+(0+(0-0))+0-631.3-0</f>
        <v>2847.8</v>
      </c>
    </row>
    <row r="158" spans="1:31" s="2" customFormat="1" x14ac:dyDescent="0.25">
      <c r="A158">
        <v>89</v>
      </c>
      <c r="B158">
        <v>6</v>
      </c>
      <c r="C158">
        <v>3</v>
      </c>
      <c r="D158">
        <v>5</v>
      </c>
      <c r="E158">
        <v>1</v>
      </c>
      <c r="F158" s="3">
        <f>3302.6+(990.3-1073.1)+(-1.684326+(-0.505053--0.547281))+0-685.5--0.34960499999993</f>
        <v>2533.0075070000003</v>
      </c>
      <c r="G158" s="3">
        <f>3303.4+(1046.4-1301.5)+(-3.369468+(-1.067328--1.32753))+0-676.2--0.689724000000108</f>
        <v>2369.6804580000003</v>
      </c>
      <c r="H158" s="3">
        <f>3307.6+(983.2-1348.8)+(0+(0-0))+0-656.4-0</f>
        <v>2285.6</v>
      </c>
      <c r="I158" s="3">
        <f>3314.5+(939.9-1409.2)+(-6.76158+(-1.917396--2.874768))+0-643.6--1.31294399999997</f>
        <v>2197.1087359999997</v>
      </c>
      <c r="J158" s="3">
        <f>3325.5+(892.2-1392)+(0+(0-0))+0-594.7-0</f>
        <v>2231</v>
      </c>
      <c r="K158" s="3">
        <f>3322.3+(937.6-1366.7)+(-1.694373+(-0.478176--0.697017))+0-677.5--0.345524999999931</f>
        <v>2214.5699930000001</v>
      </c>
      <c r="L158" s="3">
        <f>3215.4+(1013.7-1389.6)+(-8.19927+(-2.584935--3.54348))+0-626--1.59629999999991</f>
        <v>2207.8555749999996</v>
      </c>
      <c r="M158" s="3">
        <f>3230.9+(919.7-1354.9)+(-4.943277+(-1.407141--2.072997))+0-526.2--0.805086000000031</f>
        <v>2266.0276650000001</v>
      </c>
      <c r="N158" s="3">
        <f>3217.8+(1056.5-1237.1)+(1.641078+(0.538815-0.630921))+0-583.5-0.297584999999941</f>
        <v>2454.9513870000005</v>
      </c>
      <c r="O158" s="3">
        <f>3205+(1060.3-1006.2)+(-1.63455+(-0.540753--0.513162))+0-641.6--0.327215999999935</f>
        <v>2616.1650750000003</v>
      </c>
      <c r="P158" s="3">
        <f>3272.4+(987.6-954.8)+(0+(0-0))+0-601.6-0</f>
        <v>2703.6000000000004</v>
      </c>
      <c r="Q158" s="3">
        <f>3254.2+(920.7-796.6)+(0+(0-0))+0-609.8-0</f>
        <v>2768.5</v>
      </c>
      <c r="R158" s="3">
        <f>3249+(810-634.9)+(0+(0-0))+0-611.3-0</f>
        <v>2812.8</v>
      </c>
      <c r="S158" s="3">
        <f>3235.3+(773.7-717.7)+(-3.300006+(-0.789174--0.732054))+0-596.6--0.608532000000095</f>
        <v>2691.9514060000006</v>
      </c>
      <c r="T158" s="3">
        <f>3244.9+(758.7-759.7)+(0+(0-0))+0-551.1-0</f>
        <v>2692.8</v>
      </c>
      <c r="U158" s="3">
        <f>3237.3+(879.1-913.4)+(-1.651023+(-0.448341--0.465834))+0-486.6--0.248165999999951</f>
        <v>2715.0146359999999</v>
      </c>
      <c r="V158" s="3">
        <f>3228.2+(967.9-993.2)+(1.646382+(0.493629-0.506532))+0-512.2-0.261221999999948</f>
        <v>2692.0722569999998</v>
      </c>
      <c r="W158" s="3">
        <f>3218.1+(1084.4-1057.7)+(-1.641231+(-0.553044--0.539427))+0-595.5--0.30370499999994</f>
        <v>2647.9488569999999</v>
      </c>
      <c r="X158" s="3">
        <f>3227.4+(1019.9-1097.6)+(-3.291948+(-1.040298--1.119552))+0-555.6--0.566712000000089</f>
        <v>2591.4540180000008</v>
      </c>
      <c r="Y158" s="3">
        <f>3239+(1025.1-939.1)+(-1.65189+(-0.522801--0.478941))+0-645.7--0.329306999999935</f>
        <v>2677.9335570000003</v>
      </c>
      <c r="Z158" s="3">
        <f>3279.9+(924-781.3)+(-5.018247+(-1.41372--1.195389))+0-641.2--0.981036000000037</f>
        <v>2777.1444580000007</v>
      </c>
      <c r="AA158" s="3">
        <f>3299.9+(973.5-841.4)+(-1.682949+(-0.496485--0.429114))+0-667.4--0.340373999999932</f>
        <v>2763.1900539999997</v>
      </c>
      <c r="AB158" s="3">
        <f>3309.6+(1003.4-1054.7)+(-5.063688+(-1.535202--1.613691))+0-570.5--0.872865000000033</f>
        <v>2683.6876659999994</v>
      </c>
      <c r="AC158" s="3">
        <f>3311.2+(1031.3-1050)+(-1.688712+(-0.525963--0.5355))+0-632.4--0.322523999999936</f>
        <v>2658.7433489999999</v>
      </c>
      <c r="AD158">
        <f t="shared" si="2"/>
        <v>61252.806654000015</v>
      </c>
      <c r="AE158" s="3">
        <f>3307+(871.9-794.7)+(0+(0-0))+0-607.3-0</f>
        <v>2776.8999999999996</v>
      </c>
    </row>
    <row r="159" spans="1:31" s="2" customFormat="1" x14ac:dyDescent="0.25">
      <c r="A159">
        <v>89</v>
      </c>
      <c r="B159">
        <v>6</v>
      </c>
      <c r="C159">
        <v>4</v>
      </c>
      <c r="D159">
        <v>6</v>
      </c>
      <c r="E159">
        <v>1</v>
      </c>
      <c r="F159" s="3">
        <f>3234.3+(987-1073.4)+(-6.597972+(-2.01348--2.189736))+0-642--1.30967999999997</f>
        <v>2500.7879640000001</v>
      </c>
      <c r="G159" s="3">
        <f>3187.4+(1086.6-1269.5)+(-9.753444+(-3.324996--3.88467))+0-648--1.98288000000007</f>
        <v>2349.2891100000002</v>
      </c>
      <c r="H159" s="3">
        <f>3194+(1049.7-1356.7)+(-3.25788+(-1.070694--1.383834))+0-636.6--0.649332000000101</f>
        <v>2248.1045920000001</v>
      </c>
      <c r="I159" s="3">
        <f>3210.1+(979.8-1294.7)+(6.548604+(1.998792-2.641188))+0-681.5-1.39025999999997</f>
        <v>2218.2159479999996</v>
      </c>
      <c r="J159" s="3">
        <f>3240.5+(884.2-1332.7)+(0+(0-0))+0-583.1-0</f>
        <v>2208.9</v>
      </c>
      <c r="K159" s="3">
        <f>3251.3+(947.5-1376.1)+(-8.290815+(-2.416125--3.509055))+0-588.2--1.49990999999991</f>
        <v>2228.8020250000004</v>
      </c>
      <c r="L159" s="3">
        <f>3256.4+(965.1-1337.1)+(-8.30382+(-2.461005--3.409605))+0-697--1.7773499999999</f>
        <v>2181.82213</v>
      </c>
      <c r="M159" s="3">
        <f>3255+(833.7-1320)+(0+(0-0))+0-541.1-0</f>
        <v>2227.6</v>
      </c>
      <c r="N159" s="3">
        <f>3234.2+(959.6-1179.1)+(-1.649442+(-0.489396--0.601341))+0-613.4--0.312833999999938</f>
        <v>2400.0753369999998</v>
      </c>
      <c r="O159" s="3">
        <f>3243.4+(1099.1-1174.4)+(-1.654134+(-0.560541--0.598944))+0-605--0.308549999999939</f>
        <v>2561.7928189999998</v>
      </c>
      <c r="P159" s="3">
        <f>3306.2+(1103.4-1161.7)+(-5.058486+(-1.688202--1.777401))+0-570--0.872100000000033</f>
        <v>2673.8028129999998</v>
      </c>
      <c r="Q159" s="3">
        <f>3278.1+(1053.2-959.2)+(0+(0-0))+0-652.1-0</f>
        <v>2720</v>
      </c>
      <c r="R159" s="3">
        <f>3250.7+(980.6-868.1)+(3.315714+(1.000212-0.885462))+0-624.9-0.6373980000001</f>
        <v>2741.0930659999995</v>
      </c>
      <c r="S159" s="3">
        <f>3247.3+(952-894.1)+(1.656123+(0.48552-0.455991))+0-655-0.334049999999934</f>
        <v>2651.5516020000005</v>
      </c>
      <c r="T159" s="3">
        <f>3239+(910.9-936.8)+(-3.30378+(-0.929118--0.955536))+0-594.4--0.606288000000095</f>
        <v>2616.028926</v>
      </c>
      <c r="U159" s="3">
        <f>3230+(1021.2-988.9)+(-4.9419+(-1.562436--1.513017))+0-665.9--1.01882700000004</f>
        <v>2592.4275079999998</v>
      </c>
      <c r="V159" s="3">
        <f>3200.2+(1034.3-1035.3)+(-6.528408+(-2.109972--2.112012))+0-633.3--1.29193199999997</f>
        <v>2560.6655639999999</v>
      </c>
      <c r="W159" s="3">
        <f>3078.7+(1195.2-1177.9)+(-7.850685+(-3.04776--3.003645))+0-600.3--1.53076499999991</f>
        <v>2489.3359649999998</v>
      </c>
      <c r="X159" s="3">
        <f>3068.7+(1132.3-1174)+(-3.130074+(-1.154946--1.19748))+0-623.7--0.636174000000099</f>
        <v>2400.8486339999999</v>
      </c>
      <c r="Y159" s="3">
        <f>3123.7+(989.5-972.6)+(1.593087+(0.504645-0.496026))+0-667.2-0.340271999999932</f>
        <v>2474.6614340000001</v>
      </c>
      <c r="Z159" s="3">
        <f>3214.7+(893.8-805.1)+(-4.918491+(-1.367514--1.231803))+0-662.8--1.01408400000004</f>
        <v>2636.559882</v>
      </c>
      <c r="AA159" s="3">
        <f>3208.7+(978.3-924.3)+(-8.182185+(-2.494665--2.356965))+0-632.7--1.61338499999991</f>
        <v>2623.2935000000002</v>
      </c>
      <c r="AB159" s="3">
        <f>3255+(1020.9-1106.5)+(-1.66005+(-0.520659--0.564315))+0-609.4--0.310793999999938</f>
        <v>2558.6943999999999</v>
      </c>
      <c r="AC159" s="3">
        <f>3269.6+(998.6-1132.3)+(-6.669984+(-2.037144--2.309892))+0-611.5--1.24745999999997</f>
        <v>2519.2502240000003</v>
      </c>
      <c r="AD159">
        <f t="shared" si="2"/>
        <v>59383.603443</v>
      </c>
      <c r="AE159" s="3">
        <f>3235+(893.4-715.1)+(0+(0-0))+0-713.7-0</f>
        <v>2699.6000000000004</v>
      </c>
    </row>
    <row r="160" spans="1:31" s="2" customFormat="1" x14ac:dyDescent="0.25">
      <c r="A160">
        <v>89</v>
      </c>
      <c r="B160">
        <v>6</v>
      </c>
      <c r="C160">
        <v>5</v>
      </c>
      <c r="D160">
        <v>7</v>
      </c>
      <c r="E160">
        <v>1</v>
      </c>
      <c r="F160" s="3">
        <f>3225.1+(1071.2-1259)+(-1.644801+(-0.546312--0.64209))+0-615.6--0.313955999999938</f>
        <v>2420.4649330000002</v>
      </c>
      <c r="G160" s="3">
        <f>3183.1+(1118.8-1446.3)+(-1.623381+(-0.570588--0.737613))+0-655.7--0.334406999999934</f>
        <v>2198.7780509999998</v>
      </c>
      <c r="H160" s="3">
        <f>3197.7+(1051-1468.4)+(-9.784962+(-3.21606--4.493304))+0-654.2--2.00185200000008</f>
        <v>2119.5941339999995</v>
      </c>
      <c r="I160" s="3">
        <f>3199.4+(940.2-1448.6)+(4.895082+(1.438506-2.216358))+0-601.3-0.919989000000035</f>
        <v>2092.8972409999997</v>
      </c>
      <c r="J160" s="3">
        <f>3193.6+(868.3-1297.3)+(-6.514944+(-1.771332--2.646492))+0-661.9--1.35027599999997</f>
        <v>2098.410492</v>
      </c>
      <c r="K160" s="3">
        <f>3170.5+(1021-1421.8)+(-1.616955+(-0.52071--0.725118))+0-663.5--0.338384999999933</f>
        <v>2105.1258379999999</v>
      </c>
      <c r="L160" s="3">
        <f>2993.6+(1051.3-1408.2)+(0+(0-0))+0-704.1-0</f>
        <v>1932.6</v>
      </c>
      <c r="M160" s="3">
        <f>3087.5+(847.9-1432.7)+(0+(0-0))+0-651.7-0</f>
        <v>1850.9999999999998</v>
      </c>
      <c r="N160" s="3">
        <f>3141.6+(671.2-1348.3)+(0+(0-0))+0-583.2-0</f>
        <v>1881.3</v>
      </c>
      <c r="O160" s="3">
        <f>3112.4+(751.6-1256.4)+(-3.174648+(-0.766632--1.281528))+0-634.4--0.647088000000101</f>
        <v>1971.187336</v>
      </c>
      <c r="P160" s="3">
        <f>3255+(743.1-1272)+(-3.3201+(-0.757962--1.29744))+0-566--0.57732000000009</f>
        <v>2157.8966979999996</v>
      </c>
      <c r="Q160" s="3">
        <f>3241.5+(1015.8-1343.3)+(0+(0-0))+0-688.1-0</f>
        <v>2225.9</v>
      </c>
      <c r="R160" s="3">
        <f>3213.1+(1099.2-1364.9)+(-1.638681+(-0.560592--0.696099))+0-693.3--0.35358299999993</f>
        <v>2252.950409</v>
      </c>
      <c r="S160" s="3">
        <f>3206.7+(1166.2-1498.3)+(-3.270834+(-1.189524--1.528266))+0-621.7--0.634134000000099</f>
        <v>2250.6020419999995</v>
      </c>
      <c r="T160" s="3">
        <f>3203.9+(1167.9-1441.6)+(-4.901967+(-1.786887--2.205648))+0-681.1--1.04208300000004</f>
        <v>2245.6588770000003</v>
      </c>
      <c r="U160" s="3">
        <f>3052.6+(1208.4-1442.5)+(-6.227304+(-2.465136--2.9427))+0-578.7--1.18054799999997</f>
        <v>2235.2308079999998</v>
      </c>
      <c r="V160" s="3">
        <f>3040.1+(1109.6-1350)+(-3.100902+(-1.131792--1.377))+0-599.1--0.611082000000096</f>
        <v>2198.3553879999999</v>
      </c>
      <c r="W160" s="3">
        <f>2983.5+(1143.3-1402.4)+(3.04317+(1.166166-1.430448))+0-574.6-0.586092000000092</f>
        <v>2151.9927959999995</v>
      </c>
      <c r="X160" s="3">
        <f>2978.3+(879.6-1071.6)+(0+(0-0))+0-663-0</f>
        <v>2123.3000000000002</v>
      </c>
      <c r="Y160" s="3">
        <f>3066.3+(740.7-884.5)+(0+(0-0))+0-655.6-0</f>
        <v>2266.9</v>
      </c>
      <c r="Z160" s="3">
        <f>3239.2+(839.2-929.9)+(-1.651992+(-0.427992--0.474249))+0-663.3--0.338282999999933</f>
        <v>2483.9325479999998</v>
      </c>
      <c r="AA160" s="3">
        <f>3273.1+(956.6-1071.9)+(-1.669281+(-0.487866--0.546669))+0-668.1--0.340730999999932</f>
        <v>2488.4302529999995</v>
      </c>
      <c r="AB160" s="3">
        <f>3289.2+(1088.9-1204.7)+(-3.354984+(-1.110678--1.228794))+0-696.8--0.710736000000111</f>
        <v>2474.0738679999995</v>
      </c>
      <c r="AC160" s="3">
        <f>3244.3+(991.7-1093.2)+(0+(0-0))+0-706.2-0</f>
        <v>2436.6000000000004</v>
      </c>
      <c r="AD160">
        <f t="shared" si="2"/>
        <v>52663.181711999991</v>
      </c>
      <c r="AE160" s="3">
        <f>3265+(926.7-963.8)+(0+(0-0))+0-723.9-0</f>
        <v>2504</v>
      </c>
    </row>
    <row r="161" spans="1:31" s="2" customFormat="1" x14ac:dyDescent="0.25">
      <c r="A161">
        <v>89</v>
      </c>
      <c r="B161">
        <v>6</v>
      </c>
      <c r="C161">
        <v>6</v>
      </c>
      <c r="D161">
        <v>1</v>
      </c>
      <c r="E161">
        <v>1</v>
      </c>
      <c r="F161" s="3">
        <f>3186.6+(1094.9-1396.8)+(-1.625166+(-0.558399--0.712368))+0-582.1--0.296870999999941</f>
        <v>2301.4256740000001</v>
      </c>
      <c r="G161" s="3">
        <f>3109.7+(1160.5-1394.9)+(0+(0-0))+0-706.1-0</f>
        <v>2169.1999999999998</v>
      </c>
      <c r="H161" s="3">
        <f>3118.6+(949.2-1313.8)+(-6.361944+(-1.936368--2.680152))+0-660.4--1.34721599999997</f>
        <v>2089.329056</v>
      </c>
      <c r="I161" s="3">
        <f>3119.5+(912.9-1281.1)+(0+(0-0))+0-725.2-0</f>
        <v>2026.1000000000001</v>
      </c>
      <c r="J161" s="3">
        <f>3118.8+(861.6-1298.1)+(-3.181176+(-0.878832--1.324062))+0-639.6--0.652392000000102</f>
        <v>2040.6164460000007</v>
      </c>
      <c r="K161" s="3">
        <f>3101.8+(946.1-1320.1)+(-7.90959+(-2.412555--3.366255))+0-686.9--1.7515949999999</f>
        <v>2035.6957049999999</v>
      </c>
      <c r="L161" s="3">
        <f>3008.1+(907.2-1292.9)+(-9.204786+(-2.776032--3.956274))+0-587.9--1.79897400000007</f>
        <v>2028.2744299999997</v>
      </c>
      <c r="M161" s="3">
        <f>3013.9+(825.8-1170.6)+(1.537089+(0.421158-0.597006))+0-567.2-0.289271999999942</f>
        <v>2102.9719690000002</v>
      </c>
      <c r="N161" s="3">
        <f>3104.5+(884.2-1079.8)+(0+(0-0))+0-587.2-0</f>
        <v>2321.6999999999998</v>
      </c>
      <c r="O161" s="3">
        <f>3084.3+(1013.3-956.8)+(-1.572993+(-0.516783--0.487968))+0-635.2--0.323951999999936</f>
        <v>2504.3221439999998</v>
      </c>
      <c r="P161" s="3">
        <f>3105.9+(879.8-779.3)+(3.168018+(0.897396-0.794886))+0-585.1-0.596802000000093</f>
        <v>2623.9737260000002</v>
      </c>
      <c r="Q161" s="3">
        <f>3074.4+(812.3-580.8)+(1.567944+(0.414273-0.296208))+0-584.4-0.298043999999941</f>
        <v>2722.8879649999999</v>
      </c>
      <c r="R161" s="3">
        <f>3063+(893.4-611.7)+(1.56213+(0.455634-0.311967))+0-563.7-0.287486999999943</f>
        <v>2782.4183099999996</v>
      </c>
      <c r="S161" s="3">
        <f>3062.2+(995.3-830.6)+(0+(0-0))+0-584.6-0</f>
        <v>2642.2999999999997</v>
      </c>
      <c r="T161" s="3">
        <f>3080.3+(1078.7-924.6)+(0+(0-0))+0-668.1-0</f>
        <v>2566.3000000000002</v>
      </c>
      <c r="U161" s="3">
        <f>3131.6+(1075.9-1255.7)+(-6.388464+(-2.194836--2.561628))+0-603.8--1.23175199999997</f>
        <v>2343.2100800000003</v>
      </c>
      <c r="V161" s="3">
        <f>3122.4+(1021.4-1129.3)+(-7.96212+(-2.60457--2.879715))+0-706.7--1.8020849999999</f>
        <v>2301.9151099999995</v>
      </c>
      <c r="W161" s="3">
        <f>3114.5+(1093.4-1198.5)+(-6.35358+(-2.230536--2.44494))+0-608.2--1.24072799999997</f>
        <v>2396.3015519999999</v>
      </c>
      <c r="X161" s="3">
        <f>3114+(963.1-1048)+(-4.76442+(-1.473543--1.60344))+0-643.8--0.985014000000037</f>
        <v>2381.6504909999994</v>
      </c>
      <c r="Y161" s="3">
        <f>3118.7+(923.5-900.2)+(1.590537+(0.470985-0.459102))+0-629.2-0.320891999999936</f>
        <v>2514.0815280000006</v>
      </c>
      <c r="Z161" s="3">
        <f>3151.2+(894.1-903.4)+(-6.428448+(-1.823964--1.842936))+0-490.1--0.999803999999979</f>
        <v>2646.390328</v>
      </c>
      <c r="AA161" s="3">
        <f>3157.5+(934.5-873.5)+(-9.66195+(-2.85957--2.67291))+0-586.6--1.79499600000007</f>
        <v>2623.8463860000002</v>
      </c>
      <c r="AB161" s="3">
        <f>3159+(828-759.1)+(-3.22218+(-0.84456--0.774282))+0-635--0.647700000000101</f>
        <v>2590.2552420000002</v>
      </c>
      <c r="AC161" s="3">
        <f>3013.2+(827.4-751)+(-3.073464+(-0.843948--0.76602))+0-568.9--0.580278000000091</f>
        <v>2518.1288859999995</v>
      </c>
      <c r="AD161">
        <f t="shared" si="2"/>
        <v>57273.295027999993</v>
      </c>
      <c r="AE161" s="3">
        <f>3139+(888.6-855.8)+(0+(0-0))+0-551-0</f>
        <v>2620.8000000000002</v>
      </c>
    </row>
    <row r="162" spans="1:31" s="2" customFormat="1" x14ac:dyDescent="0.25">
      <c r="A162">
        <v>89</v>
      </c>
      <c r="B162">
        <v>6</v>
      </c>
      <c r="C162">
        <v>7</v>
      </c>
      <c r="D162">
        <v>2</v>
      </c>
      <c r="E162">
        <v>1</v>
      </c>
      <c r="F162" s="3">
        <f>2873.1+(917.1-717.5)+(-2.930562+(-0.935442--0.73185))+0-731.7--0.746334000000117</f>
        <v>2338.6121799999996</v>
      </c>
      <c r="G162" s="3">
        <f>2867.4+(1083.8-1076.6)+(-5.849496+(-2.210952--2.196264))+0-656.9--1.34007599999997</f>
        <v>2213.1758920000002</v>
      </c>
      <c r="H162" s="3">
        <f>2866.5+(1128.5-1175.7)+(-7.309575+(-2.877675--2.998035))+0-674.1--1.7189549999999</f>
        <v>2139.7297400000002</v>
      </c>
      <c r="I162" s="3">
        <f>2873.5+(1157.1-1187)+(-2.93097+(-1.180242--1.21074))+0-674.1--0.687582000000108</f>
        <v>2167.2871100000002</v>
      </c>
      <c r="J162" s="3">
        <f>2874.2+(1138.4-1085)+(5.863368+(2.322336-2.2134))+0-715.6-1.45982399999997</f>
        <v>2216.5124799999999</v>
      </c>
      <c r="K162" s="3">
        <f>2826.1+(1194-1129.9)+(-4.323933+(-1.82682--1.728747))+0-746.2--1.14168600000004</f>
        <v>2140.7196800000002</v>
      </c>
      <c r="L162" s="3">
        <f>2521.1+(1311.5-1067.1)+(0+(0-0))+0-645.6-0</f>
        <v>2119.9</v>
      </c>
      <c r="M162" s="3">
        <f>2564.2+(1114.5-935.8)+(0+(0-0))+0-593.6-0</f>
        <v>2149.2999999999997</v>
      </c>
      <c r="N162" s="3">
        <f>2796.9+(1041.7-940.9)+(2.852838+(1.062534-0.959718))+0-574.5-0.585990000000092</f>
        <v>2325.5696640000001</v>
      </c>
      <c r="O162" s="3">
        <f>2994+(1070.5-959.3)+(-1.52694+(-0.545955--0.489243))+0-638.6--0.325685999999935</f>
        <v>2465.3420340000002</v>
      </c>
      <c r="P162" s="3">
        <f>3069+(1033.3-862.1)+(0+(0-0))+0-635.2-0</f>
        <v>2605</v>
      </c>
      <c r="Q162" s="3">
        <f>3046.9+(979.8-845.1)+(1.553919+(0.499698-0.431001))+0-497.8-0.25387799999995</f>
        <v>2685.1687379999998</v>
      </c>
      <c r="R162" s="3">
        <f>3025.3+(1006.9-714)+(-4.628709+(-1.540557--1.09242))+0-609.2--0.932076000000035</f>
        <v>2704.8552300000001</v>
      </c>
      <c r="S162" s="3">
        <f>3002.6+(940.8-852.5)+(-4.593978+(-1.439424--1.304325))+0-491.2--0.751536000000028</f>
        <v>2595.7224590000001</v>
      </c>
      <c r="T162" s="3">
        <f>3015.2+(965-903)+(-4.613256+(-1.47645--1.38159))+0-468.5--0.716805000000027</f>
        <v>2604.708689</v>
      </c>
      <c r="U162" s="3">
        <f>2927.3+(1084.8-891.5)+(-2.985846+(-1.106496--0.90933))+0-522.5--0.532950000000083</f>
        <v>2595.4499380000007</v>
      </c>
      <c r="V162" s="3">
        <f>2932.1+(955.7-923)+(-11.962968+(-3.899256--3.76584))+0-424.8--1.73318399999996</f>
        <v>2529.6368000000002</v>
      </c>
      <c r="W162" s="3">
        <f>2963.1+(1081.1-963.1)+(-6.044724+(-2.205444--1.964724))+0-565.3--1.15321199999998</f>
        <v>2510.6677680000003</v>
      </c>
      <c r="X162" s="3">
        <f>2976.2+(1035.5-950.3)+(-3.035724+(-1.05621--0.969306))+0-569.5--0.580890000000091</f>
        <v>2489.3582619999997</v>
      </c>
      <c r="Y162" s="3">
        <f>3017.9+(868.4-768.4)+(1.539129+(0.442884-0.391884))+0-595.7-0.30380699999994</f>
        <v>2523.4863220000002</v>
      </c>
      <c r="Z162" s="3">
        <f>3067.9+(802.9-749.5)+(-4.693887+(-1.228437--1.146735))+0-587.9--0.899487000000034</f>
        <v>2529.5238980000004</v>
      </c>
      <c r="AA162" s="3">
        <f>3062+(842.4-710.3)+(-9.36972+(-2.577744--2.173518))+0-643.4--1.96880400000007</f>
        <v>2542.8948580000001</v>
      </c>
      <c r="AB162" s="3">
        <f>3020.6+(859.9-715.4)+(-4.621518+(-1.315647--1.094562))+0-672.7--1.02923100000004</f>
        <v>2488.5866279999996</v>
      </c>
      <c r="AC162" s="3">
        <f>2880.7+(867.6-702.9)+(-2.938314+(-0.884952--0.716958))+0-621.2--0.633624000000099</f>
        <v>2421.7273159999995</v>
      </c>
      <c r="AD162">
        <f t="shared" si="2"/>
        <v>58102.93568599999</v>
      </c>
      <c r="AE162" s="3">
        <f>3051+(904.7-691.9)+(0+(0-0))+0-740.1-0</f>
        <v>2523.7000000000003</v>
      </c>
    </row>
    <row r="163" spans="1:31" s="2" customFormat="1" x14ac:dyDescent="0.25">
      <c r="A163">
        <v>89</v>
      </c>
      <c r="B163">
        <v>6</v>
      </c>
      <c r="C163">
        <v>8</v>
      </c>
      <c r="D163">
        <v>3</v>
      </c>
      <c r="E163">
        <v>1</v>
      </c>
      <c r="F163" s="3">
        <f>2859.9+(1094.4-953.3)+(-2.917098+(-1.116288--0.972366))+0-677.8--0.691356000000108</f>
        <v>2320.830336</v>
      </c>
      <c r="G163" s="3">
        <f>2861+(1182.7-1192)+(-1.45911+(-0.603177--0.60792))+0-615.6--0.313955999999938</f>
        <v>2234.9595890000001</v>
      </c>
      <c r="H163" s="3">
        <f>2903.1+(1102.7-1161)+(0+(0-0))+0-700.1-0</f>
        <v>2144.7000000000003</v>
      </c>
      <c r="I163" s="3">
        <f>2918+(981.1-1117.8)+(-2.97636+(-1.000722--1.140156))+0-680.4--0.694008000000108</f>
        <v>2098.7570820000001</v>
      </c>
      <c r="J163" s="3">
        <f>2921.5+(951.8-1095.5)+(1.489965+(0.485418-0.558705))+0-671.2-0.342311999999932</f>
        <v>2107.6743660000002</v>
      </c>
      <c r="K163" s="3">
        <f>2930.7+(959.8-1104.1)+(-5.978628+(-1.957992--2.252364))+0-682.2--1.39168799999997</f>
        <v>2099.9074319999995</v>
      </c>
      <c r="L163" s="3">
        <f>2670.3+(1033.5-981.5)+(-8.171118+(-3.16251--3.00339))+0-640.3--1.95931800000007</f>
        <v>2075.6290800000006</v>
      </c>
      <c r="M163" s="3">
        <f>2630.7+(1012.3-848.1)+(2.683314+(1.032546-0.865062))+0-700.3-0.714306000000112</f>
        <v>2096.7364919999995</v>
      </c>
      <c r="N163" s="3">
        <f>2872.4+(820.7-908.8)+(1.464924+(0.418557-0.463488))+0-545.8-0.278357999999945</f>
        <v>2239.6416350000004</v>
      </c>
      <c r="O163" s="3">
        <f>2998.6+(817.7-868.1)+(0+(0-0))+0-532.1-0</f>
        <v>2416.1</v>
      </c>
      <c r="P163" s="3">
        <f>3083.5+(743.1-578.6)+(6.29034+(1.515924-1.180344))+0-709.6-1.44758399999997</f>
        <v>2543.578336</v>
      </c>
      <c r="Q163" s="3">
        <f>3074.9+(552.9-363.3)+(3.136398+(0.563958-0.370566))+0-640-0.652800000000102</f>
        <v>2627.1769899999995</v>
      </c>
      <c r="R163" s="3">
        <f>3061.4+(545.6-288.9)+(-1.561314+(-0.278256--0.147339))+0-652.6--0.332825999999934</f>
        <v>2664.1405950000003</v>
      </c>
      <c r="S163" s="3">
        <f>3046.8+(445.2-354.7)+(0+(0-0))+0-576.8-0</f>
        <v>2560.5</v>
      </c>
      <c r="T163" s="3">
        <f>3042+(553.9-351.7)+(1.55142+(0.282489-0.179367))+0-702.4-0.358223999999929</f>
        <v>2543.0963179999999</v>
      </c>
      <c r="U163" s="3">
        <f>3051.1+(509-356.4)+(1.556061+(0.25959-0.181764))+0-692.6-0.35322599999993</f>
        <v>2512.3806610000001</v>
      </c>
      <c r="V163" s="3">
        <f>3026.6+(409-331)+(-4.630698+(-0.62577--0.50643))+0-638--0.976140000000037</f>
        <v>2462.826102</v>
      </c>
      <c r="W163" s="3">
        <f>3050.2+(566.2-589.7)+(-4.666806+(-0.866286--0.902241))+0-617.7--0.945081000000036</f>
        <v>2405.31423</v>
      </c>
      <c r="X163" s="3">
        <f>3071.7+(820.6-777.7)+(-1.566567+(-0.418506--0.396627))+0-718.4--0.366383999999927</f>
        <v>2394.9779379999995</v>
      </c>
      <c r="Y163" s="3">
        <f>3077.9+(655.6-669.5)+(1.569729+(0.334356-0.341445))+0-589.7-0.30074699999994</f>
        <v>2475.5618930000005</v>
      </c>
      <c r="Z163" s="3">
        <f>3102.3+(517.8-396.1)+(-1.582173+(-0.264078--0.202011))+0-649.7--0.331346999999934</f>
        <v>2572.9871069999995</v>
      </c>
      <c r="AA163" s="3">
        <f>3112.6+(634-559.8)+(0+(0-0))+0-611.9-0</f>
        <v>2574.9</v>
      </c>
      <c r="AB163" s="3">
        <f>3111.4+(798.2-876)+(-3.173628+(-0.814164--0.89352))+0-528.8--0.539376000000084</f>
        <v>2502.245104000001</v>
      </c>
      <c r="AC163" s="3">
        <f>3116.1+(961.8-950.5)+(0+(0-0))+0-683-0</f>
        <v>2444.3999999999996</v>
      </c>
      <c r="AD163">
        <f t="shared" si="2"/>
        <v>57119.021286000003</v>
      </c>
      <c r="AE163" s="3">
        <f>3104+(573.5-425.7)+(0+(0-0))+0-620-0</f>
        <v>2631.8</v>
      </c>
    </row>
    <row r="164" spans="1:31" s="2" customFormat="1" x14ac:dyDescent="0.25">
      <c r="A164">
        <v>89</v>
      </c>
      <c r="B164">
        <v>6</v>
      </c>
      <c r="C164">
        <v>9</v>
      </c>
      <c r="D164">
        <v>4</v>
      </c>
      <c r="E164">
        <v>1</v>
      </c>
      <c r="F164" s="3">
        <f>3111.7+(975.2-1246.1)+(-7.934835+(-2.48676--3.177555))+0-538.2--1.37240999999992</f>
        <v>2296.7283699999998</v>
      </c>
      <c r="G164" s="3">
        <f>3118.9+(837.9-1160.1)+(-6.362556+(-1.709316--2.366604))+0-614.9--1.25439599999997</f>
        <v>2177.3491279999998</v>
      </c>
      <c r="H164" s="3">
        <f>3139.7+(845.1-1171.3)+(-4.803741+(-1.293003--1.792089))+0-703.7--1.07666100000004</f>
        <v>2106.5720060000003</v>
      </c>
      <c r="I164" s="3">
        <f>3140.7+(704.8-1246.5)+(-8.008785+(-1.79724--3.178575))+0-536.8--1.36883999999992</f>
        <v>2056.94139</v>
      </c>
      <c r="J164" s="3">
        <f>3138.4+(724-1175.6)+(0+(0-0))+0-612.7-0</f>
        <v>2074.1000000000004</v>
      </c>
      <c r="K164" s="3">
        <f>3102.7+(768.2-1115.4)+(-7.911885+(-1.95891--2.84427))+0-646.9--1.64959499999991</f>
        <v>2103.2230699999996</v>
      </c>
      <c r="L164" s="3">
        <f>2734.8+(882.6-893)+(-5.578992+(-1.800504--1.82172))+0-636.3--1.29805199999997</f>
        <v>2083.8402759999999</v>
      </c>
      <c r="M164" s="3">
        <f>2676.1+(903.3-751.5)+(0+(0-0))+0-682.2-0</f>
        <v>2145.6999999999998</v>
      </c>
      <c r="N164" s="3">
        <f>2744.3+(803.7-610.5)+(1.399593+(0.409887-0.311355))+0-617.6-0.314975999999937</f>
        <v>2321.083149</v>
      </c>
      <c r="O164" s="3">
        <f>3087.8+(754.3-715.4)+(0+(0-0))+0-637.5-0</f>
        <v>2489.2000000000003</v>
      </c>
      <c r="P164" s="3">
        <f>3080.5+(632-494)+(1.571055+(0.32232-0.25194))+0-619.5-0.315944999999937</f>
        <v>2600.3254900000002</v>
      </c>
      <c r="Q164" s="3">
        <f>3051.4+(565.6-315.2)+(4.668642+(0.865368-0.482256))+0-645.9-0.988227000000037</f>
        <v>2659.9635270000003</v>
      </c>
      <c r="R164" s="3">
        <f>3037.3+(654.2-363.9)+(1.549023+(0.333642-0.185589))+0-647.5-0.330224999999934</f>
        <v>2681.4668510000001</v>
      </c>
      <c r="S164" s="3">
        <f>3034.7+(515.5-449.9)+(0+(0-0))+0-561.5-0</f>
        <v>2538.7999999999997</v>
      </c>
      <c r="T164" s="3">
        <f>2989.1+(747.6-542.8)+(1.524441+(0.381276-0.276828))+0-656.1-0.334610999999933</f>
        <v>2539.0942780000005</v>
      </c>
      <c r="U164" s="3">
        <f>2881.8+(657.3-463.9)+(-7.34859+(-1.676115--1.182945))+0-584.1--1.48945499999992</f>
        <v>2484.7476950000005</v>
      </c>
      <c r="V164" s="3">
        <f>2859.7+(485.5-359.4)+(-2.916894+(-0.49521--0.366588))+0-543.3--0.554166000000087</f>
        <v>2440.0086499999998</v>
      </c>
      <c r="W164" s="3">
        <f>2858.4+(411.3-296.3)+(-2.915568+(-0.419526--0.302226))+0-596.3--0.608226000000095</f>
        <v>2374.6753580000004</v>
      </c>
      <c r="X164" s="3">
        <f>2862.3+(854.9-767.7)+(-2.919546+(-0.871998--0.783054))+0-612.3--0.624546000000098</f>
        <v>2334.8160559999997</v>
      </c>
      <c r="Y164" s="3">
        <f>2880.2+(733.9-655.5)+(-2.937804+(-0.748578--0.66861))+0-563.6--0.57487200000009</f>
        <v>2392.5571</v>
      </c>
      <c r="Z164" s="3">
        <f>2901.7+(718-474.5)+(0+(0-0))+0-659.7-0</f>
        <v>2485.5</v>
      </c>
      <c r="AA164" s="3">
        <f>2917.3+(725.3-529.5)+(-5.951292+(-1.479612--1.08018))+0-667.9--1.36251599999997</f>
        <v>2440.2117920000005</v>
      </c>
      <c r="AB164" s="3">
        <f>2916.3+(961.7-945.6)+(0+(0-0))+0-608.3-0</f>
        <v>2324.1000000000004</v>
      </c>
      <c r="AC164" s="3">
        <f>2910.4+(961.8-955.5)+(-7.42152+(-2.45259--2.436525))+0-672.8--1.7156399999999</f>
        <v>2238.1780549999999</v>
      </c>
      <c r="AD164">
        <f t="shared" si="2"/>
        <v>56389.182241000002</v>
      </c>
      <c r="AE164" s="3">
        <f>2884+(769.7-458.2)+(0+(0-0))+0-696.6-0</f>
        <v>2498.9</v>
      </c>
    </row>
    <row r="165" spans="1:31" s="2" customFormat="1" x14ac:dyDescent="0.25">
      <c r="A165">
        <v>89</v>
      </c>
      <c r="B165">
        <v>6</v>
      </c>
      <c r="C165">
        <v>10</v>
      </c>
      <c r="D165">
        <v>5</v>
      </c>
      <c r="E165">
        <v>5</v>
      </c>
      <c r="F165" s="3">
        <f>2895.6+(928.9-1010.8)+(-4.430268+(-1.421217--1.546524))+0-684.1--1.04667300000004</f>
        <v>2126.3417119999999</v>
      </c>
      <c r="G165" s="3">
        <f>2850.4+(868.8-1025.1)+(-4.361112+(-1.329264--1.568403))+0-676.1--1.03443300000004</f>
        <v>2014.9124600000007</v>
      </c>
      <c r="H165" s="3">
        <f>2753.1+(843.7-957.5)+(-1.404081+(-0.430287--0.488325))+0-699.6--0.356795999999929</f>
        <v>1938.7107530000003</v>
      </c>
      <c r="I165" s="3">
        <f>2726.8+(894.4-1005.2)+(-2.781336+(-0.912288--1.025304))+0-722--0.736440000000115</f>
        <v>1892.0681199999999</v>
      </c>
      <c r="J165" s="3">
        <f>2728.3+(910.3-1009.8)+(-5.565732+(-1.857012--2.059992))+0-717.2--1.46308799999997</f>
        <v>1907.7003360000001</v>
      </c>
      <c r="K165" s="3">
        <f>2653.8+(883-1049)+(-6.76719+(-2.25165--2.67495))+0-624.2--1.59170999999991</f>
        <v>1858.84782</v>
      </c>
      <c r="L165" s="3">
        <f>2366.9+(1042.4-1033.5)+(-6.035595+(-2.65812--2.635425))+0-663.5--1.6919249999999</f>
        <v>1707.9336350000001</v>
      </c>
      <c r="M165" s="3">
        <f>2256+(961.6-916.4)+(0+(0-0))+0-682.8-0</f>
        <v>1618.3999999999999</v>
      </c>
      <c r="N165" s="3">
        <f>2335.4+(938.4-973)+(-2.382108+(-0.957168--0.99246))+0-667.6--0.680952000000106</f>
        <v>1631.5341360000002</v>
      </c>
      <c r="O165" s="3">
        <f>2533.1+(864.1-1013.5)+(-2.583762+(-0.881382--1.03377))+0-697.6--0.711552000000111</f>
        <v>1684.3801780000003</v>
      </c>
      <c r="P165" s="3">
        <f>2561.5+(969.9-1044.1)+(-1.306365+(-0.494649--0.532491))+0-721.4--0.367913999999927</f>
        <v>1764.9993909999998</v>
      </c>
      <c r="Q165" s="3">
        <f>2589.7+(971.4-1012.1)+(2.641494+(0.990828-1.032342))+0-697.7-0.711654000000111</f>
        <v>1853.1883259999997</v>
      </c>
      <c r="R165" s="3">
        <f>2666.1+(1109.7-1160.9)+(-1.359711+(-0.565947--0.592059))+0-674.4--0.343943999999932</f>
        <v>1939.5103449999995</v>
      </c>
      <c r="S165" s="3">
        <f>2645.4+(1066.8-1026.9)+(-1.349154+(-0.544068--0.523719))+0-714.4--0.364343999999928</f>
        <v>1969.894841</v>
      </c>
      <c r="T165" s="3">
        <f>2647+(989.2-1036.4)+(0+(0-0))+0-593.7-0</f>
        <v>2006.1000000000001</v>
      </c>
      <c r="U165" s="3">
        <f>2647.4+(960.1-872)+(-5.400696+(-1.958604--1.77888))+0-720.6--1.47002399999997</f>
        <v>2010.7896040000003</v>
      </c>
      <c r="V165" s="3">
        <f>2633.2+(981.7-931.2)+(-1.342932+(-0.500667--0.474912))+0-658.9--0.336038999999933</f>
        <v>2023.7673519999996</v>
      </c>
      <c r="W165" s="3">
        <f>2642.7+(1007-1003.4)+(-2.695554+(-1.02714--1.023468))+0-695.1--0.709002000000111</f>
        <v>1949.2097759999997</v>
      </c>
      <c r="X165" s="3">
        <f>2566.4+(1016.3-875.8)+(-2.617728+(-1.036626--0.893316))+0-663.7--0.676974000000106</f>
        <v>2041.1159360000001</v>
      </c>
      <c r="Y165" s="3">
        <f>2651+(784.6-576.8)+(0+(0-0))+0-693.7-0</f>
        <v>2165.1000000000004</v>
      </c>
      <c r="Z165" s="3">
        <f>2674.8+(756.3-368.1)+(-1.364148+(-0.385713--0.187731))+0-708.1--0.361130999999928</f>
        <v>2353.6990010000004</v>
      </c>
      <c r="AA165" s="3">
        <f>2690.9+(719.9-378.8)+(-4.117077+(-1.101447--0.579564))+0-684.5--1.04728500000004</f>
        <v>2343.9083249999999</v>
      </c>
      <c r="AB165" s="3">
        <f>2727.8+(706.8-413)+(1.391178+(0.360468-0.21063))+0-679.4-0.346493999999931</f>
        <v>2343.3945220000005</v>
      </c>
      <c r="AC165" s="3">
        <f>2816.6+(721.2-568.3)+(-1.436466+(-0.367812--0.289833))+0-601.4--0.306713999999939</f>
        <v>2366.8922689999999</v>
      </c>
      <c r="AD165">
        <f t="shared" si="2"/>
        <v>47512.398837999994</v>
      </c>
      <c r="AE165" s="3">
        <f>2664+(810.3-365.1)+(0+(0-0))+0-768-0</f>
        <v>2341.1999999999998</v>
      </c>
    </row>
    <row r="166" spans="1:31" s="2" customFormat="1" x14ac:dyDescent="0.25">
      <c r="A166">
        <v>89</v>
      </c>
      <c r="B166">
        <v>6</v>
      </c>
      <c r="C166">
        <v>11</v>
      </c>
      <c r="D166">
        <v>6</v>
      </c>
      <c r="E166">
        <v>6</v>
      </c>
      <c r="F166" s="3">
        <f>2866.9+(889.1-862.7)+(0+(0-0))+0-664.1-0</f>
        <v>2229.2000000000003</v>
      </c>
      <c r="G166" s="3">
        <f>2880.3+(939.8-1160.1)+(-1.468953+(-0.479298--0.591651))+0-566.9--0.289118999999943</f>
        <v>2092.0325189999999</v>
      </c>
      <c r="H166" s="3">
        <f>2892.2+(897.3-1053.2)+(1.475022+(0.457623-0.537132))+0-720.7-0.367556999999927</f>
        <v>2016.6279559999996</v>
      </c>
      <c r="I166" s="3">
        <f>2900.4+(823.3-1068.4)+(0+(0-0))+0-686-0</f>
        <v>1969.3000000000002</v>
      </c>
      <c r="J166" s="3">
        <f>2922.1+(794.2-1003.1)+(0+(0-0))+0-729.8-0</f>
        <v>1983.3999999999999</v>
      </c>
      <c r="K166" s="3">
        <f>2907.3+(936.6-1119.7)+(0+(0-0))+0-704.5-0</f>
        <v>2019.7000000000003</v>
      </c>
      <c r="L166" s="3">
        <f>2711.4+(1083.3-1097)+(-5.531256+(-2.209932--2.23788))+0-685.8--1.39903199999997</f>
        <v>2007.7957240000001</v>
      </c>
      <c r="M166" s="3">
        <f>2697.4+(1016-990.6)+(1.375674+(0.51816-0.505206))+0-683-0.348329999999931</f>
        <v>2040.8402980000003</v>
      </c>
      <c r="N166" s="3">
        <f>2904+(838.1-839.5)+(-1.48104+(-0.427431--0.428145))+0-683.6--0.348635999999931</f>
        <v>2217.8683099999998</v>
      </c>
      <c r="O166" s="3">
        <f>2930+(836.2-718.5)+(2.9886+(0.852924-0.73287))+0-678.1-0.691662000000108</f>
        <v>2372.0169919999998</v>
      </c>
      <c r="P166" s="3">
        <f>2970.9+(577.6-371.3)+(3.030318+(0.589152-0.378726))+0-694.5-0.708390000000111</f>
        <v>2485.2323540000002</v>
      </c>
      <c r="Q166" s="3">
        <f>3049.3+(489.7-311.9)+(1.555143+(0.249747-0.159069))+0-665.3-0.339302999999932</f>
        <v>2563.1065180000005</v>
      </c>
      <c r="R166" s="3">
        <f>3027.2+(747.3-496.9)+(1.543872+(0.381123-0.253419))+0-670.5-0.341954999999932</f>
        <v>2608.4296210000002</v>
      </c>
      <c r="S166" s="3">
        <f>3050.6+(702.9-537.3)+(-1.555806+(-0.358479--0.274023))+0-713.2--0.363731999999928</f>
        <v>2501.7234699999999</v>
      </c>
      <c r="T166" s="3">
        <f>3046+(666.8-660.5)+(1.55346+(0.340068-0.336855))+0-561.9-0.286568999999943</f>
        <v>2491.6701040000003</v>
      </c>
      <c r="U166" s="3">
        <f>3042.2+(689.1-647.6)+(-1.551522+(-0.351441--0.330276))+0-614.6--0.313445999999938</f>
        <v>2467.8407590000002</v>
      </c>
      <c r="V166" s="3">
        <f>3032.4+(471.7-534.1)+(-4.639572+(-0.721701--0.817173))+0-494.1--0.755973000000029</f>
        <v>2472.1118729999998</v>
      </c>
      <c r="W166" s="3">
        <f>3034.2+(372.4-464.9)+(0+(0-0))+0-568.2-0</f>
        <v>2373.5</v>
      </c>
      <c r="X166" s="3">
        <f>3043.6+(581.3-626.8)+(1.552236+(0.296463-0.319668))+0-655.5-0.334304999999934</f>
        <v>2343.7947260000001</v>
      </c>
      <c r="Y166" s="3">
        <f>3065.1+(472.9-404.8)+(3.126402+(0.482358-0.412896))+0-672.3-0.685746000000107</f>
        <v>2463.4101179999998</v>
      </c>
      <c r="Z166" s="3">
        <f>3081.4+(576.2-360.7)+(-1.571514+(-0.293862--0.183957))+0-724.1--0.369290999999927</f>
        <v>2571.4878720000002</v>
      </c>
      <c r="AA166" s="3">
        <f>3099+(470.8-426.7)+(1.58049+(0.240108-0.217617))+0-588.3-0.30003299999994</f>
        <v>2556.1029480000002</v>
      </c>
      <c r="AB166" s="3">
        <f>3112.3+(358.2-479.1)+(-3.174546+(-0.365364--0.488682))+0-506.7--0.516834000000081</f>
        <v>2482.1656060000005</v>
      </c>
      <c r="AC166" s="3">
        <f>3100.9+(583-631)+(3.162918+(0.59466-0.64362))+0-624.3-0.6367860000001</f>
        <v>2431.0771720000002</v>
      </c>
      <c r="AD166">
        <f t="shared" si="2"/>
        <v>55760.434939999999</v>
      </c>
      <c r="AE166" s="3">
        <f>3071+(688.5-343.1)+(0+(0-0))+0-849.7-0</f>
        <v>2566.6999999999998</v>
      </c>
    </row>
    <row r="167" spans="1:31" s="2" customFormat="1" x14ac:dyDescent="0.25">
      <c r="A167">
        <v>89</v>
      </c>
      <c r="B167">
        <v>6</v>
      </c>
      <c r="C167">
        <v>12</v>
      </c>
      <c r="D167">
        <v>7</v>
      </c>
      <c r="E167">
        <v>1</v>
      </c>
      <c r="F167" s="3">
        <f>3076.5+(625.8-809.1)+(0+(0-0))+0-585.1-0</f>
        <v>2308.1</v>
      </c>
      <c r="G167" s="3">
        <f>3097.4+(807.5-1009.1)+(1.579674+(0.411825-0.514641))+0-706.7-0.360416999999928</f>
        <v>2190.2164410000005</v>
      </c>
      <c r="H167" s="3">
        <f>3112.1+(807.9-1113.8)+(0+(0-0))+0-690.5-0</f>
        <v>2115.6999999999998</v>
      </c>
      <c r="I167" s="3">
        <f>3124.5+(687.8-1097.7)+(7.967475+(1.75389-2.799135))+0-651.4-1.66106999999991</f>
        <v>2068.4611599999998</v>
      </c>
      <c r="J167" s="3">
        <f>3134.9+(742.8-1137.7)+(-3.197598+(-0.757656--1.160454))+0-663.6--0.676872000000106</f>
        <v>2074.282072</v>
      </c>
      <c r="K167" s="3">
        <f>3112.6+(663.1-1051.3)+(-7.93713+(-1.690905--2.680815))+0-702.8--1.7921399999999</f>
        <v>2016.4449199999999</v>
      </c>
      <c r="L167" s="3">
        <f>2897+(730.4-1094.7)+(-7.38735+(-1.86252--2.791485))+0-660.6--1.6845299999999</f>
        <v>1867.326145</v>
      </c>
      <c r="M167" s="3">
        <f>2650.1+(868-988.9)+(-5.406204+(-1.77072--2.017356))+0-714.9--1.45839599999997</f>
        <v>1810.5988279999997</v>
      </c>
      <c r="N167" s="3">
        <f>2573.7+(766.3-942.7)+(1.312587+(0.390813-0.480777))+0-545-0.277949999999945</f>
        <v>1853.2446729999999</v>
      </c>
      <c r="O167" s="3">
        <f>2622.7+(778.9-849.9)+(0+(0-0))+0-614.5-0</f>
        <v>1937.1999999999998</v>
      </c>
      <c r="P167" s="3">
        <f>2868.7+(742.4-1000.5)+(-1.463037+(-0.378624--0.510255))+0-572.5--0.291974999999942</f>
        <v>2037.060569</v>
      </c>
      <c r="Q167" s="3">
        <f>2938.8+(731.3-916.2)+(-1.498788+(-0.372963--0.467262))+0-631.5--0.322064999999936</f>
        <v>2121.3175759999999</v>
      </c>
      <c r="R167" s="3">
        <f>2924.7+(667.7-862.5)+(-1.491597+(-0.340527--0.439875))+0-564.1--0.287690999999943</f>
        <v>2164.6954419999997</v>
      </c>
      <c r="S167" s="3">
        <f>2937.3+(646.5-814)+(-2.996046+(-0.65943--0.83028))+0-598.9--0.610878000000096</f>
        <v>2168.6856820000003</v>
      </c>
      <c r="T167" s="3">
        <f>2934.9+(567.6-684)+(0+(0-0))+0-654.7-0</f>
        <v>2163.8000000000002</v>
      </c>
      <c r="U167" s="3">
        <f>2925.9+(556.9-690.9)+(-4.476627+(-0.852057--1.057077))+0-621.6--0.951048000000036</f>
        <v>2166.979441</v>
      </c>
      <c r="V167" s="3">
        <f>2918+(561.5-695.5)+(-1.48818+(-0.286365--0.354705))+0-629.4--0.320993999999936</f>
        <v>2153.501154</v>
      </c>
      <c r="W167" s="3">
        <f>2928.8+(701.8-880.5)+(-4.481064+(-1.073754--1.347165))+0-597--0.913410000000034</f>
        <v>2149.8057570000005</v>
      </c>
      <c r="X167" s="3">
        <f>2974.8+(641.4-887.9)+(-7.58574+(-1.63557--2.264145))+0-579.4--1.47746999999992</f>
        <v>2143.4203050000001</v>
      </c>
      <c r="Y167" s="3">
        <f>3025.6+(573.3-761.7)+(0+(0-0))+0-557.1-0</f>
        <v>2280.1</v>
      </c>
      <c r="Z167" s="3">
        <f>3083.9+(377-415.7)+(-3.145578+(-0.38454--0.424014))+0-636.2--0.648924000000102</f>
        <v>2406.5428200000006</v>
      </c>
      <c r="AA167" s="3">
        <f>3105.2+(403-425.8)+(-6.334608+(-0.82212--0.868632))+0-680.4--1.38801599999997</f>
        <v>2397.0999199999992</v>
      </c>
      <c r="AB167" s="3">
        <f>3120.2+(524.4-563)+(-1.591302+(-0.267444--0.28713))+0-709.6--0.361895999999928</f>
        <v>2370.7902799999997</v>
      </c>
      <c r="AC167" s="3">
        <f>3118.1+(656.4-750.8)+(-1.590231+(-0.334764--0.382908))+0-664.8--0.339047999999933</f>
        <v>2357.6969609999996</v>
      </c>
      <c r="AD167">
        <f t="shared" si="2"/>
        <v>51323.070146000005</v>
      </c>
      <c r="AE167" s="3">
        <f>3100+(432.7-369.8)+(0+(0-0))+0-737-0</f>
        <v>2425.9</v>
      </c>
    </row>
    <row r="168" spans="1:31" s="2" customFormat="1" x14ac:dyDescent="0.25">
      <c r="A168">
        <v>89</v>
      </c>
      <c r="B168">
        <v>6</v>
      </c>
      <c r="C168">
        <v>13</v>
      </c>
      <c r="D168">
        <v>1</v>
      </c>
      <c r="E168">
        <v>1</v>
      </c>
      <c r="F168" s="3">
        <f>3107+(864.9-1062.7)+(-4.75371+(-1.323297--1.625931))+0-684.2--1.04682600000004</f>
        <v>2221.59575</v>
      </c>
      <c r="G168" s="3">
        <f>3114.2+(873.8-1131.9)+(-4.764726+(-1.336914--1.731807))+0-767.8--1.17473400000004</f>
        <v>2085.1049009999997</v>
      </c>
      <c r="H168" s="3">
        <f>3123.5+(795.9-1210.7)+(-3.18597+(-0.811818--1.234914))+0-691.2--0.70502400000011</f>
        <v>2015.4421499999999</v>
      </c>
      <c r="I168" s="3">
        <f>3137.1+(752.6-1196.4)+(1.599921+(0.383826-0.610164))+0-734-0.374339999999926</f>
        <v>1960.2992429999999</v>
      </c>
      <c r="J168" s="3">
        <f>3142.1+(669.6-1179)+(1.602471+(0.341496-0.60129))+0-639.8-0.326297999999935</f>
        <v>1993.916379</v>
      </c>
      <c r="K168" s="3">
        <f>3155.4+(766.4-1145.8)+(-8.04627+(-1.95432--2.92179))+0-757.1--1.93060499999989</f>
        <v>2013.7518050000001</v>
      </c>
      <c r="L168" s="3">
        <f>3094.1+(797.6-1172.4)+(-11.045937+(-2.847432--4.185468))+0-694.7--2.48007900000001</f>
        <v>2017.3721779999994</v>
      </c>
      <c r="M168" s="3">
        <f>3028.3+(669.7-906.8)+(0+(0-0))+0-662.9-0</f>
        <v>2128.3000000000002</v>
      </c>
      <c r="N168" s="3">
        <f>3006+(731.6-789.2)+(0+(0-0))+0-610.4-0</f>
        <v>2338</v>
      </c>
      <c r="O168" s="3">
        <f>3102.5+(719.4-660.1)+(1.582275+(0.366894-0.336651))+0-678.9-0.346238999999931</f>
        <v>2484.166279</v>
      </c>
      <c r="P168" s="3">
        <f>3094+(634.7-449.4)+(4.73382+(0.971091-0.687582))+0-688.8-1.05386400000004</f>
        <v>2594.4634650000003</v>
      </c>
      <c r="Q168" s="3">
        <f>3112.3+(695.7-487.6)+(6.349092+(1.419228-0.994704))+0-634.2-1.29376799999997</f>
        <v>2691.6798480000002</v>
      </c>
      <c r="R168" s="3">
        <f>3099.4+(903-617)+(0+(0-0))+0-661.8-0</f>
        <v>2723.6000000000004</v>
      </c>
      <c r="S168" s="3">
        <f>3091.6+(854.7-645.2)+(-4.730148+(-1.307691--0.987156))+0-698.2--1.06824600000004</f>
        <v>2598.917563</v>
      </c>
      <c r="T168" s="3">
        <f>3079+(750.8-633.4)+(0+(0-0))+0-596.7-0</f>
        <v>2599.6999999999998</v>
      </c>
      <c r="U168" s="3">
        <f>3080.1+(732.4-593.7)+(0+(0-0))+0-642.4-0</f>
        <v>2576.3999999999996</v>
      </c>
      <c r="V168" s="3">
        <f>3069.3+(734.7-594.6)+(-3.130686+(-0.749394--0.606492))+0-659.9--0.673098000000105</f>
        <v>2546.8995100000002</v>
      </c>
      <c r="W168" s="3">
        <f>3067+(816.6-672.2)+(-4.69251+(-1.249398--1.028466))+0-689.9--1.05554700000004</f>
        <v>2517.6421049999999</v>
      </c>
      <c r="X168" s="3">
        <f>3077+(652-687.1)+(-9.41562+(-1.99512--2.102526))+0-603.8--1.84762800000007</f>
        <v>2430.6394139999998</v>
      </c>
      <c r="Y168" s="3">
        <f>3102.3+(747.3-610.6)+(-6.328692+(-1.524492--1.245624))+0-683.3--1.39393199999997</f>
        <v>2550.4863720000003</v>
      </c>
      <c r="Z168" s="3">
        <f>3136+(842.3-608.7)+(-6.39744+(-1.718292--1.241748))+0-715.1--1.45880399999997</f>
        <v>2649.08482</v>
      </c>
      <c r="AA168" s="3">
        <f>3160.2+(675.5-658.9)+(-4.835106+(-1.033515--1.008117))+0-555.2--0.849456000000032</f>
        <v>2617.5889519999992</v>
      </c>
      <c r="AB168" s="3">
        <f>3147.7+(806.8-698.2)+(-3.210654+(-0.822936--0.712164))+0-701.7--0.715734000000112</f>
        <v>2551.9943080000003</v>
      </c>
      <c r="AC168" s="3">
        <f>3149.9+(897.5-818.9)+(-4.819347+(-1.373175--1.252917))+0-723.1--1.10634300000004</f>
        <v>2501.566738</v>
      </c>
      <c r="AD168">
        <f t="shared" si="2"/>
        <v>57408.611779999999</v>
      </c>
      <c r="AE168" s="3">
        <f>3157+(797.8-605.7)+(0+(0-0))+0-620.6-0</f>
        <v>2728.5</v>
      </c>
    </row>
    <row r="169" spans="1:31" s="2" customFormat="1" x14ac:dyDescent="0.25">
      <c r="A169">
        <v>89</v>
      </c>
      <c r="B169">
        <v>6</v>
      </c>
      <c r="C169">
        <v>14</v>
      </c>
      <c r="D169">
        <v>2</v>
      </c>
      <c r="E169">
        <v>1</v>
      </c>
      <c r="F169" s="3">
        <f>3125.8+(862.2-934)+(-1.594158+(-0.439722--0.47634))+0-692.7--0.35327699999993</f>
        <v>2360.0957370000001</v>
      </c>
      <c r="G169" s="3">
        <f>3139.3+(822.5-975.3)+(-4.803129+(-1.258425--1.492209))+0-764.4--1.16953200000004</f>
        <v>2218.7001869999999</v>
      </c>
      <c r="H169" s="3">
        <f>3121.1+(830.9-1109.8)+(0+(0-0))+0-713.6-0</f>
        <v>2128.6</v>
      </c>
      <c r="I169" s="3">
        <f>3019.2+(846.4-1067.6)+(0+(0-0))+0-714.3-0</f>
        <v>2083.6999999999998</v>
      </c>
      <c r="J169" s="3">
        <f>3027.5+(781.5-983)+(6.1761+(1.59426-2.00532))+0-737.3-1.50409199999997</f>
        <v>2092.9609479999999</v>
      </c>
      <c r="K169" s="3">
        <f>3034.9+(850.2-1011.1)+(-3.095598+(-0.867204--1.031322))+0-676.2--0.689724000000108</f>
        <v>2195.5582440000003</v>
      </c>
      <c r="L169" s="3">
        <f>2904.4+(881.2-970.2)+(-5.924976+(-1.797648--1.979208))+0-733.8--1.49695199999997</f>
        <v>2077.3535360000001</v>
      </c>
      <c r="M169" s="3">
        <f>2800.6+(813.9-786.2)+(4.284918+(1.245267-1.202886))+0-700.8-1.07222400000004</f>
        <v>2130.7550749999996</v>
      </c>
      <c r="N169" s="3">
        <f>2981.6+(622.5-667)+(-1.520616+(-0.317475--0.34017))+0-590--0.30089999999994</f>
        <v>2345.9029789999995</v>
      </c>
      <c r="O169" s="3">
        <f>3028.7+(766.7-640.5)+(0+(0-0))+0-683.3-0</f>
        <v>2471.5999999999995</v>
      </c>
      <c r="P169" s="3">
        <f>3012.2+(665.4-606.4)+(4.608666+(1.018062-0.927792))+0-491.2-0.751536000000028</f>
        <v>2583.9473999999996</v>
      </c>
      <c r="Q169" s="3">
        <f>2943.9+(451.8-469.6)+(1.501389+(0.230418-0.239496))+0-331.2-0.168911999999966</f>
        <v>2596.223399</v>
      </c>
      <c r="R169" s="3">
        <f>2978.5+(598.6-478.2)+(1.519035+(0.305286-0.243882))+0-458.8-0.233987999999953</f>
        <v>2641.4464509999998</v>
      </c>
      <c r="S169" s="3">
        <f>2975.5+(674.4-579.7)+(-1.517505+(-0.343944--0.295647))+0-524.1--0.267290999999947</f>
        <v>2544.8014889999999</v>
      </c>
      <c r="T169" s="3">
        <f>2961.9+(717.9-601.4)+(1.510569+(0.366129-0.306714))+0-527.6-0.269075999999946</f>
        <v>2552.1009080000003</v>
      </c>
      <c r="U169" s="3">
        <f>2947.9+(729-594)+(-4.510287+(-1.11537--0.90882))+0-549.5--0.840735000000032</f>
        <v>2529.5238980000004</v>
      </c>
      <c r="V169" s="3">
        <f>2941.7+(738.7-612)+(0+(0-0))+0-555.3-0</f>
        <v>2513.0999999999995</v>
      </c>
      <c r="W169" s="3">
        <f>2944+(839.7-673.5)+(-6.00576+(-1.712988--1.37394))+0-637.8--1.30111199999997</f>
        <v>2467.3563039999999</v>
      </c>
      <c r="X169" s="3">
        <f>2892.1+(1053.8-905.5)+(-4.424913+(-1.612314--1.385415))+0-626.2--0.958086000000036</f>
        <v>2410.5062739999998</v>
      </c>
      <c r="Y169" s="3">
        <f>2927+(862.5-538.3)+(-1.49277+(-0.439875--0.274533))+0-700.4--0.357203999999929</f>
        <v>2549.4990919999996</v>
      </c>
      <c r="Z169" s="3">
        <f>3023.9+(712-491.1)+(-3.084378+(-0.72624--0.500922))+0-612.2--0.624444000000098</f>
        <v>2629.9147480000001</v>
      </c>
      <c r="AA169" s="3">
        <f>3035.4+(685.9-565)+(-3.096108+(-0.699618--0.5763))+0-563.8--0.57507600000009</f>
        <v>2589.8556500000004</v>
      </c>
      <c r="AB169" s="3">
        <f>3042.8+(814.9-744.2)+(-1.551828+(-0.415599--0.379542))+0-577.3--0.294422999999941</f>
        <v>2534.9065379999997</v>
      </c>
      <c r="AC169" s="3">
        <f>3039.9+(813.8-743.7)+(-4.651047+(-1.245114--1.137861))+0-644.4--0.985932000000037</f>
        <v>2461.827632</v>
      </c>
      <c r="AD169">
        <f t="shared" si="2"/>
        <v>57710.236488999995</v>
      </c>
      <c r="AE169" s="3">
        <f>3008+(806.2-457.7)+(0+(0-0))+0-673.3-0</f>
        <v>2683.2</v>
      </c>
    </row>
    <row r="170" spans="1:31" s="2" customFormat="1" x14ac:dyDescent="0.25">
      <c r="A170">
        <v>89</v>
      </c>
      <c r="B170">
        <v>6</v>
      </c>
      <c r="C170">
        <v>15</v>
      </c>
      <c r="D170">
        <v>3</v>
      </c>
      <c r="E170">
        <v>1</v>
      </c>
      <c r="F170" s="3">
        <f>3004.4+(859.6-901.6)+(-4.596732+(-1.315188--1.379448))+0-652--0.997560000000038</f>
        <v>2306.8650880000005</v>
      </c>
      <c r="G170" s="3">
        <f>2982.8+(825.8-1136.9)+(-4.563684+(-1.263474--1.739457))+0-495.4--0.757962000000029</f>
        <v>2172.9702609999999</v>
      </c>
      <c r="H170" s="3">
        <f>2865.5+(934.8-1073.9)+(-2.92281+(-0.953496--1.095378))+0-621.7--0.634134000000099</f>
        <v>2102.5532059999996</v>
      </c>
      <c r="I170" s="3">
        <f>2889.2+(858.6-1046)+(-4.420476+(-1.313658--1.60038))+0-641.3--0.981189000000037</f>
        <v>2057.3474349999997</v>
      </c>
      <c r="J170" s="3">
        <f>2897.7+(703-951.9)+(-2.955654+(-0.71706--0.970938))+0-584.8--0.596496000000093</f>
        <v>2061.8947200000002</v>
      </c>
      <c r="K170" s="3">
        <f>2902.1+(818.9-933.8)+(-5.920284+(-1.670556--1.904952))+0-689.6--1.40678399999997</f>
        <v>2093.3208959999997</v>
      </c>
      <c r="L170" s="3">
        <f>2862+(836.3-1004.2)+(-13.13658+(-3.838617--4.609278))+0-588.1--2.6993790000001</f>
        <v>2096.3334600000003</v>
      </c>
      <c r="M170" s="3">
        <f>2618.1+(915.8-948.8)+(-4.005693+(-1.401174--1.451664))+0-435.5--0.666315000000025</f>
        <v>2146.3111119999999</v>
      </c>
      <c r="N170" s="3">
        <f>2663.8+(938.3-651.3)+(-2.717076+(-0.957066--0.664326))+0-618.2--0.630564000000099</f>
        <v>2330.2207480000006</v>
      </c>
      <c r="O170" s="3">
        <f>3047.2+(674.5-695.7)+(-4.662216+(-1.031985--1.064421))+0-575.2--0.880056000000033</f>
        <v>2447.0502759999999</v>
      </c>
      <c r="P170" s="3">
        <f>3058.1+(673.8-649.2)+(-6.238524+(-1.374552--1.324368))+0-488.5--0.996539999999979</f>
        <v>2588.9078319999999</v>
      </c>
      <c r="Q170" s="3">
        <f>3063.1+(750.9-548.9)+(4.686543+(1.148877-0.839817))+0-623.5-0.953955000000036</f>
        <v>2645.6416479999998</v>
      </c>
      <c r="R170" s="3">
        <f>3049.1+(561.7-359.2)+(0+(0-0))+0-592.6-0</f>
        <v>2659</v>
      </c>
      <c r="S170" s="3">
        <f>3050.9+(531.7-375.9)+(0+(0-0))+0-672.8-0</f>
        <v>2533.9000000000005</v>
      </c>
      <c r="T170" s="3">
        <f>3085.2+(437-462.8)+(1.573452+(0.22287-0.236028))+0-487.2-0.248471999999951</f>
        <v>2573.5118219999999</v>
      </c>
      <c r="U170" s="3">
        <f>3191.8+(505-463.5)+(-3.255636+(-0.5151--0.47277))+0-658.7--0.671874000000105</f>
        <v>2571.9739080000004</v>
      </c>
      <c r="V170" s="3">
        <f>3241.6+(456.9-556.6)+(-3.306432+(-0.466038--0.567732))+0-638.9--0.651678000000102</f>
        <v>2500.4469399999998</v>
      </c>
      <c r="W170" s="3">
        <f>3238.2+(742.5-864)+(-4.954446+(-1.136025--1.32192))+0-631.9--0.966807000000037</f>
        <v>2480.9982559999999</v>
      </c>
      <c r="X170" s="3">
        <f>3177.5+(725.7-929.4)+(-3.24105+(-0.740214--0.947988))+0-520.5--0.530910000000083</f>
        <v>2450.797634</v>
      </c>
      <c r="Y170" s="3">
        <f>3169.8+(712.2-726.6)+(1.616598+(0.363222-0.370566))+0-584.8-0.298247999999941</f>
        <v>2571.9110060000003</v>
      </c>
      <c r="Z170" s="3">
        <f>3307.2+(546.2-625.6)+(-1.686672+(-0.278562--0.319056))+0-571.8--0.291617999999942</f>
        <v>2654.6454399999998</v>
      </c>
      <c r="AA170" s="3">
        <f>3326.8+(770.1-813)+(-5.090004+(-1.178253--1.24389))+0-656.9--1.00505700000004</f>
        <v>2622.9806899999999</v>
      </c>
      <c r="AB170" s="3">
        <f>3320.1+(838.2-971.5)+(0+(0-0))+0-611-0</f>
        <v>2575.8000000000002</v>
      </c>
      <c r="AC170" s="3">
        <f>3325.4+(892-1043.4)+(-1.695954+(-0.45492--0.532134))+0-644.5--0.328694999999935</f>
        <v>2528.2099550000003</v>
      </c>
      <c r="AD170">
        <f t="shared" si="2"/>
        <v>57773.592333000008</v>
      </c>
      <c r="AE170" s="3">
        <f>3290+(680.6-583.4)+(0+(0-0))+0-754.4-0</f>
        <v>2632.7999999999997</v>
      </c>
    </row>
    <row r="171" spans="1:31" s="2" customFormat="1" x14ac:dyDescent="0.25">
      <c r="A171">
        <v>89</v>
      </c>
      <c r="B171">
        <v>6</v>
      </c>
      <c r="C171">
        <v>16</v>
      </c>
      <c r="D171">
        <v>4</v>
      </c>
      <c r="E171">
        <v>1</v>
      </c>
      <c r="F171" s="3">
        <f>3208.1+(951.2-1232.9)+(-3.272262+(-0.970224--1.257558))+0-641.3--0.654126000000102</f>
        <v>2282.7691979999995</v>
      </c>
      <c r="G171" s="3">
        <f>3151.6+(945.6-1196.3)+(-8.03658+(-2.41128--3.050565))+0-689.5--1.7582249999999</f>
        <v>2205.7609299999999</v>
      </c>
      <c r="H171" s="3">
        <f>3170.1+(814.2-1281.6)+(1.616751+(0.415242-0.653616))+0-593.2-0.30253199999994</f>
        <v>2110.5758449999998</v>
      </c>
      <c r="I171" s="3">
        <f>3188.1+(761.3-1222.1)+(-8.129655+(-1.941315--3.116355))+0-655.2--1.6707599999999</f>
        <v>2066.8161449999998</v>
      </c>
      <c r="J171" s="3">
        <f>3191+(781-1192.1)+(1.62741+(0.39831-0.607971))+0-693.5-0.35368499999993</f>
        <v>2087.4640640000002</v>
      </c>
      <c r="K171" s="3">
        <f>3201.2+(774.6-1167.6)+(-8.16306+(-1.97523--2.97738))+0-678.5--1.7301749999999</f>
        <v>2124.2692649999995</v>
      </c>
      <c r="L171" s="3">
        <f>3029.2+(830.7-1114.3)+(-7.72446+(-2.118285--2.841465))+0-613.3--1.56391499999991</f>
        <v>2126.8626349999995</v>
      </c>
      <c r="M171" s="3">
        <f>2880+(767.6-888.3)+(0+(0-0))+0-600.2-0</f>
        <v>2159.1000000000004</v>
      </c>
      <c r="N171" s="3">
        <f>3089.9+(458.1-671.6)+(1.575849+(0.233631-0.342516))+0-544.6-0.277745999999945</f>
        <v>2332.9892180000006</v>
      </c>
      <c r="O171" s="3">
        <f>3275.6+(561.1-752.4)+(5.011668+(0.858483-1.151172))+0-593.3-0.907749000000034</f>
        <v>2494.8112300000003</v>
      </c>
      <c r="P171" s="3">
        <f>3266+(624.4-705.3)+(-1.66566+(-0.318444--0.359703))+0-581.1--0.296360999999941</f>
        <v>2602.6719600000001</v>
      </c>
      <c r="Q171" s="3">
        <f>3243+(666.4-718.1)+(1.65393+(0.339864-0.366231))+0-541-0.275909999999945</f>
        <v>2651.6516530000004</v>
      </c>
      <c r="R171" s="3">
        <f>3227.8+(621.1-589.5)+(1.646178+(0.316761-0.300645))+0-594.2-0.30304199999994</f>
        <v>2666.5592520000005</v>
      </c>
      <c r="S171" s="3">
        <f>3234.6+(610.7-646.8)+(-3.299292+(-0.622914--0.659736))+0-633.4--0.646068000000101</f>
        <v>2562.4835979999998</v>
      </c>
      <c r="T171" s="3">
        <f>3226.9+(563.9-631.6)+(0+(0-0))+0-589.7-0</f>
        <v>2569.5</v>
      </c>
      <c r="U171" s="3">
        <f>3215+(592-632.6)+(-1.63965+(-0.30192--0.322626))+0-595.6--0.30375599999994</f>
        <v>2577.4848120000001</v>
      </c>
      <c r="V171" s="3">
        <f>3211+(571.7-532.3)+(-3.27522+(-0.583134--0.542946))+0-705.2--0.719304000000113</f>
        <v>2542.6038960000005</v>
      </c>
      <c r="W171" s="3">
        <f>3213.2+(741.5-814.7)+(-1.638732+(-0.378165--0.415497))+0-612--0.312119999999938</f>
        <v>2526.71072</v>
      </c>
      <c r="X171" s="3">
        <f>3241.1+(788.6-797.5)+(0+(0-0))+0-737-0</f>
        <v>2495.1999999999998</v>
      </c>
      <c r="Y171" s="3">
        <f>3248.6+(656.3-675.9)+(-3.313572+(-0.669426--0.689418))+0-637.2--0.649944000000102</f>
        <v>2589.1563639999999</v>
      </c>
      <c r="Z171" s="3">
        <f>3288.5+(571.8-543.7)+(-5.031405+(-0.874854--0.831861))+0-663.7--1.01546100000004</f>
        <v>2648.8410629999998</v>
      </c>
      <c r="AA171" s="3">
        <f>3321.9+(617.4-620.4)+(-5.082507+(-0.944622--0.949212))+0-689.1--1.05432300000004</f>
        <v>2625.776406</v>
      </c>
      <c r="AB171" s="3">
        <f>3315.7+(833.2-933)+(-1.691007+(-0.424932--0.47583))+0-645.1--0.329000999999935</f>
        <v>2569.4888919999999</v>
      </c>
      <c r="AC171" s="3">
        <f>3312.3+(1038.2-1125.6)+(-3.378546+(-1.058964--1.148112))+0-700.9--0.714918000000112</f>
        <v>2521.4255200000007</v>
      </c>
      <c r="AD171">
        <f t="shared" si="2"/>
        <v>58140.972666000001</v>
      </c>
      <c r="AE171" s="3">
        <f>3255+(714.1-552.5)+(0+(0-0))+0-724-0</f>
        <v>2692.6</v>
      </c>
    </row>
    <row r="172" spans="1:31" s="2" customFormat="1" x14ac:dyDescent="0.25">
      <c r="A172">
        <v>89</v>
      </c>
      <c r="B172">
        <v>6</v>
      </c>
      <c r="C172">
        <v>17</v>
      </c>
      <c r="D172">
        <v>5</v>
      </c>
      <c r="E172">
        <v>1</v>
      </c>
      <c r="F172" s="3">
        <f>3243.3+(1040.4-1274.6)+(-1.654083+(-0.530604--0.650046))+0-643.9--0.328388999999935</f>
        <v>2363.9937479999999</v>
      </c>
      <c r="G172" s="3">
        <f>3172.9+(973.4-1173)+(-6.472716+(-1.985736--2.39292))+0-744.9--1.51959599999997</f>
        <v>2223.8540640000001</v>
      </c>
      <c r="H172" s="3">
        <f>3170.1+(824.4-1203.8)+(-4.850253+(-1.261332--1.841814))+0-654.7--1.00169100000004</f>
        <v>2132.7319199999997</v>
      </c>
      <c r="I172" s="3">
        <f>3186.8+(854.2-1228.3)+(-4.875804+(-1.306926--1.879299))+0-720.2--1.10190600000004</f>
        <v>2089.2984750000005</v>
      </c>
      <c r="J172" s="3">
        <f>3193.3+(855.5-1296.6)+(1.628583+(0.436305-0.661266))+0-648.2-0.330581999999934</f>
        <v>2105.0730399999998</v>
      </c>
      <c r="K172" s="3">
        <f>3194+(863.1-1216.2)+(-4.88682+(-1.320543--1.860786))+0-699.6--1.07038800000004</f>
        <v>2138.0238110000005</v>
      </c>
      <c r="L172" s="3">
        <f>2912+(911.2-1012.9)+(-1.48512+(-0.464712--0.516579))+0-664.6--0.338945999999933</f>
        <v>2144.605693</v>
      </c>
      <c r="M172" s="3">
        <f>2863.2+(848.1-857.6)+(-1.460232+(-0.432531--0.437376))+0-679.6--0.346595999999931</f>
        <v>2172.9912089999998</v>
      </c>
      <c r="N172" s="3">
        <f>3026.9+(632.6-647.9)+(-4.631157+(-0.967878--0.991287))+0-651.8--0.997254000000038</f>
        <v>2356.1895060000006</v>
      </c>
      <c r="O172" s="3">
        <f>3215.1+(586.1-637.1)+(-3.279402+(-0.597822--0.649842))+0-625.8--0.6383160000001</f>
        <v>2535.7109340000002</v>
      </c>
      <c r="P172" s="3">
        <f>3238.3+(655.7-637.3)+(-4.954599+(-1.003221--0.975069))+0-609.4--0.932382000000035</f>
        <v>2643.2496310000001</v>
      </c>
      <c r="Q172" s="3">
        <f>3224.7+(591.3-521.6)+(-1.644597+(-0.301563--0.266016))+0-568.7--0.290036999999942</f>
        <v>2724.3098929999996</v>
      </c>
      <c r="R172" s="3">
        <f>3213+(493.1-435.4)+(-1.63863+(-0.251481--0.222054))+0-624.4--0.318443999999937</f>
        <v>2644.9503869999999</v>
      </c>
      <c r="S172" s="3">
        <f>3109.1+(641.6-483.3)+(-3.171282+(-0.654432--0.492966))+0-656.6--0.669732000000105</f>
        <v>2608.1369840000007</v>
      </c>
      <c r="T172" s="3">
        <f>3017.3+(682.7-489.8)+(-1.538823+(-0.348177--0.249798))+0-618.1--0.315230999999937</f>
        <v>2590.7780290000005</v>
      </c>
      <c r="U172" s="3">
        <f>3028.9+(652.4-550.4)+(1.544739+(0.332724-0.280704))+0-554.8-0.282947999999944</f>
        <v>2577.4138110000004</v>
      </c>
      <c r="V172" s="3">
        <f>3028.7+(583.3-517.7)+(-4.633911+(-0.892449--0.792081))+0-541.5--0.828495000000031</f>
        <v>2548.8942160000001</v>
      </c>
      <c r="W172" s="3">
        <f>3040.4+(664.4-715.3)+(-3.101208+(-0.677688--0.729606))+0-491.5--0.501330000000078</f>
        <v>2495.4520400000001</v>
      </c>
      <c r="X172" s="3">
        <f>3013.7+(747.5-838.6)+(-6.147948+(-1.5249--1.710744))+0-479.8--0.978791999999979</f>
        <v>2437.8166879999994</v>
      </c>
      <c r="Y172" s="3">
        <f>3070.8+(649.6-609.9)+(-1.566108+(-0.331296--0.311049))+0-544.5--0.277694999999945</f>
        <v>2564.6913399999999</v>
      </c>
      <c r="Z172" s="3">
        <f>3114+(674.6-503.5)+(-4.76442+(-1.032138--0.770355))+0-639.4--0.978282000000037</f>
        <v>2641.652079</v>
      </c>
      <c r="AA172" s="3">
        <f>3132.5+(791.1-642.4)+(-3.19515+(-0.806922--0.655248))+0-665.1--0.678402000000106</f>
        <v>2613.4315779999997</v>
      </c>
      <c r="AB172" s="3">
        <f>3128.2+(903.4-817)+(1.595382+(0.460734-0.41667))+0-658.9-0.336038999999933</f>
        <v>2557.0034070000002</v>
      </c>
      <c r="AC172" s="3">
        <f>3112.9+(1030.6-944)+(-6.350316+(-2.102424--1.92576))+0-684--1.39535999999997</f>
        <v>2510.3683799999999</v>
      </c>
      <c r="AD172">
        <f t="shared" si="2"/>
        <v>58420.620862999989</v>
      </c>
      <c r="AE172" s="3">
        <f>3097+(755.7-501.7)+(0+(0-0))+0-663.6-0</f>
        <v>2687.4</v>
      </c>
    </row>
    <row r="173" spans="1:31" s="2" customFormat="1" x14ac:dyDescent="0.25">
      <c r="A173">
        <v>89</v>
      </c>
      <c r="B173">
        <v>6</v>
      </c>
      <c r="C173">
        <v>18</v>
      </c>
      <c r="D173">
        <v>6</v>
      </c>
      <c r="E173">
        <v>1</v>
      </c>
      <c r="F173" s="3">
        <f>3041.2+(1024.3-1122.3)+(0+(0-0))+0-577.3-0</f>
        <v>2365.8999999999996</v>
      </c>
      <c r="G173" s="3">
        <f>3005.8+(986.3-1049.2)+(-3.065916+(-1.006026--1.070184))+0-731.8--0.746436000000117</f>
        <v>2208.8446779999999</v>
      </c>
      <c r="H173" s="3">
        <f>2984.5+(858.2-1081.1)+(0+(0-0))+0-640.3-0</f>
        <v>2121.3000000000002</v>
      </c>
      <c r="I173" s="3">
        <f>2937.3+(941.1-1059.8)+(-2.996046+(-0.959922--1.080996))+0-743.3--0.758166000000118</f>
        <v>2073.1831940000006</v>
      </c>
      <c r="J173" s="3">
        <f>2938.1+(846-998)+(1.498431+(0.43146-0.50898))+0-715-0.364649999999927</f>
        <v>2072.1562610000001</v>
      </c>
      <c r="K173" s="3">
        <f>2937.3+(876.9-999.6)+(0+(0-0))+0-710.2-0</f>
        <v>2104.4000000000005</v>
      </c>
      <c r="L173" s="3">
        <f>2963.9+(905.5-1061.1)+(-3.023178+(-0.92361--1.082322))+0-719.1--0.733482000000115</f>
        <v>2087.0690160000004</v>
      </c>
      <c r="M173" s="3">
        <f>2736.9+(900.2-853.8)+(1.395819+(0.459102-0.435438))+0-645.9-0.329408999999934</f>
        <v>2138.4900740000003</v>
      </c>
      <c r="N173" s="3">
        <f>2705.7+(1016.8-751.3)+(-1.379907+(-0.518568--0.383163))+0-661--0.337109999999933</f>
        <v>2309.0217979999998</v>
      </c>
      <c r="O173" s="3">
        <f>2905+(824.3-678.7)+(0+(0-0))+0-601.6-0</f>
        <v>2449</v>
      </c>
      <c r="P173" s="3">
        <f>3111.3+(884.7-803.5)+(1.586763+(0.451197-0.409785))+0-620.8-0.316607999999937</f>
        <v>2573.0115669999996</v>
      </c>
      <c r="Q173" s="3">
        <f>3085.7+(896.6-828.4)+(1.573707+(0.457266-0.422484))+0-533.5-0.272084999999946</f>
        <v>2621.7364039999998</v>
      </c>
      <c r="R173" s="3">
        <f>3068.1+(974.3-695.5)+(-3.129462+(-0.993786--0.70941))+0-704.2--0.718284000000112</f>
        <v>2640.0044459999995</v>
      </c>
      <c r="S173" s="3">
        <f>3059+(985.8-812)+(-6.24036+(-2.011032--1.65648))+0-714.7--1.45798799999997</f>
        <v>2512.963076</v>
      </c>
      <c r="T173" s="3">
        <f>3060.9+(999.7-972)+(-3.122118+(-1.019694--0.99144))+0-602.3--0.614346000000096</f>
        <v>2483.7639740000004</v>
      </c>
      <c r="U173" s="3">
        <f>3041.1+(995.3-1041.2)+(0+(0-0))+0-546.2-0</f>
        <v>2449</v>
      </c>
      <c r="V173" s="3">
        <f>3039.9+(869.8-940)+(-3.100698+(-0.887196--0.9588))+0-560--0.571200000000089</f>
        <v>2407.2421059999997</v>
      </c>
      <c r="W173" s="3">
        <f>3036.6+(915.1-954.9)+(-6.194664+(-1.866804--1.947996))+0-610.2--1.24480799999997</f>
        <v>2381.7313360000003</v>
      </c>
      <c r="X173" s="3">
        <f>2933.9+(931.6-980.5)+(2.992578+(0.950232-1.00011))+0-580.5-0.592110000000093</f>
        <v>2306.85059</v>
      </c>
      <c r="Y173" s="3">
        <f>2985.6+(871.4-820.8)+(1.522656+(0.444414-0.418608))+0-552.5-0.281774999999944</f>
        <v>2484.9666870000001</v>
      </c>
      <c r="Z173" s="3">
        <f>3123+(845.7-748.3)+(-3.18546+(-0.862614--0.763266))+0-671.5--0.684930000000107</f>
        <v>2546.3001220000001</v>
      </c>
      <c r="AA173" s="3">
        <f>3212.9+(881.9-955.8)+(-3.277158+(-0.899538--0.974916))+0-632.8--0.645456000000101</f>
        <v>2503.6436760000006</v>
      </c>
      <c r="AB173" s="3">
        <f>3270.8+(965.7-1164.9)+(-3.336216+(-0.985014--1.188198))+0-632.8--0.645456000000101</f>
        <v>2436.3124240000006</v>
      </c>
      <c r="AC173" s="3">
        <f>3303.7+(1006-1289.8)+(0+(0-0))+0-624.2-0</f>
        <v>2395.6999999999998</v>
      </c>
      <c r="AD173">
        <f t="shared" si="2"/>
        <v>56672.591429</v>
      </c>
      <c r="AE173" s="3">
        <f>3096+(846.4-665.5)+(0+(0-0))+0-652.9-0</f>
        <v>2624</v>
      </c>
    </row>
    <row r="174" spans="1:31" s="2" customFormat="1" x14ac:dyDescent="0.25">
      <c r="A174">
        <v>89</v>
      </c>
      <c r="B174">
        <v>6</v>
      </c>
      <c r="C174">
        <v>19</v>
      </c>
      <c r="D174">
        <v>7</v>
      </c>
      <c r="E174">
        <v>3</v>
      </c>
      <c r="F174" s="3">
        <f>3290.1+(942.9-1363.9)+(-6.711804+(-1.923516--2.782356))+0-617.9--1.26051599999997</f>
        <v>2246.6075519999995</v>
      </c>
      <c r="G174" s="3">
        <f>3305.2+(869.2-1411.2)+(-5.056956+(-1.329876--2.159136))+0-668.1--1.02219300000004</f>
        <v>2091.8944970000002</v>
      </c>
      <c r="H174" s="3">
        <f>3319.8+(575.4-1311.9)+(-5.079294+(-0.880362--2.007207))+0-598.2--0.915246000000035</f>
        <v>1982.0627970000003</v>
      </c>
      <c r="I174" s="3">
        <f>3339.3+(446.5-1176.3)+(-1.703043+(-0.227715--0.599913))+0-681.9--0.347768999999931</f>
        <v>1926.6169239999999</v>
      </c>
      <c r="J174" s="3">
        <f>3196.5+(510.5-1194.9)+(0+(0-0))+0-600.8-0</f>
        <v>1911.3</v>
      </c>
      <c r="K174" s="3">
        <f>2954.3+(618.8-1094.1)+(0+(0-0))+0-592.4-0</f>
        <v>1886.6</v>
      </c>
      <c r="L174" s="3">
        <f>2831+(729-1060.6)+(-10.10667+(-2.60253--3.786342))+0-680.7--2.43009900000001</f>
        <v>1812.2072410000001</v>
      </c>
      <c r="M174" s="3">
        <f>2519.4+(717.3-896.7)+(-1.284894+(-0.365823--0.457317))+0-635.5--0.324104999999936</f>
        <v>1703.6307049999998</v>
      </c>
      <c r="N174" s="3">
        <f>2467+(660.5-803.9)+(6.29085+(1.684275-2.049945))+0-570.9-1.45579499999992</f>
        <v>1757.1693850000001</v>
      </c>
      <c r="O174" s="3">
        <f>2645.2+(584-838.5)+(-1.349052+(-0.29784--0.427635))+0-582.1--0.296870999999941</f>
        <v>1807.6776139999997</v>
      </c>
      <c r="P174" s="3">
        <f>2639+(694.2-863.8)+(-2.69178+(-0.708084--0.881076))+0-584.5--0.596190000000093</f>
        <v>1882.9774020000004</v>
      </c>
      <c r="Q174" s="3">
        <f>2723.7+(671.6-968.5)+(-1.389087+(-0.342516--0.493935))+0-507.8--0.258977999999948</f>
        <v>1918.0213099999994</v>
      </c>
      <c r="R174" s="3">
        <f>2801.7+(777-985.1)+(-4.286601+(-1.18881--1.507203))+0-655.7--1.00322100000004</f>
        <v>1934.935013</v>
      </c>
      <c r="S174" s="3">
        <f>2929.6+(821.4-1175.4)+(-2.988192+(-0.837828--1.198908))+0-629.7--0.642294000000101</f>
        <v>1943.9151819999997</v>
      </c>
      <c r="T174" s="3">
        <f>3031.8+(838.6-1171.1)+(-3.092436+(-0.855372--1.194522))+0-741.1--0.755922000000118</f>
        <v>1956.2026360000002</v>
      </c>
      <c r="U174" s="3">
        <f>3097+(727.2-1249.5)+(-1.57947+(-0.370872--0.637245))+0-605.6--0.308855999999939</f>
        <v>1968.0957589999996</v>
      </c>
      <c r="V174" s="3">
        <f>3082.7+(627.4-1147.4)+(-4.716531+(-0.959922--1.755522))+0-597--0.913410000000034</f>
        <v>1962.6924789999998</v>
      </c>
      <c r="W174" s="3">
        <f>3083.7+(540.7-984.6)+(-9.436122+(-1.654542--3.012876))+0-687.7--2.10436200000008</f>
        <v>1946.1265739999997</v>
      </c>
      <c r="X174" s="3">
        <f>2849+(585.7-887.5)+(-2.90598+(-0.597414--0.90525))+0-615.9--0.628218000000098</f>
        <v>1929.3300739999997</v>
      </c>
      <c r="Y174" s="3">
        <f>2822.2+(377-431.2)+(-2.878644+(-0.38454--0.439824))+0-684.4--0.698088000000109</f>
        <v>2081.4747280000001</v>
      </c>
      <c r="Z174" s="3">
        <f>3157.2+(289.3-581.6)+(-6.440688+(-0.590172--1.186464))+0-634.2--1.29376799999997</f>
        <v>2226.1493719999994</v>
      </c>
      <c r="AA174" s="3">
        <f>3242.6+(310.5-724.5)+(-6.614904+(-0.63342--1.47798))+0-632--1.28927999999997</f>
        <v>2192.1189359999998</v>
      </c>
      <c r="AB174" s="3">
        <f>3222.7+(286.9-702.1)+(-1.643577+(-0.146319--0.358071))+0-632.5--0.322574999999936</f>
        <v>2173.89075</v>
      </c>
      <c r="AC174" s="3">
        <f>3234.8+(183.1-690.3)+(-4.949244+(-0.280143--1.056159))+0-604.6--0.925038000000035</f>
        <v>2119.7518100000002</v>
      </c>
      <c r="AD174">
        <f t="shared" si="2"/>
        <v>47361.44874</v>
      </c>
      <c r="AE174" s="3">
        <f>3147+(276.4-600.3)+(0+(0-0))+0-735.1-0</f>
        <v>2088</v>
      </c>
    </row>
    <row r="175" spans="1:31" s="2" customFormat="1" x14ac:dyDescent="0.25">
      <c r="A175">
        <v>89</v>
      </c>
      <c r="B175">
        <v>6</v>
      </c>
      <c r="C175">
        <v>20</v>
      </c>
      <c r="D175">
        <v>1</v>
      </c>
      <c r="E175">
        <v>1</v>
      </c>
      <c r="F175" s="3">
        <f>3263.4+(330.4-954.1)+(-6.657336+(-0.674016--1.946364))+0-611.7--1.24786799999997</f>
        <v>2023.8628799999999</v>
      </c>
      <c r="G175" s="3">
        <f>3276.2+(510.4-1150)+(-5.012586+(-0.780912--1.7595))+0-719.3--1.10052900000004</f>
        <v>1914.3665310000001</v>
      </c>
      <c r="H175" s="3">
        <f>3185.3+(455.4-1140.5)+(-9.747018+(-1.393524--3.48993))+0-651.8--1.99450800000008</f>
        <v>1842.7438960000004</v>
      </c>
      <c r="I175" s="3">
        <f>2931.7+(495.3-993.8)+(-2.990334+(-0.505206--1.013676))+0-637.4--0.650148000000102</f>
        <v>1793.968284</v>
      </c>
      <c r="J175" s="3">
        <f>2941+(485.7-1024.2)+(-2.99982+(-0.495414--1.044684))+0-616.9--0.629238000000098</f>
        <v>1783.7786879999999</v>
      </c>
      <c r="K175" s="3">
        <f>2944.6+(500.4-1042)+(0+(0-0))+0-626.2-0</f>
        <v>1776.8</v>
      </c>
      <c r="L175" s="3">
        <f>2860.4+(531.6-960.4)+(-10.211628+(-1.897812--3.428628))+0-651.2--2.32478400000001</f>
        <v>1774.0439720000002</v>
      </c>
      <c r="M175" s="3">
        <f>2807.7+(437.6-787.6)+(-4.295781+(-0.669528--1.205028))+0-699.4--1.07008200000004</f>
        <v>1755.6098009999998</v>
      </c>
      <c r="N175" s="3">
        <f>2791.9+(398.2-701.6)+(-4.271607+(-0.609246--1.073448))+0-594.6--0.909738000000034</f>
        <v>1891.0023330000001</v>
      </c>
      <c r="O175" s="3">
        <f>2786.6+(454.5-512.9)+(-1.421166+(-0.231795--0.261579))+0-698.8--0.356387999999929</f>
        <v>2028.365006</v>
      </c>
      <c r="P175" s="3">
        <f>2910.4+(355.6-505.2)+(-2.968608+(-0.362712--0.515304))+0-634.7--0.647394000000101</f>
        <v>2123.9313779999998</v>
      </c>
      <c r="Q175" s="3">
        <f>3047.1+(357.5-549.7)+(-1.554021+(-0.182325--0.280347))+0-655.6--0.334355999999933</f>
        <v>2198.1783569999998</v>
      </c>
      <c r="R175" s="3">
        <f>3068+(268.7-516.2)+(-1.56468+(-0.137037--0.263262))+0-582.9--0.297278999999941</f>
        <v>2236.4588239999998</v>
      </c>
      <c r="S175" s="3">
        <f>3064.1+(377.5-577.3)+(-3.125382+(-0.38505--0.588846))+0-707.1--0.721242000000113</f>
        <v>2154.9996560000004</v>
      </c>
      <c r="T175" s="3">
        <f>3044.8+(429.3-765.9)+(1.552848+(0.218943-0.390609))+0-556.3-0.283712999999944</f>
        <v>2152.9974690000008</v>
      </c>
      <c r="U175" s="3">
        <f>3030.8+(439.2-631.7)+(-3.091416+(-0.447984--0.644334))+0-763.3--0.778566000000122</f>
        <v>2072.8834999999999</v>
      </c>
      <c r="V175" s="3">
        <f>3037.9+(512.3-724.3)+(0+(0-0))+0-680.9-0</f>
        <v>2145</v>
      </c>
      <c r="W175" s="3">
        <f>2978.5+(563.2-752.3)+(-7.595175+(-1.43616--1.918365))+0-644.8--1.64423999999991</f>
        <v>2139.1312700000003</v>
      </c>
      <c r="X175" s="3">
        <f>2929.6+(375.5-654.5)+(-8.964576+(-1.14903--2.00277))+0-584.8--1.78948800000007</f>
        <v>2059.4786520000002</v>
      </c>
      <c r="Y175" s="3">
        <f>2999.5+(302.9-375.1)+(-1.529745+(-0.154479--0.191301))+0-624.8--0.318647999999937</f>
        <v>2301.3257250000001</v>
      </c>
      <c r="Z175" s="3">
        <f>3100.1+(330.7-314.6)+(-3.162102+(-0.337314--0.320892))+0-704.2--0.718284000000112</f>
        <v>2409.5397600000001</v>
      </c>
      <c r="AA175" s="3">
        <f>3120.3+(362.2-334)+(-6.365412+(-0.738888--0.68136))+0-782.1--1.59548399999997</f>
        <v>2361.5725440000001</v>
      </c>
      <c r="AB175" s="3">
        <f>3125.8+(524.6-675.1)+(-4.782474+(-0.802638--1.032903))+0-668.7--1.02311100000004</f>
        <v>2303.0709019999999</v>
      </c>
      <c r="AC175" s="3">
        <f>3068.5+(749-947.8)+(-7.824675+(-1.90995--2.41689))+0-600.1--1.53025499999991</f>
        <v>2263.8125199999999</v>
      </c>
      <c r="AD175">
        <f t="shared" si="2"/>
        <v>49506.921948000003</v>
      </c>
      <c r="AE175" s="3">
        <f>3101+(463.4-314.7)+(0+(0-0))+0-762.7-0</f>
        <v>2487</v>
      </c>
    </row>
    <row r="176" spans="1:31" s="2" customFormat="1" x14ac:dyDescent="0.25">
      <c r="A176">
        <v>89</v>
      </c>
      <c r="B176">
        <v>6</v>
      </c>
      <c r="C176">
        <v>21</v>
      </c>
      <c r="D176">
        <v>2</v>
      </c>
      <c r="E176">
        <v>1</v>
      </c>
      <c r="F176" s="3">
        <f>2926.8+(767.1-836.1)+(-4.478004+(-1.173663--1.279233))+0-739--1.13067000000004</f>
        <v>2115.5582360000003</v>
      </c>
      <c r="G176" s="3">
        <f>2924.3+(710.2-934.5)+(-1.491393+(-0.362202--0.476595))+0-746.2--0.380561999999924</f>
        <v>1952.8035619999998</v>
      </c>
      <c r="H176" s="3">
        <f>2930.7+(588.1-953.5)+(-2.989314+(-0.599862--0.97257))+0-675.7--0.689214000000108</f>
        <v>1887.6726079999999</v>
      </c>
      <c r="I176" s="3">
        <f>2890.4+(563.5-939.3)+(-4.422312+(-0.862155--1.437129))+0-687.4--1.05172200000004</f>
        <v>1824.4043840000002</v>
      </c>
      <c r="J176" s="3">
        <f>2894.7+(528.2-861.5)+(-4.428891+(-0.808146--1.318095))+0-734.9--1.12439700000004</f>
        <v>1823.7054549999998</v>
      </c>
      <c r="K176" s="3">
        <f>2834.2+(462.8-887.3)+(0+(0-0))+0-567.4-0</f>
        <v>1842.2999999999997</v>
      </c>
      <c r="L176" s="3">
        <f>2826.6+(479.2-775.6)+(-7.20783+(-1.22196--1.97778))+0-686.1--1.7495549999999</f>
        <v>1839.3975449999998</v>
      </c>
      <c r="M176" s="3">
        <f>2643.7+(408.9-655.1)+(0+(0-0))+0-497.6-0</f>
        <v>1899.9</v>
      </c>
      <c r="N176" s="3">
        <f>2747.5+(500.9-473.4)+(1.401225+(0.255459-0.241434))+0-547.9-0.279428999999944</f>
        <v>2228.2358209999998</v>
      </c>
      <c r="O176" s="3">
        <f>2903.6+(562.8-429.9)+(-4.442508+(-0.861084--0.657747))+0-575.7--0.880821000000033</f>
        <v>2457.0349760000004</v>
      </c>
      <c r="P176" s="3">
        <f>2948.8+(617.3-424.1)+(0+(0-0))+0-535.4-0</f>
        <v>2606.6</v>
      </c>
      <c r="Q176" s="3">
        <f>2927.1+(714.1-415.7)+(0+(0-0))+0-625.4-0</f>
        <v>2600.1</v>
      </c>
      <c r="R176" s="3">
        <f>2896.8+(764.2-513.3)+(-4.432104+(-1.169226--0.785349))+0-550.3--0.841959000000032</f>
        <v>2593.4259779999998</v>
      </c>
      <c r="S176" s="3">
        <f>2888.7+(921.1-731.4)+(-7.366185+(-2.348805--1.86507))+0-639.3--1.63021499999991</f>
        <v>2432.8802949999999</v>
      </c>
      <c r="T176" s="3">
        <f>2873.3+(1023.8-822.8)+(0+(0-0))+0-569.1-0</f>
        <v>2505.2000000000003</v>
      </c>
      <c r="U176" s="3">
        <f>2854.5+(1037.5-783)+(2.91159+(1.05825-0.79866))+0-564.1-0.57538200000009</f>
        <v>2547.4957979999999</v>
      </c>
      <c r="V176" s="3">
        <f>2855.3+(835.1-700.8)+(-5.824812+(-1.703604--1.429632))+0-592.7--1.20910799999997</f>
        <v>2392.0103240000008</v>
      </c>
      <c r="W176" s="3">
        <f>2806.7+(620.7-528)+(-5.725668+(-1.266228--1.07712))+0-438.8--0.895151999999981</f>
        <v>2455.5803759999994</v>
      </c>
      <c r="X176" s="3">
        <f>2760.4+(686.2-482.2)+(-1.407804+(-0.349962--0.245922))+0-483--0.246329999999951</f>
        <v>2480.1344859999999</v>
      </c>
      <c r="Y176" s="3">
        <f>2842.4+(566.1-348)+(-1.449624+(-0.288711--0.17748))+0-460--0.234599999999953</f>
        <v>2599.1737449999996</v>
      </c>
      <c r="Z176" s="3">
        <f>2936.7+(770.8-501.2)+(-4.493151+(-1.179324--0.766836))+0-586.3--0.897039000000034</f>
        <v>2615.9913999999994</v>
      </c>
      <c r="AA176" s="3">
        <f>2959.4+(948.6-666.4)+(-10.565058+(-3.386502--2.379048))+0-705.6--2.51899200000001</f>
        <v>2526.9464800000001</v>
      </c>
      <c r="AB176" s="3">
        <f>2958.3+(668.1-654.4)+(-1.508733+(-0.340731--0.333744))+0-534.1--0.272390999999946</f>
        <v>2436.6566710000002</v>
      </c>
      <c r="AC176" s="3">
        <f>2963.9+(797.5-749.6)+(-3.023178+(-0.81345--0.764592))+0-629.5--0.6420900000001</f>
        <v>2379.8700540000004</v>
      </c>
      <c r="AD176">
        <f t="shared" si="2"/>
        <v>55043.078193999994</v>
      </c>
      <c r="AE176" s="3">
        <f>2932+(890.1-479)+(0+(0-0))+0-691.3-0</f>
        <v>2651.8</v>
      </c>
    </row>
    <row r="177" spans="1:31" s="2" customFormat="1" x14ac:dyDescent="0.25">
      <c r="A177">
        <v>89</v>
      </c>
      <c r="B177">
        <v>6</v>
      </c>
      <c r="C177">
        <v>22</v>
      </c>
      <c r="D177">
        <v>3</v>
      </c>
      <c r="E177">
        <v>1</v>
      </c>
      <c r="F177" s="3">
        <f>2947.2+(850.8-847.2)+(-6.012288+(-1.735632--1.728288))+0-748.3--1.52653199999997</f>
        <v>2198.0068999999994</v>
      </c>
      <c r="G177" s="3">
        <f>2961.2+(729.6-903.4)+(-1.510212+(-0.372096--0.460734))+0-705.5--0.359804999999928</f>
        <v>2080.8382309999997</v>
      </c>
      <c r="H177" s="3">
        <f>2844+(799.6-1000.5)+(-2.90088+(-0.815592--1.02051))+0-616.5--0.628830000000098</f>
        <v>2024.5328680000002</v>
      </c>
      <c r="I177" s="3">
        <f>2827.9+(890.9-929.2)+(-4.326687+(-1.363077--1.421676))+0-799.9--1.22384700000005</f>
        <v>1986.655759</v>
      </c>
      <c r="J177" s="3">
        <f>2830.9+(778.8-935.2)+(-2.887518+(-0.794376--0.953904))+0-713.2--0.727464000000114</f>
        <v>1959.2994740000001</v>
      </c>
      <c r="K177" s="3">
        <f>2826.4+(819.2-949.7)+(5.765856+(1.671168-1.937388))+0-720.3-1.46941199999997</f>
        <v>1979.6302240000002</v>
      </c>
      <c r="L177" s="3">
        <f>2774.3+(710.9-816)+(-5.659572+(-1.450236--1.66464))+0-672.8--1.37251199999997</f>
        <v>1992.327344</v>
      </c>
      <c r="M177" s="3">
        <f>2712.7+(537.7-594)+(4.150431+(0.822681-0.90882))+0-616-0.942480000000036</f>
        <v>2043.5218119999997</v>
      </c>
      <c r="N177" s="3">
        <f>2795.3+(633.3-537.9)+(-1.425603+(-0.322983--0.274329))+0-616.2--0.314261999999938</f>
        <v>2273.340005</v>
      </c>
      <c r="O177" s="3">
        <f>2909.6+(715.3-446.1)+(1.483896+(0.364803-0.227511))+0-751.5-0.383264999999924</f>
        <v>2428.5379229999999</v>
      </c>
      <c r="P177" s="3">
        <f>2929.2+(744.1-519.1)+(2.987784+(0.758982-0.529482))+0-612.5-0.624750000000098</f>
        <v>2544.2925339999997</v>
      </c>
      <c r="Q177" s="3">
        <f>2908+(940.7-503.4)+(-1.48308+(-0.479757--0.256734))+0-702.4--0.358223999999929</f>
        <v>2641.5521210000002</v>
      </c>
      <c r="R177" s="3">
        <f>2885.3+(1040-592.8)+(0+(0-0))+0-694.6-0</f>
        <v>2637.9</v>
      </c>
      <c r="S177" s="3">
        <f>2844.2+(1074.6-888)+(-2.901084+(-1.096092--0.90576))+0-566.3--0.57762600000009</f>
        <v>2461.98621</v>
      </c>
      <c r="T177" s="3">
        <f>2843+(1097.1-857.2)+(0+(0-0))+0-559.9-0</f>
        <v>2522.9999999999995</v>
      </c>
      <c r="U177" s="3">
        <f>2837.8+(1144.8-900.4)+(0+(0-0))+0-496.2-0</f>
        <v>2586.0000000000005</v>
      </c>
      <c r="V177" s="3">
        <f>2832.9+(1171.2-765)+(-7.223895+(-2.98656--1.95075))+0-576.4--1.46981999999992</f>
        <v>2655.9101150000001</v>
      </c>
      <c r="W177" s="3">
        <f>2830.9+(1027.3-727)+(-8.662554+(-3.143538--2.22462))+0-624.9--1.91219400000007</f>
        <v>2498.6307219999999</v>
      </c>
      <c r="X177" s="3">
        <f>2851.5+(850.6-535.1)+(-4.362795+(-1.301418--0.818703))+0-699.1--1.06962300000004</f>
        <v>2464.1241129999999</v>
      </c>
      <c r="Y177" s="3">
        <f>2898.1+(997.1-578)+(-2.956062+(-1.017042--0.58956))+0-697.8--0.711756000000111</f>
        <v>2616.7282120000004</v>
      </c>
      <c r="Z177" s="3">
        <f>2930.9+(965.6-596.1)+(-4.484277+(-1.477368--0.912033))+0-630.7--0.964971000000037</f>
        <v>2665.6153589999999</v>
      </c>
      <c r="AA177" s="3">
        <f>2934.6+(975.5-823.3)+(-4.489938+(-1.492515--1.259649))+0-530.3--0.811359000000031</f>
        <v>2552.5885549999998</v>
      </c>
      <c r="AB177" s="3">
        <f>2939.3+(889.7-736.6)+(-5.996172+(-1.814988--1.502664))+0-643.7--1.31314799999997</f>
        <v>2443.7046520000004</v>
      </c>
      <c r="AC177" s="3">
        <f>2954.5+(917.3-819.3)+(-3.01359+(-0.935646--0.835686))+0-687.8--0.70155600000011</f>
        <v>2362.2880059999998</v>
      </c>
      <c r="AD177">
        <f t="shared" si="2"/>
        <v>56621.011139000009</v>
      </c>
      <c r="AE177" s="3">
        <f>2950+(1026.1-563)+(0+(0-0))+0-689.9-0</f>
        <v>2723.2</v>
      </c>
    </row>
    <row r="178" spans="1:31" s="2" customFormat="1" x14ac:dyDescent="0.25">
      <c r="A178">
        <v>89</v>
      </c>
      <c r="B178">
        <v>6</v>
      </c>
      <c r="C178">
        <v>23</v>
      </c>
      <c r="D178">
        <v>4</v>
      </c>
      <c r="E178">
        <v>1</v>
      </c>
      <c r="F178" s="3">
        <f>2921.5+(835.1-835.6)+(-4.469895+(-1.277703--1.278468))+0-713.6--1.09180800000004</f>
        <v>2204.0226780000003</v>
      </c>
      <c r="G178" s="3">
        <f>2912.6+(781.7-875.5)+(-4.456278+(-1.196001--1.339515))+0-726--1.11078000000004</f>
        <v>2089.5980160000004</v>
      </c>
      <c r="H178" s="3">
        <f>2934+(647.7-949.2)+(-1.49634+(-0.330327--0.484092))+0-611.5--0.311864999999938</f>
        <v>2019.9692899999998</v>
      </c>
      <c r="I178" s="3">
        <f>2943+(666.9-1028.7)+(-4.50279+(-1.020357--1.573911))+0-619.6--0.947988000000036</f>
        <v>1958.5987520000001</v>
      </c>
      <c r="J178" s="3">
        <f>2907.5+(704.3-965.5)+(-7.414125+(-1.795965--2.462025))+0-695.4--1.7732699999999</f>
        <v>1945.9252049999998</v>
      </c>
      <c r="K178" s="3">
        <f>2815.3+(719.2-824.4)+(-1.435803+(-0.366792--0.420444))+0-754.4--0.384743999999923</f>
        <v>1954.7025930000004</v>
      </c>
      <c r="L178" s="3">
        <f>2808.7+(704.2-866.3)+(-5.729748+(-1.436568--1.767252))+0-663.2--1.35292799999997</f>
        <v>1979.3538639999997</v>
      </c>
      <c r="M178" s="3">
        <f>2703.1+(687.7-691.3)+(0+(0-0))+0-649-0</f>
        <v>2050.5</v>
      </c>
      <c r="N178" s="3">
        <f>2877.3+(682-678.1)+(-2.934846+(-0.69564--0.691662))+0-600.3--0.612306000000096</f>
        <v>2278.5734820000007</v>
      </c>
      <c r="O178" s="3">
        <f>2899.5+(725.1-632.2)+(-4.436235+(-1.109403--0.967266))+0-545--0.833850000000032</f>
        <v>2443.6554780000001</v>
      </c>
      <c r="P178" s="3">
        <f>2843+(835.6-509.2)+(-1.44993+(-0.426156--0.259692))+0-626.9--0.319718999999936</f>
        <v>2541.2033249999999</v>
      </c>
      <c r="Q178" s="3">
        <f>2829.8+(807.2-366.7)+(-2.886396+(-0.823344--0.374034))+0-626.2--0.6387240000001</f>
        <v>2641.4030180000004</v>
      </c>
      <c r="R178" s="3">
        <f>2750.5+(941.8-464.7)+(-7.013775+(-2.40159--1.184985))+0-639.4--1.63046999999991</f>
        <v>2581.6000899999999</v>
      </c>
      <c r="S178" s="3">
        <f>2772.7+(1040.5-655.7)+(-5.656308+(-2.12262--1.337628))+0-613.5--1.25153999999997</f>
        <v>2538.8102399999998</v>
      </c>
      <c r="T178" s="3">
        <f>2790.4+(1111.7-699.4)+(-1.423104+(-0.566967--0.356694))+0-540--0.275399999999945</f>
        <v>2661.3420230000002</v>
      </c>
      <c r="U178" s="3">
        <f>2792.9+(1145.3-748.8)+(-5.697516+(-2.336412--1.527552))+0-617.4--1.25949599999997</f>
        <v>2566.7531200000003</v>
      </c>
      <c r="V178" s="3">
        <f>2815.4+(1112.6-765.8)+(-2.871708+(-1.134852--0.781116))+0-629.3--0.6418860000001</f>
        <v>2530.3164419999998</v>
      </c>
      <c r="W178" s="3">
        <f>2825.5+(1067.8-770.5)+(-2.88201+(-1.089156--0.78591))+0-613--0.625260000000098</f>
        <v>2507.2400040000002</v>
      </c>
      <c r="X178" s="3">
        <f>2835.7+(833.8-586)+(-2.892414+(-0.850476--0.59772))+0-610.6--0.622812000000097</f>
        <v>2470.3776420000004</v>
      </c>
      <c r="Y178" s="3">
        <f>2851.2+(905.9-412)+(-4.362336+(-1.386027--0.63036))+0-662.5--1.01362500000004</f>
        <v>2678.4956219999999</v>
      </c>
      <c r="Z178" s="3">
        <f>2870.3+(1120.4-609.5)+(-4.391559+(-1.714212--0.932535))+0-694.1--1.06197300000004</f>
        <v>2682.9887370000001</v>
      </c>
      <c r="AA178" s="3">
        <f>2874.5+(1042.6-813.9)+(-7.329975+(-2.65863--2.075445))+0-578.3--1.47466499999992</f>
        <v>2518.4615049999993</v>
      </c>
      <c r="AB178" s="3">
        <f>2867.6+(1113.5-776.1)+(-2.924952+(-1.13577--0.791622))+0-771.9--0.787338000000123</f>
        <v>2430.618238</v>
      </c>
      <c r="AC178" s="3">
        <f>2858.1+(1085.7-954.6)+(-2.915262+(-1.107414--0.973692))+0-625.7--0.6382140000001</f>
        <v>2361.08923</v>
      </c>
      <c r="AD178">
        <f t="shared" si="2"/>
        <v>56635.598594000003</v>
      </c>
      <c r="AE178" s="3">
        <f>2881+(1192.1-647.6)+(0+(0-0))+0-717.8-0</f>
        <v>2707.7</v>
      </c>
    </row>
    <row r="179" spans="1:31" s="2" customFormat="1" x14ac:dyDescent="0.25">
      <c r="A179">
        <v>89</v>
      </c>
      <c r="B179">
        <v>6</v>
      </c>
      <c r="C179">
        <v>24</v>
      </c>
      <c r="D179">
        <v>5</v>
      </c>
      <c r="E179">
        <v>1</v>
      </c>
      <c r="F179" s="3">
        <f>2861.9+(1054.9-1042.1)+(-2.919138+(-1.075998--1.062942))+0-673--0.686460000000107</f>
        <v>2199.4542660000002</v>
      </c>
      <c r="G179" s="3">
        <f>2846.2+(988.3-1028.6)+(-1.451562+(-0.504033--0.524586))+0-719--0.366689999999927</f>
        <v>2085.8356809999996</v>
      </c>
      <c r="H179" s="3">
        <f>2750.1+(926.4-1009.3)+(4.207653+(1.417392-1.544229))+0-657.6-1.00612800000004</f>
        <v>2012.6746880000001</v>
      </c>
      <c r="I179" s="3">
        <f>2737.8+(912.4-942.2)+(0+(0-0))+0-742.1-0</f>
        <v>1965.9</v>
      </c>
      <c r="J179" s="3">
        <f>2537.6+(923.3-906.9)+(-2.588352+(-0.941766--0.925038))+0-595.9--0.607818000000095</f>
        <v>1956.1027380000003</v>
      </c>
      <c r="K179" s="3">
        <f>2568+(794.5-690.6)+(0+(0-0))+0-716.1-0</f>
        <v>1955.8000000000002</v>
      </c>
      <c r="L179" s="3">
        <f>2573.7+(734.6-675)+(-3.937761+(-1.123938--1.03275))+0-662.4--1.01347200000004</f>
        <v>1967.8845229999997</v>
      </c>
      <c r="M179" s="3">
        <f>2626+(547.6-519.7)+(-2.67852+(-0.558552--0.530094))+0-614.2--0.626484000000098</f>
        <v>2037.619506</v>
      </c>
      <c r="N179" s="3">
        <f>2681+(665.8-464.9)+(1.36731+(0.339558-0.237099))+0-599.9-0.305948999999939</f>
        <v>2283.1638199999998</v>
      </c>
      <c r="O179" s="3">
        <f>2775.6+(773.8-466.2)+(-1.415556+(-0.394638--0.237762))+0-647.5--0.330224999999934</f>
        <v>2434.457793</v>
      </c>
      <c r="P179" s="3">
        <f>2889.7+(800.9-469.5)+(0+(0-0))+0-589.1-0</f>
        <v>2632</v>
      </c>
      <c r="Q179" s="3">
        <f>2876.8+(884.2-446.5)+(1.467168+(0.450942-0.227715))+0-629.7-0.321146999999936</f>
        <v>2686.1692479999997</v>
      </c>
      <c r="R179" s="3">
        <f>2880.4+(904.1-497.5)+(-1.469004+(-0.461091--0.253725))+0-639.2--0.325991999999935</f>
        <v>2646.4496220000001</v>
      </c>
      <c r="S179" s="3">
        <f>2859.3+(981.8-667.5)+(-1.458243+(-0.500718--0.340425))+0-620.7--0.316556999999937</f>
        <v>2551.5980210000007</v>
      </c>
      <c r="T179" s="3">
        <f>2817.6+(1145.5-714.3)+(-4.310928+(-1.752615--1.092879))+0-600--0.918000000000035</f>
        <v>2644.7473360000004</v>
      </c>
      <c r="U179" s="3">
        <f>2819.8+(1082.4-736.3)+(2.876196+(1.104048-0.751026))+0-604.3-0.616386000000096</f>
        <v>2564.2128320000006</v>
      </c>
      <c r="V179" s="3">
        <f>2806+(1062.2-678.2)+(0+(0-0))+0-582.4-0</f>
        <v>2607.6</v>
      </c>
      <c r="W179" s="3">
        <f>2791.7+(1011-600.5)+(-5.695068+(-2.06244--1.22502))+0-685--1.39739999999997</f>
        <v>2512.0649119999998</v>
      </c>
      <c r="X179" s="3">
        <f>2607.9+(968-486.6)+(1.330029+(0.49368-0.248166))+0-575.1-0.293300999999942</f>
        <v>2515.482242</v>
      </c>
      <c r="Y179" s="3">
        <f>2709.7+(977.4-450)+(-1.381947+(-0.498474--0.2295))+0-618.3--0.315332999999937</f>
        <v>2617.4644119999998</v>
      </c>
      <c r="Z179" s="3">
        <f>2776+(1028.3-477.8)+(-7.0788+(-2.622165--1.21839))+0-646.1--1.64755499999991</f>
        <v>2673.5649800000001</v>
      </c>
      <c r="AA179" s="3">
        <f>2802.2+(1030.3-650.3)+(-7.14561+(-2.627265--1.658265))+0-615.1--1.56850499999991</f>
        <v>2560.5538949999996</v>
      </c>
      <c r="AB179" s="3">
        <f>2805.5+(985-660.9)+(-5.72322+(-2.0094--1.348236))+0-677.3--1.38169199999997</f>
        <v>2447.2973080000002</v>
      </c>
      <c r="AC179" s="3">
        <f>2774.1+(1030.5-686.3)+(-1.414791+(-0.525555--0.350013))+0-739.2--0.376991999999925</f>
        <v>2377.8866590000002</v>
      </c>
      <c r="AD179">
        <f t="shared" si="2"/>
        <v>56935.984482</v>
      </c>
      <c r="AE179" s="3">
        <f>2777+(1139.7-531.8)+(0+(0-0))+0-683.1-0</f>
        <v>2701.8</v>
      </c>
    </row>
    <row r="180" spans="1:31" s="2" customFormat="1" x14ac:dyDescent="0.25">
      <c r="A180">
        <v>89</v>
      </c>
      <c r="B180">
        <v>6</v>
      </c>
      <c r="C180">
        <v>25</v>
      </c>
      <c r="D180">
        <v>6</v>
      </c>
      <c r="E180">
        <v>1</v>
      </c>
      <c r="F180" s="3">
        <f>2743.6+(933.7-784.5)+(-6.99618+(-2.380935--2.000475))+0-683.8--1.7436899999999</f>
        <v>2203.3670500000003</v>
      </c>
      <c r="G180" s="3">
        <f>2799.7+(869.3-808.7)+(-5.711388+(-1.773372--1.649748))+0-753--1.53611999999997</f>
        <v>2103.0011079999995</v>
      </c>
      <c r="H180" s="3">
        <f>2865.7+(733.1-860.1)+(1.461507+(0.373881-0.438651))+0-712.1-0.363170999999928</f>
        <v>2027.633566</v>
      </c>
      <c r="I180" s="3">
        <f>2850.6+(718.1-891.2)+(-8.722836+(-2.197386--2.727072))+0-681.2--2.08447200000008</f>
        <v>1990.1913219999999</v>
      </c>
      <c r="J180" s="3">
        <f>2644.2+(749.4-756.4)+(1.348542+(0.382194-0.385764))+0-657-0.335069999999933</f>
        <v>1981.2099019999998</v>
      </c>
      <c r="K180" s="3">
        <f>2585+(770.5-696.6)+(0+(0-0))+0-673.4-0</f>
        <v>1985.5</v>
      </c>
      <c r="L180" s="3">
        <f>2604.5+(701.6-631)+(-6.641475+(-1.78908--1.60905))+0-684.3--1.7449649999999</f>
        <v>1985.7234599999999</v>
      </c>
      <c r="M180" s="3">
        <f>2619.5+(539.6-526.2)+(1.335945+(0.275196-0.268362))+0-602.8-0.307427999999939</f>
        <v>2031.1353510000004</v>
      </c>
      <c r="N180" s="3">
        <f>2777.8+(573.6-461.3)+(-2.833356+(-0.585072--0.470526))+0-639--0.651780000000102</f>
        <v>2248.8038780000006</v>
      </c>
      <c r="O180" s="3">
        <f>2887.3+(610.1-449.2)+(-1.472523+(-0.311151--0.229092))+0-665--0.339149999999933</f>
        <v>2381.9845679999999</v>
      </c>
      <c r="P180" s="3">
        <f>2869.3+(774-448.3)+(-4.390029+(-1.18422--0.685899))+0-668.9--1.02341700000004</f>
        <v>2522.2350669999996</v>
      </c>
      <c r="Q180" s="3">
        <f>2848.8+(891.4-585.2)+(-7.26444+(-2.27307--1.49226))+0-580.2--1.47950999999992</f>
        <v>2568.2342600000002</v>
      </c>
      <c r="R180" s="3">
        <f>2809.7+(951.7-807.6)+(-15.762417+(-5.339037--4.530636))+0-253.1--1.41989099999999</f>
        <v>2685.5490729999997</v>
      </c>
      <c r="S180" s="3">
        <f>2750.8+(1046.8-911.6)+(-2.805816+(-1.067736--0.929832))+0-380.3--0.387906000000061</f>
        <v>2503.1441859999995</v>
      </c>
      <c r="T180" s="3">
        <f>2745.3+(1168.6-786.9)+(-2.800206+(-1.191972--0.802638))+0-720.4--0.734808000000115</f>
        <v>2404.1452680000002</v>
      </c>
      <c r="U180" s="3">
        <f>2766.9+(1072-782.7)+(-1.411119+(-0.54672--0.399177))+0-655.3--0.334202999999934</f>
        <v>2399.6755410000001</v>
      </c>
      <c r="V180" s="3">
        <f>2776.1+(960.6-738)+(-2.831622+(-0.979812--0.75276))+0-600--0.612000000000096</f>
        <v>2396.253326</v>
      </c>
      <c r="W180" s="3">
        <f>2736.3+(857.2-550.1)+(-6.977565+(-2.18586--1.402755))+0-689.7--1.7587349999999</f>
        <v>2347.698065</v>
      </c>
      <c r="X180" s="3">
        <f>2534.6+(851.9-409.3)+(-1.292646+(-0.434469--0.208743))+0-679.1--0.346340999999931</f>
        <v>2296.9279689999998</v>
      </c>
      <c r="Y180" s="3">
        <f>2802.9+(937.8-543.3)+(0+(0-0))+0-711.6-0</f>
        <v>2485.8000000000002</v>
      </c>
      <c r="Z180" s="3">
        <f>3051.8+(838.5-658.8)+(-1.556418+(-0.427635--0.335988))+0-710.3--0.362252999999928</f>
        <v>2519.9141880000002</v>
      </c>
      <c r="AA180" s="3">
        <f>2868.1+(748.6-615.1)+(-4.388193+(-1.145358--0.941103))+0-587.4--0.898722000000034</f>
        <v>2410.5062739999998</v>
      </c>
      <c r="AB180" s="3">
        <f>2866.7+(688.9-530.9)+(-5.848068+(-1.405356--1.083036))+0-705.1--1.43840399999997</f>
        <v>2314.8680159999999</v>
      </c>
      <c r="AC180" s="3">
        <f>2848+(894.6-839.6)+(-4.35744+(-1.368738--1.284588))+0-633--0.968490000000037</f>
        <v>2266.5269000000003</v>
      </c>
      <c r="AD180">
        <f t="shared" si="2"/>
        <v>55060.028337999989</v>
      </c>
      <c r="AE180" s="3">
        <f>3065+(907.2-741.4)+(0+(0-0))+0-706.3-0</f>
        <v>2524.5</v>
      </c>
    </row>
    <row r="181" spans="1:31" s="2" customFormat="1" x14ac:dyDescent="0.25">
      <c r="A181">
        <v>89</v>
      </c>
      <c r="B181">
        <v>6</v>
      </c>
      <c r="C181">
        <v>26</v>
      </c>
      <c r="D181">
        <v>7</v>
      </c>
      <c r="E181">
        <v>1</v>
      </c>
      <c r="F181" s="3">
        <f>2839.8+(819.1-817)+(-5.793192+(-1.670964--1.66668))+0-671.7--1.37026799999997</f>
        <v>2165.7727920000002</v>
      </c>
      <c r="G181" s="3">
        <f>2845.8+(831.8-913.5)+(-7.25679+(-2.12109--2.329425))+0-741.7--1.89133499999989</f>
        <v>2017.24288</v>
      </c>
      <c r="H181" s="3">
        <f>2845.5+(631.7-856.8)+(1.451205+(0.322167-0.436968))+0-666.8-0.340067999999932</f>
        <v>1954.5963360000003</v>
      </c>
      <c r="I181" s="3">
        <f>2757+(566.2-728.2)+(1.40607+(0.288762-0.371382))+0-702.5-0.358274999999929</f>
        <v>1893.465175</v>
      </c>
      <c r="J181" s="3">
        <f>2616.4+(664.8-645.1)+(0+(0-0))+0-766.5-0</f>
        <v>1869.6</v>
      </c>
      <c r="K181" s="3">
        <f>2618.8+(611.8-757.6)+(1.335588+(0.312018-0.386376))+0-634.8-0.323747999999936</f>
        <v>1839.1374820000001</v>
      </c>
      <c r="L181" s="3">
        <f>2429.3+(693-698.4)+(-6.194715+(-1.76715--1.78092))+0-598.9--1.52719499999991</f>
        <v>1820.3462499999998</v>
      </c>
      <c r="M181" s="3">
        <f>2276+(754.8-622)+(-3.48228+(-1.154844--0.95166))+0-674.9--1.03259700000004</f>
        <v>1731.2471330000001</v>
      </c>
      <c r="N181" s="3">
        <f>2442.1+(655.2-523.9)+(0+(0-0))+0-790.3-0</f>
        <v>1783.1000000000001</v>
      </c>
      <c r="O181" s="3">
        <f>2633.4+(391.4-521.5)+(-1.343034+(-0.199614--0.265965))+0-608.2--0.310181999999938</f>
        <v>1894.133499</v>
      </c>
      <c r="P181" s="3">
        <f>2811.8+(404.5-526.5)+(-2.868036+(-0.41259--0.53703))+0-711.8--0.726036000000113</f>
        <v>1975.9824400000005</v>
      </c>
      <c r="Q181" s="3">
        <f>2816.4+(437.1-593.1)+(-4.309092+(-0.668763--0.907443))+0-530.4--0.811512000000031</f>
        <v>2126.7411000000002</v>
      </c>
      <c r="R181" s="3">
        <f>2797.7+(541.5-742.4)+(0+(0-0))+0-525.9-0</f>
        <v>2070.8999999999996</v>
      </c>
      <c r="S181" s="3">
        <f>2780.1+(710.9-756.5)+(-2.835702+(-0.725118--0.77163))+0-713.3--0.727566000000114</f>
        <v>2019.1383760000001</v>
      </c>
      <c r="T181" s="3">
        <f>2722.5+(771-816.4)+(-5.5539+(-1.57284--1.665456))+0-654--1.33415999999997</f>
        <v>2018.9728759999998</v>
      </c>
      <c r="U181" s="3">
        <f>2627.3+(725.8-907.2)+(-2.679846+(-0.740316--0.925344))+0-548.4--0.559368000000087</f>
        <v>1895.5645500000001</v>
      </c>
      <c r="V181" s="3">
        <f>2641+(687.6-779.3)+(-2.69382+(-0.701352--0.794886))+0-569.6--0.580992000000091</f>
        <v>1977.6807060000006</v>
      </c>
      <c r="W181" s="3">
        <f>2642.3+(593.7-636.2)+(-1.347573+(-0.302787--0.324462))+0-630.7--0.321656999999936</f>
        <v>1968.095759</v>
      </c>
      <c r="X181" s="3">
        <f>2650.8+(428.1-397.8)+(-4.055724+(-0.654993--0.608634))+0-706.8--1.08140400000004</f>
        <v>1971.2793210000002</v>
      </c>
      <c r="Y181" s="3">
        <f>2749.9+(445.8-394.1)+(-4.207347+(-0.682074--0.602973))+0-607.7--0.929781000000035</f>
        <v>2190.5433329999996</v>
      </c>
      <c r="Z181" s="3">
        <f>2848.2+(561.3-531.1)+(0+(0-0))+0-589.1-0</f>
        <v>2289.2999999999997</v>
      </c>
      <c r="AA181" s="3">
        <f>2863.1+(627.8-646.9)+(-10.221267+(-2.241246--2.309433))+0-593.2--2.11772400000001</f>
        <v>2242.7646440000003</v>
      </c>
      <c r="AB181" s="3">
        <f>2854.8+(761.2-859.8)+(-5.823792+(-1.552848--1.753992))+0-568.9--1.16055599999998</f>
        <v>2182.837908</v>
      </c>
      <c r="AC181" s="3">
        <f>2848+(652.3-857.1)+(-2.90496+(-0.665346--0.874242))+0-544.4--0.555288000000087</f>
        <v>2096.6592239999995</v>
      </c>
      <c r="AD181">
        <f t="shared" si="2"/>
        <v>47995.101784000013</v>
      </c>
      <c r="AE181" s="3">
        <f>2858+(609.6-486.8)+(0+(0-0))+0-722.1-0</f>
        <v>2258.7000000000003</v>
      </c>
    </row>
    <row r="182" spans="1:31" s="2" customFormat="1" x14ac:dyDescent="0.25">
      <c r="A182">
        <v>89</v>
      </c>
      <c r="B182">
        <v>6</v>
      </c>
      <c r="C182">
        <v>27</v>
      </c>
      <c r="D182">
        <v>1</v>
      </c>
      <c r="E182">
        <v>1</v>
      </c>
      <c r="F182" s="3">
        <f>2845.6+(814.9-1000.1)+(-4.353768+(-1.246797--1.530153))+0-675.1--1.03290300000004</f>
        <v>1982.2624909999997</v>
      </c>
      <c r="G182" s="3">
        <f>2857.1+(731.6-1016.9)+(-5.828484+(-1.492464--2.074476))+0-676.3--1.37965199999997</f>
        <v>1891.6331800000005</v>
      </c>
      <c r="H182" s="3">
        <f>2746.8+(619.1-938.2)+(-5.603472+(-1.262964--1.913928))+0-600.4--1.22481599999997</f>
        <v>1823.5723080000002</v>
      </c>
      <c r="I182" s="3">
        <f>2722+(730.1-929.9)+(-1.38822+(-0.372351--0.474249))+0-722.2--0.368321999999927</f>
        <v>1799.0819999999999</v>
      </c>
      <c r="J182" s="3">
        <f>2728.5+(599.2-915.3)+(1.391535+(0.305592-0.466803))+0-623.2-0.317831999999937</f>
        <v>1790.1124920000002</v>
      </c>
      <c r="K182" s="3">
        <f>2700.6+(573.6-801.9)+(1.377306+(0.292536-0.408969))+0-653.5-0.333284999999934</f>
        <v>1819.7275880000004</v>
      </c>
      <c r="L182" s="3">
        <f>2673.3+(473.8-703)+(-6.816915+(-1.20819--1.79265))+0-590.5--1.50577499999991</f>
        <v>1848.8733200000004</v>
      </c>
      <c r="M182" s="3">
        <f>2624.3+(419.9-538)+(-5.353572+(-0.856596--1.09752))+0-568.2--1.15912799999998</f>
        <v>1934.0464800000004</v>
      </c>
      <c r="N182" s="3">
        <f>2741.7+(553.5-404.4)+(0+(0-0))+0-710.5-0</f>
        <v>2180.2999999999997</v>
      </c>
      <c r="O182" s="3">
        <f>2867.2+(584.8-486)+(0+(0-0))+0-644.7-0</f>
        <v>2321.3000000000002</v>
      </c>
      <c r="P182" s="3">
        <f>2906.4+(624.7-459.8)+(-1.482264+(-0.318597--0.234498))+0-649.3--0.331142999999934</f>
        <v>2420.76478</v>
      </c>
      <c r="Q182" s="3">
        <f>2943+(761.1-469.4)+(-6.00372+(-1.552644--0.957576))+0-750.7--1.53142799999997</f>
        <v>2478.9326399999995</v>
      </c>
      <c r="R182" s="3">
        <f>2929.8+(860.6-637.6)+(-2.988396+(-0.877812--0.650352))+0-681.3--0.694926000000109</f>
        <v>2468.9790700000003</v>
      </c>
      <c r="S182" s="3">
        <f>2927.7+(953.1-795.1)+(-8.958762+(-2.916486--2.433006))+0-730--2.23380000000008</f>
        <v>2348.4915579999997</v>
      </c>
      <c r="T182" s="3">
        <f>2925.5+(979.6-881.7)+(-2.98401+(-0.999192--0.899334))+0-626.2--0.6387240000001</f>
        <v>2394.754856</v>
      </c>
      <c r="U182" s="3">
        <f>2892.7+(993.8-777.4)+(-4.425831+(-1.520514--1.189422))+0-667.9--1.02188700000004</f>
        <v>2437.4649639999998</v>
      </c>
      <c r="V182" s="3">
        <f>2901.7+(944.9-806.8)+(-2.959734+(-0.963798--0.822936))+0-578.9--0.590478000000092</f>
        <v>2458.3898819999995</v>
      </c>
      <c r="W182" s="3">
        <f>3013.1+(788.1-845)+(-6.146724+(-1.607724--1.7238))+0-530.9--1.08303599999998</f>
        <v>2420.3523879999998</v>
      </c>
      <c r="X182" s="3">
        <f>3024.3+(526.3-653.4)+(-4.627179+(-0.805239--0.999702))+0-518.4--0.79315200000003</f>
        <v>2375.1604360000006</v>
      </c>
      <c r="Y182" s="3">
        <f>3075.8+(612-461.6)+(-1.568658+(-0.31212--0.235416))+0-672.7--0.343076999999932</f>
        <v>2552.1977149999998</v>
      </c>
      <c r="Z182" s="3">
        <f>3142.5+(575.3-546.4)+(-6.4107+(-1.173612--1.114656))+0-619.1--1.26296399999997</f>
        <v>2547.093308</v>
      </c>
      <c r="AA182" s="3">
        <f>3146.1+(521.4-542.2)+(1.604511+(0.265914-0.276522))+0-695.9-0.354908999999929</f>
        <v>2430.6389939999995</v>
      </c>
      <c r="AB182" s="3">
        <f>3155.6+(550.8-634.3)+(-6.437424+(-1.123632--1.293972))+0-740.2--1.51000799999997</f>
        <v>2327.1429239999993</v>
      </c>
      <c r="AC182" s="3">
        <f>3114+(611.4-750.5)+(-6.35256+(-1.247256--1.53102))+0-685.8--1.39903199999997</f>
        <v>2284.4302359999997</v>
      </c>
      <c r="AD182">
        <f t="shared" si="2"/>
        <v>53335.703610000004</v>
      </c>
      <c r="AE182" s="3">
        <f>3150+(679.2-449.8)+(0+(0-0))+0-746.6-0</f>
        <v>2632.8</v>
      </c>
    </row>
    <row r="183" spans="1:31" s="2" customFormat="1" x14ac:dyDescent="0.25">
      <c r="A183">
        <v>89</v>
      </c>
      <c r="B183">
        <v>6</v>
      </c>
      <c r="C183">
        <v>28</v>
      </c>
      <c r="D183">
        <v>2</v>
      </c>
      <c r="E183">
        <v>1</v>
      </c>
      <c r="F183" s="3">
        <f>3001.8+(570.4-836.7)+(0+(0-0))+0-620.8-0</f>
        <v>2114.6999999999998</v>
      </c>
      <c r="G183" s="3">
        <f>3009.2+(793.9-1081.1)+(-1.534692+(-0.404889--0.551361))+0-706.9--0.360518999999928</f>
        <v>2014.0722989999999</v>
      </c>
      <c r="H183" s="3">
        <f>2969.9+(641.7-1105.5)+(-1.514649+(-0.327267--0.563805))+0-556.7--0.283916999999944</f>
        <v>1948.4058060000002</v>
      </c>
      <c r="I183" s="3">
        <f>2879.5+(740.4-991.6)+(-2.93709+(-0.755208--1.011432))+0-722.2--0.736644000000115</f>
        <v>1904.1557780000001</v>
      </c>
      <c r="J183" s="3">
        <f>2875.7+(725.9-1090.1)+(-1.466607+(-0.370209--0.555951))+0-632.4--0.322523999999936</f>
        <v>1878.1416589999997</v>
      </c>
      <c r="K183" s="3">
        <f>2539.1+(801.9-822.1)+(-2.589882+(-0.817938--0.838542))+0-624.7--0.6371940000001</f>
        <v>1892.2679159999998</v>
      </c>
      <c r="L183" s="3">
        <f>2502.9+(784.9-688.5)+(-6.382395+(-2.001495--1.755675))+0-685.6--1.7482799999999</f>
        <v>1908.8200649999999</v>
      </c>
      <c r="M183" s="3">
        <f>2571.3+(546.3-612.8)+(0+(0-0))+0-541.4-0</f>
        <v>1963.4</v>
      </c>
      <c r="N183" s="3">
        <f>2865.8+(577.2-642.6)+(-2.923116+(-0.588744--0.655452))+0-612--0.624240000000098</f>
        <v>2186.1678320000001</v>
      </c>
      <c r="O183" s="3">
        <f>3107.2+(407.9-649.7)+(-7.92336+(-1.040145--1.656735))+0-513.4--1.30916999999993</f>
        <v>2346.0023999999994</v>
      </c>
      <c r="P183" s="3">
        <f>3148.7+(517.7-668.2)+(0+(0-0))+0-541.7-0</f>
        <v>2456.5</v>
      </c>
      <c r="Q183" s="3">
        <f>3106.5+(583.5-636.4)+(-4.752945+(-0.892755--0.973692))+0-537.4--0.822222000000031</f>
        <v>2512.3502140000001</v>
      </c>
      <c r="R183" s="3">
        <f>3069.9+(676-674.4)+(-4.696947+(-1.03428--1.031832))+0-554.7--0.848691000000032</f>
        <v>2512.9492959999998</v>
      </c>
      <c r="S183" s="3">
        <f>3081.8+(817.8-1089.7)+(-6.286872+(-1.668312--2.222988))+0-490.4--1.00041599999998</f>
        <v>2314.7682199999999</v>
      </c>
      <c r="T183" s="3">
        <f>3053.6+(919.7-978.2)+(1.557336+(0.469047-0.498882))+0-514-0.262139999999948</f>
        <v>2482.3653610000001</v>
      </c>
      <c r="U183" s="3">
        <f>3045.6+(969.2-923.5)+(-3.106512+(-0.988584--0.94197))+0-552.4--0.563448000000088</f>
        <v>2536.3103219999998</v>
      </c>
      <c r="V183" s="3">
        <f>3042.7+(969-1033.4)+(-7.758885+(-2.47095--2.63517))+0-678.6--1.7304299999999</f>
        <v>2293.8357649999998</v>
      </c>
      <c r="W183" s="3">
        <f>3047.8+(803.8-778.9)+(-6.217512+(-1.639752--1.588956))+0-625.3--1.27561199999997</f>
        <v>2442.4073039999998</v>
      </c>
      <c r="X183" s="3">
        <f>3057.6+(547.3-582.6)+(1.559376+(0.279123-0.297126))+0-660.6-0.336905999999933</f>
        <v>2362.9044669999998</v>
      </c>
      <c r="Y183" s="3">
        <f>3098.8+(489.7-458.4)+(-1.580388+(-0.249747--0.233784))+0-520.4--0.265403999999947</f>
        <v>2608.3690529999999</v>
      </c>
      <c r="Z183" s="3">
        <f>3140.3+(625.5-600.4)+(-4.804659+(-0.957015--0.918612))+0-604.7--0.925191000000035</f>
        <v>2556.7821289999997</v>
      </c>
      <c r="AA183" s="3">
        <f>3157.3+(632.1-705.4)+(-6.440892+(-1.289484--1.439016))+0-638.5--1.30253999999997</f>
        <v>2440.51118</v>
      </c>
      <c r="AB183" s="3">
        <f>3147+(655.8-762.4)+(-9.62982+(-2.006748--2.332944))+0-690.2--2.11201200000008</f>
        <v>2343.0083879999997</v>
      </c>
      <c r="AC183" s="3">
        <f>3096.4+(716-813)+(-1.579164+(-0.36516--0.41463))+0-729.7--0.372146999999926</f>
        <v>2268.542453</v>
      </c>
      <c r="AD183">
        <f t="shared" si="2"/>
        <v>54287.73790700001</v>
      </c>
      <c r="AE183" s="3">
        <f>3137+(615.7-604)+(0+(0-0))+0-570.1-0</f>
        <v>2578.6</v>
      </c>
    </row>
    <row r="184" spans="1:31" s="2" customFormat="1" x14ac:dyDescent="0.25">
      <c r="A184">
        <v>89</v>
      </c>
      <c r="B184">
        <v>6</v>
      </c>
      <c r="C184">
        <v>29</v>
      </c>
      <c r="D184">
        <v>3</v>
      </c>
      <c r="E184">
        <v>1</v>
      </c>
      <c r="F184" s="3">
        <f>3086.7+(671.9-937.6)+(-6.296868+(-1.370676--1.912704))+0-710.1--1.44860399999997</f>
        <v>2106.5937640000002</v>
      </c>
      <c r="G184" s="3">
        <f>3019.4+(744.3-1032.1)+(0+(0-0))+0-731.7-0</f>
        <v>1999.9000000000003</v>
      </c>
      <c r="H184" s="3">
        <f>2915+(760.5-1093.1)+(-4.45995+(-1.163565--1.672443))+0-646.4--0.988992000000037</f>
        <v>1933.0379200000002</v>
      </c>
      <c r="I184" s="3">
        <f>2931.4+(692.9-1113.9)+(-2.990028+(-0.706758--1.136178))+0-626.3--0.6388260000001</f>
        <v>1882.1782180000005</v>
      </c>
      <c r="J184" s="3">
        <f>2671.3+(687.7-873)+(1.362363+(0.350727-0.44523))+0-612.2-0.312221999999938</f>
        <v>1874.7556379999999</v>
      </c>
      <c r="K184" s="3">
        <f>2546.3+(751.5-801.5)+(0+(0-0))+0-612.2-0</f>
        <v>1884.1000000000001</v>
      </c>
      <c r="L184" s="3">
        <f>2559.8+(700.6-626.8)+(-7.832988+(-2.143836--1.918008))+0-594.8--1.82008800000007</f>
        <v>2032.5612720000004</v>
      </c>
      <c r="M184" s="3">
        <f>2669.1+(505.7-525.9)+(0+(0-0))+0-569.2-0</f>
        <v>2079.6999999999998</v>
      </c>
      <c r="N184" s="3">
        <f>2896.6+(405.7-570.9)+(-1.477266+(-0.206907--0.291159))+0-561.5--0.286364999999943</f>
        <v>2168.7933509999998</v>
      </c>
      <c r="O184" s="3">
        <f>3009.8+(457.5-496.3)+(-1.534998+(-0.233325--0.253113))+0-607.8--0.309977999999938</f>
        <v>2361.994768</v>
      </c>
      <c r="P184" s="3">
        <f>3059.1+(435.7-519.9)+(0+(0-0))+0-593.2-0</f>
        <v>2381.6999999999998</v>
      </c>
      <c r="Q184" s="3">
        <f>3098.5+(583.6-593.7)+(-4.740705+(-0.892908--0.908361))+0-589--0.901170000000034</f>
        <v>2495.575918</v>
      </c>
      <c r="R184" s="3">
        <f>3084.3+(685.3-678.7)+(-1.572993+(-0.349503--0.346137))+0-600.9--0.306458999999939</f>
        <v>2488.7300999999998</v>
      </c>
      <c r="S184" s="3">
        <f>3069+(784.7-894)+(-10.95633+(-2.801379--3.19158))+0-613.9--2.19162300000001</f>
        <v>2337.4254940000001</v>
      </c>
      <c r="T184" s="3">
        <f>3044.8+(800.2-940.5)+(1.552848+(0.408102-0.479655))+0-511-0.260609999999948</f>
        <v>2394.7206850000002</v>
      </c>
      <c r="U184" s="3">
        <f>3044.2+(767-775.5)+(-6.210168+(-1.56468--1.58202))+0-587.1--1.19768399999997</f>
        <v>2443.6048559999995</v>
      </c>
      <c r="V184" s="3">
        <f>3047.1+(757.5-647.9)+(-6.216084+(-1.5453--1.321716))+0-702.4--1.43289599999997</f>
        <v>2449.2932279999995</v>
      </c>
      <c r="W184" s="3">
        <f>3024.7+(684-763.8)+(-7.712985+(-1.7442--1.94769))+0-525.6--1.34027999999992</f>
        <v>2413.1307849999998</v>
      </c>
      <c r="X184" s="3">
        <f>2751+(760-421.4)+(-1.40301+(-0.3876--0.214914))+0-666.9--0.340118999999932</f>
        <v>2421.4644229999999</v>
      </c>
      <c r="Y184" s="3">
        <f>2837.7+(651-313.7)+(1.447227+(0.33201-0.159987))+0-599-0.305489999999939</f>
        <v>2577.3137600000005</v>
      </c>
      <c r="Z184" s="3">
        <f>3113+(503.4-458.4)+(-6.35052+(-1.026936--0.935136))+0-587.7--1.19890799999997</f>
        <v>2565.0565879999999</v>
      </c>
      <c r="AA184" s="3">
        <f>3115.3+(609.7-597.4)+(-9.532818+(-1.865682--1.828044))+0-673.7--2.06152200000008</f>
        <v>2446.3910660000001</v>
      </c>
      <c r="AB184" s="3">
        <f>3014.7+(708.2-818)+(-6.149988+(-1.444728--1.66872))+0-551.9--1.12587599999998</f>
        <v>2348.1998799999997</v>
      </c>
      <c r="AC184" s="3">
        <f>2990.9+(717.1-908.1)+(-6.101436+(-1.462884--1.852524))+0-519.1--1.05896399999998</f>
        <v>2276.147168</v>
      </c>
      <c r="AD184">
        <f t="shared" si="2"/>
        <v>54362.368882000002</v>
      </c>
      <c r="AE184" s="3">
        <f>3095+(543.7-376.8)+(0+(0-0))+0-662.2-0</f>
        <v>2599.6999999999998</v>
      </c>
    </row>
    <row r="185" spans="1:31" s="2" customFormat="1" x14ac:dyDescent="0.25">
      <c r="A185">
        <v>89</v>
      </c>
      <c r="B185">
        <v>6</v>
      </c>
      <c r="C185">
        <v>30</v>
      </c>
      <c r="D185">
        <v>4</v>
      </c>
      <c r="E185">
        <v>1</v>
      </c>
      <c r="F185" s="3">
        <f>2997.5+(830.3-1133.2)+(-4.586175+(-1.270359--1.733796))+0-569.7--0.871641000000033</f>
        <v>2121.6489029999998</v>
      </c>
      <c r="G185" s="3">
        <f>3028+(701-1260.2)+(-4.63284+(-1.07253--1.928106))+0-466.7--0.714051000000027</f>
        <v>1999.0367870000002</v>
      </c>
      <c r="H185" s="3">
        <f>2962.3+(572.5-1157.6)+(0+(0-0))+0-446.3-0</f>
        <v>1930.9000000000003</v>
      </c>
      <c r="I185" s="3">
        <f>2902.1+(645.4-1040)+(-1.480071+(-0.329154--0.5304))+0-620.5--0.316454999999937</f>
        <v>1886.03763</v>
      </c>
      <c r="J185" s="3">
        <f>2906.5+(687.9-1017.2)+(-1.482315+(-0.350829--0.518772))+0-714.3--0.364292999999928</f>
        <v>1861.9499209999999</v>
      </c>
      <c r="K185" s="3">
        <f>2902+(623.1-902.5)+(1.48002+(0.317781-0.460275))+0-739.9-0.377348999999925</f>
        <v>1883.6601769999997</v>
      </c>
      <c r="L185" s="3">
        <f>2789.3+(592-737)+(-2.845086+(-0.60384--0.75174))+0-739.9--0.754698000000118</f>
        <v>1902.4575120000004</v>
      </c>
      <c r="M185" s="3">
        <f>2809.9+(494.2-685)+(-2.866098+(-0.504084--0.6987))+0-655.6--0.668712000000105</f>
        <v>1961.4972299999999</v>
      </c>
      <c r="N185" s="3">
        <f>2860.6+(436.4-556.9)+(1.458906+(0.222564-0.284019))+0-567.3-0.289322999999942</f>
        <v>2173.908128</v>
      </c>
      <c r="O185" s="3">
        <f>2957.3+(476.6-451.6)+(-3.016446+(-0.486132--0.460632))+0-666.5--0.679830000000106</f>
        <v>2313.4378840000004</v>
      </c>
      <c r="P185" s="3">
        <f>2974.5+(524.9-381.5)+(-1.516995+(-0.267699--0.194565))+0-693.9--0.35388899999993</f>
        <v>2422.7637599999998</v>
      </c>
      <c r="Q185" s="3">
        <f>3082.7+(485.3-393.1)+(0+(0-0))+0-608.4-0</f>
        <v>2566.4999999999995</v>
      </c>
      <c r="R185" s="3">
        <f>3069.7+(514.3-379)+(1.565547+(0.262293-0.19329))+0-714-0.364139999999928</f>
        <v>2492.2704100000001</v>
      </c>
      <c r="S185" s="3">
        <f>3060.8+(571.6-649)+(-7.80504+(-1.45758--1.65495))+0-651.8--1.66208999999991</f>
        <v>2325.6544199999998</v>
      </c>
      <c r="T185" s="3">
        <f>3041.2+(664.3-743.3)+(3.102024+(0.677586-0.758166))+0-537.8-0.548556000000086</f>
        <v>2426.8728879999994</v>
      </c>
      <c r="U185" s="3">
        <f>3052.7+(640-666.1)+(-3.113754+(-0.6528--0.679422))+0-540--0.550800000000086</f>
        <v>2484.0636679999998</v>
      </c>
      <c r="V185" s="3">
        <f>3049.7+(586.8-568.1)+(-6.221388+(-1.197072--1.158924))+0-616.9--1.25847599999997</f>
        <v>2446.4989399999995</v>
      </c>
      <c r="W185" s="3">
        <f>3049.2+(424.3-447.1)+(-3.110184+(-0.432786--0.456042))+0-636.5--0.649230000000101</f>
        <v>2387.4623019999995</v>
      </c>
      <c r="X185" s="3">
        <f>3061.2+(348.8-300.8)+(-3.122424+(-0.355776--0.306816))+0-544.3--0.555186000000087</f>
        <v>2562.2838019999995</v>
      </c>
      <c r="Y185" s="3">
        <f>3104+(389.6-289.2)+(0+(0-0))+0-515.4-0</f>
        <v>2689</v>
      </c>
      <c r="Z185" s="3">
        <f>3135.6+(490.1-283.7)+(-7.99578+(-1.249755--0.723435))+0-744.9--1.89949499999989</f>
        <v>2590.4773949999999</v>
      </c>
      <c r="AA185" s="3">
        <f>3161.2+(384.6-511.6)+(-9.673272+(-1.176876--1.565496))+0-586--1.79316000000007</f>
        <v>2440.7085080000002</v>
      </c>
      <c r="AB185" s="3">
        <f>3147.3+(423.1-566.9)+(-3.210246+(-0.431562--0.578238))+0-594.4--0.606288000000095</f>
        <v>2406.6427180000001</v>
      </c>
      <c r="AC185" s="3">
        <f>3140.2+(302.6-497.9)+(-3.203004+(-0.308652--0.507858))+0-613.5--0.625770000000098</f>
        <v>2329.0219719999996</v>
      </c>
      <c r="AD185">
        <f t="shared" si="2"/>
        <v>54604.754955000004</v>
      </c>
      <c r="AE185" s="3">
        <f>3114+(429.9-280.2)+(0+(0-0))+0-714.1-0</f>
        <v>2549.6</v>
      </c>
    </row>
    <row r="186" spans="1:31" s="2" customFormat="1" x14ac:dyDescent="0.25">
      <c r="A186">
        <v>89</v>
      </c>
      <c r="B186">
        <v>6</v>
      </c>
      <c r="C186">
        <v>31</v>
      </c>
      <c r="D186">
        <v>5</v>
      </c>
      <c r="E186">
        <v>1</v>
      </c>
      <c r="F186" s="3">
        <f>3053.7+(365.7-781.6)+(-3.114774+(-0.373014--0.797232))+0-503.7--0.51377400000008</f>
        <v>2131.9232179999999</v>
      </c>
      <c r="G186" s="3">
        <f>2939.8+(583.8-922.4)+(-4.497894+(-0.893214--1.411272))+0-503.3--0.770049000000029</f>
        <v>2094.6902130000003</v>
      </c>
      <c r="H186" s="3">
        <f>2843.7+(689.5-967.5)+(-4.350861+(-1.054935--1.480275))+0-503.5--0.770355000000029</f>
        <v>2059.0448339999998</v>
      </c>
      <c r="I186" s="3">
        <f>2816.8+(584.5-859.5)+(2.873136+(0.59619-0.87669))+0-518.3-0.528666000000083</f>
        <v>2025.5639699999999</v>
      </c>
      <c r="J186" s="3">
        <f>2820.5+(563.6-852.5)+(-1.438455+(-0.287436--0.434775))+0-572.4--0.291923999999942</f>
        <v>1958.2008079999998</v>
      </c>
      <c r="K186" s="3">
        <f>2534.4+(736.5-680.3)+(-2.585088+(-0.75123--0.693906))+0-589.6--0.601392000000094</f>
        <v>1998.9589800000003</v>
      </c>
      <c r="L186" s="3">
        <f>2466.8+(651.5-532.7)+(-2.516136+(-0.66453--0.543354))+0-572.6--0.584052000000091</f>
        <v>2010.9467400000008</v>
      </c>
      <c r="M186" s="3">
        <f>2487.8+(627.1-301)+(0+(0-0))+0-626-0</f>
        <v>2187.9</v>
      </c>
      <c r="N186" s="3">
        <f>2942.4+(446.8-398.1)+(1.500624+(0.227868-0.203031))+0-703.5-0.358784999999929</f>
        <v>2288.7666760000002</v>
      </c>
      <c r="O186" s="3">
        <f>3091.3+(374.9-426.4)+(0+(0-0))+0-610.6-0</f>
        <v>2429.2000000000003</v>
      </c>
      <c r="P186" s="3">
        <f>3103.5+(295.4-359.6)+(3.16557+(0.301308-0.366792))+0-530.5-0.541110000000085</f>
        <v>2511.358976</v>
      </c>
      <c r="Q186" s="3">
        <f>3086.7+(303.8-282.4)+(-1.574217+(-0.154938--0.144024))+0-560.6--0.285905999999943</f>
        <v>2546.2007750000002</v>
      </c>
      <c r="R186" s="3">
        <f>3072.2+(385.3-455.8)+(-12.534576+(-1.572024--1.859664))+0-611.4--2.49451199999995</f>
        <v>2380.5475759999995</v>
      </c>
      <c r="S186" s="3">
        <f>3064.3+(525.9-593)+(-1.562793+(-0.268209--0.30243))+0-580.8--0.296207999999941</f>
        <v>2415.1676360000001</v>
      </c>
      <c r="T186" s="3">
        <f>3055.3+(539.5-616.5)+(-1.558203+(-0.275145--0.314415))+0-526--0.268259999999947</f>
        <v>2451.0493270000002</v>
      </c>
      <c r="U186" s="3">
        <f>3060.2+(508.9-531.9)+(-4.682106+(-0.778617--0.813807))+0-511.4--0.78244200000003</f>
        <v>2521.9355259999998</v>
      </c>
      <c r="V186" s="3">
        <f>3074+(559.2-583.6)+(0+(0-0))+0-566.4-0</f>
        <v>2483.1999999999998</v>
      </c>
      <c r="W186" s="3">
        <f>3090.3+(608.3-518.8)+(-1.576053+(-0.310233--0.264588))+0-576.9--0.294218999999941</f>
        <v>2601.5725210000001</v>
      </c>
      <c r="X186" s="3">
        <f>3096+(525.6-408.5)+(-1.57896+(-0.268056--0.208335))+0-586.8--0.29926799999994</f>
        <v>2624.9605869999996</v>
      </c>
      <c r="Y186" s="3">
        <f>3135.4+(574.7-454.6)+(1.599054+(0.293097-0.231846))+0-653.2-0.333131999999934</f>
        <v>2603.6271729999999</v>
      </c>
      <c r="Z186" s="3">
        <f>3153.2+(612.3-555.7)+(-3.216264+(-0.624546--0.566814))+0-733--0.747660000000117</f>
        <v>2474.2736639999998</v>
      </c>
      <c r="AA186" s="3">
        <f>3144.9+(792-781.8)+(-9.623394+(-2.42352--2.392308))+0-747.4--2.28704400000009</f>
        <v>2400.3324380000004</v>
      </c>
      <c r="AB186" s="3">
        <f>3148.9+(731-955.8)+(-6.423756+(-1.49124--1.949832))+0-617.8--1.26031199999997</f>
        <v>2301.5951479999999</v>
      </c>
      <c r="AC186" s="3">
        <f>3151+(833.3-1066.9)+(-6.42804+(-1.699932--2.176476))+0-744.1--1.51796399999997</f>
        <v>2168.8664679999997</v>
      </c>
      <c r="AD186">
        <f t="shared" si="2"/>
        <v>55669.883254</v>
      </c>
      <c r="AE186" s="3">
        <f>3100+(659.5-431.1)+(0+(0-0))+0-757.8-0</f>
        <v>2570.6000000000004</v>
      </c>
    </row>
    <row r="187" spans="1:31" s="2" customFormat="1" x14ac:dyDescent="0.25">
      <c r="A187">
        <v>89</v>
      </c>
      <c r="B187">
        <v>7</v>
      </c>
      <c r="C187">
        <v>1</v>
      </c>
      <c r="D187">
        <v>6</v>
      </c>
      <c r="E187">
        <v>1</v>
      </c>
      <c r="F187" s="3">
        <f>3146.7+(835.5-1228.9)+(-3.209634+(-0.85221--1.253478))+0-711.4--0.725628000000113</f>
        <v>2039.8172619999996</v>
      </c>
      <c r="G187" s="3">
        <f>3157.4+(796.9-1215.2)+(-4.830822+(-1.219257--1.859256))+0-746--1.14138000000004</f>
        <v>1990.050557</v>
      </c>
      <c r="H187" s="3">
        <f>3051.7+(767.2-1115.6)+(-1.556367+(-0.391272--0.568956))+0-756.6--0.385865999999923</f>
        <v>1945.7071830000002</v>
      </c>
      <c r="I187" s="3">
        <f>2974.9+(764.1-1034)+(1.517199+(0.389691-0.52734))+0-757.5-0.386324999999923</f>
        <v>1948.4932250000002</v>
      </c>
      <c r="J187" s="3">
        <f>2907.6+(671.2-983.2)+(-4.448628+(-1.026936--1.504296))+0-691.2--1.05753600000004</f>
        <v>1901.4862680000001</v>
      </c>
      <c r="K187" s="3">
        <f>2810.2+(703.1-828.1)+(-2.866404+(-0.717162--0.844662))+0-831.9--0.848538000000133</f>
        <v>1851.4096340000001</v>
      </c>
      <c r="L187" s="3">
        <f>2641.6+(666.9-586.9)+(1.347216+(0.340119-0.299319))+0-739.2-0.376991999999925</f>
        <v>1983.4110239999998</v>
      </c>
      <c r="M187" s="3">
        <f>2665.6+(632.7-491.8)+(0+(0-0))+0-732.3-0</f>
        <v>2074.1999999999998</v>
      </c>
      <c r="N187" s="3">
        <f>2666.4+(780.8-577.8)+(1.359864+(0.398208-0.294678))+0-641.6-0.327215999999935</f>
        <v>2228.9361779999999</v>
      </c>
      <c r="O187" s="3">
        <f>2651+(839.9-412.4)+(-1.35201+(-0.428349--0.210324))+0-737.8--0.376277999999925</f>
        <v>2339.5062429999998</v>
      </c>
      <c r="P187" s="3">
        <f>2624.2+(926.7-347.2)+(-1.338342+(-0.472617--0.177072))+0-747.8--0.381377999999924</f>
        <v>2454.6474909999997</v>
      </c>
      <c r="Q187" s="3">
        <f>2800.7+(830.9-425.2)+(-1.428357+(-0.423759--0.216852))+0-722.5--0.368474999999927</f>
        <v>2482.6332109999994</v>
      </c>
      <c r="R187" s="3">
        <f>2882.7+(752-548.7)+(-1.470177+(-0.38352--0.279837))+0-783.8--0.39973799999992</f>
        <v>2301.0258780000004</v>
      </c>
      <c r="S187" s="3">
        <f>2895.7+(904-807.4)+(-4.430421+(-1.38312--1.235322))+0-688.6--1.05355800000004</f>
        <v>2300.1753389999999</v>
      </c>
      <c r="T187" s="3">
        <f>2885.1+(910.3-779.4)+(-4.414203+(-1.392759--1.192482))+0-698--1.06794000000004</f>
        <v>2314.4534599999997</v>
      </c>
      <c r="U187" s="3">
        <f>2937.2+(784.9-708.7)+(-8.987832+(-2.401794--2.168622))+0-740.8--2.26684800000009</f>
        <v>2265.6458439999997</v>
      </c>
      <c r="V187" s="3">
        <f>2937.1+(658.3-622.9)+(-8.987526+(-2.014398--1.906074))+0-735.9--2.25185400000009</f>
        <v>2229.7560039999998</v>
      </c>
      <c r="W187" s="3">
        <f>2942.6+(496.2-499.3)+(-3.001452+(-0.506124--0.509286))+0-732.7--0.747354000000117</f>
        <v>2204.5490639999998</v>
      </c>
      <c r="X187" s="3">
        <f>2963.3+(706.6-574.8)+(0+(0-0))+0-638.2-0</f>
        <v>2456.9000000000005</v>
      </c>
      <c r="Y187" s="3">
        <f>3003+(767.4-671.4)+(-6.12612+(-1.565496--1.369656))+0-635.4--1.29621599999997</f>
        <v>2458.5742559999999</v>
      </c>
      <c r="Z187" s="3">
        <f>3021.4+(741.3-772.3)+(-7.70457+(-1.890315--1.969365))+0-613.1--1.56340499999991</f>
        <v>2371.237885</v>
      </c>
      <c r="AA187" s="3">
        <f>3020.1+(701.4-719.6)+(-6.161004+(-1.430856--1.467984))+0-674.1--1.37516399999997</f>
        <v>2323.0512879999997</v>
      </c>
      <c r="AB187" s="3">
        <f>3029.6+(548.9-645)+(0+(0-0))+0-691.4-0</f>
        <v>2242.1</v>
      </c>
      <c r="AC187" s="3">
        <f>3026.7+(490.4-734.5)+(-3.087234+(-0.500208--0.74919))+0-660.8--0.674016000000105</f>
        <v>2119.6357639999997</v>
      </c>
      <c r="AD187">
        <f t="shared" si="2"/>
        <v>52827.403058000004</v>
      </c>
      <c r="AE187" s="3">
        <f>2985+(899.2-631.7)+(0+(0-0))+0-740.9-0</f>
        <v>2511.6</v>
      </c>
    </row>
    <row r="188" spans="1:31" s="2" customFormat="1" x14ac:dyDescent="0.25">
      <c r="A188">
        <v>89</v>
      </c>
      <c r="B188">
        <v>7</v>
      </c>
      <c r="C188">
        <v>2</v>
      </c>
      <c r="D188">
        <v>7</v>
      </c>
      <c r="E188">
        <v>1</v>
      </c>
      <c r="F188" s="3">
        <f>2994.2+(549.5-844.4)+(-6.108168+(-1.12098--1.722576))+0-746.8--1.52347199999997</f>
        <v>1948.5169000000001</v>
      </c>
      <c r="G188" s="3">
        <f>2937.2+(623.8-942.1)+(-5.991888+(-1.272552--1.921884))+0-764.6--1.55978399999997</f>
        <v>1850.5172279999997</v>
      </c>
      <c r="H188" s="3">
        <f>2849.1+(662-945.4)+(-1.453041+(-0.33762--0.482154))+0-733.7--0.374186999999926</f>
        <v>1831.0656799999995</v>
      </c>
      <c r="I188" s="3">
        <f>2841.8+(747.9-1003.6)+(-4.347954+(-1.144287--1.535508))+0-788.1--1.20579300000005</f>
        <v>1795.2490600000006</v>
      </c>
      <c r="J188" s="3">
        <f>2788.7+(772.4-987.8)+(1.422237+(0.393924-0.503778))+0-768.2-0.391781999999922</f>
        <v>1806.0206009999997</v>
      </c>
      <c r="K188" s="3">
        <f>2683.9+(629.3-876.5)+(-8.212734+(-1.925658--2.68209))+0-741.6--2.26929600000009</f>
        <v>1689.912994</v>
      </c>
      <c r="L188" s="3">
        <f>2537.6+(626.2-822.6)+(-2.588352+(-0.638724--0.839052))+0-711.6--0.725832000000114</f>
        <v>1627.9378080000001</v>
      </c>
      <c r="M188" s="3">
        <f>2533+(675.4-722.9)+(-3.87549+(-1.033362--1.106037))+0-742.6--1.13617800000004</f>
        <v>1740.2333630000001</v>
      </c>
      <c r="N188" s="3">
        <f>2654.7+(758.5-922.1)+(-4.061691+(-1.160505--1.410813))+0-665.4--1.01806200000004</f>
        <v>1822.9066789999997</v>
      </c>
      <c r="O188" s="3">
        <f>2820.4+(791-1023.1)+(-5.753616+(-1.61364--2.087124))+0-670.3--1.36741199999997</f>
        <v>1914.0872800000004</v>
      </c>
      <c r="P188" s="3">
        <f>2896.9+(935.8-1070.7)+(-4.432257+(-1.431774--1.638171))+0-718.9--1.09991700000004</f>
        <v>2039.9740569999999</v>
      </c>
      <c r="Q188" s="3">
        <f>2885.6+(977.6-1171.4)+(1.471656+(0.498576-0.597414))+0-624.2-0.318341999999937</f>
        <v>2068.6544759999992</v>
      </c>
      <c r="R188" s="3">
        <f>2866.4+(1041.4-1162.5)+(0+(0-0))+0-717.8-0</f>
        <v>2027.5000000000002</v>
      </c>
      <c r="S188" s="3">
        <f>2857.5+(1158.6-1320.6)+(-2.91465+(-1.181772--1.347012))+0-689.5--0.70329000000011</f>
        <v>2003.9538800000003</v>
      </c>
      <c r="T188" s="3">
        <f>2849.6+(1219.7-1381.6)+(1.453296+(0.622047-0.704616))+0-706-0.360059999999928</f>
        <v>1982.7106669999998</v>
      </c>
      <c r="U188" s="3">
        <f>2852.3+(1183.5-1350.4)+(-2.909346+(-1.20717--1.377408))+0-717.4--0.731748000000114</f>
        <v>1965.9926399999999</v>
      </c>
      <c r="V188" s="3">
        <f>2855.5+(1042.6-1210)+(-4.368915+(-1.595178--1.8513))+0-732.4--1.12057200000004</f>
        <v>1952.7077790000001</v>
      </c>
      <c r="W188" s="3">
        <f>2818.6+(715-958.7)+(-7.18743+(-1.82325--2.444685))+0-611.2--1.55855999999991</f>
        <v>1958.6925649999996</v>
      </c>
      <c r="X188" s="3">
        <f>2873.1+(670.1-743)+(-2.930562+(-0.683502--0.75786))+0-577.3--0.588846000000092</f>
        <v>2220.632642</v>
      </c>
      <c r="Y188" s="3">
        <f>2917.1+(601.2-678.9)+(-2.975442+(-0.613224--0.692478))+0-564.8--0.57609600000009</f>
        <v>2272.279908</v>
      </c>
      <c r="Z188" s="3">
        <f>2923.8+(776.5-750.4)+(-1.491138+(-0.396015--0.382704))+0-737.8--0.376277999999925</f>
        <v>2210.9718290000001</v>
      </c>
      <c r="AA188" s="3">
        <f>2929.1+(865.1-929)+(-1.493841+(-0.441201--0.47379))+0-650.4--0.331703999999934</f>
        <v>2213.6704519999994</v>
      </c>
      <c r="AB188" s="3">
        <f>2935+(874-862.7)+(-7.48425+(-2.2287--2.199885))+0-796.6--2.03132999999988</f>
        <v>2144.218265</v>
      </c>
      <c r="AC188" s="3">
        <f>2945.1+(673.5-865.2)+(-3.004002+(-0.68697--0.882504))+0-781.3--0.796926000000124</f>
        <v>1970.0884579999997</v>
      </c>
      <c r="AD188">
        <f t="shared" si="2"/>
        <v>47058.495210999994</v>
      </c>
      <c r="AE188" s="3">
        <f>2905+(731.9-644.9)+(0+(0-0))+0-698.8-0</f>
        <v>2293.1999999999998</v>
      </c>
    </row>
    <row r="189" spans="1:31" s="2" customFormat="1" x14ac:dyDescent="0.25">
      <c r="A189">
        <v>89</v>
      </c>
      <c r="B189">
        <v>7</v>
      </c>
      <c r="C189">
        <v>3</v>
      </c>
      <c r="D189">
        <v>1</v>
      </c>
      <c r="E189">
        <v>1</v>
      </c>
      <c r="F189" s="3">
        <f>2938.9+(792.8-1097.4)+(-4.496517+(-1.212984--1.679022))+0-777.3--1.18926900000004</f>
        <v>1854.1587900000002</v>
      </c>
      <c r="G189" s="3">
        <f>2968.4+(874.5-1222.8)+(-6.055536+(-1.78398--2.494512))+0-840.1--1.71380399999996</f>
        <v>1776.3688000000006</v>
      </c>
      <c r="H189" s="3">
        <f>2862.5+(845.7-1174.1)+(-2.91975+(-0.862614--1.197582))+0-773--0.788460000000123</f>
        <v>1759.3036780000007</v>
      </c>
      <c r="I189" s="3">
        <f>2631.6+(992-1107.4)+(2.684232+(1.01184-1.129548))+0-780.3-0.795906000000124</f>
        <v>1737.6706179999996</v>
      </c>
      <c r="J189" s="3">
        <f>2604.3+(899.1-1017.7)+(-5.312772+(-1.834164--2.076108))+0-741.6--1.51286399999997</f>
        <v>1740.5420360000005</v>
      </c>
      <c r="K189" s="3">
        <f>2524.6+(832-795)+(-3.862638+(-1.27296--1.21635))+0-811.6--1.24174800000005</f>
        <v>1747.3225</v>
      </c>
      <c r="L189" s="3">
        <f>2527.2+(508.6-619.6)+(-2.577744+(-0.518772--0.631992))+0-637.2--0.649944000000102</f>
        <v>1777.1854199999998</v>
      </c>
      <c r="M189" s="3">
        <f>2526.4+(612.3-450.2)+(1.288464+(0.312273-0.229602))+0-676-0.344759999999931</f>
        <v>2013.5263749999999</v>
      </c>
      <c r="N189" s="3">
        <f>2842.9+(518.6-439.7)+(0+(0-0))+0-686.5-0</f>
        <v>2235.3000000000002</v>
      </c>
      <c r="O189" s="3">
        <f>2915.2+(532.9-400.8)+(-1.486752+(-0.271779--0.204408))+0-667.2--0.340271999999932</f>
        <v>2378.8861489999995</v>
      </c>
      <c r="P189" s="3">
        <f>2903+(568.6-300.4)+(-1.48053+(-0.289986--0.153204))+0-716.7--0.365516999999927</f>
        <v>2453.2482049999994</v>
      </c>
      <c r="Q189" s="3">
        <f>2887.2+(765.4-379.2)+(1.472472+(0.390354-0.193392))+0-778.6-0.397085999999921</f>
        <v>2496.0723479999997</v>
      </c>
      <c r="R189" s="3">
        <f>2875.1+(900.7-621.1)+(0+(0-0))+0-746.9-0</f>
        <v>2407.7999999999997</v>
      </c>
      <c r="S189" s="3">
        <f>2875+(1001.2-761.7)+(0+(0-0))+0-709.4-0</f>
        <v>2405.1</v>
      </c>
      <c r="T189" s="3">
        <f>2968.1+(947.8-767.1)+(-3.027462+(-0.966756--0.782442))+0-714.6--0.728892000000114</f>
        <v>2431.7171159999998</v>
      </c>
      <c r="U189" s="3">
        <f>2976.5+(808.7-746.6)+(-4.554045+(-1.237311--1.142298))+0-705.8--1.07987400000004</f>
        <v>2329.2308160000002</v>
      </c>
      <c r="V189" s="3">
        <f>2982.1+(741.2-717.9)+(-4.562613+(-1.134036--1.098387))+0-697.6--1.06732800000004</f>
        <v>2304.2690660000003</v>
      </c>
      <c r="W189" s="3">
        <f>2993.1+(619.7-659.9)+(1.526481+(0.316047-0.336549))+0-601.6-0.306815999999939</f>
        <v>2352.4991630000004</v>
      </c>
      <c r="X189" s="3">
        <f>3020.7+(636.5-443.3)+(-6.162228+(-1.29846--0.904332))+0-577.4--1.17789599999997</f>
        <v>2631.1215399999996</v>
      </c>
      <c r="Y189" s="3">
        <f>3063+(704.7-595.1)+(0+(0-0))+0-610.2-0</f>
        <v>2562.3999999999996</v>
      </c>
      <c r="Z189" s="3">
        <f>3072.8+(774.6-695.4)+(3.134256+(0.790092-0.709308))+0-726.6-0.741132000000116</f>
        <v>2427.873908</v>
      </c>
      <c r="AA189" s="3">
        <f>3078.6+(965.9-871.7)+(-4.710258+(-1.477827--1.333701))+0-740.5--1.13296500000004</f>
        <v>2428.5785809999998</v>
      </c>
      <c r="AB189" s="3">
        <f>3092.1+(914.3-1018.5)+(-7.884855+(-2.331465--2.597175))+0-632.7--1.61338499999991</f>
        <v>2349.1942399999994</v>
      </c>
      <c r="AC189" s="3">
        <f>3010.7+(904.9-1051.2)+(-7.677285+(-2.307495--2.68056))+0-704.5--1.7964749999999</f>
        <v>2154.3922549999997</v>
      </c>
      <c r="AD189">
        <f t="shared" si="2"/>
        <v>52753.761603999999</v>
      </c>
      <c r="AE189" s="3">
        <f>3052+(745.7-537.8)+(0+(0-0))+0-632.5-0</f>
        <v>2627.4</v>
      </c>
    </row>
    <row r="190" spans="1:31" s="2" customFormat="1" x14ac:dyDescent="0.25">
      <c r="A190">
        <v>89</v>
      </c>
      <c r="B190">
        <v>7</v>
      </c>
      <c r="C190">
        <v>4</v>
      </c>
      <c r="D190">
        <v>2</v>
      </c>
      <c r="E190">
        <v>1</v>
      </c>
      <c r="F190" s="3">
        <f>2949.1+(894-1116.3)+(-3.008082+(-0.91188--1.138626))+0-730--0.744600000000116</f>
        <v>1994.7632640000004</v>
      </c>
      <c r="G190" s="3">
        <f>2956.8+(860.7-1193.9)+(-7.53984+(-2.194785--3.044445))+0-695--1.7722499999999</f>
        <v>1923.6820700000003</v>
      </c>
      <c r="H190" s="3">
        <f>2966.5+(690.4-1125.6)+(-4.538745+(-1.056312--1.722168))+0-643.8--0.985014000000037</f>
        <v>1884.6121250000001</v>
      </c>
      <c r="I190" s="3">
        <f>2931.8+(690.6-1153)+(-1.495218+(-0.352206--0.58803))+0-604.6--0.308345999999939</f>
        <v>1863.8489520000001</v>
      </c>
      <c r="J190" s="3">
        <f>2868.2+(646.8-901.6)+(0+(0-0))+0-784-0</f>
        <v>1829.3999999999996</v>
      </c>
      <c r="K190" s="3">
        <f>2822.4+(668.2-918.3)+(0+(0-0))+0-728-0</f>
        <v>1844.3000000000002</v>
      </c>
      <c r="L190" s="3">
        <f>2608.1+(670.7-720.4)+(-1.330131+(-0.342057--0.367404))+0-690.9--0.35235899999993</f>
        <v>1866.5475750000001</v>
      </c>
      <c r="M190" s="3">
        <f>2669.8+(618.1-727.8)+(-2.723196+(-0.630462--0.742356))+0-491.1--0.500922000000078</f>
        <v>2066.8896200000008</v>
      </c>
      <c r="N190" s="3">
        <f>2980.4+(610.5-749.7)+(0+(0-0))+0-524.7-0</f>
        <v>2316.5</v>
      </c>
      <c r="O190" s="3">
        <f>3058.9+(654.1-862.1)+(-1.560039+(-0.333591--0.439671))+0-474.1--0.241790999999952</f>
        <v>2375.5878320000002</v>
      </c>
      <c r="P190" s="3">
        <f>3030.7+(750.7-671.9)+(0+(0-0))+0-614.4-0</f>
        <v>2495.1</v>
      </c>
      <c r="Q190" s="3">
        <f>3008.4+(676.6-583.9)+(1.534284+(0.345066-0.297789))+0-587.9-0.29982899999994</f>
        <v>2514.4817320000002</v>
      </c>
      <c r="R190" s="3">
        <f>3001.6+(783.3-823.6)+(-1.530816+(-0.399483--0.420036))+0-587--0.29936999999994</f>
        <v>2373.0891069999993</v>
      </c>
      <c r="S190" s="3">
        <f>2980.3+(851.9-828.7)+(1.519953+(0.434469-0.422637))+0-539.5-0.275144999999945</f>
        <v>2465.2566400000001</v>
      </c>
      <c r="T190" s="3">
        <f>2967.1+(1005.2-864.3)+(-1.513221+(-0.512652--0.440793))+0-537.1--0.273920999999946</f>
        <v>2569.5888410000002</v>
      </c>
      <c r="U190" s="3">
        <f>2962.4+(891.2-863.6)+(-3.021648+(-0.909024--0.880872))+0-516.6--0.526932000000082</f>
        <v>2470.8771320000005</v>
      </c>
      <c r="V190" s="3">
        <f>2961.1+(833.8-728.8)+(-4.530483+(-1.275714--1.115064))+0-518.5--0.79330500000003</f>
        <v>2543.7021720000002</v>
      </c>
      <c r="W190" s="3">
        <f>2982.7+(630.6-569.7)+(0+(0-0))+0-537.4-0</f>
        <v>2506.1999999999998</v>
      </c>
      <c r="X190" s="3">
        <f>3006.6+(524.1-399.6)+(-3.066732+(-0.534582--0.407592))+0-509.1--0.519282000000081</f>
        <v>2619.3255600000002</v>
      </c>
      <c r="Y190" s="3">
        <f>3043.1+(697.1-546.6)+(-4.655943+(-1.066563--0.836298))+0-631--0.965430000000036</f>
        <v>2558.6792220000002</v>
      </c>
      <c r="Z190" s="3">
        <f>3053.8+(817.9-711)+(-3.114876+(-0.834258--0.72522))+0-668--0.681360000000107</f>
        <v>2490.1574460000002</v>
      </c>
      <c r="AA190" s="3">
        <f>3055.7+(953.7-881.5)+(1.558407+(0.486387-0.449565))+0-685.9-0.34980899999993</f>
        <v>2443.2454199999997</v>
      </c>
      <c r="AB190" s="3">
        <f>3067.9+(863.2-973.1)+(0+(0-0))+0-639.1-0</f>
        <v>2318.9</v>
      </c>
      <c r="AC190" s="3">
        <f>2975.4+(768.7-994.1)+(-3.034908+(-0.784074--1.013982))+0-609.9--0.622098000000097</f>
        <v>2137.9170980000004</v>
      </c>
      <c r="AD190">
        <f t="shared" si="2"/>
        <v>54472.651807999988</v>
      </c>
      <c r="AE190" s="3">
        <f>3021+(636.2-443.6)+(0+(0-0))+0-554.3-0</f>
        <v>2659.3</v>
      </c>
    </row>
    <row r="191" spans="1:31" s="2" customFormat="1" x14ac:dyDescent="0.25">
      <c r="A191">
        <v>89</v>
      </c>
      <c r="B191">
        <v>7</v>
      </c>
      <c r="C191">
        <v>5</v>
      </c>
      <c r="D191">
        <v>3</v>
      </c>
      <c r="E191">
        <v>1</v>
      </c>
      <c r="F191" s="3">
        <f>2777.6+(777.4-901.7)+(-4.249728+(-1.189422--1.379601))+0-653.5--0.999855000000038</f>
        <v>1996.7403059999997</v>
      </c>
      <c r="G191" s="3">
        <f>2683.9+(800.5-967)+(0+(0-0))+0-596.2-0</f>
        <v>1921.2</v>
      </c>
      <c r="H191" s="3">
        <f>2561.6+(904.6-936.6)+(-2.612832+(-0.922692--0.955332))+0-644.8--0.657696000000103</f>
        <v>1882.8775040000003</v>
      </c>
      <c r="I191" s="3">
        <f>2401.4+(920.6-830.5)+(1.224714+(0.469506-0.423555))+0-628.9-0.320738999999936</f>
        <v>1863.5499259999999</v>
      </c>
      <c r="J191" s="3">
        <f>2407+(817.8-723.4)+(1.22757+(0.417078-0.368934))+0-636.8-0.324767999999935</f>
        <v>1865.5509460000001</v>
      </c>
      <c r="K191" s="3">
        <f>2404.4+(642.6-672.1)+(-8.583708+(-2.294082--2.399397))+0-500.4--1.78642800000001</f>
        <v>1867.8080350000002</v>
      </c>
      <c r="L191" s="3">
        <f>2430.4+(459.6-681.5)+(1.239504+(0.234396-0.347565))+0-330.5-0.168554999999966</f>
        <v>1878.95778</v>
      </c>
      <c r="M191" s="3">
        <f>2720.9+(364.2-645.9)+(2.775318+(0.371484-0.658818))+0-369.9-0.377298000000059</f>
        <v>2071.4106860000002</v>
      </c>
      <c r="N191" s="3">
        <f>2865.7+(396.7-631.8)+(0+(0-0))+0-359.9-0</f>
        <v>2270.6999999999998</v>
      </c>
      <c r="O191" s="3">
        <f>2883.8+(477.4-659.3)+(0+(0-0))+0-284.3-0</f>
        <v>2417.6</v>
      </c>
      <c r="P191" s="3">
        <f>2825.7+(756.7-637.6)+(2.882214+(0.771834-0.650352))+0-428.2-0.436764000000068</f>
        <v>2519.1669320000001</v>
      </c>
      <c r="Q191" s="3">
        <f>2818.1+(771.3-467.1)+(4.311693+(1.180089-0.714663))+0-544.3-0.832779000000031</f>
        <v>2581.9443399999996</v>
      </c>
      <c r="R191" s="3">
        <f>2817+(956.3-670.7)+(-2.87334+(-0.975426--0.684114))+0-677.4--0.690948000000108</f>
        <v>2422.7262959999998</v>
      </c>
      <c r="S191" s="3">
        <f>2803.5+(1069.3-786.2)+(-1.429785+(-0.545343--0.400962))+0-626--0.319259999999936</f>
        <v>2459.3450939999998</v>
      </c>
      <c r="T191" s="3">
        <f>2798.6+(1219.3-744.4)+(-2.854572+(-1.243686--0.759288))+0-754.5--0.76959000000012</f>
        <v>2516.4306200000005</v>
      </c>
      <c r="U191" s="3">
        <f>2811+(1073.5-758.2)+(-5.73444+(-2.18994--1.546728))+0-632.5--1.29029999999997</f>
        <v>2488.7126480000002</v>
      </c>
      <c r="V191" s="3">
        <f>2910.1+(911.3-667.9)+(-7.420755+(-2.323815--1.703145))+0-702.4--1.7911199999999</f>
        <v>2444.8496949999999</v>
      </c>
      <c r="W191" s="3">
        <f>2951.9+(771.4-602.3)+(-1.505469+(-0.393414--0.307173))+0-704.7--0.359396999999929</f>
        <v>2415.0676869999993</v>
      </c>
      <c r="X191" s="3">
        <f>3005.5+(903.9-627.6)+(1.532805+(0.460989-0.320076))+0-641.2-0.327011999999935</f>
        <v>2641.9467060000006</v>
      </c>
      <c r="Y191" s="3">
        <f>3037.4+(913.9-737.2)+(-9.294444+(-2.796534--2.255832))+0-627.1--1.91892600000007</f>
        <v>2579.0837800000004</v>
      </c>
      <c r="Z191" s="3">
        <f>3055.3+(995.4-806.1)+(-4.674609+(-1.522962--1.233333))+0-759.5--1.16203500000004</f>
        <v>2481.2977970000002</v>
      </c>
      <c r="AA191" s="3">
        <f>3059.9+(1034.4-1019.9)+(-6.242196+(-2.110176--2.080596))+0-600.4--1.22481599999997</f>
        <v>2468.9530399999999</v>
      </c>
      <c r="AB191" s="3">
        <f>3069.1+(1002.4-1089.9)+(-6.260964+(-2.044896--2.223396))+0-622--1.26887999999997</f>
        <v>2354.7864159999999</v>
      </c>
      <c r="AC191" s="3">
        <f>3080.7+(978.4-1188.8)+(-7.855785+(-2.49492--3.03144))+0-662.8--1.6901399999999</f>
        <v>2201.8708749999996</v>
      </c>
      <c r="AD191">
        <f t="shared" si="2"/>
        <v>54612.577109000005</v>
      </c>
      <c r="AE191" s="3">
        <f>3011+(1047.7-676)+(0+(0-0))+0-713.9-0</f>
        <v>2668.7999999999997</v>
      </c>
    </row>
    <row r="192" spans="1:31" s="2" customFormat="1" x14ac:dyDescent="0.25">
      <c r="A192">
        <v>89</v>
      </c>
      <c r="B192">
        <v>7</v>
      </c>
      <c r="C192">
        <v>6</v>
      </c>
      <c r="D192">
        <v>4</v>
      </c>
      <c r="E192">
        <v>1</v>
      </c>
      <c r="F192" s="3">
        <f>3024.2+(848.1-1075.1)+(-6.169368+(-1.730124--2.193204))+0-742.2--1.51408799999997</f>
        <v>2050.8077999999996</v>
      </c>
      <c r="G192" s="3">
        <f>2930.5+(865.1-1103.3)+(-4.483665+(-1.323603--1.688049))+0-738.9--1.13051700000004</f>
        <v>1950.411298</v>
      </c>
      <c r="H192" s="3">
        <f>2943.5+(810-1160.8)+(-3.00237+(-0.8262--1.184016))+0-696.7--0.710634000000111</f>
        <v>1894.0660799999998</v>
      </c>
      <c r="I192" s="3">
        <f>2947.3+(778.4-1162.5)+(-3.006246+(-0.793968--1.18575))+0-700.8--0.714816000000112</f>
        <v>1860.5003520000002</v>
      </c>
      <c r="J192" s="3">
        <f>2758.4+(754.5-958.8)+(5.627136+(1.53918-1.955952))+0-682.7-1.39270799999997</f>
        <v>1875.2176560000005</v>
      </c>
      <c r="K192" s="3">
        <f>2669.6+(667.4-824)+(-5.445984+(-1.361496--1.68096))+0-646--1.31783999999997</f>
        <v>1863.1913200000001</v>
      </c>
      <c r="L192" s="3">
        <f>2566.7+(503.2-704)+(1.309017+(0.256632-0.35904))+0-489.5-0.24964499999995</f>
        <v>1877.3569639999996</v>
      </c>
      <c r="M192" s="3">
        <f>2756.6+(550.3-629.3)+(-1.405866+(-0.280653--0.320943))+0-595.9--0.30390899999994</f>
        <v>2080.6383329999994</v>
      </c>
      <c r="N192" s="3">
        <f>2992.5+(476.2-690.4)+(0+(0-0))+0-495.5-0</f>
        <v>2282.8000000000002</v>
      </c>
      <c r="O192" s="3">
        <f>3029.1+(499.7-608.3)+(-6.179364+(-1.019388--1.240932))+0-534--1.08935999999998</f>
        <v>2381.6315399999999</v>
      </c>
      <c r="P192" s="3">
        <f>3006.8+(757.4-557.1)+(-1.533468+(-0.386274--0.284121))+0-708.7--0.361436999999928</f>
        <v>2497.1258160000002</v>
      </c>
      <c r="Q192" s="3">
        <f>2986.5+(722.9-575.1)+(6.09246+(1.474716-1.173204))+0-622.6-1.27010399999997</f>
        <v>2516.8238679999999</v>
      </c>
      <c r="R192" s="3">
        <f>2969.8+(743.2-738)+(-3.029196+(-0.758064--0.75276))+0-575--0.586500000000092</f>
        <v>2397.5519999999997</v>
      </c>
      <c r="S192" s="3">
        <f>2944.8+(932.8-906.9)+(1.501848+(0.475728-0.462519))+0-553.3-0.282182999999944</f>
        <v>2418.6328740000004</v>
      </c>
      <c r="T192" s="3">
        <f>2934.8+(989-910.5)+(-5.986992+(-2.01756--1.85742))+0-536.5--1.09445999999998</f>
        <v>2471.7473279999999</v>
      </c>
      <c r="U192" s="3">
        <f>2959.6+(975.9-888.9)+(-7.54698+(-2.488545--2.266695))+0-575.8--1.46828999999992</f>
        <v>2464.49946</v>
      </c>
      <c r="V192" s="3">
        <f>2973.3+(873.4-775.9)+(-7.581915+(-2.22717--1.978545))+0-635.8--1.62128999999991</f>
        <v>2428.7907500000001</v>
      </c>
      <c r="W192" s="3">
        <f>2915.4+(748.1-665.6)+(-4.460562+(-1.144593--1.018368))+0-559.9--0.856647000000032</f>
        <v>2434.2698599999999</v>
      </c>
      <c r="X192" s="3">
        <f>2976.9+(882.9-618.5)+(0+(0-0))+0-609.5-0</f>
        <v>2631.8</v>
      </c>
      <c r="Y192" s="3">
        <f>3052+(896-722.4)+(-4.66956+(-1.37088--1.105272))+0-637.4--0.975222000000037</f>
        <v>2584.2400539999999</v>
      </c>
      <c r="Z192" s="3">
        <f>3072.3+(1034.7-975.2)+(-4.700619+(-1.583091--1.492056))+0-650.5--0.995265000000038</f>
        <v>2477.5036110000001</v>
      </c>
      <c r="AA192" s="3">
        <f>3074.7+(1003.5-1016)+(-3.136194+(-1.02357--1.03632))+0-632.3--0.644946000000101</f>
        <v>2427.4215019999997</v>
      </c>
      <c r="AB192" s="3">
        <f>3086.3+(889-994.2)+(-3.148026+(-0.90678--1.014084))+0-652--0.665040000000104</f>
        <v>2326.7243180000005</v>
      </c>
      <c r="AC192" s="3">
        <f>3023.6+(733-914.6)+(-3.084072+(-0.74766--0.932892))+0-694.1--0.707982000000111</f>
        <v>2145.7091420000002</v>
      </c>
      <c r="AD192">
        <f t="shared" si="2"/>
        <v>54339.461925999996</v>
      </c>
      <c r="AE192" s="3">
        <f>3039+(995.5-681.3)+(0+(0-0))+0-705.1-0</f>
        <v>2648.1</v>
      </c>
    </row>
    <row r="193" spans="1:31" s="2" customFormat="1" x14ac:dyDescent="0.25">
      <c r="A193">
        <v>89</v>
      </c>
      <c r="B193">
        <v>7</v>
      </c>
      <c r="C193">
        <v>7</v>
      </c>
      <c r="D193">
        <v>5</v>
      </c>
      <c r="E193">
        <v>1</v>
      </c>
      <c r="F193" s="3">
        <f>2992.1+(815.5-1000.2)+(-9.155826+(-2.49543--3.060612))+0-803--2.45718000000009</f>
        <v>1998.2665359999999</v>
      </c>
      <c r="G193" s="3">
        <f>2951.3+(783.9-1087.9)+(-9.030978+(-2.398734--3.328974))+0-733--2.24298000000008</f>
        <v>1908.4422420000001</v>
      </c>
      <c r="H193" s="3">
        <f>2820.1+(741.3-1009.6)+(0+(0-0))+0-694.5-0</f>
        <v>1857.2999999999997</v>
      </c>
      <c r="I193" s="3">
        <f>2830.5+(715.1-957.1)+(-2.88711+(-0.729402--0.976242))+0-751.4--0.76642800000012</f>
        <v>1835.2261580000002</v>
      </c>
      <c r="J193" s="3">
        <f>2721.7+(706-912.5)+(4.164201+(1.08018-1.396125))+0-672.8-1.02938400000004</f>
        <v>1845.2188720000001</v>
      </c>
      <c r="K193" s="3">
        <f>2676.1+(680.1-772.1)+(-4.094433+(-1.040553--1.181313))+0-722.3--1.10511900000004</f>
        <v>1858.951446</v>
      </c>
      <c r="L193" s="3">
        <f>2565.9+(653.2-629.3)+(-2.617218+(-0.666264--0.641886))+0-723.8--0.738276000000115</f>
        <v>1864.0966800000003</v>
      </c>
      <c r="M193" s="3">
        <f>2620.8+(548.3-435.2)+(0+(0-0))+0-689.3-0</f>
        <v>2044.6000000000001</v>
      </c>
      <c r="N193" s="3">
        <f>2999.3+(367.9-457)+(0+(0-0))+0-660.7-0</f>
        <v>2249.5</v>
      </c>
      <c r="O193" s="3">
        <f>3069.6+(304.8-510.4)+(-3.130992+(-0.310896--0.520608))+0-502--0.51204000000008</f>
        <v>2359.59076</v>
      </c>
      <c r="P193" s="3">
        <f>3048.5+(397.1-561.3)+(-4.664205+(-0.607563--0.858789))+0-447.6--0.684828000000026</f>
        <v>2432.971849</v>
      </c>
      <c r="Q193" s="3">
        <f>2947.6+(689.8-721.2)+(-3.006552+(-0.703596--0.735624))+0-565.2--0.57650400000009</f>
        <v>2348.6019799999999</v>
      </c>
      <c r="R193" s="3">
        <f>2890.4+(908.2-813.1)+(-2.948208+(-0.926364--0.829362))+0-644.6--0.657492000000103</f>
        <v>2338.5122820000001</v>
      </c>
      <c r="S193" s="3">
        <f>2876.5+(957.8-949.2)+(0+(0-0))+0-502-0</f>
        <v>2383.1</v>
      </c>
      <c r="T193" s="3">
        <f>2871.3+(1008.3-762.3)+(-2.928726+(-1.028466--0.777546))+0-674.9--0.688398000000108</f>
        <v>2439.9087520000003</v>
      </c>
      <c r="U193" s="3">
        <f>2882.8+(829.8-657.9)+(-2.940456+(-0.846396--0.671058))+0-618.7--0.631074000000099</f>
        <v>2433.5152800000005</v>
      </c>
      <c r="V193" s="3">
        <f>2920.5+(572.2-519.1)+(-5.95782+(-1.167288--1.058964))+0-584--1.19135999999997</f>
        <v>2384.7252159999998</v>
      </c>
      <c r="W193" s="3">
        <f>2930.9+(532.2-344.8)+(1.494759+(0.271422-0.175848))+0-719.2-0.366791999999927</f>
        <v>2400.3235410000007</v>
      </c>
      <c r="X193" s="3">
        <f>3026.5+(729.7-499.2)+(1.543515+(0.372147-0.254592))+0-637.9-0.325328999999935</f>
        <v>2620.4357410000002</v>
      </c>
      <c r="Y193" s="3">
        <f>3055.9+(768.2-658.5)+(-6.234036+(-1.567128--1.34334))+0-600.9--1.22583599999997</f>
        <v>2559.4680120000003</v>
      </c>
      <c r="Z193" s="3">
        <f>3068.7+(820.8-750.6)+(-1.565037+(-0.418608--0.382806))+0-687.8--0.35077799999993</f>
        <v>2449.8499389999997</v>
      </c>
      <c r="AA193" s="3">
        <f>3082.4+(913.1-870.9)+(-4.716072+(-1.397043--1.332477))+0-721.2--1.10343600000004</f>
        <v>2399.7227980000002</v>
      </c>
      <c r="AB193" s="3">
        <f>3028.8+(941.7-992.2)+(-6.178752+(-1.921068--2.024088))+0-674.5--1.37597999999997</f>
        <v>2299.1002480000002</v>
      </c>
      <c r="AC193" s="3">
        <f>2978.6+(882.6-986.5)+(-6.076344+(-1.800504--2.01246))+0-736.2--1.50184799999997</f>
        <v>2134.1374599999999</v>
      </c>
      <c r="AD193">
        <f t="shared" ref="AD193:AD256" si="3">SUM(F193:AC193)</f>
        <v>53445.565792000001</v>
      </c>
      <c r="AE193" s="3">
        <f>3028+(779.5-576.5)+(0+(0-0))+0-639.2-0</f>
        <v>2591.8000000000002</v>
      </c>
    </row>
    <row r="194" spans="1:31" s="2" customFormat="1" x14ac:dyDescent="0.25">
      <c r="A194">
        <v>89</v>
      </c>
      <c r="B194">
        <v>7</v>
      </c>
      <c r="C194">
        <v>8</v>
      </c>
      <c r="D194">
        <v>6</v>
      </c>
      <c r="E194">
        <v>1</v>
      </c>
      <c r="F194" s="3">
        <f>2920.4+(759.1-1116.5)+(-4.468212+(-1.161423--1.708245))+0-603.6--0.923508000000035</f>
        <v>1956.4021180000002</v>
      </c>
      <c r="G194" s="3">
        <f>2921.1+(725.3-1032.3)+(-5.959044+(-1.479612--2.105892))+0-728.3--1.48573199999997</f>
        <v>1881.9529679999996</v>
      </c>
      <c r="H194" s="3">
        <f>2923.7+(606.8-970.9)+(-2.982174+(-0.618936--0.990318))+0-716.5--0.730830000000114</f>
        <v>1841.2200380000002</v>
      </c>
      <c r="I194" s="3">
        <f>2854.3+(717.8-994.1)+(-1.455693+(-0.366078--0.506991))+0-753.5--0.384284999999924</f>
        <v>1823.5695049999997</v>
      </c>
      <c r="J194" s="3">
        <f>2859.6+(601.8-918.2)+(-2.916792+(-0.613836--0.936564))+0-711.6--0.725832000000114</f>
        <v>1829.7317680000001</v>
      </c>
      <c r="K194" s="3">
        <f>2669+(715.7-793.3)+(-5.44476+(-1.460028--1.618332))+0-754.1--1.53836399999997</f>
        <v>1833.5519080000004</v>
      </c>
      <c r="L194" s="3">
        <f>2480.3+(595.2-539)+(0+(0-0))+0-702.5-0</f>
        <v>1834</v>
      </c>
      <c r="M194" s="3">
        <f>2584.5+(511.4-383)+(-1.318095+(-0.260814--0.19533))+0-684.4--0.349043999999931</f>
        <v>2027.465465</v>
      </c>
      <c r="N194" s="3">
        <f>2722+(539.9-367.1)+(-1.38822+(-0.275349--0.187221))+0-664--0.338639999999933</f>
        <v>2229.662292</v>
      </c>
      <c r="O194" s="3">
        <f>2750.5+(643.6-311.5)+(-4.208265+(-0.984708--0.476595))+0-747.7--1.14398100000004</f>
        <v>2331.3276029999997</v>
      </c>
      <c r="P194" s="3">
        <f>2749.3+(672.7-318.9)+(-1.402143+(-0.343077--0.162639))+0-696.8--0.355367999999929</f>
        <v>2405.0727870000005</v>
      </c>
      <c r="Q194" s="3">
        <f>2722.1+(779.6-360.9)+(-1.388271+(-0.397596--0.184059))+0-692.3--0.35307299999993</f>
        <v>2447.2512650000003</v>
      </c>
      <c r="R194" s="3">
        <f>2714.8+(827.8-578.8)+(0+(0-0))+0-660.5-0</f>
        <v>2303.3000000000002</v>
      </c>
      <c r="S194" s="3">
        <f>2704.3+(1041.2-692.4)+(-1.379193+(-0.531012--0.353124))+0-735.9--0.375308999999925</f>
        <v>2316.0182280000004</v>
      </c>
      <c r="T194" s="3">
        <f>2698.1+(1012.1-756.2)+(-1.376031+(-0.516171--0.385662))+0-659.9--0.336548999999933</f>
        <v>2292.9300090000002</v>
      </c>
      <c r="U194" s="3">
        <f>2697.7+(957.2-706)+(-1.375827+(-0.488172--0.36006))+0-682.1--0.347870999999931</f>
        <v>2265.6439319999995</v>
      </c>
      <c r="V194" s="3">
        <f>2705.4+(790.2-725.7)+(-8.278524+(-2.418012--2.220642))+0-549.2--1.68055200000006</f>
        <v>2213.9046579999999</v>
      </c>
      <c r="W194" s="3">
        <f>2695.9+(689.4-437.5)+(1.374909+(0.351594-0.223125))+0-718.9-0.366638999999927</f>
        <v>2230.0367390000001</v>
      </c>
      <c r="X194" s="3">
        <f>2873.4+(673.9-347.9)+(0+(0-0))+0-735.6-0</f>
        <v>2463.8000000000002</v>
      </c>
      <c r="Y194" s="3">
        <f>2899.3+(636-432.2)+(-5.914572+(-1.29744--0.881688))+0-676.5--1.38005999999997</f>
        <v>2421.6497360000003</v>
      </c>
      <c r="Z194" s="3">
        <f>2932.5+(558.3-525.5)+(-5.9823+(-1.138932--1.07202))+0-643.6--1.31294399999997</f>
        <v>2316.9637320000002</v>
      </c>
      <c r="AA194" s="3">
        <f>2960.4+(443.7-568.1)+(-3.019608+(-0.452574--0.579462))+0-538.5--0.549270000000086</f>
        <v>2295.1565500000002</v>
      </c>
      <c r="AB194" s="3">
        <f>2965.8+(478.8-572.5)+(-4.537674+(-0.732564--0.875925))+0-663.5--1.01515500000004</f>
        <v>2205.2208420000006</v>
      </c>
      <c r="AC194" s="3">
        <f>2958.2+(631-837.3)+(-7.54341+(-1.60905--2.135115))+0-679.9--1.7337449999999</f>
        <v>2066.7163999999993</v>
      </c>
      <c r="AD194">
        <f t="shared" si="3"/>
        <v>51832.548543000012</v>
      </c>
      <c r="AE194" s="3">
        <f>2879+(645.6-391.2)+(0+(0-0))+0-704.2-0</f>
        <v>2429.1999999999998</v>
      </c>
    </row>
    <row r="195" spans="1:31" s="2" customFormat="1" x14ac:dyDescent="0.25">
      <c r="A195">
        <v>89</v>
      </c>
      <c r="B195">
        <v>7</v>
      </c>
      <c r="C195">
        <v>9</v>
      </c>
      <c r="D195">
        <v>7</v>
      </c>
      <c r="E195">
        <v>1</v>
      </c>
      <c r="F195" s="3">
        <f>2910.9+(676.7-945.2)+(-1.484559+(-0.345117--0.482052))+0-700.7--0.357356999999929</f>
        <v>1940.7097329999999</v>
      </c>
      <c r="G195" s="3">
        <f>2930+(695-1019.9)+(-7.4715+(-1.77225--2.600745))+0-746.4--1.90331999999989</f>
        <v>1853.9603149999998</v>
      </c>
      <c r="H195" s="3">
        <f>2885.5+(675.8-1072.7)+(0+(0-0))+0-683.9-0</f>
        <v>1804.6999999999998</v>
      </c>
      <c r="I195" s="3">
        <f>2812.2+(671.8-1020.8)+(-5.736888+(-1.370472--2.082432))+0-690.8--1.40923199999997</f>
        <v>1768.784304</v>
      </c>
      <c r="J195" s="3">
        <f>2798.8+(602.4-948.9)+(-4.282164+(-0.921672--1.451817))+0-694.9--1.06319700000004</f>
        <v>1754.711178</v>
      </c>
      <c r="K195" s="3">
        <f>2657.7+(585.8-830.9)+(-6.777135+(-1.49379--2.118795))+0-672.9--1.7158949999999</f>
        <v>1735.2637649999997</v>
      </c>
      <c r="L195" s="3">
        <f>2483.2+(687.8-776.4)+(-3.799296+(-1.052334--1.187892))+0-770.2--1.17840600000004</f>
        <v>1621.9146679999997</v>
      </c>
      <c r="M195" s="3">
        <f>2493.3+(505.9-742.1)+(-3.814749+(-0.774027--1.135413))+0-585.6--0.895968000000034</f>
        <v>1668.9426050000004</v>
      </c>
      <c r="N195" s="3">
        <f>2476.8+(643.8-597.8)+(-1.263168+(-0.328338--0.304878))+0-740.9--0.377858999999925</f>
        <v>1780.9912310000002</v>
      </c>
      <c r="O195" s="3">
        <f>2607.4+(437.5-528.8)+(-2.659548+(-0.44625--0.539376))+0-656--0.669120000000105</f>
        <v>1858.2026980000005</v>
      </c>
      <c r="P195" s="3">
        <f>2869.1+(507.8-762.6)+(-1.463241+(-0.258978--0.388926))+0-671.3--0.342362999999932</f>
        <v>1942.0090699999996</v>
      </c>
      <c r="Q195" s="3">
        <f>2893.1+(542.7-784.9)+(-2.950962+(-0.553554--0.800598))+0-672--0.685440000000107</f>
        <v>1976.8815220000001</v>
      </c>
      <c r="R195" s="3">
        <f>2892.3+(559.6-876.5)+(-4.425219+(-0.856188--1.341045))+0-635.2--0.971856000000037</f>
        <v>1937.2314940000003</v>
      </c>
      <c r="S195" s="3">
        <f>2879.6+(729.9-979.3)+(-4.405788+(-1.116747--1.498329))+0-696.3--1.06533900000004</f>
        <v>1930.9411329999998</v>
      </c>
      <c r="T195" s="3">
        <f>2870.3+(742.9-1177.1)+(-7.319265+(-1.894395--3.001605))+0-533.3--1.35991499999992</f>
        <v>1897.9478600000004</v>
      </c>
      <c r="U195" s="3">
        <f>2867.5+(698.5-1019.2)+(-4.387275+(-1.068705--1.559376))+0-657.6--1.00612800000004</f>
        <v>1886.3095240000002</v>
      </c>
      <c r="V195" s="3">
        <f>2876.5+(475.5-929.2)+(-4.401045+(-0.727515--1.421676))+0-539.9--0.826047000000031</f>
        <v>1880.0191629999999</v>
      </c>
      <c r="W195" s="3">
        <f>2892.2+(366.3-644.8)+(0+(0-0))+0-684.1-0</f>
        <v>1929.6</v>
      </c>
      <c r="X195" s="3">
        <f>2927.3+(427.3-454.3)+(-1.492923+(-0.217923--0.231693))+0-696.9--0.355418999999929</f>
        <v>2202.2762659999999</v>
      </c>
      <c r="Y195" s="3">
        <f>2953.2+(527.9-556.1)+(-3.012264+(-0.538458--0.567222))+0-731.4--0.746028000000117</f>
        <v>2191.3625280000001</v>
      </c>
      <c r="Z195" s="3">
        <f>2955+(475.8-660)+(-6.0282+(-0.970632--1.3464))+0-599.8--1.22359199999997</f>
        <v>2166.57116</v>
      </c>
      <c r="AA195" s="3">
        <f>2959.7+(603.1-686.8)+(-4.528341+(-0.922743--1.050804))+0-716.8--1.09670400000004</f>
        <v>2155.896424</v>
      </c>
      <c r="AB195" s="3">
        <f>2960+(658.9-985.6)+(-7.548+(-1.680195--2.51328))+0-547.7--1.39663499999992</f>
        <v>2080.28172</v>
      </c>
      <c r="AC195" s="3">
        <f>2953.6+(763.6-1081.4)+(-7.53168+(-1.94718--2.75757))+0-681--1.7365499999999</f>
        <v>1949.8152599999996</v>
      </c>
      <c r="AD195">
        <f t="shared" si="3"/>
        <v>45915.323620999996</v>
      </c>
      <c r="AE195" s="3">
        <f>2941+(598-510.8)+(0+(0-0))+0-872.2-0</f>
        <v>2156</v>
      </c>
    </row>
    <row r="196" spans="1:31" s="2" customFormat="1" x14ac:dyDescent="0.25">
      <c r="A196">
        <v>89</v>
      </c>
      <c r="B196">
        <v>7</v>
      </c>
      <c r="C196">
        <v>10</v>
      </c>
      <c r="D196">
        <v>1</v>
      </c>
      <c r="E196">
        <v>1</v>
      </c>
      <c r="F196" s="3">
        <f>2946+(812.5-1221.2)+(-9.01476+(-2.48625--3.736872))+0-704.5--2.15577000000008</f>
        <v>1827.1916320000003</v>
      </c>
      <c r="G196" s="3">
        <f>2958.7+(735.2-1227.5)+(-4.526811+(-1.124856--1.878075))+0-714.9--1.09379700000004</f>
        <v>1748.8202049999995</v>
      </c>
      <c r="H196" s="3">
        <f>2882.2+(736-1165.8)+(-7.34961+(-1.8768--2.97279))+0-730.4--1.86251999999989</f>
        <v>1717.6088999999995</v>
      </c>
      <c r="I196" s="3">
        <f>2804.2+(803.8-1237.1)+(-1.430142+(-0.409938--0.630921))+0-673.1--0.343280999999932</f>
        <v>1696.9341219999997</v>
      </c>
      <c r="J196" s="3">
        <f>2804.9+(810.2-1127.2)+(-2.860998+(-0.826404--1.149744))+0-787.7--0.803454000000126</f>
        <v>1698.465796</v>
      </c>
      <c r="K196" s="3">
        <f>2795.5+(700-1056)+(-5.70282+(-1.428--2.15424))+0-724.3--1.47757199999997</f>
        <v>1711.700992</v>
      </c>
      <c r="L196" s="3">
        <f>2532.2+(694.5-757)+(1.291422+(0.354195-0.38607))+0-738.1-0.376430999999925</f>
        <v>1732.4831160000001</v>
      </c>
      <c r="M196" s="3">
        <f>2551.3+(571.8-538.8)+(-1.301163+(-0.291618--0.274788))+0-630.8--0.321707999999936</f>
        <v>1952.5037150000001</v>
      </c>
      <c r="N196" s="3">
        <f>2766.3+(434.8-498.4)+(-1.410813+(-0.221748--0.254184))+0-514.2--0.262241999999948</f>
        <v>2187.3838649999998</v>
      </c>
      <c r="O196" s="3">
        <f>2914.4+(548.1-515.5)+(-1.486344+(-0.279531--0.262905))+0-623.8--0.318137999999937</f>
        <v>2322.0151680000004</v>
      </c>
      <c r="P196" s="3">
        <f>2909.3+(489.8-454.1)+(0+(0-0))+0-498.5-0</f>
        <v>2446.5</v>
      </c>
      <c r="Q196" s="3">
        <f>2907+(595.7-446.7)+(1.48257+(0.303807-0.227817))+0-523.3-0.266882999999947</f>
        <v>2533.9916770000004</v>
      </c>
      <c r="R196" s="3">
        <f>2904.4+(650.8-665.7)+(0+(0-0))+0-515.9-0</f>
        <v>2373.6</v>
      </c>
      <c r="S196" s="3">
        <f>2890.4+(749.5-759.9)+(0+(0-0))+0-528.6-0</f>
        <v>2351.4</v>
      </c>
      <c r="T196" s="3">
        <f>2886.9+(824.9-722.5)+(-5.889276+(-1.682796--1.4739))+0-612.3--1.24909199999997</f>
        <v>2372.15092</v>
      </c>
      <c r="U196" s="3">
        <f>2894.1+(830-649.5)+(-8.855946+(-2.5398--1.98747))+0-600.9--1.83875400000007</f>
        <v>2466.1304779999996</v>
      </c>
      <c r="V196" s="3">
        <f>2942.2+(707.9-670.4)+(-7.50261+(-1.805145--1.70952))+0-673.1--1.7164049999999</f>
        <v>2300.7181700000001</v>
      </c>
      <c r="W196" s="3">
        <f>2977.1+(564.3-445.8)+(4.554963+(0.863379-0.682074))+0-729.3-1.11582900000004</f>
        <v>2369.920439</v>
      </c>
      <c r="X196" s="3">
        <f>3023.3+(620.8-401.2)+(-1.541883+(-0.316608--0.204612))+0-659.7--0.336446999999933</f>
        <v>2581.8825680000004</v>
      </c>
      <c r="Y196" s="3">
        <f>3056.1+(643.4-496.2)+(-7.793055+(-1.64067--1.26531))+0-677.5--1.7276249999999</f>
        <v>2519.3592099999996</v>
      </c>
      <c r="Z196" s="3">
        <f>3057.8+(634.8-618.6)+(-4.678434+(-0.971244--0.946458))+0-646.4--0.988992000000037</f>
        <v>2423.8857720000001</v>
      </c>
      <c r="AA196" s="3">
        <f>3059.8+(711.4-783.2)+(-6.241992+(-1.451256--1.597728))+0-604.2--1.23256799999997</f>
        <v>2378.9370480000002</v>
      </c>
      <c r="AB196" s="3">
        <f>3092.6+(744.7-873.1)+(-6.308904+(-1.519188--1.781124))+0-703.2--1.43452799999997</f>
        <v>2256.3875599999992</v>
      </c>
      <c r="AC196" s="3">
        <f>3088.5+(780.8-1035.4)+(-9.45081+(-2.389248--3.168324))+0-747.6--2.28765600000009</f>
        <v>2079.9159219999997</v>
      </c>
      <c r="AD196">
        <f t="shared" si="3"/>
        <v>52049.887275000001</v>
      </c>
      <c r="AE196" s="3">
        <f>3035+(625-478)+(0+(0-0))+0-621.8-0</f>
        <v>2560.1999999999998</v>
      </c>
    </row>
    <row r="197" spans="1:31" s="2" customFormat="1" x14ac:dyDescent="0.25">
      <c r="A197">
        <v>89</v>
      </c>
      <c r="B197">
        <v>7</v>
      </c>
      <c r="C197">
        <v>11</v>
      </c>
      <c r="D197">
        <v>2</v>
      </c>
      <c r="E197">
        <v>1</v>
      </c>
      <c r="F197" s="3">
        <f>3085.8+(588.5-1267.9)+(-3.147516+(-0.60027--1.293258))+0-487.4--0.497148000000078</f>
        <v>1917.0426199999999</v>
      </c>
      <c r="G197" s="3">
        <f>3083.6+(558.4-1156.5)+(-1.572636+(-0.284784--0.589815))+0-654.3--0.333692999999934</f>
        <v>1830.2660880000001</v>
      </c>
      <c r="H197" s="3">
        <f>3011.9+(638.5-1143.3)+(-7.680345+(-1.628175--2.915415))+0-705.3--1.7985149999999</f>
        <v>1797.2054100000003</v>
      </c>
      <c r="I197" s="3">
        <f>2923.3+(698.1-1123.4)+(-2.981766+(-0.712062--1.145868))+0-710.5--0.724710000000113</f>
        <v>1785.6767500000003</v>
      </c>
      <c r="J197" s="3">
        <f>2892.9+(535.9-1051.8)+(0+(0-0))+0-596.9-0</f>
        <v>1780.1</v>
      </c>
      <c r="K197" s="3">
        <f>2754.6+(483.6-857.8)+(-1.404846+(-0.246636--0.437478))+0-577--0.294269999999941</f>
        <v>1802.480266</v>
      </c>
      <c r="L197" s="3">
        <f>2587.8+(420-683.7)+(1.319778+(0.2142-0.348687))+0-515.3-0.262802999999948</f>
        <v>1809.7224880000003</v>
      </c>
      <c r="M197" s="3">
        <f>2765.5+(310.7-570.4)+(-1.410405+(-0.158457--0.290904))+0-507.2--0.258671999999949</f>
        <v>1997.5807139999999</v>
      </c>
      <c r="N197" s="3">
        <f>2986.7+(261.9-532.5)+(1.523217+(0.133569-0.271575))+0-516.1-0.263210999999948</f>
        <v>2201.1219999999998</v>
      </c>
      <c r="O197" s="3">
        <f>3030.3+(297-476)+(-3.090906+(-0.30294--0.48552))+0-525.4--0.535908000000084</f>
        <v>2323.5275820000002</v>
      </c>
      <c r="P197" s="3">
        <f>3056.7+(376.5-488.9)+(-3.117834+(-0.38403--0.498678))+0-587.3--0.599046000000094</f>
        <v>2354.5958600000004</v>
      </c>
      <c r="Q197" s="3">
        <f>3044+(372.9-409.2)+(1.55244+(0.190179-0.208692))+0-560.2-0.285701999999943</f>
        <v>2448.7482249999994</v>
      </c>
      <c r="R197" s="3">
        <f>3048.2+(428.2-665.1)+(-1.554582+(-0.218382--0.339201))+0-498.1--0.254030999999949</f>
        <v>2312.0202679999998</v>
      </c>
      <c r="S197" s="3">
        <f>3034.8+(585.8-685.2)+(1.547748+(0.298758-0.349452))+0-604.3-0.308192999999939</f>
        <v>2332.288861</v>
      </c>
      <c r="T197" s="3">
        <f>3041.1+(541.7-697.5)+(-4.652883+(-0.828801--1.067175))+0-524.3--0.80217900000003</f>
        <v>2357.3876700000001</v>
      </c>
      <c r="U197" s="3">
        <f>3043.7+(571.9-697.3)+(-7.761435+(-1.458345--1.778115))+0-516.1--1.31605499999993</f>
        <v>2396.0743899999998</v>
      </c>
      <c r="V197" s="3">
        <f>3046.3+(445.3-634.2)+(-4.660839+(-0.681309--0.970326))+0-503.3--0.770049000000029</f>
        <v>2350.498227</v>
      </c>
      <c r="W197" s="3">
        <f>3056.5+(219.1-423.8)+(-7.794075+(-0.558705--1.08069))+0-502.5--1.28137499999993</f>
        <v>2343.3092850000003</v>
      </c>
      <c r="X197" s="3">
        <f>3079.4+(401.3-288.6)+(-3.140988+(-0.409326--0.294372))+0-622.9--0.635358000000099</f>
        <v>2566.579416</v>
      </c>
      <c r="Y197" s="3">
        <f>3109.4+(287.5-426.5)+(-4.757382+(-0.439875--0.652545))+0-478.1--0.731493000000028</f>
        <v>2488.4867810000005</v>
      </c>
      <c r="Z197" s="3">
        <f>3117+(513.2-657.2)+(-6.35868+(-1.046928--1.340688))+0-593.1--1.20992399999997</f>
        <v>2375.0450040000001</v>
      </c>
      <c r="AA197" s="3">
        <f>3137.6+(637.3-811.5)+(-6.400704+(-1.300092--1.65546))+0-621.4--1.26765599999997</f>
        <v>2337.2223199999994</v>
      </c>
      <c r="AB197" s="3">
        <f>3112.6+(570.8-888.7)+(-7.93713+(-1.45554--2.266185))+0-554.8--1.41473999999992</f>
        <v>2234.1882549999996</v>
      </c>
      <c r="AC197" s="3">
        <f>3027.2+(576.6-854.3)+(-4.631616+(-0.882198--1.307079))+0-664.2--1.01622600000004</f>
        <v>2082.1094909999997</v>
      </c>
      <c r="AD197">
        <f t="shared" si="3"/>
        <v>52223.27797100001</v>
      </c>
      <c r="AE197" s="3">
        <f>3102+(508-339)+(0+(0-0))+0-719.5-0</f>
        <v>2551.5</v>
      </c>
    </row>
    <row r="198" spans="1:31" s="2" customFormat="1" x14ac:dyDescent="0.25">
      <c r="A198">
        <v>89</v>
      </c>
      <c r="B198">
        <v>7</v>
      </c>
      <c r="C198">
        <v>12</v>
      </c>
      <c r="D198">
        <v>3</v>
      </c>
      <c r="E198">
        <v>5</v>
      </c>
      <c r="F198" s="3">
        <f>2770.2+(766.5-1005.9)+(-2.825604+(-0.78183--1.026018))+0-603.7--0.615774000000096</f>
        <v>1925.1343579999998</v>
      </c>
      <c r="G198" s="3">
        <f>2678.7+(666.3-880.8)+(-2.732274+(-0.679626--0.898416))+0-638.3--0.651066000000102</f>
        <v>1824.0375819999999</v>
      </c>
      <c r="H198" s="3">
        <f>2666.5+(663.4-905.2)+(-6.799575+(-1.69167--2.30826))+0-637.5--1.62562499999991</f>
        <v>1782.6426399999998</v>
      </c>
      <c r="I198" s="3">
        <f>2496.4+(575.2-760.9)+(2.546328+(0.586704-0.776118))+0-563.8-0.57507600000009</f>
        <v>1748.6818380000002</v>
      </c>
      <c r="J198" s="3">
        <f>2350.5+(676-579.6)+(-1.198755+(-0.34476--0.295596))+0-695.8--0.354857999999929</f>
        <v>1750.2069390000001</v>
      </c>
      <c r="K198" s="3">
        <f>2307.6+(647.3-592.5)+(-2.353752+(-0.660246--0.60435))+0-604.9--0.616998000000096</f>
        <v>1755.7073499999999</v>
      </c>
      <c r="L198" s="3">
        <f>2201.5+(621.6-409.7)+(-4.49106+(-1.268064--0.835788))+0-720.6--1.47002399999997</f>
        <v>1689.3466880000003</v>
      </c>
      <c r="M198" s="3">
        <f>2245.4+(506.4-365.5)+(2.290308+(0.516528-0.37281))+0-593.4-0.605268000000095</f>
        <v>1794.728758</v>
      </c>
      <c r="N198" s="3">
        <f>2448.9+(486.6-389.9)+(0+(0-0))+0-620.8-0</f>
        <v>1924.8000000000004</v>
      </c>
      <c r="O198" s="3">
        <f>2669.8+(407.5-392.5)+(-4.084794+(-0.623475--0.600525))+0-633.4--0.969102000000037</f>
        <v>2048.2613580000002</v>
      </c>
      <c r="P198" s="3">
        <f>2740.6+(372.4-267.9)+(0+(0-0))+0-730.9-0</f>
        <v>2114.1999999999998</v>
      </c>
      <c r="Q198" s="3">
        <f>2783+(532-376.3)+(0+(0-0))+0-753.6-0</f>
        <v>2185.1</v>
      </c>
      <c r="R198" s="3">
        <f>2807+(704.3-700.5)+(-2.86314+(-0.718386--0.71451))+0-651.6--0.664632000000104</f>
        <v>2156.9976160000001</v>
      </c>
      <c r="S198" s="3">
        <f>2824.5+(800.6-781.6)+(2.88099+(0.816612-0.797232))+0-711.2-0.725424000000113</f>
        <v>2134.4749459999994</v>
      </c>
      <c r="T198" s="3">
        <f>2854.5+(849.5-965.2)+(-4.367385+(-1.299735--1.476756))+0-604.1--0.924273000000035</f>
        <v>2131.4339090000003</v>
      </c>
      <c r="U198" s="3">
        <f>2846.5+(772.8-794.4)+(-8.71029+(-2.364768--2.430864))+0-712.8--2.18116800000008</f>
        <v>2105.636974</v>
      </c>
      <c r="V198" s="3">
        <f>2674.4+(509-557.3)+(-6.81972+(-1.29795--1.421115))+0-559.8--1.42748999999992</f>
        <v>2061.0309350000007</v>
      </c>
      <c r="W198" s="3">
        <f>2616.3+(524.3-291.5)+(0+(0-0))+0-747.7-0</f>
        <v>2101.4000000000005</v>
      </c>
      <c r="X198" s="3">
        <f>2776.9+(650.4-357)+(-4.248657+(-0.995112--0.54621))+0-729.5--1.11613500000004</f>
        <v>2337.2185760000002</v>
      </c>
      <c r="Y198" s="3">
        <f>2904.1+(442.3-421.3)+(-4.443273+(-0.676719--0.644589))+0-614.8--0.940644000000035</f>
        <v>2306.7652410000001</v>
      </c>
      <c r="Z198" s="3">
        <f>2963.7+(544-470.5)+(-4.534461+(-0.83232--0.719865))+0-789.4--1.20778200000005</f>
        <v>2244.3608659999995</v>
      </c>
      <c r="AA198" s="3">
        <f>2997.3+(554.6-704.2)+(-7.643115+(-1.41423--1.79571))+0-625.9--1.59604499999991</f>
        <v>2216.1344100000001</v>
      </c>
      <c r="AB198" s="3">
        <f>3023.7+(459.8-655.5)+(-4.626261+(-0.703494--1.002915))+0-708.3--1.08369900000004</f>
        <v>2116.4568590000003</v>
      </c>
      <c r="AC198" s="3">
        <f>2993.2+(386.1-709)+(-4.579596+(-0.590733--1.08477))+0-669--1.02357000000004</f>
        <v>1998.2380109999997</v>
      </c>
      <c r="AD198">
        <f t="shared" si="3"/>
        <v>48452.995854000001</v>
      </c>
      <c r="AE198" s="3">
        <f>2900+(511.1-437.4)+(0+(0-0))+0-664.4-0</f>
        <v>2309.2999999999997</v>
      </c>
    </row>
    <row r="199" spans="1:31" s="2" customFormat="1" x14ac:dyDescent="0.25">
      <c r="A199">
        <v>89</v>
      </c>
      <c r="B199">
        <v>7</v>
      </c>
      <c r="C199">
        <v>13</v>
      </c>
      <c r="D199">
        <v>4</v>
      </c>
      <c r="E199">
        <v>1</v>
      </c>
      <c r="F199" s="3">
        <f>2899.6+(565-980.6)+(0+(0-0))+0-625.2-0</f>
        <v>1858.8</v>
      </c>
      <c r="G199" s="3">
        <f>2776.2+(585.9-931.2)+(-1.415862+(-0.298809--0.474912))+0-661.1--0.337160999999933</f>
        <v>1768.8974019999996</v>
      </c>
      <c r="H199" s="3">
        <f>2748.1+(579.2-878.4)+(1.401531+(0.295392-0.447984))+0-710.8-0.362507999999928</f>
        <v>1738.9864310000003</v>
      </c>
      <c r="I199" s="3">
        <f>2697.4+(580-812.6)+(5.502696+(1.1832-1.657704))+0-752.4-1.53489599999997</f>
        <v>1715.8932960000004</v>
      </c>
      <c r="J199" s="3">
        <f>2617.5+(523.4-721)+(-4.004775+(-0.800802--1.10313))+0-700.6--1.07191800000004</f>
        <v>1716.6694710000002</v>
      </c>
      <c r="K199" s="3">
        <f>2521.9+(492.8-551.3)+(-3.858507+(-0.753984--0.843489))+0-728.8--1.11506400000004</f>
        <v>1731.9460620000002</v>
      </c>
      <c r="L199" s="3">
        <f>2413.4+(421.4-356.4)+(0+(0-0))+0-707-0</f>
        <v>1771.4</v>
      </c>
      <c r="M199" s="3">
        <f>2484.9+(407.5-250.5)+(1.267299+(0.207825-0.127755))+0-667.8-0.340577999999932</f>
        <v>1975.1067910000004</v>
      </c>
      <c r="N199" s="3">
        <f>2791.6+(367-366.2)+(0+(0-0))+0-606.9-0</f>
        <v>2185.5</v>
      </c>
      <c r="O199" s="3">
        <f>2995.1+(308.6-409.4)+(-4.582503+(-0.472158--0.626382))+0-569--0.870570000000033</f>
        <v>2321.742291</v>
      </c>
      <c r="P199" s="3">
        <f>2972.2+(296-279.6)+(1.515822+(0.15096-0.142596))+0-604.3-0.308192999999939</f>
        <v>2385.515993</v>
      </c>
      <c r="Q199" s="3">
        <f>2907.1+(363.8-398.5)+(0+(0-0))+0-439.4-0</f>
        <v>2433</v>
      </c>
      <c r="R199" s="3">
        <f>2906.6+(531-759.8)+(-1.482366+(-0.27081--0.387498))+0-384.5--0.196094999999961</f>
        <v>2292.1304169999999</v>
      </c>
      <c r="S199" s="3">
        <f>2910.1+(797.3-898)+(4.452453+(1.219869-1.37394))+0-468.1-0.716193000000027</f>
        <v>2344.8821889999995</v>
      </c>
      <c r="T199" s="3">
        <f>2907.5+(866.1-731.5)+(-1.482825+(-0.441711--0.373065))+0-689.2--0.35149199999993</f>
        <v>2351.7000209999997</v>
      </c>
      <c r="U199" s="3">
        <f>2925.3+(876.9-842.2)+(-5.967612+(-1.788876--1.718088))+0-588.4--1.20033599999997</f>
        <v>2366.7619359999999</v>
      </c>
      <c r="V199" s="3">
        <f>2933+(665.6-719.1)+(-4.48749+(-1.018368--1.100223))+0-573.1--0.876843000000033</f>
        <v>2302.871208</v>
      </c>
      <c r="W199" s="3">
        <f>2951.8+(532.3-472.4)+(-4.516254+(-0.814419--0.722772))+0-682.1--1.04361300000004</f>
        <v>2326.0357120000003</v>
      </c>
      <c r="X199" s="3">
        <f>2974.8+(798.4-545.1)+(1.517148+(0.407184-0.278001))+0-584.9-0.298298999999941</f>
        <v>2644.5480320000001</v>
      </c>
      <c r="Y199" s="3">
        <f>3006+(765.4-676.2)+(-6.13224+(-1.561416--1.379448))+0-548.1--1.11812399999998</f>
        <v>2541.9039160000002</v>
      </c>
      <c r="Z199" s="3">
        <f>2991.4+(825.8-773.3)+(1.525614+(0.421158-0.394383))+0-659.1-0.336140999999933</f>
        <v>2386.0162480000004</v>
      </c>
      <c r="AA199" s="3">
        <f>3014.2+(860.1-896.3)+(-4.611726+(-1.315953--1.371339))+0-651.6--0.996948000000038</f>
        <v>2322.840608</v>
      </c>
      <c r="AB199" s="3">
        <f>3011.2+(724.6-838.9)+(-6.142848+(-1.478184--1.711356))+0-683--1.39331999999997</f>
        <v>2209.3836439999995</v>
      </c>
      <c r="AC199" s="3">
        <f>2983.9+(681-980.5)+(-3.043578+(-0.69462--1.00011))+0-631.6--0.644232000000101</f>
        <v>2050.7061440000002</v>
      </c>
      <c r="AD199">
        <f t="shared" si="3"/>
        <v>51743.237811999999</v>
      </c>
      <c r="AE199" s="3">
        <f>2993+(957.6-574.3)+(0+(0-0))+0-795.6-0</f>
        <v>2580.7000000000003</v>
      </c>
    </row>
    <row r="200" spans="1:31" s="2" customFormat="1" x14ac:dyDescent="0.25">
      <c r="A200">
        <v>89</v>
      </c>
      <c r="B200">
        <v>7</v>
      </c>
      <c r="C200">
        <v>14</v>
      </c>
      <c r="D200">
        <v>5</v>
      </c>
      <c r="E200">
        <v>1</v>
      </c>
      <c r="F200" s="3">
        <f>2863.9+(738.4-1131.7)+(-2.921178+(-0.753168--1.154334))+0-580.4--0.592008000000093</f>
        <v>1888.2719959999999</v>
      </c>
      <c r="G200" s="3">
        <f>2860.4+(737.7-1177.5)+(-1.458804+(-0.376227--0.600525))+0-581.9--0.296768999999941</f>
        <v>1837.7622630000005</v>
      </c>
      <c r="H200" s="3">
        <f>2862.3+(825.3-1313.1)+(-4.379319+(-1.262709--2.009043))+0-580.6--0.888318000000034</f>
        <v>1791.1553329999999</v>
      </c>
      <c r="I200" s="3">
        <f>2682.9+(923.5-1176.8)+(-2.736558+(-0.94197--1.200336))+0-648.4--0.661368000000103</f>
        <v>1779.3831760000003</v>
      </c>
      <c r="J200" s="3">
        <f>2681+(734.1-1024)+(-1.36731+(-0.374391--0.52224))+0-615.7--0.314006999999938</f>
        <v>1774.4945459999997</v>
      </c>
      <c r="K200" s="3">
        <f>2529.4+(675.9-849.9)+(-5.159976+(-1.378836--1.733796))+0-563.6--1.14974399999998</f>
        <v>1788.1447280000004</v>
      </c>
      <c r="L200" s="3">
        <f>2519.3+(524.3-722.3)+(-1.284843+(-0.267393--0.368373))+0-545.5--0.278204999999945</f>
        <v>1774.8943419999998</v>
      </c>
      <c r="M200" s="3">
        <f>2598.8+(364.5-394.7)+(1.325388+(0.185895-0.201297))+0-606.3-0.309212999999938</f>
        <v>1963.3007730000006</v>
      </c>
      <c r="N200" s="3">
        <f>2959.3+(205.1-422.4)+(3.018486+(0.209202-0.430848))+0-575.1-0.586602000000092</f>
        <v>2169.1102379999998</v>
      </c>
      <c r="O200" s="3">
        <f>3025.3+(257.2-515.5)+(-1.542903+(-0.131172--0.262905))+0-510.9--0.260558999999948</f>
        <v>2254.9493889999999</v>
      </c>
      <c r="P200" s="3">
        <f>3004.2+(569.3-598.3)+(-4.596426+(-0.871029--0.915399))+0-494.4--0.756432000000029</f>
        <v>2477.0043759999999</v>
      </c>
      <c r="Q200" s="3">
        <f>2988+(660.8-710.3)+(0+(0-0))+0-494.1-0</f>
        <v>2444.4</v>
      </c>
      <c r="R200" s="3">
        <f>2972+(759.1-952.6)+(1.51572+(0.387141-0.485826))+0-461.2-0.235211999999953</f>
        <v>2318.4818230000001</v>
      </c>
      <c r="S200" s="3">
        <f>2955.4+(925.4-1038.3)+(1.507254+(0.471954-0.529533))+0-517.2-0.263771999999948</f>
        <v>2326.4859030000002</v>
      </c>
      <c r="T200" s="3">
        <f>2892.4+(869.9-917.5)+(-7.37562+(-2.218245--2.339625))+0-486.4--1.24031999999993</f>
        <v>2352.3860799999998</v>
      </c>
      <c r="U200" s="3">
        <f>2896.1+(864.8-893.4)+(-2.954022+(-0.882096--0.911268))+0-584.9--0.596598000000093</f>
        <v>2280.2717480000001</v>
      </c>
      <c r="V200" s="3">
        <f>2854.9+(757.5-736.4)+(-5.823996+(-1.5453--1.502256))+0-506--1.03223999999998</f>
        <v>2365.1651999999999</v>
      </c>
      <c r="W200" s="3">
        <f>2843.6+(624.5-610.8)+(-1.450236+(-0.318495--0.311508))+0-566.3--0.288812999999943</f>
        <v>2289.8315900000007</v>
      </c>
      <c r="X200" s="3">
        <f>3018.3+(677.1-566.5)+(-3.078666+(-0.690642--0.57783))+0-520.2--0.530604000000083</f>
        <v>2606.0391260000001</v>
      </c>
      <c r="Y200" s="3">
        <f>3064.7+(623.8-708.7)+(-6.251988+(-1.272552--1.445748))+0-552.6--1.12730399999998</f>
        <v>2422.2485120000001</v>
      </c>
      <c r="Z200" s="3">
        <f>3063.2+(462.6-619.3)+(-3.124464+(-0.471852--0.631686))+0-507.9--0.518058000000081</f>
        <v>2396.1534280000001</v>
      </c>
      <c r="AA200" s="3">
        <f>3055.5+(624.1-846.9)+(-10.908135+(-2.228037--3.023433))+0-522.2--1.86425400000001</f>
        <v>2302.2515149999999</v>
      </c>
      <c r="AB200" s="3">
        <f>2967.1+(685.9-934.1)+(-3.026442+(-0.699618--0.952782))+0-529.8--0.540396000000084</f>
        <v>2186.8671179999997</v>
      </c>
      <c r="AC200" s="3">
        <f>2884.7+(613.5-978.3)+(-5.884788+(-1.25154--1.995732))+0-430.9--0.879035999999981</f>
        <v>2084.7384399999992</v>
      </c>
      <c r="AD200">
        <f t="shared" si="3"/>
        <v>51873.791643000011</v>
      </c>
      <c r="AE200" s="3">
        <f>3038+(698.3-660.3)+(0+(0-0))+0-572.5-0</f>
        <v>2503.5</v>
      </c>
    </row>
    <row r="201" spans="1:31" s="2" customFormat="1" x14ac:dyDescent="0.25">
      <c r="A201">
        <v>89</v>
      </c>
      <c r="B201">
        <v>7</v>
      </c>
      <c r="C201">
        <v>15</v>
      </c>
      <c r="D201">
        <v>6</v>
      </c>
      <c r="E201">
        <v>1</v>
      </c>
      <c r="F201" s="3">
        <f>2768.9+(728-1005.2)+(-4.236417+(-1.11384--1.537956))+0-596.7--0.912951000000035</f>
        <v>1892.1006499999999</v>
      </c>
      <c r="G201" s="3">
        <f>2700.2+(809.6-1016.4)+(-1.377102+(-0.412896--0.518364))+0-700.7--0.357356999999929</f>
        <v>1791.7857229999993</v>
      </c>
      <c r="H201" s="3">
        <f>2711.3+(719.3-1023.6)+(-4.148289+(-1.100529--1.566108))+0-650.7--0.995571000000038</f>
        <v>1753.6128609999998</v>
      </c>
      <c r="I201" s="3">
        <f>2715.3+(679.1-953.6)+(-6.924015+(-1.731705--2.43168))+0-702.7--1.7918849999999</f>
        <v>1733.6678449999999</v>
      </c>
      <c r="J201" s="3">
        <f>2555.9+(761.1-901.8)+(-1.303509+(-0.388161--0.459918))+0-667.5--0.340424999999932</f>
        <v>1746.808673</v>
      </c>
      <c r="K201" s="3">
        <f>2352.2+(722.6-790.3)+(-3.598866+(-1.105578--1.209159))+0-528.2--0.808146000000031</f>
        <v>1753.6128610000001</v>
      </c>
      <c r="L201" s="3">
        <f>2349.4+(475.9-606.7)+(2.396388+(0.485418-0.618834))+0-474.6-0.484092000000076</f>
        <v>1745.7788799999998</v>
      </c>
      <c r="M201" s="3">
        <f>2402.7+(501.1-413.6)+(1.225377+(0.255561-0.210936))+0-547.3-0.279122999999944</f>
        <v>1943.890879</v>
      </c>
      <c r="N201" s="3">
        <f>2650.9+(591.1-478.8)+(-1.351959+(-0.301461--0.244188))+0-629.8--0.321197999999936</f>
        <v>2132.3119660000007</v>
      </c>
      <c r="O201" s="3">
        <f>2728.6+(623.2-374.7)+(0+(0-0))+0-720.7-0</f>
        <v>2256.3999999999996</v>
      </c>
      <c r="P201" s="3">
        <f>2802.7+(492.9-427.3)+(-1.429377+(-0.251379--0.217923))+0-548.2--0.279581999999944</f>
        <v>2318.916749</v>
      </c>
      <c r="Q201" s="3">
        <f>2784.8+(740.4-409.8)+(-1.420248+(-0.377604--0.208998))+0-753--0.384029999999924</f>
        <v>2361.1951759999997</v>
      </c>
      <c r="R201" s="3">
        <f>2775.5+(929.4-797.5)+(-4.246515+(-1.421982--1.220175))+0-699.4--1.07008200000004</f>
        <v>2204.62176</v>
      </c>
      <c r="S201" s="3">
        <f>2766.2+(1170.2-952.5)+(-2.821524+(-1.193604--0.97155))+0-721.4--0.735828000000115</f>
        <v>2260.1922500000001</v>
      </c>
      <c r="T201" s="3">
        <f>2765.4+(1032.8-853.2)+(-5.641416+(-2.106912--1.740528))+0-729.4--1.48797599999997</f>
        <v>2211.0801759999999</v>
      </c>
      <c r="U201" s="3">
        <f>2753.7+(839.8-787.2)+(-9.830709+(-2.998086--2.810304))+0-627.7--2.24088900000001</f>
        <v>2170.8223979999998</v>
      </c>
      <c r="V201" s="3">
        <f>2641.1+(807.7-601.9)+(-2.693922+(-0.823854--0.613938))+0-703.7--0.717774000000112</f>
        <v>2141.0139359999998</v>
      </c>
      <c r="W201" s="3">
        <f>2683.9+(590.4-457.3)+(-2.737578+(-0.602208--0.466446))+0-674.1--0.687582000000108</f>
        <v>2140.714242</v>
      </c>
      <c r="X201" s="3">
        <f>2834.3+(653.5-472.4)+(-4.336479+(-0.999855--0.722772))+0-602.7--0.922131000000035</f>
        <v>2409.0085690000001</v>
      </c>
      <c r="Y201" s="3">
        <f>2867.3+(629.1-534.7)+(-4.386969+(-0.962523--0.818091))+0-530.7--0.811971000000031</f>
        <v>2427.2805699999999</v>
      </c>
      <c r="Z201" s="3">
        <f>2865.1+(542.8-479.5)+(1.461201+(0.276828-0.244545))+0-724.3-0.369392999999926</f>
        <v>2205.224091</v>
      </c>
      <c r="AA201" s="3">
        <f>2867.5+(470.9-567.6)+(-5.8497+(-0.960636--1.157904))+0-579.7--1.18258799999997</f>
        <v>2186.6301560000006</v>
      </c>
      <c r="AB201" s="3">
        <f>2797.1+(610.4-660.8)+(-2.853042+(-0.622608--0.674016))+0-674.1--0.687582000000108</f>
        <v>2070.485948</v>
      </c>
      <c r="AC201" s="3">
        <f>2721.4+(627.7-693.8)+(-5.551656+(-1.280508--1.415352))+0-698.5--1.42493999999997</f>
        <v>1952.8081280000001</v>
      </c>
      <c r="AD201">
        <f t="shared" si="3"/>
        <v>49809.964486999997</v>
      </c>
      <c r="AE201" s="3">
        <f>2840+(694.6-467)+(0+(0-0))+0-517.3-0</f>
        <v>2550.3000000000002</v>
      </c>
    </row>
    <row r="202" spans="1:31" s="2" customFormat="1" x14ac:dyDescent="0.25">
      <c r="A202">
        <v>89</v>
      </c>
      <c r="B202">
        <v>7</v>
      </c>
      <c r="C202">
        <v>16</v>
      </c>
      <c r="D202">
        <v>7</v>
      </c>
      <c r="E202">
        <v>1</v>
      </c>
      <c r="F202" s="3">
        <f>2701+(671.6-863.2)+(-4.13253+(-1.027548--1.320696))+0-665.7--1.01852100000004</f>
        <v>1840.8791389999999</v>
      </c>
      <c r="G202" s="3">
        <f>2571.7+(825.4-865.1)+(-1.311567+(-0.420954--0.441201))+0-792.5--0.40417499999992</f>
        <v>1738.6128550000001</v>
      </c>
      <c r="H202" s="3">
        <f>2439.5+(780.4-848.3)+(0+(0-0))+0-694.7-0</f>
        <v>1676.8999999999999</v>
      </c>
      <c r="I202" s="3">
        <f>2379.8+(780-756.7)+(1.213698+(0.3978-0.385917))+0-773.2-0.394331999999922</f>
        <v>1630.7312490000006</v>
      </c>
      <c r="J202" s="3">
        <f>2381.7+(626.7-670.5)+(0+(0-0))+0-710.4-0</f>
        <v>1627.4999999999995</v>
      </c>
      <c r="K202" s="3">
        <f>2343.9+(617.9-621.8)+(-5.976945+(-1.575645--1.58559))+0-730.6--1.86302999999989</f>
        <v>1605.29603</v>
      </c>
      <c r="L202" s="3">
        <f>2096.7+(704.4-588.1)+(-5.346585+(-1.79622--1.499655))+0-684.5--1.7454749999999</f>
        <v>1524.6023250000001</v>
      </c>
      <c r="M202" s="3">
        <f>2065.8+(610.3-453.5)+(3.160674+(0.933759-0.693855))+0-651.5-0.996795000000038</f>
        <v>1573.5037830000006</v>
      </c>
      <c r="N202" s="3">
        <f>2057.2+(843.7-483.2)+(-2.098344+(-0.860574--0.492864))+0-749--0.763980000000119</f>
        <v>1666.997926</v>
      </c>
      <c r="O202" s="3">
        <f>2126+(774.3-455)+(-2.16852+(-0.789786--0.4641))+0-676.2--0.689724000000108</f>
        <v>1767.2955180000004</v>
      </c>
      <c r="P202" s="3">
        <f>2250.5+(663.1-432.7)+(-3.443265+(-1.014543--0.662031))+0-634.9--0.971397000000037</f>
        <v>1843.1756200000002</v>
      </c>
      <c r="Q202" s="3">
        <f>2391.7+(820.7-674.9)+(-1.219767+(-0.418557--0.344199))+0-663.5--0.338384999999933</f>
        <v>1873.0442600000001</v>
      </c>
      <c r="R202" s="3">
        <f>2516.8+(861.3-869.6)+(-3.850704+(-1.317789--1.330488))+0-642.8--0.983484000000037</f>
        <v>1862.8454790000001</v>
      </c>
      <c r="S202" s="3">
        <f>2614.5+(1009.3-1097)+(0+(0-0))+0-697-0</f>
        <v>1829.8000000000002</v>
      </c>
      <c r="T202" s="3">
        <f>2605.4+(959.2-1152.8)+(-3.986262+(-1.467576--1.763784))+0-619.1--0.947223000000036</f>
        <v>1789.9571690000002</v>
      </c>
      <c r="U202" s="3">
        <f>2602.9+(809.5-1076.2)+(-5.309916+(-1.65138--2.195448))+0-663.7--1.35394799999997</f>
        <v>1669.0880999999997</v>
      </c>
      <c r="V202" s="3">
        <f>2616.8+(640.6-826.7)+(-5.338272+(-1.306824--1.686468))+0-699--1.42595999999997</f>
        <v>1728.1673320000004</v>
      </c>
      <c r="W202" s="3">
        <f>2632.9+(437.9-518.8)+(-6.713895+(-1.116645--1.32294))+0-734.3--1.87246499999989</f>
        <v>1813.0648650000001</v>
      </c>
      <c r="X202" s="3">
        <f>2678.8+(422.6-444.4)+(-5.464752+(-0.862104--0.906576))+0-595.3--1.21441199999997</f>
        <v>2057.4941320000003</v>
      </c>
      <c r="Y202" s="3">
        <f>2703.2+(521.7-521.4)+(-2.757264+(-0.532134--0.531828))+0-644.2--0.657084000000103</f>
        <v>2057.1995139999995</v>
      </c>
      <c r="Z202" s="3">
        <f>2688+(584.5-554.3)+(-4.11264+(-0.894285--0.848079))+0-687.7--1.05218100000004</f>
        <v>2027.393335</v>
      </c>
      <c r="AA202" s="3">
        <f>2633.2+(739.2-701.3)+(-4.028796+(-1.130976--1.072989))+0-622.4--0.952272000000036</f>
        <v>2045.5654889999996</v>
      </c>
      <c r="AB202" s="3">
        <f>2636.3+(780.5-890.6)+(-6.722565+(-1.990275--2.27103))+0-568.6--1.44992999999992</f>
        <v>1952.6081200000006</v>
      </c>
      <c r="AC202" s="3">
        <f>2619.4+(874-988.1)+(-2.671788+(-0.89148--1.007862))+0-674.4--0.687888000000108</f>
        <v>1829.0324820000003</v>
      </c>
      <c r="AD202">
        <f t="shared" si="3"/>
        <v>43030.754722000005</v>
      </c>
      <c r="AE202" s="3">
        <f>2673+(484.9-529.3)+(0+(0-0))+0-577.5-0</f>
        <v>2051.1</v>
      </c>
    </row>
    <row r="203" spans="1:31" s="2" customFormat="1" x14ac:dyDescent="0.25">
      <c r="A203">
        <v>89</v>
      </c>
      <c r="B203">
        <v>7</v>
      </c>
      <c r="C203">
        <v>17</v>
      </c>
      <c r="D203">
        <v>1</v>
      </c>
      <c r="E203">
        <v>1</v>
      </c>
      <c r="F203" s="3">
        <f>2578.7+(1018-1190.4)+(-6.575685+(-2.5959--3.03552))+0-692.9--1.7668949999999</f>
        <v>1709.0308299999995</v>
      </c>
      <c r="G203" s="3">
        <f>2292.4+(1124.2-1008.1)+(-5.84562+(-2.86671--2.570655))+0-775.8--1.97828999999989</f>
        <v>1628.536615</v>
      </c>
      <c r="H203" s="3">
        <f>2290.7+(1051.8-1007.7)+(-1.168257+(-0.536418--0.513927))+0-742.3--0.378572999999925</f>
        <v>1591.6878249999997</v>
      </c>
      <c r="I203" s="3">
        <f>2304.8+(899.5-880.7)+(-4.701792+(-1.83498--1.796628))+0-747.1--1.52408399999997</f>
        <v>1573.2839400000005</v>
      </c>
      <c r="J203" s="3">
        <f>2317.2+(696.6-738.7)+(-1.181772+(-0.355266--0.376737))+0-705.2--0.359651999999928</f>
        <v>1569.0993509999998</v>
      </c>
      <c r="K203" s="3">
        <f>2288.2+(641.1-601.8)+(0+(0-0))+0-732.8-0</f>
        <v>1594.7</v>
      </c>
      <c r="L203" s="3">
        <f>2129.5+(602.3-350.1)+(1.086045+(0.307173-0.178551))+0-729.3-0.371942999999926</f>
        <v>1653.2427240000002</v>
      </c>
      <c r="M203" s="3">
        <f>2108.6+(730.4-294.9)+(-1.075386+(-0.372504--0.150399))+0-672.8--0.343127999999932</f>
        <v>1870.3456370000001</v>
      </c>
      <c r="N203" s="3">
        <f>2536.9+(498.4-292.2)+(-1.293819+(-0.254184--0.149022))+0-654--0.333539999999934</f>
        <v>2088.0345590000002</v>
      </c>
      <c r="O203" s="3">
        <f>2626.6+(636.6-370.2)+(-2.679132+(-0.649332--0.377604))+0-662.9--0.676158000000106</f>
        <v>2227.8252980000002</v>
      </c>
      <c r="P203" s="3">
        <f>2642.9+(673.7-376.4)+(-1.347879+(-0.343587--0.191964))+0-628.9--0.320738999999936</f>
        <v>2310.1212369999998</v>
      </c>
      <c r="Q203" s="3">
        <f>2781+(654.8-420.8)+(-2.83662+(-0.667896--0.429216))+0-682.8--0.696456000000109</f>
        <v>2329.8211560000004</v>
      </c>
      <c r="R203" s="3">
        <f>2776.9+(696.3-562.8)+(-1.416219+(-0.355113--0.287028))+0-665.2--0.339251999999933</f>
        <v>2244.054948</v>
      </c>
      <c r="S203" s="3">
        <f>2765.4+(871.6-763.5)+(-2.820708+(-0.889032--0.77877))+0-671.7--0.685134000000107</f>
        <v>2199.5541640000001</v>
      </c>
      <c r="T203" s="3">
        <f>2759.4+(936.5-801.6)+(-2.814588+(-0.95523--0.817632))+0-635.6--0.648312000000101</f>
        <v>2256.3961260000005</v>
      </c>
      <c r="U203" s="3">
        <f>2757.1+(975-776.5)+(-5.624484+(-1.989--1.58406))+0-698.1--1.42412399999997</f>
        <v>2252.8947000000003</v>
      </c>
      <c r="V203" s="3">
        <f>2724.8+(775.6-539.7)+(-8.337888+(-2.373336--1.651482))+0-657.7--2.01256200000008</f>
        <v>2295.9528200000004</v>
      </c>
      <c r="W203" s="3">
        <f>2714.7+(618.5-417.9)+(-2.768994+(-0.63087--0.426258))+0-615.3--0.627606000000098</f>
        <v>2297.6539999999995</v>
      </c>
      <c r="X203" s="3">
        <f>2820.5+(852-430.3)+(-4.315365+(-1.30356--0.658359))+0-745--1.13985000000004</f>
        <v>2493.3792839999996</v>
      </c>
      <c r="Y203" s="3">
        <f>2843.3+(856.6-574.8)+(-7.250415+(-2.18433--1.46574))+0-716.4--1.8268199999999</f>
        <v>2402.5578150000001</v>
      </c>
      <c r="Z203" s="3">
        <f>2844.7+(844.6-669.6)+(-4.352391+(-1.292238--1.024488))+0-707--1.08171000000004</f>
        <v>2309.1615689999999</v>
      </c>
      <c r="AA203" s="3">
        <f>2826.7+(916.4-797.7)+(-7.208085+(-2.33682--2.034135))+0-687.4--1.7528699999999</f>
        <v>2252.2420999999995</v>
      </c>
      <c r="AB203" s="3">
        <f>2849+(851.9-814.8)+(-7.26495+(-2.172345--2.07774))+0-758.9--1.93519499999989</f>
        <v>2121.7756399999998</v>
      </c>
      <c r="AC203" s="3">
        <f>2844.4+(534.1-763.5)+(0+(0-0))+0-649-0</f>
        <v>1966</v>
      </c>
      <c r="AD203">
        <f t="shared" si="3"/>
        <v>49237.352338000019</v>
      </c>
      <c r="AE203" s="3">
        <f>2818+(974.3-477.2)+(0+(0-0))+0-674.6-0</f>
        <v>2640.5</v>
      </c>
    </row>
    <row r="204" spans="1:31" s="2" customFormat="1" x14ac:dyDescent="0.25">
      <c r="A204">
        <v>89</v>
      </c>
      <c r="B204">
        <v>7</v>
      </c>
      <c r="C204">
        <v>18</v>
      </c>
      <c r="D204">
        <v>2</v>
      </c>
      <c r="E204">
        <v>1</v>
      </c>
      <c r="F204" s="3">
        <f>2843+(751.8-998.3)+(0+(0-0))+0-679.6-0</f>
        <v>1916.9</v>
      </c>
      <c r="G204" s="3">
        <f>2704.9+(720.5-955.2)+(0+(0-0))+0-720.4-0</f>
        <v>1749.7999999999997</v>
      </c>
      <c r="H204" s="3">
        <f>2675.9+(750-1017.5)+(0+(0-0))+0-696-0</f>
        <v>1712.4</v>
      </c>
      <c r="I204" s="3">
        <f>2582.6+(642.7-740.4)+(0+(0-0))+0-803.2-0</f>
        <v>1681.7</v>
      </c>
      <c r="J204" s="3">
        <f>2426.6+(575.4-644.8)+(0+(0-0))+0-673.3-0</f>
        <v>1683.8999999999999</v>
      </c>
      <c r="K204" s="3">
        <f>2346.8+(595.3-534.2)+(0+(0-0))+0-707.2-0</f>
        <v>1700.7</v>
      </c>
      <c r="L204" s="3">
        <f>2195.2+(425.9-362.5)+(0+(0-0))+0-567.1-0</f>
        <v>1691.5</v>
      </c>
      <c r="M204" s="3">
        <f>2379.3+(318.9-277.3)+(0+(0-0))+0-541.5-0</f>
        <v>1879.4</v>
      </c>
      <c r="N204" s="3">
        <f>2692.4+(308.1-305.8)+(0+(0-0))+0-584.6-0</f>
        <v>2110.1000000000004</v>
      </c>
      <c r="O204" s="3">
        <f>2670.7+(493.3-270.2)+(0+(0-0))+0-668.2-0</f>
        <v>2225.5999999999995</v>
      </c>
      <c r="P204" s="3">
        <f>2733.1+(442.8-346.1)+(0+(0-0))+0-531.2-0</f>
        <v>2298.5999999999995</v>
      </c>
      <c r="Q204" s="3">
        <f>2759.3+(647.7-490.3)+(0+(0-0))+0-577.7-0</f>
        <v>2339</v>
      </c>
      <c r="R204" s="3">
        <f>2750.6+(733.2-809.7)+(-1.402806+(-0.373932--0.412947))+0-488.8--0.24928799999995</f>
        <v>2184.1854969999995</v>
      </c>
      <c r="S204" s="3">
        <f>2746.4+(810.4-945.7)+(-2.801328+(-0.826608--0.964614))+0-416.9--0.425238000000066</f>
        <v>2191.9619160000002</v>
      </c>
      <c r="T204" s="3">
        <f>2733.7+(824.8-768)+(-2.788374+(-0.841296--0.78336))+0-549.4--0.560388000000088</f>
        <v>2238.8140779999999</v>
      </c>
      <c r="U204" s="3">
        <f>2736.8+(763.4-674.3)+(-5.583072+(-1.557336--1.375572))+0-582.9--1.18911599999997</f>
        <v>2238.4242800000002</v>
      </c>
      <c r="V204" s="3">
        <f>2748.2+(663.9-606.6)+(-4.204746+(-1.015767--0.928098))+0-600.1--0.918153000000035</f>
        <v>2202.0257380000003</v>
      </c>
      <c r="W204" s="3">
        <f>2786.2+(557.7-374.3)+(0+(0-0))+0-559.8-0</f>
        <v>2409.8000000000002</v>
      </c>
      <c r="X204" s="3">
        <f>2819.2+(701.2-390.7)+(-1.437792+(-0.357612--0.199257))+0-616.5--0.314414999999937</f>
        <v>2511.9182679999994</v>
      </c>
      <c r="Y204" s="3">
        <f>2832.6+(777.4-554.2)+(-4.333878+(-1.189422--0.847926))+0-609.1--0.931923000000035</f>
        <v>2442.956549</v>
      </c>
      <c r="Z204" s="3">
        <f>2826.8+(747.6-714)+(-8.650008+(-2.287656--2.18484))+0-529.9--1.62149400000006</f>
        <v>2323.3686699999998</v>
      </c>
      <c r="AA204" s="3">
        <f>2823.8+(792.1-882.7)+(-2.880276+(-0.807942--0.900354))+0-463.5--0.472770000000074</f>
        <v>2267.3849060000002</v>
      </c>
      <c r="AB204" s="3">
        <f>2790.8+(813.9-811.3)+(-8.539848+(-2.490534--2.482578))+0-639.7--1.95748200000007</f>
        <v>2147.1096780000003</v>
      </c>
      <c r="AC204" s="3">
        <f>2593.1+(931.9-826.2)+(-6.612405+(-2.376345--2.10681))+0-719.2--1.8339599999999</f>
        <v>1974.5520199999994</v>
      </c>
      <c r="AD204">
        <f t="shared" si="3"/>
        <v>50122.101600000009</v>
      </c>
      <c r="AE204" s="3">
        <f>2827+(701.2-482.7)+(0+(0-0))+0-606.9-0</f>
        <v>2438.6</v>
      </c>
    </row>
    <row r="205" spans="1:31" s="2" customFormat="1" x14ac:dyDescent="0.25">
      <c r="A205">
        <v>89</v>
      </c>
      <c r="B205">
        <v>7</v>
      </c>
      <c r="C205">
        <v>19</v>
      </c>
      <c r="D205">
        <v>3</v>
      </c>
      <c r="E205">
        <v>1</v>
      </c>
      <c r="F205" s="3">
        <f>2441.2+(870.5-873.8)+(1.245012+(0.443955-0.445638))+0-608.1-0.310130999999938</f>
        <v>1830.7331979999997</v>
      </c>
      <c r="G205" s="3">
        <f>2348.3+(916.3-758.2)+(-4.790532+(-1.869252--1.546728))+0-757.8--1.54591199999997</f>
        <v>1745.032856</v>
      </c>
      <c r="H205" s="3">
        <f>2311.2+(802.3-874.1)+(-4.714848+(-1.636692--1.783164))+0-539.7--1.10098799999998</f>
        <v>1696.2326119999993</v>
      </c>
      <c r="I205" s="3">
        <f>2316.6+(730.4-800.5)+(-2.362932+(-0.745008--0.81651))+0-566--0.57732000000009</f>
        <v>1678.7858899999999</v>
      </c>
      <c r="J205" s="3">
        <f>2219.6+(701.1-623.6)+(-2.263992+(-0.715122--0.636072))+0-607.3--0.619446000000097</f>
        <v>1688.0764040000001</v>
      </c>
      <c r="K205" s="3">
        <f>2058.8+(808.2-474.2)+(1.049988+(0.412182-0.241842))+0-679.3-0.346442999999931</f>
        <v>1714.3738850000002</v>
      </c>
      <c r="L205" s="3">
        <f>1949.9+(697-405.7)+(-1.988898+(-0.71094--0.413814))+0-520.9--0.531318000000083</f>
        <v>1718.5452940000002</v>
      </c>
      <c r="M205" s="3">
        <f>1982.1+(747.1-254.1)+(1.010871+(0.381021-0.129591))+0-555-0.283049999999944</f>
        <v>1921.0792510000001</v>
      </c>
      <c r="N205" s="3">
        <f>2240.4+(772.9-210.3)+(-1.142604+(-0.394179--0.107253))+0-692.6--0.35322599999993</f>
        <v>2109.3236959999999</v>
      </c>
      <c r="O205" s="3">
        <f>2411.1+(782.3-250.5)+(0+(0-0))+0-719.4-0</f>
        <v>2223.4999999999995</v>
      </c>
      <c r="P205" s="3">
        <f>2449.2+(765.4-278.8)+(0+(0-0))+0-659.3-0</f>
        <v>2276.5</v>
      </c>
      <c r="Q205" s="3">
        <f>2434.5+(929.6-320.1)+(0+(0-0))+0-717.5-0</f>
        <v>2326.5</v>
      </c>
      <c r="R205" s="3">
        <f>2427.7+(991.9-593.3)+(-2.476254+(-1.011738--0.605166))+0-644.8--0.657696000000103</f>
        <v>2179.2748700000002</v>
      </c>
      <c r="S205" s="3">
        <f>2418+(1171.5-749.3)+(0+(0-0))+0-643.2-0</f>
        <v>2197</v>
      </c>
      <c r="T205" s="3">
        <f>2404.8+(1178.7-631.7)+(-2.452896+(-1.202274--0.644334))+0-725.5--0.740010000000116</f>
        <v>2224.0291740000002</v>
      </c>
      <c r="U205" s="3">
        <f>2403.9+(1140.4-623.6)+(-4.903956+(-2.326416--1.272144))+0-680.8--1.38883199999997</f>
        <v>2235.3306040000002</v>
      </c>
      <c r="V205" s="3">
        <f>2408.7+(984.7-506)+(-4.913748+(-2.008788--1.03224))+0-684.7--1.39678799999997</f>
        <v>2198.2064919999993</v>
      </c>
      <c r="W205" s="3">
        <f>2435.7+(896.5-341.7)+(2.484414+(0.91443-0.348534))+0-686.7-0.70043400000011</f>
        <v>2306.1498759999995</v>
      </c>
      <c r="X205" s="3">
        <f>2482.6+(1093.6-417.6)+(-3.798378+(-1.673208--0.638928))+0-685.8--1.04927400000004</f>
        <v>2469.0166159999999</v>
      </c>
      <c r="Y205" s="3">
        <f>2504.3+(1076.5-513.2)+(-5.108772+(-2.19606--1.046928))+0-666.3--1.35925199999997</f>
        <v>2396.4013480000003</v>
      </c>
      <c r="Z205" s="3">
        <f>2501.5+(1051.6-529.6)+(-3.827295+(-1.608948--0.810288))+0-714.9--1.09379700000004</f>
        <v>2305.0678419999999</v>
      </c>
      <c r="AA205" s="3">
        <f>2493.4+(1063.7-711.1)+(-2.543268+(-1.084974--0.725322))+0-597.3--0.609246000000095</f>
        <v>2246.4063260000003</v>
      </c>
      <c r="AB205" s="3">
        <f>2479.3+(1152.7-785.9)+(-2.528886+(-1.175754--0.801618))+0-718.4--0.732768000000115</f>
        <v>2125.5297460000006</v>
      </c>
      <c r="AC205" s="3">
        <f>2482.3+(1012.5-816.7)+(-1.265973+(-0.516375--0.416517))+0-693.6--0.35373599999993</f>
        <v>1983.4879050000004</v>
      </c>
      <c r="AD205">
        <f t="shared" si="3"/>
        <v>49794.583885</v>
      </c>
      <c r="AE205" s="3">
        <f>2477+(1105.6-458.1)+(0+(0-0))+0-598.7-0</f>
        <v>2525.8000000000002</v>
      </c>
    </row>
    <row r="206" spans="1:31" s="2" customFormat="1" x14ac:dyDescent="0.25">
      <c r="A206">
        <v>89</v>
      </c>
      <c r="B206">
        <v>7</v>
      </c>
      <c r="C206">
        <v>20</v>
      </c>
      <c r="D206">
        <v>4</v>
      </c>
      <c r="E206">
        <v>1</v>
      </c>
      <c r="F206" s="3">
        <f>2499.1+(854.6-901.6)+(-5.098164+(-1.743384--1.839264))+0-618.2--1.26112799999997</f>
        <v>1830.1588439999996</v>
      </c>
      <c r="G206" s="3">
        <f>2472.4+(833.4-746.1)+(-1.260924+(-0.425034--0.380511))+0-787.3--0.40152299999992</f>
        <v>1771.4960759999997</v>
      </c>
      <c r="H206" s="3">
        <f>2369.8+(779.4-761.9)+(-3.625794+(-1.192482--1.165707))+0-661--1.01133000000004</f>
        <v>1723.6587610000004</v>
      </c>
      <c r="I206" s="3">
        <f>2379.3+(760.5-713.9)+(-3.640329+(-1.163565--1.092267))+0-734.9--1.12439700000004</f>
        <v>1688.4127699999999</v>
      </c>
      <c r="J206" s="3">
        <f>2342.4+(767.1-675.1)+(-2.389248+(-0.782442--0.688602))+0-722.9--0.737358000000115</f>
        <v>1709.7542700000001</v>
      </c>
      <c r="K206" s="3">
        <f>2130.1+(928.5-546.9)+(0+(0-0))+0-786.3-0</f>
        <v>1725.3999999999999</v>
      </c>
      <c r="L206" s="3">
        <f>1996.8+(830-383.2)+(0+(0-0))+0-700.4-0</f>
        <v>1743.1999999999998</v>
      </c>
      <c r="M206" s="3">
        <f>2067.7+(824.2-301.9)+(1.054527+(0.420342-0.153969))+0-639.4-0.326093999999935</f>
        <v>1951.5948060000001</v>
      </c>
      <c r="N206" s="3">
        <f>2514+(431-220.5)+(0+(0-0))+0-610-0</f>
        <v>2114.5</v>
      </c>
      <c r="O206" s="3">
        <f>2513+(660-225)+(0+(0-0))+0-733-0</f>
        <v>2215</v>
      </c>
      <c r="P206" s="3">
        <f>2502+(722-304.5)+(-6.3801+(-1.8411--0.776475))+0-658--1.6778999999999</f>
        <v>2255.7331749999998</v>
      </c>
      <c r="Q206" s="3">
        <f>2265.7+(977-316.2)+(0+(0-0))+0-596-0</f>
        <v>2330.5</v>
      </c>
      <c r="R206" s="3">
        <f>2225.3+(1156.2-560.8)+(0+(0-0))+0-479.5-0</f>
        <v>2341.2000000000003</v>
      </c>
      <c r="S206" s="3">
        <f>2201.4+(1413.9-745.3)+(0+(0-0))+0-542.9-0</f>
        <v>2327.1</v>
      </c>
      <c r="T206" s="3">
        <f>2261.1+(1213.8-753.7)+(-5.765805+(-3.09519--1.921935))+0-306.3--0.781064999999956</f>
        <v>2408.7420049999996</v>
      </c>
      <c r="U206" s="3">
        <f>2471.7+(1107.6-830.9)+(-2.521134+(-1.129752--0.847518))+0-410.1--0.418302000000065</f>
        <v>2335.9149339999999</v>
      </c>
      <c r="V206" s="3">
        <f>2445+(966.7-606.4)+(-7.4817+(-2.958102--1.855584))+0-411.8--1.26010800000005</f>
        <v>2386.17589</v>
      </c>
      <c r="W206" s="3">
        <f>2322.3+(977-314.8)+(-4.737492+(-1.99308--0.642192))+0-502.6--1.02530399999998</f>
        <v>2476.8369239999997</v>
      </c>
      <c r="X206" s="3">
        <f>2534.7+(1019.4-459.7)+(-5.170788+(-2.079576--0.937788))+0-424--0.864959999999982</f>
        <v>2664.9523839999997</v>
      </c>
      <c r="Y206" s="3">
        <f>2586.4+(1045.2-513.1)+(-3.957192+(-1.599156--0.785043))+0-489.6--0.749088000000028</f>
        <v>2624.8777829999999</v>
      </c>
      <c r="Z206" s="3">
        <f>2583.6+(902-552.7)+(-3.952908+(-1.38006--0.845631))+0-467.4--0.715122000000027</f>
        <v>2461.7277849999996</v>
      </c>
      <c r="AA206" s="3">
        <f>2578.6+(984.2-580.4)+(-7.890516+(-3.011652--1.776024))+0-570.4--1.74542400000007</f>
        <v>2404.6192800000003</v>
      </c>
      <c r="AB206" s="3">
        <f>2511.4+(803.6-529)+(-5.123256+(-1.639344--1.07916))+0-540.4--1.10241599999998</f>
        <v>2241.0189760000003</v>
      </c>
      <c r="AC206" s="3">
        <f>2514.1+(740.4-517.8)+(-6.410955+(-1.88802--1.32039))+0-441.7--1.12633499999994</f>
        <v>2289.1477500000001</v>
      </c>
      <c r="AD206">
        <f t="shared" si="3"/>
        <v>52021.72241300001</v>
      </c>
      <c r="AE206" s="3">
        <f>2551+(1167.9-486.5)+(0+(0-0))+0-710-0</f>
        <v>2522.4</v>
      </c>
    </row>
    <row r="207" spans="1:31" s="2" customFormat="1" x14ac:dyDescent="0.25">
      <c r="A207">
        <v>89</v>
      </c>
      <c r="B207">
        <v>7</v>
      </c>
      <c r="C207">
        <v>21</v>
      </c>
      <c r="D207">
        <v>5</v>
      </c>
      <c r="E207">
        <v>1</v>
      </c>
      <c r="F207" s="3">
        <f>2509.4+(716.9-686.8)+(-1.279794+(-0.365619--0.350268))+0-674.8--0.344147999999932</f>
        <v>1863.7490029999999</v>
      </c>
      <c r="G207" s="3">
        <f>2529.4+(712.9-814.5)+(-3.869982+(-1.090737--1.246185))+0-712.1--1.08951300000004</f>
        <v>1713.0749790000002</v>
      </c>
      <c r="H207" s="3">
        <f>2538.2+(720.8-789.8)+(-3.883446+(-1.102824--1.208394))+0-684.6--1.04743800000004</f>
        <v>1781.8695619999999</v>
      </c>
      <c r="I207" s="3">
        <f>2450.2+(727.1-786.4)+(-3.748806+(-1.112463--1.203192))+0-715.7--1.09502100000004</f>
        <v>1672.6369439999996</v>
      </c>
      <c r="J207" s="3">
        <f>2341.6+(781.8-626.3)+(0+(0-0))+0-695.2-0</f>
        <v>1801.8999999999999</v>
      </c>
      <c r="K207" s="3">
        <f>2339.3+(599.6-525.6)+(-4.772172+(-1.223184--1.072224))+0-586.9--1.19727599999997</f>
        <v>1822.6741440000001</v>
      </c>
      <c r="L207" s="3">
        <f>2158.4+(588.6-369.4)+(-3.302352+(-0.900558--0.565182))+0-647.9--0.991287000000037</f>
        <v>1727.0535590000002</v>
      </c>
      <c r="M207" s="3">
        <f>2302+(550.1-315.4)+(2.34804+(0.561102-0.321708))+0-614.8-0.627096000000098</f>
        <v>1923.8603379999997</v>
      </c>
      <c r="N207" s="3">
        <f>2620.5+(398.5-304.5)+(-2.67291+(-0.40647--0.31059))+0-614.1--0.626382000000098</f>
        <v>2098.2575919999999</v>
      </c>
      <c r="O207" s="3">
        <f>2609.7+(533.3-262.7)+(-3.992841+(-0.815949--0.401931))+0-673.3--1.03014900000004</f>
        <v>2203.6232899999995</v>
      </c>
      <c r="P207" s="3">
        <f>2676.9+(407.8-270.4)+(-4.095657+(-0.623934--0.413712))+0-528.7--0.808911000000031</f>
        <v>2282.103032</v>
      </c>
      <c r="Q207" s="3">
        <f>2673.3+(574.3-351.9)+(1.363383+(0.292893-0.179469))+0-588-0.29987999999994</f>
        <v>2308.8769270000003</v>
      </c>
      <c r="R207" s="3">
        <f>2658.3+(680.9-533.2)+(-8.134398+(-2.083554--1.631592))+0-461.5--1.41219000000005</f>
        <v>2337.3258300000002</v>
      </c>
      <c r="S207" s="3">
        <f>2648.7+(842.5-633.1)+(-1.350837+(-0.429675--0.322881))+0-521.1--0.265760999999947</f>
        <v>2335.8081299999999</v>
      </c>
      <c r="T207" s="3">
        <f>2634.5+(859.3-673.2)+(-2.68719+(-0.876486--0.686664))+0-527.5--0.538050000000084</f>
        <v>2290.7610380000001</v>
      </c>
      <c r="U207" s="3">
        <f>2631.9+(722.2-516.1)+(-2.684538+(-0.736644--0.526422))+0-455.2--0.464304000000073</f>
        <v>2380.3695440000001</v>
      </c>
      <c r="V207" s="3">
        <f>2643.1+(416.3-345.4)+(-5.391924+(-0.849252--0.704616))+0-595.6--1.21502399999997</f>
        <v>2114.0784640000002</v>
      </c>
      <c r="W207" s="3">
        <f>2608.7+(349.9-148)+(-1.330437+(-0.178449--0.07548))+0-512.2--0.261221999999948</f>
        <v>2297.2278159999996</v>
      </c>
      <c r="X207" s="3">
        <f>2694.8+(663.7-238.4)+(-5.497392+(-1.353948--0.486336))+0-550.6--1.12322399999998</f>
        <v>2564.2582200000002</v>
      </c>
      <c r="Y207" s="3">
        <f>2721.2+(652.9-324.4)+(-5.551248+(-1.331916--0.661776))+0-490.7--1.00102799999998</f>
        <v>2553.7796400000002</v>
      </c>
      <c r="Z207" s="3">
        <f>2724.4+(529.2-346.4)+(-6.94722+(-1.34946--0.88332))+0-501.4--1.27856999999993</f>
        <v>2399.6652100000001</v>
      </c>
      <c r="AA207" s="3">
        <f>2699.6+(582.3-350.4)+(-4.130388+(-0.890919--0.536112))+0-495.8--0.758574000000029</f>
        <v>2431.9733789999996</v>
      </c>
      <c r="AB207" s="3">
        <f>2639+(513.6-356.6)+(-4.03767+(-0.785808--0.545598))+0-534.1--0.817173000000031</f>
        <v>2258.4392929999999</v>
      </c>
      <c r="AC207" s="3">
        <f>2519.3+(474-400.4)+(-6.424215+(-1.2087--1.02102))+0-489--1.24694999999993</f>
        <v>2098.5350549999998</v>
      </c>
      <c r="AD207">
        <f t="shared" si="3"/>
        <v>51261.900989000009</v>
      </c>
      <c r="AE207" s="3">
        <f>2703+(810.5-275)+(0+(0-0))+0-719.5-0</f>
        <v>2519</v>
      </c>
    </row>
    <row r="208" spans="1:31" s="2" customFormat="1" x14ac:dyDescent="0.25">
      <c r="A208">
        <v>89</v>
      </c>
      <c r="B208">
        <v>7</v>
      </c>
      <c r="C208">
        <v>22</v>
      </c>
      <c r="D208">
        <v>6</v>
      </c>
      <c r="E208">
        <v>1</v>
      </c>
      <c r="F208" s="3">
        <f>2412.8+(514.1-495.2)+(-8.613696+(-1.835337--1.767864))+0-618.9--2.20947300000001</f>
        <v>1806.3283040000003</v>
      </c>
      <c r="G208" s="3">
        <f>2433.7+(579.9-633.9)+(-2.482374+(-0.591498--0.646578))+0-652.2--0.665244000000104</f>
        <v>1725.7379499999997</v>
      </c>
      <c r="H208" s="3">
        <f>2311.5+(601.2-436.1)+(-3.536595+(-0.919836--0.667233))+0-803.9--1.22996700000005</f>
        <v>1670.1407689999999</v>
      </c>
      <c r="I208" s="3">
        <f>2261.2+(480.7-411.2)+(-2.306424+(-0.490314--0.419424))+0-667.2--0.680544000000106</f>
        <v>1661.80323</v>
      </c>
      <c r="J208" s="3">
        <f>2150.4+(533.5-342.7)+(1.096704+(0.272085-0.174777))+0-686.3-0.35001299999993</f>
        <v>1655.7439990000003</v>
      </c>
      <c r="K208" s="3">
        <f>2153.4+(592.2-278.2)+(-3.294702+(-0.906066--0.425646))+0-793.2--1.21359600000005</f>
        <v>1671.6384740000001</v>
      </c>
      <c r="L208" s="3">
        <f>2128.9+(532.3-213.7)+(-2.171478+(-0.542946--0.217974))+0-805.5--0.821610000000128</f>
        <v>1640.3251600000001</v>
      </c>
      <c r="M208" s="3">
        <f>2299.2+(468.3-194.6)+(2.345184+(0.477666-0.198492))+0-697.9-0.711858000000111</f>
        <v>1876.9124999999995</v>
      </c>
      <c r="N208" s="3">
        <f>2675.3+(345.7-378.3)+(-1.364403+(-0.176307--0.192933))+0-706--0.360059999999928</f>
        <v>1935.7122830000003</v>
      </c>
      <c r="O208" s="3">
        <f>2706.2+(504.1-321.3)+(1.380162+(0.257091-0.163863))+0-648.4-0.330683999999934</f>
        <v>2241.742706</v>
      </c>
      <c r="P208" s="3">
        <f>2699.6+(446.4-184.3)+(-2.753592+(-0.455328--0.187986))+0-710.3--0.724506000000113</f>
        <v>2249.1035719999995</v>
      </c>
      <c r="Q208" s="3">
        <f>2679.6+(448.4-228.5)+(2.733192+(0.457368-0.23307))+0-632-0.644640000000101</f>
        <v>2269.8128499999998</v>
      </c>
      <c r="R208" s="3">
        <f>2671.2+(485.1-374.2)+(-9.536184+(-1.731807--1.335894))+0-635.4--2.26837800000001</f>
        <v>2139.0362810000001</v>
      </c>
      <c r="S208" s="3">
        <f>2655.7+(590.1-496.3)+(-8.126442+(-1.805706--1.518678))+0-631.5--1.93239000000007</f>
        <v>2111.51892</v>
      </c>
      <c r="T208" s="3">
        <f>2648.2+(698.5-567.3)+(-2.701164+(-0.71247--0.578646))+0-622.2--0.634644000000099</f>
        <v>2154.9996559999995</v>
      </c>
      <c r="U208" s="3">
        <f>2560.8+(587.6-492.8)+(-6.53004+(-1.49838--1.25664))+0-631.4--1.61006999999991</f>
        <v>2019.0382900000002</v>
      </c>
      <c r="V208" s="3">
        <f>2464.8+(599-410.8)+(1.257048+(0.30549-0.209508))+0-671.4-0.342413999999932</f>
        <v>1982.6106160000002</v>
      </c>
      <c r="W208" s="3">
        <f>2564.8+(486.9-295.2)+(-2.616096+(-0.496638--0.301104))+0-629.8--0.6423960000001</f>
        <v>2124.5307659999999</v>
      </c>
      <c r="X208" s="3">
        <f>2688.6+(573.6-383.6)+(-2.742372+(-0.585072--0.391272))+0-595.9--0.607818000000095</f>
        <v>2280.3716459999996</v>
      </c>
      <c r="Y208" s="3">
        <f>2714+(516-335.9)+(-5.53656+(-1.05264--0.685236))+0-726.6--1.48226399999997</f>
        <v>2163.0782999999997</v>
      </c>
      <c r="Z208" s="3">
        <f>2716.5+(476.4-388.8)+(-2.77083+(-0.485928--0.396576))+0-736.8--0.751536000000117</f>
        <v>2065.191354</v>
      </c>
      <c r="AA208" s="3">
        <f>2727.9+(392.5-381.5)+(-6.956145+(-1.000875--0.972825))+0-661.5--1.6868249999999</f>
        <v>2072.1026299999999</v>
      </c>
      <c r="AB208" s="3">
        <f>2687.7+(452.7-445.4)+(-1.370727+(-0.230877--0.227154))+0-644--0.328439999999935</f>
        <v>2049.95399</v>
      </c>
      <c r="AC208" s="3">
        <f>2663.9+(595.8-631.1)+(-8.151534+(-1.823148--1.931166))+0-679.1--2.07804600000008</f>
        <v>1943.5345299999999</v>
      </c>
      <c r="AD208">
        <f t="shared" si="3"/>
        <v>47510.968776000002</v>
      </c>
      <c r="AE208" s="3">
        <f>2698+(566.6-432.9)+(0+(0-0))+0-553.2-0</f>
        <v>2278.5</v>
      </c>
    </row>
    <row r="209" spans="1:31" s="2" customFormat="1" x14ac:dyDescent="0.25">
      <c r="A209">
        <v>89</v>
      </c>
      <c r="B209">
        <v>7</v>
      </c>
      <c r="C209">
        <v>23</v>
      </c>
      <c r="D209">
        <v>7</v>
      </c>
      <c r="E209">
        <v>1</v>
      </c>
      <c r="F209" s="3">
        <f>2577.1+(750.1-797.2)+(-2.628642+(-0.765102--0.813144))+0-723.8--0.738276000000115</f>
        <v>1804.3576760000003</v>
      </c>
      <c r="G209" s="3">
        <f>2601.5+(723.4-926.6)+(-3.980295+(-1.106802--1.417698))+0-681.2--1.04223600000004</f>
        <v>1714.4728370000003</v>
      </c>
      <c r="H209" s="3">
        <f>2606.7+(635.4-865.2)+(0+(0-0))+0-710.4-0</f>
        <v>1666.4999999999995</v>
      </c>
      <c r="I209" s="3">
        <f>2537.3+(532.8-755.5)+(-1.294023+(-0.271728--0.385305))+0-691--0.35240999999993</f>
        <v>1622.7719640000005</v>
      </c>
      <c r="J209" s="3">
        <f>2517+(412.1-618.2)+(1.28367+(0.210171-0.315282))+0-717.2-0.365771999999927</f>
        <v>1594.5127870000001</v>
      </c>
      <c r="K209" s="3">
        <f>2480.4+(396.9-636.2)+(-3.795012+(-0.607257--0.973386))+0-634.7--0.971091000000037</f>
        <v>1603.9422079999999</v>
      </c>
      <c r="L209" s="3">
        <f>2449.1+(407.3-579.1)+(-3.747123+(-0.623169--0.886023))+0-692.8--1.05998400000004</f>
        <v>1582.0757149999997</v>
      </c>
      <c r="M209" s="3">
        <f>2331.6+(445.9-543.7)+(0+(0-0))+0-680.1-0</f>
        <v>1553.6999999999998</v>
      </c>
      <c r="N209" s="3">
        <f>2153.3+(554.1-470.1)+(0+(0-0))+0-596.2-0</f>
        <v>1641.1000000000001</v>
      </c>
      <c r="O209" s="3">
        <f>2311.3+(688-596.9)+(-5.893815+(-1.7544--1.522095))+0-685.7--1.7485349999999</f>
        <v>1712.3224150000001</v>
      </c>
      <c r="P209" s="3">
        <f>2485.7+(692-584.5)+(-5.070828+(-1.41168--1.19238))+0-793.3--1.61833199999997</f>
        <v>1796.2282039999998</v>
      </c>
      <c r="Q209" s="3">
        <f>2498.4+(783.4-704.9)+(-2.548368+(-0.799068--0.718998))+0-738.2--0.752964000000118</f>
        <v>1836.8245259999999</v>
      </c>
      <c r="R209" s="3">
        <f>2463.1+(884.8-869.4)+(-2.512362+(-0.902496--0.886788))+0-680.8--0.694416000000109</f>
        <v>1795.8663460000002</v>
      </c>
      <c r="S209" s="3">
        <f>2440.7+(996.1-979.3)+(0+(0-0))+0-692.1-0</f>
        <v>1765.4</v>
      </c>
      <c r="T209" s="3">
        <f>2496.6+(1050.4-1114.4)+(-1.273266+(-0.535704--0.568344))+0-666.9--0.340118999999932</f>
        <v>1764.799493</v>
      </c>
      <c r="U209" s="3">
        <f>2474.3+(936.4-1116.2)+(-5.047572+(-1.910256--2.277048))+0-544--1.10975999999998</f>
        <v>1746.9289799999999</v>
      </c>
      <c r="V209" s="3">
        <f>2471+(843.1-961.3)+(-2.52042+(-0.859962--0.980526))+0-520.2--0.530604000000083</f>
        <v>1830.7307480000002</v>
      </c>
      <c r="W209" s="3">
        <f>2516.9+(520.9-583.7)+(-5.134476+(-1.062636--1.190748))+0-539.2--1.09996799999998</f>
        <v>1910.993604</v>
      </c>
      <c r="X209" s="3">
        <f>2594.5+(465.6-299.1)+(-2.64639+(-0.474912--0.305082))+0-673--0.686460000000107</f>
        <v>2085.8702399999997</v>
      </c>
      <c r="Y209" s="3">
        <f>2561.8+(428.1-315.8)+(-5.226072+(-0.873324--0.644232))+0-632.5--1.29029999999997</f>
        <v>2037.4351360000003</v>
      </c>
      <c r="Z209" s="3">
        <f>2528.4+(475.3-358.5)+(0+(0-0))+0-599.7-0</f>
        <v>2045.5000000000002</v>
      </c>
      <c r="AA209" s="3">
        <f>2616+(492-426.5)+(-4.00248+(-0.75276--0.652545))+0-650.5--0.995265000000038</f>
        <v>2027.89257</v>
      </c>
      <c r="AB209" s="3">
        <f>2618.2+(472.5-538.4)+(0+(0-0))+0-593.3-0</f>
        <v>1958.9999999999998</v>
      </c>
      <c r="AC209" s="3">
        <f>2556.5+(546.6-705.6)+(-7.82289+(-1.672596--2.159136))+0-590.1--1.80570600000007</f>
        <v>1801.8693560000002</v>
      </c>
      <c r="AD209">
        <f t="shared" si="3"/>
        <v>42901.094805000008</v>
      </c>
      <c r="AE209" s="3">
        <f>2595+(552.1-273.9)+(0+(0-0))+0-735-0</f>
        <v>2138.1999999999998</v>
      </c>
    </row>
    <row r="210" spans="1:31" s="2" customFormat="1" x14ac:dyDescent="0.25">
      <c r="A210">
        <v>89</v>
      </c>
      <c r="B210">
        <v>7</v>
      </c>
      <c r="C210">
        <v>24</v>
      </c>
      <c r="D210">
        <v>1</v>
      </c>
      <c r="E210">
        <v>1</v>
      </c>
      <c r="F210" s="3">
        <f>2482.5+(757.9-914.4)+(-6.330375+(-1.932645--2.33172))+0-698.2--1.7804099999999</f>
        <v>1623.6491099999996</v>
      </c>
      <c r="G210" s="3">
        <f>2395.1+(742.4-869.3)+(-6.107505+(-1.89312--2.216715))+0-712.4--1.8166199999999</f>
        <v>1551.8327099999995</v>
      </c>
      <c r="H210" s="3">
        <f>2246.6+(812.9-830.1)+(-1.145766+(-0.414579--0.423351))+0-687.2--0.35047199999993</f>
        <v>1541.4134779999995</v>
      </c>
      <c r="I210" s="3">
        <f>1879.2+(895.8-560.7)+(0.958392+(0.456858-0.285957))+0-724-0.369239999999927</f>
        <v>1491.0600530000002</v>
      </c>
      <c r="J210" s="3">
        <f>1888.6+(860.3-540.3)+(-1.926372+(-0.877506--0.551106))+0-723.6--0.738072000000115</f>
        <v>1483.4853000000003</v>
      </c>
      <c r="K210" s="3">
        <f>1896.1+(671.2-388.3)+(-0.967011+(-0.342312--0.198033))+0-692.5--0.35317499999993</f>
        <v>1485.7418850000001</v>
      </c>
      <c r="L210" s="3">
        <f>1892.7+(628.5-263.6)+(0.965277+(0.320535-0.134436))+0-662.6-0.337925999999933</f>
        <v>1595.8134499999999</v>
      </c>
      <c r="M210" s="3">
        <f>2009.3+(622.6-247.6)+(2.049486+(0.635052-0.252552))+0-645.7-0.658614000000103</f>
        <v>1740.373372</v>
      </c>
      <c r="N210" s="3">
        <f>2341.4+(529.9-248.7)+(-1.194114+(-0.270249--0.126837))+0-636.3--0.324512999999935</f>
        <v>1985.2869870000002</v>
      </c>
      <c r="O210" s="3">
        <f>2366+(624-311.4)+(0+(0-0))+0-614.7-0</f>
        <v>2063.8999999999996</v>
      </c>
      <c r="P210" s="3">
        <f>2463.2+(713.9-271.8)+(0+(0-0))+0-723.6-0</f>
        <v>2181.6999999999998</v>
      </c>
      <c r="Q210" s="3">
        <f>2468.6+(826.3-366.3)+(-2.517972+(-0.842826--0.373626))+0-697.1--0.711042000000111</f>
        <v>2229.2238699999998</v>
      </c>
      <c r="R210" s="3">
        <f>2459+(764.4-551.5)+(-1.25409+(-0.389844--0.281265))+0-570.2--0.290801999999942</f>
        <v>2100.6281329999997</v>
      </c>
      <c r="S210" s="3">
        <f>2451.5+(1064.6-628.9)+(1.250265+(0.542946-0.320739))+0-737.6-0.376175999999925</f>
        <v>2150.6962960000001</v>
      </c>
      <c r="T210" s="3">
        <f>2441.4+(996.5-679.9)+(0+(0-0))+0-568.6-0</f>
        <v>2189.4</v>
      </c>
      <c r="U210" s="3">
        <f>2451.2+(927.9-604.7)+(-2.500224+(-0.946458--0.616794))+0-593.1--0.604962000000095</f>
        <v>2179.0750739999994</v>
      </c>
      <c r="V210" s="3">
        <f>2468.5+(732.6-502.7)+(1.258935+(0.373626-0.256377))+0-558.7-0.284936999999943</f>
        <v>2140.7912470000006</v>
      </c>
      <c r="W210" s="3">
        <f>2463.8+(783-370.3)+(-1.256538+(-0.39933--0.188853))+0-591.2--0.30151199999994</f>
        <v>2284.134497</v>
      </c>
      <c r="X210" s="3">
        <f>2520+(1013.5-429.9)+(-6.426+(-2.584425--1.096245))+0-635.8--1.62128999999991</f>
        <v>2461.5071099999996</v>
      </c>
      <c r="Y210" s="3">
        <f>2547.3+(993.9-441.9)+(1.299123+(0.506889-0.225369))+0-761.2-0.388211999999923</f>
        <v>2339.2924309999999</v>
      </c>
      <c r="Z210" s="3">
        <f>2652+(859.7-539.5)+(0+(0-0))+0-688.5-0</f>
        <v>2283.6999999999998</v>
      </c>
      <c r="AA210" s="3">
        <f>2658.2+(932.2-661.6)+(0+(0-0))+0-707-0</f>
        <v>2221.7999999999997</v>
      </c>
      <c r="AB210" s="3">
        <f>2646.1+(895.4-782.5)+(-5.398044+(-1.826616--1.5963))+0-663.4--1.35333599999997</f>
        <v>2091.3249759999999</v>
      </c>
      <c r="AC210" s="3">
        <f>2647.2+(714.6-851.6)+(-6.75036+(-1.82223--2.17158))+0-595--1.51724999999991</f>
        <v>1910.3162399999997</v>
      </c>
      <c r="AD210">
        <f t="shared" si="3"/>
        <v>47326.146219000002</v>
      </c>
      <c r="AE210" s="3">
        <f>2520+(1085.7-420.9)+(0+(0-0))+0-597.4-0</f>
        <v>2587.4</v>
      </c>
    </row>
    <row r="211" spans="1:31" s="2" customFormat="1" x14ac:dyDescent="0.25">
      <c r="A211">
        <v>89</v>
      </c>
      <c r="B211">
        <v>7</v>
      </c>
      <c r="C211">
        <v>25</v>
      </c>
      <c r="D211">
        <v>2</v>
      </c>
      <c r="E211">
        <v>1</v>
      </c>
      <c r="F211" s="3">
        <f>2625.6+(568.9-800.7)+(-4.017168+(-0.870417--1.225071))+0-651.5--0.996795000000038</f>
        <v>1739.6342809999996</v>
      </c>
      <c r="G211" s="3">
        <f>2564.9+(705.6-837.4)+(-3.924297+(-1.079568--1.281222))+0-748.6--1.14535800000004</f>
        <v>1681.9227150000004</v>
      </c>
      <c r="H211" s="3">
        <f>2521.7+(784.8-937.3)+(-3.858201+(-1.200744--1.434069))+0-691.6--1.05814800000004</f>
        <v>1675.0332720000001</v>
      </c>
      <c r="I211" s="3">
        <f>2533.8+(666.4-885.9)+(-1.292238+(-0.339864--0.451809))+0-659.6--0.336395999999933</f>
        <v>1653.8561030000003</v>
      </c>
      <c r="J211" s="3">
        <f>2371.5+(659.5-721)+(1.209465+(0.336345-0.36771))+0-676-0.344759999999931</f>
        <v>1634.8333400000001</v>
      </c>
      <c r="K211" s="3">
        <f>2200.9+(621-500.6)+(-1.122459+(-0.31671--0.255306))+0-677.6--0.345575999999931</f>
        <v>1642.861713</v>
      </c>
      <c r="L211" s="3">
        <f>2163.3+(532.8-398.1)+(-1.103283+(-0.271728--0.203031))+0-626.9--0.319718999999936</f>
        <v>1670.2477389999997</v>
      </c>
      <c r="M211" s="3">
        <f>2171.5+(608.5-305.3)+(1.107465+(0.310335-0.155703))+0-643.8-0.328337999999935</f>
        <v>1831.8337589999996</v>
      </c>
      <c r="N211" s="3">
        <f>2197.8+(735-316.7)+(3.362634+(1.12455-0.484551))+0-592-0.905760000000034</f>
        <v>2027.1968730000003</v>
      </c>
      <c r="O211" s="3">
        <f>2420.2+(720.9-375.1)+(0+(0-0))+0-599.6-0</f>
        <v>2166.4</v>
      </c>
      <c r="P211" s="3">
        <f>2534.9+(728.2-381.3)+(-1.292799+(-0.371382--0.194463))+0-630.5--0.321554999999936</f>
        <v>2250.1518370000003</v>
      </c>
      <c r="Q211" s="3">
        <f>2527.6+(691.9-524.5)+(-1.289076+(-0.352869--0.267495))+0-395.9--0.20190899999996</f>
        <v>2297.927459</v>
      </c>
      <c r="R211" s="3">
        <f>2538+(806.2-689.5)+(0+(0-0))+0-522.5-0</f>
        <v>2132.1999999999998</v>
      </c>
      <c r="S211" s="3">
        <f>2553.6+(921.4-733.4)+(-1.302336+(-0.469914--0.374034))+0-555.2--0.283151999999944</f>
        <v>2185.284936</v>
      </c>
      <c r="T211" s="3">
        <f>2618.2+(871.7-763.9)+(0+(0-0))+0-494.6-0</f>
        <v>2231.4</v>
      </c>
      <c r="U211" s="3">
        <f>2660.3+(850.7-677.5)+(-4.070259+(-1.301571--1.036575))+0-660.5--1.01056500000004</f>
        <v>2169.6753100000001</v>
      </c>
      <c r="V211" s="3">
        <f>2706.3+(560.8-566.4)+(-2.760426+(-0.572016--0.577728))+0-565.4--0.57670800000009</f>
        <v>2133.1219940000001</v>
      </c>
      <c r="W211" s="3">
        <f>2776.9+(561.6-449.4)+(-1.416219+(-0.286416--0.229194))+0-655.8--0.334457999999933</f>
        <v>2232.1610169999999</v>
      </c>
      <c r="X211" s="3">
        <f>2824.2+(626.5-505.1)+(-4.321026+(-0.958545--0.772803))+0-536.9--0.821457000000031</f>
        <v>2405.0146889999996</v>
      </c>
      <c r="Y211" s="3">
        <f>2848.5+(672.8-618.5)+(-5.81094+(-1.372512--1.26174))+0-569.1--1.16096399999998</f>
        <v>2328.9392520000006</v>
      </c>
      <c r="Z211" s="3">
        <f>2851+(552.5-575.5)+(-4.36203+(-0.845325--0.880515))+0-591.4--0.904842000000034</f>
        <v>2233.1780019999997</v>
      </c>
      <c r="AA211" s="3">
        <f>2855.3+(739.7-696.4)+(-1.456203+(-0.377247--0.355164))+0-700.3--0.357152999999929</f>
        <v>2197.1788670000005</v>
      </c>
      <c r="AB211" s="3">
        <f>2828.8+(735.1-858.4)+(-4.328064+(-1.124703--1.313352))+0-607.5--0.929475000000035</f>
        <v>2094.7900599999998</v>
      </c>
      <c r="AC211" s="3">
        <f>2710.3+(702.1-695.2)+(-1.382253+(-0.358071--0.354552))+0-732.1--0.373370999999926</f>
        <v>1984.0875990000002</v>
      </c>
      <c r="AD211">
        <f t="shared" si="3"/>
        <v>48598.930817000008</v>
      </c>
      <c r="AE211" s="3">
        <f>2825+(792.9-493.2)+(0+(0-0))+0-615.8-0</f>
        <v>2508.8999999999996</v>
      </c>
    </row>
    <row r="212" spans="1:31" s="2" customFormat="1" x14ac:dyDescent="0.25">
      <c r="A212">
        <v>89</v>
      </c>
      <c r="B212">
        <v>7</v>
      </c>
      <c r="C212">
        <v>26</v>
      </c>
      <c r="D212">
        <v>3</v>
      </c>
      <c r="E212">
        <v>1</v>
      </c>
      <c r="F212" s="3">
        <f>2614.4+(600.8-846)+(-5.333376+(-1.225632--1.72584))+0-623.7--1.27234799999997</f>
        <v>1741.9391799999996</v>
      </c>
      <c r="G212" s="3">
        <f>2554.4+(512.1-835.9)+(1.302744+(0.261171-0.426309))+0-592.5-0.30217499999994</f>
        <v>1638.9354310000001</v>
      </c>
      <c r="H212" s="3">
        <f>2445.6+(613.6-852.4)+(-2.494512+(-0.625872--0.869448))+0-610.8--0.623016000000097</f>
        <v>1594.3720800000003</v>
      </c>
      <c r="I212" s="3">
        <f>2429.3+(548.2-783.2)+(-4.955772+(-1.118328--1.597728))+0-616.6--1.25786399999997</f>
        <v>1574.4814920000001</v>
      </c>
      <c r="J212" s="3">
        <f>2273.8+(577.2-668.4)+(3.478914+(0.883116-1.022652))+0-594.1-0.908973000000034</f>
        <v>1590.9304050000005</v>
      </c>
      <c r="K212" s="3">
        <f>2227.4+(520.6-570.4)+(-3.407922+(-0.796518--0.872712))+0-601.4--0.920142000000035</f>
        <v>1573.7884140000001</v>
      </c>
      <c r="L212" s="3">
        <f>2072+(534.5-368.7)+(2.11344+(0.54519-0.376074))+0-587.2-0.598944000000094</f>
        <v>1652.2836120000002</v>
      </c>
      <c r="M212" s="3">
        <f>2100.4+(576.3-235.8)+(1.071204+(0.293913-0.120258))+0-592.5-0.30217499999994</f>
        <v>1849.342684</v>
      </c>
      <c r="N212" s="3">
        <f>2360+(538.2-236.3)+(2.4072+(0.548964-0.241026))+0-605-0.617100000000096</f>
        <v>2058.9980380000002</v>
      </c>
      <c r="O212" s="3">
        <f>2507.3+(430-216.1)+(0+(0-0))+0-582.7-0</f>
        <v>2138.5</v>
      </c>
      <c r="P212" s="3">
        <f>2509.4+(364.8-272.8)+(0+(0-0))+0-379.6-0</f>
        <v>2221.8000000000002</v>
      </c>
      <c r="Q212" s="3">
        <f>2491.3+(514.9-286.3)+(0+(0-0))+0-468-0</f>
        <v>2251.9</v>
      </c>
      <c r="R212" s="3">
        <f>2467.1+(630.3-511.4)+(2.516442+(0.642906-0.521628))+0-466-0.475320000000074</f>
        <v>2122.1624000000002</v>
      </c>
      <c r="S212" s="3">
        <f>2446.7+(881.5-564.8)+(1.247817+(0.449565-0.288048))+0-639.1-0.325940999999935</f>
        <v>2125.3833929999996</v>
      </c>
      <c r="T212" s="3">
        <f>2444.5+(796.1-615.4)+(-3.740085+(-1.218033--0.941562))+0-438.9--0.671517000000025</f>
        <v>2182.9549609999999</v>
      </c>
      <c r="U212" s="3">
        <f>2454+(825.2-475.9)+(-1.25154+(-0.420852--0.242709))+0-625.7--0.319106999999937</f>
        <v>2176.4894239999999</v>
      </c>
      <c r="V212" s="3">
        <f>2461.4+(700.9-360.7)+(-2.510628+(-0.714918--0.367914))+0-654.4--0.667488000000104</f>
        <v>2145.0098559999997</v>
      </c>
      <c r="W212" s="3">
        <f>2478.7+(795.2-297.2)+(1.264137+(0.405552-0.151572))+0-658.9-0.336038999999933</f>
        <v>2318.982078</v>
      </c>
      <c r="X212" s="3">
        <f>2523.9+(987.9-373.9)+(-3.861567+(-1.511487--0.572067))+0-710.2--1.08660600000004</f>
        <v>2423.985619</v>
      </c>
      <c r="Y212" s="3">
        <f>2534.3+(879.1-400.8)+(0+(0-0))+0-662.1-0</f>
        <v>2350.5000000000005</v>
      </c>
      <c r="Z212" s="3">
        <f>2536.2+(894-496)+(0+(0-0))+0-671.1-0</f>
        <v>2263.1</v>
      </c>
      <c r="AA212" s="3">
        <f>2538.4+(857.8-631.5)+(-6.47292+(-2.18739--1.610325))+0-608.8--1.55243999999991</f>
        <v>2150.4024549999999</v>
      </c>
      <c r="AB212" s="3">
        <f>2519.6+(845.2-742)+(-2.569992+(-0.862104--0.75684))+0-559.1--0.570282000000089</f>
        <v>2061.5950260000004</v>
      </c>
      <c r="AC212" s="3">
        <f>2490.9+(719.4-794.3)+(-7.622154+(-2.201364--2.430558))+0-538.1--1.64658600000006</f>
        <v>1872.153626</v>
      </c>
      <c r="AD212">
        <f t="shared" si="3"/>
        <v>48079.990174000006</v>
      </c>
      <c r="AE212" s="3">
        <f>2510+(1102.9-383.3)+(0+(0-0))+0-767.8-0</f>
        <v>2461.8000000000002</v>
      </c>
    </row>
    <row r="213" spans="1:31" s="2" customFormat="1" x14ac:dyDescent="0.25">
      <c r="A213">
        <v>89</v>
      </c>
      <c r="B213">
        <v>7</v>
      </c>
      <c r="C213">
        <v>27</v>
      </c>
      <c r="D213">
        <v>4</v>
      </c>
      <c r="E213">
        <v>1</v>
      </c>
      <c r="F213" s="3">
        <f>2443.2+(715.8-766)+(-2.492064+(-0.730116--0.78132))+0-644--0.656880000000103</f>
        <v>1747.2160199999998</v>
      </c>
      <c r="G213" s="3">
        <f>2451.4+(647.8-643.1)+(-1.250214+(-0.330378--0.327981))+0-796.9--0.406418999999919</f>
        <v>1658.3538079999998</v>
      </c>
      <c r="H213" s="3">
        <f>2182.8+(756-649.9)+(-3.339684+(-1.15668--0.994347))+0-663.4--1.01500200000004</f>
        <v>1623.0129850000003</v>
      </c>
      <c r="I213" s="3">
        <f>2125.2+(789.4-626.4)+(-1.083852+(-0.402594--0.319464))+0-682.8--0.348227999999931</f>
        <v>1604.5812459999995</v>
      </c>
      <c r="J213" s="3">
        <f>2124+(767.7-561.1)+(2.16648+(0.783054-0.572322))+0-725.4-0.739908000000116</f>
        <v>1606.8373039999997</v>
      </c>
      <c r="K213" s="3">
        <f>2127.4+(712.2-455.9)+(2.169948+(0.726444-0.465018))+0-755.2-0.77030400000012</f>
        <v>1630.1610699999999</v>
      </c>
      <c r="L213" s="3">
        <f>2146.9+(539.9-383.7)+(0+(0-0))+0-675-0</f>
        <v>1628.1</v>
      </c>
      <c r="M213" s="3">
        <f>2182.8+(459.6-239.5)+(2.226456+(0.468792-0.24429))+0-590.9-0.602718000000094</f>
        <v>1813.8482399999998</v>
      </c>
      <c r="N213" s="3">
        <f>2303.4+(503.5-189.3)+(1.174734+(0.256785-0.096543))+0-617.3-0.314822999999937</f>
        <v>2001.3201530000001</v>
      </c>
      <c r="O213" s="3">
        <f>2444.5+(442.9-191.3)+(4.98678+(0.903516-0.390252))+0-560.9-1.14423599999998</f>
        <v>2139.5558079999996</v>
      </c>
      <c r="P213" s="3">
        <f>2422.3+(619.3-231.6)+(-1.235373+(-0.315843--0.118116))+0-607--0.309569999999938</f>
        <v>2201.8764699999997</v>
      </c>
      <c r="Q213" s="3">
        <f>2395+(821.4-385.9)+(1.22145+(0.418914-0.196809))+0-572.7-0.292076999999942</f>
        <v>2258.951478</v>
      </c>
      <c r="R213" s="3">
        <f>2390.6+(805.9-561.1)+(-6.09603+(-2.055045--1.430805))+0-548.1--1.39765499999992</f>
        <v>2081.9773849999997</v>
      </c>
      <c r="S213" s="3">
        <f>2380.4+(929.7-566.6)+(0+(0-0))+0-634.6-0</f>
        <v>2108.9</v>
      </c>
      <c r="T213" s="3">
        <f>2379.2+(972.5-565.3)+(-1.213392+(-0.495975--0.288303))+0-639.3--0.326042999999935</f>
        <v>2146.0049789999994</v>
      </c>
      <c r="U213" s="3">
        <f>2389.2+(791.6-535)+(-3.655476+(-1.211148--0.81855))+0-508.2--0.777546000000029</f>
        <v>2134.3294719999999</v>
      </c>
      <c r="V213" s="3">
        <f>2403.4+(688.1-432.5)+(0+(0-0))+0-559.1-0</f>
        <v>2099.9</v>
      </c>
      <c r="W213" s="3">
        <f>2420.9+(636.4-276.6)+(2.469318+(0.649128-0.282132))+0-511.9-0.522138000000082</f>
        <v>2271.1141759999996</v>
      </c>
      <c r="X213" s="3">
        <f>2447.6+(894.1-405.2)+(0+(0-0))+0-522.8-0</f>
        <v>2413.6999999999998</v>
      </c>
      <c r="Y213" s="3">
        <f>2462.5+(991.9-467.1)+(-1.255875+(-0.505869--0.238221))+0-698--0.355979999999929</f>
        <v>2288.1324570000002</v>
      </c>
      <c r="Z213" s="3">
        <f>2472.8+(895.4-560)+(-2.522256+(-0.913308--0.5712))+0-671.8--0.685236000000107</f>
        <v>2134.2208720000008</v>
      </c>
      <c r="AA213" s="3">
        <f>2482.5+(948.7-661.5)+(-2.53215+(-0.967674--0.67473))+0-637.3--0.650046000000102</f>
        <v>2130.224952</v>
      </c>
      <c r="AB213" s="3">
        <f>2458.2+(910.5-787.8)+(-5.014728+(-1.85742--1.607112))+0-549.5--1.12097999999998</f>
        <v>2027.2559439999998</v>
      </c>
      <c r="AC213" s="3">
        <f>2453.6+(983.5-744.5)+(-3.754008+(-1.504755--1.139085))+0-727.3--1.11276900000004</f>
        <v>1962.293091</v>
      </c>
      <c r="AD213">
        <f t="shared" si="3"/>
        <v>47711.867909999986</v>
      </c>
      <c r="AE213" s="3">
        <f>2442+(976.8-407.8)+(0+(0-0))+0-502.1-0</f>
        <v>2508.9</v>
      </c>
    </row>
    <row r="214" spans="1:31" s="2" customFormat="1" x14ac:dyDescent="0.25">
      <c r="A214">
        <v>89</v>
      </c>
      <c r="B214">
        <v>7</v>
      </c>
      <c r="C214">
        <v>28</v>
      </c>
      <c r="D214">
        <v>5</v>
      </c>
      <c r="E214">
        <v>1</v>
      </c>
      <c r="F214" s="3">
        <f>2458.2+(827.8-730)+(-7.522092+(-2.533068--2.2338))+0-671.5--2.05479000000008</f>
        <v>1878.7334300000002</v>
      </c>
      <c r="G214" s="3">
        <f>2502.1+(624.1-592.9)+(-2.552142+(-0.636582--0.604758))+0-750--0.76500000000012</f>
        <v>1781.4810340000001</v>
      </c>
      <c r="H214" s="3">
        <f>2423.4+(563.8-623.8)+(-3.707802+(-0.862614--0.954414))+0-624.8--0.955944000000036</f>
        <v>1735.939942</v>
      </c>
      <c r="I214" s="3">
        <f>2194.6+(641.5-470.7)+(-2.238492+(-0.65433--0.480114))+0-729.5--0.744090000000116</f>
        <v>1634.2313820000004</v>
      </c>
      <c r="J214" s="3">
        <f>2051.6+(653.9-468.4)+(1.046316+(0.333489-0.238884))+0-616.6-0.314465999999937</f>
        <v>1621.3264550000001</v>
      </c>
      <c r="K214" s="3">
        <f>2053.6+(750.9-414.8)+(-1.047336+(-0.382959--0.211548))+0-751.5--0.383264999999924</f>
        <v>1637.3645179999999</v>
      </c>
      <c r="L214" s="3">
        <f>2057.8+(536.4-246.8)+(-5.24739+(-1.36782--0.62934))+0-582--1.48409999999992</f>
        <v>1760.89823</v>
      </c>
      <c r="M214" s="3">
        <f>2155.2+(508.8-146.7)+(2.198304+(0.518976-0.149634))+0-704.7-0.718794000000112</f>
        <v>1814.4488519999995</v>
      </c>
      <c r="N214" s="3">
        <f>2185.6+(610.8-215.8)+(1.114656+(0.311508-0.110058))+0-623.2-0.317831999999937</f>
        <v>1958.3982740000001</v>
      </c>
      <c r="O214" s="3">
        <f>2469+(432.7-173.2)+(0+(0-0))+0-593.4-0</f>
        <v>2135.1</v>
      </c>
      <c r="P214" s="3">
        <f>2516.6+(510.7-189)+(3.850398+(0.781371-0.28917))+0-638.1-0.976293000000037</f>
        <v>2203.5663059999997</v>
      </c>
      <c r="Q214" s="3">
        <f>2506.1+(663.9-265.7)+(-1.278111+(-0.338589--0.135507))+0-652--0.332519999999934</f>
        <v>2251.1513269999996</v>
      </c>
      <c r="R214" s="3">
        <f>2499.1+(708.1-453.2)+(-3.823623+(-1.083393--0.693396))+0-646.8--0.989604000000037</f>
        <v>2103.9759840000002</v>
      </c>
      <c r="S214" s="3">
        <f>2486+(809.5-540.9)+(0+(0-0))+0-625.5-0</f>
        <v>2129.1</v>
      </c>
      <c r="T214" s="3">
        <f>2489+(853.5-518.3)+(-1.26939+(-0.435285--0.264333))+0-651.3--0.332162999999934</f>
        <v>2171.7918209999998</v>
      </c>
      <c r="U214" s="3">
        <f>2501.5+(805.6-494.9)+(-2.55153+(-0.821712--0.504798))+0-653.7--0.666774000000104</f>
        <v>2156.2983299999996</v>
      </c>
      <c r="V214" s="3">
        <f>2513.8+(817.8-364.4)+(-1.282038+(-0.417078--0.185844))+0-777.5--0.396524999999921</f>
        <v>2188.5832530000002</v>
      </c>
      <c r="W214" s="3">
        <f>2537.8+(883.2-271.2)+(-3.882834+(-1.351296--0.414936))+0-711.5--1.08859500000004</f>
        <v>2434.5694010000002</v>
      </c>
      <c r="X214" s="3">
        <f>2572.9+(943.2-368.2)+(-1.312179+(-0.481032--0.187782))+0-611.3--0.311762999999938</f>
        <v>2535.3063340000003</v>
      </c>
      <c r="Y214" s="3">
        <f>2584.8+(773.6-419.3)+(-2.636496+(-0.789072--0.427686))+0-683.1--0.696762000000109</f>
        <v>2253.6988800000004</v>
      </c>
      <c r="Z214" s="3">
        <f>2643.9+(727.4-417.7)+(-4.045167+(-1.112922--0.639081))+0-780.8--1.19462400000004</f>
        <v>2169.4756160000002</v>
      </c>
      <c r="AA214" s="3">
        <f>2687.5+(658.1-544.6)+(-1.370625+(-0.335631--0.277746))+0-693.5--0.35368499999993</f>
        <v>2106.4251749999999</v>
      </c>
      <c r="AB214" s="3">
        <f>2671.4+(648-720.3)+(-10.899312+(-2.64384--2.938824))+0-617.2--2.51817599999995</f>
        <v>1973.8138480000005</v>
      </c>
      <c r="AC214" s="3">
        <f>2661.1+(601.9-638)+(-4.071483+(-0.920907--0.97614))+0-634.5--0.970785000000037</f>
        <v>1987.4545349999999</v>
      </c>
      <c r="AD214">
        <f t="shared" si="3"/>
        <v>48623.132926999999</v>
      </c>
      <c r="AE214" s="3">
        <f>2565+(1013.7-368)+(0+(0-0))+0-615.3-0</f>
        <v>2595.3999999999996</v>
      </c>
    </row>
    <row r="215" spans="1:31" s="2" customFormat="1" x14ac:dyDescent="0.25">
      <c r="A215">
        <v>89</v>
      </c>
      <c r="B215">
        <v>7</v>
      </c>
      <c r="C215">
        <v>29</v>
      </c>
      <c r="D215">
        <v>6</v>
      </c>
      <c r="E215">
        <v>1</v>
      </c>
      <c r="F215" s="3">
        <f>2636.7+(519-740.6)+(-5.378868+(-1.05876--1.510824))+0-575--1.17299999999997</f>
        <v>1836.3461959999997</v>
      </c>
      <c r="G215" s="3">
        <f>2594.2+(477.2-631.8)+(-3.969126+(-0.730116--0.966654))+0-759.5--1.16203500000004</f>
        <v>1677.5294470000001</v>
      </c>
      <c r="H215" s="3">
        <f>2446.3+(430.8-594.6)+(-2.495226+(-0.439416--0.606492))+0-616.5--0.628830000000098</f>
        <v>1664.3006800000003</v>
      </c>
      <c r="I215" s="3">
        <f>2324.7+(494.2-459.3)+(0+(0-0))+0-732.3-0</f>
        <v>1627.3</v>
      </c>
      <c r="J215" s="3">
        <f>2267.2+(507.8-423.5)+(0+(0-0))+0-720.1-0</f>
        <v>1631.4</v>
      </c>
      <c r="K215" s="3">
        <f>2179.7+(518.3-277.2)+(-4.446588+(-1.057332--0.565488))+0-741.1--1.51184399999997</f>
        <v>1676.2734119999998</v>
      </c>
      <c r="L215" s="3">
        <f>2177.2+(483.7-231.9)+(-1.110372+(-0.246687--0.118269))+0-731.9--0.373268999999926</f>
        <v>1696.234479</v>
      </c>
      <c r="M215" s="3">
        <f>2197.9+(502.3-166)+(-1.120929+(-0.256173--0.08466))+0-670.2--0.341801999999932</f>
        <v>1863.0493600000002</v>
      </c>
      <c r="N215" s="3">
        <f>2263.2+(589.5-166.3)+(-2.308464+(-0.60129--0.169626))+0-655.8--0.668916000000105</f>
        <v>2028.5287879999998</v>
      </c>
      <c r="O215" s="3">
        <f>2491.3+(492.6-206.4)+(1.270563+(0.251226-0.105264))+0-652.8-0.332927999999934</f>
        <v>2125.7835970000006</v>
      </c>
      <c r="P215" s="3">
        <f>2618.7+(390.9-213.5)+(1.335537+(0.199359-0.108885))+0-614.6-0.313445999999938</f>
        <v>2182.6125649999999</v>
      </c>
      <c r="Q215" s="3">
        <f>2597.2+(520.5-274.6)+(-1.324572+(-0.265455--0.140046))+0-659.1--0.336140999999933</f>
        <v>2182.8861599999996</v>
      </c>
      <c r="R215" s="3">
        <f>2585.3+(470.7-426.7)+(-6.592515+(-1.200285--1.088085))+0-614.7--1.56748499999991</f>
        <v>2009.4627700000001</v>
      </c>
      <c r="S215" s="3">
        <f>2572.4+(572.4-479.2)+(0+(0-0))+0-666.9-0</f>
        <v>1998.6999999999998</v>
      </c>
      <c r="T215" s="3">
        <f>2567.7+(622.4-525.7)+(1.309527+(0.317424-0.268107))+0-681.5-0.347564999999931</f>
        <v>1983.9112789999995</v>
      </c>
      <c r="U215" s="3">
        <f>2583.1+(599.1-563.1)+(-6.586905+(-1.527705--1.435905))+0-621.3--1.58431499999991</f>
        <v>1992.70561</v>
      </c>
      <c r="V215" s="3">
        <f>2520.5+(582-336.6)+(-5.14182+(-1.18728--0.686664))+0-588.8--1.20115199999997</f>
        <v>2172.6587160000004</v>
      </c>
      <c r="W215" s="3">
        <f>2511.5+(577.4-200.3)+(1.280865+(0.294474-0.102153))+0-616.4-0.314363999999937</f>
        <v>2273.3588220000001</v>
      </c>
      <c r="X215" s="3">
        <f>2645.4+(709.7-388.5)+(2.698308+(0.723894-0.39627))+0-598.4-0.610368000000095</f>
        <v>2370.6155640000002</v>
      </c>
      <c r="Y215" s="3">
        <f>2661.7+(522.2-347.2)+(-6.787335+(-1.33161--0.88536))+0-737.1--1.87960499999989</f>
        <v>2094.24602</v>
      </c>
      <c r="Z215" s="3">
        <f>2671.7+(364.5-385.1)+(-5.450268+(-0.74358--0.785604))+0-759.4--1.54917599999997</f>
        <v>1887.8409319999996</v>
      </c>
      <c r="AA215" s="3">
        <f>2683.8+(506.5-558.9)+(-2.737476+(-0.51663--0.570078))+0-781.2--0.796824000000125</f>
        <v>1848.3127959999999</v>
      </c>
      <c r="AB215" s="3">
        <f>2677+(547.5-569.6)+(-4.09581+(-0.837675--0.871488))+0-748--1.14444000000004</f>
        <v>1903.9824430000003</v>
      </c>
      <c r="AC215" s="3">
        <f>2584.1+(591.4-647.4)+(0+(0-0))+0-696.8-0</f>
        <v>1831.3</v>
      </c>
      <c r="AD215">
        <f t="shared" si="3"/>
        <v>46559.339636000004</v>
      </c>
      <c r="AE215" s="3">
        <f>2631+(723.5-379.6)+(0+(0-0))+0-609.6-0</f>
        <v>2365.3000000000002</v>
      </c>
    </row>
    <row r="216" spans="1:31" s="2" customFormat="1" x14ac:dyDescent="0.25">
      <c r="A216">
        <v>89</v>
      </c>
      <c r="B216">
        <v>7</v>
      </c>
      <c r="C216">
        <v>30</v>
      </c>
      <c r="D216">
        <v>7</v>
      </c>
      <c r="E216">
        <v>1</v>
      </c>
      <c r="F216" s="3">
        <f>2470.2+(546.4-643.7)+(1.259802+(0.278664-0.328287))+0-636.6-0.324665999999935</f>
        <v>1737.1855129999999</v>
      </c>
      <c r="G216" s="3">
        <f>2462.8+(580.7-598.3)+(-5.024112+(-1.184628--1.220532))+0-775.5--1.58201999999997</f>
        <v>1666.2938120000001</v>
      </c>
      <c r="H216" s="3">
        <f>2257.2+(501.1-473.4)+(-5.75586+(-1.277805--1.20717))+0-620.2--1.58150999999991</f>
        <v>1660.4550149999998</v>
      </c>
      <c r="I216" s="3">
        <f>2099.4+(561-370)+(-3.212082+(-0.85833--0.5661))+0-709.2--1.08507600000004</f>
        <v>1578.7807640000001</v>
      </c>
      <c r="J216" s="3">
        <f>2112+(561.7-374.6)+(0+(0-0))+0-720.3-0</f>
        <v>1578.8</v>
      </c>
      <c r="K216" s="3">
        <f>2113.2+(534-389)+(0+(0-0))+0-718.5-0</f>
        <v>1539.6999999999998</v>
      </c>
      <c r="L216" s="3">
        <f>2117.9+(414.1-393)+(-3.240387+(-0.633573--0.60129))+0-675--1.03275000000004</f>
        <v>1461.7600800000002</v>
      </c>
      <c r="M216" s="3">
        <f>2143.9+(403.6-311.1)+(1.093389+(0.205836-0.158661))+0-742.5-0.378674999999925</f>
        <v>1494.661889</v>
      </c>
      <c r="N216" s="3">
        <f>2280.4+(335.7-286.5)+(0+(0-0))+0-671.7-0</f>
        <v>1657.8999999999999</v>
      </c>
      <c r="O216" s="3">
        <f>2433.7+(176.9-297.1)+(0+(0-0))+0-672.6-0</f>
        <v>1640.9</v>
      </c>
      <c r="P216" s="3">
        <f>2416.8+(302.8-354)+(-3.697704+(-0.463284--0.54162))+0-734.5--1.12378500000004</f>
        <v>1628.6044170000002</v>
      </c>
      <c r="Q216" s="3">
        <f>2396.2+(457.6-396.3)+(0+(0-0))+0-722.5-0</f>
        <v>1735</v>
      </c>
      <c r="R216" s="3">
        <f>2387.4+(494.9-478.4)+(-1.217574+(-0.252399--0.243984))+0-699.5--0.356744999999929</f>
        <v>1703.5307559999999</v>
      </c>
      <c r="S216" s="3">
        <f>2368.1+(597.5-575)+(-4.830924+(-1.2189--1.173))+0-699--1.42595999999997</f>
        <v>1688.149136</v>
      </c>
      <c r="T216" s="3">
        <f>2355.3+(604.4-628.9)+(-3.603609+(-0.924732--0.962217))+0-668.7--1.02311100000004</f>
        <v>1659.5569870000002</v>
      </c>
      <c r="U216" s="3">
        <f>2336.7+(622.9-565.3)+(-5.958585+(-1.588395--1.441515))+0-721.8--1.8405899999999</f>
        <v>1668.2351249999995</v>
      </c>
      <c r="V216" s="3">
        <f>2255.9+(553.2-395.8)+(-2.301018+(-0.564264--0.403716))+0-643.9--0.656778000000103</f>
        <v>1767.5952120000002</v>
      </c>
      <c r="W216" s="3">
        <f>2298.4+(465-166.5)+(2.344368+(0.4743-0.16983))+0-714.1-0.728382000000114</f>
        <v>1884.7204560000002</v>
      </c>
      <c r="X216" s="3">
        <f>2457.3+(729.1-309.7)+(3.759669+(1.115523-0.473841))+0-756-1.15668000000004</f>
        <v>2123.9446710000002</v>
      </c>
      <c r="Y216" s="3">
        <f>2565.4+(433.6-351.3)+(1.308354+(0.221136-0.179163))+0-659.7-0.336446999999933</f>
        <v>1989.0138800000004</v>
      </c>
      <c r="Z216" s="3">
        <f>2633+(314.9-289.7)+(1.34283+(0.160599-0.147747))+0-757.5-0.386324999999923</f>
        <v>1901.6693569999998</v>
      </c>
      <c r="AA216" s="3">
        <f>2654.4+(253.6-355.8)+(-2.707488+(-0.258672--0.362916))+0-681.6--0.695232000000109</f>
        <v>1868.6919880000005</v>
      </c>
      <c r="AB216" s="3">
        <f>2587+(360.1-494.5)+(-3.95811+(-0.550953--0.756585))+0-692.3--1.05921900000004</f>
        <v>1757.6067410000001</v>
      </c>
      <c r="AC216" s="3">
        <f>2500+(512.9-689.8)+(-2.55+(-0.523158--0.703596))+0-628.3--0.6408660000001</f>
        <v>1693.0713040000003</v>
      </c>
      <c r="AD216">
        <f t="shared" si="3"/>
        <v>41085.827102999996</v>
      </c>
      <c r="AE216" s="3">
        <f>2488+(620.4-320.8)+(0+(0-0))+0-796.7-0</f>
        <v>1990.8999999999999</v>
      </c>
    </row>
    <row r="217" spans="1:31" s="2" customFormat="1" x14ac:dyDescent="0.25">
      <c r="A217">
        <v>89</v>
      </c>
      <c r="B217">
        <v>8</v>
      </c>
      <c r="C217">
        <v>1</v>
      </c>
      <c r="D217">
        <v>1</v>
      </c>
      <c r="E217">
        <v>1</v>
      </c>
      <c r="F217" s="3">
        <f>2518.9+(500.8-838.1)+(-2.569278+(-0.510816--0.854862))+0-571--0.582420000000091</f>
        <v>1608.9571880000003</v>
      </c>
      <c r="G217" s="3">
        <f>2408.4+(546.8-808.2)+(-3.684852+(-0.836604--1.236546))+0-612.1--0.936513000000035</f>
        <v>1532.5516030000003</v>
      </c>
      <c r="H217" s="3">
        <f>2217.3+(668.4-663.4)+(-3.392469+(-1.022652--1.015002))+0-730.8--1.11812400000004</f>
        <v>1489.2180050000004</v>
      </c>
      <c r="I217" s="3">
        <f>2149.4+(790-642.9)+(-3.288582+(-1.2087--0.983637))+0-777.5--1.18957500000004</f>
        <v>1516.6759300000001</v>
      </c>
      <c r="J217" s="3">
        <f>2025.5+(728.7-635)+(-4.13202+(-1.486548--1.2954))+0-578.6--1.18034399999997</f>
        <v>1537.4571759999999</v>
      </c>
      <c r="K217" s="3">
        <f>2011.5+(723.2-515.5)+(0+(0-0))+0-604.8-0</f>
        <v>1614.3999999999999</v>
      </c>
      <c r="L217" s="3">
        <f>2018.3+(679.1-361.5)+(-1.029333+(-0.346341--0.184365))+0-670.2--0.341801999999932</f>
        <v>1664.8504930000001</v>
      </c>
      <c r="M217" s="3">
        <f>2106.3+(539.6-244.6)+(3.222639+(0.825588-0.374238))+0-576.3-0.881739000000033</f>
        <v>1827.7922500000002</v>
      </c>
      <c r="N217" s="3">
        <f>2410.1+(506.4-205.4)+(0+(0-0))+0-656.4-0</f>
        <v>2054.6999999999998</v>
      </c>
      <c r="O217" s="3">
        <f>2512.6+(412.3-271)+(-1.281426+(-0.210273--0.13821))+0-563--0.287129999999943</f>
        <v>2089.8336410000002</v>
      </c>
      <c r="P217" s="3">
        <f>2490+(399.8-263.1)+(3.8097+(0.611694-0.402543))+0-512.5-0.78412500000003</f>
        <v>2117.4347259999995</v>
      </c>
      <c r="Q217" s="3">
        <f>2478.7+(550.4-279.2)+(0+(0-0))+0-531.1-0</f>
        <v>2218.7999999999997</v>
      </c>
      <c r="R217" s="3">
        <f>2473.2+(543-438.2)+(-3.783996+(-0.83079--0.670446))+0-542.2--0.829566000000031</f>
        <v>2032.6852260000001</v>
      </c>
      <c r="S217" s="3">
        <f>2473+(717.3-597.8)+(-7.56738+(-2.194938--1.829268))+0-532.4--1.62914400000006</f>
        <v>2053.7960939999998</v>
      </c>
      <c r="T217" s="3">
        <f>2465.4+(787.3-534)+(0+(0-0))+0-624-0</f>
        <v>2094.6999999999998</v>
      </c>
      <c r="U217" s="3">
        <f>2472.5+(782.7-568.9)+(-2.52195+(-0.798354--0.580278))+0-546.5--0.557430000000087</f>
        <v>2137.6174040000005</v>
      </c>
      <c r="V217" s="3">
        <f>2484+(665.7-420.1)+(-3.80052+(-1.018521--0.642753))+0-568.3--0.869499000000033</f>
        <v>2157.9932109999995</v>
      </c>
      <c r="W217" s="3">
        <f>2495.1+(713.5-200.1)+(1.272501+(0.363885-0.102051))+0-696.6-0.355265999999929</f>
        <v>2313.0790689999999</v>
      </c>
      <c r="X217" s="3">
        <f>2517.9+(954.3-331.6)+(-3.852387+(-1.460079--0.507348))+0-636.7--0.974151000000037</f>
        <v>2500.0690329999993</v>
      </c>
      <c r="Y217" s="3">
        <f>2531.2+(675.3-341.3)+(-2.581824+(-0.688806--0.348126))+0-593.6--0.605472000000095</f>
        <v>2269.282968</v>
      </c>
      <c r="Z217" s="3">
        <f>2544.8+(704.3-467.7)+(-3.893544+(-1.077579--0.715581))+0-608.5--0.931005000000035</f>
        <v>2169.5754630000001</v>
      </c>
      <c r="AA217" s="3">
        <f>2542.5+(800.7-562)+(-2.59335+(-0.816714--0.57324))+0-690.3--0.70410600000011</f>
        <v>2088.7672819999998</v>
      </c>
      <c r="AB217" s="3">
        <f>2524.2+(760.4-779.4)+(-6.43671+(-1.93902--1.98747))+0-565.2--1.44125999999992</f>
        <v>1935.0529999999994</v>
      </c>
      <c r="AC217" s="3">
        <f>2532.9+(820.4-804.5)+(-6.458895+(-2.09202--2.051475))+0-626--1.59629999999991</f>
        <v>1917.8968600000001</v>
      </c>
      <c r="AD217">
        <f t="shared" si="3"/>
        <v>46943.186622000008</v>
      </c>
      <c r="AE217" s="3">
        <f>2518+(1079.5-284.5)+(0+(0-0))+0-791-0</f>
        <v>2522</v>
      </c>
    </row>
    <row r="218" spans="1:31" s="2" customFormat="1" x14ac:dyDescent="0.25">
      <c r="A218">
        <v>89</v>
      </c>
      <c r="B218">
        <v>8</v>
      </c>
      <c r="C218">
        <v>2</v>
      </c>
      <c r="D218">
        <v>2</v>
      </c>
      <c r="E218">
        <v>1</v>
      </c>
      <c r="F218" s="3">
        <f>2538.8+(647.2-698.2)+(-5.179152+(-1.320288--1.424328))+0-692.8--1.41331199999997</f>
        <v>1791.3382000000001</v>
      </c>
      <c r="G218" s="3">
        <f>2539.1+(537-639.1)+(-1.294941+(-0.27387--0.325941))+0-737.5--0.376124999999925</f>
        <v>1698.633255</v>
      </c>
      <c r="H218" s="3">
        <f>2533.9+(532.8-668.6)+(-6.461445+(-1.35864--1.70493))+0-764.1--1.94845499999989</f>
        <v>1629.8333</v>
      </c>
      <c r="I218" s="3">
        <f>2409.8+(585.1-635.5)+(6.14499+(1.492005-1.620525))+0-769.2-1.96145999999989</f>
        <v>1594.2550100000001</v>
      </c>
      <c r="J218" s="3">
        <f>2414.7+(568.1-587.3)+(2.462994+(0.579462-0.599046))+0-767.5-0.782850000000122</f>
        <v>1629.6605599999998</v>
      </c>
      <c r="K218" s="3">
        <f>2417+(509.6-477.1)+(-2.46534+(-0.519792--0.486642))+0-728.9--0.743478000000116</f>
        <v>1718.8449880000001</v>
      </c>
      <c r="L218" s="3">
        <f>2402.6+(478.9-431.9)+(-2.450652+(-0.488478--0.440538))+0-684.7--0.698394000000109</f>
        <v>1763.099802</v>
      </c>
      <c r="M218" s="3">
        <f>2483.6+(283.5-249.8)+(2.533272+(0.28917-0.254796))+0-675.5-0.689010000000108</f>
        <v>1843.6786359999996</v>
      </c>
      <c r="N218" s="3">
        <f>2515.4+(307.7-274.6)+(-3.848562+(-0.470781--0.420138))+0-501.9--0.767907000000029</f>
        <v>2043.4687019999997</v>
      </c>
      <c r="O218" s="3">
        <f>2484.2+(405.1-202.2)+(-3.800826+(-0.619803--0.309366))+0-545.3--0.834309000000032</f>
        <v>2138.5230460000002</v>
      </c>
      <c r="P218" s="3">
        <f>2445.3+(519-226.5)+(-3.741309+(-0.79407--0.346545))+0-591.7--0.905301000000034</f>
        <v>2142.8164670000001</v>
      </c>
      <c r="Q218" s="3">
        <f>2441.2+(748-325.7)+(-6.22506+(-1.9074--0.830535))+0-657.3--1.6761149999999</f>
        <v>2200.5741899999998</v>
      </c>
      <c r="R218" s="3">
        <f>2466.8+(599.3-452.8)+(-6.29034+(-1.528215--1.15464))+0-570.3--1.45426499999992</f>
        <v>2037.79035</v>
      </c>
      <c r="S218" s="3">
        <f>2493.6+(783.1-604.2)+(-2.543472+(-0.798762--0.616284))+0-633.9--0.646578000000101</f>
        <v>2036.520628</v>
      </c>
      <c r="T218" s="3">
        <f>2568.8+(727.9-667.8)+(-5.240352+(-1.484916--1.362312))+0-538.6--1.09874399999998</f>
        <v>2086.0357880000001</v>
      </c>
      <c r="U218" s="3">
        <f>2586.1+(740-559.8)+(-5.275644+(-1.5096--1.141992))+0-552.8--1.12771199999998</f>
        <v>2208.9844600000001</v>
      </c>
      <c r="V218" s="3">
        <f>2603.5+(545.1-405.5)+(1.327785+(0.278001-0.206805))+0-460.9-0.235058999999953</f>
        <v>2283.3639219999995</v>
      </c>
      <c r="W218" s="3">
        <f>2653.2+(372.5-217)+(0+(0-0))+0-451.3-0</f>
        <v>2357.3999999999996</v>
      </c>
      <c r="X218" s="3">
        <f>2681.2+(754.2-289.3)+(-5.469648+(-1.538568--0.590172))+0-749.3--1.52857199999997</f>
        <v>2391.9105280000003</v>
      </c>
      <c r="Y218" s="3">
        <f>2701+(475.6-328.6)+(-5.51004+(-0.970224--0.670344))+0-517.6--1.05590399999998</f>
        <v>2325.6459839999998</v>
      </c>
      <c r="Z218" s="3">
        <f>2722.5+(488.3-312.3)+(-2.77695+(-0.498066--0.318546))+0-668.7--0.682074000000107</f>
        <v>2227.5256040000004</v>
      </c>
      <c r="AA218" s="3">
        <f>2800.6+(301.3-348.2)+(-2.856612+(-0.307326--0.355164))+0-525.6--0.536112000000084</f>
        <v>2225.8273380000001</v>
      </c>
      <c r="AB218" s="3">
        <f>2812.5+(301.1-349.3)+(-7.171875+(-0.767805--0.890715))+0-676.9--1.7260949999999</f>
        <v>2082.0771300000001</v>
      </c>
      <c r="AC218" s="3">
        <f>2696.3+(288.9-448.9)+(-6.875565+(-0.736695--1.144695))+0-642--1.63709999999991</f>
        <v>1889.4695350000002</v>
      </c>
      <c r="AD218">
        <f t="shared" si="3"/>
        <v>48347.277423000007</v>
      </c>
      <c r="AE218" s="3">
        <f>2643+(799.4-290.1)+(0+(0-0))+0-804-0</f>
        <v>2348.3000000000002</v>
      </c>
    </row>
    <row r="219" spans="1:31" s="2" customFormat="1" x14ac:dyDescent="0.25">
      <c r="A219">
        <v>89</v>
      </c>
      <c r="B219">
        <v>8</v>
      </c>
      <c r="C219">
        <v>3</v>
      </c>
      <c r="D219">
        <v>3</v>
      </c>
      <c r="E219">
        <v>1</v>
      </c>
      <c r="F219" s="3">
        <f>2475.8+(435.7-580.7)+(-3.787974+(-0.666621--0.888471))+0-600.4--0.918612000000035</f>
        <v>1727.7524880000001</v>
      </c>
      <c r="G219" s="3">
        <f>2464.5+(536.9-555)+(-6.284475+(-1.369095--1.41525))+0-808.2--2.06090999999988</f>
        <v>1634.02259</v>
      </c>
      <c r="H219" s="3">
        <f>2299.9+(561.1-552.2)+(-2.345898+(-0.572322--0.563244))+0-688.8--0.70257600000011</f>
        <v>1618.3476000000003</v>
      </c>
      <c r="I219" s="3">
        <f>2101+(633-388.2)+(0+(0-0))+0-730.6-0</f>
        <v>1615.2000000000003</v>
      </c>
      <c r="J219" s="3">
        <f>1985.9+(700.6-274)+(1.012809+(0.357306-0.13974))+0-773.1-0.394280999999922</f>
        <v>1640.2360940000003</v>
      </c>
      <c r="K219" s="3">
        <f>1989.1+(652.6-237.3)+(-2.028882+(-0.665652--0.242046))+0-719.3--0.733686000000115</f>
        <v>1683.3811980000003</v>
      </c>
      <c r="L219" s="3">
        <f>1995.3+(611.1-181.3)+(-1.017603+(-0.311661--0.092463))+0-683.7--0.348686999999931</f>
        <v>1740.5118859999998</v>
      </c>
      <c r="M219" s="3">
        <f>2133.6+(568.3-157.8)+(3.264408+(0.869499-0.241434))+0-664.6-1.01683800000004</f>
        <v>1882.3756349999999</v>
      </c>
      <c r="N219" s="3">
        <f>2450.2+(403.9-224.1)+(-1.249602+(-0.205989--0.114291))+0-562.1--0.286670999999943</f>
        <v>2066.8453709999999</v>
      </c>
      <c r="O219" s="3">
        <f>2472.8+(461.7-198.6)+(-1.261128+(-0.235467--0.101286))+0-619.8--0.316097999999937</f>
        <v>2115.0207889999997</v>
      </c>
      <c r="P219" s="3">
        <f>2455.3+(508.6-187)+(0+(0-0))+0-627.1-0</f>
        <v>2149.8000000000002</v>
      </c>
      <c r="Q219" s="3">
        <f>2416.4+(717.6-313.8)+(-2.464728+(-0.731952--0.320076))+0-657.7--0.670854000000105</f>
        <v>2160.2942499999999</v>
      </c>
      <c r="R219" s="3">
        <f>2403+(763.1-512.8)+(-7.35318+(-2.335086--1.569168))+0-691.9--2.11721400000008</f>
        <v>1955.3981160000001</v>
      </c>
      <c r="S219" s="3">
        <f>2403.5+(737-621.8)+(-4.90314+(-1.50348--1.268472))+0-544.4--1.11057599999998</f>
        <v>1970.2724279999998</v>
      </c>
      <c r="T219" s="3">
        <f>2379.1+(833.5-546.5)+(-3.640023+(-1.275255--0.836145))+0-530.3--0.811359000000031</f>
        <v>2132.5322259999998</v>
      </c>
      <c r="U219" s="3">
        <f>2351.3+(851.5-441.9)+(2.398326+(0.86853-0.450738))+0-625.7-0.6382140000001</f>
        <v>2137.3779040000004</v>
      </c>
      <c r="V219" s="3">
        <f>2382.3+(841.4-385.5)+(0+(0-0))+0-633.2-0</f>
        <v>2205</v>
      </c>
      <c r="W219" s="3">
        <f>2418.2+(951.6-151.6)+(1.233282+(0.485316-0.077316))+0-643.3-0.328082999999935</f>
        <v>2576.2131990000003</v>
      </c>
      <c r="X219" s="3">
        <f>2455.9+(770.9-211.7)+(-1.252509+(-0.393159--0.107967))+0-635.5--0.324104999999936</f>
        <v>2378.3864040000003</v>
      </c>
      <c r="Y219" s="3">
        <f>2469.3+(661.3-228.3)+(-5.037372+(-1.349052--0.465732))+0-671--1.36883999999997</f>
        <v>2226.7481480000001</v>
      </c>
      <c r="Z219" s="3">
        <f>2467.5+(562-227.9)+(-2.51685+(-0.57324--0.232458))+0-631.6--0.644232000000101</f>
        <v>2167.7865999999999</v>
      </c>
      <c r="AA219" s="3">
        <f>2484.8+(581.6-304.1)+(-1.267248+(-0.296616--0.155091))+0-702.3--0.358172999999929</f>
        <v>2058.9494</v>
      </c>
      <c r="AB219" s="3">
        <f>2445+(630.5-397.3)+(-3.74085+(-0.964665--0.607869))+0-626.3--0.958239000000036</f>
        <v>2048.7605929999995</v>
      </c>
      <c r="AC219" s="3">
        <f>2438.5+(653.5-504.6)+(-6.218175+(-1.666425--1.28673))+0-715.3--1.8240149999999</f>
        <v>1867.326145</v>
      </c>
      <c r="AD219">
        <f t="shared" si="3"/>
        <v>47758.53906399999</v>
      </c>
      <c r="AE219" s="3">
        <f>2433+(844.1-198)+(0+(0-0))+0-524.8-0</f>
        <v>2554.3000000000002</v>
      </c>
    </row>
    <row r="220" spans="1:31" s="2" customFormat="1" x14ac:dyDescent="0.25">
      <c r="A220">
        <v>89</v>
      </c>
      <c r="B220">
        <v>8</v>
      </c>
      <c r="C220">
        <v>4</v>
      </c>
      <c r="D220">
        <v>4</v>
      </c>
      <c r="E220">
        <v>1</v>
      </c>
      <c r="F220" s="3">
        <f>2412.4+(671.9-554.3)+(-4.921296+(-1.370676--1.130772))+0-731.6--1.49246399999997</f>
        <v>1794.731264</v>
      </c>
      <c r="G220" s="3">
        <f>2364.6+(600.5-581.7)+(0+(0-0))+0-619.4-0</f>
        <v>1763.9999999999995</v>
      </c>
      <c r="H220" s="3">
        <f>2369.2+(570.6-528.3)+(1.208292+(0.291006-0.269433))+0-777.7-0.396626999999921</f>
        <v>1634.6332379999999</v>
      </c>
      <c r="I220" s="3">
        <f>2366.4+(605.6-596.4)+(2.413728+(0.617712-0.608328))+0-719.6-0.733992000000115</f>
        <v>1657.6891200000002</v>
      </c>
      <c r="J220" s="3">
        <f>2390.1+(585.6-569.2)+(-2.437902+(-0.597312--0.580584))+0-763.4--0.778668000000122</f>
        <v>1641.4240379999999</v>
      </c>
      <c r="K220" s="3">
        <f>2430.8+(594.7-579.2)+(-2.479416+(-0.606594--0.590784))+0-679.5--0.693090000000108</f>
        <v>1764.9978640000004</v>
      </c>
      <c r="L220" s="3">
        <f>2433.6+(490.7-514.5)+(-3.723408+(-0.750771--0.787185))+0-582--0.890460000000034</f>
        <v>1825.0034659999997</v>
      </c>
      <c r="M220" s="3">
        <f>2486.7+(418.2-335)+(-1.268217+(-0.213282--0.17085))+0-622.6--0.317525999999937</f>
        <v>1946.3068769999998</v>
      </c>
      <c r="N220" s="3">
        <f>2559.9+(312.6-389.7)+(0+(0-0))+0-515-0</f>
        <v>1967.8000000000002</v>
      </c>
      <c r="O220" s="3">
        <f>2566.9+(417.7-285.5)+(1.309119+(0.213027-0.145605))+0-575.1-0.293300999999942</f>
        <v>2125.0832399999999</v>
      </c>
      <c r="P220" s="3">
        <f>2611+(382.5-218.5)+(0+(0-0))+0-543.5-0</f>
        <v>2231.5</v>
      </c>
      <c r="Q220" s="3">
        <f>2664.3+(401.4-302.8)+(-1.358793+(-0.204714--0.154428))+0-654.2--0.333641999999934</f>
        <v>2107.6245629999999</v>
      </c>
      <c r="R220" s="3">
        <f>2675+(596.5-593.4)+(-4.09275+(-0.912645--0.907902))+0-632.2--0.967266000000037</f>
        <v>2042.7697729999998</v>
      </c>
      <c r="S220" s="3">
        <f>2671.8+(656.1-641.9)+(-5.450472+(-1.338444--1.309476))+0-650.9--1.32783599999997</f>
        <v>2030.9483959999998</v>
      </c>
      <c r="T220" s="3">
        <f>2663.3+(668.8-571.3)+(-6.791415+(-1.70544--1.456815))+0-582.6--1.48562999999992</f>
        <v>2172.6455900000005</v>
      </c>
      <c r="U220" s="3">
        <f>2670.9+(624.1-648)+(-5.448636+(-1.273164--1.32192))+0-494.2--1.00816799999998</f>
        <v>2148.4082880000001</v>
      </c>
      <c r="V220" s="3">
        <f>2692.1+(554.1-382.2)+(-1.372971+(-0.282591--0.194922))+0-503.6--0.256835999999949</f>
        <v>2359.1961960000003</v>
      </c>
      <c r="W220" s="3">
        <f>2731+(488-278.4)+(0+(0-0))+0-517.8-0</f>
        <v>2422.8000000000002</v>
      </c>
      <c r="X220" s="3">
        <f>2754.9+(455.3-281.3)+(-4.214997+(-0.696609--0.430389))+0-564.5--0.863685000000033</f>
        <v>2360.7824680000003</v>
      </c>
      <c r="Y220" s="3">
        <f>2740.5+(267.3-289.5)+(-8.38593+(-0.817938--0.88587))+0-577.9--1.76837400000007</f>
        <v>2133.8503760000003</v>
      </c>
      <c r="Z220" s="3">
        <f>2743.5+(439.8-409.6)+(-4.197555+(-0.672894--0.626688))+0-519.6--0.79498800000003</f>
        <v>2250.6512269999998</v>
      </c>
      <c r="AA220" s="3">
        <f>2727.2+(486.1-469.2)+(1.390872+(0.247911-0.239292))+0-632.2-0.322421999999936</f>
        <v>2112.977069</v>
      </c>
      <c r="AB220" s="3">
        <f>2718.3+(555.6-513.1)+(-2.772666+(-0.566712--0.523362))+0-731.6--0.746232000000117</f>
        <v>2027.1302160000002</v>
      </c>
      <c r="AC220" s="3">
        <f>2743.1+(515-619.5)+(-5.595924+(-1.0506--1.26378))+0-647.4--1.32069599999997</f>
        <v>1987.1379519999998</v>
      </c>
      <c r="AD220">
        <f t="shared" si="3"/>
        <v>48510.091220999995</v>
      </c>
      <c r="AE220" s="3">
        <f>2749+(356-301.1)+(0+(0-0))+0-493.9-0</f>
        <v>2310</v>
      </c>
    </row>
    <row r="221" spans="1:31" s="2" customFormat="1" x14ac:dyDescent="0.25">
      <c r="A221">
        <v>89</v>
      </c>
      <c r="B221">
        <v>8</v>
      </c>
      <c r="C221">
        <v>5</v>
      </c>
      <c r="D221">
        <v>5</v>
      </c>
      <c r="E221">
        <v>1</v>
      </c>
      <c r="F221" s="3">
        <f>2753+(447-672.3)+(-2.80806+(-0.45594--0.685746))+0-772.2--0.787644000000123</f>
        <v>1753.70939</v>
      </c>
      <c r="G221" s="3">
        <f>2650.3+(471.3-792.3)+(-6.758265+(-1.201815--2.020365))+0-600.3--1.53076499999991</f>
        <v>1724.5910500000002</v>
      </c>
      <c r="H221" s="3">
        <f>2628.7+(463-669.8)+(-1.340637+(-0.23613--0.341598))+0-816.5--0.416414999999917</f>
        <v>1604.5812459999995</v>
      </c>
      <c r="I221" s="3">
        <f>2635.3+(410.2-798.4)+(-1.344003+(-0.209202--0.407184))+0-618.2--0.315281999999937</f>
        <v>1628.0692610000003</v>
      </c>
      <c r="J221" s="3">
        <f>2638.3+(453.1-651.7)+(6.727665+(1.155405-1.661835))+0-774.1-1.97395499999989</f>
        <v>1669.8472800000004</v>
      </c>
      <c r="K221" s="3">
        <f>2642.5+(439.5-613.5)+(1.347675+(0.224145-0.312885))+0-709.4-0.361793999999928</f>
        <v>1759.9971409999998</v>
      </c>
      <c r="L221" s="3">
        <f>2652.9+(324.8-629.2)+(-4.058937+(-0.496944--0.962676))+0-558.3--0.854199000000032</f>
        <v>1787.460994</v>
      </c>
      <c r="M221" s="3">
        <f>2697.6+(267.6-557.6)+(2.751552+(0.272952-0.568752))+0-438.1-0.44686200000007</f>
        <v>1971.5088899999998</v>
      </c>
      <c r="N221" s="3">
        <f>2643+(350.2-394.4)+(-4.04379+(-0.535806--0.603432))+0-522--0.79866000000003</f>
        <v>2073.622496</v>
      </c>
      <c r="O221" s="3">
        <f>2609.8+(464.8-320.6)+(0+(0-0))+0-638.4-0</f>
        <v>2115.6</v>
      </c>
      <c r="P221" s="3">
        <f>2594.8+(538.6-297.8)+(0+(0-0))+0-642.8-0</f>
        <v>2192.8000000000002</v>
      </c>
      <c r="Q221" s="3">
        <f>2588.1+(591.3-317.3)+(-1.319931+(-0.301563--0.161823))+0-630.3--0.321452999999936</f>
        <v>2230.6617819999997</v>
      </c>
      <c r="R221" s="3">
        <f>2586.2+(696.7-466.1)+(-6.59481+(-1.776585--1.188555))+0-711.4--1.8140699999999</f>
        <v>2100.0312299999996</v>
      </c>
      <c r="S221" s="3">
        <f>2582+(839-703.3)+(-3.95046+(-1.28367--1.076049))+0-608.2--0.930546000000035</f>
        <v>2106.2724649999996</v>
      </c>
      <c r="T221" s="3">
        <f>2408.9+(949.1-654.7)+(-3.685617+(-1.452123--1.001691))+0-539.9--0.826047000000031</f>
        <v>2160.0899979999999</v>
      </c>
      <c r="U221" s="3">
        <f>2387.9+(864.7-514.2)+(-6.089145+(-2.204985--1.31121))+0-566.2--1.44380999999992</f>
        <v>2166.6608900000001</v>
      </c>
      <c r="V221" s="3">
        <f>2571.5+(524-504.1)+(-6.557325+(-1.3362--1.285455))+0-475.8--1.21328999999993</f>
        <v>2110.2052199999998</v>
      </c>
      <c r="W221" s="3">
        <f>2617.3+(533.7-225.3)+(-2.669646+(-0.544374--0.229806))+0-565.4--0.57670800000009</f>
        <v>2357.8924940000002</v>
      </c>
      <c r="X221" s="3">
        <f>2634.9+(646.6-282.9)+(-2.687598+(-0.659532--0.288558))+0-588.5--0.600270000000094</f>
        <v>2407.6416980000004</v>
      </c>
      <c r="Y221" s="3">
        <f>2641+(566.4-298)+(-4.04073+(-0.866592--0.45594))+0-652.4--0.998172000000038</f>
        <v>2253.5467899999999</v>
      </c>
      <c r="Z221" s="3">
        <f>2649.8+(555.7-332.8)+(-2.702796+(-0.566814--0.339456))+0-699.4--0.713388000000111</f>
        <v>2171.0832340000002</v>
      </c>
      <c r="AA221" s="3">
        <f>2656.5+(472.3-245.9)+(-6.774075+(-1.204365--0.627045))+0-704.3--1.7959649999999</f>
        <v>2173.0445699999996</v>
      </c>
      <c r="AB221" s="3">
        <f>2636.3+(261.9-305.6)+(1.344513+(0.133569-0.155856))+0-595.8-0.30385799999994</f>
        <v>1997.8183680000002</v>
      </c>
      <c r="AC221" s="3">
        <f>2613+(251.3-384.5)+(-6.66315+(-0.640815--0.980475))+0-602.4--1.53611999999991</f>
        <v>1872.6126299999999</v>
      </c>
      <c r="AD221">
        <f t="shared" si="3"/>
        <v>48389.349116999991</v>
      </c>
      <c r="AE221" s="3">
        <f>2627+(709.2-285.8)+(0+(0-0))+0-639.8-0</f>
        <v>2410.6000000000004</v>
      </c>
    </row>
    <row r="222" spans="1:31" s="2" customFormat="1" x14ac:dyDescent="0.25">
      <c r="A222">
        <v>89</v>
      </c>
      <c r="B222">
        <v>8</v>
      </c>
      <c r="C222">
        <v>6</v>
      </c>
      <c r="D222">
        <v>6</v>
      </c>
      <c r="E222">
        <v>1</v>
      </c>
      <c r="F222" s="3">
        <f>2453.5+(362-395)+(-5.00514+(-0.73848--0.8058))+0-676.6--1.38026399999997</f>
        <v>1740.3424439999999</v>
      </c>
      <c r="G222" s="3">
        <f>2380.9+(350.9-441)+(1.214259+(0.178959-0.22491))+0-625.2-0.318851999999937</f>
        <v>1666.4494560000001</v>
      </c>
      <c r="H222" s="3">
        <f>2299.4+(381.7-454.7)+(1.172694+(0.194667-0.231897))+0-585.7-0.298706999999941</f>
        <v>1641.5367570000001</v>
      </c>
      <c r="I222" s="3">
        <f>2295.4+(368.1-358.2)+(-2.341308+(-0.375462--0.365364))+0-703.4--0.717468000000112</f>
        <v>1600.2660619999999</v>
      </c>
      <c r="J222" s="3">
        <f>2289.1+(376.5-307.6)+(-1.167441+(-0.192015--0.156876))+0-756--0.385559999999923</f>
        <v>1601.1829799999998</v>
      </c>
      <c r="K222" s="3">
        <f>2292.5+(320.6-299.8)+(-2.33835+(-0.327012--0.305796))+0-691.8--0.70563600000011</f>
        <v>1619.8460700000003</v>
      </c>
      <c r="L222" s="3">
        <f>2325.3+(328.5-272.6)+(-2.371806+(-0.33507--0.278052))+0-741.5--0.756330000000118</f>
        <v>1638.0275060000004</v>
      </c>
      <c r="M222" s="3">
        <f>2413.6+(281.6-345.2)+(-1.230936+(-0.143616--0.176052))+0-551.9--0.281468999999944</f>
        <v>1797.182969</v>
      </c>
      <c r="N222" s="3">
        <f>2487.1+(548.8-320.2)+(3.805263+(0.839664-0.489906))+0-722.9-1.10603700000004</f>
        <v>1995.8489839999997</v>
      </c>
      <c r="O222" s="3">
        <f>2481.7+(475.4-285.8)+(2.531334+(0.484908-0.291516))+0-594.3-0.606186000000095</f>
        <v>2079.1185399999995</v>
      </c>
      <c r="P222" s="3">
        <f>2473.2+(644.5-213.2)+(-5.045328+(-1.31478--0.434928))+0-757.9--1.54611599999997</f>
        <v>2142.2209359999997</v>
      </c>
      <c r="Q222" s="3">
        <f>2472+(558.3-210.9)+(-2.52144+(-0.569466--0.215118))+0-653.4--0.666468000000104</f>
        <v>2163.7906800000001</v>
      </c>
      <c r="R222" s="3">
        <f>2477.3+(485.7-297.2)+(-10.107384+(-1.981656--1.212576))+0-612.5--2.49899999999995</f>
        <v>2044.9225360000003</v>
      </c>
      <c r="S222" s="3">
        <f>2461.4+(461.5-326.9)+(0+(0-0))+0-615.4-0</f>
        <v>1980.6</v>
      </c>
      <c r="T222" s="3">
        <f>2453.2+(567.8-322.3)+(0+(0-0))+0-730.4-0</f>
        <v>1968.2999999999997</v>
      </c>
      <c r="U222" s="3">
        <f>2450.4+(622.1-308.9)+(-3.749112+(-0.951813--0.472617))+0-806.3--1.23363900000005</f>
        <v>1954.3053310000003</v>
      </c>
      <c r="V222" s="3">
        <f>2463.5+(551.2-262.3)+(0+(0-0))+0-716.9-0</f>
        <v>2035.5</v>
      </c>
      <c r="W222" s="3">
        <f>2496.7+(624.6-182.9)+(-3.819951+(-0.955638--0.279837))+0-689--1.05417000000004</f>
        <v>2245.9584179999997</v>
      </c>
      <c r="X222" s="3">
        <f>2631+(445.7-212.5)+(-6.70905+(-1.136535--0.541875))+0-632.8--1.61363999999991</f>
        <v>2225.7099299999995</v>
      </c>
      <c r="Y222" s="3">
        <f>2657.2+(383.5-216.9)+(-10.841376+(-1.56468--0.884952))+0-654.4--2.66995199999994</f>
        <v>2160.5488479999995</v>
      </c>
      <c r="Z222" s="3">
        <f>2598+(396-248.1)+(-2.64996+(-0.40392--0.253062))+0-606.7--0.618834000000097</f>
        <v>2137.018016</v>
      </c>
      <c r="AA222" s="3">
        <f>2469.1+(401-186.1)+(-5.036964+(-0.81804--0.379644))+0-636.1--1.29764399999997</f>
        <v>2043.7222840000002</v>
      </c>
      <c r="AB222" s="3">
        <f>2380+(365.3-190)+(-7.2828+(-1.117818--0.5814))+0-562.4--1.72094400000006</f>
        <v>1986.8017260000001</v>
      </c>
      <c r="AC222" s="3">
        <f>2302.9+(434.6-158.7)+(-1.174479+(-0.221646--0.080937))+0-748.2--0.381581999999924</f>
        <v>1829.6663940000001</v>
      </c>
      <c r="AD222">
        <f t="shared" si="3"/>
        <v>46298.86686699999</v>
      </c>
      <c r="AE222" s="3">
        <f>2641+(488-178.8)+(0+(0-0))+0-776.6-0</f>
        <v>2173.6</v>
      </c>
    </row>
    <row r="223" spans="1:31" s="2" customFormat="1" x14ac:dyDescent="0.25">
      <c r="A223">
        <v>89</v>
      </c>
      <c r="B223">
        <v>8</v>
      </c>
      <c r="C223">
        <v>7</v>
      </c>
      <c r="D223">
        <v>7</v>
      </c>
      <c r="E223">
        <v>1</v>
      </c>
      <c r="F223" s="3">
        <f>2234.8+(441.1-244.9)+(-5.69874+(-1.124805--0.624495))+0-680.6--1.7355299999999</f>
        <v>1745.9364799999998</v>
      </c>
      <c r="G223" s="3">
        <f>2247.4+(492.8-295.3)+(-6.877044+(-1.507968--0.903618))+0-815.1--2.49420600000009</f>
        <v>1624.8128120000003</v>
      </c>
      <c r="H223" s="3">
        <f>2076.1+(486.4-390.5)+(-3.176433+(-0.744192--0.597465))+0-618.1--0.945693000000036</f>
        <v>1551.5225330000003</v>
      </c>
      <c r="I223" s="3">
        <f>2063+(525.1-364.2)+(-1.05213+(-0.267801--0.185742))+0-696.3--0.355112999999929</f>
        <v>1526.8209240000001</v>
      </c>
      <c r="J223" s="3">
        <f>2064.3+(529-375.3)+(0+(0-0))+0-691.8-0</f>
        <v>1526.2</v>
      </c>
      <c r="K223" s="3">
        <f>2064.2+(529-316.8)+(-1.052742+(-0.26979--0.161568))+0-724.3--0.369392999999926</f>
        <v>1551.3084289999995</v>
      </c>
      <c r="L223" s="3">
        <f>2062.3+(414.8-277.3)+(-1.051773+(-0.211548--0.141423))+0-688.1--0.35093099999993</f>
        <v>1510.9290330000003</v>
      </c>
      <c r="M223" s="3">
        <f>2260.5+(271.8-333.3)+(-1.152855+(-0.138618--0.169983))+0-644.3--0.328592999999935</f>
        <v>1553.907103</v>
      </c>
      <c r="N223" s="3">
        <f>2387.5+(200.8-362.4)+(-3.652875+(-0.307224--0.554472))+0-726.9--1.11215700000004</f>
        <v>1496.7065299999999</v>
      </c>
      <c r="O223" s="3">
        <f>2373.4+(276.7-400)+(-2.420868+(-0.282234--0.408))+0-671.3--0.684726000000107</f>
        <v>1577.1896240000001</v>
      </c>
      <c r="P223" s="3">
        <f>2361+(386.3-385.4)+(-2.40822+(-0.394026--0.393108))+0-647.1--0.660042000000103</f>
        <v>1713.0509040000004</v>
      </c>
      <c r="Q223" s="3">
        <f>2381.9+(519.3-449.2)+(-2.429538+(-0.529686--0.458184))+0-676.5--0.690030000000108</f>
        <v>1773.6889900000001</v>
      </c>
      <c r="R223" s="3">
        <f>2380.4+(547.5-501.6)+(-2.428008+(-0.55845--0.511632))+0-735--0.749700000000117</f>
        <v>1689.5748740000001</v>
      </c>
      <c r="S223" s="3">
        <f>2374.1+(622.7-549.7)+(-2.421582+(-0.635154--0.560694))+0-658.1--0.671262000000105</f>
        <v>1787.1752199999999</v>
      </c>
      <c r="T223" s="3">
        <f>2368.3+(537.6-576.6)+(-4.831332+(-1.096704--1.176264))+0-662.9--1.35231599999997</f>
        <v>1663.000544</v>
      </c>
      <c r="U223" s="3">
        <f>2273.7+(642.3-487.6)+(-1.159587+(-0.327573--0.248676))+0-703.3--0.358682999999929</f>
        <v>1724.2201989999996</v>
      </c>
      <c r="V223" s="3">
        <f>2163.7+(693.4-368.6)+(1.103487+(0.353634-0.187986))+0-731.4-0.373013999999926</f>
        <v>1757.9961209999999</v>
      </c>
      <c r="W223" s="3">
        <f>2296+(747.7-350.7)+(-1.17096+(-0.381327--0.178857))+0-801.9--0.408968999999919</f>
        <v>1890.1355389999997</v>
      </c>
      <c r="X223" s="3">
        <f>2492.4+(580.7-319.4)+(-5.084496+(-1.184628--0.651576))+0-692.7--1.41310799999997</f>
        <v>2056.79556</v>
      </c>
      <c r="Y223" s="3">
        <f>2502.5+(554.5-347.9)+(2.55255+(0.56559-0.354858))+0-679.3-0.692886000000108</f>
        <v>2031.8703959999998</v>
      </c>
      <c r="Z223" s="3">
        <f>2510.5+(522.7-444.2)+(-3.841065+(-0.799731--0.679626))+0-639.8--0.978894000000037</f>
        <v>1946.2177240000001</v>
      </c>
      <c r="AA223" s="3">
        <f>2512.1+(475.8-504.9)+(-2.562342+(-0.485316--0.514998))+0-535.2--0.545904000000085</f>
        <v>1945.8132440000002</v>
      </c>
      <c r="AB223" s="3">
        <f>2476.6+(479.6-474.1)+(-2.526132+(-0.489192--0.483582))+0-639.6--0.652392000000102</f>
        <v>1840.6206500000001</v>
      </c>
      <c r="AC223" s="3">
        <f>2386.4+(587.8-647.6)+(-6.08532+(-1.49889--1.65138))+0-637.4--1.62536999999991</f>
        <v>1684.8925399999996</v>
      </c>
      <c r="AD223">
        <f t="shared" si="3"/>
        <v>41170.385972999997</v>
      </c>
      <c r="AE223" s="3">
        <f>2503+(684.7-308.7)+(0+(0-0))+0-645.4-0</f>
        <v>2233.6</v>
      </c>
    </row>
    <row r="224" spans="1:31" s="2" customFormat="1" x14ac:dyDescent="0.25">
      <c r="A224">
        <v>89</v>
      </c>
      <c r="B224">
        <v>8</v>
      </c>
      <c r="C224">
        <v>8</v>
      </c>
      <c r="D224">
        <v>1</v>
      </c>
      <c r="E224">
        <v>1</v>
      </c>
      <c r="F224" s="3">
        <f>2365.7+(572.5-575.1)+(-1.206507+(-0.291975--0.293301))+0-695--0.354449999999929</f>
        <v>1667.2492690000001</v>
      </c>
      <c r="G224" s="3">
        <f>2369.7+(443.2-492.1)+(-1.208547+(-0.226032--0.250971))+0-694.9--0.35439899999993</f>
        <v>1625.0707909999996</v>
      </c>
      <c r="H224" s="3">
        <f>2378.3+(379.1-515)+(-3.638799+(-0.580023--0.78795))+0-748.9--1.14581700000004</f>
        <v>1491.2149450000002</v>
      </c>
      <c r="I224" s="3">
        <f>2133.3+(479-395.5)+(1.087983+(0.24429-0.201705))+0-741.9-0.378368999999925</f>
        <v>1475.6521990000001</v>
      </c>
      <c r="J224" s="3">
        <f>2103+(502.4-443.8)+(-4.29012+(-1.024896--0.905352))+0-631.4--1.28805599999997</f>
        <v>1527.0783919999999</v>
      </c>
      <c r="K224" s="3">
        <f>2098.8+(520.4-313.8)+(0+(0-0))+0-716.2-0</f>
        <v>1589.2</v>
      </c>
      <c r="L224" s="3">
        <f>2083.9+(465.8-212.6)+(0+(0-0))+0-654.8-0</f>
        <v>1682.3</v>
      </c>
      <c r="M224" s="3">
        <f>2078.2+(541-211.2)+(-1.059882+(-0.27591--0.107712))+0-575.7--0.293606999999942</f>
        <v>1831.3655269999999</v>
      </c>
      <c r="N224" s="3">
        <f>2340.5+(512.3-233.2)+(-3.580965+(-0.783819--0.356796))+0-579.1--0.886023000000034</f>
        <v>2037.3780350000002</v>
      </c>
      <c r="O224" s="3">
        <f>2392.7+(703.8-261.8)+(-2.440554+(-0.717876--0.267036))+0-692.5--0.70635000000011</f>
        <v>2140.0149559999995</v>
      </c>
      <c r="P224" s="3">
        <f>2500.9+(637.4-317.3)+(-5.101836+(-1.300296--0.647292))+0-608.4--1.24113599999997</f>
        <v>2208.0862959999999</v>
      </c>
      <c r="Q224" s="3">
        <f>2508.9+(714.8-345.6)+(-1.279539+(-0.364548--0.176256))+0-621.6--0.317015999999937</f>
        <v>2255.349185</v>
      </c>
      <c r="R224" s="3">
        <f>2535.4+(486.8-353.7)+(-2.586108+(-0.496536--0.360774))+0-662.4--0.675648000000106</f>
        <v>2004.0537780000002</v>
      </c>
      <c r="S224" s="3">
        <f>2552.8+(442.9-268.5)+(-5.207712+(-0.903516--0.54774))+0-708.1--1.44452399999997</f>
        <v>2014.9810360000006</v>
      </c>
      <c r="T224" s="3">
        <f>2553.5+(391.8-267.7)+(0+(0-0))+0-565.1-0</f>
        <v>2112.5</v>
      </c>
      <c r="U224" s="3">
        <f>2572.1+(453-250.2)+(-5.247084+(-0.92412--0.510408))+0-605.7--1.23562799999997</f>
        <v>2164.7748319999996</v>
      </c>
      <c r="V224" s="3">
        <f>2609.4+(578.4-331.7)+(-3.992382+(-0.884952--0.507501))+0-712.3--1.08981900000004</f>
        <v>2140.5199859999998</v>
      </c>
      <c r="W224" s="3">
        <f>2738.2+(661.3-418.3)+(0+(0-0))+0-703.7-0</f>
        <v>2277.5</v>
      </c>
      <c r="X224" s="3">
        <f>2813.2+(631.3-434.2)+(-4.304196+(-0.965889--0.664326))+0-661.4--1.01194200000004</f>
        <v>2345.3061829999997</v>
      </c>
      <c r="Y224" s="3">
        <f>2847.7+(468-379.8)+(-7.261635+(-1.1934--0.96849))+0-740.4--1.88801999999989</f>
        <v>2189.9014749999992</v>
      </c>
      <c r="Z224" s="3">
        <f>2910.4+(161.7-350.5)+(-5.937216+(-0.329868--0.71502))+0-539.8--1.10119199999998</f>
        <v>2177.3491279999998</v>
      </c>
      <c r="AA224" s="3">
        <f>2964.8+(107.6-402.5)+(-4.536144+(-0.164628--0.615825))+0-621.8--0.951354000000036</f>
        <v>2044.9664070000003</v>
      </c>
      <c r="AB224" s="3">
        <f>2941.6+(292.5-479.5)+(-7.50108+(-0.745875--1.222725))+0-764.3--1.94896499999989</f>
        <v>1985.2247349999998</v>
      </c>
      <c r="AC224" s="3">
        <f>2829.3+(340.5-586.8)+(-8.657658+(-1.04193--1.795608))+0-637.8--1.95166800000007</f>
        <v>1939.2476880000002</v>
      </c>
      <c r="AD224">
        <f t="shared" si="3"/>
        <v>46926.284843000001</v>
      </c>
      <c r="AE224" s="3">
        <f>2809+(644-333.2)+(0+(0-0))+0-573.6-0</f>
        <v>2546.2000000000003</v>
      </c>
    </row>
    <row r="225" spans="1:31" s="2" customFormat="1" x14ac:dyDescent="0.25">
      <c r="A225">
        <v>89</v>
      </c>
      <c r="B225">
        <v>8</v>
      </c>
      <c r="C225">
        <v>9</v>
      </c>
      <c r="D225">
        <v>2</v>
      </c>
      <c r="E225">
        <v>1</v>
      </c>
      <c r="F225" s="3">
        <f>2731.2+(442-669.1)+(-4.178736+(-0.67626--1.023723))+0-738.3--1.12959900000004</f>
        <v>1763.0983260000003</v>
      </c>
      <c r="G225" s="3">
        <f>2625.8+(350.3-537.7)+(-2.678316+(-0.357306--0.548454))+0-677.2--0.690744000000108</f>
        <v>1759.4035759999999</v>
      </c>
      <c r="H225" s="3">
        <f>2633+(260-523.7)+(-5.37132+(-0.5304--1.068348))+0-666.3--1.35925199999997</f>
        <v>1699.5258800000001</v>
      </c>
      <c r="I225" s="3">
        <f>2624.1+(228.7-479.9)+(-4.014873+(-0.349911--0.734247))+0-681.2--1.04223600000004</f>
        <v>1689.111699</v>
      </c>
      <c r="J225" s="3">
        <f>2563.5+(219.1-415.9)+(0+(0-0))+0-687.7-0</f>
        <v>1678.9999999999998</v>
      </c>
      <c r="K225" s="3">
        <f>2567.4+(212.3-405.5)+(0+(0-0))+0-710.8-0</f>
        <v>1663.4000000000003</v>
      </c>
      <c r="L225" s="3">
        <f>2579.5+(174.8-491.5)+(-2.63109+(-0.178296--0.50133))+0-549.5--0.560490000000088</f>
        <v>1711.5524340000004</v>
      </c>
      <c r="M225" s="3">
        <f>2582.9+(230.2-382.9)+(0+(0-0))+0-559.1-0</f>
        <v>1871.1000000000004</v>
      </c>
      <c r="N225" s="3">
        <f>2579.3+(342-254)+(-2.630886+(-0.34884--0.25908))+0-582.1--0.593742000000093</f>
        <v>2083.0730960000001</v>
      </c>
      <c r="O225" s="3">
        <f>2626.7+(371.9-247.8)+(-1.339617+(-0.189669--0.126378))+0-565.9--0.288608999999943</f>
        <v>2183.7857009999993</v>
      </c>
      <c r="P225" s="3">
        <f>2765.4+(301.3-339.8)+(-2.820708+(-0.307326--0.346596))+0-493.9--0.503778000000079</f>
        <v>2230.7223400000003</v>
      </c>
      <c r="Q225" s="3">
        <f>2789.5+(411.6-396.8)+(-5.69058+(-0.839664--0.809472))+0-566.7--1.15606799999998</f>
        <v>2233.0352959999996</v>
      </c>
      <c r="R225" s="3">
        <f>2784.5+(207.1-457.1)+(-1.420095+(-0.105621--0.233121))+0-596--0.30395999999994</f>
        <v>1937.5113650000001</v>
      </c>
      <c r="S225" s="3">
        <f>2728+(313.9-514.1)+(-2.78256+(-0.320178--0.524382))+0-554.5--0.565590000000088</f>
        <v>1971.2872340000004</v>
      </c>
      <c r="T225" s="3">
        <f>2696.5+(409.3-465.9)+(-1.375215+(-0.208743--0.237609))+0-568.8--0.290087999999942</f>
        <v>2070.0437389999997</v>
      </c>
      <c r="U225" s="3">
        <f>2630.5+(403.9-407.1)+(-6.707775+(-1.029945--1.038105))+0-478.2--1.21940999999993</f>
        <v>2143.6197950000005</v>
      </c>
      <c r="V225" s="3">
        <f>2638.3+(352.9-263.4)+(0+(0-0))+0-554.2-0</f>
        <v>2173.6000000000004</v>
      </c>
      <c r="W225" s="3">
        <f>2751+(708-451.5)+(-2.80602+(-0.72216--0.46053))+0-485.3--0.495006000000077</f>
        <v>2519.627356</v>
      </c>
      <c r="X225" s="3">
        <f>2798.6+(909.7-660.6)+(-5.709144+(-1.855788--1.347624))+0-543.2--1.10812799999998</f>
        <v>2499.3908199999996</v>
      </c>
      <c r="Y225" s="3">
        <f>2820.8+(662-643.3)+(-5.754432+(-1.35048--1.312332))+0-617.9--1.26051599999997</f>
        <v>2217.0679359999999</v>
      </c>
      <c r="Z225" s="3">
        <f>2833.9+(191.9-398.4)+(-2.890578+(-0.195738--0.406368))+0-538.4--0.549168000000086</f>
        <v>2086.86922</v>
      </c>
      <c r="AA225" s="3">
        <f>2841.9+(166.4-380.7)+(-4.348107+(-0.254592--0.582471))+0-583.3--0.892449000000034</f>
        <v>2041.172221</v>
      </c>
      <c r="AB225" s="3">
        <f>2793.2+(251.8-587.8)+(-5.698128+(-0.513672--1.199112))+0-487.9--0.995315999999979</f>
        <v>1965.2826279999999</v>
      </c>
      <c r="AC225" s="3">
        <f>2744+(331.4-574.3)+(-5.59776+(-0.676056--1.171572))+0-625.5--1.27601999999997</f>
        <v>1871.7737759999998</v>
      </c>
      <c r="AD225">
        <f t="shared" si="3"/>
        <v>48064.054437999999</v>
      </c>
      <c r="AE225" s="3">
        <f>2784+(991.8-727.5)+(0+(0-0))+0-673.5-0</f>
        <v>2374.8000000000002</v>
      </c>
    </row>
    <row r="226" spans="1:31" s="2" customFormat="1" x14ac:dyDescent="0.25">
      <c r="A226">
        <v>89</v>
      </c>
      <c r="B226">
        <v>8</v>
      </c>
      <c r="C226">
        <v>10</v>
      </c>
      <c r="D226">
        <v>3</v>
      </c>
      <c r="E226">
        <v>1</v>
      </c>
      <c r="F226" s="3">
        <f>2592.4+(300.7-433.9)+(-1.322124+(-0.153357--0.221289))+0-685--0.34934999999993</f>
        <v>1773.2951580000004</v>
      </c>
      <c r="G226" s="3">
        <f>2461.8+(331.9-441.6)+(-6.27759+(-0.846345--1.12608))+0-709.6--1.8094799999999</f>
        <v>1638.3116250000003</v>
      </c>
      <c r="H226" s="3">
        <f>2391.2+(359.4-421.1)+(-2.439024+(-0.366588--0.429522))+0-677.7--0.691254000000108</f>
        <v>1650.1151639999998</v>
      </c>
      <c r="I226" s="3">
        <f>2371.9+(366.5-328.6)+(2.419338+(0.37383-0.335172))+0-740.9-0.755718000000118</f>
        <v>1670.6022780000001</v>
      </c>
      <c r="J226" s="3">
        <f>2307.5+(315.1-325.1)+(-4.7073+(-0.642804--0.663204))+0-612--1.24847999999997</f>
        <v>1682.0615799999998</v>
      </c>
      <c r="K226" s="3">
        <f>2301.7+(360.8-227.7)+(3.521601+(0.552024-0.348381))+0-712.4-1.08997200000004</f>
        <v>1725.0352719999998</v>
      </c>
      <c r="L226" s="3">
        <f>2305.8+(278-261.5)+(-3.527874+(-0.42534--0.400095))+0-552.2--0.844866000000032</f>
        <v>1767.3917470000001</v>
      </c>
      <c r="M226" s="3">
        <f>2313.2+(418.6-216)+(0+(0-0))+0-667.9-0</f>
        <v>1847.8999999999996</v>
      </c>
      <c r="N226" s="3">
        <f>2444.6+(365.8-242.5)+(-2.493492+(-0.373116--0.24735))+0-495--0.504900000000079</f>
        <v>2070.7856419999998</v>
      </c>
      <c r="O226" s="3">
        <f>2632.5+(327-230.2)+(-6.712875+(-0.83385--0.58701))+0-611.1--1.55830499999991</f>
        <v>2112.7985900000003</v>
      </c>
      <c r="P226" s="3">
        <f>2714.6+(325.2-306.9)+(-4.153338+(-0.497556--0.469557))+0-503--0.769590000000029</f>
        <v>2226.488253</v>
      </c>
      <c r="Q226" s="3">
        <f>2707+(388.6-334)+(0+(0-0))+0-540.9-0</f>
        <v>2220.6999999999998</v>
      </c>
      <c r="R226" s="3">
        <f>2759.9+(288.7-373.3)+(-9.852843+(-1.030659--1.332681))+0-609.9--2.17734300000001</f>
        <v>2058.0265220000001</v>
      </c>
      <c r="S226" s="3">
        <f>2691.7+(232.9-340.7)+(0+(0-0))+0-584.6-0</f>
        <v>1999.2999999999997</v>
      </c>
      <c r="T226" s="3">
        <f>2684.9+(240.5-300)+(-4.107897+(-0.367965--0.459))+0-536.8--0.821304000000031</f>
        <v>2085.404442</v>
      </c>
      <c r="U226" s="3">
        <f>2686.1+(269.5-273.2)+(-8.219466+(-0.82467--0.835992))+0-565.3--1.72981800000007</f>
        <v>2110.6216740000004</v>
      </c>
      <c r="V226" s="3">
        <f>2694.4+(365.4-348.6)+(0+(0-0))+0-544.5-0</f>
        <v>2166.6999999999998</v>
      </c>
      <c r="W226" s="3">
        <f>2762+(896.3-569.9)+(1.40862+(0.457113-0.290649))+0-601.4-0.306713999999939</f>
        <v>2488.2683700000002</v>
      </c>
      <c r="X226" s="3">
        <f>2827.1+(915.2-772.3)+(-5.767284+(-1.867008--1.575492))+0-532--1.08527999999998</f>
        <v>2433.02648</v>
      </c>
      <c r="Y226" s="3">
        <f>2886.4+(757.7-755.1)+(-7.36032+(-1.932135--1.925505))+0-674.2--1.7192099999999</f>
        <v>2209.1522599999994</v>
      </c>
      <c r="Z226" s="3">
        <f>2857.4+(674.6-671.3)+(0+(0-0))+0-717.6-0</f>
        <v>2143.1000000000004</v>
      </c>
      <c r="AA226" s="3">
        <f>2888.7+(442.2-594.5)+(-2.946474+(-0.451044--0.60639))+0-658.9--0.672078000000105</f>
        <v>2075.3809499999998</v>
      </c>
      <c r="AB226" s="3">
        <f>2873.1+(433.2-469.3)+(-7.326405+(-1.10466--1.196715))+0-814.2--2.07620999999988</f>
        <v>2017.6418599999997</v>
      </c>
      <c r="AC226" s="3">
        <f>2810.3+(221.1-553.9)+(-1.433253+(-0.112761--0.282489))+0-576.7--0.294116999999942</f>
        <v>1899.830592</v>
      </c>
      <c r="AD226">
        <f t="shared" si="3"/>
        <v>48071.938458999997</v>
      </c>
      <c r="AE226" s="3">
        <f>2821+(977-824.6)+(0+(0-0))+0-587-0</f>
        <v>2386.4</v>
      </c>
    </row>
    <row r="227" spans="1:31" s="2" customFormat="1" x14ac:dyDescent="0.25">
      <c r="A227">
        <v>89</v>
      </c>
      <c r="B227">
        <v>8</v>
      </c>
      <c r="C227">
        <v>11</v>
      </c>
      <c r="D227">
        <v>4</v>
      </c>
      <c r="E227">
        <v>1</v>
      </c>
      <c r="F227" s="3">
        <f>2705.2+(268.4-585)+(1.379652+(0.136884-0.29835))+0-685.5-0.34960499999993</f>
        <v>1703.9685810000001</v>
      </c>
      <c r="G227" s="3">
        <f>2633.2+(310.7-583.2)+(-4.028796+(-0.475371--0.892296))+0-763.4--1.16800200000004</f>
        <v>1594.8561309999998</v>
      </c>
      <c r="H227" s="3">
        <f>2557.8+(351.2-585)+(-3.913434+(-0.537336--0.89505))+0-697.1--1.06656300000004</f>
        <v>1624.4108430000003</v>
      </c>
      <c r="I227" s="3">
        <f>2474.4+(470.2-478.3)+(2.523888+(0.479604-0.487866))+0-802.2-0.818244000000128</f>
        <v>1665.797382</v>
      </c>
      <c r="J227" s="3">
        <f>2419.2+(382-492.4)+(1.233792+(0.19482-0.251124))+0-644.9-0.328898999999935</f>
        <v>1664.7485889999996</v>
      </c>
      <c r="K227" s="3">
        <f>2410.5+(393.3-364.2)+(0+(0-0))+0-752.2-0</f>
        <v>1687.3999999999999</v>
      </c>
      <c r="L227" s="3">
        <f>2412.5+(359.8-308.6)+(1.230375+(0.183498-0.157386))+0-731.4-0.373013999999926</f>
        <v>1733.1834729999998</v>
      </c>
      <c r="M227" s="3">
        <f>2600.3+(264.8-362.3)+(-1.326153+(-0.135048--0.184773))+0-624.5--0.318494999999937</f>
        <v>1877.342067</v>
      </c>
      <c r="N227" s="3">
        <f>2783.4+(229.4-327.4)+(-4.258602+(-0.350982--0.500922))+0-631--0.965430000000036</f>
        <v>2051.2567680000002</v>
      </c>
      <c r="O227" s="3">
        <f>2868.2+(188.9-405)+(-2.925564+(-0.192678--0.4131))+0-500.7--0.51071400000008</f>
        <v>2149.2055720000003</v>
      </c>
      <c r="P227" s="3">
        <f>2907.1+(172.5-383.8)+(0+(0-0))+0-552.1-0</f>
        <v>2143.6999999999998</v>
      </c>
      <c r="Q227" s="3">
        <f>2897.2+(188.7-417.4)+(-5.910288+(-0.384948--0.851496))+0-430.8--0.878831999999981</f>
        <v>2233.1350919999995</v>
      </c>
      <c r="R227" s="3">
        <f>2899.9+(267.3-521.6)+(2.957898+(0.272646-0.532032))+0-568.4-0.579768000000091</f>
        <v>2079.3187439999997</v>
      </c>
      <c r="S227" s="3">
        <f>2952.7+(362.8-598.6)+(-6.023508+(-0.740112--1.221144))+0-628.5--1.28213999999997</f>
        <v>2084.1396639999994</v>
      </c>
      <c r="T227" s="3">
        <f>2970.5+(343.5-600.5)+(-3.02991+(-0.35037--0.61251))+0-570.8--0.582216000000091</f>
        <v>2140.5144460000006</v>
      </c>
      <c r="U227" s="3">
        <f>2962.8+(347.6-579.2)+(-7.55514+(-0.88638--1.47696))+0-572.8--1.46063999999992</f>
        <v>2152.89608</v>
      </c>
      <c r="V227" s="3">
        <f>2914.7+(338.7-305.6)+(4.459491+(0.518211-0.467568))+0-712.2-1.08966600000004</f>
        <v>2239.0204679999997</v>
      </c>
      <c r="W227" s="3">
        <f>3024.7+(488-338.6)+(-4.627791+(-0.74664--0.518058))+0-705.8--1.07987400000004</f>
        <v>2464.5235009999997</v>
      </c>
      <c r="X227" s="3">
        <f>3048.5+(393.5-407.9)+(-7.773675+(-1.003425--1.040145))+0-616.2--1.57130999999991</f>
        <v>2411.7343550000001</v>
      </c>
      <c r="Y227" s="3">
        <f>3031.7+(320.8-349.4)+(-3.092334+(-0.327216--0.356388))+0-710.8--0.725016000000113</f>
        <v>2289.9618540000001</v>
      </c>
      <c r="Z227" s="3">
        <f>2984.9+(260.9-336.6)+(-1.522299+(-0.133059--0.171666))+0-723.2--0.368831999999927</f>
        <v>2184.8851400000003</v>
      </c>
      <c r="AA227" s="3">
        <f>2991+(237-381)+(-4.57623+(-0.36261--0.58293))+0-747.6--1.14382800000004</f>
        <v>2096.1879180000001</v>
      </c>
      <c r="AB227" s="3">
        <f>2917.1+(251.8-424.8)+(-2.975442+(-0.256836--0.433296))+0-688.9--0.70267800000011</f>
        <v>2053.1036960000001</v>
      </c>
      <c r="AC227" s="3">
        <f>2773+(249.2-448.7)+(-2.82846+(-0.254184--0.457674))+0-698--0.711960000000111</f>
        <v>1873.5869900000002</v>
      </c>
      <c r="AD227">
        <f t="shared" si="3"/>
        <v>48198.877354000004</v>
      </c>
      <c r="AE227" s="3">
        <f>3034+(474-454.6)+(0+(0-0))+0-563.2-0</f>
        <v>2490.1999999999998</v>
      </c>
    </row>
    <row r="228" spans="1:31" s="2" customFormat="1" x14ac:dyDescent="0.25">
      <c r="A228">
        <v>89</v>
      </c>
      <c r="B228">
        <v>8</v>
      </c>
      <c r="C228">
        <v>12</v>
      </c>
      <c r="D228">
        <v>5</v>
      </c>
      <c r="E228">
        <v>1</v>
      </c>
      <c r="F228" s="3">
        <f>2639.8+(263.1-444.3)+(-1.346298+(-0.134181--0.226593))+0-679.8--0.346697999999931</f>
        <v>1777.8928120000003</v>
      </c>
      <c r="G228" s="3">
        <f>2473.2+(393.6-467.1)+(-6.30666+(-1.00368--1.191105))+0-703.8--1.7946899999999</f>
        <v>1691.5754549999997</v>
      </c>
      <c r="H228" s="3">
        <f>2100.8+(488.1-215.7)+(-2.142816+(-0.497862--0.220014))+0-716.3--0.730626000000114</f>
        <v>1655.2099620000001</v>
      </c>
      <c r="I228" s="3">
        <f>2042.5+(480.9-236.1)+(0+(0-0))+0-656.3-0</f>
        <v>1631.0000000000002</v>
      </c>
      <c r="J228" s="3">
        <f>2044.9+(430.7-282.7)+(-4.171596+(-0.878628--0.576708))+0-545.6--1.11302399999998</f>
        <v>1643.9395080000002</v>
      </c>
      <c r="K228" s="3">
        <f>2049.2+(424.2-188.3)+(-2.090184+(-0.432684--0.192066))+0-632.4--0.645048000000101</f>
        <v>1651.014246</v>
      </c>
      <c r="L228" s="3">
        <f>2090.3+(456.7-236.5)+(2.132106+(0.465834-0.24123))+0-625.7-0.6382140000001</f>
        <v>1686.5184959999999</v>
      </c>
      <c r="M228" s="3">
        <f>2214.5+(574.2-268.7)+(-1.129395+(-0.292842--0.137037))+0-648.1--0.330530999999934</f>
        <v>1870.9453310000001</v>
      </c>
      <c r="N228" s="3">
        <f>2512.3+(582.4-383.6)+(-2.562546+(-0.594048--0.391272))+0-631.3--0.643926000000101</f>
        <v>2077.6786040000002</v>
      </c>
      <c r="O228" s="3">
        <f>2723.9+(488.7-406.4)+(-1.389189+(-0.249237--0.207264))+0-712.4--0.363323999999928</f>
        <v>2092.7321620000002</v>
      </c>
      <c r="P228" s="3">
        <f>2736.1+(413-475.1)+(-5.581644+(-0.84252--0.969204))+0-578.2--1.17952799999997</f>
        <v>2091.5245680000003</v>
      </c>
      <c r="Q228" s="3">
        <f>2733.5+(366.2-400.5)+(2.78817+(0.373524-0.40851))+0-622.3-0.634746000000099</f>
        <v>2079.0184379999996</v>
      </c>
      <c r="R228" s="3">
        <f>2735.2+(233.1-457.5)+(-2.789904+(-0.237762--0.46665))+0-552.4--0.563448000000088</f>
        <v>1956.4024319999996</v>
      </c>
      <c r="S228" s="3">
        <f>2724.4+(216.7-431)+(2.778888+(0.221034-0.43962))+0-585.5-0.597210000000093</f>
        <v>1926.5630919999996</v>
      </c>
      <c r="T228" s="3">
        <f>2704.3+(328-445.4)+(2.758386+(0.33456-0.454308))+0-609.1-0.621282000000097</f>
        <v>1979.817356</v>
      </c>
      <c r="U228" s="3">
        <f>2666.1+(479.6-580.2)+(2.719422+(0.489192-0.591804))+0-547-0.557940000000087</f>
        <v>2020.5588699999998</v>
      </c>
      <c r="V228" s="3">
        <f>2681.5+(549.5-582)+(0+(0-0))+0-611.4-0</f>
        <v>2037.6</v>
      </c>
      <c r="W228" s="3">
        <f>2720.3+(795.9-674.6)+(-2.774706+(-0.811818--0.688092))+0-596.6--0.608532000000095</f>
        <v>2242.7101000000007</v>
      </c>
      <c r="X228" s="3">
        <f>2762+(937.9-708.5)+(-4.22586+(-1.434987--1.084005))+0-660.7--1.01087100000004</f>
        <v>2327.1340290000003</v>
      </c>
      <c r="Y228" s="3">
        <f>2768+(623.8-497.1)+(-7.0584+(-1.59069--1.267605))+0-654--1.66769999999991</f>
        <v>2234.9862149999999</v>
      </c>
      <c r="Z228" s="3">
        <f>2776+(393-401)+(-7.0788+(-1.00215--1.02255))+0-453--1.15514999999993</f>
        <v>2309.0967500000002</v>
      </c>
      <c r="AA228" s="3">
        <f>2760+(273.3-307)+(-8.4456+(-0.836298--0.93942))+0-600--1.83600000000007</f>
        <v>2119.7935220000004</v>
      </c>
      <c r="AB228" s="3">
        <f>2578+(268.8-295.2)+(-2.62956+(-0.274176--0.301104))+0-628.7--0.6412740000001</f>
        <v>1920.9386419999998</v>
      </c>
      <c r="AC228" s="3">
        <f>2542+(210.3-275.7)+(-3.88926+(-0.321759--0.421821))+0-670.8--1.02632400000004</f>
        <v>1803.0371259999999</v>
      </c>
      <c r="AD228">
        <f t="shared" si="3"/>
        <v>46827.687716</v>
      </c>
      <c r="AE228" s="3">
        <f>2726+(947.3-607.7)+(0+(0-0))+0-735.5-0</f>
        <v>2330.1</v>
      </c>
    </row>
    <row r="229" spans="1:31" s="2" customFormat="1" x14ac:dyDescent="0.25">
      <c r="A229">
        <v>89</v>
      </c>
      <c r="B229">
        <v>8</v>
      </c>
      <c r="C229">
        <v>13</v>
      </c>
      <c r="D229">
        <v>6</v>
      </c>
      <c r="E229">
        <v>1</v>
      </c>
      <c r="F229" s="3">
        <f>2416.1+(286.8-434.7)+(-1.232211+(-0.146268--0.221697))+0-591.7--0.30176699999994</f>
        <v>1675.6449849999997</v>
      </c>
      <c r="G229" s="3">
        <f>2419.1+(283.3-470.3)+(-2.467482+(-0.288966--0.479706))+0-633.1--0.645762000000101</f>
        <v>1597.3690200000001</v>
      </c>
      <c r="H229" s="3">
        <f>2419.2+(324.8-528.6)+(-1.233792+(-0.165648--0.269586))+0-652.8--0.332927999999934</f>
        <v>1561.8030739999999</v>
      </c>
      <c r="I229" s="3">
        <f>2418.5+(319.3-504.1)+(0+(0-0))+0-680.6-0</f>
        <v>1553.1</v>
      </c>
      <c r="J229" s="3">
        <f>2419+(334.4-471.9)+(4.93476+(0.682176-0.962676))+0-742.2-1.51408799999997</f>
        <v>1542.4401719999998</v>
      </c>
      <c r="K229" s="3">
        <f>2530.1+(448.1-692.8)+(-1.290351+(-0.228531--0.353328))+0-726--0.370259999999926</f>
        <v>1558.6047059999999</v>
      </c>
      <c r="L229" s="3">
        <f>2571.4+(469.2-760.2)+(-5.245656+(-0.957168--1.550808))+0-685.1--1.39760399999997</f>
        <v>1592.0455880000002</v>
      </c>
      <c r="M229" s="3">
        <f>2567.9+(436.9-633.6)+(-2.619258+(-0.445638--0.646272))+0-628.2--0.6407640000001</f>
        <v>1741.2221399999999</v>
      </c>
      <c r="N229" s="3">
        <f>2550.5+(409.5-335)+(-1.300755+(-0.208845--0.17085))+0-700.9--0.357458999999929</f>
        <v>1923.1187089999999</v>
      </c>
      <c r="O229" s="3">
        <f>2553.4+(410.1-296.4)+(-3.906702+(-0.627453--0.453492))+0-665.3--1.01790900000004</f>
        <v>1998.7372460000004</v>
      </c>
      <c r="P229" s="3">
        <f>2554.6+(322.9-380.8)+(0+(0-0))+0-475.6-0</f>
        <v>2021.1</v>
      </c>
      <c r="Q229" s="3">
        <f>2551.6+(342.4-310)+(0+(0-0))+0-521.4-0</f>
        <v>2062.6</v>
      </c>
      <c r="R229" s="3">
        <f>2555.2+(268.5-355.4)+(-3.909456+(-0.410805--0.543762))+0-539.5--0.825435000000031</f>
        <v>1925.8489359999996</v>
      </c>
      <c r="S229" s="3">
        <f>2560.2+(377.6-384.2)+(-5.222808+(-0.770304--0.783768))+0-638.7--1.30294799999997</f>
        <v>1910.993604</v>
      </c>
      <c r="T229" s="3">
        <f>2593.7+(362.5-344.6)+(1.322787+(0.184875-0.175746))+0-712.5-0.363374999999928</f>
        <v>1900.0685410000001</v>
      </c>
      <c r="U229" s="3">
        <f>2602.4+(305.7-404.8)+(-6.63612+(-0.779535--1.03224))+0-594.6--1.51622999999991</f>
        <v>1903.8328150000004</v>
      </c>
      <c r="V229" s="3">
        <f>2604.5+(309-449.8)+(-3.984885+(-0.47277--0.688194))+0-561.6--0.859248000000033</f>
        <v>1899.189787</v>
      </c>
      <c r="W229" s="3">
        <f>2628.2+(448-370)+(-2.680764+(-0.45696--0.3774))+0-569.3--0.580686000000091</f>
        <v>2134.720362</v>
      </c>
      <c r="X229" s="3">
        <f>2646.5+(511.5-392)+(-5.39886+(-1.04346--0.79968))+0-589.4--1.20237599999997</f>
        <v>2172.1597360000001</v>
      </c>
      <c r="Y229" s="3">
        <f>2655.9+(486.4-311)+(-6.772545+(-1.24032--0.79305))+0-732.1--1.86685499999989</f>
        <v>2093.8470400000001</v>
      </c>
      <c r="Z229" s="3">
        <f>2653.5+(300.4-316.5)+(-4.059855+(-0.459612--0.484245))+0-617.6--0.944928000000036</f>
        <v>2016.7097060000003</v>
      </c>
      <c r="AA229" s="3">
        <f>2638.8+(312.7-306.7)+(-1.345788+(-0.159477--0.156417))+0-662.1--0.337670999999933</f>
        <v>1981.6888230000002</v>
      </c>
      <c r="AB229" s="3">
        <f>2621.5+(215.5-368)+(-5.34786+(-0.43962--0.75072))+0-555.9--1.13403599999998</f>
        <v>1909.1972759999999</v>
      </c>
      <c r="AC229" s="3">
        <f>2620+(210.4-306.7)+(-6.681+(-0.53652--0.782085))+0-734.6--1.87322999999989</f>
        <v>1784.537795</v>
      </c>
      <c r="AD229">
        <f t="shared" si="3"/>
        <v>44460.580060999993</v>
      </c>
      <c r="AE229" s="3">
        <f>2631+(561.8-429.9)+(0+(0-0))+0-461.1-0</f>
        <v>2301.8000000000002</v>
      </c>
    </row>
    <row r="230" spans="1:31" s="2" customFormat="1" x14ac:dyDescent="0.25">
      <c r="A230">
        <v>89</v>
      </c>
      <c r="B230">
        <v>8</v>
      </c>
      <c r="C230">
        <v>14</v>
      </c>
      <c r="D230">
        <v>7</v>
      </c>
      <c r="E230">
        <v>1</v>
      </c>
      <c r="F230" s="3">
        <f>2618.9+(206.5-732.7)+(-2.671278+(-0.21063--0.747354))+0-444.7--0.453594000000071</f>
        <v>1646.3190399999996</v>
      </c>
      <c r="G230" s="3">
        <f>2608.7+(245.7-665.2)+(-1.330437+(-0.125307--0.339252))+0-615.7--0.314006999999938</f>
        <v>1572.6975149999996</v>
      </c>
      <c r="H230" s="3">
        <f>2431.6+(228.3-449.5)+(-1.240116+(-0.116433--0.229245))+0-630.2--0.321401999999936</f>
        <v>1579.394098</v>
      </c>
      <c r="I230" s="3">
        <f>2345.5+(221.7-413.2)+(-2.39241+(-0.226134--0.421464))+0-632--0.644640000000101</f>
        <v>1520.4475600000003</v>
      </c>
      <c r="J230" s="3">
        <f>2329.7+(216.5-331.7)+(-3.564441+(-0.331245--0.507501))+0-696.3--1.06533900000004</f>
        <v>1515.8771540000002</v>
      </c>
      <c r="K230" s="3">
        <f>2325.9+(244-361.8)+(2.372418+(0.24888-0.369036))+0-690.3-0.70410600000011</f>
        <v>1519.3481559999998</v>
      </c>
      <c r="L230" s="3">
        <f>2211.4+(240-335.7)+(-5.63907+(-0.612--0.856035))+0-696.5--1.7760749999999</f>
        <v>1415.5810400000003</v>
      </c>
      <c r="M230" s="3">
        <f>2109.6+(273.1-384)+(0+(0-0))+0-629.8-0</f>
        <v>1368.8999999999999</v>
      </c>
      <c r="N230" s="3">
        <f>2164.4+(332.8-423.6)+(-1.103844+(-0.169728--0.216036))+0-654.3--0.333692999999934</f>
        <v>1418.5761570000002</v>
      </c>
      <c r="O230" s="3">
        <f>2401.9+(358.3-481.6)+(1.224969+(0.182733-0.245616))+0-735.1-0.374900999999925</f>
        <v>1544.2871849999999</v>
      </c>
      <c r="P230" s="3">
        <f>2547.1+(262.7-533)+(-2.598042+(-0.267954--0.54366))+0-651.9--0.664938000000104</f>
        <v>1623.2426019999996</v>
      </c>
      <c r="Q230" s="3">
        <f>2578.2+(324.7-517.3)+(-6.57441+(-0.827985--1.319115))+0-746.2--1.90280999999989</f>
        <v>1635.2195299999998</v>
      </c>
      <c r="R230" s="3">
        <f>2477.4+(321.3-560.7)+(-2.526948+(-0.327726--0.571914))+0-626.1--0.6386220000001</f>
        <v>1610.2558620000002</v>
      </c>
      <c r="S230" s="3">
        <f>2328+(489-530.2)+(-3.56184+(-0.74817--0.811206))+0-712.3--1.08981900000004</f>
        <v>1572.0910150000004</v>
      </c>
      <c r="T230" s="3">
        <f>2214.8+(563.9-598.8)+(-2.259096+(-0.575178--0.610776))+0-635.6--0.648312000000101</f>
        <v>1542.7248140000004</v>
      </c>
      <c r="U230" s="3">
        <f>2293+(473.6-605)+(-3.50829+(-0.724608--0.92565))+0-594--0.908820000000034</f>
        <v>1565.2015719999999</v>
      </c>
      <c r="V230" s="3">
        <f>2314.3+(407.2-459.3)+(-2.360586+(-0.415344--0.468486))+0-638.2--0.650964000000102</f>
        <v>1622.3435200000004</v>
      </c>
      <c r="W230" s="3">
        <f>2552+(480.7-364.4)+(-1.30152+(-0.245157--0.185844))+0-668.2--0.340781999999932</f>
        <v>1999.0799489999999</v>
      </c>
      <c r="X230" s="3">
        <f>2653.9+(588-437.2)+(-2.706978+(-0.59976--0.445944))+0-712.5--0.726750000000114</f>
        <v>2090.0659560000004</v>
      </c>
      <c r="Y230" s="3">
        <f>2666.4+(390.5-366.9)+(-2.719728+(-0.39831--0.374238))+0-706.3--0.720426000000113</f>
        <v>1981.6766259999999</v>
      </c>
      <c r="Z230" s="3">
        <f>2648.9+(257.9-337.5)+(-4.052817+(-0.394587--0.516375))+0-690--1.05570000000004</f>
        <v>1876.4246710000004</v>
      </c>
      <c r="AA230" s="3">
        <f>2644.1+(241.3-308.5)+(-2.696982+(-0.246126--0.31467))+0-677.2--0.690744000000108</f>
        <v>1897.7623059999999</v>
      </c>
      <c r="AB230" s="3">
        <f>2629.1+(193.7-320.5)+(-1.340841+(-0.098787--0.163455))+0-628.3--0.320432999999936</f>
        <v>1873.0442599999994</v>
      </c>
      <c r="AC230" s="3">
        <f>2629.8+(104.9-322.3)+(-6.70599+(-0.267495--0.821865))+0-708.5--1.8066749999999</f>
        <v>1699.5550549999998</v>
      </c>
      <c r="AD230">
        <f t="shared" si="3"/>
        <v>39690.115642999997</v>
      </c>
      <c r="AE230" s="3">
        <f>2659+(737.4-425.6)+(0+(0-0))+0-803.1-0</f>
        <v>2167.7000000000003</v>
      </c>
    </row>
    <row r="231" spans="1:31" s="2" customFormat="1" x14ac:dyDescent="0.25">
      <c r="A231">
        <v>89</v>
      </c>
      <c r="B231">
        <v>8</v>
      </c>
      <c r="C231">
        <v>15</v>
      </c>
      <c r="D231">
        <v>1</v>
      </c>
      <c r="E231">
        <v>1</v>
      </c>
      <c r="F231" s="3">
        <f>2600.4+(83.3-458.5)+(-6.63102+(-0.212415--1.169175))+0-626.9--1.59859499999991</f>
        <v>1594.2243350000003</v>
      </c>
      <c r="G231" s="3">
        <f>2379+(113.6-313.6)+(-9.70632+(-0.463488--1.279488))+0-707.8--2.88782399999994</f>
        <v>1465.197504</v>
      </c>
      <c r="H231" s="3">
        <f>2215+(168-242)+(-4.5186+(-0.34272--0.49368))+0-682.3--1.39189199999997</f>
        <v>1455.724252</v>
      </c>
      <c r="I231" s="3">
        <f>2151.3+(283.4-172.7)+(2.194326+(0.289068-0.176154))+0-745.5-0.760410000000119</f>
        <v>1518.04683</v>
      </c>
      <c r="J231" s="3">
        <f>2156.6+(243.7-194.5)+(-1.099866+(-0.124287--0.099195))+0-672.3--0.342872999999932</f>
        <v>1532.7179149999997</v>
      </c>
      <c r="K231" s="3">
        <f>2155.7+(250.4-184.2)+(-3.298221+(-0.383112--0.281826))+0-646.7--0.989451000000038</f>
        <v>1572.7899439999997</v>
      </c>
      <c r="L231" s="3">
        <f>2243.3+(358.1-225.6)+(0+(0-0))+0-724.9-0</f>
        <v>1650.9</v>
      </c>
      <c r="M231" s="3">
        <f>2485.9+(345.7-444.9)+(-1.267809+(-0.176307--0.226899))+0-637.5--0.325124999999935</f>
        <v>1748.3079080000002</v>
      </c>
      <c r="N231" s="3">
        <f>2773.1+(352.8-476.1)+(1.414281+(0.179928-0.242811))+0-702.6-0.358325999999929</f>
        <v>1948.1930719999996</v>
      </c>
      <c r="O231" s="3">
        <f>2739.4+(303-386.2)+(2.794188+(0.30906-0.393924))+0-649.7-0.662694000000104</f>
        <v>2008.5466300000001</v>
      </c>
      <c r="P231" s="3">
        <f>2732.4+(398.2-372.4)+(0+(0-0))+0-660.1-0</f>
        <v>2098.1000000000004</v>
      </c>
      <c r="Q231" s="3">
        <f>2732.2+(407.4-374)+(-4.180266+(-0.623322--0.57222))+0-633.2--0.968796000000037</f>
        <v>2129.137428</v>
      </c>
      <c r="R231" s="3">
        <f>2739.8+(210.5-354.8)+(-9.781086+(-0.751485--1.266636))+0-638.7--2.28015900000001</f>
        <v>1949.814224</v>
      </c>
      <c r="S231" s="3">
        <f>2734.2+(223.7-372.2)+(-1.394442+(-0.114087--0.189822))+0-563.8--0.287537999999943</f>
        <v>2020.868831</v>
      </c>
      <c r="T231" s="3">
        <f>2725.9+(367.7-444.6)+(-5.560836+(-0.750108--0.906984))+0-568.5--1.15973999999998</f>
        <v>2076.25578</v>
      </c>
      <c r="U231" s="3">
        <f>2676.6+(340.9-564.7)+(0+(0-0))+0-459.7-0</f>
        <v>1993.0999999999997</v>
      </c>
      <c r="V231" s="3">
        <f>2729.8+(510.4-539.1)+(-1.392198+(-0.260304--0.274941))+0-663.5--0.338384999999933</f>
        <v>2036.5608240000006</v>
      </c>
      <c r="W231" s="3">
        <f>2766.5+(744-512.6)+(-1.410915+(-0.37944--0.261426))+0-675.8--0.344657999999931</f>
        <v>2320.9157290000003</v>
      </c>
      <c r="X231" s="3">
        <f>2792.1+(872.8-666.8)+(-7.119855+(-2.22564--1.70034))+0-626.8--1.59833999999991</f>
        <v>2365.253185</v>
      </c>
      <c r="Y231" s="3">
        <f>2797.8+(706.2-598)+(-8.561268+(-2.160972--1.82988))+0-754.1--2.30754600000009</f>
        <v>2145.3151860000003</v>
      </c>
      <c r="Z231" s="3">
        <f>2786.3+(234.1-434.6)+(-4.263039+(-0.358173--0.664938))+0-568.4--0.869652000000033</f>
        <v>2014.3133780000001</v>
      </c>
      <c r="AA231" s="3">
        <f>2757.6+(206.2-245.5)+(-4.219128+(-0.315486--0.375615))+0-678.9--1.03871700000004</f>
        <v>2036.2797179999995</v>
      </c>
      <c r="AB231" s="3">
        <f>2629.3+(278.6-323.9)+(-4.022829+(-0.426258--0.495567))+0-602.5--0.921825000000035</f>
        <v>1978.4683050000001</v>
      </c>
      <c r="AC231" s="3">
        <f>2558.6+(395.9-384)+(-5.219544+(-0.807636--0.78336))+0-701.1--1.43024399999997</f>
        <v>1865.5864239999999</v>
      </c>
      <c r="AD231">
        <f t="shared" si="3"/>
        <v>45524.617402000003</v>
      </c>
      <c r="AE231" s="3">
        <f>2773+(1060.2-617)+(0+(0-0))+0-733.8-0</f>
        <v>2482.3999999999996</v>
      </c>
    </row>
    <row r="232" spans="1:31" s="2" customFormat="1" x14ac:dyDescent="0.25">
      <c r="A232">
        <v>89</v>
      </c>
      <c r="B232">
        <v>8</v>
      </c>
      <c r="C232">
        <v>16</v>
      </c>
      <c r="D232">
        <v>2</v>
      </c>
      <c r="E232">
        <v>1</v>
      </c>
      <c r="F232" s="3">
        <f>2354.9+(506-474.5)+(-2.401998+(-0.51612--0.48399))+0-636.8--0.649536000000101</f>
        <v>1747.8154080000004</v>
      </c>
      <c r="G232" s="3">
        <f>2279.1+(445.3-422.9)+(-1.162341+(-0.227103--0.215679))+0-713.3--0.363782999999928</f>
        <v>1587.3900180000001</v>
      </c>
      <c r="H232" s="3">
        <f>2210.4+(394.8-331.7)+(-3.381912+(-0.604044--0.507501))+0-712.5--1.09012500000004</f>
        <v>1558.61167</v>
      </c>
      <c r="I232" s="3">
        <f>1979.9+(469.4-230.2)+(-2.019498+(-0.478788--0.234804))+0-619--0.631380000000099</f>
        <v>1598.4678980000001</v>
      </c>
      <c r="J232" s="3">
        <f>1964.8+(573.3-197.8)+(2.004096+(0.584766-0.201756))+0-751.4-0.76642800000012</f>
        <v>1590.5206779999996</v>
      </c>
      <c r="K232" s="3">
        <f>1959.6+(565.7-195.3)+(4.99698+(1.442535-0.498015))+0-714.6-1.8222299999999</f>
        <v>1619.51927</v>
      </c>
      <c r="L232" s="3">
        <f>1966.2+(523.7-211.7)+(-3.008286+(-0.801261--0.323901))+0-629--0.962370000000036</f>
        <v>1646.6767240000001</v>
      </c>
      <c r="M232" s="3">
        <f>2195+(407.4-197.8)+(-5.59725+(-1.03887--0.50439))+0-590.6--1.50602999999991</f>
        <v>1809.3742999999999</v>
      </c>
      <c r="N232" s="3">
        <f>2483.8+(344.3-263.8)+(3.800214+(0.526779-0.403614))+0-540.5-0.826965000000031</f>
        <v>2026.896414</v>
      </c>
      <c r="O232" s="3">
        <f>2525.7+(362.1-310.2)+(-3.864321+(-0.554013--0.474606))+0-514.7--0.78749100000003</f>
        <v>2059.7437629999995</v>
      </c>
      <c r="P232" s="3">
        <f>2516.2+(380.5-325.5)+(-1.283262+(-0.194055--0.166005))+0-527.8--0.269177999999946</f>
        <v>2042.3578660000001</v>
      </c>
      <c r="Q232" s="3">
        <f>2508+(425.1-272.3)+(-1.27908+(-0.216801--0.138873))+0-505.8--0.257957999999949</f>
        <v>2153.9009500000002</v>
      </c>
      <c r="R232" s="3">
        <f>2460.2+(381.3-286)+(-5.018808+(-0.777852--0.58344))+0-556.1--1.13444399999998</f>
        <v>1995.321224</v>
      </c>
      <c r="S232" s="3">
        <f>2410+(456.6-308.8)+(0+(0-0))+0-554.2-0</f>
        <v>2003.6000000000001</v>
      </c>
      <c r="T232" s="3">
        <f>2417.4+(521.5-313.5)+(2.465748+(0.53193-0.31977))+0-578-0.589560000000092</f>
        <v>2049.4883480000003</v>
      </c>
      <c r="U232" s="3">
        <f>2414.9+(474.7-318.5)+(-2.463198+(-0.484194--0.32487))+0-509--0.519180000000081</f>
        <v>2059.996658</v>
      </c>
      <c r="V232" s="3">
        <f>2415.8+(500-317.7)+(-1.232058+(-0.255--0.162027))+0-524.7--0.267596999999947</f>
        <v>2072.3425660000003</v>
      </c>
      <c r="W232" s="3">
        <f>2523+(877.5-430.7)+(-1.28673+(-0.447525--0.219657))+0-588.8--0.30028799999994</f>
        <v>2379.7856900000002</v>
      </c>
      <c r="X232" s="3">
        <f>2553.8+(1015.7-562.9)+(-1.302438+(-0.518007--0.287079))+0-620.1--0.316250999999937</f>
        <v>2385.2828850000001</v>
      </c>
      <c r="Y232" s="3">
        <f>2554.9+(673.2-519.7)+(-6.514995+(-1.71666--1.325235))+0-558.8--1.42493999999992</f>
        <v>2144.11852</v>
      </c>
      <c r="Z232" s="3">
        <f>2553+(498.1-336.5)+(-6.51015+(-1.270155--0.858075))+0-680--1.7339999999999</f>
        <v>2029.4117699999997</v>
      </c>
      <c r="AA232" s="3">
        <f>2535.2+(351.8-143.8)+(-2.585904+(-0.358836--0.146676))+0-694.9--0.708798000000111</f>
        <v>2046.2107339999998</v>
      </c>
      <c r="AB232" s="3">
        <f>2476.4+(388.4-222.6)+(-2.525928+(-0.396168--0.227052))+0-635.8--0.648516000000101</f>
        <v>2004.3534720000005</v>
      </c>
      <c r="AC232" s="3">
        <f>2422+(411.5-265)+(-6.1761+(-1.049325--0.67575))+0-676.8--1.7258399999999</f>
        <v>1886.8761649999997</v>
      </c>
      <c r="AD232">
        <f t="shared" si="3"/>
        <v>46498.062990999992</v>
      </c>
      <c r="AE232" s="3">
        <f>2524+(1091-532)+(0+(0-0))+0-669.7-0</f>
        <v>2413.3000000000002</v>
      </c>
    </row>
    <row r="233" spans="1:31" s="2" customFormat="1" x14ac:dyDescent="0.25">
      <c r="A233">
        <v>89</v>
      </c>
      <c r="B233">
        <v>8</v>
      </c>
      <c r="C233">
        <v>17</v>
      </c>
      <c r="D233">
        <v>3</v>
      </c>
      <c r="E233">
        <v>1</v>
      </c>
      <c r="F233" s="3">
        <f>2319.9+(391.2-272.7)+(-3.549447+(-0.598536--0.417231))+0-675.5--1.03351500000004</f>
        <v>1760.2027630000002</v>
      </c>
      <c r="G233" s="3">
        <f>2315.4+(317.5-298.7)+(-4.723416+(-0.6477--0.609348))+0-716.2--1.46104799999997</f>
        <v>1614.6992800000003</v>
      </c>
      <c r="H233" s="3">
        <f>2087.6+(369.2-229.8)+(-3.194028+(-0.564876--0.351594))+0-617.3--0.944469000000036</f>
        <v>1607.237159</v>
      </c>
      <c r="I233" s="3">
        <f>2003.8+(546.8-192.9)+(-1.021938+(-0.278868--0.098379))+0-754.7--0.384896999999923</f>
        <v>1602.1824699999995</v>
      </c>
      <c r="J233" s="3">
        <f>2011.7+(584.4-232.8)+(-1.025967+(-0.298044--0.118728))+0-741.2--0.378011999999925</f>
        <v>1621.2727290000003</v>
      </c>
      <c r="K233" s="3">
        <f>2009.6+(532.1-299.6)+(0+(0-0))+0-616.4-0</f>
        <v>1625.6999999999998</v>
      </c>
      <c r="L233" s="3">
        <f>2165.2+(539.4-371.8)+(-2.208504+(-0.550188--0.379236))+0-673.8--0.687276000000107</f>
        <v>1657.3078199999998</v>
      </c>
      <c r="M233" s="3">
        <f>2228+(522-351.8)+(-3.40884+(-0.79866--0.538254))+0-664.7--1.01699100000004</f>
        <v>1730.8477449999998</v>
      </c>
      <c r="N233" s="3">
        <f>2424.6+(439.6-320.8)+(-2.473092+(-0.448392--0.327216))+0-637.5--0.650250000000102</f>
        <v>1903.9559820000004</v>
      </c>
      <c r="O233" s="3">
        <f>2425.9+(621.1-238.4)+(0+(0-0))+0-730.8-0</f>
        <v>2077.8000000000002</v>
      </c>
      <c r="P233" s="3">
        <f>2539.2+(548.3-230)+(0+(0-0))+0-723.7-0</f>
        <v>2133.8000000000002</v>
      </c>
      <c r="Q233" s="3">
        <f>2650.3+(402.9-227.7)+(-4.054959+(-0.616437--0.348381))+0-679.7--1.03994100000004</f>
        <v>2142.5169260000002</v>
      </c>
      <c r="R233" s="3">
        <f>2652.1+(190.9-212.3)+(-6.762855+(-0.486795--0.541365))+0-624.8--1.59323999999991</f>
        <v>2000.7849549999996</v>
      </c>
      <c r="S233" s="3">
        <f>2644.2+(219.1-243)+(1.348542+(0.111741-0.12393))+0-608.4-0.310283999999938</f>
        <v>2012.9260689999999</v>
      </c>
      <c r="T233" s="3">
        <f>2652.3+(271.6-360.8)+(-2.705346+(-0.277032--0.368016))+0-504.1--0.51418200000008</f>
        <v>2056.8998200000005</v>
      </c>
      <c r="U233" s="3">
        <f>2622.4+(389.4-333.3)+(0+(0-0))+0-618.2-0</f>
        <v>2060.3000000000002</v>
      </c>
      <c r="V233" s="3">
        <f>2582+(449.9-250.5)+(-1.31682+(-0.229449--0.127755))+0-705.2--0.359651999999928</f>
        <v>2075.141138</v>
      </c>
      <c r="W233" s="3">
        <f>2654+(792.2-479.5)+(0+(0-0))+0-598.2-0</f>
        <v>2368.5</v>
      </c>
      <c r="X233" s="3">
        <f>2710.1+(693.8-566.3)+(-2.764302+(-0.707676--0.577626))+0-632.8--0.645456000000101</f>
        <v>2202.5511040000001</v>
      </c>
      <c r="Y233" s="3">
        <f>2717.6+(629.5-546.1)+(-6.92988+(-1.605225--1.392555))+0-659.2--1.6809599999999</f>
        <v>2136.3384099999994</v>
      </c>
      <c r="Z233" s="3">
        <f>2594.7+(596.8-429.9)+(-3.969891+(-0.913104--0.657747))+0-664.5--1.01668500000004</f>
        <v>2093.8914369999998</v>
      </c>
      <c r="AA233" s="3">
        <f>2538.1+(672.9-425.6)+(-2.588862+(-0.686358--0.434112))+0-713.1--0.727362000000114</f>
        <v>2070.1862539999997</v>
      </c>
      <c r="AB233" s="3">
        <f>2507+(703.7-461.1)+(-6.39285+(-1.794435--1.175805))+0-729.7--1.86073499999989</f>
        <v>2014.7492549999997</v>
      </c>
      <c r="AC233" s="3">
        <f>2414.3+(815.7-596.9)+(-4.925172+(-1.664028--1.217676))+0-671.4--1.36965599999997</f>
        <v>1957.6981320000002</v>
      </c>
      <c r="AD233">
        <f t="shared" si="3"/>
        <v>46527.489447999986</v>
      </c>
      <c r="AE233" s="3">
        <f>2693+(996.4-639)+(0+(0-0))+0-741.2-0</f>
        <v>2309.1999999999998</v>
      </c>
    </row>
    <row r="234" spans="1:31" s="2" customFormat="1" x14ac:dyDescent="0.25">
      <c r="A234">
        <v>89</v>
      </c>
      <c r="B234">
        <v>8</v>
      </c>
      <c r="C234">
        <v>18</v>
      </c>
      <c r="D234">
        <v>4</v>
      </c>
      <c r="E234">
        <v>1</v>
      </c>
      <c r="F234" s="3">
        <f>2393.4+(570.8-657.9)+(-4.882536+(-1.164432--1.342116))+0-626.7--1.27846799999997</f>
        <v>1676.1736160000003</v>
      </c>
      <c r="G234" s="3">
        <f>2396.5+(584.2-599.3)+(0+(0-0))+0-782.1-0</f>
        <v>1599.3000000000002</v>
      </c>
      <c r="H234" s="3">
        <f>2312.3+(608.6-580)+(-1.179273+(-0.310386--0.2958))+0-681.9--0.347768999999931</f>
        <v>1658.15391</v>
      </c>
      <c r="I234" s="3">
        <f>2243+(685-573.3)+(2.28786+(0.6987-0.584766))+0-732.6-0.747252000000117</f>
        <v>1623.7545419999997</v>
      </c>
      <c r="J234" s="3">
        <f>2238.4+(621.2-608.2)+(1.141584+(0.316812-0.310182))+0-684.2-0.348941999999931</f>
        <v>1567.999272</v>
      </c>
      <c r="K234" s="3">
        <f>2237.4+(648.8-654.6)+(0+(0-0))+0-621-0</f>
        <v>1610.6</v>
      </c>
      <c r="L234" s="3">
        <f>2257.7+(580.2-697.1)+(1.151427+(0.295902-0.355521))+0-582.3-0.296972999999941</f>
        <v>1559.2948349999999</v>
      </c>
      <c r="M234" s="3">
        <f>2408.2+(563.7-669.7)+(0+(0-0))+0-576.9-0</f>
        <v>1725.2999999999997</v>
      </c>
      <c r="N234" s="3">
        <f>2524.9+(460.9-483)+(1.287699+(0.235059-0.24633))+0-576.8-0.294167999999941</f>
        <v>1926.9822600000005</v>
      </c>
      <c r="O234" s="3">
        <f>2522.7+(424.8-433.2)+(-3.859731+(-0.649944--0.662796))+0-523.6--0.80110800000003</f>
        <v>1987.6542289999998</v>
      </c>
      <c r="P234" s="3">
        <f>2529.7+(433.1-312.7)+(0+(0-0))+0-522.1-0</f>
        <v>2128</v>
      </c>
      <c r="Q234" s="3">
        <f>2487.3+(492.8-237.8)+(-6.342615+(-1.25664--0.60639))+0-594--1.51469999999991</f>
        <v>2142.8218349999997</v>
      </c>
      <c r="R234" s="3">
        <f>2437.8+(411.5-264.9)+(0+(0-0))+0-575-0</f>
        <v>2009.4</v>
      </c>
      <c r="S234" s="3">
        <f>2443.5+(377.7-225.2)+(0+(0-0))+0-569.6-0</f>
        <v>2026.4</v>
      </c>
      <c r="T234" s="3">
        <f>2443.3+(376.7-205.1)+(1.246083+(0.192117-0.104601))+0-540.4-0.275603999999945</f>
        <v>2075.5579950000001</v>
      </c>
      <c r="U234" s="3">
        <f>2445.7+(418.2-216)+(0+(0-0))+0-579.2-0</f>
        <v>2068.6999999999998</v>
      </c>
      <c r="V234" s="3">
        <f>2471.8+(509.4-270.4)+(2.521236+(0.519588-0.275808))+0-588.3-0.600066000000094</f>
        <v>2124.6649500000003</v>
      </c>
      <c r="W234" s="3">
        <f>2562.3+(945.5-492.9)+(1.306773+(0.482205-0.251379))+0-550.6-0.280805999999944</f>
        <v>2465.5567930000002</v>
      </c>
      <c r="X234" s="3">
        <f>2581.3+(1042.8-641.8)+(-3.949389+(-1.595484--0.981954))+0-653--0.999090000000038</f>
        <v>2325.7361710000005</v>
      </c>
      <c r="Y234" s="3">
        <f>2584.3+(711.5-540.2)+(-6.589965+(-1.814325--1.37751))+0-565.7--1.44253499999992</f>
        <v>2184.3157550000005</v>
      </c>
      <c r="Z234" s="3">
        <f>2577.8+(677.2-431.6)+(-1.314678+(-0.345372--0.220116))+0-649.8--0.331397999999934</f>
        <v>2172.4914640000002</v>
      </c>
      <c r="AA234" s="3">
        <f>2578.9+(526.9-326.5)+(-2.630478+(-0.537438--0.33303))+0-717.5--0.731850000000114</f>
        <v>2059.6969640000002</v>
      </c>
      <c r="AB234" s="3">
        <f>2584.6+(321.2-307.7)+(-7.908876+(-0.982872--0.941562))+0-601.5--1.84059000000007</f>
        <v>1990.4904039999999</v>
      </c>
      <c r="AC234" s="3">
        <f>2574.1+(308.4-357.1)+(-6.563955+(-0.78642--0.910605))+0-671--1.7110499999999</f>
        <v>1849.6712799999996</v>
      </c>
      <c r="AD234">
        <f t="shared" si="3"/>
        <v>46558.716275000013</v>
      </c>
      <c r="AE234" s="3">
        <f>2571+(1033.6-670.8)+(0+(0-0))+0-565.9-0</f>
        <v>2367.9</v>
      </c>
    </row>
    <row r="235" spans="1:31" s="2" customFormat="1" x14ac:dyDescent="0.25">
      <c r="A235">
        <v>89</v>
      </c>
      <c r="B235">
        <v>8</v>
      </c>
      <c r="C235">
        <v>19</v>
      </c>
      <c r="D235">
        <v>5</v>
      </c>
      <c r="E235">
        <v>1</v>
      </c>
      <c r="F235" s="3">
        <f>2576.6+(223.2-428.1)+(-3.942198+(-0.341496--0.654993))+0-609.5--0.932535000000035</f>
        <v>1759.5038339999999</v>
      </c>
      <c r="G235" s="3">
        <f>2583+(216.3-476.5)+(-2.63466+(-0.220626--0.48603))+0-622.7--0.635154000000099</f>
        <v>1698.3658980000002</v>
      </c>
      <c r="H235" s="3">
        <f>2581.3+(235.8-454.5)+(0+(0-0))+0-724.8-0</f>
        <v>1637.8000000000004</v>
      </c>
      <c r="I235" s="3">
        <f>2444.4+(290.3-444)+(-4.986576+(-0.592212--0.90576))+0-644.6--1.31498399999997</f>
        <v>1642.7419560000001</v>
      </c>
      <c r="J235" s="3">
        <f>2212.8+(470.3-367.3)+(5.64264+(1.199265-0.936615))+0-714-1.8206999999999</f>
        <v>1605.8845900000003</v>
      </c>
      <c r="K235" s="3">
        <f>2213.3+(437.5-373.4)+(-3.386349+(-0.669375--0.571302))+0-647.1--0.990063000000037</f>
        <v>1627.8056410000002</v>
      </c>
      <c r="L235" s="3">
        <f>2209.3+(458.4-367.6)+(-5.633715+(-1.16892--0.93738))+0-642.7--1.63888499999991</f>
        <v>1653.17363</v>
      </c>
      <c r="M235" s="3">
        <f>2255.6+(352.3-301.2)+(-1.150356+(-0.179673--0.153612))+0-575.9--0.293708999999942</f>
        <v>1729.9172919999996</v>
      </c>
      <c r="N235" s="3">
        <f>2545.8+(404.9-360.8)+(0+(0-0))+0-541.5-0</f>
        <v>2048.4</v>
      </c>
      <c r="O235" s="3">
        <f>2656.7+(368.2-457.6)+(0+(0-0))+0-377.3-0</f>
        <v>2189.9999999999995</v>
      </c>
      <c r="P235" s="3">
        <f>2657.6+(410-528.9)+(1.355376+(0.2091-0.269739))+0-333.8-0.170237999999966</f>
        <v>2206.0244989999997</v>
      </c>
      <c r="Q235" s="3">
        <f>2644.9+(492.5-503)+(-8.093394+(-1.50705--1.53918))+0-403.6--1.23501600000005</f>
        <v>2223.9737520000003</v>
      </c>
      <c r="R235" s="3">
        <f>2677.3+(373.8-550.3)+(-2.730846+(-0.381276--0.561306))+0-477.1--0.486642000000076</f>
        <v>2021.6358260000004</v>
      </c>
      <c r="S235" s="3">
        <f>2705.4+(275.3-426.2)+(0+(0-0))+0-494.6-0</f>
        <v>2059.9</v>
      </c>
      <c r="T235" s="3">
        <f>2723.9+(218.8-428.5)+(-2.778378+(-0.223176--0.43707))+0-402--0.410040000000064</f>
        <v>2110.0455560000005</v>
      </c>
      <c r="U235" s="3">
        <f>2796.6+(184.8-485.6)+(-4.278798+(-0.282744--0.742968))+0-388.9--0.595017000000022</f>
        <v>2103.6764429999998</v>
      </c>
      <c r="V235" s="3">
        <f>2848.4+(264.6-625.4)+(1.452684+(0.134946-0.318954))+0-359.6-0.183395999999964</f>
        <v>2129.0852800000007</v>
      </c>
      <c r="W235" s="3">
        <f>2894.6+(915.7-814.7)+(1.476246+(0.467007-0.415497))+0-625-0.318749999999937</f>
        <v>2371.809006</v>
      </c>
      <c r="X235" s="3">
        <f>2910+(1035.2-874.2)+(0+(0-0))+0-553.7-0</f>
        <v>2517.3000000000002</v>
      </c>
      <c r="Y235" s="3">
        <f>2917.3+(846.5-743.7)+(-8.926938+(-2.59029--2.275722))+0-615.1--1.88220600000007</f>
        <v>2397.6407000000008</v>
      </c>
      <c r="Z235" s="3">
        <f>2914.7+(601.7-762.5)+(-2.972994+(-0.613734--0.77775))+0-571.9--0.583338000000091</f>
        <v>2179.7743599999994</v>
      </c>
      <c r="AA235" s="3">
        <f>2920.3+(615.5-777.1)+(1.489353+(0.313905-0.396321))+0-619.2-0.315791999999937</f>
        <v>2140.5911450000008</v>
      </c>
      <c r="AB235" s="3">
        <f>2842.8+(554.5-706.9)+(-5.799312+(-1.13118--1.442076))+0-630.5--1.28621999999997</f>
        <v>2055.6978039999999</v>
      </c>
      <c r="AC235" s="3">
        <f>2773.5+(354.6-659.5)+(-4.243455+(-0.542538--1.009035))+0-613.7--0.938961000000036</f>
        <v>1852.062003</v>
      </c>
      <c r="AD235">
        <f t="shared" si="3"/>
        <v>47962.809215000008</v>
      </c>
      <c r="AE235" s="3">
        <f>2902+(1201.3-821.3)+(0+(0-0))+0-722.8-0</f>
        <v>2559.1999999999998</v>
      </c>
    </row>
    <row r="236" spans="1:31" s="2" customFormat="1" x14ac:dyDescent="0.25">
      <c r="A236">
        <v>89</v>
      </c>
      <c r="B236">
        <v>8</v>
      </c>
      <c r="C236">
        <v>20</v>
      </c>
      <c r="D236">
        <v>6</v>
      </c>
      <c r="E236">
        <v>1</v>
      </c>
      <c r="F236" s="3">
        <f>2781.2+(303.2-624.6)+(-2.836824+(-0.309264--0.637092))+0-695.6--0.709512000000111</f>
        <v>1762.4005159999999</v>
      </c>
      <c r="G236" s="3">
        <f>2700.1+(321-661.1)+(-4.131153+(-0.49113--1.011483))+0-664.9--1.01729700000004</f>
        <v>1692.5064970000001</v>
      </c>
      <c r="H236" s="3">
        <f>2565.4+(306.9-602.2)+(-3.925062+(-0.469557--0.921366))+0-682.3--1.04391900000004</f>
        <v>1585.3706659999998</v>
      </c>
      <c r="I236" s="3">
        <f>2545.2+(295.2-612.7)+(1.298052+(0.150552-0.312477))+0-632.7-0.322676999999936</f>
        <v>1595.8134500000001</v>
      </c>
      <c r="J236" s="3">
        <f>2536.9+(290-580.2)+(3.881457+(0.4437-0.887706))+0-610.5-0.934065000000035</f>
        <v>1638.7033859999995</v>
      </c>
      <c r="K236" s="3">
        <f>2443.3+(304.4-464.7)+(2.492166+(0.310488-0.473994))+0-641.7-0.654534000000102</f>
        <v>1642.9741260000001</v>
      </c>
      <c r="L236" s="3">
        <f>2575.5+(136.6-475)+(-1.313505+(-0.069666--0.24225))+0-616.7--0.314516999999937</f>
        <v>1619.5735959999997</v>
      </c>
      <c r="M236" s="3">
        <f>2672.3+(151.2-445.4)+(4.088619+(0.231336-0.681462))+0-622.5-0.952425000000036</f>
        <v>1758.2860680000003</v>
      </c>
      <c r="N236" s="3">
        <f>2647.8+(402-374.7)+(4.051134+(0.61506-0.573291))+0-645.4-0.987462000000037</f>
        <v>2032.8054410000004</v>
      </c>
      <c r="O236" s="3">
        <f>2627.1+(547.9-393.5)+(2.679642+(0.558858-0.40137))+0-626.4-0.6389280000001</f>
        <v>2157.2982019999995</v>
      </c>
      <c r="P236" s="3">
        <f>2612.8+(579-438.6)+(3.997584+(0.88587-0.671058))+0-625.2-0.956556000000036</f>
        <v>2131.2558399999998</v>
      </c>
      <c r="Q236" s="3">
        <f>2605.6+(537.6-363.5)+(-2.657712+(-0.548352--0.37077))+0-671.6--0.685032000000107</f>
        <v>2105.9497380000003</v>
      </c>
      <c r="R236" s="3">
        <f>2615.5+(302.2-287.1)+(-2.66781+(-0.308244--0.292842))+0-663.4--0.676668000000106</f>
        <v>1965.193456</v>
      </c>
      <c r="S236" s="3">
        <f>2721.3+(164.7-286)+(-5.551452+(-0.335988--0.58344))+0-673.4--1.37373599999997</f>
        <v>1922.6697359999998</v>
      </c>
      <c r="T236" s="3">
        <f>2726.5+(221.5-315.9)+(-5.56206+(-0.45186--0.644436))+0-629--1.28315999999997</f>
        <v>1999.013676</v>
      </c>
      <c r="U236" s="3">
        <f>2726.9+(186.7-315)+(-4.172157+(-0.285651--0.48195))+0-637.8--0.975834000000037</f>
        <v>1957.7999760000002</v>
      </c>
      <c r="V236" s="3">
        <f>2729.6+(294.7-326.6)+(2.784192+(0.300594-0.333132))+0-677.8-0.691356000000108</f>
        <v>2021.960298</v>
      </c>
      <c r="W236" s="3">
        <f>2764.3+(737.5-501.2)+(-1.409793+(-0.376125--0.255612))+0-695--0.354449999999929</f>
        <v>2304.4241440000001</v>
      </c>
      <c r="X236" s="3">
        <f>2782.3+(720.7-641.6)+(-7.094865+(-1.837785--1.63608))+0-580.1--1.47925499999992</f>
        <v>2275.4826849999999</v>
      </c>
      <c r="Y236" s="3">
        <f>2779.4+(713.2-543)+(-4.252482+(-1.091196--0.83079))+0-764.6--1.16983800000004</f>
        <v>2181.6569500000005</v>
      </c>
      <c r="Z236" s="3">
        <f>2783.4+(582.7-578.5)+(-1.419534+(-0.297177--0.295035))+0-700.7--0.357356999999929</f>
        <v>2085.8356810000005</v>
      </c>
      <c r="AA236" s="3">
        <f>2787.2+(509.2-524.3)+(-4.264416+(-0.779076--0.802179))+0-724.8--1.10894400000004</f>
        <v>2044.167631</v>
      </c>
      <c r="AB236" s="3">
        <f>2781.5+(296.3-487.6)+(-4.255695+(-0.453339--0.746028))+0-617.6--0.944928000000036</f>
        <v>1969.5819220000001</v>
      </c>
      <c r="AC236" s="3">
        <f>2783.1+(327.1-490.8)+(-5.677524+(-0.667284--1.001232))+0-756.4--1.54305599999997</f>
        <v>1859.1994799999998</v>
      </c>
      <c r="AD236">
        <f t="shared" si="3"/>
        <v>46309.923160999984</v>
      </c>
      <c r="AE236" s="3">
        <f>2775+(992.4-641.3)+(0+(0-0))+0-817.1-0</f>
        <v>2309</v>
      </c>
    </row>
    <row r="237" spans="1:31" s="2" customFormat="1" x14ac:dyDescent="0.25">
      <c r="A237">
        <v>89</v>
      </c>
      <c r="B237">
        <v>8</v>
      </c>
      <c r="C237">
        <v>21</v>
      </c>
      <c r="D237">
        <v>7</v>
      </c>
      <c r="E237">
        <v>1</v>
      </c>
      <c r="F237" s="3">
        <f>2734.2+(218.8-507.9)+(-4.183326+(-0.334764--0.777087))+0-718.1--1.09869300000004</f>
        <v>1724.35769</v>
      </c>
      <c r="G237" s="3">
        <f>2540.8+(151.6-440.8)+(-3.887424+(-0.231948--0.674424))+0-627.4--0.959922000000036</f>
        <v>1621.7149740000004</v>
      </c>
      <c r="H237" s="3">
        <f>2437.6+(205.6-322.6)+(-2.486352+(-0.209712--0.329052))+0-739.9--0.754698000000118</f>
        <v>1579.0876859999998</v>
      </c>
      <c r="I237" s="3">
        <f>2277.8+(259.9-299.8)+(-3.485034+(-0.397647--0.458694))+0-656.8--1.00490400000004</f>
        <v>1578.6809170000001</v>
      </c>
      <c r="J237" s="3">
        <f>2238.6+(261.6-281.5)+(-1.141686+(-0.133416--0.143565))+0-677.5--0.345524999999931</f>
        <v>1540.4139879999996</v>
      </c>
      <c r="K237" s="3">
        <f>2239.9+(340.7-246.6)+(-1.142349+(-0.173757--0.125766))+0-780.1--0.397850999999921</f>
        <v>1553.1075109999999</v>
      </c>
      <c r="L237" s="3">
        <f>2239.7+(190.6-290.9)+(-7.995729+(-0.680442--1.038513))+0-614--2.19198000000001</f>
        <v>1519.9543219999996</v>
      </c>
      <c r="M237" s="3">
        <f>2285.6+(173.6-303.6)+(1.165656+(0.088536-0.154836))+0-631-0.321809999999936</f>
        <v>1525.3775460000002</v>
      </c>
      <c r="N237" s="3">
        <f>2422.9+(122.2-384.5)+(-3.707037+(-0.186966--0.588285))+0-632.1--0.967113000000037</f>
        <v>1526.1613949999999</v>
      </c>
      <c r="O237" s="3">
        <f>2631.1+(147-434.3)+(-2.683722+(-0.14994--0.442986))+0-706.4--0.720528000000113</f>
        <v>1635.7298519999997</v>
      </c>
      <c r="P237" s="3">
        <f>2716.5+(158.9-401)+(-1.385415+(-0.081039--0.20451))+0-702.4--0.358223999999929</f>
        <v>1771.09628</v>
      </c>
      <c r="Q237" s="3">
        <f>2733.9+(167.9-398.6)+(-1.394289+(-0.085629--0.203286))+0-710.9--0.362558999999928</f>
        <v>1791.385927</v>
      </c>
      <c r="R237" s="3">
        <f>2716.8+(149.2-398.8)+(-5.542272+(-0.304368--0.813552))+0-748.5--1.52693999999997</f>
        <v>1715.1938520000001</v>
      </c>
      <c r="S237" s="3">
        <f>2642.1+(159.8-413.2)+(5.389884+(0.325992-0.842928))+0-725.2-1.47940799999997</f>
        <v>1666.89354</v>
      </c>
      <c r="T237" s="3">
        <f>2651+(143.7-551.9)+(-4.05603+(-0.219861--0.844407))+0-547.8--0.838134000000032</f>
        <v>1692.4066500000001</v>
      </c>
      <c r="U237" s="3">
        <f>2563.8+(165.9-392.6)+(-1.307538+(-0.084609--0.200226))+0-676--0.344759999999931</f>
        <v>1660.2528390000002</v>
      </c>
      <c r="V237" s="3">
        <f>2399.9+(281.5-321.2)+(-1.223949+(-0.143565--0.163812))+0-666.7--0.340016999999932</f>
        <v>1692.6363150000004</v>
      </c>
      <c r="W237" s="3">
        <f>2593.8+(446.5-415.5)+(-3.968514+(-0.683145--0.635715))+0-614.4--0.940032000000036</f>
        <v>2007.3240879999998</v>
      </c>
      <c r="X237" s="3">
        <f>2786.5+(386.2-557.6)+(-9.947805+(-1.378734--1.990632))+0-577.3--2.06096100000001</f>
        <v>2030.5250539999997</v>
      </c>
      <c r="Y237" s="3">
        <f>2783.8+(667.3-608.1)+(-4.259214+(-1.020969--0.930393))+0-777.9--1.19018700000004</f>
        <v>2061.9403969999998</v>
      </c>
      <c r="Z237" s="3">
        <f>2728.8+(612.9-634.1)+(-5.566752+(-1.250316--1.293564))+0-776.8--1.58467199999997</f>
        <v>1926.8611680000006</v>
      </c>
      <c r="AA237" s="3">
        <f>2706.7+(534.7-617.3)+(-2.760834+(-0.545394--0.629646))+0-706.9--0.721038000000113</f>
        <v>1915.2444559999999</v>
      </c>
      <c r="AB237" s="3">
        <f>2702.8+(395.3-525.1)+(-4.135284+(-0.604809--0.803403))+0-730.1--1.11705300000004</f>
        <v>1840.080363</v>
      </c>
      <c r="AC237" s="3">
        <f>2491.2+(348.9-478.9)+(-3.811536+(-0.533817--0.732717))+0-645.8--0.988074000000037</f>
        <v>1712.7754380000001</v>
      </c>
      <c r="AD237">
        <f t="shared" si="3"/>
        <v>41289.202248000001</v>
      </c>
      <c r="AE237" s="3">
        <f>2779+(533.1-495.8)+(0+(0-0))+0-843.3-0</f>
        <v>1973.0000000000002</v>
      </c>
    </row>
    <row r="238" spans="1:31" s="2" customFormat="1" x14ac:dyDescent="0.25">
      <c r="A238">
        <v>89</v>
      </c>
      <c r="B238">
        <v>8</v>
      </c>
      <c r="C238">
        <v>22</v>
      </c>
      <c r="D238">
        <v>1</v>
      </c>
      <c r="E238">
        <v>1</v>
      </c>
      <c r="F238" s="3">
        <f>2380.7+(356-424.9)+(2.428314+(0.36312-0.433398))+0-725.6-0.740112000000116</f>
        <v>1587.8179239999997</v>
      </c>
      <c r="G238" s="3">
        <f>2079.6+(466.9-407.3)+(0+(0-0))+0-596.4-0</f>
        <v>1542.7999999999997</v>
      </c>
      <c r="H238" s="3">
        <f>1898.1+(684.6-324.3)+(0.968031+(0.349146-0.165393))+0-755.3-0.385202999999923</f>
        <v>1503.8665810000005</v>
      </c>
      <c r="I238" s="3">
        <f>1897.1+(605.4-313.5)+(1.935042+(0.617508-0.31977))+0-703.5-0.717570000000112</f>
        <v>1487.0152099999998</v>
      </c>
      <c r="J238" s="3">
        <f>1893.1+(627.9-309.1)+(1.930962+(0.640458-0.315282))+0-705.6-0.719712000000112</f>
        <v>1507.8364259999998</v>
      </c>
      <c r="K238" s="3">
        <f>1895+(647.3-301.3)+(-0.96645+(-0.330123--0.153663))+0-701.1--0.357560999999929</f>
        <v>1539.1146510000001</v>
      </c>
      <c r="L238" s="3">
        <f>2054.3+(539.3-344.8)+(-3.143079+(-0.825129--0.527544))+0-625.9--0.957627000000036</f>
        <v>1620.4169629999999</v>
      </c>
      <c r="M238" s="3">
        <f>2220.6+(568.8-359.3)+(-1.132506+(-0.290088--0.183243))+0-642.2--0.327521999999935</f>
        <v>1786.9881709999997</v>
      </c>
      <c r="N238" s="3">
        <f>2632.1+(506.7-435.9)+(-2.684742+(-0.516834--0.444618))+0-676.4--0.689928000000108</f>
        <v>2024.4329700000001</v>
      </c>
      <c r="O238" s="3">
        <f>2750.8+(550.1-487.4)+(-4.208724+(-0.841653--0.745722))+0-641.8--0.981954000000037</f>
        <v>2168.3772989999998</v>
      </c>
      <c r="P238" s="3">
        <f>2740+(685.7-551.1)+(0+(0-0))+0-716.4-0</f>
        <v>2158.1999999999998</v>
      </c>
      <c r="Q238" s="3">
        <f>2726.9+(769.8-573.6)+(-1.390719+(-0.392598--0.292536))+0-690--0.35189999999993</f>
        <v>2231.9611190000001</v>
      </c>
      <c r="R238" s="3">
        <f>2724.5+(556-549)+(-5.55798+(-1.13424--1.11996))+0-654.9--1.33599599999997</f>
        <v>2072.3637359999998</v>
      </c>
      <c r="S238" s="3">
        <f>2714.8+(621-545.4)+(-2.769096+(-0.63342--0.556308))+0-708--0.722160000000113</f>
        <v>2080.2759520000004</v>
      </c>
      <c r="T238" s="3">
        <f>2717+(561.7-600.3)+(-1.38567+(-0.286467--0.306153))+0-597.4--0.304673999999939</f>
        <v>2079.93869</v>
      </c>
      <c r="U238" s="3">
        <f>2717.3+(595.4-548.6)+(1.385823+(0.303654-0.279786))+0-699.7-0.356846999999929</f>
        <v>2065.4528440000004</v>
      </c>
      <c r="V238" s="3">
        <f>2718.2+(728.4-539.1)+(2.772564+(0.742968-0.549882))+0-732.6-0.747252000000117</f>
        <v>2177.1183980000001</v>
      </c>
      <c r="W238" s="3">
        <f>2751.1+(1210.9-786.9)+(0+(0-0))+0-647.3-0</f>
        <v>2527.8000000000002</v>
      </c>
      <c r="X238" s="3">
        <f>2775.5+(1224.4-1005.9)+(-1.415505+(-0.624444--0.513009))+0-679.4--0.346493999999931</f>
        <v>2313.4195539999996</v>
      </c>
      <c r="Y238" s="3">
        <f>2777.6+(843.9-836.3)+(-5.666304+(-1.721556--1.706052))+0-631.4--1.28805599999997</f>
        <v>2149.4062479999998</v>
      </c>
      <c r="Z238" s="3">
        <f>2776.5+(691.4-594.4)+(-1.416015+(-0.352614--0.303144))+0-704.1--0.359090999999929</f>
        <v>2168.2936059999997</v>
      </c>
      <c r="AA238" s="3">
        <f>2798.1+(655.7-545.4)+(-4.281093+(-1.003221--0.834462))+0-764.1--1.16907300000004</f>
        <v>2141.019221</v>
      </c>
      <c r="AB238" s="3">
        <f>2741.5+(592.1-571.4)+(-6.990825+(-1.509855--1.45707))+0-660.6--1.6845299999999</f>
        <v>2096.2409199999997</v>
      </c>
      <c r="AC238" s="3">
        <f>2510+(559.8-514.8)+(-6.4005+(-1.42749--1.31274))+0-638.1--1.62715499999991</f>
        <v>1912.0119050000001</v>
      </c>
      <c r="AD238">
        <f t="shared" si="3"/>
        <v>46942.168387999991</v>
      </c>
      <c r="AE238" s="3">
        <f>2746+(1410.9-1071.5)+(0+(0-0))+0-690.6-0</f>
        <v>2394.8000000000002</v>
      </c>
    </row>
    <row r="239" spans="1:31" s="2" customFormat="1" x14ac:dyDescent="0.25">
      <c r="A239">
        <v>89</v>
      </c>
      <c r="B239">
        <v>8</v>
      </c>
      <c r="C239">
        <v>23</v>
      </c>
      <c r="D239">
        <v>2</v>
      </c>
      <c r="E239">
        <v>1</v>
      </c>
      <c r="F239" s="3">
        <f>2247.5+(457.1-471.2)+(-4.5849+(-0.932484--0.961248))+0-533.3--1.08793199999998</f>
        <v>1696.6317959999999</v>
      </c>
      <c r="G239" s="3">
        <f>2221.8+(366.6-419.4)+(-5.66559+(-0.93483--1.06947))+0-551.9--1.40734499999992</f>
        <v>1612.9763949999999</v>
      </c>
      <c r="H239" s="3">
        <f>2089.4+(563.4-241.5)+(-1.065594+(-0.287334--0.123165))+0-745.2--0.380051999999924</f>
        <v>1665.2502890000003</v>
      </c>
      <c r="I239" s="3">
        <f>2079.1+(542.5-257.5)+(-2.120682+(-0.55335--0.26265))+0-704.8--0.718896000000112</f>
        <v>1657.6075140000003</v>
      </c>
      <c r="J239" s="3">
        <f>2085.9+(541.2-337.1)+(-2.127618+(-0.552024--0.343842))+0-648.3--0.661266000000103</f>
        <v>1640.0254660000003</v>
      </c>
      <c r="K239" s="3">
        <f>2090+(623.6-352.4)+(3.1977+(0.954108-0.539172))+0-692.4-1.05937200000004</f>
        <v>1671.3532639999996</v>
      </c>
      <c r="L239" s="3">
        <f>2169.3+(512.2-378.1)+(0+(0-0))+0-628.6-0</f>
        <v>1674.8000000000002</v>
      </c>
      <c r="M239" s="3">
        <f>2425.2+(412.8-395.7)+(1.236852+(0.210528-0.201807))+0-581.9-0.296768999999941</f>
        <v>1861.3488039999997</v>
      </c>
      <c r="N239" s="3">
        <f>2610.7+(359.4-370.1)+(-5.325828+(-0.733176--0.755004))+0-569.6--1.16198399999998</f>
        <v>2026.2579840000001</v>
      </c>
      <c r="O239" s="3">
        <f>2607.6+(448-390.8)+(0+(0-0))+0-550.3-0</f>
        <v>2114.5</v>
      </c>
      <c r="P239" s="3">
        <f>2599.9+(402.2-398.7)+(-1.325949+(-0.205122--0.203337))+0-437.1--0.222920999999956</f>
        <v>2165.1951870000003</v>
      </c>
      <c r="Q239" s="3">
        <f>2603.8+(491.3-341.5)+(-3.983814+(-0.751689--0.522495))+0-573.4--0.877302000000033</f>
        <v>2176.864294</v>
      </c>
      <c r="R239" s="3">
        <f>2602.4+(353.8-389)+(-5.308896+(-0.721752--0.79356))+0-533.4--1.08813599999998</f>
        <v>2029.6510480000004</v>
      </c>
      <c r="S239" s="3">
        <f>2518.8+(543.7-397.8)+(-2.569176+(-0.554574--0.405756))+0-616.7--0.629034000000098</f>
        <v>2045.9110400000002</v>
      </c>
      <c r="T239" s="3">
        <f>2514.9+(458.5-308)+(-1.282599+(-0.233835--0.15708))+0-563--0.287129999999943</f>
        <v>2101.3277760000001</v>
      </c>
      <c r="U239" s="3">
        <f>2515.5+(446.5-347.1)+(-2.56581+(-0.45543--0.354042))+0-512.1--0.522342000000082</f>
        <v>2100.6551440000003</v>
      </c>
      <c r="V239" s="3">
        <f>2624.7+(577.3-467.3)+(0+(0-0))+0-566.3-0</f>
        <v>2168.3999999999996</v>
      </c>
      <c r="W239" s="3">
        <f>2765.1+(1087.9-771.8)+(4.230603+(1.664487-1.180854))+0-529.2-0.809676000000031</f>
        <v>2555.9045599999999</v>
      </c>
      <c r="X239" s="3">
        <f>2790.1+(1249.4-1086.5)+(-5.691804+(-2.548776--2.21646))+0-610.8--1.24603199999997</f>
        <v>2337.4219119999998</v>
      </c>
      <c r="Y239" s="3">
        <f>2796.1+(997-947.5)+(-7.130055+(-2.54235--2.416125))+0-644.6--1.64372999999991</f>
        <v>2195.3874499999997</v>
      </c>
      <c r="Z239" s="3">
        <f>2797.7+(669.8-702.1)+(-2.853654+(-0.683196--0.716142))+0-642.6--0.655452000000103</f>
        <v>2120.6347439999995</v>
      </c>
      <c r="AA239" s="3">
        <f>2757.3+(520.3-554.7)+(-4.218669+(-0.796059--0.848691))+0-688.2--1.05294600000004</f>
        <v>2031.5869090000001</v>
      </c>
      <c r="AB239" s="3">
        <f>2624.5+(675.2-472)+(-5.35398+(-1.377408--0.96288))+0-717.5--1.46369999999997</f>
        <v>2105.8951919999995</v>
      </c>
      <c r="AC239" s="3">
        <f>2484.6+(487.3-502.4)+(-6.33573+(-1.242615--1.28112))+0-560.5--1.42927499999992</f>
        <v>1904.1320500000002</v>
      </c>
      <c r="AD239">
        <f t="shared" si="3"/>
        <v>47659.718818000001</v>
      </c>
      <c r="AE239" s="3">
        <f>2780+(1324.4-1116.9)+(0+(0-0))+0-559.7-0</f>
        <v>2427.8000000000002</v>
      </c>
    </row>
    <row r="240" spans="1:31" s="2" customFormat="1" x14ac:dyDescent="0.25">
      <c r="A240">
        <v>89</v>
      </c>
      <c r="B240">
        <v>8</v>
      </c>
      <c r="C240">
        <v>24</v>
      </c>
      <c r="D240">
        <v>3</v>
      </c>
      <c r="E240">
        <v>1</v>
      </c>
      <c r="F240" s="3">
        <f>2372.4+(401.8-442.8)+(-6.04962+(-1.02459--1.12914))+0-622.4--1.58711999999991</f>
        <v>1704.6420499999997</v>
      </c>
      <c r="G240" s="3">
        <f>2279+(465.1-376.6)+(-4.64916+(-0.948804--0.768264))+0-737--1.50347999999997</f>
        <v>1627.1737800000003</v>
      </c>
      <c r="H240" s="3">
        <f>2027.3+(588.9-280.1)+(-3.101769+(-0.901017--0.428553))+0-704.4--1.07773200000004</f>
        <v>1629.203499</v>
      </c>
      <c r="I240" s="3">
        <f>2024.9+(579-226.3)+(0+(0-0))+0-788.4-0</f>
        <v>1589.1999999999998</v>
      </c>
      <c r="J240" s="3">
        <f>2027.9+(580.8-264.7)+(-1.034229+(-0.296208--0.134997))+0-667.1--0.340220999999932</f>
        <v>1676.0447810000001</v>
      </c>
      <c r="K240" s="3">
        <f>2102.7+(630.1-284.1)+(3.217131+(0.964053-0.434673))+0-743.9-1.13816700000004</f>
        <v>1707.4083439999995</v>
      </c>
      <c r="L240" s="3">
        <f>2309.8+(484.2-391.2)+(-1.177998+(-0.246942--0.199512))+0-699.1--0.356540999999929</f>
        <v>1702.831113</v>
      </c>
      <c r="M240" s="3">
        <f>2428.3+(586.3-370.1)+(-2.476866+(-0.598026--0.377502))+0-805.6--0.821712000000128</f>
        <v>1837.0243220000004</v>
      </c>
      <c r="N240" s="3">
        <f>2444.6+(529.9-369.5)+(-1.246746+(-0.270249--0.188445))+0-625.6--0.319055999999937</f>
        <v>1978.390506</v>
      </c>
      <c r="O240" s="3">
        <f>2422+(625-289.7)+(-1.23522+(-0.31875--0.147747))+0-731.1--0.372860999999926</f>
        <v>2025.1666380000001</v>
      </c>
      <c r="P240" s="3">
        <f>2408+(781.1-261.9)+(-2.45616+(-0.796722--0.267138))+0-709.9--0.724098000000113</f>
        <v>2215.0383539999998</v>
      </c>
      <c r="Q240" s="3">
        <f>2400+(676.1-285.8)+(-4.896+(-1.379244--0.583032))+0-646--1.31783999999997</f>
        <v>2139.9256280000004</v>
      </c>
      <c r="R240" s="3">
        <f>2429.1+(561.7-293.1)+(-6.194205+(-1.432335--0.747405))+0-740.8--1.88903999999989</f>
        <v>1951.9099049999995</v>
      </c>
      <c r="S240" s="3">
        <f>2468.5+(451.3-266.5)+(-1.258935+(-0.230163--0.135915))+0-709.8--0.361997999999928</f>
        <v>1942.5088149999999</v>
      </c>
      <c r="T240" s="3">
        <f>2507.7+(469.9-294.5)+(-2.557854+(-0.479298--0.30039))+0-618.6--0.630972000000099</f>
        <v>2062.3942099999999</v>
      </c>
      <c r="U240" s="3">
        <f>2454.3+(630-237.3)+(-1.251693+(-0.3213--0.121023))+0-706--0.360059999999928</f>
        <v>2139.9080899999999</v>
      </c>
      <c r="V240" s="3">
        <f>2428.5+(506.8-263.9)+(0+(0-0))+0-531.9-0</f>
        <v>2139.5</v>
      </c>
      <c r="W240" s="3">
        <f>2574.2+(1046.3-466.5)+(-3.938526+(-1.600839--0.713745))+0-670--1.02510000000004</f>
        <v>2480.1994799999998</v>
      </c>
      <c r="X240" s="3">
        <f>2607+(1040.3-702.4)+(-6.64785+(-2.652765--1.79112))+0-663.6--1.6921799999999</f>
        <v>2275.4826850000004</v>
      </c>
      <c r="Y240" s="3">
        <f>2614+(863.8-605.3)+(-7.99884+(-2.643228--1.852218))+0-687.6--2.10405600000008</f>
        <v>2178.2142060000001</v>
      </c>
      <c r="Z240" s="3">
        <f>2596.9+(753.6-543.8)+(-3.973257+(-1.153008--0.832014))+0-602.6--0.921978000000035</f>
        <v>2200.7277270000004</v>
      </c>
      <c r="AA240" s="3">
        <f>2531.5+(854.7-505.3)+(-6.455325+(-2.179485--1.288515))+0-708--1.8053999999999</f>
        <v>2167.359105</v>
      </c>
      <c r="AB240" s="3">
        <f>2468.8+(857.8-594.8)+(-5.036352+(-1.749912--1.213392))+0-652.1--1.33028399999997</f>
        <v>2075.4574120000002</v>
      </c>
      <c r="AC240" s="3">
        <f>2458.4+(552.5-486.9)+(-6.26892+(-1.408875--1.241595))+0-697.8--1.7793899999999</f>
        <v>1821.5431899999999</v>
      </c>
      <c r="AD240">
        <f t="shared" si="3"/>
        <v>47267.253840000005</v>
      </c>
      <c r="AE240" s="3">
        <f>2588+(1278.7-712.9)+(0+(0-0))+0-827-0</f>
        <v>2326.8000000000002</v>
      </c>
    </row>
    <row r="241" spans="1:31" s="2" customFormat="1" x14ac:dyDescent="0.25">
      <c r="A241">
        <v>89</v>
      </c>
      <c r="B241">
        <v>8</v>
      </c>
      <c r="C241">
        <v>25</v>
      </c>
      <c r="D241">
        <v>4</v>
      </c>
      <c r="E241">
        <v>1</v>
      </c>
      <c r="F241" s="3">
        <f>2460.1+(288.1-320.8)+(-6.273255+(-0.734655--0.81804))+0-691--1.7620499999999</f>
        <v>1731.9721799999998</v>
      </c>
      <c r="G241" s="3">
        <f>2208.4+(378.6-216.7)+(-1.126284+(-0.193086--0.110517))+0-720.1--0.367250999999927</f>
        <v>1649.3583980000001</v>
      </c>
      <c r="H241" s="3">
        <f>2090.1+(459-197.7)+(-5.329755+(-1.17045--0.504135))+0-732.6--1.86812999999989</f>
        <v>1614.6720599999999</v>
      </c>
      <c r="I241" s="3">
        <f>2089.1+(455.2-253.5)+(2.130882+(0.464304-0.25857))+0-681.4-0.695028000000109</f>
        <v>1611.0415879999996</v>
      </c>
      <c r="J241" s="3">
        <f>2093.4+(408.8-271.9)+(0+(0-0))+0-612.5-0</f>
        <v>1617.8000000000002</v>
      </c>
      <c r="K241" s="3">
        <f>2175.8+(470.2-243.7)+(-1.109658+(-0.239802--0.124287))+0-745.2--0.380051999999924</f>
        <v>1656.2548790000003</v>
      </c>
      <c r="L241" s="3">
        <f>2242.5+(337-276.3)+(1.143675+(0.17187-0.140913))+0-647.4-0.330173999999934</f>
        <v>1656.644458</v>
      </c>
      <c r="M241" s="3">
        <f>2306.5+(476.9-288.7)+(1.176315+(0.243219-0.147237))+0-655.5-0.334304999999934</f>
        <v>1840.1379919999999</v>
      </c>
      <c r="N241" s="3">
        <f>2449+(536.3-328.9)+(3.74697+(0.820539-0.503217))+0-667.8-1.02173400000004</f>
        <v>1991.642558</v>
      </c>
      <c r="O241" s="3">
        <f>2435+(610.4-362.6)+(-3.72555+(-0.933912--0.554778))+0-561.9--0.859707000000032</f>
        <v>2117.6550230000003</v>
      </c>
      <c r="P241" s="3">
        <f>2461.9+(648.9-288.1)+(0+(0-0))+0-730.4-0</f>
        <v>2092.2999999999997</v>
      </c>
      <c r="Q241" s="3">
        <f>2503.8+(607.2-335.8)+(-3.830814+(-0.929016--0.513774))+0-606.4--0.927792000000035</f>
        <v>2165.4817360000002</v>
      </c>
      <c r="R241" s="3">
        <f>2525.4+(433.8-305.7)+(-5.151816+(-0.884952--0.623628))+0-638.6--1.30274399999997</f>
        <v>2010.7896040000001</v>
      </c>
      <c r="S241" s="3">
        <f>2475.6+(539.3-267.1)+(-1.262556+(-0.275043--0.136221))+0-718.8--0.366587999999927</f>
        <v>2027.9652099999996</v>
      </c>
      <c r="T241" s="3">
        <f>2574.2+(266.1-235.7)+(-3.938526+(-0.407133--0.360621))+0-519.9--0.79544700000003</f>
        <v>2081.510409</v>
      </c>
      <c r="U241" s="3">
        <f>2617.9+(267.4-242.7)+(-6.675645+(-0.68187--0.618885))+0-582.6--1.48562999999992</f>
        <v>2054.7470000000003</v>
      </c>
      <c r="V241" s="3">
        <f>2647.9+(257.9-263.4)+(-5.401716+(-0.526116--0.537336))+0-605.8--1.23583199999997</f>
        <v>2032.4453360000002</v>
      </c>
      <c r="W241" s="3">
        <f>2728.3+(691.3-424.7)+(0+(0-0))+0-663.4-0</f>
        <v>2331.5</v>
      </c>
      <c r="X241" s="3">
        <f>2796+(601.3-580)+(-5.70384+(-1.226652--1.1832))+0-512.8--1.04611199999998</f>
        <v>2299.79882</v>
      </c>
      <c r="Y241" s="3">
        <f>2815.4+(499-584.4)+(-8.615124+(-1.52694--1.788264))+0-531.1--1.62516600000006</f>
        <v>2192.1713660000005</v>
      </c>
      <c r="Z241" s="3">
        <f>2749.3+(590.1-583.6)+(-2.804286+(-0.601902--0.595272))+0-682.4--0.696048000000109</f>
        <v>2071.2851320000004</v>
      </c>
      <c r="AA241" s="3">
        <f>2530.8+(672.1-524.8)+(-3.872124+(-1.028313--0.802944))+0-637.9--0.975987000000037</f>
        <v>2037.0784940000001</v>
      </c>
      <c r="AB241" s="3">
        <f>2389+(556.9-445.8)+(-6.09195+(-1.420095--1.13679))+0-525.9--1.34104499999992</f>
        <v>1969.1657899999998</v>
      </c>
      <c r="AC241" s="3">
        <f>2293.4+(587.2-385.9)+(0+(0-0))+0-680.6-0</f>
        <v>1814.1000000000004</v>
      </c>
      <c r="AD241">
        <f t="shared" si="3"/>
        <v>46667.518032999993</v>
      </c>
      <c r="AE241" s="3">
        <f>2745+(880.6-541.3)+(0+(0-0))+0-734.2-0</f>
        <v>2350.1000000000004</v>
      </c>
    </row>
    <row r="242" spans="1:31" s="2" customFormat="1" x14ac:dyDescent="0.25">
      <c r="A242">
        <v>89</v>
      </c>
      <c r="B242">
        <v>8</v>
      </c>
      <c r="C242">
        <v>26</v>
      </c>
      <c r="D242">
        <v>5</v>
      </c>
      <c r="E242">
        <v>3</v>
      </c>
      <c r="F242" s="3">
        <f>2189.5+(493.7-276.3)+(-4.46658+(-1.007148--0.563652))+0-638.5--1.30253999999997</f>
        <v>1764.7924639999999</v>
      </c>
      <c r="G242" s="3">
        <f>2013.3+(600.5-258.4)+(0+(0-0))+0-661.2-0</f>
        <v>1694.2</v>
      </c>
      <c r="H242" s="3">
        <f>2016.8+(605.7-358.1)+(-5.14284+(-1.544535--0.913155))+0-656.3--1.6735649999999</f>
        <v>1603.9993450000002</v>
      </c>
      <c r="I242" s="3">
        <f>2014.2+(619.3-369)+(-4.108968+(-1.263372--0.75276))+0-672--1.37087999999997</f>
        <v>1589.2512999999999</v>
      </c>
      <c r="J242" s="3">
        <f>2014.9+(530.3-301.4)+(3.082797+(0.811359-0.461142))+0-684.4-1.04713200000004</f>
        <v>1561.7858820000001</v>
      </c>
      <c r="K242" s="3">
        <f>2018.4+(528.9-269.6)+(-1.029384+(-0.269739--0.137496))+0-743.8--0.379337999999925</f>
        <v>1533.1177109999999</v>
      </c>
      <c r="L242" s="3">
        <f>2022.2+(373.3-247.3)+(1.031322+(0.190383-0.126123))+0-663.5-0.338384999999933</f>
        <v>1485.4571969999997</v>
      </c>
      <c r="M242" s="3">
        <f>1923.9+(383.5-253.2)+(-1.962378+(-0.39117--0.258264))+0-601.9--0.613938000000096</f>
        <v>1450.8186540000004</v>
      </c>
      <c r="N242" s="3">
        <f>1995+(385.4-265.4)+(0+(0-0))+0-581.7-0</f>
        <v>1533.3</v>
      </c>
      <c r="O242" s="3">
        <f>2263.8+(312.3-266.5)+(-4.618152+(-0.637092--0.54366))+0-659.5--1.34537999999997</f>
        <v>1646.7337960000002</v>
      </c>
      <c r="P242" s="3">
        <f>2360.9+(305.8-285.6)+(-3.612177+(-0.467874--0.436968))+0-648.3--0.991899000000037</f>
        <v>1730.1488160000001</v>
      </c>
      <c r="Q242" s="3">
        <f>2372.8+(424.6-346.1)+(-4.840512+(-0.866184--0.706044))+0-661.2--1.34884799999997</f>
        <v>1786.4481959999998</v>
      </c>
      <c r="R242" s="3">
        <f>2332+(547-366.8)+(-2.37864+(-0.55794--0.374136))+0-786.4--0.802128000000125</f>
        <v>1724.0396839999996</v>
      </c>
      <c r="S242" s="3">
        <f>2158.9+(524.3-330.4)+(-2.202078+(-0.534786--0.337008))+0-678.1--0.691662000000108</f>
        <v>1672.9918060000005</v>
      </c>
      <c r="T242" s="3">
        <f>2157.3+(534.8-295.4)+(-1.100223+(-0.272748--0.150654))+0-733.2--0.373931999999926</f>
        <v>1662.651615</v>
      </c>
      <c r="U242" s="3">
        <f>2157.8+(430-275.7)+(-1.100478+(-0.2193--0.140607))+0-682.6--0.348125999999931</f>
        <v>1628.6689550000001</v>
      </c>
      <c r="V242" s="3">
        <f>2160.3+(408.2-296.4)+(-4.407012+(-0.832728--0.604656))+0-591.6--1.20686399999997</f>
        <v>1677.0717800000004</v>
      </c>
      <c r="W242" s="3">
        <f>2344.9+(534.3-358.9)+(-3.587697+(-0.817479--0.549117))+0-565.8--0.865674000000033</f>
        <v>1951.5096150000002</v>
      </c>
      <c r="X242" s="3">
        <f>2424.6+(704.5-445.1)+(-6.18273+(-1.796475--1.135005))+0-665.1--1.6960049999999</f>
        <v>2013.7518049999999</v>
      </c>
      <c r="Y242" s="3">
        <f>2415.6+(526.6-417.3)+(-2.463912+(-0.537132--0.425646))+0-566.1--0.57742200000009</f>
        <v>1956.8020240000003</v>
      </c>
      <c r="Z242" s="3">
        <f>2414.3+(550-388.4)+(-2.462586+(-0.561--0.396168))+0-688.9--0.70267800000011</f>
        <v>1885.0752600000001</v>
      </c>
      <c r="AA242" s="3">
        <f>2414.9+(445-293.6)+(-4.926396+(-0.9078--0.598944))+0-712.2--1.45288799999997</f>
        <v>1850.3176360000002</v>
      </c>
      <c r="AB242" s="3">
        <f>2347.8+(330.3-216.5)+(-5.98689+(-0.842265--0.552075))+0-601.4--1.53356999999991</f>
        <v>1855.4564900000003</v>
      </c>
      <c r="AC242" s="3">
        <f>2308.4+(255.1-249.8)+(-4.709136+(-0.520404--0.509592))+0-554.2--1.13056799999998</f>
        <v>1755.9106200000003</v>
      </c>
      <c r="AD242">
        <f t="shared" si="3"/>
        <v>41014.300650999998</v>
      </c>
      <c r="AE242" s="3">
        <f>2410+(798.4-412.2)+(0+(0-0))+0-816.5-0</f>
        <v>1979.6999999999998</v>
      </c>
    </row>
    <row r="243" spans="1:31" s="2" customFormat="1" x14ac:dyDescent="0.25">
      <c r="A243">
        <v>89</v>
      </c>
      <c r="B243">
        <v>8</v>
      </c>
      <c r="C243">
        <v>27</v>
      </c>
      <c r="D243">
        <v>6</v>
      </c>
      <c r="E243">
        <v>6</v>
      </c>
      <c r="F243" s="3">
        <f>2067.9+(318.1-239.1)+(-5.273145+(-0.811155--0.609705))+0-531.4--1.35506999999992</f>
        <v>1611.3804749999997</v>
      </c>
      <c r="G243" s="3">
        <f>2011.5+(385.1-187)+(-4.10346+(-0.785604--0.38148))+0-613.1--1.25072399999997</f>
        <v>1593.24314</v>
      </c>
      <c r="H243" s="3">
        <f>2025.4+(314.9-194.2)+(-4.131816+(-0.642396--0.396168))+0-601.4--1.22685599999997</f>
        <v>1541.5488119999998</v>
      </c>
      <c r="I243" s="3">
        <f>2014+(349.9-221.5)+(2.05428+(0.356898-0.22593))+0-609.3-0.621486000000097</f>
        <v>1534.6637619999999</v>
      </c>
      <c r="J243" s="3">
        <f>2012.4+(322.3-220.6)+(-3.078972+(-0.493119--0.337518))+0-561.4--0.858942000000032</f>
        <v>1550.3243689999997</v>
      </c>
      <c r="K243" s="3">
        <f>2004+(383.9-207.5)+(-1.02204+(-0.195789--0.105825))+0-635.5--0.324104999999936</f>
        <v>1544.1121009999999</v>
      </c>
      <c r="L243" s="3">
        <f>2000.4+(378.2-188.1)+(-6.121224+(-1.157292--0.575586))+0-720.2--2.20381200000008</f>
        <v>1465.800882</v>
      </c>
      <c r="M243" s="3">
        <f>2069.3+(297.7-234.2)+(0+(0-0))+0-553.7-0</f>
        <v>1579.1000000000001</v>
      </c>
      <c r="N243" s="3">
        <f>2270.2+(427.4-358)+(-2.315604+(-0.435948--0.36516))+0-633.8--0.646476000000101</f>
        <v>1704.0600840000002</v>
      </c>
      <c r="O243" s="3">
        <f>2322+(418.5-297.5)+(2.36844+(0.42687-0.30345))+0-556.8-0.567936000000089</f>
        <v>1888.123924</v>
      </c>
      <c r="P243" s="3">
        <f>2372.1+(575.1-233.9)+(-4.839084+(-1.173204--0.477156))+0-663.4--1.35333599999997</f>
        <v>2045.718204</v>
      </c>
      <c r="Q243" s="3">
        <f>2376+(639.1-251.8)+(-4.84704+(-1.303764--0.513672))+0-715.8--1.46023199999997</f>
        <v>2043.3231000000003</v>
      </c>
      <c r="R243" s="3">
        <f>2372+(595.3-323.7)+(-3.62916+(-0.910809--0.495261))+0-702.7--1.07513100000004</f>
        <v>1937.930423</v>
      </c>
      <c r="S243" s="3">
        <f>2370.5+(586.8-271)+(-3.626865+(-0.897804--0.41463))+0-751.8--1.15025400000004</f>
        <v>1931.5402150000002</v>
      </c>
      <c r="T243" s="3">
        <f>2374.6+(421.4-319.4)+(1.211046+(0.214914-0.162894))+0-600.6-0.306305999999939</f>
        <v>1876.95676</v>
      </c>
      <c r="U243" s="3">
        <f>2325.5+(514.9-325.1)+(1.186005+(0.262599-0.165801))+0-691.1-0.35246099999993</f>
        <v>1825.1303420000004</v>
      </c>
      <c r="V243" s="3">
        <f>2317.9+(566-349.4)+(0+(0-0))+0-605.3-0</f>
        <v>1929.2</v>
      </c>
      <c r="W243" s="3">
        <f>2378.9+(826.1-337.7)+(0+(0-0))+0-622.6-0</f>
        <v>2244.7000000000003</v>
      </c>
      <c r="X243" s="3">
        <f>2414.1+(765.4-350.5)+(-3.693573+(-1.171062--0.536265))+0-702.6--1.07497800000004</f>
        <v>2123.146608</v>
      </c>
      <c r="Y243" s="3">
        <f>2414.9+(516.4-236)+(-2.463198+(-0.526728--0.24072))+0-657--0.670140000000105</f>
        <v>2036.2209340000004</v>
      </c>
      <c r="Z243" s="3">
        <f>2415.5+(472.5-227.6)+(-1.231905+(-0.240975--0.116076))+0-691.3--0.35256299999993</f>
        <v>1968.095759</v>
      </c>
      <c r="AA243" s="3">
        <f>2426.5+(491.4-208.3)+(-1.237515+(-0.250614--0.106233))+0-763.4--0.389333999999923</f>
        <v>1945.2074379999999</v>
      </c>
      <c r="AB243" s="3">
        <f>2424.4+(406.8-239.2)+(-3.709332+(-0.622404--0.365976))+0-562.5--0.860625000000033</f>
        <v>2026.394865</v>
      </c>
      <c r="AC243" s="3">
        <f>2395.5+(307.7-213.5)+(-2.44341+(-0.313854--0.21777))+0-643.2--0.656064000000103</f>
        <v>1844.6165699999997</v>
      </c>
      <c r="AD243">
        <f t="shared" si="3"/>
        <v>43790.538767000005</v>
      </c>
      <c r="AE243" s="3">
        <f>2406+(769.8-368.6)+(0+(0-0))+0-659.6-0</f>
        <v>2147.6</v>
      </c>
    </row>
    <row r="244" spans="1:31" s="2" customFormat="1" x14ac:dyDescent="0.25">
      <c r="A244">
        <v>89</v>
      </c>
      <c r="B244">
        <v>8</v>
      </c>
      <c r="C244">
        <v>28</v>
      </c>
      <c r="D244">
        <v>7</v>
      </c>
      <c r="E244">
        <v>1</v>
      </c>
      <c r="F244" s="3">
        <f>2231.3+(284.2-175.3)+(-4.551852+(-0.579768--0.357612))+0-668.9--1.36455599999997</f>
        <v>1667.8905480000003</v>
      </c>
      <c r="G244" s="3">
        <f>2127+(240.7-165.8)+(-5.42385+(-0.613785--0.42279))+0-607.3--1.54861499999991</f>
        <v>1590.53377</v>
      </c>
      <c r="H244" s="3">
        <f>2082.8+(354.5-161.1)+(-5.31114+(-0.903975--0.410805))+0-728.5--1.85767499999989</f>
        <v>1543.7533650000003</v>
      </c>
      <c r="I244" s="3">
        <f>1966.5+(358.6-175.8)+(-1.002915+(-0.182886--0.089658))+0-647.2--0.330071999999934</f>
        <v>1501.3339289999999</v>
      </c>
      <c r="J244" s="3">
        <f>1966.9+(426.2-172.5)+(2.006238+(0.434724-0.17595))+0-734.1-0.748782000000117</f>
        <v>1488.0162299999997</v>
      </c>
      <c r="K244" s="3">
        <f>1964.8+(397.6-156.8)+(-1.002048+(-0.202776--0.079968))+0-726.8--0.370667999999926</f>
        <v>1478.0458120000001</v>
      </c>
      <c r="L244" s="3">
        <f>1974.4+(352.7-165.4)+(-4.027776+(-0.719508--0.337416))+0-659.9--1.34619599999997</f>
        <v>1498.736328</v>
      </c>
      <c r="M244" s="3">
        <f>2010.5+(334.2-187)+(3.076065+(0.511326-0.28611))+0-712.4-1.08997200000004</f>
        <v>1447.5113089999998</v>
      </c>
      <c r="N244" s="3">
        <f>2242+(210.7-285.9)+(0+(0-0))+0-665.4-0</f>
        <v>1501.4</v>
      </c>
      <c r="O244" s="3">
        <f>2214.4+(354.2-306.8)+(-1.129344+(-0.180642--0.156468))+0-713.3--0.363782999999928</f>
        <v>1547.7102650000002</v>
      </c>
      <c r="P244" s="3">
        <f>2246.9+(381.8-230.1)+(1.145919+(0.194718-0.117351))+0-695.5-0.354704999999929</f>
        <v>1703.9685809999999</v>
      </c>
      <c r="Q244" s="3">
        <f>2363+(379.2-297)+(1.20513+(0.193392-0.15147))+0-606.3-0.309212999999938</f>
        <v>1839.837839</v>
      </c>
      <c r="R244" s="3">
        <f>2367.8+(222.5-295.4)+(-6.03789+(-0.567375--0.75327))+0-619.4--1.57946999999991</f>
        <v>1671.2274749999999</v>
      </c>
      <c r="S244" s="3">
        <f>2323.9+(155.2-338.9)+(-3.555567+(-0.237456--0.518517))+0-522.8--0.79988400000003</f>
        <v>1614.9253780000001</v>
      </c>
      <c r="T244" s="3">
        <f>2228.6+(287.6-313.1)+(1.136586+(0.146676-0.159681))+0-590.9-0.30135899999994</f>
        <v>1613.0222219999996</v>
      </c>
      <c r="U244" s="3">
        <f>2202.9+(250.2-377.7)+(-4.493916+(-0.510408--0.770508))+0-458.3--0.93493199999998</f>
        <v>1613.8011160000001</v>
      </c>
      <c r="V244" s="3">
        <f>2215.1+(244.5-387.5)+(1.129701+(0.124695-0.197625))+0-323.8-0.165137999999967</f>
        <v>1749.1916329999999</v>
      </c>
      <c r="W244" s="3">
        <f>2392.9+(679.1-477.4)+(0+(0-0))+0-513.9-0</f>
        <v>2080.7000000000003</v>
      </c>
      <c r="X244" s="3">
        <f>2421.9+(922.9-700.7)+(-4.940676+(-1.882716--1.429428))+0-678.4--1.38393599999997</f>
        <v>1961.6899719999999</v>
      </c>
      <c r="Y244" s="3">
        <f>2421.4+(1010.7-737.3)+(-2.469828+(-1.030914--0.752046))+0-686.7--0.70043400000011</f>
        <v>2006.0517380000001</v>
      </c>
      <c r="Z244" s="3">
        <f>2416.9+(846.9-785.1)+(-2.465238+(-0.863838--0.800802))+0-632.6--0.645252000000101</f>
        <v>1844.2169780000002</v>
      </c>
      <c r="AA244" s="3">
        <f>2419+(802.7-692.7)+(-1.23369+(-0.409377--0.353277))+0-701.7--0.357866999999929</f>
        <v>1826.3680770000001</v>
      </c>
      <c r="AB244" s="3">
        <f>2396.4+(603-589.8)+(-3.666492+(-0.92259--0.902394))+0-568.1--0.869193000000033</f>
        <v>1838.6825050000007</v>
      </c>
      <c r="AC244" s="3">
        <f>2397.4+(612.8-593.4)+(0+(0-0))+0-695.4-0</f>
        <v>1721.4</v>
      </c>
      <c r="AD244">
        <f t="shared" si="3"/>
        <v>40350.015069999987</v>
      </c>
      <c r="AE244" s="3">
        <f>2411+(1005.4-673.2)+(0+(0-0))+0-793.6-0</f>
        <v>1949.6</v>
      </c>
    </row>
    <row r="245" spans="1:31" s="2" customFormat="1" x14ac:dyDescent="0.25">
      <c r="A245">
        <v>89</v>
      </c>
      <c r="B245">
        <v>8</v>
      </c>
      <c r="C245">
        <v>29</v>
      </c>
      <c r="D245">
        <v>1</v>
      </c>
      <c r="E245">
        <v>1</v>
      </c>
      <c r="F245" s="3">
        <f>2392.1+(314.8-534.5)+(-4.879884+(-0.642192--1.09038))+0-640--1.30559999999997</f>
        <v>1529.2739039999999</v>
      </c>
      <c r="G245" s="3">
        <f>2397.6+(381-498)+(-3.668328+(-0.58293--0.76194))+0-798.3--1.22139900000005</f>
        <v>1480.0320810000001</v>
      </c>
      <c r="H245" s="3">
        <f>2279.1+(316.8-445.5)+(-3.487023+(-0.484704--0.681615))+0-617.7--0.945081000000036</f>
        <v>1530.354969</v>
      </c>
      <c r="I245" s="3">
        <f>2169.7+(428.8-420.2)+(3.319641+(0.656064-0.642906))+0-655.3-1.00260900000004</f>
        <v>1525.3301899999994</v>
      </c>
      <c r="J245" s="3">
        <f>2214.5+(383.2-366.1)+(-3.388185+(-0.586296--0.560133))+0-753.4--1.15270200000004</f>
        <v>1475.9383540000001</v>
      </c>
      <c r="K245" s="3">
        <f>2253.8+(368.7-423)+(-1.149438+(-0.188037--0.21573))+0-658.9--0.336038999999933</f>
        <v>1539.814294</v>
      </c>
      <c r="L245" s="3">
        <f>2320+(225.5-360.6)+(-4.7328+(-0.46002--0.735624))+0-634.1--1.29356399999997</f>
        <v>1547.6363680000004</v>
      </c>
      <c r="M245" s="3">
        <f>2406.3+(299.9-297)+(3.681639+(0.458847-0.45441))+0-684.2-1.04682600000004</f>
        <v>1727.6392500000002</v>
      </c>
      <c r="N245" s="3">
        <f>2575.4+(333.9-301.8)+(1.313454+(0.170289-0.153918))+0-598.9-0.305438999999939</f>
        <v>2009.6243859999997</v>
      </c>
      <c r="O245" s="3">
        <f>2653.3+(550.4-450.4)+(-2.706366+(-0.561408--0.459408))+0-582.6--0.594252000000093</f>
        <v>2168.4858859999999</v>
      </c>
      <c r="P245" s="3">
        <f>2719.4+(725.5-679.3)+(0+(0-0))+0-592.9-0</f>
        <v>2172.7000000000003</v>
      </c>
      <c r="Q245" s="3">
        <f>2763.7+(792.6-702.5)+(0+(0-0))+0-653-0</f>
        <v>2200.7999999999997</v>
      </c>
      <c r="R245" s="3">
        <f>2774.2+(663.9-738.7)+(-5.659368+(-1.354356--1.506948))+0-682.6--1.39250399999997</f>
        <v>2012.6857279999995</v>
      </c>
      <c r="S245" s="3">
        <f>2771.9+(701.9-754.1)+(4.241007+(1.073907-1.153773))+0-682.1-1.04361300000004</f>
        <v>2040.7175279999999</v>
      </c>
      <c r="T245" s="3">
        <f>2783.2+(656.5-798.3)+(0+(0-0))+0-590.4-0</f>
        <v>2050.9999999999995</v>
      </c>
      <c r="U245" s="3">
        <f>2833.5+(639.9-793.2)+(-2.89017+(-0.652698--0.809064))+0-644.9--0.657798000000103</f>
        <v>2033.2239939999999</v>
      </c>
      <c r="V245" s="3">
        <f>2797.7+(660-688.3)+(1.426827+(0.3366-0.351033))+0-630.3-0.321452999999936</f>
        <v>2140.1909409999994</v>
      </c>
      <c r="W245" s="3">
        <f>2970.2+(956.9-812.2)+(-3.029604+(-0.976038--0.828444))+0-620--0.632400000000099</f>
        <v>2492.3552019999997</v>
      </c>
      <c r="X245" s="3">
        <f>3107.4+(789.1-994.8)+(-4.754322+(-1.207323--1.522044))+0-597.4--0.914022000000035</f>
        <v>2300.7744210000001</v>
      </c>
      <c r="Y245" s="3">
        <f>3135.4+(731.5-1051.2)+(-1.599054+(-0.373065--0.536112))+0-529.5--0.270044999999946</f>
        <v>2285.0340379999998</v>
      </c>
      <c r="Z245" s="3">
        <f>3135.6+(735.5-1087.8)+(-1.599156+(-0.375105--0.554778))+0-650.5--0.331754999999934</f>
        <v>2131.7122720000002</v>
      </c>
      <c r="AA245" s="3">
        <f>3115.3+(613.3-1078.2)+(-3.177606+(-0.625566--1.099764))+0-540.8--0.551616000000086</f>
        <v>2107.4482080000002</v>
      </c>
      <c r="AB245" s="3">
        <f>3028.7+(535.6-983.1)+(-1.544637+(-0.273156--0.501381))+0-590.3--0.30105299999994</f>
        <v>1989.8846409999996</v>
      </c>
      <c r="AC245" s="3">
        <f>2861.1+(500.3-924.1)+(-5.836644+(-1.020612--1.885164))+0-625.8--1.27663199999997</f>
        <v>1807.8045399999999</v>
      </c>
      <c r="AD245">
        <f t="shared" si="3"/>
        <v>46300.461194999996</v>
      </c>
      <c r="AE245" s="3">
        <f>3124+(878.7-979.2)+(0+(0-0))+0-533-0</f>
        <v>2490.5</v>
      </c>
    </row>
    <row r="246" spans="1:31" s="2" customFormat="1" x14ac:dyDescent="0.25">
      <c r="A246">
        <v>89</v>
      </c>
      <c r="B246">
        <v>8</v>
      </c>
      <c r="C246">
        <v>30</v>
      </c>
      <c r="D246">
        <v>2</v>
      </c>
      <c r="E246">
        <v>1</v>
      </c>
      <c r="F246" s="3">
        <f>2767.4+(503.9-972.9)+(-1.411374+(-0.256989--0.496179))+0-571.9--0.291668999999942</f>
        <v>1725.6194849999999</v>
      </c>
      <c r="G246" s="3">
        <f>2587.2+(588.1-900.4)+(-3.958416+(-0.899793--1.377612))+0-622.5--0.952425000000036</f>
        <v>1649.8718279999994</v>
      </c>
      <c r="H246" s="3">
        <f>2336.1+(671.9-657.9)+(-1.191411+(-0.342669--0.335529))+0-756.7--0.385916999999923</f>
        <v>1592.5873659999997</v>
      </c>
      <c r="I246" s="3">
        <f>2224.1+(541.8-616.7)+(-1.134291+(-0.276318--0.314517))+0-606--0.309059999999939</f>
        <v>1542.4129679999996</v>
      </c>
      <c r="J246" s="3">
        <f>2225.8+(577-501)+(4.540632+(1.17708-1.02204))+0-706.2-1.44064799999997</f>
        <v>1598.855024</v>
      </c>
      <c r="K246" s="3">
        <f>2296.7+(536-494.8)+(1.171317+(0.27336-0.252348))+0-750.5-0.382754999999924</f>
        <v>1588.2095739999997</v>
      </c>
      <c r="L246" s="3">
        <f>2379+(605-518.2)+(0+(0-0))+0-752.7-0</f>
        <v>1713.1000000000001</v>
      </c>
      <c r="M246" s="3">
        <f>2715.7+(465.5-655.4)+(-4.155021+(-0.712215--1.002762))+0-607.7--0.929781000000035</f>
        <v>1915.1653069999998</v>
      </c>
      <c r="N246" s="3">
        <f>2970+(443.8-687.2)+(3.0294+(0.452676-0.700944))+0-700.2-0.714204000000112</f>
        <v>2028.4669279999998</v>
      </c>
      <c r="O246" s="3">
        <f>2955.1+(468.8-615.3)+(-4.521303+(-0.717264--0.941409))+0-690.2--1.05600600000004</f>
        <v>2115.1588480000005</v>
      </c>
      <c r="P246" s="3">
        <f>2937.6+(686.4-648)+(1.498176+(0.350064-0.33048))+0-695.7-0.354806999999929</f>
        <v>2281.4629530000002</v>
      </c>
      <c r="Q246" s="3">
        <f>2943.5+(718.5-653.5)+(-3.00237+(-0.73287--0.66657))+0-694--0.707880000000111</f>
        <v>2312.1392099999998</v>
      </c>
      <c r="R246" s="3">
        <f>2928.1+(370.8-695.5)+(-7.466655+(-0.94554--1.773525))+0-624.6--1.59272999999991</f>
        <v>1973.7540600000002</v>
      </c>
      <c r="S246" s="3">
        <f>2916+(432.8-624.8)+(-1.48716+(-0.220728--0.318648))+0-771.6--0.393515999999922</f>
        <v>1951.404276</v>
      </c>
      <c r="T246" s="3">
        <f>2903+(341.5-618.1)+(-4.44159+(-0.522495--0.945693))+0-440.8--0.674424000000025</f>
        <v>2182.2560319999998</v>
      </c>
      <c r="U246" s="3">
        <f>2835.1+(673.9-528.3)+(1.445901+(0.343689-0.269433))+0-836.5-0.426614999999915</f>
        <v>2145.2935419999999</v>
      </c>
      <c r="V246" s="3">
        <f>2894.4+(585.5-533.9)+(-1.476144+(-0.298605--0.272289))+0-774.8--0.395147999999921</f>
        <v>2170.0926880000002</v>
      </c>
      <c r="W246" s="3">
        <f>2962.3+(1240.4-752.3)+(0+(0-0))+0-846.8-0</f>
        <v>2603.6000000000004</v>
      </c>
      <c r="X246" s="3">
        <f>2982.3+(1090.8-965.3)+(-6.083892+(-2.225232--1.969212))+0-773.9--1.57875599999997</f>
        <v>2329.1388440000001</v>
      </c>
      <c r="Y246" s="3">
        <f>2981.2+(800.6-911.8)+(-6.081648+(-1.633224--1.860072))+0-687.9--1.40331599999997</f>
        <v>2177.6485159999997</v>
      </c>
      <c r="Z246" s="3">
        <f>2946.8+(731.6-786)+(-7.51434+(-1.86558--2.0043))+0-733.8--1.87118999999989</f>
        <v>2153.0955700000004</v>
      </c>
      <c r="AA246" s="3">
        <f>2921.2+(668.8-725.6)+(-4.469436+(-1.023264--1.110168))+0-771.2--1.17993600000004</f>
        <v>2089.9974039999993</v>
      </c>
      <c r="AB246" s="3">
        <f>2901.7+(480.9-635.1)+(-4.439601+(-0.735777--0.971703))+0-716.1--1.09563300000004</f>
        <v>2028.291958</v>
      </c>
      <c r="AC246" s="3">
        <f>2897.7+(450.5-719.7)+(-4.433481+(-0.689265--1.101141))+0-719.5--1.10083500000004</f>
        <v>1906.0792300000001</v>
      </c>
      <c r="AD246">
        <f t="shared" si="3"/>
        <v>47773.701611000004</v>
      </c>
      <c r="AE246" s="3">
        <f>2956+(1252.7-987.2)+(0+(0-0))+0-855.2-0</f>
        <v>2366.3000000000002</v>
      </c>
    </row>
    <row r="247" spans="1:31" s="2" customFormat="1" x14ac:dyDescent="0.25">
      <c r="A247">
        <v>89</v>
      </c>
      <c r="B247">
        <v>9</v>
      </c>
      <c r="C247">
        <v>1</v>
      </c>
      <c r="D247">
        <v>3</v>
      </c>
      <c r="E247">
        <v>1</v>
      </c>
      <c r="F247" s="3">
        <f>2718.8+(446.2-824)+(-6.93294+(-1.13781--2.1012))+0-665.5--1.6970249999999</f>
        <v>1671.2274750000001</v>
      </c>
      <c r="G247" s="3">
        <f>2506.9+(512.1-690.4)+(-1.278519+(-0.261171--0.352104))+0-751.7--0.383366999999924</f>
        <v>1576.0957810000002</v>
      </c>
      <c r="H247" s="3">
        <f>2318.5+(545.5-490.9)+(-3.547305+(-0.834615--0.751077))+0-761.2--1.16463600000004</f>
        <v>1609.4337929999999</v>
      </c>
      <c r="I247" s="3">
        <f>2279.1+(560.3-527.4)+(-1.162341+(-0.285753--0.268974))+0-684--0.348839999999931</f>
        <v>1627.1697200000001</v>
      </c>
      <c r="J247" s="3">
        <f>2275.8+(587.4-510.2)+(1.160658+(0.299574-0.260202))+0-733.8-0.374237999999926</f>
        <v>1620.0257920000001</v>
      </c>
      <c r="K247" s="3">
        <f>2282.2+(469.9-443.8)+(-3.491766+(-0.718947--0.679014))+0-724.8--1.10894400000004</f>
        <v>1581.0772449999997</v>
      </c>
      <c r="L247" s="3">
        <f>2280.6+(444.7-334.8)+(0+(0-0))+0-694.8-0</f>
        <v>1695.7</v>
      </c>
      <c r="M247" s="3">
        <f>2660.4+(331.3-410.9)+(-1.356804+(-0.168963--0.209559))+0-725.1--0.369800999999926</f>
        <v>1854.7535929999999</v>
      </c>
      <c r="N247" s="3">
        <f>2977.7+(379.8-612.3)+(-6.074508+(-0.774792--1.249092))+0-701.9--1.43187599999997</f>
        <v>2039.1316679999998</v>
      </c>
      <c r="O247" s="3">
        <f>2960.2+(560.3-739.6)+(-4.529106+(-0.857259--1.131588))+0-554.5--0.848385000000032</f>
        <v>2222.9936079999998</v>
      </c>
      <c r="P247" s="3">
        <f>2942.1+(685-911.7)+(-3.000942+(-0.6987--0.929934))+0-495.1--0.505002000000079</f>
        <v>2218.0352939999998</v>
      </c>
      <c r="Q247" s="3">
        <f>2931.3+(809.8-931.1)+(-2.989926+(-0.825996--0.949722))+0-587.2--0.598944000000094</f>
        <v>2220.5327440000001</v>
      </c>
      <c r="R247" s="3">
        <f>2922.4+(721.2-928.2)+(-1.490424+(-0.367812--0.473382))+0-581.3--0.296462999999941</f>
        <v>2133.0116090000006</v>
      </c>
      <c r="S247" s="3">
        <f>2916.9+(550.3-888.5)+(-4.462857+(-0.841959--1.359405))+0-580.3--0.887859000000033</f>
        <v>1995.3424479999996</v>
      </c>
      <c r="T247" s="3">
        <f>2922.9+(584.8-754.1)+(0+(0-0))+0-641.2-0</f>
        <v>2112.3999999999996</v>
      </c>
      <c r="U247" s="3">
        <f>2918.8+(590.4-738)+(1.488588+(0.301104-0.37638))+0-664.2-0.338741999999933</f>
        <v>2108.0745700000007</v>
      </c>
      <c r="V247" s="3">
        <f>2926+(507-687.9)+(0+(0-0))+0-660.1-0</f>
        <v>2085</v>
      </c>
      <c r="W247" s="3">
        <f>2965.1+(945.7-815.7)+(-1.512201+(-0.482307--0.416007))+0-681.2--0.347411999999931</f>
        <v>2412.6689109999998</v>
      </c>
      <c r="X247" s="3">
        <f>2980.6+(887.1-841.3)+(-7.60053+(-2.262105--2.145315))+0-648.3--1.65316499999991</f>
        <v>2372.0358449999994</v>
      </c>
      <c r="Y247" s="3">
        <f>2975.2+(641.5-804.6)+(-1.517352+(-0.327165--0.410346))+0-555.8--0.283457999999944</f>
        <v>2255.1492870000002</v>
      </c>
      <c r="Z247" s="3">
        <f>2979.7+(606.7-813.4)+(-4.558941+(-0.928251--1.244502))+0-603.3--0.923049000000035</f>
        <v>2166.3803589999998</v>
      </c>
      <c r="AA247" s="3">
        <f>2967.1+(530.8-884.5)+(-6.052884+(-1.082832--1.80438))+0-458--0.93431999999998</f>
        <v>2151.0029839999993</v>
      </c>
      <c r="AB247" s="3">
        <f>2837.3+(490.9-764)+(-5.788092+(-1.001436--1.55856))+0-547.7--1.11730799999998</f>
        <v>2012.3863400000005</v>
      </c>
      <c r="AC247" s="3">
        <f>2816.5+(518.2-866.3)+(-10.054905+(-1.849974--3.092691))+0-502.1--1.79249700000001</f>
        <v>1959.2803090000002</v>
      </c>
      <c r="AD247">
        <f t="shared" si="3"/>
        <v>47698.909374999996</v>
      </c>
      <c r="AE247" s="3">
        <f>2970+(1161.2-880.6)+(0+(0-0))+0-743.1-0</f>
        <v>2507.5</v>
      </c>
    </row>
    <row r="248" spans="1:31" s="2" customFormat="1" x14ac:dyDescent="0.25">
      <c r="A248">
        <v>89</v>
      </c>
      <c r="B248">
        <v>9</v>
      </c>
      <c r="C248">
        <v>2</v>
      </c>
      <c r="D248">
        <v>4</v>
      </c>
      <c r="E248">
        <v>1</v>
      </c>
      <c r="F248" s="3">
        <f>2685.3+(408.2-833)+(-4.108509+(-0.624546--1.27449))+0-553.8--0.847314000000032</f>
        <v>1704.0887490000002</v>
      </c>
      <c r="G248" s="3">
        <f>2527.8+(359.6-756.9)+(-2.578356+(-0.366792--0.772038))+0-565.5--0.57681000000009</f>
        <v>1563.4036999999998</v>
      </c>
      <c r="H248" s="3">
        <f>2504.9+(379.1-669)+(-3.832497+(-0.580023--1.02357))+0-621.6--0.951048000000036</f>
        <v>1590.9620980000002</v>
      </c>
      <c r="I248" s="3">
        <f>2316.1+(438.3-530.3)+(-3.543633+(-0.670599--0.811359))+0-631.2--0.965736000000037</f>
        <v>1590.462863</v>
      </c>
      <c r="J248" s="3">
        <f>2316+(545.4-557.1)+(0+(0-0))+0-734.1-0</f>
        <v>1570.2000000000003</v>
      </c>
      <c r="K248" s="3">
        <f>2243.8+(475.5-503.1)+(-4.577352+(-0.97002--1.026324))+0-663.1--1.35272399999997</f>
        <v>1549.9316760000004</v>
      </c>
      <c r="L248" s="3">
        <f>2345.8+(339.2-355.3)+(-1.196358+(-0.172992--0.181203))+0-648.9--0.330938999999934</f>
        <v>1679.9427920000003</v>
      </c>
      <c r="M248" s="3">
        <f>2816.7+(260.3-568.6)+(-1.436517+(-0.132753--0.289986))+0-706.5--0.360314999999928</f>
        <v>1800.9810309999993</v>
      </c>
      <c r="N248" s="3">
        <f>3069+(170.9-709.2)+(1.56519+(0.087159-0.361692))+0-515.7-0.263006999999948</f>
        <v>2016.0276499999998</v>
      </c>
      <c r="O248" s="3">
        <f>3093.9+(170.8-544.7)+(-4.733667+(-0.261324--0.833391))+0-606.4--0.927792000000035</f>
        <v>2110.366192</v>
      </c>
      <c r="P248" s="3">
        <f>3073.4+(276.7-605.7)+(1.567434+(0.141117-0.308907))+0-550-0.280499999999944</f>
        <v>2195.5191440000003</v>
      </c>
      <c r="Q248" s="3">
        <f>3065.3+(397.6-645.2)+(-6.253212+(-0.811104--1.316208))+0-600.6--1.22522399999997</f>
        <v>2212.5771160000004</v>
      </c>
      <c r="R248" s="3">
        <f>3052.5+(169.7-692.3)+(-1.556775+(-0.086547--0.353073))+0-490.2--0.25000199999995</f>
        <v>2038.6597529999999</v>
      </c>
      <c r="S248" s="3">
        <f>3037.6+(307.7-682.3)+(3.098352+(0.313854-0.695946))+0-626.5-0.6390300000001</f>
        <v>2038.5772300000001</v>
      </c>
      <c r="T248" s="3">
        <f>3022.3+(280.4-680.9)+(3.082746+(0.286008-0.694518))+0-549.6-0.560592000000088</f>
        <v>2074.3136439999998</v>
      </c>
      <c r="U248" s="3">
        <f>3049.2+(238-673.7)+(1.555092+(0.12138-0.343587))+0-539.1-0.274940999999945</f>
        <v>2075.4579439999998</v>
      </c>
      <c r="V248" s="3">
        <f>3056+(322.8-631.5)+(-3.11712+(-0.329256--0.64413))+0-636.9--0.649638000000102</f>
        <v>2108.2473920000002</v>
      </c>
      <c r="W248" s="3">
        <f>3097.6+(894.9-1058.7)+(1.579776+(0.456399-0.539937))+0-572.8-0.292127999999942</f>
        <v>2362.2041099999997</v>
      </c>
      <c r="X248" s="3">
        <f>3123.5+(944.9-1036.8)+(-4.778955+(-1.445697--1.586304))+0-695.4--1.06396200000004</f>
        <v>2332.625614</v>
      </c>
      <c r="Y248" s="3">
        <f>3125.7+(593-829.7)+(-4.782321+(-0.90729--1.269441))+0-651.2--0.996336000000038</f>
        <v>2234.376166</v>
      </c>
      <c r="Z248" s="3">
        <f>3141.7+(417.9-681.6)+(-3.204534+(-0.426258--0.695232))+0-739.6--0.754392000000118</f>
        <v>2136.2188320000005</v>
      </c>
      <c r="AA248" s="3">
        <f>3087.9+(339-596.4)+(-4.724487+(-0.51867--0.912492))+0-704.9--1.07849700000004</f>
        <v>2122.3478319999999</v>
      </c>
      <c r="AB248" s="3">
        <f>3021.5+(422.3-832.9)+(-6.16386+(-0.861492--1.699116))+0-596.8--1.21747199999997</f>
        <v>2009.9912360000003</v>
      </c>
      <c r="AC248" s="3">
        <f>2965.2+(533.1-888.7)+(-3.024504+(-0.543762--0.906474))+0-745.4--0.760308000000119</f>
        <v>1862.2985160000001</v>
      </c>
      <c r="AD248">
        <f t="shared" si="3"/>
        <v>46979.78128000001</v>
      </c>
      <c r="AE248" s="3">
        <f>3111+(1079.4-1011.7)+(0+(0-0))+0-803.8-0</f>
        <v>2374.8999999999996</v>
      </c>
    </row>
    <row r="249" spans="1:31" s="2" customFormat="1" x14ac:dyDescent="0.25">
      <c r="A249">
        <v>89</v>
      </c>
      <c r="B249">
        <v>9</v>
      </c>
      <c r="C249">
        <v>3</v>
      </c>
      <c r="D249">
        <v>5</v>
      </c>
      <c r="E249">
        <v>1</v>
      </c>
      <c r="F249" s="3">
        <f>2960.7+(471.8-1052.2)+(-6.039828+(-0.962472--2.146488))+0-590.9--1.20543599999997</f>
        <v>1785.7496239999998</v>
      </c>
      <c r="G249" s="3">
        <f>2723.6+(515.4-922.6)+(-4.167108+(-0.788562--1.411578))+0-648.8--0.992664000000037</f>
        <v>1665.0485719999997</v>
      </c>
      <c r="H249" s="3">
        <f>2415+(531.2-604.6)+(-6.15825+(-1.35456--1.54173))+0-741.5--1.89082499999989</f>
        <v>1596.0197450000001</v>
      </c>
      <c r="I249" s="3">
        <f>2305.5+(456.5-571.6)+(-1.175805+(-0.232815--0.291516))+0-639--0.325889999999935</f>
        <v>1550.608786</v>
      </c>
      <c r="J249" s="3">
        <f>2244+(467.5-373.9)+(0+(0-0))+0-739.6-0</f>
        <v>1598</v>
      </c>
      <c r="K249" s="3">
        <f>2329+(368.1-403)+(-3.56337+(-0.563193--0.61659))+0-695.2--1.06365600000004</f>
        <v>1596.4536829999997</v>
      </c>
      <c r="L249" s="3">
        <f>2306+(250.2-344.4)+(-3.52818+(-0.382806--0.526932))+0-558.9--0.855117000000032</f>
        <v>1650.371063</v>
      </c>
      <c r="M249" s="3">
        <f>2741.6+(153.7-474.1)+(-4.194648+(-0.235161--0.725373))+0-609.5--0.932535000000035</f>
        <v>1808.928099</v>
      </c>
      <c r="N249" s="3">
        <f>2921.5+(144.9-590.4)+(-2.97993+(-0.147798--0.602208))+0-478.1--0.487662000000076</f>
        <v>1995.8621419999999</v>
      </c>
      <c r="O249" s="3">
        <f>2960.7+(166.3-538.7)+(0+(0-0))+0-501.4-0</f>
        <v>2086.8999999999996</v>
      </c>
      <c r="P249" s="3">
        <f>2924+(312-443.2)+(-2.98248+(-0.31824--0.452064))+0-597.6--0.609552000000095</f>
        <v>2192.960896</v>
      </c>
      <c r="Q249" s="3">
        <f>2906.6+(343-467)+(-2.964732+(-0.34986--0.47634))+0-551.5--0.562530000000088</f>
        <v>2228.824278</v>
      </c>
      <c r="R249" s="3">
        <f>2896+(142.3-560)+(-1.47696+(-0.072573--0.2856))+0-450.6--0.229805999999954</f>
        <v>2026.6658730000001</v>
      </c>
      <c r="S249" s="3">
        <f>2855.1+(122.3-434.9)+(-2.912202+(-0.124746--0.443598))+0-513.6--0.523872000000082</f>
        <v>2026.830522</v>
      </c>
      <c r="T249" s="3">
        <f>2882.4+(93.7-400.8)+(-2.940048+(-0.095574--0.408816))+0-503.6--0.51367200000008</f>
        <v>2069.5868660000001</v>
      </c>
      <c r="U249" s="3">
        <f>2920.7+(107.2-388)+(1.489557+(0.054672-0.19788))+0-581.4-0.296513999999941</f>
        <v>2059.5498349999993</v>
      </c>
      <c r="V249" s="3">
        <f>2935.8+(80.9-500.5)+(0+(0-0))+0-436.4-0</f>
        <v>2079.8000000000002</v>
      </c>
      <c r="W249" s="3">
        <f>3101.6+(724.3-998.3)+(0+(0-0))+0-506.8-0</f>
        <v>2320.7999999999997</v>
      </c>
      <c r="X249" s="3">
        <f>3125.6+(840.8-988.2)+(-4.782168+(-1.286424--1.511946))+0-660.2--1.01010600000004</f>
        <v>2314.4534600000002</v>
      </c>
      <c r="Y249" s="3">
        <f>3046.6+(692.2-865.6)+(-6.215064+(-1.412088--1.765824))+0-651.9--1.32987599999997</f>
        <v>2216.7685479999996</v>
      </c>
      <c r="Z249" s="3">
        <f>3061.4+(466.2-742.9)+(-9.367884+(-1.426572--2.273274))+0-673--2.05938000000008</f>
        <v>2105.2381980000005</v>
      </c>
      <c r="AA249" s="3">
        <f>3073+(312.2-611.9)+(-6.26892+(-0.636888--1.248276))+0-687.1--1.40168399999997</f>
        <v>2081.944152</v>
      </c>
      <c r="AB249" s="3">
        <f>2945.2+(194.7-552.6)+(-3.004104+(-0.198594--0.563652))+0-588.5--0.600270000000094</f>
        <v>1996.7612240000001</v>
      </c>
      <c r="AC249" s="3">
        <f>2852.8+(149.1-435.1)+(-5.819712+(-0.304164--0.887604))+0-678.9--1.38495599999997</f>
        <v>1884.0486839999999</v>
      </c>
      <c r="AD249">
        <f t="shared" si="3"/>
        <v>46938.174250000004</v>
      </c>
      <c r="AE249" s="3">
        <f>3105+(954-1070.4)+(0+(0-0))+0-649-0</f>
        <v>2339.6</v>
      </c>
    </row>
    <row r="250" spans="1:31" s="2" customFormat="1" x14ac:dyDescent="0.25">
      <c r="A250">
        <v>89</v>
      </c>
      <c r="B250">
        <v>9</v>
      </c>
      <c r="C250">
        <v>4</v>
      </c>
      <c r="D250">
        <v>6</v>
      </c>
      <c r="E250">
        <v>3</v>
      </c>
      <c r="F250" s="3">
        <f>2739.3+(81.6-447.8)+(0+(0-0))+0-627.3-0</f>
        <v>1745.8000000000004</v>
      </c>
      <c r="G250" s="3">
        <f>2682.4+(52.9-434.4)+(0+(0-0))+0-649.8-0</f>
        <v>1651.1000000000001</v>
      </c>
      <c r="H250" s="3">
        <f>2643.5+(63.9-453.8)+(0+(0-0))+0-646-0</f>
        <v>1607.6</v>
      </c>
      <c r="I250" s="3">
        <f>2595.7+(79.4-417.9)+(0+(0-0))+0-673.4-0</f>
        <v>1583.7999999999997</v>
      </c>
      <c r="J250" s="3">
        <f>2600.9+(75.3-401.6)+(-1.326459+(-0.038403--0.204816))+0-701.7--0.357866999999929</f>
        <v>1572.0978209999998</v>
      </c>
      <c r="K250" s="3">
        <f>2596.9+(70.2-402.4)+(3.973257+(0.107406-0.615672))+0-708.8-1.08446400000004</f>
        <v>1558.2805270000001</v>
      </c>
      <c r="L250" s="3">
        <f>2654.3+(74.3-557.6)+(0+(0-0))+0-637.2-0</f>
        <v>1533.8</v>
      </c>
      <c r="M250" s="3">
        <f>2698.5+(101.5-599)+(-2.75247+(-0.10353--0.61098))+0-678.2--0.691764000000108</f>
        <v>1521.2467440000003</v>
      </c>
      <c r="N250" s="3">
        <f>2832.3+(114.2-716.5)+(-2.888946+(-0.116484--0.73083))+0-579.5--0.591090000000092</f>
        <v>1648.8164899999999</v>
      </c>
      <c r="O250" s="3">
        <f>2841.4+(155.7-686)+(-4.347342+(-0.238221--1.04958))+0-565.1--0.864603000000033</f>
        <v>1743.3286200000002</v>
      </c>
      <c r="P250" s="3">
        <f>2823.4+(176.1-548.1)+(-2.879868+(-0.179622--0.559062))+0-643.9--0.656778000000103</f>
        <v>1805.6563500000002</v>
      </c>
      <c r="Q250" s="3">
        <f>2811.4+(234-526.9)+(-2.867628+(-0.23868--0.537438))+0-709.3--0.723486000000113</f>
        <v>1807.3546160000001</v>
      </c>
      <c r="R250" s="3">
        <f>2799.8+(186.1-518.3)+(-7.13949+(-0.474555--1.321665))+0-701.3--1.7883149999999</f>
        <v>1761.7959350000006</v>
      </c>
      <c r="S250" s="3">
        <f>2788.5+(211.5-564.9)+(2.84427+(0.21573-0.576198))+0-703.7-0.717774000000112</f>
        <v>1733.1660279999999</v>
      </c>
      <c r="T250" s="3">
        <f>2795.6+(174.4-584.8)+(-7.12878+(-0.44472--1.49124))+0-697.8--1.7793899999999</f>
        <v>1683.0971299999997</v>
      </c>
      <c r="U250" s="3">
        <f>2796.3+(84.7-552.8)+(0+(0-0))+0-670.7-0</f>
        <v>1657.5000000000002</v>
      </c>
      <c r="V250" s="3">
        <f>2756.8+(98.4-584.1)+(-4.217904+(-0.150552--0.893673))+0-665.3--1.01790900000004</f>
        <v>1603.3431260000004</v>
      </c>
      <c r="W250" s="3">
        <f>2820.9+(756-909.1)+(1.438659+(0.38556-0.463641))+0-721.3-0.367862999999927</f>
        <v>1947.4927150000001</v>
      </c>
      <c r="X250" s="3">
        <f>2865.5+(748.9-882.9)+(0+(0-0))+0-723.2-0</f>
        <v>2008.3</v>
      </c>
      <c r="Y250" s="3">
        <f>2870.5+(472.1-795.1)+(-7.319775+(-1.203855--2.027505))+0-580.2--1.47950999999992</f>
        <v>1962.2833849999997</v>
      </c>
      <c r="Z250" s="3">
        <f>2884.8+(157.2-611)+(-1.471248+(-0.080172--0.31161))+0-561--0.286109999999943</f>
        <v>1869.0463</v>
      </c>
      <c r="AA250" s="3">
        <f>2879.4+(195.5-510.4)+(-1.468494+(-0.099705--0.260304))+0-654.6--0.333845999999934</f>
        <v>1908.9259510000002</v>
      </c>
      <c r="AB250" s="3">
        <f>2859.1+(42.9-492.3)+(-2.916282+(-0.043758--0.502146))+0-519.9--0.530298000000083</f>
        <v>1887.8724039999997</v>
      </c>
      <c r="AC250" s="3">
        <f>2766.1+(31.3-512.6)+(-5.642844+(-0.063852--1.045704))+0-592.2--1.20808799999997</f>
        <v>1689.1470959999995</v>
      </c>
      <c r="AD250">
        <f t="shared" si="3"/>
        <v>41490.851238000003</v>
      </c>
      <c r="AE250" s="3">
        <f>2862+(830.2-915.1)+(0+(0-0))+0-769.9-0</f>
        <v>2007.1999999999998</v>
      </c>
    </row>
    <row r="251" spans="1:31" s="2" customFormat="1" x14ac:dyDescent="0.25">
      <c r="A251">
        <v>89</v>
      </c>
      <c r="B251">
        <v>9</v>
      </c>
      <c r="C251">
        <v>5</v>
      </c>
      <c r="D251">
        <v>7</v>
      </c>
      <c r="E251">
        <v>1</v>
      </c>
      <c r="F251" s="3">
        <f>2665.4+(41.3-514.9)+(-4.078062+(-0.063189--0.787797))+0-560.7--0.857871000000032</f>
        <v>1628.604417</v>
      </c>
      <c r="G251" s="3">
        <f>2604.5+(120.8-550.1)+(-3.984885+(-0.184824--0.841653))+0-627.3--0.959769000000036</f>
        <v>1545.5317130000001</v>
      </c>
      <c r="H251" s="3">
        <f>2523.7+(97.7-484.1)+(-3.861261+(-0.149481--0.740673))+0-642.7--0.983331000000037</f>
        <v>1492.3132619999997</v>
      </c>
      <c r="I251" s="3">
        <f>2422.1+(124.2-391)+(-2.470542+(-0.126684--0.39882))+0-677--0.690540000000108</f>
        <v>1476.7921339999998</v>
      </c>
      <c r="J251" s="3">
        <f>2428.9+(116.1-346.2)+(2.477478+(0.118422-0.353124))+0-744.7-0.759594000000119</f>
        <v>1455.5831820000001</v>
      </c>
      <c r="K251" s="3">
        <f>2432.8+(84.3-412.1)+(1.240728+(0.042993-0.210171))+0-645.9-0.329408999999934</f>
        <v>1459.844141</v>
      </c>
      <c r="L251" s="3">
        <f>2515.4+(132.7-444)+(-5.131416+(-0.270708--0.90576))+0-734.6--1.49858399999997</f>
        <v>1466.5022199999999</v>
      </c>
      <c r="M251" s="3">
        <f>2462.4+(227.4-582.6)+(-2.511648+(-0.231948--0.594252))+0-664.8--0.678096000000106</f>
        <v>1440.928752</v>
      </c>
      <c r="N251" s="3">
        <f>2451.6+(229.4-503.1)+(1.250316+(0.116994-0.256581))+0-656.8-0.334967999999933</f>
        <v>1521.8757609999998</v>
      </c>
      <c r="O251" s="3">
        <f>2604.5+(208.8-548.4)+(0+(0-0))+0-659.6-0</f>
        <v>1605.3000000000002</v>
      </c>
      <c r="P251" s="3">
        <f>2625.9+(231.7-467.3)+(-1.339209+(-0.118167--0.238323))+0-729.5--0.372044999999926</f>
        <v>1659.9529920000002</v>
      </c>
      <c r="Q251" s="3">
        <f>2620.3+(199.3-470.3)+(-10.690824+(-0.813144--1.918824))+0-658.3--2.68586399999994</f>
        <v>1684.1007200000001</v>
      </c>
      <c r="R251" s="3">
        <f>2601.9+(224.9-434.8)+(-3.980907+(-0.344097--0.665244))+0-750.4--1.14811200000004</f>
        <v>1639.088352</v>
      </c>
      <c r="S251" s="3">
        <f>2559.9+(187.2-463.5)+(-2.611098+(-0.190944--0.47277))+0-666.1--0.679422000000106</f>
        <v>1615.8501500000002</v>
      </c>
      <c r="T251" s="3">
        <f>2496.6+(238.8-435.5)+(-1.273266+(-0.121788--0.222105))+0-711.8--0.363017999999928</f>
        <v>1587.2900690000004</v>
      </c>
      <c r="U251" s="3">
        <f>2446+(256.4-436.7)+(-2.49492+(-0.261528--0.445434))+0-688.5--0.70227000000011</f>
        <v>1575.5912559999999</v>
      </c>
      <c r="V251" s="3">
        <f>2539.2+(270.4-454.1)+(0+(0-0))+0-718.8-0</f>
        <v>1636.7</v>
      </c>
      <c r="W251" s="3">
        <f>2642.2+(374.8-439.2)+(-1.347522+(-0.191148--0.223992))+0-675.8--0.344657999999931</f>
        <v>1901.0299799999996</v>
      </c>
      <c r="X251" s="3">
        <f>2654.2+(407.5-480)+(-1.353642+(-0.207825--0.2448))+0-701--0.357509999999929</f>
        <v>1879.7408429999996</v>
      </c>
      <c r="Y251" s="3">
        <f>2662.2+(401.8-491.6)+(-4.073166+(-0.614754--0.752148))+0-639.5--0.978435000000037</f>
        <v>1929.9426629999998</v>
      </c>
      <c r="Z251" s="3">
        <f>2654.5+(410.2-473.6)+(-2.70759+(-0.418404--0.483072))+0-695.3--0.709206000000111</f>
        <v>1893.8662840000002</v>
      </c>
      <c r="AA251" s="3">
        <f>2651.8+(275.8-400)+(-5.409672+(-0.562632--0.816))+0-633.2--1.29172799999997</f>
        <v>1890.5354240000001</v>
      </c>
      <c r="AB251" s="3">
        <f>2637.1+(175-331)+(-4.034763+(-0.26775--0.50643))+0-666.2--1.01928600000004</f>
        <v>1812.1232029999996</v>
      </c>
      <c r="AC251" s="3">
        <f>2558.1+(144.4-418.6)+(-7.827786+(-0.441864--1.280916))+0-571.1--1.74756600000007</f>
        <v>1707.5588319999997</v>
      </c>
      <c r="AD251">
        <f t="shared" si="3"/>
        <v>39506.646350000003</v>
      </c>
      <c r="AE251" s="3">
        <f>2665+(401.9-486.2)+(0+(0-0))+0-691.9-0</f>
        <v>1888.7999999999997</v>
      </c>
    </row>
    <row r="252" spans="1:31" s="2" customFormat="1" x14ac:dyDescent="0.25">
      <c r="A252">
        <v>89</v>
      </c>
      <c r="B252">
        <v>9</v>
      </c>
      <c r="C252">
        <v>6</v>
      </c>
      <c r="D252">
        <v>1</v>
      </c>
      <c r="E252">
        <v>1</v>
      </c>
      <c r="F252" s="3">
        <f>2507.7+(112-441.4)+(0+(0-0))+0-608.1-0</f>
        <v>1570.1999999999998</v>
      </c>
      <c r="G252" s="3">
        <f>2382.8+(173.3-326.1)+(0+(0-0))+0-717.6-0</f>
        <v>1512.4</v>
      </c>
      <c r="H252" s="3">
        <f>2097.1+(237.6-198.1)+(1.069521+(0.121176-0.101031))+0-682.4-0.348023999999931</f>
        <v>1454.9416419999998</v>
      </c>
      <c r="I252" s="3">
        <f>2058.6+(300-155.8)+(2.099772+(0.306-0.158916))+0-716.3-0.730626000000114</f>
        <v>1488.01623</v>
      </c>
      <c r="J252" s="3">
        <f>2053.4+(253.1-176.3)+(0+(0-0))+0-715-0</f>
        <v>1415.2000000000003</v>
      </c>
      <c r="K252" s="3">
        <f>2040.7+(221.6-222.1)+(-2.081514+(-0.226032--0.226542))+0-513.3--0.523566000000082</f>
        <v>1525.3425620000003</v>
      </c>
      <c r="L252" s="3">
        <f>2336.5+(249.7-337.8)+(-5.958075+(-0.636735--0.86139))+0-675.3--1.7220149999999</f>
        <v>1569.0885949999999</v>
      </c>
      <c r="M252" s="3">
        <f>2539+(136.4-422.2)+(1.29489+(0.069564-0.215322))+0-571.9-0.291668999999942</f>
        <v>1682.1574629999998</v>
      </c>
      <c r="N252" s="3">
        <f>2635.8+(171.7-361.9)+(0+(0-0))+0-460-0</f>
        <v>1985.6000000000004</v>
      </c>
      <c r="O252" s="3">
        <f>2592.8+(296.8-263.1)+(3.966984+(0.454104-0.402543))+0-610-0.933300000000035</f>
        <v>2019.5852449999998</v>
      </c>
      <c r="P252" s="3">
        <f>2612.1+(317.5-314.7)+(0+(0-0))+0-549.1-0</f>
        <v>2065.8000000000002</v>
      </c>
      <c r="Q252" s="3">
        <f>2631.9+(357.2-384.6)+(-1.342269+(-0.182172--0.196146))+0-441.1--0.224960999999955</f>
        <v>2162.2966660000002</v>
      </c>
      <c r="R252" s="3">
        <f>2688.1+(258.3-307.1)+(-1.370931+(-0.131733--0.156621))+0-649.4--0.331193999999934</f>
        <v>1988.8851509999995</v>
      </c>
      <c r="S252" s="3">
        <f>2730.6+(166.6-304.4)+(-1.392606+(-0.084966--0.155244))+0-605.1--0.308600999999939</f>
        <v>1986.6862729999996</v>
      </c>
      <c r="T252" s="3">
        <f>2809.1+(149.2-331.4)+(-2.865282+(-0.152184--0.338028))+0-586.3--0.598026000000093</f>
        <v>2038.5185880000001</v>
      </c>
      <c r="U252" s="3">
        <f>2809.1+(181.9-283)+(-1.432641+(-0.092769--0.14433))+0-665.1--0.339200999999933</f>
        <v>2041.858121</v>
      </c>
      <c r="V252" s="3">
        <f>2825.5+(94.5-413.6)+(-2.88201+(-0.09639--0.421872))+0-399.3--0.407286000000064</f>
        <v>2104.950758</v>
      </c>
      <c r="W252" s="3">
        <f>2843.9+(834.8-752.4)+(2.900778+(0.851496-0.767448))+0-561.8-0.57303600000009</f>
        <v>2366.9117899999997</v>
      </c>
      <c r="X252" s="3">
        <f>2864.4+(907.5-861.9)+(-2.921688+(-0.92565--0.879138))+0-562--0.57324000000009</f>
        <v>2345.6050400000004</v>
      </c>
      <c r="Y252" s="3">
        <f>2870.9+(642-622.9)+(-5.856636+(-1.30968--1.270716))+0-649--1.32395999999997</f>
        <v>2236.4283600000003</v>
      </c>
      <c r="Z252" s="3">
        <f>2895.6+(293.6-412.6)+(-7.38378+(-0.74868--1.05213))+0-632.8--1.61363999999991</f>
        <v>2138.3333100000004</v>
      </c>
      <c r="AA252" s="3">
        <f>2872.8+(256.2-342.3)+(1.465128+(0.130662-0.174573))+0-683.4-0.348533999999931</f>
        <v>2104.3726830000005</v>
      </c>
      <c r="AB252" s="3">
        <f>2862.6+(57-501)+(-5.839704+(-0.11628--1.02204))+0-422.5--0.861899999999982</f>
        <v>1992.0279559999999</v>
      </c>
      <c r="AC252" s="3">
        <f>2773.8+(166.1-448.3)+(-4.243914+(-0.254133--0.685899))+0-653.5--0.999855000000038</f>
        <v>1835.2877070000004</v>
      </c>
      <c r="AD252">
        <f t="shared" si="3"/>
        <v>45630.494140000003</v>
      </c>
      <c r="AE252" s="3">
        <f>2856+(1101.4-908.1)+(0+(0-0))+0-612.8-0</f>
        <v>2436.5</v>
      </c>
    </row>
    <row r="253" spans="1:31" s="2" customFormat="1" x14ac:dyDescent="0.25">
      <c r="A253">
        <v>89</v>
      </c>
      <c r="B253">
        <v>9</v>
      </c>
      <c r="C253">
        <v>7</v>
      </c>
      <c r="D253">
        <v>2</v>
      </c>
      <c r="E253">
        <v>1</v>
      </c>
      <c r="F253" s="3">
        <f>2638.9+(143.6-439.1)+(-1.345839+(-0.073236--0.223941))+0-637.2--0.324971999999935</f>
        <v>1705.3298379999999</v>
      </c>
      <c r="G253" s="3">
        <f>2389.3+(238.7-441.3)+(-6.092715+(-0.608685--1.125315))+0-554.5--1.41397499999992</f>
        <v>1628.0378900000001</v>
      </c>
      <c r="H253" s="3">
        <f>2358.5+(219.8-346.5)+(-1.202835+(-0.112098--0.176715))+0-639.6--0.326195999999935</f>
        <v>1591.3879780000002</v>
      </c>
      <c r="I253" s="3">
        <f>2309.1+(211.3-339.7)+(-1.177641+(-0.107763--0.173247))+0-585.3--0.298502999999941</f>
        <v>1594.5863459999998</v>
      </c>
      <c r="J253" s="3">
        <f>2292.1+(223.9-366)+(-2.337942+(-0.228378--0.37332))+0-555.5--0.566610000000089</f>
        <v>1592.8736099999999</v>
      </c>
      <c r="K253" s="3">
        <f>2503.3+(130-358.6)+(0+(0-0))+0-653.3-0</f>
        <v>1621.4000000000003</v>
      </c>
      <c r="L253" s="3">
        <f>2692.7+(23.5-568.8)+(-5.493108+(-0.04794--1.160352))+0-452.8--0.92371199999998</f>
        <v>1691.1430159999995</v>
      </c>
      <c r="M253" s="3">
        <f>2768.8+(36.5-515.9)+(-1.412088+(-0.018615--0.263109))+0-488.8--0.24928799999995</f>
        <v>1799.6816940000001</v>
      </c>
      <c r="N253" s="3">
        <f>2795+(145-309.6)+(0+(0-0))+0-644-0</f>
        <v>1986.4</v>
      </c>
      <c r="O253" s="3">
        <f>2808+(280-359.5)+(1.43208+(0.1428-0.183345))+0-585-0.298349999999941</f>
        <v>2144.5931850000002</v>
      </c>
      <c r="P253" s="3">
        <f>2822.8+(481.1-485.8)+(2.879256+(0.490722-0.495516))+0-606.8-0.618936000000097</f>
        <v>2213.5555260000006</v>
      </c>
      <c r="Q253" s="3">
        <f>2857.6+(523.3-576.6)+(0+(0-0))+0-532-0</f>
        <v>2272.2999999999997</v>
      </c>
      <c r="R253" s="3">
        <f>2896.1+(202.1-567.7)+(-7.385055+(-0.515355--1.447635))+0-506.1--1.29055499999993</f>
        <v>2019.2377799999999</v>
      </c>
      <c r="S253" s="3">
        <f>2807.1+(158.8-406.8)+(-4.294863+(-0.242964--0.622404))+0-465.3--0.711909000000027</f>
        <v>2090.5964859999999</v>
      </c>
      <c r="T253" s="3">
        <f>2739+(195.9-403.6)+(1.39689+(0.099909-0.205836))+0-446.4-0.227663999999955</f>
        <v>2085.963299</v>
      </c>
      <c r="U253" s="3">
        <f>2717.8+(243.1-351.7)+(2.772156+(0.247962-0.358734))+0-537.6-0.548352000000086</f>
        <v>2073.7130320000001</v>
      </c>
      <c r="V253" s="3">
        <f>2735.5+(342.9-436.5)+(-1.395105+(-0.174879--0.222615))+0-511.8--0.261017999999948</f>
        <v>2129.013649</v>
      </c>
      <c r="W253" s="3">
        <f>2942.4+(794.4-953.3)+(1.500624+(0.405144-0.486183))+0-439-0.223889999999955</f>
        <v>2345.6956950000003</v>
      </c>
      <c r="X253" s="3">
        <f>2971+(850.4-927.1)+(-10.60647+(-3.035928--3.309747))+0-570.7--2.03739900000001</f>
        <v>2315.3047479999996</v>
      </c>
      <c r="Y253" s="3">
        <f>2917+(540.4-813.6)+(-5.95068+(-1.102416--1.659744))+0-422.9--0.862715999999982</f>
        <v>2216.3693640000001</v>
      </c>
      <c r="Z253" s="3">
        <f>2807.8+(553.7-662.1)+(-1.431978+(-0.282387--0.337671))+0-582.4--0.297023999999941</f>
        <v>2115.9203299999999</v>
      </c>
      <c r="AA253" s="3">
        <f>2805.2+(635.7-624.6)+(-4.291956+(-0.972621--0.955638))+0-693.3--1.06074900000004</f>
        <v>2119.7518099999998</v>
      </c>
      <c r="AB253" s="3">
        <f>2688.9+(455.6-546.9)+(-2.742678+(-0.464712--0.557838))+0-599.4--0.611388000000096</f>
        <v>1996.1618360000004</v>
      </c>
      <c r="AC253" s="3">
        <f>2507.4+(303.7-328.5)+(-5.115096+(-0.619548--0.67014))+0-607.1--1.23848399999997</f>
        <v>1871.67398</v>
      </c>
      <c r="AD253">
        <f t="shared" si="3"/>
        <v>47220.691092000001</v>
      </c>
      <c r="AE253" s="3">
        <f>2961+(962.9-985.5)+(0+(0-0))+0-504.2-0</f>
        <v>2434.2000000000003</v>
      </c>
    </row>
    <row r="254" spans="1:31" s="2" customFormat="1" x14ac:dyDescent="0.25">
      <c r="A254">
        <v>89</v>
      </c>
      <c r="B254">
        <v>9</v>
      </c>
      <c r="C254">
        <v>8</v>
      </c>
      <c r="D254">
        <v>3</v>
      </c>
      <c r="E254">
        <v>1</v>
      </c>
      <c r="F254" s="3">
        <f>2230+(429.8-439.3)+(-4.5492+(-0.876792--0.896172))+0-591.6--1.20686399999997</f>
        <v>1625.5770439999999</v>
      </c>
      <c r="G254" s="3">
        <f>2057+(658.7-451)+(-1.04907+(-0.335937--0.23001))+0-603.6--0.307835999999939</f>
        <v>1660.2528389999998</v>
      </c>
      <c r="H254" s="3">
        <f>1970.2+(580.6-365.3)+(1.004802+(0.296106-0.186303))+0-604.9-0.308498999999939</f>
        <v>1581.4061060000001</v>
      </c>
      <c r="I254" s="3">
        <f>1924.3+(621.3-367.2)+(-1.962786+(-0.633726--0.374544))+0-614.2--0.626484000000098</f>
        <v>1562.6045160000003</v>
      </c>
      <c r="J254" s="3">
        <f>1956.4+(546.8-362.4)+(0.997764+(0.278868-0.184824))+0-606.3-0.309212999999938</f>
        <v>1535.2825950000004</v>
      </c>
      <c r="K254" s="3">
        <f>2087.4+(490.4-417.9)+(1.064574+(0.250104-0.213129))+0-599.7-0.305846999999939</f>
        <v>1560.9957020000002</v>
      </c>
      <c r="L254" s="3">
        <f>2287.2+(361-448.5)+(0+(0-0))+0-558.4-0</f>
        <v>1641.2999999999997</v>
      </c>
      <c r="M254" s="3">
        <f>2427.3+(238.9-420.3)+(-6.189615+(-0.609195--1.071765))+0-491.5--1.25332499999993</f>
        <v>1749.9262799999999</v>
      </c>
      <c r="N254" s="3">
        <f>2456.5+(402.2-236.3)+(3.758445+(0.615366-0.361539))+0-621.7-0.951201000000036</f>
        <v>2003.7610709999999</v>
      </c>
      <c r="O254" s="3">
        <f>2399.5+(494.9-338.5)+(-3.671235+(-0.757197--0.517905))+0-487.2--0.745416000000028</f>
        <v>2065.5348890000005</v>
      </c>
      <c r="P254" s="3">
        <f>2427.2+(683.9-311.9)+(1.237872+(0.348789-0.159069))+0-673-0.343229999999932</f>
        <v>2127.2843619999999</v>
      </c>
      <c r="Q254" s="3">
        <f>2451.7+(633.4-417.7)+(-6.251835+(-1.61517--1.065135))+0-516.4--1.31681999999993</f>
        <v>2145.5149499999998</v>
      </c>
      <c r="R254" s="3">
        <f>2492.3+(447.2-454.6)+(-2.542146+(-0.456144--0.463692))+0-490--0.499800000000078</f>
        <v>1992.865202</v>
      </c>
      <c r="S254" s="3">
        <f>2485.5+(443.7-427.4)+(0+(0-0))+0-506.9-0</f>
        <v>1994.9</v>
      </c>
      <c r="T254" s="3">
        <f>2499.5+(479.5-294.6)+(0+(0-0))+0-652.5-0</f>
        <v>2031.9</v>
      </c>
      <c r="U254" s="3">
        <f>2516+(299.2-356.4)+(1.28316+(0.152592-0.181764))+0-472.7-0.241076999999952</f>
        <v>1987.1129110000002</v>
      </c>
      <c r="V254" s="3">
        <f>2526.3+(606.9-447.1)+(3.865239+(0.928557-0.684063))+0-635.4-0.972162000000037</f>
        <v>2053.837571</v>
      </c>
      <c r="W254" s="3">
        <f>2553.4+(1150.7-813.9)+(3.906702+(1.760571-1.245267))+0-584.7-0.894591000000034</f>
        <v>2309.0274149999996</v>
      </c>
      <c r="X254" s="3">
        <f>2576.3+(1051.2-762.2)+(-5.255652+(-2.144448--1.554888))+0-566.9--1.15647599999998</f>
        <v>2293.711264</v>
      </c>
      <c r="Y254" s="3">
        <f>2572.8+(790.7-621.3)+(-3.936384+(-1.209771--0.950589))+0-545.7--0.834921000000032</f>
        <v>2193.1393550000007</v>
      </c>
      <c r="Z254" s="3">
        <f>2572+(452.1-453.3)+(-3.93516+(-0.691713--0.693549))+0-474.3--0.725679000000027</f>
        <v>2093.292355</v>
      </c>
      <c r="AA254" s="3">
        <f>2527.6+(453.2-390.6)+(-2.578152+(-0.462264--0.398412))+0-511.1--0.521322000000082</f>
        <v>2076.9793180000001</v>
      </c>
      <c r="AB254" s="3">
        <f>2552.9+(385.9-414)+(0+(0-0))+0-548.5-0</f>
        <v>1976.3000000000002</v>
      </c>
      <c r="AC254" s="3">
        <f>2557.7+(344.1-542)+(-6.522135+(-0.877455--1.3821))+0-517.4--1.31936999999992</f>
        <v>1837.7018799999994</v>
      </c>
      <c r="AD254">
        <f t="shared" si="3"/>
        <v>46100.207625000003</v>
      </c>
      <c r="AE254" s="3">
        <f>2558+(1213.2-780.4)+(0+(0-0))+0-665.8-0</f>
        <v>2325</v>
      </c>
    </row>
    <row r="255" spans="1:31" s="2" customFormat="1" x14ac:dyDescent="0.25">
      <c r="A255">
        <v>89</v>
      </c>
      <c r="B255">
        <v>9</v>
      </c>
      <c r="C255">
        <v>9</v>
      </c>
      <c r="D255">
        <v>4</v>
      </c>
      <c r="E255">
        <v>1</v>
      </c>
      <c r="F255" s="3">
        <f>2560+(391.7-737.9)+(-5.2224+(-0.799068--1.505316))+0-514.7--1.04998799999998</f>
        <v>1695.633836</v>
      </c>
      <c r="G255" s="3">
        <f>2520.6+(344.6-630.6)+(-2.571012+(-0.351492--0.643212))+0-608.7--0.620874000000097</f>
        <v>1624.2415819999999</v>
      </c>
      <c r="H255" s="3">
        <f>2223.2+(434.1-528.5)+(-3.401496+(-0.664173--0.808605))+0-548.1--0.838593000000032</f>
        <v>1578.2815289999999</v>
      </c>
      <c r="I255" s="3">
        <f>2167.9+(499.1-510.3)+(-2.211258+(-0.509082--0.520506))+0-596.1--0.608022000000095</f>
        <v>1559.0081880000005</v>
      </c>
      <c r="J255" s="3">
        <f>2190.2+(543-531.1)+(-2.234004+(-0.55386--0.541722))+0-636.2--0.648924000000102</f>
        <v>1564.302782</v>
      </c>
      <c r="K255" s="3">
        <f>2253.5+(441.3-520.1)+(0+(0-0))+0-592-0</f>
        <v>1582.6999999999998</v>
      </c>
      <c r="L255" s="3">
        <f>2326.5+(319.7-374)+(-2.37303+(-0.326094--0.38148))+0-587--0.598740000000094</f>
        <v>1683.4810959999998</v>
      </c>
      <c r="M255" s="3">
        <f>2453+(229.5-368.9)+(-1.25103+(-0.117045--0.188139))+0-556.6--0.283865999999944</f>
        <v>1756.10393</v>
      </c>
      <c r="N255" s="3">
        <f>2556.2+(273.8-349.1)+(1.303662+(0.139638-0.178041))+0-545.4-0.278153999999945</f>
        <v>1936.4871049999995</v>
      </c>
      <c r="O255" s="3">
        <f>2596+(477.3-437.3)+(0+(0-0))+0-586.1-0</f>
        <v>2049.9</v>
      </c>
      <c r="P255" s="3">
        <f>2665.5+(581-608.8)+(-1.359405+(-0.29631--0.310488))+0-509.9--0.260048999999948</f>
        <v>2126.7148219999999</v>
      </c>
      <c r="Q255" s="3">
        <f>2803.4+(638.2-727)+(-2.859468+(-0.650964--0.74154))+0-421.6--0.430032000000067</f>
        <v>2290.6611400000006</v>
      </c>
      <c r="R255" s="3">
        <f>2640.3+(495.2-691.5)+(-1.346553+(-0.252552--0.352665))+0-452.5--0.230774999999954</f>
        <v>1990.4843350000001</v>
      </c>
      <c r="S255" s="3">
        <f>2651.3+(593.9-659.2)+(0+(0-0))+0-598.9-0</f>
        <v>1987.1</v>
      </c>
      <c r="T255" s="3">
        <f>2729.8+(556.6-684)+(-4.176594+(-0.851598--1.04652))+0-551.6--0.843948000000032</f>
        <v>2047.6622760000002</v>
      </c>
      <c r="U255" s="3">
        <f>2748.2+(517.7-685.6)+(-4.204746+(-0.792081--1.048968))+0-535.9--0.819927000000031</f>
        <v>2041.2720679999998</v>
      </c>
      <c r="V255" s="3">
        <f>2804.3+(355.9-653.2)+(-4.290579+(-0.544527--0.999396))+0-425.7--0.651321000000025</f>
        <v>2078.1156110000002</v>
      </c>
      <c r="W255" s="3">
        <f>2851.4+(732.3-816.2)+(-2.908428+(-0.746946--0.832524))+0-413.8--0.422076000000066</f>
        <v>2351.2992260000001</v>
      </c>
      <c r="X255" s="3">
        <f>2876+(635.7-727.4)+(-5.86704+(-1.296828--1.483896))+0-504--1.02815999999998</f>
        <v>2275.6481880000001</v>
      </c>
      <c r="Y255" s="3">
        <f>2952.5+(311.9-653.1)+(-6.0231+(-0.636276--1.332324))+0-464--0.94655999999998</f>
        <v>2142.919508</v>
      </c>
      <c r="Z255" s="3">
        <f>3026.5+(119.1-452.4)+(-3.08703+(-0.121482--0.461448))+0-596.6--0.608532000000095</f>
        <v>2094.461468</v>
      </c>
      <c r="AA255" s="3">
        <f>3007.6+(173.9-484.9)+(-4.601628+(-0.266067--0.741897))+0-561--0.858330000000032</f>
        <v>2132.3325319999999</v>
      </c>
      <c r="AB255" s="3">
        <f>2956.3+(123.4-621.7)+(-4.523139+(-0.188802--0.951201))+0-462.3--0.707319000000027</f>
        <v>1992.646579</v>
      </c>
      <c r="AC255" s="3">
        <f>2867.6+(197-576.7)+(-7.31238+(-0.50235--1.470585))+0-642.8--1.63913999999991</f>
        <v>1840.3949949999997</v>
      </c>
      <c r="AD255">
        <f t="shared" si="3"/>
        <v>46421.852795999999</v>
      </c>
      <c r="AE255" s="3">
        <f>2866+(890.4-856.2)+(0+(0-0))+0-486.1-0</f>
        <v>2414.1</v>
      </c>
    </row>
    <row r="256" spans="1:31" s="2" customFormat="1" x14ac:dyDescent="0.25">
      <c r="A256">
        <v>89</v>
      </c>
      <c r="B256">
        <v>9</v>
      </c>
      <c r="C256">
        <v>10</v>
      </c>
      <c r="D256">
        <v>5</v>
      </c>
      <c r="E256">
        <v>1</v>
      </c>
      <c r="F256" s="3">
        <f>2711.7+(142.6-727)+(-6.914835+(-0.36363--1.85385))+0-408.4--1.04141999999994</f>
        <v>1714.5168049999997</v>
      </c>
      <c r="G256" s="3">
        <f>2424.5+(211.1-585.3)+(0+(0-0))+0-427-0</f>
        <v>1623.3000000000002</v>
      </c>
      <c r="H256" s="3">
        <f>2376+(219.3-472.2)+(-1.21176+(-0.111843--0.240822))+0-535--0.272849999999946</f>
        <v>1587.2900689999997</v>
      </c>
      <c r="I256" s="3">
        <f>2375+(251.2-436.3)+(-1.21125+(-0.128112--0.222513))+0-627.4--0.319973999999936</f>
        <v>1561.703125</v>
      </c>
      <c r="J256" s="3">
        <f>2376.3+(310.3-412.3)+(2.423826+(0.316506-0.420546))+0-688.3-0.70206600000011</f>
        <v>1587.6177200000002</v>
      </c>
      <c r="K256" s="3">
        <f>2473.9+(202.4-406.3)+(-2.523378+(-0.206448--0.414426))+0-681.4--0.695028000000109</f>
        <v>1586.979628</v>
      </c>
      <c r="L256" s="3">
        <f>2607.3+(20.1-549.2)+(-1.329723+(-0.010251--0.280092))+0-455.5--0.232304999999954</f>
        <v>1621.8724230000003</v>
      </c>
      <c r="M256" s="3">
        <f>2604+(21.5-536.8)+(0+(0-0))+0-419.3-0</f>
        <v>1669.3999999999999</v>
      </c>
      <c r="N256" s="3">
        <f>2674.6+(110.6-414.7)+(-1.364046+(-0.056406--0.211497))+0-456.5--0.232814999999954</f>
        <v>1913.0238599999998</v>
      </c>
      <c r="O256" s="3">
        <f>2833.9+(152.3-502.8)+(-5.781156+(-0.310692--1.025712))+0-376.7--0.768467999999984</f>
        <v>2102.4023320000001</v>
      </c>
      <c r="P256" s="3">
        <f>2899.7+(300.8-483.8)+(1.478847+(0.153408-0.246738))+0-381.7-0.194666999999961</f>
        <v>2336.1908500000004</v>
      </c>
      <c r="Q256" s="3">
        <f>2950.9+(431.4-483.3)+(-1.504959+(-0.220014--0.246483))+0-439--0.223889999999955</f>
        <v>2458.7453999999998</v>
      </c>
      <c r="R256" s="3">
        <f>2918.3+(125.5-462)+(-7.441665+(-0.320025--1.1781))+0-453.5--1.15642499999993</f>
        <v>2122.8728350000001</v>
      </c>
      <c r="S256" s="3">
        <f>2833.6+(135.5-444.1)+(0+(0-0))+0-438.9-0</f>
        <v>2086.1</v>
      </c>
      <c r="T256" s="3">
        <f>2830.3+(173.8-399.8)+(0+(0-0))+0-503.5-0</f>
        <v>2100.8000000000002</v>
      </c>
      <c r="U256" s="3">
        <f>2830.3+(176.2-400.3)+(-1.443453+(-0.089862--0.204153))+0-468.2--0.238781999999953</f>
        <v>2136.9096200000004</v>
      </c>
      <c r="V256" s="3">
        <f>2920.1+(278.9-537.4)+(2.978502+(0.284478-0.548148))+0-412.9-0.421158000000066</f>
        <v>2250.9936739999998</v>
      </c>
      <c r="W256" s="3">
        <f>2846.5+(805.5-680.6)+(0+(0-0))+0-470.7-0</f>
        <v>2500.7000000000003</v>
      </c>
      <c r="X256" s="3">
        <f>2875.2+(595.8-629.9)+(-5.865408+(-1.215432--1.284996))+0-483.5--0.986339999999979</f>
        <v>2352.7904959999996</v>
      </c>
      <c r="Y256" s="3">
        <f>2879.1+(528.6-631.8)+(-4.405023+(-0.808758--0.966654))+0-504.8--0.772344000000029</f>
        <v>2267.6252169999998</v>
      </c>
      <c r="Z256" s="3">
        <f>2891.6+(497.4-732.3)+(-1.474716+(-0.253674--0.373473))+0-496.6--0.25326599999995</f>
        <v>2158.998349</v>
      </c>
      <c r="AA256" s="3">
        <f>2838.3+(473.6-748.9)+(0+(0-0))+0-456.9-0</f>
        <v>2106.1</v>
      </c>
      <c r="AB256" s="3">
        <f>2742+(429.5-668.7)+(-5.59368+(-0.87618--1.364148))+0-527.6--1.07630399999998</f>
        <v>1971.1705920000002</v>
      </c>
      <c r="AC256" s="3">
        <f>2724+(177-651.4)+(-4.16772+(-0.27081--0.996642))+0-461.8--0.706554000000027</f>
        <v>1785.0646660000002</v>
      </c>
      <c r="AD256">
        <f t="shared" si="3"/>
        <v>47603.167661000007</v>
      </c>
      <c r="AE256" s="3">
        <f>2861+(862-638.5)+(0+(0-0))+0-580.9-0</f>
        <v>2503.6</v>
      </c>
    </row>
    <row r="257" spans="1:31" s="2" customFormat="1" x14ac:dyDescent="0.25">
      <c r="A257">
        <v>89</v>
      </c>
      <c r="B257">
        <v>9</v>
      </c>
      <c r="C257">
        <v>11</v>
      </c>
      <c r="D257">
        <v>6</v>
      </c>
      <c r="E257">
        <v>1</v>
      </c>
      <c r="F257" s="3">
        <f>2713.1+(88-502.2)+(-2.767362+(-0.08976--0.512244))+0-566.2--0.57752400000009</f>
        <v>1730.9326460000002</v>
      </c>
      <c r="G257" s="3">
        <f>2454.5+(182.9-480.1)+(2.50359+(0.186558-0.489702))+0-511.5-0.521730000000082</f>
        <v>1647.4787159999998</v>
      </c>
      <c r="H257" s="3">
        <f>2385.4+(179.9-329.4)+(3.649662+(0.275247-0.503982))+0-632.8-0.968184000000036</f>
        <v>1605.5527430000002</v>
      </c>
      <c r="I257" s="3">
        <f>2351.1+(172.7-268.3)+(-1.199061+(-0.088077--0.136833))+0-669.4--0.341393999999932</f>
        <v>1585.2910889999998</v>
      </c>
      <c r="J257" s="3">
        <f>2292.5+(163.8-271)+(1.169175+(0.083538-0.13821))+0-597.6-0.304775999999939</f>
        <v>1588.5097270000001</v>
      </c>
      <c r="K257" s="3">
        <f>2361.2+(200.8-283)+(0+(0-0))+0-672.4-0</f>
        <v>1606.6</v>
      </c>
      <c r="L257" s="3">
        <f>2386.2+(214.8-299.6)+(-2.433924+(-0.219096--0.305592))+0-652--0.665040000000104</f>
        <v>1647.7176119999997</v>
      </c>
      <c r="M257" s="3">
        <f>2492.1+(221.7-381.5)+(1.270971+(0.113067-0.194565))+0-618.8-0.315587999999937</f>
        <v>1714.3738849999997</v>
      </c>
      <c r="N257" s="3">
        <f>2802.7+(215.5-456)+(0+(0-0))+0-627.6-0</f>
        <v>1934.6</v>
      </c>
      <c r="O257" s="3">
        <f>3093.4+(303.4-511.2)+(-6.310536+(-0.618936--1.042848))+0-598.8--1.22155199999997</f>
        <v>2282.1349279999995</v>
      </c>
      <c r="P257" s="3">
        <f>3080+(510.6-613.5)+(-4.7124+(-0.781218--0.938655))+0-604.7--0.925191000000035</f>
        <v>2368.7702279999999</v>
      </c>
      <c r="Q257" s="3">
        <f>3043.8+(660.7-652)+(-1.552338+(-0.336957--0.33252))+0-666.8--0.340067999999932</f>
        <v>2384.4832929999998</v>
      </c>
      <c r="R257" s="3">
        <f>3046+(391.2-570.5)+(-6.21384+(-0.798048--1.16382))+0-631--1.28723999999997</f>
        <v>2231.1391720000001</v>
      </c>
      <c r="S257" s="3">
        <f>3072.1+(264.1-457.5)+(-3.133542+(-0.269382--0.46665))+0-664.4--0.677688000000106</f>
        <v>2212.0414139999998</v>
      </c>
      <c r="T257" s="3">
        <f>2949.5+(228.2-397.6)+(-3.00849+(-0.232764--0.405552))+0-561.3--0.572526000000089</f>
        <v>2216.5368239999998</v>
      </c>
      <c r="U257" s="3">
        <f>2922.1+(210-349.9)+(-1.490271+(-0.1071--0.178449))+0-593.4--0.30263399999994</f>
        <v>2187.683712</v>
      </c>
      <c r="V257" s="3">
        <f>3024.8+(198-406.6)+(-7.71324+(-0.5049--1.03683))+0-627.5--1.60012499999991</f>
        <v>2183.1188150000003</v>
      </c>
      <c r="W257" s="3">
        <f>2884.9+(829.7-864.9)+(0+(0-0))+0-613.6-0</f>
        <v>2236.1000000000004</v>
      </c>
      <c r="X257" s="3">
        <f>3040.8+(885.6-967.4)+(-10.855656+(-3.161592--3.453618))+0-581.2--2.07488400000001</f>
        <v>2369.3112539999997</v>
      </c>
      <c r="Y257" s="3">
        <f>2904.7+(775.2-855.4)+(-4.444191+(-1.186056--1.308762))+0-655.1--1.00230300000004</f>
        <v>2166.0808180000004</v>
      </c>
      <c r="Z257" s="3">
        <f>2900.2+(482.8-701.2)+(-4.437306+(-0.738684--1.072836))+0-623.2--0.953496000000036</f>
        <v>2055.4503420000001</v>
      </c>
      <c r="AA257" s="3">
        <f>2881.8+(239.5-453.3)+(-7.34859+(-0.610725--1.155915))+0-628.7--1.60318499999991</f>
        <v>2034.0997850000001</v>
      </c>
      <c r="AB257" s="3">
        <f>2765.3+(199.6-464.8)+(0+(0-0))+0-558.2-0</f>
        <v>1941.9000000000003</v>
      </c>
      <c r="AC257" s="3">
        <f>2570.3+(284.7-490.7)+(-3.932559+(-0.435591--0.750771))+0-541.3--0.828189000000031</f>
        <v>1820.2108100000005</v>
      </c>
      <c r="AD257">
        <f t="shared" ref="AD257:AD320" si="4">SUM(F257:AC257)</f>
        <v>47750.117813000004</v>
      </c>
      <c r="AE257" s="3">
        <f>2871+(1046.8-1033.5)+(0+(0-0))+0-624.9-0</f>
        <v>2259.4</v>
      </c>
    </row>
    <row r="258" spans="1:31" s="2" customFormat="1" x14ac:dyDescent="0.25">
      <c r="A258">
        <v>89</v>
      </c>
      <c r="B258">
        <v>9</v>
      </c>
      <c r="C258">
        <v>12</v>
      </c>
      <c r="D258">
        <v>7</v>
      </c>
      <c r="E258">
        <v>1</v>
      </c>
      <c r="F258" s="3">
        <f>2448.8+(234.5-294.3)+(-7.493328+(-0.71757--0.900558))+0-672.7--2.05846200000008</f>
        <v>1711.0481220000001</v>
      </c>
      <c r="G258" s="3">
        <f>2284.8+(284.1-280.7)+(0+(0-0))+0-645.8-0</f>
        <v>1642.4000000000003</v>
      </c>
      <c r="H258" s="3">
        <f>2124.1+(281-267.3)+(-1.083291+(-0.14331--0.136323))+0-614.7--0.313496999999938</f>
        <v>1522.3232189999994</v>
      </c>
      <c r="I258" s="3">
        <f>2041.2+(310.4-232.2)+(1.041012+(0.158304-0.118422))+0-675.4-0.344453999999931</f>
        <v>1444.7364400000001</v>
      </c>
      <c r="J258" s="3">
        <f>2018.6+(360.4-187.2)+(0+(0-0))+0-688-0</f>
        <v>1503.7999999999997</v>
      </c>
      <c r="K258" s="3">
        <f>2015.8+(352.6-180.5)+(3.084174+(0.539478-0.276165))+0-696.8-1.06610400000004</f>
        <v>1493.3813830000001</v>
      </c>
      <c r="L258" s="3">
        <f>2015.4+(354.5-180.4)+(-2.055708+(-0.36159--0.184008))+0-692.9--0.70675800000011</f>
        <v>1495.0734679999998</v>
      </c>
      <c r="M258" s="3">
        <f>2074.7+(292.6-222.7)+(-5.290485+(-0.74613--0.567885))+0-679.7--1.7332349999999</f>
        <v>1461.1645049999997</v>
      </c>
      <c r="N258" s="3">
        <f>2443+(159.8-385)+(1.24593+(0.081498-0.19635))+0-706.1-0.360110999999928</f>
        <v>1512.4709670000002</v>
      </c>
      <c r="O258" s="3">
        <f>2555.7+(155.3-427.4)+(1.303407+(0.079203-0.217974))+0-732.5-0.373574999999926</f>
        <v>1551.891061</v>
      </c>
      <c r="P258" s="3">
        <f>2571.9+(253.3-498.8)+(-5.246676+(-0.516732--1.017552))+0-632.4--1.29009599999997</f>
        <v>1690.5442399999999</v>
      </c>
      <c r="Q258" s="3">
        <f>2572.5+(397.7-460.5)+(-1.311975+(-0.202827--0.234855))+0-762.6--0.388925999999923</f>
        <v>1746.2089789999998</v>
      </c>
      <c r="R258" s="3">
        <f>2594.3+(247.7-493.6)+(-3.969279+(-0.378981--0.755208))+0-683.3--1.04544900000004</f>
        <v>1662.5523969999999</v>
      </c>
      <c r="S258" s="3">
        <f>2626.9+(188.9-475.4)+(-4.019157+(-0.289017--0.727362))+0-690.4--1.05631200000004</f>
        <v>1647.4754999999998</v>
      </c>
      <c r="T258" s="3">
        <f>2626.3+(129.9-477.9)+(1.339413+(0.066249-0.243729))+0-663.9-0.338588999999933</f>
        <v>1615.223344</v>
      </c>
      <c r="U258" s="3">
        <f>2624.1+(174.4-523.3)+(-2.676582+(-0.177888--0.533766))+0-648.5--0.661470000000103</f>
        <v>1625.0407659999996</v>
      </c>
      <c r="V258" s="3">
        <f>2648+(240.2-463.8)+(-2.70096+(-0.245004--0.473076))+0-768.1--0.783462000000122</f>
        <v>1654.6105740000005</v>
      </c>
      <c r="W258" s="3">
        <f>2674.4+(465.4-555.9)+(0+(0-0))+0-637.8-0</f>
        <v>1946.1000000000001</v>
      </c>
      <c r="X258" s="3">
        <f>2691.2+(479.3-545.5)+(-2.745024+(-0.488886--0.55641))+0-661.5--0.674730000000106</f>
        <v>1961.4972300000004</v>
      </c>
      <c r="Y258" s="3">
        <f>2691.1+(574.9-614.4)+(-1.372461+(-0.293199--0.313344))+0-662.3--0.337772999999933</f>
        <v>1988.285457</v>
      </c>
      <c r="Z258" s="3">
        <f>2694.6+(684.8-809.9)+(-2.748492+(-0.698496--0.826098))+0-665--0.678300000000106</f>
        <v>1902.5574099999999</v>
      </c>
      <c r="AA258" s="3">
        <f>2700.9+(746.3-867.6)+(-2.754918+(-0.761226--0.884952))+0-673--0.686460000000107</f>
        <v>1904.6552680000002</v>
      </c>
      <c r="AB258" s="3">
        <f>2672.9+(462.5-759.8)+(0+(0-0))+0-552-0</f>
        <v>1823.6000000000004</v>
      </c>
      <c r="AC258" s="3">
        <f>2565+(319.7-589.6)+(-6.54075+(-0.815235--1.50348))+0-639.3--1.63021499999991</f>
        <v>1651.57771</v>
      </c>
      <c r="AD258">
        <f t="shared" si="4"/>
        <v>40158.21804</v>
      </c>
      <c r="AE258" s="3">
        <f>2687+(596.8-549.8)+(0+(0-0))+0-736.6-0</f>
        <v>1997.4</v>
      </c>
    </row>
    <row r="259" spans="1:31" s="2" customFormat="1" x14ac:dyDescent="0.25">
      <c r="A259">
        <v>89</v>
      </c>
      <c r="B259">
        <v>9</v>
      </c>
      <c r="C259">
        <v>13</v>
      </c>
      <c r="D259">
        <v>1</v>
      </c>
      <c r="E259">
        <v>1</v>
      </c>
      <c r="F259" s="3">
        <f>2395+(151.1-377.1)+(-7.3287+(-0.462366--1.153926))+0-603.3--1.84609800000007</f>
        <v>1560.9089580000002</v>
      </c>
      <c r="G259" s="3">
        <f>2094.1+(325.4-229.5)+(-4.271964+(-0.663816--0.46818))+0-708.6--1.44554399999997</f>
        <v>1478.3779440000001</v>
      </c>
      <c r="H259" s="3">
        <f>2040.2+(304.9-239.8)+(-4.162008+(-0.621996--0.489192))+0-629.5--1.28417999999997</f>
        <v>1472.789368</v>
      </c>
      <c r="I259" s="3">
        <f>2037.7+(330.3-255.5)+(-2.078454+(-0.336906--0.26061))+0-622.1--0.634542000000099</f>
        <v>1488.879792</v>
      </c>
      <c r="J259" s="3">
        <f>2033.8+(404.8-209.5)+(0+(0-0))+0-786.6-0</f>
        <v>1442.5</v>
      </c>
      <c r="K259" s="3">
        <f>2033.1+(203-286)+(1.036881+(0.10353-0.14586))+0-518.3-0.264332999999947</f>
        <v>1432.5302180000001</v>
      </c>
      <c r="L259" s="3">
        <f>2106+(456.4-247.6)+(-4.29624+(-0.931056--0.505104))+0-761.3--1.55305199999997</f>
        <v>1550.33086</v>
      </c>
      <c r="M259" s="3">
        <f>2362+(304.7-335.1)+(-2.40924+(-0.310794--0.341802))+0-589.2--0.600984000000094</f>
        <v>1740.622752</v>
      </c>
      <c r="N259" s="3">
        <f>2680.4+(313.4-381.2)+(0+(0-0))+0-651.2-0</f>
        <v>1961.3999999999999</v>
      </c>
      <c r="O259" s="3">
        <f>2669.8+(592.2-346)+(4.084794+(0.906066-0.52938))+0-749.9-1.14734700000004</f>
        <v>2169.4141329999998</v>
      </c>
      <c r="P259" s="3">
        <f>2689.8+(481.9-397.3)+(-4.115394+(-0.737307--0.607869))+0-624.8--0.955944000000036</f>
        <v>2146.3111119999999</v>
      </c>
      <c r="Q259" s="3">
        <f>2715.2+(550.1-371.8)+(0+(0-0))+0-718.8-0</f>
        <v>2174.6999999999998</v>
      </c>
      <c r="R259" s="3">
        <f>2793.1+(314.1-397.4)+(-8.546886+(-0.961146--1.216044))+0-674.4--2.06366400000008</f>
        <v>2029.1716760000002</v>
      </c>
      <c r="S259" s="3">
        <f>2812.4+(260.3-336.4)+(-4.302972+(-0.398259--0.514692))+0-714.6--1.09333800000004</f>
        <v>2018.6067990000006</v>
      </c>
      <c r="T259" s="3">
        <f>2827.4+(212.6-327.6)+(0+(0-0))+0-667.5-0</f>
        <v>2044.9</v>
      </c>
      <c r="U259" s="3">
        <f>2818.5+(286.1-292.3)+(0+(0-0))+0-763.2-0</f>
        <v>2049.1000000000004</v>
      </c>
      <c r="V259" s="3">
        <f>2834.2+(223.8-331.3)+(-1.445442+(-0.114138--0.168963))+0-590.3--0.30105299999994</f>
        <v>2135.3104359999998</v>
      </c>
      <c r="W259" s="3">
        <f>2857.1+(830-497.6)+(4.371363+(1.2699-0.761328))+0-710.1-1.08645300000004</f>
        <v>2483.1934820000001</v>
      </c>
      <c r="X259" s="3">
        <f>2855.7+(935.6-655.8)+(-5.825628+(-1.908624--1.337832))+0-748--1.52591999999997</f>
        <v>2382.6295</v>
      </c>
      <c r="Y259" s="3">
        <f>2815.6+(667.4-656.6)+(-7.17978+(-1.70187--1.67433))+0-638.2--1.62740999999991</f>
        <v>2182.6200899999994</v>
      </c>
      <c r="Z259" s="3">
        <f>2760.2+(373.2-387.2)+(0+(0-0))+0-658.3-0</f>
        <v>2087.8999999999996</v>
      </c>
      <c r="AA259" s="3">
        <f>2757.3+(228.9-287.7)+(-7.031115+(-0.583695--0.733635))+0-637.4--1.62536999999991</f>
        <v>2055.8441949999997</v>
      </c>
      <c r="AB259" s="3">
        <f>2735.1+(126-308.4)+(-2.789802+(-0.12852--0.314568))+0-574.2--0.585684000000092</f>
        <v>1976.4819299999997</v>
      </c>
      <c r="AC259" s="3">
        <f>2673.4+(169.2-281.2)+(-6.81717+(-0.43146--0.71706))+0-695.8--1.7742899999999</f>
        <v>1860.8427199999999</v>
      </c>
      <c r="AD259">
        <f t="shared" si="4"/>
        <v>45925.365965000012</v>
      </c>
      <c r="AE259" s="3">
        <f>2856+(1013.9-527.5)+(0+(0-0))+0-762.3-0</f>
        <v>2580.1000000000004</v>
      </c>
    </row>
    <row r="260" spans="1:31" s="2" customFormat="1" x14ac:dyDescent="0.25">
      <c r="A260">
        <v>89</v>
      </c>
      <c r="B260">
        <v>9</v>
      </c>
      <c r="C260">
        <v>14</v>
      </c>
      <c r="D260">
        <v>2</v>
      </c>
      <c r="E260">
        <v>1</v>
      </c>
      <c r="F260" s="3">
        <f>2431.5+(199.4-304.7)+(-4.96026+(-0.406776--0.621588))+0-604.1--1.23236399999997</f>
        <v>1718.5869159999997</v>
      </c>
      <c r="G260" s="3">
        <f>2195.6+(378.6-262.5)+(0+(0-0))+0-666.2-0</f>
        <v>1645.4999999999998</v>
      </c>
      <c r="H260" s="3">
        <f>2193.7+(354.1-218.7)+(-1.118787+(-0.180591--0.111537))+0-735.3--0.375002999999925</f>
        <v>1592.9871619999999</v>
      </c>
      <c r="I260" s="3">
        <f>2195.5+(367.3-220.4)+(0+(0-0))+0-727.5-0</f>
        <v>1614.9</v>
      </c>
      <c r="J260" s="3">
        <f>2192.7+(321.3-228.6)+(-2.236554+(-0.327726--0.233172))+0-723--0.737460000000115</f>
        <v>1560.8063519999998</v>
      </c>
      <c r="K260" s="3">
        <f>2191.8+(304.4-233.5)+(0+(0-0))+0-709.6-0</f>
        <v>1553.1000000000004</v>
      </c>
      <c r="L260" s="3">
        <f>2465.1+(109.6-306.5)+(-2.514402+(-0.111792--0.31263))+0-604.9--0.616998000000096</f>
        <v>1661.6034339999999</v>
      </c>
      <c r="M260" s="3">
        <f>2531.4+(115.6-283.4)+(-2.582028+(-0.117912--0.289068))+0-570.4--0.581808000000091</f>
        <v>1791.370936</v>
      </c>
      <c r="N260" s="3">
        <f>2699+(126-303)+(1.37649+(0.06426-0.15453))+0-523.4-0.266933999999947</f>
        <v>1999.6192859999999</v>
      </c>
      <c r="O260" s="3">
        <f>2716.4+(241.7-301.1)+(1.385364+(0.123267-0.153561))+0-533.2-0.271931999999946</f>
        <v>2124.8831379999997</v>
      </c>
      <c r="P260" s="3">
        <f>2710.4+(321.8-296.4)+(-1.382304+(-0.164118--0.151164))+0-565.3--0.288302999999943</f>
        <v>2169.3930450000003</v>
      </c>
      <c r="Q260" s="3">
        <f>2699.3+(342.1-321.1)+(-4.129929+(-0.523413--0.491283))+0-509.3--0.779229000000029</f>
        <v>2207.61717</v>
      </c>
      <c r="R260" s="3">
        <f>2694.4+(271.6-283.8)+(-4.122432+(-0.415548--0.434214))+0-635.1--0.971703000000037</f>
        <v>2043.9679370000001</v>
      </c>
      <c r="S260" s="3">
        <f>2689+(270.7-306)+(-1.37139+(-0.138057--0.15606))+0-565.7--0.288506999999943</f>
        <v>2086.9351199999996</v>
      </c>
      <c r="T260" s="3">
        <f>2681.1+(230.4-297.2)+(-1.367361+(-0.117504--0.151572))+0-534.2--0.272441999999946</f>
        <v>2079.0391489999997</v>
      </c>
      <c r="U260" s="3">
        <f>2689.3+(159.4-310.3)+(0+(0-0))+0-476.7-0</f>
        <v>2061.7000000000003</v>
      </c>
      <c r="V260" s="3">
        <f>2724.3+(374.1-404.2)+(-6.946965+(-0.953955--1.03071))+0-561.9--1.43284499999992</f>
        <v>2126.862635</v>
      </c>
      <c r="W260" s="3">
        <f>2745.7+(1039.9-628.9)+(0+(0-0))+0-648.5-0</f>
        <v>2508.1999999999998</v>
      </c>
      <c r="X260" s="3">
        <f>2758.3+(991.2-779.3)+(-7.033665+(-2.52756--1.987215))+0-593.3--1.51291499999991</f>
        <v>2370.8389050000001</v>
      </c>
      <c r="Y260" s="3">
        <f>2750.1+(865.9-778.3)+(-2.805102+(-0.883218--0.793866))+0-697.1--0.711042000000111</f>
        <v>2138.4165879999996</v>
      </c>
      <c r="Z260" s="3">
        <f>2749.7+(686.7-594)+(-7.011735+(-1.751085--1.5147))+0-702.3--1.7908649999999</f>
        <v>2134.6427449999992</v>
      </c>
      <c r="AA260" s="3">
        <f>2669.1+(830.9-611.1)+(-2.722482+(-0.847518--0.623322))+0-664--0.677280000000106</f>
        <v>2222.6306019999997</v>
      </c>
      <c r="AB260" s="3">
        <f>2550.9+(679.2-605.6)+(-6.504795+(-1.73196--1.54428))+0-625.1--1.59400499999991</f>
        <v>1994.3015300000002</v>
      </c>
      <c r="AC260" s="3">
        <f>2514.5+(418.8-540)+(-2.56479+(-0.427176--0.5508))+0-687.3--0.70104600000011</f>
        <v>1704.2598800000003</v>
      </c>
      <c r="AD260">
        <f t="shared" si="4"/>
        <v>47112.162529999987</v>
      </c>
      <c r="AE260" s="3">
        <f>2749+(1154-680.9)+(0+(0-0))+0-680.6-0</f>
        <v>2541.5</v>
      </c>
    </row>
    <row r="261" spans="1:31" s="2" customFormat="1" x14ac:dyDescent="0.25">
      <c r="A261">
        <v>89</v>
      </c>
      <c r="B261">
        <v>9</v>
      </c>
      <c r="C261">
        <v>15</v>
      </c>
      <c r="D261">
        <v>3</v>
      </c>
      <c r="E261">
        <v>1</v>
      </c>
      <c r="F261" s="3">
        <f>2435.2+(299.9-461.7)+(-3.725856+(-0.458847--0.706401))+0-572.6--0.876078000000033</f>
        <v>1698.1977759999997</v>
      </c>
      <c r="G261" s="3">
        <f>2388.6+(281.5-340.8)+(-2.436372+(-0.28713--0.347616))+0-665.4--0.678708000000106</f>
        <v>1662.202822</v>
      </c>
      <c r="H261" s="3">
        <f>2463+(171.6-362.5)+(-3.76839+(-0.262548--0.554625))+0-667.2--1.02081600000004</f>
        <v>1602.4445029999997</v>
      </c>
      <c r="I261" s="3">
        <f>2248.5+(305.6-287.5)+(-3.440205+(-0.467568--0.439875))+0-691.3--1.05768900000004</f>
        <v>1572.8897910000001</v>
      </c>
      <c r="J261" s="3">
        <f>2158.1+(312.1-269.8)+(-1.100631+(-0.159171--0.137598))+0-595.5--0.30370499999994</f>
        <v>1604.0815010000003</v>
      </c>
      <c r="K261" s="3">
        <f>2204.3+(299.9-218.2)+(0+(0-0))+0-712.9-0</f>
        <v>1573.1</v>
      </c>
      <c r="L261" s="3">
        <f>2320.4+(214.6-270.6)+(-1.183404+(-0.109446--0.138006))+0-590--0.30089999999994</f>
        <v>1673.5460559999999</v>
      </c>
      <c r="M261" s="3">
        <f>2490.2+(227-257.1)+(0+(0-0))+0-608.8-0</f>
        <v>1851.3</v>
      </c>
      <c r="N261" s="3">
        <f>2702.6+(263-260.1)+(0+(0-0))+0-662.8-0</f>
        <v>2042.7</v>
      </c>
      <c r="O261" s="3">
        <f>2713.4+(407-506.9)+(4.151502+(0.62271-0.775557))+0-591.6-0.905148000000034</f>
        <v>2024.9935069999999</v>
      </c>
      <c r="P261" s="3">
        <f>2805+(667.3-588.4)+(-2.8611+(-0.680646--0.600168))+0-634.7--0.647394000000101</f>
        <v>2246.905816</v>
      </c>
      <c r="Q261" s="3">
        <f>2837.4+(638.2-651.4)+(-4.341222+(-0.976446--0.996642))+0-634.3--0.970479000000037</f>
        <v>2186.5494530000001</v>
      </c>
      <c r="R261" s="3">
        <f>2835.9+(359.2-513.8)+(-10.124163+(-1.282344--1.834266))+0-658.7--2.35155900000001</f>
        <v>2015.3793180000002</v>
      </c>
      <c r="S261" s="3">
        <f>2824.2+(348.4-513.8)+(-1.440342+(-0.177684--0.262038))+0-606.6--0.309365999999938</f>
        <v>2051.153378</v>
      </c>
      <c r="T261" s="3">
        <f>2824.8+(418.7-627.4)+(-4.321944+(-0.640611--0.959922))+0-508.2--0.777546000000029</f>
        <v>2104.6749130000003</v>
      </c>
      <c r="U261" s="3">
        <f>2824.3+(515.4-587)+(-4.321179+(-0.788562--0.89811))+0-722.8--1.10588400000004</f>
        <v>2026.7942530000003</v>
      </c>
      <c r="V261" s="3">
        <f>2846.9+(630.4-697.2)+(-4.355757+(-0.964512--1.066716))+0-648.7--0.992511000000038</f>
        <v>2128.138958</v>
      </c>
      <c r="W261" s="3">
        <f>2869.7+(1184.1-885.2)+(1.463547+(0.603891-0.451452))+0-685.2-0.349451999999931</f>
        <v>2484.6665339999995</v>
      </c>
      <c r="X261" s="3">
        <f>2889.4+(1139.4-962.8)+(-2.947188+(-1.162188--0.982056))+0-701.1--0.715122000000112</f>
        <v>2362.4878020000001</v>
      </c>
      <c r="Y261" s="3">
        <f>2889.6+(857.9-916.6)+(-10.315872+(-3.062703--3.272262))+0-652.4--2.32906800000001</f>
        <v>2170.7227549999993</v>
      </c>
      <c r="Z261" s="3">
        <f>2816.6+(858-866.6)+(-4.309398+(-1.31274--1.325898))+0-679.7--1.03994100000004</f>
        <v>2125.0437009999996</v>
      </c>
      <c r="AA261" s="3">
        <f>2736.9+(782.7-735.4)+(-4.187457+(-1.197531--1.125162))+0-723.7--1.10726100000004</f>
        <v>2057.3474350000006</v>
      </c>
      <c r="AB261" s="3">
        <f>2678.8+(494.1-618.2)+(-5.464752+(-1.007964--1.261128))+0-586.5--1.19645999999997</f>
        <v>1964.184872</v>
      </c>
      <c r="AC261" s="3">
        <f>2515.9+(504.1-549.9)+(-7.698654+(-1.542546--1.682694))+0-682.2--2.08753200000008</f>
        <v>1782.4290260000005</v>
      </c>
      <c r="AD261">
        <f t="shared" si="4"/>
        <v>47011.93417</v>
      </c>
      <c r="AE261" s="3">
        <f>2875+(1225.5-968.5)+(0+(0-0))+0-609.4-0</f>
        <v>2522.6</v>
      </c>
    </row>
    <row r="262" spans="1:31" s="2" customFormat="1" x14ac:dyDescent="0.25">
      <c r="A262">
        <v>89</v>
      </c>
      <c r="B262">
        <v>9</v>
      </c>
      <c r="C262">
        <v>16</v>
      </c>
      <c r="D262">
        <v>4</v>
      </c>
      <c r="E262">
        <v>1</v>
      </c>
      <c r="F262" s="3">
        <f>2406.7+(411.7-523.3)+(-3.682251+(-0.629901--0.800649))+0-581.9--0.890307000000034</f>
        <v>1710.5788039999998</v>
      </c>
      <c r="G262" s="3">
        <f>2301+(374.1-440)+(-2.34702+(-0.381582--0.4488))+0-605.2--0.617304000000097</f>
        <v>1628.2375019999999</v>
      </c>
      <c r="H262" s="3">
        <f>2209.7+(384.8-346.7)+(0+(0-0))+0-654.8-0</f>
        <v>1592.9999999999998</v>
      </c>
      <c r="I262" s="3">
        <f>2136.4+(443.4-295)+(-2.179128+(-0.452268--0.3009))+0-718.9--0.733278000000115</f>
        <v>1564.3027820000002</v>
      </c>
      <c r="J262" s="3">
        <f>2136.6+(440.7-307.7)+(-2.179332+(-0.449514--0.313854))+0-662.6--0.675852000000106</f>
        <v>1605.36086</v>
      </c>
      <c r="K262" s="3">
        <f>2198+(341.5-264.8)+(-1.12098+(-0.174165--0.135048))+0-705.9--0.360008999999928</f>
        <v>1567.9999119999998</v>
      </c>
      <c r="L262" s="3">
        <f>2537.2+(139.7-410.1)+(-3.881916+(-0.213741--0.627453))+0-558--0.853740000000032</f>
        <v>1706.185536</v>
      </c>
      <c r="M262" s="3">
        <f>2665.8+(173.6-328.1)+(0+(0-0))+0-716.8-0</f>
        <v>1794.5000000000002</v>
      </c>
      <c r="N262" s="3">
        <f>2713.2+(121-420.8)+(-4.151196+(-0.18513--0.643824))+0-381--0.582930000000022</f>
        <v>2029.2904279999998</v>
      </c>
      <c r="O262" s="3">
        <f>2717.5+(228-482.1)+(4.157775+(0.34884-0.737613))+0-319.6-0.488988000000019</f>
        <v>2147.0800140000001</v>
      </c>
      <c r="P262" s="3">
        <f>2710.4+(611.6-476.6)+(-4.146912+(-0.935748--0.729198))+0-660.6--1.01071800000004</f>
        <v>2181.4572560000001</v>
      </c>
      <c r="Q262" s="3">
        <f>2705.4+(478.7-493.4)+(-2.759508+(-0.488274--0.503268))+0-506.4--0.516528000000081</f>
        <v>2182.0720140000003</v>
      </c>
      <c r="R262" s="3">
        <f>2697.6+(363-409.9)+(-2.751552+(-0.37026--0.418098))+0-619.6--0.631992000000099</f>
        <v>2029.0282779999998</v>
      </c>
      <c r="S262" s="3">
        <f>2664.3+(237-375.1)+(-1.358793+(-0.12087--0.191301))+0-524.6--0.267545999999947</f>
        <v>2000.5791840000006</v>
      </c>
      <c r="T262" s="3">
        <f>2629.5+(301.3-363.7)+(1.341045+(0.153663-0.185487))+0-485.4-0.247553999999951</f>
        <v>2082.7616669999998</v>
      </c>
      <c r="U262" s="3">
        <f>2692+(361.6-472.1)+(1.37292+(0.184416-0.240771))+0-508.5-0.259334999999948</f>
        <v>2074.0572300000003</v>
      </c>
      <c r="V262" s="3">
        <f>2718.9+(518-533.1)+(-6.933195+(-1.3209--1.359405))+0-562.9--1.43539499999992</f>
        <v>2135.440705</v>
      </c>
      <c r="W262" s="3">
        <f>2736.8+(943.6-700.5)+(0+(0-0))+0-541.1-0</f>
        <v>2438.8000000000002</v>
      </c>
      <c r="X262" s="3">
        <f>2758.3+(1045.9-825.2)+(-8.440398+(-3.200454--2.525112))+0-617.6--1.88985600000007</f>
        <v>2354.1741160000001</v>
      </c>
      <c r="Y262" s="3">
        <f>2753.9+(714.3-797.5)+(-5.617956+(-1.457172--1.6269))+0-479.1--0.977363999999979</f>
        <v>2187.1291359999996</v>
      </c>
      <c r="Z262" s="3">
        <f>2752.1+(642.5-613.3)+(-4.210713+(-0.983025--0.938349))+0-686.8--1.05080400000004</f>
        <v>2091.295415</v>
      </c>
      <c r="AA262" s="3">
        <f>2741.8+(486.7-519.5)+(-4.194954+(-0.744651--0.794835))+0-646.3--0.988839000000037</f>
        <v>2059.544069</v>
      </c>
      <c r="AB262" s="3">
        <f>2660.4+(473.4-476.7)+(-5.427216+(-0.965736--0.972468))+0-646.8--1.31947199999997</f>
        <v>2006.1989879999996</v>
      </c>
      <c r="AC262" s="3">
        <f>2498.9+(483.9-404.6)+(-6.372195+(-1.233945--1.03173))+0-723.3--1.84441499999989</f>
        <v>1850.1700049999995</v>
      </c>
      <c r="AD262">
        <f t="shared" si="4"/>
        <v>47019.243901000002</v>
      </c>
      <c r="AE262" s="3">
        <f>2744+(1101-808.5)+(0+(0-0))+0-518.9-0</f>
        <v>2517.6</v>
      </c>
    </row>
    <row r="263" spans="1:31" s="2" customFormat="1" x14ac:dyDescent="0.25">
      <c r="A263">
        <v>89</v>
      </c>
      <c r="B263">
        <v>9</v>
      </c>
      <c r="C263">
        <v>17</v>
      </c>
      <c r="D263">
        <v>5</v>
      </c>
      <c r="E263">
        <v>1</v>
      </c>
      <c r="F263" s="3">
        <f>2349.6+(314.4-300.6)+(-7.189776+(-0.962064--0.919836))+0-655.1--2.00460600000008</f>
        <v>1703.0726019999997</v>
      </c>
      <c r="G263" s="3">
        <f>2324.9+(407.1-494.7)+(-4.742796+(-0.830484--1.009188))+0-585.2--1.19380799999997</f>
        <v>1648.7297160000001</v>
      </c>
      <c r="H263" s="3">
        <f>2303.6+(493.5-456.1)+(-5.87418+(-1.258425--1.163055))+0-711.8--1.8150899999999</f>
        <v>1625.0455400000001</v>
      </c>
      <c r="I263" s="3">
        <f>2190.1+(459.6-477.7)+(0+(0-0))+0-572.3-0</f>
        <v>1599.7</v>
      </c>
      <c r="J263" s="3">
        <f>2149.1+(449.2-327.8)+(1.096041+(0.229092-0.167178))+0-666.3-0.339812999999932</f>
        <v>1605.0181420000004</v>
      </c>
      <c r="K263" s="3">
        <f>2151.2+(359.4-196.2)+(-2.194224+(-0.366588--0.200124))+0-681.7--0.695334000000109</f>
        <v>1631.0346459999994</v>
      </c>
      <c r="L263" s="3">
        <f>2149.9+(487.6-234.6)+(0+(0-0))+0-700.1-0</f>
        <v>1702.8000000000002</v>
      </c>
      <c r="M263" s="3">
        <f>2182.5+(505.6-262.3)+(-2.22615+(-0.515712--0.267546))+0-635--0.647700000000101</f>
        <v>1788.9733840000006</v>
      </c>
      <c r="N263" s="3">
        <f>2711.7+(287.5-292.6)+(-4.148901+(-0.439875--0.447678))+0-740.5--1.13296500000004</f>
        <v>1963.0918669999999</v>
      </c>
      <c r="O263" s="3">
        <f>2728.8+(294.4-328.1)+(-2.783376+(-0.300288--0.334662))+0-618.8--0.631176000000099</f>
        <v>2074.1821740000009</v>
      </c>
      <c r="P263" s="3">
        <f>2708.8+(313.1-255)+(-4.144464+(-0.479043--0.39015))+0-627.9--0.960687000000036</f>
        <v>2135.7273300000002</v>
      </c>
      <c r="Q263" s="3">
        <f>2839.6+(537.7-257.8)+(-4.344588+(-0.822681--0.394434))+0-764.1--1.16907300000004</f>
        <v>2351.7962379999999</v>
      </c>
      <c r="R263" s="3">
        <f>2719.4+(287.8-238.1)+(-6.93447+(-0.73389--0.607155))+0-728.3--1.85716499999989</f>
        <v>2035.5959599999999</v>
      </c>
      <c r="S263" s="3">
        <f>2700+(346-266.4)+(-2.754+(-0.35292--0.271728))+0-741--0.755820000000118</f>
        <v>2036.520628</v>
      </c>
      <c r="T263" s="3">
        <f>2705.5+(176.6-243.4)+(-2.75961+(-0.180132--0.248268))+0-568.6--0.579972000000091</f>
        <v>2067.9884979999997</v>
      </c>
      <c r="U263" s="3">
        <f>2704+(206.5-295.6)+(-2.75808+(-0.21063--0.301512))+0-571.3--0.582726000000091</f>
        <v>2041.5155280000001</v>
      </c>
      <c r="V263" s="3">
        <f>2723+(322.6-383.3)+(-5.55492+(-0.658104--0.781932))+0-583.9--1.19115599999997</f>
        <v>2074.1600640000001</v>
      </c>
      <c r="W263" s="3">
        <f>2745.3+(989.1-814.5)+(-1.400103+(-0.504441--0.415395))+0-589.3--0.30054299999994</f>
        <v>2329.4113940000002</v>
      </c>
      <c r="X263" s="3">
        <f>2761.2+(910.4-725.1)+(-4.224636+(-1.392912--1.109403))+0-643.4--0.984402000000037</f>
        <v>2299.5762570000002</v>
      </c>
      <c r="Y263" s="3">
        <f>2728.1+(778-660.6)+(-5.565324+(-1.58712--1.347624))+0-657--1.34027999999997</f>
        <v>2184.0354600000001</v>
      </c>
      <c r="Z263" s="3">
        <f>2588.9+(851.7-767.1)+(1.320339+(0.434367-0.391221))+0-590.9-0.30135899999994</f>
        <v>2083.6621259999997</v>
      </c>
      <c r="AA263" s="3">
        <f>2457.2+(928.1-686.1)+(-2.506344+(-0.946662--0.699822))+0-643.5--0.656370000000103</f>
        <v>2053.6031859999998</v>
      </c>
      <c r="AB263" s="3">
        <f>2454.1+(752.2-610.4)+(-6.257955+(-1.91811--1.55652))+0-635.1--1.61950499999991</f>
        <v>1955.7999600000001</v>
      </c>
      <c r="AC263" s="3">
        <f>2443.6+(506.2-509.7)+(-2.492472+(-0.516324--0.519894))+0-634.6--0.647292000000101</f>
        <v>1803.6583900000001</v>
      </c>
      <c r="AD263">
        <f t="shared" si="4"/>
        <v>46794.699089999995</v>
      </c>
      <c r="AE263" s="3">
        <f>2749+(1225-889.9)+(0+(0-0))+0-708.8-0</f>
        <v>2375.3000000000002</v>
      </c>
    </row>
    <row r="264" spans="1:31" s="2" customFormat="1" x14ac:dyDescent="0.25">
      <c r="A264">
        <v>89</v>
      </c>
      <c r="B264">
        <v>9</v>
      </c>
      <c r="C264">
        <v>18</v>
      </c>
      <c r="D264">
        <v>6</v>
      </c>
      <c r="E264">
        <v>1</v>
      </c>
      <c r="F264" s="3">
        <f>2308.6+(241.5-327.4)+(1.177386+(0.123165-0.166974))+0-547-0.278969999999944</f>
        <v>1676.554607</v>
      </c>
      <c r="G264" s="3">
        <f>2094.4+(339.2-179.9)+(-1.068144+(-0.172992--0.091749))+0-665.7--0.339506999999933</f>
        <v>1587.1901200000002</v>
      </c>
      <c r="H264" s="3">
        <f>2076.8+(297.7-284.6)+(-1.059168+(-0.151827--0.145146))+0-545.3--0.278102999999945</f>
        <v>1543.8122539999999</v>
      </c>
      <c r="I264" s="3">
        <f>2075.8+(410.6-295.2)+(0+(0-0))+0-670.2-0</f>
        <v>1521.0000000000002</v>
      </c>
      <c r="J264" s="3">
        <f>2074.9+(468.4-235.2)+(3.174597+(0.716652-0.359856))+0-779.9-1.19324700000005</f>
        <v>1530.5381459999999</v>
      </c>
      <c r="K264" s="3">
        <f>2170.1+(387.6-269.1)+(1.106751+(0.197676-0.137241))+0-734.4-0.374543999999925</f>
        <v>1554.9926419999999</v>
      </c>
      <c r="L264" s="3">
        <f>2375.7+(213.4-313.3)+(-4.846428+(-0.435336--0.639132))+0-648--1.32191999999997</f>
        <v>1624.4792879999995</v>
      </c>
      <c r="M264" s="3">
        <f>2437.9+(264.8-266.8)+(-2.486658+(-0.270096--0.272136))+0-712.7--0.726954000000114</f>
        <v>1721.4423360000003</v>
      </c>
      <c r="N264" s="3">
        <f>2595.1+(319.6-347.8)+(5.294004+(0.651984-0.709512))+0-665.3-1.35721199999997</f>
        <v>1905.4792640000003</v>
      </c>
      <c r="O264" s="3">
        <f>2622.3+(521.2-478.7)+(-1.337373+(-0.265812--0.244137))+0-607--0.309569999999938</f>
        <v>2056.7505220000003</v>
      </c>
      <c r="P264" s="3">
        <f>2655.4+(703.7-524.7)+(1.354254+(0.358887-0.267597))+0-753.2-0.384131999999924</f>
        <v>2082.2614119999998</v>
      </c>
      <c r="Q264" s="3">
        <f>2695.6+(441.8-477.1)+(-1.374756+(-0.225318--0.243321))+0-578.4--0.294983999999941</f>
        <v>2080.8382309999997</v>
      </c>
      <c r="R264" s="3">
        <f>2695.6+(217.2-377.6)+(-6.87378+(-0.55386--0.96288))+0-604.5--1.54147499999991</f>
        <v>1925.776715</v>
      </c>
      <c r="S264" s="3">
        <f>2680.5+(256.9-284)+(-2.73411+(-0.262038--0.28968))+0-748.7--0.763674000000119</f>
        <v>1902.7572060000002</v>
      </c>
      <c r="T264" s="3">
        <f>2643.1+(216.2-261.2)+(-1.347981+(-0.110262--0.133212))+0-685.9--0.34980899999993</f>
        <v>1911.2247779999998</v>
      </c>
      <c r="U264" s="3">
        <f>2743.2+(119.6-317.1)+(-2.798064+(-0.121992--0.323442))+0-675.5--0.689010000000108</f>
        <v>1868.2923959999998</v>
      </c>
      <c r="V264" s="3">
        <f>2694.7+(216.2-368.9)+(0+(0-0))+0-636-0</f>
        <v>1906</v>
      </c>
      <c r="W264" s="3">
        <f>2677.1+(910.3-836.6)+(1.365321+(0.464253-0.426666))+0-579-0.295289999999941</f>
        <v>2172.9076179999997</v>
      </c>
      <c r="X264" s="3">
        <f>2644+(1009.5-857.3)+(0+(0-0))+0-645.7-0</f>
        <v>2150.5</v>
      </c>
      <c r="Y264" s="3">
        <f>2654.6+(714.8-743.4)+(-4.061538+(-1.093644--1.137402))+0-564.8--0.864144000000033</f>
        <v>2058.0463639999998</v>
      </c>
      <c r="Z264" s="3">
        <f>2643.9+(499.9-447.6)+(-2.696778+(-0.509898--0.456552))+0-724.4--0.738888000000115</f>
        <v>1969.7887639999997</v>
      </c>
      <c r="AA264" s="3">
        <f>2632.5+(371.2-373.5)+(1.342575+(0.189312-0.190485))+0-674.5-0.343994999999932</f>
        <v>1956.6974069999999</v>
      </c>
      <c r="AB264" s="3">
        <f>2620.8+(179.6-258)+(-6.68304+(-0.45798--0.6579))+0-652.3--1.66336499999991</f>
        <v>1885.2802450000001</v>
      </c>
      <c r="AC264" s="3">
        <f>2581.4+(214.9-241.6)+(-10.532112+(-0.876792--0.985728))+0-799.4--3.26155199999993</f>
        <v>1748.1383760000003</v>
      </c>
      <c r="AD264">
        <f t="shared" si="4"/>
        <v>44340.748691000008</v>
      </c>
      <c r="AE264" s="3">
        <f>2634+(1146.5-835.5)+(0+(0-0))+0-714.8-0</f>
        <v>2230.1999999999998</v>
      </c>
    </row>
    <row r="265" spans="1:31" s="2" customFormat="1" x14ac:dyDescent="0.25">
      <c r="A265">
        <v>89</v>
      </c>
      <c r="B265">
        <v>9</v>
      </c>
      <c r="C265">
        <v>19</v>
      </c>
      <c r="D265">
        <v>7</v>
      </c>
      <c r="E265">
        <v>1</v>
      </c>
      <c r="F265" s="3">
        <f>2292.3+(220.7-262.9)+(0+(0-0))+0-619.5-0</f>
        <v>1630.6000000000004</v>
      </c>
      <c r="G265" s="3">
        <f>2211.7+(296-268.2)+(-3.383901+(-0.45288--0.410346))+0-715.6--1.09486800000004</f>
        <v>1521.5684330000004</v>
      </c>
      <c r="H265" s="3">
        <f>2099+(441.6-309.5)+(-2.14098+(-0.450432--0.31569))+0-752.4--0.76744800000012</f>
        <v>1477.191726</v>
      </c>
      <c r="I265" s="3">
        <f>2056+(449.7-335.5)+(1.04856+(0.229347-0.171105))+0-709.3-0.361742999999928</f>
        <v>1461.6450589999997</v>
      </c>
      <c r="J265" s="3">
        <f>2056.4+(354.1-267.7)+(-5.24382+(-0.902955--0.682635))+0-683.8--1.7436899999999</f>
        <v>1455.27955</v>
      </c>
      <c r="K265" s="3">
        <f>2056.2+(378.1-256.8)+(1.048662+(0.192831-0.130968))+0-711.8-0.363017999999928</f>
        <v>1466.4475070000001</v>
      </c>
      <c r="L265" s="3">
        <f>2062.2+(281.8-216.8)+(-2.103444+(-0.287436--0.221136))+0-654.8--0.667896000000104</f>
        <v>1470.8981520000002</v>
      </c>
      <c r="M265" s="3">
        <f>2076.5+(273.6-217.9)+(-3.177045+(-0.418608--0.333387))+0-710.8--1.08752400000004</f>
        <v>1419.2252579999997</v>
      </c>
      <c r="N265" s="3">
        <f>2217.1+(166.5-248.6)+(-2.261442+(-0.16983--0.253572))+0-641.6--0.654432000000102</f>
        <v>1491.8767319999999</v>
      </c>
      <c r="O265" s="3">
        <f>2237.3+(281.9-222.8)+(-3.423069+(-0.431307--0.340884))+0-730.1--1.11705300000004</f>
        <v>1563.9035610000001</v>
      </c>
      <c r="P265" s="3">
        <f>2253.3+(311.6-299.8)+(-4.596732+(-0.635664--0.611592))+0-618--1.26071999999997</f>
        <v>1643.7399160000002</v>
      </c>
      <c r="Q265" s="3">
        <f>2243.1+(475.9-350.5)+(-2.287962+(-0.485418--0.35751))+0-688.6--0.70237200000011</f>
        <v>1678.1865020000005</v>
      </c>
      <c r="R265" s="3">
        <f>2238.6+(372.4-264.3)+(-3.425058+(-0.569772--0.404379))+0-716--1.09548000000004</f>
        <v>1628.2050289999997</v>
      </c>
      <c r="S265" s="3">
        <f>2237.9+(290.2-246.2)+(-4.565316+(-0.592008--0.502248))+0-709.8--1.44799199999997</f>
        <v>1568.892916</v>
      </c>
      <c r="T265" s="3">
        <f>2248.4+(294-331.9)+(-2.293368+(-0.29988--0.338538))+0-671.9--0.685338000000107</f>
        <v>1537.0306279999998</v>
      </c>
      <c r="U265" s="3">
        <f>2249.8+(270.9-344.8)+(0+(0-0))+0-621.7-0</f>
        <v>1554.2</v>
      </c>
      <c r="V265" s="3">
        <f>2270.9+(325.5-377.2)+(-5.790795+(-0.830025--0.96186))+0-581.3--1.48231499999992</f>
        <v>1633.7233550000001</v>
      </c>
      <c r="W265" s="3">
        <f>2291.6+(849.7-628.3)+(1.168716+(0.433347-0.320433))+0-625.8-0.319157999999936</f>
        <v>1888.162472</v>
      </c>
      <c r="X265" s="3">
        <f>2311.2+(870.5-769.4)+(-1.178712+(-0.443955--0.392394))+0-482.6--0.246125999999951</f>
        <v>1928.7158529999997</v>
      </c>
      <c r="Y265" s="3">
        <f>2290.6+(793.3-551.6)+(-3.504618+(-1.213749--0.843948))+0-639.3--0.978129000000037</f>
        <v>1890.1037099999996</v>
      </c>
      <c r="Z265" s="3">
        <f>2272.4+(526.8-462)+(-1.158924+(-0.268668--0.23562))+0-506.4--0.258263999999949</f>
        <v>1829.8662919999997</v>
      </c>
      <c r="AA265" s="3">
        <f>2264.5+(667-457.2)+(0+(0-0))+0-636.4-0</f>
        <v>1837.9</v>
      </c>
      <c r="AB265" s="3">
        <f>2317+(462.5-374.6)+(-2.36334+(-0.47175--0.382092))+0-613.5--0.625770000000098</f>
        <v>1789.572772</v>
      </c>
      <c r="AC265" s="3">
        <f>2383.4+(234.2-322.3)+(-7.293204+(-0.716652--0.986238))+0-597.6--1.82865600000007</f>
        <v>1692.5050380000002</v>
      </c>
      <c r="AD265">
        <f t="shared" si="4"/>
        <v>39059.440461000006</v>
      </c>
      <c r="AE265" s="3">
        <f>2313+(1051.8-808.3)+(0+(0-0))+0-571.9-0</f>
        <v>1984.6</v>
      </c>
    </row>
    <row r="266" spans="1:31" s="2" customFormat="1" x14ac:dyDescent="0.25">
      <c r="A266">
        <v>89</v>
      </c>
      <c r="B266">
        <v>9</v>
      </c>
      <c r="C266">
        <v>20</v>
      </c>
      <c r="D266">
        <v>1</v>
      </c>
      <c r="E266">
        <v>1</v>
      </c>
      <c r="F266" s="3">
        <f>2305.3+(304.9-307.5)+(-3.527109+(-0.466497--0.470475))+0-749.1--1.14612300000004</f>
        <v>1551.2229920000004</v>
      </c>
      <c r="G266" s="3">
        <f>2191.3+(416.9-403.1)+(3.352689+(0.637857-0.616743))+0-716.5-1.09624500000004</f>
        <v>1490.8775580000004</v>
      </c>
      <c r="H266" s="3">
        <f>2093.5+(416.1-370.7)+(-2.13537+(-0.424422--0.378114))+0-671.1--0.684522000000107</f>
        <v>1466.3028440000003</v>
      </c>
      <c r="I266" s="3">
        <f>1971+(513.5-277.6)+(0+(0-0))+0-748-0</f>
        <v>1458.9</v>
      </c>
      <c r="J266" s="3">
        <f>1972.4+(436-295.1)+(-1.005924+(-0.22236--0.150501))+0-653.5--0.333284999999934</f>
        <v>1459.0555019999999</v>
      </c>
      <c r="K266" s="3">
        <f>1976.8+(487.5-208)+(5.04084+(1.243125-0.5304))+0-764.4-1.94921999999989</f>
        <v>1495.7043450000001</v>
      </c>
      <c r="L266" s="3">
        <f>2078.1+(323.4-264.1)+(-1.059831+(-0.164934--0.134691))+0-568.3--0.289832999999942</f>
        <v>1568.2997589999995</v>
      </c>
      <c r="M266" s="3">
        <f>2209.3+(389.3-184.8)+(-1.126743+(-0.198543--0.094248))+0-669.3--0.341342999999932</f>
        <v>1743.6103050000002</v>
      </c>
      <c r="N266" s="3">
        <f>2420.8+(320.6-420.5)+(0+(0-0))+0-547-0</f>
        <v>1773.9</v>
      </c>
      <c r="O266" s="3">
        <f>2558.3+(549.2-550.9)+(-2.609466+(-0.560184--0.561918))+0-517.3--0.527646000000082</f>
        <v>2037.2199140000005</v>
      </c>
      <c r="P266" s="3">
        <f>2713.8+(779.1-756)+(1.384038+(0.397341-0.38556))+0-629.8-0.321197999999936</f>
        <v>2108.1746209999997</v>
      </c>
      <c r="Q266" s="3">
        <f>2768.2+(810.8-764)+(-7.05891+(-2.06754--1.9482))+0-621.2--1.58405999999991</f>
        <v>2188.2058100000004</v>
      </c>
      <c r="R266" s="3">
        <f>2789.2+(443.4-608.6)+(-5.689968+(-0.904536--1.241544))+0-612.8--1.25011199999997</f>
        <v>2007.0971519999998</v>
      </c>
      <c r="S266" s="3">
        <f>2689.8+(278.3-411.5)+(-5.487192+(-0.567732--0.83946))+0-548.2--1.11832799999998</f>
        <v>2004.3028640000005</v>
      </c>
      <c r="T266" s="3">
        <f>2702+(296.1-436.3)+(5.51208+(0.604044-0.890052))+0-529.1-1.07936399999998</f>
        <v>2036.8467080000003</v>
      </c>
      <c r="U266" s="3">
        <f>2704.5+(314.6-359.3)+(-6.896475+(-0.80223--0.916215))+0-610.4--1.55651999999991</f>
        <v>2044.1740299999999</v>
      </c>
      <c r="V266" s="3">
        <f>2725.4+(455.8-465.4)+(-4.169862+(-0.697374--0.712062))+0-609.5--0.932535000000035</f>
        <v>2103.0773610000001</v>
      </c>
      <c r="W266" s="3">
        <f>2767.4+(1136.5-913)+(-4.234122+(-1.738845--1.39689))+0-634.9--0.971397000000037</f>
        <v>2352.3953200000001</v>
      </c>
      <c r="X266" s="3">
        <f>2843.2+(914.6-860)+(-5.800128+(-1.865784--1.7544))+0-586.9--1.19727599999997</f>
        <v>2306.1857639999994</v>
      </c>
      <c r="Y266" s="3">
        <f>2844.9+(493.8-538.7)+(-4.352697+(-0.755514--0.824211))+0-643.4--0.984402000000037</f>
        <v>2153.3004019999998</v>
      </c>
      <c r="Z266" s="3">
        <f>2839.4+(174-420.5)+(-5.792376+(-0.35496--0.85782))+0-558.1--1.13852399999998</f>
        <v>2030.6490080000003</v>
      </c>
      <c r="AA266" s="3">
        <f>3075.6+(208.4-539.2)+(-4.705668+(-0.318852--0.824976))+0-632.5--0.967725000000037</f>
        <v>2109.0681809999996</v>
      </c>
      <c r="AB266" s="3">
        <f>3078.9+(226.6-782.7)+(-6.280956+(-0.462264--1.596708))+0-563.4--1.14933599999998</f>
        <v>1955.4028240000002</v>
      </c>
      <c r="AC266" s="3">
        <f>2965.3+(267.8-633.1)+(-4.536909+(-0.409734--0.968643))+0-675.6--1.03366800000004</f>
        <v>1921.4556680000001</v>
      </c>
      <c r="AD266">
        <f t="shared" si="4"/>
        <v>45365.428932000003</v>
      </c>
      <c r="AE266" s="3">
        <f>2801+(1296.4-977.9)+(0+(0-0))+0-709-0</f>
        <v>2410.5</v>
      </c>
    </row>
    <row r="267" spans="1:31" s="2" customFormat="1" x14ac:dyDescent="0.25">
      <c r="A267">
        <v>89</v>
      </c>
      <c r="B267">
        <v>9</v>
      </c>
      <c r="C267">
        <v>21</v>
      </c>
      <c r="D267">
        <v>2</v>
      </c>
      <c r="E267">
        <v>1</v>
      </c>
      <c r="F267" s="3">
        <f>2785.6+(250.1-681.5)+(-7.10328+(-0.637755--1.737825))+0-672.5--1.7148749999999</f>
        <v>1677.4116649999999</v>
      </c>
      <c r="G267" s="3">
        <f>2558.5+(345.2-684.7)+(-1.304835+(-0.176052--0.349197))+0-613.9--0.313088999999938</f>
        <v>1604.2813989999997</v>
      </c>
      <c r="H267" s="3">
        <f>2372.4+(482.8-614.3)+(-4.839696+(-0.984912--1.253172))+0-670.2--1.36720799999997</f>
        <v>1567.4957719999998</v>
      </c>
      <c r="I267" s="3">
        <f>2366.9+(488.6-720.9)+(3.621357+(0.747558-1.102977))+0-581.6-0.889848000000034</f>
        <v>1555.3760900000004</v>
      </c>
      <c r="J267" s="3">
        <f>2365.1+(456.4-697.8)+(6.031005+(1.16382-1.77939))+0-584.3-1.48996499999992</f>
        <v>1543.3254699999998</v>
      </c>
      <c r="K267" s="3">
        <f>2415.5+(475.1-641.3)+(3.695715+(0.726903-0.981189))+0-668.6-1.02295800000004</f>
        <v>1583.1184710000002</v>
      </c>
      <c r="L267" s="3">
        <f>2665.7+(218.2-644.2)+(-1.359507+(-0.111282--0.328542))+0-574.2--0.292841999999942</f>
        <v>1664.6505949999994</v>
      </c>
      <c r="M267" s="3">
        <f>2814.8+(226.2-669.4)+(-1.435548+(-0.115362--0.341394))+0-623.2--0.317831999999937</f>
        <v>1747.5083160000004</v>
      </c>
      <c r="N267" s="3">
        <f>2856+(294.4-554.4)+(0+(0-0))+0-502.2-0</f>
        <v>2093.8000000000002</v>
      </c>
      <c r="O267" s="3">
        <f>2713.3+(530.9-573.8)+(-4.151349+(-0.812277--0.877914))+0-586.5--0.897345000000034</f>
        <v>2080.7116329999999</v>
      </c>
      <c r="P267" s="3">
        <f>2693.4+(678.3-620.2)+(-1.373634+(-0.345933--0.316302))+0-570.3--0.290852999999942</f>
        <v>2180.0875879999999</v>
      </c>
      <c r="Q267" s="3">
        <f>2690.8+(718-588.1)+(-4.116924+(-1.09854--0.899793))+0-626.4--0.958392000000036</f>
        <v>2190.9427210000003</v>
      </c>
      <c r="R267" s="3">
        <f>2675+(397.6-604.9)+(-10.914+(-1.622208--2.467992))+0-480.7--1.96125599999996</f>
        <v>1978.8930399999997</v>
      </c>
      <c r="S267" s="3">
        <f>2666+(271.4-465.6)+(-1.35966+(-0.138414--0.237456))+0-479.4--0.244493999999951</f>
        <v>1991.3838760000003</v>
      </c>
      <c r="T267" s="3">
        <f>2664+(206.6-369.5)+(-4.07592+(-0.316098--0.565335))+0-490.6--0.750618000000028</f>
        <v>2007.4239350000003</v>
      </c>
      <c r="U267" s="3">
        <f>2905.5+(318.1-411.9)+(4.445415+(0.486693-0.630207))+0-549.2-0.840276000000032</f>
        <v>2265.9616249999999</v>
      </c>
      <c r="V267" s="3">
        <f>2963+(540.3-882.7)+(-7.55565+(-1.377765--2.250885))+0-518.6--1.32242999999992</f>
        <v>2096.6398999999997</v>
      </c>
      <c r="W267" s="3">
        <f>3087.4+(962.4-1184)+(1.574574+(0.490824-0.60384))+0-522.8-0.266627999999947</f>
        <v>2344.1949300000001</v>
      </c>
      <c r="X267" s="3">
        <f>3103.3+(789.7-1021.2)+(-4.748049+(-1.208241--1.562436))+0-574.9--0.879597000000033</f>
        <v>2293.3857430000003</v>
      </c>
      <c r="Y267" s="3">
        <f>3107.1+(602.5-956.7)+(-4.753863+(-0.921825--1.463751))+0-580.6--0.888318000000034</f>
        <v>2168.9763809999999</v>
      </c>
      <c r="Z267" s="3">
        <f>3109.3+(407.7-837)+(-3.171486+(-0.415854--0.85374))+0-608.6--0.620772000000097</f>
        <v>2069.2871720000003</v>
      </c>
      <c r="AA267" s="3">
        <f>2986.1+(452.2-777.5)+(0+(0-0))+0-609.2-0</f>
        <v>2051.5999999999995</v>
      </c>
      <c r="AB267" s="3">
        <f>2950.1+(393.9-874.5)+(-4.513653+(-0.602667--1.337985))+0-507.9--0.777087000000029</f>
        <v>1958.5987519999999</v>
      </c>
      <c r="AC267" s="3">
        <f>2900.4+(287-753.2)+(-2.958408+(-0.29274--0.768264))+0-602.1--0.614142000000096</f>
        <v>1830.231258</v>
      </c>
      <c r="AD267">
        <f t="shared" si="4"/>
        <v>46545.286331999989</v>
      </c>
      <c r="AE267" s="3">
        <f>3075+(1207.1-1236.5)+(0+(0-0))+0-617-0</f>
        <v>2428.6</v>
      </c>
    </row>
    <row r="268" spans="1:31" s="2" customFormat="1" x14ac:dyDescent="0.25">
      <c r="A268">
        <v>89</v>
      </c>
      <c r="B268">
        <v>9</v>
      </c>
      <c r="C268">
        <v>22</v>
      </c>
      <c r="D268">
        <v>3</v>
      </c>
      <c r="E268">
        <v>1</v>
      </c>
      <c r="F268" s="3">
        <f>2734.1+(329.5-746.1)+(-8.366346+(-1.00827--2.283066))+0-625.7--1.91464200000007</f>
        <v>1686.6230919999998</v>
      </c>
      <c r="G268" s="3">
        <f>2691.8+(243.5-630.4)+(-9.609726+(-0.869295--2.250528))+0-683.2--2.43902400000001</f>
        <v>1615.910531</v>
      </c>
      <c r="H268" s="3">
        <f>2619.8+(203.2-658.4)+(-4.008294+(-0.310896--1.007352))+0-589.9--0.902547000000034</f>
        <v>1572.2907090000003</v>
      </c>
      <c r="I268" s="3">
        <f>2603.9+(342.9-564.4)+(0+(0-0))+0-819.6-0</f>
        <v>1562.8000000000002</v>
      </c>
      <c r="J268" s="3">
        <f>2533.5+(258.8-571.4)+(-1.292085+(-0.131988--0.291414))+0-660.2--0.336701999999933</f>
        <v>1559.904043</v>
      </c>
      <c r="K268" s="3">
        <f>2419.6+(367.6-587.6)+(2.467992+(0.374952-0.599352))+0-605.6-0.617712000000097</f>
        <v>1595.6258799999996</v>
      </c>
      <c r="L268" s="3">
        <f>2604.9+(285-548.3)+(-2.656998+(-0.2907--0.559266))+0-665.5--0.678810000000106</f>
        <v>1674.3903780000003</v>
      </c>
      <c r="M268" s="3">
        <f>2788.8+(130.5-587.4)+(1.422288+(0.066555-0.299574))+0-553.7-0.282386999999944</f>
        <v>1779.106882</v>
      </c>
      <c r="N268" s="3">
        <f>2927.9+(233.5-608.2)+(-2.986458+(-0.23817--0.620364))+0-607--0.619140000000097</f>
        <v>1944.2148759999998</v>
      </c>
      <c r="O268" s="3">
        <f>3018+(428.8-762.4)+(0+(0-0))+0-608-0</f>
        <v>2076.4</v>
      </c>
      <c r="P268" s="3">
        <f>2961.7+(655.9-896.1)+(0+(0-0))+0-576.2-0</f>
        <v>2145.3000000000002</v>
      </c>
      <c r="Q268" s="3">
        <f>2839.7+(824.4-857)+(0+(0-0))+0-650.6-0</f>
        <v>2156.5</v>
      </c>
      <c r="R268" s="3">
        <f>2940.6+(576-821.8)+(0+(0-0))+0-607.2-0</f>
        <v>2087.6000000000004</v>
      </c>
      <c r="S268" s="3">
        <f>2857.9+(562-750.1)+(0+(0-0))+0-510.3-0</f>
        <v>2159.5</v>
      </c>
      <c r="T268" s="3">
        <f>2793.4+(448.6-686.1)+(0+(0-0))+0-387.8-0</f>
        <v>2168.1</v>
      </c>
      <c r="U268" s="3">
        <f>2810.5+(451.7-691.5)+(0+(0-0))+0-492.9-0</f>
        <v>2077.7999999999997</v>
      </c>
      <c r="V268" s="3">
        <f>2887.4+(429-1048.3)+(0+(0-0))+0-376.6-0</f>
        <v>1891.5000000000005</v>
      </c>
      <c r="W268" s="3">
        <f>2901.8+(979.8-1291.6)+(0+(0-0))+0-352.9-0</f>
        <v>2237.1</v>
      </c>
      <c r="X268" s="3">
        <f>2914.6+(789.6-1093.2)+(0+(0-0))+0-364.7-0</f>
        <v>2246.3000000000002</v>
      </c>
      <c r="Y268" s="3">
        <f>2912.6+(557.9-850.6)+(0+(0-0))+0-519.2-0</f>
        <v>2100.6999999999998</v>
      </c>
      <c r="Z268" s="3">
        <f>2916.7+(623.9-810.1)+(0+(0-0))+0-745.2-0</f>
        <v>1985.3</v>
      </c>
      <c r="AA268" s="3">
        <f>2892.2+(503.4-769)+(0+(0-0))+0-618.4-0</f>
        <v>2008.1999999999998</v>
      </c>
      <c r="AB268" s="3">
        <f>2883.7+(347.8-838.9)+(0+(0-0))+0-560.5-0</f>
        <v>1832.1</v>
      </c>
      <c r="AC268" s="3">
        <f>2827+(293.1-812.2)+(0+(0-0))+0-533.6-0</f>
        <v>1774.3000000000002</v>
      </c>
      <c r="AD268">
        <f t="shared" si="4"/>
        <v>45937.566391</v>
      </c>
      <c r="AE268" s="3">
        <f>2935+(904.7-1285.2)+(0+(0-0))+0-249.7-0</f>
        <v>2304.8000000000002</v>
      </c>
    </row>
    <row r="269" spans="1:31" s="2" customFormat="1" x14ac:dyDescent="0.25">
      <c r="A269">
        <v>89</v>
      </c>
      <c r="B269">
        <v>9</v>
      </c>
      <c r="C269">
        <v>23</v>
      </c>
      <c r="D269">
        <v>4</v>
      </c>
      <c r="E269">
        <v>1</v>
      </c>
      <c r="F269" s="3">
        <f>2718.4+(169.9-818.3)+(0+(0-0))+0-440.1-0</f>
        <v>1629.9</v>
      </c>
      <c r="G269" s="3">
        <f>2582.3+(139.8-609.6)+(0+(0-0))+0-595.2-0</f>
        <v>1517.3</v>
      </c>
      <c r="H269" s="3">
        <f>2525.5+(207.4-446.7)+(0+(0-0))+0-658-0</f>
        <v>1628.1999999999998</v>
      </c>
      <c r="I269" s="3">
        <f>2147+(322.8-234.7)+(0+(0-0))+0-723.1-0</f>
        <v>1512</v>
      </c>
      <c r="J269" s="3">
        <f>2134.5+(280.3-253.8)+(0+(0-0))+0-660.4-0</f>
        <v>1500.6</v>
      </c>
      <c r="K269" s="3">
        <f>2195.7+(298.4-292.4)+(0+(0-0))+0-668.6-0</f>
        <v>1533.1</v>
      </c>
      <c r="L269" s="3">
        <f>2530.7+(179.8-496)+(0+(0-0))+0-560.6-0</f>
        <v>1653.9</v>
      </c>
      <c r="M269" s="3">
        <f>2675.8+(150.2-507.2)+(0+(0-0))+0-627.9-0</f>
        <v>1690.9</v>
      </c>
      <c r="N269" s="3">
        <f>2994.2+(230-762.1)+(0+(0-0))+0-590.6-0</f>
        <v>1871.5</v>
      </c>
      <c r="O269" s="3">
        <f>3018.7+(372.3-805.3)+(0+(0-0))+0-605.1-0</f>
        <v>1980.6</v>
      </c>
      <c r="P269" s="3">
        <f>3014.5+(562.6-789.7)+(0+(0-0))+0-643.2-0</f>
        <v>2144.1999999999998</v>
      </c>
      <c r="Q269" s="3">
        <f>3002.5+(448.8-834.6)+(0+(0-0))+0-613.8-0</f>
        <v>2002.8999999999999</v>
      </c>
      <c r="R269" s="3">
        <f>3008.5+(307.2-787.1)+(-7.671675+(-0.78336--2.007105))+0-626.5--1.59757499999991</f>
        <v>1897.2496450000001</v>
      </c>
      <c r="S269" s="3">
        <f>3043.1+(170.1-742.7)+(-1.551981+(-0.086751--0.378777))+0-566.1--0.288710999999943</f>
        <v>1903.428756</v>
      </c>
      <c r="T269" s="3">
        <f>2975+(140-581.1)+(-4.55175+(-0.2142--0.889083))+0-638.9--0.977517000000037</f>
        <v>1892.1006500000001</v>
      </c>
      <c r="U269" s="3">
        <f>3034.4+(28.8-714.2)+(-7.73772+(-0.07344--1.82121))+0-505.3--1.28851499999993</f>
        <v>1838.9985649999999</v>
      </c>
      <c r="V269" s="3">
        <f>3100.9+(121.4-721.5)+(-7.907295+(-0.30957--1.839825))+0-660.2--1.6835099999999</f>
        <v>1835.9064700000001</v>
      </c>
      <c r="W269" s="3">
        <f>3237.6+(444.7-919.2)+(-3.302352+(-0.453594--0.937584))+0-691.2--0.70502400000011</f>
        <v>2069.786662</v>
      </c>
      <c r="X269" s="3">
        <f>3293.2+(451.1-973.5)+(-8.39766+(-1.150305--2.482425))+0-727.8--1.85588999999989</f>
        <v>2037.7903499999995</v>
      </c>
      <c r="Y269" s="3">
        <f>3164.5+(583.7-1074.6)+(-1.613895+(-0.297687--0.548046))+0-727.5--0.371024999999926</f>
        <v>1945.1074890000004</v>
      </c>
      <c r="Z269" s="3">
        <f>3003.7+(487.2-964.9)+(-6.127548+(-0.993888--1.968396))+0-692.1--1.41188399999997</f>
        <v>1830.1588439999998</v>
      </c>
      <c r="AA269" s="3">
        <f>2825.2+(556.7-946.3)+(0+(0-0))+0-631.6-0</f>
        <v>1804</v>
      </c>
      <c r="AB269" s="3">
        <f>2813.2+(293.7-858.9)+(-5.738928+(-0.599148--1.752156))+0-490.9--1.00143599999998</f>
        <v>1753.5155159999999</v>
      </c>
      <c r="AC269" s="3">
        <f>2787.2+(191.2-747.7)+(-1.421472+(-0.097512--0.381327))+0-543.9--0.277388999999945</f>
        <v>1685.9397319999994</v>
      </c>
      <c r="AD269">
        <f t="shared" si="4"/>
        <v>43159.082679000006</v>
      </c>
      <c r="AE269" s="3">
        <f>3281+(545.5-932)+(0+(0-0))+0-721.9-0</f>
        <v>2172.6</v>
      </c>
    </row>
    <row r="270" spans="1:31" s="2" customFormat="1" x14ac:dyDescent="0.25">
      <c r="A270">
        <v>89</v>
      </c>
      <c r="B270">
        <v>9</v>
      </c>
      <c r="C270">
        <v>24</v>
      </c>
      <c r="D270">
        <v>5</v>
      </c>
      <c r="E270">
        <v>5</v>
      </c>
      <c r="F270" s="3">
        <f>2580.7+(235-511)+(-2.632314+(-0.2397--0.52122))+0-742.5--0.757350000000118</f>
        <v>1560.606556</v>
      </c>
      <c r="G270" s="3">
        <f>2456.7+(168.3-537.4)+(2.505834+(0.171666-0.548148))+0-602-0.614040000000096</f>
        <v>1487.1153119999997</v>
      </c>
      <c r="H270" s="3">
        <f>2429.6+(198.8-484.2)+(0+(0-0))+0-712.1-0</f>
        <v>1432.1</v>
      </c>
      <c r="I270" s="3">
        <f>2433+(200.1-485.5)+(1.24083+(0.102051-0.247605))+0-757.5-0.386324999999923</f>
        <v>1390.808951</v>
      </c>
      <c r="J270" s="3">
        <f>2367.2+(204.4-473.3)+(1.207272+(0.104244-0.241383))+0-703.4-0.358733999999929</f>
        <v>1395.6113989999999</v>
      </c>
      <c r="K270" s="3">
        <f>2232.3+(372.9-409.7)+(-1.138473+(-0.190179--0.208947))+0-811.2--0.413711999999918</f>
        <v>1383.5940069999997</v>
      </c>
      <c r="L270" s="3">
        <f>2249.6+(265.4-457.7)+(-1.147296+(-0.135354--0.233427))+0-702.7--0.358376999999929</f>
        <v>1353.9091539999997</v>
      </c>
      <c r="M270" s="3">
        <f>2274.4+(237.6-640.1)+(-2.319888+(-0.242352--0.652902))+0-611.5--0.623730000000097</f>
        <v>1259.1143920000002</v>
      </c>
      <c r="N270" s="3">
        <f>2117.2+(399.5-587.9)+(2.159544+(0.40749-0.599658))+0-692.9-0.70675800000011</f>
        <v>1237.1606179999997</v>
      </c>
      <c r="O270" s="3">
        <f>1915.7+(399-368.8)+(0.977007+(0.20349-0.188088))+0-650.5-0.331754999999934</f>
        <v>1296.0606540000001</v>
      </c>
      <c r="P270" s="3">
        <f>1917.6+(389.1-292.5)+(-3.911904+(-0.793764--0.5967))+0-659.2--1.34476799999997</f>
        <v>1352.2357999999997</v>
      </c>
      <c r="Q270" s="3">
        <f>2090.7+(258.6-438.5)+(-5.331285+(-0.65943--1.118175))+0-618.5--1.57717499999991</f>
        <v>1289.0046349999996</v>
      </c>
      <c r="R270" s="3">
        <f>2228.8+(193-578.3)+(-2.273376+(-0.19686--0.589866))+0-612.8--0.625056000000098</f>
        <v>1229.4446860000003</v>
      </c>
      <c r="S270" s="3">
        <f>2242.1+(146.8-591.9)+(-3.430413+(-0.224604--0.905607))+0-535.9--0.819927000000031</f>
        <v>1259.170517</v>
      </c>
      <c r="T270" s="3">
        <f>2284+(247-601.5)+(-4.65936+(-0.50388--1.22706))+0-660--1.34639999999997</f>
        <v>1266.91022</v>
      </c>
      <c r="U270" s="3">
        <f>2278.1+(282.7-669.4)+(-3.485493+(-0.432531--1.024182))+0-702.2--1.07436600000004</f>
        <v>1187.3805239999999</v>
      </c>
      <c r="V270" s="3">
        <f>2306.5+(232.2-602.7)+(2.35263+(0.236844-0.614754))+0-682.1-0.695742000000109</f>
        <v>1255.1789779999997</v>
      </c>
      <c r="W270" s="3">
        <f>2566.1+(358.2-655.5)+(-1.308711+(-0.182682--0.334305))+0-694--0.35393999999993</f>
        <v>1573.9968519999998</v>
      </c>
      <c r="X270" s="3">
        <f>2668+(209.3-580.9)+(-8.16408+(-0.640458--1.777554))+0-738.2--2.25889200000009</f>
        <v>1553.431908</v>
      </c>
      <c r="Y270" s="3">
        <f>2659.3+(99.6-554.2)+(-5.424972+(-0.203184--1.130568))+0-667.3--1.36129199999997</f>
        <v>1534.2637040000002</v>
      </c>
      <c r="Z270" s="3">
        <f>2579.5+(151.7-541.7)+(1.315545+(0.077367-0.276267))+0-697-0.355469999999929</f>
        <v>1493.2611750000001</v>
      </c>
      <c r="AA270" s="3">
        <f>2402.6+(302.3-499.6)+(-1.225326+(-0.154173--0.254796))+0-700.9--0.357458999999929</f>
        <v>1503.6327559999995</v>
      </c>
      <c r="AB270" s="3">
        <f>2366.5+(231.1-552.1)+(-2.41383+(-0.235722--0.563142))+0-553.3--0.564366000000088</f>
        <v>1490.6779560000002</v>
      </c>
      <c r="AC270" s="3">
        <f>2206+(403.7-444.8)+(-3.37518+(-0.617661--0.680544))+0-698.7--1.06901100000004</f>
        <v>1463.9567140000001</v>
      </c>
      <c r="AD270">
        <f t="shared" si="4"/>
        <v>33248.627467999999</v>
      </c>
      <c r="AE270" s="3">
        <f>2649+(389.3-591.2)+(0+(0-0))+0-727.3-0</f>
        <v>1719.8</v>
      </c>
    </row>
    <row r="271" spans="1:31" s="2" customFormat="1" x14ac:dyDescent="0.25">
      <c r="A271">
        <v>89</v>
      </c>
      <c r="B271">
        <v>9</v>
      </c>
      <c r="C271">
        <v>25</v>
      </c>
      <c r="D271">
        <v>6</v>
      </c>
      <c r="E271">
        <v>5</v>
      </c>
      <c r="F271" s="3">
        <f>2179.3+(324.4-481.6)+(-4.445772+(-0.661776--0.982464))+0-700.5--1.42901999999997</f>
        <v>1318.9039360000002</v>
      </c>
      <c r="G271" s="3">
        <f>2113.5+(319.3-419.6)+(-3.233655+(-0.488529--0.641988))+0-758.1--1.15989300000004</f>
        <v>1253.179697</v>
      </c>
      <c r="H271" s="3">
        <f>1999.8+(328.6-420.1)+(-2.039796+(-0.335172--0.428502))+0-688.4--0.70216800000011</f>
        <v>1218.6557019999998</v>
      </c>
      <c r="I271" s="3">
        <f>1997+(277-431.1)+(-5.09235+(-0.70635--1.099305))+0-635.1--1.61950499999991</f>
        <v>1204.72011</v>
      </c>
      <c r="J271" s="3">
        <f>1986.2+(169.3-410.1)+(-2.025924+(-0.172686--0.418302))+0-538.7--0.549474000000086</f>
        <v>1205.4691660000001</v>
      </c>
      <c r="K271" s="3">
        <f>1978.5+(210.2-409.5)+(0+(0-0))+0-575.9-0</f>
        <v>1203.3000000000002</v>
      </c>
      <c r="L271" s="3">
        <f>2012.9+(361.1-477.2)+(-4.106316+(-0.736644--0.973488))+0-725.8--1.48063199999997</f>
        <v>1168.6111600000002</v>
      </c>
      <c r="M271" s="3">
        <f>2028.4+(306.9-617.3)+(-2.068968+(-0.313038--0.629646))+0-649.6--0.662592000000104</f>
        <v>1067.3102320000003</v>
      </c>
      <c r="N271" s="3">
        <f>1896.5+(293.1-453.3)+(-0.967215+(-0.149481--0.231183))+0-669.6--0.341495999999932</f>
        <v>1066.1559830000001</v>
      </c>
      <c r="O271" s="3">
        <f>2018+(258.2-497.3)+(2.05836+(0.263364-0.507246))+0-715.2-0.729504000000114</f>
        <v>1064.7849739999999</v>
      </c>
      <c r="P271" s="3">
        <f>1892.7+(236.2-383.4)+(-6.756939+(-0.843234--1.368738))+0-706--2.52042000000001</f>
        <v>1035.7889850000001</v>
      </c>
      <c r="Q271" s="3">
        <f>1888.2+(173.2-342.1)+(-1.925964+(-0.176664--0.348942))+0-692--0.70584000000011</f>
        <v>1026.252154</v>
      </c>
      <c r="R271" s="3">
        <f>1777.6+(259.2-247.1)+(0.906576+(0.132192-0.126021))+0-763.6-0.389435999999923</f>
        <v>1026.6233109999998</v>
      </c>
      <c r="S271" s="3">
        <f>1809.6+(286.1-318.6)+(-1.845792+(-0.291822--0.324972))+0-728.2--0.742764000000116</f>
        <v>1047.8301219999998</v>
      </c>
      <c r="T271" s="3">
        <f>1898.7+(288.3-506.1)+(-4.841685+(-0.735165--1.290555))+0-595.7--1.51903499999991</f>
        <v>1082.4327399999997</v>
      </c>
      <c r="U271" s="3">
        <f>1902.8+(291.7-413)+(0+(0-0))+0-684-0</f>
        <v>1097.5</v>
      </c>
      <c r="V271" s="3">
        <f>2081.7+(296.1-451.5)+(-3.185001+(-0.453033--0.690795))+0-737.9--1.12898700000004</f>
        <v>1186.5817479999996</v>
      </c>
      <c r="W271" s="3">
        <f>2331.1+(369.5-482.8)+(-5.944305+(-0.942225--1.23114))+0-707.6--1.8043799999999</f>
        <v>1506.3489899999997</v>
      </c>
      <c r="X271" s="3">
        <f>2484.2+(459.5-608.3)+(-2.533884+(-0.46869--0.620466))+0-703.8--0.717876000000112</f>
        <v>1629.9357680000001</v>
      </c>
      <c r="Y271" s="3">
        <f>2590.7+(374.6-636.3)+(0+(0-0))+0-761.5-0</f>
        <v>1567.5</v>
      </c>
      <c r="Z271" s="3">
        <f>2583.6+(220-557.6)+(-3.952908+(-0.3366--0.853128))+0-702.7--1.07513100000004</f>
        <v>1540.9387509999999</v>
      </c>
      <c r="AA271" s="3">
        <f>2557.1+(191.1-417.2)+(1.304121+(0.097461-0.212772))+0-767.8-0.391577999999922</f>
        <v>1563.9972320000002</v>
      </c>
      <c r="AB271" s="3">
        <f>2547.1+(149-415.6)+(-2.598042+(-0.15198--0.423912))+0-722.6--0.737052000000115</f>
        <v>1556.3109420000003</v>
      </c>
      <c r="AC271" s="3">
        <f>2518.9+(146-506.5)+(-2.569278+(-0.14892--0.51663))+0-679--0.692580000000108</f>
        <v>1477.8910120000003</v>
      </c>
      <c r="AD271">
        <f t="shared" si="4"/>
        <v>30117.022714999999</v>
      </c>
      <c r="AE271" s="3">
        <f>2347+(549.8-491.6)+(0+(0-0))+0-800.1-0</f>
        <v>1605.1</v>
      </c>
    </row>
    <row r="272" spans="1:31" s="2" customFormat="1" x14ac:dyDescent="0.25">
      <c r="A272">
        <v>89</v>
      </c>
      <c r="B272">
        <v>9</v>
      </c>
      <c r="C272">
        <v>26</v>
      </c>
      <c r="D272">
        <v>7</v>
      </c>
      <c r="E272">
        <v>1</v>
      </c>
      <c r="F272" s="3">
        <f>2419.3+(195.6-574.9)+(-3.701529+(-0.299268--0.879597))+0-669.6--1.02448800000004</f>
        <v>1368.3032880000001</v>
      </c>
      <c r="G272" s="3">
        <f>2291+(184.1-504.2)+(0+(0-0))+0-691.1-0</f>
        <v>1279.8000000000002</v>
      </c>
      <c r="H272" s="3">
        <f>2296.4+(159.9-557.4)+(-8.198148+(-0.570843--1.989918))+0-648--2.31336000000001</f>
        <v>1246.4342870000003</v>
      </c>
      <c r="I272" s="3">
        <f>2298.8+(166.6-581.8)+(0+(0-0))+0-640.6-0</f>
        <v>1243.0000000000005</v>
      </c>
      <c r="J272" s="3">
        <f>2295.9+(222.9-583.8)+(0+(0-0))+0-692.1-0</f>
        <v>1242.9000000000001</v>
      </c>
      <c r="K272" s="3">
        <f>2297.2+(245.8-623.3)+(3.514716+(0.376074-0.953649))+0-657.5-1.00597500000004</f>
        <v>1264.1311659999999</v>
      </c>
      <c r="L272" s="3">
        <f>2374.9+(298.9-699.3)+(-3.633597+(-0.457317--1.069929))+0-659.7--1.00934100000004</f>
        <v>1312.7883559999998</v>
      </c>
      <c r="M272" s="3">
        <f>2402.8+(372.8-787.6)+(-3.676284+(-0.570384--1.205028))+0-706.2--1.08048600000004</f>
        <v>1279.8388460000003</v>
      </c>
      <c r="N272" s="3">
        <f>2485.1+(401-873.5)+(0+(0-0))+0-701.6-0</f>
        <v>1311</v>
      </c>
      <c r="O272" s="3">
        <f>2566.1+(296.9-692.4)+(1.308711+(0.151419-0.353124))+0-711.5-0.362864999999928</f>
        <v>1459.8441410000003</v>
      </c>
      <c r="P272" s="3">
        <f>2476.8+(329-646.6)+(-6.31584+(-0.83895--1.64883))+0-704.4--1.7962199999999</f>
        <v>1451.0902600000002</v>
      </c>
      <c r="Q272" s="3">
        <f>2472.9+(347.8-660.3)+(-2.522358+(-0.354756--0.673506))+0-668.7--0.682074000000107</f>
        <v>1490.1784660000003</v>
      </c>
      <c r="R272" s="3">
        <f>2603.6+(449.3-682.2)+(-1.327836+(-0.229143--0.347922))+0-782.6--0.399125999999921</f>
        <v>1587.2900689999999</v>
      </c>
      <c r="S272" s="3">
        <f>2607.1+(271.9-704.6)+(-3.988863+(-0.416007--1.078038))+0-573.7--0.877761000000033</f>
        <v>1598.2509289999994</v>
      </c>
      <c r="T272" s="3">
        <f>2614.3+(326.2-731.6)+(-3.999879+(-0.499086--1.119348))+0-626--0.957780000000036</f>
        <v>1580.478163</v>
      </c>
      <c r="U272" s="3">
        <f>2614.9+(319.3-751.3)+(-4.000797+(-0.488529--1.149489))+0-616--0.942480000000036</f>
        <v>1564.502643</v>
      </c>
      <c r="V272" s="3">
        <f>2552.6+(371.1-699.7)+(-3.905478+(-0.567783--1.070541))+0-646.8--0.989604000000037</f>
        <v>1574.7868840000001</v>
      </c>
      <c r="W272" s="3">
        <f>2628+(586.5-697.5)+(-1.34028+(-0.299115--0.355725))+0-738.2--0.376481999999925</f>
        <v>1777.892812</v>
      </c>
      <c r="X272" s="3">
        <f>2660.8+(477.2-694.4)+(-5.428032+(-0.973488--1.416576))+0-633--1.29131999999997</f>
        <v>1806.9063760000006</v>
      </c>
      <c r="Y272" s="3">
        <f>2656.3+(470.7-648.5)+(-4.064139+(-0.720171--0.992205))+0-697.1--1.06656300000004</f>
        <v>1778.6744580000002</v>
      </c>
      <c r="Z272" s="3">
        <f>2652.8+(450.6-689.2)+(-5.411712+(-0.919224--1.405968))+0-671--1.36883999999997</f>
        <v>1739.6438720000003</v>
      </c>
      <c r="AA272" s="3">
        <f>2617.8+(460.7-621.6)+(-2.670156+(-0.469914--0.634032))+0-712.5--0.726750000000114</f>
        <v>1742.6207120000001</v>
      </c>
      <c r="AB272" s="3">
        <f>2613.9+(177.4-489.7)+(-6.665445+(-0.45237--1.248735))+0-642.2--1.63760999999991</f>
        <v>1655.1685300000004</v>
      </c>
      <c r="AC272" s="3">
        <f>2600.1+(158.7-466.3)+(-3.978153+(-0.242811--0.713439))+0-751.4--1.14964200000004</f>
        <v>1538.742117</v>
      </c>
      <c r="AD272">
        <f t="shared" si="4"/>
        <v>35894.266374999999</v>
      </c>
      <c r="AE272" s="3">
        <f>2708+(422.4-715.7)+(0+(0-0))+0-522.9-0</f>
        <v>1891.7999999999997</v>
      </c>
    </row>
    <row r="273" spans="1:31" s="2" customFormat="1" x14ac:dyDescent="0.25">
      <c r="A273">
        <v>89</v>
      </c>
      <c r="B273">
        <v>9</v>
      </c>
      <c r="C273">
        <v>27</v>
      </c>
      <c r="D273">
        <v>1</v>
      </c>
      <c r="E273">
        <v>1</v>
      </c>
      <c r="F273" s="3">
        <f>2576.6+(116.3-491.9)+(-3.942198+(-0.177939--0.752607))+0-703.2--1.07589600000004</f>
        <v>1495.508366</v>
      </c>
      <c r="G273" s="3">
        <f>2458.6+(153.1-533.1)+(-6.26943+(-0.390405--1.359405))+0-654.4--1.6687199999999</f>
        <v>1420.5682899999999</v>
      </c>
      <c r="H273" s="3">
        <f>2274+(332.9-458.6)+(-2.31948+(-0.339558--0.467772))+0-754.3--0.76938600000012</f>
        <v>1392.5781200000006</v>
      </c>
      <c r="I273" s="3">
        <f>2217.8+(249.1-408.9)+(-2.262156+(-0.254082--0.417078))+0-664.7--0.677994000000106</f>
        <v>1391.8788339999999</v>
      </c>
      <c r="J273" s="3">
        <f>2103.8+(344.2-298.1)+(0+(0-0))+0-751.4-0</f>
        <v>1398.5</v>
      </c>
      <c r="K273" s="3">
        <f>2262.9+(422.6-465.2)+(-2.308158+(-0.431052--0.474504))+0-779.1--0.794682000000124</f>
        <v>1439.7299760000005</v>
      </c>
      <c r="L273" s="3">
        <f>2386.3+(412.4-616.4)+(0+(0-0))+0-612.3-0</f>
        <v>1570.0000000000002</v>
      </c>
      <c r="M273" s="3">
        <f>2511+(475.4-618.5)+(0+(0-0))+0-672.5-0</f>
        <v>1695.4</v>
      </c>
      <c r="N273" s="3">
        <f>2675.9+(418.4-662.8)+(0+(0-0))+0-596-0</f>
        <v>1835.5</v>
      </c>
      <c r="O273" s="3">
        <f>2745.4+(552-620)+(0+(0-0))+0-676.8-0</f>
        <v>2000.6000000000001</v>
      </c>
      <c r="P273" s="3">
        <f>2741.1+(631.9-623.4)+(0+(0-0))+0-629.7-0</f>
        <v>2119.8999999999996</v>
      </c>
      <c r="Q273" s="3">
        <f>2732.2+(739.6-678)+(0+(0-0))+0-658.3-0</f>
        <v>2135.5</v>
      </c>
      <c r="R273" s="3">
        <f>2726+(448.2-614)+(-1.39026+(-0.228582--0.31314))+0-648--0.330479999999934</f>
        <v>1911.2247779999996</v>
      </c>
      <c r="S273" s="3">
        <f>2724.9+(471.6-541.8)+(-1.389699+(-0.240516--0.276318))+0-648.9--0.330938999999934</f>
        <v>2004.7770420000002</v>
      </c>
      <c r="T273" s="3">
        <f>2724.9+(390.4-503)+(0+(0-0))+0-597.6-0</f>
        <v>2014.7000000000003</v>
      </c>
      <c r="U273" s="3">
        <f>2721.2+(365.8-459.4)+(4.163436+(0.559674-0.702882))+0-627.3-0.959769000000036</f>
        <v>2003.3604589999998</v>
      </c>
      <c r="V273" s="3">
        <f>2742.2+(392.3-523.2)+(2.797044+(0.400146-0.533664))+0-575.3-0.586806000000092</f>
        <v>2038.0767199999996</v>
      </c>
      <c r="W273" s="3">
        <f>2929.2+(994.9-957.7)+(0+(0-0))+0-655.3-0</f>
        <v>2311.0999999999995</v>
      </c>
      <c r="X273" s="3">
        <f>3001.1+(837.1-948)+(-1.530561+(-0.426921--0.48348))+0-592.6--0.30222599999994</f>
        <v>2296.4282239999998</v>
      </c>
      <c r="Y273" s="3">
        <f>2997.7+(715.6-837.7)+(-7.644135+(-1.82478--2.136135))+0-663.2--1.6911599999999</f>
        <v>2206.7583799999998</v>
      </c>
      <c r="Z273" s="3">
        <f>2847.4+(437.1-536.1)+(1.452174+(0.222921-0.273411))+0-634.8-0.323747999999936</f>
        <v>2114.677936</v>
      </c>
      <c r="AA273" s="3">
        <f>2784.2+(414.1-474.2)+(-1.419942+(-0.211191--0.241842))+0-635.1--0.323900999999936</f>
        <v>2087.9346099999998</v>
      </c>
      <c r="AB273" s="3">
        <f>2744.6+(302.4-483.2)+(-2.799492+(-0.308448--0.492864))+0-574--0.585480000000091</f>
        <v>1987.7704039999999</v>
      </c>
      <c r="AC273" s="3">
        <f>2710.2+(302.8-460.4)+(-1.382202+(-0.154428--0.234804))+0-715--0.364649999999927</f>
        <v>1836.662824</v>
      </c>
      <c r="AD273">
        <f t="shared" si="4"/>
        <v>44709.134963000004</v>
      </c>
      <c r="AE273" s="3">
        <f>2988+(1026.5-977.8)+(0+(0-0))+0-673.9-0</f>
        <v>2362.7999999999997</v>
      </c>
    </row>
    <row r="274" spans="1:31" s="2" customFormat="1" x14ac:dyDescent="0.25">
      <c r="A274">
        <v>89</v>
      </c>
      <c r="B274">
        <v>9</v>
      </c>
      <c r="C274">
        <v>28</v>
      </c>
      <c r="D274">
        <v>2</v>
      </c>
      <c r="E274">
        <v>1</v>
      </c>
      <c r="F274" s="3">
        <f>2507.1+(336.5-506.2)+(0+(0-0))+0-652.2-0</f>
        <v>1685.2</v>
      </c>
      <c r="G274" s="3">
        <f>2460.6+(405-524.6)+(-3.764718+(-0.61965--0.802638))+0-715--1.09395000000004</f>
        <v>1623.5122200000001</v>
      </c>
      <c r="H274" s="3">
        <f>2285.5+(389.5-504.1)+(-3.496815+(-0.595935--0.771273))+0-584.1--0.893673000000034</f>
        <v>1584.3721960000003</v>
      </c>
      <c r="I274" s="3">
        <f>2243.9+(358.5-422.5)+(0+(0-0))+0-594.6-0</f>
        <v>1585.3000000000002</v>
      </c>
      <c r="J274" s="3">
        <f>2241.2+(494.3-349.4)+(0+(0-0))+0-803.3-0</f>
        <v>1582.8</v>
      </c>
      <c r="K274" s="3">
        <f>2241.9+(317.3-436.5)+(-3.430107+(-0.485469--0.667845))+0-534--0.817020000000031</f>
        <v>1586.2692890000003</v>
      </c>
      <c r="L274" s="3">
        <f>2294.4+(374.8-430.1)+(0+(0-0))+0-555.8-0</f>
        <v>1683.3</v>
      </c>
      <c r="M274" s="3">
        <f>2446.3+(400.4-503.9)+(0+(0-0))+0-541.3-0</f>
        <v>1801.5000000000002</v>
      </c>
      <c r="N274" s="3">
        <f>2603.7+(364.3-485.3)+(-1.327887+(-0.185793--0.247503))+0-491.1--0.25046099999995</f>
        <v>1990.5842839999998</v>
      </c>
      <c r="O274" s="3">
        <f>2620.2+(613.8-456.8)+(0+(0-0))+0-681.4-0</f>
        <v>2095.7999999999997</v>
      </c>
      <c r="P274" s="3">
        <f>2610.1+(540.7-524)+(0+(0-0))+0-478-0</f>
        <v>2148.8000000000002</v>
      </c>
      <c r="Q274" s="3">
        <f>2598.2+(717.8-645.1)+(-5.300328+(-1.464312--1.316004))+0-536.2--1.09384799999998</f>
        <v>2130.3452119999997</v>
      </c>
      <c r="R274" s="3">
        <f>2616.6+(488.4-591.3)+(-4.003398+(-0.747252--0.904689))+0-478.3--0.731799000000028</f>
        <v>2032.285838</v>
      </c>
      <c r="S274" s="3">
        <f>2714.1+(304.1-456.9)+(-2.768382+(-0.310182--0.466038))+0-472.8--0.482256000000075</f>
        <v>2086.3697300000003</v>
      </c>
      <c r="T274" s="3">
        <f>2739.1+(357.2-464.6)+(-2.793882+(-0.364344--0.473892))+0-532.2--0.542844000000085</f>
        <v>2097.3585099999996</v>
      </c>
      <c r="U274" s="3">
        <f>2773.4+(309-500.2)+(-2.828868+(-0.31518--0.510204))+0-528.5--0.539070000000084</f>
        <v>2051.6052260000006</v>
      </c>
      <c r="V274" s="3">
        <f>2868.6+(334-635.2)+(0+(0-0))+0-483.9-0</f>
        <v>2083.4999999999995</v>
      </c>
      <c r="W274" s="3">
        <f>2964.7+(791.1-901.7)+(-1.511997+(-0.403461--0.459867))+0-546.2--0.278561999999945</f>
        <v>2306.7229709999997</v>
      </c>
      <c r="X274" s="3">
        <f>2938+(718.7-860.7)+(-4.49514+(-1.099611--1.316871))+0-521.8--0.79835400000003</f>
        <v>2270.7204740000002</v>
      </c>
      <c r="Y274" s="3">
        <f>2912.3+(731.1-864)+(-4.455819+(-1.118583--1.32192))+0-597.8--0.914634000000034</f>
        <v>2178.2621520000007</v>
      </c>
      <c r="Z274" s="3">
        <f>2878.4+(699-900.1)+(-1.467984+(-0.35649--0.459051))+0-595.4--0.30365399999994</f>
        <v>2080.8382309999997</v>
      </c>
      <c r="AA274" s="3">
        <f>2809.8+(546.3-776.3)+(-4.298994+(-0.835839--1.187739))+0-515--0.78795000000003</f>
        <v>2061.640856</v>
      </c>
      <c r="AB274" s="3">
        <f>2774.2+(400-650.4)+(-4.244526+(-0.612--0.995112))+0-543.1--0.830943000000031</f>
        <v>1977.6695289999998</v>
      </c>
      <c r="AC274" s="3">
        <f>2646.1+(430.9-662.9)+(-2.699022+(-0.439518--0.676158))+0-587.3--0.599046000000094</f>
        <v>1824.9366639999998</v>
      </c>
      <c r="AD274">
        <f t="shared" si="4"/>
        <v>46549.693382000005</v>
      </c>
      <c r="AE274" s="3">
        <f>2966+(919.8-870.6)+(0+(0-0))+0-625-0</f>
        <v>2390.1999999999998</v>
      </c>
    </row>
    <row r="275" spans="1:31" s="2" customFormat="1" x14ac:dyDescent="0.25">
      <c r="A275">
        <v>89</v>
      </c>
      <c r="B275">
        <v>9</v>
      </c>
      <c r="C275">
        <v>29</v>
      </c>
      <c r="D275">
        <v>3</v>
      </c>
      <c r="E275">
        <v>1</v>
      </c>
      <c r="F275" s="3">
        <f>2458.5+(398.3-613.7)+(-6.269175+(-1.015665--1.564935))+0-558.4--1.42391999999992</f>
        <v>1680.4040149999998</v>
      </c>
      <c r="G275" s="3">
        <f>2311.8+(548-637.8)+(1.179018+(0.27948-0.325278))+0-593.4-0.30263399999994</f>
        <v>1629.4305860000002</v>
      </c>
      <c r="H275" s="3">
        <f>2307.3+(450.5-478)+(-2.353446+(-0.45951--0.48756))+0-686.1--0.699822000000109</f>
        <v>1592.0744260000001</v>
      </c>
      <c r="I275" s="3">
        <f>2256.7+(405-510.7)+(-1.150917+(-0.20655--0.260457))+0-631.9--0.322268999999936</f>
        <v>1518.325259</v>
      </c>
      <c r="J275" s="3">
        <f>2315+(378.8-437.6)+(2.3613+(0.386376-0.446352))+0-668.3-0.681666000000106</f>
        <v>1589.5196579999997</v>
      </c>
      <c r="K275" s="3">
        <f>2359.4+(352.9-408.1)+(-4.813176+(-0.719916--0.832524))+0-685.1--1.39760399999997</f>
        <v>1615.7970359999997</v>
      </c>
      <c r="L275" s="3">
        <f>2514+(257.2-493.9)+(-2.56428+(-0.262344--0.503778))+0-585.8--0.597516000000093</f>
        <v>1689.7746700000002</v>
      </c>
      <c r="M275" s="3">
        <f>2600.4+(427.6-529.2)+(-1.326204+(-0.218076--0.269892))+0-708.2--0.361181999999928</f>
        <v>1789.6867940000002</v>
      </c>
      <c r="N275" s="3">
        <f>2698.3+(416.1-521.6)+(-4.128399+(-0.636633--0.798048))+0-619.8--0.948294000000036</f>
        <v>1969.9813100000001</v>
      </c>
      <c r="O275" s="3">
        <f>2797+(279.3-496.7)+(-2.85294+(-0.284886--0.506634))+0-533.3--0.543966000000085</f>
        <v>2044.2127740000003</v>
      </c>
      <c r="P275" s="3">
        <f>2811.3+(439.3-483.5)+(-4.301289+(-0.672129--0.739755))+0-678.3--1.03779900000004</f>
        <v>2085.6041360000004</v>
      </c>
      <c r="Q275" s="3">
        <f>2804.1+(468.6-540.2)+(-4.290273+(-0.716958--0.826506))+0-613.6--0.938808000000036</f>
        <v>2115.6580829999998</v>
      </c>
      <c r="R275" s="3">
        <f>2775.3+(505.1-602.5)+(-2.830806+(-0.515202--0.61455))+0-728.8--0.743376000000116</f>
        <v>1947.1119180000001</v>
      </c>
      <c r="S275" s="3">
        <f>2723+(524.8-587.7)+(-5.55492+(-1.070592--1.198908))+0-705.8--1.43983199999997</f>
        <v>1950.3132279999998</v>
      </c>
      <c r="T275" s="3">
        <f>2722.1+(474.1-622.3)+(-4.164813+(-0.725373--0.952119))+0-572.7--0.876231000000033</f>
        <v>1998.138164</v>
      </c>
      <c r="U275" s="3">
        <f>2744+(332.4-575.4)+(-4.19832+(-0.508572--0.880362))+0-526--0.80478000000003</f>
        <v>1971.9782500000001</v>
      </c>
      <c r="V275" s="3">
        <f>2808+(309.4-526.3)+(-4.29624+(-0.473382--0.805239))+0-568.4--0.869652000000033</f>
        <v>2019.6052689999999</v>
      </c>
      <c r="W275" s="3">
        <f>2900.4+(885.8-947.3)+(1.479204+(0.451758-0.483123))+0-594.4-0.30314399999994</f>
        <v>2245.644695</v>
      </c>
      <c r="X275" s="3">
        <f>3003.9+(836.6-914.5)+(-9.191934+(-2.559996--2.79837))+0-683--2.08998000000008</f>
        <v>2236.1364200000003</v>
      </c>
      <c r="Y275" s="3">
        <f>3002+(472.5-841.2)+(-3.06204+(-0.48195--0.858024))+0-509--0.519180000000081</f>
        <v>2122.1332140000004</v>
      </c>
      <c r="Z275" s="3">
        <f>2969.6+(631.5-846.2)+(-3.028992+(-0.64413--0.863124))+0-715.2--0.729504000000114</f>
        <v>2037.6195059999995</v>
      </c>
      <c r="AA275" s="3">
        <f>2837.3+(452.9-711.5)+(-5.788092+(-0.923916--1.45146))+0-530.1--1.08140399999998</f>
        <v>2044.4208560000002</v>
      </c>
      <c r="AB275" s="3">
        <f>2773+(495-680.8)+(-5.65692+(-1.0098--1.388832))+0-632.6--1.29050399999997</f>
        <v>1950.6126159999999</v>
      </c>
      <c r="AC275" s="3">
        <f>2612.6+(459.7-663.3)+(-3.997278+(-0.703341--1.014849))+0-596.7--0.912951000000035</f>
        <v>1809.5271809999999</v>
      </c>
      <c r="AD275">
        <f t="shared" si="4"/>
        <v>45653.710063999999</v>
      </c>
      <c r="AE275" s="3">
        <f>2978+(1121.7-999.6)+(0+(0-0))+0-788-0</f>
        <v>2312.1</v>
      </c>
    </row>
    <row r="276" spans="1:31" s="2" customFormat="1" x14ac:dyDescent="0.25">
      <c r="A276">
        <v>89</v>
      </c>
      <c r="B276">
        <v>9</v>
      </c>
      <c r="C276">
        <v>30</v>
      </c>
      <c r="D276">
        <v>4</v>
      </c>
      <c r="E276">
        <v>1</v>
      </c>
      <c r="F276" s="3">
        <f>2327.4+(565.9-602.7)+(-2.373948+(-0.577218--0.614754))+0-609.2--0.621384000000097</f>
        <v>1679.6849719999998</v>
      </c>
      <c r="G276" s="3">
        <f>2199.1+(471.4-500)+(2.243082+(0.480828-0.51))+0-557.5-0.568650000000089</f>
        <v>1614.6452599999998</v>
      </c>
      <c r="H276" s="3">
        <f>2167.5+(453.8-422.1)+(-2.21085+(-0.462876--0.430542))+0-623.4--0.635868000000099</f>
        <v>1574.1926839999999</v>
      </c>
      <c r="I276" s="3">
        <f>2172.2+(413.5-416.2)+(-5.53911+(-1.054425--1.06131))+0-623.6--1.59017999999991</f>
        <v>1541.9579550000001</v>
      </c>
      <c r="J276" s="3">
        <f>2171.4+(471.7-386.9)+(-2.214828+(-0.481134--0.394638))+0-713--0.727260000000114</f>
        <v>1541.6259360000004</v>
      </c>
      <c r="K276" s="3">
        <f>2237.9+(384.7-383.5)+(-1.141329+(-0.196197--0.195585))+0-661--0.337109999999933</f>
        <v>1577.295169</v>
      </c>
      <c r="L276" s="3">
        <f>2388.3+(434.7-442.8)+(-4.872132+(-0.886788--0.903312))+0-714.6--1.45778399999997</f>
        <v>1662.2021760000005</v>
      </c>
      <c r="M276" s="3">
        <f>2676+(330.3-520.6)+(-5.45904+(-0.673812--1.062024))+0-714.4--1.45737599999997</f>
        <v>1767.6865479999999</v>
      </c>
      <c r="N276" s="3">
        <f>2842.5+(294.3-476.1)+(-1.449675+(-0.150093--0.242811))+0-649--0.330989999999934</f>
        <v>2010.6740329999998</v>
      </c>
      <c r="O276" s="3">
        <f>2835.6+(461.4-603.9)+(-7.23078+(-1.17657--1.539945))+0-609.2--1.55345999999991</f>
        <v>2078.5860549999998</v>
      </c>
      <c r="P276" s="3">
        <f>2835.5+(572.4-589.9)+(-1.446105+(-0.291924--0.300849))+0-618.6--0.315485999999937</f>
        <v>2198.2783060000002</v>
      </c>
      <c r="Q276" s="3">
        <f>2831.3+(491.4-560.3)+(-4.331889+(-0.751842--0.857259))+0-666.6--1.01989800000004</f>
        <v>2092.5934260000004</v>
      </c>
      <c r="R276" s="3">
        <f>2820.2+(384.7-565.1)+(-5.753208+(-0.784788--1.152804))+0-667.7--1.36210799999997</f>
        <v>1968.0769159999995</v>
      </c>
      <c r="S276" s="3">
        <f>2794.6+(249.3-551.6)+(-1.425246+(-0.127143--0.281316))+0-592.2--0.30202199999994</f>
        <v>1899.1309489999996</v>
      </c>
      <c r="T276" s="3">
        <f>2709.5+(380.7-556.4)+(-5.52738+(-0.776628--1.135056))+0-546.2--1.11424799999998</f>
        <v>1983.5452960000002</v>
      </c>
      <c r="U276" s="3">
        <f>2726.6+(292.9-564.2)+(-4.171698+(-0.448137--0.863226))+0-484--0.740520000000028</f>
        <v>1968.2839109999998</v>
      </c>
      <c r="V276" s="3">
        <f>2830.4+(452.1-723.7)+(0+(0-0))+0-572.4-0</f>
        <v>1986.4</v>
      </c>
      <c r="W276" s="3">
        <f>2896.5+(912.3-1015)+(2.95443+(0.930546-1.0353))+0-575.8-0.587316000000092</f>
        <v>2220.2623599999997</v>
      </c>
      <c r="X276" s="3">
        <f>2914.5+(944.8-975.2)+(-8.91837+(-2.891088--2.984112))+0-660.6--2.02143600000008</f>
        <v>2216.6960899999999</v>
      </c>
      <c r="Y276" s="3">
        <f>2903.2+(500-775.7)+(-10.364424+(-1.785--2.769249))+0-548.7--1.95885900000001</f>
        <v>2071.3786839999998</v>
      </c>
      <c r="Z276" s="3">
        <f>2836.4+(403.8-629.3)+(-7.23282+(-1.02969--1.604715))+0-629.8--1.60598999999991</f>
        <v>1976.0481950000001</v>
      </c>
      <c r="AA276" s="3">
        <f>2697.4+(369.7-467.3)+(1.375674+(0.188547-0.238323))+0-639.2-0.325991999999935</f>
        <v>1961.5999060000001</v>
      </c>
      <c r="AB276" s="3">
        <f>2723.7+(378.3-631.8)+(-4.167261+(-0.578799--0.966654))+0-567.5--0.868275000000033</f>
        <v>1899.7888689999997</v>
      </c>
      <c r="AC276" s="3">
        <f>2747.9+(438.4-726.1)+(-5.605716+(-0.894336--1.481244))+0-641.7--1.30906799999997</f>
        <v>1814.79026</v>
      </c>
      <c r="AD276">
        <f t="shared" si="4"/>
        <v>45305.423955999999</v>
      </c>
      <c r="AE276" s="3">
        <f>2902+(1127.3-1041.5)+(0+(0-0))+0-784.1-0</f>
        <v>2203.7000000000003</v>
      </c>
    </row>
    <row r="277" spans="1:31" s="2" customFormat="1" x14ac:dyDescent="0.25">
      <c r="A277">
        <v>89</v>
      </c>
      <c r="B277">
        <v>10</v>
      </c>
      <c r="C277">
        <v>1</v>
      </c>
      <c r="D277">
        <v>5</v>
      </c>
      <c r="E277">
        <v>1</v>
      </c>
      <c r="F277" s="3">
        <f>2720.8+(365.7-748.4)+(1.387608+(0.186507-0.381684))+0-614.4-0.313343999999938</f>
        <v>1724.5790870000003</v>
      </c>
      <c r="G277" s="3">
        <f>2338.9+(376.9-538.1)+(-3.578517+(-0.576657--0.823293))+0-578.5--0.885105000000033</f>
        <v>1596.7532239999998</v>
      </c>
      <c r="H277" s="3">
        <f>2352.2+(428.3-554.1)+(-2.399244+(-0.436866--0.565182))+0-636.2--0.648924000000102</f>
        <v>1588.5779959999998</v>
      </c>
      <c r="I277" s="3">
        <f>2509.8+(414-736.8)+(-1.279998+(-0.21114--0.375768))+0-630.8--0.321707999999936</f>
        <v>1555.406338</v>
      </c>
      <c r="J277" s="3">
        <f>2385.9+(417-599.6)+(-1.216809+(-0.21267--0.305796))+0-692--0.35291999999993</f>
        <v>1510.5292370000004</v>
      </c>
      <c r="K277" s="3">
        <f>2521.4+(336.9-627.7)+(0+(0-0))+0-638.4-0</f>
        <v>1592.1999999999998</v>
      </c>
      <c r="L277" s="3">
        <f>2681.3+(175-557.7)+(-6.837315+(-0.44625--1.422135))+0-653.5--1.66642499999991</f>
        <v>1640.9049950000003</v>
      </c>
      <c r="M277" s="3">
        <f>2938.4+(161.3-691.3)+(-1.498584+(-0.082263--0.352563))+0-626--0.319259999999936</f>
        <v>1781.4909760000003</v>
      </c>
      <c r="N277" s="3">
        <f>3004.8+(188.8-747.1)+(1.532448+(0.096288-0.381021))+0-570.4-0.290903999999942</f>
        <v>1877.0568109999999</v>
      </c>
      <c r="O277" s="3">
        <f>2986.3+(387.6-783.5)+(1.523013+(0.197676-0.399585))+0-605.3-0.308702999999939</f>
        <v>1986.1124010000003</v>
      </c>
      <c r="P277" s="3">
        <f>2924.5+(441.2-649.7)+(-4.474485+(-0.675036--0.994041))+0-632.5--0.967725000000037</f>
        <v>2080.3122450000001</v>
      </c>
      <c r="Q277" s="3">
        <f>2836.8+(348.9-618.1)+(-2.893536+(-0.355878--0.630462))+0-533.5--0.544170000000085</f>
        <v>2032.0252180000007</v>
      </c>
      <c r="R277" s="3">
        <f>2793.5+(253.7-525.4)+(-2.84937+(-0.258774--0.535908))+0-594.7--0.606594000000095</f>
        <v>1925.1343580000002</v>
      </c>
      <c r="S277" s="3">
        <f>2608.3+(354-456.1)+(-2.660466+(-0.36108--0.465222))+0-572.8--0.584256000000091</f>
        <v>1931.4279320000003</v>
      </c>
      <c r="T277" s="3">
        <f>2657.9+(294.9-500.2)+(6.777645+(0.751995-1.27551))+0-476.2-1.21430999999993</f>
        <v>1981.4398199999998</v>
      </c>
      <c r="U277" s="3">
        <f>2716.5+(370.5-611.8)+(1.385415+(0.188955-0.312018))+0-507.8-0.258977999999948</f>
        <v>1968.4033740000002</v>
      </c>
      <c r="V277" s="3">
        <f>2691.6+(555-823.5)+(-4.118148+(-0.84915--1.259955))+0-449.3--0.687429000000026</f>
        <v>1970.780086</v>
      </c>
      <c r="W277" s="3">
        <f>2819.4+(986.1-1076.3)+(-1.437894+(-0.502911--0.548913))+0-512.8--0.261527999999948</f>
        <v>2215.269636</v>
      </c>
      <c r="X277" s="3">
        <f>2866.6+(962.5-1102.9)+(-5.847864+(-1.9635--2.249916))+0-530.7--1.08262799999998</f>
        <v>2191.0211799999997</v>
      </c>
      <c r="Y277" s="3">
        <f>2861.1+(823.4-1080.3)+(-7.295805+(-2.09967--2.754765))+0-498.1--1.27015499999993</f>
        <v>2100.7294449999995</v>
      </c>
      <c r="Z277" s="3">
        <f>2851.6+(778.8-1060.3)+(-4.362948+(-1.191564--1.622259))+0-554.2--0.847926000000032</f>
        <v>2012.8156730000001</v>
      </c>
      <c r="AA277" s="3">
        <f>2855.1+(579-949)+(0+(0-0))+0-470.1-0</f>
        <v>2015</v>
      </c>
      <c r="AB277" s="3">
        <f>2830.1+(461.1-750.7)+(-7.216755+(-1.175805--1.914285))+0-607.5--1.54912499999991</f>
        <v>1928.0708500000001</v>
      </c>
      <c r="AC277" s="3">
        <f>2620.4+(508.2-711.4)+(-4.009212+(-0.777546--1.088442))+0-635.9--0.972927000000037</f>
        <v>1778.5746110000002</v>
      </c>
      <c r="AD277">
        <f t="shared" si="4"/>
        <v>44984.615493000005</v>
      </c>
      <c r="AE277" s="3">
        <f>2861+(1164.2-1137.1)+(0+(0-0))+0-552.6-0</f>
        <v>2335.5000000000005</v>
      </c>
    </row>
    <row r="278" spans="1:31" s="2" customFormat="1" x14ac:dyDescent="0.25">
      <c r="A278">
        <v>89</v>
      </c>
      <c r="B278">
        <v>10</v>
      </c>
      <c r="C278">
        <v>2</v>
      </c>
      <c r="D278">
        <v>6</v>
      </c>
      <c r="E278">
        <v>1</v>
      </c>
      <c r="F278" s="3">
        <f>2394.2+(442-577.6)+(-6.10521+(-1.1271--1.47288))+0-622.1--1.58635499999991</f>
        <v>1632.3269249999998</v>
      </c>
      <c r="G278" s="3">
        <f>2207.3+(432.9-428.7)+(0+(0-0))+0-641.5-0</f>
        <v>1570</v>
      </c>
      <c r="H278" s="3">
        <f>2199.1+(374.7-462.5)+(-5.607705+(-0.955485--1.179375))+0-581.6--1.48307999999992</f>
        <v>1525.7992649999997</v>
      </c>
      <c r="I278" s="3">
        <f>2213.1+(328.7-448.6)+(1.128681+(0.167637-0.228786))+0-562.9-0.287078999999943</f>
        <v>1531.0804529999998</v>
      </c>
      <c r="J278" s="3">
        <f>2326.4+(363.2-547.8)+(3.559392+(0.555696-0.838134))+0-597.2-0.913716000000035</f>
        <v>1546.963238</v>
      </c>
      <c r="K278" s="3">
        <f>2355.3+(431.6-467.5)+(4.804812+(0.880464-0.9537))+0-764.1-1.55876399999997</f>
        <v>1558.4728120000004</v>
      </c>
      <c r="L278" s="3">
        <f>2501.7+(223.9-470.1)+(6.379335+(0.570945-1.198755))+0-616.9-1.57309499999991</f>
        <v>1642.7784300000001</v>
      </c>
      <c r="M278" s="3">
        <f>2638+(224.1-505.4)+(-1.34538+(-0.114291--0.257754))+0-643.6--0.328235999999935</f>
        <v>1712.2263189999999</v>
      </c>
      <c r="N278" s="3">
        <f>2797.1+(322.3-557.7)+(-2.853042+(-0.328746--0.568854))+0-676.8--0.690336000000108</f>
        <v>1882.9774019999998</v>
      </c>
      <c r="O278" s="3">
        <f>2830.1+(360.7-485.9)+(-1.443351+(-0.183957--0.247809))+0-718.9--0.366638999999927</f>
        <v>1984.9871399999997</v>
      </c>
      <c r="P278" s="3">
        <f>2597.7+(477.3-343.6)+(2.649654+(0.486846-0.350472))+0-701.1-0.715122000000112</f>
        <v>2032.3709059999996</v>
      </c>
      <c r="Q278" s="3">
        <f>2591.1+(480.6-295.2)+(-1.321461+(-0.245106--0.150552))+0-707.4--0.360773999999928</f>
        <v>2068.0447589999999</v>
      </c>
      <c r="R278" s="3">
        <f>2533+(369.8-256.6)+(-3.87549+(-0.565794--0.392598))+0-648.2--0.991746000000038</f>
        <v>1994.9430599999998</v>
      </c>
      <c r="S278" s="3">
        <f>2510.4+(344.7-243.9)+(-2.560608+(-0.351594--0.248778))+0-622.1--0.634542000000099</f>
        <v>1987.0711180000005</v>
      </c>
      <c r="T278" s="3">
        <f>2542.6+(391.5-273.5)+(-1.296726+(-0.199665--0.139485))+0-755.5--0.385304999999923</f>
        <v>1904.1283989999999</v>
      </c>
      <c r="U278" s="3">
        <f>2686.2+(311.1-501.1)+(2.739924+(0.317322-0.511122))+0-656.8-0.669936000000105</f>
        <v>1841.2761879999998</v>
      </c>
      <c r="V278" s="3">
        <f>2755.3+(374.3-473.1)+(-4.215609+(-0.572679--0.723843))+0-678.8--1.03856400000004</f>
        <v>1974.674119</v>
      </c>
      <c r="W278" s="3">
        <f>2844.3+(777.6-662)+(-4.351779+(-1.189728--1.01286))+0-753.2--1.15239600000004</f>
        <v>2203.3237489999997</v>
      </c>
      <c r="X278" s="3">
        <f>2856.6+(787.8-669.5)+(-2.913732+(-0.803556--0.68289))+0-768.6--0.783972000000123</f>
        <v>2204.0495740000001</v>
      </c>
      <c r="Y278" s="3">
        <f>2849.6+(546.1-564.3)+(-1.453296+(-0.278511--0.287793))+0-737.7--0.376226999999925</f>
        <v>2092.6322129999999</v>
      </c>
      <c r="Z278" s="3">
        <f>2851.9+(359.1-500.3)+(-1.454469+(-0.183141--0.255153))+0-746.6--0.380765999999924</f>
        <v>1963.0983090000002</v>
      </c>
      <c r="AA278" s="3">
        <f>2852.4+(241.8-485.3)+(-8.728344+(-0.739908--1.485018))+0-689.7--2.11048200000008</f>
        <v>1913.3272480000003</v>
      </c>
      <c r="AB278" s="3">
        <f>2832.1+(113-538.2)+(-4.333113+(-0.17289--0.823446))+0-537.1--0.821763000000031</f>
        <v>1866.9392059999996</v>
      </c>
      <c r="AC278" s="3">
        <f>2749.2+(140.5-557.1)+(-4.206276+(-0.214965--0.852363))+0-564.2--0.863226000000033</f>
        <v>1765.6943479999998</v>
      </c>
      <c r="AD278">
        <f t="shared" si="4"/>
        <v>44399.18518</v>
      </c>
      <c r="AE278" s="3">
        <f>2861+(1003.6-882.2)+(0+(0-0))+0-857.3-0</f>
        <v>2125.1000000000004</v>
      </c>
    </row>
    <row r="279" spans="1:31" s="2" customFormat="1" x14ac:dyDescent="0.25">
      <c r="A279">
        <v>89</v>
      </c>
      <c r="B279">
        <v>10</v>
      </c>
      <c r="C279">
        <v>3</v>
      </c>
      <c r="D279">
        <v>7</v>
      </c>
      <c r="E279">
        <v>1</v>
      </c>
      <c r="F279" s="3">
        <f>2621.8+(333.7-663.3)+(0+(0-0))+0-723.3-0</f>
        <v>1568.9000000000003</v>
      </c>
      <c r="G279" s="3">
        <f>2545.9+(327.7-656.5)+(-6.492045+(-0.835635--1.674075))+0-644.4--1.64321999999991</f>
        <v>1568.6896149999998</v>
      </c>
      <c r="H279" s="3">
        <f>2306.3+(329.8-433.6)+(2.352426+(0.336396-0.442272))+0-739.9-0.754698000000118</f>
        <v>1464.0918519999996</v>
      </c>
      <c r="I279" s="3">
        <f>2220.4+(259.6-465.1)+(0+(0-0))+0-682.2-0</f>
        <v>1332.7</v>
      </c>
      <c r="J279" s="3">
        <f>2219.9+(280.3-414.2)+(0+(0-0))+0-749.3-0</f>
        <v>1336.7</v>
      </c>
      <c r="K279" s="3">
        <f>2220.3+(264.5-368.1)+(-1.132353+(-0.134895--0.187731))+0-715--0.364649999999927</f>
        <v>1400.9851330000001</v>
      </c>
      <c r="L279" s="3">
        <f>2170.1+(302.8-361.1)+(-1.106751+(-0.154428--0.184161))+0-667--0.340169999999932</f>
        <v>1444.0631519999997</v>
      </c>
      <c r="M279" s="3">
        <f>2150.4+(314.5-355.4)+(-5.48352+(-0.801975--0.90627))+0-701.5--1.7888249999999</f>
        <v>1404.4095999999997</v>
      </c>
      <c r="N279" s="3">
        <f>1958.4+(365.4-312.8)+(1.997568+(0.372708-0.319056))+0-560.2-0.571404000000089</f>
        <v>1452.279816</v>
      </c>
      <c r="O279" s="3">
        <f>1952.1+(561.6-333)+(0.995571+(0.286416-0.16983))+0-647.7-0.330326999999934</f>
        <v>1533.7818299999999</v>
      </c>
      <c r="P279" s="3">
        <f>2313.8+(388.4-381)+(-7.080228+(-1.188504--1.16586))+0-628.1--1.92198600000007</f>
        <v>1687.9191140000005</v>
      </c>
      <c r="Q279" s="3">
        <f>2390.4+(345.3-394.1)+(-2.438208+(-0.352206--0.401982))+0-712.8--0.727056000000114</f>
        <v>1627.1386239999999</v>
      </c>
      <c r="R279" s="3">
        <f>2405.5+(332.1-415.2)+(-2.45361+(-0.338742--0.423504))+0-733.1--0.747762000000117</f>
        <v>1587.6789140000003</v>
      </c>
      <c r="S279" s="3">
        <f>2410.1+(312-449.7)+(-4.916604+(-0.63648--0.917388))+0-719.7--1.46818799999997</f>
        <v>1549.5324920000003</v>
      </c>
      <c r="T279" s="3">
        <f>2378.8+(263.5-443.4)+(-6.06594+(-0.671925--1.13067))+0-658.8--1.6799399999999</f>
        <v>1536.1727450000001</v>
      </c>
      <c r="U279" s="3">
        <f>2331.7+(298-420.7)+(0+(0-0))+0-690.2-0</f>
        <v>1518.8</v>
      </c>
      <c r="V279" s="3">
        <f>2362.2+(302.4-378.3)+(-1.204722+(-0.154224--0.192933))+0-731.8--0.373217999999926</f>
        <v>1553.7072049999997</v>
      </c>
      <c r="W279" s="3">
        <f>2492.8+(422.3-451.6)+(-1.271328+(-0.215373--0.230316))+0-702.5--0.358274999999929</f>
        <v>1760.1018899999997</v>
      </c>
      <c r="X279" s="3">
        <f>2550.6+(393.9-390.2)+(-6.50403+(-1.004445--0.99501))+0-752.1--1.91785499999989</f>
        <v>1797.6043899999997</v>
      </c>
      <c r="Y279" s="3">
        <f>2549.3+(366.3-441)+(1.300143+(0.186813-0.22491))+0-704.7-0.359396999999929</f>
        <v>1770.8026490000002</v>
      </c>
      <c r="Z279" s="3">
        <f>2548.1+(410.3-540.2)+(1.299531+(0.209253-0.275502))+0-690.7-0.35225699999993</f>
        <v>1728.3810249999999</v>
      </c>
      <c r="AA279" s="3">
        <f>2548.1+(372.4-557.2)+(0+(0-0))+0-597.7-0</f>
        <v>1765.5999999999997</v>
      </c>
      <c r="AB279" s="3">
        <f>2495.5+(314.9-475.4)+(-3.818115+(-0.481797--0.727362))+0-626--0.957780000000036</f>
        <v>1706.3852300000001</v>
      </c>
      <c r="AC279" s="3">
        <f>2401.5+(292.3-409.7)+(-2.44953+(-0.298146--0.417894))+0-669.3--0.682686000000107</f>
        <v>1613.1529040000003</v>
      </c>
      <c r="AD279">
        <f t="shared" si="4"/>
        <v>37709.578179999997</v>
      </c>
      <c r="AE279" s="3">
        <f>2536+(582.7-423.4)+(0+(0-0))+0-859.3-0</f>
        <v>1836.0000000000002</v>
      </c>
    </row>
    <row r="280" spans="1:31" s="2" customFormat="1" x14ac:dyDescent="0.25">
      <c r="A280">
        <v>89</v>
      </c>
      <c r="B280">
        <v>10</v>
      </c>
      <c r="C280">
        <v>4</v>
      </c>
      <c r="D280">
        <v>1</v>
      </c>
      <c r="E280">
        <v>1</v>
      </c>
      <c r="F280" s="3">
        <f>2217.2+(255.5-404.7)+(-4.523088+(-0.52122--0.825588))+0-578.3--1.17973199999997</f>
        <v>1486.6610120000003</v>
      </c>
      <c r="G280" s="3">
        <f>2023+(520.2-361.8)+(0+(0-0))+0-732.3-0</f>
        <v>1449.1000000000001</v>
      </c>
      <c r="H280" s="3">
        <f>1937+(557.8-385.9)+(-2.96361+(-0.853434--0.590427))+0-675.8--1.03397400000004</f>
        <v>1430.9073570000003</v>
      </c>
      <c r="I280" s="3">
        <f>1862.3+(636.2-401)+(2.849319+(0.973386-0.61353))+0-695.8-1.06457400000004</f>
        <v>1403.844601</v>
      </c>
      <c r="J280" s="3">
        <f>1866.7+(735.4-404)+(-0.952017+(-0.375054--0.20604))+0-759.1--0.387140999999923</f>
        <v>1438.2661099999998</v>
      </c>
      <c r="K280" s="3">
        <f>1867.2+(724.6-423.6)+(3.809088+(1.478184-0.864144))+0-706-1.44023999999997</f>
        <v>1465.1828879999998</v>
      </c>
      <c r="L280" s="3">
        <f>1992.5+(691.7-516.1)+(1.016175+(0.352767-0.263211))+0-620.8-0.316607999999937</f>
        <v>1548.0891230000002</v>
      </c>
      <c r="M280" s="3">
        <f>2192.5+(594.6-638.8)+(-3.354525+(-0.909738--0.977364))+0-538.6--0.824058000000031</f>
        <v>1607.237159</v>
      </c>
      <c r="N280" s="3">
        <f>2489.1+(516.6-675.2)+(-3.808323+(-0.790398--1.033056))+0-540.9--0.827577000000031</f>
        <v>1786.8619119999998</v>
      </c>
      <c r="O280" s="3">
        <f>2478.4+(724.7-527.6)+(1.263984+(0.369597-0.269076))+0-702-0.358019999999929</f>
        <v>1974.5064850000001</v>
      </c>
      <c r="P280" s="3">
        <f>2504.4+(683.1-592.4)+(-3.831732+(-1.045143--0.906372))+0-598.5--0.915705000000035</f>
        <v>1993.5452020000005</v>
      </c>
      <c r="Q280" s="3">
        <f>2589.6+(588.5-610.7)+(-5.282784+(-1.20054--1.245828))+0-534.1--1.08956399999998</f>
        <v>2029.1520679999994</v>
      </c>
      <c r="R280" s="3">
        <f>2605.5+(414.7-745.4)+(-7.97283+(-1.268982--2.280924))+17.6-400.4--1.22522400000005</f>
        <v>1886.264336</v>
      </c>
      <c r="S280" s="3">
        <f>2637+(517.6-681.2)+(-4.03461+(-0.791928--1.042236))+4.8-598.4--0.915552000000035</f>
        <v>1876.9312500000001</v>
      </c>
      <c r="T280" s="3">
        <f>2658.8+(472.9-655.1)+(-5.423952+(-0.964716--1.336404))+0-556.1--1.13444399999998</f>
        <v>1916.5821800000006</v>
      </c>
      <c r="U280" s="3">
        <f>2588.5+(463.6-593.3)+(0+(0-0))+0-560.9-0</f>
        <v>1897.9</v>
      </c>
      <c r="V280" s="3">
        <f>2611.5+(508.3-634.7)+(-7.99119+(-1.555398--1.942182))+0-550.1--1.68330600000006</f>
        <v>1929.0789000000002</v>
      </c>
      <c r="W280" s="3">
        <f>2692.9+(779.5-708)+(-2.746758+(-0.79509--0.72216))+0-623.6--0.636072000000099</f>
        <v>2138.6163840000004</v>
      </c>
      <c r="X280" s="3">
        <f>2710.1+(757.8-737.2)+(-5.528604+(-1.545912--1.503888))+0-588.2--1.19992799999997</f>
        <v>2138.1292999999996</v>
      </c>
      <c r="Y280" s="3">
        <f>2699.8+(780.2-762.5)+(-1.376898+(-0.397902--0.388875))+0-678.9--0.346238999999931</f>
        <v>2037.5603139999998</v>
      </c>
      <c r="Z280" s="3">
        <f>2642.8+(846.2-869)+(-4.043484+(-1.294686--1.32957))+0-671.6--1.02754800000004</f>
        <v>1945.418948</v>
      </c>
      <c r="AA280" s="3">
        <f>2615.4+(764.1-729.8)+(-5.335416+(-1.558764--1.488792))+0-710.7--1.44982799999997</f>
        <v>1935.0444400000001</v>
      </c>
      <c r="AB280" s="3">
        <f>2600.1+(587-620.7)+(-3.978153+(-0.89811--0.949671))+0-676.1--1.03443300000004</f>
        <v>1887.407841</v>
      </c>
      <c r="AC280" s="3">
        <f>2430.9+(511-409.9)+(-2.479518+(-0.52122--0.418098))+0-692.4--0.70624800000011</f>
        <v>1837.723608</v>
      </c>
      <c r="AD280">
        <f t="shared" si="4"/>
        <v>43040.011418000002</v>
      </c>
      <c r="AE280" s="3">
        <f>2702+(860.3-687.6)+(0+(0-0))+0-628.3-0</f>
        <v>2246.3999999999996</v>
      </c>
    </row>
    <row r="281" spans="1:31" s="2" customFormat="1" x14ac:dyDescent="0.25">
      <c r="A281">
        <v>89</v>
      </c>
      <c r="B281">
        <v>10</v>
      </c>
      <c r="C281">
        <v>5</v>
      </c>
      <c r="D281">
        <v>2</v>
      </c>
      <c r="E281">
        <v>1</v>
      </c>
      <c r="F281" s="3">
        <f>2315.9+(418.7-438.8)+(-1.181109+(-0.213537--0.223788))+0-726.4--0.370463999999926</f>
        <v>1568.599606</v>
      </c>
      <c r="G281" s="3">
        <f>2405.1+(298.8-435.8)+(-1.226601+(-0.152388--0.222258))+0-708.5--0.361334999999928</f>
        <v>1558.8046039999997</v>
      </c>
      <c r="H281" s="3">
        <f>2299.8+(287.4-324)+(-3.518694+(-0.439722--0.49572))+0-751.3--1.14948900000004</f>
        <v>1509.5867930000004</v>
      </c>
      <c r="I281" s="3">
        <f>2281.6+(246.4-321)+(-2.327232+(-0.251328--0.32742))+0-687.9--0.70165800000011</f>
        <v>1517.5505180000002</v>
      </c>
      <c r="J281" s="3">
        <f>2267.1+(306.8-323.8)+(3.468663+(0.469404-0.495414))+0-745.2-1.14015600000004</f>
        <v>1507.202497</v>
      </c>
      <c r="K281" s="3">
        <f>2326.1+(309.8-372.7)+(2.372622+(0.315996-0.380154))+0-730.7-0.745314000000117</f>
        <v>1534.06315</v>
      </c>
      <c r="L281" s="3">
        <f>2435.4+(329-490.1)+(-1.242054+(-0.16779--0.249951))+0-668.2--0.340781999999932</f>
        <v>1605.2808890000001</v>
      </c>
      <c r="M281" s="3">
        <f>2580.6+(451.5-586.2)+(-2.632212+(-0.46053--0.597924))+0-740.9--0.755718000000118</f>
        <v>1703.2608999999995</v>
      </c>
      <c r="N281" s="3">
        <f>2692.2+(398.3-562.4)+(-6.86511+(-1.015665--1.43412))+0-623.4--1.58966999999991</f>
        <v>1899.8430149999995</v>
      </c>
      <c r="O281" s="3">
        <f>2677+(589.3-498.8)+(-4.09581+(-0.901629--0.763164))+0-750.6--1.14841800000004</f>
        <v>2013.8141430000003</v>
      </c>
      <c r="P281" s="3">
        <f>2658.3+(530.9-514.9)+(1.355733+(0.270759-0.262599))+0-625.2-0.318851999999937</f>
        <v>2050.1450410000002</v>
      </c>
      <c r="Q281" s="3">
        <f>2660+(628.1-552)+(-4.0698+(-0.960993--0.84456))+0-657--1.00521000000004</f>
        <v>2075.9189770000003</v>
      </c>
      <c r="R281" s="3">
        <f>2663.2+(501.4-519.9)+(-4.074696+(-0.767142--0.795447))+0-704.8--1.07834400000004</f>
        <v>1936.931953</v>
      </c>
      <c r="S281" s="3">
        <f>2663.5+(467.3-543.4)+(4.075155+(0.714969-0.831402))+0-643.6-0.984708000000037</f>
        <v>1946.7740140000001</v>
      </c>
      <c r="T281" s="3">
        <f>2692.5+(389.2-472.7)+(-5.4927+(-0.793968--0.964308))+0-635.5--1.29641999999997</f>
        <v>1969.4740599999998</v>
      </c>
      <c r="U281" s="3">
        <f>2729.5+(358.3-528.1)+(0+(0-0))+0-619.2-0</f>
        <v>1940.4999999999998</v>
      </c>
      <c r="V281" s="3">
        <f>2770.3+(325.9-361.1)+(-2.825706+(-0.332418--0.368322))+0-669.1--0.682482000000107</f>
        <v>2063.8926800000008</v>
      </c>
      <c r="W281" s="3">
        <f>2987.4+(789.8-864.6)+(-3.047148+(-0.805596--0.881892))+0-742.8--0.757656000000118</f>
        <v>2167.586804</v>
      </c>
      <c r="X281" s="3">
        <f>3025.6+(826.7-920.5)+(-9.258336+(-2.529702--2.81673))+0-772.6--2.36415600000009</f>
        <v>2152.5928480000002</v>
      </c>
      <c r="Y281" s="3">
        <f>3014.7+(504.1-728.4)+(1.537497+(0.257091-0.371484))+0-727.1-0.370820999999926</f>
        <v>2064.3522829999997</v>
      </c>
      <c r="Z281" s="3">
        <f>3019.5+(339.3-572.4)+(-4.619835+(-0.519129--0.875772))+0-821.1--1.25628300000005</f>
        <v>1962.2930910000002</v>
      </c>
      <c r="AA281" s="3">
        <f>3010.9+(199.6-598.4)+(-6.142236+(-0.407184--1.220736))+0-656--1.33823999999997</f>
        <v>1952.1095560000003</v>
      </c>
      <c r="AB281" s="3">
        <f>2933.9+(372.4-686.6)+(-1.496289+(-0.189924--0.350166))+0-693.8--0.35383799999993</f>
        <v>1924.9177910000001</v>
      </c>
      <c r="AC281" s="3">
        <f>2919.6+(301.8-688.6)+(-13.400964+(-1.385262--3.160674))+0-658.7--3.02343300000011</f>
        <v>1865.4978809999998</v>
      </c>
      <c r="AD281">
        <f t="shared" si="4"/>
        <v>44490.993093999998</v>
      </c>
      <c r="AE281" s="3">
        <f>3012+(1004.6-881.5)+(0+(0-0))+0-895.1-0</f>
        <v>2240</v>
      </c>
    </row>
    <row r="282" spans="1:31" s="2" customFormat="1" x14ac:dyDescent="0.25">
      <c r="A282">
        <v>89</v>
      </c>
      <c r="B282">
        <v>10</v>
      </c>
      <c r="C282">
        <v>6</v>
      </c>
      <c r="D282">
        <v>3</v>
      </c>
      <c r="E282">
        <v>1</v>
      </c>
      <c r="F282" s="3">
        <f>2609.8+(234-478.9)+(-5.323992+(-0.47736--0.976956))+0-774.9--1.58079599999997</f>
        <v>1586.7564</v>
      </c>
      <c r="G282" s="3">
        <f>2609.3+(154-489.3)+(-1.330743+(-0.07854--0.249543))+0-693.7--0.35378699999993</f>
        <v>1579.4940469999999</v>
      </c>
      <c r="H282" s="3">
        <f>2617.8+(166.7-526.7)+(-2.670156+(-0.170034--0.537234))+0-745.5--0.760410000000119</f>
        <v>1510.7574540000003</v>
      </c>
      <c r="I282" s="3">
        <f>2639.1+(189.5-538.1)+(1.345941+(0.096645-0.274431))+0-782.8-0.399227999999921</f>
        <v>1508.4689269999999</v>
      </c>
      <c r="J282" s="3">
        <f>2715+(212.8-662.5)+(-4.15395+(-0.325584--1.013625))+0-761.9--1.16570700000004</f>
        <v>1501.0997980000002</v>
      </c>
      <c r="K282" s="3">
        <f>2713.4+(271.2-703.8)+(4.151502+(0.414936-1.076814))+0-742.8-1.13648400000004</f>
        <v>1540.3531399999999</v>
      </c>
      <c r="L282" s="3">
        <f>2779.3+(312.5-918.3)+(-1.417443+(-0.159375--0.468333))+0-549--0.279989999999944</f>
        <v>1623.6715049999998</v>
      </c>
      <c r="M282" s="3">
        <f>2952+(295.4-892.8)+(3.01104+(0.301308-0.910656))+0-616.1-0.628422000000098</f>
        <v>1740.2732699999999</v>
      </c>
      <c r="N282" s="3">
        <f>2999.6+(388.5-844.9)+(0+(0-0))+0-628.7-0</f>
        <v>1914.4999999999998</v>
      </c>
      <c r="O282" s="3">
        <f>2983.9+(507-722)+(-4.565367+(-0.77571--1.10466))+0-625.9--0.957627000000036</f>
        <v>2139.7212100000002</v>
      </c>
      <c r="P282" s="3">
        <f>2984.6+(459.8-625.7)+(-4.566438+(-0.703494--0.957321))+0-498.6--0.762858000000029</f>
        <v>2316.5502470000001</v>
      </c>
      <c r="Q282" s="3">
        <f>2982.8+(310.9-616.6)+(-1.521228+(-0.158559--0.314466))+0-572.3--0.291872999999942</f>
        <v>2103.7265520000001</v>
      </c>
      <c r="R282" s="3">
        <f>2893.9+(97.1-673.8)+(-4.427667+(-0.148563--1.030914))+0-390.9--0.598077000000023</f>
        <v>1923.3527610000001</v>
      </c>
      <c r="S282" s="3">
        <f>2917.4+(147.6-656.1)+(-4.463622+(-0.225828--1.003833))+0-481.4--0.736542000000028</f>
        <v>1924.550925</v>
      </c>
      <c r="T282" s="3">
        <f>2966.7+(112.4-649)+(-1.513017+(-0.057324--0.33099))+0-475.9--0.242708999999952</f>
        <v>1953.2033579999995</v>
      </c>
      <c r="U282" s="3">
        <f>2977.4+(276.2-603.2)+(4.555422+(0.422586-0.922896))+0-675.4-1.03336200000004</f>
        <v>1978.0217499999999</v>
      </c>
      <c r="V282" s="3">
        <f>2982.9+(241.3-717.6)+(-6.085116+(-0.492252--1.463904))+0-530.9--1.08303599999998</f>
        <v>1971.6695719999998</v>
      </c>
      <c r="W282" s="3">
        <f>3004.3+(643.3-925.5)+(-4.596579+(-0.984249--1.416015))+0-579.6--0.886788000000034</f>
        <v>2139.2219750000008</v>
      </c>
      <c r="X282" s="3">
        <f>3010+(809-1077.5)+(-1.5351+(-0.41259--0.549525))+0-592.2--0.30202199999994</f>
        <v>2148.2038569999995</v>
      </c>
      <c r="Y282" s="3">
        <f>3004.8+(612.4-963.7)+(-1.532448+(-0.312324--0.491487))+0-594.4--0.30314399999994</f>
        <v>2058.0498589999997</v>
      </c>
      <c r="Z282" s="3">
        <f>3010+(391.3-851.1)+(-3.0702+(-0.399126--0.868122))+0-597--0.608940000000095</f>
        <v>1951.2077359999998</v>
      </c>
      <c r="AA282" s="3">
        <f>3008.9+(293.5-722.7)+(-1.534539+(-0.149685--0.368577))+0-620.4--0.316403999999937</f>
        <v>1958.3007569999997</v>
      </c>
      <c r="AB282" s="3">
        <f>2907.6+(259.7-641.5)+(-2.965752+(-0.264894--0.65433))+0-653.8--0.666876000000104</f>
        <v>1870.0905599999996</v>
      </c>
      <c r="AC282" s="3">
        <f>2704+(174.3-604.8)+(-2.75808+(-0.177786--0.616896))+0-549.4--0.560388000000088</f>
        <v>1722.3414180000002</v>
      </c>
      <c r="AD282">
        <f t="shared" si="4"/>
        <v>44663.587077999997</v>
      </c>
      <c r="AE282" s="3">
        <f>3000+(684.7-1035.8)+(0+(0-0))+0-458.8-0</f>
        <v>2190.1</v>
      </c>
    </row>
    <row r="283" spans="1:31" s="2" customFormat="1" x14ac:dyDescent="0.25">
      <c r="A283">
        <v>89</v>
      </c>
      <c r="B283">
        <v>10</v>
      </c>
      <c r="C283">
        <v>7</v>
      </c>
      <c r="D283">
        <v>4</v>
      </c>
      <c r="E283">
        <v>1</v>
      </c>
      <c r="F283" s="3">
        <f>2675.4+(153.8-583.7)+(-6.82227+(-0.39219--1.488435))+0-678.2--1.7294099999999</f>
        <v>1563.3033849999999</v>
      </c>
      <c r="G283" s="3">
        <f>2633.5+(113.8-528.1)+(0+(0-0))+0-663.6-0</f>
        <v>1555.6</v>
      </c>
      <c r="H283" s="3">
        <f>2599.4+(130.6-497.4)+(-2.651388+(-0.133212--0.507348))+0-714.8--0.729096000000114</f>
        <v>1516.2518440000006</v>
      </c>
      <c r="I283" s="3">
        <f>2540.9+(229.4-472.3)+(0+(0-0))+0-756.8-0</f>
        <v>1541.2</v>
      </c>
      <c r="J283" s="3">
        <f>2541+(163.7-508.8)+(1.29591+(0.083487-0.259488))+0-696.5-0.355214999999929</f>
        <v>1500.1646940000003</v>
      </c>
      <c r="K283" s="3">
        <f>2638.5+(158.3-493.3)+(0+(0-0))+0-696.5-0</f>
        <v>1607</v>
      </c>
      <c r="L283" s="3">
        <f>2681.3+(247-530.3)+(-2.734926+(-0.25194--0.540906))+0-736.6--0.751332000000117</f>
        <v>1659.7053720000001</v>
      </c>
      <c r="M283" s="3">
        <f>2782.4+(226.4-681.6)+(-1.419024+(-0.115464--0.347616))+0-685--0.34934999999993</f>
        <v>1641.3624779999996</v>
      </c>
      <c r="N283" s="3">
        <f>2944.7+(263.2-784.2)+(10.512579+(0.939624-2.799594))+0-689.6-2.46187200000001</f>
        <v>1740.290737</v>
      </c>
      <c r="O283" s="3">
        <f>2839.9+(410.5-680.4)+(0+(0-0))+0-628.2-0</f>
        <v>1941.8</v>
      </c>
      <c r="P283" s="3">
        <f>2743.4+(488.3-524.6)+(-2.798268+(-0.498066--0.535092))+0-667.2--0.680544000000106</f>
        <v>2037.8193019999999</v>
      </c>
      <c r="Q283" s="3">
        <f>2736.1+(468.7-650.7)+(-2.790822+(-0.478074--0.663714))+0-541.4--0.552228000000086</f>
        <v>2010.647046</v>
      </c>
      <c r="R283" s="3">
        <f>2731.9+(246.9-521.8)+(-4.179807+(-0.377757--0.798354))+0-550.1--0.841653000000032</f>
        <v>1903.9824429999999</v>
      </c>
      <c r="S283" s="3">
        <f>2736.4+(139.3-406.7)+(-5.582256+(-0.284172--0.829668))+0-551.7--1.12546799999998</f>
        <v>1913.388708</v>
      </c>
      <c r="T283" s="3">
        <f>2752.5+(300.1-427.3)+(4.211325+(0.459153-0.653769))+0-564.7-0.863991000000033</f>
        <v>2063.7527179999997</v>
      </c>
      <c r="U283" s="3">
        <f>2711.3+(202.1-452.6)+(-5.531052+(-0.412284--0.923304))+0-581.9--1.18707599999997</f>
        <v>1875.0670440000001</v>
      </c>
      <c r="V283" s="3">
        <f>2764.3+(301.5-443.6)+(-2.819586+(-0.30753--0.452472))+0-650.2--0.663204000000104</f>
        <v>1969.9885600000002</v>
      </c>
      <c r="W283" s="3">
        <f>2951.2+(710.9-847.7)+(-1.505112+(-0.362559--0.432327))+0-673.8--0.343637999999932</f>
        <v>2139.5082939999998</v>
      </c>
      <c r="X283" s="3">
        <f>2991.4+(832.3-936.3)+(-4.576842+(-1.273419--1.432539))+0-732--1.11996000000004</f>
        <v>2152.1022379999999</v>
      </c>
      <c r="Y283" s="3">
        <f>2980.8+(477.3-800.1)+(-7.60104+(-1.217115--2.040255))+0-612.9--1.56289499999991</f>
        <v>2039.8849949999997</v>
      </c>
      <c r="Z283" s="3">
        <f>2826.9+(435.4-742.4)+(0+(0-0))+0-555.4-0</f>
        <v>1964.5</v>
      </c>
      <c r="AA283" s="3">
        <f>2826.1+(475.5-724.6)+(-4.323933+(-0.727515--1.108638))+0-610.4--0.933912000000035</f>
        <v>1963.5911019999999</v>
      </c>
      <c r="AB283" s="3">
        <f>2815+(377.7-639.5)+(-4.30695+(-0.577881--0.978435))+0-704.1--1.07727300000004</f>
        <v>1846.2708770000002</v>
      </c>
      <c r="AC283" s="3">
        <f>2791.5+(193.8-613.8)+(-8.54199+(-0.593028--1.878228))+0-625.1--1.91280600000007</f>
        <v>1741.0560160000002</v>
      </c>
      <c r="AD283">
        <f t="shared" si="4"/>
        <v>43888.237853000006</v>
      </c>
      <c r="AE283" s="3">
        <f>2989+(889.1-1077.9)+(0+(0-0))+0-628.5-0</f>
        <v>2171.6999999999998</v>
      </c>
    </row>
    <row r="284" spans="1:31" s="2" customFormat="1" x14ac:dyDescent="0.25">
      <c r="A284">
        <v>89</v>
      </c>
      <c r="B284">
        <v>10</v>
      </c>
      <c r="C284">
        <v>8</v>
      </c>
      <c r="D284">
        <v>5</v>
      </c>
      <c r="E284">
        <v>1</v>
      </c>
      <c r="F284" s="3">
        <f>2790.3+(186-676.3)+(0+(0-0))+0-740.8-0</f>
        <v>1559.2</v>
      </c>
      <c r="G284" s="3">
        <f>2645.6+(299.7-699.8)+(-2.698512+(-0.305694--0.713796))+0-714.3--0.728586000000114</f>
        <v>1529.6381760000002</v>
      </c>
      <c r="H284" s="3">
        <f>2594.7+(281.4-705.5)+(-2.646594+(-0.287028--0.71961))+0-682.6--0.696252000000109</f>
        <v>1486.4822400000003</v>
      </c>
      <c r="I284" s="3">
        <f>2645.1+(376.9-720.6)+(-2.698002+(-0.384438--0.735012))+0-768.3--0.783666000000122</f>
        <v>1531.5362379999997</v>
      </c>
      <c r="J284" s="3">
        <f>2645.6+(200.4-707.1)+(-1.349256+(-0.102204--0.360621))+0-560.4--0.285803999999943</f>
        <v>1577.6949649999995</v>
      </c>
      <c r="K284" s="3">
        <f>2640.4+(174.9-631.5)+(-2.693208+(-0.178398--0.64413))+0-581.4--0.593028000000093</f>
        <v>1600.7655520000001</v>
      </c>
      <c r="L284" s="3">
        <f>2706.2+(102.5-626.2)+(-1.380162+(-0.052275--0.319362))+0-555--0.283049999999944</f>
        <v>1626.6699749999998</v>
      </c>
      <c r="M284" s="3">
        <f>2885.1+(44-777.5)+(-2.942802+(-0.04488--0.79305))+0-446.9--0.455838000000071</f>
        <v>1702.9612059999997</v>
      </c>
      <c r="N284" s="3">
        <f>2902.4+(78.1-557)+(0+(0-0))+0-528.2-0</f>
        <v>1895.3</v>
      </c>
      <c r="O284" s="3">
        <f>2891.4+(199.8-582.4)+(2.949228+(0.203796-0.594048))+0-517.3-0.527646000000082</f>
        <v>1993.53133</v>
      </c>
      <c r="P284" s="3">
        <f>2923.1+(322.7-655.9)+(-1.490781+(-0.164577--0.334509))+0-549--0.279989999999944</f>
        <v>2039.8591409999999</v>
      </c>
      <c r="Q284" s="3">
        <f>2953.5+(519.7-743)+(0+(0-0))+0-574.5-0</f>
        <v>2155.6999999999998</v>
      </c>
      <c r="R284" s="3">
        <f>2929.2+(260-713.4)+(-4.481676+(-0.3978--1.091502))+0-547.5--0.837675000000032</f>
        <v>1925.3497009999999</v>
      </c>
      <c r="S284" s="3">
        <f>2929.5+(209.9-677.4)+(0+(0-0))+0-533.9-0</f>
        <v>1928.1</v>
      </c>
      <c r="T284" s="3">
        <f>2944.2+(239.7-673.7)+(0+(0-0))+0-554.3-0</f>
        <v>1955.8999999999999</v>
      </c>
      <c r="U284" s="3">
        <f>2936.8+(193.5-650.7)+(0+(0-0))+0-543.8-0</f>
        <v>1935.8000000000004</v>
      </c>
      <c r="V284" s="3">
        <f>2944.6+(288.5-717.7)+(-6.006984+(-0.58854--1.464108))+0-580.2--1.18360799999997</f>
        <v>1931.2521919999995</v>
      </c>
      <c r="W284" s="3">
        <f>2968.3+(796.7-1069)+(0+(0-0))+0-573.6-0</f>
        <v>2122.4</v>
      </c>
      <c r="X284" s="3">
        <f>2978.8+(777.5-1076.3)+(-7.59594+(-1.982625--2.744565))+0-542.1--1.38235499999992</f>
        <v>2132.448355</v>
      </c>
      <c r="Y284" s="3">
        <f>2982.5+(531.4-951)+(-12.1686+(-2.168112--3.88008))+0-524.4--2.13955199999995</f>
        <v>2030.18292</v>
      </c>
      <c r="Z284" s="3">
        <f>2992+(581.3-1009.6)+(0+(0-0))+0-621.3-0</f>
        <v>1942.3999999999999</v>
      </c>
      <c r="AA284" s="3">
        <f>2995+(454.3-980.7)+(-3.0549+(-0.463386--1.000314))+0-538.5--0.549270000000086</f>
        <v>1928.1312979999998</v>
      </c>
      <c r="AB284" s="3">
        <f>2984.6+(125.4-737.6)+(-3.044292+(-0.127908--0.752352))+0-517.4--0.527748000000082</f>
        <v>1853.1078999999995</v>
      </c>
      <c r="AC284" s="3">
        <f>2797.4+(110-570.6)+(-7.13337+(-0.2805--1.45503))+0-617.2--1.57385999999991</f>
        <v>1715.2150200000003</v>
      </c>
      <c r="AD284">
        <f t="shared" si="4"/>
        <v>44099.626209000009</v>
      </c>
      <c r="AE284" s="3">
        <f>2980+(903.7-1107.9)+(0+(0-0))+0-604.9-0</f>
        <v>2170.9</v>
      </c>
    </row>
    <row r="285" spans="1:31" s="2" customFormat="1" x14ac:dyDescent="0.25">
      <c r="A285">
        <v>89</v>
      </c>
      <c r="B285">
        <v>10</v>
      </c>
      <c r="C285">
        <v>9</v>
      </c>
      <c r="D285">
        <v>6</v>
      </c>
      <c r="E285">
        <v>1</v>
      </c>
      <c r="F285" s="3">
        <f>2461.1+(168.2-476.4)+(-3.765483+(-0.257346--0.728892))+0-559.7--0.856341000000032</f>
        <v>1590.7624040000001</v>
      </c>
      <c r="G285" s="3">
        <f>2410.3+(217.9-452.9)+(1.229253+(0.111129-0.230979))+0-644.1-0.328490999999935</f>
        <v>1531.9809120000002</v>
      </c>
      <c r="H285" s="3">
        <f>2414.5+(225.3-432)+(-4.92558+(-0.459612--0.88128))+0-706.6--1.44146399999997</f>
        <v>1498.1375520000001</v>
      </c>
      <c r="I285" s="3">
        <f>2291.7+(239.5-370)+(-2.337534+(-0.24429--0.3774))+0-670.6--0.684012000000107</f>
        <v>1489.0795880000001</v>
      </c>
      <c r="J285" s="3">
        <f>2238.4+(250.4-318.5)+(-3.424752+(-0.383112--0.487305))+0-661--1.01133000000004</f>
        <v>1506.9907710000004</v>
      </c>
      <c r="K285" s="3">
        <f>2403.1+(293.9-458.6)+(0+(0-0))+0-721.5-0</f>
        <v>1516.8999999999996</v>
      </c>
      <c r="L285" s="3">
        <f>2555.6+(125.7-524.3)+(-3.910068+(-0.192321--0.802179))+0-577.6--0.883728000000033</f>
        <v>1576.9835180000002</v>
      </c>
      <c r="M285" s="3">
        <f>2493.6+(215.9-392)+(2.543472+(0.220218-0.39984))+0-692.5-0.70635000000011</f>
        <v>1626.6575</v>
      </c>
      <c r="N285" s="3">
        <f>2573.3+(328.7-527.2)+(1.312383+(0.167637-0.268872))+0-584.1-0.297890999999941</f>
        <v>1791.6132570000002</v>
      </c>
      <c r="O285" s="3">
        <f>2574.6+(378-549.8)+(-6.56523+(-0.9639--1.40199))+0-506.6--1.29182999999993</f>
        <v>1891.3646900000001</v>
      </c>
      <c r="P285" s="3">
        <f>2673+(638.2-716)+(0+(0-0))+0-629.9-0</f>
        <v>1965.2999999999997</v>
      </c>
      <c r="Q285" s="3">
        <f>2671.1+(760.6-671.1)+(-2.724522+(-0.775812--0.684522))+0-755.1--0.77020200000012</f>
        <v>2003.4543900000003</v>
      </c>
      <c r="R285" s="3">
        <f>2624.9+(481.1-675.4)+(-5.354796+(-0.981444--1.377816))+0-606.6--1.23746399999997</f>
        <v>1820.2790400000006</v>
      </c>
      <c r="S285" s="3">
        <f>2659.7+(510-667.6)+(-4.069341+(-0.7803--1.021428))+0-687.9--1.05248700000004</f>
        <v>1811.424274</v>
      </c>
      <c r="T285" s="3">
        <f>2507+(427.1-591.7)+(-1.27857+(-0.217821--0.301767))+0-570.5--0.290954999999942</f>
        <v>1770.9963309999998</v>
      </c>
      <c r="U285" s="3">
        <f>2480.2+(513.7-599.2)+(-1.264902+(-0.261987--0.305592))+0-630.4--0.321503999999936</f>
        <v>1763.4002069999997</v>
      </c>
      <c r="V285" s="3">
        <f>2507.3+(660.4-617.4)+(-5.114892+(-1.347216--1.259496))+0-759.6--1.54958399999997</f>
        <v>1787.0469720000001</v>
      </c>
      <c r="W285" s="3">
        <f>2665.3+(916.7-943.4)+(-4.077909+(-1.402551--1.443402))+0-668.9--1.02341700000004</f>
        <v>1966.6863590000005</v>
      </c>
      <c r="X285" s="3">
        <f>2694.9+(967.8-921.4)+(-8.246394+(-2.961468--2.819484))+0-731.2--2.23747200000008</f>
        <v>2003.9490940000001</v>
      </c>
      <c r="Y285" s="3">
        <f>2693.8+(697.1-768.1)+(0+(0-0))+0-702.9-0</f>
        <v>1919.9</v>
      </c>
      <c r="Z285" s="3">
        <f>2692.2+(599.3-740.3)+(-4.119066+(-0.916929--1.132659))+0-704.9--1.07849700000004</f>
        <v>1843.4751609999998</v>
      </c>
      <c r="AA285" s="3">
        <f>2693.3+(556.3-723.2)+(-1.373583+(-0.283713--0.368832))+0-687.8--0.35077799999993</f>
        <v>1837.6623139999999</v>
      </c>
      <c r="AB285" s="3">
        <f>2690.9+(453.8-707.6)+(-5.489436+(-0.925752--1.443504))+0-677.5--1.38209999999997</f>
        <v>1756.0104159999999</v>
      </c>
      <c r="AC285" s="3">
        <f>2671.9+(398.2-801.7)+(-8.176014+(-1.218492--2.453202))+0-603.7--1.84732200000007</f>
        <v>1659.6060180000002</v>
      </c>
      <c r="AD285">
        <f t="shared" si="4"/>
        <v>41929.660768000002</v>
      </c>
      <c r="AE285" s="3">
        <f>2688+(1213.6-909.4)+(0+(0-0))+0-915.9-0</f>
        <v>2076.2999999999997</v>
      </c>
    </row>
    <row r="286" spans="1:31" s="2" customFormat="1" x14ac:dyDescent="0.25">
      <c r="A286">
        <v>89</v>
      </c>
      <c r="B286">
        <v>10</v>
      </c>
      <c r="C286">
        <v>10</v>
      </c>
      <c r="D286">
        <v>7</v>
      </c>
      <c r="E286">
        <v>1</v>
      </c>
      <c r="F286" s="3">
        <f>2479.7+(454.1-403)+(0+(0-0))+0-756.1-0</f>
        <v>1774.6999999999998</v>
      </c>
      <c r="G286" s="3">
        <f>2324.3+(425.3-358)+(-2.370786+(-0.433806--0.36516))+0-692.1--0.70594200000011</f>
        <v>1697.7665100000004</v>
      </c>
      <c r="H286" s="3">
        <f>2132.1+(567.4-302.8)+(0+(0-0))+0-716.5-0</f>
        <v>1680.1999999999998</v>
      </c>
      <c r="I286" s="3">
        <f>2002.4+(562.9-298.9)+(-3.063672+(-0.861237--0.457317))+0-695.5--1.06411500000004</f>
        <v>1568.4965230000003</v>
      </c>
      <c r="J286" s="3">
        <f>1992.8+(456.4-272.4)+(-2.032656+(-0.465528--0.277848))+0-618.7--0.631074000000099</f>
        <v>1556.5107380000004</v>
      </c>
      <c r="K286" s="3">
        <f>2121.6+(514-313.4)+(1.082016+(0.26214-0.159834))+0-765.9-0.390608999999922</f>
        <v>1557.093713</v>
      </c>
      <c r="L286" s="3">
        <f>2133.5+(404.1-326.1)+(0+(0-0))+0-679.7-0</f>
        <v>1531.8</v>
      </c>
      <c r="M286" s="3">
        <f>2162.4+(431.1-382.7)+(-2.205648+(-0.439722--0.390354))+0-734.9--0.749598000000117</f>
        <v>1474.3945820000001</v>
      </c>
      <c r="N286" s="3">
        <f>2423.8+(451.7-517.1)+(-3.708414+(-0.691101--0.791163))+0-739--1.13067000000004</f>
        <v>1616.9223179999999</v>
      </c>
      <c r="O286" s="3">
        <f>2559.5+(480.6-657.1)+(-1.305345+(-0.245106--0.335121))+0-671.8--0.342617999999932</f>
        <v>1710.327288</v>
      </c>
      <c r="P286" s="3">
        <f>2611.7+(522.8-632.9)+(-6.659835+(-1.33314--1.613895))+0-699.2--1.7829599999999</f>
        <v>1797.8038799999997</v>
      </c>
      <c r="Q286" s="3">
        <f>2521+(539.4-555.7)+(1.28571+(0.275094-0.283407))+0-698.2-0.356081999999929</f>
        <v>1807.4213149999996</v>
      </c>
      <c r="R286" s="3">
        <f>2497.7+(558.8-557)+(-2.547654+(-0.569976--0.56814))+0-711.6--0.725832000000114</f>
        <v>1786.0763420000003</v>
      </c>
      <c r="S286" s="3">
        <f>2437.1+(527.3-506.1)+(-7.457526+(-1.613538--1.548666))+0-702.8--2.15056800000008</f>
        <v>1750.1281699999997</v>
      </c>
      <c r="T286" s="3">
        <f>2322+(595.6-446.9)+(2.36844+(0.607512-0.455838))+0-738.3-0.753066000000118</f>
        <v>1734.1670479999996</v>
      </c>
      <c r="U286" s="3">
        <f>2300.7+(580.5-415.5)+(-1.173357+(-0.296055--0.211905))+0-751.8--0.383417999999924</f>
        <v>1713.025911</v>
      </c>
      <c r="V286" s="3">
        <f>2294.5+(556.4-421.3)+(-1.170195+(-0.283764--0.214863))+0-688.6--0.35118599999993</f>
        <v>1740.1120900000001</v>
      </c>
      <c r="W286" s="3">
        <f>2475.7+(859.1-585.9)+(1.262607+(0.438141-0.298809))+0-786.7-0.40121699999992</f>
        <v>1963.2007219999996</v>
      </c>
      <c r="X286" s="3">
        <f>2653.6+(882.6-692.6)+(-4.060008+(-1.350378--1.059678))+0-820.1--1.25475300000005</f>
        <v>2020.404045</v>
      </c>
      <c r="Y286" s="3">
        <f>2776+(638.4-758.7)+(-1.41576+(-0.325584--0.386937))+0-681.9--0.347768999999931</f>
        <v>1972.7933619999999</v>
      </c>
      <c r="Z286" s="3">
        <f>2798.4+(603.4-679.2)+(1.427184+(0.307734-0.346392))+0-787.5-0.40162499999992</f>
        <v>1936.0869010000001</v>
      </c>
      <c r="AA286" s="3">
        <f>2871.9+(473-617.1)+(-4.394007+(-0.72369--0.944163))+0-759.6--1.16218800000004</f>
        <v>1965.1886540000003</v>
      </c>
      <c r="AB286" s="3">
        <f>2928.2+(176.3-620.3)+(-7.46691+(-0.449565--1.581765))+0-592.8--1.51163999999991</f>
        <v>1886.5769299999997</v>
      </c>
      <c r="AC286" s="3">
        <f>2738.4+(359.8-549.6)+(-1.396584+(-0.183498--0.280296))+0-742.6--0.378725999999925</f>
        <v>1805.0789399999999</v>
      </c>
      <c r="AD286">
        <f t="shared" si="4"/>
        <v>42046.275981999999</v>
      </c>
      <c r="AE286" s="3">
        <f>2637+(820-896.8)+(0+(0-0))+0-707-0</f>
        <v>1853.1999999999998</v>
      </c>
    </row>
    <row r="287" spans="1:31" s="2" customFormat="1" x14ac:dyDescent="0.25">
      <c r="A287">
        <v>89</v>
      </c>
      <c r="B287">
        <v>10</v>
      </c>
      <c r="C287">
        <v>11</v>
      </c>
      <c r="D287">
        <v>1</v>
      </c>
      <c r="E287">
        <v>1</v>
      </c>
      <c r="F287" s="3">
        <f>2441.3+(171.3-507.2)+(-6.225315+(-0.436815--1.29336))+0-621.3--1.58431499999991</f>
        <v>1480.3155449999999</v>
      </c>
      <c r="G287" s="3">
        <f>2377+(154.3-451)+(-6.06135+(-0.393465--1.15005))+0-665.1--1.6960049999999</f>
        <v>1411.5912400000002</v>
      </c>
      <c r="H287" s="3">
        <f>2410.1+(163.8-439)+(-4.916604+(-0.334152--0.89556))+0-729.5--1.48817999999997</f>
        <v>1402.5329840000002</v>
      </c>
      <c r="I287" s="3">
        <f>2432.8+(112.1-478.3)+(-2.481456+(-0.114342--0.487866))+0-651.3--0.664326000000104</f>
        <v>1413.8563940000006</v>
      </c>
      <c r="J287" s="3">
        <f>2430.7+(161.3-450.6)+(0+(0-0))+0-762.7-0</f>
        <v>1378.6999999999996</v>
      </c>
      <c r="K287" s="3">
        <f>2452.3+(165.4-535.4)+(3.752019+(0.253062-0.819162))+0-692.5-1.05952500000004</f>
        <v>1391.9263940000001</v>
      </c>
      <c r="L287" s="3">
        <f>2684.8+(273.9-785.4)+(-2.738496+(-0.279378--0.801108))+0-667.9--0.681258000000107</f>
        <v>1503.8644920000002</v>
      </c>
      <c r="M287" s="3">
        <f>2785.6+(267.6-798.6)+(1.420656+(0.136476-0.407286))+0-671.6-0.342515999999932</f>
        <v>1583.8073299999999</v>
      </c>
      <c r="N287" s="3">
        <f>2964.3+(245.4-805)+(-3.023586+(-0.250308--0.8211))+0-636.6--0.649332000000101</f>
        <v>1766.2965380000007</v>
      </c>
      <c r="O287" s="3">
        <f>2934.3+(335.5-762.9)+(0+(0-0))+0-614.1-0</f>
        <v>1892.8000000000002</v>
      </c>
      <c r="P287" s="3">
        <f>2918+(504.9-738.1)+(1.48818+(0.257499-0.376431))+0-725.9-0.370208999999926</f>
        <v>1959.8990390000001</v>
      </c>
      <c r="Q287" s="3">
        <f>2913.7+(521.5-773.6)+(-5.943948+(-1.06386--1.578144))+0-677.6--1.38230399999997</f>
        <v>1979.9526400000002</v>
      </c>
      <c r="R287" s="3">
        <f>2718.2+(284-772.7)+(-4.158846+(-0.43452--1.182231))+0-634.2--0.970326000000037</f>
        <v>1592.8591910000002</v>
      </c>
      <c r="S287" s="3">
        <f>2715.2+(364.3-645.5)+(-2.769504+(-0.371586--0.65841))+0-656.9--0.670038000000105</f>
        <v>1775.287358</v>
      </c>
      <c r="T287" s="3">
        <f>2627.9+(296.3-603)+(-4.020687+(-0.453339--0.92259))+0-596.7--0.912951000000035</f>
        <v>1721.8615150000001</v>
      </c>
      <c r="U287" s="3">
        <f>2588.6+(406.3-638.1)+(2.640372+(0.414426-0.650862))+0-674.5-0.687990000000108</f>
        <v>1684.0159459999998</v>
      </c>
      <c r="V287" s="3">
        <f>2666.6+(399.4-658)+(0+(0-0))+0-651.3-0</f>
        <v>1756.7</v>
      </c>
      <c r="W287" s="3">
        <f>2927.4+(582.8-830.8)+(-7.46487+(-1.48614--2.11854))+0-601.5--1.53382499999991</f>
        <v>2072.6013550000002</v>
      </c>
      <c r="X287" s="3">
        <f>2982.3+(536.6-857.4)+(-7.604865+(-1.36833--2.18637))+0-531.8--1.35608999999992</f>
        <v>2124.2692649999995</v>
      </c>
      <c r="Y287" s="3">
        <f>2980.7+(465.6-744.1)+(-3.040314+(-0.474912--0.758982))+0-664.6--0.677892000000106</f>
        <v>2035.5216479999999</v>
      </c>
      <c r="Z287" s="3">
        <f>2978.1+(296.8-625)+(-3.037662+(-0.302736--0.6375))+0-701.1--0.715122000000112</f>
        <v>1946.8122240000002</v>
      </c>
      <c r="AA287" s="3">
        <f>2975.9+(325.3-640.8)+(-4.553127+(-0.497709--0.980424))+0-734.6--1.12393800000004</f>
        <v>1922.8535260000001</v>
      </c>
      <c r="AB287" s="3">
        <f>2972.5+(107.2-666.3)+(-1.515975+(-0.054672--0.339813))+0-567.3--0.289322999999942</f>
        <v>1845.1584890000001</v>
      </c>
      <c r="AC287" s="3">
        <f>2965.6+(116.6-634.5)+(-7.56228+(-0.29733--1.617975))+0-714.6--1.8222299999999</f>
        <v>1728.680595</v>
      </c>
      <c r="AD287">
        <f t="shared" si="4"/>
        <v>41372.163708</v>
      </c>
      <c r="AE287" s="3">
        <f>2979+(644.4-952.1)+(0+(0-0))+0-455.7-0</f>
        <v>2215.6000000000004</v>
      </c>
    </row>
    <row r="288" spans="1:31" s="2" customFormat="1" x14ac:dyDescent="0.25">
      <c r="A288">
        <v>89</v>
      </c>
      <c r="B288">
        <v>10</v>
      </c>
      <c r="C288">
        <v>12</v>
      </c>
      <c r="D288">
        <v>2</v>
      </c>
      <c r="E288">
        <v>1</v>
      </c>
      <c r="F288" s="3">
        <f>2880.6+(53.8-744)+(-4.407318+(-0.082314--1.13832))+0-589.5--0.901935000000034</f>
        <v>1598.450623</v>
      </c>
      <c r="G288" s="3">
        <f>2687.9+(169.8-621.3)+(0+(0-0))+0-701.2-0</f>
        <v>1535.2</v>
      </c>
      <c r="H288" s="3">
        <f>2629.3+(243-587.6)+(-6.704715+(-0.61965--1.49838))+0-764.8--1.95023999999989</f>
        <v>1516.0242550000003</v>
      </c>
      <c r="I288" s="3">
        <f>2505.8+(178-506.5)+(3.833874+(0.27234-0.774945))+0-691.7-1.05830100000004</f>
        <v>1487.8729679999999</v>
      </c>
      <c r="J288" s="3">
        <f>2508.2+(215.9-527)+(-5.116728+(-0.440436--1.07508))+0-710.8--1.45003199999997</f>
        <v>1483.2679479999997</v>
      </c>
      <c r="K288" s="3">
        <f>2506.1+(247.3-568.7)+(-1.278111+(-0.126123--0.290037))+0-676.5--0.345014999999931</f>
        <v>1507.4308179999998</v>
      </c>
      <c r="L288" s="3">
        <f>2592.9+(330.5-708.6)+(-2.644758+(-0.33711--0.722772))+0-624--0.6364800000001</f>
        <v>1589.1773840000001</v>
      </c>
      <c r="M288" s="3">
        <f>2663.6+(380.3-688.2)+(-1.358436+(-0.193953--0.350982))+0-669.7--0.341546999999932</f>
        <v>1685.1401399999997</v>
      </c>
      <c r="N288" s="3">
        <f>2832.4+(277.2-701.7)+(-1.444524+(-0.141372--0.357867))+0-558.4--0.284783999999943</f>
        <v>1848.5567550000001</v>
      </c>
      <c r="O288" s="3">
        <f>2944.6+(246.3-742.4)+(-4.505238+(-0.376839--1.135872))+0-496.5--0.759645000000029</f>
        <v>1949.0134400000002</v>
      </c>
      <c r="P288" s="3">
        <f>3052.4+(346-839.1)+(4.670172+(0.52938-1.283823))+0-532-0.813960000000031</f>
        <v>2030.4017690000001</v>
      </c>
      <c r="Q288" s="3">
        <f>3064.9+(373.6-848.4)+(-7.815495+(-0.95268--2.16342))+0-581--1.48154999999992</f>
        <v>2003.9767950000005</v>
      </c>
      <c r="R288" s="3">
        <f>3021.2+(246.5-867.7)+(-7.70406+(-0.628575--2.212635))+0-521.1--1.32880499999992</f>
        <v>1874.1088050000001</v>
      </c>
      <c r="S288" s="3">
        <f>2953.8+(349.8-833)+(0+(0-0))+0-606.8-0</f>
        <v>1863.8000000000004</v>
      </c>
      <c r="T288" s="3">
        <f>2947.7+(394.5-816.3)+(-1.503327+(-0.201195--0.416313))+0-623--0.317729999999937</f>
        <v>1901.9295209999998</v>
      </c>
      <c r="U288" s="3">
        <f>2951.6+(259.6-837.5)+(-7.52658+(-0.66198--2.135625))+0-489.7--1.24873499999993</f>
        <v>1879.1957999999995</v>
      </c>
      <c r="V288" s="3">
        <f>2952.5+(376.9-818.6)+(-7.528875+(-0.961095--2.08743))+0-632.9--1.61389499999991</f>
        <v>1873.111355</v>
      </c>
      <c r="W288" s="3">
        <f>3065.3+(384.2-831.9)+(-7.816515+(-0.97971--2.121345))+0-523.6--1.33517999999992</f>
        <v>2088.6603000000005</v>
      </c>
      <c r="X288" s="3">
        <f>3108.6+(545.2-861.2)+(-9.512316+(-1.668312--2.635272))+0-682.3--2.08783800000008</f>
        <v>2103.8424819999996</v>
      </c>
      <c r="Y288" s="3">
        <f>3112.7+(388.4-852.4)+(-7.937385+(-0.99042--2.17362))+0-610--1.55549999999991</f>
        <v>2033.501315</v>
      </c>
      <c r="Z288" s="3">
        <f>3112.1+(380.2-950.7)+(-4.761513+(-0.581706--1.454571))+0-606.5--0.927945000000035</f>
        <v>1932.1392969999999</v>
      </c>
      <c r="AA288" s="3">
        <f>3105.9+(390-956.6)+(0+(0-0))+0-631.5-0</f>
        <v>1907.8000000000002</v>
      </c>
      <c r="AB288" s="3">
        <f>3101.6+(286.8-893.5)+(-4.745448+(-0.438804--1.367055))+0-656--1.00368000000004</f>
        <v>1836.0864829999998</v>
      </c>
      <c r="AC288" s="3">
        <f>3070.6+(116.7-721.7)+(-6.264024+(-0.238068--1.472268))+0-739.9--1.50939599999997</f>
        <v>1722.1795719999996</v>
      </c>
      <c r="AD288">
        <f t="shared" si="4"/>
        <v>43250.867825000001</v>
      </c>
      <c r="AE288" s="3">
        <f>3094+(567-838.4)+(0+(0-0))+0-662.6-0</f>
        <v>2160</v>
      </c>
    </row>
    <row r="289" spans="1:31" s="2" customFormat="1" x14ac:dyDescent="0.25">
      <c r="A289">
        <v>89</v>
      </c>
      <c r="B289">
        <v>10</v>
      </c>
      <c r="C289">
        <v>13</v>
      </c>
      <c r="D289">
        <v>3</v>
      </c>
      <c r="E289">
        <v>1</v>
      </c>
      <c r="F289" s="3">
        <f>2788.2+(181.6-615.7)+(-5.687928+(-0.370464--1.256028))+0-760.1--1.55060399999997</f>
        <v>1590.7482399999999</v>
      </c>
      <c r="G289" s="3">
        <f>2471.9+(254.9-556.2)+(-2.521338+(-0.259998--0.567324))+0-729.6--0.744192000000116</f>
        <v>1439.5301800000002</v>
      </c>
      <c r="H289" s="3">
        <f>2381.7+(203.1-515.7)+(-2.429334+(-0.207162--0.526014))+0-651.4--0.664428000000104</f>
        <v>1416.2539459999998</v>
      </c>
      <c r="I289" s="3">
        <f>2449.1+(155.6-483.2)+(-3.747123+(-0.238068--0.739296))+0-632--0.966960000000037</f>
        <v>1487.221065</v>
      </c>
      <c r="J289" s="3">
        <f>2427.5+(154.9-506)+(3.714075+(0.236997-0.77418))+0-583.7-0.893061000000034</f>
        <v>1494.983831</v>
      </c>
      <c r="K289" s="3">
        <f>2297.7+(405-545.6)+(0+(0-0))+0-650.5-0</f>
        <v>1506.6</v>
      </c>
      <c r="L289" s="3">
        <f>2298.7+(453-545.6)+(0+(0-0))+0-650.5-0</f>
        <v>1555.6</v>
      </c>
      <c r="M289" s="3">
        <f>2442.9+(462.2-711)+(-2.491758+(-0.471444--0.72522))+0-591.6--0.603432000000094</f>
        <v>1600.86545</v>
      </c>
      <c r="N289" s="3">
        <f>2536.2+(512-712.7)+(-1.293462+(-0.26112--0.363477))+0-614.5--0.313394999999938</f>
        <v>1720.12229</v>
      </c>
      <c r="O289" s="3">
        <f>2688.6+(486.9-561)+(-2.742372+(-0.496638--0.57222))+0-722.9--0.737358000000115</f>
        <v>1889.6705679999998</v>
      </c>
      <c r="P289" s="3">
        <f>2635.2+(455.6-597.5)+(-5.375808+(-0.929424--1.2189))+0-643.8--1.31335199999997</f>
        <v>1845.7270199999998</v>
      </c>
      <c r="Q289" s="3">
        <f>2733.9+(631.3-687.6)+(-4.182867+(-0.965889--1.052028))+0-660.5--1.01056500000004</f>
        <v>2014.013837</v>
      </c>
      <c r="R289" s="3">
        <f>2702.9+(481.1-628.6)+(-5.513916+(-0.981444--1.282344))+0-724.6--1.47818399999997</f>
        <v>1827.0651680000001</v>
      </c>
      <c r="S289" s="3">
        <f>2580.2+(419.5-523.9)+(-2.631804+(-0.42789--0.534378))+0-710.6--0.724812000000113</f>
        <v>1763.3994959999998</v>
      </c>
      <c r="T289" s="3">
        <f>2388.7+(377-438)+(-1.218237+(-0.19227--0.22338))+0-676--0.344759999999931</f>
        <v>1650.8576329999996</v>
      </c>
      <c r="U289" s="3">
        <f>2394.9+(362-445.1)+(-2.442798+(-0.36924--0.454002))+0-670.7--0.684114000000107</f>
        <v>1639.4260780000002</v>
      </c>
      <c r="V289" s="3">
        <f>2519.1+(440-508.2)+(-6.423705+(-1.122--1.29591))+0-715.4--1.8242699999999</f>
        <v>1731.0744749999997</v>
      </c>
      <c r="W289" s="3">
        <f>2776.7+(631.1-563.6)+(-7.080585+(-1.609305--1.43718))+0-705.9--1.8000449999999</f>
        <v>2132.8473349999995</v>
      </c>
      <c r="X289" s="3">
        <f>2766.5+(631.3-664.3)+(-5.64366+(-1.287852--1.355172))+0-641.1--1.30784399999997</f>
        <v>2088.1315039999999</v>
      </c>
      <c r="Y289" s="3">
        <f>2623.7+(584.7-568.1)+(-2.676174+(-0.596394--0.579462))+0-640--0.652800000000102</f>
        <v>1998.2596939999996</v>
      </c>
      <c r="Z289" s="3">
        <f>2678.8+(502.7-562.1)+(-2.732376+(-0.512754--0.573342))+0-694.9--0.708798000000111</f>
        <v>1922.53701</v>
      </c>
      <c r="AA289" s="3">
        <f>2725.8+(559.2-643)+(1.390158+(0.285192-0.32793))+0-693.4-0.35363399999993</f>
        <v>1949.5937860000001</v>
      </c>
      <c r="AB289" s="3">
        <f>2805.6+(203-586.6)+(-4.292568+(-0.31059--0.897498))+0-638.3--0.976599000000037</f>
        <v>1780.970939</v>
      </c>
      <c r="AC289" s="3">
        <f>2764.5+(198.5-562.3)+(-7.049475+(-0.506175--1.433865))+0-752--1.91759999999989</f>
        <v>1644.495815</v>
      </c>
      <c r="AD289">
        <f t="shared" si="4"/>
        <v>41689.995359999994</v>
      </c>
      <c r="AE289" s="3">
        <f>2781+(850.7-650.3)+(0+(0-0))+0-833-0</f>
        <v>2148.4</v>
      </c>
    </row>
    <row r="290" spans="1:31" s="2" customFormat="1" x14ac:dyDescent="0.25">
      <c r="A290">
        <v>89</v>
      </c>
      <c r="B290">
        <v>10</v>
      </c>
      <c r="C290">
        <v>14</v>
      </c>
      <c r="D290">
        <v>4</v>
      </c>
      <c r="E290">
        <v>1</v>
      </c>
      <c r="F290" s="3">
        <f>2691.3+(169.3-465.4)+(-5.490252+(-0.345372--0.949416))+0-744.9--1.51959599999997</f>
        <v>1646.9333880000001</v>
      </c>
      <c r="G290" s="3">
        <f>2413.3+(182.7-389.5)+(-2.461566+(-0.186354--0.39729))+0-626.1--0.6386220000001</f>
        <v>1578.7879920000003</v>
      </c>
      <c r="H290" s="3">
        <f>2377+(167.3-348.3)+(0+(0-0))+0-684.9-0</f>
        <v>1511.1</v>
      </c>
      <c r="I290" s="3">
        <f>2378.9+(142.6-341.6)+(-2.426478+(-0.145452--0.348432))+0-651.9--0.664938000000104</f>
        <v>1526.4414400000003</v>
      </c>
      <c r="J290" s="3">
        <f>2376.7+(162.8-298.5)+(4.848468+(0.332112-0.60894))+0-711.4-1.45125599999997</f>
        <v>1532.720384</v>
      </c>
      <c r="K290" s="3">
        <f>2365.7+(179.5-319.9)+(1.206507+(0.091545-0.163149))+0-700.4-0.357203999999929</f>
        <v>1525.6776989999998</v>
      </c>
      <c r="L290" s="3">
        <f>2366.1+(332.2-444.7)+(-2.413422+(-0.338844--0.453594))+0-681.1--0.694722000000109</f>
        <v>1570.8960500000003</v>
      </c>
      <c r="M290" s="3">
        <f>2649+(318.6-606.8)+(-4.05297+(-0.487458--0.928404))+0-673--1.02969000000004</f>
        <v>1685.2176660000002</v>
      </c>
      <c r="N290" s="3">
        <f>2836.1+(327.8-592.8)+(-2.892822+(-0.334356--0.604656))+0-613.3--0.625566000000098</f>
        <v>1955.803044</v>
      </c>
      <c r="O290" s="3">
        <f>2925+(384.2-588.4)+(-2.9835+(-0.391884--0.600168))+0-727.4--0.741948000000116</f>
        <v>1991.3667320000002</v>
      </c>
      <c r="P290" s="3">
        <f>2683.1+(275.8-504.8)+(-1.368381+(-0.140658--0.257448))+0-613.6--0.312935999999938</f>
        <v>1839.5613449999998</v>
      </c>
      <c r="Q290" s="3">
        <f>2632+(493.2-496.8)+(-5.36928+(-1.006128--1.013472))+0-741.3--1.51225199999997</f>
        <v>1883.2503160000003</v>
      </c>
      <c r="R290" s="3">
        <f>2650.3+(216.3-589.3)+(-2.703306+(-0.220626--0.601086))+0-578.8--0.590376000000092</f>
        <v>1696.7675300000003</v>
      </c>
      <c r="S290" s="3">
        <f>2717.2+(142.9-618.3)+(-2.771544+(-0.145758--0.630666))+0-638.4--0.651168000000102</f>
        <v>1601.7645319999999</v>
      </c>
      <c r="T290" s="3">
        <f>2864.7+(193-561.1)+(-1.460997+(-0.09843--0.286161))+0-675.7--0.344606999999932</f>
        <v>1819.9713409999997</v>
      </c>
      <c r="U290" s="3">
        <f>2870.5+(184.1-513.7)+(0+(0-0))+0-608.6-0</f>
        <v>1932.3000000000002</v>
      </c>
      <c r="V290" s="3">
        <f>2950.6+(327.7-633.5)+(-6.019224+(-0.668508--1.29234))+0-709.2--1.44676799999997</f>
        <v>1931.6513759999998</v>
      </c>
      <c r="W290" s="3">
        <f>2977.3+(865-839.2)+(0+(0-0))+0-753.1-0</f>
        <v>2250.0000000000005</v>
      </c>
      <c r="X290" s="3">
        <f>2983.7+(801.4-834.3)+(-3.043374+(-0.817428--0.850986))+0-803--0.819060000000128</f>
        <v>2145.6092440000002</v>
      </c>
      <c r="Y290" s="3">
        <f>2974.8+(428.7-809.3)+(-1.517148+(-0.218637--0.412743))+0-669.3--0.341342999999932</f>
        <v>1923.9183010000002</v>
      </c>
      <c r="Z290" s="3">
        <f>2979+(384.9-766.8)+(-7.59645+(-0.981495--1.95534))+0-707.3--1.8036149999999</f>
        <v>1884.9810099999997</v>
      </c>
      <c r="AA290" s="3">
        <f>2978.7+(307.4-679.9)+(0+(0-0))+0-763.4-0</f>
        <v>1842.7999999999997</v>
      </c>
      <c r="AB290" s="3">
        <f>2893.2+(343.7-709.2)+(-1.475532+(-0.175287--0.361692))+0-739.1--0.376940999999925</f>
        <v>1787.6878139999999</v>
      </c>
      <c r="AC290" s="3">
        <f>2692.3+(315-665.6)+(-4.119219+(-0.48195--1.018368))+0-704.1--1.07727300000004</f>
        <v>1635.0944720000005</v>
      </c>
      <c r="AD290">
        <f t="shared" si="4"/>
        <v>42700.301675999995</v>
      </c>
      <c r="AE290" s="3">
        <f>2982+(976.9-824.4)+(0+(0-0))+0-847.5-0</f>
        <v>2287</v>
      </c>
    </row>
    <row r="291" spans="1:31" s="2" customFormat="1" x14ac:dyDescent="0.25">
      <c r="A291">
        <v>89</v>
      </c>
      <c r="B291">
        <v>10</v>
      </c>
      <c r="C291">
        <v>15</v>
      </c>
      <c r="D291">
        <v>5</v>
      </c>
      <c r="E291">
        <v>1</v>
      </c>
      <c r="F291" s="3">
        <f>2644.5+(203.7-579.3)+(-5.39478+(-0.415548--1.181772))+0-707.6--1.44350399999997</f>
        <v>1558.1149480000001</v>
      </c>
      <c r="G291" s="3">
        <f>2520.4+(209.1-445.2)+(-2.570808+(-0.213282--0.454104))+0-749.4--0.764388000000119</f>
        <v>1533.334402</v>
      </c>
      <c r="H291" s="3">
        <f>2409.8+(199.2-438.1)+(-1.228998+(-0.101592--0.223431))+0-697.1--0.355520999999929</f>
        <v>1473.048362</v>
      </c>
      <c r="I291" s="3">
        <f>2408+(190.5-444.1)+(-1.22808+(-0.097155--0.226491))+0-646.3--0.329612999999934</f>
        <v>1507.3308690000001</v>
      </c>
      <c r="J291" s="3">
        <f>2601.6+(169-540.8)+(-1.326816+(-0.08619--0.275808))+0-736.1--0.375410999999925</f>
        <v>1492.9382130000004</v>
      </c>
      <c r="K291" s="3">
        <f>2725.8+(80.5-633)+(-2.780316+(-0.08211--0.64566))+0-642.4--0.655248000000102</f>
        <v>1529.3384820000001</v>
      </c>
      <c r="L291" s="3">
        <f>2825.1+(67.2-721.5)+(-2.881602+(-0.068544--0.73593))+0-590.7--0.602514000000094</f>
        <v>1578.4882980000004</v>
      </c>
      <c r="M291" s="3">
        <f>2902.2+(60.2-630.6)+(-2.960244+(-0.061404--0.643212))+0-595.6--0.607512000000095</f>
        <v>1734.4290759999999</v>
      </c>
      <c r="N291" s="3">
        <f>2839+(30.9-461)+(-5.79156+(-0.063036--0.94044))+0-508.1--1.03652399999998</f>
        <v>1896.9223680000002</v>
      </c>
      <c r="O291" s="3">
        <f>2862.5+(148.4-462.2)+(-1.459875+(-0.075684--0.235722))+0-507--0.258569999999949</f>
        <v>2040.6587329999998</v>
      </c>
      <c r="P291" s="3">
        <f>2859.6+(266.8-581.9)+(-1.458396+(-0.136068--0.296769))+0-468.8--0.239087999999952</f>
        <v>2074.6413929999994</v>
      </c>
      <c r="Q291" s="3">
        <f>2849.9+(407.6-631.9)+(-1.453449+(-0.207876--0.322269))+0-511.4--0.260813999999948</f>
        <v>2113.1217580000002</v>
      </c>
      <c r="R291" s="3">
        <f>2840.8+(205.7-607.5)+(-2.897616+(-0.209814--0.61965))+0-531.3--0.541926000000085</f>
        <v>1905.7541460000002</v>
      </c>
      <c r="S291" s="3">
        <f>2869.6+(95.4-528.9)+(-4.390488+(-0.145962--0.809217))+0-535.4--0.819162000000031</f>
        <v>1897.7919289999998</v>
      </c>
      <c r="T291" s="3">
        <f>3009.2+(117-605.6)+(-3.069384+(-0.11934--0.617712))+0-589.8--0.601596000000094</f>
        <v>1928.8305840000003</v>
      </c>
      <c r="U291" s="3">
        <f>3046+(99.1-614.3)+(7.7673+(0.252705-1.566465))+0-617.5-1.57462499999991</f>
        <v>1918.1789150000002</v>
      </c>
      <c r="V291" s="3">
        <f>3123.8+(116.2-711.8)+(-4.779414+(-0.177786--1.089054))+0-542.3--0.829719000000031</f>
        <v>1982.8615730000006</v>
      </c>
      <c r="W291" s="3">
        <f>3172.8+(613.7-878.2)+(1.618128+(0.312987-0.447882))+0-654.1-0.333590999999934</f>
        <v>2255.3496420000001</v>
      </c>
      <c r="X291" s="3">
        <f>3220.6+(651.9-995.2)+(-6.570024+(-1.329876--2.030208))+0-672--1.37087999999997</f>
        <v>2200.8011879999995</v>
      </c>
      <c r="Y291" s="3">
        <f>3150.6+(565.6-1000.1)+(-4.820418+(-0.865368--1.530153))+0-642--0.982260000000037</f>
        <v>2070.9266270000003</v>
      </c>
      <c r="Z291" s="3">
        <f>3153+(360.9-939.6)+(-1.60803+(-0.184059--0.479196))+0-643.5--0.328184999999935</f>
        <v>1929.8152920000002</v>
      </c>
      <c r="AA291" s="3">
        <f>3160+(289.9-883.9)+(-4.8348+(-0.443547--1.352367))+0-699.7--1.07054100000004</f>
        <v>1863.444561</v>
      </c>
      <c r="AB291" s="3">
        <f>3075.5+(208.3-844.8)+(-7.842525+(-0.531165--2.15424))+0-628.5--1.60267499999991</f>
        <v>1805.8832249999998</v>
      </c>
      <c r="AC291" s="3">
        <f>3063.2+(176.4-871.4)+(-7.81116+(-0.44982--2.22207))+0-674.9--1.7209949999999</f>
        <v>1688.9820849999994</v>
      </c>
      <c r="AD291">
        <f t="shared" si="4"/>
        <v>43980.986668999991</v>
      </c>
      <c r="AE291" s="3">
        <f>3188+(720-988.6)+(0+(0-0))+0-647-0</f>
        <v>2272.4</v>
      </c>
    </row>
    <row r="292" spans="1:31" s="2" customFormat="1" x14ac:dyDescent="0.25">
      <c r="A292">
        <v>89</v>
      </c>
      <c r="B292">
        <v>10</v>
      </c>
      <c r="C292">
        <v>16</v>
      </c>
      <c r="D292">
        <v>6</v>
      </c>
      <c r="E292">
        <v>1</v>
      </c>
      <c r="F292" s="3">
        <f>3063.7+(134.1-786.8)+(-3.124974+(-0.136782--0.802536))+0-809.6--0.825792000000129</f>
        <v>1599.766572</v>
      </c>
      <c r="G292" s="3">
        <f>2886.9+(144.6-723.3)+(-4.416957+(-0.221238--1.106649))+0-698.5--1.06870500000004</f>
        <v>1607.2371590000002</v>
      </c>
      <c r="H292" s="3">
        <f>2560.7+(131.3-575.1)+(-5.223828+(-0.267852--1.173204))+0-555.8--1.13383199999998</f>
        <v>1557.9153559999997</v>
      </c>
      <c r="I292" s="3">
        <f>2492.9+(181.2-468.4)+(-3.814137+(-0.277236--0.716652))+0-657.6--1.00612800000004</f>
        <v>1545.7314070000002</v>
      </c>
      <c r="J292" s="3">
        <f>2487.2+(162.3-487.8)+(-1.268472+(-0.082773--0.248778))+0-636.5--0.324614999999935</f>
        <v>1524.4221479999997</v>
      </c>
      <c r="K292" s="3">
        <f>2625.6+(126.2-527.5)+(0+(0-0))+0-733.3-0</f>
        <v>1490.9999999999998</v>
      </c>
      <c r="L292" s="3">
        <f>3010.8+(51.9-901.2)+(-1.535508+(-0.026469--0.459612))+0-588.8--0.30028799999994</f>
        <v>1571.8979229999998</v>
      </c>
      <c r="M292" s="3">
        <f>3150.9+(9.4-909.5)+(0+(0-0))+0-656.2-0</f>
        <v>1594.6000000000001</v>
      </c>
      <c r="N292" s="3">
        <f>3152.3+(0-691.7)+(-1.607673+(0--0.352767))+0-681.4--0.347513999999931</f>
        <v>1778.292608</v>
      </c>
      <c r="O292" s="3">
        <f>3074.9+(175.2-580.6)+(-3.136398+(-0.178704--0.592212))+0-692.6--0.70645200000011</f>
        <v>1974.8835620000002</v>
      </c>
      <c r="P292" s="3">
        <f>3097.5+(246.3-653.2)+(0+(0-0))+0-690.2-0</f>
        <v>2000.3999999999999</v>
      </c>
      <c r="Q292" s="3">
        <f>3084.8+(361.6-742.2)+(-3.146496+(-0.368832--0.757044))+0-700.2--0.714204000000112</f>
        <v>2001.9559200000003</v>
      </c>
      <c r="R292" s="3">
        <f>2932.8+(129.2-757.1)+(-8.974368+(-0.395352--2.316726))+0-726.2--2.22217200000008</f>
        <v>1573.8691779999999</v>
      </c>
      <c r="S292" s="3">
        <f>3005.8+(37.6-787.6)+(-4.598874+(-0.057528--1.205028))+0-720.6--1.10251800000004</f>
        <v>1532.8511440000002</v>
      </c>
      <c r="T292" s="3">
        <f>3044.2+(44.9-831.5)+(-3.105084+(-0.045798--0.84813))+0-713.7--0.727974000000114</f>
        <v>1542.3252219999999</v>
      </c>
      <c r="U292" s="3">
        <f>3048.2+(34.6-884.2)+(0+(0-0))+0-660.5-0</f>
        <v>1538.1</v>
      </c>
      <c r="V292" s="3">
        <f>3053.6+(9-819.6)+(-3.114672+(-0.00918--0.835992))+0-719.9--0.734298000000115</f>
        <v>1521.5464380000001</v>
      </c>
      <c r="W292" s="3">
        <f>3097.3+(195-707.9)+(0+(0-0))+0-729.4-0</f>
        <v>1855</v>
      </c>
      <c r="X292" s="3">
        <f>3294.3+(242.6-877.9)+(-8.400465+(-0.61863--2.238645))+0-644.7--1.64398499999991</f>
        <v>2009.1635349999997</v>
      </c>
      <c r="Y292" s="3">
        <f>3305.3+(137.4-998.4)+(-5.057109+(-0.210222--1.527552))+0-481.1--0.736083000000028</f>
        <v>1960.1963040000003</v>
      </c>
      <c r="Z292" s="3">
        <f>3182+(128.7-845.6)+(-1.62282+(-0.065637--0.431256))+0-623.3--0.317882999999937</f>
        <v>1840.860682</v>
      </c>
      <c r="AA292" s="3">
        <f>3140.8+(39.3-802.7)+(-3.203616+(-0.040086--0.818754))+0-595.5--0.607410000000095</f>
        <v>1780.0824620000003</v>
      </c>
      <c r="AB292" s="3">
        <f>3007.2+(93-682.8)+(-1.533672+(-0.04743--0.348228))+0-682.2--0.347921999999931</f>
        <v>1734.3150479999997</v>
      </c>
      <c r="AC292" s="3">
        <f>2980.7+(81.9-745.8)+(-4.560471+(-0.125307--1.141074))+0-695.6--1.06426800000004</f>
        <v>1618.719564</v>
      </c>
      <c r="AD292">
        <f t="shared" si="4"/>
        <v>40755.132231999996</v>
      </c>
      <c r="AE292" s="3">
        <f>3093+(293.7-807.2)+(0+(0-0))+0-610.6-0</f>
        <v>1968.9</v>
      </c>
    </row>
    <row r="293" spans="1:31" s="2" customFormat="1" x14ac:dyDescent="0.25">
      <c r="A293">
        <v>89</v>
      </c>
      <c r="B293">
        <v>10</v>
      </c>
      <c r="C293">
        <v>17</v>
      </c>
      <c r="D293">
        <v>7</v>
      </c>
      <c r="E293">
        <v>1</v>
      </c>
      <c r="F293" s="3">
        <f>2855.9+(102.8-840.6)+(-1.456509+(-0.052428--0.428706))+0-573.3--0.292382999999942</f>
        <v>1544.012152</v>
      </c>
      <c r="G293" s="3">
        <f>2673.8+(147.4-657.2)+(-4.090914+(-0.225522--1.005516))+0-709.5--1.08553500000004</f>
        <v>1452.274615</v>
      </c>
      <c r="H293" s="3">
        <f>2480.2+(159-589.5)+(0+(0-0))+0-621.8-0</f>
        <v>1427.8999999999999</v>
      </c>
      <c r="I293" s="3">
        <f>2451.4+(165.8-482.8)+(1.250214+(0.084558-0.246228))+0-711.7-0.362966999999928</f>
        <v>1423.4255770000002</v>
      </c>
      <c r="J293" s="3">
        <f>2476.6+(149.3-543.1)+(-2.526132+(-0.152286--0.553962))+0-682.6--0.696252000000109</f>
        <v>1398.771796</v>
      </c>
      <c r="K293" s="3">
        <f>2508.6+(119.5-536.2)+(1.279386+(0.060945-0.273462))+0-723.4-0.368933999999927</f>
        <v>1369.1979349999999</v>
      </c>
      <c r="L293" s="3">
        <f>2590.7+(182.5-563.9)+(-6.606285+(-0.465375--1.437945))+0-678.3--1.7296649999999</f>
        <v>1527.0959499999997</v>
      </c>
      <c r="M293" s="3">
        <f>2528.7+(188.4-732.9)+(0+(0-0))+0-642.8-0</f>
        <v>1341.3999999999999</v>
      </c>
      <c r="N293" s="3">
        <f>2543.3+(246-723.5)+(0+(0-0))+0-690.7-0</f>
        <v>1375.1000000000001</v>
      </c>
      <c r="O293" s="3">
        <f>2590.1+(202.6-721.2)+(5.283804+(0.413304-1.471248))+0-593.5-1.21073999999997</f>
        <v>1481.01512</v>
      </c>
      <c r="P293" s="3">
        <f>2564.9+(209.5-553.3)+(-3.924297+(-0.320535--0.846549))+0-669.6--1.02448800000004</f>
        <v>1549.1262050000005</v>
      </c>
      <c r="Q293" s="3">
        <f>2644.3+(99.6-508.3)+(-1.348593+(-0.050796--0.259233))+0-671.2--0.342311999999932</f>
        <v>1563.6021560000004</v>
      </c>
      <c r="R293" s="3">
        <f>2662+(63.4-441.3)+(-4.07286+(-0.097002--0.675189))+0-729.9--1.11674700000004</f>
        <v>1551.8220739999997</v>
      </c>
      <c r="S293" s="3">
        <f>2669+(81.5-586.6)+(-2.72238+(-0.08313--0.598332))+0-695.9--0.709818000000111</f>
        <v>1466.5026399999999</v>
      </c>
      <c r="T293" s="3">
        <f>2693.3+(89-692.1)+(2.747166+(0.09078-0.705942))+0-654.5-0.667590000000104</f>
        <v>1437.1644140000003</v>
      </c>
      <c r="U293" s="3">
        <f>2762.6+(93.5-720.7)+(0+(0-0))+0-699-0</f>
        <v>1436.3999999999996</v>
      </c>
      <c r="V293" s="3">
        <f>2813.5+(43.3-997.4)+(-8.60931+(-0.132498--3.052044))+0-411.9--1.26041400000005</f>
        <v>1443.0706500000003</v>
      </c>
      <c r="W293" s="3">
        <f>2890.3+(41.7-700.5)+(-1.474053+(-0.021267--0.357255))+0-565.5--0.288404999999943</f>
        <v>1665.1503399999999</v>
      </c>
      <c r="X293" s="3">
        <f>2917.5+(281.6-828.4)+(-4.463775+(-0.430848--1.267452))+0-618.3--0.945999000000036</f>
        <v>1749.7188279999998</v>
      </c>
      <c r="Y293" s="3">
        <f>2910.5+(241.3-784.3)+(0+(0-0))+0-624.5-0</f>
        <v>1743</v>
      </c>
      <c r="Z293" s="3">
        <f>2999.9+(267.1-954.3)+(-6.119796+(-0.544884--1.946772))+0-589.4--1.20237599999997</f>
        <v>1719.7844680000001</v>
      </c>
      <c r="AA293" s="3">
        <f>3018.4+(263.2-1012.4)+(-1.539384+(-0.134232--0.516324))+0-534.1--0.272390999999946</f>
        <v>1734.215099</v>
      </c>
      <c r="AB293" s="3">
        <f>3016.6+(225.5-834.8)+(-1.538466+(-0.115005--0.425748))+0-711.4--0.362813999999928</f>
        <v>1695.035091</v>
      </c>
      <c r="AC293" s="3">
        <f>2980.3+(175.5-906.3)+(-4.559859+(-0.268515--1.386639))+0-646.6--0.989298000000037</f>
        <v>1600.4475630000002</v>
      </c>
      <c r="AD293">
        <f t="shared" si="4"/>
        <v>36695.232672999999</v>
      </c>
      <c r="AE293" s="3">
        <f>2904+(339.5-758.8)+(0+(0-0))+0-720.4-0</f>
        <v>1764.2999999999997</v>
      </c>
    </row>
    <row r="294" spans="1:31" s="2" customFormat="1" x14ac:dyDescent="0.25">
      <c r="A294">
        <v>89</v>
      </c>
      <c r="B294">
        <v>10</v>
      </c>
      <c r="C294">
        <v>18</v>
      </c>
      <c r="D294">
        <v>1</v>
      </c>
      <c r="E294">
        <v>1</v>
      </c>
      <c r="F294" s="3">
        <f>2710.1+(261.3-844.2)+(-6.910755+(-0.666315--2.15271))+0-649.2--1.65545999999991</f>
        <v>1474.2310999999997</v>
      </c>
      <c r="G294" s="3">
        <f>2476.1+(296.5-637.4)+(-2.525622+(-0.30243--0.650148))+0-722.6--0.737052000000115</f>
        <v>1411.159148</v>
      </c>
      <c r="H294" s="3">
        <f>2416.9+(315.1-626.8)+(-6.163095+(-0.803505--1.59834))+0-719.5--1.8347249999999</f>
        <v>1382.166465</v>
      </c>
      <c r="I294" s="3">
        <f>2342.5+(266.5-652.2)+(-2.38935+(-0.27183--0.665244))+0-581.6--0.593232000000093</f>
        <v>1373.7972960000002</v>
      </c>
      <c r="J294" s="3">
        <f>2330.4+(276.9-476.3)+(-1.188504+(-0.141219--0.242913))+0-758--0.386579999999923</f>
        <v>1372.2997700000001</v>
      </c>
      <c r="K294" s="3">
        <f>2552.8+(187.3-684.6)+(-2.603856+(-0.191046--0.698292))+0-596.9--0.608838000000095</f>
        <v>1457.112228</v>
      </c>
      <c r="L294" s="3">
        <f>2694.3+(133.5-647.1)+(-1.374093+(-0.068085--0.330021))+0-671.3--0.342362999999932</f>
        <v>1508.6302060000003</v>
      </c>
      <c r="M294" s="3">
        <f>2936.5+(115.7-806.3)+(1.497615+(0.059007-0.411213))+0-627.7-0.320126999999936</f>
        <v>1619.0252820000003</v>
      </c>
      <c r="N294" s="3">
        <f>2936.5+(157.7-674.8)+(0+(0-0))+0-632.2-0</f>
        <v>1787.2</v>
      </c>
      <c r="O294" s="3">
        <f>2942.4+(264.5-809.9)+(-1.500624+(-0.134895--0.413049))+0-496.3--0.25311299999995</f>
        <v>1899.7306429999999</v>
      </c>
      <c r="P294" s="3">
        <f>2951.5+(252.7-877.9)+(-3.01053+(-0.257754--0.895458))+0-359.7--0.366894000000057</f>
        <v>1964.5940680000003</v>
      </c>
      <c r="Q294" s="3">
        <f>2959.5+(402.3-881.2)+(-1.509345+(-0.205173--0.449412))+0-499.9--0.254948999999949</f>
        <v>1979.6898429999999</v>
      </c>
      <c r="R294" s="3">
        <f>2957+(385.5-801.5)+(-1.50807+(-0.196605--0.408765))+0-609.8--0.310997999999938</f>
        <v>1930.2150880000002</v>
      </c>
      <c r="S294" s="3">
        <f>2956.4+(138.1-689.3)+(-3.015528+(-0.140862--0.703086))+0-573.1--0.584562000000091</f>
        <v>1830.2312580000003</v>
      </c>
      <c r="T294" s="3">
        <f>2969.3+(182-611.6)+(-3.028686+(-0.18564--0.623832))+0-672.2--0.685644000000107</f>
        <v>1865.5951500000003</v>
      </c>
      <c r="U294" s="3">
        <f>2970.5+(174.9-602)+(0+(0-0))+0-685.9-0</f>
        <v>1857.5</v>
      </c>
      <c r="V294" s="3">
        <f>3004.6+(155.4-713.3)+(0+(0-0))+0-555.5-0</f>
        <v>1891.1999999999998</v>
      </c>
      <c r="W294" s="3">
        <f>3082.8+(532.7-772.2)+(3.144456+(0.543354-0.787644))+0-751.5-0.76653000000012</f>
        <v>2093.9336359999998</v>
      </c>
      <c r="X294" s="3">
        <f>3131.3+(447.1-868.3)+(-4.790889+(-0.684063--1.328499))+0-594.8--0.910044000000034</f>
        <v>2112.063591000001</v>
      </c>
      <c r="Y294" s="3">
        <f>3072.8+(361.5-871.4)+(-6.268512+(-0.73746--1.777656))+0-535.9--1.09323599999998</f>
        <v>2022.8649199999998</v>
      </c>
      <c r="Z294" s="3">
        <f>2991.3+(391-804.6)+(-3.051126+(-0.39882--0.820692))+0-615.8--0.628116000000098</f>
        <v>1959.8988620000005</v>
      </c>
      <c r="AA294" s="3">
        <f>2990.8+(434-784)+(-3.050616+(-0.44268--0.79968))+0-699.9--0.713898000000112</f>
        <v>1938.9202820000003</v>
      </c>
      <c r="AB294" s="3">
        <f>2958.5+(382.7-731)+(-1.508835+(-0.195177--0.37281))+0-749.1--0.382040999999924</f>
        <v>1860.1508389999999</v>
      </c>
      <c r="AC294" s="3">
        <f>2729.2+(309.3-603.7)+(-5.567568+(-0.630972--1.231548))+0-687.5--1.40249999999997</f>
        <v>1743.7355079999995</v>
      </c>
      <c r="AD294">
        <f t="shared" si="4"/>
        <v>42335.945183000003</v>
      </c>
      <c r="AE294" s="3">
        <f>3132+(693-837.3)+(0+(0-0))+0-789.7-0</f>
        <v>2198</v>
      </c>
    </row>
    <row r="295" spans="1:31" s="2" customFormat="1" x14ac:dyDescent="0.25">
      <c r="A295">
        <v>89</v>
      </c>
      <c r="B295">
        <v>10</v>
      </c>
      <c r="C295">
        <v>19</v>
      </c>
      <c r="D295">
        <v>2</v>
      </c>
      <c r="E295">
        <v>1</v>
      </c>
      <c r="F295" s="3">
        <f>2623+(233.4-543.9)+(-4.01319+(-0.357102--0.832167))+0-701.4--1.07314200000004</f>
        <v>1608.6350169999998</v>
      </c>
      <c r="G295" s="3">
        <f>2570+(259.4-509.2)+(-7.8642+(-0.793764--1.558152))+0-641.8--1.96390800000007</f>
        <v>1673.2640960000001</v>
      </c>
      <c r="H295" s="3">
        <f>2390+(329.3-467)+(1.2189+(0.167943-0.23817))+0-688.1-0.35093099999993</f>
        <v>1564.9977420000005</v>
      </c>
      <c r="I295" s="3">
        <f>2383.3+(331.2-470.4)+(-3.646449+(-0.506736--0.719712))+0-706.8--1.08140400000004</f>
        <v>1534.9479310000004</v>
      </c>
      <c r="J295" s="3">
        <f>2385.6+(271.8-447.8)+(2.433312+(0.277236-0.456756))+0-692.4-0.70624800000011</f>
        <v>1518.7475439999996</v>
      </c>
      <c r="K295" s="3">
        <f>2390.1+(259.3-462.6)+(-2.437902+(-0.264486--0.471852))+0-635--0.647700000000101</f>
        <v>1550.2171639999999</v>
      </c>
      <c r="L295" s="3">
        <f>2535.1+(129.3-500.2)+(-5.171604+(-0.263772--1.020408))+0-556.2--1.13464799999998</f>
        <v>1604.7196799999997</v>
      </c>
      <c r="M295" s="3">
        <f>2579.6+(173.7-460)+(-3.946788+(-0.265761--0.7038))+0-613.6--0.938808000000036</f>
        <v>1677.1300589999998</v>
      </c>
      <c r="N295" s="3">
        <f>2654.4+(229.9-451.3)+(1.353744+(0.117249-0.230163))+0-548.6-0.279785999999944</f>
        <v>1885.3610440000004</v>
      </c>
      <c r="O295" s="3">
        <f>2872.6+(281.9-471.3)+(-1.465026+(-0.143769--0.240363))+0-717.2--0.365771999999927</f>
        <v>1964.9973399999994</v>
      </c>
      <c r="P295" s="3">
        <f>2887.8+(438.8-702.7)+(0+(0-0))+0-642.5-0</f>
        <v>1981.4</v>
      </c>
      <c r="Q295" s="3">
        <f>2899.4+(551.5-760.7)+(0+(0-0))+0-602.7-0</f>
        <v>2087.5</v>
      </c>
      <c r="R295" s="3">
        <f>2898.4+(422.3-716.1)+(-5.912736+(-0.861492--1.460844))+0-708.9--1.44615599999997</f>
        <v>1891.8327719999997</v>
      </c>
      <c r="S295" s="3">
        <f>2905.8+(211.8-596.8)+(-2.963916+(-0.216036--0.608736))+0-631.7--0.644334000000101</f>
        <v>1887.1731180000004</v>
      </c>
      <c r="T295" s="3">
        <f>2905+(218.4-592.6)+(-5.9262+(-0.445536--1.208904))+0-628.1--1.28132399999997</f>
        <v>1898.8184920000003</v>
      </c>
      <c r="U295" s="3">
        <f>2846.6+(373.4-603)+(0+(0-0))+0-708-0</f>
        <v>1909</v>
      </c>
      <c r="V295" s="3">
        <f>2885.6+(328.3-712.5)+(0+(0-0))+0-576.2-0</f>
        <v>1925.2</v>
      </c>
      <c r="W295" s="3">
        <f>2957.6+(715.7-898.3)+(0+(0-0))+0-680-0</f>
        <v>2095</v>
      </c>
      <c r="X295" s="3">
        <f>3019.9+(710.8-1009.6)+(-4.620447+(-1.087524--1.544688))+0-599.1--0.916623000000035</f>
        <v>2118.7533400000002</v>
      </c>
      <c r="Y295" s="3">
        <f>3008.5+(276.1-833.6)+(-4.603005+(-0.422433--1.275408))+0-418.8--0.640764000000024</f>
        <v>2029.0907339999999</v>
      </c>
      <c r="Z295" s="3">
        <f>3006.5+(135.3-788)+(-3.06663+(-0.138006--0.80376))+0-427.4--0.435948000000068</f>
        <v>1924.435072</v>
      </c>
      <c r="AA295" s="3">
        <f>3005.8+(393.5-761.5)+(-3.065916+(-0.40137--0.77673))+0-719.5--0.733890000000115</f>
        <v>1916.3433340000004</v>
      </c>
      <c r="AB295" s="3">
        <f>3003.3+(178.6-685.9)+(-6.126732+(-0.364344--1.399236))+0-631.2--1.28764799999997</f>
        <v>1860.9958079999999</v>
      </c>
      <c r="AC295" s="3">
        <f>2951+(345-871.2)+(-1.50501+(-0.17595--0.444312))+0-679--0.346289999999931</f>
        <v>1744.9096420000001</v>
      </c>
      <c r="AD295">
        <f t="shared" si="4"/>
        <v>43853.469928999992</v>
      </c>
      <c r="AE295" s="3">
        <f>2989+(910.9-1082)+(0+(0-0))+0-547.9-0</f>
        <v>2270</v>
      </c>
    </row>
    <row r="296" spans="1:31" s="2" customFormat="1" x14ac:dyDescent="0.25">
      <c r="A296">
        <v>89</v>
      </c>
      <c r="B296">
        <v>10</v>
      </c>
      <c r="C296">
        <v>20</v>
      </c>
      <c r="D296">
        <v>3</v>
      </c>
      <c r="E296">
        <v>1</v>
      </c>
      <c r="F296" s="3">
        <f>2658.4+(344.5-729.1)+(-4.067352+(-0.527085--1.115523))+0-642.2--0.982566000000037</f>
        <v>1629.1036520000005</v>
      </c>
      <c r="G296" s="3">
        <f>2387.4+(423.9-682)+(-3.652722+(-0.648567--1.04346))+0-557.7--0.853281000000032</f>
        <v>1569.1954519999999</v>
      </c>
      <c r="H296" s="3">
        <f>2280.7+(465.6-499)+(3.489471+(0.712368-0.76347))+0-720.8-1.10282400000004</f>
        <v>1528.8355449999997</v>
      </c>
      <c r="I296" s="3">
        <f>2199.5+(320.5-369.3)+(-2.24349+(-0.32691--0.376686))+0-678.1--0.691662000000108</f>
        <v>1471.0979480000001</v>
      </c>
      <c r="J296" s="3">
        <f>2171.6+(303.5-341.9)+(-2.215032+(-0.30957--0.348738))+0-654.7--0.667794000000104</f>
        <v>1476.9919300000001</v>
      </c>
      <c r="K296" s="3">
        <f>2173.6+(278.2-269.7)+(0+(0-0))+0-689.7-0</f>
        <v>1492.3999999999999</v>
      </c>
      <c r="L296" s="3">
        <f>2410.4+(217.3-404.1)+(-1.229304+(-0.110823--0.206091))+0-680.7--0.347156999999931</f>
        <v>1542.1131209999999</v>
      </c>
      <c r="M296" s="3">
        <f>2610.2+(100.3-561.8)+(2.662404+(0.102306-0.573036))+0-525.6-0.536112000000084</f>
        <v>1624.7555620000001</v>
      </c>
      <c r="N296" s="3">
        <f>2758.9+(183.5-516.4)+(0+(0-0))+0-636.8-0</f>
        <v>1789.2</v>
      </c>
      <c r="O296" s="3">
        <f>2873.1+(290.4-718)+(0+(0-0))+0-568.4-0</f>
        <v>1877.1</v>
      </c>
      <c r="P296" s="3">
        <f>2827.8+(371.3-704.3)+(-2.884356+(-0.378726--0.718386))+0-576.1--0.587622000000092</f>
        <v>1916.7429260000004</v>
      </c>
      <c r="Q296" s="3">
        <f>2847.6+(396.6-689.7)+(-1.452276+(-0.202266--0.351747))+0-624--0.318239999999937</f>
        <v>1929.5154449999998</v>
      </c>
      <c r="R296" s="3">
        <f>2914.2+(265.2-729.3)+(-10.403694+(-0.946764--2.603601))+0-563.1--2.01026700000001</f>
        <v>1880.26341</v>
      </c>
      <c r="S296" s="3">
        <f>2843.3+(157.8-643.6)+(-1.450083+(-0.080478--0.328236))+0-632.8--0.322727999999936</f>
        <v>1723.8204029999997</v>
      </c>
      <c r="T296" s="3">
        <f>2886.7+(153.6-704.8)+(0+(0-0))+0-567-0</f>
        <v>1768.5</v>
      </c>
      <c r="U296" s="3">
        <f>2942.2+(128.5-671.5)+(0+(0-0))+0-629.6-0</f>
        <v>1769.6</v>
      </c>
      <c r="V296" s="3">
        <f>2912+(87.9-613.1)+(-7.4256+(-0.224145--1.563405))+0-647.3--1.65061499999991</f>
        <v>1735.0642750000004</v>
      </c>
      <c r="W296" s="3">
        <f>3123+(319.2-820.6)+(0+(0-0))+0-693.6-0</f>
        <v>1928</v>
      </c>
      <c r="X296" s="3">
        <f>3308.5+(322.6-947.9)+(-6.74934+(-0.658104--1.933716))+0-685.3--1.39801199999997</f>
        <v>1993.8242839999998</v>
      </c>
      <c r="Y296" s="3">
        <f>3096.9+(233.3-659.3)+(-4.738257+(-0.356949--1.008729))+0-755.9--1.15652700000004</f>
        <v>1912.0700500000003</v>
      </c>
      <c r="Z296" s="3">
        <f>2941.1+(85.6-574.6)+(-1.499961+(-0.043656--0.293046))+0-639.6--0.326195999999935</f>
        <v>1811.5756249999999</v>
      </c>
      <c r="AA296" s="3">
        <f>2944.8+(79.9-472)+(3.003696+(0.081498-0.48144))+0-667.6-0.680952000000106</f>
        <v>1887.0228020000004</v>
      </c>
      <c r="AB296" s="3">
        <f>2931.2+(54.4-562.7)+(-2.989824+(-0.055488--0.573954))+0-602--0.614040000000096</f>
        <v>1819.042682</v>
      </c>
      <c r="AC296" s="3">
        <f>2674.7+(82.2-344.3)+(-2.728194+(-0.083844--0.351186))+0-656.4--0.669528000000105</f>
        <v>1754.4086759999998</v>
      </c>
      <c r="AD296">
        <f t="shared" si="4"/>
        <v>41830.243788</v>
      </c>
      <c r="AE296" s="3">
        <f>3315+(494-890)+(0+(0-0))+0-700-0</f>
        <v>2219</v>
      </c>
    </row>
    <row r="297" spans="1:31" s="2" customFormat="1" x14ac:dyDescent="0.25">
      <c r="A297">
        <v>89</v>
      </c>
      <c r="B297">
        <v>10</v>
      </c>
      <c r="C297">
        <v>21</v>
      </c>
      <c r="D297">
        <v>4</v>
      </c>
      <c r="E297">
        <v>1</v>
      </c>
      <c r="F297" s="3">
        <f>2442.3+(179.5-254.7)+(-2.491146+(-0.18309--0.259794))+0-750.5--0.76551000000012</f>
        <v>1614.9510680000008</v>
      </c>
      <c r="G297" s="3">
        <f>2311.8+(183.4-237.1)+(-2.358036+(-0.187068--0.241842))+0-701--0.715020000000112</f>
        <v>1555.5117580000006</v>
      </c>
      <c r="H297" s="3">
        <f>2312.6+(132.8-276)+(1.179426+(0.067728-0.14076))+0-650.4-0.331703999999934</f>
        <v>1519.77469</v>
      </c>
      <c r="I297" s="3">
        <f>2325+(141.6-240.4)+(1.18575+(0.072216-0.122604))+0-715.8-0.365057999999927</f>
        <v>1511.170304</v>
      </c>
      <c r="J297" s="3">
        <f>2397.7+(103.3-327.7)+(2.445654+(0.105366-0.334254))+0-671.4-0.684828000000107</f>
        <v>1503.4319379999995</v>
      </c>
      <c r="K297" s="3">
        <f>2498.8+(135.4-292.9)+(-1.274388+(-0.069054--0.149379))+0-820.4--0.418403999999917</f>
        <v>1520.1243410000002</v>
      </c>
      <c r="L297" s="3">
        <f>2595.1+(63.9-453.2)+(-7.941006+(-0.195534--1.386792))+0-603.5--1.84671000000007</f>
        <v>1597.3969619999996</v>
      </c>
      <c r="M297" s="3">
        <f>2761.1+(83.5-480.2)+(0+(0-0))+0-709-0</f>
        <v>1655.4</v>
      </c>
      <c r="N297" s="3">
        <f>2778.9+(68.6-343.3)+(-2.834478+(-0.069972--0.350166))+0-693.9--0.707778000000111</f>
        <v>1808.4534940000001</v>
      </c>
      <c r="O297" s="3">
        <f>2767.3+(198.7-409.4)+(-1.411323+(-0.101337--0.208794))+0-658.3--0.335732999999933</f>
        <v>1897.3318670000001</v>
      </c>
      <c r="P297" s="3">
        <f>2802.1+(450.2-552.7)+(1.429071+(0.229602-0.281877))+0-736.2-0.375461999999925</f>
        <v>1964.4013339999999</v>
      </c>
      <c r="Q297" s="3">
        <f>2895.4+(329.6-642.1)+(-4.429962+(-0.504288--0.982413))+0-622.9--0.953037000000036</f>
        <v>1957.0011999999999</v>
      </c>
      <c r="R297" s="3">
        <f>2934.2+(84.8-634.7)+(-7.48221+(-0.21624--1.618485))+0-555.8--1.41728999999992</f>
        <v>1823.8373249999997</v>
      </c>
      <c r="S297" s="3">
        <f>2875.3+(64.2-539.7)+(0+(0-0))+0-563.7-0</f>
        <v>1836.1000000000001</v>
      </c>
      <c r="T297" s="3">
        <f>2823.5+(84.8-587.9)+(1.439985+(0.043248-0.299829))+0-447.1-0.228020999999955</f>
        <v>1874.2553830000002</v>
      </c>
      <c r="U297" s="3">
        <f>2800.1+(82.1-581.4)+(0+(0-0))+0-461.6-0</f>
        <v>1839.2000000000003</v>
      </c>
      <c r="V297" s="3">
        <f>2848.4+(69.6-631.2)+(-1.452684+(-0.035496--0.321912))+0-439.1--0.223940999999955</f>
        <v>1846.7576730000003</v>
      </c>
      <c r="W297" s="3">
        <f>2872.8+(562.7-800.7)+(1.465128+(0.286977-0.408357))+0-688.8-0.35128799999993</f>
        <v>1946.9924600000002</v>
      </c>
      <c r="X297" s="3">
        <f>2895.7+(462.6-715.1)+(-4.430421+(-0.707778--1.094103))+0-631.2--0.965736000000037</f>
        <v>2008.9216399999998</v>
      </c>
      <c r="Y297" s="3">
        <f>2928.2+(319.8-477.5)+(-5.973528+(-0.652392--0.9741))+0-697.7--1.42330799999997</f>
        <v>2068.571488</v>
      </c>
      <c r="Z297" s="3">
        <f>2821.9+(137-389.4)+(-5.756676+(-0.27948--0.794376))+0-651.2--1.32844799999997</f>
        <v>1914.3866680000001</v>
      </c>
      <c r="AA297" s="3">
        <f>2815.8+(73.4-353.1)+(-5.744232+(-0.149736--0.720324))+0-642.7--1.31110799999997</f>
        <v>1889.5374640000002</v>
      </c>
      <c r="AB297" s="3">
        <f>2797.8+(104.6-461.2)+(-4.280634+(-0.160038--0.705636))+0-613.6--0.938808000000036</f>
        <v>1824.8037720000004</v>
      </c>
      <c r="AC297" s="3">
        <f>2733.2+(142.9-514.1)+(-9.757524+(-0.510153--1.835337))+0-611.6--2.18341200000001</f>
        <v>1744.1510720000003</v>
      </c>
      <c r="AD297">
        <f t="shared" si="4"/>
        <v>42722.463900999996</v>
      </c>
      <c r="AE297" s="3">
        <f>3009+(534.3-727.5)+(0+(0-0))+0-669.9-0</f>
        <v>2145.9</v>
      </c>
    </row>
    <row r="298" spans="1:31" s="2" customFormat="1" x14ac:dyDescent="0.25">
      <c r="A298">
        <v>89</v>
      </c>
      <c r="B298">
        <v>10</v>
      </c>
      <c r="C298">
        <v>22</v>
      </c>
      <c r="D298">
        <v>5</v>
      </c>
      <c r="E298">
        <v>1</v>
      </c>
      <c r="F298" s="3">
        <f>2539.4+(178.4-526.7)+(2.590188+(0.181968-0.537234))+0-599.8-0.611796000000096</f>
        <v>1592.9231259999999</v>
      </c>
      <c r="G298" s="3">
        <f>2357.5+(210.5-359.8)+(0+(0-0))+0-680-0</f>
        <v>1528.1999999999998</v>
      </c>
      <c r="H298" s="3">
        <f>2227.9+(246.2-240.4)+(0+(0-0))+0-737.1-0</f>
        <v>1496.6000000000004</v>
      </c>
      <c r="I298" s="3">
        <f>2226.6+(195.4-381.2)+(0+(0-0))+0-546.7-0</f>
        <v>1494.1</v>
      </c>
      <c r="J298" s="3">
        <f>2222.1+(178.2-314.4)+(5.666355+(0.45441-0.80172))+0-598.1-1.52515499999991</f>
        <v>1491.5938900000006</v>
      </c>
      <c r="K298" s="3">
        <f>2226.9+(139-321.1)+(0+(0-0))+0-543.8-0</f>
        <v>1501.0000000000002</v>
      </c>
      <c r="L298" s="3">
        <f>2356.2+(131.3-303.1)+(-1.201662+(-0.066963--0.154581))+0-584--0.297839999999941</f>
        <v>1599.5837959999997</v>
      </c>
      <c r="M298" s="3">
        <f>2485.5+(141.4-252.5)+(1.267605+(0.072114-0.128775))+0-654.2-0.333641999999934</f>
        <v>1721.0773020000001</v>
      </c>
      <c r="N298" s="3">
        <f>2584.7+(101.7-392.7)+(5.272788+(0.207468-0.801108))+0-526.3-1.07365199999998</f>
        <v>1771.005496</v>
      </c>
      <c r="O298" s="3">
        <f>2782.3+(239.2-462.3)+(2.837946+(0.243984-0.471546))+0-615.9-0.628218000000098</f>
        <v>1945.2821660000002</v>
      </c>
      <c r="P298" s="3">
        <f>2790.8+(443.4-640.9)+(5.693232+(0.904536-1.307436))+0-656.9-1.34007599999997</f>
        <v>1940.3502560000002</v>
      </c>
      <c r="Q298" s="3">
        <f>2793.1+(552.3-639.7)+(0+(0-0))+0-679.4-0</f>
        <v>2026.2999999999997</v>
      </c>
      <c r="R298" s="3">
        <f>2800.1+(266.4-474.2)+(-4.284153+(-0.407592--0.725526))+0-699.1--1.06962300000004</f>
        <v>1890.303404</v>
      </c>
      <c r="S298" s="3">
        <f>2804.9+(53.7-300.9)+(-5.721996+(-0.109548--0.613836))+0-659.9--1.34619599999997</f>
        <v>1893.928488</v>
      </c>
      <c r="T298" s="3">
        <f>2781.4+(84.3-427.6)+(0+(0-0))+0-530.8-0</f>
        <v>1907.3</v>
      </c>
      <c r="U298" s="3">
        <f>2814.6+(96.7-442.4)+(-2.870892+(-0.098634--0.451248))+0-576.3--0.587826000000092</f>
        <v>1890.6695480000003</v>
      </c>
      <c r="V298" s="3">
        <f>2763.8+(106.6-399.9)+(-8.457228+(-0.326196--1.223694))+0-567.4--1.73624400000007</f>
        <v>1897.2765140000001</v>
      </c>
      <c r="W298" s="3">
        <f>2825.5+(185.2-422.2)+(-1.441005+(-0.094452--0.215322))+0-544.8--0.277847999999945</f>
        <v>2042.6577130000001</v>
      </c>
      <c r="X298" s="3">
        <f>2837.9+(310.3-450.2)+(-4.341987+(-0.474759--0.688806))+0-597.8--0.914634000000034</f>
        <v>2096.9866940000006</v>
      </c>
      <c r="Y298" s="3">
        <f>2825.8+(99.6-376)+(-2.882316+(-0.101592--0.38352))+0-527.9--0.538458000000084</f>
        <v>2019.4380700000002</v>
      </c>
      <c r="Z298" s="3">
        <f>2820.6+(87.8-387.3)+(-1.438506+(-0.044778--0.197523))+0-573.9--0.292688999999942</f>
        <v>1946.2069279999996</v>
      </c>
      <c r="AA298" s="3">
        <f>2821.9+(95.7-365.4)+(-1.439169+(-0.048807--0.186354))+0-611.7--0.311966999999938</f>
        <v>1939.5103450000001</v>
      </c>
      <c r="AB298" s="3">
        <f>2739.3+(87.9-487.3)+(-1.397043+(-0.044829--0.248523))+0-488.4--0.24908399999995</f>
        <v>1850.5557349999999</v>
      </c>
      <c r="AC298" s="3">
        <f>2553.4+(149.7-353.7)+(-2.604468+(-0.152694--0.360774))+0-666.9--0.680238000000106</f>
        <v>1680.78385</v>
      </c>
      <c r="AD298">
        <f t="shared" si="4"/>
        <v>43163.633321000008</v>
      </c>
      <c r="AE298" s="3">
        <f>2802+(366.6-455)+(0+(0-0))+0-656.6-0</f>
        <v>2057</v>
      </c>
    </row>
    <row r="299" spans="1:31" s="2" customFormat="1" x14ac:dyDescent="0.25">
      <c r="A299">
        <v>89</v>
      </c>
      <c r="B299">
        <v>10</v>
      </c>
      <c r="C299">
        <v>23</v>
      </c>
      <c r="D299">
        <v>6</v>
      </c>
      <c r="E299">
        <v>1</v>
      </c>
      <c r="F299" s="3">
        <f>2402.6+(155.7-259.9)+(-3.675978+(-0.238221--0.397647))+0-644.8--0.986544000000037</f>
        <v>1651.0699920000002</v>
      </c>
      <c r="G299" s="3">
        <f>2376.8+(108.3-271.9)+(0+(0-0))+0-599.2-0</f>
        <v>1614.0000000000002</v>
      </c>
      <c r="H299" s="3">
        <f>2305+(165.9-298.9)+(1.17555+(0.084609-0.152439))+0-649.8-0.331397999999934</f>
        <v>1522.976322</v>
      </c>
      <c r="I299" s="3">
        <f>2297.3+(101-330.5)+(1.171623+(0.05151-0.168555))+0-564.8-0.288047999999943</f>
        <v>1503.7665300000006</v>
      </c>
      <c r="J299" s="3">
        <f>2296.7+(113-319.3)+(2.342634+(0.11526-0.325686))+0-597.4-0.609348000000095</f>
        <v>1494.5228599999994</v>
      </c>
      <c r="K299" s="3">
        <f>2349.2+(144.6-287)+(2.396184+(0.147492-0.29274))+0-705.4-0.719508000000113</f>
        <v>1502.9314279999994</v>
      </c>
      <c r="L299" s="3">
        <f>2547+(22.7-487.7)+(0+(0-0))+0-496.1-0</f>
        <v>1585.9</v>
      </c>
      <c r="M299" s="3">
        <f>2617.5+(52.1-377.5)+(-1.334925+(-0.026571--0.192525))+0-643--0.327929999999935</f>
        <v>1648.2589589999998</v>
      </c>
      <c r="N299" s="3">
        <f>2580.1+(67.5-361)+(-2.631702+(-0.06885--0.36822))+0-512.5--0.522750000000082</f>
        <v>1772.290418</v>
      </c>
      <c r="O299" s="3">
        <f>2578.1+(220.1-445.7)+(1.314831+(0.112251-0.227307))+0-516-0.263159999999948</f>
        <v>1837.4366150000001</v>
      </c>
      <c r="P299" s="3">
        <f>2508.7+(621.4-535.8)+(2.558874+(0.633828-0.546516))+0-684.4-0.698088000000109</f>
        <v>1911.8480979999995</v>
      </c>
      <c r="Q299" s="3">
        <f>2559.1+(530.6-570.5)+(-1.305141+(-0.270606--0.290955))+0-606.5--0.309314999999939</f>
        <v>1911.7245229999999</v>
      </c>
      <c r="R299" s="3">
        <f>2579.6+(406.9-557.6)+(-1.315596+(-0.207519--0.284376))+0-660--0.336599999999933</f>
        <v>1767.9978609999996</v>
      </c>
      <c r="S299" s="3">
        <f>2595.9+(302.8-452.4)+(0+(0-0))+0-694.6-0</f>
        <v>1751.7000000000003</v>
      </c>
      <c r="T299" s="3">
        <f>2595.7+(140.4-306.8)+(-5.295228+(-0.286416--0.625872))+0-691.9--1.41147599999997</f>
        <v>1733.8557039999998</v>
      </c>
      <c r="U299" s="3">
        <f>2523.2+(86.8-339.1)+(0+(0-0))+0-587.3-0</f>
        <v>1683.5999999999997</v>
      </c>
      <c r="V299" s="3">
        <f>2655.7+(93-513.7)+(-1.354407+(-0.04743--0.261987))+0-569.1--0.290240999999942</f>
        <v>1665.050391</v>
      </c>
      <c r="W299" s="3">
        <f>2773.5+(448.2-816.7)+(0+(0-0))+0-553.9-0</f>
        <v>1851.1</v>
      </c>
      <c r="X299" s="3">
        <f>2785.4+(686.4-932.4)+(-2.841108+(-0.700128--0.951048))+0-577.5--0.589050000000092</f>
        <v>1959.898862</v>
      </c>
      <c r="Y299" s="3">
        <f>2768.6+(382-761.1)+(-2.823972+(-0.38964--0.776322))+0-608.9--0.621078000000097</f>
        <v>1778.7837880000002</v>
      </c>
      <c r="Z299" s="3">
        <f>2768.3+(77.3-580.6)+(-2.823666+(-0.078846--0.592212))+0-504.2--0.51428400000008</f>
        <v>1759.0039839999999</v>
      </c>
      <c r="AA299" s="3">
        <f>2762.8+(108.8-525.3)+(2.818056+(0.110976-0.535806))+0-619.4-0.631788000000099</f>
        <v>1728.6614380000001</v>
      </c>
      <c r="AB299" s="3">
        <f>2687.8+(13.5-406.2)+(-2.741556+(-0.01377--0.414324))+0-569.6--0.580992000000091</f>
        <v>1723.7399900000005</v>
      </c>
      <c r="AC299" s="3">
        <f>2525+(44.2-322.5)+(-3.86325+(-0.067626--0.493425))+0-610.1--0.933453000000035</f>
        <v>1634.0960020000002</v>
      </c>
      <c r="AD299">
        <f t="shared" si="4"/>
        <v>40994.213765000008</v>
      </c>
      <c r="AE299" s="3">
        <f>2773+(766.8-1008.7)+(0+(0-0))+0-606.2-0</f>
        <v>1924.8999999999999</v>
      </c>
    </row>
    <row r="300" spans="1:31" s="2" customFormat="1" x14ac:dyDescent="0.25">
      <c r="A300">
        <v>89</v>
      </c>
      <c r="B300">
        <v>10</v>
      </c>
      <c r="C300">
        <v>24</v>
      </c>
      <c r="D300">
        <v>7</v>
      </c>
      <c r="E300">
        <v>1</v>
      </c>
      <c r="F300" s="3">
        <f>2144.4+(261.4-240.2)+(0+(0-0))+0-661.4-0</f>
        <v>1504.1999999999998</v>
      </c>
      <c r="G300" s="3">
        <f>1956.4+(290.2-187.5)+(-2.993292+(-0.444006--0.286875))+0-632.8--0.968184000000036</f>
        <v>1424.117761</v>
      </c>
      <c r="H300" s="3">
        <f>1930.7+(168.5-224.1)+(-0.984657+(-0.085935--0.114291))+0-485.7--0.247706999999951</f>
        <v>1388.6914060000001</v>
      </c>
      <c r="I300" s="3">
        <f>1777.9+(383.6-187.3)+(0.906729+(0.195636-0.095523))+0-630.2-0.321401999999936</f>
        <v>1344.68544</v>
      </c>
      <c r="J300" s="3">
        <f>1769.5+(377.8-207.9)+(0.902445+(0.192678-0.106029))+0-585.7-0.298706999999941</f>
        <v>1354.3903870000001</v>
      </c>
      <c r="K300" s="3">
        <f>1769.5+(474.4-234)+(3.60978+(0.967776-0.47736))+0-675.9-1.37883599999997</f>
        <v>1336.7213600000005</v>
      </c>
      <c r="L300" s="3">
        <f>1800.2+(342.5-295.2)+(-2.754306+(-0.524025--0.451656))+0-501.6--0.767448000000029</f>
        <v>1343.8407729999999</v>
      </c>
      <c r="M300" s="3">
        <f>1794.6+(442.2-342)+(-3.660984+(-0.902088--0.69768))+0-652.9--1.33191599999997</f>
        <v>1239.3665239999998</v>
      </c>
      <c r="N300" s="3">
        <f>1786.9+(487.4-379.8)+(2.733957+(0.745722-0.581094))+0-591.6-0.905148000000034</f>
        <v>1304.8934369999999</v>
      </c>
      <c r="O300" s="3">
        <f>2033.3+(375.7-423)+(-2.073966+(-0.383214--0.43146))+0-607.9--0.620058000000097</f>
        <v>1376.694338</v>
      </c>
      <c r="P300" s="3">
        <f>2075.1+(345.2-477)+(-2.116602+(-0.352104--0.48654))+0-511.4--0.521628000000081</f>
        <v>1430.439462</v>
      </c>
      <c r="Q300" s="3">
        <f>2116.4+(376.7-499.1)+(-3.238092+(-0.576351--0.763623))+0-580.7--0.888471000000034</f>
        <v>1411.137651</v>
      </c>
      <c r="R300" s="3">
        <f>2168.3+(390-498.1)+(-4.423332+(-0.7956--1.016124))+0-685.2--1.39780799999997</f>
        <v>1372.1950000000002</v>
      </c>
      <c r="S300" s="3">
        <f>2152.6+(309-490.3)+(-3.293478+(-0.47277--0.750159))+0-635.8--0.972774000000037</f>
        <v>1333.4566850000001</v>
      </c>
      <c r="T300" s="3">
        <f>2212.7+(255.8-517.6)+(-1.128477+(-0.130458--0.263976))+0-592.5--0.30217499999994</f>
        <v>1357.7072159999998</v>
      </c>
      <c r="U300" s="3">
        <f>2256.1+(208.1-509.9)+(-5.753055+(-0.530655--1.300245))+0-601.2--1.53305999999991</f>
        <v>1349.6495949999999</v>
      </c>
      <c r="V300" s="3">
        <f>2314.3+(239.2-575.5)+(-5.901465+(-0.60996--1.467525))+0-632.1--1.61185499999991</f>
        <v>1342.4679550000003</v>
      </c>
      <c r="W300" s="3">
        <f>2427.4+(385.5-583.4)+(-3.713922+(-0.589815--0.892602))+0-658--1.00674000000004</f>
        <v>1569.0956050000002</v>
      </c>
      <c r="X300" s="3">
        <f>2468.3+(428.3-522.2)+(-1.258833+(-0.218433--0.266322))+0-620.4--0.316403999999937</f>
        <v>1753.10546</v>
      </c>
      <c r="Y300" s="3">
        <f>2454.6+(426.3-478.3)+(-3.755538+(-0.652239--0.731799))+0-681.5--1.04269500000004</f>
        <v>1718.4667169999998</v>
      </c>
      <c r="Z300" s="3">
        <f>2440.1+(203.5-479.3)+(1.244451+(0.103785-0.244443))+0-553-0.282029999999944</f>
        <v>1612.1217630000001</v>
      </c>
      <c r="AA300" s="3">
        <f>2440.9+(249.2-489.1)+(-1.244859+(-0.127092--0.249441))+0-585.3--0.298502999999941</f>
        <v>1614.8759929999999</v>
      </c>
      <c r="AB300" s="3">
        <f>2433.9+(151.4-423.2)+(-3.723867+(-0.231642--0.647496))+0-552.8--0.845784000000032</f>
        <v>1606.8377710000007</v>
      </c>
      <c r="AC300" s="3">
        <f>2207.8+(137-271)+(2.251956+(0.13974-0.27642))+0-555.2-0.566304000000089</f>
        <v>1520.148972</v>
      </c>
      <c r="AD300">
        <f t="shared" si="4"/>
        <v>34609.307270999998</v>
      </c>
      <c r="AE300" s="3">
        <f>2467+(534-519.7)+(0+(0-0))+0-764.1-0</f>
        <v>1717.2000000000003</v>
      </c>
    </row>
    <row r="301" spans="1:31" s="2" customFormat="1" x14ac:dyDescent="0.25">
      <c r="A301">
        <v>89</v>
      </c>
      <c r="B301">
        <v>10</v>
      </c>
      <c r="C301">
        <v>25</v>
      </c>
      <c r="D301">
        <v>1</v>
      </c>
      <c r="E301">
        <v>1</v>
      </c>
      <c r="F301" s="3">
        <f>2063.1+(161.6-212.4)+(-3.156543+(-0.247248--0.324972))+0-606.8--0.928404000000035</f>
        <v>1403.3495849999999</v>
      </c>
      <c r="G301" s="3">
        <f>2105.4+(85.2-274)+(0+(0-0))+0-581-0</f>
        <v>1335.6000000000001</v>
      </c>
      <c r="H301" s="3">
        <f>1910.8+(270-186.6)+(-1.949016+(-0.2754--0.190332))+0-701--0.715020000000112</f>
        <v>1291.8809360000002</v>
      </c>
      <c r="I301" s="3">
        <f>1815.5+(330.1-205.8)+(1.85181+(0.336702-0.209916))+0-661.3-0.674526000000105</f>
        <v>1279.8040699999999</v>
      </c>
      <c r="J301" s="3">
        <f>1871.5+(265.6-234.6)+(1.90893+(0.270912-0.239292))+0-595.4-0.607308000000095</f>
        <v>1308.4332420000001</v>
      </c>
      <c r="K301" s="3">
        <f>2020.6+(261.6-276)+(-2.061012+(-0.266832--0.28152))+0-669.3--0.682686000000107</f>
        <v>1335.5363620000001</v>
      </c>
      <c r="L301" s="3">
        <f>2190.3+(189.3-382.8)+(-3.351159+(-0.289629--0.585684))+0-561.7--0.859401000000033</f>
        <v>1432.904297</v>
      </c>
      <c r="M301" s="3">
        <f>2361.9+(232.5-467.1)+(-1.204569+(-0.118575--0.238221))+0-577.2--0.294371999999941</f>
        <v>1549.3094490000001</v>
      </c>
      <c r="N301" s="3">
        <f>2415.4+(363.2-437.4)+(1.231854+(0.185232-0.223074))+0-550.4-0.280703999999944</f>
        <v>1791.7133080000001</v>
      </c>
      <c r="O301" s="3">
        <f>2412.4+(402.3-381.8)+(1.230324+(0.205173-0.194718))+0-670.9-0.342158999999932</f>
        <v>1762.8986200000002</v>
      </c>
      <c r="P301" s="3">
        <f>2419.3+(697.9-627.4)+(0+(0-0))+0-608.6-0</f>
        <v>1881.2000000000003</v>
      </c>
      <c r="Q301" s="3">
        <f>2496.5+(781.3-661.5)+(0+(0-0))+0-591.6-0</f>
        <v>2024.7000000000003</v>
      </c>
      <c r="R301" s="3">
        <f>2551.8+(487.8-515.7)+(-1.301418+(-0.248778--0.263007))+0-634.6--0.323645999999936</f>
        <v>1888.3364569999999</v>
      </c>
      <c r="S301" s="3">
        <f>2607.4+(264.9-449.4)+(0+(0-0))+0-528-0</f>
        <v>1894.9</v>
      </c>
      <c r="T301" s="3">
        <f>2626.8+(164.4-362.8)+(1.339668+(0.083844-0.185028))+0-532-0.271319999999946</f>
        <v>1897.3671640000002</v>
      </c>
      <c r="U301" s="3">
        <f>2627.4+(133.3-376.9)+(1.339974+(0.067983-0.192219))+0-527.8-0.269177999999946</f>
        <v>1856.9465600000001</v>
      </c>
      <c r="V301" s="3">
        <f>2619+(194.7-377.8)+(-1.33569+(-0.099297--0.192678))+0-594--0.30293999999994</f>
        <v>1840.9606309999999</v>
      </c>
      <c r="W301" s="3">
        <f>2639.8+(509.8-555.6)+(1.346298+(0.259998-0.283356))+0-635.5-0.324104999999936</f>
        <v>1959.4988350000001</v>
      </c>
      <c r="X301" s="3">
        <f>2652+(513.9-616.6)+(-5.41008+(-1.048356--1.257864))+0-547.3--1.11649199999998</f>
        <v>1997.9159199999999</v>
      </c>
      <c r="Y301" s="3">
        <f>2643.3+(287.6-364)+(-1.348083+(-0.146676--0.18564))+0-614.2--0.313241999999938</f>
        <v>1951.704123</v>
      </c>
      <c r="Z301" s="3">
        <f>2631.8+(52.6-333.1)+(-6.71109+(-0.13413--0.849405))+0-485--1.23674999999993</f>
        <v>1861.540935</v>
      </c>
      <c r="AA301" s="3">
        <f>2616.4+(85.4-360.2)+(-4.003092+(-0.130662--0.551106))+0-576.5--0.882045000000033</f>
        <v>1762.3993970000004</v>
      </c>
      <c r="AB301" s="3">
        <f>2612.1+(17.1-339.7)+(-2.664342+(-0.017442--0.346494))+0-602.7--0.614754000000096</f>
        <v>1685.0794640000001</v>
      </c>
      <c r="AC301" s="3">
        <f>2600.7+(11.7-429.9)+(-6.631785+(-0.029835--1.096245))+0-600--1.52999999999991</f>
        <v>1578.4646249999998</v>
      </c>
      <c r="AD301">
        <f t="shared" si="4"/>
        <v>40572.443980000004</v>
      </c>
      <c r="AE301" s="3">
        <f>2635+(747-696.7)+(0+(0-0))+0-638.8-0</f>
        <v>2046.5000000000002</v>
      </c>
    </row>
    <row r="302" spans="1:31" s="2" customFormat="1" x14ac:dyDescent="0.25">
      <c r="A302">
        <v>89</v>
      </c>
      <c r="B302">
        <v>10</v>
      </c>
      <c r="C302">
        <v>26</v>
      </c>
      <c r="D302">
        <v>2</v>
      </c>
      <c r="E302">
        <v>1</v>
      </c>
      <c r="F302" s="3">
        <f>2274.2+(49.7-367.3)+(-1.159842+(-0.025347--0.187323))+0-516.6--0.263465999999948</f>
        <v>1439.2655999999997</v>
      </c>
      <c r="G302" s="3">
        <f>2195.8+(77.8-239.5)+(-2.239716+(-0.079356--0.24429))+0-611.4--0.623628000000097</f>
        <v>1421.2488460000002</v>
      </c>
      <c r="H302" s="3">
        <f>1992.1+(129.8-205.5)+(-3.047913+(-0.198594--0.314415))+0-544.3--0.832779000000031</f>
        <v>1370.000687</v>
      </c>
      <c r="I302" s="3">
        <f>1977+(152-194.6)+(-2.01654+(-0.15504--0.198492))+0-586.3--0.598026000000093</f>
        <v>1346.7249380000003</v>
      </c>
      <c r="J302" s="3">
        <f>1893.4+(179-177.6)+(-4.82817+(-0.45645--0.45288))+0-550.3--1.40326499999992</f>
        <v>1341.0715250000001</v>
      </c>
      <c r="K302" s="3">
        <f>1853.3+(371.8-218.8)+(1.890366+(0.379236-0.223176))+0-667.4-0.680748000000106</f>
        <v>1340.265678</v>
      </c>
      <c r="L302" s="3">
        <f>2074.3+(306.4-442.5)+(-6.347358+(-0.937584--1.35405))+0-537--1.64322000000006</f>
        <v>1396.9123280000003</v>
      </c>
      <c r="M302" s="3">
        <f>2127.1+(348.1-512.9)+(-1.084821+(-0.177531--0.261579))+0-537.7--0.274226999999945</f>
        <v>1423.8734539999998</v>
      </c>
      <c r="N302" s="3">
        <f>2306.5+(243.9-486.2)+(-4.70526+(-0.497556--0.991848))+0-458.5--0.93533999999998</f>
        <v>1602.4243719999999</v>
      </c>
      <c r="O302" s="3">
        <f>2346.8+(210.1-407.4)+(0+(0-0))+0-447.8-0</f>
        <v>1701.7</v>
      </c>
      <c r="P302" s="3">
        <f>2313.6+(214.7-256.8)+(-2.359872+(-0.218994--0.261936))+0-499.7--0.50969400000008</f>
        <v>1769.9927640000001</v>
      </c>
      <c r="Q302" s="3">
        <f>2343.2+(327.6-458.7)+(-2.390064+(-0.334152--0.467874))+0-491.8--0.501636000000078</f>
        <v>1718.545294</v>
      </c>
      <c r="R302" s="3">
        <f>2340.9+(337.9-411.1)+(0+(0-0))+0-548.5-0</f>
        <v>1719.1999999999998</v>
      </c>
      <c r="S302" s="3">
        <f>2349.9+(263.1-353.4)+(-1.198449+(-0.134181--0.180234))+0-498.7--0.254336999999949</f>
        <v>1760.0019410000002</v>
      </c>
      <c r="T302" s="3">
        <f>2377.6+(224.1-322.2)+(-2.425152+(-0.228582--0.328644))+0-495.3--0.505206000000079</f>
        <v>1782.3801160000003</v>
      </c>
      <c r="U302" s="3">
        <f>2424.1+(146.9-352.9)+(-2.472582+(-0.149838--0.359958))+0-507.5--0.517650000000081</f>
        <v>1708.8551879999998</v>
      </c>
      <c r="V302" s="3">
        <f>2422.1+(110.8-433.3)+(-4.941084+(-0.226032--0.883932))+0-423.3--0.863531999999982</f>
        <v>1672.8803480000001</v>
      </c>
      <c r="W302" s="3">
        <f>2462.3+(431.4-543.4)+(0+(0-0))+0-439.3-0</f>
        <v>1911.0000000000002</v>
      </c>
      <c r="X302" s="3">
        <f>2599.3+(427.8-429.1)+(-1.325643+(-0.218178--0.218841))+0-544.3--0.277592999999945</f>
        <v>2052.6526130000002</v>
      </c>
      <c r="Y302" s="3">
        <f>2595.4+(271.9-329.4)+(-6.61827+(-0.693345--0.83997))+0-530.3--1.35226499999992</f>
        <v>2002.48062</v>
      </c>
      <c r="Z302" s="3">
        <f>2505.5+(208-327)+(-3.833415+(-0.31824--0.50031))+0-512.6--0.78427800000003</f>
        <v>1871.032933</v>
      </c>
      <c r="AA302" s="3">
        <f>2422.8+(348.6-338.3)+(-4.942512+(-0.711144--0.690132))+0-558.2--1.13872799999998</f>
        <v>1871.0752040000004</v>
      </c>
      <c r="AB302" s="3">
        <f>2357.8+(344.6-318.3)+(0+(0-0))+0-548.5-0</f>
        <v>1835.6000000000004</v>
      </c>
      <c r="AC302" s="3">
        <f>2344.6+(294.5-405)+(-8.370222+(-1.051365--1.44585))+0-573.8--2.04846600000001</f>
        <v>1654.3727289999997</v>
      </c>
      <c r="AD302">
        <f t="shared" si="4"/>
        <v>39713.557178000003</v>
      </c>
      <c r="AE302" s="3">
        <f>2585+(556-492.3)+(0+(0-0))+0-662.5-0</f>
        <v>1986.1999999999998</v>
      </c>
    </row>
    <row r="303" spans="1:31" s="2" customFormat="1" x14ac:dyDescent="0.25">
      <c r="A303">
        <v>89</v>
      </c>
      <c r="B303">
        <v>10</v>
      </c>
      <c r="C303">
        <v>27</v>
      </c>
      <c r="D303">
        <v>3</v>
      </c>
      <c r="E303">
        <v>1</v>
      </c>
      <c r="F303" s="3">
        <f>2173.5+(217.8-337.4)+(-2.21697+(-0.222156--0.344148))+0-568.1--0.579462000000091</f>
        <v>1484.2844840000002</v>
      </c>
      <c r="G303" s="3">
        <f>2034.9+(171-278.2)+(-5.188995+(-0.43605--0.70941))+0-451.2--1.15055999999993</f>
        <v>1472.734925</v>
      </c>
      <c r="H303" s="3">
        <f>1964.7+(319-195.9)+(2.003994+(0.32538-0.199818))+0-649.9-0.662898000000104</f>
        <v>1439.3666579999999</v>
      </c>
      <c r="I303" s="3">
        <f>1967.4+(299.1-223.5)+(0+(0-0))+0-602-0</f>
        <v>1441</v>
      </c>
      <c r="J303" s="3">
        <f>1963.5+(268.3-187.9)+(1.001385+(0.136833-0.095829))+0-614.4-0.313343999999938</f>
        <v>1430.2290450000003</v>
      </c>
      <c r="K303" s="3">
        <f>1965.8+(415.2-190.1)+(-5.01279+(-1.05876--0.484755))+0-731.9--1.86634499999989</f>
        <v>1455.2795499999997</v>
      </c>
      <c r="L303" s="3">
        <f>2028.6+(410.6-379.3)+(0+(0-0))+0-536.9-0</f>
        <v>1523</v>
      </c>
      <c r="M303" s="3">
        <f>2198.8+(467.9-403.4)+(-3.364164+(-0.715887--0.617202))+0-710.5--1.08706500000004</f>
        <v>1550.4242160000001</v>
      </c>
      <c r="N303" s="3">
        <f>2266.3+(356.1-322.2)+(-3.467439+(-0.544833--0.492966))+0-579.2--0.886176000000033</f>
        <v>1718.3668700000001</v>
      </c>
      <c r="O303" s="3">
        <f>2287.7+(424.8-346.3)+(1.166727+(0.216648-0.176613))+0-581.4-0.296513999999941</f>
        <v>1785.7102479999996</v>
      </c>
      <c r="P303" s="3">
        <f>2297.3+(456-238.7)+(-5.858115+(-1.1628--0.608685))+0-652.4--1.66361999999991</f>
        <v>1857.4513900000002</v>
      </c>
      <c r="Q303" s="3">
        <f>2308.4+(422.3-225.7)+(1.177284+(0.215373-0.115107))+0-634.6-0.323645999999936</f>
        <v>1871.3539040000001</v>
      </c>
      <c r="R303" s="3">
        <f>2335.3+(336.5-287.8)+(-5.955015+(-0.858075--0.73389))+0-664.5--1.6944749999999</f>
        <v>1715.1152749999999</v>
      </c>
      <c r="S303" s="3">
        <f>2327.9+(377.6-323.3)+(0+(0-0))+0-627-0</f>
        <v>1755.2000000000003</v>
      </c>
      <c r="T303" s="3">
        <f>2400.8+(291.3-343.5)+(-3.673224+(-0.445689--0.525555))+0-558.6--0.854658000000032</f>
        <v>1787.2613000000003</v>
      </c>
      <c r="U303" s="3">
        <f>2507.2+(207.6-366.3)+(-2.557344+(-0.211752--0.373626))+0-589.7--0.601494000000094</f>
        <v>1757.006024</v>
      </c>
      <c r="V303" s="3">
        <f>2514.6+(211.8-398.7)+(-1.282446+(-0.108018--0.203337))+0-546.3--0.278612999999945</f>
        <v>1780.4914859999997</v>
      </c>
      <c r="W303" s="3">
        <f>2462.3+(425.4-348.8)+(-1.255773+(-0.216954--0.177888))+0-622.7--0.317576999999937</f>
        <v>1915.2227379999999</v>
      </c>
      <c r="X303" s="3">
        <f>2539.2+(400-320.2)+(-3.884976+(-0.612--0.489906))+0-542.5--0.830025000000031</f>
        <v>2073.3229550000001</v>
      </c>
      <c r="Y303" s="3">
        <f>2524.8+(383.1-317.5)+(-3.862944+(-0.586143--0.485775))+0-652.8--0.998784000000038</f>
        <v>1934.6354720000004</v>
      </c>
      <c r="Z303" s="3">
        <f>2522.9+(300-251.9)+(0+(0-0))+0-692.9-0</f>
        <v>1878.1</v>
      </c>
      <c r="AA303" s="3">
        <f>2518.1+(214.6-269.9)+(1.284231+(0.109446-0.137649))+0-609.9-0.311048999999938</f>
        <v>1853.8449789999995</v>
      </c>
      <c r="AB303" s="3">
        <f>2517.5+(127.7-283.1)+(-2.56785+(-0.130254--0.288762))+0-577--0.588540000000092</f>
        <v>1783.2791980000002</v>
      </c>
      <c r="AC303" s="3">
        <f>2434.3+(113.3-259.2)+(-2.482986+(-0.115566--0.264384))+0-637.9--0.650658000000102</f>
        <v>1648.8164900000002</v>
      </c>
      <c r="AD303">
        <f t="shared" si="4"/>
        <v>40911.497206999993</v>
      </c>
      <c r="AE303" s="3">
        <f>2535+(482.9-306.7)+(0+(0-0))+0-678.8-0</f>
        <v>2032.3999999999999</v>
      </c>
    </row>
    <row r="304" spans="1:31" s="2" customFormat="1" x14ac:dyDescent="0.25">
      <c r="A304">
        <v>89</v>
      </c>
      <c r="B304">
        <v>10</v>
      </c>
      <c r="C304">
        <v>28</v>
      </c>
      <c r="D304">
        <v>4</v>
      </c>
      <c r="E304">
        <v>1</v>
      </c>
      <c r="F304" s="3">
        <f>2213.4+(156-248.5)+(-6.773004+(-0.47736--0.76041))+0-567.2--1.73563200000007</f>
        <v>1548.945678</v>
      </c>
      <c r="G304" s="3">
        <f>2155.7+(187.4-282)+(-1.099407+(-0.095574--0.14382))+0-576.4--0.293963999999941</f>
        <v>1483.9428029999999</v>
      </c>
      <c r="H304" s="3">
        <f>2093.9+(198.4-202.6)+(-1.067889+(-0.101184--0.103326))+0-622.1--0.317270999999937</f>
        <v>1466.8515240000002</v>
      </c>
      <c r="I304" s="3">
        <f>2101.5+(159.7-227.4)+(-3.215295+(-0.244341--0.347922))+0-572.5--0.875925000000033</f>
        <v>1459.0642110000001</v>
      </c>
      <c r="J304" s="3">
        <f>2110+(150.5-220.5)+(0+(0-0))+0-580-0</f>
        <v>1460</v>
      </c>
      <c r="K304" s="3">
        <f>2239.7+(129.4-313.9)+(0+(0-0))+0-598.5-0</f>
        <v>1456.6999999999998</v>
      </c>
      <c r="L304" s="3">
        <f>2501.6+(40-539.6)+(-6.37908+(-0.102--1.37598))+0-520.8--1.32803999999992</f>
        <v>1477.4229399999999</v>
      </c>
      <c r="M304" s="3">
        <f>2534.6+(10.3-385)+(2.585292+(0.010506-0.3927))+0-538.5-0.549270000000086</f>
        <v>1623.0538280000001</v>
      </c>
      <c r="N304" s="3">
        <f>2513.2+(93.9-270.1)+(1.281732+(0.047889-0.137751))+0-564.8-0.288047999999943</f>
        <v>1773.1038220000003</v>
      </c>
      <c r="O304" s="3">
        <f>2491.2+(283.2-381)+(-3.811536+(-0.433296--0.58293))+0-554.9--0.848997000000032</f>
        <v>1835.6870949999998</v>
      </c>
      <c r="P304" s="3">
        <f>2523.1+(439.8-528.3)+(-1.286781+(-0.224298--0.269433))+0-597.2--0.304571999999939</f>
        <v>1836.4629259999999</v>
      </c>
      <c r="Q304" s="3">
        <f>2549.2+(439.4-570.5)+(-2.600184+(-0.448188--0.58191))+0-516.8--0.527136000000082</f>
        <v>1899.3606740000002</v>
      </c>
      <c r="R304" s="3">
        <f>2505.3+(337-540.4)+(-5.110812+(-0.68748--1.102416))+0-553.1--1.12832399999998</f>
        <v>1745.232448</v>
      </c>
      <c r="S304" s="3">
        <f>2498.2+(256-465.9)+(0+(0-0))+0-539.9-0</f>
        <v>1748.3999999999996</v>
      </c>
      <c r="T304" s="3">
        <f>2510.6+(251.5-428.9)+(0+(0-0))+0-534-0</f>
        <v>1799.1999999999998</v>
      </c>
      <c r="U304" s="3">
        <f>2503.3+(173.4-351.2)+(-2.553366+(-0.176868--0.358224))+0-536.2--0.546924000000086</f>
        <v>1787.4749139999999</v>
      </c>
      <c r="V304" s="3">
        <f>2505.6+(50.3-397)+(-7.667136+(-0.153918--1.21482))+0-379.7--1.16188200000004</f>
        <v>1773.7556480000003</v>
      </c>
      <c r="W304" s="3">
        <f>2504.2+(388.5-360.3)+(-2.554284+(-0.39627--0.367506))+0-598.5--0.610470000000095</f>
        <v>1931.9274219999998</v>
      </c>
      <c r="X304" s="3">
        <f>2537.3+(277.9-293.8)+(-3.882069+(-0.425187--0.449514))+0-506.8--0.775404000000029</f>
        <v>2011.517662</v>
      </c>
      <c r="Y304" s="3">
        <f>2507.9+(560.9-407.1)+(-2.558058+(-0.572118--0.415242))+0-719.3--0.733686000000115</f>
        <v>1940.4187519999998</v>
      </c>
      <c r="Z304" s="3">
        <f>2435.5+(355.4-369.3)+(-3.726315+(-0.543762--0.565029))+0-563.6--0.862308000000033</f>
        <v>1855.1572600000002</v>
      </c>
      <c r="AA304" s="3">
        <f>2432.5+(444.9-284.9)+(-1.240575+(-0.226899--0.145299))+0-761.3--0.388262999999923</f>
        <v>1830.2660880000001</v>
      </c>
      <c r="AB304" s="3">
        <f>2413.6+(371.1-415.6)+(-1.230936+(-0.189261--0.211956))+0-606.2--0.309161999999939</f>
        <v>1762.0009210000001</v>
      </c>
      <c r="AC304" s="3">
        <f>2409.1+(296.6-420.5)+(-3.685923+(-0.453798--0.643365))+0-640.3--0.979659000000037</f>
        <v>1642.3833029999998</v>
      </c>
      <c r="AD304">
        <f t="shared" si="4"/>
        <v>41148.329918999996</v>
      </c>
      <c r="AE304" s="3">
        <f>2528+(289.7-305.3)+(0+(0-0))+0-649.1-0</f>
        <v>1863.3000000000002</v>
      </c>
    </row>
    <row r="305" spans="1:31" s="2" customFormat="1" x14ac:dyDescent="0.25">
      <c r="A305">
        <v>89</v>
      </c>
      <c r="B305">
        <v>10</v>
      </c>
      <c r="C305">
        <v>29</v>
      </c>
      <c r="D305">
        <v>5</v>
      </c>
      <c r="E305">
        <v>1</v>
      </c>
      <c r="F305" s="3">
        <f>2308.4+(319.5-390.3)+(-5.88642+(-0.814725--0.995265))+0-686.5--1.7505749999999</f>
        <v>1547.1446949999997</v>
      </c>
      <c r="G305" s="3">
        <f>2214.6+(327-421.6)+(3.388338+(0.50031-0.645048))+0-629.3-0.962829000000036</f>
        <v>1492.9807709999998</v>
      </c>
      <c r="H305" s="3">
        <f>2216.5+(324.1-369.5)+(-3.391245+(-0.495873--0.565335))+0-710--1.08630000000004</f>
        <v>1458.864517</v>
      </c>
      <c r="I305" s="3">
        <f>2085.8+(311.8-519.4)+(1.063758+(0.159018-0.264894))+0-428.5-0.218534999999957</f>
        <v>1450.4393470000002</v>
      </c>
      <c r="J305" s="3">
        <f>2084.3+(316.7-494.6)+(-5.314965+(-0.807585--1.26123))+0-456.1--1.16305499999993</f>
        <v>1446.6017350000002</v>
      </c>
      <c r="K305" s="3">
        <f>2219.8+(298.7-538.8)+(1.132098+(0.152337-0.274788))+0-533.5-0.272084999999946</f>
        <v>1446.9375620000005</v>
      </c>
      <c r="L305" s="3">
        <f>2517.7+(201.4-500.2)+(1.284027+(0.102714-0.255102))+0-682.8-0.348227999999931</f>
        <v>1536.883411</v>
      </c>
      <c r="M305" s="3">
        <f>2535.8+(166.3-457.2)+(0+(0-0))+0-644.5-0</f>
        <v>1600.4</v>
      </c>
      <c r="N305" s="3">
        <f>2504.3+(298-498.1)+(3.831579+(0.45594-0.762093))+0-576.6-0.882198000000033</f>
        <v>1730.2432280000005</v>
      </c>
      <c r="O305" s="3">
        <f>2502.2+(411.7-435.1)+(0+(0-0))+0-642.7-0</f>
        <v>1836.0999999999997</v>
      </c>
      <c r="P305" s="3">
        <f>2505.6+(387.1-420.7)+(-5.111424+(-0.789684--0.858228))+0-581.7--1.18666799999997</f>
        <v>1886.443788</v>
      </c>
      <c r="Q305" s="3">
        <f>2510.6+(626.9-547.6)+(-1.280406+(-0.319719--0.279276))+0-695.1--0.35450099999993</f>
        <v>1893.8336519999996</v>
      </c>
      <c r="R305" s="3">
        <f>2504.7+(499.2-633.5)+(-3.832191+(-0.763776--0.969255))+0-626.1--0.957933000000036</f>
        <v>1741.6312209999996</v>
      </c>
      <c r="S305" s="3">
        <f>2497.3+(295.7-472.7)+(-2.547246+(-0.301614--0.482154))+0-550--0.561000000000088</f>
        <v>1768.4942940000005</v>
      </c>
      <c r="T305" s="3">
        <f>2492+(152.7-376.3)+(0+(0-0))+0-499.8-0</f>
        <v>1768.6000000000001</v>
      </c>
      <c r="U305" s="3">
        <f>2462.9+(105.5-298.8)+(0+(0-0))+0-496.8-0</f>
        <v>1772.8</v>
      </c>
      <c r="V305" s="3">
        <f>2462.7+(105.2-316.7)+(0+(0-0))+6.5-512.8-0</f>
        <v>1744.8999999999999</v>
      </c>
      <c r="W305" s="3">
        <f>2477+(368.4-404.2)+(-5.05308+(-0.751536--0.824568))+0-534.3--1.08997199999998</f>
        <v>1903.009924</v>
      </c>
      <c r="X305" s="3">
        <f>2494.8+(529.8-433.2)+(-2.544696+(-0.540396--0.441864))+0-588.6--0.600372000000094</f>
        <v>2000.7571440000004</v>
      </c>
      <c r="Y305" s="3">
        <f>2490.9+(343.4-374.4)+(-6.351795+(-0.87567--0.95472))+0-528.5--1.34767499999992</f>
        <v>1926.4749299999999</v>
      </c>
      <c r="Z305" s="3">
        <f>2479.8+(323.7-381.3)+(0+(0-0))+0-570.7-0</f>
        <v>1851.5000000000002</v>
      </c>
      <c r="AA305" s="3">
        <f>2469.3+(241.7-282.8)+(2.518686+(0.246534-0.288456))+0-600.8-0.612816000000096</f>
        <v>1829.2639480000003</v>
      </c>
      <c r="AB305" s="3">
        <f>2486.3+(170.9-272.2)+(2.536026+(0.174318-0.277644))+0-624.7-0.6371940000001</f>
        <v>1762.0955059999997</v>
      </c>
      <c r="AC305" s="3">
        <f>2490.1+(79.2-276.3)+(-5.079804+(-0.161568--0.563652))+0-639.4--1.30437599999997</f>
        <v>1650.2266559999998</v>
      </c>
      <c r="AD305">
        <f t="shared" si="4"/>
        <v>41046.626328999999</v>
      </c>
      <c r="AE305" s="3">
        <f>2480+(638.3-432.5)+(0+(0-0))+0-643.9-0</f>
        <v>2041.9</v>
      </c>
    </row>
    <row r="306" spans="1:31" s="2" customFormat="1" x14ac:dyDescent="0.25">
      <c r="A306">
        <v>89</v>
      </c>
      <c r="B306">
        <v>10</v>
      </c>
      <c r="C306">
        <v>30</v>
      </c>
      <c r="D306">
        <v>6</v>
      </c>
      <c r="E306">
        <v>1</v>
      </c>
      <c r="F306" s="3">
        <f>2342.4+(62.9-339.1)+(-2.389248+(-0.064158--0.345882))+0-571.1--0.582522000000091</f>
        <v>1493.5749980000001</v>
      </c>
      <c r="G306" s="3">
        <f>2193.4+(115.9-223.5)+(0+(0-0))+0-591.1-0</f>
        <v>1494.7000000000003</v>
      </c>
      <c r="H306" s="3">
        <f>2080.5+(169.5-190.4)+(0+(0-0))+0-593.3-0</f>
        <v>1466.3</v>
      </c>
      <c r="I306" s="3">
        <f>2139.6+(194.3-205.8)+(-1.091196+(-0.099093--0.104958))+0-726--0.370259999999926</f>
        <v>1401.3849289999996</v>
      </c>
      <c r="J306" s="3">
        <f>2187.2+(71.2-221.5)+(-2.230944+(-0.072624--0.22593))+0-631.6--0.644232000000101</f>
        <v>1403.8665940000001</v>
      </c>
      <c r="K306" s="3">
        <f>2181.6+(147-197.8)+(4.450464+(0.29988-0.403512))+0-726.8-1.48267199999997</f>
        <v>1406.8641600000001</v>
      </c>
      <c r="L306" s="3">
        <f>2390.2+(85.1-294.2)+(1.219002+(0.043401-0.150042))+0-660.2-0.336701999999933</f>
        <v>1521.675659</v>
      </c>
      <c r="M306" s="3">
        <f>2511.8+(72.5-370.6)+(-3.843054+(-0.110925--0.567018))+0-674--1.03122000000004</f>
        <v>1537.3442590000002</v>
      </c>
      <c r="N306" s="3">
        <f>2492.8+(165.7-327.1)+(0+(0-0))+0-644.1-0</f>
        <v>1687.3000000000002</v>
      </c>
      <c r="O306" s="3">
        <f>2479.8+(159-336.4)+(5.058792+(0.32436-0.686256))+0-563.8-1.15015199999998</f>
        <v>1742.1467440000001</v>
      </c>
      <c r="P306" s="3">
        <f>2497.7+(317.7-355.2)+(1.273827+(0.162027-0.181152))+0-602.3-0.307172999999939</f>
        <v>1858.8475290000001</v>
      </c>
      <c r="Q306" s="3">
        <f>2500.3+(341.3-292.7)+(-5.100612+(-0.696252--0.597108))+0-657--1.34027999999997</f>
        <v>1888.040524</v>
      </c>
      <c r="R306" s="3">
        <f>2487.3+(236.3-290.1)+(2.537046+(0.241026-0.295902))+0-697.6-0.711552000000111</f>
        <v>1737.6706180000001</v>
      </c>
      <c r="S306" s="3">
        <f>2506.3+(287.7-351.7)+(-2.556426+(-0.293454--0.358734))+0-716.5--0.730830000000114</f>
        <v>1724.0396840000005</v>
      </c>
      <c r="T306" s="3">
        <f>2472.2+(110.2-313.7)+(-1.260822+(-0.056202--0.159987))+0-553--0.282029999999944</f>
        <v>1714.8249929999997</v>
      </c>
      <c r="U306" s="3">
        <f>2425.8+(93.3-251.6)+(-1.237158+(-0.047583--0.128316))+0-610.6--0.311405999999938</f>
        <v>1656.054981</v>
      </c>
      <c r="V306" s="3">
        <f>2439.4+(62.4-290.4)+(1.244094+(0.031824-0.148104))+0-545.8-0.278357999999945</f>
        <v>1666.4494560000001</v>
      </c>
      <c r="W306" s="3">
        <f>2471.8+(274.8-388.5)+(-1.260618+(-0.140148--0.198135))+0-508.4--0.259283999999948</f>
        <v>1848.7566530000001</v>
      </c>
      <c r="X306" s="3">
        <f>2537.9+(442.4-404)+(-5.177316+(-0.902496--0.82416))+0-586.4--1.19625599999997</f>
        <v>1985.8406040000002</v>
      </c>
      <c r="Y306" s="3">
        <f>2538.4+(203.9-367.5)+(-3.883752+(-0.311967--0.562275))+0-447.4--0.684522000000026</f>
        <v>1924.4510780000001</v>
      </c>
      <c r="Z306" s="3">
        <f>2530.8+(110.8-395.3)+(-6.45354+(-0.28254--1.008015))+0-422.9--1.07839499999994</f>
        <v>1818.7503300000003</v>
      </c>
      <c r="AA306" s="3">
        <f>2527.9+(88.1-338.1)+(2.578458+(0.089862-0.344862))+0-485.2-0.494904000000077</f>
        <v>1794.5285539999998</v>
      </c>
      <c r="AB306" s="3">
        <f>2508.5+(95.3-292)+(3.838005+(0.145809-0.44676))+0-574-0.878220000000033</f>
        <v>1740.458834</v>
      </c>
      <c r="AC306" s="3">
        <f>2454.3+(93.2-246.6)+(-3.755079+(-0.142596--0.377298))+0-663.4--1.01500200000004</f>
        <v>1634.9946250000003</v>
      </c>
      <c r="AD306">
        <f t="shared" si="4"/>
        <v>40148.865805999994</v>
      </c>
      <c r="AE306" s="3">
        <f>2519+(517.5-490.2)+(0+(0-0))+0-639.2-0</f>
        <v>1907.1000000000001</v>
      </c>
    </row>
    <row r="307" spans="1:31" s="2" customFormat="1" x14ac:dyDescent="0.25">
      <c r="A307">
        <v>89</v>
      </c>
      <c r="B307">
        <v>11</v>
      </c>
      <c r="C307">
        <v>1</v>
      </c>
      <c r="D307">
        <v>7</v>
      </c>
      <c r="E307">
        <v>1</v>
      </c>
      <c r="F307" s="3">
        <f>2188.5+(188-194.7)+(-5.580675+(-0.4794--0.496485))+0-682.3--1.7398649999999</f>
        <v>1495.676275</v>
      </c>
      <c r="G307" s="3">
        <f>2144.5+(118.8-222.5)+(-2.18739+(-0.121176--0.22695))+0-616.2--0.628524000000098</f>
        <v>1423.1469080000002</v>
      </c>
      <c r="H307" s="3">
        <f>2113.8+(261.5-240.9)+(-6.468228+(-0.80019--0.737154))+0-736.5--2.25369000000009</f>
        <v>1393.6224259999999</v>
      </c>
      <c r="I307" s="3">
        <f>1912.7+(259.6-189)+(0+(0-0))+0-613-0</f>
        <v>1370.3000000000002</v>
      </c>
      <c r="J307" s="3">
        <f>1909.3+(265.5-185.2)+(-0.973743+(-0.135405--0.094452))+0-628.7--0.320636999999936</f>
        <v>1360.2059409999999</v>
      </c>
      <c r="K307" s="3">
        <f>2074.2+(134.5-243.5)+(0+(0-0))+0-609.5-0</f>
        <v>1355.6999999999998</v>
      </c>
      <c r="L307" s="3">
        <f>2176.8+(149.2-288.7)+(-11.10168+(-0.76092--1.47237))+0-689.5--3.51645000000005</f>
        <v>1340.9262200000003</v>
      </c>
      <c r="M307" s="3">
        <f>2021.1+(343.3-400.4)+(2.061522+(0.350166-0.408408))+0-689.5-0.70329000000011</f>
        <v>1275.7999899999998</v>
      </c>
      <c r="N307" s="3">
        <f>2015.7+(414.1-495.8)+(-5.140035+(-1.055955--1.26429))+0-634.3--1.61746499999991</f>
        <v>1296.3857649999998</v>
      </c>
      <c r="O307" s="3">
        <f>2058.5+(511.5-537.2)+(-1.049835+(-0.260865--0.273972))+0-675.9--0.344708999999931</f>
        <v>1356.207981</v>
      </c>
      <c r="P307" s="3">
        <f>2391+(253.9-541.8)+(-4.87764+(-0.517956--1.105272))+0-674.9--1.37679599999997</f>
        <v>1425.2864719999998</v>
      </c>
      <c r="Q307" s="3">
        <f>2402.2+(203.6-449.9)+(-3.675366+(-0.311508--0.688347))+0-720.5--1.10236500000004</f>
        <v>1433.2038379999997</v>
      </c>
      <c r="R307" s="3">
        <f>2326.5+(239.5-536.5)+(1.186515+(0.122145-0.273615))+0-610.2-0.311201999999938</f>
        <v>1420.0238430000002</v>
      </c>
      <c r="S307" s="3">
        <f>2250.1+(347.8-540)+(-4.590204+(-0.709512--1.1016))+0-694.5--1.41677999999997</f>
        <v>1360.6186640000001</v>
      </c>
      <c r="T307" s="3">
        <f>2231.9+(315.3-566.2)+(-1.138269+(-0.160803--0.288762))+0-643.4--0.328133999999935</f>
        <v>1336.9178240000001</v>
      </c>
      <c r="U307" s="3">
        <f>2233.5+(297.5-535)+(-3.417255+(-0.455175--0.81855))+0-604.9--0.925497000000035</f>
        <v>1388.9716169999999</v>
      </c>
      <c r="V307" s="3">
        <f>2227.3+(316.8-528)+(-4.543692+(-0.646272--1.07712))+0-668--1.36271999999997</f>
        <v>1345.3498760000002</v>
      </c>
      <c r="W307" s="3">
        <f>2365.4+(350.3-491.9)+(1.206354+(0.178653-0.250869))+0-679.3-0.346442999999931</f>
        <v>1545.2876950000002</v>
      </c>
      <c r="X307" s="3">
        <f>2530.6+(317.4-532.1)+(-3.871818+(-0.485622--0.814113))+0-621.1--0.950283000000036</f>
        <v>1692.206956</v>
      </c>
      <c r="Y307" s="3">
        <f>2533.7+(154.8-513.7)+(-1.292187+(-0.078948--0.261987))+0-502.3--0.256172999999949</f>
        <v>1671.6470249999998</v>
      </c>
      <c r="Z307" s="3">
        <f>2525.1+(118.5-412.8)+(-5.151204+(-0.24174--0.842112))+0-598.5--1.22093999999997</f>
        <v>1628.9701079999998</v>
      </c>
      <c r="AA307" s="3">
        <f>2531.3+(163.5-391.9)+(3.872889+(0.250155-0.599607))+0-669.2-1.02387600000004</f>
        <v>1636.1995609999999</v>
      </c>
      <c r="AB307" s="3">
        <f>2516.3+(43.9-391.7)+(-5.133252+(-0.089556--0.799068))+0-565.3--1.15321199999998</f>
        <v>1599.9294719999998</v>
      </c>
      <c r="AC307" s="3">
        <f>2499.6+(81-376.9)+(-2.549592+(-0.08262--0.384438))+0-614.9--0.627198000000098</f>
        <v>1587.1794239999999</v>
      </c>
      <c r="AD307">
        <f t="shared" si="4"/>
        <v>34739.763881000006</v>
      </c>
      <c r="AE307" s="3">
        <f>2526+(460-476.8)+(0+(0-0))+0-809.9-0</f>
        <v>1699.2999999999997</v>
      </c>
    </row>
    <row r="308" spans="1:31" s="2" customFormat="1" x14ac:dyDescent="0.25">
      <c r="A308">
        <v>89</v>
      </c>
      <c r="B308">
        <v>11</v>
      </c>
      <c r="C308">
        <v>2</v>
      </c>
      <c r="D308">
        <v>1</v>
      </c>
      <c r="E308">
        <v>1</v>
      </c>
      <c r="F308" s="3">
        <f>2499.6+(9-521.4)+(-8.923572+(-0.03213--1.861398))+0-542.4--1.93636800000001</f>
        <v>1439.6420639999999</v>
      </c>
      <c r="G308" s="3">
        <f>2478.6+(29.4-512.3)+(-5.056344+(-0.059976--1.045092))+0-600.3--1.22461199999997</f>
        <v>1392.5533839999998</v>
      </c>
      <c r="H308" s="3">
        <f>2182.8+(73.7-314.4)+(1.113228+(0.037587-0.160344))+0-605.1-0.308600999999939</f>
        <v>1337.6818700000001</v>
      </c>
      <c r="I308" s="3">
        <f>2115.7+(83-309.5)+(0+(0-0))+0-558.2-0</f>
        <v>1330.9999999999998</v>
      </c>
      <c r="J308" s="3">
        <f>1988.7+(310.1-295.4)+(-3.042711+(-0.474453--0.451962))+0-674.9--1.03259700000004</f>
        <v>1326.4673950000004</v>
      </c>
      <c r="K308" s="3">
        <f>2009.9+(207-356.1)+(1.025049+(0.10557-0.181611))+0-510.7-0.260456999999948</f>
        <v>1350.7885510000003</v>
      </c>
      <c r="L308" s="3">
        <f>2150.3+(339.2-536.3)+(1.096653+(0.172992-0.273513))+0-508.4-0.259283999999948</f>
        <v>1445.5368480000004</v>
      </c>
      <c r="M308" s="3">
        <f>2283.5+(375.5-580.5)+(-2.32917+(-0.38301--0.59211))+0-511.3--0.521526000000082</f>
        <v>1565.6014560000001</v>
      </c>
      <c r="N308" s="3">
        <f>2511.6+(335.7-589.8)+(-2.561832+(-0.342414--0.601596))+0-567.3--0.57864600000009</f>
        <v>1688.4759960000001</v>
      </c>
      <c r="O308" s="3">
        <f>2511.7+(197.4-396.8)+(-1.280967+(-0.100674--0.202368))+0-494--0.25193999999995</f>
        <v>1817.3726669999994</v>
      </c>
      <c r="P308" s="3">
        <f>2507.6+(188.7-260)+(-5.115504+(-0.384948--0.5304))+0-591.5--1.20665999999997</f>
        <v>1841.0366079999997</v>
      </c>
      <c r="Q308" s="3">
        <f>2507.7+(170.6-261.3)+(-3.836781+(-0.261018--0.399789))+0-584.4--0.894132000000034</f>
        <v>1829.796122</v>
      </c>
      <c r="R308" s="3">
        <f>2503.3+(141.2-374)+(-6.383415+(-0.36006--0.9537))+0-511.2--1.30355999999993</f>
        <v>1754.8137849999996</v>
      </c>
      <c r="S308" s="3">
        <f>2493.2+(302.8-454.5)+(2.543064+(0.308856-0.46359))+0-570.7-0.582114000000091</f>
        <v>1772.6062160000001</v>
      </c>
      <c r="T308" s="3">
        <f>2487+(231.9-350.3)+(-1.26837+(-0.118269--0.178653))+0-575.4--0.293453999999942</f>
        <v>1792.2854679999998</v>
      </c>
      <c r="U308" s="3">
        <f>2424.2+(133.7-262.2)+(1.236342+(0.068187-0.133722))+0-509.5-0.259844999999948</f>
        <v>1787.1109619999997</v>
      </c>
      <c r="V308" s="3">
        <f>2432.8+(118.2-330.4)+(0+(0-0))+0-475.2-0</f>
        <v>1745.4000000000003</v>
      </c>
      <c r="W308" s="3">
        <f>2525.1+(286.6-318.6)+(3.863403+(0.438498-0.487458))+0-580-0.887400000000034</f>
        <v>1916.027043</v>
      </c>
      <c r="X308" s="3">
        <f>2544.8+(442.7-404.2)+(-3.893544+(-0.677331--0.618426))+0-546.8--0.836604000000032</f>
        <v>2033.3841550000004</v>
      </c>
      <c r="Y308" s="3">
        <f>2542.5+(228.8-240.6)+(-3.890025+(-0.350064--0.368118))+0-574--0.878220000000033</f>
        <v>1953.7062489999998</v>
      </c>
      <c r="Z308" s="3">
        <f>2541.7+(63.5-277.9)+(-5.185068+(-0.12954--0.566916))+0-486.1--0.991643999999979</f>
        <v>1837.4439519999999</v>
      </c>
      <c r="AA308" s="3">
        <f>2544+(101.1-272.7)+(-1.29744+(-0.051561--0.139077))+0-553.1--0.282080999999944</f>
        <v>1818.3721570000002</v>
      </c>
      <c r="AB308" s="3">
        <f>2527.4+(124.3-371.8)+(-5.155896+(-0.253572--0.758472))+0-522.1--1.06508399999998</f>
        <v>1754.2140880000004</v>
      </c>
      <c r="AC308" s="3">
        <f>2495.1+(127.7-380.7)+(-10.180008+(-0.521016--1.553256))+0-580.6--2.36884799999995</f>
        <v>1654.72108</v>
      </c>
      <c r="AD308">
        <f t="shared" si="4"/>
        <v>40186.038116000003</v>
      </c>
      <c r="AE308" s="3">
        <f>2524+(550.9-442.1)+(0+(0-0))+0-668.9-0</f>
        <v>1963.9</v>
      </c>
    </row>
    <row r="309" spans="1:31" s="2" customFormat="1" x14ac:dyDescent="0.25">
      <c r="A309">
        <v>89</v>
      </c>
      <c r="B309">
        <v>11</v>
      </c>
      <c r="C309">
        <v>3</v>
      </c>
      <c r="D309">
        <v>2</v>
      </c>
      <c r="E309">
        <v>1</v>
      </c>
      <c r="F309" s="3">
        <f>2274.9+(110-264.1)+(-3.480597+(-0.1683--0.404073))+0-555.3--0.849609000000032</f>
        <v>1563.1047850000004</v>
      </c>
      <c r="G309" s="3">
        <f>2186.1+(117.8-190.2)+(-4.459644+(-0.240312--0.388008))+0-608.6--1.24154399999997</f>
        <v>1502.0295959999999</v>
      </c>
      <c r="H309" s="3">
        <f>2138.6+(113.3-155.4)+(-5.45343+(-0.288915--0.39627))+0-616.2--1.57130999999991</f>
        <v>1476.5252349999998</v>
      </c>
      <c r="I309" s="3">
        <f>1952.9+(240.6-151.3)+(0.995979+(0.122706-0.077163))+0-573.7-0.292586999999942</f>
        <v>1469.2489350000001</v>
      </c>
      <c r="J309" s="3">
        <f>1951.4+(310.3-123.2)+(1.990428+(0.316506-0.125664))+0-681.7-0.695334000000109</f>
        <v>1458.285936</v>
      </c>
      <c r="K309" s="3">
        <f>1953.7+(289.9-159.7)+(0+(0-0))+0-604.9-0</f>
        <v>1479</v>
      </c>
      <c r="L309" s="3">
        <f>2114.1+(186.2-288.8)+(-4.312764+(-0.379848--0.589152))+0-511.9--1.04427599999998</f>
        <v>1496.5408160000002</v>
      </c>
      <c r="M309" s="3">
        <f>2180.2+(173.7-303.1)+(-2.223804+(-0.177174--0.309162))+0-468.7--0.478074000000075</f>
        <v>1580.4862579999997</v>
      </c>
      <c r="N309" s="3">
        <f>2384.1+(179.6-328.3)+(0+(0-0))+0-491.4-0</f>
        <v>1744</v>
      </c>
      <c r="O309" s="3">
        <f>2491.5+(68.3-256.6)+(-1.270665+(-0.034833--0.130866))+0-462.2--0.235721999999953</f>
        <v>1840.0610899999995</v>
      </c>
      <c r="P309" s="3">
        <f>2505.7+(166.8-232.9)+(-1.277907+(-0.085068--0.118779))+0-544.3--0.277592999999945</f>
        <v>1894.3333969999999</v>
      </c>
      <c r="Q309" s="3">
        <f>2501.5+(132.8-272.3)+(-2.55153+(-0.135456--0.277746))+0-480.1--0.489702000000077</f>
        <v>1879.9804620000002</v>
      </c>
      <c r="R309" s="3">
        <f>2485.7+(29.3-272.9)+(-1.267707+(-0.014943--0.139179))+0-476.6--0.243065999999952</f>
        <v>1764.5995950000001</v>
      </c>
      <c r="S309" s="3">
        <f>2496.2+(32.4-296.5)+(-1.273062+(-0.016524--0.151215))+0-470.2--0.239801999999952</f>
        <v>1761.0014309999999</v>
      </c>
      <c r="T309" s="3">
        <f>2472.6+(44.5-260.8)+(-6.30513+(-0.113475--0.66504))+0-449.2--1.14545999999993</f>
        <v>1802.4918949999997</v>
      </c>
      <c r="U309" s="3">
        <f>2418.8+(92.6-274.3)+(1.233588+(0.047226-0.139893))+0-438-0.223379999999956</f>
        <v>1800.0175410000006</v>
      </c>
      <c r="V309" s="3">
        <f>2497+(51.7-279.9)+(-3.82041+(-0.079101--0.428247))+0-487.9--0.746487000000028</f>
        <v>1778.1752230000004</v>
      </c>
      <c r="W309" s="3">
        <f>2440.1+(280.1-378.7)+(-2.488902+(-0.285702--0.386274))+0-425.7--0.434214000000068</f>
        <v>1913.8458839999998</v>
      </c>
      <c r="X309" s="3">
        <f>2425.5+(422.6-322.5)+(-4.94802+(-0.862104--0.6579))+0-502.6--1.02530399999998</f>
        <v>2018.8730800000001</v>
      </c>
      <c r="Y309" s="3">
        <f>2427.7+(222.3-292.6)+(-4.952508+(-0.453492--0.596904))+0-407.7--0.831707999999982</f>
        <v>1945.7226119999996</v>
      </c>
      <c r="Z309" s="3">
        <f>2340.7+(309.3-264.9)+(-1.193757+(-0.157743--0.135099))+0-525.3--0.267902999999947</f>
        <v>1858.8515019999998</v>
      </c>
      <c r="AA309" s="3">
        <f>2341.4+(340.8-305.3)+(-1.194114+(-0.173808--0.155703))+0-540.8--0.275807999999945</f>
        <v>1835.163589</v>
      </c>
      <c r="AB309" s="3">
        <f>2320.7+(350.5-293.2)+(0+(0-0))+0-588.2-0</f>
        <v>1789.8</v>
      </c>
      <c r="AC309" s="3">
        <f>2330+(196.4-226.3)+(-5.9415+(-0.50082--0.577065))+0-618.5--1.57717499999991</f>
        <v>1677.3119199999996</v>
      </c>
      <c r="AD309">
        <f t="shared" si="4"/>
        <v>41329.450782000007</v>
      </c>
      <c r="AE309" s="3">
        <f>2418+(535-337.1)+(0+(0-0))+0-625.3-0</f>
        <v>1990.6000000000001</v>
      </c>
    </row>
    <row r="310" spans="1:31" s="2" customFormat="1" x14ac:dyDescent="0.25">
      <c r="A310">
        <v>89</v>
      </c>
      <c r="B310">
        <v>11</v>
      </c>
      <c r="C310">
        <v>4</v>
      </c>
      <c r="D310">
        <v>3</v>
      </c>
      <c r="E310">
        <v>1</v>
      </c>
      <c r="F310" s="3">
        <f>2314.3+(81.9-337.9)+(-2.360586+(-0.083538--0.344658))+0-473.4--0.482868000000075</f>
        <v>1583.283402</v>
      </c>
      <c r="G310" s="3">
        <f>2033.2+(164.4-208.2)+(-1.036932+(-0.083844--0.106182))+0-506.9--0.258518999999949</f>
        <v>1481.7439250000002</v>
      </c>
      <c r="H310" s="3">
        <f>2029.4+(171.2-197.1)+(-2.069988+(-0.174624--0.201042))+0-567.5--0.57885000000009</f>
        <v>1434.5352800000001</v>
      </c>
      <c r="I310" s="3">
        <f>2027.6+(253.4-171.2)+(2.068152+(0.258468-0.174624))+0-689.1-0.70288200000011</f>
        <v>1422.1491139999998</v>
      </c>
      <c r="J310" s="3">
        <f>2029.8+(273.3-193.2)+(2.070396+(0.278766-0.197064))+0-671.1-0.684522000000107</f>
        <v>1440.2675760000002</v>
      </c>
      <c r="K310" s="3">
        <f>2031.3+(291.7-230)+(4.143852+(0.595068-0.4692))+0-633.5-1.29233999999997</f>
        <v>1462.4773799999998</v>
      </c>
      <c r="L310" s="3">
        <f>2339.5+(160-328.1)+(-3.579435+(-0.2448--0.501993))+0-639.7--0.978741000000037</f>
        <v>1529.356499</v>
      </c>
      <c r="M310" s="3">
        <f>2488.7+(4-467.2)+(-6.346185+(-0.0102--1.19136))+0-469.8--1.19798999999993</f>
        <v>1551.7329649999997</v>
      </c>
      <c r="N310" s="3">
        <f>2477.4+(149-382.5)+(0+(0-0))+0-526-0</f>
        <v>1717.9</v>
      </c>
      <c r="O310" s="3">
        <f>2558+(147.3-234.5)+(0+(0-0))+0-580-0</f>
        <v>1890.8000000000002</v>
      </c>
      <c r="P310" s="3">
        <f>2604.7+(168-342.8)+(-5.313588+(-0.34272--0.699312))+0-550.1--1.12220399999998</f>
        <v>1875.9652079999998</v>
      </c>
      <c r="Q310" s="3">
        <f>2590.2+(228.3-406.5)+(-6.60501+(-0.582165--1.036575))+0-527.5--1.34512499999992</f>
        <v>1879.6945249999999</v>
      </c>
      <c r="R310" s="3">
        <f>2616+(68.1-359.3)+(-5.33664+(-0.138924--0.732972))+0-572.8--1.16851199999997</f>
        <v>1748.4259200000001</v>
      </c>
      <c r="S310" s="3">
        <f>2612.1+(35.4-348.1)+(-1.332171+(-0.018054--0.177531))+0-532.8--0.271727999999946</f>
        <v>1765.6990339999998</v>
      </c>
      <c r="T310" s="3">
        <f>2622+(23.9-350.5)+(0+(0-0))+0-511.5-0</f>
        <v>1783.9</v>
      </c>
      <c r="U310" s="3">
        <f>2545+(90.8-260.5)+(3.89385+(0.138924-0.398565))+0-583.1-0.892143000000034</f>
        <v>1794.9420660000001</v>
      </c>
      <c r="V310" s="3">
        <f>2585+(96.3-236.8)+(0+(0-0))+0-686.8-0</f>
        <v>1757.7</v>
      </c>
      <c r="W310" s="3">
        <f>2636.4+(300.4-509.9)+(0+(0-0))+0-538.9-0</f>
        <v>1888</v>
      </c>
      <c r="X310" s="3">
        <f>2654.3+(577.8-597.9)+(-4.061079+(-0.884034--0.914787))+0-615.5--0.941715000000036</f>
        <v>2015.6113890000001</v>
      </c>
      <c r="Y310" s="3">
        <f>2664.6+(337.3-405.9)+(-4.076838+(-0.516069--0.621027))+0-670.8--1.02632400000004</f>
        <v>1922.2544439999999</v>
      </c>
      <c r="Z310" s="3">
        <f>2647.7+(25-387.1)+(-4.050981+(-0.03825--0.592263))+0-459.2--0.702576000000027</f>
        <v>1823.6056080000001</v>
      </c>
      <c r="AA310" s="3">
        <f>2640.7+(79.3-274.1)+(-1.346757+(-0.040443--0.139791))+0-649--0.330989999999934</f>
        <v>1795.9835809999995</v>
      </c>
      <c r="AB310" s="3">
        <f>2598.3+(73.3-397.2)+(-2.650266+(-0.074766--0.405144))+0-536--0.546720000000085</f>
        <v>1736.6268320000001</v>
      </c>
      <c r="AC310" s="3">
        <f>2528.3+(80.2-413.5)+(0+(0-0))+0-547.2-0</f>
        <v>1647.8</v>
      </c>
      <c r="AD310">
        <f t="shared" si="4"/>
        <v>40950.454748000011</v>
      </c>
      <c r="AE310" s="3">
        <f>2652+(593.4-545.6)+(0+(0-0))+0-616.1-0</f>
        <v>2083.7000000000003</v>
      </c>
    </row>
    <row r="311" spans="1:31" s="2" customFormat="1" x14ac:dyDescent="0.25">
      <c r="A311">
        <v>89</v>
      </c>
      <c r="B311">
        <v>11</v>
      </c>
      <c r="C311">
        <v>5</v>
      </c>
      <c r="D311">
        <v>4</v>
      </c>
      <c r="E311">
        <v>5</v>
      </c>
      <c r="F311" s="3">
        <f>2399.3+(58.5-343.7)+(-1.223643+(-0.029835--0.175287))+0-576.4--0.293963999999941</f>
        <v>1536.9157730000002</v>
      </c>
      <c r="G311" s="3">
        <f>2175.1+(129.5-223.1)+(-3.327903+(-0.198135--0.341343))+0-625.4--0.956862000000036</f>
        <v>1453.872167</v>
      </c>
      <c r="H311" s="3">
        <f>2038.2+(206.2-165.8)+(2.078964+(0.210324-0.169116))+0-670.6-0.684012000000107</f>
        <v>1409.4361599999997</v>
      </c>
      <c r="I311" s="3">
        <f>2043+(214.7-183.8)+(-1.04193+(-0.109497--0.093738))+0-683.9--0.348788999999931</f>
        <v>1389.2910999999997</v>
      </c>
      <c r="J311" s="3">
        <f>2070.2+(174.9-228.6)+(-1.055802+(-0.089199--0.116586))+0-643.4--0.328133999999935</f>
        <v>1372.3997189999995</v>
      </c>
      <c r="K311" s="3">
        <f>2130+(214.5-305.4)+(1.0863+(0.109395-0.155754))+0-666.3-0.339812999999932</f>
        <v>1373.5001280000001</v>
      </c>
      <c r="L311" s="3">
        <f>2170.2+(141.5-363.3)+(-6.640812+(-0.43299--1.111698))+0-589.7--1.80448200000007</f>
        <v>1354.5423779999999</v>
      </c>
      <c r="M311" s="3">
        <f>2162.8+(125.1-491.3)+(-5.51514+(-0.319005--1.252815))+0-519.6--1.32497999999992</f>
        <v>1273.7436499999999</v>
      </c>
      <c r="N311" s="3">
        <f>2244.8+(257.2-600.2)+(-2.289696+(-0.262344--0.612204))+0-560.7--0.571914000000089</f>
        <v>1339.7320780000002</v>
      </c>
      <c r="O311" s="3">
        <f>2299.3+(197.5-506.9)+(-4.690572+(-0.4029--1.034076))+0-604.1--1.23236399999997</f>
        <v>1382.972968</v>
      </c>
      <c r="P311" s="3">
        <f>2565.8+(107.9-639.1)+(-3.925674+(-0.165087--0.977823))+0-586.1--0.896733000000034</f>
        <v>1446.2837950000003</v>
      </c>
      <c r="Q311" s="3">
        <f>2542.6+(89.3-594.4)+(-6.48363+(-0.227715--1.51572))+0-587.3--1.49761499999991</f>
        <v>1446.50199</v>
      </c>
      <c r="R311" s="3">
        <f>2490.9+(67.6-566)+(-7.622154+(-0.206856--1.73196))+0-601.5--1.84059000000007</f>
        <v>1386.7435399999999</v>
      </c>
      <c r="S311" s="3">
        <f>2355.1+(157.7-420.3)+(-2.402202+(-0.160854--0.428706))+0-715.8--0.730116000000114</f>
        <v>1375.2957660000004</v>
      </c>
      <c r="T311" s="3">
        <f>2315.5+(145.2-549.9)+(-5.904525+(-0.37026--1.402245))+0-538--1.37189999999992</f>
        <v>1369.2993599999998</v>
      </c>
      <c r="U311" s="3">
        <f>2299+(152-447.3)+(2.34498+(0.15504-0.456246))+0-639.2-0.651984000000102</f>
        <v>1365.8917899999999</v>
      </c>
      <c r="V311" s="3">
        <f>2298.7+(148-418.8)+(2.344674+(0.15096-0.427176))+0-672.3-0.685746000000107</f>
        <v>1356.9827119999998</v>
      </c>
      <c r="W311" s="3">
        <f>2436.9+(197.2-495.7)+(0+(0-0))+0-610.1-0</f>
        <v>1528.3000000000002</v>
      </c>
      <c r="X311" s="3">
        <f>2659.1+(256.4-611.7)+(-1.356141+(-0.130764--0.311967))+0-597--0.304469999999939</f>
        <v>1705.9295319999997</v>
      </c>
      <c r="Y311" s="3">
        <f>2665.4+(192.3-468.3)+(-5.437416+(-0.392292--0.955332))+0-688--1.40351999999997</f>
        <v>1697.929144</v>
      </c>
      <c r="Z311" s="3">
        <f>2658.7+(116-496.8)+(0+(0-0))+0-616.7-0</f>
        <v>1661.1999999999996</v>
      </c>
      <c r="AA311" s="3">
        <f>2652.9+(139.7-436.5)+(0+(0-0))+0-690.4-0</f>
        <v>1665.6999999999998</v>
      </c>
      <c r="AB311" s="3">
        <f>2641+(99.7-443.7)+(-8.08146+(-0.305082--1.357722))+0-676.5--2.07009000000008</f>
        <v>1615.5412700000002</v>
      </c>
      <c r="AC311" s="3">
        <f>2634.9+(107.2-598.9)+(-2.687598+(-0.109344--0.610878))+0-604.2--0.616284000000096</f>
        <v>1537.4302200000004</v>
      </c>
      <c r="AD311">
        <f t="shared" si="4"/>
        <v>35045.435240000006</v>
      </c>
      <c r="AE311" s="3">
        <f>2650+(180.5-684.8)+(0+(0-0))+0-450-0</f>
        <v>1695.6999999999998</v>
      </c>
    </row>
    <row r="312" spans="1:31" s="2" customFormat="1" x14ac:dyDescent="0.25">
      <c r="A312">
        <v>89</v>
      </c>
      <c r="B312">
        <v>11</v>
      </c>
      <c r="C312">
        <v>6</v>
      </c>
      <c r="D312">
        <v>5</v>
      </c>
      <c r="E312">
        <v>1</v>
      </c>
      <c r="F312" s="3">
        <f>2379+(177.8-497.8)+(-3.63987+(-0.272034--0.761634))+0-575.7--0.880821000000033</f>
        <v>1481.0305509999998</v>
      </c>
      <c r="G312" s="3">
        <f>2116.9+(321.4-331.9)+(-1.079619+(-0.163914--0.169269))+0-692.1--0.35297099999993</f>
        <v>1413.5787070000003</v>
      </c>
      <c r="H312" s="3">
        <f>2064.8+(317.6-356.3)+(1.053048+(0.161976-0.181713))+0-632.3-0.322472999999936</f>
        <v>1394.5108380000001</v>
      </c>
      <c r="I312" s="3">
        <f>2040+(298.7-350.4)+(0+(0-0))+0-597-0</f>
        <v>1391.3</v>
      </c>
      <c r="J312" s="3">
        <f>2061.3+(340.1-358.4)+(4.205052+(0.693804-0.731136))+0-658.1-1.34252399999997</f>
        <v>1387.7251960000001</v>
      </c>
      <c r="K312" s="3">
        <f>2177.4+(344.7-429.9)+(1.110474+(0.175797-0.219249))+0-677.9-0.345728999999931</f>
        <v>1415.0212930000005</v>
      </c>
      <c r="L312" s="3">
        <f>2455.1+(343.3-758.8)+(-2.504202+(-0.350166--0.773976))+0-628.8--0.6413760000001</f>
        <v>1409.3609839999999</v>
      </c>
      <c r="M312" s="3">
        <f>2575.8+(334.4-776.8)+(2.627316+(0.341088-0.792336))+0-518.5-0.528870000000083</f>
        <v>1616.5471980000002</v>
      </c>
      <c r="N312" s="3">
        <f>2633.8+(322.1-571.9)+(-1.343238+(-0.164271--0.291669))+0-638--0.325379999999935</f>
        <v>1745.1095400000002</v>
      </c>
      <c r="O312" s="3">
        <f>2443.6+(514.8-394.5)+(-2.492472+(-0.525096--0.40239))+0-661.5--0.674730000000106</f>
        <v>1900.4595519999998</v>
      </c>
      <c r="P312" s="3">
        <f>2291.1+(566.2-351.2)+(2.336922+(0.577524-0.358224))+0-563.3-0.57456600000009</f>
        <v>1944.7816560000001</v>
      </c>
      <c r="Q312" s="3">
        <f>2269.2+(562.3-321)+(1.157292+(0.286773-0.16371))+0-566.7-0.289016999999943</f>
        <v>1944.791338</v>
      </c>
      <c r="R312" s="3">
        <f>2255.9+(480.1-348)+(-5.752545+(-1.224255--0.8874))+0-570--1.45349999999992</f>
        <v>1813.3641</v>
      </c>
      <c r="S312" s="3">
        <f>2274.2+(471.9-395.3)+(0+(0-0))+0-554.1-0</f>
        <v>1796.6999999999998</v>
      </c>
      <c r="T312" s="3">
        <f>2270+(560.5-337.6)+(0+(0-0))+0-647.3-0</f>
        <v>1845.6000000000001</v>
      </c>
      <c r="U312" s="3">
        <f>2279.1+(519.5-379.9)+(-1.162341+(-0.264945--0.193749))+0-575.5--0.293504999999942</f>
        <v>1842.2599679999996</v>
      </c>
      <c r="V312" s="3">
        <f>2279.7+(567.3-368.1)+(-4.650588+(-1.157292--0.750924))+0-612.3--1.24909199999997</f>
        <v>1862.7921359999998</v>
      </c>
      <c r="W312" s="3">
        <f>2293.8+(647.9-350.6)+(-4.679352+(-1.321716--0.715224))+0-645.8--1.31743199999997</f>
        <v>1941.3315880000005</v>
      </c>
      <c r="X312" s="3">
        <f>2274.1+(670-386.3)+(1.159791+(0.3417-0.197013))+0-508.9-0.259538999999948</f>
        <v>2049.9449389999995</v>
      </c>
      <c r="Y312" s="3">
        <f>2270.9+(695.2-423.1)+(1.158159+(0.354552-0.215781))+0-549-0.279989999999944</f>
        <v>1995.01694</v>
      </c>
      <c r="Z312" s="3">
        <f>2376.2+(461.5-387.2)+(-6.05931+(-1.176825--0.98736))+0-551.7--1.40683499999992</f>
        <v>1893.9580599999999</v>
      </c>
      <c r="AA312" s="3">
        <f>2421+(350.6-391.8)+(0+(0-0))+0-510.3-0</f>
        <v>1869.5000000000002</v>
      </c>
      <c r="AB312" s="3">
        <f>2417.2+(169.5-351.9)+(-6.16386+(-0.432225--0.897345))+0-424--1.08119999999994</f>
        <v>1806.1824599999998</v>
      </c>
      <c r="AC312" s="3">
        <f>2508.4+(111.7-415.6)+(-7.675704+(-0.341802--1.271736))+0-512.2--1.56733200000006</f>
        <v>1687.121562</v>
      </c>
      <c r="AD312">
        <f t="shared" si="4"/>
        <v>41447.988605999992</v>
      </c>
      <c r="AE312" s="3">
        <f>2323+(823.4-372.9)+(0+(0-0))+0-656.1-0</f>
        <v>2117.4</v>
      </c>
    </row>
    <row r="313" spans="1:31" s="2" customFormat="1" x14ac:dyDescent="0.25">
      <c r="A313">
        <v>89</v>
      </c>
      <c r="B313">
        <v>11</v>
      </c>
      <c r="C313">
        <v>7</v>
      </c>
      <c r="D313">
        <v>6</v>
      </c>
      <c r="E313">
        <v>1</v>
      </c>
      <c r="F313" s="3">
        <f>2362.4+(152.1-463.2)+(-3.614472+(-0.232713--0.708696))+0-421.1--0.644283000000024</f>
        <v>1627.7057940000004</v>
      </c>
      <c r="G313" s="3">
        <f>2133.8+(255.7-410.9)+(4.352952+(0.521628-0.838236))+0-443.4-0.904535999999981</f>
        <v>1538.3318080000004</v>
      </c>
      <c r="H313" s="3">
        <f>2125.8+(420.5-491.7)+(3.252474+(0.643365-0.752301))+0-524.3-0.80217900000003</f>
        <v>1532.6413590000002</v>
      </c>
      <c r="I313" s="3">
        <f>2127.8+(419.9-565.5)+(1.085178+(0.214149-0.288405))+0-502.8-0.256427999999949</f>
        <v>1480.1544940000003</v>
      </c>
      <c r="J313" s="3">
        <f>2122.3+(473.7-541.8)+(0+(0-0))+0-577-0</f>
        <v>1477.2000000000003</v>
      </c>
      <c r="K313" s="3">
        <f>2187.4+(552.3-596.3)+(0+(0-0))+0-645.3-0</f>
        <v>1498.1000000000001</v>
      </c>
      <c r="L313" s="3">
        <f>2239.7+(553.1-678.1)+(2.284494+(0.564162-0.691662))+0-597.4-0.609348000000095</f>
        <v>1518.8476459999995</v>
      </c>
      <c r="M313" s="3">
        <f>2313.6+(463-693.8)+(-1.179936+(-0.23613--0.353838))+0-555--0.283049999999944</f>
        <v>1527.0208220000004</v>
      </c>
      <c r="N313" s="3">
        <f>2305.2+(462-488.6)+(-2.351304+(-0.47124--0.498372))+0-518--0.528360000000083</f>
        <v>1758.8041879999998</v>
      </c>
      <c r="O313" s="3">
        <f>2299.5+(583.6-486.1)+(-4.69098+(-1.190544--0.991644))+0-571.3--1.16545199999998</f>
        <v>1821.9755719999998</v>
      </c>
      <c r="P313" s="3">
        <f>2297.4+(617.4-464.8)+(-1.171674+(-0.314874--0.237048))+0-557.4--0.284273999999943</f>
        <v>1891.6347739999999</v>
      </c>
      <c r="Q313" s="3">
        <f>2291.9+(715-395)+(0+(0-0))+0-612.1-0</f>
        <v>1999.8000000000002</v>
      </c>
      <c r="R313" s="3">
        <f>2293.1+(493-406.3)+(-4.677924+(-1.00572--0.828852))+0-558.5--1.13933999999998</f>
        <v>1817.5845479999996</v>
      </c>
      <c r="S313" s="3">
        <f>2291.4+(406-352.3)+(-8.180298+(-1.44942--1.257711))+0-615.9--2.19876300000001</f>
        <v>1723.026756</v>
      </c>
      <c r="T313" s="3">
        <f>2236.6+(274.1-346.1)+(-5.70333+(-0.698955--0.882555))+0-450.2--1.14800999999993</f>
        <v>1710.0282799999998</v>
      </c>
      <c r="U313" s="3">
        <f>2309.8+(338.3-306.9)+(-2.355996+(-0.345066--0.313038))+0-601.7--0.613734000000096</f>
        <v>1737.7257100000004</v>
      </c>
      <c r="V313" s="3">
        <f>2499.1+(285.5-429.8)+(-5.098164+(-0.58242--0.876792))+0-599.7--1.22338799999997</f>
        <v>1751.5195959999994</v>
      </c>
      <c r="W313" s="3">
        <f>2631.8+(314-555)+(1.342218+(0.16014-0.28305))+0-650.8-0.331907999999934</f>
        <v>1740.8874000000005</v>
      </c>
      <c r="X313" s="3">
        <f>2769.3+(345.2-538.7)+(-7.061715+(-0.88026--1.373685))+0-604.2--1.54070999999991</f>
        <v>1966.57242</v>
      </c>
      <c r="Y313" s="3">
        <f>2701.6+(301.8-475.8)+(-4.133448+(-0.461754--0.727974))+0-657.1--1.00536300000004</f>
        <v>1867.6381349999999</v>
      </c>
      <c r="Z313" s="3">
        <f>2574.6+(328.1-439.3)+(-1.313046+(-0.167331--0.224043))+0-645.1--0.329000999999935</f>
        <v>1817.3726669999999</v>
      </c>
      <c r="AA313" s="3">
        <f>2563+(201.7-462.9)+(-2.61426+(-0.205734--0.472158))+0-567.7--0.579054000000091</f>
        <v>1732.3312180000003</v>
      </c>
      <c r="AB313" s="3">
        <f>2545.8+(203.6-468.7)+(-5.193432+(-0.415344--0.956148))+0-591.8--1.20727199999997</f>
        <v>1685.4546440000004</v>
      </c>
      <c r="AC313" s="3">
        <f>2453.5+(117.8-489.7)+(0+(0-0))+0-487.5-0</f>
        <v>1594.1</v>
      </c>
      <c r="AD313">
        <f t="shared" si="4"/>
        <v>40816.457830999992</v>
      </c>
      <c r="AE313" s="3">
        <f>2792+(391.1-555.3)+(0+(0-0))+0-673.8-0</f>
        <v>1954.0000000000002</v>
      </c>
    </row>
    <row r="314" spans="1:31" s="2" customFormat="1" x14ac:dyDescent="0.25">
      <c r="A314">
        <v>89</v>
      </c>
      <c r="B314">
        <v>11</v>
      </c>
      <c r="C314">
        <v>8</v>
      </c>
      <c r="D314">
        <v>7</v>
      </c>
      <c r="E314">
        <v>1</v>
      </c>
      <c r="F314" s="3">
        <f>2339.8+(177.5-353.4)+(-5.96649+(-0.452625--0.90117))+0-657.5--1.6766249999999</f>
        <v>1502.5586799999999</v>
      </c>
      <c r="G314" s="3">
        <f>2123.6+(141.2-252.3)+(-3.249108+(-0.216036--0.386019))+0-600.4--0.918612000000035</f>
        <v>1409.9394870000001</v>
      </c>
      <c r="H314" s="3">
        <f>1930.3+(323-274.2)+(-0.984453+(-0.16473--0.139842))+0-595.5--0.30370499999994</f>
        <v>1382.894364</v>
      </c>
      <c r="I314" s="3">
        <f>1882.6+(342.8-285.1)+(-0.960126+(-0.174828--0.145401))+0-589.6--0.30069599999994</f>
        <v>1350.0111429999999</v>
      </c>
      <c r="J314" s="3">
        <f>1887.3+(332.5-226.6)+(0.962523+(0.169575-0.115566))+0-650.6-0.331805999999934</f>
        <v>1343.2847260000001</v>
      </c>
      <c r="K314" s="3">
        <f>1965.8+(273.4-256.9)+(-3.007674+(-0.418302--0.393057))+0-637.2--0.974916000000037</f>
        <v>1343.041997</v>
      </c>
      <c r="L314" s="3">
        <f>1985.1+(193.8-293.6)+(-2.024802+(-0.197676--0.299472))+0-554.1--0.565182000000088</f>
        <v>1329.8421759999999</v>
      </c>
      <c r="M314" s="3">
        <f>2054.4+(186.1-375.5)+(0+(0-0))+0-611.2-0</f>
        <v>1253.8</v>
      </c>
      <c r="N314" s="3">
        <f>2087.7+(157.6-386.4)+(-2.129454+(-0.160752--0.394128))+0-574.3--0.585786000000092</f>
        <v>1283.289708</v>
      </c>
      <c r="O314" s="3">
        <f>2081.2+(238.3-359)+(3.184236+(0.364599-0.54927))+0-608.7-0.931311000000035</f>
        <v>1353.8682539999998</v>
      </c>
      <c r="P314" s="3">
        <f>2213.2+(227.5-401.1)+(-3.386196+(-0.348075--0.613683))+0-615--0.940950000000036</f>
        <v>1422.4203619999998</v>
      </c>
      <c r="Q314" s="3">
        <f>2277.4+(221.6-413.5)+(-2.322948+(-0.226032--0.42177))+0-651.8--0.664836000000104</f>
        <v>1432.2376260000001</v>
      </c>
      <c r="R314" s="3">
        <f>2180.7+(173.1-379.7)+(-10.009413+(-0.794529--1.742823))+0-588.7--2.7021330000001</f>
        <v>1379.0410139999999</v>
      </c>
      <c r="S314" s="3">
        <f>2015+(210.4-323.2)+(0+(0-0))+0-539.4-0</f>
        <v>1362.8000000000002</v>
      </c>
      <c r="T314" s="3">
        <f>2029.3+(161-317.4)+(-1.034943+(-0.08211--0.161874))+0-537.9--0.274328999999945</f>
        <v>1334.3191499999998</v>
      </c>
      <c r="U314" s="3">
        <f>2070.7+(179.4-325.4)+(-1.056057+(-0.091494--0.165954))+0-605.8--0.308957999999939</f>
        <v>1318.2273609999997</v>
      </c>
      <c r="V314" s="3">
        <f>2128+(146.3-353.8)+(-3.25584+(-0.223839--0.541314))+0-572.5--0.875925000000033</f>
        <v>1345.9375600000001</v>
      </c>
      <c r="W314" s="3">
        <f>2178.3+(370.9-524.9)+(-4.443732+(-0.756636--1.070796))+0-545.6--1.11302399999998</f>
        <v>1475.683452</v>
      </c>
      <c r="X314" s="3">
        <f>2420.2+(448.1-519.9)+(-4.937208+(-0.914124--1.060596))+0-683--1.39331999999997</f>
        <v>1662.0025839999996</v>
      </c>
      <c r="Y314" s="3">
        <f>2444.7+(265.3-484.6)+(-3.740391+(-0.405909--0.741438))+0-573.1--0.876843000000033</f>
        <v>1649.7719809999999</v>
      </c>
      <c r="Z314" s="3">
        <f>2365.3+(252.8-379.7)+(-2.412606+(-0.257856--0.387294))+0-610.4--0.622608000000097</f>
        <v>1626.3394400000002</v>
      </c>
      <c r="AA314" s="3">
        <f>2365.6+(222.5-324.4)+(-1.206456+(-0.113475--0.165444))+0-637.4--0.325073999999935</f>
        <v>1625.4705869999998</v>
      </c>
      <c r="AB314" s="3">
        <f>2344.6+(97.2-333.4)+(-2.391492+(-0.099144--0.340068))+0-512.5--0.522750000000082</f>
        <v>1594.2721820000002</v>
      </c>
      <c r="AC314" s="3">
        <f>2248.3+(174.1-276.5)+(-8.026431+(-0.621537--0.987105))+0-637--2.27409000000001</f>
        <v>1503.5132270000001</v>
      </c>
      <c r="AD314">
        <f t="shared" si="4"/>
        <v>34284.567060999994</v>
      </c>
      <c r="AE314" s="3">
        <f>2433+(460.8-504.3)+(0+(0-0))+0-702.8-0</f>
        <v>1686.7</v>
      </c>
    </row>
    <row r="315" spans="1:31" s="2" customFormat="1" x14ac:dyDescent="0.25">
      <c r="A315">
        <v>89</v>
      </c>
      <c r="B315">
        <v>11</v>
      </c>
      <c r="C315">
        <v>9</v>
      </c>
      <c r="D315">
        <v>1</v>
      </c>
      <c r="E315">
        <v>1</v>
      </c>
      <c r="F315" s="3">
        <f>2027.5+(185.4-232.9)+(0+(0-0))+0-583.1-0</f>
        <v>1396.9</v>
      </c>
      <c r="G315" s="3">
        <f>2011.2+(187.4-267.1)+(-7.179984+(-0.669018--0.953547))+0-571.2--2.03918400000001</f>
        <v>1355.4437289999998</v>
      </c>
      <c r="H315" s="3">
        <f>2012.5+(247.3-264)+(-1.026375+(-0.126123--0.13464))+0-657.4--0.335273999999933</f>
        <v>1337.717416</v>
      </c>
      <c r="I315" s="3">
        <f>1972.7+(190.9-262.8)+(-3.018231+(-0.292077--0.402084))+0-576.4--0.881892000000033</f>
        <v>1322.373668</v>
      </c>
      <c r="J315" s="3">
        <f>2015+(176.5-266.2)+(0+(0-0))+0-588.3-0</f>
        <v>1337</v>
      </c>
      <c r="K315" s="3">
        <f>2145.6+(50.7-339.2)+(0+(0-0))+0-509.6-0</f>
        <v>1347.5</v>
      </c>
      <c r="L315" s="3">
        <f>2276.4+(174.4-412.4)+(0+(0-0))+0-582.8-0</f>
        <v>1455.6000000000001</v>
      </c>
      <c r="M315" s="3">
        <f>2347.5+(225.4-454.9)+(-5.986125+(-0.57477--1.159995))+0-570.5--1.45477499999992</f>
        <v>1543.5538749999998</v>
      </c>
      <c r="N315" s="3">
        <f>2375.6+(233.2-395.7)+(1.211556+(0.118932-0.201807))+0-471.3-0.240362999999952</f>
        <v>1742.6883180000002</v>
      </c>
      <c r="O315" s="3">
        <f>2303.4+(326.2-272.6)+(-1.174734+(-0.166362--0.139026))+0-505.2--0.257651999999949</f>
        <v>1850.8555820000001</v>
      </c>
      <c r="P315" s="3">
        <f>2279+(229.5-181.1)+(-2.32458+(-0.23409--0.184722))+0-435--0.443700000000069</f>
        <v>1890.4697520000002</v>
      </c>
      <c r="Q315" s="3">
        <f>2241.9+(499.8-141.5)+(-5.716845+(-1.27449--0.360825))+0-618.3--1.57666499999991</f>
        <v>1976.8461550000002</v>
      </c>
      <c r="R315" s="3">
        <f>2166+(287-263.8)+(0+(0-0))+0-518.8-0</f>
        <v>1670.3999999999999</v>
      </c>
      <c r="S315" s="3">
        <f>2173+(382.7-297)+(-4.43292+(-0.780708--0.60588))+0-505.2--1.03060799999998</f>
        <v>1749.9228599999999</v>
      </c>
      <c r="T315" s="3">
        <f>2274+(339.5-310.1)+(3.47922+(0.519435-0.474453))+0-490.6-0.750618000000028</f>
        <v>1815.5735840000002</v>
      </c>
      <c r="U315" s="3">
        <f>2253.1+(432.9-296.3)+(-3.447243+(-0.662337--0.453339))+0-580.9--0.888777000000034</f>
        <v>1806.0325359999997</v>
      </c>
      <c r="V315" s="3">
        <f>2390.8+(236.2-327)+(3.657924+(0.361386-0.50031))+0-538.5-0.823905000000031</f>
        <v>1764.1950949999998</v>
      </c>
      <c r="W315" s="3">
        <f>2485+(385.4-302.5)+(-3.80205+(-0.589662--0.462825))+0-608.1--0.930393000000035</f>
        <v>1956.8015060000002</v>
      </c>
      <c r="X315" s="3">
        <f>2651.2+(367.3-389.5)+(-8.112672+(-1.123938--1.19187))+0-586.4--1.79438400000007</f>
        <v>2036.3496440000001</v>
      </c>
      <c r="Y315" s="3">
        <f>2627.1+(303.9-400.8)+(-9.378747+(-1.084923--1.430856))+0-580--2.07060000000001</f>
        <v>1943.2377859999997</v>
      </c>
      <c r="Z315" s="3">
        <f>2538+(437.4-453.2)+(1.29438+(0.223074-0.231132))+0-629.1-0.320840999999936</f>
        <v>1894.0654809999999</v>
      </c>
      <c r="AA315" s="3">
        <f>2530.4+(303.7-429.8)+(-1.290504+(-0.154887--0.219198))+0-564--0.287639999999943</f>
        <v>1839.3614470000002</v>
      </c>
      <c r="AB315" s="3">
        <f>2496.4+(334.1-464.1)+(-1.273164+(-0.170391--0.236691))+0-578.5--0.295034999999941</f>
        <v>1786.9881709999997</v>
      </c>
      <c r="AC315" s="3">
        <f>2484.7+(216.2-499.2)+(-1.267197+(-0.110262--0.254592))+0-519.5--0.264944999999947</f>
        <v>1681.3420779999997</v>
      </c>
      <c r="AD315">
        <f t="shared" si="4"/>
        <v>40501.218682999999</v>
      </c>
      <c r="AE315" s="3">
        <f>2626+(397.2-355)+(0+(0-0))+0-599.2-0</f>
        <v>2069</v>
      </c>
    </row>
    <row r="316" spans="1:31" s="2" customFormat="1" x14ac:dyDescent="0.25">
      <c r="A316">
        <v>89</v>
      </c>
      <c r="B316">
        <v>11</v>
      </c>
      <c r="C316">
        <v>10</v>
      </c>
      <c r="D316">
        <v>2</v>
      </c>
      <c r="E316">
        <v>1</v>
      </c>
      <c r="F316" s="3">
        <f>2401.9+(190.2-414.8)+(1.224969+(0.097002-0.211548))+0-519.9-0.265148999999947</f>
        <v>1658.2452740000003</v>
      </c>
      <c r="G316" s="3">
        <f>2130.6+(261.9-240.2)+(0+(0-0))+0-634.3-0</f>
        <v>1517.9999999999998</v>
      </c>
      <c r="H316" s="3">
        <f>2031.7+(240.7-207.1)+(-3.108501+(-0.368271--0.316863))+0-550.4--0.842112000000032</f>
        <v>1512.5822030000002</v>
      </c>
      <c r="I316" s="3">
        <f>2028.4+(235.3-179.6)+(-5.17242+(-0.600015--0.45798))+0-602.2--1.53560999999991</f>
        <v>1478.1211549999996</v>
      </c>
      <c r="J316" s="3">
        <f>2024.3+(292.1-192.1)+(2.064786+(0.297942-0.195942))+0-596-0.607920000000095</f>
        <v>1529.8588659999998</v>
      </c>
      <c r="K316" s="3">
        <f>2024.2+(251.2-189.7)+(-4.129368+(-0.512448--0.386988))+0-557.6--1.13750399999998</f>
        <v>1524.9826759999999</v>
      </c>
      <c r="L316" s="3">
        <f>2132.3+(240.9-251.1)+(4.349892+(0.491436-0.512244))+0-590.6-1.20482399999997</f>
        <v>1534.6242600000005</v>
      </c>
      <c r="M316" s="3">
        <f>2435.2+(18.1-394.4)+(1.241952+(0.009231-0.201144))+0-467.3-0.238322999999953</f>
        <v>1592.4117159999998</v>
      </c>
      <c r="N316" s="3">
        <f>2580+(37.4-406.4)+(-6.579+(-0.09537--1.03632))+0-426.6--1.08782999999994</f>
        <v>1779.84978</v>
      </c>
      <c r="O316" s="3">
        <f>2599.1+(153.4-364.8)+(1.325541+(0.078234-0.186048))+0-478.8-0.244187999999951</f>
        <v>1909.8735390000002</v>
      </c>
      <c r="P316" s="3">
        <f>2597.6+(229.9-426.8)+(-2.649552+(-0.234498--0.435336))+0-462.5--0.471750000000074</f>
        <v>1936.2230359999999</v>
      </c>
      <c r="Q316" s="3">
        <f>2598.1+(296.9-415.2)+(0+(0-0))+0-510.9-0</f>
        <v>1968.8999999999996</v>
      </c>
      <c r="R316" s="3">
        <f>2596.6+(219.3-377.5)+(-3.972798+(-0.335529--0.577575))+0-515.7--0.78902100000003</f>
        <v>1919.7582690000002</v>
      </c>
      <c r="S316" s="3">
        <f>2537.4+(192.3-374)+(-2.588148+(-0.196146--0.38148))+0-509.1--0.519282000000081</f>
        <v>1844.7164680000003</v>
      </c>
      <c r="T316" s="3">
        <f>2539.2+(241.2-424.8)+(-2.589984+(-0.246024--0.433296))+0-420.7--0.429114000000067</f>
        <v>1932.9264019999998</v>
      </c>
      <c r="U316" s="3">
        <f>2537.1+(161.8-444.8)+(1.293921+(0.082518-0.226848))+0-319.5-0.162944999999968</f>
        <v>1935.5866459999997</v>
      </c>
      <c r="V316" s="3">
        <f>2531.9+(166.1-358.4)+(-2.582538+(-0.169422--0.365568))+0-391.2--0.399024000000062</f>
        <v>1946.412632</v>
      </c>
      <c r="W316" s="3">
        <f>2548+(298.5-358.4)+(0+(0-0))+0-445.8-0</f>
        <v>2042.3</v>
      </c>
      <c r="X316" s="3">
        <f>2609.1+(463-577.1)+(-2.661282+(-0.47226--0.588642))+0-422.1--0.430542000000067</f>
        <v>2070.7856420000003</v>
      </c>
      <c r="Y316" s="3">
        <f>2561.3+(450.3-473.6)+(-3.918789+(-0.688959--0.724608))+0-530.6--0.811818000000031</f>
        <v>2004.3286780000003</v>
      </c>
      <c r="Z316" s="3">
        <f>2549.1+(298-498.6)+(-5.200164+(-0.60792--1.017144))+0-430.8--0.878831999999981</f>
        <v>1913.7878920000001</v>
      </c>
      <c r="AA316" s="3">
        <f>2543.2+(249.6-311.4)+(-1.297032+(-0.127296--0.158814))+0-593.8--0.30283799999994</f>
        <v>1886.6373239999994</v>
      </c>
      <c r="AB316" s="3">
        <f>2531.4+(169.9-277.4)+(-5.164056+(-0.346596--0.565896))+0-603.5--1.23113999999997</f>
        <v>1816.6863840000001</v>
      </c>
      <c r="AC316" s="3">
        <f>2532.9+(58.7-353.4)+(-2.583558+(-0.059874--0.360468))+0-471.8--0.481236000000075</f>
        <v>1764.5982720000004</v>
      </c>
      <c r="AD316">
        <f t="shared" si="4"/>
        <v>43022.19711400001</v>
      </c>
      <c r="AE316" s="3">
        <f>2645+(415.1-550.3)+(0+(0-0))+0-422.8-0</f>
        <v>2087</v>
      </c>
    </row>
    <row r="317" spans="1:31" s="2" customFormat="1" x14ac:dyDescent="0.25">
      <c r="A317">
        <v>89</v>
      </c>
      <c r="B317">
        <v>11</v>
      </c>
      <c r="C317">
        <v>11</v>
      </c>
      <c r="D317">
        <v>3</v>
      </c>
      <c r="E317">
        <v>1</v>
      </c>
      <c r="F317" s="3">
        <f>2408.9+(89.5-269.3)+(-6.142695+(-0.228225--0.686715))+0-603.5--1.53892499999991</f>
        <v>1621.4547199999997</v>
      </c>
      <c r="G317" s="3">
        <f>2202.5+(204.6-298)+(-4.4931+(-0.417384--0.60792))+0-551.7--1.12546799999998</f>
        <v>1554.2229039999997</v>
      </c>
      <c r="H317" s="3">
        <f>2056.9+(303.8-305.7)+(-4.196076+(-0.619752--0.623628))+0-551.4--1.12485599999998</f>
        <v>1500.5326559999999</v>
      </c>
      <c r="I317" s="3">
        <f>1986.2+(299.3-244)+(-5.06481+(-0.763215--0.6222))+0-552.1--1.40785499999992</f>
        <v>1485.60203</v>
      </c>
      <c r="J317" s="3">
        <f>1987.8+(309.9-266.9)+(4.055112+(0.632196-0.544476))+0-550.8-1.12363199999998</f>
        <v>1483.0192</v>
      </c>
      <c r="K317" s="3">
        <f>1986.8+(345.5-250.7)+(5.06634+(0.881025-0.639285))+0-583-1.48664999999992</f>
        <v>1502.4214299999999</v>
      </c>
      <c r="L317" s="3">
        <f>2103.4+(469.6-410.8)+(3.218202+(0.718488-0.628524))+0-541.1-0.827883000000031</f>
        <v>1623.5802830000002</v>
      </c>
      <c r="M317" s="3">
        <f>2393.1+(251.9-334.9)+(3.661443+(0.385407-0.512397))+0-496-0.758880000000029</f>
        <v>1816.875573</v>
      </c>
      <c r="N317" s="3">
        <f>2537.9+(157.1-326.6)+(2.588658+(0.160242-0.333132))+0-487.2-0.496944000000078</f>
        <v>1883.1188239999999</v>
      </c>
      <c r="O317" s="3">
        <f>2605.7+(46.9-386.7)+(-5.315628+(-0.095676--0.788868))+0-302.8--0.617711999999987</f>
        <v>1959.0952759999996</v>
      </c>
      <c r="P317" s="3">
        <f>2589.9+(157.7-229.3)+(3.962547+(0.241281-0.350829))+0-530.6-0.811818000000031</f>
        <v>1990.7411810000003</v>
      </c>
      <c r="Q317" s="3">
        <f>2545.5+(207.3-227.4)+(-3.894615+(-0.317169--0.347922))+0-547.4--0.837522000000032</f>
        <v>1974.9736599999999</v>
      </c>
      <c r="R317" s="3">
        <f>2594.3+(54.4-323.4)+(-9.261651+(-0.194208--1.154538))+0-507.4--1.81141800000001</f>
        <v>1811.4100970000002</v>
      </c>
      <c r="S317" s="3">
        <f>2639.9+(20.2-339.3)+(-1.346349+(-0.010302--0.173043))+0-513.3--0.261782999999948</f>
        <v>1806.5781750000003</v>
      </c>
      <c r="T317" s="3">
        <f>2653.5+(45.9-380.6)+(-4.059855+(-0.070227--0.582318))+0-530.4--0.811512000000031</f>
        <v>1785.6637480000002</v>
      </c>
      <c r="U317" s="3">
        <f>2590.9+(96.7-333.7)+(-3.964077+(-0.147951--0.510561))+0-539.9--0.826047000000031</f>
        <v>1811.2245800000001</v>
      </c>
      <c r="V317" s="3">
        <f>2637+(50.2-464.1)+(-8.06922+(-0.153612--1.420146))+0-423.1--1.29468600000005</f>
        <v>1794.492</v>
      </c>
      <c r="W317" s="3">
        <f>2673.8+(59.1-376.2)+(-9.545466+(-0.210987--1.343034))+0-429.2--1.53224400000001</f>
        <v>1920.6188250000002</v>
      </c>
      <c r="X317" s="3">
        <f>2746.5+(242.1-253.5)+(-8.40429+(-0.740826--0.77571))+0-610.7--1.86874200000007</f>
        <v>2117.8993359999999</v>
      </c>
      <c r="Y317" s="3">
        <f>2709.6+(160.6-335.8)+(2.763792+(0.163812-0.342516))+0-505.3-0.515406000000081</f>
        <v>2031.169682</v>
      </c>
      <c r="Z317" s="3">
        <f>2633+(224.5-299.1)+(-2.68566+(-0.22899--0.305082))+0-603.1--0.615162000000096</f>
        <v>1953.3055940000004</v>
      </c>
      <c r="AA317" s="3">
        <f>2637.8+(209-378)+(-5.381112+(-0.42636--0.77112))+0-564.3--1.15117199999998</f>
        <v>1900.6148200000002</v>
      </c>
      <c r="AB317" s="3">
        <f>2621+(56.5-311.4)+(-8.02026+(-0.17289--0.952884))+0-574.5--1.75797000000007</f>
        <v>1786.1177040000002</v>
      </c>
      <c r="AC317" s="3">
        <f>2534.5+(151.3-405.5)+(-10.34076+(-0.617304--1.65444))+0-583.7--2.38149599999995</f>
        <v>1689.677872</v>
      </c>
      <c r="AD317">
        <f t="shared" si="4"/>
        <v>42804.410169999988</v>
      </c>
      <c r="AE317" s="3">
        <f>2750+(216.2-233.5)+(0+(0-0))+0-684.4-0</f>
        <v>2048.2999999999997</v>
      </c>
    </row>
    <row r="318" spans="1:31" s="2" customFormat="1" x14ac:dyDescent="0.25">
      <c r="A318">
        <v>89</v>
      </c>
      <c r="B318">
        <v>11</v>
      </c>
      <c r="C318">
        <v>12</v>
      </c>
      <c r="D318">
        <v>4</v>
      </c>
      <c r="E318">
        <v>1</v>
      </c>
      <c r="F318" s="3">
        <f>2287+(245.4-230.6)+(-2.33274+(-0.250308--0.235212))+0-565.5--0.57681000000009</f>
        <v>1734.5289740000003</v>
      </c>
      <c r="G318" s="3">
        <f>2204.6+(217-262.6)+(-6.746076+(-0.66402--0.803556))+0-622.2--1.90393200000007</f>
        <v>1532.0973919999999</v>
      </c>
      <c r="H318" s="3">
        <f>2053+(222.4-177.4)+(-3.14109+(-0.340272--0.271422))+0-585.4--0.895662000000034</f>
        <v>1510.2857219999999</v>
      </c>
      <c r="I318" s="3">
        <f>2003.1+(221.4-241)+(0+(0-0))+0-545.9-0</f>
        <v>1437.6</v>
      </c>
      <c r="J318" s="3">
        <f>1975.9+(226.8-247.5)+(-5.038545+(-0.57834--0.631125))+0-547.1--1.39510499999992</f>
        <v>1404.5093449999997</v>
      </c>
      <c r="K318" s="3">
        <f>1974.7+(227.3-220)+(-4.028388+(-0.463692--0.4488))+0-627.9--1.28091599999997</f>
        <v>1351.337636</v>
      </c>
      <c r="L318" s="3">
        <f>2150.7+(135.2-280.3)+(-5.484285+(-0.34476--0.714765))+0-565.1--1.44100499999992</f>
        <v>1436.8267249999997</v>
      </c>
      <c r="M318" s="3">
        <f>2444.3+(4.6-420.7)+(3.739779+(0.007038-0.643671))+0-471.2-0.720936000000027</f>
        <v>1559.3822100000002</v>
      </c>
      <c r="N318" s="3">
        <f>2529.9+(27.3-379.7)+(-1.290249+(-0.013923--0.193647))+0-522.5--0.266474999999947</f>
        <v>1654.1559499999998</v>
      </c>
      <c r="O318" s="3">
        <f>2603.7+(33.8-401.4)+(1.327887+(0.017238-0.204714))+0-469.5-0.239444999999952</f>
        <v>1767.5009659999998</v>
      </c>
      <c r="P318" s="3">
        <f>2580.3+(30.3-431.6)+(-3.947859+(-0.046359--0.660348))+0-346.2--0.52968600000002</f>
        <v>1829.9958160000001</v>
      </c>
      <c r="Q318" s="3">
        <f>2537.7+(77.1-396)+(-5.176908+(-0.157284--0.80784))+0-335.7--0.684827999999985</f>
        <v>1879.2584759999997</v>
      </c>
      <c r="R318" s="3">
        <f>2531.6+(43.2-424.9)+(-3.873348+(-0.066096--0.650097))+0-388.6--0.594558000000022</f>
        <v>1758.6052110000003</v>
      </c>
      <c r="S318" s="3">
        <f>2512.2+(47.8-393.5)+(-1.281222+(-0.024378--0.200685))+0-428.9--0.218738999999956</f>
        <v>1736.7138239999999</v>
      </c>
      <c r="T318" s="3">
        <f>2532.6+(58.6-350.6)+(1.291626+(0.029886-0.178806))+0-467.1-0.238220999999953</f>
        <v>1774.4044850000002</v>
      </c>
      <c r="U318" s="3">
        <f>2529+(72.9-295.7)+(-3.86937+(-0.111537--0.452421))+0-546.8--0.836604000000032</f>
        <v>1756.7081179999998</v>
      </c>
      <c r="V318" s="3">
        <f>2465.5+(60.6-300.5)+(0+(0-0))+0-503-0</f>
        <v>1722.6</v>
      </c>
      <c r="W318" s="3">
        <f>2550.2+(88.7-390.8)+(-2.601204+(-0.090474--0.398616))+0-456.3--0.465426000000073</f>
        <v>1789.9723639999997</v>
      </c>
      <c r="X318" s="3">
        <f>2695.5+(31.1-360.5)+(-8.24823+(-0.095166--1.10313))+0-425.6--1.30233600000005</f>
        <v>1934.5620700000002</v>
      </c>
      <c r="Y318" s="3">
        <f>2702.1+(52.1-402.9)+(-4.134213+(-0.079713--0.616437))+0-482.6--0.738378000000028</f>
        <v>1865.8408890000001</v>
      </c>
      <c r="Z318" s="3">
        <f>2508.4+(120.1-252.7)+(-2.558568+(-0.122502--0.257754))+0-588.3--0.600066000000094</f>
        <v>1785.6767500000005</v>
      </c>
      <c r="AA318" s="3">
        <f>2468.6+(109.3-288.5)+(-2.517972+(-0.111486--0.29427))+0-517--0.527340000000082</f>
        <v>1770.5921520000002</v>
      </c>
      <c r="AB318" s="3">
        <f>2416.9+(124.6-293.3)+(-3.697857+(-0.190638--0.448749))+0-506.7--0.775251000000029</f>
        <v>1738.8355050000002</v>
      </c>
      <c r="AC318" s="3">
        <f>2378.2+(146.6-387.4)+(-2.425764+(-0.149532--0.395148))+0-511--0.521220000000082</f>
        <v>1624.7410719999998</v>
      </c>
      <c r="AD318">
        <f t="shared" si="4"/>
        <v>40356.731651999988</v>
      </c>
      <c r="AE318" s="3">
        <f>2701+(42-390)+(0+(0-0))+0-295.1-0</f>
        <v>2057.9</v>
      </c>
    </row>
    <row r="319" spans="1:31" s="2" customFormat="1" x14ac:dyDescent="0.25">
      <c r="A319">
        <v>89</v>
      </c>
      <c r="B319">
        <v>11</v>
      </c>
      <c r="C319">
        <v>13</v>
      </c>
      <c r="D319">
        <v>5</v>
      </c>
      <c r="E319">
        <v>5</v>
      </c>
      <c r="F319" s="3">
        <f>2210.1+(137.1-247.1)+(-3.381453+(-0.209763--0.378063))+0-568.1--0.869193000000033</f>
        <v>1529.6560399999998</v>
      </c>
      <c r="G319" s="3">
        <f>2019.3+(159-169)+(1.029843+(0.08109-0.08619))+0-567.8-0.289577999999942</f>
        <v>1442.2351650000001</v>
      </c>
      <c r="H319" s="3">
        <f>1964.6+(207.4-209.2)+(-2.003892+(-0.211548--0.213384))+0-569--0.580380000000091</f>
        <v>1392.378324</v>
      </c>
      <c r="I319" s="3">
        <f>1927.3+(222.1-170.5)+(1.965846+(0.226542-0.17391))+0-597.3-0.609246000000095</f>
        <v>1383.0092319999999</v>
      </c>
      <c r="J319" s="3">
        <f>1927.3+(136.4-157.5)+(1.965846+(0.139128-0.16065))+0-536.3-0.547026000000086</f>
        <v>1371.297298</v>
      </c>
      <c r="K319" s="3">
        <f>1922.5+(226.4-169.6)+(2.941425+(0.346392-0.259488))+0-636.4-0.973692000000037</f>
        <v>1344.9546369999998</v>
      </c>
      <c r="L319" s="3">
        <f>1927.9+(131.3-161.9)+(0+(0-0))+0-592.9-0</f>
        <v>1304.4000000000001</v>
      </c>
      <c r="M319" s="3">
        <f>1820.3+(127.7-182.9)+(-4.641765+(-0.325635--0.466395))+0-555.7--1.41703499999992</f>
        <v>1206.3160299999997</v>
      </c>
      <c r="N319" s="3">
        <f>1861.2+(104.1-177.2)+(-0.949212+(-0.053091--0.090372))+0-548.5--0.279734999999944</f>
        <v>1238.9678039999999</v>
      </c>
      <c r="O319" s="3">
        <f>1961.8+(92-245.3)+(3.001554+(0.14076-0.375309))+0-509.2-0.779076000000029</f>
        <v>1301.2879289999998</v>
      </c>
      <c r="P319" s="3">
        <f>2353.2+(55-512.9)+(-7.200792+(-0.1683--1.569474))+0-543.9--1.66433400000006</f>
        <v>1347.2647159999997</v>
      </c>
      <c r="Q319" s="3">
        <f>2353.4+(33-476.9)+(-3.600702+(-0.05049--0.729657))+0-536.5--0.820845000000031</f>
        <v>1370.89931</v>
      </c>
      <c r="R319" s="3">
        <f>2275.9+(78-432)+(0+(0-0))+0-597.6-0</f>
        <v>1324.3000000000002</v>
      </c>
      <c r="S319" s="3">
        <f>2099.8+(101.1-385.5)+(-2.141796+(-0.103122--0.39321))+0-499.9--0.50989800000008</f>
        <v>1314.1581900000003</v>
      </c>
      <c r="T319" s="3">
        <f>2066.4+(177.1-351.5)+(-3.161592+(-0.270963--0.537795))+0-570--0.872100000000033</f>
        <v>1319.9773400000001</v>
      </c>
      <c r="U319" s="3">
        <f>2098.8+(116.4-418.2)+(-4.281552+(-0.237456--0.853128))+0-471.6--0.962063999999979</f>
        <v>1322.6961840000001</v>
      </c>
      <c r="V319" s="3">
        <f>2206.5+(117.2-408.2)+(0+(0-0))+0-537.8-0</f>
        <v>1377.7</v>
      </c>
      <c r="W319" s="3">
        <f>2192.2+(70.9-258.9)+(0+(0-0))+0-531.6-0</f>
        <v>1472.6</v>
      </c>
      <c r="X319" s="3">
        <f>2319.5+(129.6-219.8)+(-4.73178+(-0.264384--0.448392))+0-589.4--1.20237599999997</f>
        <v>1636.5546040000002</v>
      </c>
      <c r="Y319" s="3">
        <f>2317.5+(66.1-261.4)+(-2.36385+(-0.067422--0.266628))+0-501.9--0.51193800000008</f>
        <v>1618.6472939999999</v>
      </c>
      <c r="Z319" s="3">
        <f>2309.9+(162.4-240.6)+(0+(0-0))+0-629.6-0</f>
        <v>1602.1000000000004</v>
      </c>
      <c r="AA319" s="3">
        <f>2303+(152.6-263.1)+(1.17453+(0.077826-0.134181))+0-568.5-0.289934999999942</f>
        <v>1624.8282400000001</v>
      </c>
      <c r="AB319" s="3">
        <f>2285.6+(144-212.2)+(-1.165656+(-0.07344--0.108222))+0-600.9--0.306458999999939</f>
        <v>1615.675585</v>
      </c>
      <c r="AC319" s="3">
        <f>2269.5+(114.4-292.2)+(-6.94467+(-0.350064--0.894132))+0-549.2--1.68055200000006</f>
        <v>1537.7799499999996</v>
      </c>
      <c r="AD319">
        <f t="shared" si="4"/>
        <v>33999.683871999994</v>
      </c>
      <c r="AE319" s="3">
        <f>2326+(161.8-287.2)+(0+(0-0))+0-480.7-0</f>
        <v>1719.8999999999999</v>
      </c>
    </row>
    <row r="320" spans="1:31" s="2" customFormat="1" x14ac:dyDescent="0.25">
      <c r="A320">
        <v>89</v>
      </c>
      <c r="B320">
        <v>11</v>
      </c>
      <c r="C320">
        <v>14</v>
      </c>
      <c r="D320">
        <v>6</v>
      </c>
      <c r="E320">
        <v>6</v>
      </c>
      <c r="F320" s="3">
        <f>1939.9+(256.3-161.5)+(-0.989349+(-0.130713--0.082365))+0-580.5--0.296054999999941</f>
        <v>1453.4583580000001</v>
      </c>
      <c r="G320" s="3">
        <f>1765.9+(343.4-119.9)+(0+(0-0))+0-608.6-0</f>
        <v>1380.8000000000002</v>
      </c>
      <c r="H320" s="3">
        <f>1742.9+(274.9-124.8)+(-5.333274+(-0.841194--0.381888))+0-575.9--1.76225400000007</f>
        <v>1313.0696740000001</v>
      </c>
      <c r="I320" s="3">
        <f>1744.7+(347.7-121.6)+(3.559188+(0.709308-0.248064))+0-626-1.27703999999997</f>
        <v>1347.543392</v>
      </c>
      <c r="J320" s="3">
        <f>1742.8+(307.8-131.1)+(0.888828+(0.156978-0.066861))+0-577.2-0.294371999999941</f>
        <v>1342.9845730000002</v>
      </c>
      <c r="K320" s="3">
        <f>1766.6+(302-103.8)+(3.603864+(0.61608-0.211752))+0-604-1.23215999999997</f>
        <v>1363.5760319999999</v>
      </c>
      <c r="L320" s="3">
        <f>1869+(170.3-144.7)+(0.95319+(0.086853-0.073797))+0-535.9-0.273308999999946</f>
        <v>1359.3929369999998</v>
      </c>
      <c r="M320" s="3">
        <f>2024.9+(116.8-202.4)+(-1.032699+(-0.059568--0.103224))+0-516.3--0.263312999999948</f>
        <v>1422.2742700000001</v>
      </c>
      <c r="N320" s="3">
        <f>2124.2+(193.7-238.9)+(-1.083342+(-0.098787--0.121839))+0-450.3--0.229652999999954</f>
        <v>1627.869363</v>
      </c>
      <c r="O320" s="3">
        <f>2276.3+(311.5-261.6)+(2.321826+(0.31773-0.266832))+0-596.7-0.608634000000095</f>
        <v>1731.2640899999999</v>
      </c>
      <c r="P320" s="3">
        <f>2297.9+(427.3-361.2)+(-1.171929+(-0.217923--0.184212))+0-577.8--0.294677999999941</f>
        <v>1785.2890379999999</v>
      </c>
      <c r="Q320" s="3">
        <f>2300.2+(534.7-436.2)+(0+(0-0))+0-565.2-0</f>
        <v>1833.4999999999998</v>
      </c>
      <c r="R320" s="3">
        <f>2366.4+(431.8-501.1)+(-3.620592+(-0.660654--0.766683))+0-585.6--0.895968000000034</f>
        <v>1708.8814049999999</v>
      </c>
      <c r="S320" s="3">
        <f>2294.8+(271.6-360.6)+(-5.85174+(-0.69258--0.91953))+0-571.9--1.45834499999992</f>
        <v>1629.7335550000003</v>
      </c>
      <c r="T320" s="3">
        <f>2272.7+(267.6-411.8)+(-3.477231+(-0.409428--0.630054))+0-510.6--0.78121800000003</f>
        <v>1615.4246130000001</v>
      </c>
      <c r="U320" s="3">
        <f>2236.8+(251.3-411.6)+(-10.266912+(-1.153467--1.889244))+0-522.2--2.39689800000009</f>
        <v>1547.165763</v>
      </c>
      <c r="V320" s="3">
        <f>2333.3+(129.7-390.8)+(-2.379966+(-0.132294--0.398616))+0-503--0.51306000000008</f>
        <v>1567.5994160000002</v>
      </c>
      <c r="W320" s="3">
        <f>2396.8+(283.5-374.7)+(1.222368+(0.144585-0.191097))+0-576-0.293759999999942</f>
        <v>1730.4820960000002</v>
      </c>
      <c r="X320" s="3">
        <f>2483.6+(282.6-334.4)+(-3.799908+(-0.432378--0.511632))+0-550.6--0.842418000000032</f>
        <v>1878.321764</v>
      </c>
      <c r="Y320" s="3">
        <f>2478.7+(177.9-304.1)+(-6.320685+(-0.453645--0.775455))+0-533.1--1.35940499999992</f>
        <v>1814.7605299999998</v>
      </c>
      <c r="Z320" s="3">
        <f>2460.3+(116.3-271.1)+(-3.764259+(-0.177939--0.414783))+0-580.4--0.888012000000034</f>
        <v>1722.460597</v>
      </c>
      <c r="AA320" s="3">
        <f>2387.7+(297.8-355.6)+(-3.653181+(-0.455634--0.544068))+0-590.1--0.902853000000034</f>
        <v>1737.1381059999999</v>
      </c>
      <c r="AB320" s="3">
        <f>2346.7+(187.1-322.9)+(-1.196817+(-0.095421--0.164679))+0-551--0.281009999999944</f>
        <v>1659.0534509999995</v>
      </c>
      <c r="AC320" s="3">
        <f>2283.3+(179.1-246.7)+(-2.328966+(-0.182682--0.251634))+0-594.3--0.606186000000095</f>
        <v>1619.7461720000006</v>
      </c>
      <c r="AD320">
        <f t="shared" si="4"/>
        <v>38191.789194999998</v>
      </c>
      <c r="AE320" s="3">
        <f>2474+(219.9-223.3)+(0+(0-0))+0-648.5-0</f>
        <v>1822.1</v>
      </c>
    </row>
    <row r="321" spans="1:31" s="2" customFormat="1" x14ac:dyDescent="0.25">
      <c r="A321">
        <v>89</v>
      </c>
      <c r="B321">
        <v>11</v>
      </c>
      <c r="C321">
        <v>15</v>
      </c>
      <c r="D321">
        <v>7</v>
      </c>
      <c r="E321">
        <v>5</v>
      </c>
      <c r="F321" s="3">
        <f>2070.8+(132.8-185.4)+(-1.056108+(-0.067728--0.094554))+0-560.8--0.286007999999943</f>
        <v>1456.6567260000004</v>
      </c>
      <c r="G321" s="3">
        <f>1859.1+(312.9-159)+(-0.948141+(-0.159579--0.08109))+0-599.5--0.305744999999939</f>
        <v>1412.7791149999998</v>
      </c>
      <c r="H321" s="3">
        <f>1796.4+(312.5-135.9)+(-3.664656+(-0.6375--0.277236))+0-583.2--1.18972799999997</f>
        <v>1386.9648079999999</v>
      </c>
      <c r="I321" s="3">
        <f>1801.6+(270.9-160.9)+(-3.675264+(-0.552636--0.328236))+0-553--1.12811999999998</f>
        <v>1355.828456</v>
      </c>
      <c r="J321" s="3">
        <f>1799.7+(266.3-186.9)+(0+(0-0))+0-544-0</f>
        <v>1335.1000000000001</v>
      </c>
      <c r="K321" s="3">
        <f>1795.5+(311.6-197)+(4.578525+(0.79458-0.50235))+0-569.7-1.45273499999992</f>
        <v>1343.8180199999999</v>
      </c>
      <c r="L321" s="3">
        <f>1793.8+(315.8-188.6)+(-1.829676+(-0.322116--0.192372))+0-577.4--0.588948000000092</f>
        <v>1342.2295280000003</v>
      </c>
      <c r="M321" s="3">
        <f>1819.4+(200.8-273.8)+(-0.927894+(-0.102408--0.139638))+0-498--0.253979999999949</f>
        <v>1247.763316</v>
      </c>
      <c r="N321" s="3">
        <f>1885.8+(211.8-312.9)+(-0.961758+(-0.108018--0.159579))+0-492.1--0.25097099999995</f>
        <v>1291.9407740000001</v>
      </c>
      <c r="O321" s="3">
        <f>1882.1+(227-178)+(-1.919742+(-0.23154--0.18156))+0-575--0.586500000000092</f>
        <v>1354.716778</v>
      </c>
      <c r="P321" s="3">
        <f>2015.7+(165.2-187.4)+(-7.196049+(-0.589764--0.669018))+0-576--2.05632000000001</f>
        <v>1412.439525</v>
      </c>
      <c r="Q321" s="3">
        <f>2072.5+(123.6-226.8)+(0+(0-0))+0-544-0</f>
        <v>1425.3</v>
      </c>
      <c r="R321" s="3">
        <f>2161.1+(81.7-240.2)+(0+(0-0))+0-607.1-0</f>
        <v>1395.5</v>
      </c>
      <c r="S321" s="3">
        <f>2145.3+(24-293.3)+(-1.094103+(-0.01224--0.149583))+0-513.2--0.261731999999948</f>
        <v>1362.1049720000001</v>
      </c>
      <c r="T321" s="3">
        <f>2063.4+(37.9-259.4)+(-2.104668+(-0.038658--0.264588))+0-492.7--0.502554000000079</f>
        <v>1347.8238160000001</v>
      </c>
      <c r="U321" s="3">
        <f>2087.1+(79.6-286.8)+(-2.128842+(-0.081192--0.292536))+3.6-539.3--0.550086000000086</f>
        <v>1342.832588</v>
      </c>
      <c r="V321" s="3">
        <f>2143+(109-274.3)+(-1.09293+(-0.05559--0.139893))+0-563.2--0.287231999999943</f>
        <v>1413.778605</v>
      </c>
      <c r="W321" s="3">
        <f>2185.6+(102.9-240.7)+(-2.229312+(-0.104958--0.245514))+0-553.9--0.564978000000088</f>
        <v>1492.3762220000001</v>
      </c>
      <c r="X321" s="3">
        <f>2317.5+(166.2-275.5)+(-2.36385+(-0.169524--0.28101))+0-532.9--0.543558000000085</f>
        <v>1673.5911939999999</v>
      </c>
      <c r="Y321" s="3">
        <f>2318+(222.6-256.6)+(-1.18218+(-0.113526--0.130866))+0-614.2--0.313241999999938</f>
        <v>1668.948402</v>
      </c>
      <c r="Z321" s="3">
        <f>2309+(80.9-291.1)+(-3.53277+(-0.123777--0.445383))+0-451.3--0.690489000000026</f>
        <v>1644.9793250000005</v>
      </c>
      <c r="AA321" s="3">
        <f>2303.7+(167.5-292.4)+(0+(0-0))+0-542.6-0</f>
        <v>1636.1999999999998</v>
      </c>
      <c r="AB321" s="3">
        <f>2287.4+(116-259.5)+(-5.83287+(-0.2958--0.661725))+0-511.9--1.30534499999993</f>
        <v>1627.8383999999999</v>
      </c>
      <c r="AC321" s="3">
        <f>2242.4+(113.3-263.9)+(-5.71812+(-0.288915--0.672945))+0-570.9--1.45579499999992</f>
        <v>1517.0217050000001</v>
      </c>
      <c r="AD321">
        <f t="shared" ref="AD321:AD365" si="5">SUM(F321:AC321)</f>
        <v>34488.532274999998</v>
      </c>
      <c r="AE321" s="3">
        <f>2308+(154-291.6)+(0+(0-0))+0-506.2-0</f>
        <v>1664.2</v>
      </c>
    </row>
    <row r="322" spans="1:31" s="2" customFormat="1" x14ac:dyDescent="0.25">
      <c r="A322">
        <v>89</v>
      </c>
      <c r="B322">
        <v>11</v>
      </c>
      <c r="C322">
        <v>16</v>
      </c>
      <c r="D322">
        <v>1</v>
      </c>
      <c r="E322">
        <v>1</v>
      </c>
      <c r="F322" s="3">
        <f>2070.4+(145.9-221)+(-1.055904+(-0.074409--0.11271))+0-557.4--0.284273999999943</f>
        <v>1437.1666710000002</v>
      </c>
      <c r="G322" s="3">
        <f>2052+(117.2-213.1)+(3.13956+(0.179316-0.326043))+0-572.5-0.875925000000033</f>
        <v>1385.7169079999999</v>
      </c>
      <c r="H322" s="3">
        <f>2012.3+(141.2-180.7)+(-4.105092+(-0.288048--0.368628))+0-592.6--1.20890399999997</f>
        <v>1377.3843919999999</v>
      </c>
      <c r="I322" s="3">
        <f>1902.3+(154.8-168.4)+(-2.910519+(-0.236844--0.257652))+0-527.9--0.80768700000003</f>
        <v>1358.7179759999999</v>
      </c>
      <c r="J322" s="3">
        <f>1902.1+(183.5-168)+(-2.910213+(-0.280755--0.25704))+0-552.4--0.845172000000032</f>
        <v>1363.1112439999999</v>
      </c>
      <c r="K322" s="3">
        <f>1950.5+(143.4-198.8)+(0+(0-0))+0-543.7-0</f>
        <v>1351.3999999999999</v>
      </c>
      <c r="L322" s="3">
        <f>2130.9+(62.2-259.2)+(1.086759+(0.031722-0.132192))+0-547-0.278969999999944</f>
        <v>1387.6073190000002</v>
      </c>
      <c r="M322" s="3">
        <f>2195.7+(22.7-284.7)+(-1.119807+(-0.011577--0.145197))+0-358.7--0.182936999999964</f>
        <v>1574.1967499999998</v>
      </c>
      <c r="N322" s="3">
        <f>2155.5+(217.8-337.6)+(2.19861+(0.222156-0.344352))+0-429.2-0.437784000000068</f>
        <v>1608.1386299999999</v>
      </c>
      <c r="O322" s="3">
        <f>2155.5+(630.2-460.6)+(2.19861+(0.642804-0.469812))+0-470.9-0.480318000000075</f>
        <v>1856.0912839999999</v>
      </c>
      <c r="P322" s="3">
        <f>2146.5+(756.7-531)+(4.37886+(1.543668-1.08324))+0-443.4-0.904535999999981</f>
        <v>1932.7347519999998</v>
      </c>
      <c r="Q322" s="3">
        <f>2139.1+(753.2-568.8)+(-5.454705+(-1.92066--1.45044))+0-364--0.928199999999947</f>
        <v>1954.503275</v>
      </c>
      <c r="R322" s="3">
        <f>2148.2+(405.8-340.1)+(-3.286746+(-0.620874--0.520353))+0-400.3--0.612459000000023</f>
        <v>1810.8251919999996</v>
      </c>
      <c r="S322" s="3">
        <f>2180.9+(324.2-221.1)+(-4.449036+(-0.661368--0.451044))+0-479.1--0.977363999999979</f>
        <v>1801.2180040000001</v>
      </c>
      <c r="T322" s="3">
        <f>2154.2+(472.1-270.1)+(-2.197284+(-0.481542--0.275502))+0-501.5--0.51153000000008</f>
        <v>1852.8082059999999</v>
      </c>
      <c r="U322" s="3">
        <f>2127.1+(459-231.4)+(3.254463+(0.70227-0.354042))+0-504.3-0.771579000000029</f>
        <v>1853.2311119999999</v>
      </c>
      <c r="V322" s="3">
        <f>2314.2+(320.5-336.8)+(-3.540726+(-0.490365--0.515304))+0-471--0.720630000000027</f>
        <v>1824.1048429999998</v>
      </c>
      <c r="W322" s="3">
        <f>2373.1+(515.8-449.5)+(0+(0-0))+0-540.3-0</f>
        <v>1899.0999999999997</v>
      </c>
      <c r="X322" s="3">
        <f>2448.8+(856.5-712.6)+(-3.746664+(-1.310445--1.090278))+0-549.4--0.840582000000032</f>
        <v>2040.173751</v>
      </c>
      <c r="Y322" s="3">
        <f>2453.7+(610.6-522.4)+(-1.251387+(-0.311406--0.266424))+0-544--0.277439999999945</f>
        <v>1996.8810709999993</v>
      </c>
      <c r="Z322" s="3">
        <f>2450.1+(437.2-463.9)+(-4.998204+(-0.891888--0.946356))+0-511.3--1.04305199999998</f>
        <v>1908.199316</v>
      </c>
      <c r="AA322" s="3">
        <f>2372.6+(405.3-264.8)+(-1.210026+(-0.206703--0.135048))+0-564.2--0.287741999999943</f>
        <v>1947.9060609999999</v>
      </c>
      <c r="AB322" s="3">
        <f>2300.2+(232.9-182.7)+(-5.86551+(-0.593895--0.465885))+0-501--1.27754999999993</f>
        <v>1844.6840299999997</v>
      </c>
      <c r="AC322" s="3">
        <f>2155+(229-155.9)+(-4.3962+(-0.46716--0.318036))+0-551.1--1.12424399999998</f>
        <v>1673.5789199999999</v>
      </c>
      <c r="AD322">
        <f t="shared" si="5"/>
        <v>41039.479706999991</v>
      </c>
      <c r="AE322" s="3">
        <f>2445+(901.5-742.6)+(0+(0-0))+0-601.5-0</f>
        <v>2002.4</v>
      </c>
    </row>
    <row r="323" spans="1:31" s="2" customFormat="1" x14ac:dyDescent="0.25">
      <c r="A323">
        <v>89</v>
      </c>
      <c r="B323">
        <v>11</v>
      </c>
      <c r="C323">
        <v>17</v>
      </c>
      <c r="D323">
        <v>2</v>
      </c>
      <c r="E323">
        <v>1</v>
      </c>
      <c r="F323" s="3">
        <f>2157.8+(196.5-232.6)+(-2.200956+(-0.20043--0.237252))+0-584.8--0.596496000000093</f>
        <v>1535.3323620000003</v>
      </c>
      <c r="G323" s="3">
        <f>2157.8+(223.7-367.4)+(-2.200956+(-0.228174--0.374748))+0-546.3--0.557226000000087</f>
        <v>1466.3028440000003</v>
      </c>
      <c r="H323" s="3">
        <f>2144.8+(262-428.6)+(-1.093848+(-0.13362--0.218586))+0-525.5--0.268004999999947</f>
        <v>1451.9591230000001</v>
      </c>
      <c r="I323" s="3">
        <f>2068.7+(306.1-402.5)+(5.275185+(0.780555-1.026375))+0-543.6-1.38617999999992</f>
        <v>1432.3431849999997</v>
      </c>
      <c r="J323" s="3">
        <f>2065.4+(280-345)+(-3.160062+(-0.4284--0.52785))+0-559.2--0.855576000000032</f>
        <v>1438.994964</v>
      </c>
      <c r="K323" s="3">
        <f>2146.5+(226.5-343.5)+(0+(0-0))+0-560.4-0</f>
        <v>1469.1</v>
      </c>
      <c r="L323" s="3">
        <f>2257.2+(132.5-293.5)+(-2.302344+(-0.13515--0.29937))+0-567.8--0.57915600000009</f>
        <v>1526.8410319999998</v>
      </c>
      <c r="M323" s="3">
        <f>2327.5+(112.3-320.5)+(-2.37405+(-0.114546--0.32691))+0-497.9--0.507858000000079</f>
        <v>1619.7461720000003</v>
      </c>
      <c r="N323" s="3">
        <f>2341.9+(195.6-253.4)+(-1.194369+(-0.099756--0.129234))+0-494.9--0.25239899999995</f>
        <v>1788.2875079999999</v>
      </c>
      <c r="O323" s="3">
        <f>2347.5+(283.4-348.4)+(1.197225+(0.144534-0.177684))+0-433.3-0.220982999999956</f>
        <v>1850.1430920000003</v>
      </c>
      <c r="P323" s="3">
        <f>2405.4+(396.7-439.6)+(-4.907016+(-0.809268--0.896784))+0-422.1--0.861083999999982</f>
        <v>1936.4415839999999</v>
      </c>
      <c r="Q323" s="3">
        <f>2402.2+(535.2-563.4)+(-4.900488+(-1.091808--1.149336))+0-407.4--0.831095999999982</f>
        <v>1962.5881359999998</v>
      </c>
      <c r="R323" s="3">
        <f>2386.4+(253-480.1)+(-4.868256+(-0.51612--0.979404))+0-418.7--0.854147999999982</f>
        <v>1737.0491760000002</v>
      </c>
      <c r="S323" s="3">
        <f>2368.7+(243.9-378.7)+(-3.624111+(-0.373167--0.579411))+0-423.6--0.648108000000025</f>
        <v>1807.5302409999997</v>
      </c>
      <c r="T323" s="3">
        <f>2388.4+(213.1-364.8)+(-2.436168+(-0.217362--0.372096))+0-408.9--0.417078000000065</f>
        <v>1825.9356440000004</v>
      </c>
      <c r="U323" s="3">
        <f>2464.8+(189.3-397.7)+(-7.542288+(-0.579258--1.216962))+0-434.3--1.32895800000005</f>
        <v>1816.5243740000003</v>
      </c>
      <c r="V323" s="3">
        <f>2498.1+(133.6-344.1)+(0+(0-0))+0-427-0</f>
        <v>1860.6</v>
      </c>
      <c r="W323" s="3">
        <f>2436.3+(239.9-427)+(-3.727539+(-0.367047--0.65331))+0-403.8--0.617814000000023</f>
        <v>1842.5765380000003</v>
      </c>
      <c r="X323" s="3">
        <f>2452.8+(668.6-619.4)+(0+(0-0))+0-473.3-0</f>
        <v>2028.7</v>
      </c>
      <c r="Y323" s="3">
        <f>2456+(613.5-551.2)+(-8.76792+(-2.190195--1.967784))+0-540--1.92780000000001</f>
        <v>1971.2374690000001</v>
      </c>
      <c r="Z323" s="3">
        <f>2451.4+(360.1-390.4)+(-1.250214+(-0.183651--0.199104))+0-537.8--0.274277999999945</f>
        <v>1882.3395170000001</v>
      </c>
      <c r="AA323" s="3">
        <f>2451.6+(296.3-279.3)+(-6.25158+(-0.755565--0.712215))+0-596.7--1.52158499999991</f>
        <v>1867.1266549999998</v>
      </c>
      <c r="AB323" s="3">
        <f>2431.2+(227.1-362)+(-2.479824+(-0.231642--0.36924))+0-505.9--0.516018000000081</f>
        <v>1788.5737919999995</v>
      </c>
      <c r="AC323" s="3">
        <f>2433.6+(133.3-456.8)+(-4.964544+(-0.271932--0.931872))+0-435.2--0.887807999999981</f>
        <v>1671.4832039999999</v>
      </c>
      <c r="AD323">
        <f t="shared" si="5"/>
        <v>41577.756612000005</v>
      </c>
      <c r="AE323" s="3">
        <f>2450+(757.8-595.7)+(0+(0-0))+0-585.9-0</f>
        <v>2026.1999999999998</v>
      </c>
    </row>
    <row r="324" spans="1:31" s="2" customFormat="1" x14ac:dyDescent="0.25">
      <c r="A324">
        <v>89</v>
      </c>
      <c r="B324">
        <v>11</v>
      </c>
      <c r="C324">
        <v>18</v>
      </c>
      <c r="D324">
        <v>3</v>
      </c>
      <c r="E324">
        <v>1</v>
      </c>
      <c r="F324" s="3">
        <f>2342.3+(209.1-564.7)+(-4.778292+(-0.426564--1.151988))+0-437.5--0.892499999999981</f>
        <v>1546.0396320000002</v>
      </c>
      <c r="G324" s="3">
        <f>2061.7+(285.9-310.9)+(-1.051467+(-0.145809--0.158559))+0-544.5--0.277694999999945</f>
        <v>1491.4389779999999</v>
      </c>
      <c r="H324" s="3">
        <f>1928.4+(393.7-211.6)+(0.983484+(0.200787-0.107916))+0-622.7-0.317576999999937</f>
        <v>1488.5587780000001</v>
      </c>
      <c r="I324" s="3">
        <f>1922.1+(285.4-189.5)+(-4.901355+(-0.72777--0.483225))+0-533.6--1.36067999999992</f>
        <v>1480.6147800000001</v>
      </c>
      <c r="J324" s="3">
        <f>2030.6+(138.1-178.7)+(-2.071212+(-0.140862--0.182274))+0-502.7--0.51275400000008</f>
        <v>1485.782954</v>
      </c>
      <c r="K324" s="3">
        <f>2165.6+(93-220.6)+(-1.104456+(-0.04743--0.112506))+0-559.6--0.285395999999943</f>
        <v>1477.6460159999999</v>
      </c>
      <c r="L324" s="3">
        <f>2273.4+(34.8-316.6)+(-6.956604+(-0.106488--0.968796))+0-452.3--1.38403800000005</f>
        <v>1534.5897420000003</v>
      </c>
      <c r="M324" s="3">
        <f>2421.2+(78.5-388.5)+(0+(0-0))+0-498.7-0</f>
        <v>1612.4999999999998</v>
      </c>
      <c r="N324" s="3">
        <f>2421.6+(185.3-292.1)+(3.705048+(0.283509-0.446913))+0-506.9-0.775557000000029</f>
        <v>1810.6660869999996</v>
      </c>
      <c r="O324" s="3">
        <f>2413.1+(409.1-484.8)+(0+(0-0))+0-431.7-0</f>
        <v>1905.7</v>
      </c>
      <c r="P324" s="3">
        <f>2477.3+(483-538.7)+(0+(0-0))+0-471.7-0</f>
        <v>1949.9000000000003</v>
      </c>
      <c r="Q324" s="3">
        <f>2467.8+(507.5-553.4)+(0+(0-0))+0-469.9-0</f>
        <v>1952</v>
      </c>
      <c r="R324" s="3">
        <f>2388.7+(249.8-410.9)+(-6.091185+(-0.63699--1.047795))+0-399.2--1.01795999999994</f>
        <v>1823.73758</v>
      </c>
      <c r="S324" s="3">
        <f>2554.7+(255.8-496.5)+(-2.605794+(-0.260916--0.50643))+0-493.8--0.503676000000079</f>
        <v>1818.3433960000002</v>
      </c>
      <c r="T324" s="3">
        <f>2354.6+(248.1-294.5)+(-1.200846+(-0.126531--0.150195))+0-472.2--0.240821999999952</f>
        <v>1835.0636399999999</v>
      </c>
      <c r="U324" s="3">
        <f>2326.9+(253.1-329.7)+(-2.373438+(-0.258162--0.336294))+0-427.5--0.436050000000068</f>
        <v>1820.9407440000002</v>
      </c>
      <c r="V324" s="3">
        <f>2457.4+(247.2-408.5)+(1.253274+(0.126072-0.208335))+0-501.3-0.255662999999949</f>
        <v>1795.7153479999999</v>
      </c>
      <c r="W324" s="3">
        <f>2423+(458.3-600.2)+(-1.23573+(-0.233733--0.306102))+0-480.6--0.245105999999951</f>
        <v>1799.581745</v>
      </c>
      <c r="X324" s="3">
        <f>2567.8+(573.4-711.3)+(-5.238312+(-1.169736--1.451052))+0-349.8--0.713591999999985</f>
        <v>2075.8565960000001</v>
      </c>
      <c r="Y324" s="3">
        <f>2575.9+(463-587.9)+(-5.254836+(-0.94452--1.199316))+0-466.6--0.95186399999998</f>
        <v>1980.3518240000001</v>
      </c>
      <c r="Z324" s="3">
        <f>2577.4+(323-551.9)+(-3.943422+(-0.49419--0.844407))+0-457.7--0.700281000000026</f>
        <v>1887.907076</v>
      </c>
      <c r="AA324" s="3">
        <f>2580.8+(274.4-508)+(-6.58104+(-0.69972--1.2954))+0-452.1--1.15285499999993</f>
        <v>1890.2674950000001</v>
      </c>
      <c r="AB324" s="3">
        <f>2553.5+(210.6-555.4)+(-5.20914+(-0.429624--1.133016))+0-407.4--0.831095999999982</f>
        <v>1797.6253479999996</v>
      </c>
      <c r="AC324" s="3">
        <f>2381.3+(275.9-520)+(-10.930167+(-1.266381--2.3868))+0-474.1--2.17611900000008</f>
        <v>1655.4663710000002</v>
      </c>
      <c r="AD324">
        <f t="shared" si="5"/>
        <v>41916.294130000009</v>
      </c>
      <c r="AE324" s="3">
        <f>2560+(521.1-734.9)+(0+(0-0))+0-261.7-0</f>
        <v>2084.5</v>
      </c>
    </row>
    <row r="325" spans="1:31" s="2" customFormat="1" x14ac:dyDescent="0.25">
      <c r="A325">
        <v>89</v>
      </c>
      <c r="B325">
        <v>11</v>
      </c>
      <c r="C325">
        <v>19</v>
      </c>
      <c r="D325">
        <v>4</v>
      </c>
      <c r="E325">
        <v>1</v>
      </c>
      <c r="F325" s="3">
        <f>2134.9+(358.3-466.7)+(4.355196+(0.730932-0.952068))+0-450.6-0.91922399999998</f>
        <v>1579.114836</v>
      </c>
      <c r="G325" s="3">
        <f>1911.7+(449.4-404.8)+(1.949934+(0.458388-0.412896))+0-444.7-0.453594000000071</f>
        <v>1513.1418319999998</v>
      </c>
      <c r="H325" s="3">
        <f>1908+(446.8-406.4)+(-1.94616+(-0.455736--0.414528))+0-476.6--0.486132000000076</f>
        <v>1470.2987640000001</v>
      </c>
      <c r="I325" s="3">
        <f>1913.4+(433-387.2)+(-4.87917+(-1.10415--0.98736))+0-493--1.25714999999993</f>
        <v>1462.46119</v>
      </c>
      <c r="J325" s="3">
        <f>1913.3+(438.6-378.9)+(0.975783+(0.223686-0.193239))+0-505-0.257549999999949</f>
        <v>1468.7486799999999</v>
      </c>
      <c r="K325" s="3">
        <f>2154.9+(242-379.9)+(4.395996+(0.49368-0.774996))+0-532.3-1.08589199999998</f>
        <v>1487.7287879999999</v>
      </c>
      <c r="L325" s="3">
        <f>2254.3+(147.3-311.8)+(-4.598772+(-0.300492--0.636072))+0-587.9--1.19931599999997</f>
        <v>1498.8361240000002</v>
      </c>
      <c r="M325" s="3">
        <f>2426.9+(116.3-465.8)+(-1.237719+(-0.059313--0.237558))+0-478.6--0.244085999999951</f>
        <v>1597.984612</v>
      </c>
      <c r="N325" s="3">
        <f>2426.8+(337.6-559.2)+(2.475336+(0.344352-0.570384))+0-461.3-0.470526000000074</f>
        <v>1745.6787780000002</v>
      </c>
      <c r="O325" s="3">
        <f>2406.8+(766.4-746.7)+(1.227468+(0.390864-0.380817))+0-508.1-0.259130999999948</f>
        <v>1919.3783839999999</v>
      </c>
      <c r="P325" s="3">
        <f>2406.4+(571.7-291.6)+(-4.909056+(-1.166268--0.594864))+0-572.2--1.16728799999998</f>
        <v>2109.9868279999996</v>
      </c>
      <c r="Q325" s="3">
        <f>2405.2+(383.7-319.4)+(-4.906608+(-0.782748--0.651576))+0-555.8--1.13383199999998</f>
        <v>1909.7960519999999</v>
      </c>
      <c r="R325" s="3">
        <f>2351.6+(384.1-324.4)+(-3.597948+(-0.587673--0.496332))+0-554.8--0.848844000000032</f>
        <v>1853.6595550000004</v>
      </c>
      <c r="S325" s="3">
        <f>2337.9+(290-327.6)+(0+(0-0))+0-545-0</f>
        <v>1755.3000000000002</v>
      </c>
      <c r="T325" s="3">
        <f>2354.1+(325.8-368.3)+(0+(0-0))+0-539-0</f>
        <v>1772.6</v>
      </c>
      <c r="U325" s="3">
        <f>2386.9+(301.1-322.9)+(-2.434638+(-0.307122--0.329358))+0-492--0.501840000000078</f>
        <v>1871.1894380000006</v>
      </c>
      <c r="V325" s="3">
        <f>2347.9+(313-371.7)+(-3.592287+(-0.47889--0.568701))+0-390.1--0.596853000000023</f>
        <v>1896.1943770000003</v>
      </c>
      <c r="W325" s="3">
        <f>2359.9+(274.1-153.3)+(1.203549+(0.139791-0.078183))+0-481-0.245309999999951</f>
        <v>2000.7198470000001</v>
      </c>
      <c r="X325" s="3">
        <f>2445.9+(389.4-213.3)+(-2.494818+(-0.397188--0.217566))+0-534.4--0.545088000000085</f>
        <v>2085.4706480000004</v>
      </c>
      <c r="Y325" s="3">
        <f>2447.2+(441.7-407.8)+(-3.744216+(-0.675801--0.623934))+0-479.9--0.734247000000028</f>
        <v>1998.1381639999997</v>
      </c>
      <c r="Z325" s="3">
        <f>2441.7+(368.5-295.3)+(-6.226335+(-0.939675--0.753015))+0-589.2--1.50245999999991</f>
        <v>1920.7894649999994</v>
      </c>
      <c r="AA325" s="3">
        <f>2438+(271.1-243.7)+(0+(0-0))+0-540.4-0</f>
        <v>1925</v>
      </c>
      <c r="AB325" s="3">
        <f>2419.8+(210.9-251.9)+(-1.234098+(-0.107559--0.128469))+0-535.6--0.273155999999946</f>
        <v>1842.2599680000001</v>
      </c>
      <c r="AC325" s="3">
        <f>2369.4+(195.1-327.3)+(-7.250364+(-0.597006--1.001538))+0-514.1--1.57314600000006</f>
        <v>1717.8273140000003</v>
      </c>
      <c r="AD325">
        <f t="shared" si="5"/>
        <v>42402.303644</v>
      </c>
      <c r="AE325" s="3">
        <f>2433+(404.1-240.9)+(0+(0-0))+0-565.2-0</f>
        <v>2030.9999999999998</v>
      </c>
    </row>
    <row r="326" spans="1:31" s="2" customFormat="1" x14ac:dyDescent="0.25">
      <c r="A326">
        <v>89</v>
      </c>
      <c r="B326">
        <v>11</v>
      </c>
      <c r="C326">
        <v>20</v>
      </c>
      <c r="D326">
        <v>5</v>
      </c>
      <c r="E326">
        <v>1</v>
      </c>
      <c r="F326" s="3">
        <f>2142.2+(240.7-248.1)+(-2.185044+(-0.245514--0.253062))+0-525.5--0.536010000000084</f>
        <v>1607.658514</v>
      </c>
      <c r="G326" s="3">
        <f>2021.6+(271.1-162.8)+(-6.186096+(-0.829566--0.498168))+0-581.9--1.78061400000007</f>
        <v>1543.2631199999998</v>
      </c>
      <c r="H326" s="3">
        <f>1916.7+(352.4-172.5)+(0.977517+(0.179724-0.087975))+0-589.9-0.30084899999994</f>
        <v>1507.4684169999998</v>
      </c>
      <c r="I326" s="3">
        <f>1917.7+(328-179.2)+(-4.890135+(-0.8364--0.45696))+0-554.1--1.41295499999992</f>
        <v>1508.5433800000003</v>
      </c>
      <c r="J326" s="3">
        <f>1914.5+(356.4-213)+(-0.976395+(-0.181764--0.10863))+0-568.4--0.289883999999942</f>
        <v>1488.7403550000001</v>
      </c>
      <c r="K326" s="3">
        <f>1987.6+(314.1-207.2)+(-1.013676+(-0.160191--0.105672))+0-609.3--0.310742999999938</f>
        <v>1484.4425480000002</v>
      </c>
      <c r="L326" s="3">
        <f>2078.9+(205-242.6)+(-1.060239+(-0.10455--0.123726))+0-531--0.270809999999946</f>
        <v>1509.5297470000003</v>
      </c>
      <c r="M326" s="3">
        <f>2170.2+(176.8-177.1)+(3.320406+(0.270504-0.270963))+0-544.1-0.832473000000031</f>
        <v>1628.2874739999997</v>
      </c>
      <c r="N326" s="3">
        <f>2357.8+(235.1-324.3)+(2.404956+(0.239802-0.330786))+0-523.6-0.534072000000083</f>
        <v>1746.7799000000002</v>
      </c>
      <c r="O326" s="3">
        <f>2419.8+(386.4-371)+(-1.234098+(-0.197064--0.18921))+0-561.2--0.286211999999943</f>
        <v>1873.0442600000003</v>
      </c>
      <c r="P326" s="3">
        <f>2408.9+(400-386.7)+(-2.457078+(-0.408--0.394434))+0-516.2--0.526524000000082</f>
        <v>1904.0558800000003</v>
      </c>
      <c r="Q326" s="3">
        <f>2475.8+(381.9-287.3)+(-5.050632+(-0.779076--0.586092))+0-549.5--1.12097999999998</f>
        <v>2016.7773639999998</v>
      </c>
      <c r="R326" s="3">
        <f>2421.3+(233.6-305.8)+(-7.409178+(-0.714816--0.935748))+0-530.6--1.62363600000006</f>
        <v>1812.9353900000003</v>
      </c>
      <c r="S326" s="3">
        <f>2348.2+(284.2-283.4)+(-1.197582+(-0.144942--0.144534))+0-539.9--0.275348999999945</f>
        <v>1808.1773589999998</v>
      </c>
      <c r="T326" s="3">
        <f>2341.1+(274.4-281)+(0+(0-0))+0-486.7-0</f>
        <v>1847.8</v>
      </c>
      <c r="U326" s="3">
        <f>2363.5+(253.4-200.5)+(-4.82154+(-0.516936--0.40902))+0-557.5--1.13729999999998</f>
        <v>1855.1078440000001</v>
      </c>
      <c r="V326" s="3">
        <f>2401.2+(210.9-201)+(-7.347672+(-0.645354--0.61506))+0-536.3--1.64107800000006</f>
        <v>1869.063112</v>
      </c>
      <c r="W326" s="3">
        <f>2422.7+(268.2-277)+(-2.471154+(-0.273564--0.28254))+0-505--0.51510000000008</f>
        <v>1906.9529219999995</v>
      </c>
      <c r="X326" s="3">
        <f>2452.9+(486.3-341.5)+(-8.756853+(-1.736091--1.219155))+0-535.9--1.91316300000001</f>
        <v>2054.4393740000005</v>
      </c>
      <c r="Y326" s="3">
        <f>2452.3+(498.7-364.3)+(-3.752019+(-0.763011--0.557379))+0-591.3--0.904689000000034</f>
        <v>1992.3470380000001</v>
      </c>
      <c r="Z326" s="3">
        <f>2441.4+(343.3-285.9)+(-7.470684+(-1.050498--0.874854))+0-586.8--1.79560800000007</f>
        <v>1906.1492800000005</v>
      </c>
      <c r="AA326" s="3">
        <f>2437+(429.2-376.5)+(-3.72861+(-0.656676--0.576045))+0-604--0.924120000000035</f>
        <v>1882.814879</v>
      </c>
      <c r="AB326" s="3">
        <f>2385.7+(316.8-345.8)+(-6.083535+(-0.80784--0.88179))+0-534.3--1.36246499999992</f>
        <v>1817.75288</v>
      </c>
      <c r="AC326" s="3">
        <f>2243.4+(319.7-257.5)+(-1.144134+(-0.163047--0.131325))+0-580.1--0.295850999999941</f>
        <v>1724.619995</v>
      </c>
      <c r="AD326">
        <f t="shared" si="5"/>
        <v>42296.751032</v>
      </c>
      <c r="AE326" s="3">
        <f>2441+(486.6-297.2)+(0+(0-0))+0-617.8-0</f>
        <v>2012.6000000000001</v>
      </c>
    </row>
    <row r="327" spans="1:31" s="2" customFormat="1" x14ac:dyDescent="0.25">
      <c r="A327">
        <v>89</v>
      </c>
      <c r="B327">
        <v>11</v>
      </c>
      <c r="C327">
        <v>21</v>
      </c>
      <c r="D327">
        <v>6</v>
      </c>
      <c r="E327">
        <v>1</v>
      </c>
      <c r="F327" s="3">
        <f>2185.2+(230.3-306.9)+(-6.686712+(-0.704718--0.939114))+0-508.6--1.55631600000006</f>
        <v>1595.1040000000003</v>
      </c>
      <c r="G327" s="3">
        <f>2003.4+(327.1-277)+(2.043468+(0.333642-0.28254))+0-523.4-0.533868000000083</f>
        <v>1531.6607020000001</v>
      </c>
      <c r="H327" s="3">
        <f>1966.7+(205.6-263)+(-2.006034+(-0.209712--0.26826))+0-449.7--0.458694000000072</f>
        <v>1458.111208</v>
      </c>
      <c r="I327" s="3">
        <f>1999.2+(226.5-199.9)+(4.078368+(0.46206-0.407796))+0-582.4-1.18809599999997</f>
        <v>1446.3445360000001</v>
      </c>
      <c r="J327" s="3">
        <f>1999.4+(210.5-192.2)+(5.09847+(0.536775-0.49011))+0-580.1-1.47925499999992</f>
        <v>1441.2658800000002</v>
      </c>
      <c r="K327" s="3">
        <f>2110+(236.9-206.6)+(-2.1522+(-0.241638--0.210732))+0-646.2--0.659124000000103</f>
        <v>1492.5760180000002</v>
      </c>
      <c r="L327" s="3">
        <f>2138.3+(226.8-258.7)+(-5.452665+(-0.57834--0.659685))+0-556.7--1.41958499999992</f>
        <v>1545.7482649999997</v>
      </c>
      <c r="M327" s="3">
        <f>2235.2+(234.8-214.6)+(-2.279904+(-0.239496--0.218892))+0-640.7--0.653514000000102</f>
        <v>1613.0530059999999</v>
      </c>
      <c r="N327" s="3">
        <f>2375.5+(175.2-177.1)+(-2.42301+(-0.178704--0.180642))+0-570.8--0.582216000000091</f>
        <v>1800.9611439999999</v>
      </c>
      <c r="O327" s="3">
        <f>2444.2+(344.3-347.6)+(0+(0-0))+0-560.8-0</f>
        <v>1880.0999999999997</v>
      </c>
      <c r="P327" s="3">
        <f>2485.9+(465.8-464.5)+(-5.071236+(-0.950232--0.94758))+0-565.9--1.15443599999998</f>
        <v>1917.3805480000003</v>
      </c>
      <c r="Q327" s="3">
        <f>2528+(501.3-485.9)+(-9.02496+(-1.789641--1.734663))+0-608.1--2.17091700000001</f>
        <v>1928.3909790000002</v>
      </c>
      <c r="R327" s="3">
        <f>2549.7+(339.9-387.5)+(-2.600694+(-0.346698--0.39525))+0-574.1--0.585582000000092</f>
        <v>1926.0334400000002</v>
      </c>
      <c r="S327" s="3">
        <f>2284.7+(281.3-146)+(1.165197+(0.143463-0.07446))+0-614.7-0.313496999999938</f>
        <v>1806.220703</v>
      </c>
      <c r="T327" s="3">
        <f>2329.8+(195.8-207.3)+(-1.188198+(-0.099858--0.105723))+0-549--0.279989999999944</f>
        <v>1768.397657</v>
      </c>
      <c r="U327" s="3">
        <f>2393.4+(158.9-272.3)+(-7.323804+(-0.486234--0.833238))+0-543.3--1.66249800000006</f>
        <v>1731.3856980000003</v>
      </c>
      <c r="V327" s="3">
        <f>2431.3+(178.1-221.6)+(6.199815+(0.454155-0.56508))+0-631.5-1.61032499999991</f>
        <v>1760.7785650000003</v>
      </c>
      <c r="W327" s="3">
        <f>2575.5+(224.6-173.5)+(-1.313505+(-0.114546--0.088485))+0-617.4--0.314873999999937</f>
        <v>2008.1753079999996</v>
      </c>
      <c r="X327" s="3">
        <f>2450.9+(255.4-191.4)+(-3.749877+(-0.390762--0.292842))+0-538.7--0.824211000000031</f>
        <v>1973.1764140000002</v>
      </c>
      <c r="Y327" s="3">
        <f>2450.1+(159.4-193)+(-2.499102+(-0.162588--0.19686))+0-516.3--0.526626000000082</f>
        <v>1898.2617960000002</v>
      </c>
      <c r="Z327" s="3">
        <f>2441.6+(209.1-224.7)+(-9.961728+(-0.853128--0.916776))+0-627.9--2.56183199999995</f>
        <v>1790.7637519999998</v>
      </c>
      <c r="AA327" s="3">
        <f>2438.8+(263.6-259.7)+(-1.243788+(-0.134436--0.132447))+0-600.6--0.306305999999939</f>
        <v>1841.1605290000002</v>
      </c>
      <c r="AB327" s="3">
        <f>2418.3+(303.5-306.2)+(-6.166665+(-0.773925--0.78081))+0-571.2--1.45655999999992</f>
        <v>1839.6967800000002</v>
      </c>
      <c r="AC327" s="3">
        <f>2275.4+(303.7-305.1)+(0+(0-0))+0-586.1-0</f>
        <v>1687.9</v>
      </c>
      <c r="AD327">
        <f t="shared" si="5"/>
        <v>41682.646928000002</v>
      </c>
      <c r="AE327" s="3">
        <f>2449+(233.7-188.1)+(0+(0-0))+0-557-0</f>
        <v>1937.6</v>
      </c>
    </row>
    <row r="328" spans="1:31" s="2" customFormat="1" x14ac:dyDescent="0.25">
      <c r="A328">
        <v>89</v>
      </c>
      <c r="B328">
        <v>11</v>
      </c>
      <c r="C328">
        <v>22</v>
      </c>
      <c r="D328">
        <v>7</v>
      </c>
      <c r="E328">
        <v>2</v>
      </c>
      <c r="F328" s="3">
        <f>2097.4+(405-258.5)+(-1.069674+(-0.20655--0.131835))+0-566.4--0.288863999999943</f>
        <v>1676.6444749999998</v>
      </c>
      <c r="G328" s="3">
        <f>1986+(326.3-216.2)+(-1.01286+(-0.166413--0.110262))+0-581.8--0.296717999999941</f>
        <v>1513.5277069999997</v>
      </c>
      <c r="H328" s="3">
        <f>2010.1+(278.1-233)+(0+(0-0))+0-595.5-0</f>
        <v>1459.6999999999998</v>
      </c>
      <c r="I328" s="3">
        <f>1910.3+(284.9-187.1)+(-2.922759+(-0.435897--0.286263))+0-570.7--0.873171000000033</f>
        <v>1435.2007779999999</v>
      </c>
      <c r="J328" s="3">
        <f>1860.9+(268.6-162.5)+(-3.796236+(-0.547944--0.3315))+0-592.6--1.20890399999997</f>
        <v>1371.5962239999999</v>
      </c>
      <c r="K328" s="3">
        <f>1910.8+(284.3-161.4)+(0.974508+(0.144993-0.082314))+0-600.8-0.306407999999939</f>
        <v>1433.6307790000001</v>
      </c>
      <c r="L328" s="3">
        <f>2080.7+(191.2-320.4)+(-7.428099+(-0.682584--1.143828))+0-526.8--1.88067600000001</f>
        <v>1419.6138209999999</v>
      </c>
      <c r="M328" s="3">
        <f>2026.9+(190-257.6)+(0+(0-0))+0-615.6-0</f>
        <v>1343.7000000000003</v>
      </c>
      <c r="N328" s="3">
        <f>2108.1+(162.5-320.7)+(3.225393+(0.248625-0.490671))+0-573.2-0.876996000000033</f>
        <v>1378.8063509999999</v>
      </c>
      <c r="O328" s="3">
        <f>2164.5+(128-285.6)+(2.20779+(0.13056-0.291312))+0-560.4-0.571608000000089</f>
        <v>1447.97543</v>
      </c>
      <c r="P328" s="3">
        <f>2251.6+(156.6-277.1)+(1.148316+(0.079866-0.141321))+0-620.9-0.316658999999937</f>
        <v>1510.9702020000002</v>
      </c>
      <c r="Q328" s="3">
        <f>2254.3+(109.5-324.1)+(1.149693+(0.055845-0.165291))+0-508.4-0.259283999999948</f>
        <v>1532.0809630000001</v>
      </c>
      <c r="R328" s="3">
        <f>2242.4+(110.5-256.7)+(-3.430872+(-0.169065--0.392751))+0-588--0.899640000000034</f>
        <v>1505.8924540000003</v>
      </c>
      <c r="S328" s="3">
        <f>2182.7+(162.7-264.1)+(-6.679062+(-0.497862--0.808146))+0-603.3--1.84609800000007</f>
        <v>1473.4773199999997</v>
      </c>
      <c r="T328" s="3">
        <f>2148.6+(180.3-342.2)+(-4.383144+(-0.367812--0.698088))+0-493.4--1.00653599999998</f>
        <v>1490.2536679999998</v>
      </c>
      <c r="U328" s="3">
        <f>1822.2+(321.4-116.7)+(-0.929322+(-0.163914--0.059517))+0-593.1--0.30248099999994</f>
        <v>1433.0687620000001</v>
      </c>
      <c r="V328" s="3">
        <f>1803.2+(228.8-128.7)+(-0.919632+(-0.116688--0.065637))+0-511--0.260609999999948</f>
        <v>1391.5899270000002</v>
      </c>
      <c r="W328" s="3">
        <f>1854+(378.4-119.5)+(-2.83662+(-0.578952--0.182835))+0-580.7--0.888471000000034</f>
        <v>1529.8557340000002</v>
      </c>
      <c r="X328" s="3">
        <f>2011.1+(368.1-165.3)+(-2.051322+(-0.375462--0.168606))+0-489.7--0.499494000000078</f>
        <v>1722.4413160000001</v>
      </c>
      <c r="Y328" s="3">
        <f>2024.4+(408.1-148.1)+(-2.064888+(-0.416262--0.151062))+0-592.5--0.604350000000094</f>
        <v>1690.174262</v>
      </c>
      <c r="Z328" s="3">
        <f>2132.6+(299.7-209.5)+(-3.262878+(-0.458541--0.320535))+0-559.9--0.856647000000032</f>
        <v>1660.3557629999996</v>
      </c>
      <c r="AA328" s="3">
        <f>2228.2+(301.6-197.6)+(3.409146+(0.461448-0.302328))+0-583.4-0.892602000000034</f>
        <v>1751.4756639999998</v>
      </c>
      <c r="AB328" s="3">
        <f>2226.8+(234.3-194.2)+(-3.407004+(-0.358479--0.297126))+0-579.4--0.886482000000033</f>
        <v>1684.9181249999999</v>
      </c>
      <c r="AC328" s="3">
        <f>2100.1+(260-185.2)+(-5.355255+(-0.663--0.47226))+0-599.7--1.52923499999991</f>
        <v>1571.1832400000001</v>
      </c>
      <c r="AD328">
        <f t="shared" si="5"/>
        <v>36428.132964999997</v>
      </c>
      <c r="AE328" s="3">
        <f>1996+(353.8-173)+(0+(0-0))+0-454.5-0</f>
        <v>1722.3000000000002</v>
      </c>
    </row>
    <row r="329" spans="1:31" s="2" customFormat="1" x14ac:dyDescent="0.25">
      <c r="A329">
        <v>89</v>
      </c>
      <c r="B329">
        <v>11</v>
      </c>
      <c r="C329">
        <v>23</v>
      </c>
      <c r="D329">
        <v>1</v>
      </c>
      <c r="E329">
        <v>1</v>
      </c>
      <c r="F329" s="3">
        <f>2005.6+(271.7-192.4)+(-6.137136+(-0.831402--0.588744))+0-609.3--1.86445800000007</f>
        <v>1471.0846640000002</v>
      </c>
      <c r="G329" s="3">
        <f>1841.6+(366-195.3)+(-3.756864+(-0.74664--0.398412))+0-609.2--1.24276799999997</f>
        <v>1400.237676</v>
      </c>
      <c r="H329" s="3">
        <f>1776.4+(379.7-171.5)+(-3.623856+(-0.774588--0.34986))+0-603--1.23011999999997</f>
        <v>1378.7815360000002</v>
      </c>
      <c r="I329" s="3">
        <f>1778.3+(376.3-175.9)+(0+(0-0))+0-615.7-0</f>
        <v>1363</v>
      </c>
      <c r="J329" s="3">
        <f>1776.3+(355.4-165.1)+(2.717739+(0.543762-0.252603))+0-592.2-0.906066000000034</f>
        <v>1376.5028319999999</v>
      </c>
      <c r="K329" s="3">
        <f>1786.3+(412.1-131.7)+(5.466078+(1.261026-0.403002))+0-662.5-2.02725000000008</f>
        <v>1408.4968519999998</v>
      </c>
      <c r="L329" s="3">
        <f>1923.2+(251.3-180.4)+(-6.865824+(-0.897141--0.644028))+0-544.4--1.94350800000001</f>
        <v>1444.5245710000002</v>
      </c>
      <c r="M329" s="3">
        <f>2007.1+(367.8-169.5)+(2.047242+(0.375156-0.17289))+0-552.5-0.563550000000088</f>
        <v>1654.5859579999999</v>
      </c>
      <c r="N329" s="3">
        <f>2304.5+(279.8-186)+(-5.876475+(-0.71349--0.4743))+0-511--1.30304999999993</f>
        <v>1882.4873850000004</v>
      </c>
      <c r="O329" s="3">
        <f>2402.6+(295.3-301.9)+(3.675978+(0.451809-0.461907))+0-584.1-0.893673000000034</f>
        <v>1814.6722070000001</v>
      </c>
      <c r="P329" s="3">
        <f>2475.6+(687.6-645.4)+(1.262556+(0.350676-0.329154))+0-500.2-0.255101999999949</f>
        <v>2018.6289760000004</v>
      </c>
      <c r="Q329" s="3">
        <f>2413.2+(949.1-771.4)+(-2.461464+(-0.968082--0.786828))+0-581.3--0.592926000000093</f>
        <v>2007.5502079999997</v>
      </c>
      <c r="R329" s="3">
        <f>2415.1+(708.7-733.1)+(-6.158505+(-1.807185--1.869405))+0-555.3--1.41601499999992</f>
        <v>1830.7197299999998</v>
      </c>
      <c r="S329" s="3">
        <f>2409.3+(553.3-534.7)+(-2.457486+(-0.564366--0.545394))+0-593.4--0.605268000000095</f>
        <v>1832.6288099999999</v>
      </c>
      <c r="T329" s="3">
        <f>2430.9+(417.5-476.9)+(0+(0-0))+0-522.2-0</f>
        <v>1849.3</v>
      </c>
      <c r="U329" s="3">
        <f>2479.9+(405.6-509)+(-3.794247+(-0.620568--0.77877))+0-520.8--0.79682400000003</f>
        <v>1852.8607789999999</v>
      </c>
      <c r="V329" s="3">
        <f>2557.5+(422.8-522.4)+(-5.2173+(-0.862512--1.065696))+0-598--1.21991999999997</f>
        <v>1856.1058040000003</v>
      </c>
      <c r="W329" s="3">
        <f>2722.3+(523.7-788.5)+(-1.388373+(-0.267087--0.402135))+0-553--0.282029999999944</f>
        <v>1903.5287049999997</v>
      </c>
      <c r="X329" s="3">
        <f>2733.2+(597.6-732.4)+(-2.787864+(-0.609552--0.747048))+0-522.1--0.532542000000083</f>
        <v>2074.1821739999996</v>
      </c>
      <c r="Y329" s="3">
        <f>2780.5+(441.3-671.3)+(-1.418055+(-0.225063--0.342363))+0-545.4--0.278153999999945</f>
        <v>2004.0773989999996</v>
      </c>
      <c r="Z329" s="3">
        <f>2781.2+(303.4-632.7)+(-5.673648+(-0.618936--1.290708))+0-521.2--1.06324799999998</f>
        <v>1926.7613719999997</v>
      </c>
      <c r="AA329" s="3">
        <f>2777.9+(295.2-618.7)+(1.416729+(0.150552-0.315537))+0-554.6-0.282845999999944</f>
        <v>1900.7688980000005</v>
      </c>
      <c r="AB329" s="3">
        <f>2696.3+(287-628.6)+(-5.500452+(-0.58548--1.282344))+0-522.8--1.06651199999998</f>
        <v>1828.162924</v>
      </c>
      <c r="AC329" s="3">
        <f>2566.7+(354.2-707.1)+(-6.545085+(-0.90321--1.803105))+0-502.2--1.28060999999993</f>
        <v>1707.2354199999995</v>
      </c>
      <c r="AD329">
        <f t="shared" si="5"/>
        <v>41786.884879999998</v>
      </c>
      <c r="AE329" s="3">
        <f>2745+(539.2-761.8)+(0+(0-0))+0-387.6-0</f>
        <v>2134.8000000000002</v>
      </c>
    </row>
    <row r="330" spans="1:31" s="2" customFormat="1" x14ac:dyDescent="0.25">
      <c r="A330">
        <v>89</v>
      </c>
      <c r="B330">
        <v>11</v>
      </c>
      <c r="C330">
        <v>24</v>
      </c>
      <c r="D330">
        <v>2</v>
      </c>
      <c r="E330">
        <v>1</v>
      </c>
      <c r="F330" s="3">
        <f>2450.5+(464.4-725.9)+(-2.49951+(-0.473688--0.740418))+0-584--0.595680000000093</f>
        <v>1603.3629000000003</v>
      </c>
      <c r="G330" s="3">
        <f>2240.6+(455.6-503.9)+(-5.71353+(-1.16178--1.284945))+0-562.7--1.43488499999992</f>
        <v>1625.44452</v>
      </c>
      <c r="H330" s="3">
        <f>2067.1+(432.9-348.1)+(0+(0-0))+0-615.8-0</f>
        <v>1536.0999999999997</v>
      </c>
      <c r="I330" s="3">
        <f>1920.8+(428.5-301.2)+(-2.938824+(-0.655605--0.460836))+0-563.7--0.862461000000033</f>
        <v>1482.1288679999998</v>
      </c>
      <c r="J330" s="3">
        <f>1918.3+(435.3-327.4)+(3.913332+(0.888012-0.667896))+0-544.4-1.11057599999998</f>
        <v>1484.8228720000002</v>
      </c>
      <c r="K330" s="3">
        <f>1921.9+(461.2-249.4)+(0+(0-0))+0-590.3-0</f>
        <v>1543.4000000000003</v>
      </c>
      <c r="L330" s="3">
        <f>2015.7+(317.6-246.4)+(1.028007+(0.161976-0.125664))+0-566.1-0.288710999999943</f>
        <v>1521.5756080000003</v>
      </c>
      <c r="M330" s="3">
        <f>2208.4+(247.2-320.4)+(0+(0-0))+0-520.5-0</f>
        <v>1614.7000000000003</v>
      </c>
      <c r="N330" s="3">
        <f>2557.8+(195-573.3)+(0+(0-0))+0-328.3-0</f>
        <v>1851.2</v>
      </c>
      <c r="O330" s="3">
        <f>2670.6+(285.6-669.6)+(-1.362006+(-0.145656--0.341496))+0-355.9--0.181508999999964</f>
        <v>1929.7153429999998</v>
      </c>
      <c r="P330" s="3">
        <f>2484.9+(443.1-525.4)+(-3.801897+(-0.677943--0.803862))+0-445.6--0.681768000000026</f>
        <v>1954.0057900000002</v>
      </c>
      <c r="Q330" s="3">
        <f>2469.1+(523.6-591.2)+(-3.777723+(-0.801108--0.904536))+0-396.3--0.606339000000023</f>
        <v>2002.1320440000002</v>
      </c>
      <c r="R330" s="3">
        <f>2460.3+(433-460.1)+(-7.528518+(-1.32498--1.407906))+0-500.3--1.53091800000006</f>
        <v>1926.9853260000004</v>
      </c>
      <c r="S330" s="3">
        <f>2444.3+(342.1-421.2)+(1.246593+(0.174471-0.214812))+0-489.3-0.24954299999995</f>
        <v>1876.8567090000004</v>
      </c>
      <c r="T330" s="3">
        <f>2417.3+(293.1-469.2)+(-7.396938+(-0.896886--1.435752))+0-374.5--1.14597000000004</f>
        <v>1860.9878980000003</v>
      </c>
      <c r="U330" s="3">
        <f>2374+(398.6-264.7)+(-1.21074+(-0.203286--0.134997))+0-574.9--0.293198999999942</f>
        <v>1932.0141700000001</v>
      </c>
      <c r="V330" s="3">
        <f>2378.3+(294-324.6)+(-4.851732+(-0.59976--0.662184))+0-468.4--0.95553599999998</f>
        <v>1875.4662280000002</v>
      </c>
      <c r="W330" s="3">
        <f>2449+(216.3-373.9)+(1.24899+(0.110313-0.190689))+0-543.4-0.277133999999945</f>
        <v>1748.8914800000002</v>
      </c>
      <c r="X330" s="3">
        <f>2613.4+(545.7-469.2)+(0+(0-0))+0-543.6-0</f>
        <v>2146.3000000000002</v>
      </c>
      <c r="Y330" s="3">
        <f>2648.9+(412.1-468.3)+(-8.105634+(-1.261026--1.432998))+0-553.2--1.69279200000006</f>
        <v>2033.2591300000004</v>
      </c>
      <c r="Z330" s="3">
        <f>2644.1+(154.9-355.7)+(-4.045473+(-0.236997--0.544221))+0-552.8--0.845784000000032</f>
        <v>1887.6075349999999</v>
      </c>
      <c r="AA330" s="3">
        <f>2643.2+(235.9-383.9)+(-5.392128+(-0.481236--0.783156))+0-596.8--1.21747199999997</f>
        <v>1894.5272639999998</v>
      </c>
      <c r="AB330" s="3">
        <f>2550.2+(254.3-470.8)+(-2.601204+(-0.259386--0.480216))+0-489.7--0.499494000000078</f>
        <v>1842.1191200000001</v>
      </c>
      <c r="AC330" s="3">
        <f>2531.9+(293.5-661.3)+(-7.747614+(-0.89811--2.023578))+0-514.2--1.57345200000006</f>
        <v>1644.8513060000002</v>
      </c>
      <c r="AD330">
        <f t="shared" si="5"/>
        <v>42818.454111000006</v>
      </c>
      <c r="AE330" s="3">
        <f>2633+(628.3-568.7)+(0+(0-0))+0-628.3-0</f>
        <v>2064.3000000000002</v>
      </c>
    </row>
    <row r="331" spans="1:31" s="2" customFormat="1" x14ac:dyDescent="0.25">
      <c r="A331">
        <v>89</v>
      </c>
      <c r="B331">
        <v>11</v>
      </c>
      <c r="C331">
        <v>25</v>
      </c>
      <c r="D331">
        <v>3</v>
      </c>
      <c r="E331">
        <v>1</v>
      </c>
      <c r="F331" s="3">
        <f>2231.6+(339.8-544.5)+(-6.828696+(-1.039788--1.66617))+0-440.1--1.34670600000005</f>
        <v>1581.9443920000001</v>
      </c>
      <c r="G331" s="3">
        <f>1979+(404.1-302.3)+(1.00929+(0.206091-0.154173))+0-557.4-0.284273999999943</f>
        <v>1524.1769340000003</v>
      </c>
      <c r="H331" s="3">
        <f>1827.6+(435.5-211.6)+(-0.932076+(-0.222105--0.107916))+0-558--0.284579999999943</f>
        <v>1492.7383150000001</v>
      </c>
      <c r="I331" s="3">
        <f>1825.2+(364-218.5)+(0+(0-0))+0-492.7-0</f>
        <v>1478</v>
      </c>
      <c r="J331" s="3">
        <f>1856+(338.5-172.2)+(-0.94656+(-0.172635--0.087822))+0-558.5--0.284834999999943</f>
        <v>1463.0534619999999</v>
      </c>
      <c r="K331" s="3">
        <f>2037.9+(250.3-236.3)+(0+(0-0))+0-562.5-0</f>
        <v>1489.4</v>
      </c>
      <c r="L331" s="3">
        <f>2230.9+(180-357.4)+(-1.137759+(-0.0918--0.182274))+0-510.1--0.260150999999948</f>
        <v>1542.6128659999999</v>
      </c>
      <c r="M331" s="3">
        <f>2442+(172-464.8)+(-1.24542+(-0.08772--0.237048))+0-497.3--0.25362299999995</f>
        <v>1651.0575309999997</v>
      </c>
      <c r="N331" s="3">
        <f>2499.7+(236.3-436.2)+(1.274847+(0.120513-0.222462))+0-450.4-0.229703999999954</f>
        <v>1850.3431939999996</v>
      </c>
      <c r="O331" s="3">
        <f>2488+(409.1-453.7)+(-5.07552+(-0.834564--0.925548))+0-500.4--1.02081599999998</f>
        <v>1939.03628</v>
      </c>
      <c r="P331" s="3">
        <f>2481.5+(605.4-591.8)+(-2.53113+(-0.617508--0.603636))+0-504.8--0.514896000000081</f>
        <v>1988.2698940000002</v>
      </c>
      <c r="Q331" s="3">
        <f>2463.6+(689.3-699.5)+(2.512872+(0.703086-0.71349))+0-447.5-0.456450000000071</f>
        <v>2007.9460179999996</v>
      </c>
      <c r="R331" s="3">
        <f>2461.9+(537.4-606.1)+(-6.277845+(-1.37037--1.545555))+0-510.5--1.30177499999993</f>
        <v>1877.8991149999997</v>
      </c>
      <c r="S331" s="3">
        <f>2453.7+(500.8-557.5)+(-2.502774+(-0.510816--0.56865))+0-507--0.517140000000081</f>
        <v>1888.0722000000003</v>
      </c>
      <c r="T331" s="3">
        <f>2455.9+(437-504)+(-1.252509+(-0.22287--0.25704))+0-515.7--0.263006999999948</f>
        <v>1872.244668</v>
      </c>
      <c r="U331" s="3">
        <f>2457.1+(389.7-460)+(1.253121+(0.198747-0.2346))+0-551.8-0.281417999999944</f>
        <v>1835.9358499999996</v>
      </c>
      <c r="V331" s="3">
        <f>2478+(321.6-483.3)+(0+(0-0))+0-534.8-0</f>
        <v>1781.5000000000002</v>
      </c>
      <c r="W331" s="3">
        <f>2673.5+(340.2-613.9)+(-4.090455+(-0.520506--0.939267))+0-536.3--0.820539000000031</f>
        <v>1860.6488450000002</v>
      </c>
      <c r="X331" s="3">
        <f>2720.8+(481.3-578.5)+(-4.162824+(-0.736389--0.885105))+0-564.3--0.863379000000033</f>
        <v>2056.1492710000007</v>
      </c>
      <c r="Y331" s="3">
        <f>2752.5+(540.8-668.3)+(-4.211325+(-0.827424--1.022499))+0-593.4--0.907902000000034</f>
        <v>2028.4916519999997</v>
      </c>
      <c r="Z331" s="3">
        <f>2673.3+(441.6-668.6)+(-5.453532+(-0.900864--1.363944))+0-499.2--1.01836799999998</f>
        <v>1943.1279160000001</v>
      </c>
      <c r="AA331" s="3">
        <f>2573.6+(443.5-463.4)+(-5.250144+(-0.90474--0.945336))+0-614.4--1.25337599999997</f>
        <v>1935.3438279999998</v>
      </c>
      <c r="AB331" s="3">
        <f>2522.9+(401.6-613.3)+(-1.286679+(-0.204816--0.312783))+0-448.1--0.228530999999955</f>
        <v>1862.1498190000004</v>
      </c>
      <c r="AC331" s="3">
        <f>2424.3+(476.9-684.6)+(-11.127537+(-2.188971--3.142314))+0-572.8--2.6291520000001</f>
        <v>1636.2549580000004</v>
      </c>
      <c r="AD331">
        <f t="shared" si="5"/>
        <v>42586.397007999985</v>
      </c>
      <c r="AE331" s="3">
        <f>2670+(512.8-507.6)+(0+(0-0))+0-613.2-0</f>
        <v>2062</v>
      </c>
    </row>
    <row r="332" spans="1:31" s="2" customFormat="1" x14ac:dyDescent="0.25">
      <c r="A332">
        <v>89</v>
      </c>
      <c r="B332">
        <v>11</v>
      </c>
      <c r="C332">
        <v>26</v>
      </c>
      <c r="D332">
        <v>4</v>
      </c>
      <c r="E332">
        <v>1</v>
      </c>
      <c r="F332" s="3">
        <f>2323.7+(558.7-713.9)+(-3.555261+(-0.854811--1.092267))+0-561.5--0.859095000000032</f>
        <v>1604.5412899999999</v>
      </c>
      <c r="G332" s="3">
        <f>2197.7+(584.9-729.8)+(-3.362481+(-0.894897--1.116594))+0-500.7--0.766071000000029</f>
        <v>1549.7252869999995</v>
      </c>
      <c r="H332" s="3">
        <f>1933.9+(611.1-496.8)+(0.986289+(0.311661-0.253368))+0-610.9-0.311558999999938</f>
        <v>1438.0330230000002</v>
      </c>
      <c r="I332" s="3">
        <f>1846.1+(615.8-375.4)+(-2.824533+(-0.942174--0.574362))+0-602.5--0.921825000000035</f>
        <v>1481.7294800000002</v>
      </c>
      <c r="J332" s="3">
        <f>1868.3+(593.9-368.9)+(0.952833+(0.302889-0.188139))+0-597.4-0.304673999999939</f>
        <v>1496.6629090000001</v>
      </c>
      <c r="K332" s="3">
        <f>1924.8+(554-345.2)+(-0.981648+(-0.28254--0.176052))+0-635--0.323849999999936</f>
        <v>1497.8357140000001</v>
      </c>
      <c r="L332" s="3">
        <f>2053.5+(441.7-396)+(-2.09457+(-0.450534--0.40392))+0-542.5--0.553350000000086</f>
        <v>1555.1121659999999</v>
      </c>
      <c r="M332" s="3">
        <f>2284.6+(398.9-462.3)+(-1.165146+(-0.203439--0.235773))+0-552.2--0.281621999999944</f>
        <v>1668.1488099999999</v>
      </c>
      <c r="N332" s="3">
        <f>2491.1+(379.5-434)+(5.081844+(0.77418-0.88536))+0-547.7-1.11730799999998</f>
        <v>1892.7533559999997</v>
      </c>
      <c r="O332" s="3">
        <f>2485.1+(452.8-418.7)+(-2.534802+(-0.461856--0.427074))+0-529.7--0.540294000000085</f>
        <v>1987.4707100000001</v>
      </c>
      <c r="P332" s="3">
        <f>2636.6+(462.7-617.3)+(-1.344666+(-0.235977--0.314823))+0-459--0.234089999999953</f>
        <v>2021.9682699999998</v>
      </c>
      <c r="Q332" s="3">
        <f>2457.5+(509.6-413.3)+(-5.0133+(-1.039584--0.843132))+0-510.5--1.04141999999998</f>
        <v>2039.131668</v>
      </c>
      <c r="R332" s="3">
        <f>2536.9+(333.6-328.7)+(-7.762914+(-1.020816--1.005822))+0-511--1.56366000000006</f>
        <v>2024.5857520000002</v>
      </c>
      <c r="S332" s="3">
        <f>2444.6+(274.2-332.7)+(-2.493492+(-0.279684--0.339354))+0-551.4--0.562428000000088</f>
        <v>1832.828606</v>
      </c>
      <c r="T332" s="3">
        <f>2542.2+(274-277.3)+(0+(0-0))+0-441.6-0</f>
        <v>2097.2999999999997</v>
      </c>
      <c r="U332" s="3">
        <f>2478.8+(277-443.2)+(-2.528376+(-0.28254--0.452064))+0-512.7--0.522954000000082</f>
        <v>1798.0641020000005</v>
      </c>
      <c r="V332" s="3">
        <f>2477.8+(310.1-338.3)+(0+(0-0))+0-548.1-0</f>
        <v>1901.5000000000005</v>
      </c>
      <c r="W332" s="3">
        <f>2614.5+(207.6-323.6)+(0+(0-0))+0-575.1-0</f>
        <v>1923.4</v>
      </c>
      <c r="X332" s="3">
        <f>2711.8+(302.1-372.2)+(-2.766036+(-0.308142--0.379644))+0-466.2--0.475524000000074</f>
        <v>2173.2809900000002</v>
      </c>
      <c r="Y332" s="3">
        <f>2768.6+(271.2-367.4)+(-8.471916+(-0.829872--1.124244))+0-602.1--1.84242600000007</f>
        <v>2063.9648820000002</v>
      </c>
      <c r="Z332" s="3">
        <f>2663+(379.8-531.1)+(-6.79065+(-0.96849--1.354305))+0-565.1--1.44100499999992</f>
        <v>1941.63617</v>
      </c>
      <c r="AA332" s="3">
        <f>2639.5+(398.8-494.6)+(-5.38458+(-0.813552--1.008984))+0-592.4--1.20849599999997</f>
        <v>1947.3193479999998</v>
      </c>
      <c r="AB332" s="3">
        <f>2610.8+(408.7-515.8)+(-2.663016+(-0.416874--0.526116))+0-633.2--0.645864000000101</f>
        <v>1868.5920900000003</v>
      </c>
      <c r="AC332" s="3">
        <f>2398+(494.1-531.6)+(-6.1149+(-1.259955--1.35558))+0-622.4--1.58711999999991</f>
        <v>1733.6678449999997</v>
      </c>
      <c r="AD332">
        <f t="shared" si="5"/>
        <v>43539.252467999991</v>
      </c>
      <c r="AE332" s="3">
        <f>2746+(346.9-451.3)+(0+(0-0))+0-542.2-0</f>
        <v>2099.3999999999996</v>
      </c>
    </row>
    <row r="333" spans="1:31" s="2" customFormat="1" x14ac:dyDescent="0.25">
      <c r="A333">
        <v>89</v>
      </c>
      <c r="B333">
        <v>11</v>
      </c>
      <c r="C333">
        <v>27</v>
      </c>
      <c r="D333">
        <v>5</v>
      </c>
      <c r="E333">
        <v>3</v>
      </c>
      <c r="F333" s="3">
        <f>2289.3+(372.9-718.6)+(-5.837715+(-0.950895--1.83243))+0-443.3--1.13041499999994</f>
        <v>1496.4742350000001</v>
      </c>
      <c r="G333" s="3">
        <f>2134.6+(411.3-440.4)+(-3.265938+(-0.629289--0.673812))+0-591.6--0.905148000000034</f>
        <v>1511.5837330000002</v>
      </c>
      <c r="H333" s="3">
        <f>2086.7+(436.6-418.4)+(-6.385302+(-1.335996--1.280304))+0-606.7--1.85650200000007</f>
        <v>1493.6155079999996</v>
      </c>
      <c r="I333" s="3">
        <f>1954.9+(472.3-356.3)+(0.996999+(0.240873-0.181713))+0-585.8-0.298757999999941</f>
        <v>1485.8574010000004</v>
      </c>
      <c r="J333" s="3">
        <f>1957.4+(402-314)+(3.993096+(0.82008-0.64056))+0-590.7-1.20502799999997</f>
        <v>1457.667588</v>
      </c>
      <c r="K333" s="3">
        <f>1974.2+(373.9-161.8)+(6.041052+(1.144134-0.495108))+0-636.6-1.94799600000007</f>
        <v>1554.4420820000003</v>
      </c>
      <c r="L333" s="3">
        <f>2060.9+(288.2-287.7)+(-5.255295+(-0.73491--0.733635))+0-443.3--1.13041499999994</f>
        <v>1613.973845</v>
      </c>
      <c r="M333" s="3">
        <f>2279.3+(256.1-311.7)+(2.324886+(0.261222-0.317934))+0-512.4-0.522648000000082</f>
        <v>1713.0455259999999</v>
      </c>
      <c r="N333" s="3">
        <f>2432.7+(250.1-529.1)+(3.722031+(0.382653-0.809523))+0-410.6-0.628218000000024</f>
        <v>1745.7669429999999</v>
      </c>
      <c r="O333" s="3">
        <f>2725.8+(360.5-659.8)+(4.170474+(0.551565-1.009494))+0-444.1-0.679473000000026</f>
        <v>1985.433072</v>
      </c>
      <c r="P333" s="3">
        <f>2747.8+(341.5-678)+(-5.605512+(-0.69666--1.38312))+0-347.9--0.709715999999985</f>
        <v>2059.1906639999997</v>
      </c>
      <c r="Q333" s="3">
        <f>2793.6+(270-560)+(-5.698944+(-0.5508--1.1424))+0-496.7--1.01326799999998</f>
        <v>2002.8059239999998</v>
      </c>
      <c r="R333" s="3">
        <f>2644.6+(113.9-483.4)+(-6.74373+(-0.290445--1.23267))+0-397--1.01234999999994</f>
        <v>1873.310845</v>
      </c>
      <c r="S333" s="3">
        <f>2721.4+(102.9-495.6)+(-4.163742+(-0.157437--0.758268))+0-445.7--0.681921000000026</f>
        <v>1880.1190099999999</v>
      </c>
      <c r="T333" s="3">
        <f>2726.9+(179.3-463.5)+(-1.390719+(-0.091443--0.236385))+0-515.8--0.263057999999948</f>
        <v>1925.9172810000002</v>
      </c>
      <c r="U333" s="3">
        <f>2782.2+(267.3-569)+(-7.09461+(-0.681615--1.45095))+0-544.4--1.38821999999992</f>
        <v>1931.1629449999996</v>
      </c>
      <c r="V333" s="3">
        <f>2777.7+(225.5-694.8)+(0+(0-0))+0-415.6-0</f>
        <v>1892.7999999999997</v>
      </c>
      <c r="W333" s="3">
        <f>2811.8+(124-690.7)+(-5.736072+(-0.25296--1.409028))+0-338.7--0.690947999999985</f>
        <v>1902.5109440000003</v>
      </c>
      <c r="X333" s="3">
        <f>3042.8+(76.3-712.4)+(-13.966452+(-0.350217--3.269916))+0-302.7--1.38939300000005</f>
        <v>2094.3426400000003</v>
      </c>
      <c r="Y333" s="3">
        <f>2836.3+(187.6-444.6)+(-1.446513+(-0.095676--0.226746))+0-531.9--0.271268999999946</f>
        <v>2046.355826</v>
      </c>
      <c r="Z333" s="3">
        <f>2946.4+(267.6-720.1)+(-13.523976+(-1.228284--3.305259))+0-531.5--2.43958500000009</f>
        <v>1953.3925840000002</v>
      </c>
      <c r="AA333" s="3">
        <f>2843.3+(302.5-695.6)+(-1.450083+(-0.154275--0.354756))+0-526.7--0.268616999999947</f>
        <v>1922.5190150000003</v>
      </c>
      <c r="AB333" s="3">
        <f>2748.1+(290.8-688)+(-7.007655+(-0.74154--1.7544))+0-495.2--1.26275999999993</f>
        <v>1850.9679649999998</v>
      </c>
      <c r="AC333" s="3">
        <f>2592.9+(355.7-649.9)+(-6.611895+(-0.907035--1.657245))+0-563.1--1.43590499999992</f>
        <v>1731.1742200000003</v>
      </c>
      <c r="AD333">
        <f t="shared" si="5"/>
        <v>43124.429795999997</v>
      </c>
      <c r="AE333" s="3">
        <f>2828+(149.5-391.2)+(0+(0-0))+0-530.7-0</f>
        <v>2055.6000000000004</v>
      </c>
    </row>
    <row r="334" spans="1:31" s="2" customFormat="1" x14ac:dyDescent="0.25">
      <c r="A334">
        <v>89</v>
      </c>
      <c r="B334">
        <v>11</v>
      </c>
      <c r="C334">
        <v>28</v>
      </c>
      <c r="D334">
        <v>6</v>
      </c>
      <c r="E334">
        <v>6</v>
      </c>
      <c r="F334" s="3">
        <f>2399.4+(388.5-594)+(-1.223694+(-0.198135--0.30294))+0-583.1--0.297380999999941</f>
        <v>1609.9784920000002</v>
      </c>
      <c r="G334" s="3">
        <f>2174+(449-466.1)+(0+(0-0))+0-613.3-0</f>
        <v>1543.6000000000001</v>
      </c>
      <c r="H334" s="3">
        <f>2091+(444.1-443.4)+(-4.26564+(-0.905964--0.904536))+0-592.4--1.20849599999997</f>
        <v>1496.2414279999996</v>
      </c>
      <c r="I334" s="3">
        <f>2085.1+(381.3-381.6)+(5.317005+(0.972315-0.97308))+0-597-1.52234999999991</f>
        <v>1491.5938899999999</v>
      </c>
      <c r="J334" s="3">
        <f>2084.5+(358.3-406.8)+(-2.12619+(-0.365466--0.414936))+0-544--0.554880000000087</f>
        <v>1490.4781600000001</v>
      </c>
      <c r="K334" s="3">
        <f>2197.8+(277.8-309.7)+(1.120878+(0.141678-0.157947))+0-643.9-0.328388999999935</f>
        <v>1522.77622</v>
      </c>
      <c r="L334" s="3">
        <f>2300.8+(175-363.7)+(-3.520224+(-0.26775--0.556461))+0-557--0.852210000000032</f>
        <v>1552.7206970000002</v>
      </c>
      <c r="M334" s="3">
        <f>2496.4+(173.1-408.2)+(0+(0-0))+0-586.5-0</f>
        <v>1674.8000000000002</v>
      </c>
      <c r="N334" s="3">
        <f>2624.6+(182.9-355.3)+(1.338546+(0.093279-0.181203))+0-592.6-0.30222599999994</f>
        <v>1860.5483959999999</v>
      </c>
      <c r="O334" s="3">
        <f>2742.2+(253.1-533.8)+(4.195566+(0.387243-0.816714))+0-531.6-0.813348000000031</f>
        <v>1932.8527469999999</v>
      </c>
      <c r="P334" s="3">
        <f>2940.3+(439.1-806.8)+(-7.497765+(-1.119705--2.05734))+0-612.9--1.56289499999991</f>
        <v>1954.7027650000002</v>
      </c>
      <c r="Q334" s="3">
        <f>2919.4+(466.5-840.7)+(-7.44447+(-1.189575--2.143785))+0-594.1--1.51495499999991</f>
        <v>1946.1246949999997</v>
      </c>
      <c r="R334" s="3">
        <f>2825.7+(332.7-739.6)+(-10.087749+(-1.187739--2.640372))+0-566.5--2.02240500000001</f>
        <v>1845.6872889999997</v>
      </c>
      <c r="S334" s="3">
        <f>2734.4+(311-606.7)+(-1.394544+(-0.15861--0.309417))+0-605.3--0.308702999999939</f>
        <v>1832.464966</v>
      </c>
      <c r="T334" s="3">
        <f>2748.2+(373.2-710.9)+(-4.204746+(-0.570996--1.087677))+0-576.6--0.882198000000033</f>
        <v>1831.0941330000003</v>
      </c>
      <c r="U334" s="3">
        <f>2587.7+(376.3-624.7)+(-6.598635+(-0.959565--1.592985))+0-528.7--1.34818499999992</f>
        <v>1805.9829699999993</v>
      </c>
      <c r="V334" s="3">
        <f>2471.3+(408.3-477.6)+(0+(0-0))+0-637.3-0</f>
        <v>1764.7</v>
      </c>
      <c r="W334" s="3">
        <f>2480.5+(259.1-381)+(-2.53011+(-0.264282--0.38862))+0-622.8--0.635256000000099</f>
        <v>1734.0294839999999</v>
      </c>
      <c r="X334" s="3">
        <f>2924.4+(292.2-743.5)+(-5.965776+(-0.596088--1.51674))+0-538.9--1.09935599999998</f>
        <v>1930.2542319999995</v>
      </c>
      <c r="Y334" s="3">
        <f>2905+(320.6-720.1)+(-4.44465+(-0.490518--1.101753))+0-556.3--0.851139000000032</f>
        <v>1946.2177240000001</v>
      </c>
      <c r="Z334" s="3">
        <f>2808.8+(382.4-747.4)+(-1.432488+(-0.195024--0.381174))+0-558.8--0.284987999999943</f>
        <v>1884.0386500000002</v>
      </c>
      <c r="AA334" s="3">
        <f>2762+(437.9-729.9)+(-4.22586+(-0.669987--1.116747))+0-613.6--0.938808000000036</f>
        <v>1853.559708</v>
      </c>
      <c r="AB334" s="3">
        <f>2749.6+(376.4-699.9)+(-8.413776+(-1.151784--2.141694))+0-627.5--1.92015000000007</f>
        <v>1793.096284</v>
      </c>
      <c r="AC334" s="3">
        <f>2634.8+(302.6-680.2)+(-6.71874+(-0.77163--1.73451))+0-560.5--1.42927499999992</f>
        <v>1692.373415</v>
      </c>
      <c r="AD334">
        <f t="shared" si="5"/>
        <v>41989.916345000005</v>
      </c>
      <c r="AE334" s="3">
        <f>3000+(359.4-812.1)+(0+(0-0))+0-512.1-0</f>
        <v>2035.2000000000003</v>
      </c>
    </row>
    <row r="335" spans="1:31" s="2" customFormat="1" x14ac:dyDescent="0.25">
      <c r="A335">
        <v>89</v>
      </c>
      <c r="B335">
        <v>11</v>
      </c>
      <c r="C335">
        <v>29</v>
      </c>
      <c r="D335">
        <v>7</v>
      </c>
      <c r="E335">
        <v>1</v>
      </c>
      <c r="F335" s="3">
        <f>2458.5+(211.2-474)+(-6.269175+(-0.53856--1.2087))+0-596.1--1.52005499999991</f>
        <v>1595.5210199999997</v>
      </c>
      <c r="G335" s="3">
        <f>2375.6+(229.6-483.4)+(-4.846224+(-0.468384--0.986136))+0-598.7--1.22134799999997</f>
        <v>1519.9928759999996</v>
      </c>
      <c r="H335" s="3">
        <f>2345.3+(231.9-505.4)+(-3.588309+(-0.354807--0.773262))+0-605.5--0.926415000000035</f>
        <v>1464.0565610000001</v>
      </c>
      <c r="I335" s="3">
        <f>2344+(252.2-526.7)+(-4.78176+(-0.514488--1.074468))+0-634.8--1.29499199999997</f>
        <v>1431.7732120000001</v>
      </c>
      <c r="J335" s="3">
        <f>2247.8+(227.1-439.9)+(1.146378+(0.115821-0.224349))+0-603.4-0.307733999999939</f>
        <v>1432.3301160000001</v>
      </c>
      <c r="K335" s="3">
        <f>2192.7+(159.6-292.9)+(1.118277+(0.081396-0.149379))+0-614-0.313139999999938</f>
        <v>1446.1371539999998</v>
      </c>
      <c r="L335" s="3">
        <f>2187.1+(174.1-381.5)+(-5.577105+(-0.443955--0.972825))+0-563--1.43564999999992</f>
        <v>1413.0874149999997</v>
      </c>
      <c r="M335" s="3">
        <f>2038.5+(186.7-280.4)+(-3.118905+(-0.285651--0.429012))+0-586.2--0.896886000000034</f>
        <v>1356.521342</v>
      </c>
      <c r="N335" s="3">
        <f>2211.6+(227.7-450.6)+(-3.383748+(-0.348381--0.689418))+0-567.2--0.867816000000033</f>
        <v>1419.3251049999997</v>
      </c>
      <c r="O335" s="3">
        <f>2429.3+(94.4-487)+(1.238943+(0.048144-0.24837))+0-535-0.272849999999946</f>
        <v>1502.4658670000003</v>
      </c>
      <c r="P335" s="3">
        <f>2614.3+(119.4-527.4)+(-1.333293+(-0.060894--0.268974))+0-624.6--0.318545999999937</f>
        <v>1580.8933330000004</v>
      </c>
      <c r="Q335" s="3">
        <f>2775.3+(135.6-759.8)+(-5.661612+(-0.276624--1.549992))+0-555.5--1.13321999999998</f>
        <v>1592.3449760000001</v>
      </c>
      <c r="R335" s="3">
        <f>2721.8+(145.3-689.4)+(-5.552472+(-0.296412--1.406376))+0-615.3--1.25521199999997</f>
        <v>1559.2127040000003</v>
      </c>
      <c r="S335" s="3">
        <f>2464+(140.8-502.7)+(-6.2832+(-0.35904--1.281885))+0-577.8--1.47338999999992</f>
        <v>1520.413035</v>
      </c>
      <c r="T335" s="3">
        <f>2416.4+(100.8-408)+(-3.697092+(-0.154224--0.62424))+0-606.4--0.927792000000035</f>
        <v>1500.500716</v>
      </c>
      <c r="U335" s="3">
        <f>2352.2+(112.2-443.2)+(-4.798488+(-0.228888--0.904128))+0-520.9--1.06263599999998</f>
        <v>1497.2393879999997</v>
      </c>
      <c r="V335" s="3">
        <f>2355.8+(115-390.1)+(-2.402916+(-0.1173--0.397902))+0-589.3--0.601086000000094</f>
        <v>1489.8787720000003</v>
      </c>
      <c r="W335" s="3">
        <f>2607.3+(7.9-458.5)+(-3.989169+(-0.012087--0.701505))+0-616--0.942480000000036</f>
        <v>1538.3427290000002</v>
      </c>
      <c r="X335" s="3">
        <f>2968.2+(82.4-728.2)+(-6.055128+(-0.168096--1.485528))+0-519.4--1.05957599999998</f>
        <v>1799.3218799999993</v>
      </c>
      <c r="Y335" s="3">
        <f>2973.1+(113.4-715.5)+(-7.581405+(-0.28917--1.824525))+0-575.8--1.46828999999992</f>
        <v>1790.6222400000001</v>
      </c>
      <c r="Z335" s="3">
        <f>2960.2+(56.8-790.3)+(-3.019404+(-0.057936--0.806106))+0-461--0.470220000000074</f>
        <v>1763.8989860000001</v>
      </c>
      <c r="AA335" s="3">
        <f>2969.4+(88.7-767.8)+(1.514394+(0.045237-0.391578))+0-539-0.274889999999945</f>
        <v>1752.1931630000001</v>
      </c>
      <c r="AB335" s="3">
        <f>2912.1+(109.3-702.2)+(-5.940684+(-0.222972--1.432488))+0-590.2--1.20400799999997</f>
        <v>1725.4728399999999</v>
      </c>
      <c r="AC335" s="3">
        <f>2784.3+(147.2-781.8)+(-7.099965+(-0.37536--1.99359))+0-514--1.31069999999993</f>
        <v>1631.5289650000004</v>
      </c>
      <c r="AD335">
        <f t="shared" si="5"/>
        <v>37323.074395000003</v>
      </c>
      <c r="AE335" s="3">
        <f>2964+(105-688.7)+(0+(0-0))+0-573.7-0</f>
        <v>1806.6000000000001</v>
      </c>
    </row>
    <row r="336" spans="1:31" s="2" customFormat="1" x14ac:dyDescent="0.25">
      <c r="A336">
        <v>89</v>
      </c>
      <c r="B336">
        <v>11</v>
      </c>
      <c r="C336">
        <v>30</v>
      </c>
      <c r="D336">
        <v>1</v>
      </c>
      <c r="E336">
        <v>1</v>
      </c>
      <c r="F336" s="3">
        <f>2502.4+(239.7-639.8)+(-3.828672+(-0.366741--0.978894))+0-556.3--0.851139000000032</f>
        <v>1543.6346200000003</v>
      </c>
      <c r="G336" s="3">
        <f>2202.4+(322.7-525)+(-5.61612+(-0.822885--1.33875))+0-519.7--1.32523499999992</f>
        <v>1476.6249800000001</v>
      </c>
      <c r="H336" s="3">
        <f>2062.7+(349.5-430.2)+(1.051977+(0.178245-0.219402))+0-549.9-0.280448999999944</f>
        <v>1432.830371</v>
      </c>
      <c r="I336" s="3">
        <f>2044.2+(360.4-482.5)+(-1.042542+(-0.183804--0.246075))+0-517.1--0.263720999999948</f>
        <v>1404.2834500000001</v>
      </c>
      <c r="J336" s="3">
        <f>2043.4+(425.6-372.9)+(4.168536+(0.868224-0.760716))+0-527.7-1.07650799999998</f>
        <v>1571.5995360000006</v>
      </c>
      <c r="K336" s="3">
        <f>2079.6+(324.1-336)+(2.121192+(0.330582-0.34272))+0-534.5-0.545190000000085</f>
        <v>1534.7638639999998</v>
      </c>
      <c r="L336" s="3">
        <f>2219.6+(235.5-379.8)+(0+(0-0))+0-559.5-0</f>
        <v>1515.7999999999997</v>
      </c>
      <c r="M336" s="3">
        <f>2438.2+(177.9-381.3)+(0+(0-0))+0-577.3-0</f>
        <v>1657.4999999999998</v>
      </c>
      <c r="N336" s="3">
        <f>2657.4+(166.1-429.8)+(5.421096+(0.338844-0.876792))+0-594.8-1.21339199999997</f>
        <v>1802.5697559999999</v>
      </c>
      <c r="O336" s="3">
        <f>2725.1+(327.1-567.4)+(-1.389801+(-0.166821--0.289374))+0-547.1--0.279020999999945</f>
        <v>1936.7117730000002</v>
      </c>
      <c r="P336" s="3">
        <f>2740.7+(438-589.9)+(-4.193271+(-0.67014--0.902547))+0-537.4--0.822222000000031</f>
        <v>2048.2613579999997</v>
      </c>
      <c r="Q336" s="3">
        <f>2774.8+(434.6-677.9)+(-1.415148+(-0.221646--0.345729))+0-554.6--0.282845999999944</f>
        <v>1975.891781</v>
      </c>
      <c r="R336" s="3">
        <f>2808.4+(333.5-662.3)+(-1.432284+(-0.170085--0.337773))+0-538--0.274379999999945</f>
        <v>1940.6097840000002</v>
      </c>
      <c r="S336" s="3">
        <f>2770.8+(335.1-583.3)+(-7.06554+(-0.854505--1.487415))+0-583.1--1.48690499999992</f>
        <v>1934.5542750000006</v>
      </c>
      <c r="T336" s="3">
        <f>2716.5+(293.7-579.4)+(-1.385415+(-0.149787--0.295494))+0-471.4--0.240413999999952</f>
        <v>1958.4007059999999</v>
      </c>
      <c r="U336" s="3">
        <f>2759.4+(305.8-663.8)+(-4.221882+(-0.467874--1.015614))+0-423.8--0.648414000000024</f>
        <v>1974.5742720000003</v>
      </c>
      <c r="V336" s="3">
        <f>2783.5+(305.9-627)+(-5.67834+(-0.624036--1.27908))+0-517.4--1.05549599999998</f>
        <v>1941.0322000000001</v>
      </c>
      <c r="W336" s="3">
        <f>2820.8+(309.4-693.1)+(-5.754432+(-0.631176--1.413924))+0-519.8--1.06039199999998</f>
        <v>1913.3887080000004</v>
      </c>
      <c r="X336" s="3">
        <f>3104.7+(564.8-1065.1)+(-4.750191+(-0.864144--1.629603))+0-472.3--0.722619000000027</f>
        <v>2128.8378869999997</v>
      </c>
      <c r="Y336" s="3">
        <f>3160.1+(550.5-1059.5)+(-8.058255+(-1.403775--2.701725))+0-562.4--1.43411999999992</f>
        <v>2083.3738149999999</v>
      </c>
      <c r="Z336" s="3">
        <f>3004+(315.5-861.6)+(-4.59612+(-0.482715--1.318248))+0-451.4--0.690642000000026</f>
        <v>2003.4300549999998</v>
      </c>
      <c r="AA336" s="3">
        <f>2929.6+(300.7-663.5)+(-4.482288+(-0.460071--1.015155))+0-585.8--0.896274000000034</f>
        <v>1977.9690699999996</v>
      </c>
      <c r="AB336" s="3">
        <f>2931.9+(255.8-655.4)+(-7.476345+(-0.65229--1.67127))+0-628.5--1.60267499999991</f>
        <v>1898.9453099999998</v>
      </c>
      <c r="AC336" s="3">
        <f>2745.6+(350.9-801.3)+(-7.00128+(-0.894795--2.043315))+0-503.3--1.28341499999993</f>
        <v>1787.3306549999995</v>
      </c>
      <c r="AD336">
        <f t="shared" si="5"/>
        <v>43442.918226000002</v>
      </c>
      <c r="AE336" s="3">
        <f>3167+(650.7-1103.4)+(0+(0-0))+0-535.5-0</f>
        <v>2178.8000000000002</v>
      </c>
    </row>
    <row r="337" spans="1:31" s="2" customFormat="1" x14ac:dyDescent="0.25">
      <c r="A337">
        <v>89</v>
      </c>
      <c r="B337">
        <v>12</v>
      </c>
      <c r="C337">
        <v>1</v>
      </c>
      <c r="D337">
        <v>2</v>
      </c>
      <c r="E337">
        <v>1</v>
      </c>
      <c r="F337" s="3">
        <f>2411.1+(425.6-735.7)+(-8.607627+(-1.519392--2.626449))+0-432--1.54224000000001</f>
        <v>1663.0416699999998</v>
      </c>
      <c r="G337" s="3">
        <f>2257.6+(485.1-629.1)+(0+(0-0))+0-508.7-0</f>
        <v>1604.8999999999999</v>
      </c>
      <c r="H337" s="3">
        <f>2220.6+(502.5-633.6)+(-4.530024+(-1.0251--1.292544))+0-517.3--1.05529199999998</f>
        <v>1568.992712</v>
      </c>
      <c r="I337" s="3">
        <f>2201.6+(565.6-629.4)+(5.61408+(1.44228-1.60497))+0-583.8-1.48868999999992</f>
        <v>1557.9627000000005</v>
      </c>
      <c r="J337" s="3">
        <f>2203.9+(566.6-602.9)+(0+(0-0))+0-614.4-0</f>
        <v>1553.2000000000003</v>
      </c>
      <c r="K337" s="3">
        <f>2205.5+(507.9-546.1)+(2.24961+(0.518058-0.557022))+0-596.8-0.608736000000095</f>
        <v>1572.1019100000001</v>
      </c>
      <c r="L337" s="3">
        <f>2283.9+(415.4-505.1)+(2.329578+(0.423708-0.515202))+0-585.2-0.596904000000093</f>
        <v>1610.6411799999998</v>
      </c>
      <c r="M337" s="3">
        <f>2491.5+(349.6-594.2)+(2.54133+(0.356592-0.606084))+0-515-0.525300000000082</f>
        <v>1733.6665380000002</v>
      </c>
      <c r="N337" s="3">
        <f>2824.4+(423.5-813.1)+(4.321332+(0.647955-1.244043))+0-493.7-0.755361000000028</f>
        <v>1944.0698830000003</v>
      </c>
      <c r="O337" s="3">
        <f>2954.4+(314.3-882.3)+(-3.013488+(-0.320586--0.899946))+0-434.2--0.442884000000069</f>
        <v>1950.2087560000002</v>
      </c>
      <c r="P337" s="3">
        <f>2920.4+(519.2-816.9)+(-4.468212+(-0.794376--1.249857))+0-533.5--0.816255000000031</f>
        <v>2086.0035240000007</v>
      </c>
      <c r="Q337" s="3">
        <f>2950.5+(451.5-780.1)+(-10.533285+(-1.611855--2.784957))+0-522.5--1.86532500000001</f>
        <v>2091.9051420000005</v>
      </c>
      <c r="R337" s="3">
        <f>2834.3+(296.4-714.2)+(-5.781972+(-0.604656--1.456968))+0-478.9--0.976955999999979</f>
        <v>1933.6472960000001</v>
      </c>
      <c r="S337" s="3">
        <f>2846+(254.7-654.9)+(-5.80584+(-0.519588--1.335996))+0-514.7--1.04998799999998</f>
        <v>1927.1605560000003</v>
      </c>
      <c r="T337" s="3">
        <f>2831.8+(256-787.7)+(-1.444218+(-0.13056--0.401727))+0-338.9--0.172838999999966</f>
        <v>1960.1997880000001</v>
      </c>
      <c r="U337" s="3">
        <f>2845.4+(279.4-674.8)+(4.353462+(0.427482-1.032444))+0-496.7-0.759951000000029</f>
        <v>1956.2885490000001</v>
      </c>
      <c r="V337" s="3">
        <f>2863.5+(315-798.4)+(0+(0-0))+0-426.1-0</f>
        <v>1954</v>
      </c>
      <c r="W337" s="3">
        <f>2893+(499.8-778.4)+(0+(0-0))+0-482.3-0</f>
        <v>2132.1</v>
      </c>
      <c r="X337" s="3">
        <f>2917.3+(712.2-984.4)+(-4.463469+(-1.089666--1.506132))+0-520--0.79560000000003</f>
        <v>2121.8485970000002</v>
      </c>
      <c r="Y337" s="3">
        <f>2917.8+(542.5-825.4)+(-5.952312+(-1.1067--1.683816))+0-565.5--1.15361999999998</f>
        <v>2065.1784240000002</v>
      </c>
      <c r="Z337" s="3">
        <f>2915+(490.5-820.9)+(-2.9733+(-0.50031--0.837318))+0-616.2--0.628524000000098</f>
        <v>1966.3922319999999</v>
      </c>
      <c r="AA337" s="3">
        <f>2907.5+(457.4-763.2)+(1.482825+(0.233274-0.389232))+0-630.3-0.321452999999936</f>
        <v>1972.4054140000001</v>
      </c>
      <c r="AB337" s="3">
        <f>2862+(307.8-639.6)+(-7.2981+(-0.78489--1.63098))+0-618.9--1.57819499999991</f>
        <v>1906.4261849999996</v>
      </c>
      <c r="AC337" s="3">
        <f>2757.8+(372.2-657)+(1.406478+(0.189822-0.33507))+0-672-0.342719999999932</f>
        <v>1801.9185100000002</v>
      </c>
      <c r="AD337">
        <f t="shared" si="5"/>
        <v>44634.259565999993</v>
      </c>
      <c r="AE337" s="3">
        <f>2917+(785.1-917.6)+(0+(0-0))+0-556.9-0</f>
        <v>2227.6</v>
      </c>
    </row>
    <row r="338" spans="1:31" s="2" customFormat="1" x14ac:dyDescent="0.25">
      <c r="A338">
        <v>89</v>
      </c>
      <c r="B338">
        <v>12</v>
      </c>
      <c r="C338">
        <v>2</v>
      </c>
      <c r="D338">
        <v>3</v>
      </c>
      <c r="E338">
        <v>1</v>
      </c>
      <c r="F338" s="3">
        <f>2688.3+(419.8-807.9)+(-5.484132+(-0.856392--1.648116))+0-592.7--1.20910799999997</f>
        <v>1704.0167000000004</v>
      </c>
      <c r="G338" s="3">
        <f>2485.9+(435.4-634.4)+(-5.071236+(-0.888216--1.294176))+0-653.5--1.33313999999997</f>
        <v>1630.0678639999999</v>
      </c>
      <c r="H338" s="3">
        <f>2372.7+(433.7-679.3)+(1.210077+(0.221187-0.346443))+0-540.5-0.275654999999945</f>
        <v>1587.4091659999999</v>
      </c>
      <c r="I338" s="3">
        <f>2300.6+(523.7-561.4)+(4.693224+(1.068348-1.145256))+0-693-1.41371999999997</f>
        <v>1573.1025960000002</v>
      </c>
      <c r="J338" s="3">
        <f>2301.2+(448.4-591.3)+(-1.173612+(-0.228684--0.301563))+0-612--0.312119999999938</f>
        <v>1545.5113869999996</v>
      </c>
      <c r="K338" s="3">
        <f>2332.7+(313.9-580.7)+(0+(0-0))+0-514.2-0</f>
        <v>1551.6999999999996</v>
      </c>
      <c r="L338" s="3">
        <f>2509.8+(223.4-587.9)+(-5.119992+(-0.455736--1.199316))+0-610.4--1.24521599999997</f>
        <v>1531.768804</v>
      </c>
      <c r="M338" s="3">
        <f>2544+(183.1-607.2)+(-3.89232+(-0.280143--0.929016))+0-571--0.873630000000033</f>
        <v>1546.5301830000003</v>
      </c>
      <c r="N338" s="3">
        <f>2568+(93-369.8)+(3.92904+(0.14229-0.565794))+0-609.3-0.932229000000035</f>
        <v>1684.473307</v>
      </c>
      <c r="O338" s="3">
        <f>2679.2+(124.7-421.7)+(1.366392+(0.063597-0.215067))+0-617.2-0.314771999999937</f>
        <v>1765.9001499999999</v>
      </c>
      <c r="P338" s="3">
        <f>2742+(196.2-520.8)+(-2.79684+(-0.200124--0.531216))+0-577.8--0.589356000000092</f>
        <v>1837.7236080000002</v>
      </c>
      <c r="Q338" s="3">
        <f>2736.3+(231.8-531.6)+(-2.791026+(-0.236436--0.542232))+0-596.7--0.608634000000095</f>
        <v>1837.9234040000003</v>
      </c>
      <c r="R338" s="3">
        <f>2742.3+(193.4-574)+(-8.391438+(-0.591804--1.75644))+0-576.2--1.76317200000007</f>
        <v>1780.0363700000003</v>
      </c>
      <c r="S338" s="3">
        <f>2745.7+(213.3-607.6)+(-2.800614+(-0.217566--0.619752))+0-591.8--0.603636000000094</f>
        <v>1757.8052079999998</v>
      </c>
      <c r="T338" s="3">
        <f>2743.7+(287.7-706.6)+(2.798574+(0.293454-0.720732))+0-590.9-0.602718000000094</f>
        <v>1735.6685779999993</v>
      </c>
      <c r="U338" s="3">
        <f>2753.5+(257.7-811.9)+(-5.61714+(-0.525708--1.656276))+0-491.7--1.00306799999998</f>
        <v>1704.1164960000003</v>
      </c>
      <c r="V338" s="3">
        <f>2757.3+(255.9-799.2)+(2.812446+(0.261018-0.815184))+0-522.7-0.533154000000083</f>
        <v>1693.0251259999998</v>
      </c>
      <c r="W338" s="3">
        <f>2853.6+(216.9-777.5)+(-2.910672+(-0.221238--0.79305))+0-590.5--0.602310000000094</f>
        <v>1700.7634500000001</v>
      </c>
      <c r="X338" s="3">
        <f>2932.4+(361.6-796.9)+(-1.495524+(-0.184416--0.406419))+0-591.1--0.30146099999994</f>
        <v>1905.0279400000004</v>
      </c>
      <c r="Y338" s="3">
        <f>2937.3+(366.3-775.3)+(-2.996046+(-0.373626--0.790806))+0-619.8--0.632196000000099</f>
        <v>1906.5533300000004</v>
      </c>
      <c r="Z338" s="3">
        <f>2929.1+(216.3-751.6)+(-1.493841+(-0.110313--0.383316))+0-529.6--0.270095999999946</f>
        <v>1863.2492580000001</v>
      </c>
      <c r="AA338" s="3">
        <f>2895.7+(265.6-685.1)+(-1.476807+(-0.135456--0.349401))+0-609.2--0.310691999999938</f>
        <v>1866.0478299999997</v>
      </c>
      <c r="AB338" s="3">
        <f>2784.3+(349.7-711.6)+(-5.679972+(-0.713388--1.451664))+0-598.5--1.22093999999997</f>
        <v>1820.1792440000002</v>
      </c>
      <c r="AC338" s="3">
        <f>2700.7+(319.6-722.6)+(0+(0-0))+0-575-0</f>
        <v>1722.6999999999998</v>
      </c>
      <c r="AD338">
        <f t="shared" si="5"/>
        <v>41251.299999000003</v>
      </c>
      <c r="AE338" s="3">
        <f>2928+(402.7-793)+(0+(0-0))+0-616.8-0</f>
        <v>1920.8999999999999</v>
      </c>
    </row>
    <row r="339" spans="1:31" s="2" customFormat="1" x14ac:dyDescent="0.25">
      <c r="A339">
        <v>89</v>
      </c>
      <c r="B339">
        <v>12</v>
      </c>
      <c r="C339">
        <v>3</v>
      </c>
      <c r="D339">
        <v>4</v>
      </c>
      <c r="E339">
        <v>1</v>
      </c>
      <c r="F339" s="3">
        <f>2345.4+(416.2-527.2)+(-2.392308+(-0.424524--0.537744))+0-616.7--0.629034000000098</f>
        <v>1616.0499460000003</v>
      </c>
      <c r="G339" s="3">
        <f>2132.4+(433.3-424.4)+(0+(0-0))+0-592.7-0</f>
        <v>1548.6000000000001</v>
      </c>
      <c r="H339" s="3">
        <f>2106.8+(509.3-504)+(0+(0-0))+0-607-0</f>
        <v>1505.1000000000004</v>
      </c>
      <c r="I339" s="3">
        <f>2096.6+(542-511)+(-3.207798+(-0.82926--0.78183))+0-636.1--0.973233000000037</f>
        <v>1489.2180049999999</v>
      </c>
      <c r="J339" s="3">
        <f>2096.9+(547.2-496.9)+(-4.277676+(-1.116288--1.013676))+0-647.2--1.32028799999997</f>
        <v>1496.9400000000003</v>
      </c>
      <c r="K339" s="3">
        <f>2099.4+(468.1-404.7)+(2.141388+(0.477462-0.412794))+0-632.7-0.645354000000101</f>
        <v>1531.6607020000001</v>
      </c>
      <c r="L339" s="3">
        <f>2615.4+(293.6-782.3)+(-2.667708+(-0.299472--0.797946))+0-533--0.543660000000085</f>
        <v>1592.0744260000004</v>
      </c>
      <c r="M339" s="3">
        <f>2790.7+(266.4-783.8)+(-4.269771+(-0.407592--1.199214))+0-530.3--0.811359000000031</f>
        <v>1740.3332099999998</v>
      </c>
      <c r="N339" s="3">
        <f>2778.9+(259.8-689.4)+(0+(0-0))+0-392.6-0</f>
        <v>1956.7000000000003</v>
      </c>
      <c r="O339" s="3">
        <f>2757.4+(631.6-634.8)+(-2.812548+(-0.644232--0.647496))+0-678.8--0.692376000000108</f>
        <v>2073.2830920000006</v>
      </c>
      <c r="P339" s="3">
        <f>2750.8+(663.6-787)+(-7.01454+(-1.69218--2.00685))+0-517.6--1.31987999999992</f>
        <v>2104.4200100000003</v>
      </c>
      <c r="Q339" s="3">
        <f>2739.9+(691.7-788.1)+(-2.794698+(-0.705534--0.803862))+0-533.5--0.544170000000085</f>
        <v>2107.8478</v>
      </c>
      <c r="R339" s="3">
        <f>2732.5+(584.1-758.2)+(-6.967875+(-1.489455--1.93341))+0-625--1.59374999999991</f>
        <v>1928.46983</v>
      </c>
      <c r="S339" s="3">
        <f>2731.8+(466.6-678.2)+(0+(0-0))+0-621.1-0</f>
        <v>1899.1000000000004</v>
      </c>
      <c r="T339" s="3">
        <f>2743.5+(402.9-565.7)+(1.399185+(0.205479-0.288507))+0-617.9-0.315128999999937</f>
        <v>1963.8010280000001</v>
      </c>
      <c r="U339" s="3">
        <f>2733.5+(343-563.6)+(0+(0-0))+0-555.9-0</f>
        <v>1957</v>
      </c>
      <c r="V339" s="3">
        <f>2737.9+(286.3-559.6)+(0+(0-0))+0-502.2-0</f>
        <v>1962.3999999999999</v>
      </c>
      <c r="W339" s="3">
        <f>2787.3+(234.5-668)+(-1.421523+(-0.119595--0.34068))+0-422.3--0.215372999999957</f>
        <v>1930.5149350000004</v>
      </c>
      <c r="X339" s="3">
        <f>3039.2+(527.5-847.9)+(-1.549992+(-0.269025--0.432429))+0-544.6--0.277745999999945</f>
        <v>2173.0911579999997</v>
      </c>
      <c r="Y339" s="3">
        <f>3133.6+(458.8-955.7)+(-4.794408+(-0.701964--1.462221))+0-539.2--0.824976000000031</f>
        <v>2094.290825</v>
      </c>
      <c r="Z339" s="3">
        <f>3101.3+(398.8-900.1)+(-3.163326+(-0.406776--0.918102))+0-647.7--0.660654000000103</f>
        <v>1950.3086539999999</v>
      </c>
      <c r="AA339" s="3">
        <f>3061.2+(362.4-911.1)+(-9.367272+(-1.108944--2.787966))+0-532.6--1.62975600000006</f>
        <v>1973.841506</v>
      </c>
      <c r="AB339" s="3">
        <f>3005.3+(438.7-869.6)+(-6.130812+(-0.894948--1.773984))+0-595.6--1.21502399999997</f>
        <v>1974.763248</v>
      </c>
      <c r="AC339" s="3">
        <f>2927.4+(423.8-854.4)+(-8.957844+(-1.296828--2.614464))+0-673.1--2.05968600000008</f>
        <v>1818.1194780000005</v>
      </c>
      <c r="AD339">
        <f t="shared" si="5"/>
        <v>44387.927853000016</v>
      </c>
      <c r="AE339" s="3">
        <f>3154+(613.4-972.3)+(0+(0-0))+0-618.8-0</f>
        <v>2176.3000000000002</v>
      </c>
    </row>
    <row r="340" spans="1:31" s="2" customFormat="1" x14ac:dyDescent="0.25">
      <c r="A340">
        <v>89</v>
      </c>
      <c r="B340">
        <v>12</v>
      </c>
      <c r="C340">
        <v>4</v>
      </c>
      <c r="D340">
        <v>5</v>
      </c>
      <c r="E340">
        <v>1</v>
      </c>
      <c r="F340" s="3">
        <f>2795.5+(440.2-889.5)+(2.85141+(0.449004-0.90729))+0-647.6-0.660552000000103</f>
        <v>1700.332572</v>
      </c>
      <c r="G340" s="3">
        <f>2521.5+(405-649.2)+(-5.14386+(-0.8262--1.324368))+0-662.9--1.35231599999997</f>
        <v>1611.106624</v>
      </c>
      <c r="H340" s="3">
        <f>2128+(466.3-366.2)+(1.08528+(0.237813-0.186762))+0-655-0.334049999999934</f>
        <v>1573.9022810000001</v>
      </c>
      <c r="I340" s="3">
        <f>2115.1+(444.4-358.4)+(-4.314804+(-0.906576--0.731136))+0-636.8--1.29907199999997</f>
        <v>1561.1088279999999</v>
      </c>
      <c r="J340" s="3">
        <f>2114.8+(476.3-365.2)+(-3.235644+(-0.728739--0.558756))+0-609--0.931770000000035</f>
        <v>1614.4261430000001</v>
      </c>
      <c r="K340" s="3">
        <f>2180.3+(408-407.9)+(1.111953+(0.20808-0.208029))+0-588.2-0.29998199999994</f>
        <v>1593.0120220000001</v>
      </c>
      <c r="L340" s="3">
        <f>2500.2+(290.8-635.6)+(-5.100408+(-0.593232--1.296624))+0-492.4--1.00449599999998</f>
        <v>1659.6074799999997</v>
      </c>
      <c r="M340" s="3">
        <f>2683.8+(229.2-607.6)+(-2.737476+(-0.233784--0.619752))+0-514.5--0.524790000000082</f>
        <v>1789.0732820000001</v>
      </c>
      <c r="N340" s="3">
        <f>2781.6+(205.8-512.2)+(0+(0-0))+0-438-0</f>
        <v>2037.1999999999998</v>
      </c>
      <c r="O340" s="3">
        <f>2991.3+(247.6-591.9)+(-1.525563+(-0.126276--0.301869))+0-533.8--0.272237999999946</f>
        <v>2112.1222679999996</v>
      </c>
      <c r="P340" s="3">
        <f>3047.6+(364.7-659.7)+(-1.554276+(-0.185997--0.336447))+0-541.4--0.276113999999945</f>
        <v>2210.0722879999994</v>
      </c>
      <c r="Q340" s="3">
        <f>3098.9+(419.4-735.9)+(-1.580439+(-0.213894--0.375309))+0-549.5--0.280244999999944</f>
        <v>2231.7612210000002</v>
      </c>
      <c r="R340" s="3">
        <f>2924.8+(238.4-612.2)+(-7.45824+(-0.60792--1.56111))+0-584.9--1.49149499999991</f>
        <v>1961.0864449999997</v>
      </c>
      <c r="S340" s="3">
        <f>2927.7+(165.5-596.9)+(-1.493127+(-0.084405--0.304419))+0-555.8--0.283457999999944</f>
        <v>1939.5103449999995</v>
      </c>
      <c r="T340" s="3">
        <f>2927.8+(200.6-645.1)+(-7.46589+(-0.51153--1.645005))+0-392.2--1.00010999999994</f>
        <v>2085.7676950000005</v>
      </c>
      <c r="U340" s="3">
        <f>2940.3+(308.8-637.9)+(-4.498659+(-0.472464--0.975987))+0-499.4--0.764082000000029</f>
        <v>2108.5689460000003</v>
      </c>
      <c r="V340" s="3">
        <f>2968.5+(276.7-866)+(-13.625415+(-1.270053--3.97494))+0-362.4--1.66341600000006</f>
        <v>2007.5428879999997</v>
      </c>
      <c r="W340" s="3">
        <f>3023.9+(260.9-750.5)+(0+(0-0))+0-522.3-0</f>
        <v>2012.0000000000002</v>
      </c>
      <c r="X340" s="3">
        <f>3241+(448-912.9)+(-6.61164+(-0.91392--1.862316))+0-486.4--0.992255999999979</f>
        <v>2285.029012</v>
      </c>
      <c r="Y340" s="3">
        <f>3313.8+(426.3-989.7)+(0+(0-0))+0-549.5-0</f>
        <v>2200.9</v>
      </c>
      <c r="Z340" s="3">
        <f>3207.6+(589.7-1059)+(0+(0-0))+0-599.8-0</f>
        <v>2138.5</v>
      </c>
      <c r="AA340" s="3">
        <f>3092.1+(544.4-1031.3)+(-3.153942+(-0.555288--1.051926))+0-557.4--0.568548000000089</f>
        <v>2045.7112440000001</v>
      </c>
      <c r="AB340" s="3">
        <f>2861.1+(502.5-903)+(-5.836644+(-1.0251--1.84212))+0-536.2--1.09384799999998</f>
        <v>1920.4742239999998</v>
      </c>
      <c r="AC340" s="3">
        <f>2770+(387-702.3)+(-11.3016+(-1.57896--2.865384))+0-684.9--2.79439199999994</f>
        <v>1762.5792159999999</v>
      </c>
      <c r="AD340">
        <f t="shared" si="5"/>
        <v>46161.395023999998</v>
      </c>
      <c r="AE340" s="3">
        <f>3328+(412.1-1041.5)+(0+(0-0))+0-408.5-0</f>
        <v>2290.1</v>
      </c>
    </row>
    <row r="341" spans="1:31" s="2" customFormat="1" x14ac:dyDescent="0.25">
      <c r="A341">
        <v>89</v>
      </c>
      <c r="B341">
        <v>12</v>
      </c>
      <c r="C341">
        <v>5</v>
      </c>
      <c r="D341">
        <v>6</v>
      </c>
      <c r="E341">
        <v>1</v>
      </c>
      <c r="F341" s="3">
        <f>2592.6+(353.6-585.6)+(-3.966678+(-0.541008--0.895968))+0-636.2--0.973386000000037</f>
        <v>1721.7616679999999</v>
      </c>
      <c r="G341" s="3">
        <f>2324.8+(411.8-469.1)+(2.371296+(0.420036-0.478482))+0-628.7-0.6412740000001</f>
        <v>1640.4715759999997</v>
      </c>
      <c r="H341" s="3">
        <f>2211+(442.5-394)+(-6.76566+(-1.35405--1.20564))+0-623--1.90638000000007</f>
        <v>1631.4923100000003</v>
      </c>
      <c r="I341" s="3">
        <f>2181+(400.7-324.5)+(2.22462+(0.408714-0.33099))+0-659.4-0.672588000000105</f>
        <v>1599.4297559999998</v>
      </c>
      <c r="J341" s="3">
        <f>2176.7+(372.9-314)+(1.110117+(0.190179-0.16014))+0-619.2-0.315791999999937</f>
        <v>1617.2243639999999</v>
      </c>
      <c r="K341" s="3">
        <f>2173.9+(375.3-276.9)+(6.652134+(1.148418-0.847314))+0-652.7-1.99726200000008</f>
        <v>1624.5559760000001</v>
      </c>
      <c r="L341" s="3">
        <f>2178.8+(293.6-303.9)+(0+(0-0))+0-563.4-0</f>
        <v>1605.1</v>
      </c>
      <c r="M341" s="3">
        <f>2281.7+(266.8-278.8)+(3.491001+(0.408204-0.426564))+0-576.8-0.882504000000033</f>
        <v>1695.4901369999998</v>
      </c>
      <c r="N341" s="3">
        <f>2751.6+(309.1-480)+(0+(0-0))+0-578-0</f>
        <v>2002.6999999999998</v>
      </c>
      <c r="O341" s="3">
        <f>3004.3+(509.3-852.8)+(0+(0-0))+0-507.9-0</f>
        <v>2152.9</v>
      </c>
      <c r="P341" s="3">
        <f>3023.9+(639.4-1068.3)+(0+(0-0))+0-502.4-0</f>
        <v>2092.6</v>
      </c>
      <c r="Q341" s="3">
        <f>3002.7+(657.7-1021.2)+(1.531377+(0.335427-0.520812))+0-583.2-0.297431999999941</f>
        <v>2057.0485599999997</v>
      </c>
      <c r="R341" s="3">
        <f>2764+(471.3-775.7)+(-2.81928+(-0.480726--0.791214))+0-583.9--0.595578000000093</f>
        <v>1873.7867859999999</v>
      </c>
      <c r="S341" s="3">
        <f>2700.8+(399.5-667.6)+(-2.754816+(-0.40749--0.680952))+0-589.7--0.601494000000094</f>
        <v>1841.1201400000002</v>
      </c>
      <c r="T341" s="3">
        <f>2736.1+(466.6-678)+(-1.395411+(-0.237966--0.34578))+0-567--0.289169999999942</f>
        <v>1956.7015729999998</v>
      </c>
      <c r="U341" s="3">
        <f>2737.7+(418.5-654.8)+(-2.792454+(-0.42687--0.667896))+0-616.8--0.629136000000098</f>
        <v>1882.6777079999995</v>
      </c>
      <c r="V341" s="3">
        <f>2749.9+(333.4-714.6)+(-9.817143+(-1.190238--2.551122))+0-549--1.95993000000001</f>
        <v>1813.2036709999998</v>
      </c>
      <c r="W341" s="3">
        <f>2816.4+(351.8-782.1)+(-1.436364+(-0.179418--0.398871))+0-576.2--0.293861999999942</f>
        <v>1808.9769509999999</v>
      </c>
      <c r="X341" s="3">
        <f>3213.6+(574.1-1121.8)+(-4.916808+(-0.878373--1.716354))+0-604--0.924120000000035</f>
        <v>2058.7452930000004</v>
      </c>
      <c r="Y341" s="3">
        <f>3170.1+(687.6-1244.3)+(-3.233502+(-0.701352--1.269186))+0-519.6--0.529992000000083</f>
        <v>2091.6643240000003</v>
      </c>
      <c r="Z341" s="3">
        <f>3080.1+(648.9-1304.4)+(-4.712553+(-0.992817--1.995732))+0-507.1--0.775863000000029</f>
        <v>1914.5662250000003</v>
      </c>
      <c r="AA341" s="3">
        <f>3020.8+(729.8-1243.7)+(0+(0-0))+0-586.2-0</f>
        <v>1920.7</v>
      </c>
      <c r="AB341" s="3">
        <f>2693.1+(819-1125)+(-5.493924+(-1.67076--2.295))+0-539.1--1.09976399999998</f>
        <v>1844.2300800000003</v>
      </c>
      <c r="AC341" s="3">
        <f>2437.9+(770.8-890.4)+(-6.216645+(-1.96554--2.27052))+0-651.1--1.66030499999991</f>
        <v>1662.9486400000001</v>
      </c>
      <c r="AD341">
        <f t="shared" si="5"/>
        <v>44110.095737999996</v>
      </c>
      <c r="AE341" s="3">
        <f>3272+(586.3-1189.6)+(0+(0-0))+0-544.5-0</f>
        <v>2124.1999999999998</v>
      </c>
    </row>
    <row r="342" spans="1:31" s="2" customFormat="1" x14ac:dyDescent="0.25">
      <c r="A342">
        <v>89</v>
      </c>
      <c r="B342">
        <v>12</v>
      </c>
      <c r="C342">
        <v>6</v>
      </c>
      <c r="D342">
        <v>7</v>
      </c>
      <c r="E342">
        <v>1</v>
      </c>
      <c r="F342" s="3">
        <f>2106.1+(373.6-171.6)+(-2.148222+(-0.381072--0.175032))+0-663.4--0.676668000000106</f>
        <v>1643.022406</v>
      </c>
      <c r="G342" s="3">
        <f>2036.9+(416.7-180.4)+(-1.038819+(-0.212517--0.092004))+0-682.9--0.348278999999931</f>
        <v>1589.4889469999998</v>
      </c>
      <c r="H342" s="3">
        <f>1917.4+(523.9-144.7)+(0+(0-0))+0-711.3-0</f>
        <v>1585.3</v>
      </c>
      <c r="I342" s="3">
        <f>1786.6+(543.4-133.9)+(2.733498+(0.831402-0.204867))+0-656.1-1.00383300000004</f>
        <v>1542.3561999999999</v>
      </c>
      <c r="J342" s="3">
        <f>1778.8+(557.1-134.8)+(-4.53594+(-1.420605--0.34374))+0-659.6--1.6819799999999</f>
        <v>1537.5691749999996</v>
      </c>
      <c r="K342" s="3">
        <f>1791.8+(415.5-155.2)+(2.741454+(0.635715-0.237456))+0-526.5-0.80554500000003</f>
        <v>1527.934168</v>
      </c>
      <c r="L342" s="3">
        <f>1790.5+(411.4-149.3)+(-1.82631+(-0.419628--0.152286))+0-569.3--0.580686000000091</f>
        <v>1481.7870339999999</v>
      </c>
      <c r="M342" s="3">
        <f>1818.7+(309.4-149.9)+(0.927537+(0.157794-0.076449))+0-536-0.273359999999946</f>
        <v>1442.9355220000002</v>
      </c>
      <c r="N342" s="3">
        <f>1922.7+(257.8-158.6)+(-1.961154+(-0.262956--0.161772))+0-514.3--0.524586000000082</f>
        <v>1506.0622480000002</v>
      </c>
      <c r="O342" s="3">
        <f>2220.7+(256-302.9)+(1.132557+(0.13056-0.154479))+0-574.9-0.293198999999942</f>
        <v>1599.7154389999998</v>
      </c>
      <c r="P342" s="3">
        <f>2519+(166.9-394.6)+(2.56938+(0.170238-0.402492))+0-640.5-0.653310000000102</f>
        <v>1652.4838159999999</v>
      </c>
      <c r="Q342" s="3">
        <f>2612.2+(96.8-435.4)+(-5.328888+(-0.197472--0.888216))+0-599--1.22195999999997</f>
        <v>1671.183816</v>
      </c>
      <c r="R342" s="3">
        <f>2600.3+(70.6-443.7)+(-1.326153+(-0.036006--0.226287))+0-597.9--0.304928999999939</f>
        <v>1628.4690570000002</v>
      </c>
      <c r="S342" s="3">
        <f>2526.1+(52.3-386.7)+(-7.729866+(-0.160038--1.183302))+0-594--1.81764000000007</f>
        <v>1592.8110379999996</v>
      </c>
      <c r="T342" s="3">
        <f>2479.4+(45.6-387.8)+(-2.528988+(-0.046512--0.395556))+0-582.5--0.594150000000093</f>
        <v>1553.1142060000004</v>
      </c>
      <c r="U342" s="3">
        <f>2485.3+(35.6-468.7)+(-7.605018+(-0.108936--1.434222))+0-506.9--1.55111400000006</f>
        <v>1540.5713820000003</v>
      </c>
      <c r="V342" s="3">
        <f>2487.7+(35.7-488.6)+(-2.537454+(-0.036414--0.498372))+0-505.6--0.515712000000081</f>
        <v>1527.640216</v>
      </c>
      <c r="W342" s="3">
        <f>2502.2+(115.6-432.4)+(-1.276122+(-0.058956--0.220524))+0-603.1--0.307580999999939</f>
        <v>1581.4930269999995</v>
      </c>
      <c r="X342" s="3">
        <f>2817.8+(492.1-705)+(-4.311234+(-0.752913--1.07865))+0-543.7--0.831861000000031</f>
        <v>2058.0463640000003</v>
      </c>
      <c r="Y342" s="3">
        <f>2819.8+(591.5-804.6)+(1.438098+(0.301665-0.410346))+0-564-0.287639999999943</f>
        <v>2043.7417770000002</v>
      </c>
      <c r="Z342" s="3">
        <f>2837.2+(478.2-675.6)+(-4.340916+(-0.731646--1.033668))+0-641.6--0.981648000000037</f>
        <v>1995.142754</v>
      </c>
      <c r="AA342" s="3">
        <f>2835.9+(411-591.4)+(1.446309+(0.20961-0.301614))+0-647.7-0.330326999999934</f>
        <v>2008.8239779999999</v>
      </c>
      <c r="AB342" s="3">
        <f>2797.3+(180.4-452.3)+(-2.853246+(-0.184008--0.461346))+0-661.2--0.674424000000105</f>
        <v>1862.2985160000003</v>
      </c>
      <c r="AC342" s="3">
        <f>2497+(196.8-464.2)+(-5.09388+(-0.401472--0.946968))+0-661.2--1.34884799999997</f>
        <v>1565.2004639999996</v>
      </c>
      <c r="AD342">
        <f t="shared" si="5"/>
        <v>39737.191550000003</v>
      </c>
      <c r="AE342" s="3">
        <f>2806+(566.6-1058.4)+(0+(0-0))+0-485.5-0</f>
        <v>1828.6999999999998</v>
      </c>
    </row>
    <row r="343" spans="1:31" s="2" customFormat="1" x14ac:dyDescent="0.25">
      <c r="A343">
        <v>89</v>
      </c>
      <c r="B343">
        <v>12</v>
      </c>
      <c r="C343">
        <v>7</v>
      </c>
      <c r="D343">
        <v>1</v>
      </c>
      <c r="E343">
        <v>1</v>
      </c>
      <c r="F343" s="3">
        <f>2375.9+(219.2-417.6)+(-2.423418+(-0.223584--0.425952))+0-571.2--0.582624000000091</f>
        <v>1604.661574</v>
      </c>
      <c r="G343" s="3">
        <f>2172+(231.5-318.5)+(-2.21544+(-0.23613--0.32487))+0-570.8--0.582216000000091</f>
        <v>1512.6555160000003</v>
      </c>
      <c r="H343" s="3">
        <f>2168.4+(223.5-271.1)+(4.423536+(0.45594-0.553044))+0-672.3-1.37149199999997</f>
        <v>1451.4549400000001</v>
      </c>
      <c r="I343" s="3">
        <f>2093.2+(281.4-293.9)+(-2.135064+(-0.287028--0.299778))+0-600.2--0.612204000000096</f>
        <v>1478.9898899999996</v>
      </c>
      <c r="J343" s="3">
        <f>2018.5+(287.9-249.9)+(6.17661+(0.880974-0.764694))+0-653.5-1.99971000000008</f>
        <v>1407.2931800000001</v>
      </c>
      <c r="K343" s="3">
        <f>2026.8+(259.9-212.4)+(1.033668+(0.132549-0.108324))+0-657.3-0.335222999999933</f>
        <v>1417.7226699999999</v>
      </c>
      <c r="L343" s="3">
        <f>2058.7+(244.9-232.9)+(3.149811+(0.374697-0.356337))+0-559.6-0.856188000000032</f>
        <v>1513.4119829999997</v>
      </c>
      <c r="M343" s="3">
        <f>2318.5+(199.9-278.3)+(5.912175+(0.509745-0.709665))+0-543.6-1.38617999999992</f>
        <v>1700.8260749999999</v>
      </c>
      <c r="N343" s="3">
        <f>2593.2+(320.2-265)+(1.322532+(0.163302-0.13515))+0-637.4-0.325073999999935</f>
        <v>2012.0256099999997</v>
      </c>
      <c r="O343" s="3">
        <f>2693.5+(506.5-516.9)+(1.373685+(0.258315-0.263619))+0-501-0.255509999999949</f>
        <v>2183.2128710000002</v>
      </c>
      <c r="P343" s="3">
        <f>2630.8+(648.9-692.4)+(4.025124+(0.992817-1.059372))+0-510.2-0.780606000000029</f>
        <v>2080.2779630000005</v>
      </c>
      <c r="Q343" s="3">
        <f>2709.3+(626.7-720.1)+(-1.381743+(-0.319617--0.367251))+0-527.5--0.269024999999947</f>
        <v>2087.3349160000002</v>
      </c>
      <c r="R343" s="3">
        <f>2716.5+(451.3-606.6)+(-1.385415+(-0.230163--0.309366))+0-581.8--0.296717999999941</f>
        <v>1978.3905059999997</v>
      </c>
      <c r="S343" s="3">
        <f>2583.8+(326.5-392.3)+(-3.953214+(-0.499545--0.600219))+0-578.4--0.884952000000033</f>
        <v>1936.6324120000002</v>
      </c>
      <c r="T343" s="3">
        <f>2428.5+(325-149.6)+(0+(0-0))+0-557.3-0</f>
        <v>2046.6000000000001</v>
      </c>
      <c r="U343" s="3">
        <f>2367.6+(331.5-79.6)+(-2.414952+(-0.33813--0.081192))+0-572.2--0.583644000000091</f>
        <v>2045.2117539999999</v>
      </c>
      <c r="V343" s="3">
        <f>2481.8+(190.6-95)+(0+(0-0))+0-513.5-0</f>
        <v>2063.9</v>
      </c>
      <c r="W343" s="3">
        <f>2668.7+(239.4-257.9)+(-5.444148+(-0.488376--0.526116))+0-553.8--1.12975199999998</f>
        <v>2092.1233439999996</v>
      </c>
      <c r="X343" s="3">
        <f>2809+(635.7-591.9)+(-7.16295+(-1.621035--1.509345))+0-572.7--1.46038499999992</f>
        <v>2274.2857449999997</v>
      </c>
      <c r="Y343" s="3">
        <f>2852.5+(469.4-743.5)+(-4.364325+(-0.718182--1.137555))+0-470.3--0.719559000000027</f>
        <v>2104.8746070000002</v>
      </c>
      <c r="Z343" s="3">
        <f>2846.4+(499.5-741.8)+(-1.451664+(-0.254745--0.378318))+0-584.7--0.298196999999941</f>
        <v>2018.3701060000003</v>
      </c>
      <c r="AA343" s="3">
        <f>2823.5+(343-693.1)+(-2.87997+(-0.34986--0.706962))+0-509.5--0.519690000000081</f>
        <v>1961.8968220000002</v>
      </c>
      <c r="AB343" s="3">
        <f>2578.8+(324.2-479.1)+(-6.57594+(-0.82671--1.221705))+0-535.7--1.36603499999992</f>
        <v>1883.38509</v>
      </c>
      <c r="AC343" s="3">
        <f>2459.8+(351.8-374.1)+(-5.017992+(-0.717672--0.763164))+0-598.7--1.22134799999997</f>
        <v>1835.0488480000001</v>
      </c>
      <c r="AD343">
        <f t="shared" si="5"/>
        <v>44690.586422</v>
      </c>
      <c r="AE343" s="3">
        <f>2856+(693.4-792.1)+(0+(0-0))+0-601.8-0</f>
        <v>2155.5</v>
      </c>
    </row>
    <row r="344" spans="1:31" s="2" customFormat="1" x14ac:dyDescent="0.25">
      <c r="A344">
        <v>89</v>
      </c>
      <c r="B344">
        <v>12</v>
      </c>
      <c r="C344">
        <v>8</v>
      </c>
      <c r="D344">
        <v>2</v>
      </c>
      <c r="E344">
        <v>1</v>
      </c>
      <c r="F344" s="3">
        <f>2321.9+(348-391.7)+(-1.184169+(-0.17748--0.199767))+0-572.4--0.291923999999942</f>
        <v>1704.9300420000002</v>
      </c>
      <c r="G344" s="3">
        <f>2278.9+(343.1-398.3)+(0+(0-0))+0-611.5-0</f>
        <v>1612.2000000000003</v>
      </c>
      <c r="H344" s="3">
        <f>2208.8+(322.4-349.2)+(-3.379464+(-0.493272--0.534276))+0-623.1--0.953343000000036</f>
        <v>1556.5148830000003</v>
      </c>
      <c r="I344" s="3">
        <f>1925.1+(417.2-245.3)+(-2.945403+(-0.638316--0.375309))+0-602.8--0.922284000000035</f>
        <v>1491.9138739999999</v>
      </c>
      <c r="J344" s="3">
        <f>1832.1+(483.3-209.9)+(-0.934371+(-0.246483--0.107049))+0-607.3--0.309722999999938</f>
        <v>1497.4359179999999</v>
      </c>
      <c r="K344" s="3">
        <f>1836.5+(482.1-180.4)+(0.936615+(0.245871-0.092004))+0-593.2-0.30253199999994</f>
        <v>1545.7879499999999</v>
      </c>
      <c r="L344" s="3">
        <f>2288.2+(212.6-358.5)+(-2.333964+(-0.216852--0.36567))+0-541.2--0.552024000000086</f>
        <v>1599.466878</v>
      </c>
      <c r="M344" s="3">
        <f>2446.9+(133.4-394.7)+(-1.247919+(-0.068034--0.201297))+0-509.2--0.259691999999948</f>
        <v>1675.545036</v>
      </c>
      <c r="N344" s="3">
        <f>2473.4+(338.3-313.7)+(-2.522868+(-0.345066--0.319974))+0-512.7--0.522954000000082</f>
        <v>1983.2749940000001</v>
      </c>
      <c r="O344" s="3">
        <f>2651.7+(299.8-524.4)+(2.704734+(0.305796-0.534888))+0-524.9-0.535398000000084</f>
        <v>1904.1402439999997</v>
      </c>
      <c r="P344" s="3">
        <f>2663.7+(582.2-606.1)+(-5.433948+(-1.187688--1.236444))+0-527.2--1.07548799999998</f>
        <v>2108.2902959999997</v>
      </c>
      <c r="Q344" s="3">
        <f>2606.4+(663.1-682.9)+(-3.987792+(-1.014543--1.044837))+0-507.9--0.777087000000029</f>
        <v>2075.519589</v>
      </c>
      <c r="R344" s="3">
        <f>2513.3+(407.3-503.7)+(-7.690698+(-1.246338--1.541322))+0-566.5--1.73349000000007</f>
        <v>1844.7377759999999</v>
      </c>
      <c r="S344" s="3">
        <f>2479.5+(295.7-378.4)+(-3.793635+(-0.452421--0.578952))+0-528--0.807840000000031</f>
        <v>1865.940736</v>
      </c>
      <c r="T344" s="3">
        <f>2474.3+(352.8-312)+(-3.785679+(-0.539784--0.47736))+0-587.4--0.898722000000034</f>
        <v>1924.7506190000006</v>
      </c>
      <c r="U344" s="3">
        <f>2419.6+(377.6-309)+(-2.467992+(-0.385152--0.31518))+0-612.9--0.625158000000098</f>
        <v>1873.3871939999997</v>
      </c>
      <c r="V344" s="3">
        <f>2433.8+(241.9-324.3)+(-7.447428+(-0.740214--0.992358))+0-491.5--1.50399000000006</f>
        <v>1854.2087060000003</v>
      </c>
      <c r="W344" s="3">
        <f>2461.2+(352.7-335.7)+(-3.765636+(-0.539631--0.513621))+0-568.4--0.869652000000033</f>
        <v>1906.8780059999997</v>
      </c>
      <c r="X344" s="3">
        <f>2572.1+(836-686.4)+(-2.623542+(-0.85272--0.700128))+0-543.3--0.554166000000087</f>
        <v>2176.1780319999998</v>
      </c>
      <c r="Y344" s="3">
        <f>2631.2+(951.2-920.1)+(-8.051472+(-2.910672--2.815506))+0-629.9--1.92749400000007</f>
        <v>2026.1808559999995</v>
      </c>
      <c r="Z344" s="3">
        <f>2627.5+(736.2-941)+(-2.68005+(-0.750924--0.95982))+0-482.8--0.492456000000077</f>
        <v>1937.9213020000002</v>
      </c>
      <c r="AA344" s="3">
        <f>2673.9+(780.7-873.7)+(-4.091067+(-1.194471--1.336761))+0-630.9--0.965277000000036</f>
        <v>1947.0165</v>
      </c>
      <c r="AB344" s="3">
        <f>2656.1+(743.6-844.9)+(-6.773055+(-1.89618--2.154495))+0-645.7--1.64653499999991</f>
        <v>1904.2317949999999</v>
      </c>
      <c r="AC344" s="3">
        <f>2616.7+(508.2-792.3)+(-6.672585+(-1.29591--2.020365))+0-522.3--1.33186499999992</f>
        <v>1805.6837349999996</v>
      </c>
      <c r="AD344">
        <f t="shared" si="5"/>
        <v>43822.134960999996</v>
      </c>
      <c r="AE344" s="3">
        <f>2621+(1084.2-887)+(0+(0-0))+0-741.3-0</f>
        <v>2076.8999999999996</v>
      </c>
    </row>
    <row r="345" spans="1:31" s="2" customFormat="1" x14ac:dyDescent="0.25">
      <c r="A345">
        <v>89</v>
      </c>
      <c r="B345">
        <v>12</v>
      </c>
      <c r="C345">
        <v>9</v>
      </c>
      <c r="D345">
        <v>3</v>
      </c>
      <c r="E345">
        <v>1</v>
      </c>
      <c r="F345" s="3">
        <f>2391.1+(440.1-607.9)+(0+(0-0))+0-613.8-0</f>
        <v>1609.5000000000002</v>
      </c>
      <c r="G345" s="3">
        <f>2112.4+(347.7-315.5)+(0+(0-0))+0-579.5-0</f>
        <v>1565.1</v>
      </c>
      <c r="H345" s="3">
        <f>2004.9+(387.1-275.6)+(0+(0-0))+0-578.8-0</f>
        <v>1537.6000000000001</v>
      </c>
      <c r="I345" s="3">
        <f>1913+(340.2-204.9)+(0+(0-0))+0-574.2-0</f>
        <v>1474.1000000000001</v>
      </c>
      <c r="J345" s="3">
        <f>1894.1+(436.4-168.7)+(0+(0-0))+0-657.3-0</f>
        <v>1504.4999999999998</v>
      </c>
      <c r="K345" s="3">
        <f>1898.2+(362.7-116.5)+(0+(0-0))+0-625.3-0</f>
        <v>1519.1000000000001</v>
      </c>
      <c r="L345" s="3">
        <f>2202+(161.2-230.3)+(0+(0-0))+0-567.7-0</f>
        <v>1565.2</v>
      </c>
      <c r="M345" s="3">
        <f>2342+(206.1-256.4)+(0+(0-0))+0-580.8-0</f>
        <v>1710.8999999999999</v>
      </c>
      <c r="N345" s="3">
        <f>2376.1+(297.5-209.9)+(0+(0-0))+0-504.8-0</f>
        <v>1958.8999999999999</v>
      </c>
      <c r="O345" s="3">
        <f>2499.5+(523.5-432.7)+(0+(0-0))+0-490.4-0</f>
        <v>2099.9</v>
      </c>
      <c r="P345" s="3">
        <f>2406.2+(726.3-418.2)+(-2.454324+(-0.740826--0.426564))+0-589.3--0.601086000000094</f>
        <v>2122.8325</v>
      </c>
      <c r="Q345" s="3">
        <f>2426.2+(632.2-549.1)+(-3.712086+(-0.967266--0.840123))+0-439.2--0.671976000000025</f>
        <v>2066.9327469999998</v>
      </c>
      <c r="R345" s="3">
        <f>2420.1+(503.2-445.6)+(-4.937004+(-1.026528--0.909024))+0-583.5--1.19033999999997</f>
        <v>1890.3358319999995</v>
      </c>
      <c r="S345" s="3">
        <f>2320.2+(446-391.1)+(-4.733208+(-0.90984--0.797844))+0-567.4--1.15749599999998</f>
        <v>1804.0122919999997</v>
      </c>
      <c r="T345" s="3">
        <f>2272.1+(464.8-220.3)+(-1.158771+(-0.237048--0.112353))+0-613.6--0.312935999999938</f>
        <v>1902.0294700000002</v>
      </c>
      <c r="U345" s="3">
        <f>2350.5+(389-200.7)+(0+(0-0))+0-603.6-0</f>
        <v>1935.2000000000003</v>
      </c>
      <c r="V345" s="3">
        <f>2361.4+(380.2-253.7)+(-7.225884+(-1.163412--0.776322))+0-555.1--1.69860600000006</f>
        <v>1926.8856320000002</v>
      </c>
      <c r="W345" s="3">
        <f>2425.6+(311.9-300.2)+(-6.18528+(-0.795345--0.76551))+0-523.1--1.33390499999992</f>
        <v>1909.3187899999998</v>
      </c>
      <c r="X345" s="3">
        <f>2713.4+(738.6-684.3)+(-5.535336+(-1.506744--1.395972))+0-576.7--1.17646799999997</f>
        <v>2186.5303600000002</v>
      </c>
      <c r="Y345" s="3">
        <f>2825.9+(745.9-961.5)+(-4.323627+(-1.141227--1.471095))+0-517.3--0.79146900000003</f>
        <v>2089.7977100000003</v>
      </c>
      <c r="Z345" s="3">
        <f>2708.1+(945.7-1149)+(-8.286786+(-2.893842--3.51594))+0-494.6--1.51347600000006</f>
        <v>2004.0487880000005</v>
      </c>
      <c r="AA345" s="3">
        <f>2639.1+(1041.1-1029.4)+(-1.345941+(-0.530961--0.524994))+0-628.5--0.320534999999936</f>
        <v>2021.2686269999995</v>
      </c>
      <c r="AB345" s="3">
        <f>2465.4+(845.5-743.3)+(-5.029416+(-1.72482--1.516332))+0-611.9--1.24827599999997</f>
        <v>1951.7103720000002</v>
      </c>
      <c r="AC345" s="3">
        <f>2366.6+(746.8-737)+(-8.448762+(-2.666076--2.63109))+0-566.5--2.02240500000001</f>
        <v>1803.4386569999995</v>
      </c>
      <c r="AD345">
        <f t="shared" si="5"/>
        <v>44159.141777000004</v>
      </c>
      <c r="AE345" s="3">
        <f>2809+(938.7-909.4)+(0+(0-0))+0-681.3-0</f>
        <v>2157</v>
      </c>
    </row>
    <row r="346" spans="1:31" s="2" customFormat="1" x14ac:dyDescent="0.25">
      <c r="A346">
        <v>89</v>
      </c>
      <c r="B346">
        <v>12</v>
      </c>
      <c r="C346">
        <v>10</v>
      </c>
      <c r="D346">
        <v>4</v>
      </c>
      <c r="E346">
        <v>1</v>
      </c>
      <c r="F346" s="3">
        <f>2247.1+(733.7-629)+(-4.584084+(-1.496748--1.28316))+0-675.3--1.37761199999997</f>
        <v>1673.0799400000001</v>
      </c>
      <c r="G346" s="3">
        <f>2155.5+(526.4-366.4)+(-3.297915+(-0.805392--0.560592))+0-692.3--1.05921900000004</f>
        <v>1620.716504</v>
      </c>
      <c r="H346" s="3">
        <f>2095.2+(540.9-411.7)+(-4.274208+(-1.103436--0.839868))+0-653.5--1.33313999999997</f>
        <v>1567.6953639999995</v>
      </c>
      <c r="I346" s="3">
        <f>1913.4+(597.6-354.1)+(-4.87917+(-1.52388--0.902955))+0-601--1.53254999999991</f>
        <v>1551.9324550000001</v>
      </c>
      <c r="J346" s="3">
        <f>1758.4+(625-191.4)+(0+(0-0))+0-626.1-0</f>
        <v>1565.9</v>
      </c>
      <c r="K346" s="3">
        <f>1828.3+(594.6-108.8)+(-2.797299+(-0.909738--0.166464))+0-729--1.11537000000004</f>
        <v>1582.6747969999997</v>
      </c>
      <c r="L346" s="3">
        <f>2043.9+(258.2-167.4)+(-3.127167+(-0.395046--0.256122))+0-541.9--0.829107000000031</f>
        <v>1590.3630160000002</v>
      </c>
      <c r="M346" s="3">
        <f>2235.2+(243.3-303.9)+(0+(0-0))+0-474.2-0</f>
        <v>1700.3999999999999</v>
      </c>
      <c r="N346" s="3">
        <f>2410.5+(446-384.4)+(1.229355+(0.22746-0.196044))+0-452.8-0.230927999999954</f>
        <v>2020.3298430000002</v>
      </c>
      <c r="O346" s="3">
        <f>2463.2+(669.4-424.8)+(-1.256232+(-0.341394--0.216648))+0-550.2--0.280601999999944</f>
        <v>2156.4996239999991</v>
      </c>
      <c r="P346" s="3">
        <f>2454.1+(702.3-451.3)+(0+(0-0))+0-505.3-0</f>
        <v>2199.7999999999997</v>
      </c>
      <c r="Q346" s="3">
        <f>2446.1+(775.1-547.1)+(-2.495022+(-0.790602--0.558042))+0-475.6--0.485112000000076</f>
        <v>2196.2575300000003</v>
      </c>
      <c r="R346" s="3">
        <f>2346.2+(657-578.3)+(-5.98281+(-1.67535--1.474665))+0-419.6--1.06997999999994</f>
        <v>2000.1864849999995</v>
      </c>
      <c r="S346" s="3">
        <f>2274.1+(762.8-613.6)+(1.159791+(0.389028-0.312936))+0-520.6-0.265505999999947</f>
        <v>1903.6703769999997</v>
      </c>
      <c r="T346" s="3">
        <f>2258.3+(721.6-593.8)+(-2.303466+(-0.736032--0.605676))+0-433.3--0.441966000000069</f>
        <v>1950.8081440000005</v>
      </c>
      <c r="U346" s="3">
        <f>2266.3+(725.6-553)+(0+(0-0))+0-496.4-0</f>
        <v>1942.5</v>
      </c>
      <c r="V346" s="3">
        <f>2318.9+(588.3-521.6)+(-2.365278+(-0.600066--0.532032))+0-476.7--0.486234000000076</f>
        <v>1906.9529219999997</v>
      </c>
      <c r="W346" s="3">
        <f>2399.2+(555.3-529.2)+(-2.447184+(-0.566406--0.539784))+0-477.8--0.487356000000076</f>
        <v>1945.5135499999999</v>
      </c>
      <c r="X346" s="3">
        <f>2441.8+(1119.3-785.3)+(-3.735954+(-1.712529--1.201509))+0-566.8--0.867204000000033</f>
        <v>2205.6202300000004</v>
      </c>
      <c r="Y346" s="3">
        <f>2503.9+(1009.8-912.7)+(-3.830967+(-1.544994--1.396431))+0-551.6--0.843948000000032</f>
        <v>2046.264418</v>
      </c>
      <c r="Z346" s="3">
        <f>2503.1+(740.2-776.7)+(-2.553162+(-0.755004--0.792234))+0-552.1--0.563142000000088</f>
        <v>1912.5472100000004</v>
      </c>
      <c r="AA346" s="3">
        <f>2505.2+(691.1-619.2)+(-5.110608+(-1.409844--1.263168))+0-617.1--1.25888399999997</f>
        <v>1956.0016000000003</v>
      </c>
      <c r="AB346" s="3">
        <f>2489.9+(443.4-468.4)+(-7.619094+(-1.356804--1.433304))+0-606.4--1.85558400000007</f>
        <v>1852.8129900000001</v>
      </c>
      <c r="AC346" s="3">
        <f>2346.9+(567-345.8)+(-2.393838+(-0.57834--0.352716))+0-630.2--0.642804000000101</f>
        <v>1935.9233419999998</v>
      </c>
      <c r="AD346">
        <f t="shared" si="5"/>
        <v>44984.450340999996</v>
      </c>
      <c r="AE346" s="3">
        <f>2487+(1104.9-925.7)+(0+(0-0))+0-590.8-0</f>
        <v>2075.3999999999996</v>
      </c>
    </row>
    <row r="347" spans="1:31" s="2" customFormat="1" x14ac:dyDescent="0.25">
      <c r="A347">
        <v>89</v>
      </c>
      <c r="B347">
        <v>12</v>
      </c>
      <c r="C347">
        <v>11</v>
      </c>
      <c r="D347">
        <v>5</v>
      </c>
      <c r="E347">
        <v>1</v>
      </c>
      <c r="F347" s="3">
        <f>2263+(655.3-516.1)+(-4.61652+(-1.336812--1.052844))+0-670.9--1.36863599999997</f>
        <v>1727.7681479999994</v>
      </c>
      <c r="G347" s="3">
        <f>2264.3+(633.8-610.8)+(-4.619172+(-1.292952--1.246032))+0-682.4--1.39209599999997</f>
        <v>1601.6260040000002</v>
      </c>
      <c r="H347" s="3">
        <f>2261.2+(489.5-608.3)+(-2.306424+(-0.49929--0.620466))+0-573.5--0.584970000000091</f>
        <v>1567.299722</v>
      </c>
      <c r="I347" s="3">
        <f>2264.2+(473.2-590.2)+(-2.309484+(-0.482664--0.602004))+0-593.4--0.605268000000095</f>
        <v>1552.2151239999996</v>
      </c>
      <c r="J347" s="3">
        <f>2260.2+(481.8-538)+(3.458106+(0.737154-0.82314))+0-684.9-1.04789700000004</f>
        <v>1521.4242229999998</v>
      </c>
      <c r="K347" s="3">
        <f>2264+(440.4-500.5)+(-2.30928+(-0.449208--0.51051))+0-650.9--0.663918000000104</f>
        <v>1551.4159400000003</v>
      </c>
      <c r="L347" s="3">
        <f>2281.7+(274.2-467.7)+(0+(0-0))+0-516.6-0</f>
        <v>1571.6</v>
      </c>
      <c r="M347" s="3">
        <f>2405+(268.9-436.8)+(1.22655+(0.137139-0.222768))+0-431-0.219809999999956</f>
        <v>1807.021111</v>
      </c>
      <c r="N347" s="3">
        <f>2474.1+(497.1-557)+(-1.261791+(-0.253521--0.28407))+0-416.8--0.212567999999958</f>
        <v>1996.3813259999999</v>
      </c>
      <c r="O347" s="3">
        <f>2266.1+(950.1-629.8)+(2.311422+(0.969102-0.642396))+0-516.2-0.526524000000082</f>
        <v>2072.3116040000004</v>
      </c>
      <c r="P347" s="3">
        <f>2239.7+(1100-737.3)+(-1.142247+(-0.561--0.376023))+0-461.3--0.235262999999953</f>
        <v>2140.0080389999994</v>
      </c>
      <c r="Q347" s="3">
        <f>2299.8+(1107-857.8)+(-2.345796+(-1.12914--0.874956))+0-361.7--0.368934000000058</f>
        <v>2185.0689540000003</v>
      </c>
      <c r="R347" s="3">
        <f>2405.3+(1042.8-911.2)+(-2.453406+(-1.063656--0.929424))+0-489.3--0.499086000000078</f>
        <v>2045.5114480000002</v>
      </c>
      <c r="S347" s="3">
        <f>2383.8+(907.2-898.2)+(-1.215738+(-0.462672--0.458082))+0-367.8--0.187577999999963</f>
        <v>2023.9672500000004</v>
      </c>
      <c r="T347" s="3">
        <f>2408.9+(941.8-850.4)+(-2.457078+(-0.960636--0.867408))+0-419.5--0.427890000000067</f>
        <v>2078.677584</v>
      </c>
      <c r="U347" s="3">
        <f>2195.1+(804.9-639)+(2.239002+(0.820998-0.65178))+0-396.3-0.404226000000063</f>
        <v>1966.7039939999997</v>
      </c>
      <c r="V347" s="3">
        <f>2162.2+(724.7-573)+(-4.410888+(-1.478388--1.16892))+0-379.4--0.773975999999983</f>
        <v>1930.5536199999997</v>
      </c>
      <c r="W347" s="3">
        <f>2238.3+(717.4-571.6)+(-4.566132+(-1.463496--1.166064))+0-425--0.866999999999981</f>
        <v>1955.1034360000001</v>
      </c>
      <c r="X347" s="3">
        <f>2594.2+(810.2-818.2)+(-5.292168+(-1.652808--1.669128))+0-439.2--0.895967999999981</f>
        <v>2142.6201199999996</v>
      </c>
      <c r="Y347" s="3">
        <f>2724.7+(716.6-875.4)+(-6.947985+(-1.82733--2.23227))+0-440.1--1.12225499999994</f>
        <v>2120.3792099999996</v>
      </c>
      <c r="Z347" s="3">
        <f>2726.3+(587.8-845.2)+(-8.342478+(-1.798668--2.586312))+0-432.6--1.32375600000005</f>
        <v>2030.0689220000002</v>
      </c>
      <c r="AA347" s="3">
        <f>2538.7+(580.4-717.2)+(-1.294737+(-0.296004--0.365772))+0-415.2--0.211751999999958</f>
        <v>1985.6867829999997</v>
      </c>
      <c r="AB347" s="3">
        <f>2309+(757.2-672.6)+(-4.71036+(-1.544688--1.372104))+0-459.5--0.93737999999998</f>
        <v>1930.154436</v>
      </c>
      <c r="AC347" s="3">
        <f>2122.8+(836.8-537.4)+(-5.41314+(-2.13384--1.37037))+0-662.8--1.6901399999999</f>
        <v>1754.9135300000003</v>
      </c>
      <c r="AD347">
        <f t="shared" si="5"/>
        <v>45258.480527999993</v>
      </c>
      <c r="AE347" s="3">
        <f>2710+(858.1-907.3)+(0+(0-0))+0-500.1-0</f>
        <v>2160.7000000000003</v>
      </c>
    </row>
    <row r="348" spans="1:31" s="2" customFormat="1" x14ac:dyDescent="0.25">
      <c r="A348">
        <v>89</v>
      </c>
      <c r="B348">
        <v>12</v>
      </c>
      <c r="C348">
        <v>12</v>
      </c>
      <c r="D348">
        <v>6</v>
      </c>
      <c r="E348">
        <v>1</v>
      </c>
      <c r="F348" s="3">
        <f>2023.8+(821.6-596.4)+(-5.16069+(-2.09508--1.52082))+0-534.8--1.36373999999992</f>
        <v>1709.82879</v>
      </c>
      <c r="G348" s="3">
        <f>1973.1+(712-590.5)+(-3.018843+(-1.08936--0.903465))+0-534--0.817020000000031</f>
        <v>1558.212282</v>
      </c>
      <c r="H348" s="3">
        <f>1978.4+(650.9-518.3)+(-1.008984+(-0.331959--0.264333))+0-602.5--0.307274999999939</f>
        <v>1507.7306649999998</v>
      </c>
      <c r="I348" s="3">
        <f>1983.6+(645.4-432.8)+(-5.05818+(-1.64577--1.10364))+0-628.9--1.60369499999991</f>
        <v>1563.3033849999999</v>
      </c>
      <c r="J348" s="3">
        <f>1981.1+(642.7-424.4)+(5.051805+(1.638885-1.08222))+0-636.6-1.62332999999991</f>
        <v>1566.7851400000004</v>
      </c>
      <c r="K348" s="3">
        <f>2038.7+(660.3-605.2)+(2.079474+(0.673506-0.617304))+0-591.5-0.603330000000094</f>
        <v>1503.8323459999999</v>
      </c>
      <c r="L348" s="3">
        <f>2085+(632.2-592.7)+(-1.06335+(-0.322422--0.302277))+0-557.5--0.284324999999943</f>
        <v>1566.20083</v>
      </c>
      <c r="M348" s="3">
        <f>2124.8+(679.9-639.4)+(1.083648+(0.346749-0.326094))+0-490.9-0.25035899999995</f>
        <v>1675.2539440000003</v>
      </c>
      <c r="N348" s="3">
        <f>2037+(906.5-631.8)+(2.07774+(0.92463-0.644436))+0-483-0.492660000000077</f>
        <v>1830.5652739999998</v>
      </c>
      <c r="O348" s="3">
        <f>1887.9+(1240.5-634.7)+(0+(0-0))+0-550.7-0</f>
        <v>1942.9999999999998</v>
      </c>
      <c r="P348" s="3">
        <f>1918.8+(1496.2-739.2)+(1.957176+(1.526124-0.753984))+0-639.4-0.652188000000102</f>
        <v>2038.477128</v>
      </c>
      <c r="Q348" s="3">
        <f>2032.2+(1369.7-893.5)+(1.036422+(0.698547-0.455685))+0-528.9-0.269738999999946</f>
        <v>1980.5095450000003</v>
      </c>
      <c r="R348" s="3">
        <f>2021.3+(1262.1-832.6)+(-2.061726+(-1.287342--0.849252))+0-657--0.670140000000105</f>
        <v>1791.9703239999999</v>
      </c>
      <c r="S348" s="3">
        <f>1931.2+(1076.1-613)+(-5.909472+(-3.292866--1.87578))+0-593.7--1.81672200000007</f>
        <v>1795.090164</v>
      </c>
      <c r="T348" s="3">
        <f>1836.7+(1050.5-440.4)+(-3.746868+(-2.14302--0.898416))+0-618.2--1.26112799999997</f>
        <v>1824.8696559999998</v>
      </c>
      <c r="U348" s="3">
        <f>1775+(1167.4-403.2)+(0+(0-0))+0-561.6-0</f>
        <v>1977.6</v>
      </c>
      <c r="V348" s="3">
        <f>1781.2+(913.3-422.9)+(-1.816824+(-0.931566--0.431358))+0-502.5--0.51255000000008</f>
        <v>1767.2955180000001</v>
      </c>
      <c r="W348" s="3">
        <f>1843.6+(872.6-469.4)+(0.940236+(0.445026-0.239394))+0-491.3-0.25056299999995</f>
        <v>1756.3953050000002</v>
      </c>
      <c r="X348" s="3">
        <f>2226.5+(922.6-700.2)+(-1.135515+(-0.470526--0.357102))+0-550.8--0.280907999999944</f>
        <v>1897.131969</v>
      </c>
      <c r="Y348" s="3">
        <f>2365.7+(1004.8-908.3)+(-7.239042+(-3.074688--2.779398))+0-537--1.64322000000006</f>
        <v>1919.3088879999998</v>
      </c>
      <c r="Z348" s="3">
        <f>2428.4+(1110.5-1082)+(-2.476968+(-1.13271--1.10364))+0-574.3--0.585786000000092</f>
        <v>1880.6797480000002</v>
      </c>
      <c r="AA348" s="3">
        <f>2434.1+(1174.7-1058.5)+(-3.724173+(-1.797291--1.619505))+0-661.7--1.01240100000004</f>
        <v>1885.7104420000003</v>
      </c>
      <c r="AB348" s="3">
        <f>2353.2+(1187.1-1043.5)+(-6.00066+(-3.027105--2.660925))+0-666.2--1.6988099999999</f>
        <v>1825.9319699999994</v>
      </c>
      <c r="AC348" s="3">
        <f>2276.3+(1122-985.8)+(-5.804565+(-2.8611--2.51379))+0-735.8--1.87628999999989</f>
        <v>1672.424415</v>
      </c>
      <c r="AD348">
        <f t="shared" si="5"/>
        <v>42438.107728000003</v>
      </c>
      <c r="AE348" s="3">
        <f>2292+(1013.7-714.6)+(0+(0-0))+0-572.8-0</f>
        <v>2018.3</v>
      </c>
    </row>
    <row r="349" spans="1:31" s="2" customFormat="1" x14ac:dyDescent="0.25">
      <c r="A349">
        <v>89</v>
      </c>
      <c r="B349">
        <v>12</v>
      </c>
      <c r="C349">
        <v>13</v>
      </c>
      <c r="D349">
        <v>7</v>
      </c>
      <c r="E349">
        <v>1</v>
      </c>
      <c r="F349" s="3">
        <f>2279.6+(787.2-856.2)+(-5.81298+(-2.00736--2.18331))+0-656.6--1.6743299999999</f>
        <v>1550.0373</v>
      </c>
      <c r="G349" s="3">
        <f>2283.2+(814.2-808.5)+(-3.493296+(-1.245726--1.237005))+0-687.2--1.05141600000004</f>
        <v>1599.2493989999998</v>
      </c>
      <c r="H349" s="3">
        <f>2280.9+(799.6-883)+(-4.653036+(-1.631184--1.80132))+0-641.9--1.30947599999997</f>
        <v>1552.4265759999998</v>
      </c>
      <c r="I349" s="3">
        <f>2281+(808.5-961.5)+(3.48993+(1.237005-1.471095))+0-686.9-1.05095700000004</f>
        <v>1443.3048829999996</v>
      </c>
      <c r="J349" s="3">
        <f>2195.4+(718.4-839.5)+(1.119654+(0.366384-0.428145))+0-647.3-0.330122999999934</f>
        <v>1427.7277700000004</v>
      </c>
      <c r="K349" s="3">
        <f>2207+(723.5-800)+(2.25114+(0.73797-0.816))+0-680-0.693600000000108</f>
        <v>1451.9795100000001</v>
      </c>
      <c r="L349" s="3">
        <f>2284.1+(494.4-896.4)+(-4.659564+(-1.008576--1.828656))+0-540.6--1.10282399999998</f>
        <v>1338.76334</v>
      </c>
      <c r="M349" s="3">
        <f>2291.9+(367.9-785.8)+(1.168869+(0.187629-0.400758))+0-613.7-0.312986999999938</f>
        <v>1260.942753</v>
      </c>
      <c r="N349" s="3">
        <f>2286.2+(348.1-753.6)+(0+(0-0))+0-526.7-0</f>
        <v>1353.9999999999998</v>
      </c>
      <c r="O349" s="3">
        <f>2269.1+(615.9-726.8)+(0+(0-0))+0-681.1-0</f>
        <v>1477.1</v>
      </c>
      <c r="P349" s="3">
        <f>2250.8+(834-862.3)+(1.147908+(0.42534-0.439773))+0-620-0.316199999999937</f>
        <v>1603.3172750000001</v>
      </c>
      <c r="Q349" s="3">
        <f>2177.9+(791.7-868)+(0+(0-0))+0-615.4-0</f>
        <v>1486.2000000000003</v>
      </c>
      <c r="R349" s="3">
        <f>1833.4+(1043-775.8)+(0+(0-0))+0-654.8-0</f>
        <v>1445.8000000000004</v>
      </c>
      <c r="S349" s="3">
        <f>1871.4+(893.6-675.4)+(0+(0-0))+0-660.1-0</f>
        <v>1429.5000000000005</v>
      </c>
      <c r="T349" s="3">
        <f>1827.3+(914.8-714.3)+(0+(0-0))+0-584.1-0</f>
        <v>1443.6999999999998</v>
      </c>
      <c r="U349" s="3">
        <f>1833.1+(972.4-717)+(0+(0-0))+0-631.4-0</f>
        <v>1457.1</v>
      </c>
      <c r="V349" s="3">
        <f>1953.3+(855.8-761.6)+(0+(0-0))+0-569.6-0</f>
        <v>1477.9</v>
      </c>
      <c r="W349" s="3">
        <f>2082.5+(821.8-772.4)+(0+(0-0))+0-628.6-0</f>
        <v>1503.3000000000002</v>
      </c>
      <c r="X349" s="3">
        <f>2404.8+(1103.6-1021)+(0+(0-0))+0-673.6-0</f>
        <v>1813.8000000000002</v>
      </c>
      <c r="Y349" s="3">
        <f>2487+(1139-1275.5)+(0+(0-0))+0-507.5-0</f>
        <v>1843</v>
      </c>
      <c r="Z349" s="3">
        <f>2486.8+(1359.8-1377.6)+(0+(0-0))+0-650.5-0</f>
        <v>1818.5</v>
      </c>
      <c r="AA349" s="3">
        <f>2437+(1467.7-1480.3)+(0+(0-0))+0-643.7-0</f>
        <v>1780.7</v>
      </c>
      <c r="AB349" s="3">
        <f>2451.8+(953.7-1196.7)+(0+(0-0))+0-588.6-0</f>
        <v>1620.2000000000003</v>
      </c>
      <c r="AC349" s="3">
        <f>2406+(856.3-966.1)+(0+(0-0))+0-679.1-0</f>
        <v>1617.1</v>
      </c>
      <c r="AD349">
        <f t="shared" si="5"/>
        <v>36795.64880599999</v>
      </c>
      <c r="AE349" s="3">
        <f>2479+(1220.6-1226.6)+(0+(0-0))+0-643.9-0</f>
        <v>1829.1</v>
      </c>
    </row>
    <row r="350" spans="1:31" s="2" customFormat="1" x14ac:dyDescent="0.25">
      <c r="A350">
        <v>89</v>
      </c>
      <c r="B350">
        <v>12</v>
      </c>
      <c r="C350">
        <v>14</v>
      </c>
      <c r="D350">
        <v>1</v>
      </c>
      <c r="E350">
        <v>1</v>
      </c>
      <c r="F350" s="3">
        <f>2271.1+(780.6-890.4)+(-3.474783+(-1.194318--1.362312))+0-681.3--1.04238900000004</f>
        <v>1477.7356</v>
      </c>
      <c r="G350" s="3">
        <f>1975.9+(647.7-663.6)+(3.023127+(0.990981-1.015308))+0-610.9-0.934677000000035</f>
        <v>1351.1641230000002</v>
      </c>
      <c r="H350" s="3">
        <f>1887.3+(721.3-572.5)+(0+(0-0))+0-716.4-0</f>
        <v>1319.6999999999998</v>
      </c>
      <c r="I350" s="3">
        <f>1884.4+(650-521.3)+(4.80522+(1.6575-1.329315))+0-623.3-1.58941499999991</f>
        <v>1393.3439900000003</v>
      </c>
      <c r="J350" s="3">
        <f>1879+(684.4-504.8)+(5.74974+(2.094264-1.544688))+0-660.1-2.01990600000008</f>
        <v>1402.7794100000001</v>
      </c>
      <c r="K350" s="3">
        <f>1904.2+(590-417.1)+(0+(0-0))+0-694.2-0</f>
        <v>1382.8999999999999</v>
      </c>
      <c r="L350" s="3">
        <f>1939.1+(414.7-342.9)+(0+(0-0))+0-600.5-0</f>
        <v>1410.3999999999999</v>
      </c>
      <c r="M350" s="3">
        <f>2272.3+(226.5-369.3)+(0+(0-0))+0-491.5-0</f>
        <v>1638</v>
      </c>
      <c r="N350" s="3">
        <f>2326.9+(464.5-386.5)+(0+(0-0))+0-502.9-0</f>
        <v>1902</v>
      </c>
      <c r="O350" s="3">
        <f>2339.2+(867.9-558.1)+(0+(0-0))+0-539.3-0</f>
        <v>2109.6999999999998</v>
      </c>
      <c r="P350" s="3">
        <f>2341.2+(1006.7-676.7)+(0+(0-0))+0-514.1-0</f>
        <v>2157.1</v>
      </c>
      <c r="Q350" s="3">
        <f>2330.2+(1139.1-856.3)+(0+(0-0))+0-546.8-0</f>
        <v>2066.1999999999998</v>
      </c>
      <c r="R350" s="3">
        <f>2326.9+(871-764)+(0+(0-0))+0-557.8-0</f>
        <v>1876.1000000000001</v>
      </c>
      <c r="S350" s="3">
        <f>2322.5+(690.8-628.9)+(0+(0-0))+0-545.5-0</f>
        <v>1838.9</v>
      </c>
      <c r="T350" s="3">
        <f>2320.2+(598.5-533.9)+(0+(0-0))+0-530.7-0</f>
        <v>1854.0999999999997</v>
      </c>
      <c r="U350" s="3">
        <f>2335.9+(473.9-376.2)+(0+(0-0))+0-550.7-0</f>
        <v>1882.8999999999999</v>
      </c>
      <c r="V350" s="3">
        <f>2337.5+(421.3-331.8)+(0+(0-0))+0-545.1-0</f>
        <v>1881.9</v>
      </c>
      <c r="W350" s="3">
        <f>2355.4+(484.7-323.5)+(0+(0-0))+0-546.9-0</f>
        <v>1969.6999999999998</v>
      </c>
      <c r="X350" s="3">
        <f>2378.8+(952.9-509.4)+(0+(0-0))+0-626.1-0</f>
        <v>2196.2000000000003</v>
      </c>
      <c r="Y350" s="3">
        <f>2392.2+(1078.1-720.6)+(0+(0-0))+0-669.5-0</f>
        <v>2080.1999999999998</v>
      </c>
      <c r="Z350" s="3">
        <f>2389.7+(967.7-760.7)+(0+(0-0))+0-624.1-0</f>
        <v>1972.6</v>
      </c>
      <c r="AA350" s="3">
        <f>2386.5+(931.9-802.1)+(0+(0-0))+0-622.1-0</f>
        <v>1894.2000000000003</v>
      </c>
      <c r="AB350" s="3">
        <f>2364.1+(683.3-626.7)+(0+(0-0))+0-632.6-0</f>
        <v>1788.1</v>
      </c>
      <c r="AC350" s="3">
        <f>2367.8+(373-369.1)+(0+(0-0))+0-684.4-0</f>
        <v>1687.3000000000002</v>
      </c>
      <c r="AD350">
        <f t="shared" si="5"/>
        <v>42533.223122999996</v>
      </c>
      <c r="AE350" s="3">
        <f>2377+(1175.7-758.5)+(0+(0-0))+0-649.7-0</f>
        <v>2144.5</v>
      </c>
    </row>
    <row r="351" spans="1:31" s="2" customFormat="1" x14ac:dyDescent="0.25">
      <c r="A351">
        <v>89</v>
      </c>
      <c r="B351">
        <v>12</v>
      </c>
      <c r="C351">
        <v>15</v>
      </c>
      <c r="D351">
        <v>2</v>
      </c>
      <c r="E351">
        <v>1</v>
      </c>
      <c r="F351" s="3">
        <f>2348.9+(442.3-465.1)+(0+(0-0))+0-688.8-0</f>
        <v>1637.3</v>
      </c>
      <c r="G351" s="3">
        <f>2266.3+(484.7-468.8)+(0+(0-0))+0-647-0</f>
        <v>1635.2000000000003</v>
      </c>
      <c r="H351" s="3">
        <f>1956.3+(644.3-352.7)+(0+(0-0))+0-693.1-0</f>
        <v>1554.8000000000002</v>
      </c>
      <c r="I351" s="3">
        <f>1956+(595-358.8)+(0+(0-0))+0-645.7-0</f>
        <v>1546.4999999999998</v>
      </c>
      <c r="J351" s="3">
        <f>1954+(587.5-330.4)+(0+(0-0))+0-678.9-0</f>
        <v>1532.1999999999998</v>
      </c>
      <c r="K351" s="3">
        <f>1997.4+(551.7-351.2)+(0+(0-0))+0-657.7-0</f>
        <v>1540.2</v>
      </c>
      <c r="L351" s="3">
        <f>2136.4+(345.9-365.3)+(0+(0-0))+0-629.4-0</f>
        <v>1487.6</v>
      </c>
      <c r="M351" s="3">
        <f>2189.1+(404-448.2)+(0+(0-0))+0-467.4-0</f>
        <v>1677.5</v>
      </c>
      <c r="N351" s="3">
        <f>2256.3+(715.7-477.8)+(0+(0-0))+0-535.9-0</f>
        <v>1958.3000000000002</v>
      </c>
      <c r="O351" s="3">
        <f>2290.8+(841.9-581.1)+(0+(0-0))+0-429.9-0</f>
        <v>2121.7000000000003</v>
      </c>
      <c r="P351" s="3">
        <f>2311.6+(919-618.6)+(0+(0-0))+0-442.4-0</f>
        <v>2169.6</v>
      </c>
      <c r="Q351" s="3">
        <f>2341.3+(852.5-765.9)+(0+(0-0))+0-430.3-0</f>
        <v>1997.6000000000001</v>
      </c>
      <c r="R351" s="3">
        <f>2331.8+(827.6-689.3)+(-4.756872+(-1.688304--1.406172))+0-521.2--1.06324799999998</f>
        <v>1944.924244</v>
      </c>
      <c r="S351" s="3">
        <f>2369.2+(904.7-868.4)+(-1.208292+(-0.461397--0.442884))+0-384.2--0.195941999999961</f>
        <v>2020.2691370000002</v>
      </c>
      <c r="T351" s="3">
        <f>2424+(1091.6-973.8)+(-3.70872+(-1.670148--1.489914))+0-516.2--0.78978600000003</f>
        <v>2022.5008320000002</v>
      </c>
      <c r="U351" s="3">
        <f>2433.1+(904.8-962.2)+(-2.481762+(-0.922896--0.981444))+0-519.8--0.530196000000083</f>
        <v>1854.0069820000001</v>
      </c>
      <c r="V351" s="3">
        <f>2458.8+(758.2-883.2)+(-2.507976+(-0.773364--0.900864))+0-479.9--0.489498000000076</f>
        <v>1852.0090220000004</v>
      </c>
      <c r="W351" s="3">
        <f>2592.6+(612.3-654.2)+(-7.933356+(-1.873638--2.001852))+0-578.3--1.76959800000007</f>
        <v>1966.3644559999998</v>
      </c>
      <c r="X351" s="3">
        <f>2605.6+(970-922.2)+(-2.657712+(-0.9894--0.940644))+0-533.6--0.544272000000085</f>
        <v>2117.637804</v>
      </c>
      <c r="Y351" s="3">
        <f>2618.6+(1115-1163.4)+(-6.67743+(-2.84325--2.96667))+0-499.4--1.27346999999993</f>
        <v>2065.51946</v>
      </c>
      <c r="Z351" s="3">
        <f>2689.5+(1115.3-1185.4)+(-6.858225+(-2.844015--3.02277))+0-649.3--1.65571499999991</f>
        <v>1965.0762449999995</v>
      </c>
      <c r="AA351" s="3">
        <f>2842.8+(1043.2-1359.8)+(-4.349484+(-1.596096--2.080494))+0-545.6--0.834768000000032</f>
        <v>1977.5696820000005</v>
      </c>
      <c r="AB351" s="3">
        <f>2825.8+(1055.1-1320.7)+(-1.441158+(-0.538101--0.673557))+0-680.4--0.347003999999931</f>
        <v>1878.8413019999996</v>
      </c>
      <c r="AC351" s="3">
        <f>2733+(1015-1299.5)+(-6.96915+(-2.58825--3.313725))+0-636.6--1.62332999999991</f>
        <v>1807.2796549999998</v>
      </c>
      <c r="AD351">
        <f t="shared" si="5"/>
        <v>44330.498821000001</v>
      </c>
      <c r="AE351" s="3">
        <f>2618+(1135.2-1111.4)+(0+(0-0))+0-539-0</f>
        <v>2102.8000000000002</v>
      </c>
    </row>
    <row r="352" spans="1:31" s="2" customFormat="1" x14ac:dyDescent="0.25">
      <c r="A352">
        <v>89</v>
      </c>
      <c r="B352">
        <v>12</v>
      </c>
      <c r="C352">
        <v>16</v>
      </c>
      <c r="D352">
        <v>3</v>
      </c>
      <c r="E352">
        <v>1</v>
      </c>
      <c r="F352" s="3">
        <f>2333.8+(894.3-975.6)+(-3.570714+(-1.368279--1.492668))+0-733.4--1.12210200000004</f>
        <v>1516.7757770000001</v>
      </c>
      <c r="G352" s="3">
        <f>2152.4+(929.2-786)+(-4.390896+(-1.895568--1.60344))+0-680.6--1.38842399999997</f>
        <v>1611.7054000000005</v>
      </c>
      <c r="H352" s="3">
        <f>2159.2+(893.7-863.5)+(1.101192+(0.455787-0.440385))+0-708.6-0.361385999999928</f>
        <v>1481.5552079999998</v>
      </c>
      <c r="I352" s="3">
        <f>2167+(784.6-646.7)+(1.10517+(0.400146-0.329817))+0-733.5-0.374084999999926</f>
        <v>1572.2014140000001</v>
      </c>
      <c r="J352" s="3">
        <f>2090.4+(700.7-636.8)+(-2.132208+(-0.714714--0.649536))+0-656.9--0.670038000000105</f>
        <v>1495.8726520000005</v>
      </c>
      <c r="K352" s="3">
        <f>2195.9+(707.3-696.1)+(5.599545+(1.803615-1.775055))+0-697.6-1.7788799999999</f>
        <v>1513.3492249999999</v>
      </c>
      <c r="L352" s="3">
        <f>2330.6+(312.9-407.9)+(0+(0-0))+0-544.4-0</f>
        <v>1691.1999999999998</v>
      </c>
      <c r="M352" s="3">
        <f>2433.4+(199.7-447.3)+(0+(0-0))+0-556.8-0</f>
        <v>1629.0000000000002</v>
      </c>
      <c r="N352" s="3">
        <f>2586.1+(609-518.9)+(0+(0-0))+0-585-0</f>
        <v>2091.1999999999998</v>
      </c>
      <c r="O352" s="3">
        <f>2448.4+(810.8-647.9)+(0+(0-0))+0-566-0</f>
        <v>2045.3000000000002</v>
      </c>
      <c r="P352" s="3">
        <f>2438.9+(1100.4-727.5)+(0+(0-0))+0-591.3-0</f>
        <v>2220.5</v>
      </c>
      <c r="Q352" s="3">
        <f>2439.1+(1186.6-852.1)+(0+(0-0))+0-631.3-0</f>
        <v>2142.3000000000002</v>
      </c>
      <c r="R352" s="3">
        <f>2430.4+(930.3-841.5)+(0+(0-0))+0-583.2-0</f>
        <v>1935.9999999999998</v>
      </c>
      <c r="S352" s="3">
        <f>2425.6+(810.6-736.7)+(-1.237056+(-0.413406--0.375717))+0-618--0.315179999999937</f>
        <v>1880.5404349999997</v>
      </c>
      <c r="T352" s="3">
        <f>2447.7+(829-774.2)+(-2.496654+(-0.84558--0.789684))+0-527.9--0.538458000000084</f>
        <v>1972.585908</v>
      </c>
      <c r="U352" s="3">
        <f>2439.4+(804.4-669)+(3.732282+(1.230732-1.02357))+0-606.1-0.927333000000035</f>
        <v>1971.7121110000003</v>
      </c>
      <c r="V352" s="3">
        <f>2570.8+(741.1-818.9)+(-5.244432+(-1.511844--1.670556))+0-521.3--1.06345199999998</f>
        <v>1967.6777319999999</v>
      </c>
      <c r="W352" s="3">
        <f>2814.7+(612.7-980.3)+(-8.612982+(-1.874862--2.999718))+0-625.2--1.91311200000007</f>
        <v>1816.3249859999999</v>
      </c>
      <c r="X352" s="3">
        <f>2781.2+(1072.2-1216.9)+(-2.836824+(-1.093644--1.241238))+0-505.6--0.515712000000081</f>
        <v>2128.726482</v>
      </c>
      <c r="Y352" s="3">
        <f>2841+(1370.6-1517.3)+(-4.34673+(-2.097018--2.321469))+0-627.6--0.960228000000036</f>
        <v>2063.537949</v>
      </c>
      <c r="Z352" s="3">
        <f>2836+(1132.3-1427.6)+(-10.12452+(-4.042311--5.096532))+0-571.2--2.03918400000001</f>
        <v>1962.4688849999998</v>
      </c>
      <c r="AA352" s="3">
        <f>2839.1+(1251.2-1376.6)+(-5.791764+(-2.552448--2.808264))+0-658.2--1.34272799999997</f>
        <v>2051.3067799999994</v>
      </c>
      <c r="AB352" s="3">
        <f>2519.8+(1323.8-1202.4)+(-3.855294+(-2.025414--1.839672))+0-694.1--1.06197300000004</f>
        <v>1944.1209369999999</v>
      </c>
      <c r="AC352" s="3">
        <f>2463.9+(1202.3-1238.9)+(-6.282945+(-3.065865--3.159195))+0-668.2--1.7039099999999</f>
        <v>1754.6142950000003</v>
      </c>
      <c r="AD352">
        <f t="shared" si="5"/>
        <v>44460.576175999995</v>
      </c>
      <c r="AE352" s="3">
        <f>2831+(1356.8-1488.4)+(0+(0-0))+0-597.8-0</f>
        <v>2101.5999999999995</v>
      </c>
    </row>
    <row r="353" spans="1:31" s="2" customFormat="1" x14ac:dyDescent="0.25">
      <c r="A353">
        <v>89</v>
      </c>
      <c r="B353">
        <v>12</v>
      </c>
      <c r="C353">
        <v>17</v>
      </c>
      <c r="D353">
        <v>4</v>
      </c>
      <c r="E353">
        <v>1</v>
      </c>
      <c r="F353" s="3">
        <f>2448.5+(841.2-1019)+(-6.243675+(-2.14506--2.59845))+0-705.2--1.7982599999999</f>
        <v>1561.5079749999995</v>
      </c>
      <c r="G353" s="3">
        <f>2345.1+(819.9-854.8)+(-7.176006+(-2.508894--2.615688))+0-722.4--2.21054400000008</f>
        <v>1582.9413319999999</v>
      </c>
      <c r="H353" s="3">
        <f>2096.1+(803.7-649.3)+(-2.138022+(-0.819774--0.662286))+0-742.9--0.757758000000118</f>
        <v>1506.0622480000002</v>
      </c>
      <c r="I353" s="3">
        <f>1965.5+(792.2-504.7)+(1.002405+(0.404022-0.257397))+0-727.1-0.370820999999926</f>
        <v>1526.6782090000002</v>
      </c>
      <c r="J353" s="3">
        <f>2114.6+(831.5-695.1)+(-1.078446+(-0.424065--0.354501))+0-683.4--0.348533999999931</f>
        <v>1566.800524</v>
      </c>
      <c r="K353" s="3">
        <f>2204.4+(796.2-741.1)+(2.248488+(0.812124-0.755922))+0-716.7-0.731034000000114</f>
        <v>1544.3736559999998</v>
      </c>
      <c r="L353" s="3">
        <f>2208.9+(493.9-596.4)+(-2.253078+(-0.503778--0.608328))+0-567.3--0.57864600000009</f>
        <v>1537.5301180000001</v>
      </c>
      <c r="M353" s="3">
        <f>2164.1+(352-182.5)+(-1.103691+(-0.17952--0.093075))+0-615.1--0.313700999999938</f>
        <v>1717.6235649999999</v>
      </c>
      <c r="N353" s="3">
        <f>2358.7+(607.4-368.5)+(-1.202937+(-0.309774--0.187935))+0-605.4--0.308753999999939</f>
        <v>1991.1839779999998</v>
      </c>
      <c r="O353" s="3">
        <f>2347.3+(796.7-446.7)+(-2.394246+(-0.812634--0.455634))+0-533.4--0.544068000000085</f>
        <v>2161.6928220000004</v>
      </c>
      <c r="P353" s="3">
        <f>2333.3+(1040.3-511.4)+(-3.569949+(-1.591659--0.782442))+0-643.8--0.985014000000037</f>
        <v>2215.0058479999998</v>
      </c>
      <c r="Q353" s="3">
        <f>2315.6+(960.1-521.6)+(-1.180956+(-0.489651--0.266016))+0-598.7--0.305336999999939</f>
        <v>2154.3007459999999</v>
      </c>
      <c r="R353" s="3">
        <f>2181.2+(887.3-467.1)+(-2.224824+(-0.905046--0.476442))+0-642.5--0.655350000000102</f>
        <v>1956.9019219999996</v>
      </c>
      <c r="S353" s="3">
        <f>2205.7+(754.5-469.3)+(-2.249814+(-0.76959--0.478686))+0-538.3--0.549066000000086</f>
        <v>1950.6083479999995</v>
      </c>
      <c r="T353" s="3">
        <f>2252.2+(830.6-482.9)+(-2.297244+(-0.847212--0.492558))+0-567.1--0.57844200000009</f>
        <v>2030.7265439999996</v>
      </c>
      <c r="U353" s="3">
        <f>2228+(833.1-487.3)+(-1.13628+(-0.424881--0.248523))+0-565.6--0.288455999999943</f>
        <v>2007.1758180000004</v>
      </c>
      <c r="V353" s="3">
        <f>2254.8+(763.3-454.2)+(0+(0-0))+0-574.3-0</f>
        <v>1989.6000000000001</v>
      </c>
      <c r="W353" s="3">
        <f>2330.9+(631.5-425.8)+(-5.943795+(-1.610325--1.08579))+0-572.1--1.45885499999992</f>
        <v>1959.4905249999997</v>
      </c>
      <c r="X353" s="3">
        <f>2341.7+(1077.5-617.7)+(-1.194267+(-0.549525--0.315027))+0-618.8--0.315587999999937</f>
        <v>2181.5868230000001</v>
      </c>
      <c r="Y353" s="3">
        <f>2295.8+(1090.2-682.2)+(-4.683432+(-2.224008--1.391688))+0-543.6--1.10894399999998</f>
        <v>2155.7931920000005</v>
      </c>
      <c r="Z353" s="3">
        <f>2236.9+(1021.8-620.8)+(3.422457+(1.563354-0.949824))+0-637.4-0.975222000000037</f>
        <v>2003.5607650000002</v>
      </c>
      <c r="AA353" s="3">
        <f>2233.8+(890.6-617.2)+(1.139238+(0.454206-0.314772))+0-565.8-0.288557999999943</f>
        <v>1942.3901140000003</v>
      </c>
      <c r="AB353" s="3">
        <f>2414.3+(701.2-609.3)+(-4.925172+(-1.430448--1.242972))+0-640.5--1.30661999999997</f>
        <v>1861.8939720000005</v>
      </c>
      <c r="AC353" s="3">
        <f>2318.1+(657-568.6)+(-4.728924+(-1.34028--1.159944))+0-688.3--1.40413199999997</f>
        <v>1714.694872</v>
      </c>
      <c r="AD353">
        <f t="shared" si="5"/>
        <v>44820.123915999997</v>
      </c>
      <c r="AE353" s="3">
        <f>2349+(1241-673.7)+(0+(0-0))+0-692.1-0</f>
        <v>2224.2000000000003</v>
      </c>
    </row>
    <row r="354" spans="1:31" s="2" customFormat="1" x14ac:dyDescent="0.25">
      <c r="A354">
        <v>89</v>
      </c>
      <c r="B354">
        <v>12</v>
      </c>
      <c r="C354">
        <v>18</v>
      </c>
      <c r="D354">
        <v>5</v>
      </c>
      <c r="E354">
        <v>1</v>
      </c>
      <c r="F354" s="3">
        <f>2250.3+(687.6-574.9)+(-3.442959+(-1.052028--0.879597))+0-699.5--1.07023500000004</f>
        <v>1660.9548450000002</v>
      </c>
      <c r="G354" s="3">
        <f>2012.5+(722.6-389.3)+(-5.131875+(-1.84263--0.992715))+0-717.5--1.8296249999999</f>
        <v>1624.1478350000002</v>
      </c>
      <c r="H354" s="3">
        <f>1939.1+(625.5-338.6)+(-0.988941+(-0.319005--0.172686))+0-698--0.355979999999929</f>
        <v>1527.2207199999998</v>
      </c>
      <c r="I354" s="3">
        <f>1938.3+(594.3-363.5)+(-3.954132+(-1.212372--0.74154))+0-634.7--1.29478799999997</f>
        <v>1531.269824</v>
      </c>
      <c r="J354" s="3">
        <f>1941.2+(663-357.8)+(-1.980024+(-0.67626--0.364956))+0-712.3--0.726546000000113</f>
        <v>1532.5352180000004</v>
      </c>
      <c r="K354" s="3">
        <f>2012+(669.7-474.3)+(-2.05224+(-0.683094--0.483786))+0-692.5--0.70635000000011</f>
        <v>1513.3548020000001</v>
      </c>
      <c r="L354" s="3">
        <f>2186.9+(427-478.4)+(0+(0-0))+0-539.4-0</f>
        <v>1596.1</v>
      </c>
      <c r="M354" s="3">
        <f>2472.9+(243.4-511.7)+(-1.261179+(-0.124134--0.260967))+0-426.6--0.217565999999957</f>
        <v>1777.0932200000004</v>
      </c>
      <c r="N354" s="3">
        <f>2513.2+(481.5-597.3)+(2.563464+(0.49113-0.609246))+0-352.9-0.359958000000056</f>
        <v>2046.5853899999997</v>
      </c>
      <c r="O354" s="3">
        <f>2566.5+(807.7-722.4)+(-1.308915+(-0.411927--0.368424))+0-376.1--0.191810999999962</f>
        <v>2274.5393930000005</v>
      </c>
      <c r="P354" s="3">
        <f>2474.9+(1034.8-1014.7)+(-3.786597+(-1.583244--1.552491))+0-300.7--0.460071000000017</f>
        <v>2190.9427210000003</v>
      </c>
      <c r="Q354" s="3">
        <f>2476+(1098.1-1012.7)+(-3.78828+(-1.680093--1.549431))+0-455.4--0.696762000000026</f>
        <v>2102.7778199999998</v>
      </c>
      <c r="R354" s="3">
        <f>2496.5+(1018.1-1102.9)+(-6.366075+(-2.596155--2.812395))+0-454.5--1.15897499999993</f>
        <v>1952.2091399999995</v>
      </c>
      <c r="S354" s="3">
        <f>2358+(1083.3-1060.5)+(-4.81032+(-2.209932--2.16342))+0-523.6--1.06814399999998</f>
        <v>1853.4113120000004</v>
      </c>
      <c r="T354" s="3">
        <f>2334.5+(982.1-899.9)+(-2.38119+(-1.001742--0.917898))+0-379.8--0.387396000000061</f>
        <v>2034.8223620000001</v>
      </c>
      <c r="U354" s="3">
        <f>2353.2+(948.8-796.7)+(-4.800528+(-1.935552--1.625268))+0-531.6--1.08446399999998</f>
        <v>1969.6736519999999</v>
      </c>
      <c r="V354" s="3">
        <f>2305.2+(783.8-496.3)+(1.175652+(0.399738-0.253113))+0-516.1-0.263210999999948</f>
        <v>2077.6590660000002</v>
      </c>
      <c r="W354" s="3">
        <f>2253.7+(740.2-614.4)+(-4.597548+(-1.510008--1.253376))+0-530.4--1.08201599999998</f>
        <v>1845.3278360000002</v>
      </c>
      <c r="X354" s="3">
        <f>2504.4+(921.4-610.8)+(-2.554488+(-0.939828--0.623016))+0-581.4--0.593028000000093</f>
        <v>2231.3217280000003</v>
      </c>
      <c r="Y354" s="3">
        <f>2518.9+(1011.5-761.3)+(-6.423195+(-2.579325--1.941315))+0-577.5--1.47262499999992</f>
        <v>2186.0114200000003</v>
      </c>
      <c r="Z354" s="3">
        <f>2477.7+(982.3-1018.4)+(0+(0-0))+0-465.2-0</f>
        <v>1976.3999999999999</v>
      </c>
      <c r="AA354" s="3">
        <f>2505.2+(1051.9-836.5)+(-2.555304+(-1.072938--0.85323))+0-645.2--0.658104000000103</f>
        <v>2073.2830919999997</v>
      </c>
      <c r="AB354" s="3">
        <f>2360.1+(983.9-765.3)+(-6.018255+(-2.508945--1.951515))+0-624.7--1.59298499999991</f>
        <v>1949.0173</v>
      </c>
      <c r="AC354" s="3">
        <f>2354.7+(875.9-761.9)+(-2.401794+(-0.893418--0.777138))+0-663.8--0.677076000000106</f>
        <v>1803.059002</v>
      </c>
      <c r="AD354">
        <f t="shared" si="5"/>
        <v>45329.717698000008</v>
      </c>
      <c r="AE354" s="3">
        <f>2605+(910.4-691.3)+(0+(0-0))+0-576.4-0</f>
        <v>2247.6999999999998</v>
      </c>
    </row>
    <row r="355" spans="1:31" s="2" customFormat="1" x14ac:dyDescent="0.25">
      <c r="A355">
        <v>89</v>
      </c>
      <c r="B355">
        <v>12</v>
      </c>
      <c r="C355">
        <v>19</v>
      </c>
      <c r="D355">
        <v>6</v>
      </c>
      <c r="E355">
        <v>1</v>
      </c>
      <c r="F355" s="3">
        <f>2351+(624.8-570)+(0+(0-0))+0-696.6-0</f>
        <v>1709.2000000000003</v>
      </c>
      <c r="G355" s="3">
        <f>2235.4+(740.8-644.3)+(0+(0-0))+0-686.3-0</f>
        <v>1645.6000000000001</v>
      </c>
      <c r="H355" s="3">
        <f>1967.5+(859.2-494.2)+(0+(0-0))+0-728.1-0</f>
        <v>1604.4</v>
      </c>
      <c r="I355" s="3">
        <f>2017.3+(860-575)+(0+(0-0))+0-711.6-0</f>
        <v>1590.7000000000003</v>
      </c>
      <c r="J355" s="3">
        <f>2016.8+(867.1-550.5)+(0+(0-0))+0-705.7-0</f>
        <v>1627.7</v>
      </c>
      <c r="K355" s="3">
        <f>2016.3+(813.6-524.6)+(0+(0-0))+0-671.1-0</f>
        <v>1634.2000000000003</v>
      </c>
      <c r="L355" s="3">
        <f>2046.8+(714.6-686.5)+(0+(0-0))+0-599.6-0</f>
        <v>1475.3000000000002</v>
      </c>
      <c r="M355" s="3">
        <f>2051.3+(893.3-675.9)+(0+(0-0))+0-595.8-0</f>
        <v>1672.9000000000003</v>
      </c>
      <c r="N355" s="3">
        <f>2304.7+(1111.5-845.1)+(0+(0-0))+0-620.3-0</f>
        <v>1950.8</v>
      </c>
      <c r="O355" s="3">
        <f>2424.5+(1074.9-932.8)+(0+(0-0))+0-570.2-0</f>
        <v>1996.4000000000003</v>
      </c>
      <c r="P355" s="3">
        <f>2343.5+(1153-850.9)+(0+(0-0))+0-599.8-0</f>
        <v>2045.8</v>
      </c>
      <c r="Q355" s="3">
        <f>2187.3+(1195.1-683.4)+(0+(0-0))+0-623.9-0</f>
        <v>2075.1</v>
      </c>
      <c r="R355" s="3">
        <f>2167.3+(989.8-617.7)+(-5.526615+(-2.52399--1.575135))+0-631--1.60904999999991</f>
        <v>1903.53358</v>
      </c>
      <c r="S355" s="3">
        <f>2117.3+(971.9-569.9)+(3.239469+(1.487007-0.871947))+0-585.3-0.895509000000034</f>
        <v>1936.9590200000005</v>
      </c>
      <c r="T355" s="3">
        <f>2128.2+(764.1-445.8)+(-3.256146+(-1.169073--0.682074))+0-530.7--0.811971000000031</f>
        <v>1912.8688260000001</v>
      </c>
      <c r="U355" s="3">
        <f>2144.2+(668.1-434.9)+(-3.280626+(-1.022193--0.665397))+0-582--0.890460000000034</f>
        <v>1792.6530379999999</v>
      </c>
      <c r="V355" s="3">
        <f>2154.1+(670.3-470.2)+(-3.295773+(-1.025559--0.719406))+0-553--0.846090000000032</f>
        <v>1798.444164</v>
      </c>
      <c r="W355" s="3">
        <f>2144.8+(706.6-403.3)+(0+(0-0))+0-621.5-0</f>
        <v>1826.6000000000004</v>
      </c>
      <c r="X355" s="3">
        <f>2306+(981.2-722.3)+(-2.35212+(-1.000824--0.736746))+0-587.6--0.599352000000094</f>
        <v>1975.2831540000002</v>
      </c>
      <c r="Y355" s="3">
        <f>2437.9+(1107.9-834.6)+(-8.703303+(-3.955203--2.979522))+0-572.4--2.04346800000001</f>
        <v>2131.1644839999999</v>
      </c>
      <c r="Z355" s="3">
        <f>2414.7+(738.4-819.7)+(-4.925988+(-1.506336--1.672188))+0-476.5--0.972059999999979</f>
        <v>1853.1119239999998</v>
      </c>
      <c r="AA355" s="3">
        <f>2391.2+(639.2-683.6)+(-4.878048+(-1.303968--1.394544))+0-614.1--1.25276399999997</f>
        <v>1729.1652919999999</v>
      </c>
      <c r="AB355" s="3">
        <f>2367.8+(451.1-519.7)+(-6.03789+(-1.150305--1.325235))+0-494.1--1.25995499999993</f>
        <v>1800.4969950000004</v>
      </c>
      <c r="AC355" s="3">
        <f>2344.7+(392.3-424.1)+(-4.783188+(-0.800292--0.865164))+0-687.1--1.40168399999997</f>
        <v>1622.4833679999997</v>
      </c>
      <c r="AD355">
        <f t="shared" si="5"/>
        <v>43310.863845</v>
      </c>
      <c r="AE355" s="3">
        <f>2372+(1252.6-841.2)+(0+(0-0))+0-649.6-0</f>
        <v>2133.7999999999997</v>
      </c>
    </row>
    <row r="356" spans="1:31" s="2" customFormat="1" x14ac:dyDescent="0.25">
      <c r="A356">
        <v>89</v>
      </c>
      <c r="B356">
        <v>12</v>
      </c>
      <c r="C356">
        <v>20</v>
      </c>
      <c r="D356">
        <v>7</v>
      </c>
      <c r="E356">
        <v>1</v>
      </c>
      <c r="F356" s="3">
        <f>2294.2+(326.9-489)+(0+(0-0))+0-506.6-0</f>
        <v>1625.5</v>
      </c>
      <c r="G356" s="3">
        <f>2169.4+(505.3-488.6)+(0+(0-0))+0-594-0</f>
        <v>1592.1</v>
      </c>
      <c r="H356" s="3">
        <f>2070.1+(555.5-533.5)+(0+(0-0))+0-618.1-0</f>
        <v>1474</v>
      </c>
      <c r="I356" s="3">
        <f>2008.7+(613-553.7)+(0+(0-0))+0-604.9-0</f>
        <v>1463.1</v>
      </c>
      <c r="J356" s="3">
        <f>1992.4+(567.4-552.1)+(0+(0-0))+0-600.7-0</f>
        <v>1407</v>
      </c>
      <c r="K356" s="3">
        <f>1993.6+(555.7-570.7)+(0+(0-0))+0-543-0</f>
        <v>1435.6</v>
      </c>
      <c r="L356" s="3">
        <f>1992.1+(422.6-511.4)+(0+(0-0))+0-560-0</f>
        <v>1343.3</v>
      </c>
      <c r="M356" s="3">
        <f>2003.1+(364-524.4)+(0+(0-0))+0-506.1-0</f>
        <v>1336.6</v>
      </c>
      <c r="N356" s="3">
        <f>2214.9+(402.4-555.9)+(0+(0-0))+0-612.7-0</f>
        <v>1448.7</v>
      </c>
      <c r="O356" s="3">
        <f>2248.9+(504.7-649.7)+(0+(0-0))+0-528.4-0</f>
        <v>1575.5</v>
      </c>
      <c r="P356" s="3">
        <f>2256.6+(525.6-741.2)+(0+(0-0))+0-546.5-0</f>
        <v>1494.5</v>
      </c>
      <c r="Q356" s="3">
        <f>2402.5+(489.6-818.8)+(0+(0-0))+0-555.1-0</f>
        <v>1518.2000000000003</v>
      </c>
      <c r="R356" s="3">
        <f>2252.2+(420.2-646.8)+(-5.74311+(-1.07151--1.64934))+0-542.3--1.38286499999992</f>
        <v>1479.5175849999998</v>
      </c>
      <c r="S356" s="3">
        <f>2099.9+(425.6-510.4)+(-4.283796+(-0.868224--1.041216))+0-606.7--1.23766799999997</f>
        <v>1405.5268640000002</v>
      </c>
      <c r="T356" s="3">
        <f>2083.8+(172.1-327.8)+(-2.125476+(-0.175542--0.334356))+0-492.7--0.502554000000079</f>
        <v>1433.9358920000002</v>
      </c>
      <c r="U356" s="3">
        <f>2018.1+(128.7-327.1)+(-4.116924+(-0.262548--0.667284))+0-420.2--0.857207999999982</f>
        <v>1396.6450199999997</v>
      </c>
      <c r="V356" s="3">
        <f>2101.9+(198.8-268.4)+(2.143938+(0.202776-0.273768))+0-554.5-0.565590000000088</f>
        <v>1479.307356</v>
      </c>
      <c r="W356" s="3">
        <f>2160.1+(259.3-321.5)+(-2.203302+(-0.264486--0.32793))+0-474.5--0.483990000000076</f>
        <v>1621.7441320000003</v>
      </c>
      <c r="X356" s="3">
        <f>2215+(751.9-637.9)+(0+(0-0))+0-552.2-0</f>
        <v>1776.8</v>
      </c>
      <c r="Y356" s="3">
        <f>2222.6+(883-780.9)+(-6.801156+(-2.70198--2.389554))+0-395.6--1.21053600000005</f>
        <v>1923.196954</v>
      </c>
      <c r="Z356" s="3">
        <f>2155.3+(922.2-890.5)+(-2.198406+(-0.940644--0.90831))+0-420.7--0.429114000000067</f>
        <v>1764.498374</v>
      </c>
      <c r="AA356" s="3">
        <f>2145+(931.5-792.7)+(-1.09395+(-0.475065--0.404277))+0-593.6--0.30273599999994</f>
        <v>1689.3379980000002</v>
      </c>
      <c r="AB356" s="3">
        <f>2095.2+(885.6-629.1)+(-2.137104+(-0.903312--0.641682))+0-636.1--0.648822000000101</f>
        <v>1713.8500880000001</v>
      </c>
      <c r="AC356" s="3">
        <f>2072.6+(698.9-598.7)+(-4.228104+(-1.425756--1.221348))+0-621.4--1.26765599999997</f>
        <v>1548.2351439999998</v>
      </c>
      <c r="AD356">
        <f t="shared" si="5"/>
        <v>36946.695406999999</v>
      </c>
      <c r="AE356" s="3">
        <f>2206+(1073-721.8)+(0+(0-0))+0-655.3-0</f>
        <v>1901.8999999999999</v>
      </c>
    </row>
    <row r="357" spans="1:31" s="2" customFormat="1" x14ac:dyDescent="0.25">
      <c r="A357">
        <v>89</v>
      </c>
      <c r="B357">
        <v>12</v>
      </c>
      <c r="C357">
        <v>21</v>
      </c>
      <c r="D357">
        <v>1</v>
      </c>
      <c r="E357">
        <v>1</v>
      </c>
      <c r="F357" s="3">
        <f>2072+(428.4-428.6)+(-5.2836+(-1.09242--1.09293))+0-627.9--1.60114499999991</f>
        <v>1440.218055</v>
      </c>
      <c r="G357" s="3">
        <f>1896.8+(502.7-373.6)+(-1.934736+(-0.512754--0.381072))+0-659--0.672180000000105</f>
        <v>1365.5057619999998</v>
      </c>
      <c r="H357" s="3">
        <f>1816.4+(562-333)+(-2.779092+(-0.85986--0.50949))+0-637.8--0.975834000000037</f>
        <v>1405.4463720000001</v>
      </c>
      <c r="I357" s="3">
        <f>1796.1+(554.3-305.3)+(2.748033+(0.848079-0.467109))+0-655.8-1.00337400000004</f>
        <v>1391.4256289999998</v>
      </c>
      <c r="J357" s="3">
        <f>1948.3+(552.1-475.8)+(-0.993633+(-0.281571--0.242658))+0-580.8--0.296207999999941</f>
        <v>1443.063662</v>
      </c>
      <c r="K357" s="3">
        <f>1988+(614.3-484.3)+(0+(0-0))+0-668.5-0</f>
        <v>1449.5</v>
      </c>
      <c r="L357" s="3">
        <f>2002.7+(490-481.5)+(-1.021377+(-0.2499--0.245565))+0-565.9--0.288608999999943</f>
        <v>1444.562897</v>
      </c>
      <c r="M357" s="3">
        <f>2139.7+(539.9-530.8)+(0+(0-0))+0-556.6-0</f>
        <v>1592.1999999999998</v>
      </c>
      <c r="N357" s="3">
        <f>2252.7+(727.7-565.6)+(0+(0-0))+0-577-0</f>
        <v>1837.7999999999997</v>
      </c>
      <c r="O357" s="3">
        <f>2315.3+(905.6-618.9)+(0+(0-0))+0-526.4-0</f>
        <v>2075.6</v>
      </c>
      <c r="P357" s="3">
        <f>2416.7+(1093.7-746.6)+(2.465034+(1.115574-0.761532))+0-632.1-0.644742000000101</f>
        <v>2133.8743340000001</v>
      </c>
      <c r="Q357" s="3">
        <f>2354.3+(1185.9-828.7)+(-2.401386+(-1.209618--0.845274))+0-584.4--0.596088000000093</f>
        <v>2124.9303580000001</v>
      </c>
      <c r="R357" s="3">
        <f>2270.1+(1010.1-789.1)+(-5.788755+(-2.575755--2.012205))+0-589.7--1.50373499999991</f>
        <v>1896.55143</v>
      </c>
      <c r="S357" s="3">
        <f>2275+(995-789.8)+(-4.641+(-2.0298--1.611192))+0-596.8--1.21747199999997</f>
        <v>1879.5578639999999</v>
      </c>
      <c r="T357" s="3">
        <f>2229.1+(1015.1-732.6)+(0+(0-0))+0-466.5-0</f>
        <v>2045.1</v>
      </c>
      <c r="U357" s="3">
        <f>2147+(1044.3-684.7)+(-1.09497+(-0.532593--0.349197))+0-459.7--0.234446999999953</f>
        <v>2045.8560809999999</v>
      </c>
      <c r="V357" s="3">
        <f>2288+(1056-862.5)+(1.16688+(0.53856-0.439875))+0-493.9-0.25188899999995</f>
        <v>1988.6136760000002</v>
      </c>
      <c r="W357" s="3">
        <f>2471.3+(1072.6-1000.4)+(-1.260363+(-0.547026--0.510204))+0-549.2--0.280091999999944</f>
        <v>1993.282907</v>
      </c>
      <c r="X357" s="3">
        <f>2691.8+(1115.5-1253.3)+(-2.745636+(-1.13781--1.278366))+0-488.5--0.498270000000078</f>
        <v>2063.3931900000002</v>
      </c>
      <c r="Y357" s="3">
        <f>2799.4+(1158-1284.4)+(-1.427694+(-0.59058--0.655044))+0-608.6--0.310385999999938</f>
        <v>2063.3471560000003</v>
      </c>
      <c r="Z357" s="3">
        <f>2800.3+(1160.1-1325.5)+(-2.856306+(-1.183302--1.35201))+0-583.7--0.595374000000093</f>
        <v>2049.1077760000003</v>
      </c>
      <c r="AA357" s="3">
        <f>2552.9+(1126.6-1045.7)+(-3.905937+(-1.723698--1.599921))+0-638.6--0.977058000000037</f>
        <v>1992.1473440000004</v>
      </c>
      <c r="AB357" s="3">
        <f>2427.1+(1000.9-916.5)+(-8.664747+(-3.573213--3.271905))+0-652.1--2.32799700000001</f>
        <v>1852.7619420000003</v>
      </c>
      <c r="AC357" s="3">
        <f>2393.8+(856-959.8)+(-4.883352+(-1.74624--1.957992))+0-525.1--1.07120399999998</f>
        <v>1761.299604</v>
      </c>
      <c r="AD357">
        <f t="shared" si="5"/>
        <v>43335.146038999992</v>
      </c>
      <c r="AE357" s="3">
        <f>2782+(1227.9-1259.8)+(0+(0-0))+0-649.7-0</f>
        <v>2100.4000000000005</v>
      </c>
    </row>
    <row r="358" spans="1:31" s="2" customFormat="1" x14ac:dyDescent="0.25">
      <c r="A358">
        <v>89</v>
      </c>
      <c r="B358">
        <v>12</v>
      </c>
      <c r="C358">
        <v>22</v>
      </c>
      <c r="D358">
        <v>2</v>
      </c>
      <c r="E358">
        <v>1</v>
      </c>
      <c r="F358" s="3">
        <f>2279.5+(806.2-767.7)+(-5.812725+(-2.05581--1.957635))+0-645.9--1.64704499999991</f>
        <v>1667.836145</v>
      </c>
      <c r="G358" s="3">
        <f>2209.1+(562-630.8)+(-6.759846+(-1.71972--1.930248))+0-637.8--1.95166800000007</f>
        <v>1497.9023500000005</v>
      </c>
      <c r="H358" s="3">
        <f>2000.7+(663.8-455)+(-4.081428+(-1.354152--0.9282))+0-647.4--1.32069599999997</f>
        <v>1558.9133159999999</v>
      </c>
      <c r="I358" s="3">
        <f>1991.6+(699.4-434.8)+(3.047148+(1.070082-0.665244))+0-722.9-1.10603700000004</f>
        <v>1535.6459489999997</v>
      </c>
      <c r="J358" s="3">
        <f>1991.9+(631.7-411.3)+(-3.047607+(-0.966501--0.629289))+0-591.8--0.905454000000034</f>
        <v>1618.0206350000003</v>
      </c>
      <c r="K358" s="3">
        <f>1987.7+(684.3-376.6)+(4.054908+(1.395972-0.768264))+0-697.6-1.42310399999997</f>
        <v>1601.0595120000003</v>
      </c>
      <c r="L358" s="3">
        <f>2066.8+(510.6-430.2)+(-6.324408+(-1.562436--1.316412))+0-553.2--1.69279200000006</f>
        <v>1589.1223600000003</v>
      </c>
      <c r="M358" s="3">
        <f>2146.1+(540-400)+(2.189022+(0.5508-0.408))+0-564.6-0.57589200000009</f>
        <v>1723.25593</v>
      </c>
      <c r="N358" s="3">
        <f>2250.1+(715.6-448.2)+(2.295102+(0.729912-0.457164))+0-541.3-0.552126000000086</f>
        <v>1978.2157239999999</v>
      </c>
      <c r="O358" s="3">
        <f>2183.8+(1115.1-536.9)+(1.113738+(0.568701-0.273819))+0-618.1-0.315230999999937</f>
        <v>2144.9933890000002</v>
      </c>
      <c r="P358" s="3">
        <f>2111.7+(1160-892.2)+(1.076967+(0.5916-0.455022))+0-436.1-0.222410999999956</f>
        <v>1944.3911340000002</v>
      </c>
      <c r="Q358" s="3">
        <f>2101.7+(1334.6-812.9)+(-3.215601+(-2.041938--1.243737))+0-595.9--0.911727000000034</f>
        <v>2024.3979249999995</v>
      </c>
      <c r="R358" s="3">
        <f>2092.2+(1007.6-712.8)+(0+(0-0))+0-503.4-0</f>
        <v>1883.6</v>
      </c>
      <c r="S358" s="3">
        <f>2097.5+(931.2-616.8)+(1.069725+(0.474912-0.314568))+0-534.4-0.272543999999946</f>
        <v>1878.4575250000003</v>
      </c>
      <c r="T358" s="3">
        <f>2096.2+(939.2-649.8)+(-2.138124+(-0.957984--0.662796))+0-449.8--0.458796000000072</f>
        <v>1933.825484</v>
      </c>
      <c r="U358" s="3">
        <f>2113.3+(927.1-521.4)+(0+(0-0))+0-573.6-0</f>
        <v>1945.4</v>
      </c>
      <c r="V358" s="3">
        <f>2411.6+(879.6-773.9)+(-6.14958+(-2.24298--1.973445))+0-554.2--1.41320999999992</f>
        <v>1958.0940949999999</v>
      </c>
      <c r="W358" s="3">
        <f>2492.1+(779.9-763.7)+(0+(0-0))+0-565.1-0</f>
        <v>1943.1999999999998</v>
      </c>
      <c r="X358" s="3">
        <f>2572.8+(1110.6-883.7)+(-1.312128+(-0.566406--0.450687))+0-625.4--0.318953999999937</f>
        <v>2173.1911069999996</v>
      </c>
      <c r="Y358" s="3">
        <f>2574+(951.7-868.7)+(-3.93822+(-1.456101--1.329111))+0-601.4--0.920142000000035</f>
        <v>2052.4549319999996</v>
      </c>
      <c r="Z358" s="3">
        <f>2562.4+(800-878.4)+(-2.613648+(-0.816--0.895968))+0-539--0.549780000000086</f>
        <v>1943.0161000000001</v>
      </c>
      <c r="AA358" s="3">
        <f>2559.7+(722.3-744.5)+(-3.916341+(-1.105119--1.139085))+0-592.9--0.907137000000034</f>
        <v>1941.6247619999997</v>
      </c>
      <c r="AB358" s="3">
        <f>2544+(517.9-636.8)+(-2.59488+(-0.528258--0.649536))+0-654.6--0.667692000000104</f>
        <v>1768.6940900000002</v>
      </c>
      <c r="AC358" s="3">
        <f>2415.6+(581.2-721.5)+(-3.695868+(-0.889236--1.103895))+0-618.5--0.946305000000036</f>
        <v>1654.2650960000001</v>
      </c>
      <c r="AD358">
        <f t="shared" si="5"/>
        <v>43959.577560000005</v>
      </c>
      <c r="AE358" s="3">
        <f>2544+(1226.8-905.6)+(0+(0-0))+0-620.9-0</f>
        <v>2244.2999999999997</v>
      </c>
    </row>
    <row r="359" spans="1:31" s="2" customFormat="1" x14ac:dyDescent="0.25">
      <c r="A359">
        <v>89</v>
      </c>
      <c r="B359">
        <v>12</v>
      </c>
      <c r="C359">
        <v>23</v>
      </c>
      <c r="D359">
        <v>3</v>
      </c>
      <c r="E359">
        <v>1</v>
      </c>
      <c r="F359" s="3">
        <f>2264.7+(691-749.8)+(-11.54997+(-3.5241--3.82398))+0-555.5--2.83305000000004</f>
        <v>1641.9829599999996</v>
      </c>
      <c r="G359" s="3">
        <f>2165.5+(754.8-647.1)+(-6.62643+(-2.309688--1.980126))+0-700--2.14200000000008</f>
        <v>1568.3860079999997</v>
      </c>
      <c r="H359" s="3">
        <f>2165.7+(808.8-664.3)+(-3.313521+(-1.237464--1.016379))+0-701.9--1.07390700000004</f>
        <v>1605.8393009999995</v>
      </c>
      <c r="I359" s="3">
        <f>2167.9+(825.4-700.9)+(-3.316887+(-1.262862--1.072377))+0-682.6--1.04437800000004</f>
        <v>1607.3370060000002</v>
      </c>
      <c r="J359" s="3">
        <f>2168.5+(824.6-711.3)+(2.21187+(0.841092-0.725526))+0-674.3-0.687786000000107</f>
        <v>1609.1396500000001</v>
      </c>
      <c r="K359" s="3">
        <f>2171.3+(820-718.5)+(-1.107363+(-0.4182--0.366435))+0-632.3--0.322472999999936</f>
        <v>1639.6633450000004</v>
      </c>
      <c r="L359" s="3">
        <f>2284.7+(541.1-708.1)+(-1.165197+(-0.275961--0.361131))+0-501.7--0.255866999999949</f>
        <v>1615.1758399999997</v>
      </c>
      <c r="M359" s="3">
        <f>2420.1+(541.6-728.8)+(4.937004+(1.104864-1.486752))+0-513.2-1.04692799999998</f>
        <v>1723.2081880000001</v>
      </c>
      <c r="N359" s="3">
        <f>2553.5+(578.9-805.6)+(0+(0-0))+0-414.2-0</f>
        <v>1912.6000000000001</v>
      </c>
      <c r="O359" s="3">
        <f>2533.1+(810.8-827)+(-5.167524+(-1.654032--1.68708))+0-551.8--1.12567199999998</f>
        <v>1961.0911959999994</v>
      </c>
      <c r="P359" s="3">
        <f>2545.9+(801.1-803.9)+(-5.193636+(-1.634244--1.639956))+0-505.2--1.03060799999998</f>
        <v>2033.7426840000005</v>
      </c>
      <c r="Q359" s="3">
        <f>2539.9+(847-822.5)+(-3.886047+(-1.29591--1.258425))+0-490.6--0.750618000000028</f>
        <v>2070.6270860000004</v>
      </c>
      <c r="R359" s="3">
        <f>2472.2+(714.2-859.3)+(-5.043288+(-1.456968--1.752972))+0-447.4--0.91269599999998</f>
        <v>1875.8654119999997</v>
      </c>
      <c r="S359" s="3">
        <f>2470.2+(768.1-832.7)+(2.519604+(0.783462-0.849354))+0-556.7-0.567834000000089</f>
        <v>1850.7858779999997</v>
      </c>
      <c r="T359" s="3">
        <f>2476.1+(739.7-826.1)+(-2.525622+(-0.754494--0.842622))+0-435.4--0.444108000000069</f>
        <v>1952.3066140000001</v>
      </c>
      <c r="U359" s="3">
        <f>2481.9+(887-913.2)+(0+(0-0))+0-513.3-0</f>
        <v>1942.3999999999999</v>
      </c>
      <c r="V359" s="3">
        <f>2510.3+(857.9-927.1)+(-5.121012+(-1.750116--1.891284))+0-514.6--1.04978399999998</f>
        <v>1922.5699400000005</v>
      </c>
      <c r="W359" s="3">
        <f>2534.5+(887-1016.5)+(-1.292595+(-0.45237--0.518415))+0-509.8--0.259997999999948</f>
        <v>1894.2334480000002</v>
      </c>
      <c r="X359" s="3">
        <f>2601.1+(1011.9-1115)+(-1.326561+(-0.516069--0.56865))+0-496.5--0.25321499999995</f>
        <v>2000.479235</v>
      </c>
      <c r="Y359" s="3">
        <f>2606.5+(923.1-933)+(-7.97589+(-2.824686--2.85498))+0-598.1--1.83018600000007</f>
        <v>1992.3845900000001</v>
      </c>
      <c r="Z359" s="3">
        <f>2598.8+(789.7-757.8)+(-3.976164+(-1.208241--1.159434))+0-617.3--0.944469000000036</f>
        <v>2010.3194980000005</v>
      </c>
      <c r="AA359" s="3">
        <f>2600.8+(912.1-884.1)+(-3.979224+(-1.395513--1.352673))+0-572.1--0.875313000000033</f>
        <v>2053.5532490000005</v>
      </c>
      <c r="AB359" s="3">
        <f>2556.4+(978.4-967.8)+(-5.215056+(-1.995936--1.974312))+0-606.9--1.23807599999997</f>
        <v>1956.1013959999998</v>
      </c>
      <c r="AC359" s="3">
        <f>2500.1+(1008.8-937.5)+(-6.375255+(-2.57244--2.390625))+0-754.6--1.92422999999989</f>
        <v>1812.1671599999997</v>
      </c>
      <c r="AD359">
        <f t="shared" si="5"/>
        <v>44251.959684000001</v>
      </c>
      <c r="AE359" s="3">
        <f>2589+(1056.5-1123)+(0+(0-0))+0-663.8-0</f>
        <v>1858.7</v>
      </c>
    </row>
    <row r="360" spans="1:31" s="2" customFormat="1" x14ac:dyDescent="0.25">
      <c r="A360">
        <v>89</v>
      </c>
      <c r="B360">
        <v>12</v>
      </c>
      <c r="C360">
        <v>24</v>
      </c>
      <c r="D360">
        <v>4</v>
      </c>
      <c r="E360">
        <v>1</v>
      </c>
      <c r="F360" s="3">
        <f>2321.1+(860-848.3)+(-7.102566+(-2.6316--2.595798))+0-677.1--2.07192600000008</f>
        <v>1650.6335580000004</v>
      </c>
      <c r="G360" s="3">
        <f>2152.8+(898.6-693)+(-5.48964+(-2.29143--1.76715))+0-781.1--1.99180499999989</f>
        <v>1573.2778850000002</v>
      </c>
      <c r="H360" s="3">
        <f>2121.2+(781.5-669.8)+(0+(0-0))+0-655.6-0</f>
        <v>1577.2999999999997</v>
      </c>
      <c r="I360" s="3">
        <f>2078+(739.5-683.4)+(-6.35868+(-2.26287--2.091204))+0-650.4--1.99022400000008</f>
        <v>1479.1598779999999</v>
      </c>
      <c r="J360" s="3">
        <f>2039.7+(680.4-674.1)+(3.120741+(1.041012-1.031373))+0-649.1-0.993123000000038</f>
        <v>1399.0372570000002</v>
      </c>
      <c r="K360" s="3">
        <f>2163.3+(683.3-682.9)+(-5.516415+(-1.742415--1.741395))+0-605--1.54274999999991</f>
        <v>1554.7253149999999</v>
      </c>
      <c r="L360" s="3">
        <f>2166.5+(616.9-711)+(-3.314745+(-0.943857--1.08783))+0-570.3--0.872559000000033</f>
        <v>1499.8017870000003</v>
      </c>
      <c r="M360" s="3">
        <f>2333.9+(602.7-739.2)+(-2.380578+(-0.614754--0.753984))+0-464.9--0.474198000000074</f>
        <v>1730.7328500000001</v>
      </c>
      <c r="N360" s="3">
        <f>2351.5+(768-736.7)+(0+(0-0))+0-472.9-0</f>
        <v>1909.9</v>
      </c>
      <c r="O360" s="3">
        <f>2489.6+(925-999.9)+(-2.539392+(-0.9435--1.019898))+0-411.9--0.420138000000066</f>
        <v>2000.7571439999999</v>
      </c>
      <c r="P360" s="3">
        <f>2556.3+(1018.9-1070.4)+(-1.303713+(-0.519639--0.545904))+0-437.9--0.223328999999956</f>
        <v>2065.8458810000002</v>
      </c>
      <c r="Q360" s="3">
        <f>2563.7+(1103.1-1084.6)+(-3.922461+(-1.687743--1.659438))+0-501.6--0.767448000000029</f>
        <v>2077.416682</v>
      </c>
      <c r="R360" s="3">
        <f>2424.3+(1059.3-1104.2)+(-2.472786+(-1.080486--1.126284))+0-440.2--0.44900400000007</f>
        <v>1937.2220159999999</v>
      </c>
      <c r="S360" s="3">
        <f>2276.1+(1203.8-1034.2)+(-1.160811+(-0.613938--0.527442))+0-539.4--0.275093999999945</f>
        <v>1905.3277869999995</v>
      </c>
      <c r="T360" s="3">
        <f>2285.8+(1164.8-948.8)+(-1.165758+(-0.594048--0.483888))+0-531.3--0.270962999999946</f>
        <v>1969.4950450000003</v>
      </c>
      <c r="U360" s="3">
        <f>2285.8+(1010.7-877.9)+(-3.497274+(-1.546371--1.343187))+0-463--0.708390000000027</f>
        <v>1952.6079320000006</v>
      </c>
      <c r="V360" s="3">
        <f>2295+(1087.5-857.8)+(-9.3636+(-4.437--3.499824))+0-639.9--2.61079199999994</f>
        <v>1877.1100159999996</v>
      </c>
      <c r="W360" s="3">
        <f>2108+(898.7-895.8)+(1.07508+(0.458337-0.456858))+0-460.7-0.234956999999953</f>
        <v>1651.0416020000002</v>
      </c>
      <c r="X360" s="3">
        <f>2402.6+(1378.2-1026)+(1.225326+(0.702882-0.52326))+0-594.4-0.30314399999994</f>
        <v>2161.501804</v>
      </c>
      <c r="Y360" s="3">
        <f>2477.7+(1380.5-1268.1)+(-5.054508+(-2.81622--2.586924))+0-555.6--1.13342399999998</f>
        <v>2030.3496199999997</v>
      </c>
      <c r="Z360" s="3">
        <f>2468.8+(1281.1-1185.8)+(-2.518176+(-1.306722--1.209516))+0-599.9--0.611898000000096</f>
        <v>1962.1965160000004</v>
      </c>
      <c r="AA360" s="3">
        <f>2466.7+(1162.5-1117.5)+(-2.516034+(-1.18575--1.13985))+0-559.6--0.570792000000089</f>
        <v>1950.1088580000001</v>
      </c>
      <c r="AB360" s="3">
        <f>2443.5+(907-1040.1)+(-1.246185+(-0.46257--0.530451))+0-498.6--0.254285999999949</f>
        <v>1810.875982</v>
      </c>
      <c r="AC360" s="3">
        <f>2432.7+(789.9-760.6)+(-1.240677+(-0.402849--0.387906))+0-668.2--0.340781999999932</f>
        <v>1792.885162</v>
      </c>
      <c r="AD360">
        <f t="shared" si="5"/>
        <v>43519.310576999997</v>
      </c>
      <c r="AE360" s="3">
        <f>2462+(1437.5-1257)+(0+(0-0))+0-588.6-0</f>
        <v>2053.9</v>
      </c>
    </row>
    <row r="361" spans="1:31" s="2" customFormat="1" x14ac:dyDescent="0.25">
      <c r="A361">
        <v>89</v>
      </c>
      <c r="B361">
        <v>12</v>
      </c>
      <c r="C361">
        <v>25</v>
      </c>
      <c r="D361">
        <v>5</v>
      </c>
      <c r="E361">
        <v>1</v>
      </c>
      <c r="F361" s="3">
        <f>2516.9+(652.3-813.7)+(-1.283619+(-0.332673--0.414987))+0-661.9--0.337568999999933</f>
        <v>1692.7362639999999</v>
      </c>
      <c r="G361" s="3">
        <f>2478.3+(679.9-843.9)+(-2.527866+(-0.693498--0.860778))+0-680.2--0.693804000000109</f>
        <v>1632.4332180000004</v>
      </c>
      <c r="H361" s="3">
        <f>2318.1+(632.2-660.2)+(-4.728924+(-1.289688--1.346808))+0-719.4--1.46757599999997</f>
        <v>1567.4957719999998</v>
      </c>
      <c r="I361" s="3">
        <f>2065.2+(714-523.3)+(2.106504+(0.72828-0.533766))+0-699.7-0.713694000000112</f>
        <v>1557.7873239999997</v>
      </c>
      <c r="J361" s="3">
        <f>2055.9+(654.7-532.5)+(0+(0-0))+0-628.4-0</f>
        <v>1549.7000000000003</v>
      </c>
      <c r="K361" s="3">
        <f>2053.5+(778.6-497.5)+(2.09457+(0.794172-0.50745))+0-752.4-0.76744800000012</f>
        <v>1583.8138439999998</v>
      </c>
      <c r="L361" s="3">
        <f>2017.2+(642.8-513.8)+(-5.14386+(-1.63914--1.31019))+0-584.3--1.48996499999992</f>
        <v>1557.9171549999996</v>
      </c>
      <c r="M361" s="3">
        <f>2165.7+(774.1-574.2)+(2.209014+(0.789582-0.585684))+0-573.8-0.585276000000092</f>
        <v>1793.6276359999997</v>
      </c>
      <c r="N361" s="3">
        <f>2404+(1056-1056.9)+(1.22604+(0.53856-0.539019))+0-619.2-0.315791999999937</f>
        <v>1784.8097890000001</v>
      </c>
      <c r="O361" s="3">
        <f>2390.2+(1284.7-1087)+(-2.438004+(-1.310394--1.10874))+0-612--0.624240000000098</f>
        <v>1973.8845819999997</v>
      </c>
      <c r="P361" s="3">
        <f>2287.6+(1407.8-1161.4)+(2.333352+(1.435956-1.184628))+0-497.1-0.507042000000079</f>
        <v>2038.9776379999998</v>
      </c>
      <c r="Q361" s="3">
        <f>2349.6+(1672.6-1485.9)+(3.594888+(2.559078-2.273427))+0-484-0.740520000000028</f>
        <v>2055.4400190000001</v>
      </c>
      <c r="R361" s="3">
        <f>2351.8+(1372.5-1347.8)+(-3.598254+(-2.099925--2.062134))+0-464.2--0.710226000000027</f>
        <v>1909.3741809999997</v>
      </c>
      <c r="S361" s="3">
        <f>2352.8+(1208.3-1197.3)+(-1.199928+(-0.616233--0.610623))+0-465.2--0.237251999999953</f>
        <v>1897.6317139999999</v>
      </c>
      <c r="T361" s="3">
        <f>2226.7+(1302-1081.5)+(-3.406851+(-1.99206--1.654695))+0-529.5--0.810135000000031</f>
        <v>1914.7659189999997</v>
      </c>
      <c r="U361" s="3">
        <f>2164.5+(1161.9-961.6)+(-4.41558+(-2.370276--1.961664))+0-464.9--0.94839599999998</f>
        <v>1896.0242040000001</v>
      </c>
      <c r="V361" s="3">
        <f>1996.7+(1164.6-757.5)+(-2.036634+(-1.187892--0.77265))+0-574.9--0.586398000000092</f>
        <v>1827.0345220000002</v>
      </c>
      <c r="W361" s="3">
        <f>2005.3+(972.1-609.7)+(-6.136218+(-2.974626--1.865682))+0-540.7--1.65454200000006</f>
        <v>1821.4093799999996</v>
      </c>
      <c r="X361" s="3">
        <f>2062.3+(1298.1-833.9)+(1.051773+(0.662031-0.425289))+0-533-0.271829999999946</f>
        <v>1994.5166850000003</v>
      </c>
      <c r="Y361" s="3">
        <f>2160.2+(1615.1-1146)+(-5.50851+(-4.118505--2.9223))+0-626.4--1.59731999999991</f>
        <v>1997.7926049999996</v>
      </c>
      <c r="Z361" s="3">
        <f>2029.5+(1402.4-945.3)+(-2.07009+(-1.430448--0.964206))+0-579.6--0.591192000000092</f>
        <v>1905.0548600000004</v>
      </c>
      <c r="AA361" s="3">
        <f>2024.9+(1285.9-802.4)+(-5.163495+(-3.279045--2.04612))+0-538.8--1.37393999999992</f>
        <v>1964.57752</v>
      </c>
      <c r="AB361" s="3">
        <f>2000.2+(973.3-720.1)+(-5.10051+(-2.481915--1.836255))+0-431.3--1.09981499999994</f>
        <v>1817.4536450000003</v>
      </c>
      <c r="AC361" s="3">
        <f>2002.1+(706.5-643.6)+(-4.084284+(-1.44126--1.312944))+0-345.2--0.704207999999985</f>
        <v>1716.291608</v>
      </c>
      <c r="AD361">
        <f t="shared" si="5"/>
        <v>43450.55008400001</v>
      </c>
      <c r="AE361" s="3">
        <f>2150+(1830.9-1135.3)+(0+(0-0))+0-723.6-0</f>
        <v>2122.0000000000005</v>
      </c>
    </row>
    <row r="362" spans="1:31" s="2" customFormat="1" x14ac:dyDescent="0.25">
      <c r="A362">
        <v>89</v>
      </c>
      <c r="B362">
        <v>12</v>
      </c>
      <c r="C362">
        <v>26</v>
      </c>
      <c r="D362">
        <v>6</v>
      </c>
      <c r="E362">
        <v>1</v>
      </c>
      <c r="F362" s="3">
        <f>2001.4+(636.2-602.3)+(-3.062142+(-0.973386--0.921519))+0-417.4--0.638622000000024</f>
        <v>1615.4246130000001</v>
      </c>
      <c r="G362" s="3">
        <f>1908+(815.4-488)+(-1.94616+(-0.831708--0.49776))+0-647.1--0.660042000000103</f>
        <v>1586.6799340000005</v>
      </c>
      <c r="H362" s="3">
        <f>1863.9+(797.7-459.2)+(-2.851767+(-1.220481--0.702576))+0-666.6--1.01989800000004</f>
        <v>1533.4502260000004</v>
      </c>
      <c r="I362" s="3">
        <f>1825.2+(804.8-471.3)+(0.930852+(0.410448-0.240363))+0-674-0.343739999999932</f>
        <v>1485.457197</v>
      </c>
      <c r="J362" s="3">
        <f>1813.8+(884-504.7)+(-2.775114+(-1.35252--0.772191))+0-676.3--1.03473900000004</f>
        <v>1514.479296</v>
      </c>
      <c r="K362" s="3">
        <f>1736.6+(970.6-471.8)+(-0.885666+(-0.495006--0.240618))+0-691.2--0.35251199999993</f>
        <v>1543.412458</v>
      </c>
      <c r="L362" s="3">
        <f>1739.3+(792.9-494.8)+(-3.548172+(-1.617516--1.009392))+0-558.6--1.13954399999998</f>
        <v>1475.7832479999995</v>
      </c>
      <c r="M362" s="3">
        <f>1827.4+(983.9-505.2)+(0.931974+(0.501789-0.257652))+0-607.1-0.309620999999938</f>
        <v>1699.8664900000003</v>
      </c>
      <c r="N362" s="3">
        <f>2029.7+(1163.5-604.8)+(1.035147+(0.593385-0.308448))+0-546.6-0.278765999999945</f>
        <v>2042.8413180000002</v>
      </c>
      <c r="O362" s="3">
        <f>2116.6+(1335-797.4)+(-3.238398+(-2.04255--1.220022))+0-564.3--0.863379000000033</f>
        <v>2086.7024529999994</v>
      </c>
      <c r="P362" s="3">
        <f>2090.6+(1383.7-773.1)+(-3.198618+(-2.117061--1.182843))+0-597--0.913410000000034</f>
        <v>2100.9805739999997</v>
      </c>
      <c r="Q362" s="3">
        <f>1981.2+(1343.3-806.3)+(-1.010412+(-0.685083--0.411213))+0-596.1--0.30401099999994</f>
        <v>1921.1197289999998</v>
      </c>
      <c r="R362" s="3">
        <f>1870.6+(1240-803.6)+(-2.862018+(-1.8972--1.229508))+0-559.8--0.856494000000032</f>
        <v>1744.5267840000004</v>
      </c>
      <c r="S362" s="3">
        <f>1833.4+(1252.5-675.5)+(0+(0-0))+0-630.3-0</f>
        <v>1780.1000000000001</v>
      </c>
      <c r="T362" s="3">
        <f>1835+(1147.3-671.3)+(-2.80755+(-1.755369--1.027089))+0-535.2--0.818856000000031</f>
        <v>1773.0830260000002</v>
      </c>
      <c r="U362" s="3">
        <f>1832.5+(968.3-556)+(-6.542025+(-3.456831--1.98492))+0-526.6--1.87996200000001</f>
        <v>1712.0660260000004</v>
      </c>
      <c r="V362" s="3">
        <f>1734.3+(973.9-552.7)+(-1.768986+(-0.993378--0.563754))+78-570.3--0.581706000000091</f>
        <v>1661.5830960000003</v>
      </c>
      <c r="W362" s="3">
        <f>1714.5+(1044.1-655.2)+(-3.49758+(-2.129964--1.336608))+6-468.8--0.95635199999998</f>
        <v>1637.2654159999997</v>
      </c>
      <c r="X362" s="3">
        <f>2032.4+(1280.5-808.8)+(0+(0-0))+0-601.6-0</f>
        <v>1902.5000000000005</v>
      </c>
      <c r="Y362" s="3">
        <f>2117+(1268.9-988.1)+(-4.31868+(-2.588556--2.015724))+0-478.7--0.976547999999979</f>
        <v>1915.1850359999999</v>
      </c>
      <c r="Z362" s="3">
        <f>2112.6+(1327.3-959.4)+(-3.232278+(-2.030769--1.467882))+0-630.2--0.964206000000037</f>
        <v>1847.4690410000001</v>
      </c>
      <c r="AA362" s="3">
        <f>2230.6+(1352.9-1150.1)+(-1.137606+(-0.689979--0.586551))+0-566.9--0.289118999999943</f>
        <v>1865.5480849999999</v>
      </c>
      <c r="AB362" s="3">
        <f>2377.2+(1299.3-1299.3)+(3.637116+(1.987929-1.987929))+0-603.6-0.923508000000035</f>
        <v>1776.3136079999997</v>
      </c>
      <c r="AC362" s="3">
        <f>2258.2+(1238.7-1158.5)+(-5.75841+(-3.158685--2.954175))+0-669.3--1.7067149999999</f>
        <v>1664.8437949999995</v>
      </c>
      <c r="AD362">
        <f t="shared" si="5"/>
        <v>41886.681449000003</v>
      </c>
      <c r="AE362" s="3">
        <f>2190+(1339.6-974.2)+(0+(0-0))+0-556.5-0</f>
        <v>1998.8999999999996</v>
      </c>
    </row>
    <row r="363" spans="1:31" s="2" customFormat="1" x14ac:dyDescent="0.25">
      <c r="A363">
        <v>89</v>
      </c>
      <c r="B363">
        <v>12</v>
      </c>
      <c r="C363">
        <v>27</v>
      </c>
      <c r="D363">
        <v>7</v>
      </c>
      <c r="E363">
        <v>1</v>
      </c>
      <c r="F363" s="3">
        <f>2059.5+(1045-646.3)+(-4.20138+(-2.1318--1.318452))+0-656.9--1.34007599999997</f>
        <v>1797.6253479999996</v>
      </c>
      <c r="G363" s="3">
        <f>1678.3+(951.9-261.6)+(-2.567799+(-1.456407--0.400248))+0-678.3--1.03779900000004</f>
        <v>1687.7138409999998</v>
      </c>
      <c r="H363" s="3">
        <f>1565.8+(985.1-238.8)+(-0.798558+(-0.502401--0.121788))+0-718.1--0.366230999999927</f>
        <v>1593.1870599999997</v>
      </c>
      <c r="I363" s="3">
        <f>1604.2+(844.9-236.1)+(-2.454426+(-1.292697--0.361233))+0-588.3--0.900099000000034</f>
        <v>1622.214209</v>
      </c>
      <c r="J363" s="3">
        <f>1548.4+(873.6-275.4)+(0.789684+(0.445536-0.140454))+0-576.5-0.294014999999942</f>
        <v>1570.9007510000006</v>
      </c>
      <c r="K363" s="3">
        <f>1644.2+(951.4-247.1)+(-2.515626+(-1.455642--0.378063))+0-694.6--1.06273800000004</f>
        <v>1651.369533</v>
      </c>
      <c r="L363" s="3">
        <f>1469.2+(690.9-239.4)+(-1.498584+(-0.704718--0.244188))+0-485.9--0.495618000000077</f>
        <v>1433.3365040000001</v>
      </c>
      <c r="M363" s="3">
        <f>1564.7+(753.1-282.3)+(0+(0-0))+0-497.4-0</f>
        <v>1538.1</v>
      </c>
      <c r="N363" s="3">
        <f>1533.1+(988.6-229.3)+(0.781881+(0.504186-0.116943))+0-688.9-0.35133899999993</f>
        <v>1604.3177849999997</v>
      </c>
      <c r="O363" s="3">
        <f>1816.6+(660.3-261.8)+(-0.926466+(-0.336753--0.133518))+0-435.2--0.221951999999956</f>
        <v>1778.9922509999999</v>
      </c>
      <c r="P363" s="3">
        <f>1879.9+(698.8-235.2)+(-3.834996+(-1.425552--0.479808))+0-489.7--0.998987999999979</f>
        <v>1850.0182479999999</v>
      </c>
      <c r="Q363" s="3">
        <f>1981.8+(620.7-300.5)+(-4.042872+(-1.266228--0.61302))+0-422.7--0.862307999999982</f>
        <v>1875.4662279999998</v>
      </c>
      <c r="R363" s="3">
        <f>1936.9+(544-238.2)+(-0.987819+(-0.27744--0.121482))+0-465.7--0.237506999999953</f>
        <v>1776.0937300000005</v>
      </c>
      <c r="S363" s="3">
        <f>1914.4+(478-229.2)+(0.976344+(0.24378-0.116892))+0-482.3-0.245972999999951</f>
        <v>1681.7572590000002</v>
      </c>
      <c r="T363" s="3">
        <f>1835.1+(706.9-228.9)+(-4.679505+(-1.802595--0.583695))+0-469.8--1.19798999999993</f>
        <v>1838.5995849999999</v>
      </c>
      <c r="U363" s="3">
        <f>1826.3+(638.7-275.7)+(-4.657065+(-1.628685--0.703035))+0-496.3--1.26556499999993</f>
        <v>1688.6828500000001</v>
      </c>
      <c r="V363" s="3">
        <f>1854.8+(642.1-316.2)+(-2.837844+(-0.982413--0.483786))+0-448.2--0.685746000000026</f>
        <v>1729.8492749999998</v>
      </c>
      <c r="W363" s="3">
        <f>1909.5+(644.8-361.6)+(-1.94769+(-0.657696--0.368832))+0-485.6--0.495312000000077</f>
        <v>1705.3587579999999</v>
      </c>
      <c r="X363" s="3">
        <f>2074.7+(1084.6-525.4)+(0+(0-0))+0-479.2-0</f>
        <v>2154.6999999999998</v>
      </c>
      <c r="Y363" s="3">
        <f>2207+(1271.3-834.9)+(-3.37671+(-1.945089--1.277397))+0-524--0.80172000000003</f>
        <v>2116.157318</v>
      </c>
      <c r="Z363" s="3">
        <f>2211.7+(1167.2-760.7)+(-2.255934+(-1.190544--0.775914))+0-624.3--0.6367860000001</f>
        <v>1991.8662219999999</v>
      </c>
      <c r="AA363" s="3">
        <f>2280.7+(1053.5-802.3)+(-2.326314+(-1.07457--0.818346))+0-536.7--0.547434000000086</f>
        <v>1993.1648959999995</v>
      </c>
      <c r="AB363" s="3">
        <f>2356.6+(1109.5-872)+(-4.807464+(-2.26338--1.77888))+0-561.3--1.14505199999998</f>
        <v>2028.653088</v>
      </c>
      <c r="AC363" s="3">
        <f>2241.6+(873.8-715.5)+(-4.572864+(-1.782552--1.45962))+0-613.1--1.25072399999997</f>
        <v>1783.1549279999999</v>
      </c>
      <c r="AD363">
        <f t="shared" si="5"/>
        <v>42491.279666999995</v>
      </c>
      <c r="AE363" s="3">
        <f>2203+(1260-1119.1)+(0+(0-0))+0-502.5-0</f>
        <v>1841.4</v>
      </c>
    </row>
    <row r="364" spans="1:31" s="2" customFormat="1" x14ac:dyDescent="0.25">
      <c r="A364">
        <v>89</v>
      </c>
      <c r="B364">
        <v>12</v>
      </c>
      <c r="C364">
        <v>28</v>
      </c>
      <c r="D364">
        <v>1</v>
      </c>
      <c r="E364">
        <v>6</v>
      </c>
      <c r="F364" s="3">
        <f>2089.9+(697.9-810)+(-4.263396+(-1.423716--1.6524))+0-558--1.13831999999998</f>
        <v>1416.9036080000003</v>
      </c>
      <c r="G364" s="3">
        <f>2012.8+(642.8-638.7)+(-5.13264+(-1.63914--1.628685))+0-583--1.48664999999992</f>
        <v>1430.2435549999998</v>
      </c>
      <c r="H364" s="3">
        <f>2015.3+(615.9-591.4)+(1.027803+(0.314109-0.301614))+0-670.6-0.342005999999932</f>
        <v>1369.8982919999999</v>
      </c>
      <c r="I364" s="3">
        <f>2009.3+(573.6-568.7)+(-5.123715+(-1.46268--1.450185))+0-611--1.55804999999991</f>
        <v>1399.6218399999998</v>
      </c>
      <c r="J364" s="3">
        <f>2004.8+(634.3-598.8)+(2.044896+(0.646986-0.610776))+0-644.8-0.657696000000103</f>
        <v>1396.9234099999999</v>
      </c>
      <c r="K364" s="3">
        <f>2008.4+(621.5-613.1)+(0+(0-0))+0-687.1-0</f>
        <v>1329.7000000000003</v>
      </c>
      <c r="L364" s="3">
        <f>1912.5+(390.9-611.7)+(-2.926125+(-0.598077--0.935901))+0-510--0.78030000000003</f>
        <v>1179.8919989999999</v>
      </c>
      <c r="M364" s="3">
        <f>2157.7+(616.6-666.4)+(-1.100427+(-0.314466--0.339864))+0-694.8--0.35434799999993</f>
        <v>1412.3793189999994</v>
      </c>
      <c r="N364" s="3">
        <f>2300.8+(584.2-739.7)+(-1.173408+(-0.297942--0.377247))+0-545.4--0.278153999999945</f>
        <v>1599.084051</v>
      </c>
      <c r="O364" s="3">
        <f>2416.3+(712.9-774.8)+(-3.696939+(-1.090737--1.185444))+0-647.3--0.990369000000037</f>
        <v>1704.4881370000001</v>
      </c>
      <c r="P364" s="3">
        <f>2500.3+(659.2-835.3)+(-1.275153+(-0.336192--0.426003))+0-556.3--0.283712999999944</f>
        <v>1766.9983710000001</v>
      </c>
      <c r="Q364" s="3">
        <f>2569.4+(740.7-947.9)+(-5.241576+(-1.511028--1.933716))+0-558.1--1.13852399999998</f>
        <v>1800.4196360000005</v>
      </c>
      <c r="R364" s="3">
        <f>2575.9+(765.5-1030.2)+(-2.627418+(-0.78081--1.050804))+0-603.4--0.615468000000096</f>
        <v>1706.0580440000001</v>
      </c>
      <c r="S364" s="3">
        <f>2568.6+(794.5-1113.6)+(0+(0-0))+0-575.9-0</f>
        <v>1673.6</v>
      </c>
      <c r="T364" s="3">
        <f>2572.4+(836.2-1129.2)+(1.311924+(0.426462-0.575892))+0-583.1-0.297380999999941</f>
        <v>1697.1651130000005</v>
      </c>
      <c r="U364" s="3">
        <f>2687.9+(796.6-1277.1)+(-1.370829+(-0.406266--0.651321))+0-521.4--0.265913999999947</f>
        <v>1685.1401399999997</v>
      </c>
      <c r="V364" s="3">
        <f>2818.4+(842.2-1396.1)+(-7.18692+(-2.14761--3.560055))+0-460.3--1.17376499999993</f>
        <v>1799.5992899999999</v>
      </c>
      <c r="W364" s="3">
        <f>2825.1+(973.5-1591.4)+(-5.763204+(-1.98594--3.246456))+0-605.2--1.23460799999997</f>
        <v>1598.7319199999997</v>
      </c>
      <c r="X364" s="3">
        <f>2915.6+(1028-1649.1)+(-1.486956+(-0.52428--0.841041))+0-466.6--0.237965999999953</f>
        <v>1826.9677709999999</v>
      </c>
      <c r="Y364" s="3">
        <f>3007.4+(1075.9-1621)+(-3.067548+(-1.097418--1.65342))+0-597.9--0.609858000000095</f>
        <v>1862.4983119999999</v>
      </c>
      <c r="Z364" s="3">
        <f>2950.3+(1155.1-1702.3)+(-1.504653+(-0.589101--0.868173))+0-529.3--0.269942999999946</f>
        <v>1872.8443620000003</v>
      </c>
      <c r="AA364" s="3">
        <f>2798.3+(1282.5-1722)+(-4.281399+(-1.962225--2.63466))+0-541.3--0.828189000000031</f>
        <v>1814.7192250000003</v>
      </c>
      <c r="AB364" s="3">
        <f>2563.3+(1327.8-1685.9)+(-3.921849+(-2.031534--2.579427))+0-508.7--0.778311000000029</f>
        <v>1693.9043549999999</v>
      </c>
      <c r="AC364" s="3">
        <f>2337.1+(1049.3-1214.4)+(-3.575763+(-1.605429--1.858032))+0-610.7--0.934371000000035</f>
        <v>1558.9112110000001</v>
      </c>
      <c r="AD364">
        <f t="shared" si="5"/>
        <v>38596.69196099999</v>
      </c>
      <c r="AE364" s="3">
        <f>3008+(1122.7-1613.6)+(0+(0-0))+0-648-0</f>
        <v>1869.1000000000004</v>
      </c>
    </row>
    <row r="365" spans="1:31" s="2" customFormat="1" x14ac:dyDescent="0.25">
      <c r="A365">
        <v>89</v>
      </c>
      <c r="B365">
        <v>12</v>
      </c>
      <c r="C365">
        <v>29</v>
      </c>
      <c r="D365">
        <v>2</v>
      </c>
      <c r="E365">
        <v>2</v>
      </c>
      <c r="F365" s="3">
        <f>2163.4+(898.8-1037.6)+(-3.310002+(-1.375164--1.587528))+0-669.9--1.02494700000004</f>
        <v>1352.6273090000002</v>
      </c>
      <c r="G365" s="3">
        <f>2159.7+(693.1-858.6)+(-3.304341+(-1.060443--1.313658))+0-583.4--0.892602000000034</f>
        <v>1408.641476</v>
      </c>
      <c r="H365" s="3">
        <f>2108+(622.1-776)+(-4.30032+(-1.269084--1.58304))+0-620.5--1.26581999999997</f>
        <v>1330.8794559999999</v>
      </c>
      <c r="I365" s="3">
        <f>2013.2+(615.2-723.8)+(1.026732+(0.313752-0.369138))+0-592.9-0.30237899999994</f>
        <v>1312.3689670000001</v>
      </c>
      <c r="J365" s="3">
        <f>2010.8+(679.3-695.5)+(3.076524+(1.039329-1.064115))+0-699-1.06947000000004</f>
        <v>1297.5822679999999</v>
      </c>
      <c r="K365" s="3">
        <f>2016.2+(620.8-714.7)+(-2.056524+(-0.633216--0.728994))+0-585--0.596700000000093</f>
        <v>1335.935954</v>
      </c>
      <c r="L365" s="3">
        <f>1939+(341.3-586.1)+(-2.96667+(-0.522189--0.896733))+0-464.9--0.711297000000027</f>
        <v>1227.4191710000002</v>
      </c>
      <c r="M365" s="3">
        <f>2074.3+(377.3-675.1)+(4.231572+(0.769692-1.377204))+0-451.8-0.92167199999998</f>
        <v>1327.4023880000004</v>
      </c>
      <c r="N365" s="3">
        <f>2297+(468.6-791.3)+(0+(0-0))+0-600.7-0</f>
        <v>1373.6000000000001</v>
      </c>
      <c r="O365" s="3">
        <f>2287.2+(561-688)+(-2.332944+(-0.57222--0.70176))+0-580.8--0.592416000000093</f>
        <v>1577.7890120000002</v>
      </c>
      <c r="P365" s="3">
        <f>2347.7+(644.4-732.9)+(-4.789308+(-1.314576--1.495116))+0-605.7--1.23562799999997</f>
        <v>1650.1268599999996</v>
      </c>
      <c r="Q365" s="3">
        <f>2240.6+(528.3-633.8)+(-3.428118+(-0.808299--0.969714))+0-568--0.869040000000033</f>
        <v>1564.7023370000002</v>
      </c>
      <c r="R365" s="3">
        <f>2237.9+(532.9-680)+(-3.423987+(-0.815337--1.0404))+0-635.8--0.972774000000037</f>
        <v>1452.7738500000005</v>
      </c>
      <c r="S365" s="3">
        <f>2244.9+(560.6-712.1)+(-5.724495+(-1.42953--1.815855))+0-608.8--1.55243999999991</f>
        <v>1480.8142700000001</v>
      </c>
      <c r="T365" s="3">
        <f>2357.5+(553.6-873.1)+(-4.8093+(-1.129344--1.781124))+0-557.3--1.13689199999998</f>
        <v>1477.6793720000001</v>
      </c>
      <c r="U365" s="3">
        <f>2331.1+(616.9-855.7)+(-3.566583+(-0.943857--1.309221))+0-607.3--0.929169000000035</f>
        <v>1482.7279499999997</v>
      </c>
      <c r="V365" s="3">
        <f>2135.5+(401.9-705.2)+(1.089105+(0.204969-0.359652))+0-334.7-0.170696999999966</f>
        <v>1498.2637249999998</v>
      </c>
      <c r="W365" s="3">
        <f>2146.3+(521.8-750)+(0+(0-0))+0-442.4-0</f>
        <v>1475.7000000000003</v>
      </c>
      <c r="X365" s="3">
        <f>2204.5+(1034-934.3)+(1.124295+(0.52734-0.476493))+0-480-0.244799999999951</f>
        <v>1825.1303419999999</v>
      </c>
      <c r="Y365" s="3">
        <f>2287.9+(1222.1-1243.3)+(-5.834145+(-3.116355--3.170415))+0-443.7--1.13143499999994</f>
        <v>1818.3513499999999</v>
      </c>
      <c r="Z365" s="3">
        <f>2029.1+(1246.3-1004.7)+(-3.104523+(-1.906839--1.537191))+0-529--0.809370000000031</f>
        <v>1739.0351989999999</v>
      </c>
      <c r="AA365" s="3">
        <f>1921.6+(1116.3-838.8)+(-1.960032+(-1.138626--0.855576))+0-468.3--0.477666000000075</f>
        <v>1729.034584</v>
      </c>
      <c r="AB365" s="3">
        <f>1839.5+(1152-730.4)+(-0.938145+(-0.58752--0.372504))+0-611.1--0.311660999999938</f>
        <v>1649.1584999999998</v>
      </c>
      <c r="AC365" s="3">
        <f>1694.3+(1075.9-550.7)+(-3.456372+(-2.194836--1.123428))+0-640.7--1.30702799999997</f>
        <v>1575.579248</v>
      </c>
      <c r="AD365">
        <f t="shared" si="5"/>
        <v>35963.323587999999</v>
      </c>
      <c r="AE365" s="3">
        <f>2293+(1207.5-1213.7)+(0+(0-0))+0-438.8-0</f>
        <v>1848.0000000000002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5"/>
  <sheetViews>
    <sheetView workbookViewId="0">
      <selection activeCell="F2" sqref="F2"/>
    </sheetView>
  </sheetViews>
  <sheetFormatPr defaultColWidth="9" defaultRowHeight="15" x14ac:dyDescent="0.25"/>
  <cols>
    <col min="1" max="5" width="9.140625" customWidth="1"/>
    <col min="6" max="6" width="8.7109375" style="4" customWidth="1"/>
    <col min="7" max="16384" width="9" style="4"/>
  </cols>
  <sheetData>
    <row r="1" spans="1:31" customFormat="1" x14ac:dyDescent="0.25">
      <c r="A1">
        <v>89</v>
      </c>
      <c r="B1">
        <v>1</v>
      </c>
      <c r="C1">
        <v>1</v>
      </c>
      <c r="D1">
        <v>2</v>
      </c>
      <c r="E1">
        <v>2</v>
      </c>
      <c r="F1" s="3">
        <f>3793.6+(392.9-2097.5)+(0+(0-0))+0-514.8-0</f>
        <v>1574.2</v>
      </c>
      <c r="G1" s="3">
        <f>3537.9+(451.4-1873.8)+(0+(0-0))+0-666-0</f>
        <v>1449.5</v>
      </c>
      <c r="H1" s="3">
        <f>3259.1+(450.4-1862)+(0+(0-0))+0-498.5-0</f>
        <v>1349</v>
      </c>
      <c r="I1" s="3">
        <f>2835+(523-1457.3)+(-1.44585+(-0.26673--0.743223))+0-592.6--0.30222599999994</f>
        <v>1307.432869</v>
      </c>
      <c r="J1" s="3">
        <f>2754.6+(541-1433.8)+(-7.02423+(-1.37955--3.65619))+0-553--1.41014999999992</f>
        <v>1305.4625599999999</v>
      </c>
      <c r="K1" s="3">
        <f>2678.8+(578-1414)+(-1.366188+(-0.29478--0.72114))+0-529.5--0.270044999999946</f>
        <v>1312.6302170000001</v>
      </c>
      <c r="L1" s="3">
        <f>2412.5+(604.9-1142.8)+(-6.151875+(-1.542495--2.91414))+0-549.4--1.40096999999992</f>
        <v>1321.8207399999999</v>
      </c>
      <c r="M1" s="3">
        <f>2534.2+(519.4-1133.2)+(3.877326+(0.794682-1.733796))+0-558.6-0.854658000000032</f>
        <v>1363.8835539999998</v>
      </c>
      <c r="N1" s="3">
        <f>2741.7+(449.4-1256.4)+(0+(0-0))+0-484.7-0</f>
        <v>1449.9999999999998</v>
      </c>
      <c r="O1" s="3">
        <f>2585.6+(436.2-908.2)+(-5.274624+(-0.889848--1.852728))+0-589.2--1.20196799999997</f>
        <v>1521.2902239999999</v>
      </c>
      <c r="P1" s="3">
        <f>2359.1+(386.1-701.8)+(-6.015705+(-0.984555--1.78959))+0-482.3--1.22986499999993</f>
        <v>1557.1191950000002</v>
      </c>
      <c r="Q1" s="3">
        <f>2393.5+(355.4-625.6)+(-2.44137+(-0.362508--0.638112))+0-567.5--0.57885000000009</f>
        <v>1554.2130840000002</v>
      </c>
      <c r="R1" s="3">
        <f>2624.8+(304.2-830.8)+(-2.677296+(-0.310284--0.847416))+0-562.4--0.57364800000009</f>
        <v>1534.2334840000003</v>
      </c>
      <c r="S1" s="3">
        <f>2744.1+(272.1-940.9)+(0+(0-0))+0-572.2-0</f>
        <v>1503.1000000000001</v>
      </c>
      <c r="T1" s="3">
        <f>2569+(280.3-786.5)+(-3.93057+(-0.428859--1.203345))+0-587.2--0.898416000000034</f>
        <v>1473.3423319999999</v>
      </c>
      <c r="U1" s="3">
        <f>2386.2+(300.8-753.6)+(-3.650886+(-0.460224--1.153008))+0-489.1--0.748323000000028</f>
        <v>1442.0902209999997</v>
      </c>
      <c r="V1" s="3">
        <f>2825.4+(293.5-1074.2)+(-4.322862+(-0.449055--1.643526))+0-568.7--0.870111000000033</f>
        <v>1473.74172</v>
      </c>
      <c r="W1" s="3">
        <f>3212.4+(320.1-1410.1)+(-3.276648+(-0.326502--1.438302))+0-595.3--0.607206000000095</f>
        <v>1525.5423580000004</v>
      </c>
      <c r="X1" s="3">
        <f>4133+(209.4-2049.6)+(-2.10783+(-0.106794--1.045296))+0-547.7--0.279326999999944</f>
        <v>1744.2099990000002</v>
      </c>
      <c r="Y1" s="3">
        <f>4732.8+(311.6-2520)+(0+(0-0))+0-591-0</f>
        <v>1933.4</v>
      </c>
      <c r="Z1" s="3">
        <f>4861.2+(298.4-2712.5)+(-2.479212+(-0.152184--1.383375))+0-554.2--0.282641999999944</f>
        <v>1891.9346209999999</v>
      </c>
      <c r="AA1" s="3">
        <f>4760.7+(359.2-2710.8)+(-12.139785+(-0.91596--6.91254))+0-584.2--1.48970999999992</f>
        <v>1820.2465049999994</v>
      </c>
      <c r="AB1" s="3">
        <f>4363.3+(409.3-2435.5)+(-4.450566+(-0.417486--2.48421))+0-593.1--0.604962000000095</f>
        <v>1742.2211200000004</v>
      </c>
      <c r="AC1" s="3">
        <f>4064.8+(399.5-2261)+(-14.511336+(-1.426215--8.07177))+0-576.2--2.05703400000001</f>
        <v>1621.2912530000001</v>
      </c>
      <c r="AD1">
        <f t="shared" ref="AD1:AD64" si="0">SUM(F1:AC1)</f>
        <v>36771.906056000007</v>
      </c>
      <c r="AE1" s="3">
        <f>4987+(318-2495)+(0+(0-0))+0-589-0</f>
        <v>2221</v>
      </c>
    </row>
    <row r="2" spans="1:31" customFormat="1" x14ac:dyDescent="0.25">
      <c r="A2">
        <v>89</v>
      </c>
      <c r="B2">
        <v>1</v>
      </c>
      <c r="C2">
        <v>2</v>
      </c>
      <c r="D2">
        <v>3</v>
      </c>
      <c r="E2">
        <v>2</v>
      </c>
      <c r="F2" s="3">
        <f>(G2+AC1)/2</f>
        <v>1572.9966614999998</v>
      </c>
      <c r="G2" s="3">
        <f>2900+(480-1360.4)+(-7.395+(-1.224--3.46902))+0-491--1.25204999999993</f>
        <v>1524.7020699999998</v>
      </c>
      <c r="H2" s="3">
        <f>2458.3+(547.4-1121.8)+(-7.522398+(-1.675044--3.432708))+0-493.5--1.51011000000006</f>
        <v>1386.1453760000002</v>
      </c>
      <c r="I2" s="3">
        <f>2550.9+(501.1-1209.9)+(-2.601918+(-0.511122--1.234098))+0-516.1--0.526422000000082</f>
        <v>1324.6474799999999</v>
      </c>
      <c r="J2" s="3">
        <f>2828.3+(335.5-1312.5)+(0+(0-0))+0-567.9-0</f>
        <v>1283.4000000000001</v>
      </c>
      <c r="K2" s="3">
        <f>2602.7+(374-1230.9)+(2.654754+(0.38148-1.255518))+0-474.9-0.484398000000076</f>
        <v>1272.1963179999998</v>
      </c>
      <c r="L2" s="3">
        <f>2653.7+(386.8-1232.9)+(1.353387+(0.197268-0.628779))+0-500.7-0.255356999999949</f>
        <v>1307.5665189999997</v>
      </c>
      <c r="M2" s="3">
        <f>2369.6+(438.8-830.5)+(-6.04248+(-1.11894--2.117775))+0-647--1.64984999999991</f>
        <v>1327.5062049999999</v>
      </c>
      <c r="N2" s="3">
        <f>2511.5+(354.2-988)+(-2.56173+(-0.361284--1.00776))+0-483.9--0.493578000000077</f>
        <v>1392.3783240000002</v>
      </c>
      <c r="O2" s="3">
        <f>2945.5+(315.4-1209.9)+(-3.00441+(-0.321708--1.234098))+0-562.2--0.57344400000009</f>
        <v>1487.281424</v>
      </c>
      <c r="P2" s="3">
        <f>3183.9+(263-1437.3)+(-3.247578+(-0.26826--1.466046))+0-458.7--0.467874000000073</f>
        <v>1549.3180820000002</v>
      </c>
      <c r="Q2" s="3">
        <f>3199.4+(327.2-1419.3)+(-4.895082+(-0.500616--2.171529))+0-532.6--0.814878000000031</f>
        <v>1572.2907090000003</v>
      </c>
      <c r="R2" s="3">
        <f>3656.1+(207.2-1879.6)+(0+(0-0))+0-446.1-0</f>
        <v>1537.6</v>
      </c>
      <c r="S2" s="3">
        <f>3611.5+(296.5-1908.5)+(-9.209325+(-0.756075--4.866675))+0-446.1--1.13755499999994</f>
        <v>1549.4388299999998</v>
      </c>
      <c r="T2" s="3">
        <f>3566.6+(144.8-1783.4)+(-1.818966+(-0.073848--0.909534))+0-396.8--0.20236799999996</f>
        <v>1530.4190879999999</v>
      </c>
      <c r="U2" s="3">
        <f>3612.7+(131.7-1723.7)+(-1.842477+(-0.067167--0.879087))+0-513.1--0.261680999999948</f>
        <v>1506.8311239999998</v>
      </c>
      <c r="V2" s="3">
        <f>3536.6+(188.2-1739.9)+(-5.410998+(-0.287946--2.662047))+0-483.4--0.739602000000028</f>
        <v>1499.2027050000002</v>
      </c>
      <c r="W2" s="3">
        <f>3514.4+(180.4-1726.2)+(-3.584688+(-0.184008--1.760724))+0-420.2--0.428604000000067</f>
        <v>1546.8206320000002</v>
      </c>
      <c r="X2" s="3">
        <f>3172.1+(214.4-1514.5)+(0+(0-0))+0-460.9-0</f>
        <v>1411.1</v>
      </c>
      <c r="Y2" s="3">
        <f>4256.5+(125.9-1995.3)+(-2.170815+(-0.064209--1.017603))+0-530.9--0.270758999999946</f>
        <v>1855.2533380000004</v>
      </c>
      <c r="Z2" s="3">
        <f>4110.2+(302.9-2313.3)+(-8.384808+(-0.617916--4.719132))+0-460.9--0.94023599999998</f>
        <v>1635.5566439999993</v>
      </c>
      <c r="AA2" s="3">
        <f>4876.6+(222.8-2632)+(-4.974132+(-0.227256--2.68464))+0-536.6--0.547332000000086</f>
        <v>1928.8305840000007</v>
      </c>
      <c r="AB2" s="3">
        <f>4927.3+(199.2-2784.3)+(-7.538769+(-0.304776--4.259979))+0-467.8--0.715734000000027</f>
        <v>1871.5321680000002</v>
      </c>
      <c r="AC2" s="3">
        <f>4540.8+(197.9-2414.3)+(-6.947424+(-0.302787--3.693879))+0-525.2--0.80355600000003</f>
        <v>1796.447224</v>
      </c>
      <c r="AD2">
        <f t="shared" si="0"/>
        <v>36669.461505499996</v>
      </c>
      <c r="AE2" s="3">
        <f>4479+(324-2321)+(0+(0-0))+0-401-0</f>
        <v>2081</v>
      </c>
    </row>
    <row r="3" spans="1:31" customFormat="1" x14ac:dyDescent="0.25">
      <c r="A3">
        <v>89</v>
      </c>
      <c r="B3">
        <v>1</v>
      </c>
      <c r="C3">
        <v>3</v>
      </c>
      <c r="D3">
        <v>4</v>
      </c>
      <c r="E3">
        <v>2</v>
      </c>
      <c r="F3" s="3">
        <f>4217.9+(282.9-2294.6)+(-8.604516+(-0.577116--4.680984))+0-517.3--1.05529199999998</f>
        <v>1685.4546439999997</v>
      </c>
      <c r="G3" s="3">
        <f>3118.2+(410.7-1510.9)+(-4.770846+(-0.628371--2.311677))+0-489.3--0.748629000000028</f>
        <v>1526.3610889999998</v>
      </c>
      <c r="H3" s="3">
        <f>2634.3+(477-1212.1)+(-8.060958+(-1.45962--3.709026))+0-482.9--1.47767400000006</f>
        <v>1411.9661220000005</v>
      </c>
      <c r="I3" s="3">
        <f>2390.3+(452.1-1002.2)+(-2.438106+(-0.461142--1.022244))+0-482.2--0.491844000000077</f>
        <v>1356.6148400000004</v>
      </c>
      <c r="J3" s="3">
        <f>2507.6+(449.5-1120.9)+(-3.836628+(-0.687735--1.714977))+0-505.6--0.773568000000029</f>
        <v>1328.5641820000001</v>
      </c>
      <c r="K3" s="3">
        <f>2510.1+(484.6-1138.4)+(-1.280151+(-0.247146--0.580584))+0-530.5--0.270554999999946</f>
        <v>1325.1238419999997</v>
      </c>
      <c r="L3" s="3">
        <f>2612.7+(491.4-1264.8)+(-5.329908+(-1.002456--2.580192))+0-482.3--0.983891999999979</f>
        <v>1354.2317199999998</v>
      </c>
      <c r="M3" s="3">
        <f>2120.6+(558.3-852.9)+(-3.244518+(-0.854199--1.304937))+0-449.1--0.687123000000026</f>
        <v>1374.793343</v>
      </c>
      <c r="N3" s="3">
        <f>2844.5+(410.3-1311.2)+(1.450695+(0.209253-0.668712))+0-513.1-0.261680999999948</f>
        <v>1431.2295549999999</v>
      </c>
      <c r="O3" s="3">
        <f>3526.7+(302.2-1803.3)+(0+(0-0))+0-512.8-0</f>
        <v>1512.8</v>
      </c>
      <c r="P3" s="3">
        <f>3732.4+(285-1954.5)+(1.903524+(0.14535-0.996795))+0-478.3-0.243932999999951</f>
        <v>1585.4081460000002</v>
      </c>
      <c r="Q3" s="3">
        <f>3533.2+(291.7-1727.4)+(-1.801932+(-0.148767--0.880974))+0-488.4--0.24908399999995</f>
        <v>1608.2793590000001</v>
      </c>
      <c r="R3" s="3">
        <f>3645.9+(139.5-1634.4)+(-3.718818+(-0.14229--1.667088))+0-550.5--0.561510000000088</f>
        <v>1598.8674900000001</v>
      </c>
      <c r="S3" s="3">
        <f>3727.6+(102.6-1800.3)+(-1.901076+(-0.052326--0.918153))+0-448.9--0.228938999999954</f>
        <v>1580.1936899999998</v>
      </c>
      <c r="T3" s="3">
        <f>3519.4+(128.2-1549.3)+(0+(0-0))+0-532.3-0</f>
        <v>1566.0000000000002</v>
      </c>
      <c r="U3" s="3">
        <f>3527.5+(109.5-1609.4)+(-5.397075+(-0.167535--2.462382))+0-482.1--0.737613000000028</f>
        <v>1543.1353849999998</v>
      </c>
      <c r="V3" s="3">
        <f>3438.9+(104.9-1504.2)+(-3.507678+(-0.106998--1.534284))+0-507.4--0.517548000000081</f>
        <v>1530.637156</v>
      </c>
      <c r="W3" s="3">
        <f>3575.1+(115-1594.8)+(-3.646602+(-0.1173--1.626696))+0-511.3--0.521526000000082</f>
        <v>1582.3843200000003</v>
      </c>
      <c r="X3" s="3">
        <f>3634.3+(122.3-1619.1)+(0+(0-0))+0-491.7-0</f>
        <v>1645.8</v>
      </c>
      <c r="Y3" s="3">
        <f>4567.4+(117.6-2294.3)+(0+(0-0))+0-572.4-0</f>
        <v>1818.2999999999993</v>
      </c>
      <c r="Z3" s="3">
        <f>4652.4+(275.1-2460.7)+(-9.490896+(-0.561204--5.019828))+0-494.4--1.00857599999998</f>
        <v>1968.3763039999997</v>
      </c>
      <c r="AA3" s="3">
        <f>4355.7+(314.3-2143.2)+(0+(0-0))+0-619.6-0</f>
        <v>1907.2000000000003</v>
      </c>
      <c r="AB3" s="3">
        <f>4327.5+(173.9-2169.4)+(-2.207025+(-0.088689--1.106394))+0-488.9--0.24933899999995</f>
        <v>1842.1600189999999</v>
      </c>
      <c r="AC3" s="3">
        <f>4340.1+(227.6-2219.7)+(-4.426902+(-0.232152--2.264094))+0-581.5--0.593130000000093</f>
        <v>1764.6981700000006</v>
      </c>
      <c r="AD3">
        <f t="shared" si="0"/>
        <v>37848.579376000009</v>
      </c>
      <c r="AE3" s="3">
        <f>4638+(264-2535)+(0+(0-0))+0-401-0</f>
        <v>1966</v>
      </c>
    </row>
    <row r="4" spans="1:31" customFormat="1" x14ac:dyDescent="0.25">
      <c r="A4">
        <v>89</v>
      </c>
      <c r="B4">
        <v>1</v>
      </c>
      <c r="C4">
        <v>4</v>
      </c>
      <c r="D4">
        <v>5</v>
      </c>
      <c r="E4">
        <v>2</v>
      </c>
      <c r="F4" s="3">
        <f>3987.6+(310.9-2104.9)+(-4.067352+(-0.317118--2.146998))+0-550.5--0.561510000000088</f>
        <v>1641.4240380000001</v>
      </c>
      <c r="G4" s="3">
        <f>3643.9+(396.6-1974.1)+(-7.433556+(-0.809064--4.027164))+0-543.2--1.10812799999998</f>
        <v>1520.0926720000002</v>
      </c>
      <c r="H4" s="3">
        <f>3050.5+(368.7-1446.2)+(-4.667265+(-0.564111--2.212686))+0-570.1--0.872253000000033</f>
        <v>1400.7535629999998</v>
      </c>
      <c r="I4" s="3">
        <f>2977+(320.5-1339.6)+(3.03654+(0.32691-1.366392))+0-616.2-0.628524000000098</f>
        <v>1343.0685339999998</v>
      </c>
      <c r="J4" s="3">
        <f>2694.3+(258.9-1173.2)+(-1.374093+(-0.132039--0.598332))+0-461.4--0.235313999999953</f>
        <v>1317.927514</v>
      </c>
      <c r="K4" s="3">
        <f>2897.9+(277.2-1236.6)+(1.477929+(0.141372-0.630666))+0-623.2-0.317831999999937</f>
        <v>1315.9708030000002</v>
      </c>
      <c r="L4" s="3">
        <f>2913.8+(285.3-1312)+(-1.486038+(-0.145503--0.66912))+0-534.6--0.272645999999946</f>
        <v>1351.8102250000002</v>
      </c>
      <c r="M4" s="3">
        <f>2597.4+(343.3-983.2)+(-2.649348+(-0.350166--1.002864))+0-596.1--0.608022000000095</f>
        <v>1360.0113720000002</v>
      </c>
      <c r="N4" s="3">
        <f>3054.3+(262.2-1348.4)+(0+(0-0))+0-566.9-0</f>
        <v>1401.2000000000003</v>
      </c>
      <c r="O4" s="3">
        <f>3535.5+(227.8-1714.6)+(1.803105+(0.116178-0.874446))+0-560.2-0.285701999999943</f>
        <v>1489.2591349999998</v>
      </c>
      <c r="P4" s="3">
        <f>3138.7+(354.4-1316.9)+(-6.402948+(-0.722976--2.686476))+0-600.5--1.22501999999997</f>
        <v>1572.4855719999996</v>
      </c>
      <c r="Q4" s="3">
        <f>3082.9+(333.2-1227.2)+(-3.144558+(-0.339864--1.251744))+0-567.9--0.579258000000091</f>
        <v>1619.3465800000001</v>
      </c>
      <c r="R4" s="3">
        <f>3209.1+(257.3-1253)+(0+(0-0))+0-613.2-0</f>
        <v>1600.1999999999996</v>
      </c>
      <c r="S4" s="3">
        <f>3518.1+(130.1-1537.7)+(1.794231+(0.066351-0.784227))+0-524.5-0.267494999999947</f>
        <v>1586.8088600000001</v>
      </c>
      <c r="T4" s="3">
        <f>3522.1+(121.5-1475.8)+(-3.592542+(-0.12393--1.505316))+0-611.1--0.623322000000097</f>
        <v>1555.1121660000006</v>
      </c>
      <c r="U4" s="3">
        <f>3332.9+(123.6-1398.2)+(-5.099337+(-0.189108--2.139246))+0-513.5--0.78565500000003</f>
        <v>1542.4364560000004</v>
      </c>
      <c r="V4" s="3">
        <f>3511.8+(128.1-1523.1)+(0+(0-0))+0-571.6-0</f>
        <v>1545.2000000000003</v>
      </c>
      <c r="W4" s="3">
        <f>3613.9+(170.2-1582.6)+(-1.843089+(-0.086802--0.807126))+0-621--0.316709999999937</f>
        <v>1579.6939449999998</v>
      </c>
      <c r="X4" s="3">
        <f>3586.3+(182.2-1645.9)+(-1.829013+(-0.092922--0.839409))+0-506.4--0.258263999999949</f>
        <v>1615.3757380000002</v>
      </c>
      <c r="Y4" s="3">
        <f>3958+(119.4-1726.3)+(-2.01858+(-0.060894--0.880413))+0-565.1--0.288200999999943</f>
        <v>1785.0891400000005</v>
      </c>
      <c r="Z4" s="3">
        <f>4488.3+(144.5-2023.2)+(-9.156132+(-0.29478--4.127328))+0-638.6--1.30274399999997</f>
        <v>1966.9791600000003</v>
      </c>
      <c r="AA4" s="3">
        <f>4149.1+(148.4-1852.5)+(-4.232082+(-0.151368--1.88955))+0-525.6--0.536112000000084</f>
        <v>1917.4422120000006</v>
      </c>
      <c r="AB4" s="3">
        <f>4114.1+(160.2-1789.8)+(0+(0-0))+0-632-0</f>
        <v>1852.5000000000005</v>
      </c>
      <c r="AC4" s="3">
        <f>3972.8+(167-1749)+(-4.052256+(-0.17034--1.78398))+0-593.6--0.605472000000095</f>
        <v>1795.3668560000006</v>
      </c>
      <c r="AD4">
        <f t="shared" si="0"/>
        <v>37675.554540999998</v>
      </c>
      <c r="AE4" s="3">
        <f>4605+(141-2136)+(0+(0-0))+0-577-0</f>
        <v>2033</v>
      </c>
    </row>
    <row r="5" spans="1:31" customFormat="1" x14ac:dyDescent="0.25">
      <c r="A5">
        <v>89</v>
      </c>
      <c r="B5">
        <v>1</v>
      </c>
      <c r="C5">
        <v>5</v>
      </c>
      <c r="D5">
        <v>6</v>
      </c>
      <c r="E5">
        <v>6</v>
      </c>
      <c r="F5" s="3">
        <f>3250+(267.4-1273.1)+(-8.2875+(-0.68187--3.246405))+0-544.5--1.38847499999992</f>
        <v>1695.4655100000002</v>
      </c>
      <c r="G5" s="3">
        <f>3011.2+(266.2-1099.8)+(-4.607136+(-0.407286--1.682694))+0-597.8--0.914634000000034</f>
        <v>1577.3829059999998</v>
      </c>
      <c r="H5" s="3">
        <f>3088.6+(261.6-1270.2)+(-3.150372+(-0.266832--1.295604))+0-604.9--0.616998000000096</f>
        <v>1473.5953980000002</v>
      </c>
      <c r="I5" s="3">
        <f>2939.3+(211.6-1131.8)+(-1.499043+(-0.107916--0.577218))+0-610.3--0.311252999999938</f>
        <v>1408.0815120000002</v>
      </c>
      <c r="J5" s="3">
        <f>3049.6+(152.5-1250.6)+(-1.555296+(-0.077775--0.637806))+0-572.3--0.291872999999942</f>
        <v>1378.4966079999999</v>
      </c>
      <c r="K5" s="3">
        <f>3184.1+(172.6-1336.3)+(-1.623891+(-0.088026--0.681513))+0-649--0.330989999999934</f>
        <v>1370.7005859999997</v>
      </c>
      <c r="L5" s="3">
        <f>2944.5+(189.5-1211)+(-6.00678+(-0.38658--2.47044))+0-529.8--1.08079199999998</f>
        <v>1390.357872</v>
      </c>
      <c r="M5" s="3">
        <f>2614.2+(229.1-953.9)+(1.333242+(0.116841-0.486489))+0-496.1-0.25301099999995</f>
        <v>1394.010583</v>
      </c>
      <c r="N5" s="3">
        <f>3195.9+(108.9-1379.5)+(1.629909+(0.055539-0.703545))+0-481.8-0.245717999999951</f>
        <v>1444.2361850000004</v>
      </c>
      <c r="O5" s="3">
        <f>3430.7+(94.5-1541.2)+(1.749657+(0.048195-0.786012))+0-475.7-0.242606999999952</f>
        <v>1509.0692329999997</v>
      </c>
      <c r="P5" s="3">
        <f>3304.5+(124.4-1331.8)+(0+(0-0))+0-522.6-0</f>
        <v>1574.5000000000005</v>
      </c>
      <c r="Q5" s="3">
        <f>3554.4+(134.5-1553.4)+(3.625488+(0.13719-1.584468))+0-515.4-0.525708000000082</f>
        <v>1621.7525019999998</v>
      </c>
      <c r="R5" s="3">
        <f>3561.8+(124.4-1636)+(-1.816518+(-0.063444--0.83436))+0-400.6--0.204305999999959</f>
        <v>1648.7587040000001</v>
      </c>
      <c r="S5" s="3">
        <f>3325.3+(119.1-1382.6)+(-3.391806+(-0.121482--1.410252))+0-412.9--0.421158000000066</f>
        <v>1647.2181220000002</v>
      </c>
      <c r="T5" s="3">
        <f>3503.7+(112.2-1445.8)+(1.786887+(0.057222-0.737358))+0-509.2-0.259691999999948</f>
        <v>1661.7470589999998</v>
      </c>
      <c r="U5" s="3">
        <f>3146.8+(118.8-1162.2)+(-3.209736+(-0.121176--1.185444))+0-449.6--0.458592000000072</f>
        <v>1652.1131240000002</v>
      </c>
      <c r="V5" s="3">
        <f>2994.7+(127-965.2)+(0+(0-0))+0-505.1-0</f>
        <v>1651.4</v>
      </c>
      <c r="W5" s="3">
        <f>3033.9+(149.9-1067.9)+(-4.641867+(-0.229347--1.633887))+0-443.1--0.677943000000026</f>
        <v>1670.2406160000003</v>
      </c>
      <c r="X5" s="3">
        <f>3074.9+(222.5-1139.3)+(-6.272796+(-0.4539--2.324172))+0-486.4--0.992255999999979</f>
        <v>1668.2897320000002</v>
      </c>
      <c r="Y5" s="3">
        <f>3716.6+(124.8-1528.3)+(-3.790932+(-0.127296--1.558866))+0-519.6--0.529992000000083</f>
        <v>1791.6706299999998</v>
      </c>
      <c r="Z5" s="3">
        <f>4285.2+(122.1-1879.3)+(-6.556356+(-0.186813--2.875329))+0-498.9--0.763317000000029</f>
        <v>2025.9954769999999</v>
      </c>
      <c r="AA5" s="3">
        <f>4176.6+(128.3-1809.7)+(0+(0-0))+0-509.4-0</f>
        <v>1985.8000000000002</v>
      </c>
      <c r="AB5" s="3">
        <f>4224.8+(122-1891)+(-2.154648+(-0.06222--0.96441))+0-515.3--0.262802999999948</f>
        <v>1939.5103450000001</v>
      </c>
      <c r="AC5" s="3">
        <f>4074.7+(125.7-1773.9)+(-4.156194+(-0.128214--1.809378))+0-517.8--0.528156000000083</f>
        <v>1906.7531260000001</v>
      </c>
      <c r="AD5">
        <f t="shared" si="0"/>
        <v>39087.145830000009</v>
      </c>
      <c r="AE5" s="3">
        <f>4587+(113-2041)+(0+(0-0))+0-511-0</f>
        <v>2148</v>
      </c>
    </row>
    <row r="6" spans="1:31" customFormat="1" x14ac:dyDescent="0.25">
      <c r="A6">
        <v>89</v>
      </c>
      <c r="B6">
        <v>1</v>
      </c>
      <c r="C6">
        <v>6</v>
      </c>
      <c r="D6">
        <v>7</v>
      </c>
      <c r="E6">
        <v>1</v>
      </c>
      <c r="F6" s="3">
        <f>3860.1+(124.5-1715.5)+(-1.968651+(-0.063495--0.874905))+0-468.6--0.238985999999952</f>
        <v>1799.581745</v>
      </c>
      <c r="G6" s="3">
        <f>3110.4+(177.6-1132.1)+(-3.172608+(-0.181152--1.154742))+0-514.6--0.524892000000082</f>
        <v>1639.6258740000005</v>
      </c>
      <c r="H6" s="3">
        <f>2745.7+(231.2-906)+(-4.200921+(-0.353736--1.38618))+0-568.1--0.869193000000033</f>
        <v>1500.5007159999996</v>
      </c>
      <c r="I6" s="3">
        <f>2573.4+(256.3-957.2)+(0+(0-0))+0-451.2-0</f>
        <v>1421.3</v>
      </c>
      <c r="J6" s="3">
        <f>2698.2+(253.7-1000)+(-4.128246+(-0.388161--1.53))+0-566.3--0.866439000000033</f>
        <v>1383.4800319999999</v>
      </c>
      <c r="K6" s="3">
        <f>2811.2+(234.6-1249.9)+(0+(0-0))+0-428.2-0</f>
        <v>1367.6999999999996</v>
      </c>
      <c r="L6" s="3">
        <f>2926.3+(326.3-1287.4)+(4.477239+(0.499239-1.969722))+0-499.1-0.763623000000029</f>
        <v>1468.3431330000001</v>
      </c>
      <c r="M6" s="3">
        <f>2514.3+(323.3-941.8)+(-7.693758+(-0.989298--2.881908))+0-452.9--1.38587400000005</f>
        <v>1438.4847260000001</v>
      </c>
      <c r="N6" s="3">
        <f>2750.2+(275-1050.5)+(2.805204+(0.2805-1.07151))+0-509.2-0.519384000000081</f>
        <v>1466.9948099999997</v>
      </c>
      <c r="O6" s="3">
        <f>3092.4+(218.1-1300.8)+(0+(0-0))+0-483.8-0</f>
        <v>1525.9</v>
      </c>
      <c r="P6" s="3">
        <f>3389.2+(146.8-1331.9)+(0+(0-0))+0-624.1-0</f>
        <v>1579.9999999999995</v>
      </c>
      <c r="Q6" s="3">
        <f>3518.9+(124.3-1556.6)+(3.589278+(0.126786-1.587732))+0-435.9-0.444618000000069</f>
        <v>1652.3837140000005</v>
      </c>
      <c r="R6" s="3">
        <f>3946.4+(117.3-1782)+(0+(0-0))+0-626.5-0</f>
        <v>1655.1999999999998</v>
      </c>
      <c r="S6" s="3">
        <f>3733.9+(102.6-1704.1)+(-5.712867+(-0.156978--2.607273))+0-444.6--0.680238000000026</f>
        <v>1685.217666</v>
      </c>
      <c r="T6" s="3">
        <f>3584.2+(102.1-1428.9)+(-5.483826+(-0.156213--2.186217))+0-611.6--0.935748000000035</f>
        <v>1643.2819259999999</v>
      </c>
      <c r="U6" s="3">
        <f>3419.8+(103.8-1387.4)+(-5.232294+(-0.158814--2.122722))+0-500.2--0.765306000000029</f>
        <v>1633.4969199999996</v>
      </c>
      <c r="V6" s="3">
        <f>3365.7+(120.3-1250)+(-5.149521+(-0.184059--1.9125))+0-583.7--0.893061000000034</f>
        <v>1649.7719809999999</v>
      </c>
      <c r="W6" s="3">
        <f>3255.3+(189.9-1261)+(0+(0-0))+0-509.9-0</f>
        <v>1674.3000000000002</v>
      </c>
      <c r="X6" s="3">
        <f>3392+(335.5-1438)+(-5.18976+(-0.513315--2.20014))+0-561.3--0.858789000000032</f>
        <v>1725.5558540000002</v>
      </c>
      <c r="Y6" s="3">
        <f>3633.1+(260.4-1644.8)+(-5.558643+(-0.398412--2.516544))+0-432.8--0.662184000000025</f>
        <v>1813.1216730000001</v>
      </c>
      <c r="Z6" s="3">
        <f>3598.8+(489.8-1434.6)+(-7.341552+(-0.999192--2.926584))+0-610.7--1.24582799999997</f>
        <v>2039.1316680000002</v>
      </c>
      <c r="AA6" s="3">
        <f>3396.7+(511.2-1457.1)+(-3.464634+(-0.521424--1.486242))+0-504.1--0.51418200000008</f>
        <v>1944.7143660000004</v>
      </c>
      <c r="AB6" s="3">
        <f>3572+(428.8-1548)+(-1.82172+(-0.218688--0.78948))+0-530.6--0.270605999999946</f>
        <v>1921.2196780000004</v>
      </c>
      <c r="AC6" s="3">
        <f>3437.1+(367.6-1506.2)+(0+(0-0))+0-505.7-0</f>
        <v>1792.8</v>
      </c>
      <c r="AD6">
        <f t="shared" si="0"/>
        <v>39422.106482000003</v>
      </c>
      <c r="AE6" s="3">
        <f>3604.1+(449-1602)+(0+(0-0))+0-650-0</f>
        <v>1801.1</v>
      </c>
    </row>
    <row r="7" spans="1:31" customFormat="1" x14ac:dyDescent="0.25">
      <c r="A7">
        <v>89</v>
      </c>
      <c r="B7">
        <v>1</v>
      </c>
      <c r="C7">
        <v>7</v>
      </c>
      <c r="D7">
        <v>1</v>
      </c>
      <c r="E7">
        <v>1</v>
      </c>
      <c r="F7" s="3">
        <f>3562.2+(257.3-1524.3)+(-1.816722+(-0.131223--0.777393))+0-493.1--0.25148099999995</f>
        <v>1801.1809289999999</v>
      </c>
      <c r="G7" s="3">
        <f>3525.2+(168.7-1440.5)+(-5.393556+(-0.258111--2.203965))+0-540.5--0.826965000000031</f>
        <v>1710.2792629999997</v>
      </c>
      <c r="H7" s="3">
        <f>3022.2+(239.9-1128.2)+(0+(0-0))+0-494.1-0</f>
        <v>1639.7999999999997</v>
      </c>
      <c r="I7" s="3">
        <f>2621.6+(302.7-840.8)+(-5.348064+(-0.617508--1.715232))+0-505.2--1.03060799999998</f>
        <v>1575.0802679999999</v>
      </c>
      <c r="J7" s="3">
        <f>2438.6+(344.3-675.7)+(1.243686+(0.175593-0.344607))+0-565.5-0.288404999999943</f>
        <v>1542.486267</v>
      </c>
      <c r="K7" s="3">
        <f>2366.1+(349.7-668.1)+(-1.206711+(-0.178347--0.340731))+0-513.1--0.261680999999948</f>
        <v>1533.8173539999998</v>
      </c>
      <c r="L7" s="3">
        <f>2368+(353.5-684.7)+(-2.41536+(-0.36057--0.698394))+0-521.3--0.531726000000083</f>
        <v>1513.9541900000002</v>
      </c>
      <c r="M7" s="3">
        <f>2102.4+(416.9-423.3)+(-4.288896+(-0.850476--0.863532))+0-597.7--1.21930799999997</f>
        <v>1495.2434680000001</v>
      </c>
      <c r="N7" s="3">
        <f>2249.1+(312.9-594.9)+(2.294082+(0.319158-0.606798))+0-466.8-0.476136000000074</f>
        <v>1501.8303060000001</v>
      </c>
      <c r="O7" s="3">
        <f>2622.3+(305.9-922.7)+(-1.337373+(-0.156009--0.470577))+0-464.4--0.236843999999953</f>
        <v>1540.3140389999999</v>
      </c>
      <c r="P7" s="3">
        <f>3101.1+(225.7-1271.5)+(0+(0-0))+0-439.9-0</f>
        <v>1615.4</v>
      </c>
      <c r="Q7" s="3">
        <f>3255.7+(278.6-1331.5)+(-3.320814+(-0.284172--1.35813))+0-542.7--0.553554000000087</f>
        <v>1658.4066979999996</v>
      </c>
      <c r="R7" s="3">
        <f>3257.4+(240.9-1348.5)+(-1.661274+(-0.122859--0.687735))+0-462.8--0.236027999999953</f>
        <v>1686.1396300000001</v>
      </c>
      <c r="S7" s="3">
        <f>2932.9+(228.1-906.6)+(-4.487337+(-0.348993--1.387098))+0-544.4--0.832932000000031</f>
        <v>1707.3837000000001</v>
      </c>
      <c r="T7" s="3">
        <f>2552.3+(227.3-562.1)+(-5.206692+(-0.463692--1.146684))+0-502.5--1.02509999999998</f>
        <v>1711.5013999999999</v>
      </c>
      <c r="U7" s="3">
        <f>2550.1+(189.3-454.1)+(-2.601102+(-0.193086--0.463182))+0-615.4--0.627708000000098</f>
        <v>1668.196702</v>
      </c>
      <c r="V7" s="3">
        <f>2572.3+(189.9-518.5)+(-6.559365+(-0.484245--1.322175))+0-546.7--1.39408499999992</f>
        <v>1692.6726500000002</v>
      </c>
      <c r="W7" s="3">
        <f>2726.1+(228.2-750.8)+(0+(0-0))+0-472.7-0</f>
        <v>1730.8</v>
      </c>
      <c r="X7" s="3">
        <f>2917.4+(277.9-949)+(-4.463622+(-0.425187--1.45197))+0-516.6--0.79039800000003</f>
        <v>1727.0535590000004</v>
      </c>
      <c r="Y7" s="3">
        <f>3154.4+(237.4-1053.1)+(0+(0-0))+0-456.1-0</f>
        <v>1882.6000000000004</v>
      </c>
      <c r="Z7" s="3">
        <f>3178+(451-992.5)+(-3.24156+(-0.46002--1.01235))+0-577.1--0.588642000000092</f>
        <v>2057.2994120000003</v>
      </c>
      <c r="AA7" s="3">
        <f>3458+(432.5-1330.2)+(-3.52716+(-0.44115--1.356804))+0-540.8--0.551616000000086</f>
        <v>2017.4401100000002</v>
      </c>
      <c r="AB7" s="3">
        <f>3574.1+(337.2-1423.4)+(-1.822791+(-0.171972--0.725934))+0-530.4--0.270503999999946</f>
        <v>1956.5016749999993</v>
      </c>
      <c r="AC7" s="3">
        <f>3688+(288.7-1455.4)+(-1.88088+(-0.147237--0.742254))+0-612.2--0.312221999999938</f>
        <v>1908.1263590000001</v>
      </c>
      <c r="AD7">
        <f t="shared" si="0"/>
        <v>40873.507979000009</v>
      </c>
      <c r="AE7" s="3">
        <f>3106.1+(470-970)+(0+(0-0))+0-635-0</f>
        <v>1971.1</v>
      </c>
    </row>
    <row r="8" spans="1:31" customFormat="1" x14ac:dyDescent="0.25">
      <c r="A8">
        <v>89</v>
      </c>
      <c r="B8">
        <v>1</v>
      </c>
      <c r="C8">
        <v>8</v>
      </c>
      <c r="D8">
        <v>2</v>
      </c>
      <c r="E8">
        <v>1</v>
      </c>
      <c r="F8" s="3">
        <f>2919.4+(372-888.1)+(-5.955576+(-0.75888--1.811724))+0-560.2--1.14280799999998</f>
        <v>1839.3400760000002</v>
      </c>
      <c r="G8" s="3">
        <f>2225.8+(504.3-415.4)+(-3.405474+(-0.771579--0.635562))+0-592.7--0.906831000000034</f>
        <v>1719.3653400000003</v>
      </c>
      <c r="H8" s="3">
        <f>2186.9+(539.7-468.4)+(-4.461276+(-1.100988--0.955536))+0-619.2--1.26316799999997</f>
        <v>1635.65644</v>
      </c>
      <c r="I8" s="3">
        <f>2055.4+(511.1-469.3)+(-2.096508+(-0.521322--0.478686))+0-617.1--0.629442000000098</f>
        <v>1478.5902980000003</v>
      </c>
      <c r="J8" s="3">
        <f>2274.8+(429.7-604.3)+(0+(0-0))+0-576.5-0</f>
        <v>1523.7000000000003</v>
      </c>
      <c r="K8" s="3">
        <f>2210+(422.1-563.3)+(1.1271+(0.215271-0.287283))+0-593.8-0.30283799999994</f>
        <v>1475.7522500000005</v>
      </c>
      <c r="L8" s="3">
        <f>2264.3+(451.4-643.4)+(2.309586+(0.460428-0.656268))+0-583.1-0.594762000000093</f>
        <v>1490.7189840000001</v>
      </c>
      <c r="M8" s="3">
        <f>2220.4+(467.9-611.4)+(-1.132404+(-0.238629--0.311814))+0-578--0.294779999999941</f>
        <v>1498.1355609999998</v>
      </c>
      <c r="N8" s="3">
        <f>2303.8+(396-579.2)+(-1.174938+(-0.20196--0.295392))+0-584--0.297839999999941</f>
        <v>1535.8163340000003</v>
      </c>
      <c r="O8" s="3">
        <f>2262.8+(407.6-642.7)+(-2.308056+(-0.415752--0.655554))+0-465.8--0.475116000000074</f>
        <v>1560.3068620000004</v>
      </c>
      <c r="P8" s="3">
        <f>2449.7+(354.4-750.8)+(0+(0-0))+0-427.8-0</f>
        <v>1625.4999999999998</v>
      </c>
      <c r="Q8" s="3">
        <f>2656.7+(315.1-738.4)+(-2.709834+(-0.321402--0.753168))+0-571.1--0.582522000000091</f>
        <v>1660.6044539999998</v>
      </c>
      <c r="R8" s="3">
        <f>2402.4+(292-531.5)+(-3.675672+(-0.44676--0.813195))+0-482.1--0.737613000000028</f>
        <v>1678.2283760000003</v>
      </c>
      <c r="S8" s="3">
        <f>2756.6+(170.8-649.8)+(0+(0-0))+0-543.3-0</f>
        <v>1734.3</v>
      </c>
      <c r="T8" s="3">
        <f>2785.5+(131.7-671.7)+(-5.68242+(-0.268668--1.370268))+0-494.1--1.00796399999998</f>
        <v>1747.8271439999999</v>
      </c>
      <c r="U8" s="3">
        <f>2644.4+(121.9-589.2)+(-4.045932+(-0.186507--0.901476))+0-470.8--0.720324000000027</f>
        <v>1703.6893610000002</v>
      </c>
      <c r="V8" s="3">
        <f>2881.7+(123.2-741.9)+(-1.469667+(-0.062832--0.378369))+0-579.1--0.295340999999941</f>
        <v>1683.0412110000002</v>
      </c>
      <c r="W8" s="3">
        <f>3060.1+(148.5-1072.8)+(-4.681953+(-0.227205--1.641384))+0-440.4--0.673812000000025</f>
        <v>1692.8060380000002</v>
      </c>
      <c r="X8" s="3">
        <f>3254.1+(212.3-1297.6)+(-1.659591+(-0.108273--0.661776))+0-464.7--0.236996999999953</f>
        <v>1703.2309090000001</v>
      </c>
      <c r="Y8" s="3">
        <f>3734.3+(281.2-1790)+(-3.808986+(-0.286824--1.8258))+0-522.6--0.533052000000083</f>
        <v>1701.1630419999999</v>
      </c>
      <c r="Z8" s="3">
        <f>3881.5+(444.4-1814.9)+(-7.91826+(-0.906576--3.702396))+0-451--0.92003999999998</f>
        <v>2055.7975999999999</v>
      </c>
      <c r="AA8" s="3">
        <f>4133.1+(485-2002.6)+(-2.107881+(-0.24735--1.021326))+0-607.5--0.309824999999938</f>
        <v>2006.9759200000005</v>
      </c>
      <c r="AB8" s="3">
        <f>4072.9+(396.2-2027.6)+(-6.231537+(-0.606186--3.102228))+0-486.8--0.744804000000028</f>
        <v>1951.7093090000001</v>
      </c>
      <c r="AC8" s="3">
        <f>4095.6+(387.4-2061.8)+(2.088756+(0.197574-1.051518))+0-538.6-0.274685999999945</f>
        <v>1883.5601260000001</v>
      </c>
      <c r="AD8">
        <f t="shared" si="0"/>
        <v>40585.815634999992</v>
      </c>
      <c r="AE8" s="3">
        <f>3785+(455-1828)+(0+(0-0))+0-430-0</f>
        <v>1982</v>
      </c>
    </row>
    <row r="9" spans="1:31" customFormat="1" x14ac:dyDescent="0.25">
      <c r="A9">
        <v>89</v>
      </c>
      <c r="B9">
        <v>1</v>
      </c>
      <c r="C9">
        <v>9</v>
      </c>
      <c r="D9">
        <v>3</v>
      </c>
      <c r="E9">
        <v>1</v>
      </c>
      <c r="F9" s="3">
        <f>3655.1+(461.5-1843.2)+(-9.320505+(-1.176825--4.70016))+0-514.6--1.31222999999993</f>
        <v>1754.3150599999999</v>
      </c>
      <c r="G9" s="3">
        <f>3162.7+(591.3-1461.2)+(-8.064885+(-1.507815--3.72606))+0-639.1--1.62970499999991</f>
        <v>1649.4830649999994</v>
      </c>
      <c r="H9" s="3">
        <f>2464.1+(645.9-1018.9)+(0+(0-0))+0-559.4-0</f>
        <v>1531.6999999999998</v>
      </c>
      <c r="I9" s="3">
        <f>2187.6+(672.9-811)+(-2.231352+(-0.686358--0.82722))+0-577--0.588540000000092</f>
        <v>1470.9980500000001</v>
      </c>
      <c r="J9" s="3">
        <f>2021.1+(675.2-697)+(-5.153805+(-1.72176--1.77735))+0-561.3--1.43131499999992</f>
        <v>1434.3330999999998</v>
      </c>
      <c r="K9" s="3">
        <f>2326.3+(553.3-842)+(-2.372826+(-0.564366--0.85884))+0-610--0.622200000000097</f>
        <v>1426.1438480000002</v>
      </c>
      <c r="L9" s="3">
        <f>2202.5+(665.6-854.3)+(0+(0-0))+0-580.6-0</f>
        <v>1433.2000000000003</v>
      </c>
      <c r="M9" s="3">
        <f>1976.3+(777.3-757.9)+(-1.007913+(-0.396423--0.386529))+0-568.4--0.289883999999942</f>
        <v>1426.572077</v>
      </c>
      <c r="N9" s="3">
        <f>1983.8+(620.5-554.4)+(-2.023476+(-0.63291--0.565488))+0-512.5--0.522750000000082</f>
        <v>1535.8318520000003</v>
      </c>
      <c r="O9" s="3">
        <f>1906.8+(581.1-456.1)+(-0.972468+(-0.296361--0.232611))+0-494.6--0.25224599999995</f>
        <v>1536.4160280000001</v>
      </c>
      <c r="P9" s="3">
        <f>2289+(621.6-733.1)+(0+(0-0))+0-582.5-0</f>
        <v>1595</v>
      </c>
      <c r="Q9" s="3">
        <f>2485.6+(598.2-907.5)+(0+(0-0))+0-513.4-0</f>
        <v>1662.9</v>
      </c>
      <c r="R9" s="3">
        <f>2711.9+(590.1-1038.8)+(0+(0-0))+0-526.3-0</f>
        <v>1736.9000000000003</v>
      </c>
      <c r="S9" s="3">
        <f>2588.9+(570.8-846.8)+(-5.281356+(-1.164432--1.727472))+0-536.5--1.09445999999998</f>
        <v>1772.7761440000002</v>
      </c>
      <c r="T9" s="3">
        <f>2421.9+(487.3-643)+(-3.705507+(-0.745569--0.98379))+0-476.3--0.728739000000028</f>
        <v>1787.1614530000004</v>
      </c>
      <c r="U9" s="3">
        <f>2550+(427.8-584.4)+(-1.3005+(-0.218178--0.298044))+0-606.8--0.309467999999938</f>
        <v>1785.6888340000003</v>
      </c>
      <c r="V9" s="3">
        <f>2368.2+(477.7-586.9)+(-4.831128+(-0.974508--1.197276))+0-560.7--1.14382799999998</f>
        <v>1694.8354679999998</v>
      </c>
      <c r="W9" s="3">
        <f>2296.6+(603.9-587.7)+(1.171266+(0.307989-0.299727))+0-573.4-0.292433999999942</f>
        <v>1740.2870939999998</v>
      </c>
      <c r="X9" s="3">
        <f>2360.6+(681.2-686.7)+(-4.815624+(-1.389648--1.400868))+0-614.2--1.25296799999997</f>
        <v>1737.3485639999999</v>
      </c>
      <c r="Y9" s="3">
        <f>3408.7+(407.4-1396.3)+(1.738437+(0.207774-0.712113))+0-540-0.275399999999945</f>
        <v>1880.7586979999996</v>
      </c>
      <c r="Z9" s="3">
        <f>4267.7+(423.8-1981.8)+(-8.706108+(-0.864552--4.042872))+0-580.7--1.18462799999997</f>
        <v>2124.6568399999996</v>
      </c>
      <c r="AA9" s="3">
        <f>4111.4+(432.5-1849.8)+(-2.096814+(-0.220575--0.943398))+0-596.4--0.304163999999939</f>
        <v>2096.6301729999996</v>
      </c>
      <c r="AB9" s="3">
        <f>4440.2+(305.4-2138.4)+(-4.529004+(-0.311508--2.181168))+0-547.5--0.558450000000087</f>
        <v>2057.5991059999997</v>
      </c>
      <c r="AC9" s="3">
        <f>4281+(357.6-2071.2)+(-6.54993+(-0.547128--3.168936))+0-558.5--0.854505000000032</f>
        <v>2005.8263830000003</v>
      </c>
      <c r="AD9">
        <f t="shared" si="0"/>
        <v>40877.361837000004</v>
      </c>
      <c r="AE9" s="3">
        <f>4427+(330.3-2057.9)+(0+(0-0))+0-481.2-0</f>
        <v>2218.1999999999998</v>
      </c>
    </row>
    <row r="10" spans="1:31" customFormat="1" x14ac:dyDescent="0.25">
      <c r="A10">
        <v>89</v>
      </c>
      <c r="B10">
        <v>1</v>
      </c>
      <c r="C10">
        <v>10</v>
      </c>
      <c r="D10">
        <v>4</v>
      </c>
      <c r="E10">
        <v>1</v>
      </c>
      <c r="F10" s="3">
        <f>4075.8+(415.8-2086.5)+(-8.314632+(-0.848232--4.25646))+0-458.4--0.93513599999998</f>
        <v>1942.7287320000005</v>
      </c>
      <c r="G10" s="3">
        <f>3021.8+(646.8-1393.1)+(-7.70559+(-1.64934--3.552405))+0-431.9--1.10134499999994</f>
        <v>1838.8988199999999</v>
      </c>
      <c r="H10" s="3">
        <f>2349.6+(759.3-834.2)+(-4.793184+(-1.548972--1.701768))+0-536.8--1.09507199999998</f>
        <v>1734.3546840000001</v>
      </c>
      <c r="I10" s="3">
        <f>2233.2+(738.8-786.6)+(-2.277864+(-0.753576--0.802332))+0-518.4--0.528768000000083</f>
        <v>1665.2996599999997</v>
      </c>
      <c r="J10" s="3">
        <f>2254.3+(748.3-719.9)+(0+(0-0))+0-687.5-0</f>
        <v>1595.2000000000003</v>
      </c>
      <c r="K10" s="3">
        <f>2214.5+(744.8-921.6)+(-2.25879+(-0.759696--0.940032))+0-466.7--0.476034000000074</f>
        <v>1569.3975799999998</v>
      </c>
      <c r="L10" s="3">
        <f>2299.2+(779.6-909.3)+(-2.345184+(-0.795192--0.927486))+0-611--0.623220000000097</f>
        <v>1556.9103300000004</v>
      </c>
      <c r="M10" s="3">
        <f>2068.3+(765.7-747.6)+(-2.109666+(-0.781014--0.762552))+0-560.8--0.572016000000089</f>
        <v>1524.0438880000004</v>
      </c>
      <c r="N10" s="3">
        <f>2302.8+(752.5-916.9)+(2.348856+(0.76755-0.935238))+0-585.8-0.597516000000093</f>
        <v>1554.1836520000002</v>
      </c>
      <c r="O10" s="3">
        <f>2491.7+(666.3-912.5)+(1.270767+(0.339813-0.465375))+0-534-0.272339999999946</f>
        <v>1712.3728649999998</v>
      </c>
      <c r="P10" s="3">
        <f>2548.1+(630.2-1017.8)+(-1.299531+(-0.321402--0.519078))+0-464.1--0.236690999999953</f>
        <v>1695.5348360000003</v>
      </c>
      <c r="Q10" s="3">
        <f>2893+(550.2-1110.7)+(1.47543+(0.280602-0.566457))+0-581.2-0.296411999999941</f>
        <v>1752.1931629999999</v>
      </c>
      <c r="R10" s="3">
        <f>2747.2+(486.2-906)+(-2.802144+(-0.495924--0.92412))+0-531.4--0.542028000000085</f>
        <v>1794.1680799999997</v>
      </c>
      <c r="S10" s="3">
        <f>2774.2+(460.3-838.4)+(-5.659368+(-0.939012--1.710336))+0-538.9--1.09935599999998</f>
        <v>1853.411312</v>
      </c>
      <c r="T10" s="3">
        <f>2752.7+(436.5-827.2)+(2.807754+(0.44523-0.843744))+0-460.8-0.470016000000073</f>
        <v>1903.139224</v>
      </c>
      <c r="U10" s="3">
        <f>2667.5+(438.5-752.6)+(0+(0-0))+0-458.2-0</f>
        <v>1895.2</v>
      </c>
      <c r="V10" s="3">
        <f>2616.1+(467.4-709.2)+(-2.668422+(-0.476748--0.723384))+0-512.8--0.523056000000082</f>
        <v>1859.6012699999999</v>
      </c>
      <c r="W10" s="3">
        <f>2691.1+(443.3-918.5)+(-1.372461+(-0.226083--0.468435))+0-453.9--0.231488999999954</f>
        <v>1761.1013799999998</v>
      </c>
      <c r="X10" s="3">
        <f>2959+(465.1-1084.5)+(-3.01818+(-0.474402--1.10619))+0-545.2--0.556104000000087</f>
        <v>1792.569712</v>
      </c>
      <c r="Y10" s="3">
        <f>3331.1+(512.3-1340.2)+(-5.096583+(-0.783819--2.050506))+0-596.8--0.913104000000034</f>
        <v>1903.4832079999996</v>
      </c>
      <c r="Z10" s="3">
        <f>3931.8+(481.9-1679.7)+(-4.010436+(-0.491538--1.713294))+0-546.9--0.557838000000087</f>
        <v>2184.869158</v>
      </c>
      <c r="AA10" s="3">
        <f>4280+(360.8-1937.4)+(-8.7312+(-0.736032--3.952296))+0-543.4--1.10853599999998</f>
        <v>2155.5935999999997</v>
      </c>
      <c r="AB10" s="3">
        <f>4260.6+(271.4-1864.1)+(-8.691624+(-0.553656--3.802764))+0-489--0.997559999999979</f>
        <v>2174.4550440000003</v>
      </c>
      <c r="AC10" s="3">
        <f>4070.5+(266.4-1732.9)+(-6.227865+(-0.407592--2.651337))+0-514.3--0.78687900000003</f>
        <v>2086.502759</v>
      </c>
      <c r="AD10">
        <f t="shared" si="0"/>
        <v>43505.212957000003</v>
      </c>
      <c r="AE10" s="3">
        <f>4056+(504.3-1715.1)+(0+(0-0))+0-588-0</f>
        <v>2257.1999999999998</v>
      </c>
    </row>
    <row r="11" spans="1:31" customFormat="1" x14ac:dyDescent="0.25">
      <c r="A11">
        <v>89</v>
      </c>
      <c r="B11">
        <v>1</v>
      </c>
      <c r="C11">
        <v>11</v>
      </c>
      <c r="D11">
        <v>5</v>
      </c>
      <c r="E11">
        <v>1</v>
      </c>
      <c r="F11" s="3">
        <f>3321.3+(325.1-1083.2)+(-8.469315+(-0.829005--2.76216))+0-556.5--1.41907499999992</f>
        <v>2001.5829150000002</v>
      </c>
      <c r="G11" s="3">
        <f>2691.3+(430.4-675.8)+(-4.117689+(-0.658512--1.033974))+0-517.8--0.79223400000003</f>
        <v>1925.150007</v>
      </c>
      <c r="H11" s="3">
        <f>2307.2+(513.3-484.8)+(-4.706688+(-1.047132--0.988992))+0-502--1.02407999999998</f>
        <v>1829.9592519999999</v>
      </c>
      <c r="I11" s="3">
        <f>2278.1+(563.3-450.9)+(-4.647324+(-1.149132--0.919836))+0-648.1--1.32212399999997</f>
        <v>1738.8455040000001</v>
      </c>
      <c r="J11" s="3">
        <f>2101+(558.5-483)+(-3.21453+(-0.854505--0.73899))+0-485.6--0.742968000000028</f>
        <v>1688.312923</v>
      </c>
      <c r="K11" s="3">
        <f>2434.6+(536.8-657.5)+(0+(0-0))+0-654.2-0</f>
        <v>1659.6999999999996</v>
      </c>
      <c r="L11" s="3">
        <f>2323.4+(564.6-719.7)+(-3.554802+(-0.863838--1.101141))+0-518.6--0.79345800000003</f>
        <v>1647.1759590000001</v>
      </c>
      <c r="M11" s="3">
        <f>2213.7+(578.5-589.9)+(0+(0-0))+0-622.6-0</f>
        <v>1579.6999999999998</v>
      </c>
      <c r="N11" s="3">
        <f>2349.1+(500.3-583.3)+(-1.198041+(-0.255153--0.297483))+0-542.9--0.276878999999945</f>
        <v>1722.3211679999999</v>
      </c>
      <c r="O11" s="3">
        <f>2526.9+(492.6-830.4)+(-1.288719+(-0.251226--0.423504))+0-556.7--0.283916999999944</f>
        <v>1631.5674760000002</v>
      </c>
      <c r="P11" s="3">
        <f>2517.4+(553.6-815.1)+(-7.703244+(-1.694016--2.494206))+0-545.8--1.67014800000006</f>
        <v>1704.8670940000004</v>
      </c>
      <c r="Q11" s="3">
        <f>2689.3+(492.2-934.3)+(0+(0-0))+0-481.3-0</f>
        <v>1765.9000000000003</v>
      </c>
      <c r="R11" s="3">
        <f>2750.3+(535.6-894.2)+(-2.805306+(-0.546312--0.912084))+0-547.4--0.558348000000087</f>
        <v>1842.4188140000001</v>
      </c>
      <c r="S11" s="3">
        <f>2476+(535.3-581)+(0+(0-0))+0-535.2-0</f>
        <v>1895.1000000000001</v>
      </c>
      <c r="T11" s="3">
        <f>2422.1+(527-405.1)+(-1.235271+(-0.26877--0.206601))+0-615.3--0.313802999999938</f>
        <v>1927.7163630000002</v>
      </c>
      <c r="U11" s="3">
        <f>2313.8+(509.2-399)+(-4.720152+(-1.038768--0.81396))+0-497--1.01387999999998</f>
        <v>1923.0689200000002</v>
      </c>
      <c r="V11" s="3">
        <f>2350.4+(540.5-405.2)+(-2.397408+(-0.55131--0.413304))+0-586.5--0.598230000000094</f>
        <v>1897.2628160000004</v>
      </c>
      <c r="W11" s="3">
        <f>2418.8+(493.8-516.5)+(-3.700764+(-0.755514--0.790245))+0-519.7--0.79514100000003</f>
        <v>1873.5291080000004</v>
      </c>
      <c r="X11" s="3">
        <f>2469.1+(497-532.3)+(-2.518482+(-0.50694--0.542946))+0-599.4--0.611388000000096</f>
        <v>1832.528912</v>
      </c>
      <c r="Y11" s="3">
        <f>3095.2+(362.2-989.9)+(-1.578552+(-0.184722--0.504849))+0-546.5--0.278714999999945</f>
        <v>1920.0202899999999</v>
      </c>
      <c r="Z11" s="3">
        <f>3687.5+(502.5-1570.9)+(-5.641875+(-0.768825--2.403477))+0-492.1--0.752913000000028</f>
        <v>2123.7456899999997</v>
      </c>
      <c r="AA11" s="3">
        <f>3876.4+(477.4-1628.4)+(-5.930892+(-0.730422--2.491452))+0-612.8--0.937584000000035</f>
        <v>2109.367722</v>
      </c>
      <c r="AB11" s="3">
        <f>3797.5+(483.6-1664.6)+(-5.810175+(-0.739908--2.546838))+0-561.9--0.859707000000032</f>
        <v>2051.4564620000001</v>
      </c>
      <c r="AC11" s="3">
        <f>3571.6+(463.1-1546.3)+(-5.464548+(-0.708543--2.365839))+0-500.1--0.765153000000029</f>
        <v>1985.2579010000002</v>
      </c>
      <c r="AD11">
        <f t="shared" si="0"/>
        <v>44276.555296000006</v>
      </c>
      <c r="AE11" s="3">
        <f>3713+(496.7-1602.7)+(0+(0-0))+0-475.5-0</f>
        <v>2131.5</v>
      </c>
    </row>
    <row r="12" spans="1:31" customFormat="1" x14ac:dyDescent="0.25">
      <c r="A12">
        <v>89</v>
      </c>
      <c r="B12">
        <v>1</v>
      </c>
      <c r="C12">
        <v>12</v>
      </c>
      <c r="D12">
        <v>6</v>
      </c>
      <c r="E12">
        <v>2</v>
      </c>
      <c r="F12" s="3">
        <f>2664.8+(550.2-780.9)+(-5.436192+(-1.122408--1.593036))+0-568--1.15871999999998</f>
        <v>1862.2931560000002</v>
      </c>
      <c r="G12" s="3">
        <f>2088.1+(647.2-479.3)+(-1.064931+(-0.330072--0.244443))+0-512.9--0.261578999999948</f>
        <v>1742.2110189999999</v>
      </c>
      <c r="H12" s="3">
        <f>1934.7+(704.8-428.6)+(-2.960091+(-1.078344--0.655758))+0-544.7--0.833391000000032</f>
        <v>1663.6507140000001</v>
      </c>
      <c r="I12" s="3">
        <f>1802.9+(728.3-402.6)+(-3.677916+(-1.485732--0.821304))+0-538.2--1.09792799999998</f>
        <v>1587.1555839999996</v>
      </c>
      <c r="J12" s="3">
        <f>1900.6+(675.6-498.1)+(-1.938612+(-0.689112--0.508062))+0-531.9--0.542538000000085</f>
        <v>1544.6228759999999</v>
      </c>
      <c r="K12" s="3">
        <f>1935.4+(666.7-571.8)+(0+(0-0))+0-518.6-0</f>
        <v>1511.7000000000003</v>
      </c>
      <c r="L12" s="3">
        <f>1850.1+(733.6-509.8)+(-4.717755+(-1.87068--1.29999))+0-563.8--1.43768999999992</f>
        <v>1506.249245</v>
      </c>
      <c r="M12" s="3">
        <f>1809.4+(699.1-532)+(1.845588+(0.713082-0.54264))+0-499.3-0.50928600000008</f>
        <v>1478.7067440000001</v>
      </c>
      <c r="N12" s="3">
        <f>2109.2+(586-606.3)+(1.075692+(0.29886-0.309213))+0-597.7-0.304826999999939</f>
        <v>1491.9605119999999</v>
      </c>
      <c r="O12" s="3">
        <f>2283+(485.3-580.7)+(0+(0-0))+0-583.7-0</f>
        <v>1603.8999999999999</v>
      </c>
      <c r="P12" s="3">
        <f>2330.6+(441.5-633.4)+(-1.188606+(-0.225165--0.323034))+0-565.3--0.288302999999943</f>
        <v>1572.5975659999999</v>
      </c>
      <c r="Q12" s="3">
        <f>2279.5+(471.5-625.7)+(0+(0-0))+0-518.8-0</f>
        <v>1606.5000000000002</v>
      </c>
      <c r="R12" s="3">
        <f>2455.7+(484.2-715.2)+(-2.504814+(-0.493884--0.729504))+0-611.2--0.623424000000097</f>
        <v>1611.8542299999999</v>
      </c>
      <c r="S12" s="3">
        <f>2395.2+(383.6-594.5)+(-4.886208+(-0.782544--1.21278))+0-540.2--1.10200799999998</f>
        <v>1640.7460359999995</v>
      </c>
      <c r="T12" s="3">
        <f>2427.9+(341.8-535.1)+(3.714687+(0.522954-0.818703))+0-569.7-0.871641000000033</f>
        <v>1667.4472969999997</v>
      </c>
      <c r="U12" s="3">
        <f>2425.5+(315.6-539.7)+(-3.711015+(-0.482868--0.825741))+0-525.8--0.80447400000003</f>
        <v>1673.0363320000004</v>
      </c>
      <c r="V12" s="3">
        <f>2351+(327.5-422.8)+(-2.39802+(-0.33405--0.431256))+0-587.4--0.599148000000094</f>
        <v>1666.5983339999996</v>
      </c>
      <c r="W12" s="3">
        <f>2091.7+(409.2-309.4)+(-3.200301+(-0.626076--0.473382))+0-536.5--0.820845000000031</f>
        <v>1652.4678499999998</v>
      </c>
      <c r="X12" s="3">
        <f>2084.7+(393.5-387.2)+(-4.252788+(-0.80274--0.789888))+0-454.8--0.92779199999998</f>
        <v>1632.8621519999999</v>
      </c>
      <c r="Y12" s="3">
        <f>2950.4+(391.3-994.1)+(0+(0-0))+0-586.2-0</f>
        <v>1761.4000000000003</v>
      </c>
      <c r="Z12" s="3">
        <f>3247+(625.9-1446.8)+(-6.62388+(-1.276836--2.951472))+0-528--1.07711999999998</f>
        <v>1894.2278759999999</v>
      </c>
      <c r="AA12" s="3">
        <f>3690.9+(570.7-1746.6)+(-1.882359+(-0.291057--0.890766))+0-572.2--0.291821999999942</f>
        <v>1941.8091719999998</v>
      </c>
      <c r="AB12" s="3">
        <f>3688.5+(540.4-1778.6)+(-3.76227+(-0.551208--1.814172))+0-547.3--0.558246000000087</f>
        <v>1901.0589400000001</v>
      </c>
      <c r="AC12" s="3">
        <f>3475.7+(557.9-1663)+(-7.090428+(-1.138116--3.39252))+0-534.4--1.09017599999998</f>
        <v>1832.4541519999996</v>
      </c>
      <c r="AD12">
        <f t="shared" si="0"/>
        <v>40047.509787000003</v>
      </c>
      <c r="AE12" s="3">
        <f>3327.1+(634.2-1453.4)+(0+(0-0))+0-515.3-0</f>
        <v>1992.5999999999997</v>
      </c>
    </row>
    <row r="13" spans="1:31" customFormat="1" x14ac:dyDescent="0.25">
      <c r="A13">
        <v>89</v>
      </c>
      <c r="B13">
        <v>1</v>
      </c>
      <c r="C13">
        <v>13</v>
      </c>
      <c r="D13">
        <v>7</v>
      </c>
      <c r="E13">
        <v>2</v>
      </c>
      <c r="F13" s="3">
        <f>3130.2+(571.5-1459.5)+(-3.192804+(-0.58293--1.48869))+0-469.7--0.479094000000075</f>
        <v>1770.6920499999997</v>
      </c>
      <c r="G13" s="3">
        <f>2844.6+(673.5-1305.3)+(-2.901492+(-0.68697--1.331406))+0-541.9--0.552738000000086</f>
        <v>1669.1956820000003</v>
      </c>
      <c r="H13" s="3">
        <f>2143.1+(762.9-714.4)+(-2.185962+(-0.778158--0.728688))+0-624.8--0.6372960000001</f>
        <v>1565.2018640000001</v>
      </c>
      <c r="I13" s="3">
        <f>1973.8+(767.8-705)+(-3.019914+(-1.174734--1.07865))+0-524.8--0.80294400000003</f>
        <v>1509.486946</v>
      </c>
      <c r="J13" s="3">
        <f>1918.1+(811.9-725.4)+(-1.956462+(-0.828138--0.739908))+0-540.3--0.551106000000086</f>
        <v>1462.8064140000001</v>
      </c>
      <c r="K13" s="3">
        <f>1948.1+(839.4-781.4)+(0.993531+(0.428094-0.398514))+0-565.8-0.288557999999943</f>
        <v>1441.034553</v>
      </c>
      <c r="L13" s="3">
        <f>1867+(826.5-685.7)+(-2.85651+(-1.264545--1.049121))+0-554.4--0.848232000000032</f>
        <v>1451.1762980000001</v>
      </c>
      <c r="M13" s="3">
        <f>1861.8+(691-608)+(0+(0-0))+0-525.6-0</f>
        <v>1419.1999999999998</v>
      </c>
      <c r="N13" s="3">
        <f>2113.5+(711.4-883.3)+(2.15577+(0.725628-0.900966))+0-539.7-0.550494000000086</f>
        <v>1403.3299379999999</v>
      </c>
      <c r="O13" s="3">
        <f>1997.9+(811.8-950.7)+(-1.018929+(-0.414018--0.484857))+0-447.5--0.228224999999955</f>
        <v>1410.780135</v>
      </c>
      <c r="P13" s="3">
        <f>2043.8+(810.3-989.5)+(-1.042338+(-0.413253--0.504645))+0-449.4--0.229193999999954</f>
        <v>1414.4782479999999</v>
      </c>
      <c r="Q13" s="3">
        <f>1988.5+(790.5-785.9)+(-2.02827+(-0.80631--0.801618))+0-607.5--0.619650000000097</f>
        <v>1384.186688</v>
      </c>
      <c r="R13" s="3">
        <f>1973.9+(724.8-851.2)+(-2.013378+(-0.739296--0.868224))+0-469.8--0.479196000000075</f>
        <v>1376.294746</v>
      </c>
      <c r="S13" s="3">
        <f>2031.8+(679.7-730.1)+(-1.036218+(-0.346647--0.372351))+0-582.1--0.296870999999941</f>
        <v>1398.5863570000001</v>
      </c>
      <c r="T13" s="3">
        <f>2158.3+(584.3-721.5)+(0+(0-0))+0-606.1-0</f>
        <v>1415</v>
      </c>
      <c r="U13" s="3">
        <f>2059.6+(546.5-608.6)+(0+(0-0))+0-538.3-0</f>
        <v>1459.2</v>
      </c>
      <c r="V13" s="3">
        <f>2352.1+(477.4-778.5)+(0+(0-0))+0-558.2-0</f>
        <v>1492.8</v>
      </c>
      <c r="W13" s="3">
        <f>2160.7+(535-607.8)+(-3.305871+(-0.81855--0.929934))+0-564.6--0.863838000000033</f>
        <v>1520.9693509999995</v>
      </c>
      <c r="X13" s="3">
        <f>2207.6+(550.5-655.7)+(-2.251752+(-0.56151--0.668814))+0-569.9--0.581298000000091</f>
        <v>1530.9368499999996</v>
      </c>
      <c r="Y13" s="3">
        <f>2245.6+(444.6-563.2)+(-2.290512+(-0.453492--0.574464))+0-485.4--0.495108000000077</f>
        <v>1639.9255680000001</v>
      </c>
      <c r="Z13" s="3">
        <f>2923.1+(635.4-1069.8)+(-7.453905+(-1.62027--2.72799))+0-540.2--1.37750999999992</f>
        <v>1943.5313249999999</v>
      </c>
      <c r="AA13" s="3">
        <f>2989.9+(717.5-1150.4)+(-4.574547+(-1.097775--1.760112))+0-602.2--0.921366000000035</f>
        <v>1951.809156</v>
      </c>
      <c r="AB13" s="3">
        <f>3263.9+(672.8-1525.9)+(-3.329178+(-0.686256--1.556418))+0-462.7--0.471954000000074</f>
        <v>1946.1129380000004</v>
      </c>
      <c r="AC13" s="3">
        <f>3096.2+(734.1-1394.9)+(-4.737186+(-1.123173--2.134197))+0-537.5--0.822375000000031</f>
        <v>1894.9962129999997</v>
      </c>
      <c r="AD13">
        <f t="shared" si="0"/>
        <v>37471.731319999992</v>
      </c>
      <c r="AE13" s="3">
        <f>3174.1+(726.4-1268.3)+(0+(0-0))+0-548.6-0</f>
        <v>2083.6</v>
      </c>
    </row>
    <row r="14" spans="1:31" customFormat="1" x14ac:dyDescent="0.25">
      <c r="A14">
        <v>89</v>
      </c>
      <c r="B14">
        <v>1</v>
      </c>
      <c r="C14">
        <v>14</v>
      </c>
      <c r="D14">
        <v>1</v>
      </c>
      <c r="E14">
        <v>1</v>
      </c>
      <c r="F14" s="3">
        <f>2705.5+(743.7-1142.6)+(-2.75961+(-0.758574--1.165452))+0-456.5--0.465630000000073</f>
        <v>1848.2128980000007</v>
      </c>
      <c r="G14" s="3">
        <f>2161.3+(780.7-665.3)+(-4.409052+(-1.592628--1.357212))+0-505--1.03019999999998</f>
        <v>1768.0857320000002</v>
      </c>
      <c r="H14" s="3">
        <f>1814.6+(831.4-419.8)+(-0.925446+(-0.424014--0.214098))+0-552--0.281519999999944</f>
        <v>1673.3461579999998</v>
      </c>
      <c r="I14" s="3">
        <f>2016+(636.2-522.4)+(-1.02816+(-0.324462--0.266424))+0-499.6--0.254795999999949</f>
        <v>1629.3685980000002</v>
      </c>
      <c r="J14" s="3">
        <f>1992.6+(606.9-518.8)+(1.016226+(0.309519-0.264588))+0-495.4-0.25265399999995</f>
        <v>1586.1085029999999</v>
      </c>
      <c r="K14" s="3">
        <f>1956.2+(631.1-474.1)+(1.995324+(0.643722-0.483582))+0-567.9-0.579258000000091</f>
        <v>1546.8762059999997</v>
      </c>
      <c r="L14" s="3">
        <f>1912.9+(656.4-483.6)+(-3.902316+(-1.339056--0.986544))+0-497.3--1.01449199999998</f>
        <v>1585.1596639999998</v>
      </c>
      <c r="M14" s="3">
        <f>1831.9+(737.1-514.7)+(0.934269+(0.375921-0.262497))+0-556.6-0.283865999999944</f>
        <v>1498.4638270000003</v>
      </c>
      <c r="N14" s="3">
        <f>2075.4+(787-797.8)+(0+(0-0))+0-534.7-0</f>
        <v>1529.9000000000003</v>
      </c>
      <c r="O14" s="3">
        <f>2193.6+(794.7-899.1)+(-1.118736+(-0.405297--0.458541))+0-468.9--0.239138999999952</f>
        <v>1619.4736469999996</v>
      </c>
      <c r="P14" s="3">
        <f>2662.1+(789-1280.5)+(0+(0-0))+0-464.4-0</f>
        <v>1706.1999999999998</v>
      </c>
      <c r="Q14" s="3">
        <f>2968.5+(696.4-1464.3)+(0+(0-0))+0-407.8-0</f>
        <v>1792.8</v>
      </c>
      <c r="R14" s="3">
        <f>3073.1+(629.6-1289.2)+(0+(0-0))+0-556.7-0</f>
        <v>1856.8</v>
      </c>
      <c r="S14" s="3">
        <f>2653.1+(633.6-882.1)+(-5.412324+(-1.292544--1.799484))+0-484.1--0.987563999999979</f>
        <v>1916.5821799999999</v>
      </c>
      <c r="T14" s="3">
        <f>2632+(583.4-768.7)+(1.34232+(0.297534-0.392037))+0-514.4-0.262343999999948</f>
        <v>1933.2854729999997</v>
      </c>
      <c r="U14" s="3">
        <f>2634+(584.1-730.3)+(2.68668+(0.595782-0.744906))+0-566-0.57732000000009</f>
        <v>1923.7602360000003</v>
      </c>
      <c r="V14" s="3">
        <f>2547.5+(610.3-669.4)+(-1.299225+(-0.311253--0.341394))+0-592.9--0.30237899999994</f>
        <v>1894.533295</v>
      </c>
      <c r="W14" s="3">
        <f>2337.4+(617.6-647.2)+(-3.576222+(-0.944928--0.990216))+0-429--0.656370000000025</f>
        <v>1875.9254360000002</v>
      </c>
      <c r="X14" s="3">
        <f>2329.4+(629.7-552.7)+(-7.127964+(-1.926882--1.691262))+0-553.4--1.69340400000006</f>
        <v>1847.3298199999999</v>
      </c>
      <c r="Y14" s="3">
        <f>3284.7+(397.3-1202.6)+(1.675197+(0.202623-0.613326))+0-550.1-0.280550999999944</f>
        <v>1930.2839429999999</v>
      </c>
      <c r="Z14" s="3">
        <f>4205.6+(470-1976.6)+(-4.289712+(-0.4794--2.016132))+0-463.6--0.472872000000074</f>
        <v>2233.1198920000006</v>
      </c>
      <c r="AA14" s="3">
        <f>3616.4+(544.7-1354.6)+(-7.377456+(-1.111188--2.763384))+0-593.6--1.21094399999997</f>
        <v>2208.3856839999999</v>
      </c>
      <c r="AB14" s="3">
        <f>3244.8+(580.6-1159.6)+(-6.619392+(-1.184424--2.365584))+0-483--0.985319999999979</f>
        <v>2178.347088</v>
      </c>
      <c r="AC14" s="3">
        <f>3074.6+(679.8-1082.5)+(-3.136092+(-0.693396--1.10415))+0-519.7--0.530094000000083</f>
        <v>2150.0047559999998</v>
      </c>
      <c r="AD14">
        <f t="shared" si="0"/>
        <v>43732.353036000015</v>
      </c>
      <c r="AE14" s="3">
        <f>4460+(469.2-2077.2)+(0+(0-0))+0-479.2-0</f>
        <v>2372.8000000000002</v>
      </c>
    </row>
    <row r="15" spans="1:31" customFormat="1" x14ac:dyDescent="0.25">
      <c r="A15">
        <v>89</v>
      </c>
      <c r="B15">
        <v>1</v>
      </c>
      <c r="C15">
        <v>15</v>
      </c>
      <c r="D15">
        <v>2</v>
      </c>
      <c r="E15">
        <v>1</v>
      </c>
      <c r="F15" s="3">
        <f>2769.2+(766.6-961.9)+(-8.473752+(-2.345796--2.943414))+0-586--1.79316000000007</f>
        <v>1981.8170259999997</v>
      </c>
      <c r="G15" s="3">
        <f>2306.6+(910.5-709.5)+(-2.352732+(-0.92871--0.72369))+0-490.2--0.500004000000078</f>
        <v>2015.3422519999997</v>
      </c>
      <c r="H15" s="3">
        <f>2033.1+(989.2-540.2)+(-1.036881+(-0.504492--0.275502))+0-568--0.289679999999942</f>
        <v>1913.1238089999997</v>
      </c>
      <c r="I15" s="3">
        <f>1906.1+(860.9-441.4)+(-3.888444+(-1.756236--0.900456))+0-477.3--0.973691999999979</f>
        <v>1844.529468</v>
      </c>
      <c r="J15" s="3">
        <f>1875+(839.7-377)+(-1.9125+(-0.856494--0.38454))+0-560.7--0.571914000000089</f>
        <v>1775.1874599999999</v>
      </c>
      <c r="K15" s="3">
        <f>1878.8+(761.8-476.1)+(-2.874564+(-1.165554--0.728433))+0-432--0.660960000000025</f>
        <v>1729.8492749999998</v>
      </c>
      <c r="L15" s="3">
        <f>2024.7+(753-594.8)+(-1.032597+(-0.38403--0.303348))+0-461.2--0.235211999999953</f>
        <v>1720.8219329999999</v>
      </c>
      <c r="M15" s="3">
        <f>1793.1+(870.7-564.8)+(-3.657924+(-1.776228--1.152192))+0-455.7--0.92962799999998</f>
        <v>1639.9476680000002</v>
      </c>
      <c r="N15" s="3">
        <f>2173.2+(789-862.1)+(0+(0-0))+0-451-0</f>
        <v>1649.1</v>
      </c>
      <c r="O15" s="3">
        <f>2403.6+(811.3-1060)+(0+(0-0))+0-428.3-0</f>
        <v>1726.5999999999997</v>
      </c>
      <c r="P15" s="3">
        <f>2718.2+(750.5-1203.8)+(-1.386282+(-0.382755--0.613938))+0-456.1--0.232610999999954</f>
        <v>1807.8775119999996</v>
      </c>
      <c r="Q15" s="3">
        <f>2927.2+(704.5-1300.1)+(-2.985744+(-0.71859--1.326102))+0-432--0.440640000000069</f>
        <v>1897.6624079999999</v>
      </c>
      <c r="R15" s="3">
        <f>2893.4+(636.7-1103.4)+(-5.902536+(-1.298868--2.250936))+0-422.2--0.861287999999982</f>
        <v>2000.4108199999998</v>
      </c>
      <c r="S15" s="3">
        <f>2610.6+(626.9-627.8)+(-2.662812+(-0.639438--0.640356))+0-450.6--0.459612000000072</f>
        <v>2156.8977180000002</v>
      </c>
      <c r="T15" s="3">
        <f>2724.1+(609.2-631.1)+(-4.167873+(-0.932076--0.965583))+0-454.9--0.695997000000026</f>
        <v>2243.8616309999993</v>
      </c>
      <c r="U15" s="3">
        <f>2657.9+(657.4-514.8)+(0+(0-0))+0-552.5-0</f>
        <v>2248</v>
      </c>
      <c r="V15" s="3">
        <f>2553.5+(649-570.8)+(-3.906855+(-0.99297--0.873324))+0-435.5--0.666315000000025</f>
        <v>2192.8398139999999</v>
      </c>
      <c r="W15" s="3">
        <f>2418+(725.4-561.2)+(1.23318+(0.369954-0.286212))+0-467.4-0.238373999999953</f>
        <v>2115.8785479999997</v>
      </c>
      <c r="X15" s="3">
        <f>2414.9+(786.1-697.5)+(-6.157995+(-2.004555--1.778625))+0-492.5--1.25587499999993</f>
        <v>2005.8719499999997</v>
      </c>
      <c r="Y15" s="3">
        <f>3215.1+(552.5-1240.3)+(3.279402+(0.56355-1.265106))+0-431.8-0.440436000000069</f>
        <v>2097.6374100000003</v>
      </c>
      <c r="Z15" s="3">
        <f>4437.8+(422.9-2006.6)+(-4.526556+(-0.431358--2.046732))+0-466.4--0.475728000000074</f>
        <v>2385.2645460000003</v>
      </c>
      <c r="AA15" s="3">
        <f>3973.8+(475-1578.4)+(-10.13319+(-1.21125--4.02492))+0-455.2--1.16075999999993</f>
        <v>2409.04124</v>
      </c>
      <c r="AB15" s="3">
        <f>3419.4+(563-1094)+(-3.487788+(-0.57426--1.11588))+0-437.6--0.44635200000007</f>
        <v>2448.3001840000002</v>
      </c>
      <c r="AC15" s="3">
        <f>3033.2+(661.8-697.9)+(-4.640796+(-1.012554--1.067787))+0-523.3--0.80064900000003</f>
        <v>2470.0150859999999</v>
      </c>
      <c r="AD15">
        <f t="shared" si="0"/>
        <v>48475.877757999995</v>
      </c>
      <c r="AE15" s="3">
        <f>4745+(421.2-2045.2)+(0+(0-0))+0-484.5-0</f>
        <v>2636.5</v>
      </c>
    </row>
    <row r="16" spans="1:31" customFormat="1" x14ac:dyDescent="0.25">
      <c r="A16">
        <v>89</v>
      </c>
      <c r="B16">
        <v>1</v>
      </c>
      <c r="C16">
        <v>16</v>
      </c>
      <c r="D16">
        <v>3</v>
      </c>
      <c r="E16">
        <v>1</v>
      </c>
      <c r="F16" s="3">
        <f>2611.6+(819.7-509.4)+(-5.327664+(-1.672188--1.039176))+0-496.5--1.01285999999998</f>
        <v>2420.4521839999998</v>
      </c>
      <c r="G16" s="3">
        <f>2426.1+(903.2-454.9)+(0+(0-0))+0-550.2-0</f>
        <v>2324.1999999999998</v>
      </c>
      <c r="H16" s="3">
        <f>2039.5+(993.2-335.1)+(-2.08029+(-1.013064--0.341802))+0-482.6--0.492252000000077</f>
        <v>2212.7406999999998</v>
      </c>
      <c r="I16" s="3">
        <f>1947+(1040.8-287.1)+(-3.97188+(-2.123232--0.585684))+0-568.2--1.15912799999998</f>
        <v>2128.1496999999995</v>
      </c>
      <c r="J16" s="3">
        <f>2015.9+(890.6-328.1)+(1.028109+(0.454206-0.167331))+0-522.5-0.266474999999947</f>
        <v>2056.9485090000003</v>
      </c>
      <c r="K16" s="3">
        <f>2100.4+(832-434.5)+(0+(0-0))+0-496.7-0</f>
        <v>2001.2</v>
      </c>
      <c r="L16" s="3">
        <f>2029.8+(953-519.5)+(-1.035198+(-0.48603--0.264945))+0-507--0.258569999999949</f>
        <v>1955.302287</v>
      </c>
      <c r="M16" s="3">
        <f>1940.2+(1049.5-683.2)+(-0.989502+(-0.535245--0.348432))+0-477--0.243269999999952</f>
        <v>1828.5669549999998</v>
      </c>
      <c r="N16" s="3">
        <f>2167.8+(961.2-807)+(1.105578+(0.490212-0.41157))+0-494.5-0.25219499999995</f>
        <v>1828.4320250000001</v>
      </c>
      <c r="O16" s="3">
        <f>2127.4+(889.4-732.6)+(1.084974+(0.453594-0.373626))+0-439.9-0.224348999999955</f>
        <v>1845.2405929999998</v>
      </c>
      <c r="P16" s="3">
        <f>2641.8+(884.8-1003.2)+(1.347318+(0.451248-0.511632))+0-472.4-0.240923999999952</f>
        <v>2052.04601</v>
      </c>
      <c r="Q16" s="3">
        <f>2998.2+(637.9-1161.1)+(-1.529082+(-0.325329--0.592161))+0-437.5--0.223124999999956</f>
        <v>2036.4608749999998</v>
      </c>
      <c r="R16" s="3">
        <f>3159.8+(548.9-1219.7)+(0+(0-0))+0-391.8-0</f>
        <v>2097.1999999999998</v>
      </c>
      <c r="S16" s="3">
        <f>2635+(563-560.3)+(-5.3754+(-1.14852--1.143012))+0-392--0.799679999999983</f>
        <v>2241.1187719999998</v>
      </c>
      <c r="T16" s="3">
        <f>2400+(630.6-354.3)+(-1.224+(-0.321606--0.180693))+0-413.3--0.210782999999958</f>
        <v>2261.8458700000001</v>
      </c>
      <c r="U16" s="3">
        <f>2126.9+(825.5-286.4)+(-2.169438+(-0.84201--0.292128))+0-541.5--0.552330000000086</f>
        <v>2122.3330099999998</v>
      </c>
      <c r="V16" s="3">
        <f>2180+(729.7-319.6)+(-1.1118+(-0.372147--0.162996))+0-485.3--0.247502999999951</f>
        <v>2103.7265519999996</v>
      </c>
      <c r="W16" s="3">
        <f>2294.1+(718.6-413.8)+(-2.339982+(-0.732972--0.422076))+0-549.4--0.560388000000088</f>
        <v>2047.4095100000002</v>
      </c>
      <c r="X16" s="3">
        <f>2314.8+(693.8-504.8)+(-5.90274+(-1.76919--1.28724))+0-478--1.21889999999993</f>
        <v>2020.6342100000002</v>
      </c>
      <c r="Y16" s="3">
        <f>3116.9+(489.9-896.4)+(-1.589619+(-0.249849--0.457164))+0-608.7--0.310436999999938</f>
        <v>2100.6281330000002</v>
      </c>
      <c r="Z16" s="3">
        <f>4334+(375.4-1934.8)+(-6.63102+(-0.574362--2.960244))+0-491.3--0.751689000000028</f>
        <v>2279.8065509999997</v>
      </c>
      <c r="AA16" s="3">
        <f>3737.8+(438.4-1275.5)+(-7.625112+(-0.894336--2.60202))+0-605.9--1.23603599999997</f>
        <v>2290.1186079999998</v>
      </c>
      <c r="AB16" s="3">
        <f>3194.6+(513.7-954.2)+(-3.258492+(-0.523974--0.973284))+0-450.1--0.459102000000072</f>
        <v>2301.6499200000003</v>
      </c>
      <c r="AC16" s="3">
        <f>3174.7+(595-805.1)+(-6.476388+(-1.2138--1.642404))+0-609.8--1.24399199999997</f>
        <v>2349.996208</v>
      </c>
      <c r="AD16">
        <f t="shared" si="0"/>
        <v>50906.207181999991</v>
      </c>
      <c r="AE16" s="3">
        <f>4504+(357.1-2230.7)+(0+(0-0))+0-426.7-0</f>
        <v>2203.7000000000003</v>
      </c>
    </row>
    <row r="17" spans="1:31" customFormat="1" x14ac:dyDescent="0.25">
      <c r="A17">
        <v>89</v>
      </c>
      <c r="B17">
        <v>1</v>
      </c>
      <c r="C17">
        <v>17</v>
      </c>
      <c r="D17">
        <v>4</v>
      </c>
      <c r="E17">
        <v>1</v>
      </c>
      <c r="F17" s="3">
        <f>2402.9+(748.3-374)+(-3.676437+(-1.144899--0.57222))+0-444.7--0.680391000000026</f>
        <v>2328.9312749999999</v>
      </c>
      <c r="G17" s="3">
        <f>1986+(1017-255.7)+(-5.0643+(-2.59335--0.652035))+0-486.3--1.24006499999993</f>
        <v>2255.2344499999999</v>
      </c>
      <c r="H17" s="3">
        <f>1986.5+(980.8-293.9)+(-3.039345+(-1.500624--0.449667))+0-523.4--0.80080200000003</f>
        <v>2146.7105000000001</v>
      </c>
      <c r="I17" s="3">
        <f>1869.5+(959-282.9)+(-4.767225+(-2.44545--0.721395))+0-474--1.20869999999993</f>
        <v>2066.3174199999999</v>
      </c>
      <c r="J17" s="3">
        <f>1868.2+(924-276.6)+(0+(0-0))+0-501.4-0</f>
        <v>2014.1999999999998</v>
      </c>
      <c r="K17" s="3">
        <f>1973.6+(797.6-348.7)+(2.013072+(0.813552-0.355674))+0-464.8-0.474096000000074</f>
        <v>1959.6968539999998</v>
      </c>
      <c r="L17" s="3">
        <f>2051.9+(880.2-420.4)+(0+(0-0))+0-622.6-0</f>
        <v>1889.1000000000004</v>
      </c>
      <c r="M17" s="3">
        <f>1889.2+(947.5-493)+(-3.853968+(-1.9329--1.00572))+0-546.2--1.11424799999998</f>
        <v>1793.8330999999998</v>
      </c>
      <c r="N17" s="3">
        <f>1947.2+(835.2-487)+(0+(0-0))+0-464.5-0</f>
        <v>1830.9</v>
      </c>
      <c r="O17" s="3">
        <f>2221.3+(787.9-642.5)+(3.398589+(1.205487-0.983025))+0-538.4-0.823752000000031</f>
        <v>1831.0972990000002</v>
      </c>
      <c r="P17" s="3">
        <f>2575.5+(658-811.7)+(1.313505+(0.33558-0.413967))+0-516.1-0.263210999999948</f>
        <v>1906.6719070000004</v>
      </c>
      <c r="Q17" s="3">
        <f>2610.4+(620-700)+(-3.993912+(-0.9486--1.071))+0-530.2--0.811206000000031</f>
        <v>1997.139694</v>
      </c>
      <c r="R17" s="3">
        <f>2615.2+(598.3-523.9)+(-1.333752+(-0.305133--0.267189))+0-636.4--0.324563999999935</f>
        <v>2052.1528679999997</v>
      </c>
      <c r="S17" s="3">
        <f>2300+(835.1-354)+(-2.346+(-0.851802--0.36108))+0-506.3--0.516426000000081</f>
        <v>2272.4797039999999</v>
      </c>
      <c r="T17" s="3">
        <f>2362.8+(865.9-318.5)+(-1.205028+(-0.441609--0.162435))+0-539.7--0.275246999999945</f>
        <v>2369.2910450000004</v>
      </c>
      <c r="U17" s="3">
        <f>2204.5+(915-275.1)+(2.24859+(0.9333-0.280602))+0-495.8-0.505716000000079</f>
        <v>2350.9955719999998</v>
      </c>
      <c r="V17" s="3">
        <f>2291.9+(880.3-309.7)+(2.337738+(0.897906-0.315894))+0-568.7-0.580074000000091</f>
        <v>2296.1396760000002</v>
      </c>
      <c r="W17" s="3">
        <f>2213+(861.3-288.4)+(-3.38589+(-1.317789--0.441252))+0-598.3--0.915399000000034</f>
        <v>2184.2529719999998</v>
      </c>
      <c r="X17" s="3">
        <f>2149.5+(837.3-297.6)+(-2.19249+(-0.854046--0.303552))+0-549.2--0.560184000000088</f>
        <v>2137.8171999999995</v>
      </c>
      <c r="Y17" s="3">
        <f>2928.3+(470.4-623.1)+(-2.986866+(-0.479808--0.635562))+0-610.7--0.622914000000097</f>
        <v>2162.6918020000007</v>
      </c>
      <c r="Z17" s="3">
        <f>3987.9+(317.8-1580.5)+(-4.067658+(-0.324156--1.61211))+0-537.6--0.548352000000086</f>
        <v>2185.3686480000001</v>
      </c>
      <c r="AA17" s="3">
        <f>4111+(344.1-1282.9)+(-4.19322+(-0.350982--1.308558))+0-615.5--0.627810000000098</f>
        <v>2554.0921659999999</v>
      </c>
      <c r="AB17" s="3">
        <f>3817.1+(436-1187.8)+(0+(0-0))+0-486.7-0</f>
        <v>2578.6000000000004</v>
      </c>
      <c r="AC17" s="3">
        <f>3501+(526.9-838.9)+(-1.78551+(-0.268719--0.427839))+0-548.2--0.279581999999944</f>
        <v>2639.4531919999999</v>
      </c>
      <c r="AD17">
        <f t="shared" si="0"/>
        <v>51803.167344000009</v>
      </c>
      <c r="AE17" s="3">
        <f>4495+(274-1765)+(0+(0-0))+0-512.5-0</f>
        <v>2491.5</v>
      </c>
    </row>
    <row r="18" spans="1:31" customFormat="1" x14ac:dyDescent="0.25">
      <c r="A18">
        <v>89</v>
      </c>
      <c r="B18">
        <v>1</v>
      </c>
      <c r="C18">
        <v>18</v>
      </c>
      <c r="D18">
        <v>5</v>
      </c>
      <c r="E18">
        <v>1</v>
      </c>
      <c r="F18" s="3">
        <f>2805.1+(730.6-408.2)+(-4.291803+(-1.117818--0.624546))+0-506.4--0.774792000000029</f>
        <v>2617.0897170000003</v>
      </c>
      <c r="G18" s="3">
        <f>2342.6+(1077-294.4)+(1.194726+(0.54927-0.150144))+0-655.1-0.334100999999934</f>
        <v>2471.359751</v>
      </c>
      <c r="H18" s="3">
        <f>1852.4+(1256.5-228.6)+(-0.944724+(-0.640815--0.116586))+0-505.2--0.257651999999949</f>
        <v>2373.8886990000001</v>
      </c>
      <c r="I18" s="3">
        <f>1817.1+(1315.7-228.6)+(-0.926721+(-0.671007--0.116586))+0-635.1--0.323900999999936</f>
        <v>2267.9427589999996</v>
      </c>
      <c r="J18" s="3">
        <f>1737.6+(1226.3-230.6)+(-5.317056+(-3.752478--0.705636))+0-547.4--1.67504400000006</f>
        <v>2179.2111459999996</v>
      </c>
      <c r="K18" s="3">
        <f>1870.4+(1061.4-252.3)+(0+(0-0))+0-580.4-0</f>
        <v>2099.1</v>
      </c>
      <c r="L18" s="3">
        <f>1974+(952-345.2)+(-2.01348+(-0.97104--0.352104))+0-570.1--0.581502000000091</f>
        <v>2008.6490860000004</v>
      </c>
      <c r="M18" s="3">
        <f>1916+(931.2-406.6)+(-0.97716+(-0.474912--0.207366))+0-590.7--0.30125699999994</f>
        <v>1848.9565509999998</v>
      </c>
      <c r="N18" s="3">
        <f>2021.9+(850.4-497.7)+(1.031169+(0.433704-0.253827))+0-539.4-0.275093999999945</f>
        <v>1836.1359519999999</v>
      </c>
      <c r="O18" s="3">
        <f>2085.6+(807-546.8)+(0+(0-0))+0-452.8-0</f>
        <v>1893.0000000000002</v>
      </c>
      <c r="P18" s="3">
        <f>2373.3+(725.4-546.7)+(0+(0-0))+0-580.9-0</f>
        <v>1971.1</v>
      </c>
      <c r="Q18" s="3">
        <f>2628.6+(657.2-546)+(-2.681172+(-0.670344--0.55692))+0-583.1--0.594762000000093</f>
        <v>2154.5001660000003</v>
      </c>
      <c r="R18" s="3">
        <f>2670.2+(645.9-355.5)+(-4.085406+(-0.988227--0.543915))+0-588.2--0.899946000000034</f>
        <v>2368.7702279999999</v>
      </c>
      <c r="S18" s="3">
        <f>2542.6+(661.2-141.8)+(-3.890178+(-1.011636--0.216954))+0-554.2--0.847926000000032</f>
        <v>2503.9630659999998</v>
      </c>
      <c r="T18" s="3">
        <f>2793.7+(558.5-196.3)+(-4.274361+(-0.854505--0.300339))+0-611--0.934830000000035</f>
        <v>2541.0063029999997</v>
      </c>
      <c r="U18" s="3">
        <f>2768.6+(542.7-216.5)+(-4.235958+(-0.830331--0.331245))+0-553.2--0.846396000000032</f>
        <v>2537.7113520000003</v>
      </c>
      <c r="V18" s="3">
        <f>2630.6+(519.2-238)+(-1.341606+(-0.264792--0.12138))+0-438.7--0.223736999999955</f>
        <v>2471.8387190000003</v>
      </c>
      <c r="W18" s="3">
        <f>2425.1+(620.5-186.4)+(-6.184005+(-1.582275--0.47532))+0-556.8--1.41983999999992</f>
        <v>2296.5288800000003</v>
      </c>
      <c r="X18" s="3">
        <f>2274.6+(660.8-257.9)+(-3.480138+(-1.011024--0.394587))+0-497.6--0.761328000000029</f>
        <v>2176.5647530000001</v>
      </c>
      <c r="Y18" s="3">
        <f>3284.7+(487.6-988.4)+(-3.350394+(-0.497352--1.008168))+0-567.2--0.578544000000091</f>
        <v>2214.4389659999997</v>
      </c>
      <c r="Z18" s="3">
        <f>4307.4+(378.2-1672.9)+(-15.377418+(-1.350174--5.972253))+0-569.5--2.03311500000001</f>
        <v>2434.4777760000002</v>
      </c>
      <c r="AA18" s="3">
        <f>3942.4+(450.6-1125.6)+(-6.031872+(-0.689418--1.722168))+0-615.1--0.941103000000036</f>
        <v>2648.2419810000001</v>
      </c>
      <c r="AB18" s="3">
        <f>3343+(480.8-619.2)+(-5.11479+(-0.735624--0.947376))+0-538.1--0.823293000000031</f>
        <v>2662.420255</v>
      </c>
      <c r="AC18" s="3">
        <f>3195.8+(537.7-457.8)+(1.629858+(0.274227-0.233478))+0-554.7-0.282896999999944</f>
        <v>2722.38771</v>
      </c>
      <c r="AD18">
        <f t="shared" si="0"/>
        <v>55299.283815999996</v>
      </c>
      <c r="AE18" s="3">
        <f>4387+(363.8-1652.8)+(0+(0-0))+0-443.3-0</f>
        <v>2654.7</v>
      </c>
    </row>
    <row r="19" spans="1:31" customFormat="1" x14ac:dyDescent="0.25">
      <c r="A19">
        <v>89</v>
      </c>
      <c r="B19">
        <v>1</v>
      </c>
      <c r="C19">
        <v>19</v>
      </c>
      <c r="D19">
        <v>6</v>
      </c>
      <c r="E19">
        <v>1</v>
      </c>
      <c r="F19" s="3">
        <f>2217.7+(1319.2-237.4)+(-4.524108+(-2.691168--0.484296))+0-607.5--1.23929999999997</f>
        <v>2686.5083200000004</v>
      </c>
      <c r="G19" s="3">
        <f>2118+(1280.4-263.3)+(-3.24054+(-1.959012--0.402849))+0-531.1--0.812583000000031</f>
        <v>2600.0158800000004</v>
      </c>
      <c r="H19" s="3">
        <f>2144.8+(1245.7-295.1)+(-2.187696+(-1.270614--0.301002))+0-600--0.612000000000096</f>
        <v>2492.8546920000003</v>
      </c>
      <c r="I19" s="3">
        <f>1909.5+(1162.8-239.7)+(-2.921535+(-1.779084--0.366741))+0-458.5--0.701505000000026</f>
        <v>2370.467627</v>
      </c>
      <c r="J19" s="3">
        <f>2025.8+(1046.7-256.8)+(0+(0-0))+0-587.5-0</f>
        <v>2228.1999999999998</v>
      </c>
      <c r="K19" s="3">
        <f>2054.9+(986.6-331.7)+(1.047999+(0.503166-0.169167))+0-479.2-0.244391999999951</f>
        <v>2231.7376060000001</v>
      </c>
      <c r="L19" s="3">
        <f>2049.4+(1018.9-337.6)+(-2.090388+(-1.039278--0.344352))+0-611.6--0.623832000000098</f>
        <v>2116.9385179999999</v>
      </c>
      <c r="M19" s="3">
        <f>2014.2+(913.4-439.8)+(-1.027242+(-0.465834--0.224298))+0-554.7--0.282896999999944</f>
        <v>1932.1141190000001</v>
      </c>
      <c r="N19" s="3">
        <f>2060.9+(877.2-417.2)+(-1.051059+(-0.447372--0.212772))+0-608.7--0.310436999999938</f>
        <v>1911.2247779999998</v>
      </c>
      <c r="O19" s="3">
        <f>2107.9+(817.7-445.3)+(3.225087+(1.251081-0.681309))+0-543.3-0.831249000000031</f>
        <v>1939.9636100000002</v>
      </c>
      <c r="P19" s="3">
        <f>2505.3+(603.4-505.7)+(2.555406+(0.615468-0.515814))+0-584.7-0.596394000000093</f>
        <v>2020.3586659999999</v>
      </c>
      <c r="Q19" s="3">
        <f>3135.7+(398.8-847.9)+(1.599207+(0.203388-0.432429))+0-600.1-0.306050999999939</f>
        <v>2087.5641150000001</v>
      </c>
      <c r="R19" s="3">
        <f>3215.1+(358.2-736.3)+(0+(0-0))+0-553.6-0</f>
        <v>2283.4</v>
      </c>
      <c r="S19" s="3">
        <f>2979.1+(623.9-485.3)+(-6.077364+(-1.272756--0.990012))+0-623.9--1.27275599999997</f>
        <v>2488.7126479999997</v>
      </c>
      <c r="T19" s="3">
        <f>2991.3+(626.4-490.5)+(4.576689+(0.958392-0.750465))+0-491-0.751230000000028</f>
        <v>2640.2333860000003</v>
      </c>
      <c r="U19" s="3">
        <f>2933.6+(716.5-465)+(-1.496136+(-0.365415--0.23715))+0-565.4--0.288353999999943</f>
        <v>2618.3639529999996</v>
      </c>
      <c r="V19" s="3">
        <f>2486.7+(815.5-347.9)+(-1.268217+(-0.415905--0.177429))+0-491.5--0.25066499999995</f>
        <v>2461.5439719999999</v>
      </c>
      <c r="W19" s="3">
        <f>2282.5+(865-306.7)+(-2.32815+(-0.8823--0.312834))+0-521.3--0.531726000000083</f>
        <v>2317.13411</v>
      </c>
      <c r="X19" s="3">
        <f>2148.7+(838.3-309.5)+(-1.095837+(-0.427533--0.157845))+0-493.6--0.25173599999995</f>
        <v>2182.7862110000001</v>
      </c>
      <c r="Y19" s="3">
        <f>3005+(321.2-563.6)+(3.0651+(0.327624-0.574872))+0-516.7-0.527034000000082</f>
        <v>2248.1908179999996</v>
      </c>
      <c r="Z19" s="3">
        <f>4165.3+(188.4-1256.7)+(2.124303+(0.096084-0.640917))+0-541.6-0.276215999999945</f>
        <v>2556.7032540000005</v>
      </c>
      <c r="AA19" s="3">
        <f>3675.9+(256.5-920.1)+(0+(0-0))+0-450.2-0</f>
        <v>2562.1000000000004</v>
      </c>
      <c r="AB19" s="3">
        <f>3100.2+(434.8-555.1)+(-4.743306+(-0.665244--0.849303))+0-466.7--0.714051000000027</f>
        <v>2509.3548039999996</v>
      </c>
      <c r="AC19" s="3">
        <f>2652.2+(768-234)+(0+(0-0))+0-566.9-0</f>
        <v>2619.2999999999997</v>
      </c>
      <c r="AD19">
        <f t="shared" si="0"/>
        <v>56105.771087000008</v>
      </c>
      <c r="AE19" s="3">
        <f>4382+(182.5-1447.8)+(0+(0-0))+0-602.3-0</f>
        <v>2514.3999999999996</v>
      </c>
    </row>
    <row r="20" spans="1:31" customFormat="1" x14ac:dyDescent="0.25">
      <c r="A20">
        <v>89</v>
      </c>
      <c r="B20">
        <v>1</v>
      </c>
      <c r="C20">
        <v>20</v>
      </c>
      <c r="D20">
        <v>7</v>
      </c>
      <c r="E20">
        <v>1</v>
      </c>
      <c r="F20" s="3">
        <f>2689.8+(728.2-243.8)+(-2.743596+(-0.742764--0.248676))+0-538.5--0.549270000000086</f>
        <v>2633.0115860000001</v>
      </c>
      <c r="G20" s="3">
        <f>2623.4+(786.1-258.3)+(-5.351736+(-1.603644--0.526932))+0-560.7--1.14382799999998</f>
        <v>2585.2153799999992</v>
      </c>
      <c r="H20" s="3">
        <f>2251.2+(1050.3-266.2)+(-2.296224+(-1.071306--0.271524))+0-537.6--0.548352000000086</f>
        <v>2495.1523459999999</v>
      </c>
      <c r="I20" s="3">
        <f>2261.5+(1027.2-248.8)+(-1.153365+(-0.523872--0.126888))+0-592.8--0.30232799999994</f>
        <v>2445.851979</v>
      </c>
      <c r="J20" s="3">
        <f>1887.2+(1219.6-232.3)+(-1.924944+(-1.243992--0.236946))+0-547.5--0.558450000000087</f>
        <v>2324.62646</v>
      </c>
      <c r="K20" s="3">
        <f>1822.2+(1348.7-232.4)+(-0.929322+(-0.687837--0.118524))+0-639.7--0.326246999999935</f>
        <v>2297.6276120000002</v>
      </c>
      <c r="L20" s="3">
        <f>1664.6+(1307-228.4)+(-3.395784+(-2.66628--0.465936))+0-531.8--1.08487199999998</f>
        <v>2206.8887439999994</v>
      </c>
      <c r="M20" s="3">
        <f>1599.6+(1234.4-225)+(0+(0-0))+0-581.6-0</f>
        <v>2027.4</v>
      </c>
      <c r="N20" s="3">
        <f>1578.7+(1176-243.1)+(-1.610274+(-1.19952--0.247962))+0-569.8--0.581196000000091</f>
        <v>1939.8193640000002</v>
      </c>
      <c r="O20" s="3">
        <f>1762.4+(904.8-275.7)+(2.696472+(1.384344-0.421821))+0-479.1-0.733023000000028</f>
        <v>1915.3259719999999</v>
      </c>
      <c r="P20" s="3">
        <f>2240+(579.1-293)+(2.2848+(0.590682-0.29886))+0-574.8-0.586296000000092</f>
        <v>1953.2903259999998</v>
      </c>
      <c r="Q20" s="3">
        <f>2546.7+(490.9-454.5)+(1.298817+(0.250359-0.231795))+0-611.4-0.311813999999938</f>
        <v>1972.7055669999997</v>
      </c>
      <c r="R20" s="3">
        <f>2630.9+(457.9-462.5)+(0+(0-0))+0-506.9-0</f>
        <v>2119.4</v>
      </c>
      <c r="S20" s="3">
        <f>2648.9+(478.7-421.3)+(-1.350939+(-0.244137--0.214863))+0-410.4--0.209303999999958</f>
        <v>2294.7290910000002</v>
      </c>
      <c r="T20" s="3">
        <f>2516.2+(717.9-251.6)+(-2.566524+(-0.732258--0.256632))+0-547.5--0.558450000000087</f>
        <v>2432.5162999999998</v>
      </c>
      <c r="U20" s="3">
        <f>2310.4+(845.7-281.2)+(1.178304+(0.431307-0.143412))+0-472.7-0.241076999999952</f>
        <v>2403.4251220000001</v>
      </c>
      <c r="V20" s="3">
        <f>2125.9+(987.7-224.1)+(-4.336836+(-2.014908--0.457164))+0-492.2--1.00408799999998</f>
        <v>2392.4095080000002</v>
      </c>
      <c r="W20" s="3">
        <f>1881.4+(1002.8-232.4)+(-1.919028+(-1.022856--0.237048))+0-428.8--0.437376000000068</f>
        <v>2220.73254</v>
      </c>
      <c r="X20" s="3">
        <f>1838.6+(1036.8-239.7)+(-5.626116+(-3.172608--0.733482))+0-490.7--1.50154200000006</f>
        <v>2138.4362999999998</v>
      </c>
      <c r="Y20" s="3">
        <f>2561.2+(563.6-416.3)+(0+(0-0))+0-501.8-0</f>
        <v>2206.6999999999998</v>
      </c>
      <c r="Z20" s="3">
        <f>3647.3+(365.5-990.4)+(-1.860123+(-0.186405--0.505104))+0-509.5--0.259844999999948</f>
        <v>2511.6184210000001</v>
      </c>
      <c r="AA20" s="3">
        <f>3572.7+(391.5-792.8)+(-5.466231+(-0.598995--1.212984))+0-601.3--0.919989000000035</f>
        <v>2566.1677469999995</v>
      </c>
      <c r="AB20" s="3">
        <f>2812.4+(734.5-409)+(-4.302972+(-1.123785--0.62577))+0-497.8--0.761634000000029</f>
        <v>2636.0606469999998</v>
      </c>
      <c r="AC20" s="3">
        <f>2663+(925.9-290.7)+(-5.43252+(-1.888836--0.593028))+0-614.9--1.25439599999997</f>
        <v>2677.8260679999994</v>
      </c>
      <c r="AD20">
        <f t="shared" si="0"/>
        <v>55396.937079999996</v>
      </c>
      <c r="AE20" s="3">
        <f>3870+(354-1029.2)+(0+(0-0))+0-592.2-0</f>
        <v>2602.6000000000004</v>
      </c>
    </row>
    <row r="21" spans="1:31" customFormat="1" x14ac:dyDescent="0.25">
      <c r="A21">
        <v>89</v>
      </c>
      <c r="B21">
        <v>1</v>
      </c>
      <c r="C21">
        <v>21</v>
      </c>
      <c r="D21">
        <v>1</v>
      </c>
      <c r="E21">
        <v>1</v>
      </c>
      <c r="F21" s="3">
        <f>2349.9+(1090.1-252.9)+(-5.992245+(-2.779755--0.644895))+0-544.2--1.38770999999992</f>
        <v>2636.160605</v>
      </c>
      <c r="G21" s="3">
        <f>1747.3+(1630.8-231)+(-4.455615+(-4.15854--0.58905))+0-602.9--1.53739499999991</f>
        <v>2537.7122899999995</v>
      </c>
      <c r="H21" s="3">
        <f>1554.5+(1645.1-232.8)+(-4.75677+(-5.034006--0.712368))+0-532.4--1.62914400000006</f>
        <v>2426.9507360000002</v>
      </c>
      <c r="I21" s="3">
        <f>1603.5+(1392.5-225.8)+(-0.817785+(-0.710175--0.115158))+0-490.3--0.25005299999995</f>
        <v>2278.7372509999996</v>
      </c>
      <c r="J21" s="3">
        <f>1590.7+(1355.3-223)+(-2.433771+(-2.073609--0.34119))+0-515.9--0.78932700000003</f>
        <v>2203.723137</v>
      </c>
      <c r="K21" s="3">
        <f>1592.3+(1330-219.4)+(-1.624146+(-1.3566--0.223788))+0-610.9--0.623118000000097</f>
        <v>2089.8661599999996</v>
      </c>
      <c r="L21" s="3">
        <f>1793.7+(962.7-268)+(-5.488722+(-2.945862--0.82008))+0-515.9--1.57865400000006</f>
        <v>1966.46415</v>
      </c>
      <c r="M21" s="3">
        <f>1749.6+(918.6-302.5)+(0.892296+(0.468486-0.154275))+0-593.2-0.30253199999994</f>
        <v>1773.4039749999997</v>
      </c>
      <c r="N21" s="3">
        <f>1905.9+(860.9-358.8)+(0+(0-0))+0-585.5-0</f>
        <v>1822.5</v>
      </c>
      <c r="O21" s="3">
        <f>1967+(779.2-395.5)+(-2.00634+(-0.794784--0.40341))+0-533.3--0.543966000000085</f>
        <v>1815.5462519999999</v>
      </c>
      <c r="P21" s="3">
        <f>2156.4+(699.8-488)+(1.099764+(0.356898-0.24888))+0-474.3-0.241892999999952</f>
        <v>1894.8658889999999</v>
      </c>
      <c r="Q21" s="3">
        <f>2349.4+(566.1-500.1)+(1.198194+(0.288711-0.255051))+0-498.7-0.254336999999949</f>
        <v>1917.6775170000003</v>
      </c>
      <c r="R21" s="3">
        <f>2771.8+(506.5-601.3)+(-2.827236+(-0.51663--0.613326))+0-582.4--0.594048000000093</f>
        <v>2092.4635079999998</v>
      </c>
      <c r="S21" s="3">
        <f>2371.6+(687.2-340.7)+(-6.04758+(-1.75236--0.868785))+0-409.1--1.04320499999994</f>
        <v>2303.1120499999997</v>
      </c>
      <c r="T21" s="3">
        <f>2607+(711.2-395.4)+(1.32957+(0.362712-0.201654))+0-545.3-0.278102999999945</f>
        <v>2378.7125250000004</v>
      </c>
      <c r="U21" s="3">
        <f>2604.3+(677.4-308.3)+(-5.312772+(-1.381896--0.628932))+0-394.8--0.805391999999983</f>
        <v>2573.3396559999996</v>
      </c>
      <c r="V21" s="3">
        <f>2511.8+(696.3-323.6)+(0+(0-0))+0-474.9-0</f>
        <v>2409.6</v>
      </c>
      <c r="W21" s="3">
        <f>2466.1+(584.4-363.3)+(-5.030844+(-1.192176--0.741132))+0-476--0.971039999999979</f>
        <v>2206.6891519999999</v>
      </c>
      <c r="X21" s="3">
        <f>2440.7+(644.6-359.8)+(-2.489514+(-0.657492--0.366996))+0-449.3--0.458286000000072</f>
        <v>2273.8782759999999</v>
      </c>
      <c r="Y21" s="3">
        <f>3249.6+(367.3-1012.8)+(-6.629184+(-0.749292--2.066112))+0-442.3--0.902291999999981</f>
        <v>2157.3899279999996</v>
      </c>
      <c r="Z21" s="3">
        <f>4288.3+(329.2-1781.4)+(-6.561099+(-0.503676--2.725542))+0-440.2--0.673506000000025</f>
        <v>2392.2342730000005</v>
      </c>
      <c r="AA21" s="3">
        <f>3926.5+(362.4-1349)+(-6.007545+(-0.554472--2.06397))+0-524.9--0.80309700000003</f>
        <v>2411.3050499999999</v>
      </c>
      <c r="AB21" s="3">
        <f>3363.2+(426.8-768.7)+(-5.145696+(-0.653004--1.176111))+0-526.5--0.80554500000003</f>
        <v>2490.9829559999998</v>
      </c>
      <c r="AC21" s="3">
        <f>3199.7+(499.9-467.8)+(-6.527388+(-1.019796--0.954312))+0-553.1--1.12832399999998</f>
        <v>2673.2354519999994</v>
      </c>
      <c r="AD21">
        <f t="shared" si="0"/>
        <v>53726.550788</v>
      </c>
      <c r="AE21" s="3">
        <f>4681+(319.3-1973.1)+(0+(0-0))+0-572.5-0</f>
        <v>2454.6999999999998</v>
      </c>
    </row>
    <row r="22" spans="1:31" customFormat="1" x14ac:dyDescent="0.25">
      <c r="A22">
        <v>89</v>
      </c>
      <c r="B22">
        <v>1</v>
      </c>
      <c r="C22">
        <v>22</v>
      </c>
      <c r="D22">
        <v>2</v>
      </c>
      <c r="E22">
        <v>1</v>
      </c>
      <c r="F22" s="3">
        <f>2469.8+(919-327.1)+(-2.519196+(-0.93738--0.333642))+0-539.7--0.550494000000086</f>
        <v>2519.4275600000001</v>
      </c>
      <c r="G22" s="3">
        <f>2061.5+(1190.3-275.3)+(-5.256825+(-3.035265--0.702015))+0-519.3--1.32421499999992</f>
        <v>2450.9341399999998</v>
      </c>
      <c r="H22" s="3">
        <f>2013.4+(1134.5-302.1)+(-3.080502+(-1.735785--0.462213))+0-475.4--0.727362000000027</f>
        <v>2366.7732880000003</v>
      </c>
      <c r="I22" s="3">
        <f>1951.7+(1096.7-291.3)+(-2.986101+(-1.677951--0.445689))+0-496.2--0.759186000000029</f>
        <v>2257.4408230000008</v>
      </c>
      <c r="J22" s="3">
        <f>1932.7+(1020.7-302.2)+(-4.928385+(-2.602785--0.77061))+0-520.4--1.32701999999992</f>
        <v>2125.3664599999993</v>
      </c>
      <c r="K22" s="3">
        <f>2169.5+(798.5-384.6)+(2.21289+(0.81447-0.392292))+0-552.2-0.563244000000088</f>
        <v>2033.2718239999999</v>
      </c>
      <c r="L22" s="3">
        <f>2073.8+(874.7-483.7)+(-5.28819+(-2.230485--1.233435))+0-510.8--1.30253999999993</f>
        <v>1949.0173</v>
      </c>
      <c r="M22" s="3">
        <f>2117.1+(816.6-619.2)+(-1.079721+(-0.416466--0.315792))+0-553.5--0.282284999999944</f>
        <v>1760.1018900000001</v>
      </c>
      <c r="N22" s="3">
        <f>2037.4+(814.2-607.4)+(1.039074+(0.415242-0.309774))+0-477.7-0.243626999999952</f>
        <v>1767.4009150000002</v>
      </c>
      <c r="O22" s="3">
        <f>1910.5+(877.5-483.1)+(-0.974355+(-0.447525--0.246381))+0-549.3--0.280142999999944</f>
        <v>1754.7046440000001</v>
      </c>
      <c r="P22" s="3">
        <f>2180.1+(710-482)+(-1.111851+(-0.3621--0.24582))+0-590--0.30089999999994</f>
        <v>1817.172769</v>
      </c>
      <c r="Q22" s="3">
        <f>2575.4+(558.6-815.3)+(1.313454+(0.284886-0.415803))+0-390.1-0.19895099999996</f>
        <v>1929.5835860000007</v>
      </c>
      <c r="R22" s="3">
        <f>2681.7+(552.1-617.5)+(-4.103001+(-0.844713--0.944775))+0-519.9--0.79544700000003</f>
        <v>2093.1925079999996</v>
      </c>
      <c r="S22" s="3">
        <f>2559.9+(574.3-415)+(-3.916647+(-0.878679--0.63495))+0-461.8--0.706554000000027</f>
        <v>2253.9461779999997</v>
      </c>
      <c r="T22" s="3">
        <f>2931.5+(531.1-478)+(0+(0-0))+0-525.2-0</f>
        <v>2459.3999999999996</v>
      </c>
      <c r="U22" s="3">
        <f>2788.3+(518.5-456.2)+(0+(0-0))+0-547.2-0</f>
        <v>2303.4000000000005</v>
      </c>
      <c r="V22" s="3">
        <f>2840.6+(438.6-476.9)+(-1.448706+(-0.223686--0.243219))+0-474.9--0.242198999999952</f>
        <v>2326.2130259999999</v>
      </c>
      <c r="W22" s="3">
        <f>2355.9+(642.7-339.4)+(-7.209054+(-1.966662--1.038564))+0-445.4--1.36292400000005</f>
        <v>2207.0257720000004</v>
      </c>
      <c r="X22" s="3">
        <f>2142.3+(659.8-311.2)+(-1.092573+(-0.336498--0.158712))+0-437.8--0.223277999999956</f>
        <v>2052.0529189999997</v>
      </c>
      <c r="Y22" s="3">
        <f>2843.5+(541.8-840.2)+(-2.90037+(-0.552636--0.857004))+0-422.6--0.431052000000067</f>
        <v>2120.3350499999997</v>
      </c>
      <c r="Z22" s="3">
        <f>4051.8+(505.1-1683.1)+(-12.398508+(-1.545606--5.150286))+0-497.2--1.52143200000006</f>
        <v>2369.3276040000005</v>
      </c>
      <c r="AA22" s="3">
        <f>4012.3+(546.3-1437.1)+(-8.185092+(-1.114452--2.931684))+0-584.4--1.19217599999997</f>
        <v>2531.9243160000001</v>
      </c>
      <c r="AB22" s="3">
        <f>3631.1+(518.7-1121)+(0+(0-0))+0-426.4-0</f>
        <v>2602.4</v>
      </c>
      <c r="AC22" s="3">
        <f>3277.2+(544.4-617.8)+(-1.671372+(-0.277644--0.315078))+0-559.7--0.285446999999943</f>
        <v>2642.7515089999993</v>
      </c>
      <c r="AD22">
        <f t="shared" si="0"/>
        <v>52693.164081000003</v>
      </c>
      <c r="AE22" s="3">
        <f>4269+(513.3-1709.2)+(0+(0-0))+0-530.5-0</f>
        <v>2542.6</v>
      </c>
    </row>
    <row r="23" spans="1:31" customFormat="1" x14ac:dyDescent="0.25">
      <c r="A23">
        <v>89</v>
      </c>
      <c r="B23">
        <v>1</v>
      </c>
      <c r="C23">
        <v>23</v>
      </c>
      <c r="D23">
        <v>3</v>
      </c>
      <c r="E23">
        <v>1</v>
      </c>
      <c r="F23" s="3">
        <f>2535+(918.8-283.3)+(-3.87855+(-1.405764--0.433449))+0-464.9--0.711297000000027</f>
        <v>2701.4604319999999</v>
      </c>
      <c r="G23" s="3">
        <f>2135.3+(1195-234.8)+(0+(0-0))+0-531.9-0</f>
        <v>2563.6</v>
      </c>
      <c r="H23" s="3">
        <f>2078.7+(1164.6-231.8)+(-2.120274+(-1.187892--0.236436))+0-524.2--0.534684000000084</f>
        <v>2484.7629539999998</v>
      </c>
      <c r="I23" s="3">
        <f>2067+(1123.3-233.6)+(-1.05417+(-0.572883--0.119136))+0-553.8--0.282437999999944</f>
        <v>2401.6745209999995</v>
      </c>
      <c r="J23" s="3">
        <f>2033.8+(1034.1-233.6)+(-4.148952+(-2.109564--0.476544))+0-485.2--0.989807999999979</f>
        <v>2344.3078359999995</v>
      </c>
      <c r="K23" s="3">
        <f>2060.6+(927.2-252.6)+(-1.050906+(-0.472872--0.128826))+0-499.6--0.254795999999949</f>
        <v>2234.459844</v>
      </c>
      <c r="L23" s="3">
        <f>2133.5+(880.9-338.6)+(-1.088085+(-0.449259--0.172686))+0-598.7--0.305336999999939</f>
        <v>2076.0406789999997</v>
      </c>
      <c r="M23" s="3">
        <f>2187.5+(737.7-563)+(-2.23125+(-0.752454--0.57426))+0-464.8--0.474096000000074</f>
        <v>1895.4646520000001</v>
      </c>
      <c r="N23" s="3">
        <f>2265.2+(808.8-626.5)+(-4.621008+(-1.649952--1.27806))+0-561.2--1.14484799999998</f>
        <v>1882.4519479999997</v>
      </c>
      <c r="O23" s="3">
        <f>2214.6+(821.8-665.8)+(-3.388338+(-1.257354--1.018674))+0-468.3--0.716499000000027</f>
        <v>1899.3894809999999</v>
      </c>
      <c r="P23" s="3">
        <f>2328.4+(760.3-616.6)+(-3.562452+(-1.163259--0.943398))+0-510--0.78030000000003</f>
        <v>1959.0979869999999</v>
      </c>
      <c r="Q23" s="3">
        <f>2418.5+(717.7-608.3)+(-2.46687+(-0.732054--0.620466))+0-522.4--0.532848000000083</f>
        <v>2003.4543900000001</v>
      </c>
      <c r="R23" s="3">
        <f>2796.9+(620.4-646.8)+(0+(0-0))+0-544-0</f>
        <v>2226.5</v>
      </c>
      <c r="S23" s="3">
        <f>2802.9+(678.5-522)+(-1.429479+(-0.346035--0.26622))+0-487.6--0.248675999999951</f>
        <v>2470.5393820000004</v>
      </c>
      <c r="T23" s="3">
        <f>3158.5+(496.6-561.6)+(-3.22167+(-0.506532--0.572832))+0-459.1--0.468282000000073</f>
        <v>2631.7129120000004</v>
      </c>
      <c r="U23" s="3">
        <f>3333.2+(404-608.7)+(-3.399864+(-0.41208--0.620874))+0-491--0.500820000000078</f>
        <v>2634.8097500000003</v>
      </c>
      <c r="V23" s="3">
        <f>3365.9+(358.1-706.2)+(-3.433218+(-0.365262--0.720324))+0-401.8--0.409836000000064</f>
        <v>2613.3316800000002</v>
      </c>
      <c r="W23" s="3">
        <f>3422.3+(346.1-811.5)+(-1.745373+(-0.176511--0.413865))+0-533.4--0.272033999999946</f>
        <v>2422.2640150000002</v>
      </c>
      <c r="X23" s="3">
        <f>3338.8+(428-1030.4)+(-1.702788+(-0.21828--0.525504))+0-498.2--0.254081999999949</f>
        <v>2237.0585180000003</v>
      </c>
      <c r="Y23" s="3">
        <f>4115.5+(318.9-1704.6)+(0+(0-0))+0-480.8-0</f>
        <v>2249</v>
      </c>
      <c r="Z23" s="3">
        <f>5091.1+(420.9-2374.3)+(-5.192922+(-0.429318--2.421786))+0-549.9--0.560898000000088</f>
        <v>2585.1604440000006</v>
      </c>
      <c r="AA23" s="3">
        <f>4823.8+(483.6-2042.4)+(-4.920276+(-0.493272--2.083248))+0-586.6--0.598332000000094</f>
        <v>2675.668032</v>
      </c>
      <c r="AB23" s="3">
        <f>4161.7+(383.3-1311.3)+(-8.489868+(-0.781932--2.675052))+0-469.6--0.95798399999998</f>
        <v>2758.4612360000001</v>
      </c>
      <c r="AC23" s="3">
        <f>3514.4+(363.8-416.5)+(-3.584688+(-0.371076--0.42483))+0-588.6--0.600372000000094</f>
        <v>2870.1694380000004</v>
      </c>
      <c r="AD23">
        <f t="shared" si="0"/>
        <v>56820.840130999997</v>
      </c>
      <c r="AE23" s="3">
        <f>5329+(359-2335.3)+(0+(0-0))+0-486.3-0</f>
        <v>2866.3999999999996</v>
      </c>
    </row>
    <row r="24" spans="1:31" customFormat="1" x14ac:dyDescent="0.25">
      <c r="A24">
        <v>89</v>
      </c>
      <c r="B24">
        <v>1</v>
      </c>
      <c r="C24">
        <v>24</v>
      </c>
      <c r="D24">
        <v>4</v>
      </c>
      <c r="E24">
        <v>1</v>
      </c>
      <c r="F24" s="3">
        <f>2993.4+(851.4-341.5)+(-4.579902+(-1.302642--0.522495))+0-611.2--0.935136000000035</f>
        <v>2887.6750870000005</v>
      </c>
      <c r="G24" s="3">
        <f>2632.4+(988.8-298.9)+(-4.027572+(-1.512864--0.457317))+0-520.7--0.79667100000003</f>
        <v>2797.3135520000005</v>
      </c>
      <c r="H24" s="3">
        <f>2368.5+(1103-221)+(1.207935+(0.56253-0.11271))+0-559.7-0.285446999999943</f>
        <v>2692.1723080000006</v>
      </c>
      <c r="I24" s="3">
        <f>2152.7+(1019.6-238.8)+(-3.293631+(-1.559988--0.365364))+0-468.4--0.716652000000027</f>
        <v>2461.3283969999998</v>
      </c>
      <c r="J24" s="3">
        <f>2053.7+(1037.5-167)+(-5.236935+(-2.645625--0.42585))+0-541.3--1.38031499999992</f>
        <v>2376.823605</v>
      </c>
      <c r="K24" s="3">
        <f>1891.2+(919.9-171.9)+(-2.893536+(-1.407447--0.263007))+0-505.4--0.773262000000029</f>
        <v>2130.5352859999998</v>
      </c>
      <c r="L24" s="3">
        <f>1932.8+(780.8-193.7)+(-0.985728+(-0.398208--0.098787))+0-563.1--0.287180999999943</f>
        <v>1955.8020319999998</v>
      </c>
      <c r="M24" s="3">
        <f>2067.4+(656.9-547.1)+(0+(0-0))+0-466.2-0</f>
        <v>1710.9999999999998</v>
      </c>
      <c r="N24" s="3">
        <f>2079.5+(680.5-619.9)+(0+(0-0))+0-478.9-0</f>
        <v>1661.1999999999998</v>
      </c>
      <c r="O24" s="3">
        <f>2356.3+(680.6-803.3)+(-1.201713+(-0.347106--0.409683))+0-463.6--0.236435999999953</f>
        <v>1769.0973000000006</v>
      </c>
      <c r="P24" s="3">
        <f>2753.5+(610.9-1088.4)+(0+(0-0))+0-497.1-0</f>
        <v>1778.9</v>
      </c>
      <c r="Q24" s="3">
        <f>3164.9+(581.8-1283)+(0+(0-0))+0-505-0</f>
        <v>1958.6999999999998</v>
      </c>
      <c r="R24" s="3">
        <f>3535.9+(494.7-1584.2)+(-5.409927+(-0.756891--2.423826))+0-386.5--0.591345000000022</f>
        <v>2056.748353</v>
      </c>
      <c r="S24" s="3">
        <f>3350.4+(327.2-1034.4)+(-3.417408+(-0.333744--1.055088))+0-395.4--0.403308000000063</f>
        <v>2245.5072439999994</v>
      </c>
      <c r="T24" s="3">
        <f>3485.7+(253.9-986.8)+(-1.777707+(-0.129489--0.503268))+0-441.2--0.225011999999955</f>
        <v>2310.4210839999996</v>
      </c>
      <c r="U24" s="3">
        <f>3589.3+(194.8-982.1)+(1.830543+(0.099348-0.500871))+0-465.7-0.237506999999953</f>
        <v>2337.4915130000004</v>
      </c>
      <c r="V24" s="3">
        <f>3576.4+(216.9-980.1)+(-1.823964+(-0.110619--0.499851))+0-492--0.25091999999995</f>
        <v>2320.0161879999996</v>
      </c>
      <c r="W24" s="3">
        <f>3312.9+(369.1-972.6)+(-5.068737+(-0.564723--1.488078))+0-485.9--0.743427000000028</f>
        <v>2220.0980449999997</v>
      </c>
      <c r="X24" s="3">
        <f>3266.4+(397.9-1045.8)+(-8.32932+(-1.014645--2.66679))+0-521.6--1.33007999999992</f>
        <v>2091.552905</v>
      </c>
      <c r="Y24" s="3">
        <f>4197.7+(268.5-1899.4)+(-4.281654+(-0.27387--1.937388))+0-509.7--0.519894000000081</f>
        <v>2055.0017579999999</v>
      </c>
      <c r="Z24" s="3">
        <f>4779+(434.5-2471.3)+(-9.74916+(-0.88638--5.041452))+0-374.1--0.763163999999984</f>
        <v>2363.269076</v>
      </c>
      <c r="AA24" s="3">
        <f>4783.4+(439.6-2562.7)+(-12.19767+(-1.12098--6.534885))+0-529.7--1.35073499999992</f>
        <v>2125.1669699999993</v>
      </c>
      <c r="AB24" s="3">
        <f>4549.7+(282.3-2062.7)+(-9.281388+(-0.575892--4.207908))+0-516.1--1.05284399999998</f>
        <v>2248.6034720000002</v>
      </c>
      <c r="AC24" s="3">
        <f>3856.4+(219.4-1536.5)+(-7.867056+(-0.447576--3.13446))+0-442.1--0.901883999999981</f>
        <v>2092.9217120000003</v>
      </c>
      <c r="AD24">
        <f t="shared" si="0"/>
        <v>52647.345887000003</v>
      </c>
      <c r="AE24" s="3">
        <f>4872+(442-2590)+(0+(0-0))+0-561-0</f>
        <v>2163</v>
      </c>
    </row>
    <row r="25" spans="1:31" customFormat="1" x14ac:dyDescent="0.25">
      <c r="A25">
        <v>89</v>
      </c>
      <c r="B25">
        <v>1</v>
      </c>
      <c r="C25">
        <v>25</v>
      </c>
      <c r="D25">
        <v>5</v>
      </c>
      <c r="E25">
        <v>1</v>
      </c>
      <c r="F25" s="3">
        <f>3286.4+(212.2-1208.6)+(-5.028192+(-0.324666--1.849158))+0-398.6--0.609858000000023</f>
        <v>1888.5061579999999</v>
      </c>
      <c r="G25" s="3">
        <f>2598.5+(314.5-564.9)+(-3.975705+(-0.481185--0.864297))+0-477.3--0.730269000000028</f>
        <v>1867.9376760000002</v>
      </c>
      <c r="H25" s="3">
        <f>2416.7+(373.7-510.3)+(-2.465034+(-0.381174--0.520506))+0-490.7--0.500514000000078</f>
        <v>1787.5748119999998</v>
      </c>
      <c r="I25" s="3">
        <f>2171.2+(566.6-454.7)+(-2.214624+(-0.577932--0.463794))+0-505--0.51510000000008</f>
        <v>1776.2863379999999</v>
      </c>
      <c r="J25" s="3">
        <f>2043.9+(579.3-403.8)+(-2.084778+(-0.590886--0.411876))+0-468.1--0.477462000000075</f>
        <v>1749.513674</v>
      </c>
      <c r="K25" s="3">
        <f>2028.4+(598.9-384.1)+(1.034484+(0.305439-0.195891))+0-560.5-0.285854999999943</f>
        <v>1683.5581770000001</v>
      </c>
      <c r="L25" s="3">
        <f>1962.6+(671-527.6)+(-1.000926+(-0.34221--0.269076))+0-482--0.245819999999951</f>
        <v>1623.1717599999999</v>
      </c>
      <c r="M25" s="3">
        <f>1896.5+(800-533.3)+(0.967215+(0.408-0.271983))+0-583.9-0.297788999999941</f>
        <v>1580.1054429999997</v>
      </c>
      <c r="N25" s="3">
        <f>1902.1+(844.4-722.6)+(0+(0-0))+0-452-0</f>
        <v>1571.8999999999999</v>
      </c>
      <c r="O25" s="3">
        <f>2531.8+(798.6-1182.1)+(-1.291218+(-0.407286--0.602871))+0-510.8--0.260507999999948</f>
        <v>1636.6648750000002</v>
      </c>
      <c r="P25" s="3">
        <f>3228.3+(747.3-1653.4)+(3.292866+(0.762246-1.686468))+0-505.7-0.515814000000081</f>
        <v>1818.3528299999998</v>
      </c>
      <c r="Q25" s="3">
        <f>3369.3+(724.3-1677.5)+(-5.155029+(-1.108179--2.566575))+0-491.7--0.752301000000028</f>
        <v>1921.4556680000003</v>
      </c>
      <c r="R25" s="3">
        <f>3410.1+(543.4-1452.1)+(1.739151+(0.277134-0.740571))+0-428-0.218279999999957</f>
        <v>2074.4574339999999</v>
      </c>
      <c r="S25" s="3">
        <f>3292.3+(432.2-1021.2)+(-1.679073+(-0.220422--0.520812))+0-426.1--0.217310999999957</f>
        <v>2276.0386280000002</v>
      </c>
      <c r="T25" s="3">
        <f>3413.5+(412.3-947.8)+(1.740885+(0.210273-0.483378))+0-463.3-0.236282999999953</f>
        <v>2415.931497</v>
      </c>
      <c r="U25" s="3">
        <f>3287.6+(413.5-960.4)+(-5.030028+(-0.632655--1.469412))+0-369.3--0.565029000000021</f>
        <v>2367.7717579999994</v>
      </c>
      <c r="V25" s="3">
        <f>3598.4+(386.3-1239.2)+(0+(0-0))+0-428.7-0</f>
        <v>2316.8000000000002</v>
      </c>
      <c r="W25" s="3">
        <f>3726.7+(357.2-1499.5)+(-5.701851+(-0.546516--2.294235))+0-389.9--0.596547000000022</f>
        <v>2191.1424149999998</v>
      </c>
      <c r="X25" s="3">
        <f>3490.7+(441.2-1458.3)+(-10.681542+(-1.350072--4.462398))+0-374--1.14444000000004</f>
        <v>2093.1752240000001</v>
      </c>
      <c r="Y25" s="3">
        <f>4148.1+(406.1-2006.6)+(-4.231062+(-0.414222--2.046732))+0-411.6--0.419832000000066</f>
        <v>2133.8212800000006</v>
      </c>
      <c r="Z25" s="3">
        <f>4419.8+(623.2-2124.2)+(-9.016392+(-1.271328--4.333368))+0-423.6--0.864143999999982</f>
        <v>2490.1097920000002</v>
      </c>
      <c r="AA25" s="3">
        <f>4530.8+(478.4-1960.8)+(-6.932124+(-0.731952--3.000024))+0-380.2--0.581706000000022</f>
        <v>2664.1176540000001</v>
      </c>
      <c r="AB25" s="3">
        <f>4219.5+(508.5-1592.3)+(-8.60778+(-1.03734--3.248292))+0-449.3--0.91657199999998</f>
        <v>2680.9197439999998</v>
      </c>
      <c r="AC25" s="3">
        <f>4054.1+(522.9-1381.7)+(0+(0-0))+0-486-0</f>
        <v>2709.2999999999997</v>
      </c>
      <c r="AD25">
        <f t="shared" si="0"/>
        <v>49318.612837000008</v>
      </c>
      <c r="AE25" s="3">
        <f>4666+(529-2232)+(0+(0-0))+0-556-0</f>
        <v>2407</v>
      </c>
    </row>
    <row r="26" spans="1:31" customFormat="1" x14ac:dyDescent="0.25">
      <c r="A26">
        <v>89</v>
      </c>
      <c r="B26">
        <v>1</v>
      </c>
      <c r="C26">
        <v>26</v>
      </c>
      <c r="D26">
        <v>6</v>
      </c>
      <c r="E26">
        <v>1</v>
      </c>
      <c r="F26" s="3">
        <f>3349.5+(565.1-732.5)+(-5.124735+(-0.864603--1.120725))+0-495.8--0.758574000000029</f>
        <v>2682.1899609999996</v>
      </c>
      <c r="G26" s="3">
        <f>2868.9+(762.2-482.4)+(-1.463139+(-0.388722--0.246024))+0-547--0.278969999999944</f>
        <v>2600.3731330000001</v>
      </c>
      <c r="H26" s="3">
        <f>2333.3+(1005.1-407.4)+(0+(0-0))+0-433.8-0</f>
        <v>2497.1999999999998</v>
      </c>
      <c r="I26" s="3">
        <f>2160.8+(1110.7-299.6)+(-4.408032+(-2.265828--0.611184))+0-595.6--1.21502399999997</f>
        <v>2371.4523480000003</v>
      </c>
      <c r="J26" s="3">
        <f>2163.4+(960.1-325.1)+(-3.310002+(-1.468953--0.497403))+0-481.9--0.737307000000028</f>
        <v>2312.955755</v>
      </c>
      <c r="K26" s="3">
        <f>2192.4+(903.1-371.3)+(0+(0-0))+0-536.3-0</f>
        <v>2187.8999999999996</v>
      </c>
      <c r="L26" s="3">
        <f>2052.1+(902.3-314.1)+(-6.279426+(-2.761038--0.961146))+0-567.3--1.73593800000007</f>
        <v>2066.6566200000002</v>
      </c>
      <c r="M26" s="3">
        <f>1918.5+(733.5-349.1)+(0.978435+(0.374085-0.178041))+0-467.8-0.238577999999953</f>
        <v>1836.035901</v>
      </c>
      <c r="N26" s="3">
        <f>2433.8+(664-694.3)+(0+(0-0))+0-573.8-0</f>
        <v>1829.7</v>
      </c>
      <c r="O26" s="3">
        <f>2959.9+(569.1-1132.8)+(3.019098+(0.580482-1.155456))+0-483.4-0.493068000000077</f>
        <v>1914.7510560000003</v>
      </c>
      <c r="P26" s="3">
        <f>3575.2+(486.7-1503.1)+(-5.470056+(-0.744651--2.299743))+0-589.9--0.902547000000034</f>
        <v>1965.8875830000002</v>
      </c>
      <c r="Q26" s="3">
        <f>3969.4+(386.9-1715)+(-6.073182+(-0.591957--2.62395))+0-560.3--0.857259000000032</f>
        <v>2077.8160700000003</v>
      </c>
      <c r="R26" s="3">
        <f>4253.3+(229.5-1667.1)+(0+(0-0))+0-642.4-0</f>
        <v>2173.3000000000002</v>
      </c>
      <c r="S26" s="3">
        <f>3933.9+(205.2-1087.1)+(-6.018867+(-0.313956--1.663263))+0-639.4--0.978282000000037</f>
        <v>2408.9087220000001</v>
      </c>
      <c r="T26" s="3">
        <f>3769.7+(229.7-973.5)+(-1.922547+(-0.117147--0.496485))+0-479.1--0.244340999999951</f>
        <v>2545.5011319999999</v>
      </c>
      <c r="U26" s="3">
        <f>3516+(380.4-748.3)+(-1.79316+(-0.194004--0.381633))+0-599.5--0.305744999999939</f>
        <v>2547.3002139999999</v>
      </c>
      <c r="V26" s="3">
        <f>3115.1+(508.4-620.6)+(-4.766103+(-0.777852--0.949518))+0-512.4--0.78397200000003</f>
        <v>2486.6895349999995</v>
      </c>
      <c r="W26" s="3">
        <f>2956.6+(431.2-636.5)+(-4.523598+(-0.659736--0.973845))+0-471--0.720630000000027</f>
        <v>2276.8111409999997</v>
      </c>
      <c r="X26" s="3">
        <f>2936.6+(479.3-741.7)+(-4.492998+(-0.733329--1.134801))+0-518.9--0.79391700000003</f>
        <v>2152.0023909999995</v>
      </c>
      <c r="Y26" s="3">
        <f>3730.6+(205.5-1198.1)+(1.902606+(0.104805-0.611031))+0-541.3-0.276062999999945</f>
        <v>2197.8203170000002</v>
      </c>
      <c r="Z26" s="3">
        <f>4983.8+(368.7-2149.5)+(-5.083476+(-0.376074--2.19249))+0-596.8--0.608736000000095</f>
        <v>2603.5416759999998</v>
      </c>
      <c r="AA26" s="3">
        <f>4747.1+(418.7-1925.1)+(-2.421021+(-0.213537--0.981801))+0-541.9--0.276368999999945</f>
        <v>2697.423612000001</v>
      </c>
      <c r="AB26" s="3">
        <f>4104.5+(481.1-1342.5)+(-4.18659+(-0.490722--1.36935))+0-488--0.497760000000078</f>
        <v>2752.2897980000002</v>
      </c>
      <c r="AC26" s="3">
        <f>3488.7+(701.3-809.1)+(-10.675422+(-2.145978--2.475846))+0-542.7--1.66066200000006</f>
        <v>2829.5151079999996</v>
      </c>
      <c r="AD26">
        <f t="shared" si="0"/>
        <v>56014.022072999993</v>
      </c>
      <c r="AE26" s="3">
        <f>5193+(363-2298.3)+(0+(0-0))+0-662.1-0</f>
        <v>2595.6</v>
      </c>
    </row>
    <row r="27" spans="1:31" customFormat="1" x14ac:dyDescent="0.25">
      <c r="A27">
        <v>89</v>
      </c>
      <c r="B27">
        <v>1</v>
      </c>
      <c r="C27">
        <v>27</v>
      </c>
      <c r="D27">
        <v>7</v>
      </c>
      <c r="E27">
        <v>1</v>
      </c>
      <c r="F27" s="3">
        <f>2894.3+(972.4-624.2)+(-2.952186+(-0.991848--0.636684))+0-519.5--0.529890000000083</f>
        <v>2720.2225400000002</v>
      </c>
      <c r="G27" s="3">
        <f>2862+(1020-593)+(-7.2981+(-2.601--1.51215))+0-603.7--1.53943499999991</f>
        <v>2678.4524849999998</v>
      </c>
      <c r="H27" s="3">
        <f>2784.3+(1010.6-571.2)+(-7.099965+(-2.57703--1.45656))+0-505.6--1.28927999999993</f>
        <v>2711.1688450000001</v>
      </c>
      <c r="I27" s="3">
        <f>2594.8+(1076.2-505.2)+(-2.646696+(-1.097724--0.515304))+0-577.5--0.589050000000092</f>
        <v>2585.6599340000002</v>
      </c>
      <c r="J27" s="3">
        <f>2701.2+(925.7-562.1)+(0+(0-0))+0-553.8-0</f>
        <v>2511</v>
      </c>
      <c r="K27" s="3">
        <f>2820.3+(811.4-644.5)+(-5.753412+(-1.655256--1.31478))+0-514.5--1.04957999999998</f>
        <v>2467.6556920000003</v>
      </c>
      <c r="L27" s="3">
        <f>2424.6+(924.5-513.8)+(-8.655822+(-3.300465--1.834266))+0-510.2--1.82141400000001</f>
        <v>2316.7993930000002</v>
      </c>
      <c r="M27" s="3">
        <f>1954.2+(1033.8-296.8)+(-3.986568+(-2.108952--0.605472))+0-612.5--1.24949999999997</f>
        <v>2074.4594519999996</v>
      </c>
      <c r="N27" s="3">
        <f>2169.1+(771.9-532.3)+(0+(0-0))+0-421.1-0</f>
        <v>1987.6</v>
      </c>
      <c r="O27" s="3">
        <f>2355.4+(768.8-668.1)+(2.402508+(0.784176-0.681462))+0-540.5-0.551310000000086</f>
        <v>1917.5539119999996</v>
      </c>
      <c r="P27" s="3">
        <f>2577.7+(671.6-703.4)+(0+(0-0))+0-589.4-0</f>
        <v>1956.4999999999995</v>
      </c>
      <c r="Q27" s="3">
        <f>3166.6+(432-893.3)+(-3.229932+(-0.44064--0.911166))+0-619.9--0.632298000000099</f>
        <v>2083.272892</v>
      </c>
      <c r="R27" s="3">
        <f>3251+(340.2-829.9)+(-3.31602+(-0.347004--0.846498))+0-559.8--0.570996000000089</f>
        <v>2199.2544700000003</v>
      </c>
      <c r="S27" s="3">
        <f>3343.7+(332.5-769.2)+(0+(0-0))+0-484.5-0</f>
        <v>2422.5</v>
      </c>
      <c r="T27" s="3">
        <f>2995.9+(643.4-520)+(-6.111636+(-1.312536--1.0608))+0-473.3--0.965531999999979</f>
        <v>2640.6021600000004</v>
      </c>
      <c r="U27" s="3">
        <f>2522.5+(888.3-285.2)+(-9.005325+(-3.171231--1.018164))+0-479.4--1.71145800000001</f>
        <v>2636.7530660000002</v>
      </c>
      <c r="V27" s="3">
        <f>2441.1+(870.5-263.6)+(-7.469766+(-2.66373--0.806616))+0-480.1--1.46910600000006</f>
        <v>2560.042226</v>
      </c>
      <c r="W27" s="3">
        <f>2451.6+(725.8-330.1)+(-1.250316+(-0.370158--0.168351))+0-476.8--0.243167999999952</f>
        <v>2369.2910449999995</v>
      </c>
      <c r="X27" s="3">
        <f>2466.4+(624-390.3)+(-6.28932+(-1.5912--0.995265))+0-517.4--1.31936999999992</f>
        <v>2177.1341149999994</v>
      </c>
      <c r="Y27" s="3">
        <f>2583.4+(388.2-469.4)+(-2.635068+(-0.395964--0.478788))+0-416.4--0.424728000000066</f>
        <v>2083.6724840000002</v>
      </c>
      <c r="Z27" s="3">
        <f>3527.4+(363.2-930)+(-3.597948+(-0.370464--0.9486))+0-476.3--0.485826000000076</f>
        <v>2481.7660140000003</v>
      </c>
      <c r="AA27" s="3">
        <f>3632.1+(391.4-902.9)+(0+(0-0))+0-437.8-0</f>
        <v>2682.7999999999997</v>
      </c>
      <c r="AB27" s="3">
        <f>3619.8+(332.1-738)+(-5.538294+(-0.508113--1.12914))+0-438.2--0.670446000000025</f>
        <v>2771.4531790000005</v>
      </c>
      <c r="AC27" s="3">
        <f>3486.9+(502.9-497.6)+(-5.334957+(-0.769437--0.761328))+0-598--0.914940000000035</f>
        <v>2889.771874</v>
      </c>
      <c r="AD27">
        <f t="shared" si="0"/>
        <v>57925.385778000003</v>
      </c>
      <c r="AE27" s="3">
        <f>3605+(436.6-954.5)+(0+(0-0))+0-509.9-0</f>
        <v>2577.1999999999998</v>
      </c>
    </row>
    <row r="28" spans="1:31" customFormat="1" x14ac:dyDescent="0.25">
      <c r="A28">
        <v>89</v>
      </c>
      <c r="B28">
        <v>1</v>
      </c>
      <c r="C28">
        <v>28</v>
      </c>
      <c r="D28">
        <v>1</v>
      </c>
      <c r="E28">
        <v>1</v>
      </c>
      <c r="F28" s="3">
        <f>2700.1+(913.4-246.8)+(-6.885255+(-2.32917--0.62934))+0-569--1.45094999999992</f>
        <v>2790.5658649999996</v>
      </c>
      <c r="G28" s="3">
        <f>2738+(961.2-287.6)+(-8.37828+(-2.941272--0.880056))+0-542.1--1.65882600000006</f>
        <v>2860.7193299999999</v>
      </c>
      <c r="H28" s="3">
        <f>2093.8+(1407.3-220.4)+(-4.271352+(-2.870892--0.449616))+0-531.9--1.08507599999998</f>
        <v>2743.1924479999998</v>
      </c>
      <c r="I28" s="3">
        <f>1831+(1523.9-225.2)+(-1.86762+(-1.554378--0.229704))+0-491.7--0.501534000000078</f>
        <v>2635.30924</v>
      </c>
      <c r="J28" s="3">
        <f>1836.1+(1524.8-226.6)+(-2.809233+(-2.332944--0.346698))+0-601.3--0.919989000000035</f>
        <v>2529.1245100000006</v>
      </c>
      <c r="K28" s="3">
        <f>1735.3+(1456.6-235.6)+(-1.770006+(-1.485732--0.240312))+0-495.3--0.505206000000079</f>
        <v>2458.4897800000003</v>
      </c>
      <c r="L28" s="3">
        <f>1734.4+(1273.3-238)+(-0.884544+(-0.649383--0.12138))+0-481--0.245309999999951</f>
        <v>2287.5327629999997</v>
      </c>
      <c r="M28" s="3">
        <f>1800.1+(945.3-331)+(0.918051+(0.482103-0.16881))+0-430-0.219299999999956</f>
        <v>1985.4120439999995</v>
      </c>
      <c r="N28" s="3">
        <f>2117.8+(915.4-477.9)+(-1.080078+(-0.466854--0.243729))+0-471.5--0.240464999999952</f>
        <v>2082.7372620000001</v>
      </c>
      <c r="O28" s="3">
        <f>2754.4+(737.1-790.9)+(0+(0-0))+0-585.5-0</f>
        <v>2115.1000000000004</v>
      </c>
      <c r="P28" s="3">
        <f>3181.8+(652.8-1305)+(-4.868154+(-0.998784--1.99665))+0-432.5--0.661725000000025</f>
        <v>2093.8914370000002</v>
      </c>
      <c r="Q28" s="3">
        <f>3503.6+(536.7-1474.7)+(-5.360508+(-0.821151--2.256291))+0-517.3--0.79146900000003</f>
        <v>2045.1661009999998</v>
      </c>
      <c r="R28" s="3">
        <f>3226.5+(421.3-1412.8)+(-4.936545+(-0.644589--2.161584))+0-522.3--0.79911900000003</f>
        <v>1710.079569</v>
      </c>
      <c r="S28" s="3">
        <f>2953.7+(327-856.1)+(-7.531935+(-0.83385--2.183055))+0-609.8--1.55498999999991</f>
        <v>1810.1722599999998</v>
      </c>
      <c r="T28" s="3">
        <f>2626.7+(477.4-699.1)+(-4.018851+(-0.730422--1.069623))+0-504.4--0.771732000000029</f>
        <v>1897.6920819999998</v>
      </c>
      <c r="U28" s="3">
        <f>2559.9+(616.2-546.5)+(-1.305549+(-0.314262--0.278715))+0-600.9--0.306458999999939</f>
        <v>2027.6653630000001</v>
      </c>
      <c r="V28" s="3">
        <f>2554.1+(690.9-528.9)+(-2.605182+(-0.704718--0.539478))+0-623.8--0.636276000000099</f>
        <v>2090.1658539999999</v>
      </c>
      <c r="W28" s="3">
        <f>2326.4+(723.8-500)+(-1.186464+(-0.369138--0.255))+0-461.8--0.235517999999953</f>
        <v>2087.3349159999998</v>
      </c>
      <c r="X28" s="3">
        <f>2334.3+(789.7-412.3)+(-3.571479+(-1.208241--0.630819))+0-569.8--0.871794000000033</f>
        <v>2138.6228930000002</v>
      </c>
      <c r="Y28" s="3">
        <f>2935.1+(433.5-829)+(-1.496901+(-0.221085--0.42279))+0-503.4--0.256733999999949</f>
        <v>2035.1615379999998</v>
      </c>
      <c r="Z28" s="3">
        <f>4616.4+(369.5-1902.6)+(-9.417456+(-0.75378--3.881304))+0-604.1--1.23236399999997</f>
        <v>2474.1424319999996</v>
      </c>
      <c r="AA28" s="3">
        <f>4281.2+(350.7-1536.7)+(-6.550236+(-0.536571--2.351151))+0-488.5--0.747405000000028</f>
        <v>2602.7117490000001</v>
      </c>
      <c r="AB28" s="3">
        <f>4446.2+(343.3-1597.1)+(-4.535124+(-0.350166--1.629042))+0-524.1--0.534582000000084</f>
        <v>2665.5783339999998</v>
      </c>
      <c r="AC28" s="3">
        <f>3631.2+(394.6-905.1)+(-3.703824+(-0.402492--0.923202))+0-428--0.436560000000068</f>
        <v>2689.953446</v>
      </c>
      <c r="AD28">
        <f t="shared" si="0"/>
        <v>54856.521215999994</v>
      </c>
      <c r="AE28" s="3">
        <f>4880+(359.5-2010.4)+(0+(0-0))+0-595.3-0</f>
        <v>2633.8</v>
      </c>
    </row>
    <row r="29" spans="1:31" customFormat="1" x14ac:dyDescent="0.25">
      <c r="A29">
        <v>89</v>
      </c>
      <c r="B29">
        <v>1</v>
      </c>
      <c r="C29">
        <v>29</v>
      </c>
      <c r="D29">
        <v>2</v>
      </c>
      <c r="E29">
        <v>1</v>
      </c>
      <c r="F29" s="3">
        <f>2574.8+(790.7-308.2)+(-3.939444+(-1.209771--0.471546))+0-399.7--0.611541000000023</f>
        <v>2653.5338720000004</v>
      </c>
      <c r="G29" s="3">
        <f>2443.6+(858-308.8)+(-4.984944+(-1.75032--0.629952))+0-438--0.893519999999981</f>
        <v>2549.5882080000001</v>
      </c>
      <c r="H29" s="3">
        <f>2247+(1031.1-257)+(-1.14597+(-0.525861--0.13107))+0-606.2--0.309161999999939</f>
        <v>2413.6684009999994</v>
      </c>
      <c r="I29" s="3">
        <f>1916.6+(1132.4-223.5)+(-0.977466+(-0.577524--0.113985))+0-467.4--0.238373999999953</f>
        <v>2356.8973689999998</v>
      </c>
      <c r="J29" s="3">
        <f>1767+(1264.2-122.6)+(-1.80234+(-1.289484--0.125052))+0-565.7--0.57701400000009</f>
        <v>2340.5102419999998</v>
      </c>
      <c r="K29" s="3">
        <f>1766.5+(1045.4-172.3)+(-4.504575+(-2.66577--0.439365))+0-622.7--1.58788499999991</f>
        <v>2011.7569050000004</v>
      </c>
      <c r="L29" s="3">
        <f>1711.2+(878-239.7)+(-0.872712+(-0.44778--0.122247))+0-448.3--0.228632999999955</f>
        <v>1900.2303879999999</v>
      </c>
      <c r="M29" s="3">
        <f>1809.1+(846.4-312.2)+(-1.845282+(-0.863328--0.318444))+0-569.6--0.580992000000091</f>
        <v>1771.8908260000003</v>
      </c>
      <c r="N29" s="3">
        <f>1988.1+(786.4-488.2)+(-3.041793+(-1.203192--0.746946))+0-508.7--0.778311000000029</f>
        <v>1774.8802719999996</v>
      </c>
      <c r="O29" s="3">
        <f>2183.1+(801.5-627.5)+(0+(0-0))+0.6-503.9-0</f>
        <v>1853.7999999999997</v>
      </c>
      <c r="P29" s="3">
        <f>2541.8+(719.5-887)+(0+(0-0))+30.2-495.7-0</f>
        <v>1908.8</v>
      </c>
      <c r="Q29" s="3">
        <f>2994.6+(688.1-1057.9)+(-3.054492+(-0.701862--1.079058))+0-594.1--0.605982000000095</f>
        <v>2028.628686</v>
      </c>
      <c r="R29" s="3">
        <f>3101.7+(709.6-1149)+(-4.745601+(-1.085688--1.75797))+0-445.2--0.681156000000026</f>
        <v>2213.7078369999999</v>
      </c>
      <c r="S29" s="3">
        <f>2700.3+(800.4-617)+(-1.377153+(-0.408204--0.31467))+0-473.3--0.241382999999952</f>
        <v>2409.1706960000001</v>
      </c>
      <c r="T29" s="3">
        <f>3149+(722.2-767.5)+(1.60599+(0.368322-0.391425))+0-565.2-0.288251999999943</f>
        <v>2539.7946349999997</v>
      </c>
      <c r="U29" s="3">
        <f>3105.5+(585.9-818.8)+(-6.33522+(-1.195236--1.670352))+0-427.4--0.871895999999981</f>
        <v>2440.2117920000001</v>
      </c>
      <c r="V29" s="3">
        <f>2944.2+(711.7-956.3)+(-1.501542+(-0.362967--0.487713))+0-602.8--0.307427999999939</f>
        <v>2095.7306319999998</v>
      </c>
      <c r="W29" s="3">
        <f>2791.5+(827.2-1107.1)+(-4.270995+(-1.265616--1.693863))+0-611.5--0.935595000000035</f>
        <v>1897.1928470000005</v>
      </c>
      <c r="X29" s="3">
        <f>2562.7+(730.4-887.2)+(-3.920931+(-1.117512--1.357416))+0-481.7--0.737001000000028</f>
        <v>1921.2559739999995</v>
      </c>
      <c r="Y29" s="3">
        <f>2835.6+(675.3-909.9)+(-2.892312+(-0.688806--0.928098))+0-639.6--0.652392000000102</f>
        <v>1959.3993720000001</v>
      </c>
      <c r="Z29" s="3">
        <f>3797.3+(669.1-1605.3)+(-7.746492+(-1.364964--3.274812))+0-552.3--1.12669199999998</f>
        <v>2304.090048</v>
      </c>
      <c r="AA29" s="3">
        <f>3855.5+(637-1432.5)+(-9.831525+(-1.62435--3.652875))+0-636.1--1.62205499999991</f>
        <v>2417.719055</v>
      </c>
      <c r="AB29" s="3">
        <f>3961.7+(494.5-1418.1)+(-2.020467+(-0.252195--0.723231))+0-554.9--0.282998999999944</f>
        <v>2481.9335679999999</v>
      </c>
      <c r="AC29" s="3">
        <f>3899+(503.2-1248.1)+(-3.97698+(-0.513264--1.273062))+0-629.9--0.6424980000001</f>
        <v>2521.6253160000006</v>
      </c>
      <c r="AD29">
        <f t="shared" si="0"/>
        <v>52766.016940999994</v>
      </c>
      <c r="AE29" s="3">
        <f>4095+(656.6-1706.6)+(0+(0-0))+0-597-0</f>
        <v>2448</v>
      </c>
    </row>
    <row r="30" spans="1:31" customFormat="1" x14ac:dyDescent="0.25">
      <c r="A30">
        <v>89</v>
      </c>
      <c r="B30">
        <v>1</v>
      </c>
      <c r="C30">
        <v>30</v>
      </c>
      <c r="D30">
        <v>3</v>
      </c>
      <c r="E30">
        <v>1</v>
      </c>
      <c r="F30" s="3">
        <f>3428.8+(444.3-782.8)+(-5.246064+(-0.679779--1.197684))+0-636.6--0.973998000000037</f>
        <v>2449.9458390000004</v>
      </c>
      <c r="G30" s="3">
        <f>2613.7+(699.1-357.1)+(-5.331948+(-1.426164--0.728484))+0-566--1.15463999999998</f>
        <v>2384.8250120000002</v>
      </c>
      <c r="H30" s="3">
        <f>1978.3+(1192.6-298.4)+(0+(0-0))+0-677-0</f>
        <v>2195.5</v>
      </c>
      <c r="I30" s="3">
        <f>1790.1+(1268.2-211.2)+(-3.651804+(-2.587128--0.430848))+0-594.4--1.21257599999997</f>
        <v>2248.1044919999999</v>
      </c>
      <c r="J30" s="3">
        <f>1750.2+(1154.1-217.2)+(-1.785204+(-1.177182--0.221544))+0-573.9--0.585378000000091</f>
        <v>2111.0445359999999</v>
      </c>
      <c r="K30" s="3">
        <f>1765.9+(1084-232.6)+(-2.701827+(-1.65852--0.355878))+0-611.1--0.934983000000035</f>
        <v>2003.1305140000004</v>
      </c>
      <c r="L30" s="3">
        <f>1748.1+(986.6-258.3)+(-1.783062+(-1.006332--0.263466))+0-664.7--0.677994000000106</f>
        <v>1809.8520659999997</v>
      </c>
      <c r="M30" s="3">
        <f>1911.3+(904.1-505.8)+(-0.974763+(-0.461091--0.257958))+0-543--0.276929999999945</f>
        <v>1765.6990339999998</v>
      </c>
      <c r="N30" s="3">
        <f>1811.2+(879.5-491.6)+(0+(0-0))+0-397.9-0</f>
        <v>1801.1999999999998</v>
      </c>
      <c r="O30" s="3">
        <f>2365.7+(805.1-855.5)+(1.206507+(0.410601-0.436305))+0-431.8-0.220217999999956</f>
        <v>1884.460585</v>
      </c>
      <c r="P30" s="3">
        <f>2992.9+(651.6-1389.9)+(0+(0-0))+0-243.4-0</f>
        <v>2011.1999999999998</v>
      </c>
      <c r="Q30" s="3">
        <f>3637.2+(521.7-1896.9)+(-1.854972+(-0.266067--0.967419))+0-243.8--0.124337999999975</f>
        <v>2017.1707180000001</v>
      </c>
      <c r="R30" s="3">
        <f>3799.9+(461.7-1915.1)+(3.875898+(0.470934-1.953402))+0-219.7-0.224094000000035</f>
        <v>2128.9693360000001</v>
      </c>
      <c r="S30" s="3">
        <f>3739.8+(374.5-1495.6)+(1.907298+(0.190995-0.762756))+0-260.8-0.133007999999974</f>
        <v>2359.1025290000002</v>
      </c>
      <c r="T30" s="3">
        <f>3854+(295.6-1356)+(-1.96554+(-0.150756--0.69156))+0-309--0.157589999999969</f>
        <v>2483.3328539999998</v>
      </c>
      <c r="U30" s="3">
        <f>3526.3+(463.2-1042)+(-8.992065+(-1.18116--2.6571))+0-445.9--1.13704499999994</f>
        <v>2495.2209199999998</v>
      </c>
      <c r="V30" s="3">
        <f>3428.5+(496.5-1081.6)+(-3.49707+(-0.50643--1.103232))+0-444--0.452880000000071</f>
        <v>2396.9526120000005</v>
      </c>
      <c r="W30" s="3">
        <f>2870.9+(608.7-869.7)+(-7.320795+(-1.552185--2.217735))+0-447.1--1.14010499999994</f>
        <v>2157.2848600000002</v>
      </c>
      <c r="X30" s="3">
        <f>2535.1+(724.8-799.6)+(-6.464505+(-1.84824--2.03898))+0-461.5--1.17682499999993</f>
        <v>1993.7030599999998</v>
      </c>
      <c r="Y30" s="3">
        <f>2836.1+(648.6-982.3)+(-4.339233+(-0.992358--1.502919))+0-496.5--0.759645000000029</f>
        <v>2002.8309730000001</v>
      </c>
      <c r="Z30" s="3">
        <f>3914.3+(654.9-1672.1)+(-7.985172+(-1.335996--3.411084))+0-544.6--1.11098399999998</f>
        <v>2347.7009000000003</v>
      </c>
      <c r="AA30" s="3">
        <f>3897.8+(660.1-1551.6)+(-11.927268+(-2.019906--4.747896))+0-531.3--1.62577800000006</f>
        <v>2467.4265</v>
      </c>
      <c r="AB30" s="3">
        <f>3874.8+(627.1-1465.9)+(-9.88074+(-1.599105--3.738045))+0-457.7--1.16713499999993</f>
        <v>2571.7253350000005</v>
      </c>
      <c r="AC30" s="3">
        <f>3825.9+(583.7-1291.3)+(-11.707254+(-1.786122--3.951378))+0-406.1--1.24266600000005</f>
        <v>2703.9006680000002</v>
      </c>
      <c r="AD30">
        <f t="shared" si="0"/>
        <v>52790.283343000017</v>
      </c>
      <c r="AE30" s="3">
        <f>4147+(635.8-1814.3)+(0+(0-0))+0-560.6-0</f>
        <v>2407.9</v>
      </c>
    </row>
    <row r="31" spans="1:31" customFormat="1" x14ac:dyDescent="0.25">
      <c r="A31">
        <v>89</v>
      </c>
      <c r="B31">
        <v>1</v>
      </c>
      <c r="C31">
        <v>31</v>
      </c>
      <c r="D31">
        <v>4</v>
      </c>
      <c r="E31">
        <v>1</v>
      </c>
      <c r="F31" s="3">
        <f>3417.1+(656.2-797.3)+(-10.456326+(-2.007972--2.439738))+0-521--1.59426000000006</f>
        <v>2746.5697</v>
      </c>
      <c r="G31" s="3">
        <f>2788.2+(782.5-364.7)+(-8.531892+(-2.39445--1.115982))+0-505.2--1.54591200000006</f>
        <v>2692.5355520000003</v>
      </c>
      <c r="H31" s="3">
        <f>2399.9+(924.1-336.2)+(-1.223949+(-0.471291--0.171462))+0-423.4--0.215933999999957</f>
        <v>2563.0921559999997</v>
      </c>
      <c r="I31" s="3">
        <f>2276.7+(1045.8-353.2)+(-2.322234+(-1.066716--0.360264))+0-497.9--0.507858000000079</f>
        <v>2468.8791719999995</v>
      </c>
      <c r="J31" s="3">
        <f>2186.2+(1012.6-396.1)+(0+(0-0))+0-426.3-0</f>
        <v>2376.3999999999996</v>
      </c>
      <c r="K31" s="3">
        <f>2085+(1047.7-414.6)+(-1.06335+(-0.534327--0.211446))+0-448.4--0.228683999999955</f>
        <v>2268.542453</v>
      </c>
      <c r="L31" s="3">
        <f>1890.2+(1005.2-389)+(-1.928004+(-1.025304--0.39678))+0-403.6--0.411672000000064</f>
        <v>2100.6551440000003</v>
      </c>
      <c r="M31" s="3">
        <f>1716.9+(992.4-359.4)+(-1.751238+(-1.012248--0.366588))+0-438.6--0.44737200000007</f>
        <v>1909.3504740000003</v>
      </c>
      <c r="N31" s="3">
        <f>1946.7+(956.1-601.1)+(-2.978451+(-1.462833--0.919683))+0-393.1--0.601443000000023</f>
        <v>1905.679842</v>
      </c>
      <c r="O31" s="3">
        <f>1995.3+(976.5-628)+(-3.052809+(-1.494045--0.96084))+0-499.5--0.764235000000029</f>
        <v>1841.4782210000003</v>
      </c>
      <c r="P31" s="3">
        <f>2483.4+(838.8-803.4)+(0+(0-0))+0-463.9-0</f>
        <v>2054.9</v>
      </c>
      <c r="Q31" s="3">
        <f>2770.9+(770.5-981)+(1.413159+(0.392955-0.50031))+0-385.5-0.196604999999961</f>
        <v>2176.0091990000001</v>
      </c>
      <c r="R31" s="3">
        <f>3003.5+(713.9-920.1)+(-1.531785+(-0.364089--0.469251))+0-456.1--0.232610999999954</f>
        <v>2340.0059880000003</v>
      </c>
      <c r="S31" s="3">
        <f>2767.2+(651.2-453.6)+(-1.411272+(-0.332112--0.231336))+0-360.4--0.183803999999963</f>
        <v>2603.0717559999994</v>
      </c>
      <c r="T31" s="3">
        <f>3217.5+(571.9-581.1)+(0+(0-0))+0-401.5-0</f>
        <v>2806.8</v>
      </c>
      <c r="U31" s="3">
        <f>3045+(599.2-457.9)+(-4.65885+(-0.916776--0.700587))+0-447.8--0.685134000000026</f>
        <v>2734.3100949999998</v>
      </c>
      <c r="V31" s="3">
        <f>2721.8+(799.6-438.1)+(-4.164354+(-1.223388--0.670293))+0-460.1--0.703953000000027</f>
        <v>2619.1865040000002</v>
      </c>
      <c r="W31" s="3">
        <f>2515.5+(845.3-390.6)+(-6.414525+(-2.155515--0.99603))+0-514--1.31069999999993</f>
        <v>2449.93669</v>
      </c>
      <c r="X31" s="3">
        <f>2476.1+(704.7-405.1)+(-5.051244+(-1.437588--0.826404))+0-504--1.02815999999998</f>
        <v>2267.0657319999996</v>
      </c>
      <c r="Y31" s="3">
        <f>2932+(500.2-806.6)+(-2.99064+(-0.510204--0.822732))+0-443.7--0.452574000000071</f>
        <v>2179.6744619999999</v>
      </c>
      <c r="Z31" s="3">
        <f>4243.1+(393.2-1576.7)+(-6.491943+(-0.601596--2.412351))+0-474.2--0.725526000000027</f>
        <v>2581.4443380000007</v>
      </c>
      <c r="AA31" s="3">
        <f>3888.2+(485.4-1128.4)+(-1.982982+(-0.247554--0.575484))+0-541--0.275909999999945</f>
        <v>2702.8208579999996</v>
      </c>
      <c r="AB31" s="3">
        <f>3757.8+(555.4-903.7)+(-9.58239+(-1.41627--2.304435))+0-531.8--1.35608999999992</f>
        <v>2870.3618649999994</v>
      </c>
      <c r="AC31" s="3">
        <f>3714.7+(622.7-629.9)+(-7.577988+(-1.270308--1.284996))+0-564.2--1.15096799999998</f>
        <v>3136.8876680000003</v>
      </c>
      <c r="AD31">
        <f t="shared" si="0"/>
        <v>58395.657869000017</v>
      </c>
      <c r="AE31" s="3">
        <f>4301+(437-1573.8)+(0+(0-0))+0-473.8-0</f>
        <v>2690.3999999999996</v>
      </c>
    </row>
    <row r="32" spans="1:31" customFormat="1" x14ac:dyDescent="0.25">
      <c r="A32">
        <v>89</v>
      </c>
      <c r="B32">
        <v>2</v>
      </c>
      <c r="C32">
        <v>1</v>
      </c>
      <c r="D32">
        <v>5</v>
      </c>
      <c r="E32">
        <v>1</v>
      </c>
      <c r="F32" s="3">
        <f>3353.5+(731.8-541.8)+(-3.42057+(-0.746436--0.552636))+0-565.7--0.57701400000009</f>
        <v>2974.7626439999999</v>
      </c>
      <c r="G32" s="3">
        <f>2284.5+(1452.5-251)+(-5.825475+(-3.703875--0.64005))+0-583.2--1.48715999999992</f>
        <v>2895.3978600000005</v>
      </c>
      <c r="H32" s="3">
        <f>1761.8+(1779-222.3)+(0+(0-0))+0-553.8-0</f>
        <v>2764.7</v>
      </c>
      <c r="I32" s="3">
        <f>1714.8+(1746.6-217.4)+(-2.623644+(-2.672298--0.332622))+0-588.1--0.899793000000034</f>
        <v>2651.8364730000003</v>
      </c>
      <c r="J32" s="3">
        <f>2015.9+(1441.2-271.3)+(-3.084327+(-2.205036--0.415089))+0-648.2--0.991746000000038</f>
        <v>2533.7174720000007</v>
      </c>
      <c r="K32" s="3">
        <f>1962.5+(1323.9-280.5)+(-4.0035+(-2.700756--0.57222))+0-575.1--1.17320399999998</f>
        <v>2425.8411680000004</v>
      </c>
      <c r="L32" s="3">
        <f>1970.8+(1160.1-344.9)+(-3.015324+(-1.774953--0.527697))+0-591.9--0.905607000000034</f>
        <v>2190.743027</v>
      </c>
      <c r="M32" s="3">
        <f>1975.7+(1024.8-428.2)+(0+(0-0))+0-569.7-0</f>
        <v>2002.6000000000001</v>
      </c>
      <c r="N32" s="3">
        <f>2197.5+(966.1-566)+(2.24145+(0.985422-0.57732))+0-625.8-0.6383160000001</f>
        <v>1973.8112359999998</v>
      </c>
      <c r="O32" s="3">
        <f>2407.7+(933.4-886.7)+(4.911708+(1.904136-1.808868))+0-422.1-0.861083999999982</f>
        <v>2036.445892</v>
      </c>
      <c r="P32" s="3">
        <f>2870.8+(863.9-1064.4)+(-1.464108+(-0.440589--0.542844))+0-524.5--0.267494999999947</f>
        <v>2144.7056420000004</v>
      </c>
      <c r="Q32" s="3">
        <f>3099.7+(762.1-1061.6)+(4.742541+(1.166013-1.624248))+0-544.8-0.833544000000031</f>
        <v>2258.850762</v>
      </c>
      <c r="R32" s="3">
        <f>3505.1+(620.6-1106.5)+(1.787601+(0.316506-0.564315))+0-570.9-0.291158999999942</f>
        <v>2449.5486329999999</v>
      </c>
      <c r="S32" s="3">
        <f>2983.4+(836.7-449.1)+(-6.086136+(-1.706868--0.916164))+0-616.8--1.25827199999997</f>
        <v>2748.5814319999999</v>
      </c>
      <c r="T32" s="3">
        <f>3095.5+(803.1-407)+(-1.578705+(-0.409581--0.20757))+0-535.7--0.273206999999946</f>
        <v>2954.3924909999992</v>
      </c>
      <c r="U32" s="3">
        <f>3213.5+(719-417.6)+(-1.638885+(-0.36669--0.212976))+0-595.2--0.30355199999994</f>
        <v>2918.2109530000002</v>
      </c>
      <c r="V32" s="3">
        <f>2861.9+(817.9-376.9)+(-7.297845+(-2.085645--0.961095))+0-501.5--1.27882499999993</f>
        <v>2794.2564299999999</v>
      </c>
      <c r="W32" s="3">
        <f>2902.2+(690.7-467.4)+(-4.440366+(-1.056771--0.715122))+0-490.4--0.750312000000028</f>
        <v>2631.0682970000003</v>
      </c>
      <c r="X32" s="3">
        <f>2573.8+(731.9-325.1)+(-7.875828+(-2.239614--0.994806))+0-625.5--1.91403000000007</f>
        <v>2347.8933940000002</v>
      </c>
      <c r="Y32" s="3">
        <f>3274.5+(260.3-771.7)+(-1.669995+(-0.132753--0.393567))+0-529.8--0.270197999999946</f>
        <v>2232.1610170000004</v>
      </c>
      <c r="Z32" s="3">
        <f>4631.5+(429.7-1637.2)+(-9.44826+(-0.876588--3.339888))+0-648--1.32191999999997</f>
        <v>2770.3369600000001</v>
      </c>
      <c r="AA32" s="3">
        <f>4196.7+(516.8-1143.4)+(-12.841902+(-1.581408--3.498804))+0-545.5--1.66923000000006</f>
        <v>3015.3447239999996</v>
      </c>
      <c r="AB32" s="3">
        <f>3677+(705.1-678.1)+(-5.62581+(-1.078803--1.037493))+0-633.7--0.969561000000037</f>
        <v>3065.602441</v>
      </c>
      <c r="AC32" s="3">
        <f>3444.1+(829.3-488.3)+(-3.512982+(-0.845886--0.498066))+0-521.1--0.531522000000083</f>
        <v>3260.6707200000001</v>
      </c>
      <c r="AD32">
        <f t="shared" si="0"/>
        <v>62041.479668</v>
      </c>
      <c r="AE32" s="3">
        <f>4727+(476.6-1611.8)+(0+(0-0))+0-646.8-0</f>
        <v>2945</v>
      </c>
    </row>
    <row r="33" spans="1:31" customFormat="1" x14ac:dyDescent="0.25">
      <c r="A33">
        <v>89</v>
      </c>
      <c r="B33">
        <v>2</v>
      </c>
      <c r="C33">
        <v>2</v>
      </c>
      <c r="D33">
        <v>6</v>
      </c>
      <c r="E33">
        <v>1</v>
      </c>
      <c r="F33" s="3">
        <f>3050.9+(1135.8-328.6)+(-3.111918+(-1.158516--0.335172))+0-600.5--0.612510000000096</f>
        <v>3254.2772479999999</v>
      </c>
      <c r="G33" s="3">
        <f>2248.4+(1654.8-248.6)+(0+(0-0))+0-506.8-0</f>
        <v>3147.8</v>
      </c>
      <c r="H33" s="3">
        <f>2036.1+(1841.9-236)+(-3.115233+(-2.818107--0.36108))+0-655.1--1.00230300000004</f>
        <v>2982.3300430000004</v>
      </c>
      <c r="I33" s="3">
        <f>2008.5+(1598.4-234)+(-5.121675+(-4.07592--0.5967))+0-503.4--1.28366999999993</f>
        <v>2862.1827749999998</v>
      </c>
      <c r="J33" s="3">
        <f>2083.2+(1475.5-247)+(1.062432+(0.752505-0.12597))+0-575.8-0.293657999999942</f>
        <v>2737.2953089999996</v>
      </c>
      <c r="K33" s="3">
        <f>2116.6+(1384.3-241)+(0+(0-0))+0-640.1-0</f>
        <v>2619.7999999999997</v>
      </c>
      <c r="L33" s="3">
        <f>1873.7+(1392.5-241)+(-2.866761+(-2.130525--0.36873))+0-564.4--0.863532000000033</f>
        <v>2457.0349759999995</v>
      </c>
      <c r="M33" s="3">
        <f>2100.7+(1025.6-334.8)+(-1.071357+(-0.523056--0.170748))+0-642.2--0.327521999999935</f>
        <v>2148.203857</v>
      </c>
      <c r="N33" s="3">
        <f>2487.4+(702.1-486.9)+(0+(0-0))+0-574.8-0</f>
        <v>2127.8000000000002</v>
      </c>
      <c r="O33" s="3">
        <f>2744.9+(601.5-591.8)+(-2.799798+(-0.61353--0.603636))+0-597.3--0.609246000000095</f>
        <v>2155.0995540000004</v>
      </c>
      <c r="P33" s="3">
        <f>3129.5+(559.4-927.6)+(-3.19209+(-0.570588--0.946152))+0-519.5--0.529890000000083</f>
        <v>2239.5133640000004</v>
      </c>
      <c r="Q33" s="3">
        <f>3726.4+(416.4-1195.7)+(-1.900464+(-0.212364--0.609807))+0-524.1--0.267290999999947</f>
        <v>2421.7642700000001</v>
      </c>
      <c r="R33" s="3">
        <f>3861.1+(353.1-965)+(-1.969161+(-0.180081--0.49215))+0-566.7--0.289016999999943</f>
        <v>2681.1319249999997</v>
      </c>
      <c r="S33" s="3">
        <f>3995.6+(348.1-761.7)+(-2.037756+(-0.177531--0.388467))+0-624.4--0.318443999999937</f>
        <v>2956.0916239999997</v>
      </c>
      <c r="T33" s="3">
        <f>3956.2+(447.6-603.4)+(-2.017662+(-0.228276--0.307734))+0-630.2--0.321401999999936</f>
        <v>3168.5831979999998</v>
      </c>
      <c r="U33" s="3">
        <f>3723.2+(590.3-520.7)+(-1.898832+(-0.301053--0.265557))+0-609.8--0.310997999999938</f>
        <v>3181.3766699999996</v>
      </c>
      <c r="V33" s="3">
        <f>3278.3+(781.3-362.6)+(-6.687732+(-1.593852--0.739704))+0-619.2--1.26316799999997</f>
        <v>3071.5212879999995</v>
      </c>
      <c r="W33" s="3">
        <f>2721.7+(820.1-263.6)+(-8.328402+(-2.509506--0.806616))+0-572.4--1.75154400000007</f>
        <v>2697.5202519999998</v>
      </c>
      <c r="X33" s="3">
        <f>2774.7+(695.3-388.8)+(-2.830194+(-0.709206--0.396576))+0-614.7--0.626994000000098</f>
        <v>2463.9841699999997</v>
      </c>
      <c r="Y33" s="3">
        <f>3255.8+(319.5-758.4)+(-1.660458+(-0.162945--0.386784))+0-511.2--0.260711999999948</f>
        <v>2304.524093</v>
      </c>
      <c r="Z33" s="3">
        <f>4561+(202.9-1222.2)+(-4.65222+(-0.206958--1.246644))+0-676.1--0.689622000000108</f>
        <v>2862.6770880000004</v>
      </c>
      <c r="AA33" s="3">
        <f>4290.6+(222.6-909.9)+(-2.188206+(-0.113526--0.464049))+0-591.1--0.30146099999994</f>
        <v>3010.6637780000001</v>
      </c>
      <c r="AB33" s="3">
        <f>3834.7+(440.8-590.7)+(1.955697+(0.224808-0.301257))+0-539.7-0.275246999999945</f>
        <v>3146.7040009999996</v>
      </c>
      <c r="AC33" s="3">
        <f>3142.2+(996.5-304.7)+(0+(0-0))+0-639.4-0</f>
        <v>3194.6</v>
      </c>
      <c r="AD33">
        <f t="shared" si="0"/>
        <v>65892.479482999988</v>
      </c>
      <c r="AE33" s="3">
        <f>4739+(194-1292.3)+(0+(0-0))+0-730.7-0</f>
        <v>2910</v>
      </c>
    </row>
    <row r="34" spans="1:31" customFormat="1" x14ac:dyDescent="0.25">
      <c r="A34">
        <v>89</v>
      </c>
      <c r="B34">
        <v>2</v>
      </c>
      <c r="C34">
        <v>3</v>
      </c>
      <c r="D34">
        <v>7</v>
      </c>
      <c r="E34">
        <v>1</v>
      </c>
      <c r="F34" s="3">
        <f>3022.5+(1123.1-275.9)+(1.541475+(0.572781-0.140709))+0-545.7-0.278306999999945</f>
        <v>3325.6952399999996</v>
      </c>
      <c r="G34" s="3">
        <f>3144.7+(1033.9-266)+(-1.603797+(-0.527289--0.13566))+0-651.4--0.332213999999934</f>
        <v>3259.5367879999999</v>
      </c>
      <c r="H34" s="3">
        <f>2760.1+(1088.1-228.6)+(-1.407651+(-0.554931--0.116586))+0-562.8--0.287027999999943</f>
        <v>3055.2410319999999</v>
      </c>
      <c r="I34" s="3">
        <f>2659.2+(1099.9-258.9)+(0+(0-0))+0-633.6-0</f>
        <v>2866.6</v>
      </c>
      <c r="J34" s="3">
        <f>2343.7+(1216.8-219.7)+(-4.781148+(-2.482272--0.448188))+0-513.2--1.04692799999998</f>
        <v>2821.8316959999997</v>
      </c>
      <c r="K34" s="3">
        <f>2340.8+(1188.6-242.5)+(-3.581424+(-1.818558--0.371025))+0-581.2--0.889236000000034</f>
        <v>2701.5602790000003</v>
      </c>
      <c r="L34" s="3">
        <f>2079.5+(1245.6-192)+(-6.36327+(-3.811536--0.58752))+0-564--1.72584000000007</f>
        <v>2561.238554</v>
      </c>
      <c r="M34" s="3">
        <f>2012.9+(1205.3-231)+(-3.079737+(-1.844109--0.35343))+0-641.7--0.981801000000037</f>
        <v>2341.9113849999994</v>
      </c>
      <c r="N34" s="3">
        <f>2038.4+(1115.4-298.5)+(-1.039584+(-0.568854--0.152235))+0-603--0.307529999999939</f>
        <v>2251.151327</v>
      </c>
      <c r="O34" s="3">
        <f>2218.3+(826.3-403.6)+(2.262666+(0.842826-0.411672))+0-392.3-0.400146000000063</f>
        <v>2250.9936739999998</v>
      </c>
      <c r="P34" s="3">
        <f>2501.3+(684.3-486.3)+(-3.826989+(-1.046979--0.744039))+0-453.3--0.693549000000026</f>
        <v>2242.5636199999999</v>
      </c>
      <c r="Q34" s="3">
        <f>2612.1+(600.5-492.6)+(-2.664342+(-0.61251--0.502452))+0-449.7--0.458694000000072</f>
        <v>2267.9842940000003</v>
      </c>
      <c r="R34" s="3">
        <f>3009.3+(484.1-553.8)+(-3.069486+(-0.493782--0.564876))+0-515.1--0.525402000000082</f>
        <v>2422.0270100000007</v>
      </c>
      <c r="S34" s="3">
        <f>3185.3+(456.3-554.8)+(1.624503+(0.232713-0.282948))+0-464.5-0.236894999999953</f>
        <v>2623.637373</v>
      </c>
      <c r="T34" s="3">
        <f>3302.3+(520.6-476.5)+(-8.420865+(-1.32753--1.215075))+0-609.3--1.55371499999991</f>
        <v>2730.1203949999999</v>
      </c>
      <c r="U34" s="3">
        <f>3046.2+(608.2-413.9)+(-6.214248+(-1.240728--0.844356))+0-535.3--1.09201199999998</f>
        <v>2699.6813920000004</v>
      </c>
      <c r="V34" s="3">
        <f>3257.8+(459.2-557.5)+(-3.322956+(-0.468384--0.56865))+0-641--0.653820000000102</f>
        <v>2515.9311299999999</v>
      </c>
      <c r="W34" s="3">
        <f>3127.8+(282.8-651.4)+(-7.97589+(-0.72114--1.66107))+0-504.6--1.28672999999993</f>
        <v>2248.85077</v>
      </c>
      <c r="X34" s="3">
        <f>3207+(152.4-672.9)+(-1.63557+(-0.077724--0.343179))+0-599.4--0.305693999999939</f>
        <v>2086.0355789999999</v>
      </c>
      <c r="Y34" s="3">
        <f>3842.1+(109.3-1224.4)+(-7.837884+(-0.222972--2.497776))+0-608.5--1.24133999999997</f>
        <v>2114.1782600000001</v>
      </c>
      <c r="Z34" s="3">
        <f>4813.1+(156.7-2042.1)+(-12.273405+(-0.399585--5.207355))+0-548.3--1.39816499999992</f>
        <v>2373.332530000001</v>
      </c>
      <c r="AA34" s="3">
        <f>4938.7+(148.2-1962.1)+(-5.037474+(-0.151164--2.001342))+0-627.2--0.6397440000001</f>
        <v>2495.0524480000004</v>
      </c>
      <c r="AB34" s="3">
        <f>4882.9+(119-1771.1)+(-4.980558+(-0.12138--1.806522))+0-600.6--0.612612000000096</f>
        <v>2627.5171959999998</v>
      </c>
      <c r="AC34" s="3">
        <f>5091.4+(101.7-1874.4)+(-5.193228+(-0.103734--1.911888))+0-628--0.6405600000001</f>
        <v>2687.9554860000003</v>
      </c>
      <c r="AD34">
        <f t="shared" si="0"/>
        <v>61570.627457999995</v>
      </c>
      <c r="AE34" s="3">
        <f>4933+(214.4-2095.8)+(0+(0-0))+0-592.7-0</f>
        <v>2458.8999999999996</v>
      </c>
    </row>
    <row r="35" spans="1:31" customFormat="1" x14ac:dyDescent="0.25">
      <c r="A35">
        <v>89</v>
      </c>
      <c r="B35">
        <v>2</v>
      </c>
      <c r="C35">
        <v>4</v>
      </c>
      <c r="D35">
        <v>1</v>
      </c>
      <c r="E35">
        <v>1</v>
      </c>
      <c r="F35" s="3">
        <f>4407.6+(135.5-1215.6)+(-8.991504+(-0.27642--2.479824))+0-629.1--1.28336399999997</f>
        <v>2692.8952640000002</v>
      </c>
      <c r="G35" s="3">
        <f>3718.5+(317-859.9)+(1.896435+(0.16167-0.438549))+0-554.6-0.282845999999944</f>
        <v>2622.33671</v>
      </c>
      <c r="H35" s="3">
        <f>2602.1+(757.4-340.3)+(0+(0-0))+0-599.2-0</f>
        <v>2420</v>
      </c>
      <c r="I35" s="3">
        <f>2265.4+(912.6-327.5)+(-4.621416+(-1.861704--0.6681))+0-521.5--1.06385999999998</f>
        <v>2324.2488400000002</v>
      </c>
      <c r="J35" s="3">
        <f>2343.5+(777.3-349.6)+(1.195185+(0.396423-0.178296))+0-554.8-0.282947999999944</f>
        <v>2217.5303640000002</v>
      </c>
      <c r="K35" s="3">
        <f>2101.2+(861.4-256.6)+(0+(0-0))+0-569.9-0</f>
        <v>2136.1</v>
      </c>
      <c r="L35" s="3">
        <f>2089.1+(776.7-298.3)+(-5.327205+(-1.980585--0.760665))+0-582.6--1.48562999999992</f>
        <v>1979.8385049999999</v>
      </c>
      <c r="M35" s="3">
        <f>2158.7+(625.1-464.9)+(-1.100937+(-0.318801--0.237099))+0-507.8--0.258977999999948</f>
        <v>1810.1763389999994</v>
      </c>
      <c r="N35" s="3">
        <f>2725+(515.1-946)+(2.7795+(0.525402-0.96492))+0-469.6-0.478992000000075</f>
        <v>1826.3609899999999</v>
      </c>
      <c r="O35" s="3">
        <f>3312.1+(423.5-1340.6)+(-5.067513+(-0.647955--2.051118))+0-506.3--0.774639000000029</f>
        <v>1885.810289</v>
      </c>
      <c r="P35" s="3">
        <f>3678.1+(284.8-1448.4)+(-3.751662+(-0.290496--1.477368))+0-506.3--0.516426000000081</f>
        <v>2006.1516360000003</v>
      </c>
      <c r="Q35" s="3">
        <f>3979.2+(133.2-1527)+(2.029392+(0.067932-0.77877))+0-506.3-0.258212999999949</f>
        <v>2080.1603409999993</v>
      </c>
      <c r="R35" s="3">
        <f>4179.2+(100.1-1566.8)+(-4.262784+(-0.102102--1.598136))+0-511--0.521220000000082</f>
        <v>2199.2544700000003</v>
      </c>
      <c r="S35" s="3">
        <f>3733.8+(121.3-1052.5)+(-7.616952+(-0.247452--2.1471))+0-486.5--0.992459999999979</f>
        <v>2311.3751560000005</v>
      </c>
      <c r="T35" s="3">
        <f>3505.2+(262-708.7)+(-3.575304+(-0.26724--0.722874))+0-576.6--0.588132000000092</f>
        <v>2479.3684620000004</v>
      </c>
      <c r="U35" s="3">
        <f>3418.8+(260.9-665.3)+(-5.230764+(-0.399177--1.017909))+0-517.2--0.79131600000003</f>
        <v>2493.3792839999996</v>
      </c>
      <c r="V35" s="3">
        <f>3305.6+(309.7-628.1)+(-1.685856+(-0.157947--0.320331))+0-570.1--0.290750999999942</f>
        <v>2415.8672790000001</v>
      </c>
      <c r="W35" s="3">
        <f>3107.3+(265.7-577)+(-6.338892+(-0.542028--1.17708))+0-526.6--1.07426399999998</f>
        <v>2264.7704239999998</v>
      </c>
      <c r="X35" s="3">
        <f>2916.1+(265.4-525.5)+(-4.461633+(-0.406062--0.804015))+0-587.9--0.899487000000034</f>
        <v>2064.9358069999998</v>
      </c>
      <c r="Y35" s="3">
        <f>3044+(129.2-669.8)+(-6.20976+(-0.263568--1.366392))+0-460.3--0.93901199999998</f>
        <v>2038.9320760000001</v>
      </c>
      <c r="Z35" s="3">
        <f>4124.2+(98.6-1291)+(-6.310026+(-0.150858--1.97523))+0-547.4--0.837522000000032</f>
        <v>2380.7518679999994</v>
      </c>
      <c r="AA35" s="3">
        <f>4153.9+(127.6-1214.4)+(-6.355467+(-0.195228--1.858032))+0-542.6--0.830178000000031</f>
        <v>2520.6375149999999</v>
      </c>
      <c r="AB35" s="3">
        <f>4063.5+(111-1093.3)+(-10.361925+(-0.28305--2.787915))+0-576.3--1.46956499999992</f>
        <v>2498.5125050000001</v>
      </c>
      <c r="AC35" s="3">
        <f>4092.8+(126.7-950.1)+(-10.43664+(-0.323085--2.422755))+0-554.6--1.41422999999992</f>
        <v>2707.8772600000002</v>
      </c>
      <c r="AD35">
        <f t="shared" si="0"/>
        <v>54377.271384000007</v>
      </c>
      <c r="AE35" s="3">
        <f>4372+(137.4-1218.6)+(0+(0-0))+0-682.2-0</f>
        <v>2608.6000000000004</v>
      </c>
    </row>
    <row r="36" spans="1:31" customFormat="1" x14ac:dyDescent="0.25">
      <c r="A36">
        <v>89</v>
      </c>
      <c r="B36">
        <v>2</v>
      </c>
      <c r="C36">
        <v>5</v>
      </c>
      <c r="D36">
        <v>2</v>
      </c>
      <c r="E36">
        <v>1</v>
      </c>
      <c r="F36" s="3">
        <f>3513.3+(325.5-550.7)+(-3.583566+(-0.33201--0.561714))+0-555.1--0.566202000000089</f>
        <v>2730.2123400000005</v>
      </c>
      <c r="G36" s="3">
        <f>3083.2+(476.2-401.6)+(-4.717296+(-0.728586--0.614448))+0-498.2--0.762246000000029</f>
        <v>2655.530812</v>
      </c>
      <c r="H36" s="3">
        <f>2730.2+(693.7-355.8)+(-4.177206+(-1.061361--0.544374))+0-556.8--0.851904000000032</f>
        <v>2507.457711</v>
      </c>
      <c r="I36" s="3">
        <f>2685+(612.9-389)+(-4.10805+(-0.937737--0.59517))+0-525.1--0.80340300000003</f>
        <v>2380.1527860000001</v>
      </c>
      <c r="J36" s="3">
        <f>2679.9+(609.7-408.8)+(4.100247+(0.932841-0.625464))+0-559.1-0.855423000000032</f>
        <v>2325.2522010000002</v>
      </c>
      <c r="K36" s="3">
        <f>2583+(574.8-413.6)+(-6.58665+(-1.46574--1.05468))+0-547.2--1.39535999999992</f>
        <v>2191.3976499999994</v>
      </c>
      <c r="L36" s="3">
        <f>2359+(548.4-417.3)+(-6.01545+(-1.39842--1.064115))+0-475.6--1.21277999999993</f>
        <v>2009.3630249999997</v>
      </c>
      <c r="M36" s="3">
        <f>2528.6+(439.5-591.5)+(-2.579172+(-0.44829--0.60333))+0-514.7--0.524994000000082</f>
        <v>1860.0008619999999</v>
      </c>
      <c r="N36" s="3">
        <f>2556.6+(443.6-705.4)+(2.607732+(0.452472-0.719508))+0-401.1-0.409122000000064</f>
        <v>1895.6315740000005</v>
      </c>
      <c r="O36" s="3">
        <f>2784.9+(610.4-947.3)+(-1.420299+(-0.311304--0.483123))+0-514.2--0.262241999999948</f>
        <v>1932.8137619999998</v>
      </c>
      <c r="P36" s="3">
        <f>2915.4+(569.5-1023.6)+(-4.460562+(-0.871335--1.566108))+0-462--0.706860000000027</f>
        <v>1996.2410710000001</v>
      </c>
      <c r="Q36" s="3">
        <f>3101.4+(480.8-1062.6)+(-4.745142+(-0.735624--1.625778))+0-456.8--0.698904000000026</f>
        <v>2059.643916</v>
      </c>
      <c r="R36" s="3">
        <f>3079.9+(360-629)+(0+(0-0))+0-492-0</f>
        <v>2318.9</v>
      </c>
      <c r="S36" s="3">
        <f>3058+(344.5-521.7)+(-6.23832+(-0.70278--1.064268))+0-512.5--1.04549999999998</f>
        <v>2363.4686680000004</v>
      </c>
      <c r="T36" s="3">
        <f>3257.6+(297.8-564.3)+(0+(0-0))+0-517.6-0</f>
        <v>2473.5</v>
      </c>
      <c r="U36" s="3">
        <f>3303.5+(256.2-512.2)+(-6.73914+(-0.522648--1.044888))+0-531--1.08323999999998</f>
        <v>2511.36634</v>
      </c>
      <c r="V36" s="3">
        <f>3483.5+(194.2-757.3)+(-3.55317+(-0.198084--0.772446))+0-516.7--0.527034000000082</f>
        <v>2401.2482260000002</v>
      </c>
      <c r="W36" s="3">
        <f>3393.4+(236.4-961.1)+(-8.65317+(-0.60282--2.450805))+0-439.6--1.12097999999994</f>
        <v>2223.4157949999999</v>
      </c>
      <c r="X36" s="3">
        <f>3312.6+(266.2-950.1)+(-10.136556+(-0.814572--2.907306))+0-507.5--1.55295000000006</f>
        <v>2114.709128</v>
      </c>
      <c r="Y36" s="3">
        <f>3605.8+(224-1332.9)+(-1.838958+(-0.11424--0.679779))+0-513.1--0.261680999999948</f>
        <v>1982.788262</v>
      </c>
      <c r="Z36" s="3">
        <f>4450.7+(275.9-1907.7)+(-13.619142+(-0.844254--5.837562))+0-511--1.56366000000006</f>
        <v>2300.8378259999999</v>
      </c>
      <c r="AA36" s="3">
        <f>5090.4+(142.7-2206.5)+(-20.768832+(-0.582216--9.00252))+0-586.4--2.39251199999995</f>
        <v>2430.2439839999993</v>
      </c>
      <c r="AB36" s="3">
        <f>4892.7+(83.5-1941.4)+(-17.466939+(-0.298095--6.930798))+0-515.5--1.84033500000001</f>
        <v>2510.3060989999994</v>
      </c>
      <c r="AC36" s="3">
        <f>4455+(135.3-1322.3)+(-9.0882+(-0.276012--2.697492))+0-558.4--1.13913599999998</f>
        <v>2704.0724159999995</v>
      </c>
      <c r="AD36">
        <f t="shared" si="0"/>
        <v>54878.554454000019</v>
      </c>
      <c r="AE36" s="3">
        <f>4921+(267.7-2068.8)+(0+(0-0))+0-662.5-0</f>
        <v>2457.3999999999996</v>
      </c>
    </row>
    <row r="37" spans="1:31" customFormat="1" x14ac:dyDescent="0.25">
      <c r="A37">
        <v>89</v>
      </c>
      <c r="B37">
        <v>2</v>
      </c>
      <c r="C37">
        <v>6</v>
      </c>
      <c r="D37">
        <v>3</v>
      </c>
      <c r="E37">
        <v>1</v>
      </c>
      <c r="F37" s="3">
        <f>3251+(446.5-442.4)+(-8.29005+(-1.138575--1.12812))+0-505.9--1.29004499999993</f>
        <v>2742.1895399999994</v>
      </c>
      <c r="G37" s="3">
        <f>2793.9+(819.6-327.6)+(-5.699556+(-1.671984--0.668304))+0-629.1--1.28336399999997</f>
        <v>2651.3801280000002</v>
      </c>
      <c r="H37" s="3">
        <f>2487.1+(807.5-312.2)+(-8.878947+(-2.882775--1.114554))+0-424.3--1.51475100000001</f>
        <v>2548.9675830000001</v>
      </c>
      <c r="I37" s="3">
        <f>2474.3+(861.3-377.1)+(-2.523786+(-0.878526--0.384642))+0-543.1--0.553962000000087</f>
        <v>2412.9362919999999</v>
      </c>
      <c r="J37" s="3">
        <f>2583.1+(644.7-487.5)+(-5.269524+(-1.315188--0.9945))+0-442.3--0.902291999999981</f>
        <v>2293.3120799999997</v>
      </c>
      <c r="K37" s="3">
        <f>2558.2+(595.3-467.5)+(1.304682+(0.303603-0.238425))+0-503.8-0.256937999999949</f>
        <v>2183.3129219999996</v>
      </c>
      <c r="L37" s="3">
        <f>2310.8+(499.9-344.6)+(-7.071048+(-1.529694--1.054476))+0-549.2--1.68055200000006</f>
        <v>1911.0342860000005</v>
      </c>
      <c r="M37" s="3">
        <f>2480.9+(553.2-733.3)+(-1.265259+(-0.282132--0.373983))+0-542.9--0.276878999999945</f>
        <v>1757.003471</v>
      </c>
      <c r="N37" s="3">
        <f>2668.5+(622.4-935.8)+(-2.72187+(-0.634848--0.954516))+0-497.3--0.507246000000079</f>
        <v>1855.9050439999999</v>
      </c>
      <c r="O37" s="3">
        <f>2647.9+(527.2-808.7)+(-5.401716+(-1.075488--1.649748))+0-462.7--0.94390799999998</f>
        <v>1899.816452</v>
      </c>
      <c r="P37" s="3">
        <f>3092.7+(412.7-1037.2)+(0+(0-0))+0-493.6-0</f>
        <v>1974.6</v>
      </c>
      <c r="Q37" s="3">
        <f>3054.6+(405.6-879)+(-3.115692+(-0.413712--0.89658))+0-503.5--0.51357000000008</f>
        <v>2075.5807460000001</v>
      </c>
      <c r="R37" s="3">
        <f>2963.8+(364.6-693.7)+(-3.023076+(-0.371892--0.707574))+0-417.3--0.425646000000067</f>
        <v>2215.1382520000002</v>
      </c>
      <c r="S37" s="3">
        <f>3396.7+(242.4-718.4)+(-5.196951+(-0.370872--1.099152))+0-454.2--0.694926000000026</f>
        <v>2462.726255</v>
      </c>
      <c r="T37" s="3">
        <f>3623.3+(206.7-813.2)+(-7.391532+(-0.421668--1.658928))+0-395.2--0.806207999999983</f>
        <v>2616.2519360000001</v>
      </c>
      <c r="U37" s="3">
        <f>3380.7+(266.6-747.7)+(-5.172471+(-0.407898--1.143981))+0-395.2--0.604656000000023</f>
        <v>2500.568268</v>
      </c>
      <c r="V37" s="3">
        <f>3215.9+(401.7-567.8)+(-4.920327+(-0.614601--0.868734))+0-522.9--0.80003700000003</f>
        <v>2523.0338430000002</v>
      </c>
      <c r="W37" s="3">
        <f>3058.5+(330-565.6)+(-3.11967+(-0.3366--0.576912))+0-438.6--0.44737200000007</f>
        <v>2381.8680140000001</v>
      </c>
      <c r="X37" s="3">
        <f>3028.7+(266.3-553.5)+(-6.178548+(-0.543252--1.12914))+0-457.5--0.93329999999998</f>
        <v>2279.3406400000003</v>
      </c>
      <c r="Y37" s="3">
        <f>3337.2+(117.2-770.9)+(-3.403944+(-0.119544--0.786318))+0-524.5--0.534990000000084</f>
        <v>2156.7978200000002</v>
      </c>
      <c r="Z37" s="3">
        <f>4116.3+(149.3-1301.6)+(-6.297939+(-0.228429--1.991448))+0-446.6--0.683298000000026</f>
        <v>2513.548378</v>
      </c>
      <c r="AA37" s="3">
        <f>4241.4+(163-1239.7)+(0+(0-0))+0-505.3-0</f>
        <v>2659.3999999999996</v>
      </c>
      <c r="AB37" s="3">
        <f>4403.5+(98.6-1209.9)+(-6.737355+(-0.150858--1.851147))+0-521.9--0.79850700000003</f>
        <v>2766.0614409999998</v>
      </c>
      <c r="AC37" s="3">
        <f>4027.5+(231-872.8)+(-4.10805+(-0.23562--0.890256))+0-511.4--0.521628000000081</f>
        <v>2871.3682139999996</v>
      </c>
      <c r="AD37">
        <f t="shared" si="0"/>
        <v>56252.141604999997</v>
      </c>
      <c r="AE37" s="3">
        <f>4143+(193.3-1214.2)+(0+(0-0))+0-540.1-0</f>
        <v>2582</v>
      </c>
    </row>
    <row r="38" spans="1:31" customFormat="1" x14ac:dyDescent="0.25">
      <c r="A38">
        <v>89</v>
      </c>
      <c r="B38">
        <v>2</v>
      </c>
      <c r="C38">
        <v>7</v>
      </c>
      <c r="D38">
        <v>4</v>
      </c>
      <c r="E38">
        <v>1</v>
      </c>
      <c r="F38" s="3">
        <f>3481.4+(500.1-635.2)+(-7.102056+(-1.020204--1.295808))+0-448.7--0.91534799999998</f>
        <v>2891.6888960000006</v>
      </c>
      <c r="G38" s="3">
        <f>3077.7+(697.9-352.8)+(-10.987389+(-2.491503--1.259496))+0-559.5--1.99741500000001</f>
        <v>2853.0780189999996</v>
      </c>
      <c r="H38" s="3">
        <f>2857.9+(703.3-411.3)+(-4.372587+(-1.076049--0.629289))+0-412.6--0.631278000000024</f>
        <v>2733.1119309999999</v>
      </c>
      <c r="I38" s="3">
        <f>2598.2+(978.4-359.6)+(-2.650164+(-0.997968--0.366792))+0-605.9--0.618018000000097</f>
        <v>2608.436678</v>
      </c>
      <c r="J38" s="3">
        <f>2397.7+(937.9-358.5)+(-7.336962+(-2.869974--1.09701))+0-458.6--1.40331600000005</f>
        <v>2510.7933899999998</v>
      </c>
      <c r="K38" s="3">
        <f>2535.5+(906.7-409.2)+(-2.58621+(-0.924834--0.417384))+0-628.8--0.6413760000001</f>
        <v>2401.7477160000003</v>
      </c>
      <c r="L38" s="3">
        <f>2272.1+(823.5-358.8)+(-6.952626+(-2.51991--1.097928))+0-578.1--1.76898600000007</f>
        <v>2152.0943779999998</v>
      </c>
      <c r="M38" s="3">
        <f>2377.8+(584-478.2)+(-3.638034+(-0.89352--0.731646))+0-471.9--0.722007000000027</f>
        <v>2008.6220990000004</v>
      </c>
      <c r="N38" s="3">
        <f>2471.5+(569.7-483.3)+(-1.260465+(-0.290547--0.246483))+0-560.8--0.286007999999943</f>
        <v>1996.0814790000002</v>
      </c>
      <c r="O38" s="3">
        <f>2486.3+(591.1-513.9)+(-3.804039+(-0.904383--0.786267))+0-507.5--0.776475000000029</f>
        <v>2052.8543199999999</v>
      </c>
      <c r="P38" s="3">
        <f>2774.4+(493.3-613.5)+(-4.244832+(-0.754749--0.938655))+0-520.1--0.79575300000003</f>
        <v>2130.8348270000001</v>
      </c>
      <c r="Q38" s="3">
        <f>2964.6+(482.4-690.6)+(0+(0-0))+0-520-0</f>
        <v>2236.3999999999996</v>
      </c>
      <c r="R38" s="3">
        <f>2923.3+(606.5-565)+(-4.472649+(-0.927945--0.86445))+0-574.2--0.878526000000033</f>
        <v>2386.9423819999997</v>
      </c>
      <c r="S38" s="3">
        <f>2813.9+(831.9-369.7)+(0+(0-0))+0-566.9-0</f>
        <v>2709.2</v>
      </c>
      <c r="T38" s="3">
        <f>2957.7+(873.3-403.4)+(-3.016854+(-0.890766--0.411468))+0-580.6--0.592212000000093</f>
        <v>2844.0960599999999</v>
      </c>
      <c r="U38" s="3">
        <f>2862.8+(963.6-353.3)+(-5.840112+(-1.965744--0.720732))+0-605.2--1.23460799999997</f>
        <v>2862.0494840000001</v>
      </c>
      <c r="V38" s="3">
        <f>2744.9+(953.6-358.7)+(-4.199697+(-1.459008--0.548811))+0-529.9--0.810747000000031</f>
        <v>2805.6008529999999</v>
      </c>
      <c r="W38" s="3">
        <f>2668.8+(867.5-424.1)+(-5.444352+(-1.7697--0.865164))+0-540.1--1.10180399999998</f>
        <v>2566.8529160000003</v>
      </c>
      <c r="X38" s="3">
        <f>2602.5+(746-469.4)+(-3.981825+(-1.14138--0.718182))+0-522.3--0.79911900000003</f>
        <v>2353.1940960000002</v>
      </c>
      <c r="Y38" s="3">
        <f>2969.6+(479.5-637.5)+(-6.057984+(-0.97818--1.3005))+0-531.4--1.08405599999998</f>
        <v>2275.5483920000001</v>
      </c>
      <c r="Z38" s="3">
        <f>3950+(348.7-1102.7)+(-4.029+(-0.355674--1.124754))+0-539--0.549780000000086</f>
        <v>2654.2898600000003</v>
      </c>
      <c r="AA38" s="3">
        <f>3810+(411.3-812.4)+(-7.7724+(-0.839052--1.657296))+0-560.9--1.14423599999998</f>
        <v>2842.1900800000003</v>
      </c>
      <c r="AB38" s="3">
        <f>3251.2+(622.1-533.5)+(-3.316224+(-0.634542--0.54417))+0-575--0.586500000000092</f>
        <v>2761.9799039999998</v>
      </c>
      <c r="AC38" s="3">
        <f>3056.1+(1014.6-329.3)+(-3.117222+(-1.034892--0.335886))+0-632.9--0.645558000000101</f>
        <v>3105.3293299999996</v>
      </c>
      <c r="AD38">
        <f t="shared" si="0"/>
        <v>60743.017089999994</v>
      </c>
      <c r="AE38" s="3">
        <f>4315.1+(371.7-1416.2)+(0+(0-0))+0-511.7-0</f>
        <v>2758.9000000000005</v>
      </c>
    </row>
    <row r="39" spans="1:31" customFormat="1" x14ac:dyDescent="0.25">
      <c r="A39">
        <v>89</v>
      </c>
      <c r="B39">
        <v>2</v>
      </c>
      <c r="C39">
        <v>8</v>
      </c>
      <c r="D39">
        <v>5</v>
      </c>
      <c r="E39">
        <v>1</v>
      </c>
      <c r="F39" s="3">
        <f>2591.3+(1386.7-233.5)+(-1.321563+(-0.707217--0.119085))+0-583.9--0.297788999999941</f>
        <v>3158.9880939999998</v>
      </c>
      <c r="G39" s="3">
        <f>2457.4+(1445.8-244.5)+(-1.253274+(-0.737358--0.124695))+0-635.5--0.324104999999936</f>
        <v>3021.6581679999999</v>
      </c>
      <c r="H39" s="3">
        <f>2332.5+(1518.6-261.4)+(-2.37915+(-1.548972--0.266628))+0-635.4--0.648108000000101</f>
        <v>2951.2866140000001</v>
      </c>
      <c r="I39" s="3">
        <f>2317+(1401.2-289.2)+(0+(0-0))+0-586.1-0</f>
        <v>2842.9</v>
      </c>
      <c r="J39" s="3">
        <f>2184.2+(1377.5-233.7)+(-2.227884+(-1.40505--0.238374))+0-597.4--0.609348000000095</f>
        <v>2727.8147879999997</v>
      </c>
      <c r="K39" s="3">
        <f>2256.7+(1257-314.6)+(-5.754585+(-3.20535--0.80223))+0-587.9--1.49914499999991</f>
        <v>2604.5414399999995</v>
      </c>
      <c r="L39" s="3">
        <f>2184.6+(950.5-348.2)+(-3.342438+(-1.454265--0.532746))+0-419.3--0.641529000000024</f>
        <v>2363.9775719999993</v>
      </c>
      <c r="M39" s="3">
        <f>2450.5+(718.6-575.5)+(0+(0-0))+0-518.1-0</f>
        <v>2075.5</v>
      </c>
      <c r="N39" s="3">
        <f>2491+(731.8-650.4)+(-2.54082+(-0.746436--0.663408))+0-519.7--0.530094000000083</f>
        <v>2050.6062459999998</v>
      </c>
      <c r="O39" s="3">
        <f>2606.8+(598.9-738.2)+(-1.329468+(-0.305439--0.376482))+0-411.7--0.209966999999958</f>
        <v>2054.751542</v>
      </c>
      <c r="P39" s="3">
        <f>2662.6+(566.5-658.9)+(-4.073778+(-0.866745--1.008117))+0-455.2--0.696456000000026</f>
        <v>2111.7640500000002</v>
      </c>
      <c r="Q39" s="3">
        <f>2728+(602.9-597.9)+(-4.17384+(-0.922437--0.914787))+0-476--0.728280000000027</f>
        <v>2253.5467899999999</v>
      </c>
      <c r="R39" s="3">
        <f>3062.9+(583-550.2)+(-4.686237+(-0.89199--0.841806))+0-485.6--0.742968000000028</f>
        <v>2606.1065469999999</v>
      </c>
      <c r="S39" s="3">
        <f>2977.2+(746.2-346.3)+(-6.073488+(-1.522248--0.706452))+0-486.5--0.992459999999979</f>
        <v>2884.703176</v>
      </c>
      <c r="T39" s="3">
        <f>3143.9+(759.5-334.1)+(-1.603389+(-0.387345--0.170391))+0-530.9--0.270758999999946</f>
        <v>3036.8504160000002</v>
      </c>
      <c r="U39" s="3">
        <f>3252.7+(806.8-350)+(-1.658877+(-0.411468--0.1785))+0-549.5--0.280244999999944</f>
        <v>3158.3883999999998</v>
      </c>
      <c r="V39" s="3">
        <f>2936.3+(775.9-292)+(-7.487565+(-1.978545--0.7446))+0-426.1--1.08655499999994</f>
        <v>2986.4650450000004</v>
      </c>
      <c r="W39" s="3">
        <f>2762.7+(762.2-350.7)+(-5.635908+(-1.554888--0.715428))+0-406.8--0.829871999999982</f>
        <v>2761.7545039999995</v>
      </c>
      <c r="X39" s="3">
        <f>2818.1+(677.8-359.5)+(-5.748924+(-1.382712--0.73338))+0-558--1.13831999999998</f>
        <v>2573.1400639999997</v>
      </c>
      <c r="Y39" s="3">
        <f>2990.8+(457.1-585.8)+(-4.575924+(-0.699363--0.896274))+0-404.2--0.618426000000023</f>
        <v>2454.1394130000003</v>
      </c>
      <c r="Z39" s="3">
        <f>3681.6+(338.6-761)+(-5.632848+(-0.518058--1.16433))+0-435.5--0.666315000000025</f>
        <v>2819.379739</v>
      </c>
      <c r="AA39" s="3">
        <f>3643.2+(434.5-598.1)+(-3.716064+(-0.44319--0.610062))+0-437--0.44574000000007</f>
        <v>3039.4965480000001</v>
      </c>
      <c r="AB39" s="3">
        <f>4032.4+(312.1-615.4)+(-8.226096+(-0.636684--1.255416))+0-523--1.06691999999998</f>
        <v>3199.5595560000002</v>
      </c>
      <c r="AC39" s="3">
        <f>3373.1+(751.7-256.5)+(-6.881124+(-1.533468--0.52326))+0-509.6--1.03958399999998</f>
        <v>3351.8482520000002</v>
      </c>
      <c r="AD39">
        <f t="shared" si="0"/>
        <v>65089.166963999996</v>
      </c>
      <c r="AE39" s="3">
        <f>3833+(349.5-750.5)+(0+(0-0))+0-520.3-0</f>
        <v>2911.7</v>
      </c>
    </row>
    <row r="40" spans="1:31" customFormat="1" x14ac:dyDescent="0.25">
      <c r="A40">
        <v>89</v>
      </c>
      <c r="B40">
        <v>2</v>
      </c>
      <c r="C40">
        <v>9</v>
      </c>
      <c r="D40">
        <v>6</v>
      </c>
      <c r="E40">
        <v>1</v>
      </c>
      <c r="F40" s="3">
        <f>2796.3+(1278.5-124.7)+(-1.426113+(-0.652035--0.063597))+0-467.3--0.238322999999953</f>
        <v>3481.023772</v>
      </c>
      <c r="G40" s="3">
        <f>2315.3+(1654.3-129.8)+(-3.542409+(-2.531079--0.198594))+0-492.2--0.753066000000028</f>
        <v>3342.4781720000005</v>
      </c>
      <c r="H40" s="3">
        <f>2289.6+(1498.2-134.2)+(3.503088+(2.292246-0.205326))+0-481.1-0.736083000000028</f>
        <v>3177.3539249999999</v>
      </c>
      <c r="I40" s="3">
        <f>2217.9+(1479.3-124.6)+(-3.393387+(-2.263329--0.190638))+0-518--0.79254000000003</f>
        <v>3049.9264620000004</v>
      </c>
      <c r="J40" s="3">
        <f>2261.5+(1367.9-139)+(1.153365+(0.697629-0.07089))+0-513.8-0.262037999999948</f>
        <v>2978.118066</v>
      </c>
      <c r="K40" s="3">
        <f>2226.9+(1398.6-135.2)+(-3.407157+(-2.139858--0.206856))+0-582.9--0.891837000000034</f>
        <v>2902.9516780000004</v>
      </c>
      <c r="L40" s="3">
        <f>2252.6+(1165.1-236.8)+(-4.595304+(-2.376804--0.483072))+0-488.9--0.997355999999979</f>
        <v>2686.5083199999995</v>
      </c>
      <c r="M40" s="3">
        <f>2352.9+(920.8-362.7)+(-3.599937+(-1.408824--0.554931))+0-515.6--0.78886800000003</f>
        <v>2391.7350380000003</v>
      </c>
      <c r="N40" s="3">
        <f>2389.6+(863.3-354.2)+(0+(0-0))+0-482.9-0</f>
        <v>2415.7999999999997</v>
      </c>
      <c r="O40" s="3">
        <f>2512.2+(792.9-516.1)+(-1.281222+(-0.404379--0.263211))+0-536.8--0.273767999999946</f>
        <v>2251.0513780000001</v>
      </c>
      <c r="P40" s="3">
        <f>2606.5+(626-553)+(-2.65863+(-0.63852--0.56406))+0-386--0.393720000000062</f>
        <v>2291.1606299999999</v>
      </c>
      <c r="Q40" s="3">
        <f>2814.9+(666.7-594.2)+(0+(0-0))+0-507.4-0</f>
        <v>2380</v>
      </c>
      <c r="R40" s="3">
        <f>2917.6+(789.8-603.1)+(-4.463928+(-1.208394--0.922743))+0-530--0.810900000000031</f>
        <v>2570.3613209999999</v>
      </c>
      <c r="S40" s="3">
        <f>2896.8+(1039.8-448.7)+(-2.954736+(-1.060596--0.457674))+0-483.4--0.493068000000077</f>
        <v>3001.43541</v>
      </c>
      <c r="T40" s="3">
        <f>3172.9+(1138.7-424)+(-1.618179+(-0.580737--0.21624))+0-583.7--0.297686999999941</f>
        <v>3302.2150109999998</v>
      </c>
      <c r="U40" s="3">
        <f>2878.3+(1204.8-382.1)+(-4.403799+(-1.843344--0.584613))+0-477.4--0.730422000000028</f>
        <v>3218.6678919999999</v>
      </c>
      <c r="V40" s="3">
        <f>2648.8+(1314.3-314.5)+(-2.701776+(-1.340586--0.32079))+0-508--0.518160000000081</f>
        <v>3137.3965880000005</v>
      </c>
      <c r="W40" s="3">
        <f>2536.1+(1134.5-282.2)+(-9.053877+(-4.050165--1.007454))+0-438.5--1.56544500000001</f>
        <v>2939.3688569999999</v>
      </c>
      <c r="X40" s="3">
        <f>2719.3+(898-376.4)+(0+(0-0))+0-587.9-0</f>
        <v>2653</v>
      </c>
      <c r="Y40" s="3">
        <f>3081.3+(566.6-534.6)+(-3.142926+(-0.577932--0.545292))+0-470.8--0.480216000000075</f>
        <v>2639.80465</v>
      </c>
      <c r="Z40" s="3">
        <f>3246.8+(792.4-413.5)+(-8.27934+(-2.02062--1.054425))+0-534.4--1.36271999999992</f>
        <v>3083.4171850000002</v>
      </c>
      <c r="AA40" s="3">
        <f>3387.2+(785.9-413.1)+(-3.454944+(-0.801618--0.421362))+0-554.7--0.565794000000089</f>
        <v>3202.0305939999998</v>
      </c>
      <c r="AB40" s="3">
        <f>3442.6+(787.7-321.6)+(-7.022904+(-1.606908--0.656064))+0-522.9--1.06671599999998</f>
        <v>3378.8929679999997</v>
      </c>
      <c r="AC40" s="3">
        <f>3228.4+(892.1-144.9)+(-1.646484+(-0.454971--0.073899))+0-505.7--0.257906999999949</f>
        <v>3468.1303510000007</v>
      </c>
      <c r="AD40">
        <f t="shared" si="0"/>
        <v>69942.828267999997</v>
      </c>
      <c r="AE40" s="3">
        <f>3272+(828.8-463.8)+(0+(0-0))+0-498.5-0</f>
        <v>3138.5</v>
      </c>
    </row>
    <row r="41" spans="1:31" customFormat="1" x14ac:dyDescent="0.25">
      <c r="A41">
        <v>89</v>
      </c>
      <c r="B41">
        <v>2</v>
      </c>
      <c r="C41">
        <v>10</v>
      </c>
      <c r="D41">
        <v>7</v>
      </c>
      <c r="E41">
        <v>1</v>
      </c>
      <c r="F41" s="3">
        <f>3032.3+(1177.4-180.5)+(0+(0-0))+0-518.4-0</f>
        <v>3510.8</v>
      </c>
      <c r="G41" s="3">
        <f>2441+(1622.8-178.6)+(0+(0-0))+0-514-0</f>
        <v>3371.2</v>
      </c>
      <c r="H41" s="3">
        <f>2237.1+(1626.7-105.5)+(2.281842+(1.659234-0.10761))+0-565.7-0.57701400000009</f>
        <v>3195.8564520000004</v>
      </c>
      <c r="I41" s="3">
        <f>2214+(1426.8-136.4)+(-1.12914+(-0.727668--0.069564))+0-446--0.227459999999955</f>
        <v>3056.8402159999996</v>
      </c>
      <c r="J41" s="3">
        <f>2308.2+(1349.8-140.5)+(2.354364+(1.376796-0.14331))+0-546.2-0.557124000000087</f>
        <v>2974.3307260000001</v>
      </c>
      <c r="K41" s="3">
        <f>2234.1+(1362.7-148.2)+(-5.696955+(-3.474885--0.37791))+0-609.7--1.55473499999991</f>
        <v>2831.6608049999995</v>
      </c>
      <c r="L41" s="3">
        <f>2067.4+(1216.7-125.3)+(-5.27187+(-3.102585--0.319515))+0-559--1.42544999999992</f>
        <v>2593.1705099999999</v>
      </c>
      <c r="M41" s="3">
        <f>2015.8+(1039.9-135.6)+(-2.056116+(-1.060698--0.138312))+0-558.3--0.569466000000089</f>
        <v>2359.3909640000002</v>
      </c>
      <c r="N41" s="3">
        <f>2406.4+(816.5-340.7)+(1.227264+(0.416415-0.173757))+0-593.5-0.30268499999994</f>
        <v>2289.8672370000004</v>
      </c>
      <c r="O41" s="3">
        <f>2320.2+(780.3-285.1)+(-1.183302+(-0.397953--0.145401))+0-534.3--0.272492999999946</f>
        <v>2279.936639</v>
      </c>
      <c r="P41" s="3">
        <f>2230.2+(815.7-255.4)+(-2.274804+(-0.832014--0.260508))+0-484.2--0.493884000000077</f>
        <v>2303.9475740000003</v>
      </c>
      <c r="Q41" s="3">
        <f>2196.1+(857.1-202.5)+(-3.360033+(-1.311363--0.309825))+0-447.9--0.685287000000026</f>
        <v>2399.1237160000001</v>
      </c>
      <c r="R41" s="3">
        <f>2361.1+(915.4-218.6)+(1.204161+(0.466854-0.111486))+0-579.3-0.295442999999941</f>
        <v>2479.8640859999996</v>
      </c>
      <c r="S41" s="3">
        <f>2568.2+(1138.7-281.1)+(-2.619564+(-1.161474--0.286722))+0-615--0.627300000000098</f>
        <v>2807.932984</v>
      </c>
      <c r="T41" s="3">
        <f>2585.4+(1323.4-298.4)+(3.955662+(2.024802-0.456552))+0-543-0.830790000000031</f>
        <v>3072.0931220000002</v>
      </c>
      <c r="U41" s="3">
        <f>2864.7+(1189-295.9)+(-4.382991+(-1.81917--0.452727))+0-522.1--0.79881300000003</f>
        <v>3230.7493789999999</v>
      </c>
      <c r="V41" s="3">
        <f>2987+(1065.5-286.7)+(-4.57011+(-1.630215--0.438651))+0-595.3--0.910809000000034</f>
        <v>3165.6491350000006</v>
      </c>
      <c r="W41" s="3">
        <f>2901.3+(968.5-361.6)+(-7.398315+(-2.469675--0.92208))+0-580.7--1.48078499999992</f>
        <v>2920.0348750000003</v>
      </c>
      <c r="X41" s="3">
        <f>2993.5+(593.9-385.1)+(-7.633425+(-1.514445--0.982005))+0-614.6--1.56722999999991</f>
        <v>2581.1013650000004</v>
      </c>
      <c r="Y41" s="3">
        <f>3469.7+(153.8-737.8)+(-1.769547+(-0.078438--0.376278))+0-466.3--0.237812999999953</f>
        <v>2418.1661059999992</v>
      </c>
      <c r="Z41" s="3">
        <f>4432.9+(109.6-1125)+(-9.043116+(-0.223584--2.295))+0-624.4--1.27377599999997</f>
        <v>2787.4020759999994</v>
      </c>
      <c r="AA41" s="3">
        <f>4478.7+(130.8-1016.4)+(-4.568274+(-0.133416--1.036728))+0-527.6--0.538152000000084</f>
        <v>3062.3731900000002</v>
      </c>
      <c r="AB41" s="3">
        <f>4507.2+(181.9-814.2)+(-13.792032+(-0.556614--2.491452))+0-626.6--1.91739600000007</f>
        <v>3238.3602019999998</v>
      </c>
      <c r="AC41" s="3">
        <f>3845.1+(497.5-356.1)+(-3.922002+(-0.50745--0.363222))+0-494.9--0.504798000000079</f>
        <v>3488.0385679999999</v>
      </c>
      <c r="AD41">
        <f t="shared" si="0"/>
        <v>68417.889926999997</v>
      </c>
      <c r="AE41" s="3">
        <f>4440+(170.4-1238.7)+(0+(0-0))+0-428.7-0</f>
        <v>2943</v>
      </c>
    </row>
    <row r="42" spans="1:31" customFormat="1" x14ac:dyDescent="0.25">
      <c r="A42">
        <v>89</v>
      </c>
      <c r="B42">
        <v>2</v>
      </c>
      <c r="C42">
        <v>11</v>
      </c>
      <c r="D42">
        <v>1</v>
      </c>
      <c r="E42">
        <v>1</v>
      </c>
      <c r="F42" s="3">
        <f>2920+(1319.3-230.4)+(-5.9568+(-2.691372--0.470016))+0-606.5--1.23725999999997</f>
        <v>3395.4591039999996</v>
      </c>
      <c r="G42" s="3">
        <f>2453.1+(1749-233.2)+(-6.255405+(-4.45995--0.59466))+0-643.2--1.64015999999991</f>
        <v>3317.2194649999992</v>
      </c>
      <c r="H42" s="3">
        <f>2113.1+(1891.1-228)+(-2.155362+(-1.928922--0.23256))+0-571.6--0.583032000000091</f>
        <v>3201.3313079999998</v>
      </c>
      <c r="I42" s="3">
        <f>2132.7+(1760.7-210.5)+(-4.350708+(-3.591828--0.42942))+0-616.6--1.25786399999997</f>
        <v>3060.0447479999998</v>
      </c>
      <c r="J42" s="3">
        <f>2149.7+(1583.1-217)+(0+(0-0))+0-586.4-0</f>
        <v>2929.3999999999996</v>
      </c>
      <c r="K42" s="3">
        <f>2189.9+(1385.8-205)+(-1.116849+(-0.706758--0.10455))+0-604.4--0.308243999999939</f>
        <v>2764.8891869999998</v>
      </c>
      <c r="L42" s="3">
        <f>2248.2+(1054.1-243.3)+(-4.586328+(-2.150364--0.496332))+0-516.9--1.05447599999998</f>
        <v>2536.9141159999999</v>
      </c>
      <c r="M42" s="3">
        <f>2187.7+(843.5-360.3)+(-2.231454+(-0.86037--0.367506))+0-509.6--0.519792000000081</f>
        <v>2159.0954739999997</v>
      </c>
      <c r="N42" s="3">
        <f>2422.5+(742.9-463.9)+(-2.47095+(-0.757758--0.473178))+0-596--0.607920000000095</f>
        <v>2103.35239</v>
      </c>
      <c r="O42" s="3">
        <f>2898.2+(441.2-825.6)+(-4.434246+(-0.675036--1.263168))+0-300.2--0.459306000000017</f>
        <v>2210.2131920000002</v>
      </c>
      <c r="P42" s="3">
        <f>3977.8+(305.5-1483.3)+(-4.057356+(-0.31161--1.512966))+0-633.8--0.646476000000101</f>
        <v>2163.9904759999999</v>
      </c>
      <c r="Q42" s="3">
        <f>4606.2+(233.8-1871.3)+(-2.349162+(-0.119238--0.954363))+0-467.8--0.238577999999953</f>
        <v>2499.6245409999997</v>
      </c>
      <c r="R42" s="3">
        <f>4858.9+(140.5-1747.9)+(-12.390195+(-0.358275--4.457145))+0-490--1.24949999999993</f>
        <v>2754.4581749999993</v>
      </c>
      <c r="S42" s="3">
        <f>5022.5+(109.6-1641.9)+(-5.12295+(-0.111792--1.674738))+0-497.7--0.507654000000079</f>
        <v>2989.4476500000001</v>
      </c>
      <c r="T42" s="3">
        <f>5143.6+(150-1579.6)+(-2.623236+(-0.0765--0.805596))+0-477.7--0.243626999999952</f>
        <v>3234.6494870000006</v>
      </c>
      <c r="U42" s="3">
        <f>5531.1+(125.3-1960.7)+(-14.104305+(-0.319515--4.999785))+0-483.6--1.23317999999993</f>
        <v>3203.9091450000001</v>
      </c>
      <c r="V42" s="3">
        <f>5095.8+(126.3-1761.5)+(-12.99429+(-0.322065--4.491825))+0-463.4--1.18166999999993</f>
        <v>2989.5571400000003</v>
      </c>
      <c r="W42" s="3">
        <f>4802.8+(111.4-1759)+(-7.348284+(-0.170442--2.69127))+0-465.1--0.711603000000027</f>
        <v>2685.9841470000006</v>
      </c>
      <c r="X42" s="3">
        <f>4641.8+(138.2-1700.3)+(-7.101954+(-0.211446--2.601459))+0-657.5--1.00597500000004</f>
        <v>2418.4940340000003</v>
      </c>
      <c r="Y42" s="3">
        <f>4757.9+(113.1-1916.3)+(-2.426529+(-0.057681--0.977313))+0-555.6--0.283355999999944</f>
        <v>2397.8764589999996</v>
      </c>
      <c r="Z42" s="3">
        <f>5175.6+(116.6-1927.7)+(-10.558224+(-0.237864--3.932508))+0-592.5--1.20869999999997</f>
        <v>2766.34512</v>
      </c>
      <c r="AA42" s="3">
        <f>4924+(143.3-1495.2)+(-5.02248+(-0.146166--1.525104))+0-562.5--0.57375000000009</f>
        <v>3006.5302080000001</v>
      </c>
      <c r="AB42" s="3">
        <f>4933.2+(175.7-1353.8)+(-5.031864+(-0.179214--1.380876))+0-597.7--0.609654000000095</f>
        <v>3154.1794519999999</v>
      </c>
      <c r="AC42" s="3">
        <f>4811.9+(228.3-1062.9)+(-7.362207+(-0.349299--1.626237))+0-645.2--0.987156000000037</f>
        <v>3327.0018869999994</v>
      </c>
      <c r="AD42">
        <f t="shared" si="0"/>
        <v>67269.966905000008</v>
      </c>
      <c r="AE42" s="3">
        <f>5212+(139.3-1858)+(0+(0-0))+0-608.4-0</f>
        <v>2884.9</v>
      </c>
    </row>
    <row r="43" spans="1:31" customFormat="1" x14ac:dyDescent="0.25">
      <c r="A43">
        <v>89</v>
      </c>
      <c r="B43">
        <v>2</v>
      </c>
      <c r="C43">
        <v>12</v>
      </c>
      <c r="D43">
        <v>2</v>
      </c>
      <c r="E43">
        <v>1</v>
      </c>
      <c r="F43" s="3">
        <f>4138.3+(630.2-748.4)+(0+(0-0))+0-619.5-0</f>
        <v>3400.6000000000004</v>
      </c>
      <c r="G43" s="3">
        <f>3425+(972.3-530.4)+(-1.74675+(-0.495873--0.270504))+0-586.1--0.298910999999941</f>
        <v>3279.126792</v>
      </c>
      <c r="H43" s="3">
        <f>3019.2+(1207.5-388.8)+(0+(0-0))+0-650.9-0</f>
        <v>3186.9999999999995</v>
      </c>
      <c r="I43" s="3">
        <f>2709.3+(1282-279.5)+(-2.763486+(-1.30764--0.28509))+0-633.4--0.646068000000101</f>
        <v>3075.2600320000001</v>
      </c>
      <c r="J43" s="3">
        <f>2722.1+(1210.2-352.6)+(-1.388271+(-0.617202--0.179826))+0-583.9--0.297788999999941</f>
        <v>2994.2721419999993</v>
      </c>
      <c r="K43" s="3">
        <f>2549.8+(1187.2-370.6)+(-6.50199+(-3.02736--0.94503))+0-600.9--1.53229499999991</f>
        <v>2758.447975</v>
      </c>
      <c r="L43" s="3">
        <f>2529.7+(853-422.7)+(-2.580294+(-0.87006--0.431154))+0-544.2--0.555084000000087</f>
        <v>2413.3358839999996</v>
      </c>
      <c r="M43" s="3">
        <f>2830.4+(531.9-617.3)+(0+(0-0))+0-578.3-0</f>
        <v>2166.6999999999998</v>
      </c>
      <c r="N43" s="3">
        <f>2865.1+(617.4-769)+(-1.461201+(-0.314874--0.39219))+0-634.3--0.323492999999936</f>
        <v>2078.1396079999995</v>
      </c>
      <c r="O43" s="3">
        <f>3569.5+(468.5-1448.9)+(0+(0-0))+0-524-0</f>
        <v>2065.1</v>
      </c>
      <c r="P43" s="3">
        <f>4423.6+(389.1-2133.9)+(4.512072+(0.396882-2.176578))+0-578.4-0.589968000000092</f>
        <v>2102.5424079999998</v>
      </c>
      <c r="Q43" s="3">
        <f>4753.9+(308.3-2332)+(-2.424489+(-0.157233--1.18932))+0-551.8--0.281417999999944</f>
        <v>2177.2890160000002</v>
      </c>
      <c r="R43" s="3">
        <f>4665.8+(190.8-2090.4)+(-7.138674+(-0.291924--3.198312))+0-531.1--0.812583000000031</f>
        <v>2231.6802969999999</v>
      </c>
      <c r="S43" s="3">
        <f>4583.2+(130.9-1988.8)+(-9.349728+(-0.267036--4.057152))+0-476.2--0.971447999999979</f>
        <v>2244.5118360000001</v>
      </c>
      <c r="T43" s="3">
        <f>4862.7+(92.5-2314)+(2.479977+(0.047175-1.18014))+0-565.7-0.288506999999943</f>
        <v>2076.5585050000004</v>
      </c>
      <c r="U43" s="3">
        <f>4590.4+(60.7-2212.8)+(-7.023312+(-0.092871--3.385584))+0-484.6--0.741438000000028</f>
        <v>1950.7108389999994</v>
      </c>
      <c r="V43" s="3">
        <f>4528.5+(64.4-2132)+(-13.85721+(-0.197064--6.52392))+0-501.7--1.53520200000006</f>
        <v>1953.2048480000001</v>
      </c>
      <c r="W43" s="3">
        <f>4382.9+(110.1-1992.2)+(-2.235279+(-0.056151--1.016022))+0-487--0.248369999999951</f>
        <v>2012.7729619999993</v>
      </c>
      <c r="X43" s="3">
        <f>4307.4+(171.8-1997.5)+(-6.590322+(-0.262854--3.056175))+0-474.5--0.725985000000027</f>
        <v>2004.1289839999999</v>
      </c>
      <c r="Y43" s="3">
        <f>4298.2+(190.8-1922.3)+(-4.384164+(-0.194616--1.960746))+0-537.5--0.548250000000086</f>
        <v>2027.1302159999998</v>
      </c>
      <c r="Z43" s="3">
        <f>4644.9+(351.7-2269.9)+(-16.582293+(-1.255569--8.103543))+0-538.8--1.92351600000001</f>
        <v>2180.0891969999993</v>
      </c>
      <c r="AA43" s="3">
        <f>4619.4+(408.8-2136.9)+(-9.423576+(-0.833952--4.359276))+0-596.3--1.21645199999997</f>
        <v>2290.3181999999993</v>
      </c>
      <c r="AB43" s="3">
        <f>4597.7+(152.7-1684)+(-11.724135+(-0.389385--4.2942))+0-582.1--1.48435499999992</f>
        <v>2477.9650349999997</v>
      </c>
      <c r="AC43" s="3">
        <f>4290.4+(157.7-1294.4)+(-10.94052+(-0.402135--3.30072))+0-593.2--1.51265999999991</f>
        <v>2553.9707249999997</v>
      </c>
      <c r="AD43">
        <f t="shared" si="0"/>
        <v>57700.855501000005</v>
      </c>
      <c r="AE43" s="3">
        <f>4868+(483.1-2311.1)+(0+(0-0))+0-681-0</f>
        <v>2359</v>
      </c>
    </row>
    <row r="44" spans="1:31" customFormat="1" x14ac:dyDescent="0.25">
      <c r="A44">
        <v>89</v>
      </c>
      <c r="B44">
        <v>2</v>
      </c>
      <c r="C44">
        <v>13</v>
      </c>
      <c r="D44">
        <v>3</v>
      </c>
      <c r="E44">
        <v>1</v>
      </c>
      <c r="F44" s="3">
        <f>4034.4+(233.7-1044.5)+(-12.345264+(-0.715122--3.19617))+0-596.8--1.82620800000007</f>
        <v>2618.7619920000002</v>
      </c>
      <c r="G44" s="3">
        <f>3453.5+(359.5-688.4)+(-12.328995+(-1.283415--2.457588))+0-580.6--2.07274200000001</f>
        <v>2534.9179199999999</v>
      </c>
      <c r="H44" s="3">
        <f>3129.6+(508.2-610.9)+(-1.596096+(-0.259182--0.311559))+0-620.7--0.316556999999937</f>
        <v>2404.9728380000006</v>
      </c>
      <c r="I44" s="3">
        <f>3080+(485.8-640.2)+(-1.5708+(-0.247758--0.326502))+0-588.1--0.29993099999994</f>
        <v>2336.307875</v>
      </c>
      <c r="J44" s="3">
        <f>2962.8+(526.3-633.4)+(-3.022056+(-0.536826--0.646068))+0-592.1--0.603942000000094</f>
        <v>2261.2911280000008</v>
      </c>
      <c r="K44" s="3">
        <f>2871.1+(537.2-622.9)+(-7.321305+(-1.36986--1.588395))+0-601.8--1.53458999999991</f>
        <v>2178.0318199999997</v>
      </c>
      <c r="L44" s="3">
        <f>2585+(604-611.6)+(-7.9101+(-1.84824--1.871496))+0-572.9--1.75307400000007</f>
        <v>1998.3662299999999</v>
      </c>
      <c r="M44" s="3">
        <f>2746.8+(679.2-959)+(1.400868+(0.346392-0.48909))+0-583.8-0.297737999999941</f>
        <v>1884.1604320000001</v>
      </c>
      <c r="N44" s="3">
        <f>2759.4+(776.2-1041.1)+(0+(0-0))+0-593.1-0</f>
        <v>1901.4</v>
      </c>
      <c r="O44" s="3">
        <f>2918.4+(922.9-1440.2)+(-4.465152+(-1.412037--2.203506))+0-435.8--0.666774000000025</f>
        <v>1962.293091</v>
      </c>
      <c r="P44" s="3">
        <f>3829+(754.3-2106.5)+(0+(0-0))+0-418.2-0</f>
        <v>2058.6000000000004</v>
      </c>
      <c r="Q44" s="3">
        <f>4432.7+(652.4-2424.4)+(-9.042708+(-1.330896--4.945776))+0-513.9--1.04835599999998</f>
        <v>2142.4205279999996</v>
      </c>
      <c r="R44" s="3">
        <f>5190.6+(343.1-2749.1)+(-2.647206+(-0.174981--1.402041))+0-525.6--0.268055999999947</f>
        <v>2257.8479100000004</v>
      </c>
      <c r="S44" s="3">
        <f>5101.7+(254.2-2216.7)+(-10.407468+(-0.518568--4.522068))+0-590.5--1.20461999999997</f>
        <v>2543.5006519999997</v>
      </c>
      <c r="T44" s="3">
        <f>5108.8+(154-2214.7)+(-10.421952+(-0.31416--4.517988))+0-518--1.05671999999998</f>
        <v>2524.9385960000004</v>
      </c>
      <c r="U44" s="3">
        <f>5110.4+(93.9-2149.6)+(-7.818912+(-0.143667--3.288888))+0-436.1--0.667233000000025</f>
        <v>2614.5935420000001</v>
      </c>
      <c r="V44" s="3">
        <f>5086.9+(55.6-1976.8)+(-7.782957+(-0.085068--3.024504))+0-528.1--0.807993000000031</f>
        <v>2633.564472</v>
      </c>
      <c r="W44" s="3">
        <f>5001.7+(82.6-2274.7)+(0+(0-0))+0-481.8-0</f>
        <v>2327.7999999999997</v>
      </c>
      <c r="X44" s="3">
        <f>4797.9+(164.4-2322.1)+(-9.787716+(-0.335376--4.737084))+0-486.1--0.991643999999979</f>
        <v>2149.7056360000001</v>
      </c>
      <c r="Y44" s="3">
        <f>4934.7+(78.8-2479.6)+(2.516697+(0.040188-1.264596))+0-464-0.236639999999953</f>
        <v>2070.955649</v>
      </c>
      <c r="Z44" s="3">
        <f>5858.6+(43.6-3007)+(-14.93943+(-0.11118--7.66785))+0-508.6--1.29692999999993</f>
        <v>2380.5141700000004</v>
      </c>
      <c r="AA44" s="3">
        <f>5929.5+(38.1-2856.6)+(-15.120225+(-0.097155--7.28433))+0-534.7--1.36348499999992</f>
        <v>2569.7304349999995</v>
      </c>
      <c r="AB44" s="3">
        <f>5999.8+(39.9-2794.4)+(-3.059898+(-0.020349--1.425144))+0-566.3--0.288812999999943</f>
        <v>2677.6337100000001</v>
      </c>
      <c r="AC44" s="3">
        <f>5813+(43.1-2456.6)+(-2.96463+(-0.021981--1.252866))+13.3-567.9--0.289628999999942</f>
        <v>2843.455884</v>
      </c>
      <c r="AD44">
        <f t="shared" si="0"/>
        <v>55875.764510000015</v>
      </c>
      <c r="AE44" s="3">
        <f>5903+(97.9-2910.9)+(0+(0-0))+0-550.9-0</f>
        <v>2539.1</v>
      </c>
    </row>
    <row r="45" spans="1:31" customFormat="1" x14ac:dyDescent="0.25">
      <c r="A45">
        <v>89</v>
      </c>
      <c r="B45">
        <v>2</v>
      </c>
      <c r="C45">
        <v>14</v>
      </c>
      <c r="D45">
        <v>4</v>
      </c>
      <c r="E45">
        <v>1</v>
      </c>
      <c r="F45" s="3">
        <f>5010.3+(112-1528.6)+(-10.221012+(-0.22848--3.118344))+0-647.3--1.32049199999997</f>
        <v>2940.3893440000002</v>
      </c>
      <c r="G45" s="3">
        <f>4244.7+(218.1-1159.4)+(-8.659188+(-0.444924--2.365176))+0-449.5--0.91697999999998</f>
        <v>2848.0780439999994</v>
      </c>
      <c r="H45" s="3">
        <f>3466.3+(525.3-685.5)+(-5.303439+(-0.803709--1.048815))+0-587.7--0.899181000000034</f>
        <v>2714.2408480000008</v>
      </c>
      <c r="I45" s="3">
        <f>3242.7+(611.3-676.1)+(1.653777+(0.311763-0.344811))+0-584.2-0.297941999999941</f>
        <v>2595.0227869999999</v>
      </c>
      <c r="J45" s="3">
        <f>2827.1+(697.3-532.9)+(5.767284+(1.422492-1.087116))+0-500.3-1.02061199999998</f>
        <v>2496.282048</v>
      </c>
      <c r="K45" s="3">
        <f>2501+(921-425.1)+(-1.27551+(-0.46971--0.216801))+0-620.5--0.316454999999937</f>
        <v>2375.188036</v>
      </c>
      <c r="L45" s="3">
        <f>2371.5+(826-470.5)+(-6.047325+(-2.1063--1.199775))+0-579.6--1.47797999999992</f>
        <v>2141.9241300000003</v>
      </c>
      <c r="M45" s="3">
        <f>2785.3+(426.9-738.4)+(0+(0-0))+0-519.6-0</f>
        <v>1954.2000000000003</v>
      </c>
      <c r="N45" s="3">
        <f>3344.3+(298.1-1089.7)+(-3.411186+(-0.304062--1.111494))+0-591.9--0.603738000000094</f>
        <v>1958.799984</v>
      </c>
      <c r="O45" s="3">
        <f>4074.7+(230.9-1795.3)+(4.156194+(0.235518-1.831206))+0-416.3-0.424626000000066</f>
        <v>2096.1358799999998</v>
      </c>
      <c r="P45" s="3">
        <f>4233.9+(327.9-1973.5)+(-6.477867+(-0.501687--3.019455))+0-482.3--0.737919000000028</f>
        <v>2102.7778199999998</v>
      </c>
      <c r="Q45" s="3">
        <f>4116.5+(262.8-1641.1)+(-4.19883+(-0.268056--1.673922))+0-517.6--0.527952000000083</f>
        <v>2218.3349879999996</v>
      </c>
      <c r="R45" s="3">
        <f>3836+(152.1-1318.8)+(-7.82544+(-0.310284--2.690352))+0-487.9--0.995315999999979</f>
        <v>2176.949944</v>
      </c>
      <c r="S45" s="3">
        <f>3624+(371.2-807.7)+(0+(0-0))+0-601.4-0</f>
        <v>2586.1</v>
      </c>
      <c r="T45" s="3">
        <f>3781.2+(355.2-874)+(3.856824+(0.362304-0.89148))+0-493.6-0.503472000000079</f>
        <v>2771.6241759999998</v>
      </c>
      <c r="U45" s="3">
        <f>3680.9+(466.4-833.5)+(-1.877259+(-0.237864--0.425085))+0-490.3--0.25005299999995</f>
        <v>2822.0600149999996</v>
      </c>
      <c r="V45" s="3">
        <f>3253.9+(620.3-641.3)+(-3.318978+(-0.632706--0.654126))+0-550.6--0.561612000000088</f>
        <v>2679.5640539999999</v>
      </c>
      <c r="W45" s="3">
        <f>2921.8+(753.9-662.9)+(-5.960472+(-1.537956--1.352316))+0-609.2--1.24276799999997</f>
        <v>2398.6966560000001</v>
      </c>
      <c r="X45" s="3">
        <f>2896.8+(556.1-763.1)+(-7.38684+(-1.418055--1.945905))+0-468.3--1.19416499999993</f>
        <v>2215.8351749999997</v>
      </c>
      <c r="Y45" s="3">
        <f>2902+(668.4-770.4)+(-2.96004+(-0.681768--0.785808))+0-639.7--0.652494000000102</f>
        <v>2158.0964939999994</v>
      </c>
      <c r="Z45" s="3">
        <f>3279.3+(613.1-930.1)+(-6.689772+(-1.250724--1.897404))+0-538.5--1.09853999999998</f>
        <v>2418.8554480000003</v>
      </c>
      <c r="AA45" s="3">
        <f>3866.1+(405.7-934.4)+(-3.943422+(-0.413814--0.953088))+0-597.5--0.609450000000095</f>
        <v>2737.1053019999995</v>
      </c>
      <c r="AB45" s="3">
        <f>3460.8+(623.5-796.3)+(-5.295024+(-0.953955--1.218339))+0-504.5--0.771885000000029</f>
        <v>2779.2412450000002</v>
      </c>
      <c r="AC45" s="3">
        <f>3534.8+(674.9-697)+(-3.605496+(-0.688398--0.71094))+0-611.7--0.623934000000098</f>
        <v>2898.0409800000007</v>
      </c>
      <c r="AD45">
        <f t="shared" si="0"/>
        <v>59083.543397999994</v>
      </c>
      <c r="AE45" s="3">
        <f>3444+(580-880)+(0+(0-0))+0-678-0</f>
        <v>2466</v>
      </c>
    </row>
    <row r="46" spans="1:31" customFormat="1" x14ac:dyDescent="0.25">
      <c r="A46">
        <v>89</v>
      </c>
      <c r="B46">
        <v>2</v>
      </c>
      <c r="C46">
        <v>15</v>
      </c>
      <c r="D46">
        <v>5</v>
      </c>
      <c r="E46">
        <v>1</v>
      </c>
      <c r="F46" s="3">
        <f>3358.4+(746-588.4)+(-1.712784+(-0.38046--0.300084))+0-549--0.279989999999944</f>
        <v>2965.4868299999998</v>
      </c>
      <c r="G46" s="3">
        <f>3072.6+(877.1-473.4)+(-4.701078+(-1.341963--0.724302))+0-588.2--0.899946000000034</f>
        <v>2883.6812070000001</v>
      </c>
      <c r="H46" s="3">
        <f>2982+(865-534.5)+(-3.04164+(-0.8823--0.54519))+0-565.8--0.57711600000009</f>
        <v>2743.8983659999999</v>
      </c>
      <c r="I46" s="3">
        <f>2676+(934.5-448.9)+(-5.45904+(-1.90638--0.915756))+0-562--1.14647999999998</f>
        <v>2594.2968159999996</v>
      </c>
      <c r="J46" s="3">
        <f>2677.6+(893.7-503.2)+(1.365576+(0.455787-0.256632))+0-562.2-0.286721999999943</f>
        <v>2507.1780090000002</v>
      </c>
      <c r="K46" s="3">
        <f>2463.5+(962.9-478.1)+(1.256385+(0.491079-0.243831))+0-598.6-0.305285999999939</f>
        <v>2350.8983470000003</v>
      </c>
      <c r="L46" s="3">
        <f>2353.5+(843.2-527.7)+(-4.80114+(-1.720128--1.076508))+0-528.7--1.07854799999998</f>
        <v>2135.9337879999998</v>
      </c>
      <c r="M46" s="3">
        <f>2496.8+(762-660.9)+(0+(0-0))+0-620.5-0</f>
        <v>1977.4</v>
      </c>
      <c r="N46" s="3">
        <f>2715.6+(692.5-808.7)+(-1.384956+(-0.353175--0.412437))+0-637.5--0.325124999999935</f>
        <v>1960.8994309999994</v>
      </c>
      <c r="O46" s="3">
        <f>3155+(690.7-1268.8)+(0+(0-0))+0-521.9-0</f>
        <v>2055</v>
      </c>
      <c r="P46" s="3">
        <f>3481.5+(681.5-1453.6)+(-3.55113+(-0.69513--1.482672))+0-586--0.597720000000093</f>
        <v>2121.2341320000005</v>
      </c>
      <c r="Q46" s="3">
        <f>3756.6+(659.9-1534.4)+(-3.831732+(-0.673098--1.565088))+0-597.3--0.609246000000095</f>
        <v>2282.4695039999997</v>
      </c>
      <c r="R46" s="3">
        <f>3811.7+(505.7-1373)+(-3.887934+(-0.515814--1.40046))+0-455.5--0.464610000000073</f>
        <v>2486.3613219999997</v>
      </c>
      <c r="S46" s="3">
        <f>3678.6+(541.8-903.3)+(1.876086+(0.276318-0.460683))+0-579.3-0.295442999999941</f>
        <v>2739.1962780000003</v>
      </c>
      <c r="T46" s="3">
        <f>3923.9+(434.2-870.6)+(6.003567+(0.664326-1.332018))+0-562.6-0.860778000000033</f>
        <v>2929.3750970000001</v>
      </c>
      <c r="U46" s="3">
        <f>3951.9+(482.5-867.5)+(-4.030938+(-0.49215--0.88485))+0-639.3--0.652086000000102</f>
        <v>2924.613848</v>
      </c>
      <c r="V46" s="3">
        <f>3890.8+(508-1113.6)+(-5.952924+(-0.77724--1.703808))+0-502.5--0.768825000000029</f>
        <v>2778.4424690000005</v>
      </c>
      <c r="W46" s="3">
        <f>3713+(629.3-1186.9)+(-5.68089+(-0.962829--1.815957))+0-607--0.928710000000035</f>
        <v>2544.5009479999999</v>
      </c>
      <c r="X46" s="3">
        <f>3014.6+(797.2-1008.5)+(-7.68723+(-2.03286--2.571675))+0-559.3--1.42621499999992</f>
        <v>2238.2778000000003</v>
      </c>
      <c r="Y46" s="3">
        <f>3097.4+(618.7-906)+(-3.159348+(-0.631074--0.92412))+0-586.3--0.598026000000093</f>
        <v>2221.5317240000008</v>
      </c>
      <c r="Z46" s="3">
        <f>4167.8+(624-1773.4)+(-2.125578+(-0.31824--0.904434))+0-531.2--0.270911999999946</f>
        <v>2485.9315280000001</v>
      </c>
      <c r="AA46" s="3">
        <f>4391.4+(640.9-1705.8)+(-11.19807+(-1.634295--4.34979))+0-518.7--1.32268499999992</f>
        <v>2800.6401099999994</v>
      </c>
      <c r="AB46" s="3">
        <f>4408+(607.2-1552.1)+(-4.49616+(-0.619344--1.583142))+0-568.6--0.579972000000091</f>
        <v>2891.5476100000005</v>
      </c>
      <c r="AC46" s="3">
        <f>4049.7+(591.9-1064.9)+(-6.196041+(-0.905607--1.629297))+0-512.7--0.78443100000003</f>
        <v>3059.3120799999997</v>
      </c>
      <c r="AD46">
        <f t="shared" si="0"/>
        <v>60678.107244000013</v>
      </c>
      <c r="AE46" s="3">
        <f>4607.9+(599.9-2064.8)+(0+(0-0))+0-467.1-0</f>
        <v>2675.8999999999996</v>
      </c>
    </row>
    <row r="47" spans="1:31" customFormat="1" x14ac:dyDescent="0.25">
      <c r="A47">
        <v>89</v>
      </c>
      <c r="B47">
        <v>2</v>
      </c>
      <c r="C47">
        <v>16</v>
      </c>
      <c r="D47">
        <v>6</v>
      </c>
      <c r="E47">
        <v>1</v>
      </c>
      <c r="F47" s="3">
        <f>3476.3+(739.2-545.5)+(0+(0-0))+0-589.5-0</f>
        <v>3080.5</v>
      </c>
      <c r="G47" s="3">
        <f>3000.7+(1004.8-414.2)+(0+(0-0))+0-626.1-0</f>
        <v>2965.2</v>
      </c>
      <c r="H47" s="3">
        <f>2537.5+(1171.8-356.2)+(0+(0-0))+0-555.9-0</f>
        <v>2797.2</v>
      </c>
      <c r="I47" s="3">
        <f>2593.9+(1120.1-395.7)+(0+(0-0))+0-684.6-0</f>
        <v>2633.7000000000003</v>
      </c>
      <c r="J47" s="3">
        <f>2646.4+(950.9-494.3)+(0+(0-0))+0-532.9-0</f>
        <v>2570.1</v>
      </c>
      <c r="K47" s="3">
        <f>2691.5+(918.1-516.7)+(0+(0-0))+0-621.4-0</f>
        <v>2471.5</v>
      </c>
      <c r="L47" s="3">
        <f>2235.2+(993.8-485.9)+(0+(0-0))+0-552.6-0</f>
        <v>2190.5</v>
      </c>
      <c r="M47" s="3">
        <f>2306.3+(970.5-598.3)+(0+(0-0))+0-588.9-0</f>
        <v>2089.6</v>
      </c>
      <c r="N47" s="3">
        <f>2349.4+(858.8-607.6)+(0+(0-0))+0-586.8-0</f>
        <v>2013.8</v>
      </c>
      <c r="O47" s="3">
        <f>2834.2+(725.3-882.2)+(0+(0-0))+0-602.3-0</f>
        <v>2075</v>
      </c>
      <c r="P47" s="3">
        <f>3084.9+(609-960.4)+(0+(0-0))+0-514.4-0</f>
        <v>2219.1</v>
      </c>
      <c r="Q47" s="3">
        <f>3053.7+(622.9-730.9)+(0+(0-0))+0-588.9-0</f>
        <v>2356.7999999999997</v>
      </c>
      <c r="R47" s="3">
        <f>3413.4+(530.7-786.6)+(1.740834+(0.270657-0.401166))+0-560.3-0.285752999999943</f>
        <v>2598.5245720000003</v>
      </c>
      <c r="S47" s="3">
        <f>3196+(696.4-522.4)+(0+(0-0))+0-512.4-0</f>
        <v>2857.6</v>
      </c>
      <c r="T47" s="3">
        <f>3414.4+(807.1-491.6)+(-3.482688+(-0.823242--0.501432))+0-592.6--0.604452000000094</f>
        <v>3134.0999540000003</v>
      </c>
      <c r="U47" s="3">
        <f>3100.4+(1135-401.4)+(-4.743612+(-1.73655--0.614142))+0-593--0.907290000000034</f>
        <v>3236.0412700000002</v>
      </c>
      <c r="V47" s="3">
        <f>2483.9+(1310.6-388.2)+(-6.333945+(-3.34203--0.98991))+0-438--1.11689999999994</f>
        <v>2960.7308350000003</v>
      </c>
      <c r="W47" s="3">
        <f>2319.2+(1249.8-306.5)+(-3.548376+(-1.912194--0.468945))+0-494.3--0.756279000000029</f>
        <v>2763.9646539999999</v>
      </c>
      <c r="X47" s="3">
        <f>2271.9+(1140.1-388.1)+(-2.317338+(-1.162902--0.395862))+0-561--0.572220000000089</f>
        <v>2460.3878420000001</v>
      </c>
      <c r="Y47" s="3">
        <f>2540.7+(823.5-577)+(-2.591514+(-0.83997--0.58854))+0-486.2--0.495924000000078</f>
        <v>2298.6529800000003</v>
      </c>
      <c r="Z47" s="3">
        <f>3513.3+(541.6-902.1)+(-5.375349+(-0.828648--1.380213))+0-528.8--0.809064000000031</f>
        <v>2619.9852799999999</v>
      </c>
      <c r="AA47" s="3">
        <f>4146.7+(482.9-1152.5)+(-8.459268+(-0.985116--2.3511))+0-540.9--1.10343599999998</f>
        <v>2930.2101519999997</v>
      </c>
      <c r="AB47" s="3">
        <f>4164.5+(487.6-882.3)+(2.123895+(0.248676-0.449973))+0-604-0.308039999999939</f>
        <v>3167.4145580000004</v>
      </c>
      <c r="AC47" s="3">
        <f>3802.3+(717.7-611.4)+(-3.878346+(-0.732054--0.623628))+0-597.7--0.609654000000095</f>
        <v>3307.5228820000007</v>
      </c>
      <c r="AD47">
        <f t="shared" si="0"/>
        <v>63798.134978999988</v>
      </c>
      <c r="AE47" s="3">
        <f>3958+(538.1-1202)+(0+(0-0))+0-543.7-0</f>
        <v>2750.3999999999996</v>
      </c>
    </row>
    <row r="48" spans="1:31" customFormat="1" x14ac:dyDescent="0.25">
      <c r="A48">
        <v>89</v>
      </c>
      <c r="B48">
        <v>2</v>
      </c>
      <c r="C48">
        <v>17</v>
      </c>
      <c r="D48">
        <v>7</v>
      </c>
      <c r="E48">
        <v>1</v>
      </c>
      <c r="F48" s="3">
        <f>3145.2+(1100.9-436)+(-3.208104+(-1.122918--0.44472))+0-569--0.580380000000091</f>
        <v>3237.7940779999999</v>
      </c>
      <c r="G48" s="3">
        <f>2623.2+(1506.3-329.4)+(-4.013496+(-2.304639--0.503982))+0-614.2--0.939726000000036</f>
        <v>3181.0255730000003</v>
      </c>
      <c r="H48" s="3">
        <f>2124+(1746.1-249.3)+(-4.33296+(-3.562044--0.508572))+0-564.2--1.15096799999998</f>
        <v>3050.364536</v>
      </c>
      <c r="I48" s="3">
        <f>2010.2+(1767.8-223.1)+(-1.025202+(-0.901578--0.113781))+0-623.5--0.317984999999937</f>
        <v>2929.904986</v>
      </c>
      <c r="J48" s="3">
        <f>2008.6+(1595.3-258.4)+(-3.073158+(-2.440809--0.395352))+0-584.1--0.893673000000034</f>
        <v>2757.1750580000003</v>
      </c>
      <c r="K48" s="3">
        <f>2019.7+(1627.6-301.5)+(0+(0-0))+0-652.7-0</f>
        <v>2693.1000000000004</v>
      </c>
      <c r="L48" s="3">
        <f>1670.8+(1352.3-246.6)+(-3.408432+(-2.758692--0.503064))+0-382.8--0.780911999999983</f>
        <v>2388.8168519999999</v>
      </c>
      <c r="M48" s="3">
        <f>1865.8+(1232.1-322.8)+(-1.903116+(-1.256742--0.329256))+0-523.2--0.533664000000084</f>
        <v>2249.6030619999997</v>
      </c>
      <c r="N48" s="3">
        <f>1881.9+(1289.3-323.5)+(-2.879307+(-1.972629--0.494955))+0-656.4--1.00429200000004</f>
        <v>2187.9473109999999</v>
      </c>
      <c r="O48" s="3">
        <f>2222.5+(974.2-452.6)+(0+(0-0))+0-578.5-0</f>
        <v>2165.6</v>
      </c>
      <c r="P48" s="3">
        <f>2814.3+(604.5-630.6)+(-1.435293+(-0.308295--0.321606))+0-602--0.307019999999939</f>
        <v>2185.0850380000002</v>
      </c>
      <c r="Q48" s="3">
        <f>2847.3+(603.4-578.3)+(0+(0-0))+0-579.3-0</f>
        <v>2293.1000000000004</v>
      </c>
      <c r="R48" s="3">
        <f>3087.8+(567.2-560.1)+(0+(0-0))+0-565.2-0</f>
        <v>2529.6999999999998</v>
      </c>
      <c r="S48" s="3">
        <f>3249.8+(655.8-527.6)+(0+(0-0))+0-612.2-0</f>
        <v>2765.8</v>
      </c>
      <c r="T48" s="3">
        <f>3379.6+(770.7-638.9)+(0+(0-0))+0-481.1-0</f>
        <v>3030.3</v>
      </c>
      <c r="U48" s="3">
        <f>3428.8+(906.1-618.8)+(0+(0-0))+0-611.1-0</f>
        <v>3105.0000000000005</v>
      </c>
      <c r="V48" s="3">
        <f>3241.3+(843.1-532)+(-8.265315+(-2.149905--1.3566))+0-513.5--1.30942499999993</f>
        <v>3031.1508050000002</v>
      </c>
      <c r="W48" s="3">
        <f>2717.1+(1045.9-343.3)+(-4.157163+(-1.600227--0.525249))+0-662.4--1.01347200000004</f>
        <v>2753.0813309999999</v>
      </c>
      <c r="X48" s="3">
        <f>2453.3+(948.7-411.6)+(-2.502366+(-0.967674--0.419832))+0-560.5--0.571710000000089</f>
        <v>2427.4215020000001</v>
      </c>
      <c r="Y48" s="3">
        <f>2642.7+(740.6-522.1)+(-2.695554+(-0.755412--0.532542))+0-564.1--0.57538200000009</f>
        <v>2294.7569579999999</v>
      </c>
      <c r="Z48" s="3">
        <f>3310.4+(545.8-649.2)+(-8.44152+(-1.39179--1.65546))+0-558--1.42289999999992</f>
        <v>2642.24505</v>
      </c>
      <c r="AA48" s="3">
        <f>3800.4+(574.7-722.5)+(-3.876408+(-0.586194--0.73695))+0-651.2--0.664224000000104</f>
        <v>2998.3385720000006</v>
      </c>
      <c r="AB48" s="3">
        <f>3767.7+(693-726.4)+(-5.764581+(-1.06029--1.111392))+0-562.6--0.860778000000033</f>
        <v>3166.847299</v>
      </c>
      <c r="AC48" s="3">
        <f>3784.4+(763.5-620.4)+(-1.930044+(-0.389385--0.316404))+0-561.1--0.286160999999943</f>
        <v>3364.6831360000001</v>
      </c>
      <c r="AD48">
        <f t="shared" si="0"/>
        <v>65428.841146999992</v>
      </c>
      <c r="AE48" s="3">
        <f>3709+(577.1-684.7)+(0+(0-0))+0-715.5-0</f>
        <v>2885.9</v>
      </c>
    </row>
    <row r="49" spans="1:31" customFormat="1" x14ac:dyDescent="0.25">
      <c r="A49">
        <v>89</v>
      </c>
      <c r="B49">
        <v>2</v>
      </c>
      <c r="C49">
        <v>18</v>
      </c>
      <c r="D49">
        <v>1</v>
      </c>
      <c r="E49">
        <v>1</v>
      </c>
      <c r="F49" s="3">
        <f>3578.9+(1122.3-518.8)+(-5.475717+(-1.717119--0.793764))+0-658.4--1.00735200000004</f>
        <v>3518.6082799999995</v>
      </c>
      <c r="G49" s="3">
        <f>2847.3+(1481-405.4)+(-1.452123+(-0.75531--0.206754))+0-552.1--0.281570999999944</f>
        <v>3369.0808919999999</v>
      </c>
      <c r="H49" s="3">
        <f>2676.9+(1452.8-331.7)+(-2.730438+(-1.481856--0.338334))+0-566.6--0.57793200000009</f>
        <v>3228.1039720000003</v>
      </c>
      <c r="I49" s="3">
        <f>2673.5+(1499.7-387)+(-1.363485+(-0.764847--0.19737))+0-624--0.318239999999937</f>
        <v>3160.587278</v>
      </c>
      <c r="J49" s="3">
        <f>2269.2+(1667-331.1)+(1.157292+(0.85017-0.168861))+0-531-0.270809999999946</f>
        <v>3075.6677909999999</v>
      </c>
      <c r="K49" s="3">
        <f>2143.4+(1717.8-367.7)+(-2.186268+(-1.752156--0.375054))+0-652.5--0.665550000000104</f>
        <v>2838.1021800000003</v>
      </c>
      <c r="L49" s="3">
        <f>2177.3+(1523.3-399.9)+(-1.110423+(-0.776883--0.203949))+0-588.4--0.30008399999994</f>
        <v>2710.9167270000003</v>
      </c>
      <c r="M49" s="3">
        <f>2293.5+(1391.1-617.9)+(0+(0-0))+0-616-0</f>
        <v>2450.6999999999998</v>
      </c>
      <c r="N49" s="3">
        <f>2365.4+(1348.3-722.6)+(-3.619062+(-2.062899--1.105578))+0-566.6--0.866898000000033</f>
        <v>2420.7905150000001</v>
      </c>
      <c r="O49" s="3">
        <f>2488+(1428-925.2)+(0+(0-0))+0-576-0</f>
        <v>2414.8000000000002</v>
      </c>
      <c r="P49" s="3">
        <f>2687+(1358.5-1053.3)+(-2.74074+(-1.38567--1.074366))+0-507.1--0.517242000000081</f>
        <v>2482.5651979999998</v>
      </c>
      <c r="Q49" s="3">
        <f>2878.3+(1202.6-1028.6)+(-2.935866+(-1.226652--1.049172))+0-396--0.403920000000063</f>
        <v>2653.5905740000003</v>
      </c>
      <c r="R49" s="3">
        <f>3419.2+(1003.7-859.6)+(-1.743792+(-0.511887--0.438396))+0-609.2--0.310691999999938</f>
        <v>2952.5934090000001</v>
      </c>
      <c r="S49" s="3">
        <f>3372.2+(1116.3-617.6)+(-5.159466+(-1.707939--0.944928))+0-534.4--0.817632000000031</f>
        <v>3331.3951549999997</v>
      </c>
      <c r="T49" s="3">
        <f>3735.6+(1140.9-611.3)+(-5.715468+(-1.745577--0.935289))+0-633.2--0.968796000000037</f>
        <v>3626.4430400000001</v>
      </c>
      <c r="U49" s="3">
        <f>3461.8+(1273.8-578.6)+(-7.062072+(-2.598552--1.180344))+0-496.4--1.01265599999998</f>
        <v>3653.132376</v>
      </c>
      <c r="V49" s="3">
        <f>3233.4+(1474.6-580.4)+(-3.298068+(-1.504092--0.592008))+0-560.7--0.571914000000089</f>
        <v>3563.261762000001</v>
      </c>
      <c r="W49" s="3">
        <f>2698.5+(1711.8-507.2)+(-8.25741+(-5.238108--1.552032))+0-685.7--2.09824200000008</f>
        <v>3207.5547559999995</v>
      </c>
      <c r="X49" s="3">
        <f>2356.9+(1577.5-548.8)+(-8.414133+(-5.631675--1.959216))+0-547.3--1.95386100000001</f>
        <v>2828.1672690000005</v>
      </c>
      <c r="Y49" s="3">
        <f>2512.5+(1208.6-476.7)+(-5.1255+(-2.465544--0.972468))+0-632.4--1.29009599999997</f>
        <v>2606.6715199999999</v>
      </c>
      <c r="Z49" s="3">
        <f>3721.7+(899.9-1045.7)+(-3.796134+(-0.917898--1.066614))+0-552.9--0.563958000000088</f>
        <v>3019.9165399999997</v>
      </c>
      <c r="AA49" s="3">
        <f>3895.4+(1080.2-943.7)+(-5.959962+(-1.652706--1.443861))+0-672.2--1.02846600000004</f>
        <v>3354.559659</v>
      </c>
      <c r="AB49" s="3">
        <f>3717.8+(1138.6-803.5)+(-7.584312+(-2.322744--1.63914))+0-512.2--1.04488799999998</f>
        <v>3533.4769719999999</v>
      </c>
      <c r="AC49" s="3">
        <f>3499.4+(1354.9-488.3)+(-3.569388+(-1.381998--0.498066))+0-656.7--0.669834000000105</f>
        <v>3705.5165140000008</v>
      </c>
      <c r="AD49">
        <f t="shared" si="0"/>
        <v>73706.202378999995</v>
      </c>
      <c r="AE49" s="3">
        <f>3911+(1028.8-1125.8)+(0+(0-0))+0-606.4-0</f>
        <v>3207.6</v>
      </c>
    </row>
    <row r="50" spans="1:31" customFormat="1" x14ac:dyDescent="0.25">
      <c r="A50">
        <v>89</v>
      </c>
      <c r="B50">
        <v>2</v>
      </c>
      <c r="C50">
        <v>19</v>
      </c>
      <c r="D50">
        <v>2</v>
      </c>
      <c r="E50">
        <v>1</v>
      </c>
      <c r="F50" s="3">
        <f>2616.2+(1990.1-290.8)+(-2.668524+(-2.029902--0.296616))+0-584.7--0.596394000000093</f>
        <v>3726.994584</v>
      </c>
      <c r="G50" s="3">
        <f>2231.7+(2196.4-228.1)+(-1.138167+(-1.120164--0.116331))+0-577.4--0.294473999999941</f>
        <v>3620.7524739999999</v>
      </c>
      <c r="H50" s="3">
        <f>2269.4+(2044.8-196.3)+(0+(0-0))+0-640.8-0</f>
        <v>3477.0999999999995</v>
      </c>
      <c r="I50" s="3">
        <f>2090.9+(2063.9-256.5)+(-1.066359+(-1.052589--0.130815))+0-553.7--0.282386999999944</f>
        <v>3342.8942540000003</v>
      </c>
      <c r="J50" s="3">
        <f>2196.1+(1876.1-249.2)+(-2.240022+(-1.913622--0.254184))+0-613.3--0.625566000000098</f>
        <v>3206.4261060000003</v>
      </c>
      <c r="K50" s="3">
        <f>2162+(1843.5-280.7)+(-5.5131+(-4.700925--0.715785))+0-642--1.63709999999991</f>
        <v>3074.9388600000002</v>
      </c>
      <c r="L50" s="3">
        <f>1931.2+(1629.6-308.8)+(-4.92456+(-4.15548--0.78744))+0-525--1.33874999999992</f>
        <v>2720.0461499999997</v>
      </c>
      <c r="M50" s="3">
        <f>2175.7+(1394.9-405)+(-2.219214+(-1.422798--0.4131))+0-645.5--0.658410000000103</f>
        <v>2517.5294979999999</v>
      </c>
      <c r="N50" s="3">
        <f>2152.8+(1550.7-647.9)+(-3.293784+(-2.372571--0.991287))+0-564.2--0.863226000000033</f>
        <v>2487.588158</v>
      </c>
      <c r="O50" s="3">
        <f>2441.5+(1446.7-775.5)+(-1.245165+(-0.737817--0.395505))+0-616.9--0.314618999999937</f>
        <v>2494.5271419999995</v>
      </c>
      <c r="P50" s="3">
        <f>2508.5+(1344.6-729.6)+(0+(0-0))+0-560.3-0</f>
        <v>2563.1999999999998</v>
      </c>
      <c r="Q50" s="3">
        <f>2766.8+(1204.5-665.7)+(-1.411068+(-0.614295--0.339507))+0-540--0.275399999999945</f>
        <v>2764.1895440000003</v>
      </c>
      <c r="R50" s="3">
        <f>3415.1+(998.8-666.2)+(-3.483402+(-1.018776--0.679524))+0-601.1--0.613122000000096</f>
        <v>3143.3904680000001</v>
      </c>
      <c r="S50" s="3">
        <f>3334.3+(1284.4-469.7)+(-5.101479+(-1.965132--0.718641))+0-597.8--0.914634000000034</f>
        <v>3545.7666640000002</v>
      </c>
      <c r="T50" s="3">
        <f>3482.4+(1346.6-402.5)+(-3.552048+(-1.373532--0.41055))+0-631.6--0.644232000000101</f>
        <v>3791.0292020000006</v>
      </c>
      <c r="U50" s="3">
        <f>3377.6+(1430-452.9)+(-8.61288+(-3.6465--1.154895))+0-566.9--1.44559499999992</f>
        <v>3778.14111</v>
      </c>
      <c r="V50" s="3">
        <f>2898.7+(1763.2-386.3)+(-2.956674+(-1.798464--0.394026))+0-678.3--0.691866000000108</f>
        <v>3593.6307540000007</v>
      </c>
      <c r="W50" s="3">
        <f>2435.7+(1703-444.2)+(-7.453242+(-5.21118--1.359252))+0-470.1--1.43850600000005</f>
        <v>3214.533336</v>
      </c>
      <c r="X50" s="3">
        <f>2473.3+(1508.6-525.9)+(-5.045532+(-3.077544--1.072836))+0-565.6--1.15382399999998</f>
        <v>2884.503584</v>
      </c>
      <c r="Y50" s="3">
        <f>2813.8+(1178.4-632.6)+(0+(0-0))+0-646.3-0</f>
        <v>2713.3</v>
      </c>
      <c r="Z50" s="3">
        <f>3892.8+(753.4-1040)+(-7.941312+(-1.536936--2.1216))+0-498.9--1.01775599999998</f>
        <v>3100.9611080000004</v>
      </c>
      <c r="AA50" s="3">
        <f>4105.2+(888.1-906)+(-10.46826+(-2.264655--2.3103))+0-612.8--1.56263999999991</f>
        <v>3465.6400249999997</v>
      </c>
      <c r="AB50" s="3">
        <f>3533.3+(1282.2-559.7)+(-5.405949+(-1.961766--0.856341))+0-614.3--0.939879000000035</f>
        <v>3635.9285050000003</v>
      </c>
      <c r="AC50" s="3">
        <f>3201+(1627-416)+(-8.16255+(-4.14885--1.0608))+0-600.3--1.53076499999991</f>
        <v>3801.9801649999995</v>
      </c>
      <c r="AD50">
        <f t="shared" si="0"/>
        <v>76664.991690999988</v>
      </c>
      <c r="AE50" s="3">
        <f>4227+(858.8-937.6)+(0+(0-0))+0-688-0</f>
        <v>3460.2</v>
      </c>
    </row>
    <row r="51" spans="1:31" customFormat="1" x14ac:dyDescent="0.25">
      <c r="A51">
        <v>89</v>
      </c>
      <c r="B51">
        <v>2</v>
      </c>
      <c r="C51">
        <v>20</v>
      </c>
      <c r="D51">
        <v>3</v>
      </c>
      <c r="E51">
        <v>1</v>
      </c>
      <c r="F51" s="3">
        <f>2904.3+(1766.9-394.2)+(-13.330737+(-8.110071--1.809378))+0-428.6--1.96727400000007</f>
        <v>3830.7358439999998</v>
      </c>
      <c r="G51" s="3">
        <f>2548.4+(1792-281.7)+(-11.697156+(-8.22528--1.293003))+0-344.4--1.58079600000006</f>
        <v>3697.2513629999999</v>
      </c>
      <c r="H51" s="3">
        <f>2649+(1802.4-300.8)+(1.35099+(0.919224-0.153408))+0-542.2-0.276521999999945</f>
        <v>3610.2402840000004</v>
      </c>
      <c r="I51" s="3">
        <f>2560.8+(1881-275.5)+(-9.142056+(-6.71517--0.983535))+0-682--2.43474000000001</f>
        <v>3471.8610490000005</v>
      </c>
      <c r="J51" s="3">
        <f>2609.6+(1617.5-249.9)+(-1.330896+(-0.824925--0.127449))+0-591.5--0.30166499999994</f>
        <v>3383.9732929999996</v>
      </c>
      <c r="K51" s="3">
        <f>2535.1+(1601.5-290.9)+(-6.464505+(-4.083825--0.741795))+0-603.7--1.53943499999991</f>
        <v>3233.7328999999991</v>
      </c>
      <c r="L51" s="3">
        <f>2261.1+(1492.5-280.2)+(-3.459483+(-2.283525--0.428706))+0-553--0.846090000000032</f>
        <v>2915.9317879999994</v>
      </c>
      <c r="M51" s="3">
        <f>2461.5+(1320.5-485.8)+(2.51073+(1.34691-0.495516))+0-618.3-0.630666000000099</f>
        <v>2680.6314579999998</v>
      </c>
      <c r="N51" s="3">
        <f>2619.1+(1206.9-734.6)+(2.671482+(1.231038-0.749292))+0-472.8-0.482256000000075</f>
        <v>2621.2709719999998</v>
      </c>
      <c r="O51" s="3">
        <f>2503.9+(1440.3-752)+(-3.830967+(-2.203659--1.15056))+0-551.8--0.844254000000032</f>
        <v>2636.3601880000001</v>
      </c>
      <c r="P51" s="3">
        <f>2514.5+(1366-673.1)+(-2.56479+(-1.39332--0.686562))+0-483.4--0.493068000000077</f>
        <v>2721.2215200000001</v>
      </c>
      <c r="Q51" s="3">
        <f>2985.7+(1232.5-712.1)+(-1.522707+(-0.628575--0.363171))+0-537.5--0.274124999999946</f>
        <v>2967.086014</v>
      </c>
      <c r="R51" s="3">
        <f>3100.6+(1237.8-491.1)+(-4.743918+(-1.893834--0.751383))+0-549.5--0.840735000000032</f>
        <v>3292.7543660000001</v>
      </c>
      <c r="S51" s="3">
        <f>2895.1+(1607.9-329.6)+(-2.953002+(-1.640058--0.336192))+0-535.5--0.546210000000085</f>
        <v>3634.1893419999992</v>
      </c>
      <c r="T51" s="3">
        <f>3400.8+(1455.3-366)+(-3.468816+(-1.484406--0.37332))+0-550.6--0.561612000000088</f>
        <v>3935.48171</v>
      </c>
      <c r="U51" s="3">
        <f>3359.4+(1387.5-425.3)+(0+(0-0))+0-439.9-0</f>
        <v>3881.7000000000003</v>
      </c>
      <c r="V51" s="3">
        <f>3119.3+(1342-459.3)+(-7.954215+(-3.4221--1.171215))+0-291--0.742049999999958</f>
        <v>3701.5369499999997</v>
      </c>
      <c r="W51" s="3">
        <f>2600.6+(1562.9-406.6)+(-6.63153+(-3.985395--1.03683))+0-350--0.892499999999949</f>
        <v>3398.2124050000002</v>
      </c>
      <c r="X51" s="3">
        <f>2490.5+(1453.9-437.4)+(-7.62093+(-4.448934--1.338444))+0-511.3--1.56457800000006</f>
        <v>2986.5331579999997</v>
      </c>
      <c r="Y51" s="3">
        <f>2913.3+(1026.2-567.3)+(-1.485783+(-0.523362--0.289323))+0-578.9--0.295238999999941</f>
        <v>2791.8754170000002</v>
      </c>
      <c r="Z51" s="3">
        <f>4028.3+(506.1-823.4)+(-8.217732+(-1.032444--1.679736))+0-540.1--1.10180399999998</f>
        <v>3164.431364</v>
      </c>
      <c r="AA51" s="3">
        <f>3999.7+(846.8-742.3)+(-12.239082+(-2.591208--2.271438))+0-555.5--1.69983000000006</f>
        <v>3537.8409779999997</v>
      </c>
      <c r="AB51" s="3">
        <f>4057.4+(893-712.7)+(-8.277096+(-1.82172--1.453908))+0-521.9--1.06467599999998</f>
        <v>3708.2197679999995</v>
      </c>
      <c r="AC51" s="3">
        <f>3858.2+(1194.3-534.6)+(-5.903046+(-1.827279--0.817938))+0-627.6--0.960228000000036</f>
        <v>3884.3478409999993</v>
      </c>
      <c r="AD51">
        <f t="shared" si="0"/>
        <v>79687.419971999974</v>
      </c>
      <c r="AE51" s="3">
        <f>4041+(784.1-773.6)+(0+(0-0))+0-588.1-0</f>
        <v>3463.4</v>
      </c>
    </row>
    <row r="52" spans="1:31" customFormat="1" x14ac:dyDescent="0.25">
      <c r="A52">
        <v>89</v>
      </c>
      <c r="B52">
        <v>2</v>
      </c>
      <c r="C52">
        <v>21</v>
      </c>
      <c r="D52">
        <v>4</v>
      </c>
      <c r="E52">
        <v>1</v>
      </c>
      <c r="F52" s="3">
        <f>3204+(1622.7-317.1)+(-1.63404+(-0.827577--0.161721))+0-619.1--0.315740999999937</f>
        <v>3888.5158449999999</v>
      </c>
      <c r="G52" s="3">
        <f>2799.7+(1905.5-262.6)+(-2.855694+(-1.94361--0.267852))+0-635.1--0.647802000000101</f>
        <v>3803.6163500000002</v>
      </c>
      <c r="H52" s="3">
        <f>2416.4+(2130.3-256.2)+(-6.16182+(-5.432265--0.65331))+0-624.3--1.59196499999991</f>
        <v>3656.8511899999999</v>
      </c>
      <c r="I52" s="3">
        <f>2340.6+(2097.5-214)+(-2.387412+(-2.13945--0.21828))+0-657.7--0.670854000000105</f>
        <v>3562.7622720000008</v>
      </c>
      <c r="J52" s="3">
        <f>2418.2+(1871.2-219)+(0+(0-0))+0-609.6-0</f>
        <v>3460.7999999999997</v>
      </c>
      <c r="K52" s="3">
        <f>2279.2+(1975.3-224.8)+(-4.649568+(-4.029612--0.458592))+0-699.4--1.42677599999997</f>
        <v>3323.5061879999994</v>
      </c>
      <c r="L52" s="3">
        <f>2130.9+(1670.3-263.1)+(-3.260277+(-2.555559--0.402543))+0-588--0.899640000000034</f>
        <v>2945.5863469999999</v>
      </c>
      <c r="M52" s="3">
        <f>2284.2+(1442.1-423.2)+(0+(0-0))+0-577.2-0</f>
        <v>2725.8999999999996</v>
      </c>
      <c r="N52" s="3">
        <f>2178+(1585.1-538.9)+(2.22156+(1.616802-0.549678))+0-573.7-0.585174000000092</f>
        <v>2653.2035099999998</v>
      </c>
      <c r="O52" s="3">
        <f>2201.9+(1535.8-584.9)+(-1.122969+(-0.783258--0.298299))+0-457--0.233069999999954</f>
        <v>2694.4251420000001</v>
      </c>
      <c r="P52" s="3">
        <f>2489.9+(1407.6-633)+(2.539698+(1.435752-0.64566))+0-460.7-0.469914000000073</f>
        <v>2806.6598759999997</v>
      </c>
      <c r="Q52" s="3">
        <f>3252.1+(1010.1-671.2)+(3.317142+(1.030302-0.684624))+0-543-0.553860000000087</f>
        <v>3051.10896</v>
      </c>
      <c r="R52" s="3">
        <f>3291+(1229.3-552.7)+(-5.03523+(-1.880829--0.845631))+0-538.2--0.823446000000031</f>
        <v>3424.1530179999995</v>
      </c>
      <c r="S52" s="3">
        <f>3439+(1397.8-426.1)+(-1.75389+(-0.712878--0.217311))+0-550.5--0.280754999999944</f>
        <v>3858.2312979999997</v>
      </c>
      <c r="T52" s="3">
        <f>3745.3+(1395.4-493.8)+(-5.730309+(-2.134962--0.755514))+0-575.6--0.880668000000033</f>
        <v>4065.0709110000007</v>
      </c>
      <c r="U52" s="3">
        <f>3592.3+(1388-460)+(-7.328292+(-2.83152--0.9384))+0-524.4--1.06977599999998</f>
        <v>3987.748364</v>
      </c>
      <c r="V52" s="3">
        <f>3408.8+(1501.6-480.6)+(-6.953952+(-3.063264--0.980424))+0-560.1--1.14260399999998</f>
        <v>3861.8058120000005</v>
      </c>
      <c r="W52" s="3">
        <f>2871.4+(1626.5-457.5)+(-8.786484+(-4.97709--1.39995))+0-469.5--1.43667000000005</f>
        <v>3559.9730460000001</v>
      </c>
      <c r="X52" s="3">
        <f>2513.8+(1472.6-398.2)+(-5.128152+(-3.004104--0.812328))+0-468.2--0.95512799999998</f>
        <v>3113.6352000000002</v>
      </c>
      <c r="Y52" s="3">
        <f>3013.9+(1011.4-521.9)+(-3.074178+(-1.031628--0.532338))+0-536.6--0.547332000000086</f>
        <v>2963.7738640000002</v>
      </c>
      <c r="Z52" s="3">
        <f>4097.5+(555-880.5)+(-2.089725+(-0.28305--0.449055))+0-607.2--0.309671999999938</f>
        <v>3163.1859520000003</v>
      </c>
      <c r="AA52" s="3">
        <f>3931.6+(1124.5-743.7)+(-6.015348+(-1.720485--1.137861))+0-567.7--0.868581000000033</f>
        <v>3738.9706090000004</v>
      </c>
      <c r="AB52" s="3">
        <f>3555.1+(1599.7-527.7)+(-5.439303+(-2.447541--0.807381))+0-651.2--0.996336000000038</f>
        <v>3969.8168730000007</v>
      </c>
      <c r="AC52" s="3">
        <f>3149.1+(1859.8-333.8)+(-6.424164+(-3.793992--0.680952))+0-593.8--1.21135199999997</f>
        <v>4072.9741479999998</v>
      </c>
      <c r="AD52">
        <f t="shared" si="0"/>
        <v>82352.274774999983</v>
      </c>
      <c r="AE52" s="3">
        <f>4331+(890.1-878.7)+(0+(0-0))+0-687.2-0</f>
        <v>3655.2</v>
      </c>
    </row>
    <row r="53" spans="1:31" customFormat="1" x14ac:dyDescent="0.25">
      <c r="A53">
        <v>89</v>
      </c>
      <c r="B53">
        <v>2</v>
      </c>
      <c r="C53">
        <v>22</v>
      </c>
      <c r="D53">
        <v>5</v>
      </c>
      <c r="E53">
        <v>1</v>
      </c>
      <c r="F53" s="3">
        <f>2813.8+(2007.9-309.2)+(-1.435038+(-1.024029--0.157692))+0-540.9--0.275858999999945</f>
        <v>3969.5744839999998</v>
      </c>
      <c r="G53" s="3">
        <f>2679.9+(2117.4-284.5)+(-5.466996+(-4.319496--0.58038))+0-675.3--1.37761199999997</f>
        <v>3829.6714999999999</v>
      </c>
      <c r="H53" s="3">
        <f>2338.2+(2152.7-230.6)+(-5.96241+(-5.489385--0.58803))+0-579.7--1.47823499999992</f>
        <v>3671.2144699999994</v>
      </c>
      <c r="I53" s="3">
        <f>2497.8+(1991.3-249.5)+(-3.821634+(-3.046689--0.381735))+0-647.5--0.990675000000037</f>
        <v>3586.6040870000006</v>
      </c>
      <c r="J53" s="3">
        <f>2501.1+(1877.5-238.4)+(-2.551122+(-1.91505--0.243168))+0-643.4--0.656268000000103</f>
        <v>3493.2332639999995</v>
      </c>
      <c r="K53" s="3">
        <f>2531.3+(1677.8-241.5)+(-1.290963+(-0.855678--0.123165))+0-611--0.311609999999938</f>
        <v>3354.8881340000003</v>
      </c>
      <c r="L53" s="3">
        <f>2346.7+(1741.9-252.6)+(-4.787268+(-3.553476--0.515304))+0-621.4--1.26765599999997</f>
        <v>3208.0422159999998</v>
      </c>
      <c r="M53" s="3">
        <f>2357.1+(1581-392.9)+(-3.606363+(-2.41893--0.601137))+0-621.6--0.951048000000036</f>
        <v>2919.1268919999998</v>
      </c>
      <c r="N53" s="3">
        <f>2368+(1504.5-429.9)+(0+(0-0))+0-566.3-0</f>
        <v>2876.3</v>
      </c>
      <c r="O53" s="3">
        <f>2277.9+(1474.1-432.3)+(-2.323458+(-1.503582--0.440946))+0-504.6--0.514692000000081</f>
        <v>2812.2285980000001</v>
      </c>
      <c r="P53" s="3">
        <f>2699.8+(1359.7-464.8)+(-2.753796+(-1.386894--0.474096))+0-643.2--0.656064000000103</f>
        <v>2948.4894700000009</v>
      </c>
      <c r="Q53" s="3">
        <f>3353.6+(994.7-465)+(0+(0-0))+0-524.7-0</f>
        <v>3358.6000000000004</v>
      </c>
      <c r="R53" s="3">
        <f>3843.2+(1067.5-513.9)+(-3.920064+(-1.08885--0.524178))+0-515--0.525300000000082</f>
        <v>3877.8405640000001</v>
      </c>
      <c r="S53" s="3">
        <f>3755.2+(1298.7-396.4)+(-3.830304+(-1.324674--0.404328))+0-524.3--0.534786000000084</f>
        <v>4128.984136</v>
      </c>
      <c r="T53" s="3">
        <f>4102.4+(1189.6-506)+(-2.092224+(-0.606696--0.25806))+0-499.7--0.254846999999949</f>
        <v>4284.1139870000006</v>
      </c>
      <c r="U53" s="3">
        <f>4126.9+(1176.3-576.4)+(-6.314157+(-1.799739--0.881892))+0-532.7--0.815031000000031</f>
        <v>4187.6830269999991</v>
      </c>
      <c r="V53" s="3">
        <f>3704.1+(1415.2-473.4)+(-1.889091+(-0.721752--0.241434))+0-579.8--0.295697999999941</f>
        <v>4064.0262889999995</v>
      </c>
      <c r="W53" s="3">
        <f>2872.7+(1856.8-378.6)+(-8.790462+(-5.681808--1.158516))+0-589.4--1.80356400000007</f>
        <v>3749.98981</v>
      </c>
      <c r="X53" s="3">
        <f>2618.6+(1594.4-467.5)+(-5.341944+(-3.252576--0.9537))+0-468.6--0.95594399999998</f>
        <v>3270.2151239999998</v>
      </c>
      <c r="Y53" s="3">
        <f>2557.8+(1497.4-403.9)+(-3.913434+(-2.291022--0.617967))+0-582.2--0.890766000000034</f>
        <v>3064.4042770000001</v>
      </c>
      <c r="Z53" s="3">
        <f>3447.5+(1203.9-521.6)+(-7.0329+(-2.455956--1.064064))+0-618.2--1.26112799999997</f>
        <v>3504.4363360000007</v>
      </c>
      <c r="AA53" s="3">
        <f>3520.6+(1398.8-518.1)+(-7.182024+(-2.853552--1.056924))+0-603--1.23011999999997</f>
        <v>3790.5514680000006</v>
      </c>
      <c r="AB53" s="3">
        <f>3204.9+(1724.5-346)+(-3.268998+(-1.75899--0.35292))+0-598.6--0.610572000000095</f>
        <v>3980.7355040000002</v>
      </c>
      <c r="AC53" s="3">
        <f>3135.3+(1992.9-295.1)+(-7.995015+(-5.081895--0.752505))+0-620.5--1.58227499999991</f>
        <v>4201.8578699999998</v>
      </c>
      <c r="AD53">
        <f t="shared" si="0"/>
        <v>86132.811506999977</v>
      </c>
      <c r="AE53" s="3">
        <f>3737+(1266.1-621.3)+(0+(0-0))+0-623.6-0</f>
        <v>3758.2000000000003</v>
      </c>
    </row>
    <row r="54" spans="1:31" customFormat="1" x14ac:dyDescent="0.25">
      <c r="A54">
        <v>89</v>
      </c>
      <c r="B54">
        <v>2</v>
      </c>
      <c r="C54">
        <v>23</v>
      </c>
      <c r="D54">
        <v>6</v>
      </c>
      <c r="E54">
        <v>1</v>
      </c>
      <c r="F54" s="3">
        <f>2941.5+(2147.1-221)+(-12.00132+(-8.760168--0.90168))+0-620.3--2.53082399999995</f>
        <v>4229.9710160000004</v>
      </c>
      <c r="G54" s="3">
        <f>2624.4+(2391.6-214.2)+(-6.69222+(-6.09858--0.54621))+0-639.8--1.63148999999991</f>
        <v>4151.3868999999995</v>
      </c>
      <c r="H54" s="3">
        <f>2697.4+(2171.5-212)+(-1.375674+(-1.107465--0.10812))+0-604.5--0.308294999999939</f>
        <v>4050.3332759999994</v>
      </c>
      <c r="I54" s="3">
        <f>2610.9+(2236.7-217)+(-6.657795+(-5.703585--0.55335))+0-671.2--1.7115599999999</f>
        <v>3949.3035300000001</v>
      </c>
      <c r="J54" s="3">
        <f>2761.5+(1888.9-213.4)+(0+(0-0))+0-526.3-0</f>
        <v>3910.7</v>
      </c>
      <c r="K54" s="3">
        <f>2595.3+(2014.5-201.3)+(-6.618015+(-5.136975--0.513315))+0-625.5--1.59502499999991</f>
        <v>3773.3533499999999</v>
      </c>
      <c r="L54" s="3">
        <f>2203.7+(1940.2-224.8)+(-2.247774+(-1.979004--0.229296))+0-476--0.485520000000076</f>
        <v>3439.5880379999999</v>
      </c>
      <c r="M54" s="3">
        <f>2256.1+(1732.1-217.7)+(0+(0-0))+0-610-0</f>
        <v>3160.5</v>
      </c>
      <c r="N54" s="3">
        <f>2294.3+(1768.9-387.8)+(-1.170093+(-0.902139--0.197778))+0-616.5--0.314414999999937</f>
        <v>3057.3399610000006</v>
      </c>
      <c r="O54" s="3">
        <f>2402+(1770.7-481.3)+(0+(0-0))+0-644.6-0</f>
        <v>3046.8</v>
      </c>
      <c r="P54" s="3">
        <f>2747+(1524.7-567.5)+(-2.80194+(-1.555194--0.57885))+0-602.3--0.614346000000096</f>
        <v>3098.7360619999999</v>
      </c>
      <c r="Q54" s="3">
        <f>3474.4+(1099.2-700.4)+(0+(0-0))+0-585.1-0</f>
        <v>3288.1000000000004</v>
      </c>
      <c r="R54" s="3">
        <f>3891.1+(993.3-707.1)+(-7.937844+(-2.026332--1.442484))+0-601.1--1.22624399999997</f>
        <v>3568.904552</v>
      </c>
      <c r="S54" s="3">
        <f>3927.4+(1233.7-595.8)+(-2.002974+(-0.629187--0.303858))+0-675.9--0.344708999999931</f>
        <v>3887.4164059999998</v>
      </c>
      <c r="T54" s="3">
        <f>3799.6+(1435.7-540)+(-5.813388+(-2.196621--0.8262))+0-597--0.913410000000034</f>
        <v>4092.0296010000002</v>
      </c>
      <c r="U54" s="3">
        <f>3876.7+(1422.3-564.6)+(-3.954234+(-1.450746--0.575892))+0-695.8--0.709716000000111</f>
        <v>4034.4806279999993</v>
      </c>
      <c r="V54" s="3">
        <f>3446.1+(1456.8-474.2)+(-8.787555+(-3.71484--1.20921))+0-586.8--1.49633999999991</f>
        <v>3832.1031549999989</v>
      </c>
      <c r="W54" s="3">
        <f>2839.5+(1628.7-394.1)+(-4.344435+(-2.491911--0.602973))+0-640.9--0.980577000000037</f>
        <v>3427.9472039999996</v>
      </c>
      <c r="X54" s="3">
        <f>2527.8+(1631.4-452.7)+(-5.156712+(-3.328056--0.923508))+0-628.8--1.28275199999997</f>
        <v>3071.4214920000004</v>
      </c>
      <c r="Y54" s="3">
        <f>2623.2+(1288.7-463.1)+(-5.351328+(-2.628948--0.944724))+0-551.5--1.12505999999998</f>
        <v>2891.3895079999998</v>
      </c>
      <c r="Z54" s="3">
        <f>3563.7+(928.9-645.5)+(-7.269948+(-1.894956--1.31682))+0-617.5--1.25969999999997</f>
        <v>3223.0116159999998</v>
      </c>
      <c r="AA54" s="3">
        <f>3528+(1143.3-536.1)+(-7.19712+(-2.332332--1.093644))+0-568.6--1.15994399999998</f>
        <v>3559.3241359999997</v>
      </c>
      <c r="AB54" s="3">
        <f>3366.6+(1374.9-372.7)+(-8.58483+(-3.505995--0.950385))+0-631.8--1.61108999999991</f>
        <v>3727.4706499999998</v>
      </c>
      <c r="AC54" s="3">
        <f>3383.8+(1494-436)+(-5.177214+(-2.28582--0.66708))+0-553.5--0.846855000000032</f>
        <v>3882.3509010000002</v>
      </c>
      <c r="AD54">
        <f t="shared" si="0"/>
        <v>86353.961981999979</v>
      </c>
      <c r="AE54" s="3">
        <f>3918.1+(899.8-795.8)+(0+(0-0))+0-598.1-0</f>
        <v>3424</v>
      </c>
    </row>
    <row r="55" spans="1:31" customFormat="1" x14ac:dyDescent="0.25">
      <c r="A55">
        <v>89</v>
      </c>
      <c r="B55">
        <v>2</v>
      </c>
      <c r="C55">
        <v>24</v>
      </c>
      <c r="D55">
        <v>7</v>
      </c>
      <c r="E55">
        <v>1</v>
      </c>
      <c r="F55" s="3">
        <f>3037.8+(1786-328.6)+(-1.549278+(-0.91086--0.167586))+0-536.3--0.273512999999946</f>
        <v>3956.8809610000008</v>
      </c>
      <c r="G55" s="3">
        <f>2891.4+(1888.6-306.9)+(-4.423842+(-2.889558--0.469557))+0-542.5--0.830025000000031</f>
        <v>3924.5861820000009</v>
      </c>
      <c r="H55" s="3">
        <f>2693.2+(1931.2-213.8)+(0+(0-0))+0-572.2-0</f>
        <v>3838.4000000000005</v>
      </c>
      <c r="I55" s="3">
        <f>2631.9+(1842.7-224.1)+(-2.684538+(-1.879554--0.228582))+0-520.6--0.531012000000083</f>
        <v>3726.0955020000001</v>
      </c>
      <c r="J55" s="3">
        <f>2682.7+(1873.5-250.2)+(-1.368177+(-0.955485--0.127602))+0-679.6--0.346595999999931</f>
        <v>3624.5505359999997</v>
      </c>
      <c r="K55" s="3">
        <f>2548.9+(1780.5-219.8)+(-15.599268+(-10.89666--1.345176))+0-607.3--3.71667599999992</f>
        <v>3480.8659240000006</v>
      </c>
      <c r="L55" s="3">
        <f>2329.2+(1637.8-133.6)+(-9.503136+(-6.682224--0.545088))+0-614.2--2.50593599999995</f>
        <v>3206.0656639999993</v>
      </c>
      <c r="M55" s="3">
        <f>2305.3+(1494.3-248.6)+(-1.175703+(-0.762093--0.126786))+0-597.1--0.304520999999939</f>
        <v>2952.3935110000002</v>
      </c>
      <c r="N55" s="3">
        <f>2385.8+(1305.5-325.9)+(-2.433516+(-1.33161--0.332418))+0-538.4--0.549168000000086</f>
        <v>2824.1164600000002</v>
      </c>
      <c r="O55" s="3">
        <f>2499.3+(1213.4-389)+(-3.823929+(-1.856502--0.59517))+0-571.2--0.873936000000033</f>
        <v>2748.2886749999998</v>
      </c>
      <c r="P55" s="3">
        <f>2799.6+(1165.4-581.6)+(-1.427796+(-0.594354--0.296616))+0-677.2--0.345371999999931</f>
        <v>2704.8198379999994</v>
      </c>
      <c r="Q55" s="3">
        <f>2673.2+(1130.3-417.3)+(-5.453328+(-2.305812--0.851292))+0-546--1.11383999999998</f>
        <v>2834.405992</v>
      </c>
      <c r="R55" s="3">
        <f>2749.6+(1369.9-378.9)+(-2.804592+(-1.397298--0.386478))+0-641.1--0.653922000000102</f>
        <v>3096.33851</v>
      </c>
      <c r="S55" s="3">
        <f>2674+(1568.8-176.2)+(-5.45496+(-3.200352--0.359448))+0-591.6--1.20686399999997</f>
        <v>3467.9109999999996</v>
      </c>
      <c r="T55" s="3">
        <f>2953.2+(1662.1-166.7)+(0+(0-0))+0-665.1-0</f>
        <v>3783.4999999999995</v>
      </c>
      <c r="U55" s="3">
        <f>2855.9+(1818.8-197.5)+(-2.913018+(-1.855176--0.20145))+0-622--0.634440000000099</f>
        <v>3851.2676960000003</v>
      </c>
      <c r="V55" s="3">
        <f>2846+(1789.3-255.3)+(-7.2573+(-4.562715--0.651015))+0-630.8--1.60853999999991</f>
        <v>3739.6395399999997</v>
      </c>
      <c r="W55" s="3">
        <f>2568.3+(1796-319.9)+(-7.858998+(-5.49576--0.978894))+0-605.5--1.85283000000007</f>
        <v>3428.3769660000003</v>
      </c>
      <c r="X55" s="3">
        <f>2236.5+(1720.1-285)+(-2.28123+(-1.754502--0.2907))+0-647.5--0.660450000000103</f>
        <v>3021.0154180000004</v>
      </c>
      <c r="Y55" s="3">
        <f>2364.8+(1346.6-420.5)+(-4.824192+(-2.747064--0.85782))+0-513.3--1.04713199999998</f>
        <v>2771.9336960000005</v>
      </c>
      <c r="Z55" s="3">
        <f>3119.8+(1210.3-561.2)+(-3.182196+(-1.234506--0.572424))+0-650.2--0.663204000000104</f>
        <v>3115.5189260000002</v>
      </c>
      <c r="AA55" s="3">
        <f>3475.7+(1239.3-651.1)+(-5.317821+(-1.896129--0.996183))+0-600.4--0.918612000000035</f>
        <v>3458.2008449999994</v>
      </c>
      <c r="AB55" s="3">
        <f>3681.7+(1156.6-612.9)+(-9.388335+(-2.94933--1.562895))+0-585.7--1.49353499999992</f>
        <v>3630.4187649999999</v>
      </c>
      <c r="AC55" s="3">
        <f>3364.7+(1308.7-429.2)+(-1.715997+(-0.667437--0.218892))+0-540.9--0.275858999999945</f>
        <v>3701.4113169999991</v>
      </c>
      <c r="AD55">
        <f t="shared" si="0"/>
        <v>80887.001924000011</v>
      </c>
      <c r="AE55" s="3">
        <f>3478.1+(1337.9-633.8)+(0+(0-0))+0-646.8-0</f>
        <v>3535.3999999999996</v>
      </c>
    </row>
    <row r="56" spans="1:31" customFormat="1" x14ac:dyDescent="0.25">
      <c r="A56">
        <v>89</v>
      </c>
      <c r="B56">
        <v>2</v>
      </c>
      <c r="C56">
        <v>25</v>
      </c>
      <c r="D56">
        <v>1</v>
      </c>
      <c r="E56">
        <v>1</v>
      </c>
      <c r="F56" s="3">
        <f>2876.7+(1772.7-277.6)+(-1.467117+(-0.904077--0.141576))+0-674--0.343739999999932</f>
        <v>3695.9141219999988</v>
      </c>
      <c r="G56" s="3">
        <f>2535.1+(1923.8-226.3)+(-1.292901+(-0.981138--0.115413))+0-550.7--0.280856999999944</f>
        <v>3680.0222309999999</v>
      </c>
      <c r="H56" s="3">
        <f>2390+(2109.7-224.6)+(1.2189+(1.075947-0.114546))+0-669.1-0.341240999999932</f>
        <v>3607.8390600000007</v>
      </c>
      <c r="I56" s="3">
        <f>2338.6+(1993.9-224.2)+(-4.770744+(-4.067556--0.457368))+0-575.1--1.17320399999998</f>
        <v>3525.9922720000004</v>
      </c>
      <c r="J56" s="3">
        <f>2377+(1966.5-253.8)+(3.63681+(3.008745-0.388314))+0-623.7-0.954261000000036</f>
        <v>3471.3029799999995</v>
      </c>
      <c r="K56" s="3">
        <f>2385.1+(1891-271.2)+(-2.432802+(-1.92882--0.276624))+0-640.7--0.653514000000102</f>
        <v>3360.7685159999996</v>
      </c>
      <c r="L56" s="3">
        <f>2418.7+(1592.1-363.2)+(1.233537+(0.811971-0.185232))+0-615.7-0.314006999999938</f>
        <v>3033.4462689999991</v>
      </c>
      <c r="M56" s="3">
        <f>2473.2+(1365.9-468.7)+(-2.522664+(-1.393218--0.478074))+0-574.9--0.586398000000092</f>
        <v>2792.6485899999993</v>
      </c>
      <c r="N56" s="3">
        <f>2431.4+(1429.1-534.8)+(-1.240014+(-0.728841--0.272748))+0-574.9--0.293198999999942</f>
        <v>2749.3970919999992</v>
      </c>
      <c r="O56" s="3">
        <f>2553.6+(1471.1-590.3)+(-2.604672+(-1.500522--0.602106))+0-574.9--0.586398000000092</f>
        <v>2856.5833099999995</v>
      </c>
      <c r="P56" s="3">
        <f>2545.2+(1435-590.9)+(-2.596104+(-1.4637--0.602718))+0-486.7--0.496434000000078</f>
        <v>2899.6393480000002</v>
      </c>
      <c r="Q56" s="3">
        <f>2938.5+(1228.2-602.7)+(0+(0-0))+0-490.2-0</f>
        <v>3073.8</v>
      </c>
      <c r="R56" s="3">
        <f>3275.2+(1181-493)+(-5.011056+(-1.80693--0.75429))+0-490.2--0.750006000000028</f>
        <v>3467.68631</v>
      </c>
      <c r="S56" s="3">
        <f>3301.5+(1426.1-422.8)+(-5.051295+(-2.181933--0.646884))+0-490.2--0.750006000000028</f>
        <v>3808.7636620000003</v>
      </c>
      <c r="T56" s="3">
        <f>3698.1+(1310.2-302.7)+(-7.544124+(-2.672808--0.617508))+0-503.4--1.02693599999998</f>
        <v>4193.6275120000009</v>
      </c>
      <c r="U56" s="3">
        <f>3514.7+(1446.2-255.3)+(0+(0-0))+0-466.4-0</f>
        <v>4239.2000000000007</v>
      </c>
      <c r="V56" s="3">
        <f>3354.7+(1541.3-348.3)+(-1.710897+(-0.786063--0.177633))+0-576.6--0.294065999999942</f>
        <v>3969.0747389999997</v>
      </c>
      <c r="W56" s="3">
        <f>2548.1+(1955.3-250.2)+(-7.797186+(-5.983218--0.765612))+0-509.9--1.56029400000006</f>
        <v>3731.8455019999997</v>
      </c>
      <c r="X56" s="3">
        <f>2459.4+(1666.3-294.9)+(-2.508588+(-1.699626--0.300798))+0-512.6--0.522852000000082</f>
        <v>3314.8154360000003</v>
      </c>
      <c r="Y56" s="3">
        <f>2783.5+(1336-396.3)+(-5.67834+(-2.72544--0.808452))+0-555.5--1.13321999999998</f>
        <v>3161.2378920000001</v>
      </c>
      <c r="Z56" s="3">
        <f>3599.2+(917.7-677.4)+(-5.506776+(-1.404081--1.036422))+0-518--0.79254000000003</f>
        <v>3316.4181049999997</v>
      </c>
      <c r="AA56" s="3">
        <f>3441.9+(1317.7-422.7)+(-5.266107+(-2.016081--0.646731))+0-596--0.911880000000034</f>
        <v>3735.1764229999994</v>
      </c>
      <c r="AB56" s="3">
        <f>3344+(1462.2-310.6)+(-5.11632+(-2.237166--0.475218))+0-527.8--0.80753400000003</f>
        <v>3961.7292659999998</v>
      </c>
      <c r="AC56" s="3">
        <f>3330.7+(1745.5-267.2)+(-3.397314+(-1.78041--0.272544))+0-657.6--0.670752000000105</f>
        <v>4147.1655719999999</v>
      </c>
      <c r="AD56">
        <f t="shared" si="0"/>
        <v>83794.094208999988</v>
      </c>
      <c r="AE56" s="3">
        <f>3612+(1073.7-609)+(0+(0-0))+0-602.6-0</f>
        <v>3474.1</v>
      </c>
    </row>
    <row r="57" spans="1:31" customFormat="1" x14ac:dyDescent="0.25">
      <c r="A57">
        <v>89</v>
      </c>
      <c r="B57">
        <v>2</v>
      </c>
      <c r="C57">
        <v>26</v>
      </c>
      <c r="D57">
        <v>2</v>
      </c>
      <c r="E57">
        <v>1</v>
      </c>
      <c r="F57" s="3">
        <f>2936.7+(2040.3-230.1)+(-4.493151+(-3.121659--0.352053))+0-544.9--0.833697000000031</f>
        <v>4195.5709399999996</v>
      </c>
      <c r="G57" s="3">
        <f>2824.9+(2087.6-229.7)+(-4.322097+(-3.194028--0.351441))+0-600.4--0.918612000000035</f>
        <v>4076.1539279999997</v>
      </c>
      <c r="H57" s="3">
        <f>2684.9+(2027.1-228.4)+(-6.846495+(-5.169105--0.58242))+0-536.2--1.36730999999992</f>
        <v>3937.3341300000006</v>
      </c>
      <c r="I57" s="3">
        <f>2714.2+(1814.5-226.9)+(-4.152726+(-2.776185--0.347157))+0-490.3--0.750159000000028</f>
        <v>3805.6684049999994</v>
      </c>
      <c r="J57" s="3">
        <f>2706.5+(1812.3-227.8)+(-5.52126+(-3.697092--0.464712))+0-579.9--1.18299599999997</f>
        <v>3703.529356</v>
      </c>
      <c r="K57" s="3">
        <f>2675.1+(1624.5-193.6)+(-4.092903+(-2.485485--0.296208))+0-554.3--0.848079000000032</f>
        <v>3546.2658989999995</v>
      </c>
      <c r="L57" s="3">
        <f>2510.8+(1512-301.7)+(-3.841524+(-2.31336--0.461601))+0-552.2--0.844866000000032</f>
        <v>3164.0515829999999</v>
      </c>
      <c r="M57" s="3">
        <f>2428.9+(1430-392.2)+(-1.238739+(-0.7293--0.200022))+0-536.4--0.273563999999946</f>
        <v>2928.8055469999999</v>
      </c>
      <c r="N57" s="3">
        <f>2589.2+(1451-582.8)+(-3.961476+(-2.22003--0.891684))+0-515.1--0.78810300000003</f>
        <v>2937.7982809999994</v>
      </c>
      <c r="O57" s="3">
        <f>2642.6+(1414.8-651.6)+(-4.043178+(-2.164644--0.996948))+0-533.7--0.816561000000031</f>
        <v>2867.7056870000001</v>
      </c>
      <c r="P57" s="3">
        <f>2826.4+(1271.1-660.1)+(-2.882928+(-1.296522--0.673302))+0-517.3--0.527646000000082</f>
        <v>2917.121498</v>
      </c>
      <c r="Q57" s="3">
        <f>2758+(1354.7-412.7)+(0+(0-0))+0-534.3-0</f>
        <v>3165.7</v>
      </c>
      <c r="R57" s="3">
        <f>3121.8+(1361.5-402.6)+(-4.776354+(-2.083095--0.615978))+0-509--0.778770000000029</f>
        <v>3566.2352989999999</v>
      </c>
      <c r="S57" s="3">
        <f>3150.3+(1640.2-251.6)+(0+(0-0))+0-513.7-0</f>
        <v>4025.2000000000007</v>
      </c>
      <c r="T57" s="3">
        <f>3577.4+(1630.5-309.8)+(0+(0-0))+0-605.2-0</f>
        <v>4292.9000000000005</v>
      </c>
      <c r="U57" s="3">
        <f>3568.6+(1578.9-368.7)+(-5.459958+(-2.415717--0.564111))+0-501.9--0.767907000000029</f>
        <v>4270.3563430000013</v>
      </c>
      <c r="V57" s="3">
        <f>2977.4+(1954.2-275.6)+(-7.59237+(-4.98321--0.70278))+0-555.8--1.41728999999992</f>
        <v>4089.7444899999996</v>
      </c>
      <c r="W57" s="3">
        <f>2675.8+(2016.1-311.2)+(-6.82329+(-5.141055--0.79356))+0-593.4--1.51316999999991</f>
        <v>3777.6423849999992</v>
      </c>
      <c r="X57" s="3">
        <f>2495.3+(1621.3-304.7)+(-6.363015+(-4.134315--0.776985))+0-496.3--1.26556499999993</f>
        <v>3307.1452199999999</v>
      </c>
      <c r="Y57" s="3">
        <f>2496+(1323.7-339.2)+(-3.81888+(-2.025261--0.518976))+0-484.7--0.741591000000028</f>
        <v>2991.216426</v>
      </c>
      <c r="Z57" s="3">
        <f>2925.1+(1364.2-399.9)+(-5.967204+(-2.782968--0.815796))+0-562.4--1.14729599999998</f>
        <v>3320.2129199999999</v>
      </c>
      <c r="AA57" s="3">
        <f>3079.7+(1657-378.9)+(-6.282588+(-3.38028--0.772956))+0-586.7--1.19686799999997</f>
        <v>3763.4069559999998</v>
      </c>
      <c r="AB57" s="3">
        <f>3341.4+(1551.3-353.2)+(0+(0-0))+0-566.9-0</f>
        <v>3972.6</v>
      </c>
      <c r="AC57" s="3">
        <f>3422.7+(1694.1-366.6)+(0+(0-0))+0-622.4-0</f>
        <v>4127.8</v>
      </c>
      <c r="AD57">
        <f t="shared" si="0"/>
        <v>86750.165293000013</v>
      </c>
      <c r="AE57" s="3">
        <f>3095+(1647.5-377.4)+(0+(0-0))+0-616-0</f>
        <v>3749.1000000000004</v>
      </c>
    </row>
    <row r="58" spans="1:31" customFormat="1" x14ac:dyDescent="0.25">
      <c r="A58">
        <v>89</v>
      </c>
      <c r="B58">
        <v>2</v>
      </c>
      <c r="C58">
        <v>27</v>
      </c>
      <c r="D58">
        <v>3</v>
      </c>
      <c r="E58">
        <v>5</v>
      </c>
      <c r="F58" s="3">
        <f>3206.5+(1824.5-311.6)+(-1.635315+(-0.930495--0.158916))+0-511.4--0.260813999999948</f>
        <v>4205.8539200000005</v>
      </c>
      <c r="G58" s="3">
        <f>3002.6+(1952.9-223.2)+(-1.531326+(-0.995979--0.113832))+0-593.8--0.30283799999994</f>
        <v>4136.389365</v>
      </c>
      <c r="H58" s="3">
        <f>2622.8+(2196.4-220.5)+(-1.337628+(-1.120164--0.112455))+0-604--0.308039999999939</f>
        <v>3992.6627030000009</v>
      </c>
      <c r="I58" s="3">
        <f>2600.6+(1983.3-213.8)+(-5.305224+(-4.045932--0.436152))+0-505--1.03019999999998</f>
        <v>3857.2151960000001</v>
      </c>
      <c r="J58" s="3">
        <f>2652.6+(1874.3-194.2)+(0+(0-0))+0-583.5-0</f>
        <v>3749.2</v>
      </c>
      <c r="K58" s="3">
        <f>2448.2+(1917.4-215.9)+(-6.24291+(-4.88937--0.550545))+0-546--1.39229999999992</f>
        <v>3594.510565</v>
      </c>
      <c r="L58" s="3">
        <f>2058.7+(1939.2-191.7)+(-1.049937+(-0.988992--0.097767))+0-579.5--0.295544999999941</f>
        <v>3225.0543829999997</v>
      </c>
      <c r="M58" s="3">
        <f>2295.8+(1448.5-273.2)+(2.341716+(1.47747-0.278664))+0-499.2-0.50918400000008</f>
        <v>2974.9313380000003</v>
      </c>
      <c r="N58" s="3">
        <f>2453+(1414.3-380.3)+(-3.75309+(-2.163879--0.581859))+0-588.9--0.901017000000034</f>
        <v>2893.6659070000001</v>
      </c>
      <c r="O58" s="3">
        <f>2274.1+(1345.9-468.1)+(0+(0-0))+0-498.1-0</f>
        <v>2653.8</v>
      </c>
      <c r="P58" s="3">
        <f>2705.7+(1276.3-566.5)+(-5.519628+(-2.603652--1.15566))+0-518.3--1.05733199999998</f>
        <v>2891.2897120000002</v>
      </c>
      <c r="Q58" s="3">
        <f>2738.9+(1353.8-506)+(-5.587356+(-2.761752--1.03224))+0-473.7--0.966347999999979</f>
        <v>3106.64948</v>
      </c>
      <c r="R58" s="3">
        <f>2737.2+(1614.9-407.7)+(-5.583888+(-3.294396--0.831708))+0-417.6--0.851903999999982</f>
        <v>3519.6053279999996</v>
      </c>
      <c r="S58" s="3">
        <f>3075+(1708.4-276.5)+(0+(0-0))+0-482.9-0</f>
        <v>4023.9999999999995</v>
      </c>
      <c r="T58" s="3">
        <f>3585.8+(1639.6-373.4)+(-5.486274+(-2.508588--0.571302))+0-547.3--0.837369000000032</f>
        <v>4298.1138089999995</v>
      </c>
      <c r="U58" s="3">
        <f>3432.8+(1783.8-352.5)+(-3.501456+(-1.819476--0.35955))+0-494.6--0.504492000000079</f>
        <v>4365.0431099999996</v>
      </c>
      <c r="V58" s="3">
        <f>3230.9+(1864.2-289.8)+(-4.943277+(-2.852226--0.443394))+0-579.5--0.886635000000033</f>
        <v>4219.3345259999996</v>
      </c>
      <c r="W58" s="3">
        <f>2699.9+(1978.7-326.2)+(-2.753898+(-2.018274--0.332724))+0-484.2--0.493884000000077</f>
        <v>3864.2544359999997</v>
      </c>
      <c r="X58" s="3">
        <f>2528.7+(1757.1-316.9)+(-5.158548+(-3.584484--0.646476))+0-563.2--1.14892799999998</f>
        <v>3398.7523719999995</v>
      </c>
      <c r="Y58" s="3">
        <f>2600.4+(1405.7-344.6)+(0+(0-0))+0-586-0</f>
        <v>3075.5</v>
      </c>
      <c r="Z58" s="3">
        <f>3268.4+(1252-527.1)+(-1.666884+(-0.63852--0.268821))+0-541.9--0.276368999999945</f>
        <v>3449.6397860000002</v>
      </c>
      <c r="AA58" s="3">
        <f>3894.6+(1235.6-610.5)+(-7.944984+(-2.520624--1.24542))+0-550.6--1.12322399999998</f>
        <v>3961.0030359999996</v>
      </c>
      <c r="AB58" s="3">
        <f>3671.4+(1448.2-406.9)+(-3.744828+(-1.477164--0.415038))+0-540.7--0.551514000000086</f>
        <v>4167.744560000001</v>
      </c>
      <c r="AC58" s="3">
        <f>3084.4+(2116-297.3)+(-1.573044+(-1.07916--0.151623))+0-535--0.272849999999946</f>
        <v>4365.8722690000004</v>
      </c>
      <c r="AD58">
        <f t="shared" si="0"/>
        <v>87990.085800999994</v>
      </c>
      <c r="AE58" s="3">
        <f>3980+(1219.8-603.6)+(0+(0-0))+0-558.5-0</f>
        <v>4037.7</v>
      </c>
    </row>
    <row r="59" spans="1:31" customFormat="1" x14ac:dyDescent="0.25">
      <c r="A59">
        <v>89</v>
      </c>
      <c r="B59">
        <v>2</v>
      </c>
      <c r="C59">
        <v>28</v>
      </c>
      <c r="D59">
        <v>4</v>
      </c>
      <c r="E59">
        <v>1</v>
      </c>
      <c r="F59" s="3">
        <f>2860.8+(2415.5-266.2)+(0+(0-0))+0-601.2-0</f>
        <v>4408.9000000000005</v>
      </c>
      <c r="G59" s="3">
        <f>2660.6+(2371.3-198.3)+(-4.070718+(-3.628089--0.303399))+0-587.8--0.899334000000034</f>
        <v>4239.3039259999996</v>
      </c>
      <c r="H59" s="3">
        <f>2557.8+(2377.2-213.4)+(1.304478+(1.212372-0.108834))+0-566.3-0.288812999999943</f>
        <v>4157.4192030000004</v>
      </c>
      <c r="I59" s="3">
        <f>2566.4+(2353.4-197.7)+(-2.617728+(-2.400468--0.201654))+0-667.3--0.680646000000106</f>
        <v>4050.6641040000009</v>
      </c>
      <c r="J59" s="3">
        <f>2627.6+(2052.4-208.7)+(1.340076+(1.046724-0.106437))+1.9-521.3-0.265862999999947</f>
        <v>3953.9144999999994</v>
      </c>
      <c r="K59" s="3">
        <f>2663.3+(1951.3-212.7)+(-5.433132+(-3.980652--0.433908))+29-621.8--1.26847199999997</f>
        <v>3801.3885959999989</v>
      </c>
      <c r="L59" s="3">
        <f>2345+(1684.7-210.8)+(-4.7838+(-3.436788--0.430032))+0-442.1--0.901883999999981</f>
        <v>3369.9113280000001</v>
      </c>
      <c r="M59" s="3">
        <f>2593.6+(1587.6-387.3)+(-2.645472+(-1.619352--0.395046))+0-658.8--0.671976000000105</f>
        <v>3131.9021979999993</v>
      </c>
      <c r="N59" s="3">
        <f>2549.7+(1652-694.2)+(-3.901041+(-2.52756--1.062126))+0-361.5--0.553095000000021</f>
        <v>3141.1866200000004</v>
      </c>
      <c r="O59" s="3">
        <f>2692.5+(1424.2-817.1)+(1.373175+(0.726342-0.416721))+0-221.1-0.112760999999978</f>
        <v>3080.0700350000002</v>
      </c>
      <c r="P59" s="3">
        <f>2853.6+(1333.6-629.6)+(-1.455336+(-0.680136--0.321096))+0-386.1--0.196910999999961</f>
        <v>3169.8825350000002</v>
      </c>
      <c r="Q59" s="3">
        <f>3437+(1186.2-716.1)+(0+(0-0))+0-444.2-0</f>
        <v>3462.9</v>
      </c>
      <c r="R59" s="3">
        <f>4221.4+(958.6-778.2)+(-6.458742+(-1.466658--1.190646))+0-447--0.683910000000026</f>
        <v>3948.7491559999994</v>
      </c>
      <c r="S59" s="3">
        <f>4097.1+(1283.9-505.3)+(-4.179042+(-1.309578--0.515406))+0-497.8--0.507756000000079</f>
        <v>4373.4345420000009</v>
      </c>
      <c r="T59" s="3">
        <f>4412.4+(1275.6-568.2)+(2.250324+(0.650556-0.289782))+0-550.5-0.280754999999944</f>
        <v>4571.6303429999998</v>
      </c>
      <c r="U59" s="3">
        <f>4247.9+(1293.6-534)+(-2.166429+(-0.659736--0.27234))+0-409.9--0.209048999999958</f>
        <v>4595.2552240000005</v>
      </c>
      <c r="V59" s="3">
        <f>4081.1+(1408.5-509.5)+(-6.244083+(-2.155005--0.779535))+0-503.4--0.770202000000029</f>
        <v>4469.850649</v>
      </c>
      <c r="W59" s="3">
        <f>3411.9+(1534.3-411.9)+(-10.440414+(-4.694958--1.260414))+0-460.7--1.40974200000005</f>
        <v>4061.1347839999999</v>
      </c>
      <c r="X59" s="3">
        <f>3117.7+(1398-518.5)+(-7.950135+(-3.5649--1.322175))+0-426.9--1.08859499999994</f>
        <v>3561.1957349999993</v>
      </c>
      <c r="Y59" s="3">
        <f>3177.8+(1097.4-547.7)+(-3.241356+(-1.119348--0.558654))+0-461.2--0.470424000000074</f>
        <v>3262.9683740000005</v>
      </c>
      <c r="Z59" s="3">
        <f>3834.5+(919-634.5)+(-3.91119+(-0.93738--0.64719))+0-429.1--0.437682000000068</f>
        <v>3686.1363019999999</v>
      </c>
      <c r="AA59" s="3">
        <f>4187.9+(1092.3-626.7)+(-10.679145+(-2.785365--1.598085))+0-473.4--1.20716999999993</f>
        <v>4169.4407449999999</v>
      </c>
      <c r="AB59" s="3">
        <f>3868.6+(1498.6-476.3)+(-5.918958+(-2.292858--0.728739))+0-524.8--0.80294400000003</f>
        <v>4359.4198669999996</v>
      </c>
      <c r="AC59" s="3">
        <f>3657.9+(1675.6-374.5)+(-3.731058+(-1.709112--0.38199))+0-445.5--0.454410000000071</f>
        <v>4508.8962300000003</v>
      </c>
      <c r="AD59">
        <f t="shared" si="0"/>
        <v>93535.554995999992</v>
      </c>
      <c r="AE59" s="3">
        <f>4223+(1043.7-678.2)+(0+(0-0))+0-531.9-0</f>
        <v>4056.6</v>
      </c>
    </row>
    <row r="60" spans="1:31" customFormat="1" x14ac:dyDescent="0.25">
      <c r="A60">
        <v>89</v>
      </c>
      <c r="B60">
        <v>2</v>
      </c>
      <c r="C60">
        <v>29</v>
      </c>
      <c r="D60">
        <v>5</v>
      </c>
      <c r="E60">
        <v>1</v>
      </c>
      <c r="F60" s="3">
        <f>3204.3+(1955.9-273.6)+(-4.902579+(-2.992527--0.418608))+0-391.2--0.598536000000023</f>
        <v>4488.522038000001</v>
      </c>
      <c r="G60" s="3">
        <f>2718.1+(2267.9-207.4)+(1.386231+(1.156629-0.105774))+0-397.1-0.20252099999996</f>
        <v>4383.7345649999997</v>
      </c>
      <c r="H60" s="3">
        <f>2657+(2348.7-209.3)+(-4.06521+(-3.593511--0.320229))+0-579.1--0.886023000000034</f>
        <v>4210.8475309999994</v>
      </c>
      <c r="I60" s="3">
        <f>2632.2+(2196.8-219)+(-4.027266+(-3.361104--0.33507))+0-521.8--0.79835400000003</f>
        <v>4081.9450540000003</v>
      </c>
      <c r="J60" s="3">
        <f>2825+(2012.7-287.4)+(1.44075+(1.026477-0.146574))+0-568.4-0.289883999999942</f>
        <v>3983.9307690000001</v>
      </c>
      <c r="K60" s="3">
        <f>2693+(1963.3-249.9)+(-6.86715+(-5.006415--0.637245))+0-548--1.39739999999992</f>
        <v>3848.5610799999995</v>
      </c>
      <c r="L60" s="3">
        <f>2725.8+(1434.2-285.1)+(0+(0-0))+0-418.4-0</f>
        <v>3456.5</v>
      </c>
      <c r="M60" s="3">
        <f>2870.9+(1399.8-468.1)+(-4.392477+(-2.141694--0.716193))+0-617.2--0.944316000000036</f>
        <v>3180.5263379999997</v>
      </c>
      <c r="N60" s="3">
        <f>2842.3+(1298.6-595.3)+(-2.899146+(-1.324572--0.607206))+0-432.2--0.440844000000069</f>
        <v>3110.2243320000007</v>
      </c>
      <c r="O60" s="3">
        <f>2848.4+(1452.7-529.9)+(-1.452684+(-0.740877--0.270249))+0-579--0.295289999999941</f>
        <v>3190.5719780000004</v>
      </c>
      <c r="P60" s="3">
        <f>2971.4+(1398-489.6)+(-3.030828+(-1.42596--0.499392))+0-560.6--0.571812000000089</f>
        <v>3315.8144160000006</v>
      </c>
      <c r="Q60" s="3">
        <f>3555.8+(1090.1-508.4)+(-3.626916+(-1.111902--0.518568))+0-401.9--0.409938000000064</f>
        <v>3731.7896879999998</v>
      </c>
      <c r="R60" s="3">
        <f>4582.1+(891.5-621.4)+(0+(0-0))+0-614.8-0</f>
        <v>4237.4000000000005</v>
      </c>
      <c r="S60" s="3">
        <f>5082.6+(843.1-675)+(-10.368504+(-1.719924--1.377))+0-556.2--1.13464799999998</f>
        <v>4684.9232200000015</v>
      </c>
      <c r="T60" s="3">
        <f>5385.2+(798.4-754)+(0+(0-0))+0-556.2-0</f>
        <v>4873.3999999999996</v>
      </c>
      <c r="U60" s="3">
        <f>5429.8+(774.5-854.9)+(-8.307594+(-1.184985--1.307997))+0-507.3--0.776169000000029</f>
        <v>4834.6915870000003</v>
      </c>
      <c r="V60" s="3">
        <f>4920.2+(1015.7-615.1)+(-10.037208+(-2.072028--1.254804))+0-605.7--1.23562799999997</f>
        <v>4705.4811960000006</v>
      </c>
      <c r="W60" s="3">
        <f>3746.6+(1561.8-445.7)+(-7.643064+(-3.186072--0.909228))+0-551.4--1.12485599999998</f>
        <v>4302.5049480000007</v>
      </c>
      <c r="X60" s="3">
        <f>2724.4+(1944.4-362.3)+(-6.94722+(-4.95822--0.923865))+0-496.6--1.26632999999993</f>
        <v>3800.1847550000002</v>
      </c>
      <c r="Y60" s="3">
        <f>2818.5+(1604-434.9)+(-2.87487+(-1.63608--0.443598))+0-503--0.51306000000008</f>
        <v>3481.0457080000001</v>
      </c>
      <c r="Z60" s="3">
        <f>3510.4+(1357.7-476.5)+(-1.790304+(-0.692427--0.243015))+0-466.3--0.237812999999953</f>
        <v>3923.2980969999999</v>
      </c>
      <c r="AA60" s="3">
        <f>3983.9+(1441.7-476.5)+(-6.095367+(-2.205801--0.729045))+0-525.8--0.80447400000003</f>
        <v>4416.5323510000007</v>
      </c>
      <c r="AB60" s="3">
        <f>3644.7+(1801.8-352.2)+(-9.293985+(-4.59459--0.89811))+0-504.1--1.28545499999993</f>
        <v>4578.4949899999992</v>
      </c>
      <c r="AC60" s="3">
        <f>3231.4+(2111.4-235.4)+(-6.592056+(-4.307256--0.480216))+0-464.2--0.94696799999998</f>
        <v>4633.7278720000004</v>
      </c>
      <c r="AD60">
        <f t="shared" si="0"/>
        <v>97454.652513000023</v>
      </c>
      <c r="AE60" s="3">
        <f>4271+(1389.6-570.9)+(0+(0-0))+0-554.8-0</f>
        <v>4534.8999999999996</v>
      </c>
    </row>
    <row r="61" spans="1:31" customFormat="1" x14ac:dyDescent="0.25">
      <c r="A61">
        <v>89</v>
      </c>
      <c r="B61">
        <v>2</v>
      </c>
      <c r="C61">
        <v>30</v>
      </c>
      <c r="D61">
        <v>6</v>
      </c>
      <c r="E61">
        <v>1</v>
      </c>
      <c r="F61" s="3">
        <f>2988.1+(2384.5-225.6)+(-12.191448+(-9.72876--0.920448))+0-598.4--2.44147199999995</f>
        <v>4530.0417120000002</v>
      </c>
      <c r="G61" s="3">
        <f>2754.9+(2437.8-215.4)+(-4.214997+(-3.729834--0.329562))+0-482.5--0.738225000000028</f>
        <v>4487.9229560000003</v>
      </c>
      <c r="H61" s="3">
        <f>2654+(2595.7-220.7)+(-2.70708+(-2.647614--0.225114))+0-619.3--0.631686000000099</f>
        <v>4405.2021059999997</v>
      </c>
      <c r="I61" s="3">
        <f>2581.3+(2515-217.6)+(-5.265852+(-5.1306--0.443904))+0-508.8--1.03795199999998</f>
        <v>4360.985404</v>
      </c>
      <c r="J61" s="3">
        <f>2704.1+(2451.8-229)+(2.758182+(2.500836-0.23358))+0-629.3-0.6418860000001</f>
        <v>4301.9835519999988</v>
      </c>
      <c r="K61" s="3">
        <f>2496.6+(2481.6-174.8)+(-6.36633+(-6.32808--0.44574))+0-540--1.37699999999992</f>
        <v>4252.5283299999992</v>
      </c>
      <c r="L61" s="3">
        <f>2396.7+(2206.5-220.3)+(-4.889268+(-4.50126--0.449412))+0-518.3--1.05733199999998</f>
        <v>3856.7162159999993</v>
      </c>
      <c r="M61" s="3">
        <f>2585+(1865.8-217.5)+(2.6367+(1.903116-0.22185))+0-632.8-0.645456000000101</f>
        <v>3604.1725099999994</v>
      </c>
      <c r="N61" s="3">
        <f>2722.5+(1628.3-315.1)+(-2.77695+(-1.660866--0.321402))+0-507.2--0.517344000000081</f>
        <v>3524.9009299999998</v>
      </c>
      <c r="O61" s="3">
        <f>3276.4+(1318-458.5)+(-1.670964+(-0.67218--0.233835))+0-543.9--0.277388999999945</f>
        <v>3590.168079999999</v>
      </c>
      <c r="P61" s="3">
        <f>3692.7+(1127.7-560.2)+(0+(0-0))+0-472.9-0</f>
        <v>3787.2999999999997</v>
      </c>
      <c r="Q61" s="3">
        <f>4775.8+(574.9-824)+(4.871316+(0.586398-0.84048))+0-616.7-0.629034000000098</f>
        <v>3913.9882000000002</v>
      </c>
      <c r="R61" s="3">
        <f>5640.2+(450.6-1083.8)+(-11.506008+(-0.919224--2.210952))+0-561.6--1.14566399999998</f>
        <v>4436.3313839999992</v>
      </c>
      <c r="S61" s="3">
        <f>5390.7+(823.6-859.3)+(-8.247771+(-1.260108--1.314729))+0-649.9--0.994347000000038</f>
        <v>4697.9011970000001</v>
      </c>
      <c r="T61" s="3">
        <f>5166.2+(1119.7-856.7)+(-5.269524+(-1.142094--0.873834))+0-551.1--0.562122000000088</f>
        <v>4873.1243379999996</v>
      </c>
      <c r="U61" s="3">
        <f>4507.4+(1522.8-664.7)+(-2.298774+(-0.776628--0.338997))+0-575.4--0.293453999999942</f>
        <v>4787.6570490000004</v>
      </c>
      <c r="V61" s="3">
        <f>4206.5+(1640.9-564.2)+(-6.435945+(-2.510577--0.863226))+0-569.7--0.871641000000033</f>
        <v>4706.2883449999999</v>
      </c>
      <c r="W61" s="3">
        <f>2982.3+(2108.9-248.6)+(-6.083892+(-4.302156--0.507144))+0-483.6--0.986543999999979</f>
        <v>4350.1076400000002</v>
      </c>
      <c r="X61" s="3">
        <f>2774.3+(1890.1-277.6)+(-8.489358+(-5.783706--0.849456))+0-565.8--1.73134800000007</f>
        <v>3809.3077400000002</v>
      </c>
      <c r="Y61" s="3">
        <f>3135.6+(1151.4-390.3)+(-4.797468+(-1.761642--0.597159))+0-384--0.587520000000022</f>
        <v>3507.3255689999996</v>
      </c>
      <c r="Z61" s="3">
        <f>3850.3+(1007.4-525.6)+(-1.963653+(-0.513774--0.268056))+0-377.7--0.192626999999962</f>
        <v>3952.3832560000005</v>
      </c>
      <c r="AA61" s="3">
        <f>4177.4+(1110.4-441.5)+(-4.260948+(-1.132608--0.45033))+0-480.3--0.489906000000077</f>
        <v>4361.5466799999986</v>
      </c>
      <c r="AB61" s="3">
        <f>4044.6+(1228.6-425.1)+(-6.188238+(-1.879758--0.650403))+0-438.1--0.670293000000025</f>
        <v>4403.2526999999991</v>
      </c>
      <c r="AC61" s="3">
        <f>3676.8+(1650.1-322)+(-1.875168+(-0.841551--0.16422))+0-494.3--0.25209299999995</f>
        <v>4508.2995939999992</v>
      </c>
      <c r="AD61">
        <f t="shared" si="0"/>
        <v>101009.43548799997</v>
      </c>
      <c r="AE61" s="3">
        <f>4257+(1076-492.1)+(0+(0-0))+0-563.5-0</f>
        <v>4277.3999999999996</v>
      </c>
    </row>
    <row r="62" spans="1:31" customFormat="1" x14ac:dyDescent="0.25">
      <c r="A62">
        <v>89</v>
      </c>
      <c r="B62">
        <v>2</v>
      </c>
      <c r="C62">
        <v>31</v>
      </c>
      <c r="D62">
        <v>7</v>
      </c>
      <c r="E62">
        <v>1</v>
      </c>
      <c r="F62" s="3">
        <f>3557.5+(1773.3-252.8)+(-1.814325+(-0.904383--0.128928))+0-577.3--0.294422999999941</f>
        <v>4498.4046429999999</v>
      </c>
      <c r="G62" s="3">
        <f>3114.3+(2116.5-275.7)+(1.588293+(1.079415-0.140607))+0-608.2-0.310181999999938</f>
        <v>4349.1169190000001</v>
      </c>
      <c r="H62" s="3">
        <f>3052.9+(2019.8-221.2)+(-6.227916+(-4.120392--0.451248))+0-621.7--1.26826799999997</f>
        <v>4221.1712079999998</v>
      </c>
      <c r="I62" s="3">
        <f>3031.9+(1797.6-214)+(3.092538+(1.833552-0.21828))+0-518-0.528360000000083</f>
        <v>4101.6794499999996</v>
      </c>
      <c r="J62" s="3">
        <f>3083.1+(1788.7-219.9)+(-1.572381+(-0.912237--0.112149))+0-655.3--0.334202999999934</f>
        <v>3994.5617339999994</v>
      </c>
      <c r="K62" s="3">
        <f>2907.8+(1681.8-208)+(-5.931912+(-3.430872--0.42432))+0-514.9--1.05039599999998</f>
        <v>3858.8119320000005</v>
      </c>
      <c r="L62" s="3">
        <f>2621.9+(1727.2-206.4)+(-5.348676+(-3.523488--0.421056))+0-630.1--1.28540399999997</f>
        <v>3505.4342959999994</v>
      </c>
      <c r="M62" s="3">
        <f>2755.5+(1256.1-201.3)+(-2.81061+(-1.281222--0.205326))+0-559.8--0.570996000000089</f>
        <v>3247.1844900000001</v>
      </c>
      <c r="N62" s="3">
        <f>2689.7+(1278.3-215.6)+(-2.743494+(-1.303866--0.219912))+0-678.6--0.692172000000108</f>
        <v>3070.6647239999998</v>
      </c>
      <c r="O62" s="3">
        <f>2605.6+(1143.9-261.4)+(-5.315424+(-2.333556--0.533256))+0-532--1.08527999999998</f>
        <v>2950.0695559999999</v>
      </c>
      <c r="P62" s="3">
        <f>2870.7+(1048.6-342.9)+(-2.928114+(-1.069572--0.349758))+0-630.3--0.6429060000001</f>
        <v>2943.0949780000001</v>
      </c>
      <c r="Q62" s="3">
        <f>2892.7+(1091.5-360.2)+(-2.950554+(-1.11333--0.367404))+0-541.9--0.552738000000086</f>
        <v>3078.9562579999997</v>
      </c>
      <c r="R62" s="3">
        <f>3365.2+(1165.4-433)+(-6.865008+(-2.377416--0.88332))+0-625.7--1.27642799999997</f>
        <v>3464.8173240000006</v>
      </c>
      <c r="S62" s="3">
        <f>3614.5+(1354.7-425)+(-1.843395+(-0.690897--0.21675))+0-613--0.312629999999938</f>
        <v>3929.1950879999999</v>
      </c>
      <c r="T62" s="3">
        <f>3858.7+(1548.8-449.8)+(-3.935874+(-1.579776--0.458796))+0-670.8--0.684216000000107</f>
        <v>4282.5273619999998</v>
      </c>
      <c r="U62" s="3">
        <f>3440.6+(1697.6-332.2)+(-10.528236+(-5.194656--1.016532))+0-562.9--1.72247400000006</f>
        <v>4230.1161140000004</v>
      </c>
      <c r="V62" s="3">
        <f>3193.5+(1742.3-299.7)+(-6.51474+(-3.554292--0.611388))+0-499.5--1.01897999999998</f>
        <v>4128.1613360000001</v>
      </c>
      <c r="W62" s="3">
        <f>3027.9+(1600.4-245.8)+(-4.632687+(-2.448612--0.376074))+0-642.9--0.983637000000037</f>
        <v>3733.878412</v>
      </c>
      <c r="X62" s="3">
        <f>2959+(1245.8-252.8)+(-10.56363+(-4.447506--0.902496))+0-633.6--2.26195200000001</f>
        <v>3306.553312</v>
      </c>
      <c r="Y62" s="3">
        <f>3101.4+(909-324.9)+(-3.163428+(-0.92718--0.331398))+0-672.6--0.686052000000107</f>
        <v>3009.8268419999999</v>
      </c>
      <c r="Z62" s="3">
        <f>3593.3+(805.5-515.3)+(-5.497749+(-1.232415--0.788409))+0-571.3--0.874089000000033</f>
        <v>3307.1323339999999</v>
      </c>
      <c r="AA62" s="3">
        <f>3788.4+(1075-469.6)+(-5.796252+(-1.64475--0.718488))+0-665.4--1.01806200000004</f>
        <v>3722.6955480000001</v>
      </c>
      <c r="AB62" s="3">
        <f>3592.8+(1329.6-388.1)+(-7.329312+(-2.712384--0.791724))+0-562.6--1.14770399999998</f>
        <v>3963.5977320000006</v>
      </c>
      <c r="AC62" s="3">
        <f>3516.1+(1588-304.8)+(-5.379633+(-2.42964--0.466344))+0-683--1.04499000000004</f>
        <v>4110.0020610000001</v>
      </c>
      <c r="AD62">
        <f t="shared" si="0"/>
        <v>89007.653653000001</v>
      </c>
      <c r="AE62" s="3">
        <f>4165+(931.1-541.6)+(0+(0-0))+0-713.3-0</f>
        <v>3841.2</v>
      </c>
    </row>
    <row r="63" spans="1:31" customFormat="1" x14ac:dyDescent="0.25">
      <c r="A63">
        <v>89</v>
      </c>
      <c r="B63">
        <v>3</v>
      </c>
      <c r="C63">
        <v>1</v>
      </c>
      <c r="D63">
        <v>1</v>
      </c>
      <c r="E63">
        <v>1</v>
      </c>
      <c r="F63" s="3">
        <f>3116.4+(1885.4-218.5)+(-3.178728+(-1.923108--0.22287))+0-639.5--0.652290000000102</f>
        <v>4139.573324</v>
      </c>
      <c r="G63" s="3">
        <f>3098.1+(1841.2-272.8)+(4.740093+(2.817036-0.417384))+0-615.3-0.941409000000035</f>
        <v>4057.3983360000002</v>
      </c>
      <c r="H63" s="3">
        <f>2930.4+(1837.2-215.5)+(-7.47252+(-4.68486--0.549525))+0-652--1.66259999999991</f>
        <v>3890.1547450000003</v>
      </c>
      <c r="I63" s="3">
        <f>2713.3+(1932.6-208.2)+(-1.383783+(-0.985626--0.106182))+0-617.9--0.315128999999937</f>
        <v>3817.8519019999994</v>
      </c>
      <c r="J63" s="3">
        <f>2844.2+(1721.4-225.9)+(1.450542+(0.877914-0.115209))+0-652.9-0.332978999999934</f>
        <v>3688.6802679999996</v>
      </c>
      <c r="K63" s="3">
        <f>2788.3+(1549.5-222.8)+(-7.110165+(-3.951225--0.56814))+0-593.1--1.51240499999991</f>
        <v>3512.9191549999996</v>
      </c>
      <c r="L63" s="3">
        <f>2703.5+(1117.5-447.6)+(0+(0-0))+0-512.5-0</f>
        <v>2860.9</v>
      </c>
      <c r="M63" s="3">
        <f>2776+(1228.8-559.2)+(1.41576+(0.626688-0.285192))+0-609.7-0.310946999999938</f>
        <v>2837.3463089999996</v>
      </c>
      <c r="N63" s="3">
        <f>2738.1+(1232.8-581.2)+(0+(0-0))+0-623.8-0</f>
        <v>2765.8999999999996</v>
      </c>
      <c r="O63" s="3">
        <f>2662.5+(1277.9-554.1)+(-2.71575+(-1.303458--0.565182))+0-523.2--0.533664000000084</f>
        <v>2860.1796380000001</v>
      </c>
      <c r="P63" s="3">
        <f>2722+(1235.7-549.5)+(-6.9411+(-3.151035--1.401225))+0-523.2--1.33415999999992</f>
        <v>2877.6432499999996</v>
      </c>
      <c r="Q63" s="3">
        <f>2746+(1231.6-546.1)+(-1.40046+(-0.628116--0.278511))+0-523.2--0.266831999999947</f>
        <v>2906.8167669999998</v>
      </c>
      <c r="R63" s="3">
        <f>3086.9+(1374.6-623.8)+(-3.148638+(-1.402092--0.636276))+0-456.8--0.465936000000073</f>
        <v>3377.4514819999995</v>
      </c>
      <c r="S63" s="3">
        <f>3188.6+(1626.2-432.2)+(-4.878558+(-2.488086--0.661266))+0-367.3--0.561969000000021</f>
        <v>4009.1565910000004</v>
      </c>
      <c r="T63" s="3">
        <f>3530.4+(1745.6-478.7)+(1.800504+(0.890256-0.244137))+0-418.2-0.213281999999958</f>
        <v>4381.3333410000005</v>
      </c>
      <c r="U63" s="3">
        <f>3639.6+(1687.1-473)+(-9.28098+(-4.302105--1.20615))+0-395.8--1.00928999999994</f>
        <v>4446.5323549999994</v>
      </c>
      <c r="V63" s="3">
        <f>3749.8+(1598.7-487.9)+(-3.824796+(-1.630674--0.497658))+0-517.7--0.528054000000083</f>
        <v>4338.4702420000012</v>
      </c>
      <c r="W63" s="3">
        <f>3069.7+(1835.1-408.4)+(-7.827735+(-4.679505--1.04142))+0-575--1.46624999999992</f>
        <v>3911.4004299999992</v>
      </c>
      <c r="X63" s="3">
        <f>2794.1+(1651.8-407.3)+(-5.699964+(-3.369672--0.830892))+0-644.3--1.31437199999997</f>
        <v>3387.3756279999998</v>
      </c>
      <c r="Y63" s="3">
        <f>2798.4+(1180.8-401.5)+(-5.708736+(-2.408832--0.81906))+0-530.2--1.08160799999998</f>
        <v>3041.2831000000001</v>
      </c>
      <c r="Z63" s="3">
        <f>3328.7+(1089.7-546.2)+(-8.488185+(-2.778735--1.39281))+0-598.3--1.52566499999991</f>
        <v>3265.551555</v>
      </c>
      <c r="AA63" s="3">
        <f>3451.8+(1199.8-522.2)+(-12.322926+(-4.283286--1.864254))+0-418.6--1.49440200000001</f>
        <v>3697.5524439999999</v>
      </c>
      <c r="AB63" s="3">
        <f>3561.3+(1200.3-451.6)+(-7.265052+(-2.448612--0.921264))+0-454.5--0.92717999999998</f>
        <v>3847.6347799999999</v>
      </c>
      <c r="AC63" s="3">
        <f>3564.5+(1389.1-374)+(-3.63579+(-1.416882--0.38148))+0-375.8--0.38331600000006</f>
        <v>4199.5121240000008</v>
      </c>
      <c r="AD63">
        <f t="shared" si="0"/>
        <v>86118.617765999981</v>
      </c>
      <c r="AE63" s="3">
        <f>3545.4+(1127-566.1)+(0+(0-0))+0-437.2-0</f>
        <v>3669.1000000000004</v>
      </c>
    </row>
    <row r="64" spans="1:31" customFormat="1" x14ac:dyDescent="0.25">
      <c r="A64">
        <v>89</v>
      </c>
      <c r="B64">
        <v>3</v>
      </c>
      <c r="C64">
        <v>2</v>
      </c>
      <c r="D64">
        <v>2</v>
      </c>
      <c r="E64">
        <v>1</v>
      </c>
      <c r="F64" s="3">
        <f>2893+(2012.9-226.4)+(-2.95086+(-2.053158--0.230928))+0-424.7--0.433194000000068</f>
        <v>4250.4601040000007</v>
      </c>
      <c r="G64" s="3">
        <f>2586+(2291.2-208.5)+(-6.5943+(-5.84256--0.531675))+0-545.3--1.39051499999992</f>
        <v>4112.8853300000001</v>
      </c>
      <c r="H64" s="3">
        <f>2682.9+(2077.7-227.1)+(-4.104837+(-3.178881--0.347463))+0-672.6--1.02907800000004</f>
        <v>3854.9928230000005</v>
      </c>
      <c r="I64" s="3">
        <f>2739.7+(1740.6-231.8)+(-4.191741+(-2.663118--0.354654))+0-574.8--0.879444000000033</f>
        <v>3668.0792389999997</v>
      </c>
      <c r="J64" s="3">
        <f>2949.1+(1556.9-260.8)+(-3.008082+(-1.588038--0.266016))+0-663.4--0.676668000000106</f>
        <v>3578.1465640000001</v>
      </c>
      <c r="K64" s="3">
        <f>2678.5+(1598.3-245)+(-4.098105+(-2.445399--0.37485))+0-629.8--0.963594000000036</f>
        <v>3396.7949399999998</v>
      </c>
      <c r="L64" s="3">
        <f>2632.4+(1275.6-271.6)+(-1.342524+(-0.650556--0.138516))+0-632.7--0.322676999999936</f>
        <v>3002.1681129999997</v>
      </c>
      <c r="M64" s="3">
        <f>2682.2+(1133.6-434.8)+(-1.367922+(-0.578136--0.221748))+0-572.4--0.291923999999942</f>
        <v>2807.167614</v>
      </c>
      <c r="N64" s="3">
        <f>2687.4+(1152-508.3)+(-1.370574+(-0.58752--0.259233))+0-525.8--0.268157999999947</f>
        <v>2803.8692970000002</v>
      </c>
      <c r="O64" s="3">
        <f>2796.1+(1103.4-570.9)+(-2.852022+(-1.125468--0.582318))+0-470.3--0.479706000000075</f>
        <v>2855.3845339999998</v>
      </c>
      <c r="P64" s="3">
        <f>2856+(1228.8-532.5)+(-8.73936+(-3.760128--1.62945))+0-570--1.74420000000007</f>
        <v>2973.1741620000003</v>
      </c>
      <c r="Q64" s="3">
        <f>3050.3+(1258.8-492.4)+(-1.555653+(-0.641988--0.251124))+0-531.4--0.271013999999946</f>
        <v>3283.6244970000002</v>
      </c>
      <c r="R64" s="3">
        <f>3539.2+(1154.3-464.8)+(-3.609984+(-1.177386--0.474096))+0-536.2--0.546924000000086</f>
        <v>3688.7336500000001</v>
      </c>
      <c r="S64" s="3">
        <f>3534.4+(1572-397.2)+(-9.01272+(-4.0086--1.01286))+0-527.6--1.34537999999992</f>
        <v>4170.9369199999992</v>
      </c>
      <c r="T64" s="3">
        <f>3924.8+(1581.4-397.6)+(0+(0-0))+0-619.4-0</f>
        <v>4489.2000000000007</v>
      </c>
      <c r="U64" s="3">
        <f>3925.6+(1513.9-411)+(-6.006168+(-2.316267--0.62883))+0-483.1--0.739143000000028</f>
        <v>4538.445537999999</v>
      </c>
      <c r="V64" s="3">
        <f>3936.9+(1524.6-379)+(-8.031276+(-3.110184--0.77316))+0-638.7--1.30294799999997</f>
        <v>4434.7346479999997</v>
      </c>
      <c r="W64" s="3">
        <f>3245.7+(1779.7-319.7)+(-9.931842+(-5.445882--0.978282))+0-604.7--1.85038200000007</f>
        <v>4088.4509400000002</v>
      </c>
      <c r="X64" s="3">
        <f>2935.7+(1498.7-411.1)+(-7.486035+(-3.821685--1.048305))+0-420.3--1.07176499999994</f>
        <v>3593.8123499999997</v>
      </c>
      <c r="Y64" s="3">
        <f>2911+(1222.4-410)+(-1.48461+(-0.623424--0.2091))+0-493.9--0.25188899999995</f>
        <v>3227.8529550000003</v>
      </c>
      <c r="Z64" s="3">
        <f>3894.4+(849.5-599.8)+(-1.986144+(-0.433245--0.305898))+0-585.1--0.298400999999941</f>
        <v>3557.1849100000004</v>
      </c>
      <c r="AA64" s="3">
        <f>4109.8+(1117-526.5)+(-6.287994+(-1.70901--0.805545))+0-657.3--1.00566900000004</f>
        <v>4036.8142100000005</v>
      </c>
      <c r="AB64" s="3">
        <f>3465.5+(1589.5-348)+(-8.837025+(-4.053225--0.8874))+0-463.8--1.18268999999993</f>
        <v>4232.3798399999996</v>
      </c>
      <c r="AC64" s="3">
        <f>3274.2+(1956.5-252.6)+(-3.339684+(-1.99563--0.257652))+0-571.2--0.582624000000091</f>
        <v>4402.4049620000005</v>
      </c>
      <c r="AD64">
        <f t="shared" si="0"/>
        <v>89047.698139999979</v>
      </c>
      <c r="AE64" s="3">
        <f>4272+(1100.6-582.8)+(0+(0-0))+0-748-0</f>
        <v>4041.8</v>
      </c>
    </row>
    <row r="65" spans="1:31" customFormat="1" x14ac:dyDescent="0.25">
      <c r="A65">
        <v>89</v>
      </c>
      <c r="B65">
        <v>3</v>
      </c>
      <c r="C65">
        <v>3</v>
      </c>
      <c r="D65">
        <v>3</v>
      </c>
      <c r="E65">
        <v>1</v>
      </c>
      <c r="F65" s="3">
        <f>2996.4+(2086.8-232.5)+(-4.584492+(-3.192804--0.355725))+0-463--0.708390000000027</f>
        <v>4380.9868190000007</v>
      </c>
      <c r="G65" s="3">
        <f>2866.7+(2304.5-171)+(-1.462017+(-1.175295--0.08721))+0-659.7--0.336446999999933</f>
        <v>4338.2863449999995</v>
      </c>
      <c r="H65" s="3">
        <f>2827.7+(2169.3-230.4)+(-1.442127+(-1.106343--0.117504))+0-544.4--0.277643999999945</f>
        <v>4220.0466780000006</v>
      </c>
      <c r="I65" s="3">
        <f>2743.6+(2220.8-212.1)+(-2.798472+(-2.265216--0.216342))+0-635--0.647700000000101</f>
        <v>4113.1003540000011</v>
      </c>
      <c r="J65" s="3">
        <f>2717+(2099.6-219.3)+(-6.92835+(-5.35398--0.559215))+0-554--1.41269999999992</f>
        <v>4032.9895850000003</v>
      </c>
      <c r="K65" s="3">
        <f>2645.9+(2110-212.1)+(-4.048227+(-3.2283--0.324513))+0-613.1--0.938043000000035</f>
        <v>3924.686029</v>
      </c>
      <c r="L65" s="3">
        <f>2428.7+(1927.1-235)+(-1.238637+(-0.982821--0.11985))+0-611.4--0.311813999999938</f>
        <v>3507.6102059999994</v>
      </c>
      <c r="M65" s="3">
        <f>2806.9+(1384.2-362.9)+(0+(0-0))+0-577.4-0</f>
        <v>3250.8</v>
      </c>
      <c r="N65" s="3">
        <f>2853.3+(1304.6-366.6)+(-1.455183+(-0.665346--0.186966))+0-582.6--0.297125999999941</f>
        <v>3207.0635630000002</v>
      </c>
      <c r="O65" s="3">
        <f>2774.6+(1308.4-412.8)+(-1.415046+(-0.667284--0.210528))+0-467.1--0.238220999999953</f>
        <v>3201.4664189999999</v>
      </c>
      <c r="P65" s="3">
        <f>3091.6+(1204.5-504.3)+(-1.576716+(-0.614295--0.257193))+0-613.2--0.312731999999938</f>
        <v>3176.9789139999998</v>
      </c>
      <c r="Q65" s="3">
        <f>3308+(1155.5-468.4)+(-3.37416+(-1.17861--0.477768))+0-501.8--0.51183600000008</f>
        <v>3489.7368339999998</v>
      </c>
      <c r="R65" s="3">
        <f>3881.6+(1100.1-484.4)+(-3.959232+(-1.122102--0.494088))+0-510.1--0.520302000000081</f>
        <v>3983.1330560000001</v>
      </c>
      <c r="S65" s="3">
        <f>4244.7+(1246.9-458)+(-4.329594+(-1.271838--0.46716))+19.3-539.1--0.549882000000086</f>
        <v>4509.2156100000002</v>
      </c>
      <c r="T65" s="3">
        <f>4980.5+(1004.4-640.3)+(0+(0-0))+0.6-565.4-0</f>
        <v>4779.8000000000011</v>
      </c>
      <c r="U65" s="3">
        <f>4841.8+(946-632.4)+(-4.938636+(-0.96492--0.645048))+0-396.9--0.404838000000063</f>
        <v>4753.6463300000014</v>
      </c>
      <c r="V65" s="3">
        <f>4666.5+(947.3-622.5)+(-14.27949+(-2.898738--1.90485))+0-414.1--1.26714600000005</f>
        <v>4563.1937680000001</v>
      </c>
      <c r="W65" s="3">
        <f>3626.9+(1536.7-395.5)+(-7.398876+(-3.134868--0.80682))+0-614.8--1.25419199999997</f>
        <v>4144.8272680000009</v>
      </c>
      <c r="X65" s="3">
        <f>2884.3+(1647.1-416.6)+(-8.825958+(-5.040126--1.274796))+0-529.2--1.61935200000006</f>
        <v>3574.6280640000009</v>
      </c>
      <c r="Y65" s="3">
        <f>2730.7+(1412.6-418.9)+(-6.963285+(-3.60213--1.068195))+0-532.7--1.35838499999992</f>
        <v>3183.5611649999996</v>
      </c>
      <c r="Z65" s="3">
        <f>3415.9+(1017-524.4)+(-5.226327+(-1.55601--0.802332))+0-514.1--0.78657300000003</f>
        <v>3389.2065680000001</v>
      </c>
      <c r="AA65" s="3">
        <f>3999.2+(995.2-553.5)+(-14.277144+(-3.552864--1.975995))+0-591.8--2.11272600000001</f>
        <v>3835.3587129999992</v>
      </c>
      <c r="AB65" s="3">
        <f>3417.5+(1582.7-349.6)+(-6.9717+(-3.228708--0.713184))+0-620.1--1.26500399999997</f>
        <v>4022.2777799999999</v>
      </c>
      <c r="AC65" s="3">
        <f>3374.8+(1563.1-288.1)+(-8.60574+(-3.985905--0.734655))+0-477.6--1.21787999999993</f>
        <v>4161.5608899999997</v>
      </c>
      <c r="AD65">
        <f t="shared" ref="AD65:AD128" si="1">SUM(F65:AC65)</f>
        <v>93744.160957999993</v>
      </c>
      <c r="AE65" s="3">
        <f>4220+(864.6-673.4)+(0+(0-0))+0-594.1-0</f>
        <v>3817.1</v>
      </c>
    </row>
    <row r="66" spans="1:31" customFormat="1" x14ac:dyDescent="0.25">
      <c r="A66">
        <v>89</v>
      </c>
      <c r="B66">
        <v>3</v>
      </c>
      <c r="C66">
        <v>4</v>
      </c>
      <c r="D66">
        <v>4</v>
      </c>
      <c r="E66">
        <v>1</v>
      </c>
      <c r="F66" s="3">
        <f>3255.7+(1715.1-209.9)+(-4.981221+(-2.624103--0.321147))+0-532.5--0.814725000000031</f>
        <v>4221.9305480000003</v>
      </c>
      <c r="G66" s="3">
        <f>3334.6+(1482.7-279.1)+(-5.101938+(-2.268531--0.427023))+0-459.3--0.702729000000027</f>
        <v>4072.6592829999995</v>
      </c>
      <c r="H66" s="3">
        <f>3156.9+(1619.3-314.4)+(-3.220038+(-1.651686--0.320688))+0-580.6--0.592212000000093</f>
        <v>3877.2411760000005</v>
      </c>
      <c r="I66" s="3">
        <f>2913.5+(1675.7-277.3)+(-8.91531+(-5.127642--0.848538))+0-622--1.90332000000007</f>
        <v>3678.6089059999999</v>
      </c>
      <c r="J66" s="3">
        <f>2932.4+(1467.6-300.6)+(-2.991048+(-1.496952--0.306612))+0-541.7--0.552534000000086</f>
        <v>3554.0711459999998</v>
      </c>
      <c r="K66" s="3">
        <f>2843.4+(1500.8-328.5)+(-7.25067+(-3.82704--0.837675))+0-650.2--1.65800999999991</f>
        <v>3356.9179750000003</v>
      </c>
      <c r="L66" s="3">
        <f>2488.4+(1276.1-339.3)+(-6.34542+(-3.254055--0.865215))+0-491.2--1.25255999999993</f>
        <v>2926.5182999999997</v>
      </c>
      <c r="M66" s="3">
        <f>2656.4+(1059.8-380.6)+(-5.419056+(-2.161992--0.776424))+0-622.4--1.26969599999997</f>
        <v>2707.6650719999998</v>
      </c>
      <c r="N66" s="3">
        <f>2797.5+(882.4-526.6)+(-2.85345+(-0.900048--0.537132))+0-481.3--0.490926000000077</f>
        <v>2669.2745599999998</v>
      </c>
      <c r="O66" s="3">
        <f>2856.8+(986.7-627.7)+(-4.370904+(-1.509651--0.960381))+0-566.3--0.866439000000033</f>
        <v>2645.446265</v>
      </c>
      <c r="P66" s="3">
        <f>2798.9+(998.6-647.9)+(-1.427439+(-0.509286--0.330429))+0-425.9--0.217208999999957</f>
        <v>2722.3109130000003</v>
      </c>
      <c r="Q66" s="3">
        <f>2949.7+(1016.2-615.4)+(-1.504347+(-0.518262--0.313854))+0-430.9--0.219758999999956</f>
        <v>2918.1110039999999</v>
      </c>
      <c r="R66" s="3">
        <f>3286.1+(1137.4-552.7)+(-3.351822+(-1.160148--0.563754))+0-432.5--0.441150000000069</f>
        <v>3434.7929340000005</v>
      </c>
      <c r="S66" s="3">
        <f>3333+(1464.5-380.7)+(-3.39966+(-1.49379--0.388314))+0-448.7--0.457674000000072</f>
        <v>3964.0525380000008</v>
      </c>
      <c r="T66" s="3">
        <f>3899+(1418.6-520.5)+(-5.96547+(-2.170458--0.796365))+0-483.8--0.740214000000028</f>
        <v>4306.7006510000001</v>
      </c>
      <c r="U66" s="3">
        <f>3573.7+(1642.3-382)+(1.822587+(0.837573-0.19482))+0-443-0.225929999999955</f>
        <v>4393.2394100000001</v>
      </c>
      <c r="V66" s="3">
        <f>3458.1+(1698.5-357.3)+(1.763631+(0.866235-0.182223))+0-528.3-0.269432999999946</f>
        <v>4273.17821</v>
      </c>
      <c r="W66" s="3">
        <f>3128.8+(1655.6-479.7)+(-6.382752+(-3.377424--0.978588))+0-408.3--0.832931999999982</f>
        <v>3888.4513439999996</v>
      </c>
      <c r="X66" s="3">
        <f>2844+(1580.4-541.2)+(-8.70264+(-4.836024--1.656072))+0-487.3--1.49113800000006</f>
        <v>3385.5085459999996</v>
      </c>
      <c r="Y66" s="3">
        <f>2738.7+(1193.1-514.7)+(-6.983685+(-3.042405--1.312485))+0-420--1.07099999999994</f>
        <v>2989.4573949999995</v>
      </c>
      <c r="Z66" s="3">
        <f>3312.3+(1010.7-653.8)+(-10.135638+(-3.092742--2.000628))+0-447.2--1.36843200000005</f>
        <v>3212.1406800000009</v>
      </c>
      <c r="AA66" s="3">
        <f>3458.3+(1411.2-546.7)+(-14.109864+(-5.757696--2.230536))+0-641.7--2.61813599999994</f>
        <v>3666.0811120000008</v>
      </c>
      <c r="AB66" s="3">
        <f>3237.7+(1635.5-454)+(-1.651227+(-0.834105--0.23154))+0-542.6--0.276725999999945</f>
        <v>3874.6229339999995</v>
      </c>
      <c r="AC66" s="3">
        <f>3146.3+(1942.5-357)+(-8.023065+(-4.953375--0.91035))+0-670--1.7084999999999</f>
        <v>4051.4424099999997</v>
      </c>
      <c r="AD66">
        <f t="shared" si="1"/>
        <v>84790.423311999999</v>
      </c>
      <c r="AE66" s="3">
        <f>3704+(1229-654.6)+(0+(0-0))+0-686.8-0</f>
        <v>3591.5999999999995</v>
      </c>
    </row>
    <row r="67" spans="1:31" customFormat="1" x14ac:dyDescent="0.25">
      <c r="A67">
        <v>89</v>
      </c>
      <c r="B67">
        <v>3</v>
      </c>
      <c r="C67">
        <v>5</v>
      </c>
      <c r="D67">
        <v>5</v>
      </c>
      <c r="E67">
        <v>1</v>
      </c>
      <c r="F67" s="3">
        <f>2992.6+(1890-289.5)+(-6.104904+(-3.8556--0.59058))+0-519.4--1.05957599999998</f>
        <v>4065.3896520000008</v>
      </c>
      <c r="G67" s="3">
        <f>3032.9+(1733.8-340.3)+(1.546779+(0.884238-0.173553))+0-489.2-0.24949199999995</f>
        <v>3939.2079720000002</v>
      </c>
      <c r="H67" s="3">
        <f>2891.1+(1783.7-340.9)+(-7.372305+(-4.548435--0.869295))+0-584.4--1.49021999999992</f>
        <v>3739.9387749999996</v>
      </c>
      <c r="I67" s="3">
        <f>2940.1+(1532.6-378.3)+(-4.498353+(-2.344878--0.578799))+0-508.6--0.778158000000029</f>
        <v>3580.3137259999999</v>
      </c>
      <c r="J67" s="3">
        <f>2939.7+(1505.6-346.5)+(-1.499247+(-0.767856--0.176715))+0-633.3--0.322982999999936</f>
        <v>3463.7325949999995</v>
      </c>
      <c r="K67" s="3">
        <f>2746.2+(1446.4-370)+(-8.403372+(-4.425984--1.1322))+0-513--1.56978000000006</f>
        <v>3299.472624</v>
      </c>
      <c r="L67" s="3">
        <f>2401.9+(1379.4-381.5)+(-4.899876+(-2.813976--0.77826))+0-588--1.19951999999997</f>
        <v>2806.0639280000005</v>
      </c>
      <c r="M67" s="3">
        <f>2478.3+(1180.1-467.6)+(-2.527866+(-1.203702--0.476952))+0-585.9--0.597618000000093</f>
        <v>2602.2430020000002</v>
      </c>
      <c r="N67" s="3">
        <f>2840.1+(940.8-598.1)+(1.448451+(0.479808-0.305031))+0-574.5-0.292994999999942</f>
        <v>2609.6302329999999</v>
      </c>
      <c r="O67" s="3">
        <f>2781.3+(996.9-640.4)+(-5.673852+(-2.033676--1.306416))+0-493.3--1.00633199999998</f>
        <v>2639.1052199999999</v>
      </c>
      <c r="P67" s="3">
        <f>2908+(831.7-432)+(0+(0-0))+0-590.5-0</f>
        <v>2717.2</v>
      </c>
      <c r="Q67" s="3">
        <f>3135.5+(815.2-458.2)+(-1.599105+(-0.415752--0.233682))+0-496--0.25295999999995</f>
        <v>2994.9717849999997</v>
      </c>
      <c r="R67" s="3">
        <f>3713+(801.1-488.4)+(-1.89363+(-0.408561--0.249084))+0-537.2--0.273971999999946</f>
        <v>3486.7208649999993</v>
      </c>
      <c r="S67" s="3">
        <f>3874.1+(1048.8-438.6)+(-1.975791+(-0.534888--0.223686))+0-490.8--0.25030799999995</f>
        <v>3991.4633150000004</v>
      </c>
      <c r="T67" s="3">
        <f>4572.7+(874.1-671.7)+(-4.664154+(-0.891582--0.685134))+0-433--0.441660000000069</f>
        <v>4337.6710579999999</v>
      </c>
      <c r="U67" s="3">
        <f>4607.6+(983.5-656.9)+(-2.349876+(-0.501585--0.335019))+0-597.2--0.304571999999939</f>
        <v>4334.7881300000008</v>
      </c>
      <c r="V67" s="3">
        <f>4619.7+(969-760)+(-7.068141+(-1.48257--1.1628))+0-473.1--0.723843000000027</f>
        <v>4348.9359319999994</v>
      </c>
      <c r="W67" s="3">
        <f>3590.2+(1308.4-453.8)+(-12.817014+(-4.670988--1.620066))+0-506.8--1.80927600000001</f>
        <v>3923.9413400000003</v>
      </c>
      <c r="X67" s="3">
        <f>2663.2+(1813.8-467.6)+(-9.507624+(-6.475266--1.669332))+0-537.1--1.91744700000001</f>
        <v>3459.9038889999997</v>
      </c>
      <c r="Y67" s="3">
        <f>2668.9+(1461.1-467.9)+(-5.444556+(-2.980644--0.954516))+0-559.7--1.14178799999998</f>
        <v>3096.0711039999997</v>
      </c>
      <c r="Z67" s="3">
        <f>3569.9+(881.2-673.8)+(-3.641298+(-0.898824--0.687276))+0-549.9--0.560898000000088</f>
        <v>3224.108052</v>
      </c>
      <c r="AA67" s="3">
        <f>3551.7+(1322.6-555)+(-10.868202+(-4.047156--1.6983))+0-600--1.83600000000007</f>
        <v>3707.9189419999993</v>
      </c>
      <c r="AB67" s="3">
        <f>3328+(1598.1-381.1)+(1.69728+(0.815031-0.194361))+0-577.1-0.294320999999941</f>
        <v>3969.9236289999999</v>
      </c>
      <c r="AC67" s="3">
        <f>3350.1+(1626.7-347.7)+(-1.708551+(-0.829617--0.177327))+0-525--0.267749999999947</f>
        <v>4102.0069090000006</v>
      </c>
      <c r="AD67">
        <f t="shared" si="1"/>
        <v>84440.722676999998</v>
      </c>
      <c r="AE67" s="3">
        <f>3547+(1423.7-596.4)+(0+(0-0))+0-702.1-0</f>
        <v>3672.2000000000003</v>
      </c>
    </row>
    <row r="68" spans="1:31" customFormat="1" x14ac:dyDescent="0.25">
      <c r="A68">
        <v>89</v>
      </c>
      <c r="B68">
        <v>3</v>
      </c>
      <c r="C68">
        <v>6</v>
      </c>
      <c r="D68">
        <v>6</v>
      </c>
      <c r="E68">
        <v>1</v>
      </c>
      <c r="F68" s="3">
        <f>3081.8+(1940.5-251.5)+(-6.286872+(-3.95862--0.51306))+0-584.2--1.19176799999997</f>
        <v>4178.0593360000003</v>
      </c>
      <c r="G68" s="3">
        <f>3187.2+(1758.5-249.5)+(-1.625472+(-0.896835--0.127245))+0-604.6--0.308345999999939</f>
        <v>4089.5132840000001</v>
      </c>
      <c r="H68" s="3">
        <f>2944+(1846.4-235.7)+(-3.00288+(-1.883328--0.240414))+0-605.3--0.617406000000096</f>
        <v>3945.3716119999999</v>
      </c>
      <c r="I68" s="3">
        <f>2908.3+(1740.1-237.5)+(-8.899398+(-5.324706--0.72675))+0-597.9--1.82957400000007</f>
        <v>3801.3322199999993</v>
      </c>
      <c r="J68" s="3">
        <f>2813.9+(1666.7-254.4)+(-4.305267+(-2.550051--0.389232))+0-553.1--0.846243000000032</f>
        <v>3667.4801569999995</v>
      </c>
      <c r="K68" s="3">
        <f>2688.3+(1698-251.1)+(-10.968264+(-6.92784--1.024488))+0-618.2--2.52225599999995</f>
        <v>3502.6506400000003</v>
      </c>
      <c r="L68" s="3">
        <f>2503.9+(1451.5-302.8)+(-2.553978+(-1.48053--0.308856))+0-555.5--0.566610000000089</f>
        <v>3093.9409580000006</v>
      </c>
      <c r="M68" s="3">
        <f>2687.7+(1246.8-545.6)+(0+(0-0))+0-467-0</f>
        <v>2921.8999999999996</v>
      </c>
      <c r="N68" s="3">
        <f>2826.9+(1079-542.2)+(2.883438+(1.10058-0.553044))+0-567.7-0.579054000000091</f>
        <v>2798.8519199999996</v>
      </c>
      <c r="O68" s="3">
        <f>2949.7+(1013.4-517.1)+(-3.008694+(-1.033668--0.527442))+0-520--0.530400000000083</f>
        <v>2923.01548</v>
      </c>
      <c r="P68" s="3">
        <f>3189.8+(847.9-534)+(-1.626798+(-0.432429--0.27234))+0-476.4--0.242963999999952</f>
        <v>3025.756077</v>
      </c>
      <c r="Q68" s="3">
        <f>3372.8+(950.5-538.1)+(0+(0-0))+0-520.9-0</f>
        <v>3264.3</v>
      </c>
      <c r="R68" s="3">
        <f>3692+(948.3-464.4)+(-5.64876+(-1.450899--0.710532))+0-472.2--0.722466000000027</f>
        <v>3698.0333389999996</v>
      </c>
      <c r="S68" s="3">
        <f>3826.7+(1358-333.6)+(-3.903234+(-1.38516--0.340272))+0-625.4--0.6379080000001</f>
        <v>4221.3897860000006</v>
      </c>
      <c r="T68" s="3">
        <f>3928.3+(1437.7-334.9)+(-4.006866+(-1.466454--0.341598))+0-506.7--0.516834000000081</f>
        <v>4519.7851120000005</v>
      </c>
      <c r="U68" s="3">
        <f>3813.1+(1577.5-280.1)+(-3.889362+(-1.60905--0.285702))+0-499.3--0.50928600000008</f>
        <v>4606.4965760000005</v>
      </c>
      <c r="V68" s="3">
        <f>3440.9+(1803.1-221.2)+(-1.754859+(-0.919581--0.112812))+0-553.1--0.282080999999944</f>
        <v>4467.4204529999997</v>
      </c>
      <c r="W68" s="3">
        <f>2656.3+(2218.3-208.5)+(-6.773565+(-5.656665--0.531675))+0-546.2--1.39280999999992</f>
        <v>4109.3942550000011</v>
      </c>
      <c r="X68" s="3">
        <f>2425.9+(2061.4-230.8)+(-6.186045+(-5.25657--0.58854))+0-641.5--1.63582499999991</f>
        <v>3605.7817499999996</v>
      </c>
      <c r="Y68" s="3">
        <f>2401.9+(1574.1-276.1)+(-2.449938+(-1.605582--0.281622))+0-467.5--0.476850000000075</f>
        <v>3229.1029520000002</v>
      </c>
      <c r="Z68" s="3">
        <f>2662.9+(1667.2-331)+(-4.074237+(-2.550816--0.50643))+0-594.7--0.909891000000034</f>
        <v>3399.1912680000005</v>
      </c>
      <c r="AA68" s="3">
        <f>3037+(1650-270.1)+(-4.64661+(-2.5245--0.413253))+0-564.6--0.863838000000033</f>
        <v>3846.4059810000003</v>
      </c>
      <c r="AB68" s="3">
        <f>3228.7+(1604.2-272.3)+(-6.586548+(-3.272568--0.555492))+0-535.4--1.09221599999998</f>
        <v>4016.9885920000002</v>
      </c>
      <c r="AC68" s="3">
        <f>3073.6+(1979.9-228.1)+(-6.270144+(-4.038996--0.465324))+0-631.8--1.28887199999997</f>
        <v>4185.0450559999999</v>
      </c>
      <c r="AD68">
        <f t="shared" si="1"/>
        <v>89117.206803999987</v>
      </c>
      <c r="AE68" s="3">
        <f>2959+(1822.3-272.8)+(0+(0-0))+0-704.7-0</f>
        <v>3803.8</v>
      </c>
    </row>
    <row r="69" spans="1:31" customFormat="1" x14ac:dyDescent="0.25">
      <c r="A69">
        <v>89</v>
      </c>
      <c r="B69">
        <v>3</v>
      </c>
      <c r="C69">
        <v>7</v>
      </c>
      <c r="D69">
        <v>7</v>
      </c>
      <c r="E69">
        <v>1</v>
      </c>
      <c r="F69" s="3">
        <f>3192.5+(1913.3-219.1)+(6.5127+(3.903132-0.446964))+0-619.9-1.26459599999997</f>
        <v>4275.5042720000001</v>
      </c>
      <c r="G69" s="3">
        <f>3294.3+(1806.4-222.3)+(3.360186+(1.842528-0.226746))+0-660.4-0.673608000000105</f>
        <v>4222.3023600000006</v>
      </c>
      <c r="H69" s="3">
        <f>3303.5+(1666.7-278.1)+(3.36957+(1.700034-0.283662))+0-594.4-0.606288000000095</f>
        <v>4101.8796540000012</v>
      </c>
      <c r="I69" s="3">
        <f>3279.4+(1630.7-276.4)+(0+(0-0))+0-678.9-0</f>
        <v>3954.8000000000006</v>
      </c>
      <c r="J69" s="3">
        <f>3350.4+(1378.3-278.4)+(3.417408+(1.405866-0.283968))+0-619.3-0.631686000000099</f>
        <v>3834.9076199999995</v>
      </c>
      <c r="K69" s="3">
        <f>3174.4+(1384.5-247.1)+(-4.856832+(-2.118285--0.378063))+0-688.3--1.05309900000004</f>
        <v>3617.9560450000004</v>
      </c>
      <c r="L69" s="3">
        <f>2724.4+(1289.9-225)+(-4.168332+(-1.973547--0.34425))+0-571--0.873630000000033</f>
        <v>3213.3760010000001</v>
      </c>
      <c r="M69" s="3">
        <f>2827.4+(1107-252.1)+(-2.883948+(-1.12914--0.257142))+0-672.9--0.686358000000107</f>
        <v>3006.3304119999998</v>
      </c>
      <c r="N69" s="3">
        <f>2732.7+(1109.1-299.8)+(-4.181031+(-1.696923--0.458694))+0-561.9--0.859707000000032</f>
        <v>2975.5404469999999</v>
      </c>
      <c r="O69" s="3">
        <f>2634.7+(1193.4-247)+(-4.031091+(-1.825902--0.37791))+0-603.3--0.923049000000035</f>
        <v>2973.243966</v>
      </c>
      <c r="P69" s="3">
        <f>2835.5+(1043.6-330.7)+(0+(0-0))+0-541-0</f>
        <v>3007.3999999999996</v>
      </c>
      <c r="Q69" s="3">
        <f>3169.7+(968.8-367.2)+(-1.616547+(-0.494088--0.187272))+0-528.2--0.269381999999946</f>
        <v>3241.4460189999995</v>
      </c>
      <c r="R69" s="3">
        <f>3221+(1343.7-273.5)+(0+(0-0))+17.3-633.1-0</f>
        <v>3675.4</v>
      </c>
      <c r="S69" s="3">
        <f>3538+(1692.4-366.9)+(-1.80438+(-0.863124--0.187119))+0-647.5--0.330224999999934</f>
        <v>4213.8498399999999</v>
      </c>
      <c r="T69" s="3">
        <f>3661.8+(1828.2-457.3)+(0+(0-0))+15.5-551.1-0</f>
        <v>4497.1000000000004</v>
      </c>
      <c r="U69" s="3">
        <f>3763.3+(1997.8-473)+(1.919283+(1.018878-0.24123))+0-686.5-0.35011499999993</f>
        <v>4603.9468160000006</v>
      </c>
      <c r="V69" s="3">
        <f>3611.8+(1818.8-406.5)+(-11.052108+(-5.565528--1.24389))+0-519.4--1.58936400000006</f>
        <v>4490.9156180000009</v>
      </c>
      <c r="W69" s="3">
        <f>3487.1+(1556.4-258.7)+(-10.670526+(-4.762584--0.791622))+0-596.4--1.82498400000007</f>
        <v>4175.5834960000002</v>
      </c>
      <c r="X69" s="3">
        <f>3016.7+(1470.3-278)+(-6.154068+(-2.999412--0.56712))+0-535.2--1.09180799999998</f>
        <v>3666.3054480000001</v>
      </c>
      <c r="Y69" s="3">
        <f>2768.1+(1357.5-297.2)+(-4.235193+(-2.076975--0.454716))+0-547.9--0.838287000000032</f>
        <v>3275.4808349999994</v>
      </c>
      <c r="Z69" s="3">
        <f>3015.1+(1414.5-429.6)+(-4.613103+(-2.164185--0.657288))+0-520.1--0.79575300000003</f>
        <v>3474.5757530000001</v>
      </c>
      <c r="AA69" s="3">
        <f>3758.4+(1306.4-436.7)+(-3.833568+(-1.332528--0.445434))+0-570.2--0.581604000000091</f>
        <v>4053.7609420000008</v>
      </c>
      <c r="AB69" s="3">
        <f>3990.2+(1447.5-428.9)+(-4.070004+(-1.47645--0.437478))+0-709.5--0.723690000000113</f>
        <v>4294.9147139999995</v>
      </c>
      <c r="AC69" s="3">
        <f>3394.2+(1965.8-264.8)+(-6.924168+(-4.010232--0.540192))+0-597--1.21787999999997</f>
        <v>4489.0236720000003</v>
      </c>
      <c r="AD69">
        <f t="shared" si="1"/>
        <v>91335.543929999985</v>
      </c>
      <c r="AE69" s="3">
        <f>4198+(1366-515.7)+(0+(0-0))+0-780.7-0</f>
        <v>4267.6000000000004</v>
      </c>
    </row>
    <row r="70" spans="1:31" customFormat="1" x14ac:dyDescent="0.25">
      <c r="A70">
        <v>89</v>
      </c>
      <c r="B70">
        <v>3</v>
      </c>
      <c r="C70">
        <v>8</v>
      </c>
      <c r="D70">
        <v>1</v>
      </c>
      <c r="E70">
        <v>1</v>
      </c>
      <c r="F70" s="3">
        <f>3076.4+(2263.3-206.5)+(-4.706892+(-3.462849--0.315945))+0-617.9--0.945387000000036</f>
        <v>4508.3915910000005</v>
      </c>
      <c r="G70" s="3">
        <f>2755.6+(2468.3-212.5)+(-9.837492+(-8.811831--0.758625))+0-616.5--2.20090500000001</f>
        <v>4379.2102069999992</v>
      </c>
      <c r="H70" s="3">
        <f>2792.6+(2385.2-218.8)+(-5.696904+(-4.865808--0.446352))+0-704.2--1.43656799999997</f>
        <v>4246.1202080000003</v>
      </c>
      <c r="I70" s="3">
        <f>2861.4+(2142.4-217.1)+(-1.459314+(-1.092624--0.110721))+0-630.3--0.321452999999936</f>
        <v>4154.2802360000005</v>
      </c>
      <c r="J70" s="3">
        <f>2917.9+(1956.5-223.8)+(0+(0-0))+0-599.6-0</f>
        <v>4051.0000000000005</v>
      </c>
      <c r="K70" s="3">
        <f>2771.1+(2070.1-198.9)+(-7.066305+(-5.278755--0.507195))+0-742--1.89209999999989</f>
        <v>3890.3542349999989</v>
      </c>
      <c r="L70" s="3">
        <f>2693.4+(1537.5-232.8)+(-1.373634+(-0.784125--0.118728))+0-561.2--0.286211999999943</f>
        <v>3435.1471810000003</v>
      </c>
      <c r="M70" s="3">
        <f>2958+(1353.3-410.8)+(0+(0-0))+0-613.7-0</f>
        <v>3286.8</v>
      </c>
      <c r="N70" s="3">
        <f>2843.8+(1477.3-482.8)+(-4.351014+(-2.260269--0.738684))+0-646--0.988380000000037</f>
        <v>3187.4157810000006</v>
      </c>
      <c r="O70" s="3">
        <f>2878.1+(1451.1-515.9)+(-1.467831+(-0.740061--0.263109))+0-592.8--0.30232799999994</f>
        <v>3218.8575449999998</v>
      </c>
      <c r="P70" s="3">
        <f>3266.4+(1201.2-584.9)+(0+(0-0))+0-549.1-0</f>
        <v>3333.6000000000004</v>
      </c>
      <c r="Q70" s="3">
        <f>4282.7+(859.4-847.6)+(-2.184177+(-0.438294--0.432276))+0-564.2--0.287741999999943</f>
        <v>3728.397547</v>
      </c>
      <c r="R70" s="3">
        <f>5132.7+(698.5-921.9)+(0+(0-0))+0-570.2-0</f>
        <v>4339.1000000000004</v>
      </c>
      <c r="S70" s="3">
        <f>5399.1+(632.2-689.8)+(2.753541+(0.322422-0.351798))+0-612.6-0.312425999999938</f>
        <v>4731.3117389999998</v>
      </c>
      <c r="T70" s="3">
        <f>5655.5+(593.1-804.7)+(0+(0-0))+0-561.7-0</f>
        <v>4882.2</v>
      </c>
      <c r="U70" s="3">
        <f>5604.9+(632.1-780.9)+(-2.858499+(-0.322371--0.398259))+0-629.1--0.320840999999936</f>
        <v>4824.5382299999992</v>
      </c>
      <c r="V70" s="3">
        <f>5141.8+(770.2-651.4)+(-7.866954+(-1.178406--0.996642))+0-588.9--0.901017000000034</f>
        <v>4664.5522990000009</v>
      </c>
      <c r="W70" s="3">
        <f>4029.1+(1332.5-469.7)+(-14.383887+(-4.757025--1.676829))+0-547.3--1.95386100000001</f>
        <v>4329.0897779999996</v>
      </c>
      <c r="X70" s="3">
        <f>3101.9+(1653.7-403.2)+(-7.909845+(-4.216935--1.02816))+0-481.6--1.22807999999993</f>
        <v>3860.9294599999998</v>
      </c>
      <c r="Y70" s="3">
        <f>3110.8+(1416.8-445.5)+(-1.586508+(-0.722568--0.227205))+0-560--0.285599999999943</f>
        <v>3520.3037290000007</v>
      </c>
      <c r="Z70" s="3">
        <f>3442.7+(1451.9-438.2)+(-1.755777+(-0.740469--0.223482))+0-603--0.307529999999939</f>
        <v>3851.4347659999994</v>
      </c>
      <c r="AA70" s="3">
        <f>3944.7+(1443.3-447.4)+(-4.023594+(-1.472166--0.456348))+0-557--0.568140000000089</f>
        <v>4379.1287279999997</v>
      </c>
      <c r="AB70" s="3">
        <f>3646+(1894.1-264.9)+(-9.2973+(-4.829955--0.675495))+0-665.8--1.6977899999999</f>
        <v>4597.6460299999999</v>
      </c>
      <c r="AC70" s="3">
        <f>3105.9+(2305.3-223.1)+(-6.336036+(-4.702812--0.455124))+0-479.1--0.977363999999979</f>
        <v>4699.3936400000002</v>
      </c>
      <c r="AD70">
        <f t="shared" si="1"/>
        <v>98099.202929999985</v>
      </c>
      <c r="AE70" s="3">
        <f>4072+(1275-484.6)+(0+(0-0))+0-580.7-0</f>
        <v>4281.7</v>
      </c>
    </row>
    <row r="71" spans="1:31" customFormat="1" x14ac:dyDescent="0.25">
      <c r="A71">
        <v>89</v>
      </c>
      <c r="B71">
        <v>3</v>
      </c>
      <c r="C71">
        <v>9</v>
      </c>
      <c r="D71">
        <v>2</v>
      </c>
      <c r="E71">
        <v>1</v>
      </c>
      <c r="F71" s="3">
        <f>2827.1+(2728.2-216.2)+(-4.325463+(-4.174146--0.330786))+0-630.6--0.964818000000036</f>
        <v>4701.2959950000004</v>
      </c>
      <c r="G71" s="3">
        <f>2769.6+(2623.6-225.4)+(-2.824992+(-2.676072--0.229908))+0-598.1--0.610062000000095</f>
        <v>4565.0389059999989</v>
      </c>
      <c r="H71" s="3">
        <f>2900.3+(2395.6-228.1)+(-1.479153+(-1.221756--0.116331))+0-647.1--0.330020999999934</f>
        <v>4418.4454429999996</v>
      </c>
      <c r="I71" s="3">
        <f>2790.9+(2391.2-220.7)+(-5.693436+(-4.878048--0.450228))+0-643.1--1.31192399999997</f>
        <v>4309.4906679999985</v>
      </c>
      <c r="J71" s="3">
        <f>2846.5+(2236.6-232)+(-1.451715+(-1.140666--0.11832))+0-640.7--0.326756999999935</f>
        <v>4208.2526960000005</v>
      </c>
      <c r="K71" s="3">
        <f>2744.1+(2141.1-220.3)+(-4.198473+(-3.275883--0.337059))+0-587.2--0.898416000000034</f>
        <v>4071.4611189999996</v>
      </c>
      <c r="L71" s="3">
        <f>2707.8+(1780.1-236.9)+(-5.523912+(-3.631404--0.483276))+0-589--1.20155999999997</f>
        <v>3654.5295199999996</v>
      </c>
      <c r="M71" s="3">
        <f>3034.7+(1460.1-460)+(0+(0-0))+0-581.5-0</f>
        <v>3453.2999999999997</v>
      </c>
      <c r="N71" s="3">
        <f>3059.5+(1442.5-663.2)+(1.560345+(0.735675-0.338232))+0-344.9-0.175898999999965</f>
        <v>3495.6818890000004</v>
      </c>
      <c r="O71" s="3">
        <f>3176.9+(1485.2-745.4)+(-1.620219+(-0.757452--0.380154))+0-315.7--0.161006999999968</f>
        <v>3599.1634900000008</v>
      </c>
      <c r="P71" s="3">
        <f>3227.1+(1349.4-670.5)+(1.645821+(0.688194-0.341955))+0-425.3-0.216902999999957</f>
        <v>3482.4751569999999</v>
      </c>
      <c r="Q71" s="3">
        <f>3697.6+(1127.1-564.3)+(0+(0-0))+0-700.9-0</f>
        <v>3559.4999999999995</v>
      </c>
      <c r="R71" s="3">
        <f>4468.4+(904.6-604.1)+(-4.557768+(-0.922692--0.616182))+0-612.4--0.624648000000098</f>
        <v>4152.26037</v>
      </c>
      <c r="S71" s="3">
        <f>4709.8+(928-499.4)+(-4.803996+(-0.94656--0.509388))+0-520.4--0.530808000000083</f>
        <v>4613.2896400000018</v>
      </c>
      <c r="T71" s="3">
        <f>5130.8+(870.1-524.6)+(0+(0-0))+0-536.2-0</f>
        <v>4940.1000000000004</v>
      </c>
      <c r="U71" s="3">
        <f>5140.8+(966.6-517.5)+(2.621808+(0.492966-0.263925))+0-566.7-0.289016999999943</f>
        <v>5025.761832000001</v>
      </c>
      <c r="V71" s="3">
        <f>4849.6+(1023.4-539.7)+(-7.419888+(-1.565802--0.825741))+0-580.8--0.888624000000034</f>
        <v>4745.2286750000003</v>
      </c>
      <c r="W71" s="3">
        <f>3787.2+(1648.4-434.4)+(-5.794416+(-2.522052--0.664632))+0-591.7--0.905301000000034</f>
        <v>4402.7534649999998</v>
      </c>
      <c r="X71" s="3">
        <f>2952.8+(1995.1-404.1)+(-12.047424+(-8.140008--1.648728))+0-640.2--2.61201599999994</f>
        <v>3887.6733120000008</v>
      </c>
      <c r="Y71" s="3">
        <f>3123.4+(1327.7-481.1)+(-1.592934+(-0.677127--0.245361))+0-460.9--0.235058999999953</f>
        <v>3507.3103590000001</v>
      </c>
      <c r="Z71" s="3">
        <f>3537.7+(1327.7-525.8)+(0+(0-0))+0-640-0</f>
        <v>3699.6000000000004</v>
      </c>
      <c r="AA71" s="3">
        <f>4061+(1217.7-490.9)+(-6.21333+(-1.863081--0.751077))+0-525.6--0.80416800000003</f>
        <v>4255.6788339999994</v>
      </c>
      <c r="AB71" s="3">
        <f>3774.7+(1625.3-355.7)+(-5.775291+(-2.486709--0.544221))+0-575.2--0.880056000000033</f>
        <v>4462.2622769999998</v>
      </c>
      <c r="AC71" s="3">
        <f>3381.6+(2058.1-231.8)+(-8.62308+(-5.248155--0.59109))+0-602.6--1.53662999999991</f>
        <v>4593.5564849999992</v>
      </c>
      <c r="AD71">
        <f t="shared" si="1"/>
        <v>99804.110132000002</v>
      </c>
      <c r="AE71" s="3">
        <f>4216+(1152.4-584)+(0+(0-0))+0-606.1-0</f>
        <v>4178.2999999999993</v>
      </c>
    </row>
    <row r="72" spans="1:31" customFormat="1" x14ac:dyDescent="0.25">
      <c r="A72">
        <v>89</v>
      </c>
      <c r="B72">
        <v>3</v>
      </c>
      <c r="C72">
        <v>10</v>
      </c>
      <c r="D72">
        <v>3</v>
      </c>
      <c r="E72">
        <v>1</v>
      </c>
      <c r="F72" s="3">
        <f>3170.7+(2235-223.3)+(-1.617057+(-1.13985--0.113883))+0-565.7--0.288506999999943</f>
        <v>4614.3454830000001</v>
      </c>
      <c r="G72" s="3">
        <f>3093.3+(2217.3-218.4)+(-3.155166+(-2.261646--0.222768))+0-589.7--0.601494000000094</f>
        <v>4497.9074500000015</v>
      </c>
      <c r="H72" s="3">
        <f>3036.3+(2163.8-241)+(0+(0-0))+0-601.1-0</f>
        <v>4358</v>
      </c>
      <c r="I72" s="3">
        <f>3180.3+(1939.7-253.6)+(-4.865859+(-2.967741--0.388008))+0-641.5--0.981495000000037</f>
        <v>4218.4359030000005</v>
      </c>
      <c r="J72" s="3">
        <f>3191.3+(1943.7-236.8)+(-4.882689+(-2.973861--0.362304))+0-662.1--1.01301300000004</f>
        <v>4229.6187669999999</v>
      </c>
      <c r="K72" s="3">
        <f>3023.2+(1826.3-269)+(-3.083664+(-1.862826--0.27438))+0-606.5--0.618630000000097</f>
        <v>3969.9465199999995</v>
      </c>
      <c r="L72" s="3">
        <f>2905.8+(1668.4-321.3)+(0+(0-0))+0-703.5-0</f>
        <v>3549.4000000000005</v>
      </c>
      <c r="M72" s="3">
        <f>3098.9+(1471.5-615.8)+(1.580439+(0.750465-0.314058))+0-613.5-0.312884999999938</f>
        <v>3342.8039610000005</v>
      </c>
      <c r="N72" s="3">
        <f>3136.4+(1551.4-712.6)+(3.199128+(1.582428-0.726852))+0-587-0.598740000000094</f>
        <v>3391.6559640000005</v>
      </c>
      <c r="O72" s="3">
        <f>3087.2+(1611.4-749.3)+(0+(0-0))+0-565.6-0</f>
        <v>3383.7000000000003</v>
      </c>
      <c r="P72" s="3">
        <f>3416.6+(1393.1-770.9)+(1.742466+(0.710481-0.393159))+0-550.2-0.280601999999944</f>
        <v>3490.3791860000001</v>
      </c>
      <c r="Q72" s="3">
        <f>4189.4+(1039.9-974.2)+(2.136594+(0.530349-0.496842))+0-545.9-0.278408999999945</f>
        <v>3711.0916919999991</v>
      </c>
      <c r="R72" s="3">
        <f>4745.8+(855.6-829.8)+(-4.840716+(-0.872712--0.846396))+0-543.7--0.554574000000087</f>
        <v>4223.5875420000002</v>
      </c>
      <c r="S72" s="3">
        <f>4738.1+(1005.4-490.5)+(-4.832862+(-1.025508--0.50031))+0-602.6--0.614652000000096</f>
        <v>4645.6565920000003</v>
      </c>
      <c r="T72" s="3">
        <f>5219.1+(940-655.2)+(-2.661741+(-0.4794--0.334152))+0-580.9--0.296258999999941</f>
        <v>4920.4892700000009</v>
      </c>
      <c r="U72" s="3">
        <f>5211+(969.9-679.5)+(-5.31522+(-0.989298--0.69309))+0-543--0.553860000000087</f>
        <v>4953.3424319999995</v>
      </c>
      <c r="V72" s="3">
        <f>4607+(1144.6-381)+(-9.39828+(-2.334984--0.77724))+0-563.8--1.15015199999998</f>
        <v>4796.9941280000003</v>
      </c>
      <c r="W72" s="3">
        <f>4014.3+(1475.9-408.8)+(-12.283758+(-4.516254--1.250928))+0-634.2--1.94065200000007</f>
        <v>4433.5915680000007</v>
      </c>
      <c r="X72" s="3">
        <f>2998.7+(1898.7-363.9)+(-7.646685+(-4.841685--0.927945))+0-585.6--1.49327999999992</f>
        <v>3937.8328550000006</v>
      </c>
      <c r="Y72" s="3">
        <f>3032.9+(1376.7-306.3)+(-3.093558+(-1.404234--0.312426))+0-580.5--0.592110000000093</f>
        <v>3519.2067440000005</v>
      </c>
      <c r="Z72" s="3">
        <f>3874.9+(966.9-495.7)+(-3.952398+(-0.986238--0.505614))+0-659.5--0.672690000000105</f>
        <v>3682.8396680000005</v>
      </c>
      <c r="AA72" s="3">
        <f>4408.5+(1014.1-634.8)+(-2.248335+(-0.517191--0.323748))+0-510.7--0.260456999999948</f>
        <v>4274.9186790000003</v>
      </c>
      <c r="AB72" s="3">
        <f>4049.9+(1411.2-329.6)+(-4.130898+(-1.439424--0.336192))+0-602.4--0.614448000000096</f>
        <v>4524.4803180000008</v>
      </c>
      <c r="AC72" s="3">
        <f>4107.1+(1519.7-346.2)+(-6.283863+(-2.325141--0.529686))+0-627--0.959310000000036</f>
        <v>4646.4799920000005</v>
      </c>
      <c r="AD72">
        <f t="shared" si="1"/>
        <v>99316.704713999992</v>
      </c>
      <c r="AE72" s="3">
        <f>4672+(832.2-762.1)+(0+(0-0))+0-501.5-0</f>
        <v>4240.6000000000004</v>
      </c>
    </row>
    <row r="73" spans="1:31" customFormat="1" x14ac:dyDescent="0.25">
      <c r="A73">
        <v>89</v>
      </c>
      <c r="B73">
        <v>3</v>
      </c>
      <c r="C73">
        <v>11</v>
      </c>
      <c r="D73">
        <v>4</v>
      </c>
      <c r="E73">
        <v>1</v>
      </c>
      <c r="F73" s="3">
        <f>3345.9+(2155.3-238.1)+(-8.532045+(-5.496015--0.607155))+0-599.1--1.52770499999991</f>
        <v>4652.1067999999996</v>
      </c>
      <c r="G73" s="3">
        <f>3030+(2407.2-213.5)+(-4.6359+(-3.683016--0.326655))+0-688--1.05264000000004</f>
        <v>4528.7603789999994</v>
      </c>
      <c r="H73" s="3">
        <f>2860.5+(2376.7-209.4)+(-4.376565+(-3.636351--0.320382))+0-637.6--0.975528000000037</f>
        <v>4383.4829939999991</v>
      </c>
      <c r="I73" s="3">
        <f>2852.3+(2321.2-216.4)+(0+(0-0))+0-675.2-0</f>
        <v>4281.9000000000005</v>
      </c>
      <c r="J73" s="3">
        <f>3019.8+(2025.2-237.4)+(1.540098+(1.032852-0.121074))+0-655.3-0.334202999999934</f>
        <v>4154.4176729999999</v>
      </c>
      <c r="K73" s="3">
        <f>2869.4+(1941.2-234.8)+(-8.780364+(-5.940072--0.718488))+0-574.1--1.75674600000007</f>
        <v>3989.4547980000002</v>
      </c>
      <c r="L73" s="3">
        <f>2770+(1735.1-247.2)+(-1.4127+(-0.884901--0.126072))+0-661.8--0.337517999999933</f>
        <v>3594.2659889999991</v>
      </c>
      <c r="M73" s="3">
        <f>2905+(1508.4-258.8)+(-5.9262+(-3.077136--0.527952))+0-738.5--1.50653999999997</f>
        <v>3409.1311559999999</v>
      </c>
      <c r="N73" s="3">
        <f>2926.6+(1357.8-398.2)+(1.492566+(0.692478-0.203082))+0-498.1-0.254030999999949</f>
        <v>3389.8279309999998</v>
      </c>
      <c r="O73" s="3">
        <f>2950.1+(1568.9-496.7)+(1.504551+(0.800139-0.253317))+0-627.4-0.319973999999936</f>
        <v>3396.6313989999999</v>
      </c>
      <c r="P73" s="3">
        <f>3117.1+(1469-578.6)+(-3.179442+(-1.49838--0.590172))+0-491.7--0.501534000000078</f>
        <v>3512.2138840000002</v>
      </c>
      <c r="Q73" s="3">
        <f>3974.6+(1098.3-675.4)+(-2.027046+(-0.560133--0.344454))+0-578.9--0.295238999999941</f>
        <v>3816.6525139999999</v>
      </c>
      <c r="R73" s="3">
        <f>4792.8+(823.8-660.6)+(2.444328+(0.420138-0.336906))+0-653.2-0.333131999999934</f>
        <v>4304.9944280000009</v>
      </c>
      <c r="S73" s="3">
        <f>4910.2+(931.4-532.8)+(-2.504202+(-0.475014--0.271728))+0-571.5--0.291464999999942</f>
        <v>4734.8839770000004</v>
      </c>
      <c r="T73" s="3">
        <f>5295.9+(910.8-546)+(5.401818+(0.929016-0.55692))+0-686.3-0.700026000000109</f>
        <v>4979.4738879999995</v>
      </c>
      <c r="U73" s="3">
        <f>5260.1+(952.9-565.2)+(-8.047953+(-1.457937--0.864756))+0-619.4--0.947682000000036</f>
        <v>5020.7065480000001</v>
      </c>
      <c r="V73" s="3">
        <f>4838.9+(1241.5-521.9)+(-4.935678+(-1.26633--0.532338))+0-620.8--0.633216000000099</f>
        <v>4932.6635459999998</v>
      </c>
      <c r="W73" s="3">
        <f>3847.7+(1795.4-416.6)+(-9.811635+(-4.57827--1.06233))+0-632--1.61159999999991</f>
        <v>4582.7840249999999</v>
      </c>
      <c r="X73" s="3">
        <f>3008.3+(2102.6-367.2)+(-7.671165+(-5.36163--0.93636))+0-689.9--1.7592449999999</f>
        <v>4043.4628099999991</v>
      </c>
      <c r="Y73" s="3">
        <f>2824.3+(1830-357.8)+(-1.440393+(-0.9333--0.182478))+0-650.6--0.331805999999934</f>
        <v>3644.0405910000004</v>
      </c>
      <c r="Z73" s="3">
        <f>3512.4+(1389.3-491.3)+(-3.582648+(-1.417086--0.501126))+0-607.5--0.619650000000097</f>
        <v>3799.0210419999999</v>
      </c>
      <c r="AA73" s="3">
        <f>4407.5+(1304.6-583.6)+(-2.247825+(-0.665346--0.297636))+0-706.3--0.360212999999928</f>
        <v>4419.9446779999998</v>
      </c>
      <c r="AB73" s="3">
        <f>4041.1+(1618.1-432.6)+(-2.060961+(-0.825231--0.220626))+0-620.3--0.316352999999937</f>
        <v>4603.9507870000007</v>
      </c>
      <c r="AC73" s="3">
        <f>3444.9+(2257.4-226.2)+(-7.027596+(-4.605096--0.461448))+0-724.6--1.47818399999997</f>
        <v>4741.8069399999995</v>
      </c>
      <c r="AD73">
        <f t="shared" si="1"/>
        <v>100916.57877699996</v>
      </c>
      <c r="AE73" s="3">
        <f>4593+(1250.7-641.1)+(0+(0-0))+0-821.9-0</f>
        <v>4380.7000000000007</v>
      </c>
    </row>
    <row r="74" spans="1:31" customFormat="1" x14ac:dyDescent="0.25">
      <c r="A74">
        <v>89</v>
      </c>
      <c r="B74">
        <v>3</v>
      </c>
      <c r="C74">
        <v>12</v>
      </c>
      <c r="D74">
        <v>5</v>
      </c>
      <c r="E74">
        <v>1</v>
      </c>
      <c r="F74" s="3">
        <f>3195.7+(2427.4-218.4)+(-1.629807+(-1.237974--0.111384))+0-606.5--0.309314999999939</f>
        <v>4795.7529179999992</v>
      </c>
      <c r="G74" s="3">
        <f>3148.1+(2234.9-220.9)+(-3.211062+(-2.279598--0.225318))+0-567.4--0.57874800000009</f>
        <v>4590.0134060000009</v>
      </c>
      <c r="H74" s="3">
        <f>3150+(2111.6-187.9)+(-1.6065+(-1.076916--0.095829))+0-656.7--0.334916999999933</f>
        <v>4414.7473300000001</v>
      </c>
      <c r="I74" s="3">
        <f>3053.1+(2165-226.8)+(-6.228324+(-4.4166--0.462672))+0-695.4--1.41861599999997</f>
        <v>4287.1363640000009</v>
      </c>
      <c r="J74" s="3">
        <f>2974.1+(2019-232.9)+(1.516791+(1.02969-0.118779))+0-590.7-0.30125699999994</f>
        <v>4171.6264449999999</v>
      </c>
      <c r="K74" s="3">
        <f>2862.8+(2024.8-248.1)+(-5.840112+(-4.130592--0.506124))+0-619.5--1.26377999999997</f>
        <v>4011.7991999999999</v>
      </c>
      <c r="L74" s="3">
        <f>2870.4+(1586.7-218.5)+(-5.855616+(-3.236868--0.44574))+0-656.7--1.33966799999997</f>
        <v>3574.5929240000009</v>
      </c>
      <c r="M74" s="3">
        <f>3073.2+(1336.9-351.6)+(1.567332+(0.681819-0.179316))+0-588.4-0.30008399999994</f>
        <v>3471.8697509999997</v>
      </c>
      <c r="N74" s="3">
        <f>3037.2+(1559.4-509.9)+(-4.646916+(-2.385882--0.780147))+0-575.3--0.880209000000033</f>
        <v>3506.0275579999998</v>
      </c>
      <c r="O74" s="3">
        <f>3178.9+(1521-613.4)+(-3.242478+(-1.55142--0.625668))+0-571.9--0.583338000000091</f>
        <v>3511.0151079999996</v>
      </c>
      <c r="P74" s="3">
        <f>3420.8+(1413.3-558.3)+(0+(0-0))+0-684.2-0</f>
        <v>3591.6000000000004</v>
      </c>
      <c r="Q74" s="3">
        <f>4148.1+(1034.1-770)+(2.115531+(0.527391-0.3927))+0-529.5-0.270044999999946</f>
        <v>3884.6801770000006</v>
      </c>
      <c r="R74" s="3">
        <f>5293+(739.5-1038.4)+(5.39886+(0.75429-1.059168))+0-575.7-0.587214000000092</f>
        <v>4422.9067680000007</v>
      </c>
      <c r="S74" s="3">
        <f>5697.7+(716.2-830.8)+(-2.905827+(-0.365262--0.423708))+0-669.8--0.341597999999932</f>
        <v>4910.7942170000006</v>
      </c>
      <c r="T74" s="3">
        <f>5768.5+(740.1-942.3)+(-8.825805+(-1.132353--1.441719))+0-515.3--0.78840900000003</f>
        <v>5043.2719699999998</v>
      </c>
      <c r="U74" s="3">
        <f>5793.6+(841.9-889.6)+(0+(0-0))+0-564.1-0</f>
        <v>5181.8</v>
      </c>
      <c r="V74" s="3">
        <f>5160.4+(1248.6-701.9)+(-2.631804+(-0.636786--0.357969))+0-593.5--0.30268499999994</f>
        <v>5110.9920639999991</v>
      </c>
      <c r="W74" s="3">
        <f>4079.6+(1689.7-459.4)+(-4.161192+(-1.723494--0.468588))+0-607.7--0.619854000000097</f>
        <v>4697.4037560000006</v>
      </c>
      <c r="X74" s="3">
        <f>3331.9+(1946-409.4)+(-5.097807+(-2.97738--0.626382))+0-651.3--0.996489000000038</f>
        <v>4210.7476839999999</v>
      </c>
      <c r="Y74" s="3">
        <f>3203.8+(1638-472.9)+(0+(0-0))+0-649.2-0</f>
        <v>3719.7</v>
      </c>
      <c r="Z74" s="3">
        <f>4242.7+(923.6-676.7)+(0+(0-0))+0-596.3-0</f>
        <v>3893.2999999999993</v>
      </c>
      <c r="AA74" s="3">
        <f>4839.3+(997.9-736.3)+(-4.936086+(-1.017858--0.751026))+0-593.8--0.605676000000095</f>
        <v>4502.5027580000005</v>
      </c>
      <c r="AB74" s="3">
        <f>4744.8+(1191.2-533.5)+(-4.839696+(-1.215024--0.54417))+0-685.3--0.699006000000109</f>
        <v>4712.3884559999997</v>
      </c>
      <c r="AC74" s="3">
        <f>3911.5+(1816.2-314.6)+(-5.984595+(-2.778786--0.481338))+0-592.4--0.906372000000034</f>
        <v>4813.3243290000009</v>
      </c>
      <c r="AD74">
        <f t="shared" si="1"/>
        <v>103029.99318300001</v>
      </c>
      <c r="AE74" s="3">
        <f>5098+(1000.6-856.7)+(0+(0-0))+0-665.8-0</f>
        <v>4576.0999999999995</v>
      </c>
    </row>
    <row r="75" spans="1:31" customFormat="1" x14ac:dyDescent="0.25">
      <c r="A75">
        <v>89</v>
      </c>
      <c r="B75">
        <v>3</v>
      </c>
      <c r="C75">
        <v>13</v>
      </c>
      <c r="D75">
        <v>6</v>
      </c>
      <c r="E75">
        <v>1</v>
      </c>
      <c r="F75" s="3">
        <f>3490.6+(2129.6-249.5)+(0+(0-0))+0-529.5-0</f>
        <v>4841.2</v>
      </c>
      <c r="G75" s="3">
        <f>3361.1+(2344.1-225.8)+(-1.714161+(-1.195491--0.115158))+0-751.1--0.383060999999924</f>
        <v>4725.8885669999991</v>
      </c>
      <c r="H75" s="3">
        <f>2886.2+(2541.7-221.7)+(-2.943924+(-2.592534--0.226134))+0-620.9--0.633318000000099</f>
        <v>4580.6229940000003</v>
      </c>
      <c r="I75" s="3">
        <f>2829.9+(2567.4-219.6)+(-2.886498+(-2.618748--0.223992))+0-722.4--0.736848000000115</f>
        <v>4450.7555940000011</v>
      </c>
      <c r="J75" s="3">
        <f>2878.2+(2370.1-233.8)+(-2.935764+(-2.417502--0.238476))+0-669.2--0.682584000000107</f>
        <v>4340.8677940000007</v>
      </c>
      <c r="K75" s="3">
        <f>2855.8+(2239.4-240.1)+(-2.912916+(-2.284188--0.244902))+0-654.7--0.667794000000104</f>
        <v>4196.1155920000001</v>
      </c>
      <c r="L75" s="3">
        <f>2586.3+(2144.1-243.5)+(-1.319013+(-1.093491--0.124185))+0-724.8--0.369647999999926</f>
        <v>3760.1813289999991</v>
      </c>
      <c r="M75" s="3">
        <f>2691.4+(1763-340.1)+(0+(0-0))+0-531.2-0</f>
        <v>3583.1000000000004</v>
      </c>
      <c r="N75" s="3">
        <f>2837.5+(1796.8-394.4)+(2.89425+(1.832736-0.402288))+0-631.9-0.644538000000101</f>
        <v>3611.6801599999999</v>
      </c>
      <c r="O75" s="3">
        <f>2860.3+(1805.5-423)+(-1.458753+(-0.920805--0.21573))+0-599.6--0.305795999999939</f>
        <v>3641.3419680000006</v>
      </c>
      <c r="P75" s="3">
        <f>3279.7+(1564.6-510.8)+(0+(0-0))+0-568.9-0</f>
        <v>3764.6</v>
      </c>
      <c r="Q75" s="3">
        <f>4355.4+(1033.7-639.3)+(4.442508+(1.054374-0.652086))+0-645-0.657900000000103</f>
        <v>4108.9868959999994</v>
      </c>
      <c r="R75" s="3">
        <f>5439+(700.5-883.2)+(0+(0-0))+0-640.3-0</f>
        <v>4616</v>
      </c>
      <c r="S75" s="3">
        <f>5508.1+(880.1-836.1)+(-5.618262+(-0.897702--0.852822))+0-617.6--0.629952000000099</f>
        <v>4929.4668099999999</v>
      </c>
      <c r="T75" s="3">
        <f>5650.7+(887.4-823.2)+(-5.763714+(-0.905148--0.839664))+0-603.3--0.615366000000096</f>
        <v>5106.3861679999991</v>
      </c>
      <c r="U75" s="3">
        <f>5508.3+(996.8-773.5)+(-2.809233+(-0.508368--0.394485))+0-606.9--0.309518999999938</f>
        <v>5122.0864030000012</v>
      </c>
      <c r="V75" s="3">
        <f>5033.7+(1127.2-510.9)+(-12.835935+(-2.87436--1.302795))+0-668.5--1.7046749999999</f>
        <v>4968.7971749999997</v>
      </c>
      <c r="W75" s="3">
        <f>4003.1+(1595.4-341.1)+(-10.207905+(-4.06827--0.869805))+0-588.2--1.49990999999991</f>
        <v>4657.2935399999997</v>
      </c>
      <c r="X75" s="3">
        <f>3055.4+(1998.6-340.1)+(-6.233016+(-4.077144--0.693804))+0-575.4--1.17381599999997</f>
        <v>4130.0574599999991</v>
      </c>
      <c r="Y75" s="3">
        <f>2893.3+(1912.6-361.7)+(0+(0-0))+0-608.8-0</f>
        <v>3835.3999999999996</v>
      </c>
      <c r="Z75" s="3">
        <f>3805.2+(1316.6-500.2)+(-5.821956+(-2.014398--0.765306))+0-640.6--0.980118000000037</f>
        <v>3974.9090699999997</v>
      </c>
      <c r="AA75" s="3">
        <f>4805.3+(944.2-623.3)+(-7.352109+(-1.444626--0.953649))+0-586--0.896580000000034</f>
        <v>4533.2534940000005</v>
      </c>
      <c r="AB75" s="3">
        <f>4386.8+(1359.4-458.4)+(-2.237268+(-0.693294--0.233784))+0-669.5--0.341444999999932</f>
        <v>4615.9446669999998</v>
      </c>
      <c r="AC75" s="3">
        <f>3605.5+(2023.4-280.8)+(-5.516415+(-3.095802--0.429624))+0-648.3--0.991899000000037</f>
        <v>4692.6093059999994</v>
      </c>
      <c r="AD75">
        <f t="shared" si="1"/>
        <v>104787.54498699999</v>
      </c>
      <c r="AE75" s="3">
        <f>5132+(790-635)+(0+(0-0))+0-620-0</f>
        <v>4667</v>
      </c>
    </row>
    <row r="76" spans="1:31" customFormat="1" x14ac:dyDescent="0.25">
      <c r="A76">
        <v>89</v>
      </c>
      <c r="B76">
        <v>3</v>
      </c>
      <c r="C76">
        <v>14</v>
      </c>
      <c r="D76">
        <v>7</v>
      </c>
      <c r="E76">
        <v>4</v>
      </c>
      <c r="F76" s="3">
        <f>3525.1+(2166.3-282.5)+(0+(0-0))+0-684.3-0</f>
        <v>4724.5999999999995</v>
      </c>
      <c r="G76" s="3">
        <f>3220.3+(2251.9-243.1)+(-1.642353+(-1.148469--0.123981))+0-656.5--0.334814999999933</f>
        <v>4570.2679740000003</v>
      </c>
      <c r="H76" s="3">
        <f>3304.4+(2055.3-223.6)+(3.370488+(2.096406-0.228072))+0-714.5-0.728790000000114</f>
        <v>4426.1100320000005</v>
      </c>
      <c r="I76" s="3">
        <f>3265.9+(1999.5-246.4)+(-3.331218+(-2.03949--0.251328))+0-662--0.675240000000106</f>
        <v>4352.5558600000004</v>
      </c>
      <c r="J76" s="3">
        <f>3100.3+(1937.7-240.5)+(0+(0-0))+0-551-0</f>
        <v>4246.5</v>
      </c>
      <c r="K76" s="3">
        <f>2966.7+(2044.1-240.5)+(0+(0-0))+0-625.8-0</f>
        <v>4144.4999999999991</v>
      </c>
      <c r="L76" s="3">
        <f>2670.9+(2056.2-224.3)+(0+(0-0))+0-694.2-0</f>
        <v>3808.6000000000004</v>
      </c>
      <c r="M76" s="3">
        <f>2608+(1819.3-219.4)+(-3.99024+(-2.783529--0.335682))+0-598.2--0.915246000000035</f>
        <v>3604.1771589999994</v>
      </c>
      <c r="N76" s="3">
        <f>2712.9+(1737.8-248.8)+(-2.767158+(-1.772556--0.253776))+0-650.7--0.663714000000104</f>
        <v>3547.5777760000001</v>
      </c>
      <c r="O76" s="3">
        <f>2745.6+(1626.1-282.2)+(-1.400256+(-0.829311--0.143922))+0-584.3--0.297992999999941</f>
        <v>3503.4123479999998</v>
      </c>
      <c r="P76" s="3">
        <f>2914.8+(1608.8-300.6)+(1.486548+(0.820488-0.153306))+0-655.4-0.334253999999933</f>
        <v>3569.419476</v>
      </c>
      <c r="Q76" s="3">
        <f>3115.8+(1509.8-321.6)+(0+(0-0))+0-564.6-0</f>
        <v>3739.4</v>
      </c>
      <c r="R76" s="3">
        <f>3765+(1371.3-409.8)+(-3.8403+(-1.398726--0.417996))+0-515.2--0.525504000000082</f>
        <v>4207.0044740000003</v>
      </c>
      <c r="S76" s="3">
        <f>4069.4+(1450.6-360.3)+(-4.150788+(-1.479612--0.367506))+0-564.6--0.57589200000009</f>
        <v>4590.4129979999989</v>
      </c>
      <c r="T76" s="3">
        <f>4363.5+(1413.8-421.5)+(-4.45077+(-1.442076--0.42993))+0-580.6--0.592212000000093</f>
        <v>4770.3292959999999</v>
      </c>
      <c r="U76" s="3">
        <f>4335.8+(1428.1-350.3)+(-4.422516+(-1.456662--0.357306))+0-579.2--0.590784000000092</f>
        <v>4829.4689120000003</v>
      </c>
      <c r="V76" s="3">
        <f>4357.9+(1434.6-313.7)+(-4.445058+(-1.463292--0.319974))+0-677.9--0.691458000000108</f>
        <v>4796.0030820000002</v>
      </c>
      <c r="W76" s="3">
        <f>3708.8+(1728.8-383.4)+(-5.674464+(-2.645064--0.586602))+0-501.9--0.767907000000029</f>
        <v>4545.3349810000018</v>
      </c>
      <c r="X76" s="3">
        <f>2949.6+(1912.1-243.6)+(-3.008592+(-1.950342--0.248472))+0-521.5--0.531930000000083</f>
        <v>4092.4214680000005</v>
      </c>
      <c r="Y76" s="3">
        <f>3015.3+(1624.6-271.5)+(-1.537803+(-0.828546--0.138465))+0-659.1--0.336140999999933</f>
        <v>3707.4082569999996</v>
      </c>
      <c r="Z76" s="3">
        <f>3654.5+(1366.4-422.3)+(-1.863795+(-0.696864--0.215373))+0-593.7--0.30278699999994</f>
        <v>4002.8575010000009</v>
      </c>
      <c r="AA76" s="3">
        <f>4420.5+(1278.3-427.3)+(-2.254455+(-0.651933--0.217923))+0-676.3--0.344912999999931</f>
        <v>4592.8564479999995</v>
      </c>
      <c r="AB76" s="3">
        <f>4392.6+(1392.1-403.6)+(-6.720678+(-2.129913--0.617508))+0-629.2--0.962676000000036</f>
        <v>4744.6295930000006</v>
      </c>
      <c r="AC76" s="3">
        <f>4258.5+(1593.5-325.6)+(-4.34367+(-1.62537--0.332112))+0-650.6--0.663612000000104</f>
        <v>4870.8266839999997</v>
      </c>
      <c r="AD76">
        <f t="shared" si="1"/>
        <v>101986.67431900003</v>
      </c>
      <c r="AE76" s="3">
        <f>4565+(1233.1-470.3)+(0+(0-0))+0-728.5-0</f>
        <v>4599.3</v>
      </c>
    </row>
    <row r="77" spans="1:31" customFormat="1" x14ac:dyDescent="0.25">
      <c r="A77">
        <v>89</v>
      </c>
      <c r="B77">
        <v>3</v>
      </c>
      <c r="C77">
        <v>15</v>
      </c>
      <c r="D77">
        <v>1</v>
      </c>
      <c r="E77">
        <v>4</v>
      </c>
      <c r="F77" s="3">
        <f>3480.8+(2267.8-231.1)+(-5.325624+(-3.469734--0.353583))+0-661.1--1.01148300000004</f>
        <v>4848.9697079999996</v>
      </c>
      <c r="G77" s="3">
        <f>2927.3+(2618.5-204.5)+(0+(0-0))+0-581.8-0</f>
        <v>4759.5</v>
      </c>
      <c r="H77" s="3">
        <f>2728.9+(2539.8-197.8)+(2.783478+(2.590596-0.201756))+0-522.7-0.533154000000083</f>
        <v>4552.839164</v>
      </c>
      <c r="I77" s="3">
        <f>2807.3+(2485.6-220.1)+(-2.863446+(-2.535312--0.224502))+0-556.6--0.567732000000089</f>
        <v>4511.593476</v>
      </c>
      <c r="J77" s="3">
        <f>2777.8+(2496.3-226.1)+(0+(0-0))+0-621.3-0</f>
        <v>4426.7</v>
      </c>
      <c r="K77" s="3">
        <f>2714.4+(2576.9-221.7)+(-5.537376+(-5.256876--0.452268))+0-656.6--1.33946399999997</f>
        <v>4403.99748</v>
      </c>
      <c r="L77" s="3">
        <f>2429.7+(2372.6-223.2)+(-2.478294+(-2.420052--0.227664))+0-583.2--0.594864000000093</f>
        <v>3991.8241820000007</v>
      </c>
      <c r="M77" s="3">
        <f>2615.9+(2007.1-236.6)+(0+(0-0))+0-562.6-0</f>
        <v>3823.7999999999997</v>
      </c>
      <c r="N77" s="3">
        <f>2617.7+(1971.2-270.4)+(1.335027+(1.005312-0.137904))+0-575.5-0.293504999999942</f>
        <v>3744.9089300000001</v>
      </c>
      <c r="O77" s="3">
        <f>2747.8+(2035-369.7)+(1.401378+(1.03785-0.188547))+0-487.4-0.248573999999951</f>
        <v>3927.702107000001</v>
      </c>
      <c r="P77" s="3">
        <f>3079.8+(1865.4-460.2)+(4.712094+(2.854062-0.704106))+0-555.7-0.850221000000032</f>
        <v>3935.3118289999998</v>
      </c>
      <c r="Q77" s="3">
        <f>3695.8+(1588.2-524.9)+(3.769716+(1.619964-0.535398))+0-553.8-0.564876000000088</f>
        <v>4209.5894060000001</v>
      </c>
      <c r="R77" s="3">
        <f>4405.6+(1322.6-557.2)+(0+(0-0))+0-524.6-0</f>
        <v>4646.3999999999996</v>
      </c>
      <c r="S77" s="3">
        <f>4810.5+(1206.9-514.5)+(-2.453355+(-0.615519--0.262395))+0-519.2--0.264791999999947</f>
        <v>4981.1583129999999</v>
      </c>
      <c r="T77" s="3">
        <f>5254.2+(1069.9-590.2)+(0+(0-0))+0-592.5-0</f>
        <v>5141.3999999999996</v>
      </c>
      <c r="U77" s="3">
        <f>5080.8+(1216.3-595)+(-5.182416+(-1.240626--0.6069))+0-532.6--0.543252000000085</f>
        <v>5164.2271100000007</v>
      </c>
      <c r="V77" s="3">
        <f>4927.9+(1347.8-571.3)+(-2.513229+(-0.687378--0.291363))+0-595.4--0.30365399999994</f>
        <v>5106.3944099999999</v>
      </c>
      <c r="W77" s="3">
        <f>4240.4+(1633.4-479.2)+(-10.81302+(-4.16517--1.22196))+0-527.9--1.34614499999992</f>
        <v>4854.2899149999994</v>
      </c>
      <c r="X77" s="3">
        <f>3080+(2321.7-339.8)+(-4.7124+(-3.552201--0.519894))+0-632.3--0.967419000000036</f>
        <v>4422.8227119999992</v>
      </c>
      <c r="Y77" s="3">
        <f>2833.7+(2150.8-364.4)+(-8.671122+(-6.581448--1.115064))+0-595--1.82070000000007</f>
        <v>4012.7831940000005</v>
      </c>
      <c r="Z77" s="3">
        <f>4363.5+(1144.9-637.9)+(-2.225385+(-0.583899--0.325329))+0-581.4--0.296513999999941</f>
        <v>4286.9125590000003</v>
      </c>
      <c r="AA77" s="3">
        <f>5260.9+(1001.4-850.5)+(-13.415295+(-2.55357--2.168775))+0-558.1--1.42315499999992</f>
        <v>4841.3230649999987</v>
      </c>
      <c r="AB77" s="3">
        <f>4900+(1205-559.3)+(-4.998+(-1.2291--0.570486))+0-535--0.545700000000085</f>
        <v>5005.589085999999</v>
      </c>
      <c r="AC77" s="3">
        <f>3821.9+(2051.7-218.1)+(-7.796676+(-4.185468--0.444924))+0-561.7--1.14586799999998</f>
        <v>5083.4086479999996</v>
      </c>
      <c r="AD77">
        <f t="shared" si="1"/>
        <v>108683.44529399999</v>
      </c>
      <c r="AE77" s="3">
        <f>5643+(969.6-1119.5)+(0+(0-0))+0-623.4-0</f>
        <v>4869.7000000000007</v>
      </c>
    </row>
    <row r="78" spans="1:31" customFormat="1" x14ac:dyDescent="0.25">
      <c r="A78">
        <v>89</v>
      </c>
      <c r="B78">
        <v>3</v>
      </c>
      <c r="C78">
        <v>16</v>
      </c>
      <c r="D78">
        <v>2</v>
      </c>
      <c r="E78">
        <v>1</v>
      </c>
      <c r="F78" s="3">
        <f>3204.9+(2454.1-211.1)+(-8.172495+(-6.257955--0.538305))+0-559.5--1.42672499999992</f>
        <v>4875.9345800000001</v>
      </c>
      <c r="G78" s="3">
        <f>3190.3+(2442.5-218.1)+(-4.881159+(-3.737025--0.333693))+0-504.8--0.772344000000029</f>
        <v>4902.3878530000002</v>
      </c>
      <c r="H78" s="3">
        <f>3056.9+(2597.4-224.9)+(1.559019+(1.324674-0.114699))+0-628.1-0.320330999999936</f>
        <v>4803.7486629999994</v>
      </c>
      <c r="I78" s="3">
        <f>2962.7+(2553.2-223.7)+(-7.554885+(-6.51066--0.570435))+0-604.8--1.54223999999991</f>
        <v>4675.4471299999996</v>
      </c>
      <c r="J78" s="3">
        <f>3021+(2405.5-228.5)+(0+(0-0))+0-607.2-0</f>
        <v>4590.8</v>
      </c>
      <c r="K78" s="3">
        <f>2902.1+(2394.7-225.3)+(-7.400355+(-6.106485--0.574515))+0-605.6--1.54427999999991</f>
        <v>4454.5119549999999</v>
      </c>
      <c r="L78" s="3">
        <f>3071.4+(1906.4-235)+(1.566414+(0.972264-0.11985))+0-584.2-0.297941999999941</f>
        <v>4160.7208860000001</v>
      </c>
      <c r="M78" s="3">
        <f>3132.4+(1836.4-324.1)+(-1.597524+(-0.936564--0.165291))+0-597.9--0.304928999999939</f>
        <v>4044.7361320000005</v>
      </c>
      <c r="N78" s="3">
        <f>3169.2+(1740.3-425.6)+(0+(0-0))+0-556-0</f>
        <v>3927.8999999999996</v>
      </c>
      <c r="O78" s="3">
        <f>3378.3+(1696.9-489.9)+(1.722933+(0.865419-0.249849))+0-533-0.271829999999946</f>
        <v>4054.366673</v>
      </c>
      <c r="P78" s="3">
        <f>4442.9+(1338.6-1045.2)+(0+(0-0))+0-573.7-0</f>
        <v>4162.5999999999995</v>
      </c>
      <c r="Q78" s="3">
        <f>5403.5+(1124.8-1440.2)+(2.755785+(0.573648-0.734502))+0-553.2-0.282131999999944</f>
        <v>4537.2127989999999</v>
      </c>
      <c r="R78" s="3">
        <f>6568+(763.3-1769.9)+(-3.34968+(-0.389283--0.902649))+0-523.9--0.267188999999947</f>
        <v>5034.930875</v>
      </c>
      <c r="S78" s="3">
        <f>6552.8+(706.9-1363.7)+(-6.683856+(-0.721038--1.390974))+0-600.5--0.612510000000096</f>
        <v>5290.0985899999996</v>
      </c>
      <c r="T78" s="3">
        <f>6829.9+(665.6-1570.6)+(-6.966498+(-0.678912--1.602012))+0-589.2--0.600984000000094</f>
        <v>5330.2575859999997</v>
      </c>
      <c r="U78" s="3">
        <f>6505.3+(716.6-1469.4)+(-6.635406+(-0.730932--1.498788))+0-537.9--0.548658000000086</f>
        <v>5209.2811080000001</v>
      </c>
      <c r="V78" s="3">
        <f>6182.4+(898-1199.1)+(-12.612096+(-1.83192--2.446164))+0-643.9--1.31355599999997</f>
        <v>5226.7157039999993</v>
      </c>
      <c r="W78" s="3">
        <f>4993.6+(1354.8-848.6)+(-12.73368+(-3.45474--2.16393))+0-480.5--1.22527499999993</f>
        <v>5006.5007850000002</v>
      </c>
      <c r="X78" s="3">
        <f>4372.7+(1387.8-680.9)+(-13.380462+(-4.246668--2.083554))+0-542.1--1.65882600000006</f>
        <v>4523.6152499999989</v>
      </c>
      <c r="Y78" s="3">
        <f>4321.3+(1093.1-820.7)+(-8.815452+(-2.229924--1.674228))+0-488.1--0.995723999999979</f>
        <v>4097.2245759999996</v>
      </c>
      <c r="Z78" s="3">
        <f>4930+(823.4-838.1)+(0+(0-0))+0-625.3-0</f>
        <v>4290</v>
      </c>
      <c r="AA78" s="3">
        <f>5311.1+(1015.6-793.6)+(-13.543305+(-2.58978--2.02368))+0-631.9--1.61134499999991</f>
        <v>4888.7019400000008</v>
      </c>
      <c r="AB78" s="3">
        <f>5035+(1170.8-537.4)+(-10.2714+(-2.388432--1.096296))+0-606.1--1.23644399999997</f>
        <v>5051.9729079999997</v>
      </c>
      <c r="AC78" s="3">
        <f>4414.3+(1624.3-343)+(-13.507758+(-4.970358--1.04958))+0-529.6--1.62057600000006</f>
        <v>5150.1920399999999</v>
      </c>
      <c r="AD78">
        <f t="shared" si="1"/>
        <v>112289.85803299997</v>
      </c>
      <c r="AE78" s="3">
        <f>5477.1+(972.4-732.1)+(0+(0-0))+0-694.8-0</f>
        <v>5022.6000000000004</v>
      </c>
    </row>
    <row r="79" spans="1:31" customFormat="1" x14ac:dyDescent="0.25">
      <c r="A79">
        <v>89</v>
      </c>
      <c r="B79">
        <v>3</v>
      </c>
      <c r="C79">
        <v>17</v>
      </c>
      <c r="D79">
        <v>3</v>
      </c>
      <c r="E79">
        <v>1</v>
      </c>
      <c r="F79" s="3">
        <f>4077.2+(1852.6-233.6)+(0+(0-0))+0-587.3-0</f>
        <v>5108.8999999999996</v>
      </c>
      <c r="G79" s="3">
        <f>3915.9+(1856.7-293.4)+(-3.994218+(-1.893834--0.299268))+0-492.8--0.502656000000079</f>
        <v>4981.3138720000006</v>
      </c>
      <c r="H79" s="3">
        <f>3739.4+(1930-253.5)+(0+(0-0))+0-554-0</f>
        <v>4861.8999999999996</v>
      </c>
      <c r="I79" s="3">
        <f>3257.3+(2339.1-233.7)+(-4.983669+(-3.578823--0.357561))+0-620.2--0.948906000000036</f>
        <v>4735.2439750000003</v>
      </c>
      <c r="J79" s="3">
        <f>3295.3+(2133.3-235)+(-1.680603+(-1.087983--0.11985))+0-560.1--0.285650999999943</f>
        <v>4631.136915</v>
      </c>
      <c r="K79" s="3">
        <f>2963.6+(2488.9-233.1)+(-6.045744+(-5.077356--0.475524))+0-672.6--1.37210399999997</f>
        <v>4537.524527999999</v>
      </c>
      <c r="L79" s="3">
        <f>2809.2+(2314.9-245)+(-2.865384+(-2.361198--0.2499))+0-630.4--0.643008000000101</f>
        <v>4244.3663260000003</v>
      </c>
      <c r="M79" s="3">
        <f>2960.4+(1973-245.7)+(0+(0-0))+0-599.1-0</f>
        <v>4088.6</v>
      </c>
      <c r="N79" s="3">
        <f>3021.9+(1831.2-307.1)+(-1.541169+(-0.933912--0.156621))+0-552.8--0.281927999999944</f>
        <v>3991.1634679999993</v>
      </c>
      <c r="O79" s="3">
        <f>3118.5+(1729.8-382.2)+(-3.18087+(-1.764396--0.389844))+0-562.6--0.57385200000009</f>
        <v>3899.5184300000001</v>
      </c>
      <c r="P79" s="3">
        <f>3801+(1535.3-624.5)+(-1.93851+(-0.783003--0.318495))+0-570--0.290699999999942</f>
        <v>4139.6876819999998</v>
      </c>
      <c r="Q79" s="3">
        <f>4752.5+(1201-829.9)+(0+(0-0))+0-623.2-0</f>
        <v>4500.4000000000005</v>
      </c>
      <c r="R79" s="3">
        <f>5991.9+(795.9-1166.3)+(-6.111738+(-0.811818--1.189626))+0-558.2--0.569364000000089</f>
        <v>5058.1354339999998</v>
      </c>
      <c r="S79" s="3">
        <f>6382.2+(582.5-1133.3)+(-9.764766+(-0.891225--1.733949))+0-602--0.921060000000035</f>
        <v>5221.3990179999992</v>
      </c>
      <c r="T79" s="3">
        <f>6898.3+(541.5-1450.6)+(-7.036266+(-0.55233--1.479612))+0-588.6--0.600372000000094</f>
        <v>5395.0913879999998</v>
      </c>
      <c r="U79" s="3">
        <f>6744.5+(543.9-1378.5)+(-3.439695+(-0.277389--0.703035))+0-522--0.266219999999947</f>
        <v>5385.1521709999988</v>
      </c>
      <c r="V79" s="3">
        <f>6590.1+(648.1-1276.6)+(-6.721902+(-0.661062--1.302132))+0-636.5--0.649230000000101</f>
        <v>5319.6683980000007</v>
      </c>
      <c r="W79" s="3">
        <f>5558.9+(981.6-1050.9)+(-11.340156+(-2.002464--2.143836))+0-495.6--1.01102399999998</f>
        <v>4983.8122399999993</v>
      </c>
      <c r="X79" s="3">
        <f>4196.7+(1498.1-603.2)+(-8.561268+(-3.056124--1.230528))+0-568.8--1.16035199999998</f>
        <v>4513.5734879999991</v>
      </c>
      <c r="Y79" s="3">
        <f>3344.2+(1909.8-438.3)+(-5.116626+(-2.921994--0.670599))+0-530--0.810900000000031</f>
        <v>4279.142879</v>
      </c>
      <c r="Z79" s="3">
        <f>3967.2+(1682-570.8)+(-6.069816+(-2.57346--0.873324))+0-540.5--0.826965000000031</f>
        <v>4530.9570130000002</v>
      </c>
      <c r="AA79" s="3">
        <f>5023.1+(1357-782.9)+(-5.123562+(-1.38414--0.798558))+0-590.7--0.602514000000094</f>
        <v>5001.3933700000007</v>
      </c>
      <c r="AB79" s="3">
        <f>4542.6+(1678.2-538.8)+(-6.950178+(-2.567646--0.824364))+0-556.3--0.851139000000032</f>
        <v>5117.8576789999997</v>
      </c>
      <c r="AC79" s="3">
        <f>4085.3+(2007-363.6)+(-6.250509+(-3.07071--0.556308))+0-593.7--0.908361000000034</f>
        <v>5127.1434500000005</v>
      </c>
      <c r="AD79">
        <f t="shared" si="1"/>
        <v>113653.081724</v>
      </c>
      <c r="AE79" s="3">
        <f>5041+(1352.2-862.2)+(0+(0-0))+0-599.5-0</f>
        <v>4931.5</v>
      </c>
    </row>
    <row r="80" spans="1:31" customFormat="1" x14ac:dyDescent="0.25">
      <c r="A80">
        <v>89</v>
      </c>
      <c r="B80">
        <v>3</v>
      </c>
      <c r="C80">
        <v>18</v>
      </c>
      <c r="D80">
        <v>4</v>
      </c>
      <c r="E80">
        <v>1</v>
      </c>
      <c r="F80" s="3">
        <f>3105.9+(2698.7-223.4)+(-4.752027+(-4.129011--0.341802))+0-497.2--0.760716000000029</f>
        <v>5076.2214800000002</v>
      </c>
      <c r="G80" s="3">
        <f>2866.6+(2937.4-222.4)+(-7.30983+(-7.49037--0.56712))+0-594.7--1.51648499999991</f>
        <v>4974.1834050000007</v>
      </c>
      <c r="H80" s="3">
        <f>2836.2+(2805.2-228.2)+(0+(0-0))+0-559-0</f>
        <v>4854.2</v>
      </c>
      <c r="I80" s="3">
        <f>2834.2+(2708-226.3)+(-5.781768+(-5.52432--0.461652))+0-559.7--1.14178799999998</f>
        <v>4746.4973519999994</v>
      </c>
      <c r="J80" s="3">
        <f>3025.1+(2394.4-231.1)+(-1.542801+(-1.221144--0.117861))+0-534.9--0.272798999999946</f>
        <v>4651.1267150000003</v>
      </c>
      <c r="K80" s="3">
        <f>2831.1+(2525.4-228.5)+(-8.663166+(-7.727724--0.69921))+0-556.4--1.70258400000006</f>
        <v>4557.6109040000001</v>
      </c>
      <c r="L80" s="3">
        <f>2646+(2329.3-210.8)+(-2.69892+(-2.375886--0.215016))+0-571.4--0.582828000000091</f>
        <v>4188.8230380000005</v>
      </c>
      <c r="M80" s="3">
        <f>2985.2+(1866.5-351.5)+(0+(0-0))+0-467.7-0</f>
        <v>4032.5</v>
      </c>
      <c r="N80" s="3">
        <f>3031.7+(1761.1-388.3)+(-3.092334+(-1.796322--0.396066))+0-435.6--0.444312000000069</f>
        <v>3964.8517220000003</v>
      </c>
      <c r="O80" s="3">
        <f>3113.8+(1878.6-444.5)+(4.764114+(2.874258-0.680085))+0-570.5-0.872865000000033</f>
        <v>3983.4854220000002</v>
      </c>
      <c r="P80" s="3">
        <f>3778.3+(1498.6-759)+(-3.853866+(-1.528572--0.77418))+0-480.3--0.489906000000077</f>
        <v>4033.4816479999995</v>
      </c>
      <c r="Q80" s="3">
        <f>4878.1+(1133.9-1245.5)+(4.975662+(1.156578-1.27041))+0-502.9-0.51295800000008</f>
        <v>4267.9488719999999</v>
      </c>
      <c r="R80" s="3">
        <f>5995.3+(851.2-1567.1)+(-9.172809+(-1.302336--2.397663))+0-588.4--0.900252000000034</f>
        <v>4683.8227700000016</v>
      </c>
      <c r="S80" s="3">
        <f>5805.5+(871.1-1103.9)+(-5.92161+(-0.888522--1.125978))+0-540.3--0.551106000000086</f>
        <v>5027.2669519999999</v>
      </c>
      <c r="T80" s="3">
        <f>6171.2+(833.4-1176.3)+(3.147312+(0.425034-0.599913))+0-610.1-0.311150999999938</f>
        <v>5220.8612819999998</v>
      </c>
      <c r="U80" s="3">
        <f>6316.4+(808.3-1216.5)+(0+(0-0))+0-610.2-0</f>
        <v>5298</v>
      </c>
      <c r="V80" s="3">
        <f>6110.7+(900.2-1235.9)+(0+(0-0))+0-563.2-0</f>
        <v>5211.8</v>
      </c>
      <c r="W80" s="3">
        <f>5176.2+(1376.9-905.8)+(-10.559448+(-2.808876--1.847832))+0-528--1.07711999999998</f>
        <v>5108.8566280000005</v>
      </c>
      <c r="X80" s="3">
        <f>3375.4+(2037.6-442.3)+(-6.885816+(-4.156704--0.902292))+0-500.5--1.02101999999998</f>
        <v>4461.0807919999997</v>
      </c>
      <c r="Y80" s="3">
        <f>3192.3+(1881.4-452)+(-13.024584+(-7.676112--1.84416))+0-579.9--2.36599199999995</f>
        <v>4025.3094560000004</v>
      </c>
      <c r="Z80" s="3">
        <f>3901.7+(1449.6-600.8)+(-7.959468+(-2.957184--1.225632))+0-573.2--1.16932799999998</f>
        <v>4168.7783079999999</v>
      </c>
      <c r="AA80" s="3">
        <f>5246.8+(1194.6-1097.1)+(-5.351736+(-1.218492--1.119042))+0-605.9--0.618018000000097</f>
        <v>4733.5668320000004</v>
      </c>
      <c r="AB80" s="3">
        <f>5159.8+(1255.6-938.6)+(-7.894494+(-1.921068--1.436058))+0-555.5--0.849915000000032</f>
        <v>4913.7704109999995</v>
      </c>
      <c r="AC80" s="3">
        <f>4400+(1691-417.2)+(-8.976+(-3.44964--0.851088))+0-643.1--1.31192399999997</f>
        <v>5020.4373719999994</v>
      </c>
      <c r="AD80">
        <f t="shared" si="1"/>
        <v>111204.48136099998</v>
      </c>
      <c r="AE80" s="3">
        <f>5366+(1150.3-1193.4)+(0+(0-0))+0-580.3-0</f>
        <v>4742.5999999999995</v>
      </c>
    </row>
    <row r="81" spans="1:31" customFormat="1" x14ac:dyDescent="0.25">
      <c r="A81">
        <v>89</v>
      </c>
      <c r="B81">
        <v>3</v>
      </c>
      <c r="C81">
        <v>19</v>
      </c>
      <c r="D81">
        <v>5</v>
      </c>
      <c r="E81">
        <v>1</v>
      </c>
      <c r="F81" s="3">
        <f>3345.3+(2443.7-219.3)+(-5.118309+(-3.738861--0.335529))+0-541.9--0.829107000000031</f>
        <v>5020.1074660000004</v>
      </c>
      <c r="G81" s="3">
        <f>2907.4+(2825.5-231.8)+(-5.931096+(-5.76402--0.472872))+0-625.9--1.27683599999997</f>
        <v>4865.2545920000011</v>
      </c>
      <c r="H81" s="3">
        <f>2835.6+(2690.7-229.7)+(-2.892312+(-2.744514--0.234294))+0-558.5--0.569670000000089</f>
        <v>4733.2671380000002</v>
      </c>
      <c r="I81" s="3">
        <f>2845.6+(2573.5-228.1)+(-7.25628+(-6.562425--0.581655))+0-566.4--1.44431999999992</f>
        <v>4612.8072700000002</v>
      </c>
      <c r="J81" s="3">
        <f>2778.8+(2535.7-236.2)+(2.834376+(2.586414-0.240924))+0-555.7-0.566814000000089</f>
        <v>4527.213052000001</v>
      </c>
      <c r="K81" s="3">
        <f>2707+(2541.3-226.7)+(-6.90285+(-6.480315--0.578085))+0-605.6--1.54427999999991</f>
        <v>4404.7392</v>
      </c>
      <c r="L81" s="3">
        <f>2675.2+(2108.2-212.9)+(-1.364352+(-1.075182--0.108579))+0-533.1--0.271880999999946</f>
        <v>4035.3409259999999</v>
      </c>
      <c r="M81" s="3">
        <f>2889.5+(1721.1-269.5)+(2.94729+(1.755522-0.27489))+0-479.8-0.489396000000076</f>
        <v>3865.2385260000001</v>
      </c>
      <c r="N81" s="3">
        <f>2956.4+(1677.3-370.4)+(0+(0-0))+0-441.6-0</f>
        <v>3821.7000000000003</v>
      </c>
      <c r="O81" s="3">
        <f>3183.6+(1671-457.4)+(0+(0-0))+0-553.5-0</f>
        <v>3843.7</v>
      </c>
      <c r="P81" s="3">
        <f>3782.8+(1402.2-597.6)+(-3.858456+(-1.430244--0.609552))+0-603.8--0.615876000000096</f>
        <v>3979.5367280000005</v>
      </c>
      <c r="Q81" s="3">
        <f>4788.2+(1253.3-1173.9)+(4.883964+(1.278366-1.197378))+0-451.8-0.460836000000072</f>
        <v>4420.3041159999993</v>
      </c>
      <c r="R81" s="3">
        <f>5918.9+(985.9-1437)+(-9.055917+(-1.508427--2.19861))+0-569.4--0.871182000000033</f>
        <v>4890.9054479999995</v>
      </c>
      <c r="S81" s="3">
        <f>6017.8+(824.9-1164.4)+(-3.069078+(-0.420699--0.593844))+0-558.5--0.284834999999943</f>
        <v>5117.1889020000008</v>
      </c>
      <c r="T81" s="3">
        <f>6433.9+(732.4-1300.8)+(-3.281289+(-0.373524--0.663408))+0-571.8--0.291617999999942</f>
        <v>5291.0002130000003</v>
      </c>
      <c r="U81" s="3">
        <f>6433.1+(660.7-1210.5)+(-6.561762+(-0.673914--1.23471))+0-511.9--0.522138000000082</f>
        <v>5365.9211720000012</v>
      </c>
      <c r="V81" s="3">
        <f>6267.3+(776.4-1151.1)+(-9.588969+(-1.187892--1.761183))+0-659.1--1.00842300000004</f>
        <v>5225.4927450000005</v>
      </c>
      <c r="W81" s="3">
        <f>5213+(1300.1-864.6)+(-7.97589+(-1.989153--1.322838))+0-572.9--0.876537000000033</f>
        <v>5067.8343320000004</v>
      </c>
      <c r="X81" s="3">
        <f>3524.4+(2008.6-463.7)+(-8.98722+(-5.12193--1.182435))+0-536.2--1.36730999999992</f>
        <v>4521.5405950000004</v>
      </c>
      <c r="Y81" s="3">
        <f>3227.4+(1845-412.2)+(-8.22987+(-4.70475--1.05111))+0-598.4--1.52591999999991</f>
        <v>4051.4424100000001</v>
      </c>
      <c r="Z81" s="3">
        <f>4373.3+(1114.3-799.8)+(-4.460766+(-1.136586--0.815796))+0-479--0.488580000000076</f>
        <v>4204.5070240000005</v>
      </c>
      <c r="AA81" s="3">
        <f>5430.4+(1153-1050.9)+(-8.308512+(-1.76409--1.607877))+0-697.2--1.06671600000004</f>
        <v>4827.9019910000006</v>
      </c>
      <c r="AB81" s="3">
        <f>4950.7+(1275.4-673.6)+(-12.624285+(-3.25227--1.71768))+0-575--1.46624999999992</f>
        <v>4964.8073749999994</v>
      </c>
      <c r="AC81" s="3">
        <f>4156.5+(1809.1-356)+(0+(0-0))+0-592.8-0</f>
        <v>5016.8</v>
      </c>
      <c r="AD81">
        <f t="shared" si="1"/>
        <v>110674.55122100002</v>
      </c>
      <c r="AE81" s="3">
        <f>5831+(1080.2-1317.7)+(0+(0-0))+0-756.8-0</f>
        <v>4836.7</v>
      </c>
    </row>
    <row r="82" spans="1:31" customFormat="1" x14ac:dyDescent="0.25">
      <c r="A82">
        <v>89</v>
      </c>
      <c r="B82">
        <v>3</v>
      </c>
      <c r="C82">
        <v>20</v>
      </c>
      <c r="D82">
        <v>6</v>
      </c>
      <c r="E82">
        <v>1</v>
      </c>
      <c r="F82" s="3">
        <f>3177+(2843.8-216.8)+(-3.24054+(-2.900676--0.221136))+0-680.2--0.693804000000109</f>
        <v>5118.5737240000008</v>
      </c>
      <c r="G82" s="3">
        <f>2937.7+(2947-196)+(4.494681+(4.50891-0.29988))+0-675.1-1.03290300000004</f>
        <v>5021.2708079999993</v>
      </c>
      <c r="H82" s="3">
        <f>2796.1+(2868.4-208)+(0+(0-0))+0-617.2-0</f>
        <v>4839.3</v>
      </c>
      <c r="I82" s="3">
        <f>2736.9+(2861.3-222)+(1.395819+(1.459263-0.11322))+0-665.4-0.339353999999932</f>
        <v>4713.2025080000012</v>
      </c>
      <c r="J82" s="3">
        <f>2678.4+(2819.4-230.5)+(-2.731968+(-2.875788--0.23511))+0-626.9--0.6394380000001</f>
        <v>4635.6667920000009</v>
      </c>
      <c r="K82" s="3">
        <f>2717.8+(2713.9-220.1)+(-4.158234+(-4.152267--0.336753))+0-655.5--1.00291500000004</f>
        <v>4549.1291670000001</v>
      </c>
      <c r="L82" s="3">
        <f>2669+(2393.9-214.8)+(-1.36119+(-1.220889--0.109548))+0-680.2--0.346901999999931</f>
        <v>4165.7743710000004</v>
      </c>
      <c r="M82" s="3">
        <f>2885.3+(1846.7-225.2)+(1.471503+(0.941817-0.114852))+0-547.6-0.279275999999944</f>
        <v>3961.2191920000005</v>
      </c>
      <c r="N82" s="3">
        <f>3025.8+(1691.4-257.2)+(3.086316+(1.725228-0.262344))+0-555.4-0.566508000000089</f>
        <v>3908.5826920000004</v>
      </c>
      <c r="O82" s="3">
        <f>3234.9+(1543.7-384.8)+(6.599196+(3.149148-0.784992))+0-480.4-0.980015999999979</f>
        <v>3921.3833359999999</v>
      </c>
      <c r="P82" s="3">
        <f>4227.6+(1064-708.3)+(4.312152+(1.08528-0.722466))+0-440.8-0.44961600000007</f>
        <v>4146.7253499999997</v>
      </c>
      <c r="Q82" s="3">
        <f>5420.2+(951.6-1367.3)+(5.528604+(0.970632-1.394646))+0-540.6-0.551412000000086</f>
        <v>4468.4531779999998</v>
      </c>
      <c r="R82" s="3">
        <f>6112.1+(763-1346)+(3.117171+(0.38913-0.68646))+0-591.7-0.30176699999994</f>
        <v>4939.9180740000011</v>
      </c>
      <c r="S82" s="3">
        <f>6406.7+(698.2-1303.8)+(0+(0-0))+0-700.8-0</f>
        <v>5100.3</v>
      </c>
      <c r="T82" s="3">
        <f>6612.8+(652.6-1342.3)+(0+(0-0))+0-655-0</f>
        <v>5268.1</v>
      </c>
      <c r="U82" s="3">
        <f>6506.4+(708.3-1213.4)+(-3.318264+(-0.361233--0.618834))+0-647.7--0.330326999999934</f>
        <v>5350.8696639999989</v>
      </c>
      <c r="V82" s="3">
        <f>6019.7+(860.4-912.4)+(-6.140094+(-0.877608--0.930648))+0-709--0.723180000000113</f>
        <v>5253.3361260000001</v>
      </c>
      <c r="W82" s="3">
        <f>4628.1+(1459-526.7)+(-7.080993+(-2.23227--0.805851))+0-592.6--0.906678000000034</f>
        <v>4960.1992660000005</v>
      </c>
      <c r="X82" s="3">
        <f>3454.5+(2046.4-375.3)+(-8.808975+(-5.21832--0.957015))+0-626.3--1.59706499999991</f>
        <v>4487.8267850000002</v>
      </c>
      <c r="Y82" s="3">
        <f>2913.3+(2079-370.3)+(-4.457349+(-3.18087--0.566559))+0-640.9--0.980577000000037</f>
        <v>3975.0089170000001</v>
      </c>
      <c r="Z82" s="3">
        <f>3509.3+(1668.7-447.3)+(-1.789743+(-0.851037--0.228123))+0-609.6--0.310895999999938</f>
        <v>4118.9982390000005</v>
      </c>
      <c r="AA82" s="3">
        <f>5115+(1047.3-795.5)+(-5.2173+(-1.068246--0.81141))+0-689.7--0.70349400000011</f>
        <v>4672.3293580000009</v>
      </c>
      <c r="AB82" s="3">
        <f>4871.7+(1142.9-616.3)+(-4.969134+(-1.165758--0.628626))+0-575.3--0.586806000000092</f>
        <v>4818.0805399999999</v>
      </c>
      <c r="AC82" s="3">
        <f>4244.2+(1721.1-395.8)+(-2.164542+(-0.877761--0.201858))+0-673.6--0.343535999999932</f>
        <v>4893.4030910000001</v>
      </c>
      <c r="AD82">
        <f t="shared" si="1"/>
        <v>111287.651178</v>
      </c>
      <c r="AE82" s="3">
        <f>5221+(1035.7-789.8)+(0+(0-0))+0-628.3-0</f>
        <v>4838.5999999999995</v>
      </c>
    </row>
    <row r="83" spans="1:31" customFormat="1" x14ac:dyDescent="0.25">
      <c r="A83">
        <v>89</v>
      </c>
      <c r="B83">
        <v>3</v>
      </c>
      <c r="C83">
        <v>21</v>
      </c>
      <c r="D83">
        <v>7</v>
      </c>
      <c r="E83">
        <v>1</v>
      </c>
      <c r="F83" s="3">
        <f>3765.5+(2110.4-296.6)+(0+(0-0))+0-644.3-0</f>
        <v>4935</v>
      </c>
      <c r="G83" s="3">
        <f>3257.5+(2561.1-245.5)+(-4.983975+(-3.918483--0.375615))+0-676.7--1.03535100000004</f>
        <v>4888.9085080000013</v>
      </c>
      <c r="H83" s="3">
        <f>3082.4+(2569-251.4)+(0+(0-0))+0-642.5-0</f>
        <v>4757.5</v>
      </c>
      <c r="I83" s="3">
        <f>3164.3+(2371.3-228.3)+(0+(0-0))+0-654-0</f>
        <v>4653.3</v>
      </c>
      <c r="J83" s="3">
        <f>3168.4+(2245.2-232.6)+(3.231768+(2.290104-0.237252))+0-638.3-0.651066000000102</f>
        <v>4547.3335539999998</v>
      </c>
      <c r="K83" s="3">
        <f>2976.6+(2397.8-219)+(-6.072264+(-4.891512--0.44676))+0-713.1--1.45472399999997</f>
        <v>4433.2377079999997</v>
      </c>
      <c r="L83" s="3">
        <f>2808.7+(2076.1-225.1)+(0+(0-0))+0-578.5-0</f>
        <v>4081.2</v>
      </c>
      <c r="M83" s="3">
        <f>2761.4+(1909.7-235.7)+(-4.224942+(-2.921841--0.360621))+0-542.6--0.830178000000031</f>
        <v>3886.8440159999996</v>
      </c>
      <c r="N83" s="3">
        <f>2780.2+(1903.4-226.1)+(0+(0-0))+0-624.4-0</f>
        <v>3833.1</v>
      </c>
      <c r="O83" s="3">
        <f>2899+(1648.8-237.2)+(0+(0-0))+0-489.4-0</f>
        <v>3821.2000000000003</v>
      </c>
      <c r="P83" s="3">
        <f>3055+(1614.7-244.7)+(-1.55805+(-0.823497--0.124797))+0-553.6--0.282335999999944</f>
        <v>3869.4255860000003</v>
      </c>
      <c r="Q83" s="3">
        <f>3748+(1322.2-281.2)+(5.73444+(2.022966-0.430236))+0-651.7-0.997101000000038</f>
        <v>4143.6300689999998</v>
      </c>
      <c r="R83" s="3">
        <f>4922.9+(813.5-480.6)+(0+(0-0))+0-618.1-0</f>
        <v>4637.6999999999989</v>
      </c>
      <c r="S83" s="3">
        <f>5664.6+(749.8-792.5)+(0+(0-0))+0-599.2-0</f>
        <v>5022.7000000000007</v>
      </c>
      <c r="T83" s="3">
        <f>5601.5+(877.2-703.8)+(-5.71353+(-0.894744--0.717876))+0-570.1--0.581502000000091</f>
        <v>5199.4911039999997</v>
      </c>
      <c r="U83" s="3">
        <f>5320.9+(1020.5-549.3)+(0+(0-0))+0-483.1-0</f>
        <v>5308.9999999999991</v>
      </c>
      <c r="V83" s="3">
        <f>5047.9+(1154-421.4)+(0+(0-0))+0-565-0</f>
        <v>5215.5</v>
      </c>
      <c r="W83" s="3">
        <f>4269.4+(1571.2-324.1)+(2.177394+(0.801312-0.165291))+0-552.8-0.281927999999944</f>
        <v>4966.2314869999991</v>
      </c>
      <c r="X83" s="3">
        <f>3326+(2054-251)+(-1.69626+(-1.04754--0.12801))+0-581.7--0.296666999999941</f>
        <v>4544.980877</v>
      </c>
      <c r="Y83" s="3">
        <f>3021.6+(1766.6-255.8)+(0+(0-0))+0-424.2-0</f>
        <v>4108.2</v>
      </c>
      <c r="Z83" s="3">
        <f>3524.5+(1666.2-349.6)+(-1.797495+(-0.849762--0.178296))+0-570.5--0.290954999999942</f>
        <v>4268.4219940000012</v>
      </c>
      <c r="AA83" s="3">
        <f>4867.9+(1066.7-634.5)+(2.482629+(0.544017-0.323595))+0-466.5-0.237914999999953</f>
        <v>4836.0651360000002</v>
      </c>
      <c r="AB83" s="3">
        <f>5094.7+(1074.2-559.2)+(-5.196594+(-1.095684--0.570384))+0-576--0.587520000000092</f>
        <v>5028.5656259999996</v>
      </c>
      <c r="AC83" s="3">
        <f>4423.9+(1589.8-363.8)+(-6.768567+(-2.432394--0.556614))+0-558.7--0.854811000000032</f>
        <v>5083.4104639999996</v>
      </c>
      <c r="AD83">
        <f t="shared" si="1"/>
        <v>110070.94612899999</v>
      </c>
      <c r="AE83" s="3">
        <f>5237+(1009.6-743.5)+(0+(0-0))+0-564.9-0</f>
        <v>4938.2000000000007</v>
      </c>
    </row>
    <row r="84" spans="1:31" customFormat="1" x14ac:dyDescent="0.25">
      <c r="A84">
        <v>89</v>
      </c>
      <c r="B84">
        <v>3</v>
      </c>
      <c r="C84">
        <v>22</v>
      </c>
      <c r="D84">
        <v>1</v>
      </c>
      <c r="E84">
        <v>1</v>
      </c>
      <c r="F84" s="3">
        <f>3842.6+(2180.1-229.4)+(-3.919452+(-2.223702--0.233988))+0-591.4--0.603228000000094</f>
        <v>5196.5940619999992</v>
      </c>
      <c r="G84" s="3">
        <f>3346.5+(2547.2-233.2)+(-5.120145+(-3.897216--0.356796))+0-615.2--0.941256000000036</f>
        <v>5037.5806910000001</v>
      </c>
      <c r="H84" s="3">
        <f>3232.6+(2552.8-237.9)+(-1.648626+(-1.301928--0.121329))+0-656.7--0.334916999999933</f>
        <v>4888.3056919999999</v>
      </c>
      <c r="I84" s="3">
        <f>3246.7+(2485.4-236.4)+(-3.311634+(-2.535108--0.241128))+0-694.6--0.708492000000111</f>
        <v>4796.2028779999991</v>
      </c>
      <c r="J84" s="3">
        <f>3105.3+(2475-235.4)+(-7.918515+(-6.31125--0.60027))+0-631.3--1.60981499999991</f>
        <v>4701.5803199999991</v>
      </c>
      <c r="K84" s="3">
        <f>3011.7+(2435.7-216.2)+(-6.143868+(-4.968828--0.441048))+0-608.7--1.24174799999997</f>
        <v>4613.0701000000008</v>
      </c>
      <c r="L84" s="3">
        <f>3001+(2117.7-227.6)+(-4.59153+(-3.240081--0.348228))+0-688.8--1.05386400000004</f>
        <v>4195.8704810000008</v>
      </c>
      <c r="M84" s="3">
        <f>3280.2+(1680.8-338.5)+(0+(0-0))+0-568-0</f>
        <v>4054.5</v>
      </c>
      <c r="N84" s="3">
        <f>3180.2+(1867.1-388.6)+(0+(0-0))+0-643.9-0</f>
        <v>4014.7999999999997</v>
      </c>
      <c r="O84" s="3">
        <f>3751+(1456.2-602.8)+(1.91301+(0.742662-0.307428))+0-528.1-0.269330999999946</f>
        <v>4078.3789129999996</v>
      </c>
      <c r="P84" s="3">
        <f>5498.4+(1027.8-1768.8)+(5.608368+(1.048356-1.804176))+0-472.8-0.482256000000075</f>
        <v>4288.9702919999991</v>
      </c>
      <c r="Q84" s="3">
        <f>6711.9+(705.7-2154.5)+(-3.423069+(-0.359907--1.098795))+0-583.9--0.297788999999941</f>
        <v>4676.8136080000004</v>
      </c>
      <c r="R84" s="3">
        <f>7402.7+(429.2-2187.8)+(11.326131+(0.656676-3.347334))+0-453.1-0.693243000000026</f>
        <v>5198.9422299999997</v>
      </c>
      <c r="S84" s="3">
        <f>7493.4+(502.5-1942.8)+(-3.821634+(-0.256275--0.990828))+0-559.5--0.285344999999943</f>
        <v>5490.798264</v>
      </c>
      <c r="T84" s="3">
        <f>7747.9+(422.4-2193.5)+(11.854287+(0.646272-3.356055))+0-395.9-0.605727000000023</f>
        <v>5589.4387769999994</v>
      </c>
      <c r="U84" s="3">
        <f>7487.4+(383-1921.9)+(0+(0-0))+50.5-397.4-0</f>
        <v>5601.6</v>
      </c>
      <c r="V84" s="3">
        <f>7341.5+(436.6-1851.2)+(3.744165+(0.222666-0.944112))+6-386.1-0.196910999999961</f>
        <v>5549.6258079999989</v>
      </c>
      <c r="W84" s="3">
        <f>6654.2+(681.8-1554.7)+(-3.393642+(-0.347718--0.792897))+0-474.8--0.242147999999952</f>
        <v>5303.7936849999996</v>
      </c>
      <c r="X84" s="3">
        <f>4715.9+(1341.5-737.4)+(-4.810218+(-1.36833--0.752148))+0-457.2--0.466344000000073</f>
        <v>4857.8399440000003</v>
      </c>
      <c r="Y84" s="3">
        <f>3962.9+(1492.6-544.8)+(-2.021079+(-0.761226--0.277848))+0-472.8--0.241127999999952</f>
        <v>4435.6366709999993</v>
      </c>
      <c r="Z84" s="3">
        <f>4708.9+(1073.6-722.7)+(-4.803078+(-1.095072--0.737154))+0-524.6--0.535092000000084</f>
        <v>4530.5740959999994</v>
      </c>
      <c r="AA84" s="3">
        <f>6420.2+(769.2-1438.3)+(-3.274302+(-0.392292--0.733533))+0-572--0.291719999999942</f>
        <v>5176.4586590000008</v>
      </c>
      <c r="AB84" s="3">
        <f>5985.2+(839.9-1028.5)+(-3.052452+(-0.428349--0.524535))+185.5-637.7--0.325226999999935</f>
        <v>5341.7689609999998</v>
      </c>
      <c r="AC84" s="3">
        <f>5616.2+(965.3-695.9)+(-2.864262+(-0.492303--0.354909))+0-595.7--0.30380699999994</f>
        <v>5287.2021509999995</v>
      </c>
      <c r="AD84">
        <f t="shared" si="1"/>
        <v>116906.34628300001</v>
      </c>
      <c r="AE84" s="3">
        <f>6898+(716.3-1748.2)+(0+(0-0))+0-602.6-0</f>
        <v>5263.5</v>
      </c>
    </row>
    <row r="85" spans="1:31" customFormat="1" x14ac:dyDescent="0.25">
      <c r="A85">
        <v>89</v>
      </c>
      <c r="B85">
        <v>3</v>
      </c>
      <c r="C85">
        <v>23</v>
      </c>
      <c r="D85">
        <v>2</v>
      </c>
      <c r="E85">
        <v>1</v>
      </c>
      <c r="F85" s="3">
        <f>4532.3+(1766.5-357.7)+(-2.311473+(-0.900915--0.182427))+0-676.3--0.344912999999931</f>
        <v>5262.1149519999999</v>
      </c>
      <c r="G85" s="3">
        <f>3058.3+(2837.4-166.6)+(-6.238932+(-5.788296--0.339864))+0-620--1.26479999999997</f>
        <v>5098.6774359999999</v>
      </c>
      <c r="H85" s="3">
        <f>3148.5+(2636.3-187.1)+(-4.817205+(-4.033539--0.286263))+0-637.9--0.975987000000037</f>
        <v>4952.2115060000006</v>
      </c>
      <c r="I85" s="3">
        <f>3055.3+(2595.7-219.4)+(0+(0-0))+0-584.6-0</f>
        <v>4847</v>
      </c>
      <c r="J85" s="3">
        <f>3053.1+(2596-224)+(1.557081+(1.32396-0.11424))+0-624.4-0.318443999999937</f>
        <v>4803.1483570000009</v>
      </c>
      <c r="K85" s="3">
        <f>2951.5+(2578.7-220.7)+(-6.02106+(-5.260548--0.450228))+0-589.5--1.20257999999997</f>
        <v>4710.3712000000005</v>
      </c>
      <c r="L85" s="3">
        <f>2885.4+(2256-220.3)+(4.414662+(3.45168-0.337059))+0-570.3-0.872559000000033</f>
        <v>4357.4567239999997</v>
      </c>
      <c r="M85" s="3">
        <f>3063.1+(1992.5-234.4)+(1.562181+(1.016175-0.119544))+0-628.7-0.320636999999936</f>
        <v>4194.638175</v>
      </c>
      <c r="N85" s="3">
        <f>3401.8+(1694.6-366.4)+(-5.204754+(-2.592738--0.560592))+0-558--0.853740000000032</f>
        <v>4165.6168400000006</v>
      </c>
      <c r="O85" s="3">
        <f>3869+(1394.2-542.1)+(-3.94638+(-1.422084--0.552942))+0-522--0.532440000000083</f>
        <v>4194.8169180000004</v>
      </c>
      <c r="P85" s="3">
        <f>4979.1+(1064.5-1058.4)+(-2.539341+(-0.542895--0.539784))+0-607.1--0.309620999999938</f>
        <v>4375.867169000001</v>
      </c>
      <c r="Q85" s="3">
        <f>6521+(569.7-1726.6)+(0+(0-0))+0-554.7-0</f>
        <v>4809.4000000000005</v>
      </c>
      <c r="R85" s="3">
        <f>7347.5+(340.3-1883)+(-7.49445+(-0.347106--1.92066))+0-488.9--0.498678000000078</f>
        <v>5310.4777820000008</v>
      </c>
      <c r="S85" s="3">
        <f>7362.3+(369.3-1688.9)+(-11.264319+(-0.565029--2.584017))+0-421.5--0.644895000000024</f>
        <v>5612.5995640000001</v>
      </c>
      <c r="T85" s="3">
        <f>7554.8+(418.9-1874.6)+(-3.852948+(-0.213639--0.956046))+0-435.1--0.221900999999956</f>
        <v>5661.1113599999999</v>
      </c>
      <c r="U85" s="3">
        <f>7489.9+(447.4-1883.5)+(3.819849+(0.228174-0.960585))+0-340.3-0.173552999999965</f>
        <v>5716.413884999999</v>
      </c>
      <c r="V85" s="3">
        <f>7413.2+(491.2-1894.1)+(-3.780732+(-0.250512--0.965991))+0-438.3--0.223532999999956</f>
        <v>5569.1582800000006</v>
      </c>
      <c r="W85" s="3">
        <f>6543.9+(807-1353.9)+(-3.337389+(-0.41157--0.690489))+0-627.3--0.319922999999936</f>
        <v>5366.9614529999999</v>
      </c>
      <c r="X85" s="3">
        <f>5171.2+(1225.3-764.5)+(-7.911936+(-1.874709--1.169685))+0-590.3--0.903159000000034</f>
        <v>5033.9861989999999</v>
      </c>
      <c r="Y85" s="3">
        <f>4025+(1576.5-422.1)+(-4.1055+(-1.60803--0.430542))+0-554--0.565080000000088</f>
        <v>4620.682092</v>
      </c>
      <c r="Z85" s="3">
        <f>5073.4+(1043.5-831.3)+(-2.587434+(-0.532185--0.423963))+0-616.6--0.314465999999937</f>
        <v>4666.618809999999</v>
      </c>
      <c r="AA85" s="3">
        <f>6910.5+(798.7-1697.7)+(0+(0-0))+0-680-0</f>
        <v>5331.5</v>
      </c>
      <c r="AB85" s="3">
        <f>6770.7+(797.9-1485.8)+(-3.453057+(-0.406929--0.757758))+0-625.2--0.318851999999937</f>
        <v>5454.816624000001</v>
      </c>
      <c r="AC85" s="3">
        <f>5879.9+(1022.5-770.3)+(-8.996247+(-1.564425--1.178559))+0-611.1--0.934983000000035</f>
        <v>5512.5528699999995</v>
      </c>
      <c r="AD85">
        <f t="shared" si="1"/>
        <v>119628.19819600001</v>
      </c>
      <c r="AE85" s="3">
        <f>7150+(733.3-1882.2)+(0+(0-0))+0-669.9-0</f>
        <v>5331.2000000000007</v>
      </c>
    </row>
    <row r="86" spans="1:31" customFormat="1" x14ac:dyDescent="0.25">
      <c r="A86">
        <v>89</v>
      </c>
      <c r="B86">
        <v>3</v>
      </c>
      <c r="C86">
        <v>24</v>
      </c>
      <c r="D86">
        <v>3</v>
      </c>
      <c r="E86">
        <v>1</v>
      </c>
      <c r="F86" s="3">
        <f>4792.2+(1629.4-306)+(-4.888044+(-1.661988--0.31212))+0-655--0.668100000000104</f>
        <v>5455.0301880000006</v>
      </c>
      <c r="G86" s="3">
        <f>4486.5+(1760.1-288.5)+(0+(0-0))+0-663.1-0</f>
        <v>5295</v>
      </c>
      <c r="H86" s="3">
        <f>4190+(1870.5-254.9)+(-4.2738+(-1.90791--0.259998))+0-716.9--0.731238000000114</f>
        <v>5083.5095260000007</v>
      </c>
      <c r="I86" s="3">
        <f>3613.1+(2150.3-241.8)+(3.685362+(2.193306-0.246636))+0-528.3-0.538866000000084</f>
        <v>4998.3931660000007</v>
      </c>
      <c r="J86" s="3">
        <f>3433.5+(2388.5-225.8)+(-1.751085+(-1.218135--0.115158))+0-681.4--0.347513999999931</f>
        <v>4912.2934519999999</v>
      </c>
      <c r="K86" s="3">
        <f>2887.8+(2634.6-157.1)+(-2.945556+(-2.687292--0.160242))+0-609.5--0.621690000000097</f>
        <v>4750.9490839999999</v>
      </c>
      <c r="L86" s="3">
        <f>2860.9+(2256.7-56.3)+(1.459059+(1.150917-0.028713))+0-610.9-0.311558999999938</f>
        <v>4452.6697039999999</v>
      </c>
      <c r="M86" s="3">
        <f>3047.7+(1931.4-80.6)+(1.554327+(0.985014-0.041106))+0-599.2-0.305591999999939</f>
        <v>4301.4926430000005</v>
      </c>
      <c r="N86" s="3">
        <f>3326.3+(1778.5-278.2)+(-3.392826+(-1.81407--0.283764))+0-561.9--0.57313800000009</f>
        <v>4260.3500060000006</v>
      </c>
      <c r="O86" s="3">
        <f>3735.5+(1590.8-368.4)+(0+(0-0))+0-613.5-0</f>
        <v>4344.3999999999996</v>
      </c>
      <c r="P86" s="3">
        <f>5080.2+(1133.4-1164.1)+(5.181804+(1.156068-1.187382))+0-573.3-0.584766000000091</f>
        <v>4480.7657239999999</v>
      </c>
      <c r="Q86" s="3">
        <f>6527.5+(757.8-1726.9)+(3.329025+(0.386478-0.880719))+0-601.5-0.306764999999939</f>
        <v>4959.428018999999</v>
      </c>
      <c r="R86" s="3">
        <f>7037.1+(519.6-1783.4)+(3.588921+(0.264996-0.909534))+0-435.2-0.221951999999956</f>
        <v>5340.8224310000005</v>
      </c>
      <c r="S86" s="3">
        <f>6813.2+(372.7-1303)+(-6.949464+(-0.380154--1.32906))+0-316.2--0.32252400000005</f>
        <v>5561.0219660000002</v>
      </c>
      <c r="T86" s="3">
        <f>7137.1+(281.4-1592.7)+(7.279842+(0.287028-1.624554))+0-284.3-0.289986000000045</f>
        <v>5547.1523299999999</v>
      </c>
      <c r="U86" s="3">
        <f>7140.8+(295.1-1593.2)+(14.567232+(0.602004-3.250128))+0-287.6-0.586703999999987</f>
        <v>5566.4324040000001</v>
      </c>
      <c r="V86" s="3">
        <f>6811.3+(365.4-1325.7)+(-3.473763+(-0.186354--0.676107))+0-315.7--0.161006999999968</f>
        <v>5532.4769969999998</v>
      </c>
      <c r="W86" s="3">
        <f>6315.2+(437.4-973.2)+(-6.441504+(-0.446148--0.992664))+0-356.2--0.363324000000057</f>
        <v>5417.6683359999997</v>
      </c>
      <c r="X86" s="3">
        <f>5038.7+(1066.3-452)+(-10.278948+(-2.175252--0.92208))+0-590.4--1.20441599999997</f>
        <v>5052.2722960000001</v>
      </c>
      <c r="Y86" s="3">
        <f>3872.4+(1552-218.7)+(0+(0-0))+0-606.2-0</f>
        <v>4599.5</v>
      </c>
      <c r="Z86" s="3">
        <f>5205.4+(699.6-596.3)+(2.654754+(0.356796-0.304113))+0-558.5-0.284834999999943</f>
        <v>4752.6226019999995</v>
      </c>
      <c r="AA86" s="3">
        <f>7028.5+(533.4-1576.9)+(-3.584535+(-0.272034--0.804219))+0-608.9--0.310538999999938</f>
        <v>5373.3581890000005</v>
      </c>
      <c r="AB86" s="3">
        <f>6841.9+(552.5-1258.3)+(-10.468107+(-0.845325--1.925199))+0-641.9--0.982107000000037</f>
        <v>5485.793874</v>
      </c>
      <c r="AC86" s="3">
        <f>5908.2+(659.9-483.7)+(-6.026364+(-0.673098--0.493374))+0-541--0.551820000000086</f>
        <v>5537.7457319999994</v>
      </c>
      <c r="AD86">
        <f t="shared" si="1"/>
        <v>121061.148669</v>
      </c>
      <c r="AE86" s="3">
        <f>7257+(560.9-1453.9)+(0+(0-0))+0-707.4-0</f>
        <v>5656.6</v>
      </c>
    </row>
    <row r="87" spans="1:31" customFormat="1" x14ac:dyDescent="0.25">
      <c r="A87">
        <v>89</v>
      </c>
      <c r="B87">
        <v>3</v>
      </c>
      <c r="C87">
        <v>25</v>
      </c>
      <c r="D87">
        <v>4</v>
      </c>
      <c r="E87">
        <v>1</v>
      </c>
      <c r="F87" s="3">
        <f>4980.4+(1403.3-250.9)+(-7.620012+(-2.147049--0.383877))+0-644--0.985320000000037</f>
        <v>5480.4021359999988</v>
      </c>
      <c r="G87" s="3">
        <f>4756.4+(1457.1-233.9)+(0+(0-0))+0-666.2-0</f>
        <v>5313.4</v>
      </c>
      <c r="H87" s="3">
        <f>4328.9+(1709.1-237.4)+(-4.415478+(-1.743282--0.242148))+0-640.6--0.653412000000102</f>
        <v>5154.7367999999988</v>
      </c>
      <c r="I87" s="3">
        <f>4054.7+(1761.5-181.1)+(-2.067897+(-0.898365--0.092361))+0-563.1--0.287180999999943</f>
        <v>5069.4132799999998</v>
      </c>
      <c r="J87" s="3">
        <f>4040.7+(1807.3-204.7)+(-4.121514+(-1.843446--0.208794))+0-625.2--0.6377040000001</f>
        <v>5012.9815379999991</v>
      </c>
      <c r="K87" s="3">
        <f>3316.7+(2441.7-208.8)+(-8.457585+(-6.226335--0.53244))+0-636.7--1.62358499999991</f>
        <v>4900.3721049999995</v>
      </c>
      <c r="L87" s="3">
        <f>2678.5+(2564-216.8)+(-6.830175+(-6.5382--0.55284))+0-580.5--1.48027499999992</f>
        <v>4433.86474</v>
      </c>
      <c r="M87" s="3">
        <f>3086.3+(1877.2-227.8)+(3.148026+(1.914744-0.232356))+0-469.1-0.478482000000075</f>
        <v>4270.9519319999999</v>
      </c>
      <c r="N87" s="3">
        <f>3453.2+(1527.9-268.2)+(1.761132+(0.779229-0.136782))+0-444.1-0.226490999999955</f>
        <v>4270.9770879999987</v>
      </c>
      <c r="O87" s="3">
        <f>4031.4+(1236.8-297.5)+(2.056014+(0.630768-0.151725))+0-617.6-0.314975999999937</f>
        <v>4355.3200809999998</v>
      </c>
      <c r="P87" s="3">
        <f>4849.7+(834.3-660.4)+(-2.473347+(-0.425493--0.336804))+0-541--0.275909999999945</f>
        <v>4480.3138739999995</v>
      </c>
      <c r="Q87" s="3">
        <f>6204.6+(550.8-1394)+(0+(0-0))+0-530.6-0</f>
        <v>4830.8</v>
      </c>
      <c r="R87" s="3">
        <f>6858.6+(392.2-1493.1)+(-6.995772+(-0.400044--1.522962))+0-450.5--0.459510000000072</f>
        <v>5301.7866560000002</v>
      </c>
      <c r="S87" s="3">
        <f>7024.9+(375-1368.5)+(-7.165398+(-0.3825--1.39587))+0-393--0.400860000000063</f>
        <v>5632.6488319999989</v>
      </c>
      <c r="T87" s="3">
        <f>7189.2+(347.6-1495.3)+(0+(0-0))+0-376.4-0</f>
        <v>5665.1</v>
      </c>
      <c r="U87" s="3">
        <f>7167.8+(303.7-1523.5)+(7.311156+(0.309774-1.55397))+0-331.6-0.338232000000053</f>
        <v>5622.1287279999997</v>
      </c>
      <c r="V87" s="3">
        <f>6916.5+(340.2-1315.9)+(-7.05483+(-0.347004--1.342218))+0-308.3--0.314466000000049</f>
        <v>5626.7548500000003</v>
      </c>
      <c r="W87" s="3">
        <f>6608.1+(472.9-1016.1)+(-10.110393+(-0.723537--1.554633))+0-627.1--0.959463000000036</f>
        <v>5429.4801660000003</v>
      </c>
      <c r="X87" s="3">
        <f>4953+(1071.6-286.6)+(-7.57809+(-1.639548--0.438498))+0-678.2--1.03764600000004</f>
        <v>5052.0585060000003</v>
      </c>
      <c r="Y87" s="3">
        <f>3742.9+(1597.7-202.9)+(-3.817758+(-1.629654--0.206958))+0-550.6--0.561612000000088</f>
        <v>4582.4211580000001</v>
      </c>
      <c r="Z87" s="3">
        <f>4881.9+(748.5-402.7)+(-2.489769+(-0.381735--0.205377))+0-561--0.286109999999943</f>
        <v>4664.3199829999994</v>
      </c>
      <c r="AA87" s="3">
        <f>6485.9+(595.3-1017.3)+(-9.923427+(-0.910809--1.556469))+0-629.3--0.962829000000036</f>
        <v>5426.2850619999999</v>
      </c>
      <c r="AB87" s="3">
        <f>6285.1+(574.8-789.5)+(-9.616203+(-0.879444--1.207935))+0-565.4--0.865062000000033</f>
        <v>5496.5773500000005</v>
      </c>
      <c r="AC87" s="3">
        <f>5745.2+(726.9-326.9)+(-5.860104+(-0.741438--0.333438))+0-582.8--0.594456000000093</f>
        <v>5556.7263519999997</v>
      </c>
      <c r="AD87">
        <f t="shared" si="1"/>
        <v>121629.82121699998</v>
      </c>
      <c r="AE87" s="3">
        <f>6524+(563.5-1101.5)+(0+(0-0))+0-653.8-0</f>
        <v>5332.2</v>
      </c>
    </row>
    <row r="88" spans="1:31" customFormat="1" x14ac:dyDescent="0.25">
      <c r="A88">
        <v>89</v>
      </c>
      <c r="B88">
        <v>3</v>
      </c>
      <c r="C88">
        <v>26</v>
      </c>
      <c r="D88">
        <v>5</v>
      </c>
      <c r="E88">
        <v>1</v>
      </c>
      <c r="F88" s="3">
        <f>4860.4+(1420.4-225.6)+(-4.957608+(-1.448808--0.230112))+0-595.6--0.607512000000095</f>
        <v>5454.0312080000003</v>
      </c>
      <c r="G88" s="3">
        <f>4069+(2025.4-196.2)+(-2.07519+(-1.032954--0.100062))+0-575.2--0.293351999999942</f>
        <v>5320.2852699999994</v>
      </c>
      <c r="H88" s="3">
        <f>3548.8+(2494-225.8)+(-3.619776+(-2.54388--0.230316))+0-620.4--0.632808000000099</f>
        <v>5191.2994680000011</v>
      </c>
      <c r="I88" s="3">
        <f>3110.1+(2619-223.9)+(-4.758453+(-4.00707--0.342567))+0-475.9--0.728127000000028</f>
        <v>5021.6051710000002</v>
      </c>
      <c r="J88" s="3">
        <f>3167.4+(2613.4-228.9)+(-1.615374+(-1.332834--0.116739))+0-522.2--0.266321999999947</f>
        <v>5027.1348530000005</v>
      </c>
      <c r="K88" s="3">
        <f>2886.9+(2828.1-225.6)+(-7.361595+(-7.211655--0.57528))+0-679.9--1.7337449999999</f>
        <v>4797.2357749999992</v>
      </c>
      <c r="L88" s="3">
        <f>2847+(2248.9-228.4)+(-1.45197+(-1.146939--0.116484))+0-473.5--0.241484999999952</f>
        <v>4391.7590599999994</v>
      </c>
      <c r="M88" s="3">
        <f>3265.8+(1783.1-224.7)+(-1.665558+(-0.909381--0.114597))+0-476.1--0.242810999999952</f>
        <v>4345.8824689999992</v>
      </c>
      <c r="N88" s="3">
        <f>3948.8+(1328.3-291.5)+(-4.027776+(-1.354866--0.29733))+0-652--0.665040000000104</f>
        <v>4329.1797280000001</v>
      </c>
      <c r="O88" s="3">
        <f>4125.3+(1224.9-464.6)+(-2.103903+(-0.624699--0.236946))+0-543.4--0.277133999999945</f>
        <v>4339.9854780000005</v>
      </c>
      <c r="P88" s="3">
        <f>4831.9+(955.3-715.4)+(0+(0-0))+0-546.9-0</f>
        <v>4524.8999999999996</v>
      </c>
      <c r="Q88" s="3">
        <f>5903.5+(639.7-1111.6)+(-6.02157+(-0.652494--1.133832))+0-527.1--0.537642000000084</f>
        <v>4899.4974099999999</v>
      </c>
      <c r="R88" s="3">
        <f>7006.1+(429.4-1516.9)+(0+(0-0))+0-568.8-0</f>
        <v>5349.8</v>
      </c>
      <c r="S88" s="3">
        <f>6843.3+(423.6-1207.9)+(0+(0-0))+0-415.1-0</f>
        <v>5643.9</v>
      </c>
      <c r="T88" s="3">
        <f>7314.4+(384.7-1494.8)+(0+(0-0))+0-412.4-0</f>
        <v>5791.9</v>
      </c>
      <c r="U88" s="3">
        <f>7392.3+(356.1-1588.5)+(-3.770073+(-0.181611--0.810135))+0-384.3--0.195992999999961</f>
        <v>5772.6544439999998</v>
      </c>
      <c r="V88" s="3">
        <f>7181.2+(345.4-1463.8)+(7.324824+(0.352308-1.493076))+0-372.6-0.380052000000059</f>
        <v>5696.0040039999985</v>
      </c>
      <c r="W88" s="3">
        <f>6255.4+(643.9-885.1)+(-15.95127+(-1.641945--2.257005))+0-481.2--1.22705999999993</f>
        <v>5518.8908499999998</v>
      </c>
      <c r="X88" s="3">
        <f>4741.7+(1230.8-278.2)+(-12.091335+(-3.13854--0.70941))+0-647.2--1.65035999999991</f>
        <v>5034.2298949999995</v>
      </c>
      <c r="Y88" s="3">
        <f>4185.6+(1262.3-247.2)+(-4.269312+(-1.287546--0.252144))+0-584--0.595680000000093</f>
        <v>4611.9909660000012</v>
      </c>
      <c r="Z88" s="3">
        <f>5005.6+(724.1-300.7)+(0+(0-0))+0-620.3-0</f>
        <v>4808.7</v>
      </c>
      <c r="AA88" s="3">
        <f>6225.3+(705.8-876.7)+(-9.524709+(-1.079874--1.341351))+0-637.3--0.975069000000037</f>
        <v>5408.8118369999993</v>
      </c>
      <c r="AB88" s="3">
        <f>6118.7+(689-774)+(-3.120537+(-0.35139--0.39474))+0-498.7--0.254336999999949</f>
        <v>5532.1771500000004</v>
      </c>
      <c r="AC88" s="3">
        <f>5784.3+(846.3-411.6)+(-2.949993+(-0.431613--0.209916))+0-671.9--0.342668999999932</f>
        <v>5544.2709789999999</v>
      </c>
      <c r="AD88">
        <f t="shared" si="1"/>
        <v>122356.12601499997</v>
      </c>
      <c r="AE88" s="3">
        <f>6248+(719.7-833.6)+(0+(0-0))+0-716.3-0</f>
        <v>5417.8</v>
      </c>
    </row>
    <row r="89" spans="1:31" customFormat="1" x14ac:dyDescent="0.25">
      <c r="A89">
        <v>89</v>
      </c>
      <c r="B89">
        <v>3</v>
      </c>
      <c r="C89">
        <v>27</v>
      </c>
      <c r="D89">
        <v>6</v>
      </c>
      <c r="E89">
        <v>1</v>
      </c>
      <c r="F89" s="3">
        <f>4790.9+(1506.4-275.2)+(-4.886718+(-1.536528--0.280704))+0-575.7--0.587214000000092</f>
        <v>5440.8446720000002</v>
      </c>
      <c r="G89" s="3">
        <f>4647.2+(1497.7-247.9)+(0+(0-0))+0-592.3-0</f>
        <v>5304.7</v>
      </c>
      <c r="H89" s="3">
        <f>4463.4+(1580.5-247.8)+(-6.829002+(-2.418165--0.379134))+0-590.2--0.903006000000034</f>
        <v>5197.9349730000004</v>
      </c>
      <c r="I89" s="3">
        <f>3687.1+(2196.7-220.6)+(-3.760842+(-2.240634--0.225012))+0-599.9--0.611898000000096</f>
        <v>5058.1354340000007</v>
      </c>
      <c r="J89" s="3">
        <f>2935.7+(2859.1-205.6)+(-2.994414+(-2.916282--0.209712))+0-598.6--0.610572000000095</f>
        <v>4985.5095879999999</v>
      </c>
      <c r="K89" s="3">
        <f>2808.9+(2963.1-212.9)+(-7.162695+(-7.555905--0.542895))+0-678.1--1.7291549999999</f>
        <v>4868.5534500000003</v>
      </c>
      <c r="L89" s="3">
        <f>2552+(2790.8-232.5)+(-6.5076+(-7.11654--0.592875))+0-533--1.35914999999992</f>
        <v>4565.6278850000008</v>
      </c>
      <c r="M89" s="3">
        <f>2810.4+(2432.2-217.2)+(4.299912+(3.721266-0.332316))+0-610.4-0.933912000000035</f>
        <v>4421.7549499999996</v>
      </c>
      <c r="N89" s="3">
        <f>2794.6+(2405.9-221)+(0+(0-0))+0-629.2-0</f>
        <v>4350.3</v>
      </c>
      <c r="O89" s="3">
        <f>3629.3+(1485.7-225.4)+(5.552829+(2.273121-0.344862))+1.4-552.3-0.845019000000032</f>
        <v>4345.336069</v>
      </c>
      <c r="P89" s="3">
        <f>4863+(829.6-520)+(0+(0-0))+27-626.8-0</f>
        <v>4572.8</v>
      </c>
      <c r="Q89" s="3">
        <f>6003.8+(616.7-1077.4)+(6.123876+(0.629034-1.098948))+27-655.8-0.668916000000105</f>
        <v>4919.285046</v>
      </c>
      <c r="R89" s="3">
        <f>6458.6+(519.3-1071.4)+(0+(0-0))+7.2-593-0</f>
        <v>5320.7</v>
      </c>
      <c r="S89" s="3">
        <f>6498.6+(508.1-947.4)+(0+(0-0))+0-576.8-0</f>
        <v>5482.5</v>
      </c>
      <c r="T89" s="3">
        <f>6576.7+(564.1-902.3)+(0+(0-0))+0-602.3-0</f>
        <v>5636.2</v>
      </c>
      <c r="U89" s="3">
        <f>6042.5+(715.2-540.2)+(-6.16335+(-0.729504--0.551004))+0-584.7--0.596394000000093</f>
        <v>5627.0545440000005</v>
      </c>
      <c r="V89" s="3">
        <f>5800.9+(774.6-384.3)+(0+(0-0))+0-624.7-0</f>
        <v>5566.5</v>
      </c>
      <c r="W89" s="3">
        <f>4783.7+(1402-227)+(-12.198435+(-3.5751--0.57885))+0-645.8--1.64678999999991</f>
        <v>5299.352104999999</v>
      </c>
      <c r="X89" s="3">
        <f>3721+(1873.5-231.7)+(-7.59084+(-3.82194--0.472668))+0-575.4--1.17381599999997</f>
        <v>4777.6337039999999</v>
      </c>
      <c r="Y89" s="3">
        <f>3519.7+(1768.8-226.8)+(-1.795047+(-0.902088--0.115668))+0-618.5--0.315434999999937</f>
        <v>4440.9339679999994</v>
      </c>
      <c r="Z89" s="3">
        <f>4093.6+(1427.1-232.7)+(-2.087736+(-0.727821--0.118677))+0-649.3--0.331142999999934</f>
        <v>4636.3342629999997</v>
      </c>
      <c r="AA89" s="3">
        <f>4481.7+(1485.5-226.9)+(-11.428335+(-3.788025--0.578595))+0-548.6--1.39892999999992</f>
        <v>5178.4611649999988</v>
      </c>
      <c r="AB89" s="3">
        <f>4378.2+(1773.7-239.5)+(-2.232882+(-0.904587--0.122145))+0-610.5--0.311354999999938</f>
        <v>5299.1960309999995</v>
      </c>
      <c r="AC89" s="3">
        <f>4420.5+(1720.8-221.6)+(-9.01782+(-3.510432--0.452064))+0-604.1--1.23236399999997</f>
        <v>5304.7561759999999</v>
      </c>
      <c r="AD89">
        <f t="shared" si="1"/>
        <v>120600.404023</v>
      </c>
      <c r="AE89" s="3">
        <f>4510+(1430.6-224)+(0+(0-0))+0-565.2-0</f>
        <v>5151.4000000000005</v>
      </c>
    </row>
    <row r="90" spans="1:31" customFormat="1" x14ac:dyDescent="0.25">
      <c r="A90">
        <v>89</v>
      </c>
      <c r="B90">
        <v>3</v>
      </c>
      <c r="C90">
        <v>28</v>
      </c>
      <c r="D90">
        <v>7</v>
      </c>
      <c r="E90">
        <v>1</v>
      </c>
      <c r="F90" s="3">
        <f>4243.7+(1928.7-232.2)+(-6.492861+(-2.950911--0.355266))+0-605.3--0.926109000000035</f>
        <v>5326.7376029999996</v>
      </c>
      <c r="G90" s="3">
        <f>3967.3+(2153.2-238)+(-4.046646+(-2.196264--0.24276))+0-702--0.716040000000112</f>
        <v>5175.2158900000004</v>
      </c>
      <c r="H90" s="3">
        <f>3685.1+(2182.9-226)+(-5.638203+(-3.339837--0.34578))+0-625.3--0.956709000000036</f>
        <v>5009.0244489999995</v>
      </c>
      <c r="I90" s="3">
        <f>2984.3+(2777.2-216.3)+(-4.565979+(-4.249116--0.330939))+0-637.1--0.974763000000037</f>
        <v>4900.5906069999992</v>
      </c>
      <c r="J90" s="3">
        <f>2865.8+(2840.8-211)+(-4.384674+(-4.346424--0.32283))+0-668.3--1.02249900000004</f>
        <v>4819.9142309999997</v>
      </c>
      <c r="K90" s="3">
        <f>2760+(2832.4-213.4)+(-4.2228+(-4.333572--0.326502))+0-619.6--0.947988000000036</f>
        <v>4752.1181179999994</v>
      </c>
      <c r="L90" s="3">
        <f>2634.6+(2667.7-211.6)+(0+(0-0))+0-603.3-0</f>
        <v>4487.3999999999996</v>
      </c>
      <c r="M90" s="3">
        <f>2482.8+(2703.3-222.1)+(0+(0-0))+0-610.2-0</f>
        <v>4353.8</v>
      </c>
      <c r="N90" s="3">
        <f>2460+(2667-228.4)+(-5.0184+(-5.44068--0.465936))+0-631.3--1.28785199999997</f>
        <v>4258.5947080000005</v>
      </c>
      <c r="O90" s="3">
        <f>2571.3+(2662.8-209.2)+(-3.934089+(-4.074084--0.320076))+0-544.3--0.832779000000031</f>
        <v>4473.7446820000005</v>
      </c>
      <c r="P90" s="3">
        <f>2716.3+(2557.7-201.8)+(0+(0-0))+0-601.4-0</f>
        <v>4470.8</v>
      </c>
      <c r="Q90" s="3">
        <f>2995+(2388.9-226.5)+(0+(0-0))+0-473.4-0</f>
        <v>4684</v>
      </c>
      <c r="R90" s="3">
        <f>3521.7+(2346.8-218.8)+(-1.796067+(-1.196868--0.111588))+0-629.5--0.321044999999936</f>
        <v>5017.639698</v>
      </c>
      <c r="S90" s="3">
        <f>3691.2+(2357.7-220.2)+(-1.882512+(-1.202427--0.112302))+0-574.9--0.293198999999942</f>
        <v>5251.1205620000001</v>
      </c>
      <c r="T90" s="3">
        <f>3843.9+(2438.8-224.2)+(-1.960389+(-1.243788--0.114342))+0-593--0.30242999999994</f>
        <v>5462.712595</v>
      </c>
      <c r="U90" s="3">
        <f>3540.3+(2574.9-211.3)+(-3.611106+(-2.626398--0.215526))+0-539.1--0.549882000000086</f>
        <v>5359.3279039999998</v>
      </c>
      <c r="V90" s="3">
        <f>3721.3+(2415.5-233.9)+(-1.897863+(-1.231905--0.119289))+0-510.4--0.260303999999948</f>
        <v>5389.7498250000008</v>
      </c>
      <c r="W90" s="3">
        <f>3231.8+(2692.7-219.1)+(-4.944654+(-4.119831--0.335223))+0-540.3--0.826659000000031</f>
        <v>5157.1973969999999</v>
      </c>
      <c r="X90" s="3">
        <f>2909.3+(2634.4-231)+(-7.418715+(-6.71772--0.58905))+0-630.7--1.60828499999991</f>
        <v>4670.0609000000013</v>
      </c>
      <c r="Y90" s="3">
        <f>2920.2+(2204-224.9)+(-2.978604+(-2.24808--0.229398))+0-555.9--0.567018000000089</f>
        <v>4338.9697319999996</v>
      </c>
      <c r="Z90" s="3">
        <f>3364.4+(1892.5-219.8)+(-1.715844+(-0.965175--0.112098))+0-553--0.282029999999944</f>
        <v>4481.8131090000006</v>
      </c>
      <c r="AA90" s="3">
        <f>4174.2+(1896-237)+(-6.386526+(-2.90088--0.36261))+0-720.8--1.10282400000004</f>
        <v>5104.578027999999</v>
      </c>
      <c r="AB90" s="3">
        <f>4116.1+(1912.8-245.8)+(-4.198422+(-1.951056--0.250716))+0-509.5--0.519690000000081</f>
        <v>5268.2209280000006</v>
      </c>
      <c r="AC90" s="3">
        <f>4196.2+(2018-237.9)+(-8.560248+(-4.11672--0.485316))+0-645.5--1.31681999999997</f>
        <v>5319.9251679999988</v>
      </c>
      <c r="AD90">
        <f t="shared" si="1"/>
        <v>117533.25613400001</v>
      </c>
      <c r="AE90" s="3">
        <f>4236+(1926.8-233.7)+(0+(0-0))+0-817.7-0</f>
        <v>5111.4000000000005</v>
      </c>
    </row>
    <row r="91" spans="1:31" customFormat="1" x14ac:dyDescent="0.25">
      <c r="A91">
        <v>89</v>
      </c>
      <c r="B91">
        <v>3</v>
      </c>
      <c r="C91">
        <v>29</v>
      </c>
      <c r="D91">
        <v>1</v>
      </c>
      <c r="E91">
        <v>1</v>
      </c>
      <c r="F91" s="3">
        <f>4046.7+(2115.8-232.3)+(-4.127634+(-2.158116--0.236946))+0-627.3--0.6398460000001</f>
        <v>5297.4910419999997</v>
      </c>
      <c r="G91" s="3">
        <f>3457.1+(2521-237.5)+(-7.052484+(-5.14284--0.4845))+0-574.3--1.17157199999997</f>
        <v>5155.7607480000006</v>
      </c>
      <c r="H91" s="3">
        <f>3207.5+(2734.3-226.9)+(-4.907475+(-4.183479--0.347157))+0-723.8--1.10741400000004</f>
        <v>4983.4636169999994</v>
      </c>
      <c r="I91" s="3">
        <f>3077.1+(2603.9-218.5)+(-9.415926+(-7.967934--0.66861))+0-571.3--1.74817800000007</f>
        <v>4876.2329279999994</v>
      </c>
      <c r="J91" s="3">
        <f>3239.9+(2445.2-221.2)+(0+(0-0))+0-634.9-0</f>
        <v>4829</v>
      </c>
      <c r="K91" s="3">
        <f>3146.2+(2511-225.1)+(-1.604562+(-1.28061--0.114801))+0-691.4--0.35261399999993</f>
        <v>4738.2822430000015</v>
      </c>
      <c r="L91" s="3">
        <f>2970.3+(2276.7-231.7)+(-1.514853+(-1.161117--0.118167))+0-603.7--0.307886999999939</f>
        <v>4409.3500840000006</v>
      </c>
      <c r="M91" s="3">
        <f>2899.8+(2265.3-224.1)+(-2.957796+(-2.310606--0.228582))+0-596.6--0.608532000000095</f>
        <v>4339.9687119999999</v>
      </c>
      <c r="N91" s="3">
        <f>3057.2+(2121.9-257)+(1.559172+(1.082169-0.13107))+0-584.5-0.298094999999941</f>
        <v>4339.8121760000004</v>
      </c>
      <c r="O91" s="3">
        <f>3482.8+(1586.3-240.1)+(1.776228+(0.809013-0.122451))+0-575-0.293249999999942</f>
        <v>4256.1695399999999</v>
      </c>
      <c r="P91" s="3">
        <f>4393.8+(919.7-290.2)+(-4.481676+(-0.938094--0.296004))+0-592.2--0.604044000000095</f>
        <v>4426.5802780000004</v>
      </c>
      <c r="Q91" s="3">
        <f>5555.2+(433.1-770.1)+(5.666304+(0.441762-0.785502))+0-578.1-0.589662000000092</f>
        <v>4644.8329019999992</v>
      </c>
      <c r="R91" s="3">
        <f>6733.8+(362.8-1362.7)+(-6.868476+(-0.370056--1.389954))+0-534--0.544680000000085</f>
        <v>5194.5961019999995</v>
      </c>
      <c r="S91" s="3">
        <f>6995.2+(439.6-1301.6)+(0+(0-0))+0-610.2-0</f>
        <v>5523</v>
      </c>
      <c r="T91" s="3">
        <f>7281.6+(401.5-1505.6)+(-3.713616+(-0.204765--0.767856))+0-549.9--0.280448999999944</f>
        <v>5624.7299240000002</v>
      </c>
      <c r="U91" s="3">
        <f>7295.7+(390.7-1568.1)+(-7.441614+(-0.398514--1.599462))+0-508.1--0.518262000000081</f>
        <v>5604.4775960000006</v>
      </c>
      <c r="V91" s="3">
        <f>7098.8+(460.9-1344.6)+(3.620388+(0.235059-0.685746))+0-563.7-0.287486999999943</f>
        <v>5654.2822140000007</v>
      </c>
      <c r="W91" s="3">
        <f>6450.2+(597-975.1)+(-13.158408+(-1.21788--1.989204))+0-632.8--1.29091199999997</f>
        <v>5428.2038279999997</v>
      </c>
      <c r="X91" s="3">
        <f>4894+(1056.7-433.6)+(-14.97564+(-3.233502--1.326816))+0-590--1.80540000000007</f>
        <v>4912.0230740000006</v>
      </c>
      <c r="Y91" s="3">
        <f>3740+(1470.9-247.3)+(-1.9074+(-0.750159--0.126123))+0-523.7--0.267086999999947</f>
        <v>4437.6356510000005</v>
      </c>
      <c r="Z91" s="3">
        <f>4710.7+(831.1-476.3)+(0+(0-0))+0-453.7-0</f>
        <v>4611.8</v>
      </c>
      <c r="AA91" s="3">
        <f>6701.4+(493.3-1216.2)+(0+(0-0))+0-688.8-0</f>
        <v>5289.7</v>
      </c>
      <c r="AB91" s="3">
        <f>6184.2+(564.8-814.2)+(-9.461826+(-0.864144--1.245726))+0-512.6--0.78427800000003</f>
        <v>5413.9040339999992</v>
      </c>
      <c r="AC91" s="3">
        <f>5686.9+(986.4-592)+(-5.800638+(-1.006128--0.60384))+0-592.9--0.604758000000095</f>
        <v>5482.8018320000001</v>
      </c>
      <c r="AD91">
        <f t="shared" si="1"/>
        <v>119474.09852500001</v>
      </c>
      <c r="AE91" s="3">
        <f>6863+(473.8-1338.9)+(0+(0-0))+0-764.1-0</f>
        <v>5233.7999999999993</v>
      </c>
    </row>
    <row r="92" spans="1:31" customFormat="1" x14ac:dyDescent="0.25">
      <c r="A92">
        <v>89</v>
      </c>
      <c r="B92">
        <v>3</v>
      </c>
      <c r="C92">
        <v>30</v>
      </c>
      <c r="D92">
        <v>2</v>
      </c>
      <c r="E92">
        <v>1</v>
      </c>
      <c r="F92" s="3">
        <f>4386.1+(2004-296.6)+(-8.947644+(-4.08816--0.605064))+0-697.1--1.42208399999997</f>
        <v>5385.3913439999997</v>
      </c>
      <c r="G92" s="3">
        <f>3825+(2178-248)+(-1.95075+(-1.11078--0.12648))+0-539.3--0.275042999999945</f>
        <v>5213.0399929999994</v>
      </c>
      <c r="H92" s="3">
        <f>3757.2+(2227.9-238.3)+(1.916172+(1.136229-0.121533))+0-699.4-0.356693999999929</f>
        <v>5049.9741740000009</v>
      </c>
      <c r="I92" s="3">
        <f>3509.8+(2280.8-219)+(-5.369994+(-3.489624--0.33507))+0-671.3--1.02708900000004</f>
        <v>4892.802541</v>
      </c>
      <c r="J92" s="3">
        <f>3268.4+(2424.7-213.2)+(-5.000652+(-3.709791--0.326196))+0-652.3--0.998019000000038</f>
        <v>4820.2137719999992</v>
      </c>
      <c r="K92" s="3">
        <f>3209.9+(2333.3-218.1)+(-6.548196+(-4.759932--0.444924))+0-673.4--1.37373599999997</f>
        <v>4642.2105320000001</v>
      </c>
      <c r="L92" s="3">
        <f>3165.9+(2094.4-238.6)+(1.614609+(1.068144-0.121686))+0-558.1-0.284630999999943</f>
        <v>4465.8764360000005</v>
      </c>
      <c r="M92" s="3">
        <f>3338.2+(1982.4-226.8)+(0+(0-0))+0-655.5-0</f>
        <v>4438.3</v>
      </c>
      <c r="N92" s="3">
        <f>3591.7+(1737.9-223.8)+(3.663534+(1.772658-0.228276))+0-635-0.647700000000101</f>
        <v>4475.360216</v>
      </c>
      <c r="O92" s="3">
        <f>4180.8+(1129.4-294.9)+(4.264416+(1.151988-0.300798))+0-533.3-0.543966000000085</f>
        <v>4486.5716400000001</v>
      </c>
      <c r="P92" s="3">
        <f>5340.4+(493.9-614.5)+(2.723604+(0.251889-0.313395))+0-630.7-0.321656999999936</f>
        <v>4591.4404409999997</v>
      </c>
      <c r="Q92" s="3">
        <f>6437.4+(372.6-1310.6)+(3.283074+(0.190026-0.668406))+0-608.1-0.310130999999938</f>
        <v>4893.7945629999995</v>
      </c>
      <c r="R92" s="3">
        <f>7246.5+(349.5-1857.8)+(3.695715+(0.178245-0.947478))+0-549.9-0.280448999999944</f>
        <v>5190.9460330000002</v>
      </c>
      <c r="S92" s="3">
        <f>7216.3+(366.3-1561.4)+(0+(0-0))+0-595.3-0</f>
        <v>5425.9</v>
      </c>
      <c r="T92" s="3">
        <f>7315.1+(348.3-1716.6)+(3.730701+(0.177633-0.875466))+0-494.6-0.25224599999995</f>
        <v>5454.980622</v>
      </c>
      <c r="U92" s="3">
        <f>7337.9+(348-1644.1)+(-7.484658+(-0.35496--1.676982))+0-569--0.580380000000091</f>
        <v>5467.2177439999996</v>
      </c>
      <c r="V92" s="3">
        <f>6872.6+(455.4-1306.2)+(-7.010052+(-0.464508--1.332324))+0-573.2--0.584664000000091</f>
        <v>5443.0424280000007</v>
      </c>
      <c r="W92" s="3">
        <f>5490.1+(774.9-570.8)+(-5.599902+(-0.790398--0.582216))+0-467.9--0.477258000000075</f>
        <v>5220.9691740000007</v>
      </c>
      <c r="X92" s="3">
        <f>4354.1+(1092.4-222)+(-6.661773+(-1.671372--0.33966))+0-542.8--0.830484000000031</f>
        <v>4674.5369989999999</v>
      </c>
      <c r="Y92" s="3">
        <f>3710.1+(1378.7-236.5)+(-1.892151+(-0.703137--0.120615))+0-606.1--0.309110999999939</f>
        <v>4244.0344379999997</v>
      </c>
      <c r="Z92" s="3">
        <f>4645+(674.3-395)+(0+(0-0))+0-523.7-0</f>
        <v>4400.6000000000004</v>
      </c>
      <c r="AA92" s="3">
        <f>6275.4+(391.1-1116.3)+(-6.400908+(-0.398922--1.138626))+0-581.8--0.593436000000093</f>
        <v>4963.3322319999997</v>
      </c>
      <c r="AB92" s="3">
        <f>6189.1+(452-867.2)+(-3.156441+(-0.23052--0.442272))+0-615--0.313649999999938</f>
        <v>5156.2689610000007</v>
      </c>
      <c r="AC92" s="3">
        <f>5668.5+(764.8-663.4)+(0+(0-0))+0-471.7-0</f>
        <v>5298.2</v>
      </c>
      <c r="AD92">
        <f t="shared" si="1"/>
        <v>118295.004283</v>
      </c>
      <c r="AE92" s="3">
        <f>6434+(342.5-1233.5)+(0+(0-0))+0-643.6-0</f>
        <v>4899.3999999999996</v>
      </c>
    </row>
    <row r="93" spans="1:31" customFormat="1" x14ac:dyDescent="0.25">
      <c r="A93">
        <v>89</v>
      </c>
      <c r="B93">
        <v>3</v>
      </c>
      <c r="C93">
        <v>31</v>
      </c>
      <c r="D93">
        <v>3</v>
      </c>
      <c r="E93">
        <v>1</v>
      </c>
      <c r="F93" s="3">
        <f>4920.8+(1503.3-411.5)+(-2.509608+(-0.766683--0.209865))+0-610--0.311099999999938</f>
        <v>5399.8446739999999</v>
      </c>
      <c r="G93" s="3">
        <f>3849.8+(2188-283.4)+(1.963398+(1.11588-0.144534))+0-578.8-0.295187999999941</f>
        <v>5178.2395559999995</v>
      </c>
      <c r="H93" s="3">
        <f>3604.4+(2197-242.9)+(1.838244+(1.12047-0.123879))+0-506.6-0.258365999999949</f>
        <v>5054.4764689999993</v>
      </c>
      <c r="I93" s="3">
        <f>3547.4+(2189.3-237.4)+(3.618348+(2.233086-0.242148))+0-603.8-0.615876000000096</f>
        <v>4900.49341</v>
      </c>
      <c r="J93" s="3">
        <f>3401.9+(2231.8-224.9)+(6.939876+(4.552872-0.458796))+0-585-1.19339999999997</f>
        <v>4833.6405519999998</v>
      </c>
      <c r="K93" s="3">
        <f>3286.2+(2427.9-229)+(0+(0-0))+0-596.8-0</f>
        <v>4888.3</v>
      </c>
      <c r="L93" s="3">
        <f>3110.9+(2140.8-223.7)+(-1.586559+(-1.091808--0.114087))+0-595.7--0.30380699999994</f>
        <v>4430.0395270000008</v>
      </c>
      <c r="M93" s="3">
        <f>3246.5+(1797.2-236.3)+(0+(0-0))+0-561.5-0</f>
        <v>4245.8999999999996</v>
      </c>
      <c r="N93" s="3">
        <f>3435.1+(1537-249)+(3.503802+(1.56774-0.25398))+0-559.7-0.570894000000089</f>
        <v>4167.6466680000003</v>
      </c>
      <c r="O93" s="3">
        <f>4427+(652-341.1)+(4.51554+(0.66504-0.347922))+0-536.6-0.547332000000086</f>
        <v>4205.5853259999994</v>
      </c>
      <c r="P93" s="3">
        <f>5830.5+(284.6-1171.4)+(0+(0-0))+0-573.2-0</f>
        <v>4370.5</v>
      </c>
      <c r="Q93" s="3">
        <f>6814.3+(279.4-1839.8)+(0+(0-0))+0-589-0</f>
        <v>4664.8999999999996</v>
      </c>
      <c r="R93" s="3">
        <f>7654+(223.4-2217.7)+(3.90354+(0.113934-1.131027))+60-560.6-0.285905999999943</f>
        <v>5161.7005410000002</v>
      </c>
      <c r="S93" s="3">
        <f>7539.7+(226.6-2027.8)+(0+(0-0))+125-361.4-0</f>
        <v>5502.1</v>
      </c>
      <c r="T93" s="3">
        <f>7808+(229.5-2104)+(3.98208+(0.117045-1.07304))+125-326-0.166259999999967</f>
        <v>5735.3598250000005</v>
      </c>
      <c r="U93" s="3">
        <f>7577.7+(311.6-1811.3)+(-3.864627+(-0.158916--0.923763))+125-330.1--0.168350999999967</f>
        <v>5869.9685710000003</v>
      </c>
      <c r="V93" s="3">
        <f>6897.6+(450.4-1422.3)+(7.035552+(0.459408-1.450746))+125-322.8-0.329256000000052</f>
        <v>5733.6149580000001</v>
      </c>
      <c r="W93" s="3">
        <f>6563.4+(501.5-1199.6)+(3.347334+(0.255765-0.611796))+0-474.2-0.241841999999952</f>
        <v>5393.8494609999989</v>
      </c>
      <c r="X93" s="3">
        <f>5101+(685.4-334.5)+(0+(0-0))+0-593.3-0</f>
        <v>4858.5999999999995</v>
      </c>
      <c r="Y93" s="3">
        <f>4600.8+(541.2-322.2)+(4.692816+(0.552024-0.328644))+0-403.5-0.411570000000064</f>
        <v>4420.8046260000001</v>
      </c>
      <c r="Z93" s="3">
        <f>5590.9+(388.4-1015.6)+(0+(0-0))+0-593-0</f>
        <v>4370.7</v>
      </c>
      <c r="AA93" s="3">
        <f>7202.5+(289.8-1770.8)+(-3.673275+(-0.147798--0.903108))+0-595.3--0.30360299999994</f>
        <v>5123.5856380000005</v>
      </c>
      <c r="AB93" s="3">
        <f>6925.3+(318.9-1445.3)+(0+(0-0))+0-551.3-0</f>
        <v>5247.5999999999995</v>
      </c>
      <c r="AC93" s="3">
        <f>5915.4+(723.3-779)+(-9.050562+(-1.106649--1.19187))+0-591.6--0.905148000000034</f>
        <v>5260.0398069999992</v>
      </c>
      <c r="AD93">
        <f t="shared" si="1"/>
        <v>119017.48960900004</v>
      </c>
      <c r="AE93" s="3">
        <f>7476+(278.1-1989.9)+(0+(0-0))+0-671.7-0</f>
        <v>5092.5</v>
      </c>
    </row>
    <row r="94" spans="1:31" customFormat="1" x14ac:dyDescent="0.25">
      <c r="A94">
        <v>89</v>
      </c>
      <c r="B94">
        <v>4</v>
      </c>
      <c r="C94">
        <v>1</v>
      </c>
      <c r="D94">
        <v>4</v>
      </c>
      <c r="E94">
        <v>1</v>
      </c>
      <c r="F94" s="3">
        <f>4731.5+(1520.6-390)+(-12.065325+(-3.87753--0.9945))+0-617.6--1.57487999999991</f>
        <v>5231.1265249999997</v>
      </c>
      <c r="G94" s="3">
        <f>4300.6+(1686.5-279.5)+(-6.579918+(-2.580345--0.427635))+0-627.2--0.959616000000036</f>
        <v>5072.6269880000009</v>
      </c>
      <c r="H94" s="3">
        <f>4056.7+(1708.9-245)+(-8.275668+(-3.486156--0.4998))+0-597.5--1.21889999999997</f>
        <v>4913.0568760000006</v>
      </c>
      <c r="I94" s="3">
        <f>3599.2+(2086.4-232.4)+(-5.506776+(-3.192192--0.355572))+0-594.1--0.908973000000034</f>
        <v>4851.6655769999988</v>
      </c>
      <c r="J94" s="3">
        <f>3433+(2104.2-210.2)+(-1.75083+(-1.073142--0.107202))+0-594.6--0.30324599999994</f>
        <v>4729.9864759999991</v>
      </c>
      <c r="K94" s="3">
        <f>3341+(2080.7-232.7)+(-6.81564+(-4.244628--0.474708))+0-596.6--1.21706399999997</f>
        <v>4583.0315039999996</v>
      </c>
      <c r="L94" s="3">
        <f>3307.1+(1716-240)+(1.686621+(0.87516-0.1224))+0-547.1-0.279020999999945</f>
        <v>4238.1603599999999</v>
      </c>
      <c r="M94" s="3">
        <f>3528.1+(1343.4-246.2)+(3.598662+(1.370268-0.251124))+0-567.7-0.579054000000091</f>
        <v>4061.7387519999997</v>
      </c>
      <c r="N94" s="3">
        <f>3705.1+(1194-260)+(-1.889601+(-0.60894--0.1326))+0-590--0.30089999999994</f>
        <v>4047.0349590000001</v>
      </c>
      <c r="O94" s="3">
        <f>4046.3+(855.4-353.9)+(4.127226+(0.872508-0.360978))+0-596.9-0.608838000000095</f>
        <v>3954.9299180000003</v>
      </c>
      <c r="P94" s="3">
        <f>4846+(470.5-591.3)+(2.47146+(0.239955-0.301563))+0-553.5-0.282284999999944</f>
        <v>4173.8275669999994</v>
      </c>
      <c r="Q94" s="3">
        <f>5838.6+(315-1151.2)+(0+(0-0))+0-582.6-0</f>
        <v>4419.8</v>
      </c>
      <c r="R94" s="3">
        <f>6593.8+(308.2-1575.6)+(-3.362838+(-0.157182--0.803556))+0-486.5--0.248114999999951</f>
        <v>4837.4316510000008</v>
      </c>
      <c r="S94" s="3">
        <f>6306.8+(400.5-1103.5)+(-6.432936+(-0.40851--1.12557))+7.3-340.7--0.347514000000054</f>
        <v>5265.0316380000004</v>
      </c>
      <c r="T94" s="3">
        <f>6409.6+(400.7-1096.6)+(3.268896+(0.204357-0.559266))+55-350.5-0.178754999999964</f>
        <v>5420.9352320000007</v>
      </c>
      <c r="U94" s="3">
        <f>6294.8+(380.3-1079.9)+(9.631044+(0.581859-1.652247))+31.2-370-0.566100000000021</f>
        <v>5264.3945559999993</v>
      </c>
      <c r="V94" s="3">
        <f>6013.3+(494.5-808.2)+(-6.133566+(-0.50439--0.824364))+0-441.8--0.45063600000007</f>
        <v>5252.4370440000002</v>
      </c>
      <c r="W94" s="3">
        <f>5421.8+(542.9-461.4)+(-5.530236+(-0.553758--0.470628))+0-551.1--0.562122000000088</f>
        <v>4947.1487560000005</v>
      </c>
      <c r="X94" s="3">
        <f>4101+(1182.5-286.7)+(-6.27453+(-1.809225--0.438651))+0-470.7--0.720171000000027</f>
        <v>4519.1750670000001</v>
      </c>
      <c r="Y94" s="3">
        <f>3875.8+(1110.7-264.3)+(1.976658+(0.566457-0.134793))+0-540-0.275399999999945</f>
        <v>4184.3329220000014</v>
      </c>
      <c r="Z94" s="3">
        <f>4290.3+(737.8-367.8)+(-6.564159+(-1.128834--0.562734))+0-486.2--0.743886000000028</f>
        <v>4167.713627000001</v>
      </c>
      <c r="AA94" s="3">
        <f>5807.2+(456.9-785.1)+(-2.961672+(-0.233019--0.400401))+0-531.2--0.270911999999946</f>
        <v>4945.2766220000003</v>
      </c>
      <c r="AB94" s="3">
        <f>5781+(510.8-531.3)+(0+(0-0))+0-560.8-0</f>
        <v>5199.7</v>
      </c>
      <c r="AC94" s="3">
        <f>5343.5+(762.8-371.2)+(-2.725185+(-0.389028--0.189312))+0-653.1--0.333080999999934</f>
        <v>5079.4081799999994</v>
      </c>
      <c r="AD94">
        <f t="shared" si="1"/>
        <v>113359.970797</v>
      </c>
      <c r="AE94" s="3">
        <f>6118+(401.4-942.1)+(0+(0-0))+0-548.4-0</f>
        <v>5028.9000000000005</v>
      </c>
    </row>
    <row r="95" spans="1:31" customFormat="1" x14ac:dyDescent="0.25">
      <c r="A95">
        <v>89</v>
      </c>
      <c r="B95">
        <v>4</v>
      </c>
      <c r="C95">
        <v>2</v>
      </c>
      <c r="D95">
        <v>5</v>
      </c>
      <c r="E95">
        <v>1</v>
      </c>
      <c r="F95" s="3">
        <f>4773+(1156.6-249.1)+(0+(0-0))+0-625.7-0</f>
        <v>5054.8</v>
      </c>
      <c r="G95" s="3">
        <f>4268+(1491-231.7)+(-4.35336+(-1.52082--0.236334))+0-575.1--0.586602000000092</f>
        <v>4947.1487560000005</v>
      </c>
      <c r="H95" s="3">
        <f>3898+(1743-248.7)+(0+(0-0))+0-595.4-0</f>
        <v>4796.9000000000005</v>
      </c>
      <c r="I95" s="3">
        <f>3367.3+(2145.6-232.1)+(-3.434646+(-2.188512--0.236742))+0-589.8--0.601596000000094</f>
        <v>4686.2151800000001</v>
      </c>
      <c r="J95" s="3">
        <f>3036.3+(2313.6-228.1)+(-1.548513+(-1.179936--0.116331))+0-577.4--0.294473999999941</f>
        <v>4542.0823560000008</v>
      </c>
      <c r="K95" s="3">
        <f>2953+(2272-218.6)+(-3.01206+(-2.31744--0.222972))+0-580.3--0.591906000000093</f>
        <v>4421.5853779999989</v>
      </c>
      <c r="L95" s="3">
        <f>2703.3+(2176.7-236.8)+(-1.378683+(-1.110117--0.120768))+0-584.8--0.298247999999941</f>
        <v>4056.3302159999994</v>
      </c>
      <c r="M95" s="3">
        <f>2786.7+(1934.4-230.1)+(-1.421217+(-0.986544--0.117351))+0-578.2--0.294881999999941</f>
        <v>3910.8044720000007</v>
      </c>
      <c r="N95" s="3">
        <f>3005.7+(1648.4-236.9)+(0+(0-0))+0-566.5-0</f>
        <v>3850.7</v>
      </c>
      <c r="O95" s="3">
        <f>3339.5+(1265.2-243.1)+(-5.109435+(-1.935756--0.371943))+0-546--0.835380000000032</f>
        <v>3809.7621320000003</v>
      </c>
      <c r="P95" s="3">
        <f>4144.3+(814.6-508)+(2.113593+(0.415446-0.25908))+0-532.5-0.271574999999946</f>
        <v>3920.398384000001</v>
      </c>
      <c r="Q95" s="3">
        <f>5779.3+(448.6-1377.8)+(-2.947443+(-0.228786--0.702678))+0-588.7--0.30023699999994</f>
        <v>4259.2266860000009</v>
      </c>
      <c r="R95" s="3">
        <f>7045+(266.8-1904.7)+(3.59295+(0.136068-0.971397))+0-533.5-0.272084999999946</f>
        <v>4876.0855360000005</v>
      </c>
      <c r="S95" s="3">
        <f>7216.8+(306.7-1651.4)+(-3.680568+(-0.156417--0.842214))+0-600.1--0.306050999999939</f>
        <v>5269.3112799999999</v>
      </c>
      <c r="T95" s="3">
        <f>7389+(305.1-1658.2)+(7.53678+(0.311202-1.691364))+0-563.5-0.57477000000009</f>
        <v>5477.9818479999994</v>
      </c>
      <c r="U95" s="3">
        <f>7114.4+(337.6-1345.1)+(3.628344+(0.172176-0.686001))+0-570.2-0.290801999999942</f>
        <v>5539.523717</v>
      </c>
      <c r="V95" s="3">
        <f>7279.5+(317.2-1567.8)+(0+(0-0))+0-575.6-0</f>
        <v>5453.2999999999993</v>
      </c>
      <c r="W95" s="3">
        <f>6353.3+(351.5-1004.6)+(-3.240183+(-0.179265--0.512346))+0-469.2--0.239291999999952</f>
        <v>5228.3321900000001</v>
      </c>
      <c r="X95" s="3">
        <f>4789.2+(960.9-424.6)+(-7.327476+(-1.470177--0.649638))+0-559.3--0.855729000000032</f>
        <v>4758.9077139999999</v>
      </c>
      <c r="Y95" s="3">
        <f>3704.6+(1240.5-266.7)+(-3.778692+(-1.26531--0.272034))+0-502.5--0.51255000000008</f>
        <v>4171.640582</v>
      </c>
      <c r="Z95" s="3">
        <f>4462.5+(652.9-350.4)+(0+(0-0))+0-574-0</f>
        <v>4191</v>
      </c>
      <c r="AA95" s="3">
        <f>6031.9+(373.5-1007.3)+(-9.228807+(-0.571455--1.541169))+0-541.7--0.828801000000031</f>
        <v>4848.9697079999996</v>
      </c>
      <c r="AB95" s="3">
        <f>5986.9+(449-718.6)+(-6.106638+(-0.45798--0.732972))+0-586.9--0.598638000000094</f>
        <v>5125.1669920000004</v>
      </c>
      <c r="AC95" s="3">
        <f>5246+(810-352.7)+(-2.67546+(-0.4131--0.179877))+0-499.9--0.254948999999949</f>
        <v>5200.746266000001</v>
      </c>
      <c r="AD95">
        <f t="shared" si="1"/>
        <v>112396.91939300002</v>
      </c>
      <c r="AE95" s="3">
        <f>6341+(321.8-1193.2)+(0+(0-0))+0-490.7-0</f>
        <v>4978.9000000000005</v>
      </c>
    </row>
    <row r="96" spans="1:31" customFormat="1" x14ac:dyDescent="0.25">
      <c r="A96">
        <v>89</v>
      </c>
      <c r="B96">
        <v>4</v>
      </c>
      <c r="C96">
        <v>3</v>
      </c>
      <c r="D96">
        <v>6</v>
      </c>
      <c r="E96">
        <v>1</v>
      </c>
      <c r="F96" s="3">
        <f>4542.4+(1397.5-266.5)+(-9.266496+(-2.8509--0.54366))+0-508.3--1.03693199999998</f>
        <v>5154.5631959999992</v>
      </c>
      <c r="G96" s="3">
        <f>3699.2+(2055.7-220.1)+(-9.43296+(-5.242035--0.561255))+0-519.8--1.32548999999992</f>
        <v>5002.2117499999995</v>
      </c>
      <c r="H96" s="3">
        <f>3365+(2242.7-228.9)+(-1.71615+(-1.143777--0.116739))+0-548.6--0.279785999999944</f>
        <v>4827.7365979999986</v>
      </c>
      <c r="I96" s="3">
        <f>2990.2+(2516.6-221.8)+(-3.050004+(-2.566932--0.226236))+0-534.7--0.545394000000085</f>
        <v>4745.454694</v>
      </c>
      <c r="J96" s="3">
        <f>2985.3+(2457.1-211)+(-1.522503+(-1.253121--0.10761))+0-613.4--0.312833999999938</f>
        <v>4615.6448200000004</v>
      </c>
      <c r="K96" s="3">
        <f>2902.8+(2389.2-219.5)+(-4.441284+(-3.655476--0.335835))+0-530--0.810900000000031</f>
        <v>4535.5499750000008</v>
      </c>
      <c r="L96" s="3">
        <f>2798.6+(2170.6-232)+(0+(0-0))+0-496.3-0</f>
        <v>4240.8999999999996</v>
      </c>
      <c r="M96" s="3">
        <f>2921.7+(1911.3-218.9)+(-1.490067+(-0.974763--0.111639))+0-562.7--0.286976999999943</f>
        <v>4049.3337859999992</v>
      </c>
      <c r="N96" s="3">
        <f>3050.4+(1558.7-235.4)+(0+(0-0))+0-429.7-0</f>
        <v>3944</v>
      </c>
      <c r="O96" s="3">
        <f>3237.2+(1512.1-221.8)+(1.650972+(0.771171-0.113118))+0-564.1-0.287690999999943</f>
        <v>3965.4213339999997</v>
      </c>
      <c r="P96" s="3">
        <f>3753.3+(1000-307.3)+(3.828366+(1.02-0.313446))+0-495.8-0.505716000000079</f>
        <v>3954.2292039999998</v>
      </c>
      <c r="Q96" s="3">
        <f>4894+(455.1-634.6)+(7.48782+(0.696303-0.970938))+0-508.5-0.778005000000029</f>
        <v>4212.4351799999995</v>
      </c>
      <c r="R96" s="3">
        <f>5878.4+(257.9-1054)+(2.997984+(0.131529-0.53754))+0-553.5-0.282284999999944</f>
        <v>4531.1096879999986</v>
      </c>
      <c r="S96" s="3">
        <f>6268.1+(267.7-1070.7)+(6.393462+(0.273054-1.092114))+0-533.6-0.544272000000085</f>
        <v>4936.5301300000001</v>
      </c>
      <c r="T96" s="3">
        <f>6532.8+(303-1149.2)+(-9.995184+(-0.46359--1.758276))+0-561.2--0.858636000000032</f>
        <v>5117.5581380000003</v>
      </c>
      <c r="U96" s="3">
        <f>6384+(340-1109.8)+(-3.25584+(-0.1734--0.565998))+0-536.4--0.273563999999946</f>
        <v>5075.2103219999999</v>
      </c>
      <c r="V96" s="3">
        <f>5873+(458.1-752.2)+(-11.98092+(-0.934524--1.534488))+0-545.9--1.11363599999998</f>
        <v>5022.7326800000001</v>
      </c>
      <c r="W96" s="3">
        <f>4726.5+(779.4-298.6)+(-9.64206+(-1.589976--0.609144))+0-528.3--1.07773199999998</f>
        <v>4669.4548399999994</v>
      </c>
      <c r="X96" s="3">
        <f>3507.9+(1411.8-231)+(-5.367087+(-2.160054--0.35343))+0-539.4--0.825282000000031</f>
        <v>4142.9515709999996</v>
      </c>
      <c r="Y96" s="3">
        <f>3588.5+(1044.1-257.9)+(-1.830135+(-0.532491--0.131529))+0-522--0.266219999999947</f>
        <v>3850.7351229999999</v>
      </c>
      <c r="Z96" s="3">
        <f>4100.2+(739.1-330.3)+(-2.091102+(-0.376941--0.168453))+0-521.3--0.265862999999947</f>
        <v>3985.6662730000003</v>
      </c>
      <c r="AA96" s="3">
        <f>4562.2+(803.6-348.6)+(-9.306888+(-1.639344--0.711144))+0-512.5--1.04549999999998</f>
        <v>4495.5104119999996</v>
      </c>
      <c r="AB96" s="3">
        <f>4398.7+(1154.1-262.9)+(-2.243337+(-0.588591--0.134079))+0-542.3--0.276572999999945</f>
        <v>4745.1787239999994</v>
      </c>
      <c r="AC96" s="3">
        <f>4082.8+(1498.3-249.4)+(2.082228+(0.764133-0.127194))+0-597.8-0.304877999999939</f>
        <v>4736.3142889999999</v>
      </c>
      <c r="AD96">
        <f t="shared" si="1"/>
        <v>108556.43272699999</v>
      </c>
      <c r="AE96" s="3">
        <f>4610+(769.5-392.2)+(0+(0-0))+0-524.8-0</f>
        <v>4462.5</v>
      </c>
    </row>
    <row r="97" spans="1:31" customFormat="1" x14ac:dyDescent="0.25">
      <c r="A97">
        <v>89</v>
      </c>
      <c r="B97">
        <v>4</v>
      </c>
      <c r="C97">
        <v>4</v>
      </c>
      <c r="D97">
        <v>7</v>
      </c>
      <c r="E97">
        <v>1</v>
      </c>
      <c r="F97" s="3">
        <f>4128.9+(1529-252.8)+(2.105739+(0.77979-0.128928))+0-597.7-0.304826999999939</f>
        <v>4809.8517739999998</v>
      </c>
      <c r="G97" s="3">
        <f>3765.4+(1857.4-237.4)+(-1.920354+(-0.947274--0.121074))+0-620.6--0.316505999999937</f>
        <v>4762.3699519999991</v>
      </c>
      <c r="H97" s="3">
        <f>3299.6+(2173-227.9)+(-3.365592+(-2.21646--0.232458))+0-605.3--0.617406000000096</f>
        <v>4634.6678119999997</v>
      </c>
      <c r="I97" s="3">
        <f>3302.5+(1913.5-229)+(1.684275+(0.975885-0.11679))+0-458.2-0.233681999999954</f>
        <v>4531.1096880000005</v>
      </c>
      <c r="J97" s="3">
        <f>3259.7+(1944.3-236)+(-3.324894+(-1.983186--0.24072))+0-513.6--0.523872000000082</f>
        <v>4449.8565119999994</v>
      </c>
      <c r="K97" s="3">
        <f>3134.1+(2058.4-233.6)+(-4.795173+(-3.149352--0.357408))+0-629.1--0.962523000000036</f>
        <v>4323.1754059999994</v>
      </c>
      <c r="L97" s="3">
        <f>2943.8+(1755.9-245.7)+(-3.002676+(-1.791018--0.250614))+19.8-480.2--0.489804000000077</f>
        <v>3989.5467240000003</v>
      </c>
      <c r="M97" s="3">
        <f>2749.7+(1661.4-150.9)+(-5.609388+(-3.389256--0.307836))+15.8-514--1.04855999999998</f>
        <v>3754.3577519999999</v>
      </c>
      <c r="N97" s="3">
        <f>2820.5+(1617.6-224)+(-1.438455+(-0.824976--0.11424))+0-526.6--0.268565999999947</f>
        <v>3685.6193749999998</v>
      </c>
      <c r="O97" s="3">
        <f>2948+(1418-234.4)+(1.50348+(0.72318-0.119544))+0-540.4-0.275603999999945</f>
        <v>3593.0315120000005</v>
      </c>
      <c r="P97" s="3">
        <f>2938.4+(1450.6-253.9)+(-7.49292+(-3.69903--0.647445))+0-528.6--1.34792999999992</f>
        <v>3597.3034250000005</v>
      </c>
      <c r="Q97" s="3">
        <f>3128.5+(1324.7-248.2)+(1.595535+(0.675597-0.126582))+0-491.2-0.25051199999995</f>
        <v>3715.6940380000001</v>
      </c>
      <c r="R97" s="3">
        <f>3724.2+(1088.1-281.7)+(-1.899342+(-0.554931--0.143667))+0-478.5--0.244034999999951</f>
        <v>4050.0334289999996</v>
      </c>
      <c r="S97" s="3">
        <f>4329+(1067.5-334)+(0+(0-0))+0-607.2-0</f>
        <v>4455.3</v>
      </c>
      <c r="T97" s="3">
        <f>4580.7+(1109.1-435.7)+(-7.008471+(-1.696923--0.666621))+0-508.6--0.778158000000029</f>
        <v>4738.2393849999989</v>
      </c>
      <c r="U97" s="3">
        <f>4517.4+(1322.5-462.8)+(6.911622+(2.023425-0.708084))+0-574.1-0.878373000000033</f>
        <v>4810.3485899999987</v>
      </c>
      <c r="V97" s="3">
        <f>4312.8+(1442-396.3)+(-4.399056+(-1.47084--0.404226))+0-585.2--0.596904000000093</f>
        <v>4768.4312340000006</v>
      </c>
      <c r="W97" s="3">
        <f>3580.8+(1605.7-241.4)+(-7.304832+(-3.275628--0.492456))+0-484.3--0.987971999999979</f>
        <v>4451.6999679999999</v>
      </c>
      <c r="X97" s="3">
        <f>3221.3+(1537.2-243.8)+(-1.642863+(-0.783972--0.124338))+0-511--0.260609999999948</f>
        <v>4001.6581130000009</v>
      </c>
      <c r="Y97" s="3">
        <f>3083.7+(1325.4-228.1)+(-3.145374+(-1.351908--0.232662))+0-519.2--0.529584000000083</f>
        <v>3658.0649640000001</v>
      </c>
      <c r="Z97" s="3">
        <f>3499.9+(1028.4-295.4)+(-3.569898+(-1.048968--0.301308))+0-612.7--0.624954000000098</f>
        <v>3616.5073960000009</v>
      </c>
      <c r="AA97" s="3">
        <f>3895.4+(1156.2-276.3)+(-5.959962+(-1.768986--0.422739))+0-522.2--0.79896600000003</f>
        <v>4246.5927570000003</v>
      </c>
      <c r="AB97" s="3">
        <f>3857.1+(1374.4-252.2)+(-3.934242+(-1.401888--0.257244))+0-560.6--0.571812000000089</f>
        <v>4414.1929259999997</v>
      </c>
      <c r="AC97" s="3">
        <f>4016.9+(1367.1-240.4)+(-4.097238+(-1.394442--0.245208))+0-610.6--0.622812000000097</f>
        <v>4528.3763400000007</v>
      </c>
      <c r="AD97">
        <f t="shared" si="1"/>
        <v>101586.02907200002</v>
      </c>
      <c r="AE97" s="3">
        <f>4059+(1133.2-302)+(0+(0-0))+0-571.7-0</f>
        <v>4318.5</v>
      </c>
    </row>
    <row r="98" spans="1:31" customFormat="1" x14ac:dyDescent="0.25">
      <c r="A98">
        <v>89</v>
      </c>
      <c r="B98">
        <v>4</v>
      </c>
      <c r="C98">
        <v>5</v>
      </c>
      <c r="D98">
        <v>1</v>
      </c>
      <c r="E98">
        <v>3</v>
      </c>
      <c r="F98" s="3">
        <f>3731.1+(1738.6-235.5)+(-5.708583+(-2.660058--0.360315))+0-603--0.922590000000035</f>
        <v>4624.1142639999998</v>
      </c>
      <c r="G98" s="3">
        <f>3629.8+(1640.7-199.1)+(-7.404792+(-3.347028--0.406164))+0-495.9--1.01163599999998</f>
        <v>4566.1659800000007</v>
      </c>
      <c r="H98" s="3">
        <f>3686.7+(1576.2-226.6)+(-1.880217+(-0.803862--0.115566))+0-595.5--0.30370499999994</f>
        <v>4438.5351920000003</v>
      </c>
      <c r="I98" s="3">
        <f>3542.2+(1627.9-225.9)+(-5.419566+(-2.490687--0.345627))+0-585.4--0.895662000000034</f>
        <v>4352.1310359999998</v>
      </c>
      <c r="J98" s="3">
        <f>3521.5+(1507.9-227.4)+(-3.59193+(-1.538058--0.231948))+0-583.7--0.595374000000093</f>
        <v>4213.9973340000006</v>
      </c>
      <c r="K98" s="3">
        <f>3266.1+(1621.4-216.6)+(-11.659977+(-5.788398--0.773262))+0-578.7--2.06595900000001</f>
        <v>4077.5908459999996</v>
      </c>
      <c r="L98" s="3">
        <f>3045+(1562.9-231.1)+(-3.1059+(-1.594158--0.235722))+0-566.6--0.57793200000009</f>
        <v>3806.3135960000004</v>
      </c>
      <c r="M98" s="3">
        <f>2827.8+(1604.1-219.7)+(-5.768712+(-3.272364--0.448188))+0-604.4--1.23297599999997</f>
        <v>3600.4400879999994</v>
      </c>
      <c r="N98" s="3">
        <f>2841.1+(1490.5-228.2)+(-2.897922+(-1.52031--0.232764))+0-596.2--0.608124000000095</f>
        <v>3503.6226560000005</v>
      </c>
      <c r="O98" s="3">
        <f>2919.5+(1392.9-229.9)+(-2.97789+(-1.420758--0.234498))+0-565.9--0.57721800000009</f>
        <v>3513.0130679999997</v>
      </c>
      <c r="P98" s="3">
        <f>2871.5+(1419.1-237.2)+(-4.393395+(-2.171223--0.362916))+0-550.2--0.841806000000032</f>
        <v>3497.8401039999994</v>
      </c>
      <c r="Q98" s="3">
        <f>2814.7+(1600.2-238.8)+(-2.870994+(-1.632204--0.243576))+0-478.8--0.488376000000076</f>
        <v>3693.5287540000008</v>
      </c>
      <c r="R98" s="3">
        <f>3346+(1437.9-236.9)+(-3.41292+(-1.466658--0.241638))+0-540.7--0.551514000000086</f>
        <v>4002.2135740000008</v>
      </c>
      <c r="S98" s="3">
        <f>3876.2+(1374.3-237.7)+(-5.930586+(-2.102679--0.363681))+0-529.7--0.810441000000031</f>
        <v>4476.2408569999989</v>
      </c>
      <c r="T98" s="3">
        <f>4564.6+(1090.6-357.7)+(0+(0-0))+0-609.7-0</f>
        <v>4687.8</v>
      </c>
      <c r="U98" s="3">
        <f>4812.4+(1002.1-400)+(-2.454324+(-0.511071--0.204))+0-593.6--0.30273599999994</f>
        <v>4818.4413409999988</v>
      </c>
      <c r="V98" s="3">
        <f>4436+(1227.5-322.3)+(-11.3118+(-3.130125--0.821865))+0-499.2--1.27295999999993</f>
        <v>4829.6529</v>
      </c>
      <c r="W98" s="3">
        <f>3743.3+(1486.4-247.6)+(-5.727249+(-2.274192--0.378828))+0-531.4--0.813042000000031</f>
        <v>4443.8904290000009</v>
      </c>
      <c r="X98" s="3">
        <f>3452.4+(1267.5-101.7)+(-5.282172+(-1.939275--0.155601))+0-550.7--0.842571000000032</f>
        <v>4061.2767249999997</v>
      </c>
      <c r="Y98" s="3">
        <f>3746.7+(792.2-275.2)+(0+(0-0))+0-589.3-0</f>
        <v>3674.3999999999996</v>
      </c>
      <c r="Z98" s="3">
        <f>4050.3+(584.7-284)+(0+(0-0))+0-575.2-0</f>
        <v>3775.8</v>
      </c>
      <c r="AA98" s="3">
        <f>4271.6+(866.4-236.4)+(-4.357032+(-0.883728--0.241128))+0-566.4--0.57772800000009</f>
        <v>4330.7780960000009</v>
      </c>
      <c r="AB98" s="3">
        <f>4148.2+(1188.4-256.4)+(0+(0-0))+0-577.3-0</f>
        <v>4502.8999999999996</v>
      </c>
      <c r="AC98" s="3">
        <f>3880.6+(1603.4-222.1)+(3.958212+(1.635468-0.226542))+0-604.9-0.616998000000096</f>
        <v>4661.7501399999992</v>
      </c>
      <c r="AD98">
        <f t="shared" si="1"/>
        <v>100152.43698</v>
      </c>
      <c r="AE98" s="3">
        <f>4328.1+(915.3-246.6)+(0+(0-0))+0-599.3-0</f>
        <v>4397.5</v>
      </c>
    </row>
    <row r="99" spans="1:31" customFormat="1" x14ac:dyDescent="0.25">
      <c r="A99">
        <v>89</v>
      </c>
      <c r="B99">
        <v>4</v>
      </c>
      <c r="C99">
        <v>6</v>
      </c>
      <c r="D99">
        <v>2</v>
      </c>
      <c r="E99">
        <v>1</v>
      </c>
      <c r="F99" s="3">
        <f>3449.1+(2013.2-248.8)+(0+(0-0))+0-518.2-0</f>
        <v>4695.3</v>
      </c>
      <c r="G99" s="3">
        <f>3222.4+(2204.8-245.3)+(-4.930272+(-3.373344--0.375309))+0-587.5--0.898875000000034</f>
        <v>4587.3705680000003</v>
      </c>
      <c r="H99" s="3">
        <f>3168.3+(2140.5-228.7)+(-8.079165+(-5.458275--0.583185))+0-612--1.56059999999991</f>
        <v>4456.7063450000005</v>
      </c>
      <c r="I99" s="3">
        <f>3138.3+(2006.6-226)+(-8.002665+(-5.11683--0.5763))+0-592.2--1.51010999999991</f>
        <v>4315.6669149999998</v>
      </c>
      <c r="J99" s="3">
        <f>3167.4+(1895-248.4)+(-1.615374+(-0.96645--0.126684))+0-560.2--0.285701999999943</f>
        <v>4251.6305620000003</v>
      </c>
      <c r="K99" s="3">
        <f>3135.6+(1849.1-247.6)+(-6.396624+(-3.772164--0.505104))+0-623.3--1.27153199999997</f>
        <v>4105.4078479999998</v>
      </c>
      <c r="L99" s="3">
        <f>2689.6+(1865-244.5)+(-1.371696+(-0.95115--0.124695))+0-597.5--0.304724999999939</f>
        <v>3710.7065740000007</v>
      </c>
      <c r="M99" s="3">
        <f>2867.2+(1531.5-234.4)+(1.462272+(0.781065-0.119544))+0-563-0.287129999999943</f>
        <v>3603.1366629999989</v>
      </c>
      <c r="N99" s="3">
        <f>2809+(1536.7-229.6)+(-2.86518+(-1.567434--0.234192))+0-504.2--0.51428400000008</f>
        <v>3608.215862</v>
      </c>
      <c r="O99" s="3">
        <f>2954.9+(1445.7-247.8)+(1.506999+(0.737307-0.126378))+0-542.6-0.276725999999945</f>
        <v>3612.0412019999999</v>
      </c>
      <c r="P99" s="3">
        <f>3108.7+(1343.4-255)+(0+(0-0))+0-556.5-0</f>
        <v>3640.6000000000004</v>
      </c>
      <c r="Q99" s="3">
        <f>3997.8+(748.3-330.1)+(4.077756+(0.763266-0.336702))+0-530.9-0.541518000000085</f>
        <v>3889.0628019999999</v>
      </c>
      <c r="R99" s="3">
        <f>5248.8+(399.1-775.9)+(0+(0-0))+0-556.4-0</f>
        <v>4315.6000000000004</v>
      </c>
      <c r="S99" s="3">
        <f>5567.4+(390.9-570.5)+(-2.839374+(-0.199359--0.290955))+0-587.8--0.29977799999994</f>
        <v>4797.5519999999988</v>
      </c>
      <c r="T99" s="3">
        <f>6259.6+(343.6-963.4)+(0+(0-0))+0-571.8-0</f>
        <v>5068</v>
      </c>
      <c r="U99" s="3">
        <f>6424.4+(327.5-1140.5)+(-6.552888+(-0.33405--1.16331))+0-457.9--0.467058000000073</f>
        <v>5148.2434300000004</v>
      </c>
      <c r="V99" s="3">
        <f>6469+(331.8-1162)+(0+(0-0))+0-581.3-0</f>
        <v>5057.5</v>
      </c>
      <c r="W99" s="3">
        <f>5475.1+(471.7-596.9)+(-5.584602+(-0.481134--0.608838))+0-548.6--0.559572000000087</f>
        <v>4796.4026739999999</v>
      </c>
      <c r="X99" s="3">
        <f>3713.7+(1451.9-269.7)+(-7.575948+(-2.961876--0.550188))+0-579.4--1.18197599999997</f>
        <v>4307.69434</v>
      </c>
      <c r="Y99" s="3">
        <f>3281.4+(1390.2-289.4)+(-1.673514+(-0.709002--0.147594))+0-509.5--0.259844999999948</f>
        <v>3870.7249230000011</v>
      </c>
      <c r="Z99" s="3">
        <f>3575.7+(1130.3-303.1)+(-1.823607+(-0.576453--0.154581))+0-494.3--0.25209299999995</f>
        <v>3906.6066139999994</v>
      </c>
      <c r="AA99" s="3">
        <f>4672.9+(734.9-316.8)+(0+(0-0))+0-634-0</f>
        <v>4457</v>
      </c>
      <c r="AB99" s="3">
        <f>4493.6+(960.4-312.2)+(-2.291736+(-0.489804--0.159222))+0-487.2--0.248471999999951</f>
        <v>4652.2261540000009</v>
      </c>
      <c r="AC99" s="3">
        <f>3858.7+(1722.1-260.1)+(-1.967937+(-0.878271--0.132651))+0-540.5--0.275654999999945</f>
        <v>4777.7620980000002</v>
      </c>
      <c r="AD99">
        <f t="shared" si="1"/>
        <v>103631.157574</v>
      </c>
      <c r="AE99" s="3">
        <f>4882+(631-311.6)+(0+(0-0))+0-627.6-0</f>
        <v>4573.7999999999993</v>
      </c>
    </row>
    <row r="100" spans="1:31" customFormat="1" x14ac:dyDescent="0.25">
      <c r="A100">
        <v>89</v>
      </c>
      <c r="B100">
        <v>4</v>
      </c>
      <c r="C100">
        <v>7</v>
      </c>
      <c r="D100">
        <v>3</v>
      </c>
      <c r="E100">
        <v>1</v>
      </c>
      <c r="F100" s="3">
        <f>3672.5+(2004.2-254.1)+(-3.74595+(-2.044284--0.259182))+0-594.5--0.606390000000095</f>
        <v>4823.175338</v>
      </c>
      <c r="G100" s="3">
        <f>3159+(2253.8-224.3)+(-1.61109+(-1.149438--0.114393))+0-481.1--0.245360999999951</f>
        <v>4704.9992259999999</v>
      </c>
      <c r="H100" s="3">
        <f>3194.6+(2109.1-237.8)+(-4.887738+(-3.226923--0.363834))+0-515.9--0.78932700000003</f>
        <v>4543.0385000000006</v>
      </c>
      <c r="I100" s="3">
        <f>3058.8+(2183-231.7)+(-3.119976+(-2.22666--0.236334))+0-593.9--0.605778000000095</f>
        <v>4411.6954760000008</v>
      </c>
      <c r="J100" s="3">
        <f>2970.6+(2171.7-238)+(-7.57503+(-5.537835--0.6069))+0-592.3--1.51036499999991</f>
        <v>4301.0043999999989</v>
      </c>
      <c r="K100" s="3">
        <f>2813.2+(2169-229.9)+(-5.738928+(-4.42476--0.468996))+0-561.9--1.14627599999998</f>
        <v>4181.851584</v>
      </c>
      <c r="L100" s="3">
        <f>2644.8+(1996.2-235.4)+(-5.395392+(-4.072248--0.480216))+0-570.2--1.16320799999998</f>
        <v>3827.5757840000006</v>
      </c>
      <c r="M100" s="3">
        <f>3032.9+(1418.7-245.6)+(-1.546779+(-0.723537--0.125256))+0-541.3--0.276062999999945</f>
        <v>3662.8310029999998</v>
      </c>
      <c r="N100" s="3">
        <f>3091.8+(1240-266.3)+(0+(0-0))+0-454.2-0</f>
        <v>3611.3</v>
      </c>
      <c r="O100" s="3">
        <f>3187.2+(1192.6-255.1)+(-3.250944+(-1.216452--0.260202))+0-522.9--0.533358000000083</f>
        <v>3598.1261640000002</v>
      </c>
      <c r="P100" s="3">
        <f>3538.9+(949.5-299.8)+(-5.414517+(-1.452735--0.458694))+0-538.5--0.823905000000031</f>
        <v>3644.5153470000005</v>
      </c>
      <c r="Q100" s="3">
        <f>4327+(608.8-449.4)+(-2.20677+(-0.310488--0.229194))+0-575.2--0.293351999999942</f>
        <v>3909.2052879999997</v>
      </c>
      <c r="R100" s="3">
        <f>5713.3+(285.8-1059.9)+(0+(0-0))+0-576.7-0</f>
        <v>4362.5</v>
      </c>
      <c r="S100" s="3">
        <f>6246.2+(256.3-1181.9)+(0+(0-0))+0-492.4-0</f>
        <v>4828.2</v>
      </c>
      <c r="T100" s="3">
        <f>6636.3+(247.7-1317.5)+(-6.769026+(-0.252654--1.34385))+0-473.4--0.482868000000075</f>
        <v>5087.9050380000008</v>
      </c>
      <c r="U100" s="3">
        <f>6934+(262.1-1392.7)+(10.60902+(0.401013-2.130831))+0-617.2-0.944316000000036</f>
        <v>5194.1348859999998</v>
      </c>
      <c r="V100" s="3">
        <f>6469.9+(246.2-1355.7)+(3.299649+(0.125562-0.691407))+102.5-508.8-0.259487999999948</f>
        <v>4956.5743160000002</v>
      </c>
      <c r="W100" s="3">
        <f>5609.8+(403.7-739.5)+(-5.721996+(-0.411774--0.75429))+43-522.7--0.533154000000083</f>
        <v>4789.4536740000003</v>
      </c>
      <c r="X100" s="3">
        <f>4110.3+(1084.8-266.9)+(-10.481265+(-2.76624--0.680595))+14.1-559.4--1.42646999999992</f>
        <v>4371.7595600000013</v>
      </c>
      <c r="Y100" s="3">
        <f>3437.6+(1250.5-268.2)+(-3.506352+(-1.27551--0.273564))+0-490.8--0.500616000000078</f>
        <v>3925.092318</v>
      </c>
      <c r="Z100" s="3">
        <f>4064.9+(817-344.2)+(-2.073099+(-0.41667--0.175542))+0-576.9--0.294218999999941</f>
        <v>3958.7799919999998</v>
      </c>
      <c r="AA100" s="3">
        <f>5307.1+(428-707.5)+(-8.119863+(-0.65484--1.082475))+0-431--0.659430000000025</f>
        <v>4589.5672020000002</v>
      </c>
      <c r="AB100" s="3">
        <f>5170.8+(508.8-489.8)+(-10.548432+(-1.037952--0.999192))+0-421--0.858839999999982</f>
        <v>4759.0716480000001</v>
      </c>
      <c r="AC100" s="3">
        <f>4929+(784.7-264.5)+(-10.05516+(-1.600788--0.53958))+0-567.1--1.15688399999998</f>
        <v>4872.1405159999995</v>
      </c>
      <c r="AD100">
        <f t="shared" si="1"/>
        <v>104914.49726</v>
      </c>
      <c r="AE100" s="3">
        <f>5478+(398.6-709.1)+(0+(0-0))+0-432.4-0</f>
        <v>4735.1000000000004</v>
      </c>
    </row>
    <row r="101" spans="1:31" customFormat="1" x14ac:dyDescent="0.25">
      <c r="A101">
        <v>89</v>
      </c>
      <c r="B101">
        <v>4</v>
      </c>
      <c r="C101">
        <v>8</v>
      </c>
      <c r="D101">
        <v>4</v>
      </c>
      <c r="E101">
        <v>1</v>
      </c>
      <c r="F101" s="3">
        <f>4019.7+(1555.3-245.1)+(-10.250235+(-3.966015--0.625005))+0-451.6--1.15157999999993</f>
        <v>4865.8603349999994</v>
      </c>
      <c r="G101" s="3">
        <f>3339.8+(2203.3-233.7)+(-1.703298+(-1.123683--0.119187))+0-586.2--0.298961999999941</f>
        <v>4720.7911680000007</v>
      </c>
      <c r="H101" s="3">
        <f>3108+(2201.5-227)+(-3.17016+(-2.24553--0.23154))+0-494.6--0.504492000000079</f>
        <v>4583.2203419999996</v>
      </c>
      <c r="I101" s="3">
        <f>3068.3+(2146.6-228.7)+(-7.824165+(-5.47383--0.583185))+0-523.1--1.33390499999992</f>
        <v>4451.7190949999986</v>
      </c>
      <c r="J101" s="3">
        <f>2972.4+(2118-223.7)+(-6.063696+(-4.32072--0.456348))+0-516.5--1.05365999999998</f>
        <v>4341.3255919999992</v>
      </c>
      <c r="K101" s="3">
        <f>2919.8+(2077.4-227.4)+(-7.44549+(-5.29737--0.57987))+0-549.1--1.40020499999992</f>
        <v>4209.9372149999999</v>
      </c>
      <c r="L101" s="3">
        <f>2854+(1788.7-247.2)+(-4.36662+(-2.736711--0.378216))+0-466--0.712980000000027</f>
        <v>3923.4878650000001</v>
      </c>
      <c r="M101" s="3">
        <f>3143.7+(1332-234.1)+(0+(0-0))+0-544.2-0</f>
        <v>3697.4000000000005</v>
      </c>
      <c r="N101" s="3">
        <f>3152.9+(1263-243.9)+(-4.823937+(-1.93239--0.373167))+0-524.5--0.80248500000003</f>
        <v>3641.9193249999998</v>
      </c>
      <c r="O101" s="3">
        <f>3007.8+(1271.7-232.2)+(1.533978+(0.648567-0.118422))+0-426-0.217259999999957</f>
        <v>3623.1468630000004</v>
      </c>
      <c r="P101" s="3">
        <f>3848+(819.6-506)+(1.96248+(0.417996-0.25806))+0-449.3-0.229142999999954</f>
        <v>3714.1932730000003</v>
      </c>
      <c r="Q101" s="3">
        <f>5159.9+(476.6-1268.5)+(5.263098+(0.486132-1.29387))+0-382.2-0.389844000000061</f>
        <v>3989.8655159999998</v>
      </c>
      <c r="R101" s="3">
        <f>6850.2+(265.7-2034.9)+(3.493602+(0.135507-1.037799))+0-555.3-0.283202999999944</f>
        <v>4528.0081069999997</v>
      </c>
      <c r="S101" s="3">
        <f>6944+(301.8-1770.6)+(-3.54144+(-0.153918--0.903006))+0-500--0.254999999999949</f>
        <v>4972.6626479999995</v>
      </c>
      <c r="T101" s="3">
        <f>7509+(277.7-2037.7)+(7.65918+(0.283254-2.078454))+0-549.9-0.560898000000088</f>
        <v>5204.4030820000007</v>
      </c>
      <c r="U101" s="3">
        <f>7753.1+(260.4-2274.9)+(-7.908162+(-0.265608--2.320398))+0-456.7--0.465834000000073</f>
        <v>5276.5124620000006</v>
      </c>
      <c r="V101" s="3">
        <f>7921.8+(231.6-2438.2)+(0+(0-0))+0-475.8-0</f>
        <v>5239.4000000000005</v>
      </c>
      <c r="W101" s="3">
        <f>6814.1+(260-1640)+(-13.900764+(-0.5304--3.3456))+0-453.5--0.92513999999998</f>
        <v>4970.4395760000007</v>
      </c>
      <c r="X101" s="3">
        <f>5009.5+(606-609)+(-10.21938+(-1.23624--1.24236))+0-515.6--1.05182399999998</f>
        <v>4481.7385639999993</v>
      </c>
      <c r="Y101" s="3">
        <f>3550.8+(1252.8-274.8)+(-1.810908+(-0.638928--0.140148))+0-490.7--0.25025699999995</f>
        <v>4036.0405690000002</v>
      </c>
      <c r="Z101" s="3">
        <f>4297.5+(664.2-397.6)+(2.191725+(0.338742-0.202776))+0-469.2-0.239291999999952</f>
        <v>4096.9883990000008</v>
      </c>
      <c r="AA101" s="3">
        <f>5965.4+(341.3-1066.8)+(-6.084708+(-0.348126--1.088136))+0-537.2--0.547944000000086</f>
        <v>4697.9032459999999</v>
      </c>
      <c r="AB101" s="3">
        <f>5692.1+(303.1-598.5)+(2.902971+(0.154581-0.305235))+0-537-0.273869999999946</f>
        <v>4862.1784470000011</v>
      </c>
      <c r="AC101" s="3">
        <f>5258.3+(582.7-314.9)+(-2.681733+(-0.297177--0.160599))+0-540.6--0.275705999999945</f>
        <v>4982.9573950000004</v>
      </c>
      <c r="AD101">
        <f t="shared" si="1"/>
        <v>107112.099084</v>
      </c>
      <c r="AE101" s="3">
        <f>6186+(345.7-1173.4)+(0+(0-0))+0-631.4-0</f>
        <v>4726.9000000000005</v>
      </c>
    </row>
    <row r="102" spans="1:31" customFormat="1" x14ac:dyDescent="0.25">
      <c r="A102">
        <v>89</v>
      </c>
      <c r="B102">
        <v>4</v>
      </c>
      <c r="C102">
        <v>9</v>
      </c>
      <c r="D102">
        <v>5</v>
      </c>
      <c r="E102">
        <v>1</v>
      </c>
      <c r="F102" s="3">
        <f>4307.2+(1544.2-247.2)+(-13.180032+(-4.725252--0.756432))+0-565.9--1.73165400000007</f>
        <v>5022.8828020000001</v>
      </c>
      <c r="G102" s="3">
        <f>3383.4+(2164.6-242.2)+(1.725534+(1.103946-0.123522))+0-502.2-0.256121999999949</f>
        <v>4806.0498360000001</v>
      </c>
      <c r="H102" s="3">
        <f>3001.9+(2495.1-230)+(-6.123876+(-5.090004--0.4692))+0-587.9--1.19931599999997</f>
        <v>4669.5546360000008</v>
      </c>
      <c r="I102" s="3">
        <f>2972.9+(2292-232.3)+(-3.032358+(-2.33784--0.236946))+0-479--0.488580000000076</f>
        <v>4548.9553280000009</v>
      </c>
      <c r="J102" s="3">
        <f>3002.8+(2307.8-231.4)+(-1.531428+(-1.176978--0.118014))+0-621.6--0.317015999999937</f>
        <v>4455.3266240000003</v>
      </c>
      <c r="K102" s="3">
        <f>2902.7+(2233.3-217.7)+(-5.921508+(-4.555932--0.444108))+0-583.1--1.18952399999997</f>
        <v>4326.3561920000002</v>
      </c>
      <c r="L102" s="3">
        <f>2770.8+(1966.4-230.4)+(0+(0-0))+0-557.4-0</f>
        <v>3949.4</v>
      </c>
      <c r="M102" s="3">
        <f>2904.9+(1666.9-227)+(1.481499+(0.850119-0.11577))+0-611.7-0.311966999999938</f>
        <v>3735.0038810000001</v>
      </c>
      <c r="N102" s="3">
        <f>2951.1+(1543.2-245.5)+(-3.010122+(-1.574064--0.25041))+0-544.3--0.555186000000087</f>
        <v>3700.7214099999997</v>
      </c>
      <c r="O102" s="3">
        <f>3391.7+(1138.6-309.8)+(3.459534+(1.161372-0.315996))+0-641-0.653820000000102</f>
        <v>3583.1510899999998</v>
      </c>
      <c r="P102" s="3">
        <f>4341.9+(671.8-567.2)+(0+(0-0))+0-590.6-0</f>
        <v>3855.9</v>
      </c>
      <c r="Q102" s="3">
        <f>5700.8+(262.4-1339.1)+(5.814816+(0.267648-1.365882))+0-511.8-0.522036000000082</f>
        <v>4116.4945459999999</v>
      </c>
      <c r="R102" s="3">
        <f>6141.9+(233.8-1316.8)+(-3.132369+(-0.119238--0.671568))+0-488.1--0.24893099999995</f>
        <v>4568.468891999999</v>
      </c>
      <c r="S102" s="3">
        <f>6814.6+(211.8-1502.8)+(6.950892+(0.216036-1.532856))+87.1-494.5-0.504390000000079</f>
        <v>5121.3296820000005</v>
      </c>
      <c r="T102" s="3">
        <f>7434.4+(208.3-2036.5)+(3.791544+(0.106233-1.038615))+95-324.9-0.165698999999967</f>
        <v>5378.9934629999998</v>
      </c>
      <c r="U102" s="3">
        <f>7973.1+(205.8-2502.3)+(4.066281+(0.104958-1.276173))+0-308.7-0.157436999999969</f>
        <v>5370.6376290000007</v>
      </c>
      <c r="V102" s="3">
        <f>8064.9+(222.9-2594.7)+(-12.339297+(-0.341037--3.969891))+0-349.2--0.53427600000002</f>
        <v>5335.7238330000009</v>
      </c>
      <c r="W102" s="3">
        <f>7274.2+(259.8-2032.5)+(-14.839368+(-0.529992--4.1463))+0-405.5--0.827219999999982</f>
        <v>5085.6041599999999</v>
      </c>
      <c r="X102" s="3">
        <f>5393.5+(617.8-863.1)+(-11.00274+(-1.260312--1.760724))+0-564.5--1.15157999999998</f>
        <v>4574.349252</v>
      </c>
      <c r="Y102" s="3">
        <f>3539.8+(1287.5-251.1)+(-7.221192+(-2.6265--0.512244))+0-490.9--1.00143599999998</f>
        <v>4076.9659880000008</v>
      </c>
      <c r="Z102" s="3">
        <f>3865+(901.6-320.7)+(1.97115+(0.459816-0.163557))+0-336.5-0.171614999999966</f>
        <v>4111.4957939999995</v>
      </c>
      <c r="AA102" s="3">
        <f>5415.2+(313.3-673.3)+(0+(0-0))+0-329.3-0</f>
        <v>4725.8999999999996</v>
      </c>
      <c r="AB102" s="3">
        <f>5258.4+(370.3-400.1)+(-2.681784+(-0.188853--0.204051))+0-340.5--0.173654999999965</f>
        <v>4885.6070689999988</v>
      </c>
      <c r="AC102" s="3">
        <f>5161.7+(634.6-337.3)+(-2.632467+(-0.323646--0.172023))+0-499--0.254489999999949</f>
        <v>4957.4704000000002</v>
      </c>
      <c r="AD102">
        <f t="shared" si="1"/>
        <v>108962.34250700001</v>
      </c>
      <c r="AE102" s="3">
        <f>5644+(302.6-835.7)+(0+(0-0))+0-358.9-0</f>
        <v>4752</v>
      </c>
    </row>
    <row r="103" spans="1:31" customFormat="1" x14ac:dyDescent="0.25">
      <c r="A103">
        <v>89</v>
      </c>
      <c r="B103">
        <v>4</v>
      </c>
      <c r="C103">
        <v>10</v>
      </c>
      <c r="D103">
        <v>6</v>
      </c>
      <c r="E103">
        <v>1</v>
      </c>
      <c r="F103" s="3">
        <f>4516.9+(1175.7-268.5)+(-6.910857+(-1.798821--0.410805))+0-473--0.723690000000027</f>
        <v>4943.5248169999995</v>
      </c>
      <c r="G103" s="3">
        <f>3626+(1923.2-231.7)+(-1.84926+(-0.980832--0.118167))+0-477.9--0.243728999999952</f>
        <v>4837.1318040000006</v>
      </c>
      <c r="H103" s="3">
        <f>3279.3+(2197.1-240)+(-5.017329+(-3.361563--0.3672))+0-542.2--0.829566000000031</f>
        <v>4687.0178740000001</v>
      </c>
      <c r="I103" s="3">
        <f>3235.9+(2055.3-229.3)+(0+(0-0))+0-473.6-0</f>
        <v>4588.3</v>
      </c>
      <c r="J103" s="3">
        <f>3286.7+(1897.4-237.5)+(3.352434+(1.935348-0.24225))+0-474.8-0.484296000000076</f>
        <v>4476.3612360000006</v>
      </c>
      <c r="K103" s="3">
        <f>3170.1+(1942.9-219.9)+(-6.467004+(-3.963516--0.448596))+0-545.6--1.11302399999998</f>
        <v>4338.6311000000005</v>
      </c>
      <c r="L103" s="3">
        <f>2975.5+(1723.5-228.5)+(-3.03501+(-1.75797--0.23307))+0-465.2--0.474504000000074</f>
        <v>4001.2145940000005</v>
      </c>
      <c r="M103" s="3">
        <f>3157.8+(1382.6-258.7)+(4.831434+(2.115378-0.395811))+0-481.7-0.737001000000028</f>
        <v>3805.8139999999999</v>
      </c>
      <c r="N103" s="3">
        <f>3325.2+(1233.6-365.5)+(-1.695852+(-0.629136--0.186405))+0-446.2--0.227561999999955</f>
        <v>3745.1889789999996</v>
      </c>
      <c r="O103" s="3">
        <f>3493.7+(1122.7-372.4)+(0+(0-0))+0-529.8-0</f>
        <v>3714.2</v>
      </c>
      <c r="P103" s="3">
        <f>4400.6+(593.5-677.6)+(11.22153+(1.513425-1.72788))+0-519.6-1.32497999999992</f>
        <v>3806.5820950000007</v>
      </c>
      <c r="Q103" s="3">
        <f>5620+(355.3-1393.2)+(2.8662+(0.181203-0.710532))+0-515.8-0.263057999999948</f>
        <v>4068.3738130000006</v>
      </c>
      <c r="R103" s="3">
        <f>6682.8+(235.5-1995.9)+(3.408228+(0.120105-1.017909))+0-440-0.224399999999955</f>
        <v>4484.6860239999996</v>
      </c>
      <c r="S103" s="3">
        <f>7200.5+(215.1-1942.4)+(0+(0-0))+0-515.1-0</f>
        <v>4958.0999999999995</v>
      </c>
      <c r="T103" s="3">
        <f>7808.6+(212.1-2225)+(0+(0-0))+0-541.4-0</f>
        <v>5254.3000000000011</v>
      </c>
      <c r="U103" s="3">
        <f>7760+(253.8-2181.3)+(-11.8728+(-0.388314--3.337389))+0-582.9--0.891837000000034</f>
        <v>5241.5681120000008</v>
      </c>
      <c r="V103" s="3">
        <f>7326.5+(310-1781.6)+(0+(0-0))+0-536.2-0</f>
        <v>5318.7</v>
      </c>
      <c r="W103" s="3">
        <f>6546.2+(272.8-1291.6)+(-16.69281+(-0.69564--3.29358))+0-522.1--1.33135499999992</f>
        <v>4992.5364849999996</v>
      </c>
      <c r="X103" s="3">
        <f>4728.8+(694.1-413.3)+(-9.646752+(-1.415964--0.843132))+0-475.3--0.969611999999979</f>
        <v>4525.0500279999997</v>
      </c>
      <c r="Y103" s="3">
        <f>3459+(1387-288.4)+(-7.05636+(-2.82948--0.588336))+0-520.9--1.06263599999998</f>
        <v>4028.4651320000003</v>
      </c>
      <c r="Z103" s="3">
        <f>4131.9+(1033.5-464.7)+(-2.107269+(-0.527085--0.236997))+0-459.3--0.234242999999953</f>
        <v>4239.2368859999997</v>
      </c>
      <c r="AA103" s="3">
        <f>5281.8+(447.1-664.1)+(-5.387436+(-0.456042--0.677382))+0-547.1--0.558042000000087</f>
        <v>4513.0919459999996</v>
      </c>
      <c r="AB103" s="3">
        <f>5473.7+(457.9-606.8)+(-5.583174+(-0.467058--0.618936))+0-522.1--0.532542000000083</f>
        <v>4797.801246</v>
      </c>
      <c r="AC103" s="3">
        <f>4502.5+(1028.6-314.7)+(-2.296275+(-0.524586--0.160497))+0-360.8--0.184007999999963</f>
        <v>4853.1236439999993</v>
      </c>
      <c r="AD103">
        <f t="shared" si="1"/>
        <v>108218.99981499999</v>
      </c>
      <c r="AE103" s="3">
        <f>5898+(374.1-799.5)+(0+(0-0))+0-602.8-0</f>
        <v>4869.8</v>
      </c>
    </row>
    <row r="104" spans="1:31" customFormat="1" x14ac:dyDescent="0.25">
      <c r="A104">
        <v>89</v>
      </c>
      <c r="B104">
        <v>4</v>
      </c>
      <c r="C104">
        <v>11</v>
      </c>
      <c r="D104">
        <v>7</v>
      </c>
      <c r="E104">
        <v>1</v>
      </c>
      <c r="F104" s="3">
        <f>4226.6+(1438.6-267)+(0+(0-0))+0-456.8-0</f>
        <v>4941.4000000000005</v>
      </c>
      <c r="G104" s="3">
        <f>3975.9+(1705.5-232.2)+(-4.055418+(-1.73961--0.236844))+0-603.7--0.615774000000096</f>
        <v>4840.5575899999994</v>
      </c>
      <c r="H104" s="3">
        <f>3558.5+(1945.2-236.2)+(0+(0-0))+0-526.9-0</f>
        <v>4740.6000000000004</v>
      </c>
      <c r="I104" s="3">
        <f>3333.9+(2104.4-227.5)+(-6.801156+(-4.292976--0.4641))+0-578--1.17911999999997</f>
        <v>4623.3490879999999</v>
      </c>
      <c r="J104" s="3">
        <f>3005.8+(2296-218.5)+(-3.065916+(-2.34192--0.22287))+0-557.6--0.568752000000089</f>
        <v>4521.0837860000001</v>
      </c>
      <c r="K104" s="3">
        <f>2971.9+(2242.1-227.8)+(-7.578345+(-5.717355--0.58089))+0-570.1--1.45375499999992</f>
        <v>4404.8389449999986</v>
      </c>
      <c r="L104" s="3">
        <f>2755.1+(2010.4-224.8)+(-2.810202+(-2.050608--0.229296))+0-584.6--0.596292000000093</f>
        <v>3952.0647780000004</v>
      </c>
      <c r="M104" s="3">
        <f>2937.6+(1756.5-227.3)+(0+(0-0))+0-549.7-0</f>
        <v>3917.1000000000004</v>
      </c>
      <c r="N104" s="3">
        <f>2961.1+(1627.7-232.5)+(0+(0-0))+0-553.1-0</f>
        <v>3803.2000000000003</v>
      </c>
      <c r="O104" s="3">
        <f>2860.6+(1716.1-257.5)+(-2.917812+(-1.750422--0.26265))+0-579.8--0.591396000000092</f>
        <v>3735.5858119999998</v>
      </c>
      <c r="P104" s="3">
        <f>3087.3+(1504-262.1)+(0+(0-0))+0-571.7-0</f>
        <v>3757.5000000000009</v>
      </c>
      <c r="Q104" s="3">
        <f>3170.6+(1585.5-273.4)+(-1.617006+(-0.808605--0.139434))+0-514.9--0.262598999999948</f>
        <v>3965.7764219999999</v>
      </c>
      <c r="R104" s="3">
        <f>3389.5+(1794.7-230.4)+(-1.728645+(-0.915297--0.117504))+0-551.4--0.281213999999944</f>
        <v>4400.1547760000003</v>
      </c>
      <c r="S104" s="3">
        <f>4030.5+(1680.1-302.7)+(4.11111+(1.713702-0.308754))+0-585.4-0.597108000000093</f>
        <v>4827.4189500000002</v>
      </c>
      <c r="T104" s="3">
        <f>4616.4+(1521.1-436.2)+(-2.354364+(-0.775761--0.222462))+0-569.3--0.290342999999942</f>
        <v>5129.3826799999988</v>
      </c>
      <c r="U104" s="3">
        <f>4533.5+(1569.7-430)+(-2.312085+(-0.800547--0.2193))+0-533--0.271829999999946</f>
        <v>5137.5784979999999</v>
      </c>
      <c r="V104" s="3">
        <f>4775.5+(1337.6-444.8)+(2.435505+(0.682176-0.226848))+0-499.6-0.254795999999949</f>
        <v>5171.336037</v>
      </c>
      <c r="W104" s="3">
        <f>4178.8+(1575.2-278.5)+(-8.524752+(-3.213408--0.56814))+0-562.2--1.14688799999998</f>
        <v>4903.2768680000008</v>
      </c>
      <c r="X104" s="3">
        <f>3461.9+(1746.5-254.4)+(-1.765569+(-0.890715--0.129744))+0-468.6--0.238985999999952</f>
        <v>4483.1124460000001</v>
      </c>
      <c r="Y104" s="3">
        <f>3134.3+(1752.2-240.5)+(-4.795479+(-2.680866--0.367965))+0-562.4--0.860472000000032</f>
        <v>4077.3520920000001</v>
      </c>
      <c r="Z104" s="3">
        <f>3662.8+(1254.1-320.3)+(0+(0-0))+0-516.3-0</f>
        <v>4080.3</v>
      </c>
      <c r="AA104" s="3">
        <f>4553.6+(1011.2-343.9)+(-2.322336+(-0.515712--0.175389))+0-602.4--0.307223999999939</f>
        <v>4616.1445650000014</v>
      </c>
      <c r="AB104" s="3">
        <f>4733.7+(1024.1-329.4)+(-4.828374+(-1.044582--0.335988))+0-600.9--0.612918000000096</f>
        <v>4822.5759499999995</v>
      </c>
      <c r="AC104" s="3">
        <f>4432.3+(1418.3-343)+(2.260473+(0.723333-0.17493))+0-528.4-0.269483999999946</f>
        <v>4981.7393920000004</v>
      </c>
      <c r="AD104">
        <f t="shared" si="1"/>
        <v>107833.428675</v>
      </c>
      <c r="AE104" s="3">
        <f>4987+(895.5-383.1)+(0+(0-0))+0-626.5-0</f>
        <v>4872.8999999999996</v>
      </c>
    </row>
    <row r="105" spans="1:31" customFormat="1" x14ac:dyDescent="0.25">
      <c r="A105">
        <v>89</v>
      </c>
      <c r="B105">
        <v>4</v>
      </c>
      <c r="C105">
        <v>12</v>
      </c>
      <c r="D105">
        <v>1</v>
      </c>
      <c r="E105">
        <v>1</v>
      </c>
      <c r="F105" s="3">
        <f>4253.8+(1657.9-301.7)+(4.338876+(1.691058-0.307734))+0-598.8-0.610776000000095</f>
        <v>5016.3114239999995</v>
      </c>
      <c r="G105" s="3">
        <f>3810.6+(1964.9-241.2)+(-1.943406+(-1.002099--0.123012))+0-622--0.317219999999937</f>
        <v>4909.7947270000004</v>
      </c>
      <c r="H105" s="3">
        <f>3305+(2177.8-227.9)+(-1.68555+(-1.110678--0.116229))+0-508.8--0.259487999999948</f>
        <v>4743.6794889999992</v>
      </c>
      <c r="I105" s="3">
        <f>3246.8+(2148.1-223.3)+(0+(0-0))+0-548.2-0</f>
        <v>4623.4000000000005</v>
      </c>
      <c r="J105" s="3">
        <f>3041+(2282.8-232.2)+(-4.65273+(-3.492684--0.355266))+0-574.7--0.879291000000033</f>
        <v>4509.9891430000007</v>
      </c>
      <c r="K105" s="3">
        <f>2910.3+(2245.1-218.9)+(-7.421265+(-5.725005--0.558195))+0-520.1--1.32625499999992</f>
        <v>4405.1381799999999</v>
      </c>
      <c r="L105" s="3">
        <f>2899.5+(2017.4-221.4)+(0+(0-0))+0-591-0</f>
        <v>4104.5</v>
      </c>
      <c r="M105" s="3">
        <f>3257.6+(1475.2-262.5)+(3.322752+(1.504704-0.26775))+0-557.3-0.568446000000089</f>
        <v>3916.9912599999998</v>
      </c>
      <c r="N105" s="3">
        <f>3326.2+(1430.5-290.4)+(1.696362+(0.729555-0.148104))+0-595.5-0.30370499999994</f>
        <v>3872.7741079999992</v>
      </c>
      <c r="O105" s="3">
        <f>3347.8+(1315-297)+(5.122134+(2.01195-0.45441))+0-547-0.836910000000032</f>
        <v>3824.6427640000002</v>
      </c>
      <c r="P105" s="3">
        <f>4609.1+(530.3-694.8)+(9.402564+(1.081812-1.417392))+0-535.8-1.09303199999998</f>
        <v>3916.7739520000005</v>
      </c>
      <c r="Q105" s="3">
        <f>5739.9+(224.8-1316.2)+(-2.927349+(-0.114648--0.671262))+0-465.3--0.237302999999953</f>
        <v>4181.0665679999993</v>
      </c>
      <c r="R105" s="3">
        <f>6411.9+(198.4-1614.8)+(0+(0-0))+0-352.6-0</f>
        <v>4642.8999999999996</v>
      </c>
      <c r="S105" s="3">
        <f>6880.5+(196.9-1704.5)+(0+(0-0))+0-330.4-0</f>
        <v>5042.5</v>
      </c>
      <c r="T105" s="3">
        <f>7397.6+(206.8-1900.6)+(3.772776+(0.105468-0.969306))+0-370.5-0.188954999999962</f>
        <v>5336.0199830000001</v>
      </c>
      <c r="U105" s="3">
        <f>7097.8+(258.2-1668.8)+(3.619878+(0.131682-0.851088))+0-349.4-0.178193999999965</f>
        <v>5340.5222780000013</v>
      </c>
      <c r="V105" s="3">
        <f>7473.1+(244.8-1877.9)+(7.622562+(0.249696-1.915458))+0-372.5-0.379950000000059</f>
        <v>5473.0768499999995</v>
      </c>
      <c r="W105" s="3">
        <f>6696.9+(298.7-1364.5)+(0+(0-0))+0-508.4-0</f>
        <v>5122.7</v>
      </c>
      <c r="X105" s="3">
        <f>5094.6+(687.6-431.4)+(-5.196492+(-0.701352--0.440028))+0-627.7--0.6402540000001</f>
        <v>4718.2824380000002</v>
      </c>
      <c r="Y105" s="3">
        <f>3754.6+(1171.5-319.4)+(0+(0-0))+0-390.3-0</f>
        <v>4216.3999999999996</v>
      </c>
      <c r="Z105" s="3">
        <f>4470.9+(851.3-454.1)+(-2.280159+(-0.434163--0.231591))+0-609.4--0.310793999999938</f>
        <v>4256.5280629999997</v>
      </c>
      <c r="AA105" s="3">
        <f>5980.4+(291.1-924.2)+(-6.100008+(-0.296922--0.942684))+0-520.9--0.531318000000083</f>
        <v>4821.4770719999997</v>
      </c>
      <c r="AB105" s="3">
        <f>5831.7+(388.3-665)+(0+(0-0))+0-607.9-0</f>
        <v>4947.1000000000004</v>
      </c>
      <c r="AC105" s="3">
        <f>5345+(794.1-511.2)+(-2.72595+(-0.404991--0.260712))+0-531.4--0.271013999999946</f>
        <v>5093.9007849999998</v>
      </c>
      <c r="AD105">
        <f t="shared" si="1"/>
        <v>111036.46908400001</v>
      </c>
      <c r="AE105" s="3">
        <f>6298+(267.7-1119.7)+(0+(0-0))+0-591.7-0</f>
        <v>4854.3</v>
      </c>
    </row>
    <row r="106" spans="1:31" customFormat="1" x14ac:dyDescent="0.25">
      <c r="A106">
        <v>89</v>
      </c>
      <c r="B106">
        <v>4</v>
      </c>
      <c r="C106">
        <v>13</v>
      </c>
      <c r="D106">
        <v>2</v>
      </c>
      <c r="E106">
        <v>1</v>
      </c>
      <c r="F106" s="3">
        <f>4568.2+(1337.5-296.7)+(-4.659564+(-1.36425--0.302634))+0-535.3--0.546006000000085</f>
        <v>5068.5248260000008</v>
      </c>
      <c r="G106" s="3">
        <f>3764.3+(1974.1-198.8)+(-3.839586+(-2.013582--0.202776))+0-560.2--0.571404000000089</f>
        <v>4974.3210120000012</v>
      </c>
      <c r="H106" s="3">
        <f>3704.9+(1821.2-211.6)+(0+(0-0))+0-529.4-0</f>
        <v>4785.1000000000004</v>
      </c>
      <c r="I106" s="3">
        <f>3449.3+(1990.6-232.6)+(0+(0-0))+0-562.9-0</f>
        <v>4644.4000000000005</v>
      </c>
      <c r="J106" s="3">
        <f>3340.7+(2017.3-237)+(5.111271+(3.086469-0.36261))+0-560.9-0.858177000000032</f>
        <v>4567.0769530000007</v>
      </c>
      <c r="K106" s="3">
        <f>3303.3+(1893.5-221.7)+(-1.684683+(-0.965685--0.113067))+0-514.8--0.262547999999948</f>
        <v>4458.0252469999996</v>
      </c>
      <c r="L106" s="3">
        <f>3046.7+(1864.4-234.5)+(0+(0-0))+0-553.5-0</f>
        <v>4123.1000000000004</v>
      </c>
      <c r="M106" s="3">
        <f>3278.4+(1472.5-246.1)+(-5.015952+(-2.252925--0.376533))+0-576.7--0.882351000000033</f>
        <v>3922.0900070000007</v>
      </c>
      <c r="N106" s="3">
        <f>3393.2+(1220.1-254.5)+(-3.461064+(-1.244502--0.25959))+0-463.8--0.473076000000074</f>
        <v>3891.0270999999993</v>
      </c>
      <c r="O106" s="3">
        <f>3460.7+(1154.6-287.1)+(-5.294871+(-1.766538--0.439263))+0-440.7--0.674271000000025</f>
        <v>3881.5521250000002</v>
      </c>
      <c r="P106" s="3">
        <f>4199+(712.5-446.8)+(-2.14149+(-0.363375--0.227868))+0-460--0.234599999999953</f>
        <v>4002.6576029999997</v>
      </c>
      <c r="Q106" s="3">
        <f>5514.8+(254.8-987.4)+(-2.812548+(-0.129948--0.503574))+0-446.1--0.227510999999955</f>
        <v>4333.8885890000001</v>
      </c>
      <c r="R106" s="3">
        <f>6533.5+(204.6-1593.2)+(6.66417+(0.208692-1.625064))+0-282.7-0.288354000000045</f>
        <v>4867.1594439999999</v>
      </c>
      <c r="S106" s="3">
        <f>6823+(219.2-1481.9)+(3.47973+(0.111792-0.755769))+0-299.7-0.15284699999997</f>
        <v>5263.2829060000004</v>
      </c>
      <c r="T106" s="3">
        <f>7184.4+(227.7-1686.9)+(3.664044+(0.116127-0.860319))+0-264.1-0.134690999999973</f>
        <v>5463.8851609999992</v>
      </c>
      <c r="U106" s="3">
        <f>7413+(234-1833.9)+(3.78063+(0.11934-0.935289))+0-311.7-0.158966999999968</f>
        <v>5504.2057140000006</v>
      </c>
      <c r="V106" s="3">
        <f>7301.6+(242.2-1769.8)+(-3.723816+(-0.123522--0.902598))+0-293.3--0.14958299999997</f>
        <v>5477.9048430000003</v>
      </c>
      <c r="W106" s="3">
        <f>6609.8+(267-1217.6)+(-10.112994+(-0.40851--1.862928))+0-398.5--0.609705000000023</f>
        <v>5252.6511290000008</v>
      </c>
      <c r="X106" s="3">
        <f>5113.5+(603.9-590.4)+(-5.21577+(-0.615978--0.602208))+0-405.5--0.413610000000065</f>
        <v>4716.6840700000002</v>
      </c>
      <c r="Y106" s="3">
        <f>3495.8+(1335.5-343.6)+(-1.782858+(-0.681105--0.175236))+0-433.4--0.221033999999956</f>
        <v>4052.2323069999998</v>
      </c>
      <c r="Z106" s="3">
        <f>4748.8+(512.8-511.8)+(4.843776+(0.523056-0.522036))+0-465-0.474300000000074</f>
        <v>4289.1704960000006</v>
      </c>
      <c r="AA106" s="3">
        <f>6416.9+(267.6-1106.3)+(0+(0-0))+0-554.2-0</f>
        <v>5024</v>
      </c>
      <c r="AB106" s="3">
        <f>6255.1+(307.9-805.2)+(-3.190101+(-0.157029--0.410652))+0-500--0.254999999999949</f>
        <v>5255.1185220000007</v>
      </c>
      <c r="AC106" s="3">
        <f>5770.1+(555.2-604)+(2.942751+(0.283152-0.30804))+0-430.9-0.219758999999956</f>
        <v>5293.0981040000006</v>
      </c>
      <c r="AD106">
        <f t="shared" si="1"/>
        <v>113111.15615800001</v>
      </c>
      <c r="AE106" s="3">
        <f>6441+(280.9-1026.2)+(0+(0-0))+0-510.5-0</f>
        <v>5185.2</v>
      </c>
    </row>
    <row r="107" spans="1:31" customFormat="1" x14ac:dyDescent="0.25">
      <c r="A107">
        <v>89</v>
      </c>
      <c r="B107">
        <v>4</v>
      </c>
      <c r="C107">
        <v>14</v>
      </c>
      <c r="D107">
        <v>3</v>
      </c>
      <c r="E107">
        <v>1</v>
      </c>
      <c r="F107" s="3">
        <f>5084.4+(1126.9-358)+(2.593044+(0.574719-0.18258))+0-516.3-0.263312999999948</f>
        <v>5339.7218699999985</v>
      </c>
      <c r="G107" s="3">
        <f>4011.2+(1836.2-232)+(-2.045712+(-0.936462--0.11832))+0-506.5--0.258314999999949</f>
        <v>5106.2944609999995</v>
      </c>
      <c r="H107" s="3">
        <f>3686.9+(2041.2-241.8)+(-3.760638+(-2.082024--0.246636))+0-553.3--0.564366000000088</f>
        <v>4927.9683400000004</v>
      </c>
      <c r="I107" s="3">
        <f>3200.8+(2297.4-236.6)+(-1.632408+(-1.171674--0.120666))+0-517.2--0.263771999999948</f>
        <v>4741.9803560000009</v>
      </c>
      <c r="J107" s="3">
        <f>3120.3+(2360-243)+(-3.182706+(-2.4072--0.24786))+0-612.6--0.624852000000098</f>
        <v>4619.982806</v>
      </c>
      <c r="K107" s="3">
        <f>3091.8+(2223.7-223)+(-7.88409+(-5.670435--0.56865))+0-475.3--1.21201499999993</f>
        <v>4605.4261399999996</v>
      </c>
      <c r="L107" s="3">
        <f>3123+(1967.7-245.4)+(-6.37092+(-4.014108--0.500616))+0-560.9--1.14423599999998</f>
        <v>4275.6598240000003</v>
      </c>
      <c r="M107" s="3">
        <f>3181.8+(1702.5-252.2)+(0+(0-0))+0-572.4-0</f>
        <v>4059.7000000000003</v>
      </c>
      <c r="N107" s="3">
        <f>3266.5+(1484.5-151.4)+(0+(0-0))+0-467-0</f>
        <v>4132.6000000000004</v>
      </c>
      <c r="O107" s="3">
        <f>3779.3+(1151.9-302.7)+(1.927443+(0.587469-0.154377))+0-554.1-0.282590999999944</f>
        <v>4076.4779439999998</v>
      </c>
      <c r="P107" s="3">
        <f>4678.9+(585-500.5)+(2.386239+(0.29835-0.255255))+0-575.6-0.293555999999942</f>
        <v>4189.935778</v>
      </c>
      <c r="Q107" s="3">
        <f>5973+(252.2-1211.2)+(6.09246+(0.257244-1.235424))+0-457-0.466140000000073</f>
        <v>4561.6481399999993</v>
      </c>
      <c r="R107" s="3">
        <f>6871.4+(221.7-1717.8)+(10.513242+(0.339201-2.628234))+0-289.8-0.443394000000017</f>
        <v>5093.2808149999992</v>
      </c>
      <c r="S107" s="3">
        <f>7184.3+(238.9-1725.1)+(7.327986+(0.243678-1.759602))+0-293.4-0.299268000000047</f>
        <v>5410.2127940000009</v>
      </c>
      <c r="T107" s="3">
        <f>7831.8+(239-2068.5)+(11.982654+(0.36567-3.164805))+0-302.4-0.462672000000017</f>
        <v>5708.620847000001</v>
      </c>
      <c r="U107" s="3">
        <f>8052.6+(238.9-2258.3)+(12.320478+(0.365517-3.455199))+0-315.1-0.482103000000018</f>
        <v>5726.8486929999999</v>
      </c>
      <c r="V107" s="3">
        <f>7922.7+(245.3-2196.8)+(0+(0-0))+0-318.4-0</f>
        <v>5652.8</v>
      </c>
      <c r="W107" s="3">
        <f>7082.2+(267.2-1617.1)+(-7.223844+(-0.272544--1.649442))+0-338.7--0.345474000000054</f>
        <v>5388.0985280000004</v>
      </c>
      <c r="X107" s="3">
        <f>5837.3+(530.8-970)+(-5.954046+(-0.541416--0.9894))+0-503.5--0.51357000000008</f>
        <v>4889.6075080000001</v>
      </c>
      <c r="Y107" s="3">
        <f>4319+(957.8-338.7)+(-2.20269+(-0.488478--0.172737))+0-577.1--0.294320999999941</f>
        <v>4358.7758899999999</v>
      </c>
      <c r="Z107" s="3">
        <f>5249.2+(334.1-635.2)+(5.354184+(0.340782-0.647904))+0-485.5-0.495210000000077</f>
        <v>4467.1518519999991</v>
      </c>
      <c r="AA107" s="3">
        <f>7194.9+(307.5-1941.1)+(-3.669399+(-0.156825--0.989961))+0-624--0.318239999999937</f>
        <v>4934.7819769999987</v>
      </c>
      <c r="AB107" s="3">
        <f>6965+(285.7-1484.8)+(0+(0-0))+0-539.4-0</f>
        <v>5226.5</v>
      </c>
      <c r="AC107" s="3">
        <f>6777.8+(337.4-1126.2)+(-6.913356+(-0.344148--1.148724))+0-604.7--0.616794000000096</f>
        <v>5378.8080140000011</v>
      </c>
      <c r="AD107">
        <f t="shared" si="1"/>
        <v>116872.882577</v>
      </c>
      <c r="AE107" s="3">
        <f>7597+(329.9-2121.6)+(0+(0-0))+0-622.3-0</f>
        <v>5183</v>
      </c>
    </row>
    <row r="108" spans="1:31" customFormat="1" x14ac:dyDescent="0.25">
      <c r="A108">
        <v>89</v>
      </c>
      <c r="B108">
        <v>4</v>
      </c>
      <c r="C108">
        <v>15</v>
      </c>
      <c r="D108">
        <v>4</v>
      </c>
      <c r="E108">
        <v>1</v>
      </c>
      <c r="F108" s="3">
        <f>5277.4+(1109.8-308.2)+(-10.765896+(-2.263992--0.628728))+0-581.6--1.18646399999997</f>
        <v>5486.1853039999996</v>
      </c>
      <c r="G108" s="3">
        <f>3833.5+(2183.1-229.4)+(5.865255+(3.340143-0.350982))+0-596.5-0.912645000000034</f>
        <v>5198.6417709999996</v>
      </c>
      <c r="H108" s="3">
        <f>3433.9+(2356.9-231.1)+(0+(0-0))+0-562.3-0</f>
        <v>4997.4000000000005</v>
      </c>
      <c r="I108" s="3">
        <f>3277.6+(2373.9-223.6)+(-1.671576+(-1.210689--0.114036))+0-557.4--0.284273999999943</f>
        <v>4868.0160449999994</v>
      </c>
      <c r="J108" s="3">
        <f>3192.5+(2375.6-239.8)+(-6.5127+(-4.846224--0.489192))+0-568.6--1.15994399999998</f>
        <v>4749.9902119999988</v>
      </c>
      <c r="K108" s="3">
        <f>3230.5+(2250.6-230.1)+(-4.942665+(-3.443418--0.352053))+0-543.7--0.831861000000031</f>
        <v>4700.097831</v>
      </c>
      <c r="L108" s="3">
        <f>3057.3+(1965.9-226.9)+(-3.118446+(-2.005218--0.231438))+0-547.3--0.558246000000087</f>
        <v>4244.6660200000006</v>
      </c>
      <c r="M108" s="3">
        <f>3026.3+(1813.8-221.6)+(0+(0-0))+0-512-0</f>
        <v>4106.5</v>
      </c>
      <c r="N108" s="3">
        <f>2961.1+(1961.9-240.3)+(1.510161+(1.000569-0.122553))+0-576.4-0.293963999999941</f>
        <v>4108.3942130000005</v>
      </c>
      <c r="O108" s="3">
        <f>3699.6+(1203.8-271.2)+(7.547184+(2.455752-0.553248))+0-529-1.07915999999998</f>
        <v>4111.5705279999993</v>
      </c>
      <c r="P108" s="3">
        <f>4891.1+(491.1-669.6)+(4.988922+(0.500922-0.682992))+0-497.7-0.507654000000079</f>
        <v>4219.1991980000003</v>
      </c>
      <c r="Q108" s="3">
        <f>5990.5+(262.9-1233.2)+(3.055155+(0.134079-0.628932))+0-483.5-0.246584999999951</f>
        <v>4539.0137169999998</v>
      </c>
      <c r="R108" s="3">
        <f>6930.3+(241.2-1690.8)+(3.534453+(0.123012-0.862308))+0-318.6-0.162485999999968</f>
        <v>5164.7326709999998</v>
      </c>
      <c r="S108" s="3">
        <f>7297.7+(267-1683)+(3.721827+(0.13617-0.85833))+0-338.9-0.172838999999966</f>
        <v>5545.6268280000004</v>
      </c>
      <c r="T108" s="3">
        <f>8047.6+(256.6-2206.4)+(8.208552+(0.261732-2.250528))+0-326-0.332520000000052</f>
        <v>5777.6872360000007</v>
      </c>
      <c r="U108" s="3">
        <f>7969.3+(234.5-2206.1)+(12.193029+(0.358785-3.375333))+0-317.1-0.485163000000018</f>
        <v>5689.2913180000005</v>
      </c>
      <c r="V108" s="3">
        <f>8009.5+(251.8-2259.4)+(8.16969+(0.256836-2.304588))+0-323.7-0.330174000000052</f>
        <v>5683.9917640000003</v>
      </c>
      <c r="W108" s="3">
        <f>7375+(269.6-1735.8)+(3.76125+(0.137496-0.885258))+0-344.9-0.175898999999965</f>
        <v>5566.7375890000003</v>
      </c>
      <c r="X108" s="3">
        <f>5651.3+(500.7-764)+(-2.882163+(-0.255357--0.38964))+0-435.3--0.222002999999956</f>
        <v>4950.1741229999998</v>
      </c>
      <c r="Y108" s="3">
        <f>4171.3+(1126.8-251.5)+(0+(0-0))+0-518.5-0</f>
        <v>4528.1000000000004</v>
      </c>
      <c r="Z108" s="3">
        <f>5097.3+(479.1-521.5)+(5.199246+(0.488682-0.53193))+0-428.1-0.436662000000068</f>
        <v>4631.5193360000003</v>
      </c>
      <c r="AA108" s="3">
        <f>7290.2+(276.1-1827.3)+(0+(0-0))+0-434.6-0</f>
        <v>5304.4</v>
      </c>
      <c r="AB108" s="3">
        <f>7128.2+(309.8-1518.2)+(3.635382+(0.157998-0.774282))+0-540.2-0.275501999999945</f>
        <v>5382.3435959999997</v>
      </c>
      <c r="AC108" s="3">
        <f>6467.9+(402.1-1011.8)+(-9.895887+(-0.615213--1.548054))+0-443.1--0.677943000000026</f>
        <v>5406.8148969999993</v>
      </c>
      <c r="AD108">
        <f t="shared" si="1"/>
        <v>118961.09419700001</v>
      </c>
      <c r="AE108" s="3">
        <f>7463+(297.8-1977.4)+(0+(0-0))+0-553-0</f>
        <v>5230.3999999999996</v>
      </c>
    </row>
    <row r="109" spans="1:31" customFormat="1" x14ac:dyDescent="0.25">
      <c r="A109">
        <v>89</v>
      </c>
      <c r="B109">
        <v>4</v>
      </c>
      <c r="C109">
        <v>16</v>
      </c>
      <c r="D109">
        <v>5</v>
      </c>
      <c r="E109">
        <v>1</v>
      </c>
      <c r="F109" s="3">
        <f>5837.3+(708.9-513.8)+(-5.954046+(-0.723078--0.524076))+0-565.9--0.57721800000009</f>
        <v>5460.9241700000011</v>
      </c>
      <c r="G109" s="3">
        <f>4396.5+(1629.3-225.3)+(-2.242215+(-0.830943--0.114903))+0-512.6--0.261425999999948</f>
        <v>5285.2031710000001</v>
      </c>
      <c r="H109" s="3">
        <f>4003.2+(1825.7-254.7)+(0+(0-0))+0-457.2-0</f>
        <v>5117</v>
      </c>
      <c r="I109" s="3">
        <f>3615.7+(2041.9-235.4)+(-1.844007+(-1.041369--0.120054))+0-563.2--0.287231999999943</f>
        <v>4856.5219099999995</v>
      </c>
      <c r="J109" s="3">
        <f>3358.4+(2286.5-232.1)+(0+(0-0))+0-437.6-0</f>
        <v>4975.2</v>
      </c>
      <c r="K109" s="3">
        <f>3067.2+(2479.9-230.6)+(-7.82136+(-6.323745--0.58803))+0-519.7--1.32523499999992</f>
        <v>4784.5681600000007</v>
      </c>
      <c r="L109" s="3">
        <f>2767.7+(2313-241)+(-2.823054+(-2.35926--0.24582))+0-466.1--0.475422000000074</f>
        <v>4369.1389280000003</v>
      </c>
      <c r="M109" s="3">
        <f>2933.9+(1970.7-241.4)+(1.496289+(1.005057-0.123114))+0-504.4-0.257243999999949</f>
        <v>4160.9209879999999</v>
      </c>
      <c r="N109" s="3">
        <f>3167.8+(1799-256.7)+(1.615578+(0.91749-0.130917))+0-547.7-0.279326999999944</f>
        <v>4164.5228240000006</v>
      </c>
      <c r="O109" s="3">
        <f>3967.7+(933.8-300)+(2.023527+(0.476238-0.153))+0-547-0.278969999999944</f>
        <v>4056.5677950000004</v>
      </c>
      <c r="P109" s="3">
        <f>4991.3+(410.5-489.6)+(5.091126+(0.41871-0.499392))+0-523.6-0.534072000000083</f>
        <v>4393.0763719999986</v>
      </c>
      <c r="Q109" s="3">
        <f>6094.8+(269.7-1291.1)+(0+(0-0))+1-524.1-0</f>
        <v>4550.3</v>
      </c>
      <c r="R109" s="3">
        <f>6849+(294.3-1913.1)+(10.47897+(0.450279-2.927043))+22.2-315.9-0.483327000000018</f>
        <v>4944.0188790000002</v>
      </c>
      <c r="S109" s="3">
        <f>7383.7+(328.7-1782)+(3.765687+(0.167637-0.90882))+50-299-0.15248999999997</f>
        <v>5684.2720139999992</v>
      </c>
      <c r="T109" s="3">
        <f>7992.1+(307.6-2237.4)+(0+(0-0))+50-301.1-0</f>
        <v>5811.2</v>
      </c>
      <c r="U109" s="3">
        <f>7841.3+(298.3-2105.2)+(-7.998126+(-0.304266--2.147304))+50-297.6--0.303552000000047</f>
        <v>5780.9484640000001</v>
      </c>
      <c r="V109" s="3">
        <f>7707.6+(301.7-1991.8)+(-3.930876+(-0.153867--1.015818))+40-344.2--0.175541999999965</f>
        <v>5710.4066170000006</v>
      </c>
      <c r="W109" s="3">
        <f>7324.3+(321.5-1752.1)+(7.470786+(0.32793-1.787142))+0-461.5-0.470730000000074</f>
        <v>5437.7408440000008</v>
      </c>
      <c r="X109" s="3">
        <f>5681.1+(636.9-751.9)+(-2.897361+(-0.324819--0.383469))+0-537.2--0.273971999999946</f>
        <v>5026.3352610000002</v>
      </c>
      <c r="Y109" s="3">
        <f>4160.5+(1207.4-346.9)+(0+(0-0))+0-524.3-0</f>
        <v>4496.7</v>
      </c>
      <c r="Z109" s="3">
        <f>5308.4+(582.4-722.8)+(2.707284+(0.297024-0.368628))+0-522.1-0.266270999999947</f>
        <v>4648.2694090000005</v>
      </c>
      <c r="AA109" s="3">
        <f>7022.1+(311.3-1612.4)+(0+(0-0))+0-509.7-0</f>
        <v>5211.3</v>
      </c>
      <c r="AB109" s="3">
        <f>7101.8+(355.1-1557)+(3.621918+(0.181101-0.79407))+0-552.6-0.281825999999944</f>
        <v>5350.0271229999989</v>
      </c>
      <c r="AC109" s="3">
        <f>6745.4+(418.4-1265.7)+(0+(0-0))+0-541.9-0</f>
        <v>5356.2</v>
      </c>
      <c r="AD109">
        <f t="shared" si="1"/>
        <v>119631.362929</v>
      </c>
      <c r="AE109" s="3">
        <f>7172+(319.3-1700.1)+(0+(0-0))+0-448.6-0</f>
        <v>5342.5999999999995</v>
      </c>
    </row>
    <row r="110" spans="1:31" customFormat="1" x14ac:dyDescent="0.25">
      <c r="A110">
        <v>89</v>
      </c>
      <c r="B110">
        <v>4</v>
      </c>
      <c r="C110">
        <v>17</v>
      </c>
      <c r="D110">
        <v>6</v>
      </c>
      <c r="E110">
        <v>1</v>
      </c>
      <c r="F110" s="3">
        <f>5699.2+(729.5-661.9)+(2.906592+(0.372045-0.337569))+0-400.5-0.204254999999959</f>
        <v>5369.0368130000006</v>
      </c>
      <c r="G110" s="3">
        <f>4592.2+(1419.2-244.9)+(0+(0-0))+0-600-0</f>
        <v>5166.5</v>
      </c>
      <c r="H110" s="3">
        <f>3598.8+(2189.1-240.9)+(1.835388+(1.116441-0.122859))+0-490.9-0.25035899999995</f>
        <v>5058.6786110000003</v>
      </c>
      <c r="I110" s="3">
        <f>2901+(2752.3-233.3)+(2.95902+(2.807346-0.237966))+0-484.1-0.493782000000077</f>
        <v>4940.9346179999993</v>
      </c>
      <c r="J110" s="3">
        <f>2848.8+(2796.8-235.5)+(1.452888+(1.426368-0.120105))+0-573.8-0.292637999999942</f>
        <v>4838.7665130000005</v>
      </c>
      <c r="K110" s="3">
        <f>2907.5+(2581-241.1)+(0+(0-0))+0-527.1-0</f>
        <v>4720.2999999999993</v>
      </c>
      <c r="L110" s="3">
        <f>2849.2+(2379.6-245.1)+(-4.359276+(-3.640788--0.375003))+0-560.8--0.858024000000032</f>
        <v>4416.132963</v>
      </c>
      <c r="M110" s="3">
        <f>2604.7+(2310.5-232.9)+(-3.985191+(-3.535065--0.356337))+0-505.6--0.773568000000029</f>
        <v>4170.3096489999989</v>
      </c>
      <c r="N110" s="3">
        <f>2851.8+(2038-245)+(-5.817672+(-4.15752--0.4998))+0-501.1--1.02224399999998</f>
        <v>4135.2468519999993</v>
      </c>
      <c r="O110" s="3">
        <f>3767.1+(1186-331.2)+(-1.921221+(-0.60486--0.168912))+0-556--0.283559999999944</f>
        <v>4063.8263909999996</v>
      </c>
      <c r="P110" s="3">
        <f>4929.7+(526-706.5)+(2.514147+(0.26826-0.360315))+0-592.6-0.30222599999994</f>
        <v>4158.7198659999995</v>
      </c>
      <c r="Q110" s="3">
        <f>6216.8+(265.4-1389.2)+(6.341136+(0.270708-1.416984))+3.3-537.6-0.548352000000086</f>
        <v>4563.3465079999996</v>
      </c>
      <c r="R110" s="3">
        <f>6400.8+(254.7-1291.4)+(6.528816+(0.259794-1.317228))+40-373.9-0.38137800000006</f>
        <v>5035.2900040000004</v>
      </c>
      <c r="S110" s="3">
        <f>6497.7+(295.6-1072.7)+(0+(0-0))+40-297.9-0</f>
        <v>5462.7</v>
      </c>
      <c r="T110" s="3">
        <f>6782.1+(300.9-1274.4)+(3.458871+(0.153459-0.649944))+40-289.8-0.147797999999971</f>
        <v>5561.6145880000004</v>
      </c>
      <c r="U110" s="3">
        <f>6941.2+(319.4-1340)+(3.540012+(0.162894-0.6834))+40-283.9-0.144788999999971</f>
        <v>5679.5747169999995</v>
      </c>
      <c r="V110" s="3">
        <f>6828.3+(306.7-1223.6)+(0+(0-0))+60-322.6-0</f>
        <v>5648.8</v>
      </c>
      <c r="W110" s="3">
        <f>6509.7+(438.6-960.3)+(-3.319947+(-0.223686--0.489753))+0-461.9--0.235568999999953</f>
        <v>5523.2816890000004</v>
      </c>
      <c r="X110" s="3">
        <f>4864.8+(1058.3-439.8)+(-7.443144+(-1.619199--0.672894))+0-556.6--0.851598000000032</f>
        <v>4919.1621489999998</v>
      </c>
      <c r="Y110" s="3">
        <f>3516.6+(1608.5-274.2)+(-1.793466+(-0.820335--0.139842))+0-468.6--0.238985999999952</f>
        <v>4380.0650269999996</v>
      </c>
      <c r="Z110" s="3">
        <f>4335.8+(1027.5-344.5)+(0+(0-0))+0-509.1-0</f>
        <v>4509.7</v>
      </c>
      <c r="AA110" s="3">
        <f>5789.5+(415.4-707.4)+(-11.81058+(-0.847416--1.443096))+0-507--1.03427999999998</f>
        <v>4980.3193799999999</v>
      </c>
      <c r="AB110" s="3">
        <f>5577+(558.8-459.8)+(-2.84427+(-0.284988--0.234498))+0-526.4--0.268463999999947</f>
        <v>5146.973704</v>
      </c>
      <c r="AC110" s="3">
        <f>5320.9+(795.2-369)+(2.713659+(0.405552-0.18819))+0-502.4-0.256223999999949</f>
        <v>5247.3747970000004</v>
      </c>
      <c r="AD110">
        <f t="shared" si="1"/>
        <v>117696.654839</v>
      </c>
      <c r="AE110" s="3">
        <f>6270+(406.3-933.9)+(0+(0-0))+0-583.4-0</f>
        <v>5159</v>
      </c>
    </row>
    <row r="111" spans="1:31" customFormat="1" x14ac:dyDescent="0.25">
      <c r="A111">
        <v>89</v>
      </c>
      <c r="B111">
        <v>4</v>
      </c>
      <c r="C111">
        <v>18</v>
      </c>
      <c r="D111">
        <v>7</v>
      </c>
      <c r="E111">
        <v>1</v>
      </c>
      <c r="F111" s="3">
        <f>4767+(1254.8-261.5)+(0+(0-0))+0-548.8-0</f>
        <v>5211.5</v>
      </c>
      <c r="G111" s="3">
        <f>3901.6+(1902.6-242.5)+(-1.989816+(-0.970326--0.123675))+0-564.8--0.288047999999943</f>
        <v>4994.3515809999999</v>
      </c>
      <c r="H111" s="3">
        <f>3454.4+(2321.1-246.8)+(1.761744+(1.183761-0.125868))+0-588.9-0.30033899999994</f>
        <v>4942.3192979999994</v>
      </c>
      <c r="I111" s="3">
        <f>2983.2+(2589.6-244.9)+(1.521432+(1.320696-0.124899))+0-517.8-0.264077999999947</f>
        <v>4812.5531509999992</v>
      </c>
      <c r="J111" s="3">
        <f>2916.5+(2577.7-243.9)+(1.487415+(1.314627-0.124389))+0-567.1-0.289220999999943</f>
        <v>4685.5884319999986</v>
      </c>
      <c r="K111" s="3">
        <f>2880.6+(2638.7-239.5)+(-4.407318+(-4.037211--0.366435))+0-611--0.934830000000035</f>
        <v>4661.656735999999</v>
      </c>
      <c r="L111" s="3">
        <f>2748.5+(2570.7-253.6)+(0+(0-0))+0-604.6-0</f>
        <v>4461</v>
      </c>
      <c r="M111" s="3">
        <f>2708.3+(2396-251.9)+(0+(0-0))+0-540-0</f>
        <v>4312.3999999999996</v>
      </c>
      <c r="N111" s="3">
        <f>2816.1+(2244.6-242.3)+(-2.872422+(-2.289492--0.247146))+0-572.2--0.583644000000091</f>
        <v>4241.8688760000005</v>
      </c>
      <c r="O111" s="3">
        <f>2895.7+(2151-246.5)+(0+(0-0))+0-578.9-0</f>
        <v>4221.3</v>
      </c>
      <c r="P111" s="3">
        <f>3079+(1954.2-256.5)+(3.14058+(1.993284-0.26163))+0-525.9-0.536418000000084</f>
        <v>4255.1358160000009</v>
      </c>
      <c r="Q111" s="3">
        <f>3759.6+(1490.8-246.2)+(0+(0-0))+0-526.3-0</f>
        <v>4477.8999999999996</v>
      </c>
      <c r="R111" s="3">
        <f>3516.6+(1837.3-179.2)+(1.793466+(0.937023-0.091392))+26.7-209.6-0.106895999999979</f>
        <v>4994.3322009999993</v>
      </c>
      <c r="S111" s="3">
        <f>4104.5+(1550.6-213)+(4.18659+(1.581612-0.21726))+40-205.8-0.209916000000033</f>
        <v>5281.6410260000002</v>
      </c>
      <c r="T111" s="3">
        <f>4433.3+(1438.1-272.8)+(2.260983+(0.733431-0.139128))+40-201.1-0.10256099999998</f>
        <v>5440.2527250000003</v>
      </c>
      <c r="U111" s="3">
        <f>4814.5+(1243.7-389.3)+(-4.91079+(-1.268574--0.397086))+40-197.4--0.201348000000031</f>
        <v>5505.9190699999999</v>
      </c>
      <c r="V111" s="3">
        <f>5086.4+(1102.2-480.1)+(-2.594064+(-0.562122--0.244851))+0-195.7--0.0998069999999801</f>
        <v>5509.988472</v>
      </c>
      <c r="W111" s="3">
        <f>4481.8+(1405.2-240.1)+(-2.285718+(-0.716652--0.122451))+0-333--0.169829999999966</f>
        <v>5311.1899110000004</v>
      </c>
      <c r="X111" s="3">
        <f>3633.8+(1815.3-227.4)+(-3.706476+(-1.851606--0.231948))+0-425--0.433500000000068</f>
        <v>4791.807366</v>
      </c>
      <c r="Y111" s="3">
        <f>2786.1+(2160.8-229)+(-4.262733+(-3.306024--0.35037))+0-328.7--0.502911000000019</f>
        <v>4382.4845239999995</v>
      </c>
      <c r="Z111" s="3">
        <f>3575+(1563.4-288.4)+(1.82325+(0.797334-0.147084))+0-388.5-0.198134999999961</f>
        <v>4463.7753650000004</v>
      </c>
      <c r="AA111" s="3">
        <f>5406.9+(668.1-428.2)+(-2.757519+(-0.340731--0.218382))+0-469.4--0.239393999999952</f>
        <v>5174.7595259999998</v>
      </c>
      <c r="AB111" s="3">
        <f>5353.5+(727.9-432.2)+(0+(0-0))+0-359.8-0</f>
        <v>5289.4</v>
      </c>
      <c r="AC111" s="3">
        <f>5434.3+(793.3-429.7)+(2.771493+(0.404583-0.219147))+0-453.6-0.231335999999954</f>
        <v>5347.0255930000003</v>
      </c>
      <c r="AD111">
        <f t="shared" si="1"/>
        <v>116770.14966899996</v>
      </c>
      <c r="AE111" s="3">
        <f>5754+(605.7-577)+(0+(0-0))+0-595.7-0</f>
        <v>5187</v>
      </c>
    </row>
    <row r="112" spans="1:31" customFormat="1" x14ac:dyDescent="0.25">
      <c r="A112">
        <v>89</v>
      </c>
      <c r="B112">
        <v>4</v>
      </c>
      <c r="C112">
        <v>19</v>
      </c>
      <c r="D112">
        <v>1</v>
      </c>
      <c r="E112">
        <v>3</v>
      </c>
      <c r="F112" s="3">
        <f>5011.5+(1111.2-353.6)+(-10.22346+(-2.266848--0.721344))+0-424.1--0.865163999999982</f>
        <v>5334.0962</v>
      </c>
      <c r="G112" s="3">
        <f>3920.2+(1943.4-254.2)+(-5.997906+(-2.973402--0.388926))+0-397.8--0.608634000000023</f>
        <v>5203.626252</v>
      </c>
      <c r="H112" s="3">
        <f>3529.1+(2242.2-240.9)+(-3.599682+(-2.287044--0.245718))+0-497.7--0.507654000000079</f>
        <v>5027.5666460000002</v>
      </c>
      <c r="I112" s="3">
        <f>3333.5+(2295.7-235.5)+(-3.40017+(-2.341614--0.24021))+0-527.8--0.538356000000084</f>
        <v>4860.9367819999998</v>
      </c>
      <c r="J112" s="3">
        <f>3400.8+(2142.4-235.9)+(-3.468816+(-2.185248--0.240618))+0-430.6--0.439212000000069</f>
        <v>4871.7257660000005</v>
      </c>
      <c r="K112" s="3">
        <f>2907.1+(2591.6-228.6)+(0+(0-0))+0-497.5-0</f>
        <v>4772.6000000000004</v>
      </c>
      <c r="L112" s="3">
        <f>2550.1+(2661.7-233.9)+(0+(0-0))+0-403.9-0</f>
        <v>4574</v>
      </c>
      <c r="M112" s="3">
        <f>2557+(2475.4-220.6)+(-3.91221+(-3.787362--0.337518))+0-420.6--0.643518000000024</f>
        <v>4384.4814639999995</v>
      </c>
      <c r="N112" s="3">
        <f>2703.8+(2318.3-222.8)+(-1.378938+(-1.182333--0.113628))+0-435.3--0.222002999999956</f>
        <v>4361.7743599999994</v>
      </c>
      <c r="O112" s="3">
        <f>2828.3+(2217.3-203.8)+(2.884866+(2.261646-0.207876))+0-395.2-0.403104000000063</f>
        <v>4451.1355320000002</v>
      </c>
      <c r="P112" s="3">
        <f>3557.1+(1660.9-244.1)+(3.628242+(1.694118-0.248982))+0-484.2-0.493884000000077</f>
        <v>4494.2794939999994</v>
      </c>
      <c r="Q112" s="3">
        <f>4306.6+(960.6-296.6)+(4.392732+(0.979812-0.302532))+0-408.7-0.416874000000065</f>
        <v>4566.5531380000002</v>
      </c>
      <c r="R112" s="3">
        <f>4522.3+(1022-242.5)+(0+(0-0))+103.5-288.1-0</f>
        <v>5117.2</v>
      </c>
      <c r="S112" s="3">
        <f>4849.5+(977.9-303.3)+(0+(0-0))+120-258.8-0</f>
        <v>5385.3</v>
      </c>
      <c r="T112" s="3">
        <f>5119.4+(957-379.4)+(2.610894+(0.48807-0.193494))+90-275.8-0.140657999999972</f>
        <v>5513.9648119999993</v>
      </c>
      <c r="U112" s="3">
        <f>4957+(1076.7-284.4)+(0+(0-0))+90-203.4-0</f>
        <v>5635.9000000000005</v>
      </c>
      <c r="V112" s="3">
        <f>4906.3+(1054.2-350.4)+(0+(0-0))+90-220.4-0</f>
        <v>5479.7000000000007</v>
      </c>
      <c r="W112" s="3">
        <f>4831.9+(1119.5-298)+(-4.928538+(-1.14189--0.30396))+90-209.8--0.213996000000033</f>
        <v>5528.0475280000001</v>
      </c>
      <c r="X112" s="3">
        <f>3837.1+(1586.2-230)+(0+(0-0))+40-288.7-0</f>
        <v>4944.6000000000004</v>
      </c>
      <c r="Y112" s="3">
        <f>3499.6+(1713.8-228)+(1.784796+(0.874038-0.11628))+0-480.9-0.245258999999951</f>
        <v>4506.7972949999994</v>
      </c>
      <c r="Z112" s="3">
        <f>4314.3+(1137.3-289)+(0+(0-0))+0-498.9-0</f>
        <v>4663.7000000000007</v>
      </c>
      <c r="AA112" s="3">
        <f>5918.5+(569.3-698)+(-3.018435+(-0.290343--0.35598))+0-515.4--0.262853999999948</f>
        <v>5271.7100559999999</v>
      </c>
      <c r="AB112" s="3">
        <f>6020.1+(555.3-646.4)+(0+(0-0))+0-590.4-0</f>
        <v>5338.6</v>
      </c>
      <c r="AC112" s="3">
        <f>5857.4+(741-646.4)+(0+(0-0))+0-543.4-0</f>
        <v>5408.6</v>
      </c>
      <c r="AD112">
        <f t="shared" si="1"/>
        <v>119696.895325</v>
      </c>
      <c r="AE112" s="3">
        <f>5986+(541.8-785.6)+(0+(0-0))+0-534.7-0</f>
        <v>5207.5</v>
      </c>
    </row>
    <row r="113" spans="1:31" customFormat="1" x14ac:dyDescent="0.25">
      <c r="A113">
        <v>89</v>
      </c>
      <c r="B113">
        <v>4</v>
      </c>
      <c r="C113">
        <v>20</v>
      </c>
      <c r="D113">
        <v>2</v>
      </c>
      <c r="E113">
        <v>1</v>
      </c>
      <c r="F113" s="3">
        <f>5192.1+(1296.8-446.4)+(0+(0-0))+0-584.1-0</f>
        <v>5458.4</v>
      </c>
      <c r="G113" s="3">
        <f>3685.2+(2363.3-234)+(-5.638356+(-3.615849--0.35802))+0-566.4--0.866592000000033</f>
        <v>5240.0704070000011</v>
      </c>
      <c r="H113" s="3">
        <f>3179.3+(2741.2-231.4)+(-3.242886+(-2.796024--0.236028))+0-603--0.615060000000096</f>
        <v>5080.9121780000005</v>
      </c>
      <c r="I113" s="3">
        <f>3052.1+(2724.6-233)+(-4.669713+(-4.168638--0.35649))+0-590.4--0.903312000000034</f>
        <v>4945.7214510000003</v>
      </c>
      <c r="J113" s="3">
        <f>2907.9+(2794.4-241.3)+(0+(0-0))+0-604.8-0</f>
        <v>4856.2</v>
      </c>
      <c r="K113" s="3">
        <f>2793.2+(2804.6-230.8)+(0+(0-0))+0-595.4-0</f>
        <v>4771.6000000000004</v>
      </c>
      <c r="L113" s="3">
        <f>2660.9+(2714.9-231.1)+(-2.714118+(-2.769198--0.235722))+0-557.3--0.568446000000089</f>
        <v>4582.7208520000004</v>
      </c>
      <c r="M113" s="3">
        <f>2977.7+(2247.6-231.7)+(-1.518627+(-1.146276--0.118167))+0-567.8--0.289577999999942</f>
        <v>4423.5428419999989</v>
      </c>
      <c r="N113" s="3">
        <f>2926.1+(2292.6-240.3)+(1.492311+(1.169226-0.122553))+0-548.4-0.279683999999944</f>
        <v>4432.2592999999997</v>
      </c>
      <c r="O113" s="3">
        <f>3696.2+(1548.4-244.7)+(1.885062+(0.789684-0.124797))+0-533.8-0.272237999999946</f>
        <v>4468.3777110000001</v>
      </c>
      <c r="P113" s="3">
        <f>4880.3+(441.4-521.1)+(4.977906+(0.450228-0.531522))+0-359.3-0.366486000000057</f>
        <v>4445.8301259999998</v>
      </c>
      <c r="Q113" s="3">
        <f>5870.6+(287.6-888.5)+(5.988012+(0.293352-0.90627))+20.7-324.5-0.330990000000052</f>
        <v>4970.9441040000002</v>
      </c>
      <c r="R113" s="3">
        <f>6577+(289-1248.2)+(3.35427+(0.14739-0.636582))+62-336.7-0.171716999999966</f>
        <v>5345.793361</v>
      </c>
      <c r="S113" s="3">
        <f>6911.4+(277.4-1324.3)+(3.524814+(0.141474-0.675393))+62-320.8-0.163607999999967</f>
        <v>5608.5272869999999</v>
      </c>
      <c r="T113" s="3">
        <f>7156.2+(278-1548.5)+(3.649662+(0.14178-0.789735))+62-329.1-0.167840999999967</f>
        <v>5621.4338659999994</v>
      </c>
      <c r="U113" s="3">
        <f>7290.9+(274.5-1689.8)+(7.436718+(0.27999-1.723596))+62-324.4-0.330888000000052</f>
        <v>5618.8622239999995</v>
      </c>
      <c r="V113" s="3">
        <f>7170.7+(288.9-1557.5)+(0+(0-0))+62-336.3-0</f>
        <v>5627.8</v>
      </c>
      <c r="W113" s="3">
        <f>6559.6+(363.9-1199.5)+(-13.381584+(-0.742356--2.44698))+46-331.8--0.676871999999985</f>
        <v>5427.199912</v>
      </c>
      <c r="X113" s="3">
        <f>5507.8+(721.6-546.7)+(0+(0-0))+17.5-525.4-0</f>
        <v>5174.8</v>
      </c>
      <c r="Y113" s="3">
        <f>4434+(1153.3-278.5)+(-2.26134+(-0.588183--0.142035))+0-590.8--0.30130799999994</f>
        <v>4715.5938200000001</v>
      </c>
      <c r="Z113" s="3">
        <f>5392.8+(354.7-475.1)+(2.750328+(0.180897-0.242301))+0-368.5-0.187934999999963</f>
        <v>4906.4009890000007</v>
      </c>
      <c r="AA113" s="3">
        <f>7118.9+(282.2-1574)+(-7.261278+(-0.287844--1.60548))+0-299.3--0.305286000000048</f>
        <v>5522.1616439999989</v>
      </c>
      <c r="AB113" s="3">
        <f>6707.9+(306.8-1166.6)+(-3.421029+(-0.156468--0.594966))+0-329.7--0.168146999999967</f>
        <v>5515.5856160000003</v>
      </c>
      <c r="AC113" s="3">
        <f>6899.6+(391-1184.1)+(-3.518796+(-0.19941--0.603891))+0-546--0.278459999999945</f>
        <v>5557.6641449999997</v>
      </c>
      <c r="AD113">
        <f t="shared" si="1"/>
        <v>122318.401835</v>
      </c>
      <c r="AE113" s="3">
        <f>7117+(297.9-1253.6)+(0+(0-0))+0-317.2-0</f>
        <v>5844.1</v>
      </c>
    </row>
    <row r="114" spans="1:31" customFormat="1" x14ac:dyDescent="0.25">
      <c r="A114">
        <v>89</v>
      </c>
      <c r="B114">
        <v>4</v>
      </c>
      <c r="C114">
        <v>21</v>
      </c>
      <c r="D114">
        <v>3</v>
      </c>
      <c r="E114">
        <v>1</v>
      </c>
      <c r="F114" s="3">
        <f>6000.4+(694.8-628.6)+(-6.120408+(-0.708696--0.641172))+0-574.9--0.586398000000092</f>
        <v>5486.0984660000004</v>
      </c>
      <c r="G114" s="3">
        <f>4454.8+(1757.7-286.4)+(-2.271948+(-0.896427--0.146064))+0-558.4--0.284783999999943</f>
        <v>5364.9624730000005</v>
      </c>
      <c r="H114" s="3">
        <f>3664.1+(2248.1-250.1)+(-7.474764+(-4.586124--0.510204))+0-545.1--1.11200399999998</f>
        <v>5106.5613199999998</v>
      </c>
      <c r="I114" s="3">
        <f>3386.2+(2375.4-245.8)+(3.453924+(2.422908-0.250716))+0-479.4-0.488988000000076</f>
        <v>5041.5371279999999</v>
      </c>
      <c r="J114" s="3">
        <f>3339.1+(2445.2-248.8)+(-3.405882+(-2.494104--0.253776))+0-589.4--0.601188000000094</f>
        <v>4941.054978000001</v>
      </c>
      <c r="K114" s="3">
        <f>2954.3+(2555.8-233.6)+(-3.013386+(-2.606916--0.238272))+0-517.3--0.527646000000082</f>
        <v>4754.3456160000005</v>
      </c>
      <c r="L114" s="3">
        <f>2793.4+(2656.4-239.6)+(0+(0-0))+0-565.8-0</f>
        <v>4644.4000000000005</v>
      </c>
      <c r="M114" s="3">
        <f>2894.4+(2330.5-239.8)+(0+(0-0))+0-463.5-0</f>
        <v>4521.6000000000004</v>
      </c>
      <c r="N114" s="3">
        <f>3052+(2164.4-247.2)+(0+(0-0))+0-531.2-0</f>
        <v>4438</v>
      </c>
      <c r="O114" s="3">
        <f>3670.2+(1717.2-261.9)+(0+(0-0))+0-511.1-0</f>
        <v>4614.3999999999996</v>
      </c>
      <c r="P114" s="3">
        <f>4648.4+(875.9-407.2)+(0+(0-0))+0-278.6-0</f>
        <v>4838.4999999999991</v>
      </c>
      <c r="Q114" s="3">
        <f>6001.5+(480.3-858.3)+(12.24306+(0.979812-1.750932))+0-270.2-0.551207999999988</f>
        <v>5364.2207320000007</v>
      </c>
      <c r="R114" s="3">
        <f>6211.1+(385.8-965.7)+(-6.335322+(-0.393516--0.985014))+49.3-278.1--0.283662000000044</f>
        <v>5396.9398380000002</v>
      </c>
      <c r="S114" s="3">
        <f>6209.7+(443.1-959.8)+(3.166947+(0.225981-0.489498))+74-291.3-0.14856299999997</f>
        <v>5478.4548670000004</v>
      </c>
      <c r="T114" s="3">
        <f>6681.4+(380.1-1168.8)+(3.407514+(0.193851-0.596088))+74-288-0.146879999999971</f>
        <v>5681.5583969999998</v>
      </c>
      <c r="U114" s="3">
        <f>6828+(360-1243.8)+(6.96456+(0.3672-1.268676))+74-288-0.293760000000046</f>
        <v>5735.9693239999997</v>
      </c>
      <c r="V114" s="3">
        <f>6721.4+(337.5-1195.3)+(-3.427914+(-0.172125--0.609603))+74-280.2--0.142901999999972</f>
        <v>5654.5524659999992</v>
      </c>
      <c r="W114" s="3">
        <f>5977.7+(404.3-659.1)+(-9.145881+(-0.618579--1.008423))+41.5-281.9--0.431307000000016</f>
        <v>5474.1752699999997</v>
      </c>
      <c r="X114" s="3">
        <f>5204.1+(695.9-246.7)+(-7.962273+(-1.064727--0.377451))+5.8-306.4--0.468792000000018</f>
        <v>5344.5192430000006</v>
      </c>
      <c r="Y114" s="3">
        <f>4195.3+(1327-245.9)+(-2.139603+(-0.67677--0.125409))+0-555.6--0.283355999999944</f>
        <v>4718.3923919999988</v>
      </c>
      <c r="Z114" s="3">
        <f>4705.9+(884.5-288.8)+(2.400009+(0.451095-0.147288))+0-455.4-0.232253999999954</f>
        <v>4848.6715620000004</v>
      </c>
      <c r="AA114" s="3">
        <f>6052.7+(360.4-549.1)+(-3.086877+(-0.183804--0.280041))+0-311--0.158609999999968</f>
        <v>5550.1679700000004</v>
      </c>
      <c r="AB114" s="3">
        <f>5824.7+(448.3-408.7)+(-2.970597+(-0.228633--0.208437))+0-347.2--0.177071999999965</f>
        <v>5514.2862790000008</v>
      </c>
      <c r="AC114" s="3">
        <f>5512+(639.6-354.7)+(0+(0-0))+0-331.9-0</f>
        <v>5465</v>
      </c>
      <c r="AD114">
        <f t="shared" si="1"/>
        <v>123978.36832099999</v>
      </c>
      <c r="AE114" s="3">
        <f>6258+(368.1-618)+(0+(0-0))+0-320.7-0</f>
        <v>5687.4000000000005</v>
      </c>
    </row>
    <row r="115" spans="1:31" customFormat="1" x14ac:dyDescent="0.25">
      <c r="A115">
        <v>89</v>
      </c>
      <c r="B115">
        <v>4</v>
      </c>
      <c r="C115">
        <v>22</v>
      </c>
      <c r="D115">
        <v>4</v>
      </c>
      <c r="E115">
        <v>1</v>
      </c>
      <c r="F115" s="3">
        <f>4853.5+(1513.1-266.5)+(0+(0-0))+0-468-0</f>
        <v>5632.1</v>
      </c>
      <c r="G115" s="3">
        <f>3399.3+(2716.1-188)+(-3.467286+(-2.770422--0.19176))+0-596.4--0.608328000000095</f>
        <v>5325.5623800000003</v>
      </c>
      <c r="H115" s="3">
        <f>3105.4+(2807.5-191.4)+(1.583754+(1.431825-0.097614))+0-533-0.271829999999946</f>
        <v>5191.146135</v>
      </c>
      <c r="I115" s="3">
        <f>3152.7+(2728.6-180.6)+(0+(0-0))+0-612.8-0</f>
        <v>5087.8999999999996</v>
      </c>
      <c r="J115" s="3">
        <f>3115.2+(2583-189.4)+(4.766256+(3.95199-0.289782))+0-488.5-0.747405000000028</f>
        <v>5027.9810589999988</v>
      </c>
      <c r="K115" s="3">
        <f>3090.4+(2638.1-175.8)+(0+(0-0))+0-590.8-0</f>
        <v>4961.8999999999996</v>
      </c>
      <c r="L115" s="3">
        <f>2977.9+(2514.5-167.5)+(-1.518729+(-1.282395--0.085425))+0-548.8--0.279887999999944</f>
        <v>4773.6641889999992</v>
      </c>
      <c r="M115" s="3">
        <f>2900.9+(2547-170.7)+(0+(0-0))+0-581.2-0</f>
        <v>4696.0000000000009</v>
      </c>
      <c r="N115" s="3">
        <f>3151.6+(2249.9-185.2)+(6.429264+(4.589796-0.377808))+0-538.8-1.09915199999998</f>
        <v>4687.0421000000006</v>
      </c>
      <c r="O115" s="3">
        <f>3921.7+(1589.4-197)+(0+(0-0))+0-473.6-0</f>
        <v>4840.5</v>
      </c>
      <c r="P115" s="3">
        <f>4664.3+(879.4-263.2)+(7.136379+(1.345482-0.402696))+0-350.5-0.53626500000002</f>
        <v>4937.5429000000004</v>
      </c>
      <c r="Q115" s="3">
        <f>5737.3+(381.3-613.5)+(2.926023+(0.194463-0.312885))+0-283.9-0.144788999999971</f>
        <v>5223.8628120000012</v>
      </c>
      <c r="R115" s="3">
        <f>6117.1+(480.1-666)+(-6.239442+(-0.489702--0.67932))+46.7-278.7--0.284274000000044</f>
        <v>5693.4344500000007</v>
      </c>
      <c r="S115" s="3">
        <f>6439.3+(586.5-775.6)+(0+(0-0))+70-277.6-0</f>
        <v>6042.5999999999995</v>
      </c>
      <c r="T115" s="3">
        <f>6740.4+(510.4-976)+(10.312812+(0.780912-1.49328))+70-282.5-0.432225000000016</f>
        <v>6071.4682189999994</v>
      </c>
      <c r="U115" s="3">
        <f>6917.8+(436.2-982.9)+(-3.528078+(-0.222462--0.501279))+70-280--0.142799999999972</f>
        <v>6157.9935390000001</v>
      </c>
      <c r="V115" s="3">
        <f>6649+(439.8-968.9)+(-3.39099+(-0.224298--0.494139))+70-275.8--0.140657999999972</f>
        <v>5911.1195090000001</v>
      </c>
      <c r="W115" s="3">
        <f>5783.1+(570.6-500.6)+(-17.696286+(-1.746036--1.531836))+30-268.9--0.822834000000031</f>
        <v>5597.1123480000006</v>
      </c>
      <c r="X115" s="3">
        <f>5074.9+(998-282.1)+(-10.352796+(-2.03592--0.575484))+0-449.3--0.91657199999998</f>
        <v>5330.6033399999988</v>
      </c>
      <c r="Y115" s="3">
        <f>3806.8+(1748.1-180.3)+(-5.824404+(-2.674593--0.275859))+0-589--0.901170000000034</f>
        <v>4778.2780320000002</v>
      </c>
      <c r="Z115" s="3">
        <f>4697.1+(958.1-250.9)+(2.395521+(0.488631-0.127959))+0-360.5-0.183854999999963</f>
        <v>5046.3723380000001</v>
      </c>
      <c r="AA115" s="3">
        <f>6192.8+(389.9-698.9)+(-12.633312+(-0.795396--1.425756))+0-285.4--0.582215999999988</f>
        <v>5586.9792640000005</v>
      </c>
      <c r="AB115" s="3">
        <f>5800.9+(531.1-430.9)+(-11.833836+(-1.083444--0.879036))+0-282.5--0.576299999999988</f>
        <v>5607.1380559999989</v>
      </c>
      <c r="AC115" s="3">
        <f>5419.1+(914.4-253.9)+(5.527482+(0.932688-0.258978))+0-357.6-0.364752000000057</f>
        <v>5727.83644</v>
      </c>
      <c r="AD115">
        <f t="shared" si="1"/>
        <v>127936.13711</v>
      </c>
      <c r="AE115" s="3">
        <f>6119+(414-532)+(0+(0-0))+0-283-0</f>
        <v>5718</v>
      </c>
    </row>
    <row r="116" spans="1:31" customFormat="1" x14ac:dyDescent="0.25">
      <c r="A116">
        <v>89</v>
      </c>
      <c r="B116">
        <v>4</v>
      </c>
      <c r="C116">
        <v>23</v>
      </c>
      <c r="D116">
        <v>5</v>
      </c>
      <c r="E116">
        <v>1</v>
      </c>
      <c r="F116" s="3">
        <f>4797.5+(1671.2-201.9)+(-4.89345+(-1.704624--0.205938))+0-589.5--0.601290000000094</f>
        <v>5671.5091540000003</v>
      </c>
      <c r="G116" s="3">
        <f>3376.7+(2718.3-168.6)+(-1.722117+(-1.386333--0.085986))+0-537.5--0.274124999999946</f>
        <v>5386.1516609999999</v>
      </c>
      <c r="H116" s="3">
        <f>3248+(2808.3-182.2)+(-3.31296+(-2.864466--0.185844))+0-623.3--0.635766000000099</f>
        <v>5245.4441840000009</v>
      </c>
      <c r="I116" s="3">
        <f>3101.5+(2807.8-179.8)+(-3.16353+(-2.863956--0.183396))+0-560.4--0.571608000000089</f>
        <v>5163.827518000001</v>
      </c>
      <c r="J116" s="3">
        <f>3188.5+(2689.7-187.2)+(4.878405+(4.115241-0.286416))+0-616.7-0.943551000000036</f>
        <v>5082.0636789999999</v>
      </c>
      <c r="K116" s="3">
        <f>3112.5+(2664.6-178.8)+(-3.17475+(-2.717892--0.182376))+0-586.4--0.598128000000093</f>
        <v>5006.7878620000001</v>
      </c>
      <c r="L116" s="3">
        <f>2843.8+(2663.2-172.4)+(-1.450338+(-1.358232--0.087924))+0-576.4--0.293963999999941</f>
        <v>4755.7733180000005</v>
      </c>
      <c r="M116" s="3">
        <f>3122.8+(2302.4-186.3)+(4.777884+(3.522672-0.285039))+0-570.3-0.872559000000033</f>
        <v>4675.7429579999989</v>
      </c>
      <c r="N116" s="3">
        <f>3287.6+(2083.4-198.4)+(-1.676676+(-1.062534--0.101184))+0-496.4--0.25316399999995</f>
        <v>4673.8151380000008</v>
      </c>
      <c r="O116" s="3">
        <f>3503+(1997.9-197.1)+(3.57306+(2.037858-0.201042))+0-519.8-0.530196000000083</f>
        <v>4788.87968</v>
      </c>
      <c r="P116" s="3">
        <f>3643.8+(1873.1-209.1)+(1.858338+(0.955281-0.106641))+50-488-0.248879999999951</f>
        <v>4872.2580980000002</v>
      </c>
      <c r="Q116" s="3">
        <f>4442+(1779.9-222)+(-2.26542+(-0.907749--0.11322))+150-453.4--0.231233999999954</f>
        <v>5693.6712849999994</v>
      </c>
      <c r="R116" s="3">
        <f>4723.3+(1345.3-177.3)+(-4.817766+(-1.372206--0.180846))+240-282.4--0.288048000000045</f>
        <v>5843.178922000001</v>
      </c>
      <c r="S116" s="3">
        <f>5050.3+(1108.1-187.1)+(0+(0-0))+270-279.1-0</f>
        <v>5962.2</v>
      </c>
      <c r="T116" s="3">
        <f>5351.7+(862.1-212.3)+(2.729367+(0.439671-0.108273))+270-281.8-0.143717999999971</f>
        <v>5992.6170469999997</v>
      </c>
      <c r="U116" s="3">
        <f>5691+(589.9-244)+(-2.90241+(-0.300849--0.12444))+270-274.6--0.140045999999972</f>
        <v>6029.3612269999985</v>
      </c>
      <c r="V116" s="3">
        <f>5544.1+(745.2-267.3)+(-5.654982+(-0.760104--0.272646))+245-266.6--0.271932000000043</f>
        <v>5994.5294919999997</v>
      </c>
      <c r="W116" s="3">
        <f>4740+(1306.9-213.1)+(7.2522+(1.999557-0.326043))+120-260-0.397800000000015</f>
        <v>5702.3279140000004</v>
      </c>
      <c r="X116" s="3">
        <f>3724.6+(1878.4-193.9)+(-3.799092+(-1.915968--0.197778))+40-253.8--0.25887600000004</f>
        <v>5190.0415940000003</v>
      </c>
      <c r="Y116" s="3">
        <f>3378.1+(1750.8-194.8)+(1.722831+(0.892908-0.099348))+0-245-0.124949999999975</f>
        <v>4691.4914410000001</v>
      </c>
      <c r="Z116" s="3">
        <f>4331.7+(1083.1-249.6)+(4.418334+(1.104762-0.254592))+0-251.1-0.25612200000004</f>
        <v>4919.1123819999993</v>
      </c>
      <c r="AA116" s="3">
        <f>5667.8+(511.9-452.2)+(-8.671734+(-0.783207--0.691866))+0-276.6--0.423198000000016</f>
        <v>5442.5601230000002</v>
      </c>
      <c r="AB116" s="3">
        <f>5376.8+(694-326.4)+(-2.742168+(-0.35394--0.166464))+0-279.3--0.142442999999972</f>
        <v>5462.3127990000003</v>
      </c>
      <c r="AC116" s="3">
        <f>5215.5+(1022.2-280.9)+(-2.659905+(-0.521322--0.143259))+0-467.3--0.238322999999953</f>
        <v>5486.7003549999999</v>
      </c>
      <c r="AD116">
        <f t="shared" si="1"/>
        <v>127732.35783099999</v>
      </c>
      <c r="AE116" s="3">
        <f>5916+(466.2-514.7)+(0+(0-0))+0-280.4-0</f>
        <v>5587.1</v>
      </c>
    </row>
    <row r="117" spans="1:31" customFormat="1" x14ac:dyDescent="0.25">
      <c r="A117">
        <v>89</v>
      </c>
      <c r="B117">
        <v>4</v>
      </c>
      <c r="C117">
        <v>24</v>
      </c>
      <c r="D117">
        <v>6</v>
      </c>
      <c r="E117">
        <v>1</v>
      </c>
      <c r="F117" s="3">
        <f>4915.6+(1473.9-243.2)+(-2.506956+(-0.751689--0.124032))+0-613.4--0.312833999999938</f>
        <v>5530.0782210000007</v>
      </c>
      <c r="G117" s="3">
        <f>3480.7+(2387.3-201.4)+(-1.775157+(-1.217523--0.102714))+0-416.1--0.212210999999958</f>
        <v>5247.8222450000003</v>
      </c>
      <c r="H117" s="3">
        <f>3314.7+(2583.9-200.1)+(6.761988+(5.271156-0.408204))+0-544.3-1.11037199999998</f>
        <v>5164.7145679999994</v>
      </c>
      <c r="I117" s="3">
        <f>3243.7+(2545.5-186.5)+(-3.308574+(-2.59641--0.19023))+0-557.1--0.568242000000089</f>
        <v>5040.4534880000001</v>
      </c>
      <c r="J117" s="3">
        <f>3232.3+(2385.9-107.5)+(-1.648473+(-1.216809--0.054825))+0-536--0.273359999999946</f>
        <v>4972.1629030000013</v>
      </c>
      <c r="K117" s="3">
        <f>3192.6+(2465.3-181.7)+(-3.256452+(-2.514606--0.185334))+0-558.4--0.569568000000089</f>
        <v>4912.7838440000014</v>
      </c>
      <c r="L117" s="3">
        <f>2955.1+(2505-203.6)+(-3.014202+(-2.5551--0.207672))+0-553.4--0.564468000000088</f>
        <v>4698.3028380000005</v>
      </c>
      <c r="M117" s="3">
        <f>3087.2+(2339.8-191.6)+(-1.574472+(-1.193298--0.097716))+0-553.8--0.282437999999944</f>
        <v>4679.2123839999995</v>
      </c>
      <c r="N117" s="3">
        <f>3228.2+(2135.8-201.8)+(1.646382+(1.089258-0.102918))+0-587.2-0.29947199999994</f>
        <v>4577.3332500000006</v>
      </c>
      <c r="O117" s="3">
        <f>3820.1+(1612-209.8)+(9.741255+(4.1106-0.53499))+0-523.6-1.33517999999992</f>
        <v>4710.6816849999996</v>
      </c>
      <c r="P117" s="3">
        <f>3975.8+(1657.8-214.6)+(2.027658+(0.845478-0.109446))+58.5-553.3-0.282182999999944</f>
        <v>4926.6815069999993</v>
      </c>
      <c r="Q117" s="3">
        <f>4679+(1164.9-224.2)+(2.38629+(0.594099-0.114342))+170.3-524.7-0.267596999999947</f>
        <v>5267.8984500000006</v>
      </c>
      <c r="R117" s="3">
        <f>4712.8+(1167.1-199)+(-2.403528+(-0.595221--0.10149))+277-255.2--0.130151999999974</f>
        <v>5699.9328929999992</v>
      </c>
      <c r="S117" s="3">
        <f>4382.1+(1465.1-198.6)+(-4.469742+(-1.494402--0.202572))+277-314--0.32028000000005</f>
        <v>5606.1587079999999</v>
      </c>
      <c r="T117" s="3">
        <f>4591.4+(1512.5-213)+(-2.341614+(-0.771375--0.10863))+277-315.3--0.160802999999968</f>
        <v>5849.7564439999996</v>
      </c>
      <c r="U117" s="3">
        <f>4693+(1444.3-229.8)+(-2.39343+(-0.736593--0.117198))+277-319.5--0.162944999999968</f>
        <v>5862.1501200000002</v>
      </c>
      <c r="V117" s="3">
        <f>4474.5+(1603.7-218.5)+(0+(0-0))+277-321.5-0</f>
        <v>5815.2</v>
      </c>
      <c r="W117" s="3">
        <f>4412.6+(1536.3-228)+(-4.500852+(-1.567026--0.23256))+277-312.3--0.31854600000005</f>
        <v>5680.0832280000004</v>
      </c>
      <c r="X117" s="3">
        <f>3540+(2103.5-212.8)+(-9.027+(-5.363925--0.54264))+277-447.9--1.14214499999993</f>
        <v>5247.0938599999999</v>
      </c>
      <c r="Y117" s="3">
        <f>3544+(1710-190.5)+(-1.80744+(-0.8721--0.097155))+117-464.3--0.236792999999953</f>
        <v>4713.8544080000001</v>
      </c>
      <c r="Z117" s="3">
        <f>3851.7+(1538-210.4)+(-3.928734+(-1.56876--0.214608))+0-483.9--0.493578000000077</f>
        <v>4690.6106920000002</v>
      </c>
      <c r="AA117" s="3">
        <f>4602.3+(1244.4-231.4)+(-7.041519+(-1.903932--0.354042))+0-306.6--0.469098000000018</f>
        <v>5300.5776889999997</v>
      </c>
      <c r="AB117" s="3">
        <f>4317.8+(1563.6-228.8)+(-2.202078+(-0.797436--0.116688))+0-320.9--0.163658999999967</f>
        <v>5328.9808330000005</v>
      </c>
      <c r="AC117" s="3">
        <f>4080.2+(1797.4-141.2)+(-6.242706+(-2.750022--0.216036))+0-280.6--0.429318000000016</f>
        <v>5447.4526259999993</v>
      </c>
      <c r="AD117">
        <f t="shared" si="1"/>
        <v>124969.976884</v>
      </c>
      <c r="AE117" s="3">
        <f>4606+(1086.9-229.5)+(0+(0-0))+0-314.7-0</f>
        <v>5148.7</v>
      </c>
    </row>
    <row r="118" spans="1:31" customFormat="1" x14ac:dyDescent="0.25">
      <c r="A118">
        <v>89</v>
      </c>
      <c r="B118">
        <v>4</v>
      </c>
      <c r="C118">
        <v>25</v>
      </c>
      <c r="D118">
        <v>7</v>
      </c>
      <c r="E118">
        <v>1</v>
      </c>
      <c r="F118" s="3">
        <f>3920.8+(1969.6-172.1)+(5.998824+(3.013488-0.263313))+0-372.5-0.569925000000022</f>
        <v>5353.9790740000008</v>
      </c>
      <c r="G118" s="3">
        <f>3657.3+(2339.1-160.8)+(-1.865223+(-1.192941--0.082008))+0-588.5--0.30013499999994</f>
        <v>5244.4239790000001</v>
      </c>
      <c r="H118" s="3">
        <f>3306.6+(2503.5-175.3)+(1.686366+(1.276785-0.089403))+0-536.3-0.273512999999946</f>
        <v>5101.100234999999</v>
      </c>
      <c r="I118" s="3">
        <f>3388+(2314.1-175.3)+(1.72788+(1.180191-0.089403))+0-566.1-0.288710999999943</f>
        <v>4963.2299569999986</v>
      </c>
      <c r="J118" s="3">
        <f>3326.1+(2336.2-173.2)+(-5.088933+(-3.574386--0.264996))+0-555.3--0.849609000000032</f>
        <v>4926.2512859999997</v>
      </c>
      <c r="K118" s="3">
        <f>3226.3+(2385.8-167.1)+(-9.872478+(-7.300548--0.511326))+0-574.6--1.75827600000007</f>
        <v>4855.4965760000005</v>
      </c>
      <c r="L118" s="3">
        <f>2953.7+(2385.6-160.4)+(-7.531935+(-6.08328--0.40902))+0-537.7--1.37113499999992</f>
        <v>4629.3649400000004</v>
      </c>
      <c r="M118" s="3">
        <f>2893.5+(2293-163.3)+(0+(0-0))+0-583.2-0</f>
        <v>4440</v>
      </c>
      <c r="N118" s="3">
        <f>2885.6+(2180.7-170.7)+(-2.943312+(-2.224314--0.174114))+0-515.3--0.525606000000082</f>
        <v>4375.8320939999994</v>
      </c>
      <c r="O118" s="3">
        <f>2980.9+(2191.7-178)+(-3.040518+(-2.235534--0.18156))+0-594.9--0.606798000000095</f>
        <v>4395.2123060000004</v>
      </c>
      <c r="P118" s="3">
        <f>3183.5+(2100.8-188.7)+(-1.623585+(-1.071408--0.096237))+0-602.3--0.307172999999939</f>
        <v>4491.008417</v>
      </c>
      <c r="Q118" s="3">
        <f>3261.4+(2207.8-200.8)+(-3.326628+(-2.251956--0.204816))+0-526.4--0.536928000000084</f>
        <v>4737.163160000001</v>
      </c>
      <c r="R118" s="3">
        <f>3497.8+(2130.6-169.1)+(-1.783878+(-1.086606--0.086241))+108-354--0.180539999999964</f>
        <v>5210.6962970000004</v>
      </c>
      <c r="S118" s="3">
        <f>3581.5+(2300.4-175.8)+(-1.826565+(-1.173204--0.089658))+108-330--0.168299999999967</f>
        <v>5481.3581890000005</v>
      </c>
      <c r="T118" s="3">
        <f>3547.9+(2425.6-164.8)+(3.618858+(2.474112-0.168096))+108-332.5-0.339150000000053</f>
        <v>5589.7857240000003</v>
      </c>
      <c r="U118" s="3">
        <f>3552+(2450.7-169)+(-3.62304+(-2.499714--0.17238))+90-329.2--0.335784000000052</f>
        <v>5588.8854099999999</v>
      </c>
      <c r="V118" s="3">
        <f>3631.7+(2352.9-184.2)+(3.704334+(2.399958-0.187884))+0-335.6-0.342312000000054</f>
        <v>5470.3740959999996</v>
      </c>
      <c r="W118" s="3">
        <f>3357.4+(2479.9-172.8)+(-3.424548+(-2.529498--0.176256))+0-338.3--0.345066000000054</f>
        <v>5320.7672759999996</v>
      </c>
      <c r="X118" s="3">
        <f>3052.3+(2404.9-186.1)+(-10.896711+(-8.585493--0.664377))+0-319--1.13883</f>
        <v>4934.4210030000004</v>
      </c>
      <c r="Y118" s="3">
        <f>3011.2+(2043-185)+(3.071424+(2.08386-0.1887))+0-305-0.311100000000049</f>
        <v>4568.8554839999997</v>
      </c>
      <c r="Z118" s="3">
        <f>3236.2+(1926.3-183.3)+(-4.951386+(-2.947239--0.280449))+0-308.1--0.471393000000018</f>
        <v>4663.9532169999993</v>
      </c>
      <c r="AA118" s="3">
        <f>4013.9+(1823.9-204.9)+(-4.094178+(-1.860378--0.208998))+0-324.1--0.330582000000052</f>
        <v>5303.3850240000002</v>
      </c>
      <c r="AB118" s="3">
        <f>4247.7+(1719.4-206.5)+(0+(0-0))+0-313.9-0</f>
        <v>5446.7000000000007</v>
      </c>
      <c r="AC118" s="3">
        <f>4231.9+(1673.9-195.9)+(-4.316538+(-1.707378--0.199818))+0-318.8--0.325176000000051</f>
        <v>5385.6010779999997</v>
      </c>
      <c r="AD118">
        <f t="shared" si="1"/>
        <v>120477.84482200001</v>
      </c>
      <c r="AE118" s="3">
        <f>4174+(1724.3-231)+(0+(0-0))+0-326.3-0</f>
        <v>5341</v>
      </c>
    </row>
    <row r="119" spans="1:31" customFormat="1" x14ac:dyDescent="0.25">
      <c r="A119">
        <v>89</v>
      </c>
      <c r="B119">
        <v>4</v>
      </c>
      <c r="C119">
        <v>26</v>
      </c>
      <c r="D119">
        <v>1</v>
      </c>
      <c r="E119">
        <v>1</v>
      </c>
      <c r="F119" s="3">
        <f>4051.5+(1971.6-185.5)+(-6.198795+(-3.016548--0.283815))+0-507.6--0.776628000000029</f>
        <v>5321.8450999999995</v>
      </c>
      <c r="G119" s="3">
        <f>3937.4+(2038.4-203.2)+(-6.024222+(-3.118752--0.310896))+0-502.4--0.768672000000029</f>
        <v>5262.1365940000005</v>
      </c>
      <c r="H119" s="3">
        <f>3637.8+(2187-193.3)+(-1.855278+(-1.11537--0.098583))+0-533.2--0.271931999999946</f>
        <v>5095.6998670000003</v>
      </c>
      <c r="I119" s="3">
        <f>3312.8+(2465.9-207.4)+(-10.137168+(-7.545654--0.634644))+0-564--1.72584000000007</f>
        <v>4991.9776620000002</v>
      </c>
      <c r="J119" s="3">
        <f>3311.2+(2360.9-206)+(-3.377424+(-2.408118--0.21012))+0-539.1--0.549882000000086</f>
        <v>4921.9744600000004</v>
      </c>
      <c r="K119" s="3">
        <f>3297.1+(2352.8-200.9)+(-6.726084+(-4.799712--0.409836))+0-582.8--1.18891199999997</f>
        <v>4856.2729519999993</v>
      </c>
      <c r="L119" s="3">
        <f>3274.9+(2136.6-203)+(-8.350995+(-5.44833--0.51765))+0-581.9--1.48384499999992</f>
        <v>4614.8021699999999</v>
      </c>
      <c r="M119" s="3">
        <f>3330.7+(1793.3-196.8)+(1.698657+(0.914583-0.100368))+0-505-0.257549999999949</f>
        <v>4424.4553219999998</v>
      </c>
      <c r="N119" s="3">
        <f>3277.9+(1923.2-205.4)+(0+(0-0))+0-574.8-0</f>
        <v>4420.8999999999996</v>
      </c>
      <c r="O119" s="3">
        <f>3301.5+(1844.9-196.1)+(1.683765+(0.940899-0.100011))+0-555.8-0.283457999999944</f>
        <v>4396.7411950000005</v>
      </c>
      <c r="P119" s="3">
        <f>3589.9+(1625.2-199.3)+(1.830849+(0.828852-0.101643))+0-517-0.263669999999948</f>
        <v>4501.0943879999995</v>
      </c>
      <c r="Q119" s="3">
        <f>4197.1+(1334.1-238.6)+(0+(0-0))+0-491.3-0</f>
        <v>4801.3</v>
      </c>
      <c r="R119" s="3">
        <f>4840+(1041-297.3)+(0+(0-0))+166.7-343-0</f>
        <v>5407.4</v>
      </c>
      <c r="S119" s="3">
        <f>5179+(1085.7-387.8)+(0+(0-0))+200-315.9-0</f>
        <v>5761</v>
      </c>
      <c r="T119" s="3">
        <f>5450.3+(1026-456.3)+(2.779653+(0.52326-0.232713))+200-335.4-0.171053999999966</f>
        <v>5887.4991460000001</v>
      </c>
      <c r="U119" s="3">
        <f>5655.1+(976.5-531.5)+(5.768202+(0.99603-0.54213))+200-324-0.330480000000052</f>
        <v>5981.9916220000005</v>
      </c>
      <c r="V119" s="3">
        <f>5537.7+(994.9-547.7)+(-2.824227+(-0.507399--0.279327))+200-327.9--0.167228999999967</f>
        <v>5854.1149299999997</v>
      </c>
      <c r="W119" s="3">
        <f>5535.8+(907.4-475)+(0+(0-0))+166.7-307.9-0</f>
        <v>5827</v>
      </c>
      <c r="X119" s="3">
        <f>4461.8+(1253-245.4)+(-6.826554+(-1.91709--0.375462))+0-321.5--0.491895000000019</f>
        <v>5140.0237130000005</v>
      </c>
      <c r="Y119" s="3">
        <f>3596.8+(1515.8-186.3)+(0+(0-0))+0-315.2-0</f>
        <v>4611.1000000000004</v>
      </c>
      <c r="Z119" s="3">
        <f>4529.4+(826.3-309.6)+(0+(0-0))+0-301.1-0</f>
        <v>4744.9999999999991</v>
      </c>
      <c r="AA119" s="3">
        <f>5473.4+(604.6-453.8)+(-8.374302+(-0.925038--0.694314))+0-321.3--0.491589000000019</f>
        <v>5294.7865629999997</v>
      </c>
      <c r="AB119" s="3">
        <f>5017.5+(1024.7-341.8)+(-10.2357+(-2.090388--0.697272))+0-309.3--0.630971999999987</f>
        <v>5380.102155999999</v>
      </c>
      <c r="AC119" s="3">
        <f>4879.8+(1233.8-331.8)+(-9.954792+(-2.516952--0.676872))+0-361.8--0.738071999999984</f>
        <v>5408.9431999999997</v>
      </c>
      <c r="AD119">
        <f t="shared" si="1"/>
        <v>122908.16104000001</v>
      </c>
      <c r="AE119" s="3">
        <f>5452+(740.1-434.7)+(0+(0-0))+0-266.3-0</f>
        <v>5491.0999999999995</v>
      </c>
    </row>
    <row r="120" spans="1:31" customFormat="1" x14ac:dyDescent="0.25">
      <c r="A120">
        <v>89</v>
      </c>
      <c r="B120">
        <v>4</v>
      </c>
      <c r="C120">
        <v>27</v>
      </c>
      <c r="D120">
        <v>2</v>
      </c>
      <c r="E120">
        <v>1</v>
      </c>
      <c r="F120" s="3">
        <f>4223.5+(2002.3-225.8)+(-8.61594+(-4.084692--0.460632))+0-604.6--1.23338399999997</f>
        <v>5384.393384</v>
      </c>
      <c r="G120" s="3">
        <f>3670.2+(2182.6-173.6)+(-1.871802+(-1.113126--0.088536))+0-464.9--0.237098999999953</f>
        <v>5211.6407070000005</v>
      </c>
      <c r="H120" s="3">
        <f>3574.2+(2209.5-140.7)+(0+(0-0))+0-583.3-0</f>
        <v>5059.7</v>
      </c>
      <c r="I120" s="3">
        <f>3430.5+(2242-193)+(-5.248665+(-3.43026--0.29529))+0-538.7--0.824211000000031</f>
        <v>4933.2405760000001</v>
      </c>
      <c r="J120" s="3">
        <f>3425.1+(2189.7-193.7)+(-3.493602+(-2.233494--0.197574))+0-602.7--0.614754000000096</f>
        <v>4813.485232</v>
      </c>
      <c r="K120" s="3">
        <f>3283.2+(2179.2-179.8)+(-8.37216+(-5.55696--0.45849))+0-531.5--1.35532499999992</f>
        <v>4738.9846949999992</v>
      </c>
      <c r="L120" s="3">
        <f>3044+(2108.6-183.9)+(-6.20976+(-4.301544--0.375156))+0-539.5--1.10057999999998</f>
        <v>4420.1644320000005</v>
      </c>
      <c r="M120" s="3">
        <f>3037.9+(1915.1-187.1)+(-1.549329+(-0.976701--0.095421))+0-518.8--0.264587999999947</f>
        <v>4244.9339789999995</v>
      </c>
      <c r="N120" s="3">
        <f>3089.4+(1773.6-182.6)+(-3.151188+(-1.809072--0.186252))+0-454.3--0.463386000000072</f>
        <v>4221.7893779999995</v>
      </c>
      <c r="O120" s="3">
        <f>3291.9+(1593.7-228)+(1.678869+(0.812787-0.11628))+0-421.4-0.214913999999957</f>
        <v>4238.3604620000006</v>
      </c>
      <c r="P120" s="3">
        <f>3690+(1347-296.3)+(1.8819+(0.68697-0.151113))+0-439.5-0.224144999999955</f>
        <v>4303.3936119999998</v>
      </c>
      <c r="Q120" s="3">
        <f>4366.5+(998.5-278.9)+(4.45383+(1.01847-0.284478))+0-495.2-0.505104000000079</f>
        <v>4595.5827180000006</v>
      </c>
      <c r="R120" s="3">
        <f>5313.4+(656.1-476.9)+(2.709834+(0.334611-0.243219))+0-306.4-0.156263999999969</f>
        <v>5188.8449619999992</v>
      </c>
      <c r="S120" s="3">
        <f>5451.4+(802.9-424.2)+(2.780214+(0.409479-0.216342))+210-322.6-0.164525999999967</f>
        <v>5720.3088249999992</v>
      </c>
      <c r="T120" s="3">
        <f>5758.7+(684.1-517.4)+(5.873874+(0.697782-0.527748))+210-330.5-0.337110000000053</f>
        <v>5810.6067979999989</v>
      </c>
      <c r="U120" s="3">
        <f>5930.5+(590.3-480.6)+(6.04911+(0.602106-0.490212))+210-328.3-0.334866000000052</f>
        <v>5927.7261379999991</v>
      </c>
      <c r="V120" s="3">
        <f>6055.6+(482.7-600)+(3.088356+(0.246177-0.306))+210-319.4-0.162893999999968</f>
        <v>5831.7656390000002</v>
      </c>
      <c r="W120" s="3">
        <f>5599.7+(611.2-378.5)+(0+(0-0))+35-324.5-0</f>
        <v>5542.9</v>
      </c>
      <c r="X120" s="3">
        <f>4341.7+(1236.8-200.8)+(-6.642801+(-1.892304--0.307224))+0-306.2--0.468486000000018</f>
        <v>5063.740605</v>
      </c>
      <c r="Y120" s="3">
        <f>3446.2+(1548.9-149.9)+(-1.757562+(-0.789939--0.076449))+0-294.1--0.14999099999997</f>
        <v>4548.7789389999998</v>
      </c>
      <c r="Z120" s="3">
        <f>3913.5+(1134-216.9)+(1.995885+(0.57834-0.110619))+12.1-302.7-0.154376999999969</f>
        <v>4542.3092290000013</v>
      </c>
      <c r="AA120" s="3">
        <f>4974.7+(774.4-236.5)+(0+(0-0))+29-315.6-0</f>
        <v>5225.9999999999991</v>
      </c>
      <c r="AB120" s="3">
        <f>4754.3+(1057.9-198.9)+(-9.698772+(-2.158116--0.405756))+4.8-320.8--0.654431999999986</f>
        <v>5286.5033000000003</v>
      </c>
      <c r="AC120" s="3">
        <f>4447.8+(1497.2-173.4)+(-4.536756+(-1.527144--0.176868))+0-320.5--0.326910000000051</f>
        <v>5445.5398780000005</v>
      </c>
      <c r="AD120">
        <f t="shared" si="1"/>
        <v>120300.69348799998</v>
      </c>
      <c r="AE120" s="3">
        <f>5024+(676.7-304.1)+(0+(0-0))+29-311.2-0</f>
        <v>5114.4000000000005</v>
      </c>
    </row>
    <row r="121" spans="1:31" customFormat="1" x14ac:dyDescent="0.25">
      <c r="A121">
        <v>89</v>
      </c>
      <c r="B121">
        <v>4</v>
      </c>
      <c r="C121">
        <v>28</v>
      </c>
      <c r="D121">
        <v>3</v>
      </c>
      <c r="E121">
        <v>1</v>
      </c>
      <c r="F121" s="3">
        <f>3895.5+(2162.9-156.5)+(-5.960115+(-3.309237--0.239445))+0-515.9--0.78932700000003</f>
        <v>5377.7594200000003</v>
      </c>
      <c r="G121" s="3">
        <f>3218.2+(2655.9-145.3)+(-3.282564+(-2.709018--0.148206))+0-552.7--0.563754000000088</f>
        <v>5170.8203779999994</v>
      </c>
      <c r="H121" s="3">
        <f>3136.1+(2586.6-140)+(-6.397644+(-5.276664--0.2856))+0-530.7--1.08262799999998</f>
        <v>5041.6939199999997</v>
      </c>
      <c r="I121" s="3">
        <f>3200.5+(2371.5-141.1)+(-4.896765+(-3.628395--0.215883))+0-516.7--0.79055100000003</f>
        <v>4906.6812739999996</v>
      </c>
      <c r="J121" s="3">
        <f>3237.6+(2265.8-144.3)+(-3.302352+(-2.311116--0.147186))+0-532.2--0.542844000000085</f>
        <v>4821.9765620000007</v>
      </c>
      <c r="K121" s="3">
        <f>3228.6+(2063.2-141.8)+(-6.586344+(-4.208928--0.289272))+0-399--0.813959999999983</f>
        <v>4741.3079600000001</v>
      </c>
      <c r="L121" s="3">
        <f>3057.1+(2081.9-146.4)+(-6.236484+(-4.247076--0.298656))+0-604.4--1.23297599999997</f>
        <v>4379.2480720000012</v>
      </c>
      <c r="M121" s="3">
        <f>2918+(1955-144.5)+(-4.46454+(-2.99115--0.221085))+0-532--0.813960000000031</f>
        <v>4190.0793550000008</v>
      </c>
      <c r="N121" s="3">
        <f>3036.8+(1718.3-147.7)+(1.548768+(0.876333-0.075327))+0-413-0.210629999999958</f>
        <v>4196.5391440000003</v>
      </c>
      <c r="O121" s="3">
        <f>3311.8+(1645.8-151.8)+(1.689018+(0.839358-0.077418))+0-569.4-0.290393999999942</f>
        <v>4238.5605640000012</v>
      </c>
      <c r="P121" s="3">
        <f>3629.8+(1400.5-182.8)+(0+(0-0))+0-561.6-0</f>
        <v>4285.8999999999996</v>
      </c>
      <c r="Q121" s="3">
        <f>4872.4+(705.4-388.3)+(2.484924+(0.359754-0.198033))+0-559.2-0.285191999999943</f>
        <v>4632.6614529999997</v>
      </c>
      <c r="R121" s="3">
        <f>5590.3+(370.5-577.8)+(-2.851053+(-0.188955--0.294678))+0-359.3--0.183242999999964</f>
        <v>5021.1379130000005</v>
      </c>
      <c r="S121" s="3">
        <f>5977+(349.2-622.3)+(-3.04827+(-0.178092--0.317373))+0-294.4--0.15014399999997</f>
        <v>5406.7411550000006</v>
      </c>
      <c r="T121" s="3">
        <f>6459.1+(316.8-947)+(6.588282+(0.323136-0.96594))+0-302.5-0.308550000000048</f>
        <v>5532.0369280000004</v>
      </c>
      <c r="U121" s="3">
        <f>6781.6+(319-1148.8)+(3.458616+(0.16269-0.585888))+0-304.3-0.155192999999969</f>
        <v>5650.3802250000008</v>
      </c>
      <c r="V121" s="3">
        <f>6802.8+(356.8-1140.8)+(-6.938856+(-0.363936--1.163616))+0-319.9--0.326298000000051</f>
        <v>5693.0871220000008</v>
      </c>
      <c r="W121" s="3">
        <f>5991.8+(393.2-671.1)+(-12.223272+(-0.802128--1.369044))+0-311.5--0.635459999999986</f>
        <v>5391.3791040000006</v>
      </c>
      <c r="X121" s="3">
        <f>4437.2+(1164.1-183.6)+(-9.051888+(-2.374764--0.374544))+0-302.1--0.616283999999987</f>
        <v>5105.1641759999993</v>
      </c>
      <c r="Y121" s="3">
        <f>3283.5+(1635.6-149.3)+(0+(0-0))+0-286.1-0</f>
        <v>4483.7</v>
      </c>
      <c r="Z121" s="3">
        <f>4108.9+(897.7-221.6)+(2.095539+(0.457827-0.113016))+0-292.2-0.14902199999997</f>
        <v>4495.0913280000004</v>
      </c>
      <c r="AA121" s="3">
        <f>5354.8+(482.3-327.2)+(-5.461896+(-0.491946--0.333744))+0-311.6--0.31783200000005</f>
        <v>5192.9977339999996</v>
      </c>
      <c r="AB121" s="3">
        <f>4915.2+(916.8-181)+(-2.506752+(-0.467568--0.09231))+0-306.9--0.156518999999969</f>
        <v>5341.3745090000002</v>
      </c>
      <c r="AC121" s="3">
        <f>4472.4+(1454-165.9)+(0+(0-0))+0-334.7-0</f>
        <v>5425.8</v>
      </c>
      <c r="AD121">
        <f t="shared" si="1"/>
        <v>118722.11829600002</v>
      </c>
      <c r="AE121" s="3">
        <f>5462+(470.9-388.5)+(0+(0-0))+0-324.2-0</f>
        <v>5220.2</v>
      </c>
    </row>
    <row r="122" spans="1:31" customFormat="1" x14ac:dyDescent="0.25">
      <c r="A122">
        <v>89</v>
      </c>
      <c r="B122">
        <v>4</v>
      </c>
      <c r="C122">
        <v>29</v>
      </c>
      <c r="D122">
        <v>4</v>
      </c>
      <c r="E122">
        <v>1</v>
      </c>
      <c r="F122" s="3">
        <f>3851.2+(2267.6-132.1)+(-7.856448+(-4.625904--0.269484))+0-585.4--1.19421599999997</f>
        <v>5390.2813480000004</v>
      </c>
      <c r="G122" s="3">
        <f>3332.8+(2487.9-131.7)+(-10.198368+(-7.612974--0.403002))+0-540.6--1.65423600000006</f>
        <v>5132.645896</v>
      </c>
      <c r="H122" s="3">
        <f>3291.9+(2416.9-134.8)+(-5.036607+(-3.697857--0.206244))+0-507.4--0.776322000000029</f>
        <v>5058.8481019999999</v>
      </c>
      <c r="I122" s="3">
        <f>3288.6+(2372.8-134.4)+(-5.031558+(-3.630384--0.205632))+0-546.7--0.836451000000032</f>
        <v>4972.6801410000007</v>
      </c>
      <c r="J122" s="3">
        <f>3309.1+(2298.7-132)+(3.375282+(2.344674-0.13464))+0-600.2-0.612204000000096</f>
        <v>4880.5731119999991</v>
      </c>
      <c r="K122" s="3">
        <f>3067.6+(2393.2-126.8)+(-3.128952+(-2.441064--0.129336))+0-537.9--0.548658000000086</f>
        <v>4791.2079780000004</v>
      </c>
      <c r="L122" s="3">
        <f>2825.8+(2318.4-137.5)+(-8.646948+(-7.094304--0.42075))+0-560.4--1.71482400000006</f>
        <v>4432.6943220000012</v>
      </c>
      <c r="M122" s="3">
        <f>2756+(2085-134.5)+(1.40556+(1.06335-0.068595))+0-531.4-0.271013999999946</f>
        <v>4177.2293010000003</v>
      </c>
      <c r="N122" s="3">
        <f>2837.5+(1980-134.4)+(1.447125+(1.0098-0.068544))+0-485.3-0.247502999999951</f>
        <v>4199.9408780000003</v>
      </c>
      <c r="O122" s="3">
        <f>3032.8+(1900.5-169.5)+(3.093456+(1.93851-0.17289))+0-563.3-0.57456600000009</f>
        <v>4204.7845099999995</v>
      </c>
      <c r="P122" s="3">
        <f>3567.3+(1422.3-269.2)+(3.638646+(1.450746-0.274584))+0-526.4-0.536928000000084</f>
        <v>4198.2778799999996</v>
      </c>
      <c r="Q122" s="3">
        <f>4604.9+(907.3-454.5)+(2.348499+(0.462723-0.231795))+0-471.4-0.240413999999952</f>
        <v>4588.639013</v>
      </c>
      <c r="R122" s="3">
        <f>5487.7+(459.9-569.3)+(8.396181+(0.703647-0.871029))+0-309.1-0.472923000000018</f>
        <v>5076.955876</v>
      </c>
      <c r="S122" s="3">
        <f>6086.6+(434.3-696.4)+(3.104166+(0.221493-0.355164))+0-313.3-0.159782999999968</f>
        <v>5514.0107119999993</v>
      </c>
      <c r="T122" s="3">
        <f>6683.5+(310.2-1078.3)+(13.63434+(0.632808-2.199732))+0-287.9-0.587315999999987</f>
        <v>5638.9800999999998</v>
      </c>
      <c r="U122" s="3">
        <f>6844.7+(296.6-1166.3)+(3.490797+(0.151266-0.594813))+0-291.2-0.14851199999997</f>
        <v>5686.698738</v>
      </c>
      <c r="V122" s="3">
        <f>6761.7+(386.7-1142.5)+(-3.448467+(-0.197217--0.582675))+0-298.1--0.15203099999997</f>
        <v>5704.8890219999985</v>
      </c>
      <c r="W122" s="3">
        <f>5944.1+(503-653.9)+(-9.094473+(-0.76959--1.000467))+0-249.2--0.381276000000014</f>
        <v>5535.5176800000008</v>
      </c>
      <c r="X122" s="3">
        <f>4017.7+(1468-182.5)+(-6.147081+(-2.24604--0.279225))+0-238.4--0.364752000000014</f>
        <v>5057.0508560000007</v>
      </c>
      <c r="Y122" s="3">
        <f>3083.4+(1840.6-145)+(-4.717602+(-2.816118--0.22185))+0-222.8--0.340884000000013</f>
        <v>4549.2290139999996</v>
      </c>
      <c r="Z122" s="3">
        <f>3914.3+(1073.9-209)+(0+(0-0))+0-230.7-0</f>
        <v>4548.5000000000009</v>
      </c>
      <c r="AA122" s="3">
        <f>5532.1+(557.2-438.9)+(-2.821371+(-0.284172--0.223839))+0-280.7--0.143156999999972</f>
        <v>5366.9614529999999</v>
      </c>
      <c r="AB122" s="3">
        <f>4943.5+(878.2-220.1)+(-5.04237+(-0.895764--0.224502))+59.5-283.5--0.289170000000045</f>
        <v>5372.1755380000004</v>
      </c>
      <c r="AC122" s="3">
        <f>4441+(1423.8-160.9)+(4.52982+(1.452276-0.164118))+51-289.5-0.295290000000046</f>
        <v>5470.9226879999997</v>
      </c>
      <c r="AD122">
        <f t="shared" si="1"/>
        <v>119549.69415800001</v>
      </c>
      <c r="AE122" s="3">
        <f>5694+(511.1-554)+(0+(0-0))+0-281-0</f>
        <v>5370.1</v>
      </c>
    </row>
    <row r="123" spans="1:31" customFormat="1" x14ac:dyDescent="0.25">
      <c r="A123">
        <v>89</v>
      </c>
      <c r="B123">
        <v>4</v>
      </c>
      <c r="C123">
        <v>30</v>
      </c>
      <c r="D123">
        <v>5</v>
      </c>
      <c r="E123">
        <v>1</v>
      </c>
      <c r="F123" s="3">
        <f>3998.2+(2252.1-145.1)+(0+(0-0))+0-474.2-0</f>
        <v>5631</v>
      </c>
      <c r="G123" s="3">
        <f>3463.4+(2705.5-147.1)+(-1.766334+(-1.379805--0.075021))+0-542.3--0.276572999999945</f>
        <v>5476.7054550000003</v>
      </c>
      <c r="H123" s="3">
        <f>3341.3+(2670.8-149.4)+(1.704063+(1.362108-0.076194))+0-524-0.267239999999947</f>
        <v>5341.4227370000008</v>
      </c>
      <c r="I123" s="3">
        <f>3276.9+(2501.9-149.3)+(-1.671219+(-1.275969--0.076143))+0-541.8--0.276317999999945</f>
        <v>5085.1052730000001</v>
      </c>
      <c r="J123" s="3">
        <f>3136.7+(2534.4-149.5)+(-3.199434+(-2.585088--0.15249))+0-501--0.51102000000008</f>
        <v>5015.4789879999998</v>
      </c>
      <c r="K123" s="3">
        <f>3037.2+(2481.1-148.2)+(-1.548972+(-1.265361--0.075582))+0-523.8--0.267137999999947</f>
        <v>4843.8283870000005</v>
      </c>
      <c r="L123" s="3">
        <f>2928+(2356.7-147.3)+(-1.49328+(-1.201917--0.075123))+0-560.1--0.285650999999943</f>
        <v>4574.965576999999</v>
      </c>
      <c r="M123" s="3">
        <f>3083.1+(1849-148.2)+(-1.572381+(-0.94299--0.075582))+0-398.1--0.20303099999996</f>
        <v>4383.5632419999993</v>
      </c>
      <c r="N123" s="3">
        <f>3222.8+(1782.7-145.6)+(-1.643628+(-0.909177--0.074256))+0-521.9--0.266168999999947</f>
        <v>4335.7876200000001</v>
      </c>
      <c r="O123" s="3">
        <f>3273.5+(1703.3-168.5)+(0+(0-0))+0-475-0</f>
        <v>4333.3</v>
      </c>
      <c r="P123" s="3">
        <f>3523.3+(1676.4-240.1)+(-1.796883+(-0.854964--0.122451))+0-526.3--0.268412999999947</f>
        <v>4431.0390170000001</v>
      </c>
      <c r="Q123" s="3">
        <f>4735.3+(938.3-420.6)+(2.415003+(0.478533-0.214506))+0-475.8-0.242657999999952</f>
        <v>4779.6363719999999</v>
      </c>
      <c r="R123" s="3">
        <f>5489+(522-600.9)+(-2.79939+(-0.26622--0.306459))+73.3-234.5--0.119594999999976</f>
        <v>5246.2604440000005</v>
      </c>
      <c r="S123" s="3">
        <f>5592.1+(671.6-385.6)+(-2.851971+(-0.342516--0.196656))+110-295.9--0.15090899999997</f>
        <v>5689.353078000001</v>
      </c>
      <c r="T123" s="3">
        <f>5997.8+(458.4-507)+(9.176634+(0.701352-0.77571))+110-290-0.443700000000017</f>
        <v>5777.8585759999996</v>
      </c>
      <c r="U123" s="3">
        <f>6383.5+(397.8-827.6)+(0+(0-0))+110-281.8-0</f>
        <v>5781.9</v>
      </c>
      <c r="V123" s="3">
        <f>6350.2+(459.4-796.4)+(-3.238602+(-0.234294--0.406164))+110-276.8--0.141167999999972</f>
        <v>5843.4744359999995</v>
      </c>
      <c r="W123" s="3">
        <f>5597.3+(603.6-392.9)+(-8.563869+(-0.923508--0.601137))+73.3-282.8--0.432684000000016</f>
        <v>5590.0464440000005</v>
      </c>
      <c r="X123" s="3">
        <f>4382.7+(1339-210.1)+(-6.705531+(-2.04867--0.321453))+0-338.5--0.51790500000002</f>
        <v>5165.1851569999999</v>
      </c>
      <c r="Y123" s="3">
        <f>3525.7+(1636.4-172.4)+(1.798107+(0.834564-0.087924))+0-361.1-0.184160999999963</f>
        <v>4630.9605859999992</v>
      </c>
      <c r="Z123" s="3">
        <f>4119.9+(1045.4-246.7)+(4.202298+(1.066308-0.251634))+0-295.3-0.301206000000047</f>
        <v>4628.0157659999995</v>
      </c>
      <c r="AA123" s="3">
        <f>5628.5+(597-337.1)+(-2.870535+(-0.30447--0.171921))+0-318.3--0.162332999999968</f>
        <v>5567.2592489999997</v>
      </c>
      <c r="AB123" s="3">
        <f>5176.7+(894.8-240.7)+(-2.640117+(-0.456348--0.122757))+0-339.6--0.173195999999966</f>
        <v>5488.3994879999982</v>
      </c>
      <c r="AC123" s="3">
        <f>4739.2+(1389.4-204.2)+(-4.833984+(-1.417188--0.208284))+0-299.2--0.305184000000048</f>
        <v>5619.4622959999997</v>
      </c>
      <c r="AD123">
        <f t="shared" si="1"/>
        <v>123260.00818799999</v>
      </c>
      <c r="AE123" s="3">
        <f>5795+(451.5-448.7)+(0+(0-0))+0-305.6-0</f>
        <v>5492.2</v>
      </c>
    </row>
    <row r="124" spans="1:31" customFormat="1" x14ac:dyDescent="0.25">
      <c r="A124">
        <v>89</v>
      </c>
      <c r="B124">
        <v>4</v>
      </c>
      <c r="C124">
        <v>31</v>
      </c>
      <c r="D124">
        <v>6</v>
      </c>
      <c r="E124">
        <v>1</v>
      </c>
      <c r="F124" s="3">
        <f>4193.6+(2072.9-186)+(-4.277472+(-2.114358--0.18972))+0-414.6--0.422892000000066</f>
        <v>5660.120782</v>
      </c>
      <c r="G124" s="3">
        <f>3291.8+(2664.8-153.3)+(3.357636+(2.718096-0.156366))+0-387.4-0.395148000000062</f>
        <v>5421.424218000001</v>
      </c>
      <c r="H124" s="3">
        <f>2974.1+(2768-147.2)+(-6.067164+(-5.64672--0.300288))+0-369.8--0.754391999999984</f>
        <v>5214.440795999999</v>
      </c>
      <c r="I124" s="3">
        <f>2880.8+(2618.3-144.8)+(-7.34604+(-6.676665--0.36924))+0-266.5--0.679574999999961</f>
        <v>5074.82611</v>
      </c>
      <c r="J124" s="3">
        <f>2947.1+(2474.9-149.1)+(1.503021+(1.262199-0.076041))+0-267.8-0.136577999999973</f>
        <v>5007.6526009999998</v>
      </c>
      <c r="K124" s="3">
        <f>2846.7+(2623-148.3)+(-7.259085+(-6.68865--0.378165))+0-263.5--0.671924999999962</f>
        <v>5045.0023549999996</v>
      </c>
      <c r="L124" s="3">
        <f>2607.9+(2632-151.9)+(-2.660058+(-2.68464--0.154938))+0-277.9--0.283458000000044</f>
        <v>4805.193698</v>
      </c>
      <c r="M124" s="3">
        <f>2745.7+(2487.5-150.4)+(-1.400307+(-1.268625--0.076704))+0-480.5--0.245054999999951</f>
        <v>4599.9528269999992</v>
      </c>
      <c r="N124" s="3">
        <f>2958.3+(2311-154.5)+(1.508733+(1.17861-0.078795))+0-581-0.296309999999941</f>
        <v>4536.1122380000006</v>
      </c>
      <c r="O124" s="3">
        <f>3026.7+(2176.8-152.1)+(0+(0-0))+0-522.1-0</f>
        <v>4529.2999999999993</v>
      </c>
      <c r="P124" s="3">
        <f>3825.5+(1571.4-201.7)+(0+(0-0))+0-602.9-0</f>
        <v>4592.3</v>
      </c>
      <c r="Q124" s="3">
        <f>4805.5+(1139.6-371.3)+(0+(0-0))+0-532.4-0</f>
        <v>5041.4000000000005</v>
      </c>
      <c r="R124" s="3">
        <f>5251+(702.1-391.5)+(2.67801+(0.358071-0.199665))+0-333-0.169829999999966</f>
        <v>5231.2665860000006</v>
      </c>
      <c r="S124" s="3">
        <f>5571.1+(719.3-440.2)+(2.841261+(0.366843-0.224502))+0-327.3-0.166922999999967</f>
        <v>5525.716679000001</v>
      </c>
      <c r="T124" s="3">
        <f>5925.9+(685.8-633.8)+(6.044418+(0.699516-0.646476))+0-323.8-0.330276000000052</f>
        <v>5659.867182</v>
      </c>
      <c r="U124" s="3">
        <f>5921+(662.2-538.8)+(0+(0-0))+0-321.5-0</f>
        <v>5722.9</v>
      </c>
      <c r="V124" s="3">
        <f>5639.3+(738.5-361.7)+(0+(0-0))+0-326.7-0</f>
        <v>5689.4000000000005</v>
      </c>
      <c r="W124" s="3">
        <f>4686.6+(1286-170.6)+(-4.780332+(-1.31172--0.174012))+0-318.7--0.325074000000051</f>
        <v>5477.7070340000009</v>
      </c>
      <c r="X124" s="3">
        <f>3348.8+(2191.8-151)+(-10.247328+(-6.706908--0.46206))+0-318.9--0.975834000000037</f>
        <v>5055.1836580000008</v>
      </c>
      <c r="Y124" s="3">
        <f>3036+(2235.7-145.4)+(-1.54836+(-1.140207--0.074154))+0-505.2--0.257651999999949</f>
        <v>4618.7432389999994</v>
      </c>
      <c r="Z124" s="3">
        <f>3643.4+(1697.2-155.2)+(-7.432536+(-3.462288--0.316608))+0-290.2--0.592007999999987</f>
        <v>4885.2137919999996</v>
      </c>
      <c r="AA124" s="3">
        <f>4429.1+(1344.8-168)+(-9.035364+(-2.743392--0.34272))+0-285.6--0.582623999999988</f>
        <v>5309.4465879999998</v>
      </c>
      <c r="AB124" s="3">
        <f>4394.2+(1523.2-166.9)+(0+(0-0))+0-309.3-0</f>
        <v>5441.2</v>
      </c>
      <c r="AC124" s="3">
        <f>4208.4+(1653.2-172.4)+(-4.292568+(-1.686264--0.175848))+0-289.9--0.295698000000046</f>
        <v>5393.7927140000002</v>
      </c>
      <c r="AD124">
        <f t="shared" si="1"/>
        <v>123538.163097</v>
      </c>
      <c r="AE124" s="3">
        <f>4631+(1189.3-170.3)+(0+(0-0))+0-307.1-0</f>
        <v>5342.9</v>
      </c>
    </row>
    <row r="125" spans="1:31" customFormat="1" x14ac:dyDescent="0.25">
      <c r="A125">
        <v>89</v>
      </c>
      <c r="B125">
        <v>5</v>
      </c>
      <c r="C125">
        <v>1</v>
      </c>
      <c r="D125">
        <v>7</v>
      </c>
      <c r="E125">
        <v>1</v>
      </c>
      <c r="F125" s="3">
        <f>4122.6+(2003.3-170.8)+(-2.102526+(-1.021683--0.087108))+0-530.9--0.270758999999946</f>
        <v>5421.4336580000008</v>
      </c>
      <c r="G125" s="3">
        <f>3643.9+(2328.2-150.4)+(-11.150334+(-7.124292--0.460224))+0-543.3--1.66249800000006</f>
        <v>5262.2480959999994</v>
      </c>
      <c r="H125" s="3">
        <f>3324.6+(2458.7-149)+(-8.47773+(-6.269685--0.37995))+0-501.5--1.27882499999993</f>
        <v>5119.7113599999993</v>
      </c>
      <c r="I125" s="3">
        <f>3069.3+(2623-146.6)+(1.565343+(1.33773-0.074766))+0-542.6-0.276725999999945</f>
        <v>5005.6515810000001</v>
      </c>
      <c r="J125" s="3">
        <f>2993.9+(2527.2-145)+(-1.526889+(-1.288872--0.07395))+0-463.4--0.236333999999953</f>
        <v>4910.194523000001</v>
      </c>
      <c r="K125" s="3">
        <f>2909.7+(2571.6-143.1)+(-2.967894+(-2.623032--0.145962))+0-519.6--0.529992000000083</f>
        <v>4813.685027999999</v>
      </c>
      <c r="L125" s="3">
        <f>2534.3+(2723.1-138.2)+(-1.292493+(-1.388781--0.070482))+0-541--0.275909999999945</f>
        <v>4575.8651180000006</v>
      </c>
      <c r="M125" s="3">
        <f>2483.4+(2488.5-132)+(-1.266534+(-1.269135--0.06732))+0-536.1--0.273410999999946</f>
        <v>4301.6050619999996</v>
      </c>
      <c r="N125" s="3">
        <f>2459.1+(2339.9-129.8)+(0+(0-0))+0-466-0</f>
        <v>4203.2</v>
      </c>
      <c r="O125" s="3">
        <f>2839.8+(2212.8-140.4)+(1.448298+(1.128528-0.071604))+0-519.1-0.264740999999947</f>
        <v>4395.3404810000002</v>
      </c>
      <c r="P125" s="3">
        <f>2825.5+(2062.2-154.2)+(-2.88201+(-2.103444--0.157284))+0-529.8--0.540396000000084</f>
        <v>4199.4122260000004</v>
      </c>
      <c r="Q125" s="3">
        <f>2969+(2137-154.5)+(1.51419+(1.08987-0.078795))+0-517-0.263669999999948</f>
        <v>4436.7615949999999</v>
      </c>
      <c r="R125" s="3">
        <f>3192.6+(2339.4-145.2)+(-3.256452+(-2.386188--0.148104))+0-546.1--0.557022000000087</f>
        <v>4835.7624859999996</v>
      </c>
      <c r="S125" s="3">
        <f>3386.6+(2517.8-140)+(-1.727166+(-1.284078--0.0714))+0-580.1--0.295850999999941</f>
        <v>5181.6560069999987</v>
      </c>
      <c r="T125" s="3">
        <f>3333.8+(2691.1-170.7)+(-3.400476+(-2.744922--0.174114))+0-547.1--0.558042000000087</f>
        <v>5301.6867579999998</v>
      </c>
      <c r="U125" s="3">
        <f>3471.8+(2621.8-194.2)+(0+(0-0))+0-546.5-0</f>
        <v>5352.9000000000005</v>
      </c>
      <c r="V125" s="3">
        <f>3548.1+(2556.6-253.9)+(0+(0-0))+0-493.4-0</f>
        <v>5357.4</v>
      </c>
      <c r="W125" s="3">
        <f>3435.7+(2550.8-206.2)+(-7.008828+(-5.203632--0.420648))+0-546.3--1.11445199999998</f>
        <v>5223.3226399999994</v>
      </c>
      <c r="X125" s="3">
        <f>2965.8+(2544.3-227.1)+(-3.025116+(-2.595186--0.231642))+0-489.1--0.498882000000078</f>
        <v>4789.0102219999999</v>
      </c>
      <c r="Y125" s="3">
        <f>3010.3+(2090.2-251.7)+(0+(0-0))+0-535.6-0</f>
        <v>4313.2</v>
      </c>
      <c r="Z125" s="3">
        <f>3227.9+(2058.6-257.8)+(-3.292458+(-2.099772--0.262956))+0-538--0.548760000000086</f>
        <v>4486.1194859999996</v>
      </c>
      <c r="AA125" s="3">
        <f>3624.3+(2228.9-241.5)+(0+(0-0))+0-562.3-0</f>
        <v>5049.4000000000005</v>
      </c>
      <c r="AB125" s="3">
        <f>3662.7+(2343.8-219.2)+(-3.735954+(-2.390676--0.223584))+0-569.2--0.580584000000091</f>
        <v>5212.7775380000003</v>
      </c>
      <c r="AC125" s="3">
        <f>3607.8+(2377.9-204.3)+(-1.839978+(-1.212729--0.104193))+0-515.7--0.263006999999948</f>
        <v>5263.0144929999997</v>
      </c>
      <c r="AD125">
        <f t="shared" si="1"/>
        <v>117011.35835799997</v>
      </c>
      <c r="AE125" s="3">
        <f>3796+(2156.7-240.3)+(0+(0-0))+0-628.1-0</f>
        <v>5084.2999999999993</v>
      </c>
    </row>
    <row r="126" spans="1:31" customFormat="1" x14ac:dyDescent="0.25">
      <c r="A126">
        <v>89</v>
      </c>
      <c r="B126">
        <v>5</v>
      </c>
      <c r="C126">
        <v>2</v>
      </c>
      <c r="D126">
        <v>1</v>
      </c>
      <c r="E126">
        <v>1</v>
      </c>
      <c r="F126" s="3">
        <f>3424.5+(2547.7-218.4)+(-1.746495+(-1.299327--0.111384))+0-473.9--0.241688999999952</f>
        <v>5277.2072509999998</v>
      </c>
      <c r="G126" s="3">
        <f>3058.8+(2834.6-216.5)+(1.559988+(1.445646-0.110415))+0-539-0.274889999999945</f>
        <v>5140.5203289999999</v>
      </c>
      <c r="H126" s="3">
        <f>2894.7+(2865-220.2)+(1.476297+(1.46115-0.112302))+0-532.4-0.271523999999946</f>
        <v>5009.6536210000004</v>
      </c>
      <c r="I126" s="3">
        <f>2916.2+(2756.2-219.3)+(-2.974524+(-2.811324--0.223686))+0-543.4--0.554268000000087</f>
        <v>4904.6921059999995</v>
      </c>
      <c r="J126" s="3">
        <f>2837.7+(2703.9-205.6)+(0+(0-0))+0-520.1-0</f>
        <v>4815.8999999999996</v>
      </c>
      <c r="K126" s="3">
        <f>2769.9+(2742.9-220.1)+(-2.825298+(-2.797758--0.224502))+0-558.2--0.569364000000089</f>
        <v>4729.6708100000005</v>
      </c>
      <c r="L126" s="3">
        <f>2566.1+(2602-226.5)+(0+(0-0))+0-453.3-0</f>
        <v>4488.3</v>
      </c>
      <c r="M126" s="3">
        <f>2765.6+(2230.4-209.1)+(2.820912+(2.275008-0.213282))+0-503.6-0.51367200000008</f>
        <v>4287.6689659999993</v>
      </c>
      <c r="N126" s="3">
        <f>2833.9+(2204.3-224.6)+(-2.890578+(-2.248386--0.229092))+0-556.5--0.567630000000089</f>
        <v>4252.7577580000006</v>
      </c>
      <c r="O126" s="3">
        <f>2880.7+(2071.9-246.3)+(0+(0-0))+0-442.2-0</f>
        <v>4264.1000000000004</v>
      </c>
      <c r="P126" s="3">
        <f>3082+(1936-144)+(1.57182+(0.98736-0.07344))+0-538.9-0.274838999999945</f>
        <v>4337.3109010000007</v>
      </c>
      <c r="Q126" s="3">
        <f>3535.1+(1760.1-187.3)+(0+(0-0))+0-520.6-0</f>
        <v>4587.2999999999993</v>
      </c>
      <c r="R126" s="3">
        <f>3863.4+(1624.4-194.4)+(1.970334+(0.828444-0.099144))+0-259.8-0.132497999999974</f>
        <v>5036.1671359999991</v>
      </c>
      <c r="S126" s="3">
        <f>4152.9+(1674.4-170.5)+(2.117979+(0.853944-0.086955))+0-257.6-0.131375999999974</f>
        <v>5401.9535919999989</v>
      </c>
      <c r="T126" s="3">
        <f>4748.2+(1312.3-215.2)+(2.421582+(0.669273-0.109752))+0-259-0.132089999999974</f>
        <v>5589.1490129999993</v>
      </c>
      <c r="U126" s="3">
        <f>5138.3+(1021.5-255.6)+(2.620533+(0.520965-0.130356))+0-254.2-0.129641999999974</f>
        <v>5652.8815000000004</v>
      </c>
      <c r="V126" s="3">
        <f>4976.1+(1208-238.6)+(-10.151244+(-2.46432--0.486744))+0-249.1--0.508163999999989</f>
        <v>5684.7793439999996</v>
      </c>
      <c r="W126" s="3">
        <f>4195.1+(1684.3-212.7)+(-4.279002+(-1.717986--0.216954))+0-245.4--0.250308000000039</f>
        <v>5415.7702740000004</v>
      </c>
      <c r="X126" s="3">
        <f>3091.6+(2243.4-139.9)+(-6.306864+(-4.576536--0.285396))+0-229.6--0.46838399999999</f>
        <v>4955.3703799999994</v>
      </c>
      <c r="Y126" s="3">
        <f>2929.3+(1978.9-214.5)+(-2.987886+(-2.018478--0.21879))+0-216.4--0.220728000000035</f>
        <v>4472.7331540000014</v>
      </c>
      <c r="Z126" s="3">
        <f>3407.3+(1730-217.9)+(-3.475446+(-1.7646--0.222258))+0-302.8--0.308856000000048</f>
        <v>4611.891067999999</v>
      </c>
      <c r="AA126" s="3">
        <f>4055.1+(1614.3-209.6)+(-2.068101+(-0.823293--0.106896))+0-279.9--0.142748999999972</f>
        <v>5177.2582510000002</v>
      </c>
      <c r="AB126" s="3">
        <f>3898.1+(1842.6-179.8)+(0+(0-0))+0-289.7-0</f>
        <v>5271.2</v>
      </c>
      <c r="AC126" s="3">
        <f>3685.7+(2173.1-202)+(-1.879707+(-1.108281--0.10302))+0-305--0.155549999999969</f>
        <v>5349.0705819999994</v>
      </c>
      <c r="AD126">
        <f t="shared" si="1"/>
        <v>118713.30603599998</v>
      </c>
      <c r="AE126" s="3">
        <f>4206+(1542.3-212.9)+(0+(0-0))+0-283.5-0</f>
        <v>5251.9</v>
      </c>
    </row>
    <row r="127" spans="1:31" customFormat="1" x14ac:dyDescent="0.25">
      <c r="A127">
        <v>89</v>
      </c>
      <c r="B127">
        <v>5</v>
      </c>
      <c r="C127">
        <v>3</v>
      </c>
      <c r="D127">
        <v>2</v>
      </c>
      <c r="E127">
        <v>1</v>
      </c>
      <c r="F127" s="3">
        <f>3209.5+(2864.5-221.4)+(-4.910535+(-4.382685--0.338742))+0-511.5--0.78259500000003</f>
        <v>5332.9281170000004</v>
      </c>
      <c r="G127" s="3">
        <f>2916+(3069.6-216.7)+(-5.94864+(-6.261984--0.442068))+0-563.4--1.14933599999998</f>
        <v>5194.8807800000004</v>
      </c>
      <c r="H127" s="3">
        <f>2970.3+(2858.5-174)+(-3.029706+(-2.91567--0.17748))+0-552.7--0.563754000000088</f>
        <v>5096.8958579999999</v>
      </c>
      <c r="I127" s="3">
        <f>3009.1+(2564.3-147.8)+(0+(0-0))+0-442.1-0</f>
        <v>4983.5</v>
      </c>
      <c r="J127" s="3">
        <f>3035+(2527.8-189.9)+(0+(0-0))+0-493.2-0</f>
        <v>4879.7</v>
      </c>
      <c r="K127" s="3">
        <f>2821.7+(2654.3-192.7)+(-4.317201+(-4.061079--0.294831))+0-470.2--0.719406000000027</f>
        <v>4805.7359570000008</v>
      </c>
      <c r="L127" s="3">
        <f>2755+(2231-200.9)+(1.40505+(1.13781-0.102459))+0-513.1-0.261680999999948</f>
        <v>4274.1787199999999</v>
      </c>
      <c r="M127" s="3">
        <f>2853.9+(2043.9-203.5)+(2.910978+(2.084778-0.20757))+0-457.3-0.466446000000073</f>
        <v>4241.3217399999994</v>
      </c>
      <c r="N127" s="3">
        <f>2869.9+(2043.9-204.7)+(2.927298+(2.084778-0.208794))+0-458.3-0.467466000000073</f>
        <v>4255.135816</v>
      </c>
      <c r="O127" s="3">
        <f>3023.1+(1977.6-214.7)+(3.083562+(2.017152-0.218994))+0-518.9-0.529278000000083</f>
        <v>4271.4524420000007</v>
      </c>
      <c r="P127" s="3">
        <f>3105.9+(1907.7-221.6)+(4.752027+(2.918781-0.339048))+0-556.6-0.851598000000032</f>
        <v>4241.8801619999995</v>
      </c>
      <c r="Q127" s="3">
        <f>3709.6+(1597-174.4)+(0+(0-0))+0-478.6-0</f>
        <v>4653.5999999999995</v>
      </c>
      <c r="R127" s="3">
        <f>4433.6+(1231-253)+(-4.522272+(-1.25562--0.25806))+0-282.8--0.288456000000045</f>
        <v>5123.5686240000005</v>
      </c>
      <c r="S127" s="3">
        <f>4595.5+(1350.2-232)+(-2.343705+(-0.688602--0.11832))+0-277.3--0.141422999999972</f>
        <v>5433.6274359999998</v>
      </c>
      <c r="T127" s="3">
        <f>5042.3+(1073.6-242.7)+(2.571573+(0.547536-0.123777))+0-260.7-0.132956999999974</f>
        <v>5615.3623750000006</v>
      </c>
      <c r="U127" s="3">
        <f>5139.9+(971.3-238.9)+(5.242698+(0.990726-0.243678))+0-251.9-0.25693800000004</f>
        <v>5626.1328079999994</v>
      </c>
      <c r="V127" s="3">
        <f>5016.1+(1070.7-237.7)+(-2.558211+(-0.546057--0.121227))+0-246.5--0.125714999999975</f>
        <v>5599.7426740000001</v>
      </c>
      <c r="W127" s="3">
        <f>4106.3+(1758-223.1)+(-10.471065+(-4.4829--0.568905))+0-239--0.609449999999965</f>
        <v>5388.424390000001</v>
      </c>
      <c r="X127" s="3">
        <f>3320.9+(2086.4-217.7)+(-8.468295+(-5.32032--0.555135))+0-228.8--0.583439999999967</f>
        <v>4948.1499600000006</v>
      </c>
      <c r="Y127" s="3">
        <f>3219.6+(1730.9-220.4)+(-3.283992+(-1.765518--0.224808))+0-266--0.271320000000042</f>
        <v>4459.5466180000003</v>
      </c>
      <c r="Z127" s="3">
        <f>3362.2+(1904.2-244.5)+(-5.144166+(-2.913426--0.374085))+0-427.6--0.654228000000025</f>
        <v>4587.2707209999999</v>
      </c>
      <c r="AA127" s="3">
        <f>4493.3+(1285.3-250.2)+(-4.583166+(-1.311006--0.255204))+0-343.6--0.350472000000055</f>
        <v>5179.5115039999991</v>
      </c>
      <c r="AB127" s="3">
        <f>4314.1+(1543-209.3)+(-2.200191+(-0.78693--0.106743))+0-382.5--0.195074999999961</f>
        <v>5262.614697</v>
      </c>
      <c r="AC127" s="3">
        <f>4223.5+(1686.8-206)+(0+(0-0))+0-311.7-0</f>
        <v>5392.6</v>
      </c>
      <c r="AD127">
        <f t="shared" si="1"/>
        <v>118847.76139899998</v>
      </c>
      <c r="AE127" s="3">
        <f>4566+(1235.9-303)+(0+(0-0))+0-372.6-0</f>
        <v>5126.2999999999993</v>
      </c>
    </row>
    <row r="128" spans="1:31" customFormat="1" x14ac:dyDescent="0.25">
      <c r="A128">
        <v>89</v>
      </c>
      <c r="B128">
        <v>5</v>
      </c>
      <c r="C128">
        <v>4</v>
      </c>
      <c r="D128">
        <v>3</v>
      </c>
      <c r="E128">
        <v>1</v>
      </c>
      <c r="F128" s="3">
        <f>3442.7+(2435.3-212.7)+(1.755777+(1.242003-0.108477))+0-344.5-0.175694999999965</f>
        <v>5323.5136080000002</v>
      </c>
      <c r="G128" s="3">
        <f>3052.4+(2957.5-229.3)+(1.556724+(1.508325-0.116943))+0-619-0.315689999999937</f>
        <v>5164.2324159999998</v>
      </c>
      <c r="H128" s="3">
        <f>2963.3+(2684.7-163.6)+(-1.511283+(-1.369197--0.083436))+0-467.8--0.238577999999953</f>
        <v>5014.041533999999</v>
      </c>
      <c r="I128" s="3">
        <f>2986.3+(2702-220.2)+(-4.569039+(-4.13406--0.336906))+0-562.3--0.860319000000032</f>
        <v>4898.2941260000007</v>
      </c>
      <c r="J128" s="3">
        <f>2911.7+(2678.3-223.9)+(-4.454901+(-4.097799--0.342567))+0-550.6--0.842418000000032</f>
        <v>4808.1322850000006</v>
      </c>
      <c r="K128" s="3">
        <f>2732.2+(2672.3-207.8)+(-2.786844+(-2.725746--0.211956))+0-487.7--0.497454000000078</f>
        <v>4704.1968200000001</v>
      </c>
      <c r="L128" s="3">
        <f>2766.7+(2438.3-225.5)+(-4.233051+(-3.730599--0.345015))+0-554.9--0.848997000000032</f>
        <v>4417.8303620000006</v>
      </c>
      <c r="M128" s="3">
        <f>2794.2+(2191.6-229.7)+(0+(0-0))+0-534-0</f>
        <v>4222.0999999999995</v>
      </c>
      <c r="N128" s="3">
        <f>2815+(2112.7-236.9)+(1.43565+(1.077477-0.120819))+0-481.5-0.245564999999951</f>
        <v>4211.4467429999995</v>
      </c>
      <c r="O128" s="3">
        <f>2874.3+(2096.3-219)+(0+(0-0))+0-441.5-0</f>
        <v>4310.1000000000004</v>
      </c>
      <c r="P128" s="3">
        <f>2975.5+(1982.9-204)+(0+(0-0))+0-435.5-0</f>
        <v>4318.8999999999996</v>
      </c>
      <c r="Q128" s="3">
        <f>3617.5+(1682.8-232)+(0+(0-0))+0-438.7-0</f>
        <v>4629.6000000000004</v>
      </c>
      <c r="R128" s="3">
        <f>4181.4+(1426.7-222.9)+(0+(0-0))+0-299.9-0</f>
        <v>5085.3</v>
      </c>
      <c r="S128" s="3">
        <f>4982.8+(1026.4-259.7)+(0+(0-0))+0-272-0</f>
        <v>5477.5</v>
      </c>
      <c r="T128" s="3">
        <f>5494.2+(743.8-294.4)+(2.802042+(0.379338-0.150144))+0-288.9-0.147338999999971</f>
        <v>5657.5838969999995</v>
      </c>
      <c r="U128" s="3">
        <f>5601.3+(605.1-295)+(-2.856663+(-0.308601--0.15045))+0-277.4--0.141473999999972</f>
        <v>5631.1266600000008</v>
      </c>
      <c r="V128" s="3">
        <f>5433.2+(703.7-307.5)+(-5.541864+(-0.717774--0.31365))+0-266.7--0.272034000000043</f>
        <v>5557.026045999999</v>
      </c>
      <c r="W128" s="3">
        <f>4438.2+(1406.1-258.4)+(-4.526964+(-1.434222--0.263568))+0-260.2--0.265404000000042</f>
        <v>5320.2677859999994</v>
      </c>
      <c r="X128" s="3">
        <f>3260.1+(2169.9-211.7)+(-6.650604+(-4.426596--0.431868))+0-285.8--0.583031999999988</f>
        <v>4922.4376999999995</v>
      </c>
      <c r="Y128" s="3">
        <f>3066.9+(1861.2-210.8)+(-1.564119+(-0.949212--0.107508))+0-287.3--0.146522999999971</f>
        <v>4427.7407000000003</v>
      </c>
      <c r="Z128" s="3">
        <f>3664.5+(1495.7-247.1)+(-1.868895+(-0.762807--0.126021))+0-290.5--0.148154999999971</f>
        <v>4620.2424740000006</v>
      </c>
      <c r="AA128" s="3">
        <f>3935+(1680-231.5)+(-4.0137+(-1.7136--0.23613))+0-269.4--0.274788000000043</f>
        <v>5108.8836179999998</v>
      </c>
      <c r="AB128" s="3">
        <f>3579.3+(2115.4-225.3)+(-1.825443+(-1.078854--0.114903))+0-305.5--0.155804999999969</f>
        <v>5161.2664110000005</v>
      </c>
      <c r="AC128" s="3">
        <f>3445.2+(2316.2-215.3)+(0+(0-0))+0-305.3-0</f>
        <v>5240.7999999999993</v>
      </c>
      <c r="AD128">
        <f t="shared" si="1"/>
        <v>118232.56318599998</v>
      </c>
      <c r="AE128" s="3">
        <f>4100+(1567.4-230.3)+(0+(0-0))+0-298.4-0</f>
        <v>5138.7000000000007</v>
      </c>
    </row>
    <row r="129" spans="1:31" customFormat="1" x14ac:dyDescent="0.25">
      <c r="A129">
        <v>89</v>
      </c>
      <c r="B129">
        <v>5</v>
      </c>
      <c r="C129">
        <v>5</v>
      </c>
      <c r="D129">
        <v>4</v>
      </c>
      <c r="E129">
        <v>3</v>
      </c>
      <c r="F129" s="3">
        <f>3543.4+(2520.5-205.5)+(-3.614268+(-2.57091--0.20961))+0-559.8--0.570996000000089</f>
        <v>5293.195428</v>
      </c>
      <c r="G129" s="3">
        <f>3089.2+(2916.8-217.1)+(-7.87746+(-7.43784--0.553605))+0-555.9--1.41754499999992</f>
        <v>5219.6558500000001</v>
      </c>
      <c r="H129" s="3">
        <f>2834.2+(2976.1-220.8)+(-2.890884+(-3.035622--0.225216))+0-500.2--0.51020400000008</f>
        <v>5084.1089140000004</v>
      </c>
      <c r="I129" s="3">
        <f>2904.7+(2846.8-210.8)+(0+(0-0))+0-580-0</f>
        <v>4960.7</v>
      </c>
      <c r="J129" s="3">
        <f>2956.5+(2588-180.6)+(3.01563+(2.63976-0.184212))+0-532.3-0.542946000000085</f>
        <v>4836.5282319999988</v>
      </c>
      <c r="K129" s="3">
        <f>3048.8+(2459.5-179.5)+(-4.664664+(-3.763035--0.274635))+0-565.3--0.864909000000033</f>
        <v>4756.2118449999998</v>
      </c>
      <c r="L129" s="3">
        <f>2865.6+(2309.9-196)+(-4.384368+(-3.534147--0.29988))+0-461.6--0.706248000000027</f>
        <v>4510.9876130000002</v>
      </c>
      <c r="M129" s="3">
        <f>2768.4+(2225.6-194.8)+(2.823768+(2.270112-0.198696))+0-499.8-0.50979600000008</f>
        <v>4303.7853879999993</v>
      </c>
      <c r="N129" s="3">
        <f>2743.1+(2275.3-218.8)+(-2.797962+(-2.320806--0.223176))+0-573.4--0.584868000000091</f>
        <v>4221.8892760000008</v>
      </c>
      <c r="O129" s="3">
        <f>2697.7+(2050.7-207.3)+(1.375827+(1.045857-0.105723))+0-360.5-0.183854999999963</f>
        <v>4182.7321059999995</v>
      </c>
      <c r="P129" s="3">
        <f>2819+(2133.9-196.9)+(4.31307+(3.264867-0.301257))+0-540.5-0.826965000000031</f>
        <v>4221.9497149999997</v>
      </c>
      <c r="Q129" s="3">
        <f>2860.1+(2306.2-196.9)+(1.458651+(1.176162-0.100419))+0-499.7-0.254846999999949</f>
        <v>4471.9795469999999</v>
      </c>
      <c r="R129" s="3">
        <f>3195.5+(2322.5-271.9)+(0+(0-0))+0-343.8-0</f>
        <v>4902.3</v>
      </c>
      <c r="S129" s="3">
        <f>3884.9+(2068.4-343.5)+(1.981299+(1.054884-0.175185))+0-323-0.164729999999967</f>
        <v>5289.4962679999999</v>
      </c>
      <c r="T129" s="3">
        <f>4376.4+(1846.4-404.3)+(2.231964+(0.941664-0.206193))+0-287.1-0.146420999999971</f>
        <v>5534.2210139999988</v>
      </c>
      <c r="U129" s="3">
        <f>4563.4+(1734.3-414.4)+(-4.654668+(-1.768986--0.422688))+0-316.3--0.32262600000005</f>
        <v>5561.3216599999996</v>
      </c>
      <c r="V129" s="3">
        <f>4570+(1648.7-359.1)+(-4.6614+(-1.681674--0.366282))+0-315.5--0.32181000000005</f>
        <v>5538.4450180000003</v>
      </c>
      <c r="W129" s="3">
        <f>3872.7+(2044-276.2)+(-9.875385+(-5.2122--0.70431))+0-316.3--0.806564999999954</f>
        <v>5310.6232899999995</v>
      </c>
      <c r="X129" s="3">
        <f>2972+(2600.9-217.8)+(-7.5786+(-6.632295--0.55539))+0-425.8--1.08578999999994</f>
        <v>4916.7302850000005</v>
      </c>
      <c r="Y129" s="3">
        <f>2810.3+(2459.6-217.8)+(0+(0-0))+0-567.7-0</f>
        <v>4484.4000000000005</v>
      </c>
      <c r="Z129" s="3">
        <f>3622+(1753.5-244.9)+(1.84722+(0.894285-0.124899))+0-478.2-0.243881999999951</f>
        <v>4654.7727240000004</v>
      </c>
      <c r="AA129" s="3">
        <f>5201.2+(942.4-306.9)+(0+(0-0))+0-584.8-0</f>
        <v>5251.9</v>
      </c>
      <c r="AB129" s="3">
        <f>4669.4+(1344.5-270.8)+(-2.381394+(-0.685695--0.138108))+0-519--0.264689999999947</f>
        <v>5221.4357089999994</v>
      </c>
      <c r="AC129" s="3">
        <f>4668+(1514.7-291.4)+(0+(0-0))+0-540.8-0</f>
        <v>5350.5</v>
      </c>
      <c r="AD129">
        <f t="shared" ref="AD129:AD192" si="2">SUM(F129:AC129)</f>
        <v>118079.86988199998</v>
      </c>
      <c r="AE129" s="3">
        <f>5589+(736.7-352.8)+(0+(0-0))+0-603.3-0</f>
        <v>5369.5999999999995</v>
      </c>
    </row>
    <row r="130" spans="1:31" customFormat="1" x14ac:dyDescent="0.25">
      <c r="A130">
        <v>89</v>
      </c>
      <c r="B130">
        <v>5</v>
      </c>
      <c r="C130">
        <v>6</v>
      </c>
      <c r="D130">
        <v>5</v>
      </c>
      <c r="E130">
        <v>1</v>
      </c>
      <c r="F130" s="3">
        <f>4088.9+(2080.9-280)+(0+(0-0))+0-540.3-0</f>
        <v>5349.5</v>
      </c>
      <c r="G130" s="3">
        <f>3501.2+(2547.4-236.6)+(-3.571224+(-2.598348--0.241332))+0-593.2--0.605064000000095</f>
        <v>5213.4768240000003</v>
      </c>
      <c r="H130" s="3">
        <f>3232.6+(2553.7-227)+(0+(0-0))+0-504.2-0</f>
        <v>5055.0999999999995</v>
      </c>
      <c r="I130" s="3">
        <f>3022.4+(2642.9-208.6)+(1.541424+(1.347879-0.106386))+0-495.2-0.25255199999995</f>
        <v>4964.0303650000014</v>
      </c>
      <c r="J130" s="3">
        <f>2850.8+(2667.7-177.1)+(0+(0-0))+0-461.5-0</f>
        <v>4879.8999999999996</v>
      </c>
      <c r="K130" s="3">
        <f>2686.6+(2844.8-173.7)+(0+(0-0))+0-538-0</f>
        <v>4819.7000000000007</v>
      </c>
      <c r="L130" s="3">
        <f>2594+(2722.5-191.9)+(0+(0-0))+0-558.7-0</f>
        <v>4565.9000000000005</v>
      </c>
      <c r="M130" s="3">
        <f>2789.7+(2157.9-194)+(2.845494+(2.201058-0.19788))+0-418.4-0.426768000000067</f>
        <v>4339.6219040000005</v>
      </c>
      <c r="N130" s="3">
        <f>2818.7+(2269.2-227.3)+(1.437537+(1.157292-0.115923))+0-534.4-0.272543999999946</f>
        <v>4328.4063619999997</v>
      </c>
      <c r="O130" s="3">
        <f>2778.6+(2212.8-220.9)+(1.417086+(1.128528-0.112659))+0-542.6-0.276725999999945</f>
        <v>4230.0562289999998</v>
      </c>
      <c r="P130" s="3">
        <f>3171.5+(2012.6-200.2)+(-1.617465+(-1.026426--0.102102))+0-510.2--0.260201999999948</f>
        <v>4471.4184130000003</v>
      </c>
      <c r="Q130" s="3">
        <f>3771.5+(1827-188.9)+(1.923465+(0.93177-0.096339))+0-526.7-0.268616999999947</f>
        <v>4885.3902790000011</v>
      </c>
      <c r="R130" s="3">
        <f>4244.7+(1576.8-257.5)+(2.164797+(0.804168-0.131325))+0-373.8-0.190637999999962</f>
        <v>5192.8470019999995</v>
      </c>
      <c r="S130" s="3">
        <f>4551.2+(1660.2-294.9)+(2.321112+(0.846702-0.150399))+0-337.6-0.172175999999966</f>
        <v>5581.7452389999999</v>
      </c>
      <c r="T130" s="3">
        <f>5036.2+(1335.9-354.2)+(5.136924+(1.362618-0.361284))+0-343.7-0.350574000000055</f>
        <v>5679.9876839999997</v>
      </c>
      <c r="U130" s="3">
        <f>5224.8+(1182.4-358)+(2.664648+(0.603024-0.18258))+0-329-0.167789999999967</f>
        <v>5723.1173020000015</v>
      </c>
      <c r="V130" s="3">
        <f>5135.3+(1160.4-276.5)+(0+(0-0))+0-352.9-0</f>
        <v>5666.3000000000011</v>
      </c>
      <c r="W130" s="3">
        <f>4533.5+(1516.5-220.8)+(-2.312085+(-0.773415--0.112608))+0-348.5--0.177734999999965</f>
        <v>5477.9048430000003</v>
      </c>
      <c r="X130" s="3">
        <f>3233+(2389.7-214.7)+(-3.29766+(-2.437494--0.218994))+0-344.3--0.351186000000055</f>
        <v>5058.5350259999996</v>
      </c>
      <c r="Y130" s="3">
        <f>2805.3+(2362.4-215.6)+(-1.430703+(-1.204824--0.109956))+0-323.7--0.165086999999967</f>
        <v>4626.0395160000007</v>
      </c>
      <c r="Z130" s="3">
        <f>3329.5+(2019.1-242)+(-1.698045+(-1.029741--0.12342))+0-337--0.171869999999966</f>
        <v>4767.1675040000009</v>
      </c>
      <c r="AA130" s="3">
        <f>4656.4+(1412-266.1)+(-7.124292+(-2.16036--0.407133))+0-352.1--0.53871300000002</f>
        <v>5441.8611939999992</v>
      </c>
      <c r="AB130" s="3">
        <f>4180.6+(1962.2-252.8)+(-2.132106+(-1.000722--0.128928))+0-345.3--0.176102999999965</f>
        <v>5541.8722029999999</v>
      </c>
      <c r="AC130" s="3">
        <f>3605.4+(2500.4-286.1)+(0+(0-0))+0-317.6-0</f>
        <v>5502.1</v>
      </c>
      <c r="AD130">
        <f t="shared" si="2"/>
        <v>121361.97788900002</v>
      </c>
      <c r="AE130" s="3">
        <f>4689+(1580-275)+(0+(0-0))+0-383-0</f>
        <v>5611</v>
      </c>
    </row>
    <row r="131" spans="1:31" customFormat="1" x14ac:dyDescent="0.25">
      <c r="A131">
        <v>89</v>
      </c>
      <c r="B131">
        <v>5</v>
      </c>
      <c r="C131">
        <v>7</v>
      </c>
      <c r="D131">
        <v>6</v>
      </c>
      <c r="E131">
        <v>1</v>
      </c>
      <c r="F131" s="3">
        <f>3735.3+(2538.3-293.2)+(-1.905003+(-1.294533--0.149532))+0-526--0.268259999999947</f>
        <v>5451.6182560000007</v>
      </c>
      <c r="G131" s="3">
        <f>3339+(2878.6-242.6)+(-6.81156+(-5.872344--0.494904))+0-644--1.31375999999997</f>
        <v>5320.1247599999997</v>
      </c>
      <c r="H131" s="3">
        <f>3193.1+(2800.5-233)+(-3.256962+(-2.85651--0.23766))+0-553.2--0.564264000000088</f>
        <v>5202.088452</v>
      </c>
      <c r="I131" s="3">
        <f>3129.2+(2763.3-223.1)+(0+(0-0))+0-550.6-0</f>
        <v>5118.7999999999993</v>
      </c>
      <c r="J131" s="3">
        <f>3123.6+(2760.3-212.7)+(0+(0-0))+0-627.7-0</f>
        <v>5043.5000000000009</v>
      </c>
      <c r="K131" s="3">
        <f>3075.2+(2662.9-197.1)+(-3.136704+(-2.716158--0.201042))+0-555.6--0.566712000000089</f>
        <v>4980.3148919999994</v>
      </c>
      <c r="L131" s="3">
        <f>2756+(2720.6-224.7)+(-8.43336+(-8.325036--0.687582))+0-535.9--1.63985400000006</f>
        <v>4701.5690400000003</v>
      </c>
      <c r="M131" s="3">
        <f>2791.4+(2508.3-237)+(1.423614+(1.279233-0.12087))+0-509.9-0.260048999999948</f>
        <v>4555.1219280000014</v>
      </c>
      <c r="N131" s="3">
        <f>2912.4+(2286.6-235)+(4.455972+(3.498498-0.35955))+0-474.9-0.726597000000027</f>
        <v>4495.9683230000001</v>
      </c>
      <c r="O131" s="3">
        <f>3161.6+(2130.4-227.9)+(1.612416+(1.086504-0.116229))+0-539.1-0.274940999999945</f>
        <v>4527.3077499999999</v>
      </c>
      <c r="P131" s="3">
        <f>3364.3+(2000.2-196.9)+(-1.715793+(-1.020102--0.100419))+0-531.8--0.271217999999946</f>
        <v>4633.4357419999997</v>
      </c>
      <c r="Q131" s="3">
        <f>3999.8+(1669.7-234.7)+(2.039898+(0.851547-0.119697))+0-544.4-0.277643999999945</f>
        <v>4892.8941040000009</v>
      </c>
      <c r="R131" s="3">
        <f>4676.4+(1218-284.6)+(0+(0-0))+0-378-0</f>
        <v>5231.7999999999993</v>
      </c>
      <c r="S131" s="3">
        <f>4650.6+(1514.5-294.4)+(-2.371806+(-0.772395--0.150144))+0-338.7--0.172736999999966</f>
        <v>5529.1786800000009</v>
      </c>
      <c r="T131" s="3">
        <f>4761.3+(1544.9-356.9)+(0+(0-0))+0-327.7-0</f>
        <v>5621.6</v>
      </c>
      <c r="U131" s="3">
        <f>4844.9+(1514.6-363.4)+(-2.470899+(-0.772446--0.185334))+0-355.4--0.181253999999964</f>
        <v>5637.8232429999998</v>
      </c>
      <c r="V131" s="3">
        <f>4556.6+(1671.5-282.1)+(-6.971598+(-2.557395--0.431613))+0-355.4--0.543762000000021</f>
        <v>5582.0463820000004</v>
      </c>
      <c r="W131" s="3">
        <f>3764+(2159.5-205)+(-3.83928+(-2.20269--0.2091))+0-345.4--0.352308000000055</f>
        <v>5367.6194380000006</v>
      </c>
      <c r="X131" s="3">
        <f>3158.6+(2584.3-195.4)+(-8.05443+(-6.589965--0.49827))+0-578.7--1.47568499999992</f>
        <v>4956.1295600000003</v>
      </c>
      <c r="Y131" s="3">
        <f>2971.4+(2487.5-218)+(-4.546242+(-3.805875--0.33354))+0-641--0.980730000000037</f>
        <v>4592.862153</v>
      </c>
      <c r="Z131" s="3">
        <f>3498.1+(2013.9-231.7)+(0+(0-0))+0-469.3-0</f>
        <v>4811</v>
      </c>
      <c r="AA131" s="3">
        <f>4396.6+(1655.3-259.3)+(-4.484532+(-1.688406--0.264486))+0-532.8--0.543456000000085</f>
        <v>5254.4350040000008</v>
      </c>
      <c r="AB131" s="3">
        <f>4063.9+(2050.8-242.1)+(0+(0-0))+0-587.2-0</f>
        <v>5285.4000000000005</v>
      </c>
      <c r="AC131" s="3">
        <f>3999.4+(2212.4-291.3)+(-6.119082+(-3.384972--0.445689))+0-541.5--0.828495000000031</f>
        <v>5370.7701299999999</v>
      </c>
      <c r="AD131">
        <f t="shared" si="2"/>
        <v>122163.40783699999</v>
      </c>
      <c r="AE131" s="3">
        <f>4629+(1501.7-294.4)+(0+(0-0))+0-550.4-0</f>
        <v>5285.9000000000005</v>
      </c>
    </row>
    <row r="132" spans="1:31" customFormat="1" x14ac:dyDescent="0.25">
      <c r="A132">
        <v>89</v>
      </c>
      <c r="B132">
        <v>5</v>
      </c>
      <c r="C132">
        <v>8</v>
      </c>
      <c r="D132">
        <v>7</v>
      </c>
      <c r="E132">
        <v>1</v>
      </c>
      <c r="F132" s="3">
        <f>3835+(2367.3-309.3)+(-9.77925+(-6.036615--0.788715))+0-494.6--1.26122999999993</f>
        <v>5384.6340799999998</v>
      </c>
      <c r="G132" s="3">
        <f>3489.4+(2577.8-262.8)+(1.779594+(1.314678-0.134028))+0-504.1-0.257090999999949</f>
        <v>5303.0031529999987</v>
      </c>
      <c r="H132" s="3">
        <f>3411.9+(2554.2-238.7)+(0+(0-0))+0-546.3-0</f>
        <v>5181.0999999999995</v>
      </c>
      <c r="I132" s="3">
        <f>3453.7+(2398.8-237.1)+(-8.806935+(-6.11694--0.604605))+0-497.9--1.26964499999993</f>
        <v>5104.4503750000003</v>
      </c>
      <c r="J132" s="3">
        <f>3217.4+(2529.5-207.6)+(-4.922622+(-3.870135--0.317628))+0-501.3--0.766989000000029</f>
        <v>5030.2918599999994</v>
      </c>
      <c r="K132" s="3">
        <f>3133+(2654.1-203.2)+(-11.18481+(-9.475137--0.725424))+0-614.5--2.19376500000001</f>
        <v>4951.6592419999997</v>
      </c>
      <c r="L132" s="3">
        <f>3141.9+(2506.7-199.9)+(-6.409476+(-5.113668--0.407796))+0-632.2--1.28968799999997</f>
        <v>4806.6743399999996</v>
      </c>
      <c r="M132" s="3">
        <f>3078+(2299-219.3)+(1.56978+(1.17249-0.111843))+0-540.2-0.275501999999945</f>
        <v>4619.8549250000005</v>
      </c>
      <c r="N132" s="3">
        <f>2965.9+(2351.4-231.5)+(0+(0-0))+0-562.5-0</f>
        <v>4523.3</v>
      </c>
      <c r="O132" s="3">
        <f>2843.5+(2445.5-219.8)+(0+(0-0))+0-594-0</f>
        <v>4475.2</v>
      </c>
      <c r="P132" s="3">
        <f>3081.6+(2217.7-210.3)+(1.571616+(1.131027-0.107253))+0-573-0.292229999999942</f>
        <v>4518.3031600000004</v>
      </c>
      <c r="Q132" s="3">
        <f>3094.2+(2441.4-206.6)+(1.578042+(1.245114-0.105366))+0-610.9-0.311558999999938</f>
        <v>4720.5062310000003</v>
      </c>
      <c r="R132" s="3">
        <f>3260.2+(2601.1-260)+(0+(0-0))+0-588.2-0</f>
        <v>5013.0999999999995</v>
      </c>
      <c r="S132" s="3">
        <f>3342.4+(2661-282.4)+(-3.409248+(-2.71422--0.288048))+0-404.7--0.412794000000065</f>
        <v>5310.8773739999997</v>
      </c>
      <c r="T132" s="3">
        <f>3850.8+(2399.5-285.4)+(1.963908+(1.223745-0.145554))+0-514.2-0.262241999999948</f>
        <v>5453.4798570000003</v>
      </c>
      <c r="U132" s="3">
        <f>4223.2+(2178.9-329.2)+(-6.461496+(-3.333717--0.503676))+0-650.8--0.995724000000038</f>
        <v>5413.8041869999997</v>
      </c>
      <c r="V132" s="3">
        <f>4070+(2279.3-325.4)+(-2.0757+(-1.162443--0.165954))+0-612.5--0.312374999999938</f>
        <v>5408.6401859999987</v>
      </c>
      <c r="W132" s="3">
        <f>3517.7+(2438.7-227.7)+(-1.794027+(-1.243737--0.116127))+0-518.2--0.264281999999947</f>
        <v>5207.8426449999997</v>
      </c>
      <c r="X132" s="3">
        <f>3419.2+(2194.3-207.7)+(-8.71896+(-5.595465--0.529635))+0-612.5--1.56187499999991</f>
        <v>4781.0770850000008</v>
      </c>
      <c r="Y132" s="3">
        <f>3351+(1745-193.6)+(-3.41802+(-1.7799--0.197472))+0-473.7--0.483174000000076</f>
        <v>4424.182726</v>
      </c>
      <c r="Z132" s="3">
        <f>3783.8+(1779.7-230)+(-5.789214+(-2.722941--0.3519))+0-561.4--0.858942000000032</f>
        <v>4764.7986870000004</v>
      </c>
      <c r="AA132" s="3">
        <f>3969+(2183.6-239.1)+(-12.14514+(-6.681816--0.731646))+0-697.2--2.13343200000008</f>
        <v>5200.3381220000001</v>
      </c>
      <c r="AB132" s="3">
        <f>4191.5+(1965.1-231.6)+(-4.27533+(-2.004402--0.236232))+0-585.7--0.597414000000093</f>
        <v>5333.8539140000003</v>
      </c>
      <c r="AC132" s="3">
        <f>3999+(2177.1-232.6)+(-2.03949+(-1.110321--0.118626))+0-544.7--0.277796999999945</f>
        <v>5396.0466120000001</v>
      </c>
      <c r="AD132">
        <f t="shared" si="2"/>
        <v>120327.01876100001</v>
      </c>
      <c r="AE132" s="3">
        <f>4279+(1867.6-231.7)+(0+(0-0))+0-761.9-0</f>
        <v>5153</v>
      </c>
    </row>
    <row r="133" spans="1:31" customFormat="1" x14ac:dyDescent="0.25">
      <c r="A133">
        <v>89</v>
      </c>
      <c r="B133">
        <v>5</v>
      </c>
      <c r="C133">
        <v>9</v>
      </c>
      <c r="D133">
        <v>1</v>
      </c>
      <c r="E133">
        <v>1</v>
      </c>
      <c r="F133" s="3">
        <f>3918.2+(2403.1-220.5)+(-7.993128+(-4.902324--0.44982))+0-675.1--1.37720399999997</f>
        <v>5414.6315719999993</v>
      </c>
      <c r="G133" s="3">
        <f>3626.4+(2503.5-217.4)+(-11.096784+(-7.66071--0.665244))+0-603.2--1.84579200000007</f>
        <v>5293.0535420000006</v>
      </c>
      <c r="H133" s="3">
        <f>3303+(2664.8-213)+(-6.73812+(-5.436192--0.43452))+0-550.7--1.12342799999998</f>
        <v>5193.4836359999999</v>
      </c>
      <c r="I133" s="3">
        <f>3206.2+(2756.9-213.8)+(-3.270324+(-2.812038--0.218076))+0-635.7--0.648414000000101</f>
        <v>5108.3841279999997</v>
      </c>
      <c r="J133" s="3">
        <f>3195.6+(2673.3-231.6)+(3.259512+(2.726766-0.236232))+0-487.9-0.497658000000078</f>
        <v>5154.6523880000004</v>
      </c>
      <c r="K133" s="3">
        <f>3137+(2760.3-215.9)+(1.59987+(1.407753-0.110109))+0-678.5-0.346034999999931</f>
        <v>5005.4514790000003</v>
      </c>
      <c r="L133" s="3">
        <f>2938.4+(2780.1-209.2)+(0+(0-0))+0-675.6-0</f>
        <v>4833.7</v>
      </c>
      <c r="M133" s="3">
        <f>3002.8+(2493.5-200.3)+(0+(0-0))+0-564.2-0</f>
        <v>4731.8</v>
      </c>
      <c r="N133" s="3">
        <f>3062.3+(2389.2-197.4)+(-3.123546+(-2.436984--0.201348))+0-534.4--0.545088000000085</f>
        <v>4714.8859060000004</v>
      </c>
      <c r="O133" s="3">
        <f>3201.7+(2316.1-208.1)+(-3.265734+(-2.362422--0.212262))+0-624.2--0.6366840000001</f>
        <v>4680.7207900000003</v>
      </c>
      <c r="P133" s="3">
        <f>3440.3+(2085.9-211.3)+(5.263659+(3.191427-0.323289))+0-580.2-0.887706000000034</f>
        <v>4741.9440910000003</v>
      </c>
      <c r="Q133" s="3">
        <f>4012.3+(1609.4-204.2)+(4.092546+(1.641588-0.208284))+0-468.9-0.478278000000075</f>
        <v>4953.6475719999999</v>
      </c>
      <c r="R133" s="3">
        <f>4428.9+(1448.4-252.6)+(0+(0-0))+0-352.2-0</f>
        <v>5272.5</v>
      </c>
      <c r="S133" s="3">
        <f>4181.9+(1957.6-303.4)+(-6.398307+(-2.995128--0.464202))+0-328.2--0.502146000000019</f>
        <v>5499.4729129999996</v>
      </c>
      <c r="T133" s="3">
        <f>4499.1+(1777.9-349.6)+(-2.294541+(-0.906729--0.178296))+0-350.7--0.178856999999964</f>
        <v>5573.8558830000002</v>
      </c>
      <c r="U133" s="3">
        <f>4620.9+(1679-378.7)+(-2.356659+(-0.85629--0.193137))+0-350.5--0.178754999999964</f>
        <v>5567.8589430000002</v>
      </c>
      <c r="V133" s="3">
        <f>4548.9+(1689.9-339)+(-2.319939+(-0.861849--0.17289))+0-317.7--0.162026999999968</f>
        <v>5579.2531289999997</v>
      </c>
      <c r="W133" s="3">
        <f>3824.4+(2154.7-236.8)+(-3.900888+(-2.197794--0.241536))+0-404.6--0.412692000000065</f>
        <v>5332.2555459999994</v>
      </c>
      <c r="X133" s="3">
        <f>3156.8+(2487.6-183.1)+(-6.439872+(-5.074704--0.373524))+0-516.5--1.05365999999998</f>
        <v>4934.7126079999998</v>
      </c>
      <c r="Y133" s="3">
        <f>3008.3+(2214.7-191.8)+(0+(0-0))+0-453.6-0</f>
        <v>4577.5999999999995</v>
      </c>
      <c r="Z133" s="3">
        <f>3415.5+(2157.5-207.7)+(-1.741905+(-1.100325--0.105927))+0-416.6--0.212465999999958</f>
        <v>4946.1761630000001</v>
      </c>
      <c r="AA133" s="3">
        <f>3904.1+(2132.1-226.2)+(-5.973273+(-3.262113--0.346086))+0-393.7--0.602361000000023</f>
        <v>5408.0130610000006</v>
      </c>
      <c r="AB133" s="3">
        <f>4305.9+(1849.7-274.3)+(-4.392018+(-1.886694--0.279786))+0-432.4--0.441048000000069</f>
        <v>5443.3421219999991</v>
      </c>
      <c r="AC133" s="3">
        <f>4109.2+(2130.2-284.7)+(-4.191384+(-2.172804--0.290394))+0-471.1--0.480522000000075</f>
        <v>5478.0067279999994</v>
      </c>
      <c r="AD133">
        <f t="shared" si="2"/>
        <v>123439.40220000001</v>
      </c>
      <c r="AE133" s="3">
        <f>3959.1+(2097.3-236.7)+(0+(0-0))+0-405.1-0</f>
        <v>5414.5999999999995</v>
      </c>
    </row>
    <row r="134" spans="1:31" customFormat="1" x14ac:dyDescent="0.25">
      <c r="A134">
        <v>89</v>
      </c>
      <c r="B134">
        <v>5</v>
      </c>
      <c r="C134">
        <v>10</v>
      </c>
      <c r="D134">
        <v>2</v>
      </c>
      <c r="E134">
        <v>1</v>
      </c>
      <c r="F134" s="3">
        <f>3599.5+(2618.2-252.5)+(-7.34298+(-5.341128--0.5151))+0-499.8--1.01959199999998</f>
        <v>5454.2505839999994</v>
      </c>
      <c r="G134" s="3">
        <f>2890.7+(3079.6-214.3)+(-7.371285+(-7.85298--0.546465))+0-414.5--1.05697499999994</f>
        <v>5327.8791749999991</v>
      </c>
      <c r="H134" s="3">
        <f>3040.3+(2926.6-241.9)+(1.550553+(1.492566-0.123369))+0-520.2-0.265301999999947</f>
        <v>5207.4544480000004</v>
      </c>
      <c r="I134" s="3">
        <f>2851.1+(3064.2-202.9)+(-4.362183+(-4.688226--0.310437))+0-590--0.902700000000034</f>
        <v>5114.562727999999</v>
      </c>
      <c r="J134" s="3">
        <f>2984.7+(2806.3-230.9)+(-3.044394+(-2.862426--0.235518))+0-490.6--0.500412000000078</f>
        <v>5064.3291100000006</v>
      </c>
      <c r="K134" s="3">
        <f>2788.3+(3016.7-212.9)+(-1.422033+(-1.538517--0.108579))+0-620.7--0.316556999999937</f>
        <v>4968.8645860000006</v>
      </c>
      <c r="L134" s="3">
        <f>2733.9+(2812.2-220)+(-2.788578+(-2.868444--0.2244))+0-542.3--0.553146000000086</f>
        <v>4778.9205240000001</v>
      </c>
      <c r="M134" s="3">
        <f>2983.2+(2399.2-207.3)+(0+(0-0))+0-569.2-0</f>
        <v>4605.8999999999996</v>
      </c>
      <c r="N134" s="3">
        <f>2901.7+(2434.5-205.4)+(-2.959734+(-2.48319--0.209508))+0-573.8--0.585276000000092</f>
        <v>4552.3518599999989</v>
      </c>
      <c r="O134" s="3">
        <f>2987.3+(2243.7-214.1)+(-3.047046+(-2.288574--0.218382))+0-496.9--0.506838000000079</f>
        <v>4515.3896000000004</v>
      </c>
      <c r="P134" s="3">
        <f>3043.4+(2300-216.6)+(-1.552134+(-1.173--0.110466))+0-541.5--0.276164999999945</f>
        <v>4582.9614970000002</v>
      </c>
      <c r="Q134" s="3">
        <f>3143.8+(2243.2-216.7)+(-3.206676+(-2.288064--0.221034))+0-393.5--0.401370000000063</f>
        <v>4771.9276640000007</v>
      </c>
      <c r="R134" s="3">
        <f>3701.9+(2081.6-249.8)+(-1.887969+(-1.061616--0.127398))+0-408.8--0.208487999999959</f>
        <v>5122.2863010000001</v>
      </c>
      <c r="S134" s="3">
        <f>3951.1+(2267.4-300.1)+(-4.030122+(-2.312748--0.306102))+0-544.8--0.555696000000087</f>
        <v>5368.1189279999999</v>
      </c>
      <c r="T134" s="3">
        <f>4499.9+(1831.9-297.3)+(-4.589898+(-1.868538--0.303246))+0-543.4--0.554268000000087</f>
        <v>5485.4990779999998</v>
      </c>
      <c r="U134" s="3">
        <f>4596.7+(1816-365.9)+(-2.344317+(-0.92616--0.186609))+0-585.3--0.298502999999941</f>
        <v>5458.7146349999994</v>
      </c>
      <c r="V134" s="3">
        <f>4695.2+(1612.3-320.4)+(-7.183656+(-2.466819--0.490212))+0-619--0.947070000000036</f>
        <v>5359.8868070000008</v>
      </c>
      <c r="W134" s="3">
        <f>3901.8+(2081.2-246.5)+(-7.959672+(-4.245648--0.50286))+0-521--1.06283999999998</f>
        <v>5204.8603799999992</v>
      </c>
      <c r="X134" s="3">
        <f>3334.8+(2219.7-220.8)+(-10.204488+(-6.792282--0.675648))+0-568.8--1.74052800000007</f>
        <v>4750.3194059999996</v>
      </c>
      <c r="Y134" s="3">
        <f>3037.1+(2164.2-211.5)+(-6.195684+(-4.414968--0.43146))+0-559.4--1.14117599999998</f>
        <v>4421.3619840000001</v>
      </c>
      <c r="Z134" s="3">
        <f>4027.2+(1625.2-253.1)+(0+(0-0))+0-634.3-0</f>
        <v>4765</v>
      </c>
      <c r="AA134" s="3">
        <f>4965.8+(1069.8-265.1)+(-10.130232+(-2.182392--0.540804))+0-587.9--1.19931599999997</f>
        <v>5172.0274960000006</v>
      </c>
      <c r="AB134" s="3">
        <f>5092.4+(1098.5-296.7)+(-7.791372+(-1.680705--0.453951))+0-570.9--0.873477000000033</f>
        <v>5315.1553510000003</v>
      </c>
      <c r="AC134" s="3">
        <f>5136.4+(1088.2-305.8)+(-7.858692+(-1.664946--0.467874))+0-620.6--0.949518000000036</f>
        <v>5290.0937539999995</v>
      </c>
      <c r="AD134">
        <f t="shared" si="2"/>
        <v>120658.11589599997</v>
      </c>
      <c r="AE134" s="3">
        <f>5085+(993-300.4)+(0+(0-0))+0-647.2-0</f>
        <v>5130.4000000000005</v>
      </c>
    </row>
    <row r="135" spans="1:31" customFormat="1" x14ac:dyDescent="0.25">
      <c r="A135">
        <v>89</v>
      </c>
      <c r="B135">
        <v>5</v>
      </c>
      <c r="C135">
        <v>11</v>
      </c>
      <c r="D135">
        <v>3</v>
      </c>
      <c r="E135">
        <v>1</v>
      </c>
      <c r="F135" s="3">
        <f>3776.8+(2273.9-195.7)+(-9.63084+(-5.798445--0.499035))+0-589.6--1.50347999999991</f>
        <v>5251.9732299999996</v>
      </c>
      <c r="G135" s="3">
        <f>3029.3+(2867.2-205.9)+(-6.179772+(-5.849088--0.420036))+0-507.2--1.03468799999998</f>
        <v>5172.8258640000004</v>
      </c>
      <c r="H135" s="3">
        <f>2946.9+(2857.9-207.4)+(-4.508757+(-4.372587--0.317322))+0-533.3--0.815949000000031</f>
        <v>5056.3519269999997</v>
      </c>
      <c r="I135" s="3">
        <f>2968.4+(2890.6-203.1)+(-4.541652+(-4.422618--0.310743))+0-672.5--1.02892500000004</f>
        <v>4975.7753979999989</v>
      </c>
      <c r="J135" s="3">
        <f>3314.8+(2274.7-222.2)+(5.071644+(3.480291-0.339966))+0-449.3-0.687429000000026</f>
        <v>4925.5245400000003</v>
      </c>
      <c r="K135" s="3">
        <f>3162.3+(2461.1-202.2)+(-4.838319+(-3.765483--0.309366))+0-588.1--0.899793000000034</f>
        <v>4825.7053569999998</v>
      </c>
      <c r="L135" s="3">
        <f>2738.8+(2557.7-202.2)+(-6.98394+(-6.522135--0.51561))+0-496.6--1.26632999999993</f>
        <v>4585.9758650000003</v>
      </c>
      <c r="M135" s="3">
        <f>2861.6+(2355.5-200.9)+(0+(0-0))+0-576.5-0</f>
        <v>4439.7</v>
      </c>
      <c r="N135" s="3">
        <f>3000.3+(2173.3-201.4)+(1.530153+(1.108383-0.102714))+0-528.4-0.269483999999946</f>
        <v>4446.0663380000005</v>
      </c>
      <c r="O135" s="3">
        <f>3110+(2177.5-216.3)+(-3.1722+(-2.22105--0.220626))+0-620.3--0.632706000000099</f>
        <v>4446.3600820000001</v>
      </c>
      <c r="P135" s="3">
        <f>3212+(2118.5-228.1)+(0+(0-0))+0-599.7-0</f>
        <v>4502.7</v>
      </c>
      <c r="Q135" s="3">
        <f>3333.2+(2105.8-216.4)+(0+(0-0))+0-437.8-0</f>
        <v>4784.8</v>
      </c>
      <c r="R135" s="3">
        <f>4029.5+(1779.6-177.6)+(-2.055045+(-0.907596--0.090576))+0-623.5--0.317984999999937</f>
        <v>5005.4459200000001</v>
      </c>
      <c r="S135" s="3">
        <f>4141.7+(1850.1-200.4)+(0+(0-0))+0-538.8-0</f>
        <v>5252.5999999999995</v>
      </c>
      <c r="T135" s="3">
        <f>4849.2+(1195.4-124.3)+(-4.946184+(-1.219308--0.126786))+0-549.3--0.560286000000088</f>
        <v>5365.5215799999996</v>
      </c>
      <c r="U135" s="3">
        <f>4992.3+(1094.1-177.8)+(-2.546073+(-0.557991--0.090678))+0-526.2--0.268361999999947</f>
        <v>5379.6549760000007</v>
      </c>
      <c r="V135" s="3">
        <f>4869.7+(1263.3-279.5)+(-4.967094+(-1.288566--0.28509))+0-607.5--0.619650000000097</f>
        <v>5240.6490800000001</v>
      </c>
      <c r="W135" s="3">
        <f>4322.9+(1616.4-219.5)+(-15.432753+(-5.770548--0.783615))+0-582.1--2.07809700000001</f>
        <v>5119.3584109999983</v>
      </c>
      <c r="X135" s="3">
        <f>3491+(1893.3-218.4)+(-8.90205+(-4.827915--0.55692))+0-490.4--1.25051999999993</f>
        <v>4663.577475</v>
      </c>
      <c r="Y135" s="3">
        <f>3533.8+(1596.3-216.3)+(-3.604476+(-1.628226--0.220626))+0-610.1--0.622302000000097</f>
        <v>4299.3102259999996</v>
      </c>
      <c r="Z135" s="3">
        <f>3925.9+(1477.8-222.2)+(-4.004418+(-1.507356--0.226644))+0-557.5--0.568650000000089</f>
        <v>4619.28352</v>
      </c>
      <c r="AA135" s="3">
        <f>4209+(1722.6-230.8)+(-8.58636+(-3.514104--0.470832))+0-584.6--1.19258399999997</f>
        <v>5105.762952</v>
      </c>
      <c r="AB135" s="3">
        <f>4232.9+(1789.2-209.5)+(-8.635116+(-3.649968--0.42738))+0-616.3--1.25725199999997</f>
        <v>5185.6995479999996</v>
      </c>
      <c r="AC135" s="3">
        <f>4025.9+(1889.3-230.1)+(0+(0-0))+0-485.6-0</f>
        <v>5199.5</v>
      </c>
      <c r="AD135">
        <f t="shared" si="2"/>
        <v>117850.12228900001</v>
      </c>
      <c r="AE135" s="3">
        <f>4325+(1705.6-249)+(0+(0-0))+0-635.5-0</f>
        <v>5146.1000000000004</v>
      </c>
    </row>
    <row r="136" spans="1:31" customFormat="1" x14ac:dyDescent="0.25">
      <c r="A136">
        <v>89</v>
      </c>
      <c r="B136">
        <v>5</v>
      </c>
      <c r="C136">
        <v>12</v>
      </c>
      <c r="D136">
        <v>4</v>
      </c>
      <c r="E136">
        <v>1</v>
      </c>
      <c r="F136" s="3">
        <f>3318.2+(2538.2-231.8)+(-1.692282+(-1.294482--0.118218))+0-490.1--0.24995099999995</f>
        <v>5131.8814049999992</v>
      </c>
      <c r="G136" s="3">
        <f>2821.1+(2920.8-219.4)+(-2.877522+(-2.979216--0.223788))+0-470.1--0.479502000000075</f>
        <v>5047.2465519999996</v>
      </c>
      <c r="H136" s="3">
        <f>2814.3+(2700.4-236.2)+(1.435293+(1.377204-0.120462))+0-353.1-0.180080999999964</f>
        <v>4927.9119540000002</v>
      </c>
      <c r="I136" s="3">
        <f>2717.5+(2830.1-226.8)+(0+(0-0))+0-474.6-0</f>
        <v>4846.1999999999989</v>
      </c>
      <c r="J136" s="3">
        <f>2684.6+(2864.6-233.6)+(-1.369146+(-1.460946--0.119136))+0-545.7--0.278306999999945</f>
        <v>4767.4673510000002</v>
      </c>
      <c r="K136" s="3">
        <f>2724.9+(2774.9-227.6)+(2.779398+(2.830398-0.232152))+0-571.6-0.583032000000091</f>
        <v>4705.3946120000001</v>
      </c>
      <c r="L136" s="3">
        <f>2645.5+(2658.6-229.7)+(-4.047615+(-4.067658--0.351441))+0-584.3--0.893979000000034</f>
        <v>4483.2301470000002</v>
      </c>
      <c r="M136" s="3">
        <f>2849.4+(2273.4-222.1)+(-1.453194+(-1.159434--0.113271))+0-581.6--0.296615999999941</f>
        <v>4316.8972590000003</v>
      </c>
      <c r="N136" s="3">
        <f>2890.2+(2140-244)+(0+(0-0))+0-493.1-0</f>
        <v>4293.0999999999995</v>
      </c>
      <c r="O136" s="3">
        <f>2924.9+(2112-235)+(1.491699+(1.07712-0.11985))+0-481-0.245309999999951</f>
        <v>4323.1036589999994</v>
      </c>
      <c r="P136" s="3">
        <f>3224.6+(1991.4-246)+(-3.289092+(-2.031228--0.25092))+0-565.8--0.57711600000009</f>
        <v>4399.7077159999999</v>
      </c>
      <c r="Q136" s="3">
        <f>4000.4+(1350.8-246.5)+(-2.040204+(-0.688908--0.125715))+0-468.5--0.238934999999952</f>
        <v>4633.8355380000003</v>
      </c>
      <c r="R136" s="3">
        <f>5010.3+(927.9-322.9)+(0+(0-0))+0-574.3-0</f>
        <v>5041</v>
      </c>
      <c r="S136" s="3">
        <f>5135.5+(1020-272.2)+(0+(0-0))+0-569.5-0</f>
        <v>5313.8</v>
      </c>
      <c r="T136" s="3">
        <f>5597.2+(790.2-458.8)+(2.854572+(0.403002-0.233988))+0-487.8-0.248777999999951</f>
        <v>5443.5748079999994</v>
      </c>
      <c r="U136" s="3">
        <f>5644.9+(798.1-499.2)+(2.878899+(0.407031-0.254592))+0-558.8-0.284987999999943</f>
        <v>5387.7463499999985</v>
      </c>
      <c r="V136" s="3">
        <f>5483+(843.3-539.3)+(2.79633+(0.430083-0.275043))+0-523-0.266729999999947</f>
        <v>5266.6846399999995</v>
      </c>
      <c r="W136" s="3">
        <f>4589.9+(1261.8-303.1)+(0+(0-0))+0-522-0</f>
        <v>5026.5999999999995</v>
      </c>
      <c r="X136" s="3">
        <f>3190.9+(2150.1-224.7)+(-1.627359+(-1.096551--0.114597))+0-519.3--0.264842999999947</f>
        <v>4594.65553</v>
      </c>
      <c r="Y136" s="3">
        <f>3059.8+(1896.2-191.3)+(4.681494+(2.901186-0.292689))+0-513.4-0.78550200000003</f>
        <v>4257.804489000001</v>
      </c>
      <c r="Z136" s="3">
        <f>3464.2+(1942.1-218.2)+(1.766742+(0.990471-0.111282))+0-618.5-0.315434999999937</f>
        <v>4571.9304959999999</v>
      </c>
      <c r="AA136" s="3">
        <f>3824+(1925.2-237.5)+(-5.85072+(-2.945556--0.363375))+0-444.3--0.679779000000026</f>
        <v>5059.6468779999996</v>
      </c>
      <c r="AB136" s="3">
        <f>3669.6+(2257.4-225.6)+(-3.742992+(-2.302548--0.230112))+0-542.1--0.552942000000086</f>
        <v>5154.0375139999996</v>
      </c>
      <c r="AC136" s="3">
        <f>3518.3+(2341.7-198.2)+(-8.971665+(-5.971335--0.50541))+0-450.1--1.14775499999993</f>
        <v>5198.4101649999993</v>
      </c>
      <c r="AD136">
        <f t="shared" si="2"/>
        <v>116191.867063</v>
      </c>
      <c r="AE136" s="3">
        <f>4078+(1877.8-269)+(0+(0-0))+0-414.2-0</f>
        <v>5272.6</v>
      </c>
    </row>
    <row r="137" spans="1:31" customFormat="1" x14ac:dyDescent="0.25">
      <c r="A137">
        <v>89</v>
      </c>
      <c r="B137">
        <v>5</v>
      </c>
      <c r="C137">
        <v>13</v>
      </c>
      <c r="D137">
        <v>5</v>
      </c>
      <c r="E137">
        <v>1</v>
      </c>
      <c r="F137" s="3">
        <f>3013.5+(2942-237.6)+(-3.07377+(-3.00084--0.242352))+0-493--0.502860000000079</f>
        <v>5219.5706019999998</v>
      </c>
      <c r="G137" s="3">
        <f>2924.9+(2930.8-221.4)+(-2.983398+(-2.989416--0.225828))+0-533.8--0.544476000000085</f>
        <v>5095.2974899999999</v>
      </c>
      <c r="H137" s="3">
        <f>2850.2+(2844.4-250.5)+(-1.453602+(-1.450644--0.127755))+0-467.5--0.238424999999953</f>
        <v>4974.0619340000003</v>
      </c>
      <c r="I137" s="3">
        <f>2827.4+(2793.7-234)+(-5.767896+(-5.699148--0.47736))+0-513.7--1.04794799999998</f>
        <v>4863.4582640000008</v>
      </c>
      <c r="J137" s="3">
        <f>2814.5+(2698.1-237.6)+(-7.176975+(-6.880155--0.60588))+0-484.6--1.23572999999993</f>
        <v>4778.1844799999999</v>
      </c>
      <c r="K137" s="3">
        <f>2852.2+(2583.6-231.3)+(-5.818488+(-5.270544--0.471852))+0-506.3--1.03285199999998</f>
        <v>4688.6156719999999</v>
      </c>
      <c r="L137" s="3">
        <f>2764.8+(2101.3-223.9)+(-5.640192+(-4.286652--0.456756))+0-483.9--0.987155999999979</f>
        <v>4149.8170680000012</v>
      </c>
      <c r="M137" s="3">
        <f>2969.2+(1881-237.8)+(3.028584+(1.91862-0.242556))+0-482.8-0.492456000000077</f>
        <v>4133.8121919999994</v>
      </c>
      <c r="N137" s="3">
        <f>3188+(1943.4-249.3)+(-1.62588+(-0.991134--0.127143))+0-494.3--0.25209299999995</f>
        <v>4385.5622220000005</v>
      </c>
      <c r="O137" s="3">
        <f>3250.1+(1706.8-245.9)+(-1.657551+(-0.870468--0.125409))+0-440.6--0.224705999999955</f>
        <v>4268.2220959999995</v>
      </c>
      <c r="P137" s="3">
        <f>3398.7+(1574.3-240.5)+(8.666685+(4.014465-0.613275))+0-405.4-1.03376999999994</f>
        <v>4338.1341050000001</v>
      </c>
      <c r="Q137" s="3">
        <f>3910.1+(1312.4-318.3)+(0+(0-0))+0-351.3-0</f>
        <v>4552.8999999999996</v>
      </c>
      <c r="R137" s="3">
        <f>4994.5+(978.6-462.1)+(5.09439+(0.998172-0.471342))+0-425.7-0.434214000000068</f>
        <v>5090.4870060000003</v>
      </c>
      <c r="S137" s="3">
        <f>5169.5+(970.7-397.5)+(-5.27289+(-0.990114--0.40545))+0-455.3--0.464406000000073</f>
        <v>5282.0068519999995</v>
      </c>
      <c r="T137" s="3">
        <f>5401.8+(816.7-457.2)+(0+(0-0))+0-342.2-0</f>
        <v>5419.1</v>
      </c>
      <c r="U137" s="3">
        <f>5466.1+(794.1-450.9)+(0+(0-0))+0-393.2-0</f>
        <v>5416.1</v>
      </c>
      <c r="V137" s="3">
        <f>5394.1+(915-475.1)+(-2.750991+(-0.46665--0.242301))+0-423.6--0.216035999999957</f>
        <v>5407.6406959999995</v>
      </c>
      <c r="W137" s="3">
        <f>4576.1+(1357.2-343.2)+(-4.667622+(-1.384344--0.350064))+0-380--0.387600000000061</f>
        <v>5204.7856980000006</v>
      </c>
      <c r="X137" s="3">
        <f>3441.9+(2138.6-241.8)+(-7.021476+(-4.362744--0.493272))+0-561.3--1.14505199999998</f>
        <v>4767.6541039999993</v>
      </c>
      <c r="Y137" s="3">
        <f>3270+(1828.5-223.5)+(-1.6677+(-0.932535--0.113985))+0-559.9--0.285548999999943</f>
        <v>4312.8992990000006</v>
      </c>
      <c r="Z137" s="3">
        <f>3694.3+(1760.8-290.6)+(-5.652279+(-2.694024--0.444618))+0-514.1--0.78657300000003</f>
        <v>4643.2848880000001</v>
      </c>
      <c r="AA137" s="3">
        <f>4270+(1653.8-288.4)+(-6.5331+(-2.530314--0.441252))+0-549.1--0.840123000000032</f>
        <v>5078.5179609999996</v>
      </c>
      <c r="AB137" s="3">
        <f>3963.1+(2033.2-247.2)+(2.021181+(1.036932-0.126072))+0-566.8-0.289067999999942</f>
        <v>5184.9429730000002</v>
      </c>
      <c r="AC137" s="3">
        <f>3741+(2319.5-224.1)+(-5.72373+(-3.548835--0.342873))+0-609.1--0.931923000000035</f>
        <v>5219.3022309999997</v>
      </c>
      <c r="AD137">
        <f t="shared" si="2"/>
        <v>116474.35783300002</v>
      </c>
      <c r="AE137" s="3">
        <f>4403+(1525.7-342.6)+(0+(0-0))+0-502.1-0</f>
        <v>5084</v>
      </c>
    </row>
    <row r="138" spans="1:31" customFormat="1" x14ac:dyDescent="0.25">
      <c r="A138">
        <v>89</v>
      </c>
      <c r="B138">
        <v>5</v>
      </c>
      <c r="C138">
        <v>14</v>
      </c>
      <c r="D138">
        <v>6</v>
      </c>
      <c r="E138">
        <v>1</v>
      </c>
      <c r="F138" s="3">
        <f>3159.9+(2827.7-220.6)+(-1.611549+(-1.442127--0.112506))+0-549--0.279989999999944</f>
        <v>5215.3388199999999</v>
      </c>
      <c r="G138" s="3">
        <f>3128+(2640.1-124.7)+(-1.59528+(-1.346451--0.063597))+0-527.4--0.268973999999946</f>
        <v>5113.39084</v>
      </c>
      <c r="H138" s="3">
        <f>2948.9+(2734.7-223.6)+(-3.007878+(-2.789394--0.228072))+0-515.6--0.525912000000082</f>
        <v>4939.3567119999998</v>
      </c>
      <c r="I138" s="3">
        <f>2790.3+(2891.8-219.8)+(-2.846106+(-2.949636--0.224196))+0-581.4--0.593028000000093</f>
        <v>4875.9214820000007</v>
      </c>
      <c r="J138" s="3">
        <f>2828.3+(2790.3-231.5)+(-5.769732+(-5.692212--0.47226))+0-583.9--1.19115599999997</f>
        <v>4793.4014720000005</v>
      </c>
      <c r="K138" s="3">
        <f>2931.1+(2469.8-219.2)+(-7.474305+(-6.29799--0.55896))+0-456.9--1.16509499999993</f>
        <v>4712.751760000001</v>
      </c>
      <c r="L138" s="3">
        <f>2815.7+(2368-222.5)+(-4.308021+(-3.62304--0.340425))+0-512.1--0.78351300000003</f>
        <v>4442.2928769999999</v>
      </c>
      <c r="M138" s="3">
        <f>2809+(2226.5-220.9)+(-1.43259+(-1.135515--0.112659))+0-613.5--0.312884999999938</f>
        <v>4198.9574390000007</v>
      </c>
      <c r="N138" s="3">
        <f>2961.1+(1827.3-129.6)+(1.510161+(0.931923-0.066096))+0-513.1-0.261680999999948</f>
        <v>4147.8143069999996</v>
      </c>
      <c r="O138" s="3">
        <f>3355.2+(1594.1-233.1)+(-1.711152+(-0.812991--0.118881))+0-541.1--0.275960999999945</f>
        <v>4172.9706989999995</v>
      </c>
      <c r="P138" s="3">
        <f>3657.8+(1424.1-253.2)+(1.865478+(0.726291-0.129132))+0-542-0.276419999999945</f>
        <v>4288.8862169999993</v>
      </c>
      <c r="Q138" s="3">
        <f>4349.7+(1092.9-368.4)+(-2.218347+(-0.557379--0.187884))+0-521.8--0.266117999999947</f>
        <v>4550.0782759999993</v>
      </c>
      <c r="R138" s="3">
        <f>4690.5+(985.8-261)+(0+(0-0))+0-539-0</f>
        <v>4876.3</v>
      </c>
      <c r="S138" s="3">
        <f>4946.3+(1078.3-163.9)+(-7.567839+(-1.649799--0.250767))+0-631.6--0.966348000000037</f>
        <v>5221.0994769999998</v>
      </c>
      <c r="T138" s="3">
        <f>5352+(929.9-301.7)+(0+(0-0))+0-565.8-0</f>
        <v>5414.4</v>
      </c>
      <c r="U138" s="3">
        <f>5697.7+(799.6-485.7)+(-14.529135+(-2.03898--1.238535))+0-608.8--1.55243999999991</f>
        <v>5389.0228599999991</v>
      </c>
      <c r="V138" s="3">
        <f>5215+(949.7-329.3)+(2.65965+(0.484347-0.167943))+0-485.2-0.247451999999951</f>
        <v>5352.928602</v>
      </c>
      <c r="W138" s="3">
        <f>4133+(1766-242.4)+(-6.32349+(-2.70198--0.370872))+0-530.5--0.811665000000031</f>
        <v>5118.2570670000005</v>
      </c>
      <c r="X138" s="3">
        <f>2951+(2488.4-238.5)+(-6.02004+(-5.076336--0.48654))+0-563.7--1.14994799999998</f>
        <v>4627.7401120000004</v>
      </c>
      <c r="Y138" s="3">
        <f>2969.9+(2152.3-231.8)+(-1.514649+(-1.097673--0.118218))+0-626.2--0.319361999999936</f>
        <v>4262.0252580000006</v>
      </c>
      <c r="Z138" s="3">
        <f>3538.1+(1857.3-225.2)+(-5.413293+(-2.841669--0.344556))+0-573.2--0.876996000000033</f>
        <v>4589.96659</v>
      </c>
      <c r="AA138" s="3">
        <f>3908.6+(2025.7-241.8)+(-5.980158+(-3.099321--0.369954))+0-575.3--0.880209000000033</f>
        <v>5109.3706839999995</v>
      </c>
      <c r="AB138" s="3">
        <f>3940.4+(2028.3-242)+(-8.038416+(-4.137732--0.49368))+0-567.4--1.15749599999998</f>
        <v>5148.775028</v>
      </c>
      <c r="AC138" s="3">
        <f>3609+(2364.3-234.1)+(-1.84059+(-1.205793--0.119391))+0-556.6--0.283865999999944</f>
        <v>5179.9568740000004</v>
      </c>
      <c r="AD138">
        <f t="shared" si="2"/>
        <v>115741.00345299998</v>
      </c>
      <c r="AE138" s="3">
        <f>3972+(1943.6-251.6)+(0+(0-0))+0-549.1-0</f>
        <v>5114.8999999999996</v>
      </c>
    </row>
    <row r="139" spans="1:31" customFormat="1" x14ac:dyDescent="0.25">
      <c r="A139">
        <v>89</v>
      </c>
      <c r="B139">
        <v>5</v>
      </c>
      <c r="C139">
        <v>15</v>
      </c>
      <c r="D139">
        <v>7</v>
      </c>
      <c r="E139">
        <v>1</v>
      </c>
      <c r="F139" s="3">
        <f>3340.5+(2747.6-233.2)+(-5.110965+(-4.203828--0.356796))+0-629.4--0.962982000000036</f>
        <v>5217.5049849999996</v>
      </c>
      <c r="G139" s="3">
        <f>3248.6+(2564.6-223.5)+(-4.970358+(-3.923838--0.341955))+0-501--0.766530000000029</f>
        <v>5080.9142889999994</v>
      </c>
      <c r="H139" s="3">
        <f>3066.7+(2723.2-226.8)+(0+(0-0))+0-538.1-0</f>
        <v>5024.9999999999991</v>
      </c>
      <c r="I139" s="3">
        <f>2862.3+(2751.8-224)+(-4.379319+(-4.210254--0.34272))+0-564--0.862920000000033</f>
        <v>4818.7160670000012</v>
      </c>
      <c r="J139" s="3">
        <f>2862.3+(2743.8-212.1)+(-1.459773+(-1.399338--0.108171))+0-595.7--0.30380699999994</f>
        <v>4795.8528670000005</v>
      </c>
      <c r="K139" s="3">
        <f>2807.3+(2702.4-227.6)+(-7.158615+(-6.89112--0.58038))+0-579.6--1.47797999999992</f>
        <v>4690.5086249999995</v>
      </c>
      <c r="L139" s="3">
        <f>2736.2+(2406.3-224.8)+(-6.97731+(-6.136065--0.57324))+0-432.4--1.10261999999994</f>
        <v>4473.8624849999997</v>
      </c>
      <c r="M139" s="3">
        <f>2759.1+(2256.2-222.6)+(0+(0-0))+0-605.1-0</f>
        <v>4187.5999999999995</v>
      </c>
      <c r="N139" s="3">
        <f>2757.5+(2110-236.3)+(-5.6253+(-4.3044--0.482052))+0-500.4--1.02081599999998</f>
        <v>4122.3731680000001</v>
      </c>
      <c r="O139" s="3">
        <f>2974.3+(2019.4-209.7)+(3.033786+(2.059788-0.213894))+0-613.9-0.626178000000098</f>
        <v>4174.3535019999999</v>
      </c>
      <c r="P139" s="3">
        <f>3081.6+(1969.5-255.1)+(0+(0-0))+0-597.8-0</f>
        <v>4198.2</v>
      </c>
      <c r="Q139" s="3">
        <f>3476.1+(1735.2-249.3)+(-1.772811+(-0.884952--0.127143))+0-500.3--0.255152999999949</f>
        <v>4459.4245329999994</v>
      </c>
      <c r="R139" s="3">
        <f>4338.9+(1321.5-293.8)+(-6.638517+(-2.021895--0.449514))+0-541.3--0.828189000000031</f>
        <v>4817.9172909999988</v>
      </c>
      <c r="S139" s="3">
        <f>4855.3+(1204.5-319)+(-2.476203+(-0.614295--0.16269))+0-570.7--0.291056999999942</f>
        <v>5167.4632490000004</v>
      </c>
      <c r="T139" s="3">
        <f>4822.4+(1352.2-263.8)+(-7.378272+(-2.068866--0.403614))+0-584.2--0.893826000000034</f>
        <v>5318.4503020000002</v>
      </c>
      <c r="U139" s="3">
        <f>4776.6+(1340.9-240.2)+(-2.436066+(-0.683859--0.122502))+0-546--0.278459999999945</f>
        <v>5328.5810369999999</v>
      </c>
      <c r="V139" s="3">
        <f>4765.4+(1279.8-221.5)+(-12.15177+(-3.26349--0.564825))+0-489.4--1.24796999999993</f>
        <v>5320.6975350000002</v>
      </c>
      <c r="W139" s="3">
        <f>4204.8+(1756.1-241.8)+(-10.72224+(-4.478055--0.61659))+0-588.8--1.50143999999991</f>
        <v>5117.2177350000002</v>
      </c>
      <c r="X139" s="3">
        <f>3103.6+(2221.6-243.5)+(-4.748508+(-3.399048--0.372555))+0-464.6--0.710838000000027</f>
        <v>4610.0358369999994</v>
      </c>
      <c r="Y139" s="3">
        <f>3133.4+(2046.7-235.1)+(0+(0-0))+0-633.3-0</f>
        <v>4311.7</v>
      </c>
      <c r="Z139" s="3">
        <f>4437.1+(1081.6-261)+(2.262921+(0.551616-0.13311))+0-571.6-0.291515999999942</f>
        <v>4688.4899110000006</v>
      </c>
      <c r="AA139" s="3">
        <f>4841.4+(1017.3-380.9)+(-2.469114+(-0.518823--0.194259))+0-522.5--0.266474999999947</f>
        <v>4952.7727969999996</v>
      </c>
      <c r="AB139" s="3">
        <f>4392.7+(1519.1-253.1)+(0+(0-0))+0-652.9-0</f>
        <v>5005.8</v>
      </c>
      <c r="AC139" s="3">
        <f>4571.3+(1619.3-240.5)+(-6.994089+(-2.477529--0.367965))+0-641.5--0.981495000000037</f>
        <v>5300.4778420000002</v>
      </c>
      <c r="AD139">
        <f t="shared" si="2"/>
        <v>115183.91405699999</v>
      </c>
      <c r="AE139" s="3">
        <f>4982+(1245-307.6)+(0+(0-0))+0-643.9-0</f>
        <v>5275.5</v>
      </c>
    </row>
    <row r="140" spans="1:31" customFormat="1" x14ac:dyDescent="0.25">
      <c r="A140">
        <v>89</v>
      </c>
      <c r="B140">
        <v>5</v>
      </c>
      <c r="C140">
        <v>16</v>
      </c>
      <c r="D140">
        <v>1</v>
      </c>
      <c r="E140">
        <v>1</v>
      </c>
      <c r="F140" s="3">
        <f>3684.6+(2384.7-241.9)+(-1.879146+(-1.216197--0.123369))+0-582--0.296819999999941</f>
        <v>5242.7248459999992</v>
      </c>
      <c r="G140" s="3">
        <f>3112.7+(2928.7-217.7)+(-1.587477+(-1.493637--0.111027))+0-636.5--0.324614999999935</f>
        <v>5184.5545279999997</v>
      </c>
      <c r="H140" s="3">
        <f>2710.8+(3067.3-210.3)+(-1.382508+(-1.564323--0.107253))+0-534.3--0.272492999999946</f>
        <v>5030.9329150000003</v>
      </c>
      <c r="I140" s="3">
        <f>2689.6+(3088.8-217.9)+(-2.743392+(-3.150576--0.222258))+0-636.7--0.649434000000102</f>
        <v>4918.7777240000005</v>
      </c>
      <c r="J140" s="3">
        <f>2624.8+(3056.8-253.5)+(-4.015944+(-4.676904--0.387855))+0-600.9--0.919377000000035</f>
        <v>4819.8143840000012</v>
      </c>
      <c r="K140" s="3">
        <f>2564.3+(2997.4-235.8)+(-3.923379+(-4.586022--0.360774))+0-543.6--0.831708000000031</f>
        <v>4774.9830809999994</v>
      </c>
      <c r="L140" s="3">
        <f>2551.6+(2850.3-245.9)+(-6.50658+(-7.268265--0.627045))+0-621.6--1.58507999999991</f>
        <v>4522.8372799999997</v>
      </c>
      <c r="M140" s="3">
        <f>2729.4+(2305.7-250.4)+(0+(0-0))+0-481.8-0</f>
        <v>4302.8999999999996</v>
      </c>
      <c r="N140" s="3">
        <f>2784.1+(2146.1-243.9)+(-1.419891+(-1.094511--0.124389))+0-485.3--0.247502999999951</f>
        <v>4198.8574899999985</v>
      </c>
      <c r="O140" s="3">
        <f>2743.8+(2451.6-251)+(0+(0-0))+0-579.6-0</f>
        <v>4364.7999999999993</v>
      </c>
      <c r="P140" s="3">
        <f>3419.2+(1814.6-248.6)+(1.743792+(0.925446-0.126786))+0-572-0.291719999999942</f>
        <v>4415.4507319999993</v>
      </c>
      <c r="Q140" s="3">
        <f>4319.1+(1375.1-321.4)+(-2.202741+(-0.701301--0.163914))+0-553.2--0.282131999999944</f>
        <v>4817.1420040000003</v>
      </c>
      <c r="R140" s="3">
        <f>5265.7+(999.9-420.2)+(2.685507+(0.509949-0.214302))+0-577.1-0.294320999999941</f>
        <v>5270.986832999999</v>
      </c>
      <c r="S140" s="3">
        <f>5560.2+(804-354.6)+(-8.507106+(-1.23012--0.542538))+0-472.3--0.722619000000027</f>
        <v>5528.8279309999998</v>
      </c>
      <c r="T140" s="3">
        <f>6014.6+(564.9-416.7)+(0+(0-0))+0-388.3-0</f>
        <v>5774.5</v>
      </c>
      <c r="U140" s="3">
        <f>6274.6+(623.7-651.7)+(0+(0-0))+0-538.9-0</f>
        <v>5707.7000000000007</v>
      </c>
      <c r="V140" s="3">
        <f>6472.5+(468.3-782.1)+(-13.2039+(-0.955332--1.595484))+0-494.2--1.00816799999998</f>
        <v>5652.9444200000007</v>
      </c>
      <c r="W140" s="3">
        <f>5365.3+(1053.7-392.5)+(-5.472606+(-1.074774--0.40035))+0-517.2--0.527544000000083</f>
        <v>5503.6805140000006</v>
      </c>
      <c r="X140" s="3">
        <f>3879.6+(1985.3-220.7)+(-5.935788+(-3.037509--0.337671))+0-569.6--0.871488000000033</f>
        <v>5066.835861999999</v>
      </c>
      <c r="Y140" s="3">
        <f>3106.7+(2194.4-220)+(0+(0-0))+0-497.5-0</f>
        <v>4583.6000000000004</v>
      </c>
      <c r="Z140" s="3">
        <f>4234.8+(1403.3-209.9)+(0+(0-0))+0-492.1-0</f>
        <v>4936.0999999999995</v>
      </c>
      <c r="AA140" s="3">
        <f>5053.5+(1330.9-452.6)+(0+(0-0))+0-511.3-0</f>
        <v>5420.5</v>
      </c>
      <c r="AB140" s="3">
        <f>4419.6+(1775.9-234.3)+(4.507992+(1.811418-0.238986))+0-498-0.507960000000079</f>
        <v>5468.7724640000006</v>
      </c>
      <c r="AC140" s="3">
        <f>4074.7+(2220.8-220.2)+(-2.078097+(-1.132608--0.112302))+0-595.5--0.30370499999994</f>
        <v>5477.0053020000005</v>
      </c>
      <c r="AD140">
        <f t="shared" si="2"/>
        <v>120985.22831000001</v>
      </c>
      <c r="AE140" s="3">
        <f>5198+(1284-420.9)+(0+(0-0))+0-488.8-0</f>
        <v>5572.3</v>
      </c>
    </row>
    <row r="141" spans="1:31" customFormat="1" x14ac:dyDescent="0.25">
      <c r="A141">
        <v>89</v>
      </c>
      <c r="B141">
        <v>5</v>
      </c>
      <c r="C141">
        <v>17</v>
      </c>
      <c r="D141">
        <v>2</v>
      </c>
      <c r="E141">
        <v>1</v>
      </c>
      <c r="F141" s="3">
        <f>3315.4+(2804.2-233.9)+(-6.763416+(-5.720568--0.477156))+0-425.3--0.867611999999982</f>
        <v>5449.2607840000001</v>
      </c>
      <c r="G141" s="3">
        <f>3233.1+(2802.9-241.1)+(-1.648881+(-1.429479--0.122961))+0-536.1--0.273410999999946</f>
        <v>5256.118011999999</v>
      </c>
      <c r="H141" s="3">
        <f>3139.8+(2818.4-218.8)+(0+(0-0))+0-621.2-0</f>
        <v>5118.2</v>
      </c>
      <c r="I141" s="3">
        <f>3020.6+(2764-220.9)+(-4.621518+(-4.22892--0.337977))+0-519.8--0.79529400000003</f>
        <v>5036.1828329999998</v>
      </c>
      <c r="J141" s="3">
        <f>2965.7+(2860-254.4)+(-3.025014+(-2.9172--0.259488))+0-578.4--0.589968000000092</f>
        <v>4987.8072419999999</v>
      </c>
      <c r="K141" s="3">
        <f>2867.1+(2832.3-247.5)+(-2.924442+(-2.888946--0.25245))+0-520.5--0.530910000000083</f>
        <v>4926.3699720000004</v>
      </c>
      <c r="L141" s="3">
        <f>2771.8+(2671.3-230.6)+(-5.654472+(-5.449452--0.470424))+0-468.4--0.95553599999998</f>
        <v>4734.4220360000008</v>
      </c>
      <c r="M141" s="3">
        <f>2968.7+(2335.5-234.2)+(0+(0-0))+0-577.9-0</f>
        <v>4492.1000000000004</v>
      </c>
      <c r="N141" s="3">
        <f>3093.9+(2054.9-253.6)+(-1.577889+(-1.047999--0.129336))+0-516.6--0.263465999999948</f>
        <v>4376.3669140000011</v>
      </c>
      <c r="O141" s="3">
        <f>3235.2+(1859.5-233.8)+(-4.949856+(-2.845035--0.357714))+0-427.5--0.654075000000025</f>
        <v>4426.6168980000002</v>
      </c>
      <c r="P141" s="3">
        <f>3428.5+(1851.6-203.9)+(0+(0-0))+0-495.9-0</f>
        <v>4580.3</v>
      </c>
      <c r="Q141" s="3">
        <f>4159.8+(1422-203)+(0+(0-0))+0-460.7-0</f>
        <v>4918.1000000000004</v>
      </c>
      <c r="R141" s="3">
        <f>5040.5+(1165.5-213)+(2.570655+(0.594405-0.10863))+0-533.1-0.271880999999946</f>
        <v>5462.6845489999996</v>
      </c>
      <c r="S141" s="3">
        <f>5184.7+(1262.3-212.3)+(-2.644197+(-0.643773--0.108273))+0-542.8--0.276827999999945</f>
        <v>5688.9971310000001</v>
      </c>
      <c r="T141" s="3">
        <f>5737.2+(876-307.9)+(2.925972+(0.44676-0.157029))+0-514.4-0.262343999999948</f>
        <v>5793.8533590000006</v>
      </c>
      <c r="U141" s="3">
        <f>5696.6+(747-265.5)+(-2.905266+(-0.38097--0.135405))+0-388.8--0.198287999999961</f>
        <v>5786.3474569999998</v>
      </c>
      <c r="V141" s="3">
        <f>5682.6+(798.5-265.3)+(-2.898126+(-0.407235--0.135303))+0-485.9--0.247808999999951</f>
        <v>5726.9777510000004</v>
      </c>
      <c r="W141" s="3">
        <f>4800.7+(1613.1-221.1)+(-7.345071+(-2.468043--0.338283))+0-520.4--0.79621200000003</f>
        <v>5663.6213809999999</v>
      </c>
      <c r="X141" s="3">
        <f>3360+(2489.1-197.9)+(-8.568+(-6.347205--0.504645))+0-551.2--1.40555999999992</f>
        <v>5086.9949999999999</v>
      </c>
      <c r="Y141" s="3">
        <f>2898.7+(2409.6-203.7)+(-2.956674+(-2.457792--0.207774))+0-443.4--0.452268000000071</f>
        <v>4656.445576000001</v>
      </c>
      <c r="Z141" s="3">
        <f>4051.1+(1791.3-218)+(-2.066061+(-0.913563--0.11118))+0-602.3--0.307172999999939</f>
        <v>5019.5387289999999</v>
      </c>
      <c r="AA141" s="3">
        <f>4665.4+(1553-213.8)+(-7.138062+(-2.37609--0.327114))+0-477.2--0.730116000000028</f>
        <v>5518.9430779999993</v>
      </c>
      <c r="AB141" s="3">
        <f>4359+(1882-205.3)+(0+(0-0))+0-502.5-0</f>
        <v>5533.2</v>
      </c>
      <c r="AC141" s="3">
        <f>4196.2+(2176.4-226.8)+(-4.280124+(-2.219928--0.231336))+0-482.6--0.492252000000077</f>
        <v>5657.4235360000002</v>
      </c>
      <c r="AD141">
        <f t="shared" si="2"/>
        <v>123896.872238</v>
      </c>
      <c r="AE141" s="3">
        <f>4966+(1219.6-253.2)+(0+(0-0))+0-493.8-0</f>
        <v>5438.5999999999995</v>
      </c>
    </row>
    <row r="142" spans="1:31" customFormat="1" x14ac:dyDescent="0.25">
      <c r="A142">
        <v>89</v>
      </c>
      <c r="B142">
        <v>5</v>
      </c>
      <c r="C142">
        <v>18</v>
      </c>
      <c r="D142">
        <v>3</v>
      </c>
      <c r="E142">
        <v>1</v>
      </c>
      <c r="F142" s="3">
        <f>3799.2+(2503-221.8)+(-9.68796+(-6.38265--0.56559))+0-564.8--1.44023999999992</f>
        <v>5501.5352199999998</v>
      </c>
      <c r="G142" s="3">
        <f>3675.9+(2453.7-227.4)+(-3.749418+(-2.502774--0.231948))+0-501--0.51102000000008</f>
        <v>5395.6907759999995</v>
      </c>
      <c r="H142" s="3">
        <f>3433.3+(2704.5-237.9)+(-1.750983+(-1.379295--0.121329))+0-648.6--0.330785999999934</f>
        <v>5248.6218369999988</v>
      </c>
      <c r="I142" s="3">
        <f>3211.6+(2629.4-223.2)+(1.637916+(1.340994-0.113832))+0-481.9-0.245768999999951</f>
        <v>5138.5193090000002</v>
      </c>
      <c r="J142" s="3">
        <f>3054.6+(2873.6-230.8)+(4.673538+(4.396608-0.353124))+0-602.8-0.922284000000035</f>
        <v>5102.3947379999991</v>
      </c>
      <c r="K142" s="3">
        <f>2904.3+(2875.1-225.4)+(-1.481193+(-1.466301--0.114954))+0-508.6--0.259385999999948</f>
        <v>5042.826845999999</v>
      </c>
      <c r="L142" s="3">
        <f>2893.4+(2656-231.8)+(-4.426902+(-4.06368--0.354654))+0-495.9--0.758727000000029</f>
        <v>4814.3227990000014</v>
      </c>
      <c r="M142" s="3">
        <f>2990.5+(2454.6-237.9)+(0+(0-0))+0-545.5-0</f>
        <v>4661.7</v>
      </c>
      <c r="N142" s="3">
        <f>3023.4+(2481.3-240)+(3.083868+(2.530926-0.2448))+0-541.2-0.552024000000086</f>
        <v>4728.3179700000001</v>
      </c>
      <c r="O142" s="3">
        <f>3039.9+(2392-237)+(-3.100698+(-2.43984--0.24174))+0-537.6--0.548352000000086</f>
        <v>4652.5495539999993</v>
      </c>
      <c r="P142" s="3">
        <f>3675.1+(1869.2-261)+(5.622903+(2.859876-0.39933))+0-526.5-0.80554500000003</f>
        <v>4764.0779039999998</v>
      </c>
      <c r="Q142" s="3">
        <f>4772.5+(1103.8-231.4)+(2.433975+(0.562938-0.118014))+0-545.5-0.278204999999945</f>
        <v>5102.0006940000003</v>
      </c>
      <c r="R142" s="3">
        <f>5562.8+(836.1-403.7)+(-5.674056+(-0.852822--0.411774))+0-543--0.553860000000087</f>
        <v>5446.6387559999994</v>
      </c>
      <c r="S142" s="3">
        <f>5795.7+(741.5-363.5)+(2.955807+(0.378165-0.185385))+0-565.7-0.288506999999943</f>
        <v>5610.8600799999995</v>
      </c>
      <c r="T142" s="3">
        <f>6285.5+(520.1-542.2)+(0+(0-0))+0-514.8-0</f>
        <v>5748.5999999999995</v>
      </c>
      <c r="U142" s="3">
        <f>6289+(540.4-670.8)+(0+(0-0))+0-422.3-0</f>
        <v>5736.3</v>
      </c>
      <c r="V142" s="3">
        <f>6014.9+(620.1-454.8)+(-3.067599+(-0.316251--0.231948))+0-475.9--0.242708999999952</f>
        <v>5701.3908070000007</v>
      </c>
      <c r="W142" s="3">
        <f>5033.2+(1143.4-254.6)+(-5.133864+(-1.166268--0.259692))+0-479.6--0.489192000000077</f>
        <v>5436.8487519999999</v>
      </c>
      <c r="X142" s="3">
        <f>3450.9+(2227.6-254)+(-8.799795+(-5.68038--0.6477))+0-404.7--1.03198499999994</f>
        <v>5006.9995099999996</v>
      </c>
      <c r="Y142" s="3">
        <f>3002.2+(2272.8-246.3)+(-3.062244+(-2.318256--0.251226))+0-434.9--0.443598000000069</f>
        <v>4589.1143240000001</v>
      </c>
      <c r="Z142" s="3">
        <f>4200.9+(1596.2-296.2)+(-2.142459+(-0.814062--0.151062))+0-519.6--0.264995999999947</f>
        <v>4978.759536999999</v>
      </c>
      <c r="AA142" s="3">
        <f>5106.9+(1003.1-330.1)+(-10.418076+(-2.046324--0.673404))+0-388.6--0.792743999999983</f>
        <v>5380.3017479999999</v>
      </c>
      <c r="AB142" s="3">
        <f>4468.3+(1652.4-259.7)+(-4.557666+(-1.685448--0.264894))+0-424.6--0.433092000000068</f>
        <v>5430.8548719999999</v>
      </c>
      <c r="AC142" s="3">
        <f>4217.8+(1976.3-231.4)+(-4.302156+(-2.015826--0.236028))+0-491.7--0.501534000000078</f>
        <v>5465.4195799999998</v>
      </c>
      <c r="AD142">
        <f t="shared" si="2"/>
        <v>124684.645613</v>
      </c>
      <c r="AE142" s="3">
        <f>5185+(958.4-365.9)+(0+(0-0))+0-351.9-0</f>
        <v>5425.6</v>
      </c>
    </row>
    <row r="143" spans="1:31" customFormat="1" x14ac:dyDescent="0.25">
      <c r="A143">
        <v>89</v>
      </c>
      <c r="B143">
        <v>5</v>
      </c>
      <c r="C143">
        <v>19</v>
      </c>
      <c r="D143">
        <v>4</v>
      </c>
      <c r="E143">
        <v>1</v>
      </c>
      <c r="F143" s="3">
        <f>3471.7+(2691.9-235.5)+(-3.541134+(-2.745738--0.24021))+0-471.1--0.480522000000075</f>
        <v>5451.4338600000001</v>
      </c>
      <c r="G143" s="3">
        <f>3330.6+(2823.4-215)+(-3.397212+(-2.879868--0.2193))+0-607.9--0.620058000000097</f>
        <v>5325.6622780000007</v>
      </c>
      <c r="H143" s="3">
        <f>2962.9+(2941.9-222)+(-6.044316+(-6.001476--0.45288))+0-542.6--1.10690399999998</f>
        <v>5129.713992</v>
      </c>
      <c r="I143" s="3">
        <f>2827.8+(2995.8-216.3)+(1.442178+(1.527858-0.110313))+0-541.9-0.276368999999945</f>
        <v>5067.983354</v>
      </c>
      <c r="J143" s="3">
        <f>2874.1+(2837.5-235.7)+(5.863164+(5.7885-0.480828))+0-524.1-1.06916399999998</f>
        <v>4961.901672</v>
      </c>
      <c r="K143" s="3">
        <f>2760.9+(2884.9-225.8)+(2.816118+(2.942598-0.230316))+0-485.2-0.494904000000077</f>
        <v>4939.8334960000002</v>
      </c>
      <c r="L143" s="3">
        <f>2635.6+(2765.5-231.9)+(-2.688312+(-2.82081--0.236538))+0-406.4--0.414528000000065</f>
        <v>4757.9419440000001</v>
      </c>
      <c r="M143" s="3">
        <f>2767.2+(2582.4-225.2)+(2.822544+(2.634048-0.229704))+0-530.4-0.541008000000085</f>
        <v>4598.68588</v>
      </c>
      <c r="N143" s="3">
        <f>2843+(2472.2-227.6)+(4.34979+(3.782466-0.348228))+0-512.3-0.78381900000003</f>
        <v>4582.300209</v>
      </c>
      <c r="O143" s="3">
        <f>2917.6+(2319-221.6)+(5.951904+(4.73076-0.452064))+0-422.4-0.861695999999981</f>
        <v>4601.9689040000003</v>
      </c>
      <c r="P143" s="3">
        <f>3532.7+(2035.2-236.2)+(3.603354+(2.075904-0.240924))+0-595.8-0.607716000000095</f>
        <v>4740.7306179999996</v>
      </c>
      <c r="Q143" s="3">
        <f>4331.6+(1476.4-278.8)+(0+(0-0))+0-496.1-0</f>
        <v>5033.1000000000004</v>
      </c>
      <c r="R143" s="3">
        <f>5237.9+(986.5-340.1)+(2.671329+(0.503115-0.173451))+0-379.7-0.193646999999961</f>
        <v>5507.4073459999991</v>
      </c>
      <c r="S143" s="3">
        <f>5954.3+(740.5-392.2)+(0+(0-0))+0-580.1-0</f>
        <v>5722.5</v>
      </c>
      <c r="T143" s="3">
        <f>6259.8+(617.3-541.6)+(0+(0-0))+0-538.2-0</f>
        <v>5797.3</v>
      </c>
      <c r="U143" s="3">
        <f>6326.8+(496.3-639.4)+(3.226668+(0.253113-0.326094))+0-403.3-0.205682999999959</f>
        <v>5783.3480039999995</v>
      </c>
      <c r="V143" s="3">
        <f>6370.8+(573.4-605)+(6.498216+(0.584868-0.6171))+0-560.5-0.571710000000089</f>
        <v>5784.594274</v>
      </c>
      <c r="W143" s="3">
        <f>5461.6+(894.3-302.2)+(-11.141664+(-1.824372--0.616488))+0-556.7--1.13566799999998</f>
        <v>5485.7861200000007</v>
      </c>
      <c r="X143" s="3">
        <f>3466.2+(2197.2-220.3)+(-8.83881+(-5.60286--0.561765))+0-450.5--1.14877499999993</f>
        <v>4979.8688699999993</v>
      </c>
      <c r="Y143" s="3">
        <f>3289.2+(2042.2-154.2)+(3.354984+(2.083044-0.157284))+0-510.5-0.520710000000081</f>
        <v>4671.4600339999997</v>
      </c>
      <c r="Z143" s="3">
        <f>4689.2+(1166.8-237.2)+(0+(0-0))+0-453.1-0</f>
        <v>5165.6999999999989</v>
      </c>
      <c r="AA143" s="3">
        <f>5272.5+(964.2-269.3)+(-5.37795+(-0.983484--0.274686))+0-520.8--0.531216000000083</f>
        <v>5441.0444680000001</v>
      </c>
      <c r="AB143" s="3">
        <f>4719.7+(1426.1-231.3)+(-2.407047+(-0.727311--0.117963))+0-498.6--0.254285999999949</f>
        <v>5413.1378910000003</v>
      </c>
      <c r="AC143" s="3">
        <f>4404+(1918.4-221.4)+(-8.98416+(-3.913536--0.451656))+0-555.4--1.13301599999998</f>
        <v>5534.2869760000003</v>
      </c>
      <c r="AD143">
        <f t="shared" si="2"/>
        <v>124477.69019000001</v>
      </c>
      <c r="AE143" s="3">
        <f>5492+(800.5-373.1)+(0+(0-0))+0-531.8-0</f>
        <v>5387.5999999999995</v>
      </c>
    </row>
    <row r="144" spans="1:31" customFormat="1" x14ac:dyDescent="0.25">
      <c r="A144">
        <v>89</v>
      </c>
      <c r="B144">
        <v>5</v>
      </c>
      <c r="C144">
        <v>20</v>
      </c>
      <c r="D144">
        <v>5</v>
      </c>
      <c r="E144">
        <v>1</v>
      </c>
      <c r="F144" s="3">
        <f>3428.3+(2792.8-187.2)+(-6.993732+(-5.697312--0.381888))+0-478.3--0.975731999999979</f>
        <v>5544.266576</v>
      </c>
      <c r="G144" s="3">
        <f>3126+(2935.5-200.5)+(-4.78278+(-4.491315--0.306765))+0-425.4--0.650862000000025</f>
        <v>5427.2835320000004</v>
      </c>
      <c r="H144" s="3">
        <f>3179.3+(2802-198.7)+(-6.485772+(-5.71608--0.405348))+0-508.1--1.03652399999998</f>
        <v>5263.7400200000002</v>
      </c>
      <c r="I144" s="3">
        <f>2998.4+(2831.2-199.2)+(-7.64592+(-7.21956--0.50796))+0-437.8--1.11638999999994</f>
        <v>5179.35887</v>
      </c>
      <c r="J144" s="3">
        <f>2908.4+(2933.6-201.9)+(-8.899704+(-8.976816--0.617814))+0-487.1--1.49052600000006</f>
        <v>5137.2318200000009</v>
      </c>
      <c r="K144" s="3">
        <f>2854.5+(2881.4-201.4)+(-5.82318+(-5.878056--0.410856))+0-470.4--0.959615999999979</f>
        <v>5053.7692360000001</v>
      </c>
      <c r="L144" s="3">
        <f>2823.5+(2641.9-192.5)+(-8.63991+(-8.084214--0.58905))+0-421.2--1.28887200000005</f>
        <v>4836.8537980000001</v>
      </c>
      <c r="M144" s="3">
        <f>2925.2+(2494.9-239)+(-4.475556+(-3.817197--0.36567))+0-495.1--0.757503000000029</f>
        <v>4678.8304200000002</v>
      </c>
      <c r="N144" s="3">
        <f>2820.7+(2452.3-251.6)+(0+(0-0))+0-431.7-0</f>
        <v>4589.7</v>
      </c>
      <c r="O144" s="3">
        <f>2934.8+(2369.4-249.2)+(-1.496748+(-1.208394--0.127092))+0-394.8--0.20134799999996</f>
        <v>4657.8232979999993</v>
      </c>
      <c r="P144" s="3">
        <f>3517.5+(1996.9-264)+(5.381775+(3.055257-0.40392))+0-471.8-0.721854000000027</f>
        <v>4785.9112579999992</v>
      </c>
      <c r="Q144" s="3">
        <f>4367.1+(1368.6-259.6)+(-2.227221+(-0.697986--0.132396))+0-392--0.19991999999996</f>
        <v>5081.5071090000001</v>
      </c>
      <c r="R144" s="3">
        <f>5317.2+(906.7-339.3)+(2.711772+(0.462417-0.173043))+0-443.9-0.226388999999955</f>
        <v>5443.474757</v>
      </c>
      <c r="S144" s="3">
        <f>5801.8+(770.7-387.2)+(0+(0-0))+0-495.5-0</f>
        <v>5689.8</v>
      </c>
      <c r="T144" s="3">
        <f>6531.3+(570.1-596.5)+(3.330963+(0.290751-0.304215))+0-566.3-0.288812999999943</f>
        <v>5941.628686</v>
      </c>
      <c r="U144" s="3">
        <f>6402.8+(473.4-628.6)+(0+(0-0))+0-496.3-0</f>
        <v>5751.3</v>
      </c>
      <c r="V144" s="3">
        <f>6633.8+(521.2-901.3)+(-13.532952+(-1.063248--1.838652))+0-463.9--0.94635599999998</f>
        <v>5777.9888080000019</v>
      </c>
      <c r="W144" s="3">
        <f>5755.4+(847.4-435.4)+(-11.741016+(-1.728696--0.888216))+0-548.9--1.11975599999998</f>
        <v>5607.0382600000003</v>
      </c>
      <c r="X144" s="3">
        <f>4141.3+(1778.3-231.6)+(-12.672378+(-5.441598--0.708696))+0-576.5--1.76409000000007</f>
        <v>5095.8588099999997</v>
      </c>
      <c r="Y144" s="3">
        <f>3381.9+(2118.5-239.1)+(1.724769+(1.080435-0.121941))+0-496.2-0.25306199999995</f>
        <v>4767.5302010000005</v>
      </c>
      <c r="Z144" s="3">
        <f>5718.6+(651.7-577.8)+(5.832972+(0.664734-0.589356))+0-555.8-0.566916000000089</f>
        <v>5242.0414339999998</v>
      </c>
      <c r="AA144" s="3">
        <f>6478.1+(553-939.7)+(-9.911493+(-0.84609--1.437741))+0-501.2--0.766836000000029</f>
        <v>5581.6469940000006</v>
      </c>
      <c r="AB144" s="3">
        <f>5948.1+(658.1-537)+(0+(0-0))+0-499.1-0</f>
        <v>5570.1</v>
      </c>
      <c r="AC144" s="3">
        <f>5139.8+(1154-264.1)+(-7.863894+(-1.76562--0.404073))+0-463.6--0.709308000000027</f>
        <v>5557.5838670000003</v>
      </c>
      <c r="AD144">
        <f t="shared" si="2"/>
        <v>126262.267754</v>
      </c>
      <c r="AE144" s="3">
        <f>6925+(543.5-1213.7)+(0+(0-0))+0-624.8-0</f>
        <v>5630</v>
      </c>
    </row>
    <row r="145" spans="1:31" customFormat="1" x14ac:dyDescent="0.25">
      <c r="A145">
        <v>89</v>
      </c>
      <c r="B145">
        <v>5</v>
      </c>
      <c r="C145">
        <v>21</v>
      </c>
      <c r="D145">
        <v>6</v>
      </c>
      <c r="E145">
        <v>8</v>
      </c>
      <c r="F145" s="3">
        <f>4039.5+(2254.3-237)+(-8.24058+(-4.598772--0.48348))+0-553--1.12811999999998</f>
        <v>5492.5722480000004</v>
      </c>
      <c r="G145" s="3">
        <f>3206.6+(2837-229)+(-6.541464+(-5.78748--0.46716))+0-429.6--0.876383999999981</f>
        <v>5374.0146000000004</v>
      </c>
      <c r="H145" s="3">
        <f>3100.3+(2844.2-212.3)+(0+(0-0))+0-480.3-0</f>
        <v>5251.9</v>
      </c>
      <c r="I145" s="3">
        <f>3105.2+(2779.1-220.2)+(3.167304+(2.834682-0.224604))+0-504.1-0.51418200000008</f>
        <v>5165.2632000000003</v>
      </c>
      <c r="J145" s="3">
        <f>2979.9+(2769-200)+(-4.559247+(-4.23657--0.306))+0-440.3--0.673659000000025</f>
        <v>5100.7838419999998</v>
      </c>
      <c r="K145" s="3">
        <f>2976.5+(2796.2-140.7)+(-7.590075+(-7.13031--0.358785))+0-600.7--1.53178499999991</f>
        <v>5018.4701850000001</v>
      </c>
      <c r="L145" s="3">
        <f>2850.4+(2601.8-226.1)+(-11.629632+(-10.615344--0.922488))+0-472.7--1.92861599999996</f>
        <v>4734.0061280000009</v>
      </c>
      <c r="M145" s="3">
        <f>2903+(2321.4-224.7)+(2.96106+(2.367828-0.229194))+0-459.2-0.468384000000073</f>
        <v>4545.1313100000016</v>
      </c>
      <c r="N145" s="3">
        <f>2940.6+(2365.5-251.4)+(2.999412+(2.41281-0.256428))+0-512.1-0.522342000000082</f>
        <v>4547.2334519999995</v>
      </c>
      <c r="O145" s="3">
        <f>3414.8+(1970.9-240.6)+(6.966192+(4.020636-0.490824))+0-505-1.03019999999998</f>
        <v>4649.5658039999998</v>
      </c>
      <c r="P145" s="3">
        <f>4427.1+(1224.4-253.3)+(4.515642+(1.248888-0.258366))+0-539.4-0.550188000000086</f>
        <v>4863.7559760000013</v>
      </c>
      <c r="Q145" s="3">
        <f>5254.2+(575.9-414.8)+(0+(0-0))+0-421.3-0</f>
        <v>4994</v>
      </c>
      <c r="R145" s="3">
        <f>5836.2+(545.1-531.6)+(5.952924+(0.556002-0.542232))+0-475.8-0.485316000000076</f>
        <v>5379.3813779999991</v>
      </c>
      <c r="S145" s="3">
        <f>5805.2+(620.6-298.5)+(0+(0-0))+0-546.6-0</f>
        <v>5580.7</v>
      </c>
      <c r="T145" s="3">
        <f>6060.1+(487.8-386.8)+(0+(0-0))+0-392.3-0</f>
        <v>5768.8</v>
      </c>
      <c r="U145" s="3">
        <f>5859.9+(655.7-291.7)+(-2.988549+(-0.334407--0.148767))+0-467.2--0.238271999999953</f>
        <v>5753.7640829999991</v>
      </c>
      <c r="V145" s="3">
        <f>5482.3+(961.1-243.1)+(-2.795973+(-0.490161--0.123981))+0-555.2--0.283151999999944</f>
        <v>5642.2209990000001</v>
      </c>
      <c r="W145" s="3">
        <f>4602.9+(1462.8-222.6)+(-7.042437+(-2.238084--0.340578))+0-487.3--0.745569000000028</f>
        <v>5347.6056259999987</v>
      </c>
      <c r="X145" s="3">
        <f>3460+(2226.5-153.7)+(-7.0584+(-4.54206--0.313548))+0-485.2--0.989807999999979</f>
        <v>5037.3028960000011</v>
      </c>
      <c r="Y145" s="3">
        <f>3735.2+(1764.4-183.7)+(1.904952+(0.899844-0.093687))+0-497.1-0.25352099999995</f>
        <v>4821.2575879999995</v>
      </c>
      <c r="Z145" s="3">
        <f>5871.1+(594.4-521.7)+(5.988522+(0.606288-0.532134))+0-523-0.533460000000083</f>
        <v>5426.3292160000001</v>
      </c>
      <c r="AA145" s="3">
        <f>6043.5+(533.5-464.8)+(-3.082185+(-0.272085--0.237048))+0-573.9--0.292688999999942</f>
        <v>5535.4754670000002</v>
      </c>
      <c r="AB145" s="3">
        <f>5288.1+(966.7-214.6)+(-2.696931+(-0.493017--0.109446))+0-538.2--0.274481999999945</f>
        <v>5499.1939800000009</v>
      </c>
      <c r="AC145" s="3">
        <f>4776.6+(1478.3-167.2)+(2.436066+(0.753933-0.085272))+0-592-0.30191999999994</f>
        <v>5498.5028070000008</v>
      </c>
      <c r="AD145">
        <f t="shared" si="2"/>
        <v>125027.23078500001</v>
      </c>
      <c r="AE145" s="3">
        <f>6376+(473.8-768.5)+(0+(0-0))+0-548-0</f>
        <v>5533.3</v>
      </c>
    </row>
    <row r="146" spans="1:31" customFormat="1" x14ac:dyDescent="0.25">
      <c r="A146">
        <v>89</v>
      </c>
      <c r="B146">
        <v>5</v>
      </c>
      <c r="C146">
        <v>22</v>
      </c>
      <c r="D146">
        <v>7</v>
      </c>
      <c r="E146">
        <v>1</v>
      </c>
      <c r="F146" s="3">
        <f>4240.4+(1934.3-190.2)+(2.162604+(0.986493-0.097002))+0-516.6-0.263465999999948</f>
        <v>5470.6886289999993</v>
      </c>
      <c r="G146" s="3">
        <f>4009.4+(2096.9-179)+(-4.089588+(-2.138838--0.18258))+0-602.2--0.614244000000096</f>
        <v>5319.6683980000007</v>
      </c>
      <c r="H146" s="3">
        <f>3562.6+(2319.6-153.1)+(-1.816926+(-1.182996--0.078081))+0-525.5--0.268004999999947</f>
        <v>5200.946164</v>
      </c>
      <c r="I146" s="3">
        <f>3504.4+(2212.3-113.1)+(0+(0-0))+0-486.7-0</f>
        <v>5116.9000000000005</v>
      </c>
      <c r="J146" s="3">
        <f>3462.3+(2378.3-201.2)+(-1.765773+(-1.212933--0.102612))+0-541.8--0.276317999999945</f>
        <v>5095.0002240000003</v>
      </c>
      <c r="K146" s="3">
        <f>3074.1+(2699.3-207)+(-3.135582+(-2.753286--0.21114))+0-596.4--0.608328000000095</f>
        <v>4964.9306000000006</v>
      </c>
      <c r="L146" s="3">
        <f>2942.2+(2469.9-195.9)+(-6.002088+(-5.038596--0.399636))+0-468.5--0.955739999999979</f>
        <v>4738.0146919999997</v>
      </c>
      <c r="M146" s="3">
        <f>3026.7+(2204.1-187.1)+(-1.543617+(-1.124091--0.095421))+0-461.3--0.235262999999953</f>
        <v>4580.0629759999993</v>
      </c>
      <c r="N146" s="3">
        <f>3090.9+(2108.9-207.6)+(-4.729077+(-3.226617--0.317628))+0-468.4--0.716652000000027</f>
        <v>4516.8785860000007</v>
      </c>
      <c r="O146" s="3">
        <f>3125.9+(2003.6-197.7)+(1.594209+(1.021836-0.100827))+0-357.3-0.182222999999964</f>
        <v>4576.8329949999998</v>
      </c>
      <c r="P146" s="3">
        <f>3167.6+(2123.9-108)+(-3.230952+(-2.166378--0.11016))+0-546.7--0.557634000000087</f>
        <v>4632.0704640000004</v>
      </c>
      <c r="Q146" s="3">
        <f>3289.2+(2232.6-163.1)+(0+(0-0))+0-479.5-0</f>
        <v>4879.2</v>
      </c>
      <c r="R146" s="3">
        <f>3576.7+(2244.6-174.6)+(1.824117+(1.144746-0.089046))+0-458.3-0.233732999999954</f>
        <v>5191.0460839999996</v>
      </c>
      <c r="S146" s="3">
        <f>4277.8+(1961.3-212.4)+(0+(0-0))+0-479.1-0</f>
        <v>5547.5999999999995</v>
      </c>
      <c r="T146" s="3">
        <f>4557.7+(1768.4-208)+(2.324427+(0.901884-0.10608))+0-553-0.282029999999944</f>
        <v>5567.9382009999999</v>
      </c>
      <c r="U146" s="3">
        <f>4700.3+(1639.3-187.1)+(0+(0-0))+0-507.7-0</f>
        <v>5644.8</v>
      </c>
      <c r="V146" s="3">
        <f>4435.9+(1835.2-190.1)+(-6.786927+(-2.807856--0.290853))+0-486.9--0.744957000000028</f>
        <v>5585.5410270000002</v>
      </c>
      <c r="W146" s="3">
        <f>3803.8+(2332.6-196.8)+(-5.819814+(-3.568878--0.301104))+0-540.1--0.826353000000031</f>
        <v>5391.2387650000001</v>
      </c>
      <c r="X146" s="3">
        <f>3331.4+(2315-187.3)+(-6.796056+(-4.7226--0.382092))+0-446.7--0.91126799999998</f>
        <v>5002.174704</v>
      </c>
      <c r="Y146" s="3">
        <f>3415.3+(1954.6-157.2)+(-3.483606+(-1.993692--0.160344))+0-484.7--0.494394000000077</f>
        <v>4723.1774400000004</v>
      </c>
      <c r="Z146" s="3">
        <f>4720.1+(1288.5-218)+(-2.407251+(-0.657135--0.11118))+0-579.2--0.295391999999941</f>
        <v>5208.7421860000004</v>
      </c>
      <c r="AA146" s="3">
        <f>4739.1+(1458.4-196.8)+(-12.084705+(-3.71892--0.50184))+0-544.8--1.38923999999992</f>
        <v>5441.9874550000004</v>
      </c>
      <c r="AB146" s="3">
        <f>4171.3+(1979.9-192.2)+(-4.254726+(-2.019498--0.196044))+0-514--0.524280000000082</f>
        <v>5439.4460999999992</v>
      </c>
      <c r="AC146" s="3">
        <f>3972.2+(2251.2-198.9)+(2.025822+(1.148112-0.101439))+0-506.3-0.258212999999949</f>
        <v>5521.0142820000001</v>
      </c>
      <c r="AD146">
        <f t="shared" si="2"/>
        <v>123355.89997200001</v>
      </c>
      <c r="AE146" s="3">
        <f>5269+(1055.1-283)+(0+(0-0))+0-613.5-0</f>
        <v>5427.6</v>
      </c>
    </row>
    <row r="147" spans="1:31" customFormat="1" x14ac:dyDescent="0.25">
      <c r="A147">
        <v>89</v>
      </c>
      <c r="B147">
        <v>5</v>
      </c>
      <c r="C147">
        <v>23</v>
      </c>
      <c r="D147">
        <v>1</v>
      </c>
      <c r="E147">
        <v>1</v>
      </c>
      <c r="F147" s="3">
        <f>3674.3+(2625-188.8)+(-7.495572+(-5.355--0.385152))+0-585.4--1.19421599999997</f>
        <v>5513.8287959999998</v>
      </c>
      <c r="G147" s="3">
        <f>3240.1+(2885.2-172.4)+(1.652451+(1.471452-0.087924))+0-542-0.276419999999945</f>
        <v>5413.6595589999997</v>
      </c>
      <c r="H147" s="3">
        <f>3130.6+(2835.8-195.4)+(-3.193212+(-2.892516--0.199308))+0-508.8--0.518976000000081</f>
        <v>5256.8325560000003</v>
      </c>
      <c r="I147" s="3">
        <f>2972.2+(2934.6-192.2)+(-6.063288+(-5.986584--0.392088))+0-572.3--1.16749199999997</f>
        <v>5131.8097079999998</v>
      </c>
      <c r="J147" s="3">
        <f>3153.5+(2758.8-207)+(-1.608285+(-1.406988--0.10557))+0-565.5--0.288404999999943</f>
        <v>5137.1787020000002</v>
      </c>
      <c r="K147" s="3">
        <f>2910.9+(2899.9-184.1)+(-2.969118+(-2.957898--0.187782))+0-584--0.595680000000093</f>
        <v>5037.5564460000014</v>
      </c>
      <c r="L147" s="3">
        <f>2862.3+(2707.5-148.4)+(-2.919546+(-2.76165--0.151368))+0-576.8--0.588336000000092</f>
        <v>4839.6585079999995</v>
      </c>
      <c r="M147" s="3">
        <f>3034.6+(2307.8-133.3)+(-1.547646+(-1.176978--0.067983))+0-517.9--0.264128999999947</f>
        <v>4688.8074880000013</v>
      </c>
      <c r="N147" s="3">
        <f>3208.8+(2222.6-167.5)+(1.636488+(1.133526-0.085425))+0-558.9-0.285038999999943</f>
        <v>4707.3995500000001</v>
      </c>
      <c r="O147" s="3">
        <f>3294+(2191.5-189.4)+(-5.03982+(-3.352995--0.289782))+0-523.2--0.80049600000003</f>
        <v>4765.5974630000001</v>
      </c>
      <c r="P147" s="3">
        <f>3784.1+(1799.5-162.6)+(1.929891+(0.917745-0.082926))+0-509.7-0.259946999999948</f>
        <v>4913.804763000001</v>
      </c>
      <c r="Q147" s="3">
        <f>4615.5+(1274.5-163.5)+(7.061715+(1.949985-0.250155))+0-535.6-0.819468000000031</f>
        <v>5198.8420770000002</v>
      </c>
      <c r="R147" s="3">
        <f>5162.6+(1024.5-174.2)+(2.632926+(0.522495-0.088842))+0-516.8-0.263567999999948</f>
        <v>5498.9030110000003</v>
      </c>
      <c r="S147" s="3">
        <f>5561.3+(873.3-198.5)+(2.836263+(0.445383-0.101235))+0-524.4-0.267443999999947</f>
        <v>5714.6129670000009</v>
      </c>
      <c r="T147" s="3">
        <f>5811.7+(809.2-213.1)+(2.963967+(0.412692-0.108681))+0-516-0.263159999999948</f>
        <v>5894.8048180000005</v>
      </c>
      <c r="U147" s="3">
        <f>5721.6+(823.3-203.5)+(-2.918016+(-0.419883--0.103785))+0-505.5--0.257804999999949</f>
        <v>5832.9236910000009</v>
      </c>
      <c r="V147" s="3">
        <f>5172.9+(1136.1-132.9)+(0+(0-0))+0-464.5-0</f>
        <v>5711.5999999999995</v>
      </c>
      <c r="W147" s="3">
        <f>4136.1+(1965.8-208.7)+(-10.547055+(-5.01279--0.532185))+0-398.8--1.01693999999994</f>
        <v>5480.3892800000003</v>
      </c>
      <c r="X147" s="3">
        <f>3646.2+(2152.9-218.3)+(-3.719124+(-2.195958--0.222666))+0-469.8--0.479196000000075</f>
        <v>5105.7867800000004</v>
      </c>
      <c r="Y147" s="3">
        <f>3939.8+(1519.1-229.3)+(-4.018596+(-1.549482--0.233886))+0-351.5--0.358530000000056</f>
        <v>4873.1243380000005</v>
      </c>
      <c r="Z147" s="3">
        <f>5374.2+(733.1-282.3)+(-2.740842+(-0.373881--0.143973))+0-387.7--0.197726999999961</f>
        <v>5434.5269769999995</v>
      </c>
      <c r="AA147" s="3">
        <f>5437.2+(947.9-258.6)+(-11.091888+(-1.933716--0.527544))+0-490.1--0.999803999999979</f>
        <v>5624.9017439999998</v>
      </c>
      <c r="AB147" s="3">
        <f>4821.1+(1465.5-262.9)+(-4.917522+(-1.49481--0.268158))+0-418.6--0.426972000000067</f>
        <v>5599.3827980000005</v>
      </c>
      <c r="AC147" s="3">
        <f>4571.2+(1895.6-237.5)+(-4.662624+(-1.933512--0.24225))+0-533.1--0.543762000000085</f>
        <v>5690.3898759999993</v>
      </c>
      <c r="AD147">
        <f t="shared" si="2"/>
        <v>127066.32189600001</v>
      </c>
      <c r="AE147" s="3">
        <f>5810+(716.1-330.5)+(0+(0-0))+0-498.7-0</f>
        <v>5696.9000000000005</v>
      </c>
    </row>
    <row r="148" spans="1:31" customFormat="1" x14ac:dyDescent="0.25">
      <c r="A148">
        <v>89</v>
      </c>
      <c r="B148">
        <v>5</v>
      </c>
      <c r="C148">
        <v>24</v>
      </c>
      <c r="D148">
        <v>2</v>
      </c>
      <c r="E148">
        <v>1</v>
      </c>
      <c r="F148" s="3">
        <f>3536.8+(2684.9-223.9)+(-5.411304+(-4.107897--0.342567))+0-399.1--0.610623000000023</f>
        <v>5590.133988999999</v>
      </c>
      <c r="G148" s="3">
        <f>3281.1+(2951.2-219.4)+(-1.673361+(-1.505112--0.111894))+0-570.1--0.290750999999942</f>
        <v>5440.0241719999985</v>
      </c>
      <c r="H148" s="3">
        <f>3220+(2912.3-217.2)+(1.6422+(1.485273-0.110772))+0-581.8-0.296717999999941</f>
        <v>5336.0199830000001</v>
      </c>
      <c r="I148" s="3">
        <f>3042.2+(2880.7-217.8)+(-6.206088+(-5.876628--0.444312))+0-475.4--0.969815999999979</f>
        <v>5219.0314119999994</v>
      </c>
      <c r="J148" s="3">
        <f>3328+(2770.2-241.5)+(1.69728+(1.412802-0.123165))+0-642.7-0.327776999999935</f>
        <v>5216.6591400000007</v>
      </c>
      <c r="K148" s="3">
        <f>3089.7+(2833.4-233.8)+(-4.727241+(-4.335102--0.357714))+0-555.8--0.850374000000032</f>
        <v>5125.6457449999989</v>
      </c>
      <c r="L148" s="3">
        <f>2956.8+(2744.8-204.6)+(-6.031872+(-5.599392--0.417384))+0-559.7--1.14178799999998</f>
        <v>4927.2279079999998</v>
      </c>
      <c r="M148" s="3">
        <f>2911.2+(2482.6-199.2)+(-2.969424+(-2.532252--0.203184))+0-438.7--0.44747400000007</f>
        <v>4751.0489820000012</v>
      </c>
      <c r="N148" s="3">
        <f>2961.2+(2638.9-208.5)+(3.020424+(2.691678-0.21267))+0-538.2-0.548964000000086</f>
        <v>4858.3504679999996</v>
      </c>
      <c r="O148" s="3">
        <f>3081.5+(2602.3-214.7)+(-6.28626+(-5.308692--0.437988))+0-489.8--0.999191999999979</f>
        <v>4969.1422280000006</v>
      </c>
      <c r="P148" s="3">
        <f>3311.4+(2478.4-251.2)+(5.066442+(3.791952-0.384336))+0-526.2-0.805086000000031</f>
        <v>5020.068972</v>
      </c>
      <c r="Q148" s="3">
        <f>4033.6+(1909.2-238)+(-4.114272+(-1.947384--0.24276))+0-421.2--0.429624000000067</f>
        <v>5278.2107280000009</v>
      </c>
      <c r="R148" s="3">
        <f>4937.5+(1397.7-203.6)+(0+(0-0))+0-555-0</f>
        <v>5576.6</v>
      </c>
      <c r="S148" s="3">
        <f>5275.7+(1212.3-209.1)+(-5.381214+(-1.236546--0.213282))+0-577.4--0.588948000000092</f>
        <v>5695.6844700000001</v>
      </c>
      <c r="T148" s="3">
        <f>5366.1+(1131.9-234.4)+(2.736711+(0.577269-0.119544))+0-462.4-0.235823999999953</f>
        <v>5804.1586120000002</v>
      </c>
      <c r="U148" s="3">
        <f>5420+(1218.7-234.8)+(-2.7642+(-0.621537--0.119748))+0-614.8--0.313547999999938</f>
        <v>5786.1475589999991</v>
      </c>
      <c r="V148" s="3">
        <f>4912.6+(1309.7-249.9)+(-5.010852+(-1.335894--0.254898))+0-464.6--0.473892000000074</f>
        <v>5502.1820440000001</v>
      </c>
      <c r="W148" s="3">
        <f>4099.3+(1969.5-225.4)+(0+(0-0))+0-564.6-0</f>
        <v>5278.7999999999993</v>
      </c>
      <c r="X148" s="3">
        <f>3634.3+(2242.6-216.5)+(-3.706986+(-2.287452--0.22083))+0-508.3--0.518466000000081</f>
        <v>5146.8448579999995</v>
      </c>
      <c r="Y148" s="3">
        <f>3751.6+(1845.7-232)+(0+(0-0))+0-473.8-0</f>
        <v>4891.5</v>
      </c>
      <c r="Z148" s="3">
        <f>5070.3+(1243.2-237.8)+(-5.171706+(-1.268064--0.242556))+0-555.6--0.566712000000089</f>
        <v>5514.4694980000004</v>
      </c>
      <c r="AA148" s="3">
        <f>5384.2+(1157.8-274.1)+(-5.491884+(-1.180956--0.279582))+0-599.7--0.611694000000096</f>
        <v>5662.4184359999999</v>
      </c>
      <c r="AB148" s="3">
        <f>4907+(1543.1-286.5)+(-5.00514+(-1.573962--0.29223))+0-494.9--0.504798000000079</f>
        <v>5662.917926000001</v>
      </c>
      <c r="AC148" s="3">
        <f>4334.3+(2029.8-235.2)+(-4.420986+(-2.070396--0.239904))+0-522.9--0.533358000000083</f>
        <v>5600.2818799999995</v>
      </c>
      <c r="AD148">
        <f t="shared" si="2"/>
        <v>127853.56900999998</v>
      </c>
      <c r="AE148" s="3">
        <f>5773+(1020.8-298.7)+(0+(0-0))+0-684.4-0</f>
        <v>5810.7000000000007</v>
      </c>
    </row>
    <row r="149" spans="1:31" customFormat="1" x14ac:dyDescent="0.25">
      <c r="A149">
        <v>89</v>
      </c>
      <c r="B149">
        <v>5</v>
      </c>
      <c r="C149">
        <v>25</v>
      </c>
      <c r="D149">
        <v>3</v>
      </c>
      <c r="E149">
        <v>1</v>
      </c>
      <c r="F149" s="3">
        <f>3720.6+(2640.7-213.7)+(-13.282542+(-9.427299--0.762909))+0-526.6--1.87996200000001</f>
        <v>5600.9330300000001</v>
      </c>
      <c r="G149" s="3">
        <f>3296.4+(2788.5-204.5)+(-8.40582+(-7.110675--0.521475))+0-413.3--1.05391499999994</f>
        <v>5453.1588949999987</v>
      </c>
      <c r="H149" s="3">
        <f>3218.8+(2774.4-204)+(-1.641588+(-1.414944--0.10404))+0-448.6--0.228785999999954</f>
        <v>5337.8762939999997</v>
      </c>
      <c r="I149" s="3">
        <f>3188.8+(2820.7-215.2)+(1.626288+(1.438557-0.109752))+0-558.3-0.284732999999943</f>
        <v>5238.6703600000001</v>
      </c>
      <c r="J149" s="3">
        <f>3278.8+(2759.8-246.1)+(1.672188+(1.407498-0.125511))+0-567.7-0.289526999999942</f>
        <v>5227.4646480000001</v>
      </c>
      <c r="K149" s="3">
        <f>3159.3+(2685.4-220.1)+(-6.444972+(-5.478216--0.449004))+0-478.2--0.975527999999979</f>
        <v>5135.9013440000008</v>
      </c>
      <c r="L149" s="3">
        <f>3033.5+(2680.4-202.8)+(-6.18834+(-5.468016--0.413712))+0-595.3--1.21441199999997</f>
        <v>4905.7717680000005</v>
      </c>
      <c r="M149" s="3">
        <f>3058.8+(2399.6-202.1)+(0+(0-0))+0-559.3-0</f>
        <v>4697</v>
      </c>
      <c r="N149" s="3">
        <f>3085.9+(2433.1-217.7)+(0+(0-0))+0-574.8-0</f>
        <v>4726.5</v>
      </c>
      <c r="O149" s="3">
        <f>3076.5+(2399.6-232.2)+(0+(0-0))+0-451.3-0</f>
        <v>4792.5999999999995</v>
      </c>
      <c r="P149" s="3">
        <f>3517.8+(2069.3-240)+(5.382234+(3.166029-0.3672))+0-440-0.673200000000025</f>
        <v>4914.6078630000002</v>
      </c>
      <c r="Q149" s="3">
        <f>4375.3+(1438.6-248.1)+(4.462806+(1.467372-0.253062))+0-408.4-0.416568000000065</f>
        <v>5162.6605480000007</v>
      </c>
      <c r="R149" s="3">
        <f>5271.2+(1018.9-318.2)+(10.753248+(2.078556-0.649128))+0-495.2-1.01020799999998</f>
        <v>5487.8724680000005</v>
      </c>
      <c r="S149" s="3">
        <f>5678.5+(789.7-381.1)+(-5.79207+(-0.805494--0.388722))+0-417.1--0.425442000000067</f>
        <v>5664.2165999999997</v>
      </c>
      <c r="T149" s="3">
        <f>6043+(558.1-440.5)+(6.16386+(0.569262-0.44931))+0-370.9-0.378318000000059</f>
        <v>5795.6054940000004</v>
      </c>
      <c r="U149" s="3">
        <f>6189.3+(530.7-413.2)+(6.313086+(0.541314-0.421464))+0-502.1-0.51214200000008</f>
        <v>5810.6207939999995</v>
      </c>
      <c r="V149" s="3">
        <f>5983.6+(636-320.5)+(-12.206544+(-1.29744--0.65382))+0-506.6--1.03346399999998</f>
        <v>5780.6832999999997</v>
      </c>
      <c r="W149" s="3">
        <f>4799.6+(1420-240)+(-4.895592+(-1.4484--0.2448))+0-425.5--0.434010000000068</f>
        <v>5548.4348180000006</v>
      </c>
      <c r="X149" s="3">
        <f>3450.2+(2427.6-229.6)+(-3.519204+(-2.476152--0.234192))+0-519.9--0.530298000000083</f>
        <v>5123.0691340000003</v>
      </c>
      <c r="Y149" s="3">
        <f>3350.3+(2235.6-240.1)+(1.708653+(1.140156-0.122451))+0-474.8-0.242147999999952</f>
        <v>4873.4842099999996</v>
      </c>
      <c r="Z149" s="3">
        <f>5433.7+(871.5-243.4)+(-2.771187+(-0.444465--0.124134))+0-421.6--0.215015999999957</f>
        <v>5637.3234979999997</v>
      </c>
      <c r="AA149" s="3">
        <f>5555.4+(849.7-248)+(0+(0-0))+0-460.1-0</f>
        <v>5696.9999999999991</v>
      </c>
      <c r="AB149" s="3">
        <f>5000.3+(1419.8-290.1)+(-5.100306+(-1.448196--0.295902))+0-495.1--0.505002000000079</f>
        <v>5629.1524019999997</v>
      </c>
      <c r="AC149" s="3">
        <f>4511.7+(1797.4-225.6)+(-4.601934+(-1.833348--0.230112))+0-414.8--0.423096000000066</f>
        <v>5662.9179260000001</v>
      </c>
      <c r="AD149">
        <f t="shared" si="2"/>
        <v>127903.525394</v>
      </c>
      <c r="AE149" s="3">
        <f>5803+(634.9-345.7)+(0+(0-0))+0-417-0</f>
        <v>5675.2</v>
      </c>
    </row>
    <row r="150" spans="1:31" customFormat="1" x14ac:dyDescent="0.25">
      <c r="A150">
        <v>89</v>
      </c>
      <c r="B150">
        <v>5</v>
      </c>
      <c r="C150">
        <v>26</v>
      </c>
      <c r="D150">
        <v>4</v>
      </c>
      <c r="E150">
        <v>1</v>
      </c>
      <c r="F150" s="3">
        <f>3541.6+(2545.2-205.6)+(-7.224864+(-5.192208--0.419424))+0-466.9--0.95247599999998</f>
        <v>5403.254828000001</v>
      </c>
      <c r="G150" s="3">
        <f>3266+(2947-206.9)+(-3.33132+(-3.00594--0.211038))+0-461.3--0.470526000000074</f>
        <v>5539.1443040000004</v>
      </c>
      <c r="H150" s="3">
        <f>3168.5+(2910.2-202.5)+(-1.615935+(-1.484202--0.103275))+0-454--0.231539999999954</f>
        <v>5419.4346779999996</v>
      </c>
      <c r="I150" s="3">
        <f>3026.2+(2872.7-212.8)+(-6.173448+(-5.860308--0.434112))+0-440.3--0.898211999999981</f>
        <v>5235.0985679999994</v>
      </c>
      <c r="J150" s="3">
        <f>3276+(2769.2-246.4)+(3.34152+(2.824584-0.251328))+0-575.3-0.586806000000092</f>
        <v>5228.8279699999985</v>
      </c>
      <c r="K150" s="3">
        <f>2896+(2860.2-222.8)+(-2.95392+(-2.917404--0.227256))+0-394.2--0.402084000000063</f>
        <v>5133.9580160000005</v>
      </c>
      <c r="L150" s="3">
        <f>2814.6+(2846.4-213)+(-5.741784+(-5.806656--0.43452))+0-528--1.07711999999998</f>
        <v>4909.9632000000001</v>
      </c>
      <c r="M150" s="3">
        <f>2909.1+(2501.6-200.3)+(1.483641+(1.275816-0.102153))+0-524.6-0.267545999999947</f>
        <v>4688.1897579999995</v>
      </c>
      <c r="N150" s="3">
        <f>2978.6+(2430-182.8)+(0+(0-0))+0-428.3-0</f>
        <v>4797.4999999999991</v>
      </c>
      <c r="O150" s="3">
        <f>3004.6+(2382.9-202.5)+(0+(0-0))+0-493.6-0</f>
        <v>4691.3999999999996</v>
      </c>
      <c r="P150" s="3">
        <f>3777.2+(1894.7-245.5)+(3.852744+(1.932594-0.25041))+0-455.5-0.464610000000073</f>
        <v>4975.9703179999997</v>
      </c>
      <c r="Q150" s="3">
        <f>4753.9+(1236-269.6)+(4.848978+(1.26072-0.274992))+0-513.7-0.523974000000082</f>
        <v>5211.9107319999994</v>
      </c>
      <c r="R150" s="3">
        <f>5806.1+(760.7-359.7)+(0+(0-0))+0-472-0</f>
        <v>5735.1</v>
      </c>
      <c r="S150" s="3">
        <f>6210.7+(504.4-476.7)+(0+(0-0))+0-438.7-0</f>
        <v>5799.7</v>
      </c>
      <c r="T150" s="3">
        <f>6756.7+(392.7-754.2)+(0+(0-0))+0-511-0</f>
        <v>5884.2</v>
      </c>
      <c r="U150" s="3">
        <f>6771.3+(450.7-682.8)+(-3.453363+(-0.229857--0.348228))+0-490--0.24989999999995</f>
        <v>6046.1149079999996</v>
      </c>
      <c r="V150" s="3">
        <f>6414.1+(498.1-549.4)+(-3.271191+(-0.254031--0.280194))+0-470.6--0.240005999999952</f>
        <v>5889.1949779999995</v>
      </c>
      <c r="W150" s="3">
        <f>5155.7+(1177.6-227.8)+(-10.517628+(-2.402304--0.464712))+0-424.8--0.866591999999981</f>
        <v>5669.1113720000003</v>
      </c>
      <c r="X150" s="3">
        <f>3716.9+(2180.4-202.1)+(-5.686857+(-3.336012--0.309213))+0-416.1--0.636633000000024</f>
        <v>5271.0229770000005</v>
      </c>
      <c r="Y150" s="3">
        <f>3845.5+(1893.7-225.1)+(1.961205+(0.965787-0.114801))+0-457.1-0.233120999999954</f>
        <v>5059.5790699999998</v>
      </c>
      <c r="Z150" s="3">
        <f>5830.8+(715.4-532.6)+(-2.973708+(-0.364854--0.271626))+0-424.7--0.216596999999957</f>
        <v>5586.049661</v>
      </c>
      <c r="AA150" s="3">
        <f>6022.8+(728.2-488)+(-9.214884+(-1.114146--0.74664))+0-470.6--0.720018000000027</f>
        <v>5783.537628</v>
      </c>
      <c r="AB150" s="3">
        <f>5240.1+(1160.7-255.8)+(2.672451+(0.591957-0.130458))+0-431.4-0.220013999999956</f>
        <v>5716.5139360000012</v>
      </c>
      <c r="AC150" s="3">
        <f>4844.4+(1623.4-240.5)+(0+(0-0))+0-473.3-0</f>
        <v>5753.9999999999991</v>
      </c>
      <c r="AD150">
        <f t="shared" si="2"/>
        <v>129428.776902</v>
      </c>
      <c r="AE150" s="3">
        <f>6211+(676-616.9)+(0+(0-0))+0-517.7-0</f>
        <v>5752.4000000000005</v>
      </c>
    </row>
    <row r="151" spans="1:31" customFormat="1" x14ac:dyDescent="0.25">
      <c r="A151">
        <v>89</v>
      </c>
      <c r="B151">
        <v>5</v>
      </c>
      <c r="C151">
        <v>27</v>
      </c>
      <c r="D151">
        <v>5</v>
      </c>
      <c r="E151">
        <v>1</v>
      </c>
      <c r="F151" s="3">
        <f>3805.7+(2456.7-200.5)+(-5.822721+(-3.758751--0.306765))+0-356.1--0.544833000000021</f>
        <v>5697.0701259999996</v>
      </c>
      <c r="G151" s="3">
        <f>3286.2+(2923.8-208.9)+(-1.675962+(-1.491138--0.106539))+0-374.3--0.190892999999962</f>
        <v>5623.9303319999999</v>
      </c>
      <c r="H151" s="3">
        <f>3216.2+(2863.6-232.7)+(-1.640262+(-1.460436--0.118677))+0-413.9--0.211088999999958</f>
        <v>5430.4290680000013</v>
      </c>
      <c r="I151" s="3">
        <f>3022.9+(3017.8-225.8)+(0+(0-0))+0-477.1-0</f>
        <v>5337.7999999999993</v>
      </c>
      <c r="J151" s="3">
        <f>3066.8+(2833.3-223.1)+(-4.692204+(-4.334949--0.341343))+0-356.2--0.544986000000021</f>
        <v>5312.6591760000001</v>
      </c>
      <c r="K151" s="3">
        <f>2973.8+(2854.5-226)+(-4.549914+(-4.367385--0.34578))+0-370.1--0.566253000000021</f>
        <v>5224.1947339999997</v>
      </c>
      <c r="L151" s="3">
        <f>3019.5+(2694.4-229.3)+(-3.07989+(-2.748288--0.233886))+0-503.6--0.51367200000008</f>
        <v>4975.9193800000003</v>
      </c>
      <c r="M151" s="3">
        <f>3022.1+(2379.2-234.2)+(1.541271+(1.213392-0.119442))+0-425.1-0.216800999999957</f>
        <v>4744.41842</v>
      </c>
      <c r="N151" s="3">
        <f>2947.8+(2486.5-227.4)+(-3.006756+(-2.53623--0.231948))+0-461.9--0.471138000000074</f>
        <v>4740.1601000000001</v>
      </c>
      <c r="O151" s="3">
        <f>2921.5+(2481.7-232.3)+(0+(0-0))+0-443.2-0</f>
        <v>4727.7</v>
      </c>
      <c r="P151" s="3">
        <f>3616.1+(2057-240.2)+(3.688422+(2.09814-0.245004))+0-417.4-0.425748000000067</f>
        <v>5020.6158100000002</v>
      </c>
      <c r="Q151" s="3">
        <f>4784.3+(1269.6-290.4)+(0+(0-0))+0-482-0</f>
        <v>5281.5</v>
      </c>
      <c r="R151" s="3">
        <f>5895.3+(688.2-436.1)+(3.006603+(0.350982-0.222411))+0-582.1-0.296870999999941</f>
        <v>5568.1383030000006</v>
      </c>
      <c r="S151" s="3">
        <f>6163.6+(577.4-489.8)+(0+(0-0))+0-580.1-0</f>
        <v>5671.1</v>
      </c>
      <c r="T151" s="3">
        <f>6718.9+(457-772.7)+(3.426639+(0.23307-0.394077))+0-491.1-0.25046099999995</f>
        <v>5915.1151709999995</v>
      </c>
      <c r="U151" s="3">
        <f>6566.3+(425.5-644.5)+(0+(0-0))+0-502.9-0</f>
        <v>5844.4000000000005</v>
      </c>
      <c r="V151" s="3">
        <f>6138.1+(564.6-470.8)+(-3.130431+(-0.287946--0.240108))+0-441.7--0.225266999999955</f>
        <v>5787.2469980000005</v>
      </c>
      <c r="W151" s="3">
        <f>5295.3+(1019.5-309.9)+(-5.401206+(-1.03989--0.316098))+0-461--0.470220000000074</f>
        <v>5538.2452220000005</v>
      </c>
      <c r="X151" s="3">
        <f>3827.9+(1918.3-234.3)+(-1.952229+(-0.978333--0.119493))+0-336.8--0.171767999999966</f>
        <v>5172.4606989999993</v>
      </c>
      <c r="Y151" s="3">
        <f>3875.2+(1861.4-235)+(0+(0-0))+0-529.8-0</f>
        <v>4971.8</v>
      </c>
      <c r="Z151" s="3">
        <f>6274.3+(436.2-712)+(0+(0-0))+0-464.8-0</f>
        <v>5533.7</v>
      </c>
      <c r="AA151" s="3">
        <f>6314.4+(603.7-557.5)+(-9.661032+(-0.923661--0.852975))+0-531.4--0.813042000000031</f>
        <v>5820.2813239999996</v>
      </c>
      <c r="AB151" s="3">
        <f>5639.3+(873.8-320.9)+(-2.876043+(-0.445638--0.163659))+0-541.8--0.276317999999945</f>
        <v>5647.5182960000002</v>
      </c>
      <c r="AC151" s="3">
        <f>5127.7+(1445.7-254.1)+(-5.230254+(-1.474614--0.259182))+0-583.8--0.595476000000093</f>
        <v>5729.6497900000004</v>
      </c>
      <c r="AD151">
        <f t="shared" si="2"/>
        <v>129316.05294899999</v>
      </c>
      <c r="AE151" s="3">
        <f>6904+(374-929)+(0+(0-0))+0-442.7-0</f>
        <v>5906.3</v>
      </c>
    </row>
    <row r="152" spans="1:31" customFormat="1" x14ac:dyDescent="0.25">
      <c r="A152">
        <v>89</v>
      </c>
      <c r="B152">
        <v>5</v>
      </c>
      <c r="C152">
        <v>28</v>
      </c>
      <c r="D152">
        <v>6</v>
      </c>
      <c r="E152">
        <v>1</v>
      </c>
      <c r="F152" s="3">
        <f>4073.2+(2254.5-226)+(-4.154664+(-2.29959--0.23052))+0-483.2--0.492864000000077</f>
        <v>5612.7691299999997</v>
      </c>
      <c r="G152" s="3">
        <f>3461.9+(2796.1-211)+(-5.296707+(-4.278033--0.32283))+0-545--0.833850000000032</f>
        <v>5493.58194</v>
      </c>
      <c r="H152" s="3">
        <f>3150.2+(2993.3-228.4)+(1.606602+(1.526583-0.116484))+0-560.7-0.285956999999943</f>
        <v>5357.130744</v>
      </c>
      <c r="I152" s="3">
        <f>3068.6+(2871.8-229.3)+(0+(0-0))+0-468.3-0</f>
        <v>5242.8</v>
      </c>
      <c r="J152" s="3">
        <f>3348.6+(2620-242.5)+(0+(0-0))+0-517.7-0</f>
        <v>5208.4000000000005</v>
      </c>
      <c r="K152" s="3">
        <f>3015.9+(2840.7-234.8)+(-6.152436+(-5.795028--0.478992))+0-508.7--1.03774799999998</f>
        <v>5102.6692759999996</v>
      </c>
      <c r="L152" s="3">
        <f>2884.5+(2648.9-243)+(-5.88438+(-5.403756--0.49572))+0-464.2--0.94696799999998</f>
        <v>4816.3545519999998</v>
      </c>
      <c r="M152" s="3">
        <f>2841.8+(2468.1-239.2)+(-2.898636+(-2.517462--0.243984))+0-505.3--0.515406000000081</f>
        <v>4560.743292000001</v>
      </c>
      <c r="N152" s="3">
        <f>2923.8+(2476.2-256.7)+(-1.491138+(-1.262862--0.130917))+0-555--0.283049999999944</f>
        <v>4585.9599669999998</v>
      </c>
      <c r="O152" s="3">
        <f>3012.9+(2322.2-259.7)+(3.073158+(2.368644-0.264894))+0-446.4-0.455328000000071</f>
        <v>4633.7215800000004</v>
      </c>
      <c r="P152" s="3">
        <f>3910.6+(1523.3-272.7)+(3.988812+(1.553766-0.278154))+0-449.3-0.458286000000072</f>
        <v>4716.7061379999996</v>
      </c>
      <c r="Q152" s="3">
        <f>4733.9+(1100.5-260.5)+(0+(0-0))+0-490.6-0</f>
        <v>5083.2999999999993</v>
      </c>
      <c r="R152" s="3">
        <f>5250.7+(809.8-285.4)+(0+(0-0))+0-482.4-0</f>
        <v>5292.7</v>
      </c>
      <c r="S152" s="3">
        <f>5473.9+(793.5-247.6)+(-2.791689+(-0.404685--0.126276))+140.6-499.8--0.254897999999949</f>
        <v>5657.7847999999994</v>
      </c>
      <c r="T152" s="3">
        <f>5609.9+(828.2-273)+(2.861049+(0.422382-0.13923))+0-418.6-0.213485999999958</f>
        <v>5749.4307149999995</v>
      </c>
      <c r="U152" s="3">
        <f>6027.8+(733.4-328.1)+(6.148356+(0.748068-0.334662))+0-626.3-0.6388260000001</f>
        <v>5812.7229360000001</v>
      </c>
      <c r="V152" s="3">
        <f>5587.6+(721.4-311.8)+(-2.849676+(-0.367914--0.159018))+0-497.2--0.25357199999995</f>
        <v>5497.1950000000006</v>
      </c>
      <c r="W152" s="3">
        <f>4696.8+(1437.1-212.8)+(-7.186104+(-2.198763--0.325584))+0-430.8--0.659124000000025</f>
        <v>5481.8998410000004</v>
      </c>
      <c r="X152" s="3">
        <f>3521.3+(2275.5-236.1)+(-5.387589+(-3.481515--0.361233))+0-512.9--0.78473700000003</f>
        <v>5040.0768660000012</v>
      </c>
      <c r="Y152" s="3">
        <f>3613.3+(1925.8-269.2)+(-1.842783+(-0.982158--0.137292))+0-546.1--0.278510999999945</f>
        <v>4721.3908619999984</v>
      </c>
      <c r="Z152" s="3">
        <f>6015.8+(483.9-576.7)+(3.068058+(0.246789-0.294117))+0-581.8-0.296717999999941</f>
        <v>5343.9240120000004</v>
      </c>
      <c r="AA152" s="3">
        <f>6243.2+(453.6-459)+(-9.552096+(-0.694008--0.70227))+0-488.2--0.746946000000028</f>
        <v>5740.8031120000005</v>
      </c>
      <c r="AB152" s="3">
        <f>5349.1+(788.7-328.2)+(-5.456082+(-0.804474--0.334764))+0-512.9--0.523158000000082</f>
        <v>5291.2973660000007</v>
      </c>
      <c r="AC152" s="3">
        <f>5005.9+(1080.4-232)+(0+(0-0))+0-432.4-0</f>
        <v>5421.9</v>
      </c>
      <c r="AD152">
        <f t="shared" si="2"/>
        <v>125465.262129</v>
      </c>
      <c r="AE152" s="3">
        <f>6624+(499.1-835.1)+(0+(0-0))+0-519.9-0</f>
        <v>5768.1</v>
      </c>
    </row>
    <row r="153" spans="1:31" customFormat="1" x14ac:dyDescent="0.25">
      <c r="A153">
        <v>89</v>
      </c>
      <c r="B153">
        <v>5</v>
      </c>
      <c r="C153">
        <v>29</v>
      </c>
      <c r="D153">
        <v>7</v>
      </c>
      <c r="E153">
        <v>1</v>
      </c>
      <c r="F153" s="3">
        <f>4084+(2168.7-214)+(-4.16568+(-2.212074--0.21828))+0-461.2--0.470424000000074</f>
        <v>5571.81095</v>
      </c>
      <c r="G153" s="3">
        <f>3435+(2706.2-249)+(3.5037+(2.760324-0.25398))+0-492.1-0.501942000000078</f>
        <v>5405.6081019999992</v>
      </c>
      <c r="H153" s="3">
        <f>3209.9+(2493.1-227)+(-1.637049+(-1.271481--0.11577))+0-421.7--0.215066999999957</f>
        <v>5051.722307</v>
      </c>
      <c r="I153" s="3">
        <f>3096.1+(2607.6-242)+(-7.895055+(-6.64938--0.6171))+0-429--1.09394999999994</f>
        <v>5019.866614999999</v>
      </c>
      <c r="J153" s="3">
        <f>3112.4+(2598.4-243)+(1.587324+(1.325184-0.12393))+0-452.8-0.230927999999954</f>
        <v>5017.5576499999997</v>
      </c>
      <c r="K153" s="3">
        <f>2992.7+(2649.3-235.2)+(-10.683939+(-9.458001--0.839664))+0-536--1.91352000000001</f>
        <v>4853.4112439999999</v>
      </c>
      <c r="L153" s="3">
        <f>3048.9+(2277.1-241.2)+(-6.219756+(-4.645284--0.492048))+0-482.3--0.983891999999979</f>
        <v>4593.1109000000006</v>
      </c>
      <c r="M153" s="3">
        <f>3020.9+(2072.6-235.6)+(-1.540659+(-1.057026--0.120156))+0-479.7--0.244646999999951</f>
        <v>4375.9671179999996</v>
      </c>
      <c r="N153" s="3">
        <f>2900.5+(2150.6-240.9)+(-1.479255+(-1.096806--0.122859))+0-491.9--0.25086899999995</f>
        <v>4316.097667</v>
      </c>
      <c r="O153" s="3">
        <f>3026.4+(2053.5-231.6)+(0+(0-0))+0-494.4-0</f>
        <v>4353.9000000000005</v>
      </c>
      <c r="P153" s="3">
        <f>3015+(2157.3-243)+(1.53765+(1.100223-0.12393))+0-500.1-0.255050999999949</f>
        <v>4431.4588919999997</v>
      </c>
      <c r="Q153" s="3">
        <f>3027.7+(2391-208)+(-3.088254+(-2.43882--0.21216))+0-493--0.502860000000079</f>
        <v>4712.8879460000007</v>
      </c>
      <c r="R153" s="3">
        <f>3245.5+(2368.7-202)+(-1.655205+(-1.208037--0.10302))+0-539.6--0.275195999999945</f>
        <v>4870.1149739999992</v>
      </c>
      <c r="S153" s="3">
        <f>4078.7+(2010-237)+(0+(0-0))+0-508.5-0</f>
        <v>5343.2</v>
      </c>
      <c r="T153" s="3">
        <f>4585.5+(1662.7-220.6)+(0+(0-0))+0-491.6-0</f>
        <v>5536</v>
      </c>
      <c r="U153" s="3">
        <f>4689.6+(1510.3-222.5)+(-2.391696+(-0.770253--0.113475))+0-355.3--0.181202999999964</f>
        <v>5619.2327290000003</v>
      </c>
      <c r="V153" s="3">
        <f>4668.4+(1587.6-233.4)+(-7.142652+(-2.429028--0.357102))+0-416.4--0.637092000000024</f>
        <v>5597.6225139999997</v>
      </c>
      <c r="W153" s="3">
        <f>3887.7+(2122.5-232.4)+(-1.982727+(-1.082475--0.118524))+0-487.9--0.248828999999951</f>
        <v>5287.2021509999995</v>
      </c>
      <c r="X153" s="3">
        <f>3094.5+(2606.8-236.7)+(-11.047365+(-9.306276--0.845019))+0-554.3--1.97885100000001</f>
        <v>4892.7702289999997</v>
      </c>
      <c r="Y153" s="3">
        <f>3703.9+(1928.3-229.6)+(-1.888989+(-0.983433--0.117096))+0-545.9--0.278408999999945</f>
        <v>4854.2230829999999</v>
      </c>
      <c r="Z153" s="3">
        <f>4986.4+(948.6-310.2)+(0+(0-0))+0-447.6-0</f>
        <v>5177.1999999999989</v>
      </c>
      <c r="AA153" s="3">
        <f>5283.6+(873.7-337.8)+(0+(0-0))+0-471.3-0</f>
        <v>5348.2</v>
      </c>
      <c r="AB153" s="3">
        <f>5450.2+(868.9-403.3)+(-5.559204+(-0.886278--0.411366))+0-550.9--0.561918000000088</f>
        <v>5359.4278020000011</v>
      </c>
      <c r="AC153" s="3">
        <f>5103.7+(1256.1-271.8)+(-5.205774+(-1.281222--0.277236))+0-581.6--0.593232000000093</f>
        <v>5500.7834720000001</v>
      </c>
      <c r="AD153">
        <f t="shared" si="2"/>
        <v>121089.37634500001</v>
      </c>
      <c r="AE153" s="3">
        <f>5330+(782.6-373.9)+(0+(0-0))+0-396.5-0</f>
        <v>5342.2</v>
      </c>
    </row>
    <row r="154" spans="1:31" customFormat="1" x14ac:dyDescent="0.25">
      <c r="A154">
        <v>89</v>
      </c>
      <c r="B154">
        <v>5</v>
      </c>
      <c r="C154">
        <v>30</v>
      </c>
      <c r="D154">
        <v>1</v>
      </c>
      <c r="E154">
        <v>1</v>
      </c>
      <c r="F154" s="3">
        <f>4238.6+(1911.1-213.1)+(-6.485058+(-2.923983--0.326043))+0-535--0.818550000000031</f>
        <v>5393.3355520000005</v>
      </c>
      <c r="G154" s="3">
        <f>3408.3+(2605.7-220.5)+(-3.476466+(-2.657814--0.22491))+0-512.9--0.523158000000082</f>
        <v>5275.213788</v>
      </c>
      <c r="H154" s="3">
        <f>3118.8+(2748.4-243.8)+(-4.771764+(-4.205052--0.373014))+0-487.6--0.746028000000028</f>
        <v>5127.9422260000001</v>
      </c>
      <c r="I154" s="3">
        <f>3004.2+(2606.2-234.9)+(-1.532142+(-1.329162--0.119799))+0-423.7--0.216086999999957</f>
        <v>4949.274582</v>
      </c>
      <c r="J154" s="3">
        <f>3149.3+(2563.3-235.3)+(-8.030715+(-6.536415--0.600015))+0-458--1.16789999999993</f>
        <v>5006.5007850000002</v>
      </c>
      <c r="K154" s="3">
        <f>3218.2+(2440.4-239.5)+(-4.923846+(-3.733812--0.366435))+0-580.9--0.888777000000034</f>
        <v>4830.7975540000007</v>
      </c>
      <c r="L154" s="3">
        <f>3024.3+(2232.5-240)+(-4.627179+(-3.415725--0.3672))+0-365--0.558450000000021</f>
        <v>4644.6827460000004</v>
      </c>
      <c r="M154" s="3">
        <f>3048.6+(2081.2-241.3)+(6.219144+(4.245648-0.492252))+0-444.2-0.906167999999981</f>
        <v>4453.3663719999995</v>
      </c>
      <c r="N154" s="3">
        <f>3078.7+(2088.2-239.7)+(3.140274+(2.129964-0.244494))+0-440.1-0.44890200000007</f>
        <v>4491.6768419999989</v>
      </c>
      <c r="O154" s="3">
        <f>3252.3+(2060.3-246.6)+(1.658673+(1.050753-0.125766))+0-485.2-0.247451999999951</f>
        <v>4583.1362080000008</v>
      </c>
      <c r="P154" s="3">
        <f>4304.1+(1329.2-294.5)+(6.585273+(2.033676-0.450585))+0-636.5-0.973845000000037</f>
        <v>4709.4945189999999</v>
      </c>
      <c r="Q154" s="3">
        <f>5284.5+(680.2-454.7)+(10.78038+(1.387608-0.927588))+0-491.4-1.00245599999998</f>
        <v>5028.8379439999999</v>
      </c>
      <c r="R154" s="3">
        <f>6413.9+(398.1-939.2)+(6.542178+(0.406062-0.957984))+0-513.5-0.523770000000082</f>
        <v>5364.7664859999995</v>
      </c>
      <c r="S154" s="3">
        <f>6940.6+(357.4-1058.1)+(-3.539706+(-0.182274--0.539631))+0-593.2--0.30253199999994</f>
        <v>5643.8201830000007</v>
      </c>
      <c r="T154" s="3">
        <f>7108.9+(342.4-1167.1)+(3.625539+(0.174624-0.595221))+0-515.6-0.262955999999948</f>
        <v>5771.5419860000002</v>
      </c>
      <c r="U154" s="3">
        <f>7081.7+(362.4-1086.7)+(0+(0-0))+0-548.4-0</f>
        <v>5809</v>
      </c>
      <c r="V154" s="3">
        <f>6782.1+(394.7-855.9)+(0+(0-0))+0-521.7-0</f>
        <v>5799.2000000000007</v>
      </c>
      <c r="W154" s="3">
        <f>5742.7+(810.4-345.7)+(0+(0-0))+0-604.3-0</f>
        <v>5603.0999999999995</v>
      </c>
      <c r="X154" s="3">
        <f>4508.8+(1360.9-225)+(0+(0-0))+0-451.8-0</f>
        <v>5192.9000000000005</v>
      </c>
      <c r="Y154" s="3">
        <f>4434.5+(1244-335.5)+(2.261595+(0.63444-0.171105))+0-530.3-0.270452999999946</f>
        <v>4815.154477</v>
      </c>
      <c r="Z154" s="3">
        <f>6427.6+(472.2-975)+(0+(0-0))+0-479.3-0</f>
        <v>5445.5</v>
      </c>
      <c r="AA154" s="3">
        <f>6223.9+(592.3-626.7)+(-6.348378+(-0.604146--0.639234))+0-505.6--0.515712000000081</f>
        <v>5678.1024219999999</v>
      </c>
      <c r="AB154" s="3">
        <f>5544.5+(1004.1-359.9)+(0+(0-0))+0-592.6-0</f>
        <v>5596.0999999999995</v>
      </c>
      <c r="AC154" s="3">
        <f>4807.3+(1389.9-223.5)+(-7.355169+(-2.126547--0.341955))+0-463--0.708390000000027</f>
        <v>5502.2686290000001</v>
      </c>
      <c r="AD154">
        <f t="shared" si="2"/>
        <v>124715.713301</v>
      </c>
      <c r="AE154" s="3">
        <f>6666+(423.6-1115.9)+(0+(0-0))+0-439.5-0</f>
        <v>5534.2</v>
      </c>
    </row>
    <row r="155" spans="1:31" customFormat="1" x14ac:dyDescent="0.25">
      <c r="A155">
        <v>89</v>
      </c>
      <c r="B155">
        <v>5</v>
      </c>
      <c r="C155">
        <v>31</v>
      </c>
      <c r="D155">
        <v>2</v>
      </c>
      <c r="E155">
        <v>1</v>
      </c>
      <c r="F155" s="3">
        <f>3727.9+(2655.6-228.3)+(-3.802458+(-2.708712--0.232866))+0-598--0.609960000000095</f>
        <v>5551.5316559999992</v>
      </c>
      <c r="G155" s="3">
        <f>3343+(2953.4-222.3)+(-3.40986+(-3.012468--0.226746))+0-557.1--0.568242000000089</f>
        <v>5511.37266</v>
      </c>
      <c r="H155" s="3">
        <f>3024.8+(3092.4-230.3)+(1.542648+(1.577124-0.117453))+0-533.1-0.271880999999946</f>
        <v>5356.5304379999998</v>
      </c>
      <c r="I155" s="3">
        <f>2850.6+(3145.6-223)+(-1.453806+(-1.604256--0.11373))+0-596.6--0.304265999999939</f>
        <v>5173.9599339999995</v>
      </c>
      <c r="J155" s="3">
        <f>2916.7+(3022.1-237.6)+(-2.975034+(-3.082542--0.242352))+0-545.6--0.556512000000087</f>
        <v>5150.3412879999996</v>
      </c>
      <c r="K155" s="3">
        <f>2914.5+(3025.7-231)+(-1.486395+(-1.543107--0.11781))+0-574.8--0.293147999999942</f>
        <v>5131.7814559999997</v>
      </c>
      <c r="L155" s="3">
        <f>2809.4+(2936.9-222.8)+(-8.596764+(-8.986914--0.681768))+0-595.1--1.82100600000007</f>
        <v>4913.3190960000002</v>
      </c>
      <c r="M155" s="3">
        <f>2787.5+(2685.1-209.6)+(0+(0-0))+0-511.9-0</f>
        <v>4751.1000000000004</v>
      </c>
      <c r="N155" s="3">
        <f>2837.8+(2726.5-228.2)+(0+(0-0))+0-527-0</f>
        <v>4809.1000000000004</v>
      </c>
      <c r="O155" s="3">
        <f>3015.2+(2745.2-245.2)+(0+(0-0))+0-557-0</f>
        <v>4958.2</v>
      </c>
      <c r="P155" s="3">
        <f>3513.1+(2435.5-249.4)+(3.583362+(2.48421-0.254388))+0-583-0.594660000000093</f>
        <v>5121.4185239999997</v>
      </c>
      <c r="Q155" s="3">
        <f>4286.3+(2000.5-235.4)+(-4.372026+(-2.04051--0.240108))+0-596--0.607920000000095</f>
        <v>5449.8354920000002</v>
      </c>
      <c r="R155" s="3">
        <f>5243.1+(1134-272.2)+(5.347962+(1.15668-0.277644))+0-533-0.543660000000085</f>
        <v>5577.5833380000004</v>
      </c>
      <c r="S155" s="3">
        <f>5527+(1018.6-294.1)+(-8.45631+(-1.558458--0.449973))+0-548.8--0.839664000000032</f>
        <v>5693.9748689999997</v>
      </c>
      <c r="T155" s="3">
        <f>5674.6+(959.6-299.6)+(-2.894046+(-0.489396--0.152796))+0-522.1--0.266270999999947</f>
        <v>5809.5356249999995</v>
      </c>
      <c r="U155" s="3">
        <f>5549.1+(1047.5-277.3)+(0+(0-0))+0-520.9-0</f>
        <v>5798.4000000000005</v>
      </c>
      <c r="V155" s="3">
        <f>5328.1+(1291.3-251.4)+(-5.434662+(-1.317126--0.256428))+0-587.5--0.599250000000094</f>
        <v>5774.6038900000003</v>
      </c>
      <c r="W155" s="3">
        <f>4392.8+(1862.3-258.3)+(-6.720984+(-2.849319--0.395199))+0-434.1--0.664173000000025</f>
        <v>5554.189069</v>
      </c>
      <c r="X155" s="3">
        <f>3598.3+(2356.6-231.2)+(-3.670266+(-2.403732--0.235824))+0-551--0.562020000000088</f>
        <v>5167.4238460000006</v>
      </c>
      <c r="Y155" s="3">
        <f>3490.2+(2299.1-240.3)+(-3.560004+(-2.345082--0.245106))+0-518.6--0.528972000000083</f>
        <v>5025.2689919999993</v>
      </c>
      <c r="Z155" s="3">
        <f>5276.9+(1189.7-314.8)+(-2.691219+(-0.606747--0.160548))+0-540.8--0.275807999999945</f>
        <v>5608.1383899999992</v>
      </c>
      <c r="AA155" s="3">
        <f>5837.6+(873.3-341.8)+(-8.931528+(-1.336149--0.522954))+0-629.5--0.963135000000036</f>
        <v>5730.8184120000005</v>
      </c>
      <c r="AB155" s="3">
        <f>5025+(1404.7-267.1)+(0+(0-0))+0-472.9-0</f>
        <v>5689.7000000000007</v>
      </c>
      <c r="AC155" s="3">
        <f>4393+(2083.6-226.8)+(-2.24043+(-1.062636--0.115668))+0-544.5--0.277694999999945</f>
        <v>5702.3902969999999</v>
      </c>
      <c r="AD155">
        <f t="shared" si="2"/>
        <v>129010.51727199998</v>
      </c>
      <c r="AE155" s="3">
        <f>6086+(822.4-363)+(0+(0-0))+0-602.1-0</f>
        <v>5943.2999999999993</v>
      </c>
    </row>
    <row r="156" spans="1:31" customFormat="1" x14ac:dyDescent="0.25">
      <c r="A156">
        <v>89</v>
      </c>
      <c r="B156">
        <v>6</v>
      </c>
      <c r="C156">
        <v>1</v>
      </c>
      <c r="D156">
        <v>3</v>
      </c>
      <c r="E156">
        <v>1</v>
      </c>
      <c r="F156" s="3">
        <f>4007+(2462.9-220.4)+(0+(0-0))+0-573.4-0</f>
        <v>5676.1</v>
      </c>
      <c r="G156" s="3">
        <f>3780.8+(2516.4-237.3)+(-7.712832+(-5.133456--0.484092))+0-510.7--1.04182799999998</f>
        <v>5537.8796320000001</v>
      </c>
      <c r="H156" s="3">
        <f>3220.2+(2810.1-227.6)+(4.926906+(4.299453-0.348228))+0-481.4-0.736542000000028</f>
        <v>5329.4415890000009</v>
      </c>
      <c r="I156" s="3">
        <f>3073+(2958.6-224.6)+(-3.13446+(-3.017772--0.229092))+0-490.5--0.500310000000078</f>
        <v>5311.0771700000005</v>
      </c>
      <c r="J156" s="3">
        <f>3152.3+(2944.9-218)+(-1.607673+(-1.501899--0.11118))+0-526.6--0.268565999999947</f>
        <v>5349.8701739999997</v>
      </c>
      <c r="K156" s="3">
        <f>3122.7+(2928.3-217.6)+(-1.592577+(-1.493433--0.110976))+0-517.8--0.264077999999947</f>
        <v>5312.8890439999996</v>
      </c>
      <c r="L156" s="3">
        <f>3074.1+(2808.9-235.8)+(-3.135582+(-2.865078--0.240516))+0-640.6--0.653412000000102</f>
        <v>5001.4932679999993</v>
      </c>
      <c r="M156" s="3">
        <f>3003.1+(2544.2-229.1)+(3.063162+(2.595084-0.233682))+0-490.2-0.500004000000078</f>
        <v>4832.9245599999995</v>
      </c>
      <c r="N156" s="3">
        <f>2959.1+(2726.9-233.5)+(1.509141+(1.390719-0.119085))+0-567.5-0.289424999999942</f>
        <v>4887.4913500000002</v>
      </c>
      <c r="O156" s="3">
        <f>3030.6+(2752.8-228.2)+(1.545606+(1.403928-0.116382))+0-520-0.265199999999947</f>
        <v>5037.7679520000011</v>
      </c>
      <c r="P156" s="3">
        <f>3480.3+(2374.9-238.1)+(0+(0-0))+0-485.7-0</f>
        <v>5131.4000000000005</v>
      </c>
      <c r="Q156" s="3">
        <f>4010.9+(2090.7-227.9)+(2.045559+(1.066257-0.116229))+0-486.5-0.248114999999951</f>
        <v>5389.9474719999998</v>
      </c>
      <c r="R156" s="3">
        <f>4945.6+(1495.3-284.8)+(2.522256+(0.762603-0.145248))+0-533-0.271829999999946</f>
        <v>5625.9677810000003</v>
      </c>
      <c r="S156" s="3">
        <f>5281.7+(1395.3-344.2)+(0+(0-0))+0-614.9-0</f>
        <v>5717.9</v>
      </c>
      <c r="T156" s="3">
        <f>5468+(1290.3-408.4)+(0+(0-0))+0-576.7-0</f>
        <v>5773.2</v>
      </c>
      <c r="U156" s="3">
        <f>5516.9+(1200-481.7)+(2.813619+(0.612-0.245667))+0-449.8-0.229397999999954</f>
        <v>5788.3505539999996</v>
      </c>
      <c r="V156" s="3">
        <f>5175.5+(1343.8-321)+(2.639505+(0.685338-0.16371))+0-486.8-0.248267999999951</f>
        <v>5714.4128649999993</v>
      </c>
      <c r="W156" s="3">
        <f>4323.5+(2041.9-276.1)+(-2.204985+(-1.041369--0.140811))+0-547.7--0.279326999999944</f>
        <v>5538.7737840000009</v>
      </c>
      <c r="X156" s="3">
        <f>3384.7+(2633.1-287.7)+(-5.178591+(-4.028643--0.440181))+0-589.5--0.901935000000034</f>
        <v>5132.7348820000007</v>
      </c>
      <c r="Y156" s="3">
        <f>3588.4+(2257.8-278.7)+(-5.490252+(-3.454434--0.426411))+0-592.4--0.906372000000034</f>
        <v>4967.4880970000004</v>
      </c>
      <c r="Z156" s="3">
        <f>5126.6+(1249.5-285.8)+(-2.614566+(-0.637245--0.145758))+0-521--0.265709999999947</f>
        <v>5566.4596569999994</v>
      </c>
      <c r="AA156" s="3">
        <f>5239.4+(1287.9-306.2)+(-5.344188+(-1.313658--0.312324))+0-542.9--0.553758000000087</f>
        <v>5672.4082360000002</v>
      </c>
      <c r="AB156" s="3">
        <f>4666.1+(1862.6-293.5)+(0+(0-0))+0-602-0</f>
        <v>5633.2000000000007</v>
      </c>
      <c r="AC156" s="3">
        <f>4430+(1987.1-268.3)+(-4.5186+(-2.026842--0.273666))+0-450.5--0.459510000000072</f>
        <v>5692.4877340000003</v>
      </c>
      <c r="AD156">
        <f t="shared" si="2"/>
        <v>129621.665801</v>
      </c>
      <c r="AE156" s="3">
        <f>5637+(1051.7-321)+(0+(0-0))+0-670-0</f>
        <v>5697.7</v>
      </c>
    </row>
    <row r="157" spans="1:31" customFormat="1" x14ac:dyDescent="0.25">
      <c r="A157">
        <v>89</v>
      </c>
      <c r="B157">
        <v>6</v>
      </c>
      <c r="C157">
        <v>2</v>
      </c>
      <c r="D157">
        <v>4</v>
      </c>
      <c r="E157">
        <v>1</v>
      </c>
      <c r="F157" s="3">
        <f>3812.4+(2485.6-261.5)+(-1.944324+(-1.267656--0.133365))+0-501.4--0.255713999999949</f>
        <v>5532.2770989999999</v>
      </c>
      <c r="G157" s="3">
        <f>3365.6+(2844.1-239.4)+(-5.149368+(-4.351473--0.366282))+46-596.6--0.912798000000035</f>
        <v>5411.4782389999991</v>
      </c>
      <c r="H157" s="3">
        <f>3177.4+(2889.9-241.3)+(-1.620474+(-1.473849--0.123063))+0-564.1--0.287690999999943</f>
        <v>5259.2164309999989</v>
      </c>
      <c r="I157" s="3">
        <f>3106.5+(2771.8-245)+(1.584315+(1.413618-0.12495))+0-501.7-0.255866999999949</f>
        <v>5134.2171160000007</v>
      </c>
      <c r="J157" s="3">
        <f>3202.4+(2726.4-261.8)+(0+(0-0))+0-486.9-0</f>
        <v>5180.1000000000004</v>
      </c>
      <c r="K157" s="3">
        <f>3082.2+(2886-262.3)+(-7.85961+(-7.3593--0.668865))+0-636.5--1.62307499999991</f>
        <v>5056.4730299999992</v>
      </c>
      <c r="L157" s="3">
        <f>3035.9+(2553.5-218.7)+(0+(0-0))+0-470.7-0</f>
        <v>4900.0000000000009</v>
      </c>
      <c r="M157" s="3">
        <f>2935.4+(2538.4-226.1)+(-2.994108+(-2.589168--0.230622))+0-535.1--0.545802000000085</f>
        <v>4707.7931479999997</v>
      </c>
      <c r="N157" s="3">
        <f>2976.6+(2543.1-235.6)+(0+(0-0))+0-504.4-0</f>
        <v>4779.7000000000007</v>
      </c>
      <c r="O157" s="3">
        <f>3218+(2436.9-244.5)+(1.64118+(1.242819-0.124695))+0-446.9-0.227918999999955</f>
        <v>4966.0313850000002</v>
      </c>
      <c r="P157" s="3">
        <f>3482.3+(2271.9-238.7)+(1.775973+(1.158669-0.121737))+0-482.1-0.245870999999951</f>
        <v>5035.9670339999993</v>
      </c>
      <c r="Q157" s="3">
        <f>4464.8+(1601.5-233.3)+(0+(0-0))+0-557.2-0</f>
        <v>5275.8</v>
      </c>
      <c r="R157" s="3">
        <f>4981.8+(1321.2-230.6)+(-2.540718+(-0.673812--0.117606))+0-455.7--0.232406999999954</f>
        <v>5613.8354829999998</v>
      </c>
      <c r="S157" s="3">
        <f>5122.8+(1403.5-310)+(-2.612628+(-0.715785--0.1581))+0-554.5--0.282794999999944</f>
        <v>5658.9124820000006</v>
      </c>
      <c r="T157" s="3">
        <f>5221.7+(1660.2-562.8)+(2.663067+(0.846702-0.287028))+0-535.4-0.273053999999946</f>
        <v>5786.6496870000001</v>
      </c>
      <c r="U157" s="3">
        <f>5230.9+(1674.1-602.2)+(-5.335518+(-1.707582--0.614244))+0-453.3--0.462366000000072</f>
        <v>5843.5335099999984</v>
      </c>
      <c r="V157" s="3">
        <f>5174.2+(1583.8-541)+(0+(0-0))+0-455.5-0</f>
        <v>5761.5</v>
      </c>
      <c r="W157" s="3">
        <f>4313.4+(2038-285)+(-8.799336+(-4.15752--0.5814))+0-415.5--0.847619999999982</f>
        <v>5639.3721639999994</v>
      </c>
      <c r="X157" s="3">
        <f>3504.9+(2482.1-232.4)+(3.574998+(2.531742-0.237048))+0-543.4-0.554268000000087</f>
        <v>5216.5154240000011</v>
      </c>
      <c r="Y157" s="3">
        <f>3755.7+(2144.7-239.1)+(1.915407+(1.093797-0.121941))+0-562.2-0.286721999999943</f>
        <v>5101.7005409999992</v>
      </c>
      <c r="Z157" s="3">
        <f>5455+(1110.5-324.2)+(-5.5641+(-1.13271--0.330684))+0-516.1--0.526422000000082</f>
        <v>5719.3602959999998</v>
      </c>
      <c r="AA157" s="3">
        <f>5437.8+(1299.6-298.7)+(-8.319834+(-1.988388--0.457011))+0-674.7--1.03229100000004</f>
        <v>5755.1810800000003</v>
      </c>
      <c r="AB157" s="3">
        <f>4817.3+(1756.5-279.6)+(-7.370469+(-2.687445--0.427788))+0-556.6--0.851598000000032</f>
        <v>5728.8214720000005</v>
      </c>
      <c r="AC157" s="3">
        <f>4622.9+(1872.8-257.8)+(-4.715358+(-1.910256--0.262956))+0-502.3--0.51234600000008</f>
        <v>5729.7496879999999</v>
      </c>
      <c r="AD157">
        <f t="shared" si="2"/>
        <v>128794.18530899998</v>
      </c>
      <c r="AE157" s="3">
        <f>5917+(1045.2-347.5)+(0+(0-0))+0-760.4-0</f>
        <v>5854.3</v>
      </c>
    </row>
    <row r="158" spans="1:31" customFormat="1" x14ac:dyDescent="0.25">
      <c r="A158">
        <v>89</v>
      </c>
      <c r="B158">
        <v>6</v>
      </c>
      <c r="C158">
        <v>3</v>
      </c>
      <c r="D158">
        <v>5</v>
      </c>
      <c r="E158">
        <v>1</v>
      </c>
      <c r="F158" s="3">
        <f>4186.4+(2330.5-219.6)+(-2.135064+(-1.188555--0.111996))+0-538.7--0.274736999999945</f>
        <v>5755.663113999999</v>
      </c>
      <c r="G158" s="3">
        <f>3391+(2867.4-235)+(-3.45882+(-2.924748--0.2397))+0-505.4--0.515508000000081</f>
        <v>5512.3716400000003</v>
      </c>
      <c r="H158" s="3">
        <f>3130.7+(2967.4-244.5)+(0+(0-0))+0-526.1-0</f>
        <v>5327.5</v>
      </c>
      <c r="I158" s="3">
        <f>2874+(3117.9-238.5)+(-5.86296+(-6.360516--0.48654))+0-542.6--1.10690399999998</f>
        <v>5200.1699679999992</v>
      </c>
      <c r="J158" s="3">
        <f>3061.2+(3016.6-245.1)+(0+(0-0))+0-626.7-0</f>
        <v>5206</v>
      </c>
      <c r="K158" s="3">
        <f>2881.2+(2979-229)+(-1.469412+(-1.51929--0.11679))+0-517.2--0.263771999999948</f>
        <v>5111.3918600000006</v>
      </c>
      <c r="L158" s="3">
        <f>2779.9+(3054.9-228.6)+(-7.088745+(-7.789995--0.58293))+0-596.4--1.52081999999991</f>
        <v>4997.0250100000012</v>
      </c>
      <c r="M158" s="3">
        <f>2700.1+(2774.8-219.2)+(-4.131153+(-4.245444--0.335376))+0-435.1--0.665703000000025</f>
        <v>4813.2244819999996</v>
      </c>
      <c r="N158" s="3">
        <f>3070.1+(2639.5-235.7)+(1.565751+(1.346145-0.120207))+0-613.4-0.312833999999938</f>
        <v>4862.9788549999994</v>
      </c>
      <c r="O158" s="3">
        <f>3218.6+(2459-231.6)+(-1.641486+(-1.25409--0.118116))+0-450.5--0.229754999999954</f>
        <v>4992.952295</v>
      </c>
      <c r="P158" s="3">
        <f>3495.6+(2300.8-240.1)+(0+(0-0))+0-377.5-0</f>
        <v>5178.8</v>
      </c>
      <c r="Q158" s="3">
        <f>4338.2+(1860-238.6)+(0+(0-0))+0-537.4-0</f>
        <v>5422.2000000000007</v>
      </c>
      <c r="R158" s="3">
        <f>4933.5+(1476.1-261.1)+(0+(0-0))+0-542.5-0</f>
        <v>5606</v>
      </c>
      <c r="S158" s="3">
        <f>5149.8+(1462.6-278.1)+(-5.252796+(-1.491852--0.283662))+0-528.2--0.538764000000084</f>
        <v>5800.1777780000002</v>
      </c>
      <c r="T158" s="3">
        <f>5174.9+(1489.7-318.6)+(0+(0-0))+0-501.9-0</f>
        <v>5844.1</v>
      </c>
      <c r="U158" s="3">
        <f>4925+(1784.4-320.1)+(-2.51175+(-0.910044--0.163251))+0-473.4--0.241433999999952</f>
        <v>5912.8828910000002</v>
      </c>
      <c r="V158" s="3">
        <f>4623.2+(2003.6-273.4)+(2.357832+(1.021836-0.139434))+0-463.5-0.236384999999953</f>
        <v>5892.9038489999994</v>
      </c>
      <c r="W158" s="3">
        <f>3823.9+(2438.8-245.9)+(-1.950189+(-1.243788--0.125409))+0-362.3--0.184772999999963</f>
        <v>5651.6162050000003</v>
      </c>
      <c r="X158" s="3">
        <f>3177.5+(2718.5-238.1)+(-3.24105+(-2.77287--0.242862))+0-436.1--0.44482200000007</f>
        <v>5216.4737639999994</v>
      </c>
      <c r="Y158" s="3">
        <f>3518.1+(2281.3-241.8)+(-1.794231+(-1.163463--0.123318))+0-465.5--0.237404999999953</f>
        <v>5089.5030290000004</v>
      </c>
      <c r="Z158" s="3">
        <f>4792.4+(1563.9-305.3)+(-7.332372+(-2.392767--0.467109))+0-434.1--0.664173000000025</f>
        <v>5608.3061429999998</v>
      </c>
      <c r="AA158" s="3">
        <f>4765.5+(1696.2-283.1)+(-2.430405+(-0.865062--0.144381))+0-465.9--0.237608999999953</f>
        <v>5709.7865230000007</v>
      </c>
      <c r="AB158" s="3">
        <f>4305.2+(1982.1-219.5)+(-6.586956+(-3.032613--0.335835))+0-519.9--0.79544700000003</f>
        <v>5539.4117130000004</v>
      </c>
      <c r="AC158" s="3">
        <f>4349.7+(2009.7-250.7)+(-2.218347+(-1.024947--0.127857))+0-474.1--0.241790999999952</f>
        <v>5631.7263539999994</v>
      </c>
      <c r="AD158">
        <f t="shared" si="2"/>
        <v>129883.16547299999</v>
      </c>
      <c r="AE158" s="3">
        <f>4939+(1539.8-273.8)+(0+(0-0))+0-468.7-0</f>
        <v>5736.3</v>
      </c>
    </row>
    <row r="159" spans="1:31" customFormat="1" x14ac:dyDescent="0.25">
      <c r="A159">
        <v>89</v>
      </c>
      <c r="B159">
        <v>6</v>
      </c>
      <c r="C159">
        <v>4</v>
      </c>
      <c r="D159">
        <v>6</v>
      </c>
      <c r="E159">
        <v>1</v>
      </c>
      <c r="F159" s="3">
        <f>4252.5+(2086.1-230.6)+(-8.6751+(-4.255644--0.470424))+0-518.3--1.05733199999998</f>
        <v>5578.297012</v>
      </c>
      <c r="G159" s="3">
        <f>3531+(2614.2-224)+(-10.80486+(-7.999452--0.68544))+0-427.9--1.30937400000005</f>
        <v>5476.4905020000006</v>
      </c>
      <c r="H159" s="3">
        <f>3173.8+(2830-221.2)+(-3.237276+(-2.8866--0.225624))+0-500.4--0.51040800000008</f>
        <v>5276.8121560000009</v>
      </c>
      <c r="I159" s="3">
        <f>3058.5+(2791.6-223.7)+(6.23934+(5.694864-0.456348))+0-465.5-0.94961999999998</f>
        <v>5171.4282359999997</v>
      </c>
      <c r="J159" s="3">
        <f>2932.9+(2939.1-246.5)+(0+(0-0))+0-461.5-0</f>
        <v>5164</v>
      </c>
      <c r="K159" s="3">
        <f>2782+(2980.3-235.6)+(-7.0941+(-7.599765--0.60078))+0-539.5--1.37572499999992</f>
        <v>4974.4826400000002</v>
      </c>
      <c r="L159" s="3">
        <f>2542.7+(3030.5-245.9)+(-6.483885+(-7.727775--0.627045))+0-469.3--1.19671499999993</f>
        <v>4845.6120999999994</v>
      </c>
      <c r="M159" s="3">
        <f>2523.5+(2895-237.7)+(0+(0-0))+0-522.6-0</f>
        <v>4658.2</v>
      </c>
      <c r="N159" s="3">
        <f>2571.3+(2851.6-208.6)+(-1.311363+(-1.454316--0.106386))+0-487.8--0.248777999999951</f>
        <v>4724.0894850000004</v>
      </c>
      <c r="O159" s="3">
        <f>2792+(2840.1-231.1)+(-1.42392+(-1.448451--0.117861))+0-585.3--0.298502999999941</f>
        <v>4813.243993</v>
      </c>
      <c r="P159" s="3">
        <f>2884.6+(2794.4-221.5)+(-4.413438+(-4.275432--0.338895))+0-487.2--0.745416000000028</f>
        <v>4962.6954409999998</v>
      </c>
      <c r="Q159" s="3">
        <f>3522.1+(2253.7-207.8)+(0+(0-0))+0-426.9-0</f>
        <v>5141.1000000000004</v>
      </c>
      <c r="R159" s="3">
        <f>4281.3+(1913.7-225.8)+(4.366926+(1.951974-0.230316))+0-538.3-0.549066000000086</f>
        <v>5436.4395180000001</v>
      </c>
      <c r="S159" s="3">
        <f>4624.6+(1814.6-229.7)+(2.358546+(0.925446-0.117147))+0-586.3-0.299012999999941</f>
        <v>5626.0678319999997</v>
      </c>
      <c r="T159" s="3">
        <f>4603.9+(1745.5-261.1)+(-4.695978+(-1.78041--0.266322))+0-397.2--0.405144000000063</f>
        <v>5685.2950780000001</v>
      </c>
      <c r="U159" s="3">
        <f>4621.7+(1848.4-314.1)+(-7.071201+(-2.828052--0.480573))+0-397.7--0.608481000000023</f>
        <v>5749.4898010000006</v>
      </c>
      <c r="V159" s="3">
        <f>4352.1+(1996.8-257.1)+(-8.878284+(-4.073472--0.524484))+0-398.1--0.812123999999983</f>
        <v>5682.084852</v>
      </c>
      <c r="W159" s="3">
        <f>3705.4+(2545.8-239.3)+(-9.44877+(-6.49179--0.610215))+0-533.1--1.35940499999992</f>
        <v>5464.8290599999991</v>
      </c>
      <c r="X159" s="3">
        <f>3014.1+(2783.3-253.3)+(-3.074382+(-2.838966--0.258366))+0-532.3--0.542946000000085</f>
        <v>5006.6879640000006</v>
      </c>
      <c r="Y159" s="3">
        <f>3583.5+(2115.6-232.1)+(1.827585+(1.078956-0.118371))+0-578.4-0.294983999999941</f>
        <v>4891.0931860000001</v>
      </c>
      <c r="Z159" s="3">
        <f>4878.8+(1363.2-277)+(-7.464564+(-2.085696--0.42381))+0-574.2--0.878526000000033</f>
        <v>5382.5520760000009</v>
      </c>
      <c r="AA159" s="3">
        <f>4513+(1715.9-207.7)+(-11.50815+(-4.375545--0.529635))+0-544.6--1.38872999999992</f>
        <v>5462.6346699999995</v>
      </c>
      <c r="AB159" s="3">
        <f>4053.8+(2172.3-227.7)+(-2.067438+(-1.107873--0.116127))+0-599.3--0.305642999999939</f>
        <v>5396.3464590000003</v>
      </c>
      <c r="AC159" s="3">
        <f>3961.8+(2238.7-233.1)+(-8.082072+(-4.566948--0.475524))+0-499.1--1.01816399999998</f>
        <v>5457.144667999999</v>
      </c>
      <c r="AD159">
        <f t="shared" si="2"/>
        <v>126027.116729</v>
      </c>
      <c r="AE159" s="3">
        <f>5041.2+(1121.9-288.5)+(0+(0-0))+0-541-0</f>
        <v>5333.6</v>
      </c>
    </row>
    <row r="160" spans="1:31" customFormat="1" x14ac:dyDescent="0.25">
      <c r="A160">
        <v>89</v>
      </c>
      <c r="B160">
        <v>6</v>
      </c>
      <c r="C160">
        <v>5</v>
      </c>
      <c r="D160">
        <v>7</v>
      </c>
      <c r="E160">
        <v>1</v>
      </c>
      <c r="F160" s="3">
        <f>3568.6+(2557.4-230.5)+(-1.819986+(-1.304274--0.117555))+0-478--0.243779999999952</f>
        <v>5414.737075</v>
      </c>
      <c r="G160" s="3">
        <f>3228.6+(2969.1-236)+(-1.646586+(-1.514241--0.12036))+0-595.1--0.30350099999994</f>
        <v>5363.863034</v>
      </c>
      <c r="H160" s="3">
        <f>3002.3+(3011.7-213.2)+(-9.187038+(-9.215802--0.652392))+0-569.5--1.74267000000007</f>
        <v>5215.292222</v>
      </c>
      <c r="I160" s="3">
        <f>2808+(3019-191.1)+(4.29624+(4.61907-0.292383))+0-573.2-0.876996000000033</f>
        <v>5070.4459310000002</v>
      </c>
      <c r="J160" s="3">
        <f>3171.8+(2713.6-222.7)+(-6.470472+(-5.535744--0.454308))+0-491.9--1.00347599999998</f>
        <v>5160.2515680000006</v>
      </c>
      <c r="K160" s="3">
        <f>2913+(2957.6-226.3)+(-1.48563+(-1.508376--0.115413))+0-554.6--0.282845999999944</f>
        <v>5087.1042529999986</v>
      </c>
      <c r="L160" s="3">
        <f>2634.4+(3044.8-232.4)+(0+(0-0))+0-521.8-0</f>
        <v>4925</v>
      </c>
      <c r="M160" s="3">
        <f>2567+(2871.9-228.4)+(0+(0-0))+0-462.4-0</f>
        <v>4748.1000000000004</v>
      </c>
      <c r="N160" s="3">
        <f>2631.8+(2891-220.4)+(0+(0-0))+0-527.4-0</f>
        <v>4775</v>
      </c>
      <c r="O160" s="3">
        <f>2706.7+(2756.6-232.4)+(-2.760834+(-2.811732--0.237048))+0-425.9--0.434418000000068</f>
        <v>4800.0989</v>
      </c>
      <c r="P160" s="3">
        <f>2767.6+(2763.6-202.4)+(-2.822952+(-2.818872--0.206448))+0-417.2--0.425544000000067</f>
        <v>4906.5901679999988</v>
      </c>
      <c r="Q160" s="3">
        <f>2929.6+(2889.7-189.2)+(0+(0-0))+0-458.8-0</f>
        <v>5171.3</v>
      </c>
      <c r="R160" s="3">
        <f>3216.5+(2787-203.3)+(-1.640415+(-1.42137--0.103683))+0-507.2--0.258671999999949</f>
        <v>5290.3005700000003</v>
      </c>
      <c r="S160" s="3">
        <f>3257.7+(2873.3-217.8)+(-3.322854+(-2.930766--0.222156))+0-424.9--0.433398000000068</f>
        <v>5482.7019340000006</v>
      </c>
      <c r="T160" s="3">
        <f>3661+(2623.7-210.1)+(-5.60133+(-4.014261--0.321453))+0-445--0.680850000000026</f>
        <v>5620.9867119999999</v>
      </c>
      <c r="U160" s="3">
        <f>3740.4+(2629.5-229.7)+(-7.630416+(-5.36418--0.468588))+0-490.2--1.00000799999998</f>
        <v>5638.4740000000011</v>
      </c>
      <c r="V160" s="3">
        <f>3633.1+(2613.3-225.4)+(-3.705762+(-2.665566--0.229908))+0-463.9--0.473178000000074</f>
        <v>5551.4317580000006</v>
      </c>
      <c r="W160" s="3">
        <f>3095.4+(2956.2-202.7)+(3.157308+(3.015324-0.206754))+0-507.7-0.517854000000081</f>
        <v>5346.6480240000001</v>
      </c>
      <c r="X160" s="3">
        <f>3237.7+(2429.9-203.1)+(0+(0-0))+0-545.1-0</f>
        <v>4919.3999999999996</v>
      </c>
      <c r="Y160" s="3">
        <f>3482.3+(2007.2-220)+(0+(0-0))+0-402.1-0</f>
        <v>4867.3999999999996</v>
      </c>
      <c r="Z160" s="3">
        <f>4554+(1677.4-254)+(-2.32254+(-0.855474--0.12954))+0-514.6--0.262445999999948</f>
        <v>5460.0139719999988</v>
      </c>
      <c r="AA160" s="3">
        <f>4440.6+(1892.2-255.1)+(-2.264706+(-0.965022--0.130101))+0-517.5--0.263924999999948</f>
        <v>5557.3642980000013</v>
      </c>
      <c r="AB160" s="3">
        <f>3997.9+(2246.1-201.9)+(-4.077858+(-2.291022--0.205938))+0-455.3--0.464406000000073</f>
        <v>5581.1014640000003</v>
      </c>
      <c r="AC160" s="3">
        <f>4166.8+(2128.6-214.8)+(0+(0-0))+0-586.3-0</f>
        <v>5494.3</v>
      </c>
      <c r="AD160">
        <f t="shared" si="2"/>
        <v>125447.905883</v>
      </c>
      <c r="AE160" s="3">
        <f>4538+(1732.4-282.3)+(0+(0-0))+0-533.2-0</f>
        <v>5454.9000000000005</v>
      </c>
    </row>
    <row r="161" spans="1:31" customFormat="1" x14ac:dyDescent="0.25">
      <c r="A161">
        <v>89</v>
      </c>
      <c r="B161">
        <v>6</v>
      </c>
      <c r="C161">
        <v>6</v>
      </c>
      <c r="D161">
        <v>1</v>
      </c>
      <c r="E161">
        <v>1</v>
      </c>
      <c r="F161" s="3">
        <f>3583.3+(2730.1-217.8)+(-1.827483+(-1.392351--0.111078))+0-624.7--0.318596999999937</f>
        <v>5468.1098410000004</v>
      </c>
      <c r="G161" s="3">
        <f>3195.3+(2953.3-229.2)+(0+(0-0))+0-596.9-0</f>
        <v>5322.5000000000009</v>
      </c>
      <c r="H161" s="3">
        <f>2967.6+(2942.7-233.5)+(-6.053904+(-6.003108--0.47634))+0-538--1.09751999999998</f>
        <v>5128.3168479999995</v>
      </c>
      <c r="I161" s="3">
        <f>3020.6+(2901.4-244.9)+(0+(0-0))+0-503.3-0</f>
        <v>5173.8</v>
      </c>
      <c r="J161" s="3">
        <f>3102.1+(2801.4-240.3)+(-3.164142+(-2.857428--0.245106))+0-523.3--0.533766000000083</f>
        <v>5134.6573020000005</v>
      </c>
      <c r="K161" s="3">
        <f>2891.6+(2930.4-244.8)+(-7.37358+(-7.47252--0.62424))+0-458.3--1.16866499999993</f>
        <v>5105.8468050000001</v>
      </c>
      <c r="L161" s="3">
        <f>2788.8+(2849.8-238.1)+(-8.533728+(-8.720388--0.728586))+0-482.7--1.47706200000006</f>
        <v>4902.7515320000002</v>
      </c>
      <c r="M161" s="3">
        <f>2794.7+(2608.3-241.1)+(1.425297+(1.330233-0.122961))+0-395.8-0.20185799999996</f>
        <v>4768.5307109999994</v>
      </c>
      <c r="N161" s="3">
        <f>2928.3+(2590.6-252.2)+(0+(0-0))+0-427.4-0</f>
        <v>4839.3000000000011</v>
      </c>
      <c r="O161" s="3">
        <f>3185+(2435.5-249.4)+(-1.62435+(-1.242105--0.127194))+0-432.7--0.220676999999956</f>
        <v>4935.8814160000011</v>
      </c>
      <c r="P161" s="3">
        <f>3674.1+(2003-225.3)+(3.747582+(2.04306-0.229806))+0-356.6-0.363732000000057</f>
        <v>5100.3971039999997</v>
      </c>
      <c r="Q161" s="3">
        <f>4596.1+(1397.8-262.3)+(2.344011+(0.712878-0.133773))+0-429.6-0.219095999999956</f>
        <v>5304.7040200000001</v>
      </c>
      <c r="R161" s="3">
        <f>4881.2+(1244.7-324.4)+(2.489412+(0.634797-0.165444))+0-353.4-0.180233999999964</f>
        <v>5450.8785310000003</v>
      </c>
      <c r="S161" s="3">
        <f>5021.6+(1530.4-375.1)+(0+(0-0))+0-417-0</f>
        <v>5759.9000000000005</v>
      </c>
      <c r="T161" s="3">
        <f>4858+(1685.8-384.2)+(0+(0-0))+0-479.1-0</f>
        <v>5680.5</v>
      </c>
      <c r="U161" s="3">
        <f>4374.1+(2205.3-287.4)+(-8.923164+(-4.498812--0.586296))+0-464.8--0.94819199999998</f>
        <v>5815.3125119999995</v>
      </c>
      <c r="V161" s="3">
        <f>4180.1+(2248.3-214.7)+(-10.659255+(-5.733165--0.547485))+0-489.1--1.24720499999993</f>
        <v>5710.00227</v>
      </c>
      <c r="W161" s="3">
        <f>3413+(2740.1-216.7)+(-6.96252+(-5.589804--0.442068))+0-427.8--0.872711999999981</f>
        <v>5497.3624559999998</v>
      </c>
      <c r="X161" s="3">
        <f>3222.8+(2676.4-237.7)+(-4.930884+(-4.094892--0.363681))+0-543.1--0.830943000000031</f>
        <v>5110.5688479999999</v>
      </c>
      <c r="Y161" s="3">
        <f>3506.8+(2237.9-243.2)+(1.788468+(1.141329-0.124032))+0-497.1-0.25352099999995</f>
        <v>5006.9522440000001</v>
      </c>
      <c r="Z161" s="3">
        <f>4428.6+(1855.5-255.1)+(-9.034344+(-3.78522--0.520404))+0-492.9--1.00551599999998</f>
        <v>5524.806356000001</v>
      </c>
      <c r="AA161" s="3">
        <f>4517.3+(1806.7-245.2)+(-13.822938+(-5.528502--0.750312))+0-483.9--1.48073400000006</f>
        <v>5577.7796060000001</v>
      </c>
      <c r="AB161" s="3">
        <f>4798.3+(1605.3-247)+(-4.894266+(-1.637406--0.25194))+0-589.9--0.601698000000094</f>
        <v>5561.0219660000012</v>
      </c>
      <c r="AC161" s="3">
        <f>4714.1+(1609-231.4)+(-4.808382+(-1.64118--0.236028))+0-569.9--0.581298000000091</f>
        <v>5516.1677640000007</v>
      </c>
      <c r="AD161">
        <f t="shared" si="2"/>
        <v>127396.048132</v>
      </c>
      <c r="AE161" s="3">
        <f>4772+(1725.1-260.2)+(0+(0-0))+0-493.9-0</f>
        <v>5743</v>
      </c>
    </row>
    <row r="162" spans="1:31" customFormat="1" x14ac:dyDescent="0.25">
      <c r="A162">
        <v>89</v>
      </c>
      <c r="B162">
        <v>6</v>
      </c>
      <c r="C162">
        <v>7</v>
      </c>
      <c r="D162">
        <v>2</v>
      </c>
      <c r="E162">
        <v>1</v>
      </c>
      <c r="F162" s="3">
        <f>4580.1+(1601.1-231.2)+(-4.671702+(-1.633122--0.235824))+0-444.1--0.452982000000071</f>
        <v>5500.283981999999</v>
      </c>
      <c r="G162" s="3">
        <f>3839.6+(2396-204.4)+(-7.832784+(-4.88784--0.416976))+0-635.3--1.29601199999997</f>
        <v>5384.8923639999994</v>
      </c>
      <c r="H162" s="3">
        <f>3312.1+(2699.4-212.2)+(-8.445855+(-6.88347--0.54111))+0-552.7--1.40938499999992</f>
        <v>5233.2211700000007</v>
      </c>
      <c r="I162" s="3">
        <f>3020.2+(2835.2-228.5)+(-3.080604+(-2.891904--0.23307))+0-454.1--0.463182000000072</f>
        <v>5167.5237440000001</v>
      </c>
      <c r="J162" s="3">
        <f>3096.8+(2879-229)+(6.317472+(5.87316-0.46716))+0-547.7-1.11730799999998</f>
        <v>5209.7061640000002</v>
      </c>
      <c r="K162" s="3">
        <f>3028.5+(2777.4-223.1)+(-4.633605+(-4.249422--0.341343))+0-559.8--0.856494000000032</f>
        <v>5015.3148099999999</v>
      </c>
      <c r="L162" s="3">
        <f>2866.1+(2731.9-239.7)+(0+(0-0))+0-549.4-0</f>
        <v>4808.9000000000005</v>
      </c>
      <c r="M162" s="3">
        <f>2903.8+(2445.2-211.6)+(0+(0-0))+0-484-0</f>
        <v>4653.3999999999996</v>
      </c>
      <c r="N162" s="3">
        <f>3036.4+(2331.1-205.5)+(3.097128+(2.377722-0.20961))+0-447.7-0.456654000000071</f>
        <v>4719.1085860000003</v>
      </c>
      <c r="O162" s="3">
        <f>3175.8+(2432.7-237.2)+(-1.619658+(-1.240677--0.120972))+0-601--0.306509999999939</f>
        <v>4767.8671470000008</v>
      </c>
      <c r="P162" s="3">
        <f>3494.8+(2202-237.9)+(0+(0-0))+0-457.8-0</f>
        <v>5001.0999999999995</v>
      </c>
      <c r="Q162" s="3">
        <f>3884.8+(1947.3-239.1)+(1.981248+(0.993123-0.121941))+0-433.3-0.220982999999956</f>
        <v>5162.3314469999996</v>
      </c>
      <c r="R162" s="3">
        <f>4751.7+(1542.8-349.6)+(-7.270101+(-2.360484--0.534888))+0-619--0.947070000000036</f>
        <v>5317.7513730000001</v>
      </c>
      <c r="S162" s="3">
        <f>4638.2+(1719.6-284.7)+(-7.096446+(-2.630988--0.435591))+0-528.5--0.808605000000031</f>
        <v>5536.1167619999997</v>
      </c>
      <c r="T162" s="3">
        <f>4832.4+(1698.9-295.6)+(-7.393572+(-2.599317--0.452268))+0-525.3--0.80370900000003</f>
        <v>5701.6630879999993</v>
      </c>
      <c r="U162" s="3">
        <f>4795.2+(1749.3-299.9)+(-4.891104+(-1.784286--0.305898))+0-521.5--0.531930000000083</f>
        <v>5717.2624380000007</v>
      </c>
      <c r="V162" s="3">
        <f>4524.3+(1935.2-234.5)+(-18.459144+(-7.895616--0.95676))+0-566.7--2.31213599999995</f>
        <v>5635.2141359999996</v>
      </c>
      <c r="W162" s="3">
        <f>3854.7+(2371.3-208.2)+(-7.863588+(-4.837452--0.424728))+0-432.2--0.881687999999981</f>
        <v>5574.2053760000008</v>
      </c>
      <c r="X162" s="3">
        <f>3123+(2521.8-225.7)+(-3.18546+(-2.572236--0.230214))+0-463.5--0.472770000000074</f>
        <v>4950.5452880000003</v>
      </c>
      <c r="Y162" s="3">
        <f>3588.1+(1996.7-237.5)+(1.829931+(1.018317-0.121125))+0-537.8-0.274277999999945</f>
        <v>4811.9528449999998</v>
      </c>
      <c r="Z162" s="3">
        <f>4616.1+(1502.6-245.3)+(-7.062633+(-2.298978--0.375309))+0-536.4--0.820692000000031</f>
        <v>5328.8343900000009</v>
      </c>
      <c r="AA162" s="3">
        <f>4802.9+(1483.5-265.2)+(-14.696874+(-4.53951--0.811512))+0-582.3--1.78183800000007</f>
        <v>5422.2569659999999</v>
      </c>
      <c r="AB162" s="3">
        <f>4747.2+(1480.8-271.8)+(-7.263216+(-2.265624--0.415854))+0-581.7--0.890001000000034</f>
        <v>5366.2770149999997</v>
      </c>
      <c r="AC162" s="3">
        <f>4690.7+(1523.7-266)+(-4.784514+(-1.554174--0.27132))+0-558.7--0.569874000000089</f>
        <v>5384.2025059999996</v>
      </c>
      <c r="AD162">
        <f t="shared" si="2"/>
        <v>125369.931597</v>
      </c>
      <c r="AE162" s="3">
        <f>4877+(1476.9-277.5)+(0+(0-0))+0-647.6-0</f>
        <v>5428.7999999999993</v>
      </c>
    </row>
    <row r="163" spans="1:31" customFormat="1" x14ac:dyDescent="0.25">
      <c r="A163">
        <v>89</v>
      </c>
      <c r="B163">
        <v>6</v>
      </c>
      <c r="C163">
        <v>8</v>
      </c>
      <c r="D163">
        <v>3</v>
      </c>
      <c r="E163">
        <v>1</v>
      </c>
      <c r="F163" s="3">
        <f>3951.2+(2172.6-236.6)+(-4.030224+(-2.216052--0.241332))+0-552.5--0.563550000000088</f>
        <v>5329.2586059999994</v>
      </c>
      <c r="G163" s="3">
        <f>3381.1+(2638.1-240)+(-1.724361+(-1.345431--0.1224))+0-580.3--0.295952999999941</f>
        <v>5196.2485609999994</v>
      </c>
      <c r="H163" s="3">
        <f>3199.3+(2670.7-228.6)+(0+(0-0))+0-541.2-0</f>
        <v>5100.2</v>
      </c>
      <c r="I163" s="3">
        <f>3173.8+(2615.6-222.9)+(-3.237276+(-2.667912--0.227358))+0-572.2--0.583644000000091</f>
        <v>4989.2058140000008</v>
      </c>
      <c r="J163" s="3">
        <f>3089.3+(2552.7-218.1)+(1.575543+(1.301877-0.111231))+0-472.2-0.240821999999952</f>
        <v>4954.225367</v>
      </c>
      <c r="K163" s="3">
        <f>3038.1+(2547.3-230.5)+(-6.197724+(-5.196492--0.47022))+0-420.5--0.857819999999982</f>
        <v>4924.3338239999994</v>
      </c>
      <c r="L163" s="3">
        <f>3023.3+(2399.7-215.3)+(-9.251298+(-7.343082--0.658818))+0-536.6--1.64199600000006</f>
        <v>4656.8064340000001</v>
      </c>
      <c r="M163" s="3">
        <f>3069.6+(2060.3-209.4)+(3.130992+(2.101506-0.213588))+0-504.5-0.51459000000008</f>
        <v>4420.50432</v>
      </c>
      <c r="N163" s="3">
        <f>3194.9+(1972.6-218.5)+(1.629399+(1.006026-0.111435))+0-539-0.274889999999945</f>
        <v>4412.2491</v>
      </c>
      <c r="O163" s="3">
        <f>3305.3+(1890.7-216.8)+(0+(0-0))+0-435.2-0</f>
        <v>4544.0000000000009</v>
      </c>
      <c r="P163" s="3">
        <f>3852.9+(1611.8-235.8)+(7.859916+(3.288072-0.481032))+0-534.6-1.09058399999998</f>
        <v>4703.8763719999997</v>
      </c>
      <c r="Q163" s="3">
        <f>4583.8+(1082.4-298)+(4.675476+(1.104048-0.30396))+0-476.7-0.486234000000076</f>
        <v>4896.4893300000012</v>
      </c>
      <c r="R163" s="3">
        <f>5448.6+(666.6-456.8)+(-2.778786+(-0.339966--0.232968))+0-494.5--0.25219499999995</f>
        <v>5161.2664110000005</v>
      </c>
      <c r="S163" s="3">
        <f>5664.6+(686.4-372.6)+(0+(0-0))+0-471-0</f>
        <v>5507.4000000000005</v>
      </c>
      <c r="T163" s="3">
        <f>6257.9+(492.1-569.6)+(3.191529+(0.250971-0.290496))+0-523.9-0.267188999999947</f>
        <v>5659.3848149999994</v>
      </c>
      <c r="U163" s="3">
        <f>6239.7+(537.2-620)+(3.182247+(0.273972-0.3162))+0-522.9-0.266678999999947</f>
        <v>5636.8733400000001</v>
      </c>
      <c r="V163" s="3">
        <f>5892.6+(629.9-423.4)+(-9.015678+(-0.963747--0.647802))+0-487.1--0.745263000000028</f>
        <v>5603.4136399999998</v>
      </c>
      <c r="W163" s="3">
        <f>4584.4+(1470.1-226.7)+(-7.014132+(-2.249253--0.346851))+0-477.6--0.730728000000028</f>
        <v>5342.0141939999994</v>
      </c>
      <c r="X163" s="3">
        <f>3567.8+(2076.3-245.7)+(-1.819578+(-1.058913--0.125307))+0-462.5--0.235874999999953</f>
        <v>4933.3826910000007</v>
      </c>
      <c r="Y163" s="3">
        <f>3973.9+(1681-254.9)+(2.026689+(0.85731-0.129999))+0-611.7-0.311966999999938</f>
        <v>4790.7420330000004</v>
      </c>
      <c r="Z163" s="3">
        <f>5407.4+(746.6-294.8)+(-2.757774+(-0.380766--0.150348))+0-478.8--0.244187999999951</f>
        <v>5377.6559959999995</v>
      </c>
      <c r="AA163" s="3">
        <f>5160.2+(1135.3-258.1)+(0+(0-0))+0-642.4-0</f>
        <v>5395</v>
      </c>
      <c r="AB163" s="3">
        <f>4324.9+(1794.6-231.6)+(-4.411398+(-1.830492--0.236232))+0-526.7--0.537234000000084</f>
        <v>5355.7315760000001</v>
      </c>
      <c r="AC163" s="3">
        <f>4082.3+(2076.4-216.1)+(0+(0-0))+0-589.4-0</f>
        <v>5353.2000000000007</v>
      </c>
      <c r="AD163">
        <f t="shared" si="2"/>
        <v>122243.46242400001</v>
      </c>
      <c r="AE163" s="3">
        <f>5582+(832.9-313.3)+(0+(0-0))+0-528.8-0</f>
        <v>5572.8</v>
      </c>
    </row>
    <row r="164" spans="1:31" customFormat="1" x14ac:dyDescent="0.25">
      <c r="A164">
        <v>89</v>
      </c>
      <c r="B164">
        <v>6</v>
      </c>
      <c r="C164">
        <v>9</v>
      </c>
      <c r="D164">
        <v>4</v>
      </c>
      <c r="E164">
        <v>1</v>
      </c>
      <c r="F164" s="3">
        <f>3502+(2689.3-240.7)+(-8.9301+(-6.857715--0.613785))+0-593.3--1.51291499999991</f>
        <v>5343.6388850000003</v>
      </c>
      <c r="G164" s="3">
        <f>3318.9+(2575.8-237.3)+(-6.770556+(-5.254632--0.484092))+0-454.1--0.92636399999998</f>
        <v>5192.6852679999993</v>
      </c>
      <c r="H164" s="3">
        <f>3117.4+(2728.7-228.6)+(-4.769622+(-4.174911--0.349758))+0-605.6--0.926568000000035</f>
        <v>5004.2317929999999</v>
      </c>
      <c r="I164" s="3">
        <f>2861.6+(2788.6-217.4)+(-7.29708+(-7.11093--0.55437))+0-514.1--1.31095499999993</f>
        <v>4906.1573149999986</v>
      </c>
      <c r="J164" s="3">
        <f>3056.5+(2578.3-223.1)+(0+(0-0))+0-568-0</f>
        <v>4843.7000000000007</v>
      </c>
      <c r="K164" s="3">
        <f>2984.8+(2566.4-214.9)+(-7.61124+(-6.54432--0.547995))+0-616.7--1.57258499999991</f>
        <v>4707.56502</v>
      </c>
      <c r="L164" s="3">
        <f>2944.9+(2238.1-228.2)+(-6.007596+(-4.565724--0.465528))+0-535.6--1.09262399999998</f>
        <v>4410.1848319999999</v>
      </c>
      <c r="M164" s="3">
        <f>2898+(2079.1-203.1)+(0+(0-0))+0-616.4-0</f>
        <v>4157.6000000000004</v>
      </c>
      <c r="N164" s="3">
        <f>3088.3+(1781.9-211.2)+(1.575033+(0.908769-0.107712))+0-402.4-0.205223999999959</f>
        <v>4258.7708659999998</v>
      </c>
      <c r="O164" s="3">
        <f>3181.5+(1892.8-221.6)+(0+(0-0))+0-442.6-0</f>
        <v>4410.0999999999995</v>
      </c>
      <c r="P164" s="3">
        <f>3867.2+(1353.6-255)+(1.972272+(0.690336-0.13005))+0-479.5-0.244544999999951</f>
        <v>4488.5880129999996</v>
      </c>
      <c r="Q164" s="3">
        <f>4891.5+(729.4-416.2)+(7.483995+(1.115982-0.636786))+0-457-0.699210000000026</f>
        <v>4754.9639809999999</v>
      </c>
      <c r="R164" s="3">
        <f>5960+(447.4-663.1)+(3.0396+(0.228174-0.338181))+0-623.5-0.317984999999937</f>
        <v>5123.4116080000003</v>
      </c>
      <c r="S164" s="3">
        <f>6064.3+(503.8-620.1)+(0+(0-0))+0-506.8-0</f>
        <v>5441.2</v>
      </c>
      <c r="T164" s="3">
        <f>6991.6+(371.4-1250.7)+(3.565716+(0.189414-0.637857))+0-506-0.258059999999949</f>
        <v>5609.1592129999999</v>
      </c>
      <c r="U164" s="3">
        <f>6841.8+(370-1058.9)+(-17.44659+(-0.9435--2.700195))+0-530.1--1.35175499999992</f>
        <v>5608.4618599999985</v>
      </c>
      <c r="V164" s="3">
        <f>6145.4+(523.4-737.6)+(-6.268308+(-0.533868--0.752352))+0-433.1--0.441762000000069</f>
        <v>5492.4919380000001</v>
      </c>
      <c r="W164" s="3">
        <f>5244.3+(957-325.3)+(-5.349186+(-0.97614--0.331806))+0-537.1--0.547842000000086</f>
        <v>5333.4543219999996</v>
      </c>
      <c r="X164" s="3">
        <f>3555.2+(2117.7-238)+(-3.626304+(-2.160054--0.24276))+0-604.1--0.616182000000096</f>
        <v>4825.8725839999988</v>
      </c>
      <c r="Y164" s="3">
        <f>3609.4+(1778.7-224.2)+(-3.681588+(-1.814274--0.228684))+0-493.5--0.503370000000079</f>
        <v>4665.6361919999999</v>
      </c>
      <c r="Z164" s="3">
        <f>4917.3+(1198.4-330.2)+(0+(0-0))+0-610.6-0</f>
        <v>5174.8999999999996</v>
      </c>
      <c r="AA164" s="3">
        <f>4673.9+(1391.6-262.4)+(-9.534756+(-2.838864--0.535296))+0-555--1.13219999999998</f>
        <v>5237.3938759999992</v>
      </c>
      <c r="AB164" s="3">
        <f>3805.2+(2135.7-242.6)+(0+(0-0))+0-516.7-0</f>
        <v>5181.5999999999995</v>
      </c>
      <c r="AC164" s="3">
        <f>3515.7+(2327-226.5)+(-8.965035+(-5.93385--0.577575))+0-444--1.13219999999994</f>
        <v>5159.0108899999996</v>
      </c>
      <c r="AD164">
        <f t="shared" si="2"/>
        <v>119330.77845600001</v>
      </c>
      <c r="AE164" s="3">
        <f>5152+(1082.7-387.3)+(0+(0-0))+0-654.8-0</f>
        <v>5192.5999999999995</v>
      </c>
    </row>
    <row r="165" spans="1:31" customFormat="1" x14ac:dyDescent="0.25">
      <c r="A165">
        <v>89</v>
      </c>
      <c r="B165">
        <v>6</v>
      </c>
      <c r="C165">
        <v>10</v>
      </c>
      <c r="D165">
        <v>5</v>
      </c>
      <c r="E165">
        <v>5</v>
      </c>
      <c r="F165" s="3">
        <f>3449.4+(2470.9-249)+(-5.277582+(-3.780477--0.38097))+0-547.8--0.838134000000032</f>
        <v>5115.6610449999998</v>
      </c>
      <c r="G165" s="3">
        <f>3325.4+(2503.9-228.6)+(-5.087862+(-3.830967--0.349758))+0-551.5--0.843795000000032</f>
        <v>5041.4747240000006</v>
      </c>
      <c r="H165" s="3">
        <f>3184.9+(2454-236.2)+(-1.624299+(-1.25154--0.120462))+0-485.8--0.247757999999951</f>
        <v>4914.3923809999997</v>
      </c>
      <c r="I165" s="3">
        <f>3031.7+(2647.2-237)+(-3.092334+(-2.700144--0.24174))+0-581.9--0.593538000000093</f>
        <v>4855.0428000000002</v>
      </c>
      <c r="J165" s="3">
        <f>3035.9+(2612.8-250.1)+(-6.193236+(-5.330112--0.510204))+0-553.2--1.12852799999998</f>
        <v>4835.5153840000012</v>
      </c>
      <c r="K165" s="3">
        <f>2995.3+(2621.8-240.2)+(-7.638015+(-6.68559--0.61251))+0-591.1--1.50730499999991</f>
        <v>4773.5962100000006</v>
      </c>
      <c r="L165" s="3">
        <f>2886.5+(2586.6-234.5)+(-7.360575+(-6.59583--0.597975))+0-636.9--1.62409499999991</f>
        <v>4589.9656650000006</v>
      </c>
      <c r="M165" s="3">
        <f>2738.4+(2343.4-232)+(0+(0-0))+0-476-0</f>
        <v>4373.8</v>
      </c>
      <c r="N165" s="3">
        <f>2623.6+(2362.3-229.9)+(-2.676072+(-2.409546--0.234498))+0-429.7--0.438294000000069</f>
        <v>4321.8871740000004</v>
      </c>
      <c r="O165" s="3">
        <f>2720.7+(2416.8-230.4)+(-2.775114+(-2.465136--0.235008))+0-527.9--0.538458000000084</f>
        <v>4374.7332160000005</v>
      </c>
      <c r="P165" s="3">
        <f>2788.6+(2530.3-207.9)+(-1.422186+(-1.290453--0.106029))+0-633.7--0.323186999999936</f>
        <v>4475.0165770000003</v>
      </c>
      <c r="Q165" s="3">
        <f>2911.4+(2489.1-225.6)+(2.969628+(2.538882-0.230112))+0-467.7-0.477054000000075</f>
        <v>4712.0013440000002</v>
      </c>
      <c r="R165" s="3">
        <f>3050.3+(2750.8-215.8)+(-1.555653+(-1.402908--0.110058))+0-580.8--0.296207999999941</f>
        <v>5001.9477049999996</v>
      </c>
      <c r="S165" s="3">
        <f>3702.5+(2317-213.2)+(-1.888275+(-1.18167--0.108732))+0-571.8--0.291617999999942</f>
        <v>5231.8304050000006</v>
      </c>
      <c r="T165" s="3">
        <f>3939+(2094.5-224.1)+(0+(0-0))+0-482.7-0</f>
        <v>5326.7</v>
      </c>
      <c r="U165" s="3">
        <f>4113+(1989.7-214.3)+(-8.39052+(-4.058988--0.437172))+0-540.2--1.10200799999998</f>
        <v>5337.2896719999999</v>
      </c>
      <c r="V165" s="3">
        <f>3952.3+(2140-235)+(-2.015673+(-1.0914--0.11985))+0-552.9--0.281978999999944</f>
        <v>5301.6947560000008</v>
      </c>
      <c r="W165" s="3">
        <f>3172.3+(2598.5-213.6)+(-3.235746+(-2.65047--0.217872))+0-499.7--0.50969400000008</f>
        <v>5052.3413500000015</v>
      </c>
      <c r="X165" s="3">
        <f>3033.4+(2332.2-243.6)+(-3.094068+(-2.378844--0.248472))+0-579.6--0.591192000000092</f>
        <v>4537.7667519999995</v>
      </c>
      <c r="Y165" s="3">
        <f>3847+(1524.7-273.3)+(0+(0-0))+0-489.5-0</f>
        <v>4608.8999999999996</v>
      </c>
      <c r="Z165" s="3">
        <f>5490.9+(687.5-465.4)+(-2.800359+(-0.350625--0.237354))+0-570.2--0.290801999999942</f>
        <v>5140.1771719999997</v>
      </c>
      <c r="AA165" s="3">
        <f>5310.8+(798-399.5)+(-8.125524+(-1.22094--0.611235))+0-552.9--0.845937000000032</f>
        <v>5148.5107080000007</v>
      </c>
      <c r="AB165" s="3">
        <f>4961.8+(1024.7-303.3)+(2.530518+(0.522597-0.154683))+0-495.1-0.25250099999995</f>
        <v>5190.7459310000004</v>
      </c>
      <c r="AC165" s="3">
        <f>4619.3+(1333.4-232)+(-2.355843+(-0.680034--0.11832))+0-475.6--0.242555999999952</f>
        <v>5242.4249990000008</v>
      </c>
      <c r="AD165">
        <f t="shared" si="2"/>
        <v>117503.41596999999</v>
      </c>
      <c r="AE165" s="3">
        <f>5557+(713.3-490)+(0+(0-0))+0-669.4-0</f>
        <v>5110.9000000000005</v>
      </c>
    </row>
    <row r="166" spans="1:31" customFormat="1" x14ac:dyDescent="0.25">
      <c r="A166">
        <v>89</v>
      </c>
      <c r="B166">
        <v>6</v>
      </c>
      <c r="C166">
        <v>11</v>
      </c>
      <c r="D166">
        <v>6</v>
      </c>
      <c r="E166">
        <v>6</v>
      </c>
      <c r="F166" s="3">
        <f>4014.5+(2084-220.8)+(0+(0-0))+0-470.7-0</f>
        <v>5407</v>
      </c>
      <c r="G166" s="3">
        <f>3315.6+(2584.3-221.4)+(-1.690956+(-1.317993--0.112914))+0-455--0.232049999999954</f>
        <v>5220.8360149999999</v>
      </c>
      <c r="H166" s="3">
        <f>3282.6+(2547.1-230.3)+(1.674126+(1.299021-0.117453))+0-523.7-0.267086999999947</f>
        <v>5078.2886069999995</v>
      </c>
      <c r="I166" s="3">
        <f>3072.5+(2574.5-209.9)+(0+(0-0))+0-462.8-0</f>
        <v>4974.3</v>
      </c>
      <c r="J166" s="3">
        <f>3336+(2420.6-234.4)+(0+(0-0))+0-602.9-0</f>
        <v>4919.3</v>
      </c>
      <c r="K166" s="3">
        <f>2973.6+(2600.3-223.4)+(0+(0-0))+0-488.9-0</f>
        <v>4861.6000000000004</v>
      </c>
      <c r="L166" s="3">
        <f>2902+(2506.9-218.3)+(-5.92008+(-5.114076--0.445332))+0-501.4--1.02285599999998</f>
        <v>4679.6340319999999</v>
      </c>
      <c r="M166" s="3">
        <f>2969.3+(2354.6-213.5)+(1.514343+(1.200846-0.108885))+0-635.6-0.324155999999936</f>
        <v>4477.0821479999995</v>
      </c>
      <c r="N166" s="3">
        <f>3238.7+(1985.2-239)+(-1.651737+(-1.012452--0.12189))+0-467.2--0.238271999999953</f>
        <v>4515.3959729999997</v>
      </c>
      <c r="O166" s="3">
        <f>3579.3+(1732.4-222.6)+(3.650886+(1.767048-0.227052))+0-515.5-0.525810000000082</f>
        <v>4578.2650720000001</v>
      </c>
      <c r="P166" s="3">
        <f>4748.3+(961.1-293.5)+(4.843266+(0.980322-0.29937))+0-633.2-0.645864000000101</f>
        <v>4787.5783540000002</v>
      </c>
      <c r="Q166" s="3">
        <f>5580.7+(483.7-554.7)+(2.846157+(0.246687-0.282897))+0-474.4-0.241943999999952</f>
        <v>5037.8680029999996</v>
      </c>
      <c r="R166" s="3">
        <f>6899.3+(321.1-1190.2)+(3.518643+(0.163761-0.607002))+0-607.1-0.309620999999938</f>
        <v>5425.8657809999995</v>
      </c>
      <c r="S166" s="3">
        <f>6902.2+(327.1-1191.7)+(-3.520122+(-0.166821--0.607767))+0-539.8--0.275297999999945</f>
        <v>5494.9961219999986</v>
      </c>
      <c r="T166" s="3">
        <f>7061.8+(286.2-1283.4)+(3.601518+(0.145962-0.654534))+0-460.2-0.234701999999953</f>
        <v>5607.2582440000006</v>
      </c>
      <c r="U166" s="3">
        <f>7179.2+(301.3-1284.9)+(-3.661392+(-0.153663--0.655299))+0-574.2--0.292841999999942</f>
        <v>5618.5330859999995</v>
      </c>
      <c r="V166" s="3">
        <f>6431.4+(490.4-877.7)+(-9.840042+(-0.750312--1.342881))+0-502.9--0.769437000000029</f>
        <v>5532.7219639999994</v>
      </c>
      <c r="W166" s="3">
        <f>5241.9+(843.4-366)+(0+(0-0))+0-475.1-0</f>
        <v>5244.1999999999989</v>
      </c>
      <c r="X166" s="3">
        <f>4016.5+(1463.5-232.4)+(2.048415+(0.746385-0.118524))+0-569.6-0.290495999999942</f>
        <v>4680.3857800000005</v>
      </c>
      <c r="Y166" s="3">
        <f>4684.3+(899-321.2)+(4.777986+(0.91698-0.327624))+0-545.7-0.556614000000087</f>
        <v>4721.210728</v>
      </c>
      <c r="Z166" s="3">
        <f>6270.7+(430.4-895.3)+(-3.198057+(-0.219504--0.456603))+0-542.5--0.276674999999945</f>
        <v>5260.6157170000006</v>
      </c>
      <c r="AA166" s="3">
        <f>5907.1+(572.5-615.9)+(3.012621+(0.291975-0.314109))+0-499.1-0.254540999999949</f>
        <v>5367.3359460000001</v>
      </c>
      <c r="AB166" s="3">
        <f>5155.1+(1048-275.4)+(-5.258202+(-1.06896--0.280908))+0-615.6--0.627912000000098</f>
        <v>5306.6816580000004</v>
      </c>
      <c r="AC166" s="3">
        <f>4402.4+(1525.8-228.3)+(4.490448+(1.556316-0.232866))+0-391.6-0.399432000000062</f>
        <v>5313.7144659999994</v>
      </c>
      <c r="AD166">
        <f t="shared" si="2"/>
        <v>122110.667696</v>
      </c>
      <c r="AE166" s="3">
        <f>6495+(418.1-1063.6)+(0+(0-0))+0-567-0</f>
        <v>5282.5</v>
      </c>
    </row>
    <row r="167" spans="1:31" customFormat="1" x14ac:dyDescent="0.25">
      <c r="A167">
        <v>89</v>
      </c>
      <c r="B167">
        <v>6</v>
      </c>
      <c r="C167">
        <v>12</v>
      </c>
      <c r="D167">
        <v>7</v>
      </c>
      <c r="E167">
        <v>1</v>
      </c>
      <c r="F167" s="3">
        <f>4120.8+(1871.9-241.6)+(0+(0-0))+0-466.8-0</f>
        <v>5284.3</v>
      </c>
      <c r="G167" s="3">
        <f>3685.1+(2313.7-234.1)+(1.879401+(1.179987-0.119391))+0-597.6-0.304775999999939</f>
        <v>5169.7352209999999</v>
      </c>
      <c r="H167" s="3">
        <f>3184.5+(2563.1-248.5)+(0+(0-0))+0-464.1-0</f>
        <v>5035</v>
      </c>
      <c r="I167" s="3">
        <f>3185.2+(2520-235.6)+(8.12226+(6.426-0.60078))+0-496.7-1.26658499999993</f>
        <v>4985.5808950000001</v>
      </c>
      <c r="J167" s="3">
        <f>3157.4+(2596.1-246.7)+(-3.220548+(-2.648022--0.251634))+0-583.9--0.595578000000093</f>
        <v>4917.8786420000006</v>
      </c>
      <c r="K167" s="3">
        <f>3085.4+(2518.3-228.1)+(-7.86777+(-6.421665--0.581655))+0-521.2--1.32905999999992</f>
        <v>4842.0212800000008</v>
      </c>
      <c r="L167" s="3">
        <f>2852.7+(2572.4-237.4)+(-7.274385+(-6.55962--0.60537))+0-588.1--1.49965499999991</f>
        <v>4587.8710199999987</v>
      </c>
      <c r="M167" s="3">
        <f>2814.1+(2354-223.3)+(-5.740764+(-4.80216--0.455532))+0-571.6--1.16606399999998</f>
        <v>4364.2786719999986</v>
      </c>
      <c r="N167" s="3">
        <f>2932.4+(2103.7-244)+(1.495524+(1.072887-0.12444))+0-495.5-0.25270499999995</f>
        <v>4298.7912660000002</v>
      </c>
      <c r="O167" s="3">
        <f>3035.4+(1966.8-238.7)+(0+(0-0))+0-437.2-0</f>
        <v>4326.3</v>
      </c>
      <c r="P167" s="3">
        <f>3100.7+(2163.3-249.5)+(-1.581357+(-1.103283--0.127245))+0-595--0.30344999999994</f>
        <v>4417.2460550000005</v>
      </c>
      <c r="Q167" s="3">
        <f>3352.8+(2023.6-242.1)+(-1.709928+(-1.032036--0.123471))+0-493.2--0.25153199999995</f>
        <v>4638.7330390000006</v>
      </c>
      <c r="R167" s="3">
        <f>4077.3+(1764.6-216.7)+(-2.079423+(-0.899946--0.110517))+0-631.5--0.322064999999936</f>
        <v>4991.1532130000005</v>
      </c>
      <c r="S167" s="3">
        <f>4396.7+(1619.5-227)+(-4.484634+(-1.65189--0.23154))+0-491--0.500820000000078</f>
        <v>5292.7958360000002</v>
      </c>
      <c r="T167" s="3">
        <f>5143.4+(1140.5-255.1)+(0+(0-0))+0-548.5-0</f>
        <v>5480.2999999999993</v>
      </c>
      <c r="U167" s="3">
        <f>5237+(1107.2-234.7)+(-8.01261+(-1.694016--0.359091))+0-617.5--0.944775000000036</f>
        <v>5483.5972400000001</v>
      </c>
      <c r="V167" s="3">
        <f>4850.9+(1321.3-240.4)+(-2.473959+(-0.673863--0.122604))+0-514.9--0.262598999999948</f>
        <v>5414.1373809999996</v>
      </c>
      <c r="W167" s="3">
        <f>4056.7+(1968.8-232)+(-6.206751+(-3.012264--0.35496))+0-597.6--0.914328000000035</f>
        <v>5187.9502729999995</v>
      </c>
      <c r="X167" s="3">
        <f>3482.5+(2169.5-238.3)+(-8.880375+(-5.532225--0.607665))+0-621.5--1.58482499999991</f>
        <v>4779.9798899999996</v>
      </c>
      <c r="Y167" s="3">
        <f>3721.1+(1709.6-241.3)+(0+(0-0))+0-483.8-0</f>
        <v>4705.5999999999995</v>
      </c>
      <c r="Z167" s="3">
        <f>5169.5+(845.4-294)+(-5.27289+(-0.862308--0.29988))+0-470.6--0.480012000000075</f>
        <v>5244.9446939999989</v>
      </c>
      <c r="AA167" s="3">
        <f>5152.8+(928.3-258.4)+(-10.511712+(-1.893732--0.527136))+0-511.4--1.04325599999998</f>
        <v>5300.4649479999998</v>
      </c>
      <c r="AB167" s="3">
        <f>4877.7+(1286.3-242)+(-2.487627+(-0.656013--0.12342))+0-591.1--0.30146099999994</f>
        <v>5328.1812409999993</v>
      </c>
      <c r="AC167" s="3">
        <f>4473.8+(1661-242.5)+(-2.281638+(-0.84711--0.123675))+0-523.5--0.266984999999947</f>
        <v>5366.0619120000001</v>
      </c>
      <c r="AD167">
        <f t="shared" si="2"/>
        <v>119442.90271800001</v>
      </c>
      <c r="AE167" s="3">
        <f>5573+(784.6-368.2)+(0+(0-0))+0-656.6-0</f>
        <v>5332.7999999999993</v>
      </c>
    </row>
    <row r="168" spans="1:31" customFormat="1" x14ac:dyDescent="0.25">
      <c r="A168">
        <v>89</v>
      </c>
      <c r="B168">
        <v>6</v>
      </c>
      <c r="C168">
        <v>13</v>
      </c>
      <c r="D168">
        <v>1</v>
      </c>
      <c r="E168">
        <v>1</v>
      </c>
      <c r="F168" s="3">
        <f>3862.9+(2270.3-226)+(-5.910237+(-3.473559--0.34578))+0-526.9--0.80615700000003</f>
        <v>5372.0681410000007</v>
      </c>
      <c r="G168" s="3">
        <f>3398.7+(2640.8-240.7)+(-5.200011+(-4.040424--0.368271))+0-531.8--0.813654000000031</f>
        <v>5258.9414899999992</v>
      </c>
      <c r="H168" s="3">
        <f>3275.5+(2700.1-221.8)+(-3.34101+(-2.754102--0.226236))+0-644.6--0.657492000000103</f>
        <v>5103.9886159999987</v>
      </c>
      <c r="I168" s="3">
        <f>3089.5+(2720.5-215.7)+(1.575645+(1.387455-0.110007))+0-626.2-0.319361999999936</f>
        <v>4970.6337309999999</v>
      </c>
      <c r="J168" s="3">
        <f>3379+(2345.5-234.6)+(1.72329+(1.196205-0.119646))+0-567.9-0.289628999999942</f>
        <v>4924.5102200000001</v>
      </c>
      <c r="K168" s="3">
        <f>3201.1+(2489.3-223)+(-8.162805+(-6.347715--0.56865))+0-619.2--1.57895999999991</f>
        <v>4835.83709</v>
      </c>
      <c r="L168" s="3">
        <f>3097.4+(2341.9-195.9)+(-11.057718+(-8.360583--0.699363))+0-616--2.19912000000001</f>
        <v>4610.8801819999999</v>
      </c>
      <c r="M168" s="3">
        <f>3176.5+(1854.4-196.2)+(0+(0-0))+0-464.2-0</f>
        <v>4370.5</v>
      </c>
      <c r="N168" s="3">
        <f>3328.2+(1737.2-205.4)+(0+(0-0))+0-508.7-0</f>
        <v>4351.3</v>
      </c>
      <c r="O168" s="3">
        <f>3606.9+(1540.8-211)+(1.839519+(0.785808-0.10761))+0-512.2-0.261221999999948</f>
        <v>4426.7564949999996</v>
      </c>
      <c r="P168" s="3">
        <f>4632.9+(842.3-383)+(7.088337+(1.288719-0.58599))+0-434.4-0.664632000000025</f>
        <v>4664.926434</v>
      </c>
      <c r="Q168" s="3">
        <f>5721.2+(590.3-775.8)+(11.671248+(1.204212-1.582632))+0-537.6-1.09670399999998</f>
        <v>5008.2961239999995</v>
      </c>
      <c r="R168" s="3">
        <f>6662.5+(352.6-1242.8)+(0+(0-0))+0-537.6-0</f>
        <v>5234.7</v>
      </c>
      <c r="S168" s="3">
        <f>6858.5+(358.2-1214.2)+(-10.493505+(-0.548046--1.857726))+0-481.4--0.736542000000028</f>
        <v>5512.6527169999999</v>
      </c>
      <c r="T168" s="3">
        <f>6899.7+(325-1222.6)+(0+(0-0))+0-368.4-0</f>
        <v>5633.7000000000007</v>
      </c>
      <c r="U168" s="3">
        <f>6908.2+(366.1-1159.4)+(0+(0-0))+0-437.2-0</f>
        <v>5677.7</v>
      </c>
      <c r="V168" s="3">
        <f>6626.5+(392.7-1018.1)+(-6.75903+(-0.400554--1.038462))+0-373.5--0.38097000000006</f>
        <v>5621.859848000001</v>
      </c>
      <c r="W168" s="3">
        <f>5356.1+(1016.5-576.9)+(-8.194833+(-1.555245--0.882657))+0-420.7--0.643671000000024</f>
        <v>5366.7762500000008</v>
      </c>
      <c r="X168" s="3">
        <f>4175.7+(1457.7-225.9)+(-12.777642+(-4.460562--0.691254))+0-490.6--1.50123600000006</f>
        <v>4901.8542859999998</v>
      </c>
      <c r="Y168" s="3">
        <f>4547.7+(1105.6-339.4)+(-9.277308+(-2.255424--0.692376))+0-483.2--0.985727999999979</f>
        <v>4820.8453719999998</v>
      </c>
      <c r="Z168" s="3">
        <f>5939+(718.4-682.8)+(-12.11556+(-1.465536--1.392912))+0-658.3--1.34293199999997</f>
        <v>5305.4547480000001</v>
      </c>
      <c r="AA168" s="3">
        <f>5604+(860.8-500.3)+(-8.57412+(-1.317024--0.765459))+0-605--0.925650000000035</f>
        <v>5351.2999650000002</v>
      </c>
      <c r="AB168" s="3">
        <f>5035.8+(1131.2-414.6)+(-5.136516+(-1.153824--0.422892))+0-464.1--0.473382000000074</f>
        <v>5282.9059340000003</v>
      </c>
      <c r="AC168" s="3">
        <f>4670.6+(1533.5-284.5)+(-7.146018+(-2.346255--0.435285))+0-580--0.887400000000034</f>
        <v>5331.4304119999997</v>
      </c>
      <c r="AD168">
        <f t="shared" si="2"/>
        <v>121939.818055</v>
      </c>
      <c r="AE168" s="3">
        <f>6205+(578.7-687.2)+(0+(0-0))+0-674.3-0</f>
        <v>5422.2</v>
      </c>
    </row>
    <row r="169" spans="1:31" customFormat="1" x14ac:dyDescent="0.25">
      <c r="A169">
        <v>89</v>
      </c>
      <c r="B169">
        <v>6</v>
      </c>
      <c r="C169">
        <v>14</v>
      </c>
      <c r="D169">
        <v>2</v>
      </c>
      <c r="E169">
        <v>1</v>
      </c>
      <c r="F169" s="3">
        <f>4335.6+(1780.1-228.8)+(-2.211156+(-0.907851--0.116688))+0-614--0.313139999999938</f>
        <v>5270.2108210000006</v>
      </c>
      <c r="G169" s="3">
        <f>3855.6+(2100-218.3)+(-5.899068+(-3.213--0.333999))+0-560.7--0.857871000000032</f>
        <v>5168.6798020000006</v>
      </c>
      <c r="H169" s="3">
        <f>3431.2+(2419.5-226.9)+(0+(0-0))+0-614.4-0</f>
        <v>5009.3999999999996</v>
      </c>
      <c r="I169" s="3">
        <f>3308.6+(2370.1-211.9)+(0+(0-0))+0-572.8-0</f>
        <v>4893.9999999999991</v>
      </c>
      <c r="J169" s="3">
        <f>3401.4+(2230.5-227.1)+(6.938856+(4.55022-0.463284))+0-595.2-1.21420799999997</f>
        <v>4819.4115840000004</v>
      </c>
      <c r="K169" s="3">
        <f>3172.8+(2466.5-207.2)+(-3.236256+(-2.51583--0.211344))+0-635.3--0.648006000000101</f>
        <v>4791.9072640000004</v>
      </c>
      <c r="L169" s="3">
        <f>2737.7+(2371.1-236.7)+(-5.584908+(-4.837044--0.482868))+0-508.7--1.03774799999998</f>
        <v>4354.4986640000006</v>
      </c>
      <c r="M169" s="3">
        <f>2812.3+(2119.5-224.1)+(4.302819+(3.242835-0.342873))+0-545.7-0.834921000000032</f>
        <v>4168.3678600000012</v>
      </c>
      <c r="N169" s="3">
        <f>2925.2+(1920.7-235.9)+(-1.491852+(-0.979557--0.120309))+0-642.8--0.327827999999935</f>
        <v>3965.1767279999999</v>
      </c>
      <c r="O169" s="3">
        <f>2985.7+(1840-241.9)+(0+(0-0))+0-415-0</f>
        <v>4168.7999999999993</v>
      </c>
      <c r="P169" s="3">
        <f>3561.8+(1571.3-242.4)+(5.449554+(2.404089-0.370872))+0-573.1-0.876843000000033</f>
        <v>4324.2059279999994</v>
      </c>
      <c r="Q169" s="3">
        <f>4339.3+(1086.6-236.7)+(2.213043+(0.554166-0.120717))+0-616.4-0.314363999999937</f>
        <v>4575.1321280000002</v>
      </c>
      <c r="R169" s="3">
        <f>5282.1+(653.7-511.5)+(2.693871+(0.333387-0.260865))+0-470.5-0.239954999999952</f>
        <v>4956.3264380000001</v>
      </c>
      <c r="S169" s="3">
        <f>5621.6+(797.6-578)+(-2.867016+(-0.406776--0.29478))+0-603.6--0.307835999999939</f>
        <v>5234.9288240000005</v>
      </c>
      <c r="T169" s="3">
        <f>5777.3+(799.8-646.5)+(2.946423+(0.407898-0.329715))+0-543.2-0.277031999999945</f>
        <v>5390.1475740000005</v>
      </c>
      <c r="U169" s="3">
        <f>5837.6+(742.5-599.9)+(-8.931528+(-1.136025--0.917847))+0-506.6--0.775098000000029</f>
        <v>5465.2253920000003</v>
      </c>
      <c r="V169" s="3">
        <f>5480.6+(1070.7-428.5)+(0+(0-0))+0-646.7-0</f>
        <v>5476.1</v>
      </c>
      <c r="W169" s="3">
        <f>4156.6+(1755.4-229.7)+(-8.479464+(-3.581016--0.468588))+0-519.8--1.06039199999998</f>
        <v>5151.9684999999999</v>
      </c>
      <c r="X169" s="3">
        <f>3222.6+(2306.3-213.2)+(-4.930578+(-3.528639--0.326196))+0-626.8--0.959004000000036</f>
        <v>4681.7259830000012</v>
      </c>
      <c r="Y169" s="3">
        <f>3986.6+(1477.9-254.5)+(-2.033166+(-0.753729--0.129795))+0-538.6--0.274685999999945</f>
        <v>4669.017585999999</v>
      </c>
      <c r="Z169" s="3">
        <f>5241.6+(875-411.9)+(-5.346432+(-0.8925--0.420138))+0-595.4--0.607308000000095</f>
        <v>5104.0885140000009</v>
      </c>
      <c r="AA169" s="3">
        <f>4759.7+(1239.3-256.9)+(-4.854894+(-1.264086--0.262038))+0-550.2--0.561204000000088</f>
        <v>5186.6042619999989</v>
      </c>
      <c r="AB169" s="3">
        <f>4249.7+(1677.3-244.2)+(-2.167347+(-0.855423--0.124542))+0-561.9--0.286568999999943</f>
        <v>5118.2883409999995</v>
      </c>
      <c r="AC169" s="3">
        <f>4302.2+(1666.8-241.1)+(-6.582366+(-2.550204--0.368883))+0-612.8--0.937584000000035</f>
        <v>5107.273897</v>
      </c>
      <c r="AD169">
        <f t="shared" si="2"/>
        <v>117051.48608999999</v>
      </c>
      <c r="AE169" s="3">
        <f>5601+(710.6-546.2)+(0+(0-0))+0-621.2-0</f>
        <v>5144.2</v>
      </c>
    </row>
    <row r="170" spans="1:31" customFormat="1" x14ac:dyDescent="0.25">
      <c r="A170">
        <v>89</v>
      </c>
      <c r="B170">
        <v>6</v>
      </c>
      <c r="C170">
        <v>15</v>
      </c>
      <c r="D170">
        <v>3</v>
      </c>
      <c r="E170">
        <v>1</v>
      </c>
      <c r="F170" s="3">
        <f>3838.6+(2048.4-243.5)+(-5.873058+(-3.134052--0.372555))+0-502--0.768060000000029</f>
        <v>5133.6335050000007</v>
      </c>
      <c r="G170" s="3">
        <f>3441.9+(2504-239.8)+(-5.266107+(-3.83112--0.366894))+0-614.4--0.940032000000036</f>
        <v>5083.9096990000007</v>
      </c>
      <c r="H170" s="3">
        <f>3046.1+(2557.3-242.2)+(-3.107022+(-2.608446--0.247044))+0-570.2--0.581604000000091</f>
        <v>4786.1131800000012</v>
      </c>
      <c r="I170" s="3">
        <f>3039.3+(2522.3-229.5)+(-4.650129+(-3.859119--0.351135))+0-608.7--0.931311000000035</f>
        <v>4716.1731980000004</v>
      </c>
      <c r="J170" s="3">
        <f>3084.2+(2285.3-236.9)+(-3.145884+(-2.331006--0.241638))+0-476.3--0.485826000000076</f>
        <v>4651.5505739999999</v>
      </c>
      <c r="K170" s="3">
        <f>3040.3+(2350-220.2)+(-6.202212+(-4.794--0.449208))+0-581.5--1.18625999999997</f>
        <v>4579.2392560000008</v>
      </c>
      <c r="L170" s="3">
        <f>2694.8+(2362.4-235.3)+(-12.369132+(-10.843416--1.080027))+0-516.7--2.37165300000009</f>
        <v>4285.4391319999995</v>
      </c>
      <c r="M170" s="3">
        <f>2471.3+(2388.1-218.9)+(-3.781089+(-3.653793--0.334917))+0-578.3--0.884799000000033</f>
        <v>4055.9848339999994</v>
      </c>
      <c r="N170" s="3">
        <f>2739.3+(2182.6-234.5)+(-2.794086+(-2.226252--0.23919))+0-637.2--0.649944000000102</f>
        <v>4046.068796</v>
      </c>
      <c r="O170" s="3">
        <f>2891.6+(2107.7-220.8)+(-4.424148+(-3.224781--0.337824))+0-564.8--0.864144000000033</f>
        <v>4207.2530390000002</v>
      </c>
      <c r="P170" s="3">
        <f>3098.8+(1917.8-258.9)+(-6.321552+(-3.912312--0.528156))+0-421.7--0.860267999999982</f>
        <v>4327.1545600000009</v>
      </c>
      <c r="Q170" s="3">
        <f>3678.5+(1636.5-245.6)+(5.628105+(2.503845-0.375768))+0-572.2-0.875466000000033</f>
        <v>4504.0807159999995</v>
      </c>
      <c r="R170" s="3">
        <f>4610.6+(1082.1-282.8)+(0+(0-0))+0-517.2-0</f>
        <v>4892.7000000000007</v>
      </c>
      <c r="S170" s="3">
        <f>5085.1+(1005.2-337.1)+(0+(0-0))+0-511.2-0</f>
        <v>5242.0000000000009</v>
      </c>
      <c r="T170" s="3">
        <f>5443.2+(838.9-351.4)+(2.776032+(0.427839-0.179214))+0-565.3-0.288302999999943</f>
        <v>5368.1363539999993</v>
      </c>
      <c r="U170" s="3">
        <f>5528.1+(824.6-382.4)+(-5.638662+(-0.841092--0.390048))+0-529.2--0.539784000000084</f>
        <v>5435.5500780000011</v>
      </c>
      <c r="V170" s="3">
        <f>4807.7+(1286-258.5)+(-4.903854+(-1.31172--0.26367))+0-447.1--0.456042000000071</f>
        <v>5382.6041379999997</v>
      </c>
      <c r="W170" s="3">
        <f>3843.6+(2026.4-243.3)+(-5.880708+(-3.100392--0.372249))+0-586.3--0.897039000000034</f>
        <v>5032.6881880000001</v>
      </c>
      <c r="X170" s="3">
        <f>3237.1+(2070.1-246.1)+(-3.301842+(-2.111502--0.251022))+0-496.7--0.506634000000079</f>
        <v>4559.7443120000007</v>
      </c>
      <c r="Y170" s="3">
        <f>3839.3+(1520-252.7)+(1.958043+(0.7752-0.128877))+0-511.5-0.260864999999948</f>
        <v>4597.4435009999997</v>
      </c>
      <c r="Z170" s="3">
        <f>4727.6+(1243.4-272.9)+(-2.411076+(-0.634134--0.139179))+0-587.4--0.29957399999994</f>
        <v>5108.093543</v>
      </c>
      <c r="AA170" s="3">
        <f>4166.8+(1766.2-253.8)+(-6.375204+(-2.702286--0.388314))+0-486.1--0.743733000000028</f>
        <v>5185.1545570000008</v>
      </c>
      <c r="AB170" s="3">
        <f>3810.8+(2063.4-256.3)+(0+(0-0))+0-528.4-0</f>
        <v>5089.5000000000009</v>
      </c>
      <c r="AC170" s="3">
        <f>3711.7+(2254.8-237.1)+(-1.892967+(-1.149948--0.120921))+0-568--0.289679999999942</f>
        <v>5158.7676859999992</v>
      </c>
      <c r="AD170">
        <f t="shared" si="2"/>
        <v>115428.982846</v>
      </c>
      <c r="AE170" s="3">
        <f>4999+(1270.4-263.2)+(0+(0-0))+0-676.5-0</f>
        <v>5329.7</v>
      </c>
    </row>
    <row r="171" spans="1:31" customFormat="1" x14ac:dyDescent="0.25">
      <c r="A171">
        <v>89</v>
      </c>
      <c r="B171">
        <v>6</v>
      </c>
      <c r="C171">
        <v>16</v>
      </c>
      <c r="D171">
        <v>4</v>
      </c>
      <c r="E171">
        <v>1</v>
      </c>
      <c r="F171" s="3">
        <f>3383.4+(2674.8-234.7)+(-3.451068+(-2.728296--0.239394))+0-670.7--0.684114000000107</f>
        <v>5147.5441439999995</v>
      </c>
      <c r="G171" s="3">
        <f>3109.6+(2860.8-233.4)+(-7.92948+(-7.29504--0.59517))+0-623--1.58864999999991</f>
        <v>5100.9592999999995</v>
      </c>
      <c r="H171" s="3">
        <f>2753.8+(2930.4-240.2)+(1.404438+(1.494504-0.122502))+0-507.5-0.258824999999949</f>
        <v>4939.0176149999998</v>
      </c>
      <c r="I171" s="3">
        <f>2919.2+(2751.2-226.2)+(-7.44396+(-7.01556--0.57681))+0-630.7--1.60828499999991</f>
        <v>4801.2255750000004</v>
      </c>
      <c r="J171" s="3">
        <f>2996.3+(2596.1-242.3)+(1.528113+(1.324011-0.123573))+0-601.5-0.306764999999939</f>
        <v>4751.0217860000002</v>
      </c>
      <c r="K171" s="3">
        <f>2981.3+(2587.2-239.6)+(-7.602315+(-6.59736--0.61098))+0-633.8--1.61618999999991</f>
        <v>4683.1274949999988</v>
      </c>
      <c r="L171" s="3">
        <f>2772.9+(2517.8-245.7)+(-7.070895+(-6.42039--0.626535))+0-598.4--1.52591999999991</f>
        <v>4435.2611700000007</v>
      </c>
      <c r="M171" s="3">
        <f>2874.6+(2184-248.2)+(0+(0-0))+0-579.8-0</f>
        <v>4230.5999999999995</v>
      </c>
      <c r="N171" s="3">
        <f>3030.1+(1791.2-250.1)+(1.545351+(0.913512-0.127551))+0-410.1-0.209150999999958</f>
        <v>4163.2221609999997</v>
      </c>
      <c r="O171" s="3">
        <f>3114.8+(2166.1-260.8)+(4.765644+(3.314133-0.399024))+0-648.2-0.991746000000038</f>
        <v>4378.5890070000005</v>
      </c>
      <c r="P171" s="3">
        <f>3165.6+(2036-247.2)+(-1.614456+(-1.03836--0.126072))+0-482.3--0.245972999999951</f>
        <v>4469.8192289999997</v>
      </c>
      <c r="Q171" s="3">
        <f>3489.4+(1857.7-238.3)+(1.779594+(0.947427-0.121533))+0-430.2-0.219401999999956</f>
        <v>4680.9860860000008</v>
      </c>
      <c r="R171" s="3">
        <f>4664.1+(1334-262.1)+(2.378691+(0.68034-0.133671))+0-740.1-0.377450999999925</f>
        <v>4998.4479089999995</v>
      </c>
      <c r="S171" s="3">
        <f>5054.9+(991.3-305)+(-5.155998+(-1.011126--0.3111))+0-489.3--0.499086000000078</f>
        <v>5246.5430619999997</v>
      </c>
      <c r="T171" s="3">
        <f>5564.9+(778.3-401.4)+(0+(0-0))+0-523.8-0</f>
        <v>5417.9999999999991</v>
      </c>
      <c r="U171" s="3">
        <f>5613.8+(882.9-404.3)+(-2.863038+(-0.450279--0.206193))+0-634.2--0.323441999999936</f>
        <v>5455.4163180000005</v>
      </c>
      <c r="V171" s="3">
        <f>5304.7+(959.3-327.1)+(-5.410794+(-0.978486--0.333642))+0-535.7--0.546414000000085</f>
        <v>5395.6907760000004</v>
      </c>
      <c r="W171" s="3">
        <f>4043.5+(1883.1-243.8)+(-2.062185+(-0.960381--0.124338))+0-619.9--0.316148999999937</f>
        <v>5060.3179210000008</v>
      </c>
      <c r="X171" s="3">
        <f>3222.8+(2131.2-248.4)+(0+(0-0))+0-484.5-0</f>
        <v>4621.1000000000004</v>
      </c>
      <c r="Y171" s="3">
        <f>3888.8+(1561.2-249.8)+(-3.966576+(-1.592424--0.254796))+0-599.7--0.611694000000096</f>
        <v>4595.8074900000011</v>
      </c>
      <c r="Z171" s="3">
        <f>4866.5+(1073.1-294.4)+(-7.445745+(-1.641843--0.450432))+0-522.4--0.79927200000003</f>
        <v>5114.9621160000006</v>
      </c>
      <c r="AA171" s="3">
        <f>4863.7+(1169.9-278.6)+(-7.441461+(-1.789947--0.426258))+0-495.1--0.757503000000029</f>
        <v>5251.8523529999993</v>
      </c>
      <c r="AB171" s="3">
        <f>4248.1+(1839.8-245.8)+(-2.166531+(-0.938298--0.125358))+0-637.6--0.325175999999935</f>
        <v>5201.8457050000006</v>
      </c>
      <c r="AC171" s="3">
        <f>3742.5+(2265.1-238.6)+(-3.81735+(-2.310402--0.243372))+0-526--0.536520000000084</f>
        <v>5237.6521399999992</v>
      </c>
      <c r="AD171">
        <f t="shared" si="2"/>
        <v>117379.00935800001</v>
      </c>
      <c r="AE171" s="3">
        <f>5076+(942.6-423.7)+(0+(0-0))+0-511.2-0</f>
        <v>5083.7</v>
      </c>
    </row>
    <row r="172" spans="1:31" customFormat="1" x14ac:dyDescent="0.25">
      <c r="A172">
        <v>89</v>
      </c>
      <c r="B172">
        <v>6</v>
      </c>
      <c r="C172">
        <v>17</v>
      </c>
      <c r="D172">
        <v>5</v>
      </c>
      <c r="E172">
        <v>1</v>
      </c>
      <c r="F172" s="3">
        <f>3348.8+(2616.5-237.1)+(-1.707888+(-1.334415--0.120921))+0-595.2--0.30355199999994</f>
        <v>5130.3821700000008</v>
      </c>
      <c r="G172" s="3">
        <f>3321.7+(2561.1-242.9)+(-6.776268+(-5.224644--0.495516))+0-633.6--1.29254399999997</f>
        <v>4996.0871479999996</v>
      </c>
      <c r="H172" s="3">
        <f>3092.5+(2590.2-241.4)+(-4.731525+(-3.963006--0.369342))+0-467.1--0.714663000000027</f>
        <v>4966.5894739999985</v>
      </c>
      <c r="I172" s="3">
        <f>3046.9+(2501-233.5)+(-4.661757+(-3.82653--0.357255))+0-518.6--0.79345800000003</f>
        <v>4788.4624259999991</v>
      </c>
      <c r="J172" s="3">
        <f>3040.7+(2553-237.2)+(1.550757+(1.30203-0.120972))+0-660.1-0.336650999999933</f>
        <v>4698.7951640000001</v>
      </c>
      <c r="K172" s="3">
        <f>2949.5+(2503.5-233.1)+(-4.512735+(-3.830355--0.356643))+0-604.8--0.925344000000035</f>
        <v>4608.0388969999995</v>
      </c>
      <c r="L172" s="3">
        <f>2854.1+(2296.2-235.3)+(-1.455591+(-1.171062--0.120003))+0-584.3--0.297992999999941</f>
        <v>4328.4913429999997</v>
      </c>
      <c r="M172" s="3">
        <f>2869+(2177.7-225)+(-1.46319+(-1.110627--0.11475))+0-677--0.345269999999931</f>
        <v>4142.5862029999998</v>
      </c>
      <c r="N172" s="3">
        <f>3183.8+(1606.4-284.5)+(-4.871214+(-2.457792--0.435285))+0-529--0.809370000000031</f>
        <v>3970.6156490000003</v>
      </c>
      <c r="O172" s="3">
        <f>3191.9+(1787-236.6)+(-3.255738+(-1.82274--0.241332))+0-483.1--0.492762000000077</f>
        <v>4254.8556159999998</v>
      </c>
      <c r="P172" s="3">
        <f>3209.7+(1910-231.2)+(-4.910841+(-2.9223--0.353736))+0-545.8--0.835074000000032</f>
        <v>4336.0556689999994</v>
      </c>
      <c r="Q172" s="3">
        <f>3775.8+(1544.7-239.1)+(-1.925658+(-0.787797--0.121941))+0-488.4--0.24908399999995</f>
        <v>4590.6575700000012</v>
      </c>
      <c r="R172" s="3">
        <f>4961.7+(873.4-265.5)+(-2.530467+(-0.445434--0.135405))+0-498--0.253979999999949</f>
        <v>5069.0134839999992</v>
      </c>
      <c r="S172" s="3">
        <f>5303.4+(815.1-303.8)+(-5.409468+(-0.831402--0.309876))+0-511.2--0.521424000000081</f>
        <v>5298.0904300000002</v>
      </c>
      <c r="T172" s="3">
        <f>5824.7+(684-497.1)+(-2.970597+(-0.34884--0.253521))+0-561.4--0.286313999999943</f>
        <v>5447.4203980000002</v>
      </c>
      <c r="U172" s="3">
        <f>5807.8+(719.2-492.3)+(2.961978+(0.366792-0.251073))+0-517.1-0.263720999999948</f>
        <v>5520.4139759999989</v>
      </c>
      <c r="V172" s="3">
        <f>5411.3+(999.6-317.4)+(-8.279289+(-1.529388--0.485622))+0-575.5--0.880515000000033</f>
        <v>5509.55746</v>
      </c>
      <c r="W172" s="3">
        <f>4226.2+(1648.6-258.9)+(-4.310724+(-1.681572--0.264078))+0-504.9--0.51499800000008</f>
        <v>5105.7867799999995</v>
      </c>
      <c r="X172" s="3">
        <f>3367.1+(2000.4-240.1)+(-6.868884+(-4.080816--0.489804))+0-478.5--0.976139999999979</f>
        <v>4639.4162439999991</v>
      </c>
      <c r="Y172" s="3">
        <f>3955.6+(1374.1-240.2)+(-2.017356+(-0.700791--0.122502))+0-526--0.268259999999947</f>
        <v>4561.1726149999995</v>
      </c>
      <c r="Z172" s="3">
        <f>5092+(1008-362.3)+(-7.79076+(-1.54224--0.554319))+0-592.5--0.906525000000034</f>
        <v>5137.3278440000004</v>
      </c>
      <c r="AA172" s="3">
        <f>4568.5+(1302.1-284.7)+(-4.65987+(-1.328142--0.290394))+0-505.8--0.515916000000081</f>
        <v>5074.9182979999996</v>
      </c>
      <c r="AB172" s="3">
        <f>4202.5+(1761.3-260.1)+(2.143275+(0.898263-0.132651))+0-649.9-0.331448999999934</f>
        <v>5056.3774379999995</v>
      </c>
      <c r="AC172" s="3">
        <f>3835.7+(2129.8-236.9)+(-7.824828+(-4.344792--0.483276))+0-573.6--1.17014399999997</f>
        <v>5144.4838</v>
      </c>
      <c r="AD172">
        <f t="shared" si="2"/>
        <v>116375.59609599998</v>
      </c>
      <c r="AE172" s="3">
        <f>5541+(829.9-482.6)+(0+(0-0))+0-753.1-0</f>
        <v>5135.2</v>
      </c>
    </row>
    <row r="173" spans="1:31" customFormat="1" x14ac:dyDescent="0.25">
      <c r="A173">
        <v>89</v>
      </c>
      <c r="B173">
        <v>6</v>
      </c>
      <c r="C173">
        <v>18</v>
      </c>
      <c r="D173">
        <v>6</v>
      </c>
      <c r="E173">
        <v>1</v>
      </c>
      <c r="F173" s="3">
        <f>3508.8+(2382.6-224.9)+(0+(0-0))+0-579.2-0</f>
        <v>5087.3</v>
      </c>
      <c r="G173" s="3">
        <f>3497.1+(2291-215)+(-3.567042+(-2.33682--0.2193))+0-560.6--0.571812000000089</f>
        <v>5007.3872499999998</v>
      </c>
      <c r="H173" s="3">
        <f>3344.4+(2378.7-224.6)+(0+(0-0))+0-618.6-0</f>
        <v>4879.8999999999996</v>
      </c>
      <c r="I173" s="3">
        <f>3184.4+(2436.5-238.1)+(-3.248088+(-2.48523--0.242862))+0-661.7--0.674934000000106</f>
        <v>4716.2844779999996</v>
      </c>
      <c r="J173" s="3">
        <f>3067.3+(2386.9-241.7)+(1.564323+(1.217319-0.123267))+0-529.6-0.270095999999946</f>
        <v>4685.2882789999994</v>
      </c>
      <c r="K173" s="3">
        <f>3060.3+(2437.9-239.7)+(0+(0-0))+0-657.1-0</f>
        <v>4601.3999999999996</v>
      </c>
      <c r="L173" s="3">
        <f>2899.1+(2229.1-233.6)+(-2.957082+(-2.273682--0.238272))+0-562.9--0.57415800000009</f>
        <v>4327.2816660000008</v>
      </c>
      <c r="M173" s="3">
        <f>3002.6+(1886.2-240.7)+(1.531326+(0.961962-0.122757))+0-608.5-0.310334999999938</f>
        <v>4041.6601959999998</v>
      </c>
      <c r="N173" s="3">
        <f>3036.7+(1783.9-230)+(-1.548717+(-0.909789--0.1173))+0-601--0.306509999999939</f>
        <v>3987.5653040000002</v>
      </c>
      <c r="O173" s="3">
        <f>3208.4+(1650.5-236.1)+(0+(0-0))+0-536.9-0</f>
        <v>4085.9</v>
      </c>
      <c r="P173" s="3">
        <f>3419.5+(1653.7-261.8)+(1.743945+(0.843387-0.133518))+0-637.4-0.325073999999935</f>
        <v>4176.1287400000001</v>
      </c>
      <c r="Q173" s="3">
        <f>3884.7+(1325.8-254.8)+(1.981197+(0.676158-0.129948))+0-543.1-0.276980999999945</f>
        <v>4414.8504259999991</v>
      </c>
      <c r="R173" s="3">
        <f>4701+(1049.5-474.3)+(-4.79502+(-1.07049--0.483786))+0-497.8--0.507756000000079</f>
        <v>4773.5260319999998</v>
      </c>
      <c r="S173" s="3">
        <f>5188.2+(1238.6-502.9)+(-10.583928+(-2.526744--1.025916))+0-715.6--1.45982399999997</f>
        <v>5197.6750679999986</v>
      </c>
      <c r="T173" s="3">
        <f>5044+(1435.1-510.4)+(-5.14488+(-1.463802--0.520608))+0-586.3--0.598026000000093</f>
        <v>5376.9099519999991</v>
      </c>
      <c r="U173" s="3">
        <f>4934.7+(1529.8-512)+(0+(0-0))+0-516.1-0</f>
        <v>5436.4</v>
      </c>
      <c r="V173" s="3">
        <f>4958.6+(1469.2-429.8)+(-5.057772+(-1.498584--0.438396))+0-607.6--0.619752000000097</f>
        <v>5384.9017920000006</v>
      </c>
      <c r="W173" s="3">
        <f>3992+(1793.4-241.7)+(-8.14368+(-3.658536--0.493068))+0-599.3--1.22257199999997</f>
        <v>4934.313423999999</v>
      </c>
      <c r="X173" s="3">
        <f>3178.5+(2153.2-239)+(3.24207+(2.196264-0.24378))+0-547.7-0.558654000000087</f>
        <v>4549.6358999999993</v>
      </c>
      <c r="Y173" s="3">
        <f>3883.1+(1513.5-249.8)+(1.980381+(0.771885-0.127398))+0-590.8-0.30130799999994</f>
        <v>4558.3235599999998</v>
      </c>
      <c r="Z173" s="3">
        <f>4649.1+(1231.5-334)+(-4.742082+(-1.25613--0.34068))+0-523.7--0.534174000000084</f>
        <v>5017.7766420000007</v>
      </c>
      <c r="AA173" s="3">
        <f>4153+(1625.1-268.2)+(-4.23606+(-1.657602--0.273564))+0-467.4--0.476748000000075</f>
        <v>5037.3566499999997</v>
      </c>
      <c r="AB173" s="3">
        <f>3726.2+(2161.1-262)+(-3.800724+(-2.204322--0.26724))+0-589.7--0.601494000000094</f>
        <v>5030.4636879999998</v>
      </c>
      <c r="AC173" s="3">
        <f>3469+(2399.2-252.6)+(0+(0-0))+0-662.4-0</f>
        <v>4953.2000000000007</v>
      </c>
      <c r="AD173">
        <f t="shared" si="2"/>
        <v>114261.42904699998</v>
      </c>
      <c r="AE173" s="3">
        <f>4916+(1097.4-359.4)+(0+(0-0))+0-619.6-0</f>
        <v>5034.3999999999996</v>
      </c>
    </row>
    <row r="174" spans="1:31" customFormat="1" x14ac:dyDescent="0.25">
      <c r="A174">
        <v>89</v>
      </c>
      <c r="B174">
        <v>6</v>
      </c>
      <c r="C174">
        <v>19</v>
      </c>
      <c r="D174">
        <v>7</v>
      </c>
      <c r="E174">
        <v>3</v>
      </c>
      <c r="F174" s="3">
        <f>3157.3+(2659.8-236.1)+(-6.440892+(-5.425992--0.481644))+0-583.9--1.19115599999997</f>
        <v>4986.9059160000006</v>
      </c>
      <c r="G174" s="3">
        <f>3046.8+(2748-242.9)+(-4.661604+(-4.20444--0.371637))+0-685.1--1.04820300000004</f>
        <v>4859.3537959999994</v>
      </c>
      <c r="H174" s="3">
        <f>3064.5+(2528.9-244.1)+(-4.688685+(-3.869217--0.373473))+0-584.7--0.894591000000034</f>
        <v>4757.3101620000007</v>
      </c>
      <c r="I174" s="3">
        <f>3271+(2273.1-235.4)+(-1.66821+(-1.159281--0.120054))+0-670.7--0.342056999999932</f>
        <v>4635.6346199999998</v>
      </c>
      <c r="J174" s="3">
        <f>3021.8+(2334.3-232.8)+(0+(0-0))+0-610.5-0</f>
        <v>4512.8</v>
      </c>
      <c r="K174" s="3">
        <f>2988.7+(2251.3-233)+(0+(0-0))+0-587.3-0</f>
        <v>4419.7</v>
      </c>
      <c r="L174" s="3">
        <f>2893.9+(2227.7-244.2)+(-10.331223+(-7.952889--0.871794))+0-669.5--2.39011500000001</f>
        <v>4192.8777970000001</v>
      </c>
      <c r="M174" s="3">
        <f>2784.2+(1743.3-230.4)+(-1.419942+(-0.889083--0.117504))+0-492.4--0.25112399999995</f>
        <v>3802.7596029999995</v>
      </c>
      <c r="N174" s="3">
        <f>2965.1+(1556.7-224.7)+(7.561005+(3.969585-0.572985))+0-642.1-1.63735499999991</f>
        <v>3664.3202500000002</v>
      </c>
      <c r="O174" s="3">
        <f>2966.6+(1547.7-245.6)+(-1.512966+(-0.789327--0.125256))+0-585.1--0.298400999999941</f>
        <v>3681.7213639999995</v>
      </c>
      <c r="P174" s="3">
        <f>3069.2+(1551.2-267.1)+(-3.130584+(-1.582224--0.272442))+0-509.1--0.519282000000081</f>
        <v>3840.2789159999998</v>
      </c>
      <c r="Q174" s="3">
        <f>3224.3+(1694.9-260.4)+(-1.644393+(-0.864399--0.132804))+0-612.2--0.312221999999938</f>
        <v>4044.5362340000006</v>
      </c>
      <c r="R174" s="3">
        <f>3312.8+(1820.7-258.5)+(-5.068584+(-2.785671--0.395505))+0-494.2--0.756126000000029</f>
        <v>4374.0973760000006</v>
      </c>
      <c r="S174" s="3">
        <f>3424+(2082.9-256.5)+(-3.49248+(-2.124558--0.26163))+0-573.3--0.584766000000091</f>
        <v>4672.329357999999</v>
      </c>
      <c r="T174" s="3">
        <f>3553.9+(2129.3-266.6)+(-3.624978+(-2.171886--0.271932))+0-569.3--0.580686000000091</f>
        <v>4842.3557540000002</v>
      </c>
      <c r="U174" s="3">
        <f>3543.2+(2222.6-252.3)+(-1.807032+(-1.133526--0.128673))+0-601--0.306509999999939</f>
        <v>4909.9946250000003</v>
      </c>
      <c r="V174" s="3">
        <f>3538.5+(2065-238.8)+(-5.413905+(-3.15945--0.365364))+0-575.8--0.880974000000033</f>
        <v>4781.5729829999991</v>
      </c>
      <c r="W174" s="3">
        <f>3385.9+(1976.6-230.5)+(-10.360854+(-6.048396--0.70533))+0-583.9--1.78673400000007</f>
        <v>4534.1828140000007</v>
      </c>
      <c r="X174" s="3">
        <f>3391.8+(1528-267.2)+(-3.459636+(-1.55856--0.272544))+0-562.1--0.57334200000009</f>
        <v>4086.327690000001</v>
      </c>
      <c r="Y174" s="3">
        <f>4341.5+(588.5-441.1)+(-4.42833+(-0.60027--0.449922))+0-538.6--0.549372000000086</f>
        <v>3946.2706939999998</v>
      </c>
      <c r="Z174" s="3">
        <f>4726.6+(800.1-408.8)+(-9.642264+(-1.632204--0.833952))+0-598.3--1.22053199999997</f>
        <v>4510.380016000001</v>
      </c>
      <c r="AA174" s="3">
        <f>4588.1+(945.7-346.7)+(-9.359724+(-1.929228--0.707268))+0-590.1--1.20380399999997</f>
        <v>4587.62212</v>
      </c>
      <c r="AB174" s="3">
        <f>4740.5+(883.4-416.5)+(-2.417655+(-0.450534--0.212415))+0-633.4--0.323033999999936</f>
        <v>4571.6672600000002</v>
      </c>
      <c r="AC174" s="3">
        <f>4725.7+(831.5-372.9)+(-7.230321+(-1.272195--0.570537))+0-590.9--0.904077000000034</f>
        <v>4586.3720980000007</v>
      </c>
      <c r="AD174">
        <f t="shared" si="2"/>
        <v>105801.37144600003</v>
      </c>
      <c r="AE174" s="3">
        <f>4816+(873-431.3)+(0+(0-0))+0-432.4-0</f>
        <v>4825.3</v>
      </c>
    </row>
    <row r="175" spans="1:31" customFormat="1" x14ac:dyDescent="0.25">
      <c r="A175">
        <v>89</v>
      </c>
      <c r="B175">
        <v>6</v>
      </c>
      <c r="C175">
        <v>20</v>
      </c>
      <c r="D175">
        <v>1</v>
      </c>
      <c r="E175">
        <v>1</v>
      </c>
      <c r="F175" s="3">
        <f>3917.1+(1555.4-260.4)+(-7.990884+(-3.173016--0.531216))+0-574.5--1.17197999999997</f>
        <v>4628.1392960000003</v>
      </c>
      <c r="G175" s="3">
        <f>3178.1+(2196.8-262.8)+(-4.862493+(-3.361104--0.402084))+0-577.9--0.884187000000033</f>
        <v>4527.2626740000005</v>
      </c>
      <c r="H175" s="3">
        <f>3028.3+(2148.9-253)+(-9.266598+(-6.575634--0.77418))+0-482--1.47492000000006</f>
        <v>4428.6068680000008</v>
      </c>
      <c r="I175" s="3">
        <f>3028.8+(2057.2-250.3)+(-3.089376+(-2.098344--0.255306))+0-532.4--0.543048000000085</f>
        <v>4298.9106340000008</v>
      </c>
      <c r="J175" s="3">
        <f>3099.9+(1964.6-264.8)+(-3.161898+(-2.003892--0.270096))+0-612.7--0.624954000000098</f>
        <v>4182.7292600000001</v>
      </c>
      <c r="K175" s="3">
        <f>3015.3+(1921.1-255.1)+(0+(0-0))+0-600-0</f>
        <v>4081.3</v>
      </c>
      <c r="L175" s="3">
        <f>2925.3+(1865.1-258.9)+(-10.443321+(-6.658407--0.924273))+0-615.5--2.19733500000001</f>
        <v>3902.0198799999998</v>
      </c>
      <c r="M175" s="3">
        <f>2985+(1455.5-279)+(-4.56705+(-2.226915--0.42687))+0-578.8--0.885564000000033</f>
        <v>3577.2184690000004</v>
      </c>
      <c r="N175" s="3">
        <f>3162.9+(1266.5-316.2)+(-4.839237+(-1.937745--0.483786))+0-561.4--0.858942000000032</f>
        <v>3546.3657459999999</v>
      </c>
      <c r="O175" s="3">
        <f>3235+(1130.7-338)+(-1.64985+(-0.576657--0.17238))+0-578.1--0.294830999999941</f>
        <v>3447.8407040000002</v>
      </c>
      <c r="P175" s="3">
        <f>3545.3+(987.2-422.5)+(-3.616206+(-1.006944--0.43095))+0-567.4--0.57874800000009</f>
        <v>3538.9865479999994</v>
      </c>
      <c r="Q175" s="3">
        <f>3598.7+(1123.2-315.7)+(-1.835337+(-0.572832--0.161007))+0-670.6--0.342005999999932</f>
        <v>3733.6948440000001</v>
      </c>
      <c r="R175" s="3">
        <f>3817.4+(1049.4-315.9)+(-1.946874+(-0.535194--0.161109))+0-513.2--0.261731999999948</f>
        <v>4035.640773000001</v>
      </c>
      <c r="S175" s="3">
        <f>4135.8+(1173.5-253.1)+(-4.218516+(-1.19697--0.258162))+0-654.6--0.667692000000104</f>
        <v>4397.1103679999997</v>
      </c>
      <c r="T175" s="3">
        <f>4038.9+(1392.5-247)+(2.059839+(0.710175-0.12597))+0-527.4-0.268973999999946</f>
        <v>4659.3750700000001</v>
      </c>
      <c r="U175" s="3">
        <f>4440.3+(1193.7-250.7)+(-4.529106+(-1.217574--0.255714))+0-564.9--0.57619800000009</f>
        <v>4813.485232</v>
      </c>
      <c r="V175" s="3">
        <f>4072.2+(1565.2-260.8)+(0+(0-0))+0-578.9-0</f>
        <v>4797.7000000000007</v>
      </c>
      <c r="W175" s="3">
        <f>3569.7+(1580.9-243.2)+(-9.102735+(-4.031295--0.62016))+0-528.3--1.34716499999992</f>
        <v>4367.9332949999998</v>
      </c>
      <c r="X175" s="3">
        <f>3330.2+(1285.9-254.9)+(-10.190412+(-3.934854--0.779994))+0-389.9--1.19309400000004</f>
        <v>3959.1478220000004</v>
      </c>
      <c r="Y175" s="3">
        <f>3774.3+(807.8-390.4)+(-1.924893+(-0.411978--0.199104))+0-361.7--0.184466999999963</f>
        <v>3828.0466999999999</v>
      </c>
      <c r="Z175" s="3">
        <f>5045.2+(530.8-694.9)+(-5.146104+(-0.541416--0.708798))+0-490.4--0.500208000000078</f>
        <v>4386.2214860000004</v>
      </c>
      <c r="AA175" s="3">
        <f>4787.7+(666.1-339.9)+(-9.766908+(-1.358844--0.693396))+0-615.1--1.25480399999997</f>
        <v>4489.6224479999992</v>
      </c>
      <c r="AB175" s="3">
        <f>4090.6+(1299.6-272.8)+(-6.258618+(-1.988388--0.417384))+0-597.3--0.913869000000034</f>
        <v>4513.1842469999992</v>
      </c>
      <c r="AC175" s="3">
        <f>3388.4+(1942.3-250.8)+(-8.64042+(-4.952865--0.63954))+0-650.5--1.65877499999991</f>
        <v>4418.1050299999997</v>
      </c>
      <c r="AD175">
        <f t="shared" si="2"/>
        <v>100558.647394</v>
      </c>
      <c r="AE175" s="3">
        <f>5262+(536.8-806.4)+(0+(0-0))+0-555.3-0</f>
        <v>4437.0999999999995</v>
      </c>
    </row>
    <row r="176" spans="1:31" customFormat="1" x14ac:dyDescent="0.25">
      <c r="A176">
        <v>89</v>
      </c>
      <c r="B176">
        <v>6</v>
      </c>
      <c r="C176">
        <v>21</v>
      </c>
      <c r="D176">
        <v>2</v>
      </c>
      <c r="E176">
        <v>1</v>
      </c>
      <c r="F176" s="3">
        <f>3527+(1886.7-242)+(-5.39631+(-2.886651--0.37026))+0-586.6--0.897498000000034</f>
        <v>4578.0847969999995</v>
      </c>
      <c r="G176" s="3">
        <f>3119.6+(2130.7-236.5)+(-1.590996+(-1.086657--0.120615))+0-488.5--0.24913499999995</f>
        <v>4522.9920969999994</v>
      </c>
      <c r="H176" s="3">
        <f>3044.6+(2111.4-247.3)+(-3.105492+(-2.153628--0.252246))+0-513.6--0.523872000000082</f>
        <v>4390.6169979999995</v>
      </c>
      <c r="I176" s="3">
        <f>3057.1+(2091.6-233.3)+(-4.677363+(-3.200148--0.356949))+0-661.8--1.01255400000004</f>
        <v>4247.0919919999997</v>
      </c>
      <c r="J176" s="3">
        <f>3096.4+(1881.3-249.4)+(-4.737492+(-2.878389--0.381582))+0-593--0.907290000000034</f>
        <v>4128.9729910000005</v>
      </c>
      <c r="K176" s="3">
        <f>3063.4+(1699.6-239.8)+(0+(0-0))+0-498.8-0</f>
        <v>4024.3999999999996</v>
      </c>
      <c r="L176" s="3">
        <f>2992.9+(1592-253.1)+(-7.631895+(-4.0596--0.645405))+0-496--1.26479999999993</f>
        <v>3826.0187100000003</v>
      </c>
      <c r="M176" s="3">
        <f>2980.6+(1359-250.3)+(0+(0-0))+0-537.7-0</f>
        <v>3551.6000000000004</v>
      </c>
      <c r="N176" s="3">
        <f>3131+(1163.5-311.7)+(1.59681+(0.593385-0.158967))+0-534.7-0.272696999999946</f>
        <v>3449.8585310000003</v>
      </c>
      <c r="O176" s="3">
        <f>3099.8+(1225.2-273.4)+(-4.742694+(-1.874556--0.418302))+0-561.4--0.858942000000032</f>
        <v>3484.8599939999999</v>
      </c>
      <c r="P176" s="3">
        <f>3244.7+(1203.4-264.8)+(0+(0-0))+0-576.1-0</f>
        <v>3607.2000000000003</v>
      </c>
      <c r="Q176" s="3">
        <f>3570.8+(1113.8-293.4)+(0+(0-0))+0-575.6-0</f>
        <v>3815.6</v>
      </c>
      <c r="R176" s="3">
        <f>4008.9+(1026.9-306.1)+(-6.133617+(-1.571157--0.468333))+0-497.7--0.761481000000029</f>
        <v>4225.5250400000004</v>
      </c>
      <c r="S176" s="3">
        <f>3974.7+(1454-255)+(-10.135485+(-3.7077--0.65025))+0-591--1.50704999999991</f>
        <v>4571.0141149999999</v>
      </c>
      <c r="T176" s="3">
        <f>4222.3+(1505-284.4)+(0+(0-0))+0-652.5-0</f>
        <v>4790.3999999999996</v>
      </c>
      <c r="U176" s="3">
        <f>4399.1+(1343.4-310.8)+(4.487082+(1.370268-0.317016))+0-597.3-0.609246000000095</f>
        <v>4839.3310880000008</v>
      </c>
      <c r="V176" s="3">
        <f>4559.1+(1098.1-301.6)+(-9.300564+(-2.240124--0.615264))+0-633.4--1.29213599999997</f>
        <v>4712.5667120000007</v>
      </c>
      <c r="W176" s="3">
        <f>4091.7+(1053.2-261.5)+(-8.347068+(-2.148528--0.53346))+0-572.3--1.16749199999997</f>
        <v>4302.3053559999989</v>
      </c>
      <c r="X176" s="3">
        <f>3547+(1246.2-252.5)+(-1.80897+(-0.635562--0.128775))+0-530.5--0.270554999999946</f>
        <v>4008.1547979999996</v>
      </c>
      <c r="Y176" s="3">
        <f>4021.7+(792.3-329.5)+(-2.051067+(-0.404073--0.168045))+0-573.7--0.292586999999942</f>
        <v>3908.8054920000004</v>
      </c>
      <c r="Z176" s="3">
        <f>4580.7+(860.6-338)+(-7.008471+(-1.316718--0.51714))+0-617.7--0.945081000000036</f>
        <v>4478.737032</v>
      </c>
      <c r="AA176" s="3">
        <f>4187.1+(1348.7-277.5)+(-14.947947+(-4.814859--0.990675))+0-663.8--2.36976600000001</f>
        <v>4578.0976350000001</v>
      </c>
      <c r="AB176" s="3">
        <f>4168.1+(1233.9-281.6)+(-2.125731+(-0.629289--0.143616))+0-492.8--0.25132799999995</f>
        <v>4625.2399240000004</v>
      </c>
      <c r="AC176" s="3">
        <f>3956.8+(1612.6-254.5)+(-4.035936+(-1.644852--0.25959))+0-644.8--0.657696000000103</f>
        <v>4665.3364979999997</v>
      </c>
      <c r="AD176">
        <f t="shared" si="2"/>
        <v>101332.8098</v>
      </c>
      <c r="AE176" s="3">
        <f>4699+(893.1-373.6)+(0+(0-0))+0-758.8-0</f>
        <v>4459.7</v>
      </c>
    </row>
    <row r="177" spans="1:31" customFormat="1" x14ac:dyDescent="0.25">
      <c r="A177">
        <v>89</v>
      </c>
      <c r="B177">
        <v>6</v>
      </c>
      <c r="C177">
        <v>22</v>
      </c>
      <c r="D177">
        <v>3</v>
      </c>
      <c r="E177">
        <v>1</v>
      </c>
      <c r="F177" s="3">
        <f>3511.9+(1971.7-245.8)+(-7.164276+(-4.022268--0.501432))+0-565.6--1.15382399999998</f>
        <v>4662.6687119999997</v>
      </c>
      <c r="G177" s="3">
        <f>3219.9+(2083.6-230.8)+(-1.642149+(-1.062636--0.117708))+0-512.2--0.261221999999948</f>
        <v>4558.174145</v>
      </c>
      <c r="H177" s="3">
        <f>2972.4+(2294.8-237.9)+(-3.031848+(-2.340696--0.242658))+0-599.8--0.611796000000096</f>
        <v>4424.9819100000004</v>
      </c>
      <c r="I177" s="3">
        <f>2875.5+(2182.3-234)+(-4.399515+(-3.338919--0.35802))+0-540.6--0.827118000000031</f>
        <v>4276.6467039999998</v>
      </c>
      <c r="J177" s="3">
        <f>2766.1+(2062.4-230.9)+(-2.821422+(-2.103648--0.235518))+0-386.7--0.394434000000062</f>
        <v>4206.6048820000005</v>
      </c>
      <c r="K177" s="3">
        <f>2976.3+(2014.1-229.6)+(6.071652+(4.108764-0.468384))+0-682.5-1.39229999999997</f>
        <v>4086.6197320000006</v>
      </c>
      <c r="L177" s="3">
        <f>2816.3+(1843.3-232.6)+(-5.745252+(-3.760332--0.474504))+0-564.7--1.15198799999998</f>
        <v>3854.4209080000005</v>
      </c>
      <c r="M177" s="3">
        <f>2972.2+(1474.8-279.7)+(4.547466+(2.256444-0.427941))+0-558.2-0.854046000000032</f>
        <v>3614.6219229999992</v>
      </c>
      <c r="N177" s="3">
        <f>2980.7+(1521.4-265.9)+(-1.520157+(-0.775914--0.135609))+0-628--0.320279999999936</f>
        <v>3606.3598179999999</v>
      </c>
      <c r="O177" s="3">
        <f>3218.5+(1256.4-290.9)+(1.641435+(0.640764-0.148359))+0-564.9-0.288098999999943</f>
        <v>3620.9457410000005</v>
      </c>
      <c r="P177" s="3">
        <f>3145.5+(1279.5-252.1)+(3.20841+(1.30509-0.257142))+0-392.1-0.399942000000063</f>
        <v>3784.6564159999994</v>
      </c>
      <c r="Q177" s="3">
        <f>3682.9+(1205.8-336.5)+(-1.878279+(-0.614958--0.171615))+0-560.9--0.286058999999943</f>
        <v>3989.2644369999994</v>
      </c>
      <c r="R177" s="3">
        <f>4265.4+(1088.8-392)+(0+(0-0))+0-574-0</f>
        <v>4388.2</v>
      </c>
      <c r="S177" s="3">
        <f>4410.4+(1429.6-449.9)+(-4.498608+(-1.458192--0.458898))+0-636.4--0.649128000000101</f>
        <v>4748.8512259999998</v>
      </c>
      <c r="T177" s="3">
        <f>4820.4+(1229-592.5)+(0+(0-0))+0-464.9-0</f>
        <v>4992</v>
      </c>
      <c r="U177" s="3">
        <f>4904.3+(1335.6-574.4)+(0+(0-0))+0-616.9-0</f>
        <v>5048.6000000000004</v>
      </c>
      <c r="V177" s="3">
        <f>4646.9+(1274.7-502)+(-11.849595+(-3.250485--1.2801))+0-498--1.26989999999993</f>
        <v>4909.0499199999995</v>
      </c>
      <c r="W177" s="3">
        <f>3656.7+(1616.2-256.1)+(-11.189502+(-4.945572--0.783666))+3.5-442.3--1.35343800000005</f>
        <v>4564.0020299999987</v>
      </c>
      <c r="X177" s="3">
        <f>3188.3+(1704.1-263.5)+(-4.878099+(-2.607273--0.403155))+21-509.1--0.778923000000029</f>
        <v>4134.496705999999</v>
      </c>
      <c r="Y177" s="3">
        <f>3313.9+(1458.4-295.9)+(-3.380178+(-1.487568--0.301818))+21-492.3--0.502146000000078</f>
        <v>4001.0362179999997</v>
      </c>
      <c r="Z177" s="3">
        <f>4306+(1043.1-330.6)+(-6.58818+(-1.595943--0.505818))+11.6-452.7--0.692631000000026</f>
        <v>4570.4143260000001</v>
      </c>
      <c r="AA177" s="3">
        <f>4010.3+(1511.7-275.8)+(-6.135759+(-2.312901--0.421974))+0-526.6--0.80569800000003</f>
        <v>4712.3790120000003</v>
      </c>
      <c r="AB177" s="3">
        <f>4135.3+(1474.4-271.2)+(-8.436012+(-3.007776--0.553248))+0-586.5--1.19645999999997</f>
        <v>4742.3059199999998</v>
      </c>
      <c r="AC177" s="3">
        <f>3834.3+(1751.9-238.9)+(-3.910986+(-1.786938--0.243678))+0-514.4--0.524688000000082</f>
        <v>4827.9704420000007</v>
      </c>
      <c r="AD177">
        <f t="shared" si="2"/>
        <v>104325.27112800001</v>
      </c>
      <c r="AE177" s="3">
        <f>4618+(976.8-387.6)+(0+(0-0))+0-566.4-0</f>
        <v>4640.8</v>
      </c>
    </row>
    <row r="178" spans="1:31" customFormat="1" x14ac:dyDescent="0.25">
      <c r="A178">
        <v>89</v>
      </c>
      <c r="B178">
        <v>6</v>
      </c>
      <c r="C178">
        <v>23</v>
      </c>
      <c r="D178">
        <v>4</v>
      </c>
      <c r="E178">
        <v>1</v>
      </c>
      <c r="F178" s="3">
        <f>3840.1+(1885.5-235.4)+(-5.875353+(-2.884815--0.360162))+0-665--1.01745000000004</f>
        <v>4817.8174440000003</v>
      </c>
      <c r="G178" s="3">
        <f>3427+(2018.1-256.2)+(-5.24331+(-3.087693--0.391986))+0-516--0.78948000000003</f>
        <v>4665.7504630000003</v>
      </c>
      <c r="H178" s="3">
        <f>3237+(2158.7-269.3)+(-1.65087+(-1.100937--0.137343))+0-570.3--0.290852999999942</f>
        <v>4553.7763889999987</v>
      </c>
      <c r="I178" s="3">
        <f>3048.2+(2178.4-259.8)+(-4.663746+(-3.332952--0.397494))+0-572.8--0.876384000000033</f>
        <v>4387.27718</v>
      </c>
      <c r="J178" s="3">
        <f>3028.1+(2096-264.1)+(-7.721655+(-5.3448--0.673455))+0-588--1.49939999999991</f>
        <v>4261.1063999999997</v>
      </c>
      <c r="K178" s="3">
        <f>3146.6+(1941-249.7)+(-1.604766+(-0.98991--0.127347))+0-609.6--0.310895999999938</f>
        <v>4226.1435669999992</v>
      </c>
      <c r="L178" s="3">
        <f>2898+(2013.8-257.5)+(-5.91192+(-4.108152--0.5253))+0-584.6--1.19258399999997</f>
        <v>4061.3978120000002</v>
      </c>
      <c r="M178" s="3">
        <f>3018.1+(1618.8-247.4)+(0+(0-0))+0-638.8-0</f>
        <v>3750.7</v>
      </c>
      <c r="N178" s="3">
        <f>3036.9+(1518.5-288.9)+(-3.097638+(-1.54887--0.294678))+0-645--0.657900000000103</f>
        <v>3617.8060700000005</v>
      </c>
      <c r="O178" s="3">
        <f>3162.3+(1471.7-274.8)+(-4.838319+(-2.251701--0.420444))+0-528.6--0.808758000000031</f>
        <v>3824.7391820000007</v>
      </c>
      <c r="P178" s="3">
        <f>3502.5+(1341.2-315.1)+(-1.786275+(-0.684012--0.160701))+0-580--0.295799999999941</f>
        <v>3946.5862139999999</v>
      </c>
      <c r="Q178" s="3">
        <f>4281.8+(894-380.6)+(-4.367436+(-0.91188--0.388212))+0-567.9--0.579258000000091</f>
        <v>4222.9881539999997</v>
      </c>
      <c r="R178" s="3">
        <f>4833.8+(807.9-451.7)+(-12.32619+(-2.060145--1.151835))+0-544--1.38719999999992</f>
        <v>4634.1527000000006</v>
      </c>
      <c r="S178" s="3">
        <f>4634.2+(1150.1-359.9)+(-9.453768+(-2.346204--0.734196))+0-555--1.13219999999998</f>
        <v>4859.4664239999993</v>
      </c>
      <c r="T178" s="3">
        <f>4963.4+(1250.1-368.7)+(-2.531334+(-0.637551--0.188037))+0-577--0.294269999999941</f>
        <v>5265.1134219999994</v>
      </c>
      <c r="U178" s="3">
        <f>4941.5+(1376.4-350.8)+(-10.08066+(-2.807856--0.715632))+0-594--1.21175999999997</f>
        <v>5362.1388760000009</v>
      </c>
      <c r="V178" s="3">
        <f>4483.2+(1488.4-337.5)+(-4.572864+(-1.518168--0.34425))+0-603.9--0.615978000000096</f>
        <v>5025.0691960000004</v>
      </c>
      <c r="W178" s="3">
        <f>3607.1+(1992.8-262)+(-3.679242+(-2.032656--0.26724))+0-634.1--0.646782000000101</f>
        <v>4699.0021239999987</v>
      </c>
      <c r="X178" s="3">
        <f>3199.2+(1781.5-273.3)+(-3.263184+(-1.81713--0.278766))+0-521.5--0.531930000000083</f>
        <v>4181.6303819999994</v>
      </c>
      <c r="Y178" s="3">
        <f>4147.2+(975.2-436.2)+(-6.345216+(-1.492056--0.667386))+0-596.2--0.912186000000034</f>
        <v>4083.7423000000003</v>
      </c>
      <c r="Z178" s="3">
        <f>4597.7+(1085.1-424.4)+(-7.034481+(-1.660203--0.649332))+0-637.9--0.975987000000037</f>
        <v>4613.4306349999997</v>
      </c>
      <c r="AA178" s="3">
        <f>4080.4+(1443.5-288.3)+(-10.40502+(-3.680925--0.735165))+0-512.7--1.30738499999993</f>
        <v>4710.8566050000009</v>
      </c>
      <c r="AB178" s="3">
        <f>3708.6+(1684.6-273.4)+(-3.782772+(-1.718292--0.278868))+0-380.7--0.388314000000061</f>
        <v>4734.2661179999996</v>
      </c>
      <c r="AC178" s="3">
        <f>3623.4+(2024-245.2)+(-3.695868+(-2.06448--0.250104))+0-562--0.57324000000009</f>
        <v>4835.2629959999995</v>
      </c>
      <c r="AD178">
        <f t="shared" si="2"/>
        <v>107340.220653</v>
      </c>
      <c r="AE178" s="3">
        <f>4713+(1020.6-490.3)+(0+(0-0))+0-609.5-0</f>
        <v>4633.8</v>
      </c>
    </row>
    <row r="179" spans="1:31" customFormat="1" x14ac:dyDescent="0.25">
      <c r="A179">
        <v>89</v>
      </c>
      <c r="B179">
        <v>6</v>
      </c>
      <c r="C179">
        <v>24</v>
      </c>
      <c r="D179">
        <v>5</v>
      </c>
      <c r="E179">
        <v>1</v>
      </c>
      <c r="F179" s="3">
        <f>3230.9+(2380.1-215.5)+(-3.295518+(-2.427702--0.21981))+0-519.3--0.529686000000083</f>
        <v>4871.2262759999994</v>
      </c>
      <c r="G179" s="3">
        <f>3197.5+(2371.4-252.8)+(-1.630725+(-1.209414--0.128928))+0-545--0.277949999999945</f>
        <v>4768.6667390000002</v>
      </c>
      <c r="H179" s="3">
        <f>3205+(2238.2-248.8)+(4.90365+(3.424446-0.380664))+0-575.5-0.880515000000033</f>
        <v>4625.9669169999997</v>
      </c>
      <c r="I179" s="3">
        <f>3192.8+(2208.1-246.3)+(0+(0-0))+0-651-0</f>
        <v>4503.6000000000004</v>
      </c>
      <c r="J179" s="3">
        <f>3228.5+(1985.3-265.1)+(-3.29307+(-2.025006--0.270402))+0-582.7--0.594354000000093</f>
        <v>4361.5466799999995</v>
      </c>
      <c r="K179" s="3">
        <f>3402.6+(1665.6-258.1)+(0+(0-0))+0-565.6-0</f>
        <v>4244.5</v>
      </c>
      <c r="L179" s="3">
        <f>3178.6+(1747.4-268)+(-4.863258+(-2.673522--0.41004))+0-610.4--0.933912000000035</f>
        <v>4041.4071720000002</v>
      </c>
      <c r="M179" s="3">
        <f>3115.3+(1466.8-256)+(-3.177606+(-1.496136--0.26112))+0-566.7--0.57803400000009</f>
        <v>3755.5654120000008</v>
      </c>
      <c r="N179" s="3">
        <f>3100.5+(1460.1-300.4)+(1.581255+(0.744651-0.153204))+0-595.1-0.30350099999994</f>
        <v>3666.9692009999999</v>
      </c>
      <c r="O179" s="3">
        <f>3194.9+(1319.6-345.6)+(-1.629399+(-0.672996--0.176256))+0-506.4--0.258263999999949</f>
        <v>3660.6321249999996</v>
      </c>
      <c r="P179" s="3">
        <f>3261.9+(1219.7-203)+(0+(0-0))+0-507.4-0</f>
        <v>3771.2000000000003</v>
      </c>
      <c r="Q179" s="3">
        <f>3787.3+(1114.1-346.3)+(1.931523+(0.568191-0.176613))+0-427.3-0.217922999999957</f>
        <v>4129.905178</v>
      </c>
      <c r="R179" s="3">
        <f>4358.7+(794.2-374.1)+(-2.222937+(-0.405042--0.190791))+0-427.8--0.218177999999957</f>
        <v>4348.7809900000002</v>
      </c>
      <c r="S179" s="3">
        <f>4593.2+(969.5-445)+(-2.342532+(-0.494445--0.22695))+0-354.6--0.180845999999964</f>
        <v>4760.6708189999999</v>
      </c>
      <c r="T179" s="3">
        <f>4926.9+(1058.8-595.7)+(-7.538157+(-1.619964--0.911421))+0-402.7--0.616131000000023</f>
        <v>4979.6694310000003</v>
      </c>
      <c r="U179" s="3">
        <f>4920.7+(1071.8-566)+(5.019114+(1.093236-0.57732))+0-398.2-0.406164000000063</f>
        <v>5033.4288660000002</v>
      </c>
      <c r="V179" s="3">
        <f>4795.6+(1125.2-459.4)+(0+(0-0))+0-508.4-0</f>
        <v>4953.0000000000009</v>
      </c>
      <c r="W179" s="3">
        <f>3764.4+(1549.1-288.1)+(-7.679376+(-3.160164--0.587724))+0-489.7--0.998987999999979</f>
        <v>4526.4471720000001</v>
      </c>
      <c r="X179" s="3">
        <f>3196.8+(1649.3-285.7)+(1.630368+(0.841143-0.145707))+0-506.3-0.258212999999949</f>
        <v>4056.1675909999994</v>
      </c>
      <c r="Y179" s="3">
        <f>4006.2+(1046.3-409.4)+(-2.043162+(-0.533613--0.208794))+0-656.5--0.334814999999933</f>
        <v>3984.5668339999988</v>
      </c>
      <c r="Z179" s="3">
        <f>4820.7+(647.3-527)+(-12.292785+(-1.650615--1.34385))+0-535.5--1.36552499999992</f>
        <v>4394.2659750000003</v>
      </c>
      <c r="AA179" s="3">
        <f>4353.6+(1154.6-318.6)+(-11.10168+(-2.94423--0.81243))+0-634.5--1.61797499999991</f>
        <v>4543.4844950000006</v>
      </c>
      <c r="AB179" s="3">
        <f>4146.9+(1284.1-304.1)+(-8.459676+(-2.619564--0.620364))+0-529--1.07915999999998</f>
        <v>4588.5202840000002</v>
      </c>
      <c r="AC179" s="3">
        <f>4064+(1512.9-267.2)+(-2.07264+(-0.771579--0.136272))+0-669.9--0.341648999999932</f>
        <v>4637.4337020000003</v>
      </c>
      <c r="AD179">
        <f t="shared" si="2"/>
        <v>105207.62185899999</v>
      </c>
      <c r="AE179" s="3">
        <f>4775+(809.3-515.2)+(0+(0-0))+0-566.1-0</f>
        <v>4503</v>
      </c>
    </row>
    <row r="180" spans="1:31" customFormat="1" x14ac:dyDescent="0.25">
      <c r="A180">
        <v>89</v>
      </c>
      <c r="B180">
        <v>6</v>
      </c>
      <c r="C180">
        <v>25</v>
      </c>
      <c r="D180">
        <v>6</v>
      </c>
      <c r="E180">
        <v>1</v>
      </c>
      <c r="F180" s="3">
        <f>3781.7+(1685.9-216.3)+(-9.643335+(-4.299045--0.551565))+0-608.3--1.55116499999991</f>
        <v>4631.1603500000001</v>
      </c>
      <c r="G180" s="3">
        <f>3511.7+(1753.3-206.5)+(-7.163868+(-3.576732--0.42126))+0-527--1.07507999999998</f>
        <v>4522.2557399999996</v>
      </c>
      <c r="H180" s="3">
        <f>3391.4+(1843-241.6)+(1.729614+(0.93993-0.123216))+0-610.9-0.311558999999938</f>
        <v>4384.1347690000011</v>
      </c>
      <c r="I180" s="3">
        <f>3128.9+(1938.2-225.4)+(-9.574434+(-5.930892--0.689724))+0-593--1.81458000000007</f>
        <v>4235.6989780000004</v>
      </c>
      <c r="J180" s="3">
        <f>3131.9+(1663.7-246.8)+(1.597269+(0.848487-0.125868))+0-434.9-0.221798999999956</f>
        <v>4115.9980890000006</v>
      </c>
      <c r="K180" s="3">
        <f>3278.1+(1617.4-245.9)+(0+(0-0))+0-704.3-0</f>
        <v>3945.3</v>
      </c>
      <c r="L180" s="3">
        <f>2978.5+(1633-249.1)+(-7.595175+(-4.16415--0.635205))+0-613--1.56314999999991</f>
        <v>3739.8390299999992</v>
      </c>
      <c r="M180" s="3">
        <f>2889.2+(1326.5-245.2)+(1.473492+(0.676515-0.125052))+0-566.6-0.288965999999943</f>
        <v>3405.6359889999999</v>
      </c>
      <c r="N180" s="3">
        <f>2947.9+(1260.5-264.2)+(-3.006858+(-1.28571--0.269484))+0-644.5--0.657390000000103</f>
        <v>3296.3343060000002</v>
      </c>
      <c r="O180" s="3">
        <f>2899.7+(1271.3-278.6)+(-1.478847+(-0.648363--0.142086))+0-583--0.297329999999941</f>
        <v>3307.7122059999997</v>
      </c>
      <c r="P180" s="3">
        <f>2982.8+(1235.5-286.8)+(-4.563684+(-1.890315--0.438804))+0-544.5--0.833085000000031</f>
        <v>3381.8178900000003</v>
      </c>
      <c r="Q180" s="3">
        <f>3218.3+(1285.5-296.5)+(-8.206665+(-3.278025--0.756075))+0-613.8--1.56518999999991</f>
        <v>3584.3365749999998</v>
      </c>
      <c r="R180" s="3">
        <f>3089.2+(1669.6-254.9)+(-17.330412+(-9.366456--1.429989))+0-588.7--3.30260699999998</f>
        <v>3893.2357280000001</v>
      </c>
      <c r="S180" s="3">
        <f>3208.7+(1816.9-221.6)+(-3.272874+(-1.853238--0.226032))+0-535.2--0.545904000000085</f>
        <v>4264.4458240000004</v>
      </c>
      <c r="T180" s="3">
        <f>3925.2+(1457.1-307.2)+(-4.003704+(-1.486242--0.313344))+0-543--0.553860000000087</f>
        <v>4527.4772579999999</v>
      </c>
      <c r="U180" s="3">
        <f>4100.4+(1385-301.7)+(-2.091204+(-0.70635--0.153867))+0-568.8--0.290087999999942</f>
        <v>4612.5464009999996</v>
      </c>
      <c r="V180" s="3">
        <f>3982.2+(1375.5-287.1)+(-4.061844+(-1.40301--0.292842))+0-516.6--0.526932000000082</f>
        <v>4549.3549199999998</v>
      </c>
      <c r="W180" s="3">
        <f>4058.7+(1075.6-283)+(-10.349685+(-2.74278--0.72165))+0-625.7--1.59553499999991</f>
        <v>4214.8247199999987</v>
      </c>
      <c r="X180" s="3">
        <f>3750.4+(896.9-353.7)+(-1.912704+(-0.457419--0.180387))+0-514.6--0.262445999999948</f>
        <v>3777.0727099999999</v>
      </c>
      <c r="Y180" s="3">
        <f>3814.1+(953.6-387.1)+(0+(0-0))+0-643.7-0</f>
        <v>3736.9000000000005</v>
      </c>
      <c r="Z180" s="3">
        <f>3978.7+(1070.1-313.8)+(-2.029137+(-0.545751--0.160038))+0-519.2--0.264791999999947</f>
        <v>4213.649942</v>
      </c>
      <c r="AA180" s="3">
        <f>4248.4+(981.5-300.2)+(-6.500052+(-1.501695--0.459306))+0-629.2--0.962676000000036</f>
        <v>4293.9202350000005</v>
      </c>
      <c r="AB180" s="3">
        <f>4394.3+(891.8-303.9)+(-8.964372+(-1.819272--0.619956))+0-625.6--1.27622399999997</f>
        <v>4347.712536</v>
      </c>
      <c r="AC180" s="3">
        <f>3590.8+(1643.9-245.1)+(-5.493924+(-2.515167--0.375003))+0-611.3--0.935289000000035</f>
        <v>4371.6012010000004</v>
      </c>
      <c r="AD180">
        <f t="shared" si="2"/>
        <v>97352.965396999993</v>
      </c>
      <c r="AE180" s="3">
        <f>3798+(1288.9-265.7)+(0+(0-0))+0-671.2-0</f>
        <v>4150</v>
      </c>
    </row>
    <row r="181" spans="1:31" customFormat="1" x14ac:dyDescent="0.25">
      <c r="A181">
        <v>89</v>
      </c>
      <c r="B181">
        <v>6</v>
      </c>
      <c r="C181">
        <v>26</v>
      </c>
      <c r="D181">
        <v>7</v>
      </c>
      <c r="E181">
        <v>1</v>
      </c>
      <c r="F181" s="3">
        <f>3415.8+(1709.7-238.8)+(-6.968232+(-3.487788--0.487152))+0-504--1.02815999999998</f>
        <v>4373.7592920000006</v>
      </c>
      <c r="G181" s="3">
        <f>3237.3+(1926.9-243.9)+(-8.255115+(-4.913595--0.621945))+0-589.8--1.50398999999991</f>
        <v>4319.4572250000001</v>
      </c>
      <c r="H181" s="3">
        <f>3277.1+(1745.7-250.5)+(1.671321+(0.890307-0.127755))+0-570.4-0.290903999999942</f>
        <v>4204.042969000001</v>
      </c>
      <c r="I181" s="3">
        <f>3408.3+(1493.2-256.1)+(1.738233+(0.761532-0.130611))+0-581-0.296309999999941</f>
        <v>4066.4728439999999</v>
      </c>
      <c r="J181" s="3">
        <f>3265+(1468.3-255.7)+(0+(0-0))+0-527.8-0</f>
        <v>3949.8</v>
      </c>
      <c r="K181" s="3">
        <f>3171.9+(1507.4-249.1)+(1.617669+(0.768774-0.127041))+0-618.3-0.315332999999937</f>
        <v>3813.8440690000002</v>
      </c>
      <c r="L181" s="3">
        <f>2976.1+(1459.8-254.7)+(-7.589055+(-3.72249--0.649485))+0-564.5--1.43947499999992</f>
        <v>3607.4774150000003</v>
      </c>
      <c r="M181" s="3">
        <f>2773.4+(1340.7-248.5)+(-4.243302+(-2.051271--0.380205))+0-588.5--0.900405000000034</f>
        <v>3272.086037</v>
      </c>
      <c r="N181" s="3">
        <f>2833.4+(1173-286.4)+(0+(0-0))+0-579-0</f>
        <v>3141</v>
      </c>
      <c r="O181" s="3">
        <f>2826.4+(952.9-274.9)+(-1.441464+(-0.485979--0.140199))+0-385.8--0.196757999999961</f>
        <v>3117.0095139999999</v>
      </c>
      <c r="P181" s="3">
        <f>2964.8+(1026-301.2)+(-3.024096+(-1.04652--0.307224))+0-524.3--0.534786000000084</f>
        <v>3162.0713940000005</v>
      </c>
      <c r="Q181" s="3">
        <f>2887.4+(1210.1-261.1)+(-4.417722+(-1.851453--0.399483))+0-512--0.78336000000003</f>
        <v>3319.3136679999998</v>
      </c>
      <c r="R181" s="3">
        <f>3137+(1225.8-243)+(0+(0-0))+0-514.4-0</f>
        <v>3605.4</v>
      </c>
      <c r="S181" s="3">
        <f>3749+(1086.2-278.3)+(-3.82398+(-1.107924--0.283866))+0-525.7--0.536214000000084</f>
        <v>4027.0881759999997</v>
      </c>
      <c r="T181" s="3">
        <f>4079.6+(1075.2-331.3)+(-8.322384+(-2.193408--0.675852))+0-468.4--0.95553599999998</f>
        <v>4346.2155960000009</v>
      </c>
      <c r="U181" s="3">
        <f>3980.6+(1171.7-317.5)+(-4.060212+(-1.195134--0.32385))+0-370.9--0.378318000000059</f>
        <v>4459.3468220000004</v>
      </c>
      <c r="V181" s="3">
        <f>3950.4+(1145.4-271.2)+(-4.029408+(-1.168308--0.276624))+0-447.9--0.456858000000071</f>
        <v>4372.2357660000016</v>
      </c>
      <c r="W181" s="3">
        <f>3493.9+(1335.5-259.4)+(-1.781889+(-0.681105--0.132294))+0-536.7--0.273716999999946</f>
        <v>4031.2430169999998</v>
      </c>
      <c r="X181" s="3">
        <f>3318.9+(1047.9-255.4)+(-5.077917+(-1.603287--0.390762))+0-525.6--0.80416800000003</f>
        <v>3580.3137260000003</v>
      </c>
      <c r="Y181" s="3">
        <f>3800.8+(711.9-332.4)+(-5.815224+(-1.089207--0.508572))+0-583.7--0.893061000000034</f>
        <v>3591.0972020000004</v>
      </c>
      <c r="Z181" s="3">
        <f>4251.1+(693.5-344)+(0+(0-0))+0-506.2-0</f>
        <v>4094.4000000000005</v>
      </c>
      <c r="AA181" s="3">
        <f>4142+(935.8-288.3)+(-14.78694+(-3.340806--1.029231))+0-574.7--2.05167900000001</f>
        <v>4199.7531640000007</v>
      </c>
      <c r="AB181" s="3">
        <f>3596.5+(1447.4-271.7)+(-7.33686+(-2.952696--0.554268))+0-452.5--0.92309999999998</f>
        <v>4310.8878119999999</v>
      </c>
      <c r="AC181" s="3">
        <f>3760.5+(1405.4-263.8)+(-3.83571+(-1.433508--0.269076))+0-513.9--0.524178000000082</f>
        <v>4383.7240360000005</v>
      </c>
      <c r="AD181">
        <f t="shared" si="2"/>
        <v>93348.039744000009</v>
      </c>
      <c r="AE181" s="3">
        <f>4474+(632.7-354.1)+(0+(0-0))+0-617.6-0</f>
        <v>4135</v>
      </c>
    </row>
    <row r="182" spans="1:31" customFormat="1" x14ac:dyDescent="0.25">
      <c r="A182">
        <v>89</v>
      </c>
      <c r="B182">
        <v>6</v>
      </c>
      <c r="C182">
        <v>27</v>
      </c>
      <c r="D182">
        <v>1</v>
      </c>
      <c r="E182">
        <v>1</v>
      </c>
      <c r="F182" s="3">
        <f>3233.4+(1884-243.5)+(-4.947102+(-2.88252--0.372555))+0-489.3--0.748629000000028</f>
        <v>4377.8915619999989</v>
      </c>
      <c r="G182" s="3">
        <f>3103.8+(1970.1-223)+(-6.331752+(-4.019004--0.45492))+0-573.2--1.16932799999998</f>
        <v>4268.9734920000001</v>
      </c>
      <c r="H182" s="3">
        <f>3224.5+(1809.9-251.9)+(-6.57798+(-3.692196--0.513876))+0-645.1--1.31600399999997</f>
        <v>4128.9597039999999</v>
      </c>
      <c r="I182" s="3">
        <f>3050.8+(1786.7-245.4)+(-1.555908+(-0.911217--0.125154))+0-583.9--0.297788999999941</f>
        <v>4006.1558180000002</v>
      </c>
      <c r="J182" s="3">
        <f>2939.7+(1788.7-261.8)+(1.499247+(0.912237-0.133518))+0-585.3-0.298502999999941</f>
        <v>3883.2794629999999</v>
      </c>
      <c r="K182" s="3">
        <f>2960.6+(1597.7-253.1)+(1.509906+(0.814827-0.129081))+0-565.2-0.288251999999943</f>
        <v>3741.9074000000005</v>
      </c>
      <c r="L182" s="3">
        <f>2994+(1420.8-262.4)+(-7.6347+(-3.62304--0.66912))+0.8-646.6--1.64882999999991</f>
        <v>3497.6602099999996</v>
      </c>
      <c r="M182" s="3">
        <f>2873.2+(1116.6-249.1)+(-5.861328+(-2.277864--0.508164))+0-500.1--1.02020399999998</f>
        <v>3233.989176</v>
      </c>
      <c r="N182" s="3">
        <f>3077.6+(1018.2-331.9)+(0+(0-0))+0-561.1-0</f>
        <v>3202.8</v>
      </c>
      <c r="O182" s="3">
        <f>2912.8+(1266.1-267.4)+(0+(0-0))+0-601.6-0</f>
        <v>3309.9</v>
      </c>
      <c r="P182" s="3">
        <f>3060.1+(1220-312.5)+(-1.560651+(-0.6222--0.159375))+0-536.6--0.273665999999946</f>
        <v>3429.2501900000002</v>
      </c>
      <c r="Q182" s="3">
        <f>3405.1+(1142.6-294.2)+(-6.946404+(-2.330904--0.600168))+0-610.8--1.24603199999997</f>
        <v>3635.2688920000001</v>
      </c>
      <c r="R182" s="3">
        <f>3659.4+(1172.9-302.9)+(-3.732588+(-1.196358--0.308958))+0-578.1--0.589662000000092</f>
        <v>3947.2696740000006</v>
      </c>
      <c r="S182" s="3">
        <f>3902.9+(1324.9-308.9)+(-11.942874+(-4.054194--0.945234))+0-601.7--1.84120200000007</f>
        <v>4303.9893680000014</v>
      </c>
      <c r="T182" s="3">
        <f>4151.1+(1372.7-353.4)+(-4.234122+(-1.400154--0.360468))+0-622.7--0.635154000000099</f>
        <v>4543.0613460000013</v>
      </c>
      <c r="U182" s="3">
        <f>4188.7+(1324-329.9)+(-6.408711+(-2.02572--0.504747))+0-541.4--0.828342000000031</f>
        <v>4634.2986580000006</v>
      </c>
      <c r="V182" s="3">
        <f>3838.6+(1519.2-263)+(-3.915372+(-1.549584--0.26826))+0-579.2--0.590784000000092</f>
        <v>4510.9940880000004</v>
      </c>
      <c r="W182" s="3">
        <f>3156.4+(1837.3-256.5)+(-6.439056+(-3.748092--0.52326))+0-641.3--1.30825199999997</f>
        <v>4087.5443639999994</v>
      </c>
      <c r="X182" s="3">
        <f>3084.9+(1325.8-254.2)+(-4.719897+(-2.028474--0.388926))+0-501.1--0.766683000000029</f>
        <v>3649.8072379999999</v>
      </c>
      <c r="Y182" s="3">
        <f>3555.5+(1041.4-307.6)+(-1.813305+(-0.531114--0.156876))+0-618.7--0.315536999999937</f>
        <v>3668.7279940000003</v>
      </c>
      <c r="Z182" s="3">
        <f>3983.5+(993-285.6)+(-8.12634+(-2.02572--0.582624))+0-531.7--1.08466799999998</f>
        <v>4150.7152320000005</v>
      </c>
      <c r="AA182" s="3">
        <f>4204.5+(914-282.1)+(2.144295+(0.46614-0.143871))+0-527.2-0.268871999999947</f>
        <v>4311.3976920000005</v>
      </c>
      <c r="AB182" s="3">
        <f>4361.1+(865.9-291.9)+(-8.896644+(-1.766436--0.595476))+0-600.1--1.22420399999997</f>
        <v>4326.1566000000003</v>
      </c>
      <c r="AC182" s="3">
        <f>4152.2+(1144.6-259.1)+(-8.470488+(-2.334984--0.528564))+0-527.9--1.07691599999998</f>
        <v>4500.6000080000003</v>
      </c>
      <c r="AD182">
        <f t="shared" si="2"/>
        <v>95350.598169000004</v>
      </c>
      <c r="AE182" s="3">
        <f>4129+(860.1-318)+(0+(0-0))+0-482.7-0</f>
        <v>4188.4000000000005</v>
      </c>
    </row>
    <row r="183" spans="1:31" customFormat="1" x14ac:dyDescent="0.25">
      <c r="A183">
        <v>89</v>
      </c>
      <c r="B183">
        <v>6</v>
      </c>
      <c r="C183">
        <v>28</v>
      </c>
      <c r="D183">
        <v>2</v>
      </c>
      <c r="E183">
        <v>1</v>
      </c>
      <c r="F183" s="3">
        <f>4143.7+(1127.4-295.5)+(0+(0-0))+0-558.6-0</f>
        <v>4417</v>
      </c>
      <c r="G183" s="3">
        <f>3473.8+(1832.3-261)+(-1.771638+(-0.934473--0.13311))+0-689.2--0.35149199999993</f>
        <v>4353.6784910000006</v>
      </c>
      <c r="H183" s="3">
        <f>3134.3+(1875.8-266.7)+(-1.598493+(-0.956658--0.136017))+0-510.9--0.260558999999948</f>
        <v>4230.3414250000005</v>
      </c>
      <c r="I183" s="3">
        <f>3185.7+(1803.4-254)+(-3.249414+(-1.839468--0.25908))+0-619--0.631380000000099</f>
        <v>4111.901578</v>
      </c>
      <c r="J183" s="3">
        <f>3013.5+(1929.7-260.5)+(-1.536885+(-0.984147--0.132855))+0-659.3--0.336242999999933</f>
        <v>4021.3480659999996</v>
      </c>
      <c r="K183" s="3">
        <f>3101.1+(1671.3-248)+(-3.163122+(-1.704726--0.25296))+0-574.8--0.586296000000092</f>
        <v>3945.5714079999993</v>
      </c>
      <c r="L183" s="3">
        <f>2754.3+(1784.1-266.5)+(-7.023465+(-4.549455--0.679575))+0-523--1.33364999999992</f>
        <v>3739.3403049999993</v>
      </c>
      <c r="M183" s="3">
        <f>2767.7+(1487-259.6)+(0+(0-0))+0-490.1-0</f>
        <v>3505</v>
      </c>
      <c r="N183" s="3">
        <f>2810.9+(1440.6-256.6)+(-2.867118+(-1.469412--0.261732))+0-506.4--0.516528000000081</f>
        <v>3484.94173</v>
      </c>
      <c r="O183" s="3">
        <f>2794.6+(1405.7-250.2)+(-7.12623+(-3.584535--0.63801))+0-520--1.32599999999992</f>
        <v>3421.3532449999998</v>
      </c>
      <c r="P183" s="3">
        <f>3007.7+(1441-259.4)+(0+(0-0))+0-537.8-0</f>
        <v>3651.4999999999991</v>
      </c>
      <c r="Q183" s="3">
        <f>3095.5+(1603-199.8)+(-4.736115+(-2.45259--0.305694))+0-581.8--0.890154000000034</f>
        <v>3910.9071429999999</v>
      </c>
      <c r="R183" s="3">
        <f>3357.3+(1589.1-207.5)+(-5.136669+(-2.431323--0.317475))+0-553.7--0.847161000000032</f>
        <v>4178.7966439999991</v>
      </c>
      <c r="S183" s="3">
        <f>3123.5+(2178.2-246.5)+(-6.37194+(-4.443528--0.50286))+0-548.6--1.11914399999998</f>
        <v>4497.4065359999995</v>
      </c>
      <c r="T183" s="3">
        <f>3460.7+(1946.9-258.2)+(1.764957+(0.992919-0.131682))+0-505.5-0.257804999999949</f>
        <v>4646.2683889999998</v>
      </c>
      <c r="U183" s="3">
        <f>3438.1+(1932.3-250.2)+(-3.506862+(-1.970946--0.255204))+0-468.6--0.477972000000075</f>
        <v>4646.8553679999995</v>
      </c>
      <c r="V183" s="3">
        <f>3061.3+(2230.9-227.3)+(-7.806315+(-5.688795--0.579615))+0-633--1.61414999999991</f>
        <v>4420.5986550000007</v>
      </c>
      <c r="W183" s="3">
        <f>3010+(1812.9-237.5)+(-6.1404+(-3.698316--0.4845))+0-564.8--1.15219199999998</f>
        <v>4012.3979759999997</v>
      </c>
      <c r="X183" s="3">
        <f>3241.3+(1326.1-268.4)+(1.653063+(0.676311-0.136884))+0-612.2-0.312221999999938</f>
        <v>3688.6802680000005</v>
      </c>
      <c r="Y183" s="3">
        <f>4077.5+(820.4-339.5)+(-2.079525+(-0.418404--0.173145))+0-535.8--0.273257999999946</f>
        <v>4020.5484739999993</v>
      </c>
      <c r="Z183" s="3">
        <f>3993.6+(1282.2-282.7)+(-6.110208+(-1.961766--0.432531))+0-592.7--0.906831000000034</f>
        <v>4393.6673880000008</v>
      </c>
      <c r="AA183" s="3">
        <f>3873.1+(1508.8-258.7)+(-7.901124+(-3.077952--0.527748))+0-610.5--1.24541999999997</f>
        <v>4503.4940919999999</v>
      </c>
      <c r="AB183" s="3">
        <f>3750.5+(1665-253)+(-11.47653+(-5.0949--0.77418))+0-554.7--1.69738200000006</f>
        <v>4593.7001320000008</v>
      </c>
      <c r="AC183" s="3">
        <f>3550.3+(1895.1-249.1)+(-1.810653+(-0.966501--0.127041))+0-530.7--0.270656999999946</f>
        <v>4663.2205440000007</v>
      </c>
      <c r="AD183">
        <f t="shared" si="2"/>
        <v>99058.51785699997</v>
      </c>
      <c r="AE183" s="3">
        <f>4356+(1297.5-305.7)+(0+(0-0))+0-659.4-0</f>
        <v>4688.4000000000005</v>
      </c>
    </row>
    <row r="184" spans="1:31" customFormat="1" x14ac:dyDescent="0.25">
      <c r="A184">
        <v>89</v>
      </c>
      <c r="B184">
        <v>6</v>
      </c>
      <c r="C184">
        <v>29</v>
      </c>
      <c r="D184">
        <v>3</v>
      </c>
      <c r="E184">
        <v>1</v>
      </c>
      <c r="F184" s="3">
        <f>3355+(2267.3-250.5)+(-6.8442+(-4.625292--0.51102))+0-699.7--1.42738799999997</f>
        <v>4662.5689160000002</v>
      </c>
      <c r="G184" s="3">
        <f>2766.6+(2584.6-240.8)+(0+(0-0))+0-554.4-0</f>
        <v>4556</v>
      </c>
      <c r="H184" s="3">
        <f>2511+(2684.9-232.2)+(-3.84183+(-4.107897--0.355266))+0-537.5--0.822375000000031</f>
        <v>4419.4279140000008</v>
      </c>
      <c r="I184" s="3">
        <f>2499.3+(2705.7-220.1)+(-2.549286+(-2.759814--0.224502))+0-630.9--0.643518000000101</f>
        <v>4349.5589199999995</v>
      </c>
      <c r="J184" s="3">
        <f>2593.6+(2290.4-210)+(1.322736+(1.168104-0.1071))+0-448.8-0.228887999999954</f>
        <v>4227.3548520000004</v>
      </c>
      <c r="K184" s="3">
        <f>2793.5+(2248.3-206.7)+(0+(0-0))+0-646.7-0</f>
        <v>4188.4000000000005</v>
      </c>
      <c r="L184" s="3">
        <f>2681+(2051.7-231.6)+(-8.20386+(-6.278202--0.708696))+0-598.3--1.83079800000007</f>
        <v>3890.8574319999998</v>
      </c>
      <c r="M184" s="3">
        <f>2715+(1703.1-234.1)+(0+(0-0))+0-493.2-0</f>
        <v>3690.8</v>
      </c>
      <c r="N184" s="3">
        <f>2778.1+(1680.2-247.7)+(-1.416831+(-0.856902--0.126327))+0-495.3--0.25260299999995</f>
        <v>3713.405197</v>
      </c>
      <c r="O184" s="3">
        <f>2867+(1589.3-246.9)+(-1.46217+(-0.810543--0.125919))+0-435.8--0.222257999999956</f>
        <v>3771.675463999999</v>
      </c>
      <c r="P184" s="3">
        <f>3011+(1641.6-250.8)+(0+(0-0))+0-484.3-0</f>
        <v>3917.5</v>
      </c>
      <c r="Q184" s="3">
        <f>3006.3+(1846.4-217.9)+(-4.599639+(-2.824992--0.333387))+0-444.2--0.679626000000026</f>
        <v>4184.1883820000003</v>
      </c>
      <c r="R184" s="3">
        <f>3382.5+(1838.2-229.9)+(-1.725075+(-0.937482--0.117249))+0-529.9--0.270248999999946</f>
        <v>4458.6249410000009</v>
      </c>
      <c r="S184" s="3">
        <f>3314+(2110-220.1)+(-11.83098+(-7.5327--0.785757))+0-447.5--1.59757500000001</f>
        <v>4739.4196519999996</v>
      </c>
      <c r="T184" s="3">
        <f>3686.7+(1924.2-219)+(1.880217+(0.981342-0.11169))+0-498-0.253979999999949</f>
        <v>4896.3958890000004</v>
      </c>
      <c r="U184" s="3">
        <f>3942.4+(1646.2-238.4)+(-8.042496+(-3.358248--0.486336))+0-521.6--1.06406399999998</f>
        <v>4818.749656</v>
      </c>
      <c r="V184" s="3">
        <f>3647.9+(1620.7-244.8)+(-7.441716+(-3.306228--0.499392))+0-370.7--0.756227999999984</f>
        <v>4643.6076760000005</v>
      </c>
      <c r="W184" s="3">
        <f>3175.2+(1961.7-242)+(-8.09676+(-5.002335--0.6171))+0-457.2--1.16585999999993</f>
        <v>4426.3838649999998</v>
      </c>
      <c r="X184" s="3">
        <f>3051.2+(1566.8-263)+(-1.556112+(-0.799068--0.13413))+0-498.9--0.254438999999949</f>
        <v>3854.1333889999996</v>
      </c>
      <c r="Y184" s="3">
        <f>3682.4+(920.8-356.4)+(1.878024+(0.469608-0.181764))+0-447.7-0.228326999999955</f>
        <v>3801.0375410000006</v>
      </c>
      <c r="Z184" s="3">
        <f>4316.6+(857.3-324.8)+(-8.805864+(-1.748892--0.662592))+0-447.6--0.91310399999998</f>
        <v>4392.5209400000003</v>
      </c>
      <c r="AA184" s="3">
        <f>4023.3+(1186.2-272)+(-12.311298+(-3.629772--0.83232))+0-409.6--1.25337600000005</f>
        <v>4514.044625999999</v>
      </c>
      <c r="AB184" s="3">
        <f>4108.2+(1168.8-249.1)+(-8.380728+(-2.384352--0.508164))+0-439--0.895559999999981</f>
        <v>4579.5386439999993</v>
      </c>
      <c r="AC184" s="3">
        <f>3847.7+(1438.2-230.6)+(-7.849308+(-2.933928--0.470424))+0-374.3--0.763571999999984</f>
        <v>4671.4507599999997</v>
      </c>
      <c r="AD184">
        <f t="shared" si="2"/>
        <v>103367.64465599999</v>
      </c>
      <c r="AE184" s="3">
        <f>4562+(734.4-361.8)+(0+(0-0))+0-515-0</f>
        <v>4419.6000000000004</v>
      </c>
    </row>
    <row r="185" spans="1:31" customFormat="1" x14ac:dyDescent="0.25">
      <c r="A185">
        <v>89</v>
      </c>
      <c r="B185">
        <v>6</v>
      </c>
      <c r="C185">
        <v>30</v>
      </c>
      <c r="D185">
        <v>4</v>
      </c>
      <c r="E185">
        <v>1</v>
      </c>
      <c r="F185" s="3">
        <f>3271.2+(2146.5-229.1)+(-5.004936+(-3.284145--0.350523))+0-527--0.806310000000031</f>
        <v>4654.4677520000005</v>
      </c>
      <c r="G185" s="3">
        <f>2898.7+(2397.5-225.5)+(-4.435011+(-3.668175--0.345015))+0-508.9--0.778617000000029</f>
        <v>4554.8204459999997</v>
      </c>
      <c r="H185" s="3">
        <f>2803.9+(2236.4-235.5)+(0+(0-0))+0-384.8-0</f>
        <v>4420</v>
      </c>
      <c r="I185" s="3">
        <f>2891.7+(2199.9-217.4)+(-1.474767+(-1.121949--0.110874))+0-553.8--0.282437999999944</f>
        <v>4318.1965959999998</v>
      </c>
      <c r="J185" s="3">
        <f>2793.7+(2231.8-205)+(-1.424787+(-1.138218--0.10455))+0-623.9--0.318188999999937</f>
        <v>4194.459734</v>
      </c>
      <c r="K185" s="3">
        <f>2798.9+(2026-197.3)+(1.427439+(1.03326-0.100623))+0-541.4-0.276113999999945</f>
        <v>4088.2839620000004</v>
      </c>
      <c r="L185" s="3">
        <f>2871.4+(1874.5-212.9)+(-2.928828+(-1.91199--0.217158))+0-593.6--0.605472000000095</f>
        <v>3935.3818120000001</v>
      </c>
      <c r="M185" s="3">
        <f>2651.5+(1710.9-211.1)+(-2.70453+(-1.745118--0.215322))+0-516.7--0.527034000000082</f>
        <v>3630.8927080000008</v>
      </c>
      <c r="N185" s="3">
        <f>2865.6+(1378.5-223.7)+(1.461456+(0.703035-0.114087))+0-492.5-0.25117499999995</f>
        <v>3529.6992289999998</v>
      </c>
      <c r="O185" s="3">
        <f>3003.2+(1283.2-231.8)+(-3.063264+(-1.308864--0.236436))+0-539.5--0.550290000000086</f>
        <v>3511.5145980000002</v>
      </c>
      <c r="P185" s="3">
        <f>3034+(1283.2-246.8)+(-1.54734+(-0.654432--0.125868))+0-502.4--0.256223999999949</f>
        <v>3566.1803199999999</v>
      </c>
      <c r="Q185" s="3">
        <f>3206.5+(1262.9-271.3)+(0+(0-0))+0-439.5-0</f>
        <v>3758.6000000000004</v>
      </c>
      <c r="R185" s="3">
        <f>3898.6+(1081.7-300)+(1.988286+(0.551667-0.153))+0-562.9-0.287078999999943</f>
        <v>4119.499874000001</v>
      </c>
      <c r="S185" s="3">
        <f>3885.4+(1424-230.3)+(-9.90777+(-3.6312--0.587265))+0-596.3--1.52056499999991</f>
        <v>4471.3688599999996</v>
      </c>
      <c r="T185" s="3">
        <f>4069.7+(1456.4-229.7)+(4.151094+(1.485528-0.234294))+0-583.8-0.595476000000093</f>
        <v>4717.4068519999992</v>
      </c>
      <c r="U185" s="3">
        <f>4061.4+(1388.1-225)+(-4.142628+(-1.415862--0.2295))+0-501.9--0.51193800000008</f>
        <v>4717.782948</v>
      </c>
      <c r="V185" s="3">
        <f>4030.7+(1390.7-251.5)+(-8.222628+(-2.837028--0.51306))+0-556.7--1.13566799999998</f>
        <v>4603.7890719999996</v>
      </c>
      <c r="W185" s="3">
        <f>3691.7+(1282.6-278.4)+(-3.765534+(-1.308252--0.283968))+0-438.7--0.44747400000007</f>
        <v>4252.8576560000001</v>
      </c>
      <c r="X185" s="3">
        <f>3578.8+(977.1-299)+(-3.650376+(-0.996642--0.30498))+0-529.3--0.539886000000084</f>
        <v>3723.7978480000006</v>
      </c>
      <c r="Y185" s="3">
        <f>4333.3+(491.6-431.2)+(0+(0-0))+0-555.3-0</f>
        <v>3838.3999999999996</v>
      </c>
      <c r="Z185" s="3">
        <f>4847.1+(517.1-522.7)+(-12.360105+(-1.318605--1.332885))+0-585.4--1.49276999999992</f>
        <v>4245.2469449999999</v>
      </c>
      <c r="AA185" s="3">
        <f>4286.6+(927-295.8)+(-13.116996+(-2.83662--0.905148))+0-503.6--1.54101600000006</f>
        <v>4400.692548</v>
      </c>
      <c r="AB185" s="3">
        <f>4396.8+(910.6-307.4)+(-4.484736+(-0.928812--0.313548))+0-559--0.570180000000089</f>
        <v>4436.4701799999993</v>
      </c>
      <c r="AC185" s="3">
        <f>4731.9+(730.1-310.3)+(-4.826538+(-0.744702--0.316506))+0-573.4--0.584868000000091</f>
        <v>4573.630134</v>
      </c>
      <c r="AD185">
        <f t="shared" si="2"/>
        <v>100263.44007400003</v>
      </c>
      <c r="AE185" s="3">
        <f>5080+(527.2-528.6)+(0+(0-0))+0-713.2-0</f>
        <v>4365.4000000000005</v>
      </c>
    </row>
    <row r="186" spans="1:31" customFormat="1" x14ac:dyDescent="0.25">
      <c r="A186">
        <v>89</v>
      </c>
      <c r="B186">
        <v>6</v>
      </c>
      <c r="C186">
        <v>31</v>
      </c>
      <c r="D186">
        <v>5</v>
      </c>
      <c r="E186">
        <v>1</v>
      </c>
      <c r="F186" s="3">
        <f>3943.3+(1514.3-216)+(-4.022166+(-1.544586--0.22032))+0-511--0.521220000000082</f>
        <v>4725.7747879999997</v>
      </c>
      <c r="G186" s="3">
        <f>3334.8+(1911.9-243.8)+(-5.102244+(-2.925207--0.373014))+0-503.4--0.770202000000029</f>
        <v>4492.6157650000005</v>
      </c>
      <c r="H186" s="3">
        <f>2941.1+(2077.3-253.3)+(-4.499883+(-3.178269--0.387549))+0-496.1--0.759033000000029</f>
        <v>4262.4684299999999</v>
      </c>
      <c r="I186" s="3">
        <f>2810.7+(1995.2-239.9)+(2.866914+(2.035104-0.244698))+0-508.3-0.518466000000081</f>
        <v>4061.8388540000001</v>
      </c>
      <c r="J186" s="3">
        <f>2783.7+(1994.1-232.8)+(-1.419687+(-1.016991--0.118728))+0-569.9--0.290648999999942</f>
        <v>3973.0726990000003</v>
      </c>
      <c r="K186" s="3">
        <f>2738.4+(1792-264.2)+(-2.793168+(-1.82784--0.269484))+0-476.8--0.486336000000076</f>
        <v>3785.5348119999999</v>
      </c>
      <c r="L186" s="3">
        <f>2681.4+(1486.8-257.7)+(-2.735028+(-1.516536--0.262854))+0-468.8--0.478176000000075</f>
        <v>3438.1894659999998</v>
      </c>
      <c r="M186" s="3">
        <f>2949.3+(1095.9-333.6)+(0+(0-0))+0-447.6-0</f>
        <v>3264.0000000000005</v>
      </c>
      <c r="N186" s="3">
        <f>2975.1+(1164.6-396.8)+(1.517301+(0.593946-0.202368))+0-449.1-0.229040999999954</f>
        <v>3295.4798379999997</v>
      </c>
      <c r="O186" s="3">
        <f>3251.9+(1061.3-348.7)+(0+(0-0))+0-486.8-0</f>
        <v>3477.7</v>
      </c>
      <c r="P186" s="3">
        <f>3655.4+(821-315.6)+(3.728508+(0.83742-0.321912))+0-534.5-0.545190000000085</f>
        <v>3629.9988259999996</v>
      </c>
      <c r="Q186" s="3">
        <f>4461.9+(517.1-421.8)+(-2.275569+(-0.263721--0.215118))+0-554.9--0.282998999999944</f>
        <v>4000.2588270000001</v>
      </c>
      <c r="R186" s="3">
        <f>4610.6+(706.5-297.6)+(-18.811248+(-2.88252--1.214208))+0-590.9--2.41087199999995</f>
        <v>4410.531312000001</v>
      </c>
      <c r="S186" s="3">
        <f>4720.8+(866-306.3)+(-2.407608+(-0.44166--0.156213))+0-576--0.293759999999942</f>
        <v>4702.1007049999998</v>
      </c>
      <c r="T186" s="3">
        <f>4803.6+(854.7-314.7)+(-2.449836+(-0.435897--0.160497))+0-512.9--0.261578999999948</f>
        <v>4828.2363430000005</v>
      </c>
      <c r="U186" s="3">
        <f>4475.5+(930.8-312.4)+(-6.847515+(-1.424124--0.477972))+0-532.3--0.814419000000031</f>
        <v>4554.6207519999998</v>
      </c>
      <c r="V186" s="3">
        <f>3556.7+(1530.6-274.4)+(0+(0-0))+0-591.3-0</f>
        <v>4221.5999999999995</v>
      </c>
      <c r="W186" s="3">
        <f>3058.3+(1570-283.9)+(-1.559733+(-0.8007--0.144789))+0-541.4--0.276113999999945</f>
        <v>3801.0604699999994</v>
      </c>
      <c r="X186" s="3">
        <f>4070.8+(803.9-423)+(-2.076108+(-0.409989--0.21573))+0-557.9--0.284528999999943</f>
        <v>3891.8141619999997</v>
      </c>
      <c r="Y186" s="3">
        <f>4717.6+(563.1-468.5)+(2.405976+(0.287181-0.238935))+0-533.2-0.271931999999946</f>
        <v>4281.1822900000016</v>
      </c>
      <c r="Z186" s="3">
        <f>4357.7+(974.2-324.9)+(-4.444854+(-0.993684--0.331398))+0-565.8--0.57711600000009</f>
        <v>4436.6699760000001</v>
      </c>
      <c r="AA186" s="3">
        <f>3695.6+(1581.3-268.5)+(-11.308536+(-4.838778--0.82161))+0-529.4--1.61996400000006</f>
        <v>4465.2942600000006</v>
      </c>
      <c r="AB186" s="3">
        <f>3309.4+(2007.1-241)+(-6.751176+(-4.094484--0.49164))+0-558.8--1.13995199999998</f>
        <v>4507.4859319999996</v>
      </c>
      <c r="AC186" s="3">
        <f>3169.4+(2144.1-256.7)+(-6.465576+(-4.373964--0.523668))+0-499--1.01795999999998</f>
        <v>4548.5020880000002</v>
      </c>
      <c r="AD186">
        <f t="shared" si="2"/>
        <v>99056.030594999989</v>
      </c>
      <c r="AE186" s="3">
        <f>5108+(546.5-622.7)+(0+(0-0))+0-609.4-0</f>
        <v>4422.4000000000005</v>
      </c>
    </row>
    <row r="187" spans="1:31" customFormat="1" x14ac:dyDescent="0.25">
      <c r="A187">
        <v>89</v>
      </c>
      <c r="B187">
        <v>7</v>
      </c>
      <c r="C187">
        <v>1</v>
      </c>
      <c r="D187">
        <v>6</v>
      </c>
      <c r="E187">
        <v>1</v>
      </c>
      <c r="F187" s="3">
        <f>2854.4+(2414.2-248)+(-2.911488+(-2.462484--0.25296))+0-509.4--0.519588000000081</f>
        <v>4506.5985760000012</v>
      </c>
      <c r="G187" s="3">
        <f>2733.8+(2453.9-236)+(-4.182714+(-3.754467--0.36108))+0-578.9--0.885717000000033</f>
        <v>4366.1096160000016</v>
      </c>
      <c r="H187" s="3">
        <f>2647.6+(2345-241.1)+(-1.350276+(-1.19595--0.122961))+0-527.3--0.268922999999947</f>
        <v>4222.0456579999991</v>
      </c>
      <c r="I187" s="3">
        <f>2746.6+(2152.8-242)+(1.400766+(1.097928-0.12342))+0-549.7-0.280346999999944</f>
        <v>4109.7949269999999</v>
      </c>
      <c r="J187" s="3">
        <f>2819.5+(2045.8-237.7)+(-4.313835+(-3.130074--0.363681))+0-594.7--0.909891000000034</f>
        <v>4026.729663000001</v>
      </c>
      <c r="K187" s="3">
        <f>2694.2+(1966.4-245.8)+(-2.748084+(-2.005728--0.250716))+0-543.1--0.553962000000087</f>
        <v>3867.7508659999999</v>
      </c>
      <c r="L187" s="3">
        <f>2577.6+(1553.4-244.2)+(1.314576+(0.792234-0.124542))+0-455-0.232049999999954</f>
        <v>3433.5502180000003</v>
      </c>
      <c r="M187" s="3">
        <f>2737.4+(1259.4-289.5)+(0+(0-0))+0-525.3-0</f>
        <v>3182</v>
      </c>
      <c r="N187" s="3">
        <f>2846.8+(1336.4-430.1)+(1.451868+(0.681564-0.219351))+0-541.5-0.276164999999945</f>
        <v>3213.2379160000005</v>
      </c>
      <c r="O187" s="3">
        <f>3196.7+(1141.2-475.7)+(-1.630317+(-0.582012--0.242607))+0-488.4--0.24908399999995</f>
        <v>3372.0793619999999</v>
      </c>
      <c r="P187" s="3">
        <f>3644.6+(834.8-600.9)+(-1.858746+(-0.425748--0.306459))+0-416.4--0.212363999999958</f>
        <v>3460.3343289999998</v>
      </c>
      <c r="Q187" s="3">
        <f>4420.8+(662.2-551.7)+(-2.254608+(-0.337722--0.281367))+0-566.8--0.289067999999942</f>
        <v>3962.4781050000001</v>
      </c>
      <c r="R187" s="3">
        <f>4783.6+(639.7-471.2)+(-2.439636+(-0.326247--0.240312))+0-571.7--0.291566999999942</f>
        <v>4378.1659960000006</v>
      </c>
      <c r="S187" s="3">
        <f>4791.7+(952.5-464.6)+(-7.331301+(-1.457325--0.710838))+0-518.5--0.79330500000003</f>
        <v>4753.815517</v>
      </c>
      <c r="T187" s="3">
        <f>5048.9+(930-519.1)+(-7.724817+(-1.4229--0.794223))+0-533.5--0.816255000000031</f>
        <v>4918.762760999999</v>
      </c>
      <c r="U187" s="3">
        <f>4549.6+(982.1-339.3)+(-13.921776+(-3.005226--1.038258))+0-529.1--1.61904600000006</f>
        <v>4649.0303020000001</v>
      </c>
      <c r="V187" s="3">
        <f>3724.1+(1389.6-281.4)+(-11.395746+(-4.252176--0.861084))+0-569.2--1.74175200000007</f>
        <v>4250.0549139999994</v>
      </c>
      <c r="W187" s="3">
        <f>3065.4+(1346.1-270.4)+(-3.126708+(-1.373022--0.275808))+0-389.4--0.397188000000062</f>
        <v>3747.8732660000001</v>
      </c>
      <c r="X187" s="3">
        <f>3923.5+(702.5-393.1)+(0+(0-0))+0-539.4-0</f>
        <v>3693.4999999999995</v>
      </c>
      <c r="Y187" s="3">
        <f>4238.4+(735.6-353.9)+(-8.646336+(-1.500624--0.721956))+0-430.4--0.878015999999981</f>
        <v>4181.1530119999998</v>
      </c>
      <c r="Z187" s="3">
        <f>3922.5+(1097.2-283.9)+(-10.002375+(-2.79786--0.723945))+0-449.5--1.14622499999993</f>
        <v>4275.3699349999997</v>
      </c>
      <c r="AA187" s="3">
        <f>3906.9+(1015.9-288.6)+(-7.970076+(-2.072436--0.588744))+0-297.4--0.606695999999987</f>
        <v>4327.9529279999997</v>
      </c>
      <c r="AB187" s="3">
        <f>4155.8+(938.1-282.7)+(0+(0-0))+0-335-0</f>
        <v>4476.2000000000007</v>
      </c>
      <c r="AC187" s="3">
        <f>3741.5+(1272.3-236)+(-3.81633+(-1.297746--0.24072))+0-360.6--0.367812000000058</f>
        <v>4412.6944560000002</v>
      </c>
      <c r="AD187">
        <f t="shared" si="2"/>
        <v>97787.282322999978</v>
      </c>
      <c r="AE187" s="3">
        <f>4550+(610.1-495.6)+(0+(0-0))+0-491.7-0</f>
        <v>4172.8</v>
      </c>
    </row>
    <row r="188" spans="1:31" customFormat="1" x14ac:dyDescent="0.25">
      <c r="A188">
        <v>89</v>
      </c>
      <c r="B188">
        <v>7</v>
      </c>
      <c r="C188">
        <v>2</v>
      </c>
      <c r="D188">
        <v>7</v>
      </c>
      <c r="E188">
        <v>1</v>
      </c>
      <c r="F188" s="3">
        <f>3496.7+(1628.1-231.1)+(-7.133268+(-3.321324--0.471444))+0-480.8--0.980831999999979</f>
        <v>4403.8976839999996</v>
      </c>
      <c r="G188" s="3">
        <f>3131.5+(1812.2-247.2)+(-6.38826+(-3.696888--0.504288))+0-419.4--0.855575999999982</f>
        <v>4268.3747160000003</v>
      </c>
      <c r="H188" s="3">
        <f>3260.3+(1708.3-237.6)+(-1.662753+(-0.871233--0.121176))+0-578.9--0.295238999999941</f>
        <v>4149.9824290000006</v>
      </c>
      <c r="I188" s="3">
        <f>3021.3+(1772-241.7)+(-4.622589+(-2.71116--0.369801))+0-522.2--0.79896600000003</f>
        <v>4023.2350180000008</v>
      </c>
      <c r="J188" s="3">
        <f>2924.5+(1743-230.6)+(1.491495+(0.88893-0.117606))+0-523.4-0.266933999999947</f>
        <v>3915.4958849999994</v>
      </c>
      <c r="K188" s="3">
        <f>2776.8+(1766.8-231.6)+(-8.497008+(-5.406408--0.708696))+0-517.8--1.58446800000006</f>
        <v>3782.5897479999994</v>
      </c>
      <c r="L188" s="3">
        <f>2463.4+(1682.4-221)+(-2.512668+(-1.716048--0.22542))+0-491.9--0.501738000000078</f>
        <v>3429.3984420000002</v>
      </c>
      <c r="M188" s="3">
        <f>2533.1+(1487.3-245.2)+(-3.875643+(-2.275569--0.375156))+0-546.4--0.835992000000031</f>
        <v>3223.8599359999994</v>
      </c>
      <c r="N188" s="3">
        <f>2543.8+(1453.8-342.4)+(-3.892014+(-2.224314--0.523872))+0-431.3--0.659889000000025</f>
        <v>3218.9674330000003</v>
      </c>
      <c r="O188" s="3">
        <f>2657.1+(1442.8-389)+(-5.420484+(-2.943312--0.79356))+0-446.7--0.91126799999998</f>
        <v>3257.5410319999996</v>
      </c>
      <c r="P188" s="3">
        <f>2661.2+(1635.1-382.5)+(-4.071636+(-2.501703--0.585225))+0-536.3--0.820539000000031</f>
        <v>3372.3324249999991</v>
      </c>
      <c r="Q188" s="3">
        <f>2822.2+(1604.4-363.1)+(1.439322+(0.818244-0.185181))+0-406.5-0.207314999999959</f>
        <v>3658.8650699999998</v>
      </c>
      <c r="R188" s="3">
        <f>3630+(1508.1-501.2)+(0+(0-0))+0-521.2-0</f>
        <v>4115.7</v>
      </c>
      <c r="S188" s="3">
        <f>3902.7+(1760.5-620.5)+(-3.980754+(-1.79571--0.63291))+0-597--0.608940000000095</f>
        <v>4441.1653859999997</v>
      </c>
      <c r="T188" s="3">
        <f>3920.1+(1873-622.2)+(1.999251+(0.95523-0.317322))+0-571.8-0.291617999999942</f>
        <v>4601.4455409999991</v>
      </c>
      <c r="U188" s="3">
        <f>3861.8+(1843.1-549)+(-3.939036+(-1.879962--0.55998))+0-590--0.601800000000094</f>
        <v>4561.2427820000003</v>
      </c>
      <c r="V188" s="3">
        <f>3033.5+(1986-313.5)+(-4.641255+(-3.03858--0.479655))+0-498.2--0.762246000000029</f>
        <v>4201.3620660000006</v>
      </c>
      <c r="W188" s="3">
        <f>2993.2+(1483.4-217.3)+(-7.63266+(-3.78267--0.554115))+0-571--1.45604999999992</f>
        <v>3678.8948350000001</v>
      </c>
      <c r="X188" s="3">
        <f>3956.6+(673.8-342)+(-4.035732+(-0.687276--0.34884))+0-519.5--0.529890000000083</f>
        <v>3765.0557219999996</v>
      </c>
      <c r="Y188" s="3">
        <f>4776.9+(416.7-480.3)+(-4.872438+(-0.425034--0.489906))+0-507.3--0.517446000000081</f>
        <v>4201.7098799999985</v>
      </c>
      <c r="Z188" s="3">
        <f>4818.8+(598.5-542.6)+(-2.457588+(-0.305235--0.276726))+0-531.6--0.271115999999946</f>
        <v>4340.8850189999994</v>
      </c>
      <c r="AA188" s="3">
        <f>4328+(1024.6-501.2)+(-2.20728+(-0.522546--0.255612))+0-448.2--0.228581999999955</f>
        <v>4400.9543679999997</v>
      </c>
      <c r="AB188" s="3">
        <f>4220.5+(1195.5-414.2)+(-10.762275+(-3.048525--1.05621))+0-476.9--1.21609499999993</f>
        <v>4513.3615050000008</v>
      </c>
      <c r="AC188" s="3">
        <f>3992.3+(1286.8-269.2)+(-4.072146+(-1.312536--0.274584))+0-501.2--0.51122400000008</f>
        <v>4504.1011259999996</v>
      </c>
      <c r="AD188">
        <f t="shared" si="2"/>
        <v>96030.418047999992</v>
      </c>
      <c r="AE188" s="3">
        <f>4915+(353.4-609.1)+(0+(0-0))+0-478.1-0</f>
        <v>4181.2</v>
      </c>
    </row>
    <row r="189" spans="1:31" customFormat="1" x14ac:dyDescent="0.25">
      <c r="A189">
        <v>89</v>
      </c>
      <c r="B189">
        <v>7</v>
      </c>
      <c r="C189">
        <v>3</v>
      </c>
      <c r="D189">
        <v>1</v>
      </c>
      <c r="E189">
        <v>1</v>
      </c>
      <c r="F189" s="3">
        <f>3415.2+(1900.3-238.6)+(-5.225256+(-2.907459--0.365058))+0-554--0.847620000000032</f>
        <v>4515.9799629999998</v>
      </c>
      <c r="G189" s="3">
        <f>2920.2+(2235.3-235)+(-5.957208+(-4.560012--0.4794))+0-556.4--1.13505599999998</f>
        <v>4355.1972360000009</v>
      </c>
      <c r="H189" s="3">
        <f>2846.3+(2097.6-249.9)+(-2.903226+(-2.139552--0.254898))+0-411.4--0.419628000000066</f>
        <v>4278.2317480000002</v>
      </c>
      <c r="I189" s="3">
        <f>2861.7+(2066-255.7)+(2.918934+(2.10732-0.260814))+0-566.6-0.57793200000009</f>
        <v>4109.5875079999996</v>
      </c>
      <c r="J189" s="3">
        <f>2802.7+(1967-245.8)+(-5.717508+(-4.01268--0.501432))+0-550.5--1.12301999999998</f>
        <v>3965.2942639999992</v>
      </c>
      <c r="K189" s="3">
        <f>2902.1+(1670.7-243.3)+(-4.440213+(-2.556171--0.372249))+0-472.2--0.722466000000027</f>
        <v>3851.3983310000003</v>
      </c>
      <c r="L189" s="3">
        <f>2718.1+(1374.7-238.2)+(-2.772462+(-1.402194--0.242964))+0-490.6--0.500412000000078</f>
        <v>3360.5687199999998</v>
      </c>
      <c r="M189" s="3">
        <f>2876.7+(1072.9-302)+(1.467117+(0.547179-0.15402))+0-520.6-0.265505999999947</f>
        <v>3128.5947700000002</v>
      </c>
      <c r="N189" s="3">
        <f>2891.6+(1153-265.2)+(0+(0-0))+0-511.9-0</f>
        <v>3267.4999999999995</v>
      </c>
      <c r="O189" s="3">
        <f>2962.8+(1040.1-154.8)+(-1.511028+(-0.530451--0.078948))+0-534--0.272339999999946</f>
        <v>3312.4098090000002</v>
      </c>
      <c r="P189" s="3">
        <f>3485.2+(757-174)+(-1.777452+(-0.38607--0.08874))+0-462.6--0.235925999999953</f>
        <v>3603.7611439999996</v>
      </c>
      <c r="Q189" s="3">
        <f>4320.8+(537.8-445.7)+(2.203608+(0.274278-0.227307))+0-476.9-0.243218999999952</f>
        <v>3938.0073600000001</v>
      </c>
      <c r="R189" s="3">
        <f>4384.2+(909.4-455)+(0+(0-0))+0-543.1-0</f>
        <v>4295.4999999999991</v>
      </c>
      <c r="S189" s="3">
        <f>4881.4+(1032.3-561.9)+(0+(0-0))+0-595.2-0</f>
        <v>4756.5999999999995</v>
      </c>
      <c r="T189" s="3">
        <f>4884.2+(1060.6-576.8)+(-4.981884+(-1.081812--0.588336))+0-519.5--0.529890000000083</f>
        <v>4843.5545299999994</v>
      </c>
      <c r="U189" s="3">
        <f>4672.6+(1151-379.2)+(-7.149078+(-1.76103--0.580176))+0-612.3--0.936819000000035</f>
        <v>4824.7068870000012</v>
      </c>
      <c r="V189" s="3">
        <f>3484.1+(1552.9-278.4)+(-5.330673+(-2.375937--0.425952))+0-502.2--0.768366000000029</f>
        <v>4249.8877080000011</v>
      </c>
      <c r="W189" s="3">
        <f>3069.6+(1655.4-238.1)+(1.565496+(0.844254-0.121431))+0-506.7-0.258416999999949</f>
        <v>3982.229902</v>
      </c>
      <c r="X189" s="3">
        <f>4303.3+(671.4-400.3)+(-8.778732+(-1.369656--0.816612))+0-575.6--1.17422399999997</f>
        <v>3990.6424480000005</v>
      </c>
      <c r="Y189" s="3">
        <f>4588.3+(720.9-407.3)+(0+(0-0))+0-471.6-0</f>
        <v>4430.3</v>
      </c>
      <c r="Z189" s="3">
        <f>4205.4+(1135.3-304.1)+(4.289508+(1.158006-0.310182))+0-549.1-0.560082000000088</f>
        <v>4492.0772499999994</v>
      </c>
      <c r="AA189" s="3">
        <f>3678.9+(1712.9-265.7)+(-5.628717+(-2.620737--0.406521))+0-596.9--0.913257000000035</f>
        <v>4522.270324000001</v>
      </c>
      <c r="AB189" s="3">
        <f>3196.5+(2151.8-247.3)+(-8.151075+(-5.48709--0.630615))+0-580.6--1.48052999999992</f>
        <v>4508.8729799999992</v>
      </c>
      <c r="AC189" s="3">
        <f>3184.5+(2315.8-241.8)+(-8.120475+(-5.90529--0.61659))+0-565.4--1.44176999999992</f>
        <v>4681.1325950000009</v>
      </c>
      <c r="AD189">
        <f t="shared" si="2"/>
        <v>99264.305477000002</v>
      </c>
      <c r="AE189" s="3">
        <f>4849+(624-486.1)+(0+(0-0))+0-654.5-0</f>
        <v>4332.3999999999996</v>
      </c>
    </row>
    <row r="190" spans="1:31" customFormat="1" x14ac:dyDescent="0.25">
      <c r="A190">
        <v>89</v>
      </c>
      <c r="B190">
        <v>7</v>
      </c>
      <c r="C190">
        <v>4</v>
      </c>
      <c r="D190">
        <v>2</v>
      </c>
      <c r="E190">
        <v>1</v>
      </c>
      <c r="F190" s="3">
        <f>2905.6+(2450.6-239.9)+(-2.963712+(-2.499612--0.244698))+0-506.8--0.516936000000081</f>
        <v>4604.7983099999992</v>
      </c>
      <c r="G190" s="3">
        <f>2697.4+(2628.1-259.8)+(-6.87837+(-6.701655--0.66249))+0-551.4--1.40606999999992</f>
        <v>4502.7885350000006</v>
      </c>
      <c r="H190" s="3">
        <f>2859.3+(2305.6-248.9)+(-4.374729+(-3.527568--0.380817))+0-477.6--0.730728000000028</f>
        <v>4431.6092479999998</v>
      </c>
      <c r="I190" s="3">
        <f>2776.9+(2422.9-265.1)+(-1.416219+(-1.235679--0.135201))+0-576.5--0.294014999999942</f>
        <v>4355.9773180000002</v>
      </c>
      <c r="J190" s="3">
        <f>3020+(2023-239.3)+(0+(0-0))+0-554.8-0</f>
        <v>4248.8999999999996</v>
      </c>
      <c r="K190" s="3">
        <f>2755.6+(2204.5-259.9)+(0+(0-0))+0-559.8-0</f>
        <v>4140.3999999999996</v>
      </c>
      <c r="L190" s="3">
        <f>2798.5+(1867.7-260.5)+(-1.427235+(-0.952527--0.132855))+0-579.6--0.295595999999941</f>
        <v>3824.1486890000001</v>
      </c>
      <c r="M190" s="3">
        <f>2677.5+(1873.5-261.8)+(-2.73105+(-1.91097--0.267036))+0-544.1--0.554982000000087</f>
        <v>3741.279998</v>
      </c>
      <c r="N190" s="3">
        <f>2663.1+(1947.5-256.1)+(0+(0-0))+0-499.4-0</f>
        <v>3855.1</v>
      </c>
      <c r="O190" s="3">
        <f>2750.2+(2059.2-253.5)+(-1.402602+(-1.050192--0.129285))+0-535.3--0.273002999999946</f>
        <v>4018.5494939999994</v>
      </c>
      <c r="P190" s="3">
        <f>3201.3+(1620.4-245)+(0+(0-0))+0-452.1-0</f>
        <v>4124.6000000000004</v>
      </c>
      <c r="Q190" s="3">
        <f>3841.9+(1407-254.8)+(1.959369+(0.71757-0.129948))+0-508.3-0.259232999999948</f>
        <v>4488.0877580000006</v>
      </c>
      <c r="R190" s="3">
        <f>4110.5+(1541.1-241.7)+(-2.096355+(-0.785961--0.123267))+0-542--0.276419999999945</f>
        <v>4865.4173709999995</v>
      </c>
      <c r="S190" s="3">
        <f>4699.1+(1270-334.6)+(2.396541+(0.6477-0.170646))+0-523-0.266729999999947</f>
        <v>5114.1068649999997</v>
      </c>
      <c r="T190" s="3">
        <f>4538+(1511.8-345.1)+(-2.31438+(-0.771018--0.176001))+0-550--0.280499999999944</f>
        <v>5152.0711029999993</v>
      </c>
      <c r="U190" s="3">
        <f>4148+(1667.5-289.4)+(-4.23096+(-1.70085--0.295188))+0-579--0.590580000000092</f>
        <v>4942.0539580000004</v>
      </c>
      <c r="V190" s="3">
        <f>3583.4+(1906.4-251.4)+(-5.482602+(-2.916792--0.384642))+0-657.1--1.00536300000004</f>
        <v>4574.2906109999994</v>
      </c>
      <c r="W190" s="3">
        <f>3174.1+(1735.4-280.5)+(0+(0-0))+0-513.5-0</f>
        <v>4115.5</v>
      </c>
      <c r="X190" s="3">
        <f>4673.8+(712.5-440.4)+(-4.767276+(-0.72675--0.449208))+0-581.6--0.593232000000093</f>
        <v>4359.848414</v>
      </c>
      <c r="Y190" s="3">
        <f>4742.4+(947.7-325.2)+(-7.255872+(-1.449981--0.497556))+0-580.2--0.887706000000034</f>
        <v>4777.3794090000001</v>
      </c>
      <c r="Z190" s="3">
        <f>4212.4+(1491.5-305)+(-4.296648+(-1.52133--0.3111))+0-512.4--0.522648000000082</f>
        <v>4881.51577</v>
      </c>
      <c r="AA190" s="3">
        <f>3806.9+(1918.9-275.1)+(1.941519+(0.978639-0.140301))+0-508.1-0.259130999999948</f>
        <v>4945.120726000001</v>
      </c>
      <c r="AB190" s="3">
        <f>3450.8+(2132.6-178.9)+(0+(0-0))+0-556.8-0</f>
        <v>4847.7</v>
      </c>
      <c r="AC190" s="3">
        <f>3334.9+(2197-224.7)+(-3.401598+(-2.24094--0.229194))+0-567.6--0.578952000000091</f>
        <v>4734.7656079999997</v>
      </c>
      <c r="AD190">
        <f t="shared" si="2"/>
        <v>107646.009185</v>
      </c>
      <c r="AE190" s="3">
        <f>4886+(795.8-417.7)+(0+(0-0))+0-579.3-0</f>
        <v>4684.8</v>
      </c>
    </row>
    <row r="191" spans="1:31" customFormat="1" x14ac:dyDescent="0.25">
      <c r="A191">
        <v>89</v>
      </c>
      <c r="B191">
        <v>7</v>
      </c>
      <c r="C191">
        <v>5</v>
      </c>
      <c r="D191">
        <v>3</v>
      </c>
      <c r="E191">
        <v>1</v>
      </c>
      <c r="F191" s="3">
        <f>3249.9+(1964.4-233.1)+(-4.972347+(-3.005532--0.356643))+0-438.8--0.671364000000025</f>
        <v>4535.4501280000004</v>
      </c>
      <c r="G191" s="3">
        <f>3073.7+(2080.4-234.4)+(0+(0-0))+0-499-0</f>
        <v>4420.7</v>
      </c>
      <c r="H191" s="3">
        <f>2894.5+(2151.3-246.6)+(-2.95239+(-2.194326--0.251532))+0-586.5--0.598230000000094</f>
        <v>4208.4030460000013</v>
      </c>
      <c r="I191" s="3">
        <f>2859.5+(1968.5-275.2)+(1.458345+(1.003935-0.140352))+0-546.4-0.278663999999945</f>
        <v>4008.4432640000005</v>
      </c>
      <c r="J191" s="3">
        <f>2828.9+(1783.8-273.6)+(1.442739+(0.909738-0.139536))+100-576-0.293759999999942</f>
        <v>3865.0191810000001</v>
      </c>
      <c r="K191" s="3">
        <f>2460.5+(1912.2-223.5)+(-8.783985+(-6.826554--0.797895))+125-553--1.97421000000001</f>
        <v>3708.361566</v>
      </c>
      <c r="L191" s="3">
        <f>2357+(1626.6-74.5)+(1.20207+(0.829566-0.037995))+125-525.3-0.267902999999947</f>
        <v>3510.5257380000003</v>
      </c>
      <c r="M191" s="3">
        <f>2571.6+(1346.9-109.9)+(2.623032+(1.373838-0.112098))+125-452-0.461040000000072</f>
        <v>3485.0237319999997</v>
      </c>
      <c r="N191" s="3">
        <f>2555+(1488.9-92)+(0+(0-0))+125-504.8-0</f>
        <v>3572.1</v>
      </c>
      <c r="O191" s="3">
        <f>2470.9+(1757.5-71.7)+(0+(0-0))+125-540.1-0</f>
        <v>3741.6</v>
      </c>
      <c r="P191" s="3">
        <f>2933.2+(1674.6-205.5)+(2.991864+(1.708092-0.20961))+125-513.5-0.523770000000082</f>
        <v>4017.7665759999986</v>
      </c>
      <c r="Q191" s="3">
        <f>3921.5+(1177.7-303.6)+(5.999895+(1.801881-0.464508))+0-550.3-0.841959000000032</f>
        <v>4251.7953090000001</v>
      </c>
      <c r="R191" s="3">
        <f>4311.1+(1213.1-295.9)+(-4.397322+(-1.237362--0.301818))+0-555.6--0.566712000000089</f>
        <v>4667.9338459999999</v>
      </c>
      <c r="S191" s="3">
        <f>4539.5+(1303.3-421.7)+(-2.315145+(-0.664683--0.215067))+0-485.1--0.247400999999951</f>
        <v>4933.4826399999993</v>
      </c>
      <c r="T191" s="3">
        <f>4842+(1209.6-554.1)+(-4.93884+(-1.233792--0.565182))+0-532.8--0.543456000000085</f>
        <v>4959.6360059999997</v>
      </c>
      <c r="U191" s="3">
        <f>4621.4+(1286.2-455.2)+(-9.427656+(-2.623848--0.928608))+0-595.1--1.21400399999997</f>
        <v>4847.3911079999998</v>
      </c>
      <c r="V191" s="3">
        <f>3531.7+(1664.2-244)+(-9.005835+(-4.24371--0.6222))+0-565.7--1.44253499999992</f>
        <v>4375.0151900000001</v>
      </c>
      <c r="W191" s="3">
        <f>3242.1+(1453.9-281.7)+(-1.653471+(-0.741489--0.143667))+0-472.5--0.240974999999952</f>
        <v>3939.7896820000001</v>
      </c>
      <c r="X191" s="3">
        <f>4649.5+(651-618.4)+(2.371245+(0.33201-0.315384))+0-596.4-0.304163999999939</f>
        <v>4087.783707</v>
      </c>
      <c r="Y191" s="3">
        <f>4847.9+(756.5-649)+(-14.834574+(-2.31489--1.98594))+0-504.4--1.54346400000006</f>
        <v>4437.3799400000007</v>
      </c>
      <c r="Z191" s="3">
        <f>4484.1+(1038.2-563.4)+(-6.860673+(-1.588446--0.862002))+0-433.4--0.663102000000025</f>
        <v>4518.5759850000013</v>
      </c>
      <c r="AA191" s="3">
        <f>4064.3+(1530.4-418.1)+(-8.291172+(-3.122016--0.852924))+0-569.6--1.16198399999998</f>
        <v>4597.6017200000006</v>
      </c>
      <c r="AB191" s="3">
        <f>3755+(1730.8-361.9)+(-7.6602+(-3.530832--0.738276))+0-489.9--0.999395999999979</f>
        <v>4624.5466400000005</v>
      </c>
      <c r="AC191" s="3">
        <f>3488.1+(2009.8-260.9)+(-8.894655+(-5.12499--0.665295))+0-581.2--1.48205999999992</f>
        <v>4643.9277100000008</v>
      </c>
      <c r="AD191">
        <f t="shared" si="2"/>
        <v>101958.25271400002</v>
      </c>
      <c r="AE191" s="3">
        <f>5367+(569.9-827.9)+(0+(0-0))+0-730.5-0</f>
        <v>4378.5</v>
      </c>
    </row>
    <row r="192" spans="1:31" customFormat="1" x14ac:dyDescent="0.25">
      <c r="A192">
        <v>89</v>
      </c>
      <c r="B192">
        <v>7</v>
      </c>
      <c r="C192">
        <v>6</v>
      </c>
      <c r="D192">
        <v>4</v>
      </c>
      <c r="E192">
        <v>1</v>
      </c>
      <c r="F192" s="3">
        <f>3298.1+(2143.2-229.3)+(-6.728124+(-4.372128--0.467772))+0-611.3--1.24705199999997</f>
        <v>4591.3145719999993</v>
      </c>
      <c r="G192" s="3">
        <f>2950.6+(2261.7-224)+(-4.514418+(-3.460401--0.34272))+0-548.9--0.839817000000032</f>
        <v>4432.6077179999993</v>
      </c>
      <c r="H192" s="3">
        <f>2845.9+(2194.9-237.7)+(-2.902818+(-2.238798--0.242454))+0-506.8--0.516936000000081</f>
        <v>4291.9177740000005</v>
      </c>
      <c r="I192" s="3">
        <f>2736.2+(2179.5-244.1)+(-2.790924+(-2.22309--0.248982))+0-495.6--0.505512000000079</f>
        <v>4171.7404799999995</v>
      </c>
      <c r="J192" s="3">
        <f>2898.7+(1958.3-241.7)+(5.913348+(3.994932-0.493068))+0-545.9-1.11363599999998</f>
        <v>4077.701575999999</v>
      </c>
      <c r="K192" s="3">
        <f>2929+(1846.2-250.9)+(-5.97516+(-3.766248--0.511836))+0-603.7--1.23154799999997</f>
        <v>3912.6019759999999</v>
      </c>
      <c r="L192" s="3">
        <f>2786.4+(1522.4-250)+(1.421064+(0.776424-0.1275))+0-539.6-0.275195999999945</f>
        <v>3520.9947920000004</v>
      </c>
      <c r="M192" s="3">
        <f>2826.3+(1312.4-253.3)+(-1.441413+(-0.669324--0.129183))+0-570.7--0.291056999999942</f>
        <v>3313.0095030000007</v>
      </c>
      <c r="N192" s="3">
        <f>2726.1+(1419.4-247.1)+(0+(0-0))+0-531.5-0</f>
        <v>3366.9</v>
      </c>
      <c r="O192" s="3">
        <f>2607.5+(1524.3-244.4)+(-5.3193+(-3.109572--0.498576))+0-478.4--0.975935999999979</f>
        <v>3402.0456399999994</v>
      </c>
      <c r="P192" s="3">
        <f>2838.5+(1450.2-235.5)+(-1.447635+(-0.739602--0.120105))+0-481.5--0.245564999999951</f>
        <v>3569.8784329999999</v>
      </c>
      <c r="Q192" s="3">
        <f>3450.9+(1073.8-275)+(7.039836+(2.190552-0.561))+0-340.9-0.695435999999985</f>
        <v>3916.773952</v>
      </c>
      <c r="R192" s="3">
        <f>4051.1+(1076.5-269.2)+(-4.132122+(-1.09803--0.274584))+0-538--0.548760000000086</f>
        <v>4315.993191999999</v>
      </c>
      <c r="S192" s="3">
        <f>4443.8+(1282-368.7)+(2.266338+(0.65382-0.188037))+0-548-0.279479999999944</f>
        <v>4811.5526410000002</v>
      </c>
      <c r="T192" s="3">
        <f>4245.5+(1284.2-374.2)+(-8.66082+(-2.619768--0.763368))+0-487.2--0.993887999999979</f>
        <v>4658.7766680000004</v>
      </c>
      <c r="U192" s="3">
        <f>3872.1+(1474.1-245)+(-9.873855+(-3.758955--0.62475))+0-543--1.38464999999992</f>
        <v>4546.5765899999997</v>
      </c>
      <c r="V192" s="3">
        <f>3303.9+(1735.6-241)+(-8.424945+(-4.42578--0.61455))+0-435--1.10924999999994</f>
        <v>4352.3730749999995</v>
      </c>
      <c r="W192" s="3">
        <f>2931.5+(1615.1-258.1)+(-4.485195+(-2.471103--0.394893))+0-495.6--0.758268000000029</f>
        <v>3787.0968629999998</v>
      </c>
      <c r="X192" s="3">
        <f>3929.7+(919.4-354.5)+(0+(0-0))+0-551.5-0</f>
        <v>3943.0999999999995</v>
      </c>
      <c r="Y192" s="3">
        <f>4238.7+(861.7-334)+(-6.485211+(-1.318401--0.51102))+0-450.1--0.688653000000026</f>
        <v>4309.6960609999996</v>
      </c>
      <c r="Z192" s="3">
        <f>3793.1+(1418.5-262.2)+(-5.803443+(-2.170305--0.401166))+0-545.9--0.835227000000031</f>
        <v>4396.7626449999998</v>
      </c>
      <c r="AA192" s="3">
        <f>3813.1+(1526.1-248.8)+(-3.889362+(-1.556622--0.253776))+0-580.8--0.592416000000093</f>
        <v>4505.0002079999995</v>
      </c>
      <c r="AB192" s="3">
        <f>3652.4+(1607.9-241.7)+(-3.725448+(-1.640058--0.246534))+0-496.9--0.506838000000079</f>
        <v>4517.0878660000008</v>
      </c>
      <c r="AC192" s="3">
        <f>3772.7+(1626.2-245.3)+(-3.848154+(-1.658724--0.250206))+0-603.2--0.615264000000096</f>
        <v>4545.7585920000001</v>
      </c>
      <c r="AD192">
        <f t="shared" si="2"/>
        <v>99257.260816999988</v>
      </c>
      <c r="AE192" s="3">
        <f>4514+(790.2-426.2)+(0+(0-0))+0-633.9-0</f>
        <v>4244.1000000000004</v>
      </c>
    </row>
    <row r="193" spans="1:31" customFormat="1" x14ac:dyDescent="0.25">
      <c r="A193">
        <v>89</v>
      </c>
      <c r="B193">
        <v>7</v>
      </c>
      <c r="C193">
        <v>7</v>
      </c>
      <c r="D193">
        <v>5</v>
      </c>
      <c r="E193">
        <v>1</v>
      </c>
      <c r="F193" s="3">
        <f>3207.3+(1962.1-229.3)+(-9.814338+(-6.004026--0.701658))+0-491.7--1.50460200000006</f>
        <v>4434.7878960000007</v>
      </c>
      <c r="G193" s="3">
        <f>2856.4+(2149.7-234.2)+(-8.740584+(-6.578082--0.716652))+0-456.4--1.39658400000005</f>
        <v>4302.29457</v>
      </c>
      <c r="H193" s="3">
        <f>2764.7+(2186.1-216.4)+(0+(0-0))+0-566.4-0</f>
        <v>4168</v>
      </c>
      <c r="I193" s="3">
        <f>2853.5+(2005.5-220.3)+(-2.91057+(-2.04561--0.224706))+0-590.2--0.602004000000094</f>
        <v>4044.3705300000001</v>
      </c>
      <c r="J193" s="3">
        <f>2942.5+(1687.2-217)+(4.502025+(2.581416-0.33201))+0-482.4-0.738072000000028</f>
        <v>3936.3133589999993</v>
      </c>
      <c r="K193" s="3">
        <f>2877.5+(1732.2-231)+(-4.402575+(-2.650266--0.35343))+0-598.9--0.916317000000035</f>
        <v>3774.0169060000003</v>
      </c>
      <c r="L193" s="3">
        <f>2730.1+(1490.8-278.9)+(-2.784702+(-1.520616--0.284478))+0-559.3--0.570486000000089</f>
        <v>3379.2496459999998</v>
      </c>
      <c r="M193" s="3">
        <f>2908.3+(1108.3-359.7)+(0+(0-0))+0-469.3-0</f>
        <v>3187.6</v>
      </c>
      <c r="N193" s="3">
        <f>2801.5+(1154-223.3)+(0+(0-0))+0-563.5-0</f>
        <v>3168.7</v>
      </c>
      <c r="O193" s="3">
        <f>2818.9+(1153.6-208.7)+(-2.875278+(-1.176672--0.212874))+0-546.9--0.557838000000087</f>
        <v>3213.6187620000001</v>
      </c>
      <c r="P193" s="3">
        <f>2845.2+(1155.1-192)+(-4.353156+(-1.767303--0.29376))+0-461.7--0.706401000000027</f>
        <v>3341.4797019999996</v>
      </c>
      <c r="Q193" s="3">
        <f>3066.9+(1218.6-100.1)+(-3.128238+(-1.242972--0.102102))+0-557.7--0.568854000000089</f>
        <v>3623.9997459999995</v>
      </c>
      <c r="R193" s="3">
        <f>3236.6+(1307-74.7)+(-3.301332+(-1.33314--0.076194))+0-419.7--0.428094000000067</f>
        <v>4045.0698159999993</v>
      </c>
      <c r="S193" s="3">
        <f>3604.3+(1341.3-112.6)+(0+(0-0))+0-427.8-0</f>
        <v>4405.2</v>
      </c>
      <c r="T193" s="3">
        <f>4048.9+(1156.6-189.4)+(-4.129878+(-1.179732--0.193188))+0-516.9--0.527238000000082</f>
        <v>4494.6108160000003</v>
      </c>
      <c r="U193" s="3">
        <f>4044.7+(1195.7-271.8)+(-4.125594+(-1.219614--0.277236))+0-581.2--0.592824000000093</f>
        <v>4382.924852000001</v>
      </c>
      <c r="V193" s="3">
        <f>3479.1+(1311.8-251.4)+(-7.097364+(-2.676072--0.512856))+0-507.7--1.03570799999998</f>
        <v>4023.5751279999999</v>
      </c>
      <c r="W193" s="3">
        <f>3416.7+(958.4-324)+(1.742517+(0.488784-0.16524))+0-538.4-0.274583999999945</f>
        <v>3514.491477</v>
      </c>
      <c r="X193" s="3">
        <f>3925.6+(734.8-423)+(2.002056+(0.374748-0.21573))+0-516.6-0.263465999999948</f>
        <v>3722.6976079999995</v>
      </c>
      <c r="Y193" s="3">
        <f>4020.7+(864.9-346.9)+(-8.202228+(-1.764396--0.707676))+0-554.6--1.13138399999998</f>
        <v>3975.972436</v>
      </c>
      <c r="Z193" s="3">
        <f>4158.4+(922.2-339.7)+(-2.120784+(-0.470322--0.173247))+0-566.7--0.289016999999943</f>
        <v>4172.0711579999997</v>
      </c>
      <c r="AA193" s="3">
        <f>3909+(1225.7-326.6)+(-5.98077+(-1.875321--0.499698))+0-584.9--0.894897000000034</f>
        <v>4216.7385040000008</v>
      </c>
      <c r="AB193" s="3">
        <f>3505.8+(1598.3-256.9)+(-7.151832+(-3.260532--0.524076))+0-561.4--1.14525599999998</f>
        <v>4277.0569680000008</v>
      </c>
      <c r="AC193" s="3">
        <f>3417.8+(1810.5-235.1)+(-6.972312+(-3.69342--0.479604))+0-613.5--1.25153999999997</f>
        <v>4370.7654120000007</v>
      </c>
      <c r="AD193">
        <f t="shared" ref="AD193:AD256" si="3">SUM(F193:AC193)</f>
        <v>94175.605291999993</v>
      </c>
      <c r="AE193" s="3">
        <f>4217+(815-382.4)+(0+(0-0))+0-679.8-0</f>
        <v>3969.8</v>
      </c>
    </row>
    <row r="194" spans="1:31" customFormat="1" x14ac:dyDescent="0.25">
      <c r="A194">
        <v>89</v>
      </c>
      <c r="B194">
        <v>7</v>
      </c>
      <c r="C194">
        <v>8</v>
      </c>
      <c r="D194">
        <v>6</v>
      </c>
      <c r="E194">
        <v>1</v>
      </c>
      <c r="F194" s="3">
        <f>3026.1+(2001.1-220.9)+(-4.629933+(-3.061683--0.337977))+0-519.1--0.79422300000003</f>
        <v>4280.6405839999989</v>
      </c>
      <c r="G194" s="3">
        <f>2915.3+(2029.5-248.5)+(-5.947212+(-4.14018--0.50694))+0-585.8--1.19503199999997</f>
        <v>4102.1145799999995</v>
      </c>
      <c r="H194" s="3">
        <f>2874.4+(1971.3-232.1)+(-2.931888+(-2.010726--0.236742))+0-633.2--0.645864000000101</f>
        <v>3976.3399920000002</v>
      </c>
      <c r="I194" s="3">
        <f>2738.5+(1899.6-224.5)+(-1.396635+(-0.968796--0.114495))+0-543.5--0.277184999999945</f>
        <v>3868.1262489999999</v>
      </c>
      <c r="J194" s="3">
        <f>2777.9+(1778.8-231.5)+(-2.833458+(-1.814376--0.23613))+0-598.9--0.610878000000096</f>
        <v>3722.4991739999996</v>
      </c>
      <c r="K194" s="3">
        <f>2473.2+(1799.2-241.6)+(-5.045328+(-3.670368--0.492864))+0-564.1--1.15076399999998</f>
        <v>3459.6279320000003</v>
      </c>
      <c r="L194" s="3">
        <f>2616.1+(1411.6-236)+(0+(0-0))+0-613.7-0</f>
        <v>3178</v>
      </c>
      <c r="M194" s="3">
        <f>2785.4+(1026.6-267.6)+(-1.420554+(-0.523566--0.136476))+0-576.8--0.294167999999941</f>
        <v>2966.0865239999998</v>
      </c>
      <c r="N194" s="3">
        <f>2830.3+(941.9-266.4)+(-1.443453+(-0.480369--0.135864))+0-542.1--0.276470999999945</f>
        <v>2962.1885130000005</v>
      </c>
      <c r="O194" s="3">
        <f>3128.7+(821.6-426.1)+(-4.786911+(-1.257048--0.651933))+0-505--0.772650000000029</f>
        <v>3014.5806239999997</v>
      </c>
      <c r="P194" s="3">
        <f>3437.7+(667.5-445.2)+(-1.753227+(-0.340425--0.227052))+0-451.4--0.230213999999954</f>
        <v>3206.9636140000002</v>
      </c>
      <c r="Q194" s="3">
        <f>4189.1+(373.8-568.6)+(-2.136441+(-0.190638--0.289986))+0-513.5--0.261884999999948</f>
        <v>3479.0247920000002</v>
      </c>
      <c r="R194" s="3">
        <f>4132.6+(723-453.1)+(0+(0-0))+0-507.7-0</f>
        <v>3894.8</v>
      </c>
      <c r="S194" s="3">
        <f>4318.2+(944.8-560.9)+(-2.202282+(-0.481848--0.286059))+0-444.1--0.226490999999955</f>
        <v>4255.8284199999998</v>
      </c>
      <c r="T194" s="3">
        <f>4170.6+(1159.6-435.2)+(-2.127006+(-0.591396--0.221952))+0-561.4--0.286313999999943</f>
        <v>4331.3898640000007</v>
      </c>
      <c r="U194" s="3">
        <f>3641.2+(1311.1-223.4)+(-1.857012+(-0.668661--0.113934))+0-520--0.265199999999947</f>
        <v>4206.7534609999993</v>
      </c>
      <c r="V194" s="3">
        <f>2900.9+(1702.9-232.9)+(-8.876754+(-5.210874--0.712674))+0-621.2--1.90087200000007</f>
        <v>3738.2259180000001</v>
      </c>
      <c r="W194" s="3">
        <f>2903.4+(1309.4-300.8)+(1.480734+(0.667794-0.153408))+0-543.2-0.277031999999945</f>
        <v>3370.5180879999998</v>
      </c>
      <c r="X194" s="3">
        <f>3899.3+(746.4-450.7)+(0+(0-0))+0-531.1-0</f>
        <v>3663.9</v>
      </c>
      <c r="Y194" s="3">
        <f>4084.6+(828.8-362)+(-8.332584+(-1.690752--0.73848))+0-604.7--1.23358799999997</f>
        <v>3938.6487319999997</v>
      </c>
      <c r="Z194" s="3">
        <f>3837.6+(1116.4-273.9)+(-7.828704+(-2.277456--0.558756))+0-623.6--1.27214399999997</f>
        <v>4048.2247400000006</v>
      </c>
      <c r="AA194" s="3">
        <f>3878.9+(1055.5-271.9)+(-3.956478+(-1.07661--0.277338))+0-506.8--0.516936000000081</f>
        <v>4151.4611859999995</v>
      </c>
      <c r="AB194" s="3">
        <f>3808.2+(1225.9-254.8)+(-5.826546+(-1.875627--0.389844))+0-573.4--0.877302000000033</f>
        <v>4199.4649730000001</v>
      </c>
      <c r="AC194" s="3">
        <f>3091.5+(1865.6-246.3)+(-7.883325+(-4.75728--0.628065))+0-484.1--1.23445499999993</f>
        <v>4215.9219149999999</v>
      </c>
      <c r="AD194">
        <f t="shared" si="3"/>
        <v>90231.329874999996</v>
      </c>
      <c r="AE194" s="3">
        <f>4319+(701.1-456.2)+(0+(0-0))+0-713.1-0</f>
        <v>3850.7999999999997</v>
      </c>
    </row>
    <row r="195" spans="1:31" customFormat="1" x14ac:dyDescent="0.25">
      <c r="A195">
        <v>89</v>
      </c>
      <c r="B195">
        <v>7</v>
      </c>
      <c r="C195">
        <v>9</v>
      </c>
      <c r="D195">
        <v>7</v>
      </c>
      <c r="E195">
        <v>1</v>
      </c>
      <c r="F195" s="3">
        <f>2949.1+(2087.4-249.7)+(-1.504041+(-1.064574--0.127347))+0-579.1--0.295340999999941</f>
        <v>4205.5540730000002</v>
      </c>
      <c r="G195" s="3">
        <f>2611.9+(2354.7-247.9)+(-6.660345+(-6.004485--0.632145))+0-588.1--1.49965499999991</f>
        <v>4120.0669699999989</v>
      </c>
      <c r="H195" s="3">
        <f>2585.6+(2293.7-229.1)+(0+(0-0))+0-650.4-0</f>
        <v>3999.7999999999997</v>
      </c>
      <c r="I195" s="3">
        <f>2485.8+(2301-233.2)+(-5.071032+(-4.69404--0.475728))+0-656.5--1.33925999999997</f>
        <v>3889.1499160000008</v>
      </c>
      <c r="J195" s="3">
        <f>2420.4+(2177.3-224.6)+(-3.703212+(-3.331269--0.343638))+0-580.2--0.887706000000034</f>
        <v>3787.0968630000002</v>
      </c>
      <c r="K195" s="3">
        <f>2404.4+(2139.9-241.4)+(-6.13122+(-5.456745--0.61557))+0-649--1.65494999999991</f>
        <v>3644.582555</v>
      </c>
      <c r="L195" s="3">
        <f>2364.1+(1831.5-239.4)+(-3.617073+(-2.802195--0.366282))+0-626.9--0.959157000000036</f>
        <v>3324.2061709999998</v>
      </c>
      <c r="M195" s="3">
        <f>2465+(1471.5-252.9)+(-3.77145+(-2.251395--0.386937))+0-529.8--0.810594000000031</f>
        <v>3148.974686</v>
      </c>
      <c r="N195" s="3">
        <f>2424.9+(1300.3-247.9)+(-1.236699+(-0.663153--0.126429))+0-436--0.222359999999956</f>
        <v>3039.7489369999998</v>
      </c>
      <c r="O195" s="3">
        <f>2469.3+(1337.9-250.6)+(-2.518686+(-1.364658--0.255612))+0-429.3--0.437886000000068</f>
        <v>3124.1101540000004</v>
      </c>
      <c r="P195" s="3">
        <f>2204.4+(1815.8-231.5)+(-1.124244+(-0.926058--0.118065))+0-540.6--0.275705999999945</f>
        <v>3246.4434689999998</v>
      </c>
      <c r="Q195" s="3">
        <f>2621.6+(1704.7-216.6)+(-2.674032+(-1.738794--0.220932))+0-602.9--0.614958000000096</f>
        <v>3503.2230640000002</v>
      </c>
      <c r="R195" s="3">
        <f>2775.8+(1695.9-239.2)+(-4.246974+(-2.594727--0.365976))+0-418.4--0.640152000000024</f>
        <v>3808.2644269999996</v>
      </c>
      <c r="S195" s="3">
        <f>3162+(1813.4-238.4)+(-4.83786+(-2.774502--0.364752))+0-591.7--0.905301000000034</f>
        <v>4138.9576909999996</v>
      </c>
      <c r="T195" s="3">
        <f>2873.5+(2093.9-228.5)+(-7.327425+(-5.339445--0.582675))+0-516.7--1.31758499999993</f>
        <v>4211.4333899999992</v>
      </c>
      <c r="U195" s="3">
        <f>2754.7+(1967.3-230)+(-4.214691+(-3.009969--0.3519))+0-365.3--0.558909000000021</f>
        <v>4120.3861489999999</v>
      </c>
      <c r="V195" s="3">
        <f>2591.4+(1812.9-154.9)+(-3.964842+(-2.773737--0.236997))+0-547--0.836910000000032</f>
        <v>3696.7353279999998</v>
      </c>
      <c r="W195" s="3">
        <f>2817.8+(1270.5-261)+(0+(0-0))+0-577.6-0</f>
        <v>3249.7000000000003</v>
      </c>
      <c r="X195" s="3">
        <f>3847.7+(751.9-347.6)+(-1.962327+(-0.383469--0.177276))+0-529--0.269789999999946</f>
        <v>3721.1012699999997</v>
      </c>
      <c r="Y195" s="3">
        <f>4276.9+(793.3-346.2)+(-4.362438+(-0.809166--0.353124))+0-619.6--0.631992000000099</f>
        <v>4100.2135120000003</v>
      </c>
      <c r="Z195" s="3">
        <f>4204.8+(946.2-304.7)+(-8.577792+(-1.930248--0.621588))+0-573.5--1.16993999999997</f>
        <v>4264.0834880000002</v>
      </c>
      <c r="AA195" s="3">
        <f>4161.6+(1198.7-303)+(-6.367248+(-1.834011--0.46359))+0-646.8--0.989604000000037</f>
        <v>4403.7519350000002</v>
      </c>
      <c r="AB195" s="3">
        <f>3723.8+(1579.4-248.2)+(-9.49569+(-4.02747--0.63291))+0-560.5--1.42927499999992</f>
        <v>4483.0390249999991</v>
      </c>
      <c r="AC195" s="3">
        <f>3366.6+(2042.7-231.7)+(-8.58483+(-5.208885--0.590835))+0-672.6--1.7151299999999</f>
        <v>4493.5122499999998</v>
      </c>
      <c r="AD195">
        <f t="shared" si="3"/>
        <v>91724.135322999995</v>
      </c>
      <c r="AE195" s="3">
        <f>4252+(739.4-416.1)+(0+(0-0))+0-732.8-0</f>
        <v>3842.5</v>
      </c>
    </row>
    <row r="196" spans="1:31" customFormat="1" x14ac:dyDescent="0.25">
      <c r="A196">
        <v>89</v>
      </c>
      <c r="B196">
        <v>7</v>
      </c>
      <c r="C196">
        <v>10</v>
      </c>
      <c r="D196">
        <v>1</v>
      </c>
      <c r="E196">
        <v>1</v>
      </c>
      <c r="F196" s="3">
        <f>2726.9+(2399.1-222.8)+(-8.344314+(-7.341246--0.681768))+0-584.3--1.78795800000007</f>
        <v>4305.6841659999991</v>
      </c>
      <c r="G196" s="3">
        <f>2507.8+(2589.8-246.6)+(-3.836934+(-3.962394--0.377298))+0-629.7--0.963441000000036</f>
        <v>4214.8414110000003</v>
      </c>
      <c r="H196" s="3">
        <f>2345.8+(2622-236.8)+(-5.98179+(-6.6861--0.60384))+0-591.5--1.50832499999991</f>
        <v>4128.9442749999998</v>
      </c>
      <c r="I196" s="3">
        <f>2355+(2503.5-244.8)+(-1.20105+(-1.276785--0.124848))+0-618--0.315179999999937</f>
        <v>3993.6621929999997</v>
      </c>
      <c r="J196" s="3">
        <f>2371.2+(2385.1-238.7)+(-2.418624+(-2.432802--0.243474))+0-633--0.645660000000101</f>
        <v>3880.6377080000002</v>
      </c>
      <c r="K196" s="3">
        <f>2245+(2347.6-218.2)+(-4.5798+(-4.789104--0.445128))+0-585.9--1.19523599999997</f>
        <v>3780.7714599999999</v>
      </c>
      <c r="L196" s="3">
        <f>2323.9+(2019.8-219)+(1.185189+(1.030098-0.11169))+0-643.2-0.328031999999935</f>
        <v>3483.2755650000004</v>
      </c>
      <c r="M196" s="3">
        <f>2491.1+(1648.3-238.3)+(-1.270461+(-0.840633--0.121533))+0-544.6--0.277745999999945</f>
        <v>3354.7881849999999</v>
      </c>
      <c r="N196" s="3">
        <f>2618.9+(1494.2-247.6)+(-1.335639+(-0.762042--0.126276))+0-525--0.267749999999947</f>
        <v>3338.7963450000002</v>
      </c>
      <c r="O196" s="3">
        <f>2819.1+(1554.9-267.8)+(-1.437741+(-0.792999--0.136578))+0-498.8--0.254387999999949</f>
        <v>3605.5602259999991</v>
      </c>
      <c r="P196" s="3">
        <f>3125.9+(1219-279.7)+(0+(0-0))+0-501-0</f>
        <v>3564.2</v>
      </c>
      <c r="Q196" s="3">
        <f>3921.5+(942.7-380.8)+(1.999965+(0.480777-0.194208))+0-506.3-0.258212999999949</f>
        <v>3979.1283209999992</v>
      </c>
      <c r="R196" s="3">
        <f>4043.7+(824.8-292)+(0+(0-0))+0-526-0</f>
        <v>4050.5</v>
      </c>
      <c r="S196" s="3">
        <f>4420.7+(867.5-297.1)+(0+(0-0))+0-578.6-0</f>
        <v>4412.4999999999991</v>
      </c>
      <c r="T196" s="3">
        <f>4491.2+(957.4-364.2)+(-9.162048+(-1.953096--0.742968))+0-576.6--1.17626399999997</f>
        <v>4498.6040879999991</v>
      </c>
      <c r="U196" s="3">
        <f>4028+(1264.2-328.6)+(-12.32568+(-3.868452--1.005516))+0-486.4--1.48838400000006</f>
        <v>4463.4997680000006</v>
      </c>
      <c r="V196" s="3">
        <f>2933+(1726.7-247.5)+(-7.47915+(-4.403085--0.631125))+0-405.3--1.03351499999994</f>
        <v>3996.6824049999996</v>
      </c>
      <c r="W196" s="3">
        <f>2988.1+(1271.5-276.6)+(4.571793+(1.945395-0.423198))+0-376.4-0.575892000000022</f>
        <v>3612.1180979999999</v>
      </c>
      <c r="X196" s="3">
        <f>4529+(516.4-607.9)+(-2.30979+(-0.263364--0.310029))+0-557.4--0.284273999999943</f>
        <v>3878.1211489999996</v>
      </c>
      <c r="Y196" s="3">
        <f>4861.6+(614.1-592.9)+(-12.39708+(-1.565955--1.511895))+0-571--1.45604999999992</f>
        <v>4300.8049099999998</v>
      </c>
      <c r="Z196" s="3">
        <f>4378.9+(1075.6-418.7)+(-6.699717+(-1.645668--0.640611))+0-587.1--0.898263000000034</f>
        <v>4441.8934889999991</v>
      </c>
      <c r="AA196" s="3">
        <f>3923.4+(1434.4-254.7)+(-8.003736+(-2.926176--0.519588))+0-683--1.39331999999997</f>
        <v>4411.0829960000001</v>
      </c>
      <c r="AB196" s="3">
        <f>3518.4+(1805.4-250.4)+(-7.177536+(-3.683016--0.510816))+0-632.1--1.28948399999997</f>
        <v>4432.2397479999991</v>
      </c>
      <c r="AC196" s="3">
        <f>2994.4+(2322.2-252.7)+(-9.162864+(-7.105932--0.773262))+0-583.6--1.78581600000007</f>
        <v>4466.5902820000001</v>
      </c>
      <c r="AD196">
        <f t="shared" si="3"/>
        <v>96594.926787999997</v>
      </c>
      <c r="AE196" s="3">
        <f>4991+(504.4-603.4)+(0+(0-0))+0-690.3-0</f>
        <v>4201.7</v>
      </c>
    </row>
    <row r="197" spans="1:31" customFormat="1" x14ac:dyDescent="0.25">
      <c r="A197">
        <v>89</v>
      </c>
      <c r="B197">
        <v>7</v>
      </c>
      <c r="C197">
        <v>11</v>
      </c>
      <c r="D197">
        <v>2</v>
      </c>
      <c r="E197">
        <v>1</v>
      </c>
      <c r="F197" s="3">
        <f>2636.1+(2508.1-238.3)+(-2.688822+(-2.558262--0.243066))+0-664.9--0.678198000000106</f>
        <v>4236.6741800000009</v>
      </c>
      <c r="G197" s="3">
        <f>2623+(2374.4-236.6)+(-1.33773+(-1.210944--0.120666))+0-619.6--0.315995999999937</f>
        <v>4139.0879880000002</v>
      </c>
      <c r="H197" s="3">
        <f>2544.3+(2325-232.1)+(-6.487965+(-5.92875--0.591855))+0-669.1--1.7062049999999</f>
        <v>3957.9813450000011</v>
      </c>
      <c r="I197" s="3">
        <f>2557.6+(2162.4-249.1)+(-2.608752+(-2.205648--0.254082))+0-637.2--0.649944000000102</f>
        <v>3829.7896260000002</v>
      </c>
      <c r="J197" s="3">
        <f>2543.4+(2040.6-228.6)+(0+(0-0))+0-597.1-0</f>
        <v>3758.2999999999997</v>
      </c>
      <c r="K197" s="3">
        <f>2518.6+(1849.4-222.9)+(-1.284486+(-0.943194--0.113679))+0-504.2--0.257141999999949</f>
        <v>3639.0431410000006</v>
      </c>
      <c r="L197" s="3">
        <f>2506.6+(1503.4-266.7)+(1.278366+(0.766734-0.136017))+0-512.8-0.261527999999948</f>
        <v>3232.1475550000005</v>
      </c>
      <c r="M197" s="3">
        <f>2713.4+(1303.5-233.2)+(-1.383834+(-0.664785--0.118932))+0-632.3--0.322472999999936</f>
        <v>3149.7927859999995</v>
      </c>
      <c r="N197" s="3">
        <f>2778.9+(1169.9-302.7)+(1.417239+(0.596649-0.154377))+0-531.3-0.270962999999946</f>
        <v>3116.3885480000008</v>
      </c>
      <c r="O197" s="3">
        <f>2812.8+(1239.5-259)+(-2.869056+(-1.26429--0.26418))+0-532.4--0.543048000000085</f>
        <v>3257.5738820000001</v>
      </c>
      <c r="P197" s="3">
        <f>2763.8+(1297.9-267.6)+(-2.819076+(-1.323858--0.272952))+0-504.3--0.51438600000008</f>
        <v>3286.4444040000003</v>
      </c>
      <c r="Q197" s="3">
        <f>3541.8+(954.4-273.8)+(1.806318+(0.486744-0.139638))+0-462.7-0.235976999999953</f>
        <v>3761.6174470000001</v>
      </c>
      <c r="R197" s="3">
        <f>3880+(1049.6-278)+(-1.9788+(-0.535296--0.14178))+0-506.7--0.258416999999949</f>
        <v>4142.7861010000006</v>
      </c>
      <c r="S197" s="3">
        <f>4268.8+(852.8-330.2)+(2.177088+(0.434928-0.168402))+0-346.9-0.176918999999965</f>
        <v>4446.7666950000003</v>
      </c>
      <c r="T197" s="3">
        <f>4608.6+(876.6-316.3)+(-7.051158+(-1.341198--0.483939))+0-673.3--1.03014900000004</f>
        <v>4488.7217320000009</v>
      </c>
      <c r="U197" s="3">
        <f>3927+(1191.4-295.4)+(-10.01385+(-3.03807--0.75327))+0-498.1--1.27015499999993</f>
        <v>4313.8715050000001</v>
      </c>
      <c r="V197" s="3">
        <f>3071.5+(1505.5-252.1)+(-4.699395+(-2.303415--0.385713))+0-394.3--0.603279000000023</f>
        <v>3924.5861819999991</v>
      </c>
      <c r="W197" s="3">
        <f>3131.1+(1153.6-256.4)+(-7.984305+(-2.94168--0.65382))+0-545.9--1.39204499999992</f>
        <v>3473.5198799999998</v>
      </c>
      <c r="X197" s="3">
        <f>4385.2+(634.4-633.3)+(-4.472904+(-0.647088--0.645966))+0-568.4--0.579768000000091</f>
        <v>3814.0057420000003</v>
      </c>
      <c r="Y197" s="3">
        <f>4357+(731.4-369.2)+(-6.66621+(-1.119042--0.564876))+0-614.3--0.939879000000035</f>
        <v>4098.6195029999999</v>
      </c>
      <c r="Z197" s="3">
        <f>3910.5+(1166.2-252)+(-7.97742+(-2.379048--0.51408))+0-665.1--1.35680399999997</f>
        <v>4151.1144159999994</v>
      </c>
      <c r="AA197" s="3">
        <f>3572.5+(1515.4-261.2)+(-7.2879+(-3.091416--0.532848))+0-578.2--1.17952799999997</f>
        <v>4239.8330599999999</v>
      </c>
      <c r="AB197" s="3">
        <f>3446.8+(1690.8-243)+(-8.78934+(-4.31154--0.61965))+0-660.9--1.6852949999999</f>
        <v>4222.9040650000006</v>
      </c>
      <c r="AC197" s="3">
        <f>3401.5+(1777.6-234.6)+(-5.204295+(-2.719728--0.358938))+0-645.6--0.987768000000037</f>
        <v>4292.3226829999994</v>
      </c>
      <c r="AD197">
        <f t="shared" si="3"/>
        <v>92973.89246599999</v>
      </c>
      <c r="AE197" s="3">
        <f>4825+(632.5-784.5)+(0+(0-0))+0-641-0</f>
        <v>4032</v>
      </c>
    </row>
    <row r="198" spans="1:31" customFormat="1" x14ac:dyDescent="0.25">
      <c r="A198">
        <v>89</v>
      </c>
      <c r="B198">
        <v>7</v>
      </c>
      <c r="C198">
        <v>12</v>
      </c>
      <c r="D198">
        <v>3</v>
      </c>
      <c r="E198">
        <v>5</v>
      </c>
      <c r="F198" s="3">
        <f>2782.5+(2203.3-238)+(-2.83815+(-2.247366--0.24276))+0-594.3--0.606186000000095</f>
        <v>4149.26343</v>
      </c>
      <c r="G198" s="3">
        <f>2810.1+(2066.7-206.2)+(-2.866302+(-2.108034--0.210324))+0-641.1--0.653922000000102</f>
        <v>4025.3899099999999</v>
      </c>
      <c r="H198" s="3">
        <f>2616.4+(2148.9-255.6)+(-6.67182+(-5.479695--0.65178))+0-645.5--1.64602499999991</f>
        <v>3854.3462900000004</v>
      </c>
      <c r="I198" s="3">
        <f>2688.7+(1939.9-263.4)+(2.742474+(1.978698-0.268668))+0-589.8-0.601596000000094</f>
        <v>3779.2509079999995</v>
      </c>
      <c r="J198" s="3">
        <f>2757.7+(1802-262.3)+(-1.406427+(-0.91902--0.133773))+0-649.1--0.331040999999934</f>
        <v>3646.4393669999999</v>
      </c>
      <c r="K198" s="3">
        <f>2626.5+(1641-267.3)+(-2.67903+(-1.67382--0.272646))+0-551.6--0.562632000000088</f>
        <v>3445.0824280000002</v>
      </c>
      <c r="L198" s="3">
        <f>2520.5+(1427.3-269.2)+(-5.14182+(-2.911692--0.549168))+0-546.8--1.11547199999998</f>
        <v>3125.4111280000002</v>
      </c>
      <c r="M198" s="3">
        <f>2550.5+(1188.1-281.3)+(2.60151+(1.211862-0.286926))+0-529.2-0.539784000000084</f>
        <v>2931.0866620000002</v>
      </c>
      <c r="N198" s="3">
        <f>2617.6+(1223.1-281.4)+(0+(0-0))+0-620.9-0</f>
        <v>2938.3999999999996</v>
      </c>
      <c r="O198" s="3">
        <f>2620.6+(1186.3-244.4)+(-4.009518+(-1.815039--0.373932))+0-577.6--0.883728000000033</f>
        <v>2980.3331030000004</v>
      </c>
      <c r="P198" s="3">
        <f>2859.3+(1013.3-311.7)+(0+(0-0))+0-499.7-0</f>
        <v>3061.2000000000003</v>
      </c>
      <c r="Q198" s="3">
        <f>3062.8+(1273-296)+(0+(0-0))+0-646.9-0</f>
        <v>3392.9</v>
      </c>
      <c r="R198" s="3">
        <f>2945.1+(1534.3-242.7)+(-3.004002+(-1.564986--0.247554))+0-535.1--0.545802000000085</f>
        <v>3697.8243679999996</v>
      </c>
      <c r="S198" s="3">
        <f>3325.4+(1477-242.2)+(3.391908+(1.50654-0.247044))+0-572-0.583440000000091</f>
        <v>3992.2679640000001</v>
      </c>
      <c r="T198" s="3">
        <f>3477+(1633.7-249.2)+(-5.31981+(-2.499561--0.381276))+0-721.7--1.10420100000004</f>
        <v>4133.4661059999999</v>
      </c>
      <c r="U198" s="3">
        <f>3213.4+(1545.2-238)+(-9.833004+(-4.728312--0.72828))+0-583--1.78398000000007</f>
        <v>3925.5509440000005</v>
      </c>
      <c r="V198" s="3">
        <f>3146.9+(1240.8-252.1)+(-8.024595+(-3.16404--0.642855))+0-487.3--1.24261499999993</f>
        <v>3638.9968349999999</v>
      </c>
      <c r="W198" s="3">
        <f>3310.8+(840.2-316.1)+(0+(0-0))+0-559-0</f>
        <v>3275.9</v>
      </c>
      <c r="X198" s="3">
        <f>4219+(479.7-515.5)+(-6.45507+(-0.733941--0.788715))+0-597.7--0.914481000000035</f>
        <v>3580.0141850000005</v>
      </c>
      <c r="Y198" s="3">
        <f>4403+(500.7-408.3)+(-6.73659+(-0.766071--0.624699))+0-598.4--0.915552000000035</f>
        <v>3891.0375899999999</v>
      </c>
      <c r="Z198" s="3">
        <f>4374.6+(578.8-366.5)+(-6.693138+(-0.885564--0.560745))+0-575.5--0.880515000000033</f>
        <v>4005.2625580000004</v>
      </c>
      <c r="AA198" s="3">
        <f>3955.6+(1005.2-287.1)+(-10.08678+(-2.56326--0.732105))+0-626.6--1.59782999999991</f>
        <v>4036.7798949999992</v>
      </c>
      <c r="AB198" s="3">
        <f>4004.4+(966.7-272.2)+(-6.126732+(-1.479051--0.416466))+0-573.3--0.877149000000033</f>
        <v>4119.2878319999991</v>
      </c>
      <c r="AC198" s="3">
        <f>3830+(1139.6-250.4)+(-5.8599+(-1.743588--0.383112))+0-569--0.870570000000033</f>
        <v>4143.8501939999996</v>
      </c>
      <c r="AD198">
        <f t="shared" si="3"/>
        <v>87769.341696999996</v>
      </c>
      <c r="AE198" s="3">
        <f>4559+(493.8-457.7)+(0+(0-0))+0-640.4-0</f>
        <v>3954.7000000000003</v>
      </c>
    </row>
    <row r="199" spans="1:31" customFormat="1" x14ac:dyDescent="0.25">
      <c r="A199">
        <v>89</v>
      </c>
      <c r="B199">
        <v>7</v>
      </c>
      <c r="C199">
        <v>13</v>
      </c>
      <c r="D199">
        <v>4</v>
      </c>
      <c r="E199">
        <v>1</v>
      </c>
      <c r="F199" s="3">
        <f>3310.4+(1912.4-235.9)+(0+(0-0))+0-665.4-0</f>
        <v>4321.5</v>
      </c>
      <c r="G199" s="3">
        <f>2805.7+(1972.3-232.3)+(-1.430907+(-1.005873--0.118473))+0-546.2--0.278561999999945</f>
        <v>3997.4602550000004</v>
      </c>
      <c r="H199" s="3">
        <f>2694+(1950.9-235.1)+(1.37394+(0.994959-0.119901))+0-533.1-0.271880999999946</f>
        <v>3878.6771170000002</v>
      </c>
      <c r="I199" s="3">
        <f>2709.4+(1853.8-223.9)+(5.527176+(3.781752-0.456756))+0-647.5-1.32089999999997</f>
        <v>3699.3312719999999</v>
      </c>
      <c r="J199" s="3">
        <f>2736.3+(1761-217.7)+(-4.186539+(-2.69433--0.333081))+0-651.3--0.996489000000038</f>
        <v>3622.7487010000004</v>
      </c>
      <c r="K199" s="3">
        <f>2719.1+(1580.5-225)+(-4.160223+(-2.418165--0.34425))+0-606.6--0.928098000000035</f>
        <v>3462.6939600000001</v>
      </c>
      <c r="L199" s="3">
        <f>2688.8+(1159-304)+(0+(0-0))+0-651.2-0</f>
        <v>2892.6000000000004</v>
      </c>
      <c r="M199" s="3">
        <f>2887.1+(857.1-334.6)+(1.472421+(0.437121-0.170646))+0-526.3-0.268412999999947</f>
        <v>2884.7704830000002</v>
      </c>
      <c r="N199" s="3">
        <f>2842.1+(1086.5-464.3)+(0+(0-0))+0-499.5-0</f>
        <v>2964.8</v>
      </c>
      <c r="O199" s="3">
        <f>2828.2+(1065.5-292.8)+(-4.327146+(-1.630215--0.447984))+0-563.1--0.861543000000033</f>
        <v>3033.1521659999999</v>
      </c>
      <c r="P199" s="3">
        <f>3216+(813.2-337.2)+(1.64016+(0.414732-0.171972))+0-437.2-0.222971999999956</f>
        <v>3256.4599480000002</v>
      </c>
      <c r="Q199" s="3">
        <f>3515.6+(794-324.7)+(0+(0-0))+0-469.9-0</f>
        <v>3515</v>
      </c>
      <c r="R199" s="3">
        <f>3679.9+(1036.9-260.1)+(-1.876749+(-0.528819--0.132651))+0-573.6--0.292535999999942</f>
        <v>3881.1196189999996</v>
      </c>
      <c r="S199" s="3">
        <f>4129.7+(1059.8-306)+(6.318441+(1.621494-0.46818))+0-621.5-0.950895000000036</f>
        <v>4268.5208599999996</v>
      </c>
      <c r="T199" s="3">
        <f>4387.4+(976.7-358.4)+(-2.237574+(-0.498117--0.182784))+0-571.4--0.291413999999942</f>
        <v>4432.0385070000002</v>
      </c>
      <c r="U199" s="3">
        <f>3651.6+(1343.7-264.4)+(-7.449264+(-2.741148--0.539376))+0-472.8--0.964511999999979</f>
        <v>4249.4134759999988</v>
      </c>
      <c r="V199" s="3">
        <f>2934.6+(1644.1-247.4)+(-4.489938+(-2.515473--0.378522))+0-447.4--0.684522000000026</f>
        <v>3877.9576329999991</v>
      </c>
      <c r="W199" s="3">
        <f>2809.9+(1332.7-271.5)+(-4.299147+(-2.039031--0.415395))+0-439.4--0.672282000000025</f>
        <v>3426.4494990000003</v>
      </c>
      <c r="X199" s="3">
        <f>3909.5+(765-405.3)+(1.993845+(0.39015-0.206703))+0-599.6-0.305795999999939</f>
        <v>3671.4714960000001</v>
      </c>
      <c r="Y199" s="3">
        <f>4005.2+(861.1-323.1)+(-8.170608+(-1.756644--0.659124))+0-579.2--1.18156799999997</f>
        <v>3955.9134400000003</v>
      </c>
      <c r="Z199" s="3">
        <f>3777.9+(1129-278.8)+(1.926729+(0.57579-0.142188))+0-583.6-0.297635999999941</f>
        <v>4046.5626950000005</v>
      </c>
      <c r="AA199" s="3">
        <f>3686.4+(1375.9-291.9)+(-5.640192+(-2.105127--0.446607))+0-624.8--0.955944000000036</f>
        <v>4139.2572319999999</v>
      </c>
      <c r="AB199" s="3">
        <f>3582.8+(1452-282.1)+(-7.308912+(-2.96208--0.575484))+0-520.4--1.06161599999998</f>
        <v>4223.6661080000013</v>
      </c>
      <c r="AC199" s="3">
        <f>3248.9+(1828.1-251.9)+(-3.313878+(-1.864662--0.256938))+0-557.4--0.568548000000089</f>
        <v>4263.3469460000006</v>
      </c>
      <c r="AD199">
        <f t="shared" si="3"/>
        <v>89964.911413000009</v>
      </c>
      <c r="AE199" s="3">
        <f>4414+(636.9-512.6)+(0+(0-0))+0-699.9-0</f>
        <v>3838.4</v>
      </c>
    </row>
    <row r="200" spans="1:31" customFormat="1" x14ac:dyDescent="0.25">
      <c r="A200">
        <v>89</v>
      </c>
      <c r="B200">
        <v>7</v>
      </c>
      <c r="C200">
        <v>14</v>
      </c>
      <c r="D200">
        <v>5</v>
      </c>
      <c r="E200">
        <v>1</v>
      </c>
      <c r="F200" s="3">
        <f>2878.4+(2236.1-228.8)+(-2.935968+(-2.280822--0.233376))+0-675.5--0.689010000000108</f>
        <v>4205.9055959999996</v>
      </c>
      <c r="G200" s="3">
        <f>2905.7+(2114.2-229)+(-1.481907+(-1.078242--0.11679))+0-628.1--0.320330999999936</f>
        <v>4160.6769719999993</v>
      </c>
      <c r="H200" s="3">
        <f>2765+(2229.5-240)+(-4.23045+(-3.411135--0.3672))+0-713.7--1.09196100000004</f>
        <v>4034.6175760000006</v>
      </c>
      <c r="I200" s="3">
        <f>2718.6+(2104.8-243.5)+(-2.772972+(-2.146896--0.24837))+0-659.4--0.672588000000105</f>
        <v>3916.5010899999997</v>
      </c>
      <c r="J200" s="3">
        <f>2832.2+(1826.4-235.4)+(-1.444422+(-0.931464--0.120054))+0-634.7--0.323696999999936</f>
        <v>3786.567865</v>
      </c>
      <c r="K200" s="3">
        <f>2637.6+(1820.3-247.9)+(-5.380704+(-3.713412--0.505716))+0-594.4--1.21257599999997</f>
        <v>3608.2241760000002</v>
      </c>
      <c r="L200" s="3">
        <f>2440.3+(1645.3-241.4)+(-1.244553+(-0.839103--0.123114))+0-720--0.367199999999927</f>
        <v>3122.6066580000002</v>
      </c>
      <c r="M200" s="3">
        <f>2615.9+(1087.3-280.2)+(1.334109+(0.554523-0.142902))+0-528.8-0.269687999999946</f>
        <v>2895.6760420000005</v>
      </c>
      <c r="N200" s="3">
        <f>2716.7+(1082-249)+(2.771034+(1.10364-0.25398))+0-599.3-0.611286000000095</f>
        <v>2953.4094079999995</v>
      </c>
      <c r="O200" s="3">
        <f>2787.3+(1048.5-273.3)+(-1.421523+(-0.534735--0.139383))+0-502.7--0.256376999999949</f>
        <v>3058.2395020000004</v>
      </c>
      <c r="P200" s="3">
        <f>2791.7+(1066.3-276.4)+(-4.271301+(-1.631439--0.422892))+0-401.3--0.613989000000023</f>
        <v>3175.4341409999997</v>
      </c>
      <c r="Q200" s="3">
        <f>3300.5+(998.7-280.5)+(0+(0-0))+0-575.5-0</f>
        <v>3443.2</v>
      </c>
      <c r="R200" s="3">
        <f>3524.3+(1033.5-305.9)+(1.797393+(0.527085-0.156009))+0-424.3-0.216392999999957</f>
        <v>3829.5520760000004</v>
      </c>
      <c r="S200" s="3">
        <f>3996.4+(1195.4-412.1)+(2.038164+(0.609654-0.210171))+0-511.4-0.260813999999948</f>
        <v>4270.4768329999997</v>
      </c>
      <c r="T200" s="3">
        <f>4230.7+(1151.2-375.1)+(-10.788285+(-2.93556--0.956505))+0-660.9--1.6852949999999</f>
        <v>4334.8179550000004</v>
      </c>
      <c r="U200" s="3">
        <f>3453.7+(1378.8-251)+(-3.522774+(-1.406376--0.25602))+0-415.2--0.423504000000066</f>
        <v>4162.0503740000004</v>
      </c>
      <c r="V200" s="3">
        <f>3027.7+(1541-204.4)+(-6.176508+(-3.14364--0.416976))+0-501.9--1.02387599999998</f>
        <v>3854.5207039999991</v>
      </c>
      <c r="W200" s="3">
        <f>2790.5+(1421.1-275.4)+(-1.423155+(-0.724761--0.140454))+0-539.1--0.274940999999945</f>
        <v>3395.367479</v>
      </c>
      <c r="X200" s="3">
        <f>3702.9+(760.9-392.3)+(-3.776958+(-0.776118--0.400146))+0-414.4--0.422688000000066</f>
        <v>3653.3697579999998</v>
      </c>
      <c r="Y200" s="3">
        <f>3771.8+(989.3-304.7)+(-7.694472+(-2.018172--0.621588))+0-568.9--1.16055599999998</f>
        <v>3879.5694999999992</v>
      </c>
      <c r="Z200" s="3">
        <f>4223.5+(621.8-318.4)+(-4.30797+(-0.634236--0.324768))+0-492.2--0.502044000000078</f>
        <v>4030.5846059999999</v>
      </c>
      <c r="AA200" s="3">
        <f>3824+(1114.5-284.1)+(-13.65168+(-3.978765--1.014237))+0-562.4--2.00776800000001</f>
        <v>4077.3915599999991</v>
      </c>
      <c r="AB200" s="3">
        <f>3659.5+(1408.4-240.2)+(-3.73269+(-1.436568--0.245004))+0-637.2--0.649944000000102</f>
        <v>4186.2256900000002</v>
      </c>
      <c r="AC200" s="3">
        <f>3483.1+(1571.9-247.1)+(-7.105524+(-3.206676--0.504084))+0-534.5--1.09037999999998</f>
        <v>4264.6822639999991</v>
      </c>
      <c r="AD200">
        <f t="shared" si="3"/>
        <v>90299.667825000011</v>
      </c>
      <c r="AE200" s="3">
        <f>3981+(727.4-378.7)+(0+(0-0))+0-553.5-0</f>
        <v>3776.2</v>
      </c>
    </row>
    <row r="201" spans="1:31" customFormat="1" x14ac:dyDescent="0.25">
      <c r="A201">
        <v>89</v>
      </c>
      <c r="B201">
        <v>7</v>
      </c>
      <c r="C201">
        <v>15</v>
      </c>
      <c r="D201">
        <v>6</v>
      </c>
      <c r="E201">
        <v>1</v>
      </c>
      <c r="F201" s="3">
        <f>3042.1+(1948.2-226.2)+(-4.654413+(-2.980746--0.346086))+0-552.8--0.845784000000032</f>
        <v>4204.8567110000004</v>
      </c>
      <c r="G201" s="3">
        <f>2763.3+(2088.9-221.1)+(-1.409283+(-1.065339--0.112761))+0-589--0.30038999999994</f>
        <v>4040.0385289999999</v>
      </c>
      <c r="H201" s="3">
        <f>2706.3+(2017.6-217)+(-4.140639+(-3.086928--0.33201))+0-525.2--0.80355600000003</f>
        <v>3975.6079989999998</v>
      </c>
      <c r="I201" s="3">
        <f>2691.8+(1924.6-229.9)+(-6.86409+(-4.90773--0.586245))+0-578.2--1.47440999999992</f>
        <v>3798.5888349999996</v>
      </c>
      <c r="J201" s="3">
        <f>2673.7+(1830.4-237.3)+(-1.363587+(-0.933504--0.121023))+0-547.6--0.279275999999944</f>
        <v>3717.3032080000003</v>
      </c>
      <c r="K201" s="3">
        <f>2570.5+(1797.5-244.8)+(-3.932865+(-2.750175--0.374544))+0-547.2--0.837216000000032</f>
        <v>3570.5287200000002</v>
      </c>
      <c r="L201" s="3">
        <f>2651.3+(1260.9-243.3)+(2.704326+(1.286118-0.248166))+0-545.6-0.556512000000087</f>
        <v>3126.4857660000007</v>
      </c>
      <c r="M201" s="3">
        <f>2794.2+(940.2-297.2)+(1.425042+(0.479502-0.151572))+0-536.2-0.273461999999946</f>
        <v>2902.4795100000001</v>
      </c>
      <c r="N201" s="3">
        <f>2643.7+(1090.6-239.5)+(-1.348287+(-0.556206--0.122145))+0-599.1--0.305540999999939</f>
        <v>2894.2231929999994</v>
      </c>
      <c r="O201" s="3">
        <f>2693.3+(1002.2-277.9)+(0+(0-0))+0-400.1-0</f>
        <v>3017.5000000000005</v>
      </c>
      <c r="P201" s="3">
        <f>2708.6+(1127-248.2)+(-1.381386+(-0.57477--0.126582))+0-464.8--0.237047999999953</f>
        <v>3121.0074739999995</v>
      </c>
      <c r="Q201" s="3">
        <f>3047.1+(1153.3-305.8)+(-1.554021+(-0.588183--0.155958))+0-528.5--0.269534999999946</f>
        <v>3364.3832889999999</v>
      </c>
      <c r="R201" s="3">
        <f>2989.3+(1468-246.5)+(-4.573629+(-2.24604--0.377145))+0-516.8--0.79070400000003</f>
        <v>3688.34818</v>
      </c>
      <c r="S201" s="3">
        <f>3373.4+(1449.8-239.6)+(-3.440868+(-1.478796--0.244392))+0-530.4--0.541008000000085</f>
        <v>4049.065736</v>
      </c>
      <c r="T201" s="3">
        <f>3381+(1614.1-260.9)+(-6.89724+(-3.292764--0.532236))+0-576--1.17503999999997</f>
        <v>4149.7172719999999</v>
      </c>
      <c r="U201" s="3">
        <f>3039.9+(1697.8-235.6)+(-10.852443+(-6.061146--0.841092))+0-471.6--1.68361200000001</f>
        <v>4016.1111150000002</v>
      </c>
      <c r="V201" s="3">
        <f>2701.1+(1773.1-235.7)+(-2.755122+(-1.808562--0.240414))+0-645.6--0.658512000000103</f>
        <v>3589.2352420000002</v>
      </c>
      <c r="W201" s="3">
        <f>2842+(1109.6-264.4)+(-2.89884+(-1.131792--0.269688))+0-510.1--0.520302000000081</f>
        <v>3173.8593579999997</v>
      </c>
      <c r="X201" s="3">
        <f>3712.5+(683.3-384.5)+(-5.680125+(-1.045449--0.588285))+0-575.7--0.880821000000033</f>
        <v>3430.3435320000003</v>
      </c>
      <c r="Y201" s="3">
        <f>3843.3+(767.3-315.6)+(-5.880249+(-1.173969--0.482868))+0-564--0.862920000000033</f>
        <v>3725.2915699999999</v>
      </c>
      <c r="Z201" s="3">
        <f>3830.1+(689.7-311.3)+(1.953351+(0.351747-0.158763))+0-488.2-0.24898199999995</f>
        <v>3722.1973530000005</v>
      </c>
      <c r="AA201" s="3">
        <f>3913.6+(766-297.2)+(-7.983744+(-1.56264--0.606288))+0-578.4--1.17993599999997</f>
        <v>3796.2398399999993</v>
      </c>
      <c r="AB201" s="3">
        <f>3657.4+(1095.3-270.3)+(-3.730548+(-1.117206--0.275706))+0-656.7--0.669834000000105</f>
        <v>3821.7977860000001</v>
      </c>
      <c r="AC201" s="3">
        <f>3524.1+(1229.5-246.5)+(-7.189164+(-2.50818--0.50286))+0-628.5--1.28213999999997</f>
        <v>3870.6876560000005</v>
      </c>
      <c r="AD201">
        <f t="shared" si="3"/>
        <v>86765.897873999987</v>
      </c>
      <c r="AE201" s="3">
        <f>3982+(620-460.2)+(0+(0-0))+0-686.8-0</f>
        <v>3455</v>
      </c>
    </row>
    <row r="202" spans="1:31" customFormat="1" x14ac:dyDescent="0.25">
      <c r="A202">
        <v>89</v>
      </c>
      <c r="B202">
        <v>7</v>
      </c>
      <c r="C202">
        <v>16</v>
      </c>
      <c r="D202">
        <v>7</v>
      </c>
      <c r="E202">
        <v>1</v>
      </c>
      <c r="F202" s="3">
        <f>2878.6+(1810.5-224.7)+(-4.404258+(-2.770065--0.343791))+0-591.3--0.904689000000034</f>
        <v>3867.1741569999995</v>
      </c>
      <c r="G202" s="3">
        <f>2461.5+(2106.4-229.1)+(-1.255365+(-1.074264--0.116841))+0-542.6--0.276725999999945</f>
        <v>3794.2639380000005</v>
      </c>
      <c r="H202" s="3">
        <f>2407.6+(2008.9-236.4)+(0+(0-0))+0-554-0</f>
        <v>3626.1000000000004</v>
      </c>
      <c r="I202" s="3">
        <f>2428.5+(1921.8-240.5)+(1.238535+(0.980118-0.122655))+0-577.2-0.294371999999941</f>
        <v>3534.4016260000003</v>
      </c>
      <c r="J202" s="3">
        <f>2446.8+(1716.8-232.4)+(0+(0-0))+0-532.7-0</f>
        <v>3398.5</v>
      </c>
      <c r="K202" s="3">
        <f>2333+(1730.3-238.2)+(-5.94915+(-4.412265--0.60741))+0-541.1--1.37980499999992</f>
        <v>3275.6258000000003</v>
      </c>
      <c r="L202" s="3">
        <f>2048.3+(1730.2-222.1)+(-5.223165+(-4.41201--0.566355))+0-635.6--1.62077999999991</f>
        <v>2913.3519600000004</v>
      </c>
      <c r="M202" s="3">
        <f>2290.5+(1195.2-248.7)+(3.504465+(1.828656-0.380511))+0-528.7-0.808911000000031</f>
        <v>2712.4436989999995</v>
      </c>
      <c r="N202" s="3">
        <f>2240.6+(1287.3-257.9)+(-2.285412+(-1.313046--0.263058))+0-576.4--0.587928000000092</f>
        <v>2690.8525279999999</v>
      </c>
      <c r="O202" s="3">
        <f>2219.5+(1329.1-280.2)+(-2.26389+(-1.355682--0.285804))+0-519.6--0.529992000000083</f>
        <v>2745.996224</v>
      </c>
      <c r="P202" s="3">
        <f>2334.3+(1247.3-291)+(-3.571479+(-1.908369--0.44523))+0-472--0.722160000000027</f>
        <v>2814.287542</v>
      </c>
      <c r="Q202" s="3">
        <f>2459.6+(1457.1-273.8)+(-1.254396+(-0.743121--0.139638))+0-609.8--0.310997999999938</f>
        <v>3031.5531189999992</v>
      </c>
      <c r="R202" s="3">
        <f>2490.4+(1670.8-235.2)+(-3.810312+(-2.556324--0.359856))+0-592--0.905760000000034</f>
        <v>3328.8989799999999</v>
      </c>
      <c r="S202" s="3">
        <f>2538.6+(1970.3-250.8)+(0+(0-0))+0-581-0</f>
        <v>3677.1000000000004</v>
      </c>
      <c r="T202" s="3">
        <f>2571.2+(2006.8-237.8)+(-3.933936+(-3.070404--0.363834))+0-490.9--0.751077000000028</f>
        <v>3843.4105709999999</v>
      </c>
      <c r="U202" s="3">
        <f>2606.1+(2006.8-241.9)+(-5.316444+(-4.093872--0.493476))+0-580.8--1.18483199999997</f>
        <v>3782.4679919999999</v>
      </c>
      <c r="V202" s="3">
        <f>2601.6+(1729-249.5)+(-5.307264+(-3.52716--0.50898))+0-639.6--1.30478399999997</f>
        <v>3434.4793399999999</v>
      </c>
      <c r="W202" s="3">
        <f>2751.3+(1188.9-244.8)+(-7.015815+(-3.031695--0.62424))+0-630.7--1.60828499999991</f>
        <v>3056.8850150000003</v>
      </c>
      <c r="X202" s="3">
        <f>3250.5+(905.5-286.6)+(-6.63102+(-1.84722--0.584664))+0-530.8--1.08283199999998</f>
        <v>3331.789256</v>
      </c>
      <c r="Y202" s="3">
        <f>3529.3+(923.6-294.7)+(-3.599886+(-0.942072--0.300594))+0-585.4--0.597108000000093</f>
        <v>3569.1557440000001</v>
      </c>
      <c r="Z202" s="3">
        <f>3605+(1024.8-278.1)+(-5.51565+(-1.567944--0.425493))+0-651.3--0.996489000000038</f>
        <v>3694.7383879999998</v>
      </c>
      <c r="AA202" s="3">
        <f>3694.9+(1031.7-257.5)+(-5.653197+(-1.578501--0.393975))+0-664.7--1.01699100000004</f>
        <v>3798.5792680000009</v>
      </c>
      <c r="AB202" s="3">
        <f>3396.8+(1336-231.7)+(-8.66184+(-3.4068--0.590835))+0-585.2--1.49225999999992</f>
        <v>3905.9144550000001</v>
      </c>
      <c r="AC202" s="3">
        <f>3250.8+(1668-217.8)+(-3.315816+(-1.70136--0.222156))+0-653.7--0.666774000000104</f>
        <v>4043.1717540000009</v>
      </c>
      <c r="AD202">
        <f t="shared" si="3"/>
        <v>81871.141355999993</v>
      </c>
      <c r="AE202" s="3">
        <f>3663+(846.2-314.7)+(0+(0-0))+0-593.7-0</f>
        <v>3600.8</v>
      </c>
    </row>
    <row r="203" spans="1:31" customFormat="1" x14ac:dyDescent="0.25">
      <c r="A203">
        <v>89</v>
      </c>
      <c r="B203">
        <v>7</v>
      </c>
      <c r="C203">
        <v>17</v>
      </c>
      <c r="D203">
        <v>1</v>
      </c>
      <c r="E203">
        <v>1</v>
      </c>
      <c r="F203" s="3">
        <f>2615.2+(2249.8-231.2)+(-6.66876+(-5.73699--0.58956))+0-650.5--1.65877499999991</f>
        <v>3973.1425850000005</v>
      </c>
      <c r="G203" s="3">
        <f>2637.2+(2091.4-238.6)+(-6.72486+(-5.33307--0.60843))+0-640.6--1.63352999999991</f>
        <v>3839.5840300000004</v>
      </c>
      <c r="H203" s="3">
        <f>2505+(2103.6-227.4)+(-1.27755+(-1.072836--0.115974))+0-680.9--0.347258999999931</f>
        <v>3698.4128470000001</v>
      </c>
      <c r="I203" s="3">
        <f>2598.3+(1959.4-221)+(-5.300532+(-3.997176--0.45084))+0-618.5--1.26173999999997</f>
        <v>3710.614872000001</v>
      </c>
      <c r="J203" s="3">
        <f>2725.9+(1651.2-211.1)+(-1.390209+(-0.842112--0.107661))+0-644.8--0.328847999999935</f>
        <v>3519.4041879999995</v>
      </c>
      <c r="K203" s="3">
        <f>2747.7+(1494.3-225.8)+(0+(0-0))+0-649.7-0</f>
        <v>3366.5</v>
      </c>
      <c r="L203" s="3">
        <f>2638.4+(1114.8-236.5)+(1.345584+(0.568548-0.120615))+0-538.5-0.274634999999945</f>
        <v>2979.7188820000001</v>
      </c>
      <c r="M203" s="3">
        <f>2660.6+(956.3-324.9)+(-1.356906+(-0.487713--0.165699))+0-488.6--0.24918599999995</f>
        <v>2801.9702660000003</v>
      </c>
      <c r="N203" s="3">
        <f>2692.1+(1015.9-268.5)+(-1.372971+(-0.518109--0.136935))+0-600.1--0.306050999999939</f>
        <v>2837.9519060000002</v>
      </c>
      <c r="O203" s="3">
        <f>2708.5+(997.6-309.1)+(-2.76267+(-1.017552--0.315282))+0-572.4--0.583848000000091</f>
        <v>2821.7189080000003</v>
      </c>
      <c r="P203" s="3">
        <f>2857.7+(1060.1-358.1)+(-1.457427+(-0.540651--0.182631))+0-466.1--0.237710999999953</f>
        <v>3092.0222639999997</v>
      </c>
      <c r="Q203" s="3">
        <f>3201.2+(962.7-395.1)+(-3.265224+(-0.981954--0.403002))+0-498.8--0.50877600000008</f>
        <v>3266.6645999999996</v>
      </c>
      <c r="R203" s="3">
        <f>3244.4+(1066.2-286.7)+(-1.654644+(-0.543762--0.146217))+0-451.5--0.230264999999954</f>
        <v>3570.5780760000002</v>
      </c>
      <c r="S203" s="3">
        <f>3804.3+(1073-352)+(-3.880386+(-1.09446--0.35904))+0-512.7--0.522954000000082</f>
        <v>4008.5071480000006</v>
      </c>
      <c r="T203" s="3">
        <f>3634.4+(1227.1-325.6)+(-3.707088+(-1.251642--0.332112))+0-400.7--0.408714000000064</f>
        <v>4130.9820959999997</v>
      </c>
      <c r="U203" s="3">
        <f>3359.3+(1498.6-271.1)+(-6.852972+(-3.057144--0.553044))+0-557.6--1.13750399999998</f>
        <v>4020.9804320000003</v>
      </c>
      <c r="V203" s="3">
        <f>2806.5+(1600.2-242.5)+(-8.58789+(-4.896612--0.74205))+0-523.1--1.60068600000006</f>
        <v>3629.9582339999997</v>
      </c>
      <c r="W203" s="3">
        <f>3204.6+(913.9-337)+(-3.268692+(-0.932178--0.34374))+0-506.7--0.516834000000081</f>
        <v>3271.4597040000003</v>
      </c>
      <c r="X203" s="3">
        <f>4431.1+(363.8-727.4)+(-6.779583+(-0.556614--1.112922))+0-490.3--0.750159000000028</f>
        <v>3571.7268840000006</v>
      </c>
      <c r="Y203" s="3">
        <f>4372+(618.3-530.8)+(-11.1486+(-1.576665--1.35354))+0-639.1--1.62970499999991</f>
        <v>3810.65798</v>
      </c>
      <c r="Z203" s="3">
        <f>3910+(883-340.8)+(-5.9823+(-1.35099--0.521424))+0-531.6--0.813348000000031</f>
        <v>3914.601482</v>
      </c>
      <c r="AA203" s="3">
        <f>3634.2+(1263.6-254.1)+(-9.26721+(-3.22218--0.647955))+0-604.3--1.54096499999991</f>
        <v>4029.099529999999</v>
      </c>
      <c r="AB203" s="3">
        <f>3490.7+(1482.4-232.3)+(-8.901285+(-3.78012--0.592365))+0-616.5--1.57207499999991</f>
        <v>4113.7830350000004</v>
      </c>
      <c r="AC203" s="3">
        <f>3443.4+(1462.3-204.3)+(0+(0-0))+0-530-0</f>
        <v>4171.3999999999996</v>
      </c>
      <c r="AD203">
        <f t="shared" si="3"/>
        <v>86151.439948999992</v>
      </c>
      <c r="AE203" s="3">
        <f>4647+(449.5-676.2)+(0+(0-0))+0-629.3-0</f>
        <v>3791</v>
      </c>
    </row>
    <row r="204" spans="1:31" customFormat="1" x14ac:dyDescent="0.25">
      <c r="A204">
        <v>89</v>
      </c>
      <c r="B204">
        <v>7</v>
      </c>
      <c r="C204">
        <v>18</v>
      </c>
      <c r="D204">
        <v>2</v>
      </c>
      <c r="E204">
        <v>1</v>
      </c>
      <c r="F204" s="3">
        <f>2757.3+(2175.3-190.5)+(0+(0-0))+0-642.6-0</f>
        <v>4099.5</v>
      </c>
      <c r="G204" s="3">
        <f>2509.5+(2189.3-237.4)+(0+(0-0))+0-532-0</f>
        <v>3929.3999999999996</v>
      </c>
      <c r="H204" s="3">
        <f>2427.6+(2132.2-219)+(0+(0-0))+0-593.1-0</f>
        <v>3747.6999999999994</v>
      </c>
      <c r="I204" s="3">
        <f>2777.9+(1703.3-210.2)+(0+(0-0))+0-534-0</f>
        <v>3737</v>
      </c>
      <c r="J204" s="3">
        <f>2857.4+(1629.2-201.4)+(0+(0-0))+0-622.1-0</f>
        <v>3663.1</v>
      </c>
      <c r="K204" s="3">
        <f>2832.7+(1592.4-215.9)+(0+(0-0))+0-609.7-0</f>
        <v>3599.5</v>
      </c>
      <c r="L204" s="3">
        <f>2618.3+(1241.5-216.1)+(0+(0-0))+0-531.6-0</f>
        <v>3112.1000000000004</v>
      </c>
      <c r="M204" s="3">
        <f>2752.9+(969.7-254.4)+(0+(0-0))+0-580.6-0</f>
        <v>2887.6000000000004</v>
      </c>
      <c r="N204" s="3">
        <f>2585.4+(1047.1-236.4)+(0+(0-0))+0-520.5-0</f>
        <v>2875.6</v>
      </c>
      <c r="O204" s="3">
        <f>2693.1+(1021.9-294.2)+(0+(0-0))+0-551.3-0</f>
        <v>2869.5</v>
      </c>
      <c r="P204" s="3">
        <f>2935.8+(979.9-310.2)+(0+(0-0))+0-507.6-0</f>
        <v>3097.9</v>
      </c>
      <c r="Q204" s="3">
        <f>3136.6+(959.2-388.5)+(0+(0-0))+0-472.5-0</f>
        <v>3234.8</v>
      </c>
      <c r="R204" s="3">
        <f>3117.8+(1286.2-271.5)+(-1.590078+(-0.655962--0.138465))+0-485--0.247349999999951</f>
        <v>3645.6397750000001</v>
      </c>
      <c r="S204" s="3">
        <f>3535.2+(1385.5-260.8)+(-3.605904+(-1.41321--0.266016))+0-563.7--0.57497400000009</f>
        <v>4092.0218759999998</v>
      </c>
      <c r="T204" s="3">
        <f>3818.5+(1108.2-305)+(-3.89487+(-1.130364--0.3111))+0-473--0.482460000000075</f>
        <v>4144.4683260000002</v>
      </c>
      <c r="U204" s="3">
        <f>3526.3+(1277.1-268.6)+(-7.193652+(-2.605284--0.547944))+0-421.1--0.859043999999982</f>
        <v>4105.3080519999994</v>
      </c>
      <c r="V204" s="3">
        <f>2782.9+(1686.7-236.5)+(-4.257837+(-2.580651--0.361845))+0-546.1--0.835533000000032</f>
        <v>3681.3588900000004</v>
      </c>
      <c r="W204" s="3">
        <f>2963.8+(1243.6-281.9)+(0+(0-0))+0-576.2-0</f>
        <v>3349.3</v>
      </c>
      <c r="X204" s="3">
        <f>4096.5+(521.7-551.1)+(-2.089215+(-0.266067--0.281061))+0-482.3--0.245972999999951</f>
        <v>3582.9717519999999</v>
      </c>
      <c r="Y204" s="3">
        <f>3904.3+(790.6-365.1)+(-5.973579+(-1.209618--0.558603))+0-557.1--0.852363000000032</f>
        <v>3766.9277690000004</v>
      </c>
      <c r="Z204" s="3">
        <f>3561.6+(1157.6-267.2)+(-10.898496+(-3.542256--0.817632))+0-548.5--1.67841000000006</f>
        <v>3891.5552899999998</v>
      </c>
      <c r="AA204" s="3">
        <f>3380.6+(1425.3-231.5)+(-3.448212+(-1.453806--0.23613))+0-600.8--0.612816000000096</f>
        <v>3969.5469279999993</v>
      </c>
      <c r="AB204" s="3">
        <f>3292+(1523.6-232.4)+(-10.07352+(-4.662216--0.711144))+0-517.4--1.58324400000006</f>
        <v>4053.3586519999999</v>
      </c>
      <c r="AC204" s="3">
        <f>2980.4+(1861.1-223.1)+(-7.60002+(-4.745805--0.568905))+0-466.7--1.19008499999993</f>
        <v>4141.1131649999998</v>
      </c>
      <c r="AD204">
        <f t="shared" si="3"/>
        <v>87277.270475000012</v>
      </c>
      <c r="AE204" s="3">
        <f>4047+(582.2-458.9)+(0+(0-0))+0-427.9-0</f>
        <v>3742.4</v>
      </c>
    </row>
    <row r="205" spans="1:31" customFormat="1" x14ac:dyDescent="0.25">
      <c r="A205">
        <v>89</v>
      </c>
      <c r="B205">
        <v>7</v>
      </c>
      <c r="C205">
        <v>19</v>
      </c>
      <c r="D205">
        <v>3</v>
      </c>
      <c r="E205">
        <v>1</v>
      </c>
      <c r="F205" s="3">
        <f>2786.2+(2047.7-219.3)+(1.420962+(1.044327-0.111843))+0-632.2-0.322421999999936</f>
        <v>3984.4310240000009</v>
      </c>
      <c r="G205" s="3">
        <f>2520.2+(2127.6-232.7)+(-5.141208+(-4.340304--0.474708))+0-584--1.19135999999997</f>
        <v>3823.2845559999996</v>
      </c>
      <c r="H205" s="3">
        <f>2223.8+(2348.8-227.2)+(-4.536552+(-4.791552--0.463488))+0-633.3--1.29193199999997</f>
        <v>3704.5273160000006</v>
      </c>
      <c r="I205" s="3">
        <f>2275.5+(2185.7-226.3)+(-2.32101+(-2.229414--0.230826))+0-653.8--0.666876000000104</f>
        <v>3577.4472779999996</v>
      </c>
      <c r="J205" s="3">
        <f>2327.8+(1901.6-218.7)+(-2.374356+(-1.939632--0.223074))+0-561.3--0.572526000000089</f>
        <v>3445.8816120000001</v>
      </c>
      <c r="K205" s="3">
        <f>2514.9+(1631.2-238.3)+(1.282599+(0.831912-0.121533))+0-639-0.325889999999935</f>
        <v>3270.4670880000003</v>
      </c>
      <c r="L205" s="3">
        <f>2366.2+(1475.5-240.9)+(-2.413524+(-1.50501--0.245718))+0-654.8--0.667896000000104</f>
        <v>2942.9950799999997</v>
      </c>
      <c r="M205" s="3">
        <f>2522.9+(1030-311.7)+(1.286679+(0.5253-0.158967))+0-601.9-0.306968999999939</f>
        <v>2640.6460430000002</v>
      </c>
      <c r="N205" s="3">
        <f>2620.7+(962.1-414.7)+(-1.336557+(-0.490671--0.211497))+0-521.9--0.266168999999947</f>
        <v>2644.8504379999999</v>
      </c>
      <c r="O205" s="3">
        <f>2655.5+(1011.6-410.1)+(0+(0-0))+0-537.6-0</f>
        <v>2719.4</v>
      </c>
      <c r="P205" s="3">
        <f>2963.6+(896.4-443.1)+(0+(0-0))+0-551.7-0</f>
        <v>2865.2</v>
      </c>
      <c r="Q205" s="3">
        <f>3334.5+(701.8-543.3)+(0+(0-0))+0-470-0</f>
        <v>3023</v>
      </c>
      <c r="R205" s="3">
        <f>3438.5+(1026.3-349.8)+(-3.50727+(-1.046826--0.356796))+0-574.4--0.585888000000092</f>
        <v>3536.9885880000002</v>
      </c>
      <c r="S205" s="3">
        <f>3583.7+(1264.7-385.2)+(0+(0-0))+0-594.4-0</f>
        <v>3868.7999999999997</v>
      </c>
      <c r="T205" s="3">
        <f>3753.4+(1230.1-439.8)+(-3.828468+(-1.254702--0.448596))+0-530.3--0.540906000000084</f>
        <v>4009.3063320000001</v>
      </c>
      <c r="U205" s="3">
        <f>3099.5+(1486.7-303)+(-6.32298+(-3.032868--0.61812))+0-504--1.02815999999998</f>
        <v>3771.4904319999996</v>
      </c>
      <c r="V205" s="3">
        <f>2663.4+(1586.2-284)+(-5.433336+(-3.235848--0.57936))+0-462--0.94247999999998</f>
        <v>3496.4526560000004</v>
      </c>
      <c r="W205" s="3">
        <f>3091.6+(1032.3-454.7)+(3.153432+(1.052946-0.463794))+0-505.7-0.515814000000081</f>
        <v>3166.7267700000002</v>
      </c>
      <c r="X205" s="3">
        <f>4477.2+(393.6-808.6)+(-6.850116+(-0.602208--1.237158))+0-568.4--0.869652000000033</f>
        <v>3488.4544859999996</v>
      </c>
      <c r="Y205" s="3">
        <f>4383.4+(615.8-690.9)+(-8.942136+(-1.256232--1.409436))+0-556.5--1.13525999999998</f>
        <v>3744.1463279999989</v>
      </c>
      <c r="Z205" s="3">
        <f>3618.8+(1141.6-455.6)+(-5.536764+(-1.746648--0.697068))+0-524.7--0.80279100000003</f>
        <v>3774.3164470000002</v>
      </c>
      <c r="AA205" s="3">
        <f>3135.4+(1616.2-253.9)+(-3.198108+(-1.648524--0.258978))+0-590.5--0.602310000000094</f>
        <v>3903.2146560000001</v>
      </c>
      <c r="AB205" s="3">
        <f>3016.5+(1731.9-251.5)+(-3.07683+(-1.766538--0.25653))+0-512.5--0.522750000000082</f>
        <v>3980.3359119999996</v>
      </c>
      <c r="AC205" s="3">
        <f>2893.5+(1857.4-242.4)+(-1.475685+(-0.947274--0.123624))+0-452.9--0.230978999999954</f>
        <v>4053.5316440000001</v>
      </c>
      <c r="AD205">
        <f t="shared" si="3"/>
        <v>83435.894686000014</v>
      </c>
      <c r="AE205" s="3">
        <f>4559+(436.2-726.6)+(0+(0-0))+0-681.8-0</f>
        <v>3586.8</v>
      </c>
    </row>
    <row r="206" spans="1:31" customFormat="1" x14ac:dyDescent="0.25">
      <c r="A206">
        <v>89</v>
      </c>
      <c r="B206">
        <v>7</v>
      </c>
      <c r="C206">
        <v>20</v>
      </c>
      <c r="D206">
        <v>4</v>
      </c>
      <c r="E206">
        <v>1</v>
      </c>
      <c r="F206" s="3">
        <f>2641.4+(2102.2-238)+(-5.388456+(-4.288488--0.48552))+0-608.8--1.24195199999997</f>
        <v>3888.8505280000004</v>
      </c>
      <c r="G206" s="3">
        <f>2590.9+(1958.6-240.5)+(-1.321359+(-0.998886--0.122655))+0-487.3--0.248522999999951</f>
        <v>3819.7509329999998</v>
      </c>
      <c r="H206" s="3">
        <f>2335.3+(2121.4-219.3)+(-3.573009+(-3.245742--0.335529))+0-572.3--0.875619000000033</f>
        <v>3659.4923970000004</v>
      </c>
      <c r="I206" s="3">
        <f>2254.6+(2109.1-227)+(-3.449538+(-3.226923--0.34731))+0-614.4--0.940032000000036</f>
        <v>3516.9108809999998</v>
      </c>
      <c r="J206" s="3">
        <f>2092.4+(2135.6-219.2)+(-2.134248+(-2.178312--0.223584))+0-575.7--0.587214000000092</f>
        <v>3429.5982380000005</v>
      </c>
      <c r="K206" s="3">
        <f>2094.2+(2086.3-238.2)+(0+(0-0))+0-671.4-0</f>
        <v>3270.9</v>
      </c>
      <c r="L206" s="3">
        <f>2011.9+(1737.5-248)+(0+(0-0))+0-598.3-0</f>
        <v>2903.1000000000004</v>
      </c>
      <c r="M206" s="3">
        <f>2093.9+(1348.9-255.9)+(1.067889+(0.687939-0.130509))+0-562.2-0.286721999999943</f>
        <v>2626.0385970000007</v>
      </c>
      <c r="N206" s="3">
        <f>2343.9+(981.2-309)+(0+(0-0))+0-494.5-0</f>
        <v>2521.6000000000004</v>
      </c>
      <c r="O206" s="3">
        <f>2587.9+(962.4-388)+(0+(0-0))+0-444.5-0</f>
        <v>2717.8</v>
      </c>
      <c r="P206" s="3">
        <f>2796.9+(1128.9-398)+(-7.132095+(-2.878695--1.0149))+0-561.5--1.43182499999992</f>
        <v>2958.7359350000002</v>
      </c>
      <c r="Q206" s="3">
        <f>2959.2+(1101.4-505)+(0+(0-0))+0-462.5-0</f>
        <v>3093.1</v>
      </c>
      <c r="R206" s="3">
        <f>3103.7+(1198.7-412.9)+(0+(0-0))+0-600-0</f>
        <v>3289.5</v>
      </c>
      <c r="S206" s="3">
        <f>3375.4+(1318.6-479.3)+(0+(0-0))+0-578.4-0</f>
        <v>3636.2999999999997</v>
      </c>
      <c r="T206" s="3">
        <f>3267.8+(1275.5-352.8)+(-8.33289+(-3.252525--0.89964))+0-425.5--1.08502499999994</f>
        <v>3755.3992499999999</v>
      </c>
      <c r="U206" s="3">
        <f>2583+(1755.1-262)+(-2.63466+(-1.790202--0.26724))+0-529.3--0.539886000000084</f>
        <v>3543.1822639999996</v>
      </c>
      <c r="V206" s="3">
        <f>2307.3+(1683.8-260)+(-7.060338+(-5.152428--0.7956))+0-554.3--1.69615800000006</f>
        <v>3167.0789920000002</v>
      </c>
      <c r="W206" s="3">
        <f>2733.5+(1063.2-474.7)+(-5.57634+(-2.168928--0.968388))+0-453.7--0.92554799999998</f>
        <v>2862.4486680000005</v>
      </c>
      <c r="X206" s="3">
        <f>3551+(727.3-545.2)+(-7.24404+(-1.483692--1.112208))+0-582.1--1.18748399999997</f>
        <v>3144.5719600000002</v>
      </c>
      <c r="Y206" s="3">
        <f>3514.2+(799.8-527.2)+(-5.376726+(-1.223694--0.806616))+0-549.3--0.840429000000032</f>
        <v>3232.5466249999999</v>
      </c>
      <c r="Z206" s="3">
        <f>3405+(846.4-416.2)+(-5.20965+(-1.294992--0.636786))+0-608.8--0.931464000000035</f>
        <v>3221.463608</v>
      </c>
      <c r="AA206" s="3">
        <f>3428+(887.4-471)+(-10.48968+(-2.715444--1.44126))+0-563.1--1.72308600000007</f>
        <v>3271.2592220000001</v>
      </c>
      <c r="AB206" s="3">
        <f>3276+(902.5-355.4)+(-6.68304+(-1.8411--0.725016))+0-514.6--1.04978399999998</f>
        <v>3301.7506599999997</v>
      </c>
      <c r="AC206" s="3">
        <f>3095.3+(1189.3-288.6)+(-7.893015+(-3.032715--0.73593))+0-667.2--1.7013599999999</f>
        <v>3320.3115600000001</v>
      </c>
      <c r="AD206">
        <f t="shared" si="3"/>
        <v>78151.690318000008</v>
      </c>
      <c r="AE206" s="3">
        <f>3640+(782.9-580.8)+(0+(0-0))+0-603.6-0</f>
        <v>3238.5</v>
      </c>
    </row>
    <row r="207" spans="1:31" customFormat="1" x14ac:dyDescent="0.25">
      <c r="A207">
        <v>89</v>
      </c>
      <c r="B207">
        <v>7</v>
      </c>
      <c r="C207">
        <v>21</v>
      </c>
      <c r="D207">
        <v>5</v>
      </c>
      <c r="E207">
        <v>1</v>
      </c>
      <c r="F207" s="3">
        <f>2320.4+(1721.5-212)+(-1.183404+(-0.877965--0.10812))+0-531.9--0.271268999999946</f>
        <v>3296.3180199999997</v>
      </c>
      <c r="G207" s="3">
        <f>2041.2+(1989.9-219.4)+(-3.123036+(-3.044547--0.335682))+0-597.5--0.914175000000034</f>
        <v>3209.2822739999997</v>
      </c>
      <c r="H207" s="3">
        <f>2003+(1849.8-217.9)+(-3.06459+(-2.830194--0.333387))+0-576.5--0.882045000000033</f>
        <v>3053.7206479999995</v>
      </c>
      <c r="I207" s="3">
        <f>1922.6+(1804.3-223.1)+(-2.941578+(-2.760579--0.341343))+0-543.9--0.832167000000031</f>
        <v>2955.371353</v>
      </c>
      <c r="J207" s="3">
        <f>1977.6+(1655.7-215.2)+(0+(0-0))+0-623.7-0</f>
        <v>2794.3999999999996</v>
      </c>
      <c r="K207" s="3">
        <f>1891.7+(1506.2-212.5)+(-3.859068+(-3.072648--0.4335))+0-546.5--1.11485999999998</f>
        <v>2633.5166440000003</v>
      </c>
      <c r="L207" s="3">
        <f>1890.1+(1229.6-224.9)+(-2.891853+(-1.881288--0.344097))+0-579.2--0.886176000000033</f>
        <v>2312.0571319999999</v>
      </c>
      <c r="M207" s="3">
        <f>2157.7+(832-347.5)+(2.200854+(0.84864-0.35445))+0-526.4-0.536928000000084</f>
        <v>2117.9581159999998</v>
      </c>
      <c r="N207" s="3">
        <f>2309.8+(629.6-377.4)+(-2.355996+(-0.642192--0.384948))+0-492.1--0.501942000000078</f>
        <v>2067.7887019999998</v>
      </c>
      <c r="O207" s="3">
        <f>2300.8+(776.9-346)+(-3.520224+(-1.188657--0.52938))+0-582.7--0.891531000000034</f>
        <v>2145.7120300000006</v>
      </c>
      <c r="P207" s="3">
        <f>2305.2+(740.6-291.2)+(-3.526956+(-1.133118--0.445536))+0-520.5--0.79636500000003</f>
        <v>2230.6818269999999</v>
      </c>
      <c r="Q207" s="3">
        <f>2397.7+(771.6-321.9)+(1.222827+(0.393516-0.164169))+0-479-0.244289999999951</f>
        <v>2369.6078839999996</v>
      </c>
      <c r="R207" s="3">
        <f>2403.7+(1032.7-288.7)+(-7.355322+(-3.160062--0.883422))+0-632.4--1.93514400000007</f>
        <v>2507.6031819999998</v>
      </c>
      <c r="S207" s="3">
        <f>2396.6+(1132.9-308.4)+(-1.222266+(-0.577779--0.157284))+0-460.8--0.235007999999953</f>
        <v>2758.8922469999998</v>
      </c>
      <c r="T207" s="3">
        <f>2229+(1285.8-279.9)+(-2.27358+(-1.311516--0.285498))+0-429.6--0.438192000000069</f>
        <v>2802.4385940000002</v>
      </c>
      <c r="U207" s="3">
        <f>2268.1+(1334.2-276.7)+(-2.313462+(-1.360884--0.282234))+0-609.9--0.622098000000097</f>
        <v>2712.9299860000001</v>
      </c>
      <c r="V207" s="3">
        <f>2228.7+(1082.8-260.8)+(-4.546548+(-2.208912--0.532032))+0-548.4--1.11873599999998</f>
        <v>2497.1953079999998</v>
      </c>
      <c r="W207" s="3">
        <f>2741.8+(607.1-404.7)+(-1.398318+(-0.309621--0.206397))+0-540.1--0.275450999999945</f>
        <v>2402.8739090000004</v>
      </c>
      <c r="X207" s="3">
        <f>3630.9+(447.3-924.4)+(-7.407036+(-0.912492--1.885776))+0-569.3--1.16137199999997</f>
        <v>2579.2276200000001</v>
      </c>
      <c r="Y207" s="3">
        <f>3745.3+(402-837)+(-7.640412+(-0.82008--1.70748))+0-539.4--1.10037599999998</f>
        <v>2765.2473639999998</v>
      </c>
      <c r="Z207" s="3">
        <f>3419+(519.4-494)+(-8.71845+(-1.32447--1.2597))+0-683.7--1.7434349999999</f>
        <v>2753.6602150000003</v>
      </c>
      <c r="AA207" s="3">
        <f>3741.3+(320.8-709.9)+(-5.724189+(-0.490824--1.086147))+0-571.6--0.874548000000033</f>
        <v>2776.3456820000006</v>
      </c>
      <c r="AB207" s="3">
        <f>3430.7+(471.1-490.2)+(-5.248971+(-0.720783--0.750006))+0-578.5--0.885105000000033</f>
        <v>2828.7653569999998</v>
      </c>
      <c r="AC207" s="3">
        <f>3075.1+(697-309.8)+(-7.841505+(-1.77735--0.78999))+0-618.5--1.57717499999991</f>
        <v>2836.5483099999997</v>
      </c>
      <c r="AD207">
        <f t="shared" si="3"/>
        <v>63408.142404000006</v>
      </c>
      <c r="AE207" s="3">
        <f>4066+(496.6-1031.7)+(0+(0-0))+0-680.8-0</f>
        <v>2850.1000000000004</v>
      </c>
    </row>
    <row r="208" spans="1:31" customFormat="1" x14ac:dyDescent="0.25">
      <c r="A208">
        <v>89</v>
      </c>
      <c r="B208">
        <v>7</v>
      </c>
      <c r="C208">
        <v>22</v>
      </c>
      <c r="D208">
        <v>6</v>
      </c>
      <c r="E208">
        <v>1</v>
      </c>
      <c r="F208" s="3">
        <f>2553.5+(1072.4-241.6)+(-9.115995+(-3.828468--0.862512))+0-580.6--2.07274200000001</f>
        <v>2793.690791</v>
      </c>
      <c r="G208" s="3">
        <f>2119.6+(1410.3-204.6)+(-2.161992+(-1.438506--0.208692))+0-609--0.621180000000097</f>
        <v>2713.5293740000002</v>
      </c>
      <c r="H208" s="3">
        <f>2400.5+(1089.1-243.8)+(-3.672765+(-1.666323--0.373014))+0-654.5--1.00138500000004</f>
        <v>2587.3353110000003</v>
      </c>
      <c r="I208" s="3">
        <f>2322+(1007-243.7)+(-2.36844+(-1.02714--0.248574))+0-571.2--0.582624000000091</f>
        <v>2511.5356180000003</v>
      </c>
      <c r="J208" s="3">
        <f>2238.2+(999.7-214.4)+(1.141482+(0.509847-0.109344))+0-604.7-0.308396999999939</f>
        <v>2420.0335880000002</v>
      </c>
      <c r="K208" s="3">
        <f>2200.2+(1018.8-248)+(-3.366306+(-1.558764--0.37944))+0-670.3--1.02555900000004</f>
        <v>2297.1799290000004</v>
      </c>
      <c r="L208" s="3">
        <f>2185.9+(777-310)+(-2.229618+(-0.79254--0.3162))+0-516.6--0.526932000000082</f>
        <v>2134.1209740000004</v>
      </c>
      <c r="M208" s="3">
        <f>2248.4+(610.3-332.7)+(2.293368+(0.622506-0.339354))+0-519.2-0.529584000000083</f>
        <v>2008.8469359999999</v>
      </c>
      <c r="N208" s="3">
        <f>2109.7+(696.7-142.4)+(-1.075947+(-0.355317--0.072624))+0-627.8--0.320177999999936</f>
        <v>2035.1615380000001</v>
      </c>
      <c r="O208" s="3">
        <f>2094.5+(677.1-206.2)+(1.068195+(0.345321-0.105162))+0-518.7-0.264536999999947</f>
        <v>2047.7438169999996</v>
      </c>
      <c r="P208" s="3">
        <f>2232.3+(714-229.9)+(-2.276946+(-0.72828--0.234498))+0-586.3--0.598026000000093</f>
        <v>2127.9272980000001</v>
      </c>
      <c r="Q208" s="3">
        <f>2271.5+(747.3-216.1)+(2.31693+(0.762246-0.220422))+0-567.3-0.57864600000009</f>
        <v>2237.6801079999996</v>
      </c>
      <c r="R208" s="3">
        <f>2254.7+(843.7-170.7)+(-8.049279+(-3.012009--0.609399))+0-542.3--1.93601100000001</f>
        <v>2376.8841219999999</v>
      </c>
      <c r="S208" s="3">
        <f>2217.8+(964.2-117.9)+(-6.786468+(-2.950452--0.360774))+0-532.2--1.62853200000006</f>
        <v>2524.1523860000002</v>
      </c>
      <c r="T208" s="3">
        <f>2484.6+(893.9-189.4)+(-2.534292+(-0.911778--0.193188))+0-596.9--0.608838000000095</f>
        <v>2589.5559559999997</v>
      </c>
      <c r="U208" s="3">
        <f>2292.4+(968.4-221.9)+(-5.84562+(-2.46942--0.565845))+0-438.2--1.11740999999994</f>
        <v>2594.0682150000002</v>
      </c>
      <c r="V208" s="3">
        <f>2422+(942.1-261.7)+(1.23522+(0.480471-0.133467))+0-610-0.311099999999938</f>
        <v>2493.6711240000004</v>
      </c>
      <c r="W208" s="3">
        <f>3006.3+(564-470.6)+(-3.066426+(-0.57528--0.480012))+0-608.3--0.620466000000097</f>
        <v>2488.8587720000005</v>
      </c>
      <c r="X208" s="3">
        <f>3903.7+(468.8-1122.3)+(-3.981774+(-0.478176--1.144746))+0-560--0.571200000000089</f>
        <v>2687.4559959999997</v>
      </c>
      <c r="Y208" s="3">
        <f>3921.9+(511.2-964.7)+(-8.000676+(-1.042848--1.967988))+0-549.6--1.12118399999998</f>
        <v>2912.8456480000004</v>
      </c>
      <c r="Z208" s="3">
        <f>3639.9+(528.9-1000.4)+(-3.712698+(-0.539478--1.020408))+0-684.8--0.698496000000109</f>
        <v>2481.0667279999998</v>
      </c>
      <c r="AA208" s="3">
        <f>3558.2+(384.7-600.5)+(-9.07341+(-0.980985--1.531275))+0-593--1.51214999999991</f>
        <v>2742.3890299999998</v>
      </c>
      <c r="AB208" s="3">
        <f>3284.9+(489.6-377.1)+(-1.675299+(-0.249696--0.192321))+0-636.9--0.324818999999935</f>
        <v>2759.0921450000001</v>
      </c>
      <c r="AC208" s="3">
        <f>2967.3+(793.5-260.2)+(-9.079938+(-2.42811--0.796212))+0-597.1--1.82712600000007</f>
        <v>2894.6152900000006</v>
      </c>
      <c r="AD208">
        <f t="shared" si="3"/>
        <v>59459.44069399999</v>
      </c>
      <c r="AE208" s="3">
        <f>4024.1+(481.3-1160.3)+(0+(0-0))+0-663.3-0</f>
        <v>2681.8</v>
      </c>
    </row>
    <row r="209" spans="1:31" customFormat="1" x14ac:dyDescent="0.25">
      <c r="A209">
        <v>89</v>
      </c>
      <c r="B209">
        <v>7</v>
      </c>
      <c r="C209">
        <v>23</v>
      </c>
      <c r="D209">
        <v>7</v>
      </c>
      <c r="E209">
        <v>1</v>
      </c>
      <c r="F209" s="3">
        <f>2488.4+(1162.9-210.3)+(-2.538168+(-1.186158--0.214506))+0-612--0.624240000000098</f>
        <v>2826.1144199999999</v>
      </c>
      <c r="G209" s="3">
        <f>2137.6+(1440.1-192.6)+(-3.270528+(-2.203353--0.294678))+0-629.1--0.962523000000036</f>
        <v>2751.78332</v>
      </c>
      <c r="H209" s="3">
        <f>1907.5+(1502.4-181.1)+(0+(0-0))+0-599-0</f>
        <v>2629.8</v>
      </c>
      <c r="I209" s="3">
        <f>1989.2+(1353-177.1)+(-1.014492+(-0.69003--0.090321))+0-643--0.327929999999935</f>
        <v>2520.8137290000004</v>
      </c>
      <c r="J209" s="3">
        <f>2021.7+(1144.1-176.2)+(1.031067+(0.583491-0.089862))+0-540.6-0.275705999999945</f>
        <v>2450.24899</v>
      </c>
      <c r="K209" s="3">
        <f>1984.3+(1218.5-176.6)+(-3.035979+(-1.864305--0.270198))+0-659.4--1.00888200000004</f>
        <v>2363.1787959999997</v>
      </c>
      <c r="L209" s="3">
        <f>1747.2+(1097.8-180.6)+(-2.673216+(-1.679634--0.276318))+0-523.5--0.80095500000003</f>
        <v>2137.6244230000002</v>
      </c>
      <c r="M209" s="3">
        <f>1820.2+(931.5-194.2)+(0+(0-0))+0-545.7-0</f>
        <v>2011.8</v>
      </c>
      <c r="N209" s="3">
        <f>2023.4+(825.6-290.6)+(0+(0-0))+0-533.6-0</f>
        <v>2024.8000000000002</v>
      </c>
      <c r="O209" s="3">
        <f>1824.6+(1027.8-212.8)+(-4.65273+(-2.62089--0.54264))+0-592.3--1.51036499999991</f>
        <v>2042.079385</v>
      </c>
      <c r="P209" s="3">
        <f>1880.9+(1094.7-242.3)+(-3.837036+(-2.233188--0.494292))+0-616--1.25663999999997</f>
        <v>2112.980708</v>
      </c>
      <c r="Q209" s="3">
        <f>1839.2+(1251.6-247.3)+(-1.875984+(-1.276632--0.252246))+0-593.4--0.605268000000095</f>
        <v>2247.8048980000003</v>
      </c>
      <c r="R209" s="3">
        <f>1924.7+(1288.2-239.4)+(-1.963194+(-1.313964--0.244188))+0-565.8--0.57711600000009</f>
        <v>2405.2441459999995</v>
      </c>
      <c r="S209" s="3">
        <f>2154.9+(1317.7-256.2)+(0+(0-0))+0-579.5-0</f>
        <v>2636.9</v>
      </c>
      <c r="T209" s="3">
        <f>2065.6+(1523.2-269)+(-1.053456+(-0.776832--0.13719))+0-601.6--0.306815999999939</f>
        <v>2716.8137179999999</v>
      </c>
      <c r="U209" s="3">
        <f>1984.2+(1483.7-244.7)+(-4.047768+(-3.026748--0.499188))+0-549.2--1.12036799999998</f>
        <v>2668.54504</v>
      </c>
      <c r="V209" s="3">
        <f>1890.5+(1461.5-241.7)+(-1.92831+(-1.49073--0.246534))+0-602.8--0.614856000000096</f>
        <v>2504.9423500000003</v>
      </c>
      <c r="W209" s="3">
        <f>2602.3+(713.9-269.2)+(-5.308692+(-1.456356--0.549168))+0-605.6--1.23542399999997</f>
        <v>2436.4195439999999</v>
      </c>
      <c r="X209" s="3">
        <f>3402.9+(554-652.9)+(-3.470958+(-0.56508--0.665958))+0-572.6--0.584052000000091</f>
        <v>2728.6139720000001</v>
      </c>
      <c r="Y209" s="3">
        <f>3544.2+(550.7-690.6)+(-7.230168+(-1.123428--1.408824))+0-480.1--0.979403999999979</f>
        <v>2918.2346320000001</v>
      </c>
      <c r="Z209" s="3">
        <f>3905.3+(530.3-824)+(0+(0-0))+0-598.2-0</f>
        <v>3013.4000000000005</v>
      </c>
      <c r="AA209" s="3">
        <f>3540.8+(645.6-429.3)+(-5.417424+(-0.987768--0.656829))+0-662.3--1.01331900000004</f>
        <v>3090.0649560000006</v>
      </c>
      <c r="AB209" s="3">
        <f>3133.9+(902.2-297.5)+(0+(0-0))+0-568.2-0</f>
        <v>3170.4000000000005</v>
      </c>
      <c r="AC209" s="3">
        <f>2575.2+(1369.5-249.8)+(-7.880112+(-4.19067--0.764388))+0-605.9--1.85405400000007</f>
        <v>3079.5476599999993</v>
      </c>
      <c r="AD209">
        <f t="shared" si="3"/>
        <v>61488.154686999987</v>
      </c>
      <c r="AE209" s="3">
        <f>3796.1+(550.2-845.4)+(0+(0-0))+0-685.6-0</f>
        <v>2815.3</v>
      </c>
    </row>
    <row r="210" spans="1:31" customFormat="1" x14ac:dyDescent="0.25">
      <c r="A210">
        <v>89</v>
      </c>
      <c r="B210">
        <v>7</v>
      </c>
      <c r="C210">
        <v>24</v>
      </c>
      <c r="D210">
        <v>1</v>
      </c>
      <c r="E210">
        <v>1</v>
      </c>
      <c r="F210" s="3">
        <f>2114.4+(1949.6-242.1)+(-5.39172+(-4.97148--0.617355))+0-641.3--1.63531499999991</f>
        <v>3172.48947</v>
      </c>
      <c r="G210" s="3">
        <f>1937.9+(1966.2-225.7)+(-4.941645+(-5.01381--0.575535))+0-615.5--1.56952499999991</f>
        <v>3055.0896050000001</v>
      </c>
      <c r="H210" s="3">
        <f>2026+(1685.2-213.1)+(-1.03326+(-0.859452--0.108681))+0-571.1--0.291260999999942</f>
        <v>2925.5072300000002</v>
      </c>
      <c r="I210" s="3">
        <f>2331.3+(1322.1-241.4)+(1.188963+(0.674271-0.123114))+0-604.2-0.308141999999939</f>
        <v>2809.2319779999998</v>
      </c>
      <c r="J210" s="3">
        <f>2159.1+(1352.2-206.7)+(-2.202282+(-1.379244--0.210834))+0-594.1--0.605982000000095</f>
        <v>2707.7352900000001</v>
      </c>
      <c r="K210" s="3">
        <f>2053.1+(1235.6-201.7)+(-1.047081+(-0.630156--0.102867))+0-511.5--0.260864999999948</f>
        <v>2574.1864949999999</v>
      </c>
      <c r="L210" s="3">
        <f>2060.9+(1110.4-257.6)+(1.051059+(0.566304-0.131376))+0-622.7-0.317576999999937</f>
        <v>2292.1684100000002</v>
      </c>
      <c r="M210" s="3">
        <f>2142.7+(947.8-355.2)+(2.185554+(0.966756-0.362304))+0-575.7-0.587214000000092</f>
        <v>2161.8027919999995</v>
      </c>
      <c r="N210" s="3">
        <f>2086.2+(968-351.4)+(-1.063962+(-0.49368--0.179214))+0-480.4--0.245003999999951</f>
        <v>2221.2665759999995</v>
      </c>
      <c r="O210" s="3">
        <f>2142.3+(1047.4-309.7)+(0+(0-0))+0-524.8-0</f>
        <v>2355.1999999999998</v>
      </c>
      <c r="P210" s="3">
        <f>2689.8+(874.6-552.9)+(0+(0-0))+0-546.7-0</f>
        <v>2464.8000000000002</v>
      </c>
      <c r="Q210" s="3">
        <f>2882+(881.9-517.9)+(-2.93964+(-0.899538--0.528258))+0-643--0.655860000000102</f>
        <v>2600.3449400000004</v>
      </c>
      <c r="R210" s="3">
        <f>2694.2+(1049.7-347.9)+(-1.374042+(-0.535347--0.177429))+0-593.4--0.30263399999994</f>
        <v>2801.170674</v>
      </c>
      <c r="S210" s="3">
        <f>3090.9+(985.8-494.3)+(1.576359+(0.502758-0.252093))+0-499.2-0.254591999999949</f>
        <v>3084.7724320000007</v>
      </c>
      <c r="T210" s="3">
        <f>2977.9+(1095.2-402.3)+(0+(0-0))+0-487.5-0</f>
        <v>3183.3</v>
      </c>
      <c r="U210" s="3">
        <f>2769.5+(1226.5-362.1)+(-2.82489+(-1.25103--0.369342))+0-528.1--0.538662000000084</f>
        <v>3102.6320840000003</v>
      </c>
      <c r="V210" s="3">
        <f>2370.3+(1349-295.4)+(1.208853+(0.68799-0.150654))+0-583.3-0.297482999999941</f>
        <v>2842.048706</v>
      </c>
      <c r="W210" s="3">
        <f>3039+(761.3-529.7)+(-1.54989+(-0.388263--0.270147))+0-580.8--0.296207999999941</f>
        <v>2688.4282020000001</v>
      </c>
      <c r="X210" s="3">
        <f>4373.2+(360.8-1136.3)+(-11.15166+(-0.92004--2.897565))+0-515.4--1.31426999999993</f>
        <v>3074.4401349999994</v>
      </c>
      <c r="Y210" s="3">
        <f>4279.8+(380-865.6)+(2.182698+(0.1938-0.441456))+0-613.4-0.312833999999938</f>
        <v>3182.4222080000004</v>
      </c>
      <c r="Z210" s="3">
        <f>3849+(609.6-540.5)+(0+(0-0))+0-566.3-0</f>
        <v>3351.8</v>
      </c>
      <c r="AA210" s="3">
        <f>3092.3+(1150.2-335.1)+(0+(0-0))+0-524.9-0</f>
        <v>3382.5</v>
      </c>
      <c r="AB210" s="3">
        <f>2774.7+(1553.3-254.1)+(-5.660388+(-3.168732--0.518364))+0-622.2--1.26928799999997</f>
        <v>3444.6585319999999</v>
      </c>
      <c r="AC210" s="3">
        <f>2559+(1733.1-236.7)+(-6.52545+(-4.419405--0.603585))+0-559.7--1.42723499999992</f>
        <v>3486.785965</v>
      </c>
      <c r="AD210">
        <f t="shared" si="3"/>
        <v>68964.781724</v>
      </c>
      <c r="AE210" s="3">
        <f>4426+(353.9-1117.7)+(0+(0-0))+0-515.2-0</f>
        <v>3147</v>
      </c>
    </row>
    <row r="211" spans="1:31" customFormat="1" x14ac:dyDescent="0.25">
      <c r="A211">
        <v>89</v>
      </c>
      <c r="B211">
        <v>7</v>
      </c>
      <c r="C211">
        <v>25</v>
      </c>
      <c r="D211">
        <v>2</v>
      </c>
      <c r="E211">
        <v>1</v>
      </c>
      <c r="F211" s="3">
        <f>2319.3+(1825.8-235.9)+(-3.548529+(-2.793474--0.360927))+0-511.8--0.78305400000003</f>
        <v>3392.2019779999996</v>
      </c>
      <c r="G211" s="3">
        <f>2386.6+(1776.6-241.9)+(-3.651498+(-2.718198--0.370107))+0-611.5--0.935595000000035</f>
        <v>3304.7360059999996</v>
      </c>
      <c r="H211" s="3">
        <f>2165.2+(1748.2-223.7)+(-3.312756+(-2.674746--0.342261))+0-509.2--0.779076000000029</f>
        <v>3175.6338349999996</v>
      </c>
      <c r="I211" s="3">
        <f>2133+(1701-215.2)+(-1.08783+(-0.86751--0.109752))+0-582.5--0.297074999999941</f>
        <v>3034.751487</v>
      </c>
      <c r="J211" s="3">
        <f>2154.3+(1551.1-210.5)+(1.098693+(0.791061-0.107355))+0-579.5-0.295544999999941</f>
        <v>2916.8868540000003</v>
      </c>
      <c r="K211" s="3">
        <f>2089.2+(1342.6-214.1)+(-1.065492+(-0.684726--0.109191))+0-446.4--0.227663999999955</f>
        <v>2769.8866369999996</v>
      </c>
      <c r="L211" s="3">
        <f>2208.7+(1016.7-223.2)+(-1.126437+(-0.518517--0.113832))+0-535.2--0.272951999999946</f>
        <v>2465.7418299999995</v>
      </c>
      <c r="M211" s="3">
        <f>2255.4+(1015.4-316.9)+(1.150254+(0.517854-0.161619))+0-640.8-0.326807999999935</f>
        <v>2314.279681</v>
      </c>
      <c r="N211" s="3">
        <f>2099.3+(1064.6-340.6)+(3.211929+(1.628838-0.521118))+0-435.3-0.666009000000025</f>
        <v>2391.65364</v>
      </c>
      <c r="O211" s="3">
        <f>2015.7+(1168.2-286.6)+(0+(0-0))+0-546.1-0</f>
        <v>2351.2000000000003</v>
      </c>
      <c r="P211" s="3">
        <f>2340+(1123.8-311.7)+(-1.1934+(-0.573138--0.158967))+0-525.3--0.267902999999947</f>
        <v>2625.4603319999997</v>
      </c>
      <c r="Q211" s="3">
        <f>2438.6+(1146.3-282.3)+(-1.243686+(-0.584613--0.143973))+0-494.3--0.25209299999995</f>
        <v>2806.8677669999997</v>
      </c>
      <c r="R211" s="3">
        <f>2731.1+(1182.3-266.9)+(0+(0-0))+0-579-0</f>
        <v>3067.5</v>
      </c>
      <c r="S211" s="3">
        <f>2947.1+(1159.3-282.5)+(-1.503021+(-0.591243--0.144075))+0-468.8--0.239087999999952</f>
        <v>3353.3888989999991</v>
      </c>
      <c r="T211" s="3">
        <f>3191+(1110.1-272)+(0+(0-0))+0-631.8-0</f>
        <v>3397.3</v>
      </c>
      <c r="U211" s="3">
        <f>2856.9+(1297.4-265.8)+(-4.371057+(-1.985022--0.406674))+0-435.5--0.666315000000025</f>
        <v>3447.7169100000001</v>
      </c>
      <c r="V211" s="3">
        <f>2495+(1242.3-232.7)+(-2.5449+(-1.267146--0.237354))+0-506.8--0.516936000000081</f>
        <v>2994.7422439999996</v>
      </c>
      <c r="W211" s="3">
        <f>3067.5+(671.1-414.1)+(-1.564425+(-0.342261--0.211191))+0-632.2--0.322421999999936</f>
        <v>2690.926927</v>
      </c>
      <c r="X211" s="3">
        <f>4070.8+(322.3-698)+(-6.228324+(-0.493119--1.06794))+0-505.3--0.773109000000029</f>
        <v>3184.9196060000004</v>
      </c>
      <c r="Y211" s="3">
        <f>3950.4+(520-489)+(-8.058816+(-1.0608--0.99756))+0-666.9--1.36047599999997</f>
        <v>3307.7384199999997</v>
      </c>
      <c r="Z211" s="3">
        <f>3829.2+(522.5-452.6)+(-5.858676+(-0.799425--0.692478))+0-518.4--0.79315200000003</f>
        <v>3375.527529</v>
      </c>
      <c r="AA211" s="3">
        <f>3465.2+(916.4-328.4)+(-1.767252+(-0.467364--0.167484))+0-514.2--0.262241999999948</f>
        <v>3537.1951099999997</v>
      </c>
      <c r="AB211" s="3">
        <f>2963.4+(1425.8-244.7)+(-4.534002+(-2.181474--0.374391))+0-596.1--0.912033000000035</f>
        <v>3542.9709480000001</v>
      </c>
      <c r="AC211" s="3">
        <f>2905.4+(1483.3-244.2)+(-1.481754+(-0.756483--0.124542))+0-581--0.296309999999941</f>
        <v>3561.6826149999997</v>
      </c>
      <c r="AD211">
        <f t="shared" si="3"/>
        <v>73010.909255000006</v>
      </c>
      <c r="AE211" s="3">
        <f>4288+(408.1-671.8)+(0+(0-0))+0-592.5-0</f>
        <v>3431.8</v>
      </c>
    </row>
    <row r="212" spans="1:31" customFormat="1" x14ac:dyDescent="0.25">
      <c r="A212">
        <v>89</v>
      </c>
      <c r="B212">
        <v>7</v>
      </c>
      <c r="C212">
        <v>26</v>
      </c>
      <c r="D212">
        <v>3</v>
      </c>
      <c r="E212">
        <v>1</v>
      </c>
      <c r="F212" s="3">
        <f>2425.4+(1770.5-230.7)+(-4.947816+(-3.61182--0.470628))+0-565.8--1.15423199999998</f>
        <v>3392.4652239999996</v>
      </c>
      <c r="G212" s="3">
        <f>2280.7+(1761.3-231.6)+(1.163157+(0.898263-0.118116))+0-544-0.277439999999945</f>
        <v>3268.0658639999997</v>
      </c>
      <c r="H212" s="3">
        <f>2155.2+(1796.2-233)+(-2.198304+(-1.832124--0.23766))+0-585.3--0.597006000000093</f>
        <v>3129.9042380000001</v>
      </c>
      <c r="I212" s="3">
        <f>2131.8+(1579.5-223.9)+(-4.348872+(-3.22218--0.456756))+0-493.5--1.00673999999998</f>
        <v>2987.7924439999997</v>
      </c>
      <c r="J212" s="3">
        <f>2238.6+(1376.4-212)+(3.425058+(2.105892-0.32436))+0-486-0.743580000000028</f>
        <v>2921.4630099999999</v>
      </c>
      <c r="K212" s="3">
        <f>2330.1+(1295.3-207.6)+(-3.565053+(-1.981809--0.317628))+0-619.9--0.948447000000036</f>
        <v>2793.6192130000004</v>
      </c>
      <c r="L212" s="3">
        <f>2063+(1127.2-277.7)+(2.10426+(1.149744-0.283254))+0-489.6-0.499392000000078</f>
        <v>2425.3713579999999</v>
      </c>
      <c r="M212" s="3">
        <f>2386.2+(855.3-295.3)+(1.216962+(0.436203-0.150603))+0-629.1-0.320840999999936</f>
        <v>2318.2817210000003</v>
      </c>
      <c r="N212" s="3">
        <f>2470.1+(784-422.3)+(2.519502+(0.79968-0.430746))+0-467.3-0.476646000000075</f>
        <v>2366.9117899999997</v>
      </c>
      <c r="O212" s="3">
        <f>2567.9+(830.6-375.7)+(0+(0-0))+0-521.9-0</f>
        <v>2500.9</v>
      </c>
      <c r="P212" s="3">
        <f>2566.2+(843.7-298.5)+(0+(0-0))+0-509.2-0</f>
        <v>2602.1999999999998</v>
      </c>
      <c r="Q212" s="3">
        <f>2774.9+(759.5-305.6)+(0+(0-0))+0-401.7-0</f>
        <v>2827.1000000000004</v>
      </c>
      <c r="R212" s="3">
        <f>2914.2+(865.8-244.9)+(2.972484+(0.883116-0.249798))+0-565-0.57630000000009</f>
        <v>2973.1295019999998</v>
      </c>
      <c r="S212" s="3">
        <f>3417+(829.3-319.8)+(1.74267+(0.422943-0.163098))+0-635.8-0.324257999999935</f>
        <v>3292.3782569999998</v>
      </c>
      <c r="T212" s="3">
        <f>3225.8+(979.6-276.5)+(-4.935474+(-1.498788--0.423045))+0-546.4--0.835992000000031</f>
        <v>3377.3247749999996</v>
      </c>
      <c r="U212" s="3">
        <f>3112.9+(1042.3-303.8)+(-1.587579+(-0.531573--0.154938))+0-631.4--0.322013999999936</f>
        <v>3218.3577999999998</v>
      </c>
      <c r="V212" s="3">
        <f>2745.7+(1051.3-283.7)+(-2.800614+(-1.072326--0.289374))+0-484.5--0.494190000000077</f>
        <v>3025.7106239999998</v>
      </c>
      <c r="W212" s="3">
        <f>3301.8+(581.7-531.5)+(1.683918+(0.296667-0.271065))+0-508.1-0.259130999999948</f>
        <v>2845.3503890000002</v>
      </c>
      <c r="X212" s="3">
        <f>4454.2+(329-1014)+(-6.814926+(-0.50337--1.55142))+0-537.4--0.822222000000031</f>
        <v>3226.8553459999998</v>
      </c>
      <c r="Y212" s="3">
        <f>4070.3+(462.7-706.8)+(0+(0-0))+0-431.4-0</f>
        <v>3394.8</v>
      </c>
      <c r="Z212" s="3">
        <f>3665.2+(770.2-474.6)+(0+(0-0))+0-545.2-0</f>
        <v>3415.5999999999995</v>
      </c>
      <c r="AA212" s="3">
        <f>2993.2+(1215.4-277.3)+(-7.63266+(-3.09927--0.707115))+0-534--1.36169999999992</f>
        <v>3388.6368849999999</v>
      </c>
      <c r="AB212" s="3">
        <f>2648.4+(1614-237.4)+(-2.701368+(-1.64628--0.242148))+0-557--0.568140000000089</f>
        <v>3464.4626400000002</v>
      </c>
      <c r="AC212" s="3">
        <f>2398+(1778.2-225.4)+(-7.33788+(-5.441292--0.689724))+0-517.2--1.58263200000006</f>
        <v>3423.0931839999998</v>
      </c>
      <c r="AD212">
        <f t="shared" si="3"/>
        <v>72579.774263999992</v>
      </c>
      <c r="AE212" s="3">
        <f>4829+(344.1-1248.6)+(0+(0-0))+0-610.4-0</f>
        <v>3314.1</v>
      </c>
    </row>
    <row r="213" spans="1:31" customFormat="1" x14ac:dyDescent="0.25">
      <c r="A213">
        <v>89</v>
      </c>
      <c r="B213">
        <v>7</v>
      </c>
      <c r="C213">
        <v>27</v>
      </c>
      <c r="D213">
        <v>4</v>
      </c>
      <c r="E213">
        <v>1</v>
      </c>
      <c r="F213" s="3">
        <f>2305.1+(1797.5-217.7)+(-2.351202+(-1.83345--0.222054))+0-543.5--0.554370000000087</f>
        <v>3337.9917719999999</v>
      </c>
      <c r="G213" s="3">
        <f>2460.1+(1573.8-225.1)+(-1.254651+(-0.802638--0.114801))+0-569.6--0.290495999999942</f>
        <v>3237.5480080000002</v>
      </c>
      <c r="H213" s="3">
        <f>2270+(1644.6-242.2)+(-3.4731+(-2.516238--0.370566))+0-568.6--0.869958000000033</f>
        <v>3099.0511860000001</v>
      </c>
      <c r="I213" s="3">
        <f>2148+(1620.2-252.9)+(-1.09548+(-0.826302--0.128979))+0-596.5--0.30421499999994</f>
        <v>2917.3114120000005</v>
      </c>
      <c r="J213" s="3">
        <f>2174.7+(1508.1-240.4)+(2.218194+(1.538262-0.245208))+0-603.3-0.615366000000096</f>
        <v>2841.9958819999993</v>
      </c>
      <c r="K213" s="3">
        <f>2249.1+(1325.2-246)+(2.294082+(1.351704-0.25092))+0-523.4-0.533868000000083</f>
        <v>2807.7609980000002</v>
      </c>
      <c r="L213" s="3">
        <f>2066.4+(1146.2-236.7)+(0+(0-0))+0-525.2-0</f>
        <v>2450.6999999999998</v>
      </c>
      <c r="M213" s="3">
        <f>2237.7+(725-346.3)+(2.282454+(0.7395-0.353226))+0-519.3-0.529686000000083</f>
        <v>2099.2390420000002</v>
      </c>
      <c r="N213" s="3">
        <f>2388.4+(744.6-448.8)+(1.218084+(0.379746-0.228888))+0-400.7-0.204356999999959</f>
        <v>2284.6645850000004</v>
      </c>
      <c r="O213" s="3">
        <f>2481.6+(792.3-398.2)+(5.062464+(1.616292-0.812328))+0-490.8-1.00123199999998</f>
        <v>2389.7651959999994</v>
      </c>
      <c r="P213" s="3">
        <f>2479.9+(834.4-408.5)+(-1.264749+(-0.425544--0.208335))+0-381.5--0.194564999999961</f>
        <v>2523.0126070000001</v>
      </c>
      <c r="Q213" s="3">
        <f>2628.9+(929.3-389.8)+(1.340739+(0.473943-0.198798))+0-557.4-0.284273999999943</f>
        <v>2612.3316099999997</v>
      </c>
      <c r="R213" s="3">
        <f>2569.5+(1043.8-289.4)+(-6.552225+(-2.66169--0.73797))+0-467.2--1.19135999999993</f>
        <v>2849.4154149999999</v>
      </c>
      <c r="S213" s="3">
        <f>2993.1+(945.2-346.9)+(0+(0-0))+0-425.4-0</f>
        <v>3166</v>
      </c>
      <c r="T213" s="3">
        <f>3216.3+(1013.8-332.5)+(-1.640313+(-0.517038--0.169575))+0-619.6--0.315995999999937</f>
        <v>3276.3282200000003</v>
      </c>
      <c r="U213" s="3">
        <f>2949.2+(1052-289.2)+(-4.512276+(-1.60956--0.442476))+0-569.3--0.871029000000033</f>
        <v>3137.8916689999996</v>
      </c>
      <c r="V213" s="3">
        <f>2364.4+(1233.5-269.9)+(0+(0-0))+0-329.2-0</f>
        <v>2998.8</v>
      </c>
      <c r="W213" s="3">
        <f>3017.9+(666.9-503.5)+(3.078258+(0.680238-0.51357))+0-464.7-0.473994000000074</f>
        <v>2719.3709320000003</v>
      </c>
      <c r="X213" s="3">
        <f>4044.1+(404.1-798.1)+(0+(0-0))+0-567.3-0</f>
        <v>3082.8</v>
      </c>
      <c r="Y213" s="3">
        <f>3880.9+(572.7-696.6)+(-1.979259+(-0.292077--0.355266))+0-531.1--0.270860999999946</f>
        <v>3224.2547909999998</v>
      </c>
      <c r="Z213" s="3">
        <f>3234.9+(1031.7-461.6)+(-3.299598+(-1.052334--0.470832))+0-545.4--0.556308000000087</f>
        <v>3256.275208</v>
      </c>
      <c r="AA213" s="3">
        <f>2734.1+(1424.3-312.6)+(-2.788782+(-1.452786--0.318852))+0-548.7--0.559674000000087</f>
        <v>3293.7369579999995</v>
      </c>
      <c r="AB213" s="3">
        <f>2361.7+(1766.3-248.2)+(-4.817868+(-3.603252--0.506328))+0-551.6--1.12526399999998</f>
        <v>3321.4104719999996</v>
      </c>
      <c r="AC213" s="3">
        <f>2190+(1934.3-245.8)+(-3.3507+(-2.959479--0.376074))+0-574.8--0.879444000000033</f>
        <v>3298.6453390000006</v>
      </c>
      <c r="AD213">
        <f t="shared" si="3"/>
        <v>70226.301302000007</v>
      </c>
      <c r="AE213" s="3">
        <f>4223+(420.6-811.5)+(0+(0-0))+0-556.7-0</f>
        <v>3275.3999999999996</v>
      </c>
    </row>
    <row r="214" spans="1:31" customFormat="1" x14ac:dyDescent="0.25">
      <c r="A214">
        <v>89</v>
      </c>
      <c r="B214">
        <v>7</v>
      </c>
      <c r="C214">
        <v>28</v>
      </c>
      <c r="D214">
        <v>5</v>
      </c>
      <c r="E214">
        <v>1</v>
      </c>
      <c r="F214" s="3">
        <f>2152.9+(1802.1-249.5)+(-6.587874+(-5.514426--0.76347))+0-607.4--1.85864400000007</f>
        <v>3088.6198139999997</v>
      </c>
      <c r="G214" s="3">
        <f>2309.7+(1506.7-263.4)+(-2.355894+(-1.536834--0.268668))+0-483.2--0.492864000000077</f>
        <v>3066.6688040000004</v>
      </c>
      <c r="H214" s="3">
        <f>2242.3+(1485.1-297.6)+(-3.430719+(-2.272203--0.455328))+0-528.4--0.80845200000003</f>
        <v>2896.9608580000004</v>
      </c>
      <c r="I214" s="3">
        <f>2430.9+(1302.8-269)+(-2.479518+(-1.328856--0.27438))+0-575--0.586500000000092</f>
        <v>2886.7525059999998</v>
      </c>
      <c r="J214" s="3">
        <f>2409.6+(1221-264.1)+(1.228896+(0.62271-0.134691))+0-601.1-0.306560999999939</f>
        <v>2766.8103540000002</v>
      </c>
      <c r="K214" s="3">
        <f>2202.6+(1287.4-259.9)+(-1.123326+(-0.656574--0.132549))+0-721.8--0.368117999999927</f>
        <v>2507.0207669999995</v>
      </c>
      <c r="L214" s="3">
        <f>2321.8+(830.3-327.5)+(-5.92059+(-2.117265--0.835125))+0-492.4--1.25561999999993</f>
        <v>2326.2528900000002</v>
      </c>
      <c r="M214" s="3">
        <f>2437.5+(781.8-395.9)+(2.48625+(0.797436-0.403818))+0-491.2-0.501024000000078</f>
        <v>2334.5788440000001</v>
      </c>
      <c r="N214" s="3">
        <f>2351.5+(794.1-401.9)+(1.199265+(0.404991-0.204969))+0-526-0.268259999999947</f>
        <v>2218.8310270000002</v>
      </c>
      <c r="O214" s="3">
        <f>2481.5+(753.4-419.4)+(0+(0-0))+0-506.7-0</f>
        <v>2308.8000000000002</v>
      </c>
      <c r="P214" s="3">
        <f>2673.3+(728.6-456.9)+(4.090149+(1.114758-0.699057))+0-514.2-0.78672600000003</f>
        <v>2434.5191239999999</v>
      </c>
      <c r="Q214" s="3">
        <f>2813.7+(763.9-448)+(-1.434987+(-0.389589--0.22848))+0-510.6--0.260405999999948</f>
        <v>2617.6643099999997</v>
      </c>
      <c r="R214" s="3">
        <f>2724.7+(961.9-354.7)+(-4.168791+(-1.471707--0.542691))+0-500.5--0.765765000000029</f>
        <v>2827.0679579999996</v>
      </c>
      <c r="S214" s="3">
        <f>3083.4+(943.2-358.2)+(0+(0-0))+0-548.8-0</f>
        <v>3119.6000000000004</v>
      </c>
      <c r="T214" s="3">
        <f>3196.7+(929.3-384.6)+(-1.630317+(-0.473943--0.196146))+0-519.3--0.264842999999947</f>
        <v>3220.4567289999995</v>
      </c>
      <c r="U214" s="3">
        <f>2745.3+(1205.9-307.3)+(-2.800206+(-1.230018--0.313446))+0-487.7--0.497454000000078</f>
        <v>3152.980676000001</v>
      </c>
      <c r="V214" s="3">
        <f>2512.4+(1254.1-308.7)+(-1.281324+(-0.639591--0.157437))+0-505.3--0.257702999999949</f>
        <v>2950.9942249999999</v>
      </c>
      <c r="W214" s="3">
        <f>3249.2+(592-723.6)+(-4.971276+(-0.90576--1.107108))+0-529.3--0.809829000000031</f>
        <v>2584.3399009999994</v>
      </c>
      <c r="X214" s="3">
        <f>4251.8+(319.2-985.7)+(-2.168418+(-0.162792--0.502707))+0-478.6--0.244085999999951</f>
        <v>3105.1155830000002</v>
      </c>
      <c r="Y214" s="3">
        <f>4074+(425.4-688.8)+(-4.15548+(-0.433908--0.702576))+0-656.5--0.669630000000105</f>
        <v>3150.882818</v>
      </c>
      <c r="Z214" s="3">
        <f>3892.9+(600.6-605.7)+(-5.956137+(-0.918918--0.926721))+0-606.4--0.927792000000035</f>
        <v>3276.3794579999999</v>
      </c>
      <c r="AA214" s="3">
        <f>3342.3+(945.9-359.9)+(-1.704573+(-0.482409--0.183549))+0-644.2--0.328541999999935</f>
        <v>3282.4251090000002</v>
      </c>
      <c r="AB214" s="3">
        <f>2865.1+(1390.3-269.5)+(-11.689608+(-5.672424--1.09956))+0-652.8--2.66342399999994</f>
        <v>3319.5009519999999</v>
      </c>
      <c r="AC214" s="3">
        <f>2688.3+(1462.6-244.6)+(-4.113099+(-2.237778--0.374238))+0-502.7--0.769131000000029</f>
        <v>3398.3924920000004</v>
      </c>
      <c r="AD214">
        <f t="shared" si="3"/>
        <v>68841.615199000007</v>
      </c>
      <c r="AE214" s="3">
        <f>4464+(307.5-1148.5)+(0+(0-0))+0-612.2-0</f>
        <v>3010.8</v>
      </c>
    </row>
    <row r="215" spans="1:31" customFormat="1" x14ac:dyDescent="0.25">
      <c r="A215">
        <v>89</v>
      </c>
      <c r="B215">
        <v>7</v>
      </c>
      <c r="C215">
        <v>29</v>
      </c>
      <c r="D215">
        <v>6</v>
      </c>
      <c r="E215">
        <v>1</v>
      </c>
      <c r="F215" s="3">
        <f>2553+(1636.7-238.5)+(-5.20812+(-3.338868--0.48654))+0-649.5--1.32497999999997</f>
        <v>3294.9645319999995</v>
      </c>
      <c r="G215" s="3">
        <f>2408+(1638.5-239.7)+(-3.68424+(-2.506905--0.366741))+0-647.3--0.990369000000037</f>
        <v>3154.6659650000001</v>
      </c>
      <c r="H215" s="3">
        <f>2417.3+(1473.3-229.7)+(-2.465646+(-1.502766--0.234294))+0-604.1--0.616182000000096</f>
        <v>3053.6820640000005</v>
      </c>
      <c r="I215" s="3">
        <f>2438.5+(1314.7-217.3)+(0+(0-0))+0-604.2-0</f>
        <v>2931.7</v>
      </c>
      <c r="J215" s="3">
        <f>2315.7+(1305.1-204.7)+(0+(0-0))+0-675.5-0</f>
        <v>2740.5999999999995</v>
      </c>
      <c r="K215" s="3">
        <f>2194.4+(1105.8-216.9)+(-4.476576+(-2.255832--0.442476))+0-456.5--0.93125999999998</f>
        <v>2621.4413279999999</v>
      </c>
      <c r="L215" s="3">
        <f>2248.1+(975.3-328.4)+(-1.146531+(-0.497403--0.167484))+0-647.9--0.330428999999934</f>
        <v>2245.9539789999999</v>
      </c>
      <c r="M215" s="3">
        <f>2574.5+(703.1-526.9)+(-1.312995+(-0.358581--0.268719))+0-604.1--0.308090999999939</f>
        <v>2145.5052339999997</v>
      </c>
      <c r="N215" s="3">
        <f>2607.9+(779.5-637.7)+(-2.660058+(-0.79509--0.650454))+0-475.8--0.485316000000076</f>
        <v>2271.5806219999999</v>
      </c>
      <c r="O215" s="3">
        <f>2621.2+(793.3-584.6)+(1.336812+(0.404583-0.298146))+0-555.8-0.283457999999944</f>
        <v>2275.2597909999995</v>
      </c>
      <c r="P215" s="3">
        <f>2773.1+(625.5-463.1)+(1.414281+(0.319005-0.236181))+0-545.9-0.278408999999945</f>
        <v>2390.8186959999998</v>
      </c>
      <c r="Q215" s="3">
        <f>3148.6+(498.8-426.7)+(-1.605786+(-0.254388--0.217617))+0-699.5--0.356744999999929</f>
        <v>2519.9141879999997</v>
      </c>
      <c r="R215" s="3">
        <f>3052.8+(668.1-314.5)+(-7.78464+(-1.703655--0.801975))+0-595.1--1.51750499999991</f>
        <v>2804.1311850000002</v>
      </c>
      <c r="S215" s="3">
        <f>3084.7+(894.2-293.8)+(0+(0-0))+0-586.7-0</f>
        <v>3098.3999999999996</v>
      </c>
      <c r="T215" s="3">
        <f>3134.2+(994.2-295.1)+(1.598442+(0.507042-0.150501))+0-667.8-0.340577999999932</f>
        <v>3167.1144049999998</v>
      </c>
      <c r="U215" s="3">
        <f>2615.3+(1297.3-237.3)+(-6.669015+(-3.308115--0.605115))+0-588.4--1.50041999999991</f>
        <v>3079.028405</v>
      </c>
      <c r="V215" s="3">
        <f>2559.7+(1104.9-265.3)+(-5.221788+(-2.253996--0.541212))+0-570.9--1.16463599999998</f>
        <v>2822.6300639999999</v>
      </c>
      <c r="W215" s="3">
        <f>3283.3+(568.1-605.5)+(1.674483+(0.289731-0.308805))+0-568.8-0.290087999999942</f>
        <v>2678.4653210000006</v>
      </c>
      <c r="X215" s="3">
        <f>4404.5+(388.6-1174.7)+(4.49259+(0.396372-1.198194))+0-655.2-0.668304000000104</f>
        <v>2966.2224639999999</v>
      </c>
      <c r="Y215" s="3">
        <f>4202.7+(379.1-912)+(-10.716885+(-0.966705--2.3256))+0-635.5--1.62052499999991</f>
        <v>3026.5625349999996</v>
      </c>
      <c r="Z215" s="3">
        <f>3547.1+(497.7-488.5)+(-7.236084+(-1.015308--0.99654))+0-468.3--0.95533199999998</f>
        <v>3081.7004799999995</v>
      </c>
      <c r="AA215" s="3">
        <f>3095.5+(993.9-321.8)+(-3.15741+(-1.013778--0.328236))+0-597.8--0.609756000000095</f>
        <v>3166.5668040000005</v>
      </c>
      <c r="AB215" s="3">
        <f>2937+(1178.8-266.8)+(-4.49361+(-1.803564--0.408204))+0-601.6--0.920448000000035</f>
        <v>3242.431478</v>
      </c>
      <c r="AC215" s="3">
        <f>2829.5+(1264.2-237)+(0+(0-0))+0-544.4-0</f>
        <v>3312.2999999999997</v>
      </c>
      <c r="AD215">
        <f t="shared" si="3"/>
        <v>68091.639539999989</v>
      </c>
      <c r="AE215" s="3">
        <f>4484+(390-1171.5)+(0+(0-0))+0-771.8-0</f>
        <v>2930.7</v>
      </c>
    </row>
    <row r="216" spans="1:31" customFormat="1" x14ac:dyDescent="0.25">
      <c r="A216">
        <v>89</v>
      </c>
      <c r="B216">
        <v>7</v>
      </c>
      <c r="C216">
        <v>30</v>
      </c>
      <c r="D216">
        <v>7</v>
      </c>
      <c r="E216">
        <v>1</v>
      </c>
      <c r="F216" s="3">
        <f>2640+(1433.7-220.7)+(1.3464+(0.731187-0.112557))+0-542.8-0.276827999999945</f>
        <v>3311.8882020000001</v>
      </c>
      <c r="G216" s="3">
        <f>2602+(1491.5-212.1)+(-5.30808+(-3.04266--0.432684))+0-712.3--1.45309199999997</f>
        <v>3162.6350360000001</v>
      </c>
      <c r="H216" s="3">
        <f>2701.7+(1134.1-200.5)+(-6.889335+(-2.891955--0.511275))+0-585.3--1.49251499999991</f>
        <v>3042.2224999999999</v>
      </c>
      <c r="I216" s="3">
        <f>2660.2+(1054.5-219.5)+(-4.070106+(-1.613385--0.335835))+0-510.8--0.78152400000003</f>
        <v>2979.8338679999997</v>
      </c>
      <c r="J216" s="3">
        <f>2689+(1062.9-206.3)+(0+(0-0))+0-684.9-0</f>
        <v>2860.7000000000003</v>
      </c>
      <c r="K216" s="3">
        <f>2452.9+(963.6-209.2)+(0+(0-0))+0-523.3-0</f>
        <v>2684</v>
      </c>
      <c r="L216" s="3">
        <f>2281.8+(880.1-193.6)+(-3.491154+(-1.346553--0.296208))+0-518.4--0.79315200000003</f>
        <v>2446.1516530000004</v>
      </c>
      <c r="M216" s="3">
        <f>2293.2+(752.1-213.5)+(1.169532+(0.383571-0.108885))+0-600-0.305999999999939</f>
        <v>2232.9382179999998</v>
      </c>
      <c r="N216" s="3">
        <f>2281.3+(749.9-279.7)+(0+(0-0))+0-549.3-0</f>
        <v>2202.1999999999998</v>
      </c>
      <c r="O216" s="3">
        <f>2379.4+(703.5-300.4)+(0+(0-0))+0-598.5-0</f>
        <v>2184</v>
      </c>
      <c r="P216" s="3">
        <f>2332.7+(834.1-259.9)+(-3.569031+(-1.276173--0.397647))+0-645--0.986850000000037</f>
        <v>2258.4392929999999</v>
      </c>
      <c r="Q216" s="3">
        <f>2258.3+(965.8-266.3)+(0+(0-0))+0-567.3-0</f>
        <v>2390.5</v>
      </c>
      <c r="R216" s="3">
        <f>2374.8+(1084.1-264)+(-1.211148+(-0.552891--0.13464))+0-475.9--0.242708999999952</f>
        <v>2717.6133100000002</v>
      </c>
      <c r="S216" s="3">
        <f>2392.1+(1391-239.1)+(-4.879884+(-2.83764--0.487764))+0-590.9--1.20543599999997</f>
        <v>2947.0756759999999</v>
      </c>
      <c r="T216" s="3">
        <f>2438.1+(1515.9-236)+(-3.730293+(-2.319327--0.36108))+0-663.8--1.01561400000004</f>
        <v>3049.5270739999996</v>
      </c>
      <c r="U216" s="3">
        <f>2394.2+(1482.8-249.4)+(-6.10521+(-3.78114--0.63597))+0-566.4--1.44431999999992</f>
        <v>3053.3939399999995</v>
      </c>
      <c r="V216" s="3">
        <f>2434.7+(1151.2-238.9)+(-2.483394+(-1.174224--0.243678))+0-553.7--0.564774000000088</f>
        <v>2790.4508339999998</v>
      </c>
      <c r="W216" s="3">
        <f>3016.2+(621.5-449.7)+(3.076524+(0.63393-0.458694))+0-548.5-0.559470000000088</f>
        <v>2642.19229</v>
      </c>
      <c r="X216" s="3">
        <f>4194.1+(456.1-1175.8)+(6.416973+(0.697833-1.798974))+0-549.2-0.840276000000032</f>
        <v>2929.6755560000001</v>
      </c>
      <c r="Y216" s="3">
        <f>4008.9+(457.3-856.4)+(2.044539+(0.233223-0.436764))+0-520.8-0.265607999999947</f>
        <v>3090.5753900000004</v>
      </c>
      <c r="Z216" s="3">
        <f>3874.9+(490-581)+(1.976199+(0.2499-0.29631))+0-669.9-0.341648999999932</f>
        <v>3115.5881399999998</v>
      </c>
      <c r="AA216" s="3">
        <f>3417.6+(604.1-347)+(-3.485952+(-0.616182--0.35394))+0-602.5--0.614550000000096</f>
        <v>3069.0663560000003</v>
      </c>
      <c r="AB216" s="3">
        <f>3121.3+(1076.9-279.6)+(-4.775589+(-1.647657--0.427788))+0-612.7--0.937431000000035</f>
        <v>3300.8419730000001</v>
      </c>
      <c r="AC216" s="3">
        <f>2684.4+(1502.7-248.7)+(-2.738088+(-1.532754--0.253674))+0-509.5--0.519690000000081</f>
        <v>3425.4025220000003</v>
      </c>
      <c r="AD216">
        <f t="shared" si="3"/>
        <v>67886.911831000005</v>
      </c>
      <c r="AE216" s="3">
        <f>4253+(431.7-1161.5)+(0+(0-0))+0-473.6-0</f>
        <v>3049.6</v>
      </c>
    </row>
    <row r="217" spans="1:31" customFormat="1" x14ac:dyDescent="0.25">
      <c r="A217">
        <v>89</v>
      </c>
      <c r="B217">
        <v>8</v>
      </c>
      <c r="C217">
        <v>1</v>
      </c>
      <c r="D217">
        <v>1</v>
      </c>
      <c r="E217">
        <v>1</v>
      </c>
      <c r="F217" s="3">
        <f>2312.2+(1851.7-239.7)+(-2.358444+(-1.888734--0.244494))+0-619.7--0.632094000000099</f>
        <v>3301.12941</v>
      </c>
      <c r="G217" s="3">
        <f>2195.5+(1832.9-223.8)+(-3.359115+(-2.804337--0.342414))+0-637.9--0.975987000000037</f>
        <v>3161.8549490000005</v>
      </c>
      <c r="H217" s="3">
        <f>2032.2+(1722.5-211.3)+(-3.109266+(-2.635425--0.323289))+0-461.1--0.705483000000027</f>
        <v>3077.5840810000004</v>
      </c>
      <c r="I217" s="3">
        <f>1965.5+(1791.8-203.5)+(-3.007215+(-2.741454--0.311355))+0-677--1.03581000000004</f>
        <v>2872.3984960000003</v>
      </c>
      <c r="J217" s="3">
        <f>1900.7+(1621.6-196.2)+(-3.877428+(-3.308064--0.400248))+0-546.4--1.11465599999998</f>
        <v>2774.0294119999999</v>
      </c>
      <c r="K217" s="3">
        <f>2002.7+(1477.5-194)+(0+(0-0))+0-613.1-0</f>
        <v>2673.1</v>
      </c>
      <c r="L217" s="3">
        <f>2025.1+(1118.6-192.8)+(-1.032801+(-0.570486--0.098328))+0-598.3--0.305132999999939</f>
        <v>2351.4001739999994</v>
      </c>
      <c r="M217" s="3">
        <f>2148.5+(849.7-258.8)+(3.287205+(1.300041-0.395964))+0-573.5-0.877455000000033</f>
        <v>2169.213827</v>
      </c>
      <c r="N217" s="3">
        <f>2234.4+(798.9-352)+(0+(0-0))+0-447-0</f>
        <v>2234.3000000000002</v>
      </c>
      <c r="O217" s="3">
        <f>2167.3+(906.7-336.6)+(-1.105323+(-0.462417--0.171666))+0-544.6--0.277745999999945</f>
        <v>2191.6816719999997</v>
      </c>
      <c r="P217" s="3">
        <f>2253.9+(986.9-312.3)+(3.448467+(1.509957-0.477819))+0-468.5-0.716805000000027</f>
        <v>2463.7638000000002</v>
      </c>
      <c r="Q217" s="3">
        <f>2539.2+(896.7-407.3)+(0+(0-0))+0-475.1-0</f>
        <v>2553.5</v>
      </c>
      <c r="R217" s="3">
        <f>2513.4+(1077.2-292)+(-3.845502+(-1.648116--0.44676))+0-524.4--0.80233200000003</f>
        <v>2769.9554740000003</v>
      </c>
      <c r="S217" s="3">
        <f>2636.1+(1242.4-268)+(-8.066466+(-3.801744--0.82008))+0-427.7--1.30876200000005</f>
        <v>3173.0606320000002</v>
      </c>
      <c r="T217" s="3">
        <f>2730.3+(1167.3-254.9)+(0+(0-0))+0-394.1-0</f>
        <v>3248.6000000000004</v>
      </c>
      <c r="U217" s="3">
        <f>2479.8+(1398.1-218.3)+(-2.529396+(-1.426062--0.222666))+0-525.9--0.536418000000084</f>
        <v>3130.5036260000006</v>
      </c>
      <c r="V217" s="3">
        <f>2177.7+(1335.2-247.1)+(-3.331881+(-2.042856--0.378063))+0-396.8--0.607104000000023</f>
        <v>2864.6104300000002</v>
      </c>
      <c r="W217" s="3">
        <f>3260.3+(580.3-579.6)+(1.662753+(0.295953-0.295596))+0-580.3-0.295952999999941</f>
        <v>2682.0671570000004</v>
      </c>
      <c r="X217" s="3">
        <f>4483+(397.4-1297.1)+(-6.85899+(-0.608022--1.984563))+0-585--0.895050000000034</f>
        <v>2993.7126010000002</v>
      </c>
      <c r="Y217" s="3">
        <f>4014.7+(406.4-783.7)+(-4.094994+(-0.414528--0.799374))+0-563.3--0.57456600000009</f>
        <v>3070.9644179999996</v>
      </c>
      <c r="Z217" s="3">
        <f>3426.8+(756.8-488.5)+(-5.243004+(-1.157904--0.747405))+0-585.6--0.895968000000034</f>
        <v>3104.7424650000003</v>
      </c>
      <c r="AA217" s="3">
        <f>2884.2+(1166.5-365.5)+(-2.941884+(-1.18983--0.37281))+0-503.9--0.51397800000008</f>
        <v>3178.0550739999999</v>
      </c>
      <c r="AB217" s="3">
        <f>2425.4+(1783.7-246.4)+(-6.18477+(-4.548435--0.62832))+0-690.3--1.7602649999999</f>
        <v>3264.0553799999998</v>
      </c>
      <c r="AC217" s="3">
        <f>2256.2+(1976.2-238.2)+(-5.75331+(-5.03931--0.60741))+0-657.1--1.6756049999999</f>
        <v>3328.5903949999997</v>
      </c>
      <c r="AD217">
        <f t="shared" si="3"/>
        <v>68632.873473</v>
      </c>
      <c r="AE217" s="3">
        <f>4586+(390.1-1389.7)+(0+(0-0))+0-585.7-0</f>
        <v>3000.7</v>
      </c>
    </row>
    <row r="218" spans="1:31" customFormat="1" x14ac:dyDescent="0.25">
      <c r="A218">
        <v>89</v>
      </c>
      <c r="B218">
        <v>8</v>
      </c>
      <c r="C218">
        <v>2</v>
      </c>
      <c r="D218">
        <v>2</v>
      </c>
      <c r="E218">
        <v>1</v>
      </c>
      <c r="F218" s="3">
        <f>2274.2+(1906.8-247)+(-4.639368+(-3.889872--0.50388))+0-607--1.23827999999997</f>
        <v>3320.2129199999999</v>
      </c>
      <c r="G218" s="3">
        <f>2221.7+(1709.5-246.4)+(-1.133067+(-0.871845--0.125664))+0-522.9--0.266678999999947</f>
        <v>3160.2874309999993</v>
      </c>
      <c r="H218" s="3">
        <f>2215.3+(1677.2-238.1)+(-5.649015+(-4.27686--0.607155))+0-645.8--1.64678999999991</f>
        <v>3000.9280699999999</v>
      </c>
      <c r="I218" s="3">
        <f>2203.3+(1435.2-227.7)+(5.618415+(3.65976-0.580635))+0-536.6-1.36832999999992</f>
        <v>2881.5292100000006</v>
      </c>
      <c r="J218" s="3">
        <f>2344.9+(1350.2-213.4)+(2.391798+(1.377204-0.217668))+0-732-0.746640000000117</f>
        <v>2752.5046939999997</v>
      </c>
      <c r="K218" s="3">
        <f>2203.5+(1219.3-208.2)+(-2.24757+(-1.243686--0.212364))+0-600.1--0.612102000000096</f>
        <v>2611.8332100000002</v>
      </c>
      <c r="L218" s="3">
        <f>2116.8+(1057-264.1)+(-2.159136+(-1.07814--0.269382))+0-581.4--0.593028000000093</f>
        <v>2325.9251340000005</v>
      </c>
      <c r="M218" s="3">
        <f>2267.2+(820.3-386.7)+(2.312544+(0.836706-0.394434))+0-596-0.607920000000095</f>
        <v>2106.9468959999999</v>
      </c>
      <c r="N218" s="3">
        <f>2206.5+(928.1-429.5)+(-3.375945+(-1.419993--0.657135))+0-520.7--0.79667100000003</f>
        <v>2181.0578679999999</v>
      </c>
      <c r="O218" s="3">
        <f>2329.6+(917-474.5)+(-3.564288+(-1.40301--0.725985))+0-528.6--0.808758000000031</f>
        <v>2240.0674450000001</v>
      </c>
      <c r="P218" s="3">
        <f>2364.9+(942.5-407.1)+(-3.618297+(-1.442025--0.622863))+0-575.8--0.880974000000033</f>
        <v>2320.9435150000004</v>
      </c>
      <c r="Q218" s="3">
        <f>2410.1+(988.2-446.6)+(-6.145755+(-2.51991--1.13883))+0-474--1.20869999999993</f>
        <v>2471.3818649999998</v>
      </c>
      <c r="R218" s="3">
        <f>2267.5+(1166.6-302.5)+(-5.782125+(-2.97483--0.771375))+0-462.4--1.17911999999993</f>
        <v>2662.3935399999996</v>
      </c>
      <c r="S218" s="3">
        <f>2341+(1428.8-285.5)+(-2.38782+(-1.457376--0.29121))+0-551--0.562020000000088</f>
        <v>2930.3080340000006</v>
      </c>
      <c r="T218" s="3">
        <f>2255.2+(1619.8-252)+(-4.600608+(-3.304392--0.51408))+0-505.1--1.03040399999998</f>
        <v>3111.5394840000004</v>
      </c>
      <c r="U218" s="3">
        <f>2255+(1646.6-233.7)+(-4.6002+(-3.359064--0.476748))+0-600.3--1.22461199999997</f>
        <v>3061.3420959999994</v>
      </c>
      <c r="V218" s="3">
        <f>2386.5+(1215.8-249.2)+(1.217115+(0.620058-0.127092))+0-530-0.270299999999946</f>
        <v>2824.5397809999999</v>
      </c>
      <c r="W218" s="3">
        <f>3055.3+(739-498.2)+(0+(0-0))+0-584.4-0</f>
        <v>2711.7000000000003</v>
      </c>
      <c r="X218" s="3">
        <f>3845.5+(510.4-871.3)+(-7.84482+(-1.041216--1.777452))+0-510.3--1.04101199999998</f>
        <v>2968.2324279999998</v>
      </c>
      <c r="Y218" s="3">
        <f>3476.9+(601.5-499)+(-7.092876+(-1.22706--1.01796))+0-513.7--1.04794799999998</f>
        <v>3059.445972</v>
      </c>
      <c r="Z218" s="3">
        <f>3467.1+(629.5-470.2)+(-3.536442+(-0.64209--0.479604))+0-516.9--0.527238000000082</f>
        <v>3106.3283100000003</v>
      </c>
      <c r="AA218" s="3">
        <f>3521.7+(654.2-515.8)+(-3.592134+(-0.667284--0.526116))+0-490.1--0.499902000000078</f>
        <v>3166.7665999999999</v>
      </c>
      <c r="AB218" s="3">
        <f>3136.7+(869.9-304.2)+(-7.998585+(-2.218245--0.77571))+0-484.3--1.23496499999993</f>
        <v>3209.8938449999996</v>
      </c>
      <c r="AC218" s="3">
        <f>2924.3+(1138.1-251.8)+(-7.456965+(-2.902155--0.64209))+0-457.7--1.16713499999993</f>
        <v>3344.3501050000009</v>
      </c>
      <c r="AD218">
        <f t="shared" si="3"/>
        <v>67530.458452999999</v>
      </c>
      <c r="AE218" s="3">
        <f>3766+(534.2-879.2)+(0+(0-0))+0-443.6-0</f>
        <v>2977.4</v>
      </c>
    </row>
    <row r="219" spans="1:31" customFormat="1" x14ac:dyDescent="0.25">
      <c r="A219">
        <v>89</v>
      </c>
      <c r="B219">
        <v>8</v>
      </c>
      <c r="C219">
        <v>3</v>
      </c>
      <c r="D219">
        <v>3</v>
      </c>
      <c r="E219">
        <v>1</v>
      </c>
      <c r="F219" s="3">
        <f>2469.8+(1536.8-247.3)+(-3.778794+(-2.351304--0.378369))+0-492.7--0.753831000000028</f>
        <v>3261.6021020000003</v>
      </c>
      <c r="G219" s="3">
        <f>2316.2+(1543.6-236.5)+(-5.90631+(-3.93618--0.603075))+0-514.1--1.31095499999993</f>
        <v>3101.2715399999997</v>
      </c>
      <c r="H219" s="3">
        <f>2366.1+(1410.5-223.2)+(-2.413422+(-1.43871--0.227664))+0-604.8--0.616896000000096</f>
        <v>2945.5924279999995</v>
      </c>
      <c r="I219" s="3">
        <f>2439.3+(1167.8-220)+(0+(0-0))+0-557.7-0</f>
        <v>2829.4000000000005</v>
      </c>
      <c r="J219" s="3">
        <f>2545.1+(1013.6-277.6)+(1.298001+(0.516936-0.141576))+0-581.5-0.296564999999941</f>
        <v>2700.9767959999999</v>
      </c>
      <c r="K219" s="3">
        <f>2366.9+(976-231.5)+(-2.414238+(-0.99552--0.23613))+0-554.4--0.565488000000088</f>
        <v>2554.3918600000002</v>
      </c>
      <c r="L219" s="3">
        <f>2298.9+(865-288.5)+(-1.172439+(-0.44115--0.147135))+0-572.2--0.291821999999942</f>
        <v>2302.0253680000005</v>
      </c>
      <c r="M219" s="3">
        <f>2428.5+(770.4-617)+(3.715605+(1.178712-0.94401))+0-565.8-0.865674000000033</f>
        <v>2019.1846330000001</v>
      </c>
      <c r="N219" s="3">
        <f>2426.6+(780.6-563.7)+(-1.237566+(-0.398106--0.287487))+0-546.1--0.278510999999945</f>
        <v>2096.3303260000002</v>
      </c>
      <c r="O219" s="3">
        <f>2506.1+(852.8-556)+(-1.278111+(-0.434928--0.28356))+0-527.3--0.268922999999947</f>
        <v>2274.4394440000001</v>
      </c>
      <c r="P219" s="3">
        <f>2508.5+(887.2-462.2)+(0+(0-0))+0-504.8-0</f>
        <v>2428.6999999999998</v>
      </c>
      <c r="Q219" s="3">
        <f>2787.5+(799.5-528.6)+(-2.84325+(-0.81549--0.539172))+0-495.5--0.505410000000079</f>
        <v>2560.2858420000002</v>
      </c>
      <c r="R219" s="3">
        <f>2476.5+(1107.2-365.7)+(-7.57809+(-3.388032--1.119042))+0-459.2--1.40515200000005</f>
        <v>2750.3580720000004</v>
      </c>
      <c r="S219" s="3">
        <f>2336.8+(1419.9-263.4)+(-4.767072+(-2.896596--0.537336))+0-511.3--1.04305199999998</f>
        <v>2975.9167200000002</v>
      </c>
      <c r="T219" s="3">
        <f>2339.5+(1438.8-254.6)+(-3.579435+(-2.201364--0.389538))+0-442.9--0.677637000000026</f>
        <v>3076.0863759999997</v>
      </c>
      <c r="U219" s="3">
        <f>2513.3+(1349.9-266.6)+(2.563566+(1.376898-0.271932))+0-562.5-0.57375000000009</f>
        <v>3037.1947820000005</v>
      </c>
      <c r="V219" s="3">
        <f>2371.6+(1310.1-252.1)+(0+(0-0))+0-641.7-0</f>
        <v>2787.8999999999996</v>
      </c>
      <c r="W219" s="3">
        <f>3205.6+(554.2-568)+(1.634856+(0.282642-0.28968))+0-491.4-0.25061399999995</f>
        <v>2701.777204</v>
      </c>
      <c r="X219" s="3">
        <f>3993.2+(455.5-921.2)+(-2.036532+(-0.232305--0.469812))+0-576.3--0.293912999999942</f>
        <v>2949.6948880000004</v>
      </c>
      <c r="Y219" s="3">
        <f>3607.8+(570.6-618.8)+(-7.359912+(-1.164024--1.262352))+0-513.6--1.04774399999998</f>
        <v>3039.7861600000006</v>
      </c>
      <c r="Z219" s="3">
        <f>3442.2+(757.1-483.1)+(-3.511044+(-0.772242--0.492762))+0-602.5--0.614550000000096</f>
        <v>3110.524026</v>
      </c>
      <c r="AA219" s="3">
        <f>3017+(1021.9-317.7)+(-1.53867+(-0.521169--0.162027))+0-554.6--0.282845999999944</f>
        <v>3164.9850339999998</v>
      </c>
      <c r="AB219" s="3">
        <f>2753.1+(1285.3-262.1)+(-4.212243+(-1.966509--0.401013))+0-543.8--0.832014000000031</f>
        <v>3227.554275</v>
      </c>
      <c r="AC219" s="3">
        <f>2476.7+(1663.4-240.9)+(-6.315585+(-4.24167--0.614295))+0-597.1--1.52260499999991</f>
        <v>3293.6796450000002</v>
      </c>
      <c r="AD219">
        <f t="shared" si="3"/>
        <v>67189.657521000001</v>
      </c>
      <c r="AE219" s="3">
        <f>4067+(457.7-961.6)+(0+(0-0))+0-685.8-0</f>
        <v>2877.3</v>
      </c>
    </row>
    <row r="220" spans="1:31" customFormat="1" x14ac:dyDescent="0.25">
      <c r="A220">
        <v>89</v>
      </c>
      <c r="B220">
        <v>8</v>
      </c>
      <c r="C220">
        <v>4</v>
      </c>
      <c r="D220">
        <v>4</v>
      </c>
      <c r="E220">
        <v>1</v>
      </c>
      <c r="F220" s="3">
        <f>2229.6+(1753.7-244.6)+(-4.548384+(-3.577548--0.498984))+0-562.6--1.14770399999998</f>
        <v>3169.6207559999998</v>
      </c>
      <c r="G220" s="3">
        <f>2271.6+(1580.6-237.2)+(0+(0-0))+0-560.9-0</f>
        <v>3054.1</v>
      </c>
      <c r="H220" s="3">
        <f>2149.9+(1579.6-227.1)+(1.096449+(0.805596-0.115821))+0-624-0.318239999999937</f>
        <v>2879.867984</v>
      </c>
      <c r="I220" s="3">
        <f>1893.7+(1654.4-214.2)+(1.931574+(1.687488-0.218484))+64.1-538.5-0.549270000000086</f>
        <v>2862.3513080000002</v>
      </c>
      <c r="J220" s="3">
        <f>1873.9+(1557.1-207.7)+(-1.911378+(-1.588242--0.211854))+0-572.1--0.583542000000091</f>
        <v>2648.4957760000007</v>
      </c>
      <c r="K220" s="3">
        <f>1791.1+(1397.9-275.9)+(-1.826922+(-1.425858--0.281418))+0-499.2--0.50918400000008</f>
        <v>2411.4378219999999</v>
      </c>
      <c r="L220" s="3">
        <f>1777.8+(1256.8-498.1)+(-2.720034+(-1.922904--0.762093))+0-403.3--0.617049000000023</f>
        <v>2129.9362039999996</v>
      </c>
      <c r="M220" s="3">
        <f>2025.9+(1028.2-610.4)+(-1.033209+(-0.524382--0.311304))+0-469.9--0.239648999999952</f>
        <v>1972.7933620000001</v>
      </c>
      <c r="N220" s="3">
        <f>2160.7+(952.5-606.5)+(0+(0-0))+0-477.6-0</f>
        <v>2029.1</v>
      </c>
      <c r="O220" s="3">
        <f>2333.4+(886.9-653.4)+(1.190034+(0.452319-0.333234))+0-395.7-0.20180699999996</f>
        <v>2172.3073120000004</v>
      </c>
      <c r="P220" s="3">
        <f>2239.6+(904.8-322.5)+(0+(0-0))+0-444.2-0</f>
        <v>2377.6999999999998</v>
      </c>
      <c r="Q220" s="3">
        <f>2259.7+(1090-275.8)+(-1.152447+(-0.5559--0.140658))+0-477.6--0.243575999999952</f>
        <v>2594.9758869999996</v>
      </c>
      <c r="R220" s="3">
        <f>2062.6+(1536.5-243)+(-3.155778+(-2.350845--0.37179))+0-503.5--0.770355000000029</f>
        <v>2848.2355219999999</v>
      </c>
      <c r="S220" s="3">
        <f>2343.3+(1548.3-250.2)+(-4.780332+(-3.158532--0.510408))+0-590.5--1.20461999999997</f>
        <v>3044.676164</v>
      </c>
      <c r="T220" s="3">
        <f>2243.1+(1630-241.9)+(-5.719905+(-4.1565--0.616845))+0-488.7--1.24618499999993</f>
        <v>3134.486625</v>
      </c>
      <c r="U220" s="3">
        <f>1996.7+(1835.4-243.7)+(-4.073268+(-3.744216--0.497148))+0-557.5--1.13729999999998</f>
        <v>3024.7169639999997</v>
      </c>
      <c r="V220" s="3">
        <f>1988.2+(1449.7-239.8)+(-1.013982+(-0.739347--0.122298))+0-547.9--0.279428999999944</f>
        <v>2648.8483980000005</v>
      </c>
      <c r="W220" s="3">
        <f>2712.5+(882.6-631.1)+(0+(0-0))+0-387-0</f>
        <v>2577</v>
      </c>
      <c r="X220" s="3">
        <f>3523+(779.7-860)+(-5.39019+(-1.192941--1.3158))+0-458.3--0.701199000000027</f>
        <v>2979.8338679999997</v>
      </c>
      <c r="Y220" s="3">
        <f>2970+(928.6-445.4)+(-9.0882+(-2.841516--1.362924))+0-375.8--1.14994800000004</f>
        <v>3067.9831559999998</v>
      </c>
      <c r="Z220" s="3">
        <f>2698.3+(1153.9-332.3)+(-4.128399+(-1.765467--0.508419))+0-465.2--0.711756000000027</f>
        <v>3050.0263090000008</v>
      </c>
      <c r="AA220" s="3">
        <f>2377.4+(1441.8-247.8)+(1.212474+(0.735318-0.126378))+0-454.4-0.231743999999954</f>
        <v>3118.5896699999998</v>
      </c>
      <c r="AB220" s="3">
        <f>2484.3+(1507.4-248)+(-2.533986+(-1.537548--0.25296))+0-564.1--0.57538200000009</f>
        <v>3176.3568080000005</v>
      </c>
      <c r="AC220" s="3">
        <f>2398.8+(1669.8-242.7)+(-4.893552+(-3.406392--0.495108))+0-563.1--1.14872399999998</f>
        <v>3256.1438880000005</v>
      </c>
      <c r="AD220">
        <f t="shared" si="3"/>
        <v>66229.583783000009</v>
      </c>
      <c r="AE220" s="3">
        <f>3477+(789.2-736)+(0+(0-0))+0-495.6-0</f>
        <v>3034.6</v>
      </c>
    </row>
    <row r="221" spans="1:31" customFormat="1" x14ac:dyDescent="0.25">
      <c r="A221">
        <v>89</v>
      </c>
      <c r="B221">
        <v>8</v>
      </c>
      <c r="C221">
        <v>5</v>
      </c>
      <c r="D221">
        <v>5</v>
      </c>
      <c r="E221">
        <v>1</v>
      </c>
      <c r="F221" s="3">
        <f>2372.7+(1759.6-270.1)+(-2.420154+(-1.794792--0.275502))+0-554.1--0.565182000000088</f>
        <v>3304.7257380000001</v>
      </c>
      <c r="G221" s="3">
        <f>2131.6+(1768.1-246.1)+(-5.43558+(-4.508655--0.627555))+0-559.4--1.42646999999992</f>
        <v>3086.3097899999998</v>
      </c>
      <c r="H221" s="3">
        <f>2087.9+(1685.9-226.1)+(-1.064829+(-0.859809--0.115311))+0-584.9--0.298298999999941</f>
        <v>2961.2889720000003</v>
      </c>
      <c r="I221" s="3">
        <f>1889.2+(1709.5-213.1)+(-0.963492+(-0.871845--0.108681))+0-543.5--0.277184999999945</f>
        <v>2840.6505290000005</v>
      </c>
      <c r="J221" s="3">
        <f>2019+(1501.4-224.5)+(5.14845+(3.82857-0.572475))+0-589.2-1.50245999999991</f>
        <v>2713.6020850000004</v>
      </c>
      <c r="K221" s="3">
        <f>2093.6+(1338.1-279.8)+(1.067736+(0.682431-0.142698))+0-595-0.30344999999994</f>
        <v>2558.2040189999998</v>
      </c>
      <c r="L221" s="3">
        <f>2037.1+(1235.8-416.8)+(-3.116763+(-1.890774--0.637704))+0-570.9--0.873477000000033</f>
        <v>2281.7036439999997</v>
      </c>
      <c r="M221" s="3">
        <f>2131.8+(1107.5-524.8)+(2.174436+(1.12965-0.535296))+0-619-0.631380000000099</f>
        <v>2097.6374099999998</v>
      </c>
      <c r="N221" s="3">
        <f>2157.6+(1131.2-627)+(-3.301128+(-1.730736--0.95931))+0-550.7--0.842571000000032</f>
        <v>2107.8700170000002</v>
      </c>
      <c r="O221" s="3">
        <f>2240.8+(1045.2-654.5)+(0+(0-0))+0-437-0</f>
        <v>2194.5</v>
      </c>
      <c r="P221" s="3">
        <f>2308.6+(963.3-521.4)+(0+(0-0))+0-446.7-0</f>
        <v>2303.8000000000002</v>
      </c>
      <c r="Q221" s="3">
        <f>2393.1+(949-392.2)+(-1.220481+(-0.48399--0.200022))+0-520.7--0.265556999999947</f>
        <v>2427.961108</v>
      </c>
      <c r="R221" s="3">
        <f>2351.9+(980.4-376.3)+(-5.997345+(-2.50002--0.959565))+0-469.2--1.19645999999993</f>
        <v>2480.4586600000002</v>
      </c>
      <c r="S221" s="3">
        <f>2696.1+(818-348.3)+(-4.125033+(-1.25154--0.532899))+0-492.6--0.753678000000028</f>
        <v>2669.1100039999997</v>
      </c>
      <c r="T221" s="3">
        <f>2804.2+(778.8-428.9)+(-4.290426+(-1.191564--0.656217))+0-448.2--0.685746000000026</f>
        <v>2701.7599730000002</v>
      </c>
      <c r="U221" s="3">
        <f>2577.7+(873.8-358.9)+(-6.573135+(-2.22819--0.915195))+0-517.3--1.31911499999992</f>
        <v>2568.7329850000001</v>
      </c>
      <c r="V221" s="3">
        <f>2095.1+(1032.1-256.1)+(-5.342505+(-2.631855--0.653055))+0-469.7--1.19773499999993</f>
        <v>2395.2764299999999</v>
      </c>
      <c r="W221" s="3">
        <f>2567.1+(702.4-421.9)+(-2.618442+(-0.716448--0.430338))+0-483.4--0.493068000000077</f>
        <v>2361.7885160000001</v>
      </c>
      <c r="X221" s="3">
        <f>3422.7+(593.4-869.4)+(-3.491154+(-0.605268--0.886788))+0-532--0.542640000000085</f>
        <v>2612.0330060000001</v>
      </c>
      <c r="Y221" s="3">
        <f>3007.9+(702.8-541.5)+(-4.602087+(-1.075284--0.828495))+0-547.3--0.837369000000032</f>
        <v>2617.8884929999995</v>
      </c>
      <c r="Z221" s="3">
        <f>2719.2+(846.3-332.4)+(-2.773584+(-0.863226--0.339048))+0-616.9--0.629238000000098</f>
        <v>2613.5314759999997</v>
      </c>
      <c r="AA221" s="3">
        <f>2932.9+(675.9-411.2)+(-7.478895+(-1.723545--1.04856))+0-566.3--1.44406499999992</f>
        <v>2624.5901850000005</v>
      </c>
      <c r="AB221" s="3">
        <f>2961.6+(726.2-352.7)+(1.510416+(0.370362-0.179877))+0-658.3-0.335732999999933</f>
        <v>2678.1651680000004</v>
      </c>
      <c r="AC221" s="3">
        <f>2769.7+(881.1-317.6)+(-7.062735+(-2.246805--0.80988))+0-623.6--1.59017999999991</f>
        <v>2702.6905199999997</v>
      </c>
      <c r="AD221">
        <f t="shared" si="3"/>
        <v>61904.278727999997</v>
      </c>
      <c r="AE221" s="3">
        <f>3477+(577-915.5)+(0+(0-0))+0-543.1-0</f>
        <v>2595.4</v>
      </c>
    </row>
    <row r="222" spans="1:31" customFormat="1" x14ac:dyDescent="0.25">
      <c r="A222">
        <v>89</v>
      </c>
      <c r="B222">
        <v>8</v>
      </c>
      <c r="C222">
        <v>6</v>
      </c>
      <c r="D222">
        <v>6</v>
      </c>
      <c r="E222">
        <v>1</v>
      </c>
      <c r="F222" s="3">
        <f>2299+(1136.7-229.6)+(-4.68996+(-2.318868--0.468384))+0-587.2--1.19788799999997</f>
        <v>2613.5574439999996</v>
      </c>
      <c r="G222" s="3">
        <f>2208.7+(1099.1-213.1)+(1.126437+(0.560541-0.108681))+0-587-0.29936999999994</f>
        <v>2508.9789270000001</v>
      </c>
      <c r="H222" s="3">
        <f>2221.3+(1112.6-200.2)+(1.132863+(0.567426-0.102102))+0-714.9-0.364598999999927</f>
        <v>2420.0335879999998</v>
      </c>
      <c r="I222" s="3">
        <f>2140.2+(934.2-191.2)+(-2.183004+(-0.952884--0.195024))+0-548.6--0.559572000000087</f>
        <v>2332.2187079999999</v>
      </c>
      <c r="J222" s="3">
        <f>2274.8+(846.4-222.3)+(-1.160148+(-0.431664--0.113373))+0-687.8--0.35077799999993</f>
        <v>2209.9723389999999</v>
      </c>
      <c r="K222" s="3">
        <f>2088.4+(848.2-216.3)+(-2.130168+(-0.865164--0.220626))+0-553.9--0.564978000000088</f>
        <v>2164.1902719999998</v>
      </c>
      <c r="L222" s="3">
        <f>1993.2+(909.3-313.8)+(-2.033064+(-0.927486--0.320076))+0-585.5--0.597210000000093</f>
        <v>2001.1567360000001</v>
      </c>
      <c r="M222" s="3">
        <f>2039.2+(797.9-417.8)+(-1.039992+(-0.406929--0.213078))+0-532.9--0.271778999999946</f>
        <v>1885.437936</v>
      </c>
      <c r="N222" s="3">
        <f>2123.9+(849.8-548.6)+(3.249567+(1.300194-0.839358))+0-538.4-0.823752000000031</f>
        <v>1889.5866509999998</v>
      </c>
      <c r="O222" s="3">
        <f>2254.2+(979.4-660.3)+(2.299284+(0.998988-0.673506))+0-578.4-0.589968000000092</f>
        <v>1996.9347979999995</v>
      </c>
      <c r="P222" s="3">
        <f>2239+(955.9-648.4)+(-4.56756+(-1.950036--1.322736))+0-466.1--0.95084399999998</f>
        <v>2076.155984</v>
      </c>
      <c r="Q222" s="3">
        <f>2242.3+(876.2-402.7)+(-2.287146+(-0.893724--0.410754))+0-554.3--0.565386000000088</f>
        <v>2159.2952700000005</v>
      </c>
      <c r="R222" s="3">
        <f>2224+(883.6-299.3)+(-9.07392+(-3.605088--1.221144))+0-536.7--2.18973599999995</f>
        <v>2262.3318720000002</v>
      </c>
      <c r="S222" s="3">
        <f>2293.1+(942.5-250.2)+(0+(0-0))+0-602.1-0</f>
        <v>2383.2999999999997</v>
      </c>
      <c r="T222" s="3">
        <f>2316.2+(888.9-281.5)+(0+(0-0))+0-423-0</f>
        <v>2500.6</v>
      </c>
      <c r="U222" s="3">
        <f>2241.4+(921.5-280)+(-3.429342+(-1.409895--0.4284))+0-525.4--0.80386200000003</f>
        <v>2353.8930250000003</v>
      </c>
      <c r="V222" s="3">
        <f>2382.7+(781.4-328.3)+(0+(0-0))+0-623.5-0</f>
        <v>2212.2999999999997</v>
      </c>
      <c r="W222" s="3">
        <f>2854.5+(572-592.3)+(-4.367385+(-0.87516--0.906219))+0-550.1--0.841653000000032</f>
        <v>2280.6053269999998</v>
      </c>
      <c r="X222" s="3">
        <f>3072.2+(709.6-691.6)+(-7.83411+(-1.80948--1.76358))+0-613.9--1.56544499999991</f>
        <v>2469.9854349999996</v>
      </c>
      <c r="Y222" s="3">
        <f>2916.5+(724.4-592.8)+(-11.89932+(-2.955552--2.418624))+0-575.9--2.34967199999995</f>
        <v>2462.1134239999997</v>
      </c>
      <c r="Z222" s="3">
        <f>2969.8+(724.6-681.6)+(-3.029196+(-0.739092--0.695232))+0-556.3--0.567426000000089</f>
        <v>2453.9943699999999</v>
      </c>
      <c r="AA222" s="3">
        <f>3060.6+(595.9-599.5)+(-6.243624+(-1.215636--1.22298))+0-625.5--1.27601999999997</f>
        <v>2426.5397399999997</v>
      </c>
      <c r="AB222" s="3">
        <f>2931.4+(556.4-506.8)+(-8.970084+(-1.702584--1.550808))+0-537.3--1.64413800000006</f>
        <v>2436.2222779999997</v>
      </c>
      <c r="AC222" s="3">
        <f>2874.7+(583.7-412.4)+(-1.466097+(-0.297687--0.210324))+0-606.3--0.309212999999938</f>
        <v>2438.4557529999997</v>
      </c>
      <c r="AD222">
        <f t="shared" si="3"/>
        <v>54937.859877000003</v>
      </c>
      <c r="AE222" s="3">
        <f>3149+(686.6-649.1)+(0+(0-0))+0-698.1-0</f>
        <v>2488.4</v>
      </c>
    </row>
    <row r="223" spans="1:31" customFormat="1" x14ac:dyDescent="0.25">
      <c r="A223">
        <v>89</v>
      </c>
      <c r="B223">
        <v>8</v>
      </c>
      <c r="C223">
        <v>7</v>
      </c>
      <c r="D223">
        <v>7</v>
      </c>
      <c r="E223">
        <v>1</v>
      </c>
      <c r="F223" s="3">
        <f>2341.2+(809.9-230.8)+(-5.97006+(-2.065245--0.58854))+0-524.4--1.33721999999992</f>
        <v>2389.7904549999994</v>
      </c>
      <c r="G223" s="3">
        <f>2173.9+(947.4-212)+(-6.652134+(-2.899044--0.64872))+0-599--1.83294000000007</f>
        <v>2303.2304820000004</v>
      </c>
      <c r="H223" s="3">
        <f>2026.3+(981-186.3)+(-3.100239+(-1.50093--0.285039))+0-588.6--0.900558000000034</f>
        <v>2228.9844279999998</v>
      </c>
      <c r="I223" s="3">
        <f>1987.1+(912.6-187.8)+(-1.013421+(-0.465426--0.095778))+0-573.3--0.292382999999942</f>
        <v>2137.5093139999999</v>
      </c>
      <c r="J223" s="3">
        <f>2045.3+(723.3-198.8)+(0+(0-0))+0-560.8-0</f>
        <v>2009.0000000000002</v>
      </c>
      <c r="K223" s="3">
        <f>2108.1+(699.6-214.7)+(-1.075131+(-0.356796--0.109497))+0-597.4--0.304673999999939</f>
        <v>1994.5822439999997</v>
      </c>
      <c r="L223" s="3">
        <f>1915.8+(634.5-195.7)+(-0.977058+(-0.323595--0.099807))+0-526--0.268259999999947</f>
        <v>1827.6674139999998</v>
      </c>
      <c r="M223" s="3">
        <f>2001.7+(602.4-295.4)+(-1.020867+(-0.307224--0.150654))+0-527.5--0.269024999999947</f>
        <v>1780.291588</v>
      </c>
      <c r="N223" s="3">
        <f>1971.8+(668.8-240.2)+(-3.016854+(-1.023264--0.367506))+0-620.9--0.949977000000036</f>
        <v>1776.7773650000001</v>
      </c>
      <c r="O223" s="3">
        <f>1901.3+(626.5-246.9)+(-1.939326+(-0.63903--0.251838))+0-456.4--0.465528000000073</f>
        <v>1822.6390100000003</v>
      </c>
      <c r="P223" s="3">
        <f>2122.8+(541.6-275.8)+(-2.165256+(-0.552432--0.281316))+0-512--0.522240000000082</f>
        <v>1874.6858680000003</v>
      </c>
      <c r="Q223" s="3">
        <f>2151.2+(585.4-258)+(-2.194224+(-0.597108--0.26316))+0-529.9--0.540498000000085</f>
        <v>1946.7123260000001</v>
      </c>
      <c r="R223" s="3">
        <f>2361.5+(574.2-260.3)+(-2.40873+(-0.585684--0.265506))+0-637.2--0.649944000000102</f>
        <v>2036.121036</v>
      </c>
      <c r="S223" s="3">
        <f>2549.4+(472.6-382.6)+(-2.600388+(-0.482052--0.390252))+0-493--0.502860000000079</f>
        <v>2144.2106720000002</v>
      </c>
      <c r="T223" s="3">
        <f>2745.1+(326.8-401.8)+(-5.600004+(-0.666672--0.819672))+0-501.7--1.02346799999998</f>
        <v>2163.9764639999999</v>
      </c>
      <c r="U223" s="3">
        <f>2716.1+(334.1-432.1)+(-1.385211+(-0.170391--0.220371))+0-488.7--0.24923699999995</f>
        <v>2128.3140060000001</v>
      </c>
      <c r="V223" s="3">
        <f>2672+(246.2-440.2)+(1.36272+(0.125562-0.224502))+0-453.2-0.231131999999954</f>
        <v>2025.8326480000003</v>
      </c>
      <c r="W223" s="3">
        <f>2947.7+(229.8-579.5)+(-1.503327+(-0.117198--0.295545))+0-483.5--0.246584999999951</f>
        <v>2113.421605</v>
      </c>
      <c r="X223" s="3">
        <f>3231.7+(319.6-624.8)+(-6.592668+(-0.651984--1.274592))+0-566.6--1.15586399999998</f>
        <v>2355.0858039999998</v>
      </c>
      <c r="Y223" s="3">
        <f>3362.2+(290.3-662.7)+(3.429444+(0.296106-0.675954))+0-609.6-0.621792000000097</f>
        <v>2382.6278039999997</v>
      </c>
      <c r="Z223" s="3">
        <f>3101.8+(322.5-508.3)+(-4.745754+(-0.493425--0.777699))+0-537.2--0.821916000000031</f>
        <v>2375.1604360000001</v>
      </c>
      <c r="AA223" s="3">
        <f>2865.4+(508.5-337.6)+(-2.922708+(-0.51867--0.344352))+0-622.2--0.634644000000099</f>
        <v>2411.6376180000002</v>
      </c>
      <c r="AB223" s="3">
        <f>2437+(798.4-251.6)+(-2.48574+(-0.814368--0.256632))+0-539.4--0.550188000000086</f>
        <v>2441.9067120000004</v>
      </c>
      <c r="AC223" s="3">
        <f>2023.1+(1242.7-224.2)+(-5.158905+(-3.168885--0.57171))+0-539.5--1.37572499999992</f>
        <v>2495.7196449999997</v>
      </c>
      <c r="AD223">
        <f t="shared" si="3"/>
        <v>51165.884944000005</v>
      </c>
      <c r="AE223" s="3">
        <f>3229+(315.2-659.4)+(0+(0-0))+0-526.6-0</f>
        <v>2358.2000000000003</v>
      </c>
    </row>
    <row r="224" spans="1:31" customFormat="1" x14ac:dyDescent="0.25">
      <c r="A224">
        <v>89</v>
      </c>
      <c r="B224">
        <v>8</v>
      </c>
      <c r="C224">
        <v>8</v>
      </c>
      <c r="D224">
        <v>1</v>
      </c>
      <c r="E224">
        <v>1</v>
      </c>
      <c r="F224" s="3">
        <f>2132.5+(1018.3-212.2)+(-1.087575+(-0.519333--0.108222))+0-579.4--0.295493999999941</f>
        <v>2357.9968079999999</v>
      </c>
      <c r="G224" s="3">
        <f>2097.8+(946.9-204.2)+(-1.069878+(-0.482919--0.104142))+0-544.6--0.277745999999945</f>
        <v>2294.7290909999997</v>
      </c>
      <c r="H224" s="3">
        <f>1969.5+(1000-191)+(-3.013335+(-1.53--0.29223))+0-604.9--0.925497000000035</f>
        <v>2170.2743920000003</v>
      </c>
      <c r="I224" s="3">
        <f>2059.2+(760.2-209.2)+(1.050192+(0.387702-0.106692))+0-546.8-0.278867999999944</f>
        <v>2064.4523340000001</v>
      </c>
      <c r="J224" s="3">
        <f>1918.4+(857.1-206)+(-3.913536+(-1.748484--0.42024))+0-635.1--1.29560399999997</f>
        <v>1930.4538240000002</v>
      </c>
      <c r="K224" s="3">
        <f>2009+(705.1-248.1)+(0+(0-0))+0-531.2-0</f>
        <v>1934.8</v>
      </c>
      <c r="L224" s="3">
        <f>2126.4+(568.7-361.1)+(0+(0-0))+0-484.5-0</f>
        <v>1849.5</v>
      </c>
      <c r="M224" s="3">
        <f>2315+(549-537.8)+(-1.18065+(-0.27999--0.274278))+0-533.7--0.272186999999946</f>
        <v>1791.5858249999999</v>
      </c>
      <c r="N224" s="3">
        <f>2372.1+(670.1-630.1)+(-3.629313+(-1.025253--0.964053))+0-561.4--0.858942000000032</f>
        <v>1847.8684289999999</v>
      </c>
      <c r="O224" s="3">
        <f>2778.1+(785.1-1057.9)+(-2.833662+(-0.800802--1.079058))+0-551.4--0.562428000000088</f>
        <v>1951.9070219999999</v>
      </c>
      <c r="P224" s="3">
        <f>2683.9+(823.5-1116.8)+(-5.475156+(-1.67994--2.278272))+69-409--0.834359999999982</f>
        <v>2046.5575360000005</v>
      </c>
      <c r="Q224" s="3">
        <f>2957.8+(797.1-1180.2)+(-1.508478+(-0.406521--0.601902))+0-466.2--0.237761999999953</f>
        <v>2107.424665</v>
      </c>
      <c r="R224" s="3">
        <f>2833.7+(777.6-757)+(-2.890374+(-0.793152--0.77214))+0-602.7--0.614754000000096</f>
        <v>2249.3033679999999</v>
      </c>
      <c r="S224" s="3">
        <f>2814.3+(699.4-585.2)+(-5.741172+(-1.426776--1.193808))+0-536.4--1.09425599999998</f>
        <v>2387.220116</v>
      </c>
      <c r="T224" s="3">
        <f>2830.1+(713.5-516)+(0+(0-0))+0-621.5-0</f>
        <v>2406.1</v>
      </c>
      <c r="U224" s="3">
        <f>2745.7+(770.3-767.3)+(-5.601228+(-1.571412--1.565292))+0-446.1--0.910043999999981</f>
        <v>2297.9026960000001</v>
      </c>
      <c r="V224" s="3">
        <f>2882.2+(837.3-830)+(-4.409766+(-1.281069--1.2699))+0-588.5--0.900405000000034</f>
        <v>2297.4794699999998</v>
      </c>
      <c r="W224" s="3">
        <f>3367.3+(669.3-1175.7)+(0+(0-0))+0-594.5-0</f>
        <v>2266.4</v>
      </c>
      <c r="X224" s="3">
        <f>3669.4+(608.4-1177.6)+(-5.614182+(-0.930852--1.801728))+0-573.4--0.877302000000033</f>
        <v>2522.9339960000002</v>
      </c>
      <c r="Y224" s="3">
        <f>3481.7+(653.4-936.4)+(-8.878335+(-1.66617--2.38782))+0-630.6--1.60802999999991</f>
        <v>2561.5513449999999</v>
      </c>
      <c r="Z224" s="3">
        <f>2952.2+(673.2-517.3)+(-6.022488+(-1.373328--1.055292))+0-535.4--1.09221599999998</f>
        <v>2567.4516919999996</v>
      </c>
      <c r="AA224" s="3">
        <f>2541.2+(944.1-259.8)+(-3.888036+(-1.444473--0.397494))+0-598--0.914940000000035</f>
        <v>2623.4799250000001</v>
      </c>
      <c r="AB224" s="3">
        <f>2258.7+(1231.3-224)+(-5.759685+(-3.139815--0.5712))+0-593.7--1.51393499999991</f>
        <v>2665.485635</v>
      </c>
      <c r="AC224" s="3">
        <f>2054.4+(1312.3-219.9)+(-6.286464+(-4.015638--0.672894))+0-473--1.44738000000005</f>
        <v>2665.6181720000004</v>
      </c>
      <c r="AD224">
        <f t="shared" si="3"/>
        <v>53858.476340999994</v>
      </c>
      <c r="AE224" s="3">
        <f>3724+(603.5-1165.4)+(0+(0-0))+0-673.2-0</f>
        <v>2488.8999999999996</v>
      </c>
    </row>
    <row r="225" spans="1:31" customFormat="1" x14ac:dyDescent="0.25">
      <c r="A225">
        <v>89</v>
      </c>
      <c r="B225">
        <v>8</v>
      </c>
      <c r="C225">
        <v>9</v>
      </c>
      <c r="D225">
        <v>2</v>
      </c>
      <c r="E225">
        <v>1</v>
      </c>
      <c r="F225" s="3">
        <f>2115+(1283.2-220.4)+(-3.23595+(-1.963296--0.337212))+0-562.3--0.860319000000032</f>
        <v>2611.4982850000001</v>
      </c>
      <c r="G225" s="3">
        <f>2206.4+(1096.2-211.1)+(-2.250528+(-1.118124--0.215322))+0-518.9--0.529278000000083</f>
        <v>2569.9759479999998</v>
      </c>
      <c r="H225" s="3">
        <f>2286.3+(751.6-199.5)+(-4.664052+(-1.533264--0.40698))+0-462.2--0.94288799999998</f>
        <v>2371.3525520000003</v>
      </c>
      <c r="I225" s="3">
        <f>2304.8+(735.1-193.9)+(-3.526344+(-1.124703--0.296667))+0-533--0.815490000000031</f>
        <v>2309.4611099999997</v>
      </c>
      <c r="J225" s="3">
        <f>2185+(626.6-234.5)+(0+(0-0))+0-378.5-0</f>
        <v>2198.6</v>
      </c>
      <c r="K225" s="3">
        <f>2270.3+(718.5-238.8)+(0+(0-0))+0-569.5-0</f>
        <v>2180.5</v>
      </c>
      <c r="L225" s="3">
        <f>2023.1+(847.5-397.2)+(-2.063562+(-0.86445--0.405144))+0-539.9--0.550698000000086</f>
        <v>1931.52783</v>
      </c>
      <c r="M225" s="3">
        <f>2139.2+(773.8-436.5)+(0+(0-0))+0-578-0</f>
        <v>1898.5</v>
      </c>
      <c r="N225" s="3">
        <f>2211.6+(802.8-545.1)+(-2.255832+(-0.818856--0.556002))+0-515.9--0.526218000000082</f>
        <v>1951.4075319999997</v>
      </c>
      <c r="O225" s="3">
        <f>2362.8+(795.1-611.7)+(-1.205028+(-0.405501--0.311967))+0-527.8--0.269177999999946</f>
        <v>2017.3706160000004</v>
      </c>
      <c r="P225" s="3">
        <f>2492.3+(720.8-549.8)+(-2.542146+(-0.735216--0.560796))+0-478.5--0.488070000000076</f>
        <v>2182.571504</v>
      </c>
      <c r="Q225" s="3">
        <f>2827.5+(686.1-554.8)+(-5.7681+(-1.399644--1.131792))+0-538--1.09751999999998</f>
        <v>2415.8615679999998</v>
      </c>
      <c r="R225" s="3">
        <f>2590.5+(849.5-264.5)+(-1.321155+(-0.433245--0.134895))+0-554.8--0.282947999999944</f>
        <v>2619.3634430000002</v>
      </c>
      <c r="S225" s="3">
        <f>2571.4+(910.3-255.9)+(-2.622828+(-0.928506--0.261018))+0-569.4--0.580788000000091</f>
        <v>2653.6904720000002</v>
      </c>
      <c r="T225" s="3">
        <f>2483.7+(982.3-269.2)+(-1.266687+(-0.500973--0.137292))+0-591.7--0.30176699999994</f>
        <v>2603.7713989999993</v>
      </c>
      <c r="U225" s="3">
        <f>2333.3+(944.9-276.9)+(-5.949915+(-2.409495--0.706095))+0-466.9--1.19059499999993</f>
        <v>2527.9372800000001</v>
      </c>
      <c r="V225" s="3">
        <f>2409.4+(749.3-337.9)+(0+(0-0))+0-479.3-0</f>
        <v>2341.5</v>
      </c>
      <c r="W225" s="3">
        <f>3712.1+(548.4-1315.4)+(-3.786342+(-0.559368--1.341708))+0-586.7--0.598434000000094</f>
        <v>2355.994432</v>
      </c>
      <c r="X225" s="3">
        <f>4634.7+(501.6-1694.2)+(-9.454788+(-1.023264--3.456168))+0-637.8--1.30111199999997</f>
        <v>2798.5792279999996</v>
      </c>
      <c r="Y225" s="3">
        <f>4192.7+(542.8-1222.9)+(-8.553108+(-1.107312--2.494716))+0-619.6--1.26398399999997</f>
        <v>2887.0982799999997</v>
      </c>
      <c r="Z225" s="3">
        <f>3405.3+(675.4-479.5)+(-3.473406+(-0.688908--0.48909))+0-646--0.658920000000103</f>
        <v>2952.1856960000005</v>
      </c>
      <c r="AA225" s="3">
        <f>2896.5+(890.3-285.6)+(-4.431645+(-1.362159--0.436968))+0-593.4--0.907902000000034</f>
        <v>2903.3510659999997</v>
      </c>
      <c r="AB225" s="3">
        <f>2408.1+(1431.1-235.6)+(-4.912524+(-2.919444--0.480624))+0-606.5--1.23725999999997</f>
        <v>2990.9859159999996</v>
      </c>
      <c r="AC225" s="3">
        <f>2293.1+(1551.4-226.4)+(-4.677924+(-3.164856--0.461856))+0-687.4--1.40229599999997</f>
        <v>2924.7213719999995</v>
      </c>
      <c r="AD225">
        <f t="shared" si="3"/>
        <v>59197.805528999997</v>
      </c>
      <c r="AE225" s="3">
        <f>4662+(498-1848.4)+(0+(0-0))+0-566-0</f>
        <v>2745.6</v>
      </c>
    </row>
    <row r="226" spans="1:31" customFormat="1" x14ac:dyDescent="0.25">
      <c r="A226">
        <v>89</v>
      </c>
      <c r="B226">
        <v>8</v>
      </c>
      <c r="C226">
        <v>10</v>
      </c>
      <c r="D226">
        <v>3</v>
      </c>
      <c r="E226">
        <v>1</v>
      </c>
      <c r="F226" s="3">
        <f>2302.3+(1428.9-230.2)+(-1.174173+(-0.728739--0.117402))+0-550.9--0.280958999999944</f>
        <v>2948.5954489999999</v>
      </c>
      <c r="G226" s="3">
        <f>2295.9+(1313.9-212.9)+(-5.854545+(-3.350445--0.542895))+0-631.5--1.61032499999991</f>
        <v>2758.3482300000001</v>
      </c>
      <c r="H226" s="3">
        <f>2282.4+(1035.5-198.9)+(-2.328048+(-1.05621--0.202878))+0-566.7--0.57803400000009</f>
        <v>2549.6966540000003</v>
      </c>
      <c r="I226" s="3">
        <f>2374.4+(969.4-206.9)+(2.421888+(0.988788-0.211038))+0-608.4-0.620568000000097</f>
        <v>2531.0790699999998</v>
      </c>
      <c r="J226" s="3">
        <f>2259.1+(910.4-228.1)+(-4.608564+(-1.857216--0.465324))+0-568.5--1.15973999999998</f>
        <v>2368.0592839999995</v>
      </c>
      <c r="K226" s="3">
        <f>2371.1+(853.9-250.7)+(3.627783+(1.306467-0.383571))+0-667-1.02051000000004</f>
        <v>2310.8301690000003</v>
      </c>
      <c r="L226" s="3">
        <f>2276.3+(865.2-478.4)+(-3.482739+(-1.323756--0.731952))+0-541.4--0.828342000000031</f>
        <v>2118.4537990000003</v>
      </c>
      <c r="M226" s="3">
        <f>2213.4+(828.8-538.2)+(0+(0-0))+0-495.1-0</f>
        <v>2008.9</v>
      </c>
      <c r="N226" s="3">
        <f>2260+(774.8-632.9)+(-2.3052+(-0.790296--0.645558))+0-352.5--0.359550000000056</f>
        <v>2047.309612</v>
      </c>
      <c r="O226" s="3">
        <f>2275.2+(839.3-678.3)+(-5.80176+(-2.140215--1.729665))+0-390--0.994499999999943</f>
        <v>2040.9821899999999</v>
      </c>
      <c r="P226" s="3">
        <f>2434.3+(818-803.2)+(-3.724479+(-1.25154--1.228896))+0-275.8--0.421974000000016</f>
        <v>2169.9748509999999</v>
      </c>
      <c r="Q226" s="3">
        <f>2697.6+(779.1-847.2)+(0+(0-0))+0-225.1-0</f>
        <v>2404.4</v>
      </c>
      <c r="R226" s="3">
        <f>2747.4+(717.5-643.1)+(-9.808218+(-2.561475--2.295867))+0-200.8--0.716856000000003</f>
        <v>2611.6430300000002</v>
      </c>
      <c r="S226" s="3">
        <f>2706.7+(616.7-424)+(0+(0-0))+0-194.7-0</f>
        <v>2704.7</v>
      </c>
      <c r="T226" s="3">
        <f>2776.4+(582.9-506.1)+(-4.247892+(-0.891837--0.774333))+0-186.6--0.285498000000011</f>
        <v>2662.520102</v>
      </c>
      <c r="U226" s="3">
        <f>2768+(546-618.5)+(-8.47008+(-1.67076--1.89261))+0-161.3--0.493578000000019</f>
        <v>2526.4453479999997</v>
      </c>
      <c r="V226" s="3">
        <f>2843.3+(558.7-967)+(0+(0-0))+0-145.6-0</f>
        <v>2289.4</v>
      </c>
      <c r="W226" s="3">
        <f>3846.7+(512.9-1759.7)+(1.961817+(0.261579-0.897447))+0-169.2-0.0862919999999828</f>
        <v>2431.9396569999999</v>
      </c>
      <c r="X226" s="3">
        <f>4262.1+(539.8-1862)+(-8.694684+(-1.101192--3.79848))+0-162.4--0.331295999999993</f>
        <v>2771.8339000000001</v>
      </c>
      <c r="Y226" s="3">
        <f>3995.6+(566.2-1584)+(-10.18878+(-1.44381--4.0392))+0-165.1--0.421004999999976</f>
        <v>2805.5276150000004</v>
      </c>
      <c r="Z226" s="3">
        <f>3985.5+(588.3-1490.7)+(0+(0-0))+0-182.2-0</f>
        <v>2900.9</v>
      </c>
      <c r="AA226" s="3">
        <f>3492.3+(638.4-993.5)+(-3.562146+(-0.651168--1.01337))+0-191.7--0.195534000000031</f>
        <v>2942.4955900000004</v>
      </c>
      <c r="AB226" s="3">
        <f>3348.4+(669.1-773.5)+(-8.53842+(-1.706205--1.972425))+0-208.5--0.53167499999997</f>
        <v>3027.7594750000003</v>
      </c>
      <c r="AC226" s="3">
        <f>2770.5+(964.7-397.9)+(-1.412955+(-0.491997--0.202929))+0-361.9--0.184568999999963</f>
        <v>2973.8825460000003</v>
      </c>
      <c r="AD226">
        <f t="shared" si="3"/>
        <v>60905.676571000004</v>
      </c>
      <c r="AE226" s="3">
        <f>4389+(540-1922.1)+(0+(0-0))+0-153.7-0</f>
        <v>2853.2000000000003</v>
      </c>
    </row>
    <row r="227" spans="1:31" customFormat="1" x14ac:dyDescent="0.25">
      <c r="A227">
        <v>89</v>
      </c>
      <c r="B227">
        <v>8</v>
      </c>
      <c r="C227">
        <v>11</v>
      </c>
      <c r="D227">
        <v>4</v>
      </c>
      <c r="E227">
        <v>1</v>
      </c>
      <c r="F227" s="3">
        <f>2320.2+(1397.3-221.4)+(1.183302+(0.712623-0.112914))+0-514.6-0.262445999999948</f>
        <v>2983.0205649999998</v>
      </c>
      <c r="G227" s="3">
        <f>1967.4+(1571.1-235.3)+(-3.010122+(-2.403783--0.360009))+0-485.9--0.743427000000028</f>
        <v>2812.9895309999997</v>
      </c>
      <c r="H227" s="3">
        <f>1981.2+(1585.9-227.1)+(-3.031236+(-2.426427--0.347463))+0-599.6--0.917388000000035</f>
        <v>2736.2071879999999</v>
      </c>
      <c r="I227" s="3">
        <f>1998+(1431.4-216.9)+(2.03796+(1.460028-0.221238))+0-628.7-0.6412740000001</f>
        <v>2586.4354760000001</v>
      </c>
      <c r="J227" s="3">
        <f>1931.4+(1266.7-213.6)+(0.985014+(0.646017-0.108936))+0-471.8-0.240617999999952</f>
        <v>2513.9814769999998</v>
      </c>
      <c r="K227" s="3">
        <f>1878.7+(1274.6-219.6)+(0+(0-0))+0-566.6-0</f>
        <v>2367.1</v>
      </c>
      <c r="L227" s="3">
        <f>1848.4+(1142.8-273.3)+(0.942684+(0.582828-0.139383))+0-518.8-0.264587999999947</f>
        <v>2200.2215409999999</v>
      </c>
      <c r="M227" s="3">
        <f>1887.4+(1101.9-277.7)+(-0.962574+(-0.561969--0.141627))+0-552.1--0.281570999999944</f>
        <v>2158.3986550000004</v>
      </c>
      <c r="N227" s="3">
        <f>1794.9+(1079.2-256)+(-2.746197+(-1.651176--0.39168))+0-463.8--0.709614000000027</f>
        <v>2151.003921</v>
      </c>
      <c r="O227" s="3">
        <f>1895.4+(1158.2-286.6)+(-1.933308+(-1.181364--0.292332))+0-572.9--0.584358000000091</f>
        <v>2191.8620179999998</v>
      </c>
      <c r="P227" s="3">
        <f>1944.9+(1090.6-215.6)+(0+(0-0))+0-527.4-0</f>
        <v>2292.5</v>
      </c>
      <c r="Q227" s="3">
        <f>2102.2+(991.7-229.6)+(-4.288488+(-2.023068--0.468384))+0-504.5--1.02917999999998</f>
        <v>2354.9860079999999</v>
      </c>
      <c r="R227" s="3">
        <f>2108+(1078.8-240.1)+(2.15016+(1.100376-0.244902))+0-517.2-0.527544000000083</f>
        <v>2431.9780900000001</v>
      </c>
      <c r="S227" s="3">
        <f>2150.1+(1266.7-250.2)+(-4.386204+(-2.584068--0.510408))+0-611.5--1.24745999999997</f>
        <v>2549.887596</v>
      </c>
      <c r="T227" s="3">
        <f>1999.2+(1233.1-230.3)+(-2.039184+(-1.257762--0.234906))+0-495--0.504900000000079</f>
        <v>2504.4428600000001</v>
      </c>
      <c r="U227" s="3">
        <f>1955.9+(1194.2-225.4)+(-4.987545+(-3.04521--0.57477))+0-500.8--1.27703999999993</f>
        <v>2417.719055</v>
      </c>
      <c r="V227" s="3">
        <f>2040.6+(916.2-234.6)+(3.122118+(1.401786-0.358938))+0-394-0.602820000000023</f>
        <v>2331.7621459999996</v>
      </c>
      <c r="W227" s="3">
        <f>3116.5+(716.6-949.4)+(-4.768245+(-1.096398--1.452582))+0-410.6--0.628218000000024</f>
        <v>2469.3161569999997</v>
      </c>
      <c r="X227" s="3">
        <f>3218.6+(750.2-845.4)+(-8.20743+(-1.91301--2.15577))+0-459--1.17044999999993</f>
        <v>2657.6057800000003</v>
      </c>
      <c r="Y227" s="3">
        <f>3193+(769-746.3)+(-3.25686+(-0.78438--0.761226))+0-587.2--0.598944000000094</f>
        <v>2625.8189300000004</v>
      </c>
      <c r="Z227" s="3">
        <f>3024.3+(770.8-676.2)+(-1.542393+(-0.393108--0.344862))+0-538.3--0.274532999999945</f>
        <v>2579.2838940000001</v>
      </c>
      <c r="AA227" s="3">
        <f>3081.5+(741.5-627.7)+(-4.714695+(-1.134495--0.960381))+0-667.1--1.02066300000004</f>
        <v>2524.3318540000005</v>
      </c>
      <c r="AB227" s="3">
        <f>2909+(817-689)+(-2.96718+(-0.83334--0.70278))+0-530--0.540600000000084</f>
        <v>2504.4428600000001</v>
      </c>
      <c r="AC227" s="3">
        <f>2872.5+(791.6-581.3)+(-2.92995+(-0.807432--0.592926))+0-560.3--0.571506000000089</f>
        <v>2519.9270500000002</v>
      </c>
      <c r="AD227">
        <f t="shared" si="3"/>
        <v>59465.222652000011</v>
      </c>
      <c r="AE227" s="3">
        <f>3413+(698-1003.8)+(0+(0-0))+0-444.4-0</f>
        <v>2662.7999999999997</v>
      </c>
    </row>
    <row r="228" spans="1:31" customFormat="1" x14ac:dyDescent="0.25">
      <c r="A228">
        <v>89</v>
      </c>
      <c r="B228">
        <v>8</v>
      </c>
      <c r="C228">
        <v>12</v>
      </c>
      <c r="D228">
        <v>5</v>
      </c>
      <c r="E228">
        <v>1</v>
      </c>
      <c r="F228" s="3">
        <f>2242.1+(1111.8-311.8)+(-1.143471+(-0.567018--0.159018))+0-637--0.324869999999935</f>
        <v>2403.8733989999996</v>
      </c>
      <c r="G228" s="3">
        <f>1873.3+(1289.2-241.4)+(-4.776915+(-3.28746--0.61557))+0-592.3--1.51036499999991</f>
        <v>2322.8615600000003</v>
      </c>
      <c r="H228" s="3">
        <f>1890.2+(1207.3-248.2)+(-1.928004+(-1.231446--0.253164))+0-579.8--0.591396000000092</f>
        <v>2267.1851100000008</v>
      </c>
      <c r="I228" s="3">
        <f>1870.4+(1134.5-219.8)+(0+(0-0))+0-584.5-0</f>
        <v>2200.6000000000004</v>
      </c>
      <c r="J228" s="3">
        <f>1895.9+(1102.4-211)+(-3.867636+(-2.248896--0.43044))+0-645.2--1.31620799999997</f>
        <v>2137.7301160000006</v>
      </c>
      <c r="K228" s="3">
        <f>1711.2+(899.7-349.2)+(-1.745424+(-0.917694--0.356184))+0-520.8--0.531216000000083</f>
        <v>1739.1242819999998</v>
      </c>
      <c r="L228" s="3">
        <f>1782.4+(930.7-601.5)+(1.818048+(0.949314-0.61353))+0-515.2-0.525504000000082</f>
        <v>1598.0283280000001</v>
      </c>
      <c r="M228" s="3">
        <f>1891.2+(996.6-817.7)+(-0.964512+(-0.508266--0.417027))+0-531.8--0.271217999999946</f>
        <v>1537.5154669999999</v>
      </c>
      <c r="N228" s="3">
        <f>1926.8+(1038.8-933.8)+(-1.965336+(-1.059576--0.952476))+0-452.9--0.461958000000072</f>
        <v>1577.2895220000003</v>
      </c>
      <c r="O228" s="3">
        <f>1845.3+(1112.7-770.6)+(-0.941103+(-0.567477--0.393006))+0-567.6--0.289475999999942</f>
        <v>1618.9739020000002</v>
      </c>
      <c r="P228" s="3">
        <f>1976.1+(1081.8-788.1)+(-4.031244+(-2.206872--1.607724))+0-482.1--0.983483999999979</f>
        <v>1784.0530919999999</v>
      </c>
      <c r="Q228" s="3">
        <f>2040.5+(1011.1-690.4)+(2.08131+(1.031322-0.704208))+0-553.2-0.564264000000088</f>
        <v>1809.8441599999999</v>
      </c>
      <c r="R228" s="3">
        <f>1988.9+(948.4-662)+(-2.028678+(-0.967368--0.67524))+0-399.3--0.407286000000064</f>
        <v>1874.0864800000002</v>
      </c>
      <c r="S228" s="3">
        <f>2199.3+(888.8-592.4)+(2.243286+(0.906576-0.604248))+0-518.9-0.529278000000083</f>
        <v>1978.8163360000003</v>
      </c>
      <c r="T228" s="3">
        <f>2327.6+(941.9-751.3)+(2.374152+(0.960738-0.766326))+0-527.1-0.537642000000084</f>
        <v>1993.1309220000001</v>
      </c>
      <c r="U228" s="3">
        <f>2337.1+(1042.5-954.4)+(2.383842+(1.06335-0.973488))+0-465.4-0.474708000000074</f>
        <v>1961.7989959999998</v>
      </c>
      <c r="V228" s="3">
        <f>2370.3+(1074.5-1030.3)+(0+(0-0))+0-512-0</f>
        <v>1902.5</v>
      </c>
      <c r="W228" s="3">
        <f>3293.2+(940.1-1638.1)+(-3.359064+(-0.958902--1.670862))+0-511.1--0.521322000000082</f>
        <v>2081.9742179999998</v>
      </c>
      <c r="X228" s="3">
        <f>4001+(923.5-1979.9)+(-6.12153+(-1.412955--3.029247))+0-642.7--0.983331000000037</f>
        <v>2298.3780929999998</v>
      </c>
      <c r="Y228" s="3">
        <f>3304+(983.9-1364.8)+(-8.4252+(-2.508945--3.48024))+0-680.1--1.7342549999999</f>
        <v>2237.28035</v>
      </c>
      <c r="Z228" s="3">
        <f>2770+(970.6-747.8)+(-7.0635+(-2.47503--1.90689))+0-674.4--1.7197199999999</f>
        <v>2312.4880800000001</v>
      </c>
      <c r="AA228" s="3">
        <f>2504+(944.3-677.3)+(-7.66224+(-2.889558--2.072538))+0-667.6--2.04285600000008</f>
        <v>2096.9635960000001</v>
      </c>
      <c r="AB228" s="3">
        <f>2643+(912.2-584.8)+(-2.69586+(-0.930444--0.596496))+0-671.3--0.684726000000107</f>
        <v>2296.7549180000001</v>
      </c>
      <c r="AC228" s="3">
        <f>2438+(855.3-446.2)+(-3.73014+(-1.308609--0.682686))+0-616.3--0.942939000000036</f>
        <v>2227.386876</v>
      </c>
      <c r="AD228">
        <f t="shared" si="3"/>
        <v>48258.637803000005</v>
      </c>
      <c r="AE228" s="3">
        <f>4098+(950.4-1948.8)+(0+(0-0))+0-739-0</f>
        <v>2360.6</v>
      </c>
    </row>
    <row r="229" spans="1:31" customFormat="1" x14ac:dyDescent="0.25">
      <c r="A229">
        <v>89</v>
      </c>
      <c r="B229">
        <v>8</v>
      </c>
      <c r="C229">
        <v>13</v>
      </c>
      <c r="D229">
        <v>6</v>
      </c>
      <c r="E229">
        <v>1</v>
      </c>
      <c r="F229" s="3">
        <f>1885.6+(1083.3-196.7)+(-0.961656+(-0.552483--0.100317))+0-632.5--0.322574999999936</f>
        <v>2138.608753</v>
      </c>
      <c r="G229" s="3">
        <f>1681+(1097.2-228.7)+(-1.71462+(-1.119144--0.233274))+0-530.4--0.541008000000085</f>
        <v>2017.0405180000002</v>
      </c>
      <c r="H229" s="3">
        <f>1759.3+(1135-345.3)+(-0.897243+(-0.57885--0.176103))+0-614.3--0.313292999999938</f>
        <v>1933.713303</v>
      </c>
      <c r="I229" s="3">
        <f>1738.6+(1004.3-399.9)+(0+(0-0))+0-476.8-0</f>
        <v>1866.2</v>
      </c>
      <c r="J229" s="3">
        <f>1861.2+(957.9-426.6)+(3.796848+(1.954116-0.870264))+0-591.6-1.20686399999997</f>
        <v>1804.5738360000003</v>
      </c>
      <c r="K229" s="3">
        <f>1729+(1222.9-604.7)+(-0.88179+(-0.623679--0.308397))+0-588.3--0.30003299999994</f>
        <v>1758.0029609999999</v>
      </c>
      <c r="L229" s="3">
        <f>1789+(1255.4-714.7)+(-3.64956+(-2.561016--1.457988))+0-592.9--1.20951599999997</f>
        <v>1733.2569279999998</v>
      </c>
      <c r="M229" s="3">
        <f>1831.7+(1139.8-709.8)+(-1.868334+(-1.162596--0.723996))+0-623.3--0.635766000000099</f>
        <v>1636.7288319999998</v>
      </c>
      <c r="N229" s="3">
        <f>1815.7+(992.1-545.6)+(-0.926007+(-0.505971--0.278256))+0-588.3--0.30003299999994</f>
        <v>1673.0463109999998</v>
      </c>
      <c r="O229" s="3">
        <f>1903.7+(864.6-479.8)+(-2.912661+(-1.322838--0.734094))+0-559.2--0.855576000000032</f>
        <v>1726.6541709999999</v>
      </c>
      <c r="P229" s="3">
        <f>2055.7+(741.2-460.2)+(0+(0-0))+0-544.8-0</f>
        <v>1791.8999999999999</v>
      </c>
      <c r="Q229" s="3">
        <f>2275.6+(688.8-451)+(0+(0-0))+0-640.2-0</f>
        <v>1873.1999999999996</v>
      </c>
      <c r="R229" s="3">
        <f>2140.5+(623.3-359.7)+(-3.274965+(-0.953649--0.550341))+0-536.3--0.820539000000031</f>
        <v>1864.942266</v>
      </c>
      <c r="S229" s="3">
        <f>2115.4+(677.9-218.7)+(-4.315416+(-1.382916--0.446148))+0-613.6--1.25174399999997</f>
        <v>1956.99956</v>
      </c>
      <c r="T229" s="3">
        <f>1996.3+(738.7-263.2)+(1.018113+(0.376737-0.134232))+0-546.1-0.278510999999945</f>
        <v>1926.6821070000001</v>
      </c>
      <c r="U229" s="3">
        <f>1734.1+(827.5-236.1)+(-4.421955+(-2.110125--0.602055))+0-424.2--1.08170999999994</f>
        <v>1896.4516849999998</v>
      </c>
      <c r="V229" s="3">
        <f>1859.7+(931.6-260.9)+(-2.845341+(-1.425348--0.399177))+0-673.4--1.03030200000004</f>
        <v>1854.15879</v>
      </c>
      <c r="W229" s="3">
        <f>2963.1+(586.4-934.5)+(-3.022362+(-0.598128--0.95319))+0-544.9--0.555798000000087</f>
        <v>2067.9884979999997</v>
      </c>
      <c r="X229" s="3">
        <f>3376.4+(606.2-1076.5)+(-6.887856+(-1.236648--2.19606))+0-693.6--1.41494399999997</f>
        <v>2207.9865000000004</v>
      </c>
      <c r="Y229" s="3">
        <f>2931.4+(654.5-854.9)+(-7.47507+(-1.668975--2.179995))+0-564.2--1.43870999999992</f>
        <v>2161.2746599999996</v>
      </c>
      <c r="Z229" s="3">
        <f>2609.5+(750.5-638.1)+(-3.992535+(-1.148265--0.976293))+0-575.8--0.880974000000033</f>
        <v>2142.8164670000001</v>
      </c>
      <c r="AA229" s="3">
        <f>2592.5+(778.5-663.3)+(-1.322175+(-0.397035--0.338283))+0-624.3--0.318392999999937</f>
        <v>2082.3374659999995</v>
      </c>
      <c r="AB229" s="3">
        <f>2307.7+(821.3-457.9)+(-4.707708+(-1.675452--0.934116))+0-632.9--1.29111599999997</f>
        <v>2034.0420719999997</v>
      </c>
      <c r="AC229" s="3">
        <f>2210.9+(764.6-378.6)+(-5.637795+(-1.94973--0.96543))+0-581.3--1.48231499999992</f>
        <v>2010.4602199999999</v>
      </c>
      <c r="AD229">
        <f t="shared" si="3"/>
        <v>46159.065903999995</v>
      </c>
      <c r="AE229" s="3">
        <f>3300.1+(610.2-1031.4)+(0+(0-0))+0-824.4-0</f>
        <v>2054.4999999999995</v>
      </c>
    </row>
    <row r="230" spans="1:31" customFormat="1" x14ac:dyDescent="0.25">
      <c r="A230">
        <v>89</v>
      </c>
      <c r="B230">
        <v>8</v>
      </c>
      <c r="C230">
        <v>14</v>
      </c>
      <c r="D230">
        <v>7</v>
      </c>
      <c r="E230">
        <v>1</v>
      </c>
      <c r="F230" s="3">
        <f>1710.3+(956.6-157.6)+(-1.744506+(-0.975732--0.160752))+0-648.8--0.661776000000103</f>
        <v>1858.6022900000003</v>
      </c>
      <c r="G230" s="3">
        <f>1731+(784.2-135.5)+(-0.88281+(-0.399942--0.069105))+0-603.8--0.307937999999939</f>
        <v>1774.9942909999997</v>
      </c>
      <c r="H230" s="3">
        <f>1803.5+(550.6-182.2)+(-0.919785+(-0.280806--0.092922))+0-458.2--0.233681999999954</f>
        <v>1712.8260130000001</v>
      </c>
      <c r="I230" s="3">
        <f>1935.3+(615-175.6)+(-1.974006+(-0.6273--0.179112))+0-726.8--0.741336000000116</f>
        <v>1646.2191419999997</v>
      </c>
      <c r="J230" s="3">
        <f>2034.2+(346.5-228.8)+(-3.112326+(-0.530145--0.350064))+0-536.4--0.820692000000031</f>
        <v>1613.0282850000001</v>
      </c>
      <c r="K230" s="3">
        <f>2147.7+(356.9-220.9)+(2.190654+(0.364038-0.225318))+0-707.7-0.721854000000113</f>
        <v>1577.6075199999996</v>
      </c>
      <c r="L230" s="3">
        <f>1916.3+(410.3-210.2)+(-4.886565+(-1.046265--0.53601))+0-562.3--1.43386499999992</f>
        <v>1550.1370450000002</v>
      </c>
      <c r="M230" s="3">
        <f>1814.7+(496.5-184.4)+(0+(0-0))+0-621.7-0</f>
        <v>1505.1000000000001</v>
      </c>
      <c r="N230" s="3">
        <f>1817+(524.1-205.4)+(-0.92667+(-0.267291--0.104754))+0-587--0.29936999999994</f>
        <v>1547.9101629999998</v>
      </c>
      <c r="O230" s="3">
        <f>1941.3+(511.4-263.1)+(0.990063+(0.260814-0.134181))+0-582.4-0.297023999999941</f>
        <v>1608.0196719999999</v>
      </c>
      <c r="P230" s="3">
        <f>1931.7+(557.8-294.9)+(-1.970334+(-0.568956--0.300798))+0-569.7--0.581094000000091</f>
        <v>1623.242602</v>
      </c>
      <c r="Q230" s="3">
        <f>1948.1+(529.8-249.4)+(-4.967655+(-1.35099--0.63597))+0-520.5--1.32727499999992</f>
        <v>1703.6445999999999</v>
      </c>
      <c r="R230" s="3">
        <f>2024+(605.4-239.8)+(-2.06448+(-0.617508--0.244596))+0-647.3--0.660246000000103</f>
        <v>1740.5228540000003</v>
      </c>
      <c r="S230" s="3">
        <f>1966.8+(602.2-205.9)+(-3.009204+(-0.921366--0.315027))+0-594.7--0.909891000000034</f>
        <v>1765.694348</v>
      </c>
      <c r="T230" s="3">
        <f>1944.7+(636.8-209.7)+(-1.983594+(-0.649536--0.213894))+0-570.9--0.582318000000091</f>
        <v>1799.0630819999999</v>
      </c>
      <c r="U230" s="3">
        <f>1767.5+(811.8-184.5)+(-2.704275+(-1.242054--0.282285))+0-613.6--0.938808000000036</f>
        <v>1778.4747640000003</v>
      </c>
      <c r="V230" s="3">
        <f>1880+(648.9-190.7)+(-1.9176+(-0.661878--0.194514))+0-586.4--0.598128000000093</f>
        <v>1750.013164</v>
      </c>
      <c r="W230" s="3">
        <f>2871.8+(271-573.2)+(-1.464618+(-0.13821--0.292332))+0-620.6--0.316505999999937</f>
        <v>1948.0060100000003</v>
      </c>
      <c r="X230" s="3">
        <f>3624+(215.8-1077.3)+(-3.69648+(-0.220116--1.098846))+0-649.5--0.662490000000104</f>
        <v>2110.84474</v>
      </c>
      <c r="Y230" s="3">
        <f>3255.2+(239.2-783.2)+(-3.320304+(-0.243984--0.798864))+0-626--0.6385200000001</f>
        <v>2083.0730959999996</v>
      </c>
      <c r="Z230" s="3">
        <f>2904.4+(315-554.2)+(-4.443732+(-0.48195--0.847926))+0-652.4--0.998172000000038</f>
        <v>2009.7204159999997</v>
      </c>
      <c r="AA230" s="3">
        <f>2696.6+(371-442.9)+(-2.750532+(-0.37842--0.451758))+0-644.7--0.657594000000103</f>
        <v>1977.9803999999999</v>
      </c>
      <c r="AB230" s="3">
        <f>2491.6+(450.6-515.3)+(-1.270716+(-0.229806--0.262803))+0-538.9--0.274838999999945</f>
        <v>1887.0371199999997</v>
      </c>
      <c r="AC230" s="3">
        <f>2447.2+(432.6-525.4)+(-6.24036+(-1.10313--1.33977))+0-541.5--1.38082499999992</f>
        <v>1808.2771049999994</v>
      </c>
      <c r="AD230">
        <f t="shared" si="3"/>
        <v>42380.038721999998</v>
      </c>
      <c r="AE230" s="3">
        <f>3827.2+(205-1148.6)+(0+(0-0))+0-617.1-0</f>
        <v>2266.5</v>
      </c>
    </row>
    <row r="231" spans="1:31" customFormat="1" x14ac:dyDescent="0.25">
      <c r="A231">
        <v>89</v>
      </c>
      <c r="B231">
        <v>8</v>
      </c>
      <c r="C231">
        <v>15</v>
      </c>
      <c r="D231">
        <v>1</v>
      </c>
      <c r="E231">
        <v>1</v>
      </c>
      <c r="F231" s="3">
        <f>1987.1+(592.3-335.6)+(-5.067105+(-1.510365--0.85578))+0-554.6--1.41422999999992</f>
        <v>1684.8925399999998</v>
      </c>
      <c r="G231" s="3">
        <f>1963.2+(494.3-215.2)+(-8.009856+(-2.016744--0.878016))+0-641.7--2.61813599999994</f>
        <v>1594.0695520000002</v>
      </c>
      <c r="H231" s="3">
        <f>1849.5+(419.9-181.6)+(-3.77298+(-0.856596--0.370464))+0-535.2--1.09180799999998</f>
        <v>1549.4326959999999</v>
      </c>
      <c r="I231" s="3">
        <f>1993.5+(375.5-278.1)+(2.03337+(0.38301-0.283662))+0-583.7-0.595374000000093</f>
        <v>1508.7373439999999</v>
      </c>
      <c r="J231" s="3">
        <f>2010.8+(400.8-274.6)+(-1.025508+(-0.204408--0.140046))+0-648.2--0.330581999999934</f>
        <v>1488.040712</v>
      </c>
      <c r="K231" s="3">
        <f>1937.5+(533.2-369.2)+(-2.964375+(-0.815796--0.564876))+0-607.8--0.929934000000035</f>
        <v>1491.4146390000001</v>
      </c>
      <c r="L231" s="3">
        <f>2062.6+(742.5-706.2)+(0+(0-0))+0-569.1-0</f>
        <v>1529.7999999999997</v>
      </c>
      <c r="M231" s="3">
        <f>2165+(853.1-865.3)+(-1.10415+(-0.435081--0.441303))+0-620.8--0.316607999999937</f>
        <v>1531.2186799999999</v>
      </c>
      <c r="N231" s="3">
        <f>2162.5+(866.3-939.7)+(1.102875+(0.441813-0.479247))+0-518-0.264179999999947</f>
        <v>1571.9012610000002</v>
      </c>
      <c r="O231" s="3">
        <f>2166.9+(829.9-829)+(2.210238+(0.846498-0.84558))+0-540.1-0.550902000000086</f>
        <v>1629.3602539999999</v>
      </c>
      <c r="P231" s="3">
        <f>2464.1+(739.4-1027)+(0+(0-0))+0-502.6-0</f>
        <v>1673.9</v>
      </c>
      <c r="Q231" s="3">
        <f>2569.8+(684.8-1093)+(-3.931794+(-1.047744--1.67229))+0-426.4--0.652392000000025</f>
        <v>1732.5451440000002</v>
      </c>
      <c r="R231" s="3">
        <f>2235.8+(717.9-762.4)+(-7.981806+(-2.562903--2.721768))+0-461.2--1.64648400000001</f>
        <v>1723.9235430000003</v>
      </c>
      <c r="S231" s="3">
        <f>2345.6+(721.2-836.2)+(-1.196256+(-0.367812--0.426462))+0-475.9--0.242708999999952</f>
        <v>1753.8051029999999</v>
      </c>
      <c r="T231" s="3">
        <f>2503.1+(701-1030.5)+(-5.106324+(-1.43004--2.10222))+0-433.7--0.884747999999981</f>
        <v>1736.350604</v>
      </c>
      <c r="U231" s="3">
        <f>2335.4+(816.6-902.3)+(0+(0-0))+0-476.1-0</f>
        <v>1773.6000000000004</v>
      </c>
      <c r="V231" s="3">
        <f>2592.8+(811.2-1141.7)+(-1.322328+(-0.413712--0.582267))+0-493--0.25142999999995</f>
        <v>1768.3976570000002</v>
      </c>
      <c r="W231" s="3">
        <f>3571+(606.6-1635.4)+(-1.82121+(-0.309366--0.834054))+0-591.8--0.30181799999994</f>
        <v>1949.4052959999997</v>
      </c>
      <c r="X231" s="3">
        <f>4153.8+(582.1-2046.9)+(-10.59219+(-1.484355--5.219595))+0-546.2--1.39280999999992</f>
        <v>2137.3358599999997</v>
      </c>
      <c r="Y231" s="3">
        <f>3632+(589.7-1679.3)+(-11.11392+(-1.804482--5.138658))+0-471.3--1.44217800000005</f>
        <v>2064.7624340000002</v>
      </c>
      <c r="Z231" s="3">
        <f>2723.1+(689.3-864.7)+(-4.166343+(-1.054629--1.322991))+0-541.6--0.828648000000031</f>
        <v>2003.0306669999998</v>
      </c>
      <c r="AA231" s="3">
        <f>2170.3+(773.4-553.8)+(-3.320559+(-1.183302--0.847314))+0-468.5--0.716805000000027</f>
        <v>1918.4602580000001</v>
      </c>
      <c r="AB231" s="3">
        <f>2129.2+(923.1-609.3)+(-3.257676+(-1.412343--0.932229))+0-643.4--0.984402000000037</f>
        <v>1796.8466119999998</v>
      </c>
      <c r="AC231" s="3">
        <f>1878+(1007-713.1)+(-3.83112+(-2.05428--1.454724))+0-523.8--1.06855199999998</f>
        <v>1644.7378760000001</v>
      </c>
      <c r="AD231">
        <f t="shared" si="3"/>
        <v>41255.968732000001</v>
      </c>
      <c r="AE231" s="3">
        <f>4444+(532.4-2268.1)+(0+(0-0))+0-633.1-0</f>
        <v>2075.2000000000003</v>
      </c>
    </row>
    <row r="232" spans="1:31" customFormat="1" x14ac:dyDescent="0.25">
      <c r="A232">
        <v>89</v>
      </c>
      <c r="B232">
        <v>8</v>
      </c>
      <c r="C232">
        <v>16</v>
      </c>
      <c r="D232">
        <v>2</v>
      </c>
      <c r="E232">
        <v>1</v>
      </c>
      <c r="F232" s="3">
        <f>1941.7+(1061-867.9)+(-1.980534+(-1.08222--0.885258))+0-602.8--0.614856000000096</f>
        <v>1530.4373600000006</v>
      </c>
      <c r="G232" s="3">
        <f>1995.3+(877.4-746.9)+(-1.017603+(-0.447474--0.380919))+0-479.2--0.244391999999951</f>
        <v>1645.7602340000001</v>
      </c>
      <c r="H232" s="3">
        <f>1987.3+(771.8-639.2)+(-3.040569+(-1.180854--0.977976))+0-530.7--0.811971000000031</f>
        <v>1586.7685239999998</v>
      </c>
      <c r="I232" s="3">
        <f>1839.4+(732.5-643.6)+(-1.876188+(-0.74715--0.656472))+0-461--0.470220000000074</f>
        <v>1465.8033540000004</v>
      </c>
      <c r="J232" s="3">
        <f>1896.2+(743.7-703.8)+(1.934124+(0.758574-0.717876))+0-490.9-0.500718000000078</f>
        <v>1446.6741039999999</v>
      </c>
      <c r="K232" s="3">
        <f>2002.3+(750.2-722.8)+(5.105865+(1.91301-1.84314))+0-563.8-1.43768999999992</f>
        <v>1469.6380450000001</v>
      </c>
      <c r="L232" s="3">
        <f>1833.9+(844.3-657)+(-2.805867+(-1.291779--1.00521))+0-501.1--0.766683000000029</f>
        <v>1517.7742470000001</v>
      </c>
      <c r="M232" s="3">
        <f>1805.6+(796.9-620.2)+(-4.60428+(-2.032095--1.58151))+0-472.9--1.20589499999993</f>
        <v>1505.5510299999994</v>
      </c>
      <c r="N232" s="3">
        <f>1886+(843.1-771.3)+(2.88558+(1.289943-1.180089))+0-428.3-0.655299000000025</f>
        <v>1531.8401350000001</v>
      </c>
      <c r="O232" s="3">
        <f>1983.8+(897.6-783.8)+(-3.035214+(-1.373328--1.199214))+0-522.1--0.79881300000003</f>
        <v>1573.0894850000002</v>
      </c>
      <c r="P232" s="3">
        <f>2228.3+(910.8-864.4)+(-1.136433+(-0.464508--0.440844))+0-522--0.266219999999947</f>
        <v>1751.8061230000003</v>
      </c>
      <c r="Q232" s="3">
        <f>2249.8+(866.1-826.3)+(-1.147398+(-0.441711--0.421413))+0-562.8--0.287027999999943</f>
        <v>1725.9193320000004</v>
      </c>
      <c r="R232" s="3">
        <f>2223.7+(849.4-800.2)+(-4.536348+(-1.732776--1.632408))+0-505.3--1.03081199999998</f>
        <v>1763.9940959999997</v>
      </c>
      <c r="S232" s="3">
        <f>2406.7+(809.9-947.9)+(0+(0-0))+0-409.1-0</f>
        <v>1859.6</v>
      </c>
      <c r="T232" s="3">
        <f>2412.7+(837-985)+(2.460954+(0.85374-1.0047))+0-388.7-0.396474000000062</f>
        <v>1877.9135199999998</v>
      </c>
      <c r="U232" s="3">
        <f>2351.1+(823.1-937.8)+(-2.398122+(-0.839562--0.956556))+0-388.9--0.396678000000062</f>
        <v>1845.61555</v>
      </c>
      <c r="V232" s="3">
        <f>2443.6+(845.8-931.2)+(-1.246236+(-0.431358--0.474912))+0-543.5--0.277184999999945</f>
        <v>1813.7745029999996</v>
      </c>
      <c r="W232" s="3">
        <f>3632.3+(586.2-1715.7)+(-1.852473+(-0.298962--0.875007))+0-440.1--0.224450999999955</f>
        <v>2061.6480230000002</v>
      </c>
      <c r="X232" s="3">
        <f>4293.3+(563.9-2097.5)+(-2.189583+(-0.287589--1.069725))+0-566.1--0.288710999999943</f>
        <v>2192.4812640000005</v>
      </c>
      <c r="Y232" s="3">
        <f>3500.6+(665.2-1497.2)+(-8.92653+(-1.69626--3.81786))+0-524.4--1.33721999999992</f>
        <v>2138.7322899999999</v>
      </c>
      <c r="Z232" s="3">
        <f>2850.4+(757.9-976.2)+(-7.26852+(-1.932645--2.48931))+0-538--1.37189999999992</f>
        <v>2088.760045</v>
      </c>
      <c r="AA232" s="3">
        <f>2255.3+(843.3-587.8)+(-2.300406+(-0.860166--0.599556))+0-535--0.545700000000085</f>
        <v>1973.7846840000002</v>
      </c>
      <c r="AB232" s="3">
        <f>1990.1+(969-491.5)+(-2.029902+(-0.98838--0.50133))+0-553.7--0.564774000000088</f>
        <v>1911.9478220000001</v>
      </c>
      <c r="AC232" s="3">
        <f>1825+(993.7-446.5)+(-4.65375+(-2.533935--1.138575))+0-611.9--1.56034499999991</f>
        <v>1755.8112349999997</v>
      </c>
      <c r="AD232">
        <f t="shared" si="3"/>
        <v>42035.125005000002</v>
      </c>
      <c r="AE232" s="3">
        <f>4359+(554.9-2102.6)+(0+(0-0))+0-547.2-0</f>
        <v>2264.1000000000004</v>
      </c>
    </row>
    <row r="233" spans="1:31" customFormat="1" x14ac:dyDescent="0.25">
      <c r="A233">
        <v>89</v>
      </c>
      <c r="B233">
        <v>8</v>
      </c>
      <c r="C233">
        <v>17</v>
      </c>
      <c r="D233">
        <v>3</v>
      </c>
      <c r="E233">
        <v>1</v>
      </c>
      <c r="F233" s="3">
        <f>1748.3+(937.2-556.7)+(-2.674899+(-1.433916--0.851751))+0-460.7--0.704871000000027</f>
        <v>1665.5478070000004</v>
      </c>
      <c r="G233" s="3">
        <f>1815.2+(865.8-471.2)+(-3.703008+(-1.766232--0.961248))+0-635.8--1.29703199999997</f>
        <v>1570.7890400000003</v>
      </c>
      <c r="H233" s="3">
        <f>1754.5+(768.4-514.8)+(-2.684385+(-1.175652--0.787644))+0-511--0.78183000000003</f>
        <v>1494.8094370000001</v>
      </c>
      <c r="I233" s="3">
        <f>2063+(774.8-709.7)+(-1.05213+(-0.395148--0.361947))+0-566.3--0.288812999999943</f>
        <v>1561.0034819999996</v>
      </c>
      <c r="J233" s="3">
        <f>2003.3+(775.2-791.5)+(-1.021683+(-0.395352--0.403665))+0-492.4--0.25112399999995</f>
        <v>1493.8377540000001</v>
      </c>
      <c r="K233" s="3">
        <f>2077+(756.6-819.8)+(0+(0-0))+0-525.1-0</f>
        <v>1488.7000000000003</v>
      </c>
      <c r="L233" s="3">
        <f>2068.4+(848.7-892.3)+(-2.109768+(-0.865674--0.910146))+0-513--0.523260000000082</f>
        <v>1510.2579640000004</v>
      </c>
      <c r="M233" s="3">
        <f>2048.6+(845.1-884.7)+(-3.134358+(-1.293003--1.353591))+0-449.7--0.688041000000026</f>
        <v>1556.9142710000001</v>
      </c>
      <c r="N233" s="3">
        <f>2062.2+(939.4-809.4)+(-2.103444+(-0.958188--0.825588))+0-563.2--0.57446400000009</f>
        <v>1627.3384199999996</v>
      </c>
      <c r="O233" s="3">
        <f>2375.1+(942.6-1039.1)+(0+(0-0))+0-392.5-0</f>
        <v>1886.1</v>
      </c>
      <c r="P233" s="3">
        <f>2337.8+(898.8-947.8)+(0+(0-0))+0-503.1-0</f>
        <v>1785.7000000000003</v>
      </c>
      <c r="Q233" s="3">
        <f>1989.9+(882-746.6)+(-3.044547+(-1.34946--1.142298))+0-497--0.760410000000029</f>
        <v>1625.8087010000002</v>
      </c>
      <c r="R233" s="3">
        <f>2031+(868.8-465.3)+(-5.17905+(-2.21544--1.186515))+0-559.3--1.42621499999992</f>
        <v>1870.4182400000002</v>
      </c>
      <c r="S233" s="3">
        <f>2071.9+(863.2-561.6)+(1.056669+(0.440232-0.286416))+0-515.4-0.262853999999948</f>
        <v>1859.0476309999999</v>
      </c>
      <c r="T233" s="3">
        <f>1917.2+(1008.7-587.3)+(-1.955544+(-1.028874--0.599046))+0-463.9--0.473178000000074</f>
        <v>1872.787806</v>
      </c>
      <c r="U233" s="3">
        <f>2055.1+(1054.2-690.8)+(0+(0-0))+0-561-0</f>
        <v>1857.5</v>
      </c>
      <c r="V233" s="3">
        <f>2402.2+(881.2-957)+(-1.225122+(-0.449412--0.48807))+0-588.2--0.29998199999994</f>
        <v>1737.3135179999997</v>
      </c>
      <c r="W233" s="3">
        <f>3583.5+(677.3-1754.1)+(0+(0-0))+0-513.4-0</f>
        <v>1993.2999999999997</v>
      </c>
      <c r="X233" s="3">
        <f>3470.1+(797.4-1581)+(-3.539502+(-0.813348--1.61262))+0-574.4--0.585888000000092</f>
        <v>2109.9456580000001</v>
      </c>
      <c r="Y233" s="3">
        <f>3429.1+(778.5-1500.7)+(-8.744205+(-1.985175--3.826785))+0-612.9--1.56289499999991</f>
        <v>2088.6602999999996</v>
      </c>
      <c r="Z233" s="3">
        <f>3079.9+(885.5-1282.4)+(-4.712247+(-1.354815--1.962072))+0-582.8--0.891684000000034</f>
        <v>2096.9866940000002</v>
      </c>
      <c r="AA233" s="3">
        <f>2880.5+(945.6-1308.3)+(-2.93811+(-0.964512--1.334466))+0-569.7--0.581094000000091</f>
        <v>1946.1129380000004</v>
      </c>
      <c r="AB233" s="3">
        <f>2759.2+(1038.7-1295.2)+(-7.03596+(-2.648685--3.30276))+0-643.8--1.64168999999991</f>
        <v>1854.159805</v>
      </c>
      <c r="AC233" s="3">
        <f>2680.3+(1216.5-1395.3)+(-5.467812+(-2.48166--2.846412))+0-663.9--1.35435599999997</f>
        <v>1833.851296</v>
      </c>
      <c r="AD233">
        <f t="shared" si="3"/>
        <v>42386.890762000003</v>
      </c>
      <c r="AE233" s="3">
        <f>3965+(777.6-2035)+(0+(0-0))+0-492.8-0</f>
        <v>2214.7999999999997</v>
      </c>
    </row>
    <row r="234" spans="1:31" customFormat="1" x14ac:dyDescent="0.25">
      <c r="A234">
        <v>89</v>
      </c>
      <c r="B234">
        <v>8</v>
      </c>
      <c r="C234">
        <v>18</v>
      </c>
      <c r="D234">
        <v>4</v>
      </c>
      <c r="E234">
        <v>1</v>
      </c>
      <c r="F234" s="3">
        <f>2196.1+(1154.9-1052.5)+(-4.480044+(-2.355996--2.1471))+0-529.5--1.08017999999998</f>
        <v>1765.3912399999999</v>
      </c>
      <c r="G234" s="3">
        <f>2165.5+(1036.3-1089.1)+(0+(0-0))+0-514.3-0</f>
        <v>1598.3999999999999</v>
      </c>
      <c r="H234" s="3">
        <f>2318.8+(1044.6-1137.2)+(-1.182588+(-0.532746--0.579972))+0-569.9--0.290648999999942</f>
        <v>1655.4552869999998</v>
      </c>
      <c r="I234" s="3">
        <f>2248.1+(1036.4-1191.2)+(2.293062+(1.057128-1.215024))+0-509.9-0.520098000000081</f>
        <v>1585.0150679999999</v>
      </c>
      <c r="J234" s="3">
        <f>2184.2+(1039.4-1124.1)+(1.113942+(0.530094-0.573291))+0-593.1-0.30248099999994</f>
        <v>1507.1682640000001</v>
      </c>
      <c r="K234" s="3">
        <f>2259.5+(1046.7-1267.5)+(0+(0-0))+0-517.4-0</f>
        <v>1521.3000000000002</v>
      </c>
      <c r="L234" s="3">
        <f>2193.8+(1182.5-1169.6)+(1.118838+(0.603075-0.596496))+0-645.2-0.329051999999935</f>
        <v>1562.2963650000004</v>
      </c>
      <c r="M234" s="3">
        <f>2262.6+(1014.6-1135)+(0+(0-0))+0-594.5-0</f>
        <v>1547.6999999999998</v>
      </c>
      <c r="N234" s="3">
        <f>2288.9+(897.5-999.7)+(1.167339+(0.457725-0.509847))+0-578.4-0.294983999999941</f>
        <v>1609.1202329999999</v>
      </c>
      <c r="O234" s="3">
        <f>2095.4+(932.2-822.2)+(-3.205962+(-1.426266--1.257966))+0-531.5--0.813195000000031</f>
        <v>1671.3389330000002</v>
      </c>
      <c r="P234" s="3">
        <f>2110.2+(960.3-808.1)+(0+(0-0))+0-498.6-0</f>
        <v>1763.7999999999997</v>
      </c>
      <c r="Q234" s="3">
        <f>2126.4+(901.8-779.3)+(-5.42232+(-2.29959--1.987215))+0-437--1.11434999999994</f>
        <v>1807.2796549999998</v>
      </c>
      <c r="R234" s="3">
        <f>2062.3+(937.1-674.3)+(0+(0-0))+0-518.5-0</f>
        <v>1806.6000000000004</v>
      </c>
      <c r="S234" s="3">
        <f>2322.5+(710.6-609.1)+(0+(0-0))+0-490.9-0</f>
        <v>1933.1</v>
      </c>
      <c r="T234" s="3">
        <f>2158.2+(739.5-686)+(1.100682+(0.377145-0.34986))+0-420.1-0.214250999999957</f>
        <v>1792.5137159999999</v>
      </c>
      <c r="U234" s="3">
        <f>2361.3+(813.3-855.9)+(0+(0-0))+0-522.8-0</f>
        <v>1795.9000000000003</v>
      </c>
      <c r="V234" s="3">
        <f>2398.3+(952.7-968.8)+(2.446266+(0.971754-0.988176))+0-563.8-0.57507600000009</f>
        <v>1820.254768</v>
      </c>
      <c r="W234" s="3">
        <f>3541.2+(899.7-1914.5)+(1.806012+(0.458847-0.976395))+0-518.2-0.264281999999947</f>
        <v>2009.2241819999999</v>
      </c>
      <c r="X234" s="3">
        <f>3879.4+(999.3-2053.2)+(-5.935482+(-1.528929--3.141396))+0-585.7--0.896121000000034</f>
        <v>2236.3731060000005</v>
      </c>
      <c r="Y234" s="3">
        <f>3262.2+(979.6-1525.3)+(-8.31861+(-2.49798--3.889515))+0-527.4--1.34486999999992</f>
        <v>2183.5177949999998</v>
      </c>
      <c r="Z234" s="3">
        <f>3273+(979.8-1366.5)+(-1.66923+(-0.499698--0.696915))+0-689--0.35138999999993</f>
        <v>2196.1793769999999</v>
      </c>
      <c r="AA234" s="3">
        <f>2499.3+(1036-985.1)+(-2.549286+(-1.05672--1.004802))+0-474.6--0.484092000000076</f>
        <v>2073.4828880000005</v>
      </c>
      <c r="AB234" s="3">
        <f>2128.8+(1095.1-626.8)+(-6.514128+(-3.351006--1.918008))+0-591.7--1.81060200000007</f>
        <v>1999.2634760000003</v>
      </c>
      <c r="AC234" s="3">
        <f>2009+(1088.8-613.2)+(-5.12295+(-2.77644--1.56366))+0-574.7--1.46548499999992</f>
        <v>1905.029755</v>
      </c>
      <c r="AD234">
        <f t="shared" si="3"/>
        <v>43345.704107999998</v>
      </c>
      <c r="AE234" s="3">
        <f>3988+(988.2-2114.7)+(0+(0-0))+0-662.4-0</f>
        <v>2199.1</v>
      </c>
    </row>
    <row r="235" spans="1:31" customFormat="1" x14ac:dyDescent="0.25">
      <c r="A235">
        <v>89</v>
      </c>
      <c r="B235">
        <v>8</v>
      </c>
      <c r="C235">
        <v>19</v>
      </c>
      <c r="D235">
        <v>5</v>
      </c>
      <c r="E235">
        <v>1</v>
      </c>
      <c r="F235" s="3">
        <f>1665.5+(1135.3-484.7)+(-2.548215+(-1.737009--0.741591))+0-564.2--0.863226000000033</f>
        <v>1749.219593</v>
      </c>
      <c r="G235" s="3">
        <f>1676.1+(1190.6-471.8)+(-1.709622+(-1.214412--0.481236))+0-690.9--0.70471800000011</f>
        <v>1702.2619199999997</v>
      </c>
      <c r="H235" s="3">
        <f>1698.5+(1078.9-530.4)+(0+(0-0))+0-613.6-0</f>
        <v>1633.4</v>
      </c>
      <c r="I235" s="3">
        <f>1833+(1067.6-611.7)+(-3.73932+(-2.177904--1.247868))+0-686.6--1.40066399999997</f>
        <v>1599.0313079999999</v>
      </c>
      <c r="J235" s="3">
        <f>1821.2+(1043.6-704.2)+(4.64406+(2.66118-1.79571))+0-589.1-1.50220499999991</f>
        <v>1575.5073249999998</v>
      </c>
      <c r="K235" s="3">
        <f>1717.7+(1078.7-649.7)+(-2.628081+(-1.650411--0.994041))+0-570.9--0.873477000000033</f>
        <v>1573.3890259999998</v>
      </c>
      <c r="L235" s="3">
        <f>1766.6+(1101.3-680.9)+(-4.50483+(-2.808315--1.736295))+0-626.6--1.59782999999991</f>
        <v>1556.4209800000001</v>
      </c>
      <c r="M235" s="3">
        <f>1669.6+(1047.9-629.2)+(-0.851496+(-0.534429--0.320892))+0-551.2--0.281111999999944</f>
        <v>1536.3160790000002</v>
      </c>
      <c r="N235" s="3">
        <f>1875+(1071.5-871)+(0+(0-0))+0-527.7-0</f>
        <v>1547.8</v>
      </c>
      <c r="O235" s="3">
        <f>2103.2+(1095.8-1020.9)+(0+(0-0))+0-493.4-0</f>
        <v>1684.6999999999998</v>
      </c>
      <c r="P235" s="3">
        <f>2146.1+(1149.9-1016.4)+(1.094511+(0.586449-0.518364))+0-499.4-0.254693999999949</f>
        <v>1781.107902</v>
      </c>
      <c r="Q235" s="3">
        <f>2353.1+(1179.6-1035.8)+(-7.200486+(-3.609576--3.169548))+0-488.2--1.49389200000006</f>
        <v>2002.5533779999994</v>
      </c>
      <c r="R235" s="3">
        <f>2202.9+(1122-924.7)+(-2.246958+(-1.14444--0.943194))+0-468--0.477360000000075</f>
        <v>1930.2291560000001</v>
      </c>
      <c r="S235" s="3">
        <f>2001+(1101.2-681.6)+(0+(0-0))+0-478.5-0</f>
        <v>1942.1</v>
      </c>
      <c r="T235" s="3">
        <f>1882.1+(1132.8-561.3)+(-1.919742+(-1.155456--0.572526))+0-533.6--0.544272000000085</f>
        <v>1918.0416</v>
      </c>
      <c r="U235" s="3">
        <f>1875.8+(1069.2-624.1)+(-2.869974+(-1.635876--0.954873))+0-424.9--0.650097000000025</f>
        <v>1893.0991200000001</v>
      </c>
      <c r="V235" s="3">
        <f>2159+(1110.4-820.6)+(1.10109+(0.566304-0.418506))+0-570.3-0.290852999999942</f>
        <v>1879.4580350000003</v>
      </c>
      <c r="W235" s="3">
        <f>3602.2+(914.8-1982)+(1.837122+(0.466548-1.01082))+0-479.5-0.244544999999951</f>
        <v>2056.5483049999998</v>
      </c>
      <c r="X235" s="3">
        <f>4050.5+(933.6-2317)+(0+(0-0))+0-467.7-0</f>
        <v>2199.4</v>
      </c>
      <c r="Y235" s="3">
        <f>3511.3+(1000.9-1842.8)+(-10.744578+(-3.062754--5.638968))+0-493.3--1.50949800000006</f>
        <v>2169.4411339999997</v>
      </c>
      <c r="Z235" s="3">
        <f>2932.8+(1023.4-1435.7)+(-2.991456+(-1.043868--1.464414))+0-502.6--0.51265200000008</f>
        <v>2015.8417420000003</v>
      </c>
      <c r="AA235" s="3">
        <f>2894.2+(1080.2-1403.1)+(1.476042+(0.550902-0.715581))+0-543-0.276929999999945</f>
        <v>2029.334433</v>
      </c>
      <c r="AB235" s="3">
        <f>2541.5+(1127.5-1237.4)+(-5.18466+(-2.3001--2.524296))+0-450.9--0.91983599999998</f>
        <v>1976.6593720000001</v>
      </c>
      <c r="AC235" s="3">
        <f>2185.3+(1153.3-891.7)+(-3.343509+(-1.764549--1.364301))+0-563.9--0.862767000000033</f>
        <v>1880.1190099999999</v>
      </c>
      <c r="AD235">
        <f t="shared" si="3"/>
        <v>43831.979418000003</v>
      </c>
      <c r="AE235" s="3">
        <f>4291+(933.9-2489.2)+(0+(0-0))+0-521.1-0</f>
        <v>2214.6000000000004</v>
      </c>
    </row>
    <row r="236" spans="1:31" customFormat="1" x14ac:dyDescent="0.25">
      <c r="A236">
        <v>89</v>
      </c>
      <c r="B236">
        <v>8</v>
      </c>
      <c r="C236">
        <v>20</v>
      </c>
      <c r="D236">
        <v>6</v>
      </c>
      <c r="E236">
        <v>1</v>
      </c>
      <c r="F236" s="3">
        <f>1961+(1101.6-765.1)+(-2.00022+(-1.123632--0.780402))+0-543.7--0.554574000000087</f>
        <v>1752.0111240000001</v>
      </c>
      <c r="G236" s="3">
        <f>1759+(1156.2-710.1)+(-2.69127+(-1.768986--1.086453))+0-541--0.827730000000031</f>
        <v>1661.5539269999999</v>
      </c>
      <c r="H236" s="3">
        <f>1579.3+(1145.7-571.1)+(-2.416329+(-1.752921--0.873783))+0-541.1--0.827883000000031</f>
        <v>1610.3324160000002</v>
      </c>
      <c r="I236" s="3">
        <f>1579.2+(1099.9-625.6)+(0.805392+(0.560949-0.319056))+0-493.9-0.25188899999995</f>
        <v>1560.3953960000001</v>
      </c>
      <c r="J236" s="3">
        <f>1767.1+(1076.7-675.1)+(2.703663+(1.647351-1.032903))+0-615.5-0.941715000000036</f>
        <v>1555.5763959999999</v>
      </c>
      <c r="K236" s="3">
        <f>1828.5+(943.4-764.9)+(1.86507+(0.962268-0.780198))+0-477.3-0.486846000000076</f>
        <v>1531.2602939999999</v>
      </c>
      <c r="L236" s="3">
        <f>1794.4+(936-654.5)+(-0.915144+(-0.47736--0.333795))+0-509--0.259589999999948</f>
        <v>1566.1008810000001</v>
      </c>
      <c r="M236" s="3">
        <f>1841.9+(927.8-708.8)+(2.818107+(1.419534-1.084464))+0-551.8-0.844254000000032</f>
        <v>1511.4089230000002</v>
      </c>
      <c r="N236" s="3">
        <f>2095+(980.9-1052.5)+(3.20535+(1.500777-1.610325))+0-463-0.708390000000027</f>
        <v>1562.7874120000001</v>
      </c>
      <c r="O236" s="3">
        <f>2310.1+(1054.4-1272.4)+(2.356302+(1.075488-1.297848))+0-454.8-0.463896000000073</f>
        <v>1638.9700459999999</v>
      </c>
      <c r="P236" s="3">
        <f>2518.7+(1004-1285.2)+(3.853611+(1.53612-1.966356))+0-508.7-0.778311000000029</f>
        <v>1731.4450639999998</v>
      </c>
      <c r="Q236" s="3">
        <f>2410.3+(961.7-1108.6)+(-2.458506+(-0.980934--1.130772))+0-480.7--0.490314000000077</f>
        <v>1780.8816460000005</v>
      </c>
      <c r="R236" s="3">
        <f>2046+(966.2-656.7)+(-2.08692+(-0.985524--0.669834))+0-547.3--0.558246000000087</f>
        <v>1806.355636</v>
      </c>
      <c r="S236" s="3">
        <f>1972.5+(898.6-454.9)+(-4.0239+(-1.833144--0.927996))+0-586.3--1.19605199999997</f>
        <v>1826.1670039999999</v>
      </c>
      <c r="T236" s="3">
        <f>1965.6+(894.2-608.2)+(-4.009824+(-1.824168--1.240728))+0-435.8--0.889031999999981</f>
        <v>1812.0957679999999</v>
      </c>
      <c r="U236" s="3">
        <f>2021.7+(828-568)+(-3.093201+(-1.26684--0.86904))+0-489.1--0.748323000000028</f>
        <v>1789.8573220000001</v>
      </c>
      <c r="V236" s="3">
        <f>2355.2+(683.1-727.2)+(2.402304+(0.696762-0.741744))+0-519.3-0.529686000000083</f>
        <v>1793.6276359999997</v>
      </c>
      <c r="W236" s="3">
        <f>3543.5+(511-1447.5)+(-1.807185+(-0.26061--0.738225))+0-564.6--0.287945999999943</f>
        <v>2041.3583760000001</v>
      </c>
      <c r="X236" s="3">
        <f>3831.9+(515.3-1637.8)+(-9.771345+(-1.314015--4.17639))+0-577.1--1.47160499999992</f>
        <v>2126.862635</v>
      </c>
      <c r="Y236" s="3">
        <f>3547.3+(580.2-1540)+(-5.427369+(-0.887706--2.3562))+0-508.1--0.777393000000029</f>
        <v>2076.2185180000001</v>
      </c>
      <c r="Z236" s="3">
        <f>3297.1+(709-1412.4)+(-1.681521+(-0.36159--0.720324))+0-585.4--0.298553999999941</f>
        <v>2007.2757669999996</v>
      </c>
      <c r="AA236" s="3">
        <f>2968.5+(752.3-1267.1)+(-4.541805+(-1.151019--1.938663))+0-493.8--0.755514000000029</f>
        <v>1956.901353</v>
      </c>
      <c r="AB236" s="3">
        <f>2528.8+(806.2-934.3)+(-3.869064+(-1.233486--1.429479))+0-531.8--0.813654000000031</f>
        <v>1866.0405830000002</v>
      </c>
      <c r="AC236" s="3">
        <f>2360.3+(879.4-928.9)+(-4.815012+(-1.793976--1.894956))+0-519.9--1.06059599999998</f>
        <v>1787.2465640000003</v>
      </c>
      <c r="AD236">
        <f t="shared" si="3"/>
        <v>42352.73068700001</v>
      </c>
      <c r="AE236" s="3">
        <f>4272+(451.7-1995.7)+(0+(0-0))+0-661.9-0</f>
        <v>2066.1</v>
      </c>
    </row>
    <row r="237" spans="1:31" customFormat="1" x14ac:dyDescent="0.25">
      <c r="A237">
        <v>89</v>
      </c>
      <c r="B237">
        <v>8</v>
      </c>
      <c r="C237">
        <v>21</v>
      </c>
      <c r="D237">
        <v>7</v>
      </c>
      <c r="E237">
        <v>1</v>
      </c>
      <c r="F237" s="3">
        <f>1935.4+(916.5-687.3)+(-2.961162+(-1.402245--1.051569))+0-472.1--0.722313000000027</f>
        <v>1689.9104750000004</v>
      </c>
      <c r="G237" s="3">
        <f>1881.5+(881.5-525.1)+(-2.878695+(-1.348695--0.803403))+0-625.5--0.957015000000036</f>
        <v>1609.9330279999999</v>
      </c>
      <c r="H237" s="3">
        <f>1876.8+(817.3-532.1)+(-1.914336+(-0.833646--0.542742))+0-607.6--0.619752000000097</f>
        <v>1552.8145120000004</v>
      </c>
      <c r="I237" s="3">
        <f>1917.4+(772.9-592)+(-2.933622+(-1.182537--0.90576))+0-580.3--0.887859000000033</f>
        <v>1515.6774600000001</v>
      </c>
      <c r="J237" s="3">
        <f>1866.4+(756.5-514.6)+(-0.951864+(-0.385815--0.262446))+0-640.9--0.326858999999935</f>
        <v>1466.6516260000001</v>
      </c>
      <c r="K237" s="3">
        <f>1967.9+(748-619.5)+(-1.003629+(-0.38148--0.315945))+0-612.6--0.312425999999938</f>
        <v>1483.0432620000001</v>
      </c>
      <c r="L237" s="3">
        <f>1801.5+(819.4-465.2)+(-6.431355+(-2.925258--1.660764))+0-680.1--2.42795700000001</f>
        <v>1470.3321079999998</v>
      </c>
      <c r="M237" s="3">
        <f>1803.1+(717-549.9)+(0.919581+(0.36567-0.280449))+0-507-0.258569999999949</f>
        <v>1463.9462319999998</v>
      </c>
      <c r="N237" s="3">
        <f>1849.6+(617.9-330.8)+(-2.829888+(-0.945387--0.506124))+0-637.5--0.975375000000037</f>
        <v>1496.9062239999998</v>
      </c>
      <c r="O237" s="3">
        <f>1861.3+(560.1-364.5)+(-1.898526+(-0.571302--0.37179))+0-468.8--0.478176000000075</f>
        <v>1586.4801380000001</v>
      </c>
      <c r="P237" s="3">
        <f>1934.6+(751.3-430.8)+(-0.986646+(-0.383163--0.219708))+0-591.7--0.30176699999994</f>
        <v>1662.5516659999996</v>
      </c>
      <c r="Q237" s="3">
        <f>2082.1+(569.6-469.6)+(-1.061871+(-0.290496--0.239496))+0-475.5--0.242504999999952</f>
        <v>1705.729634</v>
      </c>
      <c r="R237" s="3">
        <f>2065.2+(512.5-410.6)+(-4.213008+(-1.0455--0.837624))+0-443.5--0.904739999999981</f>
        <v>1720.0838559999997</v>
      </c>
      <c r="S237" s="3">
        <f>2105+(475.2-334.3)+(4.2942+(0.969408-0.681972))+0-536.2-1.09384799999998</f>
        <v>1713.187788</v>
      </c>
      <c r="T237" s="3">
        <f>2178.7+(601.1-364.2)+(-3.333411+(-0.919683--0.557226))+0-622.6--0.952578000000036</f>
        <v>1790.2567100000003</v>
      </c>
      <c r="U237" s="3">
        <f>2178.4+(524.6-355.2)+(-1.110984+(-0.267546--0.181152))+0-465.9--0.237608999999953</f>
        <v>1880.9402310000003</v>
      </c>
      <c r="V237" s="3">
        <f>2362.3+(518.4-524.3)+(-1.204773+(-0.264384--0.267393))+0-538.2--0.274481999999945</f>
        <v>1817.2727180000002</v>
      </c>
      <c r="W237" s="3">
        <f>2896.4+(568.9-1018.4)+(-4.431492+(-0.870417--1.558152))+0-521.7--0.79820100000003</f>
        <v>1922.2544439999999</v>
      </c>
      <c r="X237" s="3">
        <f>3233.5+(680.1-1243.4)+(-11.543595+(-2.427957--4.438938))+0-563.8--2.01276600000001</f>
        <v>2098.8801519999997</v>
      </c>
      <c r="Y237" s="3">
        <f>3517.8+(686.1-1667.8)+(-5.382234+(-1.049733--2.551734))+0-513.7--0.78596100000003</f>
        <v>2019.3057280000005</v>
      </c>
      <c r="Z237" s="3">
        <f>3503.3+(607.8-1527)+(-7.146732+(-1.239912--3.11508))+0-606.8--1.23787199999997</f>
        <v>1973.2663080000002</v>
      </c>
      <c r="AA237" s="3">
        <f>3262.6+(542.5-1338.1)+(-3.327852+(-0.55335--1.364862))+0-550.5--0.561510000000088</f>
        <v>1914.5451699999999</v>
      </c>
      <c r="AB237" s="3">
        <f>2795.1+(610.4-1022)+(-4.276503+(-0.933912--1.56366))+0-538.4--0.823752000000031</f>
        <v>1842.2769969999997</v>
      </c>
      <c r="AC237" s="3">
        <f>2436.9+(742.2-881.7)+(-3.728457+(-1.135566--1.349001))+0-552.9--0.845937000000032</f>
        <v>1741.830915</v>
      </c>
      <c r="AD237">
        <f t="shared" si="3"/>
        <v>41138.077381999996</v>
      </c>
      <c r="AE237" s="3">
        <f>3319+(685-1361.2)+(0+(0-0))+0-591.7-0</f>
        <v>2051.1000000000004</v>
      </c>
    </row>
    <row r="238" spans="1:31" customFormat="1" x14ac:dyDescent="0.25">
      <c r="A238">
        <v>89</v>
      </c>
      <c r="B238">
        <v>8</v>
      </c>
      <c r="C238">
        <v>22</v>
      </c>
      <c r="D238">
        <v>1</v>
      </c>
      <c r="E238">
        <v>1</v>
      </c>
      <c r="F238" s="3">
        <f>2072+(795.7-739.5)+(2.11344+(0.811614-0.75429))+0-498.8-0.50877600000008</f>
        <v>1631.0619879999997</v>
      </c>
      <c r="G238" s="3">
        <f>2130.2+(800.5-820.8)+(0+(0-0))+0-568.1-0</f>
        <v>1541.7999999999997</v>
      </c>
      <c r="H238" s="3">
        <f>2085.7+(826.8-904.3)+(1.063707+(0.421668-0.461193))+0-519.4-0.264893999999947</f>
        <v>1489.5592879999999</v>
      </c>
      <c r="I238" s="3">
        <f>2035.9+(812.6-829.4)+(2.076618+(0.828852-0.845988))+0-559.8-0.570996000000089</f>
        <v>1460.7884859999999</v>
      </c>
      <c r="J238" s="3">
        <f>2029+(831.1-846)+(2.06958+(0.847722-0.86292))+0-572-0.583440000000091</f>
        <v>1443.5709419999998</v>
      </c>
      <c r="K238" s="3">
        <f>2120.2+(854.1-921.1)+(-1.081302+(-0.435591--0.469761))+0-609.6--0.310895999999938</f>
        <v>1442.8637639999997</v>
      </c>
      <c r="L238" s="3">
        <f>2107+(855.9-896.5)+(-3.22371+(-1.309527--1.371645))+0-561.8--0.859554000000032</f>
        <v>1502.2979620000003</v>
      </c>
      <c r="M238" s="3">
        <f>2195.6+(862.1-1033.3)+(-1.119756+(-0.439671--0.526983))+0-518.3--0.264332999999947</f>
        <v>1505.331889</v>
      </c>
      <c r="N238" s="3">
        <f>2282.4+(1006.8-1141.1)+(-2.328048+(-1.026936--1.163922))+0-591.4--0.603228000000094</f>
        <v>1555.1121660000006</v>
      </c>
      <c r="O238" s="3">
        <f>2292.1+(1020.4-1166.7)+(-3.506913+(-1.561212--1.785051))+0-528.9--0.809217000000031</f>
        <v>1614.4261429999997</v>
      </c>
      <c r="P238" s="3">
        <f>2496.4+(951.1-1328.1)+(0+(0-0))+0-418-0</f>
        <v>1701.4</v>
      </c>
      <c r="Q238" s="3">
        <f>2755.7+(955.7-1478.9)+(-1.405407+(-0.487407--0.754239))+0-459.6--0.234395999999953</f>
        <v>1771.9958210000002</v>
      </c>
      <c r="R238" s="3">
        <f>2576+(981.6-1204.2)+(-5.25504+(-2.002464--2.456568))+0-593.1--1.20992399999997</f>
        <v>1756.7089880000001</v>
      </c>
      <c r="S238" s="3">
        <f>2592.6+(953-1301.5)+(-2.644452+(-0.97206--1.32753))+0-448.7--0.457674000000072</f>
        <v>1793.5686919999998</v>
      </c>
      <c r="T238" s="3">
        <f>2609.5+(920.5-1251.6)+(-1.330845+(-0.469455--0.638316))+0-517.3--0.263822999999948</f>
        <v>1760.2018390000003</v>
      </c>
      <c r="U238" s="3">
        <f>2516.6+(874.2-1155.2)+(1.283466+(0.445842-0.589152))+0-512.6-0.261425999999948</f>
        <v>1723.8787299999999</v>
      </c>
      <c r="V238" s="3">
        <f>2955.1+(795-1440.2)+(3.014202+(0.8109-1.469004))+0-568.9-0.580278000000091</f>
        <v>1742.7758199999996</v>
      </c>
      <c r="W238" s="3">
        <f>4315.3+(763.6-2547)+(0+(0-0))+0-562.3-0</f>
        <v>1969.6000000000001</v>
      </c>
      <c r="X238" s="3">
        <f>4605.6+(740.7-2631.8)+(-2.348856+(-0.377757--1.342218))+0-590.1--0.30095099999994</f>
        <v>2123.3165559999998</v>
      </c>
      <c r="Y238" s="3">
        <f>3827+(812.9-1928.2)+(-7.80708+(-1.658316--3.933528))+0-631.9--1.28907599999997</f>
        <v>2075.5572079999997</v>
      </c>
      <c r="Z238" s="3">
        <f>3428.5+(778.9-1578.5)+(-1.748535+(-0.397239--0.805035))+0-627.9--0.320228999999936</f>
        <v>1999.9794899999997</v>
      </c>
      <c r="AA238" s="3">
        <f>3179.8+(835.8-1456.5)+(-4.865094+(-1.278774--2.228445))+0-635.3--0.972009000000037</f>
        <v>1920.8565860000006</v>
      </c>
      <c r="AB238" s="3">
        <f>2783.6+(920.8-1294)+(-7.09818+(-2.34804--3.2997))+0-585.9--1.49404499999992</f>
        <v>1819.8475249999997</v>
      </c>
      <c r="AC238" s="3">
        <f>2773+(762.8-1229.6)+(-7.07115+(-1.94514--3.13548))+0-584.7--1.49098499999992</f>
        <v>1717.1101749999996</v>
      </c>
      <c r="AD238">
        <f t="shared" si="3"/>
        <v>41063.610057999998</v>
      </c>
      <c r="AE238" s="3">
        <f>5173+(710.8-2936.5)+(0+(0-0))+0-657.1-0</f>
        <v>2290.2000000000003</v>
      </c>
    </row>
    <row r="239" spans="1:31" customFormat="1" x14ac:dyDescent="0.25">
      <c r="A239">
        <v>89</v>
      </c>
      <c r="B239">
        <v>8</v>
      </c>
      <c r="C239">
        <v>23</v>
      </c>
      <c r="D239">
        <v>2</v>
      </c>
      <c r="E239">
        <v>1</v>
      </c>
      <c r="F239" s="3">
        <f>2265.7+(832.5-886.5)+(-4.622028+(-1.6983--1.80846))+0-621.1--1.26704399999997</f>
        <v>1587.3551759999998</v>
      </c>
      <c r="G239" s="3">
        <f>1994.1+(877.8-718.8)+(-5.084955+(-2.23839--1.83294))+0-644--1.64219999999991</f>
        <v>1505.2517949999999</v>
      </c>
      <c r="H239" s="3">
        <f>2076.1+(847.8-886)+(-1.058811+(-0.432378--0.45186))+0-571.2--0.291311999999942</f>
        <v>1465.9519829999997</v>
      </c>
      <c r="I239" s="3">
        <f>2046.7+(878.9-831.5)+(-2.087634+(-0.896478--0.84813))+0-656.9--0.670038000000105</f>
        <v>1435.7340560000002</v>
      </c>
      <c r="J239" s="3">
        <f>2076.4+(891.5-907.1)+(-2.117928+(-0.90933--0.925242))+0-633.4--0.646068000000101</f>
        <v>1425.9440520000003</v>
      </c>
      <c r="K239" s="3">
        <f>2159.1+(892.6-1064.2)+(3.303423+(1.365678-1.628226))+0-535.2-0.818856000000031</f>
        <v>1454.5220189999998</v>
      </c>
      <c r="L239" s="3">
        <f>2122.1+(905.2-968.1)+(0+(0-0))+0-551.3-0</f>
        <v>1507.8999999999999</v>
      </c>
      <c r="M239" s="3">
        <f>2165.1+(840.5-958.1)+(1.104201+(0.428655-0.488631))+0-521.9-0.266168999999947</f>
        <v>1526.378056</v>
      </c>
      <c r="N239" s="3">
        <f>2061+(917.1-862.1)+(-4.20444+(-1.870884--1.758684))+0-559--1.14035999999998</f>
        <v>1553.8237199999999</v>
      </c>
      <c r="O239" s="3">
        <f>2088.5+(1000.3-925.5)+(0+(0-0))+0-447-0</f>
        <v>1716.3000000000002</v>
      </c>
      <c r="P239" s="3">
        <f>2141.8+(849.6-936.4)+(-1.092318+(-0.433296--0.477564))+0-409.1--0.208640999999958</f>
        <v>1645.0605910000002</v>
      </c>
      <c r="Q239" s="3">
        <f>2349.3+(798.3-873.3)+(-3.594429+(-1.221399--1.336149))+0-443.3--0.678249000000026</f>
        <v>1828.1985700000002</v>
      </c>
      <c r="R239" s="3">
        <f>2473.3+(642.5-825.3)+(-5.045532+(-1.3107--1.683612))+0-457.1--0.93248399999998</f>
        <v>1829.6598640000002</v>
      </c>
      <c r="S239" s="3">
        <f>2728.5+(510-1055.6)+(-2.78307+(-0.5202--1.076712))+0-442--0.45084000000007</f>
        <v>1739.1242820000002</v>
      </c>
      <c r="T239" s="3">
        <f>2512.8+(562.3-890.4)+(-1.281528+(-0.286773--0.454104))+0-443--0.225929999999955</f>
        <v>1740.8117330000005</v>
      </c>
      <c r="U239" s="3">
        <f>2488.3+(608-939.4)+(-2.538066+(-0.62016--0.958188))+0-434.6--0.443292000000069</f>
        <v>1720.5432540000004</v>
      </c>
      <c r="V239" s="3">
        <f>2625.5+(761.9-1206.2)+(0+(0-0))+0-470.9-0</f>
        <v>1710.2999999999997</v>
      </c>
      <c r="W239" s="3">
        <f>4184.8+(593.4-2367.2)+(6.402744+(0.907902-3.621816))+0-452.8-0.692784000000026</f>
        <v>1961.1960460000005</v>
      </c>
      <c r="X239" s="3">
        <f>4834.4+(574.2-2691.8)+(-9.862176+(-1.171368--5.491272))+0-568.9--1.16055599999998</f>
        <v>2143.5182839999989</v>
      </c>
      <c r="Y239" s="3">
        <f>4132+(648.6-2195.2)+(-10.5366+(-1.65393--5.59776))+0-566.3--1.44406499999992</f>
        <v>2013.9512949999998</v>
      </c>
      <c r="Z239" s="3">
        <f>3242+(753.1-1556.9)+(-3.30684+(-0.768162--1.588038))+0-474.4--0.483888000000076</f>
        <v>1961.7969239999995</v>
      </c>
      <c r="AA239" s="3">
        <f>2792.5+(847.4-1103.5)+(-4.272525+(-1.296522--1.688355))+0-615--0.940950000000036</f>
        <v>1918.4602579999998</v>
      </c>
      <c r="AB239" s="3">
        <f>2564.3+(950.6-1179.5)+(-5.231172+(-1.939224--2.40618))+0-508.6--1.03754399999998</f>
        <v>1823.0733280000002</v>
      </c>
      <c r="AC239" s="3">
        <f>2146.3+(970.9-841.6)+(-5.473065+(-2.475795--2.14608))+0-562.2--1.43360999999992</f>
        <v>1709.0308300000002</v>
      </c>
      <c r="AD239">
        <f t="shared" si="3"/>
        <v>40923.886116000009</v>
      </c>
      <c r="AE239" s="3">
        <f>4909+(561-2838.9)+(0+(0-0))+0-600.7-0</f>
        <v>2030.3999999999999</v>
      </c>
    </row>
    <row r="240" spans="1:31" customFormat="1" x14ac:dyDescent="0.25">
      <c r="A240">
        <v>89</v>
      </c>
      <c r="B240">
        <v>8</v>
      </c>
      <c r="C240">
        <v>24</v>
      </c>
      <c r="D240">
        <v>3</v>
      </c>
      <c r="E240">
        <v>1</v>
      </c>
      <c r="F240" s="3">
        <f>1876.8+(871.4-686.3)+(-4.78584+(-2.22207--1.750065))+0-442.2--1.12760999999994</f>
        <v>1615.569765</v>
      </c>
      <c r="G240" s="3">
        <f>1910.8+(906.3-679.9)+(-3.898032+(-1.848852--1.386996))+0-624.8--1.27459199999997</f>
        <v>1509.3147039999999</v>
      </c>
      <c r="H240" s="3">
        <f>1910+(908.5-802.7)+(-2.9223+(-1.390005--1.228131))+0-551.8--0.844254000000032</f>
        <v>1461.76008</v>
      </c>
      <c r="I240" s="3">
        <f>1870.5+(938.6-719.2)+(0+(0-0))+0-629.8-0</f>
        <v>1460.1000000000001</v>
      </c>
      <c r="J240" s="3">
        <f>1945.6+(933.9-877.4)+(-0.992256+(-0.476289--0.447474))+0-598.3--0.305132999999939</f>
        <v>1403.0840619999999</v>
      </c>
      <c r="K240" s="3">
        <f>2103.8+(959.2-964.5)+(3.218814+(1.467576-1.475685))+0-538.6-0.824058000000031</f>
        <v>1562.2866470000001</v>
      </c>
      <c r="L240" s="3">
        <f>2048.2+(1012.3-860.6)+(-1.044582+(-0.516273--0.438906))+0-711.1--0.362660999999928</f>
        <v>1488.0407119999998</v>
      </c>
      <c r="M240" s="3">
        <f>2003.6+(994.6-965.1)+(-2.043672+(-1.014492--0.984402))+0-540.2--0.551004000000086</f>
        <v>1491.377242</v>
      </c>
      <c r="N240" s="3">
        <f>1955.9+(929.3-772.1)+(-0.997509+(-0.473943--0.393771))+0-548.1--0.279530999999944</f>
        <v>1564.2018499999997</v>
      </c>
      <c r="O240" s="3">
        <f>2075.6+(917.6-845.3)+(-1.058556+(-0.467976--0.431103))+0-561.7--0.286466999999943</f>
        <v>1585.391038</v>
      </c>
      <c r="P240" s="3">
        <f>2255.9+(906.1-1072.5)+(-2.301018+(-0.924222--1.09395))+0-410.2--0.418404000000065</f>
        <v>1677.5871140000002</v>
      </c>
      <c r="Q240" s="3">
        <f>2424.2+(913-949.7)+(-4.945368+(-1.86252--1.937388))+0-540--1.10159999999998</f>
        <v>1843.7311</v>
      </c>
      <c r="R240" s="3">
        <f>1964.4+(938.9-716.8)+(-5.00922+(-2.394195--1.82784))+0-531--1.35404999999992</f>
        <v>1651.2784750000001</v>
      </c>
      <c r="S240" s="3">
        <f>1947.4+(876.8-532.7)+(-0.993174+(-0.447168--0.271677))+0-538--0.274379999999945</f>
        <v>1752.6057149999997</v>
      </c>
      <c r="T240" s="3">
        <f>1966.2+(973.3-598.1)+(-2.005524+(-0.992766--0.610062))+0-628.6--0.6411720000001</f>
        <v>1711.0529440000005</v>
      </c>
      <c r="U240" s="3">
        <f>1976+(945.1-746.8)+(-1.00776+(-0.482001--0.380868))+0-434.1--0.221390999999956</f>
        <v>1739.3124980000002</v>
      </c>
      <c r="V240" s="3">
        <f>1920.3+(954.8-581.1)+(0+(0-0))+0-551.7-0</f>
        <v>1742.3</v>
      </c>
      <c r="W240" s="3">
        <f>3290.1+(789.7-1676.4)+(-5.033853+(-1.208241--2.564892))+0-512.5--0.78412500000003</f>
        <v>1888.0069229999999</v>
      </c>
      <c r="X240" s="3">
        <f>3630.1+(773.5-1819.4)+(-9.256755+(-1.972425--4.63947))+0-455.1--1.16050499999993</f>
        <v>2123.6707949999995</v>
      </c>
      <c r="Y240" s="3">
        <f>3152.3+(856.8-1432.5)+(-9.646038+(-2.621808--4.38345))+0-510.6--1.56243600000006</f>
        <v>2059.6780400000007</v>
      </c>
      <c r="Z240" s="3">
        <f>3078.6+(902-1409.1)+(-4.710258+(-1.38006--2.155923))+0-587.9--0.899487000000034</f>
        <v>1980.5650919999998</v>
      </c>
      <c r="AA240" s="3">
        <f>3004+(897.8-1490.4)+(-7.6602+(-2.28939--3.80052))+0-485.9--1.23904499999993</f>
        <v>1920.5899749999996</v>
      </c>
      <c r="AB240" s="3">
        <f>2880.7+(1031.7-1487.9)+(-5.876628+(-2.104668--3.035316))+0-600--1.22399999999997</f>
        <v>1820.77802</v>
      </c>
      <c r="AC240" s="3">
        <f>2159.3+(983-920.2)+(-5.506215+(-2.50665--2.34651))+0-510.8--1.30253999999993</f>
        <v>1706.9361850000005</v>
      </c>
      <c r="AD240">
        <f t="shared" si="3"/>
        <v>40759.218975999989</v>
      </c>
      <c r="AE240" s="3">
        <f>4076+(740.1-2156.9)+(0+(0-0))+0-529.2-0</f>
        <v>2130</v>
      </c>
    </row>
    <row r="241" spans="1:31" customFormat="1" x14ac:dyDescent="0.25">
      <c r="A241">
        <v>89</v>
      </c>
      <c r="B241">
        <v>8</v>
      </c>
      <c r="C241">
        <v>25</v>
      </c>
      <c r="D241">
        <v>4</v>
      </c>
      <c r="E241">
        <v>1</v>
      </c>
      <c r="F241" s="3">
        <f>1517.1+(1011.9-390.1)+(-3.868605+(-2.580345--0.994755))+0-585.1--1.49200499999992</f>
        <v>1549.8378099999998</v>
      </c>
      <c r="G241" s="3">
        <f>1534+(919.2-404.1)+(-0.78234+(-0.468792--0.206091))+0-546.9--0.278918999999945</f>
        <v>1501.4338779999998</v>
      </c>
      <c r="H241" s="3">
        <f>1544.1+(914.1-458.8)+(-3.937455+(-2.330955--1.16994))+0-554.4--1.41371999999992</f>
        <v>1441.3152500000001</v>
      </c>
      <c r="I241" s="3">
        <f>1579+(929.6-587.8)+(1.61058+(0.948192-0.599556))+0-514.6-0.524892000000082</f>
        <v>1407.6343239999999</v>
      </c>
      <c r="J241" s="3">
        <f>1617.6+(931.2-561.6)+(0+(0-0))+0-595.2-0</f>
        <v>1391.9999999999998</v>
      </c>
      <c r="K241" s="3">
        <f>1700.2+(886.7-667.6)+(-0.867102+(-0.452217--0.340476))+0-494.7--0.25229699999995</f>
        <v>1423.873454</v>
      </c>
      <c r="L241" s="3">
        <f>1699.8+(884.3-516.5)+(0.866898+(0.450993-0.263415))+0-595.3-0.30360299999994</f>
        <v>1473.0508729999999</v>
      </c>
      <c r="M241" s="3">
        <f>1932.1+(799.8-779.8)+(0.985371+(0.407898-0.397698))+0-453.3-0.231182999999954</f>
        <v>1499.564388</v>
      </c>
      <c r="N241" s="3">
        <f>1937.7+(837.5-757.4)+(2.964681+(1.281375-1.158822))+0-475.8-0.727974000000028</f>
        <v>1544.3592600000002</v>
      </c>
      <c r="O241" s="3">
        <f>2153.1+(882.5-897.4)+(-3.294243+(-1.350225--1.373022))+0-597.7--0.914481000000035</f>
        <v>1538.1430349999996</v>
      </c>
      <c r="P241" s="3">
        <f>2167.2+(819.1-906.8)+(0+(0-0))+0-560.7-0</f>
        <v>1518.8</v>
      </c>
      <c r="Q241" s="3">
        <f>2428.9+(792.1-963.2)+(-3.716217+(-1.211913--1.473696))+0-567--0.867510000000033</f>
        <v>1688.213076</v>
      </c>
      <c r="R241" s="3">
        <f>2189+(743.3-704.2)+(-4.46556+(-1.516332--1.436568))+0-522.9--1.06671599999998</f>
        <v>1701.7213919999997</v>
      </c>
      <c r="S241" s="3">
        <f>2316.5+(640.1-764.1)+(-1.181415+(-0.326451--0.389691))+0-471--0.240209999999952</f>
        <v>1720.6220349999999</v>
      </c>
      <c r="T241" s="3">
        <f>1978.9+(670.3-408.4)+(-3.027717+(-1.025559--0.624852))+0-535.9--0.819927000000031</f>
        <v>1702.2915029999999</v>
      </c>
      <c r="U241" s="3">
        <f>1948.4+(687-398.1)+(-4.96842+(-1.75185--1.015155))+0-554.9--1.41499499999992</f>
        <v>1678.1098799999997</v>
      </c>
      <c r="V241" s="3">
        <f>1972.6+(648.5-370.7)+(-4.024104+(-1.32294--0.756228))+0-552--1.12607999999998</f>
        <v>1694.9352640000002</v>
      </c>
      <c r="W241" s="3">
        <f>3112.3+(521.9-1142.3)+(0+(0-0))+0-565.4-0</f>
        <v>1926.5</v>
      </c>
      <c r="X241" s="3">
        <f>3317.9+(597.7-1286.5)+(-6.768516+(-1.219308--2.62446))+0-567.6--1.15790399999998</f>
        <v>2057.2945400000008</v>
      </c>
      <c r="Y241" s="3">
        <f>3111.2+(635.3-1177.3)+(-9.520272+(-1.944018--3.602538))+0-550.4--1.68422400000006</f>
        <v>2012.622472</v>
      </c>
      <c r="Z241" s="3">
        <f>3068.7+(655.7-1253.9)+(-3.130074+(-0.668814--1.278978))+0-539.2--0.549984000000086</f>
        <v>1929.330074</v>
      </c>
      <c r="AA241" s="3">
        <f>2754.5+(708-1207)+(-4.214385+(-1.08324--1.84671))+0-380.1--0.581553000000022</f>
        <v>1872.5306380000002</v>
      </c>
      <c r="AB241" s="3">
        <f>2422.2+(822.4-929.1)+(-6.17661+(-2.09712--2.369205))+0-538.3--1.37266499999992</f>
        <v>1772.66814</v>
      </c>
      <c r="AC241" s="3">
        <f>2357.1+(912.1-986.9)+(0+(0-0))+0-609.1-0</f>
        <v>1673.2000000000003</v>
      </c>
      <c r="AD241">
        <f t="shared" si="3"/>
        <v>39720.051285999994</v>
      </c>
      <c r="AE241" s="3">
        <f>3617+(509.2-1524.5)+(0+(0-0))+0-575.3-0</f>
        <v>2026.3999999999999</v>
      </c>
    </row>
    <row r="242" spans="1:31" customFormat="1" x14ac:dyDescent="0.25">
      <c r="A242">
        <v>89</v>
      </c>
      <c r="B242">
        <v>8</v>
      </c>
      <c r="C242">
        <v>26</v>
      </c>
      <c r="D242">
        <v>5</v>
      </c>
      <c r="E242">
        <v>3</v>
      </c>
      <c r="F242" s="3">
        <f>1931.5+(1006-738.8)+(-3.94026+(-2.05224--1.507152))+0-624.1--1.27316399999997</f>
        <v>1571.3878159999997</v>
      </c>
      <c r="G242" s="3">
        <f>1865+(1021.2-820.7)+(0+(0-0))+0-568.3-0</f>
        <v>1497.2</v>
      </c>
      <c r="H242" s="3">
        <f>1715.7+(1138.2-792.7)+(-4.375035+(-2.90241--2.021385))+0-625.4--1.59476999999991</f>
        <v>1432.1387099999995</v>
      </c>
      <c r="I242" s="3">
        <f>1753.3+(1095.2-832.2)+(-3.576732+(-2.234208--1.697688))+0-623.3--1.27153199999997</f>
        <v>1390.1582799999999</v>
      </c>
      <c r="J242" s="3">
        <f>1837.8+(957.1-777.2)+(2.811834+(1.464363-1.189116))+0-627-0.959310000000036</f>
        <v>1392.8277709999998</v>
      </c>
      <c r="K242" s="3">
        <f>1846.6+(940-758)+(-0.941766+(-0.4794--0.38658))+0-638.9--0.325838999999935</f>
        <v>1388.9912529999999</v>
      </c>
      <c r="L242" s="3">
        <f>1708.8+(981.4-573.2)+(0.871488+(0.500514-0.292332))+0-694-0.35393999999993</f>
        <v>1423.7257300000001</v>
      </c>
      <c r="M242" s="3">
        <f>1821.7+(896.3-674.7)+(-1.858134+(-0.914226--0.688194))+0-591.7--0.603534000000094</f>
        <v>1450.1193679999999</v>
      </c>
      <c r="N242" s="3">
        <f>1815.5+(951.3-709.5)+(0+(0-0))+0-535.4-0</f>
        <v>1521.9</v>
      </c>
      <c r="O242" s="3">
        <f>2045.1+(847.3-693.7)+(-4.172004+(-1.728492--1.415148))+0-662.1--1.35068399999997</f>
        <v>1533.4653359999998</v>
      </c>
      <c r="P242" s="3">
        <f>1985.8+(802.4-698.8)+(-3.038274+(-1.227672--1.069164))+0-514.3--0.78687900000003</f>
        <v>1572.6900970000002</v>
      </c>
      <c r="Q242" s="3">
        <f>2489.8+(755.4-935.1)+(-5.079192+(-1.541016--1.907604))+0-688.4--1.40433599999997</f>
        <v>1618.3917320000005</v>
      </c>
      <c r="R242" s="3">
        <f>2675.1+(733.6-1086.4)+(-2.728602+(-0.748272--1.108128))+0-558--0.569160000000089</f>
        <v>1762.5004139999996</v>
      </c>
      <c r="S242" s="3">
        <f>2554.9+(691.7-960)+(-2.605998+(-0.705534--0.9792))+0-608.1--0.620262000000097</f>
        <v>1676.7879300000006</v>
      </c>
      <c r="T242" s="3">
        <f>2554+(686.2-909.2)+(-1.30254+(-0.349962--0.463692))+0-666.3--0.339812999999932</f>
        <v>1663.8510029999998</v>
      </c>
      <c r="U242" s="3">
        <f>2299.9+(682.6-736.5)+(-1.172949+(-0.348126--0.375615))+0-604.8--0.308447999999939</f>
        <v>1640.3629879999999</v>
      </c>
      <c r="V242" s="3">
        <f>2422.9+(645.1-724.5)+(-4.942716+(-1.316004--1.47798))+0-642.9--1.31151599999997</f>
        <v>1697.1307759999997</v>
      </c>
      <c r="W242" s="3">
        <f>2969.8+(578-1062.9)+(-4.543794+(-0.88434--1.626237))+0-578.5--0.885105000000033</f>
        <v>1903.4832080000003</v>
      </c>
      <c r="X242" s="3">
        <f>3510.6+(603.2-1433.2)+(-8.95203+(-1.53816--3.65466))+0-630.8--1.60853999999991</f>
        <v>2044.5730100000001</v>
      </c>
      <c r="Y242" s="3">
        <f>3141+(604.2-1178.6)+(-3.20382+(-0.616284--1.202172))+0-580.1--0.591702000000093</f>
        <v>1984.4737700000005</v>
      </c>
      <c r="Z242" s="3">
        <f>2970.3+(670.4-1120.4)+(-3.029706+(-0.683808--1.142808))+0-606.1--0.618222000000097</f>
        <v>1912.2475160000004</v>
      </c>
      <c r="AA242" s="3">
        <f>2698.8+(721.7-887)+(-5.505552+(-1.472268--1.80948))+0-679.5--1.38617999999997</f>
        <v>1850.2178399999998</v>
      </c>
      <c r="AB242" s="3">
        <f>2095+(803-537.2)+(-5.34225+(-2.04765--1.36986))+0-605--1.54274999999991</f>
        <v>1751.3227100000001</v>
      </c>
      <c r="AC242" s="3">
        <f>1826.7+(853.5-321.9)+(-3.726468+(-1.74114--0.656676))+0-647.8--1.32151199999997</f>
        <v>1707.0105800000003</v>
      </c>
      <c r="AD242">
        <f t="shared" si="3"/>
        <v>39386.957838000002</v>
      </c>
      <c r="AE242" s="3">
        <f>3477+(607.2-1507.3)+(0+(0-0))+0-547.7-0</f>
        <v>2029.2</v>
      </c>
    </row>
    <row r="243" spans="1:31" customFormat="1" x14ac:dyDescent="0.25">
      <c r="A243">
        <v>89</v>
      </c>
      <c r="B243">
        <v>8</v>
      </c>
      <c r="C243">
        <v>27</v>
      </c>
      <c r="D243">
        <v>6</v>
      </c>
      <c r="E243">
        <v>6</v>
      </c>
      <c r="F243" s="3">
        <f>1602.7+(802.9-269.8)+(-4.086885+(-2.047395--0.68799))+0-591.6--1.50857999999991</f>
        <v>1540.2622900000003</v>
      </c>
      <c r="G243" s="3">
        <f>1495.5+(830.5-330.2)+(-3.05082+(-1.69422--0.673608))+0-522.2--1.06528799999998</f>
        <v>1470.593856</v>
      </c>
      <c r="H243" s="3">
        <f>1556.1+(841.6-319.8)+(-3.174444+(-1.716864--0.652392))+0-644.8--1.31539199999997</f>
        <v>1430.1764759999999</v>
      </c>
      <c r="I243" s="3">
        <f>1772.2+(747.6-487.2)+(1.807644+(0.762552-0.496944))+0-635.8-0.648516000000101</f>
        <v>1398.2247359999999</v>
      </c>
      <c r="J243" s="3">
        <f>1668.2+(754-375.7)+(-2.552346+(-1.15362--0.574821))+0-664.8--1.01714400000004</f>
        <v>1379.5859990000001</v>
      </c>
      <c r="K243" s="3">
        <f>1702.2+(718.1-442.4)+(-0.868122+(-0.366231--0.225624))+0-579.5--0.295544999999941</f>
        <v>1397.6868160000001</v>
      </c>
      <c r="L243" s="3">
        <f>1791.2+(729.4-390.9)+(-5.481072+(-2.231964--1.196154))+0-656--2.00736000000008</f>
        <v>1469.190478</v>
      </c>
      <c r="M243" s="3">
        <f>1820.9+(641.4-375.2)+(0+(0-0))+0-552.9-0</f>
        <v>1534.1999999999998</v>
      </c>
      <c r="N243" s="3">
        <f>1822.2+(703.2-352.5)+(-1.858644+(-0.717264--0.35955))+0-612.2--0.624444000000098</f>
        <v>1559.108086</v>
      </c>
      <c r="O243" s="3">
        <f>2218.4+(514-602.1)+(2.262768+(0.52428-0.614142))+0-545-0.555900000000087</f>
        <v>1586.9170059999999</v>
      </c>
      <c r="P243" s="3">
        <f>2361.7+(546.5-663.7)+(-4.817868+(-1.11486--1.353948))+0-602.2--1.22848799999997</f>
        <v>1638.9497080000001</v>
      </c>
      <c r="Q243" s="3">
        <f>2382.6+(553.3-642.8)+(-4.860504+(-1.128732--1.311312))+0-628.4--1.28193599999997</f>
        <v>1661.3040119999996</v>
      </c>
      <c r="R243" s="3">
        <f>2269.4+(498.5-516.9)+(-3.472182+(-0.762705--0.790857))+0-563.4--0.862002000000033</f>
        <v>1685.0179719999999</v>
      </c>
      <c r="S243" s="3">
        <f>2445.9+(447.3-606.7)+(-3.742227+(-0.684369--0.928251))+0-607.9--0.930087000000035</f>
        <v>1676.0317419999999</v>
      </c>
      <c r="T243" s="3">
        <f>2021+(584.1-398.7)+(1.03071+(0.297891-0.203337))+0-552-0.281519999999944</f>
        <v>1655.2437439999999</v>
      </c>
      <c r="U243" s="3">
        <f>1892.7+(685.2-344.1)+(0.965277+(0.349452-0.175491))+0-609.1-0.310640999999938</f>
        <v>1625.5285970000004</v>
      </c>
      <c r="V243" s="3">
        <f>2076+(574.1-348)+(0+(0-0))+0-645.7-0</f>
        <v>1656.3999999999999</v>
      </c>
      <c r="W243" s="3">
        <f>3252.9+(342.1-1104.9)+(0+(0-0))+0-576.8-0</f>
        <v>1913.3</v>
      </c>
      <c r="X243" s="3">
        <f>3649.6+(371.7-1354.6)+(-5.583888+(-0.568701--2.072538))+0-655.9--1.00352700000004</f>
        <v>2007.7234759999999</v>
      </c>
      <c r="Y243" s="3">
        <f>2969.8+(469.9-922)+(-3.029196+(-0.479298--0.94044))+0-553.9--0.564978000000088</f>
        <v>1961.7969240000004</v>
      </c>
      <c r="Z243" s="3">
        <f>2464.5+(598.5-593.6)+(-1.256895+(-0.305235--0.302736))+0-581.9--0.296768999999941</f>
        <v>1886.5373749999999</v>
      </c>
      <c r="AA243" s="3">
        <f>2253.7+(667.7-557.9)+(-1.149387+(-0.340527--0.284529))+0-582.5--0.297074999999941</f>
        <v>1780.0916899999997</v>
      </c>
      <c r="AB243" s="3">
        <f>2269.6+(706.3-699.6)+(-3.472488+(-1.080639--1.070388))+0-555.7--0.850221000000032</f>
        <v>1717.9674819999996</v>
      </c>
      <c r="AC243" s="3">
        <f>1985.5+(714.7-474.2)+(-2.02521+(-0.728994--0.483684))+0-582.8--0.594456000000093</f>
        <v>1641.523936</v>
      </c>
      <c r="AD243">
        <f t="shared" si="3"/>
        <v>39273.362400999998</v>
      </c>
      <c r="AE243" s="3">
        <f>3760+(358.9-1390.2)+(0+(0-0))+0-728.6-0</f>
        <v>2000.1</v>
      </c>
    </row>
    <row r="244" spans="1:31" customFormat="1" x14ac:dyDescent="0.25">
      <c r="A244">
        <v>89</v>
      </c>
      <c r="B244">
        <v>8</v>
      </c>
      <c r="C244">
        <v>28</v>
      </c>
      <c r="D244">
        <v>7</v>
      </c>
      <c r="E244">
        <v>1</v>
      </c>
      <c r="F244" s="3">
        <f>1836.5+(741.9-503.9)+(-3.74646+(-1.513476--1.027956))+0-495.3--1.01041199999998</f>
        <v>1575.9784320000001</v>
      </c>
      <c r="G244" s="3">
        <f>1838.1+(676.8-365.1)+(-4.687155+(-1.72584--0.931005))+0-677.2--1.7268599999999</f>
        <v>1468.8448699999994</v>
      </c>
      <c r="H244" s="3">
        <f>1820.3+(630.8-485.2)+(-4.641765+(-1.60854--1.23726))+0-582.2--1.48460999999992</f>
        <v>1380.1715649999999</v>
      </c>
      <c r="I244" s="3">
        <f>1843.2+(641.4-475.4)+(-0.940032+(-0.327114--0.242454))+0-614.9--0.313598999999938</f>
        <v>1393.5889070000001</v>
      </c>
      <c r="J244" s="3">
        <f>1871.9+(645.1-560.4)+(1.909338+(0.658002-0.571608))+0-626.6-0.6391320000001</f>
        <v>1331.3566000000003</v>
      </c>
      <c r="K244" s="3">
        <f>1881.8+(619.9-509.8)+(-0.959718+(-0.316149--0.259998))+0-622.8--0.317627999999937</f>
        <v>1368.4017589999999</v>
      </c>
      <c r="L244" s="3">
        <f>1752.6+(611.7-407)+(-3.575304+(-1.247868--0.83028))+0-549.9--1.12179599999998</f>
        <v>1404.5289039999998</v>
      </c>
      <c r="M244" s="3">
        <f>1795.1+(572.2-434.8)+(2.746503+(0.875466-0.665244))+0-549.6-0.840888000000032</f>
        <v>1385.0158370000001</v>
      </c>
      <c r="N244" s="3">
        <f>1910.4+(508.7-346.9)+(0+(0-0))+0-597.2-0</f>
        <v>1475.0000000000002</v>
      </c>
      <c r="O244" s="3">
        <f>1903+(549.1-389.6)+(-0.97053+(-0.280041--0.198696))+0-537.2--0.273971999999946</f>
        <v>1524.5220969999998</v>
      </c>
      <c r="P244" s="3">
        <f>2232.7+(480-629.7)+(1.138677+(0.2448-0.321147))+0-504.5-0.257294999999949</f>
        <v>1579.3050350000003</v>
      </c>
      <c r="Q244" s="3">
        <f>2230.7+(528.4-576.2)+(1.137657+(0.269484-0.293862))+0-578.4-0.294983999999941</f>
        <v>1605.3182949999998</v>
      </c>
      <c r="R244" s="3">
        <f>2076.9+(586.6-442)+(-5.296095+(-1.49583--1.1271))+0-615.2--1.56875999999991</f>
        <v>1602.203935</v>
      </c>
      <c r="S244" s="3">
        <f>1748.1+(685.5-232.9)+(-2.674593+(-1.048815--0.356337))+0-611.8--0.936054000000035</f>
        <v>1586.4689829999998</v>
      </c>
      <c r="T244" s="3">
        <f>1847.3+(614.5-263.4)+(0.942123+(0.313395-0.134334))+0-637.7-0.325226999999935</f>
        <v>1561.4959570000001</v>
      </c>
      <c r="U244" s="3">
        <f>1774.2+(623.1-213.5)+(-3.619368+(-1.271124--0.43554))+0-621.7--1.26826799999997</f>
        <v>1558.9133160000001</v>
      </c>
      <c r="V244" s="3">
        <f>2097.2+(410.5-252.9)+(1.069572+(0.209355-0.128979))+0-615.7-0.314006999999938</f>
        <v>1639.935941</v>
      </c>
      <c r="W244" s="3">
        <f>3426.1+(267.9-1181.3)+(0+(0-0))+0-666.4-0</f>
        <v>1846.2999999999997</v>
      </c>
      <c r="X244" s="3">
        <f>3987.9+(297.4-1773.7)+(-8.135316+(-0.606696--3.618348))+0-565.5--1.15361999999998</f>
        <v>1942.1299559999998</v>
      </c>
      <c r="Y244" s="3">
        <f>4120.1+(362.6-1944.3)+(-4.202502+(-0.369852--1.983186))+0-641.3--0.654126000000102</f>
        <v>1895.1649580000008</v>
      </c>
      <c r="Z244" s="3">
        <f>3712.7+(418.5-1678.7)+(-3.786954+(-0.42687--1.712274))+0-621.2--0.633624000000099</f>
        <v>1829.4320740000001</v>
      </c>
      <c r="AA244" s="3">
        <f>3384.8+(513.7-1460.2)+(-1.726248+(-0.261987--0.744702))+0-686.5--0.35011499999993</f>
        <v>1750.9065820000003</v>
      </c>
      <c r="AB244" s="3">
        <f>2738.5+(668.6-1161.4)+(-4.189905+(-1.022958--1.776942))+0-593.1--0.907443000000034</f>
        <v>1650.0715220000002</v>
      </c>
      <c r="AC244" s="3">
        <f>2550.7+(776.7-1066.6)+(0+(0-0))+0-646.7-0</f>
        <v>1614.1000000000001</v>
      </c>
      <c r="AD244">
        <f t="shared" si="3"/>
        <v>37969.155525000002</v>
      </c>
      <c r="AE244" s="3">
        <f>4257+(311.2-1871.4)+(0+(0-0))+0-708-0</f>
        <v>1988.8000000000002</v>
      </c>
    </row>
    <row r="245" spans="1:31" customFormat="1" x14ac:dyDescent="0.25">
      <c r="A245">
        <v>89</v>
      </c>
      <c r="B245">
        <v>8</v>
      </c>
      <c r="C245">
        <v>29</v>
      </c>
      <c r="D245">
        <v>1</v>
      </c>
      <c r="E245">
        <v>1</v>
      </c>
      <c r="F245" s="3">
        <f>1833.7+(861.3-545.7)+(-3.740748+(-1.757052--1.113228))+0-612.8--1.25011199999997</f>
        <v>1533.3655400000002</v>
      </c>
      <c r="G245" s="3">
        <f>1790.5+(842.4-605.9)+(-2.739465+(-1.288872--0.927027))+0-587.2--0.898416000000034</f>
        <v>1437.5971059999999</v>
      </c>
      <c r="H245" s="3">
        <f>1796.6+(788.8-535.8)+(-2.748798+(-1.206864--0.819774))+0-648--0.991440000000037</f>
        <v>1399.4555519999999</v>
      </c>
      <c r="I245" s="3">
        <f>1896.5+(758.6-644.7)+(2.901645+(1.160658-0.986391))+0-651.5-0.996795000000038</f>
        <v>1360.9791170000001</v>
      </c>
      <c r="J245" s="3">
        <f>1818.8+(745.8-534.2)+(-2.782764+(-1.141074--0.817326))+0-640.6--0.980118000000037</f>
        <v>1387.6736059999998</v>
      </c>
      <c r="K245" s="3">
        <f>1956.7+(711.9-602)+(-0.997917+(-0.363069--0.30702))+0-592.2--0.30202199999994</f>
        <v>1473.6480559999998</v>
      </c>
      <c r="L245" s="3">
        <f>1839.8+(695.5-415.6)+(-3.753192+(-1.41882--0.847824))+0-677.2--1.38148799999997</f>
        <v>1439.5572999999997</v>
      </c>
      <c r="M245" s="3">
        <f>1853.5+(631.4-438.7)+(2.835855+(0.966042-0.671211))+0-558.2-0.854046000000032</f>
        <v>1490.2766400000003</v>
      </c>
      <c r="N245" s="3">
        <f>2165.4+(641.8-698.9)+(1.104354+(0.327318-0.356439))+0-570.3-0.290852999999942</f>
        <v>1538.7843800000003</v>
      </c>
      <c r="O245" s="3">
        <f>2253.5+(904.4-1097.7)+(-2.29857+(-0.922488--1.119654))+0-498.1--0.508062000000079</f>
        <v>1560.506658</v>
      </c>
      <c r="P245" s="3">
        <f>2593.8+(884.2-1379.6)+(0+(0-0))+0-475.7-0</f>
        <v>1622.7000000000005</v>
      </c>
      <c r="Q245" s="3">
        <f>2751+(844.7-1433)+(0+(0-0))+0-489.1-0</f>
        <v>1673.6</v>
      </c>
      <c r="R245" s="3">
        <f>2638.4+(779.5-1289.9)+(-5.382336+(-1.59018--2.631396))+0-445.1--0.908003999999981</f>
        <v>1679.4668839999999</v>
      </c>
      <c r="S245" s="3">
        <f>2774.2+(721.4-1332.4)+(4.244526+(1.103742-2.038572))+0-658.1-1.00689300000004</f>
        <v>1507.4028029999997</v>
      </c>
      <c r="T245" s="3">
        <f>2672+(771.7-1212.6)+(0+(0-0))+0-542.7-0</f>
        <v>1688.4000000000003</v>
      </c>
      <c r="U245" s="3">
        <f>2473.1+(775-1173)+(-2.522562+(-0.7905--1.19646))+0-557.7--0.568854000000089</f>
        <v>1515.8522519999999</v>
      </c>
      <c r="V245" s="3">
        <f>2852.9+(651.1-1374.8)+(1.454979+(0.332061-0.701148))+0-437.4-0.223073999999956</f>
        <v>1692.6628180000002</v>
      </c>
      <c r="W245" s="3">
        <f>3857.9+(603.3-1958.6)+(-3.935058+(-0.615366--1.997772))+0-684.9--0.698598000000109</f>
        <v>1815.8459460000006</v>
      </c>
      <c r="X245" s="3">
        <f>3513.2+(941.7-1704.1)+(-5.375196+(-1.440801--2.607273))+0-568.9--0.870417000000033</f>
        <v>2178.5616930000001</v>
      </c>
      <c r="Y245" s="3">
        <f>3447.7+(843.6-1735.2)+(-1.758327+(-0.430236--0.884952))+0-595.7--0.30380699999994</f>
        <v>1959.4001960000001</v>
      </c>
      <c r="Z245" s="3">
        <f>3404.8+(885.7-1696.7)+(-1.736448+(-0.451707--0.865317))+0-466.9--0.238118999999953</f>
        <v>2125.8152810000001</v>
      </c>
      <c r="AA245" s="3">
        <f>3034.2+(929.5-1451.9)+(-3.094884+(-0.94809--1.480938))+0-623.4--0.635868000000099</f>
        <v>1886.4738319999999</v>
      </c>
      <c r="AB245" s="3">
        <f>2635+(943.4-1170.7)+(-1.34385+(-0.481134--0.597057))+0-623.9--0.318188999999937</f>
        <v>1782.8902619999997</v>
      </c>
      <c r="AC245" s="3">
        <f>2243.1+(1000.2-980.2)+(-4.575924+(-2.040408--1.999608))+0-437.8--0.893111999999981</f>
        <v>1821.576388</v>
      </c>
      <c r="AD245">
        <f t="shared" si="3"/>
        <v>39572.492310000009</v>
      </c>
      <c r="AE245" s="3">
        <f>4121+(719.1-1935.5)+(0+(0-0))+0-512.3-0</f>
        <v>2392.3000000000002</v>
      </c>
    </row>
    <row r="246" spans="1:31" customFormat="1" x14ac:dyDescent="0.25">
      <c r="A246">
        <v>89</v>
      </c>
      <c r="B246">
        <v>8</v>
      </c>
      <c r="C246">
        <v>30</v>
      </c>
      <c r="D246">
        <v>2</v>
      </c>
      <c r="E246">
        <v>1</v>
      </c>
      <c r="F246" s="3">
        <f>1880+(1151.1-910)+(-0.9588+(-0.587061--0.4641))+0-590.8--0.30130799999994</f>
        <v>1529.5195469999999</v>
      </c>
      <c r="G246" s="3">
        <f>1968.3+(1078-1048.2)+(-3.011499+(-1.64934--1.603746))+0-536.2--0.820386000000031</f>
        <v>1459.6632930000001</v>
      </c>
      <c r="H246" s="3">
        <f>1955.5+(988-945)+(-0.997305+(-0.50388--0.48195))+0-592.6--0.30222599999994</f>
        <v>1405.1829909999999</v>
      </c>
      <c r="I246" s="3">
        <f>1891.5+(894.4-788.6)+(-0.964665+(-0.456144--0.402186))+0-599.2--0.305591999999939</f>
        <v>1397.3869689999999</v>
      </c>
      <c r="J246" s="3">
        <f>1886.6+(889.6-797.7)+(3.848664+(1.814784-1.627308))+0-586.9-1.19727599999997</f>
        <v>1394.4388640000002</v>
      </c>
      <c r="K246" s="3">
        <f>1994.7+(873.6-795.7)+(1.017297+(0.445536-0.405807))+0-640.7-0.326756999999935</f>
        <v>1432.6302689999998</v>
      </c>
      <c r="L246" s="3">
        <f>2035.9+(969.3-910.7)+(0+(0-0))+0-464.9-0</f>
        <v>1629.6</v>
      </c>
      <c r="M246" s="3">
        <f>1986.4+(959.8-840.4)+(-3.039192+(-1.468494--1.285812))+0-484.2--0.740826000000028</f>
        <v>1619.1189520000003</v>
      </c>
      <c r="N246" s="3">
        <f>2012.6+(873.2-797.8)+(2.052852+(0.890664-0.813756))+0-588.2-0.599964000000094</f>
        <v>1501.3297959999998</v>
      </c>
      <c r="O246" s="3">
        <f>2126.9+(829.5-840.4)+(-3.254157+(-1.269135--1.285812))+0-491.5--0.751995000000028</f>
        <v>1622.0145150000003</v>
      </c>
      <c r="P246" s="3">
        <f>2637.3+(730.3-1239.5)+(1.345023+(0.372453-0.632145))+0-496.1-0.25301099999995</f>
        <v>1632.8323200000007</v>
      </c>
      <c r="Q246" s="3">
        <f>2941.6+(654-1383)+(-3.000432+(-0.66708--1.41066))+0-545.1--0.556002000000087</f>
        <v>1665.7991500000001</v>
      </c>
      <c r="R246" s="3">
        <f>2153.6+(734-781.1)+(-5.49168+(-1.8717--1.991805))+0-437.6--1.11587999999994</f>
        <v>1664.6443049999998</v>
      </c>
      <c r="S246" s="3">
        <f>2205.3+(706.6-767.1)+(-1.124703+(-0.360366--0.391221))+0-496.6--0.25326599999995</f>
        <v>1647.3594180000002</v>
      </c>
      <c r="T246" s="3">
        <f>2198.6+(718.6-753.7)+(-3.363858+(-1.099458--1.153161))+0-541.2--0.828036000000031</f>
        <v>1619.8178809999999</v>
      </c>
      <c r="U246" s="3">
        <f>2418.9+(730.6-995.6)+(1.233639+(0.372606-0.507756))+0-539.1-0.274940999999945</f>
        <v>1615.6235480000003</v>
      </c>
      <c r="V246" s="3">
        <f>2542.8+(800.5-1039.8)+(-1.296828+(-0.408255--0.530298))+0-666--0.339659999999932</f>
        <v>1636.6648749999997</v>
      </c>
      <c r="W246" s="3">
        <f>4200.3+(631.7-2336.8)+(0+(0-0))+0-506.9-0</f>
        <v>1988.2999999999997</v>
      </c>
      <c r="X246" s="3">
        <f>4058.8+(690-2119.1)+(-8.279952+(-1.4076--4.322964))+0-585--1.19339999999997</f>
        <v>2040.5288120000002</v>
      </c>
      <c r="Y246" s="3">
        <f>3477.5+(789.1-1610)+(-7.0941+(-1.609764--3.2844))+0-646.2--1.31824799999997</f>
        <v>2006.2987839999998</v>
      </c>
      <c r="Z246" s="3">
        <f>3307.9+(776.6-1458.4)+(-8.435145+(-1.98033--3.71892))+0-645.2--1.64525999999991</f>
        <v>1975.8487049999999</v>
      </c>
      <c r="AA246" s="3">
        <f>2967.4+(782.1-1294.1)+(-4.540122+(-1.196613--1.979973))+0-568.9--0.870417000000033</f>
        <v>1883.6136550000001</v>
      </c>
      <c r="AB246" s="3">
        <f>2458.9+(830.3-987)+(-3.762117+(-1.270359--1.51011))+0-549.9--0.841347000000032</f>
        <v>1749.6189809999996</v>
      </c>
      <c r="AC246" s="3">
        <f>1959.4+(1003.7-827.8)+(-2.997882+(-1.535661--1.266534))+0-522.3--0.79911900000003</f>
        <v>1610.5321100000001</v>
      </c>
      <c r="AD246">
        <f t="shared" si="3"/>
        <v>39728.367739999994</v>
      </c>
      <c r="AE246" s="3">
        <f>4374+(655.9-2367)+(0+(0-0))+0-671.9-0</f>
        <v>1991</v>
      </c>
    </row>
    <row r="247" spans="1:31" customFormat="1" x14ac:dyDescent="0.25">
      <c r="A247">
        <v>89</v>
      </c>
      <c r="B247">
        <v>9</v>
      </c>
      <c r="C247">
        <v>1</v>
      </c>
      <c r="D247">
        <v>3</v>
      </c>
      <c r="E247">
        <v>1</v>
      </c>
      <c r="F247" s="3">
        <f>2042.7+(948.8-867.9)+(-5.208885+(-2.41944--2.213145))+0-633.5--1.61542499999991</f>
        <v>1486.3002449999999</v>
      </c>
      <c r="G247" s="3">
        <f>1971.5+(849.9-885)+(-1.005465+(-0.433449--0.45135))+0-534.3--0.272492999999946</f>
        <v>1401.3849290000001</v>
      </c>
      <c r="H247" s="3">
        <f>1851.4+(817.3-792.5)+(-2.832642+(-1.250469--1.212525))+0-523.4--0.80080200000003</f>
        <v>1350.7302160000002</v>
      </c>
      <c r="I247" s="3">
        <f>1889.1+(833.1-858.2)+(-0.963441+(-0.424881--0.437682))+0-525.6--0.268055999999947</f>
        <v>1337.717416</v>
      </c>
      <c r="J247" s="3">
        <f>1973.6+(829.1-866.6)+(1.006536+(0.422841-0.441966))+0-610.8-0.311507999999938</f>
        <v>1325.975903</v>
      </c>
      <c r="K247" s="3">
        <f>1924.7+(754.9-706)+(-2.944791+(-1.154997--1.08018))+0-611.8--0.936054000000035</f>
        <v>1359.7164459999999</v>
      </c>
      <c r="L247" s="3">
        <f>1956.5+(852.3-666.8)+(0+(0-0))+0-662.1-0</f>
        <v>1479.9</v>
      </c>
      <c r="M247" s="3">
        <f>2111.1+(803.9-773.5)+(-1.076661+(-0.409989--0.394485))+0-546.5--0.278714999999945</f>
        <v>1594.1865499999999</v>
      </c>
      <c r="N247" s="3">
        <f>2090.1+(908-860.1)+(-4.263804+(-1.85232--1.754604))+0-579.4--1.18197599999997</f>
        <v>1555.4204560000001</v>
      </c>
      <c r="O247" s="3">
        <f>2232+(912.6-1089.6)+(-3.41496+(-1.396278--1.667088))+0-453.2--0.693396000000026</f>
        <v>1599.349246</v>
      </c>
      <c r="P247" s="3">
        <f>2553.2+(853.3-1283.4)+(-2.604264+(-0.870366--1.309068))+0-498.5--0.508470000000079</f>
        <v>1622.9429079999993</v>
      </c>
      <c r="Q247" s="3">
        <f>2646.9+(802.8-1376.4)+(-2.699838+(-0.818856--1.403928))+0-407--0.415140000000065</f>
        <v>1664.6003740000001</v>
      </c>
      <c r="R247" s="3">
        <f>2702.6+(824.5-1263)+(-1.378326+(-0.420495--0.64413))+0-603.3--0.307682999999939</f>
        <v>1659.9529919999998</v>
      </c>
      <c r="S247" s="3">
        <f>2406.9+(761.5-974.2)+(-3.682557+(-1.165095--1.490526))+0-534--0.817020000000031</f>
        <v>1657.6598939999999</v>
      </c>
      <c r="T247" s="3">
        <f>2415.4+(770.7-1083.3)+(0+(0-0))+0-490.7-0</f>
        <v>1612.1000000000001</v>
      </c>
      <c r="U247" s="3">
        <f>2517.1+(788.5-1177.2)+(1.283721+(0.402135-0.600372))+0-496.3-0.25311299999995</f>
        <v>1632.9323709999999</v>
      </c>
      <c r="V247" s="3">
        <f>2609.8+(718.2-1110.1)+(0+(0-0))+0-552.6-0</f>
        <v>1665.3000000000006</v>
      </c>
      <c r="W247" s="3">
        <f>4058.3+(455.2-2036.7)+(-2.069733+(-0.232152--1.038717))+0-529.8--0.270197999999946</f>
        <v>1946.0070300000002</v>
      </c>
      <c r="X247" s="3">
        <f>4192+(497.9-2011)+(-10.6896+(-1.269645--5.12805))+0-615.8--1.57028999999991</f>
        <v>2057.8390949999998</v>
      </c>
      <c r="Y247" s="3">
        <f>3492.6+(599-1593.2)+(-1.781226+(-0.30549--0.812532))+0-446.2--0.227561999999955</f>
        <v>2051.153378</v>
      </c>
      <c r="Z247" s="3">
        <f>3330.9+(685.4-1512.1)+(-5.096277+(-1.048662--2.313513))+0-549.7--0.841041000000032</f>
        <v>1951.5096150000002</v>
      </c>
      <c r="AA247" s="3">
        <f>3105.2+(791.4-1401.2)+(-6.334608+(-1.614456--2.858448))+0-566.7--1.15606799999998</f>
        <v>1924.7654519999996</v>
      </c>
      <c r="AB247" s="3">
        <f>2637.9+(810.2-1169.3)+(-5.381316+(-1.652808--2.385372))+0-474.5--0.967979999999979</f>
        <v>1800.619228</v>
      </c>
      <c r="AC247" s="3">
        <f>2244.8+(860.8-1249.3)+(-8.013936+(-3.073056--4.460001))+0-389.1--1.38908700000001</f>
        <v>1461.9620960000002</v>
      </c>
      <c r="AD247">
        <f t="shared" si="3"/>
        <v>39200.025840000002</v>
      </c>
      <c r="AE247" s="3">
        <f>4767+(445.9-2409.4)+(0+(0-0))+0-543.8-0</f>
        <v>2259.6999999999998</v>
      </c>
    </row>
    <row r="248" spans="1:31" customFormat="1" x14ac:dyDescent="0.25">
      <c r="A248">
        <v>89</v>
      </c>
      <c r="B248">
        <v>9</v>
      </c>
      <c r="C248">
        <v>2</v>
      </c>
      <c r="D248">
        <v>4</v>
      </c>
      <c r="E248">
        <v>1</v>
      </c>
      <c r="F248" s="3">
        <f>1785.3+(1025.1-851.7)+(-2.731509+(-1.568403--1.303101))+0-432--0.660960000000025</f>
        <v>1524.3641489999998</v>
      </c>
      <c r="G248" s="3">
        <f>1649.7+(961.5-674.4)+(-1.682694+(-0.98073--0.687888))+0-628.1--0.6406620000001</f>
        <v>1307.3651260000004</v>
      </c>
      <c r="H248" s="3">
        <f>1549.6+(1009-600.5)+(-2.370888+(-1.54377--0.918765))+0-595.8--0.911574000000034</f>
        <v>1360.2156809999999</v>
      </c>
      <c r="I248" s="3">
        <f>1763.6+(913.4-696.6)+(-2.698308+(-1.397502--1.065798))+0-424.8--0.649944000000025</f>
        <v>1553.219932</v>
      </c>
      <c r="J248" s="3">
        <f>1835.2+(881.1-815.8)+(0+(0-0))+0-439.4-0</f>
        <v>1461.1</v>
      </c>
      <c r="K248" s="3">
        <f>1808.5+(833.8-701.9)+(-3.68934+(-1.700952--1.431876))+0-502.4--1.02489599999998</f>
        <v>1435.06648</v>
      </c>
      <c r="L248" s="3">
        <f>1872.6+(766.1-518.8)+(-0.955026+(-0.390711--0.264588))+0-469.3--0.239342999999952</f>
        <v>1649.758194</v>
      </c>
      <c r="M248" s="3">
        <f>1875.7+(816.9-606.6)+(-0.956607+(-0.416619--0.309366))+0-597.6--0.304775999999939</f>
        <v>1487.6409159999998</v>
      </c>
      <c r="N248" s="3">
        <f>1899.9+(826.6-608.3)+(0.968949+(0.421566-0.310233))+0-553.6-0.282335999999944</f>
        <v>1565.3979460000003</v>
      </c>
      <c r="O248" s="3">
        <f>1977.6+(714.4-615.9)+(-3.025728+(-1.093032--0.942327))+0-434.3--0.664479000000025</f>
        <v>1639.2880459999999</v>
      </c>
      <c r="P248" s="3">
        <f>2254.4+(606-789)+(1.149744+(0.30906-0.40239))+0-510.6-0.260405999999948</f>
        <v>1561.5960080000004</v>
      </c>
      <c r="Q248" s="3">
        <f>2466.6+(565.8-910.6)+(-5.031864+(-1.154232--1.857624))+0-452--0.92207999999998</f>
        <v>1666.3936079999996</v>
      </c>
      <c r="R248" s="3">
        <f>2157.6+(550.9-618.3)+(-1.100376+(-0.280959--0.315333))+0-444.6--0.226745999999955</f>
        <v>1644.7607439999999</v>
      </c>
      <c r="S248" s="3">
        <f>2362.4+(523.3-792.6)+(2.409648+(0.533766-0.808452))+0-467.7-0.477054000000075</f>
        <v>1627.0579079999998</v>
      </c>
      <c r="T248" s="3">
        <f>2406.2+(453.4-809.2)+(2.454324+(0.462468-0.825384))+0-434.8-0.443496000000069</f>
        <v>1617.2479119999994</v>
      </c>
      <c r="U248" s="3">
        <f>2425.5+(550.9-806.2)+(1.237005+(0.280959-0.411162))+0-548.5-0.279734999999944</f>
        <v>1622.5270669999998</v>
      </c>
      <c r="V248" s="3">
        <f>2413.3+(577.3-900.9)+(-2.461566+(-0.588846--0.918918))+0-433.2--0.441864000000069</f>
        <v>1654.8103700000001</v>
      </c>
      <c r="W248" s="3">
        <f>4025.9+(421.1-1990.5)+(2.053209+(0.214761-1.015155))+0-510-0.260099999999948</f>
        <v>1947.4927149999999</v>
      </c>
      <c r="X248" s="3">
        <f>4309.1+(510.8-2141.8)+(-6.592923+(-0.781524--3.276954))+0-557.9--0.853587000000032</f>
        <v>2116.9560940000001</v>
      </c>
      <c r="Y248" s="3">
        <f>3490+(635.7-1558.5)+(-5.3397+(-0.972621--2.384505))+0-528.3--0.80829900000003</f>
        <v>2035.780483</v>
      </c>
      <c r="Z248" s="3">
        <f>2910.7+(747-1163.8)+(-2.968914+(-0.76194--1.187076))+0-551.5--0.562530000000088</f>
        <v>1940.4187519999996</v>
      </c>
      <c r="AA248" s="3">
        <f>2471.3+(849.5-901.6)+(-3.781089+(-1.299735--1.379448))+0-538.6--0.824058000000031</f>
        <v>1877.7226820000003</v>
      </c>
      <c r="AB248" s="3">
        <f>2105.9+(1094.9-855.8)+(-4.296036+(-2.233596--1.745832))+0-567.6--1.15790399999998</f>
        <v>1773.7741039999999</v>
      </c>
      <c r="AC248" s="3">
        <f>2268.8+(1024.7-1045.8)+(-2.314176+(-1.045194--1.066716))+0-573.7--0.585174000000092</f>
        <v>1672.2925200000004</v>
      </c>
      <c r="AD248">
        <f t="shared" si="3"/>
        <v>39742.247436999991</v>
      </c>
      <c r="AE248" s="3">
        <f>4563+(462.7-2332.4)+(0+(0-0))+0-453.7-0</f>
        <v>2239.6000000000004</v>
      </c>
    </row>
    <row r="249" spans="1:31" customFormat="1" x14ac:dyDescent="0.25">
      <c r="A249">
        <v>89</v>
      </c>
      <c r="B249">
        <v>9</v>
      </c>
      <c r="C249">
        <v>3</v>
      </c>
      <c r="D249">
        <v>5</v>
      </c>
      <c r="E249">
        <v>1</v>
      </c>
      <c r="F249" s="3">
        <f>1785+(1150.8-994)+(-3.6414+(-2.347632--2.02776))+0-416.3--0.849251999999982</f>
        <v>1522.38798</v>
      </c>
      <c r="G249" s="3">
        <f>1792.1+(1143.7-921.3)+(-2.741913+(-1.749861--1.409589))+0-657.7--1.00628100000004</f>
        <v>1354.7240959999999</v>
      </c>
      <c r="H249" s="3">
        <f>1700.9+(987.3-774.6)+(-4.337295+(-2.517615--1.97523))+0-464.1--1.18345499999993</f>
        <v>1445.8037749999999</v>
      </c>
      <c r="I249" s="3">
        <f>1780.6+(791.4-725.2)+(-0.908106+(-0.403614--0.369852))+0-513.4--0.261833999999948</f>
        <v>1332.7199659999997</v>
      </c>
      <c r="J249" s="3">
        <f>1894+(729.6-683)+(0+(0-0))+0-600.5-0</f>
        <v>1340.1</v>
      </c>
      <c r="K249" s="3">
        <f>1709.8+(800.6-508.3)+(-2.615994+(-1.224918--0.777699))+0-564.8--0.864144000000033</f>
        <v>1435.1009310000002</v>
      </c>
      <c r="L249" s="3">
        <f>1716.5+(818-424.2)+(-2.626245+(-1.25154--0.649026))+0-655--1.00215000000004</f>
        <v>1453.0733910000001</v>
      </c>
      <c r="M249" s="3">
        <f>1792.2+(793-465.9)+(-2.742066+(-1.21329--0.712827))+0-642.8--0.983484000000037</f>
        <v>1474.2409550000002</v>
      </c>
      <c r="N249" s="3">
        <f>1913.6+(684.9-603.8)+(-1.951872+(-0.698598--0.615876))+0-454.5--0.463590000000072</f>
        <v>1538.6289959999999</v>
      </c>
      <c r="O249" s="3">
        <f>2099.5+(654.8-683.8)+(0+(0-0))+0-479.2-0</f>
        <v>1591.3</v>
      </c>
      <c r="P249" s="3">
        <f>2349.6+(588.1-859.4)+(-2.396592+(-0.599862--0.876588))+0-434.2--0.442884000000069</f>
        <v>1642.4230180000002</v>
      </c>
      <c r="Q249" s="3">
        <f>2454.4+(542.6-940.6)+(-2.503488+(-0.553452--0.959412))+0-432.2--0.440844000000069</f>
        <v>1622.5433160000002</v>
      </c>
      <c r="R249" s="3">
        <f>2067.1+(646.3-611.9)+(-1.054221+(-0.329613--0.312069))+0-446--0.227459999999955</f>
        <v>1654.6556949999999</v>
      </c>
      <c r="S249" s="3">
        <f>1867.1+(649.5-443.4)+(-1.904442+(-0.66249--0.452268))+0-465.6--0.474912000000074</f>
        <v>1605.9602479999999</v>
      </c>
      <c r="T249" s="3">
        <f>1670.5+(721.3-319.1)+(-1.70391+(-0.735726--0.325482))+0-482.6--0.492252000000077</f>
        <v>1588.478098</v>
      </c>
      <c r="U249" s="3">
        <f>1706.2+(665-347.4)+(0.870162+(0.33915-0.177174))+0-502.1-0.256070999999949</f>
        <v>1522.4760670000003</v>
      </c>
      <c r="V249" s="3">
        <f>1893.3+(608.3-429.5)+(0+(0-0))+0-492.6-0</f>
        <v>1579.5</v>
      </c>
      <c r="W249" s="3">
        <f>3611.6+(354.2-1681.5)+(0+(0-0))+0-401-0</f>
        <v>1883.3000000000002</v>
      </c>
      <c r="X249" s="3">
        <f>3962.4+(409.2-1929.1)+(-6.062472+(-0.626076--2.951523))+0-423.5--0.647955000000024</f>
        <v>2015.91093</v>
      </c>
      <c r="Y249" s="3">
        <f>3726.2+(502.5-1679)+(-7.601448+(-1.0251--3.42516))+0-550.4--1.12281599999998</f>
        <v>1995.2214279999998</v>
      </c>
      <c r="Z249" s="3">
        <f>3092.2+(585.4-1322.9)+(-9.462132+(-1.791324--4.048074))+0-400.3--1.22491800000005</f>
        <v>1948.4195359999999</v>
      </c>
      <c r="AA249" s="3">
        <f>2781.3+(572.5-1001.7)+(-5.673852+(-1.1679--2.043468))+0-482.4--0.984095999999979</f>
        <v>1865.8858120000002</v>
      </c>
      <c r="AB249" s="3">
        <f>2347+(706.3-752)+(-2.39394+(-0.720426--0.76704))+0-535.9--0.546618000000085</f>
        <v>1763.5992920000001</v>
      </c>
      <c r="AC249" s="3">
        <f>2095.2+(754.2-632.1)+(-4.274208+(-1.538568--1.289484))+0-567.1--1.15688399999998</f>
        <v>1646.833592</v>
      </c>
      <c r="AD249">
        <f t="shared" si="3"/>
        <v>38823.287122000002</v>
      </c>
      <c r="AE249" s="3">
        <f>4208+(371.9-2121.2)+(0+(0-0))+0-392-0</f>
        <v>2066.7000000000003</v>
      </c>
    </row>
    <row r="250" spans="1:31" customFormat="1" x14ac:dyDescent="0.25">
      <c r="A250">
        <v>89</v>
      </c>
      <c r="B250">
        <v>9</v>
      </c>
      <c r="C250">
        <v>4</v>
      </c>
      <c r="D250">
        <v>6</v>
      </c>
      <c r="E250">
        <v>3</v>
      </c>
      <c r="F250" s="3">
        <f>1754.3+(847.3-482.6)+(0+(0-0))+0-607.6-0</f>
        <v>1511.4</v>
      </c>
      <c r="G250" s="3">
        <f>1314.4+(887.7-284.2)+(0+(0-0))+0-529.4-0</f>
        <v>1388.5</v>
      </c>
      <c r="H250" s="3">
        <f>1298+(929.8-274)+(0+(0-0))+0-618.1-0</f>
        <v>1335.6999999999998</v>
      </c>
      <c r="I250" s="3">
        <f>1276.5+(885.9-261.5)+(0+(0-0))+0-590.6-0</f>
        <v>1310.3000000000002</v>
      </c>
      <c r="J250" s="3">
        <f>1418.5+(809.7-348.8)+(-0.723435+(-0.412947--0.177888))+0-580.5--0.296054999999941</f>
        <v>1298.2375610000001</v>
      </c>
      <c r="K250" s="3">
        <f>1447.2+(797-348.5)+(2.214216+(1.21941-0.533205))+0-566.4-0.866592000000033</f>
        <v>1331.3338289999999</v>
      </c>
      <c r="L250" s="3">
        <f>1466.5+(895.8-249.3)+(0+(0-0))+0-665.2-0</f>
        <v>1447.8</v>
      </c>
      <c r="M250" s="3">
        <f>1396.9+(835-245.7)+(-1.424838+(-0.8517--0.250614))+0-485.4--0.495108000000077</f>
        <v>1499.2691840000002</v>
      </c>
      <c r="N250" s="3">
        <f>1477.2+(835.1-267.1)+(-1.506744+(-0.851802--0.272442))+0-429.2--0.437784000000068</f>
        <v>1614.35168</v>
      </c>
      <c r="O250" s="3">
        <f>1647.5+(763.8-293.4)+(-2.520675+(-1.168614--0.448902))+0-495.8--0.758574000000029</f>
        <v>1619.6181870000003</v>
      </c>
      <c r="P250" s="3">
        <f>2239.2+(326.6-433.9)+(-2.283984+(-0.333132--0.442578))+0-479.9--0.489498000000076</f>
        <v>1650.3149599999995</v>
      </c>
      <c r="Q250" s="3">
        <f>2375.7+(269.5-473.8)+(-2.423214+(-0.27489--0.483276))+0-508.1--0.518262000000081</f>
        <v>1661.6034339999997</v>
      </c>
      <c r="R250" s="3">
        <f>2119.5+(327.8-371.5)+(-5.404725+(-0.83589--0.947325))+0-419.5--1.06972499999994</f>
        <v>1652.0764349999999</v>
      </c>
      <c r="S250" s="3">
        <f>1808.4+(602.8-240.6)+(1.844568+(0.614856-0.245412))+0-581.3-0.592926000000093</f>
        <v>1590.9210859999998</v>
      </c>
      <c r="T250" s="3">
        <f>1653.9+(695.6-230.5)+(-4.217445+(-1.77378--0.587775))+0-542.4--1.38311999999992</f>
        <v>1572.5796700000001</v>
      </c>
      <c r="U250" s="3">
        <f>1750.6+(596.9-234.7)+(0+(0-0))+0-565.2-0</f>
        <v>1547.5999999999997</v>
      </c>
      <c r="V250" s="3">
        <f>2360.3+(252.3-461.1)+(-3.611259+(-0.386019--0.705483))+0-520.9--0.79697700000003</f>
        <v>1628.1051819999998</v>
      </c>
      <c r="W250" s="3">
        <f>4042+(104.6-1658.2)+(2.06142+(0.053346-0.845682))+0-602.9-0.307478999999939</f>
        <v>1886.4616049999997</v>
      </c>
      <c r="X250" s="3">
        <f>4131+(112.4-1714.8)+(0+(0-0))+0-522.7-0</f>
        <v>2005.9000000000003</v>
      </c>
      <c r="Y250" s="3">
        <f>3722+(126.6-1264)+(-9.4911+(-0.32283--3.2232))+0-600.7--1.53178499999991</f>
        <v>1978.8410549999999</v>
      </c>
      <c r="Z250" s="3">
        <f>2918+(227-745.5)+(-1.48818+(-0.11577--0.380205))+0-467.2--0.238271999999953</f>
        <v>1931.3145270000002</v>
      </c>
      <c r="AA250" s="3">
        <f>2918.6+(320.2-741.5)+(-1.488486+(-0.163302--0.378165))+0-657.8--0.335477999999933</f>
        <v>1838.5618549999997</v>
      </c>
      <c r="AB250" s="3">
        <f>2251.9+(571.1-455.2)+(-2.296938+(-0.582522--0.464304))+0-612.1--0.624342000000098</f>
        <v>1753.9091860000003</v>
      </c>
      <c r="AC250" s="3">
        <f>1810.9+(825-298.6)+(-3.694236+(-1.683--0.609144))+0-651.8--1.32967199999997</f>
        <v>1682.0615800000005</v>
      </c>
      <c r="AD250">
        <f t="shared" si="3"/>
        <v>38736.761015999997</v>
      </c>
      <c r="AE250" s="3">
        <f>4232+(86.6-1819.9)+(0+(0-0))+0-487.2-0</f>
        <v>2011.4999999999998</v>
      </c>
    </row>
    <row r="251" spans="1:31" customFormat="1" x14ac:dyDescent="0.25">
      <c r="A251">
        <v>89</v>
      </c>
      <c r="B251">
        <v>9</v>
      </c>
      <c r="C251">
        <v>5</v>
      </c>
      <c r="D251">
        <v>7</v>
      </c>
      <c r="E251">
        <v>1</v>
      </c>
      <c r="F251" s="3">
        <f>1518.6+(773.3-363.2)+(-2.323458+(-1.183149--0.555696))+0-447.5--0.684675000000026</f>
        <v>1478.9337639999999</v>
      </c>
      <c r="G251" s="3">
        <f>1321.8+(937.2-180.6)+(-2.022354+(-1.433916--0.276318))+0-686.1--1.04973300000004</f>
        <v>1390.1697810000003</v>
      </c>
      <c r="H251" s="3">
        <f>1187.4+(872.2-176.7)+(-1.816722+(-1.334466--0.270351))+0-548.1--0.838593000000032</f>
        <v>1332.757756</v>
      </c>
      <c r="I251" s="3">
        <f>1327+(810.2-181.2)+(-1.35354+(-0.826404--0.184824))+0-653.5--0.666570000000104</f>
        <v>1301.17145</v>
      </c>
      <c r="J251" s="3">
        <f>1262.2+(728.4-172.9)+(1.287444+(0.742968-0.176358))+0-520-0.530400000000083</f>
        <v>1299.0236539999999</v>
      </c>
      <c r="K251" s="3">
        <f>1353.2+(730.7-182.4)+(0.690132+(0.372657-0.093024))+0-575.5-0.293504999999942</f>
        <v>1326.6762600000002</v>
      </c>
      <c r="L251" s="3">
        <f>1379.8+(781.7-191.6)+(-2.814792+(-1.594668--0.390864))+0-510.5--1.04141999999998</f>
        <v>1456.4228240000002</v>
      </c>
      <c r="M251" s="3">
        <f>1293+(930.2-191)+(-1.31886+(-0.948804--0.19482))+0-542.6--0.553452000000087</f>
        <v>1488.0806080000002</v>
      </c>
      <c r="N251" s="3">
        <f>1445.4+(738.5-197.2)+(0.737154+(0.376635-0.100572))+0-406.2-0.207161999999959</f>
        <v>1581.306055</v>
      </c>
      <c r="O251" s="3">
        <f>1527.9+(771.3-192.3)+(0+(0-0))+0-596.1-0</f>
        <v>1510.8000000000002</v>
      </c>
      <c r="P251" s="3">
        <f>1749.3+(573.4-252.6)+(-0.892143+(-0.292434--0.128826))+0-405.5--0.206804999999959</f>
        <v>1663.7510540000001</v>
      </c>
      <c r="Q251" s="3">
        <f>1978.8+(435.8-323.5)+(-8.073504+(-1.778064--1.31988))+0-407.7--1.66341599999996</f>
        <v>1676.5317279999997</v>
      </c>
      <c r="R251" s="3">
        <f>1722.9+(553.7-113.1)+(-2.636037+(-0.847161--0.173043))+0-338.9--0.51851700000002</f>
        <v>1821.8083619999998</v>
      </c>
      <c r="S251" s="3">
        <f>1653.6+(704.5-41.3)+(-1.686672+(-0.71859--0.042126))+0-545.8--0.556716000000087</f>
        <v>1769.1935800000003</v>
      </c>
      <c r="T251" s="3">
        <f>1577.7+(636.9-57.8)+(-0.804627+(-0.324819--0.029478))+0-428.8--0.218687999999957</f>
        <v>1727.1187200000002</v>
      </c>
      <c r="U251" s="3">
        <f>1671.5+(581.7-72.4)+(-1.70493+(-0.593334--0.073848))+0-443.7--0.452574000000071</f>
        <v>1735.3281580000003</v>
      </c>
      <c r="V251" s="3">
        <f>1686.4+(714.7-54.5)+(0+(0-0))+0-525.4-0</f>
        <v>1821.2000000000003</v>
      </c>
      <c r="W251" s="3">
        <f>2994+(275.7-641.4)+(-1.52694+(-0.140607--0.327114))+0-497.4--0.25367399999995</f>
        <v>2129.8132410000003</v>
      </c>
      <c r="X251" s="3">
        <f>3429.3+(293.2-867.2)+(-1.748943+(-0.149532--0.442272))+0-530--0.270299999999946</f>
        <v>2324.1140970000001</v>
      </c>
      <c r="Y251" s="3">
        <f>3404.4+(311.1-872.8)+(-5.208732+(-0.475983--1.335384))+0-628.4--0.961452000000036</f>
        <v>2210.9121210000003</v>
      </c>
      <c r="Z251" s="3">
        <f>3261.7+(350.2-903)+(-3.326934+(-0.357204--0.92106))+0-551.4--0.562428000000088</f>
        <v>2155.2993499999998</v>
      </c>
      <c r="AA251" s="3">
        <f>3010.9+(431-740)+(-6.142236+(-0.87924--1.5096))+0-654.6--1.33538399999997</f>
        <v>2043.1235080000001</v>
      </c>
      <c r="AB251" s="3">
        <f>2400.8+(635.1-559.7)+(-3.673224+(-0.971703--0.856341))+0-524.3--0.80217900000003</f>
        <v>1948.9135930000002</v>
      </c>
      <c r="AC251" s="3">
        <f>1942.2+(877.9-437.7)+(-5.943132+(-2.686374--1.339362))+0-616--1.88496000000007</f>
        <v>1760.9948160000001</v>
      </c>
      <c r="AD251">
        <f t="shared" si="3"/>
        <v>40953.444479999991</v>
      </c>
      <c r="AE251" s="3">
        <f>3662+(300.1-1048.4)+(0+(0-0))+0-535.3-0</f>
        <v>2378.3999999999996</v>
      </c>
    </row>
    <row r="252" spans="1:31" customFormat="1" x14ac:dyDescent="0.25">
      <c r="A252">
        <v>89</v>
      </c>
      <c r="B252">
        <v>9</v>
      </c>
      <c r="C252">
        <v>6</v>
      </c>
      <c r="D252">
        <v>1</v>
      </c>
      <c r="E252">
        <v>1</v>
      </c>
      <c r="F252" s="3">
        <f>1631+(865.5-376.9)+(0+(0-0))+0-596.3-0</f>
        <v>1523.3</v>
      </c>
      <c r="G252" s="3">
        <f>1546.6+(826.7-344.9)+(0+(0-0))+0-594.4-0</f>
        <v>1434</v>
      </c>
      <c r="H252" s="3">
        <f>1538.9+(769.9-311.6)+(0.784839+(0.392649-0.158916))+0-610.7-0.311456999999938</f>
        <v>1387.2071149999999</v>
      </c>
      <c r="I252" s="3">
        <f>1572.7+(698.4-338.5)+(1.604154+(0.712368-0.34527))+0-571-0.582420000000091</f>
        <v>1362.9888319999998</v>
      </c>
      <c r="J252" s="3">
        <f>1543.9+(735.2-268.8)+(0+(0-0))+0-654-0</f>
        <v>1356.3000000000002</v>
      </c>
      <c r="K252" s="3">
        <f>1547.6+(690.3-248.1)+(-1.578552+(-0.704106--0.253062))+0-591.5--0.603330000000094</f>
        <v>1396.8737339999998</v>
      </c>
      <c r="L252" s="3">
        <f>1571.7+(760.7-210.9)+(-4.007835+(-1.939785--0.537795))+0-631.8--1.61108999999991</f>
        <v>1485.9012649999997</v>
      </c>
      <c r="M252" s="3">
        <f>1634.5+(699.4-220.2)+(0.833595+(0.356694-0.112302))+0-552.7-0.281876999999944</f>
        <v>1561.79611</v>
      </c>
      <c r="N252" s="3">
        <f>1857.4+(596-301.3)+(0+(0-0))+0-532.2-0</f>
        <v>1619.8999999999999</v>
      </c>
      <c r="O252" s="3">
        <f>2310.7+(457.3-552.6)+(3.535371+(0.699669-0.845478))+0-456.2-0.697986000000026</f>
        <v>1761.8915759999993</v>
      </c>
      <c r="P252" s="3">
        <f>2608.1+(358.2-753.6)+(0+(0-0))+0-536.6-0</f>
        <v>1676.1</v>
      </c>
      <c r="Q252" s="3">
        <f>2637.9+(293.3-778.5)+(-1.345329+(-0.149583--0.397035))+0-425--0.216749999999957</f>
        <v>1726.8188730000002</v>
      </c>
      <c r="R252" s="3">
        <f>2339.8+(344-600.3)+(-1.193298+(-0.17544--0.306153))+0-389.9--0.19884899999996</f>
        <v>1692.7362639999997</v>
      </c>
      <c r="S252" s="3">
        <f>2215.8+(372-505.1)+(-1.130058+(-0.18972--0.257601))+0-427.4--0.217973999999957</f>
        <v>1654.4557970000003</v>
      </c>
      <c r="T252" s="3">
        <f>2181.1+(409.7-475)+(-2.224722+(-0.417894--0.4845))+0-459.6--0.468792000000073</f>
        <v>1654.5106759999999</v>
      </c>
      <c r="U252" s="3">
        <f>1959.9+(477.3-407.8)+(-0.999549+(-0.243423--0.207978))+0-435.5--0.222104999999956</f>
        <v>1593.087111</v>
      </c>
      <c r="V252" s="3">
        <f>1984.9+(477-451.8)+(-2.024598+(-0.48654--0.460836))+0-443.8--0.452676000000071</f>
        <v>1564.7023740000002</v>
      </c>
      <c r="W252" s="3">
        <f>3914.8+(254.3-1671)+(3.993096+(0.259386-1.70442))+0-559-0.570180000000089</f>
        <v>1941.077882</v>
      </c>
      <c r="X252" s="3">
        <f>4285.9+(264.4-1868.3)+(-4.371618+(-0.269688--1.905666))+0-607.2--0.619344000000097</f>
        <v>2072.6837039999996</v>
      </c>
      <c r="Y252" s="3">
        <f>3623.2+(360.3-1437)+(-7.391328+(-0.735012--2.93148))+0-453.4--0.92493599999998</f>
        <v>2088.8300759999997</v>
      </c>
      <c r="Z252" s="3">
        <f>2941.6+(485.9-848.4)+(-7.50108+(-1.239045--2.16342))+0-599.8--1.52948999999991</f>
        <v>1974.2527849999999</v>
      </c>
      <c r="AA252" s="3">
        <f>2639.7+(595.1-748.2)+(1.346247+(0.303501-0.381582))+0-551.8-0.281417999999944</f>
        <v>1935.7867479999998</v>
      </c>
      <c r="AB252" s="3">
        <f>1959.5+(902.6-444.4)+(-3.99738+(-1.841304--0.906576))+0-576.1--1.17524399999997</f>
        <v>1837.843136</v>
      </c>
      <c r="AC252" s="3">
        <f>1540.4+(1051.7-309.1)+(-2.356812+(-1.609101--0.472923))+0-569.1--0.870723000000033</f>
        <v>1711.2777329999999</v>
      </c>
      <c r="AD252">
        <f t="shared" si="3"/>
        <v>40014.321790999995</v>
      </c>
      <c r="AE252" s="3">
        <f>4684+(206.9-2141.2)+(0+(0-0))+0-617.6-0</f>
        <v>2132.1000000000004</v>
      </c>
    </row>
    <row r="253" spans="1:31" customFormat="1" x14ac:dyDescent="0.25">
      <c r="A253">
        <v>89</v>
      </c>
      <c r="B253">
        <v>9</v>
      </c>
      <c r="C253">
        <v>7</v>
      </c>
      <c r="D253">
        <v>2</v>
      </c>
      <c r="E253">
        <v>1</v>
      </c>
      <c r="F253" s="3">
        <f>1502.1+(999.3-326.3)+(-0.766071+(-0.509643--0.166413))+0-612.6--0.312425999999938</f>
        <v>1561.703125</v>
      </c>
      <c r="G253" s="3">
        <f>1420.6+(976.7-426.1)+(-3.62253+(-2.490585--1.086555))+0-508.5--1.29667499999993</f>
        <v>1458.9701149999996</v>
      </c>
      <c r="H253" s="3">
        <f>1574.4+(862.3-413.8)+(-0.802944+(-0.439773--0.211038))+0-609.5--0.310844999999938</f>
        <v>1412.6791660000001</v>
      </c>
      <c r="I253" s="3">
        <f>1589.3+(791.5-455.7)+(-0.810543+(-0.403665--0.232407))+0-532.9--0.271778999999946</f>
        <v>1391.4899779999998</v>
      </c>
      <c r="J253" s="3">
        <f>1590.2+(727.7-537.8)+(-1.622004+(-0.742254--0.548556))+0-380.1--0.387702000000061</f>
        <v>1398.5720000000001</v>
      </c>
      <c r="K253" s="3">
        <f>1684.7+(637.8-477)+(0+(0-0))+0-403.5-0</f>
        <v>1442</v>
      </c>
      <c r="L253" s="3">
        <f>1674.7+(728-407)+(-3.416388+(-1.48512--0.83028))+0-470.4--0.959615999999979</f>
        <v>1522.1883879999998</v>
      </c>
      <c r="M253" s="3">
        <f>1767.6+(605.4-376.4)+(-0.901476+(-0.308754--0.191964))+0-389.6--0.19869599999996</f>
        <v>1606.1804299999999</v>
      </c>
      <c r="N253" s="3">
        <f>2049.4+(480.8-619)+(0+(0-0))+0-403-0</f>
        <v>1508.2</v>
      </c>
      <c r="O253" s="3">
        <f>2253.4+(611-774)+(1.149234+(0.31161-0.39474))+0-455-0.232049999999954</f>
        <v>1636.2340540000002</v>
      </c>
      <c r="P253" s="3">
        <f>2521.8+(622.4-1078)+(2.572236+(0.634848-1.09956))+0-460-0.469200000000073</f>
        <v>1607.8383240000003</v>
      </c>
      <c r="Q253" s="3">
        <f>2661.6+(614.8-1110.6)+(0+(0-0))+0-476.4-0</f>
        <v>1689.4</v>
      </c>
      <c r="R253" s="3">
        <f>2148.6+(673.7-727)+(-5.47893+(-1.717935--1.85385))+0-423.6--1.08017999999994</f>
        <v>1667.4371650000003</v>
      </c>
      <c r="S253" s="3">
        <f>2102.4+(565-579.1)+(-3.216672+(-0.86445--0.886023))+0-394.1--0.602973000000023</f>
        <v>1691.6078740000003</v>
      </c>
      <c r="T253" s="3">
        <f>2267.1+(532-652.5)+(1.156221+(0.27132-0.332775))+0-529.5-0.270044999999946</f>
        <v>1617.9247210000001</v>
      </c>
      <c r="U253" s="3">
        <f>2243.1+(535.7-675.1)+(2.287962+(0.546414-0.688602))+0-525-0.535500000000084</f>
        <v>1580.3102739999997</v>
      </c>
      <c r="V253" s="3">
        <f>2488+(505.7-845.4)+(-1.26888+(-0.257907--0.431154))+0-488.4--0.24908399999995</f>
        <v>1659.0534510000002</v>
      </c>
      <c r="W253" s="3">
        <f>3859+(364.2-1707.3)+(1.96809+(0.185742-0.870723))+0-570.2-0.290801999999942</f>
        <v>1946.692307</v>
      </c>
      <c r="X253" s="3">
        <f>4058.1+(393.2-1821)+(-14.487417+(-1.403724--6.50097))+0-501.3--1.78964100000001</f>
        <v>2121.3994699999998</v>
      </c>
      <c r="Y253" s="3">
        <f>3495.5+(528.3-1406.3)+(-7.13082+(-1.077732--2.868852))+0-537.3--1.09609199999998</f>
        <v>2075.9563920000001</v>
      </c>
      <c r="Z253" s="3">
        <f>3254.3+(635.7-1316.8)+(-1.659693+(-0.324207--0.671568))+0-539.7--0.275246999999945</f>
        <v>2032.4629150000003</v>
      </c>
      <c r="AA253" s="3">
        <f>3080+(723.9-1320.4)+(-4.7124+(-1.107567--2.020212))+0-526.9--0.80615700000003</f>
        <v>1953.6064019999999</v>
      </c>
      <c r="AB253" s="3">
        <f>2488.1+(768.4-1008.3)+(-2.537862+(-0.783768--1.028466))+0-377.2--0.38474400000006</f>
        <v>1869.0915799999996</v>
      </c>
      <c r="AC253" s="3">
        <f>1935.1+(911-612.7)+(-3.947604+(-1.85844--1.249908))+0-503.2--1.02652799999998</f>
        <v>1726.6703919999993</v>
      </c>
      <c r="AD253">
        <f t="shared" si="3"/>
        <v>40177.668523</v>
      </c>
      <c r="AE253" s="3">
        <f>4188+(346.8-1999.9)+(0+(0-0))+0-516.6-0</f>
        <v>2018.2999999999997</v>
      </c>
    </row>
    <row r="254" spans="1:31" customFormat="1" x14ac:dyDescent="0.25">
      <c r="A254">
        <v>89</v>
      </c>
      <c r="B254">
        <v>9</v>
      </c>
      <c r="C254">
        <v>8</v>
      </c>
      <c r="D254">
        <v>3</v>
      </c>
      <c r="E254">
        <v>1</v>
      </c>
      <c r="F254" s="3">
        <f>1815.6+(1034.9-717.8)+(-3.703824+(-2.111196--1.464312))+0-609--1.24235999999997</f>
        <v>1520.5916519999998</v>
      </c>
      <c r="G254" s="3">
        <f>1868.9+(1064.9-1022.3)+(-0.953139+(-0.543099--0.521373))+0-462.8--0.236027999999953</f>
        <v>1447.9611630000004</v>
      </c>
      <c r="H254" s="3">
        <f>1762.7+(1019.3-809.2)+(0.898977+(0.519843-0.412692))+0-562.7-0.286976999999943</f>
        <v>1410.8191509999999</v>
      </c>
      <c r="I254" s="3">
        <f>1714.8+(985.6-849.7)+(-1.749096+(-1.005312--0.866694))+0-468.1--0.477462000000075</f>
        <v>1381.189748</v>
      </c>
      <c r="J254" s="3">
        <f>1722.3+(954-779.2)+(0.878373+(0.48654-0.397392))+0-504.6-0.257345999999949</f>
        <v>1393.2101750000002</v>
      </c>
      <c r="K254" s="3">
        <f>1799+(917.4-819.4)+(0.91749+(0.467874-0.417894))+0-473.4-0.241433999999952</f>
        <v>1424.3260359999999</v>
      </c>
      <c r="L254" s="3">
        <f>1844+(945-731.8)+(0+(0-0))+0-497-0</f>
        <v>1560.1999999999998</v>
      </c>
      <c r="M254" s="3">
        <f>1820.1+(891.6-625.4)+(-4.641255+(-2.27358--1.59477))+0-468.3--1.19416499999993</f>
        <v>1613.8741000000002</v>
      </c>
      <c r="N254" s="3">
        <f>2088+(780-741.2)+(3.19464+(1.1934-1.134036))+0-465.8-0.712674000000027</f>
        <v>1663.54133</v>
      </c>
      <c r="O254" s="3">
        <f>2332.7+(714.8-967.1)+(-3.569031+(-1.093644--1.479663))+0-397.2--0.607716000000023</f>
        <v>1680.6247039999996</v>
      </c>
      <c r="P254" s="3">
        <f>2482.9+(759.9-1113.5)+(1.266279+(0.387549-0.567885))+0-407-0.207569999999959</f>
        <v>1723.1783730000002</v>
      </c>
      <c r="Q254" s="3">
        <f>2289.1+(909.7-1070.1)+(-5.837205+(-2.319735--2.728755))+0-405.1--1.03300499999994</f>
        <v>1719.2048199999997</v>
      </c>
      <c r="R254" s="3">
        <f>2130+(850.3-872.8)+(-2.1726+(-0.867306--0.890256))+0-403.4--0.411468000000064</f>
        <v>1702.3618180000001</v>
      </c>
      <c r="S254" s="3">
        <f>2310+(702.1-874)+(0+(0-0))+0-469.5-0</f>
        <v>1668.6</v>
      </c>
      <c r="T254" s="3">
        <f>2036.1+(731.3-790.7)+(0+(0-0))+0-360.1-0</f>
        <v>1616.6</v>
      </c>
      <c r="U254" s="3">
        <f>1867.2+(791.4-657.2)+(0.952272+(0.403614-0.335172))+0-486.6-0.248165999999951</f>
        <v>1515.5725480000001</v>
      </c>
      <c r="V254" s="3">
        <f>2363+(758.1-1090.5)+(3.61539+(1.159893-1.668465))+0-475.8-0.727974000000028</f>
        <v>1557.1788439999998</v>
      </c>
      <c r="W254" s="3">
        <f>3981+(586.9-2151.6)+(6.09093+(0.897957-3.291948))+0-570-0.872100000000033</f>
        <v>1849.1248390000001</v>
      </c>
      <c r="X254" s="3">
        <f>3869.3+(640.3-1957.7)+(-7.893372+(-1.306212--3.993708))+0-538.7--1.09894799999998</f>
        <v>2009.0930720000001</v>
      </c>
      <c r="Y254" s="3">
        <f>3483.3+(699.5-1532)+(-5.329449+(-1.070235--2.34396))+0-572.7--0.876231000000033</f>
        <v>2074.9205070000007</v>
      </c>
      <c r="Z254" s="3">
        <f>2763+(803.1-964.2)+(-4.22739+(-1.228743--1.475226))+0-568.7--0.870111000000033</f>
        <v>2030.0892039999999</v>
      </c>
      <c r="AA254" s="3">
        <f>2513.9+(907.2-826)+(-2.564178+(-0.925344--0.84252))+0-630.3--0.6429060000001</f>
        <v>1962.7959040000003</v>
      </c>
      <c r="AB254" s="3">
        <f>2121.4+(994.3-640)+(0+(0-0))+0-609.3-0</f>
        <v>1866.3999999999999</v>
      </c>
      <c r="AC254" s="3">
        <f>2000.2+(946.7-706)+(-5.10051+(-2.414085--1.8003))+0-493.9--1.25944499999993</f>
        <v>1742.5451499999997</v>
      </c>
      <c r="AD254">
        <f t="shared" si="3"/>
        <v>40134.003138</v>
      </c>
      <c r="AE254" s="3">
        <f>4324+(589.5-2117.1)+(0+(0-0))+0-609.4-0</f>
        <v>2187</v>
      </c>
    </row>
    <row r="255" spans="1:31" customFormat="1" x14ac:dyDescent="0.25">
      <c r="A255">
        <v>89</v>
      </c>
      <c r="B255">
        <v>9</v>
      </c>
      <c r="C255">
        <v>9</v>
      </c>
      <c r="D255">
        <v>4</v>
      </c>
      <c r="E255">
        <v>1</v>
      </c>
      <c r="F255" s="3">
        <f>2053.2+(920.6-899.2)+(-4.188528+(-1.878024--1.834368))+0-465.2--0.94900799999998</f>
        <v>1606.116824</v>
      </c>
      <c r="G255" s="3">
        <f>2046.5+(807.8-789)+(-2.08743+(-0.823956--0.80478))+0-568.4--0.579768000000091</f>
        <v>1495.3731620000003</v>
      </c>
      <c r="H255" s="3">
        <f>1997.2+(826.8-826.4)+(-3.055716+(-1.265004--1.264392))+0-552.5--0.845325000000032</f>
        <v>1442.888997</v>
      </c>
      <c r="I255" s="3">
        <f>2046.7+(813.9-864.6)+(-2.087634+(-0.830178--0.881892))+0-581.7--0.593334000000093</f>
        <v>1412.8574140000001</v>
      </c>
      <c r="J255" s="3">
        <f>2014.8+(818.1-935.7)+(-2.055096+(-0.834462--0.954414))+0-482.3--0.491946000000077</f>
        <v>1413.4568019999999</v>
      </c>
      <c r="K255" s="3">
        <f>2062.2+(815.6-851.8)+(0+(0-0))+0-583.4-0</f>
        <v>1442.6</v>
      </c>
      <c r="L255" s="3">
        <f>1956.5+(781.9-630.1)+(-1.99563+(-0.797538--0.642702))+0-531.5--0.542130000000085</f>
        <v>1575.1916640000002</v>
      </c>
      <c r="M255" s="3">
        <f>1915.1+(774.3-541)+(-0.976701+(-0.394893--0.27591))+0-490.2--0.25000199999995</f>
        <v>1657.3543179999997</v>
      </c>
      <c r="N255" s="3">
        <f>2167.2+(703-636.3)+(1.105272+(0.35853-0.324513))+0-475.6-0.242555999999952</f>
        <v>1759.196733</v>
      </c>
      <c r="O255" s="3">
        <f>2518+(707.6-981.6)+(0+(0-0))+0-575.8-0</f>
        <v>1668.2</v>
      </c>
      <c r="P255" s="3">
        <f>2809+(654-1245.6)+(-1.43259+(-0.33354--0.635256))+0-497.1--0.25352099999995</f>
        <v>1719.4226470000001</v>
      </c>
      <c r="Q255" s="3">
        <f>2786.6+(631.8-1436.4)+(-2.842332+(-0.644436--1.465128))+0-458.1--0.467262000000073</f>
        <v>1522.3456219999998</v>
      </c>
      <c r="R255" s="3">
        <f>2408.7+(687.4-1231.5)+(-1.228437+(-0.350574--0.628065))+0-433.9--0.221288999999956</f>
        <v>1429.9703429999997</v>
      </c>
      <c r="S255" s="3">
        <f>2523.4+(674.8-1263.3)+(0+(0-0))+0-440.7-0</f>
        <v>1494.2</v>
      </c>
      <c r="T255" s="3">
        <f>2519.6+(730.8-1221)+(-3.854988+(-1.118124--1.86813))+0-582--0.890460000000034</f>
        <v>1445.1854779999999</v>
      </c>
      <c r="U255" s="3">
        <f>2316.3+(687.8-1188.4)+(-3.543939+(-1.052334--1.818252))+0-348.5--0.53320500000002</f>
        <v>1464.9551839999999</v>
      </c>
      <c r="V255" s="3">
        <f>2326.6+(609.1-985)+(-3.559698+(-0.931923--1.50705))+0-413.1--0.632043000000024</f>
        <v>1535.247472</v>
      </c>
      <c r="W255" s="3">
        <f>3698.1+(339.2-1602)+(-3.772062+(-0.345984--1.63404))+0-439.3--0.44808600000007</f>
        <v>1993.9640800000002</v>
      </c>
      <c r="X255" s="3">
        <f>3693.8+(370.4-1408.2)+(-7.535352+(-0.755616--2.872728))+0-525.1--1.07120399999998</f>
        <v>2126.552964</v>
      </c>
      <c r="Y255" s="3">
        <f>3134.2+(496.7-926.3)+(-6.393768+(-1.013268--1.889652))+0-579.7--1.18258799999997</f>
        <v>2120.565204</v>
      </c>
      <c r="Z255" s="3">
        <f>2713.9+(529.6-601.4)+(-2.768178+(-0.540192--0.613428))+0-626--0.6385200000001</f>
        <v>2014.0435780000005</v>
      </c>
      <c r="AA255" s="3">
        <f>2702.3+(605.7-750.1)+(-4.134519+(-0.926721--1.147653))+0-598.1--0.915093000000035</f>
        <v>1956.8015060000002</v>
      </c>
      <c r="AB255" s="3">
        <f>2362.9+(781-698.9)+(-3.615237+(-1.19493--1.069317))+0-609.1--0.931923000000035</f>
        <v>1833.0910730000001</v>
      </c>
      <c r="AC255" s="3">
        <f>2231+(772.7-760.9)+(-5.68905+(-1.970385--1.940295))+0-542.9--1.38439499999992</f>
        <v>1695.5652549999998</v>
      </c>
      <c r="AD255">
        <f t="shared" si="3"/>
        <v>39825.146320000007</v>
      </c>
      <c r="AE255" s="3">
        <f>4146+(315.7-1874.6)+(0+(0-0))+0-423.7-0</f>
        <v>2163.4000000000005</v>
      </c>
    </row>
    <row r="256" spans="1:31" customFormat="1" x14ac:dyDescent="0.25">
      <c r="A256">
        <v>89</v>
      </c>
      <c r="B256">
        <v>9</v>
      </c>
      <c r="C256">
        <v>10</v>
      </c>
      <c r="D256">
        <v>5</v>
      </c>
      <c r="E256">
        <v>1</v>
      </c>
      <c r="F256" s="3">
        <f>2119.2+(683.6-689)+(-5.40396+(-1.74318--1.75695))+0-612.8--1.56263999999991</f>
        <v>1497.1724499999996</v>
      </c>
      <c r="G256" s="3">
        <f>2131.9+(587.3-718.4)+(0+(0-0))+0-548.9-0</f>
        <v>1451.9</v>
      </c>
      <c r="H256" s="3">
        <f>2010.1+(575.1-619.4)+(-1.025151+(-0.293301--0.315894))+0-597.5--0.304724999999939</f>
        <v>1367.602167</v>
      </c>
      <c r="I256" s="3">
        <f>1898.1+(546-619.2)+(-0.968031+(-0.27846--0.315792))+0-468.1--0.238730999999953</f>
        <v>1356.1080319999996</v>
      </c>
      <c r="J256" s="3">
        <f>2185.2+(520.7-723.9)+(2.228904+(0.531114-0.738378))+0-628.9-0.6414780000001</f>
        <v>1354.4801619999998</v>
      </c>
      <c r="K256" s="3">
        <f>2151.7+(453.2-644.9)+(-2.194734+(-0.462264--0.657798))+0-573.2--0.584664000000091</f>
        <v>1385.385464</v>
      </c>
      <c r="L256" s="3">
        <f>2089.3+(511.3-497.9)+(-1.065543+(-0.260763--0.253929))+0-528.9--0.269738999999946</f>
        <v>1572.9973620000001</v>
      </c>
      <c r="M256" s="3">
        <f>2142+(599.4-484.6)+(0+(0-0))+0-606-0</f>
        <v>1650.8000000000002</v>
      </c>
      <c r="N256" s="3">
        <f>2168.7+(526.8-545.2)+(-1.106037+(-0.268668--0.278052))+0-458.9--0.234038999999953</f>
        <v>1690.5373859999995</v>
      </c>
      <c r="O256" s="3">
        <f>2316.8+(491.7-588.4)+(-4.726272+(-1.003068--1.200336))+0-559.9--1.14219599999998</f>
        <v>1656.8131920000003</v>
      </c>
      <c r="P256" s="3">
        <f>2360.2+(462.3-866.4)+(1.203702+(0.235773-0.441864))+0-434.9-0.221798999999956</f>
        <v>1521.9758120000001</v>
      </c>
      <c r="Q256" s="3">
        <f>2460.3+(434.4-958.2)+(-1.254753+(-0.221544--0.488682))+0-466.5--0.237914999999953</f>
        <v>1469.2502999999999</v>
      </c>
      <c r="R256" s="3">
        <f>2149.1+(505.5-437.1)+(-5.480205+(-1.289025--1.114605))+0-511.8--1.30508999999993</f>
        <v>1701.3504649999998</v>
      </c>
      <c r="S256" s="3">
        <f>2051.7+(429.8-500.4)+(0+(0-0))+0-544.1-0</f>
        <v>1437</v>
      </c>
      <c r="T256" s="3">
        <f>1996.2+(451.1-559.6)+(0+(0-0))+0-501.5-0</f>
        <v>1386.2</v>
      </c>
      <c r="U256" s="3">
        <f>2030.8+(470.4-539)+(-1.035708+(-0.239904--0.27489))+0-523.2--0.266831999999947</f>
        <v>1438.2661099999998</v>
      </c>
      <c r="V256" s="3">
        <f>2479.8+(440.2-794.8)+(2.529396+(0.449004-0.810696))+0-535.8-0.546516000000085</f>
        <v>1591.0211880000002</v>
      </c>
      <c r="W256" s="3">
        <f>3955.9+(398.9-1743.3)+(0+(0-0))+0-501.5-0</f>
        <v>2110</v>
      </c>
      <c r="X256" s="3">
        <f>3597.4+(517.2-1328.6)+(-7.338696+(-1.055088--2.710344))+0-568.8--1.16035199999998</f>
        <v>2212.6769119999999</v>
      </c>
      <c r="Y256" s="3">
        <f>3416+(607.4-1241.2)+(-5.22648+(-0.929322--1.899036))+0-591.2--0.904536000000034</f>
        <v>2187.6477699999996</v>
      </c>
      <c r="Z256" s="3">
        <f>3379.8+(630.2-1327.9)+(-1.723698+(-0.321402--0.677229))+0-534.5--0.272594999999946</f>
        <v>2146.5047240000004</v>
      </c>
      <c r="AA256" s="3">
        <f>3405.4+(527.1-1333.5)+(0+(0-0))+0-526-0</f>
        <v>2073</v>
      </c>
      <c r="AB256" s="3">
        <f>2998.6+(594.3-1180.9)+(-6.117144+(-1.212372--2.409036))+0-427.1--0.871283999999981</f>
        <v>1980.8508039999999</v>
      </c>
      <c r="AC256" s="3">
        <f>2532.6+(706.9-781.9)+(-3.874878+(-1.081557--1.196307))+0-602.4--0.921672000000035</f>
        <v>1852.3615439999999</v>
      </c>
      <c r="AD256">
        <f t="shared" si="3"/>
        <v>40091.901844</v>
      </c>
      <c r="AE256" s="3">
        <f>4133+(413.4-1770.5)+(0+(0-0))+0-636.8-0</f>
        <v>2139.1000000000004</v>
      </c>
    </row>
    <row r="257" spans="1:31" customFormat="1" x14ac:dyDescent="0.25">
      <c r="A257">
        <v>89</v>
      </c>
      <c r="B257">
        <v>9</v>
      </c>
      <c r="C257">
        <v>11</v>
      </c>
      <c r="D257">
        <v>6</v>
      </c>
      <c r="E257">
        <v>1</v>
      </c>
      <c r="F257" s="3">
        <f>1892+(796.1-494)+(-1.92984+(-0.812022--0.50388))+0-574.7--0.586194000000092</f>
        <v>1617.748212</v>
      </c>
      <c r="G257" s="3">
        <f>2025.6+(727.3-630.6)+(2.066112+(0.741846-0.643212))+0-514.7-0.524994000000082</f>
        <v>1609.2397519999995</v>
      </c>
      <c r="H257" s="3">
        <f>1912.7+(732.3-531.7)+(2.926431+(1.120419-0.813501))+0-554.3-0.848079000000032</f>
        <v>1561.3852700000002</v>
      </c>
      <c r="I257" s="3">
        <f>1896.9+(718.5-521)+(-0.967419+(-0.366435--0.26571))+0-440.4--0.224603999999955</f>
        <v>1653.1564600000002</v>
      </c>
      <c r="J257" s="3">
        <f>1939.3+(680.3-564.5)+(0.989043+(0.346953-0.287895))+0-592.1-0.30197099999994</f>
        <v>1463.74613</v>
      </c>
      <c r="K257" s="3">
        <f>1918.3+(639.3-470)+(0+(0-0))+0-547.5-0</f>
        <v>1540.1</v>
      </c>
      <c r="L257" s="3">
        <f>1934+(697.2-472.6)+(-1.97268+(-0.711144--0.482052))+0-488.9--0.498678000000078</f>
        <v>1667.9969060000001</v>
      </c>
      <c r="M257" s="3">
        <f>2108.6+(653.8-642.3)+(1.075386+(0.333438-0.327573))+0-574.5-0.292994999999942</f>
        <v>1546.388256</v>
      </c>
      <c r="N257" s="3">
        <f>2228.8+(548.7-570.4)+(0+(0-0))+0-399.9-0</f>
        <v>1807.2000000000003</v>
      </c>
      <c r="O257" s="3">
        <f>2335.1+(394.3-649.1)+(-4.763604+(-0.804372--1.324164))+0-538.8--1.09915199999998</f>
        <v>1538.3553399999996</v>
      </c>
      <c r="P257" s="3">
        <f>2479.1+(426.7-1026.7)+(-3.793023+(-0.652851--1.570851))+0-435.8--0.666774000000025</f>
        <v>1441.0917509999999</v>
      </c>
      <c r="Q257" s="3">
        <f>2741.4+(421.3-1263.2)+(-1.398114+(-0.214863--0.644232))+0-441--0.224909999999955</f>
        <v>1457.756165</v>
      </c>
      <c r="R257" s="3">
        <f>2368.9+(463.3-1037.6)+(-4.832556+(-0.945132--2.116704))+0-179.5--0.366179999999992</f>
        <v>1611.805196</v>
      </c>
      <c r="S257" s="3">
        <f>2014.6+(527.3-736.8)+(-2.054892+(-0.537846--0.751536))+0-253.7--0.25877400000004</f>
        <v>1549.8175719999999</v>
      </c>
      <c r="T257" s="3">
        <f>2008.7+(566.9-755.6)+(-2.048874+(-0.578238--0.770712))+0-326--0.332520000000052</f>
        <v>1492.4761200000003</v>
      </c>
      <c r="U257" s="3">
        <f>1932.9+(577.6-690)+(-0.985779+(-0.294576--0.3519))+0-359.2--0.183191999999964</f>
        <v>1460.5547369999999</v>
      </c>
      <c r="V257" s="3">
        <f>2152.2+(602.3-664.5)+(-5.48811+(-1.535865--1.694475))+0-436.8--1.11383999999994</f>
        <v>1648.9843400000002</v>
      </c>
      <c r="W257" s="3">
        <f>3854.5+(451.5-1773.1)+(0+(0-0))+0-645.8-0</f>
        <v>1887.1000000000001</v>
      </c>
      <c r="X257" s="3">
        <f>4111.7+(457.8-1942)+(-14.678769+(-1.634346--6.93294))+0-450.3--1.60757100000001</f>
        <v>2169.427396</v>
      </c>
      <c r="Y257" s="3">
        <f>3957.9+(409.7-1710.4)+(-6.055587+(-0.626841--2.616912))+0-591--0.904230000000034</f>
        <v>2063.0387139999998</v>
      </c>
      <c r="Z257" s="3">
        <f>3406.9+(462.9-1218.9)+(-5.212557+(-0.708237--1.864917))+0-534.4--0.817632000000031</f>
        <v>2113.2617550000004</v>
      </c>
      <c r="AA257" s="3">
        <f>2751+(565.7-749.5)+(-7.01505+(-1.442535--1.911225))+0-513.7--1.30993499999993</f>
        <v>2048.2635749999999</v>
      </c>
      <c r="AB257" s="3">
        <f>2450.3+(636.9-677.9)+(0+(0-0))+0-415.2-0</f>
        <v>1994.1000000000001</v>
      </c>
      <c r="AC257" s="3">
        <f>2430.3+(661.8-763.7)+(-3.718359+(-1.012554--1.168461))+0-618--0.945540000000036</f>
        <v>1707.7830879999999</v>
      </c>
      <c r="AD257">
        <f t="shared" ref="AD257:AD320" si="4">SUM(F257:AC257)</f>
        <v>40650.776734999985</v>
      </c>
      <c r="AE257" s="3">
        <f>4596+(405.1-2204.3)+(0+(0-0))+0-539.6-0</f>
        <v>2257.1999999999998</v>
      </c>
    </row>
    <row r="258" spans="1:31" customFormat="1" x14ac:dyDescent="0.25">
      <c r="A258">
        <v>89</v>
      </c>
      <c r="B258">
        <v>9</v>
      </c>
      <c r="C258">
        <v>12</v>
      </c>
      <c r="D258">
        <v>7</v>
      </c>
      <c r="E258">
        <v>1</v>
      </c>
      <c r="F258" s="3">
        <f>2075+(708.1-494.7)+(-6.3495+(-2.166786--1.513782))+0-598.2--1.83049200000007</f>
        <v>1685.0279880000001</v>
      </c>
      <c r="G258" s="3">
        <f>2029.9+(744.7-690.8)+(0+(0-0))+0-477.2-0</f>
        <v>1606.6000000000001</v>
      </c>
      <c r="H258" s="3">
        <f>1718.6+(811.7-529.1)+(-0.876486+(-0.413967--0.269841))+0-465.9--0.237608999999953</f>
        <v>1534.5169969999999</v>
      </c>
      <c r="I258" s="3">
        <f>1755.4+(821.6-506.4)+(0.895254+(0.419016-0.258264))+0-544.2-0.277541999999945</f>
        <v>1527.1784640000001</v>
      </c>
      <c r="J258" s="3">
        <f>1843.4+(812-610.6)+(0+(0-0))+0-537-0</f>
        <v>1507.8000000000002</v>
      </c>
      <c r="K258" s="3">
        <f>1790.5+(838-547.7)+(2.739465+(1.28214-0.837981))+0-517.8-0.79223400000003</f>
        <v>1565.39139</v>
      </c>
      <c r="L258" s="3">
        <f>1831.1+(814.1-506)+(-1.867722+(-0.830382--0.51612))+0-628.6--0.6411720000001</f>
        <v>1509.0591880000002</v>
      </c>
      <c r="M258" s="3">
        <f>1710.2+(761.7-454.5)+(-4.36101+(-1.942335--1.158975))+0-301.8--0.769589999999956</f>
        <v>1711.22522</v>
      </c>
      <c r="N258" s="3">
        <f>1906.3+(697.7-477.8)+(0.972213+(0.355827-0.243678))+0-497.6-0.25377599999995</f>
        <v>1629.4305859999999</v>
      </c>
      <c r="O258" s="3">
        <f>2033.4+(607-463.7)+(1.037034+(0.30957-0.236487))+0-533.6-0.272135999999946</f>
        <v>1643.9379810000005</v>
      </c>
      <c r="P258" s="3">
        <f>2370.2+(435.8-559)+(-4.835208+(-0.889032--1.14036))+0-543.1--1.10792399999998</f>
        <v>1700.4240439999999</v>
      </c>
      <c r="Q258" s="3">
        <f>2514+(384.1-710.4)+(-1.28214+(-0.195891--0.362304))+0-486.5--0.248114999999951</f>
        <v>1700.3323879999998</v>
      </c>
      <c r="R258" s="3">
        <f>2126.4+(572.6-450.5)+(-3.253392+(-0.876078--0.689265))+0-354.6--0.542538000000021</f>
        <v>1891.0023330000001</v>
      </c>
      <c r="S258" s="3">
        <f>2090.4+(461.3-470.1)+(-3.198312+(-0.705789--0.719253))+0-506.9--0.775557000000029</f>
        <v>1572.2907089999999</v>
      </c>
      <c r="T258" s="3">
        <f>2122+(483.7-430)+(1.08222+(0.246687-0.2193))+0-367.6-0.187475999999963</f>
        <v>1809.0221309999997</v>
      </c>
      <c r="U258" s="3">
        <f>2267.9+(403-575.5)+(-2.313258+(-0.41106--0.58701))+0-285--0.290700000000045</f>
        <v>1808.5533920000003</v>
      </c>
      <c r="V258" s="3">
        <f>2424+(358.4-647.7)+(-2.47248+(-0.365568--0.660654))+0-241.3--0.246126000000038</f>
        <v>1891.468732</v>
      </c>
      <c r="W258" s="3">
        <f>3064.9+(318.7-1003.1)+(0+(0-0))+0-418.3-0</f>
        <v>1962.2</v>
      </c>
      <c r="X258" s="3">
        <f>3345.2+(377-1147.6)+(-3.412104+(-0.38454--1.170552))+0-507--0.517140000000081</f>
        <v>2065.4910479999999</v>
      </c>
      <c r="Y258" s="3">
        <f>3681.9+(403.9-1394.9)+(-1.877769+(-0.205989--0.711399))+0-439.1--0.223940999999955</f>
        <v>2250.651582</v>
      </c>
      <c r="Z258" s="3">
        <f>3877.5+(369-1605.3)+(-3.95505+(-0.37638--1.637406))+0-504.6--0.514692000000081</f>
        <v>2134.4206680000002</v>
      </c>
      <c r="AA258" s="3">
        <f>3924.8+(370.1-1741.5)+(-4.003296+(-0.377502--1.77633))+0-492.5--0.502350000000079</f>
        <v>2058.7978820000003</v>
      </c>
      <c r="AB258" s="3">
        <f>3213+(481-1299.3)+(0+(0-0))+0-630.1-0</f>
        <v>1764.6</v>
      </c>
      <c r="AC258" s="3">
        <f>2567.5+(610-861.1)+(-6.547125+(-1.5555--2.195805))+0-626.6--1.59782999999991</f>
        <v>1685.49101</v>
      </c>
      <c r="AD258">
        <f t="shared" si="4"/>
        <v>42214.913732999994</v>
      </c>
      <c r="AE258" s="3">
        <f>3415+(346.3-1239.5)+(0+(0-0))+0-341.7-0</f>
        <v>2180.1000000000004</v>
      </c>
    </row>
    <row r="259" spans="1:31" customFormat="1" x14ac:dyDescent="0.25">
      <c r="A259">
        <v>89</v>
      </c>
      <c r="B259">
        <v>9</v>
      </c>
      <c r="C259">
        <v>13</v>
      </c>
      <c r="D259">
        <v>1</v>
      </c>
      <c r="E259">
        <v>1</v>
      </c>
      <c r="F259" s="3">
        <f>1839.7+(633.6-480.9)+(-5.629482+(-1.938816--1.471554))+0-423.2--1.29499200000005</f>
        <v>1564.3982480000002</v>
      </c>
      <c r="G259" s="3">
        <f>1804.5+(618.7-516.5)+(-3.68118+(-1.262148--1.05366))+0-512.4--1.04529599999998</f>
        <v>1391.4556279999999</v>
      </c>
      <c r="H259" s="3">
        <f>1751.1+(687.1-434.9)+(-3.572244+(-1.401684--0.887196))+0-511.8--1.04407199999998</f>
        <v>1488.4573399999999</v>
      </c>
      <c r="I259" s="3">
        <f>1718.8+(716.9-471.1)+(-1.753176+(-0.731238--0.480522))+0-679.6--0.693192000000108</f>
        <v>1283.6893</v>
      </c>
      <c r="J259" s="3">
        <f>1960.6+(670.1-679.5)+(0+(0-0))+0-492.6-0</f>
        <v>1458.6</v>
      </c>
      <c r="K259" s="3">
        <f>1868.9+(654.1-446.7)+(0.953139+(0.333591-0.227817))+0-560.4-0.285803999999943</f>
        <v>1516.6731090000001</v>
      </c>
      <c r="L259" s="3">
        <f>1893.3+(760.3-473.9)+(-3.862332+(-1.551012--0.966756))+0-522.9--1.06671599999998</f>
        <v>1653.420128</v>
      </c>
      <c r="M259" s="3">
        <f>1892.6+(750.1-342.3)+(-1.930452+(-0.765102--0.349146))+0-524.8--0.535296000000084</f>
        <v>1773.7888880000003</v>
      </c>
      <c r="N259" s="3">
        <f>1996.6+(769.2-445.6)+(0+(0-0))+0-507.7-0</f>
        <v>1812.4999999999998</v>
      </c>
      <c r="O259" s="3">
        <f>2642.7+(591.1-1003.7)+(4.043331+(0.904383-1.535661))+0-460.5-0.704565000000027</f>
        <v>1772.3074879999999</v>
      </c>
      <c r="P259" s="3">
        <f>2699.6+(504.5-1000.4)+(-4.130388+(-0.771885--1.530612))+0-407.5--0.623475000000024</f>
        <v>1793.4518139999998</v>
      </c>
      <c r="Q259" s="3">
        <f>2686.6+(560.7-1031.2)+(0+(0-0))+0-431-0</f>
        <v>1785.1</v>
      </c>
      <c r="R259" s="3">
        <f>2371+(575.1-684.6)+(-7.25526+(-1.759806--2.094876))+0-333--1.01898000000004</f>
        <v>1922.5987900000002</v>
      </c>
      <c r="S259" s="3">
        <f>2274.5+(581-547.6)+(-3.479985+(-0.88893--0.837828))+0-419.5--0.641835000000024</f>
        <v>1885.5107480000004</v>
      </c>
      <c r="T259" s="3">
        <f>1943.7+(619.7-418.7)+(0+(0-0))+0-273.3-0</f>
        <v>1871.4000000000003</v>
      </c>
      <c r="U259" s="3">
        <f>2202.9+(577.5-534.5)+(0+(0-0))+0-503.9-0</f>
        <v>1742</v>
      </c>
      <c r="V259" s="3">
        <f>2502.8+(432.9-579)+(-1.276428+(-0.220779--0.29529))+0-530.3--0.270452999999946</f>
        <v>1825.4685360000003</v>
      </c>
      <c r="W259" s="3">
        <f>3900.1+(306.8-1497.9)+(5.967153+(0.469404-2.291787))+0-583.4-0.892602000000034</f>
        <v>2128.8521679999999</v>
      </c>
      <c r="X259" s="3">
        <f>4163.9+(316.7-1738.2)+(-8.494356+(-0.646068--3.545928))+0-503.3--1.02673199999998</f>
        <v>2234.5322359999991</v>
      </c>
      <c r="Y259" s="3">
        <f>3617.9+(373.3-1370.1)+(-9.225645+(-0.951915--3.493755))+0-496.8--1.26683999999993</f>
        <v>2118.8830349999998</v>
      </c>
      <c r="Z259" s="3">
        <f>3086.3+(503.9-885.3)+(0+(0-0))+0-571.4-0</f>
        <v>2133.5</v>
      </c>
      <c r="AA259" s="3">
        <f>2626.3+(557.5-616.5)+(-6.697065+(-1.421625--1.572075))+0-505.6--1.28927999999993</f>
        <v>2056.442665</v>
      </c>
      <c r="AB259" s="3">
        <f>2219+(681.5-416.9)+(-2.26338+(-0.69513--0.425238))+0-551.3--0.562326000000088</f>
        <v>1930.3290539999998</v>
      </c>
      <c r="AC259" s="3">
        <f>2063.8+(696.7-430.2)+(-5.26269+(-1.776585--1.09701))+0-528.9--1.34869499999992</f>
        <v>1796.8064299999999</v>
      </c>
      <c r="AD259">
        <f t="shared" si="4"/>
        <v>42940.165605000002</v>
      </c>
      <c r="AE259" s="3">
        <f>4374+(289.7-1766.8)+(0+(0-0))+0-464.7-0</f>
        <v>2432.2000000000003</v>
      </c>
    </row>
    <row r="260" spans="1:31" customFormat="1" x14ac:dyDescent="0.25">
      <c r="A260">
        <v>89</v>
      </c>
      <c r="B260">
        <v>9</v>
      </c>
      <c r="C260">
        <v>14</v>
      </c>
      <c r="D260">
        <v>2</v>
      </c>
      <c r="E260">
        <v>1</v>
      </c>
      <c r="F260" s="3">
        <f>1843.3+(741.5-426.9)+(-3.760332+(-1.51266--0.870876))+0-485.5--0.990419999999979</f>
        <v>1668.988304</v>
      </c>
      <c r="G260" s="3">
        <f>1981.8+(752.9-631)+(0+(0-0))+0-521.1-0</f>
        <v>1582.6</v>
      </c>
      <c r="H260" s="3">
        <f>1830.9+(785.7-508.1)+(-0.933759+(-0.400707--0.259131))+0-568.7--0.290036999999942</f>
        <v>1539.0147019999999</v>
      </c>
      <c r="I260" s="3">
        <f>1776.7+(759.9-536.9)+(0+(0-0))+0-469.3-0</f>
        <v>1530.4</v>
      </c>
      <c r="J260" s="3">
        <f>1814.1+(760.6-478.6)+(-1.850382+(-0.775812--0.488172))+0-565.8--0.57711600000009</f>
        <v>1528.739094</v>
      </c>
      <c r="K260" s="3">
        <f>1916.3+(682-516.4)+(0+(0-0))+0-497.4-0</f>
        <v>1584.5</v>
      </c>
      <c r="L260" s="3">
        <f>1961.1+(651.2-332.4)+(-2.000322+(-0.664224--0.339048))+0-451.4--0.460428000000072</f>
        <v>1826.6349299999999</v>
      </c>
      <c r="M260" s="3">
        <f>1821.1+(777.5-315.6)+(-1.857522+(-0.79305--0.321912))+0-489.1--0.498882000000078</f>
        <v>1792.0702220000001</v>
      </c>
      <c r="N260" s="3">
        <f>1948.9+(715.9-424.7)+(0.993939+(0.365109-0.216597))+0-442.6-0.225725999999955</f>
        <v>1798.4167250000003</v>
      </c>
      <c r="O260" s="3">
        <f>2104.4+(752-602.1)+(1.073244+(0.38352-0.307071))+0-433.9-0.221288999999956</f>
        <v>1821.3284040000001</v>
      </c>
      <c r="P260" s="3">
        <f>2369+(696-717.4)+(-1.20819+(-0.35496--0.365874))+0-501.7--0.255866999999949</f>
        <v>1844.9585909999998</v>
      </c>
      <c r="Q260" s="3">
        <f>2453.7+(651.9-715.4)+(-3.754161+(-0.997407--1.094562))+0-557.2--0.852516000000032</f>
        <v>1830.1955099999998</v>
      </c>
      <c r="R260" s="3">
        <f>2121.2+(681.2-558.5)+(-3.245436+(-1.042236--0.854505))+0-477.4--0.730422000000028</f>
        <v>1763.7972549999995</v>
      </c>
      <c r="S260" s="3">
        <f>2093.9+(678.7-487.6)+(-1.067889+(-0.346137--0.248676))+0-492.6--0.25122599999995</f>
        <v>1791.4858759999997</v>
      </c>
      <c r="T260" s="3">
        <f>2001.6+(607.6-484.4)+(-1.020816+(-0.309876--0.247044))+0-412.5--0.210374999999958</f>
        <v>1711.4267270000003</v>
      </c>
      <c r="U260" s="3">
        <f>2060.3+(572-419.8)+(0+(0-0))+0-501.3-0</f>
        <v>1711.2</v>
      </c>
      <c r="V260" s="3">
        <f>2481.4+(561.3-942.9)+(-6.32757+(-1.431315--2.404395))+0-530--1.35149999999992</f>
        <v>1565.79701</v>
      </c>
      <c r="W260" s="3">
        <f>4137+(333.2-1940.1)+(0+(0-0))+0-463.5-0</f>
        <v>2066.6000000000004</v>
      </c>
      <c r="X260" s="3">
        <f>4355.9+(397-1984.2)+(-11.107545+(-1.01235--5.05971))+0-497.5--1.26862499999993</f>
        <v>2265.4084400000002</v>
      </c>
      <c r="Y260" s="3">
        <f>4195.2+(373.1-1740)+(-4.279104+(-0.380562--1.7748))+0-588.8--0.600576000000094</f>
        <v>2237.2157099999999</v>
      </c>
      <c r="Z260" s="3">
        <f>3658.1+(487-1507.5)+(-9.328155+(-1.24185--3.844125))+0-502.3--1.28086499999993</f>
        <v>2129.8549849999995</v>
      </c>
      <c r="AA260" s="3">
        <f>3750.7+(587.3-1745.5)+(-3.825714+(-0.599046--1.78041))+0-482--0.491640000000077</f>
        <v>2108.3472900000002</v>
      </c>
      <c r="AB260" s="3">
        <f>3249.6+(742.3-1322.9)+(-8.28648+(-1.892865--3.373395))+0-612.6--1.56212999999991</f>
        <v>2051.1561799999999</v>
      </c>
      <c r="AC260" s="3">
        <f>2313.8+(916-886.8)+(-2.360076+(-0.93432--0.904536))+0-490--0.499800000000078</f>
        <v>1851.1099399999998</v>
      </c>
      <c r="AD260">
        <f t="shared" si="4"/>
        <v>43601.245894999993</v>
      </c>
      <c r="AE260" s="3">
        <f>4678+(222.7-2140.4)+(0+(0-0))+0-560.6-0</f>
        <v>2199.7000000000003</v>
      </c>
    </row>
    <row r="261" spans="1:31" customFormat="1" x14ac:dyDescent="0.25">
      <c r="A261">
        <v>89</v>
      </c>
      <c r="B261">
        <v>9</v>
      </c>
      <c r="C261">
        <v>15</v>
      </c>
      <c r="D261">
        <v>3</v>
      </c>
      <c r="E261">
        <v>1</v>
      </c>
      <c r="F261" s="3">
        <f>1959.4+(1031.3-732.7)+(-2.997882+(-1.577889--1.121031))+0-560.1--0.856953000000032</f>
        <v>1695.3022129999999</v>
      </c>
      <c r="G261" s="3">
        <f>1853.6+(901.7-587.9)+(-1.890672+(-0.919734--0.599658))+0-729--0.743580000000116</f>
        <v>1436.9328320000002</v>
      </c>
      <c r="H261" s="3">
        <f>1712.5+(759.2-502.8)+(-2.620125+(-1.161576--0.769284))+56.7-609.5--0.932535000000035</f>
        <v>1414.0201180000004</v>
      </c>
      <c r="I261" s="3">
        <f>1627.1+(752-499.1)+(-2.489463+(-1.15056--0.763623))+50-497.2--0.760716000000029</f>
        <v>1430.6843159999999</v>
      </c>
      <c r="J261" s="3">
        <f>1733.1+(779.9-505.6)+(-0.883881+(-0.397749--0.257856))+0-536--0.273359999999946</f>
        <v>1470.6495859999998</v>
      </c>
      <c r="K261" s="3">
        <f>1806.1+(662.9-395.6)+(0+(0-0))+0-545.8-0</f>
        <v>1527.5999999999997</v>
      </c>
      <c r="L261" s="3">
        <f>1839.4+(628.5-160.9)+(-0.938094+(-0.320535--0.082059))+0-539.4--0.275093999999945</f>
        <v>1766.6985239999997</v>
      </c>
      <c r="M261" s="3">
        <f>1864.2+(528.4-179.7)+(0+(0-0))+0-723.2-0</f>
        <v>1489.7</v>
      </c>
      <c r="N261" s="3">
        <f>1932.8+(559-361.9)+(0+(0-0))+0-236.3-0</f>
        <v>1893.6000000000001</v>
      </c>
      <c r="O261" s="3">
        <f>2434.4+(611.3-873.9)+(3.724632+(0.935289-1.337067))+0-698.5-1.06870500000004</f>
        <v>1475.5541490000001</v>
      </c>
      <c r="P261" s="3">
        <f>2811.9+(559.7-1402.8)+(-2.868138+(-0.570894--1.430856))+0-366.8--0.374136000000058</f>
        <v>1600.3659600000003</v>
      </c>
      <c r="Q261" s="3">
        <f>2817.2+(558.4-1260.9)+(-4.310316+(-0.854352--1.929177))+0-467--0.714510000000027</f>
        <v>1645.1790189999999</v>
      </c>
      <c r="R261" s="3">
        <f>2387.4+(629.3-712.9)+(-8.523018+(-2.246601--2.545053))+0-565.4--2.01847800000001</f>
        <v>1732.1939120000002</v>
      </c>
      <c r="S261" s="3">
        <f>2362.5+(618.8-754.1)+(-1.204875+(-0.315588--0.384591))+0-513.4--0.261833999999948</f>
        <v>1712.9259619999998</v>
      </c>
      <c r="T261" s="3">
        <f>2381+(622.5-849.2)+(-3.64293+(-0.952425--1.299276))+0-487.3--0.745569000000028</f>
        <v>1664.44949</v>
      </c>
      <c r="U261" s="3">
        <f>2377.2+(613.4-865)+(-3.637116+(-0.938502--1.32345))+0-518.1--0.79269300000003</f>
        <v>1605.0405250000001</v>
      </c>
      <c r="V261" s="3">
        <f>2918.5+(577.7-1257.6)+(-4.465305+(-0.883881--1.924128))+0-523.2--0.80049600000003</f>
        <v>1712.7754380000006</v>
      </c>
      <c r="W261" s="3">
        <f>4553.2+(282.6-2308.8)+(2.322132+(0.144126-1.177488))+0-472.5-0.240974999999952</f>
        <v>2055.5477949999995</v>
      </c>
      <c r="X261" s="3">
        <f>4643.8+(270.9-2224.4)+(-4.736676+(-0.276318--2.268888))+0-534.4--0.545088000000085</f>
        <v>2153.7009820000003</v>
      </c>
      <c r="Y261" s="3">
        <f>4074.9+(360.8-1780.6)+(-14.547393+(-1.288056--6.356742))+0-490.1--1.74965700000001</f>
        <v>2157.2709500000001</v>
      </c>
      <c r="Z261" s="3">
        <f>4202.3+(458-1745.5)+(-6.429519+(-0.70074--2.670615))+0-512.6--0.78427800000003</f>
        <v>2398.5246340000003</v>
      </c>
      <c r="AA261" s="3">
        <f>3651.6+(544.4-1526.7)+(-5.586948+(-0.832932--2.335851))+0-553.1--0.846243000000032</f>
        <v>2112.9622139999997</v>
      </c>
      <c r="AB261" s="3">
        <f>2983.4+(670.4-1142.3)+(-6.086136+(-1.367616--2.330292))+0-524.8--1.07059199999998</f>
        <v>1982.6471320000003</v>
      </c>
      <c r="AC261" s="3">
        <f>2654+(802.3-940.9)+(-8.12124+(-2.455038--2.879154))+0-643.8--1.97002800000007</f>
        <v>1865.8729040000003</v>
      </c>
      <c r="AD261">
        <f t="shared" si="4"/>
        <v>42000.198655</v>
      </c>
      <c r="AE261" s="3">
        <f>5005+(242.6-2234.5)+(0+(0-0))+0-589.6-0</f>
        <v>2423.5</v>
      </c>
    </row>
    <row r="262" spans="1:31" customFormat="1" x14ac:dyDescent="0.25">
      <c r="A262">
        <v>89</v>
      </c>
      <c r="B262">
        <v>9</v>
      </c>
      <c r="C262">
        <v>16</v>
      </c>
      <c r="D262">
        <v>4</v>
      </c>
      <c r="E262">
        <v>1</v>
      </c>
      <c r="F262" s="3">
        <f>2122.3+(836.1-787.6)+(-3.247119+(-1.279233--1.205028))+0-639.6--0.978588000000037</f>
        <v>1528.8572640000002</v>
      </c>
      <c r="G262" s="3">
        <f>1975.5+(862.2-616.2)+(-2.01501+(-0.879444--0.628524))+0-597.7--0.609654000000095</f>
        <v>1622.143724</v>
      </c>
      <c r="H262" s="3">
        <f>1807+(801.8-593.6)+(0+(0-0))+0-706.9-0</f>
        <v>1308.2999999999997</v>
      </c>
      <c r="I262" s="3">
        <f>2044.5+(777.2-667.3)+(-2.08539+(-0.792744--0.680646))+0-628.3--0.6408660000001</f>
        <v>1524.5433780000005</v>
      </c>
      <c r="J262" s="3">
        <f>1999.9+(765.6-736.4)+(-2.039898+(-0.780912--0.751128))+0-637.3--0.650046000000102</f>
        <v>1390.3803640000003</v>
      </c>
      <c r="K262" s="3">
        <f>1956.8+(714.7-542.2)+(-0.997968+(-0.364497--0.276522))+0-632.4--0.322523999999936</f>
        <v>1496.136581</v>
      </c>
      <c r="L262" s="3">
        <f>2049.2+(667.6-441.6)+(-3.135276+(-1.021428--0.675648))+0-540.1--0.826353000000031</f>
        <v>1732.4452969999998</v>
      </c>
      <c r="M262" s="3">
        <f>2100.1+(590.8-476.1)+(0+(0-0))+0-538.9-0</f>
        <v>1675.8999999999996</v>
      </c>
      <c r="N262" s="3">
        <f>2353.5+(510.9-705.1)+(-3.600855+(-0.781677--1.078803))+0-381--0.582930000000022</f>
        <v>1775.579201</v>
      </c>
      <c r="O262" s="3">
        <f>2656.6+(470.1-849.8)+(4.064598+(0.719253-1.300194))+0-616.5-0.943245000000036</f>
        <v>1662.9404120000004</v>
      </c>
      <c r="P262" s="3">
        <f>3073.6+(473.9-1287.2)+(-4.702608+(-0.725067--1.969416))+0-361.9--0.553707000000021</f>
        <v>1895.4954479999997</v>
      </c>
      <c r="Q262" s="3">
        <f>2716.6+(578.8-976.4)+(-2.770932+(-0.590376--0.995928))+0-522.1--0.532542000000083</f>
        <v>1795.0671620000001</v>
      </c>
      <c r="R262" s="3">
        <f>2407.1+(631.7-722.4)+(-2.455242+(-0.644334--0.736848))+0-476.7--0.486234000000076</f>
        <v>1837.823506</v>
      </c>
      <c r="S262" s="3">
        <f>2287.5+(593.5-543.9)+(-1.166625+(-0.302685--0.277389))+0-519.6--0.264995999999947</f>
        <v>1816.5730749999998</v>
      </c>
      <c r="T262" s="3">
        <f>2320.3+(569.9-703.7)+(1.183353+(0.290649-0.358887))+0-486.6-0.248165999999951</f>
        <v>1700.7669490000003</v>
      </c>
      <c r="U262" s="3">
        <f>2434.5+(641.5-836.9)+(1.241595+(0.327165-0.426819))+0-500.7-0.255356999999949</f>
        <v>1739.2865839999997</v>
      </c>
      <c r="V262" s="3">
        <f>2875.9+(550-1117.5)+(-7.333545+(-1.4025--2.849625))+0-588.7--1.50118499999991</f>
        <v>1715.3147650000001</v>
      </c>
      <c r="W262" s="3">
        <f>4137.2+(361.6-1901.2)+(0+(0-0))+0-412.1-0</f>
        <v>2185.5</v>
      </c>
      <c r="X262" s="3">
        <f>4652.3+(233.5-2036.7)+(-14.236038+(-0.71451--6.232302))+0-567.7--1.73716200000007</f>
        <v>2274.4189160000001</v>
      </c>
      <c r="Y262" s="3">
        <f>3897.9+(363.2-1513.6)+(-7.951716+(-0.740928--3.087744))+0-443.7--0.905147999999981</f>
        <v>2299.1002480000002</v>
      </c>
      <c r="Z262" s="3">
        <f>3578+(484.4-1336.4)+(-5.47434+(-0.741132--2.044692))+0-534.6--0.817938000000031</f>
        <v>2188.0471580000003</v>
      </c>
      <c r="AA262" s="3">
        <f>3181.1+(534-1042.6)+(-4.867083+(-0.81702--1.595178))+0-588--0.899640000000034</f>
        <v>2081.3107150000001</v>
      </c>
      <c r="AB262" s="3">
        <f>2865.3+(645.5-1048.8)+(-5.845212+(-1.31682--2.139552))+0-533.4--1.08813599999998</f>
        <v>1924.6656559999999</v>
      </c>
      <c r="AC262" s="3">
        <f>2449.5+(772.2-888.6)+(-6.246225+(-1.96911--2.26593))+0-507.1--1.29310499999993</f>
        <v>1821.3437000000001</v>
      </c>
      <c r="AD262">
        <f t="shared" si="4"/>
        <v>42991.940102999994</v>
      </c>
      <c r="AE262" s="3">
        <f>4857+(171.7-2228.4)+(0+(0-0))+0-581.3-0</f>
        <v>2219</v>
      </c>
    </row>
    <row r="263" spans="1:31" customFormat="1" x14ac:dyDescent="0.25">
      <c r="A263">
        <v>89</v>
      </c>
      <c r="B263">
        <v>9</v>
      </c>
      <c r="C263">
        <v>17</v>
      </c>
      <c r="D263">
        <v>5</v>
      </c>
      <c r="E263">
        <v>1</v>
      </c>
      <c r="F263" s="3">
        <f>1996.4+(832.5-540.4)+(-6.108984+(-2.54745--1.653624))+0-456.2--1.39597200000005</f>
        <v>1826.693162</v>
      </c>
      <c r="G263" s="3">
        <f>2100.1+(778.8-766.6)+(-4.284204+(-1.588752--1.563864))+0-496.3--1.01245199999998</f>
        <v>1612.7033599999997</v>
      </c>
      <c r="H263" s="3">
        <f>2198.7+(702.7-817)+(-5.606685+(-1.791885--2.08335))+0-442.5--1.12837499999994</f>
        <v>1637.7131549999997</v>
      </c>
      <c r="I263" s="3">
        <f>2192.8+(663.2-806.9)+(0+(0-0))+0-569-0</f>
        <v>1480.1000000000004</v>
      </c>
      <c r="J263" s="3">
        <f>2055.6+(632.6-667.3)+(1.048356+(0.322626-0.340323))+0-601-0.306509999999939</f>
        <v>1420.6241490000002</v>
      </c>
      <c r="K263" s="3">
        <f>2064.9+(556.4-533.2)+(-2.106198+(-0.567528--0.543864))+0-549.2--0.560184000000088</f>
        <v>1537.3303220000003</v>
      </c>
      <c r="L263" s="3">
        <f>1904.2+(609.6-380)+(0+(0-0))+0-488.4-0</f>
        <v>1645.4</v>
      </c>
      <c r="M263" s="3">
        <f>1988.2+(560.2-416.5)+(-2.027964+(-0.571404--0.42483))+0-524.5--0.534990000000084</f>
        <v>1605.760452</v>
      </c>
      <c r="N263" s="3">
        <f>2190+(446.7-416.5)+(-3.3507+(-0.683451--0.637245))+0-466.9--0.714357000000027</f>
        <v>1750.6174509999998</v>
      </c>
      <c r="O263" s="3">
        <f>2551.5+(436.4-705.9)+(-2.60253+(-0.445128--0.720018))+0-398.4--0.406368000000064</f>
        <v>1881.6787280000001</v>
      </c>
      <c r="P263" s="3">
        <f>2510+(408.6-631.1)+(-3.8403+(-0.625158--0.965583))+0-542.3--0.829719000000031</f>
        <v>1742.5298440000001</v>
      </c>
      <c r="Q263" s="3">
        <f>2750.2+(346.6-879.1)+(-4.207806+(-0.530298--1.345023))+0-398.6--0.609858000000023</f>
        <v>1816.3167769999998</v>
      </c>
      <c r="R263" s="3">
        <f>2331.6+(377.4-509.5)+(-5.94558+(-0.96237--1.299225))+0-385.5--0.983024999999944</f>
        <v>1809.3742999999999</v>
      </c>
      <c r="S263" s="3">
        <f>2242.8+(490.4-423.3)+(-2.287656+(-0.500208--0.431766))+0-510.2--0.520404000000081</f>
        <v>1797.8643059999999</v>
      </c>
      <c r="T263" s="3">
        <f>2164.3+(424.9-337.2)+(-2.207586+(-0.433398--0.343944))+0-481--0.490620000000077</f>
        <v>1769.1935800000001</v>
      </c>
      <c r="U263" s="3">
        <f>2266.2+(393.2-473.8)+(-2.311524+(-0.401064--0.483276))+0-486.1--0.495822000000078</f>
        <v>1697.7665100000002</v>
      </c>
      <c r="V263" s="3">
        <f>2676.5+(404.6-792.1)+(-5.46006+(-0.825384--1.615884))+0-550.1--1.12220399999998</f>
        <v>1735.3526440000003</v>
      </c>
      <c r="W263" s="3">
        <f>4235.4+(336.7-1955.3)+(-2.160054+(-0.171717--0.997203))+0-537.7--0.274226999999945</f>
        <v>2078.0396589999991</v>
      </c>
      <c r="X263" s="3">
        <f>4227.5+(388.9-1815.8)+(-6.468075+(-0.595017--2.778174))+0-542.1--0.829413000000031</f>
        <v>2255.0444950000001</v>
      </c>
      <c r="Y263" s="3">
        <f>4003.8+(426.4-1625.7)+(-8.167752+(-0.869856--3.316428))+0-517.3--1.05529199999998</f>
        <v>2282.5341120000003</v>
      </c>
      <c r="Z263" s="3">
        <f>4141.4+(355.7-1785.9)+(2.112114+(0.181407-0.910809))+0-533.7-0.272186999999946</f>
        <v>2178.6105249999996</v>
      </c>
      <c r="AA263" s="3">
        <f>4245.7+(317.8-1862.9)+(-4.330614+(-0.324156--1.900158))+0-578.1--0.589662000000092</f>
        <v>2120.3350499999997</v>
      </c>
      <c r="AB263" s="3">
        <f>3646.2+(422-1467.2)+(-9.29781+(-1.0761--3.74136))+0-486.3--1.24006499999993</f>
        <v>2109.307515</v>
      </c>
      <c r="AC263" s="3">
        <f>3013.8+(498.7-1040.5)+(-3.074076+(-0.508674--1.06131))+0-581.5--0.593130000000093</f>
        <v>1888.5716900000002</v>
      </c>
      <c r="AD263">
        <f t="shared" si="4"/>
        <v>43679.461785999993</v>
      </c>
      <c r="AE263" s="3">
        <f>4780+(303.5-2320.3)+(0+(0-0))+0-476.9-0</f>
        <v>2286.2999999999997</v>
      </c>
    </row>
    <row r="264" spans="1:31" customFormat="1" x14ac:dyDescent="0.25">
      <c r="A264">
        <v>89</v>
      </c>
      <c r="B264">
        <v>9</v>
      </c>
      <c r="C264">
        <v>18</v>
      </c>
      <c r="D264">
        <v>6</v>
      </c>
      <c r="E264">
        <v>1</v>
      </c>
      <c r="F264" s="3">
        <f>2442.1+(500.4-644.7)+(1.245471+(0.255204-0.328797))+0-463-0.236129999999953</f>
        <v>1835.7357479999998</v>
      </c>
      <c r="G264" s="3">
        <f>2072.6+(625.6-505.8)+(-1.057026+(-0.319056--0.257958))+0-534.4--0.272543999999946</f>
        <v>1657.1544199999998</v>
      </c>
      <c r="H264" s="3">
        <f>2006.8+(668.6-587.5)+(-1.023468+(-0.340986--0.299625))+0-520.8--0.265607999999947</f>
        <v>1566.3007790000001</v>
      </c>
      <c r="I264" s="3">
        <f>2171+(687.2-756.1)+(0+(0-0))+0-508.4-0</f>
        <v>1593.6999999999998</v>
      </c>
      <c r="J264" s="3">
        <f>2223.8+(632.1-775.8)+(3.402414+(0.967113-1.186974))+0-533.7-0.816561000000031</f>
        <v>1548.7659920000003</v>
      </c>
      <c r="K264" s="3">
        <f>2229.8+(631.7-745.4)+(1.137198+(0.322167-0.380154))+0-436.6-0.222665999999956</f>
        <v>1680.3565450000008</v>
      </c>
      <c r="L264" s="3">
        <f>2347.5+(592.4-554.8)+(-4.7889+(-1.208496--1.131792))+0-607.1--1.23848399999997</f>
        <v>1774.3728799999999</v>
      </c>
      <c r="M264" s="3">
        <f>2306.1+(517.1-570.8)+(-2.352222+(-0.527442--0.582216))+0-419.6--0.427992000000067</f>
        <v>1830.9305440000005</v>
      </c>
      <c r="N264" s="3">
        <f>2693+(360.2-724.4)+(5.49372+(0.734808-1.477776))+0-530.9-1.08303599999998</f>
        <v>1801.567716</v>
      </c>
      <c r="O264" s="3">
        <f>3165.6+(231-1039.1)+(-1.614456+(-0.11781--0.529941))+0-491.9--0.25086899999995</f>
        <v>1864.6485439999997</v>
      </c>
      <c r="P264" s="3">
        <f>3386+(162.4-1329.3)+(1.72686+(0.082824-0.677943))+0-391.7-0.19976699999996</f>
        <v>1828.3319740000004</v>
      </c>
      <c r="Q264" s="3">
        <f>3137.1+(191.4-919)+(-1.599921+(-0.097614--0.46869))+0-584.2--0.297941999999941</f>
        <v>1824.3690969999998</v>
      </c>
      <c r="R264" s="3">
        <f>2731.7+(212.1-528.6)+(-6.965835+(-0.540855--1.34793))+0-614.3--1.56646499999991</f>
        <v>1796.3077049999999</v>
      </c>
      <c r="S264" s="3">
        <f>2711.9+(185.1-534.7)+(-2.766138+(-0.188802--0.545394))+0-368.1--0.375462000000059</f>
        <v>1992.1659160000004</v>
      </c>
      <c r="T264" s="3">
        <f>2523.5+(151.3-465.3)+(-1.286985+(-0.077163--0.237303))+0-452.3--0.230672999999954</f>
        <v>1756.3038280000003</v>
      </c>
      <c r="U264" s="3">
        <f>2388.4+(299.3-397.9)+(-2.436168+(-0.305286--0.405858))+0-556.5--0.567630000000089</f>
        <v>1731.5320340000003</v>
      </c>
      <c r="V264" s="3">
        <f>2472.8+(347-644.1)+(0+(0-0))+0-568.5-0</f>
        <v>1607.2000000000003</v>
      </c>
      <c r="W264" s="3">
        <f>4347.1+(143.3-1884.2)+(2.217021+(0.073083-0.960942))+0-577.4-0.294473999999941</f>
        <v>2029.8346880000001</v>
      </c>
      <c r="X264" s="3">
        <f>4593.6+(159.4-2037.9)+(0+(0-0))+0-588.2-0</f>
        <v>2126.9000000000005</v>
      </c>
      <c r="Y264" s="3">
        <f>4236.4+(253.1-1615.3)+(-6.481692+(-0.387243--2.471409))+0-428.1--0.654993000000025</f>
        <v>2442.3574669999998</v>
      </c>
      <c r="Z264" s="3">
        <f>3497.3+(276.1-1056.8)+(-3.567246+(-0.281622--1.077936))+0-662.7--0.675954000000106</f>
        <v>2051.8050220000005</v>
      </c>
      <c r="AA264" s="3">
        <f>3395.5+(246.7-855.6)+(1.731705+(0.125817-0.436356))+0-617.9-0.315128999999937</f>
        <v>2169.8060369999998</v>
      </c>
      <c r="AB264" s="3">
        <f>2615.6+(370.1-367.5)+(-6.66978+(-0.943755--0.937125))+0-718.2--1.8314099999999</f>
        <v>1895.1549999999997</v>
      </c>
      <c r="AC264" s="3">
        <f>2248.5+(551.4-322.8)+(-9.17388+(-2.249712--1.317024))+0-481.1--1.96288799999996</f>
        <v>1987.8563199999999</v>
      </c>
      <c r="AD264">
        <f t="shared" si="4"/>
        <v>44393.458256000005</v>
      </c>
      <c r="AE264" s="3">
        <f>5150+(141.5-2219.5)+(0+(0-0))+0-693.8-0</f>
        <v>2378.1999999999998</v>
      </c>
    </row>
    <row r="265" spans="1:31" customFormat="1" x14ac:dyDescent="0.25">
      <c r="A265">
        <v>89</v>
      </c>
      <c r="B265">
        <v>9</v>
      </c>
      <c r="C265">
        <v>19</v>
      </c>
      <c r="D265">
        <v>7</v>
      </c>
      <c r="E265">
        <v>1</v>
      </c>
      <c r="F265" s="3">
        <f>2193.7+(535.2-384.9)+(0+(0-0))+0-504.2-0</f>
        <v>1839.8</v>
      </c>
      <c r="G265" s="3">
        <f>2152.1+(564.8-457.8)+(-3.292713+(-0.864144--0.700434))+0-582.1--0.890613000000034</f>
        <v>1674.4341899999999</v>
      </c>
      <c r="H265" s="3">
        <f>2352+(562.8-711.5)+(-2.39904+(-0.574056--0.72573))+0-486.4--0.496128000000078</f>
        <v>1715.148762</v>
      </c>
      <c r="I265" s="3">
        <f>2268.9+(569.4-700.6)+(1.157139+(0.290394-0.357306))+0-683.8-0.348737999999931</f>
        <v>1454.6414890000001</v>
      </c>
      <c r="J265" s="3">
        <f>2123.5+(591-506.7)+(-5.414925+(-1.50705--1.292085))+0-650.9--1.65979499999991</f>
        <v>1552.9299049999997</v>
      </c>
      <c r="K265" s="3">
        <f>2125.4+(579.8-517)+(1.083954+(0.295698-0.26367))+0-667.7-0.340526999999932</f>
        <v>1521.2754549999997</v>
      </c>
      <c r="L265" s="3">
        <f>2150+(578.5-400.2)+(-2.193+(-0.59007--0.408204))+0-626.7--0.6392340000001</f>
        <v>1699.864368</v>
      </c>
      <c r="M265" s="3">
        <f>2058.2+(527.4-414.6)+(-3.149046+(-0.806922--0.634338))+0-413.6--0.632808000000024</f>
        <v>1754.7111780000002</v>
      </c>
      <c r="N265" s="3">
        <f>2173.4+(480.9-375.2)+(-2.216868+(-0.490518--0.382704))+0-445.2--0.454104000000071</f>
        <v>1832.0294220000001</v>
      </c>
      <c r="O265" s="3">
        <f>2504.5+(415.4-489.8)+(-3.831885+(-0.635562--0.749394))+0-606.9--0.928557000000035</f>
        <v>1820.4105039999997</v>
      </c>
      <c r="P265" s="3">
        <f>2782.8+(264.5-672.7)+(-5.676912+(-0.53958--1.372308))+0-514.7--1.04998799999998</f>
        <v>1856.1058040000003</v>
      </c>
      <c r="Q265" s="3">
        <f>3110.2+(217.3-922.8)+(-3.172404+(-0.221646--0.941256))+0-537.7--0.548454000000086</f>
        <v>1865.09566</v>
      </c>
      <c r="R265" s="3">
        <f>2780.5+(246.3-624.2)+(-4.254165+(-0.376839--0.955026))+0-460.5--0.704565000000027</f>
        <v>1939.1285869999997</v>
      </c>
      <c r="S265" s="3">
        <f>2309.6+(355.6-390.6)+(-4.711584+(-0.725424--0.796824))+0-446.6--0.911063999999981</f>
        <v>1824.27088</v>
      </c>
      <c r="T265" s="3">
        <f>2143.9+(526.4-250)+(-2.186778+(-0.536928--0.255))+0-679.4--0.692988000000108</f>
        <v>1739.124282</v>
      </c>
      <c r="U265" s="3">
        <f>2169.2+(397.4-269.9)+(0+(0-0))+0-629.8-0</f>
        <v>1666.8999999999999</v>
      </c>
      <c r="V265" s="3">
        <f>2400.3+(308.3-348.2)+(-6.120765+(-0.786165--0.88791))+0-530.8--1.35353999999992</f>
        <v>1824.9345199999998</v>
      </c>
      <c r="W265" s="3">
        <f>4276.5+(118.2-1741.6)+(2.181015+(0.060282-0.888216))+0-485.2-0.247451999999951</f>
        <v>2169.0056290000007</v>
      </c>
      <c r="X265" s="3">
        <f>4670.9+(130.1-1887.4)+(-2.382159+(-0.066351--0.962574))+0-641.2--0.327011999999935</f>
        <v>2271.2410759999993</v>
      </c>
      <c r="Y265" s="3">
        <f>4315.8+(135.8-1622.2)+(-6.603174+(-0.207774--2.481966))+0-502.3--0.768519000000029</f>
        <v>2323.5395370000001</v>
      </c>
      <c r="Z265" s="3">
        <f>3631.3+(146.3-1195.2)+(-1.851963+(-0.074613--0.609552))+0-551.2--0.281111999999944</f>
        <v>2030.164088</v>
      </c>
      <c r="AA265" s="3">
        <f>3865.5+(175.6-1339.4)+(0+(0-0))+0-651.7-0</f>
        <v>2050</v>
      </c>
      <c r="AB265" s="3">
        <f>3216+(313.9-1016.5)+(-3.28032+(-0.320178--1.03683))+0-625.1--0.6376020000001</f>
        <v>1886.3739340000004</v>
      </c>
      <c r="AC265" s="3">
        <f>2646.2+(449.1-567.6)+(-8.097372+(-1.374246--1.736856))+0-589.5--1.80387000000007</f>
        <v>1932.2691079999997</v>
      </c>
      <c r="AD265">
        <f t="shared" si="4"/>
        <v>44243.398377999991</v>
      </c>
      <c r="AE265" s="3">
        <f>4798+(128.8-2172.9)+(0+(0-0))+0-477.3-0</f>
        <v>2276.5999999999995</v>
      </c>
    </row>
    <row r="266" spans="1:31" customFormat="1" x14ac:dyDescent="0.25">
      <c r="A266">
        <v>89</v>
      </c>
      <c r="B266">
        <v>9</v>
      </c>
      <c r="C266">
        <v>20</v>
      </c>
      <c r="D266">
        <v>1</v>
      </c>
      <c r="E266">
        <v>1</v>
      </c>
      <c r="F266" s="3">
        <f>2202.1+(484.7-663.8)+(-3.369213+(-0.741591--1.015614))+0-424--0.648720000000025</f>
        <v>1596.5535299999999</v>
      </c>
      <c r="G266" s="3">
        <f>2399.7+(551.4-856.8)+(3.671541+(0.843642-1.310904))+0-496.7-0.759951000000029</f>
        <v>1600.0443279999997</v>
      </c>
      <c r="H266" s="3">
        <f>2279.1+(589.8-748.1)+(-2.324682+(-0.601596--0.763062))+0-600.9--0.612918000000096</f>
        <v>1518.3497019999998</v>
      </c>
      <c r="I266" s="3">
        <f>2289.3+(514.1-761)+(0+(0-0))+0-552.9-0</f>
        <v>1489.5</v>
      </c>
      <c r="J266" s="3">
        <f>2321.7+(455.1-721.5)+(-1.184067+(-0.232101--0.367965))+0-555.2--0.283151999999944</f>
        <v>1499.3349489999998</v>
      </c>
      <c r="K266" s="3">
        <f>2382.3+(396.9-653.1)+(6.074865+(1.012095-1.665405))+0-560.1-1.42825499999992</f>
        <v>1569.9933000000005</v>
      </c>
      <c r="L266" s="3">
        <f>2354.3+(443.5-465.4)+(-1.200693+(-0.226185--0.237354))+0-621.3--0.316862999999937</f>
        <v>1710.2273390000003</v>
      </c>
      <c r="M266" s="3">
        <f>2317.9+(467.1-426)+(-1.182129+(-0.238221--0.21726))+0-539.2--0.274991999999945</f>
        <v>1818.8719019999999</v>
      </c>
      <c r="N266" s="3">
        <f>2501.8+(474.7-579.6)+(0+(0-0))+0-572.5-0</f>
        <v>1824.4</v>
      </c>
      <c r="O266" s="3">
        <f>3188+(415.4-1219.9)+(-3.25176+(-0.423708--1.244298))+0-488.6--0.498372000000078</f>
        <v>1892.9672020000003</v>
      </c>
      <c r="P266" s="3">
        <f>3656.2+(380.4-1644.2)+(1.864662+(0.194004-0.838542))+0-496.5-0.25321499999995</f>
        <v>1896.8669089999996</v>
      </c>
      <c r="Q266" s="3">
        <f>3794.3+(389.6-1669.4)+(-9.675465+(-0.99348--4.25697))+0-505.2--1.28825999999993</f>
        <v>2004.176285</v>
      </c>
      <c r="R266" s="3">
        <f>3055.1+(460.6-1058.9)+(-6.232404+(-0.939624--2.160156))+0-433.7--0.884747999999981</f>
        <v>2018.9728759999996</v>
      </c>
      <c r="S266" s="3">
        <f>2692.1+(456.3-717)+(-5.491884+(-0.930852--1.46268))+14.9-525.8--1.07263199999998</f>
        <v>1916.6125760000002</v>
      </c>
      <c r="T266" s="3">
        <f>2781.3+(419.1-769.5)+(5.673852+(0.854964-1.56978))+0.8-618.9-1.26255599999997</f>
        <v>1816.4964800000005</v>
      </c>
      <c r="U266" s="3">
        <f>2585.6+(432.6-718.1)+(-6.59328+(-1.10313--1.831155))+0-421.3--1.07431499999994</f>
        <v>1874.0090599999996</v>
      </c>
      <c r="V266" s="3">
        <f>2984.5+(352.3-992.5)+(-4.566285+(-0.539019--1.518525))+0-521.9--0.79850700000003</f>
        <v>1819.6117279999999</v>
      </c>
      <c r="W266" s="3">
        <f>4707.2+(206.6-2255.8)+(-7.202016+(-0.316098--3.451374))+0-505--0.772650000000029</f>
        <v>2149.7059099999992</v>
      </c>
      <c r="X266" s="3">
        <f>4524.5+(273.8-2022.1)+(-9.22998+(-0.558552--4.125084))+0-431.9--0.881075999999981</f>
        <v>2339.5176280000001</v>
      </c>
      <c r="Y266" s="3">
        <f>3634.6+(344-1225.6)+(-5.560938+(-0.52632--1.875168))+0-371.7--0.568701000000021</f>
        <v>2377.6566110000003</v>
      </c>
      <c r="Z266" s="3">
        <f>3003.5+(372-666.5)+(-6.12714+(-0.75888--1.35966))+0-485.1--0.989603999999979</f>
        <v>2219.3632440000001</v>
      </c>
      <c r="AA266" s="3">
        <f>2895.8+(536.4-812.5)+(-4.430574+(-0.820692--1.243125))+0-534.6--0.817938000000031</f>
        <v>2081.9097970000007</v>
      </c>
      <c r="AB266" s="3">
        <f>2748+(750.7-907.4)+(-5.60592+(-1.531428--1.851096))+0-598.4--1.22073599999997</f>
        <v>1988.8344840000002</v>
      </c>
      <c r="AC266" s="3">
        <f>2589.5+(745.5-839.7)+(-3.961935+(-1.140615--1.284741))+0-573.1--0.876843000000033</f>
        <v>1919.2590340000002</v>
      </c>
      <c r="AD266">
        <f t="shared" si="4"/>
        <v>44943.234874000009</v>
      </c>
      <c r="AE266" s="3">
        <f>5136+(224.1-2520.1)+(0+(0-0))+0-540.8-0</f>
        <v>2299.1999999999998</v>
      </c>
    </row>
    <row r="267" spans="1:31" customFormat="1" x14ac:dyDescent="0.25">
      <c r="A267">
        <v>89</v>
      </c>
      <c r="B267">
        <v>9</v>
      </c>
      <c r="C267">
        <v>21</v>
      </c>
      <c r="D267">
        <v>2</v>
      </c>
      <c r="E267">
        <v>1</v>
      </c>
      <c r="F267" s="3">
        <f>2165.8+(867.3-632.7)+(-5.52279+(-2.211615--1.613385))+0-588.7--1.50118499999991</f>
        <v>1807.0801649999999</v>
      </c>
      <c r="G267" s="3">
        <f>1900.6+(957.9-677.2)+(-0.969306+(-0.488529--0.345372))+0-629.6--0.321095999999936</f>
        <v>1550.9086329999998</v>
      </c>
      <c r="H267" s="3">
        <f>1946.4+(970-752.5)+(-3.970656+(-1.9788--1.5351))+0-455--0.92819999999998</f>
        <v>1705.4138439999999</v>
      </c>
      <c r="I267" s="3">
        <f>1843.8+(1014.7-840.2)+(2.821014+(1.552491-1.285506))+0-495.6-0.758268000000029</f>
        <v>1525.0297310000001</v>
      </c>
      <c r="J267" s="3">
        <f>1924+(1012.2-810.2)+(4.9062+(2.58111-2.06601))+0-695.4-1.7732699999999</f>
        <v>1434.24803</v>
      </c>
      <c r="K267" s="3">
        <f>2102+(967.9-888.6)+(3.21606+(1.480887-1.359558))+0-588.2-0.899946000000034</f>
        <v>1595.5374429999999</v>
      </c>
      <c r="L267" s="3">
        <f>2019.1+(898.8-560)+(-1.029741+(-0.458388--0.2856))+0-622.1--0.317270999999937</f>
        <v>1734.9147419999995</v>
      </c>
      <c r="M267" s="3">
        <f>2098.8+(825.7-586.9)+(-1.070388+(-0.421107--0.299319))+0-585.9--0.298808999999941</f>
        <v>1750.8066330000001</v>
      </c>
      <c r="N267" s="3">
        <f>2326.1+(651.6-759)+(0+(0-0))+0-454.7-0</f>
        <v>1763.9999999999998</v>
      </c>
      <c r="O267" s="3">
        <f>3062.7+(390.7-1086.3)+(-4.685931+(-0.597771--1.662039))+0-536.7--0.821151000000031</f>
        <v>1827.5994880000001</v>
      </c>
      <c r="P267" s="3">
        <f>3192.8+(367.5-1270.6)+(-1.628328+(-0.187425--0.648006))+0-488.4--0.24908399999995</f>
        <v>1800.3813370000003</v>
      </c>
      <c r="Q267" s="3">
        <f>3284.9+(327.9-1282.2)+(-5.025897+(-0.501687--1.961766))+0-555.2--0.849456000000032</f>
        <v>1772.683638</v>
      </c>
      <c r="R267" s="3">
        <f>2843.6+(357.7-875.1)+(-11.601888+(-1.459416--3.570408))+0-555.1--2.26480799999995</f>
        <v>1763.873912</v>
      </c>
      <c r="S267" s="3">
        <f>2524.8+(369.5-610)+(-1.287648+(-0.188445--0.3111))+0-541.3--0.276062999999945</f>
        <v>1742.1110700000004</v>
      </c>
      <c r="T267" s="3">
        <f>2228+(410.9-439.8)+(-3.40884+(-0.628677--0.672894))+0-539.3--0.825129000000031</f>
        <v>1657.2605060000001</v>
      </c>
      <c r="U267" s="3">
        <f>2405.5+(394.3-681.9)+(3.680415+(0.603279-1.043307))+0-479-0.732870000000028</f>
        <v>1641.4075169999999</v>
      </c>
      <c r="V267" s="3">
        <f>2894.1+(469.7-1101.6)+(-7.379955+(-1.197735--2.80908))+0-539.3--1.37521499999992</f>
        <v>1718.5066049999998</v>
      </c>
      <c r="W267" s="3">
        <f>4159.1+(356.1-1994.2)+(2.121141+(0.181611-1.017042))+0-526.4-0.268463999999947</f>
        <v>1995.6172460000005</v>
      </c>
      <c r="X267" s="3">
        <f>3953.8+(414.4-1682.6)+(-6.049314+(-0.634032--2.574378))+0-495.9--0.758727000000029</f>
        <v>2186.3497590000002</v>
      </c>
      <c r="Y267" s="3">
        <f>3576.4+(463.7-1380.1)+(-5.471892+(-0.709461--2.111553))+0-592--0.905760000000034</f>
        <v>2064.8359599999999</v>
      </c>
      <c r="Z267" s="3">
        <f>3055+(519.5-1049.7)+(-3.1161+(-0.52989--1.070694))+0-498--0.507960000000079</f>
        <v>2024.7326640000003</v>
      </c>
      <c r="AA267" s="3">
        <f>2955.9+(523.4-1028.6)+(0+(0-0))+0-579.8-0</f>
        <v>1870.9000000000003</v>
      </c>
      <c r="AB267" s="3">
        <f>2906.9+(537.7-983.4)+(-4.447557+(-0.822681--1.504602))+0-567.3--0.867969000000033</f>
        <v>1891.0023330000004</v>
      </c>
      <c r="AC267" s="3">
        <f>2403.2+(635.3-645.6)+(-2.451264+(-0.648006--0.658512))+0-586.6--0.598332000000094</f>
        <v>1804.4575739999996</v>
      </c>
      <c r="AD267">
        <f t="shared" si="4"/>
        <v>42629.65883</v>
      </c>
      <c r="AE267" s="3">
        <f>4599+(348.9-2464.6)+(0+(0-0))+0-556.4-0</f>
        <v>1926.9</v>
      </c>
    </row>
    <row r="268" spans="1:31" customFormat="1" x14ac:dyDescent="0.25">
      <c r="A268">
        <v>89</v>
      </c>
      <c r="B268">
        <v>9</v>
      </c>
      <c r="C268">
        <v>22</v>
      </c>
      <c r="D268">
        <v>3</v>
      </c>
      <c r="E268">
        <v>1</v>
      </c>
      <c r="F268" s="3">
        <f>2307.3+(739.3-744)+(-7.060338+(-2.262258--2.27664))+0-568.5--1.73961000000007</f>
        <v>1728.7936540000005</v>
      </c>
      <c r="G268" s="3">
        <f>1835.9+(744-502)+(-6.554163+(-2.65608--1.79214))+0-550.3--1.96457100000001</f>
        <v>1522.1464680000001</v>
      </c>
      <c r="H268" s="3">
        <f>1910.4+(654.3-485)+(-2.922912+(-1.001079--0.74205))+0-515.4--0.78856200000003</f>
        <v>1561.9066209999999</v>
      </c>
      <c r="I268" s="3">
        <f>1857.9+(663.7-531.3)+(0+(0-0))+0-532.7-0</f>
        <v>1457.6000000000001</v>
      </c>
      <c r="J268" s="3">
        <f>1867.6+(677.6-426.9)+(-0.952476+(-0.345576--0.217719))+0-663.8--0.338537999999933</f>
        <v>1453.7582050000003</v>
      </c>
      <c r="K268" s="3">
        <f>1937.5+(681.8-598.9)+(1.97625+(0.695436-0.610878))+0-517.4-0.527748000000082</f>
        <v>1504.5330600000002</v>
      </c>
      <c r="L268" s="3">
        <f>1959.9+(637.5-452.7)+(-1.999098+(-0.65025--0.461754))+0-504.1--0.51418200000008</f>
        <v>1638.9265880000005</v>
      </c>
      <c r="M268" s="3">
        <f>2048.5+(590.4-344.9)+(1.044735+(0.301104-0.175899))+0-569.8-0.290597999999942</f>
        <v>1725.0793420000002</v>
      </c>
      <c r="N268" s="3">
        <f>2075.7+(661.8-509.3)+(-2.117214+(-0.675036--0.519486))+0-495.5--0.505410000000079</f>
        <v>1730.932646</v>
      </c>
      <c r="O268" s="3">
        <f>2575.3+(629.2-953.2)+(0+(0-0))+0-487.9-0</f>
        <v>1763.4</v>
      </c>
      <c r="P268" s="3">
        <f>2872.8+(622.3-1316.8)+(0+(0-0))+0-409-0</f>
        <v>1769.3000000000002</v>
      </c>
      <c r="Q268" s="3">
        <f>3098.1+(538.9-1448)+(0+(0-0))+0-468.4-0</f>
        <v>1720.6</v>
      </c>
      <c r="R268" s="3">
        <f>2641.7+(580.3-1056.2)+(0+(0-0))+5.7-514-0</f>
        <v>1657.4999999999995</v>
      </c>
      <c r="S268" s="3">
        <f>2483.2+(543.6-927.8)+(0+(0-0))+0-457.6-0</f>
        <v>1641.4</v>
      </c>
      <c r="T268" s="3">
        <f>2382.3+(544.8-786.5)+(0+(0-0))+0-583.4-0</f>
        <v>1557.2000000000003</v>
      </c>
      <c r="U268" s="3">
        <f>2315.5+(535.6-836.1)+(0+(0-0))+0-404.3-0</f>
        <v>1610.7</v>
      </c>
      <c r="V268" s="3">
        <f>2668.7+(482.4-917.9)+(0+(0-0))+0-555.4-0</f>
        <v>1677.7999999999997</v>
      </c>
      <c r="W268" s="3">
        <f>4186.6+(367.7-1925.7)+(0+(0-0))+0-546.4-0</f>
        <v>2082.2000000000003</v>
      </c>
      <c r="X268" s="3">
        <f>3909.3+(397.2-1547.6)+(0+(0-0))+0-524.2-0</f>
        <v>2234.7000000000007</v>
      </c>
      <c r="Y268" s="3">
        <f>3361.7+(483.8-1113.2)+(0+(0-0))+0-559.4-0</f>
        <v>2172.8999999999996</v>
      </c>
      <c r="Z268" s="3">
        <f>3365.1+(496.9-1206)+(0+(0-0))+0-587.4-0</f>
        <v>2068.6</v>
      </c>
      <c r="AA268" s="3">
        <f>3235+(393.6-1035.3)+(0+(0-0))+0-538.2-0</f>
        <v>2055.1000000000004</v>
      </c>
      <c r="AB268" s="3">
        <f>2930.6+(442.8-805.4)+(0+(0-0))+0-536-0</f>
        <v>2032</v>
      </c>
      <c r="AC268" s="3">
        <f>2682.3+(517.4-760.2)+(0+(0-0))+0-535-0</f>
        <v>1904.5</v>
      </c>
      <c r="AD268">
        <f t="shared" si="4"/>
        <v>42271.576584000002</v>
      </c>
      <c r="AE268" s="3">
        <f>4283+(376.6-1832.4)+(0+(0-0))+0-533.6-0</f>
        <v>2293.6</v>
      </c>
    </row>
    <row r="269" spans="1:31" customFormat="1" x14ac:dyDescent="0.25">
      <c r="A269">
        <v>89</v>
      </c>
      <c r="B269">
        <v>9</v>
      </c>
      <c r="C269">
        <v>23</v>
      </c>
      <c r="D269">
        <v>4</v>
      </c>
      <c r="E269">
        <v>1</v>
      </c>
      <c r="F269" s="3">
        <f>2289.7+(623.9-704.7)+(0+(0-0))+0-508-0</f>
        <v>1700.8999999999996</v>
      </c>
      <c r="G269" s="3">
        <f>1996.6+(590.7-447.1)+(0+(0-0))+0-496.8-0</f>
        <v>1643.3999999999999</v>
      </c>
      <c r="H269" s="3">
        <f>1886.3+(606.3-410.2)+(0+(0-0))+0-572-0</f>
        <v>1510.4</v>
      </c>
      <c r="I269" s="3">
        <f>1984.7+(548.5-499)+(0+(0-0))+0-522.6-0</f>
        <v>1511.6</v>
      </c>
      <c r="J269" s="3">
        <f>1965.2+(529.1-437.7)+(0+(0-0))+0-582.4-0</f>
        <v>1474.1999999999998</v>
      </c>
      <c r="K269" s="3">
        <f>2017+(500.2-458.6)+(0+(0-0))+0-543.4-0</f>
        <v>1515.1999999999998</v>
      </c>
      <c r="L269" s="3">
        <f>1984.9+(377.4-525.5)+(0+(0-0))+0-170.4-0</f>
        <v>1666.4</v>
      </c>
      <c r="M269" s="3">
        <f>1998.1+(411.2-453.7)+(0+(0-0))+0-136.6-0</f>
        <v>1819</v>
      </c>
      <c r="N269" s="3">
        <f>2523.8+(335-621.7)+(0+(0-0))+0-407.4-0</f>
        <v>1829.7000000000003</v>
      </c>
      <c r="O269" s="3">
        <f>2645.4+(324.1-708.6)+(0+(0-0))+76-447.9-0</f>
        <v>1889</v>
      </c>
      <c r="P269" s="3">
        <f>2425.8+(330-675.8)+(0+(0-0))+40-345.2-0</f>
        <v>1774.8</v>
      </c>
      <c r="Q269" s="3">
        <f>2489.3+(356.2-531.7)+(0+(0-0))+0-529.1-0</f>
        <v>1784.7000000000003</v>
      </c>
      <c r="R269" s="3">
        <f>2050.2+(581-328.7)+(-5.22801+(-1.48155--0.838185))+0-443.8--1.13168999999994</f>
        <v>1853.9603149999998</v>
      </c>
      <c r="S269" s="3">
        <f>2029.5+(488.8-275.7)+(-1.035045+(-0.249288--0.140607))+0-393.9--0.20088899999996</f>
        <v>1847.757163</v>
      </c>
      <c r="T269" s="3">
        <f>2091.9+(507.8-283.3)+(-3.200607+(-0.776934--0.433449))+0-589.1--0.901323000000034</f>
        <v>1724.6572310000001</v>
      </c>
      <c r="U269" s="3">
        <f>1786.3+(516.6-113)+(-4.555065+(-1.31733--0.28815))+0-406.6--1.03682999999994</f>
        <v>1778.7525850000002</v>
      </c>
      <c r="V269" s="3">
        <f>2179.4+(472-454.2)+(-5.55747+(-1.2036--1.15821))+0-464.2--1.18370999999993</f>
        <v>1728.5808500000003</v>
      </c>
      <c r="W269" s="3">
        <f>3293.2+(411.6-1012.8)+(-3.359064+(-0.419832--1.033056))+0-592.2--0.604044000000095</f>
        <v>2097.6582039999998</v>
      </c>
      <c r="X269" s="3">
        <f>3490+(412.4-1092.3)+(-8.8995+(-1.05162--2.785365))+0-533.2--1.35965999999992</f>
        <v>2271.0939049999997</v>
      </c>
      <c r="Y269" s="3">
        <f>3748.5+(468.5-1452.6)+(-1.911735+(-0.238935--0.740826))+0-539.1--0.274940999999945</f>
        <v>2224.1650970000005</v>
      </c>
      <c r="Z269" s="3">
        <f>3513.8+(555.3-1369.3)+(-7.168152+(-1.132812--2.793372))+0-532.1--1.08548399999998</f>
        <v>2163.2778920000005</v>
      </c>
      <c r="AA269" s="3">
        <f>3300.3+(662.3-1362.7)+(0+(0-0))+0-587.3-0</f>
        <v>2012.6000000000001</v>
      </c>
      <c r="AB269" s="3">
        <f>2674.3+(715.6-928.8)+(-5.455572+(-1.459824--1.894752))+0-547.4--1.11669599999998</f>
        <v>1909.7960520000001</v>
      </c>
      <c r="AC269" s="3">
        <f>2099+(945.3-542.2)+(-1.07049+(-0.482103--0.276522))+0-621.2--0.316811999999937</f>
        <v>1879.9407410000001</v>
      </c>
      <c r="AD269">
        <f t="shared" si="4"/>
        <v>43611.540034999991</v>
      </c>
      <c r="AE269" s="3">
        <f>3500+(393.2-1230.8)+(0+(0-0))+0-582.5-0</f>
        <v>2079.9</v>
      </c>
    </row>
    <row r="270" spans="1:31" customFormat="1" x14ac:dyDescent="0.25">
      <c r="A270">
        <v>89</v>
      </c>
      <c r="B270">
        <v>9</v>
      </c>
      <c r="C270">
        <v>24</v>
      </c>
      <c r="D270">
        <v>5</v>
      </c>
      <c r="E270">
        <v>5</v>
      </c>
      <c r="F270" s="3">
        <f>1786.6+(984.1-416.5)+(-1.822332+(-1.003782--0.42483))+0-544.4--0.555288000000087</f>
        <v>1807.9540039999997</v>
      </c>
      <c r="G270" s="3">
        <f>1691.8+(934.8-358.8)+(1.725636+(0.953496-0.365976))+0-580.8-0.592416000000093</f>
        <v>1688.7207400000002</v>
      </c>
      <c r="H270" s="3">
        <f>1712.7+(925.2-422.8)+(0+(0-0))+0-602-0</f>
        <v>1613.1</v>
      </c>
      <c r="I270" s="3">
        <f>1688.1+(860.8-386.2)+(0.860931+(0.439008-0.196962))+0-561.4-0.286313999999943</f>
        <v>1602.1166629999998</v>
      </c>
      <c r="J270" s="3">
        <f>1762.4+(768.3-408)+(0.898824+(0.391833-0.20808))+0-550-0.280499999999944</f>
        <v>1573.5020770000001</v>
      </c>
      <c r="K270" s="3">
        <f>1863.6+(784.2-497.5)+(-0.950436+(-0.399942--0.253725))+0-540.1--0.275450999999945</f>
        <v>1609.3787980000002</v>
      </c>
      <c r="L270" s="3">
        <f>1749.2+(826.6-408.8)+(-0.892092+(-0.421566--0.208488))+0-480.6--0.245105999999951</f>
        <v>1685.5399360000001</v>
      </c>
      <c r="M270" s="3">
        <f>1672.5+(808.8-257)+(-1.70595+(-0.824976--0.26214))+0-500.7--0.51071400000008</f>
        <v>1721.8419280000001</v>
      </c>
      <c r="N270" s="3">
        <f>1903.7+(698.5-349.7)+(1.941774+(0.71247-0.356694))+0-448.6-0.457572000000072</f>
        <v>1805.7399779999998</v>
      </c>
      <c r="O270" s="3">
        <f>2113.8+(571-291.1)+(1.078038+(0.29121-0.148461))+0-572.2-0.291821999999942</f>
        <v>1822.4289650000005</v>
      </c>
      <c r="P270" s="3">
        <f>2387.7+(309.3-444.9)+(-4.870908+(-0.630972--0.907596))+0-419.2--0.855167999999982</f>
        <v>1829.1608840000001</v>
      </c>
      <c r="Q270" s="3">
        <f>2260.2+(441.5-373.2)+(-5.76351+(-1.125825--0.95166))+0-502.3--1.28086499999993</f>
        <v>1821.5431899999999</v>
      </c>
      <c r="R270" s="3">
        <f>1889.1+(597.3-313.1)+(-1.926882+(-0.609246--0.319362))+0-407.1--0.415242000000065</f>
        <v>1764.3984759999998</v>
      </c>
      <c r="S270" s="3">
        <f>1883.3+(606.6-294.1)+(-2.881449+(-0.928098--0.449973))+0-422.8--0.646884000000024</f>
        <v>1770.2873100000002</v>
      </c>
      <c r="T270" s="3">
        <f>1759.2+(738.7-241.4)+(-3.588768+(-1.506948--0.492456))+0-515.5--1.05161999999998</f>
        <v>1737.4483600000001</v>
      </c>
      <c r="U270" s="3">
        <f>1673.1+(846-249)+(-2.559843+(-1.29438--0.38097))+0-597.9--0.914787000000035</f>
        <v>1669.6415339999996</v>
      </c>
      <c r="V270" s="3">
        <f>1908.8+(664.3-378.6)+(1.946976+(0.677586-0.386172))+0-504.4-0.51448800000008</f>
        <v>1691.8239019999999</v>
      </c>
      <c r="W270" s="3">
        <f>2644.3+(505.1-583.8)+(-1.348593+(-0.257601--0.297738))+0-528.9--0.269738999999946</f>
        <v>2035.6612829999999</v>
      </c>
      <c r="X270" s="3">
        <f>2590.7+(541.2-449.6)+(-7.927542+(-1.656072--1.375776))+0-500.6--1.53183600000006</f>
        <v>2175.0239980000001</v>
      </c>
      <c r="Y270" s="3">
        <f>2527.8+(594.7-379.3)+(-5.156712+(-1.213188--0.773772))+0-616.5--1.25765999999997</f>
        <v>2122.3615319999999</v>
      </c>
      <c r="Z270" s="3">
        <f>2666.1+(500.6-551.7)+(1.359711+(0.255306-0.281367))+0-607.4-0.309773999999938</f>
        <v>2008.6238760000001</v>
      </c>
      <c r="AA270" s="3">
        <f>2788.4+(599.7-754.4)+(-1.422084+(-0.305847--0.384744))+0-612.2--0.312221999999938</f>
        <v>2020.4690350000003</v>
      </c>
      <c r="AB270" s="3">
        <f>2607.2+(695.4-733)+(-2.659344+(-0.709308--0.74766))+0-631--0.643620000000101</f>
        <v>1936.6226279999998</v>
      </c>
      <c r="AC270" s="3">
        <f>2426+(777.6-670.7)+(-3.71178+(-1.189728--1.026171))+0-561.1--0.858483000000032</f>
        <v>1968.7831460000002</v>
      </c>
      <c r="AD270">
        <f t="shared" si="4"/>
        <v>43482.172242999994</v>
      </c>
      <c r="AE270" s="3">
        <f>2890.2+(434.3-691.4)+(0+(0-0))+0-499.4-0</f>
        <v>2133.6999999999998</v>
      </c>
    </row>
    <row r="271" spans="1:31" customFormat="1" x14ac:dyDescent="0.25">
      <c r="A271">
        <v>89</v>
      </c>
      <c r="B271">
        <v>9</v>
      </c>
      <c r="C271">
        <v>25</v>
      </c>
      <c r="D271">
        <v>6</v>
      </c>
      <c r="E271">
        <v>5</v>
      </c>
      <c r="F271" s="3">
        <f>1747.3+(994.8-310.8)+(-3.564492+(-2.029392--0.634032))+0-654.6--1.33538399999997</f>
        <v>1773.0755320000003</v>
      </c>
      <c r="G271" s="3">
        <f>1714.6+(815.1-292.3)+(-2.623338+(-1.247103--0.447219))+0-522.1--0.79881300000003</f>
        <v>1712.6755909999999</v>
      </c>
      <c r="H271" s="3">
        <f>1623+(873.1-196.7)+(-1.65546+(-0.890562--0.200634))+0-654.4--0.667488000000104</f>
        <v>1643.3220999999999</v>
      </c>
      <c r="I271" s="3">
        <f>1598.4+(816-188)+(-4.07592+(-2.0808--0.4794))+0-662.7--1.6898849999999</f>
        <v>1559.7125650000003</v>
      </c>
      <c r="J271" s="3">
        <f>1697.9+(648.8-219.8)+(-1.731858+(-0.661776--0.224196))+0-520.9--0.531318000000083</f>
        <v>1604.3618800000002</v>
      </c>
      <c r="K271" s="3">
        <f>1913.7+(676.7-341.3)+(0+(0-0))+0-667-0</f>
        <v>1582.1</v>
      </c>
      <c r="L271" s="3">
        <f>1727.1+(778-324.7)+(-3.523284+(-1.58712--0.662388))+0-501.4--1.02285599999998</f>
        <v>1675.5748400000002</v>
      </c>
      <c r="M271" s="3">
        <f>1676.1+(936.6-208.5)+(-1.709622+(-0.955332--0.21267))+0-683.5--0.697170000000109</f>
        <v>1718.944886</v>
      </c>
      <c r="N271" s="3">
        <f>1685.4+(693.3-236.5)+(-0.859554+(-0.353583--0.120615))+0-532.3--0.271472999999946</f>
        <v>1609.078951</v>
      </c>
      <c r="O271" s="3">
        <f>1733.4+(829.5-257.7)+(1.768068+(0.84609-0.262854))+0-599.4-0.611388000000096</f>
        <v>1707.5399159999995</v>
      </c>
      <c r="P271" s="3">
        <f>1359.1+(827.9-222.9)+(-4.851987+(-2.955603--0.795753))+0-506.8--1.80927600000001</f>
        <v>1452.0974389999999</v>
      </c>
      <c r="Q271" s="3">
        <f>1435.7+(739.4-238)+(-1.464414+(-0.754188--0.24276))+0-463.7--0.472974000000074</f>
        <v>1471.8971319999998</v>
      </c>
      <c r="R271" s="3">
        <f>1588.5+(448.8-261.3)+(0.810135+(0.228888-0.133263))+0-507.1-0.258620999999949</f>
        <v>1269.5471390000002</v>
      </c>
      <c r="S271" s="3">
        <f>1444.8+(566.7-246)+(-1.473696+(-0.578034--0.25092))+0-481.3--0.490926000000077</f>
        <v>1282.8901160000003</v>
      </c>
      <c r="T271" s="3">
        <f>1210.7+(856.2-220.1)+(-3.087285+(-2.18331--0.561255))+0-539.8--1.37648999999992</f>
        <v>1303.66715</v>
      </c>
      <c r="U271" s="3">
        <f>1306.4+(758.4-217.5)+(0+(0-0))+0-513.9-0</f>
        <v>1333.4</v>
      </c>
      <c r="V271" s="3">
        <f>1393+(659.7-210.7)+(-2.13129+(-1.009341--0.322371))+0-479.9--0.734247000000028</f>
        <v>1360.015987</v>
      </c>
      <c r="W271" s="3">
        <f>2122.6+(532.3-258.2)+(-5.41263+(-1.357365--0.65841))+0-536.5--1.36807499999992</f>
        <v>1855.4564899999996</v>
      </c>
      <c r="X271" s="3">
        <f>2022.4+(830.2-265.4)+(-2.062848+(-0.846804--0.270708))+0-559.5--0.570690000000089</f>
        <v>2025.6317460000005</v>
      </c>
      <c r="Y271" s="3">
        <f>2059.3+(743.3-286.7)+(0+(0-0))+0-513.7-0</f>
        <v>2002.2</v>
      </c>
      <c r="Z271" s="3">
        <f>2189.1+(610-323)+(-3.349323+(-0.9333--0.49419))+0-545.9--0.835227000000031</f>
        <v>1927.2467939999997</v>
      </c>
      <c r="AA271" s="3">
        <f>2268.8+(567.9-455.3)+(1.157088+(0.289629-0.232203))+0-472.3-0.240872999999952</f>
        <v>1910.073641</v>
      </c>
      <c r="AB271" s="3">
        <f>2190.8+(616.8-447.6)+(-2.234616+(-0.629136--0.456552))+0-474.4--0.483888000000076</f>
        <v>1883.6766879999998</v>
      </c>
      <c r="AC271" s="3">
        <f>1918.1+(773.9-377.9)+(-1.956462+(-0.789378--0.385458))+0-556.3--0.567426000000089</f>
        <v>1756.0070440000002</v>
      </c>
      <c r="AD271">
        <f t="shared" si="4"/>
        <v>39420.193627000001</v>
      </c>
      <c r="AE271" s="3">
        <f>2082.2+(830-280.8)+(0+(0-0))+0-590-0</f>
        <v>2041.3999999999996</v>
      </c>
    </row>
    <row r="272" spans="1:31" customFormat="1" x14ac:dyDescent="0.25">
      <c r="A272">
        <v>89</v>
      </c>
      <c r="B272">
        <v>9</v>
      </c>
      <c r="C272">
        <v>26</v>
      </c>
      <c r="D272">
        <v>7</v>
      </c>
      <c r="E272">
        <v>1</v>
      </c>
      <c r="F272" s="3">
        <f>1431.6+(971-262.8)+(-2.190348+(-1.48563--0.402084))+0-427.1--0.653463000000025</f>
        <v>1710.0795690000004</v>
      </c>
      <c r="G272" s="3">
        <f>1411.2+(970.5-240.6)+(0+(0-0))+0-516.3-0</f>
        <v>1624.8</v>
      </c>
      <c r="H272" s="3">
        <f>1446.6+(934.7-235)+(-5.164362+(-3.336879--0.83895))+0-623.1--2.22446700000001</f>
        <v>1517.7621760000002</v>
      </c>
      <c r="I272" s="3">
        <f>1555.6+(687.9-240.6)+(0+(0-0))+0-447.2-0</f>
        <v>1555.6999999999998</v>
      </c>
      <c r="J272" s="3">
        <f>1728.8+(595.7-308.7)+(0+(0-0))+0-472.9-0</f>
        <v>1542.9</v>
      </c>
      <c r="K272" s="3">
        <f>1733.9+(623-315.7)+(2.652867+(0.95319-0.483021))+0-456.1-0.697833000000026</f>
        <v>1587.5252029999999</v>
      </c>
      <c r="L272" s="3">
        <f>1716.3+(746.1-268.9)+(-2.625939+(-1.141533--0.411417))+0-555.7--0.850221000000032</f>
        <v>1635.2941659999997</v>
      </c>
      <c r="M272" s="3">
        <f>1780.7+(783.6-306.4)+(-2.724471+(-1.198908--0.468792))+0-550.5--0.842265000000032</f>
        <v>1704.7876779999999</v>
      </c>
      <c r="N272" s="3">
        <f>1736.1+(887.6-398.6)+(0+(0-0))+0-478-0</f>
        <v>1747.1</v>
      </c>
      <c r="O272" s="3">
        <f>2090.9+(616.1-348.4)+(1.066359+(0.314211-0.177684))+0-550.7-0.280856999999944</f>
        <v>1808.8220290000004</v>
      </c>
      <c r="P272" s="3">
        <f>1957.3+(649.5-338.7)+(-4.991115+(-1.656225--0.863685))+0-428.5--1.09267499999994</f>
        <v>1834.9090199999996</v>
      </c>
      <c r="Q272" s="3">
        <f>2133.2+(643.9-394.6)+(-2.175864+(-0.656778--0.402492))+0-532.7--0.543354000000085</f>
        <v>1847.913204</v>
      </c>
      <c r="R272" s="3">
        <f>2303+(599.1-550.4)+(-1.17453+(-0.305541--0.280704))+0-527.7--0.269126999999946</f>
        <v>1823.0697599999996</v>
      </c>
      <c r="S272" s="3">
        <f>2223.7+(643.1-453.6)+(-3.402261+(-0.983943--0.694008))+0-582.7--0.891531000000034</f>
        <v>1827.6993349999998</v>
      </c>
      <c r="T272" s="3">
        <f>1913.2+(739.5-390.4)+(-2.927196+(-1.131435--0.597312))+0-498.7--0.763011000000029</f>
        <v>1760.9016920000001</v>
      </c>
      <c r="U272" s="3">
        <f>1781.9+(855.7-317.7)+(-2.726307+(-1.309221--0.486081))+0-562--0.859860000000032</f>
        <v>1755.2104130000002</v>
      </c>
      <c r="V272" s="3">
        <f>1872.4+(775.1-380.7)+(-2.864772+(-1.185903--0.582471))+0-488.6--0.747558000000028</f>
        <v>1775.4793540000005</v>
      </c>
      <c r="W272" s="3">
        <f>2923+(484-783.8)+(-1.49073+(-0.24684--0.399738))+0-580.4--0.296003999999941</f>
        <v>2041.7581719999996</v>
      </c>
      <c r="X272" s="3">
        <f>3303.7+(429.2-763.9)+(-6.739548+(-0.875568--1.558356))+0-631.2--1.28764799999997</f>
        <v>2333.0308879999998</v>
      </c>
      <c r="Y272" s="3">
        <f>3103.8+(446.6-658)+(-4.748814+(-0.683298--1.00674))+0-575.2--0.880056000000033</f>
        <v>2313.6546840000001</v>
      </c>
      <c r="Z272" s="3">
        <f>2951.8+(464.9-631.4)+(-6.021672+(-0.948396--1.288056))+0-570.9--1.16463599999998</f>
        <v>2209.8826239999999</v>
      </c>
      <c r="AA272" s="3">
        <f>2842.6+(432.3-634.8)+(-2.899452+(-0.440946--0.647496))+0-523.5--0.533970000000083</f>
        <v>2114.4410680000001</v>
      </c>
      <c r="AB272" s="3">
        <f>2474.8+(510.4-387.3)+(-6.31074+(-1.30152--0.987615))+0-577.5--1.47262499999992</f>
        <v>2015.2479800000001</v>
      </c>
      <c r="AC272" s="3">
        <f>1922.6+(762.7-238.4)+(-2.941578+(-1.166931--0.364752))+0-576.8--0.882504000000033</f>
        <v>1867.2387469999999</v>
      </c>
      <c r="AD272">
        <f t="shared" si="4"/>
        <v>43955.207761999998</v>
      </c>
      <c r="AE272" s="3">
        <f>3221+(421.3-769.6)+(0+(0-0))+0-699.5-0</f>
        <v>2173.1999999999998</v>
      </c>
    </row>
    <row r="273" spans="1:31" customFormat="1" x14ac:dyDescent="0.25">
      <c r="A273">
        <v>89</v>
      </c>
      <c r="B273">
        <v>9</v>
      </c>
      <c r="C273">
        <v>27</v>
      </c>
      <c r="D273">
        <v>1</v>
      </c>
      <c r="E273">
        <v>1</v>
      </c>
      <c r="F273" s="3">
        <f>1776.8+(755-291.6)+(-2.718504+(-1.15515--0.446148))+0-548.1--0.838593000000032</f>
        <v>1689.5110869999999</v>
      </c>
      <c r="G273" s="3">
        <f>1558.8+(871-203.5)+(-3.97494+(-2.22105--0.518925))+0-535--1.36424999999992</f>
        <v>1686.9871850000002</v>
      </c>
      <c r="H273" s="3">
        <f>1602.5+(809.3-246.6)+(-1.63455+(-0.825486--0.251532))+0-585.7--0.597414000000093</f>
        <v>1577.8889099999997</v>
      </c>
      <c r="I273" s="3">
        <f>1711.1+(732.9-266.9)+(-1.745322+(-0.747558--0.272238))+0-572.4--0.583848000000091</f>
        <v>1603.0632059999996</v>
      </c>
      <c r="J273" s="3">
        <f>1728.3+(686-272.7)+(0+(0-0))+0-645.1-0</f>
        <v>1496.5</v>
      </c>
      <c r="K273" s="3">
        <f>1773.6+(813.1-303)+(-1.809072+(-0.829362--0.30906))+0-627.5--0.6400500000001</f>
        <v>1654.5106760000001</v>
      </c>
      <c r="L273" s="3">
        <f>1710.1+(866.3-231.2)+(0+(0-0))+0-604.7-0</f>
        <v>1740.4999999999998</v>
      </c>
      <c r="M273" s="3">
        <f>1876.3+(806.2-266.3)+(0+(0-0))+0-576.8-0</f>
        <v>1839.3999999999999</v>
      </c>
      <c r="N273" s="3">
        <f>2154.3+(709.4-403.3)+(0+(0-0))+0-574.2-0</f>
        <v>1886.2</v>
      </c>
      <c r="O273" s="3">
        <f>2942.6+(362.1-859.9)+(0+(0-0))+0-544.6-0</f>
        <v>1900.2000000000003</v>
      </c>
      <c r="P273" s="3">
        <f>3132.3+(342.7-1002.4)+(0+(0-0))+0-574.8-0</f>
        <v>1897.8000000000004</v>
      </c>
      <c r="Q273" s="3">
        <f>3216.6+(337-1182.2)+(0+(0-0))+0-445.7-0</f>
        <v>1925.6999999999996</v>
      </c>
      <c r="R273" s="3">
        <f>2627+(407.6-615.4)+(-1.33977+(-0.207876--0.313854))+0-492.5--0.25117499999995</f>
        <v>1925.7173829999997</v>
      </c>
      <c r="S273" s="3">
        <f>2154+(676.1-458.2)+(-1.09854+(-0.344811--0.233682))+0-542.5--0.276674999999945</f>
        <v>1828.4670060000001</v>
      </c>
      <c r="T273" s="3">
        <f>2096.6+(659.5-454)+(0+(0-0))+0-519.3-0</f>
        <v>1782.8</v>
      </c>
      <c r="U273" s="3">
        <f>2038+(723.9-519)+(3.11814+(1.107567-0.79407))+0-472.6-0.723078000000027</f>
        <v>1773.0085590000003</v>
      </c>
      <c r="V273" s="3">
        <f>2423+(706.8-677.2)+(2.47146+(0.720936-0.690744))+0-599.4-0.611388000000096</f>
        <v>1855.0902639999997</v>
      </c>
      <c r="W273" s="3">
        <f>3843.5+(554.8-1751.4)+(0+(0-0))+0-486.2-0</f>
        <v>2160.6999999999998</v>
      </c>
      <c r="X273" s="3">
        <f>3818.8+(606.7-1616.2)+(-1.947588+(-0.309417--0.824262))+0-528.4--0.269483999999946</f>
        <v>2279.7367410000002</v>
      </c>
      <c r="Y273" s="3">
        <f>3617.8+(564.6-1377.5)+(-9.22539+(-1.43973--3.512625))+0-557--1.42034999999992</f>
        <v>2242.1678550000001</v>
      </c>
      <c r="Z273" s="3">
        <f>2825.8+(650.2-944.3)+(1.441158+(0.331602-0.481593))+0-385.9-0.196808999999961</f>
        <v>2146.894358</v>
      </c>
      <c r="AA273" s="3">
        <f>2701+(704.9-838.6)+(-1.37751+(-0.359499--0.427686))+4.7-484.4--0.247043999999951</f>
        <v>2086.5377209999997</v>
      </c>
      <c r="AB273" s="3">
        <f>2232.5+(789-655.3)+(-2.27715+(-0.80478--0.668406))+7.7-382.2--0.389844000000061</f>
        <v>1989.6763199999996</v>
      </c>
      <c r="AC273" s="3">
        <f>1916.8+(984.2-534.3)+(-0.977568+(-0.501942--0.272493))+0-528.7--0.269636999999946</f>
        <v>1837.0626199999995</v>
      </c>
      <c r="AD273">
        <f t="shared" si="4"/>
        <v>44806.119890999988</v>
      </c>
      <c r="AE273" s="3">
        <f>3941+(611.6-1886.1)+(0+(0-0))+0-465.1-0</f>
        <v>2201.4</v>
      </c>
    </row>
    <row r="274" spans="1:31" customFormat="1" x14ac:dyDescent="0.25">
      <c r="A274">
        <v>89</v>
      </c>
      <c r="B274">
        <v>9</v>
      </c>
      <c r="C274">
        <v>28</v>
      </c>
      <c r="D274">
        <v>2</v>
      </c>
      <c r="E274">
        <v>1</v>
      </c>
      <c r="F274" s="3">
        <f>1626.7+(1110.9-578.1)+(0+(0-0))+0-487.9-0</f>
        <v>1671.6</v>
      </c>
      <c r="G274" s="3">
        <f>1627+(1137.3-610)+(-2.48931+(-1.740069--0.9333))+0-582.1--0.890613000000034</f>
        <v>1569.7945340000001</v>
      </c>
      <c r="H274" s="3">
        <f>1576.6+(1023.5-640)+(-2.412198+(-1.565955--0.9792))+0-427.3--0.653769000000025</f>
        <v>1530.4548159999999</v>
      </c>
      <c r="I274" s="3">
        <f>1733.7+(935.5-628.4)+(0+(0-0))+0-545.4-0</f>
        <v>1495.4</v>
      </c>
      <c r="J274" s="3">
        <f>1872+(915.6-721.7)+(0+(0-0))+0-565.3-0</f>
        <v>1500.6000000000001</v>
      </c>
      <c r="K274" s="3">
        <f>1634.7+(939.4-568.8)+(-2.501091+(-1.437282--0.870264))+0-451.8--0.691254000000026</f>
        <v>1551.1231450000002</v>
      </c>
      <c r="L274" s="3">
        <f>1812.7+(938.8-509.2)+(0+(0-0))+0-576.9-0</f>
        <v>1665.4</v>
      </c>
      <c r="M274" s="3">
        <f>1670.5+(956.5-371.3)+(0+(0-0))+0-478.4-0</f>
        <v>1777.2999999999997</v>
      </c>
      <c r="N274" s="3">
        <f>1805.9+(837.7-398.3)+(-0.921009+(-0.427227--0.203133))+0-456.7--0.232916999999954</f>
        <v>1787.6878140000003</v>
      </c>
      <c r="O274" s="3">
        <f>2206.8+(696.8-654.2)+(0+(0-0))+0-434.3-0</f>
        <v>1815.1000000000001</v>
      </c>
      <c r="P274" s="3">
        <f>2509.6+(618.1-864.8)+(0+(0-0))+0-449.5-0</f>
        <v>1813.4</v>
      </c>
      <c r="Q274" s="3">
        <f>2834.7+(656.5-1139)+(-5.782788+(-1.33926--2.32356))+0-528.4--1.07793599999998</f>
        <v>1820.0794479999997</v>
      </c>
      <c r="R274" s="3">
        <f>2420.9+(654.9-872.3)+(-3.703977+(-1.001997--1.334619))+0-395.3--0.604809000000023</f>
        <v>1805.4334539999998</v>
      </c>
      <c r="S274" s="3">
        <f>2092.7+(658.7-575.2)+(-2.134554+(-0.671874--0.586704))+0-404.1--0.412182000000064</f>
        <v>1770.2924579999999</v>
      </c>
      <c r="T274" s="3">
        <f>2074.5+(683.8-593.4)+(-2.11599+(-0.697476--0.605268))+0-429.6--0.438192000000069</f>
        <v>1733.5299940000004</v>
      </c>
      <c r="U274" s="3">
        <f>1984+(662.3-602.5)+(-2.02368+(-0.675546--0.61455))+0-415.2--0.423504000000066</f>
        <v>1626.9388280000001</v>
      </c>
      <c r="V274" s="3">
        <f>2321.1+(583.8-704)+(0+(0-0))+0-394.5-0</f>
        <v>1806.3999999999996</v>
      </c>
      <c r="W274" s="3">
        <f>3476.3+(538.3-1505.4)+(-1.772913+(-0.274533--0.767754))+0-455.9--0.232508999999954</f>
        <v>2052.2528169999996</v>
      </c>
      <c r="X274" s="3">
        <f>3569.9+(555.7-1412.2)+(-5.461947+(-0.850221--2.160666))+0-499.4--0.764082000000029</f>
        <v>2210.61258</v>
      </c>
      <c r="Y274" s="3">
        <f>3439.3+(586.8-1474.8)+(-5.262129+(-0.897804--2.256444))+0-408--0.624240000000024</f>
        <v>2140.0207510000005</v>
      </c>
      <c r="Z274" s="3">
        <f>3375.3+(631.9-1496.2)+(-1.721403+(-0.322269--0.763062))+0-431.9--0.220268999999956</f>
        <v>2078.039659</v>
      </c>
      <c r="AA274" s="3">
        <f>3062+(697.3-1209.5)+(-4.68486+(-1.066869--1.850535))+0-532.1--0.814113000000031</f>
        <v>2014.6129190000004</v>
      </c>
      <c r="AB274" s="3">
        <f>2480.1+(744.2-895.6)+(-3.794553+(-1.138626--1.370268))+0-399.2--0.610776000000023</f>
        <v>1926.5478649999998</v>
      </c>
      <c r="AC274" s="3">
        <f>2366.7+(925.3-954.9)+(-2.414034+(-0.943806--0.973998))+0-597.8--0.609756000000095</f>
        <v>1737.5259139999998</v>
      </c>
      <c r="AD274">
        <f t="shared" si="4"/>
        <v>42900.146996000003</v>
      </c>
      <c r="AE274" s="3">
        <f>3864+(486.6-1713.9)+(0+(0-0))+0-487.6-0</f>
        <v>2149.1</v>
      </c>
    </row>
    <row r="275" spans="1:31" customFormat="1" x14ac:dyDescent="0.25">
      <c r="A275">
        <v>89</v>
      </c>
      <c r="B275">
        <v>9</v>
      </c>
      <c r="C275">
        <v>29</v>
      </c>
      <c r="D275">
        <v>3</v>
      </c>
      <c r="E275">
        <v>1</v>
      </c>
      <c r="F275" s="3">
        <f>1904.9+(1022.2-806.7)+(-4.857495+(-2.60661--2.057085))+0-450.2--1.14800999999993</f>
        <v>1665.9409899999998</v>
      </c>
      <c r="G275" s="3">
        <f>2047.7+(1023.6-980.6)+(1.044327+(0.522036-0.500106))+0-524.5-0.267494999999947</f>
        <v>1566.9987619999997</v>
      </c>
      <c r="H275" s="3">
        <f>1972.9+(886.7-765.7)+(-2.012358+(-0.904434--0.781014))+0-558--0.569160000000089</f>
        <v>1534.3333820000003</v>
      </c>
      <c r="I275" s="3">
        <f>1711.1+(918.4-673.2)+(-0.872661+(-0.468384--0.343332))+0-498.5--0.254234999999949</f>
        <v>1457.0565219999996</v>
      </c>
      <c r="J275" s="3">
        <f>1739.5+(919.9-601.8)+(1.77429+(0.938298-0.613836))+0-562.4-0.57364800000009</f>
        <v>1496.7251039999996</v>
      </c>
      <c r="K275" s="3">
        <f>1689.6+(880.6-467.8)+(-3.446784+(-1.796424--0.954312))+0-564.4--1.15137599999998</f>
        <v>1534.86248</v>
      </c>
      <c r="L275" s="3">
        <f>1618.1+(871-300.9)+(-1.650462+(-0.88842--0.306918))+0-534.7--0.545394000000085</f>
        <v>1651.8134299999997</v>
      </c>
      <c r="M275" s="3">
        <f>1652.4+(926.4-360.5)+(-0.842724+(-0.472464--0.183855))+0-448.1--0.228530999999955</f>
        <v>1769.2971980000004</v>
      </c>
      <c r="N275" s="3">
        <f>1823.1+(823.8-386.8)+(-2.789343+(-1.260414--0.591804))+0-502.3--0.768519000000029</f>
        <v>1755.1105659999998</v>
      </c>
      <c r="O275" s="3">
        <f>1986.3+(694.2-431.4)+(-2.026026+(-0.708084--0.440028))+0-470.5--0.479910000000075</f>
        <v>1776.785828</v>
      </c>
      <c r="P275" s="3">
        <f>2383.8+(626-667.9)+(-3.647214+(-0.95778--1.021887))+0-477.5--0.730575000000028</f>
        <v>1861.5474680000002</v>
      </c>
      <c r="Q275" s="3">
        <f>2374.3+(618.1-739.7)+(-3.632679+(-0.945693--1.131741))+0-441--0.674730000000025</f>
        <v>1808.9280990000004</v>
      </c>
      <c r="R275" s="3">
        <f>2108.7+(681-782.3)+(-2.150874+(-0.69462--0.797946))+0-418.2--0.426564000000067</f>
        <v>1587.5790159999999</v>
      </c>
      <c r="S275" s="3">
        <f>2117.7+(771.3-716.2)+(-4.320108+(-1.573452--1.461048))+0-460.4--0.93921599999998</f>
        <v>1708.9067039999998</v>
      </c>
      <c r="T275" s="3">
        <f>2082.4+(747.1-723.3)+(-3.186072+(-1.143063--1.106649))+0-435.4--0.666162000000025</f>
        <v>1668.2436760000001</v>
      </c>
      <c r="U275" s="3">
        <f>2134.8+(674.7-607.1)+(-3.266244+(-1.032291--0.928863))+0-557.8--0.853434000000032</f>
        <v>1642.0837620000004</v>
      </c>
      <c r="V275" s="3">
        <f>2165.5+(641.6-524.9)+(-3.313215+(-0.981648--0.803097))+0-532.7--0.815031000000031</f>
        <v>1746.8232649999998</v>
      </c>
      <c r="W275" s="3">
        <f>3592.6+(562.6-1594.3)+(1.832226+(0.286926-0.813093))+0-510-0.260099999999948</f>
        <v>2051.9459590000001</v>
      </c>
      <c r="X275" s="3">
        <f>3620.6+(737.5-1571.1)+(-11.079036+(-2.25675--4.807566))+0-575.4--1.76072400000007</f>
        <v>2204.832504</v>
      </c>
      <c r="Y275" s="3">
        <f>2934.8+(873.6-1064.5)+(-2.993496+(-0.891072--1.08579))+0-570.6--0.582012000000091</f>
        <v>2171.0832340000006</v>
      </c>
      <c r="Z275" s="3">
        <f>3061.7+(902.2-1275.6)+(-3.122934+(-0.920244--1.301112))+0-574.1--0.585582000000092</f>
        <v>2112.0435160000006</v>
      </c>
      <c r="AA275" s="3">
        <f>2693.5+(965.6-1035.9)+(-5.49474+(-1.969824--2.113236))+0-580--1.18319999999997</f>
        <v>2039.0318719999996</v>
      </c>
      <c r="AB275" s="3">
        <f>2316.6+(1089-930.5)+(-4.725864+(-2.22156--1.89822))+0-526.5--1.07405999999998</f>
        <v>1944.6248559999999</v>
      </c>
      <c r="AC275" s="3">
        <f>1912.5+(1258.4-747.7)+(-2.926125+(-1.925352--1.143981))+0-629.1--0.962523000000036</f>
        <v>1791.3550270000001</v>
      </c>
      <c r="AD275">
        <f t="shared" si="4"/>
        <v>42547.953219999996</v>
      </c>
      <c r="AE275" s="3">
        <f>3940+(615.5-1969.7)+(0+(0-0))+0-449.6-0</f>
        <v>2136.2000000000003</v>
      </c>
    </row>
    <row r="276" spans="1:31" customFormat="1" x14ac:dyDescent="0.25">
      <c r="A276">
        <v>89</v>
      </c>
      <c r="B276">
        <v>9</v>
      </c>
      <c r="C276">
        <v>30</v>
      </c>
      <c r="D276">
        <v>4</v>
      </c>
      <c r="E276">
        <v>1</v>
      </c>
      <c r="F276" s="3">
        <f>1825.5+(1200.4-924.3)+(-1.86201+(-1.224408--0.942786))+0-399.6--0.407592000000064</f>
        <v>1700.2639600000007</v>
      </c>
      <c r="G276" s="3">
        <f>1775.4+(1013.5-724.8)+(1.810908+(1.03377-0.739296))+0-475.2-0.484704000000076</f>
        <v>1590.5206780000005</v>
      </c>
      <c r="H276" s="3">
        <f>1845.1+(921.5-652.3)+(-1.882002+(-0.93993--0.665346))+0-585.2--0.596904000000093</f>
        <v>1527.5403180000001</v>
      </c>
      <c r="I276" s="3">
        <f>1667.6+(920.3-597.9)+(-4.25238+(-2.346765--1.524645))+0-483.4--1.23266999999993</f>
        <v>1502.7581700000001</v>
      </c>
      <c r="J276" s="3">
        <f>1753.2+(889.9-690)+(-1.788264+(-0.907698--0.7038))+0-427.2--0.435744000000068</f>
        <v>1524.343582</v>
      </c>
      <c r="K276" s="3">
        <f>1854.7+(844-634.8)+(-0.945897+(-0.43044--0.323748))+0-492.3--0.25107299999995</f>
        <v>1570.7984840000001</v>
      </c>
      <c r="L276" s="3">
        <f>1725.6+(990.7-403)+(-3.520224+(-2.021028--0.82212))+0-575.4--1.17381599999997</f>
        <v>1734.3546839999999</v>
      </c>
      <c r="M276" s="3">
        <f>1716.4+(938-334.6)+(-3.501456+(-1.91352--0.682584))+0-510.2--1.04080799999998</f>
        <v>1805.9084160000002</v>
      </c>
      <c r="N276" s="3">
        <f>1920.2+(840.4-481.8)+(-0.979302+(-0.428604--0.245718))+0-447.2--0.228071999999955</f>
        <v>1830.6658840000002</v>
      </c>
      <c r="O276" s="3">
        <f>2387.2+(827.4-891.9)+(-6.08736+(-2.10987--2.274345))+0-479.9--1.22374499999993</f>
        <v>1838.1008599999998</v>
      </c>
      <c r="P276" s="3">
        <f>2501.9+(832.4-1010.4)+(-1.275969+(-0.424524--0.515304))+0-447--0.227969999999955</f>
        <v>1875.9427810000002</v>
      </c>
      <c r="Q276" s="3">
        <f>2167.9+(885.3-779.8)+(-3.316887+(-1.354509--1.193094))+0-473.9--0.725067000000027</f>
        <v>1796.7467650000001</v>
      </c>
      <c r="R276" s="3">
        <f>2185.7+(778.2-616.2)+(-4.458828+(-1.587528--1.257048))+0-426.3--0.869651999999981</f>
        <v>1917.4803440000001</v>
      </c>
      <c r="S276" s="3">
        <f>1913.1+(723.5-453.6)+(-0.975681+(-0.368985--0.231336))+0-403.8--0.205937999999959</f>
        <v>1778.292608</v>
      </c>
      <c r="T276" s="3">
        <f>2275.1+(756.1-665.6)+(-4.641204+(-1.542444--1.357824))+0-602.9--1.22991599999997</f>
        <v>1759.1040919999998</v>
      </c>
      <c r="U276" s="3">
        <f>2143.4+(748.4-617.7)+(-3.279402+(-1.145052--0.945081))+0-534.2--0.817326000000031</f>
        <v>1737.2379529999998</v>
      </c>
      <c r="V276" s="3">
        <f>2371+(863-898.6)+(0+(0-0))+0-603.2-0</f>
        <v>1732.2</v>
      </c>
      <c r="W276" s="3">
        <f>3531.1+(809.2-1720)+(3.601722+(0.825384-1.7544))+0-591.4-0.603228000000094</f>
        <v>2030.9694779999998</v>
      </c>
      <c r="X276" s="3">
        <f>3732.5+(828-1718.6)+(-11.42145+(-2.53368--5.258916))+0-581.2--1.77847200000007</f>
        <v>2253.7822580000002</v>
      </c>
      <c r="Y276" s="3">
        <f>2849.4+(943-920)+(-10.172358+(-3.36651--3.2844))+0-614.9--2.19519300000001</f>
        <v>2249.4407249999999</v>
      </c>
      <c r="Z276" s="3">
        <f>2498.6+(978.8-775.8)+(-6.37143+(-2.49594--1.97829))+0-537.4--1.37036999999992</f>
        <v>2158.68129</v>
      </c>
      <c r="AA276" s="3">
        <f>2357.1+(1011.5-679.2)+(1.202121+(0.515865-0.346392))+0-653.3-0.333182999999934</f>
        <v>2037.1384109999999</v>
      </c>
      <c r="AB276" s="3">
        <f>2470.4+(964.4-944.3)+(-3.779712+(-1.475532--1.444779))+0-568.6--0.869958000000033</f>
        <v>1918.9594930000001</v>
      </c>
      <c r="AC276" s="3">
        <f>2253.7+(1147.2-891.6)+(-4.597548+(-2.340288--1.818864))+0-639.5--1.30457999999997</f>
        <v>1865.9856079999995</v>
      </c>
      <c r="AD276">
        <f t="shared" si="4"/>
        <v>43737.216842000009</v>
      </c>
      <c r="AE276" s="3">
        <f>3866+(788.3-1998.8)+(0+(0-0))+0-637.3-0</f>
        <v>2018.2</v>
      </c>
    </row>
    <row r="277" spans="1:31" customFormat="1" x14ac:dyDescent="0.25">
      <c r="A277">
        <v>89</v>
      </c>
      <c r="B277">
        <v>10</v>
      </c>
      <c r="C277">
        <v>1</v>
      </c>
      <c r="D277">
        <v>5</v>
      </c>
      <c r="E277">
        <v>1</v>
      </c>
      <c r="F277" s="3">
        <f>1829.2+(1231-784.6)+(0.932892+(0.62781-0.400146))+0-548.1-0.279530999999944</f>
        <v>1728.3810249999999</v>
      </c>
      <c r="G277" s="3">
        <f>1755.9+(1107.6-657.3)+(-2.686527+(-1.694628--1.005669))+0-637.7--0.975681000000037</f>
        <v>1566.100195</v>
      </c>
      <c r="H277" s="3">
        <f>1840.5+(1003.3-753.4)+(-1.87731+(-1.023366--0.768468))+0-601.4--0.613428000000096</f>
        <v>1487.4812200000001</v>
      </c>
      <c r="I277" s="3">
        <f>1773+(1133.4-715.6)+(-0.90423+(-0.578034--0.364956))+0-580.1--0.295850999999941</f>
        <v>1609.8785430000003</v>
      </c>
      <c r="J277" s="3">
        <f>1790.1+(991.1-704.6)+(-0.912951+(-0.505461--0.359346))+0-551.6--0.281315999999944</f>
        <v>1524.22225</v>
      </c>
      <c r="K277" s="3">
        <f>1814.7+(1070.2-643.9)+(0+(0-0))+0-633.2-0</f>
        <v>1607.8</v>
      </c>
      <c r="L277" s="3">
        <f>1757.9+(998.4-501.7)+(-4.482645+(-2.54592--1.279335))+0-568--1.44839999999992</f>
        <v>1682.29917</v>
      </c>
      <c r="M277" s="3">
        <f>1722.6+(1105.9-360.6)+(-0.878526+(-0.564009--0.183906))+0-552.7--0.281876999999944</f>
        <v>1914.223248</v>
      </c>
      <c r="N277" s="3">
        <f>1829.2+(988.8-480.9)+(0.932892+(0.504288-0.245259))+0-525.3-0.267902999999947</f>
        <v>1812.7240180000001</v>
      </c>
      <c r="O277" s="3">
        <f>2041.4+(934.3-782.9)+(1.041114+(0.476493-0.399279))+0-359.6-0.183395999999964</f>
        <v>1834.1349320000004</v>
      </c>
      <c r="P277" s="3">
        <f>2242.5+(841.6-799.6)+(-3.431025+(-1.287648--1.223388))+0-425.2--0.650556000000025</f>
        <v>1856.455271</v>
      </c>
      <c r="Q277" s="3">
        <f>2228.7+(744.4-658.6)+(-2.273274+(-0.759288--0.671772))+0-471.2--0.480624000000075</f>
        <v>1841.4198339999998</v>
      </c>
      <c r="R277" s="3">
        <f>2127.7+(733.8-505.1)+(-2.170254+(-0.748476--0.515202))+0-551.9--0.562938000000088</f>
        <v>1802.6594099999998</v>
      </c>
      <c r="S277" s="3">
        <f>2232.6+(644.2-651.5)+(-2.277252+(-0.657084--0.66453))+0-436.9--0.44563800000007</f>
        <v>1786.5758320000004</v>
      </c>
      <c r="T277" s="3">
        <f>2173.5+(716.9-623.8)+(5.542425+(1.828095-1.59069))+0-531.8-1.35608999999992</f>
        <v>1739.2237399999999</v>
      </c>
      <c r="U277" s="3">
        <f>2094.5+(847.4-755.1)+(1.068195+(0.432174-0.385101))+0-487.5-0.248624999999951</f>
        <v>1700.1666430000002</v>
      </c>
      <c r="V277" s="3">
        <f>2498+(896.1-1135.6)+(-3.82194+(-1.371033--1.737468))+0-471.1--0.720783000000027</f>
        <v>1784.6652780000002</v>
      </c>
      <c r="W277" s="3">
        <f>3768.5+(853-2005.1)+(-1.921935+(-0.43503--1.022601))+0-571.9--0.291668999999942</f>
        <v>2043.4573050000001</v>
      </c>
      <c r="X277" s="3">
        <f>3906.9+(828-1976.2)+(-7.970076+(-1.68912--4.031448))+0-516--1.05263999999998</f>
        <v>2238.1248919999998</v>
      </c>
      <c r="Y277" s="3">
        <f>3773.9+(798.6-1776.2)+(-9.623445+(-2.03643--4.52931))+0-536.7--1.36858499999992</f>
        <v>2253.8380199999997</v>
      </c>
      <c r="Z277" s="3">
        <f>3569.2+(771.8-1698.3)+(-5.460876+(-1.180854--2.598399))+0-446.9--0.683757000000026</f>
        <v>2192.4404260000001</v>
      </c>
      <c r="AA277" s="3">
        <f>3159.3+(861.5-1282.2)+(0+(0-0))+0-607.2-0</f>
        <v>2131.4000000000005</v>
      </c>
      <c r="AB277" s="3">
        <f>2533.2+(950.4-992.5)+(-6.45966+(-2.42352--2.530875))+0-507.4--1.29386999999993</f>
        <v>1978.6415649999999</v>
      </c>
      <c r="AC277" s="3">
        <f>2180.2+(1099.3-902.1)+(-3.335706+(-1.681929--1.380213))+0-499.1--0.763623000000029</f>
        <v>1875.426201</v>
      </c>
      <c r="AD277">
        <f t="shared" si="4"/>
        <v>43991.739018000007</v>
      </c>
      <c r="AE277" s="3">
        <f>4287+(752.4-2289)+(0+(0-0))+0-555.6-0</f>
        <v>2194.8000000000002</v>
      </c>
    </row>
    <row r="278" spans="1:31" customFormat="1" x14ac:dyDescent="0.25">
      <c r="A278">
        <v>89</v>
      </c>
      <c r="B278">
        <v>10</v>
      </c>
      <c r="C278">
        <v>2</v>
      </c>
      <c r="D278">
        <v>6</v>
      </c>
      <c r="E278">
        <v>1</v>
      </c>
      <c r="F278" s="3">
        <f>1863.2+(1004.6-751.4)+(-4.75116+(-2.56173--1.91607))+0-535.9--1.36654499999992</f>
        <v>1576.4697249999999</v>
      </c>
      <c r="G278" s="3">
        <f>1672.7+(1045.4-503.9)+(0+(0-0))+0-609.6-0</f>
        <v>1604.6000000000004</v>
      </c>
      <c r="H278" s="3">
        <f>1658+(994.1-504.8)+(-4.2279+(-2.534955--1.28724))+0-604.6--1.54172999999991</f>
        <v>1538.7661150000004</v>
      </c>
      <c r="I278" s="3">
        <f>1870.6+(887.5-640.3)+(0.954006+(0.452625-0.326553))+0-577.2-0.294371999999941</f>
        <v>1541.3857060000003</v>
      </c>
      <c r="J278" s="3">
        <f>1910.9+(934.6-735.1)+(2.923677+(1.429938-1.124703))+0-546.6-0.836298000000032</f>
        <v>1566.1926140000003</v>
      </c>
      <c r="K278" s="3">
        <f>1983.9+(927.5-766.5)+(4.047156+(1.8921-1.56366))+0-571.4-1.16565599999997</f>
        <v>1576.70994</v>
      </c>
      <c r="L278" s="3">
        <f>1906.7+(949.5-516.9)+(4.862085+(2.421225-1.318095))+0-650.7-1.65928499999991</f>
        <v>1692.9059300000004</v>
      </c>
      <c r="M278" s="3">
        <f>1893.5+(899.5-453.8)+(-0.965685+(-0.458745--0.231438))+0-593.3--0.30258299999994</f>
        <v>1745.009591</v>
      </c>
      <c r="N278" s="3">
        <f>2199.8+(843.8-623.8)+(-2.243796+(-0.860676--0.636276))+0-585.7--0.597414000000093</f>
        <v>1832.2292180000004</v>
      </c>
      <c r="O278" s="3">
        <f>2252.2+(752.5-646.9)+(-1.148622+(-0.383775--0.329919))+0-519.6--0.264995999999947</f>
        <v>1837.2625179999995</v>
      </c>
      <c r="P278" s="3">
        <f>2819.2+(465.5-957.8)+(2.875584+(0.47481-0.976956))+0-491.4-0.501228000000078</f>
        <v>1837.3722099999995</v>
      </c>
      <c r="Q278" s="3">
        <f>2905.1+(418.7-902.3)+(-1.481601+(-0.213537--0.460173))+0-566--0.288659999999943</f>
        <v>1854.5536949999998</v>
      </c>
      <c r="R278" s="3">
        <f>2778+(397.8-735.9)+(-4.25034+(-0.608634--1.125927))+0-501.7--0.767601000000029</f>
        <v>1935.2345539999999</v>
      </c>
      <c r="S278" s="3">
        <f>2284.6+(394.1-578.9)+(-2.330292+(-0.401982--0.590478))+0-401.5--0.409530000000064</f>
        <v>1696.5677340000004</v>
      </c>
      <c r="T278" s="3">
        <f>2308.4+(527.8-526.3)+(-1.177284+(-0.269178--0.268413))+0-599.2--0.305591999999939</f>
        <v>1709.8275429999999</v>
      </c>
      <c r="U278" s="3">
        <f>1994.6+(768.2-424.8)+(2.034492+(0.783564-0.433296))+0-601-0.613020000000096</f>
        <v>1738.7717399999999</v>
      </c>
      <c r="V278" s="3">
        <f>2336.6+(574.5-722.5)+(-3.574998+(-0.878985--1.105425))+0-453.8--0.694314000000026</f>
        <v>1732.1457559999999</v>
      </c>
      <c r="W278" s="3">
        <f>3620.1+(505.9-1463.7)+(-5.538753+(-0.774027--2.239461))+0-708--1.08324000000004</f>
        <v>1951.3099209999996</v>
      </c>
      <c r="X278" s="3">
        <f>3596.9+(573.5-1510.1)+(-3.668838+(-0.58497--1.540302))+0-519.5--0.529890000000083</f>
        <v>2138.6163840000004</v>
      </c>
      <c r="Y278" s="3">
        <f>3108.5+(699.2-1087.8)+(-1.585335+(-0.356592--0.554778))+0-592.3--0.30207299999994</f>
        <v>2126.5149240000001</v>
      </c>
      <c r="Z278" s="3">
        <f>2552.7+(691.2-712.8)+(-1.301877+(-0.352512--0.363528))+0-503.3--0.256682999999949</f>
        <v>2026.7658219999998</v>
      </c>
      <c r="AA278" s="3">
        <f>2366.1+(764.8-442.9)+(-7.240266+(-2.340288--1.355274))+0-685.6--2.09793600000008</f>
        <v>1996.2726560000001</v>
      </c>
      <c r="AB278" s="3">
        <f>1807.4+(876.5-319.2)+(-2.765322+(-1.341045--0.488376))+0-501--0.766530000000029</f>
        <v>1860.8485389999998</v>
      </c>
      <c r="AC278" s="3">
        <f>1778.5+(972.1-419.2)+(-2.721105+(-1.487313--0.641376))+0-597.8--0.914634000000034</f>
        <v>1730.947592</v>
      </c>
      <c r="AD278">
        <f t="shared" si="4"/>
        <v>42847.280426999998</v>
      </c>
      <c r="AE278" s="3">
        <f>4109+(558.2-1782.7)+(0+(0-0))+0-629-0</f>
        <v>2255.5</v>
      </c>
    </row>
    <row r="279" spans="1:31" customFormat="1" x14ac:dyDescent="0.25">
      <c r="A279">
        <v>89</v>
      </c>
      <c r="B279">
        <v>10</v>
      </c>
      <c r="C279">
        <v>3</v>
      </c>
      <c r="D279">
        <v>7</v>
      </c>
      <c r="E279">
        <v>1</v>
      </c>
      <c r="F279" s="3">
        <f>1846.2+(1110-656.8)+(0+(0-0))+0-639.4-0</f>
        <v>1660</v>
      </c>
      <c r="G279" s="3">
        <f>1746.5+(1049.6-618.6)+(-4.453575+(-2.67648--1.57743))+0-573.5--1.46242499999992</f>
        <v>1599.9098000000001</v>
      </c>
      <c r="H279" s="3">
        <f>1861.4+(836.6-534.3)+(1.898628+(0.853332-0.544986))+0-609.7-0.621894000000097</f>
        <v>1555.5850800000003</v>
      </c>
      <c r="I279" s="3">
        <f>1774.6+(797.8-449.3)+(0+(0-0))+0-571-0</f>
        <v>1552.1</v>
      </c>
      <c r="J279" s="3">
        <f>1776.8+(783.5-414.4)+(0+(0-0))+0-577.2-0</f>
        <v>1568.7</v>
      </c>
      <c r="K279" s="3">
        <f>1824.7+(750.8-408.3)+(-0.930597+(-0.382908--0.208233))+0-598.2--0.305081999999939</f>
        <v>1568.1998099999998</v>
      </c>
      <c r="L279" s="3">
        <f>1744.8+(833-313.3)+(-0.889848+(-0.42483--0.159783))+0-628.7--0.320636999999936</f>
        <v>1634.9657419999999</v>
      </c>
      <c r="M279" s="3">
        <f>1762.5+(835.8-315.9)+(-4.494375+(-2.13129--0.805545))+0-588.4--1.50041999999991</f>
        <v>1689.6803</v>
      </c>
      <c r="N279" s="3">
        <f>2076.4+(641.6-502.5)+(2.117928+(0.654432-0.51255))+0-476-0.485520000000076</f>
        <v>1741.2742899999998</v>
      </c>
      <c r="O279" s="3">
        <f>2227.6+(674.1-519.4)+(1.136076+(0.343791-0.264894))+0-514.7-0.262496999999948</f>
        <v>1868.5524760000003</v>
      </c>
      <c r="P279" s="3">
        <f>2030.2+(640.1-428.6)+(-6.212412+(-1.958706--1.311516))+0-432.4--1.32314400000005</f>
        <v>1803.7635419999997</v>
      </c>
      <c r="Q279" s="3">
        <f>2077.8+(652.8-432)+(-2.119356+(-0.665856--0.44064))+0-487.4--0.497148000000078</f>
        <v>1809.3525760000005</v>
      </c>
      <c r="R279" s="3">
        <f>1894.4+(820.5-368)+(-1.932288+(-0.83691--0.37536))+0-518.7--0.529074000000083</f>
        <v>1826.3352360000001</v>
      </c>
      <c r="S279" s="3">
        <f>1884.2+(697.7-371.3)+(-3.843768+(-1.423308--0.757452))+0-445.8--0.909431999999981</f>
        <v>1761.1998080000001</v>
      </c>
      <c r="T279" s="3">
        <f>1879.5+(663.4-335.2)+(-4.792725+(-1.69167--0.85476))+0-490.7--1.25128499999993</f>
        <v>1712.6216499999998</v>
      </c>
      <c r="U279" s="3">
        <f>2025.4+(583.4-393.9)+(0+(0-0))+0-511.4-0</f>
        <v>1703.5</v>
      </c>
      <c r="V279" s="3">
        <f>2314.1+(435.2-571)+(-1.180191+(-0.221952--0.29121))+0-450.4--0.229703999999954</f>
        <v>1727.0187709999996</v>
      </c>
      <c r="W279" s="3">
        <f>3092+(278.7-736.7)+(-1.57692+(-0.142137--0.375717))+0-636--0.324359999999935</f>
        <v>1996.9810199999999</v>
      </c>
      <c r="X279" s="3">
        <f>3132.3+(401.7-712.9)+(-7.987365+(-1.024335--1.817895))+0-567--1.44584999999992</f>
        <v>2248.3520450000005</v>
      </c>
      <c r="Y279" s="3">
        <f>3104.8+(491.8-820.4)+(1.583448+(0.250818-0.418404))+0-641.6-0.327215999999935</f>
        <v>2135.6886460000001</v>
      </c>
      <c r="Z279" s="3">
        <f>2976.7+(559.4-934.6)+(1.518117+(0.285294-0.476646))+0-560.8-0.286007999999943</f>
        <v>2041.7407569999998</v>
      </c>
      <c r="AA279" s="3">
        <f>3057.2+(618.8-908.6)+(0+(0-0))+0-676.3-0</f>
        <v>2091.0999999999995</v>
      </c>
      <c r="AB279" s="3">
        <f>2459.8+(703.7-760.6)+(-3.763494+(-1.076661--1.163718))+0-527.1--0.80646300000003</f>
        <v>1872.9300260000002</v>
      </c>
      <c r="AC279" s="3">
        <f>2065.1+(904.1-604.3)+(-2.106402+(-0.922182--0.616386))+0-569.5--0.580890000000091</f>
        <v>1793.5686920000003</v>
      </c>
      <c r="AD279">
        <f t="shared" si="4"/>
        <v>42963.120267000006</v>
      </c>
      <c r="AE279" s="3">
        <f>3441.1+(301.4-898.6)+(0+(0-0))+0-657.4-0</f>
        <v>2186.4999999999995</v>
      </c>
    </row>
    <row r="280" spans="1:31" customFormat="1" x14ac:dyDescent="0.25">
      <c r="A280">
        <v>89</v>
      </c>
      <c r="B280">
        <v>10</v>
      </c>
      <c r="C280">
        <v>4</v>
      </c>
      <c r="D280">
        <v>1</v>
      </c>
      <c r="E280">
        <v>1</v>
      </c>
      <c r="F280" s="3">
        <f>1687.7+(996.8-421.4)+(-3.442908+(-2.033472--0.859656))+0-551.3--1.12465199999998</f>
        <v>1708.3079279999999</v>
      </c>
      <c r="G280" s="3">
        <f>1796.7+(936.6-510.2)+(0+(0-0))+0-568.7-0</f>
        <v>1654.3999999999999</v>
      </c>
      <c r="H280" s="3">
        <f>1813.6+(890.4-502.2)+(-2.774808+(-1.362312--0.768366))+0-626.2--0.958086000000036</f>
        <v>1573.1893319999997</v>
      </c>
      <c r="I280" s="3">
        <f>1754.2+(875.4-485.1)+(2.683926+(1.339362-0.742203))+0-562.4-0.860472000000032</f>
        <v>1584.5206129999999</v>
      </c>
      <c r="J280" s="3">
        <f>1827.7+(875.5-522.5)+(-0.932127+(-0.446505--0.266475))+0-616.4--0.314363999999937</f>
        <v>1563.5022069999995</v>
      </c>
      <c r="K280" s="3">
        <f>1942.7+(803.2-554.8)+(3.963108+(1.638528-1.131792))+0-576.6-1.17626399999997</f>
        <v>1617.7935800000007</v>
      </c>
      <c r="L280" s="3">
        <f>1879.9+(1011.7-505.7)+(0.958749+(0.515967-0.257907))+0-629.2-0.320891999999936</f>
        <v>1757.5959170000001</v>
      </c>
      <c r="M280" s="3">
        <f>1738.7+(1131.1-438.8)+(-2.660211+(-1.730583--0.671364))+0-568.6--0.869958000000033</f>
        <v>1859.550528</v>
      </c>
      <c r="N280" s="3">
        <f>1885.7+(953.8-432.5)+(-2.885121+(-1.459314--0.661725))+0-588.5--0.900405000000034</f>
        <v>1815.717695</v>
      </c>
      <c r="O280" s="3">
        <f>2253+(719.8-622.4)+(1.14903+(0.367098-0.317424))+0-505.5-0.257804999999949</f>
        <v>1845.840899</v>
      </c>
      <c r="P280" s="3">
        <f>2341.2+(688.1-631.8)+(-3.582036+(-1.052793--0.966654))+0-595.4--0.910962000000034</f>
        <v>1799.342787</v>
      </c>
      <c r="Q280" s="3">
        <f>2185.3+(800.1-559.7)+(-4.458012+(-1.632204--1.141788))+0-512.5--1.04549999999998</f>
        <v>1909.2970720000001</v>
      </c>
      <c r="R280" s="3">
        <f>1868.4+(970.8-365.2)+(-5.717304+(-2.970648--1.117512))+0-532.3--1.62883800000006</f>
        <v>1935.7583980000002</v>
      </c>
      <c r="S280" s="3">
        <f>1961.1+(873.5-459.9)+(-3.000483+(-1.336455--0.703647))+0-564--0.862920000000033</f>
        <v>1807.9296289999997</v>
      </c>
      <c r="T280" s="3">
        <f>1939.5+(861.6-445.6)+(-3.95658+(-1.757664--0.909024))+0-652.2--1.33048799999997</f>
        <v>1699.8252679999998</v>
      </c>
      <c r="U280" s="3">
        <f>1914.5+(693.3-513.9)+(0+(0-0))+0-511.1-0</f>
        <v>1582.8000000000002</v>
      </c>
      <c r="V280" s="3">
        <f>2240.4+(583.6-584.5)+(-6.855624+(-1.785816--1.78857))+0-600--1.83600000000007</f>
        <v>1634.4831299999998</v>
      </c>
      <c r="W280" s="3">
        <f>3111.1+(423.7-1228.8)+(-3.173322+(-0.432174--1.253376))+0-508.8--0.518976000000081</f>
        <v>1795.3668560000001</v>
      </c>
      <c r="X280" s="3">
        <f>3488.2+(470.5-1253.6)+(-7.115928+(-0.95982--2.557344))+0-571.3--1.16545199999998</f>
        <v>2129.447048</v>
      </c>
      <c r="Y280" s="3">
        <f>3721.7+(476.5-1366.4)+(-1.898067+(-0.243015--0.696864))+0-630.2--0.321401999999936</f>
        <v>2200.4771839999999</v>
      </c>
      <c r="Z280" s="3">
        <f>3839.8+(496.6-1545.5)+(-5.874894+(-0.759798--2.364615))+0-601.3--0.919989000000035</f>
        <v>2186.2499120000002</v>
      </c>
      <c r="AA280" s="3">
        <f>3486+(554.6-1380.3)+(-7.11144+(-1.131384--2.815812))+0-565.5--1.15361999999998</f>
        <v>2090.5266080000001</v>
      </c>
      <c r="AB280" s="3">
        <f>3036.3+(658.2-1164.9)+(-4.645539+(-1.007046--1.782297))+0-549.5--0.840735000000032</f>
        <v>1977.0704470000003</v>
      </c>
      <c r="AC280" s="3">
        <f>2772.2+(692.9-981.3)+(-2.827644+(-0.706758--1.000926))+0-647--0.659940000000103</f>
        <v>1834.9264639999997</v>
      </c>
      <c r="AD280">
        <f t="shared" si="4"/>
        <v>43563.919501999997</v>
      </c>
      <c r="AE280" s="3">
        <f>3513+(423.5-1400.6)+(0+(0-0))+0-428.1-0</f>
        <v>2107.8000000000002</v>
      </c>
    </row>
    <row r="281" spans="1:31" customFormat="1" x14ac:dyDescent="0.25">
      <c r="A281">
        <v>89</v>
      </c>
      <c r="B281">
        <v>10</v>
      </c>
      <c r="C281">
        <v>5</v>
      </c>
      <c r="D281">
        <v>2</v>
      </c>
      <c r="E281">
        <v>1</v>
      </c>
      <c r="F281" s="3">
        <f>2116.7+(905.3-749.6)+(-1.079517+(-0.461703--0.382296))+0-555.6--0.283355999999944</f>
        <v>1715.9244319999998</v>
      </c>
      <c r="G281" s="3">
        <f>1880.7+(897.7-458.6)+(-0.959157+(-0.457827--0.233886))+0-630.1--0.321350999999936</f>
        <v>1688.8382530000003</v>
      </c>
      <c r="H281" s="3">
        <f>1759.4+(817.8-433.5)+(-2.691882+(-1.251234--0.663255))+0-543.1--0.830943000000031</f>
        <v>1598.1510819999999</v>
      </c>
      <c r="I281" s="3">
        <f>1694.7+(838-363)+(-1.728594+(-0.85476--0.37026))+0-626.1--0.6386220000001</f>
        <v>1542.0255279999999</v>
      </c>
      <c r="J281" s="3">
        <f>1622.8+(895.6-407.8)+(2.482884+(1.370268-0.623934))+0-475.8-0.727974000000028</f>
        <v>1637.3012439999998</v>
      </c>
      <c r="K281" s="3">
        <f>1818+(881-495)+(1.85436+(0.89862-0.5049))+0-546.3-0.557226000000087</f>
        <v>1659.3908539999998</v>
      </c>
      <c r="L281" s="3">
        <f>1852.5+(889.2-418.1)+(-0.944775+(-0.453492--0.213231))+0-530.5--0.270554999999946</f>
        <v>1792.1855190000001</v>
      </c>
      <c r="M281" s="3">
        <f>1980.2+(908-447.2)+(-2.019804+(-0.92616--0.456144))+0-574.9--0.586398000000092</f>
        <v>1864.1965780000003</v>
      </c>
      <c r="N281" s="3">
        <f>1953.6+(887-427.5)+(-4.98168+(-2.26185--1.090125))+0-543.2--1.38515999999992</f>
        <v>1865.1317549999997</v>
      </c>
      <c r="O281" s="3">
        <f>2057.4+(826.9-576.3)+(-3.147822+(-1.265157--0.881739))+0-475.8--0.727974000000028</f>
        <v>1829.3967340000004</v>
      </c>
      <c r="P281" s="3">
        <f>2383.4+(730.3-709.1)+(1.215534+(0.372453-0.361641))+0-533.7-0.272186999999946</f>
        <v>1871.8541589999998</v>
      </c>
      <c r="Q281" s="3">
        <f>2560.5+(686.5-916.2)+(-3.917565+(-1.050345--1.401786))+0-469.9--0.718947000000027</f>
        <v>1858.0528230000002</v>
      </c>
      <c r="R281" s="3">
        <f>1942.6+(871.9-520.9)+(-2.972178+(-1.334007--0.796977))+0-481.4--0.736542000000028</f>
        <v>1809.427334</v>
      </c>
      <c r="S281" s="3">
        <f>1871.2+(1050.4-405)+(2.862936+(1.607112-0.61965))+0-631.9-0.966807000000037</f>
        <v>1887.5835910000003</v>
      </c>
      <c r="T281" s="3">
        <f>1909+(823.8-456.2)+(-3.89436+(-1.680552--0.930648))+0-405.3--0.826811999999982</f>
        <v>1867.482548</v>
      </c>
      <c r="U281" s="3">
        <f>1813+(949.7-352.6)+(0+(0-0))+0-569.8-0</f>
        <v>1840.3</v>
      </c>
      <c r="V281" s="3">
        <f>2120.6+(694.5-544.6)+(-2.163012+(-0.70839--0.555492))+0-443--0.451860000000071</f>
        <v>1825.6359500000003</v>
      </c>
      <c r="W281" s="3">
        <f>3644.5+(513.4-1495.2)+(-3.71739+(-0.523668--1.525104))+0-531.2--0.541824000000085</f>
        <v>2129.3258699999997</v>
      </c>
      <c r="X281" s="3">
        <f>3944.1+(537.2-1483.3)+(-12.068946+(-1.643832--4.538898))+0-617.1--1.88832600000007</f>
        <v>2373.6144460000005</v>
      </c>
      <c r="Y281" s="3">
        <f>3259.4+(615.8-942)+(1.662294+(0.314058-0.48042))+0-675.4-0.344453999999931</f>
        <v>2258.9514779999995</v>
      </c>
      <c r="Z281" s="3">
        <f>2800.8+(685.3-669.3)+(-4.285224+(-1.048509--1.024029))+0-602.1--0.921213000000035</f>
        <v>2211.3115090000006</v>
      </c>
      <c r="AA281" s="3">
        <f>2618.8+(709.8-648.7)+(-5.342352+(-1.447992--1.323348))+0-559--1.14035999999998</f>
        <v>2116.5733639999999</v>
      </c>
      <c r="AB281" s="3">
        <f>2696.7+(818.9-978.2)+(-1.375317+(-0.417639--0.498882))+0-603--0.307529999999939</f>
        <v>1933.4134559999998</v>
      </c>
      <c r="AC281" s="3">
        <f>2429.6+(884.3-707.1)+(-11.151864+(-4.058937--3.245589))+0-622.5--2.85727500000011</f>
        <v>1975.1920629999997</v>
      </c>
      <c r="AD281">
        <f t="shared" si="4"/>
        <v>45151.260570000013</v>
      </c>
      <c r="AE281" s="3">
        <f>4319+(463.7-1834.5)+(0+(0-0))+0-650.1-0</f>
        <v>2298.1</v>
      </c>
    </row>
    <row r="282" spans="1:31" customFormat="1" x14ac:dyDescent="0.25">
      <c r="A282">
        <v>89</v>
      </c>
      <c r="B282">
        <v>10</v>
      </c>
      <c r="C282">
        <v>6</v>
      </c>
      <c r="D282">
        <v>3</v>
      </c>
      <c r="E282">
        <v>1</v>
      </c>
      <c r="F282" s="3">
        <f>1970.2+(852.9-546)+(-4.019208+(-1.739916--1.11384))+0-555.3--1.13281199999998</f>
        <v>1718.2875279999998</v>
      </c>
      <c r="G282" s="3">
        <f>1809.9+(880.8-393.2)+(-0.923049+(-0.449208--0.200532))+0-626.8--0.319667999999936</f>
        <v>1669.8479429999998</v>
      </c>
      <c r="H282" s="3">
        <f>1801.1+(794.3-392.9)+(-1.837122+(-0.810186--0.400758))+0-556.7--0.567834000000089</f>
        <v>1644.1212840000003</v>
      </c>
      <c r="I282" s="3">
        <f>1769.6+(720.5-320.2)+(0.902496+(0.367455-0.163302))+0-557.1-0.284120999999944</f>
        <v>1613.6225280000001</v>
      </c>
      <c r="J282" s="3">
        <f>1750.4+(694.6-231.8)+(-2.678112+(-1.062738--0.354654))+0-669.3--1.02402900000004</f>
        <v>1541.5378330000003</v>
      </c>
      <c r="K282" s="3">
        <f>1709+(734.3-262.4)+(2.61477+(1.123479-0.401472))+0-578.1-0.884493000000033</f>
        <v>1605.2522840000001</v>
      </c>
      <c r="L282" s="3">
        <f>1792.7+(870.1-297.5)+(-0.914277+(-0.443751--0.151725))+0-632.8--0.322727999999936</f>
        <v>1731.6164250000002</v>
      </c>
      <c r="M282" s="3">
        <f>1825+(847.5-301.7)+(1.8615+(0.86445-0.307734))+0-503.9-0.51397800000008</f>
        <v>1868.8042379999999</v>
      </c>
      <c r="N282" s="3">
        <f>2170.6+(786-418.7)+(0+(0-0))+0-644.7-0</f>
        <v>1893.2</v>
      </c>
      <c r="O282" s="3">
        <f>2271.5+(627.9-508.5)+(-3.475395+(-0.960687--0.778005))+0-537.1--0.821763000000031</f>
        <v>1850.9636860000001</v>
      </c>
      <c r="P282" s="3">
        <f>2483.7+(378.4-548.2)+(-3.800061+(-0.578952--0.838746))+0-414.8--0.634644000000024</f>
        <v>1896.1943769999998</v>
      </c>
      <c r="Q282" s="3">
        <f>2410.6+(386.7-429.2)+(-1.229406+(-0.197217--0.218892))+0-449--0.228989999999954</f>
        <v>1918.121259</v>
      </c>
      <c r="R282" s="3">
        <f>2118.5+(438.3-233.8)+(-3.241305+(-0.670599--0.357714))+0-437--0.668610000000025</f>
        <v>1883.1144200000001</v>
      </c>
      <c r="S282" s="3">
        <f>2101.7+(475.2-242.8)+(-3.215601+(-0.727056--0.371484))+0-482.2--0.737766000000028</f>
        <v>1849.066593</v>
      </c>
      <c r="T282" s="3">
        <f>1915.1+(623.6-187.7)+(-0.976701+(-0.318036--0.095727))+0-544.7--0.277796999999945</f>
        <v>1805.3787870000001</v>
      </c>
      <c r="U282" s="3">
        <f>2069.6+(550.5-361.3)+(3.166488+(0.842265-0.552789))+0-474.1-0.725373000000027</f>
        <v>1787.430591</v>
      </c>
      <c r="V282" s="3">
        <f>2353.6+(445-437.5)+(-4.801344+(-0.9078--0.8925))+0-643.4--1.31253599999997</f>
        <v>1714.1958919999997</v>
      </c>
      <c r="W282" s="3">
        <f>3478.3+(348-1136.9)+(-5.321799+(-0.53244--1.739457))+0-653.5--0.999855000000038</f>
        <v>2032.785073</v>
      </c>
      <c r="X282" s="3">
        <f>3907+(355.5-1460.6)+(-1.99257+(-0.181305--0.744906))+0-538.2--0.274481999999945</f>
        <v>2262.545513</v>
      </c>
      <c r="Y282" s="3">
        <f>3697.2+(356.8-1134.3)+(-1.885572+(-0.181968--0.578493))+0-636--0.324359999999935</f>
        <v>2282.5353129999999</v>
      </c>
      <c r="Z282" s="3">
        <f>3120.6+(375.8-781.7)+(-3.183012+(-0.383316--0.797334))+0-530.3--0.540906000000084</f>
        <v>2182.1719119999998</v>
      </c>
      <c r="AA282" s="3">
        <f>2941.5+(482.9-490.8)+(-1.500165+(-0.246279--0.250308))+0-679.7--0.346646999999931</f>
        <v>2252.7505109999997</v>
      </c>
      <c r="AB282" s="3">
        <f>2051.2+(779.9-292.1)+(-2.092224+(-0.795498--0.297942))+0-467.1--0.476442000000075</f>
        <v>2069.7866620000004</v>
      </c>
      <c r="AC282" s="3">
        <f>1929.3+(859-221.5)+(-1.967886+(-0.87618--0.22593))+0-652.1--0.665142000000104</f>
        <v>1912.7470060000003</v>
      </c>
      <c r="AD282">
        <f t="shared" si="4"/>
        <v>44986.077657999995</v>
      </c>
      <c r="AE282" s="3">
        <f>3842+(356.3-1262)+(0+(0-0))+0-660.7-0</f>
        <v>2275.6000000000004</v>
      </c>
    </row>
    <row r="283" spans="1:31" customFormat="1" x14ac:dyDescent="0.25">
      <c r="A283">
        <v>89</v>
      </c>
      <c r="B283">
        <v>10</v>
      </c>
      <c r="C283">
        <v>7</v>
      </c>
      <c r="D283">
        <v>4</v>
      </c>
      <c r="E283">
        <v>1</v>
      </c>
      <c r="F283" s="3">
        <f>1839.6+(671.4-278.5)+(-4.69098+(-1.71207--0.710175))+0-535--1.36424999999992</f>
        <v>1693.1713749999997</v>
      </c>
      <c r="G283" s="3">
        <f>1785.5+(793.6-228.8)+(0+(0-0))+0-630-0</f>
        <v>1720.3000000000002</v>
      </c>
      <c r="H283" s="3">
        <f>1705.3+(807.8-238.3)+(-1.739406+(-0.823956--0.243066))+0-659.4--0.672588000000105</f>
        <v>1613.7522920000004</v>
      </c>
      <c r="I283" s="3">
        <f>1910.3+(719.9-499.1)+(0+(0-0))+0-574.6-0</f>
        <v>1556.5</v>
      </c>
      <c r="J283" s="3">
        <f>1817.3+(736.8-399.5)+(0.926823+(0.375768-0.203745))+0-644.1-0.328490999999935</f>
        <v>1511.2703549999999</v>
      </c>
      <c r="K283" s="3">
        <f>1697.1+(734.8-283.1)+(0+(0-0))+0-557.1-0</f>
        <v>1591.6999999999998</v>
      </c>
      <c r="L283" s="3">
        <f>1685.4+(947.4-234.8)+(-1.719108+(-0.966348--0.239496))+0-649.5--0.662490000000104</f>
        <v>1746.7165300000001</v>
      </c>
      <c r="M283" s="3">
        <f>1767.7+(902.6-228.5)+(-0.901527+(-0.460326--0.116535))+0-556.2--0.283661999999944</f>
        <v>1884.638344</v>
      </c>
      <c r="N283" s="3">
        <f>2109.8+(651.6-350.1)+(7.531986+(2.326212-1.249857))+0-610.5-2.17948500000001</f>
        <v>1807.2288560000002</v>
      </c>
      <c r="O283" s="3">
        <f>2751.5+(444-709.2)+(0+(0-0))+0-576.5-0</f>
        <v>1909.8000000000002</v>
      </c>
      <c r="P283" s="3">
        <f>2685.3+(401.1-768.3)+(-2.739006+(-0.409122--0.783666))+0-473.4--0.482868000000075</f>
        <v>1842.8184060000003</v>
      </c>
      <c r="Q283" s="3">
        <f>2800.4+(442.6-807.9)+(-2.856408+(-0.451452--0.824058))+0-597.4--0.609348000000095</f>
        <v>1835.8255460000003</v>
      </c>
      <c r="R283" s="3">
        <f>2389.9+(538.3-466.8)+(-3.656547+(-0.823599--0.714204))+0-569.8--0.871794000000033</f>
        <v>1888.7058520000003</v>
      </c>
      <c r="S283" s="3">
        <f>1912.9+(723.1-257.4)+(-3.902316+(-1.475124--0.525096))+0-563.5--1.14953999999998</f>
        <v>1811.3971960000003</v>
      </c>
      <c r="T283" s="3">
        <f>1902.3+(729.6-377.5)+(2.910519+(1.116288-0.577575))+0-588.3-0.900099000000034</f>
        <v>1668.6491330000001</v>
      </c>
      <c r="U283" s="3">
        <f>1842.3+(737.7-325)+(-3.758292+(-1.504908--0.663))+0-438.6--0.894743999999981</f>
        <v>1812.6945440000002</v>
      </c>
      <c r="V283" s="3">
        <f>2184.4+(540.9-377.3)+(-2.228088+(-0.551718--0.384846))+0-463.8--0.473076000000074</f>
        <v>1882.278116</v>
      </c>
      <c r="W283" s="3">
        <f>3620.7+(347.9-1272.3)+(-1.846557+(-0.177429--0.648873))+0-621.6--0.317015999999937</f>
        <v>2073.6419029999997</v>
      </c>
      <c r="X283" s="3">
        <f>3771.1+(414.6-1319.9)+(-5.769783+(-0.634338--2.019447))+0-540.6--0.827118000000031</f>
        <v>2321.6424440000001</v>
      </c>
      <c r="Y283" s="3">
        <f>3262.2+(485.2-912.6)+(-8.31861+(-1.23726--2.32713))+0-616--1.57079999999991</f>
        <v>2213.1420599999997</v>
      </c>
      <c r="Z283" s="3">
        <f>3192.5+(585.2-897.9)+(0+(0-0))+0-679-0</f>
        <v>2200.8000000000002</v>
      </c>
      <c r="AA283" s="3">
        <f>2928.8+(678.4-882)+(-4.481064+(-1.037952--1.34946))+0-549.7--0.841041000000032</f>
        <v>2172.1714850000003</v>
      </c>
      <c r="AB283" s="3">
        <f>2540.3+(760.6-699.6)+(-3.886659+(-1.163718--1.070388))+0-617--0.944010000000036</f>
        <v>1981.2640210000002</v>
      </c>
      <c r="AC283" s="3">
        <f>2010.6+(878.1-375.5)+(-6.152436+(-2.686986--1.14903))+0-560.5--1.71513000000006</f>
        <v>1946.7247379999999</v>
      </c>
      <c r="AD283">
        <f t="shared" si="4"/>
        <v>44686.833196000007</v>
      </c>
      <c r="AE283" s="3">
        <f>4211+(360.9-1566.6)+(0+(0-0))+0-653.2-0</f>
        <v>2352.1000000000004</v>
      </c>
    </row>
    <row r="284" spans="1:31" customFormat="1" x14ac:dyDescent="0.25">
      <c r="A284">
        <v>89</v>
      </c>
      <c r="B284">
        <v>10</v>
      </c>
      <c r="C284">
        <v>8</v>
      </c>
      <c r="D284">
        <v>5</v>
      </c>
      <c r="E284">
        <v>1</v>
      </c>
      <c r="F284" s="3">
        <f>1664.6+(1038.2-379.6)+(0+(0-0))+0-628.5-0</f>
        <v>1694.6999999999998</v>
      </c>
      <c r="G284" s="3">
        <f>1701.8+(1044.6-513.3)+(-1.735836+(-1.065492--0.523566))+0-484.5--0.494190000000077</f>
        <v>1746.8164279999999</v>
      </c>
      <c r="H284" s="3">
        <f>1823.9+(1052.6-528.5)+(-1.860378+(-1.073652--0.53907))+0-707.9--0.722058000000113</f>
        <v>1638.4270979999999</v>
      </c>
      <c r="I284" s="3">
        <f>1641.4+(1044-577.4)+(-1.674228+(-1.06488--0.588948))+0-484.5--0.494190000000077</f>
        <v>1621.84403</v>
      </c>
      <c r="J284" s="3">
        <f>1666.4+(940.5-419)+(-0.849864+(-0.479655--0.21369))+0-553.6--0.282335999999944</f>
        <v>1633.4665070000003</v>
      </c>
      <c r="K284" s="3">
        <f>1705.9+(979.6-345.1)+(-1.740018+(-0.999192--0.352002))+0-634.5--0.647190000000101</f>
        <v>1704.1599820000001</v>
      </c>
      <c r="L284" s="3">
        <f>1700.9+(949.4-242)+(-0.867459+(-0.484194--0.12342))+0-644.3--0.328592999999935</f>
        <v>1763.1003600000004</v>
      </c>
      <c r="M284" s="3">
        <f>1480.2+(995.4-217.4)+(-1.509804+(-1.015308--0.221748))+0-521.9--0.532338000000083</f>
        <v>1734.5289739999998</v>
      </c>
      <c r="N284" s="3">
        <f>1618.7+(928.7-191.9)+(0+(0-0))+0-484.6-0</f>
        <v>1870.9</v>
      </c>
      <c r="O284" s="3">
        <f>1860.6+(817.6-364.4)+(1.897812+(0.833952-0.371688))+0-445.9-0.454818000000071</f>
        <v>1869.8052579999999</v>
      </c>
      <c r="P284" s="3">
        <f>2257.9+(717.9-500.3)+(-1.151529+(-0.366129--0.255153))+0-495--0.25244999999995</f>
        <v>1979.4899449999998</v>
      </c>
      <c r="Q284" s="3">
        <f>2404.2+(559.9-770.6)+(0+(0-0))+0-368.5-0</f>
        <v>1825</v>
      </c>
      <c r="R284" s="3">
        <f>2123.2+(649-465.2)+(-3.248496+(-0.99297--0.711756))+0-322.7--0.493731000000019</f>
        <v>1981.2640210000002</v>
      </c>
      <c r="S284" s="3">
        <f>2085.5+(681.2-431.1)+(0+(0-0))+0-487.2-0</f>
        <v>1848.3999999999999</v>
      </c>
      <c r="T284" s="3">
        <f>2061+(659.2-410.8)+(0+(0-0))+0-539.4-0</f>
        <v>1770</v>
      </c>
      <c r="U284" s="3">
        <f>2003.7+(669.1-444.5)+(0+(0-0))+0-434.8-0</f>
        <v>1793.5000000000002</v>
      </c>
      <c r="V284" s="3">
        <f>2432.9+(582.9-604.1)+(-4.963116+(-1.189116--1.232364))+0-596.6--1.21706399999997</f>
        <v>1811.3971959999999</v>
      </c>
      <c r="W284" s="3">
        <f>3793.2+(349.5-1603.6)+(0+(0-0))+0-495-0</f>
        <v>2044.1</v>
      </c>
      <c r="X284" s="3">
        <f>4002.7+(424.3-1544.4)+(-10.206885+(-1.081965--3.93822))+0-530.5--1.35277499999992</f>
        <v>2346.1021449999994</v>
      </c>
      <c r="Y284" s="3">
        <f>3332.9+(560.9-1100.1)+(-13.598232+(-2.288472--4.488408))+0-479.6--1.95676799999996</f>
        <v>2304.6584720000005</v>
      </c>
      <c r="Z284" s="3">
        <f>3322.4+(560.6-1064.9)+(0+(0-0))+0-587.4-0</f>
        <v>2230.6999999999998</v>
      </c>
      <c r="AA284" s="3">
        <f>3148.3+(636.9-909.7)+(-3.211266+(-0.649638--0.927894))+0-638.5--0.651270000000102</f>
        <v>2234.7182600000001</v>
      </c>
      <c r="AB284" s="3">
        <f>2132.1+(804-377.8)+(-2.174742+(-0.82008--0.385356))+0-518.1--0.528462000000083</f>
        <v>2038.1189959999999</v>
      </c>
      <c r="AC284" s="3">
        <f>1777+(954-245.9)+(-4.53135+(-2.4327--0.627045))+0-626.8--1.59833999999991</f>
        <v>1853.5613350000001</v>
      </c>
      <c r="AD284">
        <f t="shared" si="4"/>
        <v>45338.759006999993</v>
      </c>
      <c r="AE284" s="3">
        <f>4277.1+(376.7-1763.1)+(0+(0-0))+0-598.3-0</f>
        <v>2292.4000000000005</v>
      </c>
    </row>
    <row r="285" spans="1:31" customFormat="1" x14ac:dyDescent="0.25">
      <c r="A285">
        <v>89</v>
      </c>
      <c r="B285">
        <v>10</v>
      </c>
      <c r="C285">
        <v>9</v>
      </c>
      <c r="D285">
        <v>6</v>
      </c>
      <c r="E285">
        <v>1</v>
      </c>
      <c r="F285" s="3">
        <f>1639.4+(883.4-276.1)+(-2.508282+(-1.351602--0.422433))+0-513--0.78489000000003</f>
        <v>1731.0474390000002</v>
      </c>
      <c r="G285" s="3">
        <f>1857.8+(821.1-397.8)+(0.947478+(0.418761-0.202878))+0-622.9-0.317678999999937</f>
        <v>1659.0456819999997</v>
      </c>
      <c r="H285" s="3">
        <f>1649.4+(890.4-350.2)+(-3.364776+(-1.816416--0.714408))+0-607--1.23827999999997</f>
        <v>1579.3714960000002</v>
      </c>
      <c r="I285" s="3">
        <f>1696.6+(848.8-414.2)+(-1.730532+(-0.865776--0.422484))+0-534.4--0.545088000000085</f>
        <v>1595.1712639999998</v>
      </c>
      <c r="J285" s="3">
        <f>1719.4+(812.4-442.4)+(-2.630682+(-1.242972--0.676872))+0-507--0.775710000000029</f>
        <v>1579.9789280000002</v>
      </c>
      <c r="K285" s="3">
        <f>1861.1+(924.3-573)+(0+(0-0))+0-587-0</f>
        <v>1625.3999999999996</v>
      </c>
      <c r="L285" s="3">
        <f>1763.9+(940.5-372.5)+(-2.698767+(-1.438965--0.569925))+0-590.6--0.903618000000034</f>
        <v>1738.6358110000003</v>
      </c>
      <c r="M285" s="3">
        <f>1913.3+(853.9-364.6)+(1.951566+(0.870978-0.371892))+0-525.7-0.536214000000084</f>
        <v>1878.8144379999999</v>
      </c>
      <c r="N285" s="3">
        <f>2043.5+(876.3-559.9)+(1.042185+(0.446913-0.285549))+0-571.9-0.291668999999942</f>
        <v>1788.9118799999999</v>
      </c>
      <c r="O285" s="3">
        <f>2175.4+(766.5-540.3)+(-5.54727+(-1.954575--1.377765))+0-504.1--1.28545499999993</f>
        <v>1892.6613750000004</v>
      </c>
      <c r="P285" s="3">
        <f>2435.5+(726.9-905.2)+(0+(0-0))+0-299.3-0</f>
        <v>1957.8999999999999</v>
      </c>
      <c r="Q285" s="3">
        <f>2490+(728.3-953.9)+(-2.5398+(-0.742866--0.972978))+0-384.7--0.392394000000061</f>
        <v>1877.7827060000002</v>
      </c>
      <c r="R285" s="3">
        <f>2164.8+(819.4-651)+(-4.416192+(-1.671576--1.32804))+0-502.5--1.02509999999998</f>
        <v>1826.9653720000003</v>
      </c>
      <c r="S285" s="3">
        <f>1936.7+(841.4-583.6)+(-2.963151+(-1.287342--0.892908))+0-452.1--0.691713000000026</f>
        <v>1739.7341279999998</v>
      </c>
      <c r="T285" s="3">
        <f>2060.4+(836.3-554.4)+(-1.050804+(-0.426513--0.282744))+0-560--0.285599999999943</f>
        <v>1781.3910269999999</v>
      </c>
      <c r="U285" s="3">
        <f>2140.8+(695.5-614.4)+(-1.091808+(-0.354705--0.313344))+0-486.5--0.248114999999951</f>
        <v>1734.5149459999998</v>
      </c>
      <c r="V285" s="3">
        <f>2665+(548-1030)+(-5.4366+(-1.11792--2.1012))+0-454.4--0.92697599999998</f>
        <v>1725.0736559999998</v>
      </c>
      <c r="W285" s="3">
        <f>3766.6+(490.9-1673.1)+(-5.762898+(-0.751077--2.559843))+0-566.9--0.867357000000033</f>
        <v>2014.4132250000002</v>
      </c>
      <c r="X285" s="3">
        <f>3979.1+(548.7-1686.9)+(-12.176046+(-1.679022--5.161914))+0-575.8--1.76194800000007</f>
        <v>2258.1687939999997</v>
      </c>
      <c r="Y285" s="3">
        <f>3505.9+(529.7-1222.4)+(0+(0-0))+0-579.7-0</f>
        <v>2233.5</v>
      </c>
      <c r="Z285" s="3">
        <f>3271.9+(417.4-990.5)+(-5.006007+(-0.638622--1.515465))+0-545.7--0.834921000000032</f>
        <v>2149.8057570000005</v>
      </c>
      <c r="AA285" s="3">
        <f>3183.5+(417.3-892)+(-1.623585+(-0.212823--0.45492))+0-569.8--0.290597999999942</f>
        <v>2137.9091100000001</v>
      </c>
      <c r="AB285" s="3">
        <f>2477.2+(658.8-522.4)+(-5.053488+(-1.343952--1.065696))+0-581.4--1.18605599999997</f>
        <v>2028.0543119999998</v>
      </c>
      <c r="AC285" s="3">
        <f>1784.3+(922.9-339.9)+(-5.459958+(-2.824074--1.040094))+0-513.9--1.57253400000006</f>
        <v>1847.7285960000002</v>
      </c>
      <c r="AD285">
        <f t="shared" si="4"/>
        <v>44381.979942000005</v>
      </c>
      <c r="AE285" s="3">
        <f>4513+(509.6-2005.1)+(0+(0-0))+0-582.9-0</f>
        <v>2434.6</v>
      </c>
    </row>
    <row r="286" spans="1:31" customFormat="1" x14ac:dyDescent="0.25">
      <c r="A286">
        <v>89</v>
      </c>
      <c r="B286">
        <v>10</v>
      </c>
      <c r="C286">
        <v>10</v>
      </c>
      <c r="D286">
        <v>7</v>
      </c>
      <c r="E286">
        <v>1</v>
      </c>
      <c r="F286" s="3">
        <f>1859.2+(612.9-491.9)+(0+(0-0))+0-495.7-0</f>
        <v>1484.5</v>
      </c>
      <c r="G286" s="3">
        <f>1756.5+(666.5-439.7)+(-1.79163+(-0.67983--0.448494))+0-520.3--0.530706000000083</f>
        <v>1461.50774</v>
      </c>
      <c r="H286" s="3">
        <f>1706.6+(693.5-464.1)+(0+(0-0))+0-585.3-0</f>
        <v>1350.7</v>
      </c>
      <c r="I286" s="3">
        <f>1730.2+(687.9-450.4)+(-2.647206+(-1.052487--0.689112))+0-484.9--0.741897000000028</f>
        <v>1480.5313160000003</v>
      </c>
      <c r="J286" s="3">
        <f>1770.9+(599.6-467.1)+(-1.806318+(-0.611592--0.476442))+0-461.7--0.470934000000074</f>
        <v>1440.2294660000002</v>
      </c>
      <c r="K286" s="3">
        <f>1883.3+(653.9-522.5)+(0.960483+(0.333489-0.266475))+0-577.9-0.294728999999941</f>
        <v>1437.5327679999998</v>
      </c>
      <c r="L286" s="3">
        <f>1875+(584.7-372.4)+(0+(0-0))+0-537.2-0</f>
        <v>1550.1000000000001</v>
      </c>
      <c r="M286" s="3">
        <f>1731.9+(704.1-265.4)+(-1.766538+(-0.718182--0.270708))+0-539.5--0.550290000000086</f>
        <v>1629.4362780000006</v>
      </c>
      <c r="N286" s="3">
        <f>1725.6+(685.6-267.3)+(-2.640168+(-1.048968--0.408969))+0-406.4--0.621792000000023</f>
        <v>1734.841625</v>
      </c>
      <c r="O286" s="3">
        <f>1832.7+(622.7-329)+(-0.934677+(-0.317577--0.16779))+0-518.1--0.264230999999947</f>
        <v>1607.479767</v>
      </c>
      <c r="P286" s="3">
        <f>2060.2+(483.9-453.3)+(-5.25351+(-1.233945--1.155915))+0-463.8--1.18268999999993</f>
        <v>1622.8511499999995</v>
      </c>
      <c r="Q286" s="3">
        <f>2512.4+(274.5-664.7)+(1.281324+(0.139995-0.338997))+0-509.8-0.259997999999948</f>
        <v>1613.2223240000001</v>
      </c>
      <c r="R286" s="3">
        <f>2346.6+(388.8-554.2)+(-2.393532+(-0.396576--0.565284))+0-565.7--0.57701400000009</f>
        <v>1613.8521900000001</v>
      </c>
      <c r="S286" s="3">
        <f>2290.2+(355.3-520.1)+(-7.008012+(-1.087218--1.591506))+0-489.1--1.49664600000006</f>
        <v>1631.2929219999996</v>
      </c>
      <c r="T286" s="3">
        <f>2416.5+(339.8-594.1)+(2.46483+(0.346596-0.605982))+0-539.8-0.550596000000086</f>
        <v>1624.054848</v>
      </c>
      <c r="U286" s="3">
        <f>2435.3+(286-644.9)+(-1.242003+(-0.14586--0.328899))+0-499.9--0.254948999999949</f>
        <v>1575.6959850000001</v>
      </c>
      <c r="V286" s="3">
        <f>2590.7+(229.5-725.6)+(-1.321257+(-0.117045--0.370056))+0-536.9--0.273818999999946</f>
        <v>1556.905573</v>
      </c>
      <c r="W286" s="3">
        <f>3117.2+(232.1-1028.9)+(1.589772+(0.118371-0.524739))+0-503.4-0.256733999999949</f>
        <v>1817.9266699999994</v>
      </c>
      <c r="X286" s="3">
        <f>3290.2+(287.3-1016.8)+(-5.034006+(-0.439569--1.555704))+0-596.9--0.913257000000035</f>
        <v>1960.7953859999996</v>
      </c>
      <c r="Y286" s="3">
        <f>2944+(287.8-825.2)+(-1.50144+(-0.146778--0.420852))+0-487.5--0.248624999999951</f>
        <v>1918.1212589999998</v>
      </c>
      <c r="Z286" s="3">
        <f>3080.9+(219.5-904.1)+(1.571259+(0.111945-0.461091))+0-544.9-0.277898999999945</f>
        <v>1852.344214</v>
      </c>
      <c r="AA286" s="3">
        <f>3054.7+(141.3-839.8)+(-4.673691+(-0.216189--1.284894))+0-541--0.827730000000031</f>
        <v>1812.422744</v>
      </c>
      <c r="AB286" s="3">
        <f>2529.4+(231.8-594.2)+(-6.44997+(-0.59109--1.51521))+0-525.9--1.34104499999992</f>
        <v>1636.9151949999998</v>
      </c>
      <c r="AC286" s="3">
        <f>2823.6+(254.5-918.9)+(-1.440036+(-0.129795--0.468639))+0-562--0.286619999999943</f>
        <v>1596.3854279999996</v>
      </c>
      <c r="AD286">
        <f t="shared" si="4"/>
        <v>39009.644848000004</v>
      </c>
      <c r="AE286" s="3">
        <f>3360+(399.1-1017.7)+(0+(0-0))+0-554.7-0</f>
        <v>2186.6999999999998</v>
      </c>
    </row>
    <row r="287" spans="1:31" customFormat="1" x14ac:dyDescent="0.25">
      <c r="A287">
        <v>89</v>
      </c>
      <c r="B287">
        <v>10</v>
      </c>
      <c r="C287">
        <v>11</v>
      </c>
      <c r="D287">
        <v>1</v>
      </c>
      <c r="E287">
        <v>1</v>
      </c>
      <c r="F287" s="3">
        <f>2162.2+(520.1-395.6)+(-5.51361+(-1.326255--1.00878))+0-568.6--1.44992999999992</f>
        <v>1713.7188450000001</v>
      </c>
      <c r="G287" s="3">
        <f>1871.7+(623.5-352.7)+(-4.772835+(-1.589925--0.899385))+0-555.9--1.41754499999992</f>
        <v>1582.5541700000001</v>
      </c>
      <c r="H287" s="3">
        <f>1680.4+(662.3-323.2)+(-3.428016+(-1.351092--0.659328))+0-457.6--0.93350399999998</f>
        <v>1558.7137240000002</v>
      </c>
      <c r="I287" s="3">
        <f>1664.1+(691.8-250.1)+(-1.697382+(-0.705636--0.255102))+0-596.9--0.608838000000095</f>
        <v>1507.3609219999998</v>
      </c>
      <c r="J287" s="3">
        <f>1652.7+(601.8-284.2)+(0+(0-0))+0-475.6-0</f>
        <v>1494.6999999999998</v>
      </c>
      <c r="K287" s="3">
        <f>1787.5+(581.4-338.4)+(2.734875+(0.889542-0.517752))+0-407-0.622710000000024</f>
        <v>1625.9839549999999</v>
      </c>
      <c r="L287" s="3">
        <f>1763.4+(765.6-308.2)+(-1.798668+(-0.780912--0.314364))+0-595--0.606900000000095</f>
        <v>1624.1416840000004</v>
      </c>
      <c r="M287" s="3">
        <f>1719.2+(738.2-292.4)+(0.876792+(0.376482-0.149124))+0-406.2-0.207161999999959</f>
        <v>1759.6969880000001</v>
      </c>
      <c r="N287" s="3">
        <f>1781.5+(822.7-298.6)+(-1.81713+(-0.839154--0.304572))+0-535--0.545700000000085</f>
        <v>1768.7939879999999</v>
      </c>
      <c r="O287" s="3">
        <f>2445.4+(551.9-739.5)+(0+(0-0))+0-446.2-0</f>
        <v>1811.6000000000001</v>
      </c>
      <c r="P287" s="3">
        <f>2557.3+(717.4-939.3)+(1.304223+(0.365874-0.479043))+0-414.7-0.211496999999958</f>
        <v>1921.6795569999999</v>
      </c>
      <c r="Q287" s="3">
        <f>2694.3+(720.7-1013.4)+(-5.496372+(-1.470228--2.067336))+0-486.1--0.991643999999979</f>
        <v>1911.5923800000003</v>
      </c>
      <c r="R287" s="3">
        <f>2331.4+(839.4-620.5)+(-3.567042+(-1.284282--0.949365))+0-505.5--0.773415000000029</f>
        <v>2041.6714560000005</v>
      </c>
      <c r="S287" s="3">
        <f>2165.8+(879-439.7)+(-2.209116+(-0.89658--0.448494))+0-474.5--0.483990000000076</f>
        <v>2128.4267880000007</v>
      </c>
      <c r="T287" s="3">
        <f>2028.1+(972.6-462.8)+(-3.102993+(-1.488078--0.708084))+0-512--0.78336000000003</f>
        <v>2022.8003730000003</v>
      </c>
      <c r="U287" s="3">
        <f>1986.5+(1015-503.3)+(2.02623+(1.0353-0.513366))+0-515.9-0.526218000000082</f>
        <v>1984.3219459999996</v>
      </c>
      <c r="V287" s="3">
        <f>2100.3+(816.9-481.1)+(0+(0-0))+0-519.4-0</f>
        <v>1916.7000000000003</v>
      </c>
      <c r="W287" s="3">
        <f>3177.4+(502.1-1226.4)+(-8.10237+(-1.280355--3.12732))+0-541.3--1.38031499999992</f>
        <v>1906.92491</v>
      </c>
      <c r="X287" s="3">
        <f>3506.5+(589-1211)+(-8.941575+(-1.50195--3.08805))+0-491.2--1.25255999999993</f>
        <v>2387.1970850000002</v>
      </c>
      <c r="Y287" s="3">
        <f>3392.5+(576.1-1023.6)+(-3.46035+(-0.587622--1.044072))+0-555.3--0.566406000000088</f>
        <v>2387.262506</v>
      </c>
      <c r="Z287" s="3">
        <f>2804.5+(639-602.6)+(-2.86059+(-0.65178--0.614652))+0-507.2--0.517344000000081</f>
        <v>2331.319626</v>
      </c>
      <c r="AA287" s="3">
        <f>2349.1+(828.1-388.5)+(-3.594123+(-1.266993--0.594405))+1.3-607.2--0.929016000000035</f>
        <v>2179.462305</v>
      </c>
      <c r="AB287" s="3">
        <f>1832.5+(919.1-240.1)+(-0.934575+(-0.468741--0.122451))+0-551.8--0.281417999999944</f>
        <v>1958.7005529999999</v>
      </c>
      <c r="AC287" s="3">
        <f>1970.8+(831.9-391.6)+(-5.02554+(-2.121345--0.99858))+0-602.3--1.53586499999991</f>
        <v>1804.1875599999996</v>
      </c>
      <c r="AD287">
        <f t="shared" si="4"/>
        <v>45329.511321000005</v>
      </c>
      <c r="AE287" s="3">
        <f>3717+(508.4-1390.5)+(0+(0-0))+0-569.8-0</f>
        <v>2265.1000000000004</v>
      </c>
    </row>
    <row r="288" spans="1:31" customFormat="1" x14ac:dyDescent="0.25">
      <c r="A288">
        <v>89</v>
      </c>
      <c r="B288">
        <v>10</v>
      </c>
      <c r="C288">
        <v>12</v>
      </c>
      <c r="D288">
        <v>2</v>
      </c>
      <c r="E288">
        <v>1</v>
      </c>
      <c r="F288" s="3">
        <f>1739.2+(939.3-360.9)+(-2.660976+(-1.437129--0.552177))+0-585.6--0.895968000000034</f>
        <v>1729.35004</v>
      </c>
      <c r="G288" s="3">
        <f>1787.3+(837.9-421.6)+(0+(0-0))+0-582.8-0</f>
        <v>1620.8</v>
      </c>
      <c r="H288" s="3">
        <f>1668.5+(884.8-369.4)+(-4.254675+(-2.25624--0.94197))+0-600.9--1.53229499999991</f>
        <v>1578.96335</v>
      </c>
      <c r="I288" s="3">
        <f>1826.5+(760.5-440.3)+(2.794545+(1.163565-0.673659))+0-591.9-0.905607000000034</f>
        <v>1557.1788439999996</v>
      </c>
      <c r="J288" s="3">
        <f>1673.6+(823.6-363.3)+(-3.414144+(-1.680144--0.741132))+0-585.1--1.19360399999997</f>
        <v>1545.6404480000001</v>
      </c>
      <c r="K288" s="3">
        <f>1752+(821.5-392.4)+(-0.89352+(-0.418965--0.200124))+0-553--0.282029999999944</f>
        <v>1627.2696689999998</v>
      </c>
      <c r="L288" s="3">
        <f>1822.8+(859.8-345.8)+(-1.859256+(-0.876996--0.352716))+0-632.4--0.645048000000101</f>
        <v>1702.6615120000004</v>
      </c>
      <c r="M288" s="3">
        <f>1839.9+(846.3-360.8)+(-0.938349+(-0.431613--0.184008))+0-520--0.265199999999947</f>
        <v>1804.4792460000001</v>
      </c>
      <c r="N288" s="3">
        <f>2022.7+(729.1-356.6)+(-1.031577+(-0.371841--0.181866))+0-572.5--0.291974999999942</f>
        <v>1821.7704229999997</v>
      </c>
      <c r="O288" s="3">
        <f>2126.7+(743.1-406.7)+(-3.253851+(-1.136943--0.622251))+0-545--0.833850000000032</f>
        <v>1915.1653069999998</v>
      </c>
      <c r="P288" s="3">
        <f>2412.4+(693.6-645.9)+(3.690972+(1.061208-0.988227))+0-471.1-0.720783000000027</f>
        <v>1992.0431700000006</v>
      </c>
      <c r="Q288" s="3">
        <f>2365.9+(726.3-566.3)+(-6.033045+(-1.852065--1.444065))+0-553.5--1.41142499999992</f>
        <v>1967.3703800000001</v>
      </c>
      <c r="R288" s="3">
        <f>1902.1+(832.2-415)+(-4.850355+(-2.12211--1.05825))+0-449.8--1.14698999999993</f>
        <v>1864.7327750000004</v>
      </c>
      <c r="S288" s="3">
        <f>2023+(755.5-487.3)+(0+(0-0))+0-415-0</f>
        <v>1876.1999999999998</v>
      </c>
      <c r="T288" s="3">
        <f>1998.5+(896-475.1)+(-1.019235+(-0.45696--0.242301))+0-547.5--0.279224999999944</f>
        <v>1870.9453310000001</v>
      </c>
      <c r="U288" s="3">
        <f>2002.7+(798-406.7)+(-5.106885+(-2.0349--1.037085))+0-478.3--1.21966499999993</f>
        <v>1910.814965</v>
      </c>
      <c r="V288" s="3">
        <f>2219.4+(666.5-521.6)+(-5.65947+(-1.699575--1.33008))+0-386.7--0.986084999999944</f>
        <v>1972.5571200000002</v>
      </c>
      <c r="W288" s="3">
        <f>2919+(531.4-604.9)+(-7.44345+(-1.35507--1.542495))+0-614.6--1.56722999999991</f>
        <v>2225.2112050000001</v>
      </c>
      <c r="X288" s="3">
        <f>3300.6+(457.3-939.7)+(-10.099836+(-1.399338--2.875482))+0-536.7--1.64230200000006</f>
        <v>2274.5186100000001</v>
      </c>
      <c r="Y288" s="3">
        <f>3199.1+(403.6-768.2)+(-8.157705+(-1.02918--1.95891))+0-558.4--1.42391999999992</f>
        <v>2270.2959449999998</v>
      </c>
      <c r="Z288" s="3">
        <f>3334.1+(355-1005.3)+(-5.101173+(-0.54315--1.538109))+0-440.4--0.673812000000025</f>
        <v>2239.9675980000002</v>
      </c>
      <c r="AA288" s="3">
        <f>3364+(364.5-1057.3)+(0+(0-0))+0-568.7-0</f>
        <v>2102.5</v>
      </c>
      <c r="AB288" s="3">
        <f>3011.4+(428.1-886.4)+(-4.607442+(-0.654993--1.356192))+0-470.4--0.719712000000027</f>
        <v>2079.5134690000004</v>
      </c>
      <c r="AC288" s="3">
        <f>2165+(635.4-379.4)+(-4.4166+(-1.296216--0.773976))+0-571--1.16483999999998</f>
        <v>1846.2260000000001</v>
      </c>
      <c r="AD288">
        <f t="shared" si="4"/>
        <v>45396.17540700001</v>
      </c>
      <c r="AE288" s="3">
        <f>3434+(507.6-903.3)+(0+(0-0))+0-583.3-0</f>
        <v>2455</v>
      </c>
    </row>
    <row r="289" spans="1:31" customFormat="1" x14ac:dyDescent="0.25">
      <c r="A289">
        <v>89</v>
      </c>
      <c r="B289">
        <v>10</v>
      </c>
      <c r="C289">
        <v>13</v>
      </c>
      <c r="D289">
        <v>3</v>
      </c>
      <c r="E289">
        <v>1</v>
      </c>
      <c r="F289" s="3">
        <f>1808.6+(802.8-306.7)+(-3.689544+(-1.637712--0.625668))+0-540.1--1.10180399999998</f>
        <v>1761.0002159999999</v>
      </c>
      <c r="G289" s="3">
        <f>1728.9+(903.6-306.5)+(-1.763478+(-0.921672--0.31263))+0-495.7--0.505614000000079</f>
        <v>1828.4330940000002</v>
      </c>
      <c r="H289" s="3">
        <f>1758.3+(820-315.9)+(-1.793466+(-0.8364--0.322218))+0-536.7--0.547434000000086</f>
        <v>1723.9397860000001</v>
      </c>
      <c r="I289" s="3">
        <f>1911+(730-409)+(-2.92383+(-1.1169--0.62577))+0-566.8--0.867204000000033</f>
        <v>1662.6522440000001</v>
      </c>
      <c r="J289" s="3">
        <f>1888+(673.1-379.5)+(2.88864+(1.029843-0.580635))+0-634.1-0.970173000000037</f>
        <v>1549.8676750000002</v>
      </c>
      <c r="K289" s="3">
        <f>1964+(758.1-478.3)+(0+(0-0))+0-569.7-0</f>
        <v>1674.1000000000001</v>
      </c>
      <c r="L289" s="3">
        <f>1946+(775.1-481.3)+(0+(0-0))+0-602.7-0</f>
        <v>1637.1000000000001</v>
      </c>
      <c r="M289" s="3">
        <f>1994.9+(853.3-386.3)+(-2.034798+(-0.870366--0.394026))+0-635.3--0.648006000000101</f>
        <v>1824.7368680000004</v>
      </c>
      <c r="N289" s="3">
        <f>1922+(876.9-432.2)+(-0.98022+(-0.447219--0.220422))+0-570.7--0.291056999999942</f>
        <v>1795.0840399999995</v>
      </c>
      <c r="O289" s="3">
        <f>2347.1+(769.5-558)+(-2.394042+(-0.78489--0.56916))+0-614.9--0.627198000000098</f>
        <v>1941.7174260000002</v>
      </c>
      <c r="P289" s="3">
        <f>2553.6+(609-854.9)+(-5.209344+(-1.24236--1.743996))+0-486--0.991439999999979</f>
        <v>1817.9837319999999</v>
      </c>
      <c r="Q289" s="3">
        <f>2851.8+(630.9-1113.4)+(-4.363254+(-0.965277--1.703502))+0-456.8--0.698904000000026</f>
        <v>1909.5738750000005</v>
      </c>
      <c r="R289" s="3">
        <f>2592.9+(642.3-836)+(-5.289516+(-1.310292--1.70544))+0-546.3--1.11445199999998</f>
        <v>1849.1200839999997</v>
      </c>
      <c r="S289" s="3">
        <f>2209.9+(685.4-579.5)+(-2.254098+(-0.699108--0.59109))+0-469.5--0.478890000000075</f>
        <v>1844.4167740000005</v>
      </c>
      <c r="T289" s="3">
        <f>2291.7+(791.3-520.3)+(-1.168767+(-0.403563--0.265353))+0-565.5--0.288404999999943</f>
        <v>1996.1814279999996</v>
      </c>
      <c r="U289" s="3">
        <f>2155+(743.3-459.1)+(-2.1981+(-0.758166--0.468282))+0-516--0.526320000000082</f>
        <v>1921.2383360000001</v>
      </c>
      <c r="V289" s="3">
        <f>2392.8+(689.8-531.4)+(-6.10164+(-1.75899--1.35507))+0-501.3--1.27831499999993</f>
        <v>2044.6727550000003</v>
      </c>
      <c r="W289" s="3">
        <f>3046+(511.4-900.9)+(-7.7673+(-1.30407--2.297295))+0-600.2--1.53050999999991</f>
        <v>2051.056435</v>
      </c>
      <c r="X289" s="3">
        <f>3368.8+(569.4-1098.5)+(-6.872352+(-1.161576--2.24094))+0-594.1--1.21196399999997</f>
        <v>2241.0189760000003</v>
      </c>
      <c r="Y289" s="3">
        <f>3299.1+(574.2-1059.9)+(-3.365082+(-0.585684--1.081098))+0-559.8--0.570996000000089</f>
        <v>2251.301328</v>
      </c>
      <c r="Z289" s="3">
        <f>3113.4+(639.4-916.1)+(-3.175668+(-0.652188--0.934422))+0-630.4--0.643008000000101</f>
        <v>2204.0495739999997</v>
      </c>
      <c r="AA289" s="3">
        <f>3281+(650.1-1140.1)+(1.67331+(0.331551-0.581451))+0-637.6-0.325175999999935</f>
        <v>2154.4982340000001</v>
      </c>
      <c r="AB289" s="3">
        <f>2502.6+(714.5-554.5)+(-3.828978+(-1.093185--0.848385))+0-614.5--0.940185000000035</f>
        <v>2044.9664069999999</v>
      </c>
      <c r="AC289" s="3">
        <f>2105.7+(859.1-450.9)+(-5.369535+(-2.190705--1.149795))+0-613.8--1.56518999999991</f>
        <v>1895.2547449999995</v>
      </c>
      <c r="AD289">
        <f t="shared" si="4"/>
        <v>45623.964031999996</v>
      </c>
      <c r="AE289" s="3">
        <f>3843.1+(487-1370.2)+(0+(0-0))+0-602.2-0</f>
        <v>2357.6999999999998</v>
      </c>
    </row>
    <row r="290" spans="1:31" customFormat="1" x14ac:dyDescent="0.25">
      <c r="A290">
        <v>89</v>
      </c>
      <c r="B290">
        <v>10</v>
      </c>
      <c r="C290">
        <v>14</v>
      </c>
      <c r="D290">
        <v>4</v>
      </c>
      <c r="E290">
        <v>1</v>
      </c>
      <c r="F290" s="3">
        <f>1831.6+(935.8-408.3)+(-3.736464+(-1.909032--0.832932))+0-598.3--1.22053199999997</f>
        <v>1757.2079680000002</v>
      </c>
      <c r="G290" s="3">
        <f>1706.1+(916.5-369.5)+(-1.740222+(-0.93483--0.37689))+0-588.4--0.600168000000094</f>
        <v>1663.0020059999999</v>
      </c>
      <c r="H290" s="3">
        <f>1788.3+(840.7-353.7)+(0+(0-0))+0-674-0</f>
        <v>1601.3000000000002</v>
      </c>
      <c r="I290" s="3">
        <f>1777+(692.6-374)+(-1.81254+(-0.706452--0.38148))+0-518.7--0.529074000000083</f>
        <v>1575.2915620000001</v>
      </c>
      <c r="J290" s="3">
        <f>1849.2+(677.3-364.3)+(3.772368+(1.381692-0.743172))+0-579.3-1.18177199999997</f>
        <v>1586.1291159999998</v>
      </c>
      <c r="K290" s="3">
        <f>1903.7+(663-346.4)+(0.970887+(0.33813-0.176664))+0-600.8-0.306407999999939</f>
        <v>1620.3259450000003</v>
      </c>
      <c r="L290" s="3">
        <f>1836.9+(760.9-304.9)+(-1.873638+(-0.776118--0.310998))+0-538.8--0.549576000000086</f>
        <v>1752.3108180000004</v>
      </c>
      <c r="M290" s="3">
        <f>1809.2+(971.1-257.2)+(-2.768076+(-1.485783--0.393516))+0-664.9--1.01729700000004</f>
        <v>1855.3569540000005</v>
      </c>
      <c r="N290" s="3">
        <f>2410.2+(478.4-427.9)+(-2.458404+(-0.487968--0.436458))+0-581--0.592620000000093</f>
        <v>1877.7827059999997</v>
      </c>
      <c r="O290" s="3">
        <f>2432.1+(642.5-480.7)+(-2.480742+(-0.65535--0.490314))+0-665.3--0.678606000000106</f>
        <v>1926.6328280000002</v>
      </c>
      <c r="P290" s="3">
        <f>2435.3+(706.1-501.2)+(-1.242003+(-0.360111--0.255612))+0-513.1--0.261680999999948</f>
        <v>2126.0151790000004</v>
      </c>
      <c r="Q290" s="3">
        <f>2844.9+(725.1-814.2)+(-5.803596+(-1.479204--1.660968))+0-641.5--1.30865999999997</f>
        <v>2109.9868280000005</v>
      </c>
      <c r="R290" s="3">
        <f>2414.5+(797.9-522.9)+(-2.46279+(-0.813858--0.533358))+0-571.5--0.582930000000091</f>
        <v>2115.8396400000001</v>
      </c>
      <c r="S290" s="3">
        <f>2236.4+(846.3-358.1)+(-2.281128+(-0.863226--0.365262))+0-649.9--0.662898000000104</f>
        <v>2072.5838059999996</v>
      </c>
      <c r="T290" s="3">
        <f>2059.1+(812.6-406.6)+(-1.050141+(-0.414426--0.207366))+0-598.2--0.305081999999939</f>
        <v>1865.9478809999998</v>
      </c>
      <c r="U290" s="3">
        <f>2003.4+(756.6-393.8)+(0+(0-0))+0-605.2-0</f>
        <v>1761.0000000000002</v>
      </c>
      <c r="V290" s="3">
        <f>2424.4+(716.5-716.8)+(-4.945776+(-1.46166--1.462272))+0-589.6--1.20278399999997</f>
        <v>1830.7576200000003</v>
      </c>
      <c r="W290" s="3">
        <f>3672.7+(590.3-1695.9)+(0+(0-0))+0-524.3-0</f>
        <v>2042.7999999999995</v>
      </c>
      <c r="X290" s="3">
        <f>3816.5+(606.5-1538.3)+(-3.89283+(-0.61863--1.569066))+0-606.7--0.618834000000097</f>
        <v>2275.6764399999993</v>
      </c>
      <c r="Y290" s="3">
        <f>3053.2+(684.6-948)+(-1.557132+(-0.349146--0.48348))+0-564.2--0.287741999999943</f>
        <v>2224.4649439999998</v>
      </c>
      <c r="Z290" s="3">
        <f>2850.5+(711.7-886.7)+(-7.268775+(-1.814835--2.261085))+0-485.7--1.23853499999993</f>
        <v>2184.2160100000001</v>
      </c>
      <c r="AA290" s="3">
        <f>2641.4+(781.2-709.2)+(0+(0-0))+0-607.3-0</f>
        <v>2106.1000000000004</v>
      </c>
      <c r="AB290" s="3">
        <f>2524+(779.5-839.7)+(-1.28724+(-0.397545--0.428247))+0-466.4--0.237863999999953</f>
        <v>1996.3813259999999</v>
      </c>
      <c r="AC290" s="3">
        <f>2347+(838.9-799.5)+(-3.59091+(-1.283517--1.223235))+0-515.7--0.78902100000003</f>
        <v>1867.8378290000003</v>
      </c>
      <c r="AD290">
        <f t="shared" si="4"/>
        <v>45794.947406000007</v>
      </c>
      <c r="AE290" s="3">
        <f>3984+(566.3-1773.3)+(0+(0-0))+0-570.8-0</f>
        <v>2206.1999999999998</v>
      </c>
    </row>
    <row r="291" spans="1:31" customFormat="1" x14ac:dyDescent="0.25">
      <c r="A291">
        <v>89</v>
      </c>
      <c r="B291">
        <v>10</v>
      </c>
      <c r="C291">
        <v>15</v>
      </c>
      <c r="D291">
        <v>5</v>
      </c>
      <c r="E291">
        <v>1</v>
      </c>
      <c r="F291" s="3">
        <f>1889.7+(993.4-560.6)+(-3.854988+(-2.026536--1.143624))+0-644--1.31375999999997</f>
        <v>1675.0758599999999</v>
      </c>
      <c r="G291" s="3">
        <f>1797.5+(898.9-509.1)+(-1.83345+(-0.916878--0.519282))+0-565.8--0.57711600000009</f>
        <v>1619.8460700000005</v>
      </c>
      <c r="H291" s="3">
        <f>1765.1+(876.4-412.4)+(-0.900201+(-0.446964--0.210324))+0-656.3--0.334712999999933</f>
        <v>1571.9978719999999</v>
      </c>
      <c r="I291" s="3">
        <f>1672.4+(800.9-435.1)+(-0.852924+(-0.408459--0.221901))+0-461.6--0.235415999999953</f>
        <v>1575.7959340000002</v>
      </c>
      <c r="J291" s="3">
        <f>1783.5+(823.5-425.6)+(-0.909585+(-0.419985--0.217056))+0-639.7--0.326246999999935</f>
        <v>1540.9137330000001</v>
      </c>
      <c r="K291" s="3">
        <f>1764.3+(758.7-413.9)+(-1.799586+(-0.773874--0.422178))+0-529.4--0.539988000000084</f>
        <v>1578.088706</v>
      </c>
      <c r="L291" s="3">
        <f>1755.6+(919.1-285.6)+(-1.790712+(-0.937482--0.291312))+0-697.4--0.711348000000111</f>
        <v>1689.9744659999999</v>
      </c>
      <c r="M291" s="3">
        <f>1852.4+(772.6-275)+(-1.889448+(-0.788052--0.2805))+0-544.8--0.555696000000087</f>
        <v>1803.3586960000002</v>
      </c>
      <c r="N291" s="3">
        <f>2126.8+(581.9-302.8)+(-4.338672+(-1.187076--0.617712))+0-611.5--1.24745999999997</f>
        <v>1790.7394240000003</v>
      </c>
      <c r="O291" s="3">
        <f>2407+(550-545.2)+(-1.22757+(-0.2805--0.278052))+0-528.2--0.269381999999946</f>
        <v>1882.6393639999999</v>
      </c>
      <c r="P291" s="3">
        <f>2707.4+(513.9-762.4)+(-1.380774+(-0.262089--0.388824))+0-558.9--0.285038999999943</f>
        <v>1899.0309999999999</v>
      </c>
      <c r="Q291" s="3">
        <f>2829.4+(469-954)+(-1.442994+(-0.23919--0.48654))+0-428.1--0.218330999999957</f>
        <v>1915.3226870000003</v>
      </c>
      <c r="R291" s="3">
        <f>2550.9+(473.8-577.4)+(-2.601918+(-0.483276--0.588948))+0-575.7--0.587214000000092</f>
        <v>1869.6909680000001</v>
      </c>
      <c r="S291" s="3">
        <f>2224.9+(527.9-334.2)+(-3.404097+(-0.807687--0.511326))+0-554.5--0.848385000000032</f>
        <v>1861.2479270000001</v>
      </c>
      <c r="T291" s="3">
        <f>1983.3+(686.7-332.9)+(-2.022966+(-0.700434--0.339558))+0-560.3--0.571506000000089</f>
        <v>1774.9876639999998</v>
      </c>
      <c r="U291" s="3">
        <f>1896.9+(682.5-301.9)+(4.837095+(1.740375-0.769845))+0-524.2-1.33670999999992</f>
        <v>1757.7709150000001</v>
      </c>
      <c r="V291" s="3">
        <f>2230.7+(569.9-449.5)+(-3.412971+(-0.871947--0.687735))+0-510.9--0.781677000000029</f>
        <v>1837.3844939999999</v>
      </c>
      <c r="W291" s="3">
        <f>3489+(519.9-1314.4)+(1.77939+(0.265149-0.670344))+0-645.7-0.329306999999935</f>
        <v>2049.8448879999996</v>
      </c>
      <c r="X291" s="3">
        <f>3647+(546.1-1497.6)+(-7.43988+(-1.114044--3.055104))+0-520.1--1.06100399999998</f>
        <v>2170.9621840000004</v>
      </c>
      <c r="Y291" s="3">
        <f>3414.1+(673.6-1392.7)+(-5.223573+(-1.030608--2.130831))+0-566.3--0.866439000000033</f>
        <v>2125.4430889999999</v>
      </c>
      <c r="Z291" s="3">
        <f>2940.3+(795.5-1014.7)+(-1.499553+(-0.405705--0.517497))+0-646.7--0.329816999999934</f>
        <v>2073.3420560000004</v>
      </c>
      <c r="AA291" s="3">
        <f>2613.7+(885.9-839.6)+(-3.998961+(-1.355427--1.284588))+0-640.9--0.980577000000037</f>
        <v>2016.0107769999997</v>
      </c>
      <c r="AB291" s="3">
        <f>2181.1+(1005.2-696.6)+(-5.561805+(-2.56326--1.77633))+0-603.9--1.53994499999991</f>
        <v>1880.9912099999997</v>
      </c>
      <c r="AC291" s="3">
        <f>1888.1+(1124-596)+(-4.814655+(-2.8662--1.5198))+0-653.8--1.6671899999999</f>
        <v>1757.8061349999998</v>
      </c>
      <c r="AD291">
        <f t="shared" si="4"/>
        <v>43718.266119000007</v>
      </c>
      <c r="AE291" s="3">
        <f>3965+(475.7-1570.1)+(0+(0-0))+0-708.8-0</f>
        <v>2161.8000000000002</v>
      </c>
    </row>
    <row r="292" spans="1:31" customFormat="1" x14ac:dyDescent="0.25">
      <c r="A292">
        <v>89</v>
      </c>
      <c r="B292">
        <v>10</v>
      </c>
      <c r="C292">
        <v>16</v>
      </c>
      <c r="D292">
        <v>6</v>
      </c>
      <c r="E292">
        <v>1</v>
      </c>
      <c r="F292" s="3">
        <f>1338.6+(1283.7-421.6)+(-1.365372+(-1.309374--0.430032))+0-569.1--0.580482000000091</f>
        <v>1629.9357680000001</v>
      </c>
      <c r="G292" s="3">
        <f>1387.2+(1262.5-472.1)+(-2.122416+(-1.931625--0.722313))+0-624.3--0.955179000000036</f>
        <v>1550.9234509999999</v>
      </c>
      <c r="H292" s="3">
        <f>1425.4+(1073.8-409.5)+(-2.907816+(-2.190552--0.83538))+0-586.5--1.19645999999997</f>
        <v>1500.1334719999998</v>
      </c>
      <c r="I292" s="3">
        <f>1559.5+(981-476.4)+(-2.386035+(-1.50093--0.728892))+0-599.3--0.916929000000035</f>
        <v>1462.5588559999999</v>
      </c>
      <c r="J292" s="3">
        <f>1585.1+(988.5-444.7)+(-0.808401+(-0.504135--0.226797))+0-647.1--0.330020999999934</f>
        <v>1481.0442819999996</v>
      </c>
      <c r="K292" s="3">
        <f>1539.5+(1012.4-422.6)+(0+(0-0))+0-630.2-0</f>
        <v>1499.1000000000001</v>
      </c>
      <c r="L292" s="3">
        <f>1455.9+(1124.9-416)+(-0.742509+(-0.573699--0.21216))+0-527.7--0.269126999999946</f>
        <v>1636.265079</v>
      </c>
      <c r="M292" s="3">
        <f>1481.4+(1065.6-259.3)+(0+(0-0))+0-553.7-0</f>
        <v>1733.9999999999998</v>
      </c>
      <c r="N292" s="3">
        <f>1760.6+(888.5-300.7)+(-0.897906+(-0.453135--0.153357))+0-568.7--0.290036999999942</f>
        <v>1778.7923529999994</v>
      </c>
      <c r="O292" s="3">
        <f>2199.8+(776.8-566.3)+(-2.243796+(-0.792336--0.577626))+0-594.8--0.606696000000095</f>
        <v>1813.6481900000003</v>
      </c>
      <c r="P292" s="3">
        <f>2214+(848.1-636.9)+(0+(0-0))+0-594.9-0</f>
        <v>1830.2999999999997</v>
      </c>
      <c r="Q292" s="3">
        <f>2472.3+(759.4-890.1)+(-2.521746+(-0.774588--0.907902))+0-527.5--0.538050000000084</f>
        <v>1812.2496180000003</v>
      </c>
      <c r="R292" s="3">
        <f>2289.4+(817.3-515.1)+(-7.005564+(-2.500938--1.576206))+0-631--1.93086000000007</f>
        <v>1954.6005640000001</v>
      </c>
      <c r="S292" s="3">
        <f>1975.6+(881.1-385.3)+(-3.022668+(-1.348083--0.589509))+0-527.8--0.80753400000003</f>
        <v>1940.6262920000001</v>
      </c>
      <c r="T292" s="3">
        <f>2049.4+(951.3-423.2)+(-2.090388+(-0.970326--0.431664))+0-668.2--0.681564000000107</f>
        <v>1907.3525140000002</v>
      </c>
      <c r="U292" s="3">
        <f>1724+(987.3-417.6)+(0+(0-0))+0-416.6-0</f>
        <v>1877.1</v>
      </c>
      <c r="V292" s="3">
        <f>1802.5+(1057.7-235.2)+(-1.83855+(-1.078854--0.239904))+0-692.6--0.70645200000011</f>
        <v>1930.4289520000004</v>
      </c>
      <c r="W292" s="3">
        <f>2679+(707.7-647.3)+(0+(0-0))+0-594.1-0</f>
        <v>2145.3000000000002</v>
      </c>
      <c r="X292" s="3">
        <f>3150.8+(730.2-923.4)+(-8.03454+(-1.86201--2.35467))+0-690.1--1.7597549999999</f>
        <v>2261.7178750000003</v>
      </c>
      <c r="Y292" s="3">
        <f>2812.3+(751.9-822.5)+(-4.302819+(-1.150407--1.258425))+0-628.3--0.961299000000036</f>
        <v>2110.166498</v>
      </c>
      <c r="Z292" s="3">
        <f>2639.5+(811.5-716.4)+(-1.346145+(-0.413865--0.365364))+0-654.9--0.333998999999934</f>
        <v>2078.6393529999996</v>
      </c>
      <c r="AA292" s="3">
        <f>2347.6+(855.9-553.3)+(-2.394552+(-0.873018--0.564366))+0-651.5--0.664530000000104</f>
        <v>1996.6613259999999</v>
      </c>
      <c r="AB292" s="3">
        <f>2036.9+(917.9-447)+(-1.038819+(-0.468129--0.22797))+0-590.1--0.30095099999994</f>
        <v>1916.7219730000004</v>
      </c>
      <c r="AC292" s="3">
        <f>1691.5+(989.5-305.5)+(-2.587995+(-1.513935--0.467415))+0-553.4--0.846702000000032</f>
        <v>1819.3121869999998</v>
      </c>
      <c r="AD292">
        <f t="shared" si="4"/>
        <v>43667.578603000002</v>
      </c>
      <c r="AE292" s="3">
        <f>3317+(685.5-971.8)+(0+(0-0))+0-694.4-0</f>
        <v>2336.2999999999997</v>
      </c>
    </row>
    <row r="293" spans="1:31" customFormat="1" x14ac:dyDescent="0.25">
      <c r="A293">
        <v>89</v>
      </c>
      <c r="B293">
        <v>10</v>
      </c>
      <c r="C293">
        <v>17</v>
      </c>
      <c r="D293">
        <v>7</v>
      </c>
      <c r="E293">
        <v>1</v>
      </c>
      <c r="F293" s="3">
        <f>1382.9+(1081.8-389.9)+(-0.705279+(-0.551718--0.198849))+0-579.1--0.295340999999941</f>
        <v>1494.9371930000002</v>
      </c>
      <c r="G293" s="3">
        <f>1289.4+(1076.2-357.5)+(-1.972782+(-1.646586--0.546975))+0-548.4--0.839052000000032</f>
        <v>1457.4666590000004</v>
      </c>
      <c r="H293" s="3">
        <f>1343.1+(1050.4-338)+(0+(0-0))+0-642.8-0</f>
        <v>1412.7</v>
      </c>
      <c r="I293" s="3">
        <f>1337.3+(953-320.3)+(0.682023+(0.48603-0.163353))+0-626.7-0.319616999999936</f>
        <v>1343.985083</v>
      </c>
      <c r="J293" s="3">
        <f>1287.2+(997.6-283.6)+(-1.312944+(-1.017552--0.289272))+0-620.8--0.633216000000099</f>
        <v>1378.9919920000002</v>
      </c>
      <c r="K293" s="3">
        <f>1369.2+(941.3-289.6)+(0.698292+(0.480063-0.147696))+0-615.7-0.314006999999938</f>
        <v>1405.9166520000001</v>
      </c>
      <c r="L293" s="3">
        <f>1336.5+(964.6-281.6)+(-3.408075+(-2.45973--0.71808))+0-653.3--1.66591499999991</f>
        <v>1362.7161899999999</v>
      </c>
      <c r="M293" s="3">
        <f>1304+(1051.1-262.8)+(0+(0-0))+0-549.1-0</f>
        <v>1543.2000000000003</v>
      </c>
      <c r="N293" s="3">
        <f>1547.9+(978.1-336.4)+(0+(0-0))+0-599.4-0</f>
        <v>1590.2000000000003</v>
      </c>
      <c r="O293" s="3">
        <f>1754.6+(792.6-320.3)+(3.579384+(1.616904-0.653412))+0-562.4-1.14729599999998</f>
        <v>1667.8955800000001</v>
      </c>
      <c r="P293" s="3">
        <f>1926.8+(693.1-354)+(-2.948004+(-1.060443--0.54162))+0-587.5--0.898875000000034</f>
        <v>1675.832048</v>
      </c>
      <c r="Q293" s="3">
        <f>2178.4+(567.7-446)+(-1.110984+(-0.289527--0.22746))+0-621.2--0.316811999999937</f>
        <v>1678.0437610000001</v>
      </c>
      <c r="R293" s="3">
        <f>2178.1+(542.5-400.8)+(-3.332493+(-0.830025--0.613224))+0-557.2--0.852516000000032</f>
        <v>1759.9032219999997</v>
      </c>
      <c r="S293" s="3">
        <f>1890.8+(798.2-287.5)+(-1.928616+(-0.814164--0.29325))+0-678.9--0.692478000000108</f>
        <v>1720.8429480000002</v>
      </c>
      <c r="T293" s="3">
        <f>1622.9+(931.6-289.7)+(1.655358+(0.950232-0.295494))+0-598.6-0.610572000000095</f>
        <v>1667.8995240000004</v>
      </c>
      <c r="U293" s="3">
        <f>1594.2+(942.4-298)+(0+(0-0))+0-571.7-0</f>
        <v>1666.8999999999999</v>
      </c>
      <c r="V293" s="3">
        <f>1610.2+(1031.3-239.7)+(-4.927212+(-3.155778--0.733482))+0-688.5--2.10681000000008</f>
        <v>1708.0573020000004</v>
      </c>
      <c r="W293" s="3">
        <f>2535+(559.4-567.9)+(-1.29285+(-0.285294--0.289629))+0-578.4--0.294983999999941</f>
        <v>1947.1064689999996</v>
      </c>
      <c r="X293" s="3">
        <f>3372.3+(599.8-1150.9)+(-5.159619+(-0.917694--1.760877))+0-644.6--0.986238000000037</f>
        <v>2173.2698019999998</v>
      </c>
      <c r="Y293" s="3">
        <f>3140.3+(687.1-1008.1)+(0+(0-0))+0-650.9-0</f>
        <v>2168.4</v>
      </c>
      <c r="Z293" s="3">
        <f>2995.3+(863.2-1080.4)+(-6.110412+(-1.760928--2.204016))+0-676.5--1.38005999999997</f>
        <v>2097.3127360000003</v>
      </c>
      <c r="AA293" s="3">
        <f>2724.6+(948.4-1063)+(-1.389546+(-0.483684--0.54213))+0-572.9--0.292178999999942</f>
        <v>2036.0610790000001</v>
      </c>
      <c r="AB293" s="3">
        <f>2256.9+(1037.5-779.1)+(-1.151019+(-0.529125--0.397341))+0-609.1--0.310640999999938</f>
        <v>1905.2278380000002</v>
      </c>
      <c r="AC293" s="3">
        <f>1634.2+(1271.7-627.1)+(-2.500326+(-1.945701--0.959463))+0-545.4--0.834462000000031</f>
        <v>1730.7478980000003</v>
      </c>
      <c r="AD293">
        <f t="shared" si="4"/>
        <v>40593.613976000001</v>
      </c>
      <c r="AE293" s="3">
        <f>3506+(586-1171.5)+(0+(0-0))+0-797.7-0</f>
        <v>2122.8000000000002</v>
      </c>
    </row>
    <row r="294" spans="1:31" customFormat="1" x14ac:dyDescent="0.25">
      <c r="A294">
        <v>89</v>
      </c>
      <c r="B294">
        <v>10</v>
      </c>
      <c r="C294">
        <v>18</v>
      </c>
      <c r="D294">
        <v>1</v>
      </c>
      <c r="E294">
        <v>1</v>
      </c>
      <c r="F294" s="3">
        <f>1448.9+(1343.2-625.9)+(-3.694695+(-3.42516--1.596045))+0-583--1.48664999999992</f>
        <v>1579.16284</v>
      </c>
      <c r="G294" s="3">
        <f>1493.3+(1170.2-566.3)+(-1.523166+(-1.193604--0.577626))+0-600.2--0.612204000000096</f>
        <v>1495.4730599999996</v>
      </c>
      <c r="H294" s="3">
        <f>1433.8+(1120.2-454.4)+(-3.65619+(-2.85651--1.15872))+0-652.6--1.66412999999991</f>
        <v>1443.31015</v>
      </c>
      <c r="I294" s="3">
        <f>1514.1+(995.8-550.2)+(-1.544382+(-1.015716--0.561204))+0-569.2--0.580584000000091</f>
        <v>1389.0816899999998</v>
      </c>
      <c r="J294" s="3">
        <f>1554.1+(974.2-485.1)+(-0.792591+(-0.496842--0.247401))+0-652.4--0.332723999999934</f>
        <v>1390.0906919999998</v>
      </c>
      <c r="K294" s="3">
        <f>1596.5+(986.6-564.8)+(-1.62843+(-1.006332--0.576096))+0-562.9--0.57415800000009</f>
        <v>1453.9154920000003</v>
      </c>
      <c r="L294" s="3">
        <f>1571.5+(1036.3-392.6)+(-0.801465+(-0.528513--0.200226))+0-643.5--0.328184999999935</f>
        <v>1570.8984329999998</v>
      </c>
      <c r="M294" s="3">
        <f>1662.1+(1058.1-421.9)+(0.847671+(0.539631-0.215169))+0-593.9-0.30288899999994</f>
        <v>1705.2692439999996</v>
      </c>
      <c r="N294" s="3">
        <f>2061.7+(901.1-594.9)+(0+(0-0))+0-612.3-0</f>
        <v>1755.5999999999997</v>
      </c>
      <c r="O294" s="3">
        <f>2293.9+(911.4-915)+(-1.169889+(-0.464814--0.46665))+0-475.4--0.242453999999952</f>
        <v>1813.9744010000002</v>
      </c>
      <c r="P294" s="3">
        <f>2363.1+(865-933.6)+(-2.410362+(-0.8823--0.952272))+0-461.2--0.470424000000074</f>
        <v>1831.4300340000002</v>
      </c>
      <c r="Q294" s="3">
        <f>2557.6+(824.8-1083)+(-1.304376+(-0.420648--0.55233))+0-476.4--0.242963999999952</f>
        <v>1822.0702699999997</v>
      </c>
      <c r="R294" s="3">
        <f>2209.5+(846.8-899.9)+(-1.126845+(-0.431868--0.458949))+0-427.3--0.217922999999957</f>
        <v>1728.218159</v>
      </c>
      <c r="S294" s="3">
        <f>1884.1+(980.3-476.9)+(-1.921782+(-0.999906--0.486438))+0-569.9--0.581298000000091</f>
        <v>1815.746048</v>
      </c>
      <c r="T294" s="3">
        <f>1745.6+(968.9-447.7)+(-1.780512+(-0.988278--0.456654))+0-478--0.487560000000076</f>
        <v>1786.9754240000002</v>
      </c>
      <c r="U294" s="3">
        <f>1609.2+(999.6-409.8)+(0+(0-0))+0-412.4-0</f>
        <v>1786.6</v>
      </c>
      <c r="V294" s="3">
        <f>1869.8+(1012.1-459.5)+(0+(0-0))+0-576.3-0</f>
        <v>1846.1000000000001</v>
      </c>
      <c r="W294" s="3">
        <f>2848.2+(813.2-1105.1)+(2.905164+(0.829464-1.127202))+0-452.5-0.461550000000072</f>
        <v>2105.9458760000002</v>
      </c>
      <c r="X294" s="3">
        <f>3163.3+(783.2-1146.9)+(-4.839849+(-1.198296--1.754757))+0-597.4--0.914022000000035</f>
        <v>2198.8306340000004</v>
      </c>
      <c r="Y294" s="3">
        <f>2895.3+(864.7-1016.1)+(-5.906412+(-1.763988--2.072844))+0-536.1--1.09364399999998</f>
        <v>2203.2960880000001</v>
      </c>
      <c r="Z294" s="3">
        <f>2600+(950.1-980)+(-2.652+(-0.969102--0.9996))+0-445.1--0.454002000000071</f>
        <v>2122.8325</v>
      </c>
      <c r="AA294" s="3">
        <f>2670.6+(1001.9-1055.4)+(-2.724012+(-1.021938--1.076508))+0-581.2--0.592824000000093</f>
        <v>2033.823382</v>
      </c>
      <c r="AB294" s="3">
        <f>2488.3+(1113.8-968.4)+(-1.269033+(-0.568038--0.493884))+0-687.8--0.35077799999993</f>
        <v>1944.9075910000004</v>
      </c>
      <c r="AC294" s="3">
        <f>2094.3+(1151.3-825.3)+(-4.272372+(-2.348652--1.683612))+0-608.3--1.24093199999997</f>
        <v>1808.3035199999999</v>
      </c>
      <c r="AD294">
        <f t="shared" si="4"/>
        <v>42631.855528000007</v>
      </c>
      <c r="AE294" s="3">
        <f>3429+(745.6-1458.9)+(0+(0-0))+0-534.1-0</f>
        <v>2181.6</v>
      </c>
    </row>
    <row r="295" spans="1:31" customFormat="1" x14ac:dyDescent="0.25">
      <c r="A295">
        <v>89</v>
      </c>
      <c r="B295">
        <v>10</v>
      </c>
      <c r="C295">
        <v>19</v>
      </c>
      <c r="D295">
        <v>2</v>
      </c>
      <c r="E295">
        <v>1</v>
      </c>
      <c r="F295" s="3">
        <f>1814.1+(1074-598.3)+(-2.775573+(-1.64322--0.915399))+0-642.1--0.982413000000037</f>
        <v>1645.1790190000004</v>
      </c>
      <c r="G295" s="3">
        <f>1697.5+(1129.2-562.6)+(-5.19435+(-3.455352--1.721556))+0-652--1.99512000000008</f>
        <v>1607.1669739999998</v>
      </c>
      <c r="H295" s="3">
        <f>1850.2+(987.6-651.3)+(0.943602+(0.503676-0.332163))+0-650.9-0.331958999999934</f>
        <v>1536.3831560000001</v>
      </c>
      <c r="I295" s="3">
        <f>1759.1+(985.3-603.9)+(-2.691423+(-1.507509--0.923967))+0-634.6--0.970938000000037</f>
        <v>1503.595973</v>
      </c>
      <c r="J295" s="3">
        <f>1795.4+(930.4-566.2)+(1.831308+(0.949008-0.577524))+0-658.1-0.671262000000105</f>
        <v>1503.03153</v>
      </c>
      <c r="K295" s="3">
        <f>1827.7+(932.3-608)+(-1.864254+(-0.950946--0.62016))+0-610.7--0.622914000000097</f>
        <v>1539.7278739999999</v>
      </c>
      <c r="L295" s="3">
        <f>1793.3+(907.6-365.3)+(-3.658332+(-1.851504--0.745212))+0-684.8--1.39699199999997</f>
        <v>1647.432368</v>
      </c>
      <c r="M295" s="3">
        <f>1785.7+(913.3-327.2)+(-2.732121+(-1.397349--0.500616))+0-617.5--0.944775000000036</f>
        <v>1751.6159210000001</v>
      </c>
      <c r="N295" s="3">
        <f>1896.9+(904.9-431.6)+(0.967419+(0.461499-0.220116))+0-587.1-0.29942099999994</f>
        <v>1784.0093810000001</v>
      </c>
      <c r="O295" s="3">
        <f>2289.6+(803.7-731.4)+(-1.167696+(-0.409887--0.373014))+0-587.1--0.29942099999994</f>
        <v>1773.8948520000001</v>
      </c>
      <c r="P295" s="3">
        <f>2548.3+(793.6-1103.3)+(0+(0-0))+0-587.1-0</f>
        <v>1651.5000000000005</v>
      </c>
      <c r="Q295" s="3">
        <f>2847.3+(876.2-1299.3)+(0+(0-0))+0-560.9-0</f>
        <v>1863.3000000000002</v>
      </c>
      <c r="R295" s="3">
        <f>2602.4+(866.2-979.8)+(-5.308896+(-1.767048--1.998792))+0-579.3--1.18177199999997</f>
        <v>1905.6046200000003</v>
      </c>
      <c r="S295" s="3">
        <f>2101.8+(919-601)+(-2.143836+(-0.93738--0.61302))+0-609.3--0.621486000000097</f>
        <v>1808.6532900000004</v>
      </c>
      <c r="T295" s="3">
        <f>2030.7+(965-582.9)+(-4.142628+(-1.9686--1.189116))+0-549.7--1.12138799999998</f>
        <v>1859.299276</v>
      </c>
      <c r="U295" s="3">
        <f>1973.2+(1034.3-735.1)+(0+(0-0))+0-451.9-0</f>
        <v>1820.5</v>
      </c>
      <c r="V295" s="3">
        <f>2315.6+(997.9-836.8)+(0+(0-0))+0-471.1-0</f>
        <v>2005.6</v>
      </c>
      <c r="W295" s="3">
        <f>3237.9+(833-1542.3)+(0+(0-0))+0-544.8-0</f>
        <v>1983.8000000000004</v>
      </c>
      <c r="X295" s="3">
        <f>3378.8+(813-1541.5)+(-5.169564+(-1.24389--2.358495))+0-510.9--0.781677000000029</f>
        <v>2136.126718</v>
      </c>
      <c r="Y295" s="3">
        <f>2691.5+(915.1-811)+(-4.117995+(-1.400103--1.24083))+4.8-583.3--0.892449000000034</f>
        <v>2213.7151810000005</v>
      </c>
      <c r="Z295" s="3">
        <f>2362.2+(1025.3-635)+(-2.409444+(-1.045806--0.6477))+3.5-555.6--0.566712000000089</f>
        <v>2198.1591620000004</v>
      </c>
      <c r="AA295" s="3">
        <f>2264.3+(1038.1-914.9)+(-2.309586+(-1.058862--0.933198))+0-509.6--0.519792000000081</f>
        <v>1875.9845420000001</v>
      </c>
      <c r="AB295" s="3">
        <f>1953.7+(1143.4-563.3)+(-3.985548+(-2.332536--1.149132))+0-638.7--1.30294799999997</f>
        <v>1891.2339960000002</v>
      </c>
      <c r="AC295" s="3">
        <f>1875.7+(1144.3-770.8)+(-0.956607+(-0.583593--0.393108))+0-510.3--0.260252999999948</f>
        <v>1738.0131609999996</v>
      </c>
      <c r="AD295">
        <f t="shared" si="4"/>
        <v>43243.526994000014</v>
      </c>
      <c r="AE295" s="3">
        <f>3873+(758.8-1885.8)+(0+(0-0))+0-621.9-0</f>
        <v>2124.1</v>
      </c>
    </row>
    <row r="296" spans="1:31" customFormat="1" x14ac:dyDescent="0.25">
      <c r="A296">
        <v>89</v>
      </c>
      <c r="B296">
        <v>10</v>
      </c>
      <c r="C296">
        <v>20</v>
      </c>
      <c r="D296">
        <v>3</v>
      </c>
      <c r="E296">
        <v>1</v>
      </c>
      <c r="F296" s="3">
        <f>1732.5+(1140.3-757.4)+(-2.650725+(-1.744659--1.158822))+0-629.1--0.962523000000036</f>
        <v>1484.0259610000003</v>
      </c>
      <c r="G296" s="3">
        <f>1750.2+(1104.5-804)+(-2.677806+(-1.689885--1.23012))+0-623.6--0.954108000000036</f>
        <v>1424.9165369999998</v>
      </c>
      <c r="H296" s="3">
        <f>1785.2+(979.4-760.3)+(2.731356+(1.498482-1.163259))+0-653.7-1.00016100000004</f>
        <v>1352.6664180000002</v>
      </c>
      <c r="I296" s="3">
        <f>1750.2+(838-627.9)+(-1.785204+(-0.85476--0.640458))+0-630--0.6426000000001</f>
        <v>1328.9430940000002</v>
      </c>
      <c r="J296" s="3">
        <f>1807.5+(780.3-629.5)+(-1.84365+(-0.795906--0.64209))+0-616.2--0.628524000000098</f>
        <v>1340.7310580000001</v>
      </c>
      <c r="K296" s="3">
        <f>1768.1+(764.7-517.4)+(0+(0-0))+0-647.7-0</f>
        <v>1367.7</v>
      </c>
      <c r="L296" s="3">
        <f>1753.2+(760-433.9)+(-0.894132+(-0.3876--0.221289))+0-578.5--0.295034999999941</f>
        <v>1500.0345920000002</v>
      </c>
      <c r="M296" s="3">
        <f>1792+(894.5-466)+(1.82784+(0.91239-0.47532))+0-602.8-0.614856000000096</f>
        <v>1619.3500539999998</v>
      </c>
      <c r="N296" s="3">
        <f>1878.5+(828.3-525.9)+(0+(0-0))+0-496.7-0</f>
        <v>1684.2</v>
      </c>
      <c r="O296" s="3">
        <f>2240.4+(802.1-747.1)+(0+(0-0))+0-599.7-0</f>
        <v>1695.7</v>
      </c>
      <c r="P296" s="3">
        <f>2292.3+(709.5-814.3)+(-2.338146+(-0.72369--0.830586))+0-527.1--0.537642000000084</f>
        <v>1658.7063920000003</v>
      </c>
      <c r="Q296" s="3">
        <f>2548.1+(668.3-965.9)+(-1.299531+(-0.340833--0.492609))+0-566.2--0.288761999999943</f>
        <v>1683.4410069999999</v>
      </c>
      <c r="R296" s="3">
        <f>2066.4+(761.3-724.3)+(-7.377048+(-2.717841--2.585751))+0-545--1.94565000000001</f>
        <v>1552.8365120000003</v>
      </c>
      <c r="S296" s="3">
        <f>2117.6+(807-578.7)+(-1.079976+(-0.41157--0.295137))+0-525.2--0.267851999999947</f>
        <v>1819.7714429999994</v>
      </c>
      <c r="T296" s="3">
        <f>2024.8+(869.2-568.2)+(0+(0-0))+0-437.7-0</f>
        <v>1888.1000000000001</v>
      </c>
      <c r="U296" s="3">
        <f>2040.2+(850.8-475.3)+(0+(0-0))+0-639.3-0</f>
        <v>1776.3999999999999</v>
      </c>
      <c r="V296" s="3">
        <f>1827.5+(760.6-431.4)+(-4.660125+(-1.93953--1.10007))+0-466.3--1.18906499999993</f>
        <v>1686.0894799999999</v>
      </c>
      <c r="W296" s="3">
        <f>2773.9+(744.3-902.1)+(0+(0-0))+0-570.4-0</f>
        <v>2045.6999999999998</v>
      </c>
      <c r="X296" s="3">
        <f>3146.5+(749.3-1000.5)+(-6.41886+(-1.528572--2.04102))+0-528.7--1.07854799999998</f>
        <v>2361.772136</v>
      </c>
      <c r="Y296" s="3">
        <f>2734+(745.2-756.1)+(-4.18302+(-1.140156--1.156833))+0-522.1--0.79881300000003</f>
        <v>2197.63247</v>
      </c>
      <c r="Z296" s="3">
        <f>2406.2+(724.6-618.7)+(-1.227162+(-0.369546--0.315537))+0-558.6--0.284885999999943</f>
        <v>1952.5037149999998</v>
      </c>
      <c r="AA296" s="3">
        <f>2302.7+(752.8-539.9)+(2.348754+(0.767856-0.550698))+0-544.7-0.555594000000087</f>
        <v>1972.9103179999997</v>
      </c>
      <c r="AB296" s="3">
        <f>1905.2+(1015.5-380.2)+(-1.943304+(-1.03581--0.387804))+0-550.1--0.561102000000088</f>
        <v>1988.3697920000004</v>
      </c>
      <c r="AC296" s="3">
        <f>1810.4+(918.6-387.5)+(-1.846608+(-0.936972--0.39525))+0-489.5--0.499290000000078</f>
        <v>1850.1109599999997</v>
      </c>
      <c r="AD296">
        <f t="shared" si="4"/>
        <v>41232.611939000002</v>
      </c>
      <c r="AE296" s="3">
        <f>3286+(720-1267.2)+(0+(0-0))+0-568-0</f>
        <v>2170.8000000000002</v>
      </c>
    </row>
    <row r="297" spans="1:31" customFormat="1" x14ac:dyDescent="0.25">
      <c r="A297">
        <v>89</v>
      </c>
      <c r="B297">
        <v>10</v>
      </c>
      <c r="C297">
        <v>21</v>
      </c>
      <c r="D297">
        <v>4</v>
      </c>
      <c r="E297">
        <v>1</v>
      </c>
      <c r="F297" s="3">
        <f>1823.8+(878.9-366.2)+(-1.860276+(-0.896478--0.373524))+0-636.8--0.649536000000101</f>
        <v>1697.9663060000003</v>
      </c>
      <c r="G297" s="3">
        <f>1837+(849-558.9)+(-1.87374+(-0.86598--0.570078))+0-483.8--0.493476000000077</f>
        <v>1641.6238340000002</v>
      </c>
      <c r="H297" s="3">
        <f>1847.7+(888.8-485.5)+(0.942327+(0.453288-0.247605))+0-681.5-0.347564999999931</f>
        <v>1570.3004449999999</v>
      </c>
      <c r="I297" s="3">
        <f>1833.3+(670.4-493)+(0.934983+(0.341904-0.25143))+0-463.2-0.236231999999953</f>
        <v>1548.2892249999998</v>
      </c>
      <c r="J297" s="3">
        <f>1765.4+(809-331.8)+(1.800708+(0.82518-0.338436))+0-682.2-0.695844000000109</f>
        <v>1561.9916079999998</v>
      </c>
      <c r="K297" s="3">
        <f>1849.1+(693.6-449.1)+(-0.943041+(-0.353736--0.229041))+0-487.3--0.248522999999951</f>
        <v>1605.480787</v>
      </c>
      <c r="L297" s="3">
        <f>1720.6+(809.7-250.1)+(-5.265036+(-2.477682--0.765306))+0-540.3--1.65331800000006</f>
        <v>1734.5759059999998</v>
      </c>
      <c r="M297" s="3">
        <f>1712.5+(918.2-216.9)+(0+(0-0))+0-575.5-0</f>
        <v>1838.3000000000002</v>
      </c>
      <c r="N297" s="3">
        <f>1897.6+(713.3-324.3)+(-1.935552+(-0.727566--0.330786))+0-402.3--0.410346000000064</f>
        <v>1882.3780140000001</v>
      </c>
      <c r="O297" s="3">
        <f>2257.3+(657-613.9)+(-1.151223+(-0.33507--0.313089))+0-446.2--0.227561999999955</f>
        <v>1853.2543579999999</v>
      </c>
      <c r="P297" s="3">
        <f>2503.5+(610.4-1043)+(1.276785+(0.311304-0.53193))+0-277.5-0.141524999999972</f>
        <v>1794.3146340000003</v>
      </c>
      <c r="Q297" s="3">
        <f>2328.8+(589.6-918.6)+(-3.563064+(-0.902088--1.405458))+0-241.9--0.370107000000014</f>
        <v>1755.210413</v>
      </c>
      <c r="R297" s="3">
        <f>1904+(690.9-525.9)+(-4.8552+(-1.761795--1.341045))+0-215.2--0.548759999999969</f>
        <v>1849.0728099999997</v>
      </c>
      <c r="S297" s="3">
        <f>1939.9+(706-470.4)+(0+(0-0))+0-236.6-0</f>
        <v>1938.9</v>
      </c>
      <c r="T297" s="3">
        <f>1989.2+(792.3-483.2)+(1.014492+(0.404073-0.246432))+0-397.4-0.20267399999996</f>
        <v>1901.8694590000002</v>
      </c>
      <c r="U297" s="3">
        <f>1931.1+(846.1-436.4)+(0+(0-0))+0-486.8-0</f>
        <v>1854.0000000000002</v>
      </c>
      <c r="V297" s="3">
        <f>2223.3+(576-630.4)+(-1.133883+(-0.29376--0.321504))+0-477.9--0.243728999999952</f>
        <v>1690.13759</v>
      </c>
      <c r="W297" s="3">
        <f>3311.6+(399.1-1293)+(1.688916+(0.203541-0.65943))+0-504.1-0.257090999999949</f>
        <v>1914.5759360000002</v>
      </c>
      <c r="X297" s="3">
        <f>3564+(486.3-1264.4)+(-5.45292+(-0.744039--1.934532))+0-504.7--0.772191000000029</f>
        <v>2277.7097639999997</v>
      </c>
      <c r="Y297" s="3">
        <f>3034.3+(580.7-919.6)+(-6.189972+(-1.184628--1.875984))+0-478.1--0.975323999999979</f>
        <v>2212.7767080000003</v>
      </c>
      <c r="Z297" s="3">
        <f>2654+(704.1-559.2)+(-5.41416+(-1.436364--1.140768))+0-595.6--1.21502399999997</f>
        <v>2198.8052680000001</v>
      </c>
      <c r="AA297" s="3">
        <f>2236.7+(818.5-361.7)+(-4.562868+(-1.66974--0.737868))+0-589.4--1.20237599999997</f>
        <v>2099.807636</v>
      </c>
      <c r="AB297" s="3">
        <f>1959.3+(992.3-395.4)+(-2.997729+(-1.518219--0.604962))+0-559.2--0.855576000000032</f>
        <v>1993.9445899999998</v>
      </c>
      <c r="AC297" s="3">
        <f>1869.4+(1079.3-516.7)+(-6.673758+(-3.853101--1.844619))+0-548.7--1.95885900000001</f>
        <v>1876.5766189999999</v>
      </c>
      <c r="AD297">
        <f t="shared" si="4"/>
        <v>44291.861909999992</v>
      </c>
      <c r="AE297" s="3">
        <f>3754+(433.2-1360.7)+(0+(0-0))+0-583.9-0</f>
        <v>2242.6</v>
      </c>
    </row>
    <row r="298" spans="1:31" customFormat="1" x14ac:dyDescent="0.25">
      <c r="A298">
        <v>89</v>
      </c>
      <c r="B298">
        <v>10</v>
      </c>
      <c r="C298">
        <v>22</v>
      </c>
      <c r="D298">
        <v>5</v>
      </c>
      <c r="E298">
        <v>1</v>
      </c>
      <c r="F298" s="3">
        <f>1848.1+(992.9-595.5)+(1.885062+(1.012758-0.60741))+0-494.8-0.504696000000079</f>
        <v>1752.4857140000001</v>
      </c>
      <c r="G298" s="3">
        <f>1977.1+(905.7-586.7)+(0+(0-0))+0-653.8-0</f>
        <v>1642.3</v>
      </c>
      <c r="H298" s="3">
        <f>1784.7+(856-515.4)+(0+(0-0))+0-522.1-0</f>
        <v>1603.2000000000003</v>
      </c>
      <c r="I298" s="3">
        <f>1719.9+(959.5-455.9)+(0+(0-0))+0-638.2-0</f>
        <v>1585.3</v>
      </c>
      <c r="J298" s="3">
        <f>1767.1+(839.6-487.5)+(4.506105+(2.14098-1.243125))+0-530.5-1.35277499999992</f>
        <v>1592.7511850000001</v>
      </c>
      <c r="K298" s="3">
        <f>1917.5+(784.7-496.8)+(0+(0-0))+0-574.2-0</f>
        <v>1631.2</v>
      </c>
      <c r="L298" s="3">
        <f>1827.6+(849.1-366.7)+(-0.932076+(-0.433041--0.187017))+0-586.4--0.29906399999994</f>
        <v>1722.7209639999999</v>
      </c>
      <c r="M298" s="3">
        <f>1932.8+(762.7-393.8)+(0.985728+(0.388977-0.200838))+0-448.4-0.228683999999955</f>
        <v>1854.2451829999998</v>
      </c>
      <c r="N298" s="3">
        <f>2011.2+(797.4-423.4)+(4.102848+(1.626696-0.863736))+0-567.5-1.15769999999998</f>
        <v>1821.4081079999999</v>
      </c>
      <c r="O298" s="3">
        <f>2458.7+(719-790.3)+(2.507874+(0.73338-0.806106))+0-478.3-0.487866000000076</f>
        <v>1911.0472819999995</v>
      </c>
      <c r="P298" s="3">
        <f>2868.4+(655.6-1044.6)+(5.851536+(1.337424-2.130984))+0-597.3-1.21849199999997</f>
        <v>1885.9394840000002</v>
      </c>
      <c r="Q298" s="3">
        <f>3009.1+(626.9-1210)+(0+(0-0))+0-510.5-0</f>
        <v>1915.5</v>
      </c>
      <c r="R298" s="3">
        <f>2532.2+(680-739.1)+(-3.874266+(-1.0404--1.130823))+0-559.2--0.855576000000032</f>
        <v>1910.9717329999996</v>
      </c>
      <c r="S298" s="3">
        <f>2028.6+(755.1-315.1)+(-4.138344+(-1.540404--0.642804))+0-553--1.12811999999998</f>
        <v>1911.6921759999998</v>
      </c>
      <c r="T298" s="3">
        <f>1839.5+(870.9-296)+(0+(0-0))+0-542-0</f>
        <v>1872.4</v>
      </c>
      <c r="U298" s="3">
        <f>1812.9+(914-276.1)+(-1.849158+(-0.93228--0.281622))+0-566.1--0.57742200000009</f>
        <v>1882.7776060000003</v>
      </c>
      <c r="V298" s="3">
        <f>2087.1+(774-432.1)+(-6.386526+(-2.36844--1.322226))+0-533.4--1.63220400000006</f>
        <v>1889.7994639999997</v>
      </c>
      <c r="W298" s="3">
        <f>2771.8+(528.4-566.9)+(-1.413618+(-0.269484--0.289119))+0-592.1--0.30197099999994</f>
        <v>2140.1079880000002</v>
      </c>
      <c r="X298" s="3">
        <f>3115.7+(485.9-766.6)+(-4.767021+(-0.743427--1.172898))+0-481.8--0.737154000000028</f>
        <v>2349.5996039999995</v>
      </c>
      <c r="Y298" s="3">
        <f>2681.1+(599.7-453.5)+(-2.734722+(-0.611694--0.46257))+0-554.5--0.565590000000088</f>
        <v>2270.4817440000002</v>
      </c>
      <c r="Z298" s="3">
        <f>2446.2+(667.2-440.5)+(-1.247562+(-0.340272--0.224655))+0-500.6--0.255305999999949</f>
        <v>2171.1921269999998</v>
      </c>
      <c r="AA298" s="3">
        <f>2124.3+(810.2-327.9)+(-1.083393+(-0.413202--0.167229))+0-529.2--0.269891999999946</f>
        <v>2076.3405260000004</v>
      </c>
      <c r="AB298" s="3">
        <f>1972.8+(898.1-396.6)+(-1.006128+(-0.458031--0.202266))+0-432.5--0.220574999999956</f>
        <v>2040.7586820000004</v>
      </c>
      <c r="AC298" s="3">
        <f>1975.5+(958.7-399.5)+(-2.01501+(-0.977874--0.40749))+0-594.8--0.606696000000095</f>
        <v>1937.9213019999997</v>
      </c>
      <c r="AD298">
        <f t="shared" si="4"/>
        <v>45372.140871999996</v>
      </c>
      <c r="AE298" s="3">
        <f>3310.2+(500.6-849.5)+(0+(0-0))+0-658.4-0</f>
        <v>2302.8999999999996</v>
      </c>
    </row>
    <row r="299" spans="1:31" customFormat="1" x14ac:dyDescent="0.25">
      <c r="A299">
        <v>89</v>
      </c>
      <c r="B299">
        <v>10</v>
      </c>
      <c r="C299">
        <v>23</v>
      </c>
      <c r="D299">
        <v>6</v>
      </c>
      <c r="E299">
        <v>1</v>
      </c>
      <c r="F299" s="3">
        <f>1789.8+(877.3-444.4)+(-2.738394+(-1.342269--0.679932))+0-444.2--0.679626000000026</f>
        <v>1775.7788949999997</v>
      </c>
      <c r="G299" s="3">
        <f>1891.4+(824.9-430.8)+(0+(0-0))+0-593.1-0</f>
        <v>1692.4</v>
      </c>
      <c r="H299" s="3">
        <f>1810.6+(804.3-539.9)+(0.923406+(0.410193-0.275349))+0-438.9-0.223838999999955</f>
        <v>1636.934411</v>
      </c>
      <c r="I299" s="3">
        <f>1832.7+(873.4-419.9)+(0.934677+(0.445434-0.214149))+0-676.9-0.345218999999931</f>
        <v>1610.1207429999997</v>
      </c>
      <c r="J299" s="3">
        <f>1796.9+(776.6-474.5)+(1.832838+(0.792132-0.48399))+0-532.6-0.543252000000085</f>
        <v>1567.9977280000001</v>
      </c>
      <c r="K299" s="3">
        <f>1972.8+(729.7-486.2)+(2.012256+(0.744294-0.495924))+0-547.4-0.558348000000087</f>
        <v>1670.6022779999998</v>
      </c>
      <c r="L299" s="3">
        <f>1884.7+(762.3-264.7)+(0+(0-0))+0-579-0</f>
        <v>1803.3000000000002</v>
      </c>
      <c r="M299" s="3">
        <f>2004.2+(706.8-292.8)+(-1.022142+(-0.360468--0.149328))+0-532.2--0.271421999999946</f>
        <v>1885.0381399999997</v>
      </c>
      <c r="N299" s="3">
        <f>2127.6+(648.9-281.3)+(-2.170152+(-0.661878--0.286926))+0-603--0.615060000000096</f>
        <v>1890.2699560000001</v>
      </c>
      <c r="O299" s="3">
        <f>2587.7+(493.1-608.2)+(1.319727+(0.251481-0.310182))+0-526-0.268259999999947</f>
        <v>1947.592766</v>
      </c>
      <c r="P299" s="3">
        <f>3263.9+(441.9-1182.2)+(3.329178+(0.450738-1.205844))+0-597-0.608940000000095</f>
        <v>1928.5651319999997</v>
      </c>
      <c r="Q299" s="3">
        <f>3113.7+(459.8-1108.9)+(-1.587987+(-0.234498--0.565539))+0-528--0.269279999999946</f>
        <v>1935.6123339999995</v>
      </c>
      <c r="R299" s="3">
        <f>2967.6+(486.6-1017.1)+(-1.513476+(-0.248166--0.518721))+0-564.5--0.287894999999943</f>
        <v>1871.6449739999998</v>
      </c>
      <c r="S299" s="3">
        <f>2787.5+(519.3-885.9)+(0+(0-0))+0-541.1-0</f>
        <v>1879.8000000000002</v>
      </c>
      <c r="T299" s="3">
        <f>2383.9+(564.3-525.6)+(-4.863156+(-1.151172--1.072224))+0-567.7--1.15810799999998</f>
        <v>1851.1160039999997</v>
      </c>
      <c r="U299" s="3">
        <f>2133.6+(576.4-416.6)+(0+(0-0))+0-500.9-0</f>
        <v>1792.4999999999995</v>
      </c>
      <c r="V299" s="3">
        <f>2330+(574.5-463.4)+(-1.1883+(-0.292995--0.236334))+0-591.5--0.30166499999994</f>
        <v>1848.656704</v>
      </c>
      <c r="W299" s="3">
        <f>3206.7+(443.1-1053.7)+(0+(0-0))+0-568.5-0</f>
        <v>2027.6</v>
      </c>
      <c r="X299" s="3">
        <f>4014.4+(368.4-1532.7)+(-4.094688+(-0.375768--1.563354))+0-532.6--0.543252000000085</f>
        <v>2315.1361499999998</v>
      </c>
      <c r="Y299" s="3">
        <f>3390.8+(423.7-997.5)+(-3.458616+(-0.432174--1.01745))+0-557.5--0.568650000000089</f>
        <v>2257.1953100000001</v>
      </c>
      <c r="Z299" s="3">
        <f>2683.1+(548.4-475.9)+(-2.736762+(-0.559368--0.485418))+0-531.2--0.541824000000085</f>
        <v>2222.131112</v>
      </c>
      <c r="AA299" s="3">
        <f>2450.8+(673.2-324)+(2.499816+(0.686664-0.33048))+0-635.9-0.648618000000101</f>
        <v>2166.307382</v>
      </c>
      <c r="AB299" s="3">
        <f>2280.3+(745-345.1)+(-2.325906+(-0.7599--0.352002))+0-562.8--0.57405600000009</f>
        <v>2115.2402520000001</v>
      </c>
      <c r="AC299" s="3">
        <f>2046.6+(861.3-314.4)+(-3.131298+(-1.317789--0.481032))+0-614.3--0.939879000000035</f>
        <v>1976.1718240000002</v>
      </c>
      <c r="AD299">
        <f t="shared" si="4"/>
        <v>45667.712095000003</v>
      </c>
      <c r="AE299" s="3">
        <f>4121+(381.1-1649.2)+(0+(0-0))+0-552.5-0</f>
        <v>2300.4</v>
      </c>
    </row>
    <row r="300" spans="1:31" customFormat="1" x14ac:dyDescent="0.25">
      <c r="A300">
        <v>89</v>
      </c>
      <c r="B300">
        <v>10</v>
      </c>
      <c r="C300">
        <v>24</v>
      </c>
      <c r="D300">
        <v>7</v>
      </c>
      <c r="E300">
        <v>1</v>
      </c>
      <c r="F300" s="3">
        <f>1943.5+(803.9-420.9)+(0+(0-0))+0-517.9-0</f>
        <v>1808.6</v>
      </c>
      <c r="G300" s="3">
        <f>1811+(896-406.5)+(-2.77083+(-1.37088--0.621945))+0-581.5--0.889695000000034</f>
        <v>1716.3699300000001</v>
      </c>
      <c r="H300" s="3">
        <f>1867.4+(821.8-352)+(-0.952374+(-0.419118--0.17952))+0-636.9--0.324818999999935</f>
        <v>1699.4328469999996</v>
      </c>
      <c r="I300" s="3">
        <f>1862.8+(784.9-503.9)+(0.950028+(0.400299-0.256989))+0-500.9-0.255458999999949</f>
        <v>1643.7378790000002</v>
      </c>
      <c r="J300" s="3">
        <f>1876.4+(826.7-412.8)+(0.956964+(0.421617-0.210528))+0-659-0.336089999999933</f>
        <v>1632.131963</v>
      </c>
      <c r="K300" s="3">
        <f>1858.4+(777.4-473.2)+(3.791136+(1.585896-0.965328))+0-500.5-1.02101999999998</f>
        <v>1665.4906840000001</v>
      </c>
      <c r="L300" s="3">
        <f>1847.2+(850.8-313)+(-2.826216+(-1.301724--0.47889))+0-643--0.983790000000037</f>
        <v>1739.33474</v>
      </c>
      <c r="M300" s="3">
        <f>1821.1+(839-362.7)+(-3.715044+(-1.71156--0.739908))+0-504.2--1.02856799999998</f>
        <v>1789.5418719999998</v>
      </c>
      <c r="N300" s="3">
        <f>2140.2+(732.7-420.7)+(3.274506+(1.121031-0.643671))+0-598.6-0.915858000000035</f>
        <v>1856.4360079999999</v>
      </c>
      <c r="O300" s="3">
        <f>2114.9+(699.1-345.5)+(-2.157198+(-0.713082--0.35241))+0-545.2--0.556104000000087</f>
        <v>1921.3382339999998</v>
      </c>
      <c r="P300" s="3">
        <f>2104.3+(743.3-322.3)+(-2.146386+(-0.758166--0.328746))+0-561.8--0.57303600000009</f>
        <v>1961.4972300000004</v>
      </c>
      <c r="Q300" s="3">
        <f>2117.2+(674.4-359.5)+(-3.239316+(-1.031832--0.550035))+0-486.8--0.744804000000028</f>
        <v>1942.3236909999998</v>
      </c>
      <c r="R300" s="3">
        <f>2192.3+(606.4-387)+(-4.472292+(-1.237056--0.78948))+0-542.4--1.10649599999998</f>
        <v>1865.4866280000001</v>
      </c>
      <c r="S300" s="3">
        <f>2049.9+(591.9-329.7)+(-3.136347+(-0.905607--0.504441))+0-503.4--0.770202000000029</f>
        <v>1805.9326889999995</v>
      </c>
      <c r="T300" s="3">
        <f>1908.7+(657.2-272.1)+(-0.973437+(-0.335172--0.138771))+0-530.7--0.270656999999946</f>
        <v>1762.2008190000004</v>
      </c>
      <c r="U300" s="3">
        <f>2181.4+(442.1-327.1)+(-5.56257+(-1.127355--0.834105))+0-533.8--1.36118999999992</f>
        <v>1758.1053699999998</v>
      </c>
      <c r="V300" s="3">
        <f>1996.9+(605.3-281.4)+(-5.092095+(-1.543515--0.71757))+0-509.9--1.30024499999993</f>
        <v>1806.282205</v>
      </c>
      <c r="W300" s="3">
        <f>2561.1+(486.4-432.7)+(-3.918483+(-0.744192--0.662031))+0-610.2--0.933606000000035</f>
        <v>2001.5329619999995</v>
      </c>
      <c r="X300" s="3">
        <f>3121.9+(342-701.9)+(-1.592169+(-0.17442--0.357969))+0-545.2--0.278051999999945</f>
        <v>2215.6694320000001</v>
      </c>
      <c r="Y300" s="3">
        <f>3185.5+(358.9-728)+(-4.873815+(-0.549117--1.11384))+0-619.7--0.948141000000036</f>
        <v>2193.3390490000002</v>
      </c>
      <c r="Z300" s="3">
        <f>2539.8+(545.4-391.8)+(1.295298+(0.278154-0.199818))+0-543.5-0.277184999999945</f>
        <v>2150.9964490000002</v>
      </c>
      <c r="AA300" s="3">
        <f>2494.9+(559.7-382.2)+(-1.272399+(-0.285447--0.194922))+0-616.9--0.314618999999937</f>
        <v>2054.4516949999997</v>
      </c>
      <c r="AB300" s="3">
        <f>2122.4+(684.4-311.9)+(-3.247272+(-1.047132--0.477207))+0-492.2--0.753066000000028</f>
        <v>1999.6358690000002</v>
      </c>
      <c r="AC300" s="3">
        <f>2164.6+(724.4-467.5)+(2.207892+(0.738888-0.47685))+0-578.5-0.590070000000092</f>
        <v>1844.87986</v>
      </c>
      <c r="AD300">
        <f t="shared" si="4"/>
        <v>44834.748104999999</v>
      </c>
      <c r="AE300" s="3">
        <f>3249.1+(382.6-747.8)+(0+(0-0))+0-601.2-0</f>
        <v>2282.6999999999998</v>
      </c>
    </row>
    <row r="301" spans="1:31" customFormat="1" x14ac:dyDescent="0.25">
      <c r="A301">
        <v>89</v>
      </c>
      <c r="B301">
        <v>10</v>
      </c>
      <c r="C301">
        <v>25</v>
      </c>
      <c r="D301">
        <v>1</v>
      </c>
      <c r="E301">
        <v>1</v>
      </c>
      <c r="F301" s="3">
        <f>2124+(679.1-588.8)+(-3.24972+(-1.039023--0.900864))+0-452.6--0.692478000000026</f>
        <v>1759.0045990000003</v>
      </c>
      <c r="G301" s="3">
        <f>2040.7+(628.3-449.2)+(0+(0-0))+0-568.9-0</f>
        <v>1650.9</v>
      </c>
      <c r="H301" s="3">
        <f>1966.3+(641.6-556.6)+(-2.005626+(-0.654432--0.567732))+0-442.8--0.451656000000071</f>
        <v>1606.8593300000005</v>
      </c>
      <c r="I301" s="3">
        <f>1990.4+(685.7-534.8)+(2.030208+(0.699414-0.545496))+0-551.7-0.562734000000088</f>
        <v>1591.2213920000002</v>
      </c>
      <c r="J301" s="3">
        <f>1952.9+(626.8-449.4)+(1.991958+(0.639336-0.458388))+0-548.5-0.559470000000088</f>
        <v>1583.4134359999998</v>
      </c>
      <c r="K301" s="3">
        <f>1980.5+(610.2-383.2)+(-2.02011+(-0.622404--0.390864))+0-585.5--0.597210000000093</f>
        <v>1620.34556</v>
      </c>
      <c r="L301" s="3">
        <f>1936.9+(643.3-280.8)+(-2.963457+(-0.984249--0.429624))+0-534--0.817020000000031</f>
        <v>1762.698938</v>
      </c>
      <c r="M301" s="3">
        <f>2091.7+(673.8-259.1)+(-1.066767+(-0.343638--0.132141))+0-645.5--0.329204999999935</f>
        <v>1859.9509409999996</v>
      </c>
      <c r="N301" s="3">
        <f>2281.5+(565.8-394.8)+(1.163565+(0.288558-0.201348))+0-527-0.268769999999947</f>
        <v>1926.4820050000001</v>
      </c>
      <c r="O301" s="3">
        <f>2676.9+(467.9-610)+(1.365219+(0.238629-0.3111))+0-615.3-0.313802999999938</f>
        <v>1920.4789450000001</v>
      </c>
      <c r="P301" s="3">
        <f>3148+(439.3-1097.2)+(0+(0-0))+0-539.2-0</f>
        <v>1950.8999999999999</v>
      </c>
      <c r="Q301" s="3">
        <f>3507.7+(347.2-1229.1)+(0+(0-0))+0-560.5-0</f>
        <v>2065.3000000000002</v>
      </c>
      <c r="R301" s="3">
        <f>2838.7+(345.5-728.7)+(-1.447737+(-0.176205--0.371637))+0-482.3--0.245972999999951</f>
        <v>1972.1936680000001</v>
      </c>
      <c r="S301" s="3">
        <f>2582.7+(369.1-378.9)+(0+(0-0))+0-695.5-0</f>
        <v>1877.3999999999996</v>
      </c>
      <c r="T301" s="3">
        <f>2282.1+(432.6-229.2)+(1.163871+(0.220626-0.116892))+0-554.8-0.282947999999944</f>
        <v>1931.684657</v>
      </c>
      <c r="U301" s="3">
        <f>2197.8+(411.3-141.8)+(1.120878+(0.209763-0.072318))+0-559.6-0.285395999999943</f>
        <v>1908.6729270000003</v>
      </c>
      <c r="V301" s="3">
        <f>2445.2+(416.3-262.6)+(-1.247052+(-0.212313--0.133926))+0-566.9--0.289118999999943</f>
        <v>2030.9636799999994</v>
      </c>
      <c r="W301" s="3">
        <f>3329.4+(401.2-940.3)+(1.697994+(0.204612-0.479553))+0-616.7-0.314516999999937</f>
        <v>2174.7085360000001</v>
      </c>
      <c r="X301" s="3">
        <f>3500.3+(408.5-1051)+(-7.140612+(-0.83334--2.14404))+0-581.5--1.18625999999997</f>
        <v>2271.656348</v>
      </c>
      <c r="Y301" s="3">
        <f>2894.7+(587.1-667.1)+(-1.476297+(-0.299421--0.340221))+0-576.2--0.293861999999942</f>
        <v>2237.3583649999996</v>
      </c>
      <c r="Z301" s="3">
        <f>2244.5+(724.9-293)+(-5.723475+(-1.848495--0.74715))+0-539.6--1.37597999999992</f>
        <v>2131.3511600000002</v>
      </c>
      <c r="AA301" s="3">
        <f>2276.4+(742.7-276.4)+(-3.482892+(-1.136331--0.422892))+0-665.6--1.01836800000004</f>
        <v>2073.9220370000003</v>
      </c>
      <c r="AB301" s="3">
        <f>2114+(762-253.5)+(-2.15628+(-0.77724--0.25857))+0-658.7--0.671874000000105</f>
        <v>1961.796924</v>
      </c>
      <c r="AC301" s="3">
        <f>2036.7+(821.6-308.2)+(-5.193585+(-2.09508--0.78591))+0-707.9--1.8051449999999</f>
        <v>1837.5023900000001</v>
      </c>
      <c r="AD301">
        <f t="shared" si="4"/>
        <v>45706.765838000007</v>
      </c>
      <c r="AE301" s="3">
        <f>3899+(349.1-1345.3)+(0+(0-0))+0-607.5-0</f>
        <v>2295.3000000000002</v>
      </c>
    </row>
    <row r="302" spans="1:31" customFormat="1" x14ac:dyDescent="0.25">
      <c r="A302">
        <v>89</v>
      </c>
      <c r="B302">
        <v>10</v>
      </c>
      <c r="C302">
        <v>26</v>
      </c>
      <c r="D302">
        <v>2</v>
      </c>
      <c r="E302">
        <v>1</v>
      </c>
      <c r="F302" s="3">
        <f>2176.9+(614.5-569.1)+(-1.110219+(-0.313395--0.290241))+0-451.4--0.230213999999954</f>
        <v>1769.9968409999999</v>
      </c>
      <c r="G302" s="3">
        <f>2240.6+(559.9-479.9)+(-2.285412+(-0.571098--0.489498))+0-671.6--0.685032000000107</f>
        <v>1647.3180199999999</v>
      </c>
      <c r="H302" s="3">
        <f>1977.8+(625.4-422.2)+(-3.026034+(-0.956862--0.645966))+0-595.2--0.910656000000034</f>
        <v>1583.373726</v>
      </c>
      <c r="I302" s="3">
        <f>2020.8+(654.7-432.8)+(-2.061216+(-0.667794--0.441456))+0-652--0.665040000000104</f>
        <v>1589.0774859999999</v>
      </c>
      <c r="J302" s="3">
        <f>1964.6+(665.7-521.8)+(-5.00973+(-1.697535--1.33059))+0-519.2--1.32395999999992</f>
        <v>1585.2472849999999</v>
      </c>
      <c r="K302" s="3">
        <f>2329.7+(559.4-591.5)+(2.376294+(0.570588-0.60333))+0-680.4-0.694008000000108</f>
        <v>1618.8495439999995</v>
      </c>
      <c r="L302" s="3">
        <f>1953.3+(676.1-309.3)+(-5.977098+(-2.068866--0.946458))+0-635.5--1.94463000000007</f>
        <v>1679.4451239999999</v>
      </c>
      <c r="M302" s="3">
        <f>2020.6+(726-289.4)+(-1.030506+(-0.37026--0.147594))+0-642.8--0.327827999999935</f>
        <v>1813.4746559999996</v>
      </c>
      <c r="N302" s="3">
        <f>2177.2+(513.3-303.4)+(-4.441488+(-1.047132--0.618936))+0-510.6--1.04162399999998</f>
        <v>1872.6719400000002</v>
      </c>
      <c r="O302" s="3">
        <f>2283.3+(459.6-350)+(0+(0-0))+0-483.3-0</f>
        <v>1909.6000000000001</v>
      </c>
      <c r="P302" s="3">
        <f>2469.4+(505.4-518.8)+(-2.518788+(-0.515508--0.529176))+0-516.4--0.526728000000082</f>
        <v>1937.6216080000002</v>
      </c>
      <c r="Q302" s="3">
        <f>2811.1+(510.4-773.4)+(-2.867322+(-0.520608--0.788868))+0-516.4--0.526728000000082</f>
        <v>2029.6276660000001</v>
      </c>
      <c r="R302" s="3">
        <f>2630.3+(488.1-696.7)+(0+(0-0))+0-522.5-0</f>
        <v>1899.2000000000003</v>
      </c>
      <c r="S302" s="3">
        <f>2422+(507.4-506.5)+(-1.23522+(-0.258774--0.258315))+0-582.3--0.296972999999941</f>
        <v>1839.6612940000002</v>
      </c>
      <c r="T302" s="3">
        <f>2196.5+(571.2-387.8)+(-2.24043+(-0.582624--0.395556))+0-576.7--0.588234000000092</f>
        <v>1801.3607360000001</v>
      </c>
      <c r="U302" s="3">
        <f>2167.4+(597.2-364.9)+(-2.210748+(-0.609144--0.372198))+0-539.8--0.550596000000086</f>
        <v>1858.0029020000004</v>
      </c>
      <c r="V302" s="3">
        <f>2310.8+(516.9-409.3)+(-4.714032+(-1.054476--0.834972))+0-563--1.14851999999998</f>
        <v>1851.614984</v>
      </c>
      <c r="W302" s="3">
        <f>3027+(455.4-890)+(0+(0-0))+0-547.6-0</f>
        <v>2044.8000000000002</v>
      </c>
      <c r="X302" s="3">
        <f>3240.7+(428.7-846.6)+(-1.652757+(-0.218637--0.431766))+0-598.1--0.305030999999939</f>
        <v>2223.5654029999996</v>
      </c>
      <c r="Y302" s="3">
        <f>2839+(480.1-567.3)+(-7.23945+(-1.224255--1.446615))+0-543.9--1.38694499999992</f>
        <v>2202.269855</v>
      </c>
      <c r="Z302" s="3">
        <f>2433.3+(660.9-363)+(-3.722949+(-1.011177--0.55539))+0-588.8--0.900864000000034</f>
        <v>2139.1221280000009</v>
      </c>
      <c r="AA302" s="3">
        <f>2581.6+(579.4-398.3)+(-5.266464+(-1.181976--0.812532))+0-663.2--1.35292799999997</f>
        <v>2095.2170199999996</v>
      </c>
      <c r="AB302" s="3">
        <f>2232.8+(682-284.4)+(0+(0-0))+0-626.3-0</f>
        <v>2004.1000000000001</v>
      </c>
      <c r="AC302" s="3">
        <f>1888.4+(839.5-240.9)+(-6.741588+(-2.997015--0.860013))+0-664.9--2.37369300000001</f>
        <v>1815.5951030000001</v>
      </c>
      <c r="AD302">
        <f t="shared" si="4"/>
        <v>44810.813320999994</v>
      </c>
      <c r="AE302" s="3">
        <f>3454+(338.2-1062.2)+(0+(0-0))+0-640.6-0</f>
        <v>2089.4</v>
      </c>
    </row>
    <row r="303" spans="1:31" customFormat="1" x14ac:dyDescent="0.25">
      <c r="A303">
        <v>89</v>
      </c>
      <c r="B303">
        <v>10</v>
      </c>
      <c r="C303">
        <v>27</v>
      </c>
      <c r="D303">
        <v>3</v>
      </c>
      <c r="E303">
        <v>1</v>
      </c>
      <c r="F303" s="3">
        <f>1972.2+(725.4-270.5)+(-2.011644+(-0.739908--0.27591))+0-639.2--0.651984000000102</f>
        <v>1786.0763420000001</v>
      </c>
      <c r="G303" s="3">
        <f>2023.6+(622.3-334.1)+(-5.16018+(-1.586865--0.851955))+0-617.1--1.57360499999991</f>
        <v>1690.3785149999997</v>
      </c>
      <c r="H303" s="3">
        <f>2062.5+(606.4-377.3)+(2.10375+(0.618528-0.384846))+0-651.8-0.664836000000104</f>
        <v>1641.4725959999996</v>
      </c>
      <c r="I303" s="3">
        <f>1823.5+(687.2-253.1)+(0+(0-0))+0-641.9-0</f>
        <v>1615.6999999999998</v>
      </c>
      <c r="J303" s="3">
        <f>2062.9+(602.1-360.4)+(1.052079+(0.307071-0.183804))+0-684.1-0.348890999999931</f>
        <v>1621.3264550000006</v>
      </c>
      <c r="K303" s="3">
        <f>1998.1+(570.2-405.4)+(-5.095155+(-1.45401--1.03377))+0-518--1.32089999999992</f>
        <v>1640.7055050000001</v>
      </c>
      <c r="L303" s="3">
        <f>2084.1+(575.6-305.5)+(0+(0-0))+0-542.2-0</f>
        <v>1811.9999999999998</v>
      </c>
      <c r="M303" s="3">
        <f>1985.6+(821.7-292.8)+(-3.037968+(-1.257201--0.447984))+0-636.2--0.973386000000037</f>
        <v>1875.426201</v>
      </c>
      <c r="N303" s="3">
        <f>2159.1+(673.4-351.2)+(-3.303423+(-1.030302--0.537336))+0-490.4--0.750312000000028</f>
        <v>1987.8539229999997</v>
      </c>
      <c r="O303" s="3">
        <f>2147.7+(760.4-369.8)+(1.095327+(0.387804-0.188598))+0-558.8-0.284987999999943</f>
        <v>1980.5095449999997</v>
      </c>
      <c r="P303" s="3">
        <f>2126.5+(740.2-436)+(-5.422575+(-1.88751--1.1118))+0-529.5--1.35022499999992</f>
        <v>1896.3519399999998</v>
      </c>
      <c r="Q303" s="3">
        <f>2029.4+(878.1-369.6)+(1.034994+(0.447831-0.188496))+0-602.1-0.307070999999939</f>
        <v>1936.7872580000001</v>
      </c>
      <c r="R303" s="3">
        <f>1941.9+(962.3-286)+(-4.951845+(-2.453865--0.7293))+0-696.4--1.7758199999999</f>
        <v>1916.8994099999995</v>
      </c>
      <c r="S303" s="3">
        <f>1959+(743.8-318.6)+(0+(0-0))+0-510.3-0</f>
        <v>1873.8999999999999</v>
      </c>
      <c r="T303" s="3">
        <f>1918.3+(805.8-270.5)+(-2.934999+(-1.232874--0.413865))+0-608.8--0.931464000000035</f>
        <v>1841.9774560000001</v>
      </c>
      <c r="U303" s="3">
        <f>1822.8+(807.5-266.6)+(-1.859256+(-0.82365--0.271932))+0-551.3--0.562326000000088</f>
        <v>1810.551352</v>
      </c>
      <c r="V303" s="3">
        <f>1934.1+(765.3-246.2)+(-0.986391+(-0.390303--0.125562))+0-642.4--0.327623999999935</f>
        <v>1809.8764919999999</v>
      </c>
      <c r="W303" s="3">
        <f>2503.9+(565.3-454.6)+(-1.276989+(-0.288303--0.231846))+0-605.2--0.308651999999939</f>
        <v>2008.3752059999997</v>
      </c>
      <c r="X303" s="3">
        <f>2605.6+(670.8-409.1)+(-3.986568+(-1.026324--0.625923))+0-601.3--0.919989000000035</f>
        <v>2262.5330199999999</v>
      </c>
      <c r="Y303" s="3">
        <f>2501+(757.3-395)+(-3.82653+(-1.158669--0.60435))+0-598.3--0.915399000000034</f>
        <v>2261.5345499999999</v>
      </c>
      <c r="Z303" s="3">
        <f>2748+(572.3-492.2)+(0+(0-0))+0-622.7-0</f>
        <v>2205.3999999999996</v>
      </c>
      <c r="AA303" s="3">
        <f>2451+(733.9-343.7)+(1.25001+(0.374289-0.175287))+0-696.2-0.355061999999929</f>
        <v>2146.0939499999999</v>
      </c>
      <c r="AB303" s="3">
        <f>2055.1+(843.9-261.2)+(-2.096202+(-0.860778--0.266424))+0-576.5--0.588030000000092</f>
        <v>2059.1974740000001</v>
      </c>
      <c r="AC303" s="3">
        <f>1961+(895.9-303.4)+(-2.00022+(-0.913818--0.309468))+0-605.3--0.617406000000096</f>
        <v>1946.2128360000002</v>
      </c>
      <c r="AD303">
        <f t="shared" si="4"/>
        <v>45627.140026000001</v>
      </c>
      <c r="AE303" s="3">
        <f>2741.2+(646.9-516.6)+(0+(0-0))+0-628.7-0</f>
        <v>2242.8000000000002</v>
      </c>
    </row>
    <row r="304" spans="1:31" customFormat="1" x14ac:dyDescent="0.25">
      <c r="A304">
        <v>89</v>
      </c>
      <c r="B304">
        <v>10</v>
      </c>
      <c r="C304">
        <v>28</v>
      </c>
      <c r="D304">
        <v>4</v>
      </c>
      <c r="E304">
        <v>1</v>
      </c>
      <c r="F304" s="3">
        <f>1949.5+(936.6-424)+(-5.96547+(-2.865996--1.29744))+0-672.7--2.05846200000008</f>
        <v>1783.9244360000002</v>
      </c>
      <c r="G304" s="3">
        <f>1922.5+(939.3-528.4)+(-0.980475+(-0.479043--0.269484))+0-628.6--0.320585999999936</f>
        <v>1703.930552</v>
      </c>
      <c r="H304" s="3">
        <f>2001.5+(858.8-519.7)+(-1.020765+(-0.437988--0.265047))+0-700.1--0.357050999999929</f>
        <v>1639.6633449999999</v>
      </c>
      <c r="I304" s="3">
        <f>1803+(843.8-452.7)+(-2.75859+(-1.291014--0.692631))+0-568.9--0.870417000000033</f>
        <v>1622.713444</v>
      </c>
      <c r="J304" s="3">
        <f>1959.2+(842.2-464.7)+(0+(0-0))+0-716.2-0</f>
        <v>1620.5000000000002</v>
      </c>
      <c r="K304" s="3">
        <f>1967.3+(819.9-520.2)+(0+(0-0))+0-599-0</f>
        <v>1668</v>
      </c>
      <c r="L304" s="3">
        <f>1985.4+(906.2-336.8)+(-5.06277+(-2.31081--0.85884))+0-690.9--1.7617949999999</f>
        <v>1859.1470549999999</v>
      </c>
      <c r="M304" s="3">
        <f>1842+(765.5-267.2)+(1.87884+(0.78081-0.272544))+0-546.3-0.557226000000087</f>
        <v>1795.8298800000002</v>
      </c>
      <c r="N304" s="3">
        <f>2127.6+(775.1-349.4)+(1.085076+(0.395301-0.178194))+0-657.1-0.335120999999933</f>
        <v>1897.1670620000002</v>
      </c>
      <c r="O304" s="3">
        <f>2096.6+(837.3-591.1)+(-3.207798+(-1.281069--0.904383))+0-448--0.685440000000026</f>
        <v>1891.9009559999997</v>
      </c>
      <c r="P304" s="3">
        <f>2349.3+(990.9-803.6)+(-1.198143+(-0.505359--0.409836))+0-585.4--0.298553999999941</f>
        <v>1950.2048880000002</v>
      </c>
      <c r="Q304" s="3">
        <f>2226.6+(975.4-887)+(-2.271132+(-0.994908--0.90474))+0-460.2--0.469404000000073</f>
        <v>1852.9081040000001</v>
      </c>
      <c r="R304" s="3">
        <f>2167.4+(952-788.1)+(-4.421496+(-1.94208--1.607724))+0-494.9--1.00959599999998</f>
        <v>1832.6537440000002</v>
      </c>
      <c r="S304" s="3">
        <f>2054.6+(905.8-567.6)+(0+(0-0))+0-587.5-0</f>
        <v>1805.2999999999997</v>
      </c>
      <c r="T304" s="3">
        <f>2026.8+(698.5-466.8)+(0+(0-0))+0-488.1-0</f>
        <v>1770.4</v>
      </c>
      <c r="U304" s="3">
        <f>1988.6+(692.4-420.2)+(-2.028372+(-0.706248--0.428604))+0-497.2--0.507144000000079</f>
        <v>1761.8011279999998</v>
      </c>
      <c r="V304" s="3">
        <f>1865.4+(828.5-306.4)+(-5.708124+(-2.53521--0.937584))+0-568.5--1.73961000000007</f>
        <v>1813.4338600000001</v>
      </c>
      <c r="W304" s="3">
        <f>2402+(822.4-685.6)+(-2.45004+(-0.838848--0.699312))+0-548.7--0.559674000000087</f>
        <v>1988.0700980000004</v>
      </c>
      <c r="X304" s="3">
        <f>2405.2+(927.6-505.9)+(-3.679956+(-1.419228--0.774027))+0-567.2--0.867816000000033</f>
        <v>2256.2426589999995</v>
      </c>
      <c r="Y304" s="3">
        <f>2913.3+(883.3-958.4)+(-2.971566+(-0.900966--0.977568))+0-601.6--0.613632000000096</f>
        <v>2234.3186680000003</v>
      </c>
      <c r="Z304" s="3">
        <f>2564.6+(900.6-695.4)+(-3.923838+(-1.377918--1.063962))+0-581.5--0.889695000000034</f>
        <v>2184.9519009999999</v>
      </c>
      <c r="AA304" s="3">
        <f>2346.5+(992.9-668.1)+(-1.196715+(-0.506379--0.340731))+0-558.7--0.284936999999943</f>
        <v>2111.5225740000001</v>
      </c>
      <c r="AB304" s="3">
        <f>1935.8+(1187.5-530.9)+(-0.987258+(-0.605625--0.270759))+0-567.2--0.289271999999942</f>
        <v>2024.1671480000002</v>
      </c>
      <c r="AC304" s="3">
        <f>1871.8+(1145.2-548.8)+(-2.863854+(-1.752156--0.839664))+0-568.5--0.869805000000033</f>
        <v>1896.7934589999998</v>
      </c>
      <c r="AD304">
        <f t="shared" si="4"/>
        <v>44965.544961000007</v>
      </c>
      <c r="AE304" s="3">
        <f>2410+(978.3-463.8)+(0+(0-0))+0-708.5-0</f>
        <v>2216</v>
      </c>
    </row>
    <row r="305" spans="1:31" customFormat="1" x14ac:dyDescent="0.25">
      <c r="A305">
        <v>89</v>
      </c>
      <c r="B305">
        <v>10</v>
      </c>
      <c r="C305">
        <v>29</v>
      </c>
      <c r="D305">
        <v>5</v>
      </c>
      <c r="E305">
        <v>1</v>
      </c>
      <c r="F305" s="3">
        <f>1838.2+(1091.3-567.2)+(-4.68741+(-2.782815--1.44636))+0-588.4--1.50041999999991</f>
        <v>1769.3765549999998</v>
      </c>
      <c r="G305" s="3">
        <f>1859+(1104.2-695.3)+(2.84427+(1.689426-1.063809))+0-569.7-0.871641000000033</f>
        <v>1700.7982460000003</v>
      </c>
      <c r="H305" s="3">
        <f>1708.8+(1121.6-607.2)+(-2.614464+(-1.716048--0.929016))+0-575.9--0.881127000000033</f>
        <v>1644.7796309999999</v>
      </c>
      <c r="I305" s="3">
        <f>1744.4+(1198.9-668.9)+(0.889644+(0.611439-0.341139))+0-640-0.326399999999935</f>
        <v>1635.2335440000002</v>
      </c>
      <c r="J305" s="3">
        <f>1709.9+(1153.4-702.5)+(-4.360245+(-2.94117--1.791375))+0-511.2--1.30355999999993</f>
        <v>1645.3935199999999</v>
      </c>
      <c r="K305" s="3">
        <f>1927.2+(1100.1-713.3)+(0.982872+(0.561051-0.363783))+0-649.2-0.331091999999934</f>
        <v>1665.649048</v>
      </c>
      <c r="L305" s="3">
        <f>1933.5+(962.1-596.7)+(0.986085+(0.490671-0.304317))+0-489.7-0.24974699999995</f>
        <v>1810.1226920000001</v>
      </c>
      <c r="M305" s="3">
        <f>1919.9+(1085.1-459.9)+(0+(0-0))+0-647.1-0</f>
        <v>1898</v>
      </c>
      <c r="N305" s="3">
        <f>1978.9+(1112.8-636.4)+(3.027717+(1.702584-0.973692))+0-535.6-0.819468000000031</f>
        <v>1922.6371410000002</v>
      </c>
      <c r="O305" s="3">
        <f>2321.7+(965.5-749.7)+(0+(0-0))+0-595.2-0</f>
        <v>1942.3</v>
      </c>
      <c r="P305" s="3">
        <f>2296.1+(925.4-679.4)+(-4.684044+(-1.887816--1.385976))+0-543.4--1.10853599999998</f>
        <v>1994.6226519999998</v>
      </c>
      <c r="Q305" s="3">
        <f>2529.6+(1023.6-1019.7)+(-1.290096+(-0.522036--0.520047))+0-542.7--0.276776999999945</f>
        <v>1989.7846919999999</v>
      </c>
      <c r="R305" s="3">
        <f>2426.4+(1015.7-929.3)+(-3.712392+(-1.554021--1.421829))+0-598.6--0.915858000000035</f>
        <v>1911.2712740000004</v>
      </c>
      <c r="S305" s="3">
        <f>2076.6+(952.2-624.4)+(-2.118132+(-0.971244--0.636888))+0-501.4--0.51142800000008</f>
        <v>1901.0589400000001</v>
      </c>
      <c r="T305" s="3">
        <f>1931.2+(908.7-449.6)+(0+(0-0))+0-514.8-0</f>
        <v>1875.5000000000002</v>
      </c>
      <c r="U305" s="3">
        <f>1797.3+(841.9-344.7)+(0+(0-0))+0-472.9-0</f>
        <v>1821.6</v>
      </c>
      <c r="V305" s="3">
        <f>1853+(920.5-388.8)+(0+(0-0))+0-520.2-0</f>
        <v>1864.4999999999998</v>
      </c>
      <c r="W305" s="3">
        <f>2357.4+(970.6-812.2)+(-4.809096+(-1.980024--1.656888))+0-447.5--0.912899999999981</f>
        <v>2064.0806680000001</v>
      </c>
      <c r="X305" s="3">
        <f>2743.6+(1023.2-1001)+(-2.798472+(-1.043664--1.02102))+0-493.1--0.502962000000079</f>
        <v>2270.3818460000002</v>
      </c>
      <c r="Y305" s="3">
        <f>2443.2+(1063.5-684.4)+(-6.23016+(-2.711925--1.74522))+0-581.1--1.48180499999992</f>
        <v>2235.4849399999998</v>
      </c>
      <c r="Z305" s="3">
        <f>2385+(1046-768.7)+(0+(0-0))+0-460.4-0</f>
        <v>2201.9</v>
      </c>
      <c r="AA305" s="3">
        <f>2315.6+(1010.5-635.6)+(2.361912+(1.03071-0.648312))+0-559.8-0.570996000000089</f>
        <v>2132.8733139999999</v>
      </c>
      <c r="AB305" s="3">
        <f>2062.8+(1058.4-561.8)+(2.104056+(1.079568-0.573036))+0-516.8-0.527136000000082</f>
        <v>2044.6834520000004</v>
      </c>
      <c r="AC305" s="3">
        <f>1877.5+(952.9-394.5)+(-3.8301+(-1.943916--0.80478))+0-571.7--1.16626799999998</f>
        <v>1860.3970320000001</v>
      </c>
      <c r="AD305">
        <f t="shared" si="4"/>
        <v>45802.429186999994</v>
      </c>
      <c r="AE305" s="3">
        <f>2786+(1000.2-1161.7)+(0+(0-0))+0-366.5-0</f>
        <v>2258</v>
      </c>
    </row>
    <row r="306" spans="1:31" customFormat="1" x14ac:dyDescent="0.25">
      <c r="A306">
        <v>89</v>
      </c>
      <c r="B306">
        <v>10</v>
      </c>
      <c r="C306">
        <v>30</v>
      </c>
      <c r="D306">
        <v>6</v>
      </c>
      <c r="E306">
        <v>1</v>
      </c>
      <c r="F306" s="3">
        <f>1911+(914.1-457.9)+(-1.94922+(-0.932382--0.467058))+0-564.6--0.57589200000009</f>
        <v>1800.7613479999998</v>
      </c>
      <c r="G306" s="3">
        <f>1856.8+(949.3-512.1)+(0+(0-0))+0-595.3-0</f>
        <v>1698.7</v>
      </c>
      <c r="H306" s="3">
        <f>1627.6+(991.5-437.8)+(0+(0-0))+0-513.2-0</f>
        <v>1668.1000000000001</v>
      </c>
      <c r="I306" s="3">
        <f>1718.5+(970.1-446)+(-0.876435+(-0.494751--0.22746))+0-604.3--0.308192999999939</f>
        <v>1637.464467</v>
      </c>
      <c r="J306" s="3">
        <f>1691.6+(900.1-423.5)+(-1.725432+(-0.918102--0.43197))+0-523--0.533460000000083</f>
        <v>1643.5218959999997</v>
      </c>
      <c r="K306" s="3">
        <f>1782.2+(900.5-478.2)+(3.635688+(1.83702-0.975528))+0-538.6-1.09874399999998</f>
        <v>1669.298436</v>
      </c>
      <c r="L306" s="3">
        <f>1705.5+(990.4-298.6)+(0.869805+(0.505104-0.152286))+0-610.8-0.311507999999938</f>
        <v>1787.4111150000003</v>
      </c>
      <c r="M306" s="3">
        <f>1623.3+(1061.8-219.8)+(-2.483649+(-1.624554--0.336294))+0-587.7--0.899181000000034</f>
        <v>1874.7272720000001</v>
      </c>
      <c r="N306" s="3">
        <f>1777.6+(948.7-287.6)+(0+(0-0))+0-526.2-0</f>
        <v>1912.4999999999998</v>
      </c>
      <c r="O306" s="3">
        <f>2109.6+(787.4-400.4)+(4.303584+(1.606296-0.816816))+0-557.8-1.13791199999998</f>
        <v>1942.7551520000002</v>
      </c>
      <c r="P306" s="3">
        <f>2519.3+(656.4-700.8)+(1.284843+(0.334764-0.357408))+0-547.5-0.279224999999944</f>
        <v>1928.3829739999999</v>
      </c>
      <c r="Q306" s="3">
        <f>2409.3+(740.2-666.4)+(-4.914972+(-1.510008--1.359456))+0-577.6--1.17830399999997</f>
        <v>1901.6127800000004</v>
      </c>
      <c r="R306" s="3">
        <f>2141.7+(654.9-399)+(2.184534+(0.667998-0.40698))+0-589.9-0.601698000000094</f>
        <v>1809.5438539999998</v>
      </c>
      <c r="S306" s="3">
        <f>1809.9+(904.3-292.8)+(-1.846098+(-0.922386--0.298656))+0-651.1--0.664122000000104</f>
        <v>1768.4942940000005</v>
      </c>
      <c r="T306" s="3">
        <f>1776.2+(773.9-186.8)+(-0.905862+(-0.394689--0.095268))+0-652.7--0.332876999999934</f>
        <v>1709.7275940000002</v>
      </c>
      <c r="U306" s="3">
        <f>1650.4+(719.7-128.9)+(-0.841704+(-0.367047--0.065739))+0-560.5--0.285854999999943</f>
        <v>1679.8428430000001</v>
      </c>
      <c r="V306" s="3">
        <f>1724.5+(687.9-104.2)+(0.879495+(0.350829-0.053142))+0-545.3-0.278102999999945</f>
        <v>1763.7990789999999</v>
      </c>
      <c r="W306" s="3">
        <f>2365.6+(517.3-282)+(-1.206456+(-0.263823--0.14382))+0-702.3--0.358172999999929</f>
        <v>1897.6317139999996</v>
      </c>
      <c r="X306" s="3">
        <f>2983+(428.8-716.4)+(-6.08532+(-0.874752--1.461456))+0-527.3--1.07569199999998</f>
        <v>2163.6770760000004</v>
      </c>
      <c r="Y306" s="3">
        <f>2567.8+(539.1-304.3)+(-3.928734+(-0.824823--0.465579))+0-729.7--1.11644100000004</f>
        <v>2069.7284630000004</v>
      </c>
      <c r="Z306" s="3">
        <f>2007.8+(749.6-98.3)+(-5.11989+(-1.91148--0.250665))+0-562.8--1.43513999999992</f>
        <v>2090.9544350000001</v>
      </c>
      <c r="AA306" s="3">
        <f>2041.5+(737.5-129.6)+(2.08233+(0.75225-0.132192))+0-638-0.650760000000102</f>
        <v>2013.4516280000003</v>
      </c>
      <c r="AB306" s="3">
        <f>1762.4+(863.3-101.8)+(2.696472+(1.320849-0.155754))+0-591.2-0.904536000000034</f>
        <v>1935.657031</v>
      </c>
      <c r="AC306" s="3">
        <f>1671.8+(912.2-135.2)+(-2.557854+(-1.395666--0.206856))+0-597.1--0.913563000000035</f>
        <v>1848.8668990000006</v>
      </c>
      <c r="AD306">
        <f t="shared" si="4"/>
        <v>44216.610350000003</v>
      </c>
      <c r="AE306" s="3">
        <f>3222+(508-825.7)+(0+(0-0))+0-567-0</f>
        <v>2337.3000000000002</v>
      </c>
    </row>
    <row r="307" spans="1:31" customFormat="1" x14ac:dyDescent="0.25">
      <c r="A307">
        <v>89</v>
      </c>
      <c r="B307">
        <v>11</v>
      </c>
      <c r="C307">
        <v>1</v>
      </c>
      <c r="D307">
        <v>7</v>
      </c>
      <c r="E307">
        <v>1</v>
      </c>
      <c r="F307" s="3">
        <f>1714+(891.3-275)+(-4.3707+(-2.272815--0.70125))+0-525.1--1.33900499999992</f>
        <v>1800.59674</v>
      </c>
      <c r="G307" s="3">
        <f>1712.2+(864-190.2)+(-1.746444+(-0.88128--0.194004))+0-643.9--0.656778000000103</f>
        <v>1740.3230579999999</v>
      </c>
      <c r="H307" s="3">
        <f>1770+(835.7-222.6)+(-5.4162+(-2.557242--0.681156))+0-689.5--2.10987000000008</f>
        <v>1688.417584</v>
      </c>
      <c r="I307" s="3">
        <f>1819.5+(772.8-312)+(0+(0-0))+0-604.7-0</f>
        <v>1675.6000000000001</v>
      </c>
      <c r="J307" s="3">
        <f>1685+(865.8-250.4)+(-0.85935+(-0.441558--0.127704))+0-655.1--0.334100999999934</f>
        <v>1644.4608969999999</v>
      </c>
      <c r="K307" s="3">
        <f>1673.2+(784.9-175.5)+(0+(0-0))+0-613.7-0</f>
        <v>1668.8999999999999</v>
      </c>
      <c r="L307" s="3">
        <f>1628.9+(869.3-92.2)+(-8.30739+(-4.43343--0.47022))+0-668.6--3.40986000000005</f>
        <v>1728.5392600000002</v>
      </c>
      <c r="M307" s="3">
        <f>1679.3+(770.9-118.2)+(1.712886+(0.786318-0.120564))+0-521.3-0.531726000000083</f>
        <v>1812.5469139999998</v>
      </c>
      <c r="N307" s="3">
        <f>1662.5+(935.5-89.9)+(-4.239375+(-2.385525--0.229245))+0-637--1.62434999999991</f>
        <v>1866.3286949999999</v>
      </c>
      <c r="O307" s="3">
        <f>1949.1+(692-180.2)+(-0.994041+(-0.35292--0.091902))+0-541.6--0.276215999999945</f>
        <v>1918.3211570000001</v>
      </c>
      <c r="P307" s="3">
        <f>1970.5+(669-93.9)+(-4.01982+(-1.36476--0.191556))+0-606.6--1.23746399999997</f>
        <v>1935.0444399999999</v>
      </c>
      <c r="Q307" s="3">
        <f>1878.5+(687.1-107.2)+(-2.874105+(-1.051263--0.164016))+0-514--0.78642000000003</f>
        <v>1941.4250680000002</v>
      </c>
      <c r="R307" s="3">
        <f>1761.8+(701-73.2)+(0.898518+(0.35751-0.037332))+0-601.6-0.306815999999939</f>
        <v>1788.9118799999999</v>
      </c>
      <c r="S307" s="3">
        <f>1753.7+(695.8-120.5)+(-3.577548+(-1.419432--0.24582))+0-620--1.26479999999997</f>
        <v>1705.5136400000001</v>
      </c>
      <c r="T307" s="3">
        <f>1707.5+(673-77.7)+(-0.870825+(-0.34323--0.039627))+0-568.3--0.289832999999942</f>
        <v>1733.6154050000005</v>
      </c>
      <c r="U307" s="3">
        <f>1700.3+(636.1-65.9)+(-2.601459+(-0.973233--0.100827))+0-562.2--0.860166000000033</f>
        <v>1705.686301</v>
      </c>
      <c r="V307" s="3">
        <f>1660.1+(838.6-68.3)+(-3.386604+(-1.710744--0.139332))+0-714.7--1.45798799999997</f>
        <v>1712.1999719999999</v>
      </c>
      <c r="W307" s="3">
        <f>2074+(564.8-153.5)+(1.05774+(0.288048-0.078285))+0-561.7-0.286466999999943</f>
        <v>1924.5810360000003</v>
      </c>
      <c r="X307" s="3">
        <f>2279.6+(692.5-176.4)+(-3.487788+(-1.059525--0.269892))+0-651.7--0.997101000000038</f>
        <v>2140.7196800000002</v>
      </c>
      <c r="Y307" s="3">
        <f>2278.2+(642.3-157.8)+(-1.161882+(-0.327573--0.080478))+0-617.3--0.314822999999937</f>
        <v>2144.3058459999997</v>
      </c>
      <c r="Z307" s="3">
        <f>2324.7+(619.9-230.5)+(-4.742388+(-1.264596--0.47022))+0-617.7--1.26010799999997</f>
        <v>2092.1233440000001</v>
      </c>
      <c r="AA307" s="3">
        <f>2575+(532.4-410.8)+(3.93975+(0.814572-0.628524))+0-684.6-1.04743800000004</f>
        <v>2015.07836</v>
      </c>
      <c r="AB307" s="3">
        <f>2017.5+(694.8-217.6)+(-4.1157+(-1.417392--0.443904))+0-586.1--1.19564399999997</f>
        <v>1904.7064559999999</v>
      </c>
      <c r="AC307" s="3">
        <f>1861.9+(839.1-238.2)+(-1.899138+(-0.855882--0.242964))+0-624.9--0.6373980000001</f>
        <v>1836.0253420000001</v>
      </c>
      <c r="AD307">
        <f t="shared" si="4"/>
        <v>44123.971075000009</v>
      </c>
      <c r="AE307" s="3">
        <f>2635.2+(748-280.6)+(0+(0-0))+0-662.2-0</f>
        <v>2440.3999999999996</v>
      </c>
    </row>
    <row r="308" spans="1:31" customFormat="1" x14ac:dyDescent="0.25">
      <c r="A308">
        <v>89</v>
      </c>
      <c r="B308">
        <v>11</v>
      </c>
      <c r="C308">
        <v>2</v>
      </c>
      <c r="D308">
        <v>1</v>
      </c>
      <c r="E308">
        <v>1</v>
      </c>
      <c r="F308" s="3">
        <f>1598.8+(1087.3-321.4)+(-5.707716+(-3.881661--1.147398))+0-604--2.15628000000001</f>
        <v>1754.4143009999996</v>
      </c>
      <c r="G308" s="3">
        <f>1615.2+(1050.9-427.7)+(-3.295008+(-2.143836--0.872508))+0-556.4--1.13505599999998</f>
        <v>1678.5687200000002</v>
      </c>
      <c r="H308" s="3">
        <f>1717.2+(907.4-341.5)+(0.875772+(0.462774-0.174165))+0-650.1-0.331550999999934</f>
        <v>1633.8328300000001</v>
      </c>
      <c r="I308" s="3">
        <f>1672.8+(814.2-307.6)+(0+(0-0))+0-553.3-0</f>
        <v>1626.1000000000001</v>
      </c>
      <c r="J308" s="3">
        <f>1706.6+(866-315.3)+(-2.611098+(-1.32498--0.482409))+0-644.6--0.986238000000037</f>
        <v>1610.2325690000002</v>
      </c>
      <c r="K308" s="3">
        <f>1646.8+(849.1-288.5)+(0.839868+(0.433041-0.147135))+0-561.5-0.286364999999943</f>
        <v>1646.7394090000003</v>
      </c>
      <c r="L308" s="3">
        <f>1741.1+(908.3-256.9)+(0.887961+(0.463233-0.131019))+0-656.3-0.334712999999933</f>
        <v>1737.085462</v>
      </c>
      <c r="M308" s="3">
        <f>1691.9+(920.5-240.3)+(-1.725738+(-0.93891--0.245106))+0-519.7--0.530094000000083</f>
        <v>1850.5105520000004</v>
      </c>
      <c r="N308" s="3">
        <f>1737.5+(1075.3-236)+(-1.77225+(-1.096806--0.24072))+0-546.2--0.557124000000087</f>
        <v>2028.5287880000001</v>
      </c>
      <c r="O308" s="3">
        <f>2026.5+(821.9-293.8)+(-1.033515+(-0.419169--0.149838))+0-496--0.25295999999995</f>
        <v>2057.5501139999997</v>
      </c>
      <c r="P308" s="3">
        <f>2203.9+(775.6-390.6)+(-4.495956+(-1.582224--0.796824))+0-479.6--0.978383999999979</f>
        <v>2104.9970280000002</v>
      </c>
      <c r="Q308" s="3">
        <f>2239.3+(716.4-429.1)+(-3.426129+(-1.096092--0.656523))+0-556.4--0.851292000000032</f>
        <v>1967.1855940000003</v>
      </c>
      <c r="R308" s="3">
        <f>1817.2+(887.9-230.7)+(-4.63386+(-2.264145--0.588285))+0-552.1--1.40785499999992</f>
        <v>1917.3981349999999</v>
      </c>
      <c r="S308" s="3">
        <f>1905.2+(728.9-267.6)+(1.943304+(0.743478-0.272952))+0-486.1-0.495822000000078</f>
        <v>1882.318008</v>
      </c>
      <c r="T308" s="3">
        <f>1751+(944.5-250.9)+(-0.89301+(-0.481695--0.127959))+0-591.9--0.30186899999994</f>
        <v>1851.7551229999999</v>
      </c>
      <c r="U308" s="3">
        <f>1868.5+(717.7-277.3)+(0.952935+(0.366027-0.141423))+0-459.6-0.234395999999953</f>
        <v>1850.2431429999999</v>
      </c>
      <c r="V308" s="3">
        <f>1875.3+(875.6-234)+(0+(0-0))+0-669.4-0</f>
        <v>1847.5</v>
      </c>
      <c r="W308" s="3">
        <f>2590.2+(524.1-662.3)+(3.963006+(0.801873-1.013319))+0-537.8-0.822834000000031</f>
        <v>1917.1287260000001</v>
      </c>
      <c r="X308" s="3">
        <f>3253.6+(556.7-917.5)+(-4.978008+(-0.851751--1.403775))+0-617.1--0.944163000000036</f>
        <v>2272.2181790000004</v>
      </c>
      <c r="Y308" s="3">
        <f>2835+(609.8-567.4)+(-4.33755+(-0.932994--0.868122))+0-585--0.895050000000034</f>
        <v>2288.8926280000001</v>
      </c>
      <c r="Z308" s="3">
        <f>2457.9+(709.3-345)+(-5.014116+(-1.446972--0.7038))+0-604.5--1.23317999999997</f>
        <v>2213.1758920000002</v>
      </c>
      <c r="AA308" s="3">
        <f>2292.8+(784.7-407.3)+(-1.169328+(-0.400197--0.207723))+0-525.7--0.268106999999947</f>
        <v>2143.4063050000004</v>
      </c>
      <c r="AB308" s="3">
        <f>1949+(1030.6-365.4)+(-3.97596+(-2.102424--0.745416))+0-552.4--1.12689599999998</f>
        <v>2057.5939279999993</v>
      </c>
      <c r="AC308" s="3">
        <f>1701.9+(1210-327.7)+(-6.943752+(-4.9368--1.337016))+0-651.2--2.65689599999994</f>
        <v>1925.1133599999996</v>
      </c>
      <c r="AD308">
        <f t="shared" si="4"/>
        <v>45862.488794000004</v>
      </c>
      <c r="AE308" s="3">
        <f>3425+(468.8-1128.5)+(0+(0-0))+0-667.1-0</f>
        <v>2098.2000000000003</v>
      </c>
    </row>
    <row r="309" spans="1:31" customFormat="1" x14ac:dyDescent="0.25">
      <c r="A309">
        <v>89</v>
      </c>
      <c r="B309">
        <v>11</v>
      </c>
      <c r="C309">
        <v>3</v>
      </c>
      <c r="D309">
        <v>2</v>
      </c>
      <c r="E309">
        <v>1</v>
      </c>
      <c r="F309" s="3">
        <f>1726.1+(1101.1-447.4)+(-2.640933+(-1.684683--0.684522))+0-617.9--0.945387000000036</f>
        <v>1759.2042929999996</v>
      </c>
      <c r="G309" s="3">
        <f>1764.8+(1025.8-454.3)+(-3.600192+(-2.092632--0.926772))+0-649.9--1.32579599999997</f>
        <v>1682.9597440000002</v>
      </c>
      <c r="H309" s="3">
        <f>1677.7+(948-394.3)+(-4.278135+(-2.4174--1.005465))+0-596.2--1.52030999999991</f>
        <v>1631.0302399999998</v>
      </c>
      <c r="I309" s="3">
        <f>1867.8+(921.4-549.2)+(0.952578+(0.469914-0.280092))+0-612.8-0.312527999999938</f>
        <v>1628.0298720000003</v>
      </c>
      <c r="J309" s="3">
        <f>1803.7+(935.5-480.1)+(1.839774+(0.95421-0.489702))+0-645.7-0.658614000000103</f>
        <v>1615.0456679999998</v>
      </c>
      <c r="K309" s="3">
        <f>1780.2+(929.5-447.4)+(0+(0-0))+0-607.6-0</f>
        <v>1654.7000000000003</v>
      </c>
      <c r="L309" s="3">
        <f>1652.8+(1035-261.5)+(-3.371712+(-2.1114--0.53346))+0-625.3--1.27561199999997</f>
        <v>1797.3259600000004</v>
      </c>
      <c r="M309" s="3">
        <f>1657.8+(1112.8-236.9)+(-1.690956+(-1.135056--0.241638))+0-647.6--0.660552000000103</f>
        <v>1884.1761779999999</v>
      </c>
      <c r="N309" s="3">
        <f>1672.7+(1056.8-230.9)+(0+(0-0))+0-581.8-0</f>
        <v>1916.8</v>
      </c>
      <c r="O309" s="3">
        <f>1941.6+(850.1-298.5)+(-0.990216+(-0.433551--0.152235))+0-583.7--0.297686999999941</f>
        <v>1908.5261549999996</v>
      </c>
      <c r="P309" s="3">
        <f>2136.6+(786.9-452.7)+(-1.089666+(-0.401319--0.230877))+0-566.8--0.289067999999942</f>
        <v>1903.0289599999999</v>
      </c>
      <c r="Q309" s="3">
        <f>2060.5+(813.8-418.9)+(-2.10171+(-0.830076--0.427278))+0-566.8--0.57813600000009</f>
        <v>1886.6736280000002</v>
      </c>
      <c r="R309" s="3">
        <f>1833.3+(795.9-265.1)+(-0.934983+(-0.405909--0.135201))+0-500.6--0.255305999999949</f>
        <v>1862.5496149999999</v>
      </c>
      <c r="S309" s="3">
        <f>1863.2+(850.7-251.3)+(-0.950232+(-0.433857--0.128163))+0-626.4--0.319463999999936</f>
        <v>1835.2635380000004</v>
      </c>
      <c r="T309" s="3">
        <f>1731.6+(789.8-243.3)+(-4.41558+(-2.01399--0.620415))+0-488.1--1.24465499999993</f>
        <v>1785.4355</v>
      </c>
      <c r="U309" s="3">
        <f>1749.9+(899.8-242.4)+(0.892449+(0.458898-0.123624))+0-652.9-0.332978999999934</f>
        <v>1755.294744</v>
      </c>
      <c r="V309" s="3">
        <f>1886.1+(715.1-314.6)+(-2.885733+(-1.094103--0.481338))+0-498.8--0.763164000000029</f>
        <v>1785.064666</v>
      </c>
      <c r="W309" s="3">
        <f>2522.8+(719-681.7)+(-2.573256+(-0.73338--0.695334))+0-608.3--0.620466000000097</f>
        <v>1949.8091640000007</v>
      </c>
      <c r="X309" s="3">
        <f>2904.3+(793.7-870.8)+(-5.924772+(-1.619148--1.776432))+0-565--1.15259999999998</f>
        <v>2257.5851120000002</v>
      </c>
      <c r="Y309" s="3">
        <f>2621.3+(861.4-587.7)+(-5.347452+(-1.757256--1.198908))+0-654--1.33415999999997</f>
        <v>2236.4283599999999</v>
      </c>
      <c r="Z309" s="3">
        <f>2608.3+(836.9-644.6)+(-1.330233+(-0.426819--0.328746))+0-620--0.316199999999937</f>
        <v>2179.4878940000003</v>
      </c>
      <c r="AA309" s="3">
        <f>2748+(835.2-762.7)+(-1.40148+(-0.425952--0.388977))+0-677.1--0.345320999999931</f>
        <v>2142.3068659999999</v>
      </c>
      <c r="AB309" s="3">
        <f>2754.8+(789.5-869.8)+(0+(0-0))+0-618.6-0</f>
        <v>2055.9</v>
      </c>
      <c r="AC309" s="3">
        <f>2176.8+(870.4-540.2)+(-5.55084+(-2.21952--1.37751))+0-611.5--1.55932499999991</f>
        <v>1890.6664749999998</v>
      </c>
      <c r="AD309">
        <f t="shared" si="4"/>
        <v>45003.29263199999</v>
      </c>
      <c r="AE309" s="3">
        <f>3092+(775.3-1025)+(0+(0-0))+0-566.8-0</f>
        <v>2275.5</v>
      </c>
    </row>
    <row r="310" spans="1:31" customFormat="1" x14ac:dyDescent="0.25">
      <c r="A310">
        <v>89</v>
      </c>
      <c r="B310">
        <v>11</v>
      </c>
      <c r="C310">
        <v>4</v>
      </c>
      <c r="D310">
        <v>3</v>
      </c>
      <c r="E310">
        <v>1</v>
      </c>
      <c r="F310" s="3">
        <f>1674.2+(997.2-337.5)+(-1.707684+(-1.017144--0.34425))+0-547.8--0.558756000000087</f>
        <v>1784.2781780000005</v>
      </c>
      <c r="G310" s="3">
        <f>1665.8+(965.7-338.4)+(-0.849558+(-0.492507--0.172584))+0-625.6--0.319055999999937</f>
        <v>1666.6495750000001</v>
      </c>
      <c r="H310" s="3">
        <f>1636.8+(996.1-318.6)+(-1.669536+(-1.016022--0.324972))+0-673.6--0.687072000000107</f>
        <v>1639.0264860000007</v>
      </c>
      <c r="I310" s="3">
        <f>1762.1+(853.8-436.7)+(1.797342+(0.870876-0.445434))+0-553.4-0.564468000000088</f>
        <v>1627.4583159999997</v>
      </c>
      <c r="J310" s="3">
        <f>1770.1+(874.6-387.1)+(1.805502+(0.892092-0.394842))+0-650.9-0.663918000000104</f>
        <v>1608.3388339999997</v>
      </c>
      <c r="K310" s="3">
        <f>1711.2+(906.7-346)+(3.490848+(1.849668-0.70584))+0-609.2-1.24276799999997</f>
        <v>1666.0919080000001</v>
      </c>
      <c r="L310" s="3">
        <f>1737.1+(950.7-270)+(-2.657763+(-1.454571--0.4131))+0-628--0.960840000000036</f>
        <v>1787.061606</v>
      </c>
      <c r="M310" s="3">
        <f>1662.8+(1013.9-241.5)+(-4.24014+(-2.585445--0.615825))+0-509.8--1.29998999999993</f>
        <v>1920.4902299999997</v>
      </c>
      <c r="N310" s="3">
        <f>1697+(963-314.3)+(0+(0-0))+0-459.5-0</f>
        <v>1886.1999999999998</v>
      </c>
      <c r="O310" s="3">
        <f>1969.5+(754.8-451.6)+(0+(0-0))+0-319.5-0</f>
        <v>1953.1999999999998</v>
      </c>
      <c r="P310" s="3">
        <f>2289.9+(700-658.1)+(-4.671396+(-1.428--1.342524))+0-349.5--0.712979999999985</f>
        <v>1978.2561080000003</v>
      </c>
      <c r="Q310" s="3">
        <f>2519.3+(664.8-784)+(-6.424215+(-1.69524--1.9992))+0-480.3--1.22476499999993</f>
        <v>1914.9045100000005</v>
      </c>
      <c r="R310" s="3">
        <f>2132.1+(694.1-501.2)+(-4.349484+(-1.415964--1.022448))+0-441.7--0.901067999999981</f>
        <v>1879.4580679999999</v>
      </c>
      <c r="S310" s="3">
        <f>1982.3+(722.7-382.7)+(-1.010973+(-0.368577--0.195177))+0-486.2--0.247961999999951</f>
        <v>1835.163589</v>
      </c>
      <c r="T310" s="3">
        <f>1694.7+(876.8-303.5)+(0+(0-0))+0-520.5-0</f>
        <v>1747.5</v>
      </c>
      <c r="U310" s="3">
        <f>1797.5+(740.7-419.4)+(2.750175+(1.133271-0.641682))+0-376.5-0.576045000000022</f>
        <v>1744.965719</v>
      </c>
      <c r="V310" s="3">
        <f>1936.4+(774.9-394.3)+(0+(0-0))+0-537.8-0</f>
        <v>1779.2</v>
      </c>
      <c r="W310" s="3">
        <f>2601.5+(643.8-854)+(0+(0-0))+0-456.2-0</f>
        <v>1935.1000000000001</v>
      </c>
      <c r="X310" s="3">
        <f>3491.7+(558.9-1344.3)+(-5.342301+(-0.855117--2.056779))+0-481.9--0.737307000000028</f>
        <v>2220.9966679999993</v>
      </c>
      <c r="Y310" s="3">
        <f>3085+(633.5-870.9)+(-4.72005+(-0.969255--1.332477))+0-690.6--1.05661800000004</f>
        <v>2153.6997900000001</v>
      </c>
      <c r="Z310" s="3">
        <f>2098.3+(869.8-326)+(-3.210399+(-1.330794--0.49878))+0-540.2--0.826506000000031</f>
        <v>2098.6840930000003</v>
      </c>
      <c r="AA310" s="3">
        <f>2290.8+(819.7-371.5)+(-1.168308+(-0.418047--0.189465))+0-565--0.288149999999943</f>
        <v>2172.8912599999999</v>
      </c>
      <c r="AB310" s="3">
        <f>1799.8+(1087.2-285.9)+(-1.835796+(-1.108944--0.291618))+0-606.3--0.618426000000097</f>
        <v>1992.7653039999998</v>
      </c>
      <c r="AC310" s="3">
        <f>1698+(1122.3-383.9)+(0+(0-0))+0-548.7-0</f>
        <v>1887.7</v>
      </c>
      <c r="AD310">
        <f t="shared" si="4"/>
        <v>44880.080241999996</v>
      </c>
      <c r="AE310" s="3">
        <f>3632+(566.1-1417.6)+(0+(0-0))+0-532.6-0</f>
        <v>2247.9</v>
      </c>
    </row>
    <row r="311" spans="1:31" customFormat="1" x14ac:dyDescent="0.25">
      <c r="A311">
        <v>89</v>
      </c>
      <c r="B311">
        <v>11</v>
      </c>
      <c r="C311">
        <v>5</v>
      </c>
      <c r="D311">
        <v>4</v>
      </c>
      <c r="E311">
        <v>5</v>
      </c>
      <c r="F311" s="3">
        <f>1557.7+(1118.9-421.1)+(-0.794427+(-0.570639--0.214761))+0-633.4--0.323033999999936</f>
        <v>1621.2727289999998</v>
      </c>
      <c r="G311" s="3">
        <f>1506.4+(1082.3-367.9)+(-2.304792+(-1.655919--0.562887))+0-515.7--0.78902100000003</f>
        <v>1702.4911970000001</v>
      </c>
      <c r="H311" s="3">
        <f>1583.7+(1088-352.7)+(1.615374+(1.10976-0.359754))+0-693.5-0.707370000000111</f>
        <v>1627.1580100000001</v>
      </c>
      <c r="I311" s="3">
        <f>1417.8+(1067.4-315.5)+(-0.723078+(-0.544374--0.160905))+0-555.8--0.283457999999944</f>
        <v>1613.0769109999999</v>
      </c>
      <c r="J311" s="3">
        <f>1452.1+(1025-291.6)+(-0.740571+(-0.52275--0.148716))+0-606.1--0.309110999999939</f>
        <v>1578.5945059999999</v>
      </c>
      <c r="K311" s="3">
        <f>1483.8+(1022.6-250.2)+(0.756738+(0.521526-0.127602))+0-637.2-0.324971999999935</f>
        <v>1619.8256899999999</v>
      </c>
      <c r="L311" s="3">
        <f>1402+(1144.4-239.4)+(-4.29012+(-3.501864--0.732564))+0-622.1--1.90362600000007</f>
        <v>1679.7442060000001</v>
      </c>
      <c r="M311" s="3">
        <f>1431.8+(1100.4-229)+(-3.65109+(-2.80602--0.58395))+0-565--1.44074999999992</f>
        <v>1733.7675899999997</v>
      </c>
      <c r="N311" s="3">
        <f>1506.4+(1145.9-250.2)+(-1.536528+(-1.168818--0.255204))+0-631.5--0.644130000000101</f>
        <v>1768.7939880000004</v>
      </c>
      <c r="O311" s="3">
        <f>1585.5+(880.1-239.3)+(-3.23442+(-1.795404--0.488172))+0-407.3--0.830891999999982</f>
        <v>1815.2892400000003</v>
      </c>
      <c r="P311" s="3">
        <f>1554.1+(1033.9-247.5)+(-2.377773+(-1.581867--0.378675))+0-534.8--0.818244000000031</f>
        <v>1802.937279</v>
      </c>
      <c r="Q311" s="3">
        <f>1536.2+(1018.2-266.1)+(-3.91731+(-2.59641--0.678555))+0-567.1--1.44610499999992</f>
        <v>1716.8109400000003</v>
      </c>
      <c r="R311" s="3">
        <f>1439.5+(926.6-141.3)+(-4.40487+(-2.835396--0.432378))+0-514.2--1.57345200000006</f>
        <v>1705.3655640000004</v>
      </c>
      <c r="S311" s="3">
        <f>1486.5+(940.8-191)+(-1.51623+(-0.959616--0.19482))+0-593.9--0.605778000000095</f>
        <v>1640.7247520000001</v>
      </c>
      <c r="T311" s="3">
        <f>1453.9+(1067.2-228.3)+(-3.707445+(-2.72136--0.582165))+0-642.6--1.63862999999991</f>
        <v>1645.99199</v>
      </c>
      <c r="U311" s="3">
        <f>1549.4+(824.7-234.2)+(1.580388+(0.841194-0.238884))+0-518.1-0.528462000000083</f>
        <v>1623.4542360000003</v>
      </c>
      <c r="V311" s="3">
        <f>1776.8+(830.6-239.8)+(1.812336+(0.847212-0.244596))+0-687.7-0.70145400000011</f>
        <v>1681.6134979999999</v>
      </c>
      <c r="W311" s="3">
        <f>2471.8+(494.9-583.9)+(0+(0-0))+0-522.1-0</f>
        <v>1860.7000000000003</v>
      </c>
      <c r="X311" s="3">
        <f>2982.9+(506.8-748.3)+(-1.521279+(-0.258468--0.381633))+0-645.5--0.329204999999935</f>
        <v>2094.831091</v>
      </c>
      <c r="Y311" s="3">
        <f>2884.5+(556.9-593.2)+(-5.88438+(-1.136076--1.210128))+0-556.1--1.13444399999998</f>
        <v>2287.4241159999997</v>
      </c>
      <c r="Z311" s="3">
        <f>2480.5+(589.9-465.5)+(0+(0-0))+0-561.6-0</f>
        <v>2043.3000000000002</v>
      </c>
      <c r="AA311" s="3">
        <f>2514.3+(579.1-521.4)+(0+(0-0))+0-534.9-0</f>
        <v>2037.1</v>
      </c>
      <c r="AB311" s="3">
        <f>2354+(675.5-489.8)+(-7.20324+(-2.06703--1.498788))+0-609--1.86354000000007</f>
        <v>1924.7920579999998</v>
      </c>
      <c r="AC311" s="3">
        <f>1496.9+(1054.1-240.3)+(-1.526838+(-1.075182--0.245106))+0-493--0.502860000000079</f>
        <v>1815.8459459999999</v>
      </c>
      <c r="AD311">
        <f t="shared" si="4"/>
        <v>42640.905536999999</v>
      </c>
      <c r="AE311" s="3">
        <f>3042+(505.3-692.9)+(0+(0-0))+0-699.1-0</f>
        <v>2155.3000000000002</v>
      </c>
    </row>
    <row r="312" spans="1:31" customFormat="1" x14ac:dyDescent="0.25">
      <c r="A312">
        <v>89</v>
      </c>
      <c r="B312">
        <v>11</v>
      </c>
      <c r="C312">
        <v>6</v>
      </c>
      <c r="D312">
        <v>5</v>
      </c>
      <c r="E312">
        <v>1</v>
      </c>
      <c r="F312" s="3">
        <f>1419.5+(1225.3-240.6)+(-2.171835+(-1.874709--0.368118))+0-722.9--1.10603700000004</f>
        <v>1678.7276109999998</v>
      </c>
      <c r="G312" s="3">
        <f>1410.9+(972.1-263.7)+(-0.719559+(-0.495771--0.134487))+0-502.4--0.256223999999949</f>
        <v>1616.0753809999999</v>
      </c>
      <c r="H312" s="3">
        <f>1409.7+(1007.2-241.3)+(0.718947+(0.513672-0.123063))+0-669-0.341189999999932</f>
        <v>1507.3683660000004</v>
      </c>
      <c r="I312" s="3">
        <f>1431.1+(886.7-242.6)+(0+(0-0))+0-516.5-0</f>
        <v>1558.6999999999998</v>
      </c>
      <c r="J312" s="3">
        <f>1526+(965.8-242.6)+(3.11304+(1.970232-0.494904))+0-684.1-1.39556399999997</f>
        <v>1568.2928040000002</v>
      </c>
      <c r="K312" s="3">
        <f>1506+(957.9-244.5)+(0.76806+(0.488529-0.124695))+0-620.3-0.316352999999937</f>
        <v>1599.9155410000003</v>
      </c>
      <c r="L312" s="3">
        <f>1440.7+(1163.1-242)+(-1.469514+(-1.186362--0.24684))+0-639.9--0.652698000000102</f>
        <v>1720.1436620000002</v>
      </c>
      <c r="M312" s="3">
        <f>1457.4+(1093.6-224.4)+(1.486548+(1.115472-0.228888))+0-503.5-0.51357000000008</f>
        <v>1824.959562</v>
      </c>
      <c r="N312" s="3">
        <f>1646+(1122.1-234)+(-0.83946+(-0.572271--0.11934))+0-706.5--0.360314999999928</f>
        <v>1826.6679239999999</v>
      </c>
      <c r="O312" s="3">
        <f>1815.2+(833-357.8)+(-1.851504+(-0.84966--0.364956))+0-423.9--0.432378000000068</f>
        <v>1864.5961699999998</v>
      </c>
      <c r="P312" s="3">
        <f>1920.8+(947.7-371.9)+(1.959216+(0.966654-0.379338))+0-574.4-0.585888000000092</f>
        <v>1924.1606439999996</v>
      </c>
      <c r="Q312" s="3">
        <f>2003.1+(911.7-388.2)+(1.021581+(0.464967-0.197982))+0-576.6-0.294065999999942</f>
        <v>1950.9945000000002</v>
      </c>
      <c r="R312" s="3">
        <f>1798.3+(1020.6-272.3)+(-4.585665+(-2.60253--0.694365))+0-597.5--1.52362499999991</f>
        <v>1944.1297949999998</v>
      </c>
      <c r="S312" s="3">
        <f>1550+(1191.7-226.5)+(0+(0-0))+0-577-0</f>
        <v>1938.1999999999998</v>
      </c>
      <c r="T312" s="3">
        <f>1638.9+(1169.8-277.3)+(0+(0-0))+0-625.2-0</f>
        <v>1906.2</v>
      </c>
      <c r="U312" s="3">
        <f>1416+(1266.2-284)+(-0.72216+(-0.645762--0.14484))+0-510--0.260099999999948</f>
        <v>1887.2370179999998</v>
      </c>
      <c r="V312" s="3">
        <f>1645.8+(1202.7-355)+(-3.357432+(-2.453508--0.7242))+0-600.6--1.22522399999997</f>
        <v>1889.0384839999999</v>
      </c>
      <c r="W312" s="3">
        <f>2071.1+(776.1-564.2)+(-4.225044+(-1.583244--1.150968))+0-534.7--1.09078799999998</f>
        <v>1744.7334680000001</v>
      </c>
      <c r="X312" s="3">
        <f>2604.1+(439.6-775.9)+(1.328091+(0.224196-0.395709))+0-421.5-0.214964999999957</f>
        <v>1847.2416130000004</v>
      </c>
      <c r="Y312" s="3">
        <f>2766.4+(443.5-840.5)+(1.410864+(0.226185-0.428655))+0-537.9-0.274328999999945</f>
        <v>1832.4340650000004</v>
      </c>
      <c r="Z312" s="3">
        <f>2515.8+(516.3-714.6)+(-6.41529+(-1.316565--1.82223))+2.1-478--1.21889999999993</f>
        <v>1836.909275</v>
      </c>
      <c r="AA312" s="3">
        <f>2568.9+(566-817.5)+(0+(0-0))+0-546.9-0</f>
        <v>1770.5</v>
      </c>
      <c r="AB312" s="3">
        <f>1944.5+(712.7-398.5)+(-4.958475+(-1.817385--1.016175))+0-549.1--1.40020499999992</f>
        <v>1705.2405199999998</v>
      </c>
      <c r="AC312" s="3">
        <f>1677+(870.9-287.6)+(-5.13162+(-2.664954--0.880056))+0-577.6--1.76745600000007</f>
        <v>1677.5509380000003</v>
      </c>
      <c r="AD312">
        <f t="shared" si="4"/>
        <v>42620.017340999999</v>
      </c>
      <c r="AE312" s="3">
        <f>2781+(414.4-892.4)+(0+(0-0))+0-483.5-0</f>
        <v>1819.5</v>
      </c>
    </row>
    <row r="313" spans="1:31" customFormat="1" x14ac:dyDescent="0.25">
      <c r="A313">
        <v>89</v>
      </c>
      <c r="B313">
        <v>11</v>
      </c>
      <c r="C313">
        <v>7</v>
      </c>
      <c r="D313">
        <v>6</v>
      </c>
      <c r="E313">
        <v>1</v>
      </c>
      <c r="F313" s="3">
        <f>1624.4+(711.3-309.1)+(-2.485332+(-1.088289--0.472923))+0-553.4--0.846702000000032</f>
        <v>1470.9460040000001</v>
      </c>
      <c r="G313" s="3">
        <f>1681.4+(625.5-281.5)+(3.430056+(1.27602-0.57426))+0-615.1-1.25480399999997</f>
        <v>1413.1770120000003</v>
      </c>
      <c r="H313" s="3">
        <f>1499.4+(625-254.5)+(2.294082+(0.95625-0.389385))+0-485.5-0.742815000000028</f>
        <v>1386.5181319999999</v>
      </c>
      <c r="I313" s="3">
        <f>1415.1+(821.2-220.5)+(0.721701+(0.418812-0.112455))+0-660.8-0.337007999999933</f>
        <v>1355.6910500000001</v>
      </c>
      <c r="J313" s="3">
        <f>1419.3+(695.2-252.9)+(0+(0-0))+0-496.2-0</f>
        <v>1365.3999999999999</v>
      </c>
      <c r="K313" s="3">
        <f>1510.2+(822.8-273.5)+(0+(0-0))+0-662.3-0</f>
        <v>1397.2</v>
      </c>
      <c r="L313" s="3">
        <f>1455.6+(898.6-283.9)+(1.484712+(0.916572-0.289578))+0-483.1-0.492762000000077</f>
        <v>1588.8189440000003</v>
      </c>
      <c r="M313" s="3">
        <f>1528.5+(921.1-244.3)+(-0.779535+(-0.469761--0.124593))+0-512.1--0.261170999999948</f>
        <v>1692.3364680000002</v>
      </c>
      <c r="N313" s="3">
        <f>2277.5+(442.6-462.2)+(-2.32305+(-0.451452--0.471444))+0-518.9--0.529278000000083</f>
        <v>1737.22622</v>
      </c>
      <c r="O313" s="3">
        <f>2740.7+(355.4-719.5)+(-5.591028+(-0.725016--1.46778))+0-556.4--1.13505599999998</f>
        <v>1816.4867919999997</v>
      </c>
      <c r="P313" s="3">
        <f>2871.6+(312.5-800.5)+(-1.464516+(-0.159375--0.408255))+0-501.2--0.255611999999949</f>
        <v>1881.4399759999999</v>
      </c>
      <c r="Q313" s="3">
        <f>2957.2+(368.8-893.7)+(0+(0-0))+0-539.9-0</f>
        <v>1892.3999999999996</v>
      </c>
      <c r="R313" s="3">
        <f>2290.3+(547.4-527.2)+(-4.672212+(-1.116696--1.075488))+0-491.9--1.00347599999998</f>
        <v>1814.890056</v>
      </c>
      <c r="S313" s="3">
        <f>2222.5+(648.5-330.1)+(-7.934325+(-2.315145--1.178457))+0-661.2--2.36048400000001</f>
        <v>1872.9894709999999</v>
      </c>
      <c r="T313" s="3">
        <f>1916.2+(680.8-244.2)+(-4.88631+(-1.73604--0.62271))+0-556.5--1.41907499999992</f>
        <v>1791.7194350000002</v>
      </c>
      <c r="U313" s="3">
        <f>1959.7+(660.5-310.5)+(-1.998894+(-0.67371--0.31671))+0-555.9--0.567018000000089</f>
        <v>1752.0111240000001</v>
      </c>
      <c r="V313" s="3">
        <f>1996.3+(703.2-286.5)+(-4.072452+(-1.434528--0.58446))+0-536.8--1.09507199999998</f>
        <v>1872.372552</v>
      </c>
      <c r="W313" s="3">
        <f>2323.9+(580.3-377.8)+(1.185189+(0.295953-0.192678))+0-603.2-0.307631999999939</f>
        <v>1924.1808320000002</v>
      </c>
      <c r="X313" s="3">
        <f>2792.5+(497-619.2)+(-7.120875+(-1.26735--1.57896))+0-563.7--1.43743499999992</f>
        <v>2101.2281700000003</v>
      </c>
      <c r="Y313" s="3">
        <f>2661.4+(612-550.4)+(-4.071942+(-0.93636--0.842112))+0-650.5--0.995265000000038</f>
        <v>2069.3290750000001</v>
      </c>
      <c r="Z313" s="3">
        <f>2223.4+(717.2-389.9)+(-1.133934+(-0.365772--0.198849))+0-530.8--0.270707999999946</f>
        <v>2018.8698510000002</v>
      </c>
      <c r="AA313" s="3">
        <f>2054+(826.8-325.9)+(-2.09508+(-0.843336--0.332418))+0-598.7--0.610674000000096</f>
        <v>1954.2046760000001</v>
      </c>
      <c r="AB313" s="3">
        <f>1855.4+(861.1-291.1)+(-3.785016+(-1.756644--0.593844))+0-585.4--1.19421599999997</f>
        <v>1836.2464</v>
      </c>
      <c r="AC313" s="3">
        <f>1866.1+(869.1-307.8)+(0+(0-0))+0-651.4-0</f>
        <v>1775.9999999999995</v>
      </c>
      <c r="AD313">
        <f t="shared" si="4"/>
        <v>41781.682240000009</v>
      </c>
      <c r="AE313" s="3">
        <f>2963+(478.6-629.8)+(0+(0-0))+0-696.1-0</f>
        <v>2115.7000000000003</v>
      </c>
    </row>
    <row r="314" spans="1:31" customFormat="1" x14ac:dyDescent="0.25">
      <c r="A314">
        <v>89</v>
      </c>
      <c r="B314">
        <v>11</v>
      </c>
      <c r="C314">
        <v>8</v>
      </c>
      <c r="D314">
        <v>7</v>
      </c>
      <c r="E314">
        <v>1</v>
      </c>
      <c r="F314" s="3">
        <f>1729.6+(840.9-362.3)+(-4.41048+(-2.144295--0.923865))+0-542.2--1.38260999999992</f>
        <v>1661.7516999999998</v>
      </c>
      <c r="G314" s="3">
        <f>1683.6+(779.8-399.3)+(-2.575908+(-1.193094--0.610929))+0-497.7--0.761481000000029</f>
        <v>1564.0034079999998</v>
      </c>
      <c r="H314" s="3">
        <f>1612.9+(837.1-375.7)+(-0.822579+(-0.426921--0.191607))+0-552.1--0.281570999999944</f>
        <v>1521.4236780000001</v>
      </c>
      <c r="I314" s="3">
        <f>1614.6+(868.5-439.3)+(-0.823446+(-0.442935--0.224043))+0-554.6--0.282845999999944</f>
        <v>1488.4405079999999</v>
      </c>
      <c r="J314" s="3">
        <f>1795.4+(805.6-533.8)+(0.915654+(0.410856-0.272238))+0-573.5-0.292484999999942</f>
        <v>1494.4617870000002</v>
      </c>
      <c r="K314" s="3">
        <f>1703.3+(854-456)+(-2.606049+(-1.30662--0.69768))+0-607.1--0.928863000000035</f>
        <v>1491.9138740000003</v>
      </c>
      <c r="L314" s="3">
        <f>1779.9+(808.7-438.5)+(-1.815498+(-0.824874--0.44727))+0-550.3--0.561306000000088</f>
        <v>1598.1682040000003</v>
      </c>
      <c r="M314" s="3">
        <f>1760.8+(783.7-309)+(0+(0-0))+0-599-0</f>
        <v>1636.5</v>
      </c>
      <c r="N314" s="3">
        <f>1810.6+(732.7-319.1)+(-1.846812+(-0.747354--0.325482))+0-540.9--0.551718000000086</f>
        <v>1681.5830339999998</v>
      </c>
      <c r="O314" s="3">
        <f>2141+(549.7-471.1)+(3.27573+(0.841041-0.720783))+0-539.1-0.824823000000031</f>
        <v>1683.0711650000003</v>
      </c>
      <c r="P314" s="3">
        <f>2361+(477.5-511.2)+(-3.61233+(-0.730575--0.782136))+0-579.8--0.887094000000033</f>
        <v>1744.826325</v>
      </c>
      <c r="Q314" s="3">
        <f>2508.9+(392.4-549.7)+(-2.559078+(-0.400248--0.560694))+0-562.4--0.57364800000009</f>
        <v>1787.375016</v>
      </c>
      <c r="R314" s="3">
        <f>2520.5+(368.3-558.9)+(-11.569095+(-1.690497--2.565351))+0-591.8--2.7163620000001</f>
        <v>1730.1221210000001</v>
      </c>
      <c r="S314" s="3">
        <f>2414.4+(414.4-528.6)+(0+(0-0))+0-639.3-0</f>
        <v>1660.8999999999999</v>
      </c>
      <c r="T314" s="3">
        <f>2312+(402.5-497.2)+(-1.17912+(-0.205275--0.253572))+0-578.3--0.294932999999941</f>
        <v>1638.1641100000002</v>
      </c>
      <c r="U314" s="3">
        <f>2272.8+(404.2-488.8)+(-1.159128+(-0.206142--0.249288))+0-581--0.296309999999941</f>
        <v>1606.3803280000004</v>
      </c>
      <c r="V314" s="3">
        <f>2107.5+(465.5-409.7)+(-3.224475+(-0.712215--0.626841))+0-527.7--0.807381000000031</f>
        <v>1633.097532</v>
      </c>
      <c r="W314" s="3">
        <f>2220.7+(488.8-427.2)+(-4.530228+(-0.997152--0.871488))+0-574.6--1.17218399999998</f>
        <v>1704.2162919999996</v>
      </c>
      <c r="X314" s="3">
        <f>2560.8+(621-484.5)+(-5.224032+(-1.26684--0.98838))+0-652.2--1.33048799999997</f>
        <v>2040.9279960000001</v>
      </c>
      <c r="Y314" s="3">
        <f>2503.7+(630.5-449.4)+(-3.830661+(-0.964665--0.687582))+0-636.8--0.974304000000037</f>
        <v>2044.8665599999999</v>
      </c>
      <c r="Z314" s="3">
        <f>2675.9+(554.8-573.6)+(-2.729418+(-0.565896--0.585072))+0-658.5--0.671670000000105</f>
        <v>1996.561428</v>
      </c>
      <c r="AA314" s="3">
        <f>2585.4+(582.7-649)+(-1.318554+(-0.297177--0.33099))+0-587.9--0.29982899999994</f>
        <v>1930.2150880000004</v>
      </c>
      <c r="AB314" s="3">
        <f>2093.9+(798.7-446.7)+(-2.135778+(-0.814674--0.455634))+0-590.2--0.602004000000094</f>
        <v>1853.807186</v>
      </c>
      <c r="AC314" s="3">
        <f>1894.3+(872-461.3)+(-6.762651+(-3.11304--1.646841))+0-563.7--2.01240900000001</f>
        <v>1735.0835589999999</v>
      </c>
      <c r="AD314">
        <f t="shared" si="4"/>
        <v>40927.860898999999</v>
      </c>
      <c r="AE314" s="3">
        <f>2537.2+(736.1-432)+(0+(0-0))+0-795.7-0</f>
        <v>2045.5999999999997</v>
      </c>
    </row>
    <row r="315" spans="1:31" customFormat="1" x14ac:dyDescent="0.25">
      <c r="A315">
        <v>89</v>
      </c>
      <c r="B315">
        <v>11</v>
      </c>
      <c r="C315">
        <v>9</v>
      </c>
      <c r="D315">
        <v>1</v>
      </c>
      <c r="E315">
        <v>1</v>
      </c>
      <c r="F315" s="3">
        <f>1831.6+(930.6-580.8)+(0+(0-0))+0-567.4-0</f>
        <v>1614</v>
      </c>
      <c r="G315" s="3">
        <f>1811.5+(932.7-584.3)+(-6.467055+(-3.329739--2.085951))+0-629.2--2.24624400000001</f>
        <v>1525.2354010000001</v>
      </c>
      <c r="H315" s="3">
        <f>1846.5+(833.7-554.3)+(-0.941715+(-0.425187--0.282693))+0-656--0.334559999999933</f>
        <v>1469.150351</v>
      </c>
      <c r="I315" s="3">
        <f>1823.4+(760-499.7)+(-2.789802+(-1.1628--0.764541))+0-640.3--0.979659000000037</f>
        <v>1441.1915980000006</v>
      </c>
      <c r="J315" s="3">
        <f>1902.1+(698.8-547.2)+(0+(0-0))+0-603.7-0</f>
        <v>1449.9999999999998</v>
      </c>
      <c r="K315" s="3">
        <f>1871.7+(709.3-500.9)+(0+(0-0))+0-596.5-0</f>
        <v>1483.6</v>
      </c>
      <c r="L315" s="3">
        <f>1909.7+(755.8-418)+(0+(0-0))+0-646.6-0</f>
        <v>1600.9</v>
      </c>
      <c r="M315" s="3">
        <f>1901.7+(723.5-341.9)+(-4.849335+(-1.844925--0.871845))+0-568.9--1.45069499999992</f>
        <v>1710.02828</v>
      </c>
      <c r="N315" s="3">
        <f>2034.9+(641.7-328.6)+(1.037799+(0.327267-0.167586))+0-604.1-0.308090999999939</f>
        <v>1744.789389</v>
      </c>
      <c r="O315" s="3">
        <f>2047.8+(654.4-396.7)+(-1.044378+(-0.333744--0.202317))+0-532.4--0.271523999999946</f>
        <v>1772.1957190000001</v>
      </c>
      <c r="P315" s="3">
        <f>2262.1+(612.3-500.7)+(-2.307342+(-0.624546--0.510714))+0-590.9--0.602718000000094</f>
        <v>1780.9815439999998</v>
      </c>
      <c r="Q315" s="3">
        <f>2223.7+(666.3-611)+(-5.670435+(-1.699065--1.55805))+0-507.6--1.29437999999993</f>
        <v>1766.8829299999998</v>
      </c>
      <c r="R315" s="3">
        <f>2166.9+(773.1-485.2)+(0+(0-0))+0-589.7-0</f>
        <v>1865.1000000000001</v>
      </c>
      <c r="S315" s="3">
        <f>2132.2+(733.4-669.9)+(-4.349688+(-1.496136--1.366596))+0-468.1--0.95492399999998</f>
        <v>1724.0756959999997</v>
      </c>
      <c r="T315" s="3">
        <f>2127.6+(759.7-647.8)+(3.255228+(1.162341-0.991134))+0-578.5-0.885105000000033</f>
        <v>1663.5413299999998</v>
      </c>
      <c r="U315" s="3">
        <f>2074.4+(730.9-754.2)+(-3.173832+(-1.118277--1.153926))+0-388.8--0.594864000000022</f>
        <v>1659.7566809999998</v>
      </c>
      <c r="V315" s="3">
        <f>2054.7+(797-472.6)+(3.143691+(1.21941-0.723078))+0-613.6-0.938808000000036</f>
        <v>1768.2012149999998</v>
      </c>
      <c r="W315" s="3">
        <f>2487.9+(717.6-805.6)+(-3.806487+(-1.097928--1.232568))+0-573.2--0.876996000000033</f>
        <v>1823.9051489999999</v>
      </c>
      <c r="X315" s="3">
        <f>2852.2+(687.8-862.7)+(-8.727732+(-2.104668--2.639862))+0-597--1.82682000000007</f>
        <v>2073.9342820000002</v>
      </c>
      <c r="Y315" s="3">
        <f>2699.9+(729.3-786.8)+(-9.638643+(-2.603601--2.808876))+0-573.6--2.04775200000001</f>
        <v>2061.4143840000002</v>
      </c>
      <c r="Z315" s="3">
        <f>2844.2+(677.5-1017.9)+(1.450542+(0.345525-0.519129))+0-502.6-0.256325999999949</f>
        <v>2002.2206119999998</v>
      </c>
      <c r="AA315" s="3">
        <f>2589.2+(819.7-839.6)+(-1.320492+(-0.418047--0.428196))+0-629.3--0.320942999999936</f>
        <v>1939.0105999999996</v>
      </c>
      <c r="AB315" s="3">
        <f>2328.4+(954.2-887)+(-1.187484+(-0.486642--0.45237))+0-532.2--0.271421999999946</f>
        <v>1862.4496660000004</v>
      </c>
      <c r="AC315" s="3">
        <f>2205.1+(965-818.6)+(-1.124601+(-0.49215--0.417486))+0-609.8--0.310997999999938</f>
        <v>1740.8117329999998</v>
      </c>
      <c r="AD315">
        <f t="shared" si="4"/>
        <v>41543.376559999997</v>
      </c>
      <c r="AE315" s="3">
        <f>2891+(678.3-931.5)+(0+(0-0))+0-563-0</f>
        <v>2074.8000000000002</v>
      </c>
    </row>
    <row r="316" spans="1:31" customFormat="1" x14ac:dyDescent="0.25">
      <c r="A316">
        <v>89</v>
      </c>
      <c r="B316">
        <v>11</v>
      </c>
      <c r="C316">
        <v>10</v>
      </c>
      <c r="D316">
        <v>2</v>
      </c>
      <c r="E316">
        <v>1</v>
      </c>
      <c r="F316" s="3">
        <f>2081.7+(826.7-828.7)+(1.061667+(0.421617-0.422637))+0-460.4-0.234803999999953</f>
        <v>1620.1258429999996</v>
      </c>
      <c r="G316" s="3">
        <f>1860.4+(872.6-622.8)+(0+(0-0))+0-595.3-0</f>
        <v>1514.9000000000003</v>
      </c>
      <c r="H316" s="3">
        <f>1819.1+(808-600.2)+(-2.783223+(-1.23624--0.918306))+0-558.7--0.854811000000032</f>
        <v>1465.9536539999997</v>
      </c>
      <c r="I316" s="3">
        <f>1822.7+(771.4-533.3)+(-4.647885+(-1.96707--1.359915))+0-614.4--1.56671999999991</f>
        <v>1442.7116799999999</v>
      </c>
      <c r="J316" s="3">
        <f>1823.9+(763-624.4)+(1.860378+(0.77826-0.636888))+0-521.2-0.531624000000083</f>
        <v>1442.7701259999997</v>
      </c>
      <c r="K316" s="3">
        <f>1815+(782.9-522.2)+(-3.7026+(-1.597116--1.065288))+0-598.6--1.22114399999997</f>
        <v>1474.0867159999996</v>
      </c>
      <c r="L316" s="3">
        <f>1917.4+(693.7-448)+(3.911496+(1.415148-0.91392))+0-558.7-1.13974799999998</f>
        <v>1607.6729760000001</v>
      </c>
      <c r="M316" s="3">
        <f>1911.1+(687-352.7)+(0.974661+(0.35037-0.179877))+0-556.1-0.283610999999944</f>
        <v>1690.1615430000002</v>
      </c>
      <c r="N316" s="3">
        <f>1896.4+(740.9-363.9)+(-4.83582+(-1.889295--0.927945))+0-567.6--1.44737999999992</f>
        <v>1701.4502100000002</v>
      </c>
      <c r="O316" s="3">
        <f>2013.1+(758.3-492.7)+(1.026681+(0.386733-0.251277))+0-497.5-0.25372499999995</f>
        <v>1782.1084119999996</v>
      </c>
      <c r="P316" s="3">
        <f>2088.8+(798.9-619.6)+(-2.130576+(-0.814878--0.631992))+0-466.3--0.475626000000074</f>
        <v>1799.9621640000005</v>
      </c>
      <c r="Q316" s="3">
        <f>2249.3+(800.4-699.9)+(0+(0-0))+0-543.3-0</f>
        <v>1806.5000000000002</v>
      </c>
      <c r="R316" s="3">
        <f>2044+(849.9-578.1)+(-3.12732+(-1.300347--0.884493))+0-504.9--0.772497000000029</f>
        <v>1808.1293230000001</v>
      </c>
      <c r="S316" s="3">
        <f>1852.1+(887.7-459.7)+(-1.889142+(-0.905454--0.468894))+0-475.9--0.485418000000076</f>
        <v>1802.3597159999997</v>
      </c>
      <c r="T316" s="3">
        <f>1869+(876.5-560.5)+(-1.90638+(-0.89403--0.57171))+0-421.3--0.429726000000067</f>
        <v>1761.901026</v>
      </c>
      <c r="U316" s="3">
        <f>1892.3+(872.1-483.9)+(0.965073+(0.444771-0.246789))+0-542.5-0.276674999999945</f>
        <v>1738.8863800000001</v>
      </c>
      <c r="V316" s="3">
        <f>1839.7+(863.1-463.4)+(-1.876494+(-0.880362--0.472668))+0-475.6--0.485112000000076</f>
        <v>1762.0009240000002</v>
      </c>
      <c r="W316" s="3">
        <f>2358.1+(733.4-563.8)+(0+(0-0))+0-631-0</f>
        <v>1896.6999999999998</v>
      </c>
      <c r="X316" s="3">
        <f>2925.3+(734.3-1007.3)+(-2.983806+(-0.748986--1.027446))+0-555.5--0.566610000000089</f>
        <v>2094.6612640000003</v>
      </c>
      <c r="Y316" s="3">
        <f>2803.9+(770.3-928)+(-4.289967+(-1.178559--1.41984))+0-575.1--0.879903000000033</f>
        <v>2067.9312169999998</v>
      </c>
      <c r="Z316" s="3">
        <f>2801.9+(683.5-832.7)+(-5.715876+(-1.39434--1.698708))+0-615.2--1.25500799999997</f>
        <v>2033.3434999999995</v>
      </c>
      <c r="AA316" s="3">
        <f>2564+(684.9-626.8)+(-1.30764+(-0.349299--0.319668))+0-617--0.314669999999937</f>
        <v>2004.077399</v>
      </c>
      <c r="AB316" s="3">
        <f>1890.7+(848.7-323)+(-3.857028+(-1.731348--0.65892))+0-587.7--1.19890799999997</f>
        <v>1824.9694520000003</v>
      </c>
      <c r="AC316" s="3">
        <f>1880.3+(868.2-405.3)+(-1.917906+(-0.885564--0.413406))+0-595.3--0.607206000000095</f>
        <v>1746.1171419999998</v>
      </c>
      <c r="AD316">
        <f t="shared" si="4"/>
        <v>41889.480667000003</v>
      </c>
      <c r="AE316" s="3">
        <f>2916.1+(764.9-882.6)+(0+(0-0))+0-720.7-0</f>
        <v>2077.6999999999998</v>
      </c>
    </row>
    <row r="317" spans="1:31" customFormat="1" x14ac:dyDescent="0.25">
      <c r="A317">
        <v>89</v>
      </c>
      <c r="B317">
        <v>11</v>
      </c>
      <c r="C317">
        <v>11</v>
      </c>
      <c r="D317">
        <v>3</v>
      </c>
      <c r="E317">
        <v>1</v>
      </c>
      <c r="F317" s="3">
        <f>1725.2+(871.8-379.5)+(-4.39926+(-2.22309--0.967725))+0-618.3--1.57666499999991</f>
        <v>1595.1220399999997</v>
      </c>
      <c r="G317" s="3">
        <f>1653.7+(781.7-336.9)+(-3.373548+(-1.594668--0.687276))+0-580--1.18319999999997</f>
        <v>1515.4022599999998</v>
      </c>
      <c r="H317" s="3">
        <f>1639+(789.8-313.7)+(-3.34356+(-1.611192--0.639948))+0-623.6--1.27214399999997</f>
        <v>1488.4573399999999</v>
      </c>
      <c r="I317" s="3">
        <f>1637+(752.7-385.5)+(-4.17435+(-1.919385--0.983025))+0-511.2--1.30355999999993</f>
        <v>1489.1928499999999</v>
      </c>
      <c r="J317" s="3">
        <f>1636.3+(847.9-301.6)+(3.338052+(1.729716-0.615264))+0-727.9-1.48491599999997</f>
        <v>1457.6675879999998</v>
      </c>
      <c r="K317" s="3">
        <f>1644.7+(770-368.1)+(4.193985+(1.9635-0.938655))+0-509-1.29794999999993</f>
        <v>1541.5208799999998</v>
      </c>
      <c r="L317" s="3">
        <f>1759.8+(931.5-353.4)+(2.692494+(1.425195-0.540702))+0-691-1.05723000000004</f>
        <v>1649.4197569999999</v>
      </c>
      <c r="M317" s="3">
        <f>1762.8+(752.7-278.7)+(2.697084+(1.151631-0.426411))+0-514.9-0.78779700000003</f>
        <v>1724.5345070000003</v>
      </c>
      <c r="N317" s="3">
        <f>1795.3+(835.9-275.3)+(1.831206+(0.852618-0.280806))+0-670.9-0.684318000000107</f>
        <v>1686.7186999999994</v>
      </c>
      <c r="O317" s="3">
        <f>1839.7+(734.1-327.4)+(-3.752988+(-1.497564--0.667896))+0-440.2--0.898007999999981</f>
        <v>1802.5153519999999</v>
      </c>
      <c r="P317" s="3">
        <f>2015.4+(697.3-417.4)+(3.083562+(1.066869-0.638622))+0-455.3-0.696609000000026</f>
        <v>1842.8152000000002</v>
      </c>
      <c r="Q317" s="3">
        <f>2115.1+(689-460.5)+(-3.236103+(-1.05417--0.704565))+0-548.1--0.838593000000032</f>
        <v>1792.7528849999999</v>
      </c>
      <c r="R317" s="3">
        <f>1750.1+(887.3-207.4)+(-6.247857+(-3.167661--0.740418))+0-652.1--2.32799700000001</f>
        <v>1771.5528970000003</v>
      </c>
      <c r="S317" s="3">
        <f>1752.5+(721.3-231.2)+(-0.893775+(-0.367863--0.117912))+0-527.5--0.269024999999947</f>
        <v>1714.2252990000002</v>
      </c>
      <c r="T317" s="3">
        <f>1690.8+(811.6-224.7)+(-2.586924+(-1.241748--0.343791))+0-537.7--0.822681000000031</f>
        <v>1737.3378</v>
      </c>
      <c r="U317" s="3">
        <f>1712.9+(828.6-252.8)+(-2.620737+(-1.267758--0.386784))+0-600.8--0.919224000000035</f>
        <v>1685.317513</v>
      </c>
      <c r="V317" s="3">
        <f>1635.7+(913.5-241.8)+(-5.005242+(-2.79531--0.739908))+0-594.4--1.81886400000007</f>
        <v>1707.7582199999999</v>
      </c>
      <c r="W317" s="3">
        <f>1974.9+(700.5-281.3)+(-7.050393+(-2.500785--1.004241))+3.2-562.8--2.00919600000001</f>
        <v>1827.9622589999997</v>
      </c>
      <c r="X317" s="3">
        <f>2352.4+(775.6-516.7)+(-7.198344+(-2.373336--1.581102))+0-633.7--1.93912200000007</f>
        <v>1971.5485440000002</v>
      </c>
      <c r="Y317" s="3">
        <f>2430+(671.7-540.3)+(2.4786+(0.685134-0.551106))+0-560.8-0.572016000000089</f>
        <v>2002.6406119999999</v>
      </c>
      <c r="Z317" s="3">
        <f>2428.8+(683.1-592.5)+(-2.477376+(-0.696762--0.60435))+0-632.2--0.644844000000101</f>
        <v>1885.2750560000004</v>
      </c>
      <c r="AA317" s="3">
        <f>2222+(699.4-632.3)+(-4.53288+(-1.426776--1.289892))+0-488.2--0.995927999999979</f>
        <v>1797.2261639999997</v>
      </c>
      <c r="AB317" s="3">
        <f>1909.2+(865.6-388.2)+(-5.842152+(-2.648736--1.187892))+0-585--1.79010000000007</f>
        <v>1796.0871040000002</v>
      </c>
      <c r="AC317" s="3">
        <f>1702.5+(989.7-572.1)+(-6.9462+(-4.037976--2.334168))+0-478.5--1.95227999999996</f>
        <v>1634.9022719999998</v>
      </c>
      <c r="AD317">
        <f t="shared" si="4"/>
        <v>41117.953098999998</v>
      </c>
      <c r="AE317" s="3">
        <f>2593.1+(762.7-544.1)+(0+(0-0))+0-795.4-0</f>
        <v>2016.2999999999997</v>
      </c>
    </row>
    <row r="318" spans="1:31" customFormat="1" x14ac:dyDescent="0.25">
      <c r="A318">
        <v>89</v>
      </c>
      <c r="B318">
        <v>11</v>
      </c>
      <c r="C318">
        <v>12</v>
      </c>
      <c r="D318">
        <v>4</v>
      </c>
      <c r="E318">
        <v>1</v>
      </c>
      <c r="F318" s="3">
        <f>1869.7+(952.9-697.3)+(-1.907094+(-0.971958--0.711246))+0-563--0.57426000000009</f>
        <v>1560.7064540000003</v>
      </c>
      <c r="G318" s="3">
        <f>1872.1+(862.1-709.1)+(-5.728626+(-2.638026--2.169846))+0-583.9--1.78673400000007</f>
        <v>1436.7899279999999</v>
      </c>
      <c r="H318" s="3">
        <f>1873.3+(757.4-603.5)+(-2.866149+(-1.158822--0.923355))+0-654.7--1.00169100000004</f>
        <v>1370.4000749999998</v>
      </c>
      <c r="I318" s="3">
        <f>1823.6+(780.1-664.7)+(0+(0-0))+0-597.1-0</f>
        <v>1341.9</v>
      </c>
      <c r="J318" s="3">
        <f>1831+(763.4-661.9)+(-4.66905+(-1.94667--1.687845))+2.7-597.5--1.52362499999991</f>
        <v>1334.2957499999998</v>
      </c>
      <c r="K318" s="3">
        <f>1904+(733.1-592)+(-3.88416+(-1.495524--1.20768))+2.7-650.6--1.32722399999997</f>
        <v>1394.3552199999997</v>
      </c>
      <c r="L318" s="3">
        <f>1955.8+(667.4-483.9)+(-4.98729+(-1.70187--1.233945))+0-603.9--1.53994499999991</f>
        <v>1531.4847300000001</v>
      </c>
      <c r="M318" s="3">
        <f>1985.2+(643.1-423.8)+(3.037356+(0.983943-0.648414))+0-590.2-0.903006000000034</f>
        <v>1616.7698790000002</v>
      </c>
      <c r="N318" s="3">
        <f>1929.7+(678.2-460.1)+(-0.984147+(-0.345882--0.234651))+0-497.4--0.25367399999995</f>
        <v>1649.5582960000002</v>
      </c>
      <c r="O318" s="3">
        <f>1941.9+(671.1-434)+(0.990369+(0.342261-0.22134))+0-485.5-0.247604999999951</f>
        <v>1694.3636849999998</v>
      </c>
      <c r="P318" s="3">
        <f>1910+(739.6-431.7)+(-2.9223+(-1.131588--0.660501))+0-530--0.810900000000031</f>
        <v>1685.317513</v>
      </c>
      <c r="Q318" s="3">
        <f>1858+(672.8-471.6)+(-3.79032+(-1.372512--0.962064))+0-324--0.660959999999986</f>
        <v>1731.6601919999996</v>
      </c>
      <c r="R318" s="3">
        <f>1868.2+(704.8-338.8)+(-2.858346+(-1.078344--0.518364))+0-487.1--0.745263000000028</f>
        <v>1744.426937</v>
      </c>
      <c r="S318" s="3">
        <f>1802.4+(777.4-264.8)+(-0.919224+(-0.396474--0.135048))+0-630.5--0.321554999999936</f>
        <v>1683.6409050000002</v>
      </c>
      <c r="T318" s="3">
        <f>1830.7+(756.7-313.9)+(0.933657+(0.385917-0.160089))+0-642-0.327419999999935</f>
        <v>1632.3320650000003</v>
      </c>
      <c r="U318" s="3">
        <f>1853.1+(716.9-340.1)+(-2.835243+(-1.096857--0.520353))+0-621.6--0.951048000000036</f>
        <v>1605.8393009999998</v>
      </c>
      <c r="V318" s="3">
        <f>1753.8+(712.5-341.7)+(0+(0-0))+0-496-0</f>
        <v>1628.6</v>
      </c>
      <c r="W318" s="3">
        <f>1921.1+(790.6-313.5)+(-1.959522+(-0.806412--0.31977))+0-674.3--0.687786000000107</f>
        <v>1722.1416220000001</v>
      </c>
      <c r="X318" s="3">
        <f>2262.4+(762.3-452.9)+(-6.922944+(-2.332638--1.385874))+0-550--1.68300000000006</f>
        <v>2015.613292</v>
      </c>
      <c r="Y318" s="3">
        <f>2067.5+(942.7-390.8)+(-3.163275+(-1.442331--0.597924))+0-595.7--0.911421000000034</f>
        <v>2020.6037390000001</v>
      </c>
      <c r="Z318" s="3">
        <f>2119.4+(853.4-431.8)+(-2.161788+(-0.870468--0.440436))+0-572.7--0.584154000000091</f>
        <v>1966.292334</v>
      </c>
      <c r="AA318" s="3">
        <f>2080.5+(900.1-440)+(-2.12211+(-0.918102--0.4488))+0-635.3--0.648006000000101</f>
        <v>1903.3565939999999</v>
      </c>
      <c r="AB318" s="3">
        <f>1805.1+(994.8-441.5)+(-2.761803+(-1.522044--0.675495))+0-526.5--0.80554500000003</f>
        <v>1829.0971929999994</v>
      </c>
      <c r="AC318" s="3">
        <f>1603.9+(1182.8-481.6)+(-1.635978+(-1.206456--0.491232))+0-576.4--0.587928000000092</f>
        <v>1726.9367260000001</v>
      </c>
      <c r="AD318">
        <f t="shared" si="4"/>
        <v>39826.482429999989</v>
      </c>
      <c r="AE318" s="3">
        <f>2316.2+(816.1-481)+(0+(0-0))+0-602.3-0</f>
        <v>2049</v>
      </c>
    </row>
    <row r="319" spans="1:31" customFormat="1" x14ac:dyDescent="0.25">
      <c r="A319">
        <v>89</v>
      </c>
      <c r="B319">
        <v>11</v>
      </c>
      <c r="C319">
        <v>13</v>
      </c>
      <c r="D319">
        <v>5</v>
      </c>
      <c r="E319">
        <v>5</v>
      </c>
      <c r="F319" s="3">
        <f>1620.8+(1065.7-479.1)+(-2.479824+(-1.630521--0.733023))+0-569.3--0.871029000000033</f>
        <v>1635.5937070000004</v>
      </c>
      <c r="G319" s="3">
        <f>1558.6+(1051.9-521.4)+(0.794886+(0.536469-0.265914))+0-541.3-0.276062999999945</f>
        <v>1548.5893780000001</v>
      </c>
      <c r="H319" s="3">
        <f>1520.6+(1116.8-544.7)+(-1.551012+(-1.139136--0.555594))+0-608.1--0.620262000000097</f>
        <v>1483.0857079999998</v>
      </c>
      <c r="I319" s="3">
        <f>1523.5+(1054.3-576.8)+(1.55397+(1.075386-0.588336))+0-544-0.554880000000087</f>
        <v>1458.4861399999998</v>
      </c>
      <c r="J319" s="3">
        <f>1583+(1045.5-486.4)+(1.61466+(1.06641-0.496128))+0-694.3-0.708186000000111</f>
        <v>1449.2767559999998</v>
      </c>
      <c r="K319" s="3">
        <f>1539.5+(1076.3-545.3)+(2.355435+(1.646739-0.834309))+0-599.8-0.917694000000035</f>
        <v>1472.950171</v>
      </c>
      <c r="L319" s="3">
        <f>1597.5+(1090.3-421.2)+(0+(0-0))+0-724.1-0</f>
        <v>1542.5</v>
      </c>
      <c r="M319" s="3">
        <f>1568.4+(906.9-377.7)+(-3.99942+(-2.312595--0.963135))+0-515.4--1.31426999999993</f>
        <v>1578.1653900000001</v>
      </c>
      <c r="N319" s="3">
        <f>1650+(892-341)+(-0.8415+(-0.45492--0.17391))+0-562.2--0.286721999999943</f>
        <v>1637.9642119999999</v>
      </c>
      <c r="O319" s="3">
        <f>1731.2+(930.5-414.4)+(2.648736+(1.423665-0.634032))+0-522.8-0.79988400000003</f>
        <v>1727.1384850000002</v>
      </c>
      <c r="P319" s="3">
        <f>1650.4+(1172.5-410.5)+(-5.050224+(-3.58785--1.25613))+0-630.5--1.92933000000007</f>
        <v>1776.4473860000001</v>
      </c>
      <c r="Q319" s="3">
        <f>1599.7+(1088-340.5)+(-2.447541+(-1.66464--0.520965))+0-551.5--0.843795000000032</f>
        <v>1792.952579</v>
      </c>
      <c r="R319" s="3">
        <f>1658.2+(1037.7-317.1)+(0+(0-0))+0-591.7-0</f>
        <v>1787.1000000000001</v>
      </c>
      <c r="S319" s="3">
        <f>1632.4+(1074-302.1)+(-1.665048+(-1.09548--0.308142))+0-596.5--0.608430000000095</f>
        <v>1805.9560440000002</v>
      </c>
      <c r="T319" s="3">
        <f>1525.3+(1139.5-300.3)+(-2.333709+(-1.743435--0.459459))+0-674.8--1.03244400000004</f>
        <v>1687.1147589999998</v>
      </c>
      <c r="U319" s="3">
        <f>1523+(1098.4-355.6)+(-3.10692+(-2.240736--0.725424))+0-522.4--1.06569599999998</f>
        <v>1739.8434639999998</v>
      </c>
      <c r="V319" s="3">
        <f>1681.3+(1088.5-381.4)+(0+(0-0))+0-598.4-0</f>
        <v>1790</v>
      </c>
      <c r="W319" s="3">
        <f>1978.1+(895.3-375.9)+(0+(0-0))+0-563.5-0</f>
        <v>1934</v>
      </c>
      <c r="X319" s="3">
        <f>2114.2+(1039.8-404.5)+(-4.312968+(-2.121192--0.82518))+0-703.2--1.43452799999997</f>
        <v>2042.125548</v>
      </c>
      <c r="Y319" s="3">
        <f>2177+(956.9-494.3)+(-2.22054+(-0.976038--0.504186))+0-588.1--0.599862000000094</f>
        <v>2049.4074700000001</v>
      </c>
      <c r="Z319" s="3">
        <f>2290.8+(943.5-613.2)+(0+(0-0))+0-646.6-0</f>
        <v>1974.5000000000005</v>
      </c>
      <c r="AA319" s="3">
        <f>2217.6+(905.3-624.5)+(1.130976+(0.461703-0.318495))+0-566-0.288659999999943</f>
        <v>1933.3855239999996</v>
      </c>
      <c r="AB319" s="3">
        <f>1998.3+(979.3-498.7)+(-1.019133+(-0.499443--0.254337))+0-620.1--0.316250999999937</f>
        <v>1857.8520120000001</v>
      </c>
      <c r="AC319" s="3">
        <f>1753.2+(1049.1-378)+(-5.364792+(-3.210246--1.15668))+0-648.3--1.98379800000007</f>
        <v>1770.5654400000003</v>
      </c>
      <c r="AD319">
        <f t="shared" si="4"/>
        <v>41475.000173</v>
      </c>
      <c r="AE319" s="3">
        <f>2104.2+(1037.2-445.1)+(0+(0-0))+0-515.7-0</f>
        <v>2180.5999999999995</v>
      </c>
    </row>
    <row r="320" spans="1:31" customFormat="1" x14ac:dyDescent="0.25">
      <c r="A320">
        <v>89</v>
      </c>
      <c r="B320">
        <v>11</v>
      </c>
      <c r="C320">
        <v>14</v>
      </c>
      <c r="D320">
        <v>6</v>
      </c>
      <c r="E320">
        <v>6</v>
      </c>
      <c r="F320" s="3">
        <f>1782+(985.1-547.1)+(-0.90882+(-0.502401--0.279021))+0-589.9--0.30084899999994</f>
        <v>1629.2686489999999</v>
      </c>
      <c r="G320" s="3">
        <f>1714.6+(945.9-549.9)+(0+(0-0))+0-585.7-0</f>
        <v>1524.8999999999999</v>
      </c>
      <c r="H320" s="3">
        <f>1670.6+(920.3-490.3)+(-5.112036+(-2.816118--1.500318))+0-598.3--1.83079800000007</f>
        <v>1497.7029620000001</v>
      </c>
      <c r="I320" s="3">
        <f>1677.8+(923.2-586.7)+(3.422712+(1.883328-1.196868))+0-588.6-1.20074399999997</f>
        <v>1428.6084279999998</v>
      </c>
      <c r="J320" s="3">
        <f>1678.4+(927.8-555.3)+(0.855984+(0.473178-0.283203))+0-621.6-0.317015999999937</f>
        <v>1430.0289430000003</v>
      </c>
      <c r="K320" s="3">
        <f>1736.5+(907.7-565.6)+(3.54246+(1.851708-1.153824))+0-627.1-1.27928399999997</f>
        <v>1454.4610599999999</v>
      </c>
      <c r="L320" s="3">
        <f>1756.8+(905.5-418.2)+(0.895968+(0.461805-0.213282))+0-655.9-0.334508999999933</f>
        <v>1589.0099819999998</v>
      </c>
      <c r="M320" s="3">
        <f>1720.4+(906.7-392.2)+(-0.877404+(-0.462417--0.200022))+0-536.9--0.273818999999946</f>
        <v>1697.13402</v>
      </c>
      <c r="N320" s="3">
        <f>1762.1+(1001.2-474.8)+(-0.898671+(-0.510612--0.242148))+0-550.9--0.280958999999944</f>
        <v>1736.7138239999997</v>
      </c>
      <c r="O320" s="3">
        <f>2002.8+(1032.6-596.6)+(2.042856+(1.053252-0.608532))+0-663.3-0.676566000000106</f>
        <v>1777.3110099999997</v>
      </c>
      <c r="P320" s="3">
        <f>2146.7+(985.7-800.8)+(-1.094817+(-0.502707--0.408408))+0-519.6--0.264995999999947</f>
        <v>1811.0758799999999</v>
      </c>
      <c r="Q320" s="3">
        <f>2356.3+(975.3-971.3)+(0+(0-0))+0-608.8-0</f>
        <v>1751.5000000000002</v>
      </c>
      <c r="R320" s="3">
        <f>2194.2+(1012.9-865.5)+(-3.357126+(-1.549737--1.324215))+0-522.7--0.79973100000003</f>
        <v>1816.1170829999999</v>
      </c>
      <c r="S320" s="3">
        <f>1885.8+(1060.2-532.1)+(-4.80879+(-2.70351--1.356855))+0-584--1.48919999999992</f>
        <v>1825.2337550000002</v>
      </c>
      <c r="T320" s="3">
        <f>1752.1+(1130.7-521.2)+(-2.680713+(-1.729971--0.797436))+0-534.9--0.818397000000031</f>
        <v>1823.9051489999997</v>
      </c>
      <c r="U320" s="3">
        <f>1753.6+(1090.2-529.8)+(-8.049024+(-5.004018--2.431782))+0-485.3--2.22752700000008</f>
        <v>1820.3062670000002</v>
      </c>
      <c r="V320" s="3">
        <f>1848.3+(1043.5-458.8)+(-1.885266+(-1.06437--0.467976))+0-630.2--0.642804000000101</f>
        <v>1800.9611440000001</v>
      </c>
      <c r="W320" s="3">
        <f>2318.2+(837.6-787.9)+(1.182282+(0.427176-0.401829))+0-506.1-0.258110999999949</f>
        <v>1862.7495179999999</v>
      </c>
      <c r="X320" s="3">
        <f>2746.9+(801.3-816.7)+(-4.202757+(-1.225989--1.249551))+0-641.1--0.980883000000037</f>
        <v>2087.2016880000001</v>
      </c>
      <c r="Y320" s="3">
        <f>2566+(831.1-670.1)+(-6.5433+(-2.119305--1.708755))+0-602.8--1.53713999999991</f>
        <v>2118.7832899999999</v>
      </c>
      <c r="Z320" s="3">
        <f>2509.1+(848.1-546.7)+(-3.838923+(-1.297593--0.836451))+0-740.5--1.13296500000004</f>
        <v>2066.8329000000003</v>
      </c>
      <c r="AA320" s="3">
        <f>2474.8+(902.8-838.6)+(-3.786444+(-1.381284--1.283058))+0-550.5--0.842265000000032</f>
        <v>1985.4575950000001</v>
      </c>
      <c r="AB320" s="3">
        <f>2204.5+(1043.4-641.2)+(-1.124295+(-0.532134--0.327012))+0-642.9--0.327878999999935</f>
        <v>1962.7984619999997</v>
      </c>
      <c r="AC320" s="3">
        <f>1838.2+(1077.8-484.4)+(-1.874964+(-1.099356--0.494088))+0-589.7--0.601494000000094</f>
        <v>1840.021262</v>
      </c>
      <c r="AD320">
        <f t="shared" si="4"/>
        <v>42338.082871000006</v>
      </c>
      <c r="AE320" s="3">
        <f>2736+(735.5-629)+(0+(0-0))+0-701.9-0</f>
        <v>2140.6</v>
      </c>
    </row>
    <row r="321" spans="1:31" customFormat="1" x14ac:dyDescent="0.25">
      <c r="A321">
        <v>89</v>
      </c>
      <c r="B321">
        <v>11</v>
      </c>
      <c r="C321">
        <v>15</v>
      </c>
      <c r="D321">
        <v>7</v>
      </c>
      <c r="E321">
        <v>5</v>
      </c>
      <c r="F321" s="3">
        <f>1690.1+(1041.2-399.8)+(-0.861951+(-0.531012--0.203898))+0-591--0.30140999999994</f>
        <v>1739.612345</v>
      </c>
      <c r="G321" s="3">
        <f>1626.4+(1018.7-410.5)+(-0.829464+(-0.519537--0.209355))+0-594.9--0.30339899999994</f>
        <v>1638.8637530000001</v>
      </c>
      <c r="H321" s="3">
        <f>1614.5+(988.3-455.4)+(-3.29358+(-2.016132--0.929016))+0-571.5--1.16585999999998</f>
        <v>1572.685164</v>
      </c>
      <c r="I321" s="3">
        <f>1614.2+(973.8-389.1)+(-3.292968+(-1.986552--0.793764))+0-652.4--1.33089599999997</f>
        <v>1543.3451399999999</v>
      </c>
      <c r="J321" s="3">
        <f>1614.1+(926.9-383)+(0+(0-0))+0-615.7-0</f>
        <v>1542.3</v>
      </c>
      <c r="K321" s="3">
        <f>1683.7+(884.4-434.1)+(4.293435+(2.25522-1.106955))+0-568-1.44839999999992</f>
        <v>1569.9932999999999</v>
      </c>
      <c r="L321" s="3">
        <f>1737+(980.9-414.1)+(-1.77174+(-1.000518--0.422382))+0-681.7--0.695334000000109</f>
        <v>1620.4454579999999</v>
      </c>
      <c r="M321" s="3">
        <f>1658.8+(898.5-275)+(-0.845988+(-0.458235--0.14025))+0-606.7--0.309416999999938</f>
        <v>1674.7454439999999</v>
      </c>
      <c r="N321" s="3">
        <f>1664.4+(966.8-245.2)+(-0.848844+(-0.493068--0.125052))+0-644.6--0.328745999999935</f>
        <v>1740.511886</v>
      </c>
      <c r="O321" s="3">
        <f>1926.6+(855.5-463.9)+(-1.965132+(-0.87261--0.473178))+0-527.8--0.538356000000084</f>
        <v>1788.5737919999999</v>
      </c>
      <c r="P321" s="3">
        <f>1873.8+(992-345.6)+(-6.689466+(-3.54144--1.233792))+0-704.4--2.51470800000001</f>
        <v>1809.3175939999999</v>
      </c>
      <c r="Q321" s="3">
        <f>1890.9+(921.3-498.2)+(0+(0-0))+0-473.1-0</f>
        <v>1840.9</v>
      </c>
      <c r="R321" s="3">
        <f>2014.9+(890.2-454.6)+(0+(0-0))+0-635.1-0</f>
        <v>1815.4</v>
      </c>
      <c r="S321" s="3">
        <f>1919+(873.1-358.8)+(-0.97869+(-0.445281--0.182988))+0-640.4--0.326603999999935</f>
        <v>1791.9856209999998</v>
      </c>
      <c r="T321" s="3">
        <f>2033.6+(817.6-425.5)+(-2.074272+(-0.833952--0.43401))+0-576.4--0.587928000000092</f>
        <v>1847.413714</v>
      </c>
      <c r="U321" s="3">
        <f>1877.2+(942.2-373.2)+(-1.914744+(-0.961044--0.380664))+0-581.7--0.593334000000093</f>
        <v>1862.5982099999999</v>
      </c>
      <c r="V321" s="3">
        <f>1713.8+(1098.8-356.3)+(-0.874038+(-0.560388--0.181713))+0-567.2--0.289271999999942</f>
        <v>1888.1365590000003</v>
      </c>
      <c r="W321" s="3">
        <f>1965.7+(1017.1-358.6)+(-2.005014+(-1.037442--0.365772))+0-651.3--0.664326000000104</f>
        <v>1970.8876419999999</v>
      </c>
      <c r="X321" s="3">
        <f>2779.4+(709.3-653.1)+(-2.834988+(-0.723486--0.666162))+0-628.7--0.6412740000001</f>
        <v>2204.6489619999998</v>
      </c>
      <c r="Y321" s="3">
        <f>2802.9+(723.1-675.7)+(-1.429479+(-0.368781--0.344607))+0-646.2--0.329561999999934</f>
        <v>2202.9759089999998</v>
      </c>
      <c r="Z321" s="3">
        <f>2335.7+(878.2-469.9)+(-3.573621+(-1.343646--0.718947))+0-566.7--0.867051000000033</f>
        <v>2173.9687309999999</v>
      </c>
      <c r="AA321" s="3">
        <f>2093+(1056-393.1)+(0+(0-0))+0-669.7-0</f>
        <v>2086.1999999999998</v>
      </c>
      <c r="AB321" s="3">
        <f>2056.2+(1022.1-442.4)+(-5.24331+(-2.606355--1.12812))+0-619.5--1.57972499999991</f>
        <v>2011.2581799999996</v>
      </c>
      <c r="AC321" s="3">
        <f>1966.7+(1102.1-498.3)+(-5.015085+(-2.810355--1.270665))+0-630.4--1.60751999999991</f>
        <v>1935.1527449999999</v>
      </c>
      <c r="AD321">
        <f t="shared" ref="AD321:AD365" si="5">SUM(F321:AC321)</f>
        <v>43871.920148999998</v>
      </c>
      <c r="AE321" s="3">
        <f>2775.1+(698.1-619.5)+(0+(0-0))+0-728.8-0</f>
        <v>2124.8999999999996</v>
      </c>
    </row>
    <row r="322" spans="1:31" customFormat="1" x14ac:dyDescent="0.25">
      <c r="A322">
        <v>89</v>
      </c>
      <c r="B322">
        <v>11</v>
      </c>
      <c r="C322">
        <v>16</v>
      </c>
      <c r="D322">
        <v>1</v>
      </c>
      <c r="E322">
        <v>1</v>
      </c>
      <c r="F322" s="3">
        <f>1739.5+(1065.8-531.4)+(-0.887145+(-0.543558--0.271014))+0-586.7--0.299216999999941</f>
        <v>1686.339528</v>
      </c>
      <c r="G322" s="3">
        <f>1705.8+(1044.5-434.4)+(2.609874+(1.598085-0.664632))+0-669.2-1.02387600000004</f>
        <v>1649.2194509999999</v>
      </c>
      <c r="H322" s="3">
        <f>1678.9+(950-440.9)+(-3.424956+(-1.938--0.899436))+0-592.8--1.20931199999997</f>
        <v>1591.9457920000002</v>
      </c>
      <c r="I322" s="3">
        <f>1673.8+(937-407.6)+(-2.560914+(-1.43361--0.623628))+0-641.9--0.982107000000037</f>
        <v>1558.9112109999999</v>
      </c>
      <c r="J322" s="3">
        <f>1677.2+(866.5-423.6)+(-2.566116+(-1.325745--0.648108))+0-558.5--0.854505000000032</f>
        <v>1559.2107519999997</v>
      </c>
      <c r="K322" s="3">
        <f>1670.1+(875-368.8)+(0+(0-0))+0-597.7-0</f>
        <v>1578.5999999999997</v>
      </c>
      <c r="L322" s="3">
        <f>1648+(947.4-254)+(0.84048+(0.483174-0.12954))+0-681.9-0.347768999999931</f>
        <v>1660.3463449999999</v>
      </c>
      <c r="M322" s="3">
        <f>1848.5+(826.2-321.7)+(-0.942735+(-0.421362--0.164067))+0-579.2--0.295391999999941</f>
        <v>1772.895362</v>
      </c>
      <c r="N322" s="3">
        <f>2359.3+(714-632.5)+(2.406486+(0.72828-0.64515))+0-598-0.609960000000095</f>
        <v>1844.679656</v>
      </c>
      <c r="O322" s="3">
        <f>2800.9+(798-1250.7)+(2.856918+(0.81396-1.275714))+0-469.4-0.478788000000075</f>
        <v>1880.7163759999996</v>
      </c>
      <c r="P322" s="3">
        <f>3223.3+(831.3-1465)+(6.575532+(1.695852-2.9886))+0-638.7-1.30294799999997</f>
        <v>1954.8798360000003</v>
      </c>
      <c r="Q322" s="3">
        <f>3140.2+(869.3-1548.8)+(-8.00751+(-2.216715--3.94944))+0-486.6--1.24082999999993</f>
        <v>1969.0660449999998</v>
      </c>
      <c r="R322" s="3">
        <f>2461.5+(951.4-925.7)+(-3.766095+(-1.455642--1.416321))+0-480.7--0.735471000000028</f>
        <v>2003.4300549999996</v>
      </c>
      <c r="S322" s="3">
        <f>2266.3+(943-723.8)+(-4.623252+(-1.92372--1.476552))+0-480.3--0.979811999999979</f>
        <v>2001.1093920000001</v>
      </c>
      <c r="T322" s="3">
        <f>2392.8+(970.8-845)+(-2.440656+(-0.990216--0.8619))+0-561.4--0.57262800000009</f>
        <v>1955.2036560000004</v>
      </c>
      <c r="U322" s="3">
        <f>2369.9+(950.5-774.9)+(3.625947+(1.454265-1.185597))+0-587.6-0.899028000000034</f>
        <v>1960.8955870000002</v>
      </c>
      <c r="V322" s="3">
        <f>2334.9+(938-709.3)+(-3.572397+(-1.43514--1.085229))+0-567--0.867510000000033</f>
        <v>1993.5452020000002</v>
      </c>
      <c r="W322" s="3">
        <f>2670.7+(996.7-1034.4)+(0+(0-0))+0-547-0</f>
        <v>2086</v>
      </c>
      <c r="X322" s="3">
        <f>3501.2+(1060.3-1737)+(-5.356836+(-1.622259--2.65761))+0-614.4--0.940032000000036</f>
        <v>2206.7185469999999</v>
      </c>
      <c r="Y322" s="3">
        <f>3387.6+(898.7-1407.7)+(-1.727676+(-0.458337--0.717927))+0-552.3--0.281672999999944</f>
        <v>2325.1135870000003</v>
      </c>
      <c r="Z322" s="3">
        <f>3115.1+(846.6-1120.6)+(-6.354804+(-1.727064--2.286024))+0-625.9--1.27683599999997</f>
        <v>2210.6809919999996</v>
      </c>
      <c r="AA322" s="3">
        <f>2653.1+(878.4-920.2)+(-1.353081+(-0.447984--0.469302))+0-562.3--0.286772999999943</f>
        <v>2047.9550099999997</v>
      </c>
      <c r="AB322" s="3">
        <f>2522.1+(752.9-669.8)+(-6.431355+(-1.919895--1.70799))+0-572.1--1.45885499999992</f>
        <v>2027.9155949999999</v>
      </c>
      <c r="AC322" s="3">
        <f>2317.8+(730.3-495.8)+(-4.728312+(-1.489812--1.011432))+0-634.2--1.29376799999997</f>
        <v>1914.1870759999999</v>
      </c>
      <c r="AD322">
        <f t="shared" si="5"/>
        <v>45439.565052999998</v>
      </c>
      <c r="AE322" s="3">
        <f>3483+(1066.4-1778.2)+(0+(0-0))+0-621.2-0</f>
        <v>2150</v>
      </c>
    </row>
    <row r="323" spans="1:31" customFormat="1" x14ac:dyDescent="0.25">
      <c r="A323">
        <v>89</v>
      </c>
      <c r="B323">
        <v>11</v>
      </c>
      <c r="C323">
        <v>17</v>
      </c>
      <c r="D323">
        <v>2</v>
      </c>
      <c r="E323">
        <v>1</v>
      </c>
      <c r="F323" s="3">
        <f>1906.9+(936.8-408.6)+(-1.945038+(-0.955536--0.416772))+0-660.1--0.673302000000105</f>
        <v>1773.1895</v>
      </c>
      <c r="G323" s="3">
        <f>1861.4+(959.9-536.3)+(-1.898628+(-0.979098--0.547026))+0-654.8--0.667896000000104</f>
        <v>1628.5371960000002</v>
      </c>
      <c r="H323" s="3">
        <f>1808.5+(988.8-626.3)+(-0.922335+(-0.504288--0.319413))+0-564.9--0.288098999999943</f>
        <v>1605.2808889999997</v>
      </c>
      <c r="I323" s="3">
        <f>1903.2+(963.1-710.4)+(4.85316+(2.455905-1.81152))+0-573-1.46114999999992</f>
        <v>1586.9363950000004</v>
      </c>
      <c r="J323" s="3">
        <f>1845.3+(1033.5-546.4)+(-2.823309+(-1.581255--0.835992))+0-690.4--1.05631200000004</f>
        <v>1639.4877399999998</v>
      </c>
      <c r="K323" s="3">
        <f>1858.6+(960.8-563.8)+(0+(0-0))+0-607.1-0</f>
        <v>1648.5</v>
      </c>
      <c r="L323" s="3">
        <f>1835+(897.7-357.6)+(-1.8717+(-0.915654--0.364752))+0-602.6--0.614652000000096</f>
        <v>1770.6920500000001</v>
      </c>
      <c r="M323" s="3">
        <f>1897.4+(876.2-328.3)+(-1.935348+(-0.893724--0.334866))+0-590.3--0.602106000000094</f>
        <v>1853.1079000000004</v>
      </c>
      <c r="N323" s="3">
        <f>2203.3+(785.8-512.9)+(-1.123683+(-0.400758--0.261579))+0-590.3--0.30105299999994</f>
        <v>1884.9381910000002</v>
      </c>
      <c r="O323" s="3">
        <f>2419.3+(838.2-707.7)+(1.233843+(0.427482-0.360927))+0-612.9-0.312578999999938</f>
        <v>1937.887819</v>
      </c>
      <c r="P323" s="3">
        <f>2530.7+(853.1-876.9)+(-5.162628+(-1.740324--1.788876))+0-636--1.29743999999997</f>
        <v>1867.0833639999998</v>
      </c>
      <c r="Q323" s="3">
        <f>2781.3+(849.7-1112)+(-5.673852+(-1.733388--2.26848))+0-574--1.17095999999997</f>
        <v>1941.0322000000001</v>
      </c>
      <c r="R323" s="3">
        <f>2397.3+(841.2-730.6)+(-4.890492+(-1.716048--1.490424))+0-629.8--1.28479199999997</f>
        <v>1874.2686759999999</v>
      </c>
      <c r="S323" s="3">
        <f>2337.5+(773.6-728.9)+(-3.576375+(-1.183608--1.115217))+0-497--0.760410000000029</f>
        <v>1882.315644</v>
      </c>
      <c r="T323" s="3">
        <f>2194+(839.6-622.4)+(-2.23788+(-0.856392--0.634848))+0-622.7--0.635154000000099</f>
        <v>1786.6757299999997</v>
      </c>
      <c r="U323" s="3">
        <f>2112.5+(834.8-589.2)+(-6.46425+(-2.554488--1.802952))+0-535.7--1.63924200000006</f>
        <v>1816.8234559999996</v>
      </c>
      <c r="V323" s="3">
        <f>2118.9+(838.8-445.8)+(0+(0-0))+0-663.4-0</f>
        <v>1848.5</v>
      </c>
      <c r="W323" s="3">
        <f>2389.9+(868.1-728.6)+(-3.656547+(-1.328193--1.114758))+0-610.4--0.933912000000035</f>
        <v>1916.0639299999998</v>
      </c>
      <c r="X323" s="3">
        <f>3447.7+(969.8-1518.6)+(0+(0-0))+0-681.5-0</f>
        <v>2217.3999999999996</v>
      </c>
      <c r="Y323" s="3">
        <f>3237.1+(987.3-1405.2)+(-11.556447+(-3.524661--5.016564))+0-598.3--2.13593100000001</f>
        <v>2212.9713869999996</v>
      </c>
      <c r="Z323" s="3">
        <f>2719+(995.6-908.4)+(-1.38669+(-0.507756--0.463284))+0-612.8--0.312527999999938</f>
        <v>2192.2813659999997</v>
      </c>
      <c r="AA323" s="3">
        <f>2432.8+(1011.6-737.6)+(-6.20364+(-2.57958--1.88088))+0-576.5--1.47007499999992</f>
        <v>2124.8677349999998</v>
      </c>
      <c r="AB323" s="3">
        <f>2367+(942.3-669.7)+(-2.41434+(-0.961146--0.683094))+0-605--0.617100000000096</f>
        <v>2032.5247080000001</v>
      </c>
      <c r="AC323" s="3">
        <f>2161.6+(948.2-544.4)+(-4.409664+(-1.934328--1.110576))+0-649.7--1.32538799999997</f>
        <v>1911.791972</v>
      </c>
      <c r="AD323">
        <f t="shared" si="5"/>
        <v>44953.157847999995</v>
      </c>
      <c r="AE323" s="3">
        <f>3556+(995.4-1619.5)+(0+(0-0))+0-723.1-0</f>
        <v>2208.8000000000002</v>
      </c>
    </row>
    <row r="324" spans="1:31" customFormat="1" x14ac:dyDescent="0.25">
      <c r="A324">
        <v>89</v>
      </c>
      <c r="B324">
        <v>11</v>
      </c>
      <c r="C324">
        <v>18</v>
      </c>
      <c r="D324">
        <v>3</v>
      </c>
      <c r="E324">
        <v>1</v>
      </c>
      <c r="F324" s="3">
        <f>2058+(956.9-661.2)+(-4.19832+(-1.952076--1.348848))+0-550.4--1.12281599999998</f>
        <v>1799.6212679999999</v>
      </c>
      <c r="G324" s="3">
        <f>2017.9+(939.1-565.7)+(-1.029129+(-0.478941--0.288507))+0-689.4--0.35159399999993</f>
        <v>1701.032031</v>
      </c>
      <c r="H324" s="3">
        <f>1913.9+(946.2-619)+(0.976089+(0.482562-0.31569))+0-586.8-0.29926799999994</f>
        <v>1655.1436930000004</v>
      </c>
      <c r="I324" s="3">
        <f>1909.8+(879.7-511.2)+(-4.86999+(-2.243235--1.30356))+0-651.4--1.66106999999991</f>
        <v>1622.7514049999997</v>
      </c>
      <c r="J324" s="3">
        <f>2009.6+(675-452.5)+(-2.049792+(-0.6885--0.46155))+0-597.7--0.609654000000095</f>
        <v>1632.7329119999999</v>
      </c>
      <c r="K324" s="3">
        <f>1944.8+(665.3-332.1)+(-0.991848+(-0.339303--0.169371))+0-625.1--0.318800999999937</f>
        <v>1652.0570210000001</v>
      </c>
      <c r="L324" s="3">
        <f>2146.5+(605-308.5)+(-6.56829+(-1.8513--0.94401))+0-684.1--2.09334600000008</f>
        <v>1753.5177660000004</v>
      </c>
      <c r="M324" s="3">
        <f>2306.1+(549.8-466.6)+(0+(0-0))+0-488.7-0</f>
        <v>1900.5999999999997</v>
      </c>
      <c r="N324" s="3">
        <f>2273.4+(711.3-533.5)+(3.478302+(1.088289-0.816255))+0-550.9-0.842877000000032</f>
        <v>1903.2074589999997</v>
      </c>
      <c r="O324" s="3">
        <f>2480.8+(846.6-901.3)+(0+(0-0))+0-519.3-0</f>
        <v>1906.8000000000004</v>
      </c>
      <c r="P324" s="3">
        <f>2554.6+(864-962.5)+(0+(0-0))+0-536.2-0</f>
        <v>1919.8999999999999</v>
      </c>
      <c r="Q324" s="3">
        <f>2453.6+(941.1-954.8)+(0+(0-0))+0-491.7-0</f>
        <v>1948.2</v>
      </c>
      <c r="R324" s="3">
        <f>1925.1+(944.8-498.2)+(-4.909005+(-2.40924--1.27041))+0-496.4--1.26581999999993</f>
        <v>1870.5179849999997</v>
      </c>
      <c r="S324" s="3">
        <f>1856.8+(964.9-485.1)+(-1.893936+(-0.984198--0.494802))+0-458.4--0.467568000000073</f>
        <v>1876.284236</v>
      </c>
      <c r="T324" s="3">
        <f>2010.8+(825-509.3)+(-1.025508+(-0.42075--0.259743))+0-526.9--0.268718999999947</f>
        <v>1798.682204</v>
      </c>
      <c r="U324" s="3">
        <f>1892.3+(847.3-587.2)+(-1.930146+(-0.864246--0.598944))+0-396.8--0.404736000000063</f>
        <v>1753.8092879999997</v>
      </c>
      <c r="V324" s="3">
        <f>1760.2+(1048.3-487.9)+(0.897702+(0.534633-0.248829))+0-520.9-0.265658999999947</f>
        <v>1800.6178469999998</v>
      </c>
      <c r="W324" s="3">
        <f>2247.2+(1026.2-909.3)+(-1.146072+(-0.523362--0.463743))+0-453.8--0.231437999999954</f>
        <v>1909.3257469999999</v>
      </c>
      <c r="X324" s="3">
        <f>3211.6+(967.1-1368.7)+(-6.551664+(-1.972884--2.792148))+0-576.2--1.17544799999997</f>
        <v>2229.2430480000003</v>
      </c>
      <c r="Y324" s="3">
        <f>2810.4+(1017.7-1099.1)+(-5.733216+(-2.076108--2.242164))+0-482.2--0.983687999999979</f>
        <v>2242.2165279999999</v>
      </c>
      <c r="Z324" s="3">
        <f>2583.9+(1098.6-874.3)+(-3.953367+(-1.680858--1.337679))+0-620.4--0.949212000000036</f>
        <v>2184.4526659999997</v>
      </c>
      <c r="AA324" s="3">
        <f>2335.6+(1084.1-790.7)+(-5.95578+(-2.764455--2.016285))+0-483.2--1.23215999999993</f>
        <v>2140.3282100000001</v>
      </c>
      <c r="AB324" s="3">
        <f>2158.2+(1124.2-624.7)+(-4.402728+(-2.293368--1.274388))+0-629.9--1.28499599999997</f>
        <v>2023.6632879999997</v>
      </c>
      <c r="AC324" s="3">
        <f>2230.9+(1008.7-712.6)+(-10.239831+(-4.629933--3.270834))+0-587.4--2.6961660000001</f>
        <v>1930.697236</v>
      </c>
      <c r="AD324">
        <f t="shared" si="5"/>
        <v>45155.401837999998</v>
      </c>
      <c r="AE324" s="3">
        <f>3274+(977.1-1333.7)+(0+(0-0))+0-628.2-0</f>
        <v>2289.1999999999998</v>
      </c>
    </row>
    <row r="325" spans="1:31" customFormat="1" x14ac:dyDescent="0.25">
      <c r="A325">
        <v>89</v>
      </c>
      <c r="B325">
        <v>11</v>
      </c>
      <c r="C325">
        <v>19</v>
      </c>
      <c r="D325">
        <v>4</v>
      </c>
      <c r="E325">
        <v>1</v>
      </c>
      <c r="F325" s="3">
        <f>2052+(1075.6-745.5)+(4.18608+(2.194224-1.52082))+0-594.3-1.21237199999997</f>
        <v>1791.4471120000001</v>
      </c>
      <c r="G325" s="3">
        <f>2005.3+(1095.4-785.3)+(2.045406+(1.117308-0.801006))+0-626.5-0.6390300000001</f>
        <v>1690.622678</v>
      </c>
      <c r="H325" s="3">
        <f>2044.3+(1072.2-803.7)+(-2.085186+(-1.093644--0.819774))+0-663.8--0.677076000000106</f>
        <v>1647.3180200000006</v>
      </c>
      <c r="I325" s="3">
        <f>1959.7+(1041.3-746.7)+(-4.997235+(-2.655315--1.904085))+0-609.3--1.55371499999991</f>
        <v>1640.8052500000001</v>
      </c>
      <c r="J325" s="3">
        <f>2047+(990.7-796.9)+(1.04397+(0.505257-0.406419))+0-603.9-0.307988999999939</f>
        <v>1637.7348190000002</v>
      </c>
      <c r="K325" s="3">
        <f>2042+(964.7-626.9)+(4.16568+(1.967988-1.278876))+0-711.5-1.45145999999997</f>
        <v>1671.7033320000003</v>
      </c>
      <c r="L325" s="3">
        <f>1992.3+(902.7-506)+(-4.064292+(-1.841508--1.03224))+0-596.6--1.21706399999997</f>
        <v>1788.743504</v>
      </c>
      <c r="M325" s="3">
        <f>1994.9+(927.1-514.9)+(-1.017399+(-0.472821--0.262599))+0-526.8--0.268667999999947</f>
        <v>1879.3410470000003</v>
      </c>
      <c r="N325" s="3">
        <f>2257.6+(988.2-805.7)+(2.302752+(1.007964-0.821814))+0-485-0.494700000000077</f>
        <v>1957.094202</v>
      </c>
      <c r="O325" s="3">
        <f>2854.1+(1026.1-1342.3)+(1.455591+(0.523311-0.684573))+0-540.8-0.275807999999945</f>
        <v>1998.1185209999996</v>
      </c>
      <c r="P325" s="3">
        <f>2507+(1038.8-801)+(-5.11428+(-2.119152--1.63404))+0-587.9--1.19931599999997</f>
        <v>2152.4999240000002</v>
      </c>
      <c r="Q325" s="3">
        <f>2122.5+(1062.4-534.9)+(-4.3299+(-2.167296--1.091196))+0-583.7--1.19074799999997</f>
        <v>2062.0847480000002</v>
      </c>
      <c r="R325" s="3">
        <f>2049.7+(1012.7-478.1)+(-3.136041+(-1.549431--0.731493))+0-606.1--0.927333000000035</f>
        <v>1975.173354</v>
      </c>
      <c r="S325" s="3">
        <f>2153+(984.9-581.3)+(0+(0-0))+0-596.1-0</f>
        <v>1960.5</v>
      </c>
      <c r="T325" s="3">
        <f>2070.8+(1010.5-473.6)+(0+(0-0))+0-650.1-0</f>
        <v>1957.6000000000004</v>
      </c>
      <c r="U325" s="3">
        <f>2056.3+(1032.7-457.2)+(-2.097426+(-1.053354--0.466344))+0-656.5--0.669630000000105</f>
        <v>1973.2851940000003</v>
      </c>
      <c r="V325" s="3">
        <f>2055.8+(1000.5-436.1)+(-3.145374+(-1.530765--0.667233))+0-591.8--0.905454000000034</f>
        <v>2025.2965480000003</v>
      </c>
      <c r="W325" s="3">
        <f>2433.5+(778.8-454.7)+(1.241085+(0.397188-0.231897))+0-660.3-0.336752999999933</f>
        <v>2098.369623</v>
      </c>
      <c r="X325" s="3">
        <f>2672.7+(918.2-646.3)+(-2.726154+(-0.936564--0.659226))+0-619--0.631380000000099</f>
        <v>2323.2278880000003</v>
      </c>
      <c r="Y325" s="3">
        <f>2878.7+(926.8-921.3)+(-4.404411+(-1.418004--1.409589))+0-611.3--0.935289000000035</f>
        <v>2269.4224629999999</v>
      </c>
      <c r="Z325" s="3">
        <f>2715.9+(949.6-805)+(-6.925545+(-2.42148--2.05275))+0-654.9--1.6699949999999</f>
        <v>2199.9757199999995</v>
      </c>
      <c r="AA325" s="3">
        <f>2430.7+(1021.1-683.8)+(0+(0-0))+0-600.9-0</f>
        <v>2167.1</v>
      </c>
      <c r="AB325" s="3">
        <f>2086.4+(1093.5-508.9)+(-1.064064+(-0.557685--0.259539))+0-633.5--0.323084999999936</f>
        <v>2036.4608750000002</v>
      </c>
      <c r="AC325" s="3">
        <f>2095.9+(1063.3-574.8)+(-6.413454+(-3.253698--1.758888))+0-646.3--1.97767800000007</f>
        <v>1932.169414</v>
      </c>
      <c r="AD325">
        <f t="shared" si="5"/>
        <v>46836.094236000004</v>
      </c>
      <c r="AE325" s="3">
        <f>2777.1+(935.1-659.6)+(0+(0-0))+0-727.2-0</f>
        <v>2325.3999999999996</v>
      </c>
    </row>
    <row r="326" spans="1:31" customFormat="1" x14ac:dyDescent="0.25">
      <c r="A326">
        <v>89</v>
      </c>
      <c r="B326">
        <v>11</v>
      </c>
      <c r="C326">
        <v>20</v>
      </c>
      <c r="D326">
        <v>5</v>
      </c>
      <c r="E326">
        <v>1</v>
      </c>
      <c r="F326" s="3">
        <f>1960+(1028-633.6)+(-1.9992+(-1.04856--0.646272))+0-547--0.557940000000087</f>
        <v>1805.5564520000003</v>
      </c>
      <c r="G326" s="3">
        <f>1929.5+(1023-594.6)+(-5.90427+(-3.13038--1.819476))+0-643.4--1.96880400000007</f>
        <v>1709.2536300000002</v>
      </c>
      <c r="H326" s="3">
        <f>1925.2+(997-627.2)+(0.981852+(0.50847-0.319872))+0-622.1-0.317270999999937</f>
        <v>1673.7531790000003</v>
      </c>
      <c r="I326" s="3">
        <f>1880.2+(957.6-595.7)+(-4.79451+(-2.44188--1.519035))+0-598.5--1.52617499999991</f>
        <v>1639.4088199999997</v>
      </c>
      <c r="J326" s="3">
        <f>1810.7+(999.9-689.2)+(-0.923457+(-0.509949--0.351492))+0-514.2--0.262241999999948</f>
        <v>1606.3803280000002</v>
      </c>
      <c r="K326" s="3">
        <f>1912.6+(1026.5-660.6)+(-0.975426+(-0.523515--0.336906))+0-634--0.323339999999936</f>
        <v>1643.6613050000001</v>
      </c>
      <c r="L326" s="3">
        <f>1951.8+(979.9-533.6)+(-0.995418+(-0.499749--0.272136))+0-646--0.329459999999934</f>
        <v>1751.2064289999998</v>
      </c>
      <c r="M326" s="3">
        <f>1908.2+(968.9-431.4)+(2.919546+(1.482417-0.660042))+0-630.8-0.965124000000036</f>
        <v>1817.6767969999996</v>
      </c>
      <c r="N326" s="3">
        <f>2049+(924-602.9)+(2.08998+(0.94248-0.614958))+0-517.6-0.527952000000083</f>
        <v>1854.3895499999996</v>
      </c>
      <c r="O326" s="3">
        <f>2401.1+(924.4-874.1)+(-1.224561+(-0.471444--0.445791))+0-568.7--0.290036999999942</f>
        <v>1881.7398229999994</v>
      </c>
      <c r="P326" s="3">
        <f>2350.3+(971.6-837.7)+(-2.397306+(-0.991032--0.854454))+0-594.7--0.606594000000095</f>
        <v>1887.5727100000004</v>
      </c>
      <c r="Q326" s="3">
        <f>2078.5+(996.4-762.3)+(-4.24014+(-2.032656--1.555092))+0-482.8--0.984911999999979</f>
        <v>1826.0672079999997</v>
      </c>
      <c r="R326" s="3">
        <f>2023.5+(950.4-562.4)+(-6.19191+(-2.908224--1.720944))+0-559.5--1.71207000000006</f>
        <v>1846.3328799999999</v>
      </c>
      <c r="S326" s="3">
        <f>2023.5+(893.3-615.8)+(-1.031985+(-0.455583--0.314058))+0-429.6--0.219095999999956</f>
        <v>1870.445586</v>
      </c>
      <c r="T326" s="3">
        <f>1848.7+(979.2-551.3)+(0+(0-0))+0-440.2-0</f>
        <v>1836.4000000000003</v>
      </c>
      <c r="U326" s="3">
        <f>1965.7+(873.7-538.1)+(-4.010028+(-1.782348--1.097724))+0-476--0.971039999999979</f>
        <v>1821.576388</v>
      </c>
      <c r="V326" s="3">
        <f>1852.8+(882.5-429.3)+(-5.669568+(-2.70045--1.313658))+0-512.9--1.56947400000006</f>
        <v>1787.613114</v>
      </c>
      <c r="W326" s="3">
        <f>2145.6+(831.3-609.5)+(-2.188512+(-0.847926--0.62169))+0-510.5--0.520710000000081</f>
        <v>1855.0059619999995</v>
      </c>
      <c r="X326" s="3">
        <f>2635.3+(978.4-904.9)+(-9.408021+(-3.492888--3.230493))+0-543.1--1.93886700000001</f>
        <v>2157.9684510000002</v>
      </c>
      <c r="Y326" s="3">
        <f>2815+(941.4-928.9)+(-4.30695+(-1.440342--1.421217))+0-588.5--0.900405000000034</f>
        <v>2235.5743299999999</v>
      </c>
      <c r="Z326" s="3">
        <f>2579.3+(934.1-669)+(-7.892658+(-2.858346--2.04714))+0-674--2.06244000000008</f>
        <v>2163.7585760000002</v>
      </c>
      <c r="AA326" s="3">
        <f>2511.5+(951.7-783.6)+(-3.842595+(-1.456101--1.198908))+0-563.6--0.862308000000033</f>
        <v>2112.7625200000002</v>
      </c>
      <c r="AB326" s="3">
        <f>2384.4+(967.2-716.6)+(-6.08022+(-2.46636--1.82733))+0-590--1.50449999999991</f>
        <v>2039.7852499999999</v>
      </c>
      <c r="AC326" s="3">
        <f>2333.5+(1000.7-799.3)+(-1.190085+(-0.510357--0.407643))+0-585.3--0.298502999999941</f>
        <v>1948.6057040000003</v>
      </c>
      <c r="AD326">
        <f t="shared" si="5"/>
        <v>44772.494992000007</v>
      </c>
      <c r="AE326" s="3">
        <f>2723+(979.9-865)+(0+(0-0))+0-635-0</f>
        <v>2202.9</v>
      </c>
    </row>
    <row r="327" spans="1:31" customFormat="1" x14ac:dyDescent="0.25">
      <c r="A327">
        <v>89</v>
      </c>
      <c r="B327">
        <v>11</v>
      </c>
      <c r="C327">
        <v>21</v>
      </c>
      <c r="D327">
        <v>6</v>
      </c>
      <c r="E327">
        <v>1</v>
      </c>
      <c r="F327" s="3">
        <f>1816.2+(1173-614.5)+(-5.557572+(-3.58938--1.88037))+0-645.3--1.97461800000007</f>
        <v>1724.1080359999996</v>
      </c>
      <c r="G327" s="3">
        <f>1788.4+(1232.4-686.8)+(1.824168+(1.257048-0.700536))+0-659.6-0.672792000000105</f>
        <v>1676.1078880000002</v>
      </c>
      <c r="H327" s="3">
        <f>1632.3+(1126.1-520.3)+(-1.664946+(-1.148622--0.530706))+0-586.7--0.598434000000094</f>
        <v>1649.7155719999998</v>
      </c>
      <c r="I327" s="3">
        <f>1633+(1127.3-420.7)+(3.33132+(2.299692-0.858228))+0-665.5-1.35761999999997</f>
        <v>1677.5151639999997</v>
      </c>
      <c r="J327" s="3">
        <f>1551.9+(1082.4-427.7)+(3.957345+(2.76012-1.090635))+0-616.1-1.57105499999991</f>
        <v>1594.5557750000007</v>
      </c>
      <c r="K327" s="3">
        <f>1566.4+(1119.1-378.7)+(-1.597728+(-1.141482--0.386274))+0-678.7--0.692274000000108</f>
        <v>1626.4393379999999</v>
      </c>
      <c r="L327" s="3">
        <f>1521.2+(1144.7-268)+(-3.87906+(-2.918985--0.6834))+0-648.1--1.65265499999991</f>
        <v>1745.3380099999999</v>
      </c>
      <c r="M327" s="3">
        <f>1521.2+(1158.8-236.6)+(-1.551624+(-1.181976--0.241332))+0-619--0.631380000000099</f>
        <v>1822.5391120000002</v>
      </c>
      <c r="N327" s="3">
        <f>1641.6+(1147.5-372.7)+(-1.674432+(-1.17045--0.380154))+0-552.4--0.563448000000088</f>
        <v>1862.0987199999997</v>
      </c>
      <c r="O327" s="3">
        <f>2038.2+(1148-771.1)+(0+(0-0))+0-504.3-0</f>
        <v>1910.8</v>
      </c>
      <c r="P327" s="3">
        <f>2164.2+(1180.6-972)+(-4.414968+(-2.408424--1.98288))+0-365.1--0.744803999999984</f>
        <v>2003.6042919999995</v>
      </c>
      <c r="Q327" s="3">
        <f>1830.7+(1251.7-728.2)+(-6.535599+(-4.468569--2.599674))+0-485.9--1.73466300000001</f>
        <v>1861.6301689999998</v>
      </c>
      <c r="R327" s="3">
        <f>1517.2+(1342.4-431.4)+(-1.547544+(-1.369248--0.440028))+0-610.6--0.622812000000097</f>
        <v>1815.7460480000004</v>
      </c>
      <c r="S327" s="3">
        <f>1402.8+(1191.8-227.4)+(0.715428+(0.607818-0.115974))+0-548.1-0.279530999999944</f>
        <v>1820.0277410000001</v>
      </c>
      <c r="T327" s="3">
        <f>1436.8+(1242.3-293.2)+(-0.732768+(-0.633573--0.149532))+0-623--0.317729999999937</f>
        <v>1762.0009209999996</v>
      </c>
      <c r="U327" s="3">
        <f>1391.6+(1163.3-404.2)+(-4.258296+(-3.559698--1.236852))+0-432.1--1.32222600000005</f>
        <v>1713.3410839999999</v>
      </c>
      <c r="V327" s="3">
        <f>1497.8+(1228.8-359.6)+(3.81939+(3.13344-0.91698))+0-616.2-1.57130999999991</f>
        <v>1755.2645400000004</v>
      </c>
      <c r="W327" s="3">
        <f>1710.5+(1137.1-442)+(-0.872355+(-0.579921--0.22542))+0-567--0.289169999999942</f>
        <v>1837.6623139999997</v>
      </c>
      <c r="X327" s="3">
        <f>2098.6+(1136.3-558.2)+(-3.210858+(-1.738539--0.854046))+0-666.7--1.02005100000004</f>
        <v>2006.9246999999998</v>
      </c>
      <c r="Y327" s="3">
        <f>2033.9+(1207.9-457.9)+(-2.074578+(-1.232058--0.467058))+0-674--0.687480000000107</f>
        <v>2107.7479020000001</v>
      </c>
      <c r="Z327" s="3">
        <f>2030.6+(1139.7-514.4)+(-8.284848+(-4.649976--2.098752))+0-599.5--2.44595999999995</f>
        <v>2048.009888</v>
      </c>
      <c r="AA327" s="3">
        <f>2024.5+(1205-645)+(-1.032495+(-0.61455--0.32895))+0-607.2--0.309671999999938</f>
        <v>1976.2915769999997</v>
      </c>
      <c r="AB327" s="3">
        <f>1621.3+(1343.2-432.4)+(-4.134315+(-3.42516--1.10262))+0-602.1--1.53535499999991</f>
        <v>1925.0785000000001</v>
      </c>
      <c r="AC327" s="3">
        <f>1442.5+(1291-316.8)+(0+(0-0))+0-567.7-0</f>
        <v>1848.9999999999998</v>
      </c>
      <c r="AD327">
        <f t="shared" si="5"/>
        <v>43771.54729100001</v>
      </c>
      <c r="AE327" s="3">
        <f>2119+(1193.5-562.7)+(0+(0-0))+0-710.3-0</f>
        <v>2039.5000000000002</v>
      </c>
    </row>
    <row r="328" spans="1:31" customFormat="1" x14ac:dyDescent="0.25">
      <c r="A328">
        <v>89</v>
      </c>
      <c r="B328">
        <v>11</v>
      </c>
      <c r="C328">
        <v>22</v>
      </c>
      <c r="D328">
        <v>7</v>
      </c>
      <c r="E328">
        <v>2</v>
      </c>
      <c r="F328" s="3">
        <f>1481.2+(1303-485.1)+(-0.755412+(-0.66453--0.247401))+0-571.1--0.291260999999942</f>
        <v>1727.1187199999999</v>
      </c>
      <c r="G328" s="3">
        <f>1326.6+(1335.5-458.3)+(-0.676566+(-0.681105--0.233733))+0-570.3--0.290852999999942</f>
        <v>1632.666915</v>
      </c>
      <c r="H328" s="3">
        <f>1304.1+(1292.6-432.6)+(0+(0-0))+0-601.5-0</f>
        <v>1562.6</v>
      </c>
      <c r="I328" s="3">
        <f>1328.7+(1225.4-449.4)+(-2.032911+(-1.874862--0.687582))+0-559.3--0.855729000000032</f>
        <v>1543.0355380000005</v>
      </c>
      <c r="J328" s="3">
        <f>1307.4+(1235.6-329.6)+(-2.667096+(-2.520624--0.672384))+0-693.1--1.41392399999997</f>
        <v>1517.1985880000002</v>
      </c>
      <c r="K328" s="3">
        <f>1335.4+(1140.3-318.1)+(0.681054+(0.581553-0.162231))+0-615.3-0.313802999999938</f>
        <v>1543.0865729999998</v>
      </c>
      <c r="L328" s="3">
        <f>1353.2+(1195.5-284.1)+(-4.830924+(-4.267935--1.014237))+0-656.6--2.34406200000001</f>
        <v>1602.2594400000003</v>
      </c>
      <c r="M328" s="3">
        <f>1371+(1134.5-213.5)+(0+(0-0))+0-637-0</f>
        <v>1655</v>
      </c>
      <c r="N328" s="3">
        <f>1354.2+(1164.9-223.8)+(2.071926+(1.782297-0.342414))+0-579.7-0.886941000000034</f>
        <v>1718.2248680000002</v>
      </c>
      <c r="O328" s="3">
        <f>1580.5+(1123.9-286.5)+(1.61211+(1.146378-0.29223))+0-636.2-0.648924000000102</f>
        <v>1783.5173339999999</v>
      </c>
      <c r="P328" s="3">
        <f>1867.5+(1044.8-528.7)+(0.952425+(0.532848-0.269637))+0-582.9-0.297278999999941</f>
        <v>1801.6183569999998</v>
      </c>
      <c r="Q328" s="3">
        <f>1887.9+(1035.2-518.6)+(0.962829+(0.527952-0.264486))+0-610.8-0.311507999999938</f>
        <v>1794.614787</v>
      </c>
      <c r="R328" s="3">
        <f>1593.2+(1142.6-371.8)+(-2.437596+(-1.748178--0.568854))+0-633.8--0.969714000000037</f>
        <v>1727.5527940000002</v>
      </c>
      <c r="S328" s="3">
        <f>1286.4+(1290.6-272.1)+(-3.936384+(-3.949236--0.832626))+0-606.8--1.85680800000007</f>
        <v>1692.903814</v>
      </c>
      <c r="T328" s="3">
        <f>1301.2+(1280.8-263.9)+(-2.654448+(-2.612832--0.538356))+0-657.9--1.34211599999997</f>
        <v>1656.8131919999998</v>
      </c>
      <c r="U328" s="3">
        <f>1343.7+(1149.7-303.4)+(-0.685287+(-0.586347--0.154734))+0-542--0.276419999999945</f>
        <v>1647.1595199999999</v>
      </c>
      <c r="V328" s="3">
        <f>1342.7+(1245.9-240.4)+(-0.684777+(-0.635409--0.122604))+0-658.5--0.335834999999933</f>
        <v>1688.8382530000003</v>
      </c>
      <c r="W328" s="3">
        <f>1590.9+(1140.6-357.2)+(-2.434077+(-1.745118--0.546516))+0-607.9--0.930087000000035</f>
        <v>1763.6974080000002</v>
      </c>
      <c r="X328" s="3">
        <f>1888.6+(1180.7-438.2)+(-1.926372+(-1.204314--0.446964))+0-586.8--0.598536000000094</f>
        <v>2042.2148139999999</v>
      </c>
      <c r="Y328" s="3">
        <f>2010.9+(1223.2-510.7)+(-2.051118+(-1.247664--0.520914))+0-656.2--0.669324000000105</f>
        <v>2065.0914559999997</v>
      </c>
      <c r="Z328" s="3">
        <f>1817.7+(1209.1-485.7)+(-2.781081+(-1.849923--0.743121))+0-522.5--0.79942500000003</f>
        <v>2015.511542</v>
      </c>
      <c r="AA328" s="3">
        <f>2049.1+(1156.6-572.5)+(3.135123+(1.769598-0.875925))+0-665.3-1.01790900000004</f>
        <v>1970.9108869999998</v>
      </c>
      <c r="AB328" s="3">
        <f>1689.2+(1230.8-424.3)+(-2.584476+(-1.883124--0.649179))+0-617.9--0.945387000000036</f>
        <v>1874.9269659999998</v>
      </c>
      <c r="AC328" s="3">
        <f>1557.6+(1205.6-434.9)+(-3.97188+(-3.07428--1.108995))+0-556.9--1.42009499999992</f>
        <v>1766.8829299999998</v>
      </c>
      <c r="AD328">
        <f t="shared" si="5"/>
        <v>41793.444695999999</v>
      </c>
      <c r="AE328" s="3">
        <f>1990.1+(1199.7-517.2)+(0+(0-0))+0-588.2-0</f>
        <v>2084.3999999999996</v>
      </c>
    </row>
    <row r="329" spans="1:31" customFormat="1" x14ac:dyDescent="0.25">
      <c r="A329">
        <v>89</v>
      </c>
      <c r="B329">
        <v>11</v>
      </c>
      <c r="C329">
        <v>23</v>
      </c>
      <c r="D329">
        <v>1</v>
      </c>
      <c r="E329">
        <v>1</v>
      </c>
      <c r="F329" s="3">
        <f>1497.5+(1219.7-426.4)+(-4.58235+(-3.732282--1.304784))+0-647.2--1.98043200000008</f>
        <v>1638.5705840000001</v>
      </c>
      <c r="G329" s="3">
        <f>1457.3+(1237.6-598.3)+(-2.972892+(-2.524704--1.220532))+0-532.4--1.08609599999998</f>
        <v>1561.0090319999999</v>
      </c>
      <c r="H329" s="3">
        <f>1429.4+(1259.4-545.1)+(-2.915976+(-2.569176--1.112004))+0-611.9--1.24827599999997</f>
        <v>1528.6751280000001</v>
      </c>
      <c r="I329" s="3">
        <f>1384.7+(1237.4-559.4)+(0+(0-0))+0-548.6-0</f>
        <v>1514.1000000000004</v>
      </c>
      <c r="J329" s="3">
        <f>1377.3+(1221.9-492.4)+(2.107269+(1.869507-0.753372))+0-606-0.927180000000035</f>
        <v>1503.0962239999999</v>
      </c>
      <c r="K329" s="3">
        <f>1382.2+(1216.5-432.7)+(4.229532+(3.72249-1.324062))+0-636.7-1.94830200000007</f>
        <v>1533.9796579999997</v>
      </c>
      <c r="L329" s="3">
        <f>1520.6+(1147.4-345.1)+(-5.428542+(-4.096218--1.232007))+0-675.4--2.41117800000001</f>
        <v>1641.6184249999999</v>
      </c>
      <c r="M329" s="3">
        <f>1580.5+(1136.4-395.9)+(1.61211+(1.159128-0.403818))+0-576.4-0.587928000000092</f>
        <v>1746.3794919999998</v>
      </c>
      <c r="N329" s="3">
        <f>1647.7+(1104.5-393.7)+(-4.201635+(-2.816475--1.003935))+0-550.5--1.40377499999992</f>
        <v>1803.3896000000002</v>
      </c>
      <c r="O329" s="3">
        <f>1948.5+(1017.1-584.7)+(2.981205+(1.556163-0.894591))+0-554.7-0.848691000000032</f>
        <v>1828.9940859999999</v>
      </c>
      <c r="P329" s="3">
        <f>2575.7+(1188.4-1310.1)+(1.313607+(0.606084-0.668151))+0-576.7-0.294116999999942</f>
        <v>1878.2574230000002</v>
      </c>
      <c r="Q329" s="3">
        <f>2982.5+(1193.9-1662.8)+(-3.04215+(-1.217778--1.696056))+0-597.4--0.609348000000095</f>
        <v>1914.2454760000003</v>
      </c>
      <c r="R329" s="3">
        <f>2524.1+(1234.7-1279.3)+(-6.436455+(-3.148485--3.262215))+0-614.5--1.56697499999991</f>
        <v>1860.24425</v>
      </c>
      <c r="S329" s="3">
        <f>2240.5+(1180.2-955.2)+(-2.28531+(-1.203804--0.974304))+0-630.4--0.643008000000101</f>
        <v>1833.2281979999998</v>
      </c>
      <c r="T329" s="3">
        <f>1902.1+(1178-651.3)+(0+(0-0))+0-651.3-0</f>
        <v>1777.5000000000002</v>
      </c>
      <c r="U329" s="3">
        <f>1707.5+(1206.3-620.8)+(-2.612475+(-1.845639--0.949824))+0-556--0.850680000000032</f>
        <v>1734.3423899999998</v>
      </c>
      <c r="V329" s="3">
        <f>1786.3+(1170.3-645.1)+(-3.644052+(-2.387412--1.316004))+0-539.3--1.10017199999998</f>
        <v>1768.5847120000001</v>
      </c>
      <c r="W329" s="3">
        <f>2145+(1211.7-980.9)+(-1.09395+(-0.617967--0.500259))+0-469.5--0.239444999999952</f>
        <v>1905.3277869999999</v>
      </c>
      <c r="X329" s="3">
        <f>2724.9+(1268.5-1189.8)+(-2.779398+(-1.29387--1.213596))+0-611.3--0.623526000000097</f>
        <v>2190.0638540000009</v>
      </c>
      <c r="Y329" s="3">
        <f>2465.9+(1303.7-1076.3)+(-1.257609+(-0.664887--0.548913))+0-502.3--0.256172999999949</f>
        <v>2189.8825899999997</v>
      </c>
      <c r="Z329" s="3">
        <f>2099.4+(1422.8-753.4)+(-4.282776+(-2.902512--1.536936))+0-603.9--1.23195599999997</f>
        <v>2160.483604</v>
      </c>
      <c r="AA329" s="3">
        <f>2054.9+(1362.5-727.7)+(1.047999+(0.694875-0.371127))+0-581.4-0.296513999999941</f>
        <v>2109.3752329999998</v>
      </c>
      <c r="AB329" s="3">
        <f>1938.6+(1317.4-685.9)+(-3.954744+(-2.687496--1.399236))+0-541.9--1.10547599999998</f>
        <v>2024.0624719999998</v>
      </c>
      <c r="AC329" s="3">
        <f>1831+(1343.3-727.1)+(-4.66905+(-3.425415--1.854105))+0-551.9--1.40734499999992</f>
        <v>1890.4669849999998</v>
      </c>
      <c r="AD329">
        <f t="shared" si="5"/>
        <v>43535.877202999996</v>
      </c>
      <c r="AE329" s="3">
        <f>2746.1+(1324.7-1103.1)+(0+(0-0))+0-720-0</f>
        <v>2247.6999999999998</v>
      </c>
    </row>
    <row r="330" spans="1:31" customFormat="1" x14ac:dyDescent="0.25">
      <c r="A330">
        <v>89</v>
      </c>
      <c r="B330">
        <v>11</v>
      </c>
      <c r="C330">
        <v>24</v>
      </c>
      <c r="D330">
        <v>2</v>
      </c>
      <c r="E330">
        <v>1</v>
      </c>
      <c r="F330" s="3">
        <f>1866.3+(1404.4-857.9)+(-1.903626+(-1.432488--0.875058))+0-638.5--0.651270000000102</f>
        <v>1772.4902140000002</v>
      </c>
      <c r="G330" s="3">
        <f>1770.4+(1293.5-794.9)+(-4.51452+(-3.298425--2.026995))+0-621.9--1.58584499999991</f>
        <v>1642.8998949999998</v>
      </c>
      <c r="H330" s="3">
        <f>1748.8+(1118.6-666.3)+(0+(0-0))+0-609.4-0</f>
        <v>1591.6999999999998</v>
      </c>
      <c r="I330" s="3">
        <f>1705.7+(1097.6-587.4)+(-2.609721+(-1.679328--0.898722))+0-654--1.00062000000004</f>
        <v>1559.510293</v>
      </c>
      <c r="J330" s="3">
        <f>1811.3+(1051-740.3)+(3.695052+(2.14404-1.510212))+0-556.3-1.13485199999998</f>
        <v>1568.8940280000002</v>
      </c>
      <c r="K330" s="3">
        <f>1917.4+(1033.5-724.5)+(0+(0-0))+0-647.8-0</f>
        <v>1578.6000000000001</v>
      </c>
      <c r="L330" s="3">
        <f>1849.3+(1023.9-493.2)+(0.943143+(0.522189-0.251532))+0-637.3-0.325022999999935</f>
        <v>1743.5887770000002</v>
      </c>
      <c r="M330" s="3">
        <f>1909.3+(1009.1-508.6)+(0+(0-0))+0-588.8-0</f>
        <v>1821.0000000000002</v>
      </c>
      <c r="N330" s="3">
        <f>1905.1+(1111.8-530.5)+(0+(0-0))+0-595.6-0</f>
        <v>1890.7999999999997</v>
      </c>
      <c r="O330" s="3">
        <f>2213.8+(1112.6-822.9)+(-1.129038+(-0.567426--0.419679))+0-604.6--0.308345999999939</f>
        <v>1897.9315610000001</v>
      </c>
      <c r="P330" s="3">
        <f>2409.4+(1042.9-1015.1)+(-3.686382+(-1.595637--1.553103))+0-527--0.806310000000031</f>
        <v>1907.2773940000002</v>
      </c>
      <c r="Q330" s="3">
        <f>2492.3+(1036.9-1214)+(-3.813219+(-1.586457--1.85742))+0-407.8--0.623934000000024</f>
        <v>1904.4816780000001</v>
      </c>
      <c r="R330" s="3">
        <f>2267.8+(1079.5-973.7)+(-6.939468+(-3.30327--2.979522))+0-459.1--1.40484600000005</f>
        <v>1908.6416300000008</v>
      </c>
      <c r="S330" s="3">
        <f>2101.4+(1137-785.9)+(1.071714+(0.57987-0.400809))+0-609.4-0.310793999999938</f>
        <v>1844.0399809999999</v>
      </c>
      <c r="T330" s="3">
        <f>1865+(1213.3-590.4)+(-5.7069+(-3.712698--1.806624))+0-656.9--2.01011400000008</f>
        <v>1825.39714</v>
      </c>
      <c r="U330" s="3">
        <f>1767.1+(1128-518.7)+(-0.901221+(-0.57528--0.264537))+0-558.6--0.284885999999943</f>
        <v>1816.8729219999996</v>
      </c>
      <c r="V330" s="3">
        <f>1682.1+(1095.1-393.9)+(-3.431484+(-2.234004--0.803556))+0-549.6--1.12118399999998</f>
        <v>1829.9592520000001</v>
      </c>
      <c r="W330" s="3">
        <f>2111.8+(891.6-493.7)+(1.077018+(0.454716-0.251787))+0-574.2-0.292841999999942</f>
        <v>1936.4871050000004</v>
      </c>
      <c r="X330" s="3">
        <f>3159.3+(906.6-1287.7)+(0+(0-0))+0-551.2-0</f>
        <v>2227</v>
      </c>
      <c r="Y330" s="3">
        <f>2920.6+(1012.7-1039.3)+(-8.937036+(-3.098862--3.180258))+0-639.2--1.95595200000007</f>
        <v>2247.9003119999998</v>
      </c>
      <c r="Z330" s="3">
        <f>2283.1+(1099.9-598.1)+(-3.493143+(-1.682847--0.915093))+0-561.3--0.858789000000032</f>
        <v>2220.1978920000001</v>
      </c>
      <c r="AA330" s="3">
        <f>2134.7+(1228.9-556.4)+(-4.354788+(-2.506956--1.135056))+0-638.4--1.30233599999997</f>
        <v>2164.3756479999997</v>
      </c>
      <c r="AB330" s="3">
        <f>2040.8+(1206.7-602.2)+(-2.081616+(-1.230834--0.614244))+0-534.6--0.545292000000085</f>
        <v>2108.5470860000005</v>
      </c>
      <c r="AC330" s="3">
        <f>1946.7+(1292.3-631.1)+(-5.956902+(-3.954438--1.931166))+0-647.4--1.98104400000007</f>
        <v>1954.5008700000003</v>
      </c>
      <c r="AD330">
        <f t="shared" si="5"/>
        <v>44963.093677999997</v>
      </c>
      <c r="AE330" s="3">
        <f>3364+(944-1365.6)+(0+(0-0))+0-470.6-0</f>
        <v>2471.8000000000002</v>
      </c>
    </row>
    <row r="331" spans="1:31" customFormat="1" x14ac:dyDescent="0.25">
      <c r="A331">
        <v>89</v>
      </c>
      <c r="B331">
        <v>11</v>
      </c>
      <c r="C331">
        <v>25</v>
      </c>
      <c r="D331">
        <v>3</v>
      </c>
      <c r="E331">
        <v>1</v>
      </c>
      <c r="F331" s="3">
        <f>1853+(1071.7-720.7)+(-5.67018+(-3.279402--2.205342))+0-448.1--1.37118600000005</f>
        <v>1750.5269460000002</v>
      </c>
      <c r="G331" s="3">
        <f>1918.4+(1019.7-608.2)+(0.978384+(0.520047-0.310182))+0-639.8-0.326297999999935</f>
        <v>1690.961951</v>
      </c>
      <c r="H331" s="3">
        <f>1825.7+(902.4-613.1)+(-0.931107+(-0.460224--0.312681))+0-469.3--0.239342999999952</f>
        <v>1644.8606930000001</v>
      </c>
      <c r="I331" s="3">
        <f>1895.3+(952.5-566.4)+(0+(0-0))+0-658.6-0</f>
        <v>1622.8000000000002</v>
      </c>
      <c r="J331" s="3">
        <f>1659.7+(970.5-431.2)+(-0.846447+(-0.494955--0.219912))+0-585.3--0.298502999999941</f>
        <v>1612.877013</v>
      </c>
      <c r="K331" s="3">
        <f>1712.7+(968.7-347.9)+(0+(0-0))+0-661.3-0</f>
        <v>1672.2</v>
      </c>
      <c r="L331" s="3">
        <f>1727.5+(1000.4-322.8)+(-0.881025+(-0.510204--0.164628))+0-624.1--0.318290999999937</f>
        <v>1780.0916900000002</v>
      </c>
      <c r="M331" s="3">
        <f>1781.7+(1088.3-393.2)+(-0.908667+(-0.555033--0.200532))+0-610.8--0.311507999999938</f>
        <v>1865.0483400000003</v>
      </c>
      <c r="N331" s="3">
        <f>2064.4+(969.2-604.7)+(1.052844+(0.494292-0.308397))+0-527.9-0.269228999999946</f>
        <v>1901.9695099999999</v>
      </c>
      <c r="O331" s="3">
        <f>2219.3+(916-909.2)+(-4.527372+(-1.86864--1.854768))+0-476.9--0.972875999999979</f>
        <v>1745.6316320000003</v>
      </c>
      <c r="P331" s="3">
        <f>2472.1+(886.4-1053.5)+(-2.521542+(-0.904128--1.07457))+0-458.1--0.467262000000073</f>
        <v>1845.0161620000003</v>
      </c>
      <c r="Q331" s="3">
        <f>2637.6+(896.1-1420.4)+(2.690352+(0.914022-1.448808))+0-459.7-0.468894000000073</f>
        <v>1655.2866719999995</v>
      </c>
      <c r="R331" s="3">
        <f>2258.9+(893.2-1218.3)+(-5.760195+(-2.27766--3.106665))+0-383.8--0.978689999999944</f>
        <v>1546.0475000000001</v>
      </c>
      <c r="S331" s="3">
        <f>2216.7+(963.8-995.9)+(-2.261034+(-0.983076--1.015818))+0-652.8--0.665856000000104</f>
        <v>1530.2375640000002</v>
      </c>
      <c r="T331" s="3">
        <f>2079.6+(964.8-938)+(-1.060596+(-0.492048--0.47838))+0-646.9--0.329918999999934</f>
        <v>1458.7556549999997</v>
      </c>
      <c r="U331" s="3">
        <f>2090.4+(914-819.9)+(1.066104+(0.46614-0.418149))+0-670.4-0.341903999999932</f>
        <v>1514.8721909999999</v>
      </c>
      <c r="V331" s="3">
        <f>1980.1+(972.1-751.5)+(0+(0-0))+0-600.4-0</f>
        <v>1600.2999999999997</v>
      </c>
      <c r="W331" s="3">
        <f>2085.9+(1078.4-745.4)+(-3.191427+(-1.649952--1.140462))+0-534.1--0.817173000000031</f>
        <v>1881.9162560000002</v>
      </c>
      <c r="X331" s="3">
        <f>2542.7+(1145.3-965.6)+(-3.890331+(-1.752309--1.477368))+0-552.1--0.844713000000032</f>
        <v>2166.9794409999995</v>
      </c>
      <c r="Y331" s="3">
        <f>2482.4+(1251.4-1001.9)+(-3.798072+(-1.914642--1.532907))+0-526--0.80478000000003</f>
        <v>2202.524973</v>
      </c>
      <c r="Z331" s="3">
        <f>2289.7+(1261.3-849.4)+(-4.670988+(-2.573052--1.732776))+0-507.6--1.03550399999998</f>
        <v>2189.5242399999997</v>
      </c>
      <c r="AA331" s="3">
        <f>2215.7+(1205.7-707.1)+(-4.520028+(-2.459628--1.442484))+0-593.9--1.21155599999997</f>
        <v>2116.0743839999996</v>
      </c>
      <c r="AB331" s="3">
        <f>1976.9+(1262.6-635.7)+(-1.008219+(-0.643926--0.324207))+0-580.5--0.296054999999941</f>
        <v>2022.2681170000003</v>
      </c>
      <c r="AC331" s="3">
        <f>1908.5+(1262-698.1)+(-8.760015+(-5.79258--3.204279))+0-563.8--2.5878420000001</f>
        <v>1899.8395260000002</v>
      </c>
      <c r="AD331">
        <f t="shared" si="5"/>
        <v>42916.610456000002</v>
      </c>
      <c r="AE331" s="3">
        <f>2665+(1121.2-960.3)+(0+(0-0))+0-633.4-0</f>
        <v>2192.5</v>
      </c>
    </row>
    <row r="332" spans="1:31" customFormat="1" x14ac:dyDescent="0.25">
      <c r="A332">
        <v>89</v>
      </c>
      <c r="B332">
        <v>11</v>
      </c>
      <c r="C332">
        <v>26</v>
      </c>
      <c r="D332">
        <v>4</v>
      </c>
      <c r="E332">
        <v>1</v>
      </c>
      <c r="F332" s="3">
        <f>1741.4+(1380.6-774.8)+(-2.664342+(-2.112318--1.185444))+0-586--0.896580000000034</f>
        <v>1758.5053640000001</v>
      </c>
      <c r="G332" s="3">
        <f>1632.6+(1339.2-790.4)+(-2.497878+(-2.048976--1.209312))+0-508.8--0.778464000000029</f>
        <v>1670.0409219999999</v>
      </c>
      <c r="H332" s="3">
        <f>1593+(1252.1-648.4)+(0.81243+(0.638571-0.330684))+0-596.1-0.30401099999994</f>
        <v>1601.4163059999998</v>
      </c>
      <c r="I332" s="3">
        <f>1553.6+(1220-600.6)+(-2.377008+(-1.8666--0.918918))+0-592.5--0.906525000000034</f>
        <v>1578.0818350000002</v>
      </c>
      <c r="J332" s="3">
        <f>1566.4+(1176.2-614.1)+(0.798864+(0.599862-0.313191))+0-558.7-0.284936999999943</f>
        <v>1570.6005980000002</v>
      </c>
      <c r="K332" s="3">
        <f>1683.3+(1108.8-597)+(-0.858483+(-0.565488--0.30447))+0-587.8--0.29977799999994</f>
        <v>1606.4802769999997</v>
      </c>
      <c r="L332" s="3">
        <f>1651.3+(1097.7-511.8)+(-1.684326+(-1.119654--0.522036))+0-532.7--0.543354000000085</f>
        <v>1702.7614100000001</v>
      </c>
      <c r="M332" s="3">
        <f>1784.4+(1089.8-536.4)+(-0.910044+(-0.555798--0.273564))+0-567--0.289169999999942</f>
        <v>1769.8968920000002</v>
      </c>
      <c r="N332" s="3">
        <f>1856.7+(1074.2-636)+(3.787668+(2.191368-1.29744))+0-455.7-0.92962799999998</f>
        <v>1842.9519679999999</v>
      </c>
      <c r="O332" s="3">
        <f>2055.8+(1062.8-729.8)+(-2.096916+(-1.084056--0.744396))+0-476.9--0.486438000000076</f>
        <v>1909.9498620000002</v>
      </c>
      <c r="P332" s="3">
        <f>1948.3+(1218-803.4)+(-0.993633+(-0.62118--0.409734))+0-456--0.232559999999954</f>
        <v>1905.9274810000002</v>
      </c>
      <c r="Q332" s="3">
        <f>2174.7+(946.1-854)+(-4.436388+(-1.930044--1.74216))+0-510--1.04039999999998</f>
        <v>1753.2161279999998</v>
      </c>
      <c r="R332" s="3">
        <f>1853.2+(1015.4-518.8)+(-5.670792+(-3.107124--1.587528))+0-455.5--1.39383000000005</f>
        <v>1888.5034420000002</v>
      </c>
      <c r="S332" s="3">
        <f>1809.5+(932.1-446.8)+(-1.84569+(-0.950742--0.455736))+0-444.5--0.453390000000071</f>
        <v>1848.4126940000001</v>
      </c>
      <c r="T332" s="3">
        <f>1823.6+(874.8-440.6)+(0+(0-0))+0-429.7-0</f>
        <v>1828.0999999999997</v>
      </c>
      <c r="U332" s="3">
        <f>1750.2+(986.9-460.9)+(-1.785204+(-1.006638--0.470118))+0-476.9--0.486438000000076</f>
        <v>1797.464714</v>
      </c>
      <c r="V332" s="3">
        <f>1715.3+(996.4-445.1)+(0+(0-0))+0-417.8-0</f>
        <v>1848.8</v>
      </c>
      <c r="W332" s="3">
        <f>1893.5+(848.7-490)+(0+(0-0))+0-322.6-0</f>
        <v>1929.6</v>
      </c>
      <c r="X332" s="3">
        <f>2792.8+(794.5-846.4)+(-2.848656+(-0.81039--0.863328))+0-463.3--0.472566000000074</f>
        <v>2275.276848</v>
      </c>
      <c r="Y332" s="3">
        <f>2498.7+(925.1-742.3)+(-7.646022+(-2.830806--2.271438))+0-358.4--1.09670400000004</f>
        <v>2315.9913139999999</v>
      </c>
      <c r="Z332" s="3">
        <f>2023.6+(1213.4-528.3)+(-5.16018+(-3.09417--1.347165))+0-514.5--1.31197499999993</f>
        <v>2188.6047899999999</v>
      </c>
      <c r="AA332" s="3">
        <f>2151.8+(1108.4-601.4)+(-4.389672+(-2.261136--1.226856))+0-500.3--1.02061199999998</f>
        <v>2154.0966599999997</v>
      </c>
      <c r="AB332" s="3">
        <f>2144.2+(1083.8-634.7)+(-2.187084+(-1.105476--0.647394))+0-539.9--0.550698000000086</f>
        <v>2051.3055319999999</v>
      </c>
      <c r="AC332" s="3">
        <f>2087.7+(1050.8-739.2)+(-5.323635+(-2.67954--1.88496))+0-438--1.11689999999994</f>
        <v>1956.2986849999998</v>
      </c>
      <c r="AD332">
        <f t="shared" si="5"/>
        <v>44752.283721999993</v>
      </c>
      <c r="AE332" s="3">
        <f>2957+(756.1-934.4)+(0+(0-0))+0-528.6-0</f>
        <v>2250.1</v>
      </c>
    </row>
    <row r="333" spans="1:31" customFormat="1" x14ac:dyDescent="0.25">
      <c r="A333">
        <v>89</v>
      </c>
      <c r="B333">
        <v>11</v>
      </c>
      <c r="C333">
        <v>27</v>
      </c>
      <c r="D333">
        <v>5</v>
      </c>
      <c r="E333">
        <v>3</v>
      </c>
      <c r="F333" s="3">
        <f>1644.8+(1219.8-544.9)+(-4.19424+(-3.11049--1.389495))+0-541.7--1.38133499999992</f>
        <v>1773.4660999999996</v>
      </c>
      <c r="G333" s="3">
        <f>1545.2+(1105.4-484.4)+(-2.364156+(-1.691262--0.741132))+0-498--0.761940000000029</f>
        <v>1665.6476540000006</v>
      </c>
      <c r="H333" s="3">
        <f>1498.1+(1131.7-451.6)+(-4.584186+(-3.463002--1.381896))+0-558.5--1.70901000000006</f>
        <v>1614.7437179999997</v>
      </c>
      <c r="I333" s="3">
        <f>1470.2+(1105.1-441.8)+(0.749802+(0.563601-0.225318))+0-525.6-0.268055999999947</f>
        <v>1608.7200290000001</v>
      </c>
      <c r="J333" s="3">
        <f>1595.6+(984.1-400.8)+(3.255024+(2.007564-0.817632))+0-532.7-1.08670799999998</f>
        <v>1649.5582479999994</v>
      </c>
      <c r="K333" s="3">
        <f>1781.8+(804.4-394.8)+(5.452308+(2.461464-1.208088))+0-539.8-1.65178800000006</f>
        <v>1656.653896</v>
      </c>
      <c r="L333" s="3">
        <f>1646.6+(927.5-313.8)+(-4.19883+(-2.365125--0.80019))+0-491.6--1.25357999999993</f>
        <v>1764.189815</v>
      </c>
      <c r="M333" s="3">
        <f>1685.5+(986.8-265.5)+(1.71921+(1.006536-0.27081))+0-570.5-0.581910000000091</f>
        <v>1838.1730260000002</v>
      </c>
      <c r="N333" s="3">
        <f>1751.8+(955-448.7)+(2.680254+(1.46115-0.686511))+0-440.8-0.674424000000025</f>
        <v>1820.080469</v>
      </c>
      <c r="O333" s="3">
        <f>1992.6+(1064.7-785.8)+(3.048678+(1.628991-1.202274))+0-414.3-0.633879000000024</f>
        <v>1860.041516</v>
      </c>
      <c r="P333" s="3">
        <f>2031.7+(1091-798.4)+(-4.144668+(-2.22564--1.628736))+0-527.3--1.07569199999998</f>
        <v>1793.3341200000002</v>
      </c>
      <c r="Q333" s="3">
        <f>2096.5+(902.7-778.8)+(-4.27686+(-1.841508--1.588752))+0-542.4--1.10649599999998</f>
        <v>1674.5768800000001</v>
      </c>
      <c r="R333" s="3">
        <f>1971.4+(849.2-524.7)+(-5.02707+(-2.16546--1.337985))+0-516.3--1.31656499999992</f>
        <v>1775.0620199999998</v>
      </c>
      <c r="S333" s="3">
        <f>1973.4+(833.8-571.4)+(-3.019302+(-1.275714--0.874242))+0-383.4--0.586602000000022</f>
        <v>1849.565828</v>
      </c>
      <c r="T333" s="3">
        <f>1904.6+(899.9-565.6)+(-0.971346+(-0.458949--0.288456))+0-437.9--0.223328999999956</f>
        <v>1800.0814899999996</v>
      </c>
      <c r="U333" s="3">
        <f>1693.5+(974.7-614.7)+(-4.318425+(-2.485485--1.567485))+0-401.5--1.02382499999994</f>
        <v>1647.7873999999999</v>
      </c>
      <c r="V333" s="3">
        <f>1717.7+(1127-579.3)+(0+(0-0))+0-482.1-0</f>
        <v>1783.3000000000002</v>
      </c>
      <c r="W333" s="3">
        <f>1798+(1154.7-495)+(-3.66792+(-2.355588--1.0098))+0-560.6--1.14362399999998</f>
        <v>1893.229916</v>
      </c>
      <c r="X333" s="3">
        <f>2091.3+(1175.4-510.6)+(-9.599067+(-5.395086--2.343654))+0-601.1--2.7590490000001</f>
        <v>2145.1085500000008</v>
      </c>
      <c r="Y333" s="3">
        <f>2478.9+(916.2-660.4)+(-1.264239+(-0.467262--0.336804))+0-572.2--0.291821999999942</f>
        <v>2161.3971250000004</v>
      </c>
      <c r="Z333" s="3">
        <f>2478.5+(1089.1-793.8)+(-11.376315+(-4.998969--3.643542))+0-631.9--2.90042100000011</f>
        <v>2132.0686790000004</v>
      </c>
      <c r="AA333" s="3">
        <f>2480.1+(1046.4-889.1)+(-1.264851+(-0.533664--0.453441))+0-450.9--0.229958999999954</f>
        <v>2185.3848849999999</v>
      </c>
      <c r="AB333" s="3">
        <f>2086.1+(1137.4-724.9)+(-5.319555+(-2.90037--1.848495))+0-501.9--1.27984499999993</f>
        <v>1991.6084149999997</v>
      </c>
      <c r="AC333" s="3">
        <f>1882.8+(1208.4-611.2)+(-4.80114+(-3.08142--1.55856))+0-645.5--1.64602499999991</f>
        <v>1829.8220249999999</v>
      </c>
      <c r="AD333">
        <f t="shared" si="5"/>
        <v>43913.601804000013</v>
      </c>
      <c r="AE333" s="3">
        <f>2467+(889.3-586.6)+(0+(0-0))+0-585.4-0</f>
        <v>2184.2999999999997</v>
      </c>
    </row>
    <row r="334" spans="1:31" customFormat="1" x14ac:dyDescent="0.25">
      <c r="A334">
        <v>89</v>
      </c>
      <c r="B334">
        <v>11</v>
      </c>
      <c r="C334">
        <v>28</v>
      </c>
      <c r="D334">
        <v>6</v>
      </c>
      <c r="E334">
        <v>6</v>
      </c>
      <c r="F334" s="3">
        <f>1774.9+(1071-691.9)+(-0.905199+(-0.54621--0.352869))+0-440.8--0.224807999999955</f>
        <v>1712.326268</v>
      </c>
      <c r="G334" s="3">
        <f>1721.8+(1110.4-630.3)+(0+(0-0))+0-611.3-0</f>
        <v>1590.6000000000001</v>
      </c>
      <c r="H334" s="3">
        <f>1628.7+(1068.1-650.4)+(-3.322548+(-2.178924--1.326816))+0-499.3--1.01857199999998</f>
        <v>1543.9439160000002</v>
      </c>
      <c r="I334" s="3">
        <f>1612.7+(1064.5-569.7)+(4.112385+(2.714475-1.452735))+0-571.9-1.45834499999992</f>
        <v>1539.5157799999997</v>
      </c>
      <c r="J334" s="3">
        <f>1624.3+(1022.9-616.8)+(-1.656786+(-1.043358--0.629136))+0-490.3--0.500106000000078</f>
        <v>1538.5290980000004</v>
      </c>
      <c r="K334" s="3">
        <f>1645.9+(982.5-484.1)+(0.839409+(0.501075-0.246891))+0-570.5-0.290954999999942</f>
        <v>1574.6026380000003</v>
      </c>
      <c r="L334" s="3">
        <f>1634.4+(913.8-411.5)+(-2.500632+(-1.398114--0.629595))+0-511.4--0.78244200000003</f>
        <v>1622.8132909999997</v>
      </c>
      <c r="M334" s="3">
        <f>1646.2+(964.7-369)+(0+(0-0))+0-558.3-0</f>
        <v>1683.6000000000001</v>
      </c>
      <c r="N334" s="3">
        <f>1840+(907.1-484.6)+(0.9384+(0.462621-0.247146))+0-476.5-0.243014999999952</f>
        <v>1786.91086</v>
      </c>
      <c r="O334" s="3">
        <f>1968.5+(1001.4-657.9)+(3.011805+(1.532142-1.006587))+0-522.9-0.80003700000003</f>
        <v>1791.8373229999997</v>
      </c>
      <c r="P334" s="3">
        <f>2130.2+(1119.3-937.4)+(-5.43201+(-2.854215--2.39037))+0-481.5--1.22782499999993</f>
        <v>1825.9319699999996</v>
      </c>
      <c r="Q334" s="3">
        <f>2048.8+(1106.7-998.2)+(-5.22444+(-2.822085--2.54541))+0-405.8--1.03478999999994</f>
        <v>1747.0336750000001</v>
      </c>
      <c r="R334" s="3">
        <f>1712.1+(1127-675.7)+(-6.112197+(-4.02339--2.412249))+0-531.9--1.89888300000001</f>
        <v>1625.6755449999998</v>
      </c>
      <c r="S334" s="3">
        <f>1476.5+(1085.6-538.2)+(-0.753015+(-0.553656--0.274482))+0-456.6--0.232865999999954</f>
        <v>1566.5006769999998</v>
      </c>
      <c r="T334" s="3">
        <f>1566.3+(1124.6-658.1)+(-2.396439+(-1.720638--1.006893))+0-579.4--0.886482000000033</f>
        <v>1451.1762980000001</v>
      </c>
      <c r="U334" s="3">
        <f>1593.9+(962.2-693.5)+(-4.064445+(-2.45361--1.768425))+0-444.2--1.13270999999994</f>
        <v>1414.7830799999999</v>
      </c>
      <c r="V334" s="3">
        <f>1677.5+(895.4-663.5)+(0+(0-0))+0-459.4-0</f>
        <v>1450</v>
      </c>
      <c r="W334" s="3">
        <f>1729.2+(817.8-507.4)+(-1.763784+(-0.834156--0.517548))+0-467.2--0.476544000000074</f>
        <v>1570.7961519999999</v>
      </c>
      <c r="X334" s="3">
        <f>2329.6+(997.3-882.1)+(-4.752384+(-2.034492--1.799484))+0-581.8--1.18687199999997</f>
        <v>1859.1994799999998</v>
      </c>
      <c r="Y334" s="3">
        <f>2223.5+(1034.8-856.8)+(-3.401955+(-1.583244--1.310904))+0-486.8--0.744804000000028</f>
        <v>1911.7705090000002</v>
      </c>
      <c r="Z334" s="3">
        <f>2310.5+(1056.4-936.4)+(-1.178355+(-0.538764--0.477564))+0-575.9--0.293708999999942</f>
        <v>1853.6541539999998</v>
      </c>
      <c r="AA334" s="3">
        <f>2367.9+(1041.8-1026.3)+(-3.622887+(-1.593954--1.570239))+0-494.9--0.757197000000029</f>
        <v>1885.6105950000003</v>
      </c>
      <c r="AB334" s="3">
        <f>1743.9+(1264.6-674.2)+(-5.336334+(-3.869676--2.063052))+0-549.1--1.68024600000006</f>
        <v>1779.7372880000005</v>
      </c>
      <c r="AC334" s="3">
        <f>1519.9+(1275.2-517.8)+(-3.875745+(-3.25176--1.32039))+0-505.5--1.28902499999993</f>
        <v>1767.2819100000002</v>
      </c>
      <c r="AD334">
        <f t="shared" si="5"/>
        <v>40093.830506999991</v>
      </c>
      <c r="AE334" s="3">
        <f>2745+(1031.8-1036.2)+(0+(0-0))+0-661.2-0</f>
        <v>2079.3999999999996</v>
      </c>
    </row>
    <row r="335" spans="1:31" customFormat="1" x14ac:dyDescent="0.25">
      <c r="A335">
        <v>89</v>
      </c>
      <c r="B335">
        <v>11</v>
      </c>
      <c r="C335">
        <v>29</v>
      </c>
      <c r="D335">
        <v>7</v>
      </c>
      <c r="E335">
        <v>1</v>
      </c>
      <c r="F335" s="3">
        <f>1628.3+(1010.5-406.3)+(-4.152165+(-2.576775--1.036065))+0-516--1.31579999999993</f>
        <v>1712.1229249999997</v>
      </c>
      <c r="G335" s="3">
        <f>1637.9+(945.8-517.8)+(-3.341316+(-1.929432--1.056312))+0-472.3--0.963491999999979</f>
        <v>1590.349056</v>
      </c>
      <c r="H335" s="3">
        <f>1589+(982.5-478.7)+(-2.43117+(-1.503225--0.732411))+0-593.3--0.907749000000034</f>
        <v>1497.2057650000004</v>
      </c>
      <c r="I335" s="3">
        <f>1470.3+(999.2-500)+(-2.999412+(-2.038368--1.02))+0-479--0.977159999999979</f>
        <v>1487.45938</v>
      </c>
      <c r="J335" s="3">
        <f>1458+(1003.5-399.6)+(0.74358+(0.511785-0.203796))+0-574.8-0.293147999999942</f>
        <v>1487.8584210000004</v>
      </c>
      <c r="K335" s="3">
        <f>1444+(863.9-346.6)+(0.73644+(0.440589-0.176766))+0-433.9-0.221288999999956</f>
        <v>1528.1789740000002</v>
      </c>
      <c r="L335" s="3">
        <f>1434.1+(1010.7-293)+(-3.656955+(-2.577285--0.74715))+0-554.2--1.41320999999992</f>
        <v>1593.52612</v>
      </c>
      <c r="M335" s="3">
        <f>1516.1+(906.2-284.2)+(-2.319633+(-1.386486--0.434826))+0-488.3--0.747099000000028</f>
        <v>1647.2758060000001</v>
      </c>
      <c r="N335" s="3">
        <f>1485.3+(1122.6-276.4)+(-2.272509+(-1.717578--0.422892))+0-618.1--0.945693000000036</f>
        <v>1710.7784980000001</v>
      </c>
      <c r="O335" s="3">
        <f>1601.7+(1028.6-379.7)+(0.816867+(0.524586-0.193647))+0-470.3-0.239852999999952</f>
        <v>1781.2079529999999</v>
      </c>
      <c r="P335" s="3">
        <f>1881.5+(978.2-500.1)+(-0.959565+(-0.498882--0.255051))+0-578.6--0.295085999999941</f>
        <v>1780.09169</v>
      </c>
      <c r="Q335" s="3">
        <f>1973.9+(938-698.2)+(-4.026756+(-1.91352--1.424328))+0-430.2--0.877607999999981</f>
        <v>1779.8616599999996</v>
      </c>
      <c r="R335" s="3">
        <f>2020.4+(947.2-597)+(-4.121616+(-1.932288--1.21788))+0-602.1--1.22828399999997</f>
        <v>1764.8922600000003</v>
      </c>
      <c r="S335" s="3">
        <f>1968.1+(790.7-535.3)+(-5.018655+(-2.016285--1.365015))+0-507.8--1.29488999999993</f>
        <v>1711.3249649999998</v>
      </c>
      <c r="T335" s="3">
        <f>1756.3+(828.9-416.7)+(-2.687139+(-1.268217--0.637551))+0-531.3--0.812889000000031</f>
        <v>1634.695084</v>
      </c>
      <c r="U335" s="3">
        <f>1584.2+(892.3-417.1)+(-3.231768+(-1.820292--0.850884))+0-441.3--0.900251999999981</f>
        <v>1614.799076</v>
      </c>
      <c r="V335" s="3">
        <f>1592.5+(940.1-288)+(-1.62435+(-0.958902--0.29376))+0-604.2--0.616284000000096</f>
        <v>1638.7267920000002</v>
      </c>
      <c r="W335" s="3">
        <f>1840.5+(717.4-298.3)+(-2.815965+(-1.097622--0.456399))+0-524.3--0.80217900000003</f>
        <v>1732.6449910000001</v>
      </c>
      <c r="X335" s="3">
        <f>2717.1+(661.5-649)+(-5.542884+(-1.34946--1.32396))+0-684.5--1.39637999999997</f>
        <v>2040.9279959999997</v>
      </c>
      <c r="Y335" s="3">
        <f>2702.3+(691.3-744.1)+(-6.890865+(-1.762815--1.897455))+0-525.1--1.33900499999992</f>
        <v>2118.9827799999998</v>
      </c>
      <c r="Z335" s="3">
        <f>2576.4+(831.1-705.3)+(-2.627928+(-0.847722--0.719406))+0-649--0.661980000000103</f>
        <v>2051.1057360000004</v>
      </c>
      <c r="AA335" s="3">
        <f>2364+(880.5-832.6)+(1.20564+(0.449055-0.424626))+0-450.1-0.229550999999954</f>
        <v>1962.8005180000005</v>
      </c>
      <c r="AB335" s="3">
        <f>2206.7+(998.6-674.9)+(-4.501668+(-2.037144--1.376796))+0-634--1.29335999999997</f>
        <v>1892.5313439999993</v>
      </c>
      <c r="AC335" s="3">
        <f>1969.2+(1065.9-711.4)+(-5.02146+(-2.718045--1.81407))+0-533--1.35914999999992</f>
        <v>1786.1337150000002</v>
      </c>
      <c r="AD335">
        <f t="shared" si="5"/>
        <v>41545.481505000003</v>
      </c>
      <c r="AE335" s="3">
        <f>2790+(677.2-680)+(0+(0-0))+0-716.4-0</f>
        <v>2070.7999999999997</v>
      </c>
    </row>
    <row r="336" spans="1:31" customFormat="1" x14ac:dyDescent="0.25">
      <c r="A336">
        <v>89</v>
      </c>
      <c r="B336">
        <v>11</v>
      </c>
      <c r="C336">
        <v>30</v>
      </c>
      <c r="D336">
        <v>1</v>
      </c>
      <c r="E336">
        <v>1</v>
      </c>
      <c r="F336" s="3">
        <f>1657.8+(1226.1-646.9)+(-2.536434+(-1.875933--0.989757))+0-586.4--0.897192000000034</f>
        <v>1648.074582</v>
      </c>
      <c r="G336" s="3">
        <f>1566.7+(1183.9-588.3)+(-3.995085+(-3.018945--1.500165))+0-591.8--1.50908999999991</f>
        <v>1566.4952250000003</v>
      </c>
      <c r="H336" s="3">
        <f>1638.3+(1056.6-639.3)+(0.835533+(0.538866-0.326043))+0-563-0.287129999999943</f>
        <v>1493.3612259999998</v>
      </c>
      <c r="I336" s="3">
        <f>1602.1+(1085.2-625.4)+(-0.817071+(-0.553452--0.318954))+0-593.3--0.30258299999994</f>
        <v>1467.8510139999999</v>
      </c>
      <c r="J336" s="3">
        <f>1607.7+(1073.1-594.6)+(3.279708+(2.189124-1.212984))+0-576.9-1.17687599999997</f>
        <v>1512.3789719999995</v>
      </c>
      <c r="K336" s="3">
        <f>1688.9+(1007.3-526.6)+(1.722678+(1.027446-0.537132))+0-617.6-0.629952000000099</f>
        <v>1553.5830400000002</v>
      </c>
      <c r="L336" s="3">
        <f>1751.8+(992.5-507.3)+(0+(0-0))+0-550.4-0</f>
        <v>1686.6</v>
      </c>
      <c r="M336" s="3">
        <f>1876+(1009-507.2)+(0+(0-0))+0-579.7-0</f>
        <v>1798.1000000000001</v>
      </c>
      <c r="N336" s="3">
        <f>1852.6+(1007.1-499.1)+(3.779304+(2.054484-1.018164))+0-543-1.10771999999998</f>
        <v>1821.3079039999998</v>
      </c>
      <c r="O336" s="3">
        <f>2080+(1069.7-780.4)+(-1.0608+(-0.545547--0.398004))+0-478.9--0.244238999999951</f>
        <v>1889.4358960000002</v>
      </c>
      <c r="P336" s="3">
        <f>2409.4+(962.4-1099.7)+(-3.686382+(-1.472472--1.682541))+0-504.3--0.771579000000029</f>
        <v>1765.0952659999998</v>
      </c>
      <c r="Q336" s="3">
        <f>2597.6+(975.4-1118.7)+(-1.324776+(-0.497454--0.570537))+0-507--0.258569999999949</f>
        <v>1946.3068769999995</v>
      </c>
      <c r="R336" s="3">
        <f>2108.2+(1024.4-898.7)+(-1.075182+(-0.522444--0.458337))+0-503.8--0.256937999999949</f>
        <v>1729.2176489999995</v>
      </c>
      <c r="S336" s="3">
        <f>2001.5+(1016.8-780.3)+(-5.103825+(-2.59284--1.989765))+0-532.5--1.35787499999992</f>
        <v>1701.1509749999998</v>
      </c>
      <c r="T336" s="3">
        <f>2021.6+(920.6-773)+(-1.031016+(-0.469506--0.39423))+0-507.8--0.258977999999948</f>
        <v>1660.5526859999998</v>
      </c>
      <c r="U336" s="3">
        <f>2009.9+(973-820.9)+(-3.075147+(-1.48869--1.255977))+0-491.8--0.752454000000028</f>
        <v>1667.6445940000001</v>
      </c>
      <c r="V336" s="3">
        <f>2187.4+(935.9-926.1)+(-4.462296+(-1.909236--1.889244))+0-501.3--1.02265199999998</f>
        <v>1692.4403639999996</v>
      </c>
      <c r="W336" s="3">
        <f>2160.4+(991.5-832.5)+(-4.407216+(-2.02266--1.6983))+0-554.3--1.13077199999998</f>
        <v>1761.499196</v>
      </c>
      <c r="X336" s="3">
        <f>3142.8+(988.3-1616.8)+(-4.808484+(-1.512099--2.473704))+0-436.4--0.667692000000025</f>
        <v>2074.7208129999999</v>
      </c>
      <c r="Y336" s="3">
        <f>3143.8+(1109.9-1496.7)+(-8.01669+(-2.830245--3.816585))+0-540.5--1.37827499999992</f>
        <v>2210.847925</v>
      </c>
      <c r="Z336" s="3">
        <f>2729+(1005.8-1176.4)+(-4.17537+(-1.538874--1.799892))+0-494.1--0.755973000000029</f>
        <v>2061.1416209999998</v>
      </c>
      <c r="AA336" s="3">
        <f>2774.2+(890-1130.6)+(-4.244526+(-1.3617--1.729818))+0-491.6--0.752148000000028</f>
        <v>2038.87574</v>
      </c>
      <c r="AB336" s="3">
        <f>2329.5+(999.1-862.6)+(-5.940225+(-2.547705--2.19963))+0-517.5--1.31962499999993</f>
        <v>1943.5313249999997</v>
      </c>
      <c r="AC336" s="3">
        <f>2416.3+(968.8-1041.8)+(-6.161565+(-2.47044--2.65659))+0-545.1--1.39000499999992</f>
        <v>1793.6145900000004</v>
      </c>
      <c r="AD336">
        <f t="shared" si="5"/>
        <v>42483.827479999993</v>
      </c>
      <c r="AE336" s="3">
        <f>3300+(1057.7-1754.7)+(0+(0-0))+0-375.6-0</f>
        <v>2227.4</v>
      </c>
    </row>
    <row r="337" spans="1:31" customFormat="1" x14ac:dyDescent="0.25">
      <c r="A337">
        <v>89</v>
      </c>
      <c r="B337">
        <v>12</v>
      </c>
      <c r="C337">
        <v>1</v>
      </c>
      <c r="D337">
        <v>2</v>
      </c>
      <c r="E337">
        <v>1</v>
      </c>
      <c r="F337" s="3">
        <f>2084.5+(1050.5-940)+(-7.441665+(-3.750285--3.3558))+0-518.3--1.85033100000001</f>
        <v>1670.7141810000001</v>
      </c>
      <c r="G337" s="3">
        <f>1929.2+(1090.3-899.6)+(0+(0-0))+0-516.3-0</f>
        <v>1603.6000000000001</v>
      </c>
      <c r="H337" s="3">
        <f>1841.9+(1121.3-873.6)+(-3.757476+(-2.287452--1.782144))+0-534.1--1.08956399999998</f>
        <v>1552.3267799999999</v>
      </c>
      <c r="I337" s="3">
        <f>1881+(1106.1-981.4)+(4.79655+(2.820555-2.50257))+0-479.6-1.22297999999993</f>
        <v>1529.9915549999996</v>
      </c>
      <c r="J337" s="3">
        <f>1968+(1094.6-954.2)+(0+(0-0))+0-582-0</f>
        <v>1526.3999999999996</v>
      </c>
      <c r="K337" s="3">
        <f>1994.9+(1029.5-894.2)+(2.034798+(1.05009-0.912084))+0-564.4-0.57568800000009</f>
        <v>1567.3971159999994</v>
      </c>
      <c r="L337" s="3">
        <f>2083.6+(979.7-782.6)+(2.125272+(0.999294-0.798252))+0-574.3-0.585786000000092</f>
        <v>1708.1405279999997</v>
      </c>
      <c r="M337" s="3">
        <f>2055.8+(1009.2-745)+(2.096916+(1.029384-0.7599))+0-533.9-0.544578000000085</f>
        <v>1787.9218219999998</v>
      </c>
      <c r="N337" s="3">
        <f>2112.7+(1181-909.4)+(3.232431+(1.80693-1.391382))+0-581.1-0.889083000000034</f>
        <v>1805.9588959999996</v>
      </c>
      <c r="O337" s="3">
        <f>2329.1+(1337.9-1295.1)+(-2.375682+(-1.364658--1.321002))+0-527.2--0.537744000000084</f>
        <v>1842.8184059999999</v>
      </c>
      <c r="P337" s="3">
        <f>2582.6+(1176.2-1439.4)+(-3.951378+(-1.799586--2.202282))+0-501.6--0.767448000000029</f>
        <v>1815.0187659999997</v>
      </c>
      <c r="Q337" s="3">
        <f>2380.2+(1187.5-1225.5)+(-8.497314+(-4.239375--4.375035))+0-404.5--1.44406500000001</f>
        <v>1930.7824109999999</v>
      </c>
      <c r="R337" s="3">
        <f>2081.1+(1194.5-752.2)+(-4.245444+(-2.43678--1.534488))+0-532.3--1.08589199999998</f>
        <v>1987.0381559999998</v>
      </c>
      <c r="S337" s="3">
        <f>2049.6+(1146.8-773.7)+(-4.181184+(-2.339472--1.578348))+0-533.7--1.08874799999998</f>
        <v>1885.1464399999995</v>
      </c>
      <c r="T337" s="3">
        <f>1984.6+(1224.9-804.8)+(-1.012146+(-0.624699--0.410448))+0-565.1--0.288200999999943</f>
        <v>1838.6618039999998</v>
      </c>
      <c r="U337" s="3">
        <f>1879.5+(1208.2-823.9)+(2.875635+(1.848546-1.260567))+0-601.7-0.920601000000035</f>
        <v>1664.6430129999999</v>
      </c>
      <c r="V337" s="3">
        <f>1801.2+(1246.2-767.2)+(0+(0-0))+0-580.9-0</f>
        <v>1699.2999999999997</v>
      </c>
      <c r="W337" s="3">
        <f>2305.9+(1073.7-1171.6)+(0+(0-0))+0-580.9-0</f>
        <v>1627.1</v>
      </c>
      <c r="X337" s="3">
        <f>3652.3+(844-1752.7)+(-5.588019+(-1.29132--2.681631))+0-589.8--0.902394000000034</f>
        <v>2150.5046860000007</v>
      </c>
      <c r="Y337" s="3">
        <f>3192.2+(896.2-1408)+(-6.512088+(-1.828248--2.87232))+0-529.4--1.07997599999998</f>
        <v>2146.6119599999997</v>
      </c>
      <c r="Z337" s="3">
        <f>2980.8+(956.2-1296.8)+(-3.040416+(-0.975324--1.322736))+0-584.7--0.596394000000093</f>
        <v>2053.4033900000004</v>
      </c>
      <c r="AA337" s="3">
        <f>2859.7+(956.4-1224.5)+(1.458447+(0.487764-0.624495))+0-615.4-0.313853999999938</f>
        <v>1977.2078619999997</v>
      </c>
      <c r="AB337" s="3">
        <f>2374.6+(1015.9-964.4)+(-6.05523+(-2.590545--2.45922))+0-546.3--1.39306499999992</f>
        <v>1875.0065099999997</v>
      </c>
      <c r="AC337" s="3">
        <f>2106.5+(1097.4-889.7)+(1.074315+(0.559674-0.453747))+0-592.8-0.30232799999994</f>
        <v>1722.2779139999998</v>
      </c>
      <c r="AD337">
        <f t="shared" si="5"/>
        <v>42967.972196000002</v>
      </c>
      <c r="AE337" s="3">
        <f>3896+(846.3-1884.9)+(0+(0-0))+0-667.3-0</f>
        <v>2190.0999999999995</v>
      </c>
    </row>
    <row r="338" spans="1:31" customFormat="1" x14ac:dyDescent="0.25">
      <c r="A338">
        <v>89</v>
      </c>
      <c r="B338">
        <v>12</v>
      </c>
      <c r="C338">
        <v>2</v>
      </c>
      <c r="D338">
        <v>3</v>
      </c>
      <c r="E338">
        <v>1</v>
      </c>
      <c r="F338" s="3">
        <f>1997+(1176.3-970.2)+(-4.07388+(-2.399652--1.979208))+0-561.4--1.14525599999998</f>
        <v>1638.3509320000001</v>
      </c>
      <c r="G338" s="3">
        <f>1911.8+(1068.1-927.3)+(-3.900072+(-2.178924--1.891692))+0-483.3--0.985931999999979</f>
        <v>1566.098628</v>
      </c>
      <c r="H338" s="3">
        <f>1901.3+(1107.4-931.9)+(0.969663+(0.564774-0.475269))+0-565-0.288149999999943</f>
        <v>1512.5710180000005</v>
      </c>
      <c r="I338" s="3">
        <f>1987.4+(1084.8-959.7)+(4.054296+(2.212992-1.957788))+0-620.1-1.26500399999997</f>
        <v>1495.4444960000001</v>
      </c>
      <c r="J338" s="3">
        <f>1985.4+(1045.5-960.9)+(-1.012554+(-0.533205--0.490059))+0-588.6--0.30018599999994</f>
        <v>1480.6444860000001</v>
      </c>
      <c r="K338" s="3">
        <f>2012.7+(964.1-929.6)+(0+(0-0))+0-528-0</f>
        <v>1519.2</v>
      </c>
      <c r="L338" s="3">
        <f>1991.3+(1024.2-788.4)+(-4.062252+(-2.089368--1.608336))+0-662.3--1.35109199999997</f>
        <v>1561.607808</v>
      </c>
      <c r="M338" s="3">
        <f>1996.9+(979.9-793.4)+(-3.055257+(-1.499247--1.213902))+0-562.3--0.860319000000032</f>
        <v>1618.619717</v>
      </c>
      <c r="N338" s="3">
        <f>2052.8+(929.4-698.2)+(3.140784+(1.421982-1.068246))+0-580.8-0.888624000000034</f>
        <v>1705.8058960000003</v>
      </c>
      <c r="O338" s="3">
        <f>2412.5+(887.3-1051.4)+(1.230375+(0.452523-0.536214))+0-470.3-0.239852999999952</f>
        <v>1779.0068309999995</v>
      </c>
      <c r="P338" s="3">
        <f>2576.8+(919.4-1234.2)+(-2.628336+(-0.937788--1.258884))+0-437.4--0.44614800000007</f>
        <v>1822.7389079999998</v>
      </c>
      <c r="Q338" s="3">
        <f>2615.6+(1013.1-1222.4)+(-2.667912+(-1.033362--1.246848))+0-604.6--0.616692000000096</f>
        <v>1799.8622660000001</v>
      </c>
      <c r="R338" s="3">
        <f>2405.1+(1068.6-1086.1)+(-7.359606+(-3.269916--3.323466))+0-597.2--1.82743200000007</f>
        <v>1784.921376</v>
      </c>
      <c r="S338" s="3">
        <f>2146.9+(1138.1-999.2)+(-2.189838+(-1.160862--1.019184))+0-542--0.552840000000086</f>
        <v>1742.021324</v>
      </c>
      <c r="T338" s="3">
        <f>2297.8+(972-1034.9)+(2.343756+(0.99144-1.055598))+0-538-0.548760000000086</f>
        <v>1698.630838</v>
      </c>
      <c r="U338" s="3">
        <f>2132.2+(1036.3-918.2)+(-4.349688+(-2.114052--1.873128))+0-544.8--1.11139199999998</f>
        <v>1702.0207799999998</v>
      </c>
      <c r="V338" s="3">
        <f>2309.8+(972-896.6)+(2.355996+(0.99144-0.914532))+0-582.4-0.594048000000093</f>
        <v>1804.6388559999998</v>
      </c>
      <c r="W338" s="3">
        <f>2420.7+(943.8-930.3)+(-2.469114+(-0.962676--0.948906))+0-582.8--0.594456000000093</f>
        <v>1849.5115719999999</v>
      </c>
      <c r="X338" s="3">
        <f>2945.8+(845.1-1295.1)+(-1.502358+(-0.431001--0.660501))+0-479.5--0.244544999999951</f>
        <v>2015.2716870000004</v>
      </c>
      <c r="Y338" s="3">
        <f>2930+(936-1234.7)+(-2.9886+(-0.95472--1.259394))+0-574.9--0.586398000000092</f>
        <v>2054.3024719999999</v>
      </c>
      <c r="Z338" s="3">
        <f>2297.3+(1083.9-890.7)+(-1.171623+(-0.552789--0.454257))+0-480.7--0.245156999999951</f>
        <v>2008.7750019999999</v>
      </c>
      <c r="AA338" s="3">
        <f>2293.4+(1111.5-896.9)+(-1.169634+(-0.566865--0.457419))+0-561.4--0.286313999999943</f>
        <v>1945.6072340000001</v>
      </c>
      <c r="AB338" s="3">
        <f>2062.2+(1129.6-907)+(-4.206888+(-2.304384--1.85028))+0-421.4--0.859655999999982</f>
        <v>1859.5986639999996</v>
      </c>
      <c r="AC338" s="3">
        <f>2100+(1076.1-829.1)+(0+(0-0))+0-576.4-0</f>
        <v>1770.6</v>
      </c>
      <c r="AD338">
        <f t="shared" si="5"/>
        <v>41735.850791000004</v>
      </c>
      <c r="AE338" s="3">
        <f>3036.1+(916.8-1300.3)+(0+(0-0))+0-589.2-0</f>
        <v>2063.3999999999996</v>
      </c>
    </row>
    <row r="339" spans="1:31" customFormat="1" x14ac:dyDescent="0.25">
      <c r="A339">
        <v>89</v>
      </c>
      <c r="B339">
        <v>12</v>
      </c>
      <c r="C339">
        <v>3</v>
      </c>
      <c r="D339">
        <v>4</v>
      </c>
      <c r="E339">
        <v>1</v>
      </c>
      <c r="F339" s="3">
        <f>1905.4+(1006.1-754.8)+(-1.943508+(-1.026222--0.769896))+0-492.9--0.502758000000079</f>
        <v>1662.1029240000003</v>
      </c>
      <c r="G339" s="3">
        <f>1798+(998.1-669.2)+(0+(0-0))+0-561.4-0</f>
        <v>1565.5</v>
      </c>
      <c r="H339" s="3">
        <f>1900.4+(973.1-825.9)+(0+(0-0))+0-530.4-0</f>
        <v>1517.2000000000003</v>
      </c>
      <c r="I339" s="3">
        <f>1873+(1010-822.5)+(-2.86569+(-1.5453--1.258425))+0-562.7--0.860931000000033</f>
        <v>1495.508366</v>
      </c>
      <c r="J339" s="3">
        <f>1842.7+(990-825.6)+(-3.759108+(-2.0196--1.684224))+0-508.4--1.03713599999998</f>
        <v>1495.642652</v>
      </c>
      <c r="K339" s="3">
        <f>1908.3+(927.8-740.2)+(1.946466+(0.946356-0.755004))+0-555.9-0.567018000000089</f>
        <v>1541.5707999999995</v>
      </c>
      <c r="L339" s="3">
        <f>1937+(1056.2-798)+(-1.97574+(-1.077324--0.81396))+0-529.3--0.539886000000084</f>
        <v>1664.2007819999997</v>
      </c>
      <c r="M339" s="3">
        <f>1898.4+(1128.3-724.5)+(-2.904552+(-1.726299--1.108485))+0-549.6--0.840888000000032</f>
        <v>1749.9185219999997</v>
      </c>
      <c r="N339" s="3">
        <f>2030.5+(1056.9-746)+(0+(0-0))+0-538.9-0</f>
        <v>1802.5</v>
      </c>
      <c r="O339" s="3">
        <f>2258.9+(1067.8-1090.5)+(-2.304078+(-1.089156--1.11231))+0-467--0.476340000000074</f>
        <v>1767.3954159999998</v>
      </c>
      <c r="P339" s="3">
        <f>2528.2+(987.7-1258.4)+(-6.44691+(-2.518635--3.20892))+0-480.1--1.22425499999993</f>
        <v>1772.86763</v>
      </c>
      <c r="Q339" s="3">
        <f>2552.6+(1019.7-1294.8)+(-2.603652+(-1.040094--1.320696))+0-519.2--0.529584000000083</f>
        <v>1756.5065340000001</v>
      </c>
      <c r="R339" s="3">
        <f>2325.6+(1081.9-1160.6)+(-5.93028+(-2.758845--2.95953))+0-505.2--1.28825999999993</f>
        <v>1737.2586650000003</v>
      </c>
      <c r="S339" s="3">
        <f>1825+(1083.4-867.5)+(0+(0-0))+0-411.9-0</f>
        <v>1629</v>
      </c>
      <c r="T339" s="3">
        <f>1832+(1035.2-772.1)+(0.93432+(0.527952-0.393771))+0-453.9-0.231488999999954</f>
        <v>1642.037012</v>
      </c>
      <c r="U339" s="3">
        <f>1647.8+(1122.2-647.1)+(0+(0-0))+0-461.8-0</f>
        <v>1661.1000000000001</v>
      </c>
      <c r="V339" s="3">
        <f>1632+(1157.9-632.6)+(0+(0-0))+0-490.5-0</f>
        <v>1666.8000000000002</v>
      </c>
      <c r="W339" s="3">
        <f>1625.6+(1116.2-586.5)+(-0.829056+(-0.569262--0.299115))+0-436.7--0.222716999999956</f>
        <v>1717.7235139999998</v>
      </c>
      <c r="X339" s="3">
        <f>2817.9+(964.4-1365.7)+(-1.437129+(-0.491844--0.696507))+0-470.6--0.240005999999952</f>
        <v>1945.0075400000001</v>
      </c>
      <c r="Y339" s="3">
        <f>2454.1+(1161.2-1203.7)+(-3.754773+(-1.776636--1.841661))+0-413.9--0.633267000000024</f>
        <v>1994.643519</v>
      </c>
      <c r="Z339" s="3">
        <f>2204.5+(1211.6-966.9)+(-2.24859+(-1.235832--0.986238))+0-483.5--0.493170000000077</f>
        <v>1963.6949859999997</v>
      </c>
      <c r="AA339" s="3">
        <f>2097.8+(1202.2-899.3)+(-6.419268+(-3.678732--2.751858))+0-466.2--1.42657200000005</f>
        <v>1928.5804300000004</v>
      </c>
      <c r="AB339" s="3">
        <f>1978+(1303.8-925.3)+(-4.03512+(-2.659752--1.887612))+0-479.2--0.977567999999979</f>
        <v>1873.4703079999999</v>
      </c>
      <c r="AC339" s="3">
        <f>1647.8+(1349.3-770.9)+(-5.042268+(-4.128858--2.358954))+0-467.1--1.42932600000005</f>
        <v>1753.7171539999999</v>
      </c>
      <c r="AD339">
        <f t="shared" si="5"/>
        <v>41303.946754000004</v>
      </c>
      <c r="AE339" s="3">
        <f>2981+(1096.8-1477.7)+(0+(0-0))+0-527-0</f>
        <v>2073.1</v>
      </c>
    </row>
    <row r="340" spans="1:31" customFormat="1" x14ac:dyDescent="0.25">
      <c r="A340">
        <v>89</v>
      </c>
      <c r="B340">
        <v>12</v>
      </c>
      <c r="C340">
        <v>4</v>
      </c>
      <c r="D340">
        <v>5</v>
      </c>
      <c r="E340">
        <v>1</v>
      </c>
      <c r="F340" s="3">
        <f>1332.4+(1471.5-719)+(1.359048+(1.50093-0.73338))+0-465.1-0.474402000000074</f>
        <v>1621.452196</v>
      </c>
      <c r="G340" s="3">
        <f>1320.9+(1273-600)+(-2.694636+(-2.59692--1.224))+0-480.7--0.980627999999979</f>
        <v>1510.1130720000001</v>
      </c>
      <c r="H340" s="3">
        <f>1331.2+(1106.5-531.2)+(0.678912+(0.564315-0.270912))+0-434.8-0.221747999999956</f>
        <v>1472.4505670000001</v>
      </c>
      <c r="I340" s="3">
        <f>1322.6+(1123-472.8)+(-2.698104+(-2.29092--0.964512))+0-516.2--1.05304799999998</f>
        <v>1453.6285359999999</v>
      </c>
      <c r="J340" s="3">
        <f>1391.7+(1107.4-590.4)+(-2.129301+(-1.694322--0.903312))+0-427--0.653310000000025</f>
        <v>1479.4329990000001</v>
      </c>
      <c r="K340" s="3">
        <f>1420.1+(1188.3-542)+(0.724251+(0.606033-0.27642))+0-552.1-0.281570999999944</f>
        <v>1515.0722929999997</v>
      </c>
      <c r="L340" s="3">
        <f>1361.2+(1229.1-553.7)+(-2.776848+(-2.507364--1.129548))+0-388.6--0.792743999999983</f>
        <v>1644.6380799999999</v>
      </c>
      <c r="M340" s="3">
        <f>1457.7+(1275.1-403.4)+(-1.486854+(-1.300602--0.411468))+0-609.6--0.621792000000097</f>
        <v>1718.0458040000005</v>
      </c>
      <c r="N340" s="3">
        <f>1568.2+(1133.2-533)+(0+(0-0))+0-407.1-0</f>
        <v>1761.3000000000002</v>
      </c>
      <c r="O340" s="3">
        <f>1742.4+(1282.4-506)+(-0.888624+(-0.654024--0.25806))+0-595.6--0.30375599999994</f>
        <v>1922.2191680000003</v>
      </c>
      <c r="P340" s="3">
        <f>1645.3+(1223.3-751.1)+(-0.839103+(-0.623883--0.383061))+0-318.1--0.162230999999968</f>
        <v>1798.4823060000001</v>
      </c>
      <c r="Q340" s="3">
        <f>2125.1+(1174.4-935.1)+(-1.083801+(-0.598944--0.476901))+0-478.7--0.244136999999951</f>
        <v>1884.7382929999999</v>
      </c>
      <c r="R340" s="3">
        <f>1768.9+(949-694.3)+(-4.510695+(-2.41995--1.770465))+0-463.9--1.18294499999993</f>
        <v>1555.722765</v>
      </c>
      <c r="S340" s="3">
        <f>1640.9+(1039.7-515)+(-0.836859+(-0.530247--0.26265))+0-445.7--0.227306999999955</f>
        <v>1719.0228510000002</v>
      </c>
      <c r="T340" s="3">
        <f>1596.8+(1169.7-559.3)+(-4.07184+(-2.982735--1.426215))+0-517.7--1.32013499999993</f>
        <v>1685.1917749999996</v>
      </c>
      <c r="U340" s="3">
        <f>1649.6+(1088.4-630.3)+(-2.523888+(-1.665252--0.964359))+0-407.9--0.624087000000023</f>
        <v>1697.1993059999998</v>
      </c>
      <c r="V340" s="3">
        <f>1614.1+(1132.7-620.5)+(-7.408719+(-5.199093--2.848095))+0-454.2--2.08477800000008</f>
        <v>1664.4250610000004</v>
      </c>
      <c r="W340" s="3">
        <f>2035+(957.3-683.1)+(0+(0-0))+0-559.9-0</f>
        <v>1749.2999999999997</v>
      </c>
      <c r="X340" s="3">
        <f>2858.9+(908.3-1244.8)+(-5.832156+(-1.852932--2.539392))+0-504.8--1.02979199999998</f>
        <v>2013.4840960000001</v>
      </c>
      <c r="Y340" s="3">
        <f>2665.6+(1097.7-1123.9)+(0+(0-0))+0-590.7-0</f>
        <v>2048.6999999999998</v>
      </c>
      <c r="Z340" s="3">
        <f>3032.3+(1060.9-1528.8)+(0+(0-0))+0-536.3-0</f>
        <v>2028.1000000000006</v>
      </c>
      <c r="AA340" s="3">
        <f>3040.4+(1014.5-1519.8)+(-3.101208+(-1.03479--1.550196))+0-596.9--0.608838000000095</f>
        <v>1936.2230360000003</v>
      </c>
      <c r="AB340" s="3">
        <f>2807.4+(911.6-1333.1)+(-5.727096+(-1.859664--2.719524))+0-530.2--1.08160799999998</f>
        <v>1851.914372</v>
      </c>
      <c r="AC340" s="3">
        <f>2499.4+(851.4-1064.5)+(-10.197552+(-3.473712--4.34316))+0-537--2.19095999999995</f>
        <v>1742.1628559999999</v>
      </c>
      <c r="AD340">
        <f t="shared" si="5"/>
        <v>41473.019432000001</v>
      </c>
      <c r="AE340" s="3">
        <f>2591.1+(1023.1-1233.4)+(0+(0-0))+0-535-0</f>
        <v>1845.7999999999997</v>
      </c>
    </row>
    <row r="341" spans="1:31" customFormat="1" x14ac:dyDescent="0.25">
      <c r="A341">
        <v>89</v>
      </c>
      <c r="B341">
        <v>12</v>
      </c>
      <c r="C341">
        <v>5</v>
      </c>
      <c r="D341">
        <v>6</v>
      </c>
      <c r="E341">
        <v>1</v>
      </c>
      <c r="F341" s="3">
        <f>1632.7+(1079.3-711.2)+(-2.498031+(-1.651329--1.088136))+0-481.6--0.736848000000028</f>
        <v>1516.8756239999998</v>
      </c>
      <c r="G341" s="3">
        <f>1556.8+(1104.7-656.1)+(1.587936+(1.126794-0.669222))+0-571.2-0.582624000000091</f>
        <v>1435.6628839999998</v>
      </c>
      <c r="H341" s="3">
        <f>1523.9+(1050.3-665.2)+(-4.663134+(-3.213918--2.035512))+0-507.5--1.55295000000006</f>
        <v>1397.2114100000001</v>
      </c>
      <c r="I341" s="3">
        <f>1531.2+(1018.9-624.5)+(1.561824+(1.039278-0.63699))+0-524.3-0.534786000000084</f>
        <v>1402.7293259999999</v>
      </c>
      <c r="J341" s="3">
        <f>1527.5+(1012.7-592.8)+(0.779025+(0.516477-0.302328))+0-525.2-0.267851999999947</f>
        <v>1422.9253220000001</v>
      </c>
      <c r="K341" s="3">
        <f>1621.6+(987.5-637.9)+(4.962096+(3.02175-1.951974))+0-518.5-1.58661000000006</f>
        <v>1457.1452619999998</v>
      </c>
      <c r="L341" s="3">
        <f>1640.8+(1008.8-518)+(0+(0-0))+0-542.9-0</f>
        <v>1588.6999999999998</v>
      </c>
      <c r="M341" s="3">
        <f>1724.4+(1002.5-532.4)+(2.638332+(1.533825-0.814572))+0-534.2-0.817326000000031</f>
        <v>1662.8402590000001</v>
      </c>
      <c r="N341" s="3">
        <f>1624+(1304.5-669.7)+(0+(0-0))+0-548.9-0</f>
        <v>1709.9</v>
      </c>
      <c r="O341" s="3">
        <f>1829.4+(1441.2-1098.8)+(0+(0-0))+0-443.6-0</f>
        <v>1728.2000000000003</v>
      </c>
      <c r="P341" s="3">
        <f>2155.3+(1381.4-1294.7)+(0+(0-0))+0-473.1-0</f>
        <v>1768.9</v>
      </c>
      <c r="Q341" s="3">
        <f>2347.3+(1353.5-1491.1)+(1.197123+(0.690285-0.760461))+0-491.1-0.25046099999995</f>
        <v>1719.4764860000007</v>
      </c>
      <c r="R341" s="3">
        <f>2243.5+(1194.7-1183)+(-2.28837+(-1.218594--1.20666))+0-553.9--0.564978000000088</f>
        <v>1699.564674</v>
      </c>
      <c r="S341" s="3">
        <f>2068.2+(1180.9-1028.8)+(-2.109564+(-1.204518--1.049376))+0-536.5--0.547230000000086</f>
        <v>1682.0825240000004</v>
      </c>
      <c r="T341" s="3">
        <f>2140.8+(1132.3-1169.8)+(-1.091808+(-0.577473--0.596598))+0-473--0.241229999999952</f>
        <v>1629.4685470000002</v>
      </c>
      <c r="U341" s="3">
        <f>2205.6+(1052.5-1092.1)+(-2.249712+(-1.07355--1.113942))+0-562.3--0.57354600000009</f>
        <v>1602.0642260000002</v>
      </c>
      <c r="V341" s="3">
        <f>2073.7+(1065.8-988.9)+(-7.403109+(-3.804906--3.530373))+0-525--1.87425000000001</f>
        <v>1619.7966079999999</v>
      </c>
      <c r="W341" s="3">
        <f>2137.8+(1079.6-1021.7)+(-1.090278+(-0.550596--0.521067))+0-520--0.265199999999947</f>
        <v>1674.8453929999998</v>
      </c>
      <c r="X341" s="3">
        <f>2868.1+(1191.7-1580.5)+(-4.388193+(-1.823301--2.418165))+0-567.5--0.868275000000033</f>
        <v>1908.8749460000001</v>
      </c>
      <c r="Y341" s="3">
        <f>3256.1+(1203.5-1937.2)+(-3.321222+(-1.22757--1.975944))+0-543.2--0.554064000000087</f>
        <v>1977.1812159999999</v>
      </c>
      <c r="Z341" s="3">
        <f>3266+(1146.4-1972)+(-4.99698+(-1.753992--3.01716))+0-488.3--0.747099000000028</f>
        <v>1949.1132870000001</v>
      </c>
      <c r="AA341" s="3">
        <f>3291.2+(1188.8-1972.7)+(0+(0-0))+0-629.3-0</f>
        <v>1877.9999999999998</v>
      </c>
      <c r="AB341" s="3">
        <f>3284.9+(1063.2-2050.1)+(-6.701196+(-2.168928--4.182204))+0-471.5--0.961859999999979</f>
        <v>1822.77394</v>
      </c>
      <c r="AC341" s="3">
        <f>2995.2+(965.5-1726.2)+(-7.63776+(-2.462025--4.40181))+0-489.2--1.24745999999993</f>
        <v>1740.8494849999997</v>
      </c>
      <c r="AD341">
        <f t="shared" si="5"/>
        <v>39995.181419</v>
      </c>
      <c r="AE341" s="3">
        <f>2830+(1255.1-1629.2)+(0+(0-0))+0-443-0</f>
        <v>2012.8999999999996</v>
      </c>
    </row>
    <row r="342" spans="1:31" customFormat="1" x14ac:dyDescent="0.25">
      <c r="A342">
        <v>89</v>
      </c>
      <c r="B342">
        <v>12</v>
      </c>
      <c r="C342">
        <v>6</v>
      </c>
      <c r="D342">
        <v>7</v>
      </c>
      <c r="E342">
        <v>1</v>
      </c>
      <c r="F342" s="3">
        <f>2045.3+(813-724.7)+(-2.086206+(-0.82926--0.739194))+0-527.5--0.538050000000084</f>
        <v>1604.4617779999999</v>
      </c>
      <c r="G342" s="3">
        <f>1417.1+(991.6-321.4)+(-0.722721+(-0.505716--0.163914))+0-587.1--0.29942099999994</f>
        <v>1499.4348980000002</v>
      </c>
      <c r="H342" s="3">
        <f>1415.3+(940-457.8)+(0+(0-0))+0-463.2-0</f>
        <v>1434.3</v>
      </c>
      <c r="I342" s="3">
        <f>1515.8+(933.1-439.5)+(2.319174+(1.427643-0.672435))+0-574.1-0.878373000000033</f>
        <v>1437.496009</v>
      </c>
      <c r="J342" s="3">
        <f>1530.2+(888.9-534.7)+(-3.90201+(-2.266695--1.363485))+0-501.5--1.27882499999993</f>
        <v>1379.373605</v>
      </c>
      <c r="K342" s="3">
        <f>1500.9+(885.7-371.6)+(2.296377+(1.355121-0.568548))+0-584-0.893520000000034</f>
        <v>1433.1894299999999</v>
      </c>
      <c r="L342" s="3">
        <f>1555.1+(851.8-386)+(-1.586202+(-0.868836--0.39372))+0-489.9--0.499698000000078</f>
        <v>1529.4383800000001</v>
      </c>
      <c r="M342" s="3">
        <f>1688.5+(831.6-347.5)+(0.861135+(0.424116-0.177225))+0-587-0.29936999999994</f>
        <v>1586.4086559999998</v>
      </c>
      <c r="N342" s="3">
        <f>1882.6+(732.9-545.8)+(-1.920252+(-0.747558--0.556716))+0-480--0.489600000000077</f>
        <v>1588.0785060000001</v>
      </c>
      <c r="O342" s="3">
        <f>2333+(744.9-963.3)+(1.18983+(0.379899-0.491283))+0-483.1-0.246380999999951</f>
        <v>1632.3320650000001</v>
      </c>
      <c r="P342" s="3">
        <f>2380.2+(878.5-1011.3)+(2.427804+(0.89607-1.031526))+0-569.9-0.581298000000091</f>
        <v>1679.2110499999994</v>
      </c>
      <c r="Q342" s="3">
        <f>2104.8+(952.4-891.2)+(-4.293792+(-1.942896--1.818048))+0-453.7--0.92554799999998</f>
        <v>1708.806908</v>
      </c>
      <c r="R342" s="3">
        <f>2055.5+(1013.1-819.3)+(-1.048305+(-0.516681--0.417843))+0-491.7--0.25076699999995</f>
        <v>1756.703624</v>
      </c>
      <c r="S342" s="3">
        <f>1826.7+(949.8-750.4)+(-5.589702+(-2.906388--2.296224))+0-391.5--1.19799000000005</f>
        <v>1629.5981240000001</v>
      </c>
      <c r="T342" s="3">
        <f>1890.7+(906.8-665.6)+(-1.928514+(-0.924936--0.678912))+0-547.6--0.558552000000087</f>
        <v>1582.6840140000002</v>
      </c>
      <c r="U342" s="3">
        <f>1757.4+(854.9-587.8)+(-5.377644+(-2.615994--1.798668))+0-398.4--1.21910400000005</f>
        <v>1621.1241339999999</v>
      </c>
      <c r="V342" s="3">
        <f>1970.9+(820.4-534)+(-2.010318+(-0.836808--0.54468))+0-639.7--0.652494000000102</f>
        <v>1615.9500480000002</v>
      </c>
      <c r="W342" s="3">
        <f>2213+(664.7-717.6)+(-1.12863+(-0.338997--0.365976))+0-485.3--0.247502999999951</f>
        <v>1673.9458520000001</v>
      </c>
      <c r="X342" s="3">
        <f>3129.3+(674.3-1509.6)+(-4.787829+(-1.031679--2.309688))+0-543.9--0.832167000000031</f>
        <v>1747.4223469999997</v>
      </c>
      <c r="Y342" s="3">
        <f>3353.9+(752.6-1717.8)+(1.710489+(0.383826-0.876078))+0-548.4-0.279683999999944</f>
        <v>1841.2385530000004</v>
      </c>
      <c r="Z342" s="3">
        <f>2941+(813.1-1547.3)+(-4.49973+(-1.244043--2.367369))+0-475.6--0.727668000000028</f>
        <v>1728.5512640000002</v>
      </c>
      <c r="AA342" s="3">
        <f>3039.3+(865.5-1415.8)+(1.550043+(0.441405-0.722058))+0-579.1-0.295340999999941</f>
        <v>1910.874049</v>
      </c>
      <c r="AB342" s="3">
        <f>1916.2+(999-853.1)+(-1.954524+(-1.01898--0.870162))+0-426.6--0.435132000000068</f>
        <v>1633.8317900000002</v>
      </c>
      <c r="AC342" s="3">
        <f>1520.2+(1263.5-540.6)+(-3.101208+(-2.57754--1.102824))+0-550--1.12199999999998</f>
        <v>1689.6460759999998</v>
      </c>
      <c r="AD342">
        <f t="shared" si="5"/>
        <v>38944.101159999998</v>
      </c>
      <c r="AE342" s="3">
        <f>3387.2+(955.7-1702.3)+(0+(0-0))+0-497.9-0</f>
        <v>2142.6999999999998</v>
      </c>
    </row>
    <row r="343" spans="1:31" customFormat="1" x14ac:dyDescent="0.25">
      <c r="A343">
        <v>89</v>
      </c>
      <c r="B343">
        <v>12</v>
      </c>
      <c r="C343">
        <v>7</v>
      </c>
      <c r="D343">
        <v>1</v>
      </c>
      <c r="E343">
        <v>1</v>
      </c>
      <c r="F343" s="3">
        <f>1447.9+(1184.7-587.7)+(-1.476858+(-1.208394--0.599454))+0-490.2--0.500004000000078</f>
        <v>1553.114206</v>
      </c>
      <c r="G343" s="3">
        <f>1485.8+(1069-538.7)+(-1.515516+(-1.09038--0.549474))+0-544.6--0.555492000000087</f>
        <v>1469.9990700000001</v>
      </c>
      <c r="H343" s="3">
        <f>1463.9+(1008.5-476.2)+(2.986356+(2.05734-0.971448))+0-585.6-1.19462399999997</f>
        <v>1413.4776239999999</v>
      </c>
      <c r="I343" s="3">
        <f>1583.3+(973.8-615.9)+(-1.614966+(-0.993276--0.628218))+0-531.3--0.541926000000085</f>
        <v>1408.461902</v>
      </c>
      <c r="J343" s="3">
        <f>1481+(981.8-498.5)+(4.53186+(3.004308-1.52541))+0-570.8-1.74664800000007</f>
        <v>1397.7641099999998</v>
      </c>
      <c r="K343" s="3">
        <f>1395.6+(1017.1-443.3)+(0.711756+(0.518721-0.226083))+0-532.8-0.271727999999946</f>
        <v>1437.332666</v>
      </c>
      <c r="L343" s="3">
        <f>1384+(1099.2-369.5)+(2.11752+(1.681776-0.565335))+0-570.1-0.872253000000033</f>
        <v>1545.9617079999998</v>
      </c>
      <c r="M343" s="3">
        <f>1594.9+(1098.5-515.6)+(4.066995+(2.801175-1.31478))+0-548-1.39739999999992</f>
        <v>1633.9559900000004</v>
      </c>
      <c r="N343" s="3">
        <f>2221.8+(930-1008)+(1.133118+(0.4743-0.51408))+0-472.9-0.241178999999952</f>
        <v>1671.7521590000003</v>
      </c>
      <c r="O343" s="3">
        <f>2555.9+(966-1309.5)+(1.303509+(0.49266-0.667845))+0-466-0.237659999999953</f>
        <v>1747.2906639999999</v>
      </c>
      <c r="P343" s="3">
        <f>2774.7+(1015.9-1549.2)+(4.245291+(1.554327-2.370276))+0-470-0.719100000000027</f>
        <v>1774.1102419999995</v>
      </c>
      <c r="Q343" s="3">
        <f>2720.8+(1080.5-1500.6)+(-1.387608+(-0.551055--0.765306))+0-527--0.268769999999947</f>
        <v>1772.7954130000001</v>
      </c>
      <c r="R343" s="3">
        <f>2102.5+(1141.8-1089.4)+(-1.072275+(-0.582318--0.555594))+0-414.2--0.211241999999958</f>
        <v>1739.8122429999996</v>
      </c>
      <c r="S343" s="3">
        <f>1877.3+(1093.5-756.6)+(-2.872269+(-1.673055--1.157598))+0-510.6--0.78121800000003</f>
        <v>1700.9934920000001</v>
      </c>
      <c r="T343" s="3">
        <f>1835.1+(1034.9-635.9)+(0+(0-0))+0-551.8-0</f>
        <v>1682.3</v>
      </c>
      <c r="U343" s="3">
        <f>1658.6+(835.5-576.9)+(-1.691772+(-0.85221--0.588438))+0-357.9--0.365058000000057</f>
        <v>1557.7095139999999</v>
      </c>
      <c r="V343" s="3">
        <f>1722.5+(913.4-428.9)+(0+(0-0))+0-548.7-0</f>
        <v>1658.3</v>
      </c>
      <c r="W343" s="3">
        <f>1956+(955.5-684.5)+(-3.99024+(-1.94922--1.39638))+0-488.1--0.995723999999979</f>
        <v>1735.3526440000001</v>
      </c>
      <c r="X343" s="3">
        <f>2808.2+(1091-1486)+(-7.16091+(-2.78205--3.7893))+0-433.4--1.10516999999994</f>
        <v>1974.7515099999998</v>
      </c>
      <c r="Y343" s="3">
        <f>2734.3+(1218.2-1360.4)+(-4.183479+(-1.863846--2.081412))+0-543.9--0.832167000000031</f>
        <v>2045.0662540000003</v>
      </c>
      <c r="Z343" s="3">
        <f>2621.8+(1222.5-1410.4)+(-1.337118+(-0.623475--0.719304))+0-435.4--0.222053999999956</f>
        <v>1997.4807649999998</v>
      </c>
      <c r="AA343" s="3">
        <f>2370.1+(1259.2-1163.2)+(-2.417502+(-1.284384--1.186464))+0-520.1--0.530502000000083</f>
        <v>1944.0150800000001</v>
      </c>
      <c r="AB343" s="3">
        <f>1976.7+(1198.2-925)+(-5.040585+(-3.05541--2.35875))+0-406.9--1.03759499999994</f>
        <v>1838.3003500000002</v>
      </c>
      <c r="AC343" s="3">
        <f>1866.6+(1169.1-897.1)+(-3.807864+(-2.384964--1.830084))+0-418.6--0.853943999999982</f>
        <v>1716.4911999999999</v>
      </c>
      <c r="AD343">
        <f t="shared" si="5"/>
        <v>40416.588805999985</v>
      </c>
      <c r="AE343" s="3">
        <f>2990+(1159.5-1600.7)+(0+(0-0))+0-497.7-0</f>
        <v>2051.1000000000004</v>
      </c>
    </row>
    <row r="344" spans="1:31" customFormat="1" x14ac:dyDescent="0.25">
      <c r="A344">
        <v>89</v>
      </c>
      <c r="B344">
        <v>12</v>
      </c>
      <c r="C344">
        <v>8</v>
      </c>
      <c r="D344">
        <v>2</v>
      </c>
      <c r="E344">
        <v>1</v>
      </c>
      <c r="F344" s="3">
        <f>1726.7+(1127-850.5)+(-0.880617+(-0.57477--0.433755))+0-426.2--0.217361999999957</f>
        <v>1576.1957299999999</v>
      </c>
      <c r="G344" s="3">
        <f>1683.2+(1038.6-769)+(0+(0-0))+0-483.4-0</f>
        <v>1469.4</v>
      </c>
      <c r="H344" s="3">
        <f>1668.1+(928.3-675.7)+(-2.552193+(-1.420299--1.033821))+0-498.3--0.762399000000029</f>
        <v>1420.2237279999997</v>
      </c>
      <c r="I344" s="3">
        <f>1603.3+(915.7-627.8)+(-2.453049+(-1.401021--0.960534))+0-493.9--0.755667000000029</f>
        <v>1395.1621310000003</v>
      </c>
      <c r="J344" s="3">
        <f>1649.9+(899.9-692.8)+(-0.841449+(-0.458949--0.353328))+0-461.1--0.235160999999953</f>
        <v>1395.188091</v>
      </c>
      <c r="K344" s="3">
        <f>1804.2+(896.7-749.3)+(0.920142+(0.457317-0.382143))+0-512.7-0.261476999999948</f>
        <v>1439.6338390000001</v>
      </c>
      <c r="L344" s="3">
        <f>1687.9+(957.2-648.1)+(-1.721658+(-0.976344--0.661062))+0-457.5--0.466650000000073</f>
        <v>1537.9297100000001</v>
      </c>
      <c r="M344" s="3">
        <f>1752+(924.7-594.9)+(-0.89352+(-0.471597--0.303399))+0-479.2--0.244391999999951</f>
        <v>1601.7826740000003</v>
      </c>
      <c r="N344" s="3">
        <f>2097.5+(868.1-974.2)+(-2.13945+(-0.885462--0.993684))+0-356.3--0.363426000000057</f>
        <v>1633.4321980000002</v>
      </c>
      <c r="O344" s="3">
        <f>2389.6+(895.6-1104.5)+(2.437392+(0.913512-1.12659))+0-356.3-0.363426000000057</f>
        <v>1826.2608879999998</v>
      </c>
      <c r="P344" s="3">
        <f>2604.6+(943.5-1467.5)+(-5.313384+(-1.92474--2.9937))+0-368.4--0.751535999999984</f>
        <v>1708.7071119999998</v>
      </c>
      <c r="Q344" s="3">
        <f>2799.4+(889.3-1623)+(-4.283082+(-1.360629--2.48319))+0-334.7--0.512091000000019</f>
        <v>1728.35157</v>
      </c>
      <c r="R344" s="3">
        <f>2515+(905.7-1242.6)+(-7.6959+(-2.771442--3.802356))+0-305--0.933300000000035</f>
        <v>1867.3683140000003</v>
      </c>
      <c r="S344" s="3">
        <f>2180.3+(856.7-1062.7)+(-3.335859+(-1.310751--1.625931))+0-523--0.80019000000003</f>
        <v>1449.0795110000001</v>
      </c>
      <c r="T344" s="3">
        <f>2211.5+(883.1-1014)+(-3.383595+(-1.351143--1.55142))+0-434.1--0.664173000000025</f>
        <v>1643.9808550000002</v>
      </c>
      <c r="U344" s="3">
        <f>2169+(831.4-962)+(-2.21238+(-0.848028--0.98124))+0-349.1--0.356082000000056</f>
        <v>1687.576914</v>
      </c>
      <c r="V344" s="3">
        <f>2137.6+(843.2-851.1)+(-6.541056+(-2.580192--2.604366))+0-484.3--1.48195800000006</f>
        <v>1640.365076</v>
      </c>
      <c r="W344" s="3">
        <f>2408+(781.7-1088.5)+(-3.68424+(-1.196001--1.665405))+0-366.2--0.560286000000021</f>
        <v>1732.3454499999998</v>
      </c>
      <c r="X344" s="3">
        <f>3553.5+(780-2029)+(-3.62457+(-0.7956--2.06958))+0-442.4--0.451248000000071</f>
        <v>1860.200658</v>
      </c>
      <c r="Y344" s="3">
        <f>3819.9+(920.9-2268.5)+(-11.688894+(-2.817954--6.94161))+0-433.4--1.32620400000005</f>
        <v>2032.6609659999999</v>
      </c>
      <c r="Z344" s="3">
        <f>3280.4+(1077.7-1935.2)+(-3.346008+(-1.099254--1.973904))+0-450.8--0.459816000000072</f>
        <v>1970.0884580000004</v>
      </c>
      <c r="AA344" s="3">
        <f>3163+(1157.7-1892.5)+(-4.83939+(-1.771281--2.895525))+0-503.7--0.770661000000029</f>
        <v>1921.5555149999998</v>
      </c>
      <c r="AB344" s="3">
        <f>2906.7+(1173.3-1802.3)+(-7.412085+(-2.991915--4.595865))+0-446.4--1.13831999999994</f>
        <v>1826.6301849999995</v>
      </c>
      <c r="AC344" s="3">
        <f>2472.5+(1126.7-1429)+(-6.304875+(-2.873085--3.64395))+0-463.5--1.18192499999993</f>
        <v>1702.3479149999998</v>
      </c>
      <c r="AD344">
        <f t="shared" si="5"/>
        <v>40066.467488000009</v>
      </c>
      <c r="AE344" s="3">
        <f>3749+(848.5-2369.6)+(0+(0-0))+0-469.7-0</f>
        <v>1758.2</v>
      </c>
    </row>
    <row r="345" spans="1:31" customFormat="1" x14ac:dyDescent="0.25">
      <c r="A345">
        <v>89</v>
      </c>
      <c r="B345">
        <v>12</v>
      </c>
      <c r="C345">
        <v>9</v>
      </c>
      <c r="D345">
        <v>3</v>
      </c>
      <c r="E345">
        <v>1</v>
      </c>
      <c r="F345" s="3">
        <f>2071.5+(1038.1-1060.6)+(0+(0-0))+0-455.6-0</f>
        <v>1593.4</v>
      </c>
      <c r="G345" s="3">
        <f>1977.3+(771.6-797.4)+(0+(0-0))+0-453-0</f>
        <v>1498.5</v>
      </c>
      <c r="H345" s="3">
        <f>1958.1+(683.2-814)+(0+(0-0))+0-370.8-0</f>
        <v>1456.5</v>
      </c>
      <c r="I345" s="3">
        <f>1870.9+(704.7-650.4)+(0+(0-0))+0-489.3-0</f>
        <v>1435.9000000000003</v>
      </c>
      <c r="J345" s="3">
        <f>1921.5+(692.1-744.1)+(0+(0-0))+0-446-0</f>
        <v>1423.5</v>
      </c>
      <c r="K345" s="3">
        <f>1931.7+(679-663.8)+(0+(0-0))+0-478.8-0</f>
        <v>1468.1000000000001</v>
      </c>
      <c r="L345" s="3">
        <f>1862+(705.5-536.3)+(0+(0-0))+0-442-0</f>
        <v>1589.2</v>
      </c>
      <c r="M345" s="3">
        <f>2243.4+(632.9-723)+(0+(0-0))+0-480.4-0</f>
        <v>1672.9</v>
      </c>
      <c r="N345" s="3">
        <f>2262.6+(718.5-894.3)+(0+(0-0))+0-376.1-0</f>
        <v>1710.7000000000003</v>
      </c>
      <c r="O345" s="3">
        <f>2504.3+(895.2-1219.1)+(0+(0-0))+0-467.1-0</f>
        <v>1713.3000000000006</v>
      </c>
      <c r="P345" s="3">
        <f>2767.6+(814.7-1471.2)+(-2.822952+(-0.830994--1.500624))+0-374.1--0.38158200000006</f>
        <v>1735.2282599999999</v>
      </c>
      <c r="Q345" s="3">
        <f>2712.7+(825.7-1357.9)+(-4.150431+(-1.263321--2.077587))+0-411.6--0.629748000000024</f>
        <v>1766.193583</v>
      </c>
      <c r="R345" s="3">
        <f>2393.9+(861.2-1052.9)+(-4.883556+(-1.756848--2.147916))+0-433.5--0.884339999999981</f>
        <v>1765.091852</v>
      </c>
      <c r="S345" s="3">
        <f>2381.7+(824.8-958.4)+(-4.858668+(-1.682592--1.955136))+0-403.9--0.823955999999982</f>
        <v>1840.4378319999998</v>
      </c>
      <c r="T345" s="3">
        <f>2383.8+(617.9-989.4)+(-1.215738+(-0.315129--0.504594))+0-332.2--0.169421999999966</f>
        <v>1679.2431490000001</v>
      </c>
      <c r="U345" s="3">
        <f>2190.1+(759-838.8)+(0+(0-0))+0-479.1-0</f>
        <v>1631.2000000000003</v>
      </c>
      <c r="V345" s="3">
        <f>2068.7+(747.8-882.5)+(-6.330222+(-2.288268--2.70045))+0-311.2--0.952272000000036</f>
        <v>1617.8342319999997</v>
      </c>
      <c r="W345" s="3">
        <f>2206.7+(720.3-811.1)+(-5.627085+(-1.836765--2.068305))+0-457.2--1.16585999999993</f>
        <v>1654.4703149999996</v>
      </c>
      <c r="X345" s="3">
        <f>3150.7+(891.1-1627.5)+(-6.427428+(-1.817844--3.3201))+0-429.1--0.875363999999981</f>
        <v>1981.1501919999996</v>
      </c>
      <c r="Y345" s="3">
        <f>3354.8+(985.6-1840.8)+(-5.132844+(-1.507968--2.816424))+0-455--0.696150000000026</f>
        <v>2041.4717620000004</v>
      </c>
      <c r="Z345" s="3">
        <f>3725+(968.2-2240.2)+(-11.3985+(-2.962692--6.855012))+0-473.1--1.44768600000005</f>
        <v>1973.8415060000002</v>
      </c>
      <c r="AA345" s="3">
        <f>3816.5+(832.1-2345)+(-1.946415+(-0.424371--1.19595))+0-370.9--0.189158999999962</f>
        <v>1931.7143229999997</v>
      </c>
      <c r="AB345" s="3">
        <f>3455.2+(734.7-1948.5)+(-7.048608+(-1.498788--3.97494))+0-449.2--0.91636799999998</f>
        <v>1788.5439119999996</v>
      </c>
      <c r="AC345" s="3">
        <f>3046.6+(805.1-1724.2)+(-10.876362+(-2.874207--6.155394))+0-439--1.56723000000001</f>
        <v>1682.4720550000002</v>
      </c>
      <c r="AD345">
        <f t="shared" si="5"/>
        <v>40650.892973000002</v>
      </c>
      <c r="AE345" s="3">
        <f>3291+(965-1907.8)+(0+(0-0))+0-421-0</f>
        <v>1927.1999999999998</v>
      </c>
    </row>
    <row r="346" spans="1:31" customFormat="1" x14ac:dyDescent="0.25">
      <c r="A346">
        <v>89</v>
      </c>
      <c r="B346">
        <v>12</v>
      </c>
      <c r="C346">
        <v>10</v>
      </c>
      <c r="D346">
        <v>4</v>
      </c>
      <c r="E346">
        <v>1</v>
      </c>
      <c r="F346" s="3">
        <f>2819+(840.4-1634.4)+(-5.75076+(-1.714416--3.334176))+0-380.8--0.776831999999983</f>
        <v>1640.845832</v>
      </c>
      <c r="G346" s="3">
        <f>2115.5+(922.2-1056.1)+(-3.236715+(-1.410966--1.615833))+0-468.7--0.717111000000027</f>
        <v>1510.5852629999999</v>
      </c>
      <c r="H346" s="3">
        <f>2004+(951.9-1034.7)+(-4.08816+(-1.941876--2.110788))+0-459.1--0.93656399999998</f>
        <v>1459.1173159999998</v>
      </c>
      <c r="I346" s="3">
        <f>1988.8+(885.2-1050)+(-5.07144+(-2.25726--2.6775))+0-415.2--1.05875999999994</f>
        <v>1405.2075599999998</v>
      </c>
      <c r="J346" s="3">
        <f>1921.8+(887.9-920.2)+(0+(0-0))+0-458.5-0</f>
        <v>1431</v>
      </c>
      <c r="K346" s="3">
        <f>1856.6+(851.8-823.6)+(-2.840598+(-1.303254--1.260108))+0-435.5--0.666315000000025</f>
        <v>1447.0825709999997</v>
      </c>
      <c r="L346" s="3">
        <f>1843.8+(781.7-594.8)+(-2.821014+(-1.196001--0.910044))+0-439.1--0.671823000000025</f>
        <v>1589.1648520000003</v>
      </c>
      <c r="M346" s="3">
        <f>2020+(828.3-775.3)+(0+(0-0))+0-409.9-0</f>
        <v>1663.1</v>
      </c>
      <c r="N346" s="3">
        <f>2398.7+(937.3-1240.3)+(1.223337+(0.478023-0.632553))+0-475.5-0.242504999999952</f>
        <v>1621.026302</v>
      </c>
      <c r="O346" s="3">
        <f>2557.8+(912.6-1604.9)+(-1.304478+(-0.465426--0.818499))+0-335.9--0.171308999999966</f>
        <v>1528.8199040000002</v>
      </c>
      <c r="P346" s="3">
        <f>2835.4+(880-1629.2)+(0+(0-0))+0-390-0</f>
        <v>1696.1999999999998</v>
      </c>
      <c r="Q346" s="3">
        <f>2894.6+(883.5-1763.4)+(-2.952492+(-0.90117--1.798668))+0-367.2--0.374544000000059</f>
        <v>1645.8195499999997</v>
      </c>
      <c r="R346" s="3">
        <f>2877.4+(900.4-1665.3)+(-7.33737+(-2.29602--4.246515))+0-445.5--1.13602499999994</f>
        <v>1662.7491499999999</v>
      </c>
      <c r="S346" s="3">
        <f>2993.8+(819.2-1769.3)+(1.526838+(0.417792-0.902343))+0-355-0.181049999999964</f>
        <v>1689.5612370000003</v>
      </c>
      <c r="T346" s="3">
        <f>2906.5+(842.5-1617.1)+(-2.96463+(-0.85935--1.649442))+0-431.1--0.439722000000069</f>
        <v>1699.065184</v>
      </c>
      <c r="U346" s="3">
        <f>2770.2+(839.6-1595.5)+(0+(0-0))+0-340.9-0</f>
        <v>1673.3999999999996</v>
      </c>
      <c r="V346" s="3">
        <f>2625.7+(910.9-1334.3)+(-2.678214+(-0.929118--1.360986))+0-531.6--0.542232000000085</f>
        <v>1668.9958859999999</v>
      </c>
      <c r="W346" s="3">
        <f>2689+(824.1-1456.5)+(-2.74278+(-0.840582--1.48563))+0-279.2--0.284784000000045</f>
        <v>1775.5870519999996</v>
      </c>
      <c r="X346" s="3">
        <f>4139.3+(655.5-2480.1)+(-6.333129+(-1.002915--3.794553))+0-352.5--0.53932500000002</f>
        <v>1959.1978340000003</v>
      </c>
      <c r="Y346" s="3">
        <f>4140.8+(750.4-2370.1)+(-6.335424+(-1.148112--3.626253))+0-434.7--0.665091000000025</f>
        <v>2083.2078080000006</v>
      </c>
      <c r="Z346" s="3">
        <f>3515.7+(833.1-1888.3)+(-3.586014+(-0.849762--1.926066))+0-432.2--0.440844000000069</f>
        <v>2026.2311340000001</v>
      </c>
      <c r="AA346" s="3">
        <f>3092.8+(880.6-1730.9)+(-6.309312+(-1.796424--3.531036))+0-284.5--0.580379999999988</f>
        <v>1954.0056799999998</v>
      </c>
      <c r="AB346" s="3">
        <f>2572.5+(982.5-1200.1)+(-7.87185+(-3.00645--3.672306))+0-518.8--1.58752800000006</f>
        <v>1830.4815340000002</v>
      </c>
      <c r="AC346" s="3">
        <f>2164.2+(959.8-1126.3)+(-2.207484+(-0.978996--1.148826))+0-417.7--0.426054000000067</f>
        <v>1578.3883999999998</v>
      </c>
      <c r="AD346">
        <f t="shared" si="5"/>
        <v>40238.840049000006</v>
      </c>
      <c r="AE346" s="3">
        <f>4297+(729.1-2508.2)+(0+(0-0))+0-388.9-0</f>
        <v>2129</v>
      </c>
    </row>
    <row r="347" spans="1:31" customFormat="1" x14ac:dyDescent="0.25">
      <c r="A347">
        <v>89</v>
      </c>
      <c r="B347">
        <v>12</v>
      </c>
      <c r="C347">
        <v>11</v>
      </c>
      <c r="D347">
        <v>5</v>
      </c>
      <c r="E347">
        <v>1</v>
      </c>
      <c r="F347" s="3">
        <f>2224.1+(1101.4-1154.3)+(-4.537164+(-2.246856--2.354772))+0-501.8--1.02367199999998</f>
        <v>1665.994424</v>
      </c>
      <c r="G347" s="3">
        <f>2206.8+(966.6-1198.5)+(-4.501872+(-1.971864--2.44494))+0-440.8--0.899231999999981</f>
        <v>1530.9704360000001</v>
      </c>
      <c r="H347" s="3">
        <f>2033.6+(955.2-1041.8)+(-2.074272+(-0.974304--1.062636))+0-462.4--0.471648000000074</f>
        <v>1483.0857080000001</v>
      </c>
      <c r="I347" s="3">
        <f>1910.5+(955.6-968)+(-1.94871+(-0.974712--0.98736))+0-435.2--0.443904000000069</f>
        <v>1461.4078419999998</v>
      </c>
      <c r="J347" s="3">
        <f>1875.7+(957.4-890.6)+(2.869821+(1.464822-1.362618))+0-504-0.771120000000029</f>
        <v>1440.7009049999999</v>
      </c>
      <c r="K347" s="3">
        <f>1983.4+(880.4-928.1)+(-2.023068+(-0.898008--0.946662))+0-452.9--0.461958000000072</f>
        <v>1481.287544</v>
      </c>
      <c r="L347" s="3">
        <f>1982+(851.8-733.9)+(0+(0-0))+0-516.4-0</f>
        <v>1583.5</v>
      </c>
      <c r="M347" s="3">
        <f>2123.9+(840.2-843.2)+(1.083189+(0.428502-0.430032))+0-435.4-0.222053999999956</f>
        <v>1686.3596050000001</v>
      </c>
      <c r="N347" s="3">
        <f>2195.6+(1043.6-1069)+(-1.119756+(-0.532236--0.54519))+0-471.5--0.240464999999952</f>
        <v>1697.8336629999999</v>
      </c>
      <c r="O347" s="3">
        <f>2903.9+(1047.8-1664.7)+(2.961978+(1.068756-1.697994))+0-485.7-0.495414000000077</f>
        <v>1803.1373259999998</v>
      </c>
      <c r="P347" s="3">
        <f>3257.8+(930.1-2079.1)+(-1.661478+(-0.474351--1.060341))+0-378--0.192779999999962</f>
        <v>1729.9172920000001</v>
      </c>
      <c r="Q347" s="3">
        <f>3281.8+(945.9-2104.7)+(-3.347436+(-0.964818--2.146794))+0-330.4--0.337008000000053</f>
        <v>1790.7715480000002</v>
      </c>
      <c r="R347" s="3">
        <f>2918.6+(1050.8-1906.2)+(-2.976972+(-1.071816--1.944324))+0-357.1--0.364242000000057</f>
        <v>1704.359778</v>
      </c>
      <c r="S347" s="3">
        <f>2856.8+(1030.9-1726.9)+(-1.456968+(-0.525759--0.880719))+0-389--0.198389999999961</f>
        <v>1770.8963820000004</v>
      </c>
      <c r="T347" s="3">
        <f>2939.9+(966.1-1744.7)+(-2.998698+(-0.985422--1.779594))+0-480.7--0.490314000000077</f>
        <v>1678.8857880000003</v>
      </c>
      <c r="U347" s="3">
        <f>2785.8+(776.2-1516.3)+(2.841516+(0.791724-1.546626))+0-432-0.440640000000069</f>
        <v>1615.3459740000003</v>
      </c>
      <c r="V347" s="3">
        <f>2747.7+(818.9-1403.6)+(-5.605308+(-1.670556--2.863344))+0-483.9--0.987155999999979</f>
        <v>1675.674636</v>
      </c>
      <c r="W347" s="3">
        <f>2753.2+(850.4-1447.7)+(-5.616528+(-1.734816--2.953308))+0-430.7--0.878627999999981</f>
        <v>1721.6805919999995</v>
      </c>
      <c r="X347" s="3">
        <f>3194.8+(935.1-1714.3)+(-6.517392+(-1.907604--3.497172))+0-405.4--0.827015999999982</f>
        <v>2006.0991920000004</v>
      </c>
      <c r="Y347" s="3">
        <f>3072.5+(1014.8-1583.1)+(-7.834875+(-2.58774--4.036905))+0-420.9--1.07329499999994</f>
        <v>2077.9875849999999</v>
      </c>
      <c r="Z347" s="3">
        <f>2852.1+(1045.2-1461.9)+(-8.727426+(-3.198312--4.473414))+0-419.5--1.28367000000005</f>
        <v>2009.7313459999998</v>
      </c>
      <c r="AA347" s="3">
        <f>2867.5+(942.2-1422.4)+(-1.462425+(-0.480522--0.725424))+0-435--0.221849999999956</f>
        <v>1951.3043270000003</v>
      </c>
      <c r="AB347" s="3">
        <f>2775+(1013.9-1491.4)+(-5.661+(-2.068356--3.042456))+0-411.8--0.840071999999982</f>
        <v>1881.8531719999999</v>
      </c>
      <c r="AC347" s="3">
        <f>2444.9+(1120-1296.9)+(-6.234495+(-2.856--3.307095))+0-503.2--1.28315999999993</f>
        <v>1760.2997600000001</v>
      </c>
      <c r="AD347">
        <f t="shared" si="5"/>
        <v>41209.084825000005</v>
      </c>
      <c r="AE347" s="3">
        <f>3416.1+(944.8-1797.8)+(0+(0-0))+0-488.7-0</f>
        <v>2074.4</v>
      </c>
    </row>
    <row r="348" spans="1:31" customFormat="1" x14ac:dyDescent="0.25">
      <c r="A348">
        <v>89</v>
      </c>
      <c r="B348">
        <v>12</v>
      </c>
      <c r="C348">
        <v>12</v>
      </c>
      <c r="D348">
        <v>6</v>
      </c>
      <c r="E348">
        <v>1</v>
      </c>
      <c r="F348" s="3">
        <f>2156.2+(1184.6-1235)+(-5.49831+(-3.02073--3.14925))+0-507.4--1.29386999999993</f>
        <v>1594.3240799999994</v>
      </c>
      <c r="G348" s="3">
        <f>2012.7+(1093.6-1060.9)+(-3.079431+(-1.673208--1.623177))+0-536.5--0.820845000000031</f>
        <v>1506.5913829999997</v>
      </c>
      <c r="H348" s="3">
        <f>1868.9+(1061-929.8)+(-0.953139+(-0.54111--0.474198))+0-528.6--0.269585999999946</f>
        <v>1470.7495349999999</v>
      </c>
      <c r="I348" s="3">
        <f>1789+(1072-864.6)+(-4.56195+(-2.7336--2.20473))+0-552.1--1.40785499999992</f>
        <v>1440.6170350000002</v>
      </c>
      <c r="J348" s="3">
        <f>1767.5+(1072.5-853.3)+(4.507125+(2.734875-2.175915))+0-563.9-1.43794499999992</f>
        <v>1426.4281400000002</v>
      </c>
      <c r="K348" s="3">
        <f>1933.4+(1126.9-1002.3)+(1.972068+(1.149438-1.022346))+0-533.2-0.543864000000085</f>
        <v>1526.3552960000002</v>
      </c>
      <c r="L348" s="3">
        <f>2224.4+(1034.9-1116.7)+(-1.134444+(-0.527799--0.569517))+0-592.8--0.30232799999994</f>
        <v>1549.0096020000005</v>
      </c>
      <c r="M348" s="3">
        <f>2356+(1116.6-1227.4)+(1.20156+(0.569466-0.625974))+5-568.2-0.289781999999942</f>
        <v>1682.8552699999998</v>
      </c>
      <c r="N348" s="3">
        <f>2334.9+(1219.1-1393.3)+(2.381598+(1.243482-1.421166))+10-516.3-0.526626000000082</f>
        <v>1656.077288</v>
      </c>
      <c r="O348" s="3">
        <f>3023.2+(1128.6-1818)+(0+(0-0))+10-636.2-0</f>
        <v>1707.5999999999997</v>
      </c>
      <c r="P348" s="3">
        <f>3297.5+(1109.1-2235.1)+(3.36345+(1.131282-2.279802))+5-592.2-0.604044000000095</f>
        <v>1585.9108859999999</v>
      </c>
      <c r="Q348" s="3">
        <f>3313.7+(1218-2209.1)+(1.689987+(0.62118-1.126641))+0-685.2-0.349451999999931</f>
        <v>1638.2350739999999</v>
      </c>
      <c r="R348" s="3">
        <f>2956.4+(1261.1-1862.8)+(-3.015528+(-1.286322--1.900056))+0-591.8--0.603636000000094</f>
        <v>1761.101842</v>
      </c>
      <c r="S348" s="3">
        <f>2837.3+(1075.7-1648.4)+(-8.682138+(-3.291642--5.044104))+0-437.8--1.33966800000005</f>
        <v>1821.2099920000003</v>
      </c>
      <c r="T348" s="3">
        <f>2605.5+(1037.4-1512.5)+(-5.31522+(-2.116296--3.0855))+0-678.8--1.38475199999997</f>
        <v>1448.6387360000001</v>
      </c>
      <c r="U348" s="3">
        <f>2741.7+(996-1704.4)+(0+(0-0))+0-517.8-0</f>
        <v>1515.4999999999998</v>
      </c>
      <c r="V348" s="3">
        <f>2506.5+(1045.5-1387.2)+(-2.55663+(-1.06641--1.414944))+0-574.8--0.586296000000092</f>
        <v>1588.3782000000006</v>
      </c>
      <c r="W348" s="3">
        <f>2439+(1126-1291.1)+(1.24389+(0.57426-0.658461))+0-557.3-0.284222999999943</f>
        <v>1717.4754660000003</v>
      </c>
      <c r="X348" s="3">
        <f>2948.7+(1176.8-1579.1)+(-1.503837+(-0.600168--0.805341))+0-500.7--0.255356999999949</f>
        <v>2044.6566929999997</v>
      </c>
      <c r="Y348" s="3">
        <f>3174.2+(1257.3-1815.4)+(-9.713052+(-3.847338--5.555124))+0-555.8--1.70074800000006</f>
        <v>2053.9954819999994</v>
      </c>
      <c r="Z348" s="3">
        <f>3117.6+(1293.1-1911.1)+(-3.179952+(-1.318962--1.949322))+0-502.7--0.51275400000008</f>
        <v>1994.8631620000001</v>
      </c>
      <c r="AA348" s="3">
        <f>3315.4+(1153.3-1917.6)+(-5.072562+(-1.764549--2.933928))+0-545.6--0.834768000000032</f>
        <v>2002.4315850000005</v>
      </c>
      <c r="AB348" s="3">
        <f>3163+(1186.1-1955.8)+(-8.06565+(-3.024555--4.98729))+0-505.9--1.29004499999993</f>
        <v>1882.5871300000001</v>
      </c>
      <c r="AC348" s="3">
        <f>2717.6+(1302.4-1673)+(-6.92988+(-3.32112--4.26615))+0-568.1--1.44865499999992</f>
        <v>1774.3638050000002</v>
      </c>
      <c r="AD348">
        <f t="shared" si="5"/>
        <v>40389.955682</v>
      </c>
      <c r="AE348" s="3">
        <f>3344.2+(1118.2-1728.4)+(0+(0-0))+0-628.1-0</f>
        <v>2105.9</v>
      </c>
    </row>
    <row r="349" spans="1:31" customFormat="1" x14ac:dyDescent="0.25">
      <c r="A349">
        <v>89</v>
      </c>
      <c r="B349">
        <v>12</v>
      </c>
      <c r="C349">
        <v>13</v>
      </c>
      <c r="D349">
        <v>7</v>
      </c>
      <c r="E349">
        <v>1</v>
      </c>
      <c r="F349" s="3">
        <f>1845.7+(1399.1-1099.2)+(-4.706535+(-3.567705--2.80296))+0-447.1--1.14010499999994</f>
        <v>1694.1688249999997</v>
      </c>
      <c r="G349" s="3">
        <f>1782.9+(1343.5-1139.7)+(-2.727837+(-2.055555--1.743741))+0-411.4--0.629442000000024</f>
        <v>1572.8897910000001</v>
      </c>
      <c r="H349" s="3">
        <f>1774.5+(1378.9-1164.5)+(-3.61998+(-2.812956--2.37558))+0-508.5--1.03733999999998</f>
        <v>1477.3799840000001</v>
      </c>
      <c r="I349" s="3">
        <f>1880.6+(1261.9-1229.2)+(2.877318+(1.930707-1.880676))+0-418.1-0.639693000000024</f>
        <v>1497.4876559999998</v>
      </c>
      <c r="J349" s="3">
        <f>1997.8+(1198.7-1147.6)+(1.018878+(0.611337-0.585276))+0-571.8-0.291617999999942</f>
        <v>1477.8533210000001</v>
      </c>
      <c r="K349" s="3">
        <f>1996.4+(1178.3-1158.3)+(2.036328+(1.201866-1.181466))+0-486-0.495720000000077</f>
        <v>1531.961008</v>
      </c>
      <c r="L349" s="3">
        <f>1775.4+(1296.9-865.5)+(-3.621816+(-2.645676--1.76562))+0-615.4--1.25541599999997</f>
        <v>1588.1535440000002</v>
      </c>
      <c r="M349" s="3">
        <f>1834.9+(1209.2-781.8)+(0.935799+(0.616692-0.398718))+0-560-0.285599999999943</f>
        <v>1703.1681730000003</v>
      </c>
      <c r="N349" s="3">
        <f>1996.5+(1129.9-914.9)+(0+(0-0))+0-549.6-0</f>
        <v>1661.9</v>
      </c>
      <c r="O349" s="3">
        <f>2443.7+(1108-1219.7)+(0+(0-0))+0-576.6-0</f>
        <v>1755.4</v>
      </c>
      <c r="P349" s="3">
        <f>2819.8+(1127.1-1565)+(1.438098+(0.574821-0.79815))+0-489.9-0.24984899999995</f>
        <v>1892.9649200000001</v>
      </c>
      <c r="Q349" s="3">
        <f>2630.2+(1186.3-1411.2)+(0+(0-0))+0-549.9-0</f>
        <v>1855.3999999999996</v>
      </c>
      <c r="R349" s="3">
        <f>2846.3+(1192.7-1574)+(0+(0-0))+0-554.5-0</f>
        <v>1910.5</v>
      </c>
      <c r="S349" s="3">
        <f>2510.8+(1238.3-1389.1)+(0+(0-0))+0-591.1-0</f>
        <v>1768.9</v>
      </c>
      <c r="T349" s="3">
        <f>2556.7+(1167.6-1437.4)+(0+(0-0))+0-551.3-0</f>
        <v>1735.5999999999997</v>
      </c>
      <c r="U349" s="3">
        <f>2658.2+(1115.8-1542.3)+(0+(0-0))+0-534.6-0</f>
        <v>1697.1</v>
      </c>
      <c r="V349" s="3">
        <f>2665.9+(1124.2-1461.9)+(0+(0-0))+0-537.9-0</f>
        <v>1790.2999999999997</v>
      </c>
      <c r="W349" s="3">
        <f>2805.9+(1163.1-1481.7)+(0+(0-0))+0-552.8-0</f>
        <v>1934.5000000000002</v>
      </c>
      <c r="X349" s="3">
        <f>3370.6+(1144.3-1900.4)+(0+(0-0))+0-568.7-0</f>
        <v>2045.8</v>
      </c>
      <c r="Y349" s="3">
        <f>3545.9+(1165.1-2053.2)+(0+(0-0))+0-571.2-0</f>
        <v>2086.6000000000004</v>
      </c>
      <c r="Z349" s="3">
        <f>4038+(1096.5-2407.9)+(0+(0-0))+0-620.8-0</f>
        <v>2105.8000000000002</v>
      </c>
      <c r="AA349" s="3">
        <f>3742.2+(1280.2-2319.8)+(0+(0-0))+0-581.6-0</f>
        <v>2120.9999999999995</v>
      </c>
      <c r="AB349" s="3">
        <f>2780.7+(1316.5-1517.5)+(0+(0-0))+0-594.9-0</f>
        <v>1984.7999999999997</v>
      </c>
      <c r="AC349" s="3">
        <f>2413.7+(1340.1-1417.1)+(0+(0-0))+0-525.9-0</f>
        <v>1810.7999999999997</v>
      </c>
      <c r="AD349">
        <f t="shared" si="5"/>
        <v>42700.427222000006</v>
      </c>
      <c r="AE349" s="3">
        <f>3582.1+(1195.8-2036.7)+(0+(0-0))+0-648.3-0</f>
        <v>2092.8999999999996</v>
      </c>
    </row>
    <row r="350" spans="1:31" customFormat="1" x14ac:dyDescent="0.25">
      <c r="A350">
        <v>89</v>
      </c>
      <c r="B350">
        <v>12</v>
      </c>
      <c r="C350">
        <v>14</v>
      </c>
      <c r="D350">
        <v>1</v>
      </c>
      <c r="E350">
        <v>1</v>
      </c>
      <c r="F350" s="3">
        <f>2099+(1224.2-1235.7)+(-3.21147+(-1.873026--1.890621))+0-491.7--0.752301000000028</f>
        <v>1593.358426</v>
      </c>
      <c r="G350" s="3">
        <f>2045.2+(1019.7-936.9)+(3.129156+(1.560141-1.433457))+0-522.1-0.79881300000003</f>
        <v>1608.3570269999998</v>
      </c>
      <c r="H350" s="3">
        <f>2045.3+(1007.4-949.4)+(0+(0-0))+0-580.8-0</f>
        <v>1522.5000000000002</v>
      </c>
      <c r="I350" s="3">
        <f>2012.1+(981.5-895.7)+(5.130855+(2.502825-2.284035))+0-604.7-1.54198499999991</f>
        <v>1497.0076599999995</v>
      </c>
      <c r="J350" s="3">
        <f>2020.9+(977.4-948.6)+(6.183954+(2.990844-2.902716))+0-549.3-1.68085800000006</f>
        <v>1504.9912239999996</v>
      </c>
      <c r="K350" s="3">
        <f>2052.3+(916.2-773.3)+(0+(0-0))+0-630.8-0</f>
        <v>1564.4000000000003</v>
      </c>
      <c r="L350" s="3">
        <f>1942+(847.6-615.6)+(0+(0-0))+0-525.1-0</f>
        <v>1648.9</v>
      </c>
      <c r="M350" s="3">
        <f>2023.7+(745.1-501.9)+(0+(0-0))+0-536.8-0</f>
        <v>1730.1000000000001</v>
      </c>
      <c r="N350" s="3">
        <f>2823.7+(498.8-1077.1)+(0+(0-0))+0-546.1-0</f>
        <v>1699.2999999999997</v>
      </c>
      <c r="O350" s="3">
        <f>3554+(612.9-1827.2)+(0+(0-0))+0-530.9-0</f>
        <v>1808.7999999999997</v>
      </c>
      <c r="P350" s="3">
        <f>3817.1+(635.6-1989.7)+(0+(0-0))+0-537-0</f>
        <v>1926</v>
      </c>
      <c r="Q350" s="3">
        <f>4032.5+(586.2-2162.5)+(0+(0-0))+0-552.4-0</f>
        <v>1903.7999999999997</v>
      </c>
      <c r="R350" s="3">
        <f>3440+(639.6-1705.1)+(0+(0-0))+0-447.7-0</f>
        <v>1926.8</v>
      </c>
      <c r="S350" s="3">
        <f>3130.7+(667.8-1377.4)+(0+(0-0))+0-553.5-0</f>
        <v>1867.5999999999995</v>
      </c>
      <c r="T350" s="3">
        <f>2892.5+(645.1-1155.9)+(0+(0-0))+0-543-0</f>
        <v>1838.6999999999998</v>
      </c>
      <c r="U350" s="3">
        <f>2665.3+(629-912.3)+(0+(0-0))+0-535-0</f>
        <v>1847</v>
      </c>
      <c r="V350" s="3">
        <f>2554.6+(663.5-893.7)+(0+(0-0))+0-528.5-0</f>
        <v>1795.8999999999996</v>
      </c>
      <c r="W350" s="3">
        <f>2695+(672.7-996.3)+(0+(0-0))+0-522.8-0</f>
        <v>1848.6000000000001</v>
      </c>
      <c r="X350" s="3">
        <f>3557.9+(697.6-1656.9)+(0+(0-0))+0-566.2-0</f>
        <v>2032.3999999999999</v>
      </c>
      <c r="Y350" s="3">
        <f>3741.9+(752.1-1747.8)+(0+(0-0))+0-527.4-0</f>
        <v>2218.8000000000002</v>
      </c>
      <c r="Z350" s="3">
        <f>3972.8+(495.3-1775.2)+(0+(0-0))+0-465.9-0</f>
        <v>2227</v>
      </c>
      <c r="AA350" s="3">
        <f>3942.4+(491.1-1648.5)+(0+(0-0))+0-655.5-0</f>
        <v>2129.5</v>
      </c>
      <c r="AB350" s="3">
        <f>3235+(548-1288.1)+(0+(0-0))+0-489-0</f>
        <v>2005.9</v>
      </c>
      <c r="AC350" s="3">
        <f>2587.6+(675.4-765.4)+(0+(0-0))+0-584.1-0</f>
        <v>1913.5</v>
      </c>
      <c r="AD350">
        <f t="shared" si="5"/>
        <v>43659.214336999998</v>
      </c>
      <c r="AE350" s="3">
        <f>3892+(780.1-1851.9)+(0+(0-0))+0-616.4-0</f>
        <v>2203.7999999999997</v>
      </c>
    </row>
    <row r="351" spans="1:31" customFormat="1" x14ac:dyDescent="0.25">
      <c r="A351">
        <v>89</v>
      </c>
      <c r="B351">
        <v>12</v>
      </c>
      <c r="C351">
        <v>15</v>
      </c>
      <c r="D351">
        <v>2</v>
      </c>
      <c r="E351">
        <v>1</v>
      </c>
      <c r="F351" s="3">
        <f>2252.2+(774.9-797.7)+(0+(0-0))+0-505.8-0</f>
        <v>1723.5999999999997</v>
      </c>
      <c r="G351" s="3">
        <f>2115.1+(853.5-753.4)+(0+(0-0))+0-601.7-0</f>
        <v>1613.4999999999998</v>
      </c>
      <c r="H351" s="3">
        <f>2041.7+(920.9-819.9)+(0+(0-0))+0-503.2-0</f>
        <v>1639.4999999999998</v>
      </c>
      <c r="I351" s="3">
        <f>2013.1+(866.4-752.2)+(0+(0-0))+0-606-0</f>
        <v>1521.2999999999997</v>
      </c>
      <c r="J351" s="3">
        <f>1991.7+(817.1-771.4)+(0+(0-0))+0-575.2-0</f>
        <v>1462.2</v>
      </c>
      <c r="K351" s="3">
        <f>2149.9+(833.4-788.4)+(0+(0-0))+0-579.5-0</f>
        <v>1615.4</v>
      </c>
      <c r="L351" s="3">
        <f>2080.9+(810-524.2)+(0+(0-0))+0-641.1-0</f>
        <v>1725.6</v>
      </c>
      <c r="M351" s="3">
        <f>2300.5+(762.2-760.3)+(0+(0-0))+0-424.9-0</f>
        <v>1877.5</v>
      </c>
      <c r="N351" s="3">
        <f>3034.8+(603.6-1307)+(0+(0-0))+0-528.1-0</f>
        <v>1803.3000000000002</v>
      </c>
      <c r="O351" s="3">
        <f>3299.6+(573-1543.2)+(0+(0-0))+0-597-0</f>
        <v>1732.3999999999996</v>
      </c>
      <c r="P351" s="3">
        <f>3382.8+(579.8-1666.2)+(0+(0-0))+0-519-0</f>
        <v>1777.4</v>
      </c>
      <c r="Q351" s="3">
        <f>3550.1+(600.5-1636.3)+(0+(0-0))+0-513-0</f>
        <v>2001.3000000000002</v>
      </c>
      <c r="R351" s="3">
        <f>3230.1+(568.8-1498.2)+(-6.589404+(-1.160352--3.056328))+0-514--1.04855999999998</f>
        <v>1783.0551319999997</v>
      </c>
      <c r="S351" s="3">
        <f>3383.9+(634.1-1787.9)+(-1.725789+(-0.323391--0.911829))+0-528--0.269279999999946</f>
        <v>1701.231929</v>
      </c>
      <c r="T351" s="3">
        <f>3513.3+(727.3-1883.1)+(-5.375349+(-1.112769--2.881143))+0-542.7--0.830331000000031</f>
        <v>1812.0233559999999</v>
      </c>
      <c r="U351" s="3">
        <f>3260.5+(701-1681)+(-3.32571+(-0.71502--1.71462))+0-555--0.566100000000089</f>
        <v>1723.73999</v>
      </c>
      <c r="V351" s="3">
        <f>2882.3+(720.2-1416.8)+(-2.939946+(-0.734604--1.445136))+0-556.5--0.567630000000089</f>
        <v>1627.5382160000004</v>
      </c>
      <c r="W351" s="3">
        <f>2542.4+(925.4-1108.3)+(-7.779744+(-2.831724--3.391398))+0-544.1--1.66494600000006</f>
        <v>1809.8448760000003</v>
      </c>
      <c r="X351" s="3">
        <f>3320.4+(923-1764.2)+(-3.386808+(-0.94146--1.799484))+0-460.7--0.469914000000073</f>
        <v>2016.4411299999997</v>
      </c>
      <c r="Y351" s="3">
        <f>3536.6+(993.4-1833.9)+(-9.01833+(-2.53317--4.676445))+0-509.5--1.29922499999993</f>
        <v>2181.0241699999997</v>
      </c>
      <c r="Z351" s="3">
        <f>3231.6+(1130.8-1731)+(-8.24058+(-2.88354--4.41405))+0-447.6--1.14137999999994</f>
        <v>2178.2313099999997</v>
      </c>
      <c r="AA351" s="3">
        <f>3058.9+(1313-1722.8)+(-4.680117+(-2.00889--2.635884))+0-518.4--0.79315200000003</f>
        <v>2127.4400290000003</v>
      </c>
      <c r="AB351" s="3">
        <f>2847+(1338.2-1672.7)+(-1.45197+(-0.682482--0.853077))+0-517.5--0.263924999999948</f>
        <v>1993.9825499999999</v>
      </c>
      <c r="AC351" s="3">
        <f>2800+(1305.5-1659.2)+(-7.14+(-3.329025--4.23096))+0-561.7--1.43233499999992</f>
        <v>1879.7942700000001</v>
      </c>
      <c r="AD351">
        <f t="shared" si="5"/>
        <v>43327.346958000009</v>
      </c>
      <c r="AE351" s="3">
        <f>3618+(955.5-1949.4)+(0+(0-0))+0-450-0</f>
        <v>2174.1</v>
      </c>
    </row>
    <row r="352" spans="1:31" customFormat="1" x14ac:dyDescent="0.25">
      <c r="A352">
        <v>89</v>
      </c>
      <c r="B352">
        <v>12</v>
      </c>
      <c r="C352">
        <v>16</v>
      </c>
      <c r="D352">
        <v>3</v>
      </c>
      <c r="E352">
        <v>1</v>
      </c>
      <c r="F352" s="3">
        <f>2615.1+(1254.8-1364.1)+(-4.001103+(-1.919844--2.087073))+0-579--0.885870000000033</f>
        <v>1923.8519960000003</v>
      </c>
      <c r="G352" s="3">
        <f>2230.3+(1200.4-1302.2)+(-4.549812+(-2.448816--2.656488))+0-579--1.18115999999997</f>
        <v>1546.3390199999997</v>
      </c>
      <c r="H352" s="3">
        <f>2150.3+(1247.8-1228.2)+(1.096653+(0.636378-0.626382))+0-556.1-0.283610999999944</f>
        <v>1614.6230380000002</v>
      </c>
      <c r="I352" s="3">
        <f>1977.9+(1094.9-1021.9)+(1.008729+(0.558399-0.521169))+0-574.5-0.292994999999942</f>
        <v>1477.1529640000001</v>
      </c>
      <c r="J352" s="3">
        <f>1881.2+(1087.3-938.4)+(-1.918824+(-1.109046--0.957168))+0-467.5--0.476850000000075</f>
        <v>1561.0061479999999</v>
      </c>
      <c r="K352" s="3">
        <f>1885.9+(1165.3-911.7)+(4.809045+(2.971515-2.324835))+0-564.6-1.43972999999992</f>
        <v>1578.9159950000001</v>
      </c>
      <c r="L352" s="3">
        <f>1969.7+(779.4-607.8)+(0+(0-0))+0-592.7-0</f>
        <v>1548.6000000000001</v>
      </c>
      <c r="M352" s="3">
        <f>2114.3+(814.5-523.3)+(0+(0-0))+0-618.1-0</f>
        <v>1787.4</v>
      </c>
      <c r="N352" s="3">
        <f>2619+(783.2-1235.2)+(0+(0-0))+0-529.1-0</f>
        <v>1637.9</v>
      </c>
      <c r="O352" s="3">
        <f>3082.1+(696.5-1568.5)+(0+(0-0))+0-457.1-0</f>
        <v>1753</v>
      </c>
      <c r="P352" s="3">
        <f>3363.6+(728.3-1880.5)+(0+(0-0))+0-497.1-0</f>
        <v>1714.2999999999997</v>
      </c>
      <c r="Q352" s="3">
        <f>3489.5+(779.1-1964.8)+(0+(0-0))+0-534.9-0</f>
        <v>1768.9</v>
      </c>
      <c r="R352" s="3">
        <f>3009.3+(827.1-1549.8)+(0+(0-0))+0-523.5-0</f>
        <v>1763.1000000000004</v>
      </c>
      <c r="S352" s="3">
        <f>3018.4+(712.1-1420.5)+(-1.539384+(-0.363171--0.724455))+0-599.9--0.305948999999939</f>
        <v>1709.2278489999997</v>
      </c>
      <c r="T352" s="3">
        <f>3046.5+(696.8-1582.1)+(-3.10743+(-0.710736--1.613742))+0-483.9--0.493578000000077</f>
        <v>1675.5891539999998</v>
      </c>
      <c r="U352" s="3">
        <f>3009.2+(698.5-1509.5)+(4.604076+(1.068705-2.309535))+0-640.1-0.979353000000037</f>
        <v>1560.4838929999999</v>
      </c>
      <c r="V352" s="3">
        <f>2911.3+(758.2-1516.5)+(-5.939052+(-1.546728--3.09366))+0-582.2--1.18768799999997</f>
        <v>1567.595568</v>
      </c>
      <c r="W352" s="3">
        <f>2459.5+(1094.4-1214.5)+(-7.52607+(-3.348864--3.71637))+0-641.9--1.96421400000007</f>
        <v>1692.3056500000002</v>
      </c>
      <c r="X352" s="3">
        <f>3383.8+(1080.7-1974.1)+(-3.451476+(-1.102314--2.013582))+0-608.1--0.620262000000097</f>
        <v>1880.3800540000009</v>
      </c>
      <c r="Y352" s="3">
        <f>3767.2+(1210.6-2355.1)+(-5.763816+(-1.852218--3.603303))+0-581.6--0.889848000000034</f>
        <v>2037.9771170000001</v>
      </c>
      <c r="Z352" s="3">
        <f>3453.1+(1327-1923.3)+(-12.327567+(-4.73739--6.866181))+0-638.6--2.27980200000001</f>
        <v>2210.2810260000001</v>
      </c>
      <c r="AA352" s="3">
        <f>3290.2+(1332.6-2048.9)+(-6.712008+(-2.718504--4.179756))+0-579.8--1.18279199999997</f>
        <v>1990.0320359999998</v>
      </c>
      <c r="AB352" s="3">
        <f>3165.7+(1171.2-2047.5)+(-4.843521+(-1.791936--3.132675))+0-527.6--0.80722800000003</f>
        <v>1759.1044459999998</v>
      </c>
      <c r="AC352" s="3">
        <f>3152.8+(1148.5-1894.5)+(-8.03964+(-2.928675--4.830975))+0-617.8--1.57538999999991</f>
        <v>1784.43805</v>
      </c>
      <c r="AD352">
        <f t="shared" si="5"/>
        <v>41542.504003999995</v>
      </c>
      <c r="AE352" s="3">
        <f>3926+(1137.4-2375.4)+(0+(0-0))+0-555.2-0</f>
        <v>2132.8000000000002</v>
      </c>
    </row>
    <row r="353" spans="1:31" customFormat="1" x14ac:dyDescent="0.25">
      <c r="A353">
        <v>89</v>
      </c>
      <c r="B353">
        <v>12</v>
      </c>
      <c r="C353">
        <v>17</v>
      </c>
      <c r="D353">
        <v>4</v>
      </c>
      <c r="E353">
        <v>1</v>
      </c>
      <c r="F353" s="3">
        <f>2184.5+(1219.3-1258.4)+(-5.570475+(-3.109215--3.20892))+0-550.8--1.40453999999992</f>
        <v>1590.5337699999998</v>
      </c>
      <c r="G353" s="3">
        <f>2145.7+(1259.6-1167.6)+(-6.565842+(-3.854376--3.572856))+0-686.4--2.10038400000008</f>
        <v>1546.5530219999998</v>
      </c>
      <c r="H353" s="3">
        <f>2020.8+(1147.1-1038.9)+(-2.061216+(-1.170042--1.059678))+0-637.6--0.650352000000102</f>
        <v>1489.878772</v>
      </c>
      <c r="I353" s="3">
        <f>2000.5+(1066-990.5)+(1.020255+(0.54366-0.505155))+0-621.2-0.316811999999937</f>
        <v>1455.5419479999998</v>
      </c>
      <c r="J353" s="3">
        <f>2055.6+(1138.2-1143.9)+(-1.048356+(-0.580482--0.583389))+0-584.2--0.297941999999941</f>
        <v>1464.9524929999993</v>
      </c>
      <c r="K353" s="3">
        <f>2061.6+(1171.5-1105.2)+(2.102832+(1.19493-1.127304))+0-626.8-0.6393360000001</f>
        <v>1502.6311219999996</v>
      </c>
      <c r="L353" s="3">
        <f>2013+(1015.3-805.4)+(-2.05326+(-1.035606--0.821508))+0-602.3--0.614346000000096</f>
        <v>1618.9469880000001</v>
      </c>
      <c r="M353" s="3">
        <f>2339.1+(681.8-699.6)+(-1.192941+(-0.347718--0.356796))+0-653.6--0.333335999999934</f>
        <v>1666.8494729999995</v>
      </c>
      <c r="N353" s="3">
        <f>2655.9+(772.8-1104.2)+(-1.354509+(-0.394128--0.563142))+0-618.4--0.315383999999937</f>
        <v>1705.2298889999997</v>
      </c>
      <c r="O353" s="3">
        <f>2875.1+(779.5-1393.9)+(-2.932602+(-0.79509--1.421778))+0-518.8--0.529176000000083</f>
        <v>1740.1232619999998</v>
      </c>
      <c r="P353" s="3">
        <f>3341.3+(741-1755.2)+(-5.112189+(-1.13373--2.685456))+0-560.9--0.858177000000032</f>
        <v>1763.4977140000005</v>
      </c>
      <c r="Q353" s="3">
        <f>3108.7+(699.6-1534.4)+(-1.585437+(-0.356796--0.782544))+0-480.7--0.245156999999951</f>
        <v>1792.2854679999996</v>
      </c>
      <c r="R353" s="3">
        <f>3111.6+(695.6-1456.9)+(-3.173832+(-0.709512--1.486038))+0-562.5--0.57375000000009</f>
        <v>1785.9764439999999</v>
      </c>
      <c r="S353" s="3">
        <f>3016.4+(633-1335.3)+(-3.076728+(-0.64566--1.362006))+0-643.3--0.656166000000103</f>
        <v>1669.0957840000008</v>
      </c>
      <c r="T353" s="3">
        <f>3191.6+(669.1-1451.6)+(-3.255432+(-0.682482--1.480632))+0-619.1--0.631482000000099</f>
        <v>1788.1742000000002</v>
      </c>
      <c r="U353" s="3">
        <f>3109.3+(685.4-1386.3)+(-1.585743+(-0.349554--0.707013))+0-643.3--0.328082999999935</f>
        <v>1764.1997990000002</v>
      </c>
      <c r="V353" s="3">
        <f>3185.1+(637.7-1298.7)+(0+(0-0))+0-660.3-0</f>
        <v>1863.8</v>
      </c>
      <c r="W353" s="3">
        <f>2838.4+(743.9-1076.2)+(-7.23792+(-1.896945--2.74431))+0-617.2--1.57385999999991</f>
        <v>1884.0833049999999</v>
      </c>
      <c r="X353" s="3">
        <f>3974.4+(653-1968.5)+(-2.026944+(-0.33303--1.003935))+0-641.5--0.327164999999935</f>
        <v>2016.3711260000002</v>
      </c>
      <c r="Y353" s="3">
        <f>3989.8+(729.2-2009.9)+(-8.139192+(-1.487568--4.100196))+0-608.1--1.24052399999997</f>
        <v>2096.7139600000005</v>
      </c>
      <c r="Z353" s="3">
        <f>3887+(704.3-1912.6)+(5.94711+(1.077579-2.926278))+0-640.7-0.980271000000037</f>
        <v>2041.1181399999996</v>
      </c>
      <c r="AA353" s="3">
        <f>3503.9+(779.7-1664.7)+(1.786989+(0.397647-0.848997))+0-607.1-0.309620999999938</f>
        <v>2012.8260180000002</v>
      </c>
      <c r="AB353" s="3">
        <f>2641.4+(1089.5-1175.9)+(-5.388456+(-2.22258--2.398836))+0-659.6--1.34558399999997</f>
        <v>1891.5333840000001</v>
      </c>
      <c r="AC353" s="3">
        <f>1990.5+(1220.4-937.4)+(-4.06062+(-2.489616--1.912296))+0-544.3--1.11037199999998</f>
        <v>1725.6724319999998</v>
      </c>
      <c r="AD353">
        <f t="shared" si="5"/>
        <v>41876.588513000002</v>
      </c>
      <c r="AE353" s="3">
        <f>4289+(609.7-2280.3)+(0+(0-0))+0-495.4-0</f>
        <v>2122.9999999999995</v>
      </c>
    </row>
    <row r="354" spans="1:31" customFormat="1" x14ac:dyDescent="0.25">
      <c r="A354">
        <v>89</v>
      </c>
      <c r="B354">
        <v>12</v>
      </c>
      <c r="C354">
        <v>18</v>
      </c>
      <c r="D354">
        <v>5</v>
      </c>
      <c r="E354">
        <v>1</v>
      </c>
      <c r="F354" s="3">
        <f>1999.8+(1223.7-970.3)+(-3.059694+(-1.872261--1.484559))+0-624.4--0.955332000000036</f>
        <v>1626.3079359999997</v>
      </c>
      <c r="G354" s="3">
        <f>2111.5+(1007-974.2)+(-5.384325+(-2.56785--2.48421))+0-642.4--1.63811999999991</f>
        <v>1498.0701550000001</v>
      </c>
      <c r="H354" s="3">
        <f>1963.9+(944.1-748.7)+(-1.001589+(-0.481491--0.381837))+0-657.7--0.335426999999933</f>
        <v>1500.8341840000001</v>
      </c>
      <c r="I354" s="3">
        <f>1962.4+(918.5-802.9)+(-4.003296+(-1.87374--1.637916))+0-636--1.29743999999997</f>
        <v>1439.0583199999999</v>
      </c>
      <c r="J354" s="3">
        <f>2032.6+(913.2-849.4)+(-2.073252+(-0.931464--0.866388))+0-664.1--0.677382000000106</f>
        <v>1430.8390540000003</v>
      </c>
      <c r="K354" s="3">
        <f>2084.9+(959-912.4)+(-2.126598+(-0.97818--0.930648))+0-576.3--0.587826000000092</f>
        <v>1553.6136960000003</v>
      </c>
      <c r="L354" s="3">
        <f>2062.5+(915.4-739.6)+(0+(0-0))+0-631.1-0</f>
        <v>1607.2000000000003</v>
      </c>
      <c r="M354" s="3">
        <f>2242.2+(799.6-787.3)+(-1.143522+(-0.407796--0.401523))+0-637.4--0.325073999999935</f>
        <v>1616.275279</v>
      </c>
      <c r="N354" s="3">
        <f>2957.9+(670.2-1264.9)+(3.017058+(0.683604-1.290198))+0-655.5-0.668610000000105</f>
        <v>1709.4418539999997</v>
      </c>
      <c r="O354" s="3">
        <f>3281.2+(769.5-1702.7)+(-1.673412+(-0.392445--0.868377))+0-577.3--0.294422999999941</f>
        <v>1769.7969430000003</v>
      </c>
      <c r="P354" s="3">
        <f>3592.8+(857.7-2045.2)+(-5.496984+(-1.312281--3.129156))+0-589.6--0.902088000000034</f>
        <v>1812.9219790000004</v>
      </c>
      <c r="Q354" s="3">
        <f>3586.3+(947.4-2042.2)+(-5.487039+(-1.449522--3.124566))+0-596--0.911880000000034</f>
        <v>1892.5998850000001</v>
      </c>
      <c r="R354" s="3">
        <f>3427.6+(963.6-1923.4)+(-8.74038+(-2.45718--4.90467))+0-635.7--1.62103499999991</f>
        <v>1827.4281449999994</v>
      </c>
      <c r="S354" s="3">
        <f>3507.7+(880.5-2053.3)+(-7.155708+(-1.79622--4.188732))+0-571.8--1.16647199999997</f>
        <v>1759.5032759999997</v>
      </c>
      <c r="T354" s="3">
        <f>3413+(875.9-1915.1)+(-3.48126+(-0.893418--1.953402))+0-674.7--0.688194000000108</f>
        <v>1697.3669180000002</v>
      </c>
      <c r="U354" s="3">
        <f>3126.6+(885.4-1732)+(-6.378264+(-1.806216--3.53328))+0-609.1--1.24256399999997</f>
        <v>1667.4913640000002</v>
      </c>
      <c r="V354" s="3">
        <f>3100.2+(735.7-1465.3)+(1.581102+(0.375207-0.747303))+0-646.7-0.329816999999934</f>
        <v>1724.7791890000001</v>
      </c>
      <c r="W354" s="3">
        <f>2988.2+(786.3-1460.6)+(-6.095928+(-1.604052--2.979624))+0-514--1.04855999999998</f>
        <v>1796.2282039999998</v>
      </c>
      <c r="X354" s="3">
        <f>3533.8+(751.2-1750.3)+(-3.604476+(-0.766224--1.785306))+0-585.5--0.597210000000093</f>
        <v>1947.2118160000002</v>
      </c>
      <c r="Y354" s="3">
        <f>3730+(855.8-1933.9)+(-9.5115+(-2.18229--4.931445))+0-622.8--1.58813999999991</f>
        <v>2023.9257949999994</v>
      </c>
      <c r="Z354" s="3">
        <f>3818.3+(877.6-2098.8)+(0+(0-0))+0-537.9-0</f>
        <v>2059.1999999999998</v>
      </c>
      <c r="AA354" s="3">
        <f>3693.7+(788.2-2019)+(-3.767574+(-0.803964--2.05938))+0-715.2--0.729504000000114</f>
        <v>1745.9173459999997</v>
      </c>
      <c r="AB354" s="3">
        <f>3388.3+(862.8-1819.2)+(-8.640165+(-2.20014--4.63896))+0-551.9--1.40734499999992</f>
        <v>1875.2059999999999</v>
      </c>
      <c r="AC354" s="3">
        <f>3326.6+(849.2-1777.1)+(-3.393132+(-0.866184--1.812642))+0-678.8--0.692376000000108</f>
        <v>1718.1457020000003</v>
      </c>
      <c r="AD354">
        <f t="shared" si="5"/>
        <v>41299.363039999997</v>
      </c>
      <c r="AE354" s="3">
        <f>3568.1+(819.1-1757.9)+(0+(0-0))+0-570.2-0</f>
        <v>2059.0999999999995</v>
      </c>
    </row>
    <row r="355" spans="1:31" customFormat="1" x14ac:dyDescent="0.25">
      <c r="A355">
        <v>89</v>
      </c>
      <c r="B355">
        <v>12</v>
      </c>
      <c r="C355">
        <v>19</v>
      </c>
      <c r="D355">
        <v>6</v>
      </c>
      <c r="E355">
        <v>1</v>
      </c>
      <c r="F355" s="3">
        <f>2608.4+(834.4-1257.2)+(0+(0-0))+0-629.4-0</f>
        <v>1556.1999999999998</v>
      </c>
      <c r="G355" s="3">
        <f>2677.4+(877.8-1421.1)+(0+(0-0))+0-636.1-0</f>
        <v>1498.0000000000005</v>
      </c>
      <c r="H355" s="3">
        <f>2664.9+(874.9-1486.3)+(0+(0-0))+0-634.3-0</f>
        <v>1419.2</v>
      </c>
      <c r="I355" s="3">
        <f>2414+(1000.4-1429.3)+(0+(0-0))+0-589.6-0</f>
        <v>1395.5</v>
      </c>
      <c r="J355" s="3">
        <f>2410.1+(994.4-1405.3)+(0+(0-0))+0-528.6-0</f>
        <v>1470.6</v>
      </c>
      <c r="K355" s="3">
        <f>2414.5+(990-1330.3)+(0+(0-0))+0-552-0</f>
        <v>1522.1999999999998</v>
      </c>
      <c r="L355" s="3">
        <f>2429.7+(954.5-1207.6)+(0+(0-0))+0-591-0</f>
        <v>1585.6</v>
      </c>
      <c r="M355" s="3">
        <f>2691.9+(777.4-1456.5)+(0+(0-0))+0-557.8-0</f>
        <v>1455.0000000000002</v>
      </c>
      <c r="N355" s="3">
        <f>3396.5+(700.7-1951)+(0+(0-0))+0-515.8-0</f>
        <v>1630.3999999999999</v>
      </c>
      <c r="O355" s="3">
        <f>3698.7+(584.6-1979.7)+(0+(0-0))+0-585.3-0</f>
        <v>1718.3</v>
      </c>
      <c r="P355" s="3">
        <f>3880.4+(480.6-2027)+(0+(0-0))+0-604-0</f>
        <v>1730</v>
      </c>
      <c r="Q355" s="3">
        <f>4187.1+(321.4-2084.1)+(0+(0-0))+0-673.7-0</f>
        <v>1750.7000000000005</v>
      </c>
      <c r="R355" s="3">
        <f>3688+(366.9-1720.5)+(-9.4044+(-0.935595--4.387275))+0-526.1--1.34155499999992</f>
        <v>1803.6888349999999</v>
      </c>
      <c r="S355" s="3">
        <f>3371.9+(368-1522.7)+(5.159007+(0.56304-2.329731))+0-612.7-0.937431000000035</f>
        <v>1606.9548849999996</v>
      </c>
      <c r="T355" s="3">
        <f>3278.8+(374.5-1385.9)+(-5.016564+(-0.572985--2.120427))+0-639.5--0.978435000000037</f>
        <v>1625.4093130000001</v>
      </c>
      <c r="U355" s="3">
        <f>3085.7+(393.5-1250)+(-4.721121+(-0.602055--1.9125))+0-616.3--0.942939000000036</f>
        <v>1610.4322629999999</v>
      </c>
      <c r="V355" s="3">
        <f>3246.2+(391.7-1366.4)+(-4.966686+(-0.599301--2.090592))+0-603.5--0.923355000000035</f>
        <v>1665.4479600000002</v>
      </c>
      <c r="W355" s="3">
        <f>3301.9+(493-1450.4)+(0+(0-0))+0-612.1-0</f>
        <v>1732.4</v>
      </c>
      <c r="X355" s="3">
        <f>3986.8+(763-2178.6)+(-4.066536+(-0.77826--2.222172))+0-620.1--0.632502000000099</f>
        <v>1949.1098780000004</v>
      </c>
      <c r="Y355" s="3">
        <f>4132.6+(931.4-2412)+(-14.753382+(-3.325098--8.61084))+0-645.6--2.30479200000001</f>
        <v>1999.2371520000006</v>
      </c>
      <c r="Z355" s="3">
        <f>3271.4+(1067.9-1725.3)+(-6.673656+(-2.178516--3.519612))+0-680.2--1.38760799999997</f>
        <v>1929.8550480000001</v>
      </c>
      <c r="AA355" s="3">
        <f>2751.4+(1101.3-1374.5)+(-5.612856+(-2.246652--2.80398))+0-621.6--1.26806399999997</f>
        <v>1852.8125359999999</v>
      </c>
      <c r="AB355" s="3">
        <f>2276.5+(1192.3-1046.2)+(-5.805075+(-3.040365--2.66781))+0-630.5--1.60777499999991</f>
        <v>1787.5301449999997</v>
      </c>
      <c r="AC355" s="3">
        <f>2146.3+(1055.2-891.5)+(-4.378452+(-2.152608--1.81866))+0-638--1.30151999999997</f>
        <v>1668.5891200000001</v>
      </c>
      <c r="AD355">
        <f t="shared" si="5"/>
        <v>39963.167134999996</v>
      </c>
      <c r="AE355" s="3">
        <f>4379+(887.2-2619.6)+(0+(0-0))+0-664.4-0</f>
        <v>1982.2000000000003</v>
      </c>
    </row>
    <row r="356" spans="1:31" customFormat="1" x14ac:dyDescent="0.25">
      <c r="A356">
        <v>89</v>
      </c>
      <c r="B356">
        <v>12</v>
      </c>
      <c r="C356">
        <v>20</v>
      </c>
      <c r="D356">
        <v>7</v>
      </c>
      <c r="E356">
        <v>1</v>
      </c>
      <c r="F356" s="3">
        <f>2206.4+(1024-1003.1)+(0+(0-0))+0-674.1-0</f>
        <v>1553.2000000000003</v>
      </c>
      <c r="G356" s="3">
        <f>2114.8+(1072.1-1158.3)+(0+(0-0))+0-545.1-0</f>
        <v>1483.5</v>
      </c>
      <c r="H356" s="3">
        <f>2111.8+(1069.5-1134.7)+(0+(0-0))+0-642.5-0</f>
        <v>1404.1000000000001</v>
      </c>
      <c r="I356" s="3">
        <f>2122.3+(1081.6-1201.6)+(0+(0-0))+0-588.9-0</f>
        <v>1413.4</v>
      </c>
      <c r="J356" s="3">
        <f>2115.5+(1096.8-1123.6)+(0+(0-0))+0-704.7-0</f>
        <v>1383.9999999999998</v>
      </c>
      <c r="K356" s="3">
        <f>2114.5+(1062.2-1156.2)+(0+(0-0))+0-589.5-0</f>
        <v>1431</v>
      </c>
      <c r="L356" s="3">
        <f>2162.6+(1046.9-978)+(0+(0-0))+0-662.8-0</f>
        <v>1568.7</v>
      </c>
      <c r="M356" s="3">
        <f>2127.4+(1006.9-972.9)+(0+(0-0))+0-647.3-0</f>
        <v>1514.1000000000001</v>
      </c>
      <c r="N356" s="3">
        <f>2486.5+(916-1270.3)+(0+(0-0))+0-588.4-0</f>
        <v>1543.7999999999997</v>
      </c>
      <c r="O356" s="3">
        <f>2821.5+(874.3-1465.5)+(0+(0-0))+0-634.3-0</f>
        <v>1596.0000000000002</v>
      </c>
      <c r="P356" s="3">
        <f>2892.6+(836.5-1498.6)+(0+(0-0))+0-566.5-0</f>
        <v>1664</v>
      </c>
      <c r="Q356" s="3">
        <f>3064+(819.6-1465.1)+(0+(0-0))+0-577.5-0</f>
        <v>1841</v>
      </c>
      <c r="R356" s="3">
        <f>2860.3+(723.9-1249.8)+(-7.293765+(-1.845945--3.18699))+0-564.5--1.43947499999992</f>
        <v>1765.3867550000002</v>
      </c>
      <c r="S356" s="3">
        <f>2879.8+(550.9-1139.7)+(-5.874792+(-1.123836--2.324988))+0-626.4--1.27785599999997</f>
        <v>1661.2042159999999</v>
      </c>
      <c r="T356" s="3">
        <f>2348.1+(627.5-722.3)+(-2.395062+(-0.64005--0.736746))+0-641.3--0.654126000000102</f>
        <v>1610.3557600000004</v>
      </c>
      <c r="U356" s="3">
        <f>2100+(665.7-612.2)+(-4.284+(-1.358028--1.248888))+0-572.4--1.16769599999997</f>
        <v>1577.8745559999998</v>
      </c>
      <c r="V356" s="3">
        <f>2209.1+(682.6-660.2)+(2.253282+(0.696252-0.673404))+0-630.3-0.6429060000001</f>
        <v>1602.8332240000002</v>
      </c>
      <c r="W356" s="3">
        <f>2386.9+(667.5-891.5)+(-2.434638+(-0.68085--0.90933))+0-582.5--0.594150000000093</f>
        <v>1578.7879920000003</v>
      </c>
      <c r="X356" s="3">
        <f>3824+(572.1-1819.8)+(0+(0-0))+0-525.5-0</f>
        <v>2050.8000000000002</v>
      </c>
      <c r="Y356" s="3">
        <f>4248.8+(604.9-2095.5)+(-13.001328+(-1.850994--6.41223))+0-594.5--1.81917000000007</f>
        <v>2157.0790780000007</v>
      </c>
      <c r="Z356" s="3">
        <f>4182.2+(629.8-2194.7)+(-4.265844+(-0.642396--2.238594))+0-596.5--0.608430000000095</f>
        <v>2018.7387840000004</v>
      </c>
      <c r="AA356" s="3">
        <f>3968.1+(638.2-2110.7)+(-2.023731+(-0.325482--1.076457))+0-524.5--0.267494999999947</f>
        <v>1970.0947390000006</v>
      </c>
      <c r="AB356" s="3">
        <f>3734.8+(733.6-2041.1)+(-3.809496+(-0.748272--2.081922))+0-522.5--0.532950000000083</f>
        <v>1902.8571040000004</v>
      </c>
      <c r="AC356" s="3">
        <f>3343.2+(849.8-1703.8)+(-6.820128+(-1.733592--3.475752))+0-501.5--1.02305999999998</f>
        <v>1983.6450919999997</v>
      </c>
      <c r="AD356">
        <f t="shared" si="5"/>
        <v>40276.457300000002</v>
      </c>
      <c r="AE356" s="3">
        <f>4510+(596.8-2446.4)+(0+(0-0))+0-518-0</f>
        <v>2142.3999999999996</v>
      </c>
    </row>
    <row r="357" spans="1:31" customFormat="1" x14ac:dyDescent="0.25">
      <c r="A357">
        <v>89</v>
      </c>
      <c r="B357">
        <v>12</v>
      </c>
      <c r="C357">
        <v>21</v>
      </c>
      <c r="D357">
        <v>1</v>
      </c>
      <c r="E357">
        <v>1</v>
      </c>
      <c r="F357" s="3">
        <f>2426.3+(897-1077.6)+(-6.187065+(-2.28735--2.74788))+0-661--1.6855499999999</f>
        <v>1580.6590150000004</v>
      </c>
      <c r="G357" s="3">
        <f>2455.3+(779-1111.3)+(-2.504406+(-0.79458--1.133526))+0-668--0.681360000000107</f>
        <v>1453.5158999999999</v>
      </c>
      <c r="H357" s="3">
        <f>2415.9+(801-1169.3)+(-3.696327+(-1.22553--1.789029))+0-569--0.870570000000033</f>
        <v>1476.3377420000002</v>
      </c>
      <c r="I357" s="3">
        <f>2264.9+(831-1099.7)+(3.465297+(1.27143-1.682541))+0-515-0.78795000000003</f>
        <v>1483.466236</v>
      </c>
      <c r="J357" s="3">
        <f>2203.2+(987-1148.8)+(-1.123632+(-0.50337--0.585888))+0-626--0.319259999999936</f>
        <v>1414.6781459999997</v>
      </c>
      <c r="K357" s="3">
        <f>2310.6+(965-1239.1)+(0+(0-0))+0-513-0</f>
        <v>1523.5</v>
      </c>
      <c r="L357" s="3">
        <f>2238.3+(958.6-1083.9)+(-1.141533+(-0.488886--0.552789))+0-508--0.259079999999948</f>
        <v>1604.1814499999998</v>
      </c>
      <c r="M357" s="3">
        <f>2603.4+(888.5-1211.6)+(0+(0-0))+0-446-0</f>
        <v>1834.3000000000002</v>
      </c>
      <c r="N357" s="3">
        <f>2890.4+(791.4-1491.2)+(0+(0-0))+0-501-0</f>
        <v>1689.6</v>
      </c>
      <c r="O357" s="3">
        <f>3270.3+(779.1-1836.4)+(0+(0-0))+0-577.8-0</f>
        <v>1635.2</v>
      </c>
      <c r="P357" s="3">
        <f>3484+(811.1-2107.9)+(3.55368+(0.827322-2.150058))+0-596.8-0.608736000000095</f>
        <v>1592.0222079999996</v>
      </c>
      <c r="Q357" s="3">
        <f>3767.2+(739.5-2264.5)+(-3.842544+(-0.75429--2.30979))+0-542--0.552840000000086</f>
        <v>1698.4657959999997</v>
      </c>
      <c r="R357" s="3">
        <f>3465.7+(773.9-2027.5)+(-8.837535+(-1.973445--5.170125))+0-479.9--1.22374499999993</f>
        <v>1727.7828899999997</v>
      </c>
      <c r="S357" s="3">
        <f>3512.4+(757.1-1940)+(-7.165296+(-1.544484--3.9576))+0-529.8--1.08079199999998</f>
        <v>1796.0286120000001</v>
      </c>
      <c r="T357" s="3">
        <f>3425.2+(769.1-2016.7)+(0+(0-0))+0-562-0</f>
        <v>1615.6</v>
      </c>
      <c r="U357" s="3">
        <f>3261.5+(818.7-2015.7)+(-1.663365+(-0.417537--1.028007))+0-547.4--0.279173999999944</f>
        <v>1516.3262790000001</v>
      </c>
      <c r="V357" s="3">
        <f>3363.7+(933-2022.3)+(1.715487+(0.47583-1.031373))+0-549.3-0.280142999999944</f>
        <v>1725.9798009999997</v>
      </c>
      <c r="W357" s="3">
        <f>3252.9+(1094.7-2115.8)+(-1.658979+(-0.558297--1.079058))+0-552.6--0.281825999999944</f>
        <v>1678.3436080000001</v>
      </c>
      <c r="X357" s="3">
        <f>3812.3+(1055.7-2296)+(-3.888546+(-1.076814--2.34192))+0-630.9--0.643518000000101</f>
        <v>1939.1200780000001</v>
      </c>
      <c r="Y357" s="3">
        <f>3846.7+(1146.1-2364.1)+(-1.961817+(-0.584511--1.205691))+0-566.4--0.288863999999943</f>
        <v>2061.248227</v>
      </c>
      <c r="Z357" s="3">
        <f>4127.2+(1011.1-2510.9)+(-4.209744+(-1.031322--2.561118))+0-630.4--0.643008000000101</f>
        <v>1994.9630599999996</v>
      </c>
      <c r="AA357" s="3">
        <f>4074.3+(775.8-2449.4)+(-6.233679+(-1.186974--3.747582))+0-523.7--0.80126100000003</f>
        <v>1874.1281899999997</v>
      </c>
      <c r="AB357" s="3">
        <f>3546.1+(834.7-1937.1)+(-12.659577+(-2.979879--6.915447))+0-538.6--1.92280200000001</f>
        <v>1898.2987929999999</v>
      </c>
      <c r="AC357" s="3">
        <f>3325.1+(890.7-1903)+(-6.783204+(-1.817028--3.88212))+0-535.6--1.09262399999998</f>
        <v>1773.5745120000001</v>
      </c>
      <c r="AD357">
        <f t="shared" si="5"/>
        <v>40587.320543000009</v>
      </c>
      <c r="AE357" s="3">
        <f>3918+(1172.4-2425.8)+(0+(0-0))+0-622.4-0</f>
        <v>2042.1999999999998</v>
      </c>
    </row>
    <row r="358" spans="1:31" customFormat="1" x14ac:dyDescent="0.25">
      <c r="A358">
        <v>89</v>
      </c>
      <c r="B358">
        <v>12</v>
      </c>
      <c r="C358">
        <v>22</v>
      </c>
      <c r="D358">
        <v>2</v>
      </c>
      <c r="E358">
        <v>1</v>
      </c>
      <c r="F358" s="3">
        <f>2674.3+(986.6-1509.5)+(-6.819465+(-2.51583--3.849225))+0-512.2--1.30610999999993</f>
        <v>1635.0200400000001</v>
      </c>
      <c r="G358" s="3">
        <f>1928.5+(1076.2-946.7)+(-5.90121+(-3.293172--2.896902))+0-620.1--1.89750600000007</f>
        <v>1433.5000259999999</v>
      </c>
      <c r="H358" s="3">
        <f>1784.5+(1097.9-957.7)+(-3.64038+(-2.239716--1.953708))+0-531.4--1.08405599999998</f>
        <v>1390.4576679999998</v>
      </c>
      <c r="I358" s="3">
        <f>1798.3+(1152.1-890)+(2.751399+(1.762713-1.3617))+0-690.8-1.05692400000004</f>
        <v>1371.6954879999996</v>
      </c>
      <c r="J358" s="3">
        <f>1672.4+(1143.6-868.3)+(-2.558772+(-1.749708--1.328499))+0-566.6--0.866898000000033</f>
        <v>1378.9869169999999</v>
      </c>
      <c r="K358" s="3">
        <f>1860.4+(1125.3-887.9)+(3.795216+(2.295612-1.811316))+0-677.3-1.38169199999997</f>
        <v>1423.3978200000004</v>
      </c>
      <c r="L358" s="3">
        <f>1822.5+(1066.8-794.3)+(-5.57685+(-3.264408--2.430558))+0-574.2--1.75705200000007</f>
        <v>1516.1463520000002</v>
      </c>
      <c r="M358" s="3">
        <f>2112.8+(1031.1-861.2)+(2.155056+(1.051722-0.878424))+0-657-0.670140000000105</f>
        <v>1627.3582139999999</v>
      </c>
      <c r="N358" s="3">
        <f>2507.7+(991.8-1260.1)+(2.557854+(1.011636-1.285302))+0-575.3-0.586806000000092</f>
        <v>1665.7973819999997</v>
      </c>
      <c r="O358" s="3">
        <f>3183.3+(991.8-1935.7)+(1.623483+(0.505818-0.987207))+0-269-0.137189999999973</f>
        <v>1971.404904</v>
      </c>
      <c r="P358" s="3">
        <f>3451+(997.1-2160.7)+(1.76001+(0.508521-1.101957))+0-551.7-0.281366999999944</f>
        <v>1736.5852069999999</v>
      </c>
      <c r="Q358" s="3">
        <f>3604.5+(999.5-2272.9)+(-5.514885+(-1.529235--3.477537))+0-552--0.844560000000032</f>
        <v>1776.3779770000001</v>
      </c>
      <c r="R358" s="3">
        <f>3126.1+(1013.1-1874.2)+(0+(0-0))+0-427.3-0</f>
        <v>1837.7</v>
      </c>
      <c r="S358" s="3">
        <f>3029.9+(1007.4-1696.7)+(1.545249+(0.513774-0.865317))+0-511.4-0.260813999999948</f>
        <v>1830.1328919999999</v>
      </c>
      <c r="T358" s="3">
        <f>3165.5+(1007.6-1741.6)+(-3.22881+(-1.027752--1.776432))+0-701.8--0.715836000000112</f>
        <v>1727.9357060000002</v>
      </c>
      <c r="U358" s="3">
        <f>3056.9+(879.2-1656.8)+(0+(0-0))+0-551.4-0</f>
        <v>1727.9</v>
      </c>
      <c r="V358" s="3">
        <f>2989.2+(1111.6-1583.9)+(-7.62246+(-2.83458--4.038945))+0-662.1--1.6883549999999</f>
        <v>1850.0702599999997</v>
      </c>
      <c r="W358" s="3">
        <f>2809.1+(1113.8-1485)+(0+(0-0))+0-554.8-0</f>
        <v>1883.0999999999997</v>
      </c>
      <c r="X358" s="3">
        <f>3508.6+(1101.6-2041.1)+(-1.789386+(-0.561816--1.040961))+0-566.9--0.289118999999943</f>
        <v>2001.1788779999997</v>
      </c>
      <c r="Y358" s="3">
        <f>3169.1+(1179.4-1709.3)+(-4.848723+(-1.804482--2.615229))+0-563.6--0.862308000000033</f>
        <v>2072.424332</v>
      </c>
      <c r="Z358" s="3">
        <f>2731.4+(1261.1-1466.3)+(-2.786028+(-1.286322--1.495626))+0-503.9--0.51397800000008</f>
        <v>2020.2372539999999</v>
      </c>
      <c r="AA358" s="3">
        <f>2462.9+(1303.4-1194.6)+(-3.768237+(-1.994202--1.827738))+0-616.7--0.943551000000036</f>
        <v>1952.0088500000002</v>
      </c>
      <c r="AB358" s="3">
        <f>1932.9+(1357.6-793.2)+(-1.971558+(-1.384752--0.809064))+0-523--0.533460000000083</f>
        <v>1972.2862140000002</v>
      </c>
      <c r="AC358" s="3">
        <f>1925.3+(1435.8-913.3)+(-2.945709+(-2.196774--1.397349))+0-629--0.962370000000036</f>
        <v>1816.0172360000004</v>
      </c>
      <c r="AD358">
        <f t="shared" si="5"/>
        <v>41617.719616999995</v>
      </c>
      <c r="AE358" s="3">
        <f>3968+(1088-2261.3)+(0+(0-0))+0-490.4-0</f>
        <v>2304.2999999999997</v>
      </c>
    </row>
    <row r="359" spans="1:31" customFormat="1" x14ac:dyDescent="0.25">
      <c r="A359">
        <v>89</v>
      </c>
      <c r="B359">
        <v>12</v>
      </c>
      <c r="C359">
        <v>23</v>
      </c>
      <c r="D359">
        <v>3</v>
      </c>
      <c r="E359">
        <v>1</v>
      </c>
      <c r="F359" s="3">
        <f>1883+(1383.7-1084.8)+(-9.6033+(-7.05687--5.53248))+0-619.2--3.15792000000005</f>
        <v>1554.7302300000003</v>
      </c>
      <c r="G359" s="3">
        <f>1894.6+(1258-1066.1)+(-5.797476+(-3.84948--3.262266))+0-614.4--1.88006400000007</f>
        <v>1467.5953740000002</v>
      </c>
      <c r="H359" s="3">
        <f>1998.8+(1283.3-1228.8)+(-3.058164+(-1.963449--1.880064))+0-631--0.965430000000036</f>
        <v>1420.1238810000002</v>
      </c>
      <c r="I359" s="3">
        <f>1955.7+(1314.3-1242.4)+(-2.992221+(-2.010879--1.900872))+0-627.2--0.959616000000036</f>
        <v>1398.257388</v>
      </c>
      <c r="J359" s="3">
        <f>1905.9+(1339.7-1200)+(1.944018+(1.366494-1.224))+0-672.2-0.685644000000107</f>
        <v>1374.800868</v>
      </c>
      <c r="K359" s="3">
        <f>2046.6+(1273.6-1341.1)+(-1.043766+(-0.649536--0.683961))+0-548.1--0.279530999999944</f>
        <v>1430.27019</v>
      </c>
      <c r="L359" s="3">
        <f>1950.2+(1260.8-1009.9)+(-0.994602+(-0.643008--0.515049))+0-659.2--0.336191999999933</f>
        <v>1541.1136309999997</v>
      </c>
      <c r="M359" s="3">
        <f>2007.4+(1161.1-1097)+(4.095096+(2.368644-2.23788))+0-491.4-1.00245599999998</f>
        <v>1583.323404</v>
      </c>
      <c r="N359" s="3">
        <f>2315+(1115.7-1305.8)+(0+(0-0))+0-672.6-0</f>
        <v>1452.3000000000002</v>
      </c>
      <c r="O359" s="3">
        <f>2592.9+(1087.1-1556.8)+(-5.289516+(-2.217684--3.175872))+0-576.2--1.17544799999997</f>
        <v>1543.8441199999995</v>
      </c>
      <c r="P359" s="3">
        <f>2554.1+(1025.7-1424.3)+(-5.210364+(-2.092428--2.905572))+0-573.2--1.16932799999998</f>
        <v>1579.0721080000001</v>
      </c>
      <c r="Q359" s="3">
        <f>2629.5+(1089.5-1577.2)+(-4.023135+(-1.666935--2.413116))+0-526--0.80478000000003</f>
        <v>1613.3278260000002</v>
      </c>
      <c r="R359" s="3">
        <f>2570.6+(976.6-1397.2)+(-5.244024+(-1.992264--2.850288))+0-512.9--1.04631599999998</f>
        <v>1633.7603159999999</v>
      </c>
      <c r="S359" s="3">
        <f>2668.7+(860.1-1335.1)+(2.722074+(0.877302-1.361802))+0-565.7-0.57701400000009</f>
        <v>1629.6605599999998</v>
      </c>
      <c r="T359" s="3">
        <f>2616.5+(834.1-1317.4)+(-2.66883+(-0.850782--1.343748))+0-540--0.550800000000086</f>
        <v>1591.574936</v>
      </c>
      <c r="U359" s="3">
        <f>2737.6+(942.1-1531.3)+(0+(0-0))+0-600.3-0</f>
        <v>1548.1000000000001</v>
      </c>
      <c r="V359" s="3">
        <f>2587.3+(1032.8-1506.6)+(-5.278092+(-2.106912--3.073464))+0-567.5--1.15769999999998</f>
        <v>1542.8461599999998</v>
      </c>
      <c r="W359" s="3">
        <f>2624.8+(1051.4-1687.3)+(-1.338648+(-0.536214--0.860523))+0-496.3--0.25311299999995</f>
        <v>1491.8387740000003</v>
      </c>
      <c r="X359" s="3">
        <f>3257.5+(966.2-1869.7)+(-1.661325+(-0.492762--0.953547))+0-533.1--0.271880999999946</f>
        <v>1819.9713410000002</v>
      </c>
      <c r="Y359" s="3">
        <f>3252.2+(993.8-1613.7)+(-9.951732+(-3.041028--4.937922))+0-540.9--1.65515400000006</f>
        <v>2085.0003159999997</v>
      </c>
      <c r="Z359" s="3">
        <f>2753.1+(1148.1-1464.6)+(-4.212243+(-1.756593--2.240838))+0-485.5--0.742815000000028</f>
        <v>1948.1148170000001</v>
      </c>
      <c r="AA359" s="3">
        <f>2967.9+(1197.1-1722.3)+(-4.540887+(-1.831563--2.635119))+0-559.6--0.856188000000032</f>
        <v>1880.2188570000001</v>
      </c>
      <c r="AB359" s="3">
        <f>2921.4+(1254.5-1871.7)+(-5.959656+(-2.55918--3.818268))+0-496.8--1.01347199999998</f>
        <v>1803.7129039999998</v>
      </c>
      <c r="AC359" s="3">
        <f>2603.6+(1345-1708.7)+(-6.63918+(-3.42975--4.357185))+0-547.1--1.39510499999992</f>
        <v>1688.4833599999995</v>
      </c>
      <c r="AD359">
        <f t="shared" si="5"/>
        <v>38622.041361000003</v>
      </c>
      <c r="AE359" s="3">
        <f>3341+(945.5-1778.2)+(0+(0-0))+0-458.3-0</f>
        <v>2050</v>
      </c>
    </row>
    <row r="360" spans="1:31" customFormat="1" x14ac:dyDescent="0.25">
      <c r="A360">
        <v>89</v>
      </c>
      <c r="B360">
        <v>12</v>
      </c>
      <c r="C360">
        <v>24</v>
      </c>
      <c r="D360">
        <v>4</v>
      </c>
      <c r="E360">
        <v>1</v>
      </c>
      <c r="F360" s="3">
        <f>1999.9+(1408.5-1221.9)+(-6.119694+(-4.31001--3.739014))+0-626.6--1.91739600000007</f>
        <v>1555.1267060000002</v>
      </c>
      <c r="G360" s="3">
        <f>1904.7+(1339.8-1105.1)+(-4.856985+(-3.41649--2.818005))+0-685.3--1.7475149999999</f>
        <v>1450.3920450000001</v>
      </c>
      <c r="H360" s="3">
        <f>1938.2+(1197.9-1046.8)+(0+(0-0))+0-602.1-0</f>
        <v>1487.2000000000003</v>
      </c>
      <c r="I360" s="3">
        <f>1896.5+(1197.6-979.6)+(-5.80329+(-3.664656--2.997576))+0-672.2--2.05693200000008</f>
        <v>1437.8865620000001</v>
      </c>
      <c r="J360" s="3">
        <f>1836.5+(1182.6-901.6)+(2.809845+(1.809378-1.379448))+0-652.7-0.998631000000038</f>
        <v>1467.041144</v>
      </c>
      <c r="K360" s="3">
        <f>1929.2+(1150.7-1016.1)+(-4.91946+(-2.934285--2.591055))+0-663.8--1.6926899999999</f>
        <v>1396.43</v>
      </c>
      <c r="L360" s="3">
        <f>1893.6+(1231.3-928.1)+(-2.897208+(-1.883889--1.419993))+0-670.4--1.02571200000004</f>
        <v>1524.0646079999997</v>
      </c>
      <c r="M360" s="3">
        <f>1820.9+(1300-990.5)+(-1.857318+(-1.326--1.01031))+0-619.6--0.631992000000099</f>
        <v>1509.2589840000001</v>
      </c>
      <c r="N360" s="3">
        <f>1961+(1364-1109.9)+(0+(0-0))+0-614.8-0</f>
        <v>1600.3</v>
      </c>
      <c r="O360" s="3">
        <f>2356.8+(1372.9-1581.4)+(-2.403936+(-1.400358--1.613028))+0-536.7--0.547434000000086</f>
        <v>1609.9561680000004</v>
      </c>
      <c r="P360" s="3">
        <f>2881.9+(1178.9-1790.1)+(-1.469769+(-0.601239--0.912951))+0-638.6--0.325685999999935</f>
        <v>1631.2676290000002</v>
      </c>
      <c r="Q360" s="3">
        <f>3051.3+(1068.3-1880.3)+(-4.668489+(-1.634499--2.876859))+0-573--0.876690000000033</f>
        <v>1663.7505610000003</v>
      </c>
      <c r="R360" s="3">
        <f>3031.1+(1021.4-1803.1)+(-3.091722+(-1.041828--1.839162))+0-606.6--0.618732000000097</f>
        <v>1641.1243440000005</v>
      </c>
      <c r="S360" s="3">
        <f>3081.7+(994.6-1826.8)+(-1.571667+(-0.507246--0.931668))+0-638.1--0.325430999999935</f>
        <v>1610.578186</v>
      </c>
      <c r="T360" s="3">
        <f>2879.6+(996.3-1707.9)+(-1.468596+(-0.508113--0.871029))+0-592--0.30191999999994</f>
        <v>1575.1962399999998</v>
      </c>
      <c r="U360" s="3">
        <f>2550.3+(1091-1429.1)+(-3.901959+(-1.66923--2.186523))+0-647.1--0.990063000000037</f>
        <v>1562.7053970000004</v>
      </c>
      <c r="V360" s="3">
        <f>2411+(1128.3-1335.7)+(-9.83688+(-4.603464--5.449656))+0-597.1--2.43616799999995</f>
        <v>1599.9454800000001</v>
      </c>
      <c r="W360" s="3">
        <f>2373.1+(1186.6-1154.4)+(1.210281+(0.605166-0.588744))+0-564.8-0.288047999999943</f>
        <v>1841.4386549999997</v>
      </c>
      <c r="X360" s="3">
        <f>3127.7+(1104.1-2180.2)+(1.595127+(0.563091-1.111902))+0-215.1-0.109700999999978</f>
        <v>1837.4366149999998</v>
      </c>
      <c r="Y360" s="3">
        <f>3504.4+(1230.1-2305.8)+(-7.148976+(-2.509404--4.703832))+0-435.2--0.887807999999981</f>
        <v>1989.4332599999996</v>
      </c>
      <c r="Z360" s="3">
        <f>3361.9+(1318.3-2092.7)+(-3.429138+(-1.344666--2.134554))+0-586.5--0.598230000000094</f>
        <v>1998.9589799999999</v>
      </c>
      <c r="AA360" s="3">
        <f>2919+(1383.4-1850.2)+(-2.97738+(-1.411068--1.887204))+0-485.1--0.494802000000077</f>
        <v>1965.093558</v>
      </c>
      <c r="AB360" s="3">
        <f>2298.9+(1466.8-1332.5)+(-1.172439+(-0.748068--0.679575))+0-513.4--0.261833999999948</f>
        <v>1918.8209019999995</v>
      </c>
      <c r="AC360" s="3">
        <f>1645.6+(1474.2-1004.1)+(-0.839256+(-0.751842--0.512091))+0-369--0.188189999999963</f>
        <v>1745.8091829999998</v>
      </c>
      <c r="AD360">
        <f t="shared" si="5"/>
        <v>39619.215206999994</v>
      </c>
      <c r="AE360" s="3">
        <f>3626+(1225.3-2325.5)+(0+(0-0))+0-494.7-0</f>
        <v>2031.1000000000001</v>
      </c>
    </row>
    <row r="361" spans="1:31" customFormat="1" x14ac:dyDescent="0.25">
      <c r="A361">
        <v>89</v>
      </c>
      <c r="B361">
        <v>12</v>
      </c>
      <c r="C361">
        <v>25</v>
      </c>
      <c r="D361">
        <v>5</v>
      </c>
      <c r="E361">
        <v>1</v>
      </c>
      <c r="F361" s="3">
        <f>1599.1+(1565.5-1003.5)+(-0.815541+(-0.798405--0.511785))+0-568--0.289679999999942</f>
        <v>1592.287519</v>
      </c>
      <c r="G361" s="3">
        <f>1592+(1525.6-1064.8)+(-1.62384+(-1.556112--1.086096))+0-546.4--0.557328000000087</f>
        <v>1504.8634720000002</v>
      </c>
      <c r="H361" s="3">
        <f>1626+(1361-920)+(-3.31704+(-2.77644--1.8768))+0-620.2--1.26520799999997</f>
        <v>1443.848528</v>
      </c>
      <c r="I361" s="3">
        <f>1544.8+(1304.2-861.7)+(1.575696+(1.330284-0.878934))+0-591.5-0.603330000000094</f>
        <v>1397.2237159999997</v>
      </c>
      <c r="J361" s="3">
        <f>1602.8+(1295-838.2)+(0+(0-0))+0-648.2-0</f>
        <v>1411.3999999999999</v>
      </c>
      <c r="K361" s="3">
        <f>1689.8+(1254.5-882.3)+(1.723596+(1.27959-0.899946))+0-625.4-0.6379080000001</f>
        <v>1438.0653319999997</v>
      </c>
      <c r="L361" s="3">
        <f>1507+(1280.1-687.2)+(-3.84285+(-3.264255--1.75236))+0-561.3--1.43131499999992</f>
        <v>1534.6765699999994</v>
      </c>
      <c r="M361" s="3">
        <f>1690.7+(1353.3-954.1)+(1.724514+(1.380366-0.973182))+0-517.2-0.527544000000083</f>
        <v>1574.3041540000002</v>
      </c>
      <c r="N361" s="3">
        <f>2322.9+(1404-1650)+(1.184679+(0.71604-0.8415))+0-368.2-0.187781999999963</f>
        <v>1709.5714370000003</v>
      </c>
      <c r="O361" s="3">
        <f>2939.4+(1372.3-2012.8)+(-2.998188+(-1.399746--2.053056))+0-606.6--0.618732000000097</f>
        <v>1690.5738540000004</v>
      </c>
      <c r="P361" s="3">
        <f>3048.1+(1371.2-2240.4)+(3.109062+(1.398624-2.285208))+0-442.4-0.451248000000071</f>
        <v>1738.2712299999996</v>
      </c>
      <c r="Q361" s="3">
        <f>3372.2+(1531.2-2685.6)+(5.159466+(2.342736-4.108968))+0-474-0.725220000000027</f>
        <v>1746.4680140000003</v>
      </c>
      <c r="R361" s="3">
        <f>2821.6+(1474-2150.2)+(-4.317048+(-2.25522--3.289806))+0-449.2--0.687276000000026</f>
        <v>1693.604814</v>
      </c>
      <c r="S361" s="3">
        <f>2586.4+(1493.5-1823.6)+(-1.319064+(-0.761685--0.930036))+0-501.2--0.255611999999949</f>
        <v>1754.2048990000001</v>
      </c>
      <c r="T361" s="3">
        <f>2498+(1427-1856)+(-3.82194+(-2.18331--2.83968))+0-429.6--0.657288000000025</f>
        <v>1636.8917180000001</v>
      </c>
      <c r="U361" s="3">
        <f>2358.9+(1336.1-1695)+(-4.812156+(-2.725644--3.4578))+0-376.8--0.768671999999984</f>
        <v>1619.888672</v>
      </c>
      <c r="V361" s="3">
        <f>2471+(1203.3-1645.8)+(-2.52042+(-1.227366--1.678716))+0-400.4--0.408408000000064</f>
        <v>1626.4393379999999</v>
      </c>
      <c r="W361" s="3">
        <f>2103.9+(1228.3-1162.2)+(-6.437934+(-3.758598--3.556332))+0-511.4--1.56488400000006</f>
        <v>1653.5246840000002</v>
      </c>
      <c r="X361" s="3">
        <f>3105.4+(1162.4-1844.7)+(1.583754+(0.592824-0.940797))+0-520.6-0.265505999999947</f>
        <v>1903.4702750000004</v>
      </c>
      <c r="Y361" s="3">
        <f>3855.3+(1293.9-2489.2)+(-9.831015+(-3.299445--6.34746))+0-544--1.38719999999992</f>
        <v>2110.6042000000007</v>
      </c>
      <c r="Z361" s="3">
        <f>3228.5+(1266.1-2039.2)+(-3.29307+(-1.291422--2.079984))+0-460--0.469200000000073</f>
        <v>1993.3646919999996</v>
      </c>
      <c r="AA361" s="3">
        <f>3122.7+(1301.6-1818.4)+(-7.962885+(-3.31908--4.63692))+0-588.1--1.49965499999991</f>
        <v>2012.6546099999994</v>
      </c>
      <c r="AB361" s="3">
        <f>2418.5+(1344.1-1229.8)+(-6.167175+(-3.427455--3.13599))+0-611.7--1.55983499999991</f>
        <v>1916.2011950000003</v>
      </c>
      <c r="AC361" s="3">
        <f>1691.4+(1476.5-714.2)+(-3.450456+(-3.01206--1.456968))+0-671.7--1.37026799999997</f>
        <v>1778.3647199999996</v>
      </c>
      <c r="AD361">
        <f t="shared" si="5"/>
        <v>40480.767642999999</v>
      </c>
      <c r="AE361" s="3">
        <f>4161+(1274.7-2755.3)+(0+(0-0))+0-588.5-0</f>
        <v>2091.8999999999996</v>
      </c>
    </row>
    <row r="362" spans="1:31" customFormat="1" x14ac:dyDescent="0.25">
      <c r="A362">
        <v>89</v>
      </c>
      <c r="B362">
        <v>12</v>
      </c>
      <c r="C362">
        <v>26</v>
      </c>
      <c r="D362">
        <v>6</v>
      </c>
      <c r="E362">
        <v>1</v>
      </c>
      <c r="F362" s="3">
        <f>1611.8+(1366-798.1)+(-2.466054+(-2.08998--1.221093))+0-613.8--0.939114000000035</f>
        <v>1563.5041729999998</v>
      </c>
      <c r="G362" s="3">
        <f>1666+(1302.6-893.5)+(-1.69932+(-1.328652--0.91137))+0-631.3--0.643926000000101</f>
        <v>1442.3273240000001</v>
      </c>
      <c r="H362" s="3">
        <f>1548.4+(1229.5-791.8)+(-2.369052+(-1.881135--1.211454))+0-582.8--0.891684000000034</f>
        <v>1401.152951</v>
      </c>
      <c r="I362" s="3">
        <f>1654.1+(1179.8-826.3)+(0.843591+(0.601698-0.421413))+0-638.5-0.325634999999935</f>
        <v>1369.798241</v>
      </c>
      <c r="J362" s="3">
        <f>1760.5+(1175.3-975.3)+(-2.693565+(-1.798209--1.492209))+0-572.2--0.875466000000033</f>
        <v>1386.1759009999998</v>
      </c>
      <c r="K362" s="3">
        <f>1702+(1323.8-1000.2)+(-0.86802+(-0.675138--0.510102))+0-612.4--0.312323999999938</f>
        <v>1412.479268</v>
      </c>
      <c r="L362" s="3">
        <f>1565.4+(1381.9-796)+(-3.193416+(-2.819076--1.62384))+0-607--1.23827999999997</f>
        <v>1541.1496280000001</v>
      </c>
      <c r="M362" s="3">
        <f>1999.1+(1377.1-1136.8)+(1.019541+(0.702321-0.579768))+0-687.3-0.35052299999993</f>
        <v>1552.8915709999997</v>
      </c>
      <c r="N362" s="3">
        <f>2421.6+(1282.7-1611.5)+(1.235016+(0.654177-0.821865))+0-575.7-0.293606999999942</f>
        <v>1517.8737210000004</v>
      </c>
      <c r="O362" s="3">
        <f>2886.8+(1197.6-1915.5)+(-4.416804+(-1.832328--2.930715))+0-567.2--0.867816000000033</f>
        <v>1599.249399</v>
      </c>
      <c r="P362" s="3">
        <f>2975.7+(1171-1971.6)+(-4.552821+(-1.79163--3.016548))+0-543.5--0.831555000000031</f>
        <v>1629.103652</v>
      </c>
      <c r="Q362" s="3">
        <f>3161.3+(1110.7-1981)+(-1.612263+(-0.566457--1.01031))+0-602.3--0.307172999999939</f>
        <v>1687.8387629999997</v>
      </c>
      <c r="R362" s="3">
        <f>2957.3+(1063.6-1834.7)+(-4.524669+(-1.627308--2.807091))+0-491.9--0.752607000000028</f>
        <v>1691.707721</v>
      </c>
      <c r="S362" s="3">
        <f>3110.5+(1053.2-1823.5)+(0+(0-0))+0-668.3-0</f>
        <v>1671.8999999999999</v>
      </c>
      <c r="T362" s="3">
        <f>2828.4+(1022.9-1735.2)+(-4.327452+(-1.565037--2.654856))+0-501--0.766530000000029</f>
        <v>1612.6288969999998</v>
      </c>
      <c r="U362" s="3">
        <f>2539.2+(996.6-1390.7)+(-9.064944+(-3.557862--4.964799))+0-565.1--2.01740700000001</f>
        <v>1574.3594000000001</v>
      </c>
      <c r="V362" s="3">
        <f>2608.7+(916.7-1406.9)+(-2.660874+(-0.935034--1.435038))+0-515.6--0.525912000000082</f>
        <v>1601.265042</v>
      </c>
      <c r="W362" s="3">
        <f>2832.2+(974.3-1635.5)+(-5.777688+(-1.987572--3.33642))+0-549.9--1.12179599999998</f>
        <v>1617.7929559999998</v>
      </c>
      <c r="X362" s="3">
        <f>3405.3+(1059.8-2020.1)+(0+(0-0))+0-638.7-0</f>
        <v>1806.3</v>
      </c>
      <c r="Y362" s="3">
        <f>3339.5+(1180.2-2008.5)+(-6.81258+(-2.407608--4.09734))+0-538.6--1.09874399999998</f>
        <v>1968.5758959999998</v>
      </c>
      <c r="Z362" s="3">
        <f>3462.3+(1123.7-2011.1)+(-5.297319+(-1.719261--3.076983))+0-636.8--0.974304000000037</f>
        <v>1935.1347070000006</v>
      </c>
      <c r="AA362" s="3">
        <f>3512+(1236.6-2293)+(-1.79112+(-0.630666--1.16943))+0-587.4--0.29957399999994</f>
        <v>1867.2472179999997</v>
      </c>
      <c r="AB362" s="3">
        <f>3064.1+(1503.7-2115.6)+(4.688073+(2.300661-3.236868))+0-674.3-1.03167900000004</f>
        <v>1780.620187</v>
      </c>
      <c r="AC362" s="3">
        <f>2609.8+(1539.9-1830.6)+(-6.65499+(-3.926745--4.66803))+0-588.5--1.50067499999991</f>
        <v>1726.1869700000004</v>
      </c>
      <c r="AD362">
        <f t="shared" si="5"/>
        <v>38957.263586000001</v>
      </c>
      <c r="AE362" s="3">
        <f>3578+(1232-2138.5)+(0+(0-0))+0-720.8-0</f>
        <v>1950.7</v>
      </c>
    </row>
    <row r="363" spans="1:31" customFormat="1" x14ac:dyDescent="0.25">
      <c r="A363">
        <v>89</v>
      </c>
      <c r="B363">
        <v>12</v>
      </c>
      <c r="C363">
        <v>27</v>
      </c>
      <c r="D363">
        <v>7</v>
      </c>
      <c r="E363">
        <v>1</v>
      </c>
      <c r="F363" s="3">
        <f>1976.6+(1224.6-1295.8)+(-4.032264+(-2.498184--2.643432))+0-641.4--1.30845599999997</f>
        <v>1261.4214399999998</v>
      </c>
      <c r="G363" s="3">
        <f>1664.7+(1068.5-834.6)+(-2.546991+(-1.634805--1.276938))+0-579.6--0.886788000000034</f>
        <v>1316.9819299999997</v>
      </c>
      <c r="H363" s="3">
        <f>1670.9+(1041-756.3)+(-0.852159+(-0.53091--0.385713))+0-683--0.348329999999931</f>
        <v>1271.9509740000001</v>
      </c>
      <c r="I363" s="3">
        <f>1685.1+(977.8-847.8)+(-2.578203+(-1.496034--1.297134))+0-573.7--0.877761000000033</f>
        <v>1239.5006579999999</v>
      </c>
      <c r="J363" s="3">
        <f>1755.6+(1026.6-847.8)+(0.895356+(0.523566-0.432378))+0-688.6-0.35118599999993</f>
        <v>1246.4353580000002</v>
      </c>
      <c r="K363" s="3">
        <f>1783.7+(965.9-951.9)+(-2.729061+(-1.477827--1.456407))+0-625.8--0.957474000000036</f>
        <v>1170.1069930000001</v>
      </c>
      <c r="L363" s="3">
        <f>1726.5+(899.7-758.9)+(-1.76103+(-0.917694--0.774078))+0-576.9--0.588438000000092</f>
        <v>1289.0837920000001</v>
      </c>
      <c r="M363" s="3">
        <f>1940.5+(855.5-917.7)+(0+(0-0))+0-596.1-0</f>
        <v>1282.1999999999998</v>
      </c>
      <c r="N363" s="3">
        <f>2315.6+(753.7-1188.4)+(1.180956+(0.384387-0.606084))+0-626.8-0.319667999999936</f>
        <v>1254.739591</v>
      </c>
      <c r="O363" s="3">
        <f>2415.1+(774.3-1047.4)+(-1.231701+(-0.394893--0.534174))+0-663--0.338129999999933</f>
        <v>1478.2457099999999</v>
      </c>
      <c r="P363" s="3">
        <f>2427.7+(842.4-1143.8)+(-4.952508+(-1.718496--2.333352))+0-618.6--1.26194399999997</f>
        <v>1504.6242919999995</v>
      </c>
      <c r="Q363" s="3">
        <f>2475.4+(827.4-1218.2)+(-5.049816+(-1.687896--2.485128))+0-579.7--1.18258799999997</f>
        <v>1501.8300039999999</v>
      </c>
      <c r="R363" s="3">
        <f>2371.6+(802.8-1041.6)+(-1.209516+(-0.409428--0.531216))+0-647.6--0.330275999999934</f>
        <v>1484.4425480000002</v>
      </c>
      <c r="S363" s="3">
        <f>2194.2+(752.8-847.9)+(1.119042+(0.383928-0.432429))+0-648.8-0.330887999999934</f>
        <v>1451.039653</v>
      </c>
      <c r="T363" s="3">
        <f>2482.1+(720.9-1086.6)+(-6.329355+(-1.838295--2.77083))+0-645.8--1.64678999999991</f>
        <v>1466.8499700000002</v>
      </c>
      <c r="U363" s="3">
        <f>2348.1+(721.3-1036.9)+(-5.987655+(-1.839315--2.644095))+0-660.1--1.6832549999999</f>
        <v>1368.9003799999996</v>
      </c>
      <c r="V363" s="3">
        <f>2449.1+(716.4-1099.7)+(-3.747123+(-1.096092--1.682541))+0-636.7--0.974151000000037</f>
        <v>1426.9134769999996</v>
      </c>
      <c r="W363" s="3">
        <f>2464.9+(719.2-1112.8)+(-2.514198+(-0.733584--1.135056))+0-615.6--0.627912000000098</f>
        <v>1454.2151860000006</v>
      </c>
      <c r="X363" s="3">
        <f>3464.4+(697.9-1972.3)+(0+(0-0))+0-633.8-0</f>
        <v>1556.2</v>
      </c>
      <c r="Y363" s="3">
        <f>3913.8+(794.2-2388.4)+(-5.988114+(-1.215126--3.654252))+0-600.6--0.918918000000035</f>
        <v>1716.3699300000005</v>
      </c>
      <c r="Z363" s="3">
        <f>3650.9+(848.7-2140.9)+(-3.723918+(-0.865674--2.183718))+0-638.1--0.650862000000102</f>
        <v>1718.8449880000001</v>
      </c>
      <c r="AA363" s="3">
        <f>3561.2+(793-2061.2)+(-3.632424+(-0.80886--2.102424))+0-610.6--0.622812000000097</f>
        <v>1680.6839520000003</v>
      </c>
      <c r="AB363" s="3">
        <f>3515.7+(879.7-2162.8)+(-7.172028+(-1.794588--4.412112))+0-611.2--1.24684799999997</f>
        <v>1618.0923439999992</v>
      </c>
      <c r="AC363" s="3">
        <f>2755.1+(897.1-1602.6)+(-5.620404+(-1.830084--3.269304))+0-552.5--1.12709999999998</f>
        <v>1494.0459159999998</v>
      </c>
      <c r="AD363">
        <f t="shared" si="5"/>
        <v>34253.719085999997</v>
      </c>
      <c r="AE363" s="3">
        <f>3934+(1098.4-2359.4)+(0+(0-0))+0-681.2-0</f>
        <v>1991.8</v>
      </c>
    </row>
    <row r="364" spans="1:31" customFormat="1" x14ac:dyDescent="0.25">
      <c r="A364">
        <v>89</v>
      </c>
      <c r="B364">
        <v>12</v>
      </c>
      <c r="C364">
        <v>28</v>
      </c>
      <c r="D364">
        <v>1</v>
      </c>
      <c r="E364">
        <v>6</v>
      </c>
      <c r="F364" s="3">
        <f>2483.1+(1020.4-1295.5)+(-5.065524+(-2.081616--2.64282))+0-626.1--1.27724399999997</f>
        <v>1578.672924</v>
      </c>
      <c r="G364" s="3">
        <f>2178.6+(1066.9-1133.9)+(-5.55543+(-2.720595--2.891445))+0-631.5--1.61032499999991</f>
        <v>1476.3257449999999</v>
      </c>
      <c r="H364" s="3">
        <f>2191.8+(939.1-1114.6)+(1.117818+(0.478941-0.568446))+0-587.5-0.29962499999994</f>
        <v>1429.5286880000003</v>
      </c>
      <c r="I364" s="3">
        <f>2122.6+(926.2-1055.9)+(-5.41263+(-2.36181--2.692545))+0-584--1.48919999999992</f>
        <v>1405.3073049999998</v>
      </c>
      <c r="J364" s="3">
        <f>2199.4+(938.5-1167.9)+(2.243388+(0.95727-1.191258))+0-586.1-0.597822000000093</f>
        <v>1385.3115779999998</v>
      </c>
      <c r="K364" s="3">
        <f>2161.1+(955.2-1104.7)+(0+(0-0))+0-601.6-0</f>
        <v>1410</v>
      </c>
      <c r="L364" s="3">
        <f>1913.9+(1025.6-794.3)+(-2.928267+(-1.569168--1.215279))+0-579.3--0.886329000000033</f>
        <v>1563.5041729999996</v>
      </c>
      <c r="M364" s="3">
        <f>2459.1+(1054.7-1226.6)+(-1.254141+(-0.537897--0.625566))+0-652.2--0.332621999999934</f>
        <v>1634.1661499999998</v>
      </c>
      <c r="N364" s="3">
        <f>2267.4+(1041.2-1208.7)+(-1.156374+(-0.531012--0.616437))+0-467.1--0.238220999999953</f>
        <v>1631.9672720000001</v>
      </c>
      <c r="O364" s="3">
        <f>2615+(996.9-1390.1)+(-4.00095+(-1.525257--2.126853))+0-477--0.729810000000028</f>
        <v>1742.1304560000001</v>
      </c>
      <c r="P364" s="3">
        <f>2760.1+(927.2-1405)+(-1.407651+(-0.472872--0.71655))+0-569.2--0.290291999999942</f>
        <v>1712.2263189999999</v>
      </c>
      <c r="Q364" s="3">
        <f>2969.2+(867.4-1664.9)+(-6.057168+(-1.769496--3.396396))+0-475.1--0.969203999999979</f>
        <v>1693.1389359999998</v>
      </c>
      <c r="R364" s="3">
        <f>3129.2+(772.2-1706.2)+(-3.191784+(-0.787644--1.740324))+0-479.8--0.489396000000076</f>
        <v>1713.6502919999998</v>
      </c>
      <c r="S364" s="3">
        <f>3183+(764.6-1783.7)+(0+(0-0))+0-457.4-0</f>
        <v>1706.5</v>
      </c>
      <c r="T364" s="3">
        <f>3337.9+(731.6-1839.3)+(1.702329+(0.373116-0.938043))+0-544.7-0.277796999999945</f>
        <v>1686.3596050000001</v>
      </c>
      <c r="U364" s="3">
        <f>3189.2+(892.8-1826.5)+(-1.626492+(-0.455328--0.931515))+0-606.1--0.309110999999939</f>
        <v>1648.558806</v>
      </c>
      <c r="V364" s="3">
        <f>3099.6+(1008.1-2017.8)+(-7.90398+(-2.570655--5.14539))+0-463.2--1.18115999999993</f>
        <v>1622.551915</v>
      </c>
      <c r="W364" s="3">
        <f>3139.6+(1133.6-2138.8)+(-6.404784+(-2.312544--4.363152))+0-456.4--0.93105599999998</f>
        <v>1674.5768799999996</v>
      </c>
      <c r="X364" s="3">
        <f>3781.7+(1005.5-2349.5)+(-1.928667+(-0.512805--1.198245))+0-598.1--0.305030999999939</f>
        <v>1838.6618039999998</v>
      </c>
      <c r="Y364" s="3">
        <f>4119.8+(955.7-2370.3)+(-4.202196+(-0.974814--2.417706))+0-643--0.655860000000102</f>
        <v>2060.096556</v>
      </c>
      <c r="Z364" s="3">
        <f>4270.5+(966.2-2615.6)+(-2.177955+(-0.492762--1.333956))+0-634.5--0.323594999999936</f>
        <v>1985.5868340000002</v>
      </c>
      <c r="AA364" s="3">
        <f>4338.2+(940.7-2751.4)+(-6.637446+(-1.439271--4.209642))+0-582.5--0.891225000000034</f>
        <v>1942.02415</v>
      </c>
      <c r="AB364" s="3">
        <f>4260.1+(893.3-2735.7)+(-6.517953+(-1.366749--4.185621))+0-561.4--0.858942000000032</f>
        <v>1853.4598610000005</v>
      </c>
      <c r="AC364" s="3">
        <f>3836.9+(629-2096.1)+(-5.870457+(-0.96237--3.207033))+0-642.1--0.982413000000037</f>
        <v>1725.0566190000002</v>
      </c>
      <c r="AD364">
        <f t="shared" si="5"/>
        <v>40119.362868000004</v>
      </c>
      <c r="AE364" s="3">
        <f>4284+(927.6-2443.9)+(0+(0-0))+0-750.3-0</f>
        <v>2017.3999999999999</v>
      </c>
    </row>
    <row r="365" spans="1:31" customFormat="1" x14ac:dyDescent="0.25">
      <c r="A365">
        <v>89</v>
      </c>
      <c r="B365">
        <v>12</v>
      </c>
      <c r="C365">
        <v>29</v>
      </c>
      <c r="D365">
        <v>2</v>
      </c>
      <c r="E365">
        <v>2</v>
      </c>
      <c r="F365" s="3">
        <f>3379.9+(633.4-1737.7)+(-5.171247+(-0.969102--2.658681))+0-595.7--0.911421000000034</f>
        <v>1677.329753</v>
      </c>
      <c r="G365" s="3">
        <f>2870.5+(705.6-1423)+(-4.391865+(-1.079568--2.17719))+0-558.1--0.853893000000032</f>
        <v>1592.5596500000001</v>
      </c>
      <c r="H365" s="3">
        <f>2586.1+(741-1214.3)+(-5.275644+(-1.51164--2.477172))+0-617.3--1.25929199999997</f>
        <v>1492.4491800000001</v>
      </c>
      <c r="I365" s="3">
        <f>2629.5+(683.5-1218.6)+(1.341045+(0.348585-0.621486))+0-615.7-0.314006999999938</f>
        <v>1479.4541369999999</v>
      </c>
      <c r="J365" s="3">
        <f>2657.5+(692.4-1250.2)+(4.065975+(1.059372-1.912806))+0-666-1.01898000000004</f>
        <v>1435.8935609999996</v>
      </c>
      <c r="K365" s="3">
        <f>2607.6+(668.8-1251)+(-2.659752+(-0.682176--1.27602))+0-560.1--0.571302000000089</f>
        <v>1463.8053939999998</v>
      </c>
      <c r="L365" s="3">
        <f>2405.6+(616-859.2)+(-3.680568+(-0.94248--1.314576))+0-669.6--1.02448800000004</f>
        <v>1490.5160159999996</v>
      </c>
      <c r="M365" s="3">
        <f>2693.7+(536.3-1100)+(5.495148+(1.094052-2.244))+0-579.4-1.18197599999997</f>
        <v>1553.763224</v>
      </c>
      <c r="N365" s="3">
        <f>2667.3+(698.1-1049.1)+(0+(0-0))+0-702.9-0</f>
        <v>1613.4</v>
      </c>
      <c r="O365" s="3">
        <f>2738+(733.6-1233.4)+(-2.79276+(-0.748272--1.258068))+0-546.3--0.557226000000087</f>
        <v>1690.174262</v>
      </c>
      <c r="P365" s="3">
        <f>2988.3+(673.6-1393.3)+(-6.096132+(-1.374144--2.842332))+0-546.3--1.11445199999998</f>
        <v>1718.7865080000006</v>
      </c>
      <c r="Q365" s="3">
        <f>3077.2+(471.6-1272.4)+(-4.708116+(-0.721548--1.946772))+0-546.3--0.835839000000032</f>
        <v>1727.4529469999998</v>
      </c>
      <c r="R365" s="3">
        <f>3300.1+(369.2-1319.5)+(-5.049153+(-0.564876--2.018835))+0-584.8--0.894744000000034</f>
        <v>1762.2995500000002</v>
      </c>
      <c r="S365" s="3">
        <f>3205.8+(419.2-1329.6)+(-8.17479+(-1.06896--3.39048))+0-585.9--1.49404499999992</f>
        <v>1705.1407750000003</v>
      </c>
      <c r="T365" s="3">
        <f>3109.5+(567.4-1326.9)+(-6.34338+(-1.157496--2.706876))+0-691.3--1.41025199999997</f>
        <v>1655.3162520000001</v>
      </c>
      <c r="U365" s="3">
        <f>3096.9+(524.5-1454.4)+(-4.738257+(-0.802485--2.225232))+0-532.8--0.815184000000031</f>
        <v>1631.6996740000002</v>
      </c>
      <c r="V365" s="3">
        <f>3155.5+(311.8-1238.5)+(1.609305+(0.159018-0.631635))+0-570.4-0.290903999999942</f>
        <v>1659.2457840000002</v>
      </c>
      <c r="W365" s="3">
        <f>3406.2+(338.5-1397.5)+(0+(0-0))+0-662.2-0</f>
        <v>1684.9999999999998</v>
      </c>
      <c r="X365" s="3">
        <f>4616.7+(269.9-2386.1)+(2.354517+(0.137649-1.216911))+0-622-0.317219999999937</f>
        <v>1879.4580350000001</v>
      </c>
      <c r="Y365" s="3">
        <f>5060+(333.9-2759.7)+(-12.903+(-0.851445--7.037235))+0-584.7--1.49098499999992</f>
        <v>2044.2737750000003</v>
      </c>
      <c r="Z365" s="3">
        <f>5088.2+(199.3-2668.5)+(-7.784946+(-0.304929--4.082805))+0-617.4--0.944622000000036</f>
        <v>1998.5375519999998</v>
      </c>
      <c r="AA365" s="3">
        <f>4896.2+(89.6-2479.5)+(-4.994124+(-0.091392--2.52909))+0-554.8--0.565896000000088</f>
        <v>1949.5094699999997</v>
      </c>
      <c r="AB365" s="3">
        <f>4734+(115.3-2368.9)+(-2.41434+(-0.058803--1.208139))+0-616.3--0.314312999999937</f>
        <v>1863.1493090000001</v>
      </c>
      <c r="AC365" s="3">
        <f>4506.1+(82.9-2131.5)+(-9.192444+(-0.169116--4.34826))+0-666.2--1.35904799999997</f>
        <v>1787.6457480000004</v>
      </c>
      <c r="AD365">
        <f t="shared" si="5"/>
        <v>40556.860556</v>
      </c>
      <c r="AE365" s="3">
        <f>5008+(314.3-2748.7)+(0+(0-0))+0-596.7-0</f>
        <v>1976.9000000000003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89</v>
      </c>
      <c r="B1">
        <v>1</v>
      </c>
      <c r="C1">
        <v>1</v>
      </c>
      <c r="D1">
        <v>2</v>
      </c>
      <c r="E1">
        <v>2</v>
      </c>
      <c r="F1" s="3">
        <f>2183.9+(31.5-764)+(0+(0-0))+0--163.2-0</f>
        <v>1614.6000000000001</v>
      </c>
      <c r="G1" s="3">
        <f>2115.6+(26.5-800.3)+(0+(0-0))+0--163-0</f>
        <v>1504.8</v>
      </c>
      <c r="H1" s="3">
        <f>2017.5+(27.8-784.4)+(0+(0-0))+0--163-0</f>
        <v>1423.9</v>
      </c>
      <c r="I1" s="3">
        <f>2017.2+(30.6-817.7)+(-1.028772+(-0.015606--0.417027))+0--163.1-0.0831809999999834</f>
        <v>1392.4894679999998</v>
      </c>
      <c r="J1" s="3">
        <f>2009.5+(32.9-824.6)+(-5.124225+(-0.083895--2.10273))+0--163.5-0.416924999999976</f>
        <v>1377.777685</v>
      </c>
      <c r="K1" s="3">
        <f>2030.5+(35.6-831.3)+(-1.035555+(-0.018156--0.423963))+0--163.9-0.0835889999999834</f>
        <v>1397.9866630000001</v>
      </c>
      <c r="L1" s="3">
        <f>2018.8+(34.4-835)+(-5.14794+(-0.08772--2.12925))+0--128.7-0.328184999999981</f>
        <v>1343.4654049999997</v>
      </c>
      <c r="M1" s="3">
        <f>2041+(28.8-762.9)+(3.12273+(0.044064-1.167237))+0--76.5--0.117045000000004</f>
        <v>1385.5166020000001</v>
      </c>
      <c r="N1" s="3">
        <f>2030.9+(33.1-669.9)+(0+(0-0))+0--77.3-0</f>
        <v>1471.4</v>
      </c>
      <c r="O1" s="3">
        <f>2009.8+(46.7-605.2)+(-4.099992+(-0.095268--1.234608))+0--77.9-0.158915999999997</f>
        <v>1526.080432</v>
      </c>
      <c r="P1" s="3">
        <f>1998+(51.8-578.3)+(-5.0949+(-0.13209--1.474665))+0--78.3-0.199664999999989</f>
        <v>1545.8480099999999</v>
      </c>
      <c r="Q1" s="3">
        <f>1989.3+(54.3-573.4)+(-2.029086+(-0.055386--0.584868))+0--78.7-0.0802740000000126</f>
        <v>1547.3201219999999</v>
      </c>
      <c r="R1" s="3">
        <f>1984.9+(47.4-580.2)+(-2.024598+(-0.048348--0.591804))+0--79.2-0.0807840000000126</f>
        <v>1529.7380739999999</v>
      </c>
      <c r="S1" s="3">
        <f>1987.7+(40.8-580.2)+(0+(0-0))+0--79.4-0</f>
        <v>1527.7</v>
      </c>
      <c r="T1" s="3">
        <f>1995.4+(42.3-599.6)+(-3.052962+(-0.064719--0.917388))+0--80-0.122400000000005</f>
        <v>1515.7773069999998</v>
      </c>
      <c r="U1" s="3">
        <f>2000.8+(41.8-611.6)+(-3.061224+(-0.063954--0.935748))+0--81.9-0.125307000000005</f>
        <v>1510.5852630000002</v>
      </c>
      <c r="V1" s="3">
        <f>1955.6+(48.9-576.9)+(-2.992068+(-0.074817--0.882657))+0--81.4-0.124542000000005</f>
        <v>1506.6912299999999</v>
      </c>
      <c r="W1" s="3">
        <f>1955.6+(56.4-563.4)+(-1.994712+(-0.057528--0.574668))+0--80.2-0.0818040000000128</f>
        <v>1527.240624</v>
      </c>
      <c r="X1" s="3">
        <f>2147.3+(80-545.9)+(-1.095123+(-0.0408--0.278409))+0--83.8-0.0427379999999915</f>
        <v>1764.2997479999999</v>
      </c>
      <c r="Y1" s="3">
        <f>2392+(83.3-697.2)+(0+(0-0))+0--87.7-0</f>
        <v>1865.8</v>
      </c>
      <c r="Z1" s="3">
        <f>2332.8+(70.5-672.8)+(-1.189728+(-0.035955--0.343128))+0--84.1-0.0428909999999915</f>
        <v>1813.6745540000002</v>
      </c>
      <c r="AA1" s="3">
        <f>2401.4+(45.5-755.3)+(-6.12357+(-0.116025--1.926015))+0--83.4-0.212669999999988</f>
        <v>1770.4737500000003</v>
      </c>
      <c r="AB1" s="3">
        <f>2411.1+(32.4-813.6)+(-2.459322+(-0.033048--0.829872))+0--83.8-0.0854760000000134</f>
        <v>1711.9520259999999</v>
      </c>
      <c r="AC1" s="3">
        <f>2368.5+(14.6-846.6)+(-8.455545+(-0.052122--3.022362))+0--81.9-0.292383000000001</f>
        <v>1612.6223120000002</v>
      </c>
      <c r="AD1">
        <f t="shared" ref="AD1:AD64" si="0">SUM(F1:AC1)</f>
        <v>37187.739275</v>
      </c>
      <c r="AE1" s="3">
        <f>2408+(89-694)+(0+(0-0))+0--88-0</f>
        <v>1891</v>
      </c>
    </row>
    <row r="2" spans="1:31" s="2" customFormat="1" x14ac:dyDescent="0.25">
      <c r="A2">
        <v>89</v>
      </c>
      <c r="B2">
        <v>1</v>
      </c>
      <c r="C2">
        <v>2</v>
      </c>
      <c r="D2">
        <v>3</v>
      </c>
      <c r="E2">
        <v>2</v>
      </c>
      <c r="F2" s="3">
        <f>(G2+AC1)/2</f>
        <v>1552.6531185000001</v>
      </c>
      <c r="G2" s="3">
        <f>2310.5+(13-908)+(-5.891775+(-0.03315--2.3154))+0--81-0.206549999999988</f>
        <v>1492.683925</v>
      </c>
      <c r="H2" s="3">
        <f>2306.6+(12-966.1)+(-7.058196+(-0.03672--2.956266))+0--79.8-0.244188000000009</f>
        <v>1427.9171619999997</v>
      </c>
      <c r="I2" s="3">
        <f>2159.2+(17.5-885.9)+(-2.202384+(-0.01785--0.903618))+0--78.9-0.0804780000000126</f>
        <v>1368.3029059999997</v>
      </c>
      <c r="J2" s="3">
        <f>1962+(16.3-725.2)+(0+(0-0))+0--79-0</f>
        <v>1332.1</v>
      </c>
      <c r="K2" s="3">
        <f>1974.7+(17.9-744.1)+(2.014194+(0.018258-0.758982))+0--79--0.0805800000000126</f>
        <v>1328.8540500000001</v>
      </c>
      <c r="L2" s="3">
        <f>1976.8+(21.1-728.3)+(1.008168+(0.010761-0.371433))+0--79--0.040289999999992</f>
        <v>1349.2877859999999</v>
      </c>
      <c r="M2" s="3">
        <f>1977.1+(23.9-746.9)+(-5.041605+(-0.060945--1.904595))+0--77.8-0.198389999999989</f>
        <v>1328.5036549999998</v>
      </c>
      <c r="N2" s="3">
        <f>1989.9+(30.9-698.7)+(-2.029698+(-0.031518--0.712674))+0--78.7-0.0802740000000126</f>
        <v>1399.3711840000001</v>
      </c>
      <c r="O2" s="3">
        <f>2077.6+(25.7-691.9)+(-2.119152+(-0.026214--0.705738))+0--79.1-0.0806820000000126</f>
        <v>1488.9796899999999</v>
      </c>
      <c r="P2" s="3">
        <f>2079.9+(34.7-636.1)+(-2.121498+(-0.035394--0.648822))+0--79.7-0.0812940000000127</f>
        <v>1556.6106359999999</v>
      </c>
      <c r="Q2" s="3">
        <f>2166.7+(42.1-704.6)+(-3.315051+(-0.064413--1.078038))+0--80.6-0.123318000000005</f>
        <v>1582.3752559999998</v>
      </c>
      <c r="R2" s="3">
        <f>2059.5+(41.3-610.7)+(0+(0-0))+0--91.7-0</f>
        <v>1581.8</v>
      </c>
      <c r="S2" s="3">
        <f>2276.1+(16.5-795.3)+(-5.804055+(-0.042075--2.028015))+0--93.1-0.237404999999986</f>
        <v>1586.3444799999997</v>
      </c>
      <c r="T2" s="3">
        <f>2041.5+(42.9-626.5)+(-1.041165+(-0.021879--0.319515))+0--122.3-0.0623729999999876</f>
        <v>1579.394098</v>
      </c>
      <c r="U2" s="3">
        <f>1950.1+(54.6-613.8)+(-0.994551+(-0.027846--0.313038))+0--157.6-0.080375999999984</f>
        <v>1547.7102650000002</v>
      </c>
      <c r="V2" s="3">
        <f>1993+(55.9-647.7)+(-3.04929+(-0.085527--0.990981))+0--157.5-0.240975000000009</f>
        <v>1556.3151889999999</v>
      </c>
      <c r="W2" s="3">
        <f>1965.7+(53.2-564.1)+(-2.005014+(-0.054264--0.575382))+0--102.7-0.104754000000016</f>
        <v>1555.9113500000001</v>
      </c>
      <c r="X2" s="3">
        <f>1964.4+(60.7-561.2)+(0+(0-0))+0--102.5-0</f>
        <v>1566.4</v>
      </c>
      <c r="Y2" s="3">
        <f>2075.1+(161.6-570.1)+(-1.058301+(-0.082416--0.290751))+0--122.1-0.0622709999999876</f>
        <v>1787.7877629999998</v>
      </c>
      <c r="Z2" s="3">
        <f>2517.7+(62.2-845.3)+(-5.136108+(-0.126888--1.724412))+0--161.9-0.330275999999993</f>
        <v>1892.6311400000002</v>
      </c>
      <c r="AA2" s="3">
        <f>2375+(48.1-705.5)+(-2.4225+(-0.049062--0.71961))+0--116.7-0.119034000000019</f>
        <v>1832.4290139999998</v>
      </c>
      <c r="AB2" s="3">
        <f>2361.9+(39-699.4)+(-3.613707+(-0.05967--1.070082))+0--86.9-0.132957000000005</f>
        <v>1785.6637480000002</v>
      </c>
      <c r="AC2" s="3">
        <f>2265.6+(44.8-685.2)+(-3.466368+(-0.068544--1.048356))+0--86.3-0.132039000000005</f>
        <v>1708.8814049999996</v>
      </c>
      <c r="AD2">
        <f t="shared" si="0"/>
        <v>37188.907820500004</v>
      </c>
      <c r="AE2" s="3">
        <f>2519+(70-867)+(0+(0-0))+0--160-0</f>
        <v>1882</v>
      </c>
    </row>
    <row r="3" spans="1:31" s="2" customFormat="1" x14ac:dyDescent="0.25">
      <c r="A3">
        <v>89</v>
      </c>
      <c r="B3">
        <v>1</v>
      </c>
      <c r="C3">
        <v>3</v>
      </c>
      <c r="D3">
        <v>4</v>
      </c>
      <c r="E3">
        <v>2</v>
      </c>
      <c r="F3" s="3">
        <f>2242.7+(28.8-745.1)+(-4.575108+(-0.058752--1.520004))+0--86.4-0.176255999999996</f>
        <v>1609.5098879999998</v>
      </c>
      <c r="G3" s="3">
        <f>2256.3+(10.9-856.1)+(-3.452139+(-0.016677--1.309833))+0--86.6-0.132498000000005</f>
        <v>1495.4085190000001</v>
      </c>
      <c r="H3" s="3">
        <f>2253.5+(6.4-929.5)+(-6.89571+(-0.019584--2.84427))+0--86.8-0.26560800000001</f>
        <v>1412.863368</v>
      </c>
      <c r="I3" s="3">
        <f>2126.4+(7.4-856.9)+(-2.168928+(-0.007548--0.874038))+0--86.6-0.0883320000000138</f>
        <v>1362.10923</v>
      </c>
      <c r="J3" s="3">
        <f>2093+(10.3-842.6)+(-3.20229+(-0.015759--1.289178))+0--86.3-0.132039000000005</f>
        <v>1344.9390899999996</v>
      </c>
      <c r="K3" s="3">
        <f>2101.3+(11.9-855.7)+(-1.071663+(-0.006069--0.436407))+0--87.2-0.0444719999999912</f>
        <v>1344.014203</v>
      </c>
      <c r="L3" s="3">
        <f>2100.2+(15.4-832.9)+(-4.284408+(-0.031416--1.699116))+0--86.7-0.176867999999996</f>
        <v>1366.6064239999998</v>
      </c>
      <c r="M3" s="3">
        <f>2098.8+(19.1-862.4)+(-3.211164+(-0.029223--1.319472))+0--87.1-0.133263000000005</f>
        <v>1340.5458220000003</v>
      </c>
      <c r="N3" s="3">
        <f>2105.8+(19-792.4)+(1.073958+(0.00969-0.404124))+0--87.8--0.0447779999999911</f>
        <v>1420.9243019999999</v>
      </c>
      <c r="O3" s="3">
        <f>2133.7+(28.2-728.6)+(0+(0-0))+0--86.8-0</f>
        <v>1520.0999999999997</v>
      </c>
      <c r="P3" s="3">
        <f>2194.6+(35.7-734.2)+(1.119246+(0.018207-0.374442))+0--87--0.0443699999999912</f>
        <v>1583.907381</v>
      </c>
      <c r="Q3" s="3">
        <f>2185.3+(43.5-747.5)+(-1.114503+(-0.022185--0.381225))+0--138.2-0.070481999999986</f>
        <v>1618.6740550000002</v>
      </c>
      <c r="R3" s="3">
        <f>2034.1+(61.7-655.3)+(-2.074782+(-0.062934--0.668406))+0--152.5-0.155550000000024</f>
        <v>1591.3751400000001</v>
      </c>
      <c r="S3" s="3">
        <f>2143.8+(156.7-863.3)+(-1.093338+(-0.079917--0.440283))+0--125.7-0.0641069999999872</f>
        <v>1562.1029210000004</v>
      </c>
      <c r="T3" s="3">
        <f>2130+(60.9-748.4)+(0+(0-0))+0--106.8-0</f>
        <v>1549.3</v>
      </c>
      <c r="U3" s="3">
        <f>2033.6+(134-685.1)+(-3.111408+(-0.20502--1.048203))+0--76.5-0.117045000000004</f>
        <v>1556.61473</v>
      </c>
      <c r="V3" s="3">
        <f>1938.2+(160-616)+(-1.976964+(-0.1632--0.62832))+0--73.8-0.0752760000000118</f>
        <v>1554.4128799999999</v>
      </c>
      <c r="W3" s="3">
        <f>1949.8+(117.3-571.2)+(-1.988796+(-0.119646--0.582624))+0--72.8-0.0742560000000116</f>
        <v>1567.0999259999996</v>
      </c>
      <c r="X3" s="3">
        <f>1963.7+(84.6-540.3)+(0+(0-0))+0--72.4-0</f>
        <v>1580.4</v>
      </c>
      <c r="Y3" s="3">
        <f>2089.1+(185-569.3)+(0+(0-0))+0--85.5-0</f>
        <v>1790.3</v>
      </c>
      <c r="Z3" s="3">
        <f>2529.7+(67.8-838.8)+(-5.160588+(-0.138312--1.711152))+0--129.7-0.264587999999994</f>
        <v>1884.5476639999999</v>
      </c>
      <c r="AA3" s="3">
        <f>2534.2+(62-890.4)+(0+(0-0))+0--132.7-0</f>
        <v>1838.4999999999998</v>
      </c>
      <c r="AB3" s="3">
        <f>2263.2+(67.2-692.6)+(-1.154232+(-0.034272--0.353226))+0--157.4-0.080273999999984</f>
        <v>1794.2844479999999</v>
      </c>
      <c r="AC3" s="3">
        <f>2263.2+(51.7-764.1)+(-2.308464+(-0.052734--0.779382))+0--158.8-0.161976000000025</f>
        <v>1707.8562079999997</v>
      </c>
      <c r="AD3">
        <f t="shared" si="0"/>
        <v>37396.396198999995</v>
      </c>
      <c r="AE3" s="3">
        <f>2523+(78-823)+(0+(0-0))+0--158-0</f>
        <v>1936</v>
      </c>
    </row>
    <row r="4" spans="1:31" s="2" customFormat="1" x14ac:dyDescent="0.25">
      <c r="A4">
        <v>89</v>
      </c>
      <c r="B4">
        <v>1</v>
      </c>
      <c r="C4">
        <v>4</v>
      </c>
      <c r="D4">
        <v>5</v>
      </c>
      <c r="E4">
        <v>2</v>
      </c>
      <c r="F4" s="3">
        <f>2326.9+(35.9-887.9)+(-2.373438+(-0.036618--0.905658))+0--159.2-0.162384000000025</f>
        <v>1632.4332180000001</v>
      </c>
      <c r="G4" s="3">
        <f>2307.5+(15.5-960.3)+(-4.7073+(-0.03162--1.959012))+0--159.6-0.325583999999993</f>
        <v>1519.194508</v>
      </c>
      <c r="H4" s="3">
        <f>2107.7+(12.5-844)+(-3.224781+(-0.019125--1.29132))+0--160.2-0.245106000000009</f>
        <v>1434.2023079999997</v>
      </c>
      <c r="I4" s="3">
        <f>1916.3+(32.6-722.7)+(1.954626+(0.033252-0.737154))+0--160.1--0.163302000000026</f>
        <v>1387.7140259999996</v>
      </c>
      <c r="J4" s="3">
        <f>1900.4+(31.4-656.6)+(-0.969204+(-0.016014--0.334866))+0--71.4-0.0364139999999928</f>
        <v>1345.9132340000001</v>
      </c>
      <c r="K4" s="3">
        <f>1899.7+(34.2-658.3)+(0.968847+(0.017442-0.335733))+0--69.3--0.035342999999993</f>
        <v>1345.5858990000002</v>
      </c>
      <c r="L4" s="3">
        <f>1900.1+(35.9-638.2)+(-0.969051+(-0.018309--0.325482))+0--69.6-0.0354959999999929</f>
        <v>1366.7026259999998</v>
      </c>
      <c r="M4" s="3">
        <f>1897.7+(39.6-664.9)+(-1.935654+(-0.040392--0.678198))+0--69-0.070380000000011</f>
        <v>1340.031772</v>
      </c>
      <c r="N4" s="3">
        <f>1897.9+(52.3-596.8)+(0+(0-0))+0--69.7-0</f>
        <v>1423.1000000000001</v>
      </c>
      <c r="O4" s="3">
        <f>1936.1+(65.9-572.4)+(0.987411+(0.033609-0.291924))+0--83.2--0.0424319999999916</f>
        <v>1513.5715279999999</v>
      </c>
      <c r="P4" s="3">
        <f>2142.5+(67.1-747.5)+(-4.3707+(-0.136884--1.5249))+0--153.9-0.313955999999993</f>
        <v>1612.70336</v>
      </c>
      <c r="Q4" s="3">
        <f>2160.3+(62.3-730.9)+(-2.203506+(-0.063546--0.745518))+0--152.1-0.155142000000024</f>
        <v>1642.1233240000001</v>
      </c>
      <c r="R4" s="3">
        <f>2074+(60.7-642.7)+(0+(0-0))+0--151.2-0</f>
        <v>1643.2</v>
      </c>
      <c r="S4" s="3">
        <f>1923.7+(110.2-514.6)+(0.981087+(0.056202-0.262446))+0--74.1--0.0377909999999925</f>
        <v>1594.2126339999998</v>
      </c>
      <c r="T4" s="3">
        <f>1940.8+(128.6-565.4)+(-1.979616+(-0.131172--0.576708))+0--74.4-0.0758880000000119</f>
        <v>1576.7900320000001</v>
      </c>
      <c r="U4" s="3">
        <f>1972.7+(115.5-582.6)+(-3.018231+(-0.176715--0.891378))+0--75-0.114750000000004</f>
        <v>1578.1816819999999</v>
      </c>
      <c r="V4" s="3">
        <f>1972.5+(102.3-573)+(0+(0-0))+0--82.3-0</f>
        <v>1584.1</v>
      </c>
      <c r="W4" s="3">
        <f>1980.3+(78.2-595.4)+(-1.009953+(-0.039882--0.303654))+0--149.1-0.0760409999999849</f>
        <v>1611.3777779999998</v>
      </c>
      <c r="X4" s="3">
        <f>1993.7+(81.1-583.9)+(-1.016787+(-0.041361--0.297789))+0--153.3-0.0781829999999845</f>
        <v>1643.3614579999999</v>
      </c>
      <c r="Y4" s="3">
        <f>2067.7+(219.6-596.2)+(-1.054527+(-0.111996--0.304062))+0--141.4-0.0721139999999857</f>
        <v>1831.565425</v>
      </c>
      <c r="Z4" s="3">
        <f>2217+(206.7-651.1)+(-4.52268+(-0.421668--1.328244))+0--139.2-0.283967999999994</f>
        <v>1907.899928</v>
      </c>
      <c r="AA4" s="3">
        <f>2231.6+(154.2-672.6)+(-2.276232+(-0.157284--0.686052))+0--152.5-0.155550000000024</f>
        <v>1863.7969859999998</v>
      </c>
      <c r="AB4" s="3">
        <f>2242.1+(91.6-695.2)+(0+(0-0))+0--153.6-0</f>
        <v>1792.1</v>
      </c>
      <c r="AC4" s="3">
        <f>2248+(60.7-742)+(-2.29296+(-0.061914--0.75684))+0--154.5-0.157590000000025</f>
        <v>1719.4443759999999</v>
      </c>
      <c r="AD4">
        <f t="shared" si="0"/>
        <v>37909.306101999995</v>
      </c>
      <c r="AE4" s="3">
        <f>2216+(220-641)+(0+(0-0))+0--160-0</f>
        <v>1955</v>
      </c>
    </row>
    <row r="5" spans="1:31" s="2" customFormat="1" x14ac:dyDescent="0.25">
      <c r="A5">
        <v>89</v>
      </c>
      <c r="B5">
        <v>1</v>
      </c>
      <c r="C5">
        <v>5</v>
      </c>
      <c r="D5">
        <v>6</v>
      </c>
      <c r="E5">
        <v>6</v>
      </c>
      <c r="F5" s="3">
        <f>2190.4+(57.7-773)+(-5.58552+(-0.147135--1.97115))+0--151.6-0.386579999999978</f>
        <v>1622.5519150000002</v>
      </c>
      <c r="G5" s="3">
        <f>2010.6+(60.3-715.5)+(-3.076218+(-0.092259--1.094715))+0--153.6-0.235008000000009</f>
        <v>1506.6912299999997</v>
      </c>
      <c r="H5" s="3">
        <f>1914.1+(53.6-647.6)+(-1.952382+(-0.054672--0.660552))+0--107.4-0.109548000000017</f>
        <v>1426.04395</v>
      </c>
      <c r="I5" s="3">
        <f>1792+(55.8-539.3)+(-0.91392+(-0.028458--0.275043))+0--68.9-0.035138999999993</f>
        <v>1376.6975259999999</v>
      </c>
      <c r="J5" s="3">
        <f>1668.7+(59.2-450)+(-0.851037+(-0.030192--0.2295))+0--68.5-0.034934999999993</f>
        <v>1345.7133360000003</v>
      </c>
      <c r="K5" s="3">
        <f>1672.8+(59.6-452.5)+(-0.853128+(-0.030396--0.230775))+0--68.3-0.0348329999999931</f>
        <v>1347.512418</v>
      </c>
      <c r="L5" s="3">
        <f>1674.7+(64.1-433)+(-3.416388+(-0.130764--0.88332))+0--68.4-0.139535999999997</f>
        <v>1371.3966320000004</v>
      </c>
      <c r="M5" s="3">
        <f>1669.4+(68.2-444.7)+(0.851394+(0.034782-0.226797))+0--67.9--0.0346289999999931</f>
        <v>1361.4940080000001</v>
      </c>
      <c r="N5" s="3">
        <f>1591.4+(121.1-337.3)+(0.811614+(0.061761-0.172023))+0--69--0.035189999999993</f>
        <v>1444.9365420000001</v>
      </c>
      <c r="O5" s="3">
        <f>1602.7+(209.5-348)+(0.817377+(0.106845-0.17748))+0--70.1--0.0357509999999929</f>
        <v>1535.0824929999999</v>
      </c>
      <c r="P5" s="3">
        <f>1859.9+(129.2-447)+(0+(0-0))+0--72.7-0</f>
        <v>1614.8000000000002</v>
      </c>
      <c r="Q5" s="3">
        <f>1970.7+(119.1-501.1)+(2.010114+(0.121482-0.511122))+0--72.5--0.0739500000000116</f>
        <v>1662.8944240000001</v>
      </c>
      <c r="R5" s="3">
        <f>1951.2+(139-545.2)+(-0.995112+(-0.07089--0.278052))+0--115-0.0586499999999883</f>
        <v>1659.1534000000001</v>
      </c>
      <c r="S5" s="3">
        <f>1932+(164.1-566.2)+(-1.97064+(-0.167382--0.577524))+0--109-0.111180000000017</f>
        <v>1637.2283219999999</v>
      </c>
      <c r="T5" s="3">
        <f>1930.3+(192-601.9)+(0.984453+(0.09792-0.306969))+0--81--0.0413099999999918</f>
        <v>1602.2167140000001</v>
      </c>
      <c r="U5" s="3">
        <f>1922.3+(150.4-613.7)+(-1.960746+(-0.153408--0.625974))+0--127-0.12954000000002</f>
        <v>1584.3822799999998</v>
      </c>
      <c r="V5" s="3">
        <f>1924.3+(114.5-574.8)+(0+(0-0))+0--127-0</f>
        <v>1591</v>
      </c>
      <c r="W5" s="3">
        <f>1932.4+(81.6-551.5)+(-2.956572+(-0.124848--0.843795))+0--133-0.203490000000008</f>
        <v>1593.0588849999999</v>
      </c>
      <c r="X5" s="3">
        <f>1973.4+(82.1-592.4)+(-4.025736+(-0.167484--1.208496))+0--140-0.285599999999994</f>
        <v>1599.8296760000003</v>
      </c>
      <c r="Y5" s="3">
        <f>2082.4+(172.6-593.8)+(-2.124048+(-0.176052--0.605676))+0--127-0.12954000000002</f>
        <v>1786.3760360000001</v>
      </c>
      <c r="Z5" s="3">
        <f>2161.1+(251.9-632.3)+(-3.306483+(-0.385407--0.967419))+0--126-0.192780000000007</f>
        <v>1903.7827489999997</v>
      </c>
      <c r="AA5" s="3">
        <f>2168+(200.7-653.4)+(0+(0-0))+0--126-0</f>
        <v>1841.3</v>
      </c>
      <c r="AB5" s="3">
        <f>2033.4+(246.3-623.4)+(-1.037034+(-0.125613--0.317934))+0--131-0.0668099999999867</f>
        <v>1786.3884770000002</v>
      </c>
      <c r="AC5" s="3">
        <f>1991.1+(200.4-623.5)+(-2.030922+(-0.204408--0.63597))+0--137-0.139740000000022</f>
        <v>1703.2609</v>
      </c>
      <c r="AD5">
        <f t="shared" si="0"/>
        <v>37903.791913000001</v>
      </c>
      <c r="AE5" s="3">
        <f>2171+(272-626)+(0+(0-0))+0--149-0</f>
        <v>1966</v>
      </c>
    </row>
    <row r="6" spans="1:31" s="2" customFormat="1" x14ac:dyDescent="0.25">
      <c r="A6">
        <v>89</v>
      </c>
      <c r="B6">
        <v>1</v>
      </c>
      <c r="C6">
        <v>6</v>
      </c>
      <c r="D6">
        <v>7</v>
      </c>
      <c r="E6">
        <v>1</v>
      </c>
      <c r="F6" s="3">
        <f>2052.6+(85.2-620.9)+(-1.046826+(-0.043452--0.316659))+0--138.2-0.070481999999986</f>
        <v>1654.255899</v>
      </c>
      <c r="G6" s="3">
        <f>2024.8+(55.1-630.5)+(-2.065296+(-0.056202--0.64311))+0--146.2-0.149124000000023</f>
        <v>1593.9724880000001</v>
      </c>
      <c r="H6" s="3">
        <f>2012.6+(43-662.8)+(-3.079278+(-0.06579--1.014084))+0--154.7-0.236691000000009</f>
        <v>1545.132325</v>
      </c>
      <c r="I6" s="3">
        <f>1991.7+(51.1-630.4)+(0+(0-0))+0--154.3-0</f>
        <v>1566.7</v>
      </c>
      <c r="J6" s="3">
        <f>1920.6+(35.1-607.9)+(-2.938518+(-0.053703--0.930087))+0--154.1-0.235773000000009</f>
        <v>1499.6020929999997</v>
      </c>
      <c r="K6" s="3">
        <f>1874.6+(40.3-579.2)+(0+(0-0))+0--153.8-0</f>
        <v>1489.4999999999998</v>
      </c>
      <c r="L6" s="3">
        <f>1885.2+(37.4-676.3)+(2.884356+(0.057222-1.034739))+0--152.7--0.233631000000009</f>
        <v>1401.1404700000003</v>
      </c>
      <c r="M6" s="3">
        <f>1864.5+(47.4-675.2)+(-5.70537+(-0.145044--2.066112))+0--154.6-0.473076000000018</f>
        <v>1387.0426219999997</v>
      </c>
      <c r="N6" s="3">
        <f>1918.6+(55.2-667.9)+(1.956972+(0.056304-0.681258))+0--152.6--0.155652000000024</f>
        <v>1459.98767</v>
      </c>
      <c r="O6" s="3">
        <f>1991.9+(62.1-663.5)+(0+(0-0))+0--150.7-0</f>
        <v>1541.2</v>
      </c>
      <c r="P6" s="3">
        <f>1970.8+(78.5-588)+(0+(0-0))+0--135.3-0</f>
        <v>1596.6</v>
      </c>
      <c r="Q6" s="3">
        <f>1958.9+(123-600.8)+(1.998078+(0.12546-0.612816))+0--130.4--0.133008000000021</f>
        <v>1613.1437300000002</v>
      </c>
      <c r="R6" s="3">
        <f>1943.8+(187.4-619.2)+(0+(0-0))+0--129-0</f>
        <v>1641</v>
      </c>
      <c r="S6" s="3">
        <f>1922.4+(206.1-643.7)+(-2.941272+(-0.315333--0.984861))+0--129-0.197370000000007</f>
        <v>1611.3308860000002</v>
      </c>
      <c r="T6" s="3">
        <f>1916+(209.3-657.2)+(-2.93148+(-0.320229--1.005516))+0--124-0.189720000000007</f>
        <v>1589.6640869999999</v>
      </c>
      <c r="U6" s="3">
        <f>1911.1+(181.4-646.8)+(-2.923983+(-0.277542--0.989604))+0--130-0.198900000000008</f>
        <v>1573.2891789999996</v>
      </c>
      <c r="V6" s="3">
        <f>1939.4+(107.5-629.2)+(-2.967282+(-0.164475--0.962676))+0--133-0.203490000000008</f>
        <v>1548.3274289999999</v>
      </c>
      <c r="W6" s="3">
        <f>1996+(66.9-636.8)+(0+(0-0))+0--149-0</f>
        <v>1575.1</v>
      </c>
      <c r="X6" s="3">
        <f>2158.4+(67.2-772.1)+(-3.302352+(-0.102816--1.181313))+0--133-0.203490000000008</f>
        <v>1584.0726549999999</v>
      </c>
      <c r="Y6" s="3">
        <f>2501.1+(56.9-882.9)+(-3.826683+(-0.087057--1.350837))+0--127-0.194310000000007</f>
        <v>1799.3427869999998</v>
      </c>
      <c r="Z6" s="3">
        <f>2890.8+(42.6-1241.3)+(-5.897232+(-0.086904--2.532252))+0--135-0.275399999999994</f>
        <v>1823.3727160000001</v>
      </c>
      <c r="AA6" s="3">
        <f>3005+(27.8-1300.7)+(-3.0651+(-0.028356--1.326714))+0--136-0.138720000000022</f>
        <v>1866.194538</v>
      </c>
      <c r="AB6" s="3">
        <f>2773.4+(39.4-1190)+(-1.414434+(-0.020094--0.6069))+0--133-0.0678299999999865</f>
        <v>1754.9045420000002</v>
      </c>
      <c r="AC6" s="3">
        <f>2689.6+(26.6-1109.6)+(0+(0-0))+0--133-0</f>
        <v>1739.6</v>
      </c>
      <c r="AD6">
        <f t="shared" si="0"/>
        <v>38454.476115999998</v>
      </c>
      <c r="AE6" s="3">
        <f>3009+(49-1174)+(0+(0-0))+0--155-0</f>
        <v>2039</v>
      </c>
    </row>
    <row r="7" spans="1:31" s="2" customFormat="1" x14ac:dyDescent="0.25">
      <c r="A7">
        <v>89</v>
      </c>
      <c r="B7">
        <v>1</v>
      </c>
      <c r="C7">
        <v>7</v>
      </c>
      <c r="D7">
        <v>1</v>
      </c>
      <c r="E7">
        <v>1</v>
      </c>
      <c r="F7" s="3">
        <f>2311+(47.5-878.1)+(-1.17861+(-0.024225--0.447831))+0--130-0.0662999999999868</f>
        <v>1609.578696</v>
      </c>
      <c r="G7" s="3">
        <f>1970.1+(34.1-656.5)+(-3.014253+(-0.052173--1.004445))+0--123.7-0.189261000000007</f>
        <v>1469.1487579999998</v>
      </c>
      <c r="H7" s="3">
        <f>1953.5+(25.5-689.7)+(0+(0-0))+0--119.8-0</f>
        <v>1409.1</v>
      </c>
      <c r="I7" s="3">
        <f>1957.9+(26.5-712.6)+(-3.994116+(-0.05406--1.453704))+0--126.6-0.258263999999994</f>
        <v>1395.547264</v>
      </c>
      <c r="J7" s="3">
        <f>1949.4+(23-732.3)+(0.994194+(0.01173-0.373473))+0--133--0.0678299999999865</f>
        <v>1373.800281</v>
      </c>
      <c r="K7" s="3">
        <f>1924+(22.5-701.2)+(-0.98124+(-0.011475--0.357612))+0--142.4-0.0726239999999856</f>
        <v>1386.9922730000001</v>
      </c>
      <c r="L7" s="3">
        <f>1894.5+(22.2-661.8)+(-1.93239+(-0.022644--0.675036))+0--149-0.151980000000024</f>
        <v>1402.468022</v>
      </c>
      <c r="M7" s="3">
        <f>1897.9+(29-682.8)+(-3.871716+(-0.05916--1.392912))+0--150-0.305999999999993</f>
        <v>1391.256036</v>
      </c>
      <c r="N7" s="3">
        <f>1913.7+(33.1-640.7)+(1.951974+(0.033762-0.653514))+0--150--0.153000000000024</f>
        <v>1457.5852219999999</v>
      </c>
      <c r="O7" s="3">
        <f>2078+(52-735.7)+(-1.05978+(-0.02652--0.375207))+0--127.6-0.065075999999987</f>
        <v>1521.1238309999999</v>
      </c>
      <c r="P7" s="3">
        <f>2114.8+(58.1-704.5)+(0+(0-0))+0--122.9-0</f>
        <v>1591.3000000000002</v>
      </c>
      <c r="Q7" s="3">
        <f>2284.8+(41.6-816.7)+(-2.330496+(-0.042432--0.833034))+0--125.1-0.12760200000002</f>
        <v>1633.1325040000002</v>
      </c>
      <c r="R7" s="3">
        <f>2321.9+(40-851.9)+(-1.184169+(-0.0204--0.434469))+0--126-0.0642599999999872</f>
        <v>1635.1656400000002</v>
      </c>
      <c r="S7" s="3">
        <f>2290.3+(37.6-860.8)+(-3.504159+(-0.057528--1.317024))+0--125.9-0.192627000000007</f>
        <v>1590.5627100000006</v>
      </c>
      <c r="T7" s="3">
        <f>2311.8+(33.9-867.1)+(-4.716072+(-0.069156--1.768884))+0--126.2-0.257447999999995</f>
        <v>1601.5262080000002</v>
      </c>
      <c r="U7" s="3">
        <f>2201+(42.3-798.8)+(-2.24502+(-0.043146--0.814776))+0--124-0.12648000000002</f>
        <v>1566.9001299999998</v>
      </c>
      <c r="V7" s="3">
        <f>2161.3+(41.6-759.8)+(-5.511315+(-0.10608--1.93749))+0--122.1-0.311354999999982</f>
        <v>1561.2087400000003</v>
      </c>
      <c r="W7" s="3">
        <f>2145.4+(40.2-739)+(0+(0-0))+0--123-0</f>
        <v>1569.6000000000001</v>
      </c>
      <c r="X7" s="3">
        <f>2179.6+(38.5-783.9)+(-3.334788+(-0.058905--1.199367))+0--123.1-0.188343000000007</f>
        <v>1554.9173309999996</v>
      </c>
      <c r="Y7" s="3">
        <f>2449.4+(46-870.6)+(0+(0-0))+0--130-0</f>
        <v>1754.8000000000002</v>
      </c>
      <c r="Z7" s="3">
        <f>2917.2+(26.9-1210.2)+(-2.975544+(-0.027438--1.234404))+0--137.2-0.139944000000022</f>
        <v>1869.191478</v>
      </c>
      <c r="AA7" s="3">
        <f>2822.2+(24-1198.8)+(-2.878644+(-0.02448--1.222776))+0--136.1-0.138822000000022</f>
        <v>1781.6808299999996</v>
      </c>
      <c r="AB7" s="3">
        <f>2617.9+(27.3-1063.2)+(-1.335129+(-0.013923--0.542232))+0--133.3-0.0679829999999865</f>
        <v>1714.425197</v>
      </c>
      <c r="AC7" s="3">
        <f>2450.2+(32.2-987.5)+(-1.249602+(-0.016422--0.503625))+0--133.7-0.0681869999999864</f>
        <v>1627.7694139999999</v>
      </c>
      <c r="AD7">
        <f t="shared" si="0"/>
        <v>37468.780565000001</v>
      </c>
      <c r="AE7" s="3">
        <f>2954+(26-1240)+(0+(0-0))+0--148-0</f>
        <v>1888</v>
      </c>
    </row>
    <row r="8" spans="1:31" s="2" customFormat="1" x14ac:dyDescent="0.25">
      <c r="A8">
        <v>89</v>
      </c>
      <c r="B8">
        <v>1</v>
      </c>
      <c r="C8">
        <v>8</v>
      </c>
      <c r="D8">
        <v>2</v>
      </c>
      <c r="E8">
        <v>1</v>
      </c>
      <c r="F8" s="3">
        <f>2433.6+(15.5-1049.7)+(-4.964544+(-0.03162--2.141388))+0--135-0.275399999999994</f>
        <v>1531.269824</v>
      </c>
      <c r="G8" s="3">
        <f>2437.4+(5-1141.8)+(-3.729222+(-0.00765--1.746954))+0--135.4-0.207162000000008</f>
        <v>1433.8029200000003</v>
      </c>
      <c r="H8" s="3">
        <f>2412.5+(5-1177.3)+(-4.9215+(-0.0102--2.401692))+0--134.7-0.274787999999994</f>
        <v>1372.0952040000002</v>
      </c>
      <c r="I8" s="3">
        <f>2275.8+(5-1080)+(-2.321316+(-0.0051--1.1016))+0--133.5-0.136170000000021</f>
        <v>1332.9390140000003</v>
      </c>
      <c r="J8" s="3">
        <f>2180+(5-956.6)+(0+(0-0))+0--84-0</f>
        <v>1312.4</v>
      </c>
      <c r="K8" s="3">
        <f>2126.4+(5-891.6)+(1.084464+(0.00255-0.454716))+0--74.4--0.0379439999999925</f>
        <v>1314.8702420000002</v>
      </c>
      <c r="L8" s="3">
        <f>2128.9+(5-878)+(2.171478+(0.0051-0.89556))+0--74.2--0.0756840000000118</f>
        <v>1331.456702</v>
      </c>
      <c r="M8" s="3">
        <f>2114.2+(4-864.7)+(-1.078242+(-0.00204--0.440997))+0--73.3-0.0373829999999926</f>
        <v>1326.1233319999997</v>
      </c>
      <c r="N8" s="3">
        <f>2147.7+(5-802.8)+(-1.095327+(-0.00255--0.409428))+0--75.8-0.0386579999999923</f>
        <v>1424.9728929999999</v>
      </c>
      <c r="O8" s="3">
        <f>2312.6+(9.1-906.4)+(-2.358852+(-0.009282--0.924528))+0--105.5-0.107610000000017</f>
        <v>1519.2487839999999</v>
      </c>
      <c r="P8" s="3">
        <f>2343.1+(17.7-897.8)+(0+(0-0))+0--126.3-0</f>
        <v>1589.3</v>
      </c>
      <c r="Q8" s="3">
        <f>2378.8+(25.3-904.7)+(-2.426376+(-0.025806--0.922794))+0--127.2-0.12974400000002</f>
        <v>1624.9408680000001</v>
      </c>
      <c r="R8" s="3">
        <f>2378.2+(20.3-841.8)+(-3.638646+(-0.031059--1.287954))+0--124-0.189720000000007</f>
        <v>1678.1285289999998</v>
      </c>
      <c r="S8" s="3">
        <f>2128.6+(35.8-721.3)+(0+(0-0))+0--124-0</f>
        <v>1567.1</v>
      </c>
      <c r="T8" s="3">
        <f>2095.5+(39.2-686.4)+(-4.27482+(-0.079968--1.400256))+0--124-0.252959999999995</f>
        <v>1569.0925080000002</v>
      </c>
      <c r="U8" s="3">
        <f>1987.3+(65.4-617.2)+(-3.040569+(-0.100062--0.944316))+0--124-0.189720000000007</f>
        <v>1557.113965</v>
      </c>
      <c r="V8" s="3">
        <f>1955.9+(65.7-593.1)+(-0.997509+(-0.033507--0.302481))+0--124-0.0632399999999874</f>
        <v>1551.7082250000001</v>
      </c>
      <c r="W8" s="3">
        <f>1958.1+(52.3-585.1)+(-2.995893+(-0.080019--0.895203))+0--133-0.203490000000008</f>
        <v>1555.9158009999996</v>
      </c>
      <c r="X8" s="3">
        <f>2050.2+(44.3-663.3)+(-1.045602+(-0.022593--0.338283))+0--139-0.0708899999999859</f>
        <v>1569.3991979999998</v>
      </c>
      <c r="Y8" s="3">
        <f>2517.1+(33.7-913.4)+(-2.567442+(-0.034374--0.931668))+0--133-0.135660000000021</f>
        <v>1768.5941920000002</v>
      </c>
      <c r="Z8" s="3">
        <f>2949.9+(23-1215.6)+(-6.017796+(-0.04692--2.479824))+0--143-0.291719999999994</f>
        <v>1896.4233880000002</v>
      </c>
      <c r="AA8" s="3">
        <f>2970.5+(13.3-1288.3)+(-1.514955+(-0.006783--0.657033))+0--143-0.0729299999999855</f>
        <v>1837.562365</v>
      </c>
      <c r="AB8" s="3">
        <f>2785.4+(18.8-1175.6)+(-4.261662+(-0.028764--1.798668))+0--139-0.212670000000008</f>
        <v>1764.8955720000001</v>
      </c>
      <c r="AC8" s="3">
        <f>2726.9+(15.3-1179.7)+(1.390719+(0.007803-0.601647))+0--135--0.0688499999999863</f>
        <v>1698.3657249999999</v>
      </c>
      <c r="AD8">
        <f t="shared" si="0"/>
        <v>37127.719251000002</v>
      </c>
      <c r="AE8" s="3">
        <f>2946+(32-1202)+(0+(0-0))+0--161-0</f>
        <v>1937</v>
      </c>
    </row>
    <row r="9" spans="1:31" s="2" customFormat="1" x14ac:dyDescent="0.25">
      <c r="A9">
        <v>89</v>
      </c>
      <c r="B9">
        <v>1</v>
      </c>
      <c r="C9">
        <v>9</v>
      </c>
      <c r="D9">
        <v>3</v>
      </c>
      <c r="E9">
        <v>1</v>
      </c>
      <c r="F9" s="3">
        <f>2732+(28-1218.7)+(-6.9666+(-0.0714--3.107685))+0--165-0.420749999999976</f>
        <v>1701.9489349999999</v>
      </c>
      <c r="G9" s="3">
        <f>2730.4+(28-1342)+(-6.96252+(-0.0714--3.4221))+0--167-0.425849999999976</f>
        <v>1579.3623299999999</v>
      </c>
      <c r="H9" s="3">
        <f>2666.6+(28-1346.3)+(0+(0-0))+0--162-0</f>
        <v>1510.3</v>
      </c>
      <c r="I9" s="3">
        <f>2605.5+(28-1323.5)+(-2.65761+(-0.02856--1.34997))+0--157-0.160140000000025</f>
        <v>1465.5036600000001</v>
      </c>
      <c r="J9" s="3">
        <f>2551.9+(28-1272.8)+(-6.507345+(-0.0714--3.24564))+0--139-0.35444999999998</f>
        <v>1442.4124450000002</v>
      </c>
      <c r="K9" s="3">
        <f>2356+(27-1036.9)+(-2.40312+(-0.02754--1.057638))+0--88-0.089760000000014</f>
        <v>1432.6372179999998</v>
      </c>
      <c r="L9" s="3">
        <f>2493.4+(27-1182.4)+(0+(0-0))+0--88-0</f>
        <v>1426</v>
      </c>
      <c r="M9" s="3">
        <f>2600.9+(27-1270.9)+(-1.326459+(-0.01377--0.648159))+0--89-0.045389999999991</f>
        <v>1445.2625399999999</v>
      </c>
      <c r="N9" s="3">
        <f>2546.2+(32-1115.5)+(-2.597124+(-0.03264--1.13781))+0--88-0.089760000000014</f>
        <v>1549.1182859999997</v>
      </c>
      <c r="O9" s="3">
        <f>2658+(23-1131.7)+(-1.35558+(-0.01173--0.577167))+0--89-0.045389999999991</f>
        <v>1637.464467</v>
      </c>
      <c r="P9" s="3">
        <f>2922.2+(27-1320.5)+(0+(0-0))+0--88-0</f>
        <v>1716.6999999999998</v>
      </c>
      <c r="Q9" s="3">
        <f>2962.4+(28-1322)+(0+(0-0))+0--89-0</f>
        <v>1757.4</v>
      </c>
      <c r="R9" s="3">
        <f>2951.9+(5-1365.5)+(0+(0-0))+0--129-0</f>
        <v>1720.4</v>
      </c>
      <c r="S9" s="3">
        <f>2892.5+(5.2-1371)+(-5.9007+(-0.010608--2.79684))+0--150-0.305999999999993</f>
        <v>1673.279532</v>
      </c>
      <c r="T9" s="3">
        <f>2792.3+(5.6-1275.2)+(-4.272219+(-0.008568--1.951056))+0--149-0.227970000000009</f>
        <v>1669.1422990000001</v>
      </c>
      <c r="U9" s="3">
        <f>2688.9+(9.3-1182.6)+(-1.371339+(-0.004743--0.603126))+0--151-0.0770099999999847</f>
        <v>1665.7500340000001</v>
      </c>
      <c r="V9" s="3">
        <f>2685.2+(9-1175.4)+(-5.477808+(-0.01836--2.397816))+0--153-0.312119999999993</f>
        <v>1668.3895279999997</v>
      </c>
      <c r="W9" s="3">
        <f>2771.1+(5.6-1267.1)+(1.413261+(0.002856-0.646221))+0--154--0.0785399999999844</f>
        <v>1664.4484359999999</v>
      </c>
      <c r="X9" s="3">
        <f>2846.9+(6-1333.3)+(-5.807676+(-0.01224--2.719932))+0--155-0.316199999999993</f>
        <v>1671.1838160000002</v>
      </c>
      <c r="Y9" s="3">
        <f>2762.5+(30.1-1104.3)+(1.408875+(0.015351-0.563193))+0--155--0.0790499999999843</f>
        <v>1844.2400829999999</v>
      </c>
      <c r="Z9" s="3">
        <f>2964+(26.6-1187.8)+(-6.04656+(-0.054264--2.423112))+0--155-0.316199999999993</f>
        <v>1953.806088</v>
      </c>
      <c r="AA9" s="3">
        <f>2929.8+(20.9-1203.4)+(-1.494198+(-0.010659--0.613734))+0--154-0.0785399999999844</f>
        <v>1900.3303370000001</v>
      </c>
      <c r="AB9" s="3">
        <f>2689.8+(21.8-1047.3)+(-2.743596+(-0.022236--1.068246))+0--155-0.158100000000025</f>
        <v>1817.4443140000001</v>
      </c>
      <c r="AC9" s="3">
        <f>2702.8+(14.1-1115.2)+(-4.135284+(-0.021573--1.706256))+0--155-0.237150000000009</f>
        <v>1754.0122490000001</v>
      </c>
      <c r="AD9">
        <f t="shared" si="0"/>
        <v>39666.536596999998</v>
      </c>
      <c r="AE9" s="3">
        <f>2918+(35.9-1079.3)+(0+(0-0))+0--142-0</f>
        <v>2016.6000000000001</v>
      </c>
    </row>
    <row r="10" spans="1:31" s="2" customFormat="1" x14ac:dyDescent="0.25">
      <c r="A10">
        <v>89</v>
      </c>
      <c r="B10">
        <v>1</v>
      </c>
      <c r="C10">
        <v>10</v>
      </c>
      <c r="D10">
        <v>4</v>
      </c>
      <c r="E10">
        <v>1</v>
      </c>
      <c r="F10" s="3">
        <f>2677.4+(5.2-1173.3)+(-5.461896+(-0.010608--2.393532))+0--139.3-0.284171999999994</f>
        <v>1645.2368560000002</v>
      </c>
      <c r="G10" s="3">
        <f>2795.6+(4.6-1399.8)+(-7.12878+(-0.01173--3.56949))+0--139.8-0.35648999999998</f>
        <v>1536.2724899999998</v>
      </c>
      <c r="H10" s="3">
        <f>2781+(4.4-1466.4)+(-5.67324+(-0.008976--2.991456))+0--136.7-0.278867999999994</f>
        <v>1452.730372</v>
      </c>
      <c r="I10" s="3">
        <f>2659.9+(4.4-1377.3)+(-2.713098+(-0.004488--1.404846))+0--136.7-0.139434000000022</f>
        <v>1422.2478260000003</v>
      </c>
      <c r="J10" s="3">
        <f>2572.5+(4.6-1324.6)+(0+(0-0))+0--144-0</f>
        <v>1396.5</v>
      </c>
      <c r="K10" s="3">
        <f>2568.7+(4.6-1323.9)+(-2.620074+(-0.004692--1.350378))+0--146.9-0.149838000000023</f>
        <v>1394.8757739999996</v>
      </c>
      <c r="L10" s="3">
        <f>2573.5+(5-1307.3)+(-2.62497+(-0.0051--1.333446))+0--150-0.153000000000024</f>
        <v>1419.750376</v>
      </c>
      <c r="M10" s="3">
        <f>2509.4+(5-1247.8)+(-2.559588+(-0.0051--1.272756))+0--158.9-0.162078000000025</f>
        <v>1424.0459900000001</v>
      </c>
      <c r="N10" s="3">
        <f>2674.4+(5.2-1315.1)+(2.727888+(0.005304-1.341402))+0--146.7--0.149634000000023</f>
        <v>1512.7414240000003</v>
      </c>
      <c r="O10" s="3">
        <f>2809.5+(5.2-1310.5)+(1.432845+(0.002652-0.668355))+0--132.8--0.0677279999999865</f>
        <v>1637.8348699999999</v>
      </c>
      <c r="P10" s="3">
        <f>2818.6+(6-1279.9)+(-1.437486+(-0.00306--0.652749))+0--133.7-0.0681869999999864</f>
        <v>1677.5440159999998</v>
      </c>
      <c r="Q10" s="3">
        <f>2788.5+(6-1217.4)+(1.422135+(0.00306-0.620874))+0--132.6--0.0676259999999865</f>
        <v>1710.5719469999999</v>
      </c>
      <c r="R10" s="3">
        <f>2756.6+(0-1125.4)+(-2.811732+(0--1.147908))+0--132-0.134640000000021</f>
        <v>1761.4015359999999</v>
      </c>
      <c r="S10" s="3">
        <f>2744.3+(0-1146.3)+(-5.598372+(0--2.338452))+0--132-0.269279999999994</f>
        <v>1726.4708000000003</v>
      </c>
      <c r="T10" s="3">
        <f>2726.1+(0-1144.7)+(2.780622+(0-1.167594))+0--131--0.133620000000021</f>
        <v>1714.1466479999999</v>
      </c>
      <c r="U10" s="3">
        <f>2710.1+(0-1141.9)+(0+(0-0))+0--136-0</f>
        <v>1704.1999999999998</v>
      </c>
      <c r="V10" s="3">
        <f>2704.9+(0-1141.5)+(-2.758998+(0--1.16433))+0--138-0.140760000000022</f>
        <v>1699.6645720000001</v>
      </c>
      <c r="W10" s="3">
        <f>2586+(1.3-1032.3)+(-1.31886+(-0.000663--0.526473))+0--138-0.070379999999986</f>
        <v>1692.1365700000001</v>
      </c>
      <c r="X10" s="3">
        <f>2514.5+(12.8-985.1)+(-2.56479+(-0.013056--1.004802))+0--143-0.145860000000023</f>
        <v>1683.4810959999998</v>
      </c>
      <c r="Y10" s="3">
        <f>2872.7+(18.9-1144)+(-4.395231+(-0.028917--1.75032))+0--145-0.221850000000008</f>
        <v>1889.704322</v>
      </c>
      <c r="Z10" s="3">
        <f>3068+(15.7-1206.7)+(-3.12936+(-0.016014--1.230834))+0--148-0.150960000000024</f>
        <v>2022.9345000000001</v>
      </c>
      <c r="AA10" s="3">
        <f>2782.9+(18.4-1007)+(-5.677116+(-0.037536--2.05428))+0--139-0.283559999999994</f>
        <v>1929.3560680000001</v>
      </c>
      <c r="AB10" s="3">
        <f>2578.1+(25.9-897.6)+(-5.259324+(-0.052836--1.831104))+0--142-0.289679999999994</f>
        <v>1844.6292639999997</v>
      </c>
      <c r="AC10" s="3">
        <f>2505.3+(24.4-880.7)+(-3.833109+(-0.037332--1.347471))+0--137-0.209610000000008</f>
        <v>1783.2674199999999</v>
      </c>
      <c r="AD10">
        <f t="shared" si="0"/>
        <v>39681.744737000008</v>
      </c>
      <c r="AE10" s="3">
        <f>3110+(22.7-1304.8)+(0+(0-0))+0--151-0</f>
        <v>1978.9</v>
      </c>
    </row>
    <row r="11" spans="1:31" s="2" customFormat="1" x14ac:dyDescent="0.25">
      <c r="A11">
        <v>89</v>
      </c>
      <c r="B11">
        <v>1</v>
      </c>
      <c r="C11">
        <v>11</v>
      </c>
      <c r="D11">
        <v>5</v>
      </c>
      <c r="E11">
        <v>1</v>
      </c>
      <c r="F11" s="3">
        <f>2473.8+(24.9-968.2)+(-6.30819+(-0.063495--2.46891))+0--138-0.35189999999998</f>
        <v>1664.2453250000001</v>
      </c>
      <c r="G11" s="3">
        <f>2460.8+(11.8-1050.5)+(-3.765024+(-0.018054--1.607265))+0--141-0.215730000000008</f>
        <v>1560.708457</v>
      </c>
      <c r="H11" s="3">
        <f>2452.3+(8.5-1127.6)+(-5.002692+(-0.01734--2.300304))+0--159-0.324359999999993</f>
        <v>1489.1559120000002</v>
      </c>
      <c r="I11" s="3">
        <f>2471.9+(5-1173.3)+(-5.042676+(-0.0102--2.393532))+0--165-0.336599999999993</f>
        <v>1465.6040560000001</v>
      </c>
      <c r="J11" s="3">
        <f>2426.7+(5-1166)+(-3.712851+(-0.00765--1.78398))+0--164-0.250920000000009</f>
        <v>1427.5125589999998</v>
      </c>
      <c r="K11" s="3">
        <f>2390.3+(5-1133)+(0+(0-0))+0--165-0</f>
        <v>1427.3000000000002</v>
      </c>
      <c r="L11" s="3">
        <f>2385.1+(5-1118.1)+(-3.649203+(-0.00765--1.710693))+0--165-0.25245000000001</f>
        <v>1434.8013900000001</v>
      </c>
      <c r="M11" s="3">
        <f>2334.8+(11.6-1089.2)+(0+(0-0))+0--164-0</f>
        <v>1421.2</v>
      </c>
      <c r="N11" s="3">
        <f>2395.1+(7.4-1036.2)+(-1.221501+(-0.003774--0.528462))+0--165-0.0841499999999833</f>
        <v>1530.519037</v>
      </c>
      <c r="O11" s="3">
        <f>2592.9+(6-1137.3)+(-1.322379+(-0.00306--0.580023))+0--155-0.0790499999999843</f>
        <v>1615.7755340000001</v>
      </c>
      <c r="P11" s="3">
        <f>2744.2+(9.9-1209.6)+(-8.397252+(-0.030294--3.701376))+0--138-0.422280000000016</f>
        <v>1677.3515500000001</v>
      </c>
      <c r="Q11" s="3">
        <f>2699.6+(17.2-1134.4)+(0+(0-0))+0--137-0</f>
        <v>1719.3999999999999</v>
      </c>
      <c r="R11" s="3">
        <f>2762.1+(11.1-1209.9)+(-2.817342+(-0.011322--1.234098))+0--139.8-0.142596000000022</f>
        <v>1701.3628379999998</v>
      </c>
      <c r="S11" s="3">
        <f>2770.9+(8.2-1261.2)+(0+(0-0))+0--141.6-0</f>
        <v>1659.5</v>
      </c>
      <c r="T11" s="3">
        <f>2753.6+(12.6-1261.7)+(-1.404336+(-0.006426--0.643467))+0--142.5-0.0726749999999855</f>
        <v>1646.1600299999998</v>
      </c>
      <c r="U11" s="3">
        <f>2730.8+(13.2-1241.7)+(-5.570832+(-0.026928--2.533068))+0--139.2-0.283967999999994</f>
        <v>1638.1513400000003</v>
      </c>
      <c r="V11" s="3">
        <f>2741.5+(11.2-1248.4)+(-2.79633+(-0.011424--1.273368))+0--138.8-0.141576000000022</f>
        <v>1641.4240379999999</v>
      </c>
      <c r="W11" s="3">
        <f>2644.6+(10.2-1146.4)+(-4.046238+(-0.015606--1.753992))+0--135.3-0.207009000000008</f>
        <v>1641.1851389999999</v>
      </c>
      <c r="X11" s="3">
        <f>2540.9+(14.3-1064.9)+(-2.591718+(-0.014586--1.086198))+0--131.1-0.133722000000021</f>
        <v>1619.7461719999999</v>
      </c>
      <c r="Y11" s="3">
        <f>2680.8+(30.9-1033.8)+(-1.367208+(-0.015759--0.527238))+0--134.6-0.0686459999999863</f>
        <v>1811.5756249999999</v>
      </c>
      <c r="Z11" s="3">
        <f>3088+(21.5-1308.9)+(-4.72464+(-0.032895--2.002617))+0--146.2-0.223686000000008</f>
        <v>1943.8213959999998</v>
      </c>
      <c r="AA11" s="3">
        <f>2969.5+(24.8-1263.6)+(-4.543335+(-0.037944--1.933308))+0--143.7-0.219861000000008</f>
        <v>1871.532168</v>
      </c>
      <c r="AB11" s="3">
        <f>2936.1+(18.1-1287)+(-4.492233+(-0.027693--1.96911))+0--143.4-0.219402000000008</f>
        <v>1807.829782</v>
      </c>
      <c r="AC11" s="3">
        <f>2836.3+(13.4-1251.1)+(-4.339539+(-0.020502--1.914183))+0--142-0.217260000000008</f>
        <v>1737.9368820000004</v>
      </c>
      <c r="AD11">
        <f t="shared" si="0"/>
        <v>39153.799230000011</v>
      </c>
      <c r="AE11" s="3">
        <f>3055+(27.2-1298.4)+(0+(0-0))+0--159-0</f>
        <v>1942.8</v>
      </c>
    </row>
    <row r="12" spans="1:31" s="2" customFormat="1" x14ac:dyDescent="0.25">
      <c r="A12">
        <v>89</v>
      </c>
      <c r="B12">
        <v>1</v>
      </c>
      <c r="C12">
        <v>12</v>
      </c>
      <c r="D12">
        <v>6</v>
      </c>
      <c r="E12">
        <v>2</v>
      </c>
      <c r="F12" s="3">
        <f>2776.4+(14.8-1243.2)+(-5.663856+(-0.030192--2.536128))+0--142.8-0.291311999999994</f>
        <v>1687.3507679999998</v>
      </c>
      <c r="G12" s="3">
        <f>2674.8+(12-1254.8)+(-1.364148+(-0.00612--0.639948))+0--141.2-0.0720119999999857</f>
        <v>1572.3976680000003</v>
      </c>
      <c r="H12" s="3">
        <f>2674.2+(12-1331.9)+(-4.091526+(-0.01836--2.037807))+0--140.6-0.215118000000008</f>
        <v>1492.6128029999995</v>
      </c>
      <c r="I12" s="3">
        <f>2651.2+(11-1336.1)+(-5.408448+(-0.02244--2.725644))+0--139.3-0.284171999999994</f>
        <v>1462.410584</v>
      </c>
      <c r="J12" s="3">
        <f>2505.9+(15.8-1250.7)+(-2.556018+(-0.016116--1.275714))+0--136.7-0.139434000000022</f>
        <v>1406.2641460000002</v>
      </c>
      <c r="K12" s="3">
        <f>2468.4+(11-1210.4)+(0+(0-0))+0--130.3-0</f>
        <v>1399.3</v>
      </c>
      <c r="L12" s="3">
        <f>2468.4+(12-1200.3)+(-6.29442+(-0.0306--3.060765))+0--140.2-0.35750999999998</f>
        <v>1416.6782350000001</v>
      </c>
      <c r="M12" s="3">
        <f>2312.8+(23.3-1122.1)+(2.359056+(0.023766-1.144542))+0--156.7--0.159834000000025</f>
        <v>1372.0981140000004</v>
      </c>
      <c r="N12" s="3">
        <f>2323.9+(21.8-1064.7)+(1.185189+(0.011118-0.542997))+0--156.6--0.0798659999999841</f>
        <v>1438.3331759999999</v>
      </c>
      <c r="O12" s="3">
        <f>2390.1+(17.3-1042.4)+(0+(0-0))+0--156.6-0</f>
        <v>1521.5999999999997</v>
      </c>
      <c r="P12" s="3">
        <f>2470.2+(15.8-1047.2)+(-1.259802+(-0.008058--0.534072))+0--150.5-0.0767549999999847</f>
        <v>1588.4894569999997</v>
      </c>
      <c r="Q12" s="3">
        <f>2584.3+(17.4-1137.5)+(0+(0-0))+0--130.7-0</f>
        <v>1594.9000000000003</v>
      </c>
      <c r="R12" s="3">
        <f>2666.1+(12-1225.1)+(-2.719422+(-0.01224--1.249602))+0--133.1-0.135762000000021</f>
        <v>1584.4821779999997</v>
      </c>
      <c r="S12" s="3">
        <f>2518+(17.7-1105.4)+(-5.13672+(-0.036108--2.255016))+0--147-0.299879999999994</f>
        <v>1574.082308</v>
      </c>
      <c r="T12" s="3">
        <f>2439.1+(23.3-1056.5)+(3.731823+(0.035649-1.616445))+0--138.8--0.212364000000008</f>
        <v>1547.0633909999999</v>
      </c>
      <c r="U12" s="3">
        <f>2396.9+(28.3-1008.1)+(-3.667257+(-0.043299--1.542393))+0--141.8-0.216954000000008</f>
        <v>1556.5148829999998</v>
      </c>
      <c r="V12" s="3">
        <f>2279.3+(38-911.7)+(-2.324886+(-0.03876--0.929934))+0--153.3-0.156366000000024</f>
        <v>1557.3099220000001</v>
      </c>
      <c r="W12" s="3">
        <f>2259.5+(40.4-917.9)+(-3.457035+(-0.061812--1.404387))+0--157.3-0.240669000000009</f>
        <v>1536.9448709999999</v>
      </c>
      <c r="X12" s="3">
        <f>2270+(43.7-875)+(-4.6308+(-0.089148--1.785))+0--96.1-0.196043999999996</f>
        <v>1531.6690079999998</v>
      </c>
      <c r="Y12" s="3">
        <f>2607.3+(32.3-1005)+(0+(0-0))+0--80.5-0</f>
        <v>1715.1000000000001</v>
      </c>
      <c r="Z12" s="3">
        <f>3140.5+(18.5-1400.4)+(-6.40662+(-0.03774--2.856816))+0--94.1-0.191963999999996</f>
        <v>1848.9204919999997</v>
      </c>
      <c r="AA12" s="3">
        <f>3025.4+(19.2-1312.7)+(-1.542954+(-0.009792--0.669477))+0--90.5-0.0461549999999908</f>
        <v>1821.4705760000002</v>
      </c>
      <c r="AB12" s="3">
        <f>2927.1+(14-1294.1)+(-2.985642+(-0.01428--1.319982))+0--93.8-0.095676000000015</f>
        <v>1739.0243840000001</v>
      </c>
      <c r="AC12" s="3">
        <f>2933+(13-1338.9)+(-5.98332+(-0.02652--2.731356))+0--88.6-0.180743999999996</f>
        <v>1692.2407719999999</v>
      </c>
      <c r="AD12">
        <f t="shared" si="0"/>
        <v>37657.257735999992</v>
      </c>
      <c r="AE12" s="3">
        <f>3148+(15-1403.5)+(0+(0-0))+0--100.4-0</f>
        <v>1859.9</v>
      </c>
    </row>
    <row r="13" spans="1:31" s="2" customFormat="1" x14ac:dyDescent="0.25">
      <c r="A13">
        <v>89</v>
      </c>
      <c r="B13">
        <v>1</v>
      </c>
      <c r="C13">
        <v>13</v>
      </c>
      <c r="D13">
        <v>7</v>
      </c>
      <c r="E13">
        <v>2</v>
      </c>
      <c r="F13" s="3">
        <f>2834.3+(12-1344.7)+(-2.890986+(-0.01224--1.371594))+0--89-0.0907800000000142</f>
        <v>1588.9775880000002</v>
      </c>
      <c r="G13" s="3">
        <f>2831.4+(12-1456.8)+(-2.888028+(-0.01224--1.485936))+0--88.6-0.0903720000000141</f>
        <v>1473.6952959999999</v>
      </c>
      <c r="H13" s="3">
        <f>2841.6+(11-1516.7)+(-2.898432+(-0.01122--1.547034))+0--88-0.089760000000014</f>
        <v>1422.4476219999997</v>
      </c>
      <c r="I13" s="3">
        <f>2758.6+(12-1483.1)+(-4.220658+(-0.01836--2.269143))+0--85.1-0.130203000000005</f>
        <v>1370.499922</v>
      </c>
      <c r="J13" s="3">
        <f>2772.5+(11-1497.9)+(-2.82795+(-0.01122--1.527858))+0--84.8-0.0864960000000135</f>
        <v>1369.0021919999997</v>
      </c>
      <c r="K13" s="3">
        <f>2759.2+(11-1515.6)+(1.407192+(0.00561-0.772956))+0--85.1--0.0434009999999914</f>
        <v>1340.3832469999998</v>
      </c>
      <c r="L13" s="3">
        <f>2692.2+(11-1408.7)+(-4.119066+(-0.01683--2.155311))+1.5--83.7-0.128061000000005</f>
        <v>1377.5913539999997</v>
      </c>
      <c r="M13" s="3">
        <f>2351.5+(11-1133.7)+(0+(0-0))+23--77.9-0</f>
        <v>1329.7</v>
      </c>
      <c r="N13" s="3">
        <f>2460.8+(11-1208.5)+(2.510016+(0.01122-1.23267))+8.1--80.6--0.0822120000000128</f>
        <v>1353.370778</v>
      </c>
      <c r="O13" s="3">
        <f>2669.2+(14.4-1357.8)+(-1.361292+(-0.007344--0.692478))+0--85-0.0433499999999914</f>
        <v>1410.080492</v>
      </c>
      <c r="P13" s="3">
        <f>2658.7+(15.9-1347.4)+(-1.355937+(-0.008109--0.687174))+0--85-0.0433499999999914</f>
        <v>1411.4797779999999</v>
      </c>
      <c r="Q13" s="3">
        <f>2622.1+(17.7-1308.6)+(-2.674542+(-0.018054--1.334772))+0--84.9-0.0865980000000135</f>
        <v>1414.6555780000001</v>
      </c>
      <c r="R13" s="3">
        <f>2565+(18.7-1260.3)+(-2.6163+(-0.019074--1.285506))+0--83.8-0.0854760000000134</f>
        <v>1405.7646560000001</v>
      </c>
      <c r="S13" s="3">
        <f>2479.8+(12.4-1196.5)+(-1.264698+(-0.006324--0.610215))+0--81.9-0.0417689999999917</f>
        <v>1376.8974240000005</v>
      </c>
      <c r="T13" s="3">
        <f>2350.9+(11.8-1074.1)+(0+(0-0))+0--79.1-0</f>
        <v>1367.7</v>
      </c>
      <c r="U13" s="3">
        <f>2263.6+(12.7-986.3)+(0+(0-0))+0--77.3-0</f>
        <v>1367.3</v>
      </c>
      <c r="V13" s="3">
        <f>2156.6+(22.8-886.6)+(0+(0-0))+0--77.5-0</f>
        <v>1370.2999999999997</v>
      </c>
      <c r="W13" s="3">
        <f>2159.1+(28.5-881.6)+(-3.303423+(-0.043605--1.348848))+0--77.6-0.118728000000004</f>
        <v>1381.4830919999999</v>
      </c>
      <c r="X13" s="3">
        <f>2192.6+(32.6-895.7)+(-2.236452+(-0.033252--0.913614))+0--78.2-0.0797640000000125</f>
        <v>1406.264146</v>
      </c>
      <c r="Y13" s="3">
        <f>2325.2+(46.6-873.2)+(-2.371704+(-0.047532--0.890664))+0--107.9-0.110058000000017</f>
        <v>1604.8613700000001</v>
      </c>
      <c r="Z13" s="3">
        <f>2894.6+(22.4-1289.4)+(-7.38123+(-0.05712--3.28797))+0--144-0.367199999999979</f>
        <v>1767.08242</v>
      </c>
      <c r="AA13" s="3">
        <f>3079.5+(15.4-1468.5)+(-4.711635+(-0.023562--2.246805))+0--147-0.224910000000008</f>
        <v>1770.6866980000002</v>
      </c>
      <c r="AB13" s="3">
        <f>2994.2+(14.3-1439.7)+(-3.054084+(-0.014586--1.468494))+0--145.6-0.148512000000023</f>
        <v>1712.6513119999997</v>
      </c>
      <c r="AC13" s="3">
        <f>2882+(15.6-1419.6)+(-4.40946+(-0.023868--2.171988))+0--144.5-0.221085000000008</f>
        <v>1620.0175750000001</v>
      </c>
      <c r="AD13">
        <f t="shared" si="0"/>
        <v>35012.892540000001</v>
      </c>
      <c r="AE13" s="3">
        <f>3076+(14.8-1443.7)+(0+(0-0))+0--163.3-0</f>
        <v>1810.3999999999999</v>
      </c>
    </row>
    <row r="14" spans="1:31" s="2" customFormat="1" x14ac:dyDescent="0.25">
      <c r="A14">
        <v>89</v>
      </c>
      <c r="B14">
        <v>1</v>
      </c>
      <c r="C14">
        <v>14</v>
      </c>
      <c r="D14">
        <v>1</v>
      </c>
      <c r="E14">
        <v>1</v>
      </c>
      <c r="F14" s="3">
        <f>2723.4+(16.5-1381.6)+(-2.777868+(-0.01683--1.409232))+0--141.7-0.144534000000023</f>
        <v>1498.4700000000003</v>
      </c>
      <c r="G14" s="3">
        <f>2645.7+(11.7-1401.1)+(-5.397228+(-0.023868--2.858244))+0--138.9-0.283355999999994</f>
        <v>1392.3537920000001</v>
      </c>
      <c r="H14" s="3">
        <f>2460.7+(11.5-1263.2)+(-1.254957+(-0.005865--0.644232))+0--159.3-0.0812429999999838</f>
        <v>1367.6021669999996</v>
      </c>
      <c r="I14" s="3">
        <f>2300.1+(11.5-1097.6)+(-1.173051+(-0.005865--0.559776))+0--123.3-0.0628829999999875</f>
        <v>1336.6179769999999</v>
      </c>
      <c r="J14" s="3">
        <f>2304.2+(11.7-1070)+(1.175142+(0.005967-0.5457))+0--78--0.0397799999999921</f>
        <v>1324.5751889999999</v>
      </c>
      <c r="K14" s="3">
        <f>2317.8+(11.7-1070.4)+(2.364156+(0.011934-1.091808))+0--78.1--0.0796620000000124</f>
        <v>1338.5639440000002</v>
      </c>
      <c r="L14" s="3">
        <f>2356+(11.9-1059.2)+(-4.80624+(-0.024276--2.160768))+0--78.3-0.159731999999997</f>
        <v>1384.1705199999999</v>
      </c>
      <c r="M14" s="3">
        <f>2493.6+(15.2-1168.1)+(1.271736+(0.007752-0.595731))+0--80.1--0.0408509999999919</f>
        <v>1421.5246079999999</v>
      </c>
      <c r="N14" s="3">
        <f>2787.6+(21.4-1337.3)+(0+(0-0))+0--87.1-0</f>
        <v>1558.8</v>
      </c>
      <c r="O14" s="3">
        <f>2995.4+(18.9-1431.8)+(-1.527654+(-0.009639--0.730218))+0--97.1-0.0495209999999901</f>
        <v>1678.7434040000003</v>
      </c>
      <c r="P14" s="3">
        <f>3098.5+(13.5-1522.4)+(0+(0-0))+0--144.4-0</f>
        <v>1734</v>
      </c>
      <c r="Q14" s="3">
        <f>3078.4+(13.5-1444.9)+(0+(0-0))+0--143.2-0</f>
        <v>1790.2</v>
      </c>
      <c r="R14" s="3">
        <f>3049+(15.4-1411.5)+(0+(0-0))+0--141.8-0</f>
        <v>1794.7</v>
      </c>
      <c r="S14" s="3">
        <f>3030.7+(15.7-1445.4)+(-6.182628+(-0.032028--2.948616))+0--138.1-0.281723999999994</f>
        <v>1735.5522359999998</v>
      </c>
      <c r="T14" s="3">
        <f>3019.2+(21.6-1386.9)+(1.539792+(0.011016-0.707319))+0--93.5--0.0476849999999905</f>
        <v>1748.2911739999997</v>
      </c>
      <c r="U14" s="3">
        <f>3014.4+(19.6-1371.4)+(3.074688+(0.019992-1.398828))+0--93.8--0.095676000000015</f>
        <v>1758.1915279999998</v>
      </c>
      <c r="V14" s="3">
        <f>3003.4+(17.8-1358.5)+(-1.531734+(-0.009078--0.692835))+0--94.6-0.0482459999999904</f>
        <v>1756.403777</v>
      </c>
      <c r="W14" s="3">
        <f>2918.5+(14-1258.5)+(-4.465305+(-0.02142--1.925505))+0--92.4-0.141372000000005</f>
        <v>1763.697408</v>
      </c>
      <c r="X14" s="3">
        <f>2780.9+(23.5-1161)+(-8.509554+(-0.07191--3.55266))+0--110.5-0.338130000000013</f>
        <v>1748.533066</v>
      </c>
      <c r="Y14" s="3">
        <f>2788.5+(48.8-1054.7)+(1.422135+(0.024888-0.537897))+0--136.4--0.0695639999999862</f>
        <v>1919.9786899999999</v>
      </c>
      <c r="Z14" s="3">
        <f>3112.2+(51.7-1249.3)+(-3.174444+(-0.052734--1.274286))+0--146.5-0.149430000000023</f>
        <v>2058.9976780000002</v>
      </c>
      <c r="AA14" s="3">
        <f>3140.8+(44.5-1326.7)+(-6.407232+(-0.09078--2.706468))+0--146.9-0.299675999999994</f>
        <v>2001.4087800000002</v>
      </c>
      <c r="AB14" s="3">
        <f>3086.3+(37.5-1362.6)+(-6.296052+(-0.0765--2.779704))+0--148.3-0.302531999999994</f>
        <v>1905.6046200000003</v>
      </c>
      <c r="AC14" s="3">
        <f>3093.9+(25-1453.3)+(-3.155778+(-0.0255--1.482366))+0--148.9-0.151878000000024</f>
        <v>1812.64921</v>
      </c>
      <c r="AD14">
        <f t="shared" si="0"/>
        <v>39829.629767999999</v>
      </c>
      <c r="AE14" s="3">
        <f>3122+(49.4-1191.2)+(0+(0-0))+0--169.4-0</f>
        <v>2149.6</v>
      </c>
    </row>
    <row r="15" spans="1:31" s="2" customFormat="1" x14ac:dyDescent="0.25">
      <c r="A15">
        <v>89</v>
      </c>
      <c r="B15">
        <v>1</v>
      </c>
      <c r="C15">
        <v>15</v>
      </c>
      <c r="D15">
        <v>2</v>
      </c>
      <c r="E15">
        <v>1</v>
      </c>
      <c r="F15" s="3">
        <f>3076.1+(6.2-1469.9)+(-9.412866+(-0.018972--4.497894))+0--149.1-0.456246000000017</f>
        <v>1756.1098099999997</v>
      </c>
      <c r="G15" s="3">
        <f>2964.6+(5.8-1500.4)+(-3.023892+(-0.005916--1.530408))+0--144.4-0.147288000000023</f>
        <v>1612.7533119999998</v>
      </c>
      <c r="H15" s="3">
        <f>2923.7+(5.6-1495.1)+(-1.491087+(-0.002856--0.762501))+0--153.1-0.0780809999999845</f>
        <v>1586.4904769999998</v>
      </c>
      <c r="I15" s="3">
        <f>2716.4+(5.6-1330.9)+(-5.541456+(-0.011424--2.715036))+0--164.4-0.335375999999993</f>
        <v>1552.3267800000001</v>
      </c>
      <c r="J15" s="3">
        <f>2429.6+(5.6-1108.6)+(-2.478192+(-0.005712--1.130772))+0--164.9-0.168198000000026</f>
        <v>1489.97867</v>
      </c>
      <c r="K15" s="3">
        <f>2386+(5.6-1110.3)+(-3.65058+(-0.008568--1.698759))+0--165.9-0.25382700000001</f>
        <v>1444.985784</v>
      </c>
      <c r="L15" s="3">
        <f>2423.7+(8.7-1103.1)+(-1.236087+(-0.004437--0.562581))+0--165.5-0.0844049999999832</f>
        <v>1494.037652</v>
      </c>
      <c r="M15" s="3">
        <f>2593+(25.4-1300.5)+(-5.28972+(-0.051816--2.65302))+0--166.7-0.340067999999993</f>
        <v>1481.5714160000002</v>
      </c>
      <c r="N15" s="3">
        <f>2776.6+(25.1-1345.9)+(0+(0-0))+0--149.3-0</f>
        <v>1605.0999999999997</v>
      </c>
      <c r="O15" s="3">
        <f>3036.4+(12.3-1465.1)+(0+(0-0))+0--143.7-0</f>
        <v>1727.3000000000002</v>
      </c>
      <c r="P15" s="3">
        <f>3074.2+(8.6-1466.8)+(-1.567842+(-0.004386--0.748068))+0--142.2-0.0725219999999856</f>
        <v>1757.303318</v>
      </c>
      <c r="Q15" s="3">
        <f>3038.8+(11.3-1415.4)+(-3.099576+(-0.011526--1.443708))+0--141.5-0.144330000000023</f>
        <v>1774.3882759999999</v>
      </c>
      <c r="R15" s="3">
        <f>3006.3+(18.2-1318.7)+(-6.132852+(-0.037128--2.690148))+0--155-0.316199999999993</f>
        <v>1857.0039680000002</v>
      </c>
      <c r="S15" s="3">
        <f>2981.6+(22.1-1343.8)+(-3.041232+(-0.022542--1.370676))+0--154.8-0.157896000000025</f>
        <v>1812.8490059999999</v>
      </c>
      <c r="T15" s="3">
        <f>2970.2+(26.2-1342.1)+(-4.544406+(-0.040086--2.053413))+0--155.8-0.238374000000009</f>
        <v>1807.3305469999998</v>
      </c>
      <c r="U15" s="3">
        <f>2961.2+(26.9-1338.7)+(0+(0-0))+0--155.1-0</f>
        <v>1804.4999999999998</v>
      </c>
      <c r="V15" s="3">
        <f>2958.5+(25.5-1306)+(-4.526505+(-0.039015--1.99818))+0--147.2-0.225216000000008</f>
        <v>1822.4074439999999</v>
      </c>
      <c r="W15" s="3">
        <f>2937.1+(30.9-1290.4)+(1.497921+(0.015759-0.658104))+0--147.6--0.075275999999985</f>
        <v>1826.1308519999998</v>
      </c>
      <c r="X15" s="3">
        <f>2968.8+(32.2-1323)+(-7.57044+(-0.08211--3.37365))+0--148.7-0.379184999999978</f>
        <v>1822.0419150000002</v>
      </c>
      <c r="Y15" s="3">
        <f>3017+(55-1204.6)+(3.07734+(0.0561-1.228692))+0--148.7--0.151674000000024</f>
        <v>2018.156422</v>
      </c>
      <c r="Z15" s="3">
        <f>3065.6+(57.3-1144.5)+(-3.126912+(-0.058446--1.16739))+0--149.5-0.152490000000024</f>
        <v>2125.7295419999996</v>
      </c>
      <c r="AA15" s="3">
        <f>3087+(44.7-1216.4)+(-7.87185+(-0.113985--3.10182))+0--150.9-0.384794999999978</f>
        <v>2060.9311899999998</v>
      </c>
      <c r="AB15" s="3">
        <f>3091.6+(36.1-1299)+(-3.153432+(-0.036822--1.32498))+0--151.9-0.154938000000024</f>
        <v>1978.5797879999998</v>
      </c>
      <c r="AC15" s="3">
        <f>3090.5+(27-1408.9)+(-4.728465+(-0.04131--2.155617))+0--151.9-0.232407000000009</f>
        <v>1857.6534349999999</v>
      </c>
      <c r="AD15">
        <f t="shared" si="0"/>
        <v>42075.659604000015</v>
      </c>
      <c r="AE15" s="3">
        <f>3046+(42.2-1131.4)+(0+(0-0))+0--152.9-0</f>
        <v>2109.6999999999998</v>
      </c>
    </row>
    <row r="16" spans="1:31" s="2" customFormat="1" x14ac:dyDescent="0.25">
      <c r="A16">
        <v>89</v>
      </c>
      <c r="B16">
        <v>1</v>
      </c>
      <c r="C16">
        <v>16</v>
      </c>
      <c r="D16">
        <v>3</v>
      </c>
      <c r="E16">
        <v>1</v>
      </c>
      <c r="F16" s="3">
        <f>3100.2+(13-1518.7)+(-6.324408+(-0.02652--3.098148))+0--151.3-0.308651999999993</f>
        <v>1742.2385679999998</v>
      </c>
      <c r="G16" s="3">
        <f>3037.3+(13-1552)+(0+(0-0))+0--148.4-0</f>
        <v>1646.7000000000003</v>
      </c>
      <c r="H16" s="3">
        <f>2971.8+(13-1542.5)+(-3.031236+(-0.01326--1.57335))+0--148.2-0.151164000000024</f>
        <v>1588.87769</v>
      </c>
      <c r="I16" s="3">
        <f>2747+(13-1352.5)+(-5.60388+(-0.02652--2.7591))+0--149.4-0.304775999999994</f>
        <v>1553.7239240000001</v>
      </c>
      <c r="J16" s="3">
        <f>2567+(13-1218.2)+(1.30917+(0.00663-0.621282))+0--150.7--0.0768569999999847</f>
        <v>1513.271375</v>
      </c>
      <c r="K16" s="3">
        <f>2537.7+(13-1179.6)+(0+(0-0))+0--150.8-0</f>
        <v>1521.8999999999999</v>
      </c>
      <c r="L16" s="3">
        <f>2629+(13-1244.5)+(-1.34079+(-0.00663--0.634695))+0--151-0.0770099999999847</f>
        <v>1547.7102649999999</v>
      </c>
      <c r="M16" s="3">
        <f>2733.6+(22.3-1349.7)+(-1.394136+(-0.011373--0.688347))+0--155-0.0790499999999843</f>
        <v>1560.4037879999998</v>
      </c>
      <c r="N16" s="3">
        <f>3061.8+(17.9-1544.3)+(1.561518+(0.009129-0.787593))+0--154.5--0.0787949999999843</f>
        <v>1690.7618490000002</v>
      </c>
      <c r="O16" s="3">
        <f>3127+(15-1530.6)+(1.59477+(0.00765-0.780606))+0--153.2--0.0781319999999845</f>
        <v>1765.4999460000001</v>
      </c>
      <c r="P16" s="3">
        <f>3087.5+(16.5-1515.4)+(1.574625+(0.008415-0.772854))+0--151.4--0.0772139999999846</f>
        <v>1740.8873999999998</v>
      </c>
      <c r="Q16" s="3">
        <f>3049+(15-1336.7)+(-1.55499+(-0.00765--0.681717))+0--149.6-0.0762959999999848</f>
        <v>1875.942781</v>
      </c>
      <c r="R16" s="3">
        <f>3022.6+(11.2-1302.9)+(0+(0-0))+0--149.5-0</f>
        <v>1880.3999999999999</v>
      </c>
      <c r="S16" s="3">
        <f>2988.1+(23.8-1335.6)+(-6.095724+(-0.048552--2.724624))+0--147.5-0.300899999999994</f>
        <v>1820.079448</v>
      </c>
      <c r="T16" s="3">
        <f>2965.3+(31.2-1319.8)+(-1.512303+(-0.015912--0.673098))+0--148.1-0.075530999999985</f>
        <v>1823.8693520000002</v>
      </c>
      <c r="U16" s="3">
        <f>2976.3+(34.5-1347.1)+(-3.035826+(-0.03519--1.374042))+0--151.1-0.154122000000024</f>
        <v>1812.9489040000003</v>
      </c>
      <c r="V16" s="3">
        <f>2994.7+(27.9-1353.8)+(-1.527297+(-0.014229--0.690438))+0--150.6-0.0768059999999847</f>
        <v>1818.4721059999999</v>
      </c>
      <c r="W16" s="3">
        <f>3002.2+(21.5-1347.8)+(-3.062244+(-0.02193--1.374756))+0--149.9-0.152898000000024</f>
        <v>1823.937684</v>
      </c>
      <c r="X16" s="3">
        <f>2974+(32.5-1295.5)+(-7.5837+(-0.082875--3.303525))+0--150.5-0.383774999999978</f>
        <v>1856.7531750000001</v>
      </c>
      <c r="Y16" s="3">
        <f>2983.5+(65.9-1160.4)+(-1.521585+(-0.033609--0.591804))+0--149.6-0.0762959999999848</f>
        <v>2037.5603140000001</v>
      </c>
      <c r="Z16" s="3">
        <f>3054.5+(53.7-1135.7)+(-4.673385+(-0.082161--1.737621))+0--146.4-0.223992000000008</f>
        <v>2115.6580829999998</v>
      </c>
      <c r="AA16" s="3">
        <f>3072.7+(44.5-1209.1)+(-6.268308+(-0.09078--2.466564))+0--147.7-0.301307999999994</f>
        <v>2051.6061679999998</v>
      </c>
      <c r="AB16" s="3">
        <f>3084+(36.1-1294.3)+(-3.14568+(-0.036822--1.320186))+0--152.5-0.155550000000024</f>
        <v>1976.282134</v>
      </c>
      <c r="AC16" s="3">
        <f>3069.9+(26.7-1337)+(-6.262596+(-0.054468--2.72748))+0--151.1-0.308243999999993</f>
        <v>1906.8021719999999</v>
      </c>
      <c r="AD16">
        <f t="shared" si="0"/>
        <v>42672.287126000017</v>
      </c>
      <c r="AE16" s="3">
        <f>3056+(52.1-1125.4)+(0+(0-0))+0--146.3-0</f>
        <v>2129</v>
      </c>
    </row>
    <row r="17" spans="1:31" s="2" customFormat="1" x14ac:dyDescent="0.25">
      <c r="A17">
        <v>89</v>
      </c>
      <c r="B17">
        <v>1</v>
      </c>
      <c r="C17">
        <v>17</v>
      </c>
      <c r="D17">
        <v>4</v>
      </c>
      <c r="E17">
        <v>1</v>
      </c>
      <c r="F17" s="3">
        <f>2910.9+(30.8-1312.2)+(-4.453677+(-0.047124--2.007666))+0--147.8-0.226134000000009</f>
        <v>1774.580731</v>
      </c>
      <c r="G17" s="3">
        <f>2849.1+(22.9-1325.5)+(-7.265205+(-0.058395--3.380025))+0--140.9-0.35929499999998</f>
        <v>1683.0971300000001</v>
      </c>
      <c r="H17" s="3">
        <f>2751.4+(19.8-1298.8)+(-4.209642+(-0.030294--1.987164))+0--142.5-0.218025000000008</f>
        <v>1612.4292030000001</v>
      </c>
      <c r="I17" s="3">
        <f>2623+(19.8-1218.1)+(-6.68865+(-0.05049--3.106155))+0--146.9-0.374594999999979</f>
        <v>1567.5924200000002</v>
      </c>
      <c r="J17" s="3">
        <f>2484.3+(22.2-1095.6)+(0+(0-0))+0--146.5-0</f>
        <v>1557.4000000000003</v>
      </c>
      <c r="K17" s="3">
        <f>2435+(21.3-1053.6)+(2.4837+(0.021726-1.074672))+0--146.8--0.149736000000023</f>
        <v>1551.0804900000001</v>
      </c>
      <c r="L17" s="3">
        <f>2525.5+(16.1-1112)+(0+(0-0))+0--147.8-0</f>
        <v>1577.3999999999999</v>
      </c>
      <c r="M17" s="3">
        <f>2638.1+(16-1201.9)+(-5.381724+(-0.03264--2.451876))+0--148.3-0.302531999999994</f>
        <v>1597.23498</v>
      </c>
      <c r="N17" s="3">
        <f>2761.2+(31.8-1234.3)+(0+(0-0))+0--147.2-0</f>
        <v>1705.8999999999999</v>
      </c>
      <c r="O17" s="3">
        <f>2934.2+(31.9-1313.3)+(4.489326+(0.048807-2.009349))+0--148--0.226440000000009</f>
        <v>1803.555224</v>
      </c>
      <c r="P17" s="3">
        <f>2915+(38.3-1247.2)+(1.48665+(0.019533-0.636072))+0--147--0.0749699999999851</f>
        <v>1854.0450809999998</v>
      </c>
      <c r="Q17" s="3">
        <f>2943.8+(41.2-1231.8)+(-4.504014+(-0.063036--1.884654))+0--146.5-0.224145000000008</f>
        <v>1896.7934590000004</v>
      </c>
      <c r="R17" s="3">
        <f>2932.1+(43.3-1207)+(-1.495371+(-0.022083--0.61557))+0--148.2-0.075581999999985</f>
        <v>1915.6225339999999</v>
      </c>
      <c r="S17" s="3">
        <f>2900+(45.1-1212.1)+(-2.958+(-0.046002--1.236342))+0--145.7-0.148614000000023</f>
        <v>1876.7837260000001</v>
      </c>
      <c r="T17" s="3">
        <f>2893.2+(48.5-1206)+(-1.475532+(-0.024735--0.61506))+0--144.7-0.0737969999999853</f>
        <v>1879.4409959999998</v>
      </c>
      <c r="U17" s="3">
        <f>2844.1+(53.2-1181)+(2.900982+(0.054264-1.20462))+0--146.5--0.149430000000023</f>
        <v>1864.7000559999999</v>
      </c>
      <c r="V17" s="3">
        <f>2841.5+(48.4-1190.4)+(2.89833+(0.049368-1.214208))+0--147--0.149940000000023</f>
        <v>1848.3834300000001</v>
      </c>
      <c r="W17" s="3">
        <f>2831.6+(50.7-1174)+(-4.332348+(-0.077571--1.79622))+0--146.3-0.223839000000008</f>
        <v>1851.7624619999999</v>
      </c>
      <c r="X17" s="3">
        <f>2839.8+(50.3-1187.6)+(-2.896596+(-0.051306--1.211352))+0--148.7-0.151674000000024</f>
        <v>1849.3117760000002</v>
      </c>
      <c r="Y17" s="3">
        <f>2889.3+(74.1-1099.7)+(-2.947086+(-0.075582--1.121694))+0--149.4-0.152388000000024</f>
        <v>2011.0466380000003</v>
      </c>
      <c r="Z17" s="3">
        <f>2893.3+(80.5-1012.5)+(-2.951166+(-0.08211--1.03275))+0--149.2-0.152184000000024</f>
        <v>2108.3472900000002</v>
      </c>
      <c r="AA17" s="3">
        <f>2901+(75.3-1066.1)+(-2.95902+(-0.076806--1.087422))+0--149.8-0.152796000000024</f>
        <v>2057.8988000000004</v>
      </c>
      <c r="AB17" s="3">
        <f>2907.2+(57.6-1153.9)+(0+(0-0))+0--150.6-0</f>
        <v>1961.4999999999995</v>
      </c>
      <c r="AC17" s="3">
        <f>2919.3+(45.7-1244.7)+(-1.488843+(-0.023307--0.634797))+0--154.1-0.0785909999999844</f>
        <v>1873.444056</v>
      </c>
      <c r="AD17">
        <f t="shared" si="0"/>
        <v>43279.350482000002</v>
      </c>
      <c r="AE17" s="3">
        <f>2883+(83.4-972.7)+(0+(0-0))+0--150.9-0</f>
        <v>2144.6</v>
      </c>
    </row>
    <row r="18" spans="1:31" s="2" customFormat="1" x14ac:dyDescent="0.25">
      <c r="A18">
        <v>89</v>
      </c>
      <c r="B18">
        <v>1</v>
      </c>
      <c r="C18">
        <v>18</v>
      </c>
      <c r="D18">
        <v>5</v>
      </c>
      <c r="E18">
        <v>1</v>
      </c>
      <c r="F18" s="3">
        <f>2899.9+(25.6-1321.2)+(-4.436847+(-0.039168--2.021436))+0--156.8-0.239904000000009</f>
        <v>1758.4055169999999</v>
      </c>
      <c r="G18" s="3">
        <f>2736.2+(24-1254.6)+(1.395462+(0.01224-0.639846))+0--157.7--0.080426999999984</f>
        <v>1664.1482829999998</v>
      </c>
      <c r="H18" s="3">
        <f>2631.9+(21.2-1207.4)+(-1.342269+(-0.010812--0.615774))+0--156.5-0.0798149999999841</f>
        <v>1601.3828779999999</v>
      </c>
      <c r="I18" s="3">
        <f>2602.7+(15.8-1208.5)+(-1.327377+(-0.008058--0.616335))+0--155.9-0.0795089999999842</f>
        <v>1565.1013909999999</v>
      </c>
      <c r="J18" s="3">
        <f>2511.2+(17-1133.7)+(-7.684272+(-0.05202--3.469122))+0--154.9-0.473994000000018</f>
        <v>1544.6588359999998</v>
      </c>
      <c r="K18" s="3">
        <f>2354.5+(22.9-997.3)+(0+(0-0))+0--154.1-0</f>
        <v>1534.1999999999998</v>
      </c>
      <c r="L18" s="3">
        <f>2353.9+(24.6-1000.4)+(-2.400978+(-0.025092--1.020408))+0--154.4-0.157488000000025</f>
        <v>1530.9368500000003</v>
      </c>
      <c r="M18" s="3">
        <f>2541.5+(27-1144.6)+(-1.296165+(-0.01377--0.583746))+0--154.5-0.0787949999999843</f>
        <v>1577.5950160000002</v>
      </c>
      <c r="N18" s="3">
        <f>2862.3+(20.2-1366.4)+(1.459773+(0.010302-0.696864))+0--154.9--0.0789989999999843</f>
        <v>1671.8522100000002</v>
      </c>
      <c r="O18" s="3">
        <f>2995.7+(29.3-1394.5)+(0+(0-0))+0--152.8-0</f>
        <v>1783.2999999999997</v>
      </c>
      <c r="P18" s="3">
        <f>3046.2+(37.6-1344.5)+(0+(0-0))+0--151-0</f>
        <v>1890.2999999999997</v>
      </c>
      <c r="Q18" s="3">
        <f>3027.7+(41.9-1327.5)+(-3.088254+(-0.042738--1.35405))+0--149.7-0.152694000000024</f>
        <v>1889.8703639999999</v>
      </c>
      <c r="R18" s="3">
        <f>2987.9+(41.1-1286.5)+(-4.571487+(-0.062883--1.968345))+0--149.5-0.228735000000009</f>
        <v>1889.1052400000001</v>
      </c>
      <c r="S18" s="3">
        <f>2953+(52.4-1292)+(-4.51809+(-0.080172--1.97676))+0--149.4-0.228582000000009</f>
        <v>1859.9499160000003</v>
      </c>
      <c r="T18" s="3">
        <f>2938.5+(39-1257.2)+(-4.495905+(-0.05967--1.923516))+0--149.5-0.228735000000009</f>
        <v>1866.939206</v>
      </c>
      <c r="U18" s="3">
        <f>2937.2+(37.5-1240.7)+(-4.493916+(-0.057375--1.898271))+0--149.1-0.228123000000009</f>
        <v>1880.2188569999996</v>
      </c>
      <c r="V18" s="3">
        <f>2867.6+(35.5-1135.6)+(-1.462476+(-0.018105--0.579156))+0--122.1-0.0622709999999876</f>
        <v>1888.6363039999999</v>
      </c>
      <c r="W18" s="3">
        <f>2849.1+(32.9-1119.2)+(-7.265205+(-0.083895--2.85396))+0--86.1-0.219554999999987</f>
        <v>1844.185305</v>
      </c>
      <c r="X18" s="3">
        <f>2845.9+(31.4-1178.5)+(-4.354227+(-0.048042--1.803105))+0--124.8-0.190944000000007</f>
        <v>1820.8098920000002</v>
      </c>
      <c r="Y18" s="3">
        <f>2902.9+(51.4-1129.3)+(-2.960958+(-0.052428--1.151886))+0--152.6-0.155652000000024</f>
        <v>1975.5828480000002</v>
      </c>
      <c r="Z18" s="3">
        <f>3025.7+(61-1108.4)+(-10.801749+(-0.21777--3.956988))+0--152.7-0.545139000000002</f>
        <v>2123.3923299999997</v>
      </c>
      <c r="AA18" s="3">
        <f>3052.3+(52.8-1184.9)+(-4.670019+(-0.080784--1.812897))+0--154.2-0.235926000000009</f>
        <v>2071.2261680000001</v>
      </c>
      <c r="AB18" s="3">
        <f>3064.4+(51.9-1259.3)+(-4.688532+(-0.079407--1.926729))+0--152.4-0.233172000000009</f>
        <v>2006.3256180000003</v>
      </c>
      <c r="AC18" s="3">
        <f>3076.3+(49-1354.5)+(1.568913+(0.02499-0.690795))+0--150.6--0.0768059999999847</f>
        <v>1922.3799140000001</v>
      </c>
      <c r="AD18">
        <f t="shared" si="0"/>
        <v>43160.502943</v>
      </c>
      <c r="AE18" s="3">
        <f>3033+(59.3-1101.5)+(0+(0-0))+0--152.5-0</f>
        <v>2143.3000000000002</v>
      </c>
    </row>
    <row r="19" spans="1:31" s="2" customFormat="1" x14ac:dyDescent="0.25">
      <c r="A19">
        <v>89</v>
      </c>
      <c r="B19">
        <v>1</v>
      </c>
      <c r="C19">
        <v>19</v>
      </c>
      <c r="D19">
        <v>6</v>
      </c>
      <c r="E19">
        <v>1</v>
      </c>
      <c r="F19" s="3">
        <f>3092.1+(39-1409.7)+(-6.307884+(-0.07956--2.875788))+0--129.5-0.264179999999994</f>
        <v>1847.1241640000001</v>
      </c>
      <c r="G19" s="3">
        <f>3057+(28.8-1482.4)+(-4.67721+(-0.044064--2.268072))+0--129.1-0.197523000000007</f>
        <v>1729.8492749999998</v>
      </c>
      <c r="H19" s="3">
        <f>2973.8+(27.9-1492.4)+(-3.033276+(-0.028458--1.522248))+0--150.8-0.153816000000024</f>
        <v>1658.4066980000002</v>
      </c>
      <c r="I19" s="3">
        <f>2905.4+(24.6-1449.2)+(-4.445262+(-0.037638--2.217276))+0--150.5-0.230265000000009</f>
        <v>1628.8041110000001</v>
      </c>
      <c r="J19" s="3">
        <f>2707.2+(29-1298.3)+(0+(0-0))+0--150.7-0</f>
        <v>1588.6</v>
      </c>
      <c r="K19" s="3">
        <f>2683.5+(23.7-1284.5)+(1.368585+(0.012087-0.655095))+0--150.6--0.0768059999999847</f>
        <v>1574.1023829999999</v>
      </c>
      <c r="L19" s="3">
        <f>2673.8+(23.3-1260.9)+(-2.727276+(-0.023766--1.286118))+0--152.3-0.155346000000024</f>
        <v>1586.8797299999999</v>
      </c>
      <c r="M19" s="3">
        <f>2709.6+(34.4-1282.9)+(-1.381896+(-0.017544--0.654279))+0--155.2-0.0791519999999842</f>
        <v>1615.4756869999999</v>
      </c>
      <c r="N19" s="3">
        <f>2951.6+(39.9-1429.3)+(-1.505316+(-0.020349--0.728943))+0--155.7-0.0794069999999842</f>
        <v>1717.0238710000001</v>
      </c>
      <c r="O19" s="3">
        <f>2949.3+(48-1364.4)+(4.512429+(0.07344-2.087532))+0--154.2--0.235926000000009</f>
        <v>1789.8342630000002</v>
      </c>
      <c r="P19" s="3">
        <f>2921+(58.3-1276.3)+(2.97942+(0.059466-1.301826))+0--151.2--0.154224000000024</f>
        <v>1856.0912840000001</v>
      </c>
      <c r="Q19" s="3">
        <f>2892.3+(64.4-1201.8)+(1.475073+(0.032844-0.612918))+0--149.7--0.0763469999999848</f>
        <v>1905.5713460000004</v>
      </c>
      <c r="R19" s="3">
        <f>2877+(65-1137.7)+(0+(0-0))+0--148.5-0</f>
        <v>1952.8</v>
      </c>
      <c r="S19" s="3">
        <f>2877+(70.4-1152.9)+(-5.86908+(-0.143616--2.351916))+0--147.5-0.300899999999994</f>
        <v>1938.0383200000001</v>
      </c>
      <c r="T19" s="3">
        <f>2817.4+(64.9-1144.8)+(4.310622+(0.099297-1.751544))+0--148.5--0.227205000000009</f>
        <v>1888.8855800000001</v>
      </c>
      <c r="U19" s="3">
        <f>2557.1+(113.4-901.7)+(-1.304121+(-0.057834--0.459867))+0--149.1-0.0760409999999849</f>
        <v>1916.9218709999996</v>
      </c>
      <c r="V19" s="3">
        <f>2545.8+(70-926.9)+(-1.298358+(-0.0357--0.472719))+0--149.3-0.0761429999999849</f>
        <v>1837.262518</v>
      </c>
      <c r="W19" s="3">
        <f>2535.3+(60.2-950.4)+(-2.586006+(-0.061404--0.969408))+0--150.8-0.153816000000024</f>
        <v>1794.0681820000002</v>
      </c>
      <c r="X19" s="3">
        <f>2354.6+(65.5-765.4)+(-1.200846+(-0.033405--0.390354))+0--151.2-0.0771119999999847</f>
        <v>1804.978991</v>
      </c>
      <c r="Y19" s="3">
        <f>2627.9+(75.2-887.6)+(2.680458+(0.076704-0.905352))+0--151.2--0.154224000000024</f>
        <v>1968.706034</v>
      </c>
      <c r="Z19" s="3">
        <f>2928.1+(69.8-1050.4)+(1.493331+(0.035598-0.535704))+0--150.7--0.0768569999999847</f>
        <v>2099.2700819999995</v>
      </c>
      <c r="AA19" s="3">
        <f>2946.5+(63.9-1127.7)+(0+(0-0))+0--150.3-0</f>
        <v>2033</v>
      </c>
      <c r="AB19" s="3">
        <f>2951.9+(59.8-1175.3)+(-4.516407+(-0.091494--1.798209))+0--150.7-0.230571000000009</f>
        <v>1984.059737</v>
      </c>
      <c r="AC19" s="3">
        <f>2904.5+(59-1193.2)+(0+(0-0))+0--150.4-0</f>
        <v>1920.7</v>
      </c>
      <c r="AD19">
        <f t="shared" si="0"/>
        <v>43636.454127000005</v>
      </c>
      <c r="AE19" s="3">
        <f>2917+(67.6-1030.8)+(0+(0-0))+0--151.5-0</f>
        <v>2105.3000000000002</v>
      </c>
    </row>
    <row r="20" spans="1:31" s="2" customFormat="1" x14ac:dyDescent="0.25">
      <c r="A20">
        <v>89</v>
      </c>
      <c r="B20">
        <v>1</v>
      </c>
      <c r="C20">
        <v>20</v>
      </c>
      <c r="D20">
        <v>7</v>
      </c>
      <c r="E20">
        <v>1</v>
      </c>
      <c r="F20" s="3">
        <f>2871.6+(47.4-1210.5)+(-2.929032+(-0.048348--1.23471))+0--149.7-0.152694000000024</f>
        <v>1856.3046359999998</v>
      </c>
      <c r="G20" s="3">
        <f>2713.5+(52-1135.2)+(-5.53554+(-0.10608--2.315808))+0--150-0.305999999999993</f>
        <v>1776.6681879999999</v>
      </c>
      <c r="H20" s="3">
        <f>2515.2+(79.4-1027.7)+(-2.565504+(-0.080988--1.048254))+0--150.4-0.153408000000024</f>
        <v>1715.5483539999996</v>
      </c>
      <c r="I20" s="3">
        <f>2270.7+(114.6-864.5)+(-1.158057+(-0.058446--0.440895))+0--149.2-0.0760919999999849</f>
        <v>1669.1482999999998</v>
      </c>
      <c r="J20" s="3">
        <f>2268.7+(112.3-883.2)+(-2.314074+(-0.114546--0.900864))+0--147.5-0.150450000000024</f>
        <v>1643.6217939999997</v>
      </c>
      <c r="K20" s="3">
        <f>2244.2+(114.2-860.5)+(-1.144542+(-0.058242--0.438855))+0--147-0.0749699999999851</f>
        <v>1644.061101</v>
      </c>
      <c r="L20" s="3">
        <f>2108.6+(109.3-750.6)+(-4.301544+(-0.222972--1.531224))+0--148-0.301919999999994</f>
        <v>1612.0047879999997</v>
      </c>
      <c r="M20" s="3">
        <f>1979.7+(112.5-667.7)+(0+(0-0))+0--148.5-0</f>
        <v>1573</v>
      </c>
      <c r="N20" s="3">
        <f>2098.6+(125.3-755.3)+(-2.140572+(-0.127806--0.770406))+0--148.8-0.151776000000024</f>
        <v>1615.750252</v>
      </c>
      <c r="O20" s="3">
        <f>2271.9+(138.7-872.3)+(3.476007+(0.212211-1.334619))+0--147.9--0.226287000000009</f>
        <v>1688.7798860000003</v>
      </c>
      <c r="P20" s="3">
        <f>2305.8+(137.8-862.9)+(2.351916+(0.140556-0.880158))+0--138.3--0.141066000000022</f>
        <v>1720.7533800000001</v>
      </c>
      <c r="Q20" s="3">
        <f>2187.7+(174.7-711.2)+(1.115727+(0.089097-0.362712))+0--103.5--0.0527849999999895</f>
        <v>1755.5948969999999</v>
      </c>
      <c r="R20" s="3">
        <f>2202.3+(166.7-739.7)+(0+(0-0))+0--131.4-0</f>
        <v>1760.7000000000003</v>
      </c>
      <c r="S20" s="3">
        <f>2256+(157.9-790.8)+(-1.15056+(-0.080529--0.403308))+0--142.8-0.0728279999999855</f>
        <v>1764.9993909999998</v>
      </c>
      <c r="T20" s="3">
        <f>2256.5+(147.2-766.2)+(-2.30163+(-0.150144--0.781524))+0--143.6-0.146472000000023</f>
        <v>1779.2832779999999</v>
      </c>
      <c r="U20" s="3">
        <f>2255.8+(145.9-704.4)+(1.150458+(0.074409-0.359244))+0--76.9--0.0392189999999922</f>
        <v>1775.1048420000002</v>
      </c>
      <c r="V20" s="3">
        <f>2305.9+(129.1-762.2)+(-4.704036+(-0.263364--1.554888))+0--80.4-0.164015999999996</f>
        <v>1749.6234720000002</v>
      </c>
      <c r="W20" s="3">
        <f>2320.8+(130.9-859.6)+(-2.367216+(-0.133518--0.876792))+0--119.9-0.122298000000019</f>
        <v>1710.2537600000003</v>
      </c>
      <c r="X20" s="3">
        <f>2428.2+(114.5-958.7)+(-7.430292+(-0.35037--2.933622))+0--145.6-0.445536000000017</f>
        <v>1724.3074239999996</v>
      </c>
      <c r="Y20" s="3">
        <f>2716.9+(82.6-1058.4)+(0+(0-0))+0--146.3-0</f>
        <v>1887.3999999999999</v>
      </c>
      <c r="Z20" s="3">
        <f>2912.1+(60.9-1088.9)+(-1.485171+(-0.031059--0.555339))+0--147-0.0749699999999851</f>
        <v>2030.0641390000001</v>
      </c>
      <c r="AA20" s="3">
        <f>2936.5+(59.3-1138)+(-4.492845+(-0.090729--1.74114))+0--148.5-0.227205000000009</f>
        <v>2003.2303610000001</v>
      </c>
      <c r="AB20" s="3">
        <f>2950.1+(57.2-1201.2)+(-4.513653+(-0.087516--1.837836))+0--149.8-0.229194000000009</f>
        <v>1952.9074729999998</v>
      </c>
      <c r="AC20" s="3">
        <f>2950.6+(55.4-1205.7)+(-6.019224+(-0.113016--2.459628))+0--132.8-0.270911999999994</f>
        <v>1929.1564759999999</v>
      </c>
      <c r="AD20">
        <f t="shared" si="0"/>
        <v>42338.266191999995</v>
      </c>
      <c r="AE20" s="3">
        <f>2914+(70.5-1033.9)+(0+(0-0))+0--148.3-0</f>
        <v>2098.9</v>
      </c>
    </row>
    <row r="21" spans="1:31" s="2" customFormat="1" x14ac:dyDescent="0.25">
      <c r="A21">
        <v>89</v>
      </c>
      <c r="B21">
        <v>1</v>
      </c>
      <c r="C21">
        <v>21</v>
      </c>
      <c r="D21">
        <v>1</v>
      </c>
      <c r="E21">
        <v>1</v>
      </c>
      <c r="F21" s="3">
        <f>2886.1+(53.7-1213.2)+(-7.359555+(-0.136935--3.09366))+0--147.3-0.375614999999979</f>
        <v>1869.1215549999999</v>
      </c>
      <c r="G21" s="3">
        <f>2821.8+(49.2-1228.4)+(-7.19559+(-0.12546--3.13242))+0--145.3-0.370514999999979</f>
        <v>1783.3408549999999</v>
      </c>
      <c r="H21" s="3">
        <f>2603.7+(51.8-1079.8)+(-7.967322+(-0.158508--3.304188))+0--144.7-0.442782000000017</f>
        <v>1715.1355759999997</v>
      </c>
      <c r="I21" s="3">
        <f>2495.1+(42.6-1007.7)+(-1.272501+(-0.021726--0.513927))+0--145.1-0.0740009999999853</f>
        <v>1674.2456990000001</v>
      </c>
      <c r="J21" s="3">
        <f>2303.8+(48.5-867)+(-3.524814+(-0.074205--1.32651))+0--148.3-0.226899000000009</f>
        <v>1631.1005920000002</v>
      </c>
      <c r="K21" s="3">
        <f>2315.4+(45-879)+(-2.361708+(-0.0459--0.89658))+0--149.8-0.152796000000024</f>
        <v>1629.5361760000001</v>
      </c>
      <c r="L21" s="3">
        <f>2309.4+(36.6-877.4)+(-7.066764+(-0.111996--2.684844))+0--149.7-0.458082000000017</f>
        <v>1613.3480020000002</v>
      </c>
      <c r="M21" s="3">
        <f>2334.6+(33.4-947.8)+(1.190646+(0.017034-0.483378))+0--151.1--0.0770609999999847</f>
        <v>1572.1013629999998</v>
      </c>
      <c r="N21" s="3">
        <f>2609.5+(30.1-1136.1)+(0+(0-0))+0--150.4-0</f>
        <v>1653.9</v>
      </c>
      <c r="O21" s="3">
        <f>2710.3+(25.8-1196.1)+(-2.764506+(-0.026316--1.220022))+0--149.6-0.152592000000024</f>
        <v>1687.8766080000003</v>
      </c>
      <c r="P21" s="3">
        <f>2866.3+(28.9-1249.6)+(1.461813+(0.014739-0.637296))+0--148.8--0.0758879999999849</f>
        <v>1795.3151440000004</v>
      </c>
      <c r="Q21" s="3">
        <f>2962.5+(41.3-1158.9)+(1.510875+(0.021063-0.591039))+0--120.6--0.0615059999999878</f>
        <v>1966.5024049999997</v>
      </c>
      <c r="R21" s="3">
        <f>2956.1+(45.2-1172.7)+(-3.015222+(-0.046104--1.196154))+0--147.8-0.150756000000024</f>
        <v>1974.3840719999998</v>
      </c>
      <c r="S21" s="3">
        <f>2947.8+(51-1176.3)+(-7.51689+(-0.13005--2.999565))+0--148.1-0.377654999999978</f>
        <v>1965.5749700000001</v>
      </c>
      <c r="T21" s="3">
        <f>2952.8+(56.2-1117.3)+(1.505928+(0.028662-0.569823))+0--93.5--0.0476849999999905</f>
        <v>1986.2124520000002</v>
      </c>
      <c r="U21" s="3">
        <f>2900.2+(53.7-1142.7)+(-5.916408+(-0.109548--2.331108))+0--162.6-0.331703999999993</f>
        <v>1969.7734479999997</v>
      </c>
      <c r="V21" s="3">
        <f>2880.3+(44.5-1082.2)+(0+(0-0))+0--130.3-0</f>
        <v>1972.9</v>
      </c>
      <c r="W21" s="3">
        <f>2824.6+(42.3-1086.7)+(-5.762184+(-0.086292--2.216868))+0--60.7-0.123827999999997</f>
        <v>1837.1445639999999</v>
      </c>
      <c r="X21" s="3">
        <f>2816.1+(30-1080.9)+(-2.872422+(-0.0306--1.102518))+0--87.7-0.089454000000014</f>
        <v>1851.0100419999999</v>
      </c>
      <c r="Y21" s="3">
        <f>2827.7+(49.7-982.1)+(-5.768508+(-0.101388--2.003484))+0--91.8-0.187271999999996</f>
        <v>1983.0463159999997</v>
      </c>
      <c r="Z21" s="3">
        <f>3018.5+(64.6-1064.1)+(-4.618305+(-0.098838--1.628073))+0--150.2-0.229806000000009</f>
        <v>2165.881124</v>
      </c>
      <c r="AA21" s="3">
        <f>3036.2+(61.7-1118.8)+(-4.645386+(-0.094401--1.711764))+0--152.1-0.232713000000009</f>
        <v>2127.9392640000001</v>
      </c>
      <c r="AB21" s="3">
        <f>3040+(55.3-1177.2)+(-4.6512+(-0.084609--1.801116))+0--152.5-0.233325000000009</f>
        <v>2067.4319820000001</v>
      </c>
      <c r="AC21" s="3">
        <f>2979.6+(54.3-1175.6)+(-6.078384+(-0.110772--2.398224))+0--152.8-0.311711999999993</f>
        <v>2006.9973559999999</v>
      </c>
      <c r="AD21">
        <f t="shared" si="0"/>
        <v>44499.819565000005</v>
      </c>
      <c r="AE21" s="3">
        <f>3003+(64.5-1060)+(0+(0-0))+0--151.4-0</f>
        <v>2158.9</v>
      </c>
    </row>
    <row r="22" spans="1:31" s="2" customFormat="1" x14ac:dyDescent="0.25">
      <c r="A22">
        <v>89</v>
      </c>
      <c r="B22">
        <v>1</v>
      </c>
      <c r="C22">
        <v>22</v>
      </c>
      <c r="D22">
        <v>2</v>
      </c>
      <c r="E22">
        <v>1</v>
      </c>
      <c r="F22" s="3">
        <f>2970.3+(35.9-1249.3)+(-3.029706+(-0.036618--1.274286))+0--152.7-0.155754000000024</f>
        <v>1907.6522080000002</v>
      </c>
      <c r="G22" s="3">
        <f>2964+(23.5-1327)+(-7.5582+(-0.059925--3.38385))+0--152.8-0.389639999999978</f>
        <v>1808.6760850000001</v>
      </c>
      <c r="H22" s="3">
        <f>2962.2+(10.4-1375.2)+(-4.532166+(-0.015912--2.104056))+0--153.5-0.234855000000009</f>
        <v>1748.221123</v>
      </c>
      <c r="I22" s="3">
        <f>2804.7+(13.6-1242.4)+(-4.291191+(-0.020808--1.900872))+0--153.9-0.235467000000009</f>
        <v>1727.1534059999997</v>
      </c>
      <c r="J22" s="3">
        <f>2619.1+(19.1-1072.8)+(-6.678705+(-0.048705--2.73564))+0--153.6-0.391679999999978</f>
        <v>1714.6165499999997</v>
      </c>
      <c r="K22" s="3">
        <f>2453.2+(16.8-978.1)+(2.502264+(0.017136-0.997662))+0--153.4--0.156468000000024</f>
        <v>1646.9782059999998</v>
      </c>
      <c r="L22" s="3">
        <f>2410.2+(23-926.9)+(-6.14601+(-0.05865--2.363595))+0--153.8-0.392189999999978</f>
        <v>1655.8667449999996</v>
      </c>
      <c r="M22" s="3">
        <f>2403.9+(28.6-1039)+(-1.225989+(-0.014586--0.52989))+0--153.2-0.0781319999999845</f>
        <v>1545.9111829999999</v>
      </c>
      <c r="N22" s="3">
        <f>2677.3+(33.2-1188.6)+(1.365423+(0.016932-0.606186))+0--153.6--0.0783359999999844</f>
        <v>1676.3545050000002</v>
      </c>
      <c r="O22" s="3">
        <f>2913.8+(30-1288.1)+(-1.486038+(-0.0153--0.656931))+0--151.1-0.0770609999999847</f>
        <v>1805.8785320000002</v>
      </c>
      <c r="P22" s="3">
        <f>2894.1+(28.1-1179.6)+(-1.475991+(-0.014331--0.601596))+0--75.1-0.0383009999999924</f>
        <v>1816.7729729999999</v>
      </c>
      <c r="Q22" s="3">
        <f>2835.4+(25.2-1127.4)+(1.446054+(0.012852-0.574974))+0--57.8--0.0294779999999941</f>
        <v>1791.9134099999999</v>
      </c>
      <c r="R22" s="3">
        <f>2870.1+(31.8-1227.9)+(-4.391253+(-0.048654--1.878687))+0--149.3-0.228429000000009</f>
        <v>1820.5103509999997</v>
      </c>
      <c r="S22" s="3">
        <f>2915.7+(33-1279.2)+(-4.461021+(-0.05049--1.957176))+0--141.3-0.216189000000008</f>
        <v>1808.0294759999997</v>
      </c>
      <c r="T22" s="3">
        <f>2983.6+(40-1216.6)+(0+(0-0))+0--108.6-0</f>
        <v>1915.6</v>
      </c>
      <c r="U22" s="3">
        <f>2974.4+(45.9-1179.2)+(0+(0-0))+0--72.7-0</f>
        <v>1913.8000000000002</v>
      </c>
      <c r="V22" s="3">
        <f>2905.3+(44.5-1101.1)+(-1.481703+(-0.022695--0.561561))+0--73.6-0.0375359999999925</f>
        <v>1921.3196270000001</v>
      </c>
      <c r="W22" s="3">
        <f>2969.1+(42.2-1168.1)+(-9.085446+(-0.129132--3.574386))+0--73.8-0.225828000000009</f>
        <v>1911.1339799999998</v>
      </c>
      <c r="X22" s="3">
        <f>2878.3+(30.7-1130.9)+(-1.467933+(-0.015657--0.576759))+0--74.3-0.0378929999999925</f>
        <v>1851.4552760000001</v>
      </c>
      <c r="Y22" s="3">
        <f>2967.4+(52.2-1160.7)+(-3.026748+(-0.053244--1.183914))+0--144-0.146880000000023</f>
        <v>2000.8570420000001</v>
      </c>
      <c r="Z22" s="3">
        <f>3218.9+(48.3-1242.7)+(-9.849834+(-0.147798--3.802662))+0--148.8-0.455328000000017</f>
        <v>2166.6497020000002</v>
      </c>
      <c r="AA22" s="3">
        <f>3233.6+(43.8-1315.8)+(-6.596544+(-0.089352--2.684232))+0--151.8-0.309671999999993</f>
        <v>2109.0886640000003</v>
      </c>
      <c r="AB22" s="3">
        <f>3270.9+(37.1-1419)+(0+(0-0))+0--152.8-0</f>
        <v>2041.8</v>
      </c>
      <c r="AC22" s="3">
        <f>3247.7+(35.6-1489.7)+(-1.656327+(-0.018156--0.759747))+0--154.1-0.0785909999999844</f>
        <v>1946.7066729999997</v>
      </c>
      <c r="AD22">
        <f t="shared" si="0"/>
        <v>44252.94571700001</v>
      </c>
      <c r="AE22" s="3">
        <f>3194+(47.6-1243.9)+(0+(0-0))+0--149.4-0</f>
        <v>2147.1</v>
      </c>
    </row>
    <row r="23" spans="1:31" s="2" customFormat="1" x14ac:dyDescent="0.25">
      <c r="A23">
        <v>89</v>
      </c>
      <c r="B23">
        <v>1</v>
      </c>
      <c r="C23">
        <v>23</v>
      </c>
      <c r="D23">
        <v>3</v>
      </c>
      <c r="E23">
        <v>1</v>
      </c>
      <c r="F23" s="3">
        <f>3230.2+(27.3-1526)+(-4.942206+(-0.041769--2.33478))+0--154.2-0.235926000000009</f>
        <v>1882.8148789999998</v>
      </c>
      <c r="G23" s="3">
        <f>3035.9+(23.9-1399.5)+(0+(0-0))+0--153.2-0</f>
        <v>1813.5000000000002</v>
      </c>
      <c r="H23" s="3">
        <f>2784.9+(27.6-1256.6)+(-2.840598+(-0.028152--1.281732))+0--152.2-0.155244000000024</f>
        <v>1706.3577380000002</v>
      </c>
      <c r="I23" s="3">
        <f>2695.9+(25.2-1210.1)+(-1.374909+(-0.012852--0.617151))+0--153.8-0.0784379999999844</f>
        <v>1663.9509520000001</v>
      </c>
      <c r="J23" s="3">
        <f>2554.3+(26.4-1101.4)+(-5.210772+(-0.053856--2.246856))+0--154.6-0.315383999999993</f>
        <v>1630.5668440000002</v>
      </c>
      <c r="K23" s="3">
        <f>2553.1+(20.2-1101.7)+(-1.302081+(-0.010302--0.561867))+0--155.2-0.0791519999999842</f>
        <v>1625.9703319999999</v>
      </c>
      <c r="L23" s="3">
        <f>2552.2+(14.2-1113.8)+(-1.301622+(-0.007242--0.568038))+0--155.2-0.0791519999999842</f>
        <v>1606.980022</v>
      </c>
      <c r="M23" s="3">
        <f>2546.7+(22-1126.9)+(-2.597634+(-0.02244--1.149438))+0--156-0.159120000000025</f>
        <v>1596.1702439999997</v>
      </c>
      <c r="N23" s="3">
        <f>2834.4+(28.8-1292.7)+(-5.782176+(-0.058752--2.637108))+0--155.4-0.317015999999993</f>
        <v>1722.3791640000002</v>
      </c>
      <c r="O23" s="3">
        <f>3024.1+(68.3-1406.8)+(-4.626873+(-0.104499--2.152404))+0--152.9-0.233937000000009</f>
        <v>1835.687095</v>
      </c>
      <c r="P23" s="3">
        <f>3061.7+(128-1418.8)+(-4.684401+(-0.19584--2.170764))+0--149-0.227970000000009</f>
        <v>1916.9625529999998</v>
      </c>
      <c r="Q23" s="3">
        <f>3045.6+(130.5-1355)+(-3.106512+(-0.13311--1.3821))+0--146.8-0.149736000000023</f>
        <v>1965.8927419999998</v>
      </c>
      <c r="R23" s="3">
        <f>3016.4+(126.8-1304.3)+(0+(0-0))+0--150-0</f>
        <v>1988.9</v>
      </c>
      <c r="S23" s="3">
        <f>2911.7+(121.8-1226.1)+(-1.484967+(-0.062118--0.625311))+0--147.3-0.0751229999999851</f>
        <v>1953.7031029999998</v>
      </c>
      <c r="T23" s="3">
        <f>2849.9+(128.5-1169.3)+(-2.906898+(-0.13107--1.192686))+0--188.4-0.19216800000003</f>
        <v>1995.4625500000002</v>
      </c>
      <c r="U23" s="3">
        <f>2796.4+(130.1-1143.9)+(-2.852328+(-0.132702--1.166778))+0--205.5-0.209610000000033</f>
        <v>1986.0721379999998</v>
      </c>
      <c r="V23" s="3">
        <f>2759.7+(129.7-1108.8)+(-2.814894+(-0.132294--1.130976))+0--197.2-0.201144000000031</f>
        <v>1975.7826439999999</v>
      </c>
      <c r="W23" s="3">
        <f>2526.8+(132.9-979.5)+(-1.288668+(-0.067779--0.499545))+0--149.6-0.0762959999999848</f>
        <v>1828.8668020000002</v>
      </c>
      <c r="X23" s="3">
        <f>2589+(127.8-1003.5)+(-1.32039+(-0.065178--0.511785))+0--150-0.0764999999999848</f>
        <v>1862.3497170000001</v>
      </c>
      <c r="Y23" s="3">
        <f>2811.3+(73.9-1008)+(0+(0-0))+0--150.4-0</f>
        <v>2027.6000000000004</v>
      </c>
      <c r="Z23" s="3">
        <f>3229.4+(55.2-1298.8)+(-3.293988+(-0.056304--1.324776))+0--202.2-0.206244000000032</f>
        <v>2185.7682400000003</v>
      </c>
      <c r="AA23" s="3">
        <f>3309.2+(47.6-1410.6)+(-3.375384+(-0.048552--1.438812))+0--210.1-0.214302000000033</f>
        <v>2154.1005740000001</v>
      </c>
      <c r="AB23" s="3">
        <f>3162.2+(52.9-1273.9)+(-6.450888+(-0.107916--2.598756))+0--160.7-0.327827999999993</f>
        <v>2097.6121239999998</v>
      </c>
      <c r="AC23" s="3">
        <f>2970.6+(63.7-1149.1)+(-3.030012+(-0.064974--1.172082))+0--151.5-0.154530000000024</f>
        <v>2034.622566</v>
      </c>
      <c r="AD23">
        <f t="shared" si="0"/>
        <v>45058.07302299999</v>
      </c>
      <c r="AE23" s="3">
        <f>3318+(63-1206.1)+(0+(0-0))+0--201.1-0</f>
        <v>2376</v>
      </c>
    </row>
    <row r="24" spans="1:31" s="2" customFormat="1" x14ac:dyDescent="0.25">
      <c r="A24">
        <v>89</v>
      </c>
      <c r="B24">
        <v>1</v>
      </c>
      <c r="C24">
        <v>24</v>
      </c>
      <c r="D24">
        <v>4</v>
      </c>
      <c r="E24">
        <v>1</v>
      </c>
      <c r="F24" s="3">
        <f>2886.1+(59.5-1148.2)+(-4.415733+(-0.091035--1.756746))+0--151.7-0.232101000000009</f>
        <v>1946.1178769999999</v>
      </c>
      <c r="G24" s="3">
        <f>2896.2+(48.5-1247.3)+(-4.431186+(-0.074205--1.908369))+0--151.8-0.232254000000009</f>
        <v>1846.3707239999999</v>
      </c>
      <c r="H24" s="3">
        <f>2846.9+(42.2-1261.5)+(1.451919+(0.021522-0.643365))+0--152--0.0775199999999846</f>
        <v>1780.5075960000001</v>
      </c>
      <c r="I24" s="3">
        <f>2696.3+(40.3-1160.9)+(-4.125339+(-0.061659--1.776177))+0--152.3-0.233019000000009</f>
        <v>1725.35616</v>
      </c>
      <c r="J24" s="3">
        <f>2510.3+(51-1016.4)+(-6.401265+(-0.13005--2.59182))+0--152.4-0.388619999999978</f>
        <v>1692.9718850000002</v>
      </c>
      <c r="K24" s="3">
        <f>2533+(41.4-1041.6)+(-3.87549+(-0.063342--1.593648))+0--152.3-0.233019000000009</f>
        <v>1682.5217970000001</v>
      </c>
      <c r="L24" s="3">
        <f>2598.1+(25.5-1119.7)+(-1.325031+(-0.013005--0.571047))+0--153.8-0.0784379999999844</f>
        <v>1656.8545729999998</v>
      </c>
      <c r="M24" s="3">
        <f>2651.2+(36.7-1201.3)+(0+(0-0))+0--153.3-0</f>
        <v>1639.8999999999999</v>
      </c>
      <c r="N24" s="3">
        <f>2923.9+(29.9-1329.9)+(0+(0-0))+0--151.6-0</f>
        <v>1775.5</v>
      </c>
      <c r="O24" s="3">
        <f>3096.4+(20.2-1420.8)+(-1.579164+(-0.010302--0.724608))+0--151.3-0.0771629999999847</f>
        <v>1846.1579790000003</v>
      </c>
      <c r="P24" s="3">
        <f>3135.1+(25.3-1400.1)+(0+(0-0))+0--148.7-0</f>
        <v>1909</v>
      </c>
      <c r="Q24" s="3">
        <f>3122.4+(28.7-1409.6)+(0+(0-0))+0--147.2-0</f>
        <v>1888.7000000000003</v>
      </c>
      <c r="R24" s="3">
        <f>3192.8+(21.3-1403.4)+(-4.884984+(-0.032589--2.147202))+0--146.9-0.224757000000009</f>
        <v>1954.6048720000001</v>
      </c>
      <c r="S24" s="3">
        <f>3010.5+(38.8-1264.5)+(-3.07071+(-0.039576--1.28979))+0--147.1-0.150042000000023</f>
        <v>1929.9294619999998</v>
      </c>
      <c r="T24" s="3">
        <f>2920+(53.2-1161.1)+(-1.4892+(-0.027132--0.592161))+0--145.4-0.0741539999999853</f>
        <v>1956.5016750000004</v>
      </c>
      <c r="U24" s="3">
        <f>2843.1+(59.7-1076.2)+(1.449981+(0.030447-0.548862))+0--133.6--0.0681359999999864</f>
        <v>1961.1997019999999</v>
      </c>
      <c r="V24" s="3">
        <f>2787.2+(60-1024.4)+(-1.421472+(-0.0306--0.522444))+0--121.9-0.0621689999999876</f>
        <v>1943.7082029999997</v>
      </c>
      <c r="W24" s="3">
        <f>2770.3+(47.2-1056)+(-4.238559+(-0.072216--1.61568))+0--149-0.227970000000009</f>
        <v>1907.5769350000003</v>
      </c>
      <c r="X24" s="3">
        <f>2699.4+(47.1-990.9)+(-6.88347+(-0.120105--2.526795))+0--147.8-0.376889999999979</f>
        <v>1898.5463300000001</v>
      </c>
      <c r="Y24" s="3">
        <f>2806.9+(54.2-994.4)+(-2.863038+(-0.055284--1.014288))+0--159.7-0.162894000000025</f>
        <v>2024.3330720000004</v>
      </c>
      <c r="Z24" s="3">
        <f>3339.6+(37.5-1407.9)+(-6.812784+(-0.0765--2.872116))+0--205.7-0.419627999999991</f>
        <v>2170.4632039999997</v>
      </c>
      <c r="AA24" s="3">
        <f>3369+(34.7-1453.1)+(-8.59095+(-0.088485--3.705405))+0--164.5-0.419474999999976</f>
        <v>2109.7064949999999</v>
      </c>
      <c r="AB24" s="3">
        <f>3145.6+(42.9-1267.5)+(-6.417024+(-0.087516--2.5857))+0--152.5-0.311099999999993</f>
        <v>2069.2700599999998</v>
      </c>
      <c r="AC24" s="3">
        <f>2943.3+(42.4-1124.6)+(-6.004332+(-0.086496--2.294184))+0--153.4-0.312935999999993</f>
        <v>2010.3904200000004</v>
      </c>
      <c r="AD24">
        <f t="shared" si="0"/>
        <v>45326.189021000006</v>
      </c>
      <c r="AE24" s="3">
        <f>3397+(42-1439)+(0+(0-0))+0--206-0</f>
        <v>2206</v>
      </c>
    </row>
    <row r="25" spans="1:31" s="2" customFormat="1" x14ac:dyDescent="0.25">
      <c r="A25">
        <v>89</v>
      </c>
      <c r="B25">
        <v>1</v>
      </c>
      <c r="C25">
        <v>25</v>
      </c>
      <c r="D25">
        <v>5</v>
      </c>
      <c r="E25">
        <v>1</v>
      </c>
      <c r="F25" s="3">
        <f>2778.8+(59.1-1041.5)+(-4.251564+(-0.090423--1.593495))+0--153.1-0.234243000000009</f>
        <v>1946.517265</v>
      </c>
      <c r="G25" s="3">
        <f>2696.7+(56.7-1047.7)+(-4.125951+(-0.086751--1.602981))+0--153.3-0.234549000000009</f>
        <v>1856.1557299999997</v>
      </c>
      <c r="H25" s="3">
        <f>2630.3+(49.8-1044.1)+(-2.682906+(-0.050796--1.064982))+0--152.7-0.155754000000024</f>
        <v>1786.8755260000003</v>
      </c>
      <c r="I25" s="3">
        <f>2635.3+(44-1066.5)+(-2.688006+(-0.04488--1.08783))+0--153.2-0.156264000000024</f>
        <v>1764.1986800000002</v>
      </c>
      <c r="J25" s="3">
        <f>2637.8+(38.3-1107.1)+(-2.690556+(-0.039066--1.129242))+0--154.2-0.157284000000025</f>
        <v>1721.4423360000001</v>
      </c>
      <c r="K25" s="3">
        <f>2641.1+(32.3-1123.4)+(1.346961+(0.016473-0.572934))+0--154.3--0.0786929999999844</f>
        <v>1705.1691929999997</v>
      </c>
      <c r="L25" s="3">
        <f>2711.6+(23-1194.2)+(-1.382916+(-0.01173--0.609042))+0--154.1-0.0785909999999844</f>
        <v>1693.6358049999999</v>
      </c>
      <c r="M25" s="3">
        <f>2810.4+(24.6-1336.5)+(1.433304+(0.012546-0.681615))+0--154.8--0.0789479999999843</f>
        <v>1654.1431830000001</v>
      </c>
      <c r="N25" s="3">
        <f>3082.5+(79.4-1483.4)+(0+(0-0))+0--153.6-0</f>
        <v>1832.1</v>
      </c>
      <c r="O25" s="3">
        <f>3112.4+(140.7-1505.6)+(-1.587324+(-0.071757--0.767856))+0--154.9-0.0789989999999843</f>
        <v>1901.4297760000002</v>
      </c>
      <c r="P25" s="3">
        <f>3180.4+(139.4-1517)+(3.244008+(0.142188-1.54734))+0--137.7--0.140454000000022</f>
        <v>1942.4793100000004</v>
      </c>
      <c r="Q25" s="3">
        <f>3178.2+(140.7-1541.8)+(-4.862646+(-0.215271--2.358954))+0--159.8-0.244494000000009</f>
        <v>1933.9365429999998</v>
      </c>
      <c r="R25" s="3">
        <f>3140.5+(139.3-1383.4)+(1.601655+(0.071043-0.705534))+0--130.1--0.0663509999999868</f>
        <v>2027.5335149999996</v>
      </c>
      <c r="S25" s="3">
        <f>3030.9+(133.6-1294.1)+(-1.545759+(-0.068136--0.659991))+0--148.4-0.0756839999999849</f>
        <v>2017.7704120000003</v>
      </c>
      <c r="T25" s="3">
        <f>2972.6+(143.4-1264.2)+(1.516026+(0.073134-0.644742))+0--147.2--0.0750719999999851</f>
        <v>2000.0194900000001</v>
      </c>
      <c r="U25" s="3">
        <f>2993.3+(141.8-1288.5)+(-4.579749+(-0.216954--1.971405))+0--146.4-0.223992000000008</f>
        <v>1989.9507100000003</v>
      </c>
      <c r="V25" s="3">
        <f>2867.5+(144.6-1160.8)+(0+(0-0))+0--134.8-0</f>
        <v>1986.1000000000001</v>
      </c>
      <c r="W25" s="3">
        <f>2743.5+(144.2-1032.3)+(-4.197555+(-0.220626--1.579419))+0--138.6-0.212058000000008</f>
        <v>1990.9491799999998</v>
      </c>
      <c r="X25" s="3">
        <f>2756.5+(144-1065.8)+(-8.43489+(-0.44064--3.261348))+0--154-0.471240000000018</f>
        <v>1982.6145779999999</v>
      </c>
      <c r="Y25" s="3">
        <f>2868.9+(151.9-1182.2)+(-2.926278+(-0.154938--1.205844))+0--155.2-0.158304000000025</f>
        <v>1991.7663240000002</v>
      </c>
      <c r="Z25" s="3">
        <f>3459.8+(153-1606.4)+(-7.057992+(-0.31212--3.277056))+0--154.5-0.315179999999993</f>
        <v>2156.4917639999999</v>
      </c>
      <c r="AA25" s="3">
        <f>3214.4+(151.8-1432.1)+(-4.918032+(-0.232254--2.191113))+0--155.2-0.237456000000009</f>
        <v>2086.1033710000002</v>
      </c>
      <c r="AB25" s="3">
        <f>3203.4+(144.9-1476.2)+(-6.534936+(-0.295596--3.011448))+0--154.7-0.315587999999993</f>
        <v>2022.6653280000003</v>
      </c>
      <c r="AC25" s="3">
        <f>3156+(136.7-1481.6)+(0+(0-0))+0--154.6-0</f>
        <v>1965.7</v>
      </c>
      <c r="AD25">
        <f t="shared" si="0"/>
        <v>45955.748018999991</v>
      </c>
      <c r="AE25" s="3">
        <f>3473+(142-1501)+(0+(0-0))+0--154-0</f>
        <v>2268</v>
      </c>
    </row>
    <row r="26" spans="1:31" s="2" customFormat="1" x14ac:dyDescent="0.25">
      <c r="A26">
        <v>89</v>
      </c>
      <c r="B26">
        <v>1</v>
      </c>
      <c r="C26">
        <v>26</v>
      </c>
      <c r="D26">
        <v>6</v>
      </c>
      <c r="E26">
        <v>1</v>
      </c>
      <c r="F26" s="3">
        <f>2858.6+(115.4-1265.7)+(-4.373658+(-0.176562--1.936521))+0--146-0.223380000000008</f>
        <v>1851.4629210000001</v>
      </c>
      <c r="G26" s="3">
        <f>2535.5+(110.4-1043.5)+(-1.293105+(-0.056304--0.532185))+0--145.2-0.0740519999999853</f>
        <v>1746.7087240000003</v>
      </c>
      <c r="H26" s="3">
        <f>2602.5+(104.5-1163.7)+(0+(0-0))+0--146.2-0</f>
        <v>1689.5</v>
      </c>
      <c r="I26" s="3">
        <f>2553.5+(103.8-1144.6)+(-5.20914+(-0.211752--2.334984))+0--146.8-0.299471999999994</f>
        <v>1656.1146200000001</v>
      </c>
      <c r="J26" s="3">
        <f>2347.6+(110.6-962)+(-3.591828+(-0.169218--1.47186))+0--145-0.221850000000008</f>
        <v>1638.6889639999999</v>
      </c>
      <c r="K26" s="3">
        <f>2281.2+(117.4-930.5)+(0+(0-0))+0--146.6-0</f>
        <v>1614.6999999999998</v>
      </c>
      <c r="L26" s="3">
        <f>2277.9+(135.9-966.8)+(-6.970374+(-0.415854--2.958408))+0--146.8-0.449208000000017</f>
        <v>1588.9229719999998</v>
      </c>
      <c r="M26" s="3">
        <f>2358.4+(143.2-1081.2)+(1.202784+(0.073032-0.551412))+0--145.8--0.0743579999999852</f>
        <v>1566.9987620000002</v>
      </c>
      <c r="N26" s="3">
        <f>2547.6+(147.1-1182.2)+(0+(0-0))+0--144.1-0</f>
        <v>1656.5999999999997</v>
      </c>
      <c r="O26" s="3">
        <f>2708.8+(142.5-1216.9)+(2.762976+(0.14535-1.241238))+0--143.6--0.146472000000023</f>
        <v>1779.8135600000001</v>
      </c>
      <c r="P26" s="3">
        <f>2683.8+(146.9-1165.4)+(-4.106214+(-0.224757--1.783062))+0--155.3-0.237609000000009</f>
        <v>1817.8144820000002</v>
      </c>
      <c r="Q26" s="3">
        <f>2715.3+(139.8-1109.7)+(-4.154409+(-0.213894--1.697841))+0--75.6-0.115668000000004</f>
        <v>1818.21387</v>
      </c>
      <c r="R26" s="3">
        <f>2693.1+(131-1023.9)+(0+(0-0))+0--75.8-0</f>
        <v>1875.9999999999998</v>
      </c>
      <c r="S26" s="3">
        <f>2698.7+(123.8-1021.2)+(-4.129011+(-0.189414--1.562436))+0--75.9-0.116127000000004</f>
        <v>1874.3278839999998</v>
      </c>
      <c r="T26" s="3">
        <f>2658.9+(121.8-965.1)+(-1.356039+(-0.062118--0.492201))+0--75.2-0.0383519999999924</f>
        <v>1889.8356919999999</v>
      </c>
      <c r="U26" s="3">
        <f>2744.2+(119.7-1078.4)+(-1.399542+(-0.061047--0.549984))+0--93.9-0.0478889999999905</f>
        <v>1878.4415059999999</v>
      </c>
      <c r="V26" s="3">
        <f>2769.5+(117.2-1125.1)+(-4.237335+(-0.179316--1.721403))+0--114.4-0.175032000000007</f>
        <v>1873.1297200000001</v>
      </c>
      <c r="W26" s="3">
        <f>2753.9+(116-1112.1)+(-4.213467+(-0.17748--1.701513))+0--76.4-0.116892000000004</f>
        <v>1831.3936740000004</v>
      </c>
      <c r="X26" s="3">
        <f>2677.1+(115.8-1123.8)+(-4.095963+(-0.177174--1.719414))+0--134.5-0.205785000000008</f>
        <v>1800.8404919999998</v>
      </c>
      <c r="Y26" s="3">
        <f>2553.7+(130.2-904.9)+(1.302387+(0.066402-0.461499))+0--135.8--0.0692579999999862</f>
        <v>1915.7765479999998</v>
      </c>
      <c r="Z26" s="3">
        <f>3130.3+(135.8-1300.6)+(-3.192906+(-0.138516--1.326612))+0--137.3-0.140046000000022</f>
        <v>2100.6551440000003</v>
      </c>
      <c r="AA26" s="3">
        <f>3175.9+(131.5-1377.6)+(-1.619709+(-0.067065--0.702576))+0--137-0.0698699999999861</f>
        <v>2065.7459320000003</v>
      </c>
      <c r="AB26" s="3">
        <f>3209+(124.3-1461)+(-3.27318+(-0.126786--1.49022))+0--137.7-0.140454000000022</f>
        <v>2007.9497999999999</v>
      </c>
      <c r="AC26" s="3">
        <f>3225+(117.8-1515.3)+(-9.8685+(-0.360468--4.636818))+0--137.8-0.421668000000016</f>
        <v>1959.2861820000001</v>
      </c>
      <c r="AD26">
        <f t="shared" si="0"/>
        <v>43498.921449000001</v>
      </c>
      <c r="AE26" s="3">
        <f>3179+(140.6-1285.5)+(0+(0-0))+0--147.5-0</f>
        <v>2181.6</v>
      </c>
    </row>
    <row r="27" spans="1:31" s="2" customFormat="1" x14ac:dyDescent="0.25">
      <c r="A27">
        <v>89</v>
      </c>
      <c r="B27">
        <v>1</v>
      </c>
      <c r="C27">
        <v>27</v>
      </c>
      <c r="D27">
        <v>7</v>
      </c>
      <c r="E27">
        <v>1</v>
      </c>
      <c r="F27" s="3">
        <f>3203.4+(111-1557.8)+(-3.267468+(-0.11322--1.588956))+0--146.3-0.149226000000023</f>
        <v>1900.9590420000002</v>
      </c>
      <c r="G27" s="3">
        <f>3061.1+(105.9-1483.3)+(-7.805805+(-0.270045--3.782415))+0--142.5-0.363374999999979</f>
        <v>1821.5431900000001</v>
      </c>
      <c r="H27" s="3">
        <f>3053.2+(100.6-1536.7)+(-7.78566+(-0.25653--3.918585))+0--143.8-0.366689999999979</f>
        <v>1756.4097049999996</v>
      </c>
      <c r="I27" s="3">
        <f>3040.3+(99.1-1566.1)+(-3.101106+(-0.101082--1.597422))+0--144.2-0.147084000000023</f>
        <v>1715.7481500000004</v>
      </c>
      <c r="J27" s="3">
        <f>3002.4+(98.9-1553.8)+(0+(0-0))+0--145.5-0</f>
        <v>1693.0000000000002</v>
      </c>
      <c r="K27" s="3">
        <f>2850.2+(98.3-1419.1)+(-5.814408+(-0.200532--2.894964))+0--145.4-0.296615999999994</f>
        <v>1671.3834079999999</v>
      </c>
      <c r="L27" s="3">
        <f>2600.1+(95.6-1281.7)+(-9.282357+(-0.341292--4.575669))+0--147.4-0.526218000000002</f>
        <v>1555.8258019999998</v>
      </c>
      <c r="M27" s="3">
        <f>2461.2+(107-1215.8)+(-5.020848+(-0.21828--2.480232))+0--147.6-0.301103999999994</f>
        <v>1496.9399999999998</v>
      </c>
      <c r="N27" s="3">
        <f>2452.5+(110.1-1188.1)+(0+(0-0))+0--146.9-0</f>
        <v>1521.4</v>
      </c>
      <c r="O27" s="3">
        <f>2757.5+(111.8-1389.7)+(2.81265+(0.114036-1.417494))+0--143.7--0.146574000000023</f>
        <v>1624.955766</v>
      </c>
      <c r="P27" s="3">
        <f>2762.4+(118.6-1351.7)+(0+(0-0))+0--143.3-0</f>
        <v>1672.6</v>
      </c>
      <c r="Q27" s="3">
        <f>2659.1+(109.2-1246.5)+(-2.712282+(-0.111384--1.27143))+0--138.7-0.141474000000022</f>
        <v>1658.80629</v>
      </c>
      <c r="R27" s="3">
        <f>2674.9+(106.4-1162)+(-2.728398+(-0.108528--1.18524))+0--139.3-0.142086000000022</f>
        <v>1756.8062280000001</v>
      </c>
      <c r="S27" s="3">
        <f>2671.2+(106-1125.3)+(0+(0-0))+0--139.4-0</f>
        <v>1791.3</v>
      </c>
      <c r="T27" s="3">
        <f>2665.2+(109.8-1088.9)+(-5.437008+(-0.223992--2.221356))+0--142.1-0.289883999999994</f>
        <v>1824.4704719999995</v>
      </c>
      <c r="U27" s="3">
        <f>2611.7+(113.5-1035.4)+(-9.323769+(-0.405195--3.696378))+0--143.4-0.511938000000002</f>
        <v>1826.6554759999997</v>
      </c>
      <c r="V27" s="3">
        <f>2553.2+(111.8-1017)+(-7.812792+(-0.342108--3.11202))+0--143.6-0.439416000000017</f>
        <v>1786.1177039999998</v>
      </c>
      <c r="W27" s="3">
        <f>2359.9+(117.6-908.5)+(-1.203549+(-0.059976--0.463335))+0--143.6-0.0732359999999854</f>
        <v>1711.726574</v>
      </c>
      <c r="X27" s="3">
        <f>2402.4+(119.5-961.9)+(-6.12612+(-0.304725--2.452845))+0--144.2-0.367709999999979</f>
        <v>1699.85429</v>
      </c>
      <c r="Y27" s="3">
        <f>2562.1+(125.4-998.2)+(-2.613342+(-0.127908--1.018164))+0--143.5-0.146370000000023</f>
        <v>1830.9305439999998</v>
      </c>
      <c r="Z27" s="3">
        <f>2977.6+(135-1238.3)+(-3.037152+(-0.1377--1.263066))+0--142.9-0.145758000000023</f>
        <v>2015.142456</v>
      </c>
      <c r="AA27" s="3">
        <f>3072.8+(131.1-1329.7)+(0+(0-0))+0--143.3-0</f>
        <v>2017.5</v>
      </c>
      <c r="AB27" s="3">
        <f>3009.8+(126-1291.7)+(-4.604994+(-0.19278--1.976301))+0--144.4-0.220932000000008</f>
        <v>1985.4575950000003</v>
      </c>
      <c r="AC27" s="3">
        <f>2959.5+(118-1269.7)+(-4.528035+(-0.18054--1.942641))+0--145.1-0.222003000000008</f>
        <v>1949.9120629999998</v>
      </c>
      <c r="AD27">
        <f t="shared" si="0"/>
        <v>42285.444755000004</v>
      </c>
      <c r="AE27" s="3">
        <f>3101+(131.6-1375.5)+(0+(0-0))+0--142.8-0</f>
        <v>1999.8999999999999</v>
      </c>
    </row>
    <row r="28" spans="1:31" s="2" customFormat="1" x14ac:dyDescent="0.25">
      <c r="A28">
        <v>89</v>
      </c>
      <c r="B28">
        <v>1</v>
      </c>
      <c r="C28">
        <v>28</v>
      </c>
      <c r="D28">
        <v>1</v>
      </c>
      <c r="E28">
        <v>1</v>
      </c>
      <c r="F28" s="3">
        <f>3001.3+(117.9-1364.8)+(-7.653315+(-0.300645--3.48024))+0--145.5-0.371024999999979</f>
        <v>1895.0552550000004</v>
      </c>
      <c r="G28" s="3">
        <f>3048.1+(110.6-1489.3)+(-9.327186+(-0.338436--4.557258))+0--145.3-0.444618000000017</f>
        <v>1809.1470179999999</v>
      </c>
      <c r="H28" s="3">
        <f>2883.8+(109.1-1393.1)+(-5.882952+(-0.222564--2.841924))+0--145.5-0.296819999999994</f>
        <v>1741.7395880000001</v>
      </c>
      <c r="I28" s="3">
        <f>2710.7+(108.7-1263.5)+(-2.764914+(-0.110874--1.28877))+0--144.4-0.147288000000023</f>
        <v>1698.5656939999999</v>
      </c>
      <c r="J28" s="3">
        <f>2684.3+(107.9-1265.9)+(-4.106979+(-0.165087--1.936827))+0--144.2-0.220626000000008</f>
        <v>1667.9441350000002</v>
      </c>
      <c r="K28" s="3">
        <f>2547.7+(108.8-1142)+(-2.598654+(-0.110976--1.16484))+0--144.1-0.146982000000023</f>
        <v>1656.9082279999998</v>
      </c>
      <c r="L28" s="3">
        <f>2588.6+(106.7-1195.7)+(-1.320186+(-0.054417--0.609807))+0--144.3-0.0735929999999854</f>
        <v>1643.0616109999999</v>
      </c>
      <c r="M28" s="3">
        <f>2705.6+(108.5-1330)+(1.379856+(0.055335-0.6783))+0--144.2--0.0735419999999854</f>
        <v>1629.130433</v>
      </c>
      <c r="N28" s="3">
        <f>3052.4+(119.7-1566.6)+(-1.556724+(-0.061047--0.798966))+0--143.3-0.0730829999999855</f>
        <v>1747.9081120000001</v>
      </c>
      <c r="O28" s="3">
        <f>3039.8+(127.2-1497.7)+(0+(0-0))+0--156.9-0</f>
        <v>1826.2000000000003</v>
      </c>
      <c r="P28" s="3">
        <f>3066.2+(132.2-1459.6)+(-4.691286+(-0.202266--2.233188))+0--165.1-0.25260300000001</f>
        <v>1900.9870329999999</v>
      </c>
      <c r="Q28" s="3">
        <f>3120.4+(134.6-1437.9)+(-4.774212+(-0.205938--2.199987))+0--140.5-0.214965000000008</f>
        <v>1954.6048719999999</v>
      </c>
      <c r="R28" s="3">
        <f>3099.3+(128.8-1420)+(-4.741929+(-0.197064--2.1726))+0--140.5-0.214965000000008</f>
        <v>1945.6186419999999</v>
      </c>
      <c r="S28" s="3">
        <f>3083.7+(116.4-1391.9)+(-7.863435+(-0.29682--3.549345))+0--139.7-0.35623499999998</f>
        <v>1942.9328549999998</v>
      </c>
      <c r="T28" s="3">
        <f>3073.6+(118.1-1348.4)+(-4.702608+(-0.180693--2.063052))+0--138.7-0.212211000000008</f>
        <v>1978.9675399999996</v>
      </c>
      <c r="U28" s="3">
        <f>3066.3+(115.7-1337.1)+(-1.563813+(-0.059007--0.681921))+0--153.9-0.0784889999999844</f>
        <v>1997.7806120000005</v>
      </c>
      <c r="V28" s="3">
        <f>3065.3+(116.6-1313.3)+(-3.126606+(-0.118932--1.339566))+0--95.1-0.0970020000000152</f>
        <v>1961.6970260000001</v>
      </c>
      <c r="W28" s="3">
        <f>2991.5+(109.6-1287.9)+(-1.525665+(-0.055896--0.656829))+0--82.6-0.0421259999999916</f>
        <v>1894.8331419999997</v>
      </c>
      <c r="X28" s="3">
        <f>2961+(106.3-1298)+(-4.53033+(-0.162639--1.98594))+0--83.2-0.127296000000005</f>
        <v>1849.665675</v>
      </c>
      <c r="Y28" s="3">
        <f>2992.9+(122.7-1230.8)+(-1.526379+(-0.062577--0.627708))+0--104-0.0530399999999895</f>
        <v>1987.7857120000001</v>
      </c>
      <c r="Z28" s="3">
        <f>3157.6+(136.5-1309.8)+(-6.441504+(-0.27846--2.671992))+0--147.4-0.300695999999994</f>
        <v>2127.3513320000002</v>
      </c>
      <c r="AA28" s="3">
        <f>3154.8+(133.6-1338)+(-4.826844+(-0.204408--2.04714))+0--149.5-0.228735000000009</f>
        <v>2096.6871529999999</v>
      </c>
      <c r="AB28" s="3">
        <f>3131.1+(126.2-1355.4)+(-3.193722+(-0.128724--1.382508))+0--154.1-0.157182000000025</f>
        <v>2053.9028800000001</v>
      </c>
      <c r="AC28" s="3">
        <f>3169.4+(117.6-1391.2)+(-3.232788+(-0.119952--1.419024))+0--154.4-0.157488000000025</f>
        <v>2048.108796</v>
      </c>
      <c r="AD28">
        <f t="shared" si="0"/>
        <v>45056.583343999999</v>
      </c>
      <c r="AE28" s="3">
        <f>3142+(137.1-1243)+(0+(0-0))+0--146.6-0</f>
        <v>2182.6999999999998</v>
      </c>
    </row>
    <row r="29" spans="1:31" s="2" customFormat="1" x14ac:dyDescent="0.25">
      <c r="A29">
        <v>89</v>
      </c>
      <c r="B29">
        <v>1</v>
      </c>
      <c r="C29">
        <v>29</v>
      </c>
      <c r="D29">
        <v>2</v>
      </c>
      <c r="E29">
        <v>1</v>
      </c>
      <c r="F29" s="3">
        <f>3133.9+(107-1373.3)+(-4.794867+(-0.16371--2.101149))+0--152-0.232560000000009</f>
        <v>2016.5100120000002</v>
      </c>
      <c r="G29" s="3">
        <f>2939+(111.3-1250.1)+(-5.99556+(-0.227052--2.550204))+0--152-0.310079999999993</f>
        <v>1948.2175120000002</v>
      </c>
      <c r="H29" s="3">
        <f>2688.7+(107.2-1088.3)+(-1.371237+(-0.054672--0.555033))+0--152.4-0.0777239999999845</f>
        <v>1859.0514000000001</v>
      </c>
      <c r="I29" s="3">
        <f>2564.7+(106.8-1024.2)+(-1.307997+(-0.054468--0.522342))+0--152-0.0775199999999846</f>
        <v>1798.3823569999997</v>
      </c>
      <c r="J29" s="3">
        <f>2484.4+(106.1-984.2)+(-2.534088+(-0.108222--1.003884))+0--151.5-0.154530000000024</f>
        <v>1756.0070440000002</v>
      </c>
      <c r="K29" s="3">
        <f>2435.2+(106.1-945.6)+(-6.20976+(-0.270555--2.41128))+0--152-0.387599999999978</f>
        <v>1743.2433649999998</v>
      </c>
      <c r="L29" s="3">
        <f>2365.9+(96.2-970)+(-1.206609+(-0.049062--0.4947))+0--141.1-0.0719609999999857</f>
        <v>1632.3670680000002</v>
      </c>
      <c r="M29" s="3">
        <f>2539.4+(101.5-1156.6)+(-2.590188+(-0.10353--1.179732))+0--151.2-0.154224000000024</f>
        <v>1633.8317900000002</v>
      </c>
      <c r="N29" s="3">
        <f>2779.2+(108.8-1306.1)+(-4.252176+(-0.166464--1.998333))+0--148.4-0.227052000000009</f>
        <v>1727.6526409999999</v>
      </c>
      <c r="O29" s="3">
        <f>2932+(111.4-1411.6)+(0+(0-0))+0--146.2-0</f>
        <v>1778.0000000000002</v>
      </c>
      <c r="P29" s="3">
        <f>2992.1+(116.7-1414.2)+(0+(0-0))+0--144.7-0</f>
        <v>1839.3</v>
      </c>
      <c r="Q29" s="3">
        <f>3093.8+(119.5-1501)+(-3.155676+(-0.12189--1.53102))+0--144.9-0.147798000000023</f>
        <v>1855.3056560000002</v>
      </c>
      <c r="R29" s="3">
        <f>3167.6+(117.8-1602)+(-4.846428+(-0.180234--2.45106))+0--143-0.218790000000008</f>
        <v>1823.6056080000001</v>
      </c>
      <c r="S29" s="3">
        <f>3204+(107.4-1699.8)+(-1.63404+(-0.054774--0.866898))+0--143.8-0.0733379999999854</f>
        <v>1754.5047460000001</v>
      </c>
      <c r="T29" s="3">
        <f>3212.3+(110.8-1735.2)+(1.638273+(0.056508-0.884952))+0--145.8--0.0743579999999852</f>
        <v>1734.5841870000002</v>
      </c>
      <c r="U29" s="3">
        <f>2970.2+(108.5-1559.3)+(-6.059208+(-0.22134--3.180972))+0--147.2-0.300287999999994</f>
        <v>1663.2001359999999</v>
      </c>
      <c r="V29" s="3">
        <f>2989.7+(107.2-1614.7)+(-1.524747+(-0.054672--0.823497))+0--145.6-0.0742559999999852</f>
        <v>1626.9698219999998</v>
      </c>
      <c r="W29" s="3">
        <f>2963.7+(103.4-1601)+(-4.534461+(-0.158202--2.44953))+0--147-0.224910000000008</f>
        <v>1610.6319570000001</v>
      </c>
      <c r="X29" s="3">
        <f>2647.1+(101.5-1295.3)+(-4.050063+(-0.155295--1.981809))+0--145.7-0.222921000000008</f>
        <v>1596.5535299999999</v>
      </c>
      <c r="Y29" s="3">
        <f>2787.1+(114.2-1321)+(-2.842842+(-0.116484--1.34742))+0--145.3-0.148206000000023</f>
        <v>1723.8398879999997</v>
      </c>
      <c r="Z29" s="3">
        <f>3156+(120.1-1523.2)+(-6.43824+(-0.245004--3.107328))+0--146.8-0.299471999999994</f>
        <v>1895.8246119999999</v>
      </c>
      <c r="AA29" s="3">
        <f>3117.2+(116-1526.9)+(-7.94886+(-0.2958--3.893595))+0--148.7-0.379184999999978</f>
        <v>1850.2697499999997</v>
      </c>
      <c r="AB29" s="3">
        <f>2898.7+(109.4-1397.5)+(-1.478337+(-0.055794--0.712725))+0--150.1-0.0765509999999848</f>
        <v>1759.8020429999999</v>
      </c>
      <c r="AC29" s="3">
        <f>2888.9+(101.3-1455.3)+(-2.946678+(-0.103326--1.484406))+0--149.2-0.152184000000024</f>
        <v>1682.3822180000002</v>
      </c>
      <c r="AD29">
        <f t="shared" si="0"/>
        <v>42310.037342000003</v>
      </c>
      <c r="AE29" s="3">
        <f>3166+(124.4-1495.3)+(0+(0-0))+0--151.4-0</f>
        <v>1946.5000000000002</v>
      </c>
    </row>
    <row r="30" spans="1:31" s="2" customFormat="1" x14ac:dyDescent="0.25">
      <c r="A30">
        <v>89</v>
      </c>
      <c r="B30">
        <v>1</v>
      </c>
      <c r="C30">
        <v>30</v>
      </c>
      <c r="D30">
        <v>3</v>
      </c>
      <c r="E30">
        <v>1</v>
      </c>
      <c r="F30" s="3">
        <f>2733.7+(103.5-1382.4)+(-4.182561+(-0.158355--2.115072))+0--149.9-0.229347000000009</f>
        <v>1602.2448089999998</v>
      </c>
      <c r="G30" s="3">
        <f>2585.8+(98.3-1313.9)+(-5.275032+(-0.200532--2.680356))+0--150.6-0.307223999999993</f>
        <v>1517.697568</v>
      </c>
      <c r="H30" s="3">
        <f>2607.5+(93.2-1388.7)+(0+(0-0))+0--150.4-0</f>
        <v>1462.4</v>
      </c>
      <c r="I30" s="3">
        <f>2484.6+(91.2-1302.3)+(-5.068584+(-0.186048--2.656692))+0--150.6-0.307223999999993</f>
        <v>1421.1948359999999</v>
      </c>
      <c r="J30" s="3">
        <f>2444.5+(88.7-1280.4)+(-2.49339+(-0.090474--1.306008))+0--149.3-0.152286000000024</f>
        <v>1400.669858</v>
      </c>
      <c r="K30" s="3">
        <f>2444+(89.5-1289.4)+(-3.73932+(-0.136935--1.972782))+0--150.4-0.230112000000009</f>
        <v>1392.366415</v>
      </c>
      <c r="L30" s="3">
        <f>2447.4+(89.1-1309.8)+(-2.496348+(-0.090882--1.335996))+0--150.5-0.153510000000024</f>
        <v>1375.7952559999999</v>
      </c>
      <c r="M30" s="3">
        <f>2616.6+(90-1480.3)+(-1.334466+(-0.0459--0.754953))+0--151.5-0.0772649999999846</f>
        <v>1377.0973220000001</v>
      </c>
      <c r="N30" s="3">
        <f>2730.7+(107.3-1484.9)+(0+(0-0))+0--150.7-0</f>
        <v>1503.7999999999997</v>
      </c>
      <c r="O30" s="3">
        <f>2754.6+(113.2-1439.3)+(1.404846+(0.057732-0.734043))+0--149.2--0.0760919999999849</f>
        <v>1578.504627</v>
      </c>
      <c r="P30" s="3">
        <f>2708.4+(117.7-1364)+(0+(0-0))+0--151.8-0</f>
        <v>1613.9</v>
      </c>
      <c r="Q30" s="3">
        <f>2629.1+(121.5-1246.8)+(-1.340841+(-0.061965--0.635868))+0--187-0.095369999999981</f>
        <v>1689.937692</v>
      </c>
      <c r="R30" s="3">
        <f>2589+(119.9-1266.1)+(2.64078+(0.122298-1.291422))+0--213.7--0.217974000000034</f>
        <v>1658.1896300000003</v>
      </c>
      <c r="S30" s="3">
        <f>2583.4+(112.2-1231.6)+(1.317534+(0.057222-0.628116))+0--183.5--0.0935849999999814</f>
        <v>1648.3402250000004</v>
      </c>
      <c r="T30" s="3">
        <f>2593.3+(118.4-1156.2)+(-1.322583+(-0.060384--0.589662))+0--166.6-0.0849659999999831</f>
        <v>1721.2217290000003</v>
      </c>
      <c r="U30" s="3">
        <f>2777+(118-1324.3)+(-7.08135+(-0.3009--3.376965))+0--165.8-0.422789999999976</f>
        <v>1732.071925</v>
      </c>
      <c r="V30" s="3">
        <f>2771+(117.8-1323.2)+(-2.82642+(-0.120156--1.349664))+0--165.8-0.169116000000026</f>
        <v>1729.6339719999999</v>
      </c>
      <c r="W30" s="3">
        <f>2907.4+(112.5-1394.9)+(-7.41387+(-0.286875--3.556995))+0--155.9-0.397544999999977</f>
        <v>1776.3587050000001</v>
      </c>
      <c r="X30" s="3">
        <f>2983.4+(106.8-1415.4)+(-7.60767+(-0.27234--3.60927))+0--148-0.377399999999979</f>
        <v>1818.1518599999999</v>
      </c>
      <c r="Y30" s="3">
        <f>2971.2+(118.5-1335.6)+(-4.545936+(-0.181305--2.043468))+0--148.2-0.226746000000009</f>
        <v>1899.3894809999999</v>
      </c>
      <c r="Z30" s="3">
        <f>3317+(129.5-1481.8)+(-6.76668+(-0.26418--3.022872))+0--149.6-0.305183999999993</f>
        <v>2109.9868280000001</v>
      </c>
      <c r="AA30" s="3">
        <f>3328.5+(124.4-1531.9)+(-10.18521+(-0.380664--4.687614))+0--149.3-0.456858000000017</f>
        <v>2063.9648820000002</v>
      </c>
      <c r="AB30" s="3">
        <f>3263.4+(118.7-1549.6)+(-8.32167+(-0.302685--3.95148))+0--146.6-0.373829999999979</f>
        <v>1974.0532950000002</v>
      </c>
      <c r="AC30" s="3">
        <f>3083.7+(113.2-1470.3)+(-9.436122+(-0.346392--4.499118))+0--146.4-0.447984000000017</f>
        <v>1867.2686200000001</v>
      </c>
      <c r="AD30">
        <f t="shared" si="0"/>
        <v>39934.239535000001</v>
      </c>
      <c r="AE30" s="3">
        <f>3341+(131.3-1429.8)+(0+(0-0))+0--150.6-0</f>
        <v>2193.1</v>
      </c>
    </row>
    <row r="31" spans="1:31" s="2" customFormat="1" x14ac:dyDescent="0.25">
      <c r="A31">
        <v>89</v>
      </c>
      <c r="B31">
        <v>1</v>
      </c>
      <c r="C31">
        <v>31</v>
      </c>
      <c r="D31">
        <v>4</v>
      </c>
      <c r="E31">
        <v>1</v>
      </c>
      <c r="F31" s="3">
        <f>2930+(107-1448.4)+(-8.9658+(-0.32742--4.432104))+0--143.9-0.440334000000017</f>
        <v>1727.1985499999998</v>
      </c>
      <c r="G31" s="3">
        <f>2829.6+(101.5-1419.6)+(-8.658576+(-0.31059--4.343976))+0--141.3-0.432378000000016</f>
        <v>1647.742432</v>
      </c>
      <c r="H31" s="3">
        <f>2663.8+(98.2-1322.8)+(-1.358538+(-0.050082--0.674628))+0--139.5-0.0711449999999858</f>
        <v>1577.8948630000004</v>
      </c>
      <c r="I31" s="3">
        <f>2670.8+(96.1-1363.1)+(-2.724216+(-0.098022--1.390362))+0--138.1-0.140862000000022</f>
        <v>1540.327262</v>
      </c>
      <c r="J31" s="3">
        <f>2523.4+(94.8-1247.1)+(0+(0-0))+0--152.2-0</f>
        <v>1523.3000000000002</v>
      </c>
      <c r="K31" s="3">
        <f>2509.3+(94.7-1255.3)+(-1.279743+(-0.048297--0.640203))+0--153.7-0.0783869999999844</f>
        <v>1501.6337760000004</v>
      </c>
      <c r="L31" s="3">
        <f>2526.3+(93.2-1299.5)+(-2.576826+(-0.095064--1.32549))+0--154.2-0.157284000000025</f>
        <v>1472.6963160000003</v>
      </c>
      <c r="M31" s="3">
        <f>2688.8+(96.6-1463.8)+(-2.742576+(-0.098532--1.493076))+0--153.6-0.156672000000024</f>
        <v>1473.6952959999999</v>
      </c>
      <c r="N31" s="3">
        <f>2862.1+(108.2-1518.1)+(-4.379013+(-0.165546--2.322693))+0--141.2-0.216036000000008</f>
        <v>1590.962098</v>
      </c>
      <c r="O31" s="3">
        <f>2919.7+(109.9-1549.5)+(-4.467141+(-0.168147--2.370735))+0--138.2-0.211446000000008</f>
        <v>1615.824001</v>
      </c>
      <c r="P31" s="3">
        <f>2912.8+(113.6-1466.7)+(0+(0-0))+0--147.8-0</f>
        <v>1707.5</v>
      </c>
      <c r="Q31" s="3">
        <f>2963.5+(116.9-1469.8)+(1.511385+(0.059619-0.749598))+0--148.6--0.0757859999999849</f>
        <v>1760.0971919999999</v>
      </c>
      <c r="R31" s="3">
        <f>3008+(116.3-1499)+(-1.53408+(-0.059313--0.76449))+0--148.8-0.0758879999999849</f>
        <v>1773.1952089999997</v>
      </c>
      <c r="S31" s="3">
        <f>3020.6+(109.1-1493.5)+(-1.540506+(-0.055641--0.761685))+0--148-0.075479999999985</f>
        <v>1783.2900579999998</v>
      </c>
      <c r="T31" s="3">
        <f>2902.9+(115.8-1340.5)+(0+(0-0))+0--147.7-0</f>
        <v>1825.9</v>
      </c>
      <c r="U31" s="3">
        <f>2846.3+(119.8-1276.1)+(-4.354839+(-0.183294--1.952433))+0--149.1-0.228123000000009</f>
        <v>1836.286177</v>
      </c>
      <c r="V31" s="3">
        <f>2856+(119.3-1299.8)+(-4.36968+(-0.182529--1.988694))+0--146-0.223380000000008</f>
        <v>1818.713105</v>
      </c>
      <c r="W31" s="3">
        <f>2770.8+(114.7-1260.6)+(-7.06554+(-0.292485--3.21453))+0--149.3-0.380714999999978</f>
        <v>1769.6757900000002</v>
      </c>
      <c r="X31" s="3">
        <f>2552.5+(111.9-1104)+(-5.2071+(-0.228276--2.25216))+0--149-0.303959999999994</f>
        <v>1705.9128240000002</v>
      </c>
      <c r="Y31" s="3">
        <f>2576.2+(123.1-1031.5)+(-2.627724+(-0.125562--1.05213))+0--148.9-0.151878000000024</f>
        <v>1814.8469659999996</v>
      </c>
      <c r="Z31" s="3">
        <f>2813.2+(136.6-1072.2)+(-4.304196+(-0.208998--1.640466))+0--149.1-0.228123000000009</f>
        <v>2023.5991489999997</v>
      </c>
      <c r="AA31" s="3">
        <f>2954.1+(131.9-1230.6)+(-1.506591+(-0.067269--0.627606))+0--140.1-0.0714509999999858</f>
        <v>1994.482295</v>
      </c>
      <c r="AB31" s="3">
        <f>3046.4+(125.3-1354.4)+(-7.76832+(-0.319515--3.45372))+0--142.6-0.363629999999979</f>
        <v>1954.9022549999997</v>
      </c>
      <c r="AC31" s="3">
        <f>3056.3+(117.8-1398.6)+(-6.234852+(-0.240312--2.853144))+0--144.8-0.295391999999994</f>
        <v>1916.3825880000002</v>
      </c>
      <c r="AD31">
        <f t="shared" si="0"/>
        <v>41356.058202000007</v>
      </c>
      <c r="AE31" s="3">
        <f>2906+(129.4-1126.9)+(0+(0-0))+0--150.1-0</f>
        <v>2058.6</v>
      </c>
    </row>
    <row r="32" spans="1:31" s="2" customFormat="1" x14ac:dyDescent="0.25">
      <c r="A32">
        <v>89</v>
      </c>
      <c r="B32">
        <v>2</v>
      </c>
      <c r="C32">
        <v>1</v>
      </c>
      <c r="D32">
        <v>5</v>
      </c>
      <c r="E32">
        <v>1</v>
      </c>
      <c r="F32" s="3">
        <f>3060.5+(110.1-1488.2)+(-3.12171+(-0.112302--1.517964))+0--146.5-0.149430000000023</f>
        <v>1827.0345219999999</v>
      </c>
      <c r="G32" s="3">
        <f>3046.1+(103.7-1563.4)+(-7.767555+(-0.264435--3.98667))+0--145.7-0.371534999999979</f>
        <v>1727.683145</v>
      </c>
      <c r="H32" s="3">
        <f>2910.9+(101.4-1492.5)+(0+(0-0))+0--141.8-0</f>
        <v>1661.6000000000001</v>
      </c>
      <c r="I32" s="3">
        <f>2670.4+(99.8-1308)+(-4.085712+(-0.152694--2.00124))+0--153.6-0.235008000000009</f>
        <v>1613.327826</v>
      </c>
      <c r="J32" s="3">
        <f>2550.2+(99-1225.2)+(-3.901806+(-0.15147--1.874556))+0--153.8-0.235314000000009</f>
        <v>1575.3859659999996</v>
      </c>
      <c r="K32" s="3">
        <f>2553.5+(98.5-1250.6)+(-5.20914+(-0.20094--2.551224))+0--161-0.328439999999993</f>
        <v>1559.212704</v>
      </c>
      <c r="L32" s="3">
        <f>2534.5+(95.5-1262.3)+(-3.877785+(-0.146115--1.931319))+0--165-0.25245000000001</f>
        <v>1530.354969</v>
      </c>
      <c r="M32" s="3">
        <f>2634.1+(97.7-1378.3)+(0+(0-0))+0--164.6-0</f>
        <v>1518.1</v>
      </c>
      <c r="N32" s="3">
        <f>2827.8+(112.8-1459.1)+(2.884356+(0.115056-1.488282))+0--164.6--0.167892000000026</f>
        <v>1647.7790220000002</v>
      </c>
      <c r="O32" s="3">
        <f>2909.8+(119.7-1470.5)+(5.935992+(0.244188-2.99982))+0--164.1--0.334763999999993</f>
        <v>1726.6151240000002</v>
      </c>
      <c r="P32" s="3">
        <f>3010.6+(122.3-1466.7)+(-1.535406+(-0.062373--0.748017))+0--127.3-0.0649229999999871</f>
        <v>1792.5853149999998</v>
      </c>
      <c r="Q32" s="3">
        <f>3070.9+(122.9-1420)+(4.698477+(0.188037-2.1726))+0--101.1--0.154683000000006</f>
        <v>1877.768597</v>
      </c>
      <c r="R32" s="3">
        <f>3060.1+(121.7-1383.2)+(1.560651+(0.062067-0.705432))+0--110.1--0.0561509999999888</f>
        <v>1909.6734369999999</v>
      </c>
      <c r="S32" s="3">
        <f>3032.3+(116.7-1410)+(-6.185892+(-0.238068--2.8764))+0--151.3-0.308651999999993</f>
        <v>1886.4437880000003</v>
      </c>
      <c r="T32" s="3">
        <f>3027.2+(121.3-1367.8)+(-1.543872+(-0.061863--0.697578))+0--152.8-0.0779279999999845</f>
        <v>1932.5139149999998</v>
      </c>
      <c r="U32" s="3">
        <f>3016.8+(118.9-1346.3)+(-1.538568+(-0.060639--0.686613))+0--152.1-0.0775709999999846</f>
        <v>1940.5098350000003</v>
      </c>
      <c r="V32" s="3">
        <f>2997.4+(120.9-1355.7)+(-7.64337+(-0.308295--3.457035))+0--150.3-0.383264999999978</f>
        <v>1908.0221050000002</v>
      </c>
      <c r="W32" s="3">
        <f>2743.2+(120-1151.3)+(-4.197096+(-0.1836--1.761489))+0--157.8-0.241434000000009</f>
        <v>1866.8393589999998</v>
      </c>
      <c r="X32" s="3">
        <f>2587.3+(116.8-1021.9)+(-7.917138+(-0.357408--3.127014))+0--162-0.495720000000019</f>
        <v>1838.5567480000002</v>
      </c>
      <c r="Y32" s="3">
        <f>2362.5+(131-758.7)+(-1.204875+(-0.06681--0.386937))+0--160.4-0.0818039999999837</f>
        <v>1894.2334480000002</v>
      </c>
      <c r="Z32" s="3">
        <f>3040.4+(140.7-1233.7)+(-6.202416+(-0.287028--2.516748))+0--150.4-0.306815999999993</f>
        <v>2093.5204880000001</v>
      </c>
      <c r="AA32" s="3">
        <f>3167.5+(136.6-1375.7)+(-9.69255+(-0.417996--4.209642))+0--152.5-0.466650000000018</f>
        <v>2074.5324459999997</v>
      </c>
      <c r="AB32" s="3">
        <f>3178.7+(129.1-1427)+(-4.863411+(-0.197523--2.18331))+0--154.2-0.235926000000009</f>
        <v>2031.8864499999997</v>
      </c>
      <c r="AC32" s="3">
        <f>3141.7+(123.7-1428.3)+(-3.204534+(-0.126174--1.456866))+0--158.1-0.161262000000025</f>
        <v>1993.1648959999998</v>
      </c>
      <c r="AD32">
        <f t="shared" si="0"/>
        <v>43427.344105000004</v>
      </c>
      <c r="AE32" s="3">
        <f>3140+(138.2-1293.1)+(0+(0-0))+0--160.1-0</f>
        <v>2145.2000000000003</v>
      </c>
    </row>
    <row r="33" spans="1:31" s="2" customFormat="1" x14ac:dyDescent="0.25">
      <c r="A33">
        <v>89</v>
      </c>
      <c r="B33">
        <v>2</v>
      </c>
      <c r="C33">
        <v>2</v>
      </c>
      <c r="D33">
        <v>6</v>
      </c>
      <c r="E33">
        <v>1</v>
      </c>
      <c r="F33" s="3">
        <f>3086.2+(115.9-1426.7)+(-3.147924+(-0.118218--1.455234))+0--160-0.163200000000026</f>
        <v>1933.425892</v>
      </c>
      <c r="G33" s="3">
        <f>2941.5+(110.2-1376.2)+(0+(0-0))+0--159.7-0</f>
        <v>1835.2</v>
      </c>
      <c r="H33" s="3">
        <f>2758.2+(108.8-1266.8)+(-4.220046+(-0.166464--1.938204))+0--157.5-0.240975000000009</f>
        <v>1755.0107189999999</v>
      </c>
      <c r="I33" s="3">
        <f>2613.3+(106-1154.6)+(-6.663915+(-0.2703--2.94423))+0--153.2-0.390659999999978</f>
        <v>1713.5193550000004</v>
      </c>
      <c r="J33" s="3">
        <f>2436.4+(105.6-1016.5)+(1.242564+(0.053856-0.518415))+0--145.7--0.0743069999999852</f>
        <v>1672.052312</v>
      </c>
      <c r="K33" s="3">
        <f>2433.6+(105.8-1043)+(0+(0-0))+0--148.3-0</f>
        <v>1644.6999999999998</v>
      </c>
      <c r="L33" s="3">
        <f>2271.8+(105.8-964.7)+(-3.475854+(-0.161874--1.475991))+0--165.9-0.25382700000001</f>
        <v>1576.3844360000003</v>
      </c>
      <c r="M33" s="3">
        <f>2398.3+(118.7-1110.1)+(-1.223133+(-0.060537--0.566151))+0--160.4-0.0818039999999837</f>
        <v>1566.5006770000005</v>
      </c>
      <c r="N33" s="3">
        <f>2585.6+(129.6-1167.4)+(0+(0-0))+0--145.8-0</f>
        <v>1693.5999999999997</v>
      </c>
      <c r="O33" s="3">
        <f>2721.4+(130.3-1221.5)+(-2.775828+(-0.132906--1.24593))+0--146.6-0.149532000000023</f>
        <v>1774.9876639999998</v>
      </c>
      <c r="P33" s="3">
        <f>2766.4+(131.1-1198.8)+(-2.821728+(-0.133722--1.222776))+0--146.1-0.149022000000023</f>
        <v>1842.9183039999998</v>
      </c>
      <c r="Q33" s="3">
        <f>2757.8+(133.5-1170)+(-1.406478+(-0.068085--0.5967))+0--145.5-0.0742049999999852</f>
        <v>1865.8479320000004</v>
      </c>
      <c r="R33" s="3">
        <f>2745.9+(134-1082.5)+(-1.400409+(-0.06834--0.552075))+0--163.3-0.0832829999999834</f>
        <v>1959.7000430000001</v>
      </c>
      <c r="S33" s="3">
        <f>2719.7+(125.5-1035.2)+(-1.387047+(-0.064005--0.527952))+0--158.1-0.080630999999984</f>
        <v>1967.0962689999997</v>
      </c>
      <c r="T33" s="3">
        <f>2702.6+(152-1000.6)+(-1.378326+(-0.07752--0.510306))+0--158.3-0.0807329999999839</f>
        <v>2011.273727</v>
      </c>
      <c r="U33" s="3">
        <f>2618.2+(151.3-919.1)+(-1.335282+(-0.077163--0.468741))+0--148.7-0.0758369999999849</f>
        <v>1998.0804589999998</v>
      </c>
      <c r="V33" s="3">
        <f>2658.1+(121.2-967.8)+(-5.422524+(-0.247248--1.974312))+0--153-0.312119999999993</f>
        <v>1960.49242</v>
      </c>
      <c r="W33" s="3">
        <f>2647.1+(118.8-1050.6)+(-8.100126+(-0.363528--3.214836))+0--163.9-0.501534000000019</f>
        <v>1873.449648</v>
      </c>
      <c r="X33" s="3">
        <f>2466.9+(123.5-962.6)+(-2.516238+(-0.12597--0.981852))+0--154.5-0.157590000000025</f>
        <v>1780.4820540000001</v>
      </c>
      <c r="Y33" s="3">
        <f>2414.4+(147.8-853.9)+(-1.231344+(-0.075378--0.435489))+0--149.4-0.0761939999999848</f>
        <v>1856.7525730000002</v>
      </c>
      <c r="Z33" s="3">
        <f>2774.3+(147.7-983.9)+(-2.829786+(-0.150654--1.003578))+0--150.5-0.153510000000024</f>
        <v>2086.4696279999998</v>
      </c>
      <c r="AA33" s="3">
        <f>2778.4+(146.3-1003.9)+(-1.416984+(-0.074613--0.511989))+0--147.9-0.075428999999985</f>
        <v>2067.6449630000002</v>
      </c>
      <c r="AB33" s="3">
        <f>2781.3+(139.8-1048.7)+(1.418463+(0.071298-0.534837))+0--146.2--0.0745619999999852</f>
        <v>2019.629486</v>
      </c>
      <c r="AC33" s="3">
        <f>2784.8+(132.6-1044.9)+(0+(0-0))+0--150-0</f>
        <v>2022.5</v>
      </c>
      <c r="AD33">
        <f t="shared" si="0"/>
        <v>44477.718560999994</v>
      </c>
      <c r="AE33" s="3">
        <f>2770+(148-959.7)+(0+(0-0))+0--153.1-0</f>
        <v>2111.4</v>
      </c>
    </row>
    <row r="34" spans="1:31" s="2" customFormat="1" x14ac:dyDescent="0.25">
      <c r="A34">
        <v>89</v>
      </c>
      <c r="B34">
        <v>2</v>
      </c>
      <c r="C34">
        <v>3</v>
      </c>
      <c r="D34">
        <v>7</v>
      </c>
      <c r="E34">
        <v>1</v>
      </c>
      <c r="F34" s="3">
        <f>2675.3+(120.5-974.5)+(1.364403+(0.061455-0.496995))+0--154.8--0.0789479999999843</f>
        <v>1977.1078110000003</v>
      </c>
      <c r="G34" s="3">
        <f>2684.7+(113.8-1021.1)+(-1.369197+(-0.058038--0.520761))+0--153.2-0.0781319999999845</f>
        <v>1929.6153939999997</v>
      </c>
      <c r="H34" s="3">
        <f>2668.9+(109.4-1062)+(-1.361139+(-0.055794--0.54162))+0--151.4-0.0772139999999846</f>
        <v>1866.7474730000004</v>
      </c>
      <c r="I34" s="3">
        <f>2564.8+(105.7-1023.1)+(0+(0-0))+0--152.1-0</f>
        <v>1799.5</v>
      </c>
      <c r="J34" s="3">
        <f>2514.3+(104.3-1004.9)+(-5.129172+(-0.212772--2.049996))+0--154.3-0.314771999999993</f>
        <v>1764.3932800000002</v>
      </c>
      <c r="K34" s="3">
        <f>2473.7+(105.9-992.8)+(-3.784761+(-0.162027--1.518984))+0--154.2-0.235926000000009</f>
        <v>1738.3362699999998</v>
      </c>
      <c r="L34" s="3">
        <f>2236.9+(114.1-860.9)+(-6.844914+(-0.349146--2.634354))+0--155.8-0.476748000000018</f>
        <v>1640.863546</v>
      </c>
      <c r="M34" s="3">
        <f>2243.5+(119.7-927.4)+(-3.432555+(-0.183141--1.418922))+0--152.5-0.233325000000009</f>
        <v>1585.8699010000003</v>
      </c>
      <c r="N34" s="3">
        <f>2441.6+(121.8-1059.7)+(-1.245216+(-0.062118--0.540447))+0--148.4-0.0756839999999849</f>
        <v>1651.257429</v>
      </c>
      <c r="O34" s="3">
        <f>2515.5+(130-1085)+(2.56581+(0.1326-1.1067))+0--149.6--0.152592000000024</f>
        <v>1711.8443019999997</v>
      </c>
      <c r="P34" s="3">
        <f>2551.3+(139.8-1076.2)+(-3.903489+(-0.213894--1.646586))+0--151.9-0.232407000000009</f>
        <v>1764.0967960000003</v>
      </c>
      <c r="Q34" s="3">
        <f>2527.7+(139.3-1022.9)+(-2.578254+(-0.142086--1.043358))+0--150.8-0.153816000000024</f>
        <v>1793.0692019999999</v>
      </c>
      <c r="R34" s="3">
        <f>2502.4+(134.8-977.8)+(-2.552448+(-0.137496--0.997356))+0--141.6-0.144432000000023</f>
        <v>1799.1629800000001</v>
      </c>
      <c r="S34" s="3">
        <f>2498.4+(125.7-953.4)+(1.274184+(0.064107-0.486234))+0--143.8--0.0733379999999854</f>
        <v>1815.4253950000002</v>
      </c>
      <c r="T34" s="3">
        <f>2490.3+(122-916.9)+(-6.350265+(-0.3111--2.338095))+0--147-0.374849999999979</f>
        <v>1837.7018800000001</v>
      </c>
      <c r="U34" s="3">
        <f>2432.4+(130.4-861.5)+(-4.962096+(-0.266016--1.75746))+0--146.1-0.298043999999994</f>
        <v>1843.6313040000002</v>
      </c>
      <c r="V34" s="3">
        <f>2088.5+(239.9-671.1)+(-2.13027+(-0.244698--0.684522))+0--138.2-0.140964000000022</f>
        <v>1793.66859</v>
      </c>
      <c r="W34" s="3">
        <f>1968.2+(206.5-587.1)+(-5.01891+(-0.526575--1.497105))+0--153.3-0.390914999999978</f>
        <v>1736.460705</v>
      </c>
      <c r="X34" s="3">
        <f>1978.1+(153.5-556.1)+(-1.008831+(-0.078285--0.283611))+0--155.4-0.0792539999999842</f>
        <v>1730.017241</v>
      </c>
      <c r="Y34" s="3">
        <f>2194.2+(182.2-681.6)+(-4.476168+(-0.371688--1.390464))+0--141.3-0.288251999999994</f>
        <v>1832.3543559999996</v>
      </c>
      <c r="Z34" s="3">
        <f>2659.1+(136.7-954.6)+(-6.780705+(-0.348585--2.43423))+0--137.9-0.35164499999998</f>
        <v>1974.0532949999999</v>
      </c>
      <c r="AA34" s="3">
        <f>2622.6+(169.1-955.1)+(-2.675052+(-0.172482--0.974202))+0--139.2-0.141984000000022</f>
        <v>1973.784684</v>
      </c>
      <c r="AB34" s="3">
        <f>2498+(280-870.1)+(-2.54796+(-0.2856--0.887502))+0--61.1-0.0623220000000097</f>
        <v>1966.99162</v>
      </c>
      <c r="AC34" s="3">
        <f>2319.3+(427.3-812.2)+(-2.365686+(-0.435846--0.828444))+0--32.4-0.0330480000000052</f>
        <v>1964.7938640000002</v>
      </c>
      <c r="AD34">
        <f t="shared" si="0"/>
        <v>43490.747318000002</v>
      </c>
      <c r="AE34" s="3">
        <f>2730.5+(140.9-1028.9)+(0+(0-0))+0--153.3-0</f>
        <v>1995.8</v>
      </c>
    </row>
    <row r="35" spans="1:31" s="2" customFormat="1" x14ac:dyDescent="0.25">
      <c r="A35">
        <v>89</v>
      </c>
      <c r="B35">
        <v>2</v>
      </c>
      <c r="C35">
        <v>4</v>
      </c>
      <c r="D35">
        <v>1</v>
      </c>
      <c r="E35">
        <v>1</v>
      </c>
      <c r="F35" s="3">
        <f>2297.9+(411.8-818)+(-4.687716+(-0.840072--1.66872))+0--32.7-0.0667079999999986</f>
        <v>1920.474224</v>
      </c>
      <c r="G35" s="3">
        <f>2213.8+(387.5-782.4)+(1.129038+(0.197625-0.399024))+0--33--0.0168299999999967</f>
        <v>1852.8444690000001</v>
      </c>
      <c r="H35" s="3">
        <f>2557.3+(124.1-929.5)+(0+(0-0))+0--33.2-0</f>
        <v>1785.1000000000001</v>
      </c>
      <c r="I35" s="3">
        <f>2693.6+(103.4-1072.3)+(-5.494944+(-0.210936--2.187492))+0--33.2-0.0677279999999986</f>
        <v>1754.3138839999999</v>
      </c>
      <c r="J35" s="3">
        <f>2631.3+(100.2-1040.9)+(1.341963+(0.051102-0.530859))+0--33.3--0.0169829999999966</f>
        <v>1724.7791890000001</v>
      </c>
      <c r="K35" s="3">
        <f>2575.3+(100.6-1004)+(0+(0-0))+0--33.3-0</f>
        <v>1705.2</v>
      </c>
      <c r="L35" s="3">
        <f>2580.8+(105.8-1087)+(-6.58104+(-0.26979--2.77185))+0--33.4-0.0851699999999952</f>
        <v>1628.8358500000002</v>
      </c>
      <c r="M35" s="3">
        <f>2715.9+(104-1234.6)+(-1.385109+(-0.05304--0.629646))+0--33.8-0.0172379999999966</f>
        <v>1618.2742590000003</v>
      </c>
      <c r="N35" s="3">
        <f>2797.9+(118.7-1247)+(2.853858+(0.121074-1.27194))+0--69.6--0.0709920000000111</f>
        <v>1740.973984</v>
      </c>
      <c r="O35" s="3">
        <f>2749.9+(134.1-1225.8)+(-4.207347+(-0.205173--1.875474))+0--165.6-0.25336800000001</f>
        <v>1821.0095860000001</v>
      </c>
      <c r="P35" s="3">
        <f>2641.1+(143.1-1094.8)+(-2.693922+(-0.145962--1.116696))+0--167.2-0.170544000000027</f>
        <v>1854.7062680000001</v>
      </c>
      <c r="Q35" s="3">
        <f>2652+(143.8-1005.9)+(1.35252+(0.073338-0.513009))+0--166.5--0.0849149999999831</f>
        <v>1957.3977640000001</v>
      </c>
      <c r="R35" s="3">
        <f>2743.6+(196.4-1144.2)+(-2.798472+(-0.200328--1.167084))+0--166.9-0.170238000000027</f>
        <v>1960.698046</v>
      </c>
      <c r="S35" s="3">
        <f>2779.7+(229.5-1141.5)+(-5.670588+(-0.46818--2.32866))+0--167.9-0.342515999999993</f>
        <v>2031.4473760000001</v>
      </c>
      <c r="T35" s="3">
        <f>2755.2+(211.7-1045.2)+(-2.810304+(-0.215934--1.066104))+0--168.7-0.172074000000027</f>
        <v>2088.2677919999996</v>
      </c>
      <c r="U35" s="3">
        <f>2703.7+(170.7-964.1)+(-4.136661+(-0.261171--1.475073))+0--172.1-0.26331300000001</f>
        <v>2079.2139279999997</v>
      </c>
      <c r="V35" s="3">
        <f>2635+(125.9-915.7)+(-1.34385+(-0.064209--0.467007))+0--172.1-0.0877709999999825</f>
        <v>2016.2711769999999</v>
      </c>
      <c r="W35" s="3">
        <f>2381.7+(124.5-752.9)+(-4.858668+(-0.25398--1.535916))+0--172.1-0.351083999999992</f>
        <v>1921.4721839999997</v>
      </c>
      <c r="X35" s="3">
        <f>2224.3+(130.8-663.4)+(-3.403179+(-0.200124--1.015002))+0--171.2-0.26193600000001</f>
        <v>1860.0497630000002</v>
      </c>
      <c r="Y35" s="3">
        <f>2256.6+(191.9-661.4)+(-4.603464+(-0.391476--1.349256))+0--169.7-0.346187999999993</f>
        <v>1952.8081279999999</v>
      </c>
      <c r="Z35" s="3">
        <f>2656.1+(213.6-914.8)+(-4.063833+(-0.326808--1.399644))+0--168.8-0.25826400000001</f>
        <v>2120.4507389999999</v>
      </c>
      <c r="AA35" s="3">
        <f>2855.7+(150-1067.1)+(-4.369221+(-0.2295--1.632663))+0--168.7-0.25811100000001</f>
        <v>2104.0758309999997</v>
      </c>
      <c r="AB35" s="3">
        <f>2772.1+(182.4-1060.4)+(-7.068855+(-0.46512--2.70402))+0--172.1-0.438854999999975</f>
        <v>2060.9311900000002</v>
      </c>
      <c r="AC35" s="3">
        <f>2669.5+(218.5-992)+(-6.807225+(-0.557175--2.5296))+0--175.9-0.448544999999974</f>
        <v>2066.6166549999998</v>
      </c>
      <c r="AD35">
        <f t="shared" si="0"/>
        <v>45626.212286000009</v>
      </c>
      <c r="AE35" s="3">
        <f>2860+(165.3-1015.6)+(0+(0-0))+0--173.3-0</f>
        <v>2183</v>
      </c>
    </row>
    <row r="36" spans="1:31" s="2" customFormat="1" x14ac:dyDescent="0.25">
      <c r="A36">
        <v>89</v>
      </c>
      <c r="B36">
        <v>2</v>
      </c>
      <c r="C36">
        <v>5</v>
      </c>
      <c r="D36">
        <v>2</v>
      </c>
      <c r="E36">
        <v>1</v>
      </c>
      <c r="F36" s="3">
        <f>2540.6+(205.6-929.8)+(-2.591412+(-0.209712--0.948396))+0--177-0.180540000000028</f>
        <v>1991.366732</v>
      </c>
      <c r="G36" s="3">
        <f>2528.3+(123-927.4)+(-3.868299+(-0.18819--1.418922))+0--176.6-0.27019800000001</f>
        <v>1897.5922350000001</v>
      </c>
      <c r="H36" s="3">
        <f>2442.5+(110.8-899.5)+(-3.737025+(-0.169524--1.376235))+0--174-0.26622000000001</f>
        <v>1825.0034659999999</v>
      </c>
      <c r="I36" s="3">
        <f>2285.4+(130.9-809.5)+(-3.496662+(-0.200277--1.238535))+0--158.9-0.243117000000009</f>
        <v>1762.9984790000003</v>
      </c>
      <c r="J36" s="3">
        <f>2178.1+(126-751.5)+(3.332493+(0.19278-1.149795))+0--162.2--0.248166000000009</f>
        <v>1717.423644</v>
      </c>
      <c r="K36" s="3">
        <f>2165.5+(102.1-742.5)+(-5.522025+(-0.260355--1.893375))+0--169.9-0.433244999999975</f>
        <v>1690.6777500000001</v>
      </c>
      <c r="L36" s="3">
        <f>2166.8+(99.2-816.2)+(-5.52534+(-0.25296--2.08131))+0--170.5-0.434774999999975</f>
        <v>1616.1682350000003</v>
      </c>
      <c r="M36" s="3">
        <f>2172+(105.2-839.7)+(-2.21544+(-0.107304--0.856494))+0--170.8-0.174216000000027</f>
        <v>1606.6595339999999</v>
      </c>
      <c r="N36" s="3">
        <f>2449.8+(126.2-1028)+(2.498796+(0.128724-1.04856))+0--170.5--0.173910000000027</f>
        <v>1720.2528700000003</v>
      </c>
      <c r="O36" s="3">
        <f>2830.9+(127.3-1295.6)+(-1.443759+(-0.064923--0.660756))+0--165.7-0.0845069999999832</f>
        <v>1827.3675670000002</v>
      </c>
      <c r="P36" s="3">
        <f>2805.7+(126.2-1246.6)+(-4.292721+(-0.193086--1.907298))+28--171-0.26163000000001</f>
        <v>1881.459861</v>
      </c>
      <c r="Q36" s="3">
        <f>2817.1+(127.2-1199)+(-4.310163+(-0.194616--1.83447))+0--170.3-0.26055900000001</f>
        <v>1912.6691319999998</v>
      </c>
      <c r="R36" s="3">
        <f>2902.3+(125-1167.2)+(0+(0-0))+0--170.9-0</f>
        <v>2031.0000000000002</v>
      </c>
      <c r="S36" s="3">
        <f>2896+(113.5-1194.7)+(-5.90784+(-0.23154--2.437188))+0--170.4-0.347615999999993</f>
        <v>1981.1501920000001</v>
      </c>
      <c r="T36" s="3">
        <f>2872+(117.5-1134.2)+(0+(0-0))+0--170.3-0</f>
        <v>2025.6</v>
      </c>
      <c r="U36" s="3">
        <f>2769+(120.7-1000.8)+(-5.64876+(-0.246228--2.041632))+0--170.3-0.347411999999993</f>
        <v>2054.9992320000001</v>
      </c>
      <c r="V36" s="3">
        <f>2577.9+(122.1-847.9)+(-2.629458+(-0.124542--0.864858))+0--159.4-0.162588000000025</f>
        <v>2009.4482700000003</v>
      </c>
      <c r="W36" s="3">
        <f>2406.7+(119.9-745.9)+(-6.137085+(-0.305745--1.902045))+0--151.7-0.386834999999978</f>
        <v>1927.4723799999999</v>
      </c>
      <c r="X36" s="3">
        <f>2229.3+(135.4-665.8)+(-6.821658+(-0.414324--2.037348))+0--148.6-0.454716000000017</f>
        <v>1841.84665</v>
      </c>
      <c r="Y36" s="3">
        <f>2360.6+(144.5-742.3)+(-1.203906+(-0.073695--0.378573))+0--150.8-0.0769079999999847</f>
        <v>1912.6240639999999</v>
      </c>
      <c r="Z36" s="3">
        <f>2917.8+(139.2-1051.5)+(-8.928468+(-0.425952--3.21759))+0--159.8-0.488988000000019</f>
        <v>2158.6741820000002</v>
      </c>
      <c r="AA36" s="3">
        <f>2787.7+(137.8-947.9)+(-11.373816+(-0.562224--3.867432))+0--160.7-0.655655999999986</f>
        <v>2129.5757359999998</v>
      </c>
      <c r="AB36" s="3">
        <f>2531.3+(203.2-841.7)+(-9.036741+(-0.725424--3.004869))+0--161.6-0.576912000000002</f>
        <v>2047.0657920000001</v>
      </c>
      <c r="AC36" s="3">
        <f>2638.7+(124.5-911.7)+(-5.382948+(-0.25398--1.859868))+0--166.2-0.339047999999993</f>
        <v>2013.5838919999999</v>
      </c>
      <c r="AD36">
        <f t="shared" si="0"/>
        <v>45582.679895000008</v>
      </c>
      <c r="AE36" s="3">
        <f>2923+(146.3-1086.1)+(0+(0-0))+0--160-0</f>
        <v>2143.1999999999998</v>
      </c>
    </row>
    <row r="37" spans="1:31" s="2" customFormat="1" x14ac:dyDescent="0.25">
      <c r="A37">
        <v>89</v>
      </c>
      <c r="B37">
        <v>2</v>
      </c>
      <c r="C37">
        <v>6</v>
      </c>
      <c r="D37">
        <v>3</v>
      </c>
      <c r="E37">
        <v>1</v>
      </c>
      <c r="F37" s="3">
        <f>2611.2+(123-959.6)+(-6.65856+(-0.31365--2.44698))+0--166.8-0.425339999999976</f>
        <v>1936.4494299999999</v>
      </c>
      <c r="G37" s="3">
        <f>2510.2+(116.8-940.6)+(-5.120808+(-0.238272--1.918824))+0--167.8-0.342311999999993</f>
        <v>1850.4174319999995</v>
      </c>
      <c r="H37" s="3">
        <f>2335.3+(113.6-858.7)+(-8.337021+(-0.405552--3.065559))+0--166.4-0.594048000000002</f>
        <v>1750.3289380000003</v>
      </c>
      <c r="I37" s="3">
        <f>2351.6+(110.7-918)+(-2.398632+(-0.112914--0.93636))+0--164.7-0.167994000000026</f>
        <v>1707.2568199999998</v>
      </c>
      <c r="J37" s="3">
        <f>2346.4+(108.3-894.3)+(-4.786656+(-0.220932--1.824372))+0--150.4-0.306815999999993</f>
        <v>1707.3099680000003</v>
      </c>
      <c r="K37" s="3">
        <f>2365+(107.1-856.9)+(1.20615+(0.054621-0.437019))+0--151--0.0770099999999847</f>
        <v>1767.100762</v>
      </c>
      <c r="L37" s="3">
        <f>2346.3+(105.6-843.9)+(-7.179678+(-0.323136--2.582334))+0--106.3-0.325278000000012</f>
        <v>1709.0542420000002</v>
      </c>
      <c r="M37" s="3">
        <f>2576.9+(109.8-1073.8)+(-1.314219+(-0.055998--0.547638))+0--105.8-0.0539579999999893</f>
        <v>1717.8234630000002</v>
      </c>
      <c r="N37" s="3">
        <f>2789+(115-1262.7)+(-2.84478+(-0.1173--1.287954))+0--109.6-0.111792000000017</f>
        <v>1749.1140820000001</v>
      </c>
      <c r="O37" s="3">
        <f>2854.5+(121.9-1247.3)+(-5.82318+(-0.248676--2.544492))+0--110.3-0.225011999999995</f>
        <v>1835.647624</v>
      </c>
      <c r="P37" s="3">
        <f>2857.5+(125.9-1190.4)+(0+(0-0))+0--117.4-0</f>
        <v>1910.4</v>
      </c>
      <c r="Q37" s="3">
        <f>2857.6+(128.2-1148.4)+(-2.914752+(-0.130764--1.171368))+0--121.3-0.123726000000019</f>
        <v>1956.7021259999997</v>
      </c>
      <c r="R37" s="3">
        <f>2848.3+(130.8-1071.5)+(-2.905266+(-0.133416--1.09293))+0--117-0.119340000000019</f>
        <v>2022.5349080000001</v>
      </c>
      <c r="S37" s="3">
        <f>2499.6+(211.2-856.1)+(-3.824388+(-0.323136--1.309833))+0--117.1-0.179163000000007</f>
        <v>1968.7831459999998</v>
      </c>
      <c r="T37" s="3">
        <f>2591.1+(204.7-861.4)+(-5.285844+(-0.417588--1.757256))+0--123.3-0.251531999999995</f>
        <v>2053.5022920000001</v>
      </c>
      <c r="U37" s="3">
        <f>2653.4+(194-845.2)+(-4.059702+(-0.29682--1.293156))+0--124.1-0.189873000000007</f>
        <v>2123.0467610000001</v>
      </c>
      <c r="V37" s="3">
        <f>2646.8+(133.7-814.4)+(-4.049604+(-0.204561--1.246032))+0--120.5-0.184365000000007</f>
        <v>2083.407502</v>
      </c>
      <c r="W37" s="3">
        <f>2353.4+(134.1-590.7)+(-2.400468+(-0.136782--0.602514))+0--102.7-0.104754000000016</f>
        <v>1997.4605100000003</v>
      </c>
      <c r="X37" s="3">
        <f>2136.9+(151.7-494.5)+(-4.359276+(-0.309468--1.00878))+0--105.1-0.214403999999995</f>
        <v>1895.325632</v>
      </c>
      <c r="Y37" s="3">
        <f>2183.9+(157.1-491.2)+(-2.227578+(-0.160242--0.501024))+0--106.5-0.108630000000017</f>
        <v>1954.3045740000002</v>
      </c>
      <c r="Z37" s="3">
        <f>2693.2+(153-802.6)+(-4.120596+(-0.23409--1.227978))+0--106.4-0.162792000000006</f>
        <v>2146.7104999999997</v>
      </c>
      <c r="AA37" s="3">
        <f>2722.1+(151.4-853.6)+(0+(0-0))+0--158-0</f>
        <v>2177.8999999999996</v>
      </c>
      <c r="AB37" s="3">
        <f>2557.1+(188.3-815.2)+(-3.912363+(-0.288099--1.247256))+0--162.7-0.248931000000009</f>
        <v>2089.6978629999999</v>
      </c>
      <c r="AC37" s="3">
        <f>2452.8+(258.3-826.7)+(-2.501856+(-0.263466--0.843234))+0--164.9-0.168198000000026</f>
        <v>2047.2097140000001</v>
      </c>
      <c r="AD37">
        <f t="shared" si="0"/>
        <v>46157.488289000008</v>
      </c>
      <c r="AE37" s="3">
        <f>2773.5+(152.7-934)+(0+(0-0))+0--158.3-0</f>
        <v>2150.5</v>
      </c>
    </row>
    <row r="38" spans="1:31" s="2" customFormat="1" x14ac:dyDescent="0.25">
      <c r="A38">
        <v>89</v>
      </c>
      <c r="B38">
        <v>2</v>
      </c>
      <c r="C38">
        <v>7</v>
      </c>
      <c r="D38">
        <v>4</v>
      </c>
      <c r="E38">
        <v>1</v>
      </c>
      <c r="F38" s="3">
        <f>2455.7+(212.4-854.8)+(-5.009628+(-0.433296--1.743792))+0--170.1-0.347003999999993</f>
        <v>1979.3538639999997</v>
      </c>
      <c r="G38" s="3">
        <f>2415.2+(121.9-858.3)+(-8.622264+(-0.435183--3.064131))+0--170.8-0.609756000000002</f>
        <v>1842.9969279999996</v>
      </c>
      <c r="H38" s="3">
        <f>2228.4+(124-761.3)+(-3.409452+(-0.18972--1.164789))+0--167.6-0.25642800000001</f>
        <v>1756.0091890000001</v>
      </c>
      <c r="I38" s="3">
        <f>2278.9+(113.6-851.2)+(-2.324478+(-0.115872--0.868224))+0--166.6-0.169932000000027</f>
        <v>1706.157942</v>
      </c>
      <c r="J38" s="3">
        <f>2225.5+(112.7-820.5)+(-6.81003+(-0.344862--2.51073))+0--166.5-0.509490000000019</f>
        <v>1679.0463480000001</v>
      </c>
      <c r="K38" s="3">
        <f>2153.7+(112.4-765.9)+(-2.196774+(-0.114648--0.781218))+0--163.7-0.166974000000026</f>
        <v>1662.202822</v>
      </c>
      <c r="L38" s="3">
        <f>2136.4+(109.9-809.8)+(-6.537384+(-0.336294--2.477988))+0--160.7-0.491742000000019</f>
        <v>1592.3125680000001</v>
      </c>
      <c r="M38" s="3">
        <f>2173.1+(113.9-858)+(-3.324843+(-0.174267--1.31274))+0--159.1-0.243423000000009</f>
        <v>1585.6702069999999</v>
      </c>
      <c r="N38" s="3">
        <f>2445.9+(137.5-1040.2)+(-1.247409+(-0.070125--0.530502))+0--162.8-0.0830279999999835</f>
        <v>1705.12994</v>
      </c>
      <c r="O38" s="3">
        <f>2654.5+(148.3-1164.3)+(-4.061385+(-0.226899--1.781379))+0--163.5-0.250155000000009</f>
        <v>1799.2429400000001</v>
      </c>
      <c r="P38" s="3">
        <f>2748.9+(142.8-1172.1)+(-4.205817+(-0.218484--1.793313))+0--166.4-0.25459200000001</f>
        <v>1883.1144200000003</v>
      </c>
      <c r="Q38" s="3">
        <f>2803.4+(135.4-1172.3)+(0+(0-0))+0--167.7-0</f>
        <v>1934.2000000000003</v>
      </c>
      <c r="R38" s="3">
        <f>2801.7+(136.3-1161.3)+(-4.286601+(-0.208539--1.776789))+0--169.4-0.25918200000001</f>
        <v>1943.1224669999999</v>
      </c>
      <c r="S38" s="3">
        <f>2784.6+(129.1-1157.7)+(0+(0-0))+0--175.2-0</f>
        <v>1931.1999999999998</v>
      </c>
      <c r="T38" s="3">
        <f>2788.7+(137.1-1119.2)+(-2.844474+(-0.139842--1.141584))+0--179.5-0.183090000000029</f>
        <v>1984.0741779999998</v>
      </c>
      <c r="U38" s="3">
        <f>2754.8+(137.7-1053.5)+(-5.619792+(-0.280908--2.14914))+0--168.5-0.343739999999993</f>
        <v>2003.4047000000003</v>
      </c>
      <c r="V38" s="3">
        <f>2631.1+(136.8-950.5)+(-4.025583+(-0.209304--1.454265))+0--166.5-0.25474500000001</f>
        <v>1980.8646329999999</v>
      </c>
      <c r="W38" s="3">
        <f>2613.4+(133.3-1000.1)+(-5.331336+(-0.271932--2.040204))+0--167.4-0.341495999999993</f>
        <v>1910.0954400000003</v>
      </c>
      <c r="X38" s="3">
        <f>2334.7+(139.1-797.1)+(-3.572091+(-0.212823--1.219563))+0--162.7-0.248931000000009</f>
        <v>1836.5857179999998</v>
      </c>
      <c r="Y38" s="3">
        <f>2341.4+(149.9-753.6)+(-4.776456+(-0.305796--1.537344))+0--166-0.338639999999993</f>
        <v>1899.816452</v>
      </c>
      <c r="Z38" s="3">
        <f>2899+(152.4-1097)+(-2.95698+(-0.155448--1.11894))+0--173.9-0.177378000000028</f>
        <v>2126.1291340000002</v>
      </c>
      <c r="AA38" s="3">
        <f>2980.3+(149.8-1191.5)+(-6.079812+(-0.305592--2.43066))+0--179.4-0.365975999999992</f>
        <v>2113.6792800000003</v>
      </c>
      <c r="AB38" s="3">
        <f>2985.5+(143.3-1248)+(-3.04521+(-0.146166--1.27296))+0--183.4-0.187068000000029</f>
        <v>2062.0945159999997</v>
      </c>
      <c r="AC38" s="3">
        <f>2993.3+(134.6-1281.5)+(-3.053166+(-0.137292--1.30713))+0--187.9-0.19165800000003</f>
        <v>2032.2250140000003</v>
      </c>
      <c r="AD38">
        <f t="shared" si="0"/>
        <v>44948.7287</v>
      </c>
      <c r="AE38" s="3">
        <f>3056+(150.3-1204.3)+(0+(0-0))+0--176.3-0</f>
        <v>2178.3000000000002</v>
      </c>
    </row>
    <row r="39" spans="1:31" s="2" customFormat="1" x14ac:dyDescent="0.25">
      <c r="A39">
        <v>89</v>
      </c>
      <c r="B39">
        <v>2</v>
      </c>
      <c r="C39">
        <v>8</v>
      </c>
      <c r="D39">
        <v>5</v>
      </c>
      <c r="E39">
        <v>1</v>
      </c>
      <c r="F39" s="3">
        <f>2989.3+(158.1-1291.2)+(-1.524543+(-0.080631--0.658512))+0--189.9-0.0968489999999807</f>
        <v>2045.0564890000001</v>
      </c>
      <c r="G39" s="3">
        <f>2897+(118.7-1316.1)+(-1.47747+(-0.060537--0.671211))+0--186.6-0.0951659999999811</f>
        <v>1885.238038</v>
      </c>
      <c r="H39" s="3">
        <f>2843.6+(158.4-1400.4)+(-2.900472+(-0.161568--1.428408))+0--182.1-0.185742000000029</f>
        <v>1781.8806259999997</v>
      </c>
      <c r="I39" s="3">
        <f>2700.4+(154.2-1320.1)+(0+(0-0))+0--179.1-0</f>
        <v>1713.6000000000001</v>
      </c>
      <c r="J39" s="3">
        <f>2764.5+(173.1-1428.5)+(-2.81979+(-0.176562--1.45707))+0--180.3-0.183906000000029</f>
        <v>1687.6768119999999</v>
      </c>
      <c r="K39" s="3">
        <f>2824.2+(182.6-1503.6)+(-7.20171+(-0.46563--3.83418))+0--179.4-0.457469999999974</f>
        <v>1678.3093699999999</v>
      </c>
      <c r="L39" s="3">
        <f>2441+(113.4-1059.8)+(-3.73473+(-0.173502--1.621494))+0--122.6-0.187578000000007</f>
        <v>1614.7256839999998</v>
      </c>
      <c r="M39" s="3">
        <f>2420.2+(116.8-1040.4)+(0+(0-0))+0--119.4-0</f>
        <v>1615.9999999999998</v>
      </c>
      <c r="N39" s="3">
        <f>2748.3+(126.2-1278.6)+(-2.803266+(-0.128724--1.304172))+0--151.7-0.154734000000024</f>
        <v>1745.8174480000005</v>
      </c>
      <c r="O39" s="3">
        <f>2798.6+(180.2-1295.3)+(-1.427286+(-0.091902--0.660603))+0--139.4-0.0710939999999859</f>
        <v>1821.9703210000002</v>
      </c>
      <c r="P39" s="3">
        <f>2882.7+(176.5-1322.5)+(-4.410531+(-0.270045--2.023425))+0--178.4-0.27295200000001</f>
        <v>1912.1698969999998</v>
      </c>
      <c r="Q39" s="3">
        <f>2949.1+(187.2-1329.1)+(-4.512123+(-0.286416--2.033523))+0--142.8-0.218484000000008</f>
        <v>1947.0165</v>
      </c>
      <c r="R39" s="3">
        <f>2907.1+(186.3-1242.9)+(-4.447863+(-0.285039--1.901637))+0--144.9-0.221697000000008</f>
        <v>1992.3470379999999</v>
      </c>
      <c r="S39" s="3">
        <f>2818+(191.1-1135.1)+(-5.74872+(-0.389844--2.315604))+0--150.9-0.307835999999993</f>
        <v>2020.7692040000002</v>
      </c>
      <c r="T39" s="3">
        <f>2755.5+(210.8-1028.7)+(-1.405305+(-0.107508--0.524637))+0--153.4-0.0782339999999844</f>
        <v>2089.9335899999996</v>
      </c>
      <c r="U39" s="3">
        <f>2735.1+(213-993.7)+(-1.394901+(-0.10863--0.506787))+0--152.7-0.0778769999999845</f>
        <v>2106.0253789999997</v>
      </c>
      <c r="V39" s="3">
        <f>2713.2+(202.9-962.5)+(-6.91866+(-0.517395--2.454375))+0--151.5-0.386324999999978</f>
        <v>2099.7319949999996</v>
      </c>
      <c r="W39" s="3">
        <f>2689.4+(185.8-1046.2)+(-5.486376+(-0.379032--2.134248))+0--150.8-0.307631999999993</f>
        <v>1975.7612079999999</v>
      </c>
      <c r="X39" s="3">
        <f>2533.4+(169.9-954.4)+(-5.168136+(-0.346596--1.946976))+0--144.4-0.294575999999994</f>
        <v>1889.4376680000003</v>
      </c>
      <c r="Y39" s="3">
        <f>2595.3+(190.6-940.2)+(-3.970809+(-0.291618--1.438506))+0--144.4-0.220932000000008</f>
        <v>1987.0551470000005</v>
      </c>
      <c r="Z39" s="3">
        <f>2871.4+(206.9-1014.6)+(-4.393242+(-0.316557--1.552338))+0--150.7-0.230571000000009</f>
        <v>2211.0119679999998</v>
      </c>
      <c r="AA39" s="3">
        <f>2923+(203.9-1083.9)+(-2.98146+(-0.207978--1.105578))+0--151.4-0.154428000000024</f>
        <v>2192.1617120000001</v>
      </c>
      <c r="AB39" s="3">
        <f>2742.4+(210.4-959.1)+(-5.594496+(-0.429216--1.956564))+0--150.2-0.306407999999993</f>
        <v>2139.5264440000001</v>
      </c>
      <c r="AC39" s="3">
        <f>2835.5+(209.8-1059.1)+(-5.78442+(-0.427992--2.160564))+0--154.8-0.315791999999993</f>
        <v>2136.6323600000001</v>
      </c>
      <c r="AD39">
        <f t="shared" si="0"/>
        <v>46289.854898000005</v>
      </c>
      <c r="AE39" s="3">
        <f>2920.5+(153-1097)+(0+(0-0))+0--152-0</f>
        <v>2128.5</v>
      </c>
    </row>
    <row r="40" spans="1:31" s="2" customFormat="1" x14ac:dyDescent="0.25">
      <c r="A40">
        <v>89</v>
      </c>
      <c r="B40">
        <v>2</v>
      </c>
      <c r="C40">
        <v>9</v>
      </c>
      <c r="D40">
        <v>6</v>
      </c>
      <c r="E40">
        <v>1</v>
      </c>
      <c r="F40" s="3">
        <f>2779.3+(223.2-1013.1)+(-1.417443+(-0.113832--0.516681))+0--154.7-0.0788969999999843</f>
        <v>2143.0065090000003</v>
      </c>
      <c r="G40" s="3">
        <f>2531.9+(213.2-910)+(-3.873807+(-0.326196--1.3923))+0--152.7-0.233631000000009</f>
        <v>1984.7586660000002</v>
      </c>
      <c r="H40" s="3">
        <f>2350+(207.6-728.9)+(3.5955+(0.317628-1.115217))+0--150.6--0.230418000000009</f>
        <v>1982.3283290000002</v>
      </c>
      <c r="I40" s="3">
        <f>2319+(200.7-787.1)+(-3.54807+(-0.307071--1.204263))+0--149.7-0.229041000000009</f>
        <v>1879.420081</v>
      </c>
      <c r="J40" s="3">
        <f>2242.2+(193.6-759.3)+(1.143522+(0.098736-0.387243))+0--151.3--0.0771629999999847</f>
        <v>1828.732178</v>
      </c>
      <c r="K40" s="3">
        <f>2241.9+(184.1-871.5)+(-3.430107+(-0.281673--1.333395))+0--151-0.231030000000009</f>
        <v>1702.8905850000001</v>
      </c>
      <c r="L40" s="3">
        <f>2271.5+(160.3-984.1)+(-4.63386+(-0.327012--2.007564))+0--146.3-0.298451999999994</f>
        <v>1590.7482399999999</v>
      </c>
      <c r="M40" s="3">
        <f>2349.8+(166.7-986.4)+(-3.595194+(-0.255051--1.509192))+0--143-0.218790000000008</f>
        <v>1670.5401570000001</v>
      </c>
      <c r="N40" s="3">
        <f>2410.6+(183.4-979.3)+(0+(0-0))+0--144.5-0</f>
        <v>1759.1999999999998</v>
      </c>
      <c r="O40" s="3">
        <f>2541.5+(185.2-1007)+(-1.296165+(-0.094452--0.51357))+0--148-0.075479999999985</f>
        <v>1866.7474730000001</v>
      </c>
      <c r="P40" s="3">
        <f>2642.5+(227.2-1054.2)+(-2.69535+(-0.231744--1.075284))+0--151.2-0.154224000000024</f>
        <v>1964.693966</v>
      </c>
      <c r="Q40" s="3">
        <f>2688.6+(268.9-1090.3)+(0+(0-0))+0--150.5-0</f>
        <v>2017.6999999999998</v>
      </c>
      <c r="R40" s="3">
        <f>2680.9+(304-1026)+(-4.101777+(-0.46512--1.56978))+0--151.1-0.231183000000009</f>
        <v>2106.7717000000002</v>
      </c>
      <c r="S40" s="3">
        <f>2577.6+(372-1032.2)+(-2.629152+(-0.37944--1.052844))+0--151.9-0.154938000000024</f>
        <v>2067.1893139999997</v>
      </c>
      <c r="T40" s="3">
        <f>2486.6+(357.2-1033.5)+(-1.268166+(-0.182172--0.527085))+0--174.9-0.0891989999999823</f>
        <v>1984.1875480000001</v>
      </c>
      <c r="U40" s="3">
        <f>2498.6+(337-1025.9)+(-3.822858+(-0.51561--1.569627))+0--184.1-0.281673000000011</f>
        <v>1990.7494859999997</v>
      </c>
      <c r="V40" s="3">
        <f>2409.6+(326.8-773.7)+(-2.457792+(-0.333336--0.789174))+0--188.4-0.19216800000003</f>
        <v>2148.9058779999996</v>
      </c>
      <c r="W40" s="3">
        <f>2128.2+(233.1-590.3)+(-7.597674+(-0.832167--2.107371))+0--167.9-0.599403000000002</f>
        <v>1931.9781270000001</v>
      </c>
      <c r="X40" s="3">
        <f>2186.9+(173.8-632.3)+(0+(0-0))+0--162.6-0</f>
        <v>1891</v>
      </c>
      <c r="Y40" s="3">
        <f>2242.3+(182.4-615)+(-2.287146+(-0.186048--0.6273))+0--162.7-0.165954000000026</f>
        <v>1970.3881520000002</v>
      </c>
      <c r="Z40" s="3">
        <f>2817.7+(194.8-1062.9)+(-7.185135+(-0.49674--2.710395))+0--178.2-0.454409999999974</f>
        <v>2122.3741099999997</v>
      </c>
      <c r="AA40" s="3">
        <f>2905.1+(189.2-1100.9)+(-2.963202+(-0.192984--1.122918))+0--180.4-0.184008000000029</f>
        <v>2171.5827239999999</v>
      </c>
      <c r="AB40" s="3">
        <f>2512.4+(191.7-798.2)+(-5.125296+(-0.391068--1.628328))+0--176.1-0.359243999999992</f>
        <v>2077.75272</v>
      </c>
      <c r="AC40" s="3">
        <f>2458+(208.1-712.8)+(-1.25358+(-0.106131--0.363528))+0--179.8-0.0916979999999818</f>
        <v>2132.012119</v>
      </c>
      <c r="AD40">
        <f t="shared" si="0"/>
        <v>46985.658061999995</v>
      </c>
      <c r="AE40" s="3">
        <f>2905+(133.6-1122.6)+(0+(0-0))+0--180.3-0</f>
        <v>2096.3000000000002</v>
      </c>
    </row>
    <row r="41" spans="1:31" s="2" customFormat="1" x14ac:dyDescent="0.25">
      <c r="A41">
        <v>89</v>
      </c>
      <c r="B41">
        <v>2</v>
      </c>
      <c r="C41">
        <v>10</v>
      </c>
      <c r="D41">
        <v>7</v>
      </c>
      <c r="E41">
        <v>1</v>
      </c>
      <c r="F41" s="3">
        <f>2414.8+(251.7-801.6)+(0+(0-0))+0--184.8-0</f>
        <v>2049.7000000000003</v>
      </c>
      <c r="G41" s="3">
        <f>2373+(242.4-804.6)+(0+(0-0))+0--185.2-0</f>
        <v>1996</v>
      </c>
      <c r="H41" s="3">
        <f>2550.9+(185.4-978.9)+(2.601918+(0.189108-0.998478))+0--187.2--0.19094400000003</f>
        <v>1946.583492</v>
      </c>
      <c r="I41" s="3">
        <f>2590.5+(178.9-1027.8)+(-1.321155+(-0.091239--0.524178))+0--186.7-0.0952169999999811</f>
        <v>1927.3165669999998</v>
      </c>
      <c r="J41" s="3">
        <f>2514.4+(173.5-1020.3)+(2.564688+(0.17697-1.040706))+0--185.7--0.18941400000003</f>
        <v>1855.190366</v>
      </c>
      <c r="K41" s="3">
        <f>2524.7+(169.7-1058.1)+(-6.437985+(-0.432735--2.698155))+0--184.4-0.470219999999973</f>
        <v>1816.057215</v>
      </c>
      <c r="L41" s="3">
        <f>2056.5+(156.7-712.2)+(-5.244075+(-0.399585--1.81611))+0--169.7-0.432734999999975</f>
        <v>1666.4397150000002</v>
      </c>
      <c r="M41" s="3">
        <f>2044.7+(155.8-769.5)+(-2.085594+(-0.158916--0.78489))+0--165.2-0.168504000000026</f>
        <v>1594.571876</v>
      </c>
      <c r="N41" s="3">
        <f>2017.3+(166.4-698.7)+(1.028823+(0.084864-0.356337))+0--163--0.0831299999999835</f>
        <v>1648.8404800000001</v>
      </c>
      <c r="O41" s="3">
        <f>2013.9+(177.6-646.7)+(-1.027089+(-0.090576--0.329817))+0--163.4-0.0833339999999834</f>
        <v>1707.3288180000004</v>
      </c>
      <c r="P41" s="3">
        <f>2268.6+(180.3-807)+(-2.313972+(-0.183906--0.82314))+0--168.4-0.171768000000027</f>
        <v>1808.4534940000001</v>
      </c>
      <c r="Q41" s="3">
        <f>2351.7+(184.1-836.7)+(-3.598101+(-0.281673--1.280151))+0--169.4-0.25918200000001</f>
        <v>1865.6411949999999</v>
      </c>
      <c r="R41" s="3">
        <f>2348.9+(293.5-809.1)+(1.197939+(0.149685-0.412641))+0--172.2--0.0878219999999825</f>
        <v>2006.5228050000003</v>
      </c>
      <c r="S41" s="3">
        <f>2345.1+(371.2-836.6)+(-2.392002+(-0.378624--0.853332))+0--177.8-0.181356000000028</f>
        <v>2055.4013499999996</v>
      </c>
      <c r="T41" s="3">
        <f>2421.3+(387.4-875.2)+(3.704589+(0.592722-1.339056))+0--184--0.281520000000011</f>
        <v>2120.739775</v>
      </c>
      <c r="U41" s="3">
        <f>2373.2+(419.9-865.3)+(-3.630996+(-0.642447--1.323909))+0--184.4-0.282132000000011</f>
        <v>2108.9683339999997</v>
      </c>
      <c r="V41" s="3">
        <f>2260.3+(347.4-719.4)+(-3.458259+(-0.531522--1.100682))+0--179.4-0.27448200000001</f>
        <v>2064.5364190000005</v>
      </c>
      <c r="W41" s="3">
        <f>2139.3+(209.6-605.9)+(-5.455215+(-0.53448--1.545045))+0--168.5-0.429674999999976</f>
        <v>1906.6256750000002</v>
      </c>
      <c r="X41" s="3">
        <f>1958.1+(152.6-482.2)+(-4.993155+(-0.38913--1.22961))+0--164.4-0.419219999999976</f>
        <v>1788.3281050000001</v>
      </c>
      <c r="Y41" s="3">
        <f>2001.9+(221.4-555.8)+(-1.020969+(-0.112914--0.283458))+0--163.5-0.0833849999999834</f>
        <v>1830.06619</v>
      </c>
      <c r="Z41" s="3">
        <f>2437.3+(330.1-750.3)+(-4.972092+(-0.673404--1.530612))+0--173-0.352919999999992</f>
        <v>2185.6321960000005</v>
      </c>
      <c r="AA41" s="3">
        <f>2689.6+(232.4-947.5)+(-2.743392+(-0.237048--0.96645))+0--178.9-0.182478000000029</f>
        <v>2151.203532</v>
      </c>
      <c r="AB41" s="3">
        <f>2957.2+(133.8-1093.3)+(-9.049032+(-0.409428--3.345498))+0--186.8-0.571608000000022</f>
        <v>2177.8154299999997</v>
      </c>
      <c r="AC41" s="3">
        <f>2978.2+(125.7-1089.3)+(-3.037764+(-0.128214--1.111086))+0--190.9-0.19471800000003</f>
        <v>2203.2503899999997</v>
      </c>
      <c r="AD41">
        <f t="shared" si="0"/>
        <v>46481.213419000007</v>
      </c>
      <c r="AE41" s="3">
        <f>2664+(276.3-881.9)+(0+(0-0))+0--177.4-0</f>
        <v>2235.8000000000002</v>
      </c>
    </row>
    <row r="42" spans="1:31" s="2" customFormat="1" x14ac:dyDescent="0.25">
      <c r="A42">
        <v>89</v>
      </c>
      <c r="B42">
        <v>2</v>
      </c>
      <c r="C42">
        <v>11</v>
      </c>
      <c r="D42">
        <v>1</v>
      </c>
      <c r="E42">
        <v>1</v>
      </c>
      <c r="F42" s="3">
        <f>2844.4+(144.4-1003.6)+(-5.802576+(-0.294576--2.047344))+0--191.5-0.390659999999992</f>
        <v>2172.259532</v>
      </c>
      <c r="G42" s="3">
        <f>2770.7+(127.1-977.2)+(-7.065285+(-0.324105--2.49186))+0--186.6-0.475829999999973</f>
        <v>2101.8266400000002</v>
      </c>
      <c r="H42" s="3">
        <f>2601.7+(112.9-877.7)+(-2.653734+(-0.115158--0.895254))+0--178.2-0.181764000000028</f>
        <v>2013.0445979999997</v>
      </c>
      <c r="I42" s="3">
        <f>2569.9+(119-858.3)+(-5.242596+(-0.24276--1.750932))+0--176-0.359039999999992</f>
        <v>2002.5065360000001</v>
      </c>
      <c r="J42" s="3">
        <f>2525.4+(108.4-816.4)+(0+(0-0))+0--174.8-0</f>
        <v>1992.2</v>
      </c>
      <c r="K42" s="3">
        <f>2481.8+(107.9-749.5)+(-1.265718+(-0.055029--0.382245))+0--172.3-0.0878729999999825</f>
        <v>2011.4736250000003</v>
      </c>
      <c r="L42" s="3">
        <f>2424.6+(103.8-812.1)+(-4.946184+(-0.211752--1.656684))+0--165.6-0.337823999999993</f>
        <v>1878.0609239999997</v>
      </c>
      <c r="M42" s="3">
        <f>2733.6+(104.8-1024.7)+(-2.788272+(-0.106896--1.045194))+0--166.6-0.169932000000027</f>
        <v>1978.2800939999997</v>
      </c>
      <c r="N42" s="3">
        <f>2992.6+(116.4-1151.3)+(-3.052452+(-0.118728--1.174326))+0--170.2-0.173604000000027</f>
        <v>2125.729542</v>
      </c>
      <c r="O42" s="3">
        <f>3045.5+(119.9-1160.2)+(-4.659615+(-0.183447--1.775106))+0--169.5-0.25933500000001</f>
        <v>2171.3727089999998</v>
      </c>
      <c r="P42" s="3">
        <f>2916.2+(123.2-1054.2)+(-2.974524+(-0.125664--1.075284))+0--169.3-0.172686000000027</f>
        <v>2152.3024099999998</v>
      </c>
      <c r="Q42" s="3">
        <f>2914.1+(123.9-1039.2)+(-1.486191+(-0.063189--0.529992))+0--171.6-0.0875159999999826</f>
        <v>2169.2930959999999</v>
      </c>
      <c r="R42" s="3">
        <f>2937.7+(170.7-1155.9)+(-7.491135+(-0.435285--2.947545))+0--174.1-0.443954999999975</f>
        <v>2121.1771699999995</v>
      </c>
      <c r="S42" s="3">
        <f>2650+(339.1-974.8)+(-2.703+(-0.345882--0.994296))+0--170.3-0.173706000000027</f>
        <v>2182.3717080000001</v>
      </c>
      <c r="T42" s="3">
        <f>2587.1+(360-852.6)+(-1.319421+(-0.1836--0.434826))+0--170.6-0.0870059999999827</f>
        <v>2263.9447989999999</v>
      </c>
      <c r="U42" s="3">
        <f>2516.8+(397.3-818.6)+(-6.41784+(-1.013115--2.08743))+0--172-0.438599999999975</f>
        <v>2261.7178749999998</v>
      </c>
      <c r="V42" s="3">
        <f>2398.7+(340.1-684.5)+(-6.116685+(-0.867255--1.745475))+0--169.3-0.431714999999975</f>
        <v>2217.9298199999998</v>
      </c>
      <c r="W42" s="3">
        <f>2248+(281.3-549.8)+(-3.43944+(-0.430389--0.841194))+0--124-0.189720000000007</f>
        <v>2100.2816450000005</v>
      </c>
      <c r="X42" s="3">
        <f>2249.6+(159.7-561.1)+(-3.441888+(-0.244341--0.858483))+0--127.3-0.194769000000007</f>
        <v>1972.4774849999999</v>
      </c>
      <c r="Y42" s="3">
        <f>2268.6+(257.9-599.2)+(-1.156986+(-0.131529--0.305592))+0--127.6-0.065075999999987</f>
        <v>2053.8520009999997</v>
      </c>
      <c r="Z42" s="3">
        <f>2663+(280.9-840.2)+(-5.43252+(-0.573036--1.714008))+0--179.6-0.366383999999992</f>
        <v>2278.6420679999997</v>
      </c>
      <c r="AA42" s="3">
        <f>2862.9+(189.9-935.1)+(-2.920158+(-0.193698--0.953802))+0--185.8-0.18951600000003</f>
        <v>2301.1504300000001</v>
      </c>
      <c r="AB42" s="3">
        <f>2855.5+(213.4-961.5)+(-2.91261+(-0.217668--0.98073))+0--186.9-0.19063800000003</f>
        <v>2291.9598140000003</v>
      </c>
      <c r="AC42" s="3">
        <f>2910.7+(155.4-957.4)+(-4.453371+(-0.237762--1.464822))+0--192.8-0.294984000000011</f>
        <v>2297.978705</v>
      </c>
      <c r="AD42">
        <f t="shared" si="0"/>
        <v>51111.83322600001</v>
      </c>
      <c r="AE42" s="3">
        <f>2839+(204-900.2)+(0+(0-0))+0--185.2-0</f>
        <v>2328</v>
      </c>
    </row>
    <row r="43" spans="1:31" s="2" customFormat="1" x14ac:dyDescent="0.25">
      <c r="A43">
        <v>89</v>
      </c>
      <c r="B43">
        <v>2</v>
      </c>
      <c r="C43">
        <v>12</v>
      </c>
      <c r="D43">
        <v>2</v>
      </c>
      <c r="E43">
        <v>1</v>
      </c>
      <c r="F43" s="3">
        <f>2951.3+(137-1017.3)+(0+(0-0))+0--185.5-0</f>
        <v>2256.5</v>
      </c>
      <c r="G43" s="3">
        <f>2952.1+(119.9-1058.1)+(-1.505571+(-0.061149--0.539631))+0--184.9-0.0942989999999812</f>
        <v>2197.6786120000002</v>
      </c>
      <c r="H43" s="3">
        <f>2965.6+(115.1-1163.7)+(0+(0-0))+0--183.4-0</f>
        <v>2100.3999999999996</v>
      </c>
      <c r="I43" s="3">
        <f>2966.9+(111.4-1198.8)+(-3.026238+(-0.113628--1.222776))+0--181.6-0.185232000000029</f>
        <v>2058.9976780000006</v>
      </c>
      <c r="J43" s="3">
        <f>2904.8+(110.4-1166.1)+(-1.481448+(-0.056304--0.594711))+0--178.2-0.0908819999999819</f>
        <v>2026.2660770000005</v>
      </c>
      <c r="K43" s="3">
        <f>2863.4+(110-1160.1)+(-7.30167+(-0.2805--2.958255))+0--173.9-0.443444999999975</f>
        <v>1982.1326400000005</v>
      </c>
      <c r="L43" s="3">
        <f>2371.4+(111.5-817.3)+(-2.418828+(-0.11373--0.833646))+0--160.3-0.163506000000026</f>
        <v>1824.0375819999999</v>
      </c>
      <c r="M43" s="3">
        <f>2309.1+(131.6-806.2)+(0+(0-0))+0--155.8-0</f>
        <v>1790.3</v>
      </c>
      <c r="N43" s="3">
        <f>2619.6+(127-1003.2)+(-1.335996+(-0.06477--0.511632))+0--157.9-0.080528999999984</f>
        <v>1900.3303369999999</v>
      </c>
      <c r="O43" s="3">
        <f>2747.2+(127.8-1054.2)+(0+(0-0))+0--157.5-0</f>
        <v>1978.2999999999997</v>
      </c>
      <c r="P43" s="3">
        <f>2733.2+(134.2-988.9)+(2.787864+(0.136884-1.008678))+0--155.7--0.158814000000025</f>
        <v>2036.2748839999999</v>
      </c>
      <c r="Q43" s="3">
        <f>2817.8+(137.3-1045.1)+(-1.437078+(-0.070023--0.533001))+0--159.7-0.0814469999999838</f>
        <v>2068.6444530000003</v>
      </c>
      <c r="R43" s="3">
        <f>2767.2+(143.7-985.6)+(-4.233816+(-0.219861--1.507968))+0--162.6-0.248778000000009</f>
        <v>2084.7055129999994</v>
      </c>
      <c r="S43" s="3">
        <f>2708.8+(252.2-1032.3)+(-5.525952+(-0.514488--2.105892))+0--164.6-0.335783999999993</f>
        <v>2089.0296680000006</v>
      </c>
      <c r="T43" s="3">
        <f>2486.3+(428.6-961.3)+(1.268013+(0.218586-0.490263))+0--164.6--0.0839459999999833</f>
        <v>2119.2802820000006</v>
      </c>
      <c r="U43" s="3">
        <f>2425+(440.3-885.3)+(-3.71025+(-0.673659--1.354509))+0--133.4-0.204102000000008</f>
        <v>2110.166498</v>
      </c>
      <c r="V43" s="3">
        <f>2286.7+(379-692.6)+(-6.997302+(-1.15974--2.119356))+0--104.1-0.318546000000012</f>
        <v>2070.8437680000002</v>
      </c>
      <c r="W43" s="3">
        <f>2295+(200.4-615.4)+(-1.17045+(-0.102204--0.313854))+0--93.5-0.0476849999999905</f>
        <v>1972.4935149999999</v>
      </c>
      <c r="X43" s="3">
        <f>2335.9+(119.3-604.7)+(-3.573927+(-0.182529--0.925191))+0--103.3-0.158049000000006</f>
        <v>1950.8106859999998</v>
      </c>
      <c r="Y43" s="3">
        <f>2494.3+(128.6-715.5)+(-2.544186+(-0.131172--0.72981))+0--105.1-0.107202000000017</f>
        <v>2010.4472500000002</v>
      </c>
      <c r="Z43" s="3">
        <f>3051.2+(136.7-1206.3)+(-10.892784+(-0.488019--4.306491))+0--155.2-0.554064000000002</f>
        <v>2129.1716240000001</v>
      </c>
      <c r="AA43" s="3">
        <f>3181.9+(133.8-1376.2)+(-6.491076+(-0.272952--2.807448))+0--166.1-0.338843999999993</f>
        <v>2101.304576</v>
      </c>
      <c r="AB43" s="3">
        <f>2788+(176.9-1072.2)+(-7.1094+(-0.451095--2.73411))+0--184.8-0.471239999999973</f>
        <v>2072.2023749999998</v>
      </c>
      <c r="AC43" s="3">
        <f>2755+(154.4-1025.6)+(-7.02525+(-0.39372--2.61528))+0--186.1-0.474554999999973</f>
        <v>2064.6217550000006</v>
      </c>
      <c r="AD43">
        <f t="shared" si="0"/>
        <v>48994.939772999998</v>
      </c>
      <c r="AE43" s="3">
        <f>3231+(138.2-1353.5)+(0+(0-0))+0--174.5-0</f>
        <v>2190.1999999999998</v>
      </c>
    </row>
    <row r="44" spans="1:31" s="2" customFormat="1" x14ac:dyDescent="0.25">
      <c r="A44">
        <v>89</v>
      </c>
      <c r="B44">
        <v>2</v>
      </c>
      <c r="C44">
        <v>13</v>
      </c>
      <c r="D44">
        <v>3</v>
      </c>
      <c r="E44">
        <v>1</v>
      </c>
      <c r="F44" s="3">
        <f>2704.1+(141.9-999.5)+(-8.274546+(-0.434214--3.05847))+0--188-0.575280000000022</f>
        <v>2028.2744299999999</v>
      </c>
      <c r="G44" s="3">
        <f>2700.7+(107.1-1028.7)+(-9.641499+(-0.382347--3.672459))+0--186.3-0.665091000000003</f>
        <v>1958.3835219999999</v>
      </c>
      <c r="H44" s="3">
        <f>2634.6+(103.7-986.1)+(-1.343646+(-0.052887--0.502911))+0--182.9-0.0932789999999814</f>
        <v>1934.1130989999999</v>
      </c>
      <c r="I44" s="3">
        <f>2456.3+(102.9-885.7)+(-1.252713+(-0.052479--0.451707))+0--178.5-0.0910349999999819</f>
        <v>1851.05548</v>
      </c>
      <c r="J44" s="3">
        <f>2450.8+(100.6-910.8)+(-2.499816+(-0.102612--0.929016))+0--177.1-0.180642000000028</f>
        <v>1815.8459460000001</v>
      </c>
      <c r="K44" s="3">
        <f>2400+(99.2-879.1)+(-6.12+(-0.25296--2.241705))+0--165.1-0.421004999999976</f>
        <v>1780.6477399999999</v>
      </c>
      <c r="L44" s="3">
        <f>2384.1+(94.1-918)+(-7.295346+(-0.287946--2.80908))+0--123.9-0.379134000000014</f>
        <v>1678.9466539999999</v>
      </c>
      <c r="M44" s="3">
        <f>2535.7+(109.7-1105.2)+(1.293207+(0.055947-0.563652))+0--122.1--0.0622709999999876</f>
        <v>1663.1477729999997</v>
      </c>
      <c r="N44" s="3">
        <f>2835+(117.4-1340.5)+(0+(0-0))+0--136.5-0</f>
        <v>1748.4</v>
      </c>
      <c r="O44" s="3">
        <f>2989.6+(156.8-1525.4)+(-4.574088+(-0.239904--2.333862))+0--166.7-0.25505100000001</f>
        <v>1784.9648189999998</v>
      </c>
      <c r="P44" s="3">
        <f>3070.6+(163-1551.8)+(0+(0-0))+0--166.4-0</f>
        <v>1848.2</v>
      </c>
      <c r="Q44" s="3">
        <f>3042.3+(161.1-1463.9)+(-6.206292+(-0.328644--2.986356))+0--165.2-0.337007999999993</f>
        <v>1900.8144120000002</v>
      </c>
      <c r="R44" s="3">
        <f>2810.7+(192.5-1153)+(-1.433457+(-0.098175--0.58803))+0--162.3-0.0827729999999835</f>
        <v>2011.4736249999996</v>
      </c>
      <c r="S44" s="3">
        <f>2732.5+(170.2-1027.7)+(-5.5743+(-0.347208--2.096508))+0--166.1-0.338843999999993</f>
        <v>2036.936156</v>
      </c>
      <c r="T44" s="3">
        <f>2703.5+(182.6-877.5)+(-5.51514+(-0.372504--1.7901))+0--171.5-0.349859999999993</f>
        <v>2175.6525960000004</v>
      </c>
      <c r="U44" s="3">
        <f>2392.8+(274-670.9)+(-3.660984+(-0.41922--1.026477))+0--165.5-0.25321500000001</f>
        <v>2158.0930579999999</v>
      </c>
      <c r="V44" s="3">
        <f>2073.1+(242.2-476.6)+(-3.171843+(-0.370566--0.729198))+0--161.4-0.246942000000009</f>
        <v>1997.039847</v>
      </c>
      <c r="W44" s="3">
        <f>2075.4+(252.9-474.9)+(0+(0-0))+0--160.1-0</f>
        <v>2013.5</v>
      </c>
      <c r="X44" s="3">
        <f>2103+(210.1-551.3)+(-4.29012+(-0.428604--1.124652))+0--155.1-0.316403999999993</f>
        <v>1912.9895240000001</v>
      </c>
      <c r="Y44" s="3">
        <f>2095.2+(249.2-546.4)+(1.068552+(0.127092-0.278664))+0--157.2--0.080171999999984</f>
        <v>1956.1971519999997</v>
      </c>
      <c r="Z44" s="3">
        <f>2198.2+(464.3-579.4)+(-5.60541+(-1.183965--1.47747))+0--162.2-0.413609999999976</f>
        <v>2239.5744849999996</v>
      </c>
      <c r="AA44" s="3">
        <f>2117.9+(513.2-551.2)+(-5.400645+(-1.30866--1.40556))+0--164.1-0.418454999999976</f>
        <v>2238.2777999999998</v>
      </c>
      <c r="AB44" s="3">
        <f>2068.7+(503.7-514.6)+(-1.055037+(-0.256887--0.262446))+0--170-0.0866999999999827</f>
        <v>2226.663822</v>
      </c>
      <c r="AC44" s="3">
        <f>2041.1+(503.3-496.5)+(-1.040961+(-0.256683--0.253215))+0--174.8-0.0891479999999823</f>
        <v>2221.5664229999998</v>
      </c>
      <c r="AD44">
        <f t="shared" si="0"/>
        <v>47180.758363000001</v>
      </c>
      <c r="AE44" s="3">
        <f>2299.5+(386.9-654.8)+(0+(0-0))+0--162.8-0</f>
        <v>2194.4</v>
      </c>
    </row>
    <row r="45" spans="1:31" s="2" customFormat="1" x14ac:dyDescent="0.25">
      <c r="A45">
        <v>89</v>
      </c>
      <c r="B45">
        <v>2</v>
      </c>
      <c r="C45">
        <v>14</v>
      </c>
      <c r="D45">
        <v>4</v>
      </c>
      <c r="E45">
        <v>1</v>
      </c>
      <c r="F45" s="3">
        <f>2042.8+(401.3-524.8)+(-4.167312+(-0.818652--1.070592))+0--177.6-0.362303999999992</f>
        <v>2092.6223240000004</v>
      </c>
      <c r="G45" s="3">
        <f>2045.9+(352.4-559.7)+(-4.173636+(-0.718896--1.141788))+0--177-0.361079999999992</f>
        <v>2011.4881760000001</v>
      </c>
      <c r="H45" s="3">
        <f>2043.8+(268.8-536.3)+(-3.127014+(-0.411264--0.820539))+0--174.7-0.26729100000001</f>
        <v>1948.0149699999999</v>
      </c>
      <c r="I45" s="3">
        <f>2045.6+(219.8-543.5)+(1.043256+(0.112098-0.277185))+0--173.3--0.0883829999999824</f>
        <v>1896.1665519999999</v>
      </c>
      <c r="J45" s="3">
        <f>2173+(127.3-607.3)+(4.43292+(0.259692-1.238892))+0--173.1--0.353123999999992</f>
        <v>1869.9068439999999</v>
      </c>
      <c r="K45" s="3">
        <f>2335.9+(106.6-764)+(-1.191309+(-0.054366--0.38964))+0--174.5-0.0889949999999823</f>
        <v>1852.0549699999999</v>
      </c>
      <c r="L45" s="3">
        <f>2205.1+(123.5-748)+(-5.623005+(-0.314925--1.9074))+0--166.4-0.424319999999976</f>
        <v>1742.5451499999999</v>
      </c>
      <c r="M45" s="3">
        <f>2047.8+(141.5-640.8)+(0+(0-0))+0--154.8-0</f>
        <v>1703.3</v>
      </c>
      <c r="N45" s="3">
        <f>2166.4+(140.1-656.8)+(-2.209728+(-0.142902--0.669936))+0--155.2-0.158304000000025</f>
        <v>1803.0590020000002</v>
      </c>
      <c r="O45" s="3">
        <f>2198.4+(152.4-645.3)+(2.242368+(0.155448-0.658206))+0--156.2--0.159324000000025</f>
        <v>1863.5989340000001</v>
      </c>
      <c r="P45" s="3">
        <f>2417.4+(168.8-806.6)+(-3.698622+(-0.258264--1.234098))+0--165.4-0.25306200000001</f>
        <v>1942.0241500000002</v>
      </c>
      <c r="Q45" s="3">
        <f>2418.2+(174.1-736.3)+(-2.466564+(-0.177582--0.751026))+0--165-0.168300000000026</f>
        <v>2018.93858</v>
      </c>
      <c r="R45" s="3">
        <f>2412.7+(166.9-662.5)+(-4.921908+(-0.340476--1.3515))+0--170.1-0.347003999999993</f>
        <v>2082.9421119999997</v>
      </c>
      <c r="S45" s="3">
        <f>2443.5+(172.7-654)+(0+(0-0))+0--175.1-0</f>
        <v>2137.3000000000002</v>
      </c>
      <c r="T45" s="3">
        <f>2468.9+(243.5-687.7)+(2.518278+(0.24837-0.701454))+0--179.9--0.183498000000029</f>
        <v>2206.848692</v>
      </c>
      <c r="U45" s="3">
        <f>2430+(246.3-660.2)+(-1.2393+(-0.125613--0.336702))+0--182.9-0.0932789999999814</f>
        <v>2197.8785099999996</v>
      </c>
      <c r="V45" s="3">
        <f>2489+(124.5-656.8)+(-2.53878+(-0.12699--0.669936))+0--165.9-0.169218000000026</f>
        <v>2120.4349480000001</v>
      </c>
      <c r="W45" s="3">
        <f>2494.8+(140.8-750.8)+(-5.089392+(-0.287232--1.531632))+0--158.9-0.324155999999993</f>
        <v>2039.5308520000003</v>
      </c>
      <c r="X45" s="3">
        <f>2293.9+(187.3-790.8)+(-5.849445+(-0.477615--2.01654))+0--202-0.515099999999971</f>
        <v>1887.57438</v>
      </c>
      <c r="Y45" s="3">
        <f>2498.6+(146.8-845.1)+(-2.548572+(-0.149736--0.862002))+0--164.1-0.167382000000026</f>
        <v>1962.3963119999999</v>
      </c>
      <c r="Z45" s="3">
        <f>2897.5+(162.7-1062.6)+(-5.9109+(-0.331908--2.167704))+0--168.9-0.344555999999993</f>
        <v>2162.08034</v>
      </c>
      <c r="AA45" s="3">
        <f>2938.4+(137.8-1008)+(-2.997168+(-0.140556--1.02816))+0--173.2-0.176664000000028</f>
        <v>2239.1137719999997</v>
      </c>
      <c r="AB45" s="3">
        <f>2974.9+(146-1135.9)+(-4.551597+(-0.22338--1.737927))+0--171.4-0.26224200000001</f>
        <v>2153.1007080000004</v>
      </c>
      <c r="AC45" s="3">
        <f>2784.8+(139.5-954.4)+(-2.840496+(-0.14229--0.973488))+0--169.5-0.172890000000027</f>
        <v>2137.2178120000003</v>
      </c>
      <c r="AD45">
        <f t="shared" si="0"/>
        <v>48070.138089999993</v>
      </c>
      <c r="AE45" s="3">
        <f>3122+(161-1202)+(0+(0-0))+0--174-0</f>
        <v>2255</v>
      </c>
    </row>
    <row r="46" spans="1:31" s="2" customFormat="1" x14ac:dyDescent="0.25">
      <c r="A46">
        <v>89</v>
      </c>
      <c r="B46">
        <v>2</v>
      </c>
      <c r="C46">
        <v>15</v>
      </c>
      <c r="D46">
        <v>5</v>
      </c>
      <c r="E46">
        <v>1</v>
      </c>
      <c r="F46" s="3">
        <f>2771.5+(124.4-969.8)+(-1.413465+(-0.063444--0.494598))+0--170.8-0.0871079999999827</f>
        <v>2095.8305809999997</v>
      </c>
      <c r="G46" s="3">
        <f>2657.4+(113.6-907.3)+(-4.065822+(-0.173808--1.388169))+0--168.8-0.25826400000001</f>
        <v>2029.3902750000002</v>
      </c>
      <c r="H46" s="3">
        <f>2332.7+(160.3-669.4)+(-2.379354+(-0.163506--0.682788))+0--123.3-0.12576600000002</f>
        <v>1944.9141619999998</v>
      </c>
      <c r="I46" s="3">
        <f>2339.8+(130.1-694.2)+(-4.773192+(-0.265404--1.416168))+0--114-0.232559999999995</f>
        <v>1885.8450120000005</v>
      </c>
      <c r="J46" s="3">
        <f>2343.2+(109.7-719.3)+(1.195032+(0.055947-0.366843))+0--112.1--0.0571709999999886</f>
        <v>1846.6413069999996</v>
      </c>
      <c r="K46" s="3">
        <f>2344.2+(109.6-757.1)+(1.195542+(0.055896-0.386121))+0--109--0.0555899999999889</f>
        <v>1806.6209069999998</v>
      </c>
      <c r="L46" s="3">
        <f>2306.2+(115.6-836.1)+(-4.704648+(-0.235824--1.705644))+0--148.5-0.302939999999993</f>
        <v>1730.6622319999997</v>
      </c>
      <c r="M46" s="3">
        <f>2299.1+(132.7-844)+(0+(0-0))+0--97.7-0</f>
        <v>1685.5</v>
      </c>
      <c r="N46" s="3">
        <f>2598.7+(150.8-1046.3)+(-1.325337+(-0.076908--0.533613))+0--100.5-0.0512549999999898</f>
        <v>1802.7801129999998</v>
      </c>
      <c r="O46" s="3">
        <f>2783.8+(162.4-1190.3)+(0+(0-0))+0--117-0</f>
        <v>1872.9000000000003</v>
      </c>
      <c r="P46" s="3">
        <f>2802.9+(170.3-1177.7)+(-2.858958+(-0.173706--1.201254))+0--119.5-0.121890000000019</f>
        <v>1913.0466999999999</v>
      </c>
      <c r="Q46" s="3">
        <f>2844.2+(174-1264.1)+(-2.901084+(-0.17748--1.289382))+0--147.7-0.150654000000024</f>
        <v>1899.8601639999999</v>
      </c>
      <c r="R46" s="3">
        <f>2832.9+(170.8-1230.7)+(-2.889558+(-0.174216--1.255314))+0--168-0.171360000000027</f>
        <v>1939.02018</v>
      </c>
      <c r="S46" s="3">
        <f>2872.4+(154.4-1231.5)+(1.464924+(0.078744-0.628065))+0--173.7--0.0885869999999824</f>
        <v>1970.0041900000001</v>
      </c>
      <c r="T46" s="3">
        <f>2880.7+(153.3-1179)+(4.407471+(0.234549-1.80387))+0--180.5--0.27616500000001</f>
        <v>2038.6143149999998</v>
      </c>
      <c r="U46" s="3">
        <f>2917.2+(158.1-1192.8)+(-2.975544+(-0.161262--1.216656))+0--180.8-0.184416000000029</f>
        <v>2061.1954339999998</v>
      </c>
      <c r="V46" s="3">
        <f>2880.7+(163.9-1157.1)+(-4.407471+(-0.250767--1.770363))+0--177.2-0.27111600000001</f>
        <v>2061.541009</v>
      </c>
      <c r="W46" s="3">
        <f>2746.8+(168.1-1096.6)+(-4.202604+(-0.257193--1.677798))+0--167.7-0.25658100000001</f>
        <v>1982.9614200000001</v>
      </c>
      <c r="X46" s="3">
        <f>2734.9+(174.7-1118.6)+(-6.973995+(-0.445485--2.85243))+0--163.9-0.417944999999976</f>
        <v>1949.9150050000003</v>
      </c>
      <c r="Y46" s="3">
        <f>2520.8+(185.3-996.2)+(-2.571216+(-0.189006--1.016124))+0--162-0.165240000000026</f>
        <v>1869.9906620000002</v>
      </c>
      <c r="Z46" s="3">
        <f>3122.9+(186.1-1327.1)+(-1.592679+(-0.094911--0.676821))+0--170.6-0.0870059999999827</f>
        <v>2151.4022249999998</v>
      </c>
      <c r="AA46" s="3">
        <f>3244.8+(179.1-1433.5)+(-8.27424+(-0.456705--3.655425))+0--172-0.438599999999975</f>
        <v>2156.8858800000003</v>
      </c>
      <c r="AB46" s="3">
        <f>3224.1+(158.8-1427)+(-3.288582+(-0.161976--1.45554))+0--174.6-0.178092000000028</f>
        <v>2128.3268899999998</v>
      </c>
      <c r="AC46" s="3">
        <f>2972.6+(145.2-1271.5)+(-4.548078+(-0.222156--1.945395))+26.5--180.8-0.27662400000001</f>
        <v>2050.4985369999999</v>
      </c>
      <c r="AD46">
        <f t="shared" si="0"/>
        <v>46874.347199999997</v>
      </c>
      <c r="AE46" s="3">
        <f>3230+(189.4-1361.3)+(0+(0-0))+0--171.6-0</f>
        <v>2229.7000000000003</v>
      </c>
    </row>
    <row r="47" spans="1:31" s="2" customFormat="1" x14ac:dyDescent="0.25">
      <c r="A47">
        <v>89</v>
      </c>
      <c r="B47">
        <v>2</v>
      </c>
      <c r="C47">
        <v>16</v>
      </c>
      <c r="D47">
        <v>6</v>
      </c>
      <c r="E47">
        <v>1</v>
      </c>
      <c r="F47" s="3">
        <f>2863.7+(122.2-1160.6)+(0+(0-0))+0--181-0</f>
        <v>2006.3</v>
      </c>
      <c r="G47" s="3">
        <f>2870.8+(114.8-1201)+(0+(0-0))+0--181.2-0</f>
        <v>1965.8000000000002</v>
      </c>
      <c r="H47" s="3">
        <f>2793.2+(110.7-1169.5)+(0+(0-0))+0--178.1-0</f>
        <v>1912.4999999999998</v>
      </c>
      <c r="I47" s="3">
        <f>2737+(114.8-1160.1)+(0+(0-0))+0--175.3-0</f>
        <v>1867</v>
      </c>
      <c r="J47" s="3">
        <f>2525+(117.7-1023.2)+(0+(0-0))+0--170.6-0</f>
        <v>1790.1</v>
      </c>
      <c r="K47" s="3">
        <f>2439.5+(121.3-952.5)+(0+(0-0))+0--166.4-0</f>
        <v>1774.7</v>
      </c>
      <c r="L47" s="3">
        <f>2230.6+(133.2-833.2)+(0+(0-0))+0--130.4-0</f>
        <v>1661</v>
      </c>
      <c r="M47" s="3">
        <f>2243.6+(163.1-868.7)+(0+(0-0))+0--110.2-0</f>
        <v>1648.2</v>
      </c>
      <c r="N47" s="3">
        <f>2455.6+(155.1-961.4)+(0+(0-0))+0--112.1-0</f>
        <v>1761.3999999999999</v>
      </c>
      <c r="O47" s="3">
        <f>2683.4+(170.3-1128.2)+(0+(0-0))+0--116.5-0</f>
        <v>1842</v>
      </c>
      <c r="P47" s="3">
        <f>2670.6+(172.6-1091.7)+(0+(0-0))+0--117.2-0</f>
        <v>1868.7</v>
      </c>
      <c r="Q47" s="3">
        <f>2674.9+(166.3-1080.8)+(0+(0-0))+0--120.6-0</f>
        <v>1881</v>
      </c>
      <c r="R47" s="3">
        <f>2666+(163.1-1140.3)+(1.35966+(0.083181-0.581553))+0--165.2--0.0842519999999832</f>
        <v>1854.9455400000002</v>
      </c>
      <c r="S47" s="3">
        <f>2710.8+(137.8-1137.2)+(0+(0-0))+0--169.4-0</f>
        <v>1880.8000000000002</v>
      </c>
      <c r="T47" s="3">
        <f>2631.7+(148.9-1042.8)+(-2.684334+(-0.151878--1.063656))+0--168.6-0.171972000000027</f>
        <v>1904.4554719999996</v>
      </c>
      <c r="U47" s="3">
        <f>2694.7+(131.6-1048.9)+(-4.122891+(-0.201348--1.604817))+0--169.3-0.25902900000001</f>
        <v>1943.7215489999996</v>
      </c>
      <c r="V47" s="3">
        <f>2646.7+(133.4-1018.2)+(-6.749085+(-0.34017--2.59641))+0--166.3-0.424064999999976</f>
        <v>1923.2830899999997</v>
      </c>
      <c r="W47" s="3">
        <f>2280.6+(132.9-780.8)+(-3.489318+(-0.203337--1.194624))+0--153.1-0.234243000000009</f>
        <v>1783.0677259999995</v>
      </c>
      <c r="X47" s="3">
        <f>2054.4+(161.2-693)+(-2.095488+(-0.164424--0.70686))+0--146.5-0.149430000000023</f>
        <v>1667.3975180000002</v>
      </c>
      <c r="Y47" s="3">
        <f>2238.6+(160.2-838)+(-2.283372+(-0.163404--0.85476))+0--150.2-0.153204000000024</f>
        <v>1709.25478</v>
      </c>
      <c r="Z47" s="3">
        <f>2771.1+(168.9-1101)+(-4.239783+(-0.258417--1.68453))+0--160.1-0.244953000000009</f>
        <v>1996.041377</v>
      </c>
      <c r="AA47" s="3">
        <f>2797.9+(167.3-1144.5)+(-5.707716+(-0.341292--2.33478))+0--162.8-0.332111999999993</f>
        <v>1979.4536599999999</v>
      </c>
      <c r="AB47" s="3">
        <f>2670.5+(153.2-1091.4)+(1.361955+(0.078132-0.556614))+0--161.3--0.0822629999999836</f>
        <v>1894.565736</v>
      </c>
      <c r="AC47" s="3">
        <f>2711.2+(144.8-1114.2)+(-2.765424+(-0.147696--1.136484))+0--166.8-0.170136000000027</f>
        <v>1906.6532279999997</v>
      </c>
      <c r="AD47">
        <f t="shared" si="0"/>
        <v>44422.339676000003</v>
      </c>
      <c r="AE47" s="3">
        <f>2907+(171.1-1195.5)+(0+(0-0))+0--162.7-0</f>
        <v>2045.3</v>
      </c>
    </row>
    <row r="48" spans="1:31" s="2" customFormat="1" x14ac:dyDescent="0.25">
      <c r="A48">
        <v>89</v>
      </c>
      <c r="B48">
        <v>2</v>
      </c>
      <c r="C48">
        <v>17</v>
      </c>
      <c r="D48">
        <v>7</v>
      </c>
      <c r="E48">
        <v>1</v>
      </c>
      <c r="F48" s="3">
        <f>2724.5+(127.6-996.3)+(-2.77899+(-0.130152--1.016226))+0--170.3-0.173706000000027</f>
        <v>2024.0333780000001</v>
      </c>
      <c r="G48" s="3">
        <f>2741.4+(119.8-1064.2)+(-4.194342+(-0.183294--1.628226))+0--169.8-0.25979400000001</f>
        <v>1963.790796</v>
      </c>
      <c r="H48" s="3">
        <f>2582.8+(114.2-974)+(-5.268912+(-0.232968--1.98696))+0--165-0.336599999999993</f>
        <v>1884.1484800000001</v>
      </c>
      <c r="I48" s="3">
        <f>2411.1+(111.8-864.6)+(-1.229661+(-0.057018--0.440946))+0--158.9-0.0810389999999839</f>
        <v>1816.2732279999998</v>
      </c>
      <c r="J48" s="3">
        <f>2407.2+(116.3-905.4)+(-3.683016+(-0.177939--1.385262))+0--157.2-0.240516000000009</f>
        <v>1772.5837909999998</v>
      </c>
      <c r="K48" s="3">
        <f>2413+(122.8-958.5)+(0+(0-0))+0--154.7-0</f>
        <v>1732</v>
      </c>
      <c r="L48" s="3">
        <f>2218+(104.4-829.2)+(-4.52472+(-0.212976--1.691568))+0--124.5-0.253979999999995</f>
        <v>1614.3998919999999</v>
      </c>
      <c r="M48" s="3">
        <f>2207.4+(106.1-810.8)+(-2.251548+(-0.108222--0.827016))+0--98.4-0.100368000000016</f>
        <v>1599.4668780000002</v>
      </c>
      <c r="N48" s="3">
        <f>2311.3+(119-863.5)+(-3.536289+(-0.18207--1.321155))+0--101.3-0.154989000000006</f>
        <v>1665.5478069999999</v>
      </c>
      <c r="O48" s="3">
        <f>2413.4+(128.4-914.6)+(0+(0-0))+0--103.7-0</f>
        <v>1730.9</v>
      </c>
      <c r="P48" s="3">
        <f>2620.5+(129.4-1055.1)+(-1.336455+(-0.065994--0.538101))+0--103-0.0525299999999896</f>
        <v>1796.8831220000002</v>
      </c>
      <c r="Q48" s="3">
        <f>2646+(129.6-1052.5)+(0+(0-0))+0--102.6-0</f>
        <v>1825.6999999999998</v>
      </c>
      <c r="R48" s="3">
        <f>2626.7+(123.7-959.6)+(0+(0-0))+0--105-0</f>
        <v>1895.7999999999997</v>
      </c>
      <c r="S48" s="3">
        <f>2634.4+(182.9-976.8)+(0+(0-0))+0--106.2-0</f>
        <v>1946.7</v>
      </c>
      <c r="T48" s="3">
        <f>2700.9+(236.1-1014.9)+(0+(0-0))+0--109.7-0</f>
        <v>2031.8000000000002</v>
      </c>
      <c r="U48" s="3">
        <f>2643.6+(267.6-953.4)+(0+(0-0))+0--111.4-0</f>
        <v>2069.1999999999998</v>
      </c>
      <c r="V48" s="3">
        <f>2313.5+(276.8-719.4)+(-5.899425+(-0.70584--1.83447))+0--146.4-0.373319999999979</f>
        <v>2012.1558850000004</v>
      </c>
      <c r="W48" s="3">
        <f>2289.8+(124.1-664.2)+(-3.503394+(-0.189873--1.016226))+0--140.6-0.215118000000008</f>
        <v>1887.4078410000002</v>
      </c>
      <c r="X48" s="3">
        <f>2294.2+(131.4-791.9)+(-2.340084+(-0.134028--0.807738))+0--136-0.138720000000022</f>
        <v>1767.894906</v>
      </c>
      <c r="Y48" s="3">
        <f>2312.4+(137.8-799.7)+(-2.358648+(-0.140556--0.815694))+0--134.6-0.137292000000021</f>
        <v>1783.2791979999997</v>
      </c>
      <c r="Z48" s="3">
        <f>2643.9+(166-892.7)+(-6.741945+(-0.4233--2.276385))+0--145.2-0.370259999999979</f>
        <v>2057.1408799999999</v>
      </c>
      <c r="AA48" s="3">
        <f>2789.5+(161.8-1024)+(-2.84529+(-0.165036--1.04448))+0--151.8-0.154836000000024</f>
        <v>2076.9793179999997</v>
      </c>
      <c r="AB48" s="3">
        <f>2846.2+(160.6-1086.3)+(-4.354686+(-0.245718--1.662039))+0--155.2-0.237456000000009</f>
        <v>2072.524179</v>
      </c>
      <c r="AC48" s="3">
        <f>2866.9+(148.3-1087.3)+(-1.462119+(-0.075633--0.554523))+0--161.4-0.0823139999999836</f>
        <v>2088.2344570000005</v>
      </c>
      <c r="AD48">
        <f t="shared" si="0"/>
        <v>45114.844035999995</v>
      </c>
      <c r="AE48" s="3">
        <f>2774+(161.9-1017)+(0+(0-0))+0--150.8-0</f>
        <v>2069.7000000000003</v>
      </c>
    </row>
    <row r="49" spans="1:31" s="2" customFormat="1" x14ac:dyDescent="0.25">
      <c r="A49">
        <v>89</v>
      </c>
      <c r="B49">
        <v>2</v>
      </c>
      <c r="C49">
        <v>18</v>
      </c>
      <c r="D49">
        <v>1</v>
      </c>
      <c r="E49">
        <v>1</v>
      </c>
      <c r="F49" s="3">
        <f>2897.5+(159.6-1142.3)+(-4.433175+(-0.244188--1.747719))+0--165.9-0.25382700000001</f>
        <v>2077.516529</v>
      </c>
      <c r="G49" s="3">
        <f>2941+(153.3-1261.9)+(-1.49991+(-0.078183--0.643569))+0--165.4-0.0843539999999832</f>
        <v>1996.7811219999999</v>
      </c>
      <c r="H49" s="3">
        <f>2882.7+(151.1-1270.9)+(-2.940354+(-0.154122--1.296318))+0--162.1-0.165342000000026</f>
        <v>1923.0364999999995</v>
      </c>
      <c r="I49" s="3">
        <f>2879.4+(154.1-1321)+(-1.468494+(-0.078591--0.67371))+0--160.3-0.0817529999999837</f>
        <v>1871.8448720000001</v>
      </c>
      <c r="J49" s="3">
        <f>2884.1+(152.9-1361.4)+(1.470891+(0.077979-0.694314))+0--161.1--0.0821609999999837</f>
        <v>1837.6367169999999</v>
      </c>
      <c r="K49" s="3">
        <f>2803.5+(162.4-1332)+(-2.85957+(-0.165648--1.35864))+0--158.9-0.162078000000025</f>
        <v>1790.971344</v>
      </c>
      <c r="L49" s="3">
        <f>2452.3+(180-1096)+(-1.250673+(-0.0918--0.55896))+0--146.2-0.0745619999999852</f>
        <v>1681.6419250000001</v>
      </c>
      <c r="M49" s="3">
        <f>2703.4+(171.2-1327.2)+(0+(0-0))+0--143.4-0</f>
        <v>1690.8000000000002</v>
      </c>
      <c r="N49" s="3">
        <f>2947.3+(202-1431.1)+(-4.509369+(-0.30906--2.189583))+0--150.9-0.230877000000009</f>
        <v>1866.2402770000003</v>
      </c>
      <c r="O49" s="3">
        <f>3027.3+(217.2-1475.8)+(0+(0-0))+0--152-0</f>
        <v>1920.7000000000003</v>
      </c>
      <c r="P49" s="3">
        <f>3075+(234.1-1435.1)+(-3.1365+(-0.238782--1.463802))+0--152.7-0.155754000000024</f>
        <v>2024.6327659999999</v>
      </c>
      <c r="Q49" s="3">
        <f>3065.8+(230.6-1382.8)+(-3.127116+(-0.235212--1.410456))+0--154.1-0.157182000000025</f>
        <v>2065.5909460000003</v>
      </c>
      <c r="R49" s="3">
        <f>2928.4+(203.9-1203.7)+(-1.493484+(-0.103989--0.613887))+0--155-0.0790499999999843</f>
        <v>2082.5373640000003</v>
      </c>
      <c r="S49" s="3">
        <f>2925.8+(186.3-1113.1)+(-4.476474+(-0.285039--1.703043))+0--159.8-0.244494000000009</f>
        <v>2155.4970360000002</v>
      </c>
      <c r="T49" s="3">
        <f>2912.1+(189-1037.8)+(-4.455513+(-0.28917--1.587834))+0--145.1-0.222003000000008</f>
        <v>2205.0211480000003</v>
      </c>
      <c r="U49" s="3">
        <f>2915.7+(190.2-1014.6)+(-5.948028+(-0.388008--2.069784))+0--144.4-0.294575999999994</f>
        <v>2231.1391720000001</v>
      </c>
      <c r="V49" s="3">
        <f>2896.4+(196.1-1033.7)+(-2.954328+(-0.200022--1.054374))+0--144.7-0.147594000000023</f>
        <v>2201.25243</v>
      </c>
      <c r="W49" s="3">
        <f>2882.8+(212.2-1139.5)+(-8.821368+(-0.649332--3.48687))+0--141.2-0.432072000000016</f>
        <v>2090.2840980000001</v>
      </c>
      <c r="X49" s="3">
        <f>2695+(223.6-1066.3)+(-9.62115+(-0.798252--3.806691))+0--176.8-0.631176000000003</f>
        <v>2021.8561130000001</v>
      </c>
      <c r="Y49" s="3">
        <f>2414.8+(225.3-816.9)+(-4.926192+(-0.459612--1.666476))+0--147.1-0.300083999999994</f>
        <v>1966.2805880000003</v>
      </c>
      <c r="Z49" s="3">
        <f>2877+(226.4-1032.6)+(-2.93454+(-0.230928--1.053252))+0--147.5-0.150450000000024</f>
        <v>2216.0373340000001</v>
      </c>
      <c r="AA49" s="3">
        <f>3142+(213.4-1257)+(-4.80726+(-0.326502--1.92321))+0--158.6-0.242658000000009</f>
        <v>2253.5467899999999</v>
      </c>
      <c r="AB49" s="3">
        <f>3075.3+(198-1234.3)+(-6.273612+(-0.40392--2.517972))+0--162.5-0.331499999999993</f>
        <v>2197.0089400000002</v>
      </c>
      <c r="AC49" s="3">
        <f>3093.5+(184.2-1172.1)+(-3.15537+(-0.187884--1.195542))+0--167.9-0.171258000000027</f>
        <v>2271.1810300000006</v>
      </c>
      <c r="AD49">
        <f t="shared" si="0"/>
        <v>48639.035040999996</v>
      </c>
      <c r="AE49" s="3">
        <f>3126+(215-1244.9)+(0+(0-0))+0--156-0</f>
        <v>2252.1</v>
      </c>
    </row>
    <row r="50" spans="1:31" s="2" customFormat="1" x14ac:dyDescent="0.25">
      <c r="A50">
        <v>89</v>
      </c>
      <c r="B50">
        <v>2</v>
      </c>
      <c r="C50">
        <v>19</v>
      </c>
      <c r="D50">
        <v>2</v>
      </c>
      <c r="E50">
        <v>1</v>
      </c>
      <c r="F50" s="3">
        <f>3098.6+(171.5-1195.4)+(-3.160572+(-0.17493--1.219308))+0--172.5-0.175950000000028</f>
        <v>2244.9078559999998</v>
      </c>
      <c r="G50" s="3">
        <f>3062.7+(168.2-1247.3)+(-1.561977+(-0.085782--0.636123))+0--172.5-0.0879749999999825</f>
        <v>2155.0003890000003</v>
      </c>
      <c r="H50" s="3">
        <f>2909.2+(153.7-1162.8)+(0+(0-0))+0--169.2-0</f>
        <v>2069.2999999999997</v>
      </c>
      <c r="I50" s="3">
        <f>2891.5+(159.2-1197.4)+(-1.474665+(-0.081192--0.610674))+0--167.6-0.085475999999983</f>
        <v>2019.8693409999998</v>
      </c>
      <c r="J50" s="3">
        <f>2774.1+(157.9-1131.9)+(-2.829582+(-0.161058--1.154538))+0--163.4-0.166668000000026</f>
        <v>1961.4972299999999</v>
      </c>
      <c r="K50" s="3">
        <f>2671.2+(165.1-1073.1)+(-6.81156+(-0.421005--2.736405))+0--157-0.400349999999977</f>
        <v>1915.30349</v>
      </c>
      <c r="L50" s="3">
        <f>2416.9+(179.4-986.3)+(-6.163095+(-0.45747--2.515065))+0--144.4-0.368219999999979</f>
        <v>1749.9262800000001</v>
      </c>
      <c r="M50" s="3">
        <f>2742.7+(166.7-1281.6)+(-2.797554+(-0.170034--1.307232))+0--145.5-0.148410000000023</f>
        <v>1771.4912339999998</v>
      </c>
      <c r="N50" s="3">
        <f>3005.1+(218.5-1446.3)+(-4.597803+(-0.334305--2.212839))+0--152.5-0.233325000000009</f>
        <v>1926.8474060000001</v>
      </c>
      <c r="O50" s="3">
        <f>2969.7+(220.3-1361.3)+(-1.514547+(-0.112353--0.694263))+0--150.2-0.0766019999999848</f>
        <v>1977.8907609999997</v>
      </c>
      <c r="P50" s="3">
        <f>3024.8+(219.1-1315.3)+(0+(0-0))+0--147.5-0</f>
        <v>2076.1000000000004</v>
      </c>
      <c r="Q50" s="3">
        <f>3043.9+(211.5-1267.8)+(-1.552389+(-0.107865--0.646578))+0--163.2-0.0832319999999834</f>
        <v>2149.7030920000002</v>
      </c>
      <c r="R50" s="3">
        <f>3030.3+(203.9-1183.6)+(-3.090906+(-0.207978--1.207272))+0--165.9-0.169218000000026</f>
        <v>2214.2391700000003</v>
      </c>
      <c r="S50" s="3">
        <f>3013.1+(182.7-1086.6)+(-4.610043+(-0.279531--1.662498))+0--167.8-0.25673400000001</f>
        <v>2273.5161899999998</v>
      </c>
      <c r="T50" s="3">
        <f>3029.4+(179.9-1022.3)+(-3.089988+(-0.183498--1.042746))+0--176.2-0.179724000000028</f>
        <v>2360.7895359999998</v>
      </c>
      <c r="U50" s="3">
        <f>3043.1+(181.8-1019.8)+(-7.759905+(-0.46359--2.60049))+0--177-0.451349999999974</f>
        <v>2376.0256450000002</v>
      </c>
      <c r="V50" s="3">
        <f>3042+(185.6-1066.1)+(-3.10284+(-0.189312--1.087422))+0--173.8-0.177276000000028</f>
        <v>2332.9179940000004</v>
      </c>
      <c r="W50" s="3">
        <f>2860.5+(207.3-1031.6)+(-8.75313+(-0.634338--3.156696))+0--163.2-0.499392000000019</f>
        <v>2192.669836</v>
      </c>
      <c r="X50" s="3">
        <f>2560.7+(201.6-891.2)+(-5.223828+(-0.411264--1.818048))+0--149.3-0.304571999999994</f>
        <v>2016.278384</v>
      </c>
      <c r="Y50" s="3">
        <f>2576.9+(205.2-898.1)+(0+(0-0))+0--149.8-0</f>
        <v>2033.8</v>
      </c>
      <c r="Z50" s="3">
        <f>2890.2+(224.4-988.5)+(-5.896008+(-0.457776--2.01654))+0--162.1-0.330683999999993</f>
        <v>2283.532072</v>
      </c>
      <c r="AA50" s="3">
        <f>3043.7+(226.4-1113.5)+(-7.761435+(-0.57732--2.839425))+0--170.7-0.435284999999975</f>
        <v>2321.3653849999996</v>
      </c>
      <c r="AB50" s="3">
        <f>3060+(204.9-1143.4)+(-4.6818+(-0.313497--1.749402))+0--176.5-0.27004500000001</f>
        <v>2294.4840599999998</v>
      </c>
      <c r="AC50" s="3">
        <f>3063.8+(186.2-1135.2)+(-7.81269+(-0.47481--2.89476))+0--182.4-0.465119999999974</f>
        <v>2291.3421400000007</v>
      </c>
      <c r="AD50">
        <f t="shared" si="0"/>
        <v>51008.797491000005</v>
      </c>
      <c r="AE50" s="3">
        <f>3049+(215.5-1083.1)+(0+(0-0))+0--170.7-0</f>
        <v>2352.1</v>
      </c>
    </row>
    <row r="51" spans="1:31" s="2" customFormat="1" x14ac:dyDescent="0.25">
      <c r="A51">
        <v>89</v>
      </c>
      <c r="B51">
        <v>2</v>
      </c>
      <c r="C51">
        <v>20</v>
      </c>
      <c r="D51">
        <v>3</v>
      </c>
      <c r="E51">
        <v>1</v>
      </c>
      <c r="F51" s="3">
        <f>3124.7+(175.2-1223.9)+(-14.342373+(-0.804168--5.617701))+0--187.3-0.859707000000033</f>
        <v>2252.9114530000002</v>
      </c>
      <c r="G51" s="3">
        <f>2885.8+(165-1134.9)+(-13.245822+(-0.75735--5.209191))+0--186.5-0.856035000000032</f>
        <v>2092.7499839999996</v>
      </c>
      <c r="H51" s="3">
        <f>2814.1+(169-1031.7)+(1.435191+(0.08619-0.526167))+0--175.6--0.0895559999999822</f>
        <v>2128.0847699999999</v>
      </c>
      <c r="I51" s="3">
        <f>2738.3+(156.3-1050.9)+(-9.775731+(-0.557991--3.751713))+0--175.4-0.626178000000002</f>
        <v>2011.8918130000002</v>
      </c>
      <c r="J51" s="3">
        <f>2583.1+(125.5-893.5)+(-1.317381+(-0.064005--0.455685))+0--153.4-0.0782339999999844</f>
        <v>1967.496065</v>
      </c>
      <c r="K51" s="3">
        <f>2577.1+(145.9-911.7)+(-6.571605+(-0.372045--2.324835))+0--123.6-0.315179999999982</f>
        <v>1929.9660049999995</v>
      </c>
      <c r="L51" s="3">
        <f>2426.7+(151.5-903.8)+(-3.712851+(-0.231795--1.382814))+0--113.5-0.173655000000007</f>
        <v>1785.1645129999997</v>
      </c>
      <c r="M51" s="3">
        <f>2493.5+(150.3-959.6)+(2.54337+(0.153306-0.978792))+0--115.3--0.117606000000018</f>
        <v>1801.3354899999999</v>
      </c>
      <c r="N51" s="3">
        <f>2682.4+(198.3-1122.1)+(2.736048+(0.202266-1.144542))+0--158.7--0.161874000000025</f>
        <v>1919.2556460000003</v>
      </c>
      <c r="O51" s="3">
        <f>3007.1+(219.5-1367.5)+(-4.600863+(-0.335835--2.092275))+0--164.9-0.25229700000001</f>
        <v>2020.90328</v>
      </c>
      <c r="P51" s="3">
        <f>2977.2+(212-1251)+(-3.036744+(-0.21624--1.27602))+0--163.5-0.166770000000026</f>
        <v>2099.5562660000001</v>
      </c>
      <c r="Q51" s="3">
        <f>3011.3+(204.6-1187.5)+(-1.535763+(-0.104346--0.605625))+0--160.9-0.0820589999999837</f>
        <v>2188.1834570000001</v>
      </c>
      <c r="R51" s="3">
        <f>3045.7+(180-1053.1)+(-4.659921+(-0.2754--1.611243))+0--115.5-0.176715000000007</f>
        <v>2284.5992069999998</v>
      </c>
      <c r="S51" s="3">
        <f>3006.4+(161.7-884.6)+(-3.066528+(-0.164934--0.902292))+0--126-0.12852000000002</f>
        <v>2407.0423099999998</v>
      </c>
      <c r="T51" s="3">
        <f>2986.8+(161.7-831.1)+(-3.046536+(-0.164934--0.847722))+0--131.4-0.134028000000021</f>
        <v>2446.302224</v>
      </c>
      <c r="U51" s="3">
        <f>3060.8+(161.2-916.4)+(0+(0-0))+0--163-0</f>
        <v>2468.6000000000004</v>
      </c>
      <c r="V51" s="3">
        <f>3022.4+(166.3-933.2)+(-7.70712+(-0.424065--2.37966))+0--171.7-0.437834999999975</f>
        <v>2421.0106399999995</v>
      </c>
      <c r="W51" s="3">
        <f>3005.9+(163.1-1061.6)+(-7.665045+(-0.415905--2.70708))+0--163.5-0.416924999999976</f>
        <v>2265.1092050000002</v>
      </c>
      <c r="X51" s="3">
        <f>2613.5+(177.3-829.1)+(-7.99731+(-0.542538--2.537046))+0--148.6-0.454716000000017</f>
        <v>2103.842482</v>
      </c>
      <c r="Y51" s="3">
        <f>2380.5+(191.4-607.4)+(-1.214055+(-0.097614--0.309774))+0--146.4-0.0746639999999851</f>
        <v>2109.8234409999995</v>
      </c>
      <c r="Z51" s="3">
        <f>2715.6+(208.3-698.9)+(-5.539824+(-0.424932--1.425756))+0--157-0.320279999999993</f>
        <v>2377.1407199999999</v>
      </c>
      <c r="AA51" s="3">
        <f>2885.5+(212-846.2)+(-8.82963+(-0.64872--2.589372))+0--162.6-0.497556000000019</f>
        <v>2406.5134660000003</v>
      </c>
      <c r="AB51" s="3">
        <f>2865.8+(197.2-824.3)+(-5.846232+(-0.402288--1.681572))+0--166.7-0.340067999999993</f>
        <v>2400.492984</v>
      </c>
      <c r="AC51" s="3">
        <f>2881+(176.6-820.6)+(-4.40793+(-0.270198--1.255518))+0--172.4-0.26377200000001</f>
        <v>2405.7136180000002</v>
      </c>
      <c r="AD51">
        <f t="shared" si="0"/>
        <v>52293.689038999997</v>
      </c>
      <c r="AE51" s="3">
        <f>2950.5+(225.2-874.4)+(0+(0-0))+0--159.3-0</f>
        <v>2460.6000000000004</v>
      </c>
    </row>
    <row r="52" spans="1:31" s="2" customFormat="1" x14ac:dyDescent="0.25">
      <c r="A52">
        <v>89</v>
      </c>
      <c r="B52">
        <v>2</v>
      </c>
      <c r="C52">
        <v>21</v>
      </c>
      <c r="D52">
        <v>4</v>
      </c>
      <c r="E52">
        <v>1</v>
      </c>
      <c r="F52" s="3">
        <f>2901.2+(157.6-901.6)+(-1.479612+(-0.080376--0.459816))+0--173.5-0.0884849999999824</f>
        <v>2329.5113430000001</v>
      </c>
      <c r="G52" s="3">
        <f>3052.1+(154.5-1118.8)+(-3.113142+(-0.15759--1.141176))+0--173.4-0.176868000000028</f>
        <v>2258.8935760000004</v>
      </c>
      <c r="H52" s="3">
        <f>3128.3+(153.7-1258.2)+(-7.977165+(-0.391935--3.20841))+0--172.3-0.439364999999975</f>
        <v>2190.499945</v>
      </c>
      <c r="I52" s="3">
        <f>2988.2+(134.1-1146.2)+(-3.047964+(-0.136782--1.169124))+0--167.4-0.170748000000027</f>
        <v>2141.3136300000001</v>
      </c>
      <c r="J52" s="3">
        <f>2762.8+(134.4-973.3)+(0+(0-0))+0--159.3-0</f>
        <v>2083.2000000000003</v>
      </c>
      <c r="K52" s="3">
        <f>2632.7+(136.3-910.6)+(-5.370708+(-0.278052--1.857624))+0--153.4-0.312935999999993</f>
        <v>2007.6959279999999</v>
      </c>
      <c r="L52" s="3">
        <f>2482.3+(144.1-930.8)+(-3.797919+(-0.220473--1.424124))+0--146.2-0.223686000000008</f>
        <v>1838.9820460000003</v>
      </c>
      <c r="M52" s="3">
        <f>2643.6+(159.3-1099.3)+(0+(0-0))+0--140.3-0</f>
        <v>1843.8999999999999</v>
      </c>
      <c r="N52" s="3">
        <f>2936.2+(192-1297.5)+(2.994924+(0.19584-1.32345))+0--142.8--0.145656000000023</f>
        <v>1975.5129699999998</v>
      </c>
      <c r="O52" s="3">
        <f>3042.1+(204.8-1346.4)+(-1.551471+(-0.104448--0.686664))+0--147-0.0749699999999851</f>
        <v>2046.4557749999999</v>
      </c>
      <c r="P52" s="3">
        <f>3073.1+(195-1285.2)+(3.134562+(0.1989-1.310904))+0--152.5--0.155550000000024</f>
        <v>2137.5781079999997</v>
      </c>
      <c r="Q52" s="3">
        <f>3037+(185.9-1140.4)+(3.09774+(0.189618-1.163208))+0--154.7--0.157794000000025</f>
        <v>2239.4819440000001</v>
      </c>
      <c r="R52" s="3">
        <f>3008.5+(189.6-1011.7)+(-4.603005+(-0.290088--1.547901))+0--158.9-0.243117000000009</f>
        <v>2341.711691</v>
      </c>
      <c r="S52" s="3">
        <f>2992.1+(172.6-898.3)+(-1.525971+(-0.088026--0.458133))+0--165.7-0.0845069999999832</f>
        <v>2430.859629</v>
      </c>
      <c r="T52" s="3">
        <f>2984.4+(186.2-833.9)+(-4.566132+(-0.284886--1.275867))+0--172.8-0.26438400000001</f>
        <v>2505.6604649999999</v>
      </c>
      <c r="U52" s="3">
        <f>2983+(186-802.5)+(-6.08532+(-0.37944--1.6371))+0--175.3-0.357611999999992</f>
        <v>2536.6147280000005</v>
      </c>
      <c r="V52" s="3">
        <f>2977.5+(191.2-874.9)+(-6.0741+(-0.390048--1.784796))+0--173.5-0.353939999999992</f>
        <v>2462.2667080000001</v>
      </c>
      <c r="W52" s="3">
        <f>2911.6+(201.9-925.3)+(-8.909496+(-0.617814--2.831418))+0--164.5-0.503370000000019</f>
        <v>2345.5007379999997</v>
      </c>
      <c r="X52" s="3">
        <f>2451+(253.6-740.4)+(-5.00004+(-0.517344--1.510416))+0--153.7-0.313547999999993</f>
        <v>2113.5794839999999</v>
      </c>
      <c r="Y52" s="3">
        <f>2332.8+(256.2-640)+(-2.379456+(-0.261324--0.6528))+0--146-0.148920000000023</f>
        <v>2092.8631</v>
      </c>
      <c r="Z52" s="3">
        <f>2697.1+(246-706.5)+(-1.375521+(-0.12546--0.360315))+0--156.8-0.0799679999999841</f>
        <v>2392.1793660000003</v>
      </c>
      <c r="AA52" s="3">
        <f>3055.9+(241.7-1009.3)+(-4.675527+(-0.369801--1.544229))+0--165.3-0.25290900000001</f>
        <v>2449.8459920000005</v>
      </c>
      <c r="AB52" s="3">
        <f>3077.1+(218.8-1003.1)+(-4.707963+(-0.334764--1.534743))+0--168.8-0.25826400000001</f>
        <v>2457.8337520000005</v>
      </c>
      <c r="AC52" s="3">
        <f>3079+(187.5-982)+(-6.28116+(-0.3825--2.00328))+0--172.7-0.352307999999992</f>
        <v>2452.187312</v>
      </c>
      <c r="AD52">
        <f t="shared" si="0"/>
        <v>53674.128230000017</v>
      </c>
      <c r="AE52" s="3">
        <f>3052+(220.5-1014.4)+(0+(0-0))+0--163.7-0</f>
        <v>2421.7999999999997</v>
      </c>
    </row>
    <row r="53" spans="1:31" s="2" customFormat="1" x14ac:dyDescent="0.25">
      <c r="A53">
        <v>89</v>
      </c>
      <c r="B53">
        <v>2</v>
      </c>
      <c r="C53">
        <v>22</v>
      </c>
      <c r="D53">
        <v>5</v>
      </c>
      <c r="E53">
        <v>1</v>
      </c>
      <c r="F53" s="3">
        <f>3024.5+(182-848)+(-1.542495+(-0.09282--0.43248))+0--174-0.0887399999999823</f>
        <v>2531.2084249999998</v>
      </c>
      <c r="G53" s="3">
        <f>2989.2+(184.4-882.9)+(-6.097968+(-0.376176--1.801116))+0--172.4-0.351695999999992</f>
        <v>2458.0752759999996</v>
      </c>
      <c r="H53" s="3">
        <f>2992.1+(180.9-911.8)+(-7.629855+(-0.461295--2.32509))+0--173.9-0.443444999999975</f>
        <v>2428.8904950000001</v>
      </c>
      <c r="I53" s="3">
        <f>2867.5+(181-864.8)+(-4.387275+(-0.27693--1.323144))+0--170.4-0.26071200000001</f>
        <v>2350.498227</v>
      </c>
      <c r="J53" s="3">
        <f>2804.5+(168.3-847.2)+(-2.86059+(-0.171666--0.864144))+0--166.2-0.169524000000026</f>
        <v>2289.462364</v>
      </c>
      <c r="K53" s="3">
        <f>2686.7+(158.4-761.3)+(-1.370217+(-0.080784--0.388263))+0--162.4-0.0828239999999835</f>
        <v>2245.0544379999997</v>
      </c>
      <c r="L53" s="3">
        <f>2429.9+(198.3-878)+(-4.956996+(-0.404532--1.79112))+0--128.5-0.262139999999994</f>
        <v>1874.867452</v>
      </c>
      <c r="M53" s="3">
        <f>2692.1+(171.3-998.9)+(-4.118913+(-0.262089--1.528317))+0--73.5-0.112455000000004</f>
        <v>1935.03486</v>
      </c>
      <c r="N53" s="3">
        <f>2895.9+(196.5-1152.2)+(0+(0-0))+0--136.9-0</f>
        <v>2077.1</v>
      </c>
      <c r="O53" s="3">
        <f>3041.6+(227-1245.7)+(-3.102432+(-0.23154--1.270614))+0--108.3-0.110466000000017</f>
        <v>2129.0261759999999</v>
      </c>
      <c r="P53" s="3">
        <f>3066.9+(236.4-1194.1)+(-3.128238+(-0.241128--1.217982))+0--107.7-0.109854000000017</f>
        <v>2214.6387620000005</v>
      </c>
      <c r="Q53" s="3">
        <f>3015.4+(240.8-1037.3)+(0+(0-0))+0--108.2-0</f>
        <v>2327.1</v>
      </c>
      <c r="R53" s="3">
        <f>2986.6+(217.9-831)+(-3.046332+(-0.222258--0.84762))+0--118-0.120360000000019</f>
        <v>2488.95867</v>
      </c>
      <c r="S53" s="3">
        <f>2849.6+(217.4-639.1)+(-2.906592+(-0.221748--0.651882))+0--161.7-0.164934000000026</f>
        <v>2586.9586079999995</v>
      </c>
      <c r="T53" s="3">
        <f>2909.2+(218.4-602.8)+(-1.483692+(-0.111384--0.307428))+0--174.6-0.0890459999999823</f>
        <v>2698.0233059999996</v>
      </c>
      <c r="U53" s="3">
        <f>2959.3+(219.9-630.3)+(-4.527729+(-0.336447--0.964359))+0--175.6-0.26866800000001</f>
        <v>2720.3315149999999</v>
      </c>
      <c r="V53" s="3">
        <f>2948.2+(220.5-697.1)+(-1.503582+(-0.112455--0.355521))+0--171.8-0.0876179999999826</f>
        <v>2642.0518660000002</v>
      </c>
      <c r="W53" s="3">
        <f>2960.1+(216.5-917.4)+(-9.057906+(-0.66249--2.807244))+0--161.8-0.495108000000019</f>
        <v>2413.5917399999998</v>
      </c>
      <c r="X53" s="3">
        <f>2770.3+(265.2-1064)+(-5.651412+(-0.541008--2.17056))+0--152.3-0.310691999999993</f>
        <v>2119.4674480000003</v>
      </c>
      <c r="Y53" s="3">
        <f>2711.3+(240.1-1000.7)+(-4.148289+(-0.367353--1.531071))+0--147.9-0.226287000000009</f>
        <v>2095.3891420000004</v>
      </c>
      <c r="Z53" s="3">
        <f>2860.3+(253.6-818.5)+(-5.835012+(-0.517344--1.66974))+0--156.2-0.318647999999993</f>
        <v>2446.5987359999999</v>
      </c>
      <c r="AA53" s="3">
        <f>3062+(232.5-886.8)+(-6.24648+(-0.4743--1.809072))+0--161.7-0.329867999999993</f>
        <v>2564.1584239999997</v>
      </c>
      <c r="AB53" s="3">
        <f>3086.3+(216-881.9)+(-3.148026+(-0.22032--0.899538))+0--166-0.169320000000026</f>
        <v>2583.761872</v>
      </c>
      <c r="AC53" s="3">
        <f>3096.4+(216.5-915.2)+(-7.89582+(-0.552075--2.33376))+0--172.7-0.440384999999975</f>
        <v>2563.84548</v>
      </c>
      <c r="AD53">
        <f t="shared" si="0"/>
        <v>56784.093282000016</v>
      </c>
      <c r="AE53" s="3">
        <f>3037+(214.3-890.5)+(0+(0-0))+0--160.1-0</f>
        <v>2520.9</v>
      </c>
    </row>
    <row r="54" spans="1:31" s="2" customFormat="1" x14ac:dyDescent="0.25">
      <c r="A54">
        <v>89</v>
      </c>
      <c r="B54">
        <v>2</v>
      </c>
      <c r="C54">
        <v>23</v>
      </c>
      <c r="D54">
        <v>6</v>
      </c>
      <c r="E54">
        <v>1</v>
      </c>
      <c r="F54" s="3">
        <f>3093.3+(204.3-910.7)+(-12.620664+(-0.833544--3.715656))+0--174.7-0.712775999999985</f>
        <v>2551.1486720000003</v>
      </c>
      <c r="G54" s="3">
        <f>3065.6+(197.8-958.7)+(-7.81728+(-0.50439--2.444685))+0--173.6-0.442679999999975</f>
        <v>2471.9803349999997</v>
      </c>
      <c r="H54" s="3">
        <f>2963.6+(196-951.1)+(-1.511436+(-0.09996--0.485061))+0--170.9-0.0871589999999827</f>
        <v>2378.186506</v>
      </c>
      <c r="I54" s="3">
        <f>2809.8+(194.8-896.3)+(-7.16499+(-0.49674--2.285565))+0--171.1-0.436304999999975</f>
        <v>2273.5875299999998</v>
      </c>
      <c r="J54" s="3">
        <f>2432.4+(198.3-677.6)+(0+(0-0))+0--158-0</f>
        <v>2111.1000000000004</v>
      </c>
      <c r="K54" s="3">
        <f>2503.2+(229.5-865.5)+(-6.38316+(-0.585225--2.207025))+0--155.7-0.397034999999977</f>
        <v>2017.7416049999999</v>
      </c>
      <c r="L54" s="3">
        <f>2432.1+(239-1010.3)+(-2.480742+(-0.24378--1.030506))+0--146.2-0.149124000000023</f>
        <v>1805.1568600000001</v>
      </c>
      <c r="M54" s="3">
        <f>2653.3+(194.9-1099.3)+(0+(0-0))+0--149-0</f>
        <v>1897.9</v>
      </c>
      <c r="N54" s="3">
        <f>2911.6+(213.8-1174.5)+(-1.484916+(-0.109038--0.598995))+0--153.9-0.0784889999999844</f>
        <v>2103.7265519999996</v>
      </c>
      <c r="O54" s="3">
        <f>2962.2+(237.6-1172.3)+(0+(0-0))+0--154.2-0</f>
        <v>2181.6999999999998</v>
      </c>
      <c r="P54" s="3">
        <f>2919.6+(247.3-1061.3)+(-2.977992+(-0.252246--1.082526))+0--154.1-0.157182000000025</f>
        <v>2257.3951059999999</v>
      </c>
      <c r="Q54" s="3">
        <f>2921.3+(244.1-862.2)+(0+(0-0))+0--129.3-0</f>
        <v>2432.5000000000005</v>
      </c>
      <c r="R54" s="3">
        <f>2937.4+(235.9-680.9)+(-5.992296+(-0.481236--1.389036))+0--149.1-0.304163999999994</f>
        <v>2636.1113399999999</v>
      </c>
      <c r="S54" s="3">
        <f>2947.5+(285.5-624.8)+(-1.503225+(-0.145605--0.318648))+0--157-0.0800699999999841</f>
        <v>2763.7897479999997</v>
      </c>
      <c r="T54" s="3">
        <f>2919.1+(284.6-580.3)+(-4.466223+(-0.435438--0.887859))+0--161.5-0.247095000000009</f>
        <v>2780.639103</v>
      </c>
      <c r="U54" s="3">
        <f>2888.2+(261.3-551.3)+(-2.945964+(-0.266526--0.562326))+0--162-0.165240000000026</f>
        <v>2757.3845959999999</v>
      </c>
      <c r="V54" s="3">
        <f>2979.3+(214.8-655)+(-7.597215+(-0.54774--1.67025))+0--160.1-0.408254999999977</f>
        <v>2692.3170400000004</v>
      </c>
      <c r="W54" s="3">
        <f>2998.2+(220.6-908.5)+(-4.587246+(-0.337518--1.390005))+0--158.2-0.242046000000009</f>
        <v>2464.7231949999996</v>
      </c>
      <c r="X54" s="3">
        <f>2777.6+(272.8-1033)+(-5.666304+(-0.556512--2.10732))+0--151.8-0.309671999999993</f>
        <v>2164.7748320000001</v>
      </c>
      <c r="Y54" s="3">
        <f>2546.1+(239.7-835.8)+(-5.194044+(-0.488988--1.705032))+0--143.3-0.292331999999994</f>
        <v>2089.0296680000001</v>
      </c>
      <c r="Z54" s="3">
        <f>3039.8+(241.4-887.2)+(-6.201192+(-0.492456--1.809888))+0--157.7-0.321707999999993</f>
        <v>2546.4945319999997</v>
      </c>
      <c r="AA54" s="3">
        <f>3159.4+(239.7-903.5)+(-6.445176+(-0.488988--1.84314))+0--162.5-0.331499999999993</f>
        <v>2652.6774760000008</v>
      </c>
      <c r="AB54" s="3">
        <f>3130+(224.9-884.2)+(-7.9815+(-0.573495--2.25471))+0--165.6-0.422279999999976</f>
        <v>2629.5774350000002</v>
      </c>
      <c r="AC54" s="3">
        <f>3077.6+(222.3-860.2)+(-4.708728+(-0.340119--1.316106))+0--169.8-0.25979400000001</f>
        <v>2605.5074650000001</v>
      </c>
      <c r="AD54">
        <f t="shared" si="0"/>
        <v>57265.149596000003</v>
      </c>
      <c r="AE54" s="3">
        <f>3117+(246.3-944.9)+(0+(0-0))+0--160.6-0</f>
        <v>2579</v>
      </c>
    </row>
    <row r="55" spans="1:31" s="2" customFormat="1" x14ac:dyDescent="0.25">
      <c r="A55">
        <v>89</v>
      </c>
      <c r="B55">
        <v>2</v>
      </c>
      <c r="C55">
        <v>24</v>
      </c>
      <c r="D55">
        <v>7</v>
      </c>
      <c r="E55">
        <v>1</v>
      </c>
      <c r="F55" s="3">
        <f>3105.6+(202.1-893.7)+(-1.583856+(-0.103071--0.455787))+0--176.6-0.0900659999999821</f>
        <v>2589.2787939999998</v>
      </c>
      <c r="G55" s="3">
        <f>3118.5+(200.6-984.5)+(-4.771305+(-0.306918--1.506285))+0--176.5-0.27004500000001</f>
        <v>2507.2580169999997</v>
      </c>
      <c r="H55" s="3">
        <f>3072.7+(180.9-1017.4)+(0+(0-0))+0--175.4-0</f>
        <v>2411.6</v>
      </c>
      <c r="I55" s="3">
        <f>2933.8+(179.3-945.6)+(-2.992476+(-0.182886--0.964512))+0--171.8-0.175236000000027</f>
        <v>2336.9139140000002</v>
      </c>
      <c r="J55" s="3">
        <f>2849.5+(178.9-945.1)+(-1.453245+(-0.091239--0.482001))+0--167.8-0.085577999999983</f>
        <v>2249.951939</v>
      </c>
      <c r="K55" s="3">
        <f>2583.3+(229.7-875.7)+(-15.809796+(-1.405764--5.359284))+0--160.9-0.984707999999979</f>
        <v>2085.3590160000003</v>
      </c>
      <c r="L55" s="3">
        <f>2446.3+(184.6-901.3)+(-9.980904+(-0.753168--3.677304))+0--141.4-0.576911999999988</f>
        <v>1863.3663200000005</v>
      </c>
      <c r="M55" s="3">
        <f>2466.2+(170.9-893.4)+(-1.257762+(-0.087159--0.455634))+0--100.2-0.0511019999999898</f>
        <v>1842.959611</v>
      </c>
      <c r="N55" s="3">
        <f>2622.8+(166.9-973.8)+(-2.675256+(-0.170238--0.993276))+0--100.5-0.102510000000016</f>
        <v>1914.4452720000002</v>
      </c>
      <c r="O55" s="3">
        <f>2647.4+(172.5-888.2)+(-4.050522+(-0.263925--1.358946))+0--104.2-0.159426000000006</f>
        <v>2032.7850730000002</v>
      </c>
      <c r="P55" s="3">
        <f>2772.5+(197.1-944.5)+(-1.413975+(-0.100521--0.481695))+0--110.1-0.0561509999999888</f>
        <v>2134.1110480000002</v>
      </c>
      <c r="Q55" s="3">
        <f>2755+(198.8-805.9)+(-5.6202+(-0.405552--1.644036))+0--113.4-0.231335999999995</f>
        <v>2256.6869480000005</v>
      </c>
      <c r="R55" s="3">
        <f>2843.6+(193-785.1)+(-2.900472+(-0.19686--0.800802))+0--136.5-0.139230000000022</f>
        <v>2385.5642399999997</v>
      </c>
      <c r="S55" s="3">
        <f>2901.9+(184.2-722.8)+(-5.919876+(-0.375768--1.474512))+0--171.2-0.349247999999993</f>
        <v>2529.32962</v>
      </c>
      <c r="T55" s="3">
        <f>2840.9+(182.2-597.2)+(0+(0-0))+0--176.5-0</f>
        <v>2602.4</v>
      </c>
      <c r="U55" s="3">
        <f>2903.8+(185.1-667)+(-2.961876+(-0.188802--0.68034))+0--180.6-0.184212000000029</f>
        <v>2599.8454499999998</v>
      </c>
      <c r="V55" s="3">
        <f>2958.1+(204.3-814.7)+(-7.543155+(-0.520965--2.077485))+0--179.1-0.456704999999974</f>
        <v>2520.3566599999995</v>
      </c>
      <c r="W55" s="3">
        <f>2789.5+(262.4-877.3)+(-8.53587+(-0.802944--2.684538))+0--165.5-0.506430000000019</f>
        <v>2332.9392939999998</v>
      </c>
      <c r="X55" s="3">
        <f>2508.4+(318.1-800)+(-2.558568+(-0.324462--0.816))+0--110.7-0.112914000000018</f>
        <v>2135.0200560000003</v>
      </c>
      <c r="Y55" s="3">
        <f>2417.7+(256.2-687.6)+(-4.932108+(-0.522648--1.402704))+0--104.5-0.213179999999995</f>
        <v>2086.5347679999995</v>
      </c>
      <c r="Z55" s="3">
        <f>3025+(235.6-1015.6)+(-3.0855+(-0.240312--1.035912))+0--155.8-0.158916000000025</f>
        <v>2398.3511840000001</v>
      </c>
      <c r="AA55" s="3">
        <f>3257.5+(238.6-1131.8)+(-4.983975+(-0.365058--1.731654))+0--168.7-0.25811100000001</f>
        <v>2529.1245100000001</v>
      </c>
      <c r="AB55" s="3">
        <f>3250.6+(223.5-1067.3)+(-8.28903+(-0.569925--2.721615))+0--173.1-0.441404999999975</f>
        <v>2573.3212549999998</v>
      </c>
      <c r="AC55" s="3">
        <f>3158.7+(207.9-949.2)+(-1.610937+(-0.106029--0.484092))+0--177-0.090269999999982</f>
        <v>2593.0768559999997</v>
      </c>
      <c r="AD55">
        <f t="shared" si="0"/>
        <v>55510.579845</v>
      </c>
      <c r="AE55" s="3">
        <f>3238+(247.5-1189.7)+(0+(0-0))+0--165.9-0</f>
        <v>2461.7000000000003</v>
      </c>
    </row>
    <row r="56" spans="1:31" s="2" customFormat="1" x14ac:dyDescent="0.25">
      <c r="A56">
        <v>89</v>
      </c>
      <c r="B56">
        <v>2</v>
      </c>
      <c r="C56">
        <v>25</v>
      </c>
      <c r="D56">
        <v>1</v>
      </c>
      <c r="E56">
        <v>1</v>
      </c>
      <c r="F56" s="3">
        <f>3135+(212.9-964.9)+(-1.59885+(-0.108579--0.492099))+0--183.6-0.0936359999999814</f>
        <v>2565.2910339999999</v>
      </c>
      <c r="G56" s="3">
        <f>3122.3+(204.3-1021)+(-1.592373+(-0.104193--0.52071))+0--183.3-0.0934829999999814</f>
        <v>2487.6306610000006</v>
      </c>
      <c r="H56" s="3">
        <f>3186.3+(194.5-1148.4)+(1.625013+(0.099195-0.585684))+0--182.3--0.0929729999999815</f>
        <v>2415.931497</v>
      </c>
      <c r="I56" s="3">
        <f>3148.8+(201-1165.8)+(-6.423552+(-0.41004--2.378232))+0--180.5-0.368219999999992</f>
        <v>2359.6764200000002</v>
      </c>
      <c r="J56" s="3">
        <f>3118.5+(216.6-1199.4)+(4.771305+(0.331398-1.835082))+0--180.3--0.27585900000001</f>
        <v>2319.5434799999998</v>
      </c>
      <c r="K56" s="3">
        <f>3024.6+(232.2-1181)+(-3.085092+(-0.236844--1.20462))+0--175.2-0.178704000000028</f>
        <v>2248.7039800000002</v>
      </c>
      <c r="L56" s="3">
        <f>2729.1+(236.5-1029.7)+(1.391841+(0.120615-0.525147))+0--131.7--0.0671669999999866</f>
        <v>2068.6544760000002</v>
      </c>
      <c r="M56" s="3">
        <f>2668.1+(226.1-942.9)+(-2.721462+(-0.230622--0.961758))+0--112.9-0.115158000000018</f>
        <v>2062.0945159999997</v>
      </c>
      <c r="N56" s="3">
        <f>3033.4+(238.6-1247.4)+(-1.547034+(-0.121686--0.636174))+0--162.2-0.0827219999999835</f>
        <v>2185.6847319999997</v>
      </c>
      <c r="O56" s="3">
        <f>3163.4+(248.1-1320.2)+(-3.226668+(-0.253062--1.346604))+0--162.8-0.166056000000026</f>
        <v>2251.8008180000002</v>
      </c>
      <c r="P56" s="3">
        <f>3168.6+(238.4-1206.6)+(-3.231972+(-0.243168--1.230732))+0--162.6-0.165852000000026</f>
        <v>2360.5897399999999</v>
      </c>
      <c r="Q56" s="3">
        <f>3171.7+(225.7-1099)+(0+(0-0))+1.1--164-0</f>
        <v>2463.4999999999995</v>
      </c>
      <c r="R56" s="3">
        <f>3160.9+(201.7-955.4)+(-4.836177+(-0.308601--1.461762))+2.6--169.1-0.25872300000001</f>
        <v>2574.9582609999998</v>
      </c>
      <c r="S56" s="3">
        <f>3143.7+(182.7-822.5)+(-4.809861+(-0.279531--1.258425))+0--176.4-0.26989200000001</f>
        <v>2676.1991410000001</v>
      </c>
      <c r="T56" s="3">
        <f>3125.6+(183.4-690.2)+(-6.376224+(-0.374136--1.408008))+0--180.6-0.368423999999992</f>
        <v>2793.6892239999997</v>
      </c>
      <c r="U56" s="3">
        <f>3119.5+(183.1-694.6)+(0+(0-0))+0--180.7-0</f>
        <v>2788.7</v>
      </c>
      <c r="V56" s="3">
        <f>3117.5+(192.9-806.9)+(-1.589925+(-0.098379--0.411519))+0--178.5-0.0910349999999819</f>
        <v>2680.6321800000001</v>
      </c>
      <c r="W56" s="3">
        <f>3113.2+(219.2-1083.4)+(-9.526392+(-0.670752--3.315204))+0--169.9-0.51989400000002</f>
        <v>2411.4981659999999</v>
      </c>
      <c r="X56" s="3">
        <f>2906.8+(209.8-1201.9)+(-2.964936+(-0.213996--1.225938))+0--155.4-0.158508000000025</f>
        <v>2067.9884980000002</v>
      </c>
      <c r="Y56" s="3">
        <f>2658.5+(230.4-1062.7)+(-5.42334+(-0.470016--2.167908))+0--149.1-0.304163999999994</f>
        <v>1971.2703879999999</v>
      </c>
      <c r="Z56" s="3">
        <f>2888.2+(217.8-871.3)+(-4.418946+(-0.333234--1.333089))+0--158.5-0.242505000000009</f>
        <v>2389.5384039999994</v>
      </c>
      <c r="AA56" s="3">
        <f>3237.5+(212.7-1019.9)+(-4.953375+(-0.325431--1.560447))+0--172.3-0.26361900000001</f>
        <v>2598.6180220000006</v>
      </c>
      <c r="AB56" s="3">
        <f>3257.1+(201.7-1010.2)+(-4.983363+(-0.308601--1.545606))+0--176.7-0.27035100000001</f>
        <v>2621.2832909999997</v>
      </c>
      <c r="AC56" s="3">
        <f>3267.9+(194.5-1027.9)+(-3.333258+(-0.19839--1.048458))+0--183-0.186660000000029</f>
        <v>2614.8301500000002</v>
      </c>
      <c r="AD56">
        <f t="shared" si="0"/>
        <v>57978.307078999991</v>
      </c>
      <c r="AE56" s="3">
        <f>3215+(225.5-961.5)+(0+(0-0))+0--165.6-0</f>
        <v>2644.6</v>
      </c>
    </row>
    <row r="57" spans="1:31" s="2" customFormat="1" x14ac:dyDescent="0.25">
      <c r="A57">
        <v>89</v>
      </c>
      <c r="B57">
        <v>2</v>
      </c>
      <c r="C57">
        <v>26</v>
      </c>
      <c r="D57">
        <v>2</v>
      </c>
      <c r="E57">
        <v>1</v>
      </c>
      <c r="F57" s="3">
        <f>3278+(190.7-1107.8)+(-5.01534+(-0.291771--1.694934))+0--186.6-0.285498000000011</f>
        <v>2543.6023249999998</v>
      </c>
      <c r="G57" s="3">
        <f>3301.2+(186-1217.7)+(-5.050836+(-0.28458--1.863081))+0--184.3-0.281979000000011</f>
        <v>2450.0456860000004</v>
      </c>
      <c r="H57" s="3">
        <f>3195.7+(176.1-1206.5)+(-8.149035+(-0.449055--3.076575))+0--178.8-0.455939999999974</f>
        <v>2338.1225450000002</v>
      </c>
      <c r="I57" s="3">
        <f>3109+(170.9-1136)+(-4.75677+(-0.261477--1.73808))+0--137.8-0.210834000000008</f>
        <v>2278.2089990000004</v>
      </c>
      <c r="J57" s="3">
        <f>2908.4+(172.7-1019.4)+(-5.933136+(-0.352308--2.079576))+0--129.1-0.263363999999994</f>
        <v>2186.3307679999998</v>
      </c>
      <c r="K57" s="3">
        <f>2688.3+(218.4-1011.4)+(-4.113099+(-0.334152--1.547442))+0--121.2-0.185436000000007</f>
        <v>2013.4147550000002</v>
      </c>
      <c r="L57" s="3">
        <f>2865.5+(183.5-1372.7)+(-4.384215+(-0.280755--2.100231))+0--154.2-0.235926000000009</f>
        <v>1827.699335</v>
      </c>
      <c r="M57" s="3">
        <f>2762.3+(240.4-1360.3)+(-1.408773+(-0.122604--0.693753))+0--158.2-0.0806819999999839</f>
        <v>1799.6816940000003</v>
      </c>
      <c r="N57" s="3">
        <f>2839.7+(286.4-1332.3)+(-4.344741+(-0.438192--2.038419))+0--159.8-0.244494000000009</f>
        <v>1950.6109919999997</v>
      </c>
      <c r="O57" s="3">
        <f>2909.1+(289.5-1322.8)+(-4.450923+(-0.442935--2.023884))+0--160.3-0.245259000000009</f>
        <v>2032.9847669999999</v>
      </c>
      <c r="P57" s="3">
        <f>2989.6+(236.1-1217.2)+(-3.049392+(-0.240822--1.241544))+0--162-0.165240000000026</f>
        <v>2168.2860900000001</v>
      </c>
      <c r="Q57" s="3">
        <f>2989.3+(250-1142.1)+(0+(0-0))+0--162.1-0</f>
        <v>2259.3000000000002</v>
      </c>
      <c r="R57" s="3">
        <f>3011.5+(210.7-927.7)+(-4.607595+(-0.322371--1.419381))+0--173.4-0.26530200000001</f>
        <v>2464.1241130000003</v>
      </c>
      <c r="S57" s="3">
        <f>3078.8+(180.5-819.7)+(0+(0-0))+0--185.9-0</f>
        <v>2625.5000000000005</v>
      </c>
      <c r="T57" s="3">
        <f>3212.3+(198-802.3)+(0+(0-0))+0--185.9-0</f>
        <v>2793.9</v>
      </c>
      <c r="U57" s="3">
        <f>3267.1+(210-868.8)+(-4.998663+(-0.3213--1.329264))+0--166.9-0.25535700000001</f>
        <v>2770.9539440000003</v>
      </c>
      <c r="V57" s="3">
        <f>3328.5+(218.7-1089.8)+(-8.487675+(-0.557685--2.77899))+0--179.6-0.457979999999974</f>
        <v>2630.27565</v>
      </c>
      <c r="W57" s="3">
        <f>3129+(254.6-1199.9)+(-7.97895+(-0.64923--3.059745))+0--165.9-0.423044999999976</f>
        <v>2343.6085199999998</v>
      </c>
      <c r="X57" s="3">
        <f>2511.3+(332.8-834.3)+(-6.403815+(-0.84864--2.127465))+0--137.6-0.35087999999998</f>
        <v>2141.9241300000003</v>
      </c>
      <c r="Y57" s="3">
        <f>2621.2+(214.8-828.6)+(-4.010436+(-0.328644--1.267758))+0--102.9-0.157437000000006</f>
        <v>2107.0712410000001</v>
      </c>
      <c r="Z57" s="3">
        <f>3145.2+(232.6-1115.6)+(-6.416208+(-0.474504--2.275824))+0--126-0.257039999999995</f>
        <v>2383.3280719999998</v>
      </c>
      <c r="AA57" s="3">
        <f>3436.7+(230.8-1333.5)+(-7.010868+(-0.470832--2.72034))+0--128.5-0.262139999999994</f>
        <v>2457.4765000000002</v>
      </c>
      <c r="AB57" s="3">
        <f>3462.6+(215.5-1354.7)+(0+(0-0))+0--131.6-0</f>
        <v>2454.9999999999995</v>
      </c>
      <c r="AC57" s="3">
        <f>3479.1+(206.9-1360.5)+(0+(0-0))+0--138.4-0</f>
        <v>2463.9</v>
      </c>
      <c r="AD57">
        <f t="shared" si="0"/>
        <v>55485.350125999998</v>
      </c>
      <c r="AE57" s="3">
        <f>3424+(217.4-1323.1)+(0+(0-0))+0--128.4-0</f>
        <v>2446.7000000000003</v>
      </c>
    </row>
    <row r="58" spans="1:31" s="2" customFormat="1" x14ac:dyDescent="0.25">
      <c r="A58">
        <v>89</v>
      </c>
      <c r="B58">
        <v>2</v>
      </c>
      <c r="C58">
        <v>27</v>
      </c>
      <c r="D58">
        <v>3</v>
      </c>
      <c r="E58">
        <v>5</v>
      </c>
      <c r="F58" s="3">
        <f>3179.8+(186.1-1127.8)+(-1.621698+(-0.094911--0.575178))+0--142.7-0.0727769999999855</f>
        <v>2379.5857920000003</v>
      </c>
      <c r="G58" s="3">
        <f>3146.2+(180-1162.6)+(-1.604562+(-0.0918--0.592926))+0--141.7-0.0722669999999856</f>
        <v>2304.1242969999998</v>
      </c>
      <c r="H58" s="3">
        <f>3114.3+(184.1-1201.1)+(-1.588293+(-0.093891--0.612561))+0--141.5-0.0721649999999856</f>
        <v>2237.6582120000003</v>
      </c>
      <c r="I58" s="3">
        <f>2998.1+(192.2-1146.4)+(-6.116124+(-0.392088--2.338656))+0--137.9-0.281315999999994</f>
        <v>2177.3491279999998</v>
      </c>
      <c r="J58" s="3">
        <f>2895.7+(166.7-1044)+(0+(0-0))+0--137.3-0</f>
        <v>2155.6999999999998</v>
      </c>
      <c r="K58" s="3">
        <f>2664+(161.5-871.1)+(-6.7932+(-0.411825--2.221305))+0--134.6-0.34322999999998</f>
        <v>2083.6730500000003</v>
      </c>
      <c r="L58" s="3">
        <f>2387.7+(301.4-907.5)+(-1.217727+(-0.153714--0.462825))+0--113.1-0.0576809999999885</f>
        <v>1893.7337029999999</v>
      </c>
      <c r="M58" s="3">
        <f>2335.6+(249.4-817.2)+(2.382312+(0.254388-0.833544))+0--87.3--0.0890460000000139</f>
        <v>1856.9922019999997</v>
      </c>
      <c r="N58" s="3">
        <f>2510+(261.5-1005)+(-3.8403+(-0.400095--1.53765))+0--118.9-0.181917000000007</f>
        <v>1882.5153379999999</v>
      </c>
      <c r="O58" s="3">
        <f>2636.6+(272-1088.6)+(0+(0-0))+0--119.5-0</f>
        <v>1939.5</v>
      </c>
      <c r="P58" s="3">
        <f>2821.3+(196.1-1144.3)+(-5.755452+(-0.400044--2.334372))+0--119-0.242759999999995</f>
        <v>1988.0361160000002</v>
      </c>
      <c r="Q58" s="3">
        <f>3045.2+(172.1-1271.9)+(-6.212208+(-0.351084--2.594676))+0--134.3-0.273971999999994</f>
        <v>2075.4574119999997</v>
      </c>
      <c r="R58" s="3">
        <f>3166.2+(206.1-1260.6)+(-6.459048+(-0.420444--2.571624))+0--163.4-0.333335999999993</f>
        <v>2270.4587959999999</v>
      </c>
      <c r="S58" s="3">
        <f>3157.5+(192.1-1084.2)+(0+(0-0))+0--173-0</f>
        <v>2438.4</v>
      </c>
      <c r="T58" s="3">
        <f>3255.4+(200.6-1054.8)+(-4.980762+(-0.306918--1.613844))+0--181-0.27693000000001</f>
        <v>2578.2492340000003</v>
      </c>
      <c r="U58" s="3">
        <f>3288+(211.3-1089.2)+(-3.35376+(-0.215526--1.110984))+0--181.4-0.185028000000029</f>
        <v>2588.8566700000001</v>
      </c>
      <c r="V58" s="3">
        <f>3221.4+(222.8-1099.4)+(-4.928742+(-0.340884--1.682082))+0--178.6-0.27325800000001</f>
        <v>2519.5391979999999</v>
      </c>
      <c r="W58" s="3">
        <f>2999.8+(241.3-1092.5)+(-3.059796+(-0.246126--1.11435))+0--167.7-0.171054000000027</f>
        <v>2313.9373740000001</v>
      </c>
      <c r="X58" s="3">
        <f>2573.4+(281.8-913.8)+(-5.249736+(-0.574872--1.864152))+0--132.5-0.270299999999994</f>
        <v>2069.6692439999997</v>
      </c>
      <c r="Y58" s="3">
        <f>2665.9+(197.6-956.1)+(0+(0-0))+0--153.7-0</f>
        <v>2061.1</v>
      </c>
      <c r="Z58" s="3">
        <f>3210.3+(236.9-1222.7)+(-1.637253+(-0.120819--0.623577))+0--172.1-0.0877709999999825</f>
        <v>2395.3777340000001</v>
      </c>
      <c r="AA58" s="3">
        <f>3343.7+(242.9-1293.2)+(-6.821148+(-0.495516--2.638128))+0--164.6-0.335783999999993</f>
        <v>2452.9856799999998</v>
      </c>
      <c r="AB58" s="3">
        <f>3404.7+(221.6-1306.4)+(-3.472794+(-0.226032--1.332528))+0--168.9-0.172278000000027</f>
        <v>2486.2614239999998</v>
      </c>
      <c r="AC58" s="3">
        <f>3496.7+(206.4-1362.8)+(-1.783317+(-0.105264--0.695028))+0--175.6-0.0895559999999822</f>
        <v>2514.6168910000001</v>
      </c>
      <c r="AD58">
        <f t="shared" si="0"/>
        <v>53663.777494999988</v>
      </c>
      <c r="AE58" s="3">
        <f>3349+(250.2-1301.2)+(0+(0-0))+0--165.8-0</f>
        <v>2463.8000000000002</v>
      </c>
    </row>
    <row r="59" spans="1:31" s="2" customFormat="1" x14ac:dyDescent="0.25">
      <c r="A59">
        <v>89</v>
      </c>
      <c r="B59">
        <v>2</v>
      </c>
      <c r="C59">
        <v>28</v>
      </c>
      <c r="D59">
        <v>4</v>
      </c>
      <c r="E59">
        <v>1</v>
      </c>
      <c r="F59" s="3">
        <f>3469.8+(202.6-1383.2)+(0+(0-0))+0--178.4-0</f>
        <v>2467.6</v>
      </c>
      <c r="G59" s="3">
        <f>3438.9+(196.5-1425.8)+(-5.261517+(-0.300645--2.181474))+0--169.6-0.25948800000001</f>
        <v>2375.5598239999999</v>
      </c>
      <c r="H59" s="3">
        <f>3304+(195.7-1329.3)+(1.68504+(0.099807-0.677943))+0--138.8--0.0707879999999859</f>
        <v>2310.3776920000005</v>
      </c>
      <c r="I59" s="3">
        <f>3239.3+(198.3-1316.6)+(-3.304086+(-0.202266--1.342932))+0--136.7-0.139434000000022</f>
        <v>2255.3971459999998</v>
      </c>
      <c r="J59" s="3">
        <f>3119.4+(195.3-1238.1)+(1.590894+(0.099603-0.631431))+0--134.8--0.0687479999999863</f>
        <v>2212.5278140000005</v>
      </c>
      <c r="K59" s="3">
        <f>3008.9+(194.2-1177.3)+(-6.138156+(-0.396168--2.401692))+0--126.5-0.258059999999994</f>
        <v>2147.9093080000002</v>
      </c>
      <c r="L59" s="3">
        <f>2647.3+(179.8-963)+(-5.400492+(-0.366792--1.96452))+0--83.8-0.170951999999996</f>
        <v>1943.9262840000001</v>
      </c>
      <c r="M59" s="3">
        <f>2915.7+(199-1212.5)+(-2.974014+(-0.20298--1.23675))+0--83.2-0.0848640000000133</f>
        <v>1983.374892</v>
      </c>
      <c r="N59" s="3">
        <f>3384.1+(229.9-1572.4)+(-5.177673+(-0.351747--2.405772))+0--81.6-0.124848000000005</f>
        <v>2119.9515040000001</v>
      </c>
      <c r="O59" s="3">
        <f>3307.6+(244.2-1385.2)+(1.686876+(0.124542-0.706452))+0--108.6--0.055385999999989</f>
        <v>2276.3603519999997</v>
      </c>
      <c r="P59" s="3">
        <f>3211.6+(259.6-1094.4)+(-1.637916+(-0.132396--0.558144))+2.7--96.3-0.0491129999999902</f>
        <v>2474.5387189999997</v>
      </c>
      <c r="Q59" s="3">
        <f>3304.9+(244.8-1094.2)+(0+(0-0))+0--84.6-0</f>
        <v>2540.1</v>
      </c>
      <c r="R59" s="3">
        <f>3315.5+(227.8-1005.8)+(-5.072715+(-0.348534--1.538874))+0--109.3-0.167229000000006</f>
        <v>2642.7503959999999</v>
      </c>
      <c r="S59" s="3">
        <f>3239.5+(209.1-864)+(-3.30429+(-0.213282--0.88128))+0--140.5-0.143310000000022</f>
        <v>2722.3203979999998</v>
      </c>
      <c r="T59" s="3">
        <f>3214.9+(193.9-766.9)+(1.639599+(0.098889-0.391119))+0--158.3--0.0807329999999839</f>
        <v>2801.6281020000001</v>
      </c>
      <c r="U59" s="3">
        <f>3051.8+(213.2-609.5)+(-1.556418+(-0.108732--0.310845))+0--163.1-0.0831809999999834</f>
        <v>2817.1625140000001</v>
      </c>
      <c r="V59" s="3">
        <f>2963.5+(203.6-566)+(-4.534155+(-0.311508--0.86598))+0--157.1-0.240363000000009</f>
        <v>2753.9799539999999</v>
      </c>
      <c r="W59" s="3">
        <f>3029.9+(218-750.3)+(-9.271494+(-0.66708--2.295918))+0--150.1-0.459306000000017</f>
        <v>2639.5980380000001</v>
      </c>
      <c r="X59" s="3">
        <f>2832.7+(318.3-794.8)+(-7.223385+(-0.811665--2.02674))+0--97-0.247349999999986</f>
        <v>2446.9443399999996</v>
      </c>
      <c r="Y59" s="3">
        <f>2675.2+(343.7-736.2)+(-2.728704+(-0.350574--0.750924))+0--94.4-0.0962880000000151</f>
        <v>2374.6753579999995</v>
      </c>
      <c r="Z59" s="3">
        <f>2976.6+(265.7-721.9)+(-3.036132+(-0.271014--0.736338))+0--135.3-0.138006000000022</f>
        <v>2652.9911860000002</v>
      </c>
      <c r="AA59" s="3">
        <f>3084.4+(243.1-749.4)+(-7.86522+(-0.619905--1.91097))+0--153.1-0.390404999999978</f>
        <v>2724.2354400000004</v>
      </c>
      <c r="AB59" s="3">
        <f>3105.3+(214.7-746.6)+(-4.751109+(-0.328491--1.142298))+0--156.2-0.238986000000009</f>
        <v>2725.4237120000003</v>
      </c>
      <c r="AC59" s="3">
        <f>3023.8+(192.1-686.7)+(-3.084276+(-0.195942--0.700434))+0--157.5-0.160650000000025</f>
        <v>2683.9595660000005</v>
      </c>
      <c r="AD59">
        <f t="shared" si="0"/>
        <v>59093.292539000009</v>
      </c>
      <c r="AE59" s="3">
        <f>3083+(239.7-730.7)+(0+(0-0))+0--152.1-0</f>
        <v>2744.1</v>
      </c>
    </row>
    <row r="60" spans="1:31" s="2" customFormat="1" x14ac:dyDescent="0.25">
      <c r="A60">
        <v>89</v>
      </c>
      <c r="B60">
        <v>2</v>
      </c>
      <c r="C60">
        <v>29</v>
      </c>
      <c r="D60">
        <v>5</v>
      </c>
      <c r="E60">
        <v>1</v>
      </c>
      <c r="F60" s="3">
        <f>3024.5+(174.6-739.6)+(-4.627485+(-0.267138--1.131588))+0--160.5-0.245565000000009</f>
        <v>2615.9913999999999</v>
      </c>
      <c r="G60" s="3">
        <f>3040.8+(164.5-811.1)+(1.550808+(0.083895-0.413661))+0--159.7--0.0814469999999838</f>
        <v>2555.2024890000002</v>
      </c>
      <c r="H60" s="3">
        <f>3115.7+(170.4-934.7)+(-4.767021+(-0.260712--1.430091))+0--159.5-0.244035000000009</f>
        <v>2507.0583229999993</v>
      </c>
      <c r="I60" s="3">
        <f>3130.7+(171.7-989.4)+(-4.789971+(-0.262701--1.513782))+0--160.2-0.245106000000009</f>
        <v>2469.4160040000002</v>
      </c>
      <c r="J60" s="3">
        <f>3154+(177.4-1051.2)+(1.60854+(0.090474-0.536112))+0--158.1--0.080630999999984</f>
        <v>2439.5435329999996</v>
      </c>
      <c r="K60" s="3">
        <f>3081.8+(183.6-996.4)+(-7.85859+(-0.46818--2.54082))+0--127.8-0.325889999999981</f>
        <v>2390.6881600000002</v>
      </c>
      <c r="L60" s="3">
        <f>2621.6+(189.1-760.3)+(0+(0-0))+0--85.7-0</f>
        <v>2136.1</v>
      </c>
      <c r="M60" s="3">
        <f>2857.5+(198-942.3)+(-4.371975+(-0.30294--1.441719))+0--86.5-0.132345000000005</f>
        <v>2196.3344589999997</v>
      </c>
      <c r="N60" s="3">
        <f>3023.6+(208.3-1023.5)+(-3.084072+(-0.212466--1.04397))+0--130.9-0.133518000000021</f>
        <v>2336.9139139999997</v>
      </c>
      <c r="O60" s="3">
        <f>3024.5+(212.3-989)+(-1.542495+(-0.108273--0.50439))+0--132.5-0.0675749999999866</f>
        <v>2379.0860470000002</v>
      </c>
      <c r="P60" s="3">
        <f>3018.9+(211.9-887.1)+(-3.079278+(-0.216138--0.904842))+0--134-0.136680000000021</f>
        <v>2475.1727459999997</v>
      </c>
      <c r="Q60" s="3">
        <f>3017.2+(206.6-786.4)+(-3.077544+(-0.210732--0.802128))+0--139.8-0.142596000000022</f>
        <v>2574.5712559999997</v>
      </c>
      <c r="R60" s="3">
        <f>3009.3+(213.9-635)+(0+(0-0))+0--146.8-0</f>
        <v>2735.0000000000005</v>
      </c>
      <c r="S60" s="3">
        <f>2977.5+(236.2-547.7)+(-6.0741+(-0.481848--1.117308))+0--154.9-0.315995999999993</f>
        <v>2815.1453640000004</v>
      </c>
      <c r="T60" s="3">
        <f>3048.9+(236.3-571.9)+(0+(0-0))+0--161-0</f>
        <v>2874.3</v>
      </c>
      <c r="U60" s="3">
        <f>3035.1+(260.9-558.7)+(-4.643703+(-0.399177--0.854811))+0--162.3-0.248319000000009</f>
        <v>2895.1636120000003</v>
      </c>
      <c r="V60" s="3">
        <f>3038.7+(236.2-576.1)+(-6.198948+(-0.481848--1.175244))+0--159-0.324359999999993</f>
        <v>2851.9700879999996</v>
      </c>
      <c r="W60" s="3">
        <f>3051.6+(241.9-763.7)+(-6.225264+(-0.493476--1.557948))+0--150.2-0.306407999999993</f>
        <v>2674.5327999999995</v>
      </c>
      <c r="X60" s="3">
        <f>3051.8+(282.4-958.6)+(-7.78209+(-0.72012--2.44443))+0--142-0.362099999999979</f>
        <v>2511.1801200000004</v>
      </c>
      <c r="Y60" s="3">
        <f>3053.2+(267.9-995.7)+(-3.114264+(-0.273258--1.015614))+0--139.4-0.142188000000022</f>
        <v>2462.2859039999998</v>
      </c>
      <c r="Z60" s="3">
        <f>3206.7+(230.2-846.8)+(-1.635417+(-0.117402--0.431868))+0--146.3-0.0746129999999852</f>
        <v>2735.0044360000002</v>
      </c>
      <c r="AA60" s="3">
        <f>3283.3+(244.1-847.4)+(-5.023449+(-0.373473--1.296522))+0--151.9-0.232407000000009</f>
        <v>2827.5671930000003</v>
      </c>
      <c r="AB60" s="3">
        <f>3305.3+(223.1-838.3)+(-8.428515+(-0.568905--2.137665))+0--155.6-0.396779999999977</f>
        <v>2838.4434650000003</v>
      </c>
      <c r="AC60" s="3">
        <f>3337+(192.9-869.3)+(-6.80748+(-0.393516--1.773372))+0--160.2-0.326807999999993</f>
        <v>2815.045568</v>
      </c>
      <c r="AD60">
        <f t="shared" si="0"/>
        <v>62111.716881</v>
      </c>
      <c r="AE60" s="3">
        <f>3264+(225.6-841)+(0+(0-0))+0--151.1-0</f>
        <v>2799.7</v>
      </c>
    </row>
    <row r="61" spans="1:31" s="2" customFormat="1" x14ac:dyDescent="0.25">
      <c r="A61">
        <v>89</v>
      </c>
      <c r="B61">
        <v>2</v>
      </c>
      <c r="C61">
        <v>30</v>
      </c>
      <c r="D61">
        <v>6</v>
      </c>
      <c r="E61">
        <v>1</v>
      </c>
      <c r="F61" s="3">
        <f>3339.5+(184.2-935.5)+(-13.62516+(-0.751536--3.81684))+0--163.1-0.665447999999986</f>
        <v>2740.0746959999997</v>
      </c>
      <c r="G61" s="3">
        <f>3276.1+(165.7-985.8)+(-5.012433+(-0.253521--1.508274))+0--162.2-0.248166000000009</f>
        <v>2614.1941539999998</v>
      </c>
      <c r="H61" s="3">
        <f>3150.1+(172.7-902.4)+(-3.213102+(-0.176154--0.920448))+0--156.6-0.159732000000025</f>
        <v>2574.3714599999994</v>
      </c>
      <c r="I61" s="3">
        <f>2923.2+(183.9-761.1)+(-5.963328+(-0.375156--1.552644))+0--149-0.303959999999994</f>
        <v>2489.9101999999998</v>
      </c>
      <c r="J61" s="3">
        <f>2670.9+(244.7-663.2)+(2.724318+(0.249594-0.676464))+0--144.4--0.147288000000023</f>
        <v>2399.2447360000001</v>
      </c>
      <c r="K61" s="3">
        <f>2597+(309.3-697.8)+(-6.62235+(-0.788715--1.77939))+0--139.3-0.35521499999998</f>
        <v>2341.8131100000001</v>
      </c>
      <c r="L61" s="3">
        <f>2358.9+(351.4-687)+(-4.812156+(-0.716856--1.40148))+0--130.4-0.266015999999994</f>
        <v>2149.3064520000003</v>
      </c>
      <c r="M61" s="3">
        <f>2394.9+(301.5-667.1)+(2.442798+(0.30753-0.680442))+0--126.5--0.12903000000002</f>
        <v>2157.9989160000005</v>
      </c>
      <c r="N61" s="3">
        <f>2519.4+(228-612.7)+(-2.569788+(-0.23256--0.624954))+0--121.6-0.124032000000019</f>
        <v>2253.9985739999997</v>
      </c>
      <c r="O61" s="3">
        <f>2541.3+(210.2-502.4)+(-1.296063+(-0.107202--0.256224))+0--79.8-0.0406979999999919</f>
        <v>2327.7122610000006</v>
      </c>
      <c r="P61" s="3">
        <f>2650.2+(226-524.5)+(0+(0-0))+0--79.1-0</f>
        <v>2430.7999999999997</v>
      </c>
      <c r="Q61" s="3">
        <f>2605.7+(272.8-443.6)+(2.657814+(0.278256-0.452472))+0--83.4--0.0850680000000133</f>
        <v>2520.8686659999994</v>
      </c>
      <c r="R61" s="3">
        <f>2548.1+(410.7-435.7)+(-5.198124+(-0.837828--0.888828))+0--93.1-0.189923999999996</f>
        <v>2610.862952</v>
      </c>
      <c r="S61" s="3">
        <f>2536.3+(480.3-405.8)+(-3.880539+(-0.734859--0.620874))+0--95.1-0.145503000000005</f>
        <v>2701.7599729999997</v>
      </c>
      <c r="T61" s="3">
        <f>2527+(515.9-407.1)+(-2.57754+(-0.526218--0.415242))+0--111.2-0.113424000000018</f>
        <v>2744.1980599999997</v>
      </c>
      <c r="U61" s="3">
        <f>2521.4+(503.9-396.3)+(-1.285914+(-0.256989--0.202113))+0--110.7-0.0564569999999888</f>
        <v>2738.3027529999995</v>
      </c>
      <c r="V61" s="3">
        <f>2510.1+(406.2-358.9)+(-3.840453+(-0.621486--0.549117))+0--110.5-0.169065000000006</f>
        <v>2663.8181130000003</v>
      </c>
      <c r="W61" s="3">
        <f>2530.8+(232.9-355.3)+(-5.162832+(-0.475116--0.724812))+0--110.6-0.225623999999995</f>
        <v>2513.8612399999997</v>
      </c>
      <c r="X61" s="3">
        <f>2543.8+(227.1-539.4)+(-7.784028+(-0.694926--1.650564))+0--110.6-0.338436000000013</f>
        <v>2334.9331739999998</v>
      </c>
      <c r="Y61" s="3">
        <f>2440.9+(227.7-486.9)+(-3.734577+(-0.348381--0.744957))+0--110.7-0.169371000000006</f>
        <v>2288.8926280000001</v>
      </c>
      <c r="Z61" s="3">
        <f>2636.6+(254.5-432.1)+(-1.344666+(-0.129795--0.220371))+0--110.7-0.0564569999999888</f>
        <v>2568.3894529999998</v>
      </c>
      <c r="AA61" s="3">
        <f>2691+(258.7-420.4)+(-2.74482+(-0.263874--0.428808))+0--110.9-0.113118000000018</f>
        <v>2637.5069960000001</v>
      </c>
      <c r="AB61" s="3">
        <f>2710.5+(255.5-477.6)+(-4.147065+(-0.390915--0.730728))+0--135.3-0.207009000000008</f>
        <v>2619.685739</v>
      </c>
      <c r="AC61" s="3">
        <f>2716.9+(258-485.2)+(-1.385619+(-0.13158--0.247452))+0--138.3-0.070532999999986</f>
        <v>2626.6597200000006</v>
      </c>
      <c r="AD61">
        <f t="shared" si="0"/>
        <v>60049.164025999999</v>
      </c>
      <c r="AE61" s="3">
        <f>2688+(267.4-423.3)+(0+(0-0))+0--110.9-0</f>
        <v>2643</v>
      </c>
    </row>
    <row r="62" spans="1:31" s="2" customFormat="1" x14ac:dyDescent="0.25">
      <c r="A62">
        <v>89</v>
      </c>
      <c r="B62">
        <v>2</v>
      </c>
      <c r="C62">
        <v>31</v>
      </c>
      <c r="D62">
        <v>7</v>
      </c>
      <c r="E62">
        <v>1</v>
      </c>
      <c r="F62" s="3">
        <f>2699.8+(260.1-479.5)+(-1.376898+(-0.132651--0.244545))+0--145.9-0.0744089999999852</f>
        <v>2624.9605870000005</v>
      </c>
      <c r="G62" s="3">
        <f>2633.6+(282.1-458.4)+(1.343136+(0.143871-0.233784))+0--147.2--0.0750719999999851</f>
        <v>2605.8282950000003</v>
      </c>
      <c r="H62" s="3">
        <f>2625.2+(221.2-490.9)+(-5.355408+(-0.451248--1.001436))+0--147.5-0.300899999999994</f>
        <v>2497.8938799999996</v>
      </c>
      <c r="I62" s="3">
        <f>2597.9+(204.4-509.8)+(2.649858+(0.208488-0.519996))+0--148.7--0.151674000000024</f>
        <v>2443.690024</v>
      </c>
      <c r="J62" s="3">
        <f>2540.3+(183.2-468.4)+(-1.295553+(-0.093432--0.238884))+0--150.3-0.0766529999999848</f>
        <v>2404.1732460000003</v>
      </c>
      <c r="K62" s="3">
        <f>2444.5+(217.7-465.9)+(-4.98678+(-0.444108--0.950436))+0--150.2-0.306407999999993</f>
        <v>2341.7131400000003</v>
      </c>
      <c r="L62" s="3">
        <f>2223.9+(171.6-516)+(-4.536756+(-0.350064--1.05264))+0--119.6-0.243983999999995</f>
        <v>1995.0218359999999</v>
      </c>
      <c r="M62" s="3">
        <f>2097.4+(191.9-453.3)+(-2.139348+(-0.195738--0.462366))+0--91.5-0.0933300000000146</f>
        <v>1925.53395</v>
      </c>
      <c r="N62" s="3">
        <f>2242.5+(138.7-502.2)+(-2.28735+(-0.141474--0.512244))+0--91.3-0.0931260000000146</f>
        <v>1968.2902939999999</v>
      </c>
      <c r="O62" s="3">
        <f>2356.8+(117.4-528.2)+(-4.807872+(-0.239496--1.077528))+0--91.3-0.186251999999996</f>
        <v>2033.143908</v>
      </c>
      <c r="P62" s="3">
        <f>2392.3+(40.1-424.8)+(-2.440146+(-0.040902--0.433296))+0--91.3-0.0931260000000146</f>
        <v>2096.7591219999999</v>
      </c>
      <c r="Q62" s="3">
        <f>2505.1+(56.7-431.5)+(-2.555202+(-0.057834--0.44013))+0--90.9-0.0927180000000145</f>
        <v>2218.9343760000002</v>
      </c>
      <c r="R62" s="3">
        <f>2500.9+(273.5-345.6)+(-5.101836+(-0.55794--0.705024))+0--90.8-0.185231999999996</f>
        <v>2514.4600160000005</v>
      </c>
      <c r="S62" s="3">
        <f>2486.3+(342.5-318)+(-1.268013+(-0.174675--0.16218))+0--90.8-0.0463079999999908</f>
        <v>2600.2731840000006</v>
      </c>
      <c r="T62" s="3">
        <f>2519.3+(347.8-329.6)+(-2.569686+(-0.354756--0.336192))+0--121.2-0.123624000000019</f>
        <v>2655.9881260000002</v>
      </c>
      <c r="U62" s="3">
        <f>2511.4+(345.7-338)+(-7.684884+(-1.057842--1.03428))+0--147.6-0.451656000000017</f>
        <v>2658.5398979999995</v>
      </c>
      <c r="V62" s="3">
        <f>2513.3+(264.7-305.1)+(-5.127132+(-0.539988--0.622404))+0--146.7-0.299267999999994</f>
        <v>2614.2560159999998</v>
      </c>
      <c r="W62" s="3">
        <f>2463.5+(187.3-348.3)+(-3.769155+(-0.286569--0.532899))+0--146.7-0.224451000000008</f>
        <v>2445.4527239999998</v>
      </c>
      <c r="X62" s="3">
        <f>2183.6+(267.5-365.2)+(-7.795452+(-0.954975--1.303764))+0--144.9-0.517293000000002</f>
        <v>2222.8360440000001</v>
      </c>
      <c r="Y62" s="3">
        <f>2111.8+(196.7-321.8)+(-2.154036+(-0.200634--0.328236))+0--140.4-0.143208000000022</f>
        <v>2124.9303580000001</v>
      </c>
      <c r="Z62" s="3">
        <f>2420+(220.5-345)+(-3.7026+(-0.337365--0.52785))+0--147.9-0.226287000000009</f>
        <v>2439.6615980000001</v>
      </c>
      <c r="AA62" s="3">
        <f>2686.5+(226.5-468.4)+(-4.110345+(-0.346545--0.716652))+0--157.6-0.241128000000009</f>
        <v>2598.2186339999998</v>
      </c>
      <c r="AB62" s="3">
        <f>2665.9+(237.8-431.5)+(-5.438436+(-0.485112--0.88026))+0--152.9-0.311915999999993</f>
        <v>2619.7447960000004</v>
      </c>
      <c r="AC62" s="3">
        <f>2802.1+(215.6-504.5)+(-4.287213+(-0.329868--0.771885))+0--148.8-0.227664000000009</f>
        <v>2657.9271399999998</v>
      </c>
      <c r="AD62">
        <f t="shared" si="0"/>
        <v>57308.231191999999</v>
      </c>
      <c r="AE62" s="3">
        <f>2710+(226.2-441.9)+(0+(0-0))+0--155.8-0</f>
        <v>2650.1000000000004</v>
      </c>
    </row>
    <row r="63" spans="1:31" s="2" customFormat="1" x14ac:dyDescent="0.25">
      <c r="A63">
        <v>89</v>
      </c>
      <c r="B63">
        <v>3</v>
      </c>
      <c r="C63">
        <v>1</v>
      </c>
      <c r="D63">
        <v>1</v>
      </c>
      <c r="E63">
        <v>1</v>
      </c>
      <c r="F63" s="3">
        <f>2919.9+(179.1-616.1)+(-2.978298+(-0.182682--0.628422))+0--170.9-0.174318000000027</f>
        <v>2651.0931240000004</v>
      </c>
      <c r="G63" s="3">
        <f>2954.7+(181.1-733.5)+(4.520691+(0.277083-1.122255))+0--171.1--0.26178300000001</f>
        <v>2577.3373019999995</v>
      </c>
      <c r="H63" s="3">
        <f>2809+(182-653.5)+(-7.16295+(-0.4641--1.666425))+0--168.4-0.429419999999976</f>
        <v>2499.509955</v>
      </c>
      <c r="I63" s="3">
        <f>2484+(243.2-473.8)+(-1.26684+(-0.124032--0.241638))+0--163.4-0.0833339999999834</f>
        <v>2415.5674320000003</v>
      </c>
      <c r="J63" s="3">
        <f>2408.6+(238.3-449.5)+(1.228386+(0.121533-0.229245))+0--161.3--0.0822629999999836</f>
        <v>2359.9029369999998</v>
      </c>
      <c r="K63" s="3">
        <f>2391.7+(244.8-489.4)+(-6.098835+(-0.62424--1.24797))+0--157.3-0.401114999999977</f>
        <v>2298.52378</v>
      </c>
      <c r="L63" s="3">
        <f>2514.3+(183.6-693.1)+(0+(0-0))+0--194.3-0</f>
        <v>2199.1000000000004</v>
      </c>
      <c r="M63" s="3">
        <f>2801.6+(169.2-835)+(1.428816+(0.086292-0.42585))+0--145.1--0.0740009999999853</f>
        <v>2282.063259</v>
      </c>
      <c r="N63" s="3">
        <f>2933.9+(188.3-866)+(0+(0-0))+0--147.9-0</f>
        <v>2404.1</v>
      </c>
      <c r="O63" s="3">
        <f>2900.4+(195.3-874.9)+(-2.958408+(-0.199206--0.892398))+0--146.9-0.149838000000023</f>
        <v>2365.2849460000007</v>
      </c>
      <c r="P63" s="3">
        <f>2876+(208.3-802.2)+(-7.3338+(-0.531165--2.04561))+0--148.9-0.379694999999978</f>
        <v>2424.8009499999998</v>
      </c>
      <c r="Q63" s="3">
        <f>2910+(207.2-736.4)+(-1.4841+(-0.105672--0.375564))+0--153.9-0.0784889999999844</f>
        <v>2533.4073030000004</v>
      </c>
      <c r="R63" s="3">
        <f>2989.6+(209-739.9)+(-3.049392+(-0.21318--0.754698))+0--152.4-0.155448000000024</f>
        <v>2608.436678</v>
      </c>
      <c r="S63" s="3">
        <f>3067.7+(249.4-645.4)+(-4.693581+(-0.381582--0.987462))+0--170.9-0.26147700000001</f>
        <v>2838.250822</v>
      </c>
      <c r="T63" s="3">
        <f>3084.6+(274-618.5)+(1.573146+(0.13974-0.315435))+0--175--0.0892499999999822</f>
        <v>2916.5867009999997</v>
      </c>
      <c r="U63" s="3">
        <f>3106.2+(248.6-599.8)+(-7.92081+(-0.63393--1.52949))+0--171.2-0.436559999999975</f>
        <v>2918.7381899999996</v>
      </c>
      <c r="V63" s="3">
        <f>3113.2+(223.2-619.4)+(-3.175464+(-0.227664--0.631788))+0--169.9-0.173298000000027</f>
        <v>2883.9553620000002</v>
      </c>
      <c r="W63" s="3">
        <f>3080.7+(211.7-725.8)+(-7.855785+(-0.539835--1.85079))+0--162.8-0.415139999999976</f>
        <v>2722.4400300000002</v>
      </c>
      <c r="X63" s="3">
        <f>2614.6+(307.2-604.4)+(-5.333784+(-0.626688--1.232976))+0--135.8-0.277031999999994</f>
        <v>2448.1954720000003</v>
      </c>
      <c r="Y63" s="3">
        <f>2588.7+(195-533.4)+(-5.280948+(-0.3978--1.088136))+0--103.4-0.210935999999995</f>
        <v>2348.8984519999999</v>
      </c>
      <c r="Z63" s="3">
        <f>2964.4+(217.4-697.2)+(-7.55922+(-0.55437--1.77786))+0--155-0.395249999999978</f>
        <v>2632.8690200000001</v>
      </c>
      <c r="AA63" s="3">
        <f>3245.7+(206-861.4)+(-11.587149+(-0.73542--3.075198))+0--162.7-0.580839000000002</f>
        <v>2743.1717899999994</v>
      </c>
      <c r="AB63" s="3">
        <f>3217.2+(197-815.6)+(-6.563088+(-0.40188--1.663824))+0--167-0.340679999999993</f>
        <v>2759.9581760000001</v>
      </c>
      <c r="AC63" s="3">
        <f>3157.7+(189-773.2)+(-3.220854+(-0.19278--0.788664))+0--173-0.176460000000028</f>
        <v>2743.69857</v>
      </c>
      <c r="AD63">
        <f t="shared" si="0"/>
        <v>61575.89025099999</v>
      </c>
      <c r="AE63" s="3">
        <f>3245+(210-873.6)+(0+(0-0))+0--161.9-0</f>
        <v>2743.3</v>
      </c>
    </row>
    <row r="64" spans="1:31" s="2" customFormat="1" x14ac:dyDescent="0.25">
      <c r="A64">
        <v>89</v>
      </c>
      <c r="B64">
        <v>3</v>
      </c>
      <c r="C64">
        <v>2</v>
      </c>
      <c r="D64">
        <v>2</v>
      </c>
      <c r="E64">
        <v>1</v>
      </c>
      <c r="F64" s="3">
        <f>3179.3+(183-837.2)+(-3.242886+(-0.18666--0.853944))+0--178-0.181560000000028</f>
        <v>2700.3428380000005</v>
      </c>
      <c r="G64" s="3">
        <f>3180+(175-901.3)+(-8.109+(-0.44625--2.298315))+0--178.1-0.454154999999974</f>
        <v>2625.0889099999999</v>
      </c>
      <c r="H64" s="3">
        <f>3210+(178-997.3)+(-4.9113+(-0.27234--1.525869))+0--176.7-0.27035100000001</f>
        <v>2563.4718779999994</v>
      </c>
      <c r="I64" s="3">
        <f>3128.7+(174.5-967.1)+(-4.786911+(-0.266985--1.479663))+0--175.2-0.26805600000001</f>
        <v>2507.457711</v>
      </c>
      <c r="J64" s="3">
        <f>2939.3+(154-837.8)+(-2.998086+(-0.15708--0.854556))+0--172.2-0.175644000000027</f>
        <v>2425.2237460000001</v>
      </c>
      <c r="K64" s="3">
        <f>2742.2+(170.9-734.2)+(-4.195566+(-0.261477--1.123326))+0--161.5-0.247095000000009</f>
        <v>2336.8191879999995</v>
      </c>
      <c r="L64" s="3">
        <f>2497.7+(186.3-682.3)+(-1.273827+(-0.095013--0.347973))+0--116.4-0.0593639999999882</f>
        <v>2117.0197689999995</v>
      </c>
      <c r="M64" s="3">
        <f>2689.4+(159.7-800.8)+(-1.371594+(-0.081447--0.408408))+0--105.6-0.0538559999999893</f>
        <v>2152.8015110000001</v>
      </c>
      <c r="N64" s="3">
        <f>2846.4+(178.1-867.9)+(-1.451664+(-0.090831--0.442629))+0--108.3-0.055232999999989</f>
        <v>2263.7449010000005</v>
      </c>
      <c r="O64" s="3">
        <f>2999+(169-962.9)+(-3.05898+(-0.17238--0.982158))+0--118.8-0.121176000000019</f>
        <v>2321.529622</v>
      </c>
      <c r="P64" s="3">
        <f>2992.7+(187.2-936.3)+(-9.157662+(-0.572832--2.865078))+0--152.3-0.466038000000018</f>
        <v>2388.568546</v>
      </c>
      <c r="Q64" s="3">
        <f>3017.3+(180-894)+(-1.538823+(-0.0918--0.45594))+0--154.9-0.0789989999999843</f>
        <v>2456.9463180000002</v>
      </c>
      <c r="R64" s="3">
        <f>3040+(180.5-709.6)+(-3.1008+(-0.18411--0.723792))+0--162-0.165240000000026</f>
        <v>2670.1736420000002</v>
      </c>
      <c r="S64" s="3">
        <f>2994.8+(263.3-605)+(-7.63674+(-0.671415--1.54275))+0--170-0.433499999999975</f>
        <v>2815.9010950000002</v>
      </c>
      <c r="T64" s="3">
        <f>3113+(262.4-630.3)+(0+(0-0))+0--174.8-0</f>
        <v>2919.9</v>
      </c>
      <c r="U64" s="3">
        <f>3173.4+(240.6-650.3)+(-4.855302+(-0.368118--0.994959))+0--175.3-0.26820900000001</f>
        <v>2934.5033300000005</v>
      </c>
      <c r="V64" s="3">
        <f>3168.8+(192.5-674.7)+(-6.464352+(-0.3927--1.376388))+0--179.8-0.366791999999992</f>
        <v>2860.5525440000006</v>
      </c>
      <c r="W64" s="3">
        <f>3087.9+(181.1-806.3)+(-9.448974+(-0.554166--2.467278))+0--181.7-0.556002000000021</f>
        <v>2636.3081360000001</v>
      </c>
      <c r="X64" s="3">
        <f>2828.8+(210.4-824.3)+(-7.21344+(-0.53652--2.101965))+0--159.7-0.407234999999977</f>
        <v>2368.54477</v>
      </c>
      <c r="Y64" s="3">
        <f>2726.3+(216.2-767.9)+(-1.390413+(-0.110262--0.391629))+0--109.6-0.0558959999999889</f>
        <v>2283.0350580000004</v>
      </c>
      <c r="Z64" s="3">
        <f>2938.9+(208.3-702.8)+(-1.498839+(-0.106233--0.358428))+0--119.5-0.0609449999999879</f>
        <v>2562.5924110000001</v>
      </c>
      <c r="AA64" s="3">
        <f>3157.2+(196.1-841.7)+(-4.830516+(-0.300033--1.287801))+0--158.8-0.242964000000009</f>
        <v>2666.314288</v>
      </c>
      <c r="AB64" s="3">
        <f>3136.6+(184.5-804.7)+(-7.99833+(-0.470475--2.051985))+0--163.5-0.416924999999976</f>
        <v>2673.0662549999997</v>
      </c>
      <c r="AC64" s="3">
        <f>3149.7+(180.2-817)+(-3.212694+(-0.183804--0.83334))+0--170.5-0.173910000000027</f>
        <v>2680.6629319999997</v>
      </c>
      <c r="AD64">
        <f t="shared" si="0"/>
        <v>60930.569399</v>
      </c>
      <c r="AE64" s="3">
        <f>3220+(203.3-921.8)+(0+(0-0))+0--157.6-0</f>
        <v>2659.1</v>
      </c>
    </row>
    <row r="65" spans="1:31" s="2" customFormat="1" x14ac:dyDescent="0.25">
      <c r="A65">
        <v>89</v>
      </c>
      <c r="B65">
        <v>3</v>
      </c>
      <c r="C65">
        <v>3</v>
      </c>
      <c r="D65">
        <v>3</v>
      </c>
      <c r="E65">
        <v>1</v>
      </c>
      <c r="F65" s="3">
        <f>3157.7+(180.4-866.1)+(-4.831281+(-0.276012--1.325133))+0--174.9-0.26759700000001</f>
        <v>2642.8502429999999</v>
      </c>
      <c r="G65" s="3">
        <f>3183.5+(176.2-984.9)+(-1.623585+(-0.089862--0.502299))+0--175.2-0.0893519999999822</f>
        <v>2548.6995000000002</v>
      </c>
      <c r="H65" s="3">
        <f>3156+(183.8-1032.4)+(-1.60956+(-0.093738--0.526524))+0--173.8-0.0886379999999824</f>
        <v>2479.9345879999996</v>
      </c>
      <c r="I65" s="3">
        <f>3117.5+(182.8-1046.5)+(-3.17985+(-0.186456--1.06743))+0--171-0.174420000000027</f>
        <v>2422.3267040000005</v>
      </c>
      <c r="J65" s="3">
        <f>3058.1+(182.2-1021.9)+(-7.798155+(-0.46461--2.605845))+0--165.1-0.421004999999976</f>
        <v>2377.4220749999995</v>
      </c>
      <c r="K65" s="3">
        <f>2827+(174-874.7)+(-4.32531+(-0.26622--1.338291))+0--157-0.240210000000009</f>
        <v>2279.8065510000001</v>
      </c>
      <c r="L65" s="3">
        <f>2601.7+(244.5-907.3)+(-1.326867+(-0.124695--0.462723))+0--129.3-0.0659429999999869</f>
        <v>2067.1452179999997</v>
      </c>
      <c r="M65" s="3">
        <f>2649.4+(204-875.3)+(0+(0-0))+0--106.4-0</f>
        <v>2084.5</v>
      </c>
      <c r="N65" s="3">
        <f>2830.8+(184.2-913.5)+(-1.443708+(-0.093942--0.465885))+0--104.1-0.0530909999999894</f>
        <v>2204.475144</v>
      </c>
      <c r="O65" s="3">
        <f>2946.3+(205.7-976)+(-1.502613+(-0.104907--0.49776))+0--106.9-0.0545189999999892</f>
        <v>2281.7357210000005</v>
      </c>
      <c r="P65" s="3">
        <f>3147.1+(204.6-945.1)+(-1.605021+(-0.104346--0.482001))+0--131.3-0.0669629999999867</f>
        <v>2536.6056710000003</v>
      </c>
      <c r="Q65" s="3">
        <f>3171.6+(193.1-857.6)+(-3.235032+(-0.196962--0.874752))+0--155.9-0.159018000000025</f>
        <v>2660.2837400000003</v>
      </c>
      <c r="R65" s="3">
        <f>3175.5+(191.5-714.7)+(-3.23901+(-0.19533--0.728994))+0--162.9-0.166158000000026</f>
        <v>2812.3284960000001</v>
      </c>
      <c r="S65" s="3">
        <f>3138.7+(223.7-638.2)+(-3.201474+(-0.228174--0.650964))+0--170.6-0.174012000000027</f>
        <v>2891.8473039999999</v>
      </c>
      <c r="T65" s="3">
        <f>3150.7+(284.4-653.5)+(0+(0-0))+0--174.5-0</f>
        <v>2956.1</v>
      </c>
      <c r="U65" s="3">
        <f>3146.4+(270-647.4)+(-3.209328+(-0.2754--0.660348))+0--180.6-0.184212000000029</f>
        <v>2946.5914079999998</v>
      </c>
      <c r="V65" s="3">
        <f>3134.4+(221-623.5)+(-9.591264+(-0.67626--1.90791))+0--180.9-0.553554000000021</f>
        <v>2903.8868320000001</v>
      </c>
      <c r="W65" s="3">
        <f>3128.2+(179.3-722.5)+(-6.381528+(-0.365772--1.4739))+0--172.1-0.351083999999992</f>
        <v>2751.475516</v>
      </c>
      <c r="X65" s="3">
        <f>2984+(196.7-784)+(-9.13104+(-0.601902--2.39904))+0--161.7-0.494802000000019</f>
        <v>2550.5712959999996</v>
      </c>
      <c r="Y65" s="3">
        <f>2742.9+(269.2-735.5)+(-6.994395+(-0.68646--1.875525))+0--156.7-0.399584999999977</f>
        <v>2427.0950849999995</v>
      </c>
      <c r="Z65" s="3">
        <f>3096.6+(206-797.7)+(-4.737798+(-0.31518--1.220481))+0--164.8-0.25214400000001</f>
        <v>2665.6153589999999</v>
      </c>
      <c r="AA65" s="3">
        <f>3296.8+(197.7-880.3)+(-11.769576+(-0.705789--3.142671))+0--169.6-0.605472000000002</f>
        <v>2773.8618339999998</v>
      </c>
      <c r="AB65" s="3">
        <f>3289.3+(184-842.6)+(-6.710172+(-0.37536--1.718904))+0--174.3-0.355571999999992</f>
        <v>2799.2778000000003</v>
      </c>
      <c r="AC65" s="3">
        <f>3277.2+(177.3-842.3)+(-8.35686+(-0.452115--2.147865))+0--179.4-0.457469999999974</f>
        <v>2784.4814200000001</v>
      </c>
      <c r="AD65">
        <f t="shared" ref="AD65:AD128" si="1">SUM(F65:AC65)</f>
        <v>61848.917505000019</v>
      </c>
      <c r="AE65" s="3">
        <f>3289+(208.5-876.5)+(0+(0-0))+0--169.6-0</f>
        <v>2790.6</v>
      </c>
    </row>
    <row r="66" spans="1:31" s="2" customFormat="1" x14ac:dyDescent="0.25">
      <c r="A66">
        <v>89</v>
      </c>
      <c r="B66">
        <v>3</v>
      </c>
      <c r="C66">
        <v>4</v>
      </c>
      <c r="D66">
        <v>4</v>
      </c>
      <c r="E66">
        <v>1</v>
      </c>
      <c r="F66" s="3">
        <f>3213.1+(189.9-813.3)+(-4.916043+(-0.290547--1.244349))+0--183-0.279990000000011</f>
        <v>2768.4577689999996</v>
      </c>
      <c r="G66" s="3">
        <f>3218.6+(189.8-908.8)+(-4.924458+(-0.290394--1.390464))+0--182.2-0.278766000000011</f>
        <v>2677.6968459999998</v>
      </c>
      <c r="H66" s="3">
        <f>3228.2+(188.4-992.9)+(-3.292764+(-0.192168--1.012758))+0--180.4-0.184008000000029</f>
        <v>2601.4438179999997</v>
      </c>
      <c r="I66" s="3">
        <f>3207.4+(188-1011.4)+(-9.814644+(-0.57528--3.094884))+0--178.5-0.546210000000021</f>
        <v>2554.6587500000001</v>
      </c>
      <c r="J66" s="3">
        <f>3161.6+(185.1-1009.1)+(-3.224832+(-0.188802--1.029282))+0--176.5-0.180030000000028</f>
        <v>2511.5356179999999</v>
      </c>
      <c r="K66" s="3">
        <f>3154.8+(183.5-1057.6)+(-8.04474+(-0.467925--2.69688))+0--172.2-0.439109999999975</f>
        <v>2446.6451050000005</v>
      </c>
      <c r="L66" s="3">
        <f>2738.2+(177-863.9)+(-6.98241+(-0.45135--2.202945))+0--158.6-0.404429999999977</f>
        <v>2204.2647549999997</v>
      </c>
      <c r="M66" s="3">
        <f>2779.6+(213.5-908.7)+(-5.670384+(-0.43554--1.853748))+0--154.7-0.315587999999993</f>
        <v>2234.5322359999996</v>
      </c>
      <c r="N66" s="3">
        <f>2767.1+(228.6-838.3)+(-2.822442+(-0.233172--0.855066))+0--146.7-0.149634000000023</f>
        <v>2301.7498180000002</v>
      </c>
      <c r="O66" s="3">
        <f>2885.6+(255.9-892.2)+(-4.414968+(-0.391527--1.365066))+0--149.4-0.228582000000009</f>
        <v>2395.0299889999997</v>
      </c>
      <c r="P66" s="3">
        <f>2948.7+(263.2-899.5)+(-1.503837+(-0.134232--0.458745))+0--152.3-0.0776729999999846</f>
        <v>2463.4430029999999</v>
      </c>
      <c r="Q66" s="3">
        <f>3095+(220.2-923)+(-1.57845+(-0.112302--0.47073))+0--156.3-0.0797129999999841</f>
        <v>2547.2002649999999</v>
      </c>
      <c r="R66" s="3">
        <f>3125.9+(203.1-803.5)+(-3.188418+(-0.207162--0.81957))+0--170.3-0.173706000000027</f>
        <v>2693.0502839999999</v>
      </c>
      <c r="S66" s="3">
        <f>3101.7+(255-722.6)+(-3.163734+(-0.2601--0.737052))+0--200.4-0.204408000000032</f>
        <v>2831.6088099999997</v>
      </c>
      <c r="T66" s="3">
        <f>3119.8+(328.2-714.8)+(-4.773294+(-0.502146--1.093644))+0--176.6-0.27019800000001</f>
        <v>2905.3480060000002</v>
      </c>
      <c r="U66" s="3">
        <f>3147.9+(277.9-696.4)+(1.605429+(0.141729-0.355164))+0--173--0.0882299999999824</f>
        <v>2903.880224</v>
      </c>
      <c r="V66" s="3">
        <f>3148.8+(211.9-689.7)+(1.605888+(0.108069-0.351747))+0--173.1--0.0882809999999824</f>
        <v>2845.5504909999995</v>
      </c>
      <c r="W66" s="3">
        <f>3154+(215.5-883.2)+(-6.43416+(-0.43962--1.801728))+0--171.4-0.349655999999993</f>
        <v>2652.2782920000004</v>
      </c>
      <c r="X66" s="3">
        <f>2862.6+(299.2-927.6)+(-8.759556+(-0.915552--2.838456))+0--172.2-0.52693200000002</f>
        <v>2399.0364159999995</v>
      </c>
      <c r="Y66" s="3">
        <f>2653.9+(280.7-840.7)+(-6.767445+(-0.715785--2.143785))+0--171.8-0.438089999999975</f>
        <v>2259.9224650000001</v>
      </c>
      <c r="Z66" s="3">
        <f>3039.2+(231.8-916.4)+(-9.299952+(-0.709308--2.804184))+0--151-0.462060000000017</f>
        <v>2497.9328639999999</v>
      </c>
      <c r="AA66" s="3">
        <f>3294+(220.8-1042.7)+(-13.43952+(-0.900864--4.254216))+0--153.4-0.625871999999987</f>
        <v>2614.7879600000001</v>
      </c>
      <c r="AB66" s="3">
        <f>3263.1+(215-1016.2)+(-1.664181+(-0.10965--0.518262))+0--156.8-0.0799679999999841</f>
        <v>2617.3644629999999</v>
      </c>
      <c r="AC66" s="3">
        <f>3246.4+(203.7-1011.9)+(-8.27832+(-0.519435--2.580345))+0--162.6-0.414629999999976</f>
        <v>2594.1679599999998</v>
      </c>
      <c r="AD66">
        <f t="shared" si="1"/>
        <v>61521.586207000008</v>
      </c>
      <c r="AE66" s="3">
        <f>3278+(241.8-1032.8)+(0+(0-0))+0--172.6-0</f>
        <v>2659.6</v>
      </c>
    </row>
    <row r="67" spans="1:31" s="2" customFormat="1" x14ac:dyDescent="0.25">
      <c r="A67">
        <v>89</v>
      </c>
      <c r="B67">
        <v>3</v>
      </c>
      <c r="C67">
        <v>5</v>
      </c>
      <c r="D67">
        <v>5</v>
      </c>
      <c r="E67">
        <v>1</v>
      </c>
      <c r="F67" s="3">
        <f>3190.6+(221.7-954.6)+(-6.508824+(-0.452268--1.947384))+0--165.5-0.337619999999993</f>
        <v>2617.8486720000001</v>
      </c>
      <c r="G67" s="3">
        <f>3209.1+(222.7-1038.5)+(1.636641+(0.113577-0.529635))+0--165.4--0.0843539999999832</f>
        <v>2560.0049370000002</v>
      </c>
      <c r="H67" s="3">
        <f>3229.2+(219.6-1102.4)+(-8.23446+(-0.55998--2.81112))+0--163.4-0.416669999999976</f>
        <v>2503.4000099999998</v>
      </c>
      <c r="I67" s="3">
        <f>3151.6+(206.9-1066.8)+(-4.821948+(-0.316557--1.632204))+0--162.6-0.248778000000009</f>
        <v>2450.5449209999997</v>
      </c>
      <c r="J67" s="3">
        <f>3021.9+(193.9-1001.3)+(-1.541169+(-0.098889--0.510663))+0--160.6-0.0819059999999837</f>
        <v>2373.8886990000001</v>
      </c>
      <c r="K67" s="3">
        <f>3011.3+(184.2-1064.8)+(-9.214578+(-0.563652--3.258288))+0--155.7-0.476442000000018</f>
        <v>2279.4036160000001</v>
      </c>
      <c r="L67" s="3">
        <f>2882.3+(178.8-1061.8)+(-5.879892+(-0.364752--2.166072))+0--166.8-0.340271999999993</f>
        <v>2161.6811560000006</v>
      </c>
      <c r="M67" s="3">
        <f>2803.2+(170.8-975.1)+(-2.859264+(-0.174216--0.994602))+0--174.6-0.178092000000028</f>
        <v>2171.2830299999996</v>
      </c>
      <c r="N67" s="3">
        <f>2782+(185.9-847.1)+(1.41882+(0.094809-0.432021))+0--174.8--0.0891479999999823</f>
        <v>2296.7707560000003</v>
      </c>
      <c r="O67" s="3">
        <f>2766.8+(213.3-789.7)+(-5.644272+(-0.435132--1.610988))+0--173.7-0.354347999999992</f>
        <v>2359.2772359999999</v>
      </c>
      <c r="P67" s="3">
        <f>2723.2+(291.2-719.2)+(0+(0-0))+0--171.5-0</f>
        <v>2466.6999999999998</v>
      </c>
      <c r="Q67" s="3">
        <f>2746.9+(284.9-667.6)+(-1.400919+(-0.145299--0.340476))+0--188.6-0.0961859999999809</f>
        <v>2551.4980719999999</v>
      </c>
      <c r="R67" s="3">
        <f>2747.4+(249.6-540)+(-1.401174+(-0.127296--0.2754))+0--158.9-0.0810389999999839</f>
        <v>2614.5658909999997</v>
      </c>
      <c r="S67" s="3">
        <f>2764.8+(323.6-467)+(-1.410048+(-0.165036--0.23817))+0--163.4-0.0833339999999834</f>
        <v>2783.3797520000003</v>
      </c>
      <c r="T67" s="3">
        <f>2768.3+(437.6-479)+(-2.823666+(-0.446352--0.48858))+0--170.2-0.173604000000027</f>
        <v>2894.1449579999999</v>
      </c>
      <c r="U67" s="3">
        <f>2894.4+(405.6-550.6)+(-1.476144+(-0.206856--0.280806))+0--174.4-0.0889439999999823</f>
        <v>2922.3088620000003</v>
      </c>
      <c r="V67" s="3">
        <f>2897+(358.5-579.5)+(-4.43241+(-0.548505--0.886635))+0--168.8-0.25826400000001</f>
        <v>2840.4474560000003</v>
      </c>
      <c r="W67" s="3">
        <f>3018.2+(183.2-735)+(-10.774974+(-0.654024--2.62395))+0--163.1-0.582267000000002</f>
        <v>2620.1126849999991</v>
      </c>
      <c r="X67" s="3">
        <f>3008.2+(200-998.7)+(-10.739274+(-0.714--3.565359))+0--157.7-0.562989000000002</f>
        <v>2358.749096</v>
      </c>
      <c r="Y67" s="3">
        <f>2842.7+(210.6-964.7)+(-5.799108+(-0.429624--1.967988))+0--154.8-0.315791999999993</f>
        <v>2238.8234640000001</v>
      </c>
      <c r="Z67" s="3">
        <f>2926.8+(222.4-823.9)+(-2.985336+(-0.226848--0.840378))+0--160.4-0.163608000000026</f>
        <v>2483.1645860000003</v>
      </c>
      <c r="AA67" s="3">
        <f>3299+(205.7-1055.2)+(-10.09494+(-0.629442--3.228912))+0--167.4-0.512244000000019</f>
        <v>2608.8922860000002</v>
      </c>
      <c r="AB67" s="3">
        <f>3230.6+(185.4-971.5)+(1.647606+(0.094554-0.495465))+0--166.8--0.0850679999999831</f>
        <v>2612.6317629999999</v>
      </c>
      <c r="AC67" s="3">
        <f>3220.3+(175.3-959.5)+(-1.642353+(-0.089403--0.489345))+0--172.3-0.0878729999999825</f>
        <v>2607.0697160000004</v>
      </c>
      <c r="AD67">
        <f t="shared" si="1"/>
        <v>60376.591619999992</v>
      </c>
      <c r="AE67" s="3">
        <f>3332+(208-1133.9)+(0+(0-0))+0--167.9-0</f>
        <v>2574</v>
      </c>
    </row>
    <row r="68" spans="1:31" s="2" customFormat="1" x14ac:dyDescent="0.25">
      <c r="A68">
        <v>89</v>
      </c>
      <c r="B68">
        <v>3</v>
      </c>
      <c r="C68">
        <v>6</v>
      </c>
      <c r="D68">
        <v>6</v>
      </c>
      <c r="E68">
        <v>1</v>
      </c>
      <c r="F68" s="3">
        <f>3206.1+(163.5-950.6)+(-6.540444+(-0.33354--1.939224))+0--175.8-0.358631999999992</f>
        <v>2589.5066080000001</v>
      </c>
      <c r="G68" s="3">
        <f>3223.5+(163.9-1054.1)+(-1.643985+(-0.083589--0.537591))+0--175.8-0.0896579999999822</f>
        <v>2507.8203590000003</v>
      </c>
      <c r="H68" s="3">
        <f>3237.4+(166.4-1141.6)+(-3.302148+(-0.169728--1.164432))+0--174.8-0.178296000000028</f>
        <v>2434.5142600000004</v>
      </c>
      <c r="I68" s="3">
        <f>3100.6+(170-1069.9)+(-9.487836+(-0.5202--3.273894))+0--171-0.52326000000002</f>
        <v>2364.4425980000001</v>
      </c>
      <c r="J68" s="3">
        <f>3033.7+(166.9-1060)+(-4.641561+(-0.255357--1.6218))+0--169.6-0.25948800000001</f>
        <v>2306.6653939999997</v>
      </c>
      <c r="K68" s="3">
        <f>2980.4+(157.1-1075)+(-12.160032+(-0.640968--4.386))+0--164.9-0.672791999999986</f>
        <v>2218.3122080000003</v>
      </c>
      <c r="L68" s="3">
        <f>2716.9+(194.5-1081)+(-2.771238+(-0.19839--1.10262))+0--156.4-0.159528000000025</f>
        <v>1984.7734640000001</v>
      </c>
      <c r="M68" s="3">
        <f>2832.5+(173.9-1149)+(0+(0-0))+0--156.3-0</f>
        <v>2013.7</v>
      </c>
      <c r="N68" s="3">
        <f>2846.6+(168-1050.9)+(2.903532+(0.17136-1.071918))+0--155.7--0.158814000000025</f>
        <v>2121.5617879999995</v>
      </c>
      <c r="O68" s="3">
        <f>2730.3+(179.6-881)+(-2.784906+(-0.183192--0.89862))+0--156.6-0.159732000000025</f>
        <v>2183.27079</v>
      </c>
      <c r="P68" s="3">
        <f>2782.4+(177-825.3)+(-1.419024+(-0.09027--0.420903))+0--157.8-0.080477999999984</f>
        <v>2290.7311310000009</v>
      </c>
      <c r="Q68" s="3">
        <f>2969.4+(185.5-915.6)+(0+(0-0))+0--162.1-0</f>
        <v>2401.4</v>
      </c>
      <c r="R68" s="3">
        <f>3042.5+(177.8-795.3)+(-4.655025+(-0.272034--1.216809))+0--168.3-0.25749900000001</f>
        <v>2589.3322510000003</v>
      </c>
      <c r="S68" s="3">
        <f>3035.9+(213-693.5)+(-3.096618+(-0.21726--0.70737))+0--177-0.180540000000028</f>
        <v>2729.6129520000004</v>
      </c>
      <c r="T68" s="3">
        <f>3135.5+(261.1-744)+(-3.19821+(-0.266322--0.75888))+0--182.5-0.186150000000029</f>
        <v>2832.2081979999998</v>
      </c>
      <c r="U68" s="3">
        <f>3178.4+(244.1-744.6)+(-3.241968+(-0.248982--0.759492))+0--184.1-0.187782000000029</f>
        <v>2859.0807599999998</v>
      </c>
      <c r="V68" s="3">
        <f>3165.1+(176.9-733.1)+(-1.614201+(-0.090219--0.373881))+0--180.5-0.0920549999999817</f>
        <v>2787.9774059999995</v>
      </c>
      <c r="W68" s="3">
        <f>3166+(165.2-927.4)+(-8.0733+(-0.42126--2.36487))+0--171.6-0.437579999999975</f>
        <v>2568.8327300000001</v>
      </c>
      <c r="X68" s="3">
        <f>2949.5+(177.1-980)+(-7.521225+(-0.451605--2.499))+0--158.2-0.403409999999977</f>
        <v>2298.9227599999999</v>
      </c>
      <c r="Y68" s="3">
        <f>2679.4+(186.6-855.3)+(-2.732988+(-0.190332--0.872406))+0--151.7-0.154734000000024</f>
        <v>2160.194352</v>
      </c>
      <c r="Z68" s="3">
        <f>3005.2+(183.6-901.9)+(-4.597956+(-0.280908--1.379907))+0--160.5-0.245565000000009</f>
        <v>2443.6554779999997</v>
      </c>
      <c r="AA68" s="3">
        <f>3239.2+(179.5-1014.3)+(-4.955976+(-0.274635--1.551879))+0--163.7-0.250461000000009</f>
        <v>2564.1708069999995</v>
      </c>
      <c r="AB68" s="3">
        <f>3235.3+(176.2-1010.7)+(-6.600012+(-0.359448--2.061828))+0--166.3-0.339251999999993</f>
        <v>2561.863116</v>
      </c>
      <c r="AC68" s="3">
        <f>3258+(168.6-1027.7)+(-6.64632+(-0.343944--2.096508))+0--170.4-0.347615999999993</f>
        <v>2564.0586280000002</v>
      </c>
      <c r="AD68">
        <f t="shared" si="1"/>
        <v>58376.608037999998</v>
      </c>
      <c r="AE68" s="3">
        <f>3230+(188.3-1057)+(0+(0-0))+0--164.3-0</f>
        <v>2525.6000000000004</v>
      </c>
    </row>
    <row r="69" spans="1:31" s="2" customFormat="1" x14ac:dyDescent="0.25">
      <c r="A69">
        <v>89</v>
      </c>
      <c r="B69">
        <v>3</v>
      </c>
      <c r="C69">
        <v>7</v>
      </c>
      <c r="D69">
        <v>7</v>
      </c>
      <c r="E69">
        <v>1</v>
      </c>
      <c r="F69" s="3">
        <f>3241.1+(173.8-1029.3)+(6.611844+(0.354552-2.099772))+0--174.4--0.355775999999992</f>
        <v>2565.2223999999997</v>
      </c>
      <c r="G69" s="3">
        <f>3256.9+(166.7-1090.6)+(3.322038+(0.170034-1.112412))+0--175.7--0.179214000000028</f>
        <v>2511.2588740000001</v>
      </c>
      <c r="H69" s="3">
        <f>3268.6+(171.1-1177.5)+(3.333972+(0.174522-1.20105))+0--173.2--0.176664000000028</f>
        <v>2437.8841079999997</v>
      </c>
      <c r="I69" s="3">
        <f>3249.1+(170.1-1221.6)+(0+(0-0))+0--171.5-0</f>
        <v>2369.1</v>
      </c>
      <c r="J69" s="3">
        <f>2756.2+(195.3-813.2)+(2.811324+(0.199206-0.829464))+0--169.5--0.172890000000027</f>
        <v>2310.1539559999997</v>
      </c>
      <c r="K69" s="3">
        <f>2555.9+(211.8-710.9)+(-3.910527+(-0.324054--1.087677))+0--165.3-0.25290900000001</f>
        <v>2218.7001870000004</v>
      </c>
      <c r="L69" s="3">
        <f>2340.7+(193.5-726.8)+(-3.581271+(-0.296055--1.112004))+0--153.6-0.235008000000009</f>
        <v>1957.9996699999997</v>
      </c>
      <c r="M69" s="3">
        <f>2296+(193.8-738.6)+(-2.34192+(-0.197676--0.753372))+0--149.5-0.152490000000024</f>
        <v>1898.7612860000002</v>
      </c>
      <c r="N69" s="3">
        <f>2091.6+(246.7-567.2)+(-3.200148+(-0.377451--0.867816))+0--149.2-0.228276000000009</f>
        <v>1917.3619409999999</v>
      </c>
      <c r="O69" s="3">
        <f>1880.2+(321.1-402.3)+(-2.876706+(-0.491283--0.615519))+0--151.4-0.231642000000009</f>
        <v>1947.4158880000002</v>
      </c>
      <c r="P69" s="3">
        <f>2118.5+(239.5-468.1)+(0+(0-0))+0--156.6-0</f>
        <v>2046.5</v>
      </c>
      <c r="Q69" s="3">
        <f>2474.2+(176.8-580.4)+(-1.261842+(-0.090168--0.296004))+0--160.9-0.0820589999999837</f>
        <v>2230.3619350000004</v>
      </c>
      <c r="R69" s="3">
        <f>2719.6+(158.5-639.8)+(0+(0-0))+0--169.4-0</f>
        <v>2407.7000000000003</v>
      </c>
      <c r="S69" s="3">
        <f>2722.9+(299.3-602.3)+(-1.388679+(-0.152643--0.307173))+0.8--176.8-0.0901679999999821</f>
        <v>2596.1756830000004</v>
      </c>
      <c r="T69" s="3">
        <f>2709.8+(426.2-614)+(0+(0-0))+0--181.9-0</f>
        <v>2703.9</v>
      </c>
      <c r="U69" s="3">
        <f>2708.6+(430.2-600)+(1.381386+(0.219402-0.306))+0--183.2--0.0934319999999814</f>
        <v>2723.3882199999998</v>
      </c>
      <c r="V69" s="3">
        <f>2794.1+(323.5-623.9)+(-8.549946+(-0.98991--1.909134))+0--180.3-0.551718000000021</f>
        <v>2665.81756</v>
      </c>
      <c r="W69" s="3">
        <f>2706.6+(180.6-578.7)+(-8.282196+(-0.552636--1.770822))+0--171.7-0.52540200000002</f>
        <v>2472.6105879999996</v>
      </c>
      <c r="X69" s="3">
        <f>2439.7+(192.7-614.7)+(-4.976988+(-0.393108--1.253988))+0--156.6-0.319463999999993</f>
        <v>2169.8644279999999</v>
      </c>
      <c r="Y69" s="3">
        <f>2654.1+(169.6-935.5)+(-4.060773+(-0.259488--1.431315))+0--150.9-0.230877000000009</f>
        <v>2035.9801769999999</v>
      </c>
      <c r="Z69" s="3">
        <f>3075.9+(180.8-1075.5)+(-4.706127+(-0.276624--1.645515))+0--159.9-0.244647000000009</f>
        <v>2337.5181170000001</v>
      </c>
      <c r="AA69" s="3">
        <f>3251.5+(193.5-1093.5)+(-3.31653+(-0.19737--1.11537))+0--164-0.167280000000026</f>
        <v>2512.9341899999999</v>
      </c>
      <c r="AB69" s="3">
        <f>3191.3+(188.7-985.9)+(-3.255126+(-0.192474--1.005618))+0--167.2-0.170544000000027</f>
        <v>2558.6874740000003</v>
      </c>
      <c r="AC69" s="3">
        <f>3216.8+(177-993.3)+(-6.562272+(-0.36108--2.026332))+0--172-0.350879999999992</f>
        <v>2567.2521000000002</v>
      </c>
      <c r="AD69">
        <f t="shared" si="1"/>
        <v>56162.548781999998</v>
      </c>
      <c r="AE69" s="3">
        <f>3142+(191.6-1007.6)+(0+(0-0))+0--166.8-0</f>
        <v>2492.8000000000002</v>
      </c>
    </row>
    <row r="70" spans="1:31" s="2" customFormat="1" x14ac:dyDescent="0.25">
      <c r="A70">
        <v>89</v>
      </c>
      <c r="B70">
        <v>3</v>
      </c>
      <c r="C70">
        <v>8</v>
      </c>
      <c r="D70">
        <v>1</v>
      </c>
      <c r="E70">
        <v>1</v>
      </c>
      <c r="F70" s="3">
        <f>3252.1+(168.7-976.4)+(-4.975713+(-0.258111--1.493892))+0--175.5-0.26851500000001</f>
        <v>2615.8915529999995</v>
      </c>
      <c r="G70" s="3">
        <f>3210.6+(163.9-1004)+(-11.461842+(-0.585123--3.58428))+0--172.8-0.616896000000002</f>
        <v>2534.2204190000002</v>
      </c>
      <c r="H70" s="3">
        <f>3084+(160.6-963.4)+(-6.29136+(-0.327624--1.965336))+0--170.6-0.348023999999993</f>
        <v>2446.7983279999999</v>
      </c>
      <c r="I70" s="3">
        <f>2915.3+(166.5-857.2)+(-1.486803+(-0.084915--0.437172))+0--167.9-0.085628999999983</f>
        <v>2391.2798250000005</v>
      </c>
      <c r="J70" s="3">
        <f>2907.8+(171.8-903.4)+(0+(0-0))+0--165.6-0</f>
        <v>2341.8000000000002</v>
      </c>
      <c r="K70" s="3">
        <f>2867.1+(172.8-913.8)+(-7.311105+(-0.44064--2.33019))+0--161.2-0.411059999999977</f>
        <v>2281.4673849999999</v>
      </c>
      <c r="L70" s="3">
        <f>2805.6+(158.7-1019.8)+(-1.430856+(-0.080937--0.520098))+0--151.2-0.0771119999999847</f>
        <v>2094.6311930000002</v>
      </c>
      <c r="M70" s="3">
        <f>2901+(191.9-1135.6)+(0+(0-0))+0--148.2-0</f>
        <v>2105.5</v>
      </c>
      <c r="N70" s="3">
        <f>3166+(207.4-1214.7)+(-4.84398+(-0.317322--1.858491))+0--150.6-0.230418000000009</f>
        <v>2305.7667709999996</v>
      </c>
      <c r="O70" s="3">
        <f>3191.1+(213.5-1167.4)+(-1.627461+(-0.108885--0.595374))+0--151.9-0.0774689999999846</f>
        <v>2387.8815589999999</v>
      </c>
      <c r="P70" s="3">
        <f>3209.4+(213.2-1092.4)+(0+(0-0))+0--154.8-0</f>
        <v>2485</v>
      </c>
      <c r="Q70" s="3">
        <f>3291.4+(214.2-1048.7)+(-1.678614+(-0.109242--0.534837))+0--160-0.0815999999999838</f>
        <v>2615.5653809999999</v>
      </c>
      <c r="R70" s="3">
        <f>3316.1+(209.5-979.1)+(0+(0-0))+0--170.8-0</f>
        <v>2717.3</v>
      </c>
      <c r="S70" s="3">
        <f>3316.5+(205.7-843.7)+(1.691415+(0.104907-0.430287))+0--168.6--0.0859859999999829</f>
        <v>2848.552021</v>
      </c>
      <c r="T70" s="3">
        <f>3318.7+(256.5-789.1)+(0+(0-0))+0--169.4-0</f>
        <v>2955.5</v>
      </c>
      <c r="U70" s="3">
        <f>3313.3+(238.7-737.6)+(-1.689783+(-0.121737--0.376176))+0--170.4-0.0869039999999827</f>
        <v>2983.2777520000004</v>
      </c>
      <c r="V70" s="3">
        <f>3292.8+(208.4-743.4)+(-5.037984+(-0.318852--1.137402))+0--166.5-0.25474500000001</f>
        <v>2919.8258209999999</v>
      </c>
      <c r="W70" s="3">
        <f>3263.4+(195.7-916.4)+(-11.650338+(-0.698649--3.271548))+0--161.1-0.575127000000002</f>
        <v>2694.1474339999995</v>
      </c>
      <c r="X70" s="3">
        <f>3018.8+(204.8-961)+(-7.69794+(-0.52224--2.45055))+0--149.1-0.380204999999978</f>
        <v>2405.5501650000006</v>
      </c>
      <c r="Y70" s="3">
        <f>2925+(222.8-1024.6)+(-1.49175+(-0.113628--0.522546))+0--145.1-0.0740009999999853</f>
        <v>2267.1431669999997</v>
      </c>
      <c r="Z70" s="3">
        <f>3144.4+(218.6-966.8)+(-1.603644+(-0.111486--0.493068))+0--153-0.0780299999999845</f>
        <v>2547.8999080000003</v>
      </c>
      <c r="AA70" s="3">
        <f>3319+(207.2-1010.2)+(-3.38538+(-0.211344--1.030404))+0--157.9-0.161058000000025</f>
        <v>2671.172622</v>
      </c>
      <c r="AB70" s="3">
        <f>3352+(196.7-1005.8)+(-8.5476+(-0.501585--2.56479))+0--161.9-0.412844999999977</f>
        <v>2697.9027600000004</v>
      </c>
      <c r="AC70" s="3">
        <f>3382.8+(202.5-1050.5)+(-6.900912+(-0.4131--2.14302))+0--166.3-0.339251999999993</f>
        <v>2695.5897560000003</v>
      </c>
      <c r="AD70">
        <f t="shared" si="1"/>
        <v>61009.663820000002</v>
      </c>
      <c r="AE70" s="3">
        <f>3309+(206-999.9)+(0+(0-0))+0--157.8-0</f>
        <v>2672.9</v>
      </c>
    </row>
    <row r="71" spans="1:31" s="2" customFormat="1" x14ac:dyDescent="0.25">
      <c r="A71">
        <v>89</v>
      </c>
      <c r="B71">
        <v>3</v>
      </c>
      <c r="C71">
        <v>9</v>
      </c>
      <c r="D71">
        <v>2</v>
      </c>
      <c r="E71">
        <v>1</v>
      </c>
      <c r="F71" s="3">
        <f>3402.7+(196.5-1087)+(-5.206131+(-0.300645--1.66311))+0--170.3-0.26055900000001</f>
        <v>2678.395775</v>
      </c>
      <c r="G71" s="3">
        <f>3398.7+(193.2-1167.9)+(-3.466674+(-0.197064--1.191258))+0--169.3-0.172686000000027</f>
        <v>2590.6548340000004</v>
      </c>
      <c r="H71" s="3">
        <f>3378.5+(199-1229.9)+(-1.723035+(-0.10149--0.627249))+0--167.5-0.085424999999983</f>
        <v>2513.8172990000003</v>
      </c>
      <c r="I71" s="3">
        <f>3228.5+(203.3-1149.4)+(-6.58614+(-0.414732--2.344776))+0--163.2-0.332927999999993</f>
        <v>2440.6109759999995</v>
      </c>
      <c r="J71" s="3">
        <f>2879.4+(284.2-950)+(-1.468494+(-0.144942--0.4845))+0--159.9-0.0815489999999838</f>
        <v>2372.2895150000004</v>
      </c>
      <c r="K71" s="3">
        <f>2811.3+(299.9-991.2)+(-4.301289+(-0.458847--1.516536))+0--157.1-0.240363000000009</f>
        <v>2273.6160370000002</v>
      </c>
      <c r="L71" s="3">
        <f>2752.6+(257.1-1102)+(-5.615304+(-0.524484--2.24808))+0--148.5-0.302939999999993</f>
        <v>2052.0053519999997</v>
      </c>
      <c r="M71" s="3">
        <f>2834.6+(216.4-1125.7)+(0+(0-0))+0--141.3-0</f>
        <v>2066.6</v>
      </c>
      <c r="N71" s="3">
        <f>2957.8+(221.9-1116.9)+(1.508478+(0.113169-0.569619))+0--138.9--0.0708389999999859</f>
        <v>2202.8228670000003</v>
      </c>
      <c r="O71" s="3">
        <f>3063.3+(230.9-1136.4)+(-1.562283+(-0.117759--0.579564))+0--139.7-0.0712469999999858</f>
        <v>2296.3282750000003</v>
      </c>
      <c r="P71" s="3">
        <f>3176.5+(227.6-1134.1)+(1.620015+(0.116076-0.578391))+0--143.2--0.0730319999999855</f>
        <v>2414.4307319999998</v>
      </c>
      <c r="Q71" s="3">
        <f>3248.6+(211.2-1038)+(0+(0-0))+0--148.9-0</f>
        <v>2570.7000000000003</v>
      </c>
      <c r="R71" s="3">
        <f>3240+(204.5-838.9)+(-3.3048+(-0.20859--0.855678))+0--160.6-0.163812000000026</f>
        <v>2763.3784759999994</v>
      </c>
      <c r="S71" s="3">
        <f>3271.1+(193.5-721.2)+(-3.336522+(-0.19737--0.735624))+0--171.7-0.175134000000027</f>
        <v>2912.1265979999994</v>
      </c>
      <c r="T71" s="3">
        <f>3326.7+(196.6-713.2)+(0+(0-0))+0--175.3-0</f>
        <v>2985.4</v>
      </c>
      <c r="U71" s="3">
        <f>3306.7+(208.4-716.6)+(1.686417+(0.106284-0.365466))+0--175.9--0.0897089999999822</f>
        <v>2975.9169440000001</v>
      </c>
      <c r="V71" s="3">
        <f>3311.3+(212.1-744.5)+(-5.066289+(-0.324513--1.139085))+0--173.3-0.26514900000001</f>
        <v>2947.6831340000003</v>
      </c>
      <c r="W71" s="3">
        <f>3318.8+(223-988)+(-5.077764+(-0.34119--1.51164))+0--164.6-0.25183800000001</f>
        <v>2714.2408479999999</v>
      </c>
      <c r="X71" s="3">
        <f>3270.6+(246.9-1236.2)+(-13.344048+(-1.007352--5.043696))+0--153.9-0.627911999999987</f>
        <v>2425.2643840000001</v>
      </c>
      <c r="Y71" s="3">
        <f>2800.8+(319.6-955.7)+(-1.428408+(-0.162996--0.487407))+0--143.5-0.0731849999999854</f>
        <v>2307.0228179999999</v>
      </c>
      <c r="Z71" s="3">
        <f>3141.4+(232.8-938.8)+(0+(0-0))+0--150.9-0</f>
        <v>2586.3000000000002</v>
      </c>
      <c r="AA71" s="3">
        <f>3342.6+(219.6-987.8)+(-5.114178+(-0.335988--1.511334))+0--158.5-0.242505000000009</f>
        <v>2728.7186630000001</v>
      </c>
      <c r="AB71" s="3">
        <f>3369.7+(202.4-977.5)+(-5.155641+(-0.309672--1.495575))+0--162.2-0.248166000000009</f>
        <v>2752.5820960000001</v>
      </c>
      <c r="AC71" s="3">
        <f>3393.7+(188.6-1016.6)+(-8.653935+(-0.48093--2.59233))+0--167.6-0.427379999999976</f>
        <v>2726.3300849999996</v>
      </c>
      <c r="AD71">
        <f t="shared" si="1"/>
        <v>61297.235708</v>
      </c>
      <c r="AE71" s="3">
        <f>3325+(224-974.9)+(0+(0-0))+0--158.5-0</f>
        <v>2732.6</v>
      </c>
    </row>
    <row r="72" spans="1:31" s="2" customFormat="1" x14ac:dyDescent="0.25">
      <c r="A72">
        <v>89</v>
      </c>
      <c r="B72">
        <v>3</v>
      </c>
      <c r="C72">
        <v>10</v>
      </c>
      <c r="D72">
        <v>3</v>
      </c>
      <c r="E72">
        <v>1</v>
      </c>
      <c r="F72" s="3">
        <f>3415.1+(180.4-1063.4)+(-1.741701+(-0.092004--0.542334))+0--171.1-0.0872609999999826</f>
        <v>2701.8213679999999</v>
      </c>
      <c r="G72" s="3">
        <f>3426.3+(176.6-1158.1)+(-3.494826+(-0.180132--1.181262))+0--170.2-0.173604000000027</f>
        <v>2612.3326999999999</v>
      </c>
      <c r="H72" s="3">
        <f>3440+(180.2-1256.3)+(0+(0-0))+0--168.6-0</f>
        <v>2532.5</v>
      </c>
      <c r="I72" s="3">
        <f>3314.8+(189.6-1186.5)+(-5.071644+(-0.290088--1.815345))+0--167.2-0.25581600000001</f>
        <v>2481.2977970000002</v>
      </c>
      <c r="J72" s="3">
        <f>3038+(260.3-1041)+(-4.64814+(-0.398259--1.59273))+0--165.4-0.25306200000001</f>
        <v>2418.9932690000001</v>
      </c>
      <c r="K72" s="3">
        <f>2836.1+(290.5-968.7)+(-2.892822+(-0.29631--0.988074))+0--158.6-0.161772000000025</f>
        <v>2314.1371699999995</v>
      </c>
      <c r="L72" s="3">
        <f>2801.1+(300-1103.4)+(0+(0-0))+0--117.2-0</f>
        <v>2114.8999999999996</v>
      </c>
      <c r="M72" s="3">
        <f>2961.3+(229.5-1164.7)+(1.510263+(0.117045-0.593997))+0--96.4--0.0491639999999902</f>
        <v>2123.5824750000002</v>
      </c>
      <c r="N72" s="3">
        <f>3194.5+(212.5-1278.3)+(3.25839+(0.21675-1.303866))+0--96.4--0.0983280000000154</f>
        <v>2227.3696019999998</v>
      </c>
      <c r="O72" s="3">
        <f>3294.1+(223.1-1310.7)+(0+(0-0))+0--126.6-0</f>
        <v>2333.1</v>
      </c>
      <c r="P72" s="3">
        <f>3233.1+(233.1-1161.9)+(1.648881+(0.118881-0.592569))+0--138.4--0.070583999999986</f>
        <v>2443.9457769999999</v>
      </c>
      <c r="Q72" s="3">
        <f>3170.6+(230.9-953.1)+(1.617006+(0.117759-0.486081))+0--147.9--0.075428999999985</f>
        <v>2597.6241129999999</v>
      </c>
      <c r="R72" s="3">
        <f>3226.1+(209.9-829.4)+(-3.290622+(-0.214098--0.845988))+0--159.7-0.162894000000025</f>
        <v>2763.4783739999998</v>
      </c>
      <c r="S72" s="3">
        <f>3220.5+(192.5-687.8)+(-3.28491+(-0.19635--0.701556))+0--165.8-0.169116000000026</f>
        <v>2888.0511799999999</v>
      </c>
      <c r="T72" s="3">
        <f>3201.4+(257.3-644.4)+(-1.632714+(-0.131223--0.328644))+0--168.9-0.0861389999999829</f>
        <v>2981.6785680000003</v>
      </c>
      <c r="U72" s="3">
        <f>3231.6+(245.8-653)+(-3.296232+(-0.250716--0.66606))+0--168.9-0.172278000000027</f>
        <v>2990.246834</v>
      </c>
      <c r="V72" s="3">
        <f>3251.1+(194.5-671.7)+(-6.632244+(-0.39678--1.370268))+0--167.1-0.340883999999993</f>
        <v>2935.0003599999995</v>
      </c>
      <c r="W72" s="3">
        <f>3220.8+(206.5-861)+(-9.855648+(-0.63189--2.63466))+0--159.9-0.489294000000018</f>
        <v>2717.8578280000002</v>
      </c>
      <c r="X72" s="3">
        <f>2970.9+(247.6-954.4)+(-7.575795+(-0.63138--2.43372))+0--146.6-0.373829999999979</f>
        <v>2404.5527150000003</v>
      </c>
      <c r="Y72" s="3">
        <f>2710.2+(213.8-800.2)+(-2.764404+(-0.218076--0.816204))+0--140.7-0.143514000000022</f>
        <v>2262.1902099999998</v>
      </c>
      <c r="Z72" s="3">
        <f>2828.7+(221.2-664)+(-2.885274+(-0.225624--0.67728))+0--149.6-0.152592000000024</f>
        <v>2532.9137899999996</v>
      </c>
      <c r="AA72" s="3">
        <f>3182.2+(215-883.8)+(-1.622922+(-0.10965--0.450738))+0--156.2-0.0796619999999841</f>
        <v>2668.2385039999995</v>
      </c>
      <c r="AB72" s="3">
        <f>3315.6+(189-957.8)+(-3.381912+(-0.19278--0.976956))+0--160-0.163200000000026</f>
        <v>2704.0390640000001</v>
      </c>
      <c r="AC72" s="3">
        <f>3310.4+(186.2-957)+(-5.064912+(-0.284886--1.46421))+0--164.7-0.25199100000001</f>
        <v>2700.162421</v>
      </c>
      <c r="AD72">
        <f t="shared" si="1"/>
        <v>61450.014118999992</v>
      </c>
      <c r="AE72" s="3">
        <f>3026+(216.5-753.4)+(0+(0-0))+0--154.4-0</f>
        <v>2643.5</v>
      </c>
    </row>
    <row r="73" spans="1:31" s="2" customFormat="1" x14ac:dyDescent="0.25">
      <c r="A73">
        <v>89</v>
      </c>
      <c r="B73">
        <v>3</v>
      </c>
      <c r="C73">
        <v>11</v>
      </c>
      <c r="D73">
        <v>4</v>
      </c>
      <c r="E73">
        <v>1</v>
      </c>
      <c r="F73" s="3">
        <f>3391.5+(203.9-1062.9)+(-8.648325+(-0.519945--2.710395))+0--168.7-0.430184999999976</f>
        <v>2694.3119399999996</v>
      </c>
      <c r="G73" s="3">
        <f>3257.1+(200.7-1007.9)+(-4.983363+(-0.307071--1.542087))+0--168.3-0.25749900000001</f>
        <v>2614.1941539999998</v>
      </c>
      <c r="H73" s="3">
        <f>3233.6+(205.9-1074.7)+(-4.947408+(-0.315027--1.644291))+0--166.6-0.25489800000001</f>
        <v>2527.5269579999995</v>
      </c>
      <c r="I73" s="3">
        <f>3217.5+(202.9-1105)+(0+(0-0))+0--165.1-0</f>
        <v>2480.5</v>
      </c>
      <c r="J73" s="3">
        <f>3113+(172.1-985.8)+(1.58763+(0.087771-0.502758))+0--135.9--0.0693089999999862</f>
        <v>2436.4419520000001</v>
      </c>
      <c r="K73" s="3">
        <f>2945.1+(202.7-909.9)+(-9.012006+(-0.620262--2.784294))+0--112.9-0.345474000000013</f>
        <v>2343.6065519999997</v>
      </c>
      <c r="L73" s="3">
        <f>2730.9+(286.5-1015.1)+(-1.392759+(-0.146115--0.517701))+0--102.7-0.0523769999999896</f>
        <v>2103.9264499999999</v>
      </c>
      <c r="M73" s="3">
        <f>2830.7+(292.1-1096.5)+(-5.774628+(-0.595884--2.23686))+0--98.7-0.201347999999996</f>
        <v>2120.6649999999995</v>
      </c>
      <c r="N73" s="3">
        <f>2953.5+(253.9-1079.9)+(1.506285+(0.129489-0.550749))+0--97--0.0494699999999902</f>
        <v>2225.6344949999998</v>
      </c>
      <c r="O73" s="3">
        <f>3192.8+(229.6-1224.7)+(1.628328+(0.117096-0.624597))+0--118.9--0.0606389999999879</f>
        <v>2317.7814660000004</v>
      </c>
      <c r="P73" s="3">
        <f>3247.9+(232.8-1192.4)+(-3.312858+(-0.237456--1.216248))+0--138.8-0.141576000000022</f>
        <v>2424.6243580000005</v>
      </c>
      <c r="Q73" s="3">
        <f>3259.8+(220.3-1043)+(-1.662498+(-0.112353--0.53193))+0--150.1-0.0765509999999848</f>
        <v>2585.8805280000001</v>
      </c>
      <c r="R73" s="3">
        <f>3239.1+(214.3-837.1)+(1.651941+(0.109293-0.426921))+0--156.3--0.0797129999999841</f>
        <v>2774.0140260000003</v>
      </c>
      <c r="S73" s="3">
        <f>3220.6+(213.2-696.8)+(-1.642506+(-0.108732--0.355368))+0--163.2-0.0832319999999834</f>
        <v>2898.720898</v>
      </c>
      <c r="T73" s="3">
        <f>3205.7+(241.7-622)+(3.269814+(0.246534-0.63444))+0--165.6--0.168912000000026</f>
        <v>2994.0508199999995</v>
      </c>
      <c r="U73" s="3">
        <f>3225.1+(234.7-633.3)+(-4.934403+(-0.359091--0.968949))+0--166.7-0.25505100000001</f>
        <v>2988.6204039999998</v>
      </c>
      <c r="V73" s="3">
        <f>3279.6+(226.3-735.2)+(-3.345192+(-0.230826--0.749904))+0--164.2-0.167484000000026</f>
        <v>2931.9064019999996</v>
      </c>
      <c r="W73" s="3">
        <f>3289+(268.6-996.3)+(-8.38695+(-0.68493--2.540565))+0--156.8-0.399839999999977</f>
        <v>2711.1688450000001</v>
      </c>
      <c r="X73" s="3">
        <f>3030.4+(365.1-1102.3)+(-7.72752+(-0.931005--2.810865))+0--144.1-0.367454999999979</f>
        <v>2431.0848850000002</v>
      </c>
      <c r="Y73" s="3">
        <f>2704+(399.7-975)+(-1.37904+(-0.203847--0.49725))+0--137.8-0.070277999999986</f>
        <v>2265.3440849999997</v>
      </c>
      <c r="Z73" s="3">
        <f>3048.8+(251.8-910.2)+(-3.109776+(-0.256836--0.928404))+0--147-0.149940000000023</f>
        <v>2534.8118519999998</v>
      </c>
      <c r="AA73" s="3">
        <f>3348.8+(222.9-1035.4)+(-1.707888+(-0.113679--0.528054))+0--154.1-0.0785909999999844</f>
        <v>2689.0278960000001</v>
      </c>
      <c r="AB73" s="3">
        <f>3374.7+(205.1-1036.4)+(-1.721097+(-0.104601--0.528564))+0--158.3-0.0807329999999839</f>
        <v>2700.3221330000001</v>
      </c>
      <c r="AC73" s="3">
        <f>3393.2+(190.5-1070.5)+(-6.922128+(-0.38862--2.18382))+0--163.1-0.332723999999993</f>
        <v>2670.8403479999997</v>
      </c>
      <c r="AD73">
        <f t="shared" si="1"/>
        <v>61465.006446999992</v>
      </c>
      <c r="AE73" s="3">
        <f>3339+(227.2-1030.4)+(0+(0-0))+0--154-0</f>
        <v>2689.8</v>
      </c>
    </row>
    <row r="74" spans="1:31" s="2" customFormat="1" x14ac:dyDescent="0.25">
      <c r="A74">
        <v>89</v>
      </c>
      <c r="B74">
        <v>3</v>
      </c>
      <c r="C74">
        <v>12</v>
      </c>
      <c r="D74">
        <v>5</v>
      </c>
      <c r="E74">
        <v>1</v>
      </c>
      <c r="F74" s="3">
        <f>3383.6+(178.3-1088.7)+(-1.725636+(-0.090933--0.555237))+0--165.8-0.0845579999999832</f>
        <v>2637.6541099999999</v>
      </c>
      <c r="G74" s="3">
        <f>3420.8+(177.6-1227.8)+(-3.489216+(-0.181152--1.252356))+0--164.7-0.167994000000026</f>
        <v>2532.7139940000002</v>
      </c>
      <c r="H74" s="3">
        <f>3451.3+(180.8-1329.3)+(-1.760163+(-0.092208--0.677943))+0--164.7-0.0839969999999833</f>
        <v>2466.241575</v>
      </c>
      <c r="I74" s="3">
        <f>3412.4+(173.4-1329.6)+(-6.961296+(-0.353736--2.712384))+0--162.7-0.331907999999993</f>
        <v>2413.9654439999999</v>
      </c>
      <c r="J74" s="3">
        <f>3322.7+(156.3-1275.1)+(1.694577+(0.079713-0.650301))+0--161--0.0821099999999837</f>
        <v>2366.1060989999996</v>
      </c>
      <c r="K74" s="3">
        <f>3258+(162.2-1292.4)+(-6.64632+(-0.330888--2.636496))+0--157-0.320279999999993</f>
        <v>2280.1390080000001</v>
      </c>
      <c r="L74" s="3">
        <f>2703.4+(231.4-988.1)+(-5.514936+(-0.472056--2.015724))+0--106.5-0.217259999999995</f>
        <v>2049.0114720000001</v>
      </c>
      <c r="M74" s="3">
        <f>2824.4+(181.7-1033.3)+(1.440444+(0.092667-0.526983))+0--92.5--0.0471749999999906</f>
        <v>2066.3533030000003</v>
      </c>
      <c r="N74" s="3">
        <f>3044+(212.5-1152.3)+(-4.65732+(-0.325125--1.763019))+0--92.6-0.141678000000005</f>
        <v>2193.4388959999997</v>
      </c>
      <c r="O74" s="3">
        <f>3194.5+(223.9-1200.9)+(-3.25839+(-0.228378--1.224918))+0--93.1-0.0949620000000148</f>
        <v>2308.2431879999999</v>
      </c>
      <c r="P74" s="3">
        <f>3274.7+(227.9-1179.3)+(0+(0-0))+0--122.3-0</f>
        <v>2445.6</v>
      </c>
      <c r="Q74" s="3">
        <f>3247.8+(236.4-970.7)+(1.656378+(0.120564-0.495057))+0--147.2--0.0750719999999851</f>
        <v>2662.0569569999998</v>
      </c>
      <c r="R74" s="3">
        <f>3251.5+(230.2-849.7)+(3.31653+(0.234804-0.866694))+0--156--0.159120000000025</f>
        <v>2790.8437599999997</v>
      </c>
      <c r="S74" s="3">
        <f>3231.6+(239.8-711.6)+(-1.648116+(-0.122298--0.362916))+0--162.4-0.0828239999999835</f>
        <v>2920.7096779999997</v>
      </c>
      <c r="T74" s="3">
        <f>3218.7+(273.5-653.9)+(-4.924611+(-0.418455--1.000467))+0--166.5-0.25474500000001</f>
        <v>3000.2026559999995</v>
      </c>
      <c r="U74" s="3">
        <f>3232.7+(265.1-646)+(0+(0-0))+0--166.9-0</f>
        <v>3018.7</v>
      </c>
      <c r="V74" s="3">
        <f>3295.1+(252.9-712.1)+(-1.680501+(-0.128979--0.363171))+0--165.4-0.0843539999999832</f>
        <v>2999.7693369999997</v>
      </c>
      <c r="W74" s="3">
        <f>3300.7+(289.4-990.6)+(-3.366714+(-0.295188--1.010412))+0--158.4-0.161568000000025</f>
        <v>2755.0869419999999</v>
      </c>
      <c r="X74" s="3">
        <f>3104.4+(331.7-1111.7)+(-4.749732+(-0.507501--1.700901))+0--144.7-0.221391000000008</f>
        <v>2465.3222769999998</v>
      </c>
      <c r="Y74" s="3">
        <f>2751.2+(359.5-945.5)+(0+(0-0))+0--139.4-0</f>
        <v>2304.6</v>
      </c>
      <c r="Z74" s="3">
        <f>2963.5+(245.9-786.3)+(0+(0-0))+0--149.8-0</f>
        <v>2572.9</v>
      </c>
      <c r="AA74" s="3">
        <f>3347.7+(211.5-978)+(-3.414654+(-0.21573--0.99756))+0--157.8-0.160956000000025</f>
        <v>2736.20622</v>
      </c>
      <c r="AB74" s="3">
        <f>3379.6+(207.6-981)+(-3.447192+(-0.211752--1.00062))+0--160.9-0.164118000000026</f>
        <v>2764.2775579999998</v>
      </c>
      <c r="AC74" s="3">
        <f>3380.7+(197.8-986.3)+(-5.172471+(-0.302634--1.509039))+0--165.9-0.25382700000001</f>
        <v>2753.880107</v>
      </c>
      <c r="AD74">
        <f t="shared" si="1"/>
        <v>61504.022580999997</v>
      </c>
      <c r="AE74" s="3">
        <f>3349+(216.6-987.8)+(0+(0-0))+0--157.9-0</f>
        <v>2735.7000000000003</v>
      </c>
    </row>
    <row r="75" spans="1:31" s="2" customFormat="1" x14ac:dyDescent="0.25">
      <c r="A75">
        <v>89</v>
      </c>
      <c r="B75">
        <v>3</v>
      </c>
      <c r="C75">
        <v>13</v>
      </c>
      <c r="D75">
        <v>6</v>
      </c>
      <c r="E75">
        <v>1</v>
      </c>
      <c r="F75" s="3">
        <f>3296.9+(181.9-928.3)+(0+(0-0))+0--168.6-0</f>
        <v>2719.1</v>
      </c>
      <c r="G75" s="3">
        <f>3288.2+(175.7-994.9)+(-1.676982+(-0.089607--0.507399))+0--167.4-0.085373999999983</f>
        <v>2635.0554360000001</v>
      </c>
      <c r="H75" s="3">
        <f>3295.2+(176.6-1078)+(-3.361104+(-0.180132--1.09956))+0--166.1-0.169422000000026</f>
        <v>2557.2889019999998</v>
      </c>
      <c r="I75" s="3">
        <f>3312.8+(183-1145.6)+(-3.379056+(-0.18666--1.168512))+0--164.6-0.167892000000026</f>
        <v>2512.2349040000004</v>
      </c>
      <c r="J75" s="3">
        <f>3208.8+(182.8-1092.7)+(-3.272976+(-0.186456--1.114554))+0--163.1-0.166362000000026</f>
        <v>2459.4887600000002</v>
      </c>
      <c r="K75" s="3">
        <f>3064.8+(163.4-1020.6)+(-3.126096+(-0.166668--1.041012))+0--154-0.157080000000025</f>
        <v>2359.1911680000003</v>
      </c>
      <c r="L75" s="3">
        <f>2942.4+(163.8-1113.8)+(-1.500624+(-0.083538--0.568038))+0--146.5-0.0747149999999851</f>
        <v>2137.8091609999997</v>
      </c>
      <c r="M75" s="3">
        <f>2928.3+(191-1117.2)+(0+(0-0))+0--144.2-0</f>
        <v>2146.3000000000002</v>
      </c>
      <c r="N75" s="3">
        <f>3065.4+(229.6-1167.2)+(3.126708+(0.234192-1.190544))+0--144.5--0.147390000000023</f>
        <v>2274.6177460000004</v>
      </c>
      <c r="O75" s="3">
        <f>3156.9+(222-1139.1)+(-1.610019+(-0.11322--0.580941))+0--145.2-0.0740519999999853</f>
        <v>2383.7836499999999</v>
      </c>
      <c r="P75" s="3">
        <f>3146.7+(219.4-1022.6)+(0+(0-0))+0--146.4-0</f>
        <v>2489.9</v>
      </c>
      <c r="Q75" s="3">
        <f>3160.5+(216.9-896)+(3.22371+(0.221238-0.91392))+0--152--0.155040000000024</f>
        <v>2636.0860680000001</v>
      </c>
      <c r="R75" s="3">
        <f>3148.9+(232.5-738.6)+(0+(0-0))+0--159.4-0</f>
        <v>2802.2000000000003</v>
      </c>
      <c r="S75" s="3">
        <f>3163.5+(320.3-751.5)+(-3.22677+(-0.326706--0.76653))+0--166.6-0.169932000000027</f>
        <v>2895.9431219999997</v>
      </c>
      <c r="T75" s="3">
        <f>3174.2+(366.2-764.3)+(-3.237684+(-0.373524--0.779586))+0--169.7-0.173094000000027</f>
        <v>2942.7952839999994</v>
      </c>
      <c r="U75" s="3">
        <f>3179.7+(345.2-749.6)+(-1.621647+(-0.176052--0.382296))+0--169.6-0.0864959999999828</f>
        <v>2943.3981009999998</v>
      </c>
      <c r="V75" s="3">
        <f>3188.1+(222.7-696.5)+(-8.129655+(-0.567885--1.776075))+0--167.9-0.428144999999976</f>
        <v>2874.8503900000001</v>
      </c>
      <c r="W75" s="3">
        <f>3154.2+(188.9-852.5)+(-8.04321+(-0.481695--2.173875))+0--158.5-0.404174999999977</f>
        <v>2642.344795</v>
      </c>
      <c r="X75" s="3">
        <f>3095.8+(200.8-1071.4)+(-6.315432+(-0.409632--2.185656))+0--145.7-0.297227999999994</f>
        <v>2366.0633639999996</v>
      </c>
      <c r="Y75" s="3">
        <f>2929.9+(242.1-1092.9)+(0+(0-0))+0--141-0</f>
        <v>2220.1</v>
      </c>
      <c r="Z75" s="3">
        <f>3086.9+(219.1-909.4)+(-4.722957+(-0.335223--1.391382))+0--151.2-0.231336000000009</f>
        <v>2543.9018660000002</v>
      </c>
      <c r="AA75" s="3">
        <f>3199.1+(216.1-887.1)+(-4.894623+(-0.330633--1.357263))+0--157.1-0.240363000000009</f>
        <v>2681.0916440000001</v>
      </c>
      <c r="AB75" s="3">
        <f>3241.7+(202.3-917.3)+(-1.653267+(-0.103173--0.467823))+0--159-0.0810899999999839</f>
        <v>2684.3302929999995</v>
      </c>
      <c r="AC75" s="3">
        <f>3295.7+(188.6-961.7)+(-5.042421+(-0.288558--1.471401))+0--163.4-0.250002000000009</f>
        <v>2681.8904199999997</v>
      </c>
      <c r="AD75">
        <f t="shared" si="1"/>
        <v>61589.765073999995</v>
      </c>
      <c r="AE75" s="3">
        <f>3179+(214-853)+(0+(0-0))+0--152-0</f>
        <v>2692</v>
      </c>
    </row>
    <row r="76" spans="1:31" s="2" customFormat="1" x14ac:dyDescent="0.25">
      <c r="A76">
        <v>89</v>
      </c>
      <c r="B76">
        <v>3</v>
      </c>
      <c r="C76">
        <v>14</v>
      </c>
      <c r="D76">
        <v>7</v>
      </c>
      <c r="E76">
        <v>4</v>
      </c>
      <c r="F76" s="3">
        <f>3366.5+(193.2-1009.4)+(0+(0-0))+0--148.3-0</f>
        <v>2698.6000000000004</v>
      </c>
      <c r="G76" s="3">
        <f>3332.7+(202.7-1043.6)+(-1.699677+(-0.103377--0.532236))+0--152.6-0.0778259999999845</f>
        <v>2643.0513559999999</v>
      </c>
      <c r="H76" s="3">
        <f>3159.2+(169.8-957)+(3.222384+(0.173196-0.97614))+0--151.5--0.154530000000024</f>
        <v>2526.0739700000004</v>
      </c>
      <c r="I76" s="3">
        <f>3107.3+(169.4-964.3)+(-3.169446+(-0.172788--0.983586))+0--151.3-0.154326000000024</f>
        <v>2461.1870260000005</v>
      </c>
      <c r="J76" s="3">
        <f>3111.2+(167.8-1012.4)+(0+(0-0))+0--152.3-0</f>
        <v>2418.9</v>
      </c>
      <c r="K76" s="3">
        <f>3018.3+(162.8-987.8)+(0+(0-0))+0--157.7-0</f>
        <v>2351</v>
      </c>
      <c r="L76" s="3">
        <f>2697.3+(168.4-852.7)+(0+(0-0))+0--99.9-0</f>
        <v>2112.9</v>
      </c>
      <c r="M76" s="3">
        <f>2684.1+(175.4-863.2)+(-4.106673+(-0.268362--1.320696))+0--82.5-0.126225000000005</f>
        <v>2075.619436</v>
      </c>
      <c r="N76" s="3">
        <f>2823.9+(175.7-989.1)+(-2.880378+(-0.179214--1.008882))+0--80.9-0.0825180000000129</f>
        <v>2089.2667719999999</v>
      </c>
      <c r="O76" s="3">
        <f>2992.5+(178.2-1108.5)+(-1.526175+(-0.090882--0.565335))+0--78.3-0.0399329999999921</f>
        <v>2139.4083449999998</v>
      </c>
      <c r="P76" s="3">
        <f>3062.1+(195.1-1107.3)+(1.561671+(0.099501-0.564723))+0--79.4--0.0404939999999919</f>
        <v>2230.4369430000002</v>
      </c>
      <c r="Q76" s="3">
        <f>3047.1+(197.3-966.6)+(0+(0-0))+0--78-0</f>
        <v>2355.8000000000002</v>
      </c>
      <c r="R76" s="3">
        <f>3044.4+(184.8-816.7)+(-3.105288+(-0.188496--0.833034))+0--86.8-0.0885360000000138</f>
        <v>2496.7507139999998</v>
      </c>
      <c r="S76" s="3">
        <f>3173+(178.8-807.6)+(-3.23646+(-0.182376--0.823752))+0--79.9-0.0814980000000127</f>
        <v>2621.4234179999999</v>
      </c>
      <c r="T76" s="3">
        <f>3195.9+(185.8-749.9)+(-3.259818+(-0.189516--0.764898))+0--80.4-0.0820080000000128</f>
        <v>2709.4335560000004</v>
      </c>
      <c r="U76" s="3">
        <f>3173.9+(186.6-704.5)+(-3.237378+(-0.190332--0.71859))+0--80.3-0.0819060000000128</f>
        <v>2733.5089740000003</v>
      </c>
      <c r="V76" s="3">
        <f>3135.5+(190.5-707.2)+(-3.19821+(-0.19431--0.721344))+0--79-0.0805800000000126</f>
        <v>2695.0482440000005</v>
      </c>
      <c r="W76" s="3">
        <f>3148.8+(196-916.9)+(-4.817664+(-0.29988--1.402857))+0--78.2-0.119646000000005</f>
        <v>2502.2656669999997</v>
      </c>
      <c r="X76" s="3">
        <f>2871.2+(272-951.6)+(-2.928624+(-0.27744--0.970632))+0--96.4-0.0983280000000154</f>
        <v>2285.66624</v>
      </c>
      <c r="Y76" s="3">
        <f>2607.3+(274.5-849.6)+(-1.329723+(-0.139995--0.433296))+0--105.7-0.0539069999999893</f>
        <v>2136.8096710000004</v>
      </c>
      <c r="Z76" s="3">
        <f>2777.2+(218.5-734.1)+(-1.416372+(-0.111435--0.374391))+0--143.5-0.0731849999999854</f>
        <v>2403.8733989999996</v>
      </c>
      <c r="AA76" s="3">
        <f>3098.6+(196.4-867.3)+(-1.580286+(-0.100164--0.442323))+0--152-0.0775199999999846</f>
        <v>2578.3843529999999</v>
      </c>
      <c r="AB76" s="3">
        <f>3157.3+(189.5-882.9)+(-4.830669+(-0.289935--1.350837))+0--156.7-0.239751000000009</f>
        <v>2616.5904820000001</v>
      </c>
      <c r="AC76" s="3">
        <f>3174.2+(177.7-868.8)+(-3.237684+(-0.181254--0.886176))+0--161-0.164220000000026</f>
        <v>2641.403018</v>
      </c>
      <c r="AD76">
        <f t="shared" si="1"/>
        <v>58523.401583999992</v>
      </c>
      <c r="AE76" s="3">
        <f>3173+(197.5-887.8)+(0+(0-0))+0--151.3-0</f>
        <v>2634</v>
      </c>
    </row>
    <row r="77" spans="1:31" s="2" customFormat="1" x14ac:dyDescent="0.25">
      <c r="A77">
        <v>89</v>
      </c>
      <c r="B77">
        <v>3</v>
      </c>
      <c r="C77">
        <v>15</v>
      </c>
      <c r="D77">
        <v>1</v>
      </c>
      <c r="E77">
        <v>4</v>
      </c>
      <c r="F77" s="3">
        <f>3203.8+(193.4-878.1)+(-4.901814+(-0.295902--1.343493))+0--146.6-0.224298000000008</f>
        <v>2661.6214790000004</v>
      </c>
      <c r="G77" s="3">
        <f>3213.3+(194.5-962.6)+(0+(0-0))+0--146.7-0</f>
        <v>2591.9</v>
      </c>
      <c r="H77" s="3">
        <f>3235.3+(190.6-1062.1)+(3.300006+(0.194412-1.083342))+0--148.7--0.151674000000024</f>
        <v>2515.0627500000001</v>
      </c>
      <c r="I77" s="3">
        <f>3241.7+(194.6-1124.9)+(-3.306534+(-0.198492--1.147398))+0--149.7-0.152694000000024</f>
        <v>2458.5896779999994</v>
      </c>
      <c r="J77" s="3">
        <f>3248.5+(188.4-1163.8)+(0+(0-0))+0--151.7-0</f>
        <v>2424.7999999999997</v>
      </c>
      <c r="K77" s="3">
        <f>3205.1+(191.4-1213.6)+(-6.538404+(-0.390456--2.475744))+0--140.7-0.287027999999994</f>
        <v>2318.8598559999996</v>
      </c>
      <c r="L77" s="3">
        <f>2751.9+(254.6-1039)+(-2.806938+(-0.259692--1.05978))+0--152.8-0.155856000000024</f>
        <v>2118.1372940000001</v>
      </c>
      <c r="M77" s="3">
        <f>2712.4+(305.7-1026.1)+(0+(0-0))+0--150.8-0</f>
        <v>2142.8000000000002</v>
      </c>
      <c r="N77" s="3">
        <f>2775+(313.3-1056.4)+(1.41525+(0.159783-0.538764))+0--149.7--0.0763469999999848</f>
        <v>2182.7126159999998</v>
      </c>
      <c r="O77" s="3">
        <f>2953+(300-1180.2)+(1.50603+(0.153-0.601902))+0--152.6--0.0778259999999845</f>
        <v>2226.5349540000002</v>
      </c>
      <c r="P77" s="3">
        <f>3083.5+(232.4-1175.6)+(4.717755+(0.355572-1.798668))+0--147.9--0.226287000000009</f>
        <v>2291.7009460000004</v>
      </c>
      <c r="Q77" s="3">
        <f>3060+(234.1-1024.1)+(3.1212+(0.238782-1.044582))+0--151.9--0.154938000000024</f>
        <v>2424.3703380000002</v>
      </c>
      <c r="R77" s="3">
        <f>3085.4+(212.9-864.3)+(0+(0-0))+0--157.1-0</f>
        <v>2591.1</v>
      </c>
      <c r="S77" s="3">
        <f>3113.4+(200.5-745.2)+(-1.587834+(-0.102255--0.380052))+0--162.9-0.0830789999999835</f>
        <v>2730.2068839999997</v>
      </c>
      <c r="T77" s="3">
        <f>3149+(205.4-703.3)+(0+(0-0))+0--167.2-0</f>
        <v>2818.2999999999997</v>
      </c>
      <c r="U77" s="3">
        <f>3157.6+(210-700.6)+(-3.220752+(-0.2142--0.714612))+0--167.6-0.170952000000027</f>
        <v>2831.7087080000001</v>
      </c>
      <c r="V77" s="3">
        <f>3139.8+(221.9-737.6)+(-1.601298+(-0.113169--0.376176))+0--164.1-0.0836909999999833</f>
        <v>2786.7780180000004</v>
      </c>
      <c r="W77" s="3">
        <f>3150.9+(217.1-910.2)+(-8.034795+(-0.553605--2.32101))+0--157.7-0.402134999999977</f>
        <v>2608.8304750000002</v>
      </c>
      <c r="X77" s="3">
        <f>3156.7+(285.4-1228.8)+(-4.829751+(-0.436662--1.880064))+0--148.7-0.227511000000009</f>
        <v>2358.3861399999996</v>
      </c>
      <c r="Y77" s="3">
        <f>2817.7+(344.5-1092.4)+(-8.622162+(-1.05417--3.342744))+0--138.7-0.424422000000016</f>
        <v>2201.7419899999995</v>
      </c>
      <c r="Z77" s="3">
        <f>2961.6+(280.6-899.5)+(-1.510416+(-0.143106--0.458745))+0--147.6-0.075275999999985</f>
        <v>2489.0299469999995</v>
      </c>
      <c r="AA77" s="3">
        <f>3168.5+(240.7-861.2)+(-8.079675+(-0.613785--2.19606))+0--154.9-0.394994999999978</f>
        <v>2696.0076049999998</v>
      </c>
      <c r="AB77" s="3">
        <f>3189.4+(224.8-836.5)+(-3.253188+(-0.229296--0.85323))+0--158.5-0.161670000000025</f>
        <v>2733.4090759999999</v>
      </c>
      <c r="AC77" s="3">
        <f>3206.4+(227.7-865.9)+(-6.541056+(-0.464508--1.766436))+0--163.2-0.332927999999993</f>
        <v>2725.8279439999997</v>
      </c>
      <c r="AD77">
        <f t="shared" si="1"/>
        <v>59928.416698000008</v>
      </c>
      <c r="AE77" s="3">
        <f>3184.5+(262.8-847.1)+(0+(0-0))+0--148.4-0</f>
        <v>2748.6</v>
      </c>
    </row>
    <row r="78" spans="1:31" s="2" customFormat="1" x14ac:dyDescent="0.25">
      <c r="A78">
        <v>89</v>
      </c>
      <c r="B78">
        <v>3</v>
      </c>
      <c r="C78">
        <v>16</v>
      </c>
      <c r="D78">
        <v>2</v>
      </c>
      <c r="E78">
        <v>1</v>
      </c>
      <c r="F78" s="3">
        <f>3140.3+(283.6-858.6)+(-8.007765+(-0.72318--2.18943))+0--150-0.382499999999978</f>
        <v>2708.3759850000001</v>
      </c>
      <c r="G78" s="3">
        <f>3054.1+(297.9-876.2)+(-4.672773+(-0.455787--1.340586))+0--153-0.234090000000009</f>
        <v>2624.777936</v>
      </c>
      <c r="H78" s="3">
        <f>3068.5+(326.5-991.2)+(1.564935+(0.166515-0.505512))+0--150.7--0.0768569999999847</f>
        <v>2555.8027950000001</v>
      </c>
      <c r="I78" s="3">
        <f>3044.4+(343.1-1033.7)+(-7.76322+(-0.874905--2.635935))+0--151.1-0.385304999999978</f>
        <v>2498.5125050000001</v>
      </c>
      <c r="J78" s="3">
        <f>2940.7+(367.7-1002.5)+(0+(0-0))+0--150.3-0</f>
        <v>2456.1999999999998</v>
      </c>
      <c r="K78" s="3">
        <f>2764.1+(469.6-1002.2)+(-7.048455+(-1.19748--2.55561))+0--157.7-0.402134999999977</f>
        <v>2383.10754</v>
      </c>
      <c r="L78" s="3">
        <f>2510+(498-1005.3)+(1.2801+(0.25398-0.512703))+0--141.1--0.0719609999999857</f>
        <v>2144.8933380000003</v>
      </c>
      <c r="M78" s="3">
        <f>2550.6+(483.2-973.1)+(-1.300806+(-0.246432--0.496281))+0--151.8-0.0774179999999846</f>
        <v>2211.3716250000002</v>
      </c>
      <c r="N78" s="3">
        <f>2580.2+(527.4-992.5)+(0+(0-0))+0--147.2-0</f>
        <v>2262.2999999999997</v>
      </c>
      <c r="O78" s="3">
        <f>2942.9+(434.3-1085.1)+(1.500879+(0.221493-0.553401))+0--148.5--0.0757349999999849</f>
        <v>2441.8447060000003</v>
      </c>
      <c r="P78" s="3">
        <f>3157.5+(347.4-1096.8)+(0+(0-0))+0--144.5-0</f>
        <v>2552.6</v>
      </c>
      <c r="Q78" s="3">
        <f>3191.5+(306.3-944.1)+(1.627665+(0.156213-0.481491))+0--144--0.0734399999999854</f>
        <v>2699.0758270000001</v>
      </c>
      <c r="R78" s="3">
        <f>3249.5+(256.1-771)+(-1.657245+(-0.130611--0.39321))+0--159.1-0.0811409999999839</f>
        <v>2892.2242129999995</v>
      </c>
      <c r="S78" s="3">
        <f>3272.7+(234.8-692.5)+(-3.338154+(-0.239496--0.70635))+0--167-0.170340000000027</f>
        <v>2978.9583600000001</v>
      </c>
      <c r="T78" s="3">
        <f>3265.7+(241-659.5)+(-3.331014+(-0.24582--0.67269))+0--169.1-0.172482000000027</f>
        <v>3013.2233739999997</v>
      </c>
      <c r="U78" s="3">
        <f>3245.3+(263.5-698.3)+(-3.310206+(-0.26877--0.712266))+0--169.4-0.172788000000027</f>
        <v>2976.8605020000005</v>
      </c>
      <c r="V78" s="3">
        <f>3212+(317.4-805.3)+(-6.55248+(-0.647496--1.642812))+0--167.6-0.341903999999993</f>
        <v>2885.8009320000001</v>
      </c>
      <c r="W78" s="3">
        <f>3106.4+(369.6-999.3)+(-7.92132+(-0.94248--2.548215))+0--158.7-0.404684999999977</f>
        <v>2628.6797300000003</v>
      </c>
      <c r="X78" s="3">
        <f>2590.3+(557.2-860.9)+(-7.926318+(-1.705032--2.634354))+0--112.6-0.344556000000013</f>
        <v>2391.8584480000004</v>
      </c>
      <c r="Y78" s="3">
        <f>2332.2+(634.3-749.8)+(-4.757688+(-1.293972--1.529592))+0--93-0.189719999999996</f>
        <v>2304.9882119999997</v>
      </c>
      <c r="Z78" s="3">
        <f>2529.7+(436.1-483.7)+(0+(0-0))+0--96.7-0</f>
        <v>2578.7999999999997</v>
      </c>
      <c r="AA78" s="3">
        <f>3070.3+(225.3-673.3)+(-7.829265+(-0.574515--1.716915))+0--125.8-0.320789999999982</f>
        <v>2741.0923450000005</v>
      </c>
      <c r="AB78" s="3">
        <f>3057.6+(265-720.9)+(-6.237504+(-0.5406--1.470636))+0--159.3-0.324971999999993</f>
        <v>2755.3675600000001</v>
      </c>
      <c r="AC78" s="3">
        <f>2965.7+(319-717.7)+(-9.075042+(-0.97614--2.196162))+0--162.1-0.496026000000019</f>
        <v>2720.7489540000001</v>
      </c>
      <c r="AD78">
        <f t="shared" si="1"/>
        <v>62407.464887000002</v>
      </c>
      <c r="AE78" s="3">
        <f>3092+(235.8-683.1)+(0+(0-0))+0--152.8-0</f>
        <v>2797.5</v>
      </c>
    </row>
    <row r="79" spans="1:31" s="2" customFormat="1" x14ac:dyDescent="0.25">
      <c r="A79">
        <v>89</v>
      </c>
      <c r="B79">
        <v>3</v>
      </c>
      <c r="C79">
        <v>17</v>
      </c>
      <c r="D79">
        <v>3</v>
      </c>
      <c r="E79">
        <v>1</v>
      </c>
      <c r="F79" s="3">
        <f>2965+(346.1-755)+(0+(0-0))+0--164.5-0</f>
        <v>2720.6</v>
      </c>
      <c r="G79" s="3">
        <f>2961.9+(360.6-853.6)+(-3.021138+(-0.367812--0.870672))+0--164.6-0.167892000000026</f>
        <v>2630.8138300000001</v>
      </c>
      <c r="H79" s="3">
        <f>2972.3+(347.3-923.1)+(0+(0-0))+0--163.5-0</f>
        <v>2560</v>
      </c>
      <c r="I79" s="3">
        <f>3152.7+(358.7-1153.7)+(-4.823631+(-0.548811--1.765161))+0--162.2-0.248166000000009</f>
        <v>2516.0445529999997</v>
      </c>
      <c r="J79" s="3">
        <f>2918.1+(372.7-972.5)+(-1.488231+(-0.190077--0.495975))+0--157.1-0.0801209999999841</f>
        <v>2474.1375459999999</v>
      </c>
      <c r="K79" s="3">
        <f>2817.7+(480.2-1053.8)+(-5.748108+(-0.979608--2.149752))+0--153.6-0.313343999999993</f>
        <v>2392.8086919999996</v>
      </c>
      <c r="L79" s="3">
        <f>2551.7+(743.9-1182.8)+(-2.602734+(-0.758778--1.206456))+0--147-0.149940000000023</f>
        <v>2257.4950039999994</v>
      </c>
      <c r="M79" s="3">
        <f>2492.6+(725.6-1074.9)+(0+(0-0))+0--144.5-0</f>
        <v>2287.7999999999997</v>
      </c>
      <c r="N79" s="3">
        <f>2501.5+(690.1-941.9)+(-1.275765+(-0.351951--0.480369))+0--144.2-0.0735419999999854</f>
        <v>2392.6791109999995</v>
      </c>
      <c r="O79" s="3">
        <f>2761.8+(656.1-982.1)+(-2.817036+(-0.669222--1.001742))+0--150.4-0.153408000000024</f>
        <v>2583.5620760000002</v>
      </c>
      <c r="P79" s="3">
        <f>2964.7+(667.5-1117.8)+(-1.511997+(-0.340425--0.570078))+0--154.8-0.0789479999999843</f>
        <v>2667.8387079999998</v>
      </c>
      <c r="Q79" s="3">
        <f>2936.4+(620.7-895.5)+(0+(0-0))+0--158-0</f>
        <v>2819.6000000000004</v>
      </c>
      <c r="R79" s="3">
        <f>2905.9+(498.8-654.6)+(-2.964018+(-0.508776--0.667692))+0--163.7-0.166974000000026</f>
        <v>2910.8279239999997</v>
      </c>
      <c r="S79" s="3">
        <f>2922.6+(477.7-559.5)+(-4.471578+(-0.730881--0.856035))+0--169.9-0.25994700000001</f>
        <v>3006.093629</v>
      </c>
      <c r="T79" s="3">
        <f>2927.7+(541.8-573.6)+(-2.986254+(-0.552636--0.585072))+0--154.8-0.157896000000025</f>
        <v>3047.5882859999997</v>
      </c>
      <c r="U79" s="3">
        <f>2934.1+(560.9-572.7)+(-1.496391+(-0.286059--0.292077))+0--148.2-0.075581999999985</f>
        <v>3068.9340449999995</v>
      </c>
      <c r="V79" s="3">
        <f>2982.1+(471.7-572.6)+(-3.041742+(-0.481134--0.584052))+0--162.8-0.166056000000026</f>
        <v>3040.8951200000001</v>
      </c>
      <c r="W79" s="3">
        <f>2968.5+(454.3-746.3)+(-6.05574+(-0.926772--1.522452))+0--162.7-0.331907999999993</f>
        <v>2833.4080319999998</v>
      </c>
      <c r="X79" s="3">
        <f>2778.7+(505.1-906.8)+(-5.668548+(-1.030404--1.849872))+0--148.1-0.302123999999994</f>
        <v>2519.9487960000001</v>
      </c>
      <c r="Y79" s="3">
        <f>2699.5+(551.3-1034.2)+(-4.130235+(-0.843489--1.582326))+0--141.2-0.216036000000008</f>
        <v>2354.1925659999997</v>
      </c>
      <c r="Z79" s="3">
        <f>3172.1+(363-1021)+(-4.853313+(-0.55539--1.56213))+0--153.3-0.234549000000009</f>
        <v>2663.3188780000005</v>
      </c>
      <c r="AA79" s="3">
        <f>3405.5+(303.8-1013.7)+(-3.47361+(-0.309876--1.033974))+0--160.9-0.164118000000026</f>
        <v>2853.58637</v>
      </c>
      <c r="AB79" s="3">
        <f>3434.6+(298.7-1017.2)+(-5.254938+(-0.457011--1.556316))+0--163.5-0.250155000000009</f>
        <v>2875.1942119999999</v>
      </c>
      <c r="AC79" s="3">
        <f>3448.2+(258.6-1021.6)+(-5.275746+(-0.395658--1.563048))+0--167.5-0.25627500000001</f>
        <v>2848.3353689999994</v>
      </c>
      <c r="AD79">
        <f t="shared" si="1"/>
        <v>64325.702746999996</v>
      </c>
      <c r="AE79" s="3">
        <f>3401+(314.2-1047)+(0+(0-0))+0--148.4-0</f>
        <v>2816.6</v>
      </c>
    </row>
    <row r="80" spans="1:31" s="2" customFormat="1" x14ac:dyDescent="0.25">
      <c r="A80">
        <v>89</v>
      </c>
      <c r="B80">
        <v>3</v>
      </c>
      <c r="C80">
        <v>18</v>
      </c>
      <c r="D80">
        <v>4</v>
      </c>
      <c r="E80">
        <v>1</v>
      </c>
      <c r="F80" s="3">
        <f>3299.9+(307.6-941.9)+(-5.048847+(-0.470628--1.441107))+0--167.9-0.25688700000001</f>
        <v>2829.1647450000005</v>
      </c>
      <c r="G80" s="3">
        <f>3214.8+(334.2-974.8)+(-8.19774+(-0.85221--2.48574))+0--166.1-0.423554999999976</f>
        <v>2733.3122350000003</v>
      </c>
      <c r="H80" s="3">
        <f>3226+(342.9-1074.4)+(0+(0-0))+0--164.7-0</f>
        <v>2659.2</v>
      </c>
      <c r="I80" s="3">
        <f>3178.3+(334.5-1081.1)+(-6.483732+(-0.68238--2.205444))+0--161.6-0.329663999999993</f>
        <v>2588.0096680000001</v>
      </c>
      <c r="J80" s="3">
        <f>3165.6+(303.9-1087.2)+(-1.614456+(-0.154989--0.554472))+0--159.6-0.0813959999999838</f>
        <v>2540.6036309999995</v>
      </c>
      <c r="K80" s="3">
        <f>3146.5+(367.3-1182)+(-9.62829+(-1.123938--3.61692))+0--157-0.480420000000018</f>
        <v>2481.1842720000004</v>
      </c>
      <c r="L80" s="3">
        <f>2800.5+(491.4-1165.7)+(-2.85651+(-0.501228--1.189014))+0--140-0.142800000000022</f>
        <v>2263.8884759999996</v>
      </c>
      <c r="M80" s="3">
        <f>2940.5+(438-1247.6)+(0+(0-0))+0--136.9-0</f>
        <v>2267.8000000000002</v>
      </c>
      <c r="N80" s="3">
        <f>2959.1+(413.9-1148.6)+(-3.018282+(-0.422178--1.171572))+0--135.9-0.138618000000022</f>
        <v>2357.8924940000002</v>
      </c>
      <c r="O80" s="3">
        <f>3194.8+(333.8-1221.9)+(4.888044+(0.510714-1.869507))+0--136.2--0.208386000000008</f>
        <v>2446.6376369999994</v>
      </c>
      <c r="P80" s="3">
        <f>3283.5+(312.1-1147)+(-3.34917+(-0.318342--1.16994))+0--138.5-0.141270000000022</f>
        <v>2584.4611579999996</v>
      </c>
      <c r="Q80" s="3">
        <f>3256.4+(296-941)+(3.321528+(0.30192-0.95982))+0--149.7--0.152694000000024</f>
        <v>2763.9163219999996</v>
      </c>
      <c r="R80" s="3">
        <f>3301+(275.8-770)+(-5.05053+(-0.421974--1.1781))+0--161.2-0.246636000000009</f>
        <v>2963.4589599999999</v>
      </c>
      <c r="S80" s="3">
        <f>3315.4+(268.1-686.6)+(-3.381708+(-0.273462--0.700332))+0--168.6-0.171972000000027</f>
        <v>3062.3731899999998</v>
      </c>
      <c r="T80" s="3">
        <f>3323.5+(287.2-665.3)+(1.694985+(0.146472-0.339303))+0--166.7--0.0850169999999831</f>
        <v>3113.6871709999996</v>
      </c>
      <c r="U80" s="3">
        <f>3322.9+(301.4-666.3)+(0+(0-0))+0--165-0</f>
        <v>3123</v>
      </c>
      <c r="V80" s="3">
        <f>3317.4+(322.7-726.7)+(0+(0-0))+0--170.5-0</f>
        <v>3083.9</v>
      </c>
      <c r="W80" s="3">
        <f>3297.4+(345-939.9)+(-6.726696+(-0.7038--1.917396))+0--162.2-0.330887999999993</f>
        <v>2858.8560119999997</v>
      </c>
      <c r="X80" s="3">
        <f>3163.9+(396.2-1159.9)+(-6.454356+(-0.808248--2.366196))+0--150.4-0.306815999999993</f>
        <v>2545.396776</v>
      </c>
      <c r="Y80" s="3">
        <f>2947.3+(407.8-1093.9)+(-12.024984+(-1.663824--4.463112))+0--140.5-0.573239999999988</f>
        <v>2391.9010639999997</v>
      </c>
      <c r="Z80" s="3">
        <f>3214.7+(273.1-972.4)+(-6.557988+(-0.557124--1.983696))+0--150-0.305999999999993</f>
        <v>2659.9625839999994</v>
      </c>
      <c r="AA80" s="3">
        <f>3406.3+(277.4-987.4)+(-3.474426+(-0.282948--1.007148))+0--159.2-0.162384000000025</f>
        <v>2852.5873899999997</v>
      </c>
      <c r="AB80" s="3">
        <f>3437.5+(275.4-993.8)+(-5.259375+(-0.421362--1.520514))+0--162.4-0.248472000000009</f>
        <v>2877.0913049999999</v>
      </c>
      <c r="AC80" s="3">
        <f>3381.6+(253.9-951)+(-6.898464+(-0.517956--1.94004))+0--164.4-0.335375999999993</f>
        <v>2843.088244</v>
      </c>
      <c r="AD80">
        <f t="shared" si="1"/>
        <v>64891.373333999989</v>
      </c>
      <c r="AE80" s="3">
        <f>3422+(275.2-1007.5)+(0+(0-0))+0--160.3-0</f>
        <v>2850</v>
      </c>
    </row>
    <row r="81" spans="1:31" s="2" customFormat="1" x14ac:dyDescent="0.25">
      <c r="A81">
        <v>89</v>
      </c>
      <c r="B81">
        <v>3</v>
      </c>
      <c r="C81">
        <v>19</v>
      </c>
      <c r="D81">
        <v>5</v>
      </c>
      <c r="E81">
        <v>1</v>
      </c>
      <c r="F81" s="3">
        <f>3369.1+(258.7-956)+(-5.154723+(-0.395811--1.46268))+0--161.4-0.246942000000009</f>
        <v>2828.8652040000002</v>
      </c>
      <c r="G81" s="3">
        <f>3255.1+(253.2-925.3)+(-6.640404+(-0.516528--1.887612))+0--157.4-0.321095999999993</f>
        <v>2734.8095840000001</v>
      </c>
      <c r="H81" s="3">
        <f>3029+(277.6-807.8)+(-3.08958+(-0.283152--0.823956))+0--153.8-0.156876000000025</f>
        <v>2649.8943480000003</v>
      </c>
      <c r="I81" s="3">
        <f>3007.3+(279.9-851)+(-7.668615+(-0.713745--2.17005))+0--152.2-0.388109999999978</f>
        <v>2581.7995800000003</v>
      </c>
      <c r="J81" s="3">
        <f>3025.3+(274.8-915.2)+(3.085806+(0.280296-0.933504))+0--150.4--0.153408000000024</f>
        <v>2537.8860060000002</v>
      </c>
      <c r="K81" s="3">
        <f>2987.8+(348.2-1016.2)+(-7.61889+(-0.88791--2.59131))+0--147.7-0.376634999999979</f>
        <v>2461.2078750000001</v>
      </c>
      <c r="L81" s="3">
        <f>2593.2+(456.5-987)+(-1.322532+(-0.232815--0.50337))+0--135.7-0.0692069999999862</f>
        <v>2197.2788159999996</v>
      </c>
      <c r="M81" s="3">
        <f>2727.9+(416.8-1059.5)+(2.782458+(0.425136-1.08069))+0--135.1--0.137802000000022</f>
        <v>2222.5647060000001</v>
      </c>
      <c r="N81" s="3">
        <f>2830.2+(449.5-1065.4)+(0+(0-0))+0--136.4-0</f>
        <v>2350.6999999999998</v>
      </c>
      <c r="O81" s="3">
        <f>2931.5+(399.5-1045.8)+(0+(0-0))+0--135.4-0</f>
        <v>2420.6</v>
      </c>
      <c r="P81" s="3">
        <f>3041+(344.7-978.9)+(-3.10182+(-0.351594--0.998478))+0--135.3-0.138006000000022</f>
        <v>2539.5070580000001</v>
      </c>
      <c r="Q81" s="3">
        <f>3224.8+(313.9-927.7)+(3.289296+(0.320178-0.946254))+0--145.9--0.148818000000023</f>
        <v>2759.7120380000001</v>
      </c>
      <c r="R81" s="3">
        <f>3291+(310.1-807.8)+(-5.03523+(-0.474453--1.235934))+0--158.6-0.242658000000009</f>
        <v>2947.383593</v>
      </c>
      <c r="S81" s="3">
        <f>3310.2+(293.2-713.4)+(-1.688202+(-0.149532--0.363834))+0--166.7-0.0850169999999831</f>
        <v>3055.141083</v>
      </c>
      <c r="T81" s="3">
        <f>3290.6+(303.6-643.8)+(-1.678206+(-0.154836--0.328338))+0--168.3-0.0858329999999829</f>
        <v>3117.1094630000002</v>
      </c>
      <c r="U81" s="3">
        <f>3273.9+(303.4-608.8)+(-3.339378+(-0.309468--0.620976))+0--169.7-0.173094000000027</f>
        <v>3134.9990359999997</v>
      </c>
      <c r="V81" s="3">
        <f>3246.8+(332.9-666.6)+(-4.967604+(-0.509337--1.019898))+0--168.1-0.25719300000001</f>
        <v>3076.4857640000005</v>
      </c>
      <c r="W81" s="3">
        <f>3246.1+(407-919.4)+(-4.966533+(-0.62271--1.406682))+0--160.8-0.246024000000009</f>
        <v>2890.0714149999999</v>
      </c>
      <c r="X81" s="3">
        <f>3202.6+(410.8-1159.9)+(-8.16663+(-1.04754--2.957745))+0--149.9-0.382244999999978</f>
        <v>2596.7613300000003</v>
      </c>
      <c r="Y81" s="3">
        <f>2916.8+(470.4-1091)+(-7.43784+(-1.19952--2.78205))+0--141.2-0.36005999999998</f>
        <v>2431.1846300000002</v>
      </c>
      <c r="Z81" s="3">
        <f>3039.1+(355.6-856.9)+(-3.099882+(-0.362712--0.874038))+0--149.7-0.152694000000024</f>
        <v>2684.75875</v>
      </c>
      <c r="AA81" s="3">
        <f>3338.4+(302.6-928)+(-5.107752+(-0.462978--1.41984))+0--158.2-0.242046000000009</f>
        <v>2866.8070640000001</v>
      </c>
      <c r="AB81" s="3">
        <f>3395.4+(282-958.6)+(-8.65827+(-0.7191--2.44443))+0--161.6-0.412079999999977</f>
        <v>2873.0549799999999</v>
      </c>
      <c r="AC81" s="3">
        <f>3395.3+(257.9-959.5)+(0+(0-0))+0--165.1-0</f>
        <v>2858.8</v>
      </c>
      <c r="AD81">
        <f t="shared" si="1"/>
        <v>64817.382323000013</v>
      </c>
      <c r="AE81" s="3">
        <f>3396+(292.3-902.4)+(0+(0-0))+0--157-0</f>
        <v>2942.9</v>
      </c>
    </row>
    <row r="82" spans="1:31" s="2" customFormat="1" x14ac:dyDescent="0.25">
      <c r="A82">
        <v>89</v>
      </c>
      <c r="B82">
        <v>3</v>
      </c>
      <c r="C82">
        <v>20</v>
      </c>
      <c r="D82">
        <v>6</v>
      </c>
      <c r="E82">
        <v>1</v>
      </c>
      <c r="F82" s="3">
        <f>3388.8+(280.3-1007.4)+(-3.456576+(-0.285906--1.027548))+0--168.6-0.171972000000027</f>
        <v>2827.413094</v>
      </c>
      <c r="G82" s="3">
        <f>3350.1+(258.3-1032.1)+(5.125653+(0.395199-1.579113))+0--168.2--0.25734600000001</f>
        <v>2748.6990849999997</v>
      </c>
      <c r="H82" s="3">
        <f>3358.7+(220.5-1077)+(0+(0-0))+0--166.9-0</f>
        <v>2669.1</v>
      </c>
      <c r="I82" s="3">
        <f>3366.9+(223.9-1139)+(1.717119+(0.114189-0.58089))+0--165.7--0.0845069999999832</f>
        <v>2618.8349250000001</v>
      </c>
      <c r="J82" s="3">
        <f>3218.6+(265.8-1073.2)+(-3.282972+(-0.271116--1.094664))+0--163.9-0.167178000000026</f>
        <v>2572.4733979999996</v>
      </c>
      <c r="K82" s="3">
        <f>2932.7+(341.2-925.8)+(-4.487031+(-0.522036--1.416474))+0--143.1-0.218943000000008</f>
        <v>2487.3884640000001</v>
      </c>
      <c r="L82" s="3">
        <f>2580.5+(465.1-783.1)+(-1.316055+(-0.237201--0.399381))+0--44.8-0.0228479999999955</f>
        <v>2306.1232770000001</v>
      </c>
      <c r="M82" s="3">
        <f>2524.8+(407-638.2)+(1.287648+(0.20757-0.325482))+0-2.6-0.00132599999999974</f>
        <v>2292.1684100000002</v>
      </c>
      <c r="N82" s="3">
        <f>2658.6+(368.7-631.6)+(2.711772+(0.376074-0.644232))+0--1.9--0.0019380000000003</f>
        <v>2400.0455519999996</v>
      </c>
      <c r="O82" s="3">
        <f>2799+(302.4-766.3)+(5.70996+(0.616896-1.563252))+0--110.1--0.224603999999995</f>
        <v>2450.188208</v>
      </c>
      <c r="P82" s="3">
        <f>3014.4+(230.3-788.2)+(3.074688+(0.234906-0.803964))+0--137.2--0.139944000000022</f>
        <v>2596.3455739999999</v>
      </c>
      <c r="Q82" s="3">
        <f>3143.8+(247.1-762.1)+(3.206676+(0.252042-0.777342))+0--157.9--0.161058000000025</f>
        <v>2789.5424340000004</v>
      </c>
      <c r="R82" s="3">
        <f>3299.2+(276.4-746.4)+(1.682592+(0.140964-0.380664))+0--159.6--0.0813959999999838</f>
        <v>2990.3242879999998</v>
      </c>
      <c r="S82" s="3">
        <f>3326.9+(343.1-767)+(0+(0-0))+0--166.8-0</f>
        <v>3069.8</v>
      </c>
      <c r="T82" s="3">
        <f>3316.5+(388.8-756.4)+(0+(0-0))+0--170.4-0</f>
        <v>3119.3</v>
      </c>
      <c r="U82" s="3">
        <f>3311.1+(360.9-764.3)+(-1.688661+(-0.184059--0.389793))+0--171-0.0872099999999826</f>
        <v>3077.1298629999997</v>
      </c>
      <c r="V82" s="3">
        <f>3291.5+(272.1-703.3)+(-3.35733+(-0.277542--0.717366))+0--170.1-0.173502000000027</f>
        <v>3027.3089920000002</v>
      </c>
      <c r="W82" s="3">
        <f>3265.1+(232.2-807.9)+(-4.995603+(-0.355266--1.236087))+0--164.1-0.251073000000009</f>
        <v>2849.1341449999995</v>
      </c>
      <c r="X82" s="3">
        <f>3052.3+(331.1-973.2)+(-7.783365+(-0.844305--2.48166))+0--150.1-0.382754999999978</f>
        <v>2553.7712350000002</v>
      </c>
      <c r="Y82" s="3">
        <f>2763.4+(419.6-971.5)+(-4.228002+(-0.641988--1.486395))+0--142.1-0.217413000000008</f>
        <v>2349.9989920000003</v>
      </c>
      <c r="Z82" s="3">
        <f>3115+(281.4-920.5)+(-1.58865+(-0.143514--0.469455))+0--151.6-0.0773159999999846</f>
        <v>2626.159975</v>
      </c>
      <c r="AA82" s="3">
        <f>3327.7+(255.1-919.4)+(-3.394254+(-0.260202--0.937788))+0--159.2-0.162384000000025</f>
        <v>2819.7209479999992</v>
      </c>
      <c r="AB82" s="3">
        <f>3350.2+(232.9-908.5)+(-3.417204+(-0.237558--0.92667))+0--161.2-0.164424000000026</f>
        <v>2832.9074839999998</v>
      </c>
      <c r="AC82" s="3">
        <f>3358.7+(219.6-916.9)+(-1.712937+(-0.111996--0.467619))+0--164.6-0.0839459999999833</f>
        <v>2824.5587399999995</v>
      </c>
      <c r="AD82">
        <f t="shared" si="1"/>
        <v>64898.437083000004</v>
      </c>
      <c r="AE82" s="3">
        <f>3334+(237.7-913.5)+(0+(0-0))+0--159-0</f>
        <v>2817.2</v>
      </c>
    </row>
    <row r="83" spans="1:31" s="2" customFormat="1" x14ac:dyDescent="0.25">
      <c r="A83">
        <v>89</v>
      </c>
      <c r="B83">
        <v>3</v>
      </c>
      <c r="C83">
        <v>21</v>
      </c>
      <c r="D83">
        <v>7</v>
      </c>
      <c r="E83">
        <v>1</v>
      </c>
      <c r="F83" s="3">
        <f>3387.5+(216.7-957)+(0+(0-0))+0--166.4-0</f>
        <v>2813.6</v>
      </c>
      <c r="G83" s="3">
        <f>3419.4+(201.2-1039.3)+(-5.231682+(-0.307836--1.590129))+0--166.4-0.25459200000001</f>
        <v>2743.4960190000002</v>
      </c>
      <c r="H83" s="3">
        <f>3400.7+(192.6-1090.1)+(0+(0-0))+0--165.1-0</f>
        <v>2668.2999999999997</v>
      </c>
      <c r="I83" s="3">
        <f>3412+(178.1-1145)+(0+(0-0))+0--164.2-0</f>
        <v>2609.2999999999997</v>
      </c>
      <c r="J83" s="3">
        <f>3377.8+(181.8-1157.6)+(3.445356+(0.185436-1.180752))+0--163.1--0.166362000000026</f>
        <v>2567.716402</v>
      </c>
      <c r="K83" s="3">
        <f>3159.1+(235.6-1053)+(-6.444564+(-0.480624--2.14812))+0--148.9-0.303755999999994</f>
        <v>2485.5191760000002</v>
      </c>
      <c r="L83" s="3">
        <f>2801.1+(238.4-880.6)+(0+(0-0))+0--99.6-0</f>
        <v>2258.4999999999995</v>
      </c>
      <c r="M83" s="3">
        <f>2658.4+(267.2-825.3)+(-4.067352+(-0.408816--1.262709))+0--95.1-0.145503000000005</f>
        <v>2192.0410379999998</v>
      </c>
      <c r="N83" s="3">
        <f>2812+(293.4-983.3)+(0+(0-0))+0--96.6-0</f>
        <v>2218.6999999999998</v>
      </c>
      <c r="O83" s="3">
        <f>2947.9+(276.5-1062.2)+(0+(0-0))+0--105.6-0</f>
        <v>2267.7999999999997</v>
      </c>
      <c r="P83" s="3">
        <f>3049.3+(210.2-1033.3)+(-1.555143+(-0.107202--0.526983))+0--142.9-0.0728789999999855</f>
        <v>2367.8917590000005</v>
      </c>
      <c r="Q83" s="3">
        <f>3185.1+(187.9-964.4)+(4.873203+(0.287487-1.475532))+0--148.3--0.226899000000009</f>
        <v>2560.8120570000001</v>
      </c>
      <c r="R83" s="3">
        <f>3206.1+(174.2-808.2)+(0+(0-0))+0--153.2-0</f>
        <v>2725.2999999999997</v>
      </c>
      <c r="S83" s="3">
        <f>3191.1+(231.6-732.3)+(0+(0-0))+0--159.4-0</f>
        <v>2849.8</v>
      </c>
      <c r="T83" s="3">
        <f>3182.7+(260.9-692.7)+(-3.246354+(-0.266118--0.706554))+0--163-0.166260000000026</f>
        <v>2910.9278219999997</v>
      </c>
      <c r="U83" s="3">
        <f>3230.2+(221.7-693.6)+(0+(0-0))+0--165.5-0</f>
        <v>2923.7999999999997</v>
      </c>
      <c r="V83" s="3">
        <f>3239.7+(188.5-710.5)+(0+(0-0))+0--164.5-0</f>
        <v>2882.2</v>
      </c>
      <c r="W83" s="3">
        <f>3243.9+(194.5-900)+(1.654389+(0.099195-0.459))+0--157.5--0.080324999999984</f>
        <v>2697.2749090000002</v>
      </c>
      <c r="X83" s="3">
        <f>3011.1+(266.9-997.7)+(-1.535661+(-0.136119--0.508827))+0--144-0.0734399999999854</f>
        <v>2423.0636069999996</v>
      </c>
      <c r="Y83" s="3">
        <f>2610.3+(321.6-814.8)+(0+(0-0))+0--135.5-0</f>
        <v>2252.6000000000004</v>
      </c>
      <c r="Z83" s="3">
        <f>3010.6+(200.2-854.8)+(-1.535406+(-0.102102--0.435948))+0--144-0.0734399999999854</f>
        <v>2498.7249999999999</v>
      </c>
      <c r="AA83" s="3">
        <f>3353.7+(216.1-986.8)+(1.710387+(0.110211-0.503268))+0--152--0.0775199999999846</f>
        <v>2736.3948499999997</v>
      </c>
      <c r="AB83" s="3">
        <f>3386.8+(210.5-968.2)+(-3.454536+(-0.21471--0.987564))+0--155.5-0.158610000000025</f>
        <v>2781.7597080000005</v>
      </c>
      <c r="AC83" s="3">
        <f>3397.9+(198.9-930.4)+(-5.198787+(-0.304317--1.423512))+0--160.6-0.245718000000009</f>
        <v>2822.6746899999998</v>
      </c>
      <c r="AD83">
        <f t="shared" si="1"/>
        <v>62258.197036999984</v>
      </c>
      <c r="AE83" s="3">
        <f>3353+(214.4-936.8)+(0+(0-0))+0--156-0</f>
        <v>2786.6</v>
      </c>
    </row>
    <row r="84" spans="1:31" s="2" customFormat="1" x14ac:dyDescent="0.25">
      <c r="A84">
        <v>89</v>
      </c>
      <c r="B84">
        <v>3</v>
      </c>
      <c r="C84">
        <v>22</v>
      </c>
      <c r="D84">
        <v>1</v>
      </c>
      <c r="E84">
        <v>1</v>
      </c>
      <c r="F84" s="3">
        <f>3430.5+(209.8-962.8)+(-3.49911+(-0.213996--0.982056))+0--166.4-0.169728000000027</f>
        <v>2840.9992220000004</v>
      </c>
      <c r="G84" s="3">
        <f>3443.7+(195.1-1059.7)+(-5.268861+(-0.298503--1.621341))+0--165.6-0.25336800000001</f>
        <v>2740.5006089999997</v>
      </c>
      <c r="H84" s="3">
        <f>3455+(196.2-1143.1)+(-1.76205+(-0.100062--0.582981))+0--164-0.0836399999999834</f>
        <v>2670.7372290000008</v>
      </c>
      <c r="I84" s="3">
        <f>3468.4+(196.7-1204.2)+(-3.537768+(-0.200634--1.228284))+0--162.8-0.166056000000026</f>
        <v>2621.0238260000001</v>
      </c>
      <c r="J84" s="3">
        <f>3481.9+(202.9-1266.1)+(-8.878845+(-0.517395--3.228555))+0--162-0.413099999999976</f>
        <v>2574.1192150000006</v>
      </c>
      <c r="K84" s="3">
        <f>3397.3+(219-1275.5)+(-6.930492+(-0.44676--2.60202))+0--158-0.322319999999993</f>
        <v>2493.702448</v>
      </c>
      <c r="L84" s="3">
        <f>2815.1+(371.8-1063.3)+(-4.307103+(-0.568854--1.626849))+0--145.2-0.222156000000008</f>
        <v>2265.3287359999999</v>
      </c>
      <c r="M84" s="3">
        <f>2865.4+(346.9-1061.1)+(0+(0-0))+0--143.5-0</f>
        <v>2294.7000000000003</v>
      </c>
      <c r="N84" s="3">
        <f>3064.1+(343.8-1121.9)+(0+(0-0))+0--146.8-0</f>
        <v>2432.8000000000002</v>
      </c>
      <c r="O84" s="3">
        <f>3234.7+(255.3-1106)+(1.649697+(0.130203-0.56406))+0--147--0.0749699999999851</f>
        <v>2532.29081</v>
      </c>
      <c r="P84" s="3">
        <f>3245.8+(257.2-1004.4)+(3.310716+(0.262344-1.024488))+0--146--0.148920000000023</f>
        <v>2647.2974920000006</v>
      </c>
      <c r="Q84" s="3">
        <f>3236.5+(272.1-831.9)+(-1.650615+(-0.138771--0.424269))+0--150.1-0.0765509999999848</f>
        <v>2825.3583319999998</v>
      </c>
      <c r="R84" s="3">
        <f>3262.8+(285.4-666.3)+(4.992084+(0.436662-1.019439))+0--158.6--0.242658000000009</f>
        <v>3045.151965</v>
      </c>
      <c r="S84" s="3">
        <f>3314+(329.2-645.9)+(-1.69014+(-0.167892--0.329409))+0--167.2-0.085271999999983</f>
        <v>3162.886105</v>
      </c>
      <c r="T84" s="3">
        <f>3314+(362.4-638.1)+(5.07042+(0.554472-0.976293))+0--176.9--0.27065700000001</f>
        <v>3220.1192560000004</v>
      </c>
      <c r="U84" s="3">
        <f>3306+(324.9-533.6)+(0+(0-0))+0--158.4-0</f>
        <v>3255.7000000000003</v>
      </c>
      <c r="V84" s="3">
        <f>3293.2+(322.9-534.5)+(1.679532+(0.164679-0.272595))+0--124.5--0.0634949999999874</f>
        <v>3207.735111</v>
      </c>
      <c r="W84" s="3">
        <f>3294.4+(293.5-721.9)+(-1.680144+(-0.149685--0.368169))+0--147.1-0.0750209999999851</f>
        <v>3011.5633189999999</v>
      </c>
      <c r="X84" s="3">
        <f>3255.4+(321.8-1002.7)+(-3.320508+(-0.328236--1.022754))+0--152.1-0.155142000000024</f>
        <v>2723.8188679999998</v>
      </c>
      <c r="Y84" s="3">
        <f>3130.8+(333.1-1042.8)+(-1.596708+(-0.169881--0.531828))+0--145.5-0.0742049999999852</f>
        <v>2565.2910340000003</v>
      </c>
      <c r="Z84" s="3">
        <f>3287+(254.8-866.4)+(-3.35274+(-0.259896--0.883728))+0--152.7-0.155754000000024</f>
        <v>2825.215338</v>
      </c>
      <c r="AA84" s="3">
        <f>3349.8+(265.1-768.9)+(-1.708398+(-0.135201--0.392139))+0--159.2-0.0811919999999838</f>
        <v>3003.6673479999995</v>
      </c>
      <c r="AB84" s="3">
        <f>3274.9+(288.7-713.5)+(-1.670199+(-0.147237--0.363885))+0--162.4-0.0828239999999835</f>
        <v>3010.9636249999999</v>
      </c>
      <c r="AC84" s="3">
        <f>3201.8+(308.1-681.7)+(-1.632918+(-0.157131--0.347667))+0--166.2-0.0847619999999831</f>
        <v>2992.872856</v>
      </c>
      <c r="AD84">
        <f t="shared" si="1"/>
        <v>66963.842743999994</v>
      </c>
      <c r="AE84" s="3">
        <f>3340+(264.6-777.4)+(0+(0-0))+0--158.7-0</f>
        <v>2985.8999999999996</v>
      </c>
    </row>
    <row r="85" spans="1:31" s="2" customFormat="1" x14ac:dyDescent="0.25">
      <c r="A85">
        <v>89</v>
      </c>
      <c r="B85">
        <v>3</v>
      </c>
      <c r="C85">
        <v>23</v>
      </c>
      <c r="D85">
        <v>2</v>
      </c>
      <c r="E85">
        <v>1</v>
      </c>
      <c r="F85" s="3">
        <f>3199.6+(288.3-722.1)+(-1.631796+(-0.147033--0.368271))+0--168.5-0.0859349999999829</f>
        <v>2932.8035069999996</v>
      </c>
      <c r="G85" s="3">
        <f>3210.9+(332-888.9)+(-6.550236+(-0.67728--1.813356))+0--168.4-0.343535999999993</f>
        <v>2816.6423040000004</v>
      </c>
      <c r="H85" s="3">
        <f>3235.4+(294.7-953.8)+(-4.950162+(-0.450891--1.459314))+0--166.3-0.25443900000001</f>
        <v>2738.4038220000007</v>
      </c>
      <c r="I85" s="3">
        <f>3261+(298.8-1043.5)+(0+(0-0))+0--166.5-0</f>
        <v>2682.8</v>
      </c>
      <c r="J85" s="3">
        <f>3198+(344.6-1062.5)+(1.63098+(0.175746-0.541875))+0--164--0.0836399999999834</f>
        <v>2645.4484909999996</v>
      </c>
      <c r="K85" s="3">
        <f>2925.9+(464.2-989.8)+(-5.968836+(-0.946968--2.019192))+0--157.3-0.320891999999993</f>
        <v>2552.3824960000002</v>
      </c>
      <c r="L85" s="3">
        <f>2675.1+(503-947.9)+(4.092903+(0.76959-1.450287))+0--99--0.151470000000006</f>
        <v>2332.7636759999996</v>
      </c>
      <c r="M85" s="3">
        <f>2927.9+(403.5-1076.8)+(1.493229+(0.205785-0.549168))+0--98.4--0.05018399999999</f>
        <v>2354.2000300000004</v>
      </c>
      <c r="N85" s="3">
        <f>3143.6+(365.6-1109.4)+(-4.809708+(-0.559368--1.697382))+0--102.8-0.157284000000006</f>
        <v>2498.7710219999999</v>
      </c>
      <c r="O85" s="3">
        <f>3271.4+(323.2-1143.4)+(-3.336828+(-0.329664--1.166268))+0--142.2-0.145044000000023</f>
        <v>2590.7547319999999</v>
      </c>
      <c r="P85" s="3">
        <f>3278.9+(292.4-988.5)+(-1.672239+(-0.149124--0.504135))+0--152.8-0.0779279999999845</f>
        <v>2734.2048440000003</v>
      </c>
      <c r="Q85" s="3">
        <f>3288.1+(249.7-775.7)+(0+(0-0))+0--154.8-0</f>
        <v>2916.9</v>
      </c>
      <c r="R85" s="3">
        <f>3288+(337.4-707.9)+(-3.35376+(-0.344148--0.722058))+24.2--162.1-0.165342000000026</f>
        <v>3100.6588079999997</v>
      </c>
      <c r="S85" s="3">
        <f>3274.2+(381.1-708.7)+(-5.009526+(-0.583083--1.084311))+32.3--167.9-0.25688700000001</f>
        <v>3142.034815</v>
      </c>
      <c r="T85" s="3">
        <f>3262.9+(431.3-641.3)+(-1.664079+(-0.219963--0.327063))+0--176.2-0.0898619999999821</f>
        <v>3227.4531590000001</v>
      </c>
      <c r="U85" s="3">
        <f>3260.1+(432.4-632.1)+(1.662651+(0.220524-0.322371))+0--187.7--0.095726999999981</f>
        <v>3249.7565309999995</v>
      </c>
      <c r="V85" s="3">
        <f>3239.1+(401.3-619.9)+(-1.651941+(-0.204663--0.316149))+0--186.4-0.0950639999999811</f>
        <v>3205.2644810000002</v>
      </c>
      <c r="W85" s="3">
        <f>3251.9+(310-724.3)+(-1.658469+(-0.1581--0.369393))+0--179.5-0.0915449999999818</f>
        <v>3015.5612790000005</v>
      </c>
      <c r="X85" s="3">
        <f>3179.4+(322.8-920.6)+(-4.864482+(-0.493884--1.408518))+0--156.5-0.239445000000009</f>
        <v>2733.910707</v>
      </c>
      <c r="Y85" s="3">
        <f>3083.5+(344-999.8)+(-3.14517+(-0.35088--1.019796))+0--144.1-0.146982000000023</f>
        <v>2569.1767639999994</v>
      </c>
      <c r="Z85" s="3">
        <f>3176.4+(299.3-792.7)+(-1.619964+(-0.152643--0.404277))+0--153.9-0.0784889999999844</f>
        <v>2835.4531810000003</v>
      </c>
      <c r="AA85" s="3">
        <f>3259.6+(327.1-750.6)+(0+(0-0))+0--176.6-0</f>
        <v>3012.7</v>
      </c>
      <c r="AB85" s="3">
        <f>3292.4+(301.6-738.5)+(-1.679124+(-0.153816--0.376635))+0--179.3-0.0914429999999818</f>
        <v>3033.2522520000002</v>
      </c>
      <c r="AC85" s="3">
        <f>3292.9+(269-722)+(-5.038137+(-0.41157--1.10466))+0--183.4-0.280602000000011</f>
        <v>3018.6743510000006</v>
      </c>
      <c r="AD85">
        <f t="shared" si="1"/>
        <v>67939.971251999988</v>
      </c>
      <c r="AE85" s="3">
        <f>3257+(326.6-730.1)+(0+(0-0))+0--176-0</f>
        <v>3029.5</v>
      </c>
    </row>
    <row r="86" spans="1:31" s="2" customFormat="1" x14ac:dyDescent="0.25">
      <c r="A86">
        <v>89</v>
      </c>
      <c r="B86">
        <v>3</v>
      </c>
      <c r="C86">
        <v>24</v>
      </c>
      <c r="D86">
        <v>3</v>
      </c>
      <c r="E86">
        <v>1</v>
      </c>
      <c r="F86" s="3">
        <f>3296.4+(308.8-788.5)+(-3.362328+(-0.314976--0.80427))+0-8--0.00816000000000128</f>
        <v>2805.8351259999999</v>
      </c>
      <c r="G86" s="3">
        <f>2994.2+(337.2-654.3)+(0+(0-0))+0-8-0</f>
        <v>2669.1</v>
      </c>
      <c r="H86" s="3">
        <f>2927.5+(342.1-682.9)+(-2.98605+(-0.348942--0.696558))+0-8--0.00816000000000128</f>
        <v>2576.0697259999997</v>
      </c>
      <c r="I86" s="3">
        <f>2874.6+(347.6-698.5)+(2.932092+(0.354552-0.71247))+0-8-0.00816000000000128</f>
        <v>2518.2660139999998</v>
      </c>
      <c r="J86" s="3">
        <f>2875.2+(369-758.2)+(-1.466352+(-0.18819--0.386682))+0-8--0.00407999999999919</f>
        <v>2476.7362200000002</v>
      </c>
      <c r="K86" s="3">
        <f>2772.1+(449-790.7)+(-2.827542+(-0.45798--0.806514))+0-8--0.00816000000000128</f>
        <v>2419.9291519999997</v>
      </c>
      <c r="L86" s="3">
        <f>2683.3+(471.7-869.2)+(1.368483+(0.240567-0.443292))+0-8-0.00407999999999919</f>
        <v>2278.9616780000001</v>
      </c>
      <c r="M86" s="3">
        <f>2945+(365.2-1040)+(1.50195+(0.186252-0.5304))+0-8-0.00407999999999919</f>
        <v>2263.3537219999998</v>
      </c>
      <c r="N86" s="3">
        <f>3224.6+(354.2-1178.2)+(-3.289092+(-0.361284--1.201764))+0-8--0.00816000000000128</f>
        <v>2390.1595479999996</v>
      </c>
      <c r="O86" s="3">
        <f>3226.6+(382.1-1106.7)+(0+(0-0))+0-8-0</f>
        <v>2494</v>
      </c>
      <c r="P86" s="3">
        <f>3225.1+(364.3-951.1)+(3.289602+(0.371586-0.970122))+0-8-0.00816000000000128</f>
        <v>2632.9829060000002</v>
      </c>
      <c r="Q86" s="3">
        <f>3205.9+(341.8-737.6)+(1.635009+(0.174318-0.376176))+0-8-0.00407999999999919</f>
        <v>2803.5290709999999</v>
      </c>
      <c r="R86" s="3">
        <f>3272.9+(345-620.2)+(1.669179+(0.17595-0.316302))+0--169.6--0.0864959999999828</f>
        <v>3168.9153229999997</v>
      </c>
      <c r="S86" s="3">
        <f>3272.1+(334.8-547.9)+(-3.337542+(-0.341496--0.558858))+0--191.6-0.195432000000031</f>
        <v>3247.284388</v>
      </c>
      <c r="T86" s="3">
        <f>3254.9+(415.1-556)+(3.319998+(0.423402-0.56712))+0--193.2--0.197064000000031</f>
        <v>3310.5733439999999</v>
      </c>
      <c r="U86" s="3">
        <f>3233.9+(436.8-550.8)+(6.597156+(0.891072-1.123632))+0--193.7--0.395147999999992</f>
        <v>3320.3597439999999</v>
      </c>
      <c r="V86" s="3">
        <f>3218.2+(427.7-535.9)+(-1.641282+(-0.218127--0.273309))+0--162.3-0.0827729999999835</f>
        <v>3270.6311270000001</v>
      </c>
      <c r="W86" s="3">
        <f>3222+(283.2-549.2)+(-3.28644+(-0.288864--0.560184))+0--160-0.163200000000026</f>
        <v>3112.82168</v>
      </c>
      <c r="X86" s="3">
        <f>3195.7+(315.4-845.2)+(-6.519228+(-0.643416--1.724208))+0--149.3-0.304571999999994</f>
        <v>2809.4569919999999</v>
      </c>
      <c r="Y86" s="3">
        <f>3175.4+(310.4-993.7)+(0+(0-0))+0--143.9-0</f>
        <v>2636</v>
      </c>
      <c r="Z86" s="3">
        <f>3202.9+(231.9-758.6)+(1.633479+(0.118269-0.386886))+0--151--0.0770099999999847</f>
        <v>2828.6418719999997</v>
      </c>
      <c r="AA86" s="3">
        <f>3354.7+(234.2-682.1)+(-1.710897+(-0.119442--0.347871))+0--158.6-0.0808859999999839</f>
        <v>3063.8366459999993</v>
      </c>
      <c r="AB86" s="3">
        <f>3312.4+(268.3-650.7)+(-5.067972+(-0.410499--0.995571))+0--161.8-0.247554000000009</f>
        <v>3087.0695460000002</v>
      </c>
      <c r="AC86" s="3">
        <f>3281.2+(268.7-640.5)+(-3.346824+(-0.274074--0.65331))+0--165.8-0.169116000000026</f>
        <v>3072.0632959999998</v>
      </c>
      <c r="AD86">
        <f t="shared" si="1"/>
        <v>67256.577120999995</v>
      </c>
      <c r="AE86" s="3">
        <f>3379+(218.5-703.9)+(0+(0-0))+0--146-0</f>
        <v>3039.6</v>
      </c>
    </row>
    <row r="87" spans="1:31" s="2" customFormat="1" x14ac:dyDescent="0.25">
      <c r="A87">
        <v>89</v>
      </c>
      <c r="B87">
        <v>3</v>
      </c>
      <c r="C87">
        <v>25</v>
      </c>
      <c r="D87">
        <v>4</v>
      </c>
      <c r="E87">
        <v>1</v>
      </c>
      <c r="F87" s="3">
        <f>3199.4+(276.8-727.6)+(-4.895082+(-0.423504--1.113228))+0--144.9-0.221697000000008</f>
        <v>2889.0729449999999</v>
      </c>
      <c r="G87" s="3">
        <f>3191.2+(262.2-756.2)+(0+(0-0))+0--146.9-0</f>
        <v>2844.1</v>
      </c>
      <c r="H87" s="3">
        <f>3123.9+(250.3-765.1)+(-3.186378+(-0.255306--0.780402))+0--145.3-0.148206000000023</f>
        <v>2751.5905120000007</v>
      </c>
      <c r="I87" s="3">
        <f>3136.3+(256.3-843.6)+(-1.599513+(-0.130713--0.430236))+0--144.4-0.0736439999999854</f>
        <v>2692.0263660000001</v>
      </c>
      <c r="J87" s="3">
        <f>3034.7+(297-831.9)+(-3.095394+(-0.30294--0.848538))+0--146.4-0.149328000000023</f>
        <v>2643.5008760000001</v>
      </c>
      <c r="K87" s="3">
        <f>3029.4+(346.3-951)+(-7.72497+(-0.883065--2.42505))+0--150.5-0.383774999999978</f>
        <v>2568.6332400000001</v>
      </c>
      <c r="L87" s="3">
        <f>2856+(390.3-1014.7)+(-7.2828+(-0.995265--2.587485))+0--149.7-0.381734999999978</f>
        <v>2375.2276849999998</v>
      </c>
      <c r="M87" s="3">
        <f>2895.7+(366.8-1026.5)+(2.953614+(0.374136-1.04703))+0--143--0.145860000000023</f>
        <v>2381.4265800000003</v>
      </c>
      <c r="N87" s="3">
        <f>3148.6+(315.4-1085.8)+(1.605786+(0.160854-0.553758))+0--144.1--0.0734909999999854</f>
        <v>2523.5863729999996</v>
      </c>
      <c r="O87" s="3">
        <f>3250.9+(297.7-1040.7)+(1.657959+(0.151827-0.530757))+0--111.8--0.0570179999999887</f>
        <v>2621.0360470000001</v>
      </c>
      <c r="P87" s="3">
        <f>3253.5+(290.6-944.3)+(-1.659285+(-0.148206--0.481593))+0--148.3-0.075632999999985</f>
        <v>2746.6984690000004</v>
      </c>
      <c r="Q87" s="3">
        <f>3268+(232.6-732.9)+(0+(0-0))+0--152.8-0</f>
        <v>2920.5</v>
      </c>
      <c r="R87" s="3">
        <f>3323.7+(228.8-547.5)+(-3.390174+(-0.233376--0.55845))+0--159.1-0.162282000000025</f>
        <v>3160.8726179999999</v>
      </c>
      <c r="S87" s="3">
        <f>3293.8+(323.8-537.4)+(-3.359676+(-0.330276--0.548148))+0--165.6-0.168912000000026</f>
        <v>3242.4892840000002</v>
      </c>
      <c r="T87" s="3">
        <f>3295+(401.7-549.9)+(0+(0-0))+0--170.7-0</f>
        <v>3317.5</v>
      </c>
      <c r="U87" s="3">
        <f>3280.9+(414.2-545.8)+(3.346518+(0.422484-0.556716))+0--171.4--0.174828000000027</f>
        <v>3324.0871140000004</v>
      </c>
      <c r="V87" s="3">
        <f>3264.8+(385.2-540.4)+(-3.330096+(-0.392904--0.551208))+0--169.2-0.172584000000027</f>
        <v>3275.4556240000002</v>
      </c>
      <c r="W87" s="3">
        <f>3235.8+(281.4-573.2)+(-4.950774+(-0.430542--0.876996))+0--162.5-0.248625000000009</f>
        <v>3101.7470549999998</v>
      </c>
      <c r="X87" s="3">
        <f>3200.8+(331-863.4)+(-4.897224+(-0.50643--1.321002))+0--151.7-0.232101000000009</f>
        <v>2815.7852469999998</v>
      </c>
      <c r="Y87" s="3">
        <f>3108+(356.3-971.6)+(-3.17016+(-0.363426--0.991032))+0--145.1-0.148002000000023</f>
        <v>2635.1094439999997</v>
      </c>
      <c r="Z87" s="3">
        <f>3171.2+(277.7-751.6)+(-1.617312+(-0.141627--0.383316))+0--162-0.0826199999999836</f>
        <v>2857.8417569999997</v>
      </c>
      <c r="AA87" s="3">
        <f>3235+(283.3-644.4)+(-4.94955+(-0.433449--0.985932))+0--176.6-0.27019800000001</f>
        <v>3045.832735</v>
      </c>
      <c r="AB87" s="3">
        <f>3269.6+(261.9-638.3)+(-5.002488+(-0.400707--0.976599))+0--174.1-0.26637300000001</f>
        <v>3062.607031</v>
      </c>
      <c r="AC87" s="3">
        <f>3268.2+(251.3-630.2)+(-3.333564+(-0.256326--0.642804))+0--165.2-0.168504000000026</f>
        <v>3051.3844099999992</v>
      </c>
      <c r="AD87">
        <f t="shared" si="1"/>
        <v>68848.111412000013</v>
      </c>
      <c r="AE87" s="3">
        <f>3275+(259.3-655.4)+(0+(0-0))+0--177-0</f>
        <v>3055.9</v>
      </c>
    </row>
    <row r="88" spans="1:31" s="2" customFormat="1" x14ac:dyDescent="0.25">
      <c r="A88">
        <v>89</v>
      </c>
      <c r="B88">
        <v>3</v>
      </c>
      <c r="C88">
        <v>26</v>
      </c>
      <c r="D88">
        <v>5</v>
      </c>
      <c r="E88">
        <v>1</v>
      </c>
      <c r="F88" s="3">
        <f>3046.1+(290.8-592)+(-3.107022+(-0.296616--0.60384))+0--168.2-0.171564000000027</f>
        <v>2910.1286379999997</v>
      </c>
      <c r="G88" s="3">
        <f>3022.7+(308.2-653.6)+(-1.541577+(-0.157182--0.333336))+0--165.1-0.0842009999999832</f>
        <v>2840.9503759999993</v>
      </c>
      <c r="H88" s="3">
        <f>3042.4+(293.2-745.6)+(-3.103248+(-0.299064--0.760512))+0--164.4-0.167688000000026</f>
        <v>2751.5905120000002</v>
      </c>
      <c r="I88" s="3">
        <f>3044.5+(287.8-800.3)+(-4.658085+(-0.440334--1.224459))+0--162.3-0.248319000000009</f>
        <v>2690.1777210000005</v>
      </c>
      <c r="J88" s="3">
        <f>2984.1+(331.1-826.3)+(-1.521891+(-0.168861--0.421413))+0--160.4-0.0818039999999837</f>
        <v>2647.9488570000003</v>
      </c>
      <c r="K88" s="3">
        <f>2891.2+(417.3-893.2)+(-7.37256+(-1.064115--2.27766))+0--158.1-0.403154999999977</f>
        <v>2566.8378299999995</v>
      </c>
      <c r="L88" s="3">
        <f>2522.2+(543.4-863.5)+(-1.286322+(-0.277134--0.440385))+0--145.8-0.0743579999999852</f>
        <v>2346.7025710000003</v>
      </c>
      <c r="M88" s="3">
        <f>2531.9+(519.3-828)+(-1.291269+(-0.264843--0.42228))+0--141.3-0.0720629999999857</f>
        <v>2363.2941049999999</v>
      </c>
      <c r="N88" s="3">
        <f>2764.4+(400.2-792.3)+(-2.819688+(-0.408204--0.808146))+0--143.6-0.146472000000023</f>
        <v>2513.3337820000002</v>
      </c>
      <c r="O88" s="3">
        <f>3224.3+(224.9-994)+(-1.644393+(-0.114699--0.50694))+0--146.1-0.0745109999999852</f>
        <v>2599.9733370000004</v>
      </c>
      <c r="P88" s="3">
        <f>3294.6+(212.8-933.5)+(0+(0-0))+0--153.6-0</f>
        <v>2727.4999999999995</v>
      </c>
      <c r="Q88" s="3">
        <f>3297.3+(210.5-793.1)+(-3.363246+(-0.21471--0.808962))+0--168.1-0.171462000000027</f>
        <v>2879.8595439999999</v>
      </c>
      <c r="R88" s="3">
        <f>3309.2+(196.4-592.1)+(0+(0-0))+0--177.2-0</f>
        <v>3090.7</v>
      </c>
      <c r="S88" s="3">
        <f>3306.2+(255.7-564.3)+(0+(0-0))+0--189.9-0</f>
        <v>3187.5</v>
      </c>
      <c r="T88" s="3">
        <f>3290.1+(234.8-547.7)+(0+(0-0))+0--193.9-0</f>
        <v>3171.1</v>
      </c>
      <c r="U88" s="3">
        <f>3286.1+(328.2-550.8)+(-1.675911+(-0.167382--0.280908))+0--193.8-0.0988379999999803</f>
        <v>3255.6387770000001</v>
      </c>
      <c r="V88" s="3">
        <f>3263+(318-540.6)+(3.32826+(0.32436-0.551412))+0--168--0.171360000000027</f>
        <v>3211.672568</v>
      </c>
      <c r="W88" s="3">
        <f>3250.3+(281.6-660.9)+(-8.288265+(-0.71808--1.685295))+0--170-0.433499999999975</f>
        <v>3033.2454499999999</v>
      </c>
      <c r="X88" s="3">
        <f>3185.8+(285.1-878.9)+(-8.12379+(-0.727005--2.241195))+0--158-0.402899999999977</f>
        <v>2742.9875000000002</v>
      </c>
      <c r="Y88" s="3">
        <f>2832.8+(326.2-739)+(-2.889456+(-0.332724--0.75378))+0--149-0.151980000000024</f>
        <v>2566.3796199999997</v>
      </c>
      <c r="Z88" s="3">
        <f>3135.3+(233.8-710.6)+(0+(0-0))+0--160-0</f>
        <v>2818.5</v>
      </c>
      <c r="AA88" s="3">
        <f>3355.8+(236.2-761)+(-5.134374+(-0.361386--1.16433))+0--177-0.27081000000001</f>
        <v>3003.3977599999998</v>
      </c>
      <c r="AB88" s="3">
        <f>3343.9+(217.7-747.9)+(-1.705389+(-0.111027--0.381429))+0--184-0.0938399999999813</f>
        <v>2996.1711729999997</v>
      </c>
      <c r="AC88" s="3">
        <f>3323.8+(207.4-745.9)+(-1.695138+(-0.105774--0.380409))+0--187-0.095369999999981</f>
        <v>2970.7841270000004</v>
      </c>
      <c r="AD88">
        <f t="shared" si="1"/>
        <v>67886.374248000007</v>
      </c>
      <c r="AE88" s="3">
        <f>3360+(249.9-769.7)+(0+(0-0))+0--180-0</f>
        <v>3020.2</v>
      </c>
    </row>
    <row r="89" spans="1:31" s="2" customFormat="1" x14ac:dyDescent="0.25">
      <c r="A89">
        <v>89</v>
      </c>
      <c r="B89">
        <v>3</v>
      </c>
      <c r="C89">
        <v>27</v>
      </c>
      <c r="D89">
        <v>6</v>
      </c>
      <c r="E89">
        <v>1</v>
      </c>
      <c r="F89" s="3">
        <f>3300.2+(226.5-781)+(-3.366204+(-0.23103--0.79662))+0--187.1-0.19084200000003</f>
        <v>2929.8085439999995</v>
      </c>
      <c r="G89" s="3">
        <f>3281.4+(208.6-838.6)+(0+(0-0))+0--175.4-0</f>
        <v>2826.8</v>
      </c>
      <c r="H89" s="3">
        <f>3289.2+(171.2-867.5)+(-5.032476+(-0.261936--1.327275))+0--162.4-0.248472000000009</f>
        <v>2751.0843909999994</v>
      </c>
      <c r="I89" s="3">
        <f>3299.2+(169.9-922.9)+(-3.365184+(-0.173298--0.941358))+0--161.3-0.164526000000026</f>
        <v>2704.7383500000001</v>
      </c>
      <c r="J89" s="3">
        <f>3311.1+(206.1-1010)+(-3.377322+(-0.210222--1.0302))+0--160.6-0.163812000000026</f>
        <v>2665.0788439999997</v>
      </c>
      <c r="K89" s="3">
        <f>3237.8+(291.9-1079.2)+(-8.25639+(-0.744345--2.75196))+0--157.5-0.401624999999977</f>
        <v>2601.3496</v>
      </c>
      <c r="L89" s="3">
        <f>2765.7+(418.7-956)+(-7.052535+(-1.067685--2.4378))+0--144.7-0.368984999999979</f>
        <v>2367.0485949999993</v>
      </c>
      <c r="M89" s="3">
        <f>2793.4+(387.4-957.1)+(4.273902+(0.592722-1.464363))+0--141.3--0.216189000000008</f>
        <v>2368.6184500000004</v>
      </c>
      <c r="N89" s="3">
        <f>3006+(335.9-1006.3)+(0+(0-0))+0--142.7-0</f>
        <v>2478.2999999999997</v>
      </c>
      <c r="O89" s="3">
        <f>3050.4+(300.4-923.3)+(4.667112+(0.459612-1.412649))+0--143.7--0.219861000000008</f>
        <v>2575.1339359999997</v>
      </c>
      <c r="P89" s="3">
        <f>3119.6+(242.3-812.4)+(0+(0-0))+0--144.2-0</f>
        <v>2693.7</v>
      </c>
      <c r="Q89" s="3">
        <f>3186.9+(212.3-694.7)+(3.250638+(0.216546-0.708594))+0--148--0.150960000000024</f>
        <v>2855.4095499999999</v>
      </c>
      <c r="R89" s="3">
        <f>3284.9+(218.5-634.5)+(0+(0-0))+0--154.3-0</f>
        <v>3023.2000000000003</v>
      </c>
      <c r="S89" s="3">
        <f>3265.4+(225.1-542)+(0+(0-0))+0--158.5-0</f>
        <v>3107</v>
      </c>
      <c r="T89" s="3">
        <f>3265.3+(252-552.7)+(0+(0-0))+0--179.3-0</f>
        <v>3143.9000000000005</v>
      </c>
      <c r="U89" s="3">
        <f>3269.4+(256.6-555.7)+(-3.334788+(-0.261732--0.566814))+0--179.7-0.183294000000029</f>
        <v>3146.7870000000003</v>
      </c>
      <c r="V89" s="3">
        <f>3257.9+(241.6-570.5)+(0+(0-0))+0--162.7-0</f>
        <v>3091.7</v>
      </c>
      <c r="W89" s="3">
        <f>3257.8+(264.8-763.4)+(-8.30739+(-0.67524--1.94667))+0--158.1-0.403154999999977</f>
        <v>2909.8608850000001</v>
      </c>
      <c r="X89" s="3">
        <f>3066.1+(300.7-901.8)+(-6.254844+(-0.613428--1.839672))+0--142.9-0.291515999999994</f>
        <v>2602.5798840000002</v>
      </c>
      <c r="Y89" s="3">
        <f>2747.3+(337.2-763.4)+(-1.401123+(-0.171972--0.389334))+0--134.2-0.0684419999999864</f>
        <v>2454.0477970000006</v>
      </c>
      <c r="Z89" s="3">
        <f>3019.2+(212.9-688.3)+(-1.539792+(-0.108579--0.351033))+0--150.4-0.0767039999999847</f>
        <v>2692.8259579999999</v>
      </c>
      <c r="AA89" s="3">
        <f>3335.9+(195.5-852.3)+(-8.506545+(-0.498525--2.173365))+0--178.9-0.456194999999974</f>
        <v>2850.7121000000006</v>
      </c>
      <c r="AB89" s="3">
        <f>3340.9+(192.8-822.5)+(-1.703859+(-0.098328--0.419475))+0--168.8-0.0860879999999829</f>
        <v>2878.5311999999999</v>
      </c>
      <c r="AC89" s="3">
        <f>3360+(170-791.7)+(-6.8544+(-0.3468--1.615068))+0--160.1-0.326603999999993</f>
        <v>2892.4872640000003</v>
      </c>
      <c r="AD89">
        <f t="shared" si="1"/>
        <v>66610.702347999992</v>
      </c>
      <c r="AE89" s="3">
        <f>3324+(209.5-843.4)+(0+(0-0))+0--183-0</f>
        <v>2873.1</v>
      </c>
    </row>
    <row r="90" spans="1:31" s="2" customFormat="1" x14ac:dyDescent="0.25">
      <c r="A90">
        <v>89</v>
      </c>
      <c r="B90">
        <v>3</v>
      </c>
      <c r="C90">
        <v>28</v>
      </c>
      <c r="D90">
        <v>7</v>
      </c>
      <c r="E90">
        <v>1</v>
      </c>
      <c r="F90" s="3">
        <f>3357.6+(184.9-792.9)+(-5.137128+(-0.282897--1.213137))+0--165.6-0.25336800000001</f>
        <v>2910.7397439999995</v>
      </c>
      <c r="G90" s="3">
        <f>3365.3+(176.5-879.4)+(-3.432606+(-0.18003--0.896988))+0--165.2-0.168504000000026</f>
        <v>2824.7158479999998</v>
      </c>
      <c r="H90" s="3">
        <f>3407.6+(168-975.7)+(-5.213628+(-0.25704--1.492821))+0--165.3-0.25290900000001</f>
        <v>2760.9692439999999</v>
      </c>
      <c r="I90" s="3">
        <f>3430.7+(165.4-1051.3)+(-5.248971+(-0.253062--1.608489))+0--164.7-0.25199100000001</f>
        <v>2705.3544649999994</v>
      </c>
      <c r="J90" s="3">
        <f>3419.7+(165.4-1080.6)+(-5.232141+(-0.253062--1.653318))+0--163.5-0.250155000000009</f>
        <v>2663.9179599999998</v>
      </c>
      <c r="K90" s="3">
        <f>3273.2+(182.4-1027.3)+(-5.007996+(-0.279072--1.571769))+0--158.4-0.242352000000009</f>
        <v>2582.7423489999996</v>
      </c>
      <c r="L90" s="3">
        <f>2741.8+(312.8-797.3)+(0+(0-0))+0--116.9-0</f>
        <v>2374.2000000000003</v>
      </c>
      <c r="M90" s="3">
        <f>2694.9+(325.4-825.1)+(0+(0-0))+0--96.2-0</f>
        <v>2291.3999999999996</v>
      </c>
      <c r="N90" s="3">
        <f>2829.7+(282.3-903)+(-5.772588+(-0.575892--1.84212))+0--96.4-0.196655999999996</f>
        <v>2300.6969840000002</v>
      </c>
      <c r="O90" s="3">
        <f>3048.6+(244.6-1055.2)+(-4.664358+(-0.374238--1.614456))+0--100.2-0.153306000000006</f>
        <v>2334.6225539999996</v>
      </c>
      <c r="P90" s="3">
        <f>3166.5+(233.5-1043.4)+(0+(0-0))+0--122.8-0</f>
        <v>2479.4</v>
      </c>
      <c r="Q90" s="3">
        <f>3191.2+(189.3-903.2)+(0+(0-0))+0--148-0</f>
        <v>2625.2999999999997</v>
      </c>
      <c r="R90" s="3">
        <f>3219.7+(169.7-742.4)+(-1.642047+(-0.086547--0.378624))+0--134.5-0.0685949999999864</f>
        <v>2780.0814349999996</v>
      </c>
      <c r="S90" s="3">
        <f>3218.6+(168.8-630.2)+(-1.641486+(-0.086088--0.321402))+0--135.4-0.0690539999999863</f>
        <v>2891.1247739999999</v>
      </c>
      <c r="T90" s="3">
        <f>3193.9+(180.2-587.5)+(-1.628889+(-0.091902--0.299625))+0--151.2-0.0771119999999847</f>
        <v>2936.3017219999997</v>
      </c>
      <c r="U90" s="3">
        <f>3191+(176.5-589.6)+(-3.25482+(-0.18003--0.601392))+0--152.5-0.155550000000024</f>
        <v>2927.4109920000001</v>
      </c>
      <c r="V90" s="3">
        <f>3139.8+(181.4-567.8)+(-1.601298+(-0.092514--0.289578))+0--136.7-0.0697169999999861</f>
        <v>2888.626049</v>
      </c>
      <c r="W90" s="3">
        <f>3120.8+(246.9-743.8)+(-4.774824+(-0.377757--1.138014))+0--135.6-0.207468000000008</f>
        <v>2755.2779649999998</v>
      </c>
      <c r="X90" s="3">
        <f>2867.5+(352.4-850.5)+(-7.312125+(-0.89862--2.168775))+0--112.7-0.287384999999984</f>
        <v>2475.7706449999996</v>
      </c>
      <c r="Y90" s="3">
        <f>2583.3+(402.4-743.8)+(-2.634966+(-0.410448--0.758676))+0--75.5-0.077010000000012</f>
        <v>2315.0362520000003</v>
      </c>
      <c r="Z90" s="3">
        <f>2919.8+(257.8-722)+(-1.489098+(-0.131478--0.36822))+0--121.8-0.0621179999999876</f>
        <v>2576.0855260000008</v>
      </c>
      <c r="AA90" s="3">
        <f>3333.7+(181.1-863.4)+(-5.100561+(-0.277083--1.321002))+0--176.3-0.26973900000001</f>
        <v>2823.373619</v>
      </c>
      <c r="AB90" s="3">
        <f>3359.6+(167.1-832)+(-3.426792+(-0.170442--0.84864))+0--176.6-0.180132000000028</f>
        <v>2868.3712739999996</v>
      </c>
      <c r="AC90" s="3">
        <f>3349.4+(165.3-769.6)+(-6.832776+(-0.337212--1.569984))+0--148-0.301919999999994</f>
        <v>2887.1980760000006</v>
      </c>
      <c r="AD90">
        <f t="shared" si="1"/>
        <v>63978.717476999984</v>
      </c>
      <c r="AE90" s="3">
        <f>3331+(196.9-869.2)+(0+(0-0))+0--184-0</f>
        <v>2842.7</v>
      </c>
    </row>
    <row r="91" spans="1:31" s="2" customFormat="1" x14ac:dyDescent="0.25">
      <c r="A91">
        <v>89</v>
      </c>
      <c r="B91">
        <v>3</v>
      </c>
      <c r="C91">
        <v>29</v>
      </c>
      <c r="D91">
        <v>1</v>
      </c>
      <c r="E91">
        <v>1</v>
      </c>
      <c r="F91" s="3">
        <f>3358.9+(159.2-772.7)+(-3.426078+(-0.162384--0.788154))+0--165.3-0.168606000000026</f>
        <v>2907.7310860000002</v>
      </c>
      <c r="G91" s="3">
        <f>3369.7+(148.1-878)+(-6.874188+(-0.302124--1.79112))+0--164.9-0.336395999999993</f>
        <v>2798.9784119999995</v>
      </c>
      <c r="H91" s="3">
        <f>3386.1+(145.8-966.2)+(-5.180733+(-0.223074--1.478286))+0--163.9-0.250767000000009</f>
        <v>2725.4237119999998</v>
      </c>
      <c r="I91" s="3">
        <f>3388.3+(143-1017.8)+(-10.368198+(-0.43758--3.114468))+0--163.5-0.500310000000019</f>
        <v>2668.8083799999999</v>
      </c>
      <c r="J91" s="3">
        <f>3356.6+(147.5-1033)+(0+(0-0))+0--161.6-0</f>
        <v>2632.7</v>
      </c>
      <c r="K91" s="3">
        <f>3237.7+(174.3-957.4)+(-1.651227+(-0.088893--0.488274))+0--84.8-0.0432479999999914</f>
        <v>2538.104906</v>
      </c>
      <c r="L91" s="3">
        <f>2861+(233.3-849.4)+(-1.45911+(-0.118983--0.433194))+0--105.8-0.0539579999999893</f>
        <v>2349.5011430000004</v>
      </c>
      <c r="M91" s="3">
        <f>2972.1+(241.2-1005.2)+(-3.031542+(-0.246024--1.025304))+0--142.8-0.145656000000023</f>
        <v>2348.502082</v>
      </c>
      <c r="N91" s="3">
        <f>3154.8+(205-1037.5)+(1.608948+(0.10455-0.529125))+0--145.3--0.0741029999999853</f>
        <v>2468.8584760000003</v>
      </c>
      <c r="O91" s="3">
        <f>3227.7+(173.1-945.7)+(1.646127+(0.088281-0.482307))+0--144.9--0.0738989999999853</f>
        <v>2601.326</v>
      </c>
      <c r="P91" s="3">
        <f>3251.3+(181-853.5)+(-3.316326+(-0.18462--0.87057))+0--146.7-0.149634000000023</f>
        <v>2722.7199900000001</v>
      </c>
      <c r="Q91" s="3">
        <f>3281.5+(176-714.3)+(3.34713+(0.17952-0.728586))+0--150.2--0.153204000000024</f>
        <v>2896.3512679999999</v>
      </c>
      <c r="R91" s="3">
        <f>3313.4+(272.4-607.7)+(-3.379668+(-0.277848--0.619854))+0--154.7-0.157794000000025</f>
        <v>3129.6045439999994</v>
      </c>
      <c r="S91" s="3">
        <f>3296.9+(373.3-611.7)+(0+(0-0))+0--156.7-0</f>
        <v>3215.2</v>
      </c>
      <c r="T91" s="3">
        <f>3292.7+(411.2-607.7)+(-1.679277+(-0.209712--0.309927))+0--151.4-0.0772139999999846</f>
        <v>3245.9437240000002</v>
      </c>
      <c r="U91" s="3">
        <f>3300.6+(425.4-617)+(-3.366612+(-0.433908--0.62934))+0--158.9-0.162078000000025</f>
        <v>3264.5667420000004</v>
      </c>
      <c r="V91" s="3">
        <f>3274.7+(433.4-657)+(1.670097+(0.221034-0.33507))+0--160.5--0.0818549999999837</f>
        <v>3213.237916</v>
      </c>
      <c r="W91" s="3">
        <f>3276.9+(316-697.1)+(-6.684876+(-0.64464--1.422084))+0--146.6-0.299063999999994</f>
        <v>3036.1935040000003</v>
      </c>
      <c r="X91" s="3">
        <f>3210.2+(164-767.7)+(-9.823212+(-0.50184--2.349162))+0--141.8-0.433908000000016</f>
        <v>2739.890202</v>
      </c>
      <c r="Y91" s="3">
        <f>3084.5+(156.9-804.4)+(-1.573095+(-0.080019--0.410244))+0--142-0.0724199999999856</f>
        <v>2577.68471</v>
      </c>
      <c r="Z91" s="3">
        <f>3195.3+(196.8-688.3)+(0+(0-0))+0--141.8-0</f>
        <v>2845.6000000000004</v>
      </c>
      <c r="AA91" s="3">
        <f>3224.5+(350.1-679)+(0+(0-0))+0--142.3-0</f>
        <v>3037.9</v>
      </c>
      <c r="AB91" s="3">
        <f>3259.5+(339.6-688.7)+(-4.987035+(-0.519588--1.053711))+0--142.6-0.218178000000008</f>
        <v>3048.3289099999997</v>
      </c>
      <c r="AC91" s="3">
        <f>3272+(335.5-720.7)+(-3.33744+(-0.34221--0.735114))+0--143.2-0.146064000000023</f>
        <v>3026.9094</v>
      </c>
      <c r="AD91">
        <f t="shared" si="1"/>
        <v>68040.065107000002</v>
      </c>
      <c r="AE91" s="3">
        <f>3254+(344.3-683.1)+(0+(0-0))+0--144-0</f>
        <v>3059.2</v>
      </c>
    </row>
    <row r="92" spans="1:31" s="2" customFormat="1" x14ac:dyDescent="0.25">
      <c r="A92">
        <v>89</v>
      </c>
      <c r="B92">
        <v>3</v>
      </c>
      <c r="C92">
        <v>30</v>
      </c>
      <c r="D92">
        <v>2</v>
      </c>
      <c r="E92">
        <v>1</v>
      </c>
      <c r="F92" s="3">
        <f>3274.6+(250.1-696.3)+(-6.680184+(-0.510204--1.420452))+0--167.4-0.341495999999993</f>
        <v>2989.688568</v>
      </c>
      <c r="G92" s="3">
        <f>3322.2+(194.1-776.4)+(-1.694322+(-0.098991--0.395964))+0--166.2-0.0847619999999831</f>
        <v>2904.6178889999996</v>
      </c>
      <c r="H92" s="3">
        <f>3338.7+(165.8-867.9)+(1.702737+(0.084558-0.442629))+0--165.4--0.0843539999999832</f>
        <v>2803.42902</v>
      </c>
      <c r="I92" s="3">
        <f>3346.4+(162-927.1)+(-5.119992+(-0.24786--1.418463))+0--164.8-0.25214400000001</f>
        <v>2741.8984670000004</v>
      </c>
      <c r="J92" s="3">
        <f>3342.1+(164.4-969.5)+(-5.113413+(-0.251532--1.483335))+0--163.9-0.250767000000009</f>
        <v>2696.7676230000002</v>
      </c>
      <c r="K92" s="3">
        <f>3291.6+(166.9-970)+(-6.714864+(-0.340476--1.9788))+0--158.6-0.323543999999993</f>
        <v>2641.699916</v>
      </c>
      <c r="L92" s="3">
        <f>2868.2+(239.2-861.3)+(1.462782+(0.121992-0.439263))+0--146--0.0744599999999852</f>
        <v>2393.3199709999999</v>
      </c>
      <c r="M92" s="3">
        <f>3155.9+(200.2-1088.6)+(0+(0-0))+0--149.5-0</f>
        <v>2417</v>
      </c>
      <c r="N92" s="3">
        <f>3266+(168.2-1061)+(3.33132+(0.171564-1.08222))+0--149.9--0.152898000000024</f>
        <v>2525.6735619999999</v>
      </c>
      <c r="O92" s="3">
        <f>3207.4+(183.9-912.9)+(3.271548+(0.187578-0.931158))+0--149.2--0.152184000000024</f>
        <v>2630.2801519999998</v>
      </c>
      <c r="P92" s="3">
        <f>3168.7+(192.8-737.9)+(1.616037+(0.098328-0.376329))+0--149.8--0.0763979999999848</f>
        <v>2774.8144340000003</v>
      </c>
      <c r="Q92" s="3">
        <f>3127+(369-673.9)+(1.59477+(0.18819-0.343689))+0--153.3--0.0781829999999845</f>
        <v>2976.9174540000004</v>
      </c>
      <c r="R92" s="3">
        <f>3152.2+(568.4-667.5)+(1.607622+(0.289884-0.340425))+0--141.3--0.0720629999999857</f>
        <v>3196.0291440000001</v>
      </c>
      <c r="S92" s="3">
        <f>3175+(634.6-687.2)+(0+(0-0))+0--167-0</f>
        <v>3289.4</v>
      </c>
      <c r="T92" s="3">
        <f>3239+(626-726)+(1.65189+(0.31926-0.37026))+0--168.9--0.0861389999999829</f>
        <v>3309.5870290000003</v>
      </c>
      <c r="U92" s="3">
        <f>3249.8+(615.7-707.5)+(-3.314796+(-0.628014--0.72165))+0--169.1-0.172482000000027</f>
        <v>3323.7063579999999</v>
      </c>
      <c r="V92" s="3">
        <f>3246+(548.1-676.9)+(-3.31092+(-0.559062--0.690438))+0--170.1-0.173502000000027</f>
        <v>3283.9469539999996</v>
      </c>
      <c r="W92" s="3">
        <f>3231.6+(304-600.4)+(-3.296232+(-0.31008--0.612408))+0--171.2-0.174624000000027</f>
        <v>3103.2314719999995</v>
      </c>
      <c r="X92" s="3">
        <f>3145.4+(150-651.7)+(-4.812462+(-0.2295--0.997101))+0--171.8-0.26285400000001</f>
        <v>2811.1922850000001</v>
      </c>
      <c r="Y92" s="3">
        <f>3148.6+(146.4-795.7)+(-1.605786+(-0.074664--0.405807))+0--172.4-0.0879239999999825</f>
        <v>2670.3374329999997</v>
      </c>
      <c r="Z92" s="3">
        <f>3221.6+(192.3-658.7)+(0+(0-0))+0--172.6-0</f>
        <v>2927.7999999999997</v>
      </c>
      <c r="AA92" s="3">
        <f>3295.6+(380-723.8)+(-3.361512+(-0.3876--0.738276))+0--173.1-0.176562000000028</f>
        <v>3121.7126020000001</v>
      </c>
      <c r="AB92" s="3">
        <f>3324+(371.9-745.6)+(-1.69524+(-0.189669--0.380256))+0--173.6-0.0885359999999824</f>
        <v>3122.3068109999999</v>
      </c>
      <c r="AC92" s="3">
        <f>3267.9+(392.9-738.1)+(0+(0-0))+0--174.3-0</f>
        <v>3097</v>
      </c>
      <c r="AD92">
        <f t="shared" si="1"/>
        <v>69752.357144000009</v>
      </c>
      <c r="AE92" s="3">
        <f>3338+(424.4-790.6)+(0+(0-0))+0--172.5-0</f>
        <v>3144.3</v>
      </c>
    </row>
    <row r="93" spans="1:31" s="2" customFormat="1" x14ac:dyDescent="0.25">
      <c r="A93">
        <v>89</v>
      </c>
      <c r="B93">
        <v>3</v>
      </c>
      <c r="C93">
        <v>31</v>
      </c>
      <c r="D93">
        <v>3</v>
      </c>
      <c r="E93">
        <v>1</v>
      </c>
      <c r="F93" s="3">
        <f>3265.5+(353.7-739.3)+(-1.665405+(-0.180387--0.377043))+0--155-0.0790499999999843</f>
        <v>3033.3522010000002</v>
      </c>
      <c r="G93" s="3">
        <f>3297+(219.3-734.2)+(1.68147+(0.111843-0.374442))+0--157--0.0800699999999841</f>
        <v>2940.5989409999997</v>
      </c>
      <c r="H93" s="3">
        <f>3315+(168.4-792.3)+(1.69065+(0.085884-0.404073))+0--144.8--0.0738479999999853</f>
        <v>2837.346309</v>
      </c>
      <c r="I93" s="3">
        <f>3324+(161.8-839.3)+(3.39048+(0.165036-0.856086))+0--144.9--0.147798000000023</f>
        <v>2794.2472280000002</v>
      </c>
      <c r="J93" s="3">
        <f>3347.2+(157.2-892.3)+(6.828288+(0.320688-1.820292))+0--145.1--0.296003999999994</f>
        <v>2762.8246879999997</v>
      </c>
      <c r="K93" s="3">
        <f>3333.6+(153.6-938.1)+(0+(0-0))+0--145.6-0</f>
        <v>2694.7</v>
      </c>
      <c r="L93" s="3">
        <f>2929.8+(149.6-721.2)+(-1.494198+(-0.076296--0.367812))+0--146.1-0.0745109999999852</f>
        <v>2503.0228070000003</v>
      </c>
      <c r="M93" s="3">
        <f>2792.2+(158.2-601)+(0+(0-0))+0--145.7-0</f>
        <v>2495.0999999999995</v>
      </c>
      <c r="N93" s="3">
        <f>3022.7+(120-767.8)+(3.083154+(0.1224-0.783156))+0--143--0.145860000000023</f>
        <v>2520.4682579999999</v>
      </c>
      <c r="O93" s="3">
        <f>3135.8+(191-770.7)+(3.198516+(0.19482-0.786114))+0--143.4--0.146268000000023</f>
        <v>2702.2534900000005</v>
      </c>
      <c r="P93" s="3">
        <f>3082.1+(406.8-750.8)+(0+(0-0))+0--144-0</f>
        <v>2882.1</v>
      </c>
      <c r="Q93" s="3">
        <f>3125.9+(599.7-812.7)+(0+(0-0))+0--146.2-0</f>
        <v>3059.1</v>
      </c>
      <c r="R93" s="3">
        <f>3124.1+(794.2-829.4)+(1.593291+(0.405042-0.422994))+28--171.1--0.0872609999999826</f>
        <v>3289.6626000000001</v>
      </c>
      <c r="S93" s="3">
        <f>3183.4+(850.5-856.2)+(0+(0-0))+28--170-0</f>
        <v>3375.7</v>
      </c>
      <c r="T93" s="3">
        <f>3188.4+(876.7-858)+(1.626084+(0.447117-0.43758))+28--171--0.0872099999999826</f>
        <v>3407.8228310000004</v>
      </c>
      <c r="U93" s="3">
        <f>3173.1+(820.2-815.5)+(-1.618281+(-0.418302--0.415905))+28--170.4-0.0869039999999827</f>
        <v>3374.4924180000003</v>
      </c>
      <c r="V93" s="3">
        <f>3167.6+(661.1-862.3)+(3.230952+(0.674322-0.879546))+28--171.3--0.174726000000027</f>
        <v>3168.9004540000005</v>
      </c>
      <c r="W93" s="3">
        <f>3139.1+(491.2-734.5)+(1.600941+(0.250512-0.374595))+0--170.6--0.0870059999999827</f>
        <v>3067.9638639999998</v>
      </c>
      <c r="X93" s="3">
        <f>3142.5+(151.5-645.4)+(0+(0-0))+0--168-0</f>
        <v>2816.6</v>
      </c>
      <c r="Y93" s="3">
        <f>3033.4+(148.9-677.5)+(3.094068+(0.151878-0.69105))+0--143.4--0.146268000000023</f>
        <v>2650.9011640000003</v>
      </c>
      <c r="Z93" s="3">
        <f>3145.1+(417.3-821.1)+(0+(0-0))+0--173.8-0</f>
        <v>2915.1</v>
      </c>
      <c r="AA93" s="3">
        <f>3208+(615.3-880.5)+(-1.63608+(-0.313803--0.449055))+0--186-0.0948599999999811</f>
        <v>3127.2043119999998</v>
      </c>
      <c r="AB93" s="3">
        <f>3225.5+(608.4-875.2)+(0+(0-0))+0--187.8-0</f>
        <v>3146.5</v>
      </c>
      <c r="AC93" s="3">
        <f>3219.9+(464.2-745.9)+(-4.926447+(-0.710226--1.141227))+0--192.2-0.294066000000011</f>
        <v>3125.6104880000003</v>
      </c>
      <c r="AD93">
        <f t="shared" si="1"/>
        <v>70691.572053000011</v>
      </c>
      <c r="AE93" s="3">
        <f>3215+(639.6-877.2)+(0+(0-0))+0--180-0</f>
        <v>3157.4</v>
      </c>
    </row>
    <row r="94" spans="1:31" s="2" customFormat="1" x14ac:dyDescent="0.25">
      <c r="A94">
        <v>89</v>
      </c>
      <c r="B94">
        <v>4</v>
      </c>
      <c r="C94">
        <v>1</v>
      </c>
      <c r="D94">
        <v>4</v>
      </c>
      <c r="E94">
        <v>1</v>
      </c>
      <c r="F94" s="3">
        <f>3227.6+(317.3-644.9)+(-8.23038+(-0.809115--1.644495))+0--180.4-0.460019999999974</f>
        <v>3072.5449800000001</v>
      </c>
      <c r="G94" s="3">
        <f>3243.4+(224.3-657.8)+(-4.962402+(-0.343179--1.006434))+0--166.3-0.25443900000001</f>
        <v>2971.6464140000003</v>
      </c>
      <c r="H94" s="3">
        <f>3270.9+(171-713.5)+(-6.672636+(-0.34884--1.45554))+0--165.1-0.336803999999993</f>
        <v>2887.59726</v>
      </c>
      <c r="I94" s="3">
        <f>3277.2+(168.8-775.5)+(-5.014116+(-0.258264--1.186515))+0--164-0.250920000000009</f>
        <v>2830.163215</v>
      </c>
      <c r="J94" s="3">
        <f>3309.1+(168.4-832.5)+(-1.687641+(-0.085884--0.424575))+0--144.1-0.0734909999999854</f>
        <v>2787.6775589999997</v>
      </c>
      <c r="K94" s="3">
        <f>3311.7+(163.3-901.3)+(-6.755868+(-0.333132--1.838652))+0--144.4-0.294575999999994</f>
        <v>2712.5550760000001</v>
      </c>
      <c r="L94" s="3">
        <f>3002.1+(186.1-857.4)+(1.531071+(0.094911-0.437274))+0--144--0.0734399999999854</f>
        <v>2476.0621480000004</v>
      </c>
      <c r="M94" s="3">
        <f>2964.4+(190.8-832.1)+(3.023688+(0.194616-0.848742))+0--143.3--0.146166000000023</f>
        <v>2468.9157280000004</v>
      </c>
      <c r="N94" s="3">
        <f>3183+(178.7-905.9)+(-1.62333+(-0.091137--0.462009))+0--142.5-0.0726749999999855</f>
        <v>2596.9748670000004</v>
      </c>
      <c r="O94" s="3">
        <f>3223.7+(186.2-883.1)+(3.288174+(0.189924-0.900762))+0--140.9--0.143718000000022</f>
        <v>2670.4210539999995</v>
      </c>
      <c r="P94" s="3">
        <f>3218.2+(183.7-735.3)+(1.641282+(0.093687-0.375003))+0--139.5--0.0711449999999858</f>
        <v>2807.5311109999998</v>
      </c>
      <c r="Q94" s="3">
        <f>3262.6+(224.5-667.8)+(0+(0-0))+0--137.8-0</f>
        <v>2957.1000000000004</v>
      </c>
      <c r="R94" s="3">
        <f>3308.3+(385.2-697.1)+(-1.687233+(-0.196452--0.355521))+0--137.4-0.0700739999999861</f>
        <v>3132.2017620000001</v>
      </c>
      <c r="S94" s="3">
        <f>3310.8+(387.5-648.5)+(-3.377016+(-0.39525--0.66147))+0--166.2-0.169524000000026</f>
        <v>3212.7196800000002</v>
      </c>
      <c r="T94" s="3">
        <f>3288.5+(414.6-626.3)+(1.677135+(0.211446-0.319413))+0--166.1--0.0847109999999831</f>
        <v>3244.5538790000001</v>
      </c>
      <c r="U94" s="3">
        <f>3292.9+(394.1-603.7)+(5.038137+(0.602973-0.923661))+0--166.3--0.25443900000001</f>
        <v>3254.5718880000004</v>
      </c>
      <c r="V94" s="3">
        <f>3276.1+(325.9-570.6)+(-3.341622+(-0.332418--0.582012))+0--166-0.169320000000026</f>
        <v>3194.1386519999996</v>
      </c>
      <c r="W94" s="3">
        <f>3269.4+(211.7-588.8)+(-3.334788+(-0.215934--0.600576))+0--137.9-0.140658000000022</f>
        <v>3027.1091960000003</v>
      </c>
      <c r="X94" s="3">
        <f>3206.3+(238-812.2)+(-4.905639+(-0.36414--1.242666))+0--138.7-0.212211000000008</f>
        <v>2766.5606760000001</v>
      </c>
      <c r="Y94" s="3">
        <f>2924.5+(237.7-743.4)+(1.491495+(0.121227-0.379134))+0--139.6--0.0711959999999858</f>
        <v>2559.704784</v>
      </c>
      <c r="Z94" s="3">
        <f>3131.9+(186.2-691.1)+(-4.791807+(-0.284886--1.057383))+0--140.4-0.214812000000008</f>
        <v>2763.1658779999998</v>
      </c>
      <c r="AA94" s="3">
        <f>3333.4+(181.6-691.6)+(-1.700034+(-0.092616--0.352716))+0--141.2-0.0720119999999857</f>
        <v>2963.0880539999998</v>
      </c>
      <c r="AB94" s="3">
        <f>3347.2+(174.9-695.9)+(0+(0-0))+0--141.7-0</f>
        <v>2967.8999999999996</v>
      </c>
      <c r="AC94" s="3">
        <f>3370.7+(173.7-711.4)+(-1.719057+(-0.088587--0.362814))+0--142.4-0.0726239999999856</f>
        <v>2973.8825460000003</v>
      </c>
      <c r="AD94">
        <f t="shared" si="1"/>
        <v>69298.786406999992</v>
      </c>
      <c r="AE94" s="3">
        <f>3353.2+(184.6-673.1)+(0+(0-0))+0--141-0</f>
        <v>3005.7</v>
      </c>
    </row>
    <row r="95" spans="1:31" s="2" customFormat="1" x14ac:dyDescent="0.25">
      <c r="A95">
        <v>89</v>
      </c>
      <c r="B95">
        <v>4</v>
      </c>
      <c r="C95">
        <v>2</v>
      </c>
      <c r="D95">
        <v>5</v>
      </c>
      <c r="E95">
        <v>1</v>
      </c>
      <c r="F95" s="3">
        <f>3342.4+(186.3-702)+(0+(0-0))+0--142.8-0</f>
        <v>2969.5</v>
      </c>
      <c r="G95" s="3">
        <f>3335.8+(174.4-787.3)+(-3.402516+(-0.177888--0.803046))+0--143.3-0.146166000000023</f>
        <v>2863.2764760000005</v>
      </c>
      <c r="H95" s="3">
        <f>3347.3+(168.6-878.4)+(0+(0-0))+0--143.2-0</f>
        <v>2780.7</v>
      </c>
      <c r="I95" s="3">
        <f>3358.6+(167.2-941.4)+(-3.425772+(-0.170544--0.960228))+0--142.9-0.145758000000023</f>
        <v>2724.5181539999994</v>
      </c>
      <c r="J95" s="3">
        <f>3254.2+(169.9-880)+(-1.659642+(-0.086649--0.4488))+0--142.7-0.0727769999999855</f>
        <v>2685.4297320000001</v>
      </c>
      <c r="K95" s="3">
        <f>3105.7+(172.5-823.3)+(-3.167814+(-0.17595--0.839766))+0--142.5-0.145350000000023</f>
        <v>2594.7506519999993</v>
      </c>
      <c r="L95" s="3">
        <f>2942.4+(222.4-937.7)+(-1.500624+(-0.113424--0.478227))+0--144.3-0.0735929999999854</f>
        <v>2370.1905860000002</v>
      </c>
      <c r="M95" s="3">
        <f>2906.9+(235.5-931.9)+(-1.482519+(-0.120105--0.475269))+0--144.6-0.0737459999999853</f>
        <v>2353.8988989999998</v>
      </c>
      <c r="N95" s="3">
        <f>3104.3+(231.5-1015.1)+(0+(0-0))+0--143.2-0</f>
        <v>2463.9</v>
      </c>
      <c r="O95" s="3">
        <f>3269.6+(207.9-949.7)+(-5.002488+(-0.318087--1.453041))+0--141.8-0.216954000000008</f>
        <v>2665.5155119999999</v>
      </c>
      <c r="P95" s="3">
        <f>3282.3+(197.2-910.1)+(1.673973+(0.100572-0.464151))+0--140--0.0713999999999858</f>
        <v>2710.781794</v>
      </c>
      <c r="Q95" s="3">
        <f>3254.5+(196-729.8)+(-1.659795+(-0.09996--0.372198))+0--139.6-0.0711959999999858</f>
        <v>2858.8412469999998</v>
      </c>
      <c r="R95" s="3">
        <f>3294.7+(267.7-684.4)+(1.680297+(0.136527-0.349044))+0--161.8--0.0825179999999836</f>
        <v>3041.3502980000003</v>
      </c>
      <c r="S95" s="3">
        <f>3334.8+(356.7-682.9)+(-1.700748+(-0.181917--0.348279))+0--163.5-0.0833849999999834</f>
        <v>3170.4822290000006</v>
      </c>
      <c r="T95" s="3">
        <f>3276.4+(465.7-683.1)+(3.341928+(0.475014-0.696762))+0--196.4--0.200328000000031</f>
        <v>3258.7205079999999</v>
      </c>
      <c r="U95" s="3">
        <f>3198.4+(416.9-601.8)+(1.631184+(0.212619-0.306918))+0--240.9--0.122858999999976</f>
        <v>3256.0597440000001</v>
      </c>
      <c r="V95" s="3">
        <f>3177.3+(339.6-586.6)+(0+(0-0))+0--285.7-0</f>
        <v>3216</v>
      </c>
      <c r="W95" s="3">
        <f>3128.3+(208.4-571.6)+(-1.595433+(-0.106284--0.291516))+0--285.3-0.145502999999971</f>
        <v>3048.8442960000002</v>
      </c>
      <c r="X95" s="3">
        <f>3078.2+(250.4-844)+(-4.709646+(-0.383112--1.29132))+0--282.6-0.432378000000016</f>
        <v>2762.9661839999999</v>
      </c>
      <c r="Y95" s="3">
        <f>3081.6+(212.1-982)+(-3.143232+(-0.216342--1.00164))+0--282.8-0.288456000000045</f>
        <v>2591.8536099999997</v>
      </c>
      <c r="Z95" s="3">
        <f>3102.2+(181.4-778.8)+(0+(0-0))+0--282.3-0</f>
        <v>2787.1</v>
      </c>
      <c r="AA95" s="3">
        <f>3140.5+(185.1-646.7)+(-4.804965+(-0.283203--0.989451))+0--282.1-0.431613000000016</f>
        <v>2956.46967</v>
      </c>
      <c r="AB95" s="3">
        <f>3170.1+(177.4-659.6)+(-3.233502+(-0.180948--0.672792))+0--282.1-0.287742000000045</f>
        <v>2966.9705999999996</v>
      </c>
      <c r="AC95" s="3">
        <f>3160.1+(190.5-670.9)+(-1.611651+(-0.097155--0.342159))+0--283.3-0.144482999999971</f>
        <v>2961.4888700000001</v>
      </c>
      <c r="AD95">
        <f t="shared" si="1"/>
        <v>68059.609060999996</v>
      </c>
      <c r="AE95" s="3">
        <f>3139+(192.9-630.1)+(0+(0-0))+0--284-0</f>
        <v>2985.8</v>
      </c>
    </row>
    <row r="96" spans="1:31" s="2" customFormat="1" x14ac:dyDescent="0.25">
      <c r="A96">
        <v>89</v>
      </c>
      <c r="B96">
        <v>4</v>
      </c>
      <c r="C96">
        <v>3</v>
      </c>
      <c r="D96">
        <v>6</v>
      </c>
      <c r="E96">
        <v>1</v>
      </c>
      <c r="F96" s="3">
        <f>3162+(198.5-690.5)+(-6.45048+(-0.40494--1.40862))+0--287.6-0.586703999999987</f>
        <v>2951.5664959999999</v>
      </c>
      <c r="G96" s="3">
        <f>3165.7+(174.6-778.5)+(-8.072535+(-0.44523--1.985175))+0--287.6-0.733379999999958</f>
        <v>2842.1340299999997</v>
      </c>
      <c r="H96" s="3">
        <f>3168.9+(169.6-859.4)+(-1.616139+(-0.086496--0.438294))+0--287.7-0.146726999999971</f>
        <v>2765.3889320000003</v>
      </c>
      <c r="I96" s="3">
        <f>3180.1+(164.9-919.3)+(-3.243702+(-0.168198--0.937686))+0--288.2-0.293964000000046</f>
        <v>2711.1318219999998</v>
      </c>
      <c r="J96" s="3">
        <f>3195.3+(159.5-967)+(-1.629603+(-0.081345--0.49317))+0--288.2-0.146981999999971</f>
        <v>2674.6352400000001</v>
      </c>
      <c r="K96" s="3">
        <f>2984.3+(199.9-857.9)+(-4.565979+(-0.305847--1.312587))+0--258.1-0.394893000000015</f>
        <v>2580.4458679999998</v>
      </c>
      <c r="L96" s="3">
        <f>2727.9+(271.9-775)+(0+(0-0))+0--151.2-0</f>
        <v>2376</v>
      </c>
      <c r="M96" s="3">
        <f>2713.8+(288.4-775.9)+(-1.384038+(-0.147084--0.395709))+0--144.6-0.0737459999999853</f>
        <v>2369.6908410000001</v>
      </c>
      <c r="N96" s="3">
        <f>2921.3+(249.3-867.7)+(0+(0-0))+0--143-0</f>
        <v>2445.9</v>
      </c>
      <c r="O96" s="3">
        <f>3173.5+(161.5-954.7)+(1.618485+(0.082365-0.486897))+0--144.8--0.0738479999999853</f>
        <v>2526.3878010000003</v>
      </c>
      <c r="P96" s="3">
        <f>3195.3+(183.2-885.5)+(3.259206+(0.186864-0.90321))+0--142.7--0.145554000000023</f>
        <v>2638.388414</v>
      </c>
      <c r="Q96" s="3">
        <f>3191.4+(181.9-749.2)+(4.882842+(0.278307-1.146276))+0--140.6--0.215118000000008</f>
        <v>2768.929991</v>
      </c>
      <c r="R96" s="3">
        <f>3174.4+(250.8-628.1)+(1.618944+(0.127908-0.320331))+0--143.4--0.0731339999999855</f>
        <v>2941.9996550000001</v>
      </c>
      <c r="S96" s="3">
        <f>3059.8+(434.8-599)+(3.120996+(0.443496-0.61098))+0--143.4--0.146268000000023</f>
        <v>3042.0997800000005</v>
      </c>
      <c r="T96" s="3">
        <f>3006.7+(492.1-615.7)+(-4.600251+(-0.752913--0.942021))+0--239.2-0.365976000000014</f>
        <v>3117.5228809999999</v>
      </c>
      <c r="U96" s="3">
        <f>2968.7+(492.7-604)+(-1.514037+(-0.251277--0.30804))+0--261.5-0.133364999999973</f>
        <v>3117.3093609999996</v>
      </c>
      <c r="V96" s="3">
        <f>3034.7+(385.4-600.1)+(-6.190788+(-0.786216--1.224204))+0--264.1-0.538763999999988</f>
        <v>3077.8084359999998</v>
      </c>
      <c r="W96" s="3">
        <f>3038.6+(185.8-585.5)+(-6.198744+(-0.379032--1.19442))+0--265-0.540599999999988</f>
        <v>2897.9760440000005</v>
      </c>
      <c r="X96" s="3">
        <f>2927.8+(220.1-797.2)+(-4.479534+(-0.336753--1.219716))+0--265.2-0.405756000000015</f>
        <v>2611.8976729999999</v>
      </c>
      <c r="Y96" s="3">
        <f>2627+(313.3-766.6)+(-1.33977+(-0.159783--0.390966))+0--266.3-0.135812999999973</f>
        <v>2438.7556</v>
      </c>
      <c r="Z96" s="3">
        <f>2937.7+(204.1-749)+(-1.498227+(-0.104091--0.38199))+0--267.2-0.136271999999973</f>
        <v>2658.6433999999995</v>
      </c>
      <c r="AA96" s="3">
        <f>3185.8+(179.8-791.5)+(-6.499032+(-0.366792--1.61466))+0--268.1-0.546923999999988</f>
        <v>2836.4019120000007</v>
      </c>
      <c r="AB96" s="3">
        <f>3197.1+(177-809.4)+(-1.630521+(-0.09027--0.412794))+0--269.5-0.137444999999973</f>
        <v>2832.7545580000001</v>
      </c>
      <c r="AC96" s="3">
        <f>3218.5+(178.1-815.4)+(1.641435+(0.090831-0.415854))+0--270.9--0.138158999999972</f>
        <v>2853.5545710000001</v>
      </c>
      <c r="AD96">
        <f t="shared" si="1"/>
        <v>66077.323306000006</v>
      </c>
      <c r="AE96" s="3">
        <f>3175+(183.8-774)+(0+(0-0))+0--220-0</f>
        <v>2804.8</v>
      </c>
    </row>
    <row r="97" spans="1:31" s="2" customFormat="1" x14ac:dyDescent="0.25">
      <c r="A97">
        <v>89</v>
      </c>
      <c r="B97">
        <v>4</v>
      </c>
      <c r="C97">
        <v>4</v>
      </c>
      <c r="D97">
        <v>7</v>
      </c>
      <c r="E97">
        <v>1</v>
      </c>
      <c r="F97" s="3">
        <f>3217.8+(183.7-799.2)+(1.641078+(0.093687-0.407592))+0--271.1--0.138260999999973</f>
        <v>2874.8654340000003</v>
      </c>
      <c r="G97" s="3">
        <f>3222.6+(176.7-868.3)+(-1.643526+(-0.090117--0.442833))+0--270.1-0.137750999999973</f>
        <v>2799.6714390000002</v>
      </c>
      <c r="H97" s="3">
        <f>3220.3+(175.1-913.4)+(-3.284706+(-0.178602--0.931668))+0--249.4-0.25438800000004</f>
        <v>2728.6139720000001</v>
      </c>
      <c r="I97" s="3">
        <f>3158.2+(169.4-870.8)+(1.610682+(0.086394-0.444108))+0--206.3--0.105212999999979</f>
        <v>2664.4581809999995</v>
      </c>
      <c r="J97" s="3">
        <f>3150.6+(166.6-906.1)+(-3.213612+(-0.169932--0.924222))+0--207.1-0.211242000000033</f>
        <v>2615.5294359999998</v>
      </c>
      <c r="K97" s="3">
        <f>3070.1+(172.7-802.8)+(-4.697253+(-0.264231--1.228284))+0--104.6-0.160038000000006</f>
        <v>2540.7067619999998</v>
      </c>
      <c r="L97" s="3">
        <f>2743.2+(191.8-587)+(-2.798064+(-0.195636--0.59874))+0-50.1--0.051102000000008</f>
        <v>2295.5561419999999</v>
      </c>
      <c r="M97" s="3">
        <f>2773+(216.5-726.2)+(-5.65692+(-0.44166--1.481448))+0-50.1--0.102203999999998</f>
        <v>2208.6850720000002</v>
      </c>
      <c r="N97" s="3">
        <f>2858+(192.1-801.7)+(-1.45758+(-0.097971--0.408867))+0-49.9--0.0254489999999949</f>
        <v>2197.3787650000004</v>
      </c>
      <c r="O97" s="3">
        <f>3011.7+(176.9-891.4)+(1.535967+(0.090219-0.454614))+0-49.5-0.025244999999995</f>
        <v>2248.8463270000002</v>
      </c>
      <c r="P97" s="3">
        <f>3117+(174.4-895.6)+(-7.94835+(-0.44472--2.28378))+0-49.7--0.126734999999993</f>
        <v>2340.1174450000003</v>
      </c>
      <c r="Q97" s="3">
        <f>3097.2+(172.9-757.5)+(1.579572+(0.088179-0.386325))+0-49.7-0.025346999999995</f>
        <v>2464.1560790000003</v>
      </c>
      <c r="R97" s="3">
        <f>3151.7+(158.4-660.7)+(-1.607367+(-0.080784--0.336957))+0-49.7--0.025346999999995</f>
        <v>2598.3741529999998</v>
      </c>
      <c r="S97" s="3">
        <f>3283+(205.3-665.5)+(0+(0-0))+0-49.9-0</f>
        <v>2772.9</v>
      </c>
      <c r="T97" s="3">
        <f>3260+(305.1-643.5)+(-4.9878+(-0.466803--0.984555))+0-50--0.0765000000000029</f>
        <v>2867.2064519999999</v>
      </c>
      <c r="U97" s="3">
        <f>3244.7+(328-626.5)+(4.964391+(0.50184-0.958545))+0-49.9-0.0763470000000029</f>
        <v>2900.7313389999995</v>
      </c>
      <c r="V97" s="3">
        <f>3238.6+(297.3-599.2)+(-3.303372+(-0.303246--0.611184))+0-49.7--0.0506940000000079</f>
        <v>2884.0552600000001</v>
      </c>
      <c r="W97" s="3">
        <f>3204+(183.4-613.6)+(-6.53616+(-0.374136--1.251744))+0-49.7--0.101387999999998</f>
        <v>2718.5428360000005</v>
      </c>
      <c r="X97" s="3">
        <f>2800.8+(288.6-588)+(-1.428408+(-0.147186--0.29988))+0-50--0.0254999999999949</f>
        <v>2450.1497860000004</v>
      </c>
      <c r="Y97" s="3">
        <f>2633.1+(286.4-609)+(-2.685762+(-0.292128--0.62118))+0-50.1--0.051102000000008</f>
        <v>2258.094392</v>
      </c>
      <c r="Z97" s="3">
        <f>2877.7+(192.5-572.2)+(-2.935254+(-0.19635--0.583644))+0-49.9--0.050898000000008</f>
        <v>2445.602938</v>
      </c>
      <c r="AA97" s="3">
        <f>3341.5+(179.3-824.7)+(-5.112495+(-0.274329--1.261791))+0-50--0.0765000000000029</f>
        <v>2642.0514670000002</v>
      </c>
      <c r="AB97" s="3">
        <f>3403.7+(160-838.9)+(-3.471774+(-0.1632--0.855678))+0-50--0.051000000000008</f>
        <v>2672.0717039999995</v>
      </c>
      <c r="AC97" s="3">
        <f>3352.7+(160.7-751.6)+(-3.419754+(-0.163914--0.766632))+0-50--0.051000000000008</f>
        <v>2709.0339639999997</v>
      </c>
      <c r="AD97">
        <f t="shared" si="1"/>
        <v>61897.399344999998</v>
      </c>
      <c r="AE97" s="3">
        <f>3458+(168.8-842.2)+(0+(0-0))+0-51-0</f>
        <v>2733.6</v>
      </c>
    </row>
    <row r="98" spans="1:31" s="2" customFormat="1" x14ac:dyDescent="0.25">
      <c r="A98">
        <v>89</v>
      </c>
      <c r="B98">
        <v>4</v>
      </c>
      <c r="C98">
        <v>5</v>
      </c>
      <c r="D98">
        <v>1</v>
      </c>
      <c r="E98">
        <v>3</v>
      </c>
      <c r="F98" s="3">
        <f>3345.4+(187.9-719.2)+(-5.118462+(-0.287487--1.100376))+0-50--0.0765000000000029</f>
        <v>2759.8709269999999</v>
      </c>
      <c r="G98" s="3">
        <f>3350.6+(189.2-786.6)+(-6.835224+(-0.385968--1.604664))+0-50--0.101999999999998</f>
        <v>2697.6854719999997</v>
      </c>
      <c r="H98" s="3">
        <f>3249.7+(195-756.5)+(-1.657347+(-0.09945--0.385815))+0-49.7--0.025346999999995</f>
        <v>2637.1543649999999</v>
      </c>
      <c r="I98" s="3">
        <f>3171.1+(189.1-732.3)+(-4.851783+(-0.289323--1.120419))+0-49.7--0.0760410000000029</f>
        <v>2574.2553539999999</v>
      </c>
      <c r="J98" s="3">
        <f>3183.9+(182.8-789.4)+(-3.247578+(-0.186456--0.805188))+0-49.8--0.0507960000000079</f>
        <v>2524.9219499999999</v>
      </c>
      <c r="K98" s="3">
        <f>3125.7+(183.3-805.7)+(-11.158749+(-0.654381--2.876349))+0-50--0.178500000000001</f>
        <v>2444.5417189999998</v>
      </c>
      <c r="L98" s="3">
        <f>2817.2+(210.2-742.1)+(-2.873544+(-0.214404--0.756942))+0-49.3--0.0502860000000079</f>
        <v>2233.7192799999998</v>
      </c>
      <c r="M98" s="3">
        <f>2926.2+(203-897.8)+(-5.969448+(-0.41412--1.831512))+0-49--0.0999599999999979</f>
        <v>2177.9479039999997</v>
      </c>
      <c r="N98" s="3">
        <f>2764.4+(244.2-739.3)+(-2.819688+(-0.249084--0.754086))+0-48.5--0.0494700000000077</f>
        <v>2218.5347839999999</v>
      </c>
      <c r="O98" s="3">
        <f>2758.6+(232.7-665.4)+(-2.813772+(-0.237354--0.678708))+0-49.2--0.0501840000000078</f>
        <v>2274.3777660000005</v>
      </c>
      <c r="P98" s="3">
        <f>2951.5+(195.2-713.2)+(-4.515795+(-0.298656--1.091196))+0-49.4--0.0755820000000029</f>
        <v>2380.452327</v>
      </c>
      <c r="Q98" s="3">
        <f>3329+(191.6-932.2)+(-3.39558+(-0.195432--0.950844))+0-49.8--0.0507960000000079</f>
        <v>2536.010628</v>
      </c>
      <c r="R98" s="3">
        <f>3342.4+(195.4-759.6)+(-3.409248+(-0.199308--0.774792))+0-49.7--0.0506940000000079</f>
        <v>2725.71693</v>
      </c>
      <c r="S98" s="3">
        <f>3314+(202-598.6)+(-5.07042+(-0.30906--0.915858))+0-49.7--0.0760410000000029</f>
        <v>2863.3124189999999</v>
      </c>
      <c r="T98" s="3">
        <f>3321+(283.1-585)+(0+(0-0))+0-50.3-0</f>
        <v>2968.7999999999997</v>
      </c>
      <c r="U98" s="3">
        <f>3333.6+(307.7-599.8)+(-1.700136+(-0.156927--0.305898))+0-50.1--0.0255509999999949</f>
        <v>2989.8743860000004</v>
      </c>
      <c r="V98" s="3">
        <f>3338.6+(237.2-571.2)+(-8.51343+(-0.60486--1.45656))+0-50.3--0.128264999999993</f>
        <v>2946.7665349999997</v>
      </c>
      <c r="W98" s="3">
        <f>3289.5+(217.1-644.1)+(-5.032935+(-0.332163--0.985473))+0-50.2--0.0768060000000029</f>
        <v>2807.9971810000002</v>
      </c>
      <c r="X98" s="3">
        <f>3028.5+(242.5-672.6)+(-4.633605+(-0.371025--1.029078))+0-50--0.0765000000000029</f>
        <v>2544.5009480000003</v>
      </c>
      <c r="Y98" s="3">
        <f>2765+(282-626.1)+(0+(0-0))+0-50-0</f>
        <v>2370.9</v>
      </c>
      <c r="Z98" s="3">
        <f>2861.6+(230.9-472)+(0+(0-0))+0-50.5-0</f>
        <v>2570</v>
      </c>
      <c r="AA98" s="3">
        <f>3363.1+(199.5-737.3)+(-3.430362+(-0.20349--0.752046))+0-50.5--0.051510000000008</f>
        <v>2771.9697040000005</v>
      </c>
      <c r="AB98" s="3">
        <f>3419.5+(196.4-763.4)+(0+(0-0))+0-50.5-0</f>
        <v>2802</v>
      </c>
      <c r="AC98" s="3">
        <f>3433.6+(199.2-755.3)+(3.502272+(0.203184-0.770406))+0-50.3-0.051306000000008</f>
        <v>2830.083744</v>
      </c>
      <c r="AD98">
        <f t="shared" si="1"/>
        <v>62651.394323000015</v>
      </c>
      <c r="AE98" s="3">
        <f>3429+(196-781.9)+(0+(0-0))+0-51-0</f>
        <v>2792.1</v>
      </c>
    </row>
    <row r="99" spans="1:31" s="2" customFormat="1" x14ac:dyDescent="0.25">
      <c r="A99">
        <v>89</v>
      </c>
      <c r="B99">
        <v>4</v>
      </c>
      <c r="C99">
        <v>6</v>
      </c>
      <c r="D99">
        <v>2</v>
      </c>
      <c r="E99">
        <v>1</v>
      </c>
      <c r="F99" s="3">
        <f>3467.3+(210.2-778)+(0+(0-0))+0-52.1-0</f>
        <v>2847.4</v>
      </c>
      <c r="G99" s="3">
        <f>3422.8+(204.8-808.4)+(-5.236884+(-0.313344--1.236852))+0-52.2--0.079866000000003</f>
        <v>2762.7664900000004</v>
      </c>
      <c r="H99" s="3">
        <f>3427.6+(197.2-897)+(-8.74038+(-0.50286--2.28735))+0-52.2--0.133109999999992</f>
        <v>2668.7772200000004</v>
      </c>
      <c r="I99" s="3">
        <f>3343.6+(200.9-862.7)+(-8.52618+(-0.512295--2.199885))+0-52.2--0.133109999999992</f>
        <v>2622.8945200000003</v>
      </c>
      <c r="J99" s="3">
        <f>3070.4+(252-700.3)+(-1.565904+(-0.12852--0.357153))+0-52.4--0.0267239999999947</f>
        <v>2568.3894530000002</v>
      </c>
      <c r="K99" s="3">
        <f>2892.5+(296-649.1)+(-5.9007+(-0.60384--1.324164))+0-52.3--0.106691999999998</f>
        <v>2482.026316</v>
      </c>
      <c r="L99" s="3">
        <f>2781.5+(308-789.3)+(-1.418565+(-0.15708--0.402543))+0-51.6--0.0263159999999948</f>
        <v>2247.4532139999997</v>
      </c>
      <c r="M99" s="3">
        <f>2921.4+(263.1-857.6)+(1.489914+(0.134181-0.437376))+0-51.9-0.0264689999999947</f>
        <v>2276.1602499999999</v>
      </c>
      <c r="N99" s="3">
        <f>3059.3+(277-916.7)+(-3.120486+(-0.28254--0.935034))+0-43.9--0.044778000000007</f>
        <v>2373.2767860000004</v>
      </c>
      <c r="O99" s="3">
        <f>3087+(254.9-962.5)+(1.57437+(0.129999-0.490875))+0--113.7--0.0579869999999885</f>
        <v>2494.3714810000001</v>
      </c>
      <c r="P99" s="3">
        <f>3117.5+(240.5-924.1)+(0+(0-0))+0--157.3-0</f>
        <v>2591.2000000000003</v>
      </c>
      <c r="Q99" s="3">
        <f>3166.3+(211.8-847.6)+(3.229626+(0.216036-0.864552))+0--206.8--0.210936000000033</f>
        <v>2740.0920460000002</v>
      </c>
      <c r="R99" s="3">
        <f>3174+(219.6-673.2)+(0+(0-0))+0--204-0</f>
        <v>2924.4</v>
      </c>
      <c r="S99" s="3">
        <f>3131.2+(236.7-588.4)+(-1.596912+(-0.120717--0.300084))+0--220.6-0.112505999999978</f>
        <v>2998.5699490000002</v>
      </c>
      <c r="T99" s="3">
        <f>3121+(317-607.6)+(0+(0-0))+0--265.8-0</f>
        <v>3096.2000000000003</v>
      </c>
      <c r="U99" s="3">
        <f>3104.3+(340-590.4)+(-3.166386+(-0.3468--0.602208))+0--266.2-0.271524000000042</f>
        <v>3116.9174979999998</v>
      </c>
      <c r="V99" s="3">
        <f>3097.3+(302.5-573.8)+(0+(0-0))+0--266.7-0</f>
        <v>3092.7</v>
      </c>
      <c r="W99" s="3">
        <f>3094.1+(228.4-639.6)+(-3.155982+(-0.232968--0.652392))+0--244.2-0.249084000000039</f>
        <v>2924.1143579999994</v>
      </c>
      <c r="X99" s="3">
        <f>3072.2+(278.2-917.8)+(-6.267288+(-0.567528--1.872312))+0--238.8-0.48715199999999</f>
        <v>2665.9503439999999</v>
      </c>
      <c r="Y99" s="3">
        <f>2962.4+(258.1-968.3)+(-1.510824+(-0.131631--0.493833))+0--239.4-0.122093999999976</f>
        <v>2490.3292840000004</v>
      </c>
      <c r="Z99" s="3">
        <f>3053.5+(203.1-827.9)+(-1.557285+(-0.103581--0.422229))+0--239.9-0.122348999999976</f>
        <v>2667.2390140000002</v>
      </c>
      <c r="AA99" s="3">
        <f>3144.7+(201.7-738)+(0+(0-0))+0--240.1-0</f>
        <v>2848.4999999999995</v>
      </c>
      <c r="AB99" s="3">
        <f>3210.3+(193.4-776.9)+(-1.637253+(-0.098634--0.396219))+0--240.4-0.122603999999976</f>
        <v>2865.7377280000001</v>
      </c>
      <c r="AC99" s="3">
        <f>3236.3+(193.4-781.6)+(-1.650513+(-0.098634--0.398616))+0--240.8-0.122807999999976</f>
        <v>2887.4266610000004</v>
      </c>
      <c r="AD99">
        <f t="shared" si="1"/>
        <v>65252.892611999996</v>
      </c>
      <c r="AE99" s="3">
        <f>3174+(191.8-729.9)+(0+(0-0))+0--200-0</f>
        <v>2835.9</v>
      </c>
    </row>
    <row r="100" spans="1:31" s="2" customFormat="1" x14ac:dyDescent="0.25">
      <c r="A100">
        <v>89</v>
      </c>
      <c r="B100">
        <v>4</v>
      </c>
      <c r="C100">
        <v>7</v>
      </c>
      <c r="D100">
        <v>3</v>
      </c>
      <c r="E100">
        <v>1</v>
      </c>
      <c r="F100" s="3">
        <f>3233.5+(203.5-794.8)+(-3.29817+(-0.20757--0.810696))+0--242.5-0.247350000000039</f>
        <v>2881.7576059999997</v>
      </c>
      <c r="G100" s="3">
        <f>3152.5+(224.4-863)+(-1.607775+(-0.114444--0.44013))+0--242.7-0.123776999999975</f>
        <v>2755.1941340000003</v>
      </c>
      <c r="H100" s="3">
        <f>3084.5+(238.3-886.7)+(-4.719285+(-0.364599--1.356651))+0--243.5-0.372555000000014</f>
        <v>2675.5002119999999</v>
      </c>
      <c r="I100" s="3">
        <f>2960.8+(279.2-866.3)+(-3.020016+(-0.284784--0.883626))+0--243.6-0.248472000000039</f>
        <v>2614.6303539999999</v>
      </c>
      <c r="J100" s="3">
        <f>2981.6+(277.9-921.7)+(-7.60308+(-0.708645--2.350335))+0--243.6-0.621179999999965</f>
        <v>2574.8174299999996</v>
      </c>
      <c r="K100" s="3">
        <f>2926+(326.3-992.3)+(-5.96904+(-0.665652--2.024292))+0--244-0.497759999999989</f>
        <v>2498.8918399999998</v>
      </c>
      <c r="L100" s="3">
        <f>2789.5+(372.9-1111.7)+(-5.69058+(-0.760716--2.267868))+0--244.4-0.498575999999989</f>
        <v>2290.4179959999997</v>
      </c>
      <c r="M100" s="3">
        <f>2709.6+(350.1-1020.9)+(-1.381896+(-0.178551--0.520659))+0--244-0.124439999999975</f>
        <v>2281.6357720000001</v>
      </c>
      <c r="N100" s="3">
        <f>2808.2+(313.9-971.2)+(0+(0-0))+0--243.1-0</f>
        <v>2393.9999999999995</v>
      </c>
      <c r="O100" s="3">
        <f>3079.2+(215.7-1026.5)+(-3.140784+(-0.220014--1.04703))+0--241.8-0.246636000000039</f>
        <v>2507.639596</v>
      </c>
      <c r="P100" s="3">
        <f>3113.2+(209-912.6)+(-4.763196+(-0.31977--1.396278))+0--234.8-0.359244000000014</f>
        <v>2640.3540680000001</v>
      </c>
      <c r="Q100" s="3">
        <f>3116.6+(207.3-772.1)+(-1.589466+(-0.105723--0.393771))+0--226.8-0.115667999999977</f>
        <v>2777.1829140000004</v>
      </c>
      <c r="R100" s="3">
        <f>3145.8+(199.1-629.6)+(0+(0-0))+0--227-0</f>
        <v>2942.3</v>
      </c>
      <c r="S100" s="3">
        <f>3162.6+(307.5-616.2)+(0+(0-0))+0--232-0</f>
        <v>3085.8999999999996</v>
      </c>
      <c r="T100" s="3">
        <f>3159.6+(383.4-595.7)+(-3.222792+(-0.391068--0.607614))+0--235-0.239700000000037</f>
        <v>3179.0540539999997</v>
      </c>
      <c r="U100" s="3">
        <f>3158+(397.3-595)+(4.83174+(0.607869-0.91035))+0--239.5--0.366435000000014</f>
        <v>3204.695694</v>
      </c>
      <c r="V100" s="3">
        <f>3157.9+(331.9-573.2)+(1.610529+(0.169269-0.292332))+0--239.5--0.122144999999976</f>
        <v>3157.7096109999998</v>
      </c>
      <c r="W100" s="3">
        <f>3092.2+(218.9-577)+(-3.154044+(-0.223278--0.58854))+0--239.6-0.244392000000038</f>
        <v>2970.6668259999997</v>
      </c>
      <c r="X100" s="3">
        <f>3060.9+(255.9-848.4)+(-7.805295+(-0.652545--2.16342))+0--241.7-0.616334999999965</f>
        <v>2703.1892449999996</v>
      </c>
      <c r="Y100" s="3">
        <f>2793.8+(299.9-815.2)+(-2.849676+(-0.305898--0.831504))+0--242.4-0.247248000000039</f>
        <v>2518.3286819999998</v>
      </c>
      <c r="Z100" s="3">
        <f>2805.9+(237.9-574.7)+(-1.431009+(-0.121329--0.293097))+0--242.4-0.123623999999975</f>
        <v>2710.117135</v>
      </c>
      <c r="AA100" s="3">
        <f>3138.9+(182.6-649.8)+(-4.802517+(-0.279378--0.994194))+0--243.1-0.371943000000014</f>
        <v>2910.3403560000002</v>
      </c>
      <c r="AB100" s="3">
        <f>3153.1+(180-645.6)+(-6.432324+(-0.3672--1.317024))+0--241-0.491639999999989</f>
        <v>2922.5258599999997</v>
      </c>
      <c r="AC100" s="3">
        <f>3158.2+(174.2-641.2)+(-6.442728+(-0.355368--1.308048))+0--232.3-0.47389199999999</f>
        <v>2917.5360599999999</v>
      </c>
      <c r="AD100">
        <f t="shared" si="1"/>
        <v>66114.385445000007</v>
      </c>
      <c r="AE100" s="3">
        <f>3135+(192-635.1)+(0+(0-0))+0--242-0</f>
        <v>2933.9</v>
      </c>
    </row>
    <row r="101" spans="1:31" s="2" customFormat="1" x14ac:dyDescent="0.25">
      <c r="A101">
        <v>89</v>
      </c>
      <c r="B101">
        <v>4</v>
      </c>
      <c r="C101">
        <v>8</v>
      </c>
      <c r="D101">
        <v>4</v>
      </c>
      <c r="E101">
        <v>1</v>
      </c>
      <c r="F101" s="3">
        <f>3156.8+(200.9-684.8)+(-8.04984+(-0.512295--1.74624))+0--243.5-0.620924999999965</f>
        <v>2908.9631799999997</v>
      </c>
      <c r="G101" s="3">
        <f>3116.7+(209.7-768.6)+(-1.589517+(-0.106947--0.391986))+0--243.2-0.124031999999975</f>
        <v>2799.5714899999994</v>
      </c>
      <c r="H101" s="3">
        <f>3119+(179.2-818.7)+(-3.18138+(-0.182784--0.835074))+0--243.3-0.248166000000039</f>
        <v>2720.0227440000003</v>
      </c>
      <c r="I101" s="3">
        <f>3093.5+(174.6-856.3)+(-7.888425+(-0.44523--2.183565))+0--243.8-0.621689999999965</f>
        <v>2648.8282200000003</v>
      </c>
      <c r="J101" s="3">
        <f>2782.3+(237-682.2)+(-5.675892+(-0.48348--1.391688))+0--244.2-0.498167999999989</f>
        <v>2576.0341480000002</v>
      </c>
      <c r="K101" s="3">
        <f>2725.9+(307.7-767.6)+(-6.951045+(-0.784635--1.95738))+0--245.1-0.625004999999964</f>
        <v>2504.6966950000001</v>
      </c>
      <c r="L101" s="3">
        <f>2672.1+(312.6-922.7)+(-4.088313+(-0.478278--1.411731))+0--245.6-0.375768000000014</f>
        <v>2304.0693719999999</v>
      </c>
      <c r="M101" s="3">
        <f>2802.4+(258.9-1002.9)+(0+(0-0))+0--246.1-0</f>
        <v>2304.5</v>
      </c>
      <c r="N101" s="3">
        <f>2949.4+(234.2-986.6)+(-4.512582+(-0.358326--1.509498))+0--242.6-0.371178000000014</f>
        <v>2435.8674120000001</v>
      </c>
      <c r="O101" s="3">
        <f>3007.2+(192.7-931.6)+(1.533672+(0.098277-0.475116))+0--241.6--0.123215999999975</f>
        <v>2511.1800489999996</v>
      </c>
      <c r="P101" s="3">
        <f>3044+(181.5-931.8)+(1.55244+(0.092565-0.475218))+0--240.7--0.122756999999976</f>
        <v>2535.6925439999995</v>
      </c>
      <c r="Q101" s="3">
        <f>3024.1+(184.9-769.9)+(3.084582+(0.188598-0.785298))+0--240.8--0.245616000000038</f>
        <v>2682.6334980000001</v>
      </c>
      <c r="R101" s="3">
        <f>3130.8+(303.1-672.7)+(1.596708+(0.154581-0.343077))+0--240.3--0.122552999999976</f>
        <v>3003.0307650000004</v>
      </c>
      <c r="S101" s="3">
        <f>3112.5+(335.7-564.9)+(-1.587375+(-0.171207--0.288099))+0--240-0.122399999999976</f>
        <v>3121.7071169999999</v>
      </c>
      <c r="T101" s="3">
        <f>3151.1+(364.7-542.8)+(3.214122+(0.371994-0.553656))+0--239.7--0.244494000000038</f>
        <v>3215.9769539999998</v>
      </c>
      <c r="U101" s="3">
        <f>3166.1+(426.2-599.9)+(-3.229422+(-0.434724--0.611898))+0--240.3-0.245106000000038</f>
        <v>3229.4026460000005</v>
      </c>
      <c r="V101" s="3">
        <f>3155.9+(410.5-601)+(0+(0-0))+0--237.6-0</f>
        <v>3203</v>
      </c>
      <c r="W101" s="3">
        <f>3129.1+(214.9-538.9)+(-6.383364+(-0.438396--1.099356))+0--240.3-0.49021199999999</f>
        <v>3039.1873839999998</v>
      </c>
      <c r="X101" s="3">
        <f>3017.8+(215-717.3)+(-6.156312+(-0.4386--1.463292))+0--242.3-0.494291999999989</f>
        <v>2752.1740880000002</v>
      </c>
      <c r="Y101" s="3">
        <f>2920.9+(214.6-817.2)+(-1.489659+(-0.109446--0.416772))+0--245-0.124949999999975</f>
        <v>2561.9927170000001</v>
      </c>
      <c r="Z101" s="3">
        <f>3035.3+(184.9-690.1)+(1.548003+(0.094299-0.351951))+0--245.8--0.125357999999975</f>
        <v>2777.3157090000004</v>
      </c>
      <c r="AA101" s="3">
        <f>3118+(192.1-592.4)+(-3.18036+(-0.195942--0.604248))+0--246.2-0.251124000000039</f>
        <v>2960.8768219999997</v>
      </c>
      <c r="AB101" s="3">
        <f>3145.9+(193.2-612)+(1.604409+(0.098532-0.31212))+0--246--0.125459999999975</f>
        <v>2974.6162809999996</v>
      </c>
      <c r="AC101" s="3">
        <f>3169.4+(204.5-621.7)+(-1.616394+(-0.104295--0.317067))+0--214.4-0.109343999999978</f>
        <v>2965.0870340000001</v>
      </c>
      <c r="AD101">
        <f t="shared" si="1"/>
        <v>66736.426869000003</v>
      </c>
      <c r="AE101" s="3">
        <f>3118+(198.4-591)+(0+(0-0))+0--246-0</f>
        <v>2971.4</v>
      </c>
    </row>
    <row r="102" spans="1:31" s="2" customFormat="1" x14ac:dyDescent="0.25">
      <c r="A102">
        <v>89</v>
      </c>
      <c r="B102">
        <v>4</v>
      </c>
      <c r="C102">
        <v>9</v>
      </c>
      <c r="D102">
        <v>5</v>
      </c>
      <c r="E102">
        <v>1</v>
      </c>
      <c r="F102" s="3">
        <f>3154.1+(198.8-612.9)+(-9.651546+(-0.608328--1.875474))+0--211.8-0.648108000000025</f>
        <v>2942.7674920000004</v>
      </c>
      <c r="G102" s="3">
        <f>3161.4+(188.4-722.7)+(1.612314+(0.096084-0.368577))+0--212--0.108119999999978</f>
        <v>2840.5479409999998</v>
      </c>
      <c r="H102" s="3">
        <f>3182.7+(193.9-829.5)+(-6.492708+(-0.395556--1.69218))+0--212.3-0.433091999999991</f>
        <v>2753.7708239999997</v>
      </c>
      <c r="I102" s="3">
        <f>3122.3+(211.6-843.7)+(-3.184746+(-0.215832--0.860574))+0--212.7-0.216954000000034</f>
        <v>2700.1430420000002</v>
      </c>
      <c r="J102" s="3">
        <f>3052.5+(238-850.7)+(-1.556775+(-0.12138--0.433857))+0--213.6-0.108935999999978</f>
        <v>2652.0467659999999</v>
      </c>
      <c r="K102" s="3">
        <f>2815.8+(309.3-765.6)+(-5.744232+(-0.630972--1.561824))+0--214.2-0.436967999999991</f>
        <v>2568.4496519999998</v>
      </c>
      <c r="L102" s="3">
        <f>2585.7+(321.6-777.4)+(0+(0-0))+0--214-0</f>
        <v>2343.8999999999996</v>
      </c>
      <c r="M102" s="3">
        <f>2780+(287.3-899.5)+(1.4178+(0.146523-0.458745))+0--211--0.107609999999979</f>
        <v>2380.0131880000004</v>
      </c>
      <c r="N102" s="3">
        <f>3073.7+(225.8-956.1)+(-3.135174+(-0.230316--0.975222))+0--207.6-0.211752000000033</f>
        <v>2548.3979799999993</v>
      </c>
      <c r="O102" s="3">
        <f>3099.8+(213.8-926)+(3.161796+(0.218076-0.94452))+0--206.5--0.210630000000033</f>
        <v>2596.7459820000004</v>
      </c>
      <c r="P102" s="3">
        <f>3106.9+(206.8-802.4)+(0+(0-0))+0--173.6-0</f>
        <v>2684.9</v>
      </c>
      <c r="Q102" s="3">
        <f>2991.3+(191.6-503.7)+(3.051126+(0.195432-0.513774))+0--141.4--0.144228000000023</f>
        <v>2823.4770120000003</v>
      </c>
      <c r="R102" s="3">
        <f>3086.2+(349.6-549)+(-1.573962+(-0.178296--0.27999))+15--143.1-0.0729809999999855</f>
        <v>3043.3547509999999</v>
      </c>
      <c r="S102" s="3">
        <f>3151.3+(437.9-617.3)+(3.214326+(0.446658-0.629646))+20--156.3--0.159426000000025</f>
        <v>3151.3907640000002</v>
      </c>
      <c r="T102" s="3">
        <f>3189.1+(488.4-619.2)+(1.626441+(0.249084-0.315792))+8.3--188.3--0.0960329999999809</f>
        <v>3256.5557659999999</v>
      </c>
      <c r="U102" s="3">
        <f>3173.5+(499.7-621.2)+(1.618485+(0.254847-0.316812))+0--197.6--0.10077599999998</f>
        <v>3251.2572959999998</v>
      </c>
      <c r="V102" s="3">
        <f>3177.3+(436.9-596.8)+(-4.861269+(-0.668457--0.913104))+0--197.6-0.302328000000011</f>
        <v>3210.0810499999998</v>
      </c>
      <c r="W102" s="3">
        <f>3108+(218.8-526.7)+(-6.34032+(-0.446352--1.074468))+0--197.8-0.403511999999991</f>
        <v>2991.7842840000003</v>
      </c>
      <c r="X102" s="3">
        <f>3087.3+(205.6-765)+(-6.298092+(-0.419424--1.5606))+0--202.1-0.412283999999991</f>
        <v>2724.4308000000001</v>
      </c>
      <c r="Y102" s="3">
        <f>2995.2+(208.3-885.8)+(-6.110208+(-0.424932--1.807032))+0--205.3-0.418811999999991</f>
        <v>2517.8530800000003</v>
      </c>
      <c r="Z102" s="3">
        <f>3107.7+(172.7-741.5)+(1.584927+(0.088077-0.378165))+0--206--0.105059999999979</f>
        <v>2746.2998989999996</v>
      </c>
      <c r="AA102" s="3">
        <f>3154.5+(183-647.6)+(0+(0-0))+0--253.3-0</f>
        <v>2943.2000000000003</v>
      </c>
      <c r="AB102" s="3">
        <f>3179.7+(180.1-675.1)+(-1.621647+(-0.091851--0.344301))+0--269.4-0.137393999999973</f>
        <v>2952.5934090000001</v>
      </c>
      <c r="AC102" s="3">
        <f>3201.4+(171.8-690.6)+(-1.632714+(-0.087618--0.352206))+0--270-0.137699999999973</f>
        <v>2951.0941740000007</v>
      </c>
      <c r="AD102">
        <f t="shared" si="1"/>
        <v>67575.055152000001</v>
      </c>
      <c r="AE102" s="3">
        <f>3136+(194.1-610.6)+(0+(0-0))+0--267-0</f>
        <v>2986.5</v>
      </c>
    </row>
    <row r="103" spans="1:31" s="2" customFormat="1" x14ac:dyDescent="0.25">
      <c r="A103">
        <v>89</v>
      </c>
      <c r="B103">
        <v>4</v>
      </c>
      <c r="C103">
        <v>10</v>
      </c>
      <c r="D103">
        <v>6</v>
      </c>
      <c r="E103">
        <v>1</v>
      </c>
      <c r="F103" s="3">
        <f>3203.9+(191.6-730.4)+(-4.901967+(-0.293148--1.117512))+0--269.9-0.412947000000016</f>
        <v>2930.5094500000005</v>
      </c>
      <c r="G103" s="3">
        <f>3224.4+(186.7-776.8)+(-1.644444+(-0.095217--0.396168))+0--208.5-0.106334999999979</f>
        <v>2841.3501720000004</v>
      </c>
      <c r="H103" s="3">
        <f>3239.8+(182.1-862.9)+(-4.956894+(-0.278613--1.320237))+0--209-0.319770000000012</f>
        <v>2763.76496</v>
      </c>
      <c r="I103" s="3">
        <f>3249.7+(175.9-923.1)+(0+(0-0))+0--209.9-0</f>
        <v>2712.4</v>
      </c>
      <c r="J103" s="3">
        <f>3201.4+(175.8-906.9)+(3.265428+(0.179316-0.925038))+0--209.6--0.213792000000033</f>
        <v>2682.6334980000001</v>
      </c>
      <c r="K103" s="3">
        <f>2956.1+(227.2-781.6)+(-6.030444+(-0.463488--1.594464))+0--206.8-0.421871999999991</f>
        <v>2603.17866</v>
      </c>
      <c r="L103" s="3">
        <f>2668.5+(313.6-737)+(-2.72187+(-0.319872--0.75174))+0--144.8-0.147696000000023</f>
        <v>2387.4623019999999</v>
      </c>
      <c r="M103" s="3">
        <f>2787.3+(268.4-818)+(4.264569+(0.410652-1.25154))+0--144.7--0.221391000000008</f>
        <v>2386.0450720000003</v>
      </c>
      <c r="N103" s="3">
        <f>3108.2+(188.1-965.6)+(-1.585182+(-0.095931--0.492456))+0--170.6-0.0870059999999827</f>
        <v>2500.0243369999994</v>
      </c>
      <c r="O103" s="3">
        <f>3105.4+(180.4-935)+(0+(0-0))+0--234.6-0</f>
        <v>2585.4</v>
      </c>
      <c r="P103" s="3">
        <f>3054.6+(179.7-798.9)+(7.78923+(0.458235-2.037195))+0--264.9--0.675494999999962</f>
        <v>2707.1857649999997</v>
      </c>
      <c r="Q103" s="3">
        <f>3068.4+(188.4-657.5)+(1.564884+(0.096084-0.335325))+0--261.9--0.133568999999973</f>
        <v>2862.6592120000005</v>
      </c>
      <c r="R103" s="3">
        <f>3086+(342.9-620.5)+(1.57386+(0.174879-0.316455))+0--259.9--0.132548999999974</f>
        <v>3069.8648330000001</v>
      </c>
      <c r="S103" s="3">
        <f>3079.8+(433-643.3)+(0+(0-0))+0--261.9-0</f>
        <v>3131.4</v>
      </c>
      <c r="T103" s="3">
        <f>3074+(521-652.4)+(0+(0-0))+0--260.5-0</f>
        <v>3203.1</v>
      </c>
      <c r="U103" s="3">
        <f>3076.9+(544.3-672.7)+(-4.707657+(-0.832779--1.029231))+0--260-0.397800000000015</f>
        <v>3203.590995</v>
      </c>
      <c r="V103" s="3">
        <f>3081.4+(400.4-556.6)+(0+(0-0))+0--261.2-0</f>
        <v>3186.3999999999996</v>
      </c>
      <c r="W103" s="3">
        <f>2999.2+(246.9-515.6)+(-7.64796+(-0.629595--1.31478))+0--262.3-0.668864999999962</f>
        <v>2985.1683600000001</v>
      </c>
      <c r="X103" s="3">
        <f>2962.3+(193.3-721.9)+(-6.043092+(-0.394332--1.472676))+0--263.6-0.537743999999989</f>
        <v>2691.7975080000001</v>
      </c>
      <c r="Y103" s="3">
        <f>2927.6+(177.6-911.3)+(-5.972304+(-0.362304--1.859052))+0--265.3-0.541211999999988</f>
        <v>2454.1832320000003</v>
      </c>
      <c r="Z103" s="3">
        <f>3023+(180.5-802.8)+(-1.54173+(-0.092055--0.409428))+0--264.7-0.134996999999973</f>
        <v>2664.0406459999995</v>
      </c>
      <c r="AA103" s="3">
        <f>3112.2+(190.9-704)+(-3.174444+(-0.194718--0.71808))+0--266.1-0.271422000000042</f>
        <v>2862.2774959999997</v>
      </c>
      <c r="AB103" s="3">
        <f>3142.4+(192.1-729.8)+(-3.205248+(-0.195942--0.744396))+0--267.4-0.272748000000043</f>
        <v>2869.1704580000005</v>
      </c>
      <c r="AC103" s="3">
        <f>3157.1+(198.3-745.7)+(-1.610121+(-0.101133--0.380307))+0--268.5-0.136934999999973</f>
        <v>2876.7321179999999</v>
      </c>
      <c r="AD103">
        <f t="shared" si="1"/>
        <v>67160.339074000018</v>
      </c>
      <c r="AE103" s="3">
        <f>3116+(199-696.2)+(0+(0-0))+0--266.8-0</f>
        <v>2885.6000000000004</v>
      </c>
    </row>
    <row r="104" spans="1:31" s="2" customFormat="1" x14ac:dyDescent="0.25">
      <c r="A104">
        <v>89</v>
      </c>
      <c r="B104">
        <v>4</v>
      </c>
      <c r="C104">
        <v>11</v>
      </c>
      <c r="D104">
        <v>7</v>
      </c>
      <c r="E104">
        <v>1</v>
      </c>
      <c r="F104" s="3">
        <f>3138.8+(165.8-731)+(0+(0-0))+0--270.2-0</f>
        <v>2843.8</v>
      </c>
      <c r="G104" s="3">
        <f>3120.2+(157.2-769.9)+(-3.182604+(-0.160344--0.785298))+0--271.9-0.277338000000043</f>
        <v>2776.565012</v>
      </c>
      <c r="H104" s="3">
        <f>3130.1+(150.4-842.6)+(0+(0-0))+0--272.5-0</f>
        <v>2710.3999999999996</v>
      </c>
      <c r="I104" s="3">
        <f>3140.7+(144.7-910.5)+(-6.407028+(-0.295188--1.85742))+0--274.1-0.559163999999988</f>
        <v>2643.5960399999999</v>
      </c>
      <c r="J104" s="3">
        <f>3154.8+(138.7-971.8)+(-3.217896+(-0.141474--0.991236))+0--275.3-0.280806000000044</f>
        <v>2594.3510600000004</v>
      </c>
      <c r="K104" s="3">
        <f>3158.9+(136-1044.2)+(-8.055195+(-0.3468--2.66271))+0--276.5-0.70507499999996</f>
        <v>2520.7556399999999</v>
      </c>
      <c r="L104" s="3">
        <f>2872.6+(155.6-883.1)+(-2.930052+(-0.158712--0.900762))+0--184.9-0.188598000000029</f>
        <v>2327.6233999999999</v>
      </c>
      <c r="M104" s="3">
        <f>2513.1+(226.1-665.9)+(0+(0-0))+0--145-0</f>
        <v>2218.3000000000002</v>
      </c>
      <c r="N104" s="3">
        <f>2518.4+(217.1-631.8)+(0+(0-0))+0--144.3-0</f>
        <v>2248.0000000000005</v>
      </c>
      <c r="O104" s="3">
        <f>2642.1+(172.5-648.1)+(-2.694942+(-0.17595--0.661062))+0--144.6-0.147492000000023</f>
        <v>2308.7426780000001</v>
      </c>
      <c r="P104" s="3">
        <f>2692.2+(153-601.4)+(0+(0-0))+0--169.2-0</f>
        <v>2412.9999999999995</v>
      </c>
      <c r="Q104" s="3">
        <f>2916.3+(151.2-713.1)+(-1.487313+(-0.077112--0.363681))+0--202.5-0.103274999999979</f>
        <v>2555.5959809999999</v>
      </c>
      <c r="R104" s="3">
        <f>2951.4+(175.2-630.4)+(-1.505214+(-0.089352--0.321504))+0--248.9-0.126938999999975</f>
        <v>2743.6999990000004</v>
      </c>
      <c r="S104" s="3">
        <f>2991.5+(251.5-613.4)+(3.05133+(0.25653-0.625668))+0--263.2--0.268464000000042</f>
        <v>2895.7506560000002</v>
      </c>
      <c r="T104" s="3">
        <f>2973.5+(361.1-619.4)+(-1.516485+(-0.184161--0.315894))+0--267.3-0.136322999999973</f>
        <v>2980.9789249999999</v>
      </c>
      <c r="U104" s="3">
        <f>2999.4+(360.6-621.6)+(-1.529694+(-0.183906--0.317016))+0--266.3-0.135812999999973</f>
        <v>3003.1676030000003</v>
      </c>
      <c r="V104" s="3">
        <f>3016.5+(325.8-622.5)+(1.538415+(0.166158-0.317475))+0--265.8--0.135557999999973</f>
        <v>2987.1226560000005</v>
      </c>
      <c r="W104" s="3">
        <f>3017.4+(183.4-621.7)+(-6.155496+(-0.374136--1.268268))+0--264.1-0.538763999999988</f>
        <v>2837.399872</v>
      </c>
      <c r="X104" s="3">
        <f>2977.6+(157.4-794.2)+(-1.518576+(-0.080274--0.405042))+0--268.8-0.137087999999973</f>
        <v>2608.269104</v>
      </c>
      <c r="Y104" s="3">
        <f>2730+(197.5-748.7)+(-4.1769+(-0.302175--1.145511))+0--230.8-0.353124000000013</f>
        <v>2405.9133120000001</v>
      </c>
      <c r="Z104" s="3">
        <f>2938.4+(175.1-711)+(0+(0-0))+0--209.5-0</f>
        <v>2612</v>
      </c>
      <c r="AA104" s="3">
        <f>3147.4+(190.1-741.7)+(-1.605174+(-0.096951--0.378267))+0--245.6-0.125255999999975</f>
        <v>2839.9508860000001</v>
      </c>
      <c r="AB104" s="3">
        <f>3179.4+(196.1-757.9)+(-3.242988+(-0.200022--0.773058))+0--260-0.265200000000041</f>
        <v>2874.6648480000003</v>
      </c>
      <c r="AC104" s="3">
        <f>3195.5+(212.9-747)+(1.629705+(0.108579-0.38097))+0--260.7--0.132956999999974</f>
        <v>2923.5902709999996</v>
      </c>
      <c r="AD104">
        <f t="shared" si="1"/>
        <v>63873.237943000007</v>
      </c>
      <c r="AE104" s="3">
        <f>3146.2+(206.2-748.3)+(0+(0-0))+0--258-0</f>
        <v>2862.1</v>
      </c>
    </row>
    <row r="105" spans="1:31" s="2" customFormat="1" x14ac:dyDescent="0.25">
      <c r="A105">
        <v>89</v>
      </c>
      <c r="B105">
        <v>4</v>
      </c>
      <c r="C105">
        <v>12</v>
      </c>
      <c r="D105">
        <v>1</v>
      </c>
      <c r="E105">
        <v>1</v>
      </c>
      <c r="F105" s="3">
        <f>3213.6+(206.7-752.3)+(3.277872+(0.210834-0.767346))+0--262.2--0.267444000000042</f>
        <v>2933.1888039999999</v>
      </c>
      <c r="G105" s="3">
        <f>3238.8+(179.1-818.7)+(-1.651788+(-0.091341--0.417537))+0--262.4-0.133823999999973</f>
        <v>2860.1405840000002</v>
      </c>
      <c r="H105" s="3">
        <f>3256.4+(172.8-929.9)+(-1.660764+(-0.088128--0.474249))+0--262.6-0.133925999999973</f>
        <v>2760.4914309999999</v>
      </c>
      <c r="I105" s="3">
        <f>3224.5+(166.4-950.4)+(0+(0-0))+0--262.9-0</f>
        <v>2703.4</v>
      </c>
      <c r="J105" s="3">
        <f>3243.5+(163.7-999.1)+(-4.962555+(-0.250461--1.528623))+0--262.8-0.402084000000015</f>
        <v>2666.8135230000003</v>
      </c>
      <c r="K105" s="3">
        <f>3139.4+(161.5-942.9)+(-8.00547+(-0.411825--2.404395))+0--263.3-0.671414999999962</f>
        <v>2614.6156850000002</v>
      </c>
      <c r="L105" s="3">
        <f>2809.2+(149.9-808)+(0+(0-0))+0--264.9-0</f>
        <v>2416</v>
      </c>
      <c r="M105" s="3">
        <f>2769.8+(153.2-769.3)+(2.825196+(0.156264-0.784686))+0--275.7--0.281214000000044</f>
        <v>2431.8779880000002</v>
      </c>
      <c r="N105" s="3">
        <f>2972.1+(166.9-862.3)+(1.515771+(0.085119-0.439773))+0--276.7--0.141116999999972</f>
        <v>2554.7022339999999</v>
      </c>
      <c r="O105" s="3">
        <f>3085.5+(175.8-885.2)+(4.720815+(0.268974-1.354356))+0--273.3--0.418149000000016</f>
        <v>2653.4535820000001</v>
      </c>
      <c r="P105" s="3">
        <f>3113.7+(181-793.2)+(6.351948+(0.36924-1.618128))+0--274--0.558959999999988</f>
        <v>2781.1620199999998</v>
      </c>
      <c r="Q105" s="3">
        <f>3086.1+(256.8-688.5)+(-1.573911+(-0.130968--0.351135))+0--270-0.137699999999973</f>
        <v>2922.9085560000003</v>
      </c>
      <c r="R105" s="3">
        <f>3104.2+(449.2-715)+(0+(0-0))+0--270.7-0</f>
        <v>3109.0999999999995</v>
      </c>
      <c r="S105" s="3">
        <f>3115+(584.9-754.9)+(0+(0-0))+0--267.2-0</f>
        <v>3212.2</v>
      </c>
      <c r="T105" s="3">
        <f>3121.2+(617.1-714.6)+(1.591812+(0.314721-0.364446))+0--267.5--0.136424999999973</f>
        <v>3292.8785119999998</v>
      </c>
      <c r="U105" s="3">
        <f>3113.4+(567.6-638.9)+(1.587834+(0.289476-0.325839))+0--268.2--0.136781999999973</f>
        <v>3311.9882530000004</v>
      </c>
      <c r="V105" s="3">
        <f>3114.7+(520.5-632)+(3.176994+(0.53091-0.64464))+0--269.8--0.275196000000043</f>
        <v>3276.3384599999999</v>
      </c>
      <c r="W105" s="3">
        <f>3102.8+(345-556.7)+(0+(0-0))+0--233.2-0</f>
        <v>3124.3</v>
      </c>
      <c r="X105" s="3">
        <f>3100.5+(191.8-655.6)+(-3.16251+(-0.195636--0.668712))+0--206.2-0.210324000000033</f>
        <v>2840.0002419999996</v>
      </c>
      <c r="Y105" s="3">
        <f>3069.8+(168.5-793.3)+(0+(0-0))+0--206.3-0</f>
        <v>2651.3</v>
      </c>
      <c r="Z105" s="3">
        <f>3146.8+(198-712.5)+(-1.604868+(-0.10098--0.363375))+0--251.3-0.128162999999975</f>
        <v>2882.1293640000004</v>
      </c>
      <c r="AA105" s="3">
        <f>3199.7+(266.3-657.5)+(-3.263694+(-0.271626--0.67065))+0--274.5-0.279990000000044</f>
        <v>3079.8553400000001</v>
      </c>
      <c r="AB105" s="3">
        <f>3212.8+(257-657.4)+(0+(0-0))+0--274.8-0</f>
        <v>3087.2000000000003</v>
      </c>
      <c r="AC105" s="3">
        <f>3237.3+(242.2-665.5)+(-1.651023+(-0.123522--0.339405))+0--275.5-0.140504999999972</f>
        <v>3087.9243550000001</v>
      </c>
      <c r="AD105">
        <f t="shared" si="1"/>
        <v>69253.968933000011</v>
      </c>
      <c r="AE105" s="3">
        <f>3204+(281.7-665.5)+(0+(0-0))+0--272-0</f>
        <v>3092.2</v>
      </c>
    </row>
    <row r="106" spans="1:31" s="2" customFormat="1" x14ac:dyDescent="0.25">
      <c r="A106">
        <v>89</v>
      </c>
      <c r="B106">
        <v>4</v>
      </c>
      <c r="C106">
        <v>13</v>
      </c>
      <c r="D106">
        <v>2</v>
      </c>
      <c r="E106">
        <v>1</v>
      </c>
      <c r="F106" s="3">
        <f>3233.5+(220.3-682.8)+(-3.29817+(-0.224706--0.696456))+0--276.9-0.282438000000044</f>
        <v>3044.791142</v>
      </c>
      <c r="G106" s="3">
        <f>3253.5+(205.9-796.7)+(-3.31857+(-0.210018--0.812634))+0--277.3-0.282846000000044</f>
        <v>2937.0012000000002</v>
      </c>
      <c r="H106" s="3">
        <f>3265.6+(191.7-878.6)+(0+(0-0))+0--277.4-0</f>
        <v>2856.1</v>
      </c>
      <c r="I106" s="3">
        <f>3283.8+(174.4-944.3)+(0+(0-0))+0--277.8-0</f>
        <v>2791.7000000000003</v>
      </c>
      <c r="J106" s="3">
        <f>3257.3+(171.9-963)+(4.983669+(0.263007-1.47339))+0--278.2--0.425646000000016</f>
        <v>2748.5989320000003</v>
      </c>
      <c r="K106" s="3">
        <f>3153.8+(174.7-880.1)+(-1.608438+(-0.089097--0.448851))+0--232.8-0.118727999999976</f>
        <v>2679.8325880000002</v>
      </c>
      <c r="L106" s="3">
        <f>2736.2+(290.7-721.4)+(0+(0-0))+0--143.2-0</f>
        <v>2448.6999999999998</v>
      </c>
      <c r="M106" s="3">
        <f>2733.3+(290.4-731.1)+(-4.181949+(-0.444312--1.118583))+0--143.5-0.219555000000008</f>
        <v>2432.3727670000003</v>
      </c>
      <c r="N106" s="3">
        <f>2910.3+(260.4-806.1)+(-2.968506+(-0.265608--0.822222))+0--191.6-0.195432000000031</f>
        <v>2553.5926760000002</v>
      </c>
      <c r="O106" s="3">
        <f>3164.8+(177.5-905.6)+(-4.842144+(-0.271575--1.385568))+0--241.9-0.370107000000014</f>
        <v>2674.5017420000004</v>
      </c>
      <c r="P106" s="3">
        <f>3144.1+(182.7-794.1)+(-1.603491+(-0.093177--0.404991))+0--270.2-0.137801999999973</f>
        <v>2801.4705209999993</v>
      </c>
      <c r="Q106" s="3">
        <f>3152.5+(241.2-628.3)+(-1.607775+(-0.123012--0.320433))+0--225.2-0.114851999999977</f>
        <v>2989.0747939999997</v>
      </c>
      <c r="R106" s="3">
        <f>3216.3+(505.4-614.1)+(3.280626+(0.515508-0.626382))+0--66.8--0.0681360000000106</f>
        <v>3177.6378880000002</v>
      </c>
      <c r="S106" s="3">
        <f>3173.3+(540.2-674.2)+(1.618383+(0.275502-0.343842))+0--207.4--0.105773999999979</f>
        <v>3248.3558170000006</v>
      </c>
      <c r="T106" s="3">
        <f>3109.9+(558.7-645.1)+(1.586049+(0.284937-0.329001))+0--238.2--0.121481999999976</f>
        <v>3263.3634669999997</v>
      </c>
      <c r="U106" s="3">
        <f>3096.9+(578.9-639.2)+(1.579419+(0.295239-0.325992))+0--271.4--0.138413999999972</f>
        <v>3309.6870800000002</v>
      </c>
      <c r="V106" s="3">
        <f>3092.9+(503.8-592.4)+(-1.577379+(-0.256938--0.302124))+0--260.5-0.132854999999974</f>
        <v>3263.1349520000003</v>
      </c>
      <c r="W106" s="3">
        <f>3073+(283.2-531.5)+(-4.70169+(-0.433296--0.813195))+0--271.9-0.416007000000016</f>
        <v>3091.8622020000003</v>
      </c>
      <c r="X106" s="3">
        <f>3029.4+(187.3-679.8)+(-3.089988+(-0.191046--0.693396))+0--274.2-0.279684000000044</f>
        <v>2808.2326779999999</v>
      </c>
      <c r="Y106" s="3">
        <f>2963.6+(201.6-825.4)+(-1.511436+(-0.102816--0.420954))+0--273.9-0.139688999999972</f>
        <v>2612.367013</v>
      </c>
      <c r="Z106" s="3">
        <f>2991.5+(175.8-576.6)+(3.05133+(0.179316-0.588132))+0--272.7--0.278154000000043</f>
        <v>2866.3206679999998</v>
      </c>
      <c r="AA106" s="3">
        <f>3184.5+(260.3-633.4)+(0+(0-0))+0--274.3-0</f>
        <v>3085.7000000000003</v>
      </c>
      <c r="AB106" s="3">
        <f>3220+(256.1-646.8)+(-1.6422+(-0.130611--0.329868))+0--274.7-0.140096999999972</f>
        <v>3102.41696</v>
      </c>
      <c r="AC106" s="3">
        <f>3101.7+(307.4-589.5)+(1.581867+(0.156774-0.300645))+0--274.9--0.140198999999972</f>
        <v>3096.0781950000001</v>
      </c>
      <c r="AD106">
        <f t="shared" si="1"/>
        <v>69882.893282000005</v>
      </c>
      <c r="AE106" s="3">
        <f>3201.2+(250.3-644)+(0+(0-0))+0--275-0</f>
        <v>3082.5</v>
      </c>
    </row>
    <row r="107" spans="1:31" s="2" customFormat="1" x14ac:dyDescent="0.25">
      <c r="A107">
        <v>89</v>
      </c>
      <c r="B107">
        <v>4</v>
      </c>
      <c r="C107">
        <v>14</v>
      </c>
      <c r="D107">
        <v>3</v>
      </c>
      <c r="E107">
        <v>1</v>
      </c>
      <c r="F107" s="3">
        <f>3082.7+(269.3-574.4)+(1.572177+(0.137343-0.292944))+0--277.5--0.141524999999972</f>
        <v>3056.658101</v>
      </c>
      <c r="G107" s="3">
        <f>3076+(191.7-589.5)+(-1.56876+(-0.097767--0.300645))+0--276.2-0.140861999999972</f>
        <v>2952.8932559999994</v>
      </c>
      <c r="H107" s="3">
        <f>3040.8+(201.3-658.4)+(-3.101616+(-0.205326--0.671568))+0--277.1-0.282642000000044</f>
        <v>2857.8819840000001</v>
      </c>
      <c r="I107" s="3">
        <f>3104.4+(201.6-772.3)+(-1.583244+(-0.102816--0.393873))+0--274.9-0.140198999999972</f>
        <v>2807.1676140000004</v>
      </c>
      <c r="J107" s="3">
        <f>3258.1+(172.1-968.9)+(-3.323262+(-0.175542--0.988278))+0--279.1-0.284682000000045</f>
        <v>2737.6047920000001</v>
      </c>
      <c r="K107" s="3">
        <f>3246.4+(180.4-1041.8)+(-8.27832+(-0.46002--2.65659))+0--279.2-0.71195999999996</f>
        <v>2657.4062899999999</v>
      </c>
      <c r="L107" s="3">
        <f>3064.2+(181.4-1022.6)+(-6.250968+(-0.370056--2.086104))+0--277.1-0.565283999999988</f>
        <v>2494.9997960000001</v>
      </c>
      <c r="M107" s="3">
        <f>2967.3+(191.4-945.3)+(0+(0-0))+0--277.1-0</f>
        <v>2490.5</v>
      </c>
      <c r="N107" s="3">
        <f>3036+(190-872.8)+(0+(0-0))+0--278.5-0</f>
        <v>2631.7</v>
      </c>
      <c r="O107" s="3">
        <f>3128.9+(172.6-845.6)+(1.595739+(0.088026-0.431256))+0--276.1--0.140810999999972</f>
        <v>2733.3933199999997</v>
      </c>
      <c r="P107" s="3">
        <f>3132.8+(180.1-723.4)+(1.597728+(0.091851-0.368934))+0--274--0.139739999999972</f>
        <v>2864.9603849999999</v>
      </c>
      <c r="Q107" s="3">
        <f>3118.3+(224.5-578.1)+(3.180666+(0.22899-0.589662))+0--276--0.281520000000044</f>
        <v>3043.8015140000002</v>
      </c>
      <c r="R107" s="3">
        <f>3128.5+(421.7-614.4)+(4.786605+(0.645201-0.940032))+0--270.8--0.414324000000016</f>
        <v>3211.5060980000003</v>
      </c>
      <c r="S107" s="3">
        <f>3110.2+(538.3-626.4)+(3.172404+(0.549066-0.638928))+0--267.6--0.272952000000043</f>
        <v>3293.0554940000002</v>
      </c>
      <c r="T107" s="3">
        <f>3093.8+(602.5-618.3)+(4.733514+(0.921825-0.945999))+0--264.3--0.404379000000015</f>
        <v>3347.4137190000001</v>
      </c>
      <c r="U107" s="3">
        <f>3075.6+(609-608.6)+(4.705668+(0.93177-0.931158))+0--264.1--0.404073000000015</f>
        <v>3345.2103529999999</v>
      </c>
      <c r="V107" s="3">
        <f>3066.8+(569.1-575.8)+(0+(0-0))+0--260-0</f>
        <v>3320.1000000000004</v>
      </c>
      <c r="W107" s="3">
        <f>3092.1+(329.5-520)+(-3.153942+(-0.33609--0.5304))+0--263.3-0.268566000000042</f>
        <v>3161.6718019999998</v>
      </c>
      <c r="X107" s="3">
        <f>3111.6+(200.5-683.3)+(-3.173832+(-0.20451--0.696966))+0--258.2-0.263364000000041</f>
        <v>2884.0552600000001</v>
      </c>
      <c r="Y107" s="3">
        <f>3137.7+(186-811)+(-1.600227+(-0.09486--0.41361))+0--161.7-0.0824669999999836</f>
        <v>2673.0360559999995</v>
      </c>
      <c r="Z107" s="3">
        <f>3154.2+(182.3-580.7)+(3.217284+(0.185946-0.592314))+0--163.3--0.166566000000026</f>
        <v>2922.0774819999997</v>
      </c>
      <c r="AA107" s="3">
        <f>3212.3+(381.9-669.5)+(-1.638273+(-0.194769--0.341445))+0--207-0.105569999999979</f>
        <v>3130.1028329999999</v>
      </c>
      <c r="AB107" s="3">
        <f>3240.3+(337.2-647.2)+(0+(0-0))+0--208.7-0</f>
        <v>3139</v>
      </c>
      <c r="AC107" s="3">
        <f>3250.2+(324.7-655.5)+(-3.315204+(-0.331194--0.66861))+0--209-0.213180000000033</f>
        <v>3125.2090319999993</v>
      </c>
      <c r="AD107">
        <f t="shared" si="1"/>
        <v>70881.405180999995</v>
      </c>
      <c r="AE107" s="3">
        <f>3207+(422.7-676.7)+(0+(0-0))+0--209-0</f>
        <v>3162</v>
      </c>
    </row>
    <row r="108" spans="1:31" s="2" customFormat="1" x14ac:dyDescent="0.25">
      <c r="A108">
        <v>89</v>
      </c>
      <c r="B108">
        <v>4</v>
      </c>
      <c r="C108">
        <v>15</v>
      </c>
      <c r="D108">
        <v>4</v>
      </c>
      <c r="E108">
        <v>1</v>
      </c>
      <c r="F108" s="3">
        <f>3260.2+(258.2-626.6)+(-6.650808+(-0.526728--1.278264))+0--209.3-0.426971999999991</f>
        <v>3094.7737559999996</v>
      </c>
      <c r="G108" s="3">
        <f>3273.9+(182.5-678.6)+(5.009067+(0.279225-1.038258))+0--209.2--0.320076000000012</f>
        <v>2991.5701100000001</v>
      </c>
      <c r="H108" s="3">
        <f>3229.1+(180.1-720.7)+(0+(0-0))+0--209.8-0</f>
        <v>2898.3</v>
      </c>
      <c r="I108" s="3">
        <f>3235.8+(179-776.7)+(-1.650258+(-0.09129--0.396117))+0--210.3-0.107252999999979</f>
        <v>2846.9473160000002</v>
      </c>
      <c r="J108" s="3">
        <f>3195.5+(174.8-768.3)+(-6.51882+(-0.356592--1.567332))+0--210.3-0.429011999999991</f>
        <v>2806.5629080000003</v>
      </c>
      <c r="K108" s="3">
        <f>2983.2+(240.8-699)+(-4.564296+(-0.368424--1.06947))+0--211.1-0.322983000000012</f>
        <v>2731.913767</v>
      </c>
      <c r="L108" s="3">
        <f>2776.8+(270.2-726.6)+(-2.832336+(-0.275604--0.741132))+0--212.1-0.216342000000034</f>
        <v>2529.9168499999996</v>
      </c>
      <c r="M108" s="3">
        <f>2929+(181.8-795.7)+(0+(0-0))+0--211.5-0</f>
        <v>2526.6</v>
      </c>
      <c r="N108" s="3">
        <f>3079.6+(206.3-870.8)+(1.570596+(0.105213-0.444108))+0--250.6--0.127805999999975</f>
        <v>2667.0595069999999</v>
      </c>
      <c r="O108" s="3">
        <f>3104.9+(188.9-812.2)+(6.333996+(0.385356-1.656888))+0--273.1--0.557123999999988</f>
        <v>2760.3195879999998</v>
      </c>
      <c r="P108" s="3">
        <f>3076.1+(184.4-637.4)+(3.137622+(0.188088-0.650148))+0--269.6--0.274992000000043</f>
        <v>2895.6505539999998</v>
      </c>
      <c r="Q108" s="3">
        <f>3053.8+(270.4-525.8)+(1.557438+(0.137904-0.268158))+0--266.5--0.135914999999973</f>
        <v>3066.4630990000001</v>
      </c>
      <c r="R108" s="3">
        <f>3059.8+(469.4-525.9)+(1.560498+(0.239394-0.268209))+0--273.1--0.139280999999972</f>
        <v>3278.070964</v>
      </c>
      <c r="S108" s="3">
        <f>3077.7+(559.8-616.6)+(1.569627+(0.285498-0.314466))+0--272.7--0.139076999999972</f>
        <v>3295.279735999999</v>
      </c>
      <c r="T108" s="3">
        <f>3095.1+(618.7-621.2)+(3.157002+(0.631074-0.633624))+0--272.7--0.278154000000043</f>
        <v>3368.732606</v>
      </c>
      <c r="U108" s="3">
        <f>3076.2+(617.4-593.9)+(4.706586+(0.944622-0.908667))+0--272.5--0.416925000000016</f>
        <v>3377.3594659999999</v>
      </c>
      <c r="V108" s="3">
        <f>3075.2+(561.4-561.8)+(3.136704+(0.572628-0.573036))+0--272.1--0.277542000000043</f>
        <v>3350.313838</v>
      </c>
      <c r="W108" s="3">
        <f>3028.8+(394.9-496)+(1.544688+(0.201399-0.25296))+0--274.7--0.140096999999972</f>
        <v>3204.0332240000002</v>
      </c>
      <c r="X108" s="3">
        <f>2959.4+(303.4-578.8)+(-1.509294+(-0.154734--0.295188))+0--277.7-0.141626999999972</f>
        <v>2960.1895329999998</v>
      </c>
      <c r="Y108" s="3">
        <f>2924.5+(303.5-756.9)+(0+(0-0))+0--279.9-0</f>
        <v>2751</v>
      </c>
      <c r="Z108" s="3">
        <f>3024.5+(230.3-523.9)+(3.08499+(0.234906-0.534378))+0--277.7--0.283254000000044</f>
        <v>3011.668772</v>
      </c>
      <c r="AA108" s="3">
        <f>3150.5+(360.3-544.3)+(0+(0-0))+0--270.7-0</f>
        <v>3237.2</v>
      </c>
      <c r="AB108" s="3">
        <f>3176.2+(345.6-556.3)+(1.619862+(0.176256-0.283713))+0--270.7--0.138056999999973</f>
        <v>3237.8504619999999</v>
      </c>
      <c r="AC108" s="3">
        <f>3188.9+(351.9-565.5)+(-4.879017+(-0.538407--0.865215))+0--270.6-0.414018000000016</f>
        <v>3240.9337730000002</v>
      </c>
      <c r="AD108">
        <f t="shared" si="1"/>
        <v>72128.709828999985</v>
      </c>
      <c r="AE108" s="3">
        <f>3144+(375.3-551.1)+(0+(0-0))+0--269-0</f>
        <v>3237.2</v>
      </c>
    </row>
    <row r="109" spans="1:31" s="2" customFormat="1" x14ac:dyDescent="0.25">
      <c r="A109">
        <v>89</v>
      </c>
      <c r="B109">
        <v>4</v>
      </c>
      <c r="C109">
        <v>16</v>
      </c>
      <c r="D109">
        <v>5</v>
      </c>
      <c r="E109">
        <v>1</v>
      </c>
      <c r="F109" s="3">
        <f>3094.4+(375.9-551.3)+(-3.156288+(-0.383418--0.562326))+0--265-0.270300000000042</f>
        <v>3180.7523200000001</v>
      </c>
      <c r="G109" s="3">
        <f>3056.8+(286.6-567.3)+(-1.558968+(-0.146166--0.289323))+0--265.4-0.135353999999973</f>
        <v>3039.9488350000006</v>
      </c>
      <c r="H109" s="3">
        <f>2992.3+(301.1-595.2)+(0+(0-0))+0--265.4-0</f>
        <v>2963.6000000000004</v>
      </c>
      <c r="I109" s="3">
        <f>2868.8+(353.8-597.2)+(-1.463088+(-0.180438--0.304572))+0--265.8-0.135557999999973</f>
        <v>2889.7254880000005</v>
      </c>
      <c r="J109" s="3">
        <f>2870.9+(370.8-653.2)+(0+(0-0))+0--265.6-0</f>
        <v>2854.1</v>
      </c>
      <c r="K109" s="3">
        <f>2869.5+(399.7-732.8)+(-7.317225+(-1.019235--1.86864))+0--265.4-0.676769999999961</f>
        <v>2794.6554100000003</v>
      </c>
      <c r="L109" s="3">
        <f>2708.3+(384.5-777.2)+(-2.762466+(-0.39219--0.792744))+0--266.2-0.271524000000042</f>
        <v>2579.1665640000001</v>
      </c>
      <c r="M109" s="3">
        <f>2610.2+(417.9-728.2)+(1.331202+(0.213129-0.371382))+0--270.1--0.137750999999973</f>
        <v>2571.3106999999991</v>
      </c>
      <c r="N109" s="3">
        <f>2789.7+(415.1-801.5)+(1.422747+(0.211701-0.408765))+0--276.6--0.141065999999972</f>
        <v>2681.2667489999999</v>
      </c>
      <c r="O109" s="3">
        <f>2816.9+(384-642.9)+(1.436619+(0.19584-0.327879))+0--272.4--0.138923999999972</f>
        <v>2831.8435039999999</v>
      </c>
      <c r="P109" s="3">
        <f>2856+(354.1-583.2)+(2.91312+(0.361182-0.594864))+0--269.7--0.275094000000043</f>
        <v>2899.5545320000001</v>
      </c>
      <c r="Q109" s="3">
        <f>2971.7+(319.4-493.1)+(0+(0-0))+0--264.4-0</f>
        <v>3062.4</v>
      </c>
      <c r="R109" s="3">
        <f>3026.9+(485.3-504.4)+(4.631157+(0.742509-0.771732))+0--223.5--0.341955000000013</f>
        <v>3236.2438889999999</v>
      </c>
      <c r="S109" s="3">
        <f>3050.6+(554.9-521.6)+(1.555806+(0.282999-0.266016))+0--232.7--0.118676999999976</f>
        <v>3318.2914659999992</v>
      </c>
      <c r="T109" s="3">
        <f>3048.5+(586.1-525.9)+(0+(0-0))+0--238.1-0</f>
        <v>3346.7999999999997</v>
      </c>
      <c r="U109" s="3">
        <f>3035.4+(574.4-507)+(-3.096108+(-0.585888--0.51714))+0--238.9-0.243678000000038</f>
        <v>3338.2914660000006</v>
      </c>
      <c r="V109" s="3">
        <f>2997.8+(545.8-507.4)+(-1.528878+(-0.278358--0.258774))+0--241.4-0.123113999999976</f>
        <v>3275.9284240000002</v>
      </c>
      <c r="W109" s="3">
        <f>2920.3+(444.2-482.6)+(2.978706+(0.453084-0.492252))+0--239.3--0.244086000000038</f>
        <v>3124.3836240000005</v>
      </c>
      <c r="X109" s="3">
        <f>2904+(360.4-638.6)+(-1.48104+(-0.183804--0.325686))+0--239.4-0.122093999999976</f>
        <v>2863.7387480000002</v>
      </c>
      <c r="Y109" s="3">
        <f>2897.6+(321.4-753.8)+(0+(0-0))+0--205.5-0</f>
        <v>2670.7</v>
      </c>
      <c r="Z109" s="3">
        <f>3089.4+(214.1-576.2)+(1.575594+(0.109191-0.293862))+0--205.3--0.104702999999979</f>
        <v>2934.0956260000003</v>
      </c>
      <c r="AA109" s="3">
        <f>3204.4+(285.5-544.9)+(0+(0-0))+0--206.4-0</f>
        <v>3151.4</v>
      </c>
      <c r="AB109" s="3">
        <f>3235.8+(284-559.5)+(1.650258+(0.14484-0.285345))+0--206.8--0.105467999999979</f>
        <v>3168.7152210000004</v>
      </c>
      <c r="AC109" s="3">
        <f>3256.3+(349-623)+(0+(0-0))+0--206.7-0</f>
        <v>3189</v>
      </c>
      <c r="AD109">
        <f t="shared" si="1"/>
        <v>71965.912566000014</v>
      </c>
      <c r="AE109" s="3">
        <f>3230+(318.7-543.2)+(0+(0-0))+0--209-0</f>
        <v>3214.5</v>
      </c>
    </row>
    <row r="110" spans="1:31" s="2" customFormat="1" x14ac:dyDescent="0.25">
      <c r="A110">
        <v>89</v>
      </c>
      <c r="B110">
        <v>4</v>
      </c>
      <c r="C110">
        <v>17</v>
      </c>
      <c r="D110">
        <v>6</v>
      </c>
      <c r="E110">
        <v>1</v>
      </c>
      <c r="F110" s="3">
        <f>3239.6+(343.2-613.6)+(1.652196+(0.175032-0.312936))+0--208.2--0.106181999999979</f>
        <v>3179.0204739999995</v>
      </c>
      <c r="G110" s="3">
        <f>3261.5+(212.7-648.2)+(0+(0-0))+0--208-0</f>
        <v>3034</v>
      </c>
      <c r="H110" s="3">
        <f>3291.6+(204.5-763.7)+(1.678716+(0.104295-0.389487))+0--209.4--0.106793999999979</f>
        <v>2943.3003179999996</v>
      </c>
      <c r="I110" s="3">
        <f>3295.4+(215.3-849.1)+(3.361308+(0.219606-0.866082))+0--208.9--0.213078000000033</f>
        <v>2873.4279100000008</v>
      </c>
      <c r="J110" s="3">
        <f>3291.7+(212.9-889)+(1.678767+(0.108579-0.45339))+0--207.5--0.105824999999979</f>
        <v>2824.5397809999999</v>
      </c>
      <c r="K110" s="3">
        <f>3176.6+(253.1-871)+(0+(0-0))+0--207.4-0</f>
        <v>2766.1</v>
      </c>
      <c r="L110" s="3">
        <f>2924.3+(320.7-893.8)+(-4.474179+(-0.490671--1.367514))+0--207-0.316710000000012</f>
        <v>2554.2859540000004</v>
      </c>
      <c r="M110" s="3">
        <f>3035+(264.7-958)+(-4.64355+(-0.404991--1.46574))+0--206.8-0.316404000000012</f>
        <v>2544.6007949999998</v>
      </c>
      <c r="N110" s="3">
        <f>3139.4+(234.1-932.7)+(-6.404376+(-0.477564--1.902708))+0--205.9-0.420035999999991</f>
        <v>2641.3007320000002</v>
      </c>
      <c r="O110" s="3">
        <f>3157.7+(225.8-851.6)+(-1.610427+(-0.115158--0.434316))+0--205.4-0.104753999999979</f>
        <v>2735.9039769999999</v>
      </c>
      <c r="P110" s="3">
        <f>3125.5+(217.9-675.8)+(1.594005+(0.111129-0.344658))+0--204.9--0.104498999999979</f>
        <v>2873.9649749999999</v>
      </c>
      <c r="Q110" s="3">
        <f>3134.1+(221.1-527.6)+(3.196782+(0.225522-0.538152))+0--203--0.207060000000032</f>
        <v>3033.6912120000002</v>
      </c>
      <c r="R110" s="3">
        <f>3126.2+(384.6-545.4)+(3.188724+(0.392292-0.556308))+0--211.2--0.215424000000034</f>
        <v>3179.8401319999994</v>
      </c>
      <c r="S110" s="3">
        <f>3105.6+(441.9-567.8)+(0+(0-0))+0--221-0</f>
        <v>3200.7</v>
      </c>
      <c r="T110" s="3">
        <f>3082.6+(488.6-582.2)+(1.572126+(0.249186-0.296922))+0--225--0.114749999999977</f>
        <v>3215.6391400000002</v>
      </c>
      <c r="U110" s="3">
        <f>3078.9+(506-597.3)+(1.570239+(0.25806-0.304623))+0--235--0.119849999999976</f>
        <v>3224.2435260000002</v>
      </c>
      <c r="V110" s="3">
        <f>3102.6+(447.3-590.1)+(0+(0-0))+0--235-0</f>
        <v>3194.7999999999997</v>
      </c>
      <c r="W110" s="3">
        <f>3077.6+(261.1-557.9)+(-1.569576+(-0.133161--0.284529))+0--237-0.120869999999976</f>
        <v>3016.2609219999999</v>
      </c>
      <c r="X110" s="3">
        <f>3105.7+(255.2-822)+(-4.751721+(-0.390456--1.25766))+0--239.1-0.365823000000014</f>
        <v>2773.7496599999995</v>
      </c>
      <c r="Y110" s="3">
        <f>2953.1+(240-888.7)+(-1.506081+(-0.1224--0.453237))+0--240.6-0.122705999999976</f>
        <v>2543.7020499999994</v>
      </c>
      <c r="Z110" s="3">
        <f>3096.1+(177.9-687.8)+(0+(0-0))+0--240.8-0</f>
        <v>2827</v>
      </c>
      <c r="AA110" s="3">
        <f>3200.4+(194.1-601.2)+(-6.528816+(-0.395964--1.226448))+0--240.4-0.49041599999999</f>
        <v>3027.5112520000002</v>
      </c>
      <c r="AB110" s="3">
        <f>3250.5+(201.6-647.8)+(-1.657755+(-0.102816--0.330378))+0--240.1-0.122450999999976</f>
        <v>3042.8473559999998</v>
      </c>
      <c r="AC110" s="3">
        <f>3239.5+(202.9-646.1)+(1.652145+(0.103479-0.329511))+0--240.2--0.122501999999976</f>
        <v>3038.0486150000002</v>
      </c>
      <c r="AD110">
        <f t="shared" si="1"/>
        <v>70288.478780999998</v>
      </c>
      <c r="AE110" s="3">
        <f>3235+(220.7-611.3)+(0+(0-0))+0--240-0</f>
        <v>3084.4</v>
      </c>
    </row>
    <row r="111" spans="1:31" s="2" customFormat="1" x14ac:dyDescent="0.25">
      <c r="A111">
        <v>89</v>
      </c>
      <c r="B111">
        <v>4</v>
      </c>
      <c r="C111">
        <v>18</v>
      </c>
      <c r="D111">
        <v>7</v>
      </c>
      <c r="E111">
        <v>1</v>
      </c>
      <c r="F111" s="3">
        <f>3214.7+(197.3-646.2)+(0+(0-0))+0--241.1-0</f>
        <v>3006.8999999999996</v>
      </c>
      <c r="G111" s="3">
        <f>3227.3+(200.5-741.8)+(-1.645923+(-0.102255--0.378318))+0--240.8-0.122807999999976</f>
        <v>2925.3073320000003</v>
      </c>
      <c r="H111" s="3">
        <f>3237.4+(207.5-831)+(1.651074+(0.105825-0.42381))+0--241.1--0.122960999999976</f>
        <v>2856.4560500000002</v>
      </c>
      <c r="I111" s="3">
        <f>3244.7+(204.7-895.6)+(1.654797+(0.104397-0.456756))+0--241.1--0.122960999999976</f>
        <v>2796.3253989999998</v>
      </c>
      <c r="J111" s="3">
        <f>3252.6+(185.1-925.7)+(1.658826+(0.094401-0.472107))+0--241.4--0.123113999999976</f>
        <v>2754.8042340000002</v>
      </c>
      <c r="K111" s="3">
        <f>3272.2+(214.5-1017.4)+(-5.006466+(-0.328185--1.556622))+0--243.6-0.372708000000014</f>
        <v>2708.7492629999997</v>
      </c>
      <c r="L111" s="3">
        <f>2974.4+(332.9-1022.8)+(0+(0-0))+0--228.8-0</f>
        <v>2513.3000000000002</v>
      </c>
      <c r="M111" s="3">
        <f>2766.8+(363.1-932.1)+(0+(0-0))+0--206.9-0</f>
        <v>2404.7000000000003</v>
      </c>
      <c r="N111" s="3">
        <f>2895.3+(306.5-980.4)+(-2.953206+(-0.31263--1.000008))+0--207-0.211140000000033</f>
        <v>2425.9230320000001</v>
      </c>
      <c r="O111" s="3">
        <f>3048.8+(251.7-1016.9)+(0+(0-0))+0--206.8-0</f>
        <v>2490.4000000000005</v>
      </c>
      <c r="P111" s="3">
        <f>3125.4+(222.5-946.3)+(3.187908+(0.22695-0.965226))+0--187--0.19074000000003</f>
        <v>2591.2403720000002</v>
      </c>
      <c r="Q111" s="3">
        <f>3146.5+(211.6-791)+(0+(0-0))+0--199-0</f>
        <v>2766.1</v>
      </c>
      <c r="R111" s="3">
        <f>3158.5+(238.3-660.2)+(1.610835+(0.121533-0.336702))+0--208.3--0.106232999999979</f>
        <v>2946.401899</v>
      </c>
      <c r="S111" s="3">
        <f>3143.7+(251.8-593.4)+(3.206574+(0.256836-0.605268))+0--232.1--0.236742000000037</f>
        <v>3037.2948839999999</v>
      </c>
      <c r="T111" s="3">
        <f>3121.1+(306.3-590.8)+(1.591761+(0.156213-0.301308))+0--237.8--0.121277999999976</f>
        <v>3075.967944</v>
      </c>
      <c r="U111" s="3">
        <f>3140.5+(391.1-662.7)+(-3.20331+(-0.398922--0.675954))+0--240-0.244800000000038</f>
        <v>3105.7289220000002</v>
      </c>
      <c r="V111" s="3">
        <f>3113.8+(406.6-691.8)+(-1.588038+(-0.207366--0.352818))+0--238.6-0.121685999999976</f>
        <v>3065.6357280000002</v>
      </c>
      <c r="W111" s="3">
        <f>3089.5+(214.5-617)+(-1.575645+(-0.109395--0.31467))+0--241.7-0.123266999999975</f>
        <v>2927.2063629999998</v>
      </c>
      <c r="X111" s="3">
        <f>3036.5+(194.4-794.8)+(-3.09723+(-0.198288--0.810696))+0--240.2-0.245004000000038</f>
        <v>2673.570174</v>
      </c>
      <c r="Y111" s="3">
        <f>2963.7+(202.2-938.6)+(-4.534461+(-0.309366--1.436058))+0--240.8-0.368424000000014</f>
        <v>2464.3238069999998</v>
      </c>
      <c r="Z111" s="3">
        <f>3088.2+(185.8-788.1)+(1.574982+(0.094758-0.401931))+0--241.9--0.123368999999975</f>
        <v>2729.1911779999996</v>
      </c>
      <c r="AA111" s="3">
        <f>3234.5+(193.7-715)+(-1.649595+(-0.098787--0.36465))+0--240.9-0.122858999999976</f>
        <v>2952.5934090000001</v>
      </c>
      <c r="AB111" s="3">
        <f>3240.4+(192.9-699.8)+(0+(0-0))+0--241.7-0</f>
        <v>2975.2</v>
      </c>
      <c r="AC111" s="3">
        <f>3212.4+(221.7-678)+(1.638324+(0.113067-0.34578))+0--241.2--0.123011999999976</f>
        <v>2998.8286229999999</v>
      </c>
      <c r="AD111">
        <f t="shared" si="1"/>
        <v>67192.148612999998</v>
      </c>
      <c r="AE111" s="3">
        <f>3240+(195-699.4)+(0+(0-0))+0--219-0</f>
        <v>2954.6</v>
      </c>
    </row>
    <row r="112" spans="1:31" s="2" customFormat="1" x14ac:dyDescent="0.25">
      <c r="A112">
        <v>89</v>
      </c>
      <c r="B112">
        <v>4</v>
      </c>
      <c r="C112">
        <v>19</v>
      </c>
      <c r="D112">
        <v>1</v>
      </c>
      <c r="E112">
        <v>3</v>
      </c>
      <c r="F112" s="3">
        <f>3229.3+(200.5-691.4)+(-6.587772+(-0.40902--1.410456))+0--241.4-0.492455999999989</f>
        <v>2973.7212080000004</v>
      </c>
      <c r="G112" s="3">
        <f>3237.6+(171.6-735.4)+(-4.953528+(-0.262548--1.125162))+0--241.7-0.369801000000014</f>
        <v>2911.0392850000003</v>
      </c>
      <c r="H112" s="3">
        <f>3247.3+(160.5-802.7)+(-3.312246+(-0.16371--0.818754))+0--241.6-0.246432000000039</f>
        <v>2843.7963660000005</v>
      </c>
      <c r="I112" s="3">
        <f>3255.9+(155-861.4)+(-3.321018+(-0.1581--0.878628))+0--241.7-0.246534000000039</f>
        <v>2788.3529760000001</v>
      </c>
      <c r="J112" s="3">
        <f>3261.2+(155.2-875.5)+(-3.326424+(-0.158304--0.89301))+0--212.6-0.216852000000034</f>
        <v>2750.6914299999994</v>
      </c>
      <c r="K112" s="3">
        <f>3276.9+(156.3-944.7)+(0+(0-0))+0--207.1-0</f>
        <v>2695.6</v>
      </c>
      <c r="L112" s="3">
        <f>3123.9+(175.1-993.7)+(0+(0-0))+0--207.6-0</f>
        <v>2512.9</v>
      </c>
      <c r="M112" s="3">
        <f>3043.1+(178.3-986.4)+(-4.655943+(-0.272799--1.509192))+0--207.8-0.317934000000012</f>
        <v>2439.062516</v>
      </c>
      <c r="N112" s="3">
        <f>3225+(161.2-1083.9)+(-1.64475+(-0.082212--0.552789))+0--206.4-0.105263999999979</f>
        <v>2507.4205630000006</v>
      </c>
      <c r="O112" s="3">
        <f>3169.8+(159.8-968.6)+(3.233196+(0.162996-0.987972))+0--206.5--0.210630000000033</f>
        <v>2570.1188499999998</v>
      </c>
      <c r="P112" s="3">
        <f>3123.4+(154.5-824.7)+(3.185868+(0.15759-0.841194))+0--233.9--0.238578000000037</f>
        <v>2689.8408420000001</v>
      </c>
      <c r="Q112" s="3">
        <f>3122.4+(159.4-685.2)+(3.184848+(0.162588-0.698904))+0--234--0.238680000000037</f>
        <v>2833.487212</v>
      </c>
      <c r="R112" s="3">
        <f>3136.9+(227.1-601)+(0+(0-0))+0--236.9-0</f>
        <v>2999.9</v>
      </c>
      <c r="S112" s="3">
        <f>3130.2+(285.6-574.8)+(0+(0-0))+10.8--236.2-0</f>
        <v>3088</v>
      </c>
      <c r="T112" s="3">
        <f>3102.3+(303.1-604.1)+(1.582173+(0.154581-0.308091))+130--235.9--0.120308999999976</f>
        <v>3168.7489720000003</v>
      </c>
      <c r="U112" s="3">
        <f>3097.6+(269.5-591.1)+(0+(0-0))+130--234.4-0</f>
        <v>3140.4</v>
      </c>
      <c r="V112" s="3">
        <f>3097.3+(213.8-566.9)+(0+(0-0))+130--236.8-0</f>
        <v>3111.0000000000005</v>
      </c>
      <c r="W112" s="3">
        <f>3086.2+(135.4-584.8)+(-3.147924+(-0.138108--0.596496))+130--234.8-0.239496000000037</f>
        <v>2998.6709679999999</v>
      </c>
      <c r="X112" s="3">
        <f>3037.5+(179.7-765)+(0+(0-0))+65--234.8-0</f>
        <v>2752</v>
      </c>
      <c r="Y112" s="3">
        <f>3024.9+(172.8-897.2)+(1.542699+(0.088128-0.457572))+0--235.3--0.120002999999976</f>
        <v>2537.0932580000003</v>
      </c>
      <c r="Z112" s="3">
        <f>3135.8+(167.6-699.6)+(0+(0-0))+0--235.2-0</f>
        <v>2839</v>
      </c>
      <c r="AA112" s="3">
        <f>3219+(288.8-690.3)+(-1.64169+(-0.147288--0.352053))+0--235.4-0.120053999999976</f>
        <v>3051.3430210000001</v>
      </c>
      <c r="AB112" s="3">
        <f>3244.2+(299-699.9)+(0+(0-0))+0--235.4-0</f>
        <v>3078.7</v>
      </c>
      <c r="AC112" s="3">
        <f>3275.3+(335.2-727)+(0+(0-0))+0--235.7-0</f>
        <v>3119.2</v>
      </c>
      <c r="AD112">
        <f t="shared" si="1"/>
        <v>68400.087467000005</v>
      </c>
      <c r="AE112" s="3">
        <f>3249+(331-693.6)+(0+(0-0))+0--234-0</f>
        <v>3120.4</v>
      </c>
    </row>
    <row r="113" spans="1:31" s="2" customFormat="1" x14ac:dyDescent="0.25">
      <c r="A113">
        <v>89</v>
      </c>
      <c r="B113">
        <v>4</v>
      </c>
      <c r="C113">
        <v>20</v>
      </c>
      <c r="D113">
        <v>2</v>
      </c>
      <c r="E113">
        <v>1</v>
      </c>
      <c r="F113" s="3">
        <f>3244.9+(334.3-678.1)+(0+(0-0))+0--233-0</f>
        <v>3134.1</v>
      </c>
      <c r="G113" s="3">
        <f>3257+(206.8-678.7)+(-4.98321+(-0.316404--1.038411))+0--233.5-0.357255000000013</f>
        <v>3013.981542</v>
      </c>
      <c r="H113" s="3">
        <f>3263.3+(185.2-738.1)+(-3.328566+(-0.188904--0.752862))+0--233.8-0.238476000000037</f>
        <v>2941.1969160000003</v>
      </c>
      <c r="I113" s="3">
        <f>3252.1+(181.6-794.4)+(-4.975713+(-0.277848--1.215432))+0--233.9-0.357867000000014</f>
        <v>2868.8040040000001</v>
      </c>
      <c r="J113" s="3">
        <f>3268.3+(178.7-861)+(0+(0-0))+0--233.7-0</f>
        <v>2819.7</v>
      </c>
      <c r="K113" s="3">
        <f>3265+(196.3-920.9)+(0+(0-0))+0--234.2-0</f>
        <v>2774.6</v>
      </c>
      <c r="L113" s="3">
        <f>3170.9+(191.5-1032.3)+(-3.234318+(-0.19533--1.052946))+0--235.8-0.240516000000038</f>
        <v>2563.2827820000007</v>
      </c>
      <c r="M113" s="3">
        <f>3132.8+(174-998)+(-1.597728+(-0.08874--0.50898))+0--235.3-0.120002999999976</f>
        <v>2542.8025090000006</v>
      </c>
      <c r="N113" s="3">
        <f>3155+(198-956)+(1.60905+(0.10098-0.48756))+0--233.7--0.119186999999976</f>
        <v>2632.0416569999998</v>
      </c>
      <c r="O113" s="3">
        <f>3154.5+(202.5-849)+(1.608795+(0.103275-0.43299))+0--232.2--0.118421999999976</f>
        <v>2741.5975019999996</v>
      </c>
      <c r="P113" s="3">
        <f>3127.4+(187.4-667.7)+(3.189948+(0.191148-0.681054))+0--231.4--0.236028000000037</f>
        <v>2881.4360700000002</v>
      </c>
      <c r="Q113" s="3">
        <f>3122.1+(227.6-571.1)+(3.184542+(0.232152-0.582522))+62.5--229.8--0.234396000000037</f>
        <v>3073.9685679999998</v>
      </c>
      <c r="R113" s="3">
        <f>3139.3+(351.9-623.5)+(1.601043+(0.179469-0.317985))+125--231.7--0.118166999999976</f>
        <v>3225.9806940000003</v>
      </c>
      <c r="S113" s="3">
        <f>3112.7+(461.1-657.4)+(1.587477+(0.235161-0.335274))+125--233.5--0.119084999999976</f>
        <v>3276.5064489999995</v>
      </c>
      <c r="T113" s="3">
        <f>3115.6+(531.7-645.6)+(1.588956+(0.271167-0.329256))+125--233.3--0.118982999999976</f>
        <v>3361.6498499999998</v>
      </c>
      <c r="U113" s="3">
        <f>3111.2+(522.4-644.1)+(3.173424+(0.532848-0.656982))+135.7--233.7--0.238374000000037</f>
        <v>3362.1876639999996</v>
      </c>
      <c r="V113" s="3">
        <f>3112.9+(410.3-669.7)+(0+(0-0))+232.3--232.3-0</f>
        <v>3318.1000000000004</v>
      </c>
      <c r="W113" s="3">
        <f>3121.9+(295.1-562.2)+(-6.368676+(-0.602004--1.146888))+125--233.2-0.47572799999999</f>
        <v>3206.70048</v>
      </c>
      <c r="X113" s="3">
        <f>3070.7+(224.3-675.3)+(0+(0-0))+31.3--232.8-0</f>
        <v>2883.8</v>
      </c>
      <c r="Y113" s="3">
        <f>3030.7+(214.9-764.6)+(-1.545657+(-0.109599--0.389946))+0--233.4-0.119033999999976</f>
        <v>2713.015656</v>
      </c>
      <c r="Z113" s="3">
        <f>3135.7+(203.7-600.7)+(1.599207+(0.103887-0.306357))+0--233.1--0.118880999999976</f>
        <v>2973.3156179999996</v>
      </c>
      <c r="AA113" s="3">
        <f>3214.3+(446.1-713.2)+(-3.278586+(-0.455022--0.727464))+0--233.4-0.238068000000037</f>
        <v>3177.3557880000003</v>
      </c>
      <c r="AB113" s="3">
        <f>3240.6+(437.2-734)+(-1.652706+(-0.222972--0.37434))+0--235.5-0.120104999999976</f>
        <v>3177.6785569999997</v>
      </c>
      <c r="AC113" s="3">
        <f>3299.1+(473-756.2)+(-1.682541+(-0.24123--0.385662))+0--234.9-0.119798999999976</f>
        <v>3249.1420919999996</v>
      </c>
      <c r="AD113">
        <f t="shared" si="1"/>
        <v>71912.944397999992</v>
      </c>
      <c r="AE113" s="3">
        <f>3223+(480.4-684.4)+(0+(0-0))+0--239-0</f>
        <v>3258</v>
      </c>
    </row>
    <row r="114" spans="1:31" s="2" customFormat="1" x14ac:dyDescent="0.25">
      <c r="A114">
        <v>89</v>
      </c>
      <c r="B114">
        <v>4</v>
      </c>
      <c r="C114">
        <v>21</v>
      </c>
      <c r="D114">
        <v>3</v>
      </c>
      <c r="E114">
        <v>1</v>
      </c>
      <c r="F114" s="3">
        <f>3255.6+(389.8-688.5)+(-3.320712+(-0.397596--0.70227))+0--235.1-0.239802000000037</f>
        <v>3188.7441599999997</v>
      </c>
      <c r="G114" s="3">
        <f>3269+(216.2-626.8)+(-1.66719+(-0.110262--0.319668))+0--233.8-0.119237999999976</f>
        <v>3090.6229780000003</v>
      </c>
      <c r="H114" s="3">
        <f>3273+(218.4-749.9)+(-6.67692+(-0.445536--1.529796))+0--234.2-0.47776799999999</f>
        <v>2969.6295719999998</v>
      </c>
      <c r="I114" s="3">
        <f>3251.5+(222.3-814.4)+(3.31653+(0.226746-0.830688))+0--234.3--0.238986000000037</f>
        <v>2896.651574</v>
      </c>
      <c r="J114" s="3">
        <f>3264.2+(225.4-870.2)+(-3.329484+(-0.229908--0.887604))+0--234.8-0.239496000000037</f>
        <v>2851.2887159999996</v>
      </c>
      <c r="K114" s="3">
        <f>3270.5+(237-945)+(-3.33591+(-0.24174--0.9639))+0--236.2-0.240924000000038</f>
        <v>2795.8453259999997</v>
      </c>
      <c r="L114" s="3">
        <f>2983.4+(324.3-929.4)+(0+(0-0))+0--235.9-0</f>
        <v>2614.2000000000003</v>
      </c>
      <c r="M114" s="3">
        <f>2895.2+(355.1-902.5)+(0+(0-0))+0--235.3-0</f>
        <v>2583.1</v>
      </c>
      <c r="N114" s="3">
        <f>3118.1+(284.1-945.8)+(0+(0-0))+0--234.4-0</f>
        <v>2690.8</v>
      </c>
      <c r="O114" s="3">
        <f>3169.1+(304.1-919.1)+(0+(0-0))+0--232.9-0</f>
        <v>2787</v>
      </c>
      <c r="P114" s="3">
        <f>3159.9+(250.2-727.2)+(0+(0-0))+0--232.3-0</f>
        <v>2915.2000000000003</v>
      </c>
      <c r="Q114" s="3">
        <f>3126.8+(222.6-501.8)+(6.378672+(0.454104-1.023672))+0--231.4--0.47205599999999</f>
        <v>3085.2811600000005</v>
      </c>
      <c r="R114" s="3">
        <f>3175.2+(378.8-527.3)+(-3.238704+(-0.386376--0.537846))+0--230.3-0.234906000000037</f>
        <v>3253.6778599999998</v>
      </c>
      <c r="S114" s="3">
        <f>3164.4+(439.3-549)+(1.613844+(0.224043-0.27999))+66.7--231.6--0.118115999999977</f>
        <v>3354.6760130000002</v>
      </c>
      <c r="T114" s="3">
        <f>3159.5+(453.1-569.6)+(1.611345+(0.231081-0.290496))+100--231.3--0.117962999999977</f>
        <v>3375.9698930000004</v>
      </c>
      <c r="U114" s="3">
        <f>3147.4+(462.7-566.9)+(3.210348+(0.471954-0.578238))+100--229.1--0.233682000000037</f>
        <v>3375.6377460000003</v>
      </c>
      <c r="V114" s="3">
        <f>3148.1+(426.9-551.4)+(-1.605531+(-0.217719--0.281214))+100--229.2-0.116891999999977</f>
        <v>3351.1410719999999</v>
      </c>
      <c r="W114" s="3">
        <f>3143+(295.6-512)+(-4.80879+(-0.452268--0.78336))+66.7--212-0.324360000000012</f>
        <v>3200.4979419999995</v>
      </c>
      <c r="X114" s="3">
        <f>3060.6+(309.6-695)+(-4.682718+(-0.473688--1.06335))+0--202.1-0.309213000000012</f>
        <v>2872.8977309999996</v>
      </c>
      <c r="Y114" s="3">
        <f>3065.9+(291.7-839.5)+(-1.563609+(-0.148767--0.428145))+0--201.8-0.10291799999998</f>
        <v>2718.5128510000004</v>
      </c>
      <c r="Z114" s="3">
        <f>3183.3+(236.8-587.8)+(1.623483+(0.120768-0.299778))+0--201.8--0.10291799999998</f>
        <v>3035.6473910000004</v>
      </c>
      <c r="AA114" s="3">
        <f>3262.1+(337.4-567.8)+(-1.663671+(-0.172074--0.289578))+0--202.1-0.103070999999979</f>
        <v>3232.1507619999998</v>
      </c>
      <c r="AB114" s="3">
        <f>3283.4+(351.7-566)+(-1.674534+(-0.179367--0.28866))+0--203.1-0.103580999999979</f>
        <v>3270.5311780000002</v>
      </c>
      <c r="AC114" s="3">
        <f>3242.2+(380.3-561.7)+(0+(0-0))+0--204.7-0</f>
        <v>3265.4999999999995</v>
      </c>
      <c r="AD114">
        <f t="shared" si="1"/>
        <v>72775.203925000009</v>
      </c>
      <c r="AE114" s="3">
        <f>3265+(337.8-575.3)+(0+(0-0))+0--204-0</f>
        <v>3231.5</v>
      </c>
    </row>
    <row r="115" spans="1:31" s="2" customFormat="1" x14ac:dyDescent="0.25">
      <c r="A115">
        <v>89</v>
      </c>
      <c r="B115">
        <v>4</v>
      </c>
      <c r="C115">
        <v>22</v>
      </c>
      <c r="D115">
        <v>4</v>
      </c>
      <c r="E115">
        <v>1</v>
      </c>
      <c r="F115" s="3">
        <f>3216.7+(325.9-558.6)+(0+(0-0))+0--205.9-0</f>
        <v>3189.9</v>
      </c>
      <c r="G115" s="3">
        <f>3229+(286.2-640.7)+(-3.29358+(-0.291924--0.653514))+0--205.3-0.209406000000033</f>
        <v>3076.6586040000002</v>
      </c>
      <c r="H115" s="3">
        <f>3216.5+(293.4-731.5)+(1.640415+(0.149634-0.373065))+0--205.1--0.104600999999979</f>
        <v>2985.021585</v>
      </c>
      <c r="I115" s="3">
        <f>3199.7+(291.7-766.1)+(0+(0-0))+0--206.5-0</f>
        <v>2931.7999999999997</v>
      </c>
      <c r="J115" s="3">
        <f>3192.7+(289.4-787.9)+(4.884831+(0.442782-1.205487))+0--205.1--0.313803000000012</f>
        <v>2903.7359289999999</v>
      </c>
      <c r="K115" s="3">
        <f>3196.8+(310.3-861.5)+(0+(0-0))+0--205.4-0</f>
        <v>2851.0000000000005</v>
      </c>
      <c r="L115" s="3">
        <f>3046.9+(335.9-924.4)+(-1.553919+(-0.171309--0.471444))+0--206-0.105059999999979</f>
        <v>2663.0411560000002</v>
      </c>
      <c r="M115" s="3">
        <f>3068+(341.8-948)+(0+(0-0))+0--206-0</f>
        <v>2667.8</v>
      </c>
      <c r="N115" s="3">
        <f>3205+(308.6-938)+(6.5382+(0.629544-1.91352))+0--205.7--0.419627999999991</f>
        <v>2786.9738519999996</v>
      </c>
      <c r="O115" s="3">
        <f>3215.1+(272.3-830.2)+(0+(0-0))+0--204.4-0</f>
        <v>2861.6</v>
      </c>
      <c r="P115" s="3">
        <f>3181.8+(266.3-684.3)+(4.868154+(0.407439-1.046979))+0--206--0.315180000000012</f>
        <v>2974.3437940000003</v>
      </c>
      <c r="Q115" s="3">
        <f>3183.8+(229.6-553.3)+(1.623738+(0.117096-0.282183))+0--205--0.104549999999979</f>
        <v>3066.6632010000003</v>
      </c>
      <c r="R115" s="3">
        <f>3193+(352.8-536.7)+(-3.25686+(-0.359856--0.547434))+16.7--204.6-0.208692000000033</f>
        <v>3227.1220259999996</v>
      </c>
      <c r="S115" s="3">
        <f>3173.1+(451.7-557.5)+(0+(0-0))+25--203.7-0</f>
        <v>3295.9999999999995</v>
      </c>
      <c r="T115" s="3">
        <f>3157.8+(491.8-574.4)+(4.831434+(0.752454-0.878832))+25--201.6--0.308448000000012</f>
        <v>3306.8135040000002</v>
      </c>
      <c r="U115" s="3">
        <f>3187.7+(507.8-573.7)+(-1.625727+(-0.258978--0.292587))+25--201.7-0.10286699999998</f>
        <v>3346.8050149999995</v>
      </c>
      <c r="V115" s="3">
        <f>3141.9+(492.7-558)+(-1.602369+(-0.251277--0.28458))+25--202.5-0.103274999999979</f>
        <v>3302.4276589999999</v>
      </c>
      <c r="W115" s="3">
        <f>3157+(342.6-521.6)+(-9.66042+(-1.048356--1.596096))+16.7--203.5-0.622710000000024</f>
        <v>3188.4646099999995</v>
      </c>
      <c r="X115" s="3">
        <f>3113.8+(341.2-709.8)+(-6.352152+(-0.696048--1.447992))+0--204.6-0.417383999999991</f>
        <v>2943.7824080000005</v>
      </c>
      <c r="Y115" s="3">
        <f>3087.7+(329.7-850.8)+(-4.724181+(-0.504441--1.301724))+0--203.1-0.310743000000012</f>
        <v>2765.4623589999997</v>
      </c>
      <c r="Z115" s="3">
        <f>3169.6+(242.8-587.6)+(1.616496+(0.123828-0.299676))+0--202.8--0.103427999999979</f>
        <v>3029.1440759999996</v>
      </c>
      <c r="AA115" s="3">
        <f>3265.1+(344.3-559.9)+(-6.660804+(-0.702372--1.142196))+0--203.3-0.414731999999991</f>
        <v>3246.1642879999999</v>
      </c>
      <c r="AB115" s="3">
        <f>3406.4+(214.6-601.4)+(-6.949056+(-0.437784--1.226856))+0--203.9-0.415955999999991</f>
        <v>3216.9240600000007</v>
      </c>
      <c r="AC115" s="3">
        <f>3485.1+(192.7-675.7)+(3.554802+(0.196554-0.689214))+0--204.4--0.208488000000033</f>
        <v>3209.7706300000004</v>
      </c>
      <c r="AD115">
        <f t="shared" si="1"/>
        <v>73037.418755999999</v>
      </c>
      <c r="AE115" s="3">
        <f>3300+(324-539)+(0+(0-0))+0--204-0</f>
        <v>3289</v>
      </c>
    </row>
    <row r="116" spans="1:31" s="2" customFormat="1" x14ac:dyDescent="0.25">
      <c r="A116">
        <v>89</v>
      </c>
      <c r="B116">
        <v>4</v>
      </c>
      <c r="C116">
        <v>23</v>
      </c>
      <c r="D116">
        <v>5</v>
      </c>
      <c r="E116">
        <v>1</v>
      </c>
      <c r="F116" s="3">
        <f>3512.3+(215.6-768.7)+(-3.582546+(-0.219912--0.784074))+0--221.8-0.226236000000035</f>
        <v>3177.7553800000005</v>
      </c>
      <c r="G116" s="3">
        <f>3507.6+(218.6-887.2)+(-1.788876+(-0.111486--0.452472))+0--241.1-0.122960999999976</f>
        <v>3078.529149</v>
      </c>
      <c r="H116" s="3">
        <f>3524.1+(222.5-987.1)+(-3.594582+(-0.22695--1.006842))+0--242.5-0.247350000000039</f>
        <v>2998.9379599999997</v>
      </c>
      <c r="I116" s="3">
        <f>3537.4+(223.4-1053.1)+(-3.608148+(-0.227868--1.074162))+0--241.2-0.246024000000038</f>
        <v>2945.8921220000002</v>
      </c>
      <c r="J116" s="3">
        <f>3550.6+(221.6-1101.4)+(5.432418+(0.339048-1.685142))+0--240.5--0.367965000000014</f>
        <v>2915.7542889999995</v>
      </c>
      <c r="K116" s="3">
        <f>3432+(268.6-1074.9)+(-3.50064+(-0.273972--1.096398))+0--241-0.245820000000038</f>
        <v>2863.7759659999997</v>
      </c>
      <c r="L116" s="3">
        <f>2980.2+(398-937.2)+(-1.519902+(-0.20298--0.477972))+0--222.2-0.113321999999977</f>
        <v>2661.8417679999998</v>
      </c>
      <c r="M116" s="3">
        <f>3052.9+(302.7-931.6)+(4.670937+(0.463131-1.425348))+0--206.7--0.316251000000012</f>
        <v>2634.7249710000001</v>
      </c>
      <c r="N116" s="3">
        <f>3419.3+(237.6-1097.5)+(-1.743843+(-0.121176--0.559725))+0--207.1-0.105620999999979</f>
        <v>2765.0890850000001</v>
      </c>
      <c r="O116" s="3">
        <f>3425.7+(221.4-1019.5)+(3.494214+(0.225828-1.03989))+0--215.4--0.219708000000034</f>
        <v>2845.89986</v>
      </c>
      <c r="P116" s="3">
        <f>3431+(203.1-954.1)+(1.74981+(0.103581-0.486591))+41.7--238.5--0.121634999999976</f>
        <v>2961.6884349999996</v>
      </c>
      <c r="Q116" s="3">
        <f>3395.1+(210.4-902)+(-1.731501+(-0.107304--0.46002))+100--237.6-0.121175999999976</f>
        <v>3039.6000389999999</v>
      </c>
      <c r="R116" s="3">
        <f>3347.7+(203.6-703)+(-3.414654+(-0.207672--0.71706))+160--236.7-0.241434000000038</f>
        <v>3241.8532999999993</v>
      </c>
      <c r="S116" s="3">
        <f>3328.9+(206.2-613.8)+(0+(0-0))+160--235.1-0</f>
        <v>3316.4</v>
      </c>
      <c r="T116" s="3">
        <f>3320.7+(221.4-610.6)+(1.693557+(0.112914-0.311406))+160--235.2--0.119951999999976</f>
        <v>3328.3150169999999</v>
      </c>
      <c r="U116" s="3">
        <f>3312.5+(210.9-610.5)+(-1.689375+(-0.107559--0.311355))+160--233.3-0.118982999999976</f>
        <v>3304.5954380000003</v>
      </c>
      <c r="V116" s="3">
        <f>3326.6+(203.1-666.2)+(-3.393132+(-0.207162--0.679524))+160--233.3-0.237966000000037</f>
        <v>3253.6412639999999</v>
      </c>
      <c r="W116" s="3">
        <f>3336.5+(215.8-781.3)+(5.104845+(0.330174-1.195389))+75--235.9--0.360927000000014</f>
        <v>3086.5005570000003</v>
      </c>
      <c r="X116" s="3">
        <f>3349.6+(290-954.4)+(-3.416592+(-0.2958--0.973488))+0--239.4-0.244188000000038</f>
        <v>2921.616908</v>
      </c>
      <c r="Y116" s="3">
        <f>3317+(269.3-1052.1)+(1.69167+(0.137343-0.536571))+0--240--0.122399999999976</f>
        <v>2775.614842</v>
      </c>
      <c r="Z116" s="3">
        <f>3394.8+(194.2-777.5)+(3.462696+(0.198084-0.79305))+0--240.7--0.245514000000038</f>
        <v>3055.3132439999999</v>
      </c>
      <c r="AA116" s="3">
        <f>3510.2+(194.9-705.4)+(-5.370606+(-0.298197--1.079262))+0--240.5-0.367965000000014</f>
        <v>3235.2424940000001</v>
      </c>
      <c r="AB116" s="3">
        <f>3525.1+(192-727.7)+(-1.797801+(-0.09792--0.371127))+0--239.2-0.121991999999976</f>
        <v>3226.9534139999996</v>
      </c>
      <c r="AC116" s="3">
        <f>3541.3+(192.7-749.8)+(-1.806063+(-0.098277--0.382398))+0--242.4-0.123623999999975</f>
        <v>3224.9544340000007</v>
      </c>
      <c r="AD116">
        <f t="shared" si="1"/>
        <v>72860.489936000013</v>
      </c>
      <c r="AE116" s="3">
        <f>3528+(207.3-688.1)+(0+(0-0))+0--37-0</f>
        <v>3084.2</v>
      </c>
    </row>
    <row r="117" spans="1:31" s="2" customFormat="1" x14ac:dyDescent="0.25">
      <c r="A117">
        <v>89</v>
      </c>
      <c r="B117">
        <v>4</v>
      </c>
      <c r="C117">
        <v>24</v>
      </c>
      <c r="D117">
        <v>6</v>
      </c>
      <c r="E117">
        <v>1</v>
      </c>
      <c r="F117" s="3">
        <f>3521.4+(203.3-783.7)+(-1.795914+(-0.103683--0.399687))+0--242.3-0.123572999999975</f>
        <v>3181.6765170000003</v>
      </c>
      <c r="G117" s="3">
        <f>3505.6+(201.5-869.8)+(-1.787856+(-0.102765--0.443598))+0--240.8-0.122807999999976</f>
        <v>3076.5301690000001</v>
      </c>
      <c r="H117" s="3">
        <f>3503.8+(199-956.6)+(7.147752+(0.40596-1.951464))+0--242.4--0.494495999999989</f>
        <v>2994.6967440000003</v>
      </c>
      <c r="I117" s="3">
        <f>3510.9+(201.7-1012.3)+(-3.581118+(-0.205734--1.032546))+0--240-0.244800000000038</f>
        <v>2937.3008940000004</v>
      </c>
      <c r="J117" s="3">
        <f>3516.3+(202.4-1050.6)+(-1.793313+(-0.103224--0.535806))+0--240.3-0.122552999999976</f>
        <v>2906.9167160000002</v>
      </c>
      <c r="K117" s="3">
        <f>3425.3+(231.3-1044.4)+(-3.493806+(-0.235926--1.065288))+0--240.1-0.244902000000038</f>
        <v>2849.3906539999998</v>
      </c>
      <c r="L117" s="3">
        <f>3173.7+(283.7-1028.8)+(-3.237174+(-0.289374--1.049376))+0--241.5-0.246330000000039</f>
        <v>2667.3764980000001</v>
      </c>
      <c r="M117" s="3">
        <f>3294.7+(246.9-1120.6)+(-1.680297+(-0.125919--0.571506))+0--237.9-0.121328999999976</f>
        <v>2657.5439609999999</v>
      </c>
      <c r="N117" s="3">
        <f>3464.8+(208.4-1154.9)+(1.767048+(0.106284-0.588999))+0--233.4--0.119033999999976</f>
        <v>2753.1033670000002</v>
      </c>
      <c r="O117" s="3">
        <f>3476.2+(197.2-1030.7)+(8.86431+(0.50286-2.628285))+0--232.7--0.593384999999966</f>
        <v>2882.73227</v>
      </c>
      <c r="P117" s="3">
        <f>3494.4+(194.4-1012.9)+(1.782144+(0.099144-0.516579))+56--231.8--0.118217999999976</f>
        <v>2965.1829270000003</v>
      </c>
      <c r="Q117" s="3">
        <f>3459.2+(190.1-905.8)+(1.764192+(0.096951-0.461958))+192--230.9--0.117758999999977</f>
        <v>3167.9169440000001</v>
      </c>
      <c r="R117" s="3">
        <f>3446.2+(175-772.5)+(-1.757562+(-0.08925--0.393975))+192--231-0.117809999999977</f>
        <v>3270.1293529999998</v>
      </c>
      <c r="S117" s="3">
        <f>3427.4+(177.3-721.5)+(-3.495948+(-0.180846--0.73593))+192--230.9-0.235518000000037</f>
        <v>3302.9236179999998</v>
      </c>
      <c r="T117" s="3">
        <f>3414.8+(197.2-710.8)+(-1.741548+(-0.100572--0.362508))+192--231.9-0.118268999999976</f>
        <v>3323.5021190000002</v>
      </c>
      <c r="U117" s="3">
        <f>3392.8+(204.2-686.7)+(-1.730328+(-0.104142--0.350217))+192--232.4-0.118523999999976</f>
        <v>3333.0972230000002</v>
      </c>
      <c r="V117" s="3">
        <f>3395.6+(176-690.8)+(0+(0-0))+88--233.4-0</f>
        <v>3202.2000000000003</v>
      </c>
      <c r="W117" s="3">
        <f>3395.2+(181.5-688.7)+(-3.463104+(-0.18513--0.702474))+0--234.6-0.239292000000037</f>
        <v>3119.4149479999996</v>
      </c>
      <c r="X117" s="3">
        <f>3414.1+(204.6-953.4)+(-8.705955+(-0.52173--2.43117))+0--236.5-0.603074999999966</f>
        <v>2894.4004100000002</v>
      </c>
      <c r="Y117" s="3">
        <f>3374+(180.5-1104.3)+(-1.72074+(-0.092055--0.563193))+0--236.9-0.120818999999976</f>
        <v>2685.7295790000003</v>
      </c>
      <c r="Z117" s="3">
        <f>3488.5+(177.5-934.9)+(-3.55827+(-0.18105--0.953598))+0--237.3-0.242046000000038</f>
        <v>2965.3722320000002</v>
      </c>
      <c r="AA117" s="3">
        <f>3535.4+(185.1-816.1)+(-5.409162+(-0.283203--1.248633))+0--237.8-0.363834000000014</f>
        <v>3137.3924339999999</v>
      </c>
      <c r="AB117" s="3">
        <f>3554.6+(180.3-848.4)+(-1.812846+(-0.091953--0.432684))+0--237.5-0.121124999999976</f>
        <v>3122.4067599999998</v>
      </c>
      <c r="AC117" s="3">
        <f>3552.1+(178-849.9)+(-5.434713+(-0.27234--1.300347))+0--237.5-0.363375000000014</f>
        <v>3112.9299189999997</v>
      </c>
      <c r="AD117">
        <f t="shared" si="1"/>
        <v>72509.866255999994</v>
      </c>
      <c r="AE117" s="3">
        <f>3559+(187-807.3)+(0+(0-0))+0--239-0</f>
        <v>3177.7</v>
      </c>
    </row>
    <row r="118" spans="1:31" s="2" customFormat="1" x14ac:dyDescent="0.25">
      <c r="A118">
        <v>89</v>
      </c>
      <c r="B118">
        <v>4</v>
      </c>
      <c r="C118">
        <v>25</v>
      </c>
      <c r="D118">
        <v>7</v>
      </c>
      <c r="E118">
        <v>1</v>
      </c>
      <c r="F118" s="3">
        <f>3540.2+(164.3-873.3)+(5.416506+(0.251379-1.336149))+0--236.7--0.362151000000014</f>
        <v>3072.5938869999995</v>
      </c>
      <c r="G118" s="3">
        <f>3553.5+(157.2-955.5)+(-1.812285+(-0.080172--0.487305))+0--237.2-0.120971999999976</f>
        <v>2990.8738759999997</v>
      </c>
      <c r="H118" s="3">
        <f>3471.5+(152.7-947.7)+(1.770465+(0.077877-0.483327))+0--237.4--0.121073999999976</f>
        <v>2915.3860890000001</v>
      </c>
      <c r="I118" s="3">
        <f>3446+(149.1-974.8)+(1.75746+(0.076041-0.497148))+0--237.4--0.121073999999976</f>
        <v>2859.1574270000006</v>
      </c>
      <c r="J118" s="3">
        <f>3449.6+(148.5-1025.4)+(-5.277888+(-0.227205--1.568862))+0--237.8-0.363834000000014</f>
        <v>2806.1999349999996</v>
      </c>
      <c r="K118" s="3">
        <f>3404.6+(163.7-1037.4)+(-10.418076+(-0.500922--3.174444))+0--238.4-0.729504000000028</f>
        <v>2760.8259419999999</v>
      </c>
      <c r="L118" s="3">
        <f>2749+(280.7-699)+(-7.00995+(-0.715785--1.78245))+0--234.4-0.597719999999966</f>
        <v>2558.5589950000003</v>
      </c>
      <c r="M118" s="3">
        <f>2730.2+(293.9-770.6)+(0+(0-0))+0--208.4-0</f>
        <v>2461.9</v>
      </c>
      <c r="N118" s="3">
        <f>2964.6+(234.8-909)+(-3.023892+(-0.239496--0.92718))+0--208.3-0.212466000000033</f>
        <v>2496.1513259999997</v>
      </c>
      <c r="O118" s="3">
        <f>3203.9+(185.1-1034.2)+(-3.267978+(-0.188802--1.054884))+0--206.7-0.210834000000033</f>
        <v>2558.8872700000002</v>
      </c>
      <c r="P118" s="3">
        <f>3291.1+(151.8-970.4)+(-1.678461+(-0.077418--0.494904))+0--206.3-0.105212999999979</f>
        <v>2677.4338120000002</v>
      </c>
      <c r="Q118" s="3">
        <f>3418.1+(149.6-968.5)+(-3.486462+(-0.152592--0.98787))+0--239.2-0.243984000000038</f>
        <v>2835.5048319999996</v>
      </c>
      <c r="R118" s="3">
        <f>3338+(199.8-810.9)+(-1.70238+(-0.101898--0.413559))+48--240.9-0.122858999999976</f>
        <v>3014.2864220000001</v>
      </c>
      <c r="S118" s="3">
        <f>3328.2+(229.4-772.4)+(-1.697382+(-0.116994--0.393924))+96--240.5-0.122654999999976</f>
        <v>3120.1568929999999</v>
      </c>
      <c r="T118" s="3">
        <f>3330.2+(243.5-746.1)+(3.396804+(0.24837-0.761022))+96--240.2--0.245004000000038</f>
        <v>3166.9291559999997</v>
      </c>
      <c r="U118" s="3">
        <f>3368.1+(238.7-754.4)+(-3.435462+(-0.243474--0.769488))+80--240-0.244800000000038</f>
        <v>3169.2457519999998</v>
      </c>
      <c r="V118" s="3">
        <f>3354.7+(243.2-710.2)+(3.421794+(0.248064-0.724404))+0--240.1--0.244902000000038</f>
        <v>3130.9903559999998</v>
      </c>
      <c r="W118" s="3">
        <f>3337.3+(256.5-822.2)+(-3.404046+(-0.26163--0.838644))+0--240.9-0.245718000000038</f>
        <v>3009.4272500000002</v>
      </c>
      <c r="X118" s="3">
        <f>2947.1+(358.8-785.5)+(-10.521147+(-1.280916--2.804235))+0--241.4-0.861798000000003</f>
        <v>2751.9403740000002</v>
      </c>
      <c r="Y118" s="3">
        <f>2575.1+(405.3-687.7)+(2.626602+(0.413406-0.701454))+0--241.1--0.245922000000038</f>
        <v>2536.3844759999997</v>
      </c>
      <c r="Z118" s="3">
        <f>3019.4+(239.5-692.1)+(-4.619682+(-0.366435--1.058913))+0--241.1-0.368883000000014</f>
        <v>2803.6039129999999</v>
      </c>
      <c r="AA118" s="3">
        <f>3482.1+(190.5-875.4)+(-3.551742+(-0.19431--0.892908))+0--241.4-0.246228000000038</f>
        <v>3035.5006279999998</v>
      </c>
      <c r="AB118" s="3">
        <f>3491.6+(190.2-835.6)+(0+(0-0))+0--238.7-0</f>
        <v>3084.8999999999996</v>
      </c>
      <c r="AC118" s="3">
        <f>3437.5+(192.4-761.3)+(-3.50625+(-0.196248--0.776526))+0--236.4-0.241128000000038</f>
        <v>3101.8328999999999</v>
      </c>
      <c r="AD118">
        <f t="shared" si="1"/>
        <v>68918.671510999993</v>
      </c>
      <c r="AE118" s="3">
        <f>3526+(195.7-882.1)+(0+(0-0))+0--241-0</f>
        <v>3080.6</v>
      </c>
    </row>
    <row r="119" spans="1:31" s="2" customFormat="1" x14ac:dyDescent="0.25">
      <c r="A119">
        <v>89</v>
      </c>
      <c r="B119">
        <v>4</v>
      </c>
      <c r="C119">
        <v>26</v>
      </c>
      <c r="D119">
        <v>1</v>
      </c>
      <c r="E119">
        <v>1</v>
      </c>
      <c r="F119" s="3">
        <f>3435.3+(191-779.4)+(-5.256009+(-0.29223--1.192482))+0--235.5-0.360315000000014</f>
        <v>3077.6839280000004</v>
      </c>
      <c r="G119" s="3">
        <f>3449.5+(199.2-823)+(-5.277735+(-0.304776--1.25919))+0--173.1-0.26484300000001</f>
        <v>2994.2118359999999</v>
      </c>
      <c r="H119" s="3">
        <f>3464.5+(202.1-904.9)+(-1.766895+(-0.103071--0.461499))+0--173.3-0.0883829999999824</f>
        <v>2933.50315</v>
      </c>
      <c r="I119" s="3">
        <f>3465.5+(216.2-955.1)+(-10.60443+(-0.661572--2.922606))+0--174.2-0.53305200000002</f>
        <v>2891.9235519999993</v>
      </c>
      <c r="J119" s="3">
        <f>3484.9+(211.5-1010.5)+(-3.554598+(-0.21573--1.03071))+0--178.6-0.182172000000028</f>
        <v>2861.5782100000001</v>
      </c>
      <c r="K119" s="3">
        <f>3474.5+(227.3-1064.9)+(-7.08798+(-0.463692--2.172396))+0--178.6-0.364343999999992</f>
        <v>2809.7563799999994</v>
      </c>
      <c r="L119" s="3">
        <f>3058.8+(296.7-917.2)+(-7.79994+(-0.756585--2.33886))+0--178.1-0.454154999999974</f>
        <v>2609.7281800000001</v>
      </c>
      <c r="M119" s="3">
        <f>3074+(261.8-919.2)+(1.56774+(0.133518-0.468792))+0--178.2--0.0908819999999819</f>
        <v>2596.1233479999996</v>
      </c>
      <c r="N119" s="3">
        <f>3402.1+(226.3-1094)+(0+(0-0))+0--207.3-0</f>
        <v>2741.7</v>
      </c>
      <c r="O119" s="3">
        <f>3435.5+(193.8-1032.7)+(1.752105+(0.098838-0.526677))+0--240.7--0.122756999999976</f>
        <v>2838.7470229999999</v>
      </c>
      <c r="P119" s="3">
        <f>3404+(167.4-877.7)+(1.73604+(0.085374-0.447627))+47.5--239.6--0.122195999999976</f>
        <v>2982.2959829999995</v>
      </c>
      <c r="Q119" s="3">
        <f>3419.6+(158.1-828.4)+(0+(0-0))+190--238.2-0</f>
        <v>3177.5</v>
      </c>
      <c r="R119" s="3">
        <f>3383.7+(184.5-609.3)+(0+(0-0))+190--237.6-0</f>
        <v>3386.4999999999995</v>
      </c>
      <c r="S119" s="3">
        <f>3341.6+(292.5-607)+(0+(0-0))+190--237.6-0</f>
        <v>3454.7</v>
      </c>
      <c r="T119" s="3">
        <f>3321.9+(316-605.8)+(1.694169+(0.16116-0.308958))+190--237.7--0.121226999999976</f>
        <v>3461.4675980000002</v>
      </c>
      <c r="U119" s="3">
        <f>3325.9+(335.1-601.1)+(3.392418+(0.341802-0.613122))+190--237.2--0.241944000000038</f>
        <v>3490.4630419999999</v>
      </c>
      <c r="V119" s="3">
        <f>3319.6+(318.8-602)+(-1.692996+(-0.162588--0.30702))+158.3--237.7-0.121226999999976</f>
        <v>3430.7302089999998</v>
      </c>
      <c r="W119" s="3">
        <f>3302.1+(253.1-508.6)+(0+(0-0))+0--239.3-0</f>
        <v>3285.9</v>
      </c>
      <c r="X119" s="3">
        <f>3286.5+(184.2-681.6)+(-5.028345+(-0.281826--1.042848))+0--240.7-0.368271000000014</f>
        <v>3025.1644059999999</v>
      </c>
      <c r="Y119" s="3">
        <f>3304+(167.6-871)+(0+(0-0))+0--241.2-0</f>
        <v>2841.7999999999997</v>
      </c>
      <c r="Z119" s="3">
        <f>3339.2+(177.3-648.9)+(0+(0-0))+0--240.9-0</f>
        <v>3108.5</v>
      </c>
      <c r="AA119" s="3">
        <f>3432.1+(246.5-620)+(-5.251113+(-0.377145--0.9486))+0--241.4-0.369342000000014</f>
        <v>3294.951</v>
      </c>
      <c r="AB119" s="3">
        <f>3483+(208.7-627.4)+(-7.10532+(-0.425748--1.279896))+0--241.7-0.493067999999989</f>
        <v>3299.25576</v>
      </c>
      <c r="AC119" s="3">
        <f>3491.2+(209.6-637)+(-7.122048+(-0.427584--1.29948))+0--241.8-0.493271999999989</f>
        <v>3298.8565759999997</v>
      </c>
      <c r="AD119">
        <f t="shared" si="1"/>
        <v>73893.040181000018</v>
      </c>
      <c r="AE119" s="3">
        <f>3459+(253.8-609.8)+(0+(0-0))+0--262-0</f>
        <v>3365</v>
      </c>
    </row>
    <row r="120" spans="1:31" s="2" customFormat="1" x14ac:dyDescent="0.25">
      <c r="A120">
        <v>89</v>
      </c>
      <c r="B120">
        <v>4</v>
      </c>
      <c r="C120">
        <v>27</v>
      </c>
      <c r="D120">
        <v>2</v>
      </c>
      <c r="E120">
        <v>1</v>
      </c>
      <c r="F120" s="3">
        <f>3462.4+(196.6-681.4)+(-7.063296+(-0.401064--1.390056))+0--241.9-0.493475999999989</f>
        <v>3212.9322200000001</v>
      </c>
      <c r="G120" s="3">
        <f>3485.2+(185-798.5)+(-1.777452+(-0.09435--0.407235))+0--241.9-0.123368999999975</f>
        <v>3112.012064</v>
      </c>
      <c r="H120" s="3">
        <f>3516.7+(181.4-906.8)+(0+(0-0))+0--242-0</f>
        <v>3033.2999999999997</v>
      </c>
      <c r="I120" s="3">
        <f>3455.2+(176.5-901.3)+(-5.286456+(-0.270045--1.378989))+0--242.3-0.370719000000014</f>
        <v>2968.1517689999996</v>
      </c>
      <c r="J120" s="3">
        <f>3435.3+(176.7-925.5)+(-3.504006+(-0.180234--0.94401))+0--246.2-0.251124000000039</f>
        <v>2929.708646</v>
      </c>
      <c r="K120" s="3">
        <f>3319+(204.8-896.2)+(-8.46345+(-0.52224--2.28531))+0--246.7-0.629084999999964</f>
        <v>2866.9705349999995</v>
      </c>
      <c r="L120" s="3">
        <f>2805+(331.1-704.9)+(-5.7222+(-0.675444--1.437996))+0--241.2-0.492047999999989</f>
        <v>2666.9483039999996</v>
      </c>
      <c r="M120" s="3">
        <f>2801.7+(330.5-722.1)+(-1.428867+(-0.168555--0.368271))+0--241.3-0.123062999999976</f>
        <v>2650.0477860000001</v>
      </c>
      <c r="N120" s="3">
        <f>3225.5+(218.5-912.2)+(-3.29001+(-0.22287--0.930444))+0--235.2-0.239904000000038</f>
        <v>2764.1776599999998</v>
      </c>
      <c r="O120" s="3">
        <f>3431.4+(190.5-993.2)+(1.750014+(0.097155-0.506532))+0--233.8--0.119237999999976</f>
        <v>2863.9598749999996</v>
      </c>
      <c r="P120" s="3">
        <f>3420+(190.4-874.5)+(1.7442+(0.097104-0.445995))+0--233.2--0.118931999999976</f>
        <v>2970.6142409999998</v>
      </c>
      <c r="Q120" s="3">
        <f>3367.8+(197.1-678.9)+(3.435156+(0.201042-0.692478))+0--232.1--0.236742000000037</f>
        <v>3121.2804620000002</v>
      </c>
      <c r="R120" s="3">
        <f>3346.9+(307.9-561.1)+(1.706919+(0.157029-0.286161))+0--232--0.118319999999976</f>
        <v>3327.396107</v>
      </c>
      <c r="S120" s="3">
        <f>3314.6+(391.9-554.2)+(1.690446+(0.199869-0.282642))+0--231.4--0.118013999999977</f>
        <v>3385.4256869999999</v>
      </c>
      <c r="T120" s="3">
        <f>3284.8+(446.2-530.1)+(3.350496+(0.455124-0.540702))+0--232--0.236640000000037</f>
        <v>3436.401558</v>
      </c>
      <c r="U120" s="3">
        <f>3273.9+(449.2-533.1)+(3.339378+(0.458184-0.543762))+0--234.3--0.238986000000037</f>
        <v>3427.792786</v>
      </c>
      <c r="V120" s="3">
        <f>3269.5+(411.6-517.4)+(1.667445+(0.209916-0.263874))+0--234.6--0.119645999999976</f>
        <v>3400.0331329999999</v>
      </c>
      <c r="W120" s="3">
        <f>3281.1+(238.5-486.9)+(0+(0-0))+0--234.7-0</f>
        <v>3267.3999999999996</v>
      </c>
      <c r="X120" s="3">
        <f>3264.4+(219.4-705.5)+(-4.994532+(-0.335682--1.079415))+0--236.3-0.361539000000014</f>
        <v>3009.9876620000005</v>
      </c>
      <c r="Y120" s="3">
        <f>3205.1+(221.7-871.7)+(-1.634601+(-0.113067--0.444567))+0--236.6-0.120665999999976</f>
        <v>2790.276233</v>
      </c>
      <c r="Z120" s="3">
        <f>3321.3+(190.6-698.8)+(1.693863+(0.097206-0.356388))+0--236.9--0.120818999999976</f>
        <v>3051.5555000000004</v>
      </c>
      <c r="AA120" s="3">
        <f>3471.6+(202-660.3)+(0+(0-0))+0--237.1-0</f>
        <v>3250.4</v>
      </c>
      <c r="AB120" s="3">
        <f>3460.3+(181.4-640.3)+(-7.059012+(-0.370056--1.306212))+0--237.4-0.48429599999999</f>
        <v>3232.1928480000001</v>
      </c>
      <c r="AC120" s="3">
        <f>3450.8+(216.5-645.1)+(-3.519816+(-0.22083--0.658002))+0--237.6-0.242352000000038</f>
        <v>3256.4750039999999</v>
      </c>
      <c r="AD120">
        <f t="shared" si="1"/>
        <v>73995.44008</v>
      </c>
      <c r="AE120" s="3">
        <f>3479+(198.7-638.9)+(0+(0-0))+0--236-0</f>
        <v>3274.8</v>
      </c>
    </row>
    <row r="121" spans="1:31" s="2" customFormat="1" x14ac:dyDescent="0.25">
      <c r="A121">
        <v>89</v>
      </c>
      <c r="B121">
        <v>4</v>
      </c>
      <c r="C121">
        <v>28</v>
      </c>
      <c r="D121">
        <v>3</v>
      </c>
      <c r="E121">
        <v>1</v>
      </c>
      <c r="F121" s="3">
        <f>3448.3+(230-646.5)+(-5.275899+(-0.3519--0.989145))+0--236.5-0.361845000000014</f>
        <v>3263.2995010000004</v>
      </c>
      <c r="G121" s="3">
        <f>3454+(223.4-750)+(-3.52308+(-0.227868--0.765))+0--237.1-0.241842000000038</f>
        <v>3161.2722100000001</v>
      </c>
      <c r="H121" s="3">
        <f>3476.6+(215.6-855.3)+(-7.092264+(-0.439824--1.744812))+0--237.7-0.48490799999999</f>
        <v>3068.327816</v>
      </c>
      <c r="I121" s="3">
        <f>3334.9+(242-795.2)+(-5.102397+(-0.37026--1.216656))+0--237.9-0.363987000000014</f>
        <v>3014.9800119999995</v>
      </c>
      <c r="J121" s="3">
        <f>3202.4+(269.8-735.7)+(-3.266448+(-0.275196--0.750414))+0--237.6-0.242352000000038</f>
        <v>2971.0664179999999</v>
      </c>
      <c r="K121" s="3">
        <f>2995+(305.8-633.8)+(-6.1098+(-0.623832--1.292952))+0--238.4-0.48633599999999</f>
        <v>2899.472984</v>
      </c>
      <c r="L121" s="3">
        <f>2753.1+(455.4-656.2)+(-5.616324+(-0.929016--1.338648))+0--238.9-0.48735599999999</f>
        <v>2785.5059519999995</v>
      </c>
      <c r="M121" s="3">
        <f>2824.1+(430.9-732.3)+(-4.320873+(-0.659277--1.120419))+0--238.7-0.365211000000014</f>
        <v>2757.1750579999998</v>
      </c>
      <c r="N121" s="3">
        <f>3040+(343.6-764.1)+(1.5504+(0.175236-0.389691))+0--238--0.121379999999976</f>
        <v>2858.9573249999999</v>
      </c>
      <c r="O121" s="3">
        <f>3217.5+(316.8-808.5)+(1.640925+(0.161568-0.412335))+0--238.8--0.121787999999976</f>
        <v>2966.1119460000004</v>
      </c>
      <c r="P121" s="3">
        <f>3298.5+(323.5-779.7)+(0+(0-0))+0--233.3-0</f>
        <v>3075.6000000000004</v>
      </c>
      <c r="Q121" s="3">
        <f>3309.1+(341.2-628.6)+(1.687641+(0.174012-0.320586))+0--235--0.119849999999976</f>
        <v>3258.360917</v>
      </c>
      <c r="R121" s="3">
        <f>3361.9+(370.6-519.1)+(-1.714569+(-0.189006--0.264741))+0--354.9-0.180998999999964</f>
        <v>3566.4801670000002</v>
      </c>
      <c r="S121" s="3">
        <f>3345+(483.6-627.8)+(-1.70595+(-0.246636--0.320178))+0--362.2-0.184721999999963</f>
        <v>3561.1828700000001</v>
      </c>
      <c r="T121" s="3">
        <f>3304.8+(548-620.3)+(3.370896+(0.55896-0.632706))+0--363.2--0.370464000000058</f>
        <v>3599.3676139999998</v>
      </c>
      <c r="U121" s="3">
        <f>3289.4+(566.1-603.5)+(1.677594+(0.288711-0.307785))+0--361.5--0.184364999999963</f>
        <v>3615.342885</v>
      </c>
      <c r="V121" s="3">
        <f>3267.7+(533.4-581.6)+(-3.333054+(-0.544068--0.593232))+0--360.5-0.367710000000057</f>
        <v>3576.3483999999999</v>
      </c>
      <c r="W121" s="3">
        <f>3264.5+(357.7-544.6)+(-6.65958+(-0.729708--1.110984))+0--361.3-0.737051999999984</f>
        <v>3431.8846440000002</v>
      </c>
      <c r="X121" s="3">
        <f>3277.9+(322.8-820.8)+(-6.686916+(-0.658512--1.674432))+0--362.1-0.738683999999984</f>
        <v>3135.5903200000002</v>
      </c>
      <c r="Y121" s="3">
        <f>3116.4+(334-906.7)+(0+(0-0))+0--361.9-0</f>
        <v>2905.6</v>
      </c>
      <c r="Z121" s="3">
        <f>3255.1+(323.3-750)+(1.660101+(0.164883-0.3825))+0--364.7--0.185996999999963</f>
        <v>3194.7284810000001</v>
      </c>
      <c r="AA121" s="3">
        <f>3406.7+(339.9-709.7)+(-3.474834+(-0.346698--0.723894))+0--366.2-0.373524000000058</f>
        <v>3399.6288379999992</v>
      </c>
      <c r="AB121" s="3">
        <f>3430.6+(337.3-719.5)+(-1.749606+(-0.172023--0.366945))+0--365.8-0.186557999999963</f>
        <v>3412.4587580000002</v>
      </c>
      <c r="AC121" s="3">
        <f>3440.4+(340-734)+(0+(0-0))+0--365.4-0</f>
        <v>3411.8</v>
      </c>
      <c r="AD121">
        <f t="shared" si="1"/>
        <v>76890.543116000001</v>
      </c>
      <c r="AE121" s="3">
        <f>3429+(336.8-711.8)+(0+(0-0))+0--361-0</f>
        <v>3415</v>
      </c>
    </row>
    <row r="122" spans="1:31" s="2" customFormat="1" x14ac:dyDescent="0.25">
      <c r="A122">
        <v>89</v>
      </c>
      <c r="B122">
        <v>4</v>
      </c>
      <c r="C122">
        <v>29</v>
      </c>
      <c r="D122">
        <v>4</v>
      </c>
      <c r="E122">
        <v>1</v>
      </c>
      <c r="F122" s="3">
        <f>3429.7+(176.5-823.8)+(-6.996588+(-0.36006--1.680552))+0--332-0.677279999999986</f>
        <v>3108.0466239999996</v>
      </c>
      <c r="G122" s="3">
        <f>3438.8+(168-890.9)+(-10.522728+(-0.51408--2.726154))+0--333.1-1.01928600000004</f>
        <v>3039.6700599999999</v>
      </c>
      <c r="H122" s="3">
        <f>3394.8+(177.5-939.9)+(-5.194044+(-0.271575--1.438047))+0--321.4-0.491742000000019</f>
        <v>2949.2806860000001</v>
      </c>
      <c r="I122" s="3">
        <f>3393.9+(169.5-998.1)+(-5.192667+(-0.259335--1.527093))+0--321.5-0.491895000000019</f>
        <v>2882.3831960000002</v>
      </c>
      <c r="J122" s="3">
        <f>3377.8+(155.3-1012.5)+(3.445356+(0.158406-1.03275))+0--321.6--0.328032000000051</f>
        <v>2845.099044</v>
      </c>
      <c r="K122" s="3">
        <f>3241.4+(187.7-959.5)+(-3.306228+(-0.191454--0.97869))+0--322.5-0.328950000000051</f>
        <v>2789.2520580000005</v>
      </c>
      <c r="L122" s="3">
        <f>2816.9+(288.8-804.9)+(-8.619714+(-0.883728--2.462994))+0--317.1-0.970326000000037</f>
        <v>2609.8892259999998</v>
      </c>
      <c r="M122" s="3">
        <f>2724.1+(308.4-766)+(1.389291+(0.157284-0.39066))+0--298.5--0.15223499999997</f>
        <v>2566.3081499999998</v>
      </c>
      <c r="N122" s="3">
        <f>3005.8+(209.7-928.4)+(1.532958+(0.106947-0.473484))+0--374.5--0.190994999999962</f>
        <v>2662.9574160000002</v>
      </c>
      <c r="O122" s="3">
        <f>3218.7+(179.7-988.1)+(3.283074+(0.183294-1.007862))+0--370.6--0.378012000000059</f>
        <v>2783.7365179999997</v>
      </c>
      <c r="P122" s="3">
        <f>3343.4+(181.7-972.2)+(3.410268+(0.185334-0.991644))+0--367.4--0.374748000000059</f>
        <v>2923.2787060000005</v>
      </c>
      <c r="Q122" s="3">
        <f>3375.4+(187.6-840.8)+(1.721454+(0.095676-0.428808))+0--363.6--0.185435999999963</f>
        <v>3087.3737579999997</v>
      </c>
      <c r="R122" s="3">
        <f>3341.7+(203.5-645.1)+(5.112801+(0.311355-0.987003))+0--363.7--0.556461000000021</f>
        <v>3268.7936139999997</v>
      </c>
      <c r="S122" s="3">
        <f>3298.2+(318.9-665.7)+(1.682082+(0.162639-0.339507))+0--363.8--0.185537999999963</f>
        <v>3316.8907519999998</v>
      </c>
      <c r="T122" s="3">
        <f>3271.7+(415-687)+(6.674268+(0.8466-1.40148))+0--357--0.728279999999984</f>
        <v>3363.5476679999997</v>
      </c>
      <c r="U122" s="3">
        <f>3260.5+(426-624.6)+(1.662855+(0.21726-0.318546))+0--309.3--0.157742999999969</f>
        <v>3372.919312</v>
      </c>
      <c r="V122" s="3">
        <f>3256.6+(396.5-585)+(-1.660866+(-0.202215--0.29835))+0--263.8-0.134537999999973</f>
        <v>3330.2007310000004</v>
      </c>
      <c r="W122" s="3">
        <f>3269.7+(219.7-538.6)+(-5.002641+(-0.336141--0.824058))+0--265.5-0.406215000000015</f>
        <v>3211.3790609999996</v>
      </c>
      <c r="X122" s="3">
        <f>3269.5+(217.8-891.7)+(-5.002335+(-0.333234--1.364301))+0--364.5-0.557685000000021</f>
        <v>2955.5710469999999</v>
      </c>
      <c r="Y122" s="3">
        <f>3107.5+(212.8-954.7)+(-4.754475+(-0.325584--1.460691))+0--395.8-0.605574000000023</f>
        <v>2757.1750579999998</v>
      </c>
      <c r="Z122" s="3">
        <f>3282.9+(195.5-812.2)+(0+(0-0))+0--395.5-0</f>
        <v>3061.7</v>
      </c>
      <c r="AA122" s="3">
        <f>3404.9+(199.6-720.8)+(-1.736499+(-0.101796--0.367608))+0--390.7-0.19925699999996</f>
        <v>3272.7300560000003</v>
      </c>
      <c r="AB122" s="3">
        <f>3426.8+(196.7-720.6)+(-3.495336+(-0.200634--0.735012))+0--366.7-0.374034000000058</f>
        <v>3266.2650079999999</v>
      </c>
      <c r="AC122" s="3">
        <f>3308.5+(194.6-630.4)+(3.37467+(0.198492-0.643008))+0--368.6--0.375972000000059</f>
        <v>3244.6061260000001</v>
      </c>
      <c r="AD122">
        <f t="shared" si="1"/>
        <v>72669.053874999998</v>
      </c>
      <c r="AE122" s="3">
        <f>3411+(207-710.5)+(0+(0-0))+0--396-0</f>
        <v>3303.5</v>
      </c>
    </row>
    <row r="123" spans="1:31" s="2" customFormat="1" x14ac:dyDescent="0.25">
      <c r="A123">
        <v>89</v>
      </c>
      <c r="B123">
        <v>4</v>
      </c>
      <c r="C123">
        <v>30</v>
      </c>
      <c r="D123">
        <v>5</v>
      </c>
      <c r="E123">
        <v>1</v>
      </c>
      <c r="F123" s="3">
        <f>3191.8+(381.5-621.5)+(0+(0-0))+0--367.2-0</f>
        <v>3319</v>
      </c>
      <c r="G123" s="3">
        <f>3231.9+(367.2-764.4)+(-1.648269+(-0.187272--0.389844))+0--367.4-0.187373999999963</f>
        <v>3200.4669290000002</v>
      </c>
      <c r="H123" s="3">
        <f>3348.6+(330.1-928.4)+(1.707786+(0.168351-0.473484))+0--365.4--0.186353999999963</f>
        <v>3117.2890070000003</v>
      </c>
      <c r="I123" s="3">
        <f>3458.5+(305.8-1064.6)+(-1.763835+(-0.155958--0.542946))+0--366.8-0.187067999999963</f>
        <v>3064.9360849999998</v>
      </c>
      <c r="J123" s="3">
        <f>3498.7+(295.3-1116)+(-3.568674+(-0.301206--1.13832))+0--350.9-0.357918000000056</f>
        <v>3025.8105219999998</v>
      </c>
      <c r="K123" s="3">
        <f>3277.6+(357-975.9)+(-1.671576+(-0.18207--0.497709))+0--303.8-0.154937999999969</f>
        <v>2960.9891250000001</v>
      </c>
      <c r="L123" s="3">
        <f>2948.5+(401.1-870.8)+(-1.503735+(-0.204561--0.444108))+0--266.3-0.135812999999973</f>
        <v>2743.6999990000004</v>
      </c>
      <c r="M123" s="3">
        <f>2792.3+(420.2-718.2)+(-1.424073+(-0.214302--0.366282))+0--244.8-0.124847999999975</f>
        <v>2737.7030590000004</v>
      </c>
      <c r="N123" s="3">
        <f>2906.3+(408.5-717.9)+(-1.482213+(-0.208335--0.366129))+0--261-0.133109999999974</f>
        <v>2856.4424710000003</v>
      </c>
      <c r="O123" s="3">
        <f>3154.2+(351.9-888.7)+(0+(0-0))+0--317.4-0</f>
        <v>2934.7999999999997</v>
      </c>
      <c r="P123" s="3">
        <f>3411.4+(314-1003.4)+(-1.739814+(-0.16014--0.511734))+0--393.5-0.20068499999996</f>
        <v>3113.9110950000004</v>
      </c>
      <c r="Q123" s="3">
        <f>3379.8+(322.3-795)+(1.723698+(0.164373-0.40545))+0--409.4--0.208793999999958</f>
        <v>3318.1914150000007</v>
      </c>
      <c r="R123" s="3">
        <f>3341.9+(464.9-587)+(-1.704369+(-0.237099--0.29937))+16--407.6-0.207875999999959</f>
        <v>3641.5500260000003</v>
      </c>
      <c r="S123" s="3">
        <f>3325.4+(434.9-662.4)+(-1.695954+(-0.221799--0.337824))+96--391-0.19940999999996</f>
        <v>3583.1206609999999</v>
      </c>
      <c r="T123" s="3">
        <f>3305.1+(491.8-679.8)+(5.056803+(0.752454-1.040094))+96--386.4--0.591192000000022</f>
        <v>3604.8603549999998</v>
      </c>
      <c r="U123" s="3">
        <f>3297.1+(500.6-652.1)+(0+(0-0))+96--388.3-0</f>
        <v>3629.9</v>
      </c>
      <c r="V123" s="3">
        <f>3300.2+(457-630.1)+(-1.683102+(-0.23307--0.321351))+96--388.8-0.198287999999961</f>
        <v>3610.1068909999999</v>
      </c>
      <c r="W123" s="3">
        <f>3276.2+(340-588.1)+(-5.012586+(-0.5202--0.899793))+64--363-0.555390000000021</f>
        <v>3449.9116169999998</v>
      </c>
      <c r="X123" s="3">
        <f>3292.5+(337.8-847.1)+(-5.037525+(-0.516834--1.296063))+0--364.9-0.558297000000021</f>
        <v>3143.2834069999999</v>
      </c>
      <c r="Y123" s="3">
        <f>3092.1+(317.3-858.1)+(1.576971+(0.161823-0.437631))+0--365.3--0.186302999999963</f>
        <v>2918.0874660000004</v>
      </c>
      <c r="Z123" s="3">
        <f>3285.3+(326.4-769.3)+(3.351006+(0.332928-0.784686))+0--365.4--0.372708000000058</f>
        <v>3211.0719560000002</v>
      </c>
      <c r="AA123" s="3">
        <f>3459.1+(338.8-737.7)+(-1.764141+(-0.172788--0.376227))+0--365.7-0.186506999999963</f>
        <v>3424.1527909999995</v>
      </c>
      <c r="AB123" s="3">
        <f>3475+(337.6-753.5)+(-1.77225+(-0.172176--0.384285))+0--367.8-0.187577999999963</f>
        <v>3425.1522810000001</v>
      </c>
      <c r="AC123" s="3">
        <f>3492.1+(341.4-773.1)+(-3.561942+(-0.348228--0.788562))+0--367.3-0.374646000000059</f>
        <v>3424.2037459999997</v>
      </c>
      <c r="AD123">
        <f t="shared" si="1"/>
        <v>77458.640904</v>
      </c>
      <c r="AE123" s="3">
        <f>3480+(203.5-665.2)+(0+(0-0))+0--366-0</f>
        <v>3384.3</v>
      </c>
    </row>
    <row r="124" spans="1:31" s="2" customFormat="1" x14ac:dyDescent="0.25">
      <c r="A124">
        <v>89</v>
      </c>
      <c r="B124">
        <v>4</v>
      </c>
      <c r="C124">
        <v>31</v>
      </c>
      <c r="D124">
        <v>6</v>
      </c>
      <c r="E124">
        <v>1</v>
      </c>
      <c r="F124" s="3">
        <f>3461+(193.9-831.8)+(-3.53022+(-0.197778--0.848436))+0--366-0.373320000000058</f>
        <v>3185.8471179999997</v>
      </c>
      <c r="G124" s="3">
        <f>3488.2+(184-955)+(3.557964+(0.18768-0.9741))+0--365.8--0.373116000000058</f>
        <v>3086.1446600000004</v>
      </c>
      <c r="H124" s="3">
        <f>3511.3+(178.8-1041.7)+(-7.163052+(-0.364752--2.125068))+0--366.5-0.747659999999984</f>
        <v>3008.7496040000001</v>
      </c>
      <c r="I124" s="3">
        <f>3530.2+(175.6-1100.9)+(-9.00201+(-0.44778--2.807295))+0--366.6-0.934829999999947</f>
        <v>2963.9226749999993</v>
      </c>
      <c r="J124" s="3">
        <f>3538.5+(173-1142.3)+(1.804635+(0.08823-0.582573))+0--366.5--0.186914999999963</f>
        <v>2937.1972069999997</v>
      </c>
      <c r="K124" s="3">
        <f>3360.4+(212.5-1044)+(-8.56902+(-0.541875--2.6622))+0--367.6-0.937379999999947</f>
        <v>2889.1139250000001</v>
      </c>
      <c r="L124" s="3">
        <f>2822.9+(330.9-834.6)+(-2.879358+(-0.337518--0.851292))+0--367.6-0.374952000000059</f>
        <v>2684.0594639999995</v>
      </c>
      <c r="M124" s="3">
        <f>2905.9+(335.7-901.4)+(-1.482009+(-0.171207--0.459714))+0--290.1-0.147950999999971</f>
        <v>2628.9585469999997</v>
      </c>
      <c r="N124" s="3">
        <f>3346+(242.4-1153.3)+(1.70646+(0.123624-0.588183))+0--346.3--0.176612999999965</f>
        <v>2782.8185140000001</v>
      </c>
      <c r="O124" s="3">
        <f>3442.6+(206.2-1178.1)+(0+(0-0))+0--393.5-0</f>
        <v>2864.2</v>
      </c>
      <c r="P124" s="3">
        <f>3434.2+(192.6-1034.1)+(0+(0-0))+0--393.5-0</f>
        <v>2986.2</v>
      </c>
      <c r="Q124" s="3">
        <f>3436.1+(193.5-886.3)+(0+(0-0))+0--388.2-0</f>
        <v>3131.5</v>
      </c>
      <c r="R124" s="3">
        <f>3425.2+(197.3-723.1)+(1.746852+(0.100623-0.368781))+0--383.9--0.195788999999961</f>
        <v>3284.9744829999995</v>
      </c>
      <c r="S124" s="3">
        <f>3375.5+(275.9-726.3)+(1.721505+(0.140709-0.370413))+0--374.6--0.191045999999962</f>
        <v>3301.3828469999999</v>
      </c>
      <c r="T124" s="3">
        <f>3338.9+(351.9-720.9)+(3.405678+(0.358938-0.735318))+0--341.8--0.348636000000055</f>
        <v>3315.0779340000004</v>
      </c>
      <c r="U124" s="3">
        <f>3305.3+(347.8-702.8)+(0+(0-0))+0--339.1-0</f>
        <v>3289.4</v>
      </c>
      <c r="V124" s="3">
        <f>3276+(304.4-661.2)+(0+(0-0))+0--337-0</f>
        <v>3256.2</v>
      </c>
      <c r="W124" s="3">
        <f>3269.7+(220.6-686.8)+(-3.335094+(-0.225012--0.700536))+0--355.5-0.362610000000057</f>
        <v>3155.7778199999998</v>
      </c>
      <c r="X124" s="3">
        <f>3247.5+(260.3-936.9)+(-9.93735+(-0.796518--2.866914))+0--363.6-1.11261600000004</f>
        <v>2925.52043</v>
      </c>
      <c r="Y124" s="3">
        <f>2836+(305.9-785.3)+(-1.44636+(-0.156009--0.400503))+0--364.4-0.185843999999963</f>
        <v>2719.61229</v>
      </c>
      <c r="Z124" s="3">
        <f>3107.9+(216.8-704.5)+(-6.340116+(-0.442272--1.43718))+0--366.6-0.747863999999984</f>
        <v>2980.7069280000001</v>
      </c>
      <c r="AA124" s="3">
        <f>3450.9+(204.2-792.7)+(-7.039836+(-0.416568--1.617108))+0--365.8-0.746231999999984</f>
        <v>3221.6144720000002</v>
      </c>
      <c r="AB124" s="3">
        <f>3464.9+(203-820.1)+(0+(0-0))+0--365-0</f>
        <v>3212.8</v>
      </c>
      <c r="AC124" s="3">
        <f>3475.3+(198.2-833.3)+(-3.544806+(-0.202164--0.849966))+0--367.2-0.374544000000059</f>
        <v>3204.1284519999999</v>
      </c>
      <c r="AD124">
        <f t="shared" si="1"/>
        <v>73015.907370000001</v>
      </c>
      <c r="AE124" s="3">
        <f>3465+(186.9-765.3)+(0+(0-0))+0--363-0</f>
        <v>3249.6</v>
      </c>
    </row>
    <row r="125" spans="1:31" s="2" customFormat="1" x14ac:dyDescent="0.25">
      <c r="A125">
        <v>89</v>
      </c>
      <c r="B125">
        <v>5</v>
      </c>
      <c r="C125">
        <v>1</v>
      </c>
      <c r="D125">
        <v>7</v>
      </c>
      <c r="E125">
        <v>1</v>
      </c>
      <c r="F125" s="3">
        <f>3472.2+(220.5-825.5)+(-1.770822+(-0.112455--0.421005))+0--367.5-0.187424999999963</f>
        <v>3233.0503029999995</v>
      </c>
      <c r="G125" s="3">
        <f>3479+(212.4-901)+(-10.64574+(-0.649944--2.75706))+0--368.8-1.12852800000004</f>
        <v>3149.5328480000003</v>
      </c>
      <c r="H125" s="3">
        <f>3381.4+(207-886)+(-8.62257+(-0.52785--2.2593))+0--369.7-0.942734999999946</f>
        <v>3064.2661450000001</v>
      </c>
      <c r="I125" s="3">
        <f>3387+(208.1-960)+(1.72737+(0.106131-0.4896))+0--369.4--0.188393999999963</f>
        <v>3006.032295</v>
      </c>
      <c r="J125" s="3">
        <f>3392+(187.3-999.5)+(-1.72992+(-0.095523--0.509745))+0--369.1-0.188240999999963</f>
        <v>2947.3960610000004</v>
      </c>
      <c r="K125" s="3">
        <f>3325+(252.8-1016)+(-3.3915+(-0.257856--1.03632))+0--371.1-0.378522000000059</f>
        <v>2929.9084419999999</v>
      </c>
      <c r="L125" s="3">
        <f>2759.7+(372.4-704.3)+(-1.407447+(-0.189924--0.359193))+0--279.4-0.142493999999972</f>
        <v>2705.8193279999996</v>
      </c>
      <c r="M125" s="3">
        <f>2766.9+(351.5-717)+(-1.411119+(-0.179265--0.36567))+0--215.8-0.110057999999978</f>
        <v>2615.8652280000006</v>
      </c>
      <c r="N125" s="3">
        <f>2888.6+(314.3-787)+(0+(0-0))+0--220.6-0</f>
        <v>2636.5</v>
      </c>
      <c r="O125" s="3">
        <f>3187+(237.5-951.5)+(1.62537+(0.121125-0.485265))+0--220.6--0.112505999999978</f>
        <v>2694.9737359999999</v>
      </c>
      <c r="P125" s="3">
        <f>3409.3+(213.2-1130.9)+(-3.477486+(-0.217464--1.153518))+0--341.3-0.348126000000054</f>
        <v>2830.0104420000007</v>
      </c>
      <c r="Q125" s="3">
        <f>3405.1+(225.9-1023.9)+(1.736601+(0.115209-0.522189))+0--361.4--0.184313999999963</f>
        <v>2970.0139349999999</v>
      </c>
      <c r="R125" s="3">
        <f>3417.9+(222.3-874.6)+(-3.486258+(-0.226746--0.892092))+0--361.6-0.368832000000058</f>
        <v>3124.010256</v>
      </c>
      <c r="S125" s="3">
        <f>3374.1+(230.6-787.9)+(-1.720791+(-0.117606--0.401829))+0--368.9-0.188138999999963</f>
        <v>3184.0752930000003</v>
      </c>
      <c r="T125" s="3">
        <f>3335+(300.2-741.6)+(-3.4017+(-0.306204--0.756432))+0--385.3-0.393006000000061</f>
        <v>3275.5555219999997</v>
      </c>
      <c r="U125" s="3">
        <f>3321.6+(300.6-726)+(0+(0-0))+0--385.4-0</f>
        <v>3281.6</v>
      </c>
      <c r="V125" s="3">
        <f>3316.1+(294.3-776.1)+(0+(0-0))+0--384.2-0</f>
        <v>3218.4999999999995</v>
      </c>
      <c r="W125" s="3">
        <f>3309.4+(235.7-855.6)+(-6.751176+(-0.480828--1.745424))+0--365.1-0.744803999999984</f>
        <v>3048.3686160000002</v>
      </c>
      <c r="X125" s="3">
        <f>3035.4+(272.8-925)+(-3.096108+(-0.278256--0.9435))+0--364.8-0.372096000000058</f>
        <v>2745.19704</v>
      </c>
      <c r="Y125" s="3">
        <f>2541.5+(346.3-719.4)+(0+(0-0))+0--327.5-0</f>
        <v>2495.9</v>
      </c>
      <c r="Z125" s="3">
        <f>3000.1+(240.2-759.9)+(-3.060102+(-0.245004--0.775098))+0--334.7-0.341394000000053</f>
        <v>2812.2285979999992</v>
      </c>
      <c r="AA125" s="3">
        <f>3436.5+(223.6-947.3)+(0+(0-0))+0--365.1-0</f>
        <v>3077.9</v>
      </c>
      <c r="AB125" s="3">
        <f>3443.4+(227.3-900.6)+(-3.512268+(-0.231846--0.918612))+0--365.9-0.373218000000058</f>
        <v>3132.8012800000001</v>
      </c>
      <c r="AC125" s="3">
        <f>3423.1+(227.9-837.3)+(-1.745781+(-0.116229--0.427023))+0--366.2-0.186761999999963</f>
        <v>3178.2782509999997</v>
      </c>
      <c r="AD125">
        <f t="shared" si="1"/>
        <v>71357.783619000009</v>
      </c>
      <c r="AE125" s="3">
        <f>3447+(197.6-949.7)+(0+(0-0))+0--369.4-0</f>
        <v>3064.3</v>
      </c>
    </row>
    <row r="126" spans="1:31" s="2" customFormat="1" x14ac:dyDescent="0.25">
      <c r="A126">
        <v>89</v>
      </c>
      <c r="B126">
        <v>5</v>
      </c>
      <c r="C126">
        <v>2</v>
      </c>
      <c r="D126">
        <v>1</v>
      </c>
      <c r="E126">
        <v>1</v>
      </c>
      <c r="F126" s="3">
        <f>3410.5+(200.5-937.2)+(-1.739355+(-0.102255--0.477972))+0--365.7-0.186506999999963</f>
        <v>3037.9498550000003</v>
      </c>
      <c r="G126" s="3">
        <f>3422.6+(212.2-1009.7)+(1.745526+(0.108222-0.514947))+0--365.4--0.186353999999963</f>
        <v>2992.0251549999998</v>
      </c>
      <c r="H126" s="3">
        <f>3346.8+(220.8-1026.6)+(1.706868+(0.112608-0.523566))+0--366.1--0.186710999999963</f>
        <v>2908.5826209999996</v>
      </c>
      <c r="I126" s="3">
        <f>3340.2+(210.9-1062.2)+(-3.407004+(-0.215118--1.083444))+0--366.7-0.374034000000058</f>
        <v>2852.6872879999996</v>
      </c>
      <c r="J126" s="3">
        <f>3355.9+(210.2-1105.2)+(0+(0-0))+0--366.9-0</f>
        <v>2827.8</v>
      </c>
      <c r="K126" s="3">
        <f>3329.4+(225-1120.8)+(-3.395988+(-0.2295--1.143216))+0--367.2-0.374544000000059</f>
        <v>2797.9431839999997</v>
      </c>
      <c r="L126" s="3">
        <f>2809+(329.8-894.6)+(0+(0-0))+0--368.1-0</f>
        <v>2612.2999999999997</v>
      </c>
      <c r="M126" s="3">
        <f>2862.4+(331.9-972.1)+(2.919648+(0.338538-0.991542))+0--367.5--0.374850000000059</f>
        <v>2592.3414939999998</v>
      </c>
      <c r="N126" s="3">
        <f>3385.8+(207.1-1229.9)+(-3.453516+(-0.211242--1.254498))+0--366.9-0.374238000000058</f>
        <v>2727.1155020000001</v>
      </c>
      <c r="O126" s="3">
        <f>3362.5+(206.9-1122)+(0+(0-0))+0--364.9-0</f>
        <v>2812.3</v>
      </c>
      <c r="P126" s="3">
        <f>3451.1+(202-1085.3)+(1.760061+(0.10302-0.553503))+0--364.4--0.185843999999963</f>
        <v>2933.6954220000002</v>
      </c>
      <c r="Q126" s="3">
        <f>3470.7+(188.6-1046.4)+(0+(0-0))+105--362.5-0</f>
        <v>3080.3999999999996</v>
      </c>
      <c r="R126" s="3">
        <f>3472.2+(177.4-862.8)+(1.770822+(0.090474-0.440028))+140--363.6--0.185435999999963</f>
        <v>3292.0067039999994</v>
      </c>
      <c r="S126" s="3">
        <f>3446.8+(169.5-803.3)+(1.757868+(0.086445-0.409683))+140--350--0.178499999999964</f>
        <v>3304.6131300000002</v>
      </c>
      <c r="T126" s="3">
        <f>3432+(176.6-756.1)+(1.75032+(0.090066-0.385611))+140--361.2--0.184211999999963</f>
        <v>3355.3389870000001</v>
      </c>
      <c r="U126" s="3">
        <f>3424.3+(179.5-749.1)+(1.746393+(0.091545-0.382041))+140--345.9--0.176408999999965</f>
        <v>3342.2323060000003</v>
      </c>
      <c r="V126" s="3">
        <f>3424.8+(179.2-771.6)+(-6.986592+(-0.365568--1.574064))+140--363.9-0.742355999999984</f>
        <v>3329.779548</v>
      </c>
      <c r="W126" s="3">
        <f>3421.6+(210.6-850.7)+(-3.490032+(-0.214812--0.867714))+11.7--364.4-0.371688000000058</f>
        <v>3154.3911819999998</v>
      </c>
      <c r="X126" s="3">
        <f>3316.5+(263.8-1021.3)+(-6.76566+(-0.538152--2.083452))+0--365.4-0.745415999999984</f>
        <v>2918.4342240000001</v>
      </c>
      <c r="Y126" s="3">
        <f>2951.2+(309.5-934.3)+(-3.010224+(-0.31569--0.952986))+0--365.5-0.372810000000058</f>
        <v>2689.154262</v>
      </c>
      <c r="Z126" s="3">
        <f>3197.9+(242.8-811.2)+(-3.261858+(-0.247656--0.827424))+0--365.9-0.373218000000058</f>
        <v>2992.3446920000001</v>
      </c>
      <c r="AA126" s="3">
        <f>3500+(197.5-865.3)+(-1.785+(-0.100725--0.441303))+0--365.6-0.186455999999963</f>
        <v>3196.1691219999998</v>
      </c>
      <c r="AB126" s="3">
        <f>3515.3+(196.3-884.8)+(0+(0-0))+0--365.8-0</f>
        <v>3192.6000000000004</v>
      </c>
      <c r="AC126" s="3">
        <f>3533.1+(193.2-915.6)+(-1.801881+(-0.098532--0.466956))+0--366.4-0.186863999999963</f>
        <v>3175.479679</v>
      </c>
      <c r="AD126">
        <f t="shared" si="1"/>
        <v>72117.684357000006</v>
      </c>
      <c r="AE126" s="3">
        <f>3508.4+(190.8-850.4)+(0+(0-0))+0--368.3-0</f>
        <v>3217.1000000000004</v>
      </c>
    </row>
    <row r="127" spans="1:31" s="2" customFormat="1" x14ac:dyDescent="0.25">
      <c r="A127">
        <v>89</v>
      </c>
      <c r="B127">
        <v>5</v>
      </c>
      <c r="C127">
        <v>3</v>
      </c>
      <c r="D127">
        <v>2</v>
      </c>
      <c r="E127">
        <v>1</v>
      </c>
      <c r="F127" s="3">
        <f>3518+(202-989)+(-5.38254+(-0.30906--1.51317))+0--367-0.561510000000021</f>
        <v>3093.2600600000001</v>
      </c>
      <c r="G127" s="3">
        <f>3518.5+(191.3-1157.6)+(-7.17774+(-0.390252--2.361504))+7.2--369.6-0.753983999999984</f>
        <v>2923.0395279999998</v>
      </c>
      <c r="H127" s="3">
        <f>3567.1+(163.5-1208.7)+(-3.638442+(-0.16677--1.232874))+0--367.4-0.374748000000059</f>
        <v>2886.3529139999996</v>
      </c>
      <c r="I127" s="3">
        <f>3475.1+(170.1-1175.6)+(0+(0-0))+0--368.1-0</f>
        <v>2837.7</v>
      </c>
      <c r="J127" s="3">
        <f>3428.5+(182.2-1181.1)+(0+(0-0))+0--371-0</f>
        <v>2800.6000000000004</v>
      </c>
      <c r="K127" s="3">
        <f>3191.9+(252-1048.9)+(-4.883607+(-0.38556--1.604817))+0--349.1-0.53412300000002</f>
        <v>2739.901527</v>
      </c>
      <c r="L127" s="3">
        <f>2857.6+(305-916)+(1.457376+(0.15555-0.46716))+0--242.5--0.123674999999975</f>
        <v>2490.3694409999998</v>
      </c>
      <c r="M127" s="3">
        <f>3205.6+(228.6-1116.7)+(3.269712+(0.233172-1.139034))+0--241.5--0.246330000000039</f>
        <v>2561.6101800000001</v>
      </c>
      <c r="N127" s="3">
        <f>3205.6+(235.8-1117.7)+(3.269712+(0.240516-1.140054))+0--285.2--0.290904000000045</f>
        <v>2611.5610779999997</v>
      </c>
      <c r="O127" s="3">
        <f>3314.8+(163.4-1141)+(3.381096+(0.166668-1.16382))+0--365.6--0.372912000000058</f>
        <v>2705.5568560000006</v>
      </c>
      <c r="P127" s="3">
        <f>3447.7+(164-1126.2)+(5.274981+(0.25092-1.723086))+0--365.7--0.559521000000021</f>
        <v>2855.562336</v>
      </c>
      <c r="Q127" s="3">
        <f>3465+(172.6-993.7)+(0+(0-0))+0--365.2-0</f>
        <v>3009.1</v>
      </c>
      <c r="R127" s="3">
        <f>3444.6+(181.8-775.9)+(-3.513492+(-0.185436--0.791418))+0--365.1-0.372402000000058</f>
        <v>3212.3200879999999</v>
      </c>
      <c r="S127" s="3">
        <f>3406+(183.4-709.1)+(-1.73706+(-0.093534--0.361641))+0--340.9-0.173858999999965</f>
        <v>3219.5571880000002</v>
      </c>
      <c r="T127" s="3">
        <f>3376.1+(190.4-653.5)+(1.721811+(0.097104-0.333285))+0--338--0.172379999999966</f>
        <v>3252.6580100000001</v>
      </c>
      <c r="U127" s="3">
        <f>3350.1+(200.4-621.3)+(3.417102+(0.204408-0.633726))+0--342.7--0.349554000000055</f>
        <v>3275.2373379999995</v>
      </c>
      <c r="V127" s="3">
        <f>3352.8+(197.7-648)+(-1.709928+(-0.100827--0.33048))+0--365.7-0.186506999999963</f>
        <v>3266.533218</v>
      </c>
      <c r="W127" s="3">
        <f>3339.6+(226.4-798.5)+(-8.51598+(-0.57732--2.036175))+0--364.2-0.928709999999947</f>
        <v>3123.7141649999999</v>
      </c>
      <c r="X127" s="3">
        <f>3234.6+(271-988.5)+(-8.24823+(-0.69105--2.520675))+0--367-0.935849999999947</f>
        <v>2876.7455450000002</v>
      </c>
      <c r="Y127" s="3">
        <f>3011.1+(254.5-945.2)+(-3.071322+(-0.25959--0.964104))+0--366.3-0.373626000000058</f>
        <v>2683.9595659999995</v>
      </c>
      <c r="Z127" s="3">
        <f>3292.4+(194.9-887.2)+(-5.037372+(-0.298197--1.357416))+0--380.5-0.582165000000022</f>
        <v>2976.0396820000001</v>
      </c>
      <c r="AA127" s="3">
        <f>3508.6+(188.7-902.8)+(-3.578772+(-0.192474--0.920856))+0--391-0.398820000000062</f>
        <v>3182.2507900000001</v>
      </c>
      <c r="AB127" s="3">
        <f>3536.2+(188.2-927.4)+(-1.803462+(-0.095982--0.472974))+0--391-0.19940999999996</f>
        <v>3186.3741199999999</v>
      </c>
      <c r="AC127" s="3">
        <f>3553.4+(186.3-921.4)+(0+(0-0))+0--391.3-0</f>
        <v>3209.6000000000004</v>
      </c>
      <c r="AD127">
        <f t="shared" si="1"/>
        <v>70979.603629999983</v>
      </c>
      <c r="AE127" s="3">
        <f>3542+(203-905.3)+(0+(0-0))+0--397.6-0</f>
        <v>3237.2999999999997</v>
      </c>
    </row>
    <row r="128" spans="1:31" s="2" customFormat="1" x14ac:dyDescent="0.25">
      <c r="A128">
        <v>89</v>
      </c>
      <c r="B128">
        <v>5</v>
      </c>
      <c r="C128">
        <v>4</v>
      </c>
      <c r="D128">
        <v>3</v>
      </c>
      <c r="E128">
        <v>1</v>
      </c>
      <c r="F128" s="3">
        <f>3524.2+(184.7-991.8)+(1.797342+(0.094197-0.505818))+0--389--0.198389999999961</f>
        <v>3107.684111</v>
      </c>
      <c r="G128" s="3">
        <f>3532.9+(199.6-1131.3)+(1.801779+(0.101796-0.576963))+0--390--0.19889999999996</f>
        <v>2992.725512</v>
      </c>
      <c r="H128" s="3">
        <f>3508.8+(196.6-1164)+(-1.789488+(-0.100266--0.59364))+0--375-0.191249999999962</f>
        <v>2914.912636</v>
      </c>
      <c r="I128" s="3">
        <f>3375.3+(246-1129.6)+(-5.164209+(-0.37638--1.728288))+0--368-0.563040000000021</f>
        <v>2855.3246590000003</v>
      </c>
      <c r="J128" s="3">
        <f>3275.5+(257.6-1085.9)+(-5.011515+(-0.394128--1.661427))+0--369-0.564570000000021</f>
        <v>2811.8912139999998</v>
      </c>
      <c r="K128" s="3">
        <f>3077.7+(321.6-992.4)+(-3.139254+(-0.328032--1.012248))+0--367-0.374340000000059</f>
        <v>2771.0706219999997</v>
      </c>
      <c r="L128" s="3">
        <f>2751.3+(360.5-887.6)+(-4.209489+(-0.551565--1.358028))+0--367-0.561510000000021</f>
        <v>2587.2354640000003</v>
      </c>
      <c r="M128" s="3">
        <f>2860+(317.9-944.1)+(0+(0-0))+0--305-0</f>
        <v>2538.8000000000002</v>
      </c>
      <c r="N128" s="3">
        <f>3153.9+(252.9-1095.3)+(1.608489+(0.128979-0.558603))+0--334--0.170339999999966</f>
        <v>2646.849205</v>
      </c>
      <c r="O128" s="3">
        <f>3283.2+(192.2-1161.8)+(0+(0-0))+0--365-0</f>
        <v>2678.6</v>
      </c>
      <c r="P128" s="3">
        <f>3430.7+(176-1122.9)+(0+(0-0))+0--362-0</f>
        <v>2845.7999999999997</v>
      </c>
      <c r="Q128" s="3">
        <f>3450.9+(188.3-964.5)+(0+(0-0))+0--360-0</f>
        <v>3034.7</v>
      </c>
      <c r="R128" s="3">
        <f>3431.3+(327-788.5)+(0+(0-0))+0--363.2-0</f>
        <v>3333</v>
      </c>
      <c r="S128" s="3">
        <f>3407+(330.3-677.9)+(0+(0-0))+0--357.1-0</f>
        <v>3416.5</v>
      </c>
      <c r="T128" s="3">
        <f>3388.4+(345.6-609.8)+(1.728084+(0.176256-0.310998))+0--339.1--0.172940999999966</f>
        <v>3465.0662830000001</v>
      </c>
      <c r="U128" s="3">
        <f>3394.9+(350.8-590.2)+(-1.731399+(-0.178908--0.301002))+0--338.1-0.172430999999966</f>
        <v>3491.818264</v>
      </c>
      <c r="V128" s="3">
        <f>3424+(357.8-634.4)+(-3.49248+(-0.364956--0.647088))+0--343.1-0.349962000000055</f>
        <v>3486.9396899999997</v>
      </c>
      <c r="W128" s="3">
        <f>3379.8+(378.4-783)+(-3.447396+(-0.385968--0.79866))+0--362.1-0.369342000000058</f>
        <v>3333.8959540000001</v>
      </c>
      <c r="X128" s="3">
        <f>3278.2+(384.4-953.5)+(-6.687528+(-0.784176--1.94514))+0--363.1-0.740723999999984</f>
        <v>3065.9327120000003</v>
      </c>
      <c r="Y128" s="3">
        <f>3038+(370.4-937.5)+(-1.54938+(-0.188904--0.478125))+0--365.1-0.186200999999963</f>
        <v>2834.5536400000001</v>
      </c>
      <c r="Z128" s="3">
        <f>3289.8+(326.8-833.9)+(-1.677798+(-0.166668--0.425289))+0--364.2-0.185741999999963</f>
        <v>3145.2950809999998</v>
      </c>
      <c r="AA128" s="3">
        <f>3498.3+(325.6-882.1)+(-3.568266+(-0.332112--0.899742))+0--364.2-0.371484000000058</f>
        <v>3302.6278799999995</v>
      </c>
      <c r="AB128" s="3">
        <f>3502.2+(327.4-921.7)+(-1.786122+(-0.166974--0.470067))+0--365.3-0.186302999999963</f>
        <v>3271.5306679999999</v>
      </c>
      <c r="AC128" s="3">
        <f>3477.3+(344.7-912.6)+(0+(0-0))+0--366.3-0</f>
        <v>3275.7000000000003</v>
      </c>
      <c r="AD128">
        <f t="shared" si="1"/>
        <v>73208.453594999999</v>
      </c>
      <c r="AE128" s="3">
        <f>3533+(201.1-903.5)+(0+(0-0))+0--367.1-0</f>
        <v>3197.7</v>
      </c>
    </row>
    <row r="129" spans="1:31" s="2" customFormat="1" x14ac:dyDescent="0.25">
      <c r="A129">
        <v>89</v>
      </c>
      <c r="B129">
        <v>5</v>
      </c>
      <c r="C129">
        <v>5</v>
      </c>
      <c r="D129">
        <v>4</v>
      </c>
      <c r="E129">
        <v>3</v>
      </c>
      <c r="F129" s="3">
        <f>3471.6+(189.4-955.2)+(-3.541032+(-0.193188--0.974304))+0--366.8-0.374136000000058</f>
        <v>3069.465948</v>
      </c>
      <c r="G129" s="3">
        <f>3441.3+(197.3-1010.8)+(-8.775315+(-0.503115--2.57754))+0--367.4-0.936869999999947</f>
        <v>2987.5622400000002</v>
      </c>
      <c r="H129" s="3">
        <f>3481.3+(190.4-1133)+(-3.550926+(-0.194208--1.15566))+0--368.2-0.375564000000059</f>
        <v>2903.9349620000003</v>
      </c>
      <c r="I129" s="3">
        <f>3498.7+(160.8-1171.8)+(0+(0-0))+0--366.7-0</f>
        <v>2854.3999999999996</v>
      </c>
      <c r="J129" s="3">
        <f>3510.6+(156.4-1219.8)+(3.580812+(0.159528-1.244196))+0--368.7--0.376074000000059</f>
        <v>2818.7722180000001</v>
      </c>
      <c r="K129" s="3">
        <f>3281.7+(160.2-1037.5)+(-5.021001+(-0.245106--1.587375))+0--352.4-0.53917200000002</f>
        <v>2752.5820959999996</v>
      </c>
      <c r="L129" s="3">
        <f>3008.4+(195.3-936.5)+(-4.602852+(-0.298809--1.432845))+0--271.4-0.415242000000016</f>
        <v>2534.7159419999998</v>
      </c>
      <c r="M129" s="3">
        <f>2796.8+(236.3-832.1)+(2.852736+(0.241026-0.848742))+0--236.1--0.240822000000038</f>
        <v>2439.585842</v>
      </c>
      <c r="N129" s="3">
        <f>2862.6+(236.6-849.2)+(-2.919852+(-0.241332--0.866184))+0--236.6-0.241332000000038</f>
        <v>2484.0636679999998</v>
      </c>
      <c r="O129" s="3">
        <f>2885.3+(207.9-788.1)+(1.471503+(0.106029-0.401931))+0--234.5--0.119594999999976</f>
        <v>2540.8951960000004</v>
      </c>
      <c r="P129" s="3">
        <f>3092.4+(153.4-831.5)+(4.731372+(0.234702-1.272195))+0--232.7--0.356031000000013</f>
        <v>2651.0499099999997</v>
      </c>
      <c r="Q129" s="3">
        <f>3109+(163.4-717.6)+(1.58559+(0.083334-0.365976))+0--258.5--0.131834999999974</f>
        <v>2814.7347830000003</v>
      </c>
      <c r="R129" s="3">
        <f>3050.3+(223.1-599.1)+(0+(0-0))+0--267.1-0</f>
        <v>2941.4</v>
      </c>
      <c r="S129" s="3">
        <f>3043.3+(314.1-588.2)+(1.552083+(0.160191-0.299982))+0--271.8--0.138617999999972</f>
        <v>3042.5509100000004</v>
      </c>
      <c r="T129" s="3">
        <f>3051.2+(390.8-583.3)+(1.556112+(0.199308-0.297483))+0--267.7--0.136526999999973</f>
        <v>3127.9944639999999</v>
      </c>
      <c r="U129" s="3">
        <f>3037.8+(428.6-569.8)+(-3.098556+(-0.437172--0.581196))+0--250-0.25500000000004</f>
        <v>3143.3904680000001</v>
      </c>
      <c r="V129" s="3">
        <f>3036.9+(405.9-558.3)+(-3.097638+(-0.414018--0.569466))+0--248.7-0.25367400000004</f>
        <v>3130.0041359999996</v>
      </c>
      <c r="W129" s="3">
        <f>3020.6+(352.1-577.2)+(-7.70253+(-0.897855--1.47186))+0--244.5-0.623474999999964</f>
        <v>3032.248</v>
      </c>
      <c r="X129" s="3">
        <f>2979.8+(311.7-737.8)+(-7.59849+(-0.794835--1.88139))+0--235.1-0.599504999999966</f>
        <v>2781.6885600000001</v>
      </c>
      <c r="Y129" s="3">
        <f>2820.3+(294.4-750.8)+(0+(0-0))+0--229.4-0</f>
        <v>2593.3000000000002</v>
      </c>
      <c r="Z129" s="3">
        <f>3051.8+(237.6-611.5)+(1.556418+(0.121176-0.311865))+0--249--0.126989999999975</f>
        <v>2928.3927189999999</v>
      </c>
      <c r="AA129" s="3">
        <f>3117.9+(294.4-592.9)+(0+(0-0))+0--258.8-0</f>
        <v>3078.2000000000003</v>
      </c>
      <c r="AB129" s="3">
        <f>3123.9+(296.8-606.2)+(-1.593189+(-0.151368--0.309162))+0--258.6-0.131885999999974</f>
        <v>3071.5327189999998</v>
      </c>
      <c r="AC129" s="3">
        <f>3090.9+(322.3-593.2)+(0+(0-0))+0--260.5-0</f>
        <v>3080.5</v>
      </c>
      <c r="AD129">
        <f t="shared" ref="AD129:AD192" si="2">SUM(F129:AC129)</f>
        <v>68802.964781000002</v>
      </c>
      <c r="AE129" s="3">
        <f>3136+(315-575.3)+(0+(0-0))+0--272.6-0</f>
        <v>3148.2999999999997</v>
      </c>
    </row>
    <row r="130" spans="1:31" s="2" customFormat="1" x14ac:dyDescent="0.25">
      <c r="A130">
        <v>89</v>
      </c>
      <c r="B130">
        <v>5</v>
      </c>
      <c r="C130">
        <v>6</v>
      </c>
      <c r="D130">
        <v>5</v>
      </c>
      <c r="E130">
        <v>1</v>
      </c>
      <c r="F130" s="3">
        <f>3083.3+(349-625.6)+(0+(0-0))+0--262.1-0</f>
        <v>3068.8</v>
      </c>
      <c r="G130" s="3">
        <f>3095.2+(320.9-683.1)+(-3.157104+(-0.327318--0.696762))+0--261.1-0.266322000000042</f>
        <v>2991.046018</v>
      </c>
      <c r="H130" s="3">
        <f>3113.6+(303.9-770.6)+(0+(0-0))+0--259.6-0</f>
        <v>2906.4999999999995</v>
      </c>
      <c r="I130" s="3">
        <f>3127.5+(305.5-825.9)+(1.595025+(0.155805-0.421209))+0--258.3--0.131732999999974</f>
        <v>2866.8613540000001</v>
      </c>
      <c r="J130" s="3">
        <f>3134.2+(293.8-848.5)+(0+(0-0))+0--250.6-0</f>
        <v>2830.1</v>
      </c>
      <c r="K130" s="3">
        <f>3008.6+(375.2-832.9)+(0+(0-0))+0--239.8-0</f>
        <v>2790.7000000000003</v>
      </c>
      <c r="L130" s="3">
        <f>2832.4+(441-881.3)+(0+(0-0))+0--234.1-0</f>
        <v>2626.2000000000003</v>
      </c>
      <c r="M130" s="3">
        <f>2759.6+(410.1-829.3)+(2.814792+(0.418302-0.845886))+0--231.2--0.235824000000037</f>
        <v>2574.2230319999999</v>
      </c>
      <c r="N130" s="3">
        <f>3016+(360.6-942.1)+(1.53816+(0.183906-0.480471))+0--231.9--0.118268999999976</f>
        <v>2667.7598640000001</v>
      </c>
      <c r="O130" s="3">
        <f>3144.8+(328.8-881.7)+(1.603848+(0.167688-0.449667))+0--232.6--0.118625999999976</f>
        <v>2825.9404949999998</v>
      </c>
      <c r="P130" s="3">
        <f>3134.3+(310.6-817.8)+(-1.598493+(-0.158406--0.417078))+0--234.7-0.119696999999976</f>
        <v>2860.3404820000001</v>
      </c>
      <c r="Q130" s="3">
        <f>3104.6+(274.7-704.2)+(1.583346+(0.140097-0.359142))+116.7--251.5--0.128264999999974</f>
        <v>3044.7925659999996</v>
      </c>
      <c r="R130" s="3">
        <f>3087.6+(328.2-590.4)+(1.574676+(0.167382-0.301104))+140--260.2--0.132701999999974</f>
        <v>3227.1736559999999</v>
      </c>
      <c r="S130" s="3">
        <f>3092.2+(365-565.7)+(1.577022+(0.18615-0.288507))+140--270.1--0.137750999999973</f>
        <v>3303.2124159999998</v>
      </c>
      <c r="T130" s="3">
        <f>3077.7+(434.6-563.8)+(3.139254+(0.443292-0.575076))+140--273--0.278460000000044</f>
        <v>3364.78593</v>
      </c>
      <c r="U130" s="3">
        <f>3073.7+(444.2-555.1)+(1.567587+(0.226542-0.283101))+140--272--0.138719999999972</f>
        <v>3376.4497479999995</v>
      </c>
      <c r="V130" s="3">
        <f>3068.8+(373.1-546.7)+(0+(0-0))+140--272.9-0</f>
        <v>3308.1000000000004</v>
      </c>
      <c r="W130" s="3">
        <f>3075+(357-612.2)+(-1.56825+(-0.18207--0.312222))+70--256-0.130559999999974</f>
        <v>3144.231342</v>
      </c>
      <c r="X130" s="3">
        <f>3037.5+(393.7-793.8)+(-3.09825+(-0.401574--0.809676))+0--247.1-0.252042000000039</f>
        <v>2881.5578099999998</v>
      </c>
      <c r="Y130" s="3">
        <f>2762.4+(440.1-739.8)+(-1.408824+(-0.224451--0.377298))+0--244.1-0.124490999999975</f>
        <v>2705.4195320000003</v>
      </c>
      <c r="Z130" s="3">
        <f>3035.1+(325.2-524.6)+(-1.547901+(-0.165852--0.267546))+0--255.9-0.130508999999974</f>
        <v>3090.0232839999999</v>
      </c>
      <c r="AA130" s="3">
        <f>3200.9+(359.9-531.8)+(-4.897377+(-0.550647--0.813654))+0--260-0.397800000000015</f>
        <v>3283.9678299999996</v>
      </c>
      <c r="AB130" s="3">
        <f>3181.4+(365.3-577.3)+(-1.622514+(-0.186303--0.294423))+0--258.1-0.131630999999974</f>
        <v>3225.853975</v>
      </c>
      <c r="AC130" s="3">
        <f>3128.5+(396.6-567.2)+(0+(0-0))+0--261.1-0</f>
        <v>3219</v>
      </c>
      <c r="AD130">
        <f t="shared" si="2"/>
        <v>72183.039334000001</v>
      </c>
      <c r="AE130" s="3">
        <f>3181+(368-583)+(0+(0-0))+0--259-0</f>
        <v>3225</v>
      </c>
    </row>
    <row r="131" spans="1:31" s="2" customFormat="1" x14ac:dyDescent="0.25">
      <c r="A131">
        <v>89</v>
      </c>
      <c r="B131">
        <v>5</v>
      </c>
      <c r="C131">
        <v>7</v>
      </c>
      <c r="D131">
        <v>6</v>
      </c>
      <c r="E131">
        <v>1</v>
      </c>
      <c r="F131" s="3">
        <f>3137.7+(329.5-625.9)+(-1.600227+(-0.168045--0.319209))+20--262.1-0.133670999999973</f>
        <v>3121.8172659999996</v>
      </c>
      <c r="G131" s="3">
        <f>3148.3+(275.6-712)+(-6.422532+(-0.562224--1.45248))+10--260.8-0.532031999999989</f>
        <v>2976.6356920000003</v>
      </c>
      <c r="H131" s="3">
        <f>3138+(257.4-737.9)+(-3.20076+(-0.262548--0.752658))+0--258.2-0.263364000000041</f>
        <v>2912.7259859999999</v>
      </c>
      <c r="I131" s="3">
        <f>3061.7+(272.1-719.6)+(0+(0-0))+0--256.5-0</f>
        <v>2870.7</v>
      </c>
      <c r="J131" s="3">
        <f>2981.8+(295.5-692.3)+(0+(0-0))+0--255.8-0</f>
        <v>2840.8</v>
      </c>
      <c r="K131" s="3">
        <f>2880.5+(335-664.4)+(-2.93811+(-0.3417--0.677688))+0--255.1-0.260202000000041</f>
        <v>2803.3376760000001</v>
      </c>
      <c r="L131" s="3">
        <f>2676.9+(405.7-691)+(-8.191314+(-1.241442--2.11446))+0--248.1-0.759186000000029</f>
        <v>2631.6225179999997</v>
      </c>
      <c r="M131" s="3">
        <f>2730.2+(359.3-735)+(1.392402+(0.183243-0.37485))+0--246.3--0.125612999999975</f>
        <v>2602.1264080000005</v>
      </c>
      <c r="N131" s="3">
        <f>2910.1+(323.9-785.1)+(4.452453+(0.495567-1.201203))+0--260.5--0.398565000000015</f>
        <v>2713.5453819999998</v>
      </c>
      <c r="O131" s="3">
        <f>2994.6+(321.7-767.6)+(1.527246+(0.164067-0.391476))+0--253.1--0.129080999999974</f>
        <v>2803.2289179999998</v>
      </c>
      <c r="P131" s="3">
        <f>3094+(264.2-706.7)+(-1.57794+(-0.134742--0.360417))+0--261.9-0.133568999999973</f>
        <v>2911.914166</v>
      </c>
      <c r="Q131" s="3">
        <f>3172.2+(258.3-640.5)+(1.617822+(0.131733-0.326655))+0--274.1--0.139790999999972</f>
        <v>3065.662691</v>
      </c>
      <c r="R131" s="3">
        <f>3172.5+(299.7-564.1)+(0+(0-0))+0--280.3-0</f>
        <v>3188.4</v>
      </c>
      <c r="S131" s="3">
        <f>3156.9+(335.3-580.9)+(-1.610019+(-0.171003--0.296259))+0--281.1-0.143360999999971</f>
        <v>3190.7718760000002</v>
      </c>
      <c r="T131" s="3">
        <f>3139.8+(390.5-578)+(0+(0-0))+0--272.3-0</f>
        <v>3224.6000000000004</v>
      </c>
      <c r="U131" s="3">
        <f>3129.6+(412.5-570)+(-1.596096+(-0.210375--0.2907))+0--269.7-0.137546999999973</f>
        <v>3240.1466820000001</v>
      </c>
      <c r="V131" s="3">
        <f>3099+(382.3-547.5)+(-4.74147+(-0.584919--0.837675))+0--268.1-0.410193000000016</f>
        <v>3197.0010929999999</v>
      </c>
      <c r="W131" s="3">
        <f>3035.3+(327.6-549)+(-3.096006+(-0.334152--0.55998))+0--263-0.268260000000042</f>
        <v>3073.7615620000001</v>
      </c>
      <c r="X131" s="3">
        <f>3048.2+(316.6-797.6)+(-7.77291+(-0.80733--2.03388))+0--252.7-0.644384999999963</f>
        <v>2812.7092549999998</v>
      </c>
      <c r="Y131" s="3">
        <f>2879.9+(308.4-771.5)+(-4.406247+(-0.471852--1.180395))+0--245.5-0.375615000000014</f>
        <v>2658.2266810000001</v>
      </c>
      <c r="Z131" s="3">
        <f>3041.6+(249-597.2)+(0+(0-0))+0--274.5-0</f>
        <v>2967.8999999999996</v>
      </c>
      <c r="AA131" s="3">
        <f>3168.4+(273.5-634.2)+(-3.231768+(-0.27897--0.646884))+0--300.6-0.306612000000048</f>
        <v>3105.1295339999997</v>
      </c>
      <c r="AB131" s="3">
        <f>3178.1+(271.4-654.7)+(0+(0-0))+0--302-0</f>
        <v>3096.7999999999997</v>
      </c>
      <c r="AC131" s="3">
        <f>3116+(307-631.8)+(-4.76748+(-0.46971--0.966654))+0--304.9-0.466497000000018</f>
        <v>3091.362967</v>
      </c>
      <c r="AD131">
        <f t="shared" si="2"/>
        <v>71100.926352999988</v>
      </c>
      <c r="AE131" s="3">
        <f>3162+(295.3-617)+(0+(0-0))+0--309.9-0</f>
        <v>3150.2000000000003</v>
      </c>
    </row>
    <row r="132" spans="1:31" s="2" customFormat="1" x14ac:dyDescent="0.25">
      <c r="A132">
        <v>89</v>
      </c>
      <c r="B132">
        <v>5</v>
      </c>
      <c r="C132">
        <v>8</v>
      </c>
      <c r="D132">
        <v>7</v>
      </c>
      <c r="E132">
        <v>1</v>
      </c>
      <c r="F132" s="3">
        <f>3042+(325.8-614.1)+(-7.7571+(-0.83079--1.565955))+0--306.5-0.781574999999956</f>
        <v>3052.3964899999996</v>
      </c>
      <c r="G132" s="3">
        <f>3055.7+(293.9-668.6)+(1.558407+(0.149889-0.340986))+0--305.2--0.155651999999969</f>
        <v>2987.7229619999998</v>
      </c>
      <c r="H132" s="3">
        <f>3046.6+(262.7-708.6)+(0+(0-0))+0--304.3-0</f>
        <v>2905</v>
      </c>
      <c r="I132" s="3">
        <f>2948.3+(260-667.9)+(-7.518165+(-0.663--1.703145))+0--302.9-0.772394999999956</f>
        <v>2836.0495850000002</v>
      </c>
      <c r="J132" s="3">
        <f>2928.6+(252.8-682.9)+(-4.480758+(-0.386784--1.044837))+0--301.9-0.461907000000017</f>
        <v>2796.1153880000002</v>
      </c>
      <c r="K132" s="3">
        <f>2982.2+(267.6-778.3)+(-10.646454+(-0.955332--2.778531))+0--300.8-1.073856</f>
        <v>2762.4028890000004</v>
      </c>
      <c r="L132" s="3">
        <f>2696.9+(350.3-748.9)+(-5.501676+(-0.714612--1.527756))+0--294.3-0.600371999999987</f>
        <v>2587.3110960000004</v>
      </c>
      <c r="M132" s="3">
        <f>2555.1+(368.4-741.7)+(1.303101+(0.187884-0.378267))+0--290.5--0.148154999999971</f>
        <v>2473.5608729999994</v>
      </c>
      <c r="N132" s="3">
        <f>2473.6+(389.1-683.9)+(0+(0-0))+0--288-0</f>
        <v>2466.8000000000002</v>
      </c>
      <c r="O132" s="3">
        <f>2640.5+(329.1-732.4)+(0+(0-0))+0--287.4-0</f>
        <v>2524.6</v>
      </c>
      <c r="P132" s="3">
        <f>2798+(288.4-742)+(1.42698+(0.147084-0.37842))+0--289.2--0.147491999999971</f>
        <v>2634.9431359999999</v>
      </c>
      <c r="Q132" s="3">
        <f>2866.4+(286.4-656.9)+(1.461864+(0.146064-0.335019))+0--294--0.14993999999997</f>
        <v>2791.3228489999997</v>
      </c>
      <c r="R132" s="3">
        <f>2895.4+(333.7-593.7)+(0+(0-0))+0--298.8-0</f>
        <v>2934.2000000000003</v>
      </c>
      <c r="S132" s="3">
        <f>2966.1+(319.8-596.3)+(-3.025422+(-0.326196--0.608226))+0--302.8-0.308856000000048</f>
        <v>2989.3477520000001</v>
      </c>
      <c r="T132" s="3">
        <f>2990.4+(333.9-591.8)+(1.525104+(0.170289-0.301818))+0--306.6--0.156365999999969</f>
        <v>3040.6499410000001</v>
      </c>
      <c r="U132" s="3">
        <f>2938.6+(363.5-554.8)+(-4.496058+(-0.556155--0.848844))+0--307-0.469710000000018</f>
        <v>3049.6269210000005</v>
      </c>
      <c r="V132" s="3">
        <f>2822+(409.2-520.6)+(-1.43922+(-0.208692--0.265506))+0--305.3-0.155702999999969</f>
        <v>3014.361891</v>
      </c>
      <c r="W132" s="3">
        <f>2736.4+(415.5-559.9)+(-1.395564+(-0.211905--0.285549))+0--298.8-0.15238799999997</f>
        <v>2889.3256920000003</v>
      </c>
      <c r="X132" s="3">
        <f>2394.3+(534.7-584.1)+(-6.105465+(-1.363485--1.489455))+0--295-0.752249999999957</f>
        <v>2633.168255</v>
      </c>
      <c r="Y132" s="3">
        <f>2343.6+(471.6-596.1)+(-2.390472+(-0.481032--0.608022))+0--265.6-0.270912000000042</f>
        <v>2482.165606</v>
      </c>
      <c r="Z132" s="3">
        <f>2767.6+(314.6-521.7)+(-4.234428+(-0.481338--0.798201))+0--254-0.388620000000015</f>
        <v>2810.1938149999996</v>
      </c>
      <c r="AA132" s="3">
        <f>3122.3+(317.7-675)+(-9.554238+(-0.972162--2.0655))+0--258.9-0.79223400000003</f>
        <v>3014.646866</v>
      </c>
      <c r="AB132" s="3">
        <f>3222.4+(277.6-693.6)+(-3.286848+(-0.283152--0.707472))+0--261.1-0.266322000000042</f>
        <v>3064.3711499999999</v>
      </c>
      <c r="AC132" s="3">
        <f>3233.2+(290.8-689.4)+(-1.648932+(-0.148308--0.351594))+0--264.7-0.134996999999973</f>
        <v>3097.7193569999995</v>
      </c>
      <c r="AD132">
        <f t="shared" si="2"/>
        <v>67838.002513999993</v>
      </c>
      <c r="AE132" s="3">
        <f>3179+(300.9-658.4)+(0+(0-0))+0--214.3-0</f>
        <v>3035.8</v>
      </c>
    </row>
    <row r="133" spans="1:31" s="2" customFormat="1" x14ac:dyDescent="0.25">
      <c r="A133">
        <v>89</v>
      </c>
      <c r="B133">
        <v>5</v>
      </c>
      <c r="C133">
        <v>9</v>
      </c>
      <c r="D133">
        <v>1</v>
      </c>
      <c r="E133">
        <v>1</v>
      </c>
      <c r="F133" s="3">
        <f>3213.6+(325.3-744.1)+(-6.555744+(-0.663612--1.517964))+0--266.8-0.544271999999988</f>
        <v>3055.3543359999999</v>
      </c>
      <c r="G133" s="3">
        <f>3232.8+(334-846.5)+(-9.892368+(-1.02204--2.59029))+0--265.6-0.812736000000031</f>
        <v>2976.7631460000002</v>
      </c>
      <c r="H133" s="3">
        <f>3229.1+(296.9-875.5)+(-6.587364+(-0.605676--1.78602))+0--263.6-0.537743999999989</f>
        <v>2908.1552359999996</v>
      </c>
      <c r="I133" s="3">
        <f>3210.3+(301.1-908.7)+(-3.274506+(-0.307122--0.926874))+0--262.8-0.268056000000042</f>
        <v>2862.5771900000004</v>
      </c>
      <c r="J133" s="3">
        <f>3118.9+(328.5-879.6)+(3.181278+(0.33507-0.897192))+0--262.3--0.267546000000042</f>
        <v>2832.9867020000006</v>
      </c>
      <c r="K133" s="3">
        <f>3065.5+(357-887.6)+(1.563405+(0.18207-0.452676))+0--260.8--0.133007999999974</f>
        <v>2797.1258069999999</v>
      </c>
      <c r="L133" s="3">
        <f>2926.9+(394.3-934.3)+(0+(0-0))+0--253.9-0</f>
        <v>2640.8</v>
      </c>
      <c r="M133" s="3">
        <f>2920.3+(389.2-952)+(0+(0-0))+0--250-0</f>
        <v>2607.5</v>
      </c>
      <c r="N133" s="3">
        <f>2889.7+(443.5-886.7)+(-2.947494+(-0.45237--0.904434))+0--249.3-0.25428600000004</f>
        <v>2693.0502840000004</v>
      </c>
      <c r="O133" s="3">
        <f>2887.5+(431-807.2)+(-2.94525+(-0.43962--0.823344))+0--247.9-0.25285800000004</f>
        <v>2756.3856160000005</v>
      </c>
      <c r="P133" s="3">
        <f>2933+(405.3-728.2)+(4.48749+(0.620109-1.114146))+0--250.1--0.382653000000014</f>
        <v>2864.576106</v>
      </c>
      <c r="Q133" s="3">
        <f>3020.8+(357.4-635.2)+(3.081216+(0.364548-0.647904))+0--255.6--0.260712000000041</f>
        <v>3001.6585720000003</v>
      </c>
      <c r="R133" s="3">
        <f>3093.4+(362.3-552.7)+(0+(0-0))+0--261.7-0</f>
        <v>3164.7</v>
      </c>
      <c r="S133" s="3">
        <f>3084.1+(371.5-519.2)+(-4.718673+(-0.568395--0.794376))+0--267.6-0.409428000000016</f>
        <v>3199.0978799999998</v>
      </c>
      <c r="T133" s="3">
        <f>3081.4+(418.1-525.1)+(-1.571514+(-0.213231--0.267801))+0--269.4-0.137393999999973</f>
        <v>3242.1456620000004</v>
      </c>
      <c r="U133" s="3">
        <f>3078.7+(430.1-521.4)+(-1.570137+(-0.219351--0.265914))+0--269.4-0.137393999999973</f>
        <v>3255.139032</v>
      </c>
      <c r="V133" s="3">
        <f>3063.3+(422.8-509.3)+(-1.562283+(-0.215628--0.259743))+0--267.1-0.136220999999973</f>
        <v>3242.2456110000003</v>
      </c>
      <c r="W133" s="3">
        <f>3044.9+(408.9-570)+(-3.105798+(-0.417078--0.5814))+0--260.5-0.265710000000042</f>
        <v>3141.0928140000001</v>
      </c>
      <c r="X133" s="3">
        <f>2998.6+(384.2-760.5)+(-6.117144+(-0.783768--1.55142))+0--250.7-0.511427999999989</f>
        <v>2867.1390799999999</v>
      </c>
      <c r="Y133" s="3">
        <f>2639.3+(437.9-636.4)+(0+(0-0))+0--245.6-0</f>
        <v>2686.4</v>
      </c>
      <c r="Z133" s="3">
        <f>2959.9+(348.6-557.4)+(-1.509549+(-0.177786--0.284274))+0--256.5-0.130814999999974</f>
        <v>3006.0661240000004</v>
      </c>
      <c r="AA133" s="3">
        <f>3261.1+(302-669.1)+(-4.989483+(-0.46206--1.023723))+0--261.1-0.399483000000015</f>
        <v>3150.2726969999999</v>
      </c>
      <c r="AB133" s="3">
        <f>3102.2+(352.2-578.1)+(-3.164244+(-0.359244--0.589662))+0--261.7-0.266934000000042</f>
        <v>3134.7992399999994</v>
      </c>
      <c r="AC133" s="3">
        <f>3007.4+(410.5-561)+(-3.067548+(-0.41871--0.57222))+0--264.4-0.269688000000042</f>
        <v>3118.1162740000004</v>
      </c>
      <c r="AD133">
        <f t="shared" si="2"/>
        <v>71204.147408999997</v>
      </c>
      <c r="AE133" s="3">
        <f>3263+(315.8-672.1)+(0+(0-0))+0--302.9-0</f>
        <v>3209.6</v>
      </c>
    </row>
    <row r="134" spans="1:31" s="2" customFormat="1" x14ac:dyDescent="0.25">
      <c r="A134">
        <v>89</v>
      </c>
      <c r="B134">
        <v>5</v>
      </c>
      <c r="C134">
        <v>10</v>
      </c>
      <c r="D134">
        <v>2</v>
      </c>
      <c r="E134">
        <v>1</v>
      </c>
      <c r="F134" s="3">
        <f>2949.5+(430.1-576.6)+(-6.01698+(-0.877404--1.176264))+0--264.4-0.539375999999988</f>
        <v>3061.1425039999999</v>
      </c>
      <c r="G134" s="3">
        <f>2947.1+(419.6-663.8)+(-7.515105+(-1.06998--1.69269))+0--263-0.670649999999962</f>
        <v>2958.3369550000002</v>
      </c>
      <c r="H134" s="3">
        <f>2893.9+(422.1-696.1)+(1.475889+(0.215271-0.355011))+0--260.7--0.132956999999974</f>
        <v>2882.0691059999999</v>
      </c>
      <c r="I134" s="3">
        <f>2899.7+(437.3-765.2)+(-4.436541+(-0.669069--1.170756))+0--259.2-0.396576000000015</f>
        <v>2826.6685699999994</v>
      </c>
      <c r="J134" s="3">
        <f>2901.1+(419.8-780.1)+(-2.959122+(-0.428196--0.795702))+0--257.7-0.262854000000041</f>
        <v>2795.6455299999993</v>
      </c>
      <c r="K134" s="3">
        <f>2885.3+(426.1-810.6)+(-1.471503+(-0.217311--0.413406))+0--256-0.130559999999974</f>
        <v>2755.3940320000002</v>
      </c>
      <c r="L134" s="3">
        <f>2562.9+(520.4-729.1)+(-2.614158+(-0.530808--0.743682))+0--247.6-0.252552000000039</f>
        <v>2599.1461639999998</v>
      </c>
      <c r="M134" s="3">
        <f>2604.1+(490.1-778.9)+(0+(0-0))+0--234-0</f>
        <v>2549.3000000000002</v>
      </c>
      <c r="N134" s="3">
        <f>2934.4+(390.6-909.8)+(-2.993088+(-0.398412--0.927996))+0--234.8-0.239496000000037</f>
        <v>2647.2970000000005</v>
      </c>
      <c r="O134" s="3">
        <f>3111.8+(352.5-970.7)+(-3.174036+(-0.35955--0.990114))+0--237.9-0.242658000000038</f>
        <v>2728.7138700000005</v>
      </c>
      <c r="P134" s="3">
        <f>3137.8+(335.5-905.6)+(-1.600278+(-0.171105--0.461856))+0--236.9-0.120818999999976</f>
        <v>2803.1696540000007</v>
      </c>
      <c r="Q134" s="3">
        <f>3157.7+(303.1-772.8)+(-3.220854+(-0.309162--0.788256))+0--225.6-0.230112000000036</f>
        <v>2910.6281279999998</v>
      </c>
      <c r="R134" s="3">
        <f>3195.5+(271.8-631.8)+(-1.629705+(-0.138618--0.322218))+0--234.9-0.119798999999976</f>
        <v>3068.834096</v>
      </c>
      <c r="S134" s="3">
        <f>3188.8+(299.5-603)+(-3.252576+(-0.30549--0.61506))+0--241.4-0.246228000000038</f>
        <v>3123.5107660000003</v>
      </c>
      <c r="T134" s="3">
        <f>3183.7+(319.3-581.8)+(-3.247374+(-0.325686--0.593436))+0--271.3-0.276726000000043</f>
        <v>3189.2436499999999</v>
      </c>
      <c r="U134" s="3">
        <f>2953.1+(424-521.6)+(-1.506081+(-0.21624--0.266016))+0--314.4-0.160343999999968</f>
        <v>3168.283351</v>
      </c>
      <c r="V134" s="3">
        <f>3039.5+(326.5-562.4)+(-4.650435+(-0.499545--0.860472))+0--316.6-0.484398000000018</f>
        <v>3115.4260939999999</v>
      </c>
      <c r="W134" s="3">
        <f>3055.1+(293-668.2)+(-6.232404+(-0.59772--1.363128))+0--305.1-0.622403999999987</f>
        <v>2978.9105999999992</v>
      </c>
      <c r="X134" s="3">
        <f>3015.2+(335.3-881.9)+(-9.226512+(-1.026018--2.698614))+0--293.9-0.899334000000034</f>
        <v>2754.04675</v>
      </c>
      <c r="Y134" s="3">
        <f>2593.1+(461.6-679.1)+(-5.289924+(-0.941664--1.385364))+0--308.3-0.628931999999987</f>
        <v>2678.4248440000001</v>
      </c>
      <c r="Z134" s="3">
        <f>2742.2+(432-425.6)+(0+(0-0))+0--294.9-0</f>
        <v>3043.5</v>
      </c>
      <c r="AA134" s="3">
        <f>2791.1+(418.7-384.8)+(-5.693844+(-0.854148--0.784992))+0--298.3-0.608531999999987</f>
        <v>3116.9284680000001</v>
      </c>
      <c r="AB134" s="3">
        <f>2714.4+(450.8-361.5)+(-4.153032+(-0.689724--0.553095))+0--299.8-0.458694000000017</f>
        <v>3098.7516450000007</v>
      </c>
      <c r="AC134" s="3">
        <f>2716.2+(465.3-401.3)+(-4.155786+(-0.711909--0.613989))+0--303.2-0.463896000000018</f>
        <v>3078.6823979999995</v>
      </c>
      <c r="AD134">
        <f t="shared" si="2"/>
        <v>69932.054174999997</v>
      </c>
      <c r="AE134" s="3">
        <f>2829+(398.7-414.3)+(0+(0-0))+0--312.6-0</f>
        <v>3126</v>
      </c>
    </row>
    <row r="135" spans="1:31" s="2" customFormat="1" x14ac:dyDescent="0.25">
      <c r="A135">
        <v>89</v>
      </c>
      <c r="B135">
        <v>5</v>
      </c>
      <c r="C135">
        <v>11</v>
      </c>
      <c r="D135">
        <v>3</v>
      </c>
      <c r="E135">
        <v>1</v>
      </c>
      <c r="F135" s="3">
        <f>2899.5+(356.9-596)+(-7.393725+(-0.910095--1.5198))+0--304.2-0.775709999999956</f>
        <v>2957.04027</v>
      </c>
      <c r="G135" s="3">
        <f>2984.4+(307.6-732.8)+(-6.088176+(-0.627504--1.494912))+0--303.8-0.619751999999987</f>
        <v>2857.1594800000003</v>
      </c>
      <c r="H135" s="3">
        <f>2998.4+(280.7-806.2)+(-4.587552+(-0.429471--1.233486))+0--300.5-0.459765000000017</f>
        <v>2769.1566980000002</v>
      </c>
      <c r="I135" s="3">
        <f>3010.3+(293-873.8)+(-4.605759+(-0.44829--1.336914))+0--298.4-0.456552000000017</f>
        <v>2723.7263130000001</v>
      </c>
      <c r="J135" s="3">
        <f>2928.8+(308.7-757.1)+(4.481064+(0.472311-1.158363))+0--211.6--0.323748000000012</f>
        <v>2696.1187599999998</v>
      </c>
      <c r="K135" s="3">
        <f>2885.5+(355.3-762.7)+(-4.414815+(-0.543609--1.166931))+0--186.5-0.285345000000011</f>
        <v>2660.5231619999995</v>
      </c>
      <c r="L135" s="3">
        <f>2582.5+(505.5-715)+(-6.585375+(-1.289025--1.82325))+0--155.8-0.397289999999977</f>
        <v>2522.3515600000005</v>
      </c>
      <c r="M135" s="3">
        <f>2532.3+(540-750.3)+(0+(0-0))+0--134.7-0</f>
        <v>2456.6999999999998</v>
      </c>
      <c r="N135" s="3">
        <f>2575+(534.8-708.5)+(1.31325+(0.272748-0.361335))+0--134.9--0.0687989999999863</f>
        <v>2537.4934620000004</v>
      </c>
      <c r="O135" s="3">
        <f>2763.5+(496.9-765.5)+(-2.81877+(-0.506838--0.78081))+0--137-0.139740000000022</f>
        <v>2629.2154620000001</v>
      </c>
      <c r="P135" s="3">
        <f>3049.2+(392.1-841.1)+(0+(0-0))+0--139-0</f>
        <v>2739.2</v>
      </c>
      <c r="Q135" s="3">
        <f>3341.4+(292.4-946.8)+(0+(0-0))+0--172.8-0</f>
        <v>2859.8</v>
      </c>
      <c r="R135" s="3">
        <f>3323.1+(276.5-814.4)+(-1.694781+(-0.141015--0.415344))+0--231.6-0.118115999999977</f>
        <v>3015.2614319999998</v>
      </c>
      <c r="S135" s="3">
        <f>3273.1+(236.6-719.5)+(0+(0-0))+0--262.6-0</f>
        <v>3052.7999999999997</v>
      </c>
      <c r="T135" s="3">
        <f>3271.2+(217-654.1)+(-3.336624+(-0.22134--0.667182))+0--262.4-0.267648000000042</f>
        <v>3093.34157</v>
      </c>
      <c r="U135" s="3">
        <f>3308.8+(217.1-656.9)+(-1.687488+(-0.110721--0.335019))+0--265.4-0.135353999999973</f>
        <v>3132.8014560000001</v>
      </c>
      <c r="V135" s="3">
        <f>3239.9+(250.2-679)+(-3.304698+(-0.255204--0.69258))+0--264.4-0.269688000000042</f>
        <v>3072.3629900000001</v>
      </c>
      <c r="W135" s="3">
        <f>3137.3+(330.5-773.4)+(-11.200161+(-1.179885--2.761038))+0--263.4-0.940338000000004</f>
        <v>2947.2406540000002</v>
      </c>
      <c r="X135" s="3">
        <f>2852.6+(436-824.6)+(-7.27413+(-1.1118--2.10273))+0--261.4-0.666569999999962</f>
        <v>2718.4502300000004</v>
      </c>
      <c r="Y135" s="3">
        <f>2603.1+(493.6-720.7)+(-2.655162+(-0.503472--0.735114))+0--219.4-0.223788000000035</f>
        <v>2592.752692</v>
      </c>
      <c r="Z135" s="3">
        <f>3090.3+(312.2-691.3)+(-3.152106+(-0.318444--0.705126))+0--190.4-0.19420800000003</f>
        <v>2898.6403680000003</v>
      </c>
      <c r="AA135" s="3">
        <f>3331.2+(253.6-742)+(-6.795648+(-0.517344--1.51368))+0--187.6-0.382703999999992</f>
        <v>3024.2179839999994</v>
      </c>
      <c r="AB135" s="3">
        <f>3245+(241.8-661.2)+(-6.6198+(-0.493272--1.348848))+0--189.7-0.386987999999992</f>
        <v>3009.1487879999995</v>
      </c>
      <c r="AC135" s="3">
        <f>3221.5+(251.7-662.6)+(0+(0-0))+0--191.2-0</f>
        <v>3001.7999999999997</v>
      </c>
      <c r="AD135">
        <f t="shared" si="2"/>
        <v>67967.303331000003</v>
      </c>
      <c r="AE135" s="3">
        <f>3324+(266.1-766.4)+(0+(0-0))+0--202.4-0</f>
        <v>3026.1</v>
      </c>
    </row>
    <row r="136" spans="1:31" s="2" customFormat="1" x14ac:dyDescent="0.25">
      <c r="A136">
        <v>89</v>
      </c>
      <c r="B136">
        <v>5</v>
      </c>
      <c r="C136">
        <v>12</v>
      </c>
      <c r="D136">
        <v>4</v>
      </c>
      <c r="E136">
        <v>1</v>
      </c>
      <c r="F136" s="3">
        <f>3246.8+(283.6-768.2)+(-1.655868+(-0.144636--0.391782))+0--192.3-0.0980729999999805</f>
        <v>2952.9932050000002</v>
      </c>
      <c r="G136" s="3">
        <f>3281+(285.3-910.4)+(-3.34662+(-0.291006--0.928608))+0--191.8-0.195636000000031</f>
        <v>2844.7953460000003</v>
      </c>
      <c r="H136" s="3">
        <f>3406.6+(254.7-1081.8)+(1.737366+(0.129897-0.551718))+0--190.2--0.0970019999999807</f>
        <v>2771.1125469999997</v>
      </c>
      <c r="I136" s="3">
        <f>3399.3+(267.2-1130)+(0+(0-0))+0--189.4-0</f>
        <v>2725.9</v>
      </c>
      <c r="J136" s="3">
        <f>3340.8+(289.1-1123.8)+(-1.703808+(-0.147441--0.573138))+0--188.6-0.0961859999999809</f>
        <v>2693.3257030000004</v>
      </c>
      <c r="K136" s="3">
        <f>3186.6+(327.2-1051.3)+(3.250332+(0.333744-1.072326))+0--186.1--0.18982200000003</f>
        <v>2651.3015719999999</v>
      </c>
      <c r="L136" s="3">
        <f>2889.4+(475.6-1051.7)+(-4.420782+(-0.727668--1.609101))+0--205.8-0.314874000000012</f>
        <v>2515.2457770000001</v>
      </c>
      <c r="M136" s="3">
        <f>2866.4+(436.2-1063.8)+(-1.461864+(-0.222462--0.542538))+0--208.7-0.106436999999979</f>
        <v>2446.2517750000002</v>
      </c>
      <c r="N136" s="3">
        <f>3030.4+(356.8-1068.7)+(0+(0-0))+0--208-0</f>
        <v>2526.5</v>
      </c>
      <c r="O136" s="3">
        <f>3079.6+(326.1-1020.6)+(1.570596+(0.166311-0.520506))+0--206.6--0.105365999999979</f>
        <v>2593.0217669999997</v>
      </c>
      <c r="P136" s="3">
        <f>3264.5+(273.2-1070.6)+(-3.32979+(-0.278664--1.092012))+0--234.7-0.239394000000037</f>
        <v>2699.0441639999999</v>
      </c>
      <c r="Q136" s="3">
        <f>3401.1+(244.8-1046.5)+(-1.734561+(-0.124848--0.533715))+0--256.7-0.130916999999974</f>
        <v>2854.6433889999994</v>
      </c>
      <c r="R136" s="3">
        <f>3386.9+(216.7-868.1)+(0+(0-0))+0--279.3-0</f>
        <v>3014.8</v>
      </c>
      <c r="S136" s="3">
        <f>3377.9+(198.3-793.4)+(0+(0-0))+0--283.8-0</f>
        <v>3066.6000000000004</v>
      </c>
      <c r="T136" s="3">
        <f>3363.9+(202-726.9)+(1.715589+(0.10302-0.370719))+0--280.5--0.143054999999972</f>
        <v>3121.0909449999999</v>
      </c>
      <c r="U136" s="3">
        <f>3371.1+(198.6-750.1)+(1.719261+(0.101286-0.382551))+0--283.8--0.144737999999971</f>
        <v>3104.9827340000002</v>
      </c>
      <c r="V136" s="3">
        <f>3359.1+(213-776.2)+(1.713141+(0.10863-0.395862))+0--282.4--0.144023999999971</f>
        <v>3079.8699329999999</v>
      </c>
      <c r="W136" s="3">
        <f>3363.5+(240.1-917.6)+(0+(0-0))+0--284.2-0</f>
        <v>2970.2</v>
      </c>
      <c r="X136" s="3">
        <f>3300.3+(304-1111.2)+(-1.683153+(-0.15504--0.566712))+0--260-0.132599999999974</f>
        <v>2751.6959190000002</v>
      </c>
      <c r="Y136" s="3">
        <f>2949.1+(347.9-896.3)+(4.512123+(0.532287-1.371339))+0--203--0.310590000000012</f>
        <v>2607.683661</v>
      </c>
      <c r="Z136" s="3">
        <f>3343.3+(245.5-898.4)+(1.705083+(0.125205-0.458184))+0--236.9--0.120818999999976</f>
        <v>2928.792923</v>
      </c>
      <c r="AA136" s="3">
        <f>3519.4+(224.4-957)+(-5.384682+(-0.343332--1.46421))+0--289.3-0.442629000000017</f>
        <v>3071.3935670000001</v>
      </c>
      <c r="AB136" s="3">
        <f>3473.1+(260.3-948.8)+(-3.542562+(-0.265506--0.967776))+0--290.5-0.296310000000046</f>
        <v>3071.9633979999999</v>
      </c>
      <c r="AC136" s="3">
        <f>3527.3+(229.2-979.1)+(-8.994615+(-0.58446--2.496705))+0--278.2-0.70940999999996</f>
        <v>3047.8082199999999</v>
      </c>
      <c r="AD136">
        <f t="shared" si="2"/>
        <v>68111.016544999991</v>
      </c>
      <c r="AE136" s="3">
        <f>3543.6+(215.1-958.5)+(0+(0-0))+0--290.4-0</f>
        <v>3090.6</v>
      </c>
    </row>
    <row r="137" spans="1:31" s="2" customFormat="1" x14ac:dyDescent="0.25">
      <c r="A137">
        <v>89</v>
      </c>
      <c r="B137">
        <v>5</v>
      </c>
      <c r="C137">
        <v>13</v>
      </c>
      <c r="D137">
        <v>5</v>
      </c>
      <c r="E137">
        <v>1</v>
      </c>
      <c r="F137" s="3">
        <f>3498+(265.8-1036.4)+(-3.56796+(-0.271116--1.057128))+0--270-0.275400000000043</f>
        <v>2994.3426519999998</v>
      </c>
      <c r="G137" s="3">
        <f>3513.8+(254.4-1142.3)+(-3.584076+(-0.259488--1.165146))+0--271-0.276420000000043</f>
        <v>2893.945162</v>
      </c>
      <c r="H137" s="3">
        <f>3458.3+(264.7-1174.5)+(-1.763733+(-0.134997--0.598995))+0--272-0.138719999999972</f>
        <v>2819.061545</v>
      </c>
      <c r="I137" s="3">
        <f>3452.3+(269.9-1228.7)+(-7.042692+(-0.550596--2.506548))+0--269-0.548759999999988</f>
        <v>2756.8644999999997</v>
      </c>
      <c r="J137" s="3">
        <f>3438.7+(267.9-1257)+(-8.768685+(-0.683145--3.20535))+0--268-0.683399999999961</f>
        <v>2710.6701200000002</v>
      </c>
      <c r="K137" s="3">
        <f>3311.3+(292.5-1199.1)+(-6.755052+(-0.5967--2.446164))+0--270-0.550799999999988</f>
        <v>2669.2436120000002</v>
      </c>
      <c r="L137" s="3">
        <f>2857.6+(363.7-1095.4)+(-5.829504+(-0.741948--2.234616))+17.5--209-0.426359999999991</f>
        <v>2347.6368039999998</v>
      </c>
      <c r="M137" s="3">
        <f>2941.6+(318.8-1187.7)+(3.000432+(0.325176-1.211454))+35--211--0.215220000000034</f>
        <v>2321.0293739999997</v>
      </c>
      <c r="N137" s="3">
        <f>3414.3+(241.3-1306)+(-1.741293+(-0.123063--0.66606))+35--212-0.108119999999978</f>
        <v>2595.2935840000005</v>
      </c>
      <c r="O137" s="3">
        <f>3374.1+(262.3-1206)+(-1.720791+(-0.133773--0.61506))+18.7--211.5-0.107864999999979</f>
        <v>2659.2526309999994</v>
      </c>
      <c r="P137" s="3">
        <f>3345.1+(232.6-1088.7)+(8.530005+(0.59313-2.776185))+0--209.5--0.53422499999997</f>
        <v>2705.381175</v>
      </c>
      <c r="Q137" s="3">
        <f>3444.3+(212.1-1006.9)+(0+(0-0))+0--251.5-0</f>
        <v>2901</v>
      </c>
      <c r="R137" s="3">
        <f>3423.2+(197.9-796.2)+(3.491664+(0.201858-0.812124))+0--247.6--0.252552000000039</f>
        <v>3075.6339499999995</v>
      </c>
      <c r="S137" s="3">
        <f>3408.4+(190-726.4)+(-3.476568+(-0.1938--0.740928))+0--231.7-0.236334000000037</f>
        <v>3100.5342259999998</v>
      </c>
      <c r="T137" s="3">
        <f>3395.1+(192.5-671)+(0+(0-0))+0--225.5-0</f>
        <v>3142.1</v>
      </c>
      <c r="U137" s="3">
        <f>3383.9+(191.1-663.3)+(0+(0-0))+0--228.9-0</f>
        <v>3140.6000000000004</v>
      </c>
      <c r="V137" s="3">
        <f>3375.5+(201.9-710.6)+(-1.721505+(-0.102969--0.362406))+0--229.8-0.117197999999977</f>
        <v>3095.0207340000006</v>
      </c>
      <c r="W137" s="3">
        <f>3350.8+(231.1-816.3)+(-3.417816+(-0.235722--0.832626))+0--244.5-0.249390000000039</f>
        <v>3007.0296980000003</v>
      </c>
      <c r="X137" s="3">
        <f>3328.2+(289.2-1061.5)+(-6.789528+(-0.589968--2.16546))+0--246.9-0.503675999999989</f>
        <v>2797.0822880000001</v>
      </c>
      <c r="Y137" s="3">
        <f>3116.5+(315.7-1028.5)+(-1.589415+(-0.161007--0.524535))+0--259.2-0.132191999999974</f>
        <v>2661.5419209999995</v>
      </c>
      <c r="Z137" s="3">
        <f>3353.1+(248.7-884.6)+(-5.130243+(-0.380511--1.353438))+0--270.1-0.413253000000016</f>
        <v>2982.7294309999997</v>
      </c>
      <c r="AA137" s="3">
        <f>3519+(218.9-913.3)+(-5.38407+(-0.334917--1.397349))+0--289.5-0.442935000000017</f>
        <v>3109.335427</v>
      </c>
      <c r="AB137" s="3">
        <f>3492.5+(234-913.5)+(1.781175+(0.11934-0.465885))+0--290.9--0.14835899999997</f>
        <v>3105.4829890000001</v>
      </c>
      <c r="AC137" s="3">
        <f>3496.4+(255.9-944.3)+(-5.349492+(-0.391527--1.444779))+0--283.2-0.433296000000016</f>
        <v>3086.4704639999995</v>
      </c>
      <c r="AD137">
        <f t="shared" si="2"/>
        <v>68677.28228699998</v>
      </c>
      <c r="AE137" s="3">
        <f>3545.3+(210.7-901.6)+(0+(0-0))+0--289.1-0</f>
        <v>3143.5</v>
      </c>
    </row>
    <row r="138" spans="1:31" s="2" customFormat="1" x14ac:dyDescent="0.25">
      <c r="A138">
        <v>89</v>
      </c>
      <c r="B138">
        <v>5</v>
      </c>
      <c r="C138">
        <v>14</v>
      </c>
      <c r="D138">
        <v>6</v>
      </c>
      <c r="E138">
        <v>1</v>
      </c>
      <c r="F138" s="3">
        <f>3497.5+(268.7-1056.1)+(-1.783725+(-0.137037--0.538611))+0--283.3-0.144482999999971</f>
        <v>2991.8733660000007</v>
      </c>
      <c r="G138" s="3">
        <f>3487.9+(257.9-1130.6)+(-1.778829+(-0.131529--0.576606))+0--281.2-0.143411999999971</f>
        <v>2894.9228360000002</v>
      </c>
      <c r="H138" s="3">
        <f>3403+(294.8-1136.7)+(-3.47106+(-0.300696--1.159434))+0--266.5-0.271830000000042</f>
        <v>2824.7158479999998</v>
      </c>
      <c r="I138" s="3">
        <f>3245.7+(356.3-1103.2)+(-3.310614+(-0.363426--1.125264))+0--267.2-0.272544000000043</f>
        <v>2763.1786799999995</v>
      </c>
      <c r="J138" s="3">
        <f>2973.7+(405.5-934.9)+(-6.066348+(-0.82722--1.907196))+0--268.7-0.548147999999988</f>
        <v>2707.4654799999998</v>
      </c>
      <c r="K138" s="3">
        <f>2759.2+(476.5-831.9)+(-7.03596+(-1.215075--2.121345))+0--269.3-0.686714999999961</f>
        <v>2666.2835949999999</v>
      </c>
      <c r="L138" s="3">
        <f>2741.8+(541.3-1009.3)+(-4.194954+(-0.828189--1.544229))+0--228.4-0.349452000000013</f>
        <v>2498.3716340000005</v>
      </c>
      <c r="M138" s="3">
        <f>2833.5+(461.1-1057.3)+(-1.445085+(-0.235161--0.539223))+0--208.6-0.106385999999979</f>
        <v>2444.652591</v>
      </c>
      <c r="N138" s="3">
        <f>2958.6+(362.1-1020.8)+(1.508886+(0.184671-0.520608))+0--232.2--0.118421999999976</f>
        <v>2533.3913709999997</v>
      </c>
      <c r="O138" s="3">
        <f>3262.5+(260.3-1164.7)+(-1.663875+(-0.132753--0.593997))+0--275.8-0.140657999999972</f>
        <v>2632.5567110000002</v>
      </c>
      <c r="P138" s="3">
        <f>3372.3+(258-1132.1)+(1.719873+(0.13158-0.577371))+0--268.1--0.136730999999973</f>
        <v>2767.7108130000001</v>
      </c>
      <c r="Q138" s="3">
        <f>3368.1+(254.8-979.6)+(-1.717731+(-0.129948--0.499596))+0--262.8-0.134027999999973</f>
        <v>2904.6178890000006</v>
      </c>
      <c r="R138" s="3">
        <f>3353.3+(231.6-805.3)+(0+(0-0))+0--261.7-0</f>
        <v>3041.3</v>
      </c>
      <c r="S138" s="3">
        <f>3338.2+(210.9-754.4)+(-5.107446+(-0.322677--1.154232))+0--262.8-0.402084000000015</f>
        <v>3052.8220250000004</v>
      </c>
      <c r="T138" s="3">
        <f>3328.7+(210.7-710.5)+(0+(0-0))+0--261.7-0</f>
        <v>3090.5999999999995</v>
      </c>
      <c r="U138" s="3">
        <f>3306.2+(213.3-680.5)+(-8.43081+(-0.543915--1.735275))+0--260.7-0.664784999999962</f>
        <v>3091.7957649999998</v>
      </c>
      <c r="V138" s="3">
        <f>3294.9+(230-744)+(1.680399+(0.1173-0.37944))+0--261.6--0.133415999999973</f>
        <v>3044.0516750000002</v>
      </c>
      <c r="W138" s="3">
        <f>3309.5+(281.5-942.5)+(-5.063535+(-0.430695--1.442025))+0--264.5-0.404685000000015</f>
        <v>2908.5431100000001</v>
      </c>
      <c r="X138" s="3">
        <f>3233+(313.5-1136.8)+(-6.59532+(-0.63954--2.319072))+0--266.9-0.544475999999988</f>
        <v>2671.1397360000001</v>
      </c>
      <c r="Y138" s="3">
        <f>2923.9+(353.1-970.8)+(-1.491189+(-0.180081--0.495108))+0--268.4-0.136883999999973</f>
        <v>2573.2869540000002</v>
      </c>
      <c r="Z138" s="3">
        <f>3232.6+(280.1-853.1)+(-4.945878+(-0.428553--1.305243))+0--268.7-0.411111000000015</f>
        <v>2923.8197009999999</v>
      </c>
      <c r="AA138" s="3">
        <f>3477.8+(238.8-955)+(-5.321034+(-0.365364--1.46115))+0--268.5-0.410805000000016</f>
        <v>3025.4639470000002</v>
      </c>
      <c r="AB138" s="3">
        <f>3409.8+(243.3-911.1)+(-6.955992+(-0.496332--1.858644))+0--268.4-0.547535999999988</f>
        <v>3004.2587840000001</v>
      </c>
      <c r="AC138" s="3">
        <f>3414.3+(255.6-926.5)+(-1.741293+(-0.130356--0.472515))+0--267-0.136169999999973</f>
        <v>3008.8646960000005</v>
      </c>
      <c r="AD138">
        <f t="shared" si="2"/>
        <v>68065.68720700001</v>
      </c>
      <c r="AE138" s="3">
        <f>3524+(289.1-944.2)+(0+(0-0))+0--269.3-0</f>
        <v>3138.2000000000003</v>
      </c>
    </row>
    <row r="139" spans="1:31" s="2" customFormat="1" x14ac:dyDescent="0.25">
      <c r="A139">
        <v>89</v>
      </c>
      <c r="B139">
        <v>5</v>
      </c>
      <c r="C139">
        <v>15</v>
      </c>
      <c r="D139">
        <v>7</v>
      </c>
      <c r="E139">
        <v>1</v>
      </c>
      <c r="F139" s="3">
        <f>3418.8+(254.4-956.5)+(-5.230764+(-0.389232--1.463445))+0--267.6-0.409428000000016</f>
        <v>2979.7340210000002</v>
      </c>
      <c r="G139" s="3">
        <f>3431.8+(231.2-1046.2)+(-5.250654+(-0.353736--1.600686))+0--269.3-0.412029000000016</f>
        <v>2881.6842670000001</v>
      </c>
      <c r="H139" s="3">
        <f>3443.8+(221.4-1124.1)+(0+(0-0))+0--268.3-0</f>
        <v>2809.4000000000005</v>
      </c>
      <c r="I139" s="3">
        <f>3449.6+(225.9-1191.3)+(-5.277888+(-0.345627--1.822689))+0--269.8-0.412794000000016</f>
        <v>2749.78638</v>
      </c>
      <c r="J139" s="3">
        <f>3255+(284.8-1096.5)+(-1.66005+(-0.145248--0.559215))+0--271.8-0.138617999999972</f>
        <v>2713.7152990000004</v>
      </c>
      <c r="K139" s="3">
        <f>2923.5+(377.6-910.5)+(-7.454925+(-0.96288--2.321775))+0--273.9-0.69844499999996</f>
        <v>2657.7055249999999</v>
      </c>
      <c r="L139" s="3">
        <f>2692.1+(439.4-945.2)+(-6.864855+(-1.12047--2.41026))+0--274.6-0.70022999999996</f>
        <v>2454.6247049999997</v>
      </c>
      <c r="M139" s="3">
        <f>2656.8+(449.4-985.6)+(0+(0-0))+0--219.4-0</f>
        <v>2340.0000000000005</v>
      </c>
      <c r="N139" s="3">
        <f>2737.6+(366.9-967.6)+(-5.584704+(-0.748476--1.973904))+0--205.7-0.419627999999991</f>
        <v>2337.8210959999992</v>
      </c>
      <c r="O139" s="3">
        <f>2810.8+(317.2-952.3)+(2.867016+(0.323544-0.971346))+0--204.2--0.208284000000033</f>
        <v>2382.3274980000001</v>
      </c>
      <c r="P139" s="3">
        <f>3064+(260.9-1052.6)+(0+(0-0))+0--202.2-0</f>
        <v>2474.5</v>
      </c>
      <c r="Q139" s="3">
        <f>3239.4+(208.8-1075.6)+(-1.652094+(-0.106488--0.548556))+0--261.3-0.133262999999973</f>
        <v>2632.5567110000002</v>
      </c>
      <c r="R139" s="3">
        <f>3268.1+(189.1-937.6)+(-5.000193+(-0.289323--1.434528))+0--262.6-0.401778000000015</f>
        <v>2777.9432339999998</v>
      </c>
      <c r="S139" s="3">
        <f>3247.7+(184.3-849.6)+(-1.656327+(-0.093993--0.433296))+0--264.4-0.134843999999973</f>
        <v>2845.3481319999996</v>
      </c>
      <c r="T139" s="3">
        <f>3241.8+(191.1-781.6)+(-4.959954+(-0.292383--1.195848))+0--259.4-0.396882000000015</f>
        <v>2906.2466290000002</v>
      </c>
      <c r="U139" s="3">
        <f>3243.4+(202.2-754.6)+(-1.654134+(-0.103122--0.384846))+0--255.3-0.130202999999974</f>
        <v>2944.7973870000001</v>
      </c>
      <c r="V139" s="3">
        <f>3242.2+(197.7-787.5)+(-8.26761+(-0.504135--2.008125))+0--260-0.662999999999962</f>
        <v>2904.9733799999995</v>
      </c>
      <c r="W139" s="3">
        <f>3246.5+(222.4-949.3)+(-8.278575+(-0.56712--2.420715))+0--264.7-0.674984999999962</f>
        <v>2777.2000349999998</v>
      </c>
      <c r="X139" s="3">
        <f>3136.4+(255.5-1078.4)+(-4.798692+(-0.390915--1.649952))+0--264.9-0.405297000000015</f>
        <v>2574.4550480000003</v>
      </c>
      <c r="Y139" s="3">
        <f>2863+(239.4-921.4)+(0+(0-0))+0--267.4-0</f>
        <v>2448.4</v>
      </c>
      <c r="Z139" s="3">
        <f>3255.9+(169.4-876.1)+(1.660509+(0.086394-0.446811))+0--269.1--0.137240999999973</f>
        <v>2819.7373329999996</v>
      </c>
      <c r="AA139" s="3">
        <f>3424.6+(196-896.7)+(-1.746546+(-0.09996--0.457317))+0--268.6-0.136985999999973</f>
        <v>2990.9738249999996</v>
      </c>
      <c r="AB139" s="3">
        <f>3437+(208.3-907.5)+(0+(0-0))+0--269.7-0</f>
        <v>3007.5</v>
      </c>
      <c r="AC139" s="3">
        <f>3445.5+(207.9-895.9)+(-5.271615+(-0.318087--1.370727))+0--270.2-0.413406000000016</f>
        <v>3023.0676189999999</v>
      </c>
      <c r="AD139">
        <f t="shared" si="2"/>
        <v>65434.498124000012</v>
      </c>
      <c r="AE139" s="3">
        <f>3439+(217.5-898.5)+(0+(0-0))+0--270.4-0</f>
        <v>3028.4</v>
      </c>
    </row>
    <row r="140" spans="1:31" s="2" customFormat="1" x14ac:dyDescent="0.25">
      <c r="A140">
        <v>89</v>
      </c>
      <c r="B140">
        <v>5</v>
      </c>
      <c r="C140">
        <v>16</v>
      </c>
      <c r="D140">
        <v>1</v>
      </c>
      <c r="E140">
        <v>1</v>
      </c>
      <c r="F140" s="3">
        <f>3458.7+(233.8-991.9)+(-1.763937+(-0.119238--0.505869))+0--270.4-0.137903999999973</f>
        <v>2969.48479</v>
      </c>
      <c r="G140" s="3">
        <f>3464.3+(245.4-1109)+(-1.766793+(-0.125154--0.56559))+0--270.6-0.138005999999973</f>
        <v>2869.8356370000001</v>
      </c>
      <c r="H140" s="3">
        <f>3391.7+(270.3-1137.1)+(-1.729767+(-0.137853--0.579921))+0--271.3-0.138362999999972</f>
        <v>2794.7739379999998</v>
      </c>
      <c r="I140" s="3">
        <f>3218.7+(339.9-1082)+(-3.283074+(-0.346698--1.10364))+0--272.1-0.277542000000043</f>
        <v>2745.8963259999996</v>
      </c>
      <c r="J140" s="3">
        <f>3084.8+(374.4-1029.3)+(-4.719744+(-0.572832--1.574829))+0--272.2-0.416466000000016</f>
        <v>2697.9657869999996</v>
      </c>
      <c r="K140" s="3">
        <f>3039.5+(374.4-1022.2)+(-4.650435+(-0.572832--1.563966))+0--273.3-0.418149000000016</f>
        <v>2660.9225499999998</v>
      </c>
      <c r="L140" s="3">
        <f>2713.2+(484.3-965.7)+(-6.91866+(-1.234965--2.462535))+0--274.7-0.70048499999996</f>
        <v>2500.1084249999999</v>
      </c>
      <c r="M140" s="3">
        <f>2673.5+(493.5-970.3)+(0+(0-0))+0--273.7-0</f>
        <v>2470.3999999999996</v>
      </c>
      <c r="N140" s="3">
        <f>2962+(389.8-1042.8)+(-1.51062+(-0.198798--0.531828))+0--272.8-0.139127999999972</f>
        <v>2580.4832820000006</v>
      </c>
      <c r="O140" s="3">
        <f>3313.5+(300.3-1204.4)+(0+(0-0))+0--270.3-0</f>
        <v>2679.7</v>
      </c>
      <c r="P140" s="3">
        <f>3397.6+(271.8-1120.2)+(1.732776+(0.138618-0.571302))+0--268.9--0.137138999999973</f>
        <v>2819.5372309999998</v>
      </c>
      <c r="Q140" s="3">
        <f>3393.8+(241.1-927.1)+(-1.730838+(-0.122961--0.472821))+0--263.7-0.134486999999973</f>
        <v>2969.9845350000001</v>
      </c>
      <c r="R140" s="3">
        <f>3372.5+(235.3-727)+(1.719975+(0.120003-0.37077))+0--265.5--0.135404999999973</f>
        <v>3147.9046130000002</v>
      </c>
      <c r="S140" s="3">
        <f>3360.8+(216.5-653.8)+(-5.142024+(-0.331245--1.000314))+0--265.5-0.406215000000015</f>
        <v>3184.1208299999998</v>
      </c>
      <c r="T140" s="3">
        <f>3359.3+(218.1-605)+(0+(0-0))+0--266.5-0</f>
        <v>3238.9</v>
      </c>
      <c r="U140" s="3">
        <f>3349+(228.9-600)+(0+(0-0))+0--263.9-0</f>
        <v>3241.8</v>
      </c>
      <c r="V140" s="3">
        <f>3351.9+(194-593.5)+(-6.837876+(-0.39576--1.21074))+0--265-0.540599999999988</f>
        <v>3210.8365040000003</v>
      </c>
      <c r="W140" s="3">
        <f>3291.9+(242.5-695.3)+(-3.357738+(-0.24735--0.709206))+0--263.1-0.268362000000042</f>
        <v>3099.0357560000002</v>
      </c>
      <c r="X140" s="3">
        <f>3265.3+(289.9-952.7)+(-4.995909+(-0.443547--1.457631))+0--263.7-0.403461000000015</f>
        <v>2861.8147140000001</v>
      </c>
      <c r="Y140" s="3">
        <f>3128.7+(301.1-958.1)+(0+(0-0))+0--266.1-0</f>
        <v>2737.7999999999997</v>
      </c>
      <c r="Z140" s="3">
        <f>3327.8+(252.6-768.1)+(0+(0-0))+0--269.3-0</f>
        <v>3081.6000000000004</v>
      </c>
      <c r="AA140" s="3">
        <f>3447.6+(266-779.7)+(0+(0-0))+0--270.1-0</f>
        <v>3203.9999999999995</v>
      </c>
      <c r="AB140" s="3">
        <f>3494.9+(259-831.3)+(3.564798+(0.26418-0.847926))+0--269.3--0.274686000000043</f>
        <v>3195.1557380000008</v>
      </c>
      <c r="AC140" s="3">
        <f>3481.4+(259.2-859)+(-1.775514+(-0.132192--0.43809))+0--270.2-0.137801999999973</f>
        <v>3150.1925820000001</v>
      </c>
      <c r="AD140">
        <f t="shared" si="2"/>
        <v>70112.253238000005</v>
      </c>
      <c r="AE140" s="3">
        <f>3518+(280-773.3)+(0+(0-0))+0--269.3-0</f>
        <v>3294</v>
      </c>
    </row>
    <row r="141" spans="1:31" s="2" customFormat="1" x14ac:dyDescent="0.25">
      <c r="A141">
        <v>89</v>
      </c>
      <c r="B141">
        <v>5</v>
      </c>
      <c r="C141">
        <v>17</v>
      </c>
      <c r="D141">
        <v>2</v>
      </c>
      <c r="E141">
        <v>1</v>
      </c>
      <c r="F141" s="3">
        <f>3454.6+(321.1-973.2)+(-7.047384+(-0.655044--1.985328))+0--270.7-0.552227999999988</f>
        <v>3066.930672</v>
      </c>
      <c r="G141" s="3">
        <f>3421.9+(288.2-1024.4)+(-1.745169+(-0.146982--0.522444))+0--270.2-0.137801999999973</f>
        <v>2954.3924909999996</v>
      </c>
      <c r="H141" s="3">
        <f>3426.6+(287-1106.7)+(0+(0-0))+0--270.6-0</f>
        <v>2877.4999999999995</v>
      </c>
      <c r="I141" s="3">
        <f>3369.8+(305.9-1123.1)+(-5.155794+(-0.468027--1.718343))+0--271.5-0.415395000000016</f>
        <v>2819.7791270000002</v>
      </c>
      <c r="J141" s="3">
        <f>3324.3+(318.1-1129.9)+(-3.390786+(-0.324462--1.152498))+0--271.8-0.277236000000043</f>
        <v>2781.4600140000002</v>
      </c>
      <c r="K141" s="3">
        <f>3199.8+(371.1-1089.5)+(-3.263796+(-0.378522--1.11129))+0--271.4-0.276828000000043</f>
        <v>2749.9921440000003</v>
      </c>
      <c r="L141" s="3">
        <f>2902.5+(442.1-1035.2)+(-5.9211+(-0.901884--2.111808))+0--272.3-0.555491999999988</f>
        <v>2576.4333320000005</v>
      </c>
      <c r="M141" s="3">
        <f>2768+(476-996.2)+(0+(0-0))+0--272.1-0</f>
        <v>2519.9</v>
      </c>
      <c r="N141" s="3">
        <f>2952.1+(411.2-1018.6)+(-1.505571+(-0.209712--0.519486))+0--271.8-0.138617999999972</f>
        <v>2615.1655850000002</v>
      </c>
      <c r="O141" s="3">
        <f>3094.5+(362.2-1032.1)+(-4.734585+(-0.554166--1.579113))+0--268.6-0.410958000000016</f>
        <v>2689.0794040000005</v>
      </c>
      <c r="P141" s="3">
        <f>3111+(351-917)+(0+(0-0))+0--276-0</f>
        <v>2821</v>
      </c>
      <c r="Q141" s="3">
        <f>3355.9+(248-901.4)+(0+(0-0))+0--263.5-0</f>
        <v>2966</v>
      </c>
      <c r="R141" s="3">
        <f>3439.3+(228.1-787.1)+(1.754043+(0.116331-0.401421))+0--262.8--0.134027999999973</f>
        <v>3144.7029810000004</v>
      </c>
      <c r="S141" s="3">
        <f>3446.8+(230.1-748)+(-1.757868+(-0.117351--0.38148))+0--264.1-0.134690999999973</f>
        <v>3191.3715700000002</v>
      </c>
      <c r="T141" s="3">
        <f>3437.9+(217.9-693)+(1.753329+(0.111129-0.35343))+0--263.4--0.134333999999973</f>
        <v>3227.845362</v>
      </c>
      <c r="U141" s="3">
        <f>3425.7+(231-662)+(-1.747107+(-0.11781--0.33762))+0--263.5-0.134384999999973</f>
        <v>3256.5383179999999</v>
      </c>
      <c r="V141" s="3">
        <f>3400.1+(256.6-684.9)+(-1.734051+(-0.130866--0.349299))+0--264.8-0.135047999999973</f>
        <v>3234.9493340000004</v>
      </c>
      <c r="W141" s="3">
        <f>3394.1+(278.1-846)+(-5.192973+(-0.425493--1.29438))+0--266.2-0.407286000000015</f>
        <v>3087.6686279999994</v>
      </c>
      <c r="X141" s="3">
        <f>3381.5+(320.7-1125.5)+(-8.622825+(-0.817785--2.870025))+0--267.3-0.681614999999961</f>
        <v>2836.7478000000001</v>
      </c>
      <c r="Y141" s="3">
        <f>3245.8+(304.8-1104.9)+(-3.310716+(-0.310896--1.126998))+0--268.7-0.274074000000043</f>
        <v>2711.6313119999995</v>
      </c>
      <c r="Z141" s="3">
        <f>3457.3+(249.6-918.3)+(-1.763223+(-0.127296--0.468333))+0--268.4-0.136883999999973</f>
        <v>3055.4409300000007</v>
      </c>
      <c r="AA141" s="3">
        <f>3512.5+(252.9-875.8)+(-5.374125+(-0.386937--1.339974))+0--269.3-0.412029000000016</f>
        <v>3154.066883</v>
      </c>
      <c r="AB141" s="3">
        <f>3518.8+(243.7-892.9)+(0+(0-0))+0--268.8-0</f>
        <v>3138.4000000000005</v>
      </c>
      <c r="AC141" s="3">
        <f>3466.6+(244-864.2)+(-3.535932+(-0.24888--0.881484))+0--269.2-0.274584000000043</f>
        <v>3112.4220879999993</v>
      </c>
      <c r="AD141">
        <f t="shared" si="2"/>
        <v>70589.417974999989</v>
      </c>
      <c r="AE141" s="3">
        <f>3513+(267.4-856.4)+(0+(0-0))+0--268.3-0</f>
        <v>3192.3</v>
      </c>
    </row>
    <row r="142" spans="1:31" s="2" customFormat="1" x14ac:dyDescent="0.25">
      <c r="A142">
        <v>89</v>
      </c>
      <c r="B142">
        <v>5</v>
      </c>
      <c r="C142">
        <v>18</v>
      </c>
      <c r="D142">
        <v>3</v>
      </c>
      <c r="E142">
        <v>1</v>
      </c>
      <c r="F142" s="3">
        <f>3436.1+(292.3-954.4)+(-8.762055+(-0.745365--2.43372))+0--267.4-0.681869999999961</f>
        <v>3033.6444300000003</v>
      </c>
      <c r="G142" s="3">
        <f>3453.3+(275.5-1038.1)+(-3.522366+(-0.28101--1.058862))+0--266.2-0.271524000000042</f>
        <v>2953.8839619999999</v>
      </c>
      <c r="H142" s="3">
        <f>3416.2+(278.5-1112.6)+(-1.742262+(-0.142035--0.567426))+0--270.4-0.137903999999973</f>
        <v>2851.0452249999998</v>
      </c>
      <c r="I142" s="3">
        <f>3270.3+(288.9-1004.4)+(1.667853+(0.147339-0.512244))+0--228.7--0.116636999999977</f>
        <v>2784.9195850000001</v>
      </c>
      <c r="J142" s="3">
        <f>3281.5+(295.3-1040.3)+(5.020695+(0.451809-1.591659))+0--205.1--0.313803000000012</f>
        <v>2745.7946480000001</v>
      </c>
      <c r="K142" s="3">
        <f>3273.1+(302.6-1070.6)+(-1.669281+(-0.154326--0.546006))+0--205.7-0.104906999999979</f>
        <v>2709.417492</v>
      </c>
      <c r="L142" s="3">
        <f>2947.6+(392.9-993.1)+(-4.509828+(-0.601137--1.519443))+0--206.5-0.315945000000012</f>
        <v>2549.9925329999996</v>
      </c>
      <c r="M142" s="3">
        <f>2836.8+(432.8-990.8)+(0+(0-0))+0--206.9-0</f>
        <v>2485.7000000000003</v>
      </c>
      <c r="N142" s="3">
        <f>3052+(386.3-1069.3)+(3.11304+(0.394026-1.090686))+0--240.7--0.245514000000038</f>
        <v>2612.3618940000001</v>
      </c>
      <c r="O142" s="3">
        <f>3203+(373.8-1165.6)+(-3.26706+(-0.381276--1.188912))+0--269.2-0.274584000000043</f>
        <v>2677.6659919999993</v>
      </c>
      <c r="P142" s="3">
        <f>3332+(329.5-1101.5)+(5.09796+(0.504135-1.685295))+0--265.6--0.406368000000015</f>
        <v>2829.9231679999998</v>
      </c>
      <c r="Q142" s="3">
        <f>3331.8+(294.3-899.7)+(1.699218+(0.150093-0.458847))+0--264.7--0.134996999999973</f>
        <v>2992.6254610000001</v>
      </c>
      <c r="R142" s="3">
        <f>3335.7+(257.9-730.7)+(-3.402414+(-0.263058--0.745314))+0--266.5-0.271830000000042</f>
        <v>3126.2080119999996</v>
      </c>
      <c r="S142" s="3">
        <f>3341.8+(231.2-661.1)+(1.704318+(0.117912-0.337161))+0--256.6--0.130865999999974</f>
        <v>3170.1159349999998</v>
      </c>
      <c r="T142" s="3">
        <f>3334.4+(215.4-599.5)+(0+(0-0))+0--265.6-0</f>
        <v>3215.9</v>
      </c>
      <c r="U142" s="3">
        <f>3313.5+(226-595.3)+(0+(0-0))+0--243.3-0</f>
        <v>3187.5</v>
      </c>
      <c r="V142" s="3">
        <f>3298.8+(235.1-605.9)+(-1.682388+(-0.119901--0.309009))+0--249.5-0.127244999999975</f>
        <v>3175.8794749999997</v>
      </c>
      <c r="W142" s="3">
        <f>3276.1+(247.7-727.4)+(-3.341622+(-0.252654--0.741948))+0--265.1-0.270402000000042</f>
        <v>3058.37727</v>
      </c>
      <c r="X142" s="3">
        <f>3261.6+(320.1-1017.9)+(-8.31708+(-0.816255--2.595645))+0--268-0.683399999999961</f>
        <v>2824.5789100000002</v>
      </c>
      <c r="Y142" s="3">
        <f>3097.1+(343.2-1015.5)+(-3.159042+(-0.350064--1.03581))+0--266-0.271320000000042</f>
        <v>2688.0553840000002</v>
      </c>
      <c r="Z142" s="3">
        <f>3358.8+(264.1-842.9)+(-1.712988+(-0.134691--0.429879))+0--266.9-0.136118999999973</f>
        <v>3045.3460810000001</v>
      </c>
      <c r="AA142" s="3">
        <f>3434.5+(247.6-790.3)+(-7.00638+(-0.505104--1.612212))+0--266.6-0.543863999999988</f>
        <v>3151.9568639999998</v>
      </c>
      <c r="AB142" s="3">
        <f>3477.3+(247.9-846.7)+(-3.546846+(-0.252858--0.863634))+0--266.7-0.272034000000043</f>
        <v>3141.9918959999995</v>
      </c>
      <c r="AC142" s="3">
        <f>3477.5+(248.3-877)+(-3.54705+(-0.253266--0.89454))+0--267.3-0.272646000000043</f>
        <v>3112.9215780000004</v>
      </c>
      <c r="AD142">
        <f t="shared" si="2"/>
        <v>70125.805795000007</v>
      </c>
      <c r="AE142" s="3">
        <f>3424+(248.5-778.3)+(0+(0-0))+0--265.3-0</f>
        <v>3159.5</v>
      </c>
    </row>
    <row r="143" spans="1:31" s="2" customFormat="1" x14ac:dyDescent="0.25">
      <c r="A143">
        <v>89</v>
      </c>
      <c r="B143">
        <v>5</v>
      </c>
      <c r="C143">
        <v>19</v>
      </c>
      <c r="D143">
        <v>4</v>
      </c>
      <c r="E143">
        <v>1</v>
      </c>
      <c r="F143" s="3">
        <f>3419.1+(276.5-928.2)+(-3.487482+(-0.28203--0.946764))+0--269.6-0.274992000000043</f>
        <v>3033.9022599999994</v>
      </c>
      <c r="G143" s="3">
        <f>3430.5+(265.9-1052.1)+(-3.49911+(-0.271218--1.073142))+0--268.9-0.274278000000043</f>
        <v>2910.2285360000005</v>
      </c>
      <c r="H143" s="3">
        <f>3431.8+(275.7-1152.4)+(-7.000872+(-0.562428--2.350896))+0--269.2-0.549167999999988</f>
        <v>2818.5384280000003</v>
      </c>
      <c r="I143" s="3">
        <f>3314.1+(298.9-1118.9)+(1.690191+(0.152439-0.570639))+0--271.8--0.138617999999972</f>
        <v>2767.3106090000001</v>
      </c>
      <c r="J143" s="3">
        <f>3193.3+(285.3-1024.9)+(6.514332+(0.582012-2.090796))+0--269.6--0.549983999999988</f>
        <v>2728.8555319999996</v>
      </c>
      <c r="K143" s="3">
        <f>3104+(307.3-986.4)+(3.16608+(0.313446-1.006128))+0--268.7--0.274074000000043</f>
        <v>2696.3474719999999</v>
      </c>
      <c r="L143" s="3">
        <f>2835.9+(413.3-919.6)+(-2.892618+(-0.421566--0.937992))+0--215.1-0.219402000000034</f>
        <v>2542.1044059999995</v>
      </c>
      <c r="M143" s="3">
        <f>2799.5+(439.7-949.2)+(2.85549+(0.448494-0.968184))+0--206.3--0.210426000000033</f>
        <v>2498.8462260000001</v>
      </c>
      <c r="N143" s="3">
        <f>2799.9+(441.1-868.2)+(4.283847+(0.674883-1.328346))+0--205.6--0.314568000000012</f>
        <v>2582.3449520000004</v>
      </c>
      <c r="O143" s="3">
        <f>2850.6+(432.9-817.6)+(5.815224+(0.883116-1.667904))+0--202.8--0.413711999999991</f>
        <v>2674.1441479999999</v>
      </c>
      <c r="P143" s="3">
        <f>3308.3+(294.4-1042.8)+(3.374466+(0.300288-1.063656))+0--243--0.247860000000039</f>
        <v>2805.7589579999999</v>
      </c>
      <c r="Q143" s="3">
        <f>3360.2+(271-940.8)+(0+(0-0))+0--263.4-0</f>
        <v>2953.7999999999997</v>
      </c>
      <c r="R143" s="3">
        <f>3377.4+(244.7-770.4)+(1.722474+(0.124797-0.392904))+0--264.2--0.134741999999973</f>
        <v>3117.4891089999996</v>
      </c>
      <c r="S143" s="3">
        <f>3366.4+(214.5-703.9)+(0+(0-0))+0--264.5-0</f>
        <v>3141.5</v>
      </c>
      <c r="T143" s="3">
        <f>3362.4+(228-633)+(0+(0-0))+0--264.1-0</f>
        <v>3221.5</v>
      </c>
      <c r="U143" s="3">
        <f>3350.5+(235.8-602.7)+(1.708755+(0.120258-0.307377))+0--264.6--0.134945999999973</f>
        <v>3249.8565819999999</v>
      </c>
      <c r="V143" s="3">
        <f>3345.3+(242.5-641.3)+(3.412206+(0.24735-0.654126))+0--264.9--0.270198000000042</f>
        <v>3214.6756280000004</v>
      </c>
      <c r="W143" s="3">
        <f>3336+(269.1-774.8)+(-6.80544+(-0.548964--1.580592))+0--265.5-0.541619999999988</f>
        <v>3089.4845680000003</v>
      </c>
      <c r="X143" s="3">
        <f>3287.2+(309.7-1009.1)+(-8.38236+(-0.789735--2.573205))+0--267-0.680849999999961</f>
        <v>2847.5202599999998</v>
      </c>
      <c r="Y143" s="3">
        <f>3145.5+(252.3-978.5)+(3.20841+(0.257346-0.99807))+0--268.9--0.274278000000043</f>
        <v>2690.9419640000001</v>
      </c>
      <c r="Z143" s="3">
        <f>3330.7+(224.9-770.9)+(0+(0-0))+0--269.3-0</f>
        <v>3054</v>
      </c>
      <c r="AA143" s="3">
        <f>3443.8+(227-784.2)+(-3.512676+(-0.23154--0.799884))+0--270-0.275400000000043</f>
        <v>3153.3802680000003</v>
      </c>
      <c r="AB143" s="3">
        <f>3490+(220-837.5)+(-1.7799+(-0.1122--0.427125))+0--270.8-0.138107999999973</f>
        <v>3141.6969170000002</v>
      </c>
      <c r="AC143" s="3">
        <f>3494.9+(238.1-883.6)+(-7.129596+(-0.485724--1.802544))+0--270.2-0.551207999999988</f>
        <v>3113.2360159999998</v>
      </c>
      <c r="AD143">
        <f t="shared" si="2"/>
        <v>70047.462838999985</v>
      </c>
      <c r="AE143" s="3">
        <f>3409+(253.8-742.4)+(0+(0-0))+0--267.2-0</f>
        <v>3187.6</v>
      </c>
    </row>
    <row r="144" spans="1:31" s="2" customFormat="1" x14ac:dyDescent="0.25">
      <c r="A144">
        <v>89</v>
      </c>
      <c r="B144">
        <v>5</v>
      </c>
      <c r="C144">
        <v>20</v>
      </c>
      <c r="D144">
        <v>5</v>
      </c>
      <c r="E144">
        <v>1</v>
      </c>
      <c r="F144" s="3">
        <f>3435.1+(289.7-937)+(-7.007604+(-0.590988--1.91148))+0--268.7-0.548147999999988</f>
        <v>3050.2647400000001</v>
      </c>
      <c r="G144" s="3">
        <f>3360.6+(309.1-992.4)+(-5.141718+(-0.472923--1.518372))+0--267.9-0.409887000000015</f>
        <v>2940.6938440000004</v>
      </c>
      <c r="H144" s="3">
        <f>3370+(297.8-1067.9)+(-6.8748+(-0.607512--2.178516))+0--267.5-0.545699999999988</f>
        <v>2861.5505039999994</v>
      </c>
      <c r="I144" s="3">
        <f>3384.5+(306.6-1144.6)+(-8.630475+(-0.78183--2.91873))+0--265.3-0.676514999999962</f>
        <v>2804.6299100000001</v>
      </c>
      <c r="J144" s="3">
        <f>3408.7+(321.1-1196.3)+(-10.430622+(-0.982566--3.660678))+0--266.9-0.816714000000031</f>
        <v>2791.8307760000002</v>
      </c>
      <c r="K144" s="3">
        <f>3411.2+(320.5-1247.6)+(-6.958848+(-0.65382--2.545104))+0--272.6-0.556103999999988</f>
        <v>2751.0763320000001</v>
      </c>
      <c r="L144" s="3">
        <f>2949.7+(437.7-1074)+(-9.026082+(-1.339362--3.28644))+0--274.6-0.840276000000032</f>
        <v>2580.0807199999995</v>
      </c>
      <c r="M144" s="3">
        <f>2906.7+(456.5-1119.3)+(-4.447251+(-0.698445--1.712529))+0--271.5-0.415395000000016</f>
        <v>2511.5514379999995</v>
      </c>
      <c r="N144" s="3">
        <f>3163.4+(372.8-1182)+(0+(0-0))+0--266.9-0</f>
        <v>2621.1</v>
      </c>
      <c r="O144" s="3">
        <f>3406.7+(313.4-1239.4)+(-1.737417+(-0.159834--0.632094))+0--265-0.135149999999973</f>
        <v>2744.2996929999999</v>
      </c>
      <c r="P144" s="3">
        <f>3380.5+(315.8-1086.9)+(5.172165+(0.483174-1.662957))+0--263.2--0.402696000000015</f>
        <v>2876.9950779999995</v>
      </c>
      <c r="Q144" s="3">
        <f>3368.8+(301.7-901.7)+(-1.718088+(-0.153867--0.459867))+0--263-0.134129999999973</f>
        <v>3030.2537820000002</v>
      </c>
      <c r="R144" s="3">
        <f>3433+(265.7-774.1)+(1.75083+(0.135507-0.394791))+0--264.6--0.134945999999973</f>
        <v>3190.8264920000001</v>
      </c>
      <c r="S144" s="3">
        <f>3428.2+(248.3-677.2)+(0+(0-0))+0--264.4-0</f>
        <v>3263.7</v>
      </c>
      <c r="T144" s="3">
        <f>3413.4+(241.3-659.9)+(1.740834+(0.123063-0.336549))+0--265--0.135149999999973</f>
        <v>3261.4624980000003</v>
      </c>
      <c r="U144" s="3">
        <f>3403.5+(236.8-647.6)+(0+(0-0))+0--265.5-0</f>
        <v>3258.2</v>
      </c>
      <c r="V144" s="3">
        <f>3409.2+(245.1-673.3)+(-6.954768+(-0.500004--1.373532))+0--265.8-0.542231999999988</f>
        <v>3240.1765280000004</v>
      </c>
      <c r="W144" s="3">
        <f>3410.2+(283.2-818.3)+(-6.956808+(-0.577728--1.669332))+0--266.6-0.543863999999988</f>
        <v>3135.2909319999994</v>
      </c>
      <c r="X144" s="3">
        <f>3330.3+(336.2-1026.3)+(-10.190718+(-1.028772--3.140478))+0--266.6-0.815796000000031</f>
        <v>2897.9051920000002</v>
      </c>
      <c r="Y144" s="3">
        <f>3279.2+(289.8-1052.8)+(1.672392+(0.147798-0.536928))+0--267.6--0.136475999999973</f>
        <v>2785.2197379999998</v>
      </c>
      <c r="Z144" s="3">
        <f>3461.2+(227.3-794.6)+(3.530424+(0.231846-0.810492))+0--268.2--0.273564000000043</f>
        <v>3165.3253419999996</v>
      </c>
      <c r="AA144" s="3">
        <f>3511.3+(220.2-755.7)+(-5.372289+(-0.336906--1.156221))+0--269-0.411570000000016</f>
        <v>3239.8354559999998</v>
      </c>
      <c r="AB144" s="3">
        <f>3533.8+(218.7-792.8)+(0+(0-0))+0--269.4-0</f>
        <v>3229.1000000000004</v>
      </c>
      <c r="AC144" s="3">
        <f>3528.9+(225-840.6)+(-5.399217+(-0.34425--1.286118))+0--270.4-0.413712000000016</f>
        <v>3178.8289390000004</v>
      </c>
      <c r="AD144">
        <f t="shared" si="2"/>
        <v>71410.197933999982</v>
      </c>
      <c r="AE144" s="3">
        <f>3537+(216.6-744.6)+(0+(0-0))+0--271.3-0</f>
        <v>3280.3</v>
      </c>
    </row>
    <row r="145" spans="1:31" s="2" customFormat="1" x14ac:dyDescent="0.25">
      <c r="A145">
        <v>89</v>
      </c>
      <c r="B145">
        <v>5</v>
      </c>
      <c r="C145">
        <v>21</v>
      </c>
      <c r="D145">
        <v>6</v>
      </c>
      <c r="E145">
        <v>8</v>
      </c>
      <c r="F145" s="3">
        <f>3536.9+(236.5-949.5)+(-7.215276+(-0.48246--1.93698))+0--272.4-0.555695999999988</f>
        <v>3089.9835480000002</v>
      </c>
      <c r="G145" s="3">
        <f>3556.9+(249.4-1097.8)+(-7.256076+(-0.508776--2.239512))+0--271.5-0.553859999999988</f>
        <v>2973.9207999999999</v>
      </c>
      <c r="H145" s="3">
        <f>3525.1+(256-1176.7)+(0+(0-0))+0--271.7-0</f>
        <v>2876.0999999999995</v>
      </c>
      <c r="I145" s="3">
        <f>3521.2+(206.9-1177.1)+(3.591624+(0.211038-1.200642))+0--270.2--0.275604000000043</f>
        <v>2824.0776239999996</v>
      </c>
      <c r="J145" s="3">
        <f>3457.6+(232.7-1120.3)+(-5.290128+(-0.356031--1.714059))+0--272.6-0.417078000000016</f>
        <v>2838.250822</v>
      </c>
      <c r="K145" s="3">
        <f>3154.1+(307.2-976.8)+(-8.042955+(-0.78336--2.49084))+0--272.4-0.69461999999996</f>
        <v>2749.8699050000005</v>
      </c>
      <c r="L145" s="3">
        <f>2829.9+(371.4-805.4)+(-11.545992+(-1.515312--3.286032))+0--222.8-0.909023999999981</f>
        <v>2608.0157040000004</v>
      </c>
      <c r="M145" s="3">
        <f>2728.2+(364.9-742.6)+(2.782764+(0.372198-0.757452))+0--209--0.213180000000033</f>
        <v>2562.11069</v>
      </c>
      <c r="N145" s="3">
        <f>2768.5+(395.6-722.5)+(2.82387+(0.403512-0.73695))+0--206.6--0.210732000000033</f>
        <v>2650.9011639999999</v>
      </c>
      <c r="O145" s="3">
        <f>2825.6+(355.4-635.3)+(5.764224+(0.725016-1.296012))+0--204.7--0.417587999999991</f>
        <v>2756.0108159999995</v>
      </c>
      <c r="P145" s="3">
        <f>2800.3+(334.1-475)+(2.856306+(0.340782-0.4845))+0--202.4--0.206448000000032</f>
        <v>2864.719036</v>
      </c>
      <c r="Q145" s="3">
        <f>2824.4+(319-371.6)+(0+(0-0))+0--201.7-0</f>
        <v>2973.5</v>
      </c>
      <c r="R145" s="3">
        <f>2922.7+(341.4-410.5)+(2.981154+(0.348228-0.41871))+0--205.8--0.209916000000033</f>
        <v>3062.5205880000003</v>
      </c>
      <c r="S145" s="3">
        <f>3246.7+(178.3-567)+(0+(0-0))+0--263.6-0</f>
        <v>3121.6</v>
      </c>
      <c r="T145" s="3">
        <f>3343.6+(182.9-610)+(0+(0-0))+0--264.8-0</f>
        <v>3181.3</v>
      </c>
      <c r="U145" s="3">
        <f>3356.5+(171.5-616.4)+(-1.711815+(-0.087465--0.314364))+0--265.7-0.135506999999973</f>
        <v>3175.6795769999999</v>
      </c>
      <c r="V145" s="3">
        <f>3302.9+(174.2-622.9)+(-1.684479+(-0.088842--0.317679))+0--265.4-0.135353999999973</f>
        <v>3118.0090040000005</v>
      </c>
      <c r="W145" s="3">
        <f>3279.6+(202.4-712.3)+(-5.017788+(-0.309672--1.089819))+0--266.4-0.407592000000015</f>
        <v>3031.4547669999997</v>
      </c>
      <c r="X145" s="3">
        <f>3184.3+(256.3-865.6)+(-6.495972+(-0.522852--1.765824))+0--268.6-0.547943999999988</f>
        <v>2837.7990559999998</v>
      </c>
      <c r="Y145" s="3">
        <f>3054.1+(237.3-791.2)+(1.557591+(0.121023-0.403512))+0--269.6--0.137495999999973</f>
        <v>2771.2125979999996</v>
      </c>
      <c r="Z145" s="3">
        <f>3326.2+(190.7-617.2)+(3.392724+(0.194514-0.629544))+0--270.4--0.275808000000043</f>
        <v>3173.333502</v>
      </c>
      <c r="AA145" s="3">
        <f>3411.3+(178.1-653.8)+(-1.739763+(-0.090831--0.333438))+0--271.4-0.138413999999972</f>
        <v>3205.3644300000005</v>
      </c>
      <c r="AB145" s="3">
        <f>3400.2+(180.2-698.5)+(-1.734102+(-0.091902--0.356235))+0--272-0.138719999999972</f>
        <v>3152.2915109999999</v>
      </c>
      <c r="AC145" s="3">
        <f>3397.5+(189.5-726.4)+(1.732725+(0.096645-0.370464))+0--233.1--0.118880999999976</f>
        <v>3095.2777869999995</v>
      </c>
      <c r="AD145">
        <f t="shared" si="2"/>
        <v>70693.302928999998</v>
      </c>
      <c r="AE145" s="3">
        <f>3420+(211.6-633)+(0+(0-0))+0--271-0</f>
        <v>3269.6</v>
      </c>
    </row>
    <row r="146" spans="1:31" s="2" customFormat="1" x14ac:dyDescent="0.25">
      <c r="A146">
        <v>89</v>
      </c>
      <c r="B146">
        <v>5</v>
      </c>
      <c r="C146">
        <v>22</v>
      </c>
      <c r="D146">
        <v>7</v>
      </c>
      <c r="E146">
        <v>1</v>
      </c>
      <c r="F146" s="3">
        <f>3427.5+(210.2-795.3)+(1.748025+(0.107202-0.405603))+0--201.5--0.10276499999998</f>
        <v>3045.452389</v>
      </c>
      <c r="G146" s="3">
        <f>3430.8+(207.1-885.8)+(-3.499416+(-0.211242--0.903516))+0--199.7-0.203694000000032</f>
        <v>2948.7891640000003</v>
      </c>
      <c r="H146" s="3">
        <f>3444+(201.5-974.5)+(-1.75644+(-0.102765--0.496995))+0--198.1-0.10103099999998</f>
        <v>2867.636759</v>
      </c>
      <c r="I146" s="3">
        <f>3443.3+(193.6-1018.4)+(0+(0-0))+0--197.1-0</f>
        <v>2815.6</v>
      </c>
      <c r="J146" s="3">
        <f>3453.3+(207.8-1025.7)+(-1.761183+(-0.105978--0.523107))+0--196.9-0.10041899999998</f>
        <v>2830.8555270000002</v>
      </c>
      <c r="K146" s="3">
        <f>3443.6+(202.3-1098)+(-3.512472+(-0.206346--1.11996))+0--196.5-0.200430000000031</f>
        <v>2741.6007119999999</v>
      </c>
      <c r="L146" s="3">
        <f>2965.1+(281.8-795)+(-6.048804+(-0.574872--1.6218))+0--142.3-0.290291999999994</f>
        <v>2588.9078319999999</v>
      </c>
      <c r="M146" s="3">
        <f>2687.1+(284.8-583.6)+(-1.370421+(-0.145248--0.297636))+0--98.9-0.05043899999999</f>
        <v>2485.9315279999996</v>
      </c>
      <c r="N146" s="3">
        <f>2703.2+(279.5-576.1)+(-4.135896+(-0.427635--0.881433))+0--98.4-0.150552000000006</f>
        <v>2501.1673499999997</v>
      </c>
      <c r="O146" s="3">
        <f>2760.2+(269.5-562.2)+(1.407702+(0.137445-0.286722))+0--78.5--0.040034999999992</f>
        <v>2547.29846</v>
      </c>
      <c r="P146" s="3">
        <f>2974.7+(270.5-688.6)+(-3.034194+(-0.27591--0.702372))+0--98.1-0.100062000000016</f>
        <v>2651.9922059999999</v>
      </c>
      <c r="Q146" s="3">
        <f>2991.6+(252.3-662.5)+(0+(0-0))+0--203.3-0</f>
        <v>2784.7000000000003</v>
      </c>
      <c r="R146" s="3">
        <f>3202.3+(220.3-697)+(1.633173+(0.112353-0.35547))+0--203.9--0.103988999999979</f>
        <v>2930.9940450000008</v>
      </c>
      <c r="S146" s="3">
        <f>3297.3+(194.4-692.7)+(0+(0-0))+0--202.9-0</f>
        <v>3001.9</v>
      </c>
      <c r="T146" s="3">
        <f>3305.4+(200.8-631.4)+(1.685754+(0.102408-0.322014))+0--203--0.103529999999979</f>
        <v>3079.369678</v>
      </c>
      <c r="U146" s="3">
        <f>3290.8+(200.7-605.5)+(0+(0-0))+0--203.9-0</f>
        <v>3089.9</v>
      </c>
      <c r="V146" s="3">
        <f>3272.8+(223.7-636.2)+(-5.007384+(-0.342261--0.973386))+0--206.5-0.315945000000012</f>
        <v>3062.1077960000002</v>
      </c>
      <c r="W146" s="3">
        <f>3265.6+(251.7-781.5)+(-4.996368+(-0.385101--1.195695))+0--208.5-0.319005000000012</f>
        <v>2939.7952210000003</v>
      </c>
      <c r="X146" s="3">
        <f>3093.9+(289.6-860.9)+(-6.311556+(-0.590784--1.756236))+0--209.5-0.427379999999991</f>
        <v>2726.5265160000004</v>
      </c>
      <c r="Y146" s="3">
        <f>2902.5+(287.7-685.1)+(-2.96055+(-0.293454--0.698802))+0--209.4-0.213588000000033</f>
        <v>2711.7312099999999</v>
      </c>
      <c r="Z146" s="3">
        <f>3337+(234.9-675.4)+(-1.70187+(-0.119799--0.344454))+0--209.8-0.106997999999979</f>
        <v>3104.7157870000001</v>
      </c>
      <c r="AA146" s="3">
        <f>3445.6+(218.1-703.2)+(-8.78628+(-0.556155--1.79316))+0--210.7-0.537284999999969</f>
        <v>3163.1134400000001</v>
      </c>
      <c r="AB146" s="3">
        <f>3450.2+(223.9-732.2)+(-3.519204+(-0.228378--0.746844))+0--211.5-0.215730000000034</f>
        <v>3150.1835319999996</v>
      </c>
      <c r="AC146" s="3">
        <f>3408.8+(245.1-740.5)+(1.738488+(0.125001-0.377655))+0--212.9--0.108578999999978</f>
        <v>3127.8944130000004</v>
      </c>
      <c r="AD146">
        <f t="shared" si="2"/>
        <v>68898.16356500001</v>
      </c>
      <c r="AE146" s="3">
        <f>3449+(225-689.8)+(0+(0-0))+0--210-0</f>
        <v>3194.2</v>
      </c>
    </row>
    <row r="147" spans="1:31" s="2" customFormat="1" x14ac:dyDescent="0.25">
      <c r="A147">
        <v>89</v>
      </c>
      <c r="B147">
        <v>5</v>
      </c>
      <c r="C147">
        <v>23</v>
      </c>
      <c r="D147">
        <v>1</v>
      </c>
      <c r="E147">
        <v>1</v>
      </c>
      <c r="F147" s="3">
        <f>3405.9+(262.3-813.8)+(-6.948036+(-0.535092--1.660152))+0--211-0.430439999999991</f>
        <v>3059.1465840000001</v>
      </c>
      <c r="G147" s="3">
        <f>3446.6+(263.1-953)+(1.757766+(0.134181-0.48603))+0--211.3--0.107762999999979</f>
        <v>2969.51368</v>
      </c>
      <c r="H147" s="3">
        <f>3476.7+(262.1-1047.4)+(-3.546234+(-0.267342--1.068348))+0--211.1-0.215322000000034</f>
        <v>2899.5394499999993</v>
      </c>
      <c r="I147" s="3">
        <f>3516.3+(258.9-1124.5)+(-7.173252+(-0.528156--2.29398))+0--211.7-0.431867999999991</f>
        <v>2856.560704</v>
      </c>
      <c r="J147" s="3">
        <f>3531.6+(261.2-1123.3)+(-1.801116+(-0.133212--0.572883))+0--211.5-0.107864999999979</f>
        <v>2879.53069</v>
      </c>
      <c r="K147" s="3">
        <f>3380.6+(309.1-1081.9)+(-3.448212+(-0.315282--1.103538))+0--211.8-0.216036000000034</f>
        <v>2816.7240079999997</v>
      </c>
      <c r="L147" s="3">
        <f>3135.1+(320-966.7)+(-3.197802+(-0.3264--0.986034))+0--145.1-0.148002000000023</f>
        <v>2630.8138299999996</v>
      </c>
      <c r="M147" s="3">
        <f>2952.1+(329-851.7)+(-1.505571+(-0.16779--0.434367))+0--142.2-0.0725219999999856</f>
        <v>2570.2884839999997</v>
      </c>
      <c r="N147" s="3">
        <f>2983.3+(315.8-741.4)+(1.521483+(0.161058-0.378114))+0--141.6--0.0722159999999856</f>
        <v>2700.6766430000002</v>
      </c>
      <c r="O147" s="3">
        <f>3101.3+(332.5-749.8)+(-4.744989+(-0.508725--1.147194))+0--141.4-0.216342000000008</f>
        <v>2821.0771380000001</v>
      </c>
      <c r="P147" s="3">
        <f>3078.3+(314.1-627)+(1.569933+(0.160191-0.31977))+0--142.2--0.0725219999999856</f>
        <v>2909.0828759999999</v>
      </c>
      <c r="Q147" s="3">
        <f>3124.6+(305.3-537.5)+(4.780638+(0.467109-0.822375))+0--146.4--0.223992000000008</f>
        <v>3043.4493640000005</v>
      </c>
      <c r="R147" s="3">
        <f>3504+(269.6-634.2)+(1.78704+(0.137496-0.323442))+0--185.6--0.0946559999999812</f>
        <v>3326.6957499999999</v>
      </c>
      <c r="S147" s="3">
        <f>3508.5+(240-611.1)+(1.789335+(0.1224-0.311661))+0--200.7--0.10235699999998</f>
        <v>3339.8024309999996</v>
      </c>
      <c r="T147" s="3">
        <f>3496.5+(227.3-611)+(1.783215+(0.115923-0.31161))+0--202.4--0.103223999999979</f>
        <v>3316.8907520000002</v>
      </c>
      <c r="U147" s="3">
        <f>3518.5+(250.3-584.2)+(-1.794435+(-0.127653--0.297942))+0--202.5-0.103274999999979</f>
        <v>3385.3725789999999</v>
      </c>
      <c r="V147" s="3">
        <f>3474+(244.4-589.4)+(0+(0-0))+0--204.1-0</f>
        <v>3333.1</v>
      </c>
      <c r="W147" s="3">
        <f>3508.3+(263.6-737.4)+(-8.946165+(-0.67218--1.88037))+0--206.1-0.52555499999997</f>
        <v>3232.3364699999997</v>
      </c>
      <c r="X147" s="3">
        <f>3324.6+(301.2-823.7)+(-3.391092+(-0.307224--0.840174))+0--207.3-0.211446000000033</f>
        <v>3006.3304119999998</v>
      </c>
      <c r="Y147" s="3">
        <f>3188.9+(304.7-674.1)+(-3.252678+(-0.310794--0.687582))+0--208.1-0.212262000000033</f>
        <v>3024.5118480000001</v>
      </c>
      <c r="Z147" s="3">
        <f>3458.2+(273.5-543)+(-1.763682+(-0.139485--0.27693))+0--208.8-0.106487999999979</f>
        <v>3395.7672750000002</v>
      </c>
      <c r="AA147" s="3">
        <f>3668.2+(244.2-666.2)+(-7.483128+(-0.498168--1.359048))+0--209.2-0.426767999999991</f>
        <v>3448.3509839999997</v>
      </c>
      <c r="AB147" s="3">
        <f>3693.1+(229.4-721)+(-3.766962+(-0.233988--0.73542))+0--209.1-0.213282000000033</f>
        <v>3407.1211879999996</v>
      </c>
      <c r="AC147" s="3">
        <f>3690.5+(241.8-775.7)+(-3.76431+(-0.246636--0.791214))+0--210.3-0.214506000000034</f>
        <v>3363.4657619999998</v>
      </c>
      <c r="AD147">
        <f t="shared" si="2"/>
        <v>73736.148902000015</v>
      </c>
      <c r="AE147" s="3">
        <f>3548+(270.6-585.5)+(0+(0-0))+0--211-0</f>
        <v>3444.1</v>
      </c>
    </row>
    <row r="148" spans="1:31" s="2" customFormat="1" x14ac:dyDescent="0.25">
      <c r="A148">
        <v>89</v>
      </c>
      <c r="B148">
        <v>5</v>
      </c>
      <c r="C148">
        <v>24</v>
      </c>
      <c r="D148">
        <v>2</v>
      </c>
      <c r="E148">
        <v>1</v>
      </c>
      <c r="F148" s="3">
        <f>3525.4+(248.2-884.2)+(-5.393862+(-0.379746--1.352826))+0--210.8-0.322524000000012</f>
        <v>3095.456694</v>
      </c>
      <c r="G148" s="3">
        <f>3527.2+(259-998.4)+(-1.798872+(-0.13209--0.509184))+0--210.5-0.107354999999979</f>
        <v>2996.7708669999997</v>
      </c>
      <c r="H148" s="3">
        <f>3540.1+(255.1-1083.8)+(1.805451+(0.130101-0.552738))+0--196.7--0.10031699999998</f>
        <v>2909.5831309999999</v>
      </c>
      <c r="I148" s="3">
        <f>3558.6+(253.9-1152)+(-7.259544+(-0.517956--2.35008))+0--195.5-0.398819999999991</f>
        <v>2850.1737600000001</v>
      </c>
      <c r="J148" s="3">
        <f>3569.2+(249.5-1143)+(1.820292+(0.127245-0.58293))+0--195.2--0.0995519999999802</f>
        <v>2872.3641589999997</v>
      </c>
      <c r="K148" s="3">
        <f>3256+(309.7-965)+(-4.98168+(-0.473841--1.47645))+0--193.7-0.296361000000011</f>
        <v>2790.1245679999993</v>
      </c>
      <c r="L148" s="3">
        <f>2789.1+(406.6-779.9)+(-5.689764+(-0.829464--1.590996))+0--187.8-0.383111999999992</f>
        <v>2598.2886560000002</v>
      </c>
      <c r="M148" s="3">
        <f>2836.3+(361.6-851.8)+(-2.893026+(-0.368832--0.868836))+0--213.1-0.217362000000034</f>
        <v>2556.5896160000002</v>
      </c>
      <c r="N148" s="3">
        <f>3093.8+(326.7-969.3)+(3.155676+(0.333234-0.988686))+0--211--0.215220000000034</f>
        <v>2664.9154440000002</v>
      </c>
      <c r="O148" s="3">
        <f>3390.6+(272.2-1092.7)+(-6.916824+(-0.555288--2.229108))+0--208.5-0.425339999999991</f>
        <v>2772.9316560000002</v>
      </c>
      <c r="P148" s="3">
        <f>3401.6+(293.3-992.6)+(5.204448+(0.448749-1.518678))+0--226.3--0.346239000000013</f>
        <v>2933.0807580000005</v>
      </c>
      <c r="Q148" s="3">
        <f>3396.5+(253.2-836.5)+(-3.46443+(-0.258264--0.85323))+0--204.9-0.208998000000033</f>
        <v>3015.021538</v>
      </c>
      <c r="R148" s="3">
        <f>3412+(266.8-690.8)+(0+(0-0))+0--203.6-0</f>
        <v>3191.6</v>
      </c>
      <c r="S148" s="3">
        <f>3407.8+(237.8-634.7)+(-3.475956+(-0.242556--0.647394))+0--204.1-0.208182000000033</f>
        <v>3211.7207000000003</v>
      </c>
      <c r="T148" s="3">
        <f>3388.1+(253.4-582.9)+(1.727931+(0.129234-0.297279))+0--204.4--0.104243999999979</f>
        <v>3264.6641300000001</v>
      </c>
      <c r="U148" s="3">
        <f>3368.3+(250.6-593.3)+(-1.717833+(-0.127806--0.302583))+0--206.5-0.105314999999979</f>
        <v>3230.4516290000006</v>
      </c>
      <c r="V148" s="3">
        <f>3323.5+(252.5-601.1)+(-3.38997+(-0.25755--0.613122))+0--207.8-0.211956000000033</f>
        <v>3179.4536460000004</v>
      </c>
      <c r="W148" s="3">
        <f>3308.9+(276.6-674)+(0+(0-0))+0--208.2-0</f>
        <v>3119.7</v>
      </c>
      <c r="X148" s="3">
        <f>3180.5+(339.5-731.4)+(-3.24411+(-0.34629--0.746028))+0--209.4-0.213588000000033</f>
        <v>2994.9420399999999</v>
      </c>
      <c r="Y148" s="3">
        <f>3121+(305.6-785.8)+(0+(0-0))+0--209.8-0</f>
        <v>2850.6000000000004</v>
      </c>
      <c r="Z148" s="3">
        <f>3513.4+(248.5-733.4)+(-3.583668+(-0.25347--0.748068))+0--209.9-0.214098000000033</f>
        <v>3235.0968320000002</v>
      </c>
      <c r="AA148" s="3">
        <f>3528.6+(243.3-721.9)+(-3.599172+(-0.248166--0.736338))+0--210.5-0.214710000000034</f>
        <v>3257.1742899999999</v>
      </c>
      <c r="AB148" s="3">
        <f>3502.1+(237.1-732.8)+(-3.572142+(-0.241842--0.747456))+0--210.8-0.215016000000034</f>
        <v>3213.9184560000003</v>
      </c>
      <c r="AC148" s="3">
        <f>3475.7+(231.7-762.7)+(-3.545214+(-0.236334--0.777954))+0--211.2-0.215424000000034</f>
        <v>3152.6809819999999</v>
      </c>
      <c r="AD148">
        <f t="shared" si="2"/>
        <v>71957.303551999998</v>
      </c>
      <c r="AE148" s="3">
        <f>3587+(244.4-726.8)+(0+(0-0))+0--212-0</f>
        <v>3316.6</v>
      </c>
    </row>
    <row r="149" spans="1:31" s="2" customFormat="1" x14ac:dyDescent="0.25">
      <c r="A149">
        <v>89</v>
      </c>
      <c r="B149">
        <v>5</v>
      </c>
      <c r="C149">
        <v>25</v>
      </c>
      <c r="D149">
        <v>3</v>
      </c>
      <c r="E149">
        <v>1</v>
      </c>
      <c r="F149" s="3">
        <f>3471.3+(213.1-854)+(-12.392541+(-0.760767--3.04878))+0--213.2-0.761124000000003</f>
        <v>3032.734348</v>
      </c>
      <c r="G149" s="3">
        <f>3493.8+(210.9-964.3)+(-8.90919+(-0.537795--2.458965))+0--213.2-0.543659999999969</f>
        <v>2946.0683200000003</v>
      </c>
      <c r="H149" s="3">
        <f>3499.8+(207.5-1049)+(-1.784898+(-0.105825--0.53499))+0--213.3-0.108782999999978</f>
        <v>2870.1354840000004</v>
      </c>
      <c r="I149" s="3">
        <f>3505.8+(216.1-1116.7)+(1.787958+(0.110211-0.569517))+0--213.6--0.108935999999978</f>
        <v>2820.2375880000004</v>
      </c>
      <c r="J149" s="3">
        <f>3510.1+(225.2-1120.4)+(1.790151+(0.114852-0.571404))+0--214.1--0.109190999999978</f>
        <v>2830.4427899999996</v>
      </c>
      <c r="K149" s="3">
        <f>3037.9+(323.8-811.9)+(-6.197316+(-0.660552--1.656276))+0--216.1-0.440843999999991</f>
        <v>2760.257564</v>
      </c>
      <c r="L149" s="3">
        <f>2576.5+(441.3-631.5)+(-5.25606+(-0.900252--1.28826))+0--216.8-0.442271999999991</f>
        <v>2597.7896760000008</v>
      </c>
      <c r="M149" s="3">
        <f>2671.1+(398.6-748.3)+(0+(0-0))+0--216.3-0</f>
        <v>2537.7000000000003</v>
      </c>
      <c r="N149" s="3">
        <f>3102.7+(286.6-964)+(0+(0-0))+0--211.5-0</f>
        <v>2636.7999999999997</v>
      </c>
      <c r="O149" s="3">
        <f>3283.7+(251.8-1004.8)+(0+(0-0))+0--208.4-0</f>
        <v>2739.1</v>
      </c>
      <c r="P149" s="3">
        <f>3278.4+(230.5-889.5)+(5.015952+(0.352665-1.360935))+0--207.3--0.317169000000012</f>
        <v>2831.0248510000001</v>
      </c>
      <c r="Q149" s="3">
        <f>3251+(208.4-683.1)+(3.31602+(0.212568-0.696762))+0--207.1--0.211242000000033</f>
        <v>2986.443068</v>
      </c>
      <c r="R149" s="3">
        <f>3289.7+(269.3-574.2)+(6.710988+(0.549372-1.171368))+0--205--0.418199999999991</f>
        <v>3196.3071919999998</v>
      </c>
      <c r="S149" s="3">
        <f>3344.6+(306.4-600)+(-3.411492+(-0.312528--0.612))+0--204.9-0.208998000000033</f>
        <v>3252.578982</v>
      </c>
      <c r="T149" s="3">
        <f>3340.6+(340.7-622.6)+(3.407412+(0.347514-0.635052))+0--204.7--0.208794000000033</f>
        <v>3266.7286679999997</v>
      </c>
      <c r="U149" s="3">
        <f>3339.8+(321.1-612.8)+(3.406596+(0.327522-0.625056))+0--205.2--0.209304000000033</f>
        <v>3256.6183660000002</v>
      </c>
      <c r="V149" s="3">
        <f>3341+(259.4-583.3)+(-6.81564+(-0.529176--1.189932))+0--206-0.420239999999991</f>
        <v>3216.5248759999999</v>
      </c>
      <c r="W149" s="3">
        <f>3336.9+(236.7-703.8)+(-3.403638+(-0.241434--0.717876))+0--208.5-0.212670000000033</f>
        <v>3075.1601340000002</v>
      </c>
      <c r="X149" s="3">
        <f>3342.7+(256.3-956.1)+(-3.409554+(-0.261426--0.975222))+0--210-0.214200000000033</f>
        <v>2849.9900419999999</v>
      </c>
      <c r="Y149" s="3">
        <f>3405.9+(222.1-957.5)+(1.737009+(0.113271-0.488325))+0--210.7--0.107456999999979</f>
        <v>2882.6694119999997</v>
      </c>
      <c r="Z149" s="3">
        <f>3489+(207.7-677.6)+(-1.77939+(-0.105927--0.345576))+0--211.3-0.107762999999979</f>
        <v>3228.7524960000001</v>
      </c>
      <c r="AA149" s="3">
        <f>3499.4+(207-665.1)+(0+(0-0))+0--211.3-0</f>
        <v>3252.6000000000004</v>
      </c>
      <c r="AB149" s="3">
        <f>3508.5+(213.2-718.3)+(-3.57867+(-0.217464--0.732666))+0--211.9-0.216138000000034</f>
        <v>3212.0203940000001</v>
      </c>
      <c r="AC149" s="3">
        <f>3514.8+(211.9-765.3)+(-3.585096+(-0.216138--0.780606))+0--212.4-0.216648000000034</f>
        <v>3170.5627239999999</v>
      </c>
      <c r="AD149">
        <f t="shared" si="2"/>
        <v>71449.246975000002</v>
      </c>
      <c r="AE149" s="3">
        <f>3538+(209.5-648.7)+(0+(0-0))+0--206-0</f>
        <v>3304.8</v>
      </c>
    </row>
    <row r="150" spans="1:31" s="2" customFormat="1" x14ac:dyDescent="0.25">
      <c r="A150">
        <v>89</v>
      </c>
      <c r="B150">
        <v>5</v>
      </c>
      <c r="C150">
        <v>26</v>
      </c>
      <c r="D150">
        <v>4</v>
      </c>
      <c r="E150">
        <v>1</v>
      </c>
      <c r="F150" s="3">
        <f>3537.4+(223.4-862)+(-7.216296+(-0.455736--1.75848))+0--211.6-0.431663999999991</f>
        <v>3104.0547839999999</v>
      </c>
      <c r="G150" s="3">
        <f>3557.2+(226.7-995.1)+(-3.628344+(-0.231234--1.015002))+0--211.5-0.215730000000034</f>
        <v>2997.2396939999999</v>
      </c>
      <c r="H150" s="3">
        <f>3591.7+(227.3-1087.4)+(-1.831767+(-0.115923--0.554574))+0--199.4-0.10169399999998</f>
        <v>2929.5051899999994</v>
      </c>
      <c r="I150" s="3">
        <f>3584.7+(232.6-1135.2)+(-7.312788+(-0.474504--2.315808))+0--198.4-0.404735999999991</f>
        <v>2874.6237799999999</v>
      </c>
      <c r="J150" s="3">
        <f>3543.8+(258.2-1124.2)+(3.614676+(0.263364-1.146684))+0--198.1--0.202062000000032</f>
        <v>2878.8334179999997</v>
      </c>
      <c r="K150" s="3">
        <f>3372.9+(286-1039.8)+(-3.440358+(-0.29172--1.060596))+0--195.9-0.199818000000031</f>
        <v>2812.1287000000002</v>
      </c>
      <c r="L150" s="3">
        <f>2977+(358.5-879.4)+(-6.07308+(-0.73134--1.793976))+0--213-0.434519999999991</f>
        <v>2663.6550360000001</v>
      </c>
      <c r="M150" s="3">
        <f>2764.2+(397.5-776.3)+(1.409742+(0.202725-0.395913))+0--214.4--0.109343999999978</f>
        <v>2601.1258979999998</v>
      </c>
      <c r="N150" s="3">
        <f>3061.6+(322.6-871.7)+(0+(0-0))+0--212.1-0</f>
        <v>2724.6</v>
      </c>
      <c r="O150" s="3">
        <f>3315.4+(287.2-986.2)+(0+(0-0))+0--209.6-0</f>
        <v>2826</v>
      </c>
      <c r="P150" s="3">
        <f>3416.2+(242.8-944)+(3.484524+(0.247656-0.96288))+0--206.7--0.210834000000033</f>
        <v>2924.6801339999997</v>
      </c>
      <c r="Q150" s="3">
        <f>3416.9+(218.7-791.5)+(3.485238+(0.223074-0.80733))+0--205.4--0.209508000000033</f>
        <v>3052.6104900000005</v>
      </c>
      <c r="R150" s="3">
        <f>3333.2+(243.3-673.7)+(0+(0-0))+0--206.6-0</f>
        <v>3109.3999999999996</v>
      </c>
      <c r="S150" s="3">
        <f>3375.3+(228.7-629.2)+(0+(0-0))+0--207.1-0</f>
        <v>3181.9</v>
      </c>
      <c r="T150" s="3">
        <f>3390.7+(273.4-644.4)+(0+(0-0))+0--207.3-0</f>
        <v>3227</v>
      </c>
      <c r="U150" s="3">
        <f>3372.9+(242.4-629.9)+(-1.720179+(-0.123624--0.321249))+0--209.2-0.106691999999979</f>
        <v>3192.9707539999999</v>
      </c>
      <c r="V150" s="3">
        <f>3356.3+(209.7-586)+(-1.711713+(-0.106947--0.29886))+0--207.8-0.105977999999979</f>
        <v>3186.1742220000001</v>
      </c>
      <c r="W150" s="3">
        <f>3347.5+(244.7-717)+(-6.8289+(-0.499188--1.46268))+0--209.5-0.427379999999991</f>
        <v>3078.4072119999996</v>
      </c>
      <c r="X150" s="3">
        <f>3366.5+(256.3-982.9)+(-5.150745+(-0.392139--1.503837))+0--210.5-0.322065000000012</f>
        <v>2846.038888</v>
      </c>
      <c r="Y150" s="3">
        <f>3323.4+(219.1-901.5)+(1.694934+(0.111741-0.459765))+0--210.4--0.107303999999979</f>
        <v>2852.8542140000004</v>
      </c>
      <c r="Z150" s="3">
        <f>3472.4+(223-701.7)+(-1.770924+(-0.11373--0.357867))+0--210.3-0.107252999999979</f>
        <v>3202.3659600000001</v>
      </c>
      <c r="AA150" s="3">
        <f>3500.6+(219.8-699.9)+(-5.355918+(-0.336294--1.070847))+0--210.3-0.321759000000012</f>
        <v>3225.8568760000003</v>
      </c>
      <c r="AB150" s="3">
        <f>3520.3+(209.9-765.5)+(1.795353+(0.107049-0.390405))+0--210.5--0.107354999999979</f>
        <v>3176.8193520000004</v>
      </c>
      <c r="AC150" s="3">
        <f>3514.9+(189.1-793.6)+(0+(0-0))+0--211.4-0</f>
        <v>3121.8</v>
      </c>
      <c r="AD150">
        <f t="shared" si="2"/>
        <v>71790.644602000015</v>
      </c>
      <c r="AE150" s="3">
        <f>3525+(253.1-680.2)+(0+(0-0))+0--208-0</f>
        <v>3305.9</v>
      </c>
    </row>
    <row r="151" spans="1:31" s="2" customFormat="1" x14ac:dyDescent="0.25">
      <c r="A151">
        <v>89</v>
      </c>
      <c r="B151">
        <v>5</v>
      </c>
      <c r="C151">
        <v>27</v>
      </c>
      <c r="D151">
        <v>5</v>
      </c>
      <c r="E151">
        <v>1</v>
      </c>
      <c r="F151" s="3">
        <f>3534.8+(192.4-879.2)+(-5.408244+(-0.294372--1.345176))+0--213-0.325890000000012</f>
        <v>3056.3166699999997</v>
      </c>
      <c r="G151" s="3">
        <f>3539.7+(206.4-992.6)+(-1.805247+(-0.105264--0.506226))+0--213.3-0.108782999999978</f>
        <v>2965.286932</v>
      </c>
      <c r="H151" s="3">
        <f>3557.2+(205.3-1090.7)+(-1.814172+(-0.104703--0.556257))+0--213.2-0.108731999999978</f>
        <v>2883.5286499999993</v>
      </c>
      <c r="I151" s="3">
        <f>3585.5+(216.1-1171.6)+(0+(0-0))+0--213.3-0</f>
        <v>2843.3</v>
      </c>
      <c r="J151" s="3">
        <f>3527.8+(239-1131.7)+(-5.397534+(-0.36567--1.731501))+0--214.4-0.328032000000012</f>
        <v>2845.1402650000005</v>
      </c>
      <c r="K151" s="3">
        <f>3349.6+(287.7-1064.1)+(-5.124888+(-0.440181--1.628073))+0--214-0.327420000000012</f>
        <v>2782.9355839999998</v>
      </c>
      <c r="L151" s="3">
        <f>2951.2+(382.2-905.2)+(-3.010224+(-0.389844--0.923304))+0--214.2-0.218484000000034</f>
        <v>2639.7047519999996</v>
      </c>
      <c r="M151" s="3">
        <f>2845.3+(408.5-892.3)+(1.451103+(0.208335-0.455073))+0--214.9--0.109598999999978</f>
        <v>2577.713964</v>
      </c>
      <c r="N151" s="3">
        <f>3266.6+(336.3-1105.6)+(-3.331932+(-0.343026--1.127712))+0--213.5-0.217770000000034</f>
        <v>2708.0349839999999</v>
      </c>
      <c r="O151" s="3">
        <f>3417.2+(275.2-1104.9)+(0+(0-0))+0--200.2-0</f>
        <v>2787.7</v>
      </c>
      <c r="P151" s="3">
        <f>3483.3+(251.6-1017.1)+(3.552966+(0.256632-1.037442))+0--209--0.213180000000033</f>
        <v>2929.7853360000004</v>
      </c>
      <c r="Q151" s="3">
        <f>3447.2+(229.5-832.6)+(0+(0-0))+0--206.1-0</f>
        <v>3050.2</v>
      </c>
      <c r="R151" s="3">
        <f>3477+(225.8-670.8)+(1.77327+(0.115158-0.342108))+0--196.1--0.10001099999998</f>
        <v>3229.7463309999998</v>
      </c>
      <c r="S151" s="3">
        <f>3476.3+(221.9-646.6)+(0+(0-0))+0--202.7-0</f>
        <v>3254.3</v>
      </c>
      <c r="T151" s="3">
        <f>3419.9+(247.3-625.8)+(1.744149+(0.126123-0.319158))+0--206--0.105059999999979</f>
        <v>3249.0561739999998</v>
      </c>
      <c r="U151" s="3">
        <f>3404.3+(260.9-613.8)+(0+(0-0))+0--206.6-0</f>
        <v>3258</v>
      </c>
      <c r="V151" s="3">
        <f>3371.3+(236-596)+(-1.719363+(-0.12036--0.30396))+0--207.2-0.105671999999979</f>
        <v>3216.858565</v>
      </c>
      <c r="W151" s="3">
        <f>3333+(244.4-657.6)+(-3.39966+(-0.249288--0.670752))+0--207.9-0.212058000000033</f>
        <v>3124.5097460000002</v>
      </c>
      <c r="X151" s="3">
        <f>3345.4+(243.4-897.8)+(-1.706154+(-0.124134--0.457878))+0--209.3-0.106742999999979</f>
        <v>2898.8208470000004</v>
      </c>
      <c r="Y151" s="3">
        <f>3371.7+(209.1-919.2)+(0+(0-0))+0--210.1-0</f>
        <v>2871.7</v>
      </c>
      <c r="Z151" s="3">
        <f>3471.4+(200-636.2)+(0+(0-0))+0--210.6-0</f>
        <v>3245.7999999999997</v>
      </c>
      <c r="AA151" s="3">
        <f>3498+(199.7-639.6)+(-5.35194+(-0.305541--0.978588))+0--211.6-0.323748000000012</f>
        <v>3264.6973590000002</v>
      </c>
      <c r="AB151" s="3">
        <f>3512+(206.5-697.8)+(-1.79112+(-0.105315--0.355878))+0--212-0.108119999999978</f>
        <v>3231.0513230000001</v>
      </c>
      <c r="AC151" s="3">
        <f>3501.5+(215.5-745.5)+(-3.57153+(-0.21981--0.76041))+0--211.7-0.215934000000034</f>
        <v>3179.9531360000001</v>
      </c>
      <c r="AD151">
        <f t="shared" si="2"/>
        <v>72094.140618000019</v>
      </c>
      <c r="AE151" s="3">
        <f>3501+(227.2-598)+(0+(0-0))+0--209-0</f>
        <v>3339.2</v>
      </c>
    </row>
    <row r="152" spans="1:31" s="2" customFormat="1" x14ac:dyDescent="0.25">
      <c r="A152">
        <v>89</v>
      </c>
      <c r="B152">
        <v>5</v>
      </c>
      <c r="C152">
        <v>28</v>
      </c>
      <c r="D152">
        <v>6</v>
      </c>
      <c r="E152">
        <v>1</v>
      </c>
      <c r="F152" s="3">
        <f>3523.3+(215.6-845.4)+(-3.593766+(-0.219912--0.862308))+0--214.1-0.218382000000034</f>
        <v>3104.4302479999997</v>
      </c>
      <c r="G152" s="3">
        <f>3533+(229.3-968.6)+(-5.40549+(-0.350829--1.481958))+0--214.9-0.328797000000012</f>
        <v>3003.9968419999996</v>
      </c>
      <c r="H152" s="3">
        <f>3551.3+(225.2-1075.6)+(1.811163+(0.114852-0.548556))+0--214.2--0.109241999999978</f>
        <v>2916.5867010000002</v>
      </c>
      <c r="I152" s="3">
        <f>3575.9+(219.1-1141.1)+(0+(0-0))+0--213.9-0</f>
        <v>2867.8</v>
      </c>
      <c r="J152" s="3">
        <f>3580.4+(226.2-1138.5)+(0+(0-0))+0--215.2-0</f>
        <v>2883.3</v>
      </c>
      <c r="K152" s="3">
        <f>3480.3+(260.5-1143.1)+(-7.099812+(-0.53142--2.331924))+0--218.7-0.44614799999999</f>
        <v>2810.654544</v>
      </c>
      <c r="L152" s="3">
        <f>2912.3+(363.1-827.2)+(-5.941092+(-0.740724--1.687488))+0--219.4-0.44757599999999</f>
        <v>2662.1580960000001</v>
      </c>
      <c r="M152" s="3">
        <f>2784.4+(381.9-776.8)+(-2.840088+(-0.389538--0.792336))+0--218-0.222360000000035</f>
        <v>2604.8403499999999</v>
      </c>
      <c r="N152" s="3">
        <f>3162.3+(319.8-1002.6)+(-1.612773+(-0.163098--0.511326))+0--214.5-0.109394999999978</f>
        <v>2692.6260600000001</v>
      </c>
      <c r="O152" s="3">
        <f>3479.1+(247.8-1134.9)+(3.548682+(0.252756-1.157598))+0--210.6--0.214812000000034</f>
        <v>2805.4586520000003</v>
      </c>
      <c r="P152" s="3">
        <f>3494+(233.6-1013.1)+(3.56388+(0.238272-1.033362))+0--207--0.211140000000033</f>
        <v>2924.47993</v>
      </c>
      <c r="Q152" s="3">
        <f>3478.6+(227.2-873.8)+(0+(0-0))+0--206.4-0</f>
        <v>3038.4</v>
      </c>
      <c r="R152" s="3">
        <f>3461.7+(181.9-734.1)+(0+(0-0))+0--207.6-0</f>
        <v>3117.1</v>
      </c>
      <c r="S152" s="3">
        <f>3438.1+(163.8-633.3)+(-1.753431+(-0.083538--0.322983))+0--208.1-0.106130999999979</f>
        <v>3175.0798829999999</v>
      </c>
      <c r="T152" s="3">
        <f>3426.4+(188.4-623.8)+(1.747464+(0.096084-0.318138))+0--208.1--0.106130999999979</f>
        <v>3200.7315410000001</v>
      </c>
      <c r="U152" s="3">
        <f>3414.9+(211.1-628.5)+(3.483198+(0.215322-0.64107))+0--208.7--0.212874000000033</f>
        <v>3209.4703239999994</v>
      </c>
      <c r="V152" s="3">
        <f>3347.7+(177.1-612.7)+(-1.707327+(-0.090321--0.312477))+0--209.9-0.107048999999979</f>
        <v>3120.40778</v>
      </c>
      <c r="W152" s="3">
        <f>3278.8+(192.3-650.7)+(-5.016564+(-0.294219--0.995571))+0--210-0.321300000000012</f>
        <v>3025.7634880000001</v>
      </c>
      <c r="X152" s="3">
        <f>3283.8+(220.3-876.8)+(-5.024214+(-0.337059--1.341504))+0--210.8-0.322524000000012</f>
        <v>2833.7577070000002</v>
      </c>
      <c r="Y152" s="3">
        <f>3362.5+(180.5-885.7)+(-1.714875+(-0.092055--0.451707))+0--211-0.107609999999979</f>
        <v>2866.8371670000001</v>
      </c>
      <c r="Z152" s="3">
        <f>3477.4+(178.3-660.2)+(1.773474+(0.090933-0.336702))+0--211.6--0.107915999999979</f>
        <v>3208.7356209999998</v>
      </c>
      <c r="AA152" s="3">
        <f>3503.8+(170.1-664.3)+(-5.360814+(-0.260253--1.016379))+0--212.5-0.325125000000012</f>
        <v>3217.1701870000006</v>
      </c>
      <c r="AB152" s="3">
        <f>3522.7+(166.6-722)+(-3.593154+(-0.169932--0.73644))+0--213.1-0.217362000000034</f>
        <v>3177.155992</v>
      </c>
      <c r="AC152" s="3">
        <f>3523.6+(158.4-751.4)+(0+(0-0))+0--212.9-0</f>
        <v>3143.5</v>
      </c>
      <c r="AD152">
        <f t="shared" si="2"/>
        <v>71610.441112999993</v>
      </c>
      <c r="AE152" s="3">
        <f>3501+(212.5-650.4)+(0+(0-0))+0--211-0</f>
        <v>3274.1</v>
      </c>
    </row>
    <row r="153" spans="1:31" s="2" customFormat="1" x14ac:dyDescent="0.25">
      <c r="A153">
        <v>89</v>
      </c>
      <c r="B153">
        <v>5</v>
      </c>
      <c r="C153">
        <v>29</v>
      </c>
      <c r="D153">
        <v>7</v>
      </c>
      <c r="E153">
        <v>1</v>
      </c>
      <c r="F153" s="3">
        <f>3541.7+(192.8-837.7)+(-3.612534+(-0.196656--0.854454))+0--214.1-0.218382000000034</f>
        <v>3107.7268819999995</v>
      </c>
      <c r="G153" s="3">
        <f>3532+(229.5-936.3)+(3.60264+(0.23409-0.955026))+0--213.7--0.217974000000034</f>
        <v>3041.9996779999997</v>
      </c>
      <c r="H153" s="3">
        <f>3504.2+(219.7-946.3)+(-1.787142+(-0.112047--0.482613))+0--215.6-0.109955999999978</f>
        <v>2991.673468</v>
      </c>
      <c r="I153" s="3">
        <f>3426.8+(227.1-979.5)+(-8.73834+(-0.579105--2.497725))+0--215.3-0.549014999999969</f>
        <v>2882.3312650000003</v>
      </c>
      <c r="J153" s="3">
        <f>3408.6+(244.7-1009.8)+(1.738386+(0.124797-0.514998))+0--218.3--0.111332999999978</f>
        <v>2863.2595179999998</v>
      </c>
      <c r="K153" s="3">
        <f>3345.6+(244.8-1009.5)+(-11.943792+(-0.873936--3.603915))+0--220.1-0.785757000000003</f>
        <v>2791.0004299999996</v>
      </c>
      <c r="L153" s="3">
        <f>2874.6+(301.5-787.6)+(-5.864184+(-0.61506--1.606704))+0--220.4-0.44961599999999</f>
        <v>2603.5778440000004</v>
      </c>
      <c r="M153" s="3">
        <f>2810.2+(311.2-745.2)+(-1.433202+(-0.158712--0.380052))+0--113.5-0.0578849999999885</f>
        <v>2488.4302529999995</v>
      </c>
      <c r="N153" s="3">
        <f>3080.6+(269.8-890.8)+(-1.571106+(-0.137598--0.454308))+0--79.6-0.0405959999999919</f>
        <v>2537.9050080000002</v>
      </c>
      <c r="O153" s="3">
        <f>3054.9+(240.4-907.1)+(0+(0-0))+0--156.6-0</f>
        <v>2544.7999999999997</v>
      </c>
      <c r="P153" s="3">
        <f>3110.5+(223.4-874.9)+(1.586355+(0.113934-0.446199))+0--208.5--0.106334999999979</f>
        <v>2668.8604249999999</v>
      </c>
      <c r="Q153" s="3">
        <f>3324.9+(227-948.6)+(-3.391398+(-0.23154--0.967572))+0--207.3-0.211446000000033</f>
        <v>2807.7331880000002</v>
      </c>
      <c r="R153" s="3">
        <f>3411+(182.9-877.5)+(-1.73961+(-0.093279--0.447525))+0--207.1-0.105620999999979</f>
        <v>2922.0090149999996</v>
      </c>
      <c r="S153" s="3">
        <f>3382.3+(170.9-761.4)+(0+(0-0))+0--206.9-0</f>
        <v>2998.7000000000003</v>
      </c>
      <c r="T153" s="3">
        <f>3369.4+(178.3-671.7)+(0+(0-0))+0--205.7-0</f>
        <v>3081.7</v>
      </c>
      <c r="U153" s="3">
        <f>3362.9+(176.4-652.2)+(-1.715079+(-0.089964--0.332622))+0--206.4-0.105263999999979</f>
        <v>3091.9223150000003</v>
      </c>
      <c r="V153" s="3">
        <f>3343.6+(185.8-675.7)+(-5.115708+(-0.284274--1.033821))+0--207.3-0.317169000000012</f>
        <v>3056.3166700000002</v>
      </c>
      <c r="W153" s="3">
        <f>3340.4+(233.5-832.1)+(-1.703604+(-0.119085--0.424371))+0--208.1-0.106130999999979</f>
        <v>2948.3955510000001</v>
      </c>
      <c r="X153" s="3">
        <f>3360.2+(255.7-1064.1)+(-11.995914+(-0.912849--3.798837))+0--210.4-0.751128000000003</f>
        <v>2752.3389460000003</v>
      </c>
      <c r="Y153" s="3">
        <f>3396.2+(172.6-1022.6)+(-1.732062+(-0.088026--0.521526))+0--211.3-0.107762999999979</f>
        <v>2756.0936750000001</v>
      </c>
      <c r="Z153" s="3">
        <f>3495.8+(171.5-762.9)+(0+(0-0))+0--211.8-0</f>
        <v>3116.2000000000003</v>
      </c>
      <c r="AA153" s="3">
        <f>3545.8+(167.2-775.3)+(0+(0-0))+0--211.6-0</f>
        <v>3149.3</v>
      </c>
      <c r="AB153" s="3">
        <f>3515.4+(168-760.6)+(-3.585708+(-0.17136--0.775812))+0--212.3-0.216546000000034</f>
        <v>3131.9021980000002</v>
      </c>
      <c r="AC153" s="3">
        <f>3577.3+(180.1-843.7)+(-3.648846+(-0.183702--0.860574))+0--213.3-0.217566000000034</f>
        <v>3123.8104600000001</v>
      </c>
      <c r="AD153">
        <f t="shared" si="2"/>
        <v>69457.986788999988</v>
      </c>
      <c r="AE153" s="3">
        <f>3552+(190.9-752.4)+(0+(0-0))+0--209.3-0</f>
        <v>3199.8</v>
      </c>
    </row>
    <row r="154" spans="1:31" s="2" customFormat="1" x14ac:dyDescent="0.25">
      <c r="A154">
        <v>89</v>
      </c>
      <c r="B154">
        <v>5</v>
      </c>
      <c r="C154">
        <v>30</v>
      </c>
      <c r="D154">
        <v>1</v>
      </c>
      <c r="E154">
        <v>1</v>
      </c>
      <c r="F154" s="3">
        <f>3616.6+(189.1-931.2)+(-5.533398+(-0.289323--1.424736))+0--212.7-0.325431000000012</f>
        <v>3082.4765839999995</v>
      </c>
      <c r="G154" s="3">
        <f>3616.2+(203.2-1035.4)+(-3.688524+(-0.207264--1.056108))+0--212.4-0.216648000000034</f>
        <v>2993.343672</v>
      </c>
      <c r="H154" s="3">
        <f>3475.5+(225.8-1015.6)+(-5.317515+(-0.345474--1.553868))+0--213.4-0.326502000000012</f>
        <v>2894.6643770000001</v>
      </c>
      <c r="I154" s="3">
        <f>3436.6+(222.3-1032.2)+(-1.752666+(-0.113373--0.526422))+0--213.2-0.108731999999978</f>
        <v>2838.4516509999994</v>
      </c>
      <c r="J154" s="3">
        <f>3474.5+(235.8-1077.1)+(-8.859975+(-0.60129--2.746605))+0--214.9-0.547994999999969</f>
        <v>2840.8373449999999</v>
      </c>
      <c r="K154" s="3">
        <f>3268.9+(263.7-970.6)+(-5.001417+(-0.403461--1.485018))+0--215.3-0.329409000000012</f>
        <v>2773.0507310000003</v>
      </c>
      <c r="L154" s="3">
        <f>3044.6+(293.7-800.2)+(-4.658238+(-0.449361--1.224306))+0--80.1-0.122553000000005</f>
        <v>2614.1941539999998</v>
      </c>
      <c r="M154" s="3">
        <f>3049.6+(287.3-842.6)+(6.221184+(0.586092-1.718904))+0--78.4--0.159935999999997</f>
        <v>2577.9483080000005</v>
      </c>
      <c r="N154" s="3">
        <f>3210+(251.7-894)+(3.2742+(0.256734-0.91188))+0--88.8--0.0905760000000142</f>
        <v>2659.2096299999998</v>
      </c>
      <c r="O154" s="3">
        <f>3496.7+(235.3-1116.1)+(1.783317+(0.120003-0.569211))+0--209.5--0.106844999999979</f>
        <v>2826.8409539999993</v>
      </c>
      <c r="P154" s="3">
        <f>3458.2+(222-955.6)+(5.291046+(0.33966-1.462068))+0--208.2--0.318546000000012</f>
        <v>2937.2871839999998</v>
      </c>
      <c r="Q154" s="3">
        <f>3460.4+(182-781.9)+(7.059216+(0.37128-1.595076))+0--206.6--0.421463999999991</f>
        <v>3073.3568839999998</v>
      </c>
      <c r="R154" s="3">
        <f>3438.5+(178.9-602.9)+(3.50727+(0.182478-0.614958))+0--204.8--0.208896000000033</f>
        <v>3222.5836860000004</v>
      </c>
      <c r="S154" s="3">
        <f>3426.4+(194-578.4)+(-1.747464+(-0.09894--0.294984))+0--205.4-0.104753999999979</f>
        <v>3245.7438260000004</v>
      </c>
      <c r="T154" s="3">
        <f>3387.1+(259.5-574.3)+(1.727421+(0.132345-0.292893))+0--205.3--0.104702999999979</f>
        <v>3279.2715760000006</v>
      </c>
      <c r="U154" s="3">
        <f>3387.3+(229.3-544.2)+(0+(0-0))+0--205.8-0</f>
        <v>3278.2000000000003</v>
      </c>
      <c r="V154" s="3">
        <f>3387.6+(211.2-566.8)+(0+(0-0))+0--206.6-0</f>
        <v>3238.6</v>
      </c>
      <c r="W154" s="3">
        <f>3387.9+(242.9-709)+(0+(0-0))+0--207.6-0</f>
        <v>3129.4</v>
      </c>
      <c r="X154" s="3">
        <f>3362.4+(256.8-940.6)+(0+(0-0))+0--209.6-0</f>
        <v>2888.2000000000003</v>
      </c>
      <c r="Y154" s="3">
        <f>3425.5+(213.4-903.7)+(1.747005+(0.108834-0.460887))+0--210--0.107099999999979</f>
        <v>2946.7020520000001</v>
      </c>
      <c r="Z154" s="3">
        <f>3462.8+(206-613.1)+(0+(0-0))+0--210.3-0</f>
        <v>3266.0000000000005</v>
      </c>
      <c r="AA154" s="3">
        <f>3571+(191.1-682.2)+(-3.64242+(-0.194922--0.695844))+0--211.1-0.215322000000034</f>
        <v>3287.64318</v>
      </c>
      <c r="AB154" s="3">
        <f>3588.1+(195.8-746.9)+(0+(0-0))+0--211.4-0</f>
        <v>3248.4</v>
      </c>
      <c r="AC154" s="3">
        <f>3603.2+(195.2-815.2)+(-5.512896+(-0.298656--1.247256))+0--212.4-0.324972000000012</f>
        <v>3190.710732</v>
      </c>
      <c r="AD154">
        <f t="shared" si="2"/>
        <v>72333.116525999998</v>
      </c>
      <c r="AE154" s="3">
        <f>3615+(211.9-629.3)+(0+(0-0))+0--117-0</f>
        <v>3314.6</v>
      </c>
    </row>
    <row r="155" spans="1:31" s="2" customFormat="1" x14ac:dyDescent="0.25">
      <c r="A155">
        <v>89</v>
      </c>
      <c r="B155">
        <v>5</v>
      </c>
      <c r="C155">
        <v>31</v>
      </c>
      <c r="D155">
        <v>2</v>
      </c>
      <c r="E155">
        <v>1</v>
      </c>
      <c r="F155" s="3">
        <f>3625.1+(227.7-916.8)+(-3.697602+(-0.232254--0.935136))+0--212.8-0.217056000000034</f>
        <v>3145.5882240000001</v>
      </c>
      <c r="G155" s="3">
        <f>3644+(222.2-1052.8)+(-3.71688+(-0.226644--1.073856))+0--213.3-0.217566000000034</f>
        <v>3023.6127660000002</v>
      </c>
      <c r="H155" s="3">
        <f>3656.8+(223.5-1131.5)+(1.864968+(0.113985-0.577065))+0--212.7--0.108476999999978</f>
        <v>2963.0103649999996</v>
      </c>
      <c r="I155" s="3">
        <f>3657.7+(219.8-1172.5)+(-1.865427+(-0.112098--0.597975))+0--213.8-0.109037999999978</f>
        <v>2917.311412</v>
      </c>
      <c r="J155" s="3">
        <f>3672.1+(228.9-1177.5)+(-3.745542+(-0.233478--1.20105))+0--215.9-0.220218000000034</f>
        <v>2936.4018120000001</v>
      </c>
      <c r="K155" s="3">
        <f>3577.3+(256.6-1172.4)+(-1.824423+(-0.130866--0.597924))+0--216.3-0.110312999999978</f>
        <v>2876.3323220000002</v>
      </c>
      <c r="L155" s="3">
        <f>3109.5+(346.7-947.7)+(-9.51507+(-1.060902--2.899962))+0--217.1-0.664326000000025</f>
        <v>2717.2596639999997</v>
      </c>
      <c r="M155" s="3">
        <f>2912+(368.5-849.6)+(0+(0-0))+0--216.4-0</f>
        <v>2647.3</v>
      </c>
      <c r="N155" s="3">
        <f>3358+(325.2-964.5)+(0+(0-0))+0--213.3-0</f>
        <v>2932</v>
      </c>
      <c r="O155" s="3">
        <f>3501+(296.2-1049.2)+(0+(0-0))+0--211.8-0</f>
        <v>2959.8</v>
      </c>
      <c r="P155" s="3">
        <f>3531.9+(275.2-1046.2)+(3.602538+(0.280704-1.067124))+0--209.7--0.213894000000033</f>
        <v>2973.6300120000001</v>
      </c>
      <c r="Q155" s="3">
        <f>3526.6+(250.3-1014.6)+(-3.597132+(-0.255306--1.034892))+0--207.8-0.211956000000033</f>
        <v>2967.070498</v>
      </c>
      <c r="R155" s="3">
        <f>3488.1+(222.8-640.7)+(3.557862+(0.227256-0.653514))+0--206--0.210120000000033</f>
        <v>3279.5417240000002</v>
      </c>
      <c r="S155" s="3">
        <f>3452.3+(200.7-581.7)+(-5.282019+(-0.307071--0.890001))+0--206-0.315180000000012</f>
        <v>3272.2857309999999</v>
      </c>
      <c r="T155" s="3">
        <f>3405.3+(256.6-571.5)+(-1.736703+(-0.130866--0.291465))+0--206.2-0.105161999999979</f>
        <v>3294.9187339999999</v>
      </c>
      <c r="U155" s="3">
        <f>3420.8+(233.5-565)+(0+(0-0))+0--206.9-0</f>
        <v>3296.2000000000003</v>
      </c>
      <c r="V155" s="3">
        <f>3420.3+(233.1-602.9)+(-3.488706+(-0.237762--0.614958))+0--206.6-0.210732000000033</f>
        <v>3253.7777579999997</v>
      </c>
      <c r="W155" s="3">
        <f>3422.8+(272.6-766.2)+(-5.236884+(-0.417078--1.172286))+0--207.2-0.317016000000012</f>
        <v>3131.6013080000002</v>
      </c>
      <c r="X155" s="3">
        <f>3436+(273.4-999.1)+(-3.50472+(-0.278868--1.019082))+0--208.1-0.212262000000033</f>
        <v>2915.4232320000001</v>
      </c>
      <c r="Y155" s="3">
        <f>3464.3+(241-932.2)+(-3.533586+(-0.24582--0.950844))+0--208.8-0.212976000000033</f>
        <v>2978.8584620000001</v>
      </c>
      <c r="Z155" s="3">
        <f>3464.7+(251.7-604.9)+(-1.766997+(-0.128367--0.308499))+0--209.2-0.106691999999979</f>
        <v>3319.0064429999998</v>
      </c>
      <c r="AA155" s="3">
        <f>3482.2+(234-582.5)+(-5.327766+(-0.35802--0.891225))+0--209.7-0.320841000000012</f>
        <v>3338.2845979999993</v>
      </c>
      <c r="AB155" s="3">
        <f>3521+(217.9-644.3)+(0+(0-0))+0--210.1-0</f>
        <v>3304.7</v>
      </c>
      <c r="AC155" s="3">
        <f>3534.7+(219.8-718.4)+(-1.802697+(-0.112098--0.366384))+0--211-0.107609999999979</f>
        <v>3245.4439789999997</v>
      </c>
      <c r="AD155">
        <f t="shared" si="2"/>
        <v>73689.359043999997</v>
      </c>
      <c r="AE155" s="3">
        <f>3505+(244.5-570.2)+(0+(0-0))+0--208-0</f>
        <v>3387.3</v>
      </c>
    </row>
    <row r="156" spans="1:31" s="2" customFormat="1" x14ac:dyDescent="0.25">
      <c r="A156">
        <v>89</v>
      </c>
      <c r="B156">
        <v>6</v>
      </c>
      <c r="C156">
        <v>1</v>
      </c>
      <c r="D156">
        <v>3</v>
      </c>
      <c r="E156">
        <v>1</v>
      </c>
      <c r="F156" s="3">
        <f>3511.2+(222.1-784)+(0+(0-0))+0--212.3-0</f>
        <v>3161.6</v>
      </c>
      <c r="G156" s="3">
        <f>3515.9+(220-882.6)+(-7.172436+(-0.4488--1.800504))+0--213.2-0.434927999999991</f>
        <v>3060.2443399999997</v>
      </c>
      <c r="H156" s="3">
        <f>3532.5+(218-981)+(5.404725+(0.33354-1.50093))+0--213.6--0.326808000000012</f>
        <v>2987.6641429999995</v>
      </c>
      <c r="I156" s="3">
        <f>3562.5+(224.2-1019.5)+(-3.63375+(-0.228684--1.03989))+0--212-0.216240000000034</f>
        <v>2976.1612159999995</v>
      </c>
      <c r="J156" s="3">
        <f>3567+(236-1032.6)+(-1.81917+(-0.12036--0.526626))+0--213-0.108629999999978</f>
        <v>2981.8784660000001</v>
      </c>
      <c r="K156" s="3">
        <f>3438.8+(277-996.1)+(-1.753788+(-0.14127--0.508011))+0--213-0.108629999999978</f>
        <v>2931.2043229999999</v>
      </c>
      <c r="L156" s="3">
        <f>3116.2+(309.1-869.3)+(-3.178524+(-0.315282--0.886686))+0--211-0.215220000000034</f>
        <v>2764.1776599999998</v>
      </c>
      <c r="M156" s="3">
        <f>3020.4+(303.4-870)+(3.080808+(0.309468-0.8874))+0--212--0.216240000000034</f>
        <v>2668.5191160000004</v>
      </c>
      <c r="N156" s="3">
        <f>3338.4+(266.4-1025.1)+(1.702584+(0.135864-0.522801))+0--212.2--0.108221999999978</f>
        <v>2793.3238689999998</v>
      </c>
      <c r="O156" s="3">
        <f>3562.4+(278.2-1114.9)+(1.816824+(0.141882-0.568599))+0--209.4--0.106793999999979</f>
        <v>2936.5969009999999</v>
      </c>
      <c r="P156" s="3">
        <f>3530.9+(284-959.2)+(0+(0-0))+0--208.4-0</f>
        <v>3064.1</v>
      </c>
      <c r="Q156" s="3">
        <f>3479.3+(290.8-777.5)+(1.774443+(0.148308-0.396525))+0--204.2--0.104141999999979</f>
        <v>3198.4303680000003</v>
      </c>
      <c r="R156" s="3">
        <f>3458+(284.8-588.7)+(1.76358+(0.145248-0.300237))+0--208.5--0.106334999999979</f>
        <v>3364.314926</v>
      </c>
      <c r="S156" s="3">
        <f>3424.3+(293.2-558.5)+(0+(0-0))+0--208.3-0</f>
        <v>3367.3</v>
      </c>
      <c r="T156" s="3">
        <f>3402+(348.4-555.8)+(0+(0-0))+0--208.6-0</f>
        <v>3403.2</v>
      </c>
      <c r="U156" s="3">
        <f>3398.7+(345.7-553.4)+(1.733337+(0.176307-0.282234))+0--208.3--0.106232999999979</f>
        <v>3401.0336430000002</v>
      </c>
      <c r="V156" s="3">
        <f>3397.6+(301-538)+(1.732776+(0.15351-0.27438))+0--209.3--0.106742999999979</f>
        <v>3371.618649</v>
      </c>
      <c r="W156" s="3">
        <f>3390.3+(317.3-662.2)+(-1.729053+(-0.161823--0.337722))+0--209.6-0.106895999999979</f>
        <v>3253.33995</v>
      </c>
      <c r="X156" s="3">
        <f>3409.9+(316.1-915.4)+(-5.217147+(-0.483633--1.400562))+0--210.7-0.322371000000012</f>
        <v>3016.6774110000001</v>
      </c>
      <c r="Y156" s="3">
        <f>3408.2+(292.7-827.9)+(-5.214546+(-0.447831--1.266687))+0--211.1-0.322983000000012</f>
        <v>3079.3813270000001</v>
      </c>
      <c r="Z156" s="3">
        <f>3469.3+(303.1-560.1)+(-1.769343+(-0.154581--0.285651))+0--211.1-0.107660999999979</f>
        <v>3421.6540660000001</v>
      </c>
      <c r="AA156" s="3">
        <f>3498.8+(289.4-561.9)+(-3.568776+(-0.295188--0.573138))+0--211.5-0.215730000000034</f>
        <v>3434.2934440000004</v>
      </c>
      <c r="AB156" s="3">
        <f>3525.5+(297.8-634.9)+(0+(0-0))+0--211.9-0</f>
        <v>3400.3</v>
      </c>
      <c r="AC156" s="3">
        <f>3536.5+(261.1-680.6)+(-3.60723+(-0.266322--0.694212))+0--212-0.216240000000034</f>
        <v>3325.6044199999997</v>
      </c>
      <c r="AD156">
        <f t="shared" si="2"/>
        <v>75362.61823800001</v>
      </c>
      <c r="AE156" s="3">
        <f>3518+(262.9-545.8)+(0+(0-0))+0--206-0</f>
        <v>3441.1</v>
      </c>
    </row>
    <row r="157" spans="1:31" s="2" customFormat="1" x14ac:dyDescent="0.25">
      <c r="A157">
        <v>89</v>
      </c>
      <c r="B157">
        <v>6</v>
      </c>
      <c r="C157">
        <v>2</v>
      </c>
      <c r="D157">
        <v>4</v>
      </c>
      <c r="E157">
        <v>1</v>
      </c>
      <c r="F157" s="3">
        <f>3549.4+(245.2-777)+(-1.810194+(-0.125052--0.39627))+0--211.1-0.107660999999979</f>
        <v>3227.0533630000004</v>
      </c>
      <c r="G157" s="3">
        <f>3559.5+(227.2-933)+(-5.446035+(-0.347616--1.42749))+65.2--211.3-0.323289000000012</f>
        <v>3125.51055</v>
      </c>
      <c r="H157" s="3">
        <f>3572.1+(210.2-987.5)+(-1.821771+(-0.107202--0.503625))+14.2--211.2-0.107711999999979</f>
        <v>3018.6669399999996</v>
      </c>
      <c r="I157" s="3">
        <f>3586.3+(211.9-1032)+(1.829013+(0.108069-0.52632))+0--211.9--0.108068999999979</f>
        <v>2979.6188310000002</v>
      </c>
      <c r="J157" s="3">
        <f>3596.8+(220.1-1040.7)+(0+(0-0))+0--211.9-0</f>
        <v>2988.1000000000004</v>
      </c>
      <c r="K157" s="3">
        <f>3606.7+(230.7-1035.8)+(-9.197085+(-0.588285--2.64129))+9.6--212.6-0.542129999999969</f>
        <v>3016.1137899999999</v>
      </c>
      <c r="L157" s="3">
        <f>3228.9+(251.5-934.9)+(0+(0-0))+9.6--212.6-0</f>
        <v>2767.7</v>
      </c>
      <c r="M157" s="3">
        <f>3270.2+(256.1-1020.6)+(-3.335604+(-0.261222--1.041012))+0--212.6-0.216852000000034</f>
        <v>2715.5273339999999</v>
      </c>
      <c r="N157" s="3">
        <f>3567.8+(207.6-1130.2)+(0+(0-0))+0--212.6-0</f>
        <v>2857.8</v>
      </c>
      <c r="O157" s="3">
        <f>3557.7+(248.7-1026.2)+(1.814427+(0.126837-0.523362))+0--210.6--0.107405999999979</f>
        <v>2992.3253079999999</v>
      </c>
      <c r="P157" s="3">
        <f>3516+(254.5-879.4)+(1.79316+(0.129795-0.448494))+0--208.8--0.106487999999979</f>
        <v>3101.4809489999998</v>
      </c>
      <c r="Q157" s="3">
        <f>3480.5+(240.2-695)+(0+(0-0))+0--208.7-0</f>
        <v>3234.3999999999996</v>
      </c>
      <c r="R157" s="3">
        <f>3450.7+(176.7-530.3)+(-1.759857+(-0.090117--0.270453))+20--207.9-0.106028999999979</f>
        <v>3323.3144499999999</v>
      </c>
      <c r="S157" s="3">
        <f>3429.4+(272.1-572.6)+(-1.748994+(-0.138771--0.292026))+0--207-0.105569999999979</f>
        <v>3334.1986910000001</v>
      </c>
      <c r="T157" s="3">
        <f>3383.1+(340.5-574.2)+(1.725381+(0.173655-0.292842))+0--206--0.105059999999979</f>
        <v>3357.1112539999995</v>
      </c>
      <c r="U157" s="3">
        <f>3367.9+(332.4-565.9)+(-3.435258+(-0.339048--0.577218))+0--206.3-0.210426000000033</f>
        <v>3337.2924860000003</v>
      </c>
      <c r="V157" s="3">
        <f>3362.6+(275.4-553.3)+(0+(0-0))+0--206.9-0</f>
        <v>3291.6</v>
      </c>
      <c r="W157" s="3">
        <f>3378.9+(233.8-683.9)+(-6.892956+(-0.476952--1.395156))+0--207.8-0.423911999999991</f>
        <v>3130.2013360000001</v>
      </c>
      <c r="X157" s="3">
        <f>3377.7+(231.8-890.2)+(3.445254+(0.236436-0.908004))+0--220.3--0.224706000000035</f>
        <v>2942.5983919999999</v>
      </c>
      <c r="Y157" s="3">
        <f>3427.8+(198.3-893.5)+(1.748178+(0.101133-0.455685))+0--316.5--0.161414999999968</f>
        <v>3050.6550410000004</v>
      </c>
      <c r="Z157" s="3">
        <f>3493.8+(215.1-625.6)+(-3.563676+(-0.219402--0.638112))+0--308.7-0.314874000000049</f>
        <v>3388.54016</v>
      </c>
      <c r="AA157" s="3">
        <f>3513.6+(215.7-645.4)+(-5.375808+(-0.330021--0.987462))+0--308.8-0.472464000000018</f>
        <v>3387.5091690000004</v>
      </c>
      <c r="AB157" s="3">
        <f>3531.6+(207.7-692.2)+(-5.403348+(-0.317781--1.059066))+0--309.1-0.472923000000018</f>
        <v>3351.0650139999998</v>
      </c>
      <c r="AC157" s="3">
        <f>3543.1+(198.1-752)+(-3.613962+(-0.202062--0.76704))+0--309.2-0.315384000000049</f>
        <v>3295.0356319999996</v>
      </c>
      <c r="AD157">
        <f t="shared" si="2"/>
        <v>75213.418689999977</v>
      </c>
      <c r="AE157" s="3">
        <f>3547+(217-615.7)+(0+(0-0))+0--309-0</f>
        <v>3457.3</v>
      </c>
    </row>
    <row r="158" spans="1:31" s="2" customFormat="1" x14ac:dyDescent="0.25">
      <c r="A158">
        <v>89</v>
      </c>
      <c r="B158">
        <v>6</v>
      </c>
      <c r="C158">
        <v>3</v>
      </c>
      <c r="D158">
        <v>5</v>
      </c>
      <c r="E158">
        <v>1</v>
      </c>
      <c r="F158" s="3">
        <f>3560.8+(179.1-861)+(-1.816008+(-0.091341--0.43911))+0--307.9-0.157028999999969</f>
        <v>3185.1747320000004</v>
      </c>
      <c r="G158" s="3">
        <f>3567.1+(179.2-956)+(-3.638442+(-0.182784--0.97512))+0--307.9-0.314058000000049</f>
        <v>3095.0398360000004</v>
      </c>
      <c r="H158" s="3">
        <f>3567.3+(177.8-997.4)+(0+(0-0))+0--308.7-0</f>
        <v>3056.4</v>
      </c>
      <c r="I158" s="3">
        <f>3573.3+(176.6-1019.9)+(-7.289532+(-0.360264--2.080596))+0--309-0.630359999999986</f>
        <v>3032.80044</v>
      </c>
      <c r="J158" s="3">
        <f>3580.7+(189-1021.8)+(0+(0-0))+0--309-0</f>
        <v>3056.8999999999996</v>
      </c>
      <c r="K158" s="3">
        <f>3536.9+(229.1-1141.8)+(-1.803819+(-0.116841--0.582318))+0--310.3-0.158252999999969</f>
        <v>2933.0034050000004</v>
      </c>
      <c r="L158" s="3">
        <f>3267.8+(318.3-1048.3)+(-8.33289+(-0.811665--2.673165))+0--259.3-0.661214999999962</f>
        <v>2789.9673950000001</v>
      </c>
      <c r="M158" s="3">
        <f>2933.1+(369.8-737.9)+(-4.487643+(-0.565794--1.128987))+0--161.4-0.246942000000009</f>
        <v>2722.2286079999999</v>
      </c>
      <c r="N158" s="3">
        <f>3093.3+(324.3-788.7)+(1.577583+(0.165393-0.402237))+0--173.7--0.0885869999999824</f>
        <v>2804.0293260000003</v>
      </c>
      <c r="O158" s="3">
        <f>3503.5+(243.4-1109.5)+(-1.786785+(-0.124134--0.565845))+0--303.3-0.154682999999969</f>
        <v>2939.2002430000007</v>
      </c>
      <c r="P158" s="3">
        <f>3512.3+(200.6-980.4)+(0+(0-0))+0--305.4-0</f>
        <v>3037.9</v>
      </c>
      <c r="Q158" s="3">
        <f>3484.1+(180.7-806.9)+(0+(0-0))+0--305.4-0</f>
        <v>3163.2999999999997</v>
      </c>
      <c r="R158" s="3">
        <f>3420+(206.9-624.4)+(0+(0-0))+0--302.9-0</f>
        <v>3305.4</v>
      </c>
      <c r="S158" s="3">
        <f>3436.5+(239.5-613.6)+(-3.50523+(-0.24429--0.625872))+0--303.6-0.309672000000048</f>
        <v>3362.5666800000004</v>
      </c>
      <c r="T158" s="3">
        <f>3426.8+(264-601.5)+(0+(0-0))+0--303.1-0</f>
        <v>3392.4</v>
      </c>
      <c r="U158" s="3">
        <f>3393.9+(261.3-598.5)+(-1.730889+(-0.133263--0.305235))+0--329.4-0.167993999999967</f>
        <v>3384.3730890000006</v>
      </c>
      <c r="V158" s="3">
        <f>3361+(245-589.7)+(1.71411+(0.12495-0.300747))+0--332--0.169319999999966</f>
        <v>3350.0076330000002</v>
      </c>
      <c r="W158" s="3">
        <f>3374.5+(240.8-739.8)+(-1.720995+(-0.122808--0.377298))+0--333.6-0.170135999999966</f>
        <v>3207.4633589999999</v>
      </c>
      <c r="X158" s="3">
        <f>3348.7+(227.3-919.6)+(-3.415674+(-0.231846--0.937992))+0--335.1-0.341802000000053</f>
        <v>2988.4486699999998</v>
      </c>
      <c r="Y158" s="3">
        <f>3363.3+(146.5-786.2)+(-1.715283+(-0.074715--0.400962))+0--336.1-0.171410999999966</f>
        <v>3058.1395530000004</v>
      </c>
      <c r="Z158" s="3">
        <f>3442.1+(169.5-595.8)+(-5.266413+(-0.259335--0.911574))+0--337-0.515610000000019</f>
        <v>3347.6702160000004</v>
      </c>
      <c r="AA158" s="3">
        <f>3467.5+(171.5-615.1)+(-1.768425+(-0.087465--0.313701))+0--335.7-0.171206999999966</f>
        <v>3357.8866040000003</v>
      </c>
      <c r="AB158" s="3">
        <f>3478.9+(151.1-656.6)+(-5.322717+(-0.231183--1.004598))+0--336.6-0.51499800000002</f>
        <v>3304.9357</v>
      </c>
      <c r="AC158" s="3">
        <f>3495.4+(144.4-722.9)+(-1.782654+(-0.073644--0.368679))+0--338.5-0.172634999999966</f>
        <v>3253.7397460000002</v>
      </c>
      <c r="AD158">
        <f t="shared" si="2"/>
        <v>75128.97523500002</v>
      </c>
      <c r="AE158" s="3">
        <f>3500+(179.8-589.5)+(0+(0-0))+0--339-0</f>
        <v>3429.3</v>
      </c>
    </row>
    <row r="159" spans="1:31" s="2" customFormat="1" x14ac:dyDescent="0.25">
      <c r="A159">
        <v>89</v>
      </c>
      <c r="B159">
        <v>6</v>
      </c>
      <c r="C159">
        <v>4</v>
      </c>
      <c r="D159">
        <v>6</v>
      </c>
      <c r="E159">
        <v>1</v>
      </c>
      <c r="F159" s="3">
        <f>3550+(120.6-823.1)+(-7.242+(-0.246024--1.679124))+0--339.2-0.691967999999985</f>
        <v>3180.1991319999997</v>
      </c>
      <c r="G159" s="3">
        <f>3586.3+(108.3-932.6)+(-10.974078+(-0.331398--2.853756))+0--340.2-1.04101200000004</f>
        <v>3092.7072679999997</v>
      </c>
      <c r="H159" s="3">
        <f>3562.7+(100.6-984)+(-3.633954+(-0.102612--1.00368))+0--340.2-0.347004000000054</f>
        <v>3016.4201099999996</v>
      </c>
      <c r="I159" s="3">
        <f>3585.2+(90.4-1049.7)+(7.313808+(0.184416-2.141388))+0--340--0.693599999999985</f>
        <v>2971.9504359999996</v>
      </c>
      <c r="J159" s="3">
        <f>3669.5+(88.2-1114.6)+(0+(0-0))+0--341.7-0</f>
        <v>2984.8</v>
      </c>
      <c r="K159" s="3">
        <f>3581.6+(129.6-1120.8)+(-9.13308+(-0.33048--2.85804))+0--341.5-0.87082499999995</f>
        <v>2924.4236550000001</v>
      </c>
      <c r="L159" s="3">
        <f>3490+(167.6-1180)+(-8.8995+(-0.42738--3.009))+0--340.9-0.869294999999951</f>
        <v>2811.312825</v>
      </c>
      <c r="M159" s="3">
        <f>3329.5+(205.3-1140.9)+(0+(0-0))+0--340.8-0</f>
        <v>2734.7</v>
      </c>
      <c r="N159" s="3">
        <f>3556.5+(154.5-1216.7)+(-1.813815+(-0.078795--0.620517))+0--338.3-0.172532999999966</f>
        <v>2831.1553740000004</v>
      </c>
      <c r="O159" s="3">
        <f>3531.3+(177.2-1105.8)+(-1.800963+(-0.090372--0.563958))+0--335.4-0.171053999999966</f>
        <v>2936.6015690000004</v>
      </c>
      <c r="P159" s="3">
        <f>3517.3+(233.7-1032.2)+(-5.381469+(-0.357561--1.579266))+0--344.8-0.52754400000002</f>
        <v>3058.9126920000003</v>
      </c>
      <c r="Q159" s="3">
        <f>3479.7+(226.1-876.6)+(0+(0-0))+0--324.4-0</f>
        <v>3153.6</v>
      </c>
      <c r="R159" s="3">
        <f>3422.1+(205.4-726.2)+(3.490542+(0.209508-0.740724))+0--333.7--0.340374000000053</f>
        <v>3238.2996999999996</v>
      </c>
      <c r="S159" s="3">
        <f>3393.8+(188.2-655.1)+(1.730838+(0.095982-0.334101))+0--320.7--0.163556999999967</f>
        <v>3249.2562759999996</v>
      </c>
      <c r="T159" s="3">
        <f>3350+(197-638.7)+(-3.417+(-0.20094--0.651474))+0--327.7-0.334254000000052</f>
        <v>3232.6992800000003</v>
      </c>
      <c r="U159" s="3">
        <f>3245+(235.4-632.4)+(-4.96485+(-0.360162--0.967572))+0--324.7-0.496791000000019</f>
        <v>3167.8457689999996</v>
      </c>
      <c r="V159" s="3">
        <f>3240.9+(182.7-659.4)+(-6.611436+(-0.372708--1.345176))+0--331.3-0.675851999999986</f>
        <v>3089.1851800000004</v>
      </c>
      <c r="W159" s="3">
        <f>3247.6+(211.2-811.6)+(-8.28138+(-0.53856--2.06958))+0--333-0.849149999999952</f>
        <v>2972.6004899999998</v>
      </c>
      <c r="X159" s="3">
        <f>3210.3+(228.7-999)+(-3.274506+(-0.233274--1.01898))+0--334.2-0.340884000000053</f>
        <v>2771.3703159999995</v>
      </c>
      <c r="Y159" s="3">
        <f>3160+(176.8-810.1)+(1.6116+(0.090168-0.413151))+0--334.3--0.170492999999966</f>
        <v>2862.4591100000002</v>
      </c>
      <c r="Z159" s="3">
        <f>3362.5+(181.1-669)+(-5.144625+(-0.277083--1.02357))+0--335.1-0.512703000000019</f>
        <v>3204.7891589999999</v>
      </c>
      <c r="AA159" s="3">
        <f>3416.7+(176.4-714.8)+(-8.712585+(-0.44982--1.82274))+0--337.1-0.859604999999951</f>
        <v>3207.2007299999996</v>
      </c>
      <c r="AB159" s="3">
        <f>3419.4+(174-772.4)+(-1.743894+(-0.08874--0.393924))+0--337.4-0.172073999999966</f>
        <v>3156.7892160000001</v>
      </c>
      <c r="AC159" s="3">
        <f>3406.1+(168-793)+(-6.948444+(-0.34272--1.61772))+0--338.3-0.690131999999985</f>
        <v>3113.0364239999999</v>
      </c>
      <c r="AD159">
        <f t="shared" si="2"/>
        <v>72962.314711000014</v>
      </c>
      <c r="AE159" s="3">
        <f>3410+(201.7-662.5)+(0+(0-0))+0--336-0</f>
        <v>3285.2</v>
      </c>
    </row>
    <row r="160" spans="1:31" s="2" customFormat="1" x14ac:dyDescent="0.25">
      <c r="A160">
        <v>89</v>
      </c>
      <c r="B160">
        <v>6</v>
      </c>
      <c r="C160">
        <v>5</v>
      </c>
      <c r="D160">
        <v>7</v>
      </c>
      <c r="E160">
        <v>1</v>
      </c>
      <c r="F160" s="3">
        <f>3420.4+(154.6-868.1)+(-1.744404+(-0.078846--0.442731))+0--338.7-0.172736999999966</f>
        <v>3044.0467440000002</v>
      </c>
      <c r="G160" s="3">
        <f>3442+(160.4-963.1)+(-1.75542+(-0.081804--0.491181))+0--339.7-0.173246999999966</f>
        <v>2977.4807099999998</v>
      </c>
      <c r="H160" s="3">
        <f>3466.7+(141.2-1033.2)+(-10.608102+(-0.432072--3.161592))+0--339.7-1.03948200000004</f>
        <v>2905.4819359999997</v>
      </c>
      <c r="I160" s="3">
        <f>3467.6+(140-1084.4)+(5.305428+(0.2142-1.659132))+0--341.3--0.52218900000002</f>
        <v>2868.8826849999996</v>
      </c>
      <c r="J160" s="3">
        <f>3422+(141.3-1051)+(-6.98088+(-0.288252--2.14404))+0--341.6-0.696863999999985</f>
        <v>2848.0780439999999</v>
      </c>
      <c r="K160" s="3">
        <f>3360.8+(168.3-1061.9)+(-1.714008+(-0.085833--0.541569))+0--341.4-0.174113999999965</f>
        <v>2807.167614</v>
      </c>
      <c r="L160" s="3">
        <f>3090.7+(237.7-1034.3)+(0+(0-0))+0--341.3-0</f>
        <v>2635.4</v>
      </c>
      <c r="M160" s="3">
        <f>2728.4+(301.2-851.3)+(0+(0-0))+0--341.2-0</f>
        <v>2519.5</v>
      </c>
      <c r="N160" s="3">
        <f>3013.5+(206.9-1055.2)+(0+(0-0))+0--338.5-0</f>
        <v>2503.6999999999998</v>
      </c>
      <c r="O160" s="3">
        <f>3302+(151.4-1091.5)+(-3.36804+(-0.154428--1.11333))+0--210.9-0.215118000000034</f>
        <v>2570.1757440000001</v>
      </c>
      <c r="P160" s="3">
        <f>3329.2+(145.2-1080.9)+(-3.395784+(-0.148104--1.102518))+0--279.5-0.285090000000045</f>
        <v>2670.2735400000001</v>
      </c>
      <c r="Q160" s="3">
        <f>3337.3+(146-988.9)+(0+(0-0))+0--329.5-0</f>
        <v>2823.9</v>
      </c>
      <c r="R160" s="3">
        <f>3331.7+(145.7-833)+(-1.699167+(-0.074307--0.42483))+0--331.2-0.168911999999966</f>
        <v>2974.0824439999992</v>
      </c>
      <c r="S160" s="3">
        <f>3298.6+(193.7-747.3)+(-3.364572+(-0.197574--0.762246))+0--331.3-0.337926000000053</f>
        <v>3073.1621740000001</v>
      </c>
      <c r="T160" s="3">
        <f>3277.7+(196.9-663.8)+(-5.014881+(-0.301257--1.015614))+0--332.4-0.508572000000019</f>
        <v>3138.3909039999994</v>
      </c>
      <c r="U160" s="3">
        <f>3271.4+(201.2-659.8)+(-6.673656+(-0.410448--1.345992))+0--332.5-0.678299999999985</f>
        <v>3138.8835880000001</v>
      </c>
      <c r="V160" s="3">
        <f>3272.2+(232.4-719.3)+(-3.337644+(-0.237048--0.733686))+0--332.4-0.339048000000053</f>
        <v>3114.5199459999994</v>
      </c>
      <c r="W160" s="3">
        <f>3200+(282.8-835.8)+(3.264+(0.288456-0.852516))+0--334.9--0.341598000000053</f>
        <v>2984.941538</v>
      </c>
      <c r="X160" s="3">
        <f>3039.6+(285.4-913.4)+(0+(0-0))+0--337.1-0</f>
        <v>2748.7</v>
      </c>
      <c r="Y160" s="3">
        <f>3226.9+(203.2-896.4)+(0+(0-0))+0--338.2-0</f>
        <v>2871.8999999999996</v>
      </c>
      <c r="Z160" s="3">
        <f>3344.1+(211.4-683.6)+(-1.705491+(-0.107814--0.348636))+0--338.8-0.172787999999966</f>
        <v>3209.062543</v>
      </c>
      <c r="AA160" s="3">
        <f>3362.9+(217.5-676.5)+(-1.715079+(-0.110925--0.345015))+0--339.4-0.173093999999966</f>
        <v>3241.6459170000003</v>
      </c>
      <c r="AB160" s="3">
        <f>3378+(211.5-698.5)+(-3.44556+(-0.21573--0.71247))+0--339.1-0.345882000000054</f>
        <v>3226.8052979999998</v>
      </c>
      <c r="AC160" s="3">
        <f>3383.4+(211.7-736)+(0+(0-0))+0--339.3-0</f>
        <v>3198.4000000000005</v>
      </c>
      <c r="AD160">
        <f t="shared" si="2"/>
        <v>70094.581368999992</v>
      </c>
      <c r="AE160" s="3">
        <f>3346+(215.5-669)+(0+(0-0))+0--339-0</f>
        <v>3231.5</v>
      </c>
    </row>
    <row r="161" spans="1:31" s="2" customFormat="1" x14ac:dyDescent="0.25">
      <c r="A161">
        <v>89</v>
      </c>
      <c r="B161">
        <v>6</v>
      </c>
      <c r="C161">
        <v>6</v>
      </c>
      <c r="D161">
        <v>1</v>
      </c>
      <c r="E161">
        <v>1</v>
      </c>
      <c r="F161" s="3">
        <f>3367.3+(199-815.4)+(-1.717323+(-0.10149--0.415854))+0--341.8-0.174317999999965</f>
        <v>3091.1227230000004</v>
      </c>
      <c r="G161" s="3">
        <f>3387+(198.8-913.8)+(0+(0-0))+0--341.4-0</f>
        <v>3013.4</v>
      </c>
      <c r="H161" s="3">
        <f>3505.3+(171.9-1021.1)+(-7.150812+(-0.350676--2.083044))+0--342.4-0.698495999999985</f>
        <v>2992.3830600000006</v>
      </c>
      <c r="I161" s="3">
        <f>3527.9+(160.3-1124)+(0+(0-0))+0--343.3-0</f>
        <v>2907.5</v>
      </c>
      <c r="J161" s="3">
        <f>3554.4+(175.1-1139.4)+(-3.625488+(-0.178602--1.162188))+0--343.3-0.350166000000055</f>
        <v>2930.4079320000001</v>
      </c>
      <c r="K161" s="3">
        <f>3502.8+(207.7-1178.5)+(-8.93214+(-0.529635--3.005175))+0--345.8-0.88178999999995</f>
        <v>2870.4616100000003</v>
      </c>
      <c r="L161" s="3">
        <f>3372.6+(210.5-1174.9)+(-10.320156+(-0.64413--3.595194))+0--346-1.05876000000004</f>
        <v>2745.772148</v>
      </c>
      <c r="M161" s="3">
        <f>3177.1+(206-1052.2)+(1.620321+(0.10506-0.536622))+0--344.4--0.175643999999965</f>
        <v>2676.6644029999998</v>
      </c>
      <c r="N161" s="3">
        <f>3434.5+(183.4-1164.9)+(0+(0-0))+0--341.7-0</f>
        <v>2794.7</v>
      </c>
      <c r="O161" s="3">
        <f>3543.6+(163.2-1135.7)+(-1.807236+(-0.083232--0.579207))+0--339.6-0.173195999999966</f>
        <v>2909.2155429999998</v>
      </c>
      <c r="P161" s="3">
        <f>3508.9+(167.6-978.4)+(3.579078+(0.170952-0.997968))+0--336--0.342720000000054</f>
        <v>3037.1947820000005</v>
      </c>
      <c r="Q161" s="3">
        <f>3453.2+(174.1-775.2)+(1.761132+(0.088791-0.395352))+0--334.5--0.170594999999966</f>
        <v>3188.2251660000002</v>
      </c>
      <c r="R161" s="3">
        <f>3402.3+(222.8-627.7)+(1.735173+(0.113628-0.320127))+0--334.2--0.170441999999966</f>
        <v>3333.2991160000001</v>
      </c>
      <c r="S161" s="3">
        <f>3372.7+(291.1-675.3)+(0+(0-0))+0--333.3-0</f>
        <v>3321.8</v>
      </c>
      <c r="T161" s="3">
        <f>3359.7+(323.4-680.8)+(0+(0-0))+0--333.8-0</f>
        <v>3336.1</v>
      </c>
      <c r="U161" s="3">
        <f>3360.2+(247.5-664.4)+(-6.854808+(-0.5049--1.355376))+0--334.6-0.682583999999985</f>
        <v>3271.2130839999995</v>
      </c>
      <c r="V161" s="3">
        <f>3361+(187.6-674.8)+(-8.57055+(-0.47838--1.72074))+0--334.7-0.853484999999951</f>
        <v>3200.3183249999997</v>
      </c>
      <c r="W161" s="3">
        <f>3392.3+(194.1-864.5)+(-6.920292+(-0.395964--1.76358))+0--337.2-0.687887999999985</f>
        <v>3052.8594360000002</v>
      </c>
      <c r="X161" s="3">
        <f>3399.8+(171.1-1071.8)+(-5.201694+(-0.261783--1.639854))+0--339-0.51867000000002</f>
        <v>2833.7577070000002</v>
      </c>
      <c r="Y161" s="3">
        <f>3436.7+(173.6-993.9)+(1.752717+(0.088536-0.506889))+0--339--0.172889999999966</f>
        <v>2956.9072539999993</v>
      </c>
      <c r="Z161" s="3">
        <f>3524.1+(192.7-856.2)+(-7.189164+(-0.393108--1.746648))+0--340.6-0.694823999999985</f>
        <v>3194.6695519999998</v>
      </c>
      <c r="AA161" s="3">
        <f>3589.1+(190.1-875)+(-10.982646+(-0.581706--2.6775))+0--341.4-1.04468400000004</f>
        <v>3235.6684639999999</v>
      </c>
      <c r="AB161" s="3">
        <f>3602.1+(186.3-926.8)+(-3.674142+(-0.190026--0.945336))+0--340.9-0.347718000000054</f>
        <v>3199.2334500000002</v>
      </c>
      <c r="AC161" s="3">
        <f>3566.8+(181.7-924.3)+(-3.638136+(-0.185334--0.942786))+0--340.5-0.347310000000054</f>
        <v>3161.472006</v>
      </c>
      <c r="AD161">
        <f t="shared" si="2"/>
        <v>73254.345761000004</v>
      </c>
      <c r="AE161" s="3">
        <f>3588+(190.9-872.4)+(0+(0-0))+0--339-0</f>
        <v>3245.5</v>
      </c>
    </row>
    <row r="162" spans="1:31" s="2" customFormat="1" x14ac:dyDescent="0.25">
      <c r="A162">
        <v>89</v>
      </c>
      <c r="B162">
        <v>6</v>
      </c>
      <c r="C162">
        <v>7</v>
      </c>
      <c r="D162">
        <v>2</v>
      </c>
      <c r="E162">
        <v>1</v>
      </c>
      <c r="F162" s="3">
        <f>3506.3+(138.9-903.3)+(-3.576426+(-0.141678--0.921366))+0--340.4-0.347208000000054</f>
        <v>3079.156054</v>
      </c>
      <c r="G162" s="3">
        <f>3507+(132.8-983.7)+(-7.15428+(-0.270912--2.006748))+0--341.4-0.696455999999985</f>
        <v>2991.3851</v>
      </c>
      <c r="H162" s="3">
        <f>3514.5+(129.1-1068.3)+(-8.961975+(-0.329205--2.724165))+0--341.8-0.87158999999995</f>
        <v>2909.6613950000005</v>
      </c>
      <c r="I162" s="3">
        <f>3514.7+(126.8-1121.6)+(-3.584994+(-0.129336--1.144032))+0--342.2-0.349044000000055</f>
        <v>2859.1806579999993</v>
      </c>
      <c r="J162" s="3">
        <f>3529.7+(7-1075)+(7.200588+(0.01428-2.193))+0--342--0.697679999999985</f>
        <v>2809.4195479999994</v>
      </c>
      <c r="K162" s="3">
        <f>3496.3+(127.4-1098.5)+(-5.349339+(-0.194922--1.680705))+0--343-0.52479000000002</f>
        <v>2863.8116540000005</v>
      </c>
      <c r="L162" s="3">
        <f>3141.5+(184.1-941.7)+(0+(0-0))+0--339.9-0</f>
        <v>2723.8</v>
      </c>
      <c r="M162" s="3">
        <f>3140.1+(164.9-1007.7)+(0+(0-0))+0--342.1-0</f>
        <v>2639.3999999999996</v>
      </c>
      <c r="N162" s="3">
        <f>3287.5+(161.8-1051.9)+(3.35325+(0.165036-1.072938))+0--338.3--0.345066000000054</f>
        <v>2738.4904139999999</v>
      </c>
      <c r="O162" s="3">
        <f>3494.6+(171.6-1125.9)+(-1.782246+(-0.087516--0.574209))+0--335.3-0.171002999999966</f>
        <v>2874.1334440000001</v>
      </c>
      <c r="P162" s="3">
        <f>3489.9+(175.8-983.5)+(0+(0-0))+0--333-0</f>
        <v>3015.2</v>
      </c>
      <c r="Q162" s="3">
        <f>3439.7+(178-814.6)+(1.754247+(0.09078-0.415446))+0--334.1--0.170390999999966</f>
        <v>3138.7999719999998</v>
      </c>
      <c r="R162" s="3">
        <f>3437.2+(194.1-689.1)+(-5.258916+(-0.296973--1.054323))+0--334.9-0.512397000000019</f>
        <v>3272.086037</v>
      </c>
      <c r="S162" s="3">
        <f>3411.1+(191.3-650.9)+(-5.218983+(-0.292689--0.995877))+0--334-0.511020000000019</f>
        <v>3280.4731850000003</v>
      </c>
      <c r="T162" s="3">
        <f>3412.6+(204.8-639.5)+(-5.221278+(-0.313344--0.978435))+0--334.3-0.511479000000019</f>
        <v>3307.1323339999999</v>
      </c>
      <c r="U162" s="3">
        <f>3410.1+(194.9-636.6)+(-3.478302+(-0.198798--0.649332))+0--334.3-0.340986000000053</f>
        <v>3299.3312459999997</v>
      </c>
      <c r="V162" s="3">
        <f>3414.1+(170.1-661.9)+(-13.929528+(-0.694008--2.700552))+0--335.8-1.37006399999997</f>
        <v>3244.8069520000004</v>
      </c>
      <c r="W162" s="3">
        <f>3421.6+(156.9-823.4)+(-6.980064+(-0.320076--1.679736))+0--335.8-0.685031999999985</f>
        <v>3084.5945640000004</v>
      </c>
      <c r="X162" s="3">
        <f>3423.7+(148.8-1040.4)+(-3.492174+(-0.151776--1.061208))+0--336.3-0.343026000000054</f>
        <v>2865.4742319999996</v>
      </c>
      <c r="Y162" s="3">
        <f>3436.4+(161.1-963.1)+(1.752564+(0.082161-0.491181))+0--336.4--0.171563999999966</f>
        <v>2972.3151079999998</v>
      </c>
      <c r="Z162" s="3">
        <f>3541.6+(177.3-781.3)+(-5.418648+(-0.271269--1.195389))+0--338.1-0.51729300000002</f>
        <v>3270.6881789999998</v>
      </c>
      <c r="AA162" s="3">
        <f>3556.5+(176.6-817.7)+(-10.88289+(-0.540396--2.502162))+0--339.3-1.03825800000004</f>
        <v>3244.7406180000003</v>
      </c>
      <c r="AB162" s="3">
        <f>3479.2+(173.4-815.3)+(-5.323176+(-0.265302--1.247409))+0--339.2-0.51897600000002</f>
        <v>3171.6399549999996</v>
      </c>
      <c r="AC162" s="3">
        <f>3493.4+(165.2-891.7)+(-3.563268+(-0.168504--0.909534))+0--339.1-0.345882000000054</f>
        <v>3102.8318799999997</v>
      </c>
      <c r="AD162">
        <f t="shared" si="2"/>
        <v>72758.552529000008</v>
      </c>
      <c r="AE162" s="3">
        <f>3567+(193.9-805.4)+(0+(0-0))+0--335-0</f>
        <v>3290.5</v>
      </c>
    </row>
    <row r="163" spans="1:31" s="2" customFormat="1" x14ac:dyDescent="0.25">
      <c r="A163">
        <v>89</v>
      </c>
      <c r="B163">
        <v>6</v>
      </c>
      <c r="C163">
        <v>8</v>
      </c>
      <c r="D163">
        <v>3</v>
      </c>
      <c r="E163">
        <v>1</v>
      </c>
      <c r="F163" s="3">
        <f>3503.4+(149.6-960.7)+(-3.573468+(-0.152592--0.979914))+0--337.3-0.344046000000054</f>
        <v>3026.5098080000002</v>
      </c>
      <c r="G163" s="3">
        <f>3516.8+(144-1042.8)+(-1.793568+(-0.07344--0.531828))+0--339.5-0.173144999999966</f>
        <v>2955.9916750000002</v>
      </c>
      <c r="H163" s="3">
        <f>3507+(143.1-1093.4)+(0+(0-0))+0--337.7-0</f>
        <v>2894.3999999999996</v>
      </c>
      <c r="I163" s="3">
        <f>3531.6+(137.6-1156.5)+(-3.602232+(-0.140352--1.17963))+0--340.2-0.347004000000054</f>
        <v>2849.9900419999994</v>
      </c>
      <c r="J163" s="3">
        <f>3557.1+(140.2-1173.2)+(1.814121+(0.071502-0.598332))+0--341.4--0.174113999999965</f>
        <v>2866.961405</v>
      </c>
      <c r="K163" s="3">
        <f>3482.5+(138.7-1159.3)+(-7.1043+(-0.282948--2.364972))+0--341.9-0.697475999999985</f>
        <v>2798.0802480000002</v>
      </c>
      <c r="L163" s="3">
        <f>3165.7+(141.1-1011.1)+(-9.687042+(-0.431766--3.093966))+0--343.2-1.05019200000004</f>
        <v>2630.8249659999997</v>
      </c>
      <c r="M163" s="3">
        <f>2764.8+(236.3-807.8)+(2.820096+(0.241026-0.823956))+0--342.3--0.349146000000055</f>
        <v>2538.1863120000003</v>
      </c>
      <c r="N163" s="3">
        <f>2854.6+(242.8-830.3)+(1.455846+(0.123828-0.423453))+0--339.8--0.173297999999966</f>
        <v>2608.2295190000004</v>
      </c>
      <c r="O163" s="3">
        <f>2917.9+(252.1-748.9)+(0+(0-0))+0--337.8-0</f>
        <v>2758.9000000000005</v>
      </c>
      <c r="P163" s="3">
        <f>3436.1+(152.9-1009.9)+(7.009644+(0.311916-2.060196))+0--333.7--0.680747999999985</f>
        <v>2918.7421119999995</v>
      </c>
      <c r="Q163" s="3">
        <f>3502.1+(157.9-951.1)+(3.572142+(0.161058-0.970122))+0--332.6--0.339252000000053</f>
        <v>3044.6023299999997</v>
      </c>
      <c r="R163" s="3">
        <f>3492.3+(162.3-800)+(-1.781073+(-0.082773--0.408))+0--332.3-0.169472999999966</f>
        <v>3185.2746810000008</v>
      </c>
      <c r="S163" s="3">
        <f>3475.7+(153.6-756.1)+(0+(0-0))+0--332-0</f>
        <v>3205.2</v>
      </c>
      <c r="T163" s="3">
        <f>3448.5+(186.2-708.4)+(1.758735+(0.094962-0.361284))+0--331.1--0.168860999999966</f>
        <v>3259.0612740000001</v>
      </c>
      <c r="U163" s="3">
        <f>3439.1+(183.6-693.9)+(1.753941+(0.093636-0.353889))+0--329.1--0.167840999999967</f>
        <v>3259.5615290000001</v>
      </c>
      <c r="V163" s="3">
        <f>3441.3+(148.4-703)+(-5.265189+(-0.227052--1.07559))+0--330.6-0.505818000000019</f>
        <v>3212.3775310000001</v>
      </c>
      <c r="W163" s="3">
        <f>3444.9+(149.9-849.3)+(-5.270697+(-0.229347--1.299429))+0--331.9-0.507807000000019</f>
        <v>3072.6915779999999</v>
      </c>
      <c r="X163" s="3">
        <f>3419+(154.6-1058.6)+(-1.74369+(-0.078846--0.539886))+0--332.3-0.169472999999966</f>
        <v>2845.8478770000002</v>
      </c>
      <c r="Y163" s="3">
        <f>3417.9+(156.2-936.5)+(1.743129+(0.079662-0.477615))+0--331.2--0.168911999999966</f>
        <v>2970.3140880000001</v>
      </c>
      <c r="Z163" s="3">
        <f>3510.1+(163.7-770.2)+(-1.790151+(-0.083487--0.392802))+0--332.5-0.169574999999966</f>
        <v>3234.4495889999998</v>
      </c>
      <c r="AA163" s="3">
        <f>3533.8+(164.3-800.2)+(0+(0-0))+0--333.4-0</f>
        <v>3231.3</v>
      </c>
      <c r="AB163" s="3">
        <f>3543.6+(161-879.8)+(-3.614472+(-0.16422--0.897396))+0--334.4-0.341088000000053</f>
        <v>3155.9776160000001</v>
      </c>
      <c r="AC163" s="3">
        <f>3548.1+(153.6-923.2)+(0+(0-0))+0--334.9-0</f>
        <v>3113.4</v>
      </c>
      <c r="AD163">
        <f t="shared" si="2"/>
        <v>71636.874179999999</v>
      </c>
      <c r="AE163" s="3">
        <f>3526+(187.6-773.6)+(0+(0-0))+0--334-0</f>
        <v>3274</v>
      </c>
    </row>
    <row r="164" spans="1:31" s="2" customFormat="1" x14ac:dyDescent="0.25">
      <c r="A164">
        <v>89</v>
      </c>
      <c r="B164">
        <v>6</v>
      </c>
      <c r="C164">
        <v>9</v>
      </c>
      <c r="D164">
        <v>4</v>
      </c>
      <c r="E164">
        <v>1</v>
      </c>
      <c r="F164" s="3">
        <f>3565.9+(148.4-981)+(-9.093045+(-0.37842--2.50155))+0--336.9-0.859094999999951</f>
        <v>3062.3709900000003</v>
      </c>
      <c r="G164" s="3">
        <f>3574.5+(141-1071.1)+(-7.29198+(-0.28764--2.185044))+0--337.8-0.689111999999985</f>
        <v>2976.1163120000001</v>
      </c>
      <c r="H164" s="3">
        <f>3586.2+(136.6-1161.3)+(-5.486886+(-0.208998--1.776789))+0--339.2-0.51897600000002</f>
        <v>2896.2619289999998</v>
      </c>
      <c r="I164" s="3">
        <f>3537.3+(141.5-1156)+(-9.020115+(-0.360825--2.9478))+0--325.3-0.829514999999953</f>
        <v>2840.8373450000004</v>
      </c>
      <c r="J164" s="3">
        <f>3536.9+(160.4-1072.6)+(0+(0-0))+0--208.4-0</f>
        <v>2833.1000000000004</v>
      </c>
      <c r="K164" s="3">
        <f>3495.1+(172.8-1087.7)+(-8.912505+(-0.44064--2.773635))+0--208.7-0.53218499999997</f>
        <v>2781.7883049999996</v>
      </c>
      <c r="L164" s="3">
        <f>3035.7+(214-878.6)+(-6.192828+(-0.43656--1.792344))+0--277.5-0.566099999999988</f>
        <v>2643.196856</v>
      </c>
      <c r="M164" s="3">
        <f>2943.6+(197-915.9)+(0+(0-0))+0--343.4-0</f>
        <v>2568.1</v>
      </c>
      <c r="N164" s="3">
        <f>3336.2+(132.6-1122.7)+(1.701462+(0.067626-0.572577))+0--340.6--0.173705999999965</f>
        <v>2688.070217</v>
      </c>
      <c r="O164" s="3">
        <f>3559.6+(139.7-1225.2)+(0+(0-0))+0--338.9-0</f>
        <v>2813</v>
      </c>
      <c r="P164" s="3">
        <f>3513+(159.7-1117.1)+(1.79163+(0.081447-0.569721))+0--337.1--0.171920999999966</f>
        <v>2894.1752770000003</v>
      </c>
      <c r="Q164" s="3">
        <f>3464.3+(168.4-853)+(5.300379+(0.257652-1.30509))+0--247.7--0.378981000000014</f>
        <v>3032.0319220000001</v>
      </c>
      <c r="R164" s="3">
        <f>3431.6+(222.6-654.9)+(1.750116+(0.113526-0.333999))+0--279.4--0.142493999999972</f>
        <v>3280.3721370000003</v>
      </c>
      <c r="S164" s="3">
        <f>3439.8+(261.3-697.3)+(0+(0-0))+0--288.6-0</f>
        <v>3292.4</v>
      </c>
      <c r="T164" s="3">
        <f>3378.5+(268.4-719.7)+(1.723035+(0.136884-0.367047))+0--328.7--0.167636999999967</f>
        <v>3257.5605089999995</v>
      </c>
      <c r="U164" s="3">
        <f>3381.4+(226.8-730.1)+(-8.62257+(-0.57834--1.861755))+0--376.5-0.960074999999945</f>
        <v>3246.3007699999998</v>
      </c>
      <c r="V164" s="3">
        <f>3374.1+(167.5-753.8)+(-3.441582+(-0.17085--0.768876))+0--390.5-0.398310000000062</f>
        <v>3175.0581340000003</v>
      </c>
      <c r="W164" s="3">
        <f>3385.4+(150.9-938.7)+(-3.453108+(-0.153918--0.957474))+0--392.5-0.400350000000063</f>
        <v>2987.0500980000002</v>
      </c>
      <c r="X164" s="3">
        <f>3407.2+(147.6-1122.7)+(-3.475344+(-0.150552--1.145154))+0--374.9-0.38239800000006</f>
        <v>2804.1368599999996</v>
      </c>
      <c r="Y164" s="3">
        <f>3424.2+(162.2-988.7)+(-3.492684+(-0.165444--1.008474))+0--326.8-0.333336000000052</f>
        <v>2921.51701</v>
      </c>
      <c r="Z164" s="3">
        <f>3592.6+(173.6-919.1)+(0+(0-0))+0--333.3-0</f>
        <v>3180.4</v>
      </c>
      <c r="AA164" s="3">
        <f>3588.5+(169.1-950.6)+(-7.32054+(-0.344964--1.939224))+0--341.1-0.695843999999985</f>
        <v>3141.6778760000002</v>
      </c>
      <c r="AB164" s="3">
        <f>3572.1+(163.5-1019)+(0+(0-0))+0--338.6-0</f>
        <v>3055.2</v>
      </c>
      <c r="AC164" s="3">
        <f>3616.2+(155.4-1143.9)+(-9.22131+(-0.39627--2.916945))+0--333.8-0.851189999999952</f>
        <v>2953.948175</v>
      </c>
      <c r="AD164">
        <f t="shared" si="2"/>
        <v>71324.67072200001</v>
      </c>
      <c r="AE164" s="3">
        <f>3595+(172.2-900.9)+(0+(0-0))+0--327.9-0</f>
        <v>3194.2000000000003</v>
      </c>
    </row>
    <row r="165" spans="1:31" s="2" customFormat="1" x14ac:dyDescent="0.25">
      <c r="A165">
        <v>89</v>
      </c>
      <c r="B165">
        <v>6</v>
      </c>
      <c r="C165">
        <v>10</v>
      </c>
      <c r="D165">
        <v>5</v>
      </c>
      <c r="E165">
        <v>5</v>
      </c>
      <c r="F165" s="3">
        <f>3638.1+(146.2-1225.6)+(-5.566293+(-0.223686--1.875168))+0--333.4-0.510102000000019</f>
        <v>2887.6750869999996</v>
      </c>
      <c r="G165" s="3">
        <f>3635.2+(136.5-1283.2)+(-5.561856+(-0.208845--1.963296))+0--332.5-0.508725000000019</f>
        <v>2816.6838699999998</v>
      </c>
      <c r="H165" s="3">
        <f>3641.7+(132.2-1340.1)+(-1.857267+(-0.067422--0.683451))+0--334.8-0.170747999999966</f>
        <v>2767.1880140000003</v>
      </c>
      <c r="I165" s="3">
        <f>3679.3+(129.2-1400.9)+(-3.752886+(-0.131784--1.428918))+0--333.9-0.340578000000053</f>
        <v>2738.7036700000003</v>
      </c>
      <c r="J165" s="3">
        <f>3697+(132.3-1383.7)+(-7.54188+(-0.269892--2.822748))+0--335.9-0.685235999999985</f>
        <v>2775.8257400000002</v>
      </c>
      <c r="K165" s="3">
        <f>3577.8+(130.2-1329.2)+(-9.12339+(-0.33201--3.38946))+0--338.8-0.863939999999951</f>
        <v>2710.6701200000007</v>
      </c>
      <c r="L165" s="3">
        <f>3007.7+(148-864)+(-7.669635+(-0.3774--2.2032))+0--262.6-0.669629999999962</f>
        <v>2547.7865349999997</v>
      </c>
      <c r="M165" s="3">
        <f>2908.2+(121.9-857.9)+(0+(0-0))+0--227.6-0</f>
        <v>2399.7999999999997</v>
      </c>
      <c r="N165" s="3">
        <f>2977+(120.8-930)+(-3.03654+(-0.123216--0.9486))+0--248.3-0.25326600000004</f>
        <v>2413.6355780000004</v>
      </c>
      <c r="O165" s="3">
        <f>3087.2+(120.9-1116)+(-3.148944+(-0.123318--1.13832))+0--366.7-0.374034000000058</f>
        <v>2456.2920239999999</v>
      </c>
      <c r="P165" s="3">
        <f>3258.7+(126.6-1218)+(-1.661937+(-0.064566--0.62118))+0--393-0.20042999999996</f>
        <v>2558.9942469999996</v>
      </c>
      <c r="Q165" s="3">
        <f>3333.1+(129.5-1195.9)+(3.399762+(0.13209-1.219818))+0--370.7--0.378114000000059</f>
        <v>2640.0901479999998</v>
      </c>
      <c r="R165" s="3">
        <f>3312.5+(151.3-1073.7)+(-1.689375+(-0.077163--0.547587))+0--390.6-0.19920599999996</f>
        <v>2779.2818430000002</v>
      </c>
      <c r="S165" s="3">
        <f>3295.2+(157.9-971.6)+(-1.680552+(-0.080529--0.495516))+0--395.8-0.20185799999996</f>
        <v>2875.8325770000001</v>
      </c>
      <c r="T165" s="3">
        <f>3292.4+(163.3-902.6)+(0+(0-0))+0--385.7-0</f>
        <v>2938.8</v>
      </c>
      <c r="U165" s="3">
        <f>3294.5+(161.3-884.3)+(-6.72078+(-0.329052--1.803972))+0--377.3-0.769691999999984</f>
        <v>2942.7844480000003</v>
      </c>
      <c r="V165" s="3">
        <f>3298.2+(150.8-918.7)+(-1.682082+(-0.076908--0.468537))+0--377.1-0.192320999999962</f>
        <v>2905.9172259999996</v>
      </c>
      <c r="W165" s="3">
        <f>3357.4+(140.9-1088.2)+(-3.424548+(-0.143718--1.109964))+0--378.2-0.38576400000006</f>
        <v>2785.4559339999996</v>
      </c>
      <c r="X165" s="3">
        <f>3231.6+(140.4-1146.3)+(-3.296232+(-0.143208--1.169226))+0--390.9-0.398718000000062</f>
        <v>2613.9310679999999</v>
      </c>
      <c r="Y165" s="3">
        <f>3222.3+(163.6-1014.1)+(0+(0-0))+0--399.3-0</f>
        <v>2771.1000000000004</v>
      </c>
      <c r="Z165" s="3">
        <f>3459.5+(177.8-949.7)+(-1.764345+(-0.090678--0.484347))+0--396.5-0.20221499999996</f>
        <v>3082.5271090000001</v>
      </c>
      <c r="AA165" s="3">
        <f>3484.3+(178.5-961.2)+(-5.330979+(-0.273105--1.470636))+0--393.5-0.602055000000023</f>
        <v>3090.3644970000005</v>
      </c>
      <c r="AB165" s="3">
        <f>3498.5+(174-1006.7)+(1.784235+(0.08874-0.513417))+0--392.6--0.20022599999996</f>
        <v>3059.9597840000001</v>
      </c>
      <c r="AC165" s="3">
        <f>3516.3+(170.1-1037.3)+(-1.793313+(-0.086751--0.529023))+0--393.2-0.20053199999996</f>
        <v>3040.7484270000004</v>
      </c>
      <c r="AD165">
        <f t="shared" si="2"/>
        <v>66600.047945999991</v>
      </c>
      <c r="AE165" s="3">
        <f>3479+(176.9-943.5)+(0+(0-0))+0--393.6-0</f>
        <v>3106</v>
      </c>
    </row>
    <row r="166" spans="1:31" s="2" customFormat="1" x14ac:dyDescent="0.25">
      <c r="A166">
        <v>89</v>
      </c>
      <c r="B166">
        <v>6</v>
      </c>
      <c r="C166">
        <v>11</v>
      </c>
      <c r="D166">
        <v>6</v>
      </c>
      <c r="E166">
        <v>6</v>
      </c>
      <c r="F166" s="3">
        <f>3506.4+(163.4-1042.6)+(0+(0-0))+0--395.7-0</f>
        <v>3022.9</v>
      </c>
      <c r="G166" s="3">
        <f>3487.7+(157.5-1096.2)+(-1.778727+(-0.080325--0.559062))+0--397.2-0.20257199999996</f>
        <v>2944.6974379999997</v>
      </c>
      <c r="H166" s="3">
        <f>3466.6+(152.3-1146.4)+(1.767966+(0.077673-0.584664))+0--392.6--0.20022599999996</f>
        <v>2866.561201</v>
      </c>
      <c r="I166" s="3">
        <f>3444.7+(149-1173.8)+(0+(0-0))+0--393.8-0</f>
        <v>2813.7</v>
      </c>
      <c r="J166" s="3">
        <f>3450.2+(148.7-1189.2)+(0+(0-0))+0--397-0</f>
        <v>2806.7</v>
      </c>
      <c r="K166" s="3">
        <f>3417.1+(152.5-1171.7)+(0+(0-0))+0--383.7-0</f>
        <v>2781.5999999999995</v>
      </c>
      <c r="L166" s="3">
        <f>3286.3+(150.6-1090.8)+(-6.704052+(-0.307224--2.225232))+0--272.9-0.556715999999988</f>
        <v>2613.6572400000005</v>
      </c>
      <c r="M166" s="3">
        <f>3208.7+(143.8-1115.5)+(1.636437+(0.073338-0.568905))+0--300.3--0.15315299999997</f>
        <v>2538.5940230000001</v>
      </c>
      <c r="N166" s="3">
        <f>3324+(152.1-1168.6)+(-1.69524+(-0.077571--0.595986))+0--332.2-0.169421999999966</f>
        <v>2638.3537529999999</v>
      </c>
      <c r="O166" s="3">
        <f>3283.2+(155.9-1030.8)+(3.348864+(0.159018-1.051416))+0--352.6--0.359652000000056</f>
        <v>2763.7161179999998</v>
      </c>
      <c r="P166" s="3">
        <f>3249.1+(164.4-929.1)+(3.314082+(0.167688-0.947682))+0--390.6--0.398412000000062</f>
        <v>2877.9324999999994</v>
      </c>
      <c r="Q166" s="3">
        <f>3217.7+(168.1-797.4)+(1.641027+(0.085731-0.406674))+0--388.2--0.197981999999961</f>
        <v>2978.1180659999995</v>
      </c>
      <c r="R166" s="3">
        <f>3189.6+(234.2-748.1)+(1.626696+(0.119442-0.381531))+0--391.2--0.19951199999996</f>
        <v>3068.4641189999998</v>
      </c>
      <c r="S166" s="3">
        <f>3174.5+(321.1-779.5)+(-1.618995+(-0.163761--0.397545))+0--394-0.20093999999996</f>
        <v>3108.5138489999999</v>
      </c>
      <c r="T166" s="3">
        <f>3170.5+(379-797.7)+(1.616955+(0.19329-0.406827))+0--392.2--0.20002199999996</f>
        <v>3145.6034399999999</v>
      </c>
      <c r="U166" s="3">
        <f>3171+(391.4-814.4)+(-1.61721+(-0.199614--0.415344))+0--391.8-0.19981799999996</f>
        <v>3138.1987020000001</v>
      </c>
      <c r="V166" s="3">
        <f>3150.2+(354.4-789.4)+(-4.819806+(-0.542232--1.207782))+0--391.8-0.599454000000023</f>
        <v>3102.24629</v>
      </c>
      <c r="W166" s="3">
        <f>3202.4+(142.1-802.2)+(0+(0-0))+0--392.3-0</f>
        <v>2934.6000000000004</v>
      </c>
      <c r="X166" s="3">
        <f>3217.9+(139.3-908.9)+(1.641129+(0.071043-0.463539))+0--393.9--0.20088899999996</f>
        <v>2843.6495220000002</v>
      </c>
      <c r="Y166" s="3">
        <f>3295+(156.6-860.7)+(3.3609+(0.159732-0.877914))+0--395--0.402900000000063</f>
        <v>2988.9456180000002</v>
      </c>
      <c r="Z166" s="3">
        <f>3374.8+(164.3-778.9)+(-1.721148+(-0.083793--0.397239))+0--395.9-0.20190899999996</f>
        <v>3154.4903890000005</v>
      </c>
      <c r="AA166" s="3">
        <f>3421.1+(165.1-820.5)+(1.744761+(0.084201-0.418455))+0--397.8--0.20287799999996</f>
        <v>3165.1133850000001</v>
      </c>
      <c r="AB166" s="3">
        <f>3411.5+(162-870.2)+(-3.47973+(-0.16524--0.887604))+0--397.2-0.405144000000063</f>
        <v>3097.3374900000003</v>
      </c>
      <c r="AC166" s="3">
        <f>3429.5+(154-955.4)+(3.49809+(0.15708-0.974508))+0--396.2--0.404124000000063</f>
        <v>3027.3847860000001</v>
      </c>
      <c r="AD166">
        <f t="shared" si="2"/>
        <v>70421.077928999992</v>
      </c>
      <c r="AE166" s="3">
        <f>3382+(197.6-770.2)+(0+(0-0))+0--396-0</f>
        <v>3205.4</v>
      </c>
    </row>
    <row r="167" spans="1:31" s="2" customFormat="1" x14ac:dyDescent="0.25">
      <c r="A167">
        <v>89</v>
      </c>
      <c r="B167">
        <v>6</v>
      </c>
      <c r="C167">
        <v>12</v>
      </c>
      <c r="D167">
        <v>7</v>
      </c>
      <c r="E167">
        <v>1</v>
      </c>
      <c r="F167" s="3">
        <f>3414.4+(146.2-1013.8)+(0+(0-0))+0--397-0</f>
        <v>2943.8</v>
      </c>
      <c r="G167" s="3">
        <f>3418.7+(140.4-1067.8)+(1.743537+(0.071604-0.544578))+0--397.9--0.20292899999996</f>
        <v>2890.6734919999999</v>
      </c>
      <c r="H167" s="3">
        <f>3452.1+(136.6-1145.1)+(0+(0-0))+0--398-0</f>
        <v>2841.6</v>
      </c>
      <c r="I167" s="3">
        <f>3418.7+(132.9-1188.1)+(8.717685+(0.338895-3.029655))+0--398.1--1.01515499999994</f>
        <v>2768.6420800000001</v>
      </c>
      <c r="J167" s="3">
        <f>3479.5+(135-1174.7)+(-3.54909+(-0.1377--1.198194))+0--399.7-0.407694000000064</f>
        <v>2836.6037099999999</v>
      </c>
      <c r="K167" s="3">
        <f>3424.7+(131.6-1163.9)+(-8.732985+(-0.33558--2.967945))+0--396.4-1.01081999999994</f>
        <v>2781.6885599999996</v>
      </c>
      <c r="L167" s="3">
        <f>3228+(131.6-1105.4)+(-8.2314+(-0.33558--2.81877))+0--374.4-0.954719999999946</f>
        <v>2621.89707</v>
      </c>
      <c r="M167" s="3">
        <f>2889.7+(153.9-838.7)+(-5.894988+(-0.313956--1.710948))+0--274.6-0.560183999999988</f>
        <v>2474.4418199999996</v>
      </c>
      <c r="N167" s="3">
        <f>2872.9+(151.6-807.2)+(1.465179+(0.077316-0.411672))+0--271.7--0.138566999999972</f>
        <v>2490.2693899999999</v>
      </c>
      <c r="O167" s="3">
        <f>3008.5+(140.5-871.9)+(0+(0-0))+0--269.9-0</f>
        <v>2547</v>
      </c>
      <c r="P167" s="3">
        <f>3233.5+(136.1-983.3)+(-1.649085+(-0.069411--0.501483))+0--277.2-0.141371999999972</f>
        <v>2662.141615</v>
      </c>
      <c r="Q167" s="3">
        <f>3342.6+(137.7-1065.5)+(-1.704726+(-0.070227--0.543405))+0--367.8-0.187577999999963</f>
        <v>2781.1808740000001</v>
      </c>
      <c r="R167" s="3">
        <f>3327.7+(144.2-962.7)+(-1.697127+(-0.073542--0.490977))+0--396.4-0.20216399999996</f>
        <v>2904.118144</v>
      </c>
      <c r="S167" s="3">
        <f>3316.1+(126.1-899.6)+(-3.382422+(-0.128622--0.917592))+0--394.8-0.402696000000063</f>
        <v>2934.4038519999999</v>
      </c>
      <c r="T167" s="3">
        <f>3331.8+(145-838.7)+(0+(0-0))+0--386.6-0</f>
        <v>3024.7000000000003</v>
      </c>
      <c r="U167" s="3">
        <f>3363.4+(151.2-839.9)+(-5.146002+(-0.231336--1.285047))+0--385.9-0.590427000000022</f>
        <v>3055.9172819999999</v>
      </c>
      <c r="V167" s="3">
        <f>3329.2+(145.3-855.7)+(-1.697892+(-0.074103--0.436407))+0--388.8-0.198287999999961</f>
        <v>3006.0661239999999</v>
      </c>
      <c r="W167" s="3">
        <f>3334.4+(137.2-976)+(-5.101632+(-0.209916--1.49328))+0--397.5-0.608175000000023</f>
        <v>2888.6735570000005</v>
      </c>
      <c r="X167" s="3">
        <f>3269.3+(137.2-1132.7)+(-8.336715+(-0.34986--2.888385))+0--399.8-1.01948999999994</f>
        <v>2666.7823200000003</v>
      </c>
      <c r="Y167" s="3">
        <f>3254.5+(147.2-1022.9)+(0+(0-0))+0--400.6-0</f>
        <v>2779.4</v>
      </c>
      <c r="Z167" s="3">
        <f>3482.2+(162-974.6)+(-3.551844+(-0.16524--0.994092))+0--399.8-0.407796000000064</f>
        <v>3066.2692120000002</v>
      </c>
      <c r="AA167" s="3">
        <f>3506.5+(161-982.8)+(-7.15326+(-0.32844--2.004912))+0--400.5-0.817019999999983</f>
        <v>3078.9061919999999</v>
      </c>
      <c r="AB167" s="3">
        <f>3520.8+(157-1020.8)+(-1.795608+(-0.08007--0.520608))+0--400.8-0.204407999999959</f>
        <v>3056.2405220000001</v>
      </c>
      <c r="AC167" s="3">
        <f>3499.5+(152.4-1011.6)+(-1.784745+(-0.077724--0.515916))+0--403.1-0.205580999999959</f>
        <v>3041.8478660000001</v>
      </c>
      <c r="AD167">
        <f t="shared" si="2"/>
        <v>68143.263682000004</v>
      </c>
      <c r="AE167" s="3">
        <f>3538+(178.3-974.3)+(0+(0-0))+0--399-0</f>
        <v>3141</v>
      </c>
    </row>
    <row r="168" spans="1:31" s="2" customFormat="1" x14ac:dyDescent="0.25">
      <c r="A168">
        <v>89</v>
      </c>
      <c r="B168">
        <v>6</v>
      </c>
      <c r="C168">
        <v>13</v>
      </c>
      <c r="D168">
        <v>1</v>
      </c>
      <c r="E168">
        <v>1</v>
      </c>
      <c r="F168" s="3">
        <f>3444.5+(150.5-1005.5)+(-5.270085+(-0.230265--1.538415))+0--402.6-0.615978000000023</f>
        <v>2987.5220870000003</v>
      </c>
      <c r="G168" s="3">
        <f>3413.4+(138.2-1051)+(-5.222502+(-0.211446--1.60803))+0--404.4-0.618732000000023</f>
        <v>2900.5553500000005</v>
      </c>
      <c r="H168" s="3">
        <f>3323.2+(136.2-1029.9)+(-3.389664+(-0.138924--1.050498))+0--405.2-0.413304000000065</f>
        <v>2831.8086059999996</v>
      </c>
      <c r="I168" s="3">
        <f>3257.3+(139.8-1055.3)+(1.661223+(0.071298-0.538203))+0--406.1--0.207110999999959</f>
        <v>2749.3014290000001</v>
      </c>
      <c r="J168" s="3">
        <f>3155+(134.7-1039.5)+(1.60905+(0.068697-0.530145))+0--388.6--0.198185999999961</f>
        <v>2640.1457879999998</v>
      </c>
      <c r="K168" s="3">
        <f>3186+(132.4-966)+(-8.1243+(-0.33762--2.4633))+0--339.4-0.865469999999951</f>
        <v>2684.9359100000006</v>
      </c>
      <c r="L168" s="3">
        <f>2728+(229.5-711.8)+(-9.73896+(-0.819315--2.541126))+0--338.9-1.209873</f>
        <v>2575.3729780000003</v>
      </c>
      <c r="M168" s="3">
        <f>2599.3+(207.9-620)+(0+(0-0))+0--312.4-0</f>
        <v>2499.6000000000004</v>
      </c>
      <c r="N168" s="3">
        <f>3073.2+(146.6-1031.3)+(0+(0-0))+0--404.7-0</f>
        <v>2593.1999999999998</v>
      </c>
      <c r="O168" s="3">
        <f>3266.8+(151.5-1088.6)+(1.666068+(0.077265-0.555186))+0--400.5--0.204254999999959</f>
        <v>2731.5924020000002</v>
      </c>
      <c r="P168" s="3">
        <f>3321.4+(155.9-998.4)+(5.081742+(0.238527-1.527552))+0--394.8--0.604044000000023</f>
        <v>2878.0967610000002</v>
      </c>
      <c r="Q168" s="3">
        <f>3278.9+(291.1-996.7)+(6.688956+(0.593844-2.033268))+0--401--0.818039999999982</f>
        <v>2980.3675720000001</v>
      </c>
      <c r="R168" s="3">
        <f>3238+(477.3-1010.3)+(0+(0-0))+0--408.5-0</f>
        <v>3113.5</v>
      </c>
      <c r="S168" s="3">
        <f>3249.6+(513.4-1009.3)+(-4.971888+(-0.785502--1.544229))+0--397.2-0.607716000000023</f>
        <v>3146.0791229999995</v>
      </c>
      <c r="T168" s="3">
        <f>3339.3+(493.6-1014.5)+(0+(0-0))+0--392.9-0</f>
        <v>3211.3</v>
      </c>
      <c r="U168" s="3">
        <f>3357.5+(459.4-986.2)+(0+(0-0))+0--395.3-0</f>
        <v>3226</v>
      </c>
      <c r="V168" s="3">
        <f>3267.5+(464-945.4)+(-3.33285+(-0.47328--0.964308))+0--398.2-0.406164000000063</f>
        <v>3181.0520139999999</v>
      </c>
      <c r="W168" s="3">
        <f>3231.5+(272.8-882.8)+(-4.944195+(-0.417384--1.350684))+0--400.9-0.613377000000023</f>
        <v>3017.7757280000001</v>
      </c>
      <c r="X168" s="3">
        <f>3204.2+(143.9-949.3)+(-9.804852+(-0.440334--2.904858))+0--401.2-1.22767200000005</f>
        <v>2791.4319999999993</v>
      </c>
      <c r="Y168" s="3">
        <f>3239+(160.3-838.4)+(-6.60756+(-0.327012--1.710336))+0--400.5-0.817019999999983</f>
        <v>2955.3587440000001</v>
      </c>
      <c r="Z168" s="3">
        <f>3351+(274.9-821.3)+(-6.83604+(-0.560796--1.675452))+0--401.5-0.819059999999982</f>
        <v>3199.5595560000002</v>
      </c>
      <c r="AA168" s="3">
        <f>3366.3+(241.7-824.5)+(-5.150439+(-0.369801--1.261485))+0--401.6-0.614448000000023</f>
        <v>3180.2267970000003</v>
      </c>
      <c r="AB168" s="3">
        <f>3373.7+(185.1-845.6)+(-3.441174+(-0.188802--0.862512))+0--402.6-0.410652000000064</f>
        <v>3112.6218839999997</v>
      </c>
      <c r="AC168" s="3">
        <f>3380.5+(164-886.8)+(-5.172165+(-0.25092--1.356804))+0--403.6-0.617508000000023</f>
        <v>3056.616211</v>
      </c>
      <c r="AD168">
        <f t="shared" si="2"/>
        <v>70244.020940000017</v>
      </c>
      <c r="AE168" s="3">
        <f>3403+(287-825.5)+(0+(0-0))+0--403-0</f>
        <v>3267.5</v>
      </c>
    </row>
    <row r="169" spans="1:31" s="2" customFormat="1" x14ac:dyDescent="0.25">
      <c r="A169">
        <v>89</v>
      </c>
      <c r="B169">
        <v>6</v>
      </c>
      <c r="C169">
        <v>14</v>
      </c>
      <c r="D169">
        <v>2</v>
      </c>
      <c r="E169">
        <v>1</v>
      </c>
      <c r="F169" s="3">
        <f>3337.7+(149-906.6)+(-1.702227+(-0.07599--0.462366))+0--404.1-0.206090999999959</f>
        <v>2982.678058</v>
      </c>
      <c r="G169" s="3">
        <f>3320.1+(139.1-964.5)+(-5.079753+(-0.212823--1.475685))+0--407.5-0.623475000000024</f>
        <v>2897.759634</v>
      </c>
      <c r="H169" s="3">
        <f>3323.2+(134.9-1044.5)+(0+(0-0))+0--409.1-0</f>
        <v>2822.7</v>
      </c>
      <c r="I169" s="3">
        <f>3341+(132.3-1107.9)+(0+(0-0))+0--408.7-0</f>
        <v>2774.0999999999995</v>
      </c>
      <c r="J169" s="3">
        <f>3356.9+(136-1145.8)+(6.848076+(0.27744-2.337432))+0--410.5--0.837419999999982</f>
        <v>2763.225504</v>
      </c>
      <c r="K169" s="3">
        <f>3366.7+(137.3-1190.3)+(-3.434034+(-0.140046--1.214106))+0--410.7-0.418914000000065</f>
        <v>2721.6211119999998</v>
      </c>
      <c r="L169" s="3">
        <f>3175.6+(132.2-1124.3)+(-6.478224+(-0.269688--2.293572))+0--411.6-0.839663999999982</f>
        <v>2589.8059960000001</v>
      </c>
      <c r="M169" s="3">
        <f>2906.8+(130.3-960)+(4.447404+(0.199359-1.4688))+0--411--0.628830000000024</f>
        <v>2491.9067930000006</v>
      </c>
      <c r="N169" s="3">
        <f>3303.3+(137.2-1252.4)+(-1.684683+(-0.069972--0.638724))+0--408-0.208079999999959</f>
        <v>2594.7759890000007</v>
      </c>
      <c r="O169" s="3">
        <f>3278.4+(144-1115.5)+(0+(0-0))+0--399.7-0</f>
        <v>2706.6</v>
      </c>
      <c r="P169" s="3">
        <f>3243.1+(154.6-1010.4)+(4.961943+(0.236538-1.545912))+0--411.7--0.629901000000024</f>
        <v>2803.2824700000001</v>
      </c>
      <c r="Q169" s="3">
        <f>3224.8+(158.8-868.8)+(1.644648+(0.080988-0.443088))+0--410.3--0.209252999999958</f>
        <v>2926.5918010000005</v>
      </c>
      <c r="R169" s="3">
        <f>3233.4+(230.5-790.3)+(1.649034+(0.117555-0.403053))+0--402.1--0.205070999999959</f>
        <v>3077.268607</v>
      </c>
      <c r="S169" s="3">
        <f>3236.2+(294.5-808.2)+(-1.650462+(-0.150195--0.412182))+0--389.8-0.19879799999996</f>
        <v>3110.7127270000001</v>
      </c>
      <c r="T169" s="3">
        <f>3229+(312.8-764.3)+(1.64679+(0.159528-0.389793))+0--388.2--0.197981999999961</f>
        <v>3167.314507</v>
      </c>
      <c r="U169" s="3">
        <f>3218.5+(291-720.2)+(-4.924305+(-0.44523--1.101906))+0--389.2-0.595476000000022</f>
        <v>3173.6368950000001</v>
      </c>
      <c r="V169" s="3">
        <f>3224.6+(198.5-691.9)+(0+(0-0))+0--390.7-0</f>
        <v>3121.8999999999996</v>
      </c>
      <c r="W169" s="3">
        <f>3279.7+(144.1-843.1)+(-6.690588+(-0.293964--1.719924))+0--395.7-0.807227999999983</f>
        <v>2970.3281439999996</v>
      </c>
      <c r="X169" s="3">
        <f>3284.3+(139.4-1086.8)+(-5.024979+(-0.213282--1.662804))+0--395.8-0.605574000000023</f>
        <v>2728.5189690000002</v>
      </c>
      <c r="Y169" s="3">
        <f>3415.4+(156.9-1033.4)+(-1.741854+(-0.080019--0.527034))+0--396.6-0.20226599999996</f>
        <v>2934.0028950000001</v>
      </c>
      <c r="Z169" s="3">
        <f>3505.5+(167.1-901.6)+(-3.57561+(-0.170442--0.919632))+0--399-0.406980000000064</f>
        <v>3166.7665999999999</v>
      </c>
      <c r="AA169" s="3">
        <f>3538.2+(164.4-958.3)+(-3.608964+(-0.167688--0.977466))+0--400.5-0.408510000000064</f>
        <v>3141.5923039999993</v>
      </c>
      <c r="AB169" s="3">
        <f>3455.2+(158.8-1033.6)+(-1.762152+(-0.080988--0.527136))+0--402.9-0.205478999999959</f>
        <v>2981.7785170000002</v>
      </c>
      <c r="AC169" s="3">
        <f>3427.2+(153.3-968.8)+(-5.243616+(-0.234549--1.482264))+0--403.6-0.617508000000023</f>
        <v>3010.6865910000001</v>
      </c>
      <c r="AD169">
        <f t="shared" si="2"/>
        <v>69659.554113000006</v>
      </c>
      <c r="AE169" s="3">
        <f>3493+(182-886.2)+(0+(0-0))+0--405-0</f>
        <v>3193.8</v>
      </c>
    </row>
    <row r="170" spans="1:31" s="2" customFormat="1" x14ac:dyDescent="0.25">
      <c r="A170">
        <v>89</v>
      </c>
      <c r="B170">
        <v>6</v>
      </c>
      <c r="C170">
        <v>15</v>
      </c>
      <c r="D170">
        <v>3</v>
      </c>
      <c r="E170">
        <v>1</v>
      </c>
      <c r="F170" s="3">
        <f>3444.7+(148.1-1040.4)+(-5.270391+(-0.226593--1.591812))+0--406.3-0.621639000000023</f>
        <v>2954.1731889999996</v>
      </c>
      <c r="G170" s="3">
        <f>3471+(141.7-1143.7)+(-5.31063+(-0.216801--1.749861))+0--406.8-0.622404000000023</f>
        <v>2871.4000259999998</v>
      </c>
      <c r="H170" s="3">
        <f>3483.4+(136.3-1234.7)+(-3.553068+(-0.139026--1.259394))+0--407.5-0.415650000000065</f>
        <v>2789.6516500000002</v>
      </c>
      <c r="I170" s="3">
        <f>3480.8+(134.3-1294.4)+(-5.325624+(-0.205479--1.980432))+0--411.1-0.628983000000024</f>
        <v>2727.6203459999997</v>
      </c>
      <c r="J170" s="3">
        <f>3501.4+(134.5-1340.7)+(-3.571428+(-0.13719--1.367514))+0--413-0.421260000000066</f>
        <v>2705.4376359999997</v>
      </c>
      <c r="K170" s="3">
        <f>3457.8+(133.9-1318.6)+(-7.053912+(-0.273156--2.689944))+0--413.6-0.843743999999982</f>
        <v>2681.2191320000006</v>
      </c>
      <c r="L170" s="3">
        <f>2887.5+(216.2-956.2)+(-13.253625+(-0.992358--4.388958))+0--391.8-1.79836200000007</f>
        <v>2527.6446130000004</v>
      </c>
      <c r="M170" s="3">
        <f>2795.6+(240.1-886.7)+(-4.277268+(-0.367353--1.356651))+0--296.4-0.453492000000017</f>
        <v>2441.6585380000001</v>
      </c>
      <c r="N170" s="3">
        <f>3305.7+(146.5-1178.3)+(-3.371814+(-0.14943--1.201866))+0--295-0.300900000000047</f>
        <v>2566.2797219999993</v>
      </c>
      <c r="O170" s="3">
        <f>3429.3+(153.6-1194)+(-5.246829+(-0.235008--1.82682))+0--294.9-0.451197000000017</f>
        <v>2679.6937860000003</v>
      </c>
      <c r="P170" s="3">
        <f>3455.6+(158.1-1197.7)+(-7.049424+(-0.322524--2.443308))+0--359.1-0.732563999999984</f>
        <v>2769.4387959999999</v>
      </c>
      <c r="Q170" s="3">
        <f>3393.6+(163.2-1060)+(5.192208+(0.249696-1.6218))+0--397.5--0.608175000000023</f>
        <v>2898.7282789999999</v>
      </c>
      <c r="R170" s="3">
        <f>3386.3+(164.7-916.5)+(0+(0-0))+0--393.8-0</f>
        <v>3028.3</v>
      </c>
      <c r="S170" s="3">
        <f>3423.8+(156.6-928.3)+(0+(0-0))+0--394.4-0</f>
        <v>3046.5000000000005</v>
      </c>
      <c r="T170" s="3">
        <f>3423.5+(160-826.8)+(1.745985+(0.0816-0.421668))+0--388.1--0.197930999999961</f>
        <v>3146.4038479999999</v>
      </c>
      <c r="U170" s="3">
        <f>3415.5+(157.9-802.3)+(-3.48381+(-0.161058--0.818346))+0--391.2-0.399024000000062</f>
        <v>3159.0744539999996</v>
      </c>
      <c r="V170" s="3">
        <f>3398.3+(151.9-842.1)+(-3.466266+(-0.154938--0.858942))+0--392.2-0.400044000000063</f>
        <v>3097.137694</v>
      </c>
      <c r="W170" s="3">
        <f>3358.3+(145.6-941.3)+(-5.138199+(-0.222768--1.440189))+0--396.6-0.606798000000023</f>
        <v>2954.6724240000003</v>
      </c>
      <c r="X170" s="3">
        <f>2968.2+(224.3-849.8)+(-3.027564+(-0.228786--0.866796))+0--397.2-0.405144000000063</f>
        <v>2737.1053019999999</v>
      </c>
      <c r="Y170" s="3">
        <f>3096.4+(179.2-767.9)+(1.579164+(0.091392-0.391629))+0--397.6--0.20277599999996</f>
        <v>2906.7817029999997</v>
      </c>
      <c r="Z170" s="3">
        <f>3404+(176.5-820)+(-1.73604+(-0.090015--0.4182))+0--398-0.20297999999996</f>
        <v>3156.889165</v>
      </c>
      <c r="AA170" s="3">
        <f>3421+(172.2-852.3)+(-5.23413+(-0.263466--1.304019))+0--398.2-0.609246000000023</f>
        <v>3134.2971769999999</v>
      </c>
      <c r="AB170" s="3">
        <f>3445.1+(167.8-929.2)+(0+(0-0))+0--399.1-0</f>
        <v>3082.7999999999997</v>
      </c>
      <c r="AC170" s="3">
        <f>3455.7+(160.3-983.9)+(-1.762407+(-0.081753--0.501789))+0--399.1-0.20354099999996</f>
        <v>3029.6540879999998</v>
      </c>
      <c r="AD170">
        <f t="shared" si="2"/>
        <v>69092.56156799999</v>
      </c>
      <c r="AE170" s="3">
        <f>3397+(183.5-823.2)+(0+(0-0))+0--398-0</f>
        <v>3155.3</v>
      </c>
    </row>
    <row r="171" spans="1:31" s="2" customFormat="1" x14ac:dyDescent="0.25">
      <c r="A171">
        <v>89</v>
      </c>
      <c r="B171">
        <v>6</v>
      </c>
      <c r="C171">
        <v>16</v>
      </c>
      <c r="D171">
        <v>4</v>
      </c>
      <c r="E171">
        <v>1</v>
      </c>
      <c r="F171" s="3">
        <f>3465.5+(169.8-1055.3)+(-3.53481+(-0.173196--1.076406))+0--401-0.409020000000064</f>
        <v>2977.9593799999998</v>
      </c>
      <c r="G171" s="3">
        <f>3480.9+(164.4-1159.5)+(-8.876295+(-0.41922--2.956725))+0--403.2-1.02815999999994</f>
        <v>2881.6330500000004</v>
      </c>
      <c r="H171" s="3">
        <f>3358.8+(194-1164.5)+(1.712988+(0.09894-0.593895))+0--402.3--0.205172999999959</f>
        <v>2792.0232060000003</v>
      </c>
      <c r="I171" s="3">
        <f>3249.2+(214.4-1143.5)+(-8.28546+(-0.54672--2.915925))+0--401.9-1.02484499999994</f>
        <v>2715.0589</v>
      </c>
      <c r="J171" s="3">
        <f>3066.5+(247.5-1027.2)+(1.563915+(0.126225-0.523872))+0--401.4--0.204713999999959</f>
        <v>2689.5709820000002</v>
      </c>
      <c r="K171" s="3">
        <f>2995.9+(265.8-1011.6)+(-7.639545+(-0.67779--2.57958))+0--406.7-1.03708499999994</f>
        <v>2650.0251600000001</v>
      </c>
      <c r="L171" s="3">
        <f>2734.6+(321.3-845.2)+(-6.97323+(-0.819315--2.15526))+0--309.3-0.788714999999955</f>
        <v>2513.5740000000001</v>
      </c>
      <c r="M171" s="3">
        <f>2629.8+(344.4-782.9)+(0+(0-0))+0--225.7-0</f>
        <v>2417</v>
      </c>
      <c r="N171" s="3">
        <f>2942+(280.7-961.7)+(1.50042+(0.143157-0.490467))+0--250.6--0.127805999999975</f>
        <v>2512.8809160000001</v>
      </c>
      <c r="O171" s="3">
        <f>3288.9+(221.4-1211.4)+(5.032017+(0.338742-1.853442))+0--366--0.559980000000021</f>
        <v>2668.9772969999999</v>
      </c>
      <c r="P171" s="3">
        <f>3315.3+(191.5-1116)+(-1.690803+(-0.097665--0.56916))+0--393.2-0.20053199999996</f>
        <v>2782.58016</v>
      </c>
      <c r="Q171" s="3">
        <f>3296+(176.9-978.9)+(1.68096+(0.090219-0.499239))+0--407.2--0.207671999999959</f>
        <v>2902.6796119999999</v>
      </c>
      <c r="R171" s="3">
        <f>3271.1+(182.3-818.3)+(1.668261+(0.092973-0.417333))+0--409.3--0.208742999999958</f>
        <v>3045.9526440000004</v>
      </c>
      <c r="S171" s="3">
        <f>3255.2+(194.7-756.8)+(-3.320304+(-0.198594--0.771936))+0--407.6-0.415752000000065</f>
        <v>3097.5372859999998</v>
      </c>
      <c r="T171" s="3">
        <f>3246.6+(293-775)+(0+(0-0))+0--393.2-0</f>
        <v>3157.7999999999997</v>
      </c>
      <c r="U171" s="3">
        <f>3242.1+(279-749.9)+(-1.653471+(-0.14229--0.382449))+0--394.9-0.20139899999996</f>
        <v>3164.4852889999997</v>
      </c>
      <c r="V171" s="3">
        <f>3241.2+(185.7-744.6)+(-3.306024+(-0.189414--0.759492))+0--394.4-0.402288000000063</f>
        <v>3073.5617659999998</v>
      </c>
      <c r="W171" s="3">
        <f>3245+(163.9-994.7)+(-1.65495+(-0.083589--0.507297))+0--396.4-0.20216399999996</f>
        <v>2809.1665940000003</v>
      </c>
      <c r="X171" s="3">
        <f>3193.4+(156.9-1182.5)+(0+(0-0))+0--398.2-0</f>
        <v>2566</v>
      </c>
      <c r="Y171" s="3">
        <f>3225.6+(173.9-986.3)+(-3.290112+(-0.177378--1.006026))+0--398.5-0.406470000000064</f>
        <v>2808.8320659999999</v>
      </c>
      <c r="Z171" s="3">
        <f>3317.7+(186.6-830.9)+(-5.076081+(-0.285498--1.271277))+0--399-0.610470000000023</f>
        <v>3067.6992279999995</v>
      </c>
      <c r="AA171" s="3">
        <f>3299.3+(183.3-742.2)+(-5.047929+(-0.280449--1.135566))+0--399.3-0.610929000000023</f>
        <v>3134.8962590000006</v>
      </c>
      <c r="AB171" s="3">
        <f>3313.3+(179.8-796.9)+(-1.689783+(-0.091698--0.406419))+0--401.5-0.204764999999959</f>
        <v>3096.1201730000002</v>
      </c>
      <c r="AC171" s="3">
        <f>3320.4+(175.3-850.8)+(-3.386808+(-0.178806--0.867816))+0--400.4-0.408408000000064</f>
        <v>3042.1937939999998</v>
      </c>
      <c r="AD171">
        <f t="shared" si="2"/>
        <v>68568.207762000005</v>
      </c>
      <c r="AE171" s="3">
        <f>3366.5+(180.9-753.6)+(0+(0-0))+0--400-0</f>
        <v>3193.8</v>
      </c>
    </row>
    <row r="172" spans="1:31" s="2" customFormat="1" x14ac:dyDescent="0.25">
      <c r="A172">
        <v>89</v>
      </c>
      <c r="B172">
        <v>6</v>
      </c>
      <c r="C172">
        <v>17</v>
      </c>
      <c r="D172">
        <v>5</v>
      </c>
      <c r="E172">
        <v>1</v>
      </c>
      <c r="F172" s="3">
        <f>3325.9+(151.3-943.2)+(-1.696209+(-0.077163--0.481032))+0--401.8-0.204917999999959</f>
        <v>2934.3027420000003</v>
      </c>
      <c r="G172" s="3">
        <f>3333.6+(145.1-1038.3)+(-6.800544+(-0.296004--2.118132))+0--401.9-0.819875999999982</f>
        <v>2836.5017080000002</v>
      </c>
      <c r="H172" s="3">
        <f>3267.1+(141.5-996.2)+(-4.998663+(-0.216495--1.524186))+0--335.3-0.513009000000019</f>
        <v>2743.4960189999997</v>
      </c>
      <c r="I172" s="3">
        <f>3094.6+(156.8-850.8)+(-4.734738+(-0.239904--1.301724))+0--291.1-0.445383000000017</f>
        <v>2687.5816989999994</v>
      </c>
      <c r="J172" s="3">
        <f>2994.4+(194.7-785.8)+(1.527144+(0.099297-0.400758))+0--257.4--0.131273999999974</f>
        <v>2662.0569570000002</v>
      </c>
      <c r="K172" s="3">
        <f>3005+(222.9-801.5)+(-4.59765+(-0.341037--1.226295))+0--268.6-0.410958000000016</f>
        <v>2690.8766500000002</v>
      </c>
      <c r="L172" s="3">
        <f>2650.2+(309-761.8)+(-1.351602+(-0.15759--0.388518))+0--290.1-0.147950999999971</f>
        <v>2486.2313749999998</v>
      </c>
      <c r="M172" s="3">
        <f>2643+(317.1-781.3)+(-1.34793+(-0.161721--0.398463))+0--214-0.109139999999978</f>
        <v>2391.5796720000003</v>
      </c>
      <c r="N172" s="3">
        <f>2883.8+(282.6-854.8)+(-4.412214+(-0.432378--1.307844))+0--225.2-0.344556000000013</f>
        <v>2532.9186960000002</v>
      </c>
      <c r="O172" s="3">
        <f>3119+(193.4-959.9)+(-3.18138+(-0.197268--0.979098))+0--295-0.300900000000047</f>
        <v>2644.7995499999997</v>
      </c>
      <c r="P172" s="3">
        <f>3335.1+(143.1-1115.5)+(-5.102703+(-0.218943--1.706715))+0--392.8-0.600984000000023</f>
        <v>2751.2840849999998</v>
      </c>
      <c r="Q172" s="3">
        <f>3326.7+(145.1-988.8)+(-1.696617+(-0.074001--0.504288))+0--393.2-0.20053199999996</f>
        <v>2874.7331380000001</v>
      </c>
      <c r="R172" s="3">
        <f>3296.1+(165.4-742.5)+(-1.681011+(-0.084354--0.378675))+0--393-0.20042999999996</f>
        <v>3110.4128800000003</v>
      </c>
      <c r="S172" s="3">
        <f>3270.1+(174.6-745.2)+(-3.335502+(-0.178092--0.760104))+0--393.2-0.401064000000063</f>
        <v>3089.5454459999996</v>
      </c>
      <c r="T172" s="3">
        <f>3239.8+(221.3-714.7)+(-1.652298+(-0.112863--0.364497))+0--393.7-0.20078699999996</f>
        <v>3138.4985490000004</v>
      </c>
      <c r="U172" s="3">
        <f>3236.1+(230.6-706.7)+(1.650411+(0.117606-0.360417))+0--393.8--0.20083799999996</f>
        <v>3155.4084379999999</v>
      </c>
      <c r="V172" s="3">
        <f>3243.1+(157.8-701.4)+(-4.961943+(-0.241434--1.073142))+0--393.6-0.602208000000023</f>
        <v>3088.3675569999996</v>
      </c>
      <c r="W172" s="3">
        <f>3237.6+(154.4-850.7)+(-3.302352+(-0.157488--0.867714))+0--394.7-0.402594000000063</f>
        <v>2933.0052799999994</v>
      </c>
      <c r="X172" s="3">
        <f>3227.4+(179.8-1063)+(-6.583896+(-0.366792--2.16852))+0--396-0.807839999999983</f>
        <v>2734.6099919999997</v>
      </c>
      <c r="Y172" s="3">
        <f>3293.8+(169.8-884.6)+(-1.679838+(-0.086598--0.451146))+0--395.8-0.20185799999996</f>
        <v>2973.2828520000003</v>
      </c>
      <c r="Z172" s="3">
        <f>3355.3+(176.3-736.8)+(-5.133609+(-0.269739--1.127304))+0--398.1-0.609093000000023</f>
        <v>3188.0148629999999</v>
      </c>
      <c r="AA172" s="3">
        <f>3373.4+(170.7-777.3)+(-3.440868+(-0.174114--0.792846))+0--399.1-0.407082000000064</f>
        <v>3162.6707820000001</v>
      </c>
      <c r="AB172" s="3">
        <f>3397.9+(167.1-843.5)+(1.732929+(0.085221-0.430185))+0--398.7--0.20333699999996</f>
        <v>3121.7913019999996</v>
      </c>
      <c r="AC172" s="3">
        <f>3404+(159.7-905.9)+(-6.94416+(-0.325788--1.848036))+0--398.8-0.813551999999983</f>
        <v>3050.3645360000005</v>
      </c>
      <c r="AD172">
        <f t="shared" si="2"/>
        <v>68982.334767999986</v>
      </c>
      <c r="AE172" s="3">
        <f>3336+(189.8-711.9)+(0+(0-0))+0--401-0</f>
        <v>3214.9</v>
      </c>
    </row>
    <row r="173" spans="1:31" s="2" customFormat="1" x14ac:dyDescent="0.25">
      <c r="A173">
        <v>89</v>
      </c>
      <c r="B173">
        <v>6</v>
      </c>
      <c r="C173">
        <v>18</v>
      </c>
      <c r="D173">
        <v>6</v>
      </c>
      <c r="E173">
        <v>1</v>
      </c>
      <c r="F173" s="3">
        <f>3385.2+(170-936.4)+(0+(0-0))+0--400.3-0</f>
        <v>3019.1</v>
      </c>
      <c r="G173" s="3">
        <f>3406.4+(163-1024.2)+(-3.474528+(-0.16626--1.044684))+0--401.3-0.409326000000064</f>
        <v>2943.4945699999998</v>
      </c>
      <c r="H173" s="3">
        <f>3379.2+(159.9-1065.3)+(0+(0-0))+0--402.4-0</f>
        <v>2876.2</v>
      </c>
      <c r="I173" s="3">
        <f>3348.2+(151.3-1094.8)+(-3.415164+(-0.154326--1.116696))+0--402.8-0.410856000000064</f>
        <v>2804.6363500000002</v>
      </c>
      <c r="J173" s="3">
        <f>3377.3+(151.7-1140.1)+(1.722423+(0.077367-0.581451))+0--402.2--0.205121999999959</f>
        <v>2792.5234610000002</v>
      </c>
      <c r="K173" s="3">
        <f>3258.7+(155.7-1050.3)+(0+(0-0))+0--402.2-0</f>
        <v>2766.2999999999997</v>
      </c>
      <c r="L173" s="3">
        <f>2685.5+(257.9-696.2)+(-2.73921+(-0.263058--0.710124))+0--315.6-0.32191200000005</f>
        <v>2560.1859439999998</v>
      </c>
      <c r="M173" s="3">
        <f>2687.7+(193.1-644.6)+(1.370727+(0.098481-0.328746))+0--224.7--0.114596999999977</f>
        <v>2462.1550589999993</v>
      </c>
      <c r="N173" s="3">
        <f>2870.8+(150.1-752.1)+(-1.464108+(-0.076551--0.383571))+0--290.9-0.14835899999997</f>
        <v>2558.3945530000005</v>
      </c>
      <c r="O173" s="3">
        <f>3131.6+(156.2-987.7)+(0+(0-0))+0--397.6-0</f>
        <v>2697.7</v>
      </c>
      <c r="P173" s="3">
        <f>3105.5+(162.3-874.8)+(1.583805+(0.082773-0.446148))+0--398.2--0.20308199999996</f>
        <v>2792.6235119999997</v>
      </c>
      <c r="Q173" s="3">
        <f>3059.5+(169.2-735.1)+(1.560345+(0.086292-0.374901))+0--394.9--0.20139899999996</f>
        <v>2889.9731350000002</v>
      </c>
      <c r="R173" s="3">
        <f>3060.9+(303.8-736)+(-3.122118+(-0.309876--0.75072))+0--393.2-0.401064000000063</f>
        <v>3018.8176619999999</v>
      </c>
      <c r="S173" s="3">
        <f>3067.1+(387-781.1)+(-6.256884+(-0.78948--1.593444))+0--394.3-0.804371999999983</f>
        <v>3061.0427079999999</v>
      </c>
      <c r="T173" s="3">
        <f>3079.8+(422.2-785.3)+(-3.141396+(-0.430644--0.801006))+0--396.1-0.404022000000063</f>
        <v>3109.6249440000001</v>
      </c>
      <c r="U173" s="3">
        <f>3085.6+(410-782.8)+(0+(0-0))+0--394.4-0</f>
        <v>3107.2000000000003</v>
      </c>
      <c r="V173" s="3">
        <f>3094+(323.8-768.5)+(-3.15588+(-0.330276--0.78387))+0--395.2-0.403104000000063</f>
        <v>3041.3946099999998</v>
      </c>
      <c r="W173" s="3">
        <f>3103+(156-783.9)+(-6.33012+(-0.31824--1.599156))+0--397.2-0.810287999999983</f>
        <v>2866.4405079999997</v>
      </c>
      <c r="X173" s="3">
        <f>2997.4+(143.6-879.8)+(3.057348+(0.146472-0.897396))+0--398.8--0.406776000000064</f>
        <v>2662.7132000000006</v>
      </c>
      <c r="Y173" s="3">
        <f>3025.2+(174.2-698.3)+(1.542852+(0.088842-0.356133))+0--398.6--0.20328599999996</f>
        <v>2901.1788469999997</v>
      </c>
      <c r="Z173" s="3">
        <f>3206.7+(208.2-679.4)+(-3.270834+(-0.212364--0.692988))+0--399.9-0.407898000000064</f>
        <v>3132.201892</v>
      </c>
      <c r="AA173" s="3">
        <f>3234.6+(180.3-719.2)+(-3.299292+(-0.183906--0.733584))+0--401.8-0.409836000000064</f>
        <v>3094.3405499999999</v>
      </c>
      <c r="AB173" s="3">
        <f>3261.1+(174.7-800.4)+(-3.326322+(-0.178194--0.816408))+0--399-0.406980000000064</f>
        <v>3031.3049119999996</v>
      </c>
      <c r="AC173" s="3">
        <f>3262.1+(173.1-862.7)+(0+(0-0))+0--400-0</f>
        <v>2972.5</v>
      </c>
      <c r="AD173">
        <f t="shared" si="2"/>
        <v>69162.046417000005</v>
      </c>
      <c r="AE173" s="3">
        <f>3198+(222.8-684.8)+(0+(0-0))+0--400-0</f>
        <v>3136</v>
      </c>
    </row>
    <row r="174" spans="1:31" s="2" customFormat="1" x14ac:dyDescent="0.25">
      <c r="A174">
        <v>89</v>
      </c>
      <c r="B174">
        <v>6</v>
      </c>
      <c r="C174">
        <v>19</v>
      </c>
      <c r="D174">
        <v>7</v>
      </c>
      <c r="E174">
        <v>3</v>
      </c>
      <c r="F174" s="3">
        <f>3286+(169.7-929.5)+(-6.70344+(-0.346188--1.89618))+0--401.6-0.819263999999983</f>
        <v>2921.8272879999995</v>
      </c>
      <c r="G174" s="3">
        <f>3342.5+(161.2-1053.2)+(-5.114025+(-0.246636--1.611396))+0--403.9-0.617967000000023</f>
        <v>2850.032768</v>
      </c>
      <c r="H174" s="3">
        <f>3412.8+(154.1-1198.2)+(-5.221584+(-0.235773--1.833246))+0--404.5-0.618885000000023</f>
        <v>2768.9570039999999</v>
      </c>
      <c r="I174" s="3">
        <f>3388.7+(148.4-1239.8)+(-1.728237+(-0.075684--0.632298))+0--404.9-0.206498999999959</f>
        <v>2700.8218780000002</v>
      </c>
      <c r="J174" s="3">
        <f>3260.2+(147.1-1152.5)+(0+(0-0))+0--402.3-0</f>
        <v>2657.1</v>
      </c>
      <c r="K174" s="3">
        <f>3136.6+(149.5-1067.7)+(0+(0-0))+0--401.8-0</f>
        <v>2620.1999999999998</v>
      </c>
      <c r="L174" s="3">
        <f>2837.9+(213.4-914.7)+(-10.131303+(-0.761838--3.265479))+0--346.6-1.237362</f>
        <v>2474.3349760000001</v>
      </c>
      <c r="M174" s="3">
        <f>2451.5+(245.2-686.7)+(-1.250265+(-0.125052--0.350217))+0--217.5-0.110924999999978</f>
        <v>2226.3639750000002</v>
      </c>
      <c r="N174" s="3">
        <f>2515.2+(190-724.1)+(6.41376+(0.4845-1.846455))+0--226.8--0.578339999999967</f>
        <v>2213.5301450000002</v>
      </c>
      <c r="O174" s="3">
        <f>2671.1+(142.4-748)+(-1.362261+(-0.072624--0.38148))+0--226.8-0.115667999999977</f>
        <v>2291.1309270000002</v>
      </c>
      <c r="P174" s="3">
        <f>2792.5+(147.6-760.6)+(-2.84835+(-0.150552--0.775812))+0--227.2-0.231744000000036</f>
        <v>2404.2451659999997</v>
      </c>
      <c r="Q174" s="3">
        <f>2897.7+(146.1-897.4)+(-1.477827+(-0.074511--0.457674))+0--364.9-0.186098999999963</f>
        <v>2510.0192369999995</v>
      </c>
      <c r="R174" s="3">
        <f>3022+(149.6-1000.8)+(-4.62366+(-0.228888--1.531224))+0--393.6-0.602208000000023</f>
        <v>2560.4764679999998</v>
      </c>
      <c r="S174" s="3">
        <f>3099.3+(154-1069.3)+(-3.161286+(-0.15708--1.090686))+0--395.5-0.403410000000063</f>
        <v>2576.8689100000001</v>
      </c>
      <c r="T174" s="3">
        <f>3150+(154.4-1092.9)+(-3.213+(-0.157488--1.114758))+0--395.6-0.403512000000063</f>
        <v>2604.4407580000002</v>
      </c>
      <c r="U174" s="3">
        <f>3175.5+(157.6-1092.4)+(-1.619505+(-0.080376--0.557124))+0--395.4-0.20165399999996</f>
        <v>2634.7555889999999</v>
      </c>
      <c r="V174" s="3">
        <f>3185.1+(154.8-1120.6)+(-4.873203+(-0.236844--1.714518))+0--396.5-0.606645000000023</f>
        <v>2611.7978260000004</v>
      </c>
      <c r="W174" s="3">
        <f>3048.1+(148.8-1082)+(-9.327186+(-0.455328--3.31092))+0--395.8-1.21114800000005</f>
        <v>2503.0172579999999</v>
      </c>
      <c r="X174" s="3">
        <f>2567.6+(231.5-705.4)+(-2.618952+(-0.23613--0.719508))+0--293.4-0.299268000000047</f>
        <v>2384.6651579999998</v>
      </c>
      <c r="Y174" s="3">
        <f>2681.7+(172.8-552.8)+(-2.735334+(-0.176256--0.563856))+0--225.3-0.229806000000036</f>
        <v>2524.4224600000002</v>
      </c>
      <c r="Z174" s="3">
        <f>3208.6+(175.4-818.7)+(-6.545544+(-0.357816--1.670148))+0--225.3-0.45961199999999</f>
        <v>2784.9071759999997</v>
      </c>
      <c r="AA174" s="3">
        <f>3089.7+(174.3-704.2)+(-6.302988+(-0.355572--1.436568))+0--224.7-0.45838799999999</f>
        <v>2778.8196199999993</v>
      </c>
      <c r="AB174" s="3">
        <f>3085.2+(175.7-703.2)+(-1.573452+(-0.089607--0.358632))+0--225.2-0.114851999999977</f>
        <v>2781.4807209999994</v>
      </c>
      <c r="AC174" s="3">
        <f>3122.9+(170.6-774.3)+(-4.778037+(-0.261018--1.184679))+0--252.1-0.385713000000015</f>
        <v>2767.0599110000003</v>
      </c>
      <c r="AD174">
        <f t="shared" si="2"/>
        <v>62151.275219000003</v>
      </c>
      <c r="AE174" s="3">
        <f>3262+(170.8-838.2)+(0+(0-0))+0--225-0</f>
        <v>2819.6</v>
      </c>
    </row>
    <row r="175" spans="1:31" s="2" customFormat="1" x14ac:dyDescent="0.25">
      <c r="A175">
        <v>89</v>
      </c>
      <c r="B175">
        <v>6</v>
      </c>
      <c r="C175">
        <v>20</v>
      </c>
      <c r="D175">
        <v>1</v>
      </c>
      <c r="E175">
        <v>1</v>
      </c>
      <c r="F175" s="3">
        <f>3224.2+(163.4-1010.5)+(-6.577368+(-0.333336--2.06142))+0--400.8-0.817631999999982</f>
        <v>2772.2330840000004</v>
      </c>
      <c r="G175" s="3">
        <f>3266+(172.4-1140.5)+(-4.99698+(-0.263772--1.744965))+0--402.2-0.615366000000023</f>
        <v>2695.9688470000001</v>
      </c>
      <c r="H175" s="3">
        <f>3284.9+(172.9-1229.5)+(-10.051794+(-0.529074--3.76227))+0--405.6-1.24113600000005</f>
        <v>2625.8402660000002</v>
      </c>
      <c r="I175" s="3">
        <f>3267.4+(189.7-1144.7)+(-3.332748+(-0.193494--1.167594))+0--266.6-0.271932000000043</f>
        <v>2576.36942</v>
      </c>
      <c r="J175" s="3">
        <f>2959.4+(251-909.8)+(-3.018588+(-0.25602--0.927996))+0--225.4-0.229908000000036</f>
        <v>2523.4234800000004</v>
      </c>
      <c r="K175" s="3">
        <f>2655.2+(321.9-736.1)+(0+(0-0))+0--226.3-0</f>
        <v>2467.3000000000002</v>
      </c>
      <c r="L175" s="3">
        <f>2528.5+(368-777.3)+(-9.026745+(-1.31376--2.774961))+0--226.3-0.807891000000003</f>
        <v>2337.126565</v>
      </c>
      <c r="M175" s="3">
        <f>2457.9+(331.9-815.5)+(-3.760587+(-0.507807--1.247715))+0--226.7-0.346851000000013</f>
        <v>2197.6324700000005</v>
      </c>
      <c r="N175" s="3">
        <f>2495.4+(302.6-792.9)+(-3.817962+(-0.462978--1.213137))+0--226.8-0.347004000000013</f>
        <v>2228.485193</v>
      </c>
      <c r="O175" s="3">
        <f>2647.8+(232-824.7)+(-1.350378+(-0.11832--0.420597))+0--227.2-0.115871999999977</f>
        <v>2281.1360270000005</v>
      </c>
      <c r="P175" s="3">
        <f>2775.6+(196.7-887.4)+(-2.831112+(-0.200634--0.905148))+0--325-0.331500000000052</f>
        <v>2407.4419019999996</v>
      </c>
      <c r="Q175" s="3">
        <f>3020.7+(205.7-1018.6)+(-1.540557+(-0.104907--0.519486))+0--388.6-0.198185999999961</f>
        <v>2595.0758359999995</v>
      </c>
      <c r="R175" s="3">
        <f>3121.1+(157.9-981.8)+(-1.591761+(-0.080529--0.500718))+0--385.6-0.196655999999961</f>
        <v>2681.4317719999995</v>
      </c>
      <c r="S175" s="3">
        <f>3183.3+(157.8-972.4)+(-3.246966+(-0.160956--0.991848))+0--388.8-0.396576000000062</f>
        <v>2754.6873500000002</v>
      </c>
      <c r="T175" s="3">
        <f>3206.4+(159.5-921.4)+(1.635264+(0.081345-0.469914))+0--389.5--0.19864499999996</f>
        <v>2835.4453399999998</v>
      </c>
      <c r="U175" s="3">
        <f>3196.6+(164.7-883.3)+(-3.260532+(-0.167994--0.900966))+0--388.1-0.395862000000062</f>
        <v>2863.1765780000001</v>
      </c>
      <c r="V175" s="3">
        <f>3167+(163.6-877.7)+(0+(0-0))+0--389.5-0</f>
        <v>2842.4</v>
      </c>
      <c r="W175" s="3">
        <f>3007.5+(151.8-847.9)+(-7.669125+(-0.38709--2.162145))+0--391.1-0.997304999999943</f>
        <v>2695.6086250000003</v>
      </c>
      <c r="X175" s="3">
        <f>2618.2+(228.1-764)+(-8.011692+(-0.697986--2.33784))+0--392.7-1.20166200000005</f>
        <v>2467.4264999999996</v>
      </c>
      <c r="Y175" s="3">
        <f>2996.4+(162.7-906.5)+(-1.528164+(-0.082977--0.462315))+0--395.2-0.20155199999996</f>
        <v>2646.4496220000001</v>
      </c>
      <c r="Z175" s="3">
        <f>3331.7+(168.8-1002.4)+(-3.398334+(-0.172176--1.022448))+0--398.4-0.406368000000064</f>
        <v>2893.5455700000002</v>
      </c>
      <c r="AA175" s="3">
        <f>3370+(164.3-1033.5)+(-6.8748+(-0.335172--2.10834))+0--398-0.811919999999983</f>
        <v>2892.8864480000002</v>
      </c>
      <c r="AB175" s="3">
        <f>3287.5+(162.1-978)+(-5.029875+(-0.248013--1.49634))+0--396.7-0.606951000000023</f>
        <v>2863.9115009999996</v>
      </c>
      <c r="AC175" s="3">
        <f>3277.2+(164.2-988.1)+(-8.35686+(-0.41871--2.519655))+0--398.6-1.01642999999994</f>
        <v>2844.6276549999993</v>
      </c>
      <c r="AD175">
        <f t="shared" si="2"/>
        <v>62989.630051</v>
      </c>
      <c r="AE175" s="3">
        <f>3351+(160-994.1)+(0+(0-0))+0--396-0</f>
        <v>2912.9</v>
      </c>
    </row>
    <row r="176" spans="1:31" s="2" customFormat="1" x14ac:dyDescent="0.25">
      <c r="A176">
        <v>89</v>
      </c>
      <c r="B176">
        <v>6</v>
      </c>
      <c r="C176">
        <v>21</v>
      </c>
      <c r="D176">
        <v>2</v>
      </c>
      <c r="E176">
        <v>1</v>
      </c>
      <c r="F176" s="3">
        <f>3202.4+(138.7-962.8)+(-4.899672+(-0.212211--1.473084))+0--398.6-0.609858000000023</f>
        <v>2772.6513430000005</v>
      </c>
      <c r="G176" s="3">
        <f>3215.4+(129.9-1046.6)+(-1.639854+(-0.066249--0.533766))+0--400.4-0.204203999999959</f>
        <v>2697.7234590000003</v>
      </c>
      <c r="H176" s="3">
        <f>3198.1+(127.2-1108)+(-3.262062+(-0.129744--1.13016))+0--401-0.409020000000064</f>
        <v>2615.6293340000002</v>
      </c>
      <c r="I176" s="3">
        <f>3107.9+(131.2-1091.2)+(-4.755087+(-0.200736--1.669536))+0--402.6-0.615978000000023</f>
        <v>2546.5977350000003</v>
      </c>
      <c r="J176" s="3">
        <f>2926.1+(162.2-986.3)+(-4.476933+(-0.248166--1.509039))+0--401-0.613530000000023</f>
        <v>2499.1704099999997</v>
      </c>
      <c r="K176" s="3">
        <f>2728.7+(248-917.6)+(0+(0-0))+0--402-0</f>
        <v>2461.1</v>
      </c>
      <c r="L176" s="3">
        <f>2660.6+(272.8-969.7)+(-6.78453+(-0.69564--2.472735))+0--401-1.02254999999994</f>
        <v>2358.6700149999997</v>
      </c>
      <c r="M176" s="3">
        <f>2709.2+(217.5-964.2)+(0+(0-0))+0--294.3-0</f>
        <v>2256.7999999999997</v>
      </c>
      <c r="N176" s="3">
        <f>2984.6+(140.6-1078.3)+(1.522146+(0.071706-0.549933))+0--310.5--0.158354999999968</f>
        <v>2358.6022740000003</v>
      </c>
      <c r="O176" s="3">
        <f>3098.2+(152.4-1180.8)+(-4.740246+(-0.233172--1.806624))+0--392-0.599760000000023</f>
        <v>2458.0334459999999</v>
      </c>
      <c r="P176" s="3">
        <f>3073+(164.2-1066.5)+(0+(0-0))+0--414.8-0</f>
        <v>2585.5</v>
      </c>
      <c r="Q176" s="3">
        <f>3026+(154.5-893.3)+(0+(0-0))+0--397.9-0</f>
        <v>2685.1</v>
      </c>
      <c r="R176" s="3">
        <f>3006.3+(172.7-729)+(-4.599639+(-0.264231--1.11537))+0--394.1-0.602973000000023</f>
        <v>2839.7485269999997</v>
      </c>
      <c r="S176" s="3">
        <f>3109.4+(167-750.3)+(-7.92897+(-0.42585--1.913265))+0--396.9-1.01209499999994</f>
        <v>2915.5463500000005</v>
      </c>
      <c r="T176" s="3">
        <f>3104.3+(195.5-715.7)+(0+(0-0))+0--395.3-0</f>
        <v>2979.4000000000005</v>
      </c>
      <c r="U176" s="3">
        <f>3101.3+(203.2-690.7)+(3.163326+(0.207264-0.704514))+0--396--0.403920000000063</f>
        <v>3012.8699960000004</v>
      </c>
      <c r="V176" s="3">
        <f>3099.6+(193.3-627.2)+(-6.323184+(-0.394332--1.279488))+0--293.2-0.598127999999987</f>
        <v>2952.8638439999995</v>
      </c>
      <c r="W176" s="3">
        <f>3035.9+(170.1-724.4)+(-6.193236+(-0.347004--1.477776))+0--317.6-0.647903999999986</f>
        <v>2793.4896320000003</v>
      </c>
      <c r="X176" s="3">
        <f>2953.4+(160.6-887.2)+(-1.506234+(-0.081906--0.452472))+0--356.7-0.181916999999964</f>
        <v>2582.1824150000002</v>
      </c>
      <c r="Y176" s="3">
        <f>3056.2+(175.3-865.5)+(-1.558662+(-0.089403--0.441405))+0--379.6-0.193595999999961</f>
        <v>2744.199744</v>
      </c>
      <c r="Z176" s="3">
        <f>3172.9+(181.1-772.3)+(-4.854537+(-0.277083--1.181619))+0--379.8-0.581094000000022</f>
        <v>2956.9689050000002</v>
      </c>
      <c r="AA176" s="3">
        <f>3182.8+(175.2-810.6)+(-11.362596+(-0.625464--2.893842))+0--395.5-1.41193500000001</f>
        <v>2932.3938469999998</v>
      </c>
      <c r="AB176" s="3">
        <f>3203.7+(171.4-891.4)+(-1.633887+(-0.087414--0.454614))+0--398.1-0.20303099999996</f>
        <v>2880.3302819999999</v>
      </c>
      <c r="AC176" s="3">
        <f>3209.4+(165.5-932.3)+(-3.273588+(-0.16881--0.950946))+0--400.3-0.408306000000064</f>
        <v>2840.0002420000001</v>
      </c>
      <c r="AD176">
        <f t="shared" si="2"/>
        <v>64725.571800000012</v>
      </c>
      <c r="AE176" s="3">
        <f>3176+(180.3-739.9)+(0+(0-0))+0--343-0</f>
        <v>2959.4</v>
      </c>
    </row>
    <row r="177" spans="1:31" s="2" customFormat="1" x14ac:dyDescent="0.25">
      <c r="A177">
        <v>89</v>
      </c>
      <c r="B177">
        <v>6</v>
      </c>
      <c r="C177">
        <v>22</v>
      </c>
      <c r="D177">
        <v>3</v>
      </c>
      <c r="E177">
        <v>1</v>
      </c>
      <c r="F177" s="3">
        <f>3216.3+(162.9-1013.6)+(-6.561252+(-0.332316--2.067744))+0--400.3-0.816611999999983</f>
        <v>2760.2575640000005</v>
      </c>
      <c r="G177" s="3">
        <f>3225.4+(155.1-1101.8)+(-1.644954+(-0.079101--0.561918))+0--400.3-0.204152999999959</f>
        <v>2677.6337100000005</v>
      </c>
      <c r="H177" s="3">
        <f>3171.2+(151.6-1121.1)+(-3.234624+(-0.154632--1.143522))+0--400.3-0.408306000000064</f>
        <v>2599.3459599999996</v>
      </c>
      <c r="I177" s="3">
        <f>3047.3+(165.6-1008.2)+(-4.662369+(-0.253368--1.542546))+0--388.5-0.594405000000023</f>
        <v>2589.2324040000003</v>
      </c>
      <c r="J177" s="3">
        <f>2832+(207.8-829.7)+(-2.88864+(-0.211956--0.846294))+0--277.3-0.282846000000044</f>
        <v>2484.8628520000002</v>
      </c>
      <c r="K177" s="3">
        <f>2782.4+(185.5-766.7)+(5.676096+(0.37842-1.564068))+0--225.7--0.46042799999999</f>
        <v>2431.8508759999995</v>
      </c>
      <c r="L177" s="3">
        <f>2717+(213.8-837.5)+(-5.54268+(-0.436152--1.7085))+0--225-0.45899999999999</f>
        <v>2313.5706680000003</v>
      </c>
      <c r="M177" s="3">
        <f>2625+(238.3-880.7)+(4.01625+(0.364599-1.347471))+0--226.2--0.346086000000013</f>
        <v>2212.1794639999998</v>
      </c>
      <c r="N177" s="3">
        <f>2980+(159-1058.7)+(-1.5198+(-0.08109--0.539937))+0--225.5-0.115004999999977</f>
        <v>2304.6240419999999</v>
      </c>
      <c r="O177" s="3">
        <f>2911.8+(158.9-891.2)+(1.485018+(0.081039-0.454512))+0--224.3--0.114392999999977</f>
        <v>2405.0259380000002</v>
      </c>
      <c r="P177" s="3">
        <f>2814.5+(170.1-708.3)+(2.87079+(0.173502-0.722466))+0--224.4--0.228888000000036</f>
        <v>2503.2507140000002</v>
      </c>
      <c r="Q177" s="3">
        <f>2851.6+(170.4-655)+(-1.454316+(-0.086904--0.33405))+0--263.6-0.134435999999973</f>
        <v>2629.258394</v>
      </c>
      <c r="R177" s="3">
        <f>2846.2+(199.6-625.3)+(0+(0-0))+0--357.8-0</f>
        <v>2778.3</v>
      </c>
      <c r="S177" s="3">
        <f>2790+(325.2-648.6)+(-2.8458+(-0.331704--0.661572))+0--387.1-0.394842000000062</f>
        <v>2850.7892259999999</v>
      </c>
      <c r="T177" s="3">
        <f>2794.1+(415.4-664.3)+(0+(0-0))+0--389.3-0</f>
        <v>2934.5</v>
      </c>
      <c r="U177" s="3">
        <f>2801.5+(414.8-652.7)+(0+(0-0))+0--391.4-0</f>
        <v>2955</v>
      </c>
      <c r="V177" s="3">
        <f>2817.7+(326.5-622.5)+(-7.185135+(-0.832575--1.587375))+0--392.6-1.00112999999994</f>
        <v>2906.8685349999996</v>
      </c>
      <c r="W177" s="3">
        <f>2848.2+(151.9-657.3)+(-8.715492+(-0.464814--2.011338))+0--393.8-1.20502800000005</f>
        <v>2728.2260040000001</v>
      </c>
      <c r="X177" s="3">
        <f>2999.3+(148.9-1024.3)+(-4.588929+(-0.227817--1.567179))+0--396.1-0.606033000000023</f>
        <v>2516.1444000000001</v>
      </c>
      <c r="Y177" s="3">
        <f>3092.7+(162.3-954.5)+(-3.154554+(-0.165546--0.97359))+0--409.3-0.417486000000065</f>
        <v>2707.036004</v>
      </c>
      <c r="Z177" s="3">
        <f>3109.7+(170-786)+(-4.757841+(-0.2601--1.20258))+0--413.5-0.632655000000024</f>
        <v>2902.751984</v>
      </c>
      <c r="AA177" s="3">
        <f>3134.6+(166.7-825.9)+(-4.795938+(-0.255051--1.263627))+0--414-0.633420000000024</f>
        <v>2884.9792179999995</v>
      </c>
      <c r="AB177" s="3">
        <f>3156.8+(160.5-878.5)+(-6.439872+(-0.32742--1.79214))+0--415.6-0.847823999999982</f>
        <v>2848.5770240000002</v>
      </c>
      <c r="AC177" s="3">
        <f>3132.6+(150.5-880.9)+(-3.195252+(-0.15351--0.898518))+0--416-0.424320000000066</f>
        <v>2815.3254359999996</v>
      </c>
      <c r="AD177">
        <f t="shared" si="2"/>
        <v>63739.590417000007</v>
      </c>
      <c r="AE177" s="3">
        <f>3134+(179.6-768.5)+(0+(0-0))+0--415-0</f>
        <v>2960.1</v>
      </c>
    </row>
    <row r="178" spans="1:31" s="2" customFormat="1" x14ac:dyDescent="0.25">
      <c r="A178">
        <v>89</v>
      </c>
      <c r="B178">
        <v>6</v>
      </c>
      <c r="C178">
        <v>23</v>
      </c>
      <c r="D178">
        <v>4</v>
      </c>
      <c r="E178">
        <v>1</v>
      </c>
      <c r="F178" s="3">
        <f>3131.4+(160.9-932.2)+(-4.791042+(-0.246177--1.426266))+0--418.5-0.640305000000024</f>
        <v>2774.3487420000001</v>
      </c>
      <c r="G178" s="3">
        <f>3139.2+(153.6-1019.3)+(-4.802976+(-0.235008--1.559529))+0--417.7-0.639081000000024</f>
        <v>2687.0824640000001</v>
      </c>
      <c r="H178" s="3">
        <f>3091.4+(144.1-1051.4)+(-1.576614+(-0.073491--0.536214))+0--418.4-0.213383999999958</f>
        <v>2601.1727249999999</v>
      </c>
      <c r="I178" s="3">
        <f>2977.5+(150.6-949.5)+(-4.555575+(-0.230418--1.452735))+0--366.9-0.561357000000021</f>
        <v>2541.6053849999998</v>
      </c>
      <c r="J178" s="3">
        <f>2919.4+(150.2-920)+(-7.44447+(-0.38301--2.346))+0--337.6-0.860879999999951</f>
        <v>2480.8576400000006</v>
      </c>
      <c r="K178" s="3">
        <f>2858.9+(165.5-888.1)+(-1.458039+(-0.084405--0.452931))+0--296.2-0.15106199999997</f>
        <v>2431.2594250000002</v>
      </c>
      <c r="L178" s="3">
        <f>2705.5+(229.6-898.6)+(-5.51922+(-0.468384--1.833144))+0--291.5-0.594659999999987</f>
        <v>2323.2508800000001</v>
      </c>
      <c r="M178" s="3">
        <f>2504.2+(278.5-809.3)+(0+(0-0))+0--227.1-0</f>
        <v>2200.5</v>
      </c>
      <c r="N178" s="3">
        <f>2600.1+(259.5-801)+(-2.652102+(-0.26469--0.81702))+0--227-0.231540000000036</f>
        <v>2283.2686879999997</v>
      </c>
      <c r="O178" s="3">
        <f>2671.5+(215.9-772.1)+(-4.087395+(-0.330327--1.181313))+0--256.8-0.392904000000015</f>
        <v>2368.4706870000005</v>
      </c>
      <c r="P178" s="3">
        <f>2783.6+(163.5-833.3)+(-1.419636+(-0.083385--0.424983))+0--392.4-0.20012399999996</f>
        <v>2504.9218380000002</v>
      </c>
      <c r="Q178" s="3">
        <f>2813.3+(165.4-745.9)+(-2.869566+(-0.168708--0.760818))+0--392.2-0.400044000000063</f>
        <v>2622.3225000000002</v>
      </c>
      <c r="R178" s="3">
        <f>2852.9+(177.1-664.4)+(-7.274895+(-0.451605--1.69422))+0--388.7-0.991184999999944</f>
        <v>2747.2765350000004</v>
      </c>
      <c r="S178" s="3">
        <f>2930.4+(168.4-704.9)+(-5.978016+(-0.343536--1.437996))+0--389.8-0.795191999999983</f>
        <v>2778.021252</v>
      </c>
      <c r="T178" s="3">
        <f>2944.3+(170.1-708.4)+(-1.501593+(-0.086751--0.361284))+0--391-0.19940999999996</f>
        <v>2795.5735299999997</v>
      </c>
      <c r="U178" s="3">
        <f>3029.3+(174.8-732.8)+(-6.179772+(-0.356592--1.494912))+0--389.7-0.794987999999983</f>
        <v>2855.16356</v>
      </c>
      <c r="V178" s="3">
        <f>3051.2+(179.2-666.1)+(-3.112224+(-0.182784--0.679422))+0--412.1-0.420342000000066</f>
        <v>2973.3640719999999</v>
      </c>
      <c r="W178" s="3">
        <f>3024+(146.4-808.5)+(-3.08448+(-0.149328--0.82467))+0--393.5-0.401370000000063</f>
        <v>2752.5894920000001</v>
      </c>
      <c r="X178" s="3">
        <f>2964.7+(145.8-934.9)+(-3.023994+(-0.148716--0.953598))+0--398.2-0.406164000000063</f>
        <v>2571.1747239999995</v>
      </c>
      <c r="Y178" s="3">
        <f>3003.8+(162.6-813.5)+(-4.595814+(-0.248778--1.244655))+0--400.5-0.612765000000023</f>
        <v>2749.1872980000003</v>
      </c>
      <c r="Z178" s="3">
        <f>3120.8+(169.1-783.1)+(-4.774824+(-0.258723--1.198143))+0--420.4-0.643212000000024</f>
        <v>2922.7213840000004</v>
      </c>
      <c r="AA178" s="3">
        <f>3136.9+(165.4-821.6)+(-7.999095+(-0.42177--2.09508))+0--421.5-1.07482499999994</f>
        <v>2894.7993899999997</v>
      </c>
      <c r="AB178" s="3">
        <f>3169.8+(159-879.4)+(-3.233196+(-0.16218--0.896988))+0--421.6-0.430032000000067</f>
        <v>2868.0715799999998</v>
      </c>
      <c r="AC178" s="3">
        <f>3175.9+(151.7-831.2)+(-3.239418+(-0.154734--0.847824))+0--314.5-0.32079000000005</f>
        <v>2808.032882</v>
      </c>
      <c r="AD178">
        <f t="shared" si="2"/>
        <v>63535.03667300001</v>
      </c>
      <c r="AE178" s="3">
        <f>3109+(169.3-764.1)+(0+(0-0))+0--419-0</f>
        <v>2933.2</v>
      </c>
    </row>
    <row r="179" spans="1:31" s="2" customFormat="1" x14ac:dyDescent="0.25">
      <c r="A179">
        <v>89</v>
      </c>
      <c r="B179">
        <v>6</v>
      </c>
      <c r="C179">
        <v>24</v>
      </c>
      <c r="D179">
        <v>5</v>
      </c>
      <c r="E179">
        <v>1</v>
      </c>
      <c r="F179" s="3">
        <f>3176.7+(146.6-841.6)+(-3.240234+(-0.149532--0.858432))+0--268.6-0.273972000000043</f>
        <v>2747.494694</v>
      </c>
      <c r="G179" s="3">
        <f>3108.3+(139.5-821.7)+(-1.585233+(-0.071145--0.419067))+0--204.7-0.104396999999979</f>
        <v>2629.4582920000003</v>
      </c>
      <c r="H179" s="3">
        <f>3141.4+(134.9-890.5)+(4.806342+(0.206397-1.362465))+0--204.6--0.313038000000012</f>
        <v>2594.3633120000004</v>
      </c>
      <c r="I179" s="3">
        <f>3137.2+(131.2-978.8)+(0+(0-0))+0--241.3-0</f>
        <v>2530.9</v>
      </c>
      <c r="J179" s="3">
        <f>2768.2+(152.7-707.6)+(-2.823564+(-0.155754--0.721752))+0--272.9-0.278358000000044</f>
        <v>2483.6640759999996</v>
      </c>
      <c r="K179" s="3">
        <f>2698.1+(163.1-683.1)+(0+(0-0))+0--272.6-0</f>
        <v>2450.6999999999998</v>
      </c>
      <c r="L179" s="3">
        <f>2653+(191.7-788.4)+(-4.05909+(-0.293301--1.206252))+0--270.5-0.413865000000016</f>
        <v>2323.2399960000002</v>
      </c>
      <c r="M179" s="3">
        <f>2686.6+(180.8-928.5)+(-2.740332+(-0.184416--0.94707))+0--272.3-0.277746000000043</f>
        <v>2208.9445759999999</v>
      </c>
      <c r="N179" s="3">
        <f>2875+(159.4-1013.9)+(1.46625+(0.081294-0.517089))+0--272.8--0.139127999999972</f>
        <v>2294.4695830000001</v>
      </c>
      <c r="O179" s="3">
        <f>2971.1+(167.1-1000.9)+(-1.515261+(-0.085221--0.510459))+0--233.2-0.118931999999976</f>
        <v>2369.2910449999999</v>
      </c>
      <c r="P179" s="3">
        <f>3089.2+(154-932)+(0+(0-0))+0--252-0</f>
        <v>2563.1999999999998</v>
      </c>
      <c r="Q179" s="3">
        <f>3079.9+(156.3-953.2)+(1.570749+(0.079713-0.486132))+0--351.9--0.179468999999964</f>
        <v>2636.2437990000003</v>
      </c>
      <c r="R179" s="3">
        <f>3053.5+(156.1-808.9)+(-1.557285+(-0.079611--0.412539))+0--413.6-0.210935999999958</f>
        <v>2812.8647069999997</v>
      </c>
      <c r="S179" s="3">
        <f>3033.7+(224.4-764.6)+(-1.547187+(-0.114444--0.389946))+0--413.4-0.210833999999958</f>
        <v>2905.417481</v>
      </c>
      <c r="T179" s="3">
        <f>3050+(301.5-767.7)+(-4.6665+(-0.461295--1.174581))+0--396.2-0.606186000000023</f>
        <v>2975.4405999999999</v>
      </c>
      <c r="U179" s="3">
        <f>3009.9+(322.4-727.7)+(3.070098+(0.328848-0.742254))+0--392.8--0.400656000000063</f>
        <v>3000.4573480000004</v>
      </c>
      <c r="V179" s="3">
        <f>2978.9+(238.7-669.3)+(0+(0-0))+0--394.1-0</f>
        <v>2942.4</v>
      </c>
      <c r="W179" s="3">
        <f>3019.3+(149.5-812.3)+(-6.159372+(-0.30498--1.657092))+0--396.2-0.808247999999983</f>
        <v>2747.084492</v>
      </c>
      <c r="X179" s="3">
        <f>3088.6+(141.7-1069.6)+(1.575186+(0.072267-0.545496))+0--398.5--0.20323499999996</f>
        <v>2560.5051919999996</v>
      </c>
      <c r="Y179" s="3">
        <f>3135.6+(162.7-915.7)+(-1.599156+(-0.082977--0.467007))+0--398-0.20297999999996</f>
        <v>2779.1818939999998</v>
      </c>
      <c r="Z179" s="3">
        <f>3211.1+(168.1-830.4)+(-8.188305+(-0.428655--2.11752))+0--400.2-1.02050999999994</f>
        <v>2941.4800500000001</v>
      </c>
      <c r="AA179" s="3">
        <f>3233.4+(164.4-848.8)+(-8.24517+(-0.41922--2.16444))+0--400.8-1.02203999999994</f>
        <v>2942.2780100000004</v>
      </c>
      <c r="AB179" s="3">
        <f>3254.6+(159.6-903.6)+(-6.639384+(-0.325584--1.843344))+0--401-0.818039999999982</f>
        <v>2905.6603359999999</v>
      </c>
      <c r="AC179" s="3">
        <f>3164.3+(151.3-858)+(-1.613793+(-0.077163--0.43758))+0--400.4-0.204203999999959</f>
        <v>2856.5424200000002</v>
      </c>
      <c r="AD179">
        <f t="shared" si="2"/>
        <v>64201.281903000003</v>
      </c>
      <c r="AE179" s="3">
        <f>3290+(174.1-864.8)+(0+(0-0))+0--399-0</f>
        <v>2998.3</v>
      </c>
    </row>
    <row r="180" spans="1:31" s="2" customFormat="1" x14ac:dyDescent="0.25">
      <c r="A180">
        <v>89</v>
      </c>
      <c r="B180">
        <v>6</v>
      </c>
      <c r="C180">
        <v>25</v>
      </c>
      <c r="D180">
        <v>6</v>
      </c>
      <c r="E180">
        <v>1</v>
      </c>
      <c r="F180" s="3">
        <f>3144.4+(158.5-851.9)+(-8.01822+(-0.404175--2.172345))+0--400-1.01999999999994</f>
        <v>2843.7299499999999</v>
      </c>
      <c r="G180" s="3">
        <f>3147.7+(151.6-965.6)+(-6.421308+(-0.309264--1.969824))+0--400-0.815999999999983</f>
        <v>2728.1232519999999</v>
      </c>
      <c r="H180" s="3">
        <f>3177.2+(146.9-1063.4)+(1.620372+(0.074919-0.542334))+0--399.2--0.20359199999996</f>
        <v>2661.2565489999993</v>
      </c>
      <c r="I180" s="3">
        <f>3120.8+(144.9-1056.4)+(-9.549648+(-0.443394--3.232584))+0--401.3-1.22797800000005</f>
        <v>2602.6115640000003</v>
      </c>
      <c r="J180" s="3">
        <f>2998.3+(142.5-950.6)+(1.529133+(0.072675-0.484806))+0--363.4--0.185333999999963</f>
        <v>2554.9023360000001</v>
      </c>
      <c r="K180" s="3">
        <f>2948.9+(137.3-946.3)+(0+(0-0))+0--355.9-0</f>
        <v>2495.8000000000002</v>
      </c>
      <c r="L180" s="3">
        <f>2829.8+(136.3-916.9)+(-7.21599+(-0.347565--2.338095))+0--354.5-0.903974999999949</f>
        <v>2397.570565</v>
      </c>
      <c r="M180" s="3">
        <f>2563.4+(136.9-871.2)+(1.307334+(0.069819-0.444312))+0--358.3--0.182732999999964</f>
        <v>2188.515574</v>
      </c>
      <c r="N180" s="3">
        <f>2734.6+(138.3-1004.6)+(-2.789292+(-0.141066--1.024692))+0--402.2-0.410244000000064</f>
        <v>2268.1840899999997</v>
      </c>
      <c r="O180" s="3">
        <f>2878.8+(149.6-1082.3)+(-1.468188+(-0.076296--0.551973))+0--401.1-0.204560999999959</f>
        <v>2346.0029280000003</v>
      </c>
      <c r="P180" s="3">
        <f>2941.6+(163.3-1030.1)+(-4.500648+(-0.249849--1.576053))+0--396.6-0.606798000000023</f>
        <v>2467.6187580000001</v>
      </c>
      <c r="Q180" s="3">
        <f>2970.9+(158-999.3)+(-7.575795+(-0.4029--2.548215))+0--392.3-1.00036499999994</f>
        <v>2515.4691550000007</v>
      </c>
      <c r="R180" s="3">
        <f>3179.5+(155.2-1024.4)+(-17.836995+(-0.870672--5.746884))+0--393.3-2.20641299999999</f>
        <v>2688.4328040000005</v>
      </c>
      <c r="S180" s="3">
        <f>3204.2+(143.7-996.9)+(-3.268284+(-0.146574--1.016838))+0--390.9-0.398718000000062</f>
        <v>2739.1032620000001</v>
      </c>
      <c r="T180" s="3">
        <f>3204.8+(145.9-923.1)+(-3.268896+(-0.148818--0.941562))+0--391.5-0.399330000000062</f>
        <v>2816.224518</v>
      </c>
      <c r="U180" s="3">
        <f>3210.4+(143.8-916.3)+(-1.637304+(-0.073338--0.467313))+0--389.6-0.19869599999996</f>
        <v>2826.0579750000002</v>
      </c>
      <c r="V180" s="3">
        <f>3014.9+(141.6-795.2)+(-3.075198+(-0.144432--0.811104))+0--393.7-0.401574000000063</f>
        <v>2752.1898999999999</v>
      </c>
      <c r="W180" s="3">
        <f>2563.9+(167.8-617.6)+(-6.537945+(-0.42789--1.57488))+0--394.5-1.00597499999994</f>
        <v>2502.20307</v>
      </c>
      <c r="X180" s="3">
        <f>2520.6+(162-696.1)+(-1.285506+(-0.08262--0.355011))+0--364.7-0.185996999999963</f>
        <v>2350.000888</v>
      </c>
      <c r="Y180" s="3">
        <f>2898.2+(157.3-875)+(0+(0-0))+0--378-0</f>
        <v>2558.5</v>
      </c>
      <c r="Z180" s="3">
        <f>3195.4+(160.9-1018.5)+(-1.629654+(-0.082059--0.519435))+0--397.6-0.20277599999996</f>
        <v>2734.004946</v>
      </c>
      <c r="AA180" s="3">
        <f>3206+(159.6-1038.9)+(-4.90518+(-0.244188--1.589517))+0--398.5-0.609705000000023</f>
        <v>2721.030444</v>
      </c>
      <c r="AB180" s="3">
        <f>3210.8+(155.3-1074.2)+(-6.550032+(-0.316812--2.191368))+0--399.3-0.814571999999983</f>
        <v>2685.7099520000006</v>
      </c>
      <c r="AC180" s="3">
        <f>3218.4+(148.5-1096.7)+(-4.924152+(-0.227205--1.677951))+0--399.1-0.610623000000023</f>
        <v>2665.2159709999996</v>
      </c>
      <c r="AD180">
        <f t="shared" si="2"/>
        <v>62108.458451000006</v>
      </c>
      <c r="AE180" s="3">
        <f>3198+(163.4-1006.3)+(0+(0-0))+0--396-0</f>
        <v>2751.1</v>
      </c>
    </row>
    <row r="181" spans="1:31" s="2" customFormat="1" x14ac:dyDescent="0.25">
      <c r="A181">
        <v>89</v>
      </c>
      <c r="B181">
        <v>6</v>
      </c>
      <c r="C181">
        <v>26</v>
      </c>
      <c r="D181">
        <v>7</v>
      </c>
      <c r="E181">
        <v>1</v>
      </c>
      <c r="F181" s="3">
        <f>3180.4+(156.9-1062.4)+(-6.488016+(-0.320076--2.167296))+0--391.8-0.799271999999983</f>
        <v>2661.2599319999999</v>
      </c>
      <c r="G181" s="3">
        <f>3057.3+(150.4-1030.6)+(-7.796115+(-0.38352--2.62803))+0--396.9-1.01209499999994</f>
        <v>2567.4363000000003</v>
      </c>
      <c r="H181" s="3">
        <f>3024.4+(146.4-1056)+(1.542444+(0.074664-0.53856))+0--395.6--0.20175599999996</f>
        <v>2511.680304</v>
      </c>
      <c r="I181" s="3">
        <f>2981.4+(143.2-1083.1)+(1.520514+(0.073032-0.552381))+0--395.3--0.20160299999996</f>
        <v>2438.0427680000003</v>
      </c>
      <c r="J181" s="3">
        <f>2954.6+(139.1-1078)+(0+(0-0))+0--397-0</f>
        <v>2412.6999999999998</v>
      </c>
      <c r="K181" s="3">
        <f>2715+(145.2-906.2)+(1.38465+(0.074052-0.462162))+0--401.7--0.204866999999959</f>
        <v>2356.9014069999998</v>
      </c>
      <c r="L181" s="3">
        <f>2522.6+(154.9-784.7)+(-6.43263+(-0.394995--2.000985))+0--378.8-0.965939999999945</f>
        <v>2265.8074199999996</v>
      </c>
      <c r="M181" s="3">
        <f>2306.3+(157.4-668.2)+(-3.528639+(-0.240822--1.022346))+0--259.7-0.397341000000015</f>
        <v>2052.0555440000003</v>
      </c>
      <c r="N181" s="3">
        <f>2404.7+(154.8-739.8)+(0+(0-0))+0--218.8-0</f>
        <v>2038.4999999999998</v>
      </c>
      <c r="O181" s="3">
        <f>2489.1+(161.9-789.2)+(-1.269441+(-0.082569--0.402492))+0--218.4-0.111383999999978</f>
        <v>2079.1390980000001</v>
      </c>
      <c r="P181" s="3">
        <f>2704.7+(174.7-960.7)+(-2.758794+(-0.178194--0.979914))+0--258.3-0.263466000000041</f>
        <v>2174.7794600000002</v>
      </c>
      <c r="Q181" s="3">
        <f>2831.9+(177.1-1092.2)+(-4.332807+(-0.270963--1.671066))+0--391.6-0.599148000000023</f>
        <v>2304.868148</v>
      </c>
      <c r="R181" s="3">
        <f>2831.3+(171.2-970.3)+(0+(0-0))+0--391.2-0</f>
        <v>2423.4</v>
      </c>
      <c r="S181" s="3">
        <f>2812.1+(158.4-841.6)+(-2.868342+(-0.161568--0.858432))+0--391.4-0.399228000000062</f>
        <v>2517.7292939999993</v>
      </c>
      <c r="T181" s="3">
        <f>2878.4+(208-864.3)+(-5.871936+(-0.42432--1.763172))+0--388.7-0.792947999999983</f>
        <v>2605.4739680000002</v>
      </c>
      <c r="U181" s="3">
        <f>2884.5+(181-820.9)+(-2.94219+(-0.18462--0.837318))+0--387.5-0.395250000000062</f>
        <v>2629.415258</v>
      </c>
      <c r="V181" s="3">
        <f>2865.9+(133.3-820)+(-2.923218+(-0.135966--0.8364))+0--387.3-0.395046000000062</f>
        <v>2563.8821699999999</v>
      </c>
      <c r="W181" s="3">
        <f>2808.4+(136.4-929.1)+(-1.432284+(-0.069564--0.473841))+0--388.6-0.198185999999961</f>
        <v>2403.0738070000002</v>
      </c>
      <c r="X181" s="3">
        <f>2772.3+(140-1031.2)+(-4.241619+(-0.2142--1.577736))+0--391.9-0.599607000000023</f>
        <v>2269.5223099999998</v>
      </c>
      <c r="Y181" s="3">
        <f>2835.4+(158-929.6)+(-4.338162+(-0.24174--1.422288))+0--393.3-0.601749000000023</f>
        <v>2453.3406370000002</v>
      </c>
      <c r="Z181" s="3">
        <f>2983+(158-880.9)+(0+(0-0))+0--396.5-0</f>
        <v>2656.6</v>
      </c>
      <c r="AA181" s="3">
        <f>2990.8+(155-865.8)+(-10.677156+(-0.55335--3.090906))+0--397.8-1.42014600000001</f>
        <v>2668.2402540000003</v>
      </c>
      <c r="AB181" s="3">
        <f>2988+(152.2-865.9)+(-6.09552+(-0.310488--1.766436))+0--398.1-0.812123999999983</f>
        <v>2666.948304</v>
      </c>
      <c r="AC181" s="3">
        <f>2959.9+(147.1-828.4)+(-3.019098+(-0.150042--0.844968))+0--397-0.404940000000063</f>
        <v>2672.8708880000004</v>
      </c>
      <c r="AD181">
        <f t="shared" si="2"/>
        <v>58393.667270999998</v>
      </c>
      <c r="AE181" s="3">
        <f>3003+(148.1-864.2)+(0+(0-0))+0--409-0</f>
        <v>2695.9</v>
      </c>
    </row>
    <row r="182" spans="1:31" s="2" customFormat="1" x14ac:dyDescent="0.25">
      <c r="A182">
        <v>89</v>
      </c>
      <c r="B182">
        <v>6</v>
      </c>
      <c r="C182">
        <v>27</v>
      </c>
      <c r="D182">
        <v>1</v>
      </c>
      <c r="E182">
        <v>1</v>
      </c>
      <c r="F182" s="3">
        <f>2954.4+(142.2-849.1)+(-4.520232+(-0.217566--1.299123))+0--406.6-0.622098000000024</f>
        <v>2650.0392270000002</v>
      </c>
      <c r="G182" s="3">
        <f>2958.7+(135.3-919.7)+(-6.035748+(-0.276012--1.876188))+0--407.3-0.830891999999982</f>
        <v>2576.3335360000001</v>
      </c>
      <c r="H182" s="3">
        <f>2954+(130.4-950.9)+(-6.02616+(-0.266016--1.939836))+0--409-0.834359999999982</f>
        <v>2537.3133000000003</v>
      </c>
      <c r="I182" s="3">
        <f>2687.8+(137.9-789.9)+(-1.370778+(-0.070329--0.402849))+0--410-0.209099999999958</f>
        <v>2444.5526420000001</v>
      </c>
      <c r="J182" s="3">
        <f>2688.4+(143.8-857.7)+(1.371084+(0.073338-0.437427))+0--408.7--0.208436999999959</f>
        <v>2384.4154319999998</v>
      </c>
      <c r="K182" s="3">
        <f>2644.4+(149.7-785.6)+(1.348644+(0.076347-0.400656))+0--380--0.193799999999961</f>
        <v>2389.7181350000001</v>
      </c>
      <c r="L182" s="3">
        <f>2594+(191-744.7)+(-6.6147+(-0.48705--1.898985))+0--248.8-0.634439999999964</f>
        <v>2283.2627950000001</v>
      </c>
      <c r="M182" s="3">
        <f>2500.9+(173.1-795.4)+(-5.101836+(-0.353124--1.622616))+0--228.3-0.46573199999999</f>
        <v>2102.6019240000001</v>
      </c>
      <c r="N182" s="3">
        <f>2642.2+(154.9-838.6)+(0+(0-0))+0--228.1-0</f>
        <v>2186.6</v>
      </c>
      <c r="O182" s="3">
        <f>2887.2+(139.1-1032.2)+(0+(0-0))+0--274.5-0</f>
        <v>2268.6</v>
      </c>
      <c r="P182" s="3">
        <f>2992.9+(143.2-1101.6)+(-1.526379+(-0.073032--0.561816))+0--399.9-0.203948999999959</f>
        <v>2433.1584560000006</v>
      </c>
      <c r="Q182" s="3">
        <f>2977.1+(143.8-955.8)+(-6.073284+(-0.293352--1.949832))+0--400.2-0.816407999999982</f>
        <v>2560.0667879999996</v>
      </c>
      <c r="R182" s="3">
        <f>2954.4+(144.8-812.3)+(-3.013488+(-0.147696--0.828546))+0--411.2-0.419424000000066</f>
        <v>2695.3479379999999</v>
      </c>
      <c r="S182" s="3">
        <f>2931.9+(167.1-724)+(-8.971614+(-0.511326--2.21544))+0--421.7-1.29040200000005</f>
        <v>2788.1420979999998</v>
      </c>
      <c r="T182" s="3">
        <f>2939.7+(233-723.1)+(-2.998494+(-0.23766--0.737562))+0--420.5-0.428910000000067</f>
        <v>2867.1724979999999</v>
      </c>
      <c r="U182" s="3">
        <f>2948.1+(197.7-683.5)+(-4.510593+(-0.302481--1.045755))+0--420.7-0.643671000000024</f>
        <v>2878.5890099999997</v>
      </c>
      <c r="V182" s="3">
        <f>2980+(144.8-715.4)+(-3.0396+(-0.147696--0.729708))+0--421.1-0.429522000000067</f>
        <v>2827.6128899999999</v>
      </c>
      <c r="W182" s="3">
        <f>2874.1+(206.2-853.1)+(-5.863164+(-0.420648--1.740324))+0--423.6-0.864143999999982</f>
        <v>2645.3923679999998</v>
      </c>
      <c r="X182" s="3">
        <f>2457.4+(281.9-723.7)+(-3.759822+(-0.431307--1.107261))+0--426.9-0.653157000000025</f>
        <v>2438.7629749999996</v>
      </c>
      <c r="Y182" s="3">
        <f>2877.3+(177.9-870.1)+(-1.467423+(-0.090729--0.443751))+0--427.6-0.218075999999957</f>
        <v>2611.3675230000003</v>
      </c>
      <c r="Z182" s="3">
        <f>3045.4+(176.3-841.1)+(-6.212616+(-0.359652--1.715844))+0--428.9-0.874955999999981</f>
        <v>2803.7686200000003</v>
      </c>
      <c r="AA182" s="3">
        <f>2962.3+(163.2-745)+(1.510773+(0.083232-0.37995))+0--429.4--0.218993999999956</f>
        <v>2811.3330489999998</v>
      </c>
      <c r="AB182" s="3">
        <f>2876.8+(147.2-683.6)+(-5.868672+(-0.300288--1.394544))+0--430.9-0.879035999999981</f>
        <v>2765.6465480000002</v>
      </c>
      <c r="AC182" s="3">
        <f>2838+(137.9-656)+(-5.78952+(-0.281316--1.33824))+0--418.8-0.854351999999982</f>
        <v>2733.1130520000006</v>
      </c>
      <c r="AD182">
        <f t="shared" si="2"/>
        <v>61682.910803999992</v>
      </c>
      <c r="AE182" s="3">
        <f>3061.5+(179.3-826.8)+(0+(0-0))+0--425-0</f>
        <v>2839</v>
      </c>
    </row>
    <row r="183" spans="1:31" s="2" customFormat="1" x14ac:dyDescent="0.25">
      <c r="A183">
        <v>89</v>
      </c>
      <c r="B183">
        <v>6</v>
      </c>
      <c r="C183">
        <v>28</v>
      </c>
      <c r="D183">
        <v>2</v>
      </c>
      <c r="E183">
        <v>1</v>
      </c>
      <c r="F183" s="3">
        <f>2671+(159.4-507.1)+(0+(0-0))+0--273.1-0</f>
        <v>2596.4</v>
      </c>
      <c r="G183" s="3">
        <f>2684.1+(164.8-554.4)+(-1.368891+(-0.084048--0.282744))+0--272.9-0.139178999999972</f>
        <v>2566.0906260000002</v>
      </c>
      <c r="H183" s="3">
        <f>2725.9+(154.2-615.3)+(-1.390209+(-0.078642--0.313803))+0--242.3-0.123572999999975</f>
        <v>2505.8213790000004</v>
      </c>
      <c r="I183" s="3">
        <f>2711.9+(143.3-645.9)+(-2.766138+(-0.146166--0.658818))+0--225.9-0.230418000000036</f>
        <v>2432.7160960000001</v>
      </c>
      <c r="J183" s="3">
        <f>2504.7+(216.8-570)+(-1.277397+(-0.110568--0.2907))+0--225.9-0.115208999999977</f>
        <v>2376.1875260000002</v>
      </c>
      <c r="K183" s="3">
        <f>2457.5+(226.6-583)+(-2.50665+(-0.231132--0.59466))+0--225.8-0.230316000000036</f>
        <v>2324.526562</v>
      </c>
      <c r="L183" s="3">
        <f>2625+(237.1-831.5)+(-6.69375+(-0.604605--2.120325))+0--225.9-0.576044999999967</f>
        <v>2250.7459250000002</v>
      </c>
      <c r="M183" s="3">
        <f>2494.1+(245-808)+(0+(0-0))+0--226.7-0</f>
        <v>2157.7999999999997</v>
      </c>
      <c r="N183" s="3">
        <f>2492.1+(272.1-787.3)+(-2.541942+(-0.277542--0.803046))+0--226.6-0.231132000000036</f>
        <v>2201.25243</v>
      </c>
      <c r="O183" s="3">
        <f>2563.9+(234.5-734.8)+(-6.537945+(-0.597975--1.87374))+0--226.3-0.577064999999967</f>
        <v>2284.0607550000004</v>
      </c>
      <c r="P183" s="3">
        <f>2776+(151.3-722.2)+(0+(0-0))+0--226-0</f>
        <v>2431.1</v>
      </c>
      <c r="Q183" s="3">
        <f>3013.7+(139.2-902.1)+(-4.610961+(-0.212976--1.380213))+0--280.6-0.429318000000016</f>
        <v>2527.5269579999995</v>
      </c>
      <c r="R183" s="3">
        <f>3051.6+(125.3-842)+(-4.668948+(-0.191709--1.28826))+0--346.2-0.52968600000002</f>
        <v>2676.9979169999997</v>
      </c>
      <c r="S183" s="3">
        <f>3134.2+(124.9-862.5)+(-6.393768+(-0.254796--1.7595))+0--387.9-0.791315999999983</f>
        <v>2778.8196200000002</v>
      </c>
      <c r="T183" s="3">
        <f>3154.4+(130.1-816.1)+(1.608744+(0.066351-0.416211))+0--387.4--0.197573999999961</f>
        <v>2857.2564579999998</v>
      </c>
      <c r="U183" s="3">
        <f>3169.2+(127.9-838.8)+(-3.232584+(-0.130458--0.855576))+0--388.8-0.396576000000062</f>
        <v>2844.1959579999998</v>
      </c>
      <c r="V183" s="3">
        <f>3149+(128.9-908.9)+(-8.02995+(-0.328695--2.317695))+0--385.1-0.982004999999944</f>
        <v>2747.077045</v>
      </c>
      <c r="W183" s="3">
        <f>3018.7+(144.7-886.8)+(-6.158148+(-0.295188--1.809072))+0--356.8-0.727871999999984</f>
        <v>2628.0278640000001</v>
      </c>
      <c r="X183" s="3">
        <f>2615.4+(192.8-680.8)+(1.333854+(0.098328-0.347208))+0--268.8--0.137087999999973</f>
        <v>2397.4220620000001</v>
      </c>
      <c r="Y183" s="3">
        <f>2879+(161.1-698.5)+(-1.46829+(-0.082161--0.356235))+0--281.6-0.143615999999971</f>
        <v>2621.8621680000001</v>
      </c>
      <c r="Z183" s="3">
        <f>3207.5+(159.5-978.6)+(-4.907475+(-0.244035--1.497258))+0--401.3-0.613989000000023</f>
        <v>2785.4317590000005</v>
      </c>
      <c r="AA183" s="3">
        <f>3208.2+(150.8-987)+(-6.544728+(-0.307632--2.01348))+0--403.2-0.822527999999982</f>
        <v>2769.5385919999999</v>
      </c>
      <c r="AB183" s="3">
        <f>3211.5+(143.8-955.6)+(-9.82719+(-0.440028--2.924136))+0--356.1-1.08966600000004</f>
        <v>2747.367252</v>
      </c>
      <c r="AC183" s="3">
        <f>3222.3+(131.8-997.2)+(-1.643373+(-0.067218--0.508572))+0--340.7-0.173756999999965</f>
        <v>2696.224224</v>
      </c>
      <c r="AD183">
        <f t="shared" si="2"/>
        <v>61204.449175999987</v>
      </c>
      <c r="AE183" s="3">
        <f>3212+(160.5-979.2)+(0+(0-0))+0--404-0</f>
        <v>2797.3</v>
      </c>
    </row>
    <row r="184" spans="1:31" s="2" customFormat="1" x14ac:dyDescent="0.25">
      <c r="A184">
        <v>89</v>
      </c>
      <c r="B184">
        <v>6</v>
      </c>
      <c r="C184">
        <v>29</v>
      </c>
      <c r="D184">
        <v>3</v>
      </c>
      <c r="E184">
        <v>1</v>
      </c>
      <c r="F184" s="3">
        <f>3245+(140.1-1062)+(-6.6198+(-0.285804--2.16648))+0--342.2-0.698087999999985</f>
        <v>2659.8627879999995</v>
      </c>
      <c r="G184" s="3">
        <f>3167.9+(136.7-1136.6)+(0+(0-0))+0--343.3-0</f>
        <v>2511.3000000000002</v>
      </c>
      <c r="H184" s="3">
        <f>3127.5+(135.1-1103.4)+(-4.785075+(-0.206703--1.688202))+0--344.8-0.52754400000002</f>
        <v>2500.1688800000002</v>
      </c>
      <c r="I184" s="3">
        <f>3046.7+(143.4-1099.2)+(-3.107634+(-0.146268--1.121184))+0--346-0.352920000000055</f>
        <v>2434.4143619999995</v>
      </c>
      <c r="J184" s="3">
        <f>2889.8+(165.1-1026.5)+(1.473798+(0.084201-0.523515))+0--346.4--0.176663999999965</f>
        <v>2376.011148</v>
      </c>
      <c r="K184" s="3">
        <f>2884.2+(171.7-1073)+(0+(0-0))+0--353.3-0</f>
        <v>2336.1999999999998</v>
      </c>
      <c r="L184" s="3">
        <f>2804.9+(200.3-1106)+(-8.582994+(-0.612918--3.38436))+0--350.2-1.07161200000004</f>
        <v>2242.5168359999998</v>
      </c>
      <c r="M184" s="3">
        <f>2582.4+(204.7-1006.3)+(0+(0-0))+0--346.4-0</f>
        <v>2127.2000000000003</v>
      </c>
      <c r="N184" s="3">
        <f>2953.6+(160.3-1255.3)+(-1.506336+(-0.081753--0.640203))+0--344.5-0.175694999999965</f>
        <v>2201.9764190000001</v>
      </c>
      <c r="O184" s="3">
        <f>3069.8+(173.8-1304.5)+(-1.565598+(-0.088638--0.665295))+0--342.1-0.174470999999965</f>
        <v>2280.0365880000004</v>
      </c>
      <c r="P184" s="3">
        <f>3158.1+(157.5-1272.1)+(0+(0-0))+0--337-0</f>
        <v>2380.5</v>
      </c>
      <c r="Q184" s="3">
        <f>3191+(148.1-1206.7)+(-4.88223+(-0.226593--1.846251))+0--374.9-0.573597000000022</f>
        <v>2503.4638309999996</v>
      </c>
      <c r="R184" s="3">
        <f>3185.1+(142.6-1066.9)+(-1.624401+(-0.072726--0.544119))+0--398-0.20297999999996</f>
        <v>2657.4440119999995</v>
      </c>
      <c r="S184" s="3">
        <f>3157.6+(142.1-982)+(-11.272632+(-0.507297--3.50574))+0--398.9-1.42407300000001</f>
        <v>2706.9017379999996</v>
      </c>
      <c r="T184" s="3">
        <f>3167.4+(148.8-913.3)+(1.615374+(0.075888-0.465783))+0--397.2--0.20257199999996</f>
        <v>2801.5280510000002</v>
      </c>
      <c r="U184" s="3">
        <f>3157.2+(151.2-903.6)+(-6.440688+(-0.308448--1.843344))+0--400.6-0.817223999999983</f>
        <v>2799.6769839999997</v>
      </c>
      <c r="V184" s="3">
        <f>3165.1+(144.6-981.3)+(-6.456804+(-0.294984--2.001852))+0--400.7-0.817427999999983</f>
        <v>2723.5326359999999</v>
      </c>
      <c r="W184" s="3">
        <f>3168.1+(151.3-1162.3)+(-8.078655+(-0.385815--2.963865))+0--401.4-1.02356999999994</f>
        <v>2551.975825</v>
      </c>
      <c r="X184" s="3">
        <f>3191.9+(146.3-1331.1)+(-1.627869+(-0.074613--0.678861))+0--404.9-0.206498999999959</f>
        <v>2410.7698800000003</v>
      </c>
      <c r="Y184" s="3">
        <f>3211.9+(165.2-1115.7)+(1.638069+(0.084252-0.569007))+0--405.6--0.206855999999959</f>
        <v>2668.3601699999999</v>
      </c>
      <c r="Z184" s="3">
        <f>3209.5+(165.6-968.1)+(-6.54738+(-0.337824--1.974924))+0--407-0.830279999999982</f>
        <v>2808.2594399999998</v>
      </c>
      <c r="AA184" s="3">
        <f>3212.2+(155.8-985)+(-9.829332+(-0.476748--3.0141))+0--406.2-1.24297200000005</f>
        <v>2780.6650479999998</v>
      </c>
      <c r="AB184" s="3">
        <f>2969.7+(159.7-650.9)+(-6.058188+(-0.325788--1.327836))+0--282-0.575279999999988</f>
        <v>2754.8685799999998</v>
      </c>
      <c r="AC184" s="3">
        <f>2923.5+(158.2-629)+(-5.96394+(-0.322728--1.28316))+0--270.2-0.551207999999988</f>
        <v>2717.345284</v>
      </c>
      <c r="AD184">
        <f t="shared" si="2"/>
        <v>60934.978500000005</v>
      </c>
      <c r="AE184" s="3">
        <f>3217+(162-970.4)+(0+(0-0))+0--404-0</f>
        <v>2812.6</v>
      </c>
    </row>
    <row r="185" spans="1:31" s="2" customFormat="1" x14ac:dyDescent="0.25">
      <c r="A185">
        <v>89</v>
      </c>
      <c r="B185">
        <v>6</v>
      </c>
      <c r="C185">
        <v>30</v>
      </c>
      <c r="D185">
        <v>4</v>
      </c>
      <c r="E185">
        <v>1</v>
      </c>
      <c r="F185" s="3">
        <f>2933.8+(150.3-706.4)+(-4.488714+(-0.229959--1.080792))+0--273.3-0.418149000000016</f>
        <v>2646.9439700000003</v>
      </c>
      <c r="G185" s="3">
        <f>2938.8+(152.6-808.8)+(-4.496364+(-0.233478--1.237464))+0--273.4-0.418302000000016</f>
        <v>2552.0893200000005</v>
      </c>
      <c r="H185" s="3">
        <f>2950.6+(148.1-890.3)+(0+(0-0))+0--274-0</f>
        <v>2482.4</v>
      </c>
      <c r="I185" s="3">
        <f>2944.4+(148.4-940.3)+(-1.501644+(-0.075684--0.479553))+0--274.3-0.139892999999972</f>
        <v>2425.562332</v>
      </c>
      <c r="J185" s="3">
        <f>2853.8+(160.2-906)+(-1.455438+(-0.081702--0.46206))+0--274.7-0.140096999999972</f>
        <v>2381.4848229999998</v>
      </c>
      <c r="K185" s="3">
        <f>2796.1+(163.6-899.7)+(1.426011+(0.083436-0.458847))+0--275.2--0.140351999999972</f>
        <v>2336.3909519999997</v>
      </c>
      <c r="L185" s="3">
        <f>2755.3+(172.5-1046.8)+(-2.810406+(-0.17595--1.067736))+0--369.3-0.376686000000059</f>
        <v>2248.0046940000002</v>
      </c>
      <c r="M185" s="3">
        <f>2764.4+(154.1-1166.2)+(-2.819688+(-0.157182--1.189524))+0--407.7-0.415854000000065</f>
        <v>2157.7968000000001</v>
      </c>
      <c r="N185" s="3">
        <f>2811.6+(142.6-1121.9)+(1.433916+(0.072726-0.572169))+0--404.9--0.206498999999959</f>
        <v>2238.3409719999995</v>
      </c>
      <c r="O185" s="3">
        <f>2980.6+(145.8-1198.2)+(-3.040212+(-0.148716--1.222164))+0--404.4-0.412488000000064</f>
        <v>2330.2207479999997</v>
      </c>
      <c r="P185" s="3">
        <f>3144.7+(135.1-1230.2)+(-1.603797+(-0.068901--0.627402))+0--402.1-0.205070999999959</f>
        <v>2450.4496329999997</v>
      </c>
      <c r="Q185" s="3">
        <f>3201.6+(129-1156.1)+(0+(0-0))+0--398.4-0</f>
        <v>2572.9</v>
      </c>
      <c r="R185" s="3">
        <f>3171.5+(129.4-1002.9)+(1.617465+(0.065994-0.511479))+0--397--0.20246999999996</f>
        <v>2696.3744500000003</v>
      </c>
      <c r="S185" s="3">
        <f>3156.7+(123.8-922.3)+(-8.049585+(-0.31569--2.351865))+0--396-1.00979999999994</f>
        <v>2747.17679</v>
      </c>
      <c r="T185" s="3">
        <f>3156.9+(131.8-862.6)+(3.220038+(0.134436-0.879852))+0--396--0.403920000000063</f>
        <v>2824.9785420000007</v>
      </c>
      <c r="U185" s="3">
        <f>3149+(134.3-855.4)+(-3.21198+(-0.136986--0.872508))+0--399-0.406980000000064</f>
        <v>2824.0165619999998</v>
      </c>
      <c r="V185" s="3">
        <f>3164.6+(129-939.4)+(-6.455784+(-0.26316--1.916376))+0--399-0.813959999999983</f>
        <v>2747.5834719999998</v>
      </c>
      <c r="W185" s="3">
        <f>3027+(143.6-1013.5)+(-3.08754+(-0.146472--1.03377))+0--400-0.408000000000064</f>
        <v>2554.4917580000001</v>
      </c>
      <c r="X185" s="3">
        <f>2806.5+(161.1-966.7)+(-2.86263+(-0.164322--0.986034))+0--400-0.408000000000064</f>
        <v>2398.451082</v>
      </c>
      <c r="Y185" s="3">
        <f>2963.1+(165.3-859.2)+(0+(0-0))+0--401-0</f>
        <v>2670.2</v>
      </c>
      <c r="Z185" s="3">
        <f>3269+(145.2-980.7)+(-8.33595+(-0.37026--2.500785))+0--403-1.02764999999994</f>
        <v>2829.2669249999999</v>
      </c>
      <c r="AA185" s="3">
        <f>3309.8+(144.7-1032.9)+(-10.127988+(-0.442782--3.160674))+0--405-1.23930000000005</f>
        <v>2817.9506040000001</v>
      </c>
      <c r="AB185" s="3">
        <f>3146.5+(141.3-902)+(-3.20943+(-0.144126--0.92004))+0--403-0.411060000000064</f>
        <v>2785.9554240000002</v>
      </c>
      <c r="AC185" s="3">
        <f>3031.4+(135.2-845)+(-3.092028+(-0.137904--0.8619))+0--403-0.411060000000064</f>
        <v>2721.8209080000006</v>
      </c>
      <c r="AD185">
        <f t="shared" si="2"/>
        <v>61440.850760999987</v>
      </c>
      <c r="AE185" s="3">
        <f>3257+(151.2-974.5)+(0+(0-0))+0--404-0</f>
        <v>2837.7</v>
      </c>
    </row>
    <row r="186" spans="1:31" s="2" customFormat="1" x14ac:dyDescent="0.25">
      <c r="A186">
        <v>89</v>
      </c>
      <c r="B186">
        <v>6</v>
      </c>
      <c r="C186">
        <v>31</v>
      </c>
      <c r="D186">
        <v>5</v>
      </c>
      <c r="E186">
        <v>1</v>
      </c>
      <c r="F186" s="3">
        <f>2945.4+(146.2-858.4)+(-3.004308+(-0.149124--0.875568))+0--403.5-0.411570000000064</f>
        <v>2634.0105659999995</v>
      </c>
      <c r="G186" s="3">
        <f>2946.8+(145.7-934.7)+(-4.508604+(-0.222921--1.430091))+0--406.1-0.621333000000023</f>
        <v>2559.9772330000001</v>
      </c>
      <c r="H186" s="3">
        <f>2902.1+(144.6-974)+(-4.440213+(-0.221238--1.49022))+0--405.5-0.620415000000023</f>
        <v>2474.4083540000001</v>
      </c>
      <c r="I186" s="3">
        <f>2907.1+(144-1037.6)+(2.965242+(0.14688-1.058352))+0--407.8--0.415956000000065</f>
        <v>2423.7697260000004</v>
      </c>
      <c r="J186" s="3">
        <f>2902.9+(151.1-1083.5)+(-1.480479+(-0.077061--0.552585))+0--409.5-0.208844999999958</f>
        <v>2378.7861999999996</v>
      </c>
      <c r="K186" s="3">
        <f>2736.4+(183.3-1008.4)+(-2.791128+(-0.186966--1.028568))+0--369.3-0.376686000000059</f>
        <v>2278.273788</v>
      </c>
      <c r="L186" s="3">
        <f>2638+(184.8-944)+(-2.69076+(-0.188496--0.96288))+0--231.5-0.236130000000037</f>
        <v>2108.1474939999998</v>
      </c>
      <c r="M186" s="3">
        <f>2903.5+(152.9-1079.4)+(0+(0-0))+0--226.8-0</f>
        <v>2203.8000000000002</v>
      </c>
      <c r="N186" s="3">
        <f>3142.2+(158.3-1327.7)+(1.602522+(0.080733-0.677127))+0--352--0.179519999999964</f>
        <v>2325.9856479999999</v>
      </c>
      <c r="O186" s="3">
        <f>3169.5+(164.7-1271.7)+(0+(0-0))+0--400-0</f>
        <v>2462.5</v>
      </c>
      <c r="P186" s="3">
        <f>3125.3+(164.7-1102.2)+(3.187806+(0.167994-1.124244))+0--398.2--0.406164000000063</f>
        <v>2588.6377200000002</v>
      </c>
      <c r="Q186" s="3">
        <f>3113.3+(163.8-932.3)+(-1.587783+(-0.083538--0.475473))+0--397.7-0.20282699999996</f>
        <v>2741.1013250000001</v>
      </c>
      <c r="R186" s="3">
        <f>3157.3+(144-910.3)+(-12.881784+(-0.58752--3.714024))+0--401.3-1.63730399999997</f>
        <v>2780.9074160000005</v>
      </c>
      <c r="S186" s="3">
        <f>3177.1+(148.5-872.1)+(-1.620321+(-0.075735--0.444771))+0--399.8-0.203897999999959</f>
        <v>2851.8448170000006</v>
      </c>
      <c r="T186" s="3">
        <f>3137.9+(150.5-829.3)+(-1.600329+(-0.076755--0.422943))+0--398.8-0.20338799999996</f>
        <v>2856.4424710000008</v>
      </c>
      <c r="U186" s="3">
        <f>3069.7+(146.6-822.7)+(-4.696641+(-0.224298--1.258731))+0--399.8-0.611694000000023</f>
        <v>2789.1260979999997</v>
      </c>
      <c r="V186" s="3">
        <f>3073.8+(147.2-1027.8)+(0+(0-0))+0--398.9-0</f>
        <v>2592.1000000000004</v>
      </c>
      <c r="W186" s="3">
        <f>3093.5+(150.4-1213.2)+(-1.577685+(-0.076704--0.618732))+0--401.1-0.204560999999959</f>
        <v>2430.5597820000003</v>
      </c>
      <c r="X186" s="3">
        <f>3226.3+(164.7-1087.1)+(-1.645413+(-0.083997--0.554421))+0--407-0.207569999999959</f>
        <v>2709.5174410000004</v>
      </c>
      <c r="Y186" s="3">
        <f>3259.3+(166.7-988.9)+(1.662243+(0.085017-0.504339))+0--407.3--0.207722999999959</f>
        <v>2845.8506440000006</v>
      </c>
      <c r="Z186" s="3">
        <f>3361+(144.4-1098)+(-3.42822+(-0.147288--1.11996))+0--409.3-0.417486000000065</f>
        <v>2813.8269660000001</v>
      </c>
      <c r="AA186" s="3">
        <f>3409+(138.2-1156.4)+(-10.43154+(-0.422892--3.538584))+0--409.1-1.25184600000005</f>
        <v>2791.3323059999998</v>
      </c>
      <c r="AB186" s="3">
        <f>3424.5+(130.9-1206.3)+(-6.98598+(-0.267036--2.460852))+0--409.3-0.834971999999982</f>
        <v>2752.7728640000005</v>
      </c>
      <c r="AC186" s="3">
        <f>3430.9+(123.2-1271.9)+(-6.999036+(-0.251328--2.594676))+0--409.8-0.835991999999982</f>
        <v>2686.5083200000004</v>
      </c>
      <c r="AD186">
        <f t="shared" si="2"/>
        <v>62080.187178999993</v>
      </c>
      <c r="AE186" s="3">
        <f>3248.4+(169.8-982.8)+(0+(0-0))+0--402-0</f>
        <v>2837.4</v>
      </c>
    </row>
    <row r="187" spans="1:31" s="2" customFormat="1" x14ac:dyDescent="0.25">
      <c r="A187">
        <v>89</v>
      </c>
      <c r="B187">
        <v>7</v>
      </c>
      <c r="C187">
        <v>1</v>
      </c>
      <c r="D187">
        <v>6</v>
      </c>
      <c r="E187">
        <v>1</v>
      </c>
      <c r="F187" s="3">
        <f>3340.7+(120.7-1257.7)+(-3.407514+(-0.123114--1.282854))+0--409.2-0.417384000000065</f>
        <v>2610.2348419999998</v>
      </c>
      <c r="G187" s="3">
        <f>3337.4+(117.1-1331.7)+(-5.106222+(-0.179163--2.037501))+0--410-0.627300000000024</f>
        <v>2528.9248160000002</v>
      </c>
      <c r="H187" s="3">
        <f>3177+(116.6-1214.4)+(-1.62027+(-0.059466--0.619344))+0--377-0.192269999999962</f>
        <v>2454.9473379999999</v>
      </c>
      <c r="I187" s="3">
        <f>3084.8+(116.3-1137.9)+(1.573248+(0.059313-0.580329))+0--343.4--0.175133999999965</f>
        <v>2407.827366</v>
      </c>
      <c r="J187" s="3">
        <f>3014.2+(118.2-1075.6)+(-4.611726+(-0.180846--1.645668))+0--314-0.480420000000018</f>
        <v>2367.1726760000001</v>
      </c>
      <c r="K187" s="3">
        <f>2883.8+(112.7-1024.3)+(-2.941476+(-0.114954--1.044786))+0--277.8-0.283356000000044</f>
        <v>2247.7050000000004</v>
      </c>
      <c r="L187" s="3">
        <f>2670.3+(113.2-1020.5)+(1.361853+(0.057732-0.520455))+0--279.3--0.142442999999972</f>
        <v>2043.3415730000002</v>
      </c>
      <c r="M187" s="3">
        <f>2674.6+(109.8-1012.3)+(0+(0-0))+0--326.1-0</f>
        <v>2098.1999999999998</v>
      </c>
      <c r="N187" s="3">
        <f>2849.7+(117.7-1083.3)+(1.453347+(0.060027-0.552483))+0--342.7--0.174776999999965</f>
        <v>2227.9356680000001</v>
      </c>
      <c r="O187" s="3">
        <f>3170.8+(120.9-1269.2)+(-1.617108+(-0.061659--0.647292))+0--342-0.174419999999965</f>
        <v>2363.2941050000004</v>
      </c>
      <c r="P187" s="3">
        <f>3254.9+(123.6-1231.1)+(-1.659999+(-0.063036--0.627861))+0--340.1-0.173450999999966</f>
        <v>2486.2313749999998</v>
      </c>
      <c r="Q187" s="3">
        <f>3242.9+(124.9-1139.2)+(-1.653879+(-0.063699--0.580992))+0--383.2-0.195431999999961</f>
        <v>2610.4679819999997</v>
      </c>
      <c r="R187" s="3">
        <f>3220.7+(122.4-1035)+(-1.642557+(-0.062424--0.52785))+0--403.4-0.205733999999959</f>
        <v>2710.117135</v>
      </c>
      <c r="S187" s="3">
        <f>3181+(200.9-1014.2)+(-4.86693+(-0.307377--1.551726))+0--402.3-0.615519000000023</f>
        <v>2765.7619</v>
      </c>
      <c r="T187" s="3">
        <f>3139.8+(240.4-1011.4)+(-4.803894+(-0.367812--1.547442))+0--402.5-0.615825000000023</f>
        <v>2767.0599110000003</v>
      </c>
      <c r="U187" s="3">
        <f>3136+(146.1-944.8)+(-9.59616+(-0.447066--2.891088))+0--355.1-1.08660600000004</f>
        <v>2684.1612560000003</v>
      </c>
      <c r="V187" s="3">
        <f>3142.5+(114.4-1112.6)+(-9.61605+(-0.350064--3.404556))+0--339-1.03734000000004</f>
        <v>2475.7011020000004</v>
      </c>
      <c r="W187" s="3">
        <f>3008.5+(114.2-1176.3)+(-3.06867+(-0.116484--1.199826))+0--364.5-0.371790000000058</f>
        <v>2308.5428819999997</v>
      </c>
      <c r="X187" s="3">
        <f>3073.1+(142.4-1028.8)+(0+(0-0))+0--398.3-0</f>
        <v>2585</v>
      </c>
      <c r="Y187" s="3">
        <f>3242.9+(144.7-1058.1)+(-6.615516+(-0.295188--2.158524))+0--400.7-0.817427999999983</f>
        <v>2724.630392</v>
      </c>
      <c r="Z187" s="3">
        <f>3246.5+(140-1082.7)+(-8.278575+(-0.357--2.760885))+0--400.6-1.02152999999994</f>
        <v>2697.50378</v>
      </c>
      <c r="AA187" s="3">
        <f>3198.3+(135.6-1048.7)+(-6.524532+(-0.276624--2.139348))+0--401.5-0.819059999999982</f>
        <v>2681.2191320000006</v>
      </c>
      <c r="AB187" s="3">
        <f>3220.2+(127-1098.2)+(0+(0-0))+0--401.6-0</f>
        <v>2650.6</v>
      </c>
      <c r="AC187" s="3">
        <f>3242.9+(119.8-1145.9)+(-3.307758+(-0.122196--1.168818))+0--400.6-0.408612000000064</f>
        <v>2614.7302519999998</v>
      </c>
      <c r="AD187">
        <f t="shared" si="2"/>
        <v>60111.310482999994</v>
      </c>
      <c r="AE187" s="3">
        <f>3246.3+(152.8-1005)+(0+(0-0))+0--400-0</f>
        <v>2794.1000000000004</v>
      </c>
    </row>
    <row r="188" spans="1:31" s="2" customFormat="1" x14ac:dyDescent="0.25">
      <c r="A188">
        <v>89</v>
      </c>
      <c r="B188">
        <v>7</v>
      </c>
      <c r="C188">
        <v>2</v>
      </c>
      <c r="D188">
        <v>7</v>
      </c>
      <c r="E188">
        <v>1</v>
      </c>
      <c r="F188" s="3">
        <f>3263.2+(124.5-1195)+(-6.656928+(-0.25398--2.4378))+0--402.2-0.820487999999982</f>
        <v>2589.6064039999997</v>
      </c>
      <c r="G188" s="3">
        <f>3077.2+(121-1065.9)+(-6.277488+(-0.24684--2.174436))+0--402.8-0.821711999999982</f>
        <v>2529.9283959999998</v>
      </c>
      <c r="H188" s="3">
        <f>2842.1+(119.3-926)+(-1.449471+(-0.060843--0.47226))+0--403.3-0.205682999999959</f>
        <v>2437.4562629999996</v>
      </c>
      <c r="I188" s="3">
        <f>2622.1+(137.9-783.3)+(-4.011813+(-0.210987--1.198449))+0--404.5-0.618885000000023</f>
        <v>2377.5567639999999</v>
      </c>
      <c r="J188" s="3">
        <f>2507.8+(151.2-736.2)+(1.278978+(0.077112-0.375462))+0--405.2--0.206651999999959</f>
        <v>2329.1872800000001</v>
      </c>
      <c r="K188" s="3">
        <f>2486.9+(148-751.3)+(-7.609914+(-0.45288--2.298978))+0--387.9-1.18697400000004</f>
        <v>2264.5492100000001</v>
      </c>
      <c r="L188" s="3">
        <f>2341.1+(150.8-696.5)+(-2.387922+(-0.153816--0.71043))+0--241.1-0.245922000000038</f>
        <v>2034.4227699999997</v>
      </c>
      <c r="M188" s="3">
        <f>2339.9+(168.5-711.9)+(-3.580047+(-0.257805--1.089207))+0--227.5-0.348075000000013</f>
        <v>2020.90328</v>
      </c>
      <c r="N188" s="3">
        <f>2176.6+(191-542.5)+(-3.330198+(-0.29223--0.830025))+0--227.4-0.347922000000013</f>
        <v>2049.3596750000002</v>
      </c>
      <c r="O188" s="3">
        <f>2220.9+(213.5-532.2)+(-4.530636+(-0.43554--1.085688))+0--227.3-0.46369199999999</f>
        <v>2125.1558200000004</v>
      </c>
      <c r="P188" s="3">
        <f>2433.3+(182.1-711.5)+(-3.722949+(-0.278613--1.088595))+0--281.4-0.430542000000016</f>
        <v>2181.9564909999999</v>
      </c>
      <c r="Q188" s="3">
        <f>2471.7+(173.7-666.1)+(1.260567+(0.088587-0.339711))+0--367.2--0.187271999999963</f>
        <v>2347.6967149999996</v>
      </c>
      <c r="R188" s="3">
        <f>2504.5+(310.1-718.9)+(0+(0-0))+0--390.8-0</f>
        <v>2486.5</v>
      </c>
      <c r="S188" s="3">
        <f>2498+(413.2-714.1)+(-2.54796+(-0.421464--0.728382))+0--392.1-0.399942000000063</f>
        <v>2586.5590159999997</v>
      </c>
      <c r="T188" s="3">
        <f>2495.8+(422.8-702.6)+(1.272858+(0.215628-0.358326))+0--389.7--0.19874699999996</f>
        <v>2607.0289069999999</v>
      </c>
      <c r="U188" s="3">
        <f>2492.2+(352.6-675)+(-2.542044+(-0.359652--0.6885))+0--390.4-0.398208000000062</f>
        <v>2557.5885959999996</v>
      </c>
      <c r="V188" s="3">
        <f>2501.5+(193.8-698.2)+(-3.827295+(-0.296514--1.068246))+0--390.9-0.598077000000023</f>
        <v>2384.34636</v>
      </c>
      <c r="W188" s="3">
        <f>2331.2+(183.9-630.4)+(-5.94456+(-0.468945--1.60752))+0--309.6-0.789479999999955</f>
        <v>2188.7045349999999</v>
      </c>
      <c r="X188" s="3">
        <f>2483.2+(264.2-639.3)+(-2.532864+(-0.269484--0.652086))+0--356.7-0.363834000000057</f>
        <v>2462.2859039999994</v>
      </c>
      <c r="Y188" s="3">
        <f>2622.8+(305.5-707.1)+(-2.675256+(-0.31161--0.721242))+0--397.2-0.405144000000063</f>
        <v>2615.7292320000001</v>
      </c>
      <c r="Z188" s="3">
        <f>2575.5+(363.7-707.9)+(-1.313505+(-0.185487--0.361029))+0--398-0.20297999999996</f>
        <v>2627.959057</v>
      </c>
      <c r="AA188" s="3">
        <f>2576.5+(376.3-703.9)+(-1.314015+(-0.191913--0.358989))+0--399.1-0.20354099999996</f>
        <v>2646.6495199999999</v>
      </c>
      <c r="AB188" s="3">
        <f>2591.7+(290.8-659.5)+(-6.608835+(-0.74154--1.681725))+0--401.5-1.02382499999994</f>
        <v>2617.8075250000002</v>
      </c>
      <c r="AC188" s="3">
        <f>2600.2+(230.5-648.9)+(-2.652204+(-0.23511--0.661878))+0--402.3-0.410346000000064</f>
        <v>2581.4642179999996</v>
      </c>
      <c r="AD188">
        <f t="shared" si="2"/>
        <v>57650.401937999988</v>
      </c>
      <c r="AE188" s="3">
        <f>2606+(331.5-705.4)+(0+(0-0))+0--394-0</f>
        <v>2626.1</v>
      </c>
    </row>
    <row r="189" spans="1:31" s="2" customFormat="1" x14ac:dyDescent="0.25">
      <c r="A189">
        <v>89</v>
      </c>
      <c r="B189">
        <v>7</v>
      </c>
      <c r="C189">
        <v>3</v>
      </c>
      <c r="D189">
        <v>1</v>
      </c>
      <c r="E189">
        <v>1</v>
      </c>
      <c r="F189" s="3">
        <f>2599.3+(247.3-693.7)+(-3.976929+(-0.378369--1.061361))+0--388.5-0.594405000000023</f>
        <v>2537.5116580000004</v>
      </c>
      <c r="G189" s="3">
        <f>2550.4+(242.4-646.5)+(-5.202816+(-0.494496--1.31886))+0--348.2-0.710327999999985</f>
        <v>2489.41122</v>
      </c>
      <c r="H189" s="3">
        <f>2383.8+(268.9-545.8)+(-2.431476+(-0.274278--0.556716))+0--294.4-0.300288000000047</f>
        <v>2398.8506740000003</v>
      </c>
      <c r="I189" s="3">
        <f>2257.6+(289.2-458.4)+(2.302752+(0.294984-0.467568))+0--252.5--0.25755000000004</f>
        <v>2343.2877180000005</v>
      </c>
      <c r="J189" s="3">
        <f>2295.3+(289.4-515.1)+(-4.682412+(-0.590376--1.050804))+0--226.8-0.46267199999999</f>
        <v>2291.7153440000006</v>
      </c>
      <c r="K189" s="3">
        <f>2268.8+(285.7-561.5)+(-3.471264+(-0.437121--0.859095))+0--226.8-0.347004000000013</f>
        <v>2216.4037060000001</v>
      </c>
      <c r="L189" s="3">
        <f>2241.7+(263.4-702.4)+(-2.286534+(-0.268668--0.716448))+0--227.7-0.232254000000036</f>
        <v>2028.3289919999997</v>
      </c>
      <c r="M189" s="3">
        <f>2356+(173.6-680)+(1.20156+(0.088536-0.3468))+0--228--0.116279999999977</f>
        <v>2078.659576</v>
      </c>
      <c r="N189" s="3">
        <f>2822.7+(133.4-982.9)+(0+(0-0))+0--227.2-0</f>
        <v>2200.3999999999996</v>
      </c>
      <c r="O189" s="3">
        <f>2980+(135.5-996.9)+(-1.5198+(-0.069105--0.508419))+0--232.7-0.118676999999976</f>
        <v>2350.100837</v>
      </c>
      <c r="P189" s="3">
        <f>3013+(133.9-930.8)+(-1.53663+(-0.068289--0.474708))+0--270.5-0.137954999999973</f>
        <v>2485.3318339999996</v>
      </c>
      <c r="Q189" s="3">
        <f>2983+(140.1-751.5)+(1.52133+(0.071451-0.383265))+0--270.4--0.137903999999973</f>
        <v>2643.3474200000001</v>
      </c>
      <c r="R189" s="3">
        <f>2975+(194-690.9)+(0+(0-0))+0--270.3-0</f>
        <v>2748.4</v>
      </c>
      <c r="S189" s="3">
        <f>2986.4+(312-719.6)+(0+(0-0))+0--270.5-0</f>
        <v>2849.3</v>
      </c>
      <c r="T189" s="3">
        <f>2992.6+(327.1-729.8)+(-3.052452+(-0.333642--0.744396))+0--270.6-0.276012000000043</f>
        <v>2857.5822899999998</v>
      </c>
      <c r="U189" s="3">
        <f>2993.2+(179.1-742.6)+(-4.579596+(-0.274023--1.136178))+0--366.8-0.561204000000021</f>
        <v>2792.2213550000001</v>
      </c>
      <c r="V189" s="3">
        <f>3003.6+(133.4-930.4)+(-4.595508+(-0.204102--1.423512))+0--396.2-0.606186000000023</f>
        <v>2598.8177159999996</v>
      </c>
      <c r="W189" s="3">
        <f>3025.2+(134.1-1131.5)+(1.542852+(0.068391-0.577065))+0--397.6--0.20277599999996</f>
        <v>2426.6369540000001</v>
      </c>
      <c r="X189" s="3">
        <f>3129.6+(141.7-959.4)+(-6.384384+(-0.289068--1.957176))+0--400.2-0.816407999999982</f>
        <v>2706.5673159999992</v>
      </c>
      <c r="Y189" s="3">
        <f>3230+(145.7-934.4)+(0+(0-0))+0--400-0</f>
        <v>2841.3</v>
      </c>
      <c r="Z189" s="3">
        <f>3254+(142-972)+(3.31908+(0.14484-0.99144))+0--401.4--0.409428000000064</f>
        <v>2828.2819079999999</v>
      </c>
      <c r="AA189" s="3">
        <f>3271.8+(136.8-996.5)+(-5.005854+(-0.209304--1.524645))+0--404.8-0.619344000000023</f>
        <v>2812.5901430000004</v>
      </c>
      <c r="AB189" s="3">
        <f>3285.9+(129.3-1051.2)+(-8.379045+(-0.329715--2.68056))+0--405.3-1.03351499999994</f>
        <v>2762.2382849999999</v>
      </c>
      <c r="AC189" s="3">
        <f>3215.1+(120.2-1043.3)+(-8.198505+(-0.30651--2.660415))+0--405.2-1.03325999999994</f>
        <v>2690.3221399999998</v>
      </c>
      <c r="AD189">
        <f t="shared" si="2"/>
        <v>60977.607086000004</v>
      </c>
      <c r="AE189" s="3">
        <f>3228+(161.2-915.6)+(0+(0-0))+0--396-0</f>
        <v>2869.6</v>
      </c>
    </row>
    <row r="190" spans="1:31" s="2" customFormat="1" x14ac:dyDescent="0.25">
      <c r="A190">
        <v>89</v>
      </c>
      <c r="B190">
        <v>7</v>
      </c>
      <c r="C190">
        <v>4</v>
      </c>
      <c r="D190">
        <v>2</v>
      </c>
      <c r="E190">
        <v>1</v>
      </c>
      <c r="F190" s="3">
        <f>3101.2+(126.3-974.6)+(-3.163224+(-0.128826--0.994092))+0--404.8-0.412896000000065</f>
        <v>2654.9891459999994</v>
      </c>
      <c r="G190" s="3">
        <f>3106+(119.6-1072.7)+(-7.9203+(-0.30498--2.735385))+0--405.6-1.03427999999994</f>
        <v>2551.975825</v>
      </c>
      <c r="H190" s="3">
        <f>3110.6+(124-999.1)+(-4.759218+(-0.18972--1.528623))+0--234-0.358020000000014</f>
        <v>2465.721665</v>
      </c>
      <c r="I190" s="3">
        <f>3045.8+(122.9-1006.1)+(-1.553358+(-0.062679--0.513111))+0--225.7-0.115106999999977</f>
        <v>2387.0819670000001</v>
      </c>
      <c r="J190" s="3">
        <f>2998.8+(119.6-983.2)+(0+(0-0))+0--227-0</f>
        <v>2362.2000000000003</v>
      </c>
      <c r="K190" s="3">
        <f>2896.2+(115.4-935.4)+(0+(0-0))+0--226.8-0</f>
        <v>2303</v>
      </c>
      <c r="L190" s="3">
        <f>2595.9+(127-867.7)+(-1.323909+(-0.06477--0.442527))+0--228-0.116279999999977</f>
        <v>2082.1375680000001</v>
      </c>
      <c r="M190" s="3">
        <f>2714+(120.3-958.4)+(-2.76828+(-0.122706--0.977568))+0--228.2-0.232764000000036</f>
        <v>2101.953818</v>
      </c>
      <c r="N190" s="3">
        <f>3024.7+(113.8-1265.6)+(0+(0-0))+0--330.4-0</f>
        <v>2203.2999999999997</v>
      </c>
      <c r="O190" s="3">
        <f>3197.3+(117-1351.2)+(-1.630623+(-0.05967--0.689112))+0--397.5-0.20272499999996</f>
        <v>2359.3960939999997</v>
      </c>
      <c r="P190" s="3">
        <f>3211.2+(120.3-1254.4)+(0+(0-0))+0--392.8-0</f>
        <v>2469.8999999999996</v>
      </c>
      <c r="Q190" s="3">
        <f>3207.7+(128.2-1097.5)+(1.635927+(0.065382-0.559725))+0--391.8--0.19981799999996</f>
        <v>2631.5414019999998</v>
      </c>
      <c r="R190" s="3">
        <f>3175.7+(128.3-955.7)+(-1.619607+(-0.065433--0.487407))+0--395.5-0.20170499999996</f>
        <v>2742.4006619999996</v>
      </c>
      <c r="S190" s="3">
        <f>3179.6+(145.8-843)+(1.621596+(0.074358-0.42993))+0--395.8--0.20185799999996</f>
        <v>2879.6678819999997</v>
      </c>
      <c r="T190" s="3">
        <f>3202.8+(146-945.1)+(-1.633428+(-0.07446--0.482001))+0--396.3-0.20211299999996</f>
        <v>2798.5720000000006</v>
      </c>
      <c r="U190" s="3">
        <f>3198.2+(136.6-949.7)+(-3.262164+(-0.139332--0.968694))+0--400.3-0.408306000000064</f>
        <v>2782.558892</v>
      </c>
      <c r="V190" s="3">
        <f>3156.1+(120.3-1046)+(-4.828833+(-0.184059--1.60038))+0--402.4-0.615672000000023</f>
        <v>2628.7718159999999</v>
      </c>
      <c r="W190" s="3">
        <f>3171.7+(114.3-1297.1)+(0+(0-0))+0--400.3-0</f>
        <v>2389.1999999999998</v>
      </c>
      <c r="X190" s="3">
        <f>3208.4+(136.8-1037.3)+(-3.272568+(-0.139536--1.058046))+0--407.4-0.415548000000065</f>
        <v>2712.5303940000003</v>
      </c>
      <c r="Y190" s="3">
        <f>3251.4+(138.2-987.6)+(-4.974642+(-0.211446--1.511028))+0--423.9-0.648567000000024</f>
        <v>2821.5763729999999</v>
      </c>
      <c r="Z190" s="3">
        <f>3276.3+(137.3-985.4)+(-3.341826+(-0.140046--1.005108))+0--424-0.432480000000068</f>
        <v>2849.2907560000003</v>
      </c>
      <c r="AA190" s="3">
        <f>3299+(134-1046.1)+(1.68249+(0.06834-0.533511))+0--422.2--0.215321999999957</f>
        <v>2810.5326409999998</v>
      </c>
      <c r="AB190" s="3">
        <f>3323.7+(130.2-1066.5)+(0+(0-0))+0--405.1-0</f>
        <v>2792.4999999999995</v>
      </c>
      <c r="AC190" s="3">
        <f>3302.3+(121.7-1147.5)+(-3.368346+(-0.124134--1.17045))+0--404.4-0.412488000000064</f>
        <v>2678.1654820000003</v>
      </c>
      <c r="AD190">
        <f t="shared" si="2"/>
        <v>61458.964382999999</v>
      </c>
      <c r="AE190" s="3">
        <f>3264.5+(141.7-1000.3)+(0+(0-0))+0--420-0</f>
        <v>2825.9</v>
      </c>
    </row>
    <row r="191" spans="1:31" s="2" customFormat="1" x14ac:dyDescent="0.25">
      <c r="A191">
        <v>89</v>
      </c>
      <c r="B191">
        <v>7</v>
      </c>
      <c r="C191">
        <v>5</v>
      </c>
      <c r="D191">
        <v>3</v>
      </c>
      <c r="E191">
        <v>1</v>
      </c>
      <c r="F191" s="3">
        <f>3182.7+(111.5-1074.8)+(-4.869531+(-0.170595--1.644444))+0--362.1-0.554013000000021</f>
        <v>2577.5503049999998</v>
      </c>
      <c r="G191" s="3">
        <f>3068.4+(109.6-1027.9)+(0+(0-0))+0--318-0</f>
        <v>2468.1</v>
      </c>
      <c r="H191" s="3">
        <f>2965.5+(112.1-947.9)+(-3.02481+(-0.114342--0.966858))+0--274.1-0.279582000000044</f>
        <v>2401.3481239999996</v>
      </c>
      <c r="I191" s="3">
        <f>2840.2+(107.4-880.5)+(1.448502+(0.054774-0.449055))+0--275--0.140249999999972</f>
        <v>2343.2944709999997</v>
      </c>
      <c r="J191" s="3">
        <f>2910.7+(105.2-997.3)+(1.484457+(0.053652-0.508623))+0--275.4--0.140453999999972</f>
        <v>2295.1699399999998</v>
      </c>
      <c r="K191" s="3">
        <f>3046.4+(101.4-1185.9)+(-10.875648+(-0.361998--4.233663))+0--274-0.978180000000004</f>
        <v>2227.917837</v>
      </c>
      <c r="L191" s="3">
        <f>2561.4+(176.1-922.6)+(1.306314+(0.089811-0.470526))+0--228.5--0.116534999999977</f>
        <v>2044.4421339999999</v>
      </c>
      <c r="M191" s="3">
        <f>2578.3+(144.3-838.5)+(2.629866+(0.147186-0.85527))+0--228.1--0.232662000000036</f>
        <v>2114.3544440000001</v>
      </c>
      <c r="N191" s="3">
        <f>2923.3+(127.9-1116.8)+(0+(0-0))+0--301.5-0</f>
        <v>2235.9</v>
      </c>
      <c r="O191" s="3">
        <f>3149.7+(132.9-1330)+(0+(0-0))+0--399.7-0</f>
        <v>2352.2999999999997</v>
      </c>
      <c r="P191" s="3">
        <f>3153.1+(133-1198.5)+(3.216162+(0.13566-1.22247))+0--397.5--0.405450000000063</f>
        <v>2487.634802</v>
      </c>
      <c r="Q191" s="3">
        <f>3127.8+(133.6-1030.3)+(4.785534+(0.204408-1.576359))+0--396.2--0.606186000000023</f>
        <v>2631.3197690000002</v>
      </c>
      <c r="R191" s="3">
        <f>3108.8+(130.5-868.7)+(-3.170976+(-0.13311--0.886074))+0--395.2-0.403104000000063</f>
        <v>2762.9788840000001</v>
      </c>
      <c r="S191" s="3">
        <f>3101.1+(236.4-845.8)+(-1.581561+(-0.120564--0.431358))+0--395.9-0.20190899999996</f>
        <v>2886.127324</v>
      </c>
      <c r="T191" s="3">
        <f>3099.5+(275.9-885.6)+(-3.16149+(-0.281418--0.903312))+0--395.5-0.403410000000063</f>
        <v>2882.3569940000002</v>
      </c>
      <c r="U191" s="3">
        <f>2909.2+(256.8-771.3)+(-5.934768+(-0.523872--1.573452))+0--399.3-0.814571999999983</f>
        <v>2788.30024</v>
      </c>
      <c r="V191" s="3">
        <f>2943.6+(130.9-878.4)+(-7.50618+(-0.333795--2.23992))+0--399.1-1.01770499999994</f>
        <v>2588.5822400000002</v>
      </c>
      <c r="W191" s="3">
        <f>2752.1+(138-841.5)+(-1.403571+(-0.07038--0.429165))+0--399.4-0.203693999999959</f>
        <v>2446.7515200000003</v>
      </c>
      <c r="X191" s="3">
        <f>2638.5+(283.9-648.1)+(1.345635+(0.144789-0.330531))+0--399.2--0.20359199999996</f>
        <v>2674.8634849999999</v>
      </c>
      <c r="Y191" s="3">
        <f>2742.4+(347.6-705.2)+(-8.391744+(-1.063656--2.157912))+0--402-1.23012000000005</f>
        <v>2778.2723919999999</v>
      </c>
      <c r="Z191" s="3">
        <f>2872.9+(302.2-765)+(-4.395537+(-0.462366--1.17045))+0--402.6-0.615978000000023</f>
        <v>2808.396569</v>
      </c>
      <c r="AA191" s="3">
        <f>2912.2+(271.4-799.1)+(-5.940888+(-0.553656--1.630164))+0--401.1-0.818243999999983</f>
        <v>2779.9173759999999</v>
      </c>
      <c r="AB191" s="3">
        <f>2942+(233.2-817.1)+(-6.00168+(-0.475728--1.666884))+0--399.6-0.815183999999983</f>
        <v>2752.0742919999998</v>
      </c>
      <c r="AC191" s="3">
        <f>2942.6+(140.4-803.1)+(-7.50363+(-0.35802--2.047905))+0--401.7-1.02433499999994</f>
        <v>2674.7619199999995</v>
      </c>
      <c r="AD191">
        <f t="shared" si="2"/>
        <v>61002.715061999988</v>
      </c>
      <c r="AE191" s="3">
        <f>2636.3+(377-662.8)+(0+(0-0))+0--400-0</f>
        <v>2750.5</v>
      </c>
    </row>
    <row r="192" spans="1:31" s="2" customFormat="1" x14ac:dyDescent="0.25">
      <c r="A192">
        <v>89</v>
      </c>
      <c r="B192">
        <v>7</v>
      </c>
      <c r="C192">
        <v>6</v>
      </c>
      <c r="D192">
        <v>4</v>
      </c>
      <c r="E192">
        <v>1</v>
      </c>
      <c r="F192" s="3">
        <f>3053.4+(102.2-984)+(-6.228936+(-0.208488--2.00736))+0--403.4-0.822935999999982</f>
        <v>2569.7470000000003</v>
      </c>
      <c r="G192" s="3">
        <f>3110.8+(100.4-1037.9)+(-4.759524+(-0.153612--1.587987))+0--317.2-0.485316000000018</f>
        <v>2486.689535</v>
      </c>
      <c r="H192" s="3">
        <f>3047.7+(100.1-1004.5)+(-3.108654+(-0.102102--1.02459))+0--273.3-0.278766000000044</f>
        <v>2414.135068</v>
      </c>
      <c r="I192" s="3">
        <f>2903.3+(99.2-911)+(-2.961366+(-0.101184--0.92922))+0--273-0.278460000000044</f>
        <v>2362.0882099999999</v>
      </c>
      <c r="J192" s="3">
        <f>2918.7+(96.7-963.8)+(5.954148+(0.197268-1.966152))+0--273.6--0.558143999999988</f>
        <v>2329.9434080000001</v>
      </c>
      <c r="K192" s="3">
        <f>2916.2+(93.8-1049)+(-5.949048+(-0.191352--2.13996))+0--274.5-0.559979999999988</f>
        <v>2230.9395799999998</v>
      </c>
      <c r="L192" s="3">
        <f>2600.6+(104.8-917.7)+(1.326306+(0.053448-0.468027))+0--274--0.139739999999972</f>
        <v>2062.7514669999996</v>
      </c>
      <c r="M192" s="3">
        <f>2612.2+(117.1-892.7)+(-1.332222+(-0.059721--0.455277))+0--290.7-0.14825699999997</f>
        <v>2126.2150769999998</v>
      </c>
      <c r="N192" s="3">
        <f>2781+(122.5-1022.6)+(0+(0-0))+0--347.1-0</f>
        <v>2228</v>
      </c>
      <c r="O192" s="3">
        <f>3113+(116.6-1271)+(-6.35052+(-0.237864--2.59284))+0--398.3-0.812531999999983</f>
        <v>2352.0919239999998</v>
      </c>
      <c r="P192" s="3">
        <f>3145.8+(120.5-1170.4)+(-1.604358+(-0.061455--0.596904))+0--396-0.20195999999996</f>
        <v>2490.6291310000001</v>
      </c>
      <c r="Q192" s="3">
        <f>3115+(125.8-991.7)+(6.3546+(0.256632-2.023068))+0--392.7--0.801107999999983</f>
        <v>2647.1892719999996</v>
      </c>
      <c r="R192" s="3">
        <f>3103.6+(140-850.8)+(-3.165672+(-0.1428--0.867816))+0--393.2-0.401064000000063</f>
        <v>2783.1582799999996</v>
      </c>
      <c r="S192" s="3">
        <f>3107.9+(252.1-848.6)+(1.585029+(0.128571-0.432786))+0--394.9--0.20139899999996</f>
        <v>2907.7822130000004</v>
      </c>
      <c r="T192" s="3">
        <f>3090.7+(260.7-837.4)+(-6.305028+(-0.531828--1.708296))+0--397-0.809879999999983</f>
        <v>2905.0615600000001</v>
      </c>
      <c r="U192" s="3">
        <f>3040.3+(146.5-757.1)+(-7.752765+(-0.373575--1.930605))+0--397.7-1.01413499999994</f>
        <v>2820.1901300000004</v>
      </c>
      <c r="V192" s="3">
        <f>2973.1+(122.9-904.7)+(-7.581405+(-0.313395--2.306985))+0--396.7-1.01158499999994</f>
        <v>2581.4005999999999</v>
      </c>
      <c r="W192" s="3">
        <f>2967.2+(121.2-1034.2)+(-4.539816+(-0.185436--1.582326))+0--399.4-0.611082000000023</f>
        <v>2449.845992</v>
      </c>
      <c r="X192" s="3">
        <f>3082.8+(143.3-893.7)+(0+(0-0))+0--400.5-0</f>
        <v>2732.9</v>
      </c>
      <c r="Y192" s="3">
        <f>3159.4+(145.4-884.3)+(-4.833882+(-0.222462--1.352979))+0--401.2-0.613836000000023</f>
        <v>2817.382799</v>
      </c>
      <c r="Z192" s="3">
        <f>3185.4+(142.8-921.6)+(-4.873662+(-0.218484--1.410048))+0--401.8-0.614754000000023</f>
        <v>2804.1031480000001</v>
      </c>
      <c r="AA192" s="3">
        <f>3194.6+(141.7-924.1)+(-3.258492+(-0.144534--0.942582))+0--401.4-0.409428000000064</f>
        <v>2810.7301280000001</v>
      </c>
      <c r="AB192" s="3">
        <f>3204.5+(133.2-960.5)+(-3.26859+(-0.135864--0.97971))+0--402.8-0.410856000000064</f>
        <v>2777.1644000000001</v>
      </c>
      <c r="AC192" s="3">
        <f>3210.7+(129.2-1038.8)+(-3.274914+(-0.131784--1.059576))+0--402.5-0.410550000000064</f>
        <v>2700.8423279999997</v>
      </c>
      <c r="AD192">
        <f t="shared" si="2"/>
        <v>61390.981250000019</v>
      </c>
      <c r="AE192" s="3">
        <f>3146.3+(150.3-886.3)+(0+(0-0))+0--401-0</f>
        <v>2811.3</v>
      </c>
    </row>
    <row r="193" spans="1:31" s="2" customFormat="1" x14ac:dyDescent="0.25">
      <c r="A193">
        <v>89</v>
      </c>
      <c r="B193">
        <v>7</v>
      </c>
      <c r="C193">
        <v>7</v>
      </c>
      <c r="D193">
        <v>5</v>
      </c>
      <c r="E193">
        <v>1</v>
      </c>
      <c r="F193" s="3">
        <f>3212.9+(116.4-1140.2)+(-9.831474+(-0.356184--3.489012))+0--404.1-1.23654600000005</f>
        <v>2585.2648079999999</v>
      </c>
      <c r="G193" s="3">
        <f>3220.8+(111.2-1231.6)+(-9.855648+(-0.340272--3.768696))+0--403.5-1.23471000000005</f>
        <v>2496.2380660000003</v>
      </c>
      <c r="H193" s="3">
        <f>3202.3+(108.3-1261)+(0+(0-0))+0--402.9-0</f>
        <v>2452.5000000000005</v>
      </c>
      <c r="I193" s="3">
        <f>3076.7+(107.9-1165.9)+(-3.138234+(-0.110058--1.189218))+0--386.2-0.393924000000062</f>
        <v>2402.4470019999999</v>
      </c>
      <c r="J193" s="3">
        <f>2921.7+(110.8-931.1)+(4.470201+(0.169524-1.424583))+0--255.8--0.391374000000015</f>
        <v>2360.8065159999996</v>
      </c>
      <c r="K193" s="3">
        <f>2866.3+(106.4-1053.5)+(-4.385439+(-0.162792--1.611855))+0--288-0.440640000000017</f>
        <v>2203.8229840000004</v>
      </c>
      <c r="L193" s="3">
        <f>2720.7+(104.2-967.1)+(-2.775114+(-0.106284--0.986442))+0--242.7-0.247554000000039</f>
        <v>2098.3574899999994</v>
      </c>
      <c r="M193" s="3">
        <f>2834.3+(114.8-1057.4)+(0+(0-0))+0--259.2-0</f>
        <v>2150.9</v>
      </c>
      <c r="N193" s="3">
        <f>3041.4+(119.1-1207.1)+(0+(0-0))+0--302.7-0</f>
        <v>2256.1</v>
      </c>
      <c r="O193" s="3">
        <f>3147.7+(141.1-1246.8)+(-3.210654+(-0.143922--1.271736))+0--352.5-0.359550000000056</f>
        <v>2392.0576099999998</v>
      </c>
      <c r="P193" s="3">
        <f>3234.5+(126.9-1244.6)+(-4.948785+(-0.194157--1.904238))+0--354-0.54162000000002</f>
        <v>2467.0196760000003</v>
      </c>
      <c r="Q193" s="3">
        <f>3216.6+(127.6-1115.7)+(-3.280932+(-0.130152--1.138014))+0--352-0.359040000000056</f>
        <v>2577.8678899999995</v>
      </c>
      <c r="R193" s="3">
        <f>3199.5+(123.5-968)+(-3.26349+(-0.12597--0.98736))+0--352.3-0.359346000000056</f>
        <v>2704.5385540000002</v>
      </c>
      <c r="S193" s="3">
        <f>3189.2+(180.6-915.9)+(0+(0-0))+0--365.1-0</f>
        <v>2818.9999999999995</v>
      </c>
      <c r="T193" s="3">
        <f>3185.9+(156.9-918.9)+(-3.249618+(-0.160038--0.937278))+0--396-0.403920000000063</f>
        <v>2817.023702</v>
      </c>
      <c r="U193" s="3">
        <f>3181.7+(126.8-984.1)+(-3.245334+(-0.129336--1.003782))+0--397.6-0.405552000000063</f>
        <v>2719.2235599999995</v>
      </c>
      <c r="V193" s="3">
        <f>3145.7+(132.6-1157.1)+(-6.417228+(-0.270504--2.360484))+0--399-0.813959999999983</f>
        <v>2515.0587919999998</v>
      </c>
      <c r="W193" s="3">
        <f>2963.1+(126.3-1143.2)+(1.511181+(0.064413-0.583032))+0--400.2--0.204101999999959</f>
        <v>2347.5966639999997</v>
      </c>
      <c r="X193" s="3">
        <f>3217.1+(141.8-1118)+(1.640721+(0.072318-0.57018))+0--399.8--0.203897999999959</f>
        <v>2642.0467569999996</v>
      </c>
      <c r="Y193" s="3">
        <f>3270.7+(144-1103)+(-6.672228+(-0.29376--2.25012))+0--400.5-0.817019999999983</f>
        <v>2706.6671120000001</v>
      </c>
      <c r="Z193" s="3">
        <f>3234.8+(142.3-1066.8)+(-1.649748+(-0.072573--0.544068))+0--400.5-0.204254999999959</f>
        <v>2709.417492</v>
      </c>
      <c r="AA193" s="3">
        <f>3219.2+(139.2-1050.2)+(-4.925376+(-0.212976--1.606806))+0--401.5-0.614295000000023</f>
        <v>2705.5541589999998</v>
      </c>
      <c r="AB193" s="3">
        <f>3232.8+(131.4-1087.2)+(-6.594912+(-0.268056--2.217888))+0--401.3-0.818651999999983</f>
        <v>2672.8362680000005</v>
      </c>
      <c r="AC193" s="3">
        <f>3220.4+(122.1-1128.9)+(-6.569616+(-0.249084--2.302956))+0--402.5-0.821099999999982</f>
        <v>2610.763156</v>
      </c>
      <c r="AD193">
        <f t="shared" ref="AD193:AD256" si="3">SUM(F193:AC193)</f>
        <v>60413.108257999993</v>
      </c>
      <c r="AE193" s="3">
        <f>3278.5+(143.9-1113.4)+(0+(0-0))+0--400-0</f>
        <v>2709</v>
      </c>
    </row>
    <row r="194" spans="1:31" s="2" customFormat="1" x14ac:dyDescent="0.25">
      <c r="A194">
        <v>89</v>
      </c>
      <c r="B194">
        <v>7</v>
      </c>
      <c r="C194">
        <v>8</v>
      </c>
      <c r="D194">
        <v>6</v>
      </c>
      <c r="E194">
        <v>1</v>
      </c>
      <c r="F194" s="3">
        <f>3015.6+(115.7-1040.3)+(-4.613868+(-0.177021--1.591659))+0--403-0.616590000000023</f>
        <v>2490.1841799999997</v>
      </c>
      <c r="G194" s="3">
        <f>2993.8+(110.5-1099.3)+(-6.107352+(-0.22542--2.242572))+0--404.7-0.825587999999982</f>
        <v>2404.784212</v>
      </c>
      <c r="H194" s="3">
        <f>2921.7+(108-1058.9)+(-2.980134+(-0.11016--1.080078))+0--385.9-0.393618000000062</f>
        <v>2354.2961659999996</v>
      </c>
      <c r="I194" s="3">
        <f>2650.5+(109.3-809.4)+(-1.351755+(-0.055743--0.412794))+0--356.5-0.181814999999964</f>
        <v>2305.723481</v>
      </c>
      <c r="J194" s="3">
        <f>2656.2+(107.9-846.8)+(-2.709324+(-0.110058--0.863736))+0--356.9-0.364038000000057</f>
        <v>2271.8803159999998</v>
      </c>
      <c r="K194" s="3">
        <f>2624.7+(103.9-896.3)+(-5.354388+(-0.211956--1.828452))+0--356.7-0.727667999999984</f>
        <v>2184.5344399999994</v>
      </c>
      <c r="L194" s="3">
        <f>2499.4+(106.9-942.6)+(0+(0-0))+0--357-0</f>
        <v>2020.7</v>
      </c>
      <c r="M194" s="3">
        <f>2574.2+(117.5-965.4)+(-1.312842+(-0.059925--0.492354))+0--355.8-0.181457999999964</f>
        <v>2081.0381289999996</v>
      </c>
      <c r="N194" s="3">
        <f>2710.5+(119.5-1035.3)+(-1.382355+(-0.060945--0.528003))+0--396.2-0.20206199999996</f>
        <v>2189.7826410000002</v>
      </c>
      <c r="O194" s="3">
        <f>2806.7+(120.6-1054.9)+(-4.294251+(-0.184518--1.613997))+0--413.5-0.632655000000024</f>
        <v>2282.4025729999998</v>
      </c>
      <c r="P194" s="3">
        <f>2785.3+(121.5-908.2)+(-1.420503+(-0.061965--0.463182))+0--415.1-0.211700999999958</f>
        <v>2412.4690129999999</v>
      </c>
      <c r="Q194" s="3">
        <f>2771.4+(115.2-783.8)+(-1.413414+(-0.058752--0.399738))+0--415.4-0.211853999999958</f>
        <v>2516.9157180000002</v>
      </c>
      <c r="R194" s="3">
        <f>2770.9+(161.9-720.9)+(0+(0-0))+0--404-0</f>
        <v>2615.9</v>
      </c>
      <c r="S194" s="3">
        <f>2791.9+(247.3-749.6)+(-1.423869+(-0.126123--0.382296))+0--383.7-0.195686999999961</f>
        <v>2671.9366169999998</v>
      </c>
      <c r="T194" s="3">
        <f>2793.7+(218.6-710.5)+(-1.424787+(-0.111486--0.362355))+0--350.3-0.178652999999964</f>
        <v>2650.747429</v>
      </c>
      <c r="U194" s="3">
        <f>2827.9+(111.1-719.5)+(-1.442229+(-0.056661--0.366945))+0--346.7-0.176816999999965</f>
        <v>2564.8912379999997</v>
      </c>
      <c r="V194" s="3">
        <f>2844.1+(109.2-905.4)+(-8.702946+(-0.334152--2.770524))+0--343.9-1.05233400000004</f>
        <v>2384.481092</v>
      </c>
      <c r="W194" s="3">
        <f>2807.8+(112-1057.6)+(1.431978+(0.05712-0.539376))+0--375.9--0.191708999999962</f>
        <v>2239.2414310000004</v>
      </c>
      <c r="X194" s="3">
        <f>3113.2+(131.3-1129.3)+(0+(0-0))+0--407.8-0</f>
        <v>2523</v>
      </c>
      <c r="Y194" s="3">
        <f>3155.3+(133.2-1101.1)+(-6.436812+(-0.271728--2.246244))+0--406-0.828239999999982</f>
        <v>2588.1094640000006</v>
      </c>
      <c r="Z194" s="3">
        <f>3253.5+(130.3-1207.1)+(-6.63714+(-0.265812--2.462484))+0--405.7-0.827627999999982</f>
        <v>2577.1319039999998</v>
      </c>
      <c r="AA194" s="3">
        <f>3193.7+(126.6-1148.3)+(-3.257574+(-0.129132--1.171266))+0--406.1-0.414222000000065</f>
        <v>2575.4703380000001</v>
      </c>
      <c r="AB194" s="3">
        <f>3172.7+(119.8-1145.2)+(-4.854231+(-0.183294--1.752156))+0--406-0.621180000000023</f>
        <v>2549.3934509999995</v>
      </c>
      <c r="AC194" s="3">
        <f>3177.7+(112.7-1186.6)+(-8.103135+(-0.287385--3.02583))+0--406.3-1.03606499999994</f>
        <v>2503.6992450000007</v>
      </c>
      <c r="AD194">
        <f t="shared" si="3"/>
        <v>57958.713078000008</v>
      </c>
      <c r="AE194" s="3">
        <f>3110.3+(137.2-1055)+(0+(0-0))+0--406-0</f>
        <v>2598.5</v>
      </c>
    </row>
    <row r="195" spans="1:31" s="2" customFormat="1" x14ac:dyDescent="0.25">
      <c r="A195">
        <v>89</v>
      </c>
      <c r="B195">
        <v>7</v>
      </c>
      <c r="C195">
        <v>9</v>
      </c>
      <c r="D195">
        <v>7</v>
      </c>
      <c r="E195">
        <v>1</v>
      </c>
      <c r="F195" s="3">
        <f>3178.3+(118.1-1244.7)+(-1.620933+(-0.060231--0.634797))+0--407.3-0.207722999999959</f>
        <v>2457.7459100000001</v>
      </c>
      <c r="G195" s="3">
        <f>3190.3+(116.6-1322.2)+(-8.135265+(-0.29733--3.37161))+0--408.1-1.04065499999994</f>
        <v>2386.6983600000003</v>
      </c>
      <c r="H195" s="3">
        <f>3107.5+(114.7-1258.3)+(0+(0-0))+0--359.7-0</f>
        <v>2323.6</v>
      </c>
      <c r="I195" s="3">
        <f>3093.7+(111.5-1279.2)+(-6.311148+(-0.22746--2.609568))+0--343.9-0.701555999999985</f>
        <v>2265.2694039999997</v>
      </c>
      <c r="J195" s="3">
        <f>3004.3+(111.8-1220.1)+(-4.596579+(-0.171054--1.866753))+0--344.8-0.52754400000002</f>
        <v>2237.3715760000005</v>
      </c>
      <c r="K195" s="3">
        <f>2961.6+(106.1-1257.1)+(-7.55208+(-0.270555--3.205605))+0--347.3-0.88561499999995</f>
        <v>2152.3973550000001</v>
      </c>
      <c r="L195" s="3">
        <f>2531.3+(106.6-854.6)+(-3.872889+(-0.163098--1.307538))+0--188.5-0.288405000000011</f>
        <v>1968.7831460000002</v>
      </c>
      <c r="M195" s="3">
        <f>2438.1+(114-756.5)+(-3.730293+(-0.17442--1.157445))+0--180.3-0.27585900000001</f>
        <v>1972.8768729999997</v>
      </c>
      <c r="N195" s="3">
        <f>2425.6+(120.2-707.4)+(-1.237056+(-0.061302--0.360774))+0--163-0.0831299999999835</f>
        <v>2000.3792860000001</v>
      </c>
      <c r="O195" s="3">
        <f>2964.1+(111.4-1156.3)+(-3.023382+(-0.113628--1.179426))+0--162.8-0.166056000000026</f>
        <v>2079.8763600000002</v>
      </c>
      <c r="P195" s="3">
        <f>3159+(109.4-1339.7)+(-1.61109+(-0.055794--0.683247))+0--269.5-0.137444999999973</f>
        <v>2197.0789180000002</v>
      </c>
      <c r="Q195" s="3">
        <f>3144.1+(112.7-1273.3)+(-3.206982+(-0.114954--1.298766))+0--333.5-0.340170000000053</f>
        <v>2314.6366600000001</v>
      </c>
      <c r="R195" s="3">
        <f>3139.3+(112-1177.1)+(-4.803129+(-0.17136--1.800963))+0--334.5-0.511785000000019</f>
        <v>2405.0146890000001</v>
      </c>
      <c r="S195" s="3">
        <f>3156.5+(110.8-1142.7)+(-4.829445+(-0.169524--1.748331))+0--382.1-0.584613000000022</f>
        <v>2502.8647489999998</v>
      </c>
      <c r="T195" s="3">
        <f>3131+(111.6-1123.5)+(-7.98405+(-0.28458--2.864925))+0--402.3-1.02586499999994</f>
        <v>2514.9704299999999</v>
      </c>
      <c r="U195" s="3">
        <f>3128.5+(108.9-1191.7)+(-4.786605+(-0.166617--1.823301))+0--401.1-0.613683000000023</f>
        <v>2443.0563959999999</v>
      </c>
      <c r="V195" s="3">
        <f>2836.6+(105.6-1070.4)+(-4.339998+(-0.161568--1.637712))+0--401.1-0.613683000000023</f>
        <v>2269.4224629999999</v>
      </c>
      <c r="W195" s="3">
        <f>2627+(110.3-1010.2)+(0+(0-0))+0--401.3-0</f>
        <v>2128.4</v>
      </c>
      <c r="X195" s="3">
        <f>3083.7+(130.8-1187.2)+(-1.572687+(-0.066708--0.605472))+0--402-0.205019999999959</f>
        <v>2428.0610569999999</v>
      </c>
      <c r="Y195" s="3">
        <f>3203+(133-1199.9)+(-3.26706+(-0.13566--1.223898))+0--403.6-0.411672000000064</f>
        <v>2537.1095059999998</v>
      </c>
      <c r="Z195" s="3">
        <f>3215.7+(131.8-1200)+(-6.560028+(-0.268872--2.448))+0--405.3-0.826811999999982</f>
        <v>2547.5922880000003</v>
      </c>
      <c r="AA195" s="3">
        <f>3228.2+(126.4-1188.7)+(-4.939146+(-0.193392--1.818711))+0--405.6-0.620568000000023</f>
        <v>2567.5656049999998</v>
      </c>
      <c r="AB195" s="3">
        <f>3198.5+(122.6-1151.1)+(-8.156175+(-0.31263--2.935305))+0--406.1-1.03555499999994</f>
        <v>2569.530945</v>
      </c>
      <c r="AC195" s="3">
        <f>3188+(115.1-1193)+(-8.1294+(-0.293505--3.04215))+0--407.3-1.03861499999994</f>
        <v>2510.98063</v>
      </c>
      <c r="AD195">
        <f t="shared" si="3"/>
        <v>55781.282606000008</v>
      </c>
      <c r="AE195" s="3">
        <f>3202.5+(135.3-1200.3)+(0+(0-0))+0--401-0</f>
        <v>2538.5</v>
      </c>
    </row>
    <row r="196" spans="1:31" s="2" customFormat="1" x14ac:dyDescent="0.25">
      <c r="A196">
        <v>89</v>
      </c>
      <c r="B196">
        <v>7</v>
      </c>
      <c r="C196">
        <v>10</v>
      </c>
      <c r="D196">
        <v>1</v>
      </c>
      <c r="E196">
        <v>1</v>
      </c>
      <c r="F196" s="3">
        <f>3173.7+(118.7-1247.8)+(-9.711522+(-0.363222--3.818268))+0--407.1-1.24572600000005</f>
        <v>2444.1977979999997</v>
      </c>
      <c r="G196" s="3">
        <f>3187.7+(113.1-1339.6)+(-4.877181+(-0.173043--2.049588))+0--409.1-0.625923000000024</f>
        <v>2366.6734409999999</v>
      </c>
      <c r="H196" s="3">
        <f>3147.1+(111.1-1348.9)+(-8.025105+(-0.283305--3.439695))+0--409.6-1.04447999999994</f>
        <v>2312.9868049999995</v>
      </c>
      <c r="I196" s="3">
        <f>2796.2+(114.3-1056.6)+(-1.426062+(-0.058293--0.538866))+0--408.6-0.208385999999959</f>
        <v>2261.346125</v>
      </c>
      <c r="J196" s="3">
        <f>2718.2+(112.1-1024)+(-2.772564+(-0.114342--1.04448))+0--411.3-0.419526000000066</f>
        <v>2215.3380479999996</v>
      </c>
      <c r="K196" s="3">
        <f>2668.2+(111.1-970.6)+(-5.443128+(-0.226644--1.980024))+0--333.2-0.679727999999985</f>
        <v>2137.5305239999998</v>
      </c>
      <c r="L196" s="3">
        <f>2659.5+(104.5-1003.1)+(1.356345+(0.053295-0.511581))+0--228.6--0.116585999999977</f>
        <v>1990.514645</v>
      </c>
      <c r="M196" s="3">
        <f>2835.8+(107.6-1208.6)+(-1.446258+(-0.054876--0.616386))+0--315.6-0.160955999999968</f>
        <v>2049.354296</v>
      </c>
      <c r="N196" s="3">
        <f>3163.7+(112-1366.7)+(-1.613487+(-0.05712--0.697017))+0--342-0.174419999999965</f>
        <v>2249.8519899999997</v>
      </c>
      <c r="O196" s="3">
        <f>3184.7+(116.3-1382)+(-1.624197+(-0.059313--0.70482))+0--370.9-0.189158999999962</f>
        <v>2288.7321509999997</v>
      </c>
      <c r="P196" s="3">
        <f>3163.3+(117.4-1275.8)+(0+(0-0))+0--383-0</f>
        <v>2387.9000000000005</v>
      </c>
      <c r="Q196" s="3">
        <f>3178.9+(122.8-1179.7)+(1.621239+(0.062628-0.601647))+0--398.3--0.20313299999996</f>
        <v>2521.5853529999999</v>
      </c>
      <c r="R196" s="3">
        <f>3176+(119.6-1015.8)+(0+(0-0))+0--397.2-0</f>
        <v>2677</v>
      </c>
      <c r="S196" s="3">
        <f>3160.8+(128.2-962.9)+(0+(0-0))+0--396.7-0</f>
        <v>2722.8</v>
      </c>
      <c r="T196" s="3">
        <f>3155.8+(126.9-948.9)+(-6.437832+(-0.258876--1.935756))+0--397.2-0.810287999999983</f>
        <v>2725.4287599999998</v>
      </c>
      <c r="U196" s="3">
        <f>3164.2+(121.3-1029.9)+(-9.682452+(-0.371178--3.151494))+0--396.5-1.21329000000005</f>
        <v>2643.9845739999992</v>
      </c>
      <c r="V196" s="3">
        <f>3181.3+(115.2-1244.9)+(-8.112315+(-0.29376--3.174495))+0--398.1-1.01515499999994</f>
        <v>2443.4532650000006</v>
      </c>
      <c r="W196" s="3">
        <f>3027.1+(116.2-1215.8)+(4.631463+(0.177786-1.860174))+0--399--0.610470000000023</f>
        <v>2330.0595450000001</v>
      </c>
      <c r="X196" s="3">
        <f>3224.7+(137.3-1143.9)+(-1.644597+(-0.070023--0.583389))+0--399.4-0.203693999999959</f>
        <v>2616.1650749999999</v>
      </c>
      <c r="Y196" s="3">
        <f>3244.9+(140.1-1092.3)+(-8.274495+(-0.357255--2.785365))+0--401.2-1.02305999999994</f>
        <v>2687.0305550000003</v>
      </c>
      <c r="Z196" s="3">
        <f>3265.9+(136.9-1136.7)+(-4.996827+(-0.209457--1.739151))+0--402.7-0.616131000000023</f>
        <v>2664.7167359999994</v>
      </c>
      <c r="AA196" s="3">
        <f>3282.9+(131.8-1151.5)+(-6.697116+(-0.268872--2.34906))+0--403.5-0.823139999999982</f>
        <v>2661.2599319999999</v>
      </c>
      <c r="AB196" s="3">
        <f>3301.3+(121-1199.4)+(-6.734652+(-0.24684--2.446776))+0--404.9-0.825995999999982</f>
        <v>2622.439288</v>
      </c>
      <c r="AC196" s="3">
        <f>3316+(110.6-1285.3)+(-10.14696+(-0.338436--3.933018))+0--403.7-1.23532200000005</f>
        <v>2537.2123000000001</v>
      </c>
      <c r="AD196">
        <f t="shared" si="3"/>
        <v>58557.561205999998</v>
      </c>
      <c r="AE196" s="3">
        <f>3219.3+(141.4-1043.5)+(0+(0-0))+0--400-0</f>
        <v>2717.2000000000003</v>
      </c>
    </row>
    <row r="197" spans="1:31" s="2" customFormat="1" x14ac:dyDescent="0.25">
      <c r="A197">
        <v>89</v>
      </c>
      <c r="B197">
        <v>7</v>
      </c>
      <c r="C197">
        <v>11</v>
      </c>
      <c r="D197">
        <v>2</v>
      </c>
      <c r="E197">
        <v>1</v>
      </c>
      <c r="F197" s="3">
        <f>3253.6+(115.5-1304.7)+(-3.318672+(-0.11781--1.330794))+0--404.1-0.412182000000064</f>
        <v>2465.9821299999994</v>
      </c>
      <c r="G197" s="3">
        <f>3103.9+(111.2-1200.4)+(-1.582989+(-0.056712--0.612204))+0--353.2-0.180131999999964</f>
        <v>2366.6923710000001</v>
      </c>
      <c r="H197" s="3">
        <f>3037.7+(110.4-1148.4)+(-7.746135+(-0.28152--2.92842))+0--293.7-0.748934999999957</f>
        <v>2287.5518299999999</v>
      </c>
      <c r="I197" s="3">
        <f>2856.3+(115-962.9)+(-2.913426+(-0.1173--0.982158))+0--229-0.233580000000037</f>
        <v>2235.1178520000003</v>
      </c>
      <c r="J197" s="3">
        <f>2824.7+(111.5-977.5)+(0+(0-0))+0--227.1-0</f>
        <v>2185.7999999999997</v>
      </c>
      <c r="K197" s="3">
        <f>2753.2+(105.4-986.7)+(-1.404132+(-0.053754--0.503217))+0--227.2-0.115871999999977</f>
        <v>2098.0294589999999</v>
      </c>
      <c r="L197" s="3">
        <f>2544.3+(104.9-954)+(1.297593+(0.053499-0.48654))+0--228--0.116279999999977</f>
        <v>1924.1808320000002</v>
      </c>
      <c r="M197" s="3">
        <f>2783.7+(108.6-1183)+(-1.419687+(-0.055386--0.60333))+0--282.3-0.143972999999971</f>
        <v>1990.5842839999998</v>
      </c>
      <c r="N197" s="3">
        <f>3013+(112.2-1316.7)+(1.53663+(0.057222-0.671517))+0--292.9--0.14937899999997</f>
        <v>2102.4717139999998</v>
      </c>
      <c r="O197" s="3">
        <f>3142.1+(112.1-1398.5)+(-3.204942+(-0.114342--1.42647))+0--359.5-0.366690000000057</f>
        <v>2212.9404960000002</v>
      </c>
      <c r="P197" s="3">
        <f>3141.6+(113.6-1331.5)+(-3.204432+(-0.115872--1.35813))+0--383-0.390660000000061</f>
        <v>2304.3471659999996</v>
      </c>
      <c r="Q197" s="3">
        <f>3178.6+(111.2-1219.8)+(1.621086+(0.056712-0.622098))+0--396.8--0.20236799999996</f>
        <v>2468.0580679999998</v>
      </c>
      <c r="R197" s="3">
        <f>3194+(108.4-1119.4)+(-1.62894+(-0.055284--0.570894))+0--396.1-0.20201099999996</f>
        <v>2577.7846589999999</v>
      </c>
      <c r="S197" s="3">
        <f>3169.9+(112.3-996)+(1.616649+(0.057273-0.50796))+0--396.2--0.20206199999996</f>
        <v>2683.7680239999995</v>
      </c>
      <c r="T197" s="3">
        <f>3159.9+(114.1-982.8)+(-4.834647+(-0.174573--1.503684))+0--397.1-0.607563000000023</f>
        <v>2684.186901</v>
      </c>
      <c r="U197" s="3">
        <f>3167+(110.4-1078.2)+(-8.07585+(-0.28152--2.74941))+0--398.5-1.01617499999994</f>
        <v>2591.0758650000002</v>
      </c>
      <c r="V197" s="3">
        <f>3160.4+(102.8-1255.8)+(-4.835412+(-0.157284--1.921374))+0--399.1-0.610623000000023</f>
        <v>2402.8180550000002</v>
      </c>
      <c r="W197" s="3">
        <f>3051.2+(103.8-1264)+(-7.78056+(-0.26469--3.2232))+0--398.6-1.01642999999994</f>
        <v>2283.7615199999996</v>
      </c>
      <c r="X197" s="3">
        <f>3190.7+(119.5-1140.2)+(-3.254514+(-0.12189--1.163004))+0--398.7-0.406674000000064</f>
        <v>2566.0799259999999</v>
      </c>
      <c r="Y197" s="3">
        <f>3233.9+(120.8-1116.3)+(-4.947867+(-0.184824--1.707939))+0--400.5-0.612765000000023</f>
        <v>2634.8624830000003</v>
      </c>
      <c r="Z197" s="3">
        <f>3243.3+(117.8-1144.6)+(-6.616332+(-0.240312--2.334984))+0--400.8-0.817631999999982</f>
        <v>2611.9607080000005</v>
      </c>
      <c r="AA197" s="3">
        <f>3213.2+(112.4-1124.1)+(-6.554928+(-0.229296--2.293164))+0--401.8-0.819671999999983</f>
        <v>2597.9892680000003</v>
      </c>
      <c r="AB197" s="3">
        <f>3223.5+(106.8-1171.9)+(-8.219925+(-0.27234--2.988345))+0--403.1-1.02790499999994</f>
        <v>2554.9681749999995</v>
      </c>
      <c r="AC197" s="3">
        <f>3175.4+(98.4-1176.7)+(-4.858362+(-0.150552--1.800351))+0--403.5-0.617355000000023</f>
        <v>2496.7740820000004</v>
      </c>
      <c r="AD197">
        <f t="shared" si="3"/>
        <v>57327.785867999999</v>
      </c>
      <c r="AE197" s="3">
        <f>3223.3+(121-1110.5)+(0+(0-0))+0--397-0</f>
        <v>2630.8</v>
      </c>
    </row>
    <row r="198" spans="1:31" s="2" customFormat="1" x14ac:dyDescent="0.25">
      <c r="A198">
        <v>89</v>
      </c>
      <c r="B198">
        <v>7</v>
      </c>
      <c r="C198">
        <v>12</v>
      </c>
      <c r="D198">
        <v>3</v>
      </c>
      <c r="E198">
        <v>5</v>
      </c>
      <c r="F198" s="3">
        <f>3093.3+(111.3-1175.6)+(-3.155166+(-0.113526--1.199112))+0--403.7-0.411774000000064</f>
        <v>2430.2186459999998</v>
      </c>
      <c r="G198" s="3">
        <f>3045.8+(108.6-1211.3)+(-3.106716+(-0.110772--1.235526))+0--405.3-0.413406000000065</f>
        <v>2346.0046320000001</v>
      </c>
      <c r="H198" s="3">
        <f>3055+(103.8-1277.1)+(-7.79025+(-0.26469--3.256605))+0--405.7-1.03453499999994</f>
        <v>2281.5671300000004</v>
      </c>
      <c r="I198" s="3">
        <f>3067.2+(101.3-1337.5)+(3.128544+(0.103326-1.36425))+0--405.2--0.413304000000065</f>
        <v>2238.480924</v>
      </c>
      <c r="J198" s="3">
        <f>3062.5+(98.5-1365.7)+(-1.561875+(-0.050235--0.696507))+0--406.3-0.207212999999959</f>
        <v>2200.4771839999999</v>
      </c>
      <c r="K198" s="3">
        <f>2653.5+(99.8-1059.8)+(-2.70657+(-0.101796--1.080996))+0--409.4-0.417588000000065</f>
        <v>2100.7550419999998</v>
      </c>
      <c r="L198" s="3">
        <f>2486.7+(107.5-1037.3)+(-5.072868+(-0.2193--2.116092))+0--369.7-0.754187999999984</f>
        <v>1922.6697360000001</v>
      </c>
      <c r="M198" s="3">
        <f>2512.2+(121.4-1049.1)+(2.562444+(0.123828-1.070082))+0--342.9--0.349758000000055</f>
        <v>1929.3659479999999</v>
      </c>
      <c r="N198" s="3">
        <f>2849.6+(100.1-1290.8)+(0+(0-0))+0--336.4-0</f>
        <v>1995.2999999999997</v>
      </c>
      <c r="O198" s="3">
        <f>2947.4+(102.6-1299)+(-4.509522+(-0.156978--1.98747))+0--335.7-0.513621000000019</f>
        <v>2083.507349</v>
      </c>
      <c r="P198" s="3">
        <f>2990.5+(105.7-1253.5)+(0+(0-0))+0--332.1-0</f>
        <v>2174.8000000000002</v>
      </c>
      <c r="Q198" s="3">
        <f>3081.7+(107.3-1264.6)+(0+(0-0))+0--388.5-0</f>
        <v>2312.8999999999996</v>
      </c>
      <c r="R198" s="3">
        <f>3061.9+(96-1118.9)+(-3.123138+(-0.09792--1.141278))+0--396.6-0.404532000000063</f>
        <v>2433.1156879999999</v>
      </c>
      <c r="S198" s="3">
        <f>3046.7+(101.4-999.8)+(3.107634+(0.103428-1.019796))+0--394.5--0.402390000000063</f>
        <v>2545.3936559999997</v>
      </c>
      <c r="T198" s="3">
        <f>3043.4+(101.7-970.4)+(-4.656402+(-0.155601--1.484712))+0--392.1-0.599913000000023</f>
        <v>2562.8727960000001</v>
      </c>
      <c r="U198" s="3">
        <f>3030.3+(105.9-1039.4)+(-9.272718+(-0.324054--3.180564))+0--394.7-1.20778200000005</f>
        <v>2483.87601</v>
      </c>
      <c r="V198" s="3">
        <f>2879+(95.6-1023.4)+(-7.34145+(-0.24378--2.60967))+0--340.1-0.867254999999951</f>
        <v>2285.4571849999998</v>
      </c>
      <c r="W198" s="3">
        <f>2710.3+(101.3-986.5)+(0+(0-0))+0--331.8-0</f>
        <v>2156.9</v>
      </c>
      <c r="X198" s="3">
        <f>3026.1+(121.3-1048.1)+(-4.629933+(-0.185589--1.603593))+0--372.4-0.569772000000021</f>
        <v>2467.9182990000004</v>
      </c>
      <c r="Y198" s="3">
        <f>3115.3+(123.6-1077.7)+(-4.766409+(-0.189108--1.648881))+0--399.3-0.610929000000023</f>
        <v>2556.5824350000007</v>
      </c>
      <c r="Z198" s="3">
        <f>3131.3+(119.1-1101.2)+(-4.790889+(-0.182223--1.684836))+0--400.8-0.613224000000023</f>
        <v>2546.0985000000001</v>
      </c>
      <c r="AA198" s="3">
        <f>3107.9+(117-1069.6)+(-7.925145+(-0.29835--2.72748))+0--400.6-1.02152999999994</f>
        <v>2549.3824549999999</v>
      </c>
      <c r="AB198" s="3">
        <f>3048.2+(114.1-1024.6)+(-4.663746+(-0.174573--1.567638))+0--401.2-0.613836000000023</f>
        <v>2535.0154829999997</v>
      </c>
      <c r="AC198" s="3">
        <f>3055.9+(112-1067.6)+(-4.675527+(-0.17136--1.633428))+0--384-0.587520000000022</f>
        <v>2480.4990210000001</v>
      </c>
      <c r="AD198">
        <f t="shared" si="3"/>
        <v>55619.158119000007</v>
      </c>
      <c r="AE198" s="3">
        <f>3119.3+(132-1069.7)+(0+(0-0))+0--397-0</f>
        <v>2578.6000000000004</v>
      </c>
    </row>
    <row r="199" spans="1:31" s="2" customFormat="1" x14ac:dyDescent="0.25">
      <c r="A199">
        <v>89</v>
      </c>
      <c r="B199">
        <v>7</v>
      </c>
      <c r="C199">
        <v>13</v>
      </c>
      <c r="D199">
        <v>4</v>
      </c>
      <c r="E199">
        <v>1</v>
      </c>
      <c r="F199" s="3">
        <f>3040.3+(114.3-1107.7)+(0+(0-0))+0--334.1-0</f>
        <v>2381</v>
      </c>
      <c r="G199" s="3">
        <f>3045.5+(111-1194.4)+(-1.553205+(-0.05661--0.609144))+0--334.2-0.170441999999966</f>
        <v>2295.1288869999998</v>
      </c>
      <c r="H199" s="3">
        <f>3066+(108.2-1177)+(1.56366+(0.055182-0.60027))+0--232.3--0.118472999999976</f>
        <v>2230.6370449999999</v>
      </c>
      <c r="I199" s="3">
        <f>3011.2+(106.1-1168.7)+(6.142848+(0.216444-2.384148))+0--225.7--0.46042799999999</f>
        <v>2178.7355719999996</v>
      </c>
      <c r="J199" s="3">
        <f>2940.7+(104.4-1136.9)+(-4.499271+(-0.159732--1.739457))+0--225.4-0.344862000000013</f>
        <v>2130.3355919999999</v>
      </c>
      <c r="K199" s="3">
        <f>2778.7+(101.2-1059.1)+(-4.251411+(-0.154836--1.620423))+0--225.4-0.344862000000013</f>
        <v>2043.0693140000001</v>
      </c>
      <c r="L199" s="3">
        <f>2569.2+(93.1-1026.7)+(0+(0-0))+0--226.5-0</f>
        <v>1862.1</v>
      </c>
      <c r="M199" s="3">
        <f>2712.2+(105.7-1121.3)+(1.383222+(0.053907-0.571863))+0--226.4--0.115463999999977</f>
        <v>1923.98073</v>
      </c>
      <c r="N199" s="3">
        <f>3110.2+(116.5-1493.6)+(0+(0-0))+0--261.8-0</f>
        <v>1994.8999999999999</v>
      </c>
      <c r="O199" s="3">
        <f>3130.3+(127.7-1446)+(-4.789359+(-0.195381--2.21238))+0--349-0.53397000000002</f>
        <v>2157.6936700000001</v>
      </c>
      <c r="P199" s="3">
        <f>3107.6+(133.2-1297.4)+(1.584876+(0.067932-0.661674))+0--346--0.176459999999965</f>
        <v>2290.5675940000001</v>
      </c>
      <c r="Q199" s="3">
        <f>3070.7+(133.3-1138.9)+(0+(0-0))+0--346-0</f>
        <v>2411.0999999999995</v>
      </c>
      <c r="R199" s="3">
        <f>3046.6+(122.7-1012.8)+(-1.553766+(-0.062577--0.516528))+0--365-0.186149999999963</f>
        <v>2520.214035</v>
      </c>
      <c r="S199" s="3">
        <f>3054.3+(161.1-934.1)+(4.673079+(0.246483-1.429173))+0--389.1--0.595323000000022</f>
        <v>2674.4857120000001</v>
      </c>
      <c r="T199" s="3">
        <f>3039.3+(172.8-922.7)+(-1.550043+(-0.088128--0.470577))+0--390.1-0.19895099999996</f>
        <v>2678.1334550000001</v>
      </c>
      <c r="U199" s="3">
        <f>3081.3+(118.3-965.6)+(-6.285852+(-0.241332--1.969824))+0--383-0.781319999999983</f>
        <v>2611.6613200000002</v>
      </c>
      <c r="V199" s="3">
        <f>3072.4+(111-1161.8)+(-4.700772+(-0.16983--1.777554))+0--385.6-0.589968000000022</f>
        <v>2403.5169839999999</v>
      </c>
      <c r="W199" s="3">
        <f>3083.4+(114.1-1277.8)+(-4.717602+(-0.174573--1.955034))+0--389.7-0.596241000000023</f>
        <v>2305.8666179999996</v>
      </c>
      <c r="X199" s="3">
        <f>3111.3+(137-1057.4)+(1.586763+(0.06987-0.539274))+0--389.5--0.19864499999996</f>
        <v>2581.7160039999999</v>
      </c>
      <c r="Y199" s="3">
        <f>3134.8+(139-1029.7)+(-6.394992+(-0.28356--2.100588))+0--393.5-0.802739999999983</f>
        <v>2632.2192960000002</v>
      </c>
      <c r="Z199" s="3">
        <f>3160.4+(133.9-1072.1)+(1.611804+(0.068289-0.546771))+0--396.5--0.20221499999996</f>
        <v>2620.0355370000002</v>
      </c>
      <c r="AA199" s="3">
        <f>3177+(129-1101)+(-4.86081+(-0.19737--1.68453))+0--398.7-0.610011000000023</f>
        <v>2599.7163389999996</v>
      </c>
      <c r="AB199" s="3">
        <f>3205.1+(119.4-1159)+(-6.538404+(-0.243576--2.36436))+0--401.6-0.819263999999983</f>
        <v>2561.8631159999995</v>
      </c>
      <c r="AC199" s="3">
        <f>3228.3+(111.5-1228.3)+(-3.292866+(-0.11373--1.252866))+0--379.9-0.387498000000061</f>
        <v>2488.858772</v>
      </c>
      <c r="AD199">
        <f t="shared" si="3"/>
        <v>56577.535592000015</v>
      </c>
      <c r="AE199" s="3">
        <f>3131+(138.9-1002.1)+(0+(0-0))+0--392-0</f>
        <v>2659.8</v>
      </c>
    </row>
    <row r="200" spans="1:31" s="2" customFormat="1" x14ac:dyDescent="0.25">
      <c r="A200">
        <v>89</v>
      </c>
      <c r="B200">
        <v>7</v>
      </c>
      <c r="C200">
        <v>14</v>
      </c>
      <c r="D200">
        <v>5</v>
      </c>
      <c r="E200">
        <v>1</v>
      </c>
      <c r="F200" s="3">
        <f>3222.7+(101.5-1289.1)+(-3.287154+(-0.10353--1.314882))+0--343.8-0.350676000000055</f>
        <v>2376.4735219999998</v>
      </c>
      <c r="G200" s="3">
        <f>3084.3+(99.9-1175.5)+(-1.572993+(-0.050949--0.599505))+0--282.6-0.144125999999971</f>
        <v>2290.131437</v>
      </c>
      <c r="H200" s="3">
        <f>2810.8+(101.6-974.2)+(-4.300524+(-0.155448--1.490526))+0--275.7-0.421821000000016</f>
        <v>2210.5127330000005</v>
      </c>
      <c r="I200" s="3">
        <f>2613.9+(101.3-837.6)+(-2.666178+(-0.103326--0.854352))+0--276.2-0.281724000000044</f>
        <v>2151.6031239999998</v>
      </c>
      <c r="J200" s="3">
        <f>2565.1+(100.4-834.8)+(-1.308201+(-0.051204--0.425748))+0--276.3-0.140912999999972</f>
        <v>2105.9254299999998</v>
      </c>
      <c r="K200" s="3">
        <f>2528.4+(96.7-860.7)+(-5.157936+(-0.197268--1.755828))+0--261.1-0.532643999999989</f>
        <v>2021.3679800000004</v>
      </c>
      <c r="L200" s="3">
        <f>2470.8+(93.1-950.2)+(-1.260108+(-0.047481--0.484602))+0--227.1-0.115820999999977</f>
        <v>1839.8611920000003</v>
      </c>
      <c r="M200" s="3">
        <f>2763.3+(101.5-1165.5)+(1.409283+(0.051765-0.594405))+0--227.4--0.115973999999977</f>
        <v>1927.6826170000004</v>
      </c>
      <c r="N200" s="3">
        <f>2994.7+(112.3-1321)+(3.054594+(0.114546-1.34742))+0--271.1--0.276522000000043</f>
        <v>2059.1982419999999</v>
      </c>
      <c r="O200" s="3">
        <f>3008.5+(117.5-1255.7)+(-1.534335+(-0.059925--0.640407))+0--270.7-0.138056999999973</f>
        <v>2139.9080899999999</v>
      </c>
      <c r="P200" s="3">
        <f>2991.1+(120.2-1145)+(-4.576383+(-0.183906--1.75185))+0--271.7-0.415701000000016</f>
        <v>2234.5758599999999</v>
      </c>
      <c r="Q200" s="3">
        <f>3052.6+(118.7-1129.3)+(0+(0-0))+0--313.7-0</f>
        <v>2355.6999999999998</v>
      </c>
      <c r="R200" s="3">
        <f>3047.8+(153.5-1014.9)+(1.554378+(0.078285-0.517599))+0--326.6--0.166565999999967</f>
        <v>2514.28163</v>
      </c>
      <c r="S200" s="3">
        <f>3044.5+(241-973.9)+(1.552695+(0.12291-0.496689))+0--335.2--0.170951999999966</f>
        <v>2648.1498679999995</v>
      </c>
      <c r="T200" s="3">
        <f>3059.1+(223.3-979.6)+(-7.800705+(-0.569415--2.49798))+0--361.6-0.922079999999948</f>
        <v>2657.6057800000003</v>
      </c>
      <c r="U200" s="3">
        <f>3077+(116-960.1)+(-3.13854+(-0.11832--0.979302))+0--362-0.369240000000058</f>
        <v>2592.2532019999999</v>
      </c>
      <c r="V200" s="3">
        <f>3074.6+(112.8-1157.8)+(-6.272184+(-0.230112--2.361912))+0--367.6-0.749903999999984</f>
        <v>2392.3097120000002</v>
      </c>
      <c r="W200" s="3">
        <f>3131.4+(115.4-1283.4)+(-1.597014+(-0.058854--0.654534))+0--398-0.20297999999996</f>
        <v>2360.195686</v>
      </c>
      <c r="X200" s="3">
        <f>3230.6+(135.9-1146.7)+(-3.295212+(-0.138618--1.169634))+0--398.9-0.406878000000064</f>
        <v>2616.0289259999995</v>
      </c>
      <c r="Y200" s="3">
        <f>3284.8+(136.5-1173.3)+(-6.700992+(-0.27846--2.393532))+0--400.9-0.817835999999982</f>
        <v>2643.4962439999999</v>
      </c>
      <c r="Z200" s="3">
        <f>3254.3+(131.8-1169.5)+(-3.319386+(-0.134436--1.19289))+0--401.4-0.409428000000064</f>
        <v>2615.3296400000004</v>
      </c>
      <c r="AA200" s="3">
        <f>3215.5+(127.2-1154.3)+(-11.479335+(-0.454104--4.120851))+0--402.5-1.43692500000001</f>
        <v>2581.6504870000003</v>
      </c>
      <c r="AB200" s="3">
        <f>3152.8+(119.5-1103.9)+(-3.215856+(-0.12189--1.125978))+0--388.2-0.395964000000062</f>
        <v>2553.9922679999995</v>
      </c>
      <c r="AC200" s="3">
        <f>3099+(109.5-1080.6)+(-6.32196+(-0.22338--2.204424))+0--342.1-0.697883999999985</f>
        <v>2464.9611999999997</v>
      </c>
      <c r="AD200">
        <f t="shared" si="3"/>
        <v>56353.194870000007</v>
      </c>
      <c r="AE200" s="3">
        <f>3266+(136.5-1167.5)+(0+(0-0))+0--396-0</f>
        <v>2631</v>
      </c>
    </row>
    <row r="201" spans="1:31" s="2" customFormat="1" x14ac:dyDescent="0.25">
      <c r="A201">
        <v>89</v>
      </c>
      <c r="B201">
        <v>7</v>
      </c>
      <c r="C201">
        <v>15</v>
      </c>
      <c r="D201">
        <v>6</v>
      </c>
      <c r="E201">
        <v>1</v>
      </c>
      <c r="F201" s="3">
        <f>3154+(100.5-1206.5)+(-4.82562+(-0.153765--1.845945))+0--342.7-0.52433100000002</f>
        <v>2387.0422289999997</v>
      </c>
      <c r="G201" s="3">
        <f>2974.7+(97-1121.7)+(-1.517097+(-0.04947--0.572067))+0--343.7-0.175286999999965</f>
        <v>2292.5302129999995</v>
      </c>
      <c r="H201" s="3">
        <f>2821.8+(96.1-990.5)+(-4.317354+(-0.147033--1.515465))+0--292.2-0.447066000000017</f>
        <v>2216.2040119999997</v>
      </c>
      <c r="I201" s="3">
        <f>2769.4+(93.6-927.1)+(-7.06197+(-0.23868--2.364105))+0--226.5-0.577574999999967</f>
        <v>2156.8858800000003</v>
      </c>
      <c r="J201" s="3">
        <f>2589.5+(94.8-805.7)+(-1.320645+(-0.048348--0.410907))+0--226.6-0.115565999999977</f>
        <v>2104.1263479999998</v>
      </c>
      <c r="K201" s="3">
        <f>2566.4+(88.6-868.8)+(-3.926592+(-0.135558--1.329264))+0--226.6-0.346698000000013</f>
        <v>2009.7204160000001</v>
      </c>
      <c r="L201" s="3">
        <f>2315.1+(93.2-807.6)+(2.361402+(0.095064-0.823752))+0--227.6--0.232152000000036</f>
        <v>1830.1648659999998</v>
      </c>
      <c r="M201" s="3">
        <f>2414.9+(99.7-864.1)+(1.231599+(0.050847-0.440691))+0--227.3--0.115922999999977</f>
        <v>1878.7576779999999</v>
      </c>
      <c r="N201" s="3">
        <f>2559.6+(108.8-906.2)+(-1.305396+(-0.055488--0.462162))+0--227.1-0.115820999999977</f>
        <v>1988.285457</v>
      </c>
      <c r="O201" s="3">
        <f>2749.8+(110.8-1030.3)+(0+(0-0))+0--245-0</f>
        <v>2075.3000000000002</v>
      </c>
      <c r="P201" s="3">
        <f>2901.3+(111.3-1172.5)+(-1.479663+(-0.056763--0.597975))+0--336.4-0.171563999999966</f>
        <v>2175.3899850000003</v>
      </c>
      <c r="Q201" s="3">
        <f>3002.6+(107.3-1219.7)+(-1.531326+(-0.054723--0.622047))+0--392.2-0.20002199999996</f>
        <v>2281.2359759999999</v>
      </c>
      <c r="R201" s="3">
        <f>2989.8+(99.7-1118.5)+(-4.574394+(-0.152541--1.711305))+0--397.8-0.608634000000023</f>
        <v>2365.1757360000001</v>
      </c>
      <c r="S201" s="3">
        <f>3008+(101.8-1012.1)+(-3.06816+(-0.103836--1.032342))+0--395.3-0.403206000000063</f>
        <v>2490.45714</v>
      </c>
      <c r="T201" s="3">
        <f>3041+(99.5-1010)+(-6.20364+(-0.20298--2.0604))+0--394.3-0.804371999999983</f>
        <v>2519.6494080000002</v>
      </c>
      <c r="U201" s="3">
        <f>3044+(96.7-1092.5)+(-10.86708+(-0.345219--3.900225))+0--395.2-1.41086400000001</f>
        <v>2434.6770619999998</v>
      </c>
      <c r="V201" s="3">
        <f>3000.6+(90.2-1214.1)+(-3.060612+(-0.092004--1.238382))+0--389.8-0.397596000000062</f>
        <v>2264.1881699999999</v>
      </c>
      <c r="W201" s="3">
        <f>2653.3+(98.8-983.8)+(-2.706366+(-0.100776--1.003476))+0--398.4-0.406368000000064</f>
        <v>2164.4899660000001</v>
      </c>
      <c r="X201" s="3">
        <f>3018.9+(114.9-1101.7)+(-4.618917+(-0.175797--1.685601))+0--401.5-0.614295000000023</f>
        <v>2429.8765920000001</v>
      </c>
      <c r="Y201" s="3">
        <f>3084.4+(115.9-1142.8)+(-4.719132+(-0.177327--1.748484))+0--404.1-0.618273000000023</f>
        <v>2457.833752</v>
      </c>
      <c r="Z201" s="3">
        <f>3097.8+(111.5-1165.1)+(1.579878+(0.056865-0.594201))+0--405.4--0.206753999999959</f>
        <v>2450.8492959999999</v>
      </c>
      <c r="AA201" s="3">
        <f>3043.1+(109.2-1108.2)+(-6.207924+(-0.222768--2.260728))+0--407.5-0.831299999999982</f>
        <v>2446.5987359999999</v>
      </c>
      <c r="AB201" s="3">
        <f>3005.5+(102.1-1098.1)+(-3.06561+(-0.104142--1.120062))+0--406.8-0.414936000000065</f>
        <v>2413.8353739999998</v>
      </c>
      <c r="AC201" s="3">
        <f>2962.7+(96-1110.3)+(-6.043908+(-0.19584--2.265012))+0--407.1-0.830483999999982</f>
        <v>2350.6947799999998</v>
      </c>
      <c r="AD201">
        <f t="shared" si="3"/>
        <v>54183.969072</v>
      </c>
      <c r="AE201" s="3">
        <f>3059+(123.6-1108.7)+(0+(0-0))+0--400-0</f>
        <v>2473.9</v>
      </c>
    </row>
    <row r="202" spans="1:31" s="2" customFormat="1" x14ac:dyDescent="0.25">
      <c r="A202">
        <v>89</v>
      </c>
      <c r="B202">
        <v>7</v>
      </c>
      <c r="C202">
        <v>16</v>
      </c>
      <c r="D202">
        <v>7</v>
      </c>
      <c r="E202">
        <v>1</v>
      </c>
      <c r="F202" s="3">
        <f>2959.1+(98.6-1166)+(-4.527423+(-0.150858--1.78398))+0--409.3-0.626229000000024</f>
        <v>2297.4794699999998</v>
      </c>
      <c r="G202" s="3">
        <f>2956.8+(92.2-1238.4)+(-1.507968+(-0.047022--0.631584))+0--409.2-0.208691999999958</f>
        <v>2218.6679019999997</v>
      </c>
      <c r="H202" s="3">
        <f>2780.1+(90.8-1141.4)+(0+(0-0))+0--411.7-0</f>
        <v>2141.1999999999998</v>
      </c>
      <c r="I202" s="3">
        <f>2721.4+(88.5-1154.6)+(1.387914+(0.045135-0.588846))+0--412.9--0.210578999999958</f>
        <v>2069.2547820000004</v>
      </c>
      <c r="J202" s="3">
        <f>2728.6+(87.1-1219.8)+(0+(0-0))+0--411.3-0</f>
        <v>2007.1999999999998</v>
      </c>
      <c r="K202" s="3">
        <f>2659.1+(87.2-1215.4)+(-6.780705+(-0.22236--3.09927))+0--412-1.05059999999994</f>
        <v>1937.9456049999999</v>
      </c>
      <c r="L202" s="3">
        <f>2422.9+(85.4-1039.7)+(-6.178395+(-0.21777--2.651235))+0--296.4-0.755819999999957</f>
        <v>1760.4992499999998</v>
      </c>
      <c r="M202" s="3">
        <f>2255.3+(91.7-842.9)+(3.450609+(0.140301-1.289637))+0--227.7--0.348381000000013</f>
        <v>1734.4496540000005</v>
      </c>
      <c r="N202" s="3">
        <f>2325.3+(96.9-854.8)+(-2.371806+(-0.098838--0.871896))+0--227.7-0.232254000000036</f>
        <v>1793.2689980000002</v>
      </c>
      <c r="O202" s="3">
        <f>2540.5+(102.5-1008.8)+(-2.59131+(-0.10455--1.028976))+0--226.8-0.231336000000036</f>
        <v>1859.10178</v>
      </c>
      <c r="P202" s="3">
        <f>2669+(98.1-1039.2)+(-4.08357+(-0.150093--1.589976))+0--225.1-0.344403000000013</f>
        <v>1950.0119099999999</v>
      </c>
      <c r="Q202" s="3">
        <f>2675.5+(102.1-993.8)+(-1.364505+(-0.052071--0.506838))+0--270-0.137699999999973</f>
        <v>2052.7525620000001</v>
      </c>
      <c r="R202" s="3">
        <f>2828.7+(93.8-1035.4)+(-4.327911+(-0.143514--1.584162))+0--291.3-0.445689000000017</f>
        <v>2175.0670479999994</v>
      </c>
      <c r="S202" s="3">
        <f>2980.9+(94-1069.2)+(0+(0-0))+0--291.9-0</f>
        <v>2297.6</v>
      </c>
      <c r="T202" s="3">
        <f>3006.7+(93.7-1059.6)+(-4.600251+(-0.143361--1.621188))+0--292.2-0.447066000000017</f>
        <v>2329.4305099999997</v>
      </c>
      <c r="U202" s="3">
        <f>2989.9+(92-1096.4)+(-6.099396+(-0.18768--2.236656))+0--292.2-0.596087999999987</f>
        <v>2273.053492</v>
      </c>
      <c r="V202" s="3">
        <f>2694.4+(90-990.8)+(-5.496576+(-0.1836--2.021232))+0--293-0.597719999999987</f>
        <v>2082.3433359999999</v>
      </c>
      <c r="W202" s="3">
        <f>2678.5+(99-1078)+(-6.830175+(-0.25245--2.7489))+0--292.9-0.746894999999957</f>
        <v>1987.3193800000001</v>
      </c>
      <c r="X202" s="3">
        <f>3078+(114.9-1242)+(-6.27912+(-0.234396--2.53368))+0--326-0.665039999999986</f>
        <v>2272.2551240000003</v>
      </c>
      <c r="Y202" s="3">
        <f>3100.7+(116.1-1223.3)+(-3.162714+(-0.118422--1.247766))+0--339.4-0.346188000000054</f>
        <v>2330.5204419999995</v>
      </c>
      <c r="Z202" s="3">
        <f>3109+(112.8-1227.5)+(-4.75677+(-0.172584--1.878075))+0--340.5-0.52096500000002</f>
        <v>2331.2277559999998</v>
      </c>
      <c r="AA202" s="3">
        <f>2894.2+(111-1002)+(-4.428126+(-0.16983--1.53306))+0--340.9-0.52157700000002</f>
        <v>2340.5135269999996</v>
      </c>
      <c r="AB202" s="3">
        <f>2823.9+(105.7-932)+(-7.200945+(-0.269535--2.3766))+0--341.9-0.87184499999995</f>
        <v>2333.534275</v>
      </c>
      <c r="AC202" s="3">
        <f>2812.6+(97.2-956.9)+(-2.868852+(-0.099144--0.976038))+0--342.2-0.349044000000055</f>
        <v>2292.7589979999998</v>
      </c>
      <c r="AD202">
        <f t="shared" si="3"/>
        <v>50867.455801000004</v>
      </c>
      <c r="AE202" s="3">
        <f>3073+(125.6-1204.8)+(0+(0-0))+0--339-0</f>
        <v>2332.8000000000002</v>
      </c>
    </row>
    <row r="203" spans="1:31" s="2" customFormat="1" x14ac:dyDescent="0.25">
      <c r="A203">
        <v>89</v>
      </c>
      <c r="B203">
        <v>7</v>
      </c>
      <c r="C203">
        <v>17</v>
      </c>
      <c r="D203">
        <v>1</v>
      </c>
      <c r="E203">
        <v>1</v>
      </c>
      <c r="F203" s="3">
        <f>2761.1+(93-999)+(-7.040805+(-0.23715--2.54745))+0--342.7-0.87388499999995</f>
        <v>2192.1956099999998</v>
      </c>
      <c r="G203" s="3">
        <f>2605.9+(88.9-924.2)+(-6.645045+(-0.226695--2.35671))+0--342.6-0.87362999999995</f>
        <v>2107.8113399999997</v>
      </c>
      <c r="H203" s="3">
        <f>2532+(88.3-908.1)+(-1.29132+(-0.045033--0.463131))+0--342.6-0.174725999999965</f>
        <v>2053.7520519999998</v>
      </c>
      <c r="I203" s="3">
        <f>2531.4+(91.1-961.2)+(-5.164056+(-0.185844--1.960848))+0--344-0.701759999999985</f>
        <v>2001.2091880000003</v>
      </c>
      <c r="J203" s="3">
        <f>2485.9+(90.9-911.2)+(-1.267809+(-0.046359--0.464712))+0--299.1-0.15254099999997</f>
        <v>1963.698003</v>
      </c>
      <c r="K203" s="3">
        <f>2440.5+(96.5-936)+(0+(0-0))+0--295.7-0</f>
        <v>1896.7</v>
      </c>
      <c r="L203" s="3">
        <f>2294.4+(92-899.3)+(1.170144+(0.04692-0.458643))+0--254.9--0.129998999999974</f>
        <v>1742.8884200000002</v>
      </c>
      <c r="M203" s="3">
        <f>2413.4+(90.8-942.1)+(-1.230834+(-0.046308--0.480471))+0--258.2-0.131681999999974</f>
        <v>1819.3716469999999</v>
      </c>
      <c r="N203" s="3">
        <f>2746.3+(96.8-1210.4)+(-1.400613+(-0.049368--0.617304))+0--339-0.172889999999966</f>
        <v>1970.6944329999999</v>
      </c>
      <c r="O203" s="3">
        <f>2765+(103.1-1155.5)+(-2.8203+(-0.105162--1.17861))+0--337.4-0.344148000000054</f>
        <v>2047.9089999999997</v>
      </c>
      <c r="P203" s="3">
        <f>2959.9+(104.8-1303.3)+(-1.509549+(-0.053448--0.664683))+0--390.4-0.19910399999996</f>
        <v>2150.7025820000003</v>
      </c>
      <c r="Q203" s="3">
        <f>3038.6+(107.2-1280.5)+(-3.099372+(-0.109344--1.30611))+0--394.1-0.401982000000063</f>
        <v>2257.0954120000001</v>
      </c>
      <c r="R203" s="3">
        <f>3022.7+(67.9-1162.8)+(-1.541577+(-0.034629--0.593028))+0--392-0.19991999999996</f>
        <v>2318.6169019999998</v>
      </c>
      <c r="S203" s="3">
        <f>3014.4+(140.6-1052.1)+(-3.074688+(-0.143412--1.073142))+0--392.8-0.400656000000063</f>
        <v>2493.1543860000002</v>
      </c>
      <c r="T203" s="3">
        <f>3016.6+(145.6-1029)+(-3.076932+(-0.148512--1.04958))+0--393.4-0.401268000000063</f>
        <v>2524.022868</v>
      </c>
      <c r="U203" s="3">
        <f>3016.2+(106.8-1057.5)+(-6.153048+(-0.217872--2.1573))+0--392.2-0.800087999999983</f>
        <v>2452.6862919999999</v>
      </c>
      <c r="V203" s="3">
        <f>2985.6+(7-1184.6)+(-9.135936+(-0.02142--3.624876))+0--392-1.19952000000005</f>
        <v>2193.268</v>
      </c>
      <c r="W203" s="3">
        <f>2934.8+(107.9-1178.1)+(-2.993496+(-0.110058--1.201662))+0--356.4-0.363528000000057</f>
        <v>2218.7345800000003</v>
      </c>
      <c r="X203" s="3">
        <f>3093.2+(123.6-1132.9)+(-4.732596+(-0.189108--1.733337))+0--398.7-0.610011000000023</f>
        <v>2478.801621999999</v>
      </c>
      <c r="Y203" s="3">
        <f>3103.2+(121.9-1125.6)+(-7.91316+(-0.310845--2.87028))+0--401-1.02254999999994</f>
        <v>2494.1237249999999</v>
      </c>
      <c r="Z203" s="3">
        <f>3002.3+(118.8-1070.9)+(-4.593519+(-0.181764--1.638477))+0--401.7-0.614601000000023</f>
        <v>2448.1485929999994</v>
      </c>
      <c r="AA203" s="3">
        <f>3011.4+(114.4-1087.6)+(-7.67907+(-0.29172--2.77338))+0--403.3-1.02841499999994</f>
        <v>2435.2741750000005</v>
      </c>
      <c r="AB203" s="3">
        <f>3021.7+(106.2-1121.9)+(-7.705335+(-0.27081--2.860845))+0--402.9-1.02739499999994</f>
        <v>2402.7573049999996</v>
      </c>
      <c r="AC203" s="3">
        <f>3034.3+(95.7-1190.1)+(0+(0-0))+0--403-0</f>
        <v>2342.9000000000005</v>
      </c>
      <c r="AD203">
        <f t="shared" si="3"/>
        <v>53006.516135000005</v>
      </c>
      <c r="AE203" s="3">
        <f>3115.3+(129.2-1131.1)+(0+(0-0))+0--401-0</f>
        <v>2514.4000000000005</v>
      </c>
    </row>
    <row r="204" spans="1:31" s="2" customFormat="1" x14ac:dyDescent="0.25">
      <c r="A204">
        <v>89</v>
      </c>
      <c r="B204">
        <v>7</v>
      </c>
      <c r="C204">
        <v>18</v>
      </c>
      <c r="D204">
        <v>2</v>
      </c>
      <c r="E204">
        <v>1</v>
      </c>
      <c r="F204" s="3">
        <f>3042.1+(85.8-1313.3)+(0+(0-0))+0--409.2-0</f>
        <v>2223.7999999999997</v>
      </c>
      <c r="G204" s="3">
        <f>2925.3+(81.7-1289.4)+(0+(0-0))+0--411-0</f>
        <v>2128.6000000000004</v>
      </c>
      <c r="H204" s="3">
        <f>2766.4+(83.4-1049)+(0+(0-0))+0--258-0</f>
        <v>2058.8000000000002</v>
      </c>
      <c r="I204" s="3">
        <f>2644.3+(81.3-961.9)+(0+(0-0))+0--228.4-0</f>
        <v>1992.1000000000004</v>
      </c>
      <c r="J204" s="3">
        <f>2669.6+(79.9-1029.8)+(0+(0-0))+0--228.2-0</f>
        <v>1947.8999999999999</v>
      </c>
      <c r="K204" s="3">
        <f>2637.3+(76.8-1079.9)+(0+(0-0))+0--228.5-0</f>
        <v>1862.7</v>
      </c>
      <c r="L204" s="3">
        <f>2476.6+(75.5-1068.5)+(0+(0-0))+0--229.3-0</f>
        <v>1712.8999999999999</v>
      </c>
      <c r="M204" s="3">
        <f>2657.8+(95.4-1249.4)+(0+(0-0))+0--285.8-0</f>
        <v>1789.6000000000001</v>
      </c>
      <c r="N204" s="3">
        <f>2861.5+(95.4-1436.4)+(0+(0-0))+0--404-0</f>
        <v>1924.5</v>
      </c>
      <c r="O204" s="3">
        <f>2959.1+(92.4-1430.5)+(0+(0-0))+0--398.7-0</f>
        <v>2019.7</v>
      </c>
      <c r="P204" s="3">
        <f>3068.6+(103.6-1442.9)+(0+(0-0))+0--390.5-0</f>
        <v>2119.7999999999997</v>
      </c>
      <c r="Q204" s="3">
        <f>3070.3+(108.4-1355.7)+(0+(0-0))+0--390.3-0</f>
        <v>2213.3000000000002</v>
      </c>
      <c r="R204" s="3">
        <f>3046+(102.7-1218.6)+(-1.55346+(-0.052377--0.621486))+0--390.1-0.19895099999996</f>
        <v>2319.0166980000004</v>
      </c>
      <c r="S204" s="3">
        <f>3021.6+(113.4-1053)+(-3.082032+(-0.115668--1.07406))+0--386.6-0.394332000000062</f>
        <v>2466.0820280000003</v>
      </c>
      <c r="T204" s="3">
        <f>2958.6+(126.8-985.6)+(-3.017772+(-0.129336--1.005312))+0--386.1-0.393822000000062</f>
        <v>2483.3643819999998</v>
      </c>
      <c r="U204" s="3">
        <f>2954.6+(99.3-1060.7)+(-6.027384+(-0.202572--2.163828))+0--386.5-0.788459999999983</f>
        <v>2374.8454120000001</v>
      </c>
      <c r="V204" s="3">
        <f>2961+(94.1-1226.4)+(-4.53033+(-0.143973--1.876392))+0--392.9-0.601137000000023</f>
        <v>2218.2009519999997</v>
      </c>
      <c r="W204" s="3">
        <f>2985.8+(99.7-1276.4)+(0+(0-0))+0--396.1-0</f>
        <v>2205.2000000000003</v>
      </c>
      <c r="X204" s="3">
        <f>3053.9+(117.7-1106.3)+(-1.557489+(-0.060027--0.564213))+0--398-0.20297999999996</f>
        <v>2462.043717</v>
      </c>
      <c r="Y204" s="3">
        <f>3088.9+(118.5-1117.6)+(-4.726017+(-0.181305--1.709928))+0--403.1-0.616743000000023</f>
        <v>2489.0858630000002</v>
      </c>
      <c r="Z204" s="3">
        <f>3072.9+(118-1114.2)+(-9.403074+(-0.36108--3.409452))+0--404.4-1.23746400000005</f>
        <v>2473.5078339999995</v>
      </c>
      <c r="AA204" s="3">
        <f>2955.6+(113.9-1000.9)+(-3.014712+(-0.116178--1.020918))+0--403.8-0.411876000000064</f>
        <v>2469.8781519999998</v>
      </c>
      <c r="AB204" s="3">
        <f>2882.7+(105.6-937)+(-8.821062+(-0.323136--2.86722))+0--405.6-1.24113600000005</f>
        <v>2449.3818859999997</v>
      </c>
      <c r="AC204" s="3">
        <f>2897.3+(94.8-1018)+(-7.388115+(-0.24174--2.5959))+0--409-1.04294999999994</f>
        <v>2377.023095</v>
      </c>
      <c r="AD204">
        <f t="shared" si="3"/>
        <v>52781.330018999994</v>
      </c>
      <c r="AE204" s="3">
        <f>3070.3+(126.1-1103)+(0+(0-0))+0--397-0</f>
        <v>2490.4</v>
      </c>
    </row>
    <row r="205" spans="1:31" s="2" customFormat="1" x14ac:dyDescent="0.25">
      <c r="A205">
        <v>89</v>
      </c>
      <c r="B205">
        <v>7</v>
      </c>
      <c r="C205">
        <v>19</v>
      </c>
      <c r="D205">
        <v>3</v>
      </c>
      <c r="E205">
        <v>1</v>
      </c>
      <c r="F205" s="3">
        <f>2830.4+(94-1061.9)+(1.443504+(0.04794-0.541569))+0--407.2--0.207671999999959</f>
        <v>2270.8575470000001</v>
      </c>
      <c r="G205" s="3">
        <f>2846.8+(88.3-1169.5)+(-5.807472+(-0.180132--2.38578))+0--409.6-0.835583999999982</f>
        <v>2170.762592</v>
      </c>
      <c r="H205" s="3">
        <f>2863.4+(85.9-1252.1)+(-5.841336+(-0.175236--2.554284))+0--411.1-0.838643999999982</f>
        <v>2103.9990680000005</v>
      </c>
      <c r="I205" s="3">
        <f>2771.8+(84.4-1204.6)+(-2.827236+(-0.086088--1.228692))+0--411.2-0.419424000000066</f>
        <v>2060.6959440000001</v>
      </c>
      <c r="J205" s="3">
        <f>2683.4+(83-1142.9)+(-2.737068+(-0.08466--1.165758))+0--397.3-0.405246000000063</f>
        <v>2018.7387839999999</v>
      </c>
      <c r="K205" s="3">
        <f>2565.1+(83.8-957)+(1.308201+(0.042738-0.48807))+0--227.8--0.116177999999977</f>
        <v>1920.6790469999999</v>
      </c>
      <c r="L205" s="3">
        <f>2415.2+(82.5-964.4)+(-2.463504+(-0.08415--0.983688))+0--228.2-0.232764000000036</f>
        <v>1759.7032699999997</v>
      </c>
      <c r="M205" s="3">
        <f>2482+(91.8-983.5)+(1.26582+(0.046818-0.501585))+0--229.3--0.116942999999977</f>
        <v>1820.5279959999998</v>
      </c>
      <c r="N205" s="3">
        <f>2779.3+(102.8-1257.9)+(-1.417443+(-0.052428--0.641529))+0--307.3-0.156722999999969</f>
        <v>1930.5149349999999</v>
      </c>
      <c r="O205" s="3">
        <f>2866.6+(106.9-1208.3)+(0+(0-0))+0--271-0</f>
        <v>2036.2</v>
      </c>
      <c r="P205" s="3">
        <f>2864.9+(107.4-1101.6)+(0+(0-0))+0--270.3-0</f>
        <v>2141.0000000000005</v>
      </c>
      <c r="Q205" s="3">
        <f>2872.1+(106.1-1001.3)+(0+(0-0))+0--267.8-0</f>
        <v>2244.7000000000003</v>
      </c>
      <c r="R205" s="3">
        <f>2859.3+(106.1-897.4)+(-2.916486+(-0.108222--0.915348))+0--267.8-0.273156000000043</f>
        <v>2333.4174840000001</v>
      </c>
      <c r="S205" s="3">
        <f>2912.7+(163.9-878.9)+(0+(0-0))+0--264.4-0</f>
        <v>2462.1</v>
      </c>
      <c r="T205" s="3">
        <f>2945.2+(139.7-872.2)+(-3.004104+(-0.142494--0.889644))+0--266.5-0.271830000000042</f>
        <v>2476.6712159999997</v>
      </c>
      <c r="U205" s="3">
        <f>2867.9+(105.8-838.5)+(-5.850516+(-0.215832--1.71054))+0--267.1-0.544883999999988</f>
        <v>2397.399308</v>
      </c>
      <c r="V205" s="3">
        <f>2820.9+(98.8-949.4)+(-5.754636+(-0.201552--1.936776))+0--267.3-0.545291999999988</f>
        <v>2233.0352960000005</v>
      </c>
      <c r="W205" s="3">
        <f>2829.1+(105.7-958.7)+(2.885682+(0.107814-0.977874))+0--267.8--0.273156000000043</f>
        <v>2246.1887780000002</v>
      </c>
      <c r="X205" s="3">
        <f>2924.3+(123.6-877.3)+(-4.474179+(-0.189108--1.342269))+0--269.4-0.412182000000016</f>
        <v>2436.2668000000003</v>
      </c>
      <c r="Y205" s="3">
        <f>2985.8+(125.3-915.8)+(-6.091032+(-0.255612--1.868232))+0--269-0.548759999999988</f>
        <v>2459.2728280000001</v>
      </c>
      <c r="Z205" s="3">
        <f>3003.4+(113.7-935)+(-4.595202+(-0.173961--1.43055))+0--271.4-0.415242000000016</f>
        <v>2449.7461450000005</v>
      </c>
      <c r="AA205" s="3">
        <f>2992.2+(111.1-926.9)+(-3.052044+(-0.113322--0.945438))+0--270.8-0.276216000000043</f>
        <v>2444.7038559999996</v>
      </c>
      <c r="AB205" s="3">
        <f>2943.8+(105.5-912.7)+(-3.002676+(-0.10761--0.930954))+0--271.4-0.276828000000043</f>
        <v>2405.5438400000003</v>
      </c>
      <c r="AC205" s="3">
        <f>2962.6+(98.6-991.9)+(-1.510926+(-0.050286--0.505869))+0--271.5-0.138464999999972</f>
        <v>2339.6061920000002</v>
      </c>
      <c r="AD205">
        <f t="shared" si="3"/>
        <v>53162.330926000002</v>
      </c>
      <c r="AE205" s="3">
        <f>2977.3+(127.9-893.1)+(0+(0-0))+0--270-0</f>
        <v>2482.1000000000004</v>
      </c>
    </row>
    <row r="206" spans="1:31" s="2" customFormat="1" x14ac:dyDescent="0.25">
      <c r="A206">
        <v>89</v>
      </c>
      <c r="B206">
        <v>7</v>
      </c>
      <c r="C206">
        <v>20</v>
      </c>
      <c r="D206">
        <v>4</v>
      </c>
      <c r="E206">
        <v>1</v>
      </c>
      <c r="F206" s="3">
        <f>2919.5+(92.1-1021.6)+(-5.95578+(-0.187884--2.084064))+0--272.1-0.555083999999988</f>
        <v>2257.4853159999998</v>
      </c>
      <c r="G206" s="3">
        <f>2833.1+(87.1-1016.9)+(-1.444881+(-0.044421--0.518619))+0--271.9-0.138668999999972</f>
        <v>2174.0906479999999</v>
      </c>
      <c r="H206" s="3">
        <f>2869.9+(84-1114.2)+(-4.390947+(-0.12852--1.704726))+0--274.2-0.419526000000016</f>
        <v>2110.6657329999998</v>
      </c>
      <c r="I206" s="3">
        <f>2793.2+(82.9-1090.8)+(-4.273596+(-0.126837--1.668924))+0--275.3-0.421209000000016</f>
        <v>2057.4472819999996</v>
      </c>
      <c r="J206" s="3">
        <f>2808.6+(82-1138.7)+(-2.864772+(-0.08364--1.161474))+0--274.4-0.279888000000044</f>
        <v>2024.233174</v>
      </c>
      <c r="K206" s="3">
        <f>2810.9+(79.2-1210.9)+(0+(0-0))+0--273.7-0</f>
        <v>1952.9</v>
      </c>
      <c r="L206" s="3">
        <f>2630.8+(77.7-1138.5)+(0+(0-0))+0--224.5-0</f>
        <v>1794.5000000000002</v>
      </c>
      <c r="M206" s="3">
        <f>2672+(91.1-1137.9)+(1.36272+(0.046461-0.580329))+0--212.3--0.108272999999978</f>
        <v>1838.4371249999999</v>
      </c>
      <c r="N206" s="3">
        <f>3002.3+(97.5-1327.2)+(0+(0-0))+0--269.2-0</f>
        <v>2041.8000000000002</v>
      </c>
      <c r="O206" s="3">
        <f>3050.3+(101-1335.4)+(0+(0-0))+0--268.4-0</f>
        <v>2084.3000000000002</v>
      </c>
      <c r="P206" s="3">
        <f>3036.3+(102.5-1287.9)+(-7.742565+(-0.261375--3.284145))+0--264.3-0.673964999999962</f>
        <v>2109.8062400000003</v>
      </c>
      <c r="Q206" s="3">
        <f>3015.7+(105.6-1169.1)+(0+(0-0))+0--261.6-0</f>
        <v>2213.7999999999997</v>
      </c>
      <c r="R206" s="3">
        <f>2919.5+(101.2-967.9)+(0+(0-0))+0--260.7-0</f>
        <v>2313.5</v>
      </c>
      <c r="S206" s="3">
        <f>2910+(154.7-884.3)+(0+(0-0))+0--261.1-0</f>
        <v>2441.5</v>
      </c>
      <c r="T206" s="3">
        <f>2923.5+(144.9-881.3)+(-7.454925+(-0.369495--2.247315))+0--264.1-0.673454999999962</f>
        <v>2444.9494399999999</v>
      </c>
      <c r="U206" s="3">
        <f>2963.4+(102.2-964.6)+(-3.022668+(-0.104244--0.983892))+0--267.6-0.272952000000043</f>
        <v>2366.1840279999997</v>
      </c>
      <c r="V206" s="3">
        <f>2918.6+(99.4-1093.1)+(-8.930916+(-0.304164--3.344886))+0--268.9-0.822834000000031</f>
        <v>2187.0869720000001</v>
      </c>
      <c r="W206" s="3">
        <f>2929+(103.4-1133.4)+(-5.97516+(-0.210936--2.312136))+0--271.7-0.554267999999988</f>
        <v>2166.2717720000001</v>
      </c>
      <c r="X206" s="3">
        <f>3136.4+(117.6-1102.5)+(-6.398256+(-0.239904--2.2491))+0--270.9-0.552635999999988</f>
        <v>2417.4583040000002</v>
      </c>
      <c r="Y206" s="3">
        <f>3143.1+(118.9-1096.4)+(-4.808943+(-0.181917--1.677492))+0--271.4-0.415242000000016</f>
        <v>2433.2713899999999</v>
      </c>
      <c r="Z206" s="3">
        <f>3083.3+(118-1061.1)+(-4.717449+(-0.18054--1.623483))+0--270.8-0.414324000000016</f>
        <v>2407.3111700000004</v>
      </c>
      <c r="AA206" s="3">
        <f>3064.5+(113-1041.9)+(-9.37737+(-0.34578--3.188214))+0--272-0.832320000000031</f>
        <v>2400.2327439999999</v>
      </c>
      <c r="AB206" s="3">
        <f>3028.8+(105.6-1036.5)+(-6.178752+(-0.215424--2.11446))+0--272.7-0.556307999999988</f>
        <v>2365.7639759999997</v>
      </c>
      <c r="AC206" s="3">
        <f>3037.1+(95.5-1110.7)+(-7.744605+(-0.243525--2.832285))+0--273.3-0.69691499999996</f>
        <v>2289.3472400000001</v>
      </c>
      <c r="AD206">
        <f t="shared" si="3"/>
        <v>52892.342554000003</v>
      </c>
      <c r="AE206" s="3">
        <f>3148.3+(119.3-1090.9)+(0+(0-0))+0--272-0</f>
        <v>2448.6999999999998</v>
      </c>
    </row>
    <row r="207" spans="1:31" s="2" customFormat="1" x14ac:dyDescent="0.25">
      <c r="A207">
        <v>89</v>
      </c>
      <c r="B207">
        <v>7</v>
      </c>
      <c r="C207">
        <v>21</v>
      </c>
      <c r="D207">
        <v>5</v>
      </c>
      <c r="E207">
        <v>1</v>
      </c>
      <c r="F207" s="3">
        <f>3041.6+(87.3-1199.9)+(-1.551216+(-0.044523--0.611949))+0--274.6-0.140045999999972</f>
        <v>2202.4761639999997</v>
      </c>
      <c r="G207" s="3">
        <f>2920+(85.1-1134.6)+(-4.4676+(-0.130203--1.735938))+0--253.9-0.388467000000015</f>
        <v>2121.1496679999996</v>
      </c>
      <c r="H207" s="3">
        <f>2717.9+(84.8-971.6)+(-4.158387+(-0.129744--1.486548))+0--207.7-0.317781000000012</f>
        <v>2035.680636</v>
      </c>
      <c r="I207" s="3">
        <f>2594.3+(85.2-911)+(-3.969279+(-0.130356--1.39383))+0--208-0.318240000000012</f>
        <v>1973.4759550000001</v>
      </c>
      <c r="J207" s="3">
        <f>2594.7+(83.3-957.7)+(0+(0-0))+0--208.2-0</f>
        <v>1928.4999999999998</v>
      </c>
      <c r="K207" s="3">
        <f>2538.6+(81.8-964)+(-5.178744+(-0.166872--1.96656))+0--203.3-0.414731999999991</f>
        <v>1855.9062119999999</v>
      </c>
      <c r="L207" s="3">
        <f>2389.1+(79.8-912.9)+(-3.655323+(-0.122094--1.396737))+0--144.5-0.221085000000008</f>
        <v>1697.8982350000001</v>
      </c>
      <c r="M207" s="3">
        <f>2337.8+(91.2-815.6)+(2.384556+(0.093024-0.831912))+0--144.4--0.147288000000023</f>
        <v>1759.5929560000002</v>
      </c>
      <c r="N207" s="3">
        <f>2445.8+(106.3-821.6)+(-2.494716+(-0.108426--0.838032))+0--144.2-0.147084000000023</f>
        <v>1872.787806</v>
      </c>
      <c r="O207" s="3">
        <f>2740.3+(98.1-1043.4)+(-4.192659+(-0.150093--1.596402))+0--144-0.220320000000008</f>
        <v>1936.0333300000002</v>
      </c>
      <c r="P207" s="3">
        <f>2943+(92.4-1116.7)+(-4.50279+(-0.141372--1.708551))+0--144.4-0.220932000000008</f>
        <v>2059.9434569999999</v>
      </c>
      <c r="Q207" s="3">
        <f>2879.8+(90.8-1112.2)+(1.468698+(0.046308-0.567222))+0--146--0.0744599999999852</f>
        <v>2005.4222440000001</v>
      </c>
      <c r="R207" s="3">
        <f>2860.4+(85.5-1056)+(-8.752824+(-0.26163--3.23136))+0--201-0.615060000000023</f>
        <v>2084.5018460000001</v>
      </c>
      <c r="S207" s="3">
        <f>2858.1+(100-973)+(-1.457631+(-0.051--0.49623))+0--206-0.105059999999979</f>
        <v>2189.9825390000001</v>
      </c>
      <c r="T207" s="3">
        <f>2821.1+(105.9-936.8)+(-2.877522+(-0.108018--0.955536))+0--219-0.223380000000035</f>
        <v>2206.9466159999997</v>
      </c>
      <c r="U207" s="3">
        <f>2825.4+(91.2-1056.2)+(-2.881908+(-0.093024--1.077324))+0--290-0.295800000000046</f>
        <v>2148.2065920000005</v>
      </c>
      <c r="V207" s="3">
        <f>2773.2+(86.6-1121.6)+(-5.657328+(-0.176664--2.288064))+0--292-0.595679999999987</f>
        <v>2026.0583919999999</v>
      </c>
      <c r="W207" s="3">
        <f>2753.5+(92.2-1127.2)+(-1.404285+(-0.047022--0.574872))+0--309-0.157589999999969</f>
        <v>2026.4659750000001</v>
      </c>
      <c r="X207" s="3">
        <f>2989.1+(160.9-1184)+(-6.097764+(-0.328236--2.41536))+0--409-0.834359999999982</f>
        <v>2370.1550000000002</v>
      </c>
      <c r="Y207" s="3">
        <f>2831.7+(106.4-1127.3)+(-5.776668+(-0.217056--2.299692))+0--409-0.834359999999982</f>
        <v>2215.271608</v>
      </c>
      <c r="Z207" s="3">
        <f>2800.7+(103.1-1148.4)+(-7.141785+(-0.262905--2.92842))+0--412-1.05059999999994</f>
        <v>2161.8731299999995</v>
      </c>
      <c r="AA207" s="3">
        <f>2661+(103-1031.6)+(-4.07133+(-0.15759--1.578348))+0--414-0.633420000000024</f>
        <v>2143.116008</v>
      </c>
      <c r="AB207" s="3">
        <f>2633.1+(96.6-1018.8)+(-4.028643+(-0.147798--1.558764))+0--415-0.634950000000024</f>
        <v>2122.6473730000002</v>
      </c>
      <c r="AC207" s="3">
        <f>2510.1+(90.6-924.9)+(-6.400755+(-0.23103--2.358495))+0--382-0.974099999999945</f>
        <v>2052.5526100000002</v>
      </c>
      <c r="AD207">
        <f t="shared" si="3"/>
        <v>49196.644351999996</v>
      </c>
      <c r="AE207" s="3">
        <f>2928.3+(107-1189.7)+(0+(0-0))+0--412-0</f>
        <v>2257.6000000000004</v>
      </c>
    </row>
    <row r="208" spans="1:31" s="2" customFormat="1" x14ac:dyDescent="0.25">
      <c r="A208">
        <v>89</v>
      </c>
      <c r="B208">
        <v>7</v>
      </c>
      <c r="C208">
        <v>22</v>
      </c>
      <c r="D208">
        <v>6</v>
      </c>
      <c r="E208">
        <v>1</v>
      </c>
      <c r="F208" s="3">
        <f>2476.5+(78.9-934.7)+(-8.841105+(-0.281673--3.336879))+0--351-1.25307000000001</f>
        <v>1964.6610309999999</v>
      </c>
      <c r="G208" s="3">
        <f>2481.5+(77.3-1025)+(-2.53113+(-0.078846--1.0455))+0--351-0.358020000000056</f>
        <v>1882.8775039999998</v>
      </c>
      <c r="H208" s="3">
        <f>2484.2+(74.2-1077.7)+(-3.800826+(-0.113526--1.648881))+0--351-0.53703000000002</f>
        <v>1828.8974989999999</v>
      </c>
      <c r="I208" s="3">
        <f>2488.7+(73.7-1083)+(-2.538474+(-0.075174--1.10466))+0--299-0.304980000000048</f>
        <v>1776.5860319999997</v>
      </c>
      <c r="J208" s="3">
        <f>2494.2+(72.2-1129.4)+(1.272042+(0.036822-0.575994))+0--299--0.15248999999997</f>
        <v>1736.8853599999998</v>
      </c>
      <c r="K208" s="3">
        <f>2492+(70.8-1169.1)+(-3.81276+(-0.108324--1.788723))+0--294-0.449820000000017</f>
        <v>1685.1178190000001</v>
      </c>
      <c r="L208" s="3">
        <f>2427.5+(69.8-1129.1)+(-2.47605+(-0.071196--1.151682))+0--228.8-0.233376000000036</f>
        <v>1595.3710599999999</v>
      </c>
      <c r="M208" s="3">
        <f>2497.5+(81.5-1102.4)+(2.54745+(0.08313-1.124448))+0--274.7--0.280194000000044</f>
        <v>1753.0863259999999</v>
      </c>
      <c r="N208" s="3">
        <f>2368.1+(109.5-963.3)+(-1.207731+(-0.055845--0.491283))+0--250.6-0.127805999999975</f>
        <v>1763.9999009999999</v>
      </c>
      <c r="O208" s="3">
        <f>2382.1+(112.9-997.2)+(1.214871+(0.057579-0.508572))+0--227.7--0.116126999999977</f>
        <v>1726.3800049999998</v>
      </c>
      <c r="P208" s="3">
        <f>2876+(110.5-1377.6)+(-2.93352+(-0.11271--1.405152))+0--267.9-0.273258000000043</f>
        <v>1874.8856640000001</v>
      </c>
      <c r="Q208" s="3">
        <f>2978.6+(110.6-1458.7)+(3.038172+(0.112812-1.487874))+0--268.7--0.274074000000043</f>
        <v>1901.1371839999999</v>
      </c>
      <c r="R208" s="3">
        <f>2966.9+(136.3-1376.2)+(-10.591833+(-0.486591--4.913034))+0--267.4-0.954618000000004</f>
        <v>1987.279992</v>
      </c>
      <c r="S208" s="3">
        <f>2939.8+(114.6-1312.6)+(-8.995788+(-0.350676--4.016556))+0--267.9-0.819774000000031</f>
        <v>2003.5503180000001</v>
      </c>
      <c r="T208" s="3">
        <f>2884.4+(120.9-1261.7)+(-2.942088+(-0.123318--1.286934))+0--267.9-0.273258000000043</f>
        <v>2009.4482700000001</v>
      </c>
      <c r="U208" s="3">
        <f>2878.5+(118.2-1286.8)+(-7.340175+(-0.30141--3.28134))+0--268.2-0.683909999999961</f>
        <v>1973.0558450000001</v>
      </c>
      <c r="V208" s="3">
        <f>2690.8+(139-1185.3)+(1.372308+(0.07089-0.604503))+0--267.1--0.136220999999973</f>
        <v>1912.5749160000003</v>
      </c>
      <c r="W208" s="3">
        <f>2732.8+(120.9-1234.2)+(-2.787456+(-0.123318--1.258884))+0--307.2-0.313344000000049</f>
        <v>1924.734766</v>
      </c>
      <c r="X208" s="3">
        <f>2991.4+(131.5-1272.4)+(-3.051228+(-0.13413--1.297848))+0--331.1-0.337722000000053</f>
        <v>2179.3747679999997</v>
      </c>
      <c r="Y208" s="3">
        <f>3066.3+(133.8-1363.7)+(-6.255252+(-0.272952--2.781948))+0--331.1-0.675443999999986</f>
        <v>2163.0783000000001</v>
      </c>
      <c r="Z208" s="3">
        <f>3048.6+(135.4-1399.9)+(-3.109572+(-0.138108--1.427898))+0--333.6-0.340272000000053</f>
        <v>2115.5399459999999</v>
      </c>
      <c r="AA208" s="3">
        <f>2776+(110.6-1166.3)+(-7.0788+(-0.28203--2.974065))+0--334.8-0.853739999999951</f>
        <v>2049.8594950000002</v>
      </c>
      <c r="AB208" s="3">
        <f>2575.8+(89.4-1022.1)+(-1.313658+(-0.045594--0.521271))+0--334.7-0.170696999999966</f>
        <v>1976.7913220000003</v>
      </c>
      <c r="AC208" s="3">
        <f>2345.1+(91.5-845.6)+(-7.176006+(-0.27999--2.587536))+0--335.2-1.02571200000004</f>
        <v>1920.305828</v>
      </c>
      <c r="AD208">
        <f t="shared" si="3"/>
        <v>45705.479150999992</v>
      </c>
      <c r="AE208" s="3">
        <f>3013.3+(146.7-1291.5)+(0+(0-0))+0--322-0</f>
        <v>2190.5</v>
      </c>
    </row>
    <row r="209" spans="1:31" s="2" customFormat="1" x14ac:dyDescent="0.25">
      <c r="A209">
        <v>89</v>
      </c>
      <c r="B209">
        <v>7</v>
      </c>
      <c r="C209">
        <v>23</v>
      </c>
      <c r="D209">
        <v>7</v>
      </c>
      <c r="E209">
        <v>1</v>
      </c>
      <c r="F209" s="3">
        <f>2165.3+(93.7-761.9)+(-2.208606+(-0.095574--0.777138))+0--348-0.354960000000056</f>
        <v>1843.2179980000003</v>
      </c>
      <c r="G209" s="3">
        <f>2112.4+(91.7-784.5)+(-3.231972+(-0.140301--1.200285))+0--348-0.53244000000002</f>
        <v>1764.8955720000001</v>
      </c>
      <c r="H209" s="3">
        <f>2111.6+(79.4-807.3)+(0+(0-0))+0--313-0</f>
        <v>1696.6999999999998</v>
      </c>
      <c r="I209" s="3">
        <f>2077.6+(78.1-781.8)+(-1.059576+(-0.039831--0.398718))+0--282-0.143819999999971</f>
        <v>1655.0554910000001</v>
      </c>
      <c r="J209" s="3">
        <f>2065.7+(76.5-801.8)+(1.053507+(0.039015-0.408918))+0--284--0.144839999999971</f>
        <v>1625.2284439999999</v>
      </c>
      <c r="K209" s="3">
        <f>2068.3+(77.9-847.1)+(-3.164499+(-0.119187--1.296063))+0--287-0.439110000000017</f>
        <v>1583.6732670000001</v>
      </c>
      <c r="L209" s="3">
        <f>1936.6+(97-839.5)+(-2.962998+(-0.14841--1.284435))+0--242.4-0.370872000000014</f>
        <v>1434.3021550000001</v>
      </c>
      <c r="M209" s="3">
        <f>1909.9+(108-787.7)+(0+(0-0))+0--228.4-0</f>
        <v>1458.6000000000001</v>
      </c>
      <c r="N209" s="3">
        <f>2018.1+(114-823.9)+(0+(0-0))+0--228.1-0</f>
        <v>1536.2999999999997</v>
      </c>
      <c r="O209" s="3">
        <f>2061.8+(102.5-780.5)+(-5.25759+(-0.261375--1.990275))+0--227.9-0.581144999999967</f>
        <v>1607.5901650000003</v>
      </c>
      <c r="P209" s="3">
        <f>2127.9+(106.6-796.2)+(-4.340916+(-0.217464--1.624248))+0--227.8-0.46471199999999</f>
        <v>1662.7011560000001</v>
      </c>
      <c r="Q209" s="3">
        <f>2177.5+(108.3-799.6)+(-2.22105+(-0.110466--0.815592))+0--227.8-0.232356000000036</f>
        <v>1712.2517199999998</v>
      </c>
      <c r="R209" s="3">
        <f>2153.5+(133.6-745.3)+(-2.19657+(-0.136272--0.760206))+0--227.8-0.232356000000036</f>
        <v>1767.7950080000001</v>
      </c>
      <c r="S209" s="3">
        <f>2146.4+(158.5-693.9)+(0+(0-0))+0--228.9-0</f>
        <v>1839.9</v>
      </c>
      <c r="T209" s="3">
        <f>2142.6+(182.8-695.3)+(-1.092726+(-0.093228--0.354603))+0--227.8-0.116177999999977</f>
        <v>1856.9524709999998</v>
      </c>
      <c r="U209" s="3">
        <f>2065.6+(154.7-627.2)+(-4.213824+(-0.315588--1.279488))+0--227.7-0.46450799999999</f>
        <v>1817.085568</v>
      </c>
      <c r="V209" s="3">
        <f>2041.8+(112.5-662)+(-2.082636+(-0.11475--0.67524))+0--227.8-0.232356000000036</f>
        <v>1718.3454979999999</v>
      </c>
      <c r="W209" s="3">
        <f>2305.1+(96.2-857.6)+(-4.702404+(-0.196248--1.749504))+0--224.6-0.45818399999999</f>
        <v>1764.6926679999997</v>
      </c>
      <c r="X209" s="3">
        <f>2926.5+(100.7-1345.1)+(-2.98503+(-0.102714--1.372002))+0--360.7-0.367914000000058</f>
        <v>2040.7163439999999</v>
      </c>
      <c r="Y209" s="3">
        <f>2995+(100-1443.3)+(-6.1098+(-0.204--2.944332))+0--405.1-0.826403999999982</f>
        <v>2052.6041279999999</v>
      </c>
      <c r="Z209" s="3">
        <f>2990+(97.8-1452.7)+(0+(0-0))+0--407.6-0</f>
        <v>2042.6999999999998</v>
      </c>
      <c r="AA209" s="3">
        <f>3001.8+(93.3-1441.5)+(-4.592754+(-0.142749--2.205495))+0--408-0.624240000000024</f>
        <v>2058.4457520000001</v>
      </c>
      <c r="AB209" s="3">
        <f>2955.1+(86.6-1401.8)+(0+(0-0))+0--409-0</f>
        <v>2048.8999999999996</v>
      </c>
      <c r="AC209" s="3">
        <f>2931.4+(80.6-1427)+(-8.970084+(-0.246636--4.36662))+0--410.8-1.25704800000005</f>
        <v>1989.6928519999999</v>
      </c>
      <c r="AD209">
        <f t="shared" si="3"/>
        <v>42578.346256999997</v>
      </c>
      <c r="AE209" s="3">
        <f>2928.3+(107.7-1388.3)+(0+(0-0))+0--394-0</f>
        <v>2041.7000000000003</v>
      </c>
    </row>
    <row r="210" spans="1:31" s="2" customFormat="1" x14ac:dyDescent="0.25">
      <c r="A210">
        <v>89</v>
      </c>
      <c r="B210">
        <v>7</v>
      </c>
      <c r="C210">
        <v>24</v>
      </c>
      <c r="D210">
        <v>1</v>
      </c>
      <c r="E210">
        <v>1</v>
      </c>
      <c r="F210" s="3">
        <f>2938.1+(74.7-1484.7)+(-7.492155+(-0.190485--3.785985))+0--414-1.05569999999994</f>
        <v>1937.147645</v>
      </c>
      <c r="G210" s="3">
        <f>2864.4+(70.1-1492.9)+(-7.30422+(-0.178755--3.806895))+0--413-1.05314999999994</f>
        <v>1849.87077</v>
      </c>
      <c r="H210" s="3">
        <f>2477.6+(71.9-1204.6)+(-1.263576+(-0.036669--0.614346))+0--415-0.211649999999958</f>
        <v>1759.0024510000001</v>
      </c>
      <c r="I210" s="3">
        <f>2354.3+(70.3-1159.9)+(1.200693+(0.035853-0.591549))+0--415--0.211649999999958</f>
        <v>1680.5566470000001</v>
      </c>
      <c r="J210" s="3">
        <f>2353+(69.3-1180.4)+(-2.40006+(-0.070686--1.204008))+0--415-0.423300000000066</f>
        <v>1655.2099619999997</v>
      </c>
      <c r="K210" s="3">
        <f>2354.2+(66.9-1214.1)+(-1.200642+(-0.034119--0.619191))+0--418-0.213179999999958</f>
        <v>1624.1712500000001</v>
      </c>
      <c r="L210" s="3">
        <f>2356.2+(65.8-1310.4)+(1.201662+(0.033558-0.668304))+0--416.5--0.212414999999958</f>
        <v>1528.8793309999996</v>
      </c>
      <c r="M210" s="3">
        <f>2477.8+(103.6-1320.7)+(2.527356+(0.105672-1.347114))+0--414.3--0.422586000000066</f>
        <v>1676.7085000000002</v>
      </c>
      <c r="N210" s="3">
        <f>2947+(116.3-1575.1)+(-1.50297+(-0.059313--0.803301))+0--352.4-0.179723999999964</f>
        <v>1839.6612940000002</v>
      </c>
      <c r="O210" s="3">
        <f>2955+(122.3-1534.6)+(0+(0-0))+0--341-0</f>
        <v>1883.7</v>
      </c>
      <c r="P210" s="3">
        <f>3016.6+(125.1-1510.2)+(0+(0-0))+0--338.9-0</f>
        <v>1970.3999999999996</v>
      </c>
      <c r="Q210" s="3">
        <f>3025.6+(123.5-1452.1)+(-3.086112+(-0.12597--1.481142))+0--339.8-0.346596000000054</f>
        <v>2034.7224639999999</v>
      </c>
      <c r="R210" s="3">
        <f>3005.4+(111.1-1403.5)+(-1.532754+(-0.056661--0.715785))+0--338-0.172379999999966</f>
        <v>2049.95399</v>
      </c>
      <c r="S210" s="3">
        <f>3000+(116.4-1322.9)+(1.53+(0.059364-0.674679))+0--340--0.173399999999965</f>
        <v>2134.5880849999999</v>
      </c>
      <c r="T210" s="3">
        <f>3003.8+(119.1-1316.9)+(0+(0-0))+0--338-0</f>
        <v>2144</v>
      </c>
      <c r="U210" s="3">
        <f>2989+(115-1347.5)+(-3.04878+(-0.1173--1.37445))+0--340-0.346800000000054</f>
        <v>2094.36157</v>
      </c>
      <c r="V210" s="3">
        <f>2916+(114.5-1370.8)+(1.48716+(0.058395-0.699108))+0--342.2--0.174521999999965</f>
        <v>2002.920969</v>
      </c>
      <c r="W210" s="3">
        <f>2877.8+(123.5-1284.7)+(-1.467678+(-0.062985--0.655197))+0--340.5-0.173654999999965</f>
        <v>2056.0508789999999</v>
      </c>
      <c r="X210" s="3">
        <f>3048.8+(135.6-1241.4)+(-7.77444+(-0.34578--3.16557))+0--340.4-0.868019999999951</f>
        <v>2277.5773300000001</v>
      </c>
      <c r="Y210" s="3">
        <f>3067.2+(132-1265.5)+(1.564272+(0.06732-0.645405))+0--340.1--0.173450999999966</f>
        <v>2274.9596379999998</v>
      </c>
      <c r="Z210" s="3">
        <f>3074+(128.2-1307)+(0+(0-0))+0--339.6-0</f>
        <v>2234.8000000000002</v>
      </c>
      <c r="AA210" s="3">
        <f>3085.4+(108.7-1307.5)+(0+(0-0))+0--339-0</f>
        <v>2225.6000000000004</v>
      </c>
      <c r="AB210" s="3">
        <f>3090.9+(92.3-1333.5)+(-6.305436+(-0.188292--2.72034))+0--339.9-0.693395999999985</f>
        <v>2185.1332159999997</v>
      </c>
      <c r="AC210" s="3">
        <f>3055.4+(85.4-1362.7)+(-7.79127+(-0.21777--3.474885))+0--339-0.864449999999951</f>
        <v>2111.701395</v>
      </c>
      <c r="AD210">
        <f t="shared" si="3"/>
        <v>47231.677385999996</v>
      </c>
      <c r="AE210" s="3">
        <f>3062.3+(134.6-1260.4)+(0+(0-0))+0--342-0</f>
        <v>2278.5</v>
      </c>
    </row>
    <row r="211" spans="1:31" s="2" customFormat="1" x14ac:dyDescent="0.25">
      <c r="A211">
        <v>89</v>
      </c>
      <c r="B211">
        <v>7</v>
      </c>
      <c r="C211">
        <v>25</v>
      </c>
      <c r="D211">
        <v>2</v>
      </c>
      <c r="E211">
        <v>1</v>
      </c>
      <c r="F211" s="3">
        <f>2928.9+(77.2-1324.7)+(-4.481217+(-0.118116--2.026791))+0--348-0.53244000000002</f>
        <v>2026.295018</v>
      </c>
      <c r="G211" s="3">
        <f>2708.7+(75.4-1191.6)+(-4.144311+(-0.115362--1.823148))+0--345.9-0.52922700000002</f>
        <v>1935.434248</v>
      </c>
      <c r="H211" s="3">
        <f>2354.4+(77.6-925.3)+(-3.602232+(-0.118728--1.415709))+0--346.8-0.53060400000002</f>
        <v>1850.6641450000002</v>
      </c>
      <c r="I211" s="3">
        <f>2342.5+(76.2-956.5)+(-1.194675+(-0.038862--0.487815))+0--349.4-0.178193999999965</f>
        <v>1810.6760840000002</v>
      </c>
      <c r="J211" s="3">
        <f>2342.9+(75-985.9)+(1.194879+(0.03825-0.502809))+0--348.2--0.177581999999965</f>
        <v>1781.107902</v>
      </c>
      <c r="K211" s="3">
        <f>2354+(73.7-1030.2)+(-1.20054+(-0.037587--0.525402))+0--351.4-0.179213999999964</f>
        <v>1748.0080609999998</v>
      </c>
      <c r="L211" s="3">
        <f>2282.9+(75.2-897.5)+(-1.164279+(-0.038352--0.457725))+0--222.5-0.113474999999977</f>
        <v>1682.2416190000004</v>
      </c>
      <c r="M211" s="3">
        <f>2622.4+(81.5-1223.9)+(1.337424+(0.041565-0.624189))+0--250.3--0.127652999999975</f>
        <v>1731.1824529999999</v>
      </c>
      <c r="N211" s="3">
        <f>2851.2+(86.5-1371.4)+(4.362336+(0.132345-2.098242))+0--274.5--0.419985000000016</f>
        <v>1843.6164239999998</v>
      </c>
      <c r="O211" s="3">
        <f>2891.5+(87-1363.4)+(0+(0-0))+0--333.7-0</f>
        <v>1948.8</v>
      </c>
      <c r="P211" s="3">
        <f>2863.5+(92.4-1314.6)+(-1.460385+(-0.047124--0.670446))+0--340.2-0.173501999999965</f>
        <v>1980.4894350000004</v>
      </c>
      <c r="Q211" s="3">
        <f>2850+(94.8-1245.9)+(-1.4535+(-0.048348--0.635409))+0--343-0.174929999999965</f>
        <v>2040.8586310000001</v>
      </c>
      <c r="R211" s="3">
        <f>2825+(110.4-1189.4)+(0+(0-0))+0--346-0</f>
        <v>2092</v>
      </c>
      <c r="S211" s="3">
        <f>2861.7+(94.2-1152.6)+(-1.459467+(-0.048042--0.587826))+0--346.3-0.176612999999965</f>
        <v>2148.5037039999997</v>
      </c>
      <c r="T211" s="3">
        <f>2858.6+(96.4-1140.1)+(0+(0-0))+0--347.9-0</f>
        <v>2162.8000000000002</v>
      </c>
      <c r="U211" s="3">
        <f>2860.4+(97.9-1193.4)+(-4.376412+(-0.149787--1.825902))+0--352.4-0.53917200000002</f>
        <v>2114.0605309999996</v>
      </c>
      <c r="V211" s="3">
        <f>2812.2+(92.8-1245.2)+(-2.868444+(-0.094656--1.270104))+0--354.9-0.361998000000057</f>
        <v>2012.6450059999995</v>
      </c>
      <c r="W211" s="3">
        <f>2823+(150-1198.1)+(-1.43973+(-0.0765--0.611031))+0--356.5-0.181814999999964</f>
        <v>2130.3129859999999</v>
      </c>
      <c r="X211" s="3">
        <f>2910.4+(163.7-1094.1)+(-4.452912+(-0.250461--1.673973))+0--356.4-0.545292000000021</f>
        <v>2332.8253079999999</v>
      </c>
      <c r="Y211" s="3">
        <f>2947.6+(159.6-1137.6)+(-6.013104+(-0.325584--2.320704))+0--358.1-0.730523999999984</f>
        <v>2322.9514919999997</v>
      </c>
      <c r="Z211" s="3">
        <f>2910.5+(148-1139)+(-4.453065+(-0.22644--1.74267))+0--357.3-0.546669000000021</f>
        <v>2273.3164960000004</v>
      </c>
      <c r="AA211" s="3">
        <f>2921.5+(134.7-1155.8)+(-1.489965+(-0.068697--0.589458))+0--358-0.182579999999964</f>
        <v>2257.248216</v>
      </c>
      <c r="AB211" s="3">
        <f>2938.9+(99-1206.9)+(-4.496517+(-0.15147--1.846557))+0--360-0.550800000000021</f>
        <v>2187.64777</v>
      </c>
      <c r="AC211" s="3">
        <f>2902.1+(83.4-1299.1)+(-1.480071+(-0.042534--0.662541))+0--361.4-0.184313999999963</f>
        <v>2046.7556220000004</v>
      </c>
      <c r="AD211">
        <f t="shared" si="3"/>
        <v>48460.441150999992</v>
      </c>
      <c r="AE211" s="3">
        <f>2940.3+(126.8-1104.8)+(0+(0-0))+0--355-0</f>
        <v>2317.3000000000002</v>
      </c>
    </row>
    <row r="212" spans="1:31" s="2" customFormat="1" x14ac:dyDescent="0.25">
      <c r="A212">
        <v>89</v>
      </c>
      <c r="B212">
        <v>7</v>
      </c>
      <c r="C212">
        <v>26</v>
      </c>
      <c r="D212">
        <v>3</v>
      </c>
      <c r="E212">
        <v>1</v>
      </c>
      <c r="F212" s="3">
        <f>2855.3+(101-1257.5)+(-5.824812+(-0.20604--2.5653))+0--362-0.738479999999984</f>
        <v>2056.5959680000005</v>
      </c>
      <c r="G212" s="3">
        <f>2811.6+(105-1248.7)+(1.433916+(0.05355-0.636837))+0--339.2--0.172991999999966</f>
        <v>2008.123621</v>
      </c>
      <c r="H212" s="3">
        <f>2748.9+(106.9-1219.6)+(-2.803878+(-0.109038--1.243992))+0--294.8-0.300696000000047</f>
        <v>1929.0303800000002</v>
      </c>
      <c r="I212" s="3">
        <f>2619.3+(102.3-1104)+(-5.343372+(-0.208692--2.25216))+0--256.6-0.523463999999989</f>
        <v>1870.3766320000004</v>
      </c>
      <c r="J212" s="3">
        <f>2390+(102.1-923.1)+(3.6567+(0.156213-1.412343))+0--233--0.356490000000013</f>
        <v>1804.7570600000001</v>
      </c>
      <c r="K212" s="3">
        <f>2389.8+(116.2-960.6)+(-3.656394+(-0.177786--1.469718))+0--233-0.356490000000013</f>
        <v>1775.679048</v>
      </c>
      <c r="L212" s="3">
        <f>2339.3+(77.5-1070.1)+(2.386086+(0.07905-1.091502))+0--242.3--0.247146000000039</f>
        <v>1590.6207800000002</v>
      </c>
      <c r="M212" s="3">
        <f>2339.7+(93.7-1025.8)+(1.193247+(0.047787-0.523158))+0--241.7--0.123266999999975</f>
        <v>1650.1411429999998</v>
      </c>
      <c r="N212" s="3">
        <f>2515.8+(94.6-1073)+(2.566116+(0.096492-1.09446))+0--240--0.244800000000038</f>
        <v>1779.2129480000001</v>
      </c>
      <c r="O212" s="3">
        <f>2702.7+(94.3-1187.9)+(0+(0-0))+0--259-0</f>
        <v>1868.0999999999997</v>
      </c>
      <c r="P212" s="3">
        <f>2757.2+(94.6-1194.3)+(0+(0-0))+0--315.1-0</f>
        <v>1972.6</v>
      </c>
      <c r="Q212" s="3">
        <f>2755.2+(94.9-1115.6)+(0+(0-0))+0--345-0</f>
        <v>2079.5</v>
      </c>
      <c r="R212" s="3">
        <f>2691.7+(87.5-1010.2)+(2.745534+(0.08925-1.030404))+0--346.9--0.353838000000055</f>
        <v>2118.0582179999997</v>
      </c>
      <c r="S212" s="3">
        <f>2673.1+(93-903.2)+(1.363281+(0.04743-0.460632))+0--349.8--0.178397999999965</f>
        <v>2213.828477</v>
      </c>
      <c r="T212" s="3">
        <f>2749.9+(93.8-997.7)+(-4.207347+(-0.143514--1.526481))+0--375.4-0.574362000000022</f>
        <v>2218.0012580000002</v>
      </c>
      <c r="U212" s="3">
        <f>2772.2+(91.1-1108.4)+(-1.413822+(-0.046461--0.565284))+0--417.3-0.212822999999958</f>
        <v>2171.0921779999999</v>
      </c>
      <c r="V212" s="3">
        <f>2692.7+(84.9-1157.1)+(-2.746554+(-0.086598--1.180242))+0--418.4-0.426768000000067</f>
        <v>2036.8203219999998</v>
      </c>
      <c r="W212" s="3">
        <f>2656.8+(93.6-1081.6)+(1.354968+(0.047736-0.551616))+0--420.4--0.214403999999957</f>
        <v>2090.265492</v>
      </c>
      <c r="X212" s="3">
        <f>2806.1+(104-1023.7)+(-4.293333+(-0.15912--1.566261))+0--422.4-0.646272000000024</f>
        <v>2305.2675359999998</v>
      </c>
      <c r="Y212" s="3">
        <f>2874.1+(101.3-1097.1)+(0+(0-0))+0--420.7-0</f>
        <v>2299</v>
      </c>
      <c r="Z212" s="3">
        <f>2891.8+(98.1-1156.1)+(0+(0-0))+0--421.1-0</f>
        <v>2254.9</v>
      </c>
      <c r="AA212" s="3">
        <f>2904.6+(97.8-1183.2)+(-7.40673+(-0.24939--3.01716))+0--422.6-1.07762999999994</f>
        <v>2236.0834100000002</v>
      </c>
      <c r="AB212" s="3">
        <f>2916.8+(92.2-1228.6)+(-2.975136+(-0.094044--1.253172))+0--422.7-0.431154000000067</f>
        <v>2200.8528380000002</v>
      </c>
      <c r="AC212" s="3">
        <f>2927.4+(83.4-1313.2)+(-8.957844+(-0.255204--4.018392))+0--426.1-1.30386600000005</f>
        <v>2117.201478</v>
      </c>
      <c r="AD212">
        <f t="shared" si="3"/>
        <v>48646.108786999997</v>
      </c>
      <c r="AE212" s="3">
        <f>2853.3+(102.3-1058.7)+(0+(0-0))+0--423-0</f>
        <v>2319.9</v>
      </c>
    </row>
    <row r="213" spans="1:31" s="2" customFormat="1" x14ac:dyDescent="0.25">
      <c r="A213">
        <v>89</v>
      </c>
      <c r="B213">
        <v>7</v>
      </c>
      <c r="C213">
        <v>27</v>
      </c>
      <c r="D213">
        <v>4</v>
      </c>
      <c r="E213">
        <v>1</v>
      </c>
      <c r="F213" s="3">
        <f>2905.7+(84.4-1382.1)+(-2.963814+(-0.086088--1.409742))+0--382-0.389640000000061</f>
        <v>1987.9702</v>
      </c>
      <c r="G213" s="3">
        <f>2802.1+(81.3-1319.7)+(-1.429071+(-0.041463--0.673047))+0--380.7-0.194156999999961</f>
        <v>1943.4083559999999</v>
      </c>
      <c r="H213" s="3">
        <f>2794.5+(78.6-1309.9)+(-4.275585+(-0.120258--2.004147))+0--333-0.509490000000019</f>
        <v>1893.298814</v>
      </c>
      <c r="I213" s="3">
        <f>2731+(78.4-1306.5)+(-1.39281+(-0.039984--0.666315))+0--309-0.157589999999969</f>
        <v>1810.9759310000002</v>
      </c>
      <c r="J213" s="3">
        <f>2653.1+(78.2-1224.2)+(2.706162+(0.079764-1.248684))+0--264.4--0.269688000000042</f>
        <v>1773.30693</v>
      </c>
      <c r="K213" s="3">
        <f>2471.8+(79.5-1086.5)+(2.521236+(0.08109-1.10823))+0--361--0.368220000000058</f>
        <v>1827.6623160000001</v>
      </c>
      <c r="L213" s="3">
        <f>2325.2+(79.9-1096.7)+(0+(0-0))+0--239.4-0</f>
        <v>1547.7999999999997</v>
      </c>
      <c r="M213" s="3">
        <f>2362.7+(93-1081.3)+(2.409954+(0.09486-1.102926))+0--239.4--0.244188000000038</f>
        <v>1615.4460760000002</v>
      </c>
      <c r="N213" s="3">
        <f>2673.3+(105.5-1268.5)+(1.363383+(0.053805-0.646935))+0--239.5--0.122144999999976</f>
        <v>1750.6923980000001</v>
      </c>
      <c r="O213" s="3">
        <f>2822.3+(100-1383.4)+(5.757492+(0.204-2.822136))+0--308.6--0.629543999999987</f>
        <v>1851.2689</v>
      </c>
      <c r="P213" s="3">
        <f>2829.5+(106.3-1406.8)+(-1.443045+(-0.054213--0.717468))+0--411.4-0.209813999999958</f>
        <v>1939.410396</v>
      </c>
      <c r="Q213" s="3">
        <f>2800.6+(105.2-1296.5)+(1.428306+(0.053652-0.661215))+0--407.9--0.208028999999959</f>
        <v>2018.2287719999999</v>
      </c>
      <c r="R213" s="3">
        <f>2799+(98.1-1193.5)+(-7.13745+(-0.250155--3.043425))+0--407.5-1.03912499999994</f>
        <v>2105.7166950000001</v>
      </c>
      <c r="S213" s="3">
        <f>2811.6+(102.4-1113.2)+(0+(0-0))+0--406.6-0</f>
        <v>2207.3999999999996</v>
      </c>
      <c r="T213" s="3">
        <f>2817.8+(102-1107.7)+(-1.437078+(-0.05202--0.564927))+0--407.6-0.207875999999959</f>
        <v>2218.5679530000002</v>
      </c>
      <c r="U213" s="3">
        <f>2780.4+(101-1142)+(-4.254012+(-0.15453--1.74726))+0--405.4-0.620262000000023</f>
        <v>2141.5184560000002</v>
      </c>
      <c r="V213" s="3">
        <f>2810.8+(93.3-1283.9)+(0+(0-0))+0--411.2-0</f>
        <v>2031.4</v>
      </c>
      <c r="W213" s="3">
        <f>2858.8+(103.9-1269.2)+(2.915976+(0.105978-1.294584))+0--412.2--0.420444000000066</f>
        <v>2107.8478140000002</v>
      </c>
      <c r="X213" s="3">
        <f>2903+(122.9-1125.2)+(0+(0-0))+0--412-0</f>
        <v>2312.6999999999998</v>
      </c>
      <c r="Y213" s="3">
        <f>2941+(118.2-1173.2)+(-1.49991+(-0.060282--0.598332))+0--413.1-0.210680999999958</f>
        <v>2297.927459</v>
      </c>
      <c r="Z213" s="3">
        <f>2962.3+(110.9-1237.7)+(-3.021546+(-0.113118--1.262454))+0--414.6-0.422892000000066</f>
        <v>2247.8048980000003</v>
      </c>
      <c r="AA213" s="3">
        <f>2975+(108-1257.6)+(-3.0345+(-0.11016--1.282752))+0--417.2-0.425544000000067</f>
        <v>2240.3125479999999</v>
      </c>
      <c r="AB213" s="3">
        <f>2993.9+(99.1-1304.7)+(-6.107556+(-0.202164--2.661588))+0--418.2-0.853127999999982</f>
        <v>2201.9987399999995</v>
      </c>
      <c r="AC213" s="3">
        <f>2985.5+(90.5-1355.4)+(-4.567815+(-0.138465--2.073762))+0--416.8-0.637704000000024</f>
        <v>2134.129778</v>
      </c>
      <c r="AD213">
        <f t="shared" si="3"/>
        <v>48206.793430000005</v>
      </c>
      <c r="AE213" s="3">
        <f>2912.3+(115.6-1123.7)+(0+(0-0))+0--411-0</f>
        <v>2315.2000000000003</v>
      </c>
    </row>
    <row r="214" spans="1:31" s="2" customFormat="1" x14ac:dyDescent="0.25">
      <c r="A214">
        <v>89</v>
      </c>
      <c r="B214">
        <v>7</v>
      </c>
      <c r="C214">
        <v>28</v>
      </c>
      <c r="D214">
        <v>5</v>
      </c>
      <c r="E214">
        <v>1</v>
      </c>
      <c r="F214" s="3">
        <f>2964.2+(88.6-1422.4)+(-9.070452+(-0.271116--4.352544))+0--416.1-1.27326600000005</f>
        <v>2040.2377099999994</v>
      </c>
      <c r="G214" s="3">
        <f>2781.2+(84.4-1281)+(-2.836824+(-0.086088--1.30662))+0--373.1-0.38056200000006</f>
        <v>1955.7031460000001</v>
      </c>
      <c r="H214" s="3">
        <f>2614.1+(84.2-1189)+(-3.999573+(-0.128826--1.81917))+0--369.2-0.564876000000021</f>
        <v>1875.6258950000001</v>
      </c>
      <c r="I214" s="3">
        <f>2436.6+(83.3-1061.5)+(-2.485332+(-0.084966--1.08273))+0--358-0.365160000000057</f>
        <v>1814.5472719999998</v>
      </c>
      <c r="J214" s="3">
        <f>2393.9+(84.6-943.3)+(1.220889+(0.043146-0.481083))+0--234.9--0.119798999999976</f>
        <v>1771.0027510000004</v>
      </c>
      <c r="K214" s="3">
        <f>2394.3+(83.9-997.3)+(-1.221093+(-0.042789--0.508623))+0--235.1-0.119900999999976</f>
        <v>1715.1248399999999</v>
      </c>
      <c r="L214" s="3">
        <f>2296.2+(84.5-1038.7)+(-5.85531+(-0.215475--2.648685))+0--235.9-0.601544999999966</f>
        <v>1573.8763549999999</v>
      </c>
      <c r="M214" s="3">
        <f>2383.7+(92.4-1152.1)+(2.431374+(0.094248-1.175142))+0--303--0.309060000000048</f>
        <v>1628.6595400000001</v>
      </c>
      <c r="N214" s="3">
        <f>2349.2+(103.7-1063.7)+(1.198092+(0.052887-0.542487))+0--365.2--0.186251999999963</f>
        <v>1755.2947439999998</v>
      </c>
      <c r="O214" s="3">
        <f>2587.7+(101.5-1191.4)+(0+(0-0))+0--363.7-0</f>
        <v>1861.4999999999998</v>
      </c>
      <c r="P214" s="3">
        <f>2726.5+(100.9-1260.3)+(4.171545+(0.154377-1.928259))+0--410.7--0.628371000000024</f>
        <v>1980.8260340000002</v>
      </c>
      <c r="Q214" s="3">
        <f>2764.4+(102-1262.9)+(-1.409844+(-0.05202--0.644079))+0--444-0.226439999999955</f>
        <v>2046.4557750000001</v>
      </c>
      <c r="R214" s="3">
        <f>2757.7+(93.7-1243.2)+(-4.219281+(-0.143361--1.902096))+0--442.9-0.677637000000026</f>
        <v>2047.9618169999997</v>
      </c>
      <c r="S214" s="3">
        <f>2787.4+(99.6-1145.9)+(0+(0-0))+0--422.2-0</f>
        <v>2163.2999999999997</v>
      </c>
      <c r="T214" s="3">
        <f>2784.9+(101.5-1115.3)+(-1.420299+(-0.051765--0.568803))+0--406-0.207059999999959</f>
        <v>2175.9896789999998</v>
      </c>
      <c r="U214" s="3">
        <f>2784.8+(99.7-1175.1)+(-2.840496+(-0.101694--1.198602))+0--407.9-0.416058000000065</f>
        <v>2115.1403540000001</v>
      </c>
      <c r="V214" s="3">
        <f>2745.1+(93.2-1252.7)+(-1.400001+(-0.047532--0.638877))+0--408.4-0.208283999999959</f>
        <v>1992.9830599999998</v>
      </c>
      <c r="W214" s="3">
        <f>2818.7+(101.2-1272.1)+(-4.312611+(-0.154836--1.946313))+0--410.5-0.628065000000024</f>
        <v>2055.1508009999998</v>
      </c>
      <c r="X214" s="3">
        <f>2856.9+(110.5-1116.9)+(-1.457019+(-0.056355--0.569619))+0--408.6-0.208385999999959</f>
        <v>2257.9478590000003</v>
      </c>
      <c r="Y214" s="3">
        <f>2868.2+(111.1-1158.9)+(-2.925564+(-0.113322--1.182078))+0--409.9-0.418098000000065</f>
        <v>2228.0250939999996</v>
      </c>
      <c r="Z214" s="3">
        <f>2880.4+(105.1-1203.1)+(-4.407012+(-0.160803--1.840743))+0--413.1-0.632043000000024</f>
        <v>2192.1408850000003</v>
      </c>
      <c r="AA214" s="3">
        <f>2895.1+(104.1-1228)+(-1.476501+(-0.053091--0.62628))+0--414.9-0.211598999999958</f>
        <v>2184.9850890000002</v>
      </c>
      <c r="AB214" s="3">
        <f>2901.4+(98.6-1260.4)+(-11.837712+(-0.402288--5.142432))+0--418.6-1.70788799999996</f>
        <v>2149.3945440000002</v>
      </c>
      <c r="AC214" s="3">
        <f>2920.1+(89.7-1353.2)+(-4.467753+(-0.137241--2.070396))+0--416.7-0.637551000000024</f>
        <v>2070.1278510000002</v>
      </c>
      <c r="AD214">
        <f t="shared" si="3"/>
        <v>47652.001094999992</v>
      </c>
      <c r="AE214" s="3">
        <f>2854.3+(104.5-1100.7)+(0+(0-0))+0--410-0</f>
        <v>2268.1000000000004</v>
      </c>
    </row>
    <row r="215" spans="1:31" s="2" customFormat="1" x14ac:dyDescent="0.25">
      <c r="A215">
        <v>89</v>
      </c>
      <c r="B215">
        <v>7</v>
      </c>
      <c r="C215">
        <v>29</v>
      </c>
      <c r="D215">
        <v>6</v>
      </c>
      <c r="E215">
        <v>1</v>
      </c>
      <c r="F215" s="3">
        <f>2818.5+(80.6-1327.3)+(-5.74974+(-0.164424--2.707692))+0--420.4-0.857615999999982</f>
        <v>1988.135912</v>
      </c>
      <c r="G215" s="3">
        <f>2745.3+(76.4-1341.8)+(-4.200309+(-0.116892--2.052954))+0--420.6-0.643518000000024</f>
        <v>1897.5922350000003</v>
      </c>
      <c r="H215" s="3">
        <f>2476.9+(75.5-1151.7)+(-2.526438+(-0.07701--1.174734))+0--422.6-0.431052000000067</f>
        <v>1821.4402339999999</v>
      </c>
      <c r="I215" s="3">
        <f>2368.8+(75.3-1105.4)+(0+(0-0))+0--423-0</f>
        <v>1761.7</v>
      </c>
      <c r="J215" s="3">
        <f>2371.7+(74.3-1148.1)+(0+(0-0))+0--426.5-0</f>
        <v>1724.3999999999999</v>
      </c>
      <c r="K215" s="3">
        <f>2343.7+(84.1-1163.4)+(-4.781148+(-0.171564--2.373336))+0--411-0.838439999999982</f>
        <v>1671.9821839999997</v>
      </c>
      <c r="L215" s="3">
        <f>2286.7+(90.5-1082.4)+(-1.166217+(-0.046155--0.552024))+0--265.1-0.135200999999973</f>
        <v>1559.1044509999997</v>
      </c>
      <c r="M215" s="3">
        <f>2376.4+(96.8-1106.1)+(-1.211964+(-0.049368--0.564111))+0--238.6-0.121685999999976</f>
        <v>1604.8810930000002</v>
      </c>
      <c r="N215" s="3">
        <f>2633.4+(91.4-1372.6)+(-2.686068+(-0.093228--1.400052))+0--388.6-0.396372000000062</f>
        <v>1739.0243840000003</v>
      </c>
      <c r="O215" s="3">
        <f>2715.9+(95-1377)+(1.385109+(0.04845-0.70227))+0--412.9--0.210578999999958</f>
        <v>1847.7418680000001</v>
      </c>
      <c r="P215" s="3">
        <f>2709.4+(98.2-1316.1)+(1.381794+(0.050082-0.671211))+0--410.7--0.209456999999958</f>
        <v>1903.1701220000002</v>
      </c>
      <c r="Q215" s="3">
        <f>2685.8+(98.7-1226.9)+(-1.369758+(-0.050337--0.625719))+0--411.1-0.209660999999958</f>
        <v>1967.6959630000001</v>
      </c>
      <c r="R215" s="3">
        <f>2682.9+(79.2-1191.4)+(-6.841395+(-0.20196--3.03807))+0--409.3-1.04371499999994</f>
        <v>1974.951</v>
      </c>
      <c r="S215" s="3">
        <f>2781.3+(79.3-1213.7)+(0+(0-0))+0--413-0</f>
        <v>2059.9</v>
      </c>
      <c r="T215" s="3">
        <f>2783.5+(78.5-1191.4)+(1.419585+(0.040035-0.607614))+0--414.6--0.211445999999958</f>
        <v>2086.2634519999997</v>
      </c>
      <c r="U215" s="3">
        <f>2763.8+(74.1-1231)+(-7.04769+(-0.188955--3.13905))+0--416.8-1.06283999999994</f>
        <v>2018.539565</v>
      </c>
      <c r="V215" s="3">
        <f>2640.5+(71.7-1243.1)+(-5.38662+(-0.146268--2.535924))+0--418.8-0.854351999999982</f>
        <v>1884.0486840000001</v>
      </c>
      <c r="W215" s="3">
        <f>2734.1+(81.9-1250)+(1.394391+(0.041769-0.6375))+0--420.3--0.214352999999957</f>
        <v>1987.3130129999997</v>
      </c>
      <c r="X215" s="3">
        <f>2824.3+(92.3-1148.1)+(2.880786+(0.094146-1.171062))+0--422--0.430440000000067</f>
        <v>2192.7343100000003</v>
      </c>
      <c r="Y215" s="3">
        <f>2824.6+(89.8-1172.2)+(-7.20273+(-0.22899--2.98911))+0--425.2-1.08425999999994</f>
        <v>2161.8731299999995</v>
      </c>
      <c r="Z215" s="3">
        <f>2770.4+(87.6-1162.8)+(-5.651616+(-0.178704--2.372112))+0--429.3-0.875771999999981</f>
        <v>2120.1660200000001</v>
      </c>
      <c r="AA215" s="3">
        <f>2781.5+(86.3-1212.3)+(-2.83713+(-0.088026--1.236546))+0--431.1-0.439722000000069</f>
        <v>2084.4716680000001</v>
      </c>
      <c r="AB215" s="3">
        <f>2804.5+(80.6-1273.6)+(-4.290885+(-0.123318--1.948608))+0--434.2-0.664326000000025</f>
        <v>2042.5700790000001</v>
      </c>
      <c r="AC215" s="3">
        <f>2817.7+(74.9-1348)+(0+(0-0))+0--435.6-0</f>
        <v>1980.1999999999998</v>
      </c>
      <c r="AD215">
        <f t="shared" si="3"/>
        <v>46079.899366999991</v>
      </c>
      <c r="AE215" s="3">
        <f>2819.3+(108.9-1154.8)+(0+(0-0))+0--421-0</f>
        <v>2194.4000000000005</v>
      </c>
    </row>
    <row r="216" spans="1:31" s="2" customFormat="1" x14ac:dyDescent="0.25">
      <c r="A216">
        <v>89</v>
      </c>
      <c r="B216">
        <v>7</v>
      </c>
      <c r="C216">
        <v>30</v>
      </c>
      <c r="D216">
        <v>7</v>
      </c>
      <c r="E216">
        <v>1</v>
      </c>
      <c r="F216" s="3">
        <f>2821.7+(70.7-1411.1)+(1.439067+(0.036057-0.719661))+0--437.1--0.222920999999956</f>
        <v>1919.3783840000001</v>
      </c>
      <c r="G216" s="3">
        <f>2770.1+(67.4-1364.4)+(-5.651004+(-0.137496--2.783376))+0--385.7-0.786827999999983</f>
        <v>1855.0080479999999</v>
      </c>
      <c r="H216" s="3">
        <f>2648.8+(65.6-1285)+(-6.75444+(-0.16728--3.27675))+0--365.8-0.932789999999947</f>
        <v>1790.6222400000001</v>
      </c>
      <c r="I216" s="3">
        <f>2496+(63.1-1220.8)+(-3.81888+(-0.096543--1.867824))+0--364-0.556920000000021</f>
        <v>1699.695481</v>
      </c>
      <c r="J216" s="3">
        <f>2447.3+(61.2-1188.7)+(0+(0-0))+0--348.3-0</f>
        <v>1668.1000000000001</v>
      </c>
      <c r="K216" s="3">
        <f>2352.7+(64.1-915.2)+(0+(0-0))+0--83.4-0</f>
        <v>1585</v>
      </c>
      <c r="L216" s="3">
        <f>2164.1+(66.9-808.5)+(-3.311073+(-0.102357--1.237005))+0--27.8-0.0425340000000016</f>
        <v>1448.0810409999999</v>
      </c>
      <c r="M216" s="3">
        <f>2313+(69-930)+(1.17963+(0.03519-0.4743))+0--28.2--0.0143819999999971</f>
        <v>1480.9549020000002</v>
      </c>
      <c r="N216" s="3">
        <f>2528.7+(73.6-1052.5)+(0+(0-0))+0--27.4-0</f>
        <v>1577.1999999999998</v>
      </c>
      <c r="O216" s="3">
        <f>2665.5+(76.9-1107.3)+(0+(0-0))+0--27.2-0</f>
        <v>1662.3000000000002</v>
      </c>
      <c r="P216" s="3">
        <f>2750.9+(78.3-1153.3)+(-4.208877+(-0.119799--1.764549))+0--59.7-0.0913410000000035</f>
        <v>1732.944532</v>
      </c>
      <c r="Q216" s="3">
        <f>2787.6+(75.8-1214.8)+(0+(0-0))+0--157.5-0</f>
        <v>1806.1</v>
      </c>
      <c r="R216" s="3">
        <f>2788.2+(78.1-1154.1)+(-1.421982+(-0.039831--0.588591))+0--154.6-0.0788459999999843</f>
        <v>1865.8479319999999</v>
      </c>
      <c r="S216" s="3">
        <f>2769.1+(78.6-1173.3)+(-5.648964+(-0.160344--2.393532))+0--273.3-0.557531999999988</f>
        <v>1943.7266919999997</v>
      </c>
      <c r="T216" s="3">
        <f>2747.6+(78-1146.2)+(-4.203828+(-0.11934--1.753686))+0--283.8-0.434214000000016</f>
        <v>1960.1963039999996</v>
      </c>
      <c r="U216" s="3">
        <f>2624.4+(76.7-1062.2)+(-6.69222+(-0.195585--2.70861))+0--284.6-0.725729999999959</f>
        <v>1918.5950750000004</v>
      </c>
      <c r="V216" s="3">
        <f>2480.4+(76.7-1033.7)+(-2.530008+(-0.078234--1.054374))+0--285.6-0.291312000000046</f>
        <v>1807.15482</v>
      </c>
      <c r="W216" s="3">
        <f>2636.7+(88.3-1151.3)+(2.689434+(0.090066-1.174326))+0--287.5--0.293250000000046</f>
        <v>1863.0984239999998</v>
      </c>
      <c r="X216" s="3">
        <f>2818.8+(97.9-1142.2)+(4.312764+(0.149787-1.747566))+0--290--0.443700000000017</f>
        <v>2067.6586850000003</v>
      </c>
      <c r="Y216" s="3">
        <f>2828.2+(96.7-1155.7)+(1.442382+(0.049317-0.589407))+0--291.2--0.14851199999997</f>
        <v>2061.4508039999996</v>
      </c>
      <c r="Z216" s="3">
        <f>2867.9+(94-1213.3)+(1.462629+(0.04794-0.618783))+0--292.3--0.14907299999997</f>
        <v>2041.940859</v>
      </c>
      <c r="AA216" s="3">
        <f>2852.4+(93.2-1191.7)+(-2.909448+(-0.095064--1.215534))+0--293.6-0.299472000000047</f>
        <v>2045.4115499999998</v>
      </c>
      <c r="AB216" s="3">
        <f>2855.7+(87.3-1213.5)+(-4.369221+(-0.133569--1.856655))+0--294.3-0.450279000000017</f>
        <v>2020.7035859999999</v>
      </c>
      <c r="AC216" s="3">
        <f>2751.1+(81.4-1152.9)+(-2.806122+(-0.083028--1.175958))+0--295.2-0.301104000000047</f>
        <v>1972.7857039999999</v>
      </c>
      <c r="AD216">
        <f t="shared" si="3"/>
        <v>43793.955063000001</v>
      </c>
      <c r="AE216" s="3">
        <f>2824.3+(96.4-1127.2)+(0+(0-0))+0--290-0</f>
        <v>2083.5</v>
      </c>
    </row>
    <row r="217" spans="1:31" s="2" customFormat="1" x14ac:dyDescent="0.25">
      <c r="A217">
        <v>89</v>
      </c>
      <c r="B217">
        <v>8</v>
      </c>
      <c r="C217">
        <v>1</v>
      </c>
      <c r="D217">
        <v>1</v>
      </c>
      <c r="E217">
        <v>1</v>
      </c>
      <c r="F217" s="3">
        <f>2757.5+(76-1224.2)+(-2.81265+(-0.07752--1.248684))+0--295.7-0.301614000000047</f>
        <v>1903.0569</v>
      </c>
      <c r="G217" s="3">
        <f>2583.5+(72.8-1139.4)+(-3.952755+(-0.111384--1.743282))+0--295.8-0.452574000000017</f>
        <v>1809.926569</v>
      </c>
      <c r="H217" s="3">
        <f>2509.8+(69.8-1136.2)+(-3.839994+(-0.106794--1.738386))+0--297.5-0.455175000000017</f>
        <v>1738.2364230000001</v>
      </c>
      <c r="I217" s="3">
        <f>2435+(70.4-1107.3)+(-3.72555+(-0.107712--1.694169))+0--300.7-0.460071000000017</f>
        <v>1696.2008360000002</v>
      </c>
      <c r="J217" s="3">
        <f>2281+(70.8-998.8)+(-4.65324+(-0.144432--2.037552))+0--303.1-0.618323999999987</f>
        <v>1652.721556</v>
      </c>
      <c r="K217" s="3">
        <f>2286.5+(69.8-1050.8)+(0+(0-0))+0--303.5-0</f>
        <v>1609</v>
      </c>
      <c r="L217" s="3">
        <f>2245.3+(69.7-978.8)+(-1.145103+(-0.035547--0.499188))+0--182.4-0.0930239999999815</f>
        <v>1517.8255140000003</v>
      </c>
      <c r="M217" s="3">
        <f>2344.5+(77.8-992.8)+(3.587085+(0.119034-1.518984))+0--158--0.241740000000009</f>
        <v>1589.9288749999998</v>
      </c>
      <c r="N217" s="3">
        <f>2625.4+(84.6-1167.7)+(0+(0-0))+0--174-0</f>
        <v>1716.3</v>
      </c>
      <c r="O217" s="3">
        <f>2759.3+(86.6-1319.7)+(-1.407243+(-0.044166--0.673047))+0--292-0.14891999999997</f>
        <v>1817.2727180000002</v>
      </c>
      <c r="P217" s="3">
        <f>2824.9+(88-1293.6)+(4.322097+(0.13464-1.979208))+0--288--0.440640000000017</f>
        <v>1910.2181690000002</v>
      </c>
      <c r="Q217" s="3">
        <f>2798.5+(90-1191.6)+(0+(0-0))+0--284-0</f>
        <v>1980.9</v>
      </c>
      <c r="R217" s="3">
        <f>2777.5+(83.5-1136.8)+(-4.249575+(-0.127755--1.739304))+0--282.9-0.432837000000016</f>
        <v>2004.0291369999998</v>
      </c>
      <c r="S217" s="3">
        <f>2790+(90.8-1047.5)+(-8.5374+(-0.277848--3.20535))+0--285.6-0.873936000000033</f>
        <v>2112.416166</v>
      </c>
      <c r="T217" s="3">
        <f>2769+(91.3-1032.9)+(0+(0-0))+0--284.7-0</f>
        <v>2112.1</v>
      </c>
      <c r="U217" s="3">
        <f>2782.8+(93-1087.1)+(-2.838456+(-0.09486--1.108842))+0--285.4-0.291108000000046</f>
        <v>2071.9844180000005</v>
      </c>
      <c r="V217" s="3">
        <f>2797+(94-1174.9)+(-4.27941+(-0.14382--1.797597))+0--287.8-0.440334000000017</f>
        <v>2000.8340329999996</v>
      </c>
      <c r="W217" s="3">
        <f>2843.4+(99-1144.8)+(1.450134+(0.05049-0.583848))+0--287.1--0.146420999999971</f>
        <v>2085.7631970000002</v>
      </c>
      <c r="X217" s="3">
        <f>2941.8+(101.3-1082.9)+(-4.500954+(-0.154989--1.656837))+0--290-0.443700000000017</f>
        <v>2246.7571940000003</v>
      </c>
      <c r="Y217" s="3">
        <f>2971.3+(98.4-1128.6)+(-3.030726+(-0.100368--1.151172))+0--290.6-0.296412000000046</f>
        <v>2229.4236660000001</v>
      </c>
      <c r="Z217" s="3">
        <f>2981+(94.3-1178.1)+(-4.56093+(-0.144279--1.802493))+0--291.2-0.445536000000017</f>
        <v>2185.0517479999999</v>
      </c>
      <c r="AA217" s="3">
        <f>2978.8+(94.2-1185.3)+(-3.038376+(-0.096084--1.209006))+0--291.3-0.297126000000046</f>
        <v>2176.7774200000003</v>
      </c>
      <c r="AB217" s="3">
        <f>2976.3+(88.6-1220.1)+(-7.589565+(-0.22593--3.111255))+0--292-0.744599999999958</f>
        <v>2131.3511600000002</v>
      </c>
      <c r="AC217" s="3">
        <f>2991.4+(80-1317.1)+(-7.62807+(-0.204--3.358605))+0--292.5-0.745874999999958</f>
        <v>2041.5806600000001</v>
      </c>
      <c r="AD217">
        <f t="shared" si="3"/>
        <v>46339.656358999993</v>
      </c>
      <c r="AE217" s="3">
        <f>2948.3+(103.1-1069.1)+(0+(0-0))+0--294-0</f>
        <v>2276.3000000000002</v>
      </c>
    </row>
    <row r="218" spans="1:31" s="2" customFormat="1" x14ac:dyDescent="0.25">
      <c r="A218">
        <v>89</v>
      </c>
      <c r="B218">
        <v>8</v>
      </c>
      <c r="C218">
        <v>2</v>
      </c>
      <c r="D218">
        <v>2</v>
      </c>
      <c r="E218">
        <v>1</v>
      </c>
      <c r="F218" s="3">
        <f>3049.2+(74-1452.5)+(-6.220368+(-0.15096--2.9631))+0--292-0.595679999999987</f>
        <v>1958.6960919999999</v>
      </c>
      <c r="G218" s="3">
        <f>2908.4+(71.1-1403.4)+(-1.483284+(-0.036261--0.715734))+0--242-0.123419999999975</f>
        <v>1817.172769</v>
      </c>
      <c r="H218" s="3">
        <f>2627.4+(71.9-1115.9)+(-6.69987+(-0.183345--2.845545))+0--152-0.387599999999978</f>
        <v>1730.9747300000001</v>
      </c>
      <c r="I218" s="3">
        <f>2402.3+(73.8-910.3)+(6.125865+(0.18819-2.321265))+0--152--0.387599999999978</f>
        <v>1722.1803900000002</v>
      </c>
      <c r="J218" s="3">
        <f>2408+(72.7-962.9)+(2.45616+(0.074154-0.982158))+0--155--0.158100000000025</f>
        <v>1674.5062560000003</v>
      </c>
      <c r="K218" s="3">
        <f>2415.5+(70.7-1030.7)+(-2.46381+(-0.072114--1.051314))+0--153-0.156060000000024</f>
        <v>1606.85933</v>
      </c>
      <c r="L218" s="3">
        <f>2414.6+(68.7-1133.8)+(-2.462892+(-0.070074--1.156476))+0--153.3-0.156366000000024</f>
        <v>1501.2671439999999</v>
      </c>
      <c r="M218" s="3">
        <f>2452.2+(78.1-1110.2)+(2.501244+(0.079662-1.132404))+0--163.3--0.166566000000026</f>
        <v>1585.0150679999997</v>
      </c>
      <c r="N218" s="3">
        <f>2745.1+(95.7-1408)+(-4.200003+(-0.146421--2.15424))+0--286.7-0.438651000000017</f>
        <v>1716.8691650000001</v>
      </c>
      <c r="O218" s="3">
        <f>2883.4+(99.4-1463.1)+(-4.411602+(-0.152082--2.238543))+0--283.4-0.433602000000016</f>
        <v>1800.341257</v>
      </c>
      <c r="P218" s="3">
        <f>2937.5+(103.7-1417.8)+(-4.494375+(-0.158661--2.169234))+0--281.6-0.430848000000016</f>
        <v>1902.0853500000003</v>
      </c>
      <c r="Q218" s="3">
        <f>2907.5+(102.5-1304.1)+(-7.414125+(-0.261375--3.325455))+0--279-0.71144999999996</f>
        <v>1979.8385050000002</v>
      </c>
      <c r="R218" s="3">
        <f>2878.9+(81.5-1245.7)+(-7.341195+(-0.207825--3.176535))+0--300.4-0.766019999999956</f>
        <v>2009.961495</v>
      </c>
      <c r="S218" s="3">
        <f>2877.7+(100-1183.3)+(-2.935254+(-0.102--1.206966))+0--305.5-0.311610000000049</f>
        <v>2097.7581019999993</v>
      </c>
      <c r="T218" s="3">
        <f>2912.3+(105.8-1213.9)+(-5.941092+(-0.215832--2.476356))+0--295.9-0.603635999999987</f>
        <v>2095.8157960000003</v>
      </c>
      <c r="U218" s="3">
        <f>2884.4+(91.4-1246.4)+(-5.884176+(-0.186456--2.542656))+0--297.2-0.606287999999987</f>
        <v>2022.4657360000001</v>
      </c>
      <c r="V218" s="3">
        <f>2861.6+(87.9-1323.8)+(1.459416+(0.044829-0.675138))+0--297.8--0.15187799999997</f>
        <v>1924.4809849999999</v>
      </c>
      <c r="W218" s="3">
        <f>2950.3+(93.7-1311.7)+(0+(0-0))+0--297.8-0</f>
        <v>2030.1000000000001</v>
      </c>
      <c r="X218" s="3">
        <f>3164.3+(101.1-1256.7)+(-6.455172+(-0.206244--2.563668))+0--298.2-0.608327999999987</f>
        <v>2302.1939240000002</v>
      </c>
      <c r="Y218" s="3">
        <f>3140.9+(99-1311.1)+(-6.407436+(-0.20196--2.674644))+0--299-0.609959999999987</f>
        <v>2223.2552880000003</v>
      </c>
      <c r="Z218" s="3">
        <f>3122.4+(94.8-1336.2)+(-3.184848+(-0.096696--1.362924))+0--299.5-0.305490000000048</f>
        <v>2178.2758899999999</v>
      </c>
      <c r="AA218" s="3">
        <f>3158.4+(92.5-1404)+(-3.221568+(-0.09435--1.43208))+0--299.8-0.305796000000048</f>
        <v>2144.510366</v>
      </c>
      <c r="AB218" s="3">
        <f>3170.8+(85.1-1437.9)+(-8.08554+(-0.217005--3.666645))+0--292.4-0.745619999999958</f>
        <v>2105.0184799999997</v>
      </c>
      <c r="AC218" s="3">
        <f>2964.7+(79-1304.2)+(-7.559985+(-0.20145--3.32571))+0--285.3-0.727514999999959</f>
        <v>2019.6367599999996</v>
      </c>
      <c r="AD218">
        <f t="shared" si="3"/>
        <v>46149.278877999997</v>
      </c>
      <c r="AE218" s="3">
        <f>3131.3+(113.4-1278.4)+(0+(0-0))+0--298-0</f>
        <v>2264.3000000000002</v>
      </c>
    </row>
    <row r="219" spans="1:31" s="2" customFormat="1" x14ac:dyDescent="0.25">
      <c r="A219">
        <v>89</v>
      </c>
      <c r="B219">
        <v>8</v>
      </c>
      <c r="C219">
        <v>3</v>
      </c>
      <c r="D219">
        <v>3</v>
      </c>
      <c r="E219">
        <v>1</v>
      </c>
      <c r="F219" s="3">
        <f>2886.9+(71.9-1337.2)+(-4.416957+(-0.110007--2.045916))+0--287-0.439110000000017</f>
        <v>1905.679842</v>
      </c>
      <c r="G219" s="3">
        <f>2705.2+(69.8-1244.4)+(-6.89826+(-0.17799--3.17322))+0--287.8-0.733889999999958</f>
        <v>1813.7630799999997</v>
      </c>
      <c r="H219" s="3">
        <f>2610.7+(75.5-1109.8)+(-2.662914+(-0.07701--1.131996))+0--194-0.197880000000031</f>
        <v>1768.594192</v>
      </c>
      <c r="I219" s="3">
        <f>2548.3+(72.7-1073.9)+(0+(0-0))+0--171-0</f>
        <v>1718.1000000000001</v>
      </c>
      <c r="J219" s="3">
        <f>2471.6+(69.9-1043.5)+(1.260516+(0.035649-0.532185))+0--149.6--0.0762959999999848</f>
        <v>1648.4402759999998</v>
      </c>
      <c r="K219" s="3">
        <f>2451+(69.3-1077.8)+(-2.50002+(-0.070686--1.099356))+0--149.5-0.152490000000024</f>
        <v>1590.37616</v>
      </c>
      <c r="L219" s="3">
        <f>2407.3+(67.8-1125.7)+(-1.227723+(-0.034578--0.574107))+0--149.2-0.0760919999999849</f>
        <v>1497.8357140000001</v>
      </c>
      <c r="M219" s="3">
        <f>2479+(75.6-1139.5)+(3.79287+(0.115668-1.743435))+0--149--0.227970000000009</f>
        <v>1566.4930729999999</v>
      </c>
      <c r="N219" s="3">
        <f>2525.6+(99.3-1101.4)+(-1.288056+(-0.050643--0.561714))+0--148.8-0.0758879999999849</f>
        <v>1671.4471269999997</v>
      </c>
      <c r="O219" s="3">
        <f>2760.9+(107.1-1269.9)+(-1.408059+(-0.054621--0.647649))+0--188.7-0.0962369999999809</f>
        <v>1785.8887319999999</v>
      </c>
      <c r="P219" s="3">
        <f>2836.6+(102-1311.2)+(0+(0-0))+0--279.3-0</f>
        <v>1906.6999999999998</v>
      </c>
      <c r="Q219" s="3">
        <f>2706.2+(101.4-1114.1)+(-2.760324+(-0.103428--1.136382))+0--278.6-0.284172000000044</f>
        <v>1970.0884579999997</v>
      </c>
      <c r="R219" s="3">
        <f>2680.1+(85.7-1073.7)+(-8.201106+(-0.262242--3.285522))+0--280.7-0.858942000000032</f>
        <v>1966.7632319999998</v>
      </c>
      <c r="S219" s="3">
        <f>2780.4+(97.9-1089.9)+(-5.672016+(-0.199716--2.223396))+0--280.8-0.572831999999988</f>
        <v>2064.9788320000002</v>
      </c>
      <c r="T219" s="3">
        <f>2764.1+(88.5-1064.4)+(-4.229073+(-0.135405--1.628532))+0--280.1-0.428553000000016</f>
        <v>2065.1355009999997</v>
      </c>
      <c r="U219" s="3">
        <f>2726.9+(88.8-1096.1)+(2.781438+(0.090576-1.118022))+0--281.2--0.286824000000045</f>
        <v>2002.8408160000001</v>
      </c>
      <c r="V219" s="3">
        <f>2679.3+(86-1134.6)+(0+(0-0))+0--281.3-0</f>
        <v>1912.0000000000002</v>
      </c>
      <c r="W219" s="3">
        <f>2801.8+(93.7-1135.2)+(1.428918+(0.047787-0.578952))+0--282.1--0.143870999999971</f>
        <v>2043.4416240000003</v>
      </c>
      <c r="X219" s="3">
        <f>2949+(100.4-1119)+(-1.50399+(-0.051204--0.57069))+0--286.4-0.146063999999971</f>
        <v>2215.6694320000001</v>
      </c>
      <c r="Y219" s="3">
        <f>3025+(97.5-1209.6)+(-6.171+(-0.1989--2.467584))+0--287.6-0.586703999999987</f>
        <v>2196.0109800000005</v>
      </c>
      <c r="Z219" s="3">
        <f>3056.2+(92.3-1277.6)+(-3.117324+(-0.094146--1.303152))+0--288.6-0.294372000000046</f>
        <v>2157.2973099999999</v>
      </c>
      <c r="AA219" s="3">
        <f>3097.5+(89.8-1346.9)+(-1.579725+(-0.045798--0.686919))+0--289.6-0.147695999999971</f>
        <v>2128.9137000000001</v>
      </c>
      <c r="AB219" s="3">
        <f>3113.1+(86.1-1396.3)+(-4.763043+(-0.131733--2.136339))+0--285-0.436050000000016</f>
        <v>2084.7055130000003</v>
      </c>
      <c r="AC219" s="3">
        <f>3123.9+(78.2-1480.1)+(-7.965945+(-0.19941--3.774255))+0--283-0.721649999999959</f>
        <v>1999.8872500000002</v>
      </c>
      <c r="AD219">
        <f t="shared" si="3"/>
        <v>45681.050844000005</v>
      </c>
      <c r="AE219" s="3">
        <f>2954.3+(99-1113.4)+(0+(0-0))+0--288-0</f>
        <v>2227.9</v>
      </c>
    </row>
    <row r="220" spans="1:31" s="2" customFormat="1" x14ac:dyDescent="0.25">
      <c r="A220">
        <v>89</v>
      </c>
      <c r="B220">
        <v>8</v>
      </c>
      <c r="C220">
        <v>4</v>
      </c>
      <c r="D220">
        <v>4</v>
      </c>
      <c r="E220">
        <v>1</v>
      </c>
      <c r="F220" s="3">
        <f>3046.4+(71.4-1496.8)+(-6.214656+(-0.145656--3.053472))+0--293-0.597719999999987</f>
        <v>1910.0954400000003</v>
      </c>
      <c r="G220" s="3">
        <f>2831.7+(69.9-1314)+(0+(0-0))+0--237-0</f>
        <v>1824.6</v>
      </c>
      <c r="H220" s="3">
        <f>2849.6+(69-1336.7)+(1.453296+(0.03519-0.681717))+0--152--0.0775199999999846</f>
        <v>1734.7842889999999</v>
      </c>
      <c r="I220" s="3">
        <f>2898.5+(68.1-1429.7)+(2.95647+(0.069462-1.458294))+0--150.5--0.153510000000024</f>
        <v>1689.1211479999999</v>
      </c>
      <c r="J220" s="3">
        <f>2900.2+(66.6-1462.1)+(-2.958204+(-0.067932--1.491342))+0--152-0.155040000000024</f>
        <v>1655.0101659999998</v>
      </c>
      <c r="K220" s="3">
        <f>2894.4+(66.3-1494.2)+(-2.952288+(-0.067626--1.524084))+0--152-0.155040000000024</f>
        <v>1616.8491299999998</v>
      </c>
      <c r="L220" s="3">
        <f>2802.9+(63.9-1490)+(-4.288437+(-0.097767--2.2797))+0--151-0.231030000000009</f>
        <v>1525.4624660000002</v>
      </c>
      <c r="M220" s="3">
        <f>2739.4+(75.4-1372.3)+(-1.397094+(-0.038454--0.699873))+0--151.2-0.0771119999999847</f>
        <v>1592.8872130000004</v>
      </c>
      <c r="N220" s="3">
        <f>2722.9+(82.8-1268.1)+(0+(0-0))+0--150.8-0</f>
        <v>1688.4</v>
      </c>
      <c r="O220" s="3">
        <f>2764.2+(83.1-1259.8)+(1.409742+(0.042381-0.642498))+0--175.3--0.0894029999999822</f>
        <v>1763.6990279999998</v>
      </c>
      <c r="P220" s="3">
        <f>2687.1+(85.9-1208.7)+(0+(0-0))+0--279.7-0</f>
        <v>1844</v>
      </c>
      <c r="Q220" s="3">
        <f>2751.8+(89-1177.7)+(-1.403418+(-0.04539--0.600627))+0--280.7-0.143156999999972</f>
        <v>1942.8086620000001</v>
      </c>
      <c r="R220" s="3">
        <f>2768.1+(82-1162.4)+(-4.235193+(-0.12546--1.778472))+0--283.4-0.433602000000016</f>
        <v>1968.0842169999996</v>
      </c>
      <c r="S220" s="3">
        <f>2924.3+(87.3-1190)+(-5.965572+(-0.178092--2.4276))+0--281.9-0.575075999999988</f>
        <v>2099.2088600000002</v>
      </c>
      <c r="T220" s="3">
        <f>3062+(85.3-1314.5)+(-7.8081+(-0.217515--3.351975))+0--281.7-0.718334999999959</f>
        <v>2109.108025</v>
      </c>
      <c r="U220" s="3">
        <f>3084.1+(84.5-1463.5)+(-6.291564+(-0.17238--2.98554))+0--282.4-0.576095999999988</f>
        <v>1983.4455</v>
      </c>
      <c r="V220" s="3">
        <f>3155+(78.4-1623.8)+(-1.60905+(-0.039984--0.828138))+0--282.2-0.143921999999971</f>
        <v>1890.8351820000003</v>
      </c>
      <c r="W220" s="3">
        <f>3222.3+(93.7-1549.7)+(0+(0-0))+0--282.5-0</f>
        <v>2048.8000000000002</v>
      </c>
      <c r="X220" s="3">
        <f>3372.3+(100.8-1509)+(-5.159619+(-0.154224--2.30877))+0--282.9-0.432837000000016</f>
        <v>2243.5620900000004</v>
      </c>
      <c r="Y220" s="3">
        <f>3385.5+(97.9-1564.5)+(-10.35963+(-0.299574--4.78737))+0--284.1-0.869346000000033</f>
        <v>2196.25882</v>
      </c>
      <c r="Z220" s="3">
        <f>3409.4+(92.9-1629.9)+(-5.216382+(-0.142137--2.493747))+0--283.1-0.433143000000016</f>
        <v>2152.2020849999999</v>
      </c>
      <c r="AA220" s="3">
        <f>3372.8+(91.2-1621.6)+(1.720128+(0.046512-0.827016))+0--282.4--0.144023999999971</f>
        <v>2125.8836480000004</v>
      </c>
      <c r="AB220" s="3">
        <f>3311.4+(83.9-1613.8)+(-3.377628+(-0.085578--1.646076))+0--283-0.288660000000045</f>
        <v>2062.3942100000004</v>
      </c>
      <c r="AC220" s="3">
        <f>3209.4+(74.6-1593.9)+(-6.547176+(-0.152184--3.251556))+0--283.8-0.578951999999988</f>
        <v>1969.8732439999999</v>
      </c>
      <c r="AD220">
        <f t="shared" si="3"/>
        <v>45637.373423000005</v>
      </c>
      <c r="AE220" s="3">
        <f>3343.3+(108-1511.9)+(0+(0-0))+0--285-0</f>
        <v>2224.4</v>
      </c>
    </row>
    <row r="221" spans="1:31" s="2" customFormat="1" x14ac:dyDescent="0.25">
      <c r="A221">
        <v>89</v>
      </c>
      <c r="B221">
        <v>8</v>
      </c>
      <c r="C221">
        <v>5</v>
      </c>
      <c r="D221">
        <v>5</v>
      </c>
      <c r="E221">
        <v>1</v>
      </c>
      <c r="F221" s="3">
        <f>3114.4+(77.7-1606.2)+(-3.176688+(-0.079254--1.638324))+0--285.9-0.291618000000046</f>
        <v>1869.890764</v>
      </c>
      <c r="G221" s="3">
        <f>2911.4+(77.2-1483.8)+(-7.42407+(-0.19686--3.78369))+0--287-0.731849999999958</f>
        <v>1787.2309100000002</v>
      </c>
      <c r="H221" s="3">
        <f>2715.3+(75.5-1371.8)+(-1.384803+(-0.038505--0.699618))+0--287.6-0.146675999999971</f>
        <v>1705.729634</v>
      </c>
      <c r="I221" s="3">
        <f>2629.2+(76.5-1330.3)+(-1.340892+(-0.039015--0.678453))+0--258-0.131579999999974</f>
        <v>1632.5669659999999</v>
      </c>
      <c r="J221" s="3">
        <f>2611.9+(80.6-1249.6)+(6.660345+(0.20553-3.18648))+0--253--0.645149999999963</f>
        <v>1700.2245450000003</v>
      </c>
      <c r="K221" s="3">
        <f>2563.9+(80.1-1241.3)+(1.307589+(0.040851-0.633063))+0--256--0.130559999999974</f>
        <v>1659.5459370000001</v>
      </c>
      <c r="L221" s="3">
        <f>2602.7+(76.4-1386.2)+(-3.982131+(-0.116892--2.120886))+0--145.6-0.222768000000008</f>
        <v>1436.2990949999996</v>
      </c>
      <c r="M221" s="3">
        <f>2692.3+(85.7-1412.7)+(2.746146+(0.087414-1.440954))+0--145.6--0.148512000000023</f>
        <v>1512.441118</v>
      </c>
      <c r="N221" s="3">
        <f>2940.1+(89.5-1638.8)+(-4.498353+(-0.136935--2.507364))+0--257.2-0.393516000000015</f>
        <v>1645.47856</v>
      </c>
      <c r="O221" s="3">
        <f>2936.3+(90.7-1558)+(0+(0-0))+0--281.5-0</f>
        <v>1750.5000000000002</v>
      </c>
      <c r="P221" s="3">
        <f>2945.1+(93.9-1488.3)+(0+(0-0))+0--281-0</f>
        <v>1831.7</v>
      </c>
      <c r="Q221" s="3">
        <f>2958.5+(95.7-1443.4)+(-1.508835+(-0.048807--0.736134))+0--280.1-0.142850999999972</f>
        <v>1889.935641</v>
      </c>
      <c r="R221" s="3">
        <f>2779.3+(91.1-1222.1)+(-7.087215+(-0.232305--3.116355))+0--279.9-0.713744999999959</f>
        <v>1923.2830900000004</v>
      </c>
      <c r="S221" s="3">
        <f>2299.9+(101.7-687)+(-3.518847+(-0.155601--1.05111))+0--267.9-0.409887000000015</f>
        <v>1979.4667750000001</v>
      </c>
      <c r="T221" s="3">
        <f>2251.2+(104.9-654.5)+(-3.444336+(-0.160497--1.001385))+0--275.3-0.421209000000016</f>
        <v>1973.8753429999997</v>
      </c>
      <c r="U221" s="3">
        <f>2313.8+(104.7-780.7)+(-5.90019+(-0.266985--1.990785))+0--276.2-0.70430999999996</f>
        <v>1909.1193000000003</v>
      </c>
      <c r="V221" s="3">
        <f>2441.2+(102.2-972.8)+(-6.22506+(-0.26061--2.48064))+0--275.4-0.70226999999996</f>
        <v>1841.2926999999997</v>
      </c>
      <c r="W221" s="3">
        <f>2909.1+(107.3-1300)+(-2.967282+(-0.109446--1.326))+0--291.7-0.297534000000046</f>
        <v>2006.0517379999999</v>
      </c>
      <c r="X221" s="3">
        <f>3065.8+(107.3-1297.7)+(-3.127116+(-0.109446--1.323654))+0--296.7-0.302634000000047</f>
        <v>2169.884458</v>
      </c>
      <c r="Y221" s="3">
        <f>3079.2+(104.6-1337.4)+(-4.711176+(-0.160038--2.046222))+0--289.2-0.442476000000017</f>
        <v>2132.3325319999994</v>
      </c>
      <c r="Z221" s="3">
        <f>3101+(101.6-1387.7)+(-3.16302+(-0.103632--1.415454))+0--276.4-0.281928000000044</f>
        <v>2089.166874</v>
      </c>
      <c r="AA221" s="3">
        <f>3035.8+(100.1-1365.9)+(-7.74129+(-0.255255--3.483045))+0--278.6-0.71042999999996</f>
        <v>2043.37607</v>
      </c>
      <c r="AB221" s="3">
        <f>2967.1+(94.2-1351.2)+(1.513221+(0.048042-0.689112))+0--279.6--0.142595999999972</f>
        <v>1990.7147469999998</v>
      </c>
      <c r="AC221" s="3">
        <f>2956.9+(87.5-1416.5)+(-7.540095+(-0.223125--3.612075))+0--280-0.713999999999959</f>
        <v>1903.0348550000001</v>
      </c>
      <c r="AD221">
        <f t="shared" si="3"/>
        <v>44383.141651999998</v>
      </c>
      <c r="AE221" s="3">
        <f>3052.3+(99.9-1291.3)+(0+(0-0))+0--297-0</f>
        <v>2157.9000000000005</v>
      </c>
    </row>
    <row r="222" spans="1:31" s="2" customFormat="1" x14ac:dyDescent="0.25">
      <c r="A222">
        <v>89</v>
      </c>
      <c r="B222">
        <v>8</v>
      </c>
      <c r="C222">
        <v>6</v>
      </c>
      <c r="D222">
        <v>6</v>
      </c>
      <c r="E222">
        <v>1</v>
      </c>
      <c r="F222" s="3">
        <f>2925.6+(73.5-1470.2)+(-5.968224+(-0.14994--2.999208))+0--279-0.569159999999988</f>
        <v>1804.2118839999998</v>
      </c>
      <c r="G222" s="3">
        <f>2860.3+(72.1-1489.1)+(1.458753+(0.036771-0.759441))+0--280--0.142799999999972</f>
        <v>1724.1788830000003</v>
      </c>
      <c r="H222" s="3">
        <f>2857.3+(71.1-1470.8)+(1.457223+(0.036261-0.750108))+0--200.4--0.10220399999998</f>
        <v>1658.8455800000002</v>
      </c>
      <c r="I222" s="3">
        <f>2727.4+(70-1330.2)+(-2.781948+(-0.0714--1.356804))+0--140.1-0.142902000000022</f>
        <v>1605.6605539999998</v>
      </c>
      <c r="J222" s="3">
        <f>2608+(68.4-1255.9)+(-1.33008+(-0.034884--0.640509))+0--140.3-0.0715529999999858</f>
        <v>1560.0039919999999</v>
      </c>
      <c r="K222" s="3">
        <f>2593.1+(68.7-1273.2)+(-2.644962+(-0.070074--1.298664))+0--140.4-0.143208000000022</f>
        <v>1527.4404200000001</v>
      </c>
      <c r="L222" s="3">
        <f>2558.7+(67-1314.1)+(-2.609874+(-0.06834--1.340382))+0--140.9-0.143718000000022</f>
        <v>1451.01845</v>
      </c>
      <c r="M222" s="3">
        <f>2512.8+(77.2-1221.2)+(-1.281528+(-0.039372--0.622812))+0--148.8-0.0758879999999849</f>
        <v>1516.826024</v>
      </c>
      <c r="N222" s="3">
        <f>2658.8+(82.4-1337.3)+(4.067964+(0.126072-2.046069))+0--208.4--0.318852000000012</f>
        <v>1614.7668190000006</v>
      </c>
      <c r="O222" s="3">
        <f>2902.9+(82.4-1522.6)+(2.960958+(0.084048-1.553052))+0--239--0.243780000000038</f>
        <v>1703.4357340000004</v>
      </c>
      <c r="P222" s="3">
        <f>3031+(83.9-1606.8)+(-6.18324+(-0.171156--3.277872))+0--277.4-0.565895999999988</f>
        <v>1781.8575799999999</v>
      </c>
      <c r="Q222" s="3">
        <f>2999.5+(84.9-1573.5)+(-3.05949+(-0.086598--1.60497))+0--276.9-0.282438000000044</f>
        <v>1785.9764440000001</v>
      </c>
      <c r="R222" s="3">
        <f>2887.9+(82.1-1438.8)+(-11.782632+(-0.334968--5.870304))+0--227.5-0.92819999999998</f>
        <v>1751.524504</v>
      </c>
      <c r="S222" s="3">
        <f>2807.4+(83.1-1313.2)+(0+(0-0))+0--208.5-0</f>
        <v>1785.8</v>
      </c>
      <c r="T222" s="3">
        <f>2655.9+(83.4-1131.7)+(0+(0-0))+0--175.6-0</f>
        <v>1783.2</v>
      </c>
      <c r="U222" s="3">
        <f>2587.1+(82.4-1065.8)+(-3.958263+(-0.126072--1.630674))+0--139.5-0.213435000000008</f>
        <v>1740.5329039999997</v>
      </c>
      <c r="V222" s="3">
        <f>2462.3+(83.3-996.1)+(0+(0-0))+0--139.4-0</f>
        <v>1688.9</v>
      </c>
      <c r="W222" s="3">
        <f>2691.7+(93.7-1132.3)+(-4.118301+(-0.143361--1.732419))+0--175-0.26775000000001</f>
        <v>1825.303007</v>
      </c>
      <c r="X222" s="3">
        <f>2972.5+(96.9-1358.4)+(-7.579875+(-0.247095--3.46392))+0--275.4-0.70226999999996</f>
        <v>1981.3346800000002</v>
      </c>
      <c r="Y222" s="3">
        <f>2974.3+(94.7-1412.3)+(-12.135144+(-0.386376--5.762184))+0--278.1-1.13464799999998</f>
        <v>1926.9060160000001</v>
      </c>
      <c r="Z222" s="3">
        <f>2878+(91-1375)+(-2.93556+(-0.09282--1.4025))+0--279-0.284580000000044</f>
        <v>1871.0895399999999</v>
      </c>
      <c r="AA222" s="3">
        <f>2687.7+(91.4-1218)+(-5.482908+(-0.186456--2.48472))+0--279.4-0.569975999999988</f>
        <v>1836.7453800000001</v>
      </c>
      <c r="AB222" s="3">
        <f>2618.6+(87.7-1153.5)+(-8.012916+(-0.268362--3.52971))+0--243.2-0.744192000000028</f>
        <v>1790.50424</v>
      </c>
      <c r="AC222" s="3">
        <f>2592+(80.2-1159.7)+(-1.32192+(-0.040902--0.591447))+0--209.9-0.107048999999979</f>
        <v>1721.5215760000001</v>
      </c>
      <c r="AD222">
        <f t="shared" si="3"/>
        <v>41437.584211000001</v>
      </c>
      <c r="AE222" s="3">
        <f>2992.3+(97.6-1380.9)+(0+(0-0))+0--277-0</f>
        <v>1986</v>
      </c>
    </row>
    <row r="223" spans="1:31" s="2" customFormat="1" x14ac:dyDescent="0.25">
      <c r="A223">
        <v>89</v>
      </c>
      <c r="B223">
        <v>8</v>
      </c>
      <c r="C223">
        <v>7</v>
      </c>
      <c r="D223">
        <v>7</v>
      </c>
      <c r="E223">
        <v>1</v>
      </c>
      <c r="F223" s="3">
        <f>2585.7+(74.7-1223.4)+(-6.593535+(-0.190485--3.11967))+0--211-0.538049999999969</f>
        <v>1643.7975999999999</v>
      </c>
      <c r="G223" s="3">
        <f>2388.2+(76.2-1099.7)+(-7.307892+(-0.233172--3.365082))+0--210.4-0.643824000000024</f>
        <v>1570.2801939999999</v>
      </c>
      <c r="H223" s="3">
        <f>2087+(75.4-810.6)+(-3.19311+(-0.115362--1.240218))+0--159.3-0.243729000000009</f>
        <v>1508.7880169999999</v>
      </c>
      <c r="I223" s="3">
        <f>1984.9+(76.5-732.6)+(-1.012299+(-0.039015--0.373626))+0--139-0.0708899999999859</f>
        <v>1467.0514220000002</v>
      </c>
      <c r="J223" s="3">
        <f>1797.1+(88.2-592.3)+(0+(0-0))+0--139-0</f>
        <v>1432</v>
      </c>
      <c r="K223" s="3">
        <f>1818.9+(99.7-663.5)+(-0.927639+(-0.050847--0.338385))+0--138.9-0.0708389999999859</f>
        <v>1393.2890600000003</v>
      </c>
      <c r="L223" s="3">
        <f>1794.6+(99.5-701.5)+(-0.915246+(-0.050745--0.357765))+0--139.2-0.0709919999999859</f>
        <v>1331.120782</v>
      </c>
      <c r="M223" s="3">
        <f>1876.1+(106.6-776.7)+(-0.956811+(-0.054366--0.396117))+0--139-0.0708899999999859</f>
        <v>1344.31405</v>
      </c>
      <c r="N223" s="3">
        <f>1962.6+(123.3-811.1)+(-3.002778+(-0.188649--1.240983))+0--138.7-0.212211000000008</f>
        <v>1411.3373449999997</v>
      </c>
      <c r="O223" s="3">
        <f>2014.1+(133-803.7)+(-2.054382+(-0.13566--0.819774))+0--138.7-0.141474000000022</f>
        <v>1480.588258</v>
      </c>
      <c r="P223" s="3">
        <f>1997.6+(137.1-737.4)+(-2.037552+(-0.139842--0.752148))+0--138.7-0.141474000000022</f>
        <v>1534.43328</v>
      </c>
      <c r="Q223" s="3">
        <f>1959.1+(132.3-659)+(-1.998282+(-0.134946--0.67218))+0--138.3-0.141066000000022</f>
        <v>1569.097886</v>
      </c>
      <c r="R223" s="3">
        <f>1902.7+(127.9-594.1)+(-1.940754+(-0.130458--0.605982))+0--138.4-0.141168000000022</f>
        <v>1573.293602</v>
      </c>
      <c r="S223" s="3">
        <f>1675.2+(215.1-442.8)+(-1.708704+(-0.219402--0.451656))+0--138.6-0.141372000000022</f>
        <v>1584.4821779999997</v>
      </c>
      <c r="T223" s="3">
        <f>1677+(255.3-467.8)+(-3.42108+(-0.520812--0.954312))+0--138.8-0.283151999999994</f>
        <v>1600.029268</v>
      </c>
      <c r="U223" s="3">
        <f>1713.3+(199.5-479.6)+(-0.873783+(-0.101745--0.244596))+0--138.8-0.0707879999999859</f>
        <v>1571.1982799999998</v>
      </c>
      <c r="V223" s="3">
        <f>1822.9+(117-529.8)+(0.929679+(0.05967-0.270198))+0--138.9--0.0708389999999859</f>
        <v>1549.7899900000002</v>
      </c>
      <c r="W223" s="3">
        <f>2016.1+(126.5-665.1)+(-1.028211+(-0.064515--0.339201))+0--212.3-0.108272999999978</f>
        <v>1688.9382019999998</v>
      </c>
      <c r="X223" s="3">
        <f>2226.4+(126.9-784)+(-4.541856+(-0.258876--1.59936))+0--276.3-0.563651999999988</f>
        <v>1841.8349760000001</v>
      </c>
      <c r="Y223" s="3">
        <f>2202.3+(120.3-781.7)+(2.246346+(0.122706-0.797334))+0--277.9--0.283458000000044</f>
        <v>1820.655176</v>
      </c>
      <c r="Z223" s="3">
        <f>2136.6+(114.1-696.2)+(-3.268998+(-0.174573--1.065186))+0--228.9-0.350217000000013</f>
        <v>1780.6713980000002</v>
      </c>
      <c r="AA223" s="3">
        <f>2119.4+(113.6-719)+(-2.161788+(-0.115872--0.73338))+0--233.8-0.238476000000037</f>
        <v>1746.0172439999999</v>
      </c>
      <c r="AB223" s="3">
        <f>2204.1+(89.5-867.6)+(-2.248182+(-0.09129--0.884952))+0--279.2-0.284784000000045</f>
        <v>1703.4606960000001</v>
      </c>
      <c r="AC223" s="3">
        <f>2130.1+(82.6-871.6)+(-5.431755+(-0.21063--2.22258))+0--279.9-0.713744999999959</f>
        <v>1616.86645</v>
      </c>
      <c r="AD223">
        <f t="shared" si="3"/>
        <v>37763.33535400001</v>
      </c>
      <c r="AE223" s="3">
        <f>2244.3+(122.3-784.2)+(0+(0-0))+0--275-0</f>
        <v>1857.4</v>
      </c>
    </row>
    <row r="224" spans="1:31" s="2" customFormat="1" x14ac:dyDescent="0.25">
      <c r="A224">
        <v>89</v>
      </c>
      <c r="B224">
        <v>8</v>
      </c>
      <c r="C224">
        <v>8</v>
      </c>
      <c r="D224">
        <v>1</v>
      </c>
      <c r="E224">
        <v>1</v>
      </c>
      <c r="F224" s="3">
        <f>1998+(79.6-810.7)+(-1.01898+(-0.040596--0.413457))+0--281-0.143309999999971</f>
        <v>1547.1105710000002</v>
      </c>
      <c r="G224" s="3">
        <f>1975.5+(80.7-845.5)+(-1.007505+(-0.041157--0.431205))+0--280.7-0.143156999999972</f>
        <v>1490.6393860000001</v>
      </c>
      <c r="H224" s="3">
        <f>1858.7+(79.6-780.1)+(-2.843811+(-0.121788--1.193553))+0--281.8-0.431154000000016</f>
        <v>1437.7967999999998</v>
      </c>
      <c r="I224" s="3">
        <f>1841.2+(75.3-722.6)+(0.939012+(0.038403-0.368526))+0--249.9--0.127448999999975</f>
        <v>1444.5363380000003</v>
      </c>
      <c r="J224" s="3">
        <f>1858.5+(75.8-757)+(-3.79134+(-0.154632--1.54428))+0--212.3-0.433091999999991</f>
        <v>1386.765216</v>
      </c>
      <c r="K224" s="3">
        <f>1860.4+(79.1-786.1)+(0+(0-0))+0--212.8-0</f>
        <v>1366.2</v>
      </c>
      <c r="L224" s="3">
        <f>1905.1+(85.1-846.4)+(0+(0-0))+0--184.8-0</f>
        <v>1328.6</v>
      </c>
      <c r="M224" s="3">
        <f>2048.5+(95.9-984.9)+(-1.044735+(-0.048909--0.502299))+0--228.3-0.116432999999977</f>
        <v>1387.092222</v>
      </c>
      <c r="N224" s="3">
        <f>2333.8+(109.9-1167.7)+(-3.570714+(-0.168147--1.786581))+0--280.6-0.429318000000016</f>
        <v>1554.2184020000004</v>
      </c>
      <c r="O224" s="3">
        <f>2605+(87.5-1294.4)+(-2.6571+(-0.08925--1.320288))+0--277.8-0.283356000000044</f>
        <v>1674.1905819999997</v>
      </c>
      <c r="P224" s="3">
        <f>2727.2+(93.1-1412.1)+(-5.563488+(-0.189924--2.880684))+0--275.5-0.562019999999988</f>
        <v>1680.2652519999997</v>
      </c>
      <c r="Q224" s="3">
        <f>2717.7+(93.2-1359.1)+(-1.386027+(-0.047532--0.693141))+0--274.8-0.140147999999972</f>
        <v>1725.7194339999999</v>
      </c>
      <c r="R224" s="3">
        <f>2703.6+(79.5-1354.5)+(-2.757672+(-0.08109--1.38159))+0--275-0.280500000000044</f>
        <v>1701.8623279999999</v>
      </c>
      <c r="S224" s="3">
        <f>2698.7+(83.9-1300.2)+(-5.505348+(-0.171156--2.652408))+0--273.8-0.558551999999988</f>
        <v>1752.6173519999998</v>
      </c>
      <c r="T224" s="3">
        <f>2714.7+(86.7-1308.8)+(0+(0-0))+0--274.5-0</f>
        <v>1767.1</v>
      </c>
      <c r="U224" s="3">
        <f>2710.7+(84.7-1343.4)+(-5.529828+(-0.172788--2.740536))+0--274.9-0.560795999999988</f>
        <v>1723.3771239999999</v>
      </c>
      <c r="V224" s="3">
        <f>2737.4+(83.3-1386)+(-4.188222+(-0.127449--2.12058))+0--276.2-0.422586000000016</f>
        <v>1708.2823230000001</v>
      </c>
      <c r="W224" s="3">
        <f>2783.2+(98.2-1258.2)+(0+(0-0))+0--274.9-0</f>
        <v>1898.1</v>
      </c>
      <c r="X224" s="3">
        <f>2867.7+(103-1207.3)+(-4.387581+(-0.15759--1.847169))+0--275.4-0.421362000000016</f>
        <v>2035.6806359999996</v>
      </c>
      <c r="Y224" s="3">
        <f>2903.2+(98.8-1265.8)+(-7.40316+(-0.25194--3.22779))+0--276-0.70379999999996</f>
        <v>2007.0688899999998</v>
      </c>
      <c r="Z224" s="3">
        <f>2845.4+(95.5-1285)+(-5.804616+(-0.19482--2.6214))+0--278.4-0.567935999999988</f>
        <v>1930.3540280000002</v>
      </c>
      <c r="AA224" s="3">
        <f>2742.5+(93.1-1228.2)+(-4.196025+(-0.142443--1.879146))+0--278.4-0.425952000000016</f>
        <v>1882.914726</v>
      </c>
      <c r="AB224" s="3">
        <f>2690.5+(86.8-1224.8)+(-6.860775+(-0.22134--3.12324))+0--277.8-0.70838999999996</f>
        <v>1825.6327349999999</v>
      </c>
      <c r="AC224" s="3">
        <f>2451.8+(80.2-1065.6)+(-7.502508+(-0.245412--3.260736))+0--280.6-0.858636000000032</f>
        <v>1741.6541800000005</v>
      </c>
      <c r="AD224">
        <f t="shared" si="3"/>
        <v>39997.778524999994</v>
      </c>
      <c r="AE224" s="3">
        <f>2859.3+(115.9-1209)+(0+(0-0))+0--284-0</f>
        <v>2050.2000000000003</v>
      </c>
    </row>
    <row r="225" spans="1:31" s="2" customFormat="1" x14ac:dyDescent="0.25">
      <c r="A225">
        <v>89</v>
      </c>
      <c r="B225">
        <v>8</v>
      </c>
      <c r="C225">
        <v>9</v>
      </c>
      <c r="D225">
        <v>2</v>
      </c>
      <c r="E225">
        <v>1</v>
      </c>
      <c r="F225" s="3">
        <f>2061.6+(85.1-790.9)+(-3.154248+(-0.130203--1.210077))+0--334-0.511020000000019</f>
        <v>1687.214606</v>
      </c>
      <c r="G225" s="3">
        <f>2011.2+(80.9-779.1)+(-2.051424+(-0.082518--0.794682))+0--306-0.312120000000049</f>
        <v>1617.34862</v>
      </c>
      <c r="H225" s="3">
        <f>1847+(81.4-626.4)+(-3.76788+(-0.166056--1.277856))+0--260-0.530399999999989</f>
        <v>1558.8135199999999</v>
      </c>
      <c r="I225" s="3">
        <f>1801.7+(80.3-611.4)+(-2.756601+(-0.122859--0.935442))+0--260-0.397800000000015</f>
        <v>1528.258182</v>
      </c>
      <c r="J225" s="3">
        <f>1814.4+(80.6-596)+(0+(0-0))+0--211-0</f>
        <v>1510</v>
      </c>
      <c r="K225" s="3">
        <f>1897.6+(81.4-680.2)+(0+(0-0))+0--188-0</f>
        <v>1486.7999999999997</v>
      </c>
      <c r="L225" s="3">
        <f>1943.9+(77.6-763.7)+(-1.982778+(-0.079152--0.778974))+0--188-0.19176000000003</f>
        <v>1444.3252840000002</v>
      </c>
      <c r="M225" s="3">
        <f>2199.2+(87.4-961.1)+(0+(0-0))+0--188-0</f>
        <v>1513.4999999999998</v>
      </c>
      <c r="N225" s="3">
        <f>2532+(93.9-1239)+(-2.58264+(-0.095778--1.26378))+0--248-0.25296000000004</f>
        <v>1633.2324020000001</v>
      </c>
      <c r="O225" s="3">
        <f>2584+(95.4-1287.8)+(-1.31784+(-0.048654--0.656778))+0--304-0.155039999999969</f>
        <v>1694.7352440000002</v>
      </c>
      <c r="P225" s="3">
        <f>2583.7+(98.6-1255.2)+(-2.635374+(-0.100572--1.280304))+0--325-0.331500000000052</f>
        <v>1750.3128579999998</v>
      </c>
      <c r="Q225" s="3">
        <f>2636.6+(101.3-1240.5)+(-5.378664+(-0.206652--2.53062))+0--328-0.669119999999986</f>
        <v>1821.6761839999999</v>
      </c>
      <c r="R225" s="3">
        <f>2612.4+(93.3-1232.7)+(-1.332324+(-0.047583--0.628677))+0--275.5-0.140504999999972</f>
        <v>1747.6082649999998</v>
      </c>
      <c r="S225" s="3">
        <f>2641.3+(98.8-1177.1)+(-2.694126+(-0.100776--1.200642))+0--252.3-0.25734600000004</f>
        <v>1813.448394</v>
      </c>
      <c r="T225" s="3">
        <f>2683.9+(97.2-1238.8)+(-1.368789+(-0.049572--0.631788))+0--274.2-0.139841999999972</f>
        <v>1815.5735850000001</v>
      </c>
      <c r="U225" s="3">
        <f>2559.4+(98.1-1154.9)+(-6.52647+(-0.250155--2.944995))+0--274.6-0.70022999999996</f>
        <v>1772.6681400000002</v>
      </c>
      <c r="V225" s="3">
        <f>2514.5+(96.9-1142.2)+(0+(0-0))+0--275.3-0</f>
        <v>1744.5</v>
      </c>
      <c r="W225" s="3">
        <f>2664+(108.6-1114.8)+(-2.71728+(-0.110772--1.137096))+0--278.2-0.283764000000044</f>
        <v>1934.0252800000003</v>
      </c>
      <c r="X225" s="3">
        <f>2756.4+(112.7-1072.2)+(-5.623056+(-0.229908--2.187288))+0--278.8-0.568751999999988</f>
        <v>2071.4655720000001</v>
      </c>
      <c r="Y225" s="3">
        <f>2764.5+(109.3-1118.4)+(-5.63958+(-0.222972--2.281536))+0--278.9-0.568955999999988</f>
        <v>2030.1500279999996</v>
      </c>
      <c r="Z225" s="3">
        <f>2770.6+(102.8-1184.6)+(-2.826012+(-0.104856--1.208292))+0--279.3-0.284886000000045</f>
        <v>1966.0925379999999</v>
      </c>
      <c r="AA225" s="3">
        <f>2774.9+(99-1215.4)+(-4.245597+(-0.15147--1.859562))+0--279.8-0.428094000000016</f>
        <v>1935.3344009999998</v>
      </c>
      <c r="AB225" s="3">
        <f>2780.8+(91.9-1259.3)+(-5.672832+(-0.187476--2.568972))+0--279.4-0.569975999999988</f>
        <v>1888.9386880000004</v>
      </c>
      <c r="AC225" s="3">
        <f>2758.6+(82.5-1327.1)+(-5.627544+(-0.1683--2.707284))+0--281.1-0.573443999999988</f>
        <v>1791.4379960000003</v>
      </c>
      <c r="AD225">
        <f t="shared" si="3"/>
        <v>41757.459787</v>
      </c>
      <c r="AE225" s="3">
        <f>2743.3+(112.2-1063.2)+(0+(0-0))+0--277-0</f>
        <v>2069.3000000000002</v>
      </c>
    </row>
    <row r="226" spans="1:31" s="2" customFormat="1" x14ac:dyDescent="0.25">
      <c r="A226">
        <v>89</v>
      </c>
      <c r="B226">
        <v>8</v>
      </c>
      <c r="C226">
        <v>10</v>
      </c>
      <c r="D226">
        <v>3</v>
      </c>
      <c r="E226">
        <v>1</v>
      </c>
      <c r="F226" s="3">
        <f>2713.1+(76.9-1294.1)+(-1.383681+(-0.039219--0.659991))+0-14--0.00713999999999858</f>
        <v>1481.144231</v>
      </c>
      <c r="G226" s="3">
        <f>2498.2+(77.2-1085.9)+(-6.37041+(-0.19686--2.769045))+0-14--0.035699999999998</f>
        <v>1471.7374749999997</v>
      </c>
      <c r="H226" s="3">
        <f>2265.6+(78.7-917.6)+(-2.310912+(-0.080274--0.935952))+0-14--0.0142800000000022</f>
        <v>1411.2590459999999</v>
      </c>
      <c r="I226" s="3">
        <f>2250.3+(76.3-941)+(2.295306+(0.077826-0.95982))+0-14-0.0142800000000022</f>
        <v>1372.9990319999999</v>
      </c>
      <c r="J226" s="3">
        <f>2292.1+(75-1009.1)+(-4.675884+(-0.153--2.058564))+0-14--0.0285599999999994</f>
        <v>1341.2582399999999</v>
      </c>
      <c r="K226" s="3">
        <f>2307.1+(75-1040.5)+(3.529863+(0.11475-1.591965))+0-14-0.0214200000000008</f>
        <v>1329.631228</v>
      </c>
      <c r="L226" s="3">
        <f>2294+(74.4-1078.4)+(-3.50982+(-0.113832--1.649952))+0--131.5-0.201195000000008</f>
        <v>1419.3251049999999</v>
      </c>
      <c r="M226" s="3">
        <f>2404.8+(83.8-1170.7)+(0+(0-0))+0--183.3-0</f>
        <v>1501.2</v>
      </c>
      <c r="N226" s="3">
        <f>2567.6+(89.8-1252.9)+(-2.618952+(-0.091596--1.277958))+0--210.3-0.214506000000034</f>
        <v>1613.1529039999998</v>
      </c>
      <c r="O226" s="3">
        <f>2696.7+(95.6-1382.6)+(-6.876585+(-0.24378--3.52563))+0--267.5-0.682124999999961</f>
        <v>1672.9231399999999</v>
      </c>
      <c r="P226" s="3">
        <f>2761.9+(98.8-1371.3)+(-4.225707+(-0.151164--2.098089))+0--267.4-0.409122000000015</f>
        <v>1754.1120959999998</v>
      </c>
      <c r="Q226" s="3">
        <f>2797+(98.3-1369.2)+(0+(0-0))+0--266.2-0</f>
        <v>1792.3</v>
      </c>
      <c r="R226" s="3">
        <f>2785.1+(92.1-1310.8)+(-9.942807+(-0.328797--4.679556))+0--220.4-0.786828000000003</f>
        <v>1780.421124</v>
      </c>
      <c r="S226" s="3">
        <f>2659.3+(95-1118.6)+(0+(0-0))+0--200.8-0</f>
        <v>1836.5000000000002</v>
      </c>
      <c r="T226" s="3">
        <f>2607.5+(96-1057.5)+(-3.989475+(-0.14688--1.617975))+0--201-0.307530000000012</f>
        <v>1844.17409</v>
      </c>
      <c r="U226" s="3">
        <f>2464.6+(88.6-959)+(-7.541676+(-0.271116--2.93454))+0--201.5-0.616590000000023</f>
        <v>1790.2051579999998</v>
      </c>
      <c r="V226" s="3">
        <f>2407.6+(86.7-939.1)+(0+(0-0))+0--201-0</f>
        <v>1756.1999999999998</v>
      </c>
      <c r="W226" s="3">
        <f>2668.9+(101.4-1048.3)+(1.361139+(0.051714-0.534633))+0--228.5--0.116534999999977</f>
        <v>1951.4947549999999</v>
      </c>
      <c r="X226" s="3">
        <f>2865.7+(109.7-1142.9)+(-5.846028+(-0.223788--2.331516))+0--268.4-0.547535999999988</f>
        <v>2096.6141639999996</v>
      </c>
      <c r="Y226" s="3">
        <f>2872.5+(105-1175.6)+(-7.324875+(-0.26775--2.99778))+0--270-0.688499999999961</f>
        <v>2066.6166550000003</v>
      </c>
      <c r="Z226" s="3">
        <f>2821.4+(100.7-1179.8)+(0+(0-0))+0--270-0</f>
        <v>2012.3000000000002</v>
      </c>
      <c r="AA226" s="3">
        <f>2818+(99.6-1215.2)+(-2.87436+(-0.101592--1.239504))+0--271.4-0.276828000000043</f>
        <v>1971.7867239999996</v>
      </c>
      <c r="AB226" s="3">
        <f>2769.6+(93.4-1212.8)+(-7.06248+(-0.23817--3.09264))+0--272.6-0.695129999999961</f>
        <v>1917.8968599999998</v>
      </c>
      <c r="AC226" s="3">
        <f>2750.2+(85.1-1283.3)+(-1.402602+(-0.043401--0.654483))+0--274.4-0.139943999999972</f>
        <v>1825.4685359999999</v>
      </c>
      <c r="AD226">
        <f t="shared" si="3"/>
        <v>41010.720563000003</v>
      </c>
      <c r="AE226" s="3">
        <f>2878.3+(102-1139.5)+(0+(0-0))+0--274-0</f>
        <v>2114.8000000000002</v>
      </c>
    </row>
    <row r="227" spans="1:31" s="2" customFormat="1" x14ac:dyDescent="0.25">
      <c r="A227">
        <v>89</v>
      </c>
      <c r="B227">
        <v>8</v>
      </c>
      <c r="C227">
        <v>11</v>
      </c>
      <c r="D227">
        <v>4</v>
      </c>
      <c r="E227">
        <v>1</v>
      </c>
      <c r="F227" s="3">
        <f>2746+(77.4-1316.1)+(1.40046+(0.039474-0.671211))+0--285--0.145349999999971</f>
        <v>1793.2140730000001</v>
      </c>
      <c r="G227" s="3">
        <f>2648.4+(75.1-1263.8)+(-4.052052+(-0.114903--1.933614))+0--243-0.371790000000014</f>
        <v>1700.094869</v>
      </c>
      <c r="H227" s="3">
        <f>2568.6+(74.7-1211.5)+(-3.929958+(-0.114291--1.853595))+0--212-0.324360000000012</f>
        <v>1641.2849859999999</v>
      </c>
      <c r="I227" s="3">
        <f>2516.7+(72.5-1203.2)+(2.567034+(0.07395-1.227264))+0--213--0.217260000000034</f>
        <v>1600.6309799999999</v>
      </c>
      <c r="J227" s="3">
        <f>2324.4+(74.8-981.2)+(1.185444+(0.038148-0.500412))+0--146--0.0744599999999852</f>
        <v>1564.79764</v>
      </c>
      <c r="K227" s="3">
        <f>2467.3+(72.4-1181.8)+(0+(0-0))+0--193-0</f>
        <v>1550.9000000000003</v>
      </c>
      <c r="L227" s="3">
        <f>2451.3+(71.4-1281.2)+(1.250163+(0.036414-0.653412))+0--209.6--0.106895999999979</f>
        <v>1451.8400610000001</v>
      </c>
      <c r="M227" s="3">
        <f>2535.3+(84.3-1318.7)+(-1.293003+(-0.042993--0.672537))+0--212.2-0.108221999999978</f>
        <v>1512.328319</v>
      </c>
      <c r="N227" s="3">
        <f>2655.3+(94.7-1344.8)+(-4.062609+(-0.144891--2.057544))+0--250.4-0.383112000000015</f>
        <v>1653.0669320000004</v>
      </c>
      <c r="O227" s="3">
        <f>2751.3+(97.7-1381.5)+(-2.806326+(-0.099654--1.40913))+0--276.8-0.282336000000044</f>
        <v>1742.5208140000002</v>
      </c>
      <c r="P227" s="3">
        <f>2619.3+(99.9-1307.5)+(0+(0-0))+0--277-0</f>
        <v>1688.7000000000003</v>
      </c>
      <c r="Q227" s="3">
        <f>2537.3+(95.8-1110.3)+(-5.176092+(-0.195432--2.265012))+0--276-0.563039999999988</f>
        <v>1795.1304480000001</v>
      </c>
      <c r="R227" s="3">
        <f>2526+(91-1091.1)+(2.57652+(0.09282-1.112922))+0--275.1--0.280602000000044</f>
        <v>1802.8370200000002</v>
      </c>
      <c r="S227" s="3">
        <f>2602.8+(96.2-1118.8)+(-5.309712+(-0.196248--2.282352))+0--275.5-0.562019999999988</f>
        <v>1851.9143720000002</v>
      </c>
      <c r="T227" s="3">
        <f>2533.1+(96.2-1052.8)+(-2.583762+(-0.098124--1.073856))+0--275.7-0.281214000000044</f>
        <v>1850.3107559999999</v>
      </c>
      <c r="U227" s="3">
        <f>2510.7+(94.8-1057.7)+(-6.402285+(-0.24174--2.697135))+0--275.8-0.70328999999996</f>
        <v>1818.9498199999998</v>
      </c>
      <c r="V227" s="3">
        <f>2556.2+(92-1163.4)+(3.910986+(0.14076-1.780002))+0--276.1--0.422433000000016</f>
        <v>1763.5941769999997</v>
      </c>
      <c r="W227" s="3">
        <f>2784.6+(101.7-1218)+(-4.260438+(-0.155601--1.86354))+0--277.7-0.424881000000016</f>
        <v>1943.0226200000002</v>
      </c>
      <c r="X227" s="3">
        <f>2979+(104.5-1307.5)+(-7.59645+(-0.266475--3.334125))+0--279.1-0.71170499999996</f>
        <v>2049.8594949999997</v>
      </c>
      <c r="Y227" s="3">
        <f>3012+(99.3-1382)+(-3.07224+(-0.101286--1.40964))+0--278.9-0.284478000000044</f>
        <v>2006.1516360000001</v>
      </c>
      <c r="Z227" s="3">
        <f>2959.5+(95.9-1378.6)+(-1.509345+(-0.048909--0.703086))+0--280.2-0.142901999999972</f>
        <v>1956.0019300000001</v>
      </c>
      <c r="AA227" s="3">
        <f>2885.8+(92.7-1334.1)+(-4.415274+(-0.141831--2.041173))+0--280.4-0.429012000000016</f>
        <v>1921.8550560000003</v>
      </c>
      <c r="AB227" s="3">
        <f>2889.2+(86-1399.6)+(-2.946984+(-0.08772--1.427592))+0--280.3-0.285906000000045</f>
        <v>1854.0069819999999</v>
      </c>
      <c r="AC227" s="3">
        <f>2717.1+(78.5-1260.7)+(-2.771442+(-0.08007--1.285914))+0--216.1-0.220422000000034</f>
        <v>1749.2139799999998</v>
      </c>
      <c r="AD227">
        <f t="shared" si="3"/>
        <v>42262.226965999995</v>
      </c>
      <c r="AE227" s="3">
        <f>2989.3+(110.1-1275.4)+(0+(0-0))+0--283-0</f>
        <v>2107</v>
      </c>
    </row>
    <row r="228" spans="1:31" s="2" customFormat="1" x14ac:dyDescent="0.25">
      <c r="A228">
        <v>89</v>
      </c>
      <c r="B228">
        <v>8</v>
      </c>
      <c r="C228">
        <v>12</v>
      </c>
      <c r="D228">
        <v>5</v>
      </c>
      <c r="E228">
        <v>1</v>
      </c>
      <c r="F228" s="3">
        <f>2699.6+(83.6-1325.9)+(-1.376796+(-0.042636--0.676209))+0--208.3-0.106232999999979</f>
        <v>1664.7505439999998</v>
      </c>
      <c r="G228" s="3">
        <f>2732.3+(79.4-1415.6)+(-6.967365+(-0.20247--3.60978))+0--209.5-0.53422499999997</f>
        <v>1601.5057200000006</v>
      </c>
      <c r="H228" s="3">
        <f>2738+(75.9-1478.2)+(-2.79276+(-0.077418--1.507764))+0--209.7-0.213894000000033</f>
        <v>1543.8236920000002</v>
      </c>
      <c r="I228" s="3">
        <f>2475.4+(76.8-1202.7)+(0+(0-0))+0--168.4-0</f>
        <v>1517.9</v>
      </c>
      <c r="J228" s="3">
        <f>2286.6+(79.7-1019.6)+(-4.664664+(-0.162588--2.079984))+0--136.8-0.279071999999994</f>
        <v>1480.4736599999997</v>
      </c>
      <c r="K228" s="3">
        <f>2349.3+(79.9-1085.8)+(-2.396286+(-0.081498--1.107516))+0--136.8-0.139536000000022</f>
        <v>1478.690196</v>
      </c>
      <c r="L228" s="3">
        <f>2344+(78.6-1143.6)+(2.39088+(0.080172-1.166472))+0--137.3--0.140046000000022</f>
        <v>1417.7446259999999</v>
      </c>
      <c r="M228" s="3">
        <f>2555.2+(88.7-1339.4)+(-1.303152+(-0.045237--0.683094))+0--196.9-0.10041899999998</f>
        <v>1500.634286</v>
      </c>
      <c r="N228" s="3">
        <f>2810.9+(104.9-1533.2)+(-2.867118+(-0.106998--1.563864))+0--210.7-0.214914000000034</f>
        <v>1591.6748340000001</v>
      </c>
      <c r="O228" s="3">
        <f>2944.1+(120.9-1640.6)+(-1.501491+(-0.061659--0.836706))+0--242.6-0.123725999999975</f>
        <v>1666.1498300000001</v>
      </c>
      <c r="P228" s="3">
        <f>2948.6+(120.8-1643.9)+(-6.015144+(-0.246432--3.353556))+0--275.7-0.562427999999988</f>
        <v>1697.7295519999998</v>
      </c>
      <c r="Q228" s="3">
        <f>2969.4+(131.4-1593.8)+(3.028788+(0.134028-1.625676))+0--245.7--0.250614000000039</f>
        <v>1754.4877540000002</v>
      </c>
      <c r="R228" s="3">
        <f>2908.8+(120.5-1523.3)+(-2.966976+(-0.12291--1.553766))+0--207.2-0.211344000000033</f>
        <v>1711.4525360000002</v>
      </c>
      <c r="S228" s="3">
        <f>2894.4+(97.8-1467.5)+(2.952288+(0.099756-1.49685))+0--208.3--0.212466000000033</f>
        <v>1734.76766</v>
      </c>
      <c r="T228" s="3">
        <f>2891.2+(95.4-1547.9)+(2.949024+(0.097308-1.578858))+0--246--0.250920000000039</f>
        <v>1686.4183939999998</v>
      </c>
      <c r="U228" s="3">
        <f>2905+(107-1636.6)+(2.9631+(0.10914-1.669332))+0--273.7--0.279174000000044</f>
        <v>1650.7820820000002</v>
      </c>
      <c r="V228" s="3">
        <f>2930+(115-1656)+(0+(0-0))+0--275.5-0</f>
        <v>1664.5</v>
      </c>
      <c r="W228" s="3">
        <f>3071.6+(127-1593.6)+(-3.133032+(-0.12954--1.625472))+0--275.9-0.281418000000044</f>
        <v>1878.9814820000001</v>
      </c>
      <c r="X228" s="3">
        <f>3176.3+(128-1593.3)+(-4.859739+(-0.19584--2.437749))+0--277.4-0.424422000000016</f>
        <v>1985.3577480000004</v>
      </c>
      <c r="Y228" s="3">
        <f>3193.3+(112-1653.4)+(-8.142915+(-0.2856--4.21617))+0--277.2-0.70685999999996</f>
        <v>1924.1807950000002</v>
      </c>
      <c r="Z228" s="3">
        <f>3032.3+(92-1594.6)+(-7.732365+(-0.2346--4.06623))+0--277-0.70634999999996</f>
        <v>1802.0929150000004</v>
      </c>
      <c r="AA228" s="3">
        <f>2952.3+(90-1515.3)+(-9.034038+(-0.2754--4.636818))+0--277.5-0.849150000000032</f>
        <v>1798.9782300000002</v>
      </c>
      <c r="AB228" s="3">
        <f>2874.3+(84-1473.1)+(-2.931786+(-0.08568--1.502562))+0--277.9-0.283458000000044</f>
        <v>1761.3016380000001</v>
      </c>
      <c r="AC228" s="3">
        <f>2710.3+(78-1387.4)+(-4.146759+(-0.11934--2.122722))+0--278.9-0.426717000000016</f>
        <v>1677.2299059999998</v>
      </c>
      <c r="AD228">
        <f t="shared" si="3"/>
        <v>40191.608080000005</v>
      </c>
      <c r="AE228" s="3">
        <f>3212.3+(169-1601.1)+(0+(0-0))+0--279-0</f>
        <v>2059.2000000000003</v>
      </c>
    </row>
    <row r="229" spans="1:31" s="2" customFormat="1" x14ac:dyDescent="0.25">
      <c r="A229">
        <v>89</v>
      </c>
      <c r="B229">
        <v>8</v>
      </c>
      <c r="C229">
        <v>13</v>
      </c>
      <c r="D229">
        <v>6</v>
      </c>
      <c r="E229">
        <v>1</v>
      </c>
      <c r="F229" s="3">
        <f>2406.5+(83.7-1140)+(-1.227315+(-0.042687--0.5814))+0--283-0.144329999999971</f>
        <v>1632.367068</v>
      </c>
      <c r="G229" s="3">
        <f>2390.4+(79.3-1199.3)+(-2.438208+(-0.080886--1.223286))+0--284-0.289680000000045</f>
        <v>1552.8145119999999</v>
      </c>
      <c r="H229" s="3">
        <f>2391+(77.2-1240.3)+(-1.21941+(-0.039372--0.632553))+0--277-0.141269999999972</f>
        <v>1504.132501</v>
      </c>
      <c r="I229" s="3">
        <f>2273.2+(77.1-1094.1)+(0+(0-0))+0--214-0</f>
        <v>1470.1999999999998</v>
      </c>
      <c r="J229" s="3">
        <f>2200.8+(77.2-1047)+(4.489632+(0.157488-2.13588))+0--214--0.436559999999991</f>
        <v>1447.9478000000004</v>
      </c>
      <c r="K229" s="3">
        <f>2503+(74.8-1335.4)+(-1.27653+(-0.038148--0.681054))+0--214-0.109139999999978</f>
        <v>1455.6572359999998</v>
      </c>
      <c r="L229" s="3">
        <f>2471.9+(75.9-1367.4)+(-5.042676+(-0.154836--2.789496))+0--211.5-0.431459999999991</f>
        <v>1389.060524</v>
      </c>
      <c r="M229" s="3">
        <f>2545+(85.4-1380.1)+(-2.5959+(-0.087108--1.407702))+0--212.7-0.216954000000034</f>
        <v>1461.5077400000002</v>
      </c>
      <c r="N229" s="3">
        <f>2652.4+(103.4-1369.3)+(-1.352724+(-0.052734--0.698343))+0--210.3-0.107252999999979</f>
        <v>1595.9856320000004</v>
      </c>
      <c r="O229" s="3">
        <f>2511+(124.6-1270)+(-3.84183+(-0.190638--1.9431))+0--254.9-0.389997000000015</f>
        <v>1618.0206350000001</v>
      </c>
      <c r="P229" s="3">
        <f>2405.6+(128.1-1124.2)+(0+(0-0))+0--277.9-0</f>
        <v>1687.4</v>
      </c>
      <c r="Q229" s="3">
        <f>2517.4+(115.5-1194.2)+(0+(0-0))+0--277.4-0</f>
        <v>1716.1</v>
      </c>
      <c r="R229" s="3">
        <f>2399.9+(95.5-1075.2)+(-3.671847+(-0.146115--1.645056))+0--277-0.423810000000016</f>
        <v>1694.603284</v>
      </c>
      <c r="S229" s="3">
        <f>2343.5+(94.7-1023.9)+(-4.78074+(-0.193188--2.088756))+0--278-0.567119999999988</f>
        <v>1688.8477080000002</v>
      </c>
      <c r="T229" s="3">
        <f>2353.9+(93.1-1044.2)+(1.200489+(0.047481-0.532542))+0--277--0.141269999999972</f>
        <v>1680.6566980000002</v>
      </c>
      <c r="U229" s="3">
        <f>2407.9+(89.5-1111.1)+(-6.140145+(-0.228225--2.833305))+0--277-0.70634999999996</f>
        <v>1659.0585850000002</v>
      </c>
      <c r="V229" s="3">
        <f>2407.8+(90.9-1132.9)+(-3.683934+(-0.139077--1.733337))+0--277-0.423810000000016</f>
        <v>1640.2865160000001</v>
      </c>
      <c r="W229" s="3">
        <f>2626.8+(108.4-1178.2)+(-2.679336+(-0.110568--1.201764))+0--278-0.283560000000044</f>
        <v>1833.1283000000001</v>
      </c>
      <c r="X229" s="3">
        <f>2781+(110.5-1239.3)+(-5.67324+(-0.22542--2.528172))+0--278-0.567119999999988</f>
        <v>1926.2623920000001</v>
      </c>
      <c r="Y229" s="3">
        <f>2789+(105.1-1301.9)+(-7.11195+(-0.268005--3.319845))+0--279-0.71144999999996</f>
        <v>1866.4284399999999</v>
      </c>
      <c r="Z229" s="3">
        <f>2802.4+(98-1374)+(-4.287672+(-0.14994--2.10222))+0--282-0.431460000000016</f>
        <v>1805.6331480000001</v>
      </c>
      <c r="AA229" s="3">
        <f>2799.3+(95.6-1411.3)+(-1.427643+(-0.048756--0.719763))+0--283-0.144329999999971</f>
        <v>1765.699034</v>
      </c>
      <c r="AB229" s="3">
        <f>2656.6+(91.3-1319.9)+(-5.419464+(-0.186252--2.692596))+0--283-0.577319999999988</f>
        <v>1707.5095599999997</v>
      </c>
      <c r="AC229" s="3">
        <f>2495.4+(85.7-1243.5)+(-6.36327+(-0.218535--3.170925))+0--286-0.729299999999959</f>
        <v>1619.4598200000003</v>
      </c>
      <c r="AD229">
        <f t="shared" si="3"/>
        <v>39418.767133000001</v>
      </c>
      <c r="AE229" s="3">
        <f>2819.3+(107.1-1240.5)+(0+(0-0))+0--278-0</f>
        <v>1963.9</v>
      </c>
    </row>
    <row r="230" spans="1:31" s="2" customFormat="1" x14ac:dyDescent="0.25">
      <c r="A230">
        <v>89</v>
      </c>
      <c r="B230">
        <v>8</v>
      </c>
      <c r="C230">
        <v>14</v>
      </c>
      <c r="D230">
        <v>7</v>
      </c>
      <c r="E230">
        <v>1</v>
      </c>
      <c r="F230" s="3">
        <f>1969.2+(88.6-770.2)+(-2.008584+(-0.090372--0.785604))+0--290-0.295800000000046</f>
        <v>1575.9908479999999</v>
      </c>
      <c r="G230" s="3">
        <f>1592.9+(93.9-472.7)+(-0.812379+(-0.047889--0.241077))+0--291-0.14840999999997</f>
        <v>1504.3323990000001</v>
      </c>
      <c r="H230" s="3">
        <f>1564.9+(92.3-500.8)+(-0.798099+(-0.047073--0.255408))+0--290-0.147899999999971</f>
        <v>1445.6623360000001</v>
      </c>
      <c r="I230" s="3">
        <f>1561.7+(92.5-527.5)+(-1.592934+(-0.09435--0.53805))+0--289-0.294780000000046</f>
        <v>1414.2559860000001</v>
      </c>
      <c r="J230" s="3">
        <f>1472.2+(86-342.1)+(-2.252466+(-0.13158--0.523413))+0--177-0.27081000000001</f>
        <v>1390.9685569999999</v>
      </c>
      <c r="K230" s="3">
        <f>1413.6+(90-289)+(1.441872+(0.0918-0.29478))+0--141--0.143820000000022</f>
        <v>1356.982712</v>
      </c>
      <c r="L230" s="3">
        <f>1387.3+(100.5-341.3)+(-3.537615+(-0.256275--0.870315))+0--144.3-0.367964999999979</f>
        <v>1287.50846</v>
      </c>
      <c r="M230" s="3">
        <f>1457.9+(96.5-374.7)+(0+(0-0))+0--144.5-0</f>
        <v>1324.2</v>
      </c>
      <c r="N230" s="3">
        <f>1546.3+(107.2-419.2)+(-0.788613+(-0.054672--0.213792))+0--167.9-0.085628999999983</f>
        <v>1401.4848780000002</v>
      </c>
      <c r="O230" s="3">
        <f>1648+(115.5-525.5)+(0.84048+(0.058905-0.268005))+0--236.8--0.120767999999976</f>
        <v>1475.552148</v>
      </c>
      <c r="P230" s="3">
        <f>1683.3+(125-558.1)+(-1.716966+(-0.1275--0.569262))+0--281.5-0.287130000000045</f>
        <v>1530.1376659999999</v>
      </c>
      <c r="Q230" s="3">
        <f>1671.7+(121.9-538.8)+(-4.262835+(-0.310845--1.37394))+0--282.1-0.719354999999959</f>
        <v>1532.9809050000001</v>
      </c>
      <c r="R230" s="3">
        <f>1662.5+(120-543.6)+(-1.69575+(-0.1224--0.554472))+0--281.4-0.287028000000045</f>
        <v>1518.749294</v>
      </c>
      <c r="S230" s="3">
        <f>1551.2+(114.1-429)+(-2.373336+(-0.174573--0.65637))+0--280.8-0.429624000000016</f>
        <v>1514.7788370000001</v>
      </c>
      <c r="T230" s="3">
        <f>1471.4+(121.3-353.5)+(-1.500828+(-0.123726--0.36057))+0--281.3-0.286926000000045</f>
        <v>1518.9490900000001</v>
      </c>
      <c r="U230" s="3">
        <f>1498.7+(135.2-412.5)+(-2.293011+(-0.206856--0.631125))+0--283.2-0.433296000000016</f>
        <v>1502.2979620000001</v>
      </c>
      <c r="V230" s="3">
        <f>1552.9+(134-455)+(-1.583958+(-0.13668--0.4641))+0--285-0.290700000000045</f>
        <v>1515.352762</v>
      </c>
      <c r="W230" s="3">
        <f>1767.5+(141.3-464.5)+(-0.901425+(-0.072063--0.236895))+0--284.4-0.145043999999971</f>
        <v>1727.8183629999999</v>
      </c>
      <c r="X230" s="3">
        <f>1833.1+(145-454.1)+(-1.869762+(-0.1479--0.463182))+0--286-0.291720000000046</f>
        <v>1808.1538</v>
      </c>
      <c r="Y230" s="3">
        <f>1791.6+(141.4-453.2)+(-1.827432+(-0.144228--0.462264))+0--286.3-0.292026000000046</f>
        <v>1764.2985779999999</v>
      </c>
      <c r="Z230" s="3">
        <f>1782+(133.8-495.5)+(-2.72646+(-0.204714--0.758115))+0--287.3-0.439569000000017</f>
        <v>1704.9873719999998</v>
      </c>
      <c r="AA230" s="3">
        <f>1802.2+(126.6-526.3)+(-1.838244+(-0.129132--0.536826))+0--288.2-0.293964000000046</f>
        <v>1688.975486</v>
      </c>
      <c r="AB230" s="3">
        <f>1848.3+(117.9-585.8)+(-0.942633+(-0.060129--0.298758))+0--288.8-0.147287999999971</f>
        <v>1668.3487080000002</v>
      </c>
      <c r="AC230" s="3">
        <f>1719.7+(105.5-563.5)+(-4.385235+(-0.269025--1.436925))+0--289.6-0.738479999999958</f>
        <v>1547.3441849999999</v>
      </c>
      <c r="AD230">
        <f t="shared" si="3"/>
        <v>36720.111332</v>
      </c>
      <c r="AE230" s="3">
        <f>1849.3+(141.2-439)+(0+(0-0))+0--284-0</f>
        <v>1835.5</v>
      </c>
    </row>
    <row r="231" spans="1:31" s="2" customFormat="1" x14ac:dyDescent="0.25">
      <c r="A231">
        <v>89</v>
      </c>
      <c r="B231">
        <v>8</v>
      </c>
      <c r="C231">
        <v>15</v>
      </c>
      <c r="D231">
        <v>1</v>
      </c>
      <c r="E231">
        <v>1</v>
      </c>
      <c r="F231" s="3">
        <f>1620.7+(110.1-477.6)+(-4.132785+(-0.280755--1.21788))+0--154-0.392699999999978</f>
        <v>1403.6116400000001</v>
      </c>
      <c r="G231" s="3">
        <f>1569.6+(109.9-418.4)+(-6.403968+(-0.448392--1.707072))+0.6--151-0.616079999999987</f>
        <v>1406.9386319999999</v>
      </c>
      <c r="H231" s="3">
        <f>1484.1+(45.2-343.4)+(-3.027564+(-0.092208--0.700536))+22.8--152-0.310079999999993</f>
        <v>1357.9706839999999</v>
      </c>
      <c r="I231" s="3">
        <f>1475+(42.8-346.7)+(1.5045+(0.043656-0.353634))+0--155--0.158100000000025</f>
        <v>1327.452622</v>
      </c>
      <c r="J231" s="3">
        <f>1479.2+(50.9-363.1)+(-0.754392+(-0.025959--0.185181))+0--157-0.0800699999999841</f>
        <v>1323.32476</v>
      </c>
      <c r="K231" s="3">
        <f>1697+(16-525.1)+(-2.59641+(-0.02448--0.803403))+0--158-0.241740000000009</f>
        <v>1343.8407730000001</v>
      </c>
      <c r="L231" s="3">
        <f>1919.9+(10-878.7)+(0+(0-0))+0--283.2-0</f>
        <v>1334.4</v>
      </c>
      <c r="M231" s="3">
        <f>2206.6+(10-1076.3)+(-1.125366+(-0.0051--0.548913))+0--243-0.123929999999975</f>
        <v>1382.594517</v>
      </c>
      <c r="N231" s="3">
        <f>2399.6+(10-1083)+(1.223796+(0.0051-0.55233))+0--181.3--0.0924629999999816</f>
        <v>1508.6690289999999</v>
      </c>
      <c r="O231" s="3">
        <f>2437.9+(10-1084.9)+(2.486658+(0.0102-1.106598))+0--245.2--0.250104000000039</f>
        <v>1609.8403639999999</v>
      </c>
      <c r="P231" s="3">
        <f>2422.9+(10-1040.1)+(0+(0-0))+0--281.8-0</f>
        <v>1674.6000000000001</v>
      </c>
      <c r="Q231" s="3">
        <f>2409.7+(10-1007.1)+(-3.686841+(-0.0153--1.540863))+0--281.2-0.430236000000016</f>
        <v>1691.208486</v>
      </c>
      <c r="R231" s="3">
        <f>2434.7+(10-1044.8)+(-8.691879+(-0.0357--3.729936))+0--282.3-1.007811</f>
        <v>1676.1945459999999</v>
      </c>
      <c r="S231" s="3">
        <f>2446.4+(10-1047.3)+(-1.247664+(-0.0051--0.534123))+0--282.3-0.143972999999971</f>
        <v>1690.5373860000002</v>
      </c>
      <c r="T231" s="3">
        <f>2461.9+(10-1071.5)+(-5.022276+(-0.0204--2.18586))+0--284.5-0.580379999999988</f>
        <v>1681.4628040000002</v>
      </c>
      <c r="U231" s="3">
        <f>2497.3+(10-1130.5)+(0+(0-0))+0--284.4-0</f>
        <v>1661.2000000000003</v>
      </c>
      <c r="V231" s="3">
        <f>2555.8+(11-1186.4)+(-1.303458+(-0.00561--0.605064))+0--285.4-0.145553999999971</f>
        <v>1664.9504420000001</v>
      </c>
      <c r="W231" s="3">
        <f>2598.3+(13-1036.8)+(-1.325133+(-0.00663--0.528768))+0--285.5-0.145604999999971</f>
        <v>1859.0514000000003</v>
      </c>
      <c r="X231" s="3">
        <f>2668+(13-1012.2)+(-6.8034+(-0.03315--2.58111))+0--287.8-0.733889999999958</f>
        <v>1951.61067</v>
      </c>
      <c r="Y231" s="3">
        <f>2598.9+(13-1000.8)+(-7.952634+(-0.03978--3.062448))+0--287.5-0.879750000000033</f>
        <v>1892.7902840000002</v>
      </c>
      <c r="Z231" s="3">
        <f>2606+(12-1073.3)+(-3.98718+(-0.01836--1.642149))+0--288.8-0.441864000000017</f>
        <v>1830.6947449999998</v>
      </c>
      <c r="AA231" s="3">
        <f>2608.2+(11-1124.3)+(-3.990546+(-0.01683--1.720179))+0--290.1-0.443853000000017</f>
        <v>1782.2689499999999</v>
      </c>
      <c r="AB231" s="3">
        <f>2617.8+(11-1224)+(-4.005234+(-0.01683--1.87272))+0--290.4-0.444312000000017</f>
        <v>1692.6063440000003</v>
      </c>
      <c r="AC231" s="3">
        <f>2610.8+(10-1333)+(-5.326032+(-0.0204--2.71932))+0--290.6-0.592823999999987</f>
        <v>1575.1800640000004</v>
      </c>
      <c r="AD231">
        <f t="shared" si="3"/>
        <v>38322.999141999993</v>
      </c>
      <c r="AE231" s="3">
        <f>2647.3+(22-982.6)+(0+(0-0))+0--294-0</f>
        <v>1980.7000000000003</v>
      </c>
    </row>
    <row r="232" spans="1:31" s="2" customFormat="1" x14ac:dyDescent="0.25">
      <c r="A232">
        <v>89</v>
      </c>
      <c r="B232">
        <v>8</v>
      </c>
      <c r="C232">
        <v>16</v>
      </c>
      <c r="D232">
        <v>2</v>
      </c>
      <c r="E232">
        <v>1</v>
      </c>
      <c r="F232" s="3">
        <f>2517.3+(4-1337.4)+(-2.567646+(-0.00408--1.364148))+0--290.2-0.296004000000046</f>
        <v>1472.5964180000001</v>
      </c>
      <c r="G232" s="3">
        <f>2190.1+(5-1074.6)+(-1.116951+(-0.00255--0.548046))+0--292.4-0.14912399999997</f>
        <v>1412.1794209999998</v>
      </c>
      <c r="H232" s="3">
        <f>2038.6+(8-933.9)+(-3.119058+(-0.01224--1.428867))+0--247.6-0.378828000000014</f>
        <v>1358.2187409999997</v>
      </c>
      <c r="I232" s="3">
        <f>2037.9+(8-871.8)+(-2.078658+(-0.00816--0.889236))+0--146.7-0.149634000000023</f>
        <v>1319.4527840000001</v>
      </c>
      <c r="J232" s="3">
        <f>2041.6+(8-889)+(2.082432+(0.00816-0.90678))+0--146.4--0.149328000000023</f>
        <v>1308.33314</v>
      </c>
      <c r="K232" s="3">
        <f>2042.1+(11-881.1)+(5.207355+(0.02805-2.246805))+0--146.8--0.374339999999979</f>
        <v>1322.1629399999999</v>
      </c>
      <c r="L232" s="3">
        <f>2136.5+(6-966)+(-3.268845+(-0.00918--1.47798))+0--147.5-0.225675000000009</f>
        <v>1321.9742800000001</v>
      </c>
      <c r="M232" s="3">
        <f>2196+(6-941)+(-5.5998+(-0.0153--2.39955))+0--147.7-0.376634999999979</f>
        <v>1405.1078150000001</v>
      </c>
      <c r="N232" s="3">
        <f>2363.2+(4-1063.3)+(3.615696+(0.00612-1.626849))+0--194.4--0.297432000000011</f>
        <v>1500.5923990000001</v>
      </c>
      <c r="O232" s="3">
        <f>2520.5+(5-1192.1)+(-3.856365+(-0.00765--1.823913))+0--233.9-0.357867000000014</f>
        <v>1564.9020310000003</v>
      </c>
      <c r="P232" s="3">
        <f>2567.7+(4-1239.3)+(-1.309527+(-0.00204--0.632043))+0--281.1-0.143360999999971</f>
        <v>1612.677115</v>
      </c>
      <c r="Q232" s="3">
        <f>2602.8+(4-1229.8)+(-1.327428+(-0.00204--0.627198))+0--280.3-0.142952999999972</f>
        <v>1656.4547770000001</v>
      </c>
      <c r="R232" s="3">
        <f>2581.9+(4-1243.3)+(-5.267076+(-0.00816--2.536332))+0--280.5-0.572219999999988</f>
        <v>1619.7888760000001</v>
      </c>
      <c r="S232" s="3">
        <f>2586.1+(4-1229.3)+(0+(0-0))+0--283.2-0</f>
        <v>1644</v>
      </c>
      <c r="T232" s="3">
        <f>2597+(4-1254.8)+(2.64894+(0.00408-1.279896))+0--283.9--0.289578000000045</f>
        <v>1631.7627020000002</v>
      </c>
      <c r="U232" s="3">
        <f>2536.7+(5-1204.8)+(-2.587434+(-0.0051--1.228896))+0--284.3-0.289986000000045</f>
        <v>1619.5463759999998</v>
      </c>
      <c r="V232" s="3">
        <f>2573+(5-1234.3)+(-1.31223+(-0.00255--0.629493))+0--284.1-0.144890999999971</f>
        <v>1626.969822</v>
      </c>
      <c r="W232" s="3">
        <f>2594.2+(8-1038.5)+(-1.323042+(-0.00408--0.529635))+0--285.7-0.145706999999971</f>
        <v>1848.4568059999999</v>
      </c>
      <c r="X232" s="3">
        <f>2662+(7-1011.5)+(-1.35762+(-0.00357--0.515865))+0--286.9-0.146318999999971</f>
        <v>1943.4083559999999</v>
      </c>
      <c r="Y232" s="3">
        <f>2701.7+(7-1110.4)+(-6.889335+(-0.01785--2.83152))+0--288.7-0.736184999999958</f>
        <v>1882.1881499999997</v>
      </c>
      <c r="Z232" s="3">
        <f>2708.2+(7-1191.1)+(-6.90591+(-0.01785--3.037305))+0--289.4-0.737969999999958</f>
        <v>1808.8755749999998</v>
      </c>
      <c r="AA232" s="3">
        <f>2718+(6-1241.6)+(-2.77236+(-0.00612--1.266432))+0--289.2-0.294984000000046</f>
        <v>1769.792968</v>
      </c>
      <c r="AB232" s="3">
        <f>2694.3+(5-1298.4)+(-2.748186+(-0.0051--1.324368))+0--289.6-0.295392000000046</f>
        <v>1688.7756899999999</v>
      </c>
      <c r="AC232" s="3">
        <f>2528.6+(4-1246.3)+(-6.44793+(-0.0102--3.178065))+0--291.1-0.742304999999958</f>
        <v>1573.3776300000002</v>
      </c>
      <c r="AD232">
        <f t="shared" si="3"/>
        <v>37911.594811999996</v>
      </c>
      <c r="AE232" s="3">
        <f>2661.3+(14-1006.9)+(0+(0-0))+0--291-0</f>
        <v>1959.4</v>
      </c>
    </row>
    <row r="233" spans="1:31" s="2" customFormat="1" x14ac:dyDescent="0.25">
      <c r="A233">
        <v>89</v>
      </c>
      <c r="B233">
        <v>8</v>
      </c>
      <c r="C233">
        <v>17</v>
      </c>
      <c r="D233">
        <v>3</v>
      </c>
      <c r="E233">
        <v>1</v>
      </c>
      <c r="F233" s="3">
        <f>2394.1+(12-1214.4)+(-3.662973+(-0.01836--1.858032))+0--276-0.422280000000016</f>
        <v>1465.4544189999999</v>
      </c>
      <c r="G233" s="3">
        <f>2249.5+(13-1079.5)+(-4.58898+(-0.02652--2.20218))+0--170.1-0.347003999999993</f>
        <v>1350.3396759999998</v>
      </c>
      <c r="H233" s="3">
        <f>2186+(18-1003.5)+(-3.34458+(-0.02754--1.535355))+0--145.6-0.222768000000008</f>
        <v>1344.0404669999998</v>
      </c>
      <c r="I233" s="3">
        <f>2172.7+(18-1010.6)+(-1.108077+(-0.00918--0.515406))+0--144.9-0.0738989999999853</f>
        <v>1324.3242500000001</v>
      </c>
      <c r="J233" s="3">
        <f>2141.9+(17-988.1)+(-1.092369+(-0.00867--0.503931))+0--144.8-0.0738479999999853</f>
        <v>1314.9290440000002</v>
      </c>
      <c r="K233" s="3">
        <f>2107.6+(18-935.1)+(0+(0-0))+0--144.7-0</f>
        <v>1335.2</v>
      </c>
      <c r="L233" s="3">
        <f>2222.1+(17-1046)+(-2.266542+(-0.01734--1.06692))+0--145.4-0.148308000000023</f>
        <v>1337.13473</v>
      </c>
      <c r="M233" s="3">
        <f>2367.6+(17-1111.5)+(-3.622428+(-0.02601--1.700595))+0--145.3-0.222309000000008</f>
        <v>1416.2298479999999</v>
      </c>
      <c r="N233" s="3">
        <f>2536+(6-1292)+(-2.58672+(-0.00612--1.31784))+0--269.2-0.274584000000043</f>
        <v>1517.650416</v>
      </c>
      <c r="O233" s="3">
        <f>2678.2+(6-1374.8)+(0+(0-0))+0--281.6-0</f>
        <v>1591</v>
      </c>
      <c r="P233" s="3">
        <f>2688.9+(6-1347.8)+(0+(0-0))+0--308.2-0</f>
        <v>1655.3000000000002</v>
      </c>
      <c r="Q233" s="3">
        <f>2675.9+(11-1332.9)+(-4.094127+(-0.01683--2.039337))+0--322.6-0.493578000000019</f>
        <v>1674.0348020000001</v>
      </c>
      <c r="R233" s="3">
        <f>2620.1+(11-1309)+(-6.681255+(-0.02805--3.33795))+0--298.9-0.762194999999957</f>
        <v>1616.8664499999998</v>
      </c>
      <c r="S233" s="3">
        <f>2660.9+(11-1257)+(1.357059+(0.00561-0.64107))+0--215.9--0.110108999999978</f>
        <v>1631.6317080000001</v>
      </c>
      <c r="T233" s="3">
        <f>2710.9+(11-1340.2)+(-2.765118+(-0.01122--1.367004))+0--252.1-0.25714200000004</f>
        <v>1632.1335240000001</v>
      </c>
      <c r="U233" s="3">
        <f>2756.9+(11-1410.9)+(0+(0-0))+0--266.1-0</f>
        <v>1623.1</v>
      </c>
      <c r="V233" s="3">
        <f>2643.6+(11-1234.8)+(-1.348236+(-0.00561--0.629748))+0--211.3-0.107762999999979</f>
        <v>1630.268139</v>
      </c>
      <c r="W233" s="3">
        <f>2739.3+(14-1107.3)+(0+(0-0))+0--212.9-0</f>
        <v>1858.9000000000003</v>
      </c>
      <c r="X233" s="3">
        <f>2964.4+(13-1232.9)+(-3.023688+(-0.01326--1.257558))+0--210.7-0.214914000000034</f>
        <v>1953.205696</v>
      </c>
      <c r="Y233" s="3">
        <f>2851.2+(13-1178.6)+(-7.27056+(-0.03315--3.00543))+0--211.1-0.538304999999969</f>
        <v>1891.8634149999998</v>
      </c>
      <c r="Z233" s="3">
        <f>2878.8+(13-1269.8)+(-4.404564+(-0.01989--1.942794))+0--211.4-0.323442000000012</f>
        <v>1830.5948980000003</v>
      </c>
      <c r="AA233" s="3">
        <f>2880.8+(12-1329.1)+(-2.938416+(-0.01224--1.355682))+0--209.7-0.213894000000033</f>
        <v>1771.5911320000002</v>
      </c>
      <c r="AB233" s="3">
        <f>2873.4+(11-1412.1)+(-7.32717+(-0.02805--3.600855))+0--219.2-0.558959999999968</f>
        <v>1687.1866750000002</v>
      </c>
      <c r="AC233" s="3">
        <f>2879.5+(10-1520.5)+(-5.87418+(-0.0204--3.10182))+0--219.4-0.44757599999999</f>
        <v>1585.159664</v>
      </c>
      <c r="AD233">
        <f t="shared" si="3"/>
        <v>38038.138953000001</v>
      </c>
      <c r="AE233" s="3">
        <f>2988.3+(16-1230.5)+(0+(0-0))+0--213-0</f>
        <v>1986.8000000000002</v>
      </c>
    </row>
    <row r="234" spans="1:31" s="2" customFormat="1" x14ac:dyDescent="0.25">
      <c r="A234">
        <v>89</v>
      </c>
      <c r="B234">
        <v>8</v>
      </c>
      <c r="C234">
        <v>18</v>
      </c>
      <c r="D234">
        <v>4</v>
      </c>
      <c r="E234">
        <v>1</v>
      </c>
      <c r="F234" s="3">
        <f>2657.2+(22.7-1433.6)+(-5.420688+(-0.046308--2.924544))+29.2--223-0.45491999999999</f>
        <v>1495.5026280000002</v>
      </c>
      <c r="G234" s="3">
        <f>2405.2+(65.2-1280.5)+(0+(0-0))+0--223-0</f>
        <v>1412.8999999999999</v>
      </c>
      <c r="H234" s="3">
        <f>2331.9+(64.3-1248.1)+(-1.189269+(-0.032793--0.636531))+0--224-0.114239999999977</f>
        <v>1371.4002290000003</v>
      </c>
      <c r="I234" s="3">
        <f>2307.9+(62.5-1259.2)+(2.354058+(0.06375-1.284384))+0--225--0.229500000000036</f>
        <v>1337.5629240000003</v>
      </c>
      <c r="J234" s="3">
        <f>2308.9+(65.6-1259.7)+(1.177539+(0.033456-0.642447))+0--222--0.113219999999977</f>
        <v>1337.4817679999999</v>
      </c>
      <c r="K234" s="3">
        <f>2329+(70.1-1266)+(0+(0-0))+0--223-0</f>
        <v>1356.1</v>
      </c>
      <c r="L234" s="3">
        <f>2511.6+(71.8-1424)+(1.280916+(0.036618-0.72624))+0--221.4--0.112913999999978</f>
        <v>1381.5042080000001</v>
      </c>
      <c r="M234" s="3">
        <f>2437.4+(80.8-1265.8)+(0+(0-0))+0--200.4-0</f>
        <v>1452.8000000000002</v>
      </c>
      <c r="N234" s="3">
        <f>2508.9+(87.7-1207.4)+(1.279539+(0.044727-0.615774))+0--143.8--0.0733379999999854</f>
        <v>1533.7818299999999</v>
      </c>
      <c r="O234" s="3">
        <f>2752.8+(118.1-1399.6)+(-4.211784+(-0.180693--2.141388))+0--143.3-0.219249000000008</f>
        <v>1612.1296620000001</v>
      </c>
      <c r="P234" s="3">
        <f>2751.3+(130.5-1366.7)+(0+(0-0))+0--143.2-0</f>
        <v>1658.3000000000002</v>
      </c>
      <c r="Q234" s="3">
        <f>2729.2+(129.8-1310.6)+(-6.95946+(-0.33099--3.34203))+0--145.2-0.370259999999979</f>
        <v>1689.2813200000001</v>
      </c>
      <c r="R234" s="3">
        <f>2729.2+(112.7-1348)+(0+(0-0))+0--143.2-0</f>
        <v>1637.1</v>
      </c>
      <c r="S234" s="3">
        <f>2413.6+(117.4-1028.2)+(0+(0-0))+0--143.8-0</f>
        <v>1646.5999999999997</v>
      </c>
      <c r="T234" s="3">
        <f>2439.7+(120.7-1055.6)+(1.244247+(0.061557-0.538356))+0--143.8--0.0733379999999854</f>
        <v>1649.4407859999999</v>
      </c>
      <c r="U234" s="3">
        <f>2493+(119.3-1128.9)+(0+(0-0))+0--143.5-0</f>
        <v>1626.8999999999999</v>
      </c>
      <c r="V234" s="3">
        <f>2693.5+(118.9-1347.8)+(2.74737+(0.121278-1.374756))+0--198.1--0.202062000000032</f>
        <v>1664.3959540000001</v>
      </c>
      <c r="W234" s="3">
        <f>2899.4+(129.2-1422)+(1.478694+(0.065892-0.72522))+0--284.1--0.144890999999971</f>
        <v>1891.6642569999999</v>
      </c>
      <c r="X234" s="3">
        <f>3100.4+(128.6-1542.9)+(-4.743612+(-0.196758--2.360637))+0--286.7-0.438651000000017</f>
        <v>1969.781616</v>
      </c>
      <c r="Y234" s="3">
        <f>2994+(125.2-1490.9)+(-7.6347+(-0.31926--3.801795))+0--287.7-0.733634999999958</f>
        <v>1911.1142</v>
      </c>
      <c r="Z234" s="3">
        <f>2906.3+(120.4-1468.9)+(-1.482213+(-0.061404--0.749139))+0--288-0.146879999999971</f>
        <v>1844.8586420000001</v>
      </c>
      <c r="AA234" s="3">
        <f>2892.4+(118.1-1508.4)+(-2.950248+(-0.120462--1.538568))+0--288.5-0.294270000000046</f>
        <v>1788.7735879999998</v>
      </c>
      <c r="AB234" s="3">
        <f>2762.2+(112.8-1460.4)+(-8.452332+(-0.345168--4.468824))+0--288.6-0.883116000000033</f>
        <v>1697.9882079999998</v>
      </c>
      <c r="AC234" s="3">
        <f>2571.8+(103.8-1365.2)+(-6.55809+(-0.26469--3.48126))+0--264.3-0.673964999999962</f>
        <v>1570.6845150000001</v>
      </c>
      <c r="AD234">
        <f t="shared" si="3"/>
        <v>38538.046334999999</v>
      </c>
      <c r="AE234" s="3">
        <f>3115.3+(130.4-1503)+(0+(0-0))+0--286-0</f>
        <v>2028.7000000000003</v>
      </c>
    </row>
    <row r="235" spans="1:31" s="2" customFormat="1" x14ac:dyDescent="0.25">
      <c r="A235">
        <v>89</v>
      </c>
      <c r="B235">
        <v>8</v>
      </c>
      <c r="C235">
        <v>19</v>
      </c>
      <c r="D235">
        <v>5</v>
      </c>
      <c r="E235">
        <v>1</v>
      </c>
      <c r="F235" s="3">
        <f>2482.2+(100.1-1323.5)+(-3.797766+(-0.153153--2.024955))+0--219-0.335070000000013</f>
        <v>1475.5389659999996</v>
      </c>
      <c r="G235" s="3">
        <f>2384.1+(102.4-1272.4)+(-2.431782+(-0.104448--1.297848))+0--205-0.209100000000033</f>
        <v>1417.6525179999999</v>
      </c>
      <c r="H235" s="3">
        <f>2295.5+(102.9-1097.3)+(0+(0-0))+0--141-0</f>
        <v>1442.1</v>
      </c>
      <c r="I235" s="3">
        <f>2283.6+(103.4-1120.2)+(-4.658544+(-0.210936--2.285208))+0--141-0.287639999999994</f>
        <v>1404.9280879999997</v>
      </c>
      <c r="J235" s="3">
        <f>2315+(102.7-1161.6)+(5.90325+(0.261885-2.96208))+0--141--0.35954999999998</f>
        <v>1400.662605</v>
      </c>
      <c r="K235" s="3">
        <f>2370+(106.5-1201.5)+(-3.6261+(-0.162945--1.838295))+0--141-0.215730000000008</f>
        <v>1413.8335199999999</v>
      </c>
      <c r="L235" s="3">
        <f>2399.3+(97.9-1286.2)+(-6.118215+(-0.249645--3.27981))+0--137.8-0.35138999999998</f>
        <v>1345.3605600000001</v>
      </c>
      <c r="M235" s="3">
        <f>2399.3+(107.9-1224.3)+(-1.223643+(-0.055029--0.624393))+0--138.1-0.070430999999986</f>
        <v>1420.27529</v>
      </c>
      <c r="N235" s="3">
        <f>2510.2+(117.7-1231)+(0+(0-0))+0--137.8-0</f>
        <v>1534.6999999999998</v>
      </c>
      <c r="O235" s="3">
        <f>2692.1+(119.8-1345.4)+(0+(0-0))+0--80-0</f>
        <v>1546.4999999999998</v>
      </c>
      <c r="P235" s="3">
        <f>2767.1+(121.2-1413.7)+(1.411221+(0.061812-0.720987))+0--186.8--0.0952679999999811</f>
        <v>1662.247314</v>
      </c>
      <c r="Q235" s="3">
        <f>2764.4+(122.4-1454.4)+(-8.459064+(-0.374544--4.450464))+0--269-0.823140000000031</f>
        <v>1696.1937160000002</v>
      </c>
      <c r="R235" s="3">
        <f>2701.8+(113.2-1384)+(-2.755836+(-0.115464--1.41168))+0--279.3-0.284886000000045</f>
        <v>1708.555494</v>
      </c>
      <c r="S235" s="3">
        <f>2630+(119.3-1342.2)+(0+(0-0))+0--280.3-0</f>
        <v>1687.3999999999999</v>
      </c>
      <c r="T235" s="3">
        <f>2591.2+(121.2-1309.9)+(-2.643024+(-0.123624--1.336098))+0--281.6-0.287232000000045</f>
        <v>1682.3822179999997</v>
      </c>
      <c r="U235" s="3">
        <f>2459.3+(120.7-1197.4)+(-3.762729+(-0.184671--1.832022))+0--280.5-0.429165000000016</f>
        <v>1660.5554570000002</v>
      </c>
      <c r="V235" s="3">
        <f>2574.1+(119.7-1341.9)+(1.312791+(0.061047-0.684369))+0--280.9--0.143258999999971</f>
        <v>1633.6327279999996</v>
      </c>
      <c r="W235" s="3">
        <f>2844.4+(130.1-1357.4)+(1.450644+(0.066351-0.692274))+0--281.2--0.143411999999971</f>
        <v>1899.2681329999998</v>
      </c>
      <c r="X235" s="3">
        <f>2940.1+(129.7-1368.2)+(0+(0-0))+0--282.2-0</f>
        <v>1983.8</v>
      </c>
      <c r="Y235" s="3">
        <f>2924.7+(126.2-1410.4)+(-8.949582+(-0.386172--4.315824))+0--281-0.859860000000032</f>
        <v>1915.6202099999998</v>
      </c>
      <c r="Z235" s="3">
        <f>2875.5+(121.4-1427.3)+(-2.93301+(-0.123828--1.455846))+0--283.7-0.289374000000045</f>
        <v>1851.4096340000003</v>
      </c>
      <c r="AA235" s="3">
        <f>2878.4+(119.7-1475.6)+(1.467984+(0.061047-0.752556))+0--283.4--0.144533999999971</f>
        <v>1806.8210090000002</v>
      </c>
      <c r="AB235" s="3">
        <f>2845.9+(113.8-1518.4)+(-5.805636+(-0.232152--3.097536))+0--282.4-0.576095999999988</f>
        <v>1720.1836519999999</v>
      </c>
      <c r="AC235" s="3">
        <f>2730.3+(105-1515.5)+(-4.177359+(-0.16065--2.318715))+0--282.7-0.432531000000016</f>
        <v>1600.0481750000004</v>
      </c>
      <c r="AD235">
        <f t="shared" si="3"/>
        <v>38909.669287000004</v>
      </c>
      <c r="AE235" s="3">
        <f>2944.3+(128.7-1387.9)+(0+(0-0))+0--287-0</f>
        <v>1972.1000000000001</v>
      </c>
    </row>
    <row r="236" spans="1:31" s="2" customFormat="1" x14ac:dyDescent="0.25">
      <c r="A236">
        <v>89</v>
      </c>
      <c r="B236">
        <v>8</v>
      </c>
      <c r="C236">
        <v>20</v>
      </c>
      <c r="D236">
        <v>6</v>
      </c>
      <c r="E236">
        <v>1</v>
      </c>
      <c r="F236" s="3">
        <f>2492.4+(99.7-1346.3)+(-2.542248+(-0.101694--1.373226))+0--240-0.244800000000038</f>
        <v>1484.2844840000002</v>
      </c>
      <c r="G236" s="3">
        <f>2440.9+(97.9-1341.2)+(-3.734577+(-0.149787--2.052036))+0--214-0.327420000000012</f>
        <v>1409.4402520000001</v>
      </c>
      <c r="H236" s="3">
        <f>2442.2+(98.8-1310.4)+(-3.736566+(-0.151164--2.004912))+0--142-0.217260000000008</f>
        <v>1370.4999219999997</v>
      </c>
      <c r="I236" s="3">
        <f>2378.9+(98.8-1260.7)+(1.213239+(0.050388-0.642957))+0--139--0.0708899999999859</f>
        <v>1356.69156</v>
      </c>
      <c r="J236" s="3">
        <f>2312.9+(99-1210.9)+(3.538737+(0.15147-1.852677))+0--139--0.212670000000008</f>
        <v>1342.0502000000001</v>
      </c>
      <c r="K236" s="3">
        <f>2309.6+(100.4-1199.1)+(2.355792+(0.102408-1.223082))+0--139--0.141780000000022</f>
        <v>1351.2768980000001</v>
      </c>
      <c r="L236" s="3">
        <f>2364.3+(102.7-1247.1)+(-1.205793+(-0.052377--0.636021))+0--139.5-0.0711449999999858</f>
        <v>1358.7067060000004</v>
      </c>
      <c r="M236" s="3">
        <f>2499.7+(111.8-1308.1)+(3.824541+(0.171054-2.001393))+0--139.5--0.213435000000008</f>
        <v>1445.1076370000001</v>
      </c>
      <c r="N236" s="3">
        <f>2640.1+(119.5-1358.7)+(4.039353+(0.182835-2.078811))+0--155.4--0.237762000000009</f>
        <v>1558.681139</v>
      </c>
      <c r="O236" s="3">
        <f>2732.6+(121.4-1466)+(2.787252+(0.123828-1.49532))+0--243.7--0.248574000000039</f>
        <v>1633.3643340000001</v>
      </c>
      <c r="P236" s="3">
        <f>2732.7+(108.9-1424.2)+(4.181031+(0.166617-2.179026))+0--275.3--0.421209000000016</f>
        <v>1695.2898309999998</v>
      </c>
      <c r="Q236" s="3">
        <f>2730+(98.3-1403.7)+(-2.7846+(-0.100266--1.431774))+0--277.1-0.282642000000044</f>
        <v>1699.964266</v>
      </c>
      <c r="R236" s="3">
        <f>2703.7+(88.3-1398.1)+(-2.757774+(-0.090066--1.426062))+0--278-0.283560000000044</f>
        <v>1670.1946619999999</v>
      </c>
      <c r="S236" s="3">
        <f>2578.3+(84.8-1279.9)+(-5.259732+(-0.172992--2.610996))+0--278-0.567119999999988</f>
        <v>1657.8111520000002</v>
      </c>
      <c r="T236" s="3">
        <f>2577.6+(83.4-1285)+(-5.258304+(-0.170136--2.6214))+0--278-0.567119999999988</f>
        <v>1650.6258400000002</v>
      </c>
      <c r="U236" s="3">
        <f>2461.2+(85.6-1196.9)+(-3.765636+(-0.130968--1.831257))+0--279-0.426870000000016</f>
        <v>1626.4077829999997</v>
      </c>
      <c r="V236" s="3">
        <f>2371.2+(88.1-1108.4)+(2.418624+(0.089862-1.130568))+0--280--0.285600000000045</f>
        <v>1632.5635179999995</v>
      </c>
      <c r="W236" s="3">
        <f>2493.8+(108.6-1014.9)+(-1.271838+(-0.055386--0.517599))+0--282-0.143819999999971</f>
        <v>1868.5465550000001</v>
      </c>
      <c r="X236" s="3">
        <f>2531.5+(111.4-987)+(-6.455325+(-0.28407--2.51685))+0--281-0.716549999999959</f>
        <v>1931.9609050000001</v>
      </c>
      <c r="Y236" s="3">
        <f>2541.3+(105.7-1042.6)+(-3.888189+(-0.161721--1.595178))+0--283-0.432990000000016</f>
        <v>1884.5122780000004</v>
      </c>
      <c r="Z236" s="3">
        <f>2550.7+(100.4-1141.2)+(-1.300857+(-0.051204--0.582012))+0--284-0.144839999999971</f>
        <v>1792.985111</v>
      </c>
      <c r="AA236" s="3">
        <f>2540.5+(97.9-1189.5)+(-3.886965+(-0.149787--1.819935))+0--285-0.436050000000016</f>
        <v>1731.2471330000001</v>
      </c>
      <c r="AB236" s="3">
        <f>2468.7+(92.6-1194.1)+(-3.777111+(-0.141678--1.826973))+0--284-0.434520000000016</f>
        <v>1648.6736639999997</v>
      </c>
      <c r="AC236" s="3">
        <f>2415.3+(84.2-1240.2)+(-4.927212+(-0.171768--2.530008))+0--285-0.581399999999988</f>
        <v>1541.1496280000001</v>
      </c>
      <c r="AD236">
        <f t="shared" si="3"/>
        <v>38342.035458000006</v>
      </c>
      <c r="AE236" s="3">
        <f>2529.3+(109.6-958.8)+(0+(0-0))+0--286-0</f>
        <v>1966.1000000000004</v>
      </c>
    </row>
    <row r="237" spans="1:31" s="2" customFormat="1" x14ac:dyDescent="0.25">
      <c r="A237">
        <v>89</v>
      </c>
      <c r="B237">
        <v>8</v>
      </c>
      <c r="C237">
        <v>21</v>
      </c>
      <c r="D237">
        <v>7</v>
      </c>
      <c r="E237">
        <v>1</v>
      </c>
      <c r="F237" s="3">
        <f>2313.1+(76.7-1183.5)+(-3.539043+(-0.117351--1.810755))+0--238-0.364140000000014</f>
        <v>1442.0902210000002</v>
      </c>
      <c r="G237" s="3">
        <f>2223.9+(76.1-1069.1)+(-3.402567+(-0.116433--1.635723))+0--138-0.211140000000008</f>
        <v>1366.8055830000001</v>
      </c>
      <c r="H237" s="3">
        <f>2200.2+(74.3-1094.1)+(-2.244204+(-0.075786--1.115982))+0--138-0.140760000000022</f>
        <v>1317.0552319999999</v>
      </c>
      <c r="I237" s="3">
        <f>2111.7+(90.4-1016)+(-3.230901+(-0.138312--1.55448))+0--138-0.211140000000008</f>
        <v>1322.0741269999999</v>
      </c>
      <c r="J237" s="3">
        <f>2045.1+(71-970.2)+(-1.043001+(-0.03621--0.494802))+0--138-0.070379999999986</f>
        <v>1283.2452109999999</v>
      </c>
      <c r="K237" s="3">
        <f>2046.4+(71.8-965.1)+(-1.043664+(-0.036618--0.492201))+0--138-0.070379999999986</f>
        <v>1290.4415389999999</v>
      </c>
      <c r="L237" s="3">
        <f>2024.2+(75.5-958.5)+(-7.226394+(-0.269535--3.421845))+0--138-0.492660000000002</f>
        <v>1274.6332559999998</v>
      </c>
      <c r="M237" s="3">
        <f>1993.4+(84.7-902.3)+(1.016634+(0.043197-0.460173))+0--138.3--0.070532999999986</f>
        <v>1314.7701910000003</v>
      </c>
      <c r="N237" s="3">
        <f>1971.8+(87.8-801.9)+(-3.016854+(-0.134334--1.226907))+0--138.3-0.211599000000008</f>
        <v>1393.8641199999997</v>
      </c>
      <c r="O237" s="3">
        <f>1991.2+(94.9-858.4)+(-2.031024+(-0.096798--0.875568))+0--240.5-0.245310000000038</f>
        <v>1466.702436</v>
      </c>
      <c r="P237" s="3">
        <f>2241.9+(94.3-1106.5)+(-1.143369+(-0.048093--0.564315))+0--279.3-0.142442999999972</f>
        <v>1508.2304100000001</v>
      </c>
      <c r="Q237" s="3">
        <f>2157.1+(97-990.7)+(-1.100121+(-0.04947--0.505257))+0--277.8-0.141677999999972</f>
        <v>1540.4139879999998</v>
      </c>
      <c r="R237" s="3">
        <f>2042.9+(85.6-874)+(-4.167516+(-0.174624--1.78296))+0--260-0.530399999999989</f>
        <v>1511.4104199999999</v>
      </c>
      <c r="S237" s="3">
        <f>2029+(85.1-755.6)+(4.13916+(0.173604-1.541424))+0--138--0.281519999999994</f>
        <v>1499.55286</v>
      </c>
      <c r="T237" s="3">
        <f>2046.1+(88.6-767.1)+(-3.130533+(-0.135558--1.173663))+0--137-0.209610000000008</f>
        <v>1502.2979619999999</v>
      </c>
      <c r="U237" s="3">
        <f>2047+(87.1-778.7)+(-1.04397+(-0.044421--0.397137))+0--138-0.070379999999986</f>
        <v>1492.6383660000001</v>
      </c>
      <c r="V237" s="3">
        <f>2141+(88.4-855)+(-1.09191+(-0.045084--0.43605))+0--137-0.0698699999999861</f>
        <v>1510.6291860000001</v>
      </c>
      <c r="W237" s="3">
        <f>2416.6+(100.7-996.5)+(-3.697398+(-0.154071--1.524645))+0--225-0.344250000000013</f>
        <v>1743.1289259999999</v>
      </c>
      <c r="X237" s="3">
        <f>2495.8+(103-1055.3)+(-8.910006+(-0.36771--3.767421))+0--281-1.00317</f>
        <v>1817.9865350000002</v>
      </c>
      <c r="Y237" s="3">
        <f>2451.1+(97.1-1027.6)+(-3.750183+(-0.148563--1.572228))+0--256-0.391680000000015</f>
        <v>1773.8818019999999</v>
      </c>
      <c r="Z237" s="3">
        <f>2363.5+(98.6-944.8)+(-4.82154+(-0.201144--1.927392))+0--214-0.436559999999991</f>
        <v>1727.7681480000001</v>
      </c>
      <c r="AA237" s="3">
        <f>2152.7+(99.8-784.5)+(-2.195754+(-0.101796--0.80019))+0--215-0.219300000000034</f>
        <v>1681.2833399999997</v>
      </c>
      <c r="AB237" s="3">
        <f>2140.6+(90.9-851.2)+(-3.275118+(-0.139077--1.302336))+0--216-0.330480000000012</f>
        <v>1593.8576609999996</v>
      </c>
      <c r="AC237" s="3">
        <f>2147.7+(80.9-950)+(-3.285981+(-0.123777--1.4535))+0--216-0.330480000000012</f>
        <v>1492.3132619999999</v>
      </c>
      <c r="AD237">
        <f t="shared" si="3"/>
        <v>35867.074782000003</v>
      </c>
      <c r="AE237" s="3">
        <f>2531.3+(106-1082.8)+(0+(0-0))+0--285-0</f>
        <v>1839.5000000000002</v>
      </c>
    </row>
    <row r="238" spans="1:31" s="2" customFormat="1" x14ac:dyDescent="0.25">
      <c r="A238">
        <v>89</v>
      </c>
      <c r="B238">
        <v>8</v>
      </c>
      <c r="C238">
        <v>22</v>
      </c>
      <c r="D238">
        <v>1</v>
      </c>
      <c r="E238">
        <v>1</v>
      </c>
      <c r="F238" s="3">
        <f>2057.7+(95.4-953.3)+(2.098854+(0.097308-0.972366))+0--216--0.220320000000034</f>
        <v>1417.2441159999998</v>
      </c>
      <c r="G238" s="3">
        <f>2006.7+(89.9-965.4)+(0+(0-0))+0--218-0</f>
        <v>1349.2</v>
      </c>
      <c r="H238" s="3">
        <f>2004.6+(92.4-993.4)+(1.022346+(0.047124-0.506634))+0--213--0.108629999999978</f>
        <v>1317.2714659999999</v>
      </c>
      <c r="I238" s="3">
        <f>2009.2+(89.7-950.9)+(2.049384+(0.091494-0.969918))+0--140--0.142800000000022</f>
        <v>1289.31376</v>
      </c>
      <c r="J238" s="3">
        <f>2010.5+(90.7-962.5)+(2.05071+(0.092514-0.98175))+0--140--0.142800000000022</f>
        <v>1280.0042740000001</v>
      </c>
      <c r="K238" s="3">
        <f>2097.7+(86.1-1015.7)+(-1.069827+(-0.043911--0.518007))+0--140-0.0713999999999858</f>
        <v>1307.432869</v>
      </c>
      <c r="L238" s="3">
        <f>2147.2+(82.8-1038.2)+(-3.285216+(-0.126684--1.588446))+0--141.7-0.216801000000008</f>
        <v>1331.4597449999997</v>
      </c>
      <c r="M238" s="3">
        <f>2295.1+(90.7-1116.3)+(-1.170501+(-0.046257--0.569313))+0--143.5-0.0731849999999854</f>
        <v>1412.27937</v>
      </c>
      <c r="N238" s="3">
        <f>2363.8+(112.6-1212.9)+(-2.411076+(-0.114852--1.237158))+0--280-0.285600000000045</f>
        <v>1541.9256299999997</v>
      </c>
      <c r="O238" s="3">
        <f>2432.8+(108.4-1205.8)+(-3.722184+(-0.165852--1.844874))+0--280-0.428400000000016</f>
        <v>1612.9284380000004</v>
      </c>
      <c r="P238" s="3">
        <f>2480.7+(97.9-1201.4)+(0+(0-0))+0--277.8-0</f>
        <v>1654.9999999999998</v>
      </c>
      <c r="Q238" s="3">
        <f>2553.5+(99.9-1243.2)+(-1.302285+(-0.050949--0.634032))+0--277.8-0.141677999999972</f>
        <v>1687.13912</v>
      </c>
      <c r="R238" s="3">
        <f>2547.4+(93-1257.7)+(-5.196696+(-0.18972--2.565708))+0--276.3-0.563651999999988</f>
        <v>1655.61564</v>
      </c>
      <c r="S238" s="3">
        <f>2545+(96.3-1244.9)+(-2.5959+(-0.098226--1.269798))+0--278.3-0.283866000000044</f>
        <v>1672.9918059999998</v>
      </c>
      <c r="T238" s="3">
        <f>2487+(99.6-1191)+(-1.26837+(-0.050796--0.60741))+0--279.4-0.142493999999972</f>
        <v>1674.1457499999999</v>
      </c>
      <c r="U238" s="3">
        <f>2468.7+(101.3-1182.4)+(1.259037+(0.051663-0.603024))+0--278--0.141779999999972</f>
        <v>1666.4494559999996</v>
      </c>
      <c r="V238" s="3">
        <f>2412.5+(100.8-1126.7)+(2.46075+(0.102816-1.149234))+0--278.5--0.284070000000044</f>
        <v>1666.7984020000001</v>
      </c>
      <c r="W238" s="3">
        <f>2759.8+(113-1238.6)+(0+(0-0))+0--280.1-0</f>
        <v>1914.3000000000002</v>
      </c>
      <c r="X238" s="3">
        <f>2776.6+(113.3-1195.8)+(-1.416066+(-0.057783--0.609858))+0--281.8-0.143717999999971</f>
        <v>1974.8922909999999</v>
      </c>
      <c r="Y238" s="3">
        <f>2758.1+(109.3-1237.4)+(-5.626524+(-0.222972--2.524296))+0--281.4-0.574055999999988</f>
        <v>1907.5007439999999</v>
      </c>
      <c r="Z238" s="3">
        <f>2581.3+(105.2-1136.4)+(-1.316463+(-0.053652--0.579564))+0--282.9-0.144278999999971</f>
        <v>1832.0651700000001</v>
      </c>
      <c r="AA238" s="3">
        <f>2579.5+(102.8-1191.3)+(-3.946635+(-0.157284--1.822689))+0--285.7-0.437121000000016</f>
        <v>1773.9816490000001</v>
      </c>
      <c r="AB238" s="3">
        <f>2566+(99.2-1247.8)+(-6.5433+(-0.25296--3.18189))+0--244-0.622199999999965</f>
        <v>1657.1634300000001</v>
      </c>
      <c r="AC238" s="3">
        <f>2326.1+(94.7-1038.5)+(-5.931555+(-0.241485--2.648175))+0--137.6-0.35087999999998</f>
        <v>1516.0242549999998</v>
      </c>
      <c r="AD238">
        <f t="shared" si="3"/>
        <v>38113.127380999998</v>
      </c>
      <c r="AE238" s="3">
        <f>2780.3+(108-1183.1)+(0+(0-0))+0--283-0</f>
        <v>1988.2000000000003</v>
      </c>
    </row>
    <row r="239" spans="1:31" s="2" customFormat="1" x14ac:dyDescent="0.25">
      <c r="A239">
        <v>89</v>
      </c>
      <c r="B239">
        <v>8</v>
      </c>
      <c r="C239">
        <v>23</v>
      </c>
      <c r="D239">
        <v>2</v>
      </c>
      <c r="E239">
        <v>1</v>
      </c>
      <c r="F239" s="3">
        <f>2243.3+(89-1049.5)+(-4.576332+(-0.18156--2.14098))+0--140-0.285599999999994</f>
        <v>1419.8974880000003</v>
      </c>
      <c r="G239" s="3">
        <f>2190.1+(90-1062)+(-5.584755+(-0.2295--2.7081))+0--140-0.35699999999998</f>
        <v>1354.636845</v>
      </c>
      <c r="H239" s="3">
        <f>2106.2+(87-1010.9)+(-1.074162+(-0.04437--0.515559))+0--140-0.0713999999999858</f>
        <v>1321.6256269999997</v>
      </c>
      <c r="I239" s="3">
        <f>2104+(85-1026.9)+(-2.14608+(-0.0867--1.047438))+0--140-0.142800000000022</f>
        <v>1300.7718579999998</v>
      </c>
      <c r="J239" s="3">
        <f>2107.1+(88.5-1033.3)+(-2.149242+(-0.09027--1.053966))+0--140-0.142800000000022</f>
        <v>1300.9716539999999</v>
      </c>
      <c r="K239" s="3">
        <f>2163.2+(92-1062.9)+(3.309696+(0.14076-1.626237))+0--140--0.214200000000008</f>
        <v>1334.3384189999999</v>
      </c>
      <c r="L239" s="3">
        <f>2219.6+(82.8-1092.4)+(0+(0-0))+0--138.2-0</f>
        <v>1348.1999999999998</v>
      </c>
      <c r="M239" s="3">
        <f>2243.3+(93-1030.1)+(1.144083+(0.04743-0.525351))+0--138.5--0.0706349999999859</f>
        <v>1445.4367970000003</v>
      </c>
      <c r="N239" s="3">
        <f>2389+(102.7-1145.7)+(-4.87356+(-0.209508--2.337228))+0--181.1-0.369443999999992</f>
        <v>1523.9847159999999</v>
      </c>
      <c r="O239" s="3">
        <f>2429.7+(122.5-1232.7)+(0+(0-0))+0--282.2-0</f>
        <v>1601.6999999999998</v>
      </c>
      <c r="P239" s="3">
        <f>2360.3+(120.8-1111.5)+(-1.203753+(-0.061608--0.566865))+0--280.7-0.143156999999972</f>
        <v>1649.4583470000002</v>
      </c>
      <c r="Q239" s="3">
        <f>2288+(116.2-1030.4)+(-3.50064+(-0.177786--1.576512))+0--282.7-0.432531000000016</f>
        <v>1653.965555</v>
      </c>
      <c r="R239" s="3">
        <f>2165.1+(102-896.4)+(-4.416804+(-0.20808--1.828656))+0--253.5-0.517139999999989</f>
        <v>1620.886632</v>
      </c>
      <c r="S239" s="3">
        <f>2078.7+(106.9-772.4)+(-2.120274+(-0.109038--0.787848))+0--209.9-0.214098000000033</f>
        <v>1621.444438</v>
      </c>
      <c r="T239" s="3">
        <f>2076.9+(108.1-773.1)+(-1.059219+(-0.055131--0.394281))+0--210.9-0.107558999999979</f>
        <v>1621.9723720000002</v>
      </c>
      <c r="U239" s="3">
        <f>2061+(104.3-779.1)+(-2.10222+(-0.106386--0.794682))+0--238.1-0.242862000000038</f>
        <v>1622.6432139999997</v>
      </c>
      <c r="V239" s="3">
        <f>2279.8+(102.2-1009.7)+(0+(0-0))+0--285.1-0</f>
        <v>1657.4</v>
      </c>
      <c r="W239" s="3">
        <f>2399.2+(116.8-902.2)+(3.670776+(0.178704-1.380366))+0--284.5--0.435285000000016</f>
        <v>1901.2043989999997</v>
      </c>
      <c r="X239" s="3">
        <f>2419.4+(117.8-862.7)+(-4.935576+(-0.240312--1.759908))+0--286.6-0.584663999999988</f>
        <v>1957.0993560000002</v>
      </c>
      <c r="Y239" s="3">
        <f>2423+(114.2-915.1)+(-6.17865+(-0.29121--2.333505))+0--287.2-0.732359999999958</f>
        <v>1904.4312849999999</v>
      </c>
      <c r="Z239" s="3">
        <f>2432.4+(108.2-988.7)+(-2.481048+(-0.110364--1.008474))+0--289.3-0.295086000000046</f>
        <v>1839.3219759999999</v>
      </c>
      <c r="AA239" s="3">
        <f>2439.8+(105.9-1050.6)+(-3.732894+(-0.162027--1.607418))+0--290.3-0.444159000000017</f>
        <v>1782.6683380000002</v>
      </c>
      <c r="AB239" s="3">
        <f>2435.8+(98.6-1138.8)+(-4.969032+(-0.201144--2.323152))+0--290.4-0.592415999999987</f>
        <v>1682.5605600000004</v>
      </c>
      <c r="AC239" s="3">
        <f>2294.2+(99.6-1022.9)+(-5.85021+(-0.25398--2.608395))+0--183.3-0.467414999999973</f>
        <v>1550.2367899999997</v>
      </c>
      <c r="AD239">
        <f t="shared" si="3"/>
        <v>38016.856666</v>
      </c>
      <c r="AE239" s="3">
        <f>2416.3+(115-857.8)+(0+(0-0))+0--290-0</f>
        <v>1963.5000000000002</v>
      </c>
    </row>
    <row r="240" spans="1:31" s="2" customFormat="1" x14ac:dyDescent="0.25">
      <c r="A240">
        <v>89</v>
      </c>
      <c r="B240">
        <v>8</v>
      </c>
      <c r="C240">
        <v>24</v>
      </c>
      <c r="D240">
        <v>3</v>
      </c>
      <c r="E240">
        <v>1</v>
      </c>
      <c r="F240" s="3">
        <f>2178.3+(78.4-931.4)+(-5.554665+(-0.19992--2.37507))+0--142-0.362099999999979</f>
        <v>1463.558385</v>
      </c>
      <c r="G240" s="3">
        <f>2165.2+(74.1-976.4)+(-4.417008+(-0.151164--1.991856))+0--142-0.289679999999994</f>
        <v>1402.0340039999999</v>
      </c>
      <c r="H240" s="3">
        <f>2138.3+(71.7-988.7)+(-3.271599+(-0.109701--1.512711))+0--142-0.217260000000008</f>
        <v>1361.2141510000004</v>
      </c>
      <c r="I240" s="3">
        <f>2134.8+(70.4-1014.7)+(0+(0-0))+0--142-0</f>
        <v>1332.5</v>
      </c>
      <c r="J240" s="3">
        <f>2136.3+(70.7-1012.6)+(-1.089513+(-0.036057--0.516426))+0--142-0.0724199999999856</f>
        <v>1335.7184360000001</v>
      </c>
      <c r="K240" s="3">
        <f>2221.5+(71.4-1065)+(3.398895+(0.109242-1.62945))+0--142--0.217260000000008</f>
        <v>1371.9959469999999</v>
      </c>
      <c r="L240" s="3">
        <f>2282.3+(83.6-1126.2)+(-1.163973+(-0.042636--0.574362))+0--140.5-0.0716549999999857</f>
        <v>1379.4960980000001</v>
      </c>
      <c r="M240" s="3">
        <f>2328+(92.7-1166)+(-2.37456+(-0.094554--1.18932))+0--141.6-0.144432000000023</f>
        <v>1394.8757739999999</v>
      </c>
      <c r="N240" s="3">
        <f>2415.7+(100.5-1149)+(-1.232007+(-0.051255--0.58599))+0--174.4-0.0889439999999823</f>
        <v>1540.8137839999997</v>
      </c>
      <c r="O240" s="3">
        <f>2403.9+(101.8-1117.2)+(-1.225989+(-0.051918--0.569772))+0--213.8-0.109037999999978</f>
        <v>1601.4828269999998</v>
      </c>
      <c r="P240" s="3">
        <f>2404.9+(102.2-1106.6)+(-2.452998+(-0.104244--1.128732))+0--258-0.263160000000041</f>
        <v>1656.8083300000003</v>
      </c>
      <c r="Q240" s="3">
        <f>2382.3+(101.8-1091.2)+(-4.859892+(-0.207672--2.226048))+0--281.8-0.574871999999988</f>
        <v>1671.2836120000002</v>
      </c>
      <c r="R240" s="3">
        <f>2358.2+(98.4-1123.1)+(-6.01341+(-0.25092--2.863905))+0--282.8-0.721139999999959</f>
        <v>1612.178435</v>
      </c>
      <c r="S240" s="3">
        <f>2285.2+(118.4-1044.5)+(-1.165452+(-0.060384--0.532695))+0--284.7-0.145196999999971</f>
        <v>1642.9616619999999</v>
      </c>
      <c r="T240" s="3">
        <f>2421.7+(101.9-1136.6)+(-2.470134+(-0.103938--1.159332))+0--261.6-0.266832000000042</f>
        <v>1646.9184280000002</v>
      </c>
      <c r="U240" s="3">
        <f>2458.8+(99.4-1120.7)+(-1.253988+(-0.050694--0.571557))+0--211.4-0.107813999999979</f>
        <v>1648.0590610000002</v>
      </c>
      <c r="V240" s="3">
        <f>2515.2+(104.1-1184)+(0+(0-0))+0--229.3-0</f>
        <v>1664.5999999999997</v>
      </c>
      <c r="W240" s="3">
        <f>2628.5+(117.3-1106.5)+(-4.021605+(-0.179469--1.692945))+0--284.2-0.434826000000016</f>
        <v>1920.557045</v>
      </c>
      <c r="X240" s="3">
        <f>2634.3+(117.1-1054.1)+(-6.717465+(-0.298605--2.687955))+0--285.8-0.728789999999959</f>
        <v>1978.0430950000002</v>
      </c>
      <c r="Y240" s="3">
        <f>2638.8+(111.5-1120.3)+(-8.074728+(-0.34119--3.428118))+0--287-0.878220000000033</f>
        <v>1911.1339800000001</v>
      </c>
      <c r="Z240" s="3">
        <f>2664.5+(108.1-1203.6)+(-4.076685+(-0.165393--1.841508))+0--287.7-0.440181000000017</f>
        <v>1853.8592490000001</v>
      </c>
      <c r="AA240" s="3">
        <f>2629.2+(104.8-1236.3)+(-6.70446+(-0.26724--3.152565))+0--288.7-0.736184999999958</f>
        <v>1781.8446799999999</v>
      </c>
      <c r="AB240" s="3">
        <f>2634.2+(95.8-1350.1)+(-5.373768+(-0.195432--2.754204))+0--289.9-0.591395999999987</f>
        <v>1666.3936079999996</v>
      </c>
      <c r="AC240" s="3">
        <f>2414.1+(98.6-1213.5)+(-6.155955+(-0.25143--3.094425))+0--204.6-0.52172999999997</f>
        <v>1499.9653099999998</v>
      </c>
      <c r="AD240">
        <f t="shared" si="3"/>
        <v>38338.295901000005</v>
      </c>
      <c r="AE240" s="3">
        <f>2634.3+(120.4-1028.2)+(0+(0-0))+0--285-0</f>
        <v>2011.5</v>
      </c>
    </row>
    <row r="241" spans="1:31" s="2" customFormat="1" x14ac:dyDescent="0.25">
      <c r="A241">
        <v>89</v>
      </c>
      <c r="B241">
        <v>8</v>
      </c>
      <c r="C241">
        <v>25</v>
      </c>
      <c r="D241">
        <v>4</v>
      </c>
      <c r="E241">
        <v>1</v>
      </c>
      <c r="F241" s="3">
        <f>2194.2+(116.8-996.6)+(-5.59521+(-0.29784--2.54133))+0--139-0.35444999999998</f>
        <v>1449.6938299999997</v>
      </c>
      <c r="G241" s="3">
        <f>2035.7+(126.3-920.7)+(-1.038207+(-0.064413--0.469557))+0--144-0.0734399999999854</f>
        <v>1384.5934970000001</v>
      </c>
      <c r="H241" s="3">
        <f>1996.6+(128.7-927.7)+(-5.09133+(-0.328185--2.365635))+0--139-0.35444999999998</f>
        <v>1333.1916699999999</v>
      </c>
      <c r="I241" s="3">
        <f>2018.8+(127.6-969)+(2.059176+(0.130152-0.98838))+0--139--0.141780000000022</f>
        <v>1317.7427279999999</v>
      </c>
      <c r="J241" s="3">
        <f>2011.5+(130.1-965.7)+(0+(0-0))+0--139-0</f>
        <v>1314.9</v>
      </c>
      <c r="K241" s="3">
        <f>2009.1+(126.2-934.9)+(-1.024641+(-0.064362--0.476799))+0--139-0.0708899999999859</f>
        <v>1338.7169060000001</v>
      </c>
      <c r="L241" s="3">
        <f>2018.8+(129.5-915.9)+(1.029588+(0.066045-0.467109))+0--140--0.0713999999999858</f>
        <v>1373.0999240000001</v>
      </c>
      <c r="M241" s="3">
        <f>2054.1+(137.7-895.4)+(1.047591+(0.070227-0.456654))+0--140--0.0713999999999858</f>
        <v>1437.132564</v>
      </c>
      <c r="N241" s="3">
        <f>2179.8+(136.4-985.8)+(3.335094+(0.208692-1.508274))+0--223--0.341190000000013</f>
        <v>1555.7767020000001</v>
      </c>
      <c r="O241" s="3">
        <f>2196.8+(150.5-1007.4)+(-3.361104+(-0.230265--1.541322))+0--282-0.431460000000016</f>
        <v>1619.4184930000001</v>
      </c>
      <c r="P241" s="3">
        <f>2196.5+(147.9-976.9)+(0+(0-0))+0--282-0</f>
        <v>1649.5</v>
      </c>
      <c r="Q241" s="3">
        <f>2184.4+(149.6-951.4)+(-3.342132+(-0.228888--1.455642))+0--281-0.429930000000016</f>
        <v>1661.0546920000002</v>
      </c>
      <c r="R241" s="3">
        <f>2102.6+(142.8-886.9)+(-4.289304+(-0.291312--1.809276))+0--281.3-0.573851999999988</f>
        <v>1636.454808</v>
      </c>
      <c r="S241" s="3">
        <f>2057.3+(146.3-778.7)+(-1.049223+(-0.074613--0.397137))+0--217.6-0.110975999999978</f>
        <v>1641.662325</v>
      </c>
      <c r="T241" s="3">
        <f>2047.5+(144.6-774.1)+(-3.132675+(-0.221238--1.184373))+0--212-0.324360000000012</f>
        <v>1627.5060999999998</v>
      </c>
      <c r="U241" s="3">
        <f>2046.5+(146.4-777.7)+(-5.218575+(-0.37332--1.983135))+0--212.3-0.541364999999969</f>
        <v>1623.3498749999997</v>
      </c>
      <c r="V241" s="3">
        <f>2051.8+(148.3-766.7)+(-4.185672+(-0.302532--1.564068))+0--212.7-0.433907999999991</f>
        <v>1642.7419560000001</v>
      </c>
      <c r="W241" s="3">
        <f>2210.4+(161.5-744)+(0+(0-0))+0--272.4-0</f>
        <v>1900.3000000000002</v>
      </c>
      <c r="X241" s="3">
        <f>2307.8+(161.6-797.4)+(-4.707912+(-0.329664--1.626696))+0--285.9-0.583235999999987</f>
        <v>1953.9058840000002</v>
      </c>
      <c r="Y241" s="3">
        <f>2292.4+(153.1-835.9)+(-7.014744+(-0.468486--2.557854))+0--288.1-0.881586000000033</f>
        <v>1891.8930380000002</v>
      </c>
      <c r="Z241" s="3">
        <f>2233.1+(142.5-840.9)+(-2.277762+(-0.14535--0.857718))+0--290.1-0.295902000000046</f>
        <v>1822.9387039999999</v>
      </c>
      <c r="AA241" s="3">
        <f>2210.5+(134.7-873.2)+(-3.382065+(-0.206091--1.335996))+0--290.7-0.444771000000017</f>
        <v>1760.0030690000001</v>
      </c>
      <c r="AB241" s="3">
        <f>2205.7+(130.2-953.2)+(-5.624535+(-0.33201--2.43066))+0--291.2-0.742559999999958</f>
        <v>1669.6315549999999</v>
      </c>
      <c r="AC241" s="3">
        <f>2260.1+(120.2-1112.3)+(0+(0-0))+0--291.5-0</f>
        <v>1559.5</v>
      </c>
      <c r="AD241">
        <f t="shared" si="3"/>
        <v>38164.708319999998</v>
      </c>
      <c r="AE241" s="3">
        <f>2247.3+(170.5-726.8)+(0+(0-0))+0--286-0</f>
        <v>1977.0000000000002</v>
      </c>
    </row>
    <row r="242" spans="1:31" s="2" customFormat="1" x14ac:dyDescent="0.25">
      <c r="A242">
        <v>89</v>
      </c>
      <c r="B242">
        <v>8</v>
      </c>
      <c r="C242">
        <v>26</v>
      </c>
      <c r="D242">
        <v>5</v>
      </c>
      <c r="E242">
        <v>3</v>
      </c>
      <c r="F242" s="3">
        <f>2260.5+(92.4-1180.5)+(-4.61142+(-0.188496--2.40822))+0--297-0.605879999999987</f>
        <v>1466.4024240000001</v>
      </c>
      <c r="G242" s="3">
        <f>2156.5+(95.3-1183.2)+(0+(0-0))+0--295-0</f>
        <v>1363.6</v>
      </c>
      <c r="H242" s="3">
        <f>2235.9+(93.9-1287)+(-5.701545+(-0.239445--3.28185))+0--299-0.762449999999957</f>
        <v>1338.3784100000003</v>
      </c>
      <c r="I242" s="3">
        <f>2228+(92.2-1225.2)+(-4.54512+(-0.188088--2.499408))+0--223-0.45491999999999</f>
        <v>1315.3112800000001</v>
      </c>
      <c r="J242" s="3">
        <f>2169+(92.4-1093.3)+(3.31857+(0.141372-1.672749))+0--158--0.241740000000009</f>
        <v>1328.1289329999997</v>
      </c>
      <c r="K242" s="3">
        <f>2164.4+(97.8-1092.5)+(-1.103844+(-0.049878--0.557175))+0--158-0.080579999999984</f>
        <v>1327.0228729999999</v>
      </c>
      <c r="L242" s="3">
        <f>2139.5+(99.1-1133.9)+(1.091145+(0.050541-0.578289))+0--191.7--0.0977669999999806</f>
        <v>1297.0611639999997</v>
      </c>
      <c r="M242" s="3">
        <f>2122.6+(95.4-1043.3)+(-2.165052+(-0.097308--1.064166))+0--140.4-0.143208000000022</f>
        <v>1313.7585979999999</v>
      </c>
      <c r="N242" s="3">
        <f>2262.7+(113.2-1108.7)+(0+(0-0))+0--140.9-0</f>
        <v>1408.1</v>
      </c>
      <c r="O242" s="3">
        <f>2190.6+(122.9-973.8)+(-4.468824+(-0.250716--1.986552))+0--141.1-0.287843999999994</f>
        <v>1477.7791679999998</v>
      </c>
      <c r="P242" s="3">
        <f>2151.9+(124.3-911.2)+(-3.292407+(-0.190179--1.394136))+0--139.8-0.213894000000008</f>
        <v>1502.497656</v>
      </c>
      <c r="Q242" s="3">
        <f>2141.4+(124.5-887.5)+(-4.368456+(-0.25398--1.8105))+0--138.8-0.283151999999994</f>
        <v>1514.104912</v>
      </c>
      <c r="R242" s="3">
        <f>2088.1+(130.3-854.9)+(-2.129862+(-0.132906--0.871998))+0--139.8-0.142596000000022</f>
        <v>1501.7666340000001</v>
      </c>
      <c r="S242" s="3">
        <f>2031.2+(115.2-797.8)+(-2.071824+(-0.117504--0.813756))+0--139-0.141780000000022</f>
        <v>1486.0826480000003</v>
      </c>
      <c r="T242" s="3">
        <f>2013.4+(110.5-782.2)+(-1.026834+(-0.056355--0.398922))+0--139-0.0708899999999859</f>
        <v>1479.944843</v>
      </c>
      <c r="U242" s="3">
        <f>2012.5+(111.9-779.2)+(-1.026375+(-0.057069--0.397392))+0--139.1-0.0709409999999859</f>
        <v>1483.5430069999998</v>
      </c>
      <c r="V242" s="3">
        <f>2014.2+(118.2-752.8)+(-4.108968+(-0.241128--1.535712))+0--139.6-0.284783999999994</f>
        <v>1516.1008320000001</v>
      </c>
      <c r="W242" s="3">
        <f>2166.8+(135.5-792.7)+(-3.315204+(-0.207315--1.212831))+0--243.4-0.372402000000014</f>
        <v>1750.3179100000002</v>
      </c>
      <c r="X242" s="3">
        <f>2235.2+(138.4-826.7)+(-5.69976+(-0.35292--2.108085))+0--262.8-0.670139999999962</f>
        <v>1805.0852649999997</v>
      </c>
      <c r="Y242" s="3">
        <f>2220.2+(131.2-770.9)+(-2.264604+(-0.133824--0.786318))+0--177.4-0.180948000000028</f>
        <v>1756.1069419999999</v>
      </c>
      <c r="Z242" s="3">
        <f>2172+(128.1-808.4)+(-2.21544+(-0.130662--0.824568))+0--219.2-0.223584000000035</f>
        <v>1709.154882</v>
      </c>
      <c r="AA242" s="3">
        <f>2174.7+(123.2-855.7)+(-4.436388+(-0.251328--1.745628))+0--219.8-0.44839199999999</f>
        <v>1658.6095199999997</v>
      </c>
      <c r="AB242" s="3">
        <f>2141.1+(119.8-886.3)+(-5.459805+(-0.30549--2.260065))+0--219.8-0.560489999999968</f>
        <v>1590.3342799999998</v>
      </c>
      <c r="AC242" s="3">
        <f>2012+(114.2-851.1)+(-4.10448+(-0.232968--1.736244))+0--222.2-0.45328799999999</f>
        <v>1494.245508</v>
      </c>
      <c r="AD242">
        <f t="shared" si="3"/>
        <v>35883.437689000006</v>
      </c>
      <c r="AE242" s="3">
        <f>2231.3+(144.6-850.7)+(0+(0-0))+0--290-0</f>
        <v>1815.2000000000003</v>
      </c>
    </row>
    <row r="243" spans="1:31" s="2" customFormat="1" x14ac:dyDescent="0.25">
      <c r="A243">
        <v>89</v>
      </c>
      <c r="B243">
        <v>8</v>
      </c>
      <c r="C243">
        <v>27</v>
      </c>
      <c r="D243">
        <v>6</v>
      </c>
      <c r="E243">
        <v>6</v>
      </c>
      <c r="F243" s="3">
        <f>1942.5+(110.6-828.3)+(-4.953375+(-0.28203--2.112165))+0--153.2-0.390659999999978</f>
        <v>1374.4861000000003</v>
      </c>
      <c r="G243" s="3">
        <f>1864.3+(101.5-886.8)+(-3.803172+(-0.20706--1.809072))+0--148.1-0.302123999999994</f>
        <v>1224.5967159999998</v>
      </c>
      <c r="H243" s="3">
        <f>1861.9+(97.9-913)+(-3.798276+(-0.199716--1.86252))+0--148.2-0.302327999999993</f>
        <v>1192.5622000000003</v>
      </c>
      <c r="I243" s="3">
        <f>1877.9+(88.1-865.4)+(1.915458+(0.089862-0.882708))+0--148.3--0.151266000000024</f>
        <v>1250.1738780000001</v>
      </c>
      <c r="J243" s="3">
        <f>1865.1+(93.1-854.7)+(-2.853603+(-0.142443--1.307691))+0--148.3-0.226899000000009</f>
        <v>1249.884746</v>
      </c>
      <c r="K243" s="3">
        <f>1889.5+(89.9-853.6)+(-0.963645+(-0.045849--0.435336))+0--148.3-0.075632999999985</f>
        <v>1273.4502090000001</v>
      </c>
      <c r="L243" s="3">
        <f>1923.3+(79.8-860.4)+(-5.885298+(-0.244188--2.632824))+0--148.6-0.454716000000017</f>
        <v>1287.3486219999998</v>
      </c>
      <c r="M243" s="3">
        <f>1943.5+(93.1-811.5)+(0+(0-0))+0--148.7-0</f>
        <v>1373.8</v>
      </c>
      <c r="N243" s="3">
        <f>1920.8+(106.8-734.3)+(-1.959216+(-0.108936--0.748986))+0--194.3-0.198186000000031</f>
        <v>1486.0826479999998</v>
      </c>
      <c r="O243" s="3">
        <f>1902.8+(115.2-682.4)+(1.940856+(0.117504-0.696048))+0--225.8--0.230316000000036</f>
        <v>1562.992628</v>
      </c>
      <c r="P243" s="3">
        <f>1934.7+(122.7-731)+(-3.946788+(-0.250308--1.49124))+0--281.6-0.574463999999988</f>
        <v>1604.7196799999999</v>
      </c>
      <c r="Q243" s="3">
        <f>1960.9+(121.9-745)+(-4.000236+(-0.248676--1.5198))+0--280.9-0.573035999999988</f>
        <v>1615.3978520000003</v>
      </c>
      <c r="R243" s="3">
        <f>1956.5+(106.4-667.2)+(-2.993445+(-0.162792--1.020816))+0--167-0.25551000000001</f>
        <v>1560.3090689999999</v>
      </c>
      <c r="S243" s="3">
        <f>1954+(103.1-682.7)+(-2.98962+(-0.157743--1.044531))+0--147.4-0.225522000000009</f>
        <v>1519.4716460000002</v>
      </c>
      <c r="T243" s="3">
        <f>1963+(101.3-711.2)+(1.00113+(0.051663-0.362712))+0--147.5--0.075224999999985</f>
        <v>1501.3653059999999</v>
      </c>
      <c r="U243" s="3">
        <f>1942.1+(99.9-692.5)+(0.990471+(0.050949-0.353175))+0--147.6--0.075275999999985</f>
        <v>1497.863521</v>
      </c>
      <c r="V243" s="3">
        <f>1931.6+(102.6-653.4)+(0+(0-0))+0--147.6-0</f>
        <v>1528.3999999999999</v>
      </c>
      <c r="W243" s="3">
        <f>2059.5+(133.6-657.3)+(0+(0-0))+0--229.4-0</f>
        <v>1765.2000000000003</v>
      </c>
      <c r="X243" s="3">
        <f>2064.3+(135-672)+(-3.158379+(-0.20655--1.02816))+0--282.5-0.432225000000016</f>
        <v>1807.0310060000002</v>
      </c>
      <c r="Y243" s="3">
        <f>2072.5+(131.7-739.2)+(-2.11395+(-0.134334--0.753984))+0--286.6-0.292332000000046</f>
        <v>1749.8133680000001</v>
      </c>
      <c r="Z243" s="3">
        <f>2070.3+(125-805.1)+(-1.055853+(-0.06375--0.410601))+0--285.7-0.145706999999971</f>
        <v>1675.0452910000004</v>
      </c>
      <c r="AA243" s="3">
        <f>2069.1+(122.3-856.9)+(-1.055241+(-0.062373--0.437019))+0--286.6-0.146165999999971</f>
        <v>1620.2732390000001</v>
      </c>
      <c r="AB243" s="3">
        <f>2086.3+(113.1-929.6)+(-3.192039+(-0.173043--1.422288))+0--287.3-0.439569000000017</f>
        <v>1554.717637</v>
      </c>
      <c r="AC243" s="3">
        <f>1959.9+(105.6-905.3)+(-1.999098+(-0.107712--0.923406))+0--287.9-0.293658000000046</f>
        <v>1446.622938</v>
      </c>
      <c r="AD243">
        <f t="shared" si="3"/>
        <v>35721.608300000007</v>
      </c>
      <c r="AE243" s="3">
        <f>2060.3+(149.6-638.7)+(0+(0-0))+0--287-0</f>
        <v>1858.2000000000003</v>
      </c>
    </row>
    <row r="244" spans="1:31" s="2" customFormat="1" x14ac:dyDescent="0.25">
      <c r="A244">
        <v>89</v>
      </c>
      <c r="B244">
        <v>8</v>
      </c>
      <c r="C244">
        <v>28</v>
      </c>
      <c r="D244">
        <v>7</v>
      </c>
      <c r="E244">
        <v>1</v>
      </c>
      <c r="F244" s="3">
        <f>1870.3+(102.5-901)+(-3.815412+(-0.2091--1.83804))+0--291-0.593639999999987</f>
        <v>1360.0198879999998</v>
      </c>
      <c r="G244" s="3">
        <f>1733.9+(107.1-746.2)+(-4.421445+(-0.273105--1.90281))+0--219-0.558449999999968</f>
        <v>1310.4498100000003</v>
      </c>
      <c r="H244" s="3">
        <f>1701.1+(100.5-687.5)+(-4.337805+(-0.256275--1.753125))+0--149-0.379949999999978</f>
        <v>1259.879095</v>
      </c>
      <c r="I244" s="3">
        <f>1677.8+(101.3-683.4)+(-0.855678+(-0.051663--0.348534))+0--147-0.0749699999999851</f>
        <v>1242.066223</v>
      </c>
      <c r="J244" s="3">
        <f>1683+(99.3-693.4)+(1.71666+(0.101286-0.707268))+0--147--0.149940000000023</f>
        <v>1237.1606180000001</v>
      </c>
      <c r="K244" s="3">
        <f>1672.8+(101.1-673.5)+(-0.853128+(-0.051561--0.343485))+0--148-0.075479999999985</f>
        <v>1247.763316</v>
      </c>
      <c r="L244" s="3">
        <f>1658.7+(100.8-661.1)+(-3.383748+(-0.205632--1.348644))+0--149.1-0.304163999999994</f>
        <v>1244.9551000000001</v>
      </c>
      <c r="M244" s="3">
        <f>1677.1+(104.5-646.1)+(2.565963+(0.159885-0.988533))+0--149.4--0.228582000000009</f>
        <v>1286.8658970000001</v>
      </c>
      <c r="N244" s="3">
        <f>1685.2+(108.8-558.4)+(0+(0-0))+0--149-0</f>
        <v>1384.6000000000001</v>
      </c>
      <c r="O244" s="3">
        <f>1738.4+(102.9-571.2)+(-0.886584+(-0.052479--0.291312))+0--185.3-0.0945029999999812</f>
        <v>1454.6577459999999</v>
      </c>
      <c r="P244" s="3">
        <f>1781.7+(116.4-653.7)+(0.908667+(0.059364-0.333387))+0--273.7--0.139586999999972</f>
        <v>1518.874231</v>
      </c>
      <c r="Q244" s="3">
        <f>1831.7+(122.3-697.7)+(0.934167+(0.062373-0.355827))+0--282--0.143819999999971</f>
        <v>1539.084533</v>
      </c>
      <c r="R244" s="3">
        <f>1816.2+(120-738.8)+(-4.63131+(-0.306--1.88394))+0--280.2-0.714509999999959</f>
        <v>1473.83212</v>
      </c>
      <c r="S244" s="3">
        <f>1730.1+(118.4-668.9)+(-2.647053+(-0.181152--1.023417))+0--278.4-0.425952000000016</f>
        <v>1455.76926</v>
      </c>
      <c r="T244" s="3">
        <f>1638.6+(120.7-573.9)+(0.835686+(0.061557-0.292689))+0--279.5--0.142544999999972</f>
        <v>1465.6470989999998</v>
      </c>
      <c r="U244" s="3">
        <f>1637.3+(119.3-530.8)+(-3.340092+(-0.243372--1.082832))+0--223.8-0.45655199999999</f>
        <v>1446.6428159999998</v>
      </c>
      <c r="V244" s="3">
        <f>1722.3+(112.1-516)+(0.878373+(0.057171-0.26316))+0--167.5--0.085424999999983</f>
        <v>1486.657809</v>
      </c>
      <c r="W244" s="3">
        <f>1903+(136.8-583.8)+(0+(0-0))+0--281.1-0</f>
        <v>1737.1</v>
      </c>
      <c r="X244" s="3">
        <f>1965.3+(136.3-621)+(-4.009212+(-0.278052--1.26684))+0--282.7-0.576707999999988</f>
        <v>1759.7028679999999</v>
      </c>
      <c r="Y244" s="3">
        <f>1973.9+(133.6-673.8)+(-2.013378+(-0.136272--0.687276))+0--285.2-0.290904000000045</f>
        <v>1717.1467220000004</v>
      </c>
      <c r="Z244" s="3">
        <f>1918.6+(132.8-675.1)+(-1.956972+(-0.135456--0.688602))+0--287.1-0.292842000000046</f>
        <v>1661.7033319999998</v>
      </c>
      <c r="AA244" s="3">
        <f>1938.1+(128.2-741.6)+(-0.988431+(-0.065382--0.378216))+0--287.1-0.146420999999971</f>
        <v>1610.9779819999999</v>
      </c>
      <c r="AB244" s="3">
        <f>1929.3+(116-858.6)+(-2.951829+(-0.17748--1.313658))+0--285.5-0.436815000000017</f>
        <v>1469.9475339999999</v>
      </c>
      <c r="AC244" s="3">
        <f>1969.5+(102.5-914.8)+(0+(0-0))+0--251.1-0</f>
        <v>1408.3</v>
      </c>
      <c r="AD244">
        <f t="shared" si="3"/>
        <v>34779.803999000003</v>
      </c>
      <c r="AE244" s="3">
        <f>1972.3+(133.4-618.4)+(0+(0-0))+0--293-0</f>
        <v>1780.3</v>
      </c>
    </row>
    <row r="245" spans="1:31" s="2" customFormat="1" x14ac:dyDescent="0.25">
      <c r="A245">
        <v>89</v>
      </c>
      <c r="B245">
        <v>8</v>
      </c>
      <c r="C245">
        <v>29</v>
      </c>
      <c r="D245">
        <v>1</v>
      </c>
      <c r="E245">
        <v>1</v>
      </c>
      <c r="F245" s="3">
        <f>1961.4+(99.5-949.5)+(-4.001256+(-0.20298--1.93698))+0--216.4-0.441455999999991</f>
        <v>1325.0912880000001</v>
      </c>
      <c r="G245" s="3">
        <f>1920.8+(97.6-938.6)+(-2.938824+(-0.149328--1.436058))+0--191.7-0.293301000000011</f>
        <v>1269.554605</v>
      </c>
      <c r="H245" s="3">
        <f>1828.3+(100.2-834.4)+(-2.797299+(-0.153306--1.276632))+0--146-0.223380000000008</f>
        <v>1238.2026470000001</v>
      </c>
      <c r="I245" s="3">
        <f>1770.7+(106.4-790.3)+(2.709171+(0.162792-1.209159))+0--145.9--0.223227000000008</f>
        <v>1234.5860310000003</v>
      </c>
      <c r="J245" s="3">
        <f>1754.5+(105.5-775.1)+(-2.684385+(-0.161415--1.185903))+0--146.2-0.223686000000008</f>
        <v>1229.2164170000001</v>
      </c>
      <c r="K245" s="3">
        <f>1798+(99.9-769.9)+(-0.91698+(-0.050949--0.392649))+0--146.1-0.0745109999999852</f>
        <v>1273.4502089999999</v>
      </c>
      <c r="L245" s="3">
        <f>1874.5+(107.9-787.6)+(-3.82398+(-0.220116--1.606704))+0--146.5-0.298859999999994</f>
        <v>1338.5637479999998</v>
      </c>
      <c r="M245" s="3">
        <f>1919.4+(111-777.2)+(2.936682+(0.16983-1.189116))+0--152.2--0.232866000000009</f>
        <v>1407.5502620000002</v>
      </c>
      <c r="N245" s="3">
        <f>2149.4+(108.2-897.1)+(1.096194+(0.055182-0.457521))+0--235.6--0.120155999999976</f>
        <v>1596.9140109999998</v>
      </c>
      <c r="O245" s="3">
        <f>2503.8+(109.5-1266)+(-2.553876+(-0.11169--1.29132))+0--285.3-0.291006000000046</f>
        <v>1630.9347479999999</v>
      </c>
      <c r="P245" s="3">
        <f>2557.1+(115.1-1298.4)+(0+(0-0))+0--283.4-0</f>
        <v>1657.1999999999998</v>
      </c>
      <c r="Q245" s="3">
        <f>2508.2+(116-1239.6)+(0+(0-0))+0--281.5-0</f>
        <v>1666.1</v>
      </c>
      <c r="R245" s="3">
        <f>2340+(103-1118.8)+(-4.7736+(-0.21012--2.282352))+0--281-0.573239999999988</f>
        <v>1601.9253920000001</v>
      </c>
      <c r="S245" s="3">
        <f>2226.4+(104-1002.8)+(3.406392+(0.15912-1.534284))+0--281.3--0.430389000000016</f>
        <v>1611.3616170000003</v>
      </c>
      <c r="T245" s="3">
        <f>2218.4+(109.5-1013.8)+(0+(0-0))+0--281.1-0</f>
        <v>1595.2000000000003</v>
      </c>
      <c r="U245" s="3">
        <f>2214.7+(110-1005.6)+(-2.258994+(-0.1122--1.025712))+0--277.8-0.283356000000044</f>
        <v>1595.2711619999998</v>
      </c>
      <c r="V245" s="3">
        <f>2266.3+(109.6-964.7)+(1.155813+(0.055896-0.491997))+0--219.4--0.111893999999978</f>
        <v>1631.4316060000003</v>
      </c>
      <c r="W245" s="3">
        <f>2530+(133.8-993.7)+(-2.5806+(-0.136476--1.013574))+0--240.2-0.245004000000038</f>
        <v>1908.3514939999998</v>
      </c>
      <c r="X245" s="3">
        <f>2906.2+(129.4-1336.4)+(-4.446486+(-0.197982--2.044692))+0--286.8-0.438804000000017</f>
        <v>1982.9614199999996</v>
      </c>
      <c r="Y245" s="3">
        <f>2686.3+(124.1-1185.7)+(-1.370013+(-0.063291--0.604707))+0--287.9-0.146828999999971</f>
        <v>1911.6245740000002</v>
      </c>
      <c r="Z245" s="3">
        <f>2647.4+(115.2-1212.3)+(-1.350174+(-0.058752--0.618273))+0--289.1-0.147440999999971</f>
        <v>1838.461906</v>
      </c>
      <c r="AA245" s="3">
        <f>2622+(108.5-1270.5)+(-2.67444+(-0.11067--1.29591))+0--292.1-0.297942000000047</f>
        <v>1750.3128579999998</v>
      </c>
      <c r="AB245" s="3">
        <f>2415.9+(111.7-1162.5)+(-1.232109+(-0.056967--0.592875))+0--292.4-0.14912399999997</f>
        <v>1656.6546750000002</v>
      </c>
      <c r="AC245" s="3">
        <f>2193.5+(114.4-1098.8)+(-4.47474+(-0.233376--2.241552))+0--291.6-0.594863999999987</f>
        <v>1497.6385720000001</v>
      </c>
      <c r="AD245">
        <f t="shared" si="3"/>
        <v>37448.559242000003</v>
      </c>
      <c r="AE245" s="3">
        <f>2661.3+(167.1-1079.6)+(0+(0-0))+0--291-0</f>
        <v>2039.8000000000002</v>
      </c>
    </row>
    <row r="246" spans="1:31" s="2" customFormat="1" x14ac:dyDescent="0.25">
      <c r="A246">
        <v>89</v>
      </c>
      <c r="B246">
        <v>8</v>
      </c>
      <c r="C246">
        <v>30</v>
      </c>
      <c r="D246">
        <v>2</v>
      </c>
      <c r="E246">
        <v>1</v>
      </c>
      <c r="F246" s="3">
        <f>2044.5+(121-1086.4)+(-1.042695+(-0.06171--0.554064))+0--292-0.14891999999997</f>
        <v>1370.4007390000002</v>
      </c>
      <c r="G246" s="3">
        <f>2020.7+(111.6-1065.5)+(-3.091671+(-0.170748--1.630215))+0--213-0.325890000000012</f>
        <v>1277.8419060000001</v>
      </c>
      <c r="H246" s="3">
        <f>2004.7+(103.9-1043.4)+(-1.022397+(-0.052989--0.532134))+0--149-0.0759899999999849</f>
        <v>1213.5807579999998</v>
      </c>
      <c r="I246" s="3">
        <f>1855.6+(131.4-936.4)+(-0.946356+(-0.067014--0.477564))+0--150-0.0764999999999848</f>
        <v>1199.9876939999999</v>
      </c>
      <c r="J246" s="3">
        <f>1874.2+(106.7-940.7)+(3.823368+(0.217668-1.919028))+0--149--0.303959999999994</f>
        <v>1191.6259680000001</v>
      </c>
      <c r="K246" s="3">
        <f>1933.9+(100.2-944.7)+(0.986289+(0.051102-0.481797))+0--150--0.0764999999999848</f>
        <v>1240.0320939999999</v>
      </c>
      <c r="L246" s="3">
        <f>2131.9+(98-1100.4)+(0+(0-0))+0--220.9-0</f>
        <v>1350.4</v>
      </c>
      <c r="M246" s="3">
        <f>2007+(129.4-995.7)+(-3.07071+(-0.197982--1.523421))+0--295-0.451350000000017</f>
        <v>1433.5033789999998</v>
      </c>
      <c r="N246" s="3">
        <f>2064.4+(131.5-944.6)+(2.105688+(0.13413-0.963492))+0--271.7--0.277134000000043</f>
        <v>1524.5534600000001</v>
      </c>
      <c r="O246" s="3">
        <f>2199.8+(130.5-967)+(-3.365694+(-0.199665--1.47951))+0--221.5-0.338895000000013</f>
        <v>1582.375256</v>
      </c>
      <c r="P246" s="3">
        <f>2196.2+(128.7-911.4)+(1.120062+(0.065637-0.464814))+0--219.7--0.112046999999978</f>
        <v>1634.0329319999998</v>
      </c>
      <c r="Q246" s="3">
        <f>2189.6+(129.3-914.2)+(-2.233392+(-0.131886--0.932484))+0--252.3-0.25734600000004</f>
        <v>1655.3098599999996</v>
      </c>
      <c r="R246" s="3">
        <f>2115.7+(121.4-920.8)+(-5.395035+(-0.30957--2.34804))+0--285-0.726749999999959</f>
        <v>1597.2166849999996</v>
      </c>
      <c r="S246" s="3">
        <f>2063.5+(133.5-877.6)+(-1.052385+(-0.068085--0.447576))+0--285-0.145349999999971</f>
        <v>1603.581756</v>
      </c>
      <c r="T246" s="3">
        <f>1976.6+(137.5-815.7)+(-3.024198+(-0.210375--1.248021))+0--285.4-0.436662000000016</f>
        <v>1581.3767859999998</v>
      </c>
      <c r="U246" s="3">
        <f>2030.5+(135.7-872.5)+(1.035555+(0.069207-0.444975))+0--286.4--0.146063999999971</f>
        <v>1580.905851</v>
      </c>
      <c r="V246" s="3">
        <f>2242.8+(131.2-984)+(-1.143828+(-0.066912--0.50184))+0--287-0.146369999999971</f>
        <v>1676.1447300000002</v>
      </c>
      <c r="W246" s="3">
        <f>2318.8+(151-878.7)+(0+(0-0))+0--287.3-0</f>
        <v>1878.4</v>
      </c>
      <c r="X246" s="3">
        <f>2392.1+(156.7-913)+(-4.879884+(-0.319668--1.86252))+0--289.5-0.590579999999987</f>
        <v>1921.372388</v>
      </c>
      <c r="Y246" s="3">
        <f>2383.2+(152.5-971.4)+(-4.861728+(-0.3111--1.981656))+0--290.1-0.591803999999987</f>
        <v>1850.6170239999999</v>
      </c>
      <c r="Z246" s="3">
        <f>2275.3+(145.4-932.1)+(-5.802015+(-0.37077--2.376855))+0--290.3-0.740264999999958</f>
        <v>1774.3638050000002</v>
      </c>
      <c r="AA246" s="3">
        <f>2254.4+(130.5-958.1)+(-3.449232+(-0.199665--1.465893))+0--293.2-0.448596000000017</f>
        <v>1717.3684000000003</v>
      </c>
      <c r="AB246" s="3">
        <f>2191+(118.5-953.1)+(-3.35223+(-0.181305--1.458243))+0--242-0.370260000000014</f>
        <v>1595.9544480000002</v>
      </c>
      <c r="AC246" s="3">
        <f>2156.1+(111.5-995.3)+(-3.298833+(-0.170595--1.522809))+0--183.3-0.280449000000011</f>
        <v>1453.3729319999998</v>
      </c>
      <c r="AD246">
        <f t="shared" si="3"/>
        <v>36904.318850999996</v>
      </c>
      <c r="AE246" s="3">
        <f>2393.3+(173.1-871.1)+(0+(0-0))+0--294-0</f>
        <v>1989.3000000000002</v>
      </c>
    </row>
    <row r="247" spans="1:31" s="2" customFormat="1" x14ac:dyDescent="0.25">
      <c r="A247">
        <v>89</v>
      </c>
      <c r="B247">
        <v>9</v>
      </c>
      <c r="C247">
        <v>1</v>
      </c>
      <c r="D247">
        <v>3</v>
      </c>
      <c r="E247">
        <v>1</v>
      </c>
      <c r="F247" s="3">
        <f>1962.3+(136.3-889.2)+(-5.003865+(-0.347565--2.26746))+0--148.3-0.378164999999978</f>
        <v>1354.2378649999998</v>
      </c>
      <c r="G247" s="3">
        <f>1879.7+(127.4-865.5)+(-0.958647+(-0.064974--0.441405))+0--148.3-0.075632999999985</f>
        <v>1289.2421509999999</v>
      </c>
      <c r="H247" s="3">
        <f>1842.1+(114-848.4)+(-2.818413+(-0.17442--1.298052))+0--148.2-0.226746000000009</f>
        <v>1253.9784729999999</v>
      </c>
      <c r="I247" s="3">
        <f>1818.3+(142.2-855.1)+(-0.927333+(-0.072522--0.436101))+0--148.5-0.0757349999999849</f>
        <v>1253.260511</v>
      </c>
      <c r="J247" s="3">
        <f>1807.7+(137.5-851.1)+(0.921927+(0.070125-0.434061))+0--148.6--0.0757859999999849</f>
        <v>1243.3337769999996</v>
      </c>
      <c r="K247" s="3">
        <f>1847.1+(117.4-813.2)+(-2.826063+(-0.179622--1.244196))+0--148.5-0.227205000000009</f>
        <v>1297.8113059999998</v>
      </c>
      <c r="L247" s="3">
        <f>2063.6+(105.7-957.2)+(0+(0-0))+0--148.7-0</f>
        <v>1360.8</v>
      </c>
      <c r="M247" s="3">
        <f>2134+(115.7-946)+(-1.08834+(-0.059007--0.48246))+0--149.4-0.0761939999999848</f>
        <v>1452.3589190000002</v>
      </c>
      <c r="N247" s="3">
        <f>2140.8+(138.2-987.7)+(-4.367232+(-0.281928--2.014908))+0--265.5-0.541619999999988</f>
        <v>1553.6241280000002</v>
      </c>
      <c r="O247" s="3">
        <f>2084.6+(160.4-939.6)+(-3.189438+(-0.245412--1.437588))+0--289-0.442170000000017</f>
        <v>1591.9605679999997</v>
      </c>
      <c r="P247" s="3">
        <f>2135.6+(146-925.3)+(-2.178312+(-0.14892--0.943806))+0--287.4-0.293148000000046</f>
        <v>1642.023426</v>
      </c>
      <c r="Q247" s="3">
        <f>2130.7+(141.4-889.4)+(-2.173314+(-0.144228--0.907188))+0--287.4-0.293148000000046</f>
        <v>1668.3964979999998</v>
      </c>
      <c r="R247" s="3">
        <f>2117+(135.6-946.2)+(-1.07967+(-0.069156--0.482562))+0--288.4-0.147083999999971</f>
        <v>1593.9866520000003</v>
      </c>
      <c r="S247" s="3">
        <f>2115.6+(141.2-947.4)+(-3.236868+(-0.216036--1.449522))+0--288.4-0.441252000000017</f>
        <v>1595.3553659999998</v>
      </c>
      <c r="T247" s="3">
        <f>2113.1+(141-966.8)+(0+(0-0))+0--288.9-0</f>
        <v>1576.1999999999998</v>
      </c>
      <c r="U247" s="3">
        <f>2118.8+(138-982.3)+(1.080588+(0.07038-0.500973))+0--288.6--0.147185999999971</f>
        <v>1563.897181</v>
      </c>
      <c r="V247" s="3">
        <f>2124.5+(140.9-951.6)+(0+(0-0))+0--290.4-0</f>
        <v>1604.1999999999998</v>
      </c>
      <c r="W247" s="3">
        <f>2170.1+(158.9-731.6)+(-1.106751+(-0.081039--0.373116))+0--288.3-0.147032999999971</f>
        <v>1884.7382929999999</v>
      </c>
      <c r="X247" s="3">
        <f>2226.1+(162.3-738.4)+(-5.676555+(-0.413865--1.88292))+0--291.1-0.742304999999958</f>
        <v>1936.1501949999999</v>
      </c>
      <c r="Y247" s="3">
        <f>2237.2+(157.5-815.6)+(-1.140972+(-0.080325--0.415956))+0--290.4-0.148103999999971</f>
        <v>1868.5465549999999</v>
      </c>
      <c r="Z247" s="3">
        <f>2247.4+(150.3-879.8)+(-3.438522+(-0.229959--1.346094))+0--290.9-0.445077000000017</f>
        <v>1806.0325359999999</v>
      </c>
      <c r="AA247" s="3">
        <f>2246.9+(149.6-954.4)+(-4.583676+(-0.305184--1.946976))+0--292.1-0.595883999999987</f>
        <v>1730.6622319999999</v>
      </c>
      <c r="AB247" s="3">
        <f>2128.4+(149.8-926.8)+(-4.341936+(-0.305592--1.890672))+0--269.9-0.550595999999988</f>
        <v>1617.9925480000002</v>
      </c>
      <c r="AC247" s="3">
        <f>2032+(167.8-887.1)+(-7.25424+(-0.599046--3.166947))+0--161.8-0.577626000000002</f>
        <v>1469.2360349999999</v>
      </c>
      <c r="AD247">
        <f t="shared" si="3"/>
        <v>37208.025215000001</v>
      </c>
      <c r="AE247" s="3">
        <f>2205.3+(155.7-709.1)+(0+(0-0))+0--287-0</f>
        <v>1938.9</v>
      </c>
    </row>
    <row r="248" spans="1:31" s="2" customFormat="1" x14ac:dyDescent="0.25">
      <c r="A248">
        <v>89</v>
      </c>
      <c r="B248">
        <v>9</v>
      </c>
      <c r="C248">
        <v>2</v>
      </c>
      <c r="D248">
        <v>4</v>
      </c>
      <c r="E248">
        <v>1</v>
      </c>
      <c r="F248" s="3">
        <f>2000.6+(178.1-952.9)+(-3.060918+(-0.272493--1.457937))+0--147.4-0.225522000000009</f>
        <v>1371.0990040000001</v>
      </c>
      <c r="G248" s="3">
        <f>1829.2+(197.5-880.7)+(-1.865784+(-0.20145--0.898314))+0--147.9-0.150858000000024</f>
        <v>1292.580222</v>
      </c>
      <c r="H248" s="3">
        <f>1833.1+(199.2-919.9)+(-2.804643+(-0.304776--1.407447))+0--147.2-0.225216000000008</f>
        <v>1257.6728119999998</v>
      </c>
      <c r="I248" s="3">
        <f>1837.4+(184.9-919.2)+(-2.811222+(-0.282897--1.406376))+0--147.5-0.225675000000009</f>
        <v>1248.686582</v>
      </c>
      <c r="J248" s="3">
        <f>1839.7+(176.3-911.7)+(0+(0-0))+0--147.6-0</f>
        <v>1251.8999999999999</v>
      </c>
      <c r="K248" s="3">
        <f>1840.2+(159.6-886.5)+(-3.754008+(-0.325584--1.80846))+0--185.4-0.378215999999992</f>
        <v>1296.0506520000001</v>
      </c>
      <c r="L248" s="3">
        <f>1782.9+(157-799.6)+(-0.909279+(-0.08007--0.407796))+0--222.5-0.113474999999977</f>
        <v>1362.1049720000003</v>
      </c>
      <c r="M248" s="3">
        <f>1822.4+(223.9-839.7)+(-0.929424+(-0.114189--0.428247))+0--223.8-0.114137999999977</f>
        <v>1429.670496</v>
      </c>
      <c r="N248" s="3">
        <f>1881.4+(260.7-831.9)+(0.959514+(0.132957-0.424269))+0--222.1--0.113270999999977</f>
        <v>1533.081473</v>
      </c>
      <c r="O248" s="3">
        <f>1975.6+(229.8-837.2)+(-3.022668+(-0.351594--1.280916))+0--220.4-0.337212000000013</f>
        <v>1586.1694419999999</v>
      </c>
      <c r="P248" s="3">
        <f>1984.4+(213.7-776.9)+(1.012044+(0.108987-0.396219))+0--219.9--0.112148999999978</f>
        <v>1641.9369610000001</v>
      </c>
      <c r="Q248" s="3">
        <f>1985.7+(193.3-728.6)+(-4.050828+(-0.394332--1.486344))+0--186.7-0.380867999999992</f>
        <v>1633.7603160000001</v>
      </c>
      <c r="R248" s="3">
        <f>1980.4+(172.6-660.9)+(-1.010004+(-0.088026--0.337059))+0--83.7-0.0426869999999915</f>
        <v>1574.9963420000004</v>
      </c>
      <c r="S248" s="3">
        <f>1975.3+(176.7-654)+(2.014806+(0.180234-0.66708))+0--89--0.0907800000000142</f>
        <v>1588.6187399999999</v>
      </c>
      <c r="T248" s="3">
        <f>1969.9+(141.9-619.7)+(2.009298+(0.144738-0.632094))+0--83.1--0.0847620000000132</f>
        <v>1576.8067039999999</v>
      </c>
      <c r="U248" s="3">
        <f>2075.8+(136.7-748.4)+(1.058658+(0.069717-0.381684))+0--112.1--0.0571709999999886</f>
        <v>1577.003862</v>
      </c>
      <c r="V248" s="3">
        <f>2120.1+(123.2-835.7)+(-2.162502+(-0.125664--0.852414))+0--229.2-0.233784000000037</f>
        <v>1635.1304639999998</v>
      </c>
      <c r="W248" s="3">
        <f>2201.3+(144.5-739.1)+(1.122663+(0.073695-0.376941))+0--288.3--0.147032999999971</f>
        <v>1895.9664500000001</v>
      </c>
      <c r="X248" s="3">
        <f>2335.3+(151.1-834.8)+(-3.573009+(-0.231183--1.277244))+0--291.5-0.445995000000017</f>
        <v>1940.1270570000004</v>
      </c>
      <c r="Y248" s="3">
        <f>2361.1+(148.7-922.6)+(-3.612483+(-0.227511--1.411578))+0--292.7-0.447831000000017</f>
        <v>1877.0237529999999</v>
      </c>
      <c r="Z248" s="3">
        <f>2363.2+(143.8-998.1)+(-2.410464+(-0.146676--1.018062))+0--294.2-0.300084000000047</f>
        <v>1801.2608379999999</v>
      </c>
      <c r="AA248" s="3">
        <f>2355.6+(142.6-1051.4)+(-3.604068+(-0.218178--1.608642))+0--293.4-0.448902000000017</f>
        <v>1737.5374939999997</v>
      </c>
      <c r="AB248" s="3">
        <f>2360.7+(134.7-1165.2)+(-4.815828+(-0.274788--2.377008))+0--295.2-0.602207999999987</f>
        <v>1622.0841839999998</v>
      </c>
      <c r="AC248" s="3">
        <f>2196.8+(113.8-1116.1)+(-2.240736+(-0.116076--1.138422))+0--296.4-0.302328000000047</f>
        <v>1489.3792820000001</v>
      </c>
      <c r="AD248">
        <f t="shared" si="3"/>
        <v>37220.648101999999</v>
      </c>
      <c r="AE248" s="3">
        <f>2290.3+(151.1-795.3)+(0+(0-0))+0--293-0</f>
        <v>1939.1000000000004</v>
      </c>
    </row>
    <row r="249" spans="1:31" s="2" customFormat="1" x14ac:dyDescent="0.25">
      <c r="A249">
        <v>89</v>
      </c>
      <c r="B249">
        <v>9</v>
      </c>
      <c r="C249">
        <v>3</v>
      </c>
      <c r="D249">
        <v>5</v>
      </c>
      <c r="E249">
        <v>1</v>
      </c>
      <c r="F249" s="3">
        <f>2093.1+(102.3-1076.5)+(-4.269924+(-0.208692--2.19606))+0--294.3-0.600371999999987</f>
        <v>1410.3170720000001</v>
      </c>
      <c r="G249" s="3">
        <f>2041.9+(107.5-1106)+(-3.124107+(-0.164475--1.69218))+0--301.1-0.460683000000017</f>
        <v>1342.4429150000003</v>
      </c>
      <c r="H249" s="3">
        <f>1929.8+(105.2-1028.9)+(-4.92099+(-0.26826--2.623695))+0--299.8-0.764489999999956</f>
        <v>1302.5699549999999</v>
      </c>
      <c r="I249" s="3">
        <f>1710.3+(137-809.9)+(-0.872253+(-0.06987--0.413049))+0--235.4-0.120053999999976</f>
        <v>1272.1508720000002</v>
      </c>
      <c r="J249" s="3">
        <f>1777+(100.6-764.5)+(0+(0-0))+0--153.9-0</f>
        <v>1267</v>
      </c>
      <c r="K249" s="3">
        <f>1909.1+(88.5-836.7)+(-2.920923+(-0.135405--1.280151))+0--153.5-0.234855000000009</f>
        <v>1312.388968</v>
      </c>
      <c r="L249" s="3">
        <f>1972.6+(90-851.2)+(-3.018078+(-0.1377--1.302336))+0--154.1-0.235773000000009</f>
        <v>1363.4107849999996</v>
      </c>
      <c r="M249" s="3">
        <f>1965.9+(103.7-780.9)+(-3.007827+(-0.158661--1.194777))+0--154.2-0.235926000000009</f>
        <v>1440.6923630000003</v>
      </c>
      <c r="N249" s="3">
        <f>1950.4+(131.3-722)+(-1.989408+(-0.133926--0.73644))+0--189.1-0.19288200000003</f>
        <v>1547.2202239999999</v>
      </c>
      <c r="O249" s="3">
        <f>1992.5+(150.2-756)+(0+(0-0))+0--236.3-0</f>
        <v>1623</v>
      </c>
      <c r="P249" s="3">
        <f>2016+(154-792.6)+(-2.05632+(-0.15708--0.808452))+0--292.9-0.298758000000047</f>
        <v>1668.5962939999997</v>
      </c>
      <c r="Q249" s="3">
        <f>2001.5+(148.3-778.3)+(-2.04153+(-0.151266--0.793866))+0--292.3-0.298146000000047</f>
        <v>1662.1029239999998</v>
      </c>
      <c r="R249" s="3">
        <f>1984.9+(136.3-837.8)+(-1.012299+(-0.069513--0.427278))+0--292.9-0.14937899999997</f>
        <v>1575.496087</v>
      </c>
      <c r="S249" s="3">
        <f>1971.6+(139.1-827.3)+(-2.011032+(-0.141882--0.843846))+0--293-0.298860000000047</f>
        <v>1574.792072</v>
      </c>
      <c r="T249" s="3">
        <f>1968+(140.4-826.3)+(-2.00736+(-0.143208--0.842826))+0--292.8-0.298656000000047</f>
        <v>1573.293602</v>
      </c>
      <c r="U249" s="3">
        <f>1971+(120.3-811.8)+(1.00521+(0.061353-0.414018))+0--292.7--0.14927699999997</f>
        <v>1573.0018219999999</v>
      </c>
      <c r="V249" s="3">
        <f>1986.2+(117.9-798.8)+(0+(0-0))+0--293.3-0</f>
        <v>1598.6000000000001</v>
      </c>
      <c r="W249" s="3">
        <f>2207.7+(142.2-799.8)+(0+(0-0))+0--293.8-0</f>
        <v>1843.8999999999999</v>
      </c>
      <c r="X249" s="3">
        <f>2293.6+(145-851.5)+(-3.509208+(-0.22185--1.302795))+0--293.2-0.448596000000017</f>
        <v>1877.423141</v>
      </c>
      <c r="Y249" s="3">
        <f>2289.1+(142.5-910.6)+(-4.669764+(-0.2907--1.857624))+0--295-0.601799999999987</f>
        <v>1812.2953600000001</v>
      </c>
      <c r="Z249" s="3">
        <f>2262.2+(135.4-896.5)+(-6.922332+(-0.414324--2.74329))+0--295.1-0.903006000000034</f>
        <v>1790.7036279999998</v>
      </c>
      <c r="AA249" s="3">
        <f>2108.5+(130.4-843.8)+(-4.30134+(-0.266016--1.721352))+0--296.7-0.605267999999987</f>
        <v>1688.3487279999999</v>
      </c>
      <c r="AB249" s="3">
        <f>2093.6+(123.4-921.9)+(-2.135472+(-0.125868--0.940338))+0--297.8-0.303756000000047</f>
        <v>1591.2752419999999</v>
      </c>
      <c r="AC249" s="3">
        <f>2093.7+(115.4-979.1)+(-4.271148+(-0.235416--1.997364))+0--268.2-0.547127999999988</f>
        <v>1495.1436719999999</v>
      </c>
      <c r="AD249">
        <f t="shared" si="3"/>
        <v>37206.165725999999</v>
      </c>
      <c r="AE249" s="3">
        <f>2299.3+(148.7-806.8)+(0+(0-0))+0--294-0</f>
        <v>1935.2000000000003</v>
      </c>
    </row>
    <row r="250" spans="1:31" s="2" customFormat="1" x14ac:dyDescent="0.25">
      <c r="A250">
        <v>89</v>
      </c>
      <c r="B250">
        <v>9</v>
      </c>
      <c r="C250">
        <v>4</v>
      </c>
      <c r="D250">
        <v>6</v>
      </c>
      <c r="E250">
        <v>3</v>
      </c>
      <c r="F250" s="3">
        <f>2074.9+(100.3-1029.3)+(0+(0-0))+0--221.4-0</f>
        <v>1367.3000000000002</v>
      </c>
      <c r="G250" s="3">
        <f>1900.1+(91.9-933.5)+(0+(0-0))+0--221.3-0</f>
        <v>1279.8</v>
      </c>
      <c r="H250" s="3">
        <f>1865.7+(91.8-916.7)+(0+(0-0))+0--196.4-0</f>
        <v>1237.2</v>
      </c>
      <c r="I250" s="3">
        <f>1834+(93-856.9)+(0+(0-0))+0--146.1-0</f>
        <v>1216.1999999999998</v>
      </c>
      <c r="J250" s="3">
        <f>1837.5+(91.1-860.1)+(-0.937125+(-0.046461--0.438651))+0--146.4-0.0746639999999851</f>
        <v>1214.2804010000002</v>
      </c>
      <c r="K250" s="3">
        <f>1889.2+(85-871.2)+(2.890476+(0.13005-1.332936))+0--146.5--0.224145000000008</f>
        <v>1251.4117349999999</v>
      </c>
      <c r="L250" s="3">
        <f>1903.6+(81.9-859.5)+(0+(0-0))+0--147.3-0</f>
        <v>1273.3</v>
      </c>
      <c r="M250" s="3">
        <f>1893.2+(83.9-803.5)+(-1.931064+(-0.085578--0.81957))+0--147.5-0.150450000000024</f>
        <v>1319.7524779999999</v>
      </c>
      <c r="N250" s="3">
        <f>1980.5+(94.8-793.2)+(-2.02011+(-0.096696--0.809064))+0--147.8-0.150756000000024</f>
        <v>1428.4415019999999</v>
      </c>
      <c r="O250" s="3">
        <f>2008.1+(106.4-849.9)+(-3.072393+(-0.162792--1.300347))+1.3--245.1-0.375003000000014</f>
        <v>1508.6901589999998</v>
      </c>
      <c r="P250" s="3">
        <f>1771.1+(114.9-629.7)+(-1.806522+(-0.117198--0.642294))+0--288.9-0.294678000000046</f>
        <v>1543.6238959999998</v>
      </c>
      <c r="Q250" s="3">
        <f>1705+(117.7-565.3)+(-1.7391+(-0.120054--0.576606))+0--286.5-0.292230000000046</f>
        <v>1542.3252220000002</v>
      </c>
      <c r="R250" s="3">
        <f>1628.9+(114.7-549.1)+(-4.153695+(-0.292485--1.400205))+0--285-0.726749999999959</f>
        <v>1475.727275</v>
      </c>
      <c r="S250" s="3">
        <f>1684.5+(112-625.7)+(1.71819+(0.11424-0.638214))+0--286--0.291720000000046</f>
        <v>1458.285936</v>
      </c>
      <c r="T250" s="3">
        <f>1741.4+(114.9-690.7)+(-4.44057+(-0.292995--1.761285))+0--287-0.731849999999958</f>
        <v>1448.8958700000001</v>
      </c>
      <c r="U250" s="3">
        <f>1706.7+(120.6-672.4)+(0+(0-0))+0--287.6-0</f>
        <v>1442.5</v>
      </c>
      <c r="V250" s="3">
        <f>1635.7+(125-574.5)+(-2.502621+(-0.19125--0.878985))+0--287.7-0.440181000000017</f>
        <v>1471.6449330000003</v>
      </c>
      <c r="W250" s="3">
        <f>1711.2+(250.3-534.3)+(0.872712+(0.127653-0.272493))+0--289.8--0.147797999999971</f>
        <v>1717.8756699999999</v>
      </c>
      <c r="X250" s="3">
        <f>1765.5+(235.1-530.9)+(0+(0-0))+0--290.2-0</f>
        <v>1759.9</v>
      </c>
      <c r="Y250" s="3">
        <f>1732+(172.2-508.5)+(-4.4166+(-0.43911--1.296675))+0--293-0.747149999999957</f>
        <v>1684.3938150000001</v>
      </c>
      <c r="Z250" s="3">
        <f>1802.6+(133.2-604)+(-0.919326+(-0.067932--0.30804))+0--294.5-0.15019499999997</f>
        <v>1625.470587</v>
      </c>
      <c r="AA250" s="3">
        <f>1857.1+(128.2-695.2)+(-0.947121+(-0.065382--0.354552))+0--295.4-0.15065399999997</f>
        <v>1584.6913949999998</v>
      </c>
      <c r="AB250" s="3">
        <f>1940.9+(122.4-851.9)+(-1.979718+(-0.124848--0.868938))+0--294.2-0.300084000000047</f>
        <v>1504.0642880000003</v>
      </c>
      <c r="AC250" s="3">
        <f>1984.3+(116.1-992.4)+(-4.047972+(-0.236844--2.024496))+0--296.4-0.604655999999987</f>
        <v>1401.5350239999998</v>
      </c>
      <c r="AD250">
        <f t="shared" si="3"/>
        <v>34757.310185999995</v>
      </c>
      <c r="AE250" s="3">
        <f>1823.3+(239-504.4)+(0+(0-0))+0--296-0</f>
        <v>1853.9</v>
      </c>
    </row>
    <row r="251" spans="1:31" s="2" customFormat="1" x14ac:dyDescent="0.25">
      <c r="A251">
        <v>89</v>
      </c>
      <c r="B251">
        <v>9</v>
      </c>
      <c r="C251">
        <v>5</v>
      </c>
      <c r="D251">
        <v>7</v>
      </c>
      <c r="E251">
        <v>1</v>
      </c>
      <c r="F251" s="3">
        <f>1860.2+(97.9-840)+(-2.846106+(-0.149787--1.2852))+0--306-0.468180000000018</f>
        <v>1421.9211269999998</v>
      </c>
      <c r="G251" s="3">
        <f>1764.1+(94.2-702.3)+(-2.699073+(-0.144126--1.074519))+0--187.2-0.286416000000011</f>
        <v>1341.1449040000002</v>
      </c>
      <c r="H251" s="3">
        <f>1744.8+(88-697.2)+(-2.669544+(-0.13464--1.066716))+0--153.8-0.235314000000009</f>
        <v>1287.4272179999998</v>
      </c>
      <c r="I251" s="3">
        <f>1703.6+(86.9-674.2)+(-1.737672+(-0.088638--0.687684))+0--154.1-0.157182000000025</f>
        <v>1269.1041919999998</v>
      </c>
      <c r="J251" s="3">
        <f>1689.9+(83.6-663.1)+(1.723698+(0.085272-0.676362))+0--154--0.157080000000025</f>
        <v>1265.6896879999999</v>
      </c>
      <c r="K251" s="3">
        <f>1690.3+(82.9-639.2)+(0.862053+(0.042279-0.325992))+0--153.9--0.0784889999999844</f>
        <v>1288.5568290000001</v>
      </c>
      <c r="L251" s="3">
        <f>1672.8+(94.6-672.5)+(-3.412512+(-0.192984--1.3719))+0--154.3-0.314771999999993</f>
        <v>1246.6516320000001</v>
      </c>
      <c r="M251" s="3">
        <f>1671.1+(88.7-685.9)+(-1.704522+(-0.090474--0.699618))+0--196.5-0.200430000000031</f>
        <v>1269.104192</v>
      </c>
      <c r="N251" s="3">
        <f>1713.5+(98.9-687.2)+(0.873885+(0.050439-0.350472))+0--229.6--0.117095999999977</f>
        <v>1355.4909479999997</v>
      </c>
      <c r="O251" s="3">
        <f>1829.8+(112.6-776.8)+(0+(0-0))+0--266.7-0</f>
        <v>1432.3</v>
      </c>
      <c r="P251" s="3">
        <f>1820.2+(118.7-724.5)+(-0.928302+(-0.060537--0.369495))+0--293.8-0.14983799999997</f>
        <v>1507.430818</v>
      </c>
      <c r="Q251" s="3">
        <f>1791.1+(120.5-663.3)+(-7.307688+(-0.49164--2.706264))+0--292-1.19135999999997</f>
        <v>1534.015576</v>
      </c>
      <c r="R251" s="3">
        <f>1788.7+(117.1-720)+(-2.736711+(-0.179163--1.1016))+0--283-0.432990000000016</f>
        <v>1466.5527360000001</v>
      </c>
      <c r="S251" s="3">
        <f>1787.5+(114.7-728)+(-1.82325+(-0.116994--0.74256))+0--221.3-0.225726000000035</f>
        <v>1394.0765899999999</v>
      </c>
      <c r="T251" s="3">
        <f>1761.6+(113.8-695.5)+(-0.898416+(-0.058038--0.354705))+0--199.5-0.10174499999998</f>
        <v>1378.696506</v>
      </c>
      <c r="U251" s="3">
        <f>1705.3+(115.8-635.1)+(-1.739406+(-0.118116--0.647802))+0--154.4-0.157488000000025</f>
        <v>1339.032792</v>
      </c>
      <c r="V251" s="3">
        <f>1760.8+(119.2-680.5)+(0+(0-0))+0--200.4-0</f>
        <v>1399.9</v>
      </c>
      <c r="W251" s="3">
        <f>1855+(136.1-575.7)+(-0.94605+(-0.069411--0.293607))+0--294-0.14993999999997</f>
        <v>1708.5282060000002</v>
      </c>
      <c r="X251" s="3">
        <f>1865.7+(144.3-549.4)+(-0.951507+(-0.073593--0.280194))+0--296.3-0.15111299999997</f>
        <v>1756.0039810000003</v>
      </c>
      <c r="Y251" s="3">
        <f>1881.7+(144.5-579.9)+(-2.879001+(-0.221085--0.887247))+0--279.5-0.427635000000016</f>
        <v>1723.1595260000001</v>
      </c>
      <c r="Z251" s="3">
        <f>1818+(140.4-611.6)+(-1.85436+(-0.143208--0.623832))+0--297.8-0.303756000000047</f>
        <v>1642.9225079999999</v>
      </c>
      <c r="AA251" s="3">
        <f>1829.3+(135-688.7)+(-3.731772+(-0.2754--1.404948))+0--299.1-0.610163999999987</f>
        <v>1571.4876120000001</v>
      </c>
      <c r="AB251" s="3">
        <f>1925.4+(126.3-882.1)+(-2.945862+(-0.193239--1.349613))+0--300.3-0.459459000000017</f>
        <v>1467.651053</v>
      </c>
      <c r="AC251" s="3">
        <f>1923.5+(119.8-1013.7)+(-5.88591+(-0.366588--3.101922))+0--301.4-0.922284000000035</f>
        <v>1326.92714</v>
      </c>
      <c r="AD251">
        <f t="shared" si="3"/>
        <v>34393.775774000002</v>
      </c>
      <c r="AE251" s="3">
        <f>1862.3+(138.7-519.2)+(0+(0-0))+0--294-0</f>
        <v>1775.8</v>
      </c>
    </row>
    <row r="252" spans="1:31" s="2" customFormat="1" x14ac:dyDescent="0.25">
      <c r="A252">
        <v>89</v>
      </c>
      <c r="B252">
        <v>9</v>
      </c>
      <c r="C252">
        <v>6</v>
      </c>
      <c r="D252">
        <v>1</v>
      </c>
      <c r="E252">
        <v>1</v>
      </c>
      <c r="F252" s="3">
        <f>1715.2+(132.8-872.7)+(0+(0-0))+0--180.8-0</f>
        <v>1156.0999999999999</v>
      </c>
      <c r="G252" s="3">
        <f>1700.8+(132.4-906)+(0+(0-0))+0--154.5-0</f>
        <v>1081.6999999999998</v>
      </c>
      <c r="H252" s="3">
        <f>1665.4+(132.6-902.6)+(0.849354+(0.067626-0.460326))+0--155--0.0790499999999843</f>
        <v>1050.9357040000002</v>
      </c>
      <c r="I252" s="3">
        <f>1608.2+(114.5-834.8)+(1.640364+(0.11679-0.851496))+0--154.9--0.157998000000025</f>
        <v>1043.8636560000002</v>
      </c>
      <c r="J252" s="3">
        <f>1609.3+(111.6-827.3)+(0+(0-0))+0--154.8-0</f>
        <v>1048.4000000000001</v>
      </c>
      <c r="K252" s="3">
        <f>1644.9+(106.9-778.5)+(-1.677798+(-0.109038--0.79407))+0--155.1-0.158202000000025</f>
        <v>1127.2490319999999</v>
      </c>
      <c r="L252" s="3">
        <f>1704.5+(110.2-724.1)+(-4.346475+(-0.28101--1.846455))+0--155.5-0.396524999999977</f>
        <v>1242.9224449999999</v>
      </c>
      <c r="M252" s="3">
        <f>1702.4+(121.1-651.7)+(0.868224+(0.061761-0.332367))+0--156.2--0.0796619999999841</f>
        <v>1328.6772800000001</v>
      </c>
      <c r="N252" s="3">
        <f>1790.7+(130-663)+(0+(0-0))+0--207.4-0</f>
        <v>1465.1000000000001</v>
      </c>
      <c r="O252" s="3">
        <f>1815.4+(132.9-671.5)+(2.777562+(0.203337-1.027395))+0--299.8--0.458694000000017</f>
        <v>1579.0121980000001</v>
      </c>
      <c r="P252" s="3">
        <f>1787.8+(137.7-606.5)+(0+(0-0))+0--297.1-0</f>
        <v>1616.1</v>
      </c>
      <c r="Q252" s="3">
        <f>1767+(135.4-554.6)+(-0.90117+(-0.069054--0.282846))+0--296-0.15095999999997</f>
        <v>1642.9616619999999</v>
      </c>
      <c r="R252" s="3">
        <f>1745.7+(128-621.8)+(-0.890307+(-0.06528--0.317118))+0--295.2-0.15055199999997</f>
        <v>1546.3109790000001</v>
      </c>
      <c r="S252" s="3">
        <f>1743.6+(132-622.3)+(-0.889236+(-0.06732--0.317373))+0--294.9-0.15039899999997</f>
        <v>1547.4104180000002</v>
      </c>
      <c r="T252" s="3">
        <f>1744.4+(134.9-620.6)+(-1.779288+(-0.137598--0.633012))+0--295.4-0.301308000000047</f>
        <v>1552.5148180000001</v>
      </c>
      <c r="U252" s="3">
        <f>1787.1+(134.3-672.5)+(-0.911421+(-0.068493--0.342975))+0--295.6-0.15075599999997</f>
        <v>1543.712305</v>
      </c>
      <c r="V252" s="3">
        <f>1880.8+(132-726.4)+(-1.918416+(-0.13464--0.740928))+0--295.5-0.301410000000047</f>
        <v>1580.286462</v>
      </c>
      <c r="W252" s="3">
        <f>2069.1+(128.8-642.9)+(2.110482+(0.131376-0.655758))+0--295.4--0.301308000000047</f>
        <v>1852.2874080000001</v>
      </c>
      <c r="X252" s="3">
        <f>2085+(128.9-616.1)+(-2.1267+(-0.131478--0.628422))+0--297-0.302940000000047</f>
        <v>1892.8673039999999</v>
      </c>
      <c r="Y252" s="3">
        <f>2092.9+(122-686)+(-4.269516+(-0.24888--1.39944))+0--298.1-0.608123999999987</f>
        <v>1823.2729200000001</v>
      </c>
      <c r="Z252" s="3">
        <f>2103.1+(117.4-765.1)+(-5.362905+(-0.29937--1.951005))+0--300-0.764999999999956</f>
        <v>1750.92373</v>
      </c>
      <c r="AA252" s="3">
        <f>2113.3+(115.7-834.9)+(1.077783+(0.059007-0.425799))+0--300.2--0.15310199999997</f>
        <v>1695.1640930000003</v>
      </c>
      <c r="AB252" s="3">
        <f>2111.1+(108-912.1)+(-4.306644+(-0.22032--1.860684))+0--277.8-0.566711999999988</f>
        <v>1581.567008</v>
      </c>
      <c r="AC252" s="3">
        <f>2140.4+(90-951.6)+(-3.274812+(-0.1377--1.455948))+0--155.3-0.237609000000009</f>
        <v>1431.905827</v>
      </c>
      <c r="AD252">
        <f t="shared" si="3"/>
        <v>35181.245249</v>
      </c>
      <c r="AE252" s="3">
        <f>2084.3+(141.1-563)+(0+(0-0))+0--294-0</f>
        <v>1956.4</v>
      </c>
    </row>
    <row r="253" spans="1:31" s="2" customFormat="1" x14ac:dyDescent="0.25">
      <c r="A253">
        <v>89</v>
      </c>
      <c r="B253">
        <v>9</v>
      </c>
      <c r="C253">
        <v>7</v>
      </c>
      <c r="D253">
        <v>2</v>
      </c>
      <c r="E253">
        <v>1</v>
      </c>
      <c r="F253" s="3">
        <f>1959.1+(101.3-891.5)+(-0.999141+(-0.051663--0.454665))+0--155.6-0.0793559999999842</f>
        <v>1323.8245049999998</v>
      </c>
      <c r="G253" s="3">
        <f>1927.2+(108-927.2)+(-4.91436+(-0.2754--2.36436))+0--155.4-0.396269999999977</f>
        <v>1260.1783300000002</v>
      </c>
      <c r="H253" s="3">
        <f>1865.6+(93.5-873.1)+(-0.951456+(-0.047685--0.445281))+0--155.8-0.0794579999999842</f>
        <v>1241.166682</v>
      </c>
      <c r="I253" s="3">
        <f>1794.3+(90.6-820.2)+(-0.915093+(-0.046206--0.418302))+0--155.6-0.0793559999999842</f>
        <v>1219.6776469999998</v>
      </c>
      <c r="J253" s="3">
        <f>1770.3+(86.7-790.2)+(-1.805706+(-0.088434--0.806004))+0--155.2-0.158304000000025</f>
        <v>1220.7535599999999</v>
      </c>
      <c r="K253" s="3">
        <f>1711.8+(90.1-688.8)+(0+(0-0))+0--155.2-0</f>
        <v>1268.3</v>
      </c>
      <c r="L253" s="3">
        <f>1723.3+(99.4-626.9)+(-3.515532+(-0.202776--1.278876))+0--156.1-0.318443999999993</f>
        <v>1349.142124</v>
      </c>
      <c r="M253" s="3">
        <f>1729.5+(111.8-562.5)+(-0.882045+(-0.057018--0.286875))+0--156.6-0.0798659999999841</f>
        <v>1434.6679459999998</v>
      </c>
      <c r="N253" s="3">
        <f>1716+(121.6-610.8)+(0+(0-0))+0--266.4-0</f>
        <v>1493.2000000000003</v>
      </c>
      <c r="O253" s="3">
        <f>1935+(135.5-789)+(0.98685+(0.069105-0.40239))+0--301.8--0.153917999999969</f>
        <v>1584.107483</v>
      </c>
      <c r="P253" s="3">
        <f>2054.9+(138.2-840.4)+(2.095998+(0.140964-0.857208))+0--287.2--0.292944000000046</f>
        <v>1641.5726980000002</v>
      </c>
      <c r="Q253" s="3">
        <f>2063.9+(138.8-851.3)+(0+(0-0))+0--290.5-0</f>
        <v>1641.9</v>
      </c>
      <c r="R253" s="3">
        <f>2042.4+(126.4-879.6)+(-5.20812+(-0.32232--2.24298))+0--288.8-0.736439999999958</f>
        <v>1573.9761000000001</v>
      </c>
      <c r="S253" s="3">
        <f>1908.2+(132.2-757)+(-2.919546+(-0.202266--1.15821))+0--290.1-0.443853000000017</f>
        <v>1571.0925450000002</v>
      </c>
      <c r="T253" s="3">
        <f>1811.1+(131.5-689.3)+(0.923661+(0.067065-0.351543))+0--291.5--0.14866499999997</f>
        <v>1545.5878479999999</v>
      </c>
      <c r="U253" s="3">
        <f>1811.7+(146.7-713)+(1.847934+(0.149634-0.72726))+0--291.8--0.297636000000047</f>
        <v>1538.7679440000002</v>
      </c>
      <c r="V253" s="3">
        <f>1918.8+(143.6-759.3)+(-0.978588+(-0.073236--0.387243))+0--293.5-0.14968499999997</f>
        <v>1595.785734</v>
      </c>
      <c r="W253" s="3">
        <f>2101.6+(132.7-667.5)+(1.071816+(0.067677-0.340425))+0--292.8--0.14932799999997</f>
        <v>1860.5483959999999</v>
      </c>
      <c r="X253" s="3">
        <f>2173.9+(126.1-678.8)+(-7.760823+(-0.450177--2.423316))+0--294.1-1.049937</f>
        <v>1908.4623790000003</v>
      </c>
      <c r="Y253" s="3">
        <f>2212+(122.8-776.7)+(-4.51248+(-0.250512--1.584468))+0--295.8-0.603431999999987</f>
        <v>1850.1180440000001</v>
      </c>
      <c r="Z253" s="3">
        <f>2227.6+(119.1-856.3)+(-1.136076+(-0.060741--0.436713))+0--295.9-0.15090899999997</f>
        <v>1785.3889870000003</v>
      </c>
      <c r="AA253" s="3">
        <f>2225.3+(117.4-909.2)+(-3.404709+(-0.179622--1.391076))+0--296.7-0.453951000000017</f>
        <v>1727.5527940000002</v>
      </c>
      <c r="AB253" s="3">
        <f>2111.5+(127.3-912)+(-2.15373+(-0.129846--0.93024))+0--297.4-0.303348000000047</f>
        <v>1622.543316</v>
      </c>
      <c r="AC253" s="3">
        <f>2113.1+(116.5-1033)+(-4.310724+(-0.23766--2.10732))+0--298-0.607919999999987</f>
        <v>1491.5510159999999</v>
      </c>
      <c r="AD253">
        <f t="shared" si="3"/>
        <v>36749.866077999999</v>
      </c>
      <c r="AE253" s="3">
        <f>2199.3+(138.1-661.8)+(0+(0-0))+0--295-0</f>
        <v>1970.6000000000004</v>
      </c>
    </row>
    <row r="254" spans="1:31" s="2" customFormat="1" x14ac:dyDescent="0.25">
      <c r="A254">
        <v>89</v>
      </c>
      <c r="B254">
        <v>9</v>
      </c>
      <c r="C254">
        <v>8</v>
      </c>
      <c r="D254">
        <v>3</v>
      </c>
      <c r="E254">
        <v>1</v>
      </c>
      <c r="F254" s="3">
        <f>2122.1+(124.3-1151.5)+(-4.329084+(-0.253572--2.34906))+0--301.1-0.614243999999987</f>
        <v>1393.1521599999999</v>
      </c>
      <c r="G254" s="3">
        <f>2063.9+(120.9-1163.3)+(-1.052589+(-0.061659--0.593283))+0--300.8-0.153407999999969</f>
        <v>1321.6256270000003</v>
      </c>
      <c r="H254" s="3">
        <f>1948.4+(130-1065.1)+(0.993684+(0.0663-0.543201))+0--272.9--0.139178999999972</f>
        <v>1286.8559620000003</v>
      </c>
      <c r="I254" s="3">
        <f>1921.3+(131.8-1024.9)+(-1.959726+(-0.134436--1.045398))+0--229.6-0.234192000000037</f>
        <v>1256.5170439999997</v>
      </c>
      <c r="J254" s="3">
        <f>1875.5+(137.6-982.3)+(0.956505+(0.070176-0.500973))+0--230.1--0.117350999999977</f>
        <v>1261.5430589999999</v>
      </c>
      <c r="K254" s="3">
        <f>1929.2+(117.1-964.9)+(0.983892+(0.059721-0.492099))+0--230.2--0.117401999999977</f>
        <v>1312.2689160000002</v>
      </c>
      <c r="L254" s="3">
        <f>2078+(119.7-1030)+(0+(0-0))+0--230.2-0</f>
        <v>1397.9</v>
      </c>
      <c r="M254" s="3">
        <f>2074.7+(132.7-969.2)+(-5.290485+(-0.338385--2.47146))+0--230.4-0.587519999999967</f>
        <v>1464.8550699999998</v>
      </c>
      <c r="N254" s="3">
        <f>2116.4+(147.2-917.5)+(3.238092+(0.225216-1.403775))+0--215.8--0.330174000000013</f>
        <v>1564.2897070000001</v>
      </c>
      <c r="O254" s="3">
        <f>2092.8+(154.8-872.1)+(-3.201984+(-0.236844--1.334313))+0--246.3-0.376839000000014</f>
        <v>1619.3186460000002</v>
      </c>
      <c r="P254" s="3">
        <f>2209.1+(138.9-986.3)+(1.126641+(0.070839-0.503013))+0--295.8--0.15085799999997</f>
        <v>1658.3453249999998</v>
      </c>
      <c r="Q254" s="3">
        <f>2437.2+(114.4-1175.5)+(-6.21486+(-0.29172--2.997525))+0--293.1-0.747404999999958</f>
        <v>1664.9435399999998</v>
      </c>
      <c r="R254" s="3">
        <f>2336.6+(112.9-1110.1)+(-2.383332+(-0.115158--1.132302))+0--277.9-0.283458000000044</f>
        <v>1615.6503540000001</v>
      </c>
      <c r="S254" s="3">
        <f>2161.7+(118.6-910.8)+(0+(0-0))+0--229.3-0</f>
        <v>1598.8</v>
      </c>
      <c r="T254" s="3">
        <f>2132.4+(115.7-955.8)+(0+(0-0))+0--291.6-0</f>
        <v>1583.9</v>
      </c>
      <c r="U254" s="3">
        <f>2146.6+(111.6-957.8)+(1.094766+(0.056916-0.488478))+0--294.4--0.15014399999997</f>
        <v>1595.6133480000001</v>
      </c>
      <c r="V254" s="3">
        <f>2233.5+(102.1-1032.1)+(3.417255+(0.156213-1.579113))+0--297.6--0.455328000000017</f>
        <v>1603.5496830000002</v>
      </c>
      <c r="W254" s="3">
        <f>2395.5+(124.6-895.9)+(3.665115+(0.190638-1.370727))+0--298.5--0.456705000000017</f>
        <v>1925.6417310000002</v>
      </c>
      <c r="X254" s="3">
        <f>2423.6+(122.2-888.3)+(-4.944144+(-0.249288--1.812132))+0--298.9-0.609755999999987</f>
        <v>1952.408944</v>
      </c>
      <c r="Y254" s="3">
        <f>2433.5+(115.4-961.8)+(-3.723255+(-0.176562--1.471554))+0--299.5-0.458235000000017</f>
        <v>1883.7135019999998</v>
      </c>
      <c r="Z254" s="3">
        <f>2439.4+(111.5-1026.5)+(-3.732282+(-0.170595--1.570545))+0--301.2-0.460836000000017</f>
        <v>1822.8068320000002</v>
      </c>
      <c r="AA254" s="3">
        <f>2447.3+(109.3-1089.9)+(-2.496246+(-0.111486--1.111698))+0--302.5-0.308550000000048</f>
        <v>1767.3954160000001</v>
      </c>
      <c r="AB254" s="3">
        <f>2408.6+(135.9-1169)+(0+(0-0))+0--301.9-0</f>
        <v>1677.4</v>
      </c>
      <c r="AC254" s="3">
        <f>2194.8+(122.1-1116.9)+(-5.59674+(-0.311355--2.848095))+0--303.1-0.772904999999956</f>
        <v>1499.2670949999999</v>
      </c>
      <c r="AD254">
        <f t="shared" si="3"/>
        <v>37727.761961000004</v>
      </c>
      <c r="AE254" s="3">
        <f>2407.3+(116.1-869.3)+(0+(0-0))+0--296-0</f>
        <v>1950.1000000000004</v>
      </c>
    </row>
    <row r="255" spans="1:31" s="2" customFormat="1" x14ac:dyDescent="0.25">
      <c r="A255">
        <v>89</v>
      </c>
      <c r="B255">
        <v>9</v>
      </c>
      <c r="C255">
        <v>9</v>
      </c>
      <c r="D255">
        <v>4</v>
      </c>
      <c r="E255">
        <v>1</v>
      </c>
      <c r="F255" s="3">
        <f>2110.1+(105-1063.2)+(-4.304604+(-0.2142--2.168928))+0--270-0.550799999999988</f>
        <v>1418.9993239999999</v>
      </c>
      <c r="G255" s="3">
        <f>1946.6+(92.1-880.3)+(-1.985532+(-0.093942--0.897906))+0--148-0.150960000000024</f>
        <v>1305.0674720000002</v>
      </c>
      <c r="H255" s="3">
        <f>1913.2+(93.1-889)+(-2.927196+(-0.142443--1.36017))+0--148-0.226440000000009</f>
        <v>1263.3640910000004</v>
      </c>
      <c r="I255" s="3">
        <f>1877.7+(98.1-874.6)+(-1.915254+(-0.100062--0.892092))+0--148.1-0.151062000000024</f>
        <v>1248.0257140000001</v>
      </c>
      <c r="J255" s="3">
        <f>1879.4+(93.3-909.8)+(-1.916988+(-0.095166--0.927996))+0--176.1-0.179622000000028</f>
        <v>1237.73622</v>
      </c>
      <c r="K255" s="3">
        <f>1938.4+(98.9-966.1)+(0+(0-0))+0--220.5-0</f>
        <v>1291.7</v>
      </c>
      <c r="L255" s="3">
        <f>1955.8+(97.3-956.5)+(-1.994916+(-0.099246--0.97563))+0--276.2-0.281724000000044</f>
        <v>1371.3997440000001</v>
      </c>
      <c r="M255" s="3">
        <f>2000.4+(101.5-961)+(-1.020204+(-0.051765--0.49011))+0--302.1-0.154070999999969</f>
        <v>1442.2640700000002</v>
      </c>
      <c r="N255" s="3">
        <f>2033+(142.8-928.5)+(1.03683+(0.072828-0.473535))+0--301--0.153509999999969</f>
        <v>1549.0896329999998</v>
      </c>
      <c r="O255" s="3">
        <f>2125.8+(148.2-949.4)+(0+(0-0))+0--294.8-0</f>
        <v>1619.4</v>
      </c>
      <c r="P255" s="3">
        <f>2113.8+(150.1-898.2)+(-1.078038+(-0.076551--0.458082))+0--291.2-0.14851199999997</f>
        <v>1656.0549810000002</v>
      </c>
      <c r="Q255" s="3">
        <f>2085+(150.4-858.4)+(-2.1267+(-0.153408--0.875568))+0--292.6-0.298452000000047</f>
        <v>1667.8970079999999</v>
      </c>
      <c r="R255" s="3">
        <f>2066.2+(126.6-920)+(-1.053762+(-0.064566--0.4692))+0--295.3-0.15060299999997</f>
        <v>1567.3002689999996</v>
      </c>
      <c r="S255" s="3">
        <f>2054.7+(133.3-915.5)+(0+(0-0))+0--296.3-0</f>
        <v>1568.7999999999997</v>
      </c>
      <c r="T255" s="3">
        <f>2046.5+(139.9-921.9)+(-3.131145+(-0.214047--1.410507))+0--296-0.452880000000017</f>
        <v>1558.112435</v>
      </c>
      <c r="U255" s="3">
        <f>2046.2+(135.6-926.3)+(-3.130686+(-0.207468--1.417239))+0--300.2-0.459306000000017</f>
        <v>1553.3197790000002</v>
      </c>
      <c r="V255" s="3">
        <f>2047.1+(147.3-862.7)+(-3.132063+(-0.225369--1.319931))+0--297-0.454410000000017</f>
        <v>1626.2080889999997</v>
      </c>
      <c r="W255" s="3">
        <f>2079.7+(153-644)+(-2.121294+(-0.15606--0.65688))+0--288.9-0.294678000000046</f>
        <v>1875.6848479999996</v>
      </c>
      <c r="X255" s="3">
        <f>2115+(150.5-640.9)+(-4.3146+(-0.30702--1.307436))+0--289.8-0.591191999999987</f>
        <v>1910.4946239999997</v>
      </c>
      <c r="Y255" s="3">
        <f>2124.6+(149.6-703.7)+(-4.334184+(-0.305184--1.435548))+0--291.2-0.594047999999987</f>
        <v>1857.9021320000002</v>
      </c>
      <c r="Z255" s="3">
        <f>2082.2+(146.6-721.5)+(-2.123844+(-0.149532--0.73593))+0--294.8-0.300696000000047</f>
        <v>1800.2618579999996</v>
      </c>
      <c r="AA255" s="3">
        <f>2075.2+(143.1-781.6)+(-3.175056+(-0.218943--1.195848))+0--296.8-0.454104000000017</f>
        <v>1730.8477449999998</v>
      </c>
      <c r="AB255" s="3">
        <f>2074.1+(134.8-892.4)+(-3.173373+(-0.206244--1.365372))+0--296.9-0.454257000000017</f>
        <v>1610.9314979999997</v>
      </c>
      <c r="AC255" s="3">
        <f>2031.7+(119.8-975.1)+(-5.180835+(-0.30549--2.486505))+0--297.9-0.759644999999957</f>
        <v>1470.5405350000003</v>
      </c>
      <c r="AD255">
        <f t="shared" si="3"/>
        <v>37201.402068999996</v>
      </c>
      <c r="AE255" s="3">
        <f>2113.3+(161.1-590.7)+(0+(0-0))+0--297-0</f>
        <v>1980.7000000000003</v>
      </c>
    </row>
    <row r="256" spans="1:31" s="2" customFormat="1" x14ac:dyDescent="0.25">
      <c r="A256">
        <v>89</v>
      </c>
      <c r="B256">
        <v>9</v>
      </c>
      <c r="C256">
        <v>10</v>
      </c>
      <c r="D256">
        <v>5</v>
      </c>
      <c r="E256">
        <v>1</v>
      </c>
      <c r="F256" s="3">
        <f>1830.2+(106.5-718.4)+(-4.66701+(-0.271575--1.83192))+0--258.5-0.659174999999963</f>
        <v>1473.0341600000002</v>
      </c>
      <c r="G256" s="3">
        <f>1780.9+(99.1-666.1)+(0+(0-0))+0--163-0</f>
        <v>1376.9</v>
      </c>
      <c r="H256" s="3">
        <f>1719.1+(98.6-614.4)+(-0.876741+(-0.050286--0.313344))+0--156.4-0.0797639999999841</f>
        <v>1359.0065529999999</v>
      </c>
      <c r="I256" s="3">
        <f>1657.9+(97.8-595.1)+(-0.845529+(-0.049878--0.303501))+0--155.9-0.0795089999999842</f>
        <v>1315.8285850000002</v>
      </c>
      <c r="J256" s="3">
        <f>1656.3+(94.1-590.3)+(1.689426+(0.095982-0.602106))+0--156.3--0.159426000000025</f>
        <v>1317.7427279999997</v>
      </c>
      <c r="K256" s="3">
        <f>1665.7+(95.8-551.3)+(-1.699014+(-0.097716--0.562326))+0--156-0.159120000000025</f>
        <v>1364.806476</v>
      </c>
      <c r="L256" s="3">
        <f>1664.7+(102.8-529.8)+(-0.848997+(-0.052428--0.270198))+0--156.1-0.0796109999999842</f>
        <v>1393.089162</v>
      </c>
      <c r="M256" s="3">
        <f>1797.6+(113-690.8)+(0+(0-0))+0--236.1-0</f>
        <v>1455.8999999999999</v>
      </c>
      <c r="N256" s="3">
        <f>1907.1+(124.4-745.2)+(-0.972621+(-0.063444--0.380052))+0--304-0.155039999999969</f>
        <v>1589.4889469999998</v>
      </c>
      <c r="O256" s="3">
        <f>1845.1+(138.8-636.3)+(-3.764004+(-0.283152--1.298052))+0--300.5-0.613019999999987</f>
        <v>1644.7378759999999</v>
      </c>
      <c r="P256" s="3">
        <f>1837.3+(141-601.8)+(0.937023+(0.07191-0.306918))+0--298.4--0.15218399999997</f>
        <v>1675.754199</v>
      </c>
      <c r="Q256" s="3">
        <f>1809.7+(138.4-558.7)+(-0.922947+(-0.070584--0.284937))+0--294.8-0.15034799999997</f>
        <v>1683.3410580000002</v>
      </c>
      <c r="R256" s="3">
        <f>1751.8+(136.9-591.8)+(-4.46709+(-0.349095--1.50909))+0--294.4-0.750719999999957</f>
        <v>1587.2421850000001</v>
      </c>
      <c r="S256" s="3">
        <f>1648.1+(138.9-507.7)+(0+(0-0))+0--295-0</f>
        <v>1574.3</v>
      </c>
      <c r="T256" s="3">
        <f>1711+(129.4-563.2)+(0+(0-0))+0--295.5-0</f>
        <v>1572.6999999999998</v>
      </c>
      <c r="U256" s="3">
        <f>1723.8+(128.8-585.1)+(-0.879138+(-0.065688--0.298401))+0--295.9-0.15090899999997</f>
        <v>1562.6026660000002</v>
      </c>
      <c r="V256" s="3">
        <f>1806.4+(129.3-618.8)+(1.842528+(0.131886-0.631176))+0--297.3--0.303246000000047</f>
        <v>1615.8464839999999</v>
      </c>
      <c r="W256" s="3">
        <f>2087.2+(127.6-628.6)+(0+(0-0))+0--296.4-0</f>
        <v>1882.6</v>
      </c>
      <c r="X256" s="3">
        <f>2203.2+(126.2-692)+(-4.494528+(-0.257448--1.41168))+0--298.4-0.608735999999987</f>
        <v>1931.850968</v>
      </c>
      <c r="Y256" s="3">
        <f>2219+(121.5-763.8)+(-3.39507+(-0.185895--1.168614))+0--299.3-0.457929000000017</f>
        <v>1873.1297200000001</v>
      </c>
      <c r="Z256" s="3">
        <f>2175.6+(124.3-789.6)+(-1.109556+(-0.063393--0.402696))+0--299-0.15248999999997</f>
        <v>1808.3772569999999</v>
      </c>
      <c r="AA256" s="3">
        <f>1962+(130-624.4)+(0+(0-0))+0--264.9-0</f>
        <v>1732.5</v>
      </c>
      <c r="AB256" s="3">
        <f>1912.7+(134.6-666.6)+(-3.901908+(-0.274584--1.359864))+0--230.2-0.46960799999999</f>
        <v>1607.6137640000002</v>
      </c>
      <c r="AC256" s="3">
        <f>1906.6+(115.9-767.7)+(-2.917098+(-0.177327--1.174581))+0--231.7-0.354501000000013</f>
        <v>1484.2256549999997</v>
      </c>
      <c r="AD256">
        <f t="shared" si="3"/>
        <v>37882.618442999999</v>
      </c>
      <c r="AE256" s="3">
        <f>2158.3+(135.8-595.1)+(0+(0-0))+0--298-0</f>
        <v>1997.0000000000002</v>
      </c>
    </row>
    <row r="257" spans="1:31" s="2" customFormat="1" x14ac:dyDescent="0.25">
      <c r="A257">
        <v>89</v>
      </c>
      <c r="B257">
        <v>9</v>
      </c>
      <c r="C257">
        <v>11</v>
      </c>
      <c r="D257">
        <v>6</v>
      </c>
      <c r="E257">
        <v>1</v>
      </c>
      <c r="F257" s="3">
        <f>1851.2+(68.2-838.3)+(-1.888224+(-0.069564--0.855066))+0--230.3-0.234906000000037</f>
        <v>1310.0623719999999</v>
      </c>
      <c r="G257" s="3">
        <f>1861.1+(65.1-915.8)+(1.898322+(0.066402-0.934116))+0--229.8--0.234396000000037</f>
        <v>1241.4650040000001</v>
      </c>
      <c r="H257" s="3">
        <f>1816.8+(63-896.9)+(2.779704+(0.09639-1.372257))+0--230.7--0.352971000000013</f>
        <v>1215.4568079999999</v>
      </c>
      <c r="I257" s="3">
        <f>1774.9+(62.8-863.9)+(-0.905199+(-0.032028--0.440589))+0--230.3-0.117452999999977</f>
        <v>1203.485909</v>
      </c>
      <c r="J257" s="3">
        <f>1783.1+(63.2-845.9)+(0.909381+(0.032232-0.431409))+0--211.6--0.107915999999979</f>
        <v>1212.6181199999999</v>
      </c>
      <c r="K257" s="3">
        <f>1781.3+(68.9-809.8)+(0+(0-0))+0--232.4-0</f>
        <v>1272.8000000000002</v>
      </c>
      <c r="L257" s="3">
        <f>1879.8+(100.7-858.7)+(-1.917396+(-0.102714--0.875874))+0--287.3-0.293046000000046</f>
        <v>1407.6627179999998</v>
      </c>
      <c r="M257" s="3">
        <f>1948.1+(107.5-881.3)+(0.993531+(0.054825-0.449463))+0--307.5--0.156824999999969</f>
        <v>1482.5557180000001</v>
      </c>
      <c r="N257" s="3">
        <f>2035.3+(123.2-875)+(0+(0-0))+0--302.9-0</f>
        <v>1586.4</v>
      </c>
      <c r="O257" s="3">
        <f>1898.6+(132.5-678.6)+(-3.873144+(-0.2703--1.384344))+0--300.9-0.613835999999987</f>
        <v>1650.0270639999999</v>
      </c>
      <c r="P257" s="3">
        <f>1895.4+(140.8-654.1)+(-2.899962+(-0.215424--1.000773))+0--296.2-0.453186000000017</f>
        <v>1675.7322010000003</v>
      </c>
      <c r="Q257" s="3">
        <f>1889.4+(136.5-661.7)+(-0.963594+(-0.069615--0.337467))+0--293.8-0.14983799999997</f>
        <v>1657.1544199999998</v>
      </c>
      <c r="R257" s="3">
        <f>1868.2+(126.5-677.4)+(-3.811128+(-0.25806--1.381896))+0--290.9-0.593435999999987</f>
        <v>1604.9192720000003</v>
      </c>
      <c r="S257" s="3">
        <f>1865.8+(130-681.2)+(-1.903116+(-0.1326--0.694824))+0--289.1-0.294882000000046</f>
        <v>1602.064226</v>
      </c>
      <c r="T257" s="3">
        <f>1827.5+(126.9-667.4)+(-1.86405+(-0.129438--0.680748))+0--290.8-0.296616000000046</f>
        <v>1576.1906439999998</v>
      </c>
      <c r="U257" s="3">
        <f>1815.6+(132.8-644.9)+(-0.925956+(-0.067728--0.328899))+0--257.6-0.131375999999974</f>
        <v>1560.3038389999999</v>
      </c>
      <c r="V257" s="3">
        <f>1883.5+(133.9-742.7)+(-4.802925+(-0.341445--1.893885))+0--290.7-0.741284999999958</f>
        <v>1561.4082299999998</v>
      </c>
      <c r="W257" s="3">
        <f>2094.2+(161.5-686.5)+(0+(0-0))+0--294.4-0</f>
        <v>1863.6</v>
      </c>
      <c r="X257" s="3">
        <f>2102.5+(161.2-660.2)+(-7.505925+(-0.575484--2.356914))+0--296.2-1.057434</f>
        <v>1892.9180710000001</v>
      </c>
      <c r="Y257" s="3">
        <f>1998.7+(160-620)+(-3.058011+(-0.2448--0.9486))+0--296.8-0.454104000000017</f>
        <v>1832.691685</v>
      </c>
      <c r="Z257" s="3">
        <f>1999.1+(157.1-671)+(-3.058623+(-0.240363--1.02663))+0--297-0.454410000000017</f>
        <v>1779.4732339999998</v>
      </c>
      <c r="AA257" s="3">
        <f>1970.8+(154.1-688.6)+(-5.02554+(-0.392955--1.75593))+0--299.4-0.763469999999956</f>
        <v>1731.2739649999999</v>
      </c>
      <c r="AB257" s="3">
        <f>1888.8+(149.1-705.4)+(0+(0-0))+0--300.7-0</f>
        <v>1633.2</v>
      </c>
      <c r="AC257" s="3">
        <f>1784.4+(164.1-707.4)+(-2.730132+(-0.251073--1.082322))+0--272.2-0.416466000000016</f>
        <v>1510.984651</v>
      </c>
      <c r="AD257">
        <f t="shared" ref="AD257:AD320" si="4">SUM(F257:AC257)</f>
        <v>37064.44815099999</v>
      </c>
      <c r="AE257" s="3">
        <f>2108.3+(164-617.3)+(0+(0-0))+0--297-0</f>
        <v>1952.0000000000002</v>
      </c>
    </row>
    <row r="258" spans="1:31" s="2" customFormat="1" x14ac:dyDescent="0.25">
      <c r="A258">
        <v>89</v>
      </c>
      <c r="B258">
        <v>9</v>
      </c>
      <c r="C258">
        <v>12</v>
      </c>
      <c r="D258">
        <v>7</v>
      </c>
      <c r="E258">
        <v>1</v>
      </c>
      <c r="F258" s="3">
        <f>1728.4+(182.2-722.8)+(-5.288904+(-0.557532--2.211768))+0--230.4-0.705024000000027</f>
        <v>1413.8603080000003</v>
      </c>
      <c r="G258" s="3">
        <f>1740.8+(187-768.9)+(0+(0-0))+0--170.6-0</f>
        <v>1329.5</v>
      </c>
      <c r="H258" s="3">
        <f>1739.5+(191-812.1)+(-0.887145+(-0.09741--0.414171))+0--153-0.0780299999999845</f>
        <v>1270.7515860000001</v>
      </c>
      <c r="I258" s="3">
        <f>1750.3+(168.3-828.9)+(0.892653+(0.085833-0.422739))+0--153.1--0.0780809999999845</f>
        <v>1243.4338279999999</v>
      </c>
      <c r="J258" s="3">
        <f>1750.5+(153.3-847.2)+(0+(0-0))+0--188.5-0</f>
        <v>1245.0999999999999</v>
      </c>
      <c r="K258" s="3">
        <f>1797.3+(131.7-883)+(2.749869+(0.201501-1.35099))+0--231.4--0.354042000000013</f>
        <v>1279.3544220000001</v>
      </c>
      <c r="L258" s="3">
        <f>1825.6+(135.3-828.4)+(-1.862112+(-0.138006--0.844968))+0--233.8-0.238476000000037</f>
        <v>1364.9063739999999</v>
      </c>
      <c r="M258" s="3">
        <f>1802.5+(128.1-774.9)+(-4.596375+(-0.326655--1.975995))+0--232-0.591599999999966</f>
        <v>1384.1613650000002</v>
      </c>
      <c r="N258" s="3">
        <f>1808.7+(119.5-677)+(0.922437+(0.060945-0.34527))+0--230.9--0.117758999999977</f>
        <v>1482.8558710000002</v>
      </c>
      <c r="O258" s="3">
        <f>1809.7+(113-610.6)+(0.922947+(0.05763-0.311406))+0--228.1--0.116330999999977</f>
        <v>1540.9855019999998</v>
      </c>
      <c r="P258" s="3">
        <f>1847.7+(116.2-596.4)+(-3.769308+(-0.237048--1.216656))+0--226.1-0.46124399999999</f>
        <v>1590.3490559999998</v>
      </c>
      <c r="Q258" s="3">
        <f>1890.8+(116.5-627.3)+(-0.964308+(-0.059415--0.319923))+0--229.4-0.116993999999977</f>
        <v>1608.5792060000001</v>
      </c>
      <c r="R258" s="3">
        <f>1872.5+(107.6-722.2)+(-2.864925+(-0.164628--1.104966))+0--268.2-0.410346000000015</f>
        <v>1523.765067</v>
      </c>
      <c r="S258" s="3">
        <f>1697.8+(115.1-600.9)+(-2.597634+(-0.176103--0.919377))+0--295.4-0.451962000000017</f>
        <v>1505.0936779999997</v>
      </c>
      <c r="T258" s="3">
        <f>1674.1+(112.8-614.7)+(0.853791+(0.057528-0.313497))+0--295.6--0.15075599999997</f>
        <v>1468.5485779999999</v>
      </c>
      <c r="U258" s="3">
        <f>1671.8+(115-548.2)+(-1.705236+(-0.1173--0.559164))+0--252.9-0.25795800000004</f>
        <v>1489.97867</v>
      </c>
      <c r="V258" s="3">
        <f>1677.8+(115.1-546.5)+(-1.711356+(-0.117402--0.55743))+0--227.8-0.232356000000036</f>
        <v>1472.696316</v>
      </c>
      <c r="W258" s="3">
        <f>1968.3+(139.4-623.8)+(0+(0-0))+0--292.5-0</f>
        <v>1776.4</v>
      </c>
      <c r="X258" s="3">
        <f>2036.5+(142.1-643.4)+(-2.07723+(-0.144942--0.656268))+0--295.3-0.301206000000047</f>
        <v>1828.6328899999999</v>
      </c>
      <c r="Y258" s="3">
        <f>2049.5+(134.5-725.1)+(-1.045245+(-0.068595--0.369801))+0--297.5-0.15172499999997</f>
        <v>1755.5042360000002</v>
      </c>
      <c r="Z258" s="3">
        <f>2057.2+(130.4-744.1)+(-2.098344+(-0.133008--0.758982))+0--298.3-0.304266000000048</f>
        <v>1740.0233639999997</v>
      </c>
      <c r="AA258" s="3">
        <f>1976.2+(133.7-707.6)+(-2.015724+(-0.136374--0.721752))+0--300.5-0.306510000000048</f>
        <v>1701.0631439999997</v>
      </c>
      <c r="AB258" s="3">
        <f>1929.3+(129.7-760.7)+(0+(0-0))+0--299.8-0</f>
        <v>1598.1</v>
      </c>
      <c r="AC258" s="3">
        <f>1873.9+(115.5-767.3)+(-4.778445+(-0.294525--1.956615))+0--278-0.70889999999996</f>
        <v>1496.2747450000002</v>
      </c>
      <c r="AD258">
        <f t="shared" si="4"/>
        <v>36109.918206000009</v>
      </c>
      <c r="AE258" s="3">
        <f>2043.3+(144.6-633.9)+(0+(0-0))+0--294-0</f>
        <v>1848</v>
      </c>
    </row>
    <row r="259" spans="1:31" s="2" customFormat="1" x14ac:dyDescent="0.25">
      <c r="A259">
        <v>89</v>
      </c>
      <c r="B259">
        <v>9</v>
      </c>
      <c r="C259">
        <v>13</v>
      </c>
      <c r="D259">
        <v>1</v>
      </c>
      <c r="E259">
        <v>1</v>
      </c>
      <c r="F259" s="3">
        <f>1838.2+(102.3-698.3)+(-5.624892+(-0.313038--2.136798))+0--182-0.556920000000021</f>
        <v>1419.841948</v>
      </c>
      <c r="G259" s="3">
        <f>1772.9+(99.2-679.3)+(-3.616716+(-0.202368--1.385772))+0--153.2-0.312527999999993</f>
        <v>1343.2541600000004</v>
      </c>
      <c r="H259" s="3">
        <f>1773.4+(96.7-715.6)+(-3.617736+(-0.197268--1.459824))+0--152.6-0.311303999999993</f>
        <v>1304.4335159999998</v>
      </c>
      <c r="I259" s="3">
        <f>1783.4+(95.6-739.4)+(-1.819068+(-0.097512--0.754188))+0--153-0.156060000000024</f>
        <v>1291.2815480000002</v>
      </c>
      <c r="J259" s="3">
        <f>1793.4+(92.3-755.1)+(0+(0-0))+0--153.4-0</f>
        <v>1284</v>
      </c>
      <c r="K259" s="3">
        <f>1793.9+(92.9-712.8)+(0.914889+(0.047379-0.363528))+0--153.6--0.0783359999999844</f>
        <v>1328.2770759999999</v>
      </c>
      <c r="L259" s="3">
        <f>1853+(96.8-834.3)+(-3.78012+(-0.197472--1.701972))+0--258.3-0.526931999999989</f>
        <v>1370.9974480000001</v>
      </c>
      <c r="M259" s="3">
        <f>1859.5+(106.9-817)+(-1.89669+(-0.109038--0.83334))+0--303.4-0.309468000000048</f>
        <v>1451.3181440000001</v>
      </c>
      <c r="N259" s="3">
        <f>2076.5+(131.9-944.3)+(0+(0-0))+0--299.1-0</f>
        <v>1563.1999999999998</v>
      </c>
      <c r="O259" s="3">
        <f>2080.2+(140.6-893.7)+(3.182706+(0.215118-1.367361))+0--297.7--0.455481000000017</f>
        <v>1627.285944</v>
      </c>
      <c r="P259" s="3">
        <f>2035.9+(146.3-812.2)+(-3.114927+(-0.223839--1.242666))+0--294.8-0.451044000000017</f>
        <v>1662.2528560000001</v>
      </c>
      <c r="Q259" s="3">
        <f>2109.4+(146.1-850.8)+(0+(0-0))+0--291-0</f>
        <v>1695.7000000000003</v>
      </c>
      <c r="R259" s="3">
        <f>2092.5+(131.8-908.5)+(-6.40305+(-0.403308--2.78001))+0--290.3-0.888318000000034</f>
        <v>1601.1853339999998</v>
      </c>
      <c r="S259" s="3">
        <f>2078.9+(136.9-896.7)+(-3.180717+(-0.209457--1.371951))+0--289.9-0.443547000000017</f>
        <v>1606.5382299999999</v>
      </c>
      <c r="T259" s="3">
        <f>2077.6+(139.5-898.1)+(0+(0-0))+0--290.2-0</f>
        <v>1609.2</v>
      </c>
      <c r="U259" s="3">
        <f>2028+(138.5-841.7)+(0+(0-0))+0--290.6-0</f>
        <v>1615.4</v>
      </c>
      <c r="V259" s="3">
        <f>1896.7+(134.6-666.8)+(-0.967317+(-0.068646--0.340068))+0--292.4-0.14912399999997</f>
        <v>1656.0549809999998</v>
      </c>
      <c r="W259" s="3">
        <f>2074.4+(154.2-615.6)+(3.173832+(0.235926-0.941868))+0--292.5--0.447525000000017</f>
        <v>1908.4154149999999</v>
      </c>
      <c r="X259" s="3">
        <f>2127.3+(153.6-630)+(-4.339692+(-0.313344--1.2852))+0--295-0.601799999999987</f>
        <v>1941.9303640000003</v>
      </c>
      <c r="Y259" s="3">
        <f>2138+(150.2-694.8)+(-5.4519+(-0.38301--1.77174))+0--295-0.752249999999957</f>
        <v>1883.5845800000002</v>
      </c>
      <c r="Z259" s="3">
        <f>2158.1+(143.8-790.7)+(0+(0-0))+0--298-0</f>
        <v>1809.1999999999998</v>
      </c>
      <c r="AA259" s="3">
        <f>2139.6+(145.4-828.4)+(-5.45598+(-0.37077--2.11242))+0--299.4-0.763469999999956</f>
        <v>1751.5221999999999</v>
      </c>
      <c r="AB259" s="3">
        <f>2007.7+(139.2-802)+(-2.047854+(-0.141984--0.81804))+0--300.2-0.306204000000048</f>
        <v>1643.4219980000003</v>
      </c>
      <c r="AC259" s="3">
        <f>1851.9+(131.4-709.8)+(-4.722345+(-0.33507--1.80999))+0--233-0.594149999999966</f>
        <v>1502.6584250000001</v>
      </c>
      <c r="AD259">
        <f t="shared" si="4"/>
        <v>37870.954166999996</v>
      </c>
      <c r="AE259" s="3">
        <f>2130.3+(161.1-570.3)+(0+(0-0))+0--286-0</f>
        <v>2007.1000000000004</v>
      </c>
    </row>
    <row r="260" spans="1:31" s="2" customFormat="1" x14ac:dyDescent="0.25">
      <c r="A260">
        <v>89</v>
      </c>
      <c r="B260">
        <v>9</v>
      </c>
      <c r="C260">
        <v>14</v>
      </c>
      <c r="D260">
        <v>2</v>
      </c>
      <c r="E260">
        <v>1</v>
      </c>
      <c r="F260" s="3">
        <f>1829.2+(97.5-697.9)+(-3.731568+(-0.1989--1.423716))+0--152.8-0.311711999999993</f>
        <v>1378.7815360000002</v>
      </c>
      <c r="G260" s="3">
        <f>1828.7+(90.8-742.9)+(0+(0-0))+0--152.7-0</f>
        <v>1329.3</v>
      </c>
      <c r="H260" s="3">
        <f>1808.5+(104.6-764.3)+(-0.922335+(-0.053346--0.389793))+0--153-0.0780299999999845</f>
        <v>1301.1360820000002</v>
      </c>
      <c r="I260" s="3">
        <f>1769.4+(99.4-744.4)+(0+(0-0))+0--153-0</f>
        <v>1277.4000000000001</v>
      </c>
      <c r="J260" s="3">
        <f>1780.8+(96.5-752.9)+(-1.816416+(-0.09843--0.767958))+0--152.4-0.155448000000024</f>
        <v>1275.4976640000002</v>
      </c>
      <c r="K260" s="3">
        <f>1781.5+(93.7-707.3)+(0+(0-0))+0--152.5-0</f>
        <v>1320.4</v>
      </c>
      <c r="L260" s="3">
        <f>1803.1+(91.2-644.5)+(-1.839162+(-0.093024--0.65739))+0--153.1-0.156162000000024</f>
        <v>1401.4690419999999</v>
      </c>
      <c r="M260" s="3">
        <f>2024.2+(102.3-782)+(-2.064684+(-0.104346--0.79764))+0--153.6-0.156672000000024</f>
        <v>1496.5719379999998</v>
      </c>
      <c r="N260" s="3">
        <f>2049.8+(139.7-798.6)+(1.045398+(0.071247-0.407286))+0--175.4--0.0894539999999822</f>
        <v>1567.0988130000001</v>
      </c>
      <c r="O260" s="3">
        <f>2120.1+(138.9-902.5)+(1.081251+(0.070839-0.460275))+0--245.6--0.125255999999975</f>
        <v>1602.9170709999999</v>
      </c>
      <c r="P260" s="3">
        <f>2093+(145.3-857)+(-1.06743+(-0.074103--0.43707))+0--290.6-0.148205999999971</f>
        <v>1671.047331</v>
      </c>
      <c r="Q260" s="3">
        <f>2072.4+(146.5-811.9)+(-3.170772+(-0.224145--1.242207))+0--291.5-0.445995000000017</f>
        <v>1695.9012949999999</v>
      </c>
      <c r="R260" s="3">
        <f>2053+(124.2-821.7)+(-3.14109+(-0.190026--1.257201))+0--285.4-0.436662000000016</f>
        <v>1638.3894230000001</v>
      </c>
      <c r="S260" s="3">
        <f>2037.2+(136.3-821.6)+(-1.038972+(-0.069513--0.419016))+0--285.9-0.145808999999971</f>
        <v>1636.9647220000004</v>
      </c>
      <c r="T260" s="3">
        <f>1910.8+(142.2-711.6)+(-0.974508+(-0.072522--0.362916))+0--288.2-0.146981999999971</f>
        <v>1628.768904</v>
      </c>
      <c r="U260" s="3">
        <f>1872.9+(147.7-678.5)+(0+(0-0))+0--288.3-0</f>
        <v>1630.4</v>
      </c>
      <c r="V260" s="3">
        <f>2000.7+(131-738.3)+(-5.101785+(-0.33405--1.882665))+0--290.8-0.741539999999958</f>
        <v>1679.9052900000002</v>
      </c>
      <c r="W260" s="3">
        <f>2071.1+(128.2-567.9)+(0+(0-0))+0--290.9-0</f>
        <v>1922.2999999999997</v>
      </c>
      <c r="X260" s="3">
        <f>2084.9+(154.2-563.2)+(-5.316495+(-0.39321--1.43616))+0--292.4-0.745619999999958</f>
        <v>1963.2808350000003</v>
      </c>
      <c r="Y260" s="3">
        <f>2097+(136.4-620.7)+(-2.13894+(-0.139128--0.633114))+0--292.8-0.298656000000047</f>
        <v>1903.5563899999997</v>
      </c>
      <c r="Z260" s="3">
        <f>2136.9+(126.7-718)+(-5.449095+(-0.323085--1.8309))+0--294.6-0.751229999999957</f>
        <v>1835.5074900000004</v>
      </c>
      <c r="AA260" s="3">
        <f>2176+(120.8-807)+(-2.21952+(-0.123216--0.82314))+0--295.5-0.301410000000047</f>
        <v>1783.4789939999998</v>
      </c>
      <c r="AB260" s="3">
        <f>2194.8+(114.3-925.2)+(-5.59674+(-0.291465--2.35926))+0--296.8-0.756839999999957</f>
        <v>1676.414215</v>
      </c>
      <c r="AC260" s="3">
        <f>2210+(101.5-1080)+(-2.2542+(-0.10353--1.1016))+0--297.5-0.303450000000047</f>
        <v>1527.4404199999999</v>
      </c>
      <c r="AD260">
        <f t="shared" si="4"/>
        <v>38143.927454999997</v>
      </c>
      <c r="AE260" s="3">
        <f>2076.3+(174.3-476.9)+(0+(0-0))+0--296-0</f>
        <v>2069.7000000000003</v>
      </c>
    </row>
    <row r="261" spans="1:31" s="2" customFormat="1" x14ac:dyDescent="0.25">
      <c r="A261">
        <v>89</v>
      </c>
      <c r="B261">
        <v>9</v>
      </c>
      <c r="C261">
        <v>15</v>
      </c>
      <c r="D261">
        <v>3</v>
      </c>
      <c r="E261">
        <v>1</v>
      </c>
      <c r="F261" s="3">
        <f>2195.5+(110.5-1205.1)+(-3.359115+(-0.169065--1.843803))+0--304-0.465120000000018</f>
        <v>1402.750503</v>
      </c>
      <c r="G261" s="3">
        <f>1947.6+(127.7-961.4)+(-1.986552+(-0.130254--0.980628))+0--267-0.272340000000043</f>
        <v>1379.4914820000001</v>
      </c>
      <c r="H261" s="3">
        <f>1773.7+(138.4-777.7)+(-2.713761+(-0.211752--1.189881))+0--156-0.238680000000009</f>
        <v>1288.4256880000003</v>
      </c>
      <c r="I261" s="3">
        <f>1773.7+(127.9-818.3)+(-2.713761+(-0.195687--1.251999))+0--156-0.238680000000009</f>
        <v>1237.4038710000002</v>
      </c>
      <c r="J261" s="3">
        <f>1831.4+(123.4-840.7)+(-0.934014+(-0.062934--0.428757))+0--156-0.0795599999999842</f>
        <v>1269.4522489999999</v>
      </c>
      <c r="K261" s="3">
        <f>1800.7+(110.6-770.8)+(0+(0-0))+0--156-0</f>
        <v>1296.5</v>
      </c>
      <c r="L261" s="3">
        <f>1838.9+(112.8-687)+(-0.937839+(-0.057528--0.35037))+0--154-0.0785399999999844</f>
        <v>1417.976463</v>
      </c>
      <c r="M261" s="3">
        <f>1837.8+(129.2-631.8)+(0+(0-0))+0--155-0</f>
        <v>1490.2</v>
      </c>
      <c r="N261" s="3">
        <f>1852+(140.6-660.3)+(0+(0-0))+0--261-0</f>
        <v>1593.3000000000002</v>
      </c>
      <c r="O261" s="3">
        <f>1940.4+(171.8-752.3)+(2.968812+(0.262854-1.151019))+0--298.3--0.456399000000017</f>
        <v>1660.737046</v>
      </c>
      <c r="P261" s="3">
        <f>1929.9+(174.6-702.7)+(-1.968498+(-0.178092--0.716754))+0--296.6-0.302532000000047</f>
        <v>1696.6676320000001</v>
      </c>
      <c r="Q261" s="3">
        <f>1912.7+(184.7-679.4)+(-2.926431+(-0.282591--1.039482))+0--292.9-0.448137000000017</f>
        <v>1708.2823229999997</v>
      </c>
      <c r="R261" s="3">
        <f>1910.9+(164-733.3)+(-6.821913+(-0.58548--2.617881))+0--292.5-1.044225</f>
        <v>1628.266263</v>
      </c>
      <c r="S261" s="3">
        <f>1909+(176.8-717.8)+(-0.97359+(-0.090168--0.366078))+0--292.9-0.14937899999997</f>
        <v>1660.0529409999999</v>
      </c>
      <c r="T261" s="3">
        <f>1898+(229.8-802.5)+(-2.90394+(-0.351594--1.227825))+0--293.3-0.448749000000017</f>
        <v>1616.123542</v>
      </c>
      <c r="U261" s="3">
        <f>1897.5+(192.2-706.4)+(-2.903175+(-0.294066--1.080792))+0--294.7-0.450891000000017</f>
        <v>1675.4326599999999</v>
      </c>
      <c r="V261" s="3">
        <f>1912.8+(162.7-746.7)+(-2.926584+(-0.248931--1.142451))+0--294.9-0.451197000000017</f>
        <v>1621.215739</v>
      </c>
      <c r="W261" s="3">
        <f>1954.8+(166.7-466.5)+(0.996948+(0.085017-0.237915))+0--295.4--0.15065399999997</f>
        <v>1951.3947039999998</v>
      </c>
      <c r="X261" s="3">
        <f>1970.8+(167.5-449.1)+(-2.010216+(-0.17085--0.458082))+0--297.2-0.303144000000047</f>
        <v>1984.3738719999999</v>
      </c>
      <c r="Y261" s="3">
        <f>1973.3+(161.1-511)+(-7.044681+(-0.575127--1.82427))+0--298.1-1.064217</f>
        <v>1914.640245</v>
      </c>
      <c r="Z261" s="3">
        <f>1978.9+(157.5-593.9)+(-3.027717+(-0.240975--0.908667))+0--298.7-0.457011000000017</f>
        <v>1838.3829640000001</v>
      </c>
      <c r="AA261" s="3">
        <f>1990.3+(155.9-662.6)+(-3.045159+(-0.238527--1.013778))+0--301-0.460530000000017</f>
        <v>1781.8695619999999</v>
      </c>
      <c r="AB261" s="3">
        <f>1994+(147.4-771.2)+(-4.06776+(-0.300696--1.573248))+0--302.4-0.616895999999987</f>
        <v>1669.1878959999999</v>
      </c>
      <c r="AC261" s="3">
        <f>1994.6+(131.7-908.8)+(-6.103476+(-0.403002--2.780928))+0--303.2-0.927792000000035</f>
        <v>1516.046658</v>
      </c>
      <c r="AD261">
        <f t="shared" si="4"/>
        <v>38298.174303</v>
      </c>
      <c r="AE261" s="3">
        <f>1968.3+(169.6-438.5)+(0+(0-0))+0--293-0</f>
        <v>1992.4</v>
      </c>
    </row>
    <row r="262" spans="1:31" s="2" customFormat="1" x14ac:dyDescent="0.25">
      <c r="A262">
        <v>89</v>
      </c>
      <c r="B262">
        <v>9</v>
      </c>
      <c r="C262">
        <v>16</v>
      </c>
      <c r="D262">
        <v>4</v>
      </c>
      <c r="E262">
        <v>1</v>
      </c>
      <c r="F262" s="3">
        <f>1866.3+(124.3-925.4)+(-2.855439+(-0.190179--1.415862))+0--303.9-0.464967000000018</f>
        <v>1367.0052769999995</v>
      </c>
      <c r="G262" s="3">
        <f>1819.7+(119.9-920.5)+(-1.856094+(-0.122298--0.93891))+0--306.2-0.312324000000049</f>
        <v>1323.9481940000001</v>
      </c>
      <c r="H262" s="3">
        <f>1753.3+(110.3-916.5)+(0+(0-0))+0--306.6-0</f>
        <v>1253.6999999999998</v>
      </c>
      <c r="I262" s="3">
        <f>1754.5+(109.6-909.9)+(-1.78959+(-0.111792--0.928098))+0--308-0.314160000000049</f>
        <v>1260.912556</v>
      </c>
      <c r="J262" s="3">
        <f>1760.5+(107.9-918.9)+(-1.79571+(-0.110058--0.937278))+0--309.4-0.315588000000049</f>
        <v>1257.6159219999997</v>
      </c>
      <c r="K262" s="3">
        <f>1759.5+(107.1-871.8)+(-0.897345+(-0.054621--0.444618))+0--308.4-0.157283999999969</f>
        <v>1302.5353680000003</v>
      </c>
      <c r="L262" s="3">
        <f>1776.9+(116.5-774)+(-2.718657+(-0.178245--1.18422))+0--311.4-0.476442000000018</f>
        <v>1428.610876</v>
      </c>
      <c r="M262" s="3">
        <f>1783.8+(128.1-730.3)+(0+(0-0))+0--313.5-0</f>
        <v>1495.1</v>
      </c>
      <c r="N262" s="3">
        <f>1884.9+(132.6-741.6)+(-2.883897+(-0.202878--1.134648))+0--310.6-0.475218000000018</f>
        <v>1584.0726549999999</v>
      </c>
      <c r="O262" s="3">
        <f>1985.7+(169.4-849.2)+(3.038121+(0.259182-1.299276))+0--304.4--0.465732000000018</f>
        <v>1612.7637590000004</v>
      </c>
      <c r="P262" s="3">
        <f>2076.8+(162.1-828.1)+(-3.177504+(-0.248013--1.266993))+0--299.3-0.457929000000017</f>
        <v>1707.4835470000003</v>
      </c>
      <c r="Q262" s="3">
        <f>2146.3+(146.1-889.9)+(-2.189226+(-0.149022--0.907698))+0--295.5-0.301410000000047</f>
        <v>1696.2680400000002</v>
      </c>
      <c r="R262" s="3">
        <f>2167.6+(136.6-953.2)+(-2.210952+(-0.139332--0.972264))+0--292-0.297840000000047</f>
        <v>1641.3241399999999</v>
      </c>
      <c r="S262" s="3">
        <f>2091.7+(145.7-872.8)+(-1.066767+(-0.074307--0.445128))+0--291.4-0.14861399999997</f>
        <v>1655.1554399999998</v>
      </c>
      <c r="T262" s="3">
        <f>2033.4+(147.3-867.9)+(1.037034+(0.075123-0.442629))+0--293.1--0.14948099999997</f>
        <v>1606.7190089999999</v>
      </c>
      <c r="U262" s="3">
        <f>2155.8+(145.4-960.2)+(1.099458+(0.074154-0.489702))+0--294--0.14993999999997</f>
        <v>1635.83385</v>
      </c>
      <c r="V262" s="3">
        <f>2160+(145.4-934.8)+(-5.508+(-0.37077--2.38374))+0--294.6-0.751229999999957</f>
        <v>1660.9537399999999</v>
      </c>
      <c r="W262" s="3">
        <f>2182+(145-794.7)+(0+(0-0))+0--294.1-0</f>
        <v>1826.4</v>
      </c>
      <c r="X262" s="3">
        <f>2198.4+(124.5-569.7)+(-6.727104+(-0.38097--1.743282))+0--295.3-0.903618000000034</f>
        <v>2042.2315899999999</v>
      </c>
      <c r="Y262" s="3">
        <f>2200.9+(126.4-690.5)+(-4.489836+(-0.257856--1.40862))+0--296-0.603839999999987</f>
        <v>1928.8570880000002</v>
      </c>
      <c r="Z262" s="3">
        <f>2206.8+(130.9-791.7)+(-3.376404+(-0.200277--1.211301))+0--296.9-0.454257000000017</f>
        <v>1840.0803629999998</v>
      </c>
      <c r="AA262" s="3">
        <f>2112.2+(140.2-783.5)+(-3.231666+(-0.214506--1.198755))+0--297.5-0.455175000000017</f>
        <v>1763.6974079999998</v>
      </c>
      <c r="AB262" s="3">
        <f>2104.5+(125.9-883.8)+(-4.29318+(-0.256836--1.802952))+0--299.2-0.610367999999987</f>
        <v>1642.4425680000002</v>
      </c>
      <c r="AC262" s="3">
        <f>2109+(122-1014.2)+(-5.37795+(-0.3111--2.58621))+0--301.1-0.767804999999956</f>
        <v>1514.0293550000001</v>
      </c>
      <c r="AD262">
        <f t="shared" si="4"/>
        <v>38047.740744999996</v>
      </c>
      <c r="AE262" s="3">
        <f>2205.3+(161.8-643.5)+(0+(0-0))+0--295-0</f>
        <v>2018.6000000000001</v>
      </c>
    </row>
    <row r="263" spans="1:31" s="2" customFormat="1" x14ac:dyDescent="0.25">
      <c r="A263">
        <v>89</v>
      </c>
      <c r="B263">
        <v>9</v>
      </c>
      <c r="C263">
        <v>17</v>
      </c>
      <c r="D263">
        <v>5</v>
      </c>
      <c r="E263">
        <v>1</v>
      </c>
      <c r="F263" s="3">
        <f>1977.7+(119.3-985.1)+(-6.051762+(-0.365058--3.014406))+0--303.7-0.929322000000035</f>
        <v>1411.2682640000003</v>
      </c>
      <c r="G263" s="3">
        <f>1807.9+(107.3-897)+(-3.688116+(-0.218892--1.82988))+0--304.4-0.620975999999987</f>
        <v>1319.9018960000001</v>
      </c>
      <c r="H263" s="3">
        <f>1745.1+(101.9-863.2)+(-4.450005+(-0.259845--2.20116))+0--308.6-0.786929999999955</f>
        <v>1289.10438</v>
      </c>
      <c r="I263" s="3">
        <f>1682.4+(100.1-808.6)+(0+(0-0))+0--308-0</f>
        <v>1281.9000000000001</v>
      </c>
      <c r="J263" s="3">
        <f>1665.3+(95.7-800.3)+(0.849303+(0.048807-0.408153))+0--308.3--0.157232999999969</f>
        <v>1269.6471899999999</v>
      </c>
      <c r="K263" s="3">
        <f>1660.6+(96.4-745.3)+(-1.693812+(-0.098328--0.760206))+0--307.2-0.313344000000049</f>
        <v>1317.5547219999999</v>
      </c>
      <c r="L263" s="3">
        <f>1664.5+(104.9-670.3)+(0+(0-0))+0--308.2-0</f>
        <v>1407.3</v>
      </c>
      <c r="M263" s="3">
        <f>1662.9+(118-599.9)+(-1.696158+(-0.12036--0.611898))+0--308-0.314160000000049</f>
        <v>1487.4812199999999</v>
      </c>
      <c r="N263" s="3">
        <f>1687.6+(136.7-538.9)+(-2.582028+(-0.209151--0.824517))+0--304.5-0.465885000000018</f>
        <v>1587.4674529999998</v>
      </c>
      <c r="O263" s="3">
        <f>1901.2+(155.4-706.8)+(-1.939224+(-0.158508--0.720936))+0--301.4-0.307428000000048</f>
        <v>1649.5157760000002</v>
      </c>
      <c r="P263" s="3">
        <f>1897.6+(158.6-675.9)+(-2.903328+(-0.242658--1.034127))+0--298.6-0.456858000000017</f>
        <v>1676.331283</v>
      </c>
      <c r="Q263" s="3">
        <f>1844+(156.2-624.1)+(-2.82132+(-0.238986--0.954873))+0--295.9-0.452727000000017</f>
        <v>1669.4418399999997</v>
      </c>
      <c r="R263" s="3">
        <f>1789.5+(137.3-587)+(-4.563225+(-0.350115--1.49685))+0--294.1-0.749954999999957</f>
        <v>1629.733555</v>
      </c>
      <c r="S263" s="3">
        <f>1740.7+(138.1-531.7)+(-1.775514+(-0.140862--0.542334))+0--294-0.299880000000047</f>
        <v>1639.426078</v>
      </c>
      <c r="T263" s="3">
        <f>1691.1+(143-508.8)+(-1.724922+(-0.14586--0.518976))+0--294-0.299880000000047</f>
        <v>1617.648314</v>
      </c>
      <c r="U263" s="3">
        <f>1697.6+(125.3-514.8)+(-1.731552+(-0.127806--0.525096))+0--294.6-0.300492000000047</f>
        <v>1601.0652459999999</v>
      </c>
      <c r="V263" s="3">
        <f>1840.2+(105.1-643.2)+(-3.754008+(-0.214404--1.312128))+0--295-0.601799999999987</f>
        <v>1593.8419160000001</v>
      </c>
      <c r="W263" s="3">
        <f>2142+(126.8-630.7)+(-1.09242+(-0.064668--0.321657))+0--294.6-0.15024599999997</f>
        <v>1931.7143229999999</v>
      </c>
      <c r="X263" s="3">
        <f>2174.9+(139.4-636.4)+(-3.327597+(-0.213282--0.973692))+0--296.2-0.453186000000017</f>
        <v>1971.0796270000001</v>
      </c>
      <c r="Y263" s="3">
        <f>2094.9+(137.6-600.8)+(-4.273596+(-0.280704--1.225632))+0--297.7-0.607307999999987</f>
        <v>1925.4640240000003</v>
      </c>
      <c r="Z263" s="3">
        <f>1899.3+(126.8-498.3)+(0.968643+(0.064668-0.254133))+0--297.6--0.15177599999997</f>
        <v>1826.3309539999998</v>
      </c>
      <c r="AA263" s="3">
        <f>1779.3+(138.6-447.2)+(-1.814886+(-0.141372--0.456144))+0--297.9-0.303858000000047</f>
        <v>1766.796028</v>
      </c>
      <c r="AB263" s="3">
        <f>1700.3+(137.5-500)+(-4.335765+(-0.350625--1.275))+0--298.6-0.761429999999957</f>
        <v>1632.2271799999999</v>
      </c>
      <c r="AC263" s="3">
        <f>1640.2+(124.7-560.9)+(-1.673004+(-0.127194--0.572118))+0--300.6-0.306612000000048</f>
        <v>1503.065308</v>
      </c>
      <c r="AD263">
        <f t="shared" si="4"/>
        <v>38005.306576999996</v>
      </c>
      <c r="AE263" s="3">
        <f>2157.3+(132-608)+(0+(0-0))+0--306-0</f>
        <v>1987.3000000000002</v>
      </c>
    </row>
    <row r="264" spans="1:31" s="2" customFormat="1" x14ac:dyDescent="0.25">
      <c r="A264">
        <v>89</v>
      </c>
      <c r="B264">
        <v>9</v>
      </c>
      <c r="C264">
        <v>18</v>
      </c>
      <c r="D264">
        <v>6</v>
      </c>
      <c r="E264">
        <v>1</v>
      </c>
      <c r="F264" s="3">
        <f>1489.4+(121.8-523.4)+(0.759594+(0.062118-0.266934))+0--299.4--0.15269399999997</f>
        <v>1387.9074719999999</v>
      </c>
      <c r="G264" s="3">
        <f>1576.3+(106.1-657)+(-0.803913+(-0.054111--0.33507))+0--300.8-0.153407999999969</f>
        <v>1325.5236380000001</v>
      </c>
      <c r="H264" s="3">
        <f>1673+(101.8-743.2)+(-0.85323+(-0.051918--0.379032))+0--261.6-0.133415999999973</f>
        <v>1292.5404679999999</v>
      </c>
      <c r="I264" s="3">
        <f>1718.4+(99.3-775.8)+(0+(0-0))+0--228.1-0</f>
        <v>1270</v>
      </c>
      <c r="J264" s="3">
        <f>1790.4+(107.5-717)+(2.739312+(0.164475-1.09701))+0--151.9--0.232407000000009</f>
        <v>1334.8391840000002</v>
      </c>
      <c r="K264" s="3">
        <f>1766.5+(101.9-784.8)+(0.900915+(0.051969-0.400248))+0--254.4--0.129743999999974</f>
        <v>1338.68238</v>
      </c>
      <c r="L264" s="3">
        <f>1759.8+(99.4-724.2)+(-3.589992+(-0.202776--1.477368))+0--304.7-0.621587999999987</f>
        <v>1436.7630120000001</v>
      </c>
      <c r="M264" s="3">
        <f>1642.5+(112.9-575.7)+(-1.67535+(-0.115158--0.587214))+0--309.3-0.315486000000049</f>
        <v>1487.4812199999999</v>
      </c>
      <c r="N264" s="3">
        <f>1563.8+(139.2-429.3)+(3.190152+(0.283968-0.875772))+0--306.3--0.624851999999987</f>
        <v>1583.2231999999997</v>
      </c>
      <c r="O264" s="3">
        <f>1538.9+(148.5-341.8)+(-0.784839+(-0.075735--0.174318))+0--301.4-0.153713999999969</f>
        <v>1646.16003</v>
      </c>
      <c r="P264" s="3">
        <f>1526.2+(148.1-287.8)+(0.778362+(0.075531-0.146778))+0--297.1--0.15152099999997</f>
        <v>1684.4586360000001</v>
      </c>
      <c r="Q264" s="3">
        <f>1512.6+(148.4-280.7)+(-0.771426+(-0.075684--0.143157))+0--294.6-0.15024599999997</f>
        <v>1674.045801</v>
      </c>
      <c r="R264" s="3">
        <f>1510.3+(146.5-270.1)+(-3.851265+(-0.373575--0.688755))+0--240.6-0.613529999999965</f>
        <v>1623.1503849999999</v>
      </c>
      <c r="S264" s="3">
        <f>1503.8+(141.1-219.2)+(-1.533876+(-0.143922--0.223584))+0--154.7-0.157794000000025</f>
        <v>1578.787992</v>
      </c>
      <c r="T264" s="3">
        <f>1378+(172-151.8)+(-0.70278+(-0.08772--0.077418))+0--155.5-0.0793049999999842</f>
        <v>1552.9076130000001</v>
      </c>
      <c r="U264" s="3">
        <f>1481.9+(148.2-294.7)+(-1.511538+(-0.151164--0.300594))+0--208.8-0.212976000000033</f>
        <v>1542.624916</v>
      </c>
      <c r="V264" s="3">
        <f>1626.3+(134.2-446.7)+(0+(0-0))+0--292.8-0</f>
        <v>1606.6</v>
      </c>
      <c r="W264" s="3">
        <f>1642.4+(212.3-298.7)+(0.837624+(0.108273-0.152337))+0--306--0.156059999999969</f>
        <v>1862.9496200000001</v>
      </c>
      <c r="X264" s="3">
        <f>1755.8+(148.1-318.4)+(0+(0-0))+0--323.3-0</f>
        <v>1908.8</v>
      </c>
      <c r="Y264" s="3">
        <f>1758.9+(132.4-377)+(-2.691117+(-0.202572--0.57681))+0--326.5-0.499545000000019</f>
        <v>1837.9835760000001</v>
      </c>
      <c r="Z264" s="3">
        <f>1676.1+(133-356)+(-1.709622+(-0.13566--0.36312))+0--312.6-0.31885200000005</f>
        <v>1763.8989859999999</v>
      </c>
      <c r="AA264" s="3">
        <f>1568.1+(146.1-314.9)+(0.799731+(0.074511-0.160599))+0--301.2--0.153611999999969</f>
        <v>1701.3672550000001</v>
      </c>
      <c r="AB264" s="3">
        <f>1554.2+(141.4-387.8)+(-3.96321+(-0.36057--0.98889))+0--301.9-0.769844999999956</f>
        <v>1605.5952649999997</v>
      </c>
      <c r="AC264" s="3">
        <f>1519.7+(146.7-474.5)+(-6.200376+(-0.598536--1.93596))+0--303.6-1.23868799999997</f>
        <v>1489.3983600000001</v>
      </c>
      <c r="AD264">
        <f t="shared" si="4"/>
        <v>37535.689008999994</v>
      </c>
      <c r="AE264" s="3">
        <f>1662.3+(254.4-300.7)+(0+(0-0))+0--321-0</f>
        <v>1937</v>
      </c>
    </row>
    <row r="265" spans="1:31" s="2" customFormat="1" x14ac:dyDescent="0.25">
      <c r="A265">
        <v>89</v>
      </c>
      <c r="B265">
        <v>9</v>
      </c>
      <c r="C265">
        <v>19</v>
      </c>
      <c r="D265">
        <v>7</v>
      </c>
      <c r="E265">
        <v>1</v>
      </c>
      <c r="F265" s="3">
        <f>1419.3+(187.2-525.1)+(0+(0-0))+0--305-0</f>
        <v>1386.3999999999999</v>
      </c>
      <c r="G265" s="3">
        <f>1387+(185.8-568.6)+(-2.12211+(-0.284274--0.869958))+0--307.2-0.470016000000018</f>
        <v>1309.393558</v>
      </c>
      <c r="H265" s="3">
        <f>1407+(163.8-589.5)+(-1.43514+(-0.167076--0.60129))+0--304.6-0.310692000000049</f>
        <v>1284.5883819999999</v>
      </c>
      <c r="I265" s="3">
        <f>1452.8+(171-598.6)+(0.740928+(0.08721-0.305286))+0--232.4--0.118523999999976</f>
        <v>1258.2413759999999</v>
      </c>
      <c r="J265" s="3">
        <f>1470.2+(171-612)+(-3.74901+(-0.43605--1.5606))+0--231.2-0.589559999999966</f>
        <v>1257.1859800000002</v>
      </c>
      <c r="K265" s="3">
        <f>1537.5+(149.3-628.7)+(0.784125+(0.076143-0.320637))+0--231.3--0.117962999999977</f>
        <v>1290.0575939999999</v>
      </c>
      <c r="L265" s="3">
        <f>1534.8+(152.1-586.4)+(-1.565496+(-0.155142--0.598128))+0--232.8-0.237456000000037</f>
        <v>1331.940034</v>
      </c>
      <c r="M265" s="3">
        <f>1523.6+(137.1-553)+(-2.331108+(-0.209763--0.84609))+0--235.9-0.360927000000014</f>
        <v>1341.544292</v>
      </c>
      <c r="N265" s="3">
        <f>1530.2+(136.6-522.9)+(-1.560804+(-0.139332--0.533358))+0--306.8-0.312936000000049</f>
        <v>1449.220286</v>
      </c>
      <c r="O265" s="3">
        <f>1546.1+(146.6-464)+(-2.365533+(-0.224298--0.70992))+0--303.3-0.464049000000018</f>
        <v>1529.6560399999998</v>
      </c>
      <c r="P265" s="3">
        <f>1488.7+(147.5-367.8)+(-3.036948+(-0.3009--0.750312))+0--297.5-0.606899999999987</f>
        <v>1562.7055640000001</v>
      </c>
      <c r="Q265" s="3">
        <f>1479.7+(144.2-350.6)+(-1.509294+(-0.147084--0.357612))+0--294.4-0.300288000000047</f>
        <v>1566.1009459999998</v>
      </c>
      <c r="R265" s="3">
        <f>1465.9+(141.4-372.3)+(-2.242827+(-0.216342--0.569619))+0--293.4-0.448902000000017</f>
        <v>1526.0615479999997</v>
      </c>
      <c r="S265" s="3">
        <f>1449+(142.4-387.2)+(-2.95596+(-0.290496--0.789888))+0--295.7-0.603227999999987</f>
        <v>1496.8402040000001</v>
      </c>
      <c r="T265" s="3">
        <f>1393.1+(135-343.6)+(-1.420962+(-0.1377--0.350472))+0--297.3-0.303246000000047</f>
        <v>1480.288564</v>
      </c>
      <c r="U265" s="3">
        <f>1325.9+(143.4-250.6)+(0+(0-0))+0--247.1-0</f>
        <v>1465.8</v>
      </c>
      <c r="V265" s="3">
        <f>1386.3+(139.2-236.8)+(-3.535065+(-0.35496--0.60384))+0--224.1-0.571454999999968</f>
        <v>1508.9423599999998</v>
      </c>
      <c r="W265" s="3">
        <f>1458.8+(289.5-255.6)+(0.743988+(0.147645-0.130356))+0--285.9--0.145808999999971</f>
        <v>1779.5070859999998</v>
      </c>
      <c r="X265" s="3">
        <f>1470.1+(313.3-245.1)+(-0.749751+(-0.159783--0.125001))+0--292.3-0.14907299999997</f>
        <v>1829.6663939999999</v>
      </c>
      <c r="Y265" s="3">
        <f>1439.1+(280.8-232.8)+(-2.201823+(-0.429624--0.356184))+0--294.4-0.450432000000017</f>
        <v>1778.7743049999999</v>
      </c>
      <c r="Z265" s="3">
        <f>1452.7+(191.4-221.8)+(-0.740877+(-0.097614--0.113118))+0--295.2-0.15055199999997</f>
        <v>1716.6240749999999</v>
      </c>
      <c r="AA265" s="3">
        <f>1490.8+(154.1-267.3)+(0+(0-0))+0--296.3-0</f>
        <v>1673.8999999999999</v>
      </c>
      <c r="AB265" s="3">
        <f>1510.2+(151.4-371.9)+(-1.540404+(-0.154428--0.379338))+0--297-0.302940000000047</f>
        <v>1585.0815660000001</v>
      </c>
      <c r="AC265" s="3">
        <f>1505.3+(145.8-475.9)+(-4.606218+(-0.446148--1.456254))+0--298.7-0.914022000000035</f>
        <v>1469.3898660000002</v>
      </c>
      <c r="AD265">
        <f t="shared" si="4"/>
        <v>35877.910019999996</v>
      </c>
      <c r="AE265" s="3">
        <f>1485.3+(319.8-258.8)+(0+(0-0))+0--293-0</f>
        <v>1839.3</v>
      </c>
    </row>
    <row r="266" spans="1:31" s="2" customFormat="1" x14ac:dyDescent="0.25">
      <c r="A266">
        <v>89</v>
      </c>
      <c r="B266">
        <v>9</v>
      </c>
      <c r="C266">
        <v>20</v>
      </c>
      <c r="D266">
        <v>1</v>
      </c>
      <c r="E266">
        <v>1</v>
      </c>
      <c r="F266" s="3">
        <f>1540.5+(120.3-546.8)+(-2.356965+(-0.184059--0.836604))+0--301.5-0.461295000000017</f>
        <v>1413.3342849999999</v>
      </c>
      <c r="G266" s="3">
        <f>1551.9+(114-624.8)+(2.374407+(0.17442-0.955944))+0--303.4--0.464202000000017</f>
        <v>1346.5570850000004</v>
      </c>
      <c r="H266" s="3">
        <f>1550.9+(113.8-654.1)+(-1.581918+(-0.116076--0.667182))+0--303.8-0.309876000000048</f>
        <v>1313.0593120000001</v>
      </c>
      <c r="I266" s="3">
        <f>1558.2+(106.3-597.1)+(0+(0-0))+0--239.4-0</f>
        <v>1306.8000000000002</v>
      </c>
      <c r="J266" s="3">
        <f>1555.2+(102.9-522.6)+(-0.793152+(-0.052479--0.266526))+0--153.6-0.0783359999999844</f>
        <v>1288.4425589999998</v>
      </c>
      <c r="K266" s="3">
        <f>1571.6+(101.7-526.1)+(4.00758+(0.259335-1.341555))+0--183.8--0.468689999999973</f>
        <v>1334.3940499999997</v>
      </c>
      <c r="L266" s="3">
        <f>1615+(101-626.6)+(-0.82365+(-0.05151--0.319566))+0--303.7-0.154886999999969</f>
        <v>1392.3895190000003</v>
      </c>
      <c r="M266" s="3">
        <f>1746.1+(92.8-674.5)+(-0.890511+(-0.047328--0.343995))+0--305.4-0.155753999999969</f>
        <v>1469.0504019999998</v>
      </c>
      <c r="N266" s="3">
        <f>1848.5+(103-677)+(0+(0-0))+0--304-0</f>
        <v>1578.5</v>
      </c>
      <c r="O266" s="3">
        <f>1890.6+(101.4-631.6)+(-1.928412+(-0.103428--0.644232))+0--299.8-0.305796000000048</f>
        <v>1658.5065959999997</v>
      </c>
      <c r="P266" s="3">
        <f>1930.8+(93.5-639.3)+(0.984708+(0.047685-0.326043))+0--297.1--0.15152099999997</f>
        <v>1682.9578709999998</v>
      </c>
      <c r="Q266" s="3">
        <f>1979.5+(90.9-666.7)+(-5.047725+(-0.231795--1.700085))+0--295.5-0.753524999999957</f>
        <v>1694.8670399999999</v>
      </c>
      <c r="R266" s="3">
        <f>1963.5+(80.9-742.6)+(-4.00554+(-0.165036--1.514904))+0--295.2-0.602207999999987</f>
        <v>1593.7421199999999</v>
      </c>
      <c r="S266" s="3">
        <f>1900.6+(84.9-685.6)+(-3.877224+(-0.173196--1.398624))+0--295.2-0.602207999999987</f>
        <v>1591.8459959999998</v>
      </c>
      <c r="T266" s="3">
        <f>1820.6+(86.7-633.9)+(3.714024+(0.176868-1.293156))+0--294.9--0.601595999999987</f>
        <v>1571.4993319999999</v>
      </c>
      <c r="U266" s="3">
        <f>1862.3+(85.4-677.9)+(-4.748865+(-0.21777--1.728645))+0--296-0.754799999999957</f>
        <v>1561.8072099999999</v>
      </c>
      <c r="V266" s="3">
        <f>1887.7+(87.1-654.8)+(-2.888181+(-0.133263--1.001844))+0--296.2-0.453186000000017</f>
        <v>1613.727214</v>
      </c>
      <c r="W266" s="3">
        <f>1991.3+(98.1-540.6)+(-3.046689+(-0.150093--0.827118))+0--322.5-0.493425000000019</f>
        <v>1868.4369109999998</v>
      </c>
      <c r="X266" s="3">
        <f>2057.1+(96.8-571.8)+(-4.196484+(-0.197472--1.166472))+0--327-0.667079999999986</f>
        <v>1905.205436</v>
      </c>
      <c r="Y266" s="3">
        <f>2051.8+(93.1-611.3)+(-3.139254+(-0.142443--0.935289))+0--314.1-0.480573000000018</f>
        <v>1844.8730190000003</v>
      </c>
      <c r="Z266" s="3">
        <f>2000.3+(95.1-625.7)+(-4.080612+(-0.194004--1.276428))+0--299-0.609959999999987</f>
        <v>1765.0918519999998</v>
      </c>
      <c r="AA266" s="3">
        <f>1932+(90.5-617.5)+(-2.95596+(-0.138465--0.944775))+0--300.3-0.459459000000017</f>
        <v>1702.690891</v>
      </c>
      <c r="AB266" s="3">
        <f>1926.7+(84.3-699.8)+(-3.930468+(-0.171972--1.427592))+0--301.1-0.614243999999987</f>
        <v>1609.010908</v>
      </c>
      <c r="AC266" s="3">
        <f>1929.9+(73.7-776.9)+(-2.952747+(-0.112761--1.188657))+0--257-0.393210000000015</f>
        <v>1481.4299390000003</v>
      </c>
      <c r="AD266">
        <f t="shared" si="4"/>
        <v>37588.219546999993</v>
      </c>
      <c r="AE266" s="3">
        <f>2054.3+(97.8-513.1)+(0+(0-0))+0--325-0</f>
        <v>1964.0000000000002</v>
      </c>
    </row>
    <row r="267" spans="1:31" s="2" customFormat="1" x14ac:dyDescent="0.25">
      <c r="A267">
        <v>89</v>
      </c>
      <c r="B267">
        <v>9</v>
      </c>
      <c r="C267">
        <v>21</v>
      </c>
      <c r="D267">
        <v>2</v>
      </c>
      <c r="E267">
        <v>1</v>
      </c>
      <c r="F267" s="3">
        <f>1891.1+(78.7-741.9)+(-4.822305+(-0.200685--1.891845))+0--154.8-0.394739999999978</f>
        <v>1379.174115</v>
      </c>
      <c r="G267" s="3">
        <f>1896.8+(77.3-819.4)+(-0.967368+(-0.039423--0.417894))+0--154.9-0.0789989999999843</f>
        <v>1308.9321039999998</v>
      </c>
      <c r="H267" s="3">
        <f>1888.9+(74.3-841.5)+(-3.853356+(-0.151572--1.71666))+0--154.1-0.314363999999993</f>
        <v>1273.1973679999999</v>
      </c>
      <c r="I267" s="3">
        <f>1911.4+(79.5-885.5)+(2.924442+(0.121635-1.354815))+0--154.6--0.236538000000009</f>
        <v>1261.9278000000002</v>
      </c>
      <c r="J267" s="3">
        <f>1931.8+(72.3-896)+(4.92609+(0.184365-2.2848))+0--154.8--0.394739999999978</f>
        <v>1266.1203949999999</v>
      </c>
      <c r="K267" s="3">
        <f>1944.6+(68.8-915.7)+(2.975238+(0.105264-1.401021))+0--214.4--0.328032000000012</f>
        <v>1314.1075129999999</v>
      </c>
      <c r="L267" s="3">
        <f>1930.2+(72.5-828.5)+(-0.984402+(-0.036975--0.422535))+0--229-0.116789999999977</f>
        <v>1402.4843679999999</v>
      </c>
      <c r="M267" s="3">
        <f>1929.9+(81-765.8)+(-0.984249+(-0.04131--0.390558))+0--229.3-0.116942999999977</f>
        <v>1473.648056</v>
      </c>
      <c r="N267" s="3">
        <f>1957.8+(17-736.6)+(0+(0-0))+0--250.3-0</f>
        <v>1488.4999999999998</v>
      </c>
      <c r="O267" s="3">
        <f>1978.6+(95.7-780)+(-3.027258+(-0.146421--1.1934))+0--297.7-0.455481000000017</f>
        <v>1589.5642399999999</v>
      </c>
      <c r="P267" s="3">
        <f>1994.2+(99.4-769.4)+(-1.017042+(-0.050694--0.392394))+0--292.7-0.14927699999997</f>
        <v>1616.0753810000001</v>
      </c>
      <c r="Q267" s="3">
        <f>1958.2+(96.1-715.6)+(-2.996046+(-0.147033--1.094868))+3.5--287.2-0.439416000000017</f>
        <v>1626.9123730000001</v>
      </c>
      <c r="R267" s="3">
        <f>1913.9+(76.6-693.4)+(-7.808712+(-0.312528--2.829072))+0--287.2-1.17177599999997</f>
        <v>1577.8360560000003</v>
      </c>
      <c r="S267" s="3">
        <f>1911.8+(80.1-707.4)+(-0.975018+(-0.040851--0.360774))+0--286.9-0.146318999999971</f>
        <v>1570.5985860000001</v>
      </c>
      <c r="T267" s="3">
        <f>1921.6+(77.8-708.1)+(-2.940048+(-0.119034--1.083393))+0--272-0.416160000000016</f>
        <v>1560.9081509999996</v>
      </c>
      <c r="U267" s="3">
        <f>1905.8+(78.6-645.6)+(2.915874+(0.120258-0.987768))+0--222.6--0.340578000000013</f>
        <v>1563.7889419999999</v>
      </c>
      <c r="V267" s="3">
        <f>1815.9+(80.1-519.3)+(-4.630545+(-0.204255--1.324215))+0--225.7-0.575534999999967</f>
        <v>1598.3138800000004</v>
      </c>
      <c r="W267" s="3">
        <f>1901.9+(160.6-471.6)+(0.969969+(0.081906-0.240516))+0--290.1--0.147950999999971</f>
        <v>1881.9593100000002</v>
      </c>
      <c r="X267" s="3">
        <f>1983+(94.3-436.6)+(-3.03399+(-0.144279--0.667998))+0--291.4-0.445842000000017</f>
        <v>1929.1438869999997</v>
      </c>
      <c r="Y267" s="3">
        <f>1920.3+(98.9-447.1)+(-2.938059+(-0.151317--0.684063))+0--292.6-0.447678000000017</f>
        <v>1861.8470090000001</v>
      </c>
      <c r="Z267" s="3">
        <f>1831.3+(98.4-453.4)+(-1.867926+(-0.100368--0.462468))+0--295.2-0.301104000000047</f>
        <v>1769.6930699999998</v>
      </c>
      <c r="AA267" s="3">
        <f>1735.2+(114.3-429)+(0+(0-0))+0--295.5-0</f>
        <v>1716</v>
      </c>
      <c r="AB267" s="3">
        <f>1697.1+(104.3-472.8)+(-2.596563+(-0.159579--0.723384))+0--297.2-0.454716000000017</f>
        <v>1623.3125259999999</v>
      </c>
      <c r="AC267" s="3">
        <f>1701.6+(85.8-594.5)+(-1.735632+(-0.087516--0.60639))+0--296.9-0.302838000000047</f>
        <v>1488.2804039999996</v>
      </c>
      <c r="AD267">
        <f t="shared" si="4"/>
        <v>37142.325534000003</v>
      </c>
      <c r="AE267" s="3">
        <f>1893.3+(217.9-428.8)+(0+(0-0))+0--290-0</f>
        <v>1972.3999999999999</v>
      </c>
    </row>
    <row r="268" spans="1:31" s="2" customFormat="1" x14ac:dyDescent="0.25">
      <c r="A268">
        <v>89</v>
      </c>
      <c r="B268">
        <v>9</v>
      </c>
      <c r="C268">
        <v>22</v>
      </c>
      <c r="D268">
        <v>3</v>
      </c>
      <c r="E268">
        <v>1</v>
      </c>
      <c r="F268" s="3">
        <f>1680.2+(89.9-671.2)+(-5.141412+(-0.275094--2.053872))+0--301.3-0.921978000000035</f>
        <v>1395.9153879999999</v>
      </c>
      <c r="G268" s="3">
        <f>1646+(91-629.5)+(-5.87622+(-0.32487--2.247315))+0--227.8-0.813246000000003</f>
        <v>1330.5329790000001</v>
      </c>
      <c r="H268" s="3">
        <f>1512.3+(97.4-480.8)+(-2.313819+(-0.149022--0.735624))+0--152.9-0.233937000000009</f>
        <v>1279.8388460000001</v>
      </c>
      <c r="I268" s="3">
        <f>1501.8+(95.4-488.9)+(0+(0-0))+0--153.5-0</f>
        <v>1261.8</v>
      </c>
      <c r="J268" s="3">
        <f>1533.6+(86.3-516.8)+(-0.782136+(-0.044013--0.263568))+0--153.6-0.0783359999999844</f>
        <v>1256.0590829999999</v>
      </c>
      <c r="K268" s="3">
        <f>1538+(72.9-594.8)+(1.56876+(0.074358-0.606696))+0--200--0.204000000000032</f>
        <v>1217.340422</v>
      </c>
      <c r="L268" s="3">
        <f>1590.8+(83.2-565.9)+(-1.622616+(-0.084864--0.577218))+0--286.4-0.292128000000046</f>
        <v>1393.0776099999998</v>
      </c>
      <c r="M268" s="3">
        <f>1562.2+(101.5-468.3)+(0.796722+(0.051765-0.238833))+0--267.2--0.136271999999973</f>
        <v>1463.3459260000002</v>
      </c>
      <c r="N268" s="3">
        <f>1778.6+(112.1-621)+(-1.814172+(-0.114342--0.63342))+0--301.3-0.307326000000048</f>
        <v>1569.3975799999996</v>
      </c>
      <c r="O268" s="3">
        <f>1848.1+(112-613.7)+(0+(0-0))+0--295.3-0</f>
        <v>1641.6999999999998</v>
      </c>
      <c r="P268" s="3">
        <f>1826.4+(120.6-575.8)+(0+(0-0))+0--291.2-0</f>
        <v>1662.4000000000003</v>
      </c>
      <c r="Q268" s="3">
        <f>1902.3+(98-615.5)+(0+(0-0))+0--290.7-0</f>
        <v>1675.5</v>
      </c>
      <c r="R268" s="3">
        <f>1896.5+(86.8-656)+(0+(0-0))+0.2--290-0</f>
        <v>1617.5</v>
      </c>
      <c r="S268" s="3">
        <f>1855.3+(91.3-616.9)+(0+(0-0))+0--289.6-0</f>
        <v>1619.2999999999997</v>
      </c>
      <c r="T268" s="3">
        <f>1815+(90.9-602.3)+(0+(0-0))+0--290.2-0</f>
        <v>1593.8</v>
      </c>
      <c r="U268" s="3">
        <f>1816.2+(88.9-598.9)+(0+(0-0))+0--292.6-0</f>
        <v>1598.8000000000002</v>
      </c>
      <c r="V268" s="3">
        <f>1819.2+(92.6-563.1)+(0+(0-0))+0--293.6-0</f>
        <v>1642.3000000000002</v>
      </c>
      <c r="W268" s="3">
        <f>1943.2+(169.6-504.2)+(0+(0-0))+0--294-0</f>
        <v>1902.6</v>
      </c>
      <c r="X268" s="3">
        <f>2018.5+(114.8-488.9)+(0+(0-0))+0--295.5-0</f>
        <v>1939.9</v>
      </c>
      <c r="Y268" s="3">
        <f>2012.7+(90.4-536.8)+(0+(0-0))+0--296.5-0</f>
        <v>1862.8000000000002</v>
      </c>
      <c r="Z268" s="3">
        <f>1854.1+(86.9-522.9)+(0+(0-0))+0--297.7-0</f>
        <v>1715.8</v>
      </c>
      <c r="AA268" s="3">
        <f>1605.1+(106.8-346.8)+(0+(0-0))+0--297.6-0</f>
        <v>1662.6999999999998</v>
      </c>
      <c r="AB268" s="3">
        <f>1569.9+(110.5-349.8)+(0+(0-0))+0--299.3-0</f>
        <v>1629.9</v>
      </c>
      <c r="AC268" s="3">
        <f>1503.3+(113.1-397.4)+(0+(0-0))+0--299.9-0</f>
        <v>1518.9</v>
      </c>
      <c r="AD268">
        <f t="shared" si="4"/>
        <v>37451.207833999993</v>
      </c>
      <c r="AE268" s="3">
        <f>2022.3+(164-492.6)+(0+(0-0))+0--294-0</f>
        <v>1987.6999999999998</v>
      </c>
    </row>
    <row r="269" spans="1:31" s="2" customFormat="1" x14ac:dyDescent="0.25">
      <c r="A269">
        <v>89</v>
      </c>
      <c r="B269">
        <v>9</v>
      </c>
      <c r="C269">
        <v>23</v>
      </c>
      <c r="D269">
        <v>4</v>
      </c>
      <c r="E269">
        <v>1</v>
      </c>
      <c r="F269" s="3">
        <f>1473.8+(95.9-492.5)+(0+(0-0))+0--302.2-0</f>
        <v>1379.3999999999999</v>
      </c>
      <c r="G269" s="3">
        <f>1499+(90.3-571.7)+(0+(0-0))+0--299.2-0</f>
        <v>1316.8</v>
      </c>
      <c r="H269" s="3">
        <f>1527+(100-519.7)+(0+(0-0))+0--155.1-0</f>
        <v>1262.3999999999999</v>
      </c>
      <c r="I269" s="3">
        <f>1498.2+(68.8-491.7)+(0+(0-0))+0--153.9-0</f>
        <v>1229.2000000000003</v>
      </c>
      <c r="J269" s="3">
        <f>1480.1+(69.5-465.3)+(0+(0-0))+0--154.3-0</f>
        <v>1238.5999999999999</v>
      </c>
      <c r="K269" s="3">
        <f>1519.3+(70.3-458.9)+(0+(0-0))+0--154.2-0</f>
        <v>1284.9000000000001</v>
      </c>
      <c r="L269" s="3">
        <f>1526+(82.7-460.6)+(0+(0-0))+0--223.5-0</f>
        <v>1371.6</v>
      </c>
      <c r="M269" s="3">
        <f>1552.5+(89.9-500.4)+(0+(0-0))+0--306.9-0</f>
        <v>1448.9</v>
      </c>
      <c r="N269" s="3">
        <f>1327.2+(177-259.2)+(0+(0-0))+0--306.4-0</f>
        <v>1551.4</v>
      </c>
      <c r="O269" s="3">
        <f>1311+(245.7-246.5)+(0+(0-0))+0--305-0</f>
        <v>1615.2</v>
      </c>
      <c r="P269" s="3">
        <f>1453.5+(178.5-288.1)+(0+(0-0))+0--301-0</f>
        <v>1644.9</v>
      </c>
      <c r="Q269" s="3">
        <f>1520.9+(153.7-331.3)+(0+(0-0))+0--296-0</f>
        <v>1639.3000000000002</v>
      </c>
      <c r="R269" s="3">
        <f>1609.2+(72.6-418.2)+(-4.10346+(-0.18513--1.06641))+0--296.1-0.755054999999957</f>
        <v>1555.7227650000002</v>
      </c>
      <c r="S269" s="3">
        <f>1645.1+(82-461.2)+(-0.839001+(-0.04182--0.235212))+0--299.7-0.15284699999997</f>
        <v>1564.8015439999999</v>
      </c>
      <c r="T269" s="3">
        <f>1580.9+(90.3-426.2)+(-2.418777+(-0.138159--0.652086))+0--299-0.457470000000017</f>
        <v>1541.63768</v>
      </c>
      <c r="U269" s="3">
        <f>1513.7+(100.8-381.4)+(-3.859935+(-0.25704--0.97257))+0--299.8-0.764489999999956</f>
        <v>1528.9911050000001</v>
      </c>
      <c r="V269" s="3">
        <f>1595.8+(95.6-421.4)+(-4.06929+(-0.24378--1.07457))+0--301.5-0.768824999999956</f>
        <v>1567.4926750000002</v>
      </c>
      <c r="W269" s="3">
        <f>1810.9+(100.6-399.6)+(-1.847118+(-0.102612--0.407592))+0--300.5-0.306510000000048</f>
        <v>1810.551352</v>
      </c>
      <c r="X269" s="3">
        <f>1799.5+(104.7-360)+(-4.588725+(-0.266985--0.918))+0--301.5-0.768824999999956</f>
        <v>1840.9934650000002</v>
      </c>
      <c r="Y269" s="3">
        <f>1769.4+(98.3-396.8)+(-0.902394+(-0.050133--0.202368))+0--301.5-0.153764999999969</f>
        <v>1771.4960760000001</v>
      </c>
      <c r="Z269" s="3">
        <f>1687.4+(120.1-428)+(-3.442296+(-0.245004--0.87312))+0--303.9-0.619955999999987</f>
        <v>1679.9658639999998</v>
      </c>
      <c r="AA269" s="3">
        <f>1689.7+(139.2-504.3)+(0+(0-0))+0--305.4-0</f>
        <v>1630</v>
      </c>
      <c r="AB269" s="3">
        <f>1640.6+(156.1-544.2)+(-3.346824+(-0.318444--1.110168))+0--308-0.628319999999987</f>
        <v>1557.3165799999999</v>
      </c>
      <c r="AC269" s="3">
        <f>1665+(159.4-666)+(-0.84915+(-0.081294--0.33966))+0--309.2-0.157691999999969</f>
        <v>1466.8515240000002</v>
      </c>
      <c r="AD269">
        <f t="shared" si="4"/>
        <v>36498.420629999993</v>
      </c>
      <c r="AE269" s="3">
        <f>1828.3+(140-369.4)+(0+(0-0))+0--300-0</f>
        <v>1898.9</v>
      </c>
    </row>
    <row r="270" spans="1:31" s="2" customFormat="1" x14ac:dyDescent="0.25">
      <c r="A270">
        <v>89</v>
      </c>
      <c r="B270">
        <v>9</v>
      </c>
      <c r="C270">
        <v>24</v>
      </c>
      <c r="D270">
        <v>5</v>
      </c>
      <c r="E270">
        <v>5</v>
      </c>
      <c r="F270" s="3">
        <f>1715.4+(132-702.9)+(-1.749708+(-0.13464--0.716958))+0--273.9-0.279378000000044</f>
        <v>1416.9532320000001</v>
      </c>
      <c r="G270" s="3">
        <f>1713.8+(143.6-594.7)+(1.748076+(0.146472-0.606594))+0--42.7--0.0435540000000068</f>
        <v>1306.7315079999998</v>
      </c>
      <c r="H270" s="3">
        <f>1745.1+(122.6-641.2)+(0+(0-0))+0--12.7-0</f>
        <v>1239.2</v>
      </c>
      <c r="I270" s="3">
        <f>1668.1+(118.9-579.6)+(0.850731+(0.060639-0.295596))+0--12.9--0.00657899999999869</f>
        <v>1220.9223530000002</v>
      </c>
      <c r="J270" s="3">
        <f>1607+(93.7-490.7)+(0.81957+(0.047787-0.250257))+0--13.5--0.00688499999999863</f>
        <v>1224.1239849999999</v>
      </c>
      <c r="K270" s="3">
        <f>1680.3+(73.6-543.8)+(-0.856953+(-0.037536--0.277338))+0--45.8-0.0233579999999954</f>
        <v>1255.259491</v>
      </c>
      <c r="L270" s="3">
        <f>1750.8+(76.6-630.4)+(-0.892908+(-0.039066--0.321504))+0--90.4-0.0461039999999908</f>
        <v>1286.743426</v>
      </c>
      <c r="M270" s="3">
        <f>1622.5+(73.4-454.8)+(-1.65495+(-0.074868--0.463896))+0--31.8-0.0324360000000051</f>
        <v>1271.6016419999999</v>
      </c>
      <c r="N270" s="3">
        <f>1633.8+(79.9-384.8)+(1.666476+(0.081498-0.392496))+0--24.6--0.0250920000000039</f>
        <v>1354.88057</v>
      </c>
      <c r="O270" s="3">
        <f>1618.7+(94.8-333.9)+(0.825537+(0.048348-0.170289))+0--24.3--0.0123929999999975</f>
        <v>1404.6159890000001</v>
      </c>
      <c r="P270" s="3">
        <f>1449.8+(113.8-192.6)+(-2.957592+(-0.232152--0.392904))+0--23.4-0.047735999999999</f>
        <v>1391.5554240000001</v>
      </c>
      <c r="Q270" s="3">
        <f>1425.3+(112-190.8)+(-3.634515+(-0.2856--0.48654))+0--23.6-0.0601799999999966</f>
        <v>1366.6062449999999</v>
      </c>
      <c r="R270" s="3">
        <f>1415+(93.8-203.5)+(-1.4433+(-0.095676--0.20757))+0--24.1-0.0245820000000038</f>
        <v>1328.0440119999998</v>
      </c>
      <c r="S270" s="3">
        <f>1416+(96-233.9)+(-2.16648+(-0.14688--0.357867))+0--23.4-0.0358020000000013</f>
        <v>1299.508705</v>
      </c>
      <c r="T270" s="3">
        <f>1401+(109.7-252)+(-2.85804+(-0.223788--0.51408))+0--23.3-0.047531999999999</f>
        <v>1279.38472</v>
      </c>
      <c r="U270" s="3">
        <f>1394+(90.6-253)+(-2.13282+(-0.138618--0.38709))+0--23.8-0.0364140000000014</f>
        <v>1253.4792379999999</v>
      </c>
      <c r="V270" s="3">
        <f>1401.9+(85-231.4)+(1.429938+(0.0867-0.236028))+0--23.9--0.0243780000000038</f>
        <v>1280.7049880000002</v>
      </c>
      <c r="W270" s="3">
        <f>1437+(207.6-155.3)+(-0.73287+(-0.105876--0.079203))+0--32-0.0163199999999968</f>
        <v>1520.5241370000001</v>
      </c>
      <c r="X270" s="3">
        <f>1531.2+(151.9-192.2)+(-4.685472+(-0.464814--0.588132))+0--85.5-0.26163000000001</f>
        <v>1571.5762160000002</v>
      </c>
      <c r="Y270" s="3">
        <f>1520.7+(155.1-231.7)+(-3.102228+(-0.316404--0.472668))+0--85.9-0.175235999999996</f>
        <v>1526.8788000000002</v>
      </c>
      <c r="Z270" s="3">
        <f>1417.2+(189.9-233.6)+(0.722772+(0.096849-0.119136))+0--86.7--0.0442169999999912</f>
        <v>1460.944702</v>
      </c>
      <c r="AA270" s="3">
        <f>1562+(141.3-372.7)+(-0.79662+(-0.072063--0.190077))+0--87.1-0.0444209999999912</f>
        <v>1416.9769729999998</v>
      </c>
      <c r="AB270" s="3">
        <f>1578.5+(170.4-465.1)+(-1.61007+(-0.173808--0.474402))+0--87.3-0.0890460000000139</f>
        <v>1369.701478</v>
      </c>
      <c r="AC270" s="3">
        <f>1561.4+(188.4-528.3)+(-2.388942+(-0.288252--0.808299))+0--88.1-0.134793000000005</f>
        <v>1307.5963119999999</v>
      </c>
      <c r="AD270">
        <f t="shared" si="4"/>
        <v>32354.514145999998</v>
      </c>
      <c r="AE270" s="3">
        <f>1539.3+(227.2-137.1)+(0+(0-0))+0--85-0</f>
        <v>1714.3999999999999</v>
      </c>
    </row>
    <row r="271" spans="1:31" s="2" customFormat="1" x14ac:dyDescent="0.25">
      <c r="A271">
        <v>89</v>
      </c>
      <c r="B271">
        <v>9</v>
      </c>
      <c r="C271">
        <v>25</v>
      </c>
      <c r="D271">
        <v>6</v>
      </c>
      <c r="E271">
        <v>5</v>
      </c>
      <c r="F271" s="3">
        <f>1553.2+(161.3-577.5)+(-3.168528+(-0.329052--1.1781))+0--89.6-0.182783999999996</f>
        <v>1224.0977359999997</v>
      </c>
      <c r="G271" s="3">
        <f>1418.9+(125.6-427)+(-2.170917+(-0.192168--0.65331))+0--36.3-0.0555390000000021</f>
        <v>1152.034686</v>
      </c>
      <c r="H271" s="3">
        <f>1371+(145.5-424)+(-1.39842+(-0.14841--0.43248))+0--22.8-0.0232560000000036</f>
        <v>1114.1623939999999</v>
      </c>
      <c r="I271" s="3">
        <f>1350.3+(116.8-396.7)+(-3.443265+(-0.29784--1.011585))+0--22.4-0.0571199999999967</f>
        <v>1090.0133600000001</v>
      </c>
      <c r="J271" s="3">
        <f>1295.3+(91.8-321.4)+(-1.321206+(-0.093636--0.327828))+0--22.9-0.0233580000000037</f>
        <v>1087.4896280000003</v>
      </c>
      <c r="K271" s="3">
        <f>1357+(59.1-376.8)+(0+(0-0))+0--71.2-0</f>
        <v>1110.5</v>
      </c>
      <c r="L271" s="3">
        <f>1341.6+(56.1-377.4)+(-2.736864+(-0.114444--0.769896))+0--91.5-0.186659999999996</f>
        <v>1109.5319279999999</v>
      </c>
      <c r="M271" s="3">
        <f>1255.3+(50.5-286.4)+(-1.280406+(-0.05151--0.292128))+0--40.6-0.0414120000000065</f>
        <v>1058.9187999999999</v>
      </c>
      <c r="N271" s="3">
        <f>1302.1+(42.7-290.1)+(-0.664071+(-0.021777--0.147951))+0--23.7-0.0120869999999976</f>
        <v>1077.8500159999999</v>
      </c>
      <c r="O271" s="3">
        <f>1372.5+(42.8-355)+(1.39995+(0.043656-0.3621))+0--23.9--0.0243780000000038</f>
        <v>1085.3058840000001</v>
      </c>
      <c r="P271" s="3">
        <f>1352.4+(40.4-363.6)+(-4.828068+(-0.144228--1.298052))+0--23.7-0.0846090000000003</f>
        <v>1049.141147</v>
      </c>
      <c r="Q271" s="3">
        <f>1306.9+(39.3-348.8)+(-1.333038+(-0.040086--0.355776))+0--23.6-0.0240720000000038</f>
        <v>1019.9585800000001</v>
      </c>
      <c r="R271" s="3">
        <f>1296.9+(48.7-179.3)+(0.661419+(0.024837-0.091443))+0--23.2--0.0118319999999976</f>
        <v>1190.1066450000001</v>
      </c>
      <c r="S271" s="3">
        <f>1299.6+(51.6-153.8)+(-1.325592+(-0.052632--0.156876))+0--23.4-0.0238680000000037</f>
        <v>1219.5547839999999</v>
      </c>
      <c r="T271" s="3">
        <f>1311.6+(89-147.8)+(-3.34458+(-0.22695--0.37689))+0--22.9-0.0583949999999967</f>
        <v>1272.4469650000001</v>
      </c>
      <c r="U271" s="3">
        <f>1346.4+(89.9-155.9)+(0+(0-0))+0--22.3-0</f>
        <v>1302.7</v>
      </c>
      <c r="V271" s="3">
        <f>1344.6+(75.3-105.2)+(-2.057238+(-0.115209--0.160956))+0--22.2-0.0339660000000013</f>
        <v>1334.8545429999999</v>
      </c>
      <c r="W271" s="3">
        <f>1401.7+(193.1-21.6)+(-3.574335+(-0.492405--0.05508))+0--21.5-0.0548249999999969</f>
        <v>1590.6335150000002</v>
      </c>
      <c r="X271" s="3">
        <f>1423.3+(266-78.3)+(-1.451766+(-0.27132--0.079866))+0--21.6-0.0220320000000034</f>
        <v>1630.9347479999999</v>
      </c>
      <c r="Y271" s="3">
        <f>1396.4+(267.4-80.7)+(0+(0-0))+0--22.1-0</f>
        <v>1605.2</v>
      </c>
      <c r="Z271" s="3">
        <f>1400.6+(251.3-123.2)+(-2.142918+(-0.384489--0.188496))+0--21.6-0.0330480000000013</f>
        <v>1547.9280409999997</v>
      </c>
      <c r="AA271" s="3">
        <f>1517+(203.5-272.3)+(0.77367+(0.103785-0.138873))+0--76.4--0.0389639999999923</f>
        <v>1525.3775460000002</v>
      </c>
      <c r="AB271" s="3">
        <f>1549+(200.9-352.9)+(-1.57998+(-0.204918--0.359958))+0--85.9-0.0876180000000137</f>
        <v>1481.387442</v>
      </c>
      <c r="AC271" s="3">
        <f>1522.5+(212.5-428.6)+(-1.55295+(-0.21675--0.437172))+0--84.9-0.0865980000000135</f>
        <v>1389.8808740000002</v>
      </c>
      <c r="AD271">
        <f t="shared" si="4"/>
        <v>30270.009262</v>
      </c>
      <c r="AE271" s="3">
        <f>1443.3+(249.1-144.6)+(0+(0-0))+0--22-0</f>
        <v>1569.8</v>
      </c>
    </row>
    <row r="272" spans="1:31" s="2" customFormat="1" x14ac:dyDescent="0.25">
      <c r="A272">
        <v>89</v>
      </c>
      <c r="B272">
        <v>9</v>
      </c>
      <c r="C272">
        <v>26</v>
      </c>
      <c r="D272">
        <v>7</v>
      </c>
      <c r="E272">
        <v>1</v>
      </c>
      <c r="F272" s="3">
        <f>1402.5+(246.5-489.1)+(-2.145825+(-0.377145--0.748323))+0--85-0.130050000000005</f>
        <v>1242.9953030000001</v>
      </c>
      <c r="G272" s="3">
        <f>1290.4+(218.4-430.1)+(0+(0-0))+0--86.2-0</f>
        <v>1164.9000000000001</v>
      </c>
      <c r="H272" s="3">
        <f>1262+(175.3-349.6)+(-4.50534+(-0.625821--1.248072))+0--53.3-0.190281000000001</f>
        <v>1136.9266300000002</v>
      </c>
      <c r="I272" s="3">
        <f>1154.7+(112.9-173)+(0+(0-0))+0--22.3-0</f>
        <v>1116.9000000000001</v>
      </c>
      <c r="J272" s="3">
        <f>1139.1+(112.8-149.8)+(0+(0-0))+0--22.2-0</f>
        <v>1124.3</v>
      </c>
      <c r="K272" s="3">
        <f>1205.4+(112.9-206.5)+(1.844262+(0.172737-0.315945))+0--49.5--0.0757350000000029</f>
        <v>1163.0767890000002</v>
      </c>
      <c r="L272" s="3">
        <f>1283.1+(109.4-262.3)+(-1.963143+(-0.167382--0.401319))+0--92.5-0.141525000000005</f>
        <v>1220.8292689999998</v>
      </c>
      <c r="M272" s="3">
        <f>1190.3+(216-219.3)+(-1.821159+(-0.33048--0.335529))+0--92.8-0.141984000000005</f>
        <v>1277.8419059999999</v>
      </c>
      <c r="N272" s="3">
        <f>1158.9+(281.7-169.2)+(0+(0-0))+0--91.1-0</f>
        <v>1362.5</v>
      </c>
      <c r="O272" s="3">
        <f>1182.4+(284.5-95.8)+(0.603024+(0.145095-0.048858))+0--90--0.0458999999999909</f>
        <v>1461.8451610000002</v>
      </c>
      <c r="P272" s="3">
        <f>1207.8+(314-82)+(-3.07989+(-0.8007--0.2091))+0--87.4-0.222869999999987</f>
        <v>1523.30564</v>
      </c>
      <c r="Q272" s="3">
        <f>1204.8+(356.3-87.3)+(-1.228896+(-0.363426--0.089046))+0--76.4-0.0779280000000122</f>
        <v>1548.6187960000002</v>
      </c>
      <c r="R272" s="3">
        <f>1156.2+(390.9-69.7)+(-0.589662+(-0.199359--0.035547))+0--24.2-0.0123419999999975</f>
        <v>1500.8341840000001</v>
      </c>
      <c r="S272" s="3">
        <f>1138.2+(401.3-72.7)+(-1.741446+(-0.613989--0.111231))+0--22.6-0.0345780000000013</f>
        <v>1487.121218</v>
      </c>
      <c r="T272" s="3">
        <f>1182.7+(351.1-89.5)+(-1.809531+(-0.537183--0.136935))+0--22.1-0.0338130000000013</f>
        <v>1464.1564080000001</v>
      </c>
      <c r="U272" s="3">
        <f>1240.4+(298.2-101)+(-1.897812+(-0.456246--0.15453))+0--22.5-0.0344250000000013</f>
        <v>1457.866047</v>
      </c>
      <c r="V272" s="3">
        <f>1220.7+(348.1-84.5)+(-1.867671+(-0.532593--0.129285))+0--22.4-0.0342720000000013</f>
        <v>1504.3947490000003</v>
      </c>
      <c r="W272" s="3">
        <f>1346.5+(448.8-132.4)+(-0.686715+(-0.228888--0.067524))+0--73.2-0.0373319999999926</f>
        <v>1735.2145889999999</v>
      </c>
      <c r="X272" s="3">
        <f>1400.7+(454.3-134.7)+(-2.857428+(-0.926772--0.274788))+0--85.4-0.174215999999996</f>
        <v>1802.0163720000003</v>
      </c>
      <c r="Y272" s="3">
        <f>1395.4+(408.7-117.2)+(-2.134962+(-0.625311--0.179316))+0--82.9-0.126837000000005</f>
        <v>1767.0922060000003</v>
      </c>
      <c r="Z272" s="3">
        <f>1314+(446.4-75)+(-2.68056+(-0.910656--0.153))+0--21.7-0.0442679999999991</f>
        <v>1703.617516</v>
      </c>
      <c r="AA272" s="3">
        <f>1329.7+(390.3-80.1)+(-1.356294+(-0.398106--0.081702))+0--21.5-0.0219300000000034</f>
        <v>1659.7053719999999</v>
      </c>
      <c r="AB272" s="3">
        <f>1428.1+(281.8-168.8)+(-3.641655+(-0.71859--0.43044))+0--21.2-0.0540599999999969</f>
        <v>1558.316135</v>
      </c>
      <c r="AC272" s="3">
        <f>1454.2+(306.5-339.8)+(-2.224926+(-0.468945--0.519894))+0--21.2-0.0324360000000012</f>
        <v>1439.8935870000003</v>
      </c>
      <c r="AD272">
        <f t="shared" si="4"/>
        <v>34424.267876999998</v>
      </c>
      <c r="AE272" s="3">
        <f>1401.3+(472.1-136.7)+(0+(0-0))+0--85-0</f>
        <v>1821.7</v>
      </c>
    </row>
    <row r="273" spans="1:31" s="2" customFormat="1" x14ac:dyDescent="0.25">
      <c r="A273">
        <v>89</v>
      </c>
      <c r="B273">
        <v>9</v>
      </c>
      <c r="C273">
        <v>27</v>
      </c>
      <c r="D273">
        <v>1</v>
      </c>
      <c r="E273">
        <v>1</v>
      </c>
      <c r="F273" s="3">
        <f>1410+(316.8-414.5)+(-2.1573+(-0.484704--0.634185))+0--21-0.0321300000000012</f>
        <v>1331.260051</v>
      </c>
      <c r="G273" s="3">
        <f>1337.7+(260.6-361)+(-3.411135+(-0.66453--0.92055))+0--21.2-0.0540599999999969</f>
        <v>1255.2908250000003</v>
      </c>
      <c r="H273" s="3">
        <f>1327.5+(197.5-326)+(-1.35405+(-0.20145--0.33252))+0--21.3-0.0217260000000034</f>
        <v>1219.055294</v>
      </c>
      <c r="I273" s="3">
        <f>1321+(197.5-334.5)+(-1.34742+(-0.20145--0.34119))+0--21.4-0.0218280000000034</f>
        <v>1204.1704920000002</v>
      </c>
      <c r="J273" s="3">
        <f>1349.2+(174.7-340.7)+(0+(0-0))+0--22-0</f>
        <v>1205.2</v>
      </c>
      <c r="K273" s="3">
        <f>1402.9+(128.7-292.9)+(-1.430958+(-0.131274--0.298758))+0--21.6-0.0220320000000034</f>
        <v>1259.0144939999998</v>
      </c>
      <c r="L273" s="3">
        <f>1419.9+(104-169.3)+(0+(0-0))+0--22.1-0</f>
        <v>1376.7</v>
      </c>
      <c r="M273" s="3">
        <f>1485.3+(122.8-177.2)+(0+(0-0))+0--22.4-0</f>
        <v>1453.3</v>
      </c>
      <c r="N273" s="3">
        <f>1501.7+(212.3-187.6)+(0+(0-0))+0--22.3-0</f>
        <v>1548.7</v>
      </c>
      <c r="O273" s="3">
        <f>1648.8+(207.2-219.1)+(0+(0-0))+0--63.7-0</f>
        <v>1700.6</v>
      </c>
      <c r="P273" s="3">
        <f>1650.5+(173.5-240.7)+(0+(0-0))+0--85.1-0</f>
        <v>1668.3999999999999</v>
      </c>
      <c r="Q273" s="3">
        <f>1650.6+(181-235.8)+(0+(0-0))+0--84.2-0</f>
        <v>1680</v>
      </c>
      <c r="R273" s="3">
        <f>1676.5+(111.5-232.5)+(-0.855015+(-0.056865--0.118575))+0--83.5-0.0425849999999915</f>
        <v>1638.1641100000002</v>
      </c>
      <c r="S273" s="3">
        <f>1732.4+(104.2-329.5)+(-0.883524+(-0.053142--0.168045))+0--94.1-0.0479909999999905</f>
        <v>1600.3833880000002</v>
      </c>
      <c r="T273" s="3">
        <f>1743.3+(101-406.3)+(0+(0-0))+0--121.2-0</f>
        <v>1559.2</v>
      </c>
      <c r="U273" s="3">
        <f>1852.5+(94.1-520)+(2.834325+(0.143973-0.7956))+0--98.2--0.150246000000006</f>
        <v>1527.132944</v>
      </c>
      <c r="V273" s="3">
        <f>1894.2+(92.5-558.8)+(1.932084+(0.09435-0.569976))+0--218.7--0.223074000000035</f>
        <v>1648.2795320000002</v>
      </c>
      <c r="W273" s="3">
        <f>2044.9+(95.4-468.3)+(0+(0-0))+0--234.4-0</f>
        <v>1906.4</v>
      </c>
      <c r="X273" s="3">
        <f>2053.6+(104.5-495.3)+(-1.047336+(-0.053295--0.252603))+0--291.1-0.14846099999997</f>
        <v>1952.9035109999998</v>
      </c>
      <c r="Y273" s="3">
        <f>1946.3+(112.4-467.1)+(-4.963065+(-0.28662--1.191105))+0--291.8-0.744089999999958</f>
        <v>1878.5973300000001</v>
      </c>
      <c r="Z273" s="3">
        <f>1948+(109.2-544.4)+(0.99348+(0.055692-0.277644))+0--293.3--0.14958299999997</f>
        <v>1807.0211109999998</v>
      </c>
      <c r="AA273" s="3">
        <f>1892.9+(120.8-565)+(-0.965379+(-0.061608--0.28815))+0--294.8-0.15034799999997</f>
        <v>1742.610815</v>
      </c>
      <c r="AB273" s="3">
        <f>1850.9+(120.2-634)+(-1.887918+(-0.122604--0.64668))+0--295.3-0.301206000000047</f>
        <v>1630.734952</v>
      </c>
      <c r="AC273" s="3">
        <f>1853.8+(120.5-771.5)+(-0.945438+(-0.061455--0.393465))+0--295-0.15044999999997</f>
        <v>1497.036122</v>
      </c>
      <c r="AD273">
        <f t="shared" si="4"/>
        <v>37290.154971000004</v>
      </c>
      <c r="AE273" s="3">
        <f>2083.3+(117.4-507.3)+(0+(0-0))+0--290-0</f>
        <v>1983.4</v>
      </c>
    </row>
    <row r="274" spans="1:31" s="2" customFormat="1" x14ac:dyDescent="0.25">
      <c r="A274">
        <v>89</v>
      </c>
      <c r="B274">
        <v>9</v>
      </c>
      <c r="C274">
        <v>28</v>
      </c>
      <c r="D274">
        <v>2</v>
      </c>
      <c r="E274">
        <v>1</v>
      </c>
      <c r="F274" s="3">
        <f>1860.5+(130.3-883.6)+(0+(0-0))+0--296.6-0</f>
        <v>1403.8000000000002</v>
      </c>
      <c r="G274" s="3">
        <f>1864+(114.2-923.8)+(-2.85192+(-0.174726--1.413414))+0--282.9-0.432837000000016</f>
        <v>1335.253931</v>
      </c>
      <c r="H274" s="3">
        <f>1826.1+(117.4-809.3)+(-2.793933+(-0.179622--1.238229))+0--162.6-0.248778000000009</f>
        <v>1294.8158959999998</v>
      </c>
      <c r="I274" s="3">
        <f>1716.9+(126.2-728.7)+(0+(0-0))+0--151.1-0</f>
        <v>1265.5</v>
      </c>
      <c r="J274" s="3">
        <f>1722.8+(110.8-718.6)+(0+(0-0))+0--151-0</f>
        <v>1266</v>
      </c>
      <c r="K274" s="3">
        <f>1797.3+(90.1-734.7)+(-2.749869+(-0.137853--1.124091))+0--161.1-0.246483000000009</f>
        <v>1311.7898859999998</v>
      </c>
      <c r="L274" s="3">
        <f>1800.5+(98.2-751.6)+(0+(0-0))+0--303.1-0</f>
        <v>1450.1999999999998</v>
      </c>
      <c r="M274" s="3">
        <f>1777.9+(106.3-677.1)+(0+(0-0))+0--303.1-0</f>
        <v>1510.1999999999998</v>
      </c>
      <c r="N274" s="3">
        <f>1740.6+(133.5-575)+(-0.887706+(-0.068085--0.29325))+0--303.5-0.154784999999969</f>
        <v>1601.782674</v>
      </c>
      <c r="O274" s="3">
        <f>1752.3+(140.9-536.7)+(0+(0-0))+0--300.2-0</f>
        <v>1656.7</v>
      </c>
      <c r="P274" s="3">
        <f>1787.6+(133.5-528.3)+(0+(0-0))+0--295-0</f>
        <v>1687.8</v>
      </c>
      <c r="Q274" s="3">
        <f>1872.9+(123.2-594.1)+(-3.820716+(-0.251328--1.211964))+0--293.2-0.598127999999987</f>
        <v>1691.741792</v>
      </c>
      <c r="R274" s="3">
        <f>1823+(58-569.2)+(-2.78919+(-0.08874--0.870876))+0--258.2-0.395046000000015</f>
        <v>1567.5979</v>
      </c>
      <c r="S274" s="3">
        <f>1800.9+(31-513.4)+(-1.836918+(-0.03162--0.523668))+0--225.8-0.230316000000036</f>
        <v>1542.7248139999999</v>
      </c>
      <c r="T274" s="3">
        <f>1786.1+(48.4-515.7)+(-1.821822+(-0.049368--0.526014))+0--226.1-0.230622000000036</f>
        <v>1543.3242019999996</v>
      </c>
      <c r="U274" s="3">
        <f>1792.2+(99.1-516)+(-1.828044+(-0.101082--0.52632))+0--225.9-0.230418000000036</f>
        <v>1599.5667760000001</v>
      </c>
      <c r="V274" s="3">
        <f>1784.4+(101.6-474.1)+(0+(0-0))+0--232.8-0</f>
        <v>1644.7</v>
      </c>
      <c r="W274" s="3">
        <f>1967.2+(123.5-489.8)+(-1.003272+(-0.062985--0.249798))+0--292.7-0.14927699999997</f>
        <v>1892.6342640000003</v>
      </c>
      <c r="X274" s="3">
        <f>2007.1+(120.7-500.7)+(-3.070863+(-0.184671--0.766071))+0--294.3-0.450279000000017</f>
        <v>1918.4602580000001</v>
      </c>
      <c r="Y274" s="3">
        <f>1989.1+(112.2-543.2)+(-3.043323+(-0.171666--0.831096))+0--295.9-0.452727000000017</f>
        <v>1851.1633799999997</v>
      </c>
      <c r="Z274" s="3">
        <f>1912.8+(112.6-536.5)+(-0.975528+(-0.057426--0.273615))+0--296.2-0.15106199999997</f>
        <v>1784.1895990000003</v>
      </c>
      <c r="AA274" s="3">
        <f>1879+(115-561.8)+(-2.87487+(-0.17595--0.859554))+0--296.4-0.453492000000017</f>
        <v>1725.955242</v>
      </c>
      <c r="AB274" s="3">
        <f>1736.4+(150.5-575)+(-2.656692+(-0.230265--0.87975))+0--297.8-0.455634000000017</f>
        <v>1607.237159</v>
      </c>
      <c r="AC274" s="3">
        <f>1739+(159.7-726)+(-1.77378+(-0.162894--0.74052))+0--298.5-0.304470000000048</f>
        <v>1469.699376</v>
      </c>
      <c r="AD274">
        <f t="shared" si="4"/>
        <v>37622.837148999992</v>
      </c>
      <c r="AE274" s="3">
        <f>1993.3+(99.3-428.7)+(0+(0-0))+0--292-0</f>
        <v>1955.9</v>
      </c>
    </row>
    <row r="275" spans="1:31" s="2" customFormat="1" x14ac:dyDescent="0.25">
      <c r="A275">
        <v>89</v>
      </c>
      <c r="B275">
        <v>9</v>
      </c>
      <c r="C275">
        <v>29</v>
      </c>
      <c r="D275">
        <v>3</v>
      </c>
      <c r="E275">
        <v>1</v>
      </c>
      <c r="F275" s="3">
        <f>1730.5+(152.6-782.1)+(-4.412775+(-0.38913--1.994355))+0--284.5-0.725474999999959</f>
        <v>1381.966975</v>
      </c>
      <c r="G275" s="3">
        <f>1733.2+(154.3-789.6)+(0.883932+(0.078693-0.402696))+0--217--0.110669999999978</f>
        <v>1315.5705990000001</v>
      </c>
      <c r="H275" s="3">
        <f>1599.1+(167.8-652.7)+(-1.631082+(-0.171156--0.665754))+0--151.5-0.154530000000024</f>
        <v>1264.4089859999997</v>
      </c>
      <c r="I275" s="3">
        <f>1593.5+(181.3-673.5)+(-0.812685+(-0.092463--0.343485))+0--151.3-0.0771629999999847</f>
        <v>1251.961174</v>
      </c>
      <c r="J275" s="3">
        <f>1594.3+(171.6-664)+(1.626186+(0.175032-0.67728))+0--151.8--0.154836000000024</f>
        <v>1254.9787739999999</v>
      </c>
      <c r="K275" s="3">
        <f>1593.2+(151.6-596.5)+(-3.250128+(-0.309264--1.21686))+0--150.8-0.307631999999993</f>
        <v>1296.4498360000002</v>
      </c>
      <c r="L275" s="3">
        <f>1598.7+(160.2-501.1)+(-1.630674+(-0.163404--0.511122))+0--153.8-0.156876000000025</f>
        <v>1410.1601679999999</v>
      </c>
      <c r="M275" s="3">
        <f>1618.2+(160-453.4)+(-0.825282+(-0.0816--0.231234))+0--153.6-0.0783359999999844</f>
        <v>1477.6460160000001</v>
      </c>
      <c r="N275" s="3">
        <f>1635+(151.5-434.8)+(-2.50155+(-0.231795--0.665244))+0--217.6-0.332928000000013</f>
        <v>1566.8989709999998</v>
      </c>
      <c r="O275" s="3">
        <f>1692.4+(170.4-467)+(-1.726248+(-0.173808--0.47634))+0--232-0.236640000000037</f>
        <v>1626.1396440000001</v>
      </c>
      <c r="P275" s="3">
        <f>1694.3+(168.4-446.3)+(-2.592279+(-0.257652--0.682839))+0--233.2-0.356796000000013</f>
        <v>1647.0761120000002</v>
      </c>
      <c r="Q275" s="3">
        <f>1720.3+(155.2-446.7)+(-2.632059+(-0.237456--0.683451))+0--234.5-0.358785000000014</f>
        <v>1660.7551509999998</v>
      </c>
      <c r="R275" s="3">
        <f>1761.3+(132.9-548.5)+(-1.796526+(-0.135558--0.55947))+0--256.7-0.261834000000041</f>
        <v>1600.7655519999996</v>
      </c>
      <c r="S275" s="3">
        <f>1818.4+(150.4-653.4)+(-3.709536+(-0.306816--1.332936))+0--298.3-0.608531999999987</f>
        <v>1610.408052</v>
      </c>
      <c r="T275" s="3">
        <f>1826.5+(124.4-602.9)+(-2.794545+(-0.190332--0.922437))+0--246-0.376380000000014</f>
        <v>1591.5611800000001</v>
      </c>
      <c r="U275" s="3">
        <f>1751.1+(121.5-516)+(-2.679183+(-0.185895--0.78948))+0--232.4-0.355572000000013</f>
        <v>1586.5688300000002</v>
      </c>
      <c r="V275" s="3">
        <f>1786.1+(101.9-495.2)+(-2.732733+(-0.155907--0.757656))+0--232-0.354960000000013</f>
        <v>1622.3140559999999</v>
      </c>
      <c r="W275" s="3">
        <f>2053.3+(107.6-541.9)+(1.047183+(0.054876-0.276369))+0--263.2--0.134231999999973</f>
        <v>1883.1599220000001</v>
      </c>
      <c r="X275" s="3">
        <f>2184.7+(113.4-653.4)+(-6.685182+(-0.347004--1.999404))+0--295.6-0.904536000000034</f>
        <v>1934.3626819999999</v>
      </c>
      <c r="Y275" s="3">
        <f>2200.6+(110.8-733.6)+(-2.244612+(-0.113016--0.748272))+0--295.7-0.301614000000047</f>
        <v>1871.5890299999999</v>
      </c>
      <c r="Z275" s="3">
        <f>2103.7+(127.6-733.5)+(-2.145774+(-0.130152--0.74817))+0--297.5-0.303450000000047</f>
        <v>1793.4687939999997</v>
      </c>
      <c r="AA275" s="3">
        <f>2092.9+(135.6-785.7)+(-4.269516+(-0.276624--1.602828))+0--295.8-0.603431999999987</f>
        <v>1735.0532560000001</v>
      </c>
      <c r="AB275" s="3">
        <f>2098.9+(137-889.4)+(-4.281756+(-0.27948--1.814376))+0--295.9-0.603635999999987</f>
        <v>1639.0495039999998</v>
      </c>
      <c r="AC275" s="3">
        <f>2107.5+(143.1-1039.3)+(-3.224475+(-0.218943--1.590129))+0--298-0.455940000000017</f>
        <v>1506.9907710000002</v>
      </c>
      <c r="AD275">
        <f t="shared" si="4"/>
        <v>37529.304035000001</v>
      </c>
      <c r="AE275" s="3">
        <f>2159.3+(94.3-614.4)+(0+(0-0))+0--293-0</f>
        <v>1932.2000000000003</v>
      </c>
    </row>
    <row r="276" spans="1:31" s="2" customFormat="1" x14ac:dyDescent="0.25">
      <c r="A276">
        <v>89</v>
      </c>
      <c r="B276">
        <v>9</v>
      </c>
      <c r="C276">
        <v>30</v>
      </c>
      <c r="D276">
        <v>4</v>
      </c>
      <c r="E276">
        <v>1</v>
      </c>
      <c r="F276" s="3">
        <f>2116.1+(83.3-1041.1)+(-2.158422+(-0.084966--1.061922))+0--239.2-0.243984000000038</f>
        <v>1396.07455</v>
      </c>
      <c r="G276" s="3">
        <f>1838+(99.3-792.6)+(1.87476+(0.101286-0.808452))+0--170.6--0.174012000000027</f>
        <v>1316.6416059999997</v>
      </c>
      <c r="H276" s="3">
        <f>1660+(138.8-703.2)+(-1.6932+(-0.141576--0.717264))+0--154.5-0.157590000000025</f>
        <v>1248.8248979999998</v>
      </c>
      <c r="I276" s="3">
        <f>1619.4+(143.7-692.8)+(-4.12947+(-0.366435--1.76664))+0--151.7-0.386834999999978</f>
        <v>1218.8839000000003</v>
      </c>
      <c r="J276" s="3">
        <f>1640.6+(129.5-689.6)+(-1.673412+(-0.13209--0.703392))+0--152.3-0.155346000000024</f>
        <v>1231.5425439999999</v>
      </c>
      <c r="K276" s="3">
        <f>1630.7+(97.1-627.8)+(-0.831657+(-0.049521--0.320178))+0--181.3-0.0924629999999816</f>
        <v>1280.6465370000001</v>
      </c>
      <c r="L276" s="3">
        <f>1689.2+(98.1-683.1)+(-3.445968+(-0.200124--1.393524))+0--288.4-0.588335999999987</f>
        <v>1389.759096</v>
      </c>
      <c r="M276" s="3">
        <f>1646.1+(130.4-584.1)+(-3.358044+(-0.266016--1.191564))+0--251.2-0.512447999999989</f>
        <v>1440.6550560000001</v>
      </c>
      <c r="N276" s="3">
        <f>1665.6+(154-599.8)+(-0.849456+(-0.07854--0.305898))+0--302.8-0.154427999999969</f>
        <v>1521.8234739999998</v>
      </c>
      <c r="O276" s="3">
        <f>1771.9+(157.5-629.7)+(-4.518345+(-0.401625--1.605735))+0--302.8-0.772139999999956</f>
        <v>1598.4136249999999</v>
      </c>
      <c r="P276" s="3">
        <f>1819.6+(97.4-650.5)+(-0.927996+(-0.049674--0.331755))+0--300-0.15299999999997</f>
        <v>1565.7010849999999</v>
      </c>
      <c r="Q276" s="3">
        <f>1802.5+(185.2-678.2)+(-2.757825+(-0.283356--1.037646))+0--300-0.459000000000017</f>
        <v>1607.0374649999999</v>
      </c>
      <c r="R276" s="3">
        <f>1782.2+(118.4-628.4)+(-3.635688+(-0.241536--1.281936))+0--252-0.514079999999989</f>
        <v>1521.0906320000001</v>
      </c>
      <c r="S276" s="3">
        <f>1770.9+(117.3-547.8)+(-0.903159+(-0.059823--0.279378))+0--224-0.114239999999977</f>
        <v>1563.6021560000002</v>
      </c>
      <c r="T276" s="3">
        <f>1796.8+(121.5-636.9)+(-3.665472+(-0.24786--1.299276))+0--275.8-0.562631999999988</f>
        <v>1554.0233120000003</v>
      </c>
      <c r="U276" s="3">
        <f>1770+(129.2-625.7)+(-2.7081+(-0.197676--0.957321))+0--288.1-0.440793000000017</f>
        <v>1559.2107520000002</v>
      </c>
      <c r="V276" s="3">
        <f>2052+(110.8-807.8)+(0+(0-0))+0--227.9-0</f>
        <v>1582.9</v>
      </c>
      <c r="W276" s="3">
        <f>2239.4+(119.9-805.7)+(2.284188+(0.122298-0.821814))+0--271.7--0.277134000000043</f>
        <v>1827.1618059999998</v>
      </c>
      <c r="X276" s="3">
        <f>2242+(122-778.5)+(-6.86052+(-0.37332--2.38221))+0--291.5-0.891990000000034</f>
        <v>1871.2563799999998</v>
      </c>
      <c r="Y276" s="3">
        <f>2243.3+(117.6-849)+(-8.008581+(-0.419832--3.03093))+0--195.3-0.697221000000003</f>
        <v>1701.1052960000002</v>
      </c>
      <c r="Z276" s="3">
        <f>2192.3+(109.1-867.9)+(-5.590365+(-0.278205--2.213145))+0--184.5-0.470474999999973</f>
        <v>1613.8741000000002</v>
      </c>
      <c r="AA276" s="3">
        <f>2140.9+(105.4-867.2)+(1.091859+(0.053754-0.442272))+0--164.4--0.0838439999999833</f>
        <v>1544.2871849999999</v>
      </c>
      <c r="AB276" s="3">
        <f>1974.8+(113.9-803.2)+(-3.021444+(-0.174267--1.228896))+0--290.1-0.443853000000017</f>
        <v>1573.1893320000001</v>
      </c>
      <c r="AC276" s="3">
        <f>2013.8+(107.5-961.4)+(-4.108152+(-0.2193--1.961256))+0--296.7-0.605267999999987</f>
        <v>1453.6285360000002</v>
      </c>
      <c r="AD276">
        <f t="shared" si="4"/>
        <v>36181.333322999999</v>
      </c>
      <c r="AE276" s="3">
        <f>2231.3+(138-744.3)+(0+(0-0))+0--291-0</f>
        <v>1916.0000000000002</v>
      </c>
    </row>
    <row r="277" spans="1:31" s="2" customFormat="1" x14ac:dyDescent="0.25">
      <c r="A277">
        <v>89</v>
      </c>
      <c r="B277">
        <v>10</v>
      </c>
      <c r="C277">
        <v>1</v>
      </c>
      <c r="D277">
        <v>5</v>
      </c>
      <c r="E277">
        <v>1</v>
      </c>
      <c r="F277" s="3">
        <f>2065.5+(93.4-1048.3)+(1.053405+(0.047634-0.534633))+0--284--0.144839999999971</f>
        <v>1395.3112459999998</v>
      </c>
      <c r="G277" s="3">
        <f>1997.6+(87-1004.8)+(-3.056328+(-0.13311--1.537344))+0--224.5-0.343485000000013</f>
        <v>1302.3044209999998</v>
      </c>
      <c r="H277" s="3">
        <f>1862.6+(127.4-904.2)+(-1.899852+(-0.129948--0.922284))+0--171.9-0.175338000000027</f>
        <v>1256.4171459999998</v>
      </c>
      <c r="I277" s="3">
        <f>1801.4+(130.6-911.4)+(-0.918714+(-0.066606--0.464814))+0--227.8-0.116177999999977</f>
        <v>1247.7633160000003</v>
      </c>
      <c r="J277" s="3">
        <f>1804.7+(117.7-897.3)+(-0.920397+(-0.060027--0.457623))+0--228.8-0.116687999999977</f>
        <v>1253.260511</v>
      </c>
      <c r="K277" s="3">
        <f>1812.1+(109.1-853.1)+(0+(0-0))+0--229.6-0</f>
        <v>1297.6999999999998</v>
      </c>
      <c r="L277" s="3">
        <f>1835.8+(120.2-779)+(-4.68129+(-0.30651--1.98645))+0--213.6-0.544679999999969</f>
        <v>1387.0539699999999</v>
      </c>
      <c r="M277" s="3">
        <f>1888.8+(157.7-756.5)+(-0.963288+(-0.080427--0.385815))+0--152.6-0.0778259999999845</f>
        <v>1441.864274</v>
      </c>
      <c r="N277" s="3">
        <f>1943.4+(145-769.3)+(0.991134+(0.07395-0.392343))+0--192--0.0979199999999805</f>
        <v>1511.8706610000002</v>
      </c>
      <c r="O277" s="3">
        <f>1932.4+(151.1-729.1)+(0.985524+(0.077061-0.371841))+0--242--0.123419999999975</f>
        <v>1597.214164</v>
      </c>
      <c r="P277" s="3">
        <f>1891.9+(150.8-690.5)+(-2.894607+(-0.230724--1.056465))+0--293.1-0.448443000000017</f>
        <v>1642.7826910000001</v>
      </c>
      <c r="Q277" s="3">
        <f>1883.1+(156.4-680.6)+(-1.920762+(-0.159528--0.694212))+0--291-0.296820000000046</f>
        <v>1648.2171019999998</v>
      </c>
      <c r="R277" s="3">
        <f>1829.2+(127-676.2)+(-1.865784+(-0.12954--0.689724))+0--287.4-0.293148000000046</f>
        <v>1565.801252</v>
      </c>
      <c r="S277" s="3">
        <f>1854.1+(126-598.8)+(-1.891182+(-0.12852--0.610776))+0--170.6-0.174012000000027</f>
        <v>1550.3170619999999</v>
      </c>
      <c r="T277" s="3">
        <f>1866+(127-605.7)+(4.7583+(0.32385-1.544535))+0--154.4--0.393719999999978</f>
        <v>1545.631335</v>
      </c>
      <c r="U277" s="3">
        <f>1956.7+(119.8-680.3)+(0.997917+(0.061098-0.346953))+0--153.8--0.0784379999999844</f>
        <v>1550.7905000000001</v>
      </c>
      <c r="V277" s="3">
        <f>2025.1+(117.3-714.6)+(-3.098403+(-0.179469--1.093338))+0--153.5-0.234855000000009</f>
        <v>1578.8806109999998</v>
      </c>
      <c r="W277" s="3">
        <f>2227.3+(126-796)+(-1.135923+(-0.06426--0.40596))+0--263.4-0.134333999999973</f>
        <v>1819.7714429999999</v>
      </c>
      <c r="X277" s="3">
        <f>2265.8+(126.7-813.4)+(-4.622232+(-0.258468--1.659336))+0--289.4-0.590375999999987</f>
        <v>1864.6882600000006</v>
      </c>
      <c r="Y277" s="3">
        <f>2136.7+(117.5-741.1)+(-5.448585+(-0.299625--1.889805))+0--291-0.742049999999958</f>
        <v>1799.4995449999999</v>
      </c>
      <c r="Z277" s="3">
        <f>1968.4+(107.4-644.7)+(-3.011652+(-0.164322--0.986391))+0--291.7-0.446301000000017</f>
        <v>1720.1641159999999</v>
      </c>
      <c r="AA277" s="3">
        <f>1976.7+(123.7-716.7)+(0+(0-0))+0--293-0</f>
        <v>1676.7</v>
      </c>
      <c r="AB277" s="3">
        <f>1958.8+(130.8-799.3)+(-4.99494+(-0.33354--2.038215))+0--294.1-0.749954999999957</f>
        <v>1580.35978</v>
      </c>
      <c r="AC277" s="3">
        <f>1966.5+(129.2-925.7)+(-3.008745+(-0.197676--1.416321))+0--296.4-0.453492000000017</f>
        <v>1464.1564079999998</v>
      </c>
      <c r="AD277">
        <f t="shared" si="4"/>
        <v>36698.519813999999</v>
      </c>
      <c r="AE277" s="3">
        <f>2292.3+(88.8-718.6)+(0+(0-0))+0--288-0</f>
        <v>1950.5</v>
      </c>
    </row>
    <row r="278" spans="1:31" s="2" customFormat="1" x14ac:dyDescent="0.25">
      <c r="A278">
        <v>89</v>
      </c>
      <c r="B278">
        <v>10</v>
      </c>
      <c r="C278">
        <v>2</v>
      </c>
      <c r="D278">
        <v>6</v>
      </c>
      <c r="E278">
        <v>1</v>
      </c>
      <c r="F278" s="3">
        <f>1875.3+(173.1-902.1)+(-4.782015+(-0.441405--2.300355))+0--227.8-0.580889999999967</f>
        <v>1370.596045</v>
      </c>
      <c r="G278" s="3">
        <f>1874.9+(195.3-923.8)+(0+(0-0))+0--154.1-0</f>
        <v>1300.5</v>
      </c>
      <c r="H278" s="3">
        <f>1858.5+(140.4-877.3)+(-4.739175+(-0.35802--2.237115))+0--154-0.392699999999978</f>
        <v>1272.3472200000001</v>
      </c>
      <c r="I278" s="3">
        <f>1804+(92.4-790.4)+(0.92004+(0.047124-0.403104))+0--154.1--0.0785909999999844</f>
        <v>1260.7426509999998</v>
      </c>
      <c r="J278" s="3">
        <f>1756.9+(90.7-744)+(2.688057+(0.138771-1.13832))+0--154--0.235620000000009</f>
        <v>1259.524128</v>
      </c>
      <c r="K278" s="3">
        <f>1861.5+(80.3-795.5)+(3.79746+(0.163812-1.62282))+0--154.1--0.314363999999993</f>
        <v>1303.0528159999999</v>
      </c>
      <c r="L278" s="3">
        <f>1897+(80.8-836.4)+(4.83735+(0.20604-2.13282))+0--224.8--0.573239999999967</f>
        <v>1369.68381</v>
      </c>
      <c r="M278" s="3">
        <f>1844+(95.3-808.1)+(-0.94044+(-0.048603--0.412131))+0--307.7-0.156926999999969</f>
        <v>1438.1661609999999</v>
      </c>
      <c r="N278" s="3">
        <f>1847.1+(114.5-733.6)+(-1.884042+(-0.11679--0.748272))+0--307.5-0.313650000000049</f>
        <v>1533.93379</v>
      </c>
      <c r="O278" s="3">
        <f>1869.2+(120.1-673.8)+(-0.953292+(-0.061251--0.343638))+0--304.5-0.155294999999969</f>
        <v>1619.1738</v>
      </c>
      <c r="P278" s="3">
        <f>1861.8+(124-630.6)+(1.899036+(0.12648-0.643212))+0--297.6--0.303552000000047</f>
        <v>1654.485856</v>
      </c>
      <c r="Q278" s="3">
        <f>1807.4+(121-585.2)+(-0.921774+(-0.06171--0.298452))+0--295.3-0.15060299999997</f>
        <v>1637.6643649999999</v>
      </c>
      <c r="R278" s="3">
        <f>1773.3+(105.4-530.7)+(-2.713149+(-0.161262--0.811971))+0--295.2-0.451656000000017</f>
        <v>1640.6859040000002</v>
      </c>
      <c r="S278" s="3">
        <f>1775.9+(106.1-509.4)+(-1.811418+(-0.108222--0.519588))+0--245.2-0.250104000000039</f>
        <v>1616.1498440000003</v>
      </c>
      <c r="T278" s="3">
        <f>1841.2+(101.1-565.1)+(-0.939012+(-0.051561--0.288201))+0--222.8-0.113627999999977</f>
        <v>1599.184</v>
      </c>
      <c r="U278" s="3">
        <f>1797.2+(98.6-533.1)+(1.833144+(0.100572-0.543762))+0--224.4--0.228888000000036</f>
        <v>1588.7188420000002</v>
      </c>
      <c r="V278" s="3">
        <f>1787.4+(98-497.6)+(-2.734722+(-0.14994--0.761328))+0--226.4-0.346392000000013</f>
        <v>1611.7302740000005</v>
      </c>
      <c r="W278" s="3">
        <f>2016.9+(102.7-579)+(-3.085857+(-0.157131--0.88587))+0--289-0.442170000000017</f>
        <v>1826.8007120000002</v>
      </c>
      <c r="X278" s="3">
        <f>2115.9+(103.2-627.5)+(-2.158218+(-0.105264--0.64005))+0--296.2-0.302124000000047</f>
        <v>1885.874444</v>
      </c>
      <c r="Y278" s="3">
        <f>2150.8+(100.5-709.8)+(-1.096908+(-0.051255--0.361998))+0--296.6-0.15126599999997</f>
        <v>1837.1625690000003</v>
      </c>
      <c r="Z278" s="3">
        <f>2045.7+(97.1-626.5)+(-1.043307+(-0.049521--0.319515))+0--245.4-0.125153999999975</f>
        <v>1760.8015330000003</v>
      </c>
      <c r="AA278" s="3">
        <f>1984.3+(99.5-590.2)+(-6.071958+(-0.30447--1.806012))+0--223.3-0.683298000000026</f>
        <v>1711.6462859999999</v>
      </c>
      <c r="AB278" s="3">
        <f>1948.3+(101.9-647.3)+(-2.980899+(-0.155907--0.990369))+0--223.6-0.342108000000013</f>
        <v>1624.0114549999998</v>
      </c>
      <c r="AC278" s="3">
        <f>1934.5+(95.1-733.1)+(-2.959785+(-0.145503--1.121643))+0--223.4-0.341802000000013</f>
        <v>1517.5745530000002</v>
      </c>
      <c r="AD278">
        <f t="shared" si="4"/>
        <v>37240.211058000008</v>
      </c>
      <c r="AE278" s="3">
        <f>2091.3+(87.8-648)+(0+(0-0))+0--297-0</f>
        <v>1828.1000000000001</v>
      </c>
    </row>
    <row r="279" spans="1:31" s="2" customFormat="1" x14ac:dyDescent="0.25">
      <c r="A279">
        <v>89</v>
      </c>
      <c r="B279">
        <v>10</v>
      </c>
      <c r="C279">
        <v>3</v>
      </c>
      <c r="D279">
        <v>7</v>
      </c>
      <c r="E279">
        <v>1</v>
      </c>
      <c r="F279" s="3">
        <f>1943.1+(95.7-900.8)+(0+(0-0))+0--224.7-0</f>
        <v>1362.7</v>
      </c>
      <c r="G279" s="3">
        <f>1821.9+(101.3-828.7)+(-4.645845+(-0.258315--2.113185))+0--204.7-0.52198499999997</f>
        <v>1295.8870400000003</v>
      </c>
      <c r="H279" s="3">
        <f>1691.8+(95.9-681.1)+(1.725636+(0.097818-0.694722))+0--149--0.151980000000024</f>
        <v>1256.8807119999999</v>
      </c>
      <c r="I279" s="3">
        <f>1637.8+(98-650.1)+(0+(0-0))+0--149.1-0</f>
        <v>1234.7999999999997</v>
      </c>
      <c r="J279" s="3">
        <f>1679.8+(95.1-683)+(0+(0-0))+0--149.7-0</f>
        <v>1241.6000000000001</v>
      </c>
      <c r="K279" s="3">
        <f>1678.3+(93-654.9)+(-0.855933+(-0.04743--0.333999))+0--149.6-0.0762959999999848</f>
        <v>1265.3543400000001</v>
      </c>
      <c r="L279" s="3">
        <f>1677.7+(95.7-603.9)+(-0.855627+(-0.048807--0.307989))+0--148.2-0.075581999999985</f>
        <v>1317.0279730000002</v>
      </c>
      <c r="M279" s="3">
        <f>1689.9+(88.7-623.9)+(-4.309245+(-0.226185--1.590945))+0--171.3-0.436814999999975</f>
        <v>1322.6187000000002</v>
      </c>
      <c r="N279" s="3">
        <f>1699.9+(93.2-595.1)+(1.733898+(0.095064-0.607002))+0--210.5--0.214710000000034</f>
        <v>1409.93667</v>
      </c>
      <c r="O279" s="3">
        <f>1733.2+(99.8-555.3)+(0.883932+(0.050898-0.283203))+0--221.6--0.113015999999978</f>
        <v>1500.0646429999999</v>
      </c>
      <c r="P279" s="3">
        <f>1642.1+(114.5-480)+(-5.024826+(-0.35037--1.4688))+0--281.6-0.861696000000033</f>
        <v>1553.431908</v>
      </c>
      <c r="Q279" s="3">
        <f>1689.4+(110-518.2)+(-1.723188+(-0.1122--0.528564))+0--289.2-0.294984000000046</f>
        <v>1568.798192</v>
      </c>
      <c r="R279" s="3">
        <f>1763.4+(104.8-650.8)+(-1.798668+(-0.106896--0.663816))+0--288.9-0.294678000000046</f>
        <v>1504.7635740000003</v>
      </c>
      <c r="S279" s="3">
        <f>1670.8+(104.5-520.8)+(-3.408432+(-0.21318--1.062432))+0--232.4-0.47409599999999</f>
        <v>1483.8667240000002</v>
      </c>
      <c r="T279" s="3">
        <f>1637.3+(111.3-471.5)+(-4.175115+(-0.283815--1.202325))+0--181.8-0.463589999999974</f>
        <v>1455.1798049999998</v>
      </c>
      <c r="U279" s="3">
        <f>1651.9+(107.4-463.4)+(0+(0-0))+0--148.2-0</f>
        <v>1444.1000000000001</v>
      </c>
      <c r="V279" s="3">
        <f>1652.9+(101.7-416.9)+(-0.842979+(-0.051867--0.212619))+0--148.2-0.075581999999985</f>
        <v>1485.1421910000001</v>
      </c>
      <c r="W279" s="3">
        <f>1734+(128.1-352.9)+(-0.88434+(-0.065331--0.179979))+0--154.3-0.0786929999999844</f>
        <v>1662.651615</v>
      </c>
      <c r="X279" s="3">
        <f>1858.5+(117.2-470.4)+(-4.739175+(-0.29886--1.19952))+0--218-0.555899999999968</f>
        <v>1718.905585</v>
      </c>
      <c r="Y279" s="3">
        <f>1896.3+(115-549.2)+(0.967113+(0.05865-0.280092))+0--219.4--0.111893999999978</f>
        <v>1682.3575649999998</v>
      </c>
      <c r="Z279" s="3">
        <f>1898.9+(111.8-603.1)+(0.968439+(0.057018-0.307581))+0--220.5--0.112454999999978</f>
        <v>1628.930331</v>
      </c>
      <c r="AA279" s="3">
        <f>1899.2+(115.9-632.9)+(0+(0-0))+0--221.6-0</f>
        <v>1603.8</v>
      </c>
      <c r="AB279" s="3">
        <f>1882+(110.1-692.8)+(-2.87946+(-0.168453--1.059984))+0--222.6-0.340578000000013</f>
        <v>1519.5714930000001</v>
      </c>
      <c r="AC279" s="3">
        <f>1895.5+(101.6-806.4)+(-1.93341+(-0.103632--0.822528))+0--222.4-0.226848000000035</f>
        <v>1411.6586380000001</v>
      </c>
      <c r="AD279">
        <f t="shared" si="4"/>
        <v>34930.027698999998</v>
      </c>
      <c r="AE279" s="3">
        <f>1857.3+(94.8-374)+(0+(0-0))+0--148-0</f>
        <v>1726.1</v>
      </c>
    </row>
    <row r="280" spans="1:31" s="2" customFormat="1" x14ac:dyDescent="0.25">
      <c r="A280">
        <v>89</v>
      </c>
      <c r="B280">
        <v>10</v>
      </c>
      <c r="C280">
        <v>4</v>
      </c>
      <c r="D280">
        <v>1</v>
      </c>
      <c r="E280">
        <v>1</v>
      </c>
      <c r="F280" s="3">
        <f>1859.5+(95.3-791.5)+(-3.79338+(-0.194412--1.61466))+0--160.4-0.327215999999993</f>
        <v>1320.9996520000002</v>
      </c>
      <c r="G280" s="3">
        <f>1734.9+(102.1-680.2)+(0+(0-0))+0--90.4-0</f>
        <v>1247.2000000000003</v>
      </c>
      <c r="H280" s="3">
        <f>1672+(118-604.8)+(-2.55816+(-0.18054--0.925344))+0--33.6-0.0514080000000019</f>
        <v>1216.9352359999998</v>
      </c>
      <c r="I280" s="3">
        <f>1586.7+(125.9-542.9)+(2.427651+(0.192627-0.830637))+0--23.5--0.0359550000000014</f>
        <v>1195.0255960000002</v>
      </c>
      <c r="J280" s="3">
        <f>1566+(123.8-518)+(-0.79866+(-0.063138--0.26418))+0--23.1-0.0117809999999977</f>
        <v>1194.2906009999999</v>
      </c>
      <c r="K280" s="3">
        <f>1586.8+(102.8-474.7)+(3.237072+(0.209712-0.968388))+0--22.7--0.046307999999999</f>
        <v>1240.1247040000001</v>
      </c>
      <c r="L280" s="3">
        <f>1809.6+(83.7-628.6)+(0.922896+(0.042687-0.320586))+0--82.9--0.0422789999999916</f>
        <v>1348.287276</v>
      </c>
      <c r="M280" s="3">
        <f>1844.4+(94-606.5)+(-2.821932+(-0.14382--0.927945))+0--91.9-0.140607000000005</f>
        <v>1421.6215860000002</v>
      </c>
      <c r="N280" s="3">
        <f>1866.9+(109.6-520.5)+(-2.856357+(-0.167688--0.796365))+0--91.5-0.139995000000005</f>
        <v>1545.132325</v>
      </c>
      <c r="O280" s="3">
        <f>1890+(116.2-491.3)+(0.9639+(0.059262-0.250563))+0--90.6--0.0462059999999908</f>
        <v>1606.3188049999999</v>
      </c>
      <c r="P280" s="3">
        <f>1873.6+(119.3-439.1)+(-2.866608+(-0.182529--0.671823))+0--88.1-0.134793000000005</f>
        <v>1639.3878929999998</v>
      </c>
      <c r="Q280" s="3">
        <f>1920.9+(112.7-493.9)+(-3.918636+(-0.229908--1.007556))+0--86.7-0.176867999999996</f>
        <v>1623.082144</v>
      </c>
      <c r="R280" s="3">
        <f>1831.2+(95.6-477.8)+(-5.603472+(-0.292536--1.462068))+0--86.7-0.26530200000001</f>
        <v>1531.0007580000001</v>
      </c>
      <c r="S280" s="3">
        <f>1774.9+(102.5-432.9)+(-2.715597+(-0.156825--0.662337))+0--86.3-0.132039000000005</f>
        <v>1528.4578759999999</v>
      </c>
      <c r="T280" s="3">
        <f>1770.1+(105.7-425.5)+(-3.611004+(-0.215628--0.86802))+0--85.6-0.174623999999996</f>
        <v>1532.766764</v>
      </c>
      <c r="U280" s="3">
        <f>1774.2+(102.9-436.7)+(0+(0-0))+0--86.6-0</f>
        <v>1527</v>
      </c>
      <c r="V280" s="3">
        <f>1826.3+(94.4-447.1)+(-5.588478+(-0.288864--1.368126))+0--85.4-0.26132400000001</f>
        <v>1554.22946</v>
      </c>
      <c r="W280" s="3">
        <f>2043.3+(88.4-435)+(-2.084166+(-0.090168--0.4437))+0--86.7-0.0884340000000138</f>
        <v>1781.5809319999998</v>
      </c>
      <c r="X280" s="3">
        <f>2035.1+(100.2-396.1)+(-4.151604+(-0.204408--0.808044))+0--87.6-0.178703999999996</f>
        <v>1823.0733279999997</v>
      </c>
      <c r="Y280" s="3">
        <f>1920.7+(109.5-351.3)+(-0.979557+(-0.055845--0.179163))+0--87.1-0.0444209999999912</f>
        <v>1765.09934</v>
      </c>
      <c r="Z280" s="3">
        <f>1805.3+(116.7-322.1)+(-2.762109+(-0.178551--0.492813))+0--86.5-0.132345000000005</f>
        <v>1683.819808</v>
      </c>
      <c r="AA280" s="3">
        <f>1817.6+(120.4-368.1)+(-3.707904+(-0.245616--0.750924))+0--87.5-0.178499999999996</f>
        <v>1654.0189039999998</v>
      </c>
      <c r="AB280" s="3">
        <f>1809.7+(135.8-493.6)+(-2.768841+(-0.207774--0.755208))+0--74.9-0.114597000000004</f>
        <v>1524.4639960000002</v>
      </c>
      <c r="AC280" s="3">
        <f>1801.4+(170.7-605.9)+(-1.837428+(-0.174114--0.618018))+0--24.8-0.025296000000004</f>
        <v>1389.5811799999999</v>
      </c>
      <c r="AD280">
        <f t="shared" si="4"/>
        <v>35893.498163999997</v>
      </c>
      <c r="AE280" s="3">
        <f>2065.3+(105.5-406.8)+(0+(0-0))+0--86-0</f>
        <v>1850.0000000000002</v>
      </c>
    </row>
    <row r="281" spans="1:31" s="2" customFormat="1" x14ac:dyDescent="0.25">
      <c r="A281">
        <v>89</v>
      </c>
      <c r="B281">
        <v>10</v>
      </c>
      <c r="C281">
        <v>5</v>
      </c>
      <c r="D281">
        <v>2</v>
      </c>
      <c r="E281">
        <v>1</v>
      </c>
      <c r="F281" s="3">
        <f>1736+(193.8-662.6)+(-0.88536+(-0.098838--0.337926))+0--24.1-0.0122909999999976</f>
        <v>1290.641437</v>
      </c>
      <c r="G281" s="3">
        <f>1643.6+(200-625.8)+(-0.838236+(-0.102--0.319158))+0--23.2-0.0118319999999976</f>
        <v>1240.3670900000002</v>
      </c>
      <c r="H281" s="3">
        <f>1662.5+(198.9-650.5)+(-2.543625+(-0.304317--0.995265))+0--23.9-0.0365670000000014</f>
        <v>1232.910756</v>
      </c>
      <c r="I281" s="3">
        <f>1671.9+(213.4-679.8)+(-1.705338+(-0.217668--0.693396))+0--24-0.0244800000000038</f>
        <v>1228.2459099999999</v>
      </c>
      <c r="J281" s="3">
        <f>1671.9+(203.2-683.7)+(2.558007+(0.310896-1.046061))+0--24--0.0367200000000014</f>
        <v>1217.2595620000002</v>
      </c>
      <c r="K281" s="3">
        <f>1679+(162.5-622.8)+(1.71258+(0.16575-0.635256))+0--24--0.0244800000000038</f>
        <v>1243.9675540000001</v>
      </c>
      <c r="L281" s="3">
        <f>1776.2+(118.7-549.6)+(-0.905862+(-0.060537--0.280296))+0--23.9-0.0121889999999976</f>
        <v>1368.501708</v>
      </c>
      <c r="M281" s="3">
        <f>1788+(127.1-489.7)+(-1.82376+(-0.129642--0.499494))+0--31.6-0.032232000000005</f>
        <v>1455.51386</v>
      </c>
      <c r="N281" s="3">
        <f>1907.2+(127-528.6)+(-4.86336+(-0.32385--1.34793))+0--71.2-0.18155999999999</f>
        <v>1572.77916</v>
      </c>
      <c r="O281" s="3">
        <f>1929.4+(106.1-558.4)+(-2.951982+(-0.162333--0.854352))+0--86-0.131580000000005</f>
        <v>1560.7084570000002</v>
      </c>
      <c r="P281" s="3">
        <f>1951.7+(120.2-532.2)+(0.995367+(0.061302-0.271422))+0--86.5--0.0441149999999912</f>
        <v>1627.029362</v>
      </c>
      <c r="Q281" s="3">
        <f>1937.2+(121.2-512.2)+(-2.963916+(-0.185436--0.783666))+0--87.6-0.134028000000005</f>
        <v>1631.3002859999999</v>
      </c>
      <c r="R281" s="3">
        <f>1919.8+(115.1-541.1)+(-2.937294+(-0.176103--0.827883))+0--87.5-0.133875000000005</f>
        <v>1578.880611</v>
      </c>
      <c r="S281" s="3">
        <f>1864.5+(132.4-518.6)+(2.852685+(0.202572-0.793458))+0--87.5--0.133875000000005</f>
        <v>1568.1956740000001</v>
      </c>
      <c r="T281" s="3">
        <f>1856.6+(116.1-512.7)+(-3.787464+(-0.236844--1.045908))+0--88.1-0.179723999999996</f>
        <v>1544.9418759999999</v>
      </c>
      <c r="U281" s="3">
        <f>1850.8+(117.8-539.9)+(0+(0-0))+0--95.5-0</f>
        <v>1524.2</v>
      </c>
      <c r="V281" s="3">
        <f>1893.4+(112.3-647.3)+(-1.931268+(-0.114546--0.660246))+0--231.5-0.236130000000037</f>
        <v>1588.2783020000002</v>
      </c>
      <c r="W281" s="3">
        <f>1957.1+(118.5-500.1)+(-1.996242+(-0.12087--0.510102))+0--234.3-0.238986000000037</f>
        <v>1807.9540039999999</v>
      </c>
      <c r="X281" s="3">
        <f>1963.5+(121.8-470.5)+(-6.00831+(-0.372708--1.43973))+0--234.4-0.717264000000027</f>
        <v>1843.5414479999999</v>
      </c>
      <c r="Y281" s="3">
        <f>1916.7+(120.4-480.9)+(0.977517+(0.061404-0.245259))+0--235.1--0.119900999999976</f>
        <v>1792.213563</v>
      </c>
      <c r="Z281" s="3">
        <f>1862.6+(121.6-506.9)+(-2.849778+(-0.186048--0.775557))+0--236.2-0.361386000000014</f>
        <v>1710.8783449999999</v>
      </c>
      <c r="AA281" s="3">
        <f>1834.3+(124.8-521.7)+(-3.741972+(-0.254592--1.064268))+0--237.5-0.48449999999999</f>
        <v>1671.4832039999999</v>
      </c>
      <c r="AB281" s="3">
        <f>1854.8+(117.1-632.5)+(-0.945948+(-0.059721--0.322575))+0--238-0.121379999999976</f>
        <v>1576.5955260000001</v>
      </c>
      <c r="AC281" s="3">
        <f>1778.1+(123.6-678.4)+(-8.161479+(-0.567324--3.113856))+0--190.9-0.876231000000033</f>
        <v>1407.7088220000001</v>
      </c>
      <c r="AD281">
        <f t="shared" si="4"/>
        <v>36284.096516999998</v>
      </c>
      <c r="AE281" s="3">
        <f>1941+(123-448.4)+(0+(0-0))+0--235-0</f>
        <v>1850.6</v>
      </c>
    </row>
    <row r="282" spans="1:31" s="2" customFormat="1" x14ac:dyDescent="0.25">
      <c r="A282">
        <v>89</v>
      </c>
      <c r="B282">
        <v>10</v>
      </c>
      <c r="C282">
        <v>6</v>
      </c>
      <c r="D282">
        <v>3</v>
      </c>
      <c r="E282">
        <v>1</v>
      </c>
      <c r="F282" s="3">
        <f>1736.1+(74.9-623.4)+(-3.541644+(-0.152796--1.271736))+0--93-0.189719999999996</f>
        <v>1277.9875759999998</v>
      </c>
      <c r="G282" s="3">
        <f>1739.6+(36.6-657.5)+(-0.887196+(-0.018666--0.335325))+0--93-0.0474299999999906</f>
        <v>1211.0820329999997</v>
      </c>
      <c r="H282" s="3">
        <f>1624.9+(91.7-572.5)+(-1.657398+(-0.093534--0.58395))+0--94-0.095880000000015</f>
        <v>1236.8371380000001</v>
      </c>
      <c r="I282" s="3">
        <f>1397.5+(126.1-391.4)+(0.712725+(0.064311-0.199614))+0--94--0.0479399999999905</f>
        <v>1226.825362</v>
      </c>
      <c r="J282" s="3">
        <f>1216.5+(154.2-244.6)+(-1.861245+(-0.235926--0.374238))+0--94-0.143820000000005</f>
        <v>1218.2332469999999</v>
      </c>
      <c r="K282" s="3">
        <f>1233.4+(128.9-195)+(1.887102+(0.197217-0.29835))+0--94--0.143820000000005</f>
        <v>1263.2297890000002</v>
      </c>
      <c r="L282" s="3">
        <f>1235.2+(180.4-155.8)+(-0.629952+(-0.092004--0.079458))+0--83.5-0.0425849999999915</f>
        <v>1342.6149170000001</v>
      </c>
      <c r="M282" s="3">
        <f>1302.1+(190.7-172.1)+(1.328142+(0.194514-0.175542))+0--89.8--0.0915960000000143</f>
        <v>1411.9387099999997</v>
      </c>
      <c r="N282" s="3">
        <f>1375.7+(223.8-202.3)+(0+(0-0))+0--90.3-0</f>
        <v>1487.5</v>
      </c>
      <c r="O282" s="3">
        <f>1519.6+(186.1-297.5)+(-2.324988+(-0.284733--0.455175))+0--157.8-0.241434000000009</f>
        <v>1563.6040199999998</v>
      </c>
      <c r="P282" s="3">
        <f>1567.6+(186.7-306.2)+(-2.398428+(-0.285651--0.468486))+0--167.5-0.25627500000001</f>
        <v>1613.1281320000001</v>
      </c>
      <c r="Q282" s="3">
        <f>1489.1+(168-229.5)+(-0.759441+(-0.08568--0.117045))+0--227.1-0.115820999999977</f>
        <v>1653.8561029999998</v>
      </c>
      <c r="R282" s="3">
        <f>1358+(175.3-195.4)+(-2.07774+(-0.268209--0.298962))+0--226.8-0.347004000000013</f>
        <v>1562.3060090000001</v>
      </c>
      <c r="S282" s="3">
        <f>1349.5+(191.9-204.1)+(-2.064735+(-0.293607--0.312273))+0--229-0.350370000000013</f>
        <v>1563.9035609999999</v>
      </c>
      <c r="T282" s="3">
        <f>1366.7+(202.8-253.1)+(-0.697017+(-0.103428--0.129081))+0--231-0.117809999999977</f>
        <v>1546.6108260000001</v>
      </c>
      <c r="U282" s="3">
        <f>1401.9+(173.2-274.2)+(2.144907+(0.264996-0.419526))+0--230.5--0.352665000000013</f>
        <v>1533.7430420000003</v>
      </c>
      <c r="V282" s="3">
        <f>1435.6+(153.8-251.7)+(-2.928624+(-0.313752--0.513468))+0--231.5-0.47225999999999</f>
        <v>1565.9988319999998</v>
      </c>
      <c r="W282" s="3">
        <f>1634.1+(194.3-268)+(-2.500173+(-0.297279--0.41004))+0--232.1-0.355113000000013</f>
        <v>1789.7574749999997</v>
      </c>
      <c r="X282" s="3">
        <f>1663.4+(218.8-268.4)+(-0.848334+(-0.111588--0.136884))+0--233.7-0.119186999999976</f>
        <v>1846.5577750000002</v>
      </c>
      <c r="Y282" s="3">
        <f>1618.6+(189-254.5)+(-0.825486+(-0.09639--0.129795))+0--235-0.119849999999976</f>
        <v>1787.1880689999998</v>
      </c>
      <c r="Z282" s="3">
        <f>1574.4+(139.6-235.2)+(-1.605888+(-0.142392--0.239904))+0--234.8-0.239496000000037</f>
        <v>1711.852128</v>
      </c>
      <c r="AA282" s="3">
        <f>1547.1+(139.3-262.5)+(-0.789021+(-0.071043--0.133875))+0--236.7-0.120716999999976</f>
        <v>1659.7530939999999</v>
      </c>
      <c r="AB282" s="3">
        <f>1552+(128.6-352.3)+(-1.58304+(-0.131172--0.359346))+0--237.6-0.242352000000038</f>
        <v>1564.302782</v>
      </c>
      <c r="AC282" s="3">
        <f>1543.5+(103.7-433.7)+(-1.57437+(-0.105774--0.442374))+0--236.9-0.241638000000038</f>
        <v>1448.9205920000002</v>
      </c>
      <c r="AD282">
        <f t="shared" si="4"/>
        <v>36087.731211999999</v>
      </c>
      <c r="AE282" s="3">
        <f>1726.3+(207.5-289.1)+(0+(0-0))+0--232-0</f>
        <v>1876.6999999999998</v>
      </c>
    </row>
    <row r="283" spans="1:31" s="2" customFormat="1" x14ac:dyDescent="0.25">
      <c r="A283">
        <v>89</v>
      </c>
      <c r="B283">
        <v>10</v>
      </c>
      <c r="C283">
        <v>7</v>
      </c>
      <c r="D283">
        <v>4</v>
      </c>
      <c r="E283">
        <v>1</v>
      </c>
      <c r="F283" s="3">
        <f>1517.6+(86.6-437.5)+(-3.86988+(-0.22083--1.115625))+0--238.7-0.608684999999965</f>
        <v>1401.8162299999999</v>
      </c>
      <c r="G283" s="3">
        <f>1533.1+(89.1-530.1)+(0+(0-0))+0--235.6-0</f>
        <v>1327.6999999999998</v>
      </c>
      <c r="H283" s="3">
        <f>1544.6+(87.8-541.9)+(-1.575492+(-0.089556--0.552738))+0--212.4-0.216648000000034</f>
        <v>1301.571042</v>
      </c>
      <c r="I283" s="3">
        <f>1566.3+(80.5-526.9)+(0+(0-0))+0--159.6-0</f>
        <v>1279.5</v>
      </c>
      <c r="J283" s="3">
        <f>1591.3+(77.3-545)+(0.811563+(0.039423-0.27795))+0--163--0.0831299999999835</f>
        <v>1287.2561659999999</v>
      </c>
      <c r="K283" s="3">
        <f>1595.1+(71.9-507.9)+(0+(0-0))+0--162.3-0</f>
        <v>1321.3999999999999</v>
      </c>
      <c r="L283" s="3">
        <f>1592.3+(74.2-437.3)+(-1.624146+(-0.075684--0.446046))+0--141.7-0.144534000000023</f>
        <v>1369.5016819999998</v>
      </c>
      <c r="M283" s="3">
        <f>1592.5+(107.6-359.1)+(-0.812175+(-0.054876--0.183141))+0--85.6-0.0436559999999913</f>
        <v>1425.8724339999999</v>
      </c>
      <c r="N283" s="3">
        <f>1642.9+(108.4-411.2)+(5.865153+(0.386988-1.467984))+0--150.3--0.536571000000002</f>
        <v>1495.7207280000002</v>
      </c>
      <c r="O283" s="3">
        <f>1746.7+(104.7-488.3)+(0+(0-0))+0--228.9-0</f>
        <v>1592</v>
      </c>
      <c r="P283" s="3">
        <f>1881.7+(89-536)+(-1.919334+(-0.09078--0.54672))+0--229.5-0.234090000000037</f>
        <v>1662.502516</v>
      </c>
      <c r="Q283" s="3">
        <f>1885.7+(91.2-546.1)+(-1.923414+(-0.093024--0.557022))+0--229-0.233580000000037</f>
        <v>1658.107004</v>
      </c>
      <c r="R283" s="3">
        <f>1868.5+(83.9-606.3)+(-2.858805+(-0.128367--0.927639))+0--229-0.350370000000013</f>
        <v>1572.6900969999997</v>
      </c>
      <c r="S283" s="3">
        <f>1864.1+(110.4-635)+(-3.802764+(-0.225216--1.2954))+0--229.8-0.46879199999999</f>
        <v>1566.098628</v>
      </c>
      <c r="T283" s="3">
        <f>1764+(164.9-592.8)+(2.69892+(0.252297-0.906984))+0--230.7--0.352971000000013</f>
        <v>1569.1972040000001</v>
      </c>
      <c r="U283" s="3">
        <f>1710.1+(170.2-542.5)+(-3.488604+(-0.347208--1.1067))+0--231.2-0.47164799999999</f>
        <v>1565.7992400000001</v>
      </c>
      <c r="V283" s="3">
        <f>1650.5+(136.7-440.4)+(-1.68351+(-0.139434--0.449208))+0--231.7-0.236334000000037</f>
        <v>1576.88993</v>
      </c>
      <c r="W283" s="3">
        <f>1741.6+(103-323.5)+(-0.888216+(-0.05253--0.164985))+0--232.8-0.118727999999976</f>
        <v>1753.0055109999998</v>
      </c>
      <c r="X283" s="3">
        <f>1766.3+(106.1-280.9)+(-2.702439+(-0.162333--0.429777))+0--233.7-0.357561000000014</f>
        <v>1822.4074439999999</v>
      </c>
      <c r="Y283" s="3">
        <f>1754.9+(120.9-351.6)+(-4.474995+(-0.308295--0.89658))+0--234.8-0.598739999999966</f>
        <v>1754.5145500000001</v>
      </c>
      <c r="Z283" s="3">
        <f>1755.3+(115.5-436.9)+(0+(0-0))+0--235.8-0</f>
        <v>1669.7</v>
      </c>
      <c r="AA283" s="3">
        <f>1813.8+(114.4-515.9)+(-2.775114+(-0.175032--0.789327))+0--236.4-0.361692000000014</f>
        <v>1646.1774890000002</v>
      </c>
      <c r="AB283" s="3">
        <f>1866+(82.5-643.5)+(-2.85498+(-0.126225--0.984555))+0--236.3-0.361539000000014</f>
        <v>1538.9418109999999</v>
      </c>
      <c r="AC283" s="3">
        <f>1845+(76.9-724.7)+(-5.6457+(-0.235314--2.217582))+0--236.4-0.723384000000027</f>
        <v>1429.2131839999997</v>
      </c>
      <c r="AD283">
        <f t="shared" si="4"/>
        <v>36587.582889999998</v>
      </c>
      <c r="AE283" s="3">
        <f>1729.3+(127.2-260.3)+(0+(0-0))+0--233-0</f>
        <v>1829.1999999999998</v>
      </c>
    </row>
    <row r="284" spans="1:31" s="2" customFormat="1" x14ac:dyDescent="0.25">
      <c r="A284">
        <v>89</v>
      </c>
      <c r="B284">
        <v>10</v>
      </c>
      <c r="C284">
        <v>8</v>
      </c>
      <c r="D284">
        <v>5</v>
      </c>
      <c r="E284">
        <v>1</v>
      </c>
      <c r="F284" s="3">
        <f>1829+(85.5-817.4)+(0+(0-0))+0--238.6-0</f>
        <v>1335.6999999999998</v>
      </c>
      <c r="G284" s="3">
        <f>1831.7+(86.4-846.2)+(-1.868334+(-0.088128--0.863124))+0--210.7-0.214914000000034</f>
        <v>1281.2917480000001</v>
      </c>
      <c r="H284" s="3">
        <f>1826.2+(91.2-841.8)+(-1.862724+(-0.093024--0.858636))+0--164.1-0.167382000000026</f>
        <v>1238.435506</v>
      </c>
      <c r="I284" s="3">
        <f>1833.5+(89.4-833)+(-1.87017+(-0.091188--0.84966))+0--163.7-0.166974000000026</f>
        <v>1252.3213280000002</v>
      </c>
      <c r="J284" s="3">
        <f>1709.5+(117.1-731.4)+(-0.871845+(-0.059721--0.373014))+0--163.7-0.0834869999999834</f>
        <v>1258.2579610000003</v>
      </c>
      <c r="K284" s="3">
        <f>1790+(70.2-796.8)+(-1.8258+(-0.071604--0.812736))+0--222.9-0.227358000000036</f>
        <v>1284.9879740000001</v>
      </c>
      <c r="L284" s="3">
        <f>1813.7+(69.5-745.4)+(-0.924987+(-0.035445--0.380154))+0--244.4-0.124643999999975</f>
        <v>1381.4950780000004</v>
      </c>
      <c r="M284" s="3">
        <f>1847+(78.2-688.3)+(-1.88394+(-0.079764--0.702066))+0--244-0.248880000000039</f>
        <v>1479.389482</v>
      </c>
      <c r="N284" s="3">
        <f>1842.8+(90.6-619.7)+(0+(0-0))+0--243.9-0</f>
        <v>1557.6</v>
      </c>
      <c r="O284" s="3">
        <f>1875.5+(94.6-618.6)+(1.91301+(0.096492-0.630972))+0--241.2--0.246024000000038</f>
        <v>1594.324554</v>
      </c>
      <c r="P284" s="3">
        <f>1924.7+(97.4-605.1)+(-0.981597+(-0.049674--0.308601))+0--241.2-0.123011999999976</f>
        <v>1657.3543179999999</v>
      </c>
      <c r="Q284" s="3">
        <f>1864.2+(93.5-557.4)+(0+(0-0))+0--230.8-0</f>
        <v>1631.1000000000001</v>
      </c>
      <c r="R284" s="3">
        <f>1884.1+(79.4-615.5)+(-2.882673+(-0.121482--0.941715))+0--230.5-0.352665000000013</f>
        <v>1576.084895</v>
      </c>
      <c r="S284" s="3">
        <f>1910.2+(81.3-641.5)+(0+(0-0))+0--231.4-0</f>
        <v>1581.4</v>
      </c>
      <c r="T284" s="3">
        <f>1919.2+(79.3-662.9)+(0+(0-0))+0--229.6-0</f>
        <v>1565.1999999999998</v>
      </c>
      <c r="U284" s="3">
        <f>1919.6+(81.6-675.9)+(0+(0-0))+0--229.5-0</f>
        <v>1554.8</v>
      </c>
      <c r="V284" s="3">
        <f>1894.5+(80.9-626.1)+(-3.86478+(-0.165036--1.277244))+0--232.4-0.47409599999999</f>
        <v>1578.473332</v>
      </c>
      <c r="W284" s="3">
        <f>1843.6+(121.6-429.8)+(0+(0-0))+0--232.8-0</f>
        <v>1768.1999999999998</v>
      </c>
      <c r="X284" s="3">
        <f>2010.7+(95-509.4)+(-5.127285+(-0.24225--1.29897))+0--233.7-0.595934999999966</f>
        <v>1825.3335000000002</v>
      </c>
      <c r="Y284" s="3">
        <f>2044.4+(95.1-597.2)+(-8.341152+(-0.388008--2.436576))+0--233.3-0.95186399999998</f>
        <v>1768.3555520000002</v>
      </c>
      <c r="Z284" s="3">
        <f>1883.7+(95.4-508.2)+(0+(0-0))+0--234.5-0</f>
        <v>1705.4</v>
      </c>
      <c r="AA284" s="3">
        <f>1803.7+(103.8-491.2)+(-1.839774+(-0.105876--0.501024))+0--235.8-0.240516000000038</f>
        <v>1650.4148580000001</v>
      </c>
      <c r="AB284" s="3">
        <f>1834+(101.7-613.1)+(-1.87068+(-0.103734--0.625362))+0--235.6-0.240312000000038</f>
        <v>1556.6106359999997</v>
      </c>
      <c r="AC284" s="3">
        <f>1876.8+(86.6-725.5)+(-4.78584+(-0.22083--1.850025))+0--213-0.543149999999969</f>
        <v>1447.2002050000001</v>
      </c>
      <c r="AD284">
        <f t="shared" si="4"/>
        <v>36529.730927000011</v>
      </c>
      <c r="AE284" s="3">
        <f>1990.3+(104.6-471.6)+(0+(0-0))+0--232-0</f>
        <v>1855.3</v>
      </c>
    </row>
    <row r="285" spans="1:31" s="2" customFormat="1" x14ac:dyDescent="0.25">
      <c r="A285">
        <v>89</v>
      </c>
      <c r="B285">
        <v>10</v>
      </c>
      <c r="C285">
        <v>9</v>
      </c>
      <c r="D285">
        <v>6</v>
      </c>
      <c r="E285">
        <v>1</v>
      </c>
      <c r="F285" s="3">
        <f>1804.4+(80.2-705.1)+(-2.760732+(-0.122706--1.078803))+0--163.7-0.250461000000009</f>
        <v>1341.144904</v>
      </c>
      <c r="G285" s="3">
        <f>1770.3+(78.9-730.6)+(0.902853+(0.040239-0.372606))+0--163.9--0.0835889999999834</f>
        <v>1283.1540750000001</v>
      </c>
      <c r="H285" s="3">
        <f>1768.5+(77.4-757.9)+(-3.60774+(-0.157896--1.546116))+0--164.7-0.335987999999993</f>
        <v>1250.1444919999999</v>
      </c>
      <c r="I285" s="3">
        <f>1772.2+(74.7-768.3)+(-1.807644+(-0.076194--0.783666))+0--165.3-0.168606000000026</f>
        <v>1242.6312220000002</v>
      </c>
      <c r="J285" s="3">
        <f>1773+(73.8-760.9)+(-2.71269+(-0.112914--1.164177))+0--165.9-0.25382700000001</f>
        <v>1249.8847460000002</v>
      </c>
      <c r="K285" s="3">
        <f>1846.2+(72.7-842.4)+(0+(0-0))+0--220.1-0</f>
        <v>1296.5999999999999</v>
      </c>
      <c r="L285" s="3">
        <f>2048+(66.9-950.2)+(-3.13344+(-0.102357--1.453806))+0--249.1-0.381123000000014</f>
        <v>1411.6368859999995</v>
      </c>
      <c r="M285" s="3">
        <f>2034.7+(75.9-893.1)+(2.075394+(0.077418-0.910962))+0--250.1--0.25510200000004</f>
        <v>1469.0969520000001</v>
      </c>
      <c r="N285" s="3">
        <f>2157.2+(76.3-920.1)+(1.100172+(0.038913-0.469251))+0--246.1--0.125510999999975</f>
        <v>1560.2953449999995</v>
      </c>
      <c r="O285" s="3">
        <f>2146.9+(103.5-853.7)+(-5.474595+(-0.263925--2.176935))+0--241.5-0.615824999999965</f>
        <v>1634.0225900000003</v>
      </c>
      <c r="P285" s="3">
        <f>2161.2+(101-822.9)+(0+(0-0))+0--236.6-0</f>
        <v>1675.8999999999996</v>
      </c>
      <c r="Q285" s="3">
        <f>2151.2+(94.4-814.8)+(-2.194224+(-0.096288--0.831096))+0--235.8-0.240516000000038</f>
        <v>1664.9000679999997</v>
      </c>
      <c r="R285" s="3">
        <f>2140.6+(71-844.6)+(-4.366824+(-0.14484--1.722984))+0--234-0.47735999999999</f>
        <v>1597.7339599999998</v>
      </c>
      <c r="S285" s="3">
        <f>1987.3+(78.2-734.3)+(-3.040569+(-0.119646--1.123479))+0--231.7-0.354501000000013</f>
        <v>1560.508763</v>
      </c>
      <c r="T285" s="3">
        <f>1956.7+(75.4-747.6)+(-0.997917+(-0.038454--0.381276))+0--233.3-0.118982999999976</f>
        <v>1517.0259219999998</v>
      </c>
      <c r="U285" s="3">
        <f>1951.2+(70.8-699.4)+(-0.995112+(-0.036108--0.356694))+0--174.2-0.0888419999999823</f>
        <v>1496.0366320000001</v>
      </c>
      <c r="V285" s="3">
        <f>1987.6+(65.2-698.2)+(-4.054704+(-0.133008--1.424328))+0--169.3-0.345371999999993</f>
        <v>1520.7912439999998</v>
      </c>
      <c r="W285" s="3">
        <f>2231.5+(77-815.6)+(-3.414195+(-0.11781--1.247868))+0--234.2-0.358326000000014</f>
        <v>1724.457537</v>
      </c>
      <c r="X285" s="3">
        <f>2277.5+(80.9-807.5)+(-6.96915+(-0.247554--2.47095))+0--236.4-0.723384000000027</f>
        <v>1781.830862</v>
      </c>
      <c r="Y285" s="3">
        <f>2090.5+(86.1-686.7)+(0+(0-0))+0--236.7-0</f>
        <v>1726.6000000000001</v>
      </c>
      <c r="Z285" s="3">
        <f>1873.5+(92-471.5)+(-2.866455+(-0.14076--0.721395))+0--154-0.235620000000009</f>
        <v>1645.47856</v>
      </c>
      <c r="AA285" s="3">
        <f>1858.5+(90.6-439.3)+(-0.947835+(-0.046206--0.224043))+0--91.4-0.0466139999999907</f>
        <v>1600.383388</v>
      </c>
      <c r="AB285" s="3">
        <f>1777.3+(89.1-436.3)+(-3.625692+(-0.181764--0.890052))+0--91.7-0.187067999999996</f>
        <v>1518.695528</v>
      </c>
      <c r="AC285" s="3">
        <f>1701+(85.6-449.2)+(-5.20506+(-0.261936--1.374552))+0--93.8-0.287028000000011</f>
        <v>1426.8205280000002</v>
      </c>
      <c r="AD285">
        <f t="shared" si="4"/>
        <v>36195.774204000001</v>
      </c>
      <c r="AE285" s="3">
        <f>2274.3+(90.8-798.2)+(0+(0-0))+0--234-0</f>
        <v>1800.9</v>
      </c>
    </row>
    <row r="286" spans="1:31" s="2" customFormat="1" x14ac:dyDescent="0.25">
      <c r="A286">
        <v>89</v>
      </c>
      <c r="B286">
        <v>10</v>
      </c>
      <c r="C286">
        <v>10</v>
      </c>
      <c r="D286">
        <v>7</v>
      </c>
      <c r="E286">
        <v>1</v>
      </c>
      <c r="F286" s="3">
        <f>1792.7+(75.9-598)+(0+(0-0))+0--67.5-0</f>
        <v>1338.1</v>
      </c>
      <c r="G286" s="3">
        <f>1791.7+(70.5-620)+(-1.827534+(-0.07191--0.6324))+0--23.7-0.0241740000000038</f>
        <v>1264.6087820000002</v>
      </c>
      <c r="H286" s="3">
        <f>1693.8+(72.5-562.8)+(0+(0-0))+0--23-0</f>
        <v>1226.5</v>
      </c>
      <c r="I286" s="3">
        <f>1655.1+(73.2-532)+(-2.532303+(-0.111996--0.81396))+0--22.8-0.0348840000000013</f>
        <v>1217.2347769999999</v>
      </c>
      <c r="J286" s="3">
        <f>1658.7+(62-564)+(-1.691874+(-0.06324--0.57528))+0--50.1-0.051102000000008</f>
        <v>1205.569064</v>
      </c>
      <c r="K286" s="3">
        <f>1783.3+(61-683.3)+(0.909483+(0.03111-0.348483))+0--88.3--0.045032999999991</f>
        <v>1249.9371430000001</v>
      </c>
      <c r="L286" s="3">
        <f>1805+(62.1-658.7)+(0+(0-0))+0--89.5-0</f>
        <v>1297.9000000000001</v>
      </c>
      <c r="M286" s="3">
        <f>1801.5+(61.1-642.5)+(-1.83753+(-0.062322--0.65535))+0--89.1-0.0908820000000142</f>
        <v>1307.8646159999998</v>
      </c>
      <c r="N286" s="3">
        <f>1726.5+(64.6-490.9)+(-2.641545+(-0.098838--0.751077))+0--89.1-0.136323000000005</f>
        <v>1387.1743710000001</v>
      </c>
      <c r="O286" s="3">
        <f>1680.3+(100.4-403.3)+(-0.856953+(-0.051204--0.205683))+0--86.7-0.0442169999999912</f>
        <v>1463.3533090000003</v>
      </c>
      <c r="P286" s="3">
        <f>1784.4+(111.6-455.2)+(-4.55022+(-0.28458--1.16076))+0--87.5-0.223124999999987</f>
        <v>1524.4028350000001</v>
      </c>
      <c r="Q286" s="3">
        <f>1780.3+(112.8-437.7)+(0.907953+(0.057528-0.223227))+0--86.9--0.0443189999999912</f>
        <v>1543.0865730000003</v>
      </c>
      <c r="R286" s="3">
        <f>1775.9+(90.7-472.9)+(-1.811418+(-0.092514--0.482358))+0--87.4-0.0891480000000139</f>
        <v>1479.5892780000001</v>
      </c>
      <c r="S286" s="3">
        <f>1708.5+(97.6-435.4)+(-5.22801+(-0.298656--1.332324))+0--87.6-0.26805600000001</f>
        <v>1453.8376019999998</v>
      </c>
      <c r="T286" s="3">
        <f>1637.7+(97.3-406.4)+(1.670454+(0.099246-0.414528))+0--87.6--0.089352000000014</f>
        <v>1417.644524</v>
      </c>
      <c r="U286" s="3">
        <f>1625.8+(97.1-398.8)+(-0.829158+(-0.049521--0.203388))+0--87.6-0.0446759999999911</f>
        <v>1410.9800329999998</v>
      </c>
      <c r="V286" s="3">
        <f>1722.7+(88.1-463)+(-0.878577+(-0.044931--0.23613))+0--88.8-0.045287999999991</f>
        <v>1435.867334</v>
      </c>
      <c r="W286" s="3">
        <f>1814.5+(264.3-543.4)+(0.925395+(0.134793-0.277134))+0--88.6--0.045185999999991</f>
        <v>1624.8282400000001</v>
      </c>
      <c r="X286" s="3">
        <f>1826.2+(280.6-520.6)+(-2.794086+(-0.429318--0.796518))+0--88.9-0.136017000000005</f>
        <v>1672.5370970000001</v>
      </c>
      <c r="Y286" s="3">
        <f>1731.1+(284.7-448.3)+(-0.882861+(-0.145197--0.228633))+0--90.5-0.0461549999999908</f>
        <v>1657.1544200000001</v>
      </c>
      <c r="Z286" s="3">
        <f>1715.8+(246.7-425.7)+(0.875058+(0.125817-0.217107))+0--56.7--0.0289169999999942</f>
        <v>1594.3126850000001</v>
      </c>
      <c r="AA286" s="3">
        <f>1807.8+(169.5-440.6)+(-2.765934+(-0.259335--0.674118))+0--24.9-0.0380970000000014</f>
        <v>1559.2107519999997</v>
      </c>
      <c r="AB286" s="3">
        <f>1804.6+(92.7-437.8)+(-4.60173+(-0.236385--1.11639))+0--25.1-0.0640049999999964</f>
        <v>1480.8142699999999</v>
      </c>
      <c r="AC286" s="3">
        <f>1802.9+(70-507)+(-0.919479+(-0.0357--0.25857))+0--25.6-0.0130559999999974</f>
        <v>1390.7903349999999</v>
      </c>
      <c r="AD286">
        <f t="shared" si="4"/>
        <v>34203.298040000001</v>
      </c>
      <c r="AE286" s="3">
        <f>1824.3+(326.2-504.3)+(0+(0-0))+0--85-0</f>
        <v>1731.1999999999998</v>
      </c>
    </row>
    <row r="287" spans="1:31" s="2" customFormat="1" x14ac:dyDescent="0.25">
      <c r="A287">
        <v>89</v>
      </c>
      <c r="B287">
        <v>10</v>
      </c>
      <c r="C287">
        <v>11</v>
      </c>
      <c r="D287">
        <v>1</v>
      </c>
      <c r="E287">
        <v>1</v>
      </c>
      <c r="F287" s="3">
        <f>1729.7+(67.1-513.2)+(-4.410735+(-0.171105--1.30866))+0--28.7-0.0731849999999958</f>
        <v>1308.9536350000001</v>
      </c>
      <c r="G287" s="3">
        <f>1680.8+(63.2-522.8)+(-4.28604+(-0.16116--1.33314))+0--27.9-0.0711449999999959</f>
        <v>1245.9147950000001</v>
      </c>
      <c r="H287" s="3">
        <f>1652.8+(64.8-519)+(-3.371712+(-0.132192--1.05876))+0--27.4-0.0558959999999988</f>
        <v>1223.4989599999999</v>
      </c>
      <c r="I287" s="3">
        <f>1519.5+(80.3-425.3)+(-1.54989+(-0.081906--0.433806))+0--27.4-0.0279480000000044</f>
        <v>1200.6740620000003</v>
      </c>
      <c r="J287" s="3">
        <f>1448.3+(84.7-363.6)+(0+(0-0))+0--27.7-0</f>
        <v>1197.0999999999999</v>
      </c>
      <c r="K287" s="3">
        <f>1451+(84.9-318.6)+(2.22003+(0.129897-0.487458))+0--26.7--0.0408510000000015</f>
        <v>1245.9033199999999</v>
      </c>
      <c r="L287" s="3">
        <f>1498.5+(100-284.9)+(-1.52847+(-0.102--0.290598))+0--26.1-0.0266220000000042</f>
        <v>1338.3335059999997</v>
      </c>
      <c r="M287" s="3">
        <f>1566.6+(105.1-292)+(0.798966+(0.053601-0.14892))+0--36.7--0.0187169999999963</f>
        <v>1417.1223639999998</v>
      </c>
      <c r="N287" s="3">
        <f>1804.5+(92.8-463.1)+(-1.84059+(-0.094656--0.472362))+0--90.3-0.0921060000000144</f>
        <v>1522.9450099999999</v>
      </c>
      <c r="O287" s="3">
        <f>1901.8+(108.6-528.9)+(0+(0-0))+0--90.8-0</f>
        <v>1572.3</v>
      </c>
      <c r="P287" s="3">
        <f>2103.1+(109.8-662.5)+(1.072581+(0.055998-0.337875))+0--82.7--0.0421769999999916</f>
        <v>1633.932881</v>
      </c>
      <c r="Q287" s="3">
        <f>2115.9+(108.2-682.2)+(-4.316436+(-0.220728--1.391688))+0--78.8-0.160751999999997</f>
        <v>1617.3937720000001</v>
      </c>
      <c r="R287" s="3">
        <f>2108.8+(83.9-717.5)+(-3.226464+(-0.128367--1.097775))+0--77.5-0.118575000000004</f>
        <v>1550.3243690000004</v>
      </c>
      <c r="S287" s="3">
        <f>2018.6+(106.5-653.1)+(-2.058972+(-0.10863--0.666162))+0--84.4-0.0860880000000135</f>
        <v>1554.8124720000001</v>
      </c>
      <c r="T287" s="3">
        <f>1975.5+(135.7-651.7)+(-3.022515+(-0.207621--0.997101))+0--89-0.136170000000005</f>
        <v>1546.130795</v>
      </c>
      <c r="U287" s="3">
        <f>1994.2+(112.8-671.1)+(2.034084+(0.115056-0.684522))+0--88.8--0.0905760000000142</f>
        <v>1526.2551940000001</v>
      </c>
      <c r="V287" s="3">
        <f>2025.7+(76.6-633.5)+(0+(0-0))+0--92.1-0</f>
        <v>1560.9</v>
      </c>
      <c r="W287" s="3">
        <f>2162.1+(91.8-572.6)+(-5.513355+(-0.23409--1.46013))+0--83.4-0.212669999999988</f>
        <v>1760.2000150000001</v>
      </c>
      <c r="X287" s="3">
        <f>2299+(97.2-629.3)+(-5.86245+(-0.24786--1.604715))+0--83.6-0.213179999999988</f>
        <v>1845.7812249999999</v>
      </c>
      <c r="Y287" s="3">
        <f>2177.3+(88.4-583.1)+(-2.220846+(-0.090168--0.594762))+0--81.7-0.083334000000013</f>
        <v>1762.5004140000003</v>
      </c>
      <c r="Z287" s="3">
        <f>2123.4+(79.2-587.3)+(-2.165868+(-0.080784--0.599046))+0--81.8-0.083436000000013</f>
        <v>1695.368958</v>
      </c>
      <c r="AA287" s="3">
        <f>2067.7+(88.1-591.6)+(-3.163581+(-0.134793--0.905148))+0--80-0.122400000000005</f>
        <v>1641.6843739999999</v>
      </c>
      <c r="AB287" s="3">
        <f>2049.3+(91.2-646.9)+(-1.045143+(-0.046512--0.329919))+0--89.8-0.0457979999999909</f>
        <v>1582.5924660000003</v>
      </c>
      <c r="AC287" s="3">
        <f>1965+(88.1-679.5)+(-5.01075+(-0.224655--1.732725))+0--94.1-0.239954999999986</f>
        <v>1463.9573649999998</v>
      </c>
      <c r="AD287">
        <f t="shared" si="4"/>
        <v>36014.579952000007</v>
      </c>
      <c r="AE287" s="3">
        <f>2228.3+(108.5-559.2)+(0+(0-0))+0--93-0</f>
        <v>1870.6000000000001</v>
      </c>
    </row>
    <row r="288" spans="1:31" s="2" customFormat="1" x14ac:dyDescent="0.25">
      <c r="A288">
        <v>89</v>
      </c>
      <c r="B288">
        <v>10</v>
      </c>
      <c r="C288">
        <v>12</v>
      </c>
      <c r="D288">
        <v>2</v>
      </c>
      <c r="E288">
        <v>1</v>
      </c>
      <c r="F288" s="3">
        <f>1959.5+(84.2-768.8)+(-2.998035+(-0.128826--1.176264))+0--142-0.217260000000008</f>
        <v>1414.7321430000002</v>
      </c>
      <c r="G288" s="3">
        <f>1796.2+(73.5-670.7)+(0+(0-0))+0--96-0</f>
        <v>1295</v>
      </c>
      <c r="H288" s="3">
        <f>1773.8+(80.5-667.8)+(-4.52319+(-0.205275--1.70289))+0--95-0.242249999999986</f>
        <v>1278.2321750000001</v>
      </c>
      <c r="I288" s="3">
        <f>1744.8+(83.5-599.6)+(2.669544+(0.127755-0.917388))+0--95--0.145350000000006</f>
        <v>1325.7252609999998</v>
      </c>
      <c r="J288" s="3">
        <f>1817.2+(83.4-668.5)+(-3.707088+(-0.170136--1.36374))+0--33-0.0673199999999986</f>
        <v>1262.5191959999997</v>
      </c>
      <c r="K288" s="3">
        <f>1833+(80.3-627.2)+(-0.93483+(-0.040953--0.319872))+0--31-0.0158099999999969</f>
        <v>1316.4282789999997</v>
      </c>
      <c r="L288" s="3">
        <f>1825.1+(77.2-555.7)+(-1.861602+(-0.078744--0.566814))+0--42.6-0.0434520000000068</f>
        <v>1387.7830159999996</v>
      </c>
      <c r="M288" s="3">
        <f>1835.5+(88.9-554.9)+(-0.936105+(-0.045339--0.282999))+0--85.9-0.0438089999999913</f>
        <v>1454.6577460000001</v>
      </c>
      <c r="N288" s="3">
        <f>1885+(94-524.6)+(-0.96135+(-0.04794--0.267546))+0--86.4-0.0440639999999912</f>
        <v>1540.0141920000003</v>
      </c>
      <c r="O288" s="3">
        <f>1947.7+(126-569.7)+(-2.979981+(-0.19278--0.871641))+0--86.5-0.132345000000005</f>
        <v>1588.0665349999999</v>
      </c>
      <c r="P288" s="3">
        <f>1931.9+(136.3-550.5)+(2.955807+(0.208539-0.842265))+0--90.5--0.138465000000005</f>
        <v>1610.6605460000001</v>
      </c>
      <c r="Q288" s="3">
        <f>1937.8+(136.8-544.3)+(-4.94139+(-0.34884--1.387965))+0--91.8-0.234089999999987</f>
        <v>1617.963645</v>
      </c>
      <c r="R288" s="3">
        <f>1829.1+(118.9-517.5)+(-4.664205+(-0.303195--1.319625))+0--160.2-0.408509999999977</f>
        <v>1586.6437150000002</v>
      </c>
      <c r="S288" s="3">
        <f>1689.4+(137.6-454.5)+(0+(0-0))+0--160.5-0</f>
        <v>1533</v>
      </c>
      <c r="T288" s="3">
        <f>1767.8+(139.6-542)+(-0.901578+(-0.071196--0.27642))+0--159.4-0.0812939999999838</f>
        <v>1524.0223520000002</v>
      </c>
      <c r="U288" s="3">
        <f>1768.8+(137.6-480.5)+(-4.51044+(-0.35088--1.225275))+0--77.1-0.196604999999989</f>
        <v>1499.1673499999999</v>
      </c>
      <c r="V288" s="3">
        <f>1741.1+(129.8-415.6)+(-4.439805+(-0.33099--1.05978))+0--85.9-0.219044999999988</f>
        <v>1537.2699399999999</v>
      </c>
      <c r="W288" s="3">
        <f>1976.2+(129.6-551.3)+(-5.03931+(-0.33048--1.405815))+0--185.2-0.472259999999973</f>
        <v>1735.2637650000001</v>
      </c>
      <c r="X288" s="3">
        <f>2033.5+(127.4-540.9)+(-6.22251+(-0.389844--1.655154))+0--190.9-0.584154000000022</f>
        <v>1805.3586459999999</v>
      </c>
      <c r="Y288" s="3">
        <f>1887.7+(131.2-420.6)+(-4.813635+(-0.33456--1.07253))+0--97.5-0.248624999999986</f>
        <v>1691.4757099999999</v>
      </c>
      <c r="Z288" s="3">
        <f>1790.9+(175.2-382.9)+(-2.740077+(-0.268056--0.585837))+0--88.7-0.135711000000005</f>
        <v>1669.3419930000002</v>
      </c>
      <c r="AA288" s="3">
        <f>1781+(135.7-374.3)+(0+(0-0))+0--88.6-0</f>
        <v>1631</v>
      </c>
      <c r="AB288" s="3">
        <f>1792.7+(99.3-427.1)+(-2.742831+(-0.151929--0.653463))+0--91-0.139230000000005</f>
        <v>1553.5194730000001</v>
      </c>
      <c r="AC288" s="3">
        <f>1753.3+(90.5-500.7)+(-3.576732+(-0.18462--1.021428))+0--91.9-0.187475999999996</f>
        <v>1432.0726</v>
      </c>
      <c r="AD288">
        <f t="shared" si="4"/>
        <v>36289.918277999997</v>
      </c>
      <c r="AE288" s="3">
        <f>2085.3+(121.1-585.1)+(0+(0-0))+0--230-0</f>
        <v>1851.3000000000002</v>
      </c>
    </row>
    <row r="289" spans="1:31" s="2" customFormat="1" x14ac:dyDescent="0.25">
      <c r="A289">
        <v>89</v>
      </c>
      <c r="B289">
        <v>10</v>
      </c>
      <c r="C289">
        <v>13</v>
      </c>
      <c r="D289">
        <v>3</v>
      </c>
      <c r="E289">
        <v>1</v>
      </c>
      <c r="F289" s="3">
        <f>1643.8+(97.2-499.3)+(-3.353352+(-0.198288--1.018572))+0--92.1-0.187883999999996</f>
        <v>1331.0790479999998</v>
      </c>
      <c r="G289" s="3">
        <f>1645.9+(94.3-495.1)+(-1.678818+(-0.096186--0.505002))+0--29.9-0.0304980000000048</f>
        <v>1273.6995000000002</v>
      </c>
      <c r="H289" s="3">
        <f>1641.4+(93-525.1)+(-1.674228+(-0.09486--0.535602))+0--25.9-0.0264180000000041</f>
        <v>1233.9400960000003</v>
      </c>
      <c r="I289" s="3">
        <f>1519.1+(93.4-495.1)+(-2.324223+(-0.142902--0.757503))+0--24.9-0.0380970000000014</f>
        <v>1140.5522809999998</v>
      </c>
      <c r="J289" s="3">
        <f>1482.7+(109.3-401.8)+(2.268531+(0.167229-0.614754))+0--25--0.0382500000000014</f>
        <v>1217.059256</v>
      </c>
      <c r="K289" s="3">
        <f>1543.9+(95.5-405)+(0+(0-0))+0--24.7-0</f>
        <v>1259.1000000000001</v>
      </c>
      <c r="L289" s="3">
        <f>1543.9+(98.5-422)+(0+(0-0))+0--24.7-0</f>
        <v>1245.1000000000001</v>
      </c>
      <c r="M289" s="3">
        <f>1562.7+(101.9-337.5)+(-1.593954+(-0.103938--0.34425))+0--25.1-0.025602000000004</f>
        <v>1350.8207560000001</v>
      </c>
      <c r="N289" s="3">
        <f>1831.6+(103.8-328.1)+(-0.934116+(-0.052938--0.167331))+0--39.3-0.020042999999996</f>
        <v>1645.7602339999999</v>
      </c>
      <c r="O289" s="3">
        <f>1919.2+(110.4-520)+(-1.957584+(-0.112608--0.5304))+0--101-0.103020000000016</f>
        <v>1608.9571879999999</v>
      </c>
      <c r="P289" s="3">
        <f>1931.4+(120.3-557)+(-3.940056+(-0.245412--1.13628))+0--160.7-0.327827999999993</f>
        <v>1652.0229840000002</v>
      </c>
      <c r="Q289" s="3">
        <f>1919.1+(127.7-589.8)+(-2.936223+(-0.195381--0.902394))+0--159-0.243270000000009</f>
        <v>1613.5275200000001</v>
      </c>
      <c r="R289" s="3">
        <f>1903.1+(104.9-609.9)+(-3.882324+(-0.213996--1.244196))+0--159-0.324359999999993</f>
        <v>1553.9235159999998</v>
      </c>
      <c r="S289" s="3">
        <f>1896.5+(107.7-596.8)+(-1.93443+(-0.109854--0.608736))+0--160-0.163200000000026</f>
        <v>1565.8012520000002</v>
      </c>
      <c r="T289" s="3">
        <f>1879.8+(107.7-611.1)+(-0.958698+(-0.054927--0.311661))+0--161-0.0821099999999837</f>
        <v>1536.6159259999997</v>
      </c>
      <c r="U289" s="3">
        <f>1801+(105.7-521)+(-1.83702+(-0.107814--0.53142))+0--161-0.164220000000026</f>
        <v>1545.1223659999998</v>
      </c>
      <c r="V289" s="3">
        <f>1797.8+(102.9-508.1)+(-4.58439+(-0.262395--1.295655))+0--161.1-0.410804999999977</f>
        <v>1549.7380649999998</v>
      </c>
      <c r="W289" s="3">
        <f>1896.6+(114.2-458)+(-4.83633+(-0.29121--1.1679))+0--207-0.52784999999997</f>
        <v>1755.31251</v>
      </c>
      <c r="X289" s="3">
        <f>1961.1+(122.9-502.2)+(-4.000644+(-0.250716--1.024488))+0--228.7-0.46654799999999</f>
        <v>1806.8065799999999</v>
      </c>
      <c r="Y289" s="3">
        <f>1938.5+(123.4-468.2)+(-1.97727+(-0.125868--0.477564))+0--155.8-0.158916000000025</f>
        <v>1747.71551</v>
      </c>
      <c r="Z289" s="3">
        <f>1936.7+(123.4-515.4)+(-1.975434+(-0.125868--0.525708))+0--121.4-0.123828000000019</f>
        <v>1664.4005780000002</v>
      </c>
      <c r="AA289" s="3">
        <f>1956.1+(117.8-521.1)+(0.997611+(0.060078-0.265761))+0--85.3--0.0435029999999913</f>
        <v>1638.9354310000001</v>
      </c>
      <c r="AB289" s="3">
        <f>1951.2+(113-587.3)+(-2.985336+(-0.17289--0.898569))+0--85.8-0.131274000000005</f>
        <v>1560.3090689999999</v>
      </c>
      <c r="AC289" s="3">
        <f>1936.5+(100.2-680.1)+(-4.938075+(-0.25551--1.734255))+0--70-0.17849999999999</f>
        <v>1422.96217</v>
      </c>
      <c r="AD289">
        <f t="shared" si="4"/>
        <v>35919.261836000005</v>
      </c>
      <c r="AE289" s="3">
        <f>1980.3+(81-471.2)+(0+(0-0))+0--223-0</f>
        <v>1813.1</v>
      </c>
    </row>
    <row r="290" spans="1:31" s="2" customFormat="1" x14ac:dyDescent="0.25">
      <c r="A290">
        <v>89</v>
      </c>
      <c r="B290">
        <v>10</v>
      </c>
      <c r="C290">
        <v>14</v>
      </c>
      <c r="D290">
        <v>4</v>
      </c>
      <c r="E290">
        <v>1</v>
      </c>
      <c r="F290" s="3">
        <f>1908.7+(68.7-720.9)+(-3.893748+(-0.140148--1.470636))+0--24.7-0.0503879999999989</f>
        <v>1278.586352</v>
      </c>
      <c r="G290" s="3">
        <f>1826.2+(92.4-761.4)+(-1.862724+(-0.094248--0.776628))+0--24.3-0.0247860000000039</f>
        <v>1180.2948699999999</v>
      </c>
      <c r="H290" s="3">
        <f>1693.1+(101.4-689.4)+(0+(0-0))+0--25-0</f>
        <v>1130.0999999999999</v>
      </c>
      <c r="I290" s="3">
        <f>1531.9+(115.5-535.2)+(-1.562538+(-0.11781--0.545904))+0--25.5-0.0260100000000041</f>
        <v>1136.539546</v>
      </c>
      <c r="J290" s="3">
        <f>1526.4+(123.1-504.4)+(3.113856+(0.251124-1.028976))+0--25.1--0.0512039999999989</f>
        <v>1172.5872080000001</v>
      </c>
      <c r="K290" s="3">
        <f>1531.9+(103.9-444.2)+(0.781269+(0.052989-0.226542))+0--26.5--0.0135149999999973</f>
        <v>1218.7212310000002</v>
      </c>
      <c r="L290" s="3">
        <f>1515+(142.6-343.8)+(-1.5453+(-0.145452--0.350676))+0--50.2-0.051204000000008</f>
        <v>1362.6087199999999</v>
      </c>
      <c r="M290" s="3">
        <f>1544.3+(153.4-356)+(-2.362779+(-0.234702--0.54468))+0--92.3-0.141219000000005</f>
        <v>1431.8059799999999</v>
      </c>
      <c r="N290" s="3">
        <f>1627.1+(114.2-258.2)+(-1.659642+(-0.116484--0.263364))+0--59-0.0601800000000094</f>
        <v>1540.5270579999999</v>
      </c>
      <c r="O290" s="3">
        <f>1844.4+(101.6-532.8)+(-1.881288+(-0.103632--0.543456))+0--140.1-0.142902000000022</f>
        <v>1551.7156340000001</v>
      </c>
      <c r="P290" s="3">
        <f>1953.3+(82.4-670.4)+(-0.996183+(-0.042024--0.341904))+0--229.5-0.117044999999977</f>
        <v>1593.986652</v>
      </c>
      <c r="Q290" s="3">
        <f>1982.2+(78-675.3)+(-4.043688+(-0.15912--1.377612))+0--225.8-0.46063199999999</f>
        <v>1607.414172</v>
      </c>
      <c r="R290" s="3">
        <f>2000.8+(63-737)+(-2.040816+(-0.06426--0.75174))+0--225.5-0.230010000000036</f>
        <v>1550.7166540000001</v>
      </c>
      <c r="S290" s="3">
        <f>1985.4+(65-731.4)+(-2.025108+(-0.0663--0.746028))+0--229.4-0.233988000000037</f>
        <v>1546.8206320000002</v>
      </c>
      <c r="T290" s="3">
        <f>1944.7+(65-698)+(-0.991797+(-0.03315--0.35598))+0--227.8-0.116177999999977</f>
        <v>1538.7148549999999</v>
      </c>
      <c r="U290" s="3">
        <f>1864+(71.7-635.6)+(0+(0-0))+0--227.4-0</f>
        <v>1527.5</v>
      </c>
      <c r="V290" s="3">
        <f>1948.6+(64-692)+(-3.975144+(-0.13056--1.41168))+0--228.2-0.46552799999999</f>
        <v>1545.6404480000001</v>
      </c>
      <c r="W290" s="3">
        <f>2060.1+(74.4-640.5)+(0+(0-0))+0--230-0</f>
        <v>1724</v>
      </c>
      <c r="X290" s="3">
        <f>2091.5+(80-595.6)+(-2.13333+(-0.0816--0.607512))+0--230.3-0.234906000000037</f>
        <v>1804.3576759999999</v>
      </c>
      <c r="Y290" s="3">
        <f>2064.3+(83.3-638.4)+(-1.052793+(-0.042483--0.325584))+0--232.3-0.118472999999976</f>
        <v>1740.6118350000002</v>
      </c>
      <c r="Z290" s="3">
        <f>1968.4+(95.8-626.1)+(-5.01942+(-0.24429--1.596555))+0--232.5-0.592874999999966</f>
        <v>1666.3399699999998</v>
      </c>
      <c r="AA290" s="3">
        <f>1941.7+(122.5-658.9)+(0+(0-0))+0--233.1-0</f>
        <v>1638.4</v>
      </c>
      <c r="AB290" s="3">
        <f>1878.5+(141.5-620.1)+(-0.958035+(-0.072165--0.316251))+0--132.2-0.0674219999999866</f>
        <v>1531.3186290000001</v>
      </c>
      <c r="AC290" s="3">
        <f>1882.5+(116.2-677.3)+(-2.880225+(-0.177786--1.036269))+0--93.6-0.143208000000005</f>
        <v>1412.8350500000001</v>
      </c>
      <c r="AD290">
        <f t="shared" si="4"/>
        <v>35432.143171999996</v>
      </c>
      <c r="AE290" s="3">
        <f>2097.3+(87-573.1)+(0+(0-0))+0--227-0</f>
        <v>1838.2000000000003</v>
      </c>
    </row>
    <row r="291" spans="1:31" s="2" customFormat="1" x14ac:dyDescent="0.25">
      <c r="A291">
        <v>89</v>
      </c>
      <c r="B291">
        <v>10</v>
      </c>
      <c r="C291">
        <v>15</v>
      </c>
      <c r="D291">
        <v>5</v>
      </c>
      <c r="E291">
        <v>1</v>
      </c>
      <c r="F291" s="3">
        <f>1814.7+(128-773.9)+(-3.701988+(-0.26112--1.578756))+0--83-0.169319999999996</f>
        <v>1249.2463280000002</v>
      </c>
      <c r="G291" s="3">
        <f>1685.6+(141-660.7)+(-1.719312+(-0.14382--0.673914))+0--84-0.0856800000000134</f>
        <v>1248.625102</v>
      </c>
      <c r="H291" s="3">
        <f>1582.7+(139.3-595.3)+(-0.807177+(-0.071043--0.303603))+0--93.6-0.0477359999999905</f>
        <v>1219.677647</v>
      </c>
      <c r="I291" s="3">
        <f>1567.3+(111.8-561.9)+(-0.799323+(-0.057018--0.286569))+0--90.6-0.0462059999999908</f>
        <v>1207.1840219999999</v>
      </c>
      <c r="J291" s="3">
        <f>1489.8+(159.3-573.1)+(-0.759798+(-0.081243--0.292281))+0--88-0.0448799999999911</f>
        <v>1163.4063600000002</v>
      </c>
      <c r="K291" s="3">
        <f>1520.3+(138.6-497.8)+(-1.550706+(-0.141372--0.507756))+0--85.8-0.0875160000000137</f>
        <v>1245.6281619999997</v>
      </c>
      <c r="L291" s="3">
        <f>1636.3+(164-536.5)+(-1.669026+(-0.16728--0.54723))+0--92.7-0.0945540000000148</f>
        <v>1355.11637</v>
      </c>
      <c r="M291" s="3">
        <f>1637.6+(155.3-459.5)+(-1.670352+(-0.158406--0.46869))+0--91.9-0.0937380000000147</f>
        <v>1423.846194</v>
      </c>
      <c r="N291" s="3">
        <f>1905.9+(114.1-521.8)+(-3.888036+(-0.232764--1.064472))+0--90.1-0.183803999999996</f>
        <v>1585.0598680000003</v>
      </c>
      <c r="O291" s="3">
        <f>1919.7+(110.6-619.8)+(-0.979047+(-0.056406--0.316098))+0--151.4-0.0772139999999846</f>
        <v>1561.1034310000002</v>
      </c>
      <c r="P291" s="3">
        <f>1892.7+(111.4-625.4)+(-0.965277+(-0.056814--0.318954))+0--234.8-0.119747999999976</f>
        <v>1612.677115</v>
      </c>
      <c r="Q291" s="3">
        <f>1806.4+(112.6-588.5)+(-0.921264+(-0.057426--0.300135))+0--234.9-0.119798999999976</f>
        <v>1564.6016460000001</v>
      </c>
      <c r="R291" s="3">
        <f>1803.1+(116.6-581.7)+(-1.839162+(-0.118932--0.593334))+0--233.2-0.237864000000037</f>
        <v>1569.5973760000002</v>
      </c>
      <c r="S291" s="3">
        <f>1796+(123-582)+(-2.74788+(-0.18819--0.89046))+0--232.2-0.355266000000013</f>
        <v>1566.7991240000001</v>
      </c>
      <c r="T291" s="3">
        <f>1790.1+(123.4-520.1)+(-1.825902+(-0.125868--0.530502))+0--158.8-0.161976000000025</f>
        <v>1550.6167559999997</v>
      </c>
      <c r="U291" s="3">
        <f>1671.8+(131.6-471.3)+(4.26309+(0.33558-1.201815))+0--158.7--0.404684999999977</f>
        <v>1494.6015399999999</v>
      </c>
      <c r="V291" s="3">
        <f>1686.2+(136.2-392.8)+(-2.579886+(-0.208386--0.600984))+0--159.4-0.243882000000009</f>
        <v>1586.5688299999999</v>
      </c>
      <c r="W291" s="3">
        <f>1867.4+(118.5-424.8)+(0.952374+(0.060435-0.216648))+0--212.2--0.108221999999978</f>
        <v>1774.2043830000002</v>
      </c>
      <c r="X291" s="3">
        <f>1945.4+(110.7-464.4)+(-3.968616+(-0.225828--0.947376))+0--233.7-0.47674799999999</f>
        <v>1821.6761840000001</v>
      </c>
      <c r="Y291" s="3">
        <f>2023.3+(96-572.1)+(-3.095649+(-0.14688--0.875313))+0--234.2-0.358326000000014</f>
        <v>1778.6744579999997</v>
      </c>
      <c r="Z291" s="3">
        <f>2038.7+(99.3-669.8)+(-1.039737+(-0.050643--0.341598))+0--234.9-0.119798999999976</f>
        <v>1702.2314190000002</v>
      </c>
      <c r="AA291" s="3">
        <f>2063.3+(107.6-746.1)+(-3.156849+(-0.164628--1.141533))+0--235.8-0.360774000000014</f>
        <v>1658.0592820000002</v>
      </c>
      <c r="AB291" s="3">
        <f>2086.3+(95-839.5)+(-5.320065+(-0.24225--2.140725))+0--236.4-0.602819999999966</f>
        <v>1574.1755900000003</v>
      </c>
      <c r="AC291" s="3">
        <f>2095.9+(65.1-937.7)+(-5.344545+(-0.166005--2.391135))+0--237.1-0.604604999999966</f>
        <v>1456.6759800000002</v>
      </c>
      <c r="AD291">
        <f t="shared" si="4"/>
        <v>35970.053167000005</v>
      </c>
      <c r="AE291" s="3">
        <f>1923.3+(87.6-414.3)+(0+(0-0))+0--234-0</f>
        <v>1830.6</v>
      </c>
    </row>
    <row r="292" spans="1:31" s="2" customFormat="1" x14ac:dyDescent="0.25">
      <c r="A292">
        <v>89</v>
      </c>
      <c r="B292">
        <v>10</v>
      </c>
      <c r="C292">
        <v>16</v>
      </c>
      <c r="D292">
        <v>6</v>
      </c>
      <c r="E292">
        <v>1</v>
      </c>
      <c r="F292" s="3">
        <f>2083.3+(57-1029.3)+(-2.124966+(-0.05814--1.049886))+0--238.7-0.243474000000038</f>
        <v>1348.3233060000002</v>
      </c>
      <c r="G292" s="3">
        <f>1971.5+(65.6-984.8)+(-3.016395+(-0.100368--1.506744))+0--236.8-0.362304000000014</f>
        <v>1287.1276770000002</v>
      </c>
      <c r="H292" s="3">
        <f>1887.2+(86-886)+(-3.849888+(-0.17544--1.80744))+0--164.6-0.335783999999993</f>
        <v>1249.2463279999999</v>
      </c>
      <c r="I292" s="3">
        <f>1859.6+(95.2-889.4)+(-2.845188+(-0.145656--1.360782))+0--164.6-0.25183800000001</f>
        <v>1228.1181000000001</v>
      </c>
      <c r="J292" s="3">
        <f>1856.9+(96.6-887.9)+(-0.947019+(-0.049266--0.452829))+0--164.5-0.0838949999999833</f>
        <v>1229.472649</v>
      </c>
      <c r="K292" s="3">
        <f>1936.2+(69.4-903.2)+(0+(0-0))+0--164.5-0</f>
        <v>1266.9000000000001</v>
      </c>
      <c r="L292" s="3">
        <f>1984.8+(68.6-858.9)+(-1.012248+(-0.034986--0.438039))+0--164.7-0.0839969999999833</f>
        <v>1358.5068080000001</v>
      </c>
      <c r="M292" s="3">
        <f>2028.1+(60.9-830)+(0+(0-0))+0--165.9-0</f>
        <v>1424.9</v>
      </c>
      <c r="N292" s="3">
        <f>2059.4+(70.2-835.4)+(-1.050294+(-0.035802--0.426054))+0--240.5-0.122654999999976</f>
        <v>1533.9173030000004</v>
      </c>
      <c r="O292" s="3">
        <f>2047.3+(83.3-783.9)+(-2.088246+(-0.084966--0.799578))+0--238.5-0.243270000000038</f>
        <v>1583.5830959999998</v>
      </c>
      <c r="P292" s="3">
        <f>2033.2+(94-749.7)+(0+(0-0))+0--234.6-0</f>
        <v>1612.1</v>
      </c>
      <c r="Q292" s="3">
        <f>2013.3+(77.9-713.6)+(-2.053566+(-0.079458--0.727872))+0--232.6-0.237252000000037</f>
        <v>1608.5575959999996</v>
      </c>
      <c r="R292" s="3">
        <f>1996.4+(66.1-768)+(-6.108984+(-0.202266--2.35008))+0--230.7-0.705942000000027</f>
        <v>1520.532888</v>
      </c>
      <c r="S292" s="3">
        <f>1986+(68.3-795)+(-3.03858+(-0.104499--1.21635))+0--232.2-0.355266000000013</f>
        <v>1489.2180049999999</v>
      </c>
      <c r="T292" s="3">
        <f>1988.4+(76.1-825.8)+(-2.028168+(-0.077622--0.842316))+0--228-0.232560000000036</f>
        <v>1465.203966</v>
      </c>
      <c r="U292" s="3">
        <f>1988.3+(75.1-836.1)+(0+(0-0))+0--232-0</f>
        <v>1459.3</v>
      </c>
      <c r="V292" s="3">
        <f>1994.1+(77.8-831.2)+(-2.033982+(-0.079356--0.847824))+0--234-0.238680000000037</f>
        <v>1473.1958059999999</v>
      </c>
      <c r="W292" s="3">
        <f>2014+(87.7-692.9)+(0+(0-0))+0--235.6-0</f>
        <v>1644.4</v>
      </c>
      <c r="X292" s="3">
        <f>2061.4+(93.2-681.4)+(-5.25657+(-0.23766--1.73757))+0--236.8-0.603839999999966</f>
        <v>1705.6395000000002</v>
      </c>
      <c r="Y292" s="3">
        <f>2016.2+(88-677.6)+(-3.084786+(-0.13464--1.036728))+0--236.4-0.361692000000014</f>
        <v>1660.45561</v>
      </c>
      <c r="Z292" s="3">
        <f>2001.9+(82.3-720.4)+(-1.020969+(-0.041973--0.367404))+0--236.6-0.120665999999976</f>
        <v>1599.5837960000001</v>
      </c>
      <c r="AA292" s="3">
        <f>1917.7+(94.2-719.5)+(-1.956054+(-0.096084--0.73389))+0--237.1-0.241842000000038</f>
        <v>1527.9399099999998</v>
      </c>
      <c r="AB292" s="3">
        <f>1828.5+(118.3-733.1)+(-0.932535+(-0.060333--0.373881))+0--236.6-0.120665999999976</f>
        <v>1449.5603469999996</v>
      </c>
      <c r="AC292" s="3">
        <f>1588.8+(154.8-670.4)+(-2.430864+(-0.236844--1.025712))+0--237.1-0.362763000000014</f>
        <v>1308.2952409999998</v>
      </c>
      <c r="AD292">
        <f t="shared" si="4"/>
        <v>35034.077932000007</v>
      </c>
      <c r="AE292" s="3">
        <f>2071.3+(112.8-639.7)+(0+(0-0))+0--235-0</f>
        <v>1779.4</v>
      </c>
    </row>
    <row r="293" spans="1:31" s="2" customFormat="1" x14ac:dyDescent="0.25">
      <c r="A293">
        <v>89</v>
      </c>
      <c r="B293">
        <v>10</v>
      </c>
      <c r="C293">
        <v>17</v>
      </c>
      <c r="D293">
        <v>7</v>
      </c>
      <c r="E293">
        <v>1</v>
      </c>
      <c r="F293" s="3">
        <f>1575.5+(250-616.2)+(-0.803505+(-0.1275--0.314262))+0--239-0.121889999999976</f>
        <v>1447.561367</v>
      </c>
      <c r="G293" s="3">
        <f>1580.8+(239.2-680.5)+(-2.418624+(-0.365976--1.041165))+0--238.9-0.365517000000014</f>
        <v>1376.291048</v>
      </c>
      <c r="H293" s="3">
        <f>1530.2+(257.8-658.7)+(0+(0-0))+0--208.2-0</f>
        <v>1337.5</v>
      </c>
      <c r="I293" s="3">
        <f>1529.9+(255.1-633.6)+(0.780249+(0.130101-0.323136))+0--162.8--0.0830279999999835</f>
        <v>1314.870242</v>
      </c>
      <c r="J293" s="3">
        <f>1530.6+(255.2-611.7)+(-1.561212+(-0.260304--0.623934))+0--147.8-0.150756000000024</f>
        <v>1320.5516619999999</v>
      </c>
      <c r="K293" s="3">
        <f>1526.8+(245.4-521.9)+(0.778668+(0.125154-0.266169))+0--84.5--0.0430949999999914</f>
        <v>1335.4807479999999</v>
      </c>
      <c r="L293" s="3">
        <f>1503.6+(236.5-465.6)+(-3.83418+(-0.603075--1.18728))+0--84.2-0.214709999999988</f>
        <v>1355.2353150000001</v>
      </c>
      <c r="M293" s="3">
        <f>1394.9+(209.8-331.8)+(0+(0-0))+0--84.8-0</f>
        <v>1357.7</v>
      </c>
      <c r="N293" s="3">
        <f>1560+(158.2-293.6)+(0+(0-0))+0--32.7-0</f>
        <v>1457.3</v>
      </c>
      <c r="O293" s="3">
        <f>1593.6+(156.5-266.9)+(3.250944+(0.31926-0.544476))+0--32--0.0652799999999986</f>
        <v>1518.2910079999999</v>
      </c>
      <c r="P293" s="3">
        <f>1610.9+(159-351.5)+(-2.464677+(-0.24327--0.537795))+0--77.5-0.118575000000004</f>
        <v>1493.6112730000002</v>
      </c>
      <c r="Q293" s="3">
        <f>1779.2+(148.4-392.5)+(-0.907392+(-0.075684--0.200175))+0--77.8-0.0396779999999921</f>
        <v>1612.077421</v>
      </c>
      <c r="R293" s="3">
        <f>1760.4+(79.7-497.6)+(-2.693412+(-0.121941--0.761328))+0--79-0.120870000000005</f>
        <v>1419.3251050000001</v>
      </c>
      <c r="S293" s="3">
        <f>1654.8+(87.8-416.7)+(-1.687896+(-0.089556--0.425034))+0--84.5-0.0861900000000135</f>
        <v>1408.9613920000002</v>
      </c>
      <c r="T293" s="3">
        <f>1588.9+(114.5-397.6)+(1.620678+(0.11679-0.405552))+0--84.6--0.0862920000000135</f>
        <v>1391.8182080000001</v>
      </c>
      <c r="U293" s="3">
        <f>1573.6+(109.1-416.9)+(0+(0-0))+0--124.9-0</f>
        <v>1390.7</v>
      </c>
      <c r="V293" s="3">
        <f>1580.9+(107-371.7)+(-4.837554+(-0.32742--1.137402))+0--88.8-0.27172800000001</f>
        <v>1400.7007000000001</v>
      </c>
      <c r="W293" s="3">
        <f>1852.8+(114.9-496.2)+(-0.944928+(-0.058599--0.253062))+0--89-0.045389999999991</f>
        <v>1559.7041449999999</v>
      </c>
      <c r="X293" s="3">
        <f>1980.2+(153.2-564.7)+(-3.029706+(-0.234396--0.863991))+0--89.3-0.136629000000005</f>
        <v>1655.46326</v>
      </c>
      <c r="Y293" s="3">
        <f>1987.7+(170.8-630.4)+(0+(0-0))+0--89.9-0</f>
        <v>1618.0000000000002</v>
      </c>
      <c r="Z293" s="3">
        <f>2038.3+(151.7-712.9)+(-4.158132+(-0.309468--1.454316))+0--90.8-0.185231999999996</f>
        <v>1564.7014839999997</v>
      </c>
      <c r="AA293" s="3">
        <f>2042.5+(167.6-749.7)+(-1.041675+(-0.085476--0.382347))+0--91.7-0.0467669999999907</f>
        <v>1551.3084290000002</v>
      </c>
      <c r="AB293" s="3">
        <f>2076.2+(145.7-837.4)+(-1.058862+(-0.074307--0.427074))+0--91-0.0464099999999908</f>
        <v>1474.7474949999998</v>
      </c>
      <c r="AC293" s="3">
        <f>2081.2+(127.5-921.7)+(-3.184236+(-0.195075--1.410201))+0--92.7-0.141831000000005</f>
        <v>1377.5890589999999</v>
      </c>
      <c r="AD293">
        <f t="shared" si="4"/>
        <v>34739.489361000007</v>
      </c>
      <c r="AE293" s="3">
        <f>1998.3+(144.1-564.2)+(0+(0-0))+0--90-0</f>
        <v>1668.1999999999998</v>
      </c>
    </row>
    <row r="294" spans="1:31" s="2" customFormat="1" x14ac:dyDescent="0.25">
      <c r="A294">
        <v>89</v>
      </c>
      <c r="B294">
        <v>10</v>
      </c>
      <c r="C294">
        <v>18</v>
      </c>
      <c r="D294">
        <v>1</v>
      </c>
      <c r="E294">
        <v>1</v>
      </c>
      <c r="F294" s="3">
        <f>2049.3+(141.1-992.7)+(-5.225715+(-0.359805--2.531385))+0--96.4-0.245819999999986</f>
        <v>1290.8000450000002</v>
      </c>
      <c r="G294" s="3">
        <f>1810.2+(201.7-933.7)+(-1.846404+(-0.205734--0.952374))+0--92.9-0.0947580000000148</f>
        <v>1169.9054780000001</v>
      </c>
      <c r="H294" s="3">
        <f>1644.7+(345.6-859.1)+(-4.193985+(-0.88128--2.190705))+0--33.3-0.0849149999999952</f>
        <v>1161.5305250000001</v>
      </c>
      <c r="I294" s="3">
        <f>1570+(331-785.9)+(-1.6014+(-0.33762--0.801618))+0--35.5-0.0362100000000057</f>
        <v>1149.4263879999999</v>
      </c>
      <c r="J294" s="3">
        <f>1650.5+(280.8-832.9)+(-0.841755+(-0.143208--0.424779))+0--91.6-0.0467159999999907</f>
        <v>1189.3931</v>
      </c>
      <c r="K294" s="3">
        <f>1712.8+(217.7-740.6)+(-1.747056+(-0.222054--0.755412))+0--32.4-0.0330480000000052</f>
        <v>1221.0532539999999</v>
      </c>
      <c r="L294" s="3">
        <f>1772.6+(173.8-709.8)+(-0.904026+(-0.088638--0.361998))+0--94.2-0.0480419999999904</f>
        <v>1330.121292</v>
      </c>
      <c r="M294" s="3">
        <f>1791.2+(156.9-638.3)+(0.913512+(0.080019-0.325533))+0--93.9--0.0478889999999905</f>
        <v>1404.4158870000001</v>
      </c>
      <c r="N294" s="3">
        <f>2046.9+(132.6-681.7)+(0+(0-0))+0--92.6-0</f>
        <v>1590.4</v>
      </c>
      <c r="O294" s="3">
        <f>2080.8+(137.1-727.3)+(-1.061208+(-0.069921--0.370923))+0--90.5-0.0461549999999908</f>
        <v>1580.2936390000004</v>
      </c>
      <c r="P294" s="3">
        <f>2068.2+(139.6-685.3)+(-2.109564+(-0.142392--0.699006))+0--89.7-0.0914940000000143</f>
        <v>1610.555556</v>
      </c>
      <c r="Q294" s="3">
        <f>2066.1+(130.9-653.9)+(-1.053711+(-0.066759--0.333489))+0--88.8-0.045287999999991</f>
        <v>1631.0677309999999</v>
      </c>
      <c r="R294" s="3">
        <f>2069.2+(97.6-652.6)+(-1.055292+(-0.049776--0.332826))+0--88.2-0.0449819999999911</f>
        <v>1601.582776</v>
      </c>
      <c r="S294" s="3">
        <f>2061.4+(102.4-718.5)+(-2.102628+(-0.104448--0.73287))+0--87.4-0.0891480000000139</f>
        <v>1531.1366460000002</v>
      </c>
      <c r="T294" s="3">
        <f>2061.9+(105.9-708.8)+(-2.103138+(-0.108018--0.722976))+0--87.6-0.089352000000014</f>
        <v>1545.0224679999999</v>
      </c>
      <c r="U294" s="3">
        <f>2061+(101.3-748.5)+(0+(0-0))+0--88-0</f>
        <v>1501.8</v>
      </c>
      <c r="V294" s="3">
        <f>2070.7+(104-732.1)+(0+(0-0))+0--88.5-0</f>
        <v>1531.1</v>
      </c>
      <c r="W294" s="3">
        <f>2141.8+(107.7-665)+(2.184636+(0.109854-0.6783))+0--90.5--0.0923100000000144</f>
        <v>1676.7085000000002</v>
      </c>
      <c r="X294" s="3">
        <f>2154.3+(133.6-630.5)+(-3.296079+(-0.204408--0.964665))+0--90.5-0.138465000000005</f>
        <v>1745.225713</v>
      </c>
      <c r="Y294" s="3">
        <f>2157.3+(146.3-695.7)+(-4.400892+(-0.298452--1.419228))+0--91.1-0.185843999999996</f>
        <v>1695.53404</v>
      </c>
      <c r="Z294" s="3">
        <f>2169.1+(138.6-767.8)+(-2.212482+(-0.141372--0.783156))+0--91.2-0.0930240000000145</f>
        <v>1629.4362780000001</v>
      </c>
      <c r="AA294" s="3">
        <f>2173.3+(140.8-807.8)+(-2.216766+(-0.143616--0.823956))+0--91.7-0.0935340000000146</f>
        <v>1596.3700400000002</v>
      </c>
      <c r="AB294" s="3">
        <f>2179.7+(150.8-906.8)+(-1.111647+(-0.076908--0.462468))+0--91.9-0.0468689999999907</f>
        <v>1514.8270439999999</v>
      </c>
      <c r="AC294" s="3">
        <f>2133.7+(129.8-944.3)+(-4.352748+(-0.264792--1.926372))+0--92-0.187679999999996</f>
        <v>1408.3211519999998</v>
      </c>
      <c r="AD294">
        <f t="shared" si="4"/>
        <v>35306.027551999992</v>
      </c>
      <c r="AE294" s="3">
        <f>2181.3+(136.9-635)+(0+(0-0))+0--89.3-0</f>
        <v>1772.5000000000002</v>
      </c>
    </row>
    <row r="295" spans="1:31" s="2" customFormat="1" x14ac:dyDescent="0.25">
      <c r="A295">
        <v>89</v>
      </c>
      <c r="B295">
        <v>10</v>
      </c>
      <c r="C295">
        <v>19</v>
      </c>
      <c r="D295">
        <v>2</v>
      </c>
      <c r="E295">
        <v>1</v>
      </c>
      <c r="F295" s="3">
        <f>1814.1+(241.5-850.6)+(-2.775573+(-0.369495--1.301418))+0--94.1-0.143973000000005</f>
        <v>1297.1123769999999</v>
      </c>
      <c r="G295" s="3">
        <f>1738.9+(234.4-867.7)+(-5.321034+(-0.717264--2.655162))+0--95-0.290700000000011</f>
        <v>1196.926164</v>
      </c>
      <c r="H295" s="3">
        <f>1651.4+(206.4-780.8)+(0.842214+(0.105264-0.398208))+0--95--0.0484499999999904</f>
        <v>1172.59772</v>
      </c>
      <c r="I295" s="3">
        <f>1641.8+(217.3-777)+(-2.511954+(-0.332469--1.18881))+0--95-0.145350000000006</f>
        <v>1175.299037</v>
      </c>
      <c r="J295" s="3">
        <f>1642.7+(229.1-716.7)+(1.675554+(0.233682-0.731034))+0--43--0.0438600000000069</f>
        <v>1199.322062</v>
      </c>
      <c r="K295" s="3">
        <f>1756+(121.4-721.7)+(-1.79112+(-0.123828--0.736134))+0--27-0.0275400000000043</f>
        <v>1181.4936459999997</v>
      </c>
      <c r="L295" s="3">
        <f>1771.8+(136.9-632.4)+(-3.614472+(-0.279276--1.290096))+0--32.9-0.0671159999999986</f>
        <v>1306.5292320000001</v>
      </c>
      <c r="M295" s="3">
        <f>1815.8+(131.4-612.5)+(-2.778174+(-0.201042--0.937125))+0--32.4-0.0495720000000019</f>
        <v>1365.008337</v>
      </c>
      <c r="N295" s="3">
        <f>1860.1+(131.1-588.3)+(0.948651+(0.066861-0.300033))+0--47.1--0.0240209999999952</f>
        <v>1450.7394999999999</v>
      </c>
      <c r="O295" s="3">
        <f>1950.4+(119.2-640.7)+(-0.994704+(-0.060792--0.326757))+0--90.9-0.0463589999999908</f>
        <v>1519.0249020000003</v>
      </c>
      <c r="P295" s="3">
        <f>2109.9+(117.9-650.5)+(0+(0-0))+0--90.1-0</f>
        <v>1667.4</v>
      </c>
      <c r="Q295" s="3">
        <f>2130.8+(104.2-764.4)+(0+(0-0))+0--88.8-0</f>
        <v>1559.4000000000003</v>
      </c>
      <c r="R295" s="3">
        <f>2065.6+(100.8-748)+(-4.213824+(-0.205632--1.52592))+0--88.9-0.181355999999996</f>
        <v>1504.2251079999999</v>
      </c>
      <c r="S295" s="3">
        <f>2053.4+(111.9-751.9)+(-2.094468+(-0.114138--0.766938))+0--86.6-0.0883320000000138</f>
        <v>1498.47</v>
      </c>
      <c r="T295" s="3">
        <f>2055.7+(118.2-778.2)+(-4.193628+(-0.241128--1.587528))+0--88.2-0.179927999999996</f>
        <v>1480.8728439999998</v>
      </c>
      <c r="U295" s="3">
        <f>2074.3+(108.2-839)+(0+(0-0))+0--89.3-0</f>
        <v>1432.8000000000002</v>
      </c>
      <c r="V295" s="3">
        <f>2136.6+(119-842.3)+(0+(0-0))+8.8--90-0</f>
        <v>1512.1</v>
      </c>
      <c r="W295" s="3">
        <f>2213.6+(111.9-761.1)+(0+(0-0))+0--90.3-0</f>
        <v>1654.6999999999998</v>
      </c>
      <c r="X295" s="3">
        <f>2229.3+(112.3-721)+(-3.410829+(-0.171819--1.10313))+0--90.5-0.138465000000005</f>
        <v>1708.482017</v>
      </c>
      <c r="Y295" s="3">
        <f>2234.7+(110.5-786.5)+(-3.419091+(-0.169065--1.203345))+0--91-0.139230000000005</f>
        <v>1647.1759589999999</v>
      </c>
      <c r="Z295" s="3">
        <f>2241.1+(112.9-866.9)+(-2.285922+(-0.115158--0.884238))+0--90.9-0.0927180000000145</f>
        <v>1576.3904399999999</v>
      </c>
      <c r="AA295" s="3">
        <f>2254.8+(103.8-904.5)+(-2.299896+(-0.105876--0.92259))+0--91.4-0.0932280000000146</f>
        <v>1543.9235900000003</v>
      </c>
      <c r="AB295" s="3">
        <f>2205.7+(116.8-957.1)+(-4.499628+(-0.238272--1.952484))+0--91.1-0.185843999999996</f>
        <v>1453.5287399999995</v>
      </c>
      <c r="AC295" s="3">
        <f>2082.6+(135.2-967.3)+(-1.062126+(-0.068952--0.493323))+0--91.5-0.0466649999999907</f>
        <v>1341.31558</v>
      </c>
      <c r="AD295">
        <f t="shared" si="4"/>
        <v>34444.837254999999</v>
      </c>
      <c r="AE295" s="3">
        <f>2226.3+(114.7-708.4)+(0+(0-0))+0--90-0</f>
        <v>1722.6000000000004</v>
      </c>
    </row>
    <row r="296" spans="1:31" s="2" customFormat="1" x14ac:dyDescent="0.25">
      <c r="A296">
        <v>89</v>
      </c>
      <c r="B296">
        <v>10</v>
      </c>
      <c r="C296">
        <v>20</v>
      </c>
      <c r="D296">
        <v>3</v>
      </c>
      <c r="E296">
        <v>1</v>
      </c>
      <c r="F296" s="3">
        <f>2018.1+(214.9-953.3)+(-3.087693+(-0.328797--1.458549))+0--91.4-0.139842000000005</f>
        <v>1369.002217</v>
      </c>
      <c r="G296" s="3">
        <f>1876.6+(219.1-917.5)+(-2.871198+(-0.335223--1.403775))+0--48.6-0.0743580000000028</f>
        <v>1224.9229959999996</v>
      </c>
      <c r="H296" s="3">
        <f>1757.7+(260.4-789.8)+(2.689281+(0.398412-1.208394))+0--26.5--0.0405450000000015</f>
        <v>1256.7198440000002</v>
      </c>
      <c r="I296" s="3">
        <f>1630.4+(266.5-717)+(-1.663008+(-0.27183--0.73134))+0--24.9-0.025398000000004</f>
        <v>1203.5711040000001</v>
      </c>
      <c r="J296" s="3">
        <f>1619.5+(203.6-671.9)+(-1.65189+(-0.207672--0.685338))+0--27-0.0275400000000043</f>
        <v>1176.9982359999999</v>
      </c>
      <c r="K296" s="3">
        <f>1625.3+(150.4-617.7)+(0+(0-0))+0--27-0</f>
        <v>1185</v>
      </c>
      <c r="L296" s="3">
        <f>1622.3+(137.9-515.9)+(-0.827373+(-0.070329--0.263109))+0--34.6-0.0176459999999965</f>
        <v>1278.2477609999999</v>
      </c>
      <c r="M296" s="3">
        <f>1647.9+(170.7-553)+(1.680858+(0.174114-0.56406))+0--33.7--0.0343740000000054</f>
        <v>1300.6252860000002</v>
      </c>
      <c r="N296" s="3">
        <f>1683.4+(159.6-629)+(0+(0-0))+0--75.8-0</f>
        <v>1289.8</v>
      </c>
      <c r="O296" s="3">
        <f>1693.2+(179.6-637.6)+(0+(0-0))+0--92.1-0</f>
        <v>1327.3</v>
      </c>
      <c r="P296" s="3">
        <f>1865+(185.9-603.2)+(-1.9023+(-0.189618--0.615264))+0--91.8-0.0936360000000146</f>
        <v>1537.9297099999997</v>
      </c>
      <c r="Q296" s="3">
        <f>1872.9+(192.2-590.3)+(-0.955179+(-0.098022--0.301053))+0--91.2-0.0465119999999907</f>
        <v>1565.2013400000003</v>
      </c>
      <c r="R296" s="3">
        <f>1859.5+(98.5-660.9)+(-6.638415+(-0.351645--2.359413))+0--92.2-0.329154000000001</f>
        <v>1384.340199</v>
      </c>
      <c r="S296" s="3">
        <f>1803.1+(123.1-670)+(-0.919581+(-0.062781--0.3417))+0--92-0.0469199999999907</f>
        <v>1347.5124179999998</v>
      </c>
      <c r="T296" s="3">
        <f>1741.3+(137.2-657.7)+(0+(0-0))+0--91-0</f>
        <v>1311.8</v>
      </c>
      <c r="U296" s="3">
        <f>1717.4+(138.2-633.5)+(0+(0-0))+0--92.1-0</f>
        <v>1314.2</v>
      </c>
      <c r="V296" s="3">
        <f>1804.8+(87.6-668.5)+(-4.60224+(-0.22338--1.704675))+0--90.9-0.231794999999987</f>
        <v>1311.4472600000004</v>
      </c>
      <c r="W296" s="3">
        <f>2037+(91.8-683.4)+(0+(0-0))+0--91-0</f>
        <v>1536.4</v>
      </c>
      <c r="X296" s="3">
        <f>2079.5+(114.7-636.5)+(-4.24218+(-0.233988--1.29846))+0--96.5-0.196859999999996</f>
        <v>1650.8254320000001</v>
      </c>
      <c r="Y296" s="3">
        <f>2084+(121.4-690.6)+(-3.18852+(-0.185742--1.056618))+0--96.5-0.147645000000006</f>
        <v>1608.834711</v>
      </c>
      <c r="Z296" s="3">
        <f>2089.4+(136.7-765)+(-1.065594+(-0.069717--0.39015))+0--98.2-0.05008199999999</f>
        <v>1558.5047570000002</v>
      </c>
      <c r="AA296" s="3">
        <f>2094.1+(132.6-786)+(2.135982+(0.135252-0.80172))+0--98.7--0.100674000000016</f>
        <v>1540.9701879999998</v>
      </c>
      <c r="AB296" s="3">
        <f>2064.4+(136.9-834.1)+(-2.105688+(-0.139638--0.850782))+0--98.2-0.100164000000016</f>
        <v>1463.9052920000001</v>
      </c>
      <c r="AC296" s="3">
        <f>1969.5+(112.3-831.1)+(-2.00889+(-0.114546--0.847722))+0--98.9-0.100878000000016</f>
        <v>1348.2234079999998</v>
      </c>
      <c r="AD296">
        <f t="shared" si="4"/>
        <v>33092.282158999995</v>
      </c>
      <c r="AE296" s="3">
        <f>2076.3+(67.2-612)+(0+(0-0))+0--97-0</f>
        <v>1628.5000000000002</v>
      </c>
    </row>
    <row r="297" spans="1:31" s="2" customFormat="1" x14ac:dyDescent="0.25">
      <c r="A297">
        <v>89</v>
      </c>
      <c r="B297">
        <v>10</v>
      </c>
      <c r="C297">
        <v>21</v>
      </c>
      <c r="D297">
        <v>4</v>
      </c>
      <c r="E297">
        <v>1</v>
      </c>
      <c r="F297" s="3">
        <f>1847.9+(89-777.8)+(-1.884858+(-0.09078--0.793356))+0--99.3-0.101286000000016</f>
        <v>1257.116432</v>
      </c>
      <c r="G297" s="3">
        <f>1829.1+(100.2-837.3)+(-1.865682+(-0.102204--0.854046))+0--99.7-0.101694000000016</f>
        <v>1190.4844660000001</v>
      </c>
      <c r="H297" s="3">
        <f>1791.5+(112.8-841.8)+(0.913665+(0.057528-0.429318))+0--99.4--0.0506939999999899</f>
        <v>1162.492569</v>
      </c>
      <c r="I297" s="3">
        <f>1603.4+(121.3-638.6)+(0.817734+(0.061863-0.325686))+0--34.3--0.0174929999999965</f>
        <v>1120.9714039999999</v>
      </c>
      <c r="J297" s="3">
        <f>1704.2+(121.8-707.1)+(1.738284+(0.124236-0.721242))+0--31--0.0316200000000049</f>
        <v>1151.0728980000001</v>
      </c>
      <c r="K297" s="3">
        <f>1759.4+(81.6-684.1)+(-0.897294+(-0.041616--0.348891))+0--31.2-0.0159119999999968</f>
        <v>1187.4940690000001</v>
      </c>
      <c r="L297" s="3">
        <f>1763.7+(90-605.7)+(-5.396922+(-0.2754--1.853442))+0--30.8-0.0942480000000036</f>
        <v>1274.8868719999998</v>
      </c>
      <c r="M297" s="3">
        <f>1930.6+(106.9-650.7)+(0+(0-0))+0--85.9-0</f>
        <v>1472.6999999999998</v>
      </c>
      <c r="N297" s="3">
        <f>1999.2+(91.4-760.2)+(-2.039184+(-0.093228--0.775404))+0--101.9-0.103938000000016</f>
        <v>1430.8390540000003</v>
      </c>
      <c r="O297" s="3">
        <f>2000.9+(132.7-753)+(-1.020459+(-0.067677--0.38403))+0--101-0.0515099999999898</f>
        <v>1480.8443840000002</v>
      </c>
      <c r="P297" s="3">
        <f>2004.5+(121.9-707.4)+(1.022295+(0.062169-0.360774))+0--99.6--0.0507959999999899</f>
        <v>1519.3744859999999</v>
      </c>
      <c r="Q297" s="3">
        <f>1991.3+(109.9-689.2)+(-3.046689+(-0.168147--1.054476))+0--99.2-0.151776000000006</f>
        <v>1508.887864</v>
      </c>
      <c r="R297" s="3">
        <f>1973.4+(82.5-743.6)+(-5.03217+(-0.210375--1.89618))+0--98.2-0.250409999999986</f>
        <v>1406.9032250000002</v>
      </c>
      <c r="S297" s="3">
        <f>1956.7+(90.8-708.7)+(0+(0-0))+0--104.2-0</f>
        <v>1443</v>
      </c>
      <c r="T297" s="3">
        <f>1954.2+(99.4-736.7)+(0.996642+(0.050694-0.375717))+0--102.7--0.0523769999999896</f>
        <v>1420.3239960000001</v>
      </c>
      <c r="U297" s="3">
        <f>1948.7+(113-775)+(0+(0-0))+0--101.4-0</f>
        <v>1388.1000000000001</v>
      </c>
      <c r="V297" s="3">
        <f>2051.8+(81.4-790.5)+(-1.046418+(-0.041514--0.403155))+0--97.7-0.0498269999999901</f>
        <v>1439.6653960000003</v>
      </c>
      <c r="W297" s="3">
        <f>2158.5+(77.3-696)+(1.100835+(0.039423-0.35496))+0--97.8--0.0498779999999901</f>
        <v>1638.435176</v>
      </c>
      <c r="X297" s="3">
        <f>2218.5+(87.5-680.1)+(-3.394305+(-0.133875--1.040553))+0--97.5-0.149175000000006</f>
        <v>1720.7631980000001</v>
      </c>
      <c r="Y297" s="3">
        <f>2242.5+(83.6-748.9)+(-4.5747+(-0.170544--1.527756))+0--97.8-0.199511999999996</f>
        <v>1671.5830000000001</v>
      </c>
      <c r="Z297" s="3">
        <f>2251.1+(81.6-809.2)+(-4.592244+(-0.166464--1.650768))+0--106.7-0.217667999999995</f>
        <v>1626.8743919999999</v>
      </c>
      <c r="AA297" s="3">
        <f>2255.6+(90.5-845.4)+(-4.601424+(-0.18462--1.724616))+0--104.1-0.212363999999995</f>
        <v>1601.5262079999998</v>
      </c>
      <c r="AB297" s="3">
        <f>2259.8+(81-923.2)+(-3.457494+(-0.12393--1.412496))+0--103.9-0.158967000000006</f>
        <v>1519.1721050000001</v>
      </c>
      <c r="AC297" s="3">
        <f>2219+(79.5-985.3)+(-7.92183+(-0.283815--3.517521))+0--102.4-0.365568000000001</f>
        <v>1410.5463080000002</v>
      </c>
      <c r="AD297">
        <f t="shared" si="4"/>
        <v>34044.057502000003</v>
      </c>
      <c r="AE297" s="3">
        <f>2177.3+(113.5-625.9)+(0+(0-0))+0--102-0</f>
        <v>1766.9</v>
      </c>
    </row>
    <row r="298" spans="1:31" s="2" customFormat="1" x14ac:dyDescent="0.25">
      <c r="A298">
        <v>89</v>
      </c>
      <c r="B298">
        <v>10</v>
      </c>
      <c r="C298">
        <v>22</v>
      </c>
      <c r="D298">
        <v>5</v>
      </c>
      <c r="E298">
        <v>1</v>
      </c>
      <c r="F298" s="3">
        <f>1949.9+(141.4-849.2)+(1.988898+(0.144228-0.866184))+0--35.7--0.0364140000000057</f>
        <v>1279.1033559999998</v>
      </c>
      <c r="G298" s="3">
        <f>1864.5+(148.2-838.4)+(0+(0-0))+0--30.2-0</f>
        <v>1204.5</v>
      </c>
      <c r="H298" s="3">
        <f>1822.9+(148-823.9)+(0+(0-0))+0--30.3-0</f>
        <v>1177.3</v>
      </c>
      <c r="I298" s="3">
        <f>1812+(171.1-842.2)+(0+(0-0))+0--30.4-0</f>
        <v>1171.3000000000002</v>
      </c>
      <c r="J298" s="3">
        <f>1758.9+(166.7-784.7)+(4.485195+(0.425085-2.000985))+0--30.3--0.0772649999999956</f>
        <v>1174.1865599999999</v>
      </c>
      <c r="K298" s="3">
        <f>1764+(132.4-711)+(0+(0-0))+0--31.1-0</f>
        <v>1216.5</v>
      </c>
      <c r="L298" s="3">
        <f>1982.1+(91.5-756.7)+(-1.010871+(-0.046665--0.385917))+0--31.6-0.0161159999999968</f>
        <v>1347.8122649999998</v>
      </c>
      <c r="M298" s="3">
        <f>1954.2+(89.2-761)+(0.996642+(0.045492-0.38811))+0--95.6--0.0487559999999903</f>
        <v>1378.7027799999998</v>
      </c>
      <c r="N298" s="3">
        <f>2100.2+(93.4-835.1)+(4.284408+(0.190536-1.703604))+0--100.7--0.205427999999996</f>
        <v>1462.1767679999998</v>
      </c>
      <c r="O298" s="3">
        <f>2199.9+(89.4-881.6)+(2.243898+(0.091188-0.899232))+0--101.8--0.103836000000016</f>
        <v>1511.0396900000001</v>
      </c>
      <c r="P298" s="3">
        <f>2191.7+(91.3-846.7)+(4.471068+(0.186252-1.727268))+0--102.2--0.208487999999996</f>
        <v>1541.6385399999997</v>
      </c>
      <c r="Q298" s="3">
        <f>2183.3+(90.8-832.6)+(0+(0-0))+0--101.6-0</f>
        <v>1543.1</v>
      </c>
      <c r="R298" s="3">
        <f>2178.3+(24.4-881)+(-3.332799+(-0.037332--1.34793))+0-6--0.00918000000000035</f>
        <v>1313.6869790000003</v>
      </c>
      <c r="S298" s="3">
        <f>2173.1+(26.7-881.7)+(-4.433124+(-0.054468--1.798668))+0-6--0.0122399999999997</f>
        <v>1309.4233159999999</v>
      </c>
      <c r="T298" s="3">
        <f>2166.4+(88.2-906.4)+(0+(0-0))+0-6-0</f>
        <v>1342.2000000000003</v>
      </c>
      <c r="U298" s="3">
        <f>2105.4+(88-858.3)+(-2.147508+(-0.08976--0.875466))+0-6--0.00612000000000096</f>
        <v>1327.7443180000002</v>
      </c>
      <c r="V298" s="3">
        <f>2106+(33.1-823.2)+(-6.44436+(-0.101286--2.518992))+0-6--0.0183600000000007</f>
        <v>1305.8917060000001</v>
      </c>
      <c r="W298" s="3">
        <f>2181.9+(87.5-710.2)+(-1.112769+(-0.044625--0.362202))+0-6--0.00305999999999939</f>
        <v>1552.407868</v>
      </c>
      <c r="X298" s="3">
        <f>2196.2+(94.9-671.1)+(-3.360186+(-0.145197--1.026783))+0--99.9-0.152847000000006</f>
        <v>1717.2685529999999</v>
      </c>
      <c r="Y298" s="3">
        <f>2189.9+(95.4-702.4)+(-2.233698+(-0.097308--0.716448))+0--100.6-0.102612000000016</f>
        <v>1681.7828300000001</v>
      </c>
      <c r="Z298" s="3">
        <f>2188+(91.9-769.8)+(-1.11588+(-0.046869--0.392598))+0--101.3-0.0516629999999897</f>
        <v>1610.578186</v>
      </c>
      <c r="AA298" s="3">
        <f>2183+(98.2-795)+(-1.11333+(-0.050082--0.40545))+0--102-0.0520199999999897</f>
        <v>1587.3900180000001</v>
      </c>
      <c r="AB298" s="3">
        <f>2169.8+(91.7-852.7)+(-1.106598+(-0.046767--0.434877))+0--102.1-0.0520709999999896</f>
        <v>1510.129441</v>
      </c>
      <c r="AC298" s="3">
        <f>2171+(83.5-945.7)+(-2.21442+(-0.08517--0.964614))+0--103.1-0.105162000000016</f>
        <v>1410.4598619999997</v>
      </c>
      <c r="AD298">
        <f t="shared" si="4"/>
        <v>33676.323036000002</v>
      </c>
      <c r="AE298" s="3">
        <f>2251.3+(92.8-684.9)+(0+(0-0))+0--103-0</f>
        <v>1762.2000000000003</v>
      </c>
    </row>
    <row r="299" spans="1:31" s="2" customFormat="1" x14ac:dyDescent="0.25">
      <c r="A299">
        <v>89</v>
      </c>
      <c r="B299">
        <v>10</v>
      </c>
      <c r="C299">
        <v>23</v>
      </c>
      <c r="D299">
        <v>6</v>
      </c>
      <c r="E299">
        <v>1</v>
      </c>
      <c r="F299" s="3">
        <f>2016.2+(80.2-875.8)+(-3.084786+(-0.122706--1.339974))+0--102.3-0.156519000000006</f>
        <v>1320.875963</v>
      </c>
      <c r="G299" s="3">
        <f>1979.6+(74.5-903.9)+(0+(0-0))+0--102.8-0</f>
        <v>1252.9999999999998</v>
      </c>
      <c r="H299" s="3">
        <f>1981.7+(72.1-933.9)+(1.010667+(0.036771-0.476289))+0--102.5--0.0522749999999896</f>
        <v>1223.0234240000002</v>
      </c>
      <c r="I299" s="3">
        <f>1965+(71.4-932.9)+(1.00215+(0.036414-0.475779))+0--103.2--0.0526319999999895</f>
        <v>1207.315417</v>
      </c>
      <c r="J299" s="3">
        <f>1896.2+(67-863.6)+(1.934124+(0.06834-0.880872))+0--103.2--0.105264000000016</f>
        <v>1204.026856</v>
      </c>
      <c r="K299" s="3">
        <f>1935+(60.7-855.4)+(1.9737+(0.061914-0.872508))+0--103.4--0.105468000000016</f>
        <v>1244.9685740000002</v>
      </c>
      <c r="L299" s="3">
        <f>1935.2+(63.6-788.8)+(0+(0-0))+0--104.8-0</f>
        <v>1314.8</v>
      </c>
      <c r="M299" s="3">
        <f>2025.8+(72.7-846.4)+(-1.033158+(-0.037077--0.431664))+0--105.3-0.0537029999999893</f>
        <v>1356.7077259999999</v>
      </c>
      <c r="N299" s="3">
        <f>2110.4+(81.2-854.3)+(-2.152608+(-0.082824--0.871386))+0--104.2-0.106284000000017</f>
        <v>1440.0296700000004</v>
      </c>
      <c r="O299" s="3">
        <f>2133.6+(81.6-809.9)+(1.088136+(0.041616-0.413049))+0--103.3--0.0526829999999895</f>
        <v>1509.3693859999998</v>
      </c>
      <c r="P299" s="3">
        <f>2138.7+(80.3-785.8)+(2.181474+(0.081906-0.801516))+0--102.8--0.104856000000016</f>
        <v>1537.5667199999998</v>
      </c>
      <c r="Q299" s="3">
        <f>2163.5+(72.9-808.8)+(-1.103385+(-0.037179--0.412488))+0--102.1-0.0520709999999896</f>
        <v>1528.9198529999996</v>
      </c>
      <c r="R299" s="3">
        <f>2129.3+(68.7-818.4)+(-1.085943+(-0.035037--0.417384))+0--86.4-0.0440639999999912</f>
        <v>1465.2523400000005</v>
      </c>
      <c r="S299" s="3">
        <f>2091.8+(75.4-824.7)+(0+(0-0))+0--96.8-0</f>
        <v>1439.3</v>
      </c>
      <c r="T299" s="3">
        <f>2053.9+(77.1-813)+(-4.189956+(-0.157284--1.65852))+0--97-0.197879999999996</f>
        <v>1412.1134</v>
      </c>
      <c r="U299" s="3">
        <f>2035.2+(67.9-810)+(0+(0-0))+0--97.2-0</f>
        <v>1390.3</v>
      </c>
      <c r="V299" s="3">
        <f>2049.5+(62.6-807.6)+(-1.045245+(-0.031926--0.411876))+0--97.1-0.0495209999999901</f>
        <v>1400.885184</v>
      </c>
      <c r="W299" s="3">
        <f>2171.1+(77.1-746.6)+(0+(0-0))+0--98.1-0</f>
        <v>1599.6999999999998</v>
      </c>
      <c r="X299" s="3">
        <f>2200.1+(76.9-706.3)+(-2.244102+(-0.078438--0.720426))+0--98.1-0.100062000000016</f>
        <v>1667.0978239999997</v>
      </c>
      <c r="Y299" s="3">
        <f>2210.8+(82.3-770.8)+(-2.255016+(-0.083946--0.786216))+0--98.5-0.100470000000016</f>
        <v>1619.146784</v>
      </c>
      <c r="Z299" s="3">
        <f>2167.9+(82.1-801.9)+(-2.211258+(-0.083742--0.817938))+0--99.1-0.101082000000016</f>
        <v>1545.6218560000002</v>
      </c>
      <c r="AA299" s="3">
        <f>2154.7+(82.1-799.5)+(2.197794+(0.083742-0.81549))+0--99.3--0.101286000000016</f>
        <v>1538.1673319999998</v>
      </c>
      <c r="AB299" s="3">
        <f>2144.9+(77.9-855.4)+(-2.187798+(-0.079458--0.872508))+0--99.4-0.101388000000016</f>
        <v>1465.3038640000002</v>
      </c>
      <c r="AC299" s="3">
        <f>2099.5+(72.1-901.8)+(-3.212235+(-0.110313--1.379754))+0--100.7-0.154071000000006</f>
        <v>1368.4031350000002</v>
      </c>
      <c r="AD299">
        <f t="shared" si="4"/>
        <v>34051.895307999999</v>
      </c>
      <c r="AE299" s="3">
        <f>2202.3+(82.3-672)+(0+(0-0))+0--96-0</f>
        <v>1708.6000000000001</v>
      </c>
    </row>
    <row r="300" spans="1:31" s="2" customFormat="1" x14ac:dyDescent="0.25">
      <c r="A300">
        <v>89</v>
      </c>
      <c r="B300">
        <v>10</v>
      </c>
      <c r="C300">
        <v>24</v>
      </c>
      <c r="D300">
        <v>7</v>
      </c>
      <c r="E300">
        <v>1</v>
      </c>
      <c r="F300" s="3">
        <f>1952.3+(67.1-826.9)+(0+(0-0))+0--102.9-0</f>
        <v>1295.4000000000001</v>
      </c>
      <c r="G300" s="3">
        <f>1956.7+(61.8-904.8)+(-2.993751+(-0.094554--1.384344))+0--102.8-0.157284000000006</f>
        <v>1214.6387549999999</v>
      </c>
      <c r="H300" s="3">
        <f>1956.3+(51.9-933.3)+(-0.997713+(-0.026469--0.475983))+0--103.7-0.0528869999999895</f>
        <v>1177.998914</v>
      </c>
      <c r="I300" s="3">
        <f>1968+(52.7-947.5)+(1.00368+(0.026877-0.483225))+0--103.2--0.0526319999999895</f>
        <v>1176.9999640000001</v>
      </c>
      <c r="J300" s="3">
        <f>1967.1+(51-949.1)+(1.003221+(0.02601-0.484041))+0--103--0.0525299999999896</f>
        <v>1172.59772</v>
      </c>
      <c r="K300" s="3">
        <f>1968.8+(50.5-919.3)+(4.016352+(0.10302-1.875372))+0--100.1--0.204203999999996</f>
        <v>1202.5482039999997</v>
      </c>
      <c r="L300" s="3">
        <f>2046+(57.1-911.8)+(-3.13038+(-0.087363--1.395054))+0--61.5-0.0940950000000036</f>
        <v>1250.8832160000002</v>
      </c>
      <c r="M300" s="3">
        <f>2050.6+(53.8-890.2)+(-4.183224+(-0.109752--1.816008))+0--32.3-0.0658919999999986</f>
        <v>1243.9571399999998</v>
      </c>
      <c r="N300" s="3">
        <f>2091.4+(60.4-875.3)+(3.199842+(0.092412-1.339209))+0--32.5--0.0497250000000019</f>
        <v>1311.0027700000001</v>
      </c>
      <c r="O300" s="3">
        <f>2092+(64.4-813.5)+(-2.13384+(-0.065688--0.82977))+0--34.1-0.0347820000000054</f>
        <v>1375.59546</v>
      </c>
      <c r="P300" s="3">
        <f>2101.5+(63.8-833.4)+(-2.14353+(-0.065076--0.850068))+0--96.1-0.0980220000000153</f>
        <v>1426.5434399999999</v>
      </c>
      <c r="Q300" s="3">
        <f>2070.9+(65.8-799.4)+(-3.168477+(-0.100674--1.223082))+0--96.4-0.147492000000006</f>
        <v>1431.5064390000002</v>
      </c>
      <c r="R300" s="3">
        <f>1970.9+(60.4-763.5)+(-4.020636+(-0.123216--1.55754))+0--96-0.195839999999996</f>
        <v>1361.0178480000002</v>
      </c>
      <c r="S300" s="3">
        <f>1937.8+(61.5-745.9)+(-2.964834+(-0.094095--1.141227))+0--95.8-0.146574000000006</f>
        <v>1347.135724</v>
      </c>
      <c r="T300" s="3">
        <f>1875.5+(66.3-735)+(-0.956505+(-0.033813--0.37485))+0--89.8-0.0457979999999909</f>
        <v>1295.9387339999998</v>
      </c>
      <c r="U300" s="3">
        <f>1706.5+(63.1-514.7)+(-4.351575+(-0.160905--1.312485))+0--66.2-0.16880999999999</f>
        <v>1317.7311950000003</v>
      </c>
      <c r="V300" s="3">
        <f>1776.4+(63.7-593.6)+(-4.52982+(-0.162435--1.51368))+0--95.9-0.244544999999986</f>
        <v>1338.9768800000002</v>
      </c>
      <c r="W300" s="3">
        <f>2059.1+(74.7-733)+(-3.150423+(-0.114291--1.12149))+0--96.6-0.147798000000006</f>
        <v>1495.108978</v>
      </c>
      <c r="X300" s="3">
        <f>2158.1+(77.8-729.2)+(-1.100631+(-0.039678--0.371892))+0--96.6-0.0492659999999902</f>
        <v>1602.4823169999997</v>
      </c>
      <c r="Y300" s="3">
        <f>2123.4+(76.4-729.9)+(-3.248802+(-0.116892--1.116747))+0--96.5-0.147645000000006</f>
        <v>1564.003408</v>
      </c>
      <c r="Z300" s="3">
        <f>2123.5+(73-775.8)+(1.082985+(0.03723-0.395658))+0--96.8--0.0493679999999902</f>
        <v>1518.273925</v>
      </c>
      <c r="AA300" s="3">
        <f>2126.7+(73.8-796)+(-1.084617+(-0.037638--0.40596))+0--96.7-0.0493169999999902</f>
        <v>1500.4343879999999</v>
      </c>
      <c r="AB300" s="3">
        <f>2127.7+(70.3-875.2)+(-3.255381+(-0.107559--1.339056))+0--96.9-0.148257000000006</f>
        <v>1417.5278589999998</v>
      </c>
      <c r="AC300" s="3">
        <f>2075.9+(62.8-925.3)+(2.117418+(0.064056-0.943806))+0--97.4--0.0993480000000155</f>
        <v>1312.1370160000001</v>
      </c>
      <c r="AD300">
        <f t="shared" si="4"/>
        <v>32350.440294</v>
      </c>
      <c r="AE300" s="3">
        <f>2218.3+(76-756.5)+(0+(0-0))+0--95-0</f>
        <v>1632.8000000000002</v>
      </c>
    </row>
    <row r="301" spans="1:31" s="2" customFormat="1" x14ac:dyDescent="0.25">
      <c r="A301">
        <v>89</v>
      </c>
      <c r="B301">
        <v>10</v>
      </c>
      <c r="C301">
        <v>25</v>
      </c>
      <c r="D301">
        <v>1</v>
      </c>
      <c r="E301">
        <v>1</v>
      </c>
      <c r="F301" s="3">
        <f>1902.7+(59.5-892.7)+(-2.911131+(-0.091035--1.365831))+0--97.4-0.149022000000006</f>
        <v>1165.1146430000001</v>
      </c>
      <c r="G301" s="3">
        <f>1812.8+(57.1-827.5)+(0+(0-0))+0--97.2-0</f>
        <v>1139.6000000000001</v>
      </c>
      <c r="H301" s="3">
        <f>1811.2+(55.4-849.6)+(-1.847424+(-0.056508--0.866592))+0--97-0.0989400000000155</f>
        <v>1112.8637200000001</v>
      </c>
      <c r="I301" s="3">
        <f>1813.7+(54.1-849.1)+(1.849974+(0.055182-0.866082))+0--87.5--0.089250000000014</f>
        <v>1107.3283240000001</v>
      </c>
      <c r="J301" s="3">
        <f>1760.9+(61.2-743.5)+(1.796118+(0.062424-0.75837))+0--32--0.0326400000000051</f>
        <v>1111.732812</v>
      </c>
      <c r="K301" s="3">
        <f>1778.1+(62.6-717.9)+(-1.813662+(-0.063852--0.732258))+0--31.7-0.0323340000000051</f>
        <v>1153.32241</v>
      </c>
      <c r="L301" s="3">
        <f>1920+(62.1-804.3)+(-2.9376+(-0.095013--1.230579))+0--86.7-0.132651000000005</f>
        <v>1262.5653150000003</v>
      </c>
      <c r="M301" s="3">
        <f>2121+(68.9-831.7)+(-1.08171+(-0.035139--0.424167))+0--97.6-0.0497759999999901</f>
        <v>1455.0575419999996</v>
      </c>
      <c r="N301" s="3">
        <f>2150.2+(74.2-874.3)+(1.096602+(0.037842-0.445893))+0--90.8--0.0463079999999908</f>
        <v>1441.6348589999998</v>
      </c>
      <c r="O301" s="3">
        <f>2190.8+(74.7-865.7)+(1.117308+(0.038097-0.441507))+0--91.4--0.0466139999999907</f>
        <v>1491.9605120000003</v>
      </c>
      <c r="P301" s="3">
        <f>2178.8+(76-848.8)+(0+(0-0))+0--97-0</f>
        <v>1503.0000000000002</v>
      </c>
      <c r="Q301" s="3">
        <f>2077.6+(74.2-746.9)+(0+(0-0))+0--96.1-0</f>
        <v>1501</v>
      </c>
      <c r="R301" s="3">
        <f>2036.8+(56-724.6)+(-1.038768+(-0.02856--0.369546))+0--95.1-0.0485009999999904</f>
        <v>1462.5537169999998</v>
      </c>
      <c r="S301" s="3">
        <f>1997.9+(61-702)+(0+(0-0))+0--94.8-0</f>
        <v>1451.7</v>
      </c>
      <c r="T301" s="3">
        <f>1928.2+(61-749.4)+(0.983382+(0.03111-0.382194))+0--94.3--0.0480929999999904</f>
        <v>1334.780391</v>
      </c>
      <c r="U301" s="3">
        <f>1900.8+(62.4-617.8)+(0.969408+(0.031824-0.315078))+0--125.9--0.0642089999999872</f>
        <v>1472.0503630000001</v>
      </c>
      <c r="V301" s="3">
        <f>1929.1+(65.8-730.2)+(-0.983841+(-0.033558--0.372402))+0--223.4-0.113933999999977</f>
        <v>1487.3410689999998</v>
      </c>
      <c r="W301" s="3">
        <f>2193.9+(63-883.3)+(1.118889+(0.03213-0.450483))+0--236.2--0.120461999999976</f>
        <v>1610.6209980000003</v>
      </c>
      <c r="X301" s="3">
        <f>2317.6+(64-876.2)+(-4.727904+(-0.13056--1.787448))+0--237.9-0.48531599999999</f>
        <v>1739.7436679999998</v>
      </c>
      <c r="Y301" s="3">
        <f>2378.3+(59-1048.7)+(-1.212933+(-0.03009--0.534837))+0--238.4-0.121583999999976</f>
        <v>1626.1702300000002</v>
      </c>
      <c r="Z301" s="3">
        <f>2230.9+(57-1004.7)+(-5.688795+(-0.14535--2.561985))+0--238.4-0.607919999999965</f>
        <v>1517.7199200000002</v>
      </c>
      <c r="AA301" s="3">
        <f>2029.8+(66.5-837.6)+(-3.105594+(-0.101745--1.281528))+0--239.4-0.366282000000014</f>
        <v>1495.8079069999999</v>
      </c>
      <c r="AB301" s="3">
        <f>1943.4+(59.9-815.8)+(-1.982268+(-0.061098--0.832116))+0--238.7-0.243474000000038</f>
        <v>1424.7452759999999</v>
      </c>
      <c r="AC301" s="3">
        <f>1853.8+(58.4-823.8)+(-4.72719+(-0.14892--2.10069))+0--237.9-0.606644999999965</f>
        <v>1322.9179350000002</v>
      </c>
      <c r="AD301">
        <f t="shared" si="4"/>
        <v>33391.331610999994</v>
      </c>
      <c r="AE301" s="3">
        <f>2235.3+(70-858.1)+(0+(0-0))+0--234-0</f>
        <v>1681.2000000000003</v>
      </c>
    </row>
    <row r="302" spans="1:31" s="2" customFormat="1" x14ac:dyDescent="0.25">
      <c r="A302">
        <v>89</v>
      </c>
      <c r="B302">
        <v>10</v>
      </c>
      <c r="C302">
        <v>26</v>
      </c>
      <c r="D302">
        <v>2</v>
      </c>
      <c r="E302">
        <v>1</v>
      </c>
      <c r="F302" s="3">
        <f>1630.3+(61.1-774.2)+(-0.831453+(-0.031161--0.394842))+0--236.7-0.120716999999976</f>
        <v>1153.3115109999999</v>
      </c>
      <c r="G302" s="3">
        <f>1601.8+(60.5-700.3)+(-1.633836+(-0.06171--0.714306))+0--238.7-0.243474000000038</f>
        <v>1199.4752859999999</v>
      </c>
      <c r="H302" s="3">
        <f>1647.7+(59.4-787.6)+(-2.520981+(-0.090882--1.205028))+0--237.2-0.362916000000014</f>
        <v>1154.930249</v>
      </c>
      <c r="I302" s="3">
        <f>1672.3+(59.8-855.8)+(-1.705746+(-0.060996--0.872916))+0--238.4-0.243168000000038</f>
        <v>1113.5630060000001</v>
      </c>
      <c r="J302" s="3">
        <f>1766.2+(58.5-907.6)+(-4.50381+(-0.149175--2.31438))+0--214-0.545699999999969</f>
        <v>1128.2156950000001</v>
      </c>
      <c r="K302" s="3">
        <f>1821.7+(52.3-833.9)+(1.858134+(0.053346-0.850578))+0--90.5--0.0923100000000144</f>
        <v>1131.7532119999998</v>
      </c>
      <c r="L302" s="3">
        <f>1826.8+(55.6-750.6)+(-5.590008+(-0.170136--2.296836))+0--90.5-0.27693000000001</f>
        <v>1218.5597619999999</v>
      </c>
      <c r="M302" s="3">
        <f>1858.7+(61-748)+(-0.947937+(-0.03111--0.38148))+0--90.9-0.0463589999999908</f>
        <v>1261.9560740000002</v>
      </c>
      <c r="N302" s="3">
        <f>1850.7+(65.4-773.8)+(-3.775428+(-0.133416--1.578552))+0--207.7-0.423707999999991</f>
        <v>1347.2460000000001</v>
      </c>
      <c r="O302" s="3">
        <f>1902+(69.4-783.8)+(0+(0-0))+0--224.5-0</f>
        <v>1412.1</v>
      </c>
      <c r="P302" s="3">
        <f>2001.6+(74.8-929.9)+(-2.041632+(-0.076296--0.948498))+0--292-0.297840000000047</f>
        <v>1437.0327300000001</v>
      </c>
      <c r="Q302" s="3">
        <f>1973.4+(78.5-972.1)+(-2.012868+(-0.08007--0.991542))+0--317.5-0.323850000000051</f>
        <v>1395.8747540000002</v>
      </c>
      <c r="R302" s="3">
        <f>1918+(62.4-951.2)+(0+(0-0))+0--315.6-0</f>
        <v>1344.7999999999997</v>
      </c>
      <c r="S302" s="3">
        <f>1891.4+(65.2-950.1)+(-0.964614+(-0.033252--0.484551))+0--313.8-0.160037999999968</f>
        <v>1319.626647</v>
      </c>
      <c r="T302" s="3">
        <f>1859.7+(63-960.5)+(-1.896894+(-0.06426--0.97971))+0--312.7-0.31895400000005</f>
        <v>1273.599602</v>
      </c>
      <c r="U302" s="3">
        <f>1812.8+(65-945)+(-1.849056+(-0.0663--0.9639))+0--313.8-0.32007600000005</f>
        <v>1245.3284679999999</v>
      </c>
      <c r="V302" s="3">
        <f>1775.3+(63-896.7)+(-3.621612+(-0.12852--1.829268))+0--314.9-0.642395999999986</f>
        <v>1253.9367399999999</v>
      </c>
      <c r="W302" s="3">
        <f>1969.4+(69-930.7)+(0+(0-0))+0--314.9-0</f>
        <v>1422.6</v>
      </c>
      <c r="X302" s="3">
        <f>1995.3+(74-843.1)+(-1.017603+(-0.03774--0.429981))+0--315.9-0.161108999999968</f>
        <v>1541.3135289999998</v>
      </c>
      <c r="Y302" s="3">
        <f>1983.1+(75-867.5)+(-5.056905+(-0.19125--2.212125))+0--316-0.805799999999954</f>
        <v>1502.7581700000001</v>
      </c>
      <c r="Z302" s="3">
        <f>1925.4+(76.6-845.1)+(-2.945862+(-0.117198--1.293003))+0--315.9-0.483327000000018</f>
        <v>1470.5466160000001</v>
      </c>
      <c r="AA302" s="3">
        <f>1670.6+(82.7-699.9)+(-3.408024+(-0.168708--1.427796))+0--316.1-0.644843999999986</f>
        <v>1366.70622</v>
      </c>
      <c r="AB302" s="3">
        <f>1513.6+(80.7-652.9)+(0+(0-0))+0--316.6-0</f>
        <v>1258</v>
      </c>
      <c r="AC302" s="3">
        <f>1460.8+(79.4-576.9)+(-5.215056+(-0.283458--2.059533))+0--307.5-1.097775</f>
        <v>1266.263244</v>
      </c>
      <c r="AD302">
        <f t="shared" si="4"/>
        <v>31219.497514999999</v>
      </c>
      <c r="AE302" s="3">
        <f>1994.3+(156.7-758.3)+(0+(0-0))+0--316-0</f>
        <v>1708.7</v>
      </c>
    </row>
    <row r="303" spans="1:31" s="2" customFormat="1" x14ac:dyDescent="0.25">
      <c r="A303">
        <v>89</v>
      </c>
      <c r="B303">
        <v>10</v>
      </c>
      <c r="C303">
        <v>27</v>
      </c>
      <c r="D303">
        <v>3</v>
      </c>
      <c r="E303">
        <v>1</v>
      </c>
      <c r="F303" s="3">
        <f>1320.4+(76.8-524.1)+(-1.346808+(-0.078336--0.534582))+0--199.6-0.203592000000032</f>
        <v>1071.6058459999999</v>
      </c>
      <c r="G303" s="3">
        <f>1262.3+(85.1-475.1)+(-3.218865+(-0.217005--1.211505))+0--169.6-0.432479999999975</f>
        <v>1039.2431549999999</v>
      </c>
      <c r="H303" s="3">
        <f>1270.3+(79.6-511.9)+(1.295706+(0.081192-0.522138))+0--169.2--0.172584000000027</f>
        <v>1008.227344</v>
      </c>
      <c r="I303" s="3">
        <f>1269.5+(94.7-530.8)+(0+(0-0))+0--168-0</f>
        <v>1001.4000000000001</v>
      </c>
      <c r="J303" s="3">
        <f>1304.7+(66.3-538.2)+(0.665397+(0.033813-0.274482))+0--168.4--0.0858839999999829</f>
        <v>1001.7106119999999</v>
      </c>
      <c r="K303" s="3">
        <f>1436.6+(57.3-560.6)+(-3.66333+(-0.146115--1.42953))+0--134-0.341699999999981</f>
        <v>1064.578385</v>
      </c>
      <c r="L303" s="3">
        <f>1225.4+(52-273.8)+(0+(0-0))+0--173-0</f>
        <v>1176.6000000000001</v>
      </c>
      <c r="M303" s="3">
        <f>1340.6+(56-437.9)+(-2.051118+(-0.08568--0.669987))+0--280-0.428400000000016</f>
        <v>1236.804789</v>
      </c>
      <c r="N303" s="3">
        <f>1462.4+(62-508.2)+(-2.237472+(-0.09486--0.777546))+0--291-0.445230000000017</f>
        <v>1305.1999840000001</v>
      </c>
      <c r="O303" s="3">
        <f>1542+(67-518)+(0.78642+(0.03417-0.26418))+0--288--0.146879999999971</f>
        <v>1379.7032899999999</v>
      </c>
      <c r="P303" s="3">
        <f>1723.9+(67-663.2)+(-4.395945+(-0.17085--1.69116))+0--327-0.833849999999953</f>
        <v>1450.990515</v>
      </c>
      <c r="Q303" s="3">
        <f>1714.6+(64-723.5)+(0.874446+(0.03264-0.368985))+0--357--0.182069999999964</f>
        <v>1412.8201710000001</v>
      </c>
      <c r="R303" s="3">
        <f>1621.8+(63.5-721)+(-4.13559+(-0.161925--1.83855))+0--313.2-0.798659999999955</f>
        <v>1274.242375</v>
      </c>
      <c r="S303" s="3">
        <f>1523.6+(81.9-649.7)+(0+(0-0))+0--312.8-0</f>
        <v>1268.5999999999999</v>
      </c>
      <c r="T303" s="3">
        <f>1487+(76.3-594.3)+(-2.27511+(-0.116739--0.909279))+0--284.8-0.435744000000016</f>
        <v>1251.8816859999999</v>
      </c>
      <c r="U303" s="3">
        <f>1499.9+(73.4-588.6)+(-1.529898+(-0.074868--0.600372))+0--236.8-0.241536000000038</f>
        <v>1220.25407</v>
      </c>
      <c r="V303" s="3">
        <f>1548.4+(69.6-603.8)+(-0.789684+(-0.035496--0.307938))+0--255.4-0.130253999999974</f>
        <v>1268.9525040000003</v>
      </c>
      <c r="W303" s="3">
        <f>1731.3+(74.6-675.4)+(-0.882963+(-0.038046--0.344454))+0--310.7-0.158456999999968</f>
        <v>1440.4649879999999</v>
      </c>
      <c r="X303" s="3">
        <f>1985.2+(84.5-799.8)+(-3.037356+(-0.129285--1.223694))+0--311.7-0.476901000000018</f>
        <v>1579.1801520000001</v>
      </c>
      <c r="Y303" s="3">
        <f>1884.3+(85.3-767.9)+(-2.882979+(-0.130509--1.174887))+0--312.4-0.477972000000018</f>
        <v>1511.7834270000001</v>
      </c>
      <c r="Z303" s="3">
        <f>1869.6+(83-780.2)+(0+(0-0))+0--312.4-0</f>
        <v>1484.7999999999997</v>
      </c>
      <c r="AA303" s="3">
        <f>1938.4+(82.1-878.2)+(0.988584+(0.041871-0.447882))+0--313.4--0.159833999999968</f>
        <v>1456.442407</v>
      </c>
      <c r="AB303" s="3">
        <f>1922+(74.3-933.6)+(-1.96044+(-0.075786--0.952272))+0--313.5-0.31977000000005</f>
        <v>1374.7962759999998</v>
      </c>
      <c r="AC303" s="3">
        <f>1986.7+(64.6-997.4)+(-2.026434+(-0.065892--1.017348))+0--313.7-0.31997400000005</f>
        <v>1366.205048</v>
      </c>
      <c r="AD303">
        <f t="shared" si="4"/>
        <v>30646.487023999995</v>
      </c>
      <c r="AE303" s="3">
        <f>1971.3+(85-775.1)+(0+(0-0))+0--316-0</f>
        <v>1597.1999999999998</v>
      </c>
    </row>
    <row r="304" spans="1:31" s="2" customFormat="1" x14ac:dyDescent="0.25">
      <c r="A304">
        <v>89</v>
      </c>
      <c r="B304">
        <v>10</v>
      </c>
      <c r="C304">
        <v>28</v>
      </c>
      <c r="D304">
        <v>4</v>
      </c>
      <c r="E304">
        <v>1</v>
      </c>
      <c r="F304" s="3">
        <f>1797.9+(49-987.3)+(-5.501574+(-0.14994--3.021138))+0--359-1.09854000000004</f>
        <v>1214.8710840000003</v>
      </c>
      <c r="G304" s="3">
        <f>1797.8+(47-1045.2)+(-0.916878+(-0.02397--0.533052))+0--353-0.180029999999964</f>
        <v>1152.012174</v>
      </c>
      <c r="H304" s="3">
        <f>1781.6+(45-990.7)+(-0.908616+(-0.02295--0.505257))+0--281-0.143309999999971</f>
        <v>1116.330381</v>
      </c>
      <c r="I304" s="3">
        <f>1725.4+(50.4-944.7)+(-2.639862+(-0.077112--1.445391))+0--282-0.431460000000016</f>
        <v>1111.3969570000002</v>
      </c>
      <c r="J304" s="3">
        <f>1731.6+(47.8-937.2)+(0+(0-0))+0--277-0</f>
        <v>1119.1999999999998</v>
      </c>
      <c r="K304" s="3">
        <f>1789.5+(63-1014.5)+(0+(0-0))+0--276-0</f>
        <v>1114</v>
      </c>
      <c r="L304" s="3">
        <f>1881.6+(70.6-1020.4)+(-4.79808+(-0.18003--2.60202))+0--298.4-0.760919999999957</f>
        <v>1227.0629900000001</v>
      </c>
      <c r="M304" s="3">
        <f>1811+(66.5-891.4)+(1.84722+(0.06783-0.909228))+0--279.6--0.285192000000045</f>
        <v>1266.991014</v>
      </c>
      <c r="N304" s="3">
        <f>1997.3+(70.7-996.7)+(1.018623+(0.036057-0.508317))+0--313.8--0.160037999999968</f>
        <v>1385.8064009999998</v>
      </c>
      <c r="O304" s="3">
        <f>2222+(85.7-1220.3)+(-3.39966+(-0.131121--1.867059))+0--309.6-0.473688000000018</f>
        <v>1394.8625900000002</v>
      </c>
      <c r="P304" s="3">
        <f>2403.5+(74.6-1419)+(-1.225785+(-0.038046--0.72369))+0--308.8-0.157487999999969</f>
        <v>1367.2023709999999</v>
      </c>
      <c r="Q304" s="3">
        <f>2455.7+(65-1420.4)+(-2.504814+(-0.0663--1.448808))+0--309.2-0.315384000000049</f>
        <v>1408.0623099999998</v>
      </c>
      <c r="R304" s="3">
        <f>2365.6+(56.1-1366.9)+(-4.825824+(-0.114444--2.788476))+0--308-0.628319999999987</f>
        <v>1360.0198879999998</v>
      </c>
      <c r="S304" s="3">
        <f>2277.1+(67.4-1300.2)+(0+(0-0))+0--311-0</f>
        <v>1355.3</v>
      </c>
      <c r="T304" s="3">
        <f>1940.1+(62-969.3)+(0+(0-0))+0--293-0</f>
        <v>1325.8</v>
      </c>
      <c r="U304" s="3">
        <f>1939.3+(60-975.2)+(-1.978086+(-0.0612--0.994704))+0--318-0.324360000000051</f>
        <v>1340.7310579999998</v>
      </c>
      <c r="V304" s="3">
        <f>1983.6+(58-1036.8)+(-6.069816+(-0.17748--3.172608))+0--318-0.973080000000037</f>
        <v>1318.752232</v>
      </c>
      <c r="W304" s="3">
        <f>2370.2+(63-1222.8)+(-2.417604+(-0.06426--1.247256))+0--313-0.31926000000005</f>
        <v>1521.8461319999999</v>
      </c>
      <c r="X304" s="3">
        <f>2587.4+(67-1336)+(-3.958722+(-0.10251--2.04408))+0--306-0.468180000000018</f>
        <v>1621.9146680000001</v>
      </c>
      <c r="Y304" s="3">
        <f>2504.6+(64-1297.3)+(-2.554692+(-0.06528--1.323246))+0--305-0.311100000000049</f>
        <v>1574.6921739999998</v>
      </c>
      <c r="Z304" s="3">
        <f>2368.7+(62-1230.4)+(-3.624111+(-0.09486--1.882512))+0--306-0.468180000000018</f>
        <v>1503.9953609999995</v>
      </c>
      <c r="AA304" s="3">
        <f>2383.7+(57-1281.1)+(-1.215687+(-0.02907--0.653361))+0--305-0.155549999999969</f>
        <v>1463.8530539999999</v>
      </c>
      <c r="AB304" s="3">
        <f>2473.3+(52-1380.7)+(-1.261383+(-0.02652--0.704157))+0--305-0.155549999999969</f>
        <v>1448.8607040000002</v>
      </c>
      <c r="AC304" s="3">
        <f>2164.3+(67.4-1249.2)+(-3.311379+(-0.103122--1.911276))+0--305-0.466650000000018</f>
        <v>1285.530125</v>
      </c>
      <c r="AD304">
        <f t="shared" si="4"/>
        <v>31999.093667999998</v>
      </c>
      <c r="AE304" s="3">
        <f>2615.3+(59-1348.2)+(0+(0-0))+0--317-0</f>
        <v>1643.1000000000001</v>
      </c>
    </row>
    <row r="305" spans="1:31" s="2" customFormat="1" x14ac:dyDescent="0.25">
      <c r="A305">
        <v>89</v>
      </c>
      <c r="B305">
        <v>10</v>
      </c>
      <c r="C305">
        <v>29</v>
      </c>
      <c r="D305">
        <v>5</v>
      </c>
      <c r="E305">
        <v>1</v>
      </c>
      <c r="F305" s="3">
        <f>1943.1+(63.6-1155.6)+(-4.954905+(-0.16218--2.94678))+0--319-0.813449999999954</f>
        <v>1167.1162449999999</v>
      </c>
      <c r="G305" s="3">
        <f>1907.4+(55.9-1182.2)+(2.918322+(0.085527-1.808766))+0--320--0.489600000000018</f>
        <v>1102.7846830000001</v>
      </c>
      <c r="H305" s="3">
        <f>1873.5+(63.1-1175)+(-2.866455+(-0.096543--1.79775))+0--321-0.491130000000019</f>
        <v>1080.9436219999998</v>
      </c>
      <c r="I305" s="3">
        <f>1856.6+(64.5-1194.1)+(0.946866+(0.032895-0.608991))+0--321--0.163709999999967</f>
        <v>1048.53448</v>
      </c>
      <c r="J305" s="3">
        <f>1856.3+(62.8-1207.9)+(-4.733565+(-0.16014--3.080145))+0--321-0.818549999999953</f>
        <v>1029.5678899999998</v>
      </c>
      <c r="K305" s="3">
        <f>1898.1+(55.1-1198.7)+(0.968031+(0.028101-0.611337))+0--319--0.162689999999968</f>
        <v>1074.0474849999998</v>
      </c>
      <c r="L305" s="3">
        <f>1939.5+(55.2-1123)+(0.989145+(0.028152-0.57273))+0--281--0.143309999999971</f>
        <v>1153.287877</v>
      </c>
      <c r="M305" s="3">
        <f>2041.5+(50.9-1160.7)+(0+(0-0))+0--265-0</f>
        <v>1196.7</v>
      </c>
      <c r="N305" s="3">
        <f>2227.8+(60.8-1323.4)+(3.408534+(0.093024-2.024802))+0--316--0.483480000000018</f>
        <v>1283.1602360000002</v>
      </c>
      <c r="O305" s="3">
        <f>2141.8+(61.7-1149.3)+(0+(0-0))+0--316-0</f>
        <v>1370.2000000000003</v>
      </c>
      <c r="P305" s="3">
        <f>2132.7+(63.9-1125.9)+(-4.350708+(-0.130356--2.296836))+0--316-0.644639999999986</f>
        <v>1383.8711319999998</v>
      </c>
      <c r="Q305" s="3">
        <f>2131.4+(55-1277.7)+(-1.087014+(-0.02805--0.651627))+0--314-0.160139999999968</f>
        <v>1222.076423</v>
      </c>
      <c r="R305" s="3">
        <f>2307.8+(55-1247.7)+(-3.530934+(-0.08415--1.908981))+0--313-0.478890000000018</f>
        <v>1425.9150070000001</v>
      </c>
      <c r="S305" s="3">
        <f>1961.7+(61.2-1129.2)+(-2.000934+(-0.062424--1.151784))+0--312-0.31824000000005</f>
        <v>1204.470186</v>
      </c>
      <c r="T305" s="3">
        <f>1929.6+(61.2-1060.9)+(0+(0-0))+0--312-0</f>
        <v>1241.8999999999999</v>
      </c>
      <c r="U305" s="3">
        <f>1828.7+(61.1-1000.3)+(0+(0-0))+0--311-0</f>
        <v>1200.5</v>
      </c>
      <c r="V305" s="3">
        <f>2001.6+(57.3-1129.7)+(0+(0-0))+0--311-0</f>
        <v>1240.1999999999998</v>
      </c>
      <c r="W305" s="3">
        <f>2291.5+(61.7-1320.4)+(-4.67466+(-0.125868--2.693616))+0--311-0.634439999999986</f>
        <v>1341.0586479999999</v>
      </c>
      <c r="X305" s="3">
        <f>2554.4+(64.2-1393)+(-2.605488+(-0.065484--1.42086))+0--312-0.31824000000005</f>
        <v>1536.0316480000001</v>
      </c>
      <c r="Y305" s="3">
        <f>2559.9+(61.8-1429.2)+(-6.527745+(-0.15759--3.64446))+0--312-0.795599999999955</f>
        <v>1500.6635250000002</v>
      </c>
      <c r="Z305" s="3">
        <f>2470.9+(59.1-1395.1)+(0+(0-0))+0--314-0</f>
        <v>1448.9</v>
      </c>
      <c r="AA305" s="3">
        <f>2492.1+(59.4-1409.4)+(2.541942+(0.060588-1.437588))+0--315--0.32130000000005</f>
        <v>1458.5862420000001</v>
      </c>
      <c r="AB305" s="3">
        <f>2476.8+(55.9-1509)+(2.526336+(0.057018-1.53918))+0--315--0.32130000000005</f>
        <v>1340.0654740000004</v>
      </c>
      <c r="AC305" s="3">
        <f>2196+(55.5-1335.1)+(-4.47984+(-0.11322--2.723604))+0--317-0.646679999999986</f>
        <v>1230.8838640000001</v>
      </c>
      <c r="AD305">
        <f t="shared" si="4"/>
        <v>30281.464667000004</v>
      </c>
      <c r="AE305" s="3">
        <f>2559.3+(54.8-1361.1)+(0+(0-0))+0--314-0</f>
        <v>1567.0000000000002</v>
      </c>
    </row>
    <row r="306" spans="1:31" s="2" customFormat="1" x14ac:dyDescent="0.25">
      <c r="A306">
        <v>89</v>
      </c>
      <c r="B306">
        <v>10</v>
      </c>
      <c r="C306">
        <v>30</v>
      </c>
      <c r="D306">
        <v>6</v>
      </c>
      <c r="E306">
        <v>1</v>
      </c>
      <c r="F306" s="3">
        <f>2036.3+(46.5-1236.9)+(-2.077026+(-0.04743--1.261638))+0--315.5-0.32181000000005</f>
        <v>1160.2153719999999</v>
      </c>
      <c r="G306" s="3">
        <f>1993.3+(43-1290.2)+(0+(0-0))+0--316-0</f>
        <v>1062.0999999999999</v>
      </c>
      <c r="H306" s="3">
        <f>1996.3+(41.4-1323.4)+(0+(0-0))+0--316.8-0</f>
        <v>1031.0999999999999</v>
      </c>
      <c r="I306" s="3">
        <f>1863.7+(49.7-1210.8)+(-0.950487+(-0.025347--0.617508))+0--317.6-0.161975999999968</f>
        <v>1019.6796980000001</v>
      </c>
      <c r="J306" s="3">
        <f>1790.8+(48.7-1132.8)+(-1.826616+(-0.049674--1.155456))+0--318.1-0.324462000000051</f>
        <v>1023.7547039999999</v>
      </c>
      <c r="K306" s="3">
        <f>1867.3+(48.8-1143.1)+(3.809292+(0.099552-2.331924))+0--317.8--0.648311999999986</f>
        <v>1093.025232</v>
      </c>
      <c r="L306" s="3">
        <f>2011.5+(46.1-1225.9)+(1.025865+(0.023511-0.625209))+0--318.2--0.162281999999968</f>
        <v>1150.4864489999998</v>
      </c>
      <c r="M306" s="3">
        <f>2007.2+(51.1-1187.5)+(-3.071016+(-0.078183--1.816875))+0--319.4-0.488682000000018</f>
        <v>1188.3789939999999</v>
      </c>
      <c r="N306" s="3">
        <f>2015.2+(57.1-1157.1)+(0+(0-0))+4.5--317.2-0</f>
        <v>1236.9000000000001</v>
      </c>
      <c r="O306" s="3">
        <f>2032.7+(62-1125.2)+(4.146708+(0.12648-2.295408))+0--316.6--0.645863999999986</f>
        <v>1288.7236440000001</v>
      </c>
      <c r="P306" s="3">
        <f>2033+(61.8-1103.7)+(1.03683+(0.031518-0.562887))+0--314.9--0.160598999999968</f>
        <v>1306.6660599999998</v>
      </c>
      <c r="Q306" s="3">
        <f>2156.6+(58.2-1220.7)+(-4.399464+(-0.118728--2.490228))+0--313.6-0.639743999999986</f>
        <v>1305.0322919999999</v>
      </c>
      <c r="R306" s="3">
        <f>1948.5+(5.5-1007.7)+(1.98747+(0.00561-1.027854))+0--313--0.31926000000005</f>
        <v>1260.584486</v>
      </c>
      <c r="S306" s="3">
        <f>1969.8+(3-1002.2)+(-2.009196+(-0.00306--1.022244))+0--312-0.31824000000005</f>
        <v>1281.2917479999999</v>
      </c>
      <c r="T306" s="3">
        <f>1897.4+(3-960)+(-0.967674+(-0.00153--0.4896))+0--313-0.159629999999968</f>
        <v>1252.7607660000001</v>
      </c>
      <c r="U306" s="3">
        <f>1910.5+(3-1001.4)+(-0.974355+(-0.00153--0.510714))+0--314-0.160139999999968</f>
        <v>1225.4746890000001</v>
      </c>
      <c r="V306" s="3">
        <f>1918.8+(4-998.9)+(0.978588+(0.00204-0.509439))+0--314--0.160139999999968</f>
        <v>1238.5313289999999</v>
      </c>
      <c r="W306" s="3">
        <f>2014.7+(5-934.4)+(-1.027497+(-0.00255--0.476544))+0--315-0.160649999999968</f>
        <v>1399.5858470000001</v>
      </c>
      <c r="X306" s="3">
        <f>2188.3+(5-967)+(-4.464132+(-0.0102--1.97268))+0--315-0.642599999999986</f>
        <v>1538.1557480000004</v>
      </c>
      <c r="Y306" s="3">
        <f>2169.7+(5-961.4)+(-3.319641+(-0.00765--1.470942))+0--315-0.481950000000018</f>
        <v>1525.9617009999997</v>
      </c>
      <c r="Z306" s="3">
        <f>2171+(5-1038.1)+(-5.53605+(-0.01275--2.647155))+0--316-0.805799999999954</f>
        <v>1450.1925550000003</v>
      </c>
      <c r="AA306" s="3">
        <f>2172.5+(4-1062.8)+(2.21595+(0.00408-1.084056))+0--317--0.323340000000051</f>
        <v>1432.1593140000002</v>
      </c>
      <c r="AB306" s="3">
        <f>2172.5+(17-1102)+(3.323925+(0.02601-1.68606))+0--318--0.486540000000018</f>
        <v>1407.6504150000001</v>
      </c>
      <c r="AC306" s="3">
        <f>2135.8+(4.9-1164.6)+(-3.267774+(-0.007497--1.781838))+0--317-0.485010000000018</f>
        <v>1291.1215570000002</v>
      </c>
      <c r="AD306">
        <f t="shared" si="4"/>
        <v>30169.532599999999</v>
      </c>
      <c r="AE306" s="3">
        <f>2198.3+(66.3-1064.3)+(0+(0-0))+0--314-0</f>
        <v>1514.3000000000002</v>
      </c>
    </row>
    <row r="307" spans="1:31" s="2" customFormat="1" x14ac:dyDescent="0.25">
      <c r="A307">
        <v>89</v>
      </c>
      <c r="B307">
        <v>11</v>
      </c>
      <c r="C307">
        <v>1</v>
      </c>
      <c r="D307">
        <v>7</v>
      </c>
      <c r="E307">
        <v>1</v>
      </c>
      <c r="F307" s="3">
        <f>1961+(43-1155.8)+(-5.00055+(-0.10965--2.94729))+0--318.3-0.811664999999954</f>
        <v>1163.525425</v>
      </c>
      <c r="G307" s="3">
        <f>1810.2+(44.1-1012.2)+(-1.846404+(-0.044982--1.032444))+0--241.5-0.246330000000039</f>
        <v>1082.4947280000001</v>
      </c>
      <c r="H307" s="3">
        <f>1783.5+(41-947.5)+(-5.45751+(-0.12546--2.89935))+0--160.2-0.490212000000018</f>
        <v>1034.0261680000001</v>
      </c>
      <c r="I307" s="3">
        <f>1702+(44.9-949.8)+(0+(0-0))+0--202.6-0</f>
        <v>999.7</v>
      </c>
      <c r="J307" s="3">
        <f>1749.5+(40.1-1053.1)+(-0.892245+(-0.020451--0.537081))+0--289.3-0.147542999999971</f>
        <v>1025.276842</v>
      </c>
      <c r="K307" s="3">
        <f>1695.8+(40-938.4)+(0+(0-0))+0--240-0</f>
        <v>1037.4000000000001</v>
      </c>
      <c r="L307" s="3">
        <f>1729.1+(47-1004.3)+(-8.81841+(-0.2397--5.12193))+0--292.7-1.49277000000002</f>
        <v>1059.0710499999998</v>
      </c>
      <c r="M307" s="3">
        <f>1612.1+(40-807.7)+(1.644342+(0.0408-0.823854))+0--174.7--0.178194000000028</f>
        <v>1020.1394819999998</v>
      </c>
      <c r="N307" s="3">
        <f>1604+(44-804.2)+(-4.0902+(-0.1122--2.05071))+0--220.4-0.562019999999968</f>
        <v>1061.4862899999998</v>
      </c>
      <c r="O307" s="3">
        <f>1672.8+(50-781.5)+(-0.853128+(-0.0255--0.398565))+0--188.2-0.0959819999999809</f>
        <v>1128.923955</v>
      </c>
      <c r="P307" s="3">
        <f>1703.6+(52-904.2)+(-3.475344+(-0.10608--1.844568))+0--313.5-0.639539999999986</f>
        <v>1162.523604</v>
      </c>
      <c r="Q307" s="3">
        <f>1805.8+(50-998.4)+(-2.762874+(-0.0765--1.527552))+0--312.6-0.478278000000018</f>
        <v>1168.2098999999998</v>
      </c>
      <c r="R307" s="3">
        <f>1766.7+(50.1-863.4)+(0.901017+(0.025551-0.440334))+0--306.3--0.156212999999969</f>
        <v>1260.342447</v>
      </c>
      <c r="S307" s="3">
        <f>1690.4+(48.8-768.2)+(-3.448416+(-0.099552--1.567128))+0--269.6-0.549983999999988</f>
        <v>1238.0691760000002</v>
      </c>
      <c r="T307" s="3">
        <f>1605.4+(50.3-639.8)+(-0.818754+(-0.025653--0.326298))+0--168-0.085679999999983</f>
        <v>1183.2962110000001</v>
      </c>
      <c r="U307" s="3">
        <f>1612.9+(46.7-669.2)+(-2.467737+(-0.071451--1.023876))+0--167.9-0.25688700000001</f>
        <v>1156.5278010000002</v>
      </c>
      <c r="V307" s="3">
        <f>1772+(46.2-789)+(-3.61488+(-0.094248--1.60956))+0--167.9-0.342515999999993</f>
        <v>1194.6579160000001</v>
      </c>
      <c r="W307" s="3">
        <f>1875.2+(58.5-827.2)+(0.956352+(0.029835-0.421872))+0--232.4--0.118523999999976</f>
        <v>1339.5828390000001</v>
      </c>
      <c r="X307" s="3">
        <f>2130.2+(64.3-962.1)+(-3.259206+(-0.098379--1.472013))+0--318.3-0.486999000000018</f>
        <v>1548.3274289999997</v>
      </c>
      <c r="Y307" s="3">
        <f>2047.8+(64.2-905.4)+(-1.044378+(-0.032742--0.461754))+0--320.9-0.163658999999967</f>
        <v>1526.720975</v>
      </c>
      <c r="Z307" s="3">
        <f>2039.4+(61.4-932.7)+(-4.160376+(-0.125256--1.902708))+0--322.9-0.658715999999986</f>
        <v>1487.9583600000001</v>
      </c>
      <c r="AA307" s="3">
        <f>2017+(59.4-945.6)+(3.08601+(0.090882-1.446768))+0--324.1--0.495873000000019</f>
        <v>1457.1259969999999</v>
      </c>
      <c r="AB307" s="3">
        <f>2024.5+(57.4-1013.9)+(-4.12998+(-0.117096--2.068356))+0--325.8-0.664631999999986</f>
        <v>1390.9566479999999</v>
      </c>
      <c r="AC307" s="3">
        <f>2025.7+(50.1-1101.3)+(-2.066214+(-0.051102--1.123326))+0--325.6-0.332112000000052</f>
        <v>1298.7738979999999</v>
      </c>
      <c r="AD307">
        <f t="shared" si="4"/>
        <v>29025.117141000002</v>
      </c>
      <c r="AE307" s="3">
        <f>2164.3+(65-1072.9)+(0+(0-0))+0--316-0</f>
        <v>1472.4</v>
      </c>
    </row>
    <row r="308" spans="1:31" s="2" customFormat="1" x14ac:dyDescent="0.25">
      <c r="A308">
        <v>89</v>
      </c>
      <c r="B308">
        <v>11</v>
      </c>
      <c r="C308">
        <v>2</v>
      </c>
      <c r="D308">
        <v>1</v>
      </c>
      <c r="E308">
        <v>1</v>
      </c>
      <c r="F308" s="3">
        <f>1874.5+(46-1129.7)+(-6.691965+(-0.16422--4.033029))+0--324-1.15668</f>
        <v>1110.8201639999997</v>
      </c>
      <c r="G308" s="3">
        <f>1782.7+(45-1143.7)+(-3.636708+(-0.0918--2.333148))+0--325-0.662999999999986</f>
        <v>1006.94164</v>
      </c>
      <c r="H308" s="3">
        <f>1727.7+(45-1013.6)+(0.881127+(0.02295-0.516936))+0--247--0.125969999999975</f>
        <v>1006.613111</v>
      </c>
      <c r="I308" s="3">
        <f>1680.9+(46-943.3)+(0+(0-0))+0--164-0</f>
        <v>947.60000000000014</v>
      </c>
      <c r="J308" s="3">
        <f>1833.4+(45-1043.8)+(-2.805102+(-0.06885--1.597014))+0--164-0.250920000000009</f>
        <v>997.0721420000001</v>
      </c>
      <c r="K308" s="3">
        <f>1877+(46-1051.5)+(0.95727+(0.02346-0.536265))+0--164--0.0836399999999834</f>
        <v>1036.0281050000001</v>
      </c>
      <c r="L308" s="3">
        <f>1877+(52.2-962.2)+(0.95727+(0.026622-0.490722))+0--160.7--0.0819569999999837</f>
        <v>1128.2751269999999</v>
      </c>
      <c r="M308" s="3">
        <f>1815.1+(55.8-919.5)+(-1.851402+(-0.056916--0.93789))+0--222.8-0.227256000000036</f>
        <v>1173.0023159999998</v>
      </c>
      <c r="N308" s="3">
        <f>1883.5+(62.6-922.3)+(-1.92117+(-0.063852--0.940746))+0--253-0.25806000000004</f>
        <v>1275.497664</v>
      </c>
      <c r="O308" s="3">
        <f>1961.9+(63.5-1041.6)+(-1.000569+(-0.032385--0.531216))+0--308.4-0.157283999999969</f>
        <v>1291.5409780000002</v>
      </c>
      <c r="P308" s="3">
        <f>2092.1+(59.6-1124.7)+(-4.267884+(-0.121584--2.294388))+0--305.9-0.624035999999987</f>
        <v>1330.1808839999997</v>
      </c>
      <c r="Q308" s="3">
        <f>2106+(59.1-1138.6)+(-3.22218+(-0.090423--1.742058))+0--304.7-0.466191000000018</f>
        <v>1329.163264</v>
      </c>
      <c r="R308" s="3">
        <f>1888.1+(54.3-961.8)+(-4.814655+(-0.138465--2.45259))+0--242.1-0.617354999999965</f>
        <v>1219.5821149999999</v>
      </c>
      <c r="S308" s="3">
        <f>1724.5+(62.3-692.8)+(1.75899+(0.063546-0.706656))+0--161.3--0.164526000000026</f>
        <v>1256.580406</v>
      </c>
      <c r="T308" s="3">
        <f>1973.2+(60.6-918.9)+(-1.006332+(-0.030906--0.468639))+0--161.1-0.0821609999999837</f>
        <v>1275.34924</v>
      </c>
      <c r="U308" s="3">
        <f>1732.5+(67.9-870.3)+(0.883575+(0.034629-0.443853))+0--183.4--0.0935339999999814</f>
        <v>1114.0678850000002</v>
      </c>
      <c r="V308" s="3">
        <f>1797.7+(64.4-905.3)+(0+(0-0))+0--298.7-0</f>
        <v>1255.5</v>
      </c>
      <c r="W308" s="3">
        <f>2094.7+(70.1-910)+(3.204891+(0.107253-1.3923))+0--309.5--0.473535000000018</f>
        <v>1566.6933789999998</v>
      </c>
      <c r="X308" s="3">
        <f>2140.3+(71.1-969.6)+(-3.274659+(-0.108783--1.483488))+0--311.9-0.477207000000018</f>
        <v>1551.3228390000004</v>
      </c>
      <c r="Y308" s="3">
        <f>2095.1+(71.4-968.3)+(-3.205503+(-0.109242--1.481499))+0--313.1-0.479043000000018</f>
        <v>1508.987711</v>
      </c>
      <c r="Z308" s="3">
        <f>2060.4+(75.3-938.5)+(-4.203216+(-0.153612--1.91454))+0--314-0.640559999999986</f>
        <v>1508.117152</v>
      </c>
      <c r="AA308" s="3">
        <f>2144.9+(71.7-1053.6)+(-1.093899+(-0.036567--0.537336))+0--314.4-0.160343999999968</f>
        <v>1476.6465260000004</v>
      </c>
      <c r="AB308" s="3">
        <f>2257.4+(64.5-1243.6)+(-4.605096+(-0.13158--2.536944))+0--314.4-0.641375999999986</f>
        <v>1389.8588920000002</v>
      </c>
      <c r="AC308" s="3">
        <f>2280.1+(54.3-1379.5)+(-9.302808+(-0.221544--5.62836))+0--315.2-1.28601599999997</f>
        <v>1264.9179919999999</v>
      </c>
      <c r="AD308">
        <f t="shared" si="4"/>
        <v>30020.359532000002</v>
      </c>
      <c r="AE308" s="3">
        <f>2146.3+(82-905.6)+(0+(0-0))+0--314-0</f>
        <v>1636.7000000000003</v>
      </c>
    </row>
    <row r="309" spans="1:31" s="2" customFormat="1" x14ac:dyDescent="0.25">
      <c r="A309">
        <v>89</v>
      </c>
      <c r="B309">
        <v>11</v>
      </c>
      <c r="C309">
        <v>3</v>
      </c>
      <c r="D309">
        <v>2</v>
      </c>
      <c r="E309">
        <v>1</v>
      </c>
      <c r="F309" s="3">
        <f>2100.9+(17.9-1306.9)+(-3.214377+(-0.027387--1.999557))+0--318-0.486540000000018</f>
        <v>1128.171253</v>
      </c>
      <c r="G309" s="3">
        <f>2072.6+(15-1225.8)+(-4.228104+(-0.0306--2.500632))+0--302-0.616079999999987</f>
        <v>1161.4258480000001</v>
      </c>
      <c r="H309" s="3">
        <f>1980.9+(10-1130.6)+(-5.051295+(-0.0255--2.88303))+0--162-0.413099999999976</f>
        <v>1019.6931350000002</v>
      </c>
      <c r="I309" s="3">
        <f>1988.8+(10-1143.4)+(1.014288+(0.0051-0.583134))+0--162--0.0826199999999836</f>
        <v>1017.9188739999998</v>
      </c>
      <c r="J309" s="3">
        <f>1963.4+(10-1136.5)+(2.002668+(0.0102-1.15923))+0--162--0.165240000000026</f>
        <v>999.91887800000018</v>
      </c>
      <c r="K309" s="3">
        <f>1963.2+(10-1090.9)+(0+(0-0))+0--162-0</f>
        <v>1044.3</v>
      </c>
      <c r="L309" s="3">
        <f>2136+(45-1180.3)+(-4.35744+(-0.0918--2.407812))+0--161.6-0.329663999999993</f>
        <v>1159.9289079999999</v>
      </c>
      <c r="M309" s="3">
        <f>2115.4+(49-1233.6)+(-2.157708+(-0.04998--1.258272))+0--162.3-0.165546000000026</f>
        <v>1091.9850380000003</v>
      </c>
      <c r="N309" s="3">
        <f>2097+(55.2-1154.8)+(0+(0-0))+0--256.5-0</f>
        <v>1253.9000000000001</v>
      </c>
      <c r="O309" s="3">
        <f>2231.7+(57-1281.3)+(-1.138167+(-0.02907--0.653463))+0--309.4-0.157793999999969</f>
        <v>1316.1284319999997</v>
      </c>
      <c r="P309" s="3">
        <f>2258+(61.2-1278.5)+(-1.15158+(-0.031212--0.652035))+0--308.2-0.157181999999969</f>
        <v>1348.2120610000002</v>
      </c>
      <c r="Q309" s="3">
        <f>2255.8+(60.2-1301.4)+(-2.300916+(-0.061404--1.327428))+0--308.4-0.314568000000049</f>
        <v>1321.6505400000001</v>
      </c>
      <c r="R309" s="3">
        <f>2083+(56.9-1206.7)+(-1.06233+(-0.029019--0.615417))+0--308.7-0.157436999999969</f>
        <v>1241.266631</v>
      </c>
      <c r="S309" s="3">
        <f>2004.4+(63.8-1106.6)+(-1.022244+(-0.032538--0.564366))+0--307.8-0.156977999999969</f>
        <v>1268.7526060000002</v>
      </c>
      <c r="T309" s="3">
        <f>2019.2+(63.7-1146.6)+(-5.14896+(-0.162435--2.92383))+0--308.1-0.785654999999955</f>
        <v>1241.2267800000002</v>
      </c>
      <c r="U309" s="3">
        <f>1969.7+(68.1-1105.4)+(1.004547+(0.034731-0.563754))+0--307.8--0.156977999999969</f>
        <v>1240.8325019999997</v>
      </c>
      <c r="V309" s="3">
        <f>1987.8+(69.2-1117.6)+(-3.041334+(-0.105876--1.709928))+0--310.8-0.475524000000018</f>
        <v>1248.2871940000002</v>
      </c>
      <c r="W309" s="3">
        <f>2269.4+(73.5-1201.8)+(-2.314788+(-0.07497--1.225836))+0--311.5-0.31773000000005</f>
        <v>1451.1183480000002</v>
      </c>
      <c r="X309" s="3">
        <f>2390+(81.2-1243.3)+(-4.8756+(-0.165648--2.536332))+0--312.1-0.636683999999986</f>
        <v>1536.8584000000001</v>
      </c>
      <c r="Y309" s="3">
        <f>2380.5+(79.1-1267.4)+(-4.85622+(-0.161364--2.585496))+0--312.4-0.637295999999986</f>
        <v>1501.530616</v>
      </c>
      <c r="Z309" s="3">
        <f>2263.9+(79.9-1205.5)+(-1.154589+(-0.040749--0.614805))+0--312.5-0.159374999999968</f>
        <v>1450.0600920000002</v>
      </c>
      <c r="AA309" s="3">
        <f>2209.6+(82.5-1171.2)+(-1.126896+(-0.042075--0.597312))+0--311.7-0.158966999999968</f>
        <v>1431.8693739999999</v>
      </c>
      <c r="AB309" s="3">
        <f>2030.8+(78.4-1076.6)+(0+(0-0))+0--312-0</f>
        <v>1344.6</v>
      </c>
      <c r="AC309" s="3">
        <f>1903.4+(73.6-1048.1)+(-4.85367+(-0.18768--2.672655))+0--306.4-0.781319999999955</f>
        <v>1232.149985</v>
      </c>
      <c r="AD309">
        <f t="shared" si="4"/>
        <v>30051.785495</v>
      </c>
      <c r="AE309" s="3">
        <f>2407.3+(78-1210.8)+(0+(0-0))+0--310-0</f>
        <v>1584.5000000000002</v>
      </c>
    </row>
    <row r="310" spans="1:31" s="2" customFormat="1" x14ac:dyDescent="0.25">
      <c r="A310">
        <v>89</v>
      </c>
      <c r="B310">
        <v>11</v>
      </c>
      <c r="C310">
        <v>4</v>
      </c>
      <c r="D310">
        <v>3</v>
      </c>
      <c r="E310">
        <v>1</v>
      </c>
      <c r="F310" s="3">
        <f>1870.7+(56.6-991.1)+(-1.908114+(-0.057732--1.010922))+0--230.4-0.235008000000037</f>
        <v>1165.4100679999999</v>
      </c>
      <c r="G310" s="3">
        <f>1941.4+(42-1045.7)+(-0.990114+(-0.02142--0.533307))+0--161.6-0.0824159999999836</f>
        <v>1098.7393570000002</v>
      </c>
      <c r="H310" s="3">
        <f>1925.1+(42-1055.4)+(-1.963602+(-0.04284--1.076508))+0--160.9-0.164118000000026</f>
        <v>1071.505948</v>
      </c>
      <c r="I310" s="3">
        <f>1798.1+(47.1-960.8)+(1.834062+(0.048042-0.980016))+0--161.1--0.164322000000026</f>
        <v>1046.5664100000001</v>
      </c>
      <c r="J310" s="3">
        <f>1765.8+(47.5-951.2)+(1.801116+(0.04845-0.970224))+0--169.2--0.172584000000027</f>
        <v>1032.3519259999998</v>
      </c>
      <c r="K310" s="3">
        <f>1781.7+(47-988.8)+(3.634668+(0.09588-2.017152))+0--239--0.48755999999999</f>
        <v>1081.1009560000002</v>
      </c>
      <c r="L310" s="3">
        <f>1850+(46-987.2)+(-2.8305+(-0.07038--1.510416))+0--241-0.368730000000014</f>
        <v>1148.0408060000002</v>
      </c>
      <c r="M310" s="3">
        <f>1849.1+(52-929.1)+(-4.715205+(-0.1326--2.369205))+0--237-0.604349999999966</f>
        <v>1205.9170499999998</v>
      </c>
      <c r="N310" s="3">
        <f>1904.3+(61-1008.7)+(0+(0-0))+0--307-0</f>
        <v>1263.5999999999999</v>
      </c>
      <c r="O310" s="3">
        <f>1919.6+(67.9-995.7)+(0+(0-0))+0--312-0</f>
        <v>1303.7999999999997</v>
      </c>
      <c r="P310" s="3">
        <f>1931.6+(70.4-999.6)+(-3.940464+(-0.143616--2.039184))+0--312-0.636479999999986</f>
        <v>1311.7186239999999</v>
      </c>
      <c r="Q310" s="3">
        <f>1988.9+(68-1006.1)+(-5.071695+(-0.1734--2.565555))+0--301.5-0.768824999999956</f>
        <v>1348.8516350000002</v>
      </c>
      <c r="R310" s="3">
        <f>1946+(62.4-1009.7)+(-3.96984+(-0.127296--2.059788))+0--301.7-0.615467999999987</f>
        <v>1297.7471840000001</v>
      </c>
      <c r="S310" s="3">
        <f>1855.8+(68.7-957.8)+(-0.946458+(-0.035037--0.488478))+0--309.2-0.157691999999969</f>
        <v>1275.2492910000001</v>
      </c>
      <c r="T310" s="3">
        <f>1877.4+(75.7-998.5)+(0+(0-0))+0--307.4-0</f>
        <v>1262</v>
      </c>
      <c r="U310" s="3">
        <f>1778.7+(69.4-926.8)+(2.721411+(0.106182-1.418004))+0--308.8--0.472464000000018</f>
        <v>1231.982053</v>
      </c>
      <c r="V310" s="3">
        <f>1903.4+(65.3-993.8)+(0+(0-0))+0--317-0</f>
        <v>1291.9000000000001</v>
      </c>
      <c r="W310" s="3">
        <f>2004.8+(74.4-1020.4)+(0+(0-0))+0--307.5-0</f>
        <v>1366.3</v>
      </c>
      <c r="X310" s="3">
        <f>2097.7+(78.4-956.3)+(-3.209481+(-0.119952--1.463139))+0--308.2-0.471546000000018</f>
        <v>1525.6621599999999</v>
      </c>
      <c r="Y310" s="3">
        <f>2091.3+(78-994.4)+(-3.199689+(-0.11934--1.521432))+0--310.5-0.475065000000018</f>
        <v>1483.127338</v>
      </c>
      <c r="Z310" s="3">
        <f>2077.9+(79.1-1037.6)+(-3.179187+(-0.121023--1.587528))+0--312.7-0.478431000000018</f>
        <v>1429.908887</v>
      </c>
      <c r="AA310" s="3">
        <f>2071.7+(78.6-1045.7)+(-1.056567+(-0.040086--0.533307))+0--312.3-0.159272999999968</f>
        <v>1416.177381</v>
      </c>
      <c r="AB310" s="3">
        <f>2067+(75.4-1103.2)+(-2.10834+(-0.076908--1.125264))+0--312.3-0.31854600000005</f>
        <v>1350.12147</v>
      </c>
      <c r="AC310" s="3">
        <f>2055.2+(69.5-1189.3)+(0+(0-0))+0--315.6-0</f>
        <v>1251</v>
      </c>
      <c r="AD310">
        <f t="shared" si="4"/>
        <v>30258.778544000001</v>
      </c>
      <c r="AE310" s="3">
        <f>2099.3+(76-943.1)+(0+(0-0))+0--307-0</f>
        <v>1539.2000000000003</v>
      </c>
    </row>
    <row r="311" spans="1:31" s="2" customFormat="1" x14ac:dyDescent="0.25">
      <c r="A311">
        <v>89</v>
      </c>
      <c r="B311">
        <v>11</v>
      </c>
      <c r="C311">
        <v>5</v>
      </c>
      <c r="D311">
        <v>4</v>
      </c>
      <c r="E311">
        <v>5</v>
      </c>
      <c r="F311" s="3">
        <f>2019.5+(51.3-1243)+(-1.029945+(-0.026163--0.63393))+0--315.6-0.160955999999968</f>
        <v>1142.8168659999999</v>
      </c>
      <c r="G311" s="3">
        <f>1937.3+(54.6-1246.6)+(-2.964069+(-0.083538--1.907298))+0--320-0.489600000000018</f>
        <v>1063.6700909999997</v>
      </c>
      <c r="H311" s="3">
        <f>1907.8+(58.3-1233.6)+(1.945956+(0.059466-1.258272))+0--318.2--0.324564000000051</f>
        <v>1051.771714</v>
      </c>
      <c r="I311" s="3">
        <f>1830.5+(55.1-1168.1)+(-0.933555+(-0.028101--0.595731))+0--319.8-0.163097999999968</f>
        <v>1036.7709770000001</v>
      </c>
      <c r="J311" s="3">
        <f>1738.7+(51.9-1076.1)+(-0.886737+(-0.026469--0.548811))+0--317.4-0.161873999999968</f>
        <v>1031.3737310000004</v>
      </c>
      <c r="K311" s="3">
        <f>1754.5+(45.6-1009.9)+(0.894795+(0.023256-0.515049))+0--262.8--0.134027999999973</f>
        <v>1053.53703</v>
      </c>
      <c r="L311" s="3">
        <f>1867.4+(43-1106.3)+(-5.714244+(-0.13158--3.385278))+0--300.8-0.920448000000035</f>
        <v>1101.519006</v>
      </c>
      <c r="M311" s="3">
        <f>1730+(43-901.3)+(-4.4115+(-0.10965--2.298315))+0--162-0.413099999999976</f>
        <v>1031.064065</v>
      </c>
      <c r="N311" s="3">
        <f>1676.5+(45-818.2)+(-1.71003+(-0.0459--0.834564))+0--206.8-0.210936000000033</f>
        <v>1108.9676979999999</v>
      </c>
      <c r="O311" s="3">
        <f>1697.1+(45-827.3)+(-3.462084+(-0.0918--1.687692))+0--259.9-0.530195999999989</f>
        <v>1172.3036119999999</v>
      </c>
      <c r="P311" s="3">
        <f>1822+(44-962.1)+(-2.78766+(-0.06732--1.472013))+0--284.4-0.435132000000016</f>
        <v>1186.4819009999999</v>
      </c>
      <c r="Q311" s="3">
        <f>1863.1+(44-1040.3)+(-4.750905+(-0.1122--2.652765))+0--308.3-0.786164999999955</f>
        <v>1172.1034950000001</v>
      </c>
      <c r="R311" s="3">
        <f>1766.4+(48.8-973.3)+(-5.405184+(-0.149328--2.978298))+0--283.5-0.867510000000033</f>
        <v>1121.9562759999999</v>
      </c>
      <c r="S311" s="3">
        <f>1857.1+(47.1-1013.7)+(-1.894242+(-0.048042--1.033974))+0--230.9-0.235518000000037</f>
        <v>1120.2561719999999</v>
      </c>
      <c r="T311" s="3">
        <f>1783.9+(48.6-954.8)+(-4.548945+(-0.12393--2.43474))+0--225.7-0.575534999999967</f>
        <v>1100.5863300000003</v>
      </c>
      <c r="U311" s="3">
        <f>1707.3+(49.9-833.2)+(1.741446+(0.050898-0.849864))+0--162.2--0.165444000000026</f>
        <v>1087.307924</v>
      </c>
      <c r="V311" s="3">
        <f>1718.2+(50.3-936.6)+(1.752564+(0.051306-0.955332))+0--299--0.304980000000048</f>
        <v>1132.0535179999999</v>
      </c>
      <c r="W311" s="3">
        <f>1779+(64.4-900.8)+(0+(0-0))+0--305.3-0</f>
        <v>1247.9000000000001</v>
      </c>
      <c r="X311" s="3">
        <f>2003.6+(72.8-961.5)+(-1.021836+(-0.037128--0.490365))+0--305.4-0.155753999999969</f>
        <v>1419.5756470000001</v>
      </c>
      <c r="Y311" s="3">
        <f>2007.2+(71-986.9)+(-4.094688+(-0.14484--2.013276))+0--306.9-0.626075999999987</f>
        <v>1395.3476720000003</v>
      </c>
      <c r="Z311" s="3">
        <f>1928+(69.9-933.9)+(0+(0-0))+0--306.8-0</f>
        <v>1370.8</v>
      </c>
      <c r="AA311" s="3">
        <f>1894.1+(70.6-910.1)+(0+(0-0))+0--307.7-0</f>
        <v>1362.3</v>
      </c>
      <c r="AB311" s="3">
        <f>1892.2+(67-961.1)+(-5.790132+(-0.20502--2.940966))+0--309-0.945540000000036</f>
        <v>1303.1002740000001</v>
      </c>
      <c r="AC311" s="3">
        <f>1890.9+(57.9-1057.4)+(-1.928718+(-0.059058--1.078548))+0--309.1-0.315282000000049</f>
        <v>1199.27549</v>
      </c>
      <c r="AD311">
        <f t="shared" si="4"/>
        <v>28012.839489000002</v>
      </c>
      <c r="AE311" s="3">
        <f>2017.3+(68.3-924)+(0+(0-0))+0--305-0</f>
        <v>1466.6</v>
      </c>
    </row>
    <row r="312" spans="1:31" s="2" customFormat="1" x14ac:dyDescent="0.25">
      <c r="A312">
        <v>89</v>
      </c>
      <c r="B312">
        <v>11</v>
      </c>
      <c r="C312">
        <v>6</v>
      </c>
      <c r="D312">
        <v>5</v>
      </c>
      <c r="E312">
        <v>1</v>
      </c>
      <c r="F312" s="3">
        <f>1879.1+(12-1109.4)+(-2.875023+(-0.01836--1.697382))+0--310.7-0.475371000000018</f>
        <v>1090.7286279999998</v>
      </c>
      <c r="G312" s="3">
        <f>1826.3+(10-952.7)+(-0.931413+(-0.0051--0.485877))+0--164.4-0.0838439999999833</f>
        <v>1047.46552</v>
      </c>
      <c r="H312" s="3">
        <f>1748.8+(10-921.9)+(0.891888+(0.0051-0.470169))+0--160.9--0.0820589999999837</f>
        <v>998.30887799999994</v>
      </c>
      <c r="I312" s="3">
        <f>1698+(10-883.6)+(0+(0-0))+0--160.7-0</f>
        <v>985.09999999999991</v>
      </c>
      <c r="J312" s="3">
        <f>1734.4+(10-926.6)+(3.538176+(0.0204-1.890264))+0--160.9--0.328235999999993</f>
        <v>980.69654800000001</v>
      </c>
      <c r="K312" s="3">
        <f>1738+(10-909.4)+(0.88638+(0.0051-0.463794))+0--160.9--0.0820589999999837</f>
        <v>1000.009745</v>
      </c>
      <c r="L312" s="3">
        <f>1739.2+(56-826.9)+(-1.773984+(-0.05712--0.843438))+0--160.7-0.163914000000026</f>
        <v>1127.84842</v>
      </c>
      <c r="M312" s="3">
        <f>1784.9+(59-904.3)+(1.820598+(0.06018-0.922386))+0--208.1--0.212262000000033</f>
        <v>1148.8706540000001</v>
      </c>
      <c r="N312" s="3">
        <f>1942.5+(66-1026.2)+(-0.990675+(-0.03366--0.523362))+0--312.9-0.159578999999968</f>
        <v>1294.539448</v>
      </c>
      <c r="O312" s="3">
        <f>1993.1+(68-1019.2)+(-2.032962+(-0.06936--1.039584))+0--312.5-0.31875000000005</f>
        <v>1353.0185119999996</v>
      </c>
      <c r="P312" s="3">
        <f>2066.5+(73-1068.3)+(2.10783+(0.07446-1.089666))+0--315--0.32130000000005</f>
        <v>1387.613924</v>
      </c>
      <c r="Q312" s="3">
        <f>2070.5+(74.3-1064.4)+(1.055955+(0.037893-0.542844))+0--316.6--0.161465999999968</f>
        <v>1397.7124699999999</v>
      </c>
      <c r="R312" s="3">
        <f>2068+(73.3-1131.7)+(-5.2734+(-0.186915--2.885835))+0--321-0.818549999999953</f>
        <v>1327.20697</v>
      </c>
      <c r="S312" s="3">
        <f>2071.6+(76.8-1147.4)+(0+(0-0))+0--320.3-0</f>
        <v>1321.2999999999997</v>
      </c>
      <c r="T312" s="3">
        <f>2029.2+(76.3-1200)+(0+(0-0))+0--319.7-0</f>
        <v>1225.2</v>
      </c>
      <c r="U312" s="3">
        <f>2026.6+(81.6-1162.9)+(-1.033566+(-0.041616--0.593079))+0--316.2-0.161261999999968</f>
        <v>1260.8566349999996</v>
      </c>
      <c r="V312" s="3">
        <f>2028.8+(79.8-1115.4)+(-4.138752+(-0.162792--2.275416))+0--316.4-0.645455999999986</f>
        <v>1306.928416</v>
      </c>
      <c r="W312" s="3">
        <f>2128+(82.6-1057.1)+(-4.34112+(-0.168504--2.156484))+0--319.4-0.651575999999986</f>
        <v>1469.8952839999999</v>
      </c>
      <c r="X312" s="3">
        <f>2045+(82.1-912.8)+(1.04295+(0.041871-0.465528))+0--322--0.164219999999967</f>
        <v>1537.083513</v>
      </c>
      <c r="Y312" s="3">
        <f>2047.7+(78.3-951.9)+(1.044327+(0.039933-0.485469))+0--321.4--0.163913999999967</f>
        <v>1496.2627049999999</v>
      </c>
      <c r="Z312" s="3">
        <f>2043.5+(77-981.4)+(-5.210925+(-0.19635--2.50257))+0--314.4-0.801719999999954</f>
        <v>1449.7935750000001</v>
      </c>
      <c r="AA312" s="3">
        <f>2026.7+(79-996.9)+(0+(0-0))+0--315.9-0</f>
        <v>1424.7000000000003</v>
      </c>
      <c r="AB312" s="3">
        <f>1945.8+(81.5-997.1)+(-4.96179+(-0.207825--2.542605))+0--319.1-0.813704999999954</f>
        <v>1345.859285</v>
      </c>
      <c r="AC312" s="3">
        <f>1898.2+(82.6-1049)+(-5.808492+(-0.252756--3.20994))+0--315.4-0.965124000000036</f>
        <v>1243.383568</v>
      </c>
      <c r="AD312">
        <f t="shared" si="4"/>
        <v>30220.382697999998</v>
      </c>
      <c r="AE312" s="3">
        <f>2078.3+(67.3-873.4)+(0+(0-0))+0--321-0</f>
        <v>1593.2000000000003</v>
      </c>
    </row>
    <row r="313" spans="1:31" s="2" customFormat="1" x14ac:dyDescent="0.25">
      <c r="A313">
        <v>89</v>
      </c>
      <c r="B313">
        <v>11</v>
      </c>
      <c r="C313">
        <v>7</v>
      </c>
      <c r="D313">
        <v>6</v>
      </c>
      <c r="E313">
        <v>1</v>
      </c>
      <c r="F313" s="3">
        <f>1710.7+(75.9-850.8)+(-2.617371+(-0.116127--1.301724))+0--317.8-0.486234000000018</f>
        <v>1251.681992</v>
      </c>
      <c r="G313" s="3">
        <f>1502.5+(69.4-722.6)+(3.0651+(0.141576-1.474104))+0--248--0.505919999999989</f>
        <v>1099.5384920000001</v>
      </c>
      <c r="H313" s="3">
        <f>1380.8+(64.3-485.9)+(2.112624+(0.098379-0.743427))+0--166.8--0.25520400000001</f>
        <v>1127.7227800000001</v>
      </c>
      <c r="I313" s="3">
        <f>1374.4+(64.6-487.2)+(0.700944+(0.032946-0.248472))+0--160--0.0815999999999838</f>
        <v>1112.3670179999999</v>
      </c>
      <c r="J313" s="3">
        <f>1373.7+(64.7-492)+(0+(0-0))+0--159.7-0</f>
        <v>1106.1000000000001</v>
      </c>
      <c r="K313" s="3">
        <f>1478+(65.6-621.6)+(0+(0-0))+0--213.2-0</f>
        <v>1135.2</v>
      </c>
      <c r="L313" s="3">
        <f>1543.4+(67.7-774.5)+(1.574268+(0.069054-0.78999))+0--305.1--0.311202000000049</f>
        <v>1142.8645340000003</v>
      </c>
      <c r="M313" s="3">
        <f>1617.4+(71.7-812.2)+(-0.824874+(-0.036567--0.414222))+0--312.8-0.159527999999968</f>
        <v>1189.0932530000002</v>
      </c>
      <c r="N313" s="3">
        <f>1694.6+(73.5-823.3)+(-1.728492+(-0.07497--0.839766))+0--312.6-0.31885200000005</f>
        <v>1256.1174519999997</v>
      </c>
      <c r="O313" s="3">
        <f>1723.8+(77-796.7)+(-3.516552+(-0.15708--1.625268))+0--315.2-0.643007999999986</f>
        <v>1316.608628</v>
      </c>
      <c r="P313" s="3">
        <f>1718.2+(77.4-770.6)+(-0.876282+(-0.039474--0.393006))+0--311.8-0.159017999999968</f>
        <v>1336.1182319999998</v>
      </c>
      <c r="Q313" s="3">
        <f>1803.6+(73.8-831.1)+(0+(0-0))+0--308.8-0</f>
        <v>1355.0999999999997</v>
      </c>
      <c r="R313" s="3">
        <f>1813.3+(62-944.4)+(-3.699132+(-0.12648--1.926576))+0--312.7-0.637907999999986</f>
        <v>1241.063056</v>
      </c>
      <c r="S313" s="3">
        <f>1887.1+(61.9-1035.2)+(-6.736947+(-0.220983--3.695664))+0--314.5-1.122765</f>
        <v>1223.9149689999999</v>
      </c>
      <c r="T313" s="3">
        <f>1813+(60.2-1007.2)+(-4.62315+(-0.15351--2.56836))+0--311.9-0.795344999999955</f>
        <v>1174.8963549999999</v>
      </c>
      <c r="U313" s="3">
        <f>1860.5+(57.4-1011.4)+(-1.89771+(-0.058548--1.031628))+0--305.5-0.311610000000049</f>
        <v>1210.76376</v>
      </c>
      <c r="V313" s="3">
        <f>1971.8+(59.8-1067.2)+(-4.022472+(-0.121992--2.177088))+0--307.8-0.627911999999987</f>
        <v>1269.6047120000001</v>
      </c>
      <c r="W313" s="3">
        <f>1933+(72-978)+(0.98583+(0.03672-0.49878))+0--314.6--0.160445999999968</f>
        <v>1342.284216</v>
      </c>
      <c r="X313" s="3">
        <f>2036.5+(79.3-996.6)+(-5.193075+(-0.202215--2.54133))+0--317.3-0.809114999999954</f>
        <v>1432.8369249999998</v>
      </c>
      <c r="Y313" s="3">
        <f>2040.5+(76.5-1034.7)+(-3.121965+(-0.117045--1.583091))+0--318.2-0.486846000000018</f>
        <v>1398.3572349999999</v>
      </c>
      <c r="Z313" s="3">
        <f>2039.3+(74.6-1076)+(-1.040043+(-0.038046--0.54876))+0--317.4-0.161873999999968</f>
        <v>1354.6087970000003</v>
      </c>
      <c r="AA313" s="3">
        <f>2030.7+(72.9-1131.7)+(-2.071314+(-0.074358--1.154334))+0--318.5-0.324870000000051</f>
        <v>1289.0837919999999</v>
      </c>
      <c r="AB313" s="3">
        <f>1958.7+(69.5-1079.1)+(-3.995748+(-0.14178--2.201364))+0--317.4-0.647495999999986</f>
        <v>1263.9163400000002</v>
      </c>
      <c r="AC313" s="3">
        <f>1877.9+(64-1079.2)+(0+(0-0))+0--316.8-0</f>
        <v>1179.5</v>
      </c>
      <c r="AD313">
        <f t="shared" si="4"/>
        <v>29809.342538000008</v>
      </c>
      <c r="AE313" s="3">
        <f>2052.3+(64-961.7)+(0+(0-0))+0--317-0</f>
        <v>1471.6000000000001</v>
      </c>
    </row>
    <row r="314" spans="1:31" s="2" customFormat="1" x14ac:dyDescent="0.25">
      <c r="A314">
        <v>89</v>
      </c>
      <c r="B314">
        <v>11</v>
      </c>
      <c r="C314">
        <v>8</v>
      </c>
      <c r="D314">
        <v>7</v>
      </c>
      <c r="E314">
        <v>1</v>
      </c>
      <c r="F314" s="3">
        <f>1842.2+(46-1073.4)+(-4.69761+(-0.1173--2.73717))+0--319.4-0.814469999999954</f>
        <v>1131.3077900000001</v>
      </c>
      <c r="G314" s="3">
        <f>1833.7+(43-1074.9)+(-2.805561+(-0.06579--1.644597))+0--245.5-0.375615000000014</f>
        <v>1045.697631</v>
      </c>
      <c r="H314" s="3">
        <f>1838.2+(42-1027.3)+(-0.937482+(-0.02142--0.523923))+0--170.6-0.0870059999999827</f>
        <v>1022.9780150000001</v>
      </c>
      <c r="I314" s="3">
        <f>1907.5+(41-1120)+(-0.972825+(-0.02091--0.5712))+0--160-0.0815999999999838</f>
        <v>987.99586499999998</v>
      </c>
      <c r="J314" s="3">
        <f>1846.2+(39-1089.6)+(0.941562+(0.01989-0.555696))+0--191.9--0.0978689999999805</f>
        <v>988.00362500000006</v>
      </c>
      <c r="K314" s="3">
        <f>1847.6+(40-1191.9)+(-2.826828+(-0.0612--1.823607))+0--313-0.478890000000018</f>
        <v>1007.1566889999998</v>
      </c>
      <c r="L314" s="3">
        <f>1836.4+(40-1153.6)+(-1.873128+(-0.0408--1.176672))+0--317.6-0.323952000000051</f>
        <v>1039.3387920000002</v>
      </c>
      <c r="M314" s="3">
        <f>1805.7+(39-1005.7)+(0+(0-0))+0--179.4-0</f>
        <v>1018.4</v>
      </c>
      <c r="N314" s="3">
        <f>1859.3+(41-981)+(-1.896486+(-0.04182--1.00062))+0--160.3-0.163506000000026</f>
        <v>1078.4988079999998</v>
      </c>
      <c r="O314" s="3">
        <f>1865.6+(46-928.3)+(2.854368+(0.07038-1.420299))+0--162.2--0.248166000000009</f>
        <v>1147.2526150000001</v>
      </c>
      <c r="P314" s="3">
        <f>1886.8+(49-904.5)+(-2.886804+(-0.07497--1.383885))+0--161-0.246330000000009</f>
        <v>1190.4757810000001</v>
      </c>
      <c r="Q314" s="3">
        <f>1765.7+(51-834)+(-1.801014+(-0.05202--0.85068))+0--206.5-0.210630000000033</f>
        <v>1187.987016</v>
      </c>
      <c r="R314" s="3">
        <f>1642.9+(56.8-838.2)+(-7.540911+(-0.260712--3.847338))+0--301.1-1.38204900000005</f>
        <v>1157.2636660000001</v>
      </c>
      <c r="S314" s="3">
        <f>1647.1+(54-808.6)+(0+(0-0))+0--235.5-0</f>
        <v>1128</v>
      </c>
      <c r="T314" s="3">
        <f>1627.5+(51-778.1)+(-0.830025+(-0.02601--0.396831))+0--200-0.10199999999998</f>
        <v>1099.8387959999998</v>
      </c>
      <c r="U314" s="3">
        <f>1566+(52.1-745.8)+(-0.79866+(-0.026571--0.380358))+0--204.4-0.104243999999979</f>
        <v>1076.1508830000002</v>
      </c>
      <c r="V314" s="3">
        <f>1616.1+(52.7-822.6)+(-2.472633+(-0.080631--1.258578))+0--236-0.361080000000014</f>
        <v>1080.5442340000002</v>
      </c>
      <c r="W314" s="3">
        <f>1734+(64.9-856.3)+(-3.53736+(-0.132396--1.746852))+0--255.2-0.520607999999989</f>
        <v>1195.3564879999999</v>
      </c>
      <c r="X314" s="3">
        <f>1958.5+(71.8-938.9)+(-3.99534+(-0.146472--1.915356))+0--307.3-0.626891999999987</f>
        <v>1395.8466519999999</v>
      </c>
      <c r="Y314" s="3">
        <f>1983+(71.1-963)+(-3.03399+(-0.108783--1.47339))+0--310.5-0.475065000000018</f>
        <v>1399.4555519999999</v>
      </c>
      <c r="Z314" s="3">
        <f>1920.4+(68.8-929.1)+(-1.958808+(-0.070176--0.947682))+0--310.9-0.31711800000005</f>
        <v>1369.60158</v>
      </c>
      <c r="AA314" s="3">
        <f>1941.7+(65.5-973.2)+(-0.990267+(-0.033405--0.496332))+0--311-0.158609999999968</f>
        <v>1344.31405</v>
      </c>
      <c r="AB314" s="3">
        <f>1995.2+(61.7-1071.3)+(-2.035104+(-0.062934--1.092726))+0--311.2-0.31742400000005</f>
        <v>1295.4772640000001</v>
      </c>
      <c r="AC314" s="3">
        <f>1956.4+(56.2-1122)+(-6.984348+(-0.200634--4.00554))+0--313.1-1.117767</f>
        <v>1199.4027910000002</v>
      </c>
      <c r="AD314">
        <f t="shared" si="4"/>
        <v>27586.344583000002</v>
      </c>
      <c r="AE314" s="3">
        <f>2008.3+(63-977.8)+(0+(0-0))+0--308-0</f>
        <v>1401.5</v>
      </c>
    </row>
    <row r="315" spans="1:31" s="2" customFormat="1" x14ac:dyDescent="0.25">
      <c r="A315">
        <v>89</v>
      </c>
      <c r="B315">
        <v>11</v>
      </c>
      <c r="C315">
        <v>9</v>
      </c>
      <c r="D315">
        <v>1</v>
      </c>
      <c r="E315">
        <v>1</v>
      </c>
      <c r="F315" s="3">
        <f>1937.8+(44-1214.9)+(0+(0-0))+0--312.2-0</f>
        <v>1079.0999999999999</v>
      </c>
      <c r="G315" s="3">
        <f>1916.6+(44-1204.9)+(-6.842262+(-0.15708--4.301493))+0--271.5-0.969255000000004</f>
        <v>1023.5328959999997</v>
      </c>
      <c r="H315" s="3">
        <f>1802.4+(42-1062.1)+(-0.919224+(-0.02142--0.541671))+0--202.7-0.103376999999979</f>
        <v>984.49765000000014</v>
      </c>
      <c r="I315" s="3">
        <f>1728.2+(45-1023.1)+(-2.644146+(-0.06885--1.565343))+0--220.6-0.337518000000013</f>
        <v>969.21482900000001</v>
      </c>
      <c r="J315" s="3">
        <f>1733.5+(46-991)+(0+(0-0))+0--160.7-0</f>
        <v>949.2</v>
      </c>
      <c r="K315" s="3">
        <f>1827.1+(46-1057.4)+(0+(0-0))+0--182.1-0</f>
        <v>997.79999999999984</v>
      </c>
      <c r="L315" s="3">
        <f>1892+(47-1110.6)+(0+(0-0))+0--286.1-0</f>
        <v>1114.5</v>
      </c>
      <c r="M315" s="3">
        <f>1817.9+(51-1028.2)+(-4.635645+(-0.13005--2.62191))+0--307.2-0.783359999999955</f>
        <v>1144.9728550000002</v>
      </c>
      <c r="N315" s="3">
        <f>1823.7+(59-874.9)+(0.930087+(0.03009-0.446199))+0--176.2--0.0898619999999821</f>
        <v>1184.60384</v>
      </c>
      <c r="O315" s="3">
        <f>1906.5+(60-948.1)+(-0.972315+(-0.0306--0.483531))+0--279.1-0.142340999999972</f>
        <v>1296.8382750000001</v>
      </c>
      <c r="P315" s="3">
        <f>2049.6+(60-1089.8)+(-2.090592+(-0.0612--1.111596))+0--311.4-0.31762800000005</f>
        <v>1329.8421759999999</v>
      </c>
      <c r="Q315" s="3">
        <f>2138.4+(57-1168.2)+(-5.45292+(-0.14535--2.97891))+0--311.4-0.794069999999955</f>
        <v>1335.1865700000003</v>
      </c>
      <c r="R315" s="3">
        <f>2163.4+(48.7-1281)+(0+(0-0))+0--310-0</f>
        <v>1241.1000000000001</v>
      </c>
      <c r="S315" s="3">
        <f>2169.5+(51.8-1247.5)+(-4.42578+(-0.105672--2.5449))+0--247.9-0.505715999999989</f>
        <v>1219.2077320000001</v>
      </c>
      <c r="T315" s="3">
        <f>2149.2+(52.6-1267.6)+(3.288276+(0.080478-1.939428))+0--245--0.374850000000014</f>
        <v>1181.0041759999997</v>
      </c>
      <c r="U315" s="3">
        <f>2107+(52.3-1233.2)+(-3.22371+(-0.080019--1.886796))+0--247-0.377910000000014</f>
        <v>1171.305157</v>
      </c>
      <c r="V315" s="3">
        <f>2194.5+(49.8-1283.5)+(3.357585+(0.076194-1.963755))+0--236--0.361080000000014</f>
        <v>1198.6311039999998</v>
      </c>
      <c r="W315" s="3">
        <f>2299.8+(58.9-1281.7)+(-3.518694+(-0.090117--1.961001))+0--235-0.359550000000014</f>
        <v>1309.9926400000002</v>
      </c>
      <c r="X315" s="3">
        <f>2374.1+(66.2-1232.1)+(-7.264746+(-0.202572--3.770226))+0--303.6-0.929016000000035</f>
        <v>1507.1738919999998</v>
      </c>
      <c r="Y315" s="3">
        <f>2378.7+(63.4-1260.6)+(-8.491959+(-0.226338--4.500342))+0--304.6-1.087422</f>
        <v>1480.7946229999998</v>
      </c>
      <c r="Z315" s="3">
        <f>2250.6+(61.4-1184.7)+(1.147806+(0.031314-0.604197))+0--303.1--0.154580999999969</f>
        <v>1431.1295039999998</v>
      </c>
      <c r="AA315" s="3">
        <f>2346.8+(59-1316.4)+(-1.196868+(-0.03009--0.671364))+0--304.4-0.155243999999969</f>
        <v>1393.0891620000002</v>
      </c>
      <c r="AB315" s="3">
        <f>2410.9+(53.1-1456.1)+(-1.229559+(-0.027081--0.742611))+0--307.3-0.156722999999969</f>
        <v>1314.5292480000001</v>
      </c>
      <c r="AC315" s="3">
        <f>2262.7+(49.2-1422.2)+(-1.153977+(-0.025092--0.725322))+0--294-0.14993999999997</f>
        <v>1183.0963129999998</v>
      </c>
      <c r="AD315">
        <f t="shared" si="4"/>
        <v>29040.342642</v>
      </c>
      <c r="AE315" s="3">
        <f>2387.3+(62-1209.5)+(0+(0-0))+0--302-0</f>
        <v>1541.8000000000002</v>
      </c>
    </row>
    <row r="316" spans="1:31" s="2" customFormat="1" x14ac:dyDescent="0.25">
      <c r="A316">
        <v>89</v>
      </c>
      <c r="B316">
        <v>11</v>
      </c>
      <c r="C316">
        <v>10</v>
      </c>
      <c r="D316">
        <v>2</v>
      </c>
      <c r="E316">
        <v>1</v>
      </c>
      <c r="F316" s="3">
        <f>2037.3+(54.2-1152.1)+(1.039023+(0.027642-0.587571))+0--153--0.0780299999999845</f>
        <v>1092.957124</v>
      </c>
      <c r="G316" s="3">
        <f>1976.5+(50.9-1164.1)+(0+(0-0))+0--156-0</f>
        <v>1019.3000000000002</v>
      </c>
      <c r="H316" s="3">
        <f>1891+(50.7-1068.6)+(-2.89323+(-0.077571--1.634958))+0--155.7-0.238221000000009</f>
        <v>1027.225936</v>
      </c>
      <c r="I316" s="3">
        <f>1787.2+(51.6-992)+(-4.55736+(-0.13158--2.5296))+0--155.5-0.396524999999977</f>
        <v>999.74413500000003</v>
      </c>
      <c r="J316" s="3">
        <f>1803.7+(50.7-1007.9)+(1.839774+(0.051714-1.028058))+0--155.9--0.159018000000025</f>
        <v>1003.4224480000001</v>
      </c>
      <c r="K316" s="3">
        <f>1886.2+(52.2-1045.2)+(-3.847848+(-0.106488--2.132208))+0--155.6-0.317423999999993</f>
        <v>1046.6604479999999</v>
      </c>
      <c r="L316" s="3">
        <f>1905.8+(55.7-985.7)+(3.887832+(0.113628-2.010828))+0--155.8--0.317831999999993</f>
        <v>1133.9084639999999</v>
      </c>
      <c r="M316" s="3">
        <f>1924.2+(58.5-990.2)+(0.981342+(0.029835-0.505002))+0--174.6--0.0890459999999823</f>
        <v>1167.6952209999999</v>
      </c>
      <c r="N316" s="3">
        <f>2092.3+(64.1-1191.4)+(-5.335365+(-0.163455--3.03807))+0--292.1-0.744854999999958</f>
        <v>1253.8943950000003</v>
      </c>
      <c r="O316" s="3">
        <f>2179.5+(75-1259.1)+(1.111545+(0.03825-0.642141))+0--305.9--0.156008999999969</f>
        <v>1301.9636630000002</v>
      </c>
      <c r="P316" s="3">
        <f>2290.3+(69-1349.1)+(-2.336106+(-0.07038--1.376082))+0--307.8-0.313956000000049</f>
        <v>1316.6556400000004</v>
      </c>
      <c r="Q316" s="3">
        <f>2276.4+(76.3-1342.5)+(0+(0-0))+0--309.1-0</f>
        <v>1319.3000000000002</v>
      </c>
      <c r="R316" s="3">
        <f>2281.9+(77.9-1404.8)+(-3.491307+(-0.119187--2.149344))+0--307.8-0.470934000000018</f>
        <v>1260.8679160000004</v>
      </c>
      <c r="S316" s="3">
        <f>2297.5+(82.8-1446)+(-2.34345+(-0.084456--1.47492))+0--308-0.314160000000049</f>
        <v>1241.0328539999998</v>
      </c>
      <c r="T316" s="3">
        <f>2257.2+(82.7-1412.5)+(-2.302344+(-0.084354--1.44075))+0--308.5-0.314670000000049</f>
        <v>1234.6393819999998</v>
      </c>
      <c r="U316" s="3">
        <f>2231.2+(84.9-1394.8)+(1.137912+(0.043299-0.711348))+0--307.7--0.156926999999969</f>
        <v>1229.62679</v>
      </c>
      <c r="V316" s="3">
        <f>2294.1+(80.9-1391.5)+(-2.339982+(-0.082518--1.41933))+0--272-0.277440000000043</f>
        <v>1254.21939</v>
      </c>
      <c r="W316" s="3">
        <f>2441.3+(68.2-1321.6)+(0+(0-0))+0--285.7-0</f>
        <v>1473.6000000000004</v>
      </c>
      <c r="X316" s="3">
        <f>2427.4+(71.7-1314.5)+(-2.475948+(-0.073134--1.34079))+0--304.8-0.310896000000049</f>
        <v>1487.8808120000001</v>
      </c>
      <c r="Y316" s="3">
        <f>2419.7+(68.9-1331.9)+(-3.702141+(-0.105417--2.037807))+0--305.4-0.467262000000018</f>
        <v>1459.8629869999995</v>
      </c>
      <c r="Z316" s="3">
        <f>2238.3+(68.1-1183.4)+(-4.566132+(-0.138924--2.414136))+0--285.8-0.583031999999988</f>
        <v>1405.926048</v>
      </c>
      <c r="AA316" s="3">
        <f>2215.3+(65.7-1177.5)+(-1.129803+(-0.033507--0.600525))+0--256-0.130559999999974</f>
        <v>1358.8066550000001</v>
      </c>
      <c r="AB316" s="3">
        <f>2229.8+(63.3-1215.7)+(-4.548792+(-0.129132--2.480028))+0--232.1-0.47348399999999</f>
        <v>1306.82862</v>
      </c>
      <c r="AC316" s="3">
        <f>2065.8+(59.5-1158.2)+(-2.107116+(-0.06069--1.181364))+0--233-0.237660000000037</f>
        <v>1198.875898</v>
      </c>
      <c r="AD316">
        <f t="shared" si="4"/>
        <v>29594.894826</v>
      </c>
      <c r="AE316" s="3">
        <f>2529.3+(71-1332.1)+(0+(0-0))+0--304-0</f>
        <v>1572.2000000000003</v>
      </c>
    </row>
    <row r="317" spans="1:31" s="2" customFormat="1" x14ac:dyDescent="0.25">
      <c r="A317">
        <v>89</v>
      </c>
      <c r="B317">
        <v>11</v>
      </c>
      <c r="C317">
        <v>11</v>
      </c>
      <c r="D317">
        <v>3</v>
      </c>
      <c r="E317">
        <v>1</v>
      </c>
      <c r="F317" s="3">
        <f>1892.5+(49-1079.4)+(-4.825875+(-0.12495--2.75247))+0--230.7-0.588284999999967</f>
        <v>1090.0133599999999</v>
      </c>
      <c r="G317" s="3">
        <f>1730.3+(48-935.8)+(-3.529812+(-0.09792--1.909032))+0--155.2-0.316607999999993</f>
        <v>995.66469199999995</v>
      </c>
      <c r="H317" s="3">
        <f>1673.9+(47-876.4)+(-3.414756+(-0.09588--1.787856))+0--155-0.316199999999993</f>
        <v>997.46102000000019</v>
      </c>
      <c r="I317" s="3">
        <f>1665.1+(45-881.5)+(-4.246005+(-0.11475--2.247825))+6.1--155.3-0.396014999999977</f>
        <v>987.49105500000007</v>
      </c>
      <c r="J317" s="3">
        <f>1691.2+(45-911)+(3.450048+(0.0918-1.85844))+6.7--155--0.316199999999993</f>
        <v>988.89960800000006</v>
      </c>
      <c r="K317" s="3">
        <f>1695.1+(46-888.9)+(4.322505+(0.1173-2.266695))+0--154.8--0.394739999999978</f>
        <v>1009.5678499999999</v>
      </c>
      <c r="L317" s="3">
        <f>1755.7+(50-918.2)+(2.686221+(0.0765-1.404846))+0--156.1--0.238833000000009</f>
        <v>1045.1967080000002</v>
      </c>
      <c r="M317" s="3">
        <f>1778.7+(54-881.4)+(2.721411+(0.08262-1.348542))+0--156.7--0.239751000000009</f>
        <v>1109.69524</v>
      </c>
      <c r="N317" s="3">
        <f>1989+(61-1041.5)+(2.02878+(0.06222-1.06233))+0--187--0.19074000000003</f>
        <v>1196.7194100000002</v>
      </c>
      <c r="O317" s="3">
        <f>2045.2+(73.1-1084.4)+(-4.172208+(-0.149124--2.212176))+0--226.4-0.46185599999999</f>
        <v>1257.7289880000003</v>
      </c>
      <c r="P317" s="3">
        <f>2067.8+(74.2-1108.4)+(3.163734+(0.113526-1.695852))+0--251.2--0.384336000000015</f>
        <v>1286.7657440000003</v>
      </c>
      <c r="Q317" s="3">
        <f>2039.5+(79.2-1074.6)+(-3.120435+(-0.121176--1.644138))+0--266.6-0.407898000000015</f>
        <v>1308.6946290000001</v>
      </c>
      <c r="R317" s="3">
        <f>2011.2+(75.8-1089.7)+(-7.179984+(-0.270606--3.890229))+0--255.2-0.911064000000004</f>
        <v>1248.028575</v>
      </c>
      <c r="S317" s="3">
        <f>1868.7+(70.8-968.1)+(-0.953037+(-0.036108--0.493731))+0--227.2-0.115871999999977</f>
        <v>1197.9887139999998</v>
      </c>
      <c r="T317" s="3">
        <f>1830.4+(75.4-908.9)+(-2.800512+(-0.115362--1.390617))+0--204.7-0.313191000000012</f>
        <v>1199.7615520000002</v>
      </c>
      <c r="U317" s="3">
        <f>1845.4+(70.7-929.7)+(-2.823462+(-0.108171--1.422441))+0--201.8-0.308754000000012</f>
        <v>1186.3820540000002</v>
      </c>
      <c r="V317" s="3">
        <f>1910.1+(76.1-984.9)+(-5.844906+(-0.232866--3.013794))+0--196.9-0.602514000000023</f>
        <v>1194.533508</v>
      </c>
      <c r="W317" s="3">
        <f>2090.7+(72.7-1041.5)+(-7.463799+(-0.259539--3.718155))+0--215.8-0.770406000000003</f>
        <v>1332.9244109999997</v>
      </c>
      <c r="X317" s="3">
        <f>2156.6+(82.2-1074.7)+(-6.599196+(-0.251532--3.288582))+0--296-0.905760000000034</f>
        <v>1455.6320939999998</v>
      </c>
      <c r="Y317" s="3">
        <f>2023+(77-985.7)+(2.06346+(0.07854-1.005414))+0--299.2--0.305184000000048</f>
        <v>1414.9417700000001</v>
      </c>
      <c r="Z317" s="3">
        <f>2003.6+(71.6-1001)+(-2.043672+(-0.073032--1.02102))+0--300.5-0.306510000000048</f>
        <v>1373.2978059999998</v>
      </c>
      <c r="AA317" s="3">
        <f>1995.6+(64.6-1008.8)+(-4.071024+(-0.131784--2.057952))+0--300-0.611999999999987</f>
        <v>1348.6431440000001</v>
      </c>
      <c r="AB317" s="3">
        <f>1990.8+(64.6-1085.1)+(-6.091848+(-0.197676--3.320406))+0--300.1-0.918306000000035</f>
        <v>1266.5125760000001</v>
      </c>
      <c r="AC317" s="3">
        <f>1965.9+(60-1166.2)+(-8.020872+(-0.2448--4.758096))+0--297.2-1.21257599999997</f>
        <v>1152.1798480000002</v>
      </c>
      <c r="AD317">
        <f t="shared" si="4"/>
        <v>28644.724356000006</v>
      </c>
      <c r="AE317" s="3">
        <f>2213.3+(76-1071.7)+(0+(0-0))+0--295-0</f>
        <v>1512.6000000000001</v>
      </c>
    </row>
    <row r="318" spans="1:31" s="2" customFormat="1" x14ac:dyDescent="0.25">
      <c r="A318">
        <v>89</v>
      </c>
      <c r="B318">
        <v>11</v>
      </c>
      <c r="C318">
        <v>12</v>
      </c>
      <c r="D318">
        <v>4</v>
      </c>
      <c r="E318">
        <v>1</v>
      </c>
      <c r="F318" s="3">
        <f>1953.1+(51.6-1115.7)+(-1.992162+(-0.052632--1.138014))+0--231.9-0.236538000000037</f>
        <v>1119.7566819999997</v>
      </c>
      <c r="G318" s="3">
        <f>1858.2+(50-1012.6)+(-5.686092+(-0.153--3.098556))+0--176.4-0.53978400000002</f>
        <v>1068.7196799999999</v>
      </c>
      <c r="H318" s="3">
        <f>1679.6+(57.2-890.8)+(-2.569788+(-0.087516--1.362924))+0--158.6-0.242658000000009</f>
        <v>1003.062962</v>
      </c>
      <c r="I318" s="3">
        <f>1691.3+(57.6-937.5)+(0+(0-0))+0--171.3-0</f>
        <v>982.7</v>
      </c>
      <c r="J318" s="3">
        <f>1620+(55.9-909.9)+(-4.131+(-0.142545--2.320245))+0--220.4-0.562019999999968</f>
        <v>983.88468</v>
      </c>
      <c r="K318" s="3">
        <f>1626.1+(49.6-875.1)+(-3.317244+(-0.101184--1.785204))+0--158.4-0.323135999999993</f>
        <v>957.04363999999987</v>
      </c>
      <c r="L318" s="3">
        <f>1682.1+(52.4-849.9)+(-4.289355+(-0.13362--2.167245))+0--159.5-0.406724999999977</f>
        <v>1041.437545</v>
      </c>
      <c r="M318" s="3">
        <f>1663.4+(53.2-812.3)+(2.545002+(0.081396-1.242819))+0--160.3--0.245259000000009</f>
        <v>1066.2288380000002</v>
      </c>
      <c r="N318" s="3">
        <f>1874.2+(61.3-927.6)+(-0.955842+(-0.031263--0.473076))+0--160-0.0815999999999838</f>
        <v>1167.3043709999999</v>
      </c>
      <c r="O318" s="3">
        <f>1886.5+(70.7-939.8)+(0.962115+(0.036057-0.479298))+0--193--0.0984299999999804</f>
        <v>1211.017304</v>
      </c>
      <c r="P318" s="3">
        <f>1973.5+(68.4-996.8)+(-3.019455+(-0.104652--1.525104))+0--230.9-0.353277000000013</f>
        <v>1274.04772</v>
      </c>
      <c r="Q318" s="3">
        <f>1893.2+(67.7-952.6)+(-3.862128+(-0.138108--1.943304))+0--223.4-0.45573599999999</f>
        <v>1229.1873320000002</v>
      </c>
      <c r="R318" s="3">
        <f>1893.3+(59.5-918.5)+(-2.896749+(-0.091035--1.405305))+0--160-0.244800000000009</f>
        <v>1192.4727210000001</v>
      </c>
      <c r="S318" s="3">
        <f>1901.8+(61.3-942.4)+(-0.969918+(-0.031263--0.480624))+0--160.4-0.0818039999999837</f>
        <v>1180.4976389999999</v>
      </c>
      <c r="T318" s="3">
        <f>1912.2+(58.9-982.9)+(0.975222+(0.030039-0.501279))+0--160.2--0.0817019999999837</f>
        <v>1148.985684</v>
      </c>
      <c r="U318" s="3">
        <f>1891.1+(58.3-963.7)+(-2.893383+(-0.089199--1.474461))+0--155-0.237150000000009</f>
        <v>1138.954729</v>
      </c>
      <c r="V318" s="3">
        <f>1851.5+(53.9-891.4)+(0+(0-0))+0--153-0</f>
        <v>1167</v>
      </c>
      <c r="W318" s="3">
        <f>1873+(59.1-878.1)+(-1.91046+(-0.060282--0.895662))+0--215-0.219300000000034</f>
        <v>1267.70562</v>
      </c>
      <c r="X318" s="3">
        <f>1910.3+(74.1-882.5)+(-5.845518+(-0.226746--2.70045))+0--304.5-0.931770000000035</f>
        <v>1402.0964159999999</v>
      </c>
      <c r="Y318" s="3">
        <f>1900+(69.8-908.5)+(-2.907+(-0.106794--1.390005))+0--305.6-0.467568000000018</f>
        <v>1364.8086429999998</v>
      </c>
      <c r="Z318" s="3">
        <f>1955.1+(65-1013.9)+(-1.994202+(-0.0663--1.034178))+0--306.7-0.312834000000049</f>
        <v>1311.5608419999999</v>
      </c>
      <c r="AA318" s="3">
        <f>1934.7+(64.5-1029.9)+(-1.973394+(-0.06579--1.050498))+0--306-0.312120000000049</f>
        <v>1273.999194</v>
      </c>
      <c r="AB318" s="3">
        <f>1970+(60-1124.2)+(-3.0141+(-0.0918--1.720026))+0--307.8-0.470934000000018</f>
        <v>1211.7431920000001</v>
      </c>
      <c r="AC318" s="3">
        <f>2011.8+(52.1-1256.2)+(-2.052036+(-0.053142--1.281324))+0--308-0.314160000000049</f>
        <v>1114.5619859999997</v>
      </c>
      <c r="AD318">
        <f t="shared" si="4"/>
        <v>27878.777420000002</v>
      </c>
      <c r="AE318" s="3">
        <f>1921.3+(61.5-877.3)+(0+(0-0))+0--304-0</f>
        <v>1409.5</v>
      </c>
    </row>
    <row r="319" spans="1:31" s="2" customFormat="1" x14ac:dyDescent="0.25">
      <c r="A319">
        <v>89</v>
      </c>
      <c r="B319">
        <v>11</v>
      </c>
      <c r="C319">
        <v>13</v>
      </c>
      <c r="D319">
        <v>5</v>
      </c>
      <c r="E319">
        <v>5</v>
      </c>
      <c r="F319" s="3">
        <f>1913.6+(21.1-1254.6)+(-2.927808+(-0.032283--1.919538))+0--307.4-0.470322000000018</f>
        <v>985.98912499999983</v>
      </c>
      <c r="G319" s="3">
        <f>1922.9+(12-1276.2)+(0.980679+(0.00612-0.650862))+0--307.3--0.156722999999969</f>
        <v>966.49266</v>
      </c>
      <c r="H319" s="3">
        <f>1843+(20.5-1271.5)+(-1.87986+(-0.02091--1.29693))+0--307.2-0.313344000000049</f>
        <v>898.28281600000003</v>
      </c>
      <c r="I319" s="3">
        <f>1792.9+(21.5-1241.9)+(1.828758+(0.02193-1.266738))+0--307.3--0.313446000000049</f>
        <v>880.69739599999991</v>
      </c>
      <c r="J319" s="3">
        <f>1794.4+(19.5-1215.6)+(1.830288+(0.01989-1.239912))+0--310.5--0.31671000000005</f>
        <v>909.72697600000026</v>
      </c>
      <c r="K319" s="3">
        <f>1832.8+(18.6-1228.2)+(2.804184+(0.028458-1.879146))+0--311.2--0.476136000000018</f>
        <v>935.82963199999972</v>
      </c>
      <c r="L319" s="3">
        <f>1859.3+(15-1197)+(0+(0-0))+0--310.3-0</f>
        <v>987.59999999999991</v>
      </c>
      <c r="M319" s="3">
        <f>1695.7+(14.3-954.4)+(-4.324035+(-0.036465--2.43372))+0--165.1-0.421004999999976</f>
        <v>918.35221500000011</v>
      </c>
      <c r="N319" s="3">
        <f>1786.5+(38.7-1018.9)+(-0.911115+(-0.019737--0.519639))+0--160.3-0.0817529999999837</f>
        <v>966.10703400000011</v>
      </c>
      <c r="O319" s="3">
        <f>1931.2+(21.2-1111.6)+(2.954736+(0.032436-1.700748))+0--186.6--0.285498000000011</f>
        <v>1028.9719220000002</v>
      </c>
      <c r="P319" s="3">
        <f>1982.6+(18-1178.3)+(-6.066756+(-0.05508--3.605598))+0--228.9-0.700434000000026</f>
        <v>1047.9833279999998</v>
      </c>
      <c r="Q319" s="3">
        <f>1830.9+(33.1-988.1)+(-2.801277+(-0.050643--1.511793))+0--178.5-0.27310500000001</f>
        <v>1052.7867680000002</v>
      </c>
      <c r="R319" s="3">
        <f>1794.4+(46.2-953.7)+(0+(0-0))+0--159.5-0</f>
        <v>1046.4000000000001</v>
      </c>
      <c r="S319" s="3">
        <f>1817.7+(47.2-1026.2)+(-1.854054+(-0.048144--1.046724))+0--190.6-0.19441200000003</f>
        <v>1028.2501139999999</v>
      </c>
      <c r="T319" s="3">
        <f>1866.6+(54.4-1133.1)+(-2.855898+(-0.083232--1.733643))+0--227.8-0.348534000000013</f>
        <v>1014.1459790000001</v>
      </c>
      <c r="U319" s="3">
        <f>1868.5+(48-1027.2)+(-3.81174+(-0.09792--2.095488))+0--115.2-0.235007999999995</f>
        <v>1002.45082</v>
      </c>
      <c r="V319" s="3">
        <f>1892.1+(52.4-1022.9)+(0+(0-0))+0--87.8-0</f>
        <v>1009.3999999999999</v>
      </c>
      <c r="W319" s="3">
        <f>1943.1+(49.6-971.8)+(0+(0-0))+0--88.3-0</f>
        <v>1109.2</v>
      </c>
      <c r="X319" s="3">
        <f>2256.1+(54.1-1211.7)+(-4.602444+(-0.110364--2.471868))+0--216.3-0.441251999999991</f>
        <v>1312.1178079999997</v>
      </c>
      <c r="Y319" s="3">
        <f>2259.3+(52.4-1229.9)+(-2.304486+(-0.053448--1.254498))+0--231.4-0.236028000000037</f>
        <v>1311.8605360000001</v>
      </c>
      <c r="Z319" s="3">
        <f>2206+(50.4-1204.9)+(0+(0-0))+0--233-0</f>
        <v>1284.5</v>
      </c>
      <c r="AA319" s="3">
        <f>2126.2+(54.6-1140.1)+(1.084362+(0.027846-0.581451))+0--233.7--0.119186999999976</f>
        <v>1275.0499439999999</v>
      </c>
      <c r="AB319" s="3">
        <f>2086.2+(58.8-1157.6)+(-1.063962+(-0.029988--0.590376))+0--235.2-0.119951999999976</f>
        <v>1221.9764739999998</v>
      </c>
      <c r="AC319" s="3">
        <f>2065.8+(48-1153)+(-6.321348+(-0.14688--3.52818))+0--187.5-0.573750000000022</f>
        <v>1144.7862020000002</v>
      </c>
      <c r="AD319">
        <f t="shared" si="4"/>
        <v>25338.957748999997</v>
      </c>
      <c r="AE319" s="3">
        <f>2299.3+(55.6-1188.9)+(0+(0-0))+0--228-0</f>
        <v>1394</v>
      </c>
    </row>
    <row r="320" spans="1:31" s="2" customFormat="1" x14ac:dyDescent="0.25">
      <c r="A320">
        <v>89</v>
      </c>
      <c r="B320">
        <v>11</v>
      </c>
      <c r="C320">
        <v>14</v>
      </c>
      <c r="D320">
        <v>6</v>
      </c>
      <c r="E320">
        <v>6</v>
      </c>
      <c r="F320" s="3">
        <f>2030.1+(43.4-1107.9)+(-1.035351+(-0.022134--0.565029))+0--103-0.0525299999999896</f>
        <v>1068.055014</v>
      </c>
      <c r="G320" s="3">
        <f>1963.6+(38.4-1055.6)+(0+(0-0))+0--43.3-0</f>
        <v>989.69999999999993</v>
      </c>
      <c r="H320" s="3">
        <f>1916.8+(39.3-1033.4)+(-5.865408+(-0.120258--3.162204))+0--28.9-0.0884340000000033</f>
        <v>948.68810399999984</v>
      </c>
      <c r="I320" s="3">
        <f>1913.2+(37.8-1047.2)+(3.902928+(0.077112-2.136288))+0--31--0.0632399999999986</f>
        <v>936.7069919999999</v>
      </c>
      <c r="J320" s="3">
        <f>1912.1+(38.6-1050.7)+(0.975171+(0.019686-0.535857))+0--30.4--0.0155039999999969</f>
        <v>930.87450399999977</v>
      </c>
      <c r="K320" s="3">
        <f>1945.2+(39.7-1066.5)+(3.968208+(0.080988-2.17566))+0--30--0.0611999999999987</f>
        <v>950.33473600000002</v>
      </c>
      <c r="L320" s="3">
        <f>1987.5+(31.8-1071)+(1.013625+(0.016218-0.54621))+0--30.2--0.0154019999999969</f>
        <v>978.99903500000005</v>
      </c>
      <c r="M320" s="3">
        <f>2008.7+(33.3-1105.6)+(-1.024437+(-0.016983--0.563856))+0--63.1-0.0321809999999936</f>
        <v>998.99025500000005</v>
      </c>
      <c r="N320" s="3">
        <f>2127.4+(36.7-1282.7)+(-1.084974+(-0.018717--0.654177))+0--207.6-0.105875999999979</f>
        <v>1088.44461</v>
      </c>
      <c r="O320" s="3">
        <f>2277.5+(49.7-1373.8)+(2.32305+(0.050694-1.401276))+0--243.1--0.247962000000039</f>
        <v>1197.7204300000003</v>
      </c>
      <c r="P320" s="3">
        <f>2276.6+(55.1-1361.5)+(-1.161066+(-0.028101--0.694365))+0--244.5-0.124694999999975</f>
        <v>1214.0805029999997</v>
      </c>
      <c r="Q320" s="3">
        <f>2263.4+(55.4-1353.4)+(0+(0-0))+0--247.1-0</f>
        <v>1212.5</v>
      </c>
      <c r="R320" s="3">
        <f>2143.8+(50.4-1389.2)+(-3.280014+(-0.077112--2.125476))+0--247.8-0.379134000000014</f>
        <v>1051.1892160000002</v>
      </c>
      <c r="S320" s="3">
        <f>2251.4+(50.8-1405.3)+(-5.74107+(-0.12954--3.583515))+0--247-0.629849999999964</f>
        <v>1140.9830549999999</v>
      </c>
      <c r="T320" s="3">
        <f>2149.7+(48.6-1374.9)+(-3.289041+(-0.074358--2.103597))+0--246.8-0.377604000000014</f>
        <v>1068.5625939999995</v>
      </c>
      <c r="U320" s="3">
        <f>2087.9+(42.1-1274)+(-9.583461+(-0.193239--5.84766))+0--246.4-1.13097600000004</f>
        <v>1097.339984</v>
      </c>
      <c r="V320" s="3">
        <f>2086.1+(47.2-1200.8)+(-2.127822+(-0.048144--1.224816))+0--167.3-0.170646000000027</f>
        <v>1098.6782040000001</v>
      </c>
      <c r="W320" s="3">
        <f>2213.7+(50.4-1174)+(1.128987+(0.025704-0.59874))+0--90.5--0.0461549999999908</f>
        <v>1181.202106</v>
      </c>
      <c r="X320" s="3">
        <f>2463.6+(64.7-1206.2)+(-3.769308+(-0.098991--1.845486))+0--90.1-0.137853000000005</f>
        <v>1410.0393339999998</v>
      </c>
      <c r="Y320" s="3">
        <f>2370.7+(63.7-1203.7)+(-6.045285+(-0.162435--3.069435))+0--160.4-0.409019999999977</f>
        <v>1387.5526949999999</v>
      </c>
      <c r="Z320" s="3">
        <f>2296.4+(49.4-1172.7)+(-3.513492+(-0.075582--1.794231))+0--170.2-0.26040600000001</f>
        <v>1341.2447510000002</v>
      </c>
      <c r="AA320" s="3">
        <f>2376.3+(47.5-1229.7)+(-3.635739+(-0.072675--1.881441))+0--171.4-0.26224200000001</f>
        <v>1363.4107850000003</v>
      </c>
      <c r="AB320" s="3">
        <f>2429.9+(43.6-1361.9)+(-1.239249+(-0.022236--0.694569))+0--171.5-0.0874649999999826</f>
        <v>1282.4456189999999</v>
      </c>
      <c r="AC320" s="3">
        <f>2250.5+(39.3-1339)+(-2.29551+(-0.040086--1.36578))+0--171.7-0.175134000000027</f>
        <v>1121.3550499999999</v>
      </c>
      <c r="AD320">
        <f t="shared" si="4"/>
        <v>27059.097575999993</v>
      </c>
      <c r="AE320" s="3">
        <f>2515.3+(60.9-1084.1)+(0+(0-0))+0--92-0</f>
        <v>1584.1000000000004</v>
      </c>
    </row>
    <row r="321" spans="1:31" s="2" customFormat="1" x14ac:dyDescent="0.25">
      <c r="A321">
        <v>89</v>
      </c>
      <c r="B321">
        <v>11</v>
      </c>
      <c r="C321">
        <v>15</v>
      </c>
      <c r="D321">
        <v>7</v>
      </c>
      <c r="E321">
        <v>5</v>
      </c>
      <c r="F321" s="3">
        <f>2181.6+(35.4-1281.7)+(-1.112616+(-0.018054--0.653667))+0--171.8-0.0876179999999826</f>
        <v>1106.5353789999999</v>
      </c>
      <c r="G321" s="3">
        <f>2101.6+(33.6-1209.9)+(-1.071816+(-0.017136--0.617049))+0--109.8-0.0559979999999889</f>
        <v>1034.5720989999998</v>
      </c>
      <c r="H321" s="3">
        <f>2070.9+(35-1200.8)+(-4.224636+(-0.0714--2.449632))+0--90.6-0.184823999999996</f>
        <v>993.6687720000001</v>
      </c>
      <c r="I321" s="3">
        <f>1984.5+(34.8-1130.5)+(-4.04838+(-0.070992--2.30622))+0--90.3-0.184211999999996</f>
        <v>977.10263599999996</v>
      </c>
      <c r="J321" s="3">
        <f>1919.4+(34.3-1070)+(0+(0-0))+0--90.8-0</f>
        <v>974.5</v>
      </c>
      <c r="K321" s="3">
        <f>1921.9+(34.8-1058.1)+(4.900845+(0.08874-2.698155))+0--90.8--0.231539999999987</f>
        <v>991.92297000000008</v>
      </c>
      <c r="L321" s="3">
        <f>1996.8+(34.3-1207.7)+(-2.036736+(-0.034986--1.231854))+0--212-0.216240000000034</f>
        <v>1034.3438919999999</v>
      </c>
      <c r="M321" s="3">
        <f>1880.9+(37-1020.8)+(-0.959259+(-0.01887--0.520608))+0--109.8-0.0559979999999889</f>
        <v>1006.386481</v>
      </c>
      <c r="N321" s="3">
        <f>1979.2+(36.5-1052.4)+(-1.009392+(-0.018615--0.536724))+0--91-0.0464099999999908</f>
        <v>1053.762307</v>
      </c>
      <c r="O321" s="3">
        <f>2166.1+(36.4-1151.2)+(-2.209422+(-0.037128--1.174224))+0--90.9-0.0927180000000145</f>
        <v>1141.034956</v>
      </c>
      <c r="P321" s="3">
        <f>2264.9+(35.8-1264.1)+(-8.085693+(-0.127806--4.512837))+0--164-0.585480000000002</f>
        <v>1196.3138580000002</v>
      </c>
      <c r="Q321" s="3">
        <f>2196.6+(35.5-1282.7)+(0+(0-0))+0--170.8-0</f>
        <v>1120.1999999999998</v>
      </c>
      <c r="R321" s="3">
        <f>2180.3+(34.3-1274)+(0+(0-0))+0--169.8-0</f>
        <v>1110.4000000000001</v>
      </c>
      <c r="S321" s="3">
        <f>1988.8+(35.3-1100.7)+(-1.014288+(-0.018003--0.561357))+0--140.5-0.0716549999999857</f>
        <v>1063.3574109999997</v>
      </c>
      <c r="T321" s="3">
        <f>1922.9+(35-1105)+(-1.961358+(-0.0357--1.1271))+0--201-0.205020000000032</f>
        <v>1052.825022</v>
      </c>
      <c r="U321" s="3">
        <f>1919.4+(34.3-1154.1)+(-1.957788+(-0.034986--1.177182))+0--249.3-0.25428600000004</f>
        <v>1047.8301220000001</v>
      </c>
      <c r="V321" s="3">
        <f>2071.9+(33.1-1289.2)+(-1.056669+(-0.016881--0.657492))+0--249.6-0.127295999999975</f>
        <v>1064.856646</v>
      </c>
      <c r="W321" s="3">
        <f>2110.1+(41.1-1247.6)+(-2.152302+(-0.041922--1.272552))+0--250-0.25500000000004</f>
        <v>1152.4233279999999</v>
      </c>
      <c r="X321" s="3">
        <f>2140.6+(54.1-1067.5)+(-2.183412+(-0.055182--1.08885))+0--250.2-0.25520400000004</f>
        <v>1375.9950519999998</v>
      </c>
      <c r="Y321" s="3">
        <f>2149.8+(53.7-1078.4)+(-1.096398+(-0.027387--0.549984))+0--251-0.128009999999975</f>
        <v>1375.3981890000002</v>
      </c>
      <c r="Z321" s="3">
        <f>2157.9+(52.9-1098.5)+(-3.301587+(-0.080937--1.680705))+0--252.1-0.385713000000015</f>
        <v>1362.3124680000001</v>
      </c>
      <c r="AA321" s="3">
        <f>2176.8+(51-1151.9)+(0+(0-0))+0--252.4-0</f>
        <v>1328.3000000000002</v>
      </c>
      <c r="AB321" s="3">
        <f>2178.1+(50.3-1195.5)+(-5.554155+(-0.128265--3.048525))+0--252.7-0.644384999999963</f>
        <v>1282.3217199999999</v>
      </c>
      <c r="AC321" s="3">
        <f>2169.1+(46-1278.9)+(-5.531205+(-0.1173--3.261195))+0--252.4-0.643619999999963</f>
        <v>1185.5690699999998</v>
      </c>
      <c r="AD321">
        <f t="shared" ref="AD321:AD365" si="5">SUM(F321:AC321)</f>
        <v>27031.932377999998</v>
      </c>
      <c r="AE321" s="3">
        <f>2147.3+(60.2-1009)+(0+(0-0))+0--250-0</f>
        <v>1448.5000000000002</v>
      </c>
    </row>
    <row r="322" spans="1:31" s="2" customFormat="1" x14ac:dyDescent="0.25">
      <c r="A322">
        <v>89</v>
      </c>
      <c r="B322">
        <v>11</v>
      </c>
      <c r="C322">
        <v>16</v>
      </c>
      <c r="D322">
        <v>1</v>
      </c>
      <c r="E322">
        <v>1</v>
      </c>
      <c r="F322" s="3">
        <f>2097.5+(44.2-1296.4)+(-1.069725+(-0.022542--0.661164))+0--253-0.129029999999974</f>
        <v>1097.7398669999998</v>
      </c>
      <c r="G322" s="3">
        <f>1954.5+(37.8-1220.3)+(2.990385+(0.057834-1.867059))+0--252.7--0.386631000000015</f>
        <v>1026.267791</v>
      </c>
      <c r="H322" s="3">
        <f>1866.8+(37.8-1161.8)+(-3.808272+(-0.077112--2.370072))+0--253.7-0.517547999999989</f>
        <v>994.46713999999997</v>
      </c>
      <c r="I322" s="3">
        <f>1860.9+(37.8-1167.3)+(-2.847177+(-0.057834--1.785969))+0--253.6-0.388008000000015</f>
        <v>983.49295000000006</v>
      </c>
      <c r="J322" s="3">
        <f>1817.1+(38.7-1066.8)+(-2.780163+(-0.059211--1.632204))+0--205.2-0.313956000000012</f>
        <v>992.67887399999995</v>
      </c>
      <c r="K322" s="3">
        <f>1881.3+(40.2-1060)+(0+(0-0))+0--170.3-0</f>
        <v>1031.8</v>
      </c>
      <c r="L322" s="3">
        <f>1999.9+(45.1-1043.3)+(1.019949+(0.023001-0.532083))+0--170.8--0.0871079999999827</f>
        <v>1173.0979750000001</v>
      </c>
      <c r="M322" s="3">
        <f>2005.6+(46.6-1015.7)+(-1.022856+(-0.023766--0.518007))+0--171.2-0.0873119999999826</f>
        <v>1207.0840730000002</v>
      </c>
      <c r="N322" s="3">
        <f>2082.4+(53.9-1048.9)+(2.124048+(0.054978-1.069878))+0--204.2--0.208284000000033</f>
        <v>1292.9174320000002</v>
      </c>
      <c r="O322" s="3">
        <f>2276.1+(54.4-1200.9)+(2.321622+(0.055488-1.224918))+0--245.6--0.250512000000039</f>
        <v>1376.6027039999999</v>
      </c>
      <c r="P322" s="3">
        <f>2387.6+(55.3-1288.5)+(4.870704+(0.112812-2.62854))+0--242.9--0.495515999999989</f>
        <v>1400.150492</v>
      </c>
      <c r="Q322" s="3">
        <f>2484.2+(55.3-1379.8)+(-6.33471+(-0.141015--3.51849))+0--242-0.617099999999965</f>
        <v>1398.1256649999998</v>
      </c>
      <c r="R322" s="3">
        <f>2396.9+(45-1398.9)+(-3.667257+(-0.06885--2.140317))+0--239.6-0.366588000000014</f>
        <v>1280.6376219999997</v>
      </c>
      <c r="S322" s="3">
        <f>2291.7+(46-1314.8)+(-4.675068+(-0.09384--2.682192))+0--238-0.48551999999999</f>
        <v>1258.3277639999999</v>
      </c>
      <c r="T322" s="3">
        <f>2298.7+(51.1-1351.9)+(-2.344674+(-0.052122--1.378938))+0--237.7-0.242454000000038</f>
        <v>1234.3396879999996</v>
      </c>
      <c r="U322" s="3">
        <f>2266.2+(51.1-1334.8)+(3.467286+(0.078183-2.042244))+0--237.9--0.363987000000014</f>
        <v>1222.2672119999997</v>
      </c>
      <c r="V322" s="3">
        <f>2305.6+(47.8-1313.2)+(-3.527568+(-0.073134--2.009196))+0--204.8-0.313344000000012</f>
        <v>1243.0951499999999</v>
      </c>
      <c r="W322" s="3">
        <f>2584+(48.3-1487.6)+(0+(0-0))+0--239.1-0</f>
        <v>1383.8</v>
      </c>
      <c r="X322" s="3">
        <f>2836.2+(53.7-1608.1)+(-4.339386+(-0.082161--2.460393))+0--239.9-0.367047000000014</f>
        <v>1519.371799</v>
      </c>
      <c r="Y322" s="3">
        <f>2542.5+(54.8-1320.9)+(-1.296675+(-0.027948--0.673659))+0--199.3-0.10164299999998</f>
        <v>1474.9473929999999</v>
      </c>
      <c r="Z322" s="3">
        <f>2445+(54.6-1201.7)+(-4.9878+(-0.111384--2.451468))+0--165.3-0.337211999999993</f>
        <v>1460.215072</v>
      </c>
      <c r="AA322" s="3">
        <f>2390.8+(53.6-1176.6)+(-1.219308+(-0.027336--0.600066))+0--165.3-0.0843029999999832</f>
        <v>1432.369119</v>
      </c>
      <c r="AB322" s="3">
        <f>2082.1+(54.8-989.4)+(-5.309355+(-0.13974--2.52297))+0--165.8-0.422789999999976</f>
        <v>1309.9510849999999</v>
      </c>
      <c r="AC322" s="3">
        <f>1865.3+(52.1-886)+(-3.805212+(-0.106284--1.80744))+0--165.4-0.337415999999993</f>
        <v>1194.3585280000002</v>
      </c>
      <c r="AD322">
        <f t="shared" si="5"/>
        <v>29988.105394999999</v>
      </c>
      <c r="AE322" s="3">
        <f>2832.3+(51-1586)+(0+(0-0))+0--239-0</f>
        <v>1536.3000000000002</v>
      </c>
    </row>
    <row r="323" spans="1:31" s="2" customFormat="1" x14ac:dyDescent="0.25">
      <c r="A323">
        <v>89</v>
      </c>
      <c r="B323">
        <v>11</v>
      </c>
      <c r="C323">
        <v>17</v>
      </c>
      <c r="D323">
        <v>2</v>
      </c>
      <c r="E323">
        <v>1</v>
      </c>
      <c r="F323" s="3">
        <f>1948.9+(47.5-1057.9)+(-1.987878+(-0.04845--1.079058))+0--165.2-0.168504000000026</f>
        <v>1102.574226</v>
      </c>
      <c r="G323" s="3">
        <f>1877.4+(43-1045)+(-1.914948+(-0.04386--1.0659))+0--165.3-0.168606000000026</f>
        <v>1039.6384860000001</v>
      </c>
      <c r="H323" s="3">
        <f>1820.2+(40.7-1062.1)+(-0.928302+(-0.020757--0.541671))+0--210.4-0.107303999999979</f>
        <v>1008.6853080000002</v>
      </c>
      <c r="I323" s="3">
        <f>1782.8+(47.7-1074.2)+(4.54614+(0.121635-2.73921))+0--243--0.619649999999965</f>
        <v>1001.848215</v>
      </c>
      <c r="J323" s="3">
        <f>1806.7+(44.4-1093.1)+(-2.764251+(-0.067932--1.672443))+0--243.6-0.372708000000014</f>
        <v>1000.0675520000002</v>
      </c>
      <c r="K323" s="3">
        <f>1806.7+(43-1047.8)+(0+(0-0))+0--241.9-0</f>
        <v>1043.8000000000002</v>
      </c>
      <c r="L323" s="3">
        <f>1833+(45.2-961.9)+(-1.86966+(-0.046104--0.981138))+0--241.3-0.246126000000038</f>
        <v>1156.4192480000002</v>
      </c>
      <c r="M323" s="3">
        <f>1816.7+(49.9-939.1)+(-1.853034+(-0.050898--0.957882))+0--242.6-0.247452000000039</f>
        <v>1168.9064979999998</v>
      </c>
      <c r="N323" s="3">
        <f>1941.4+(55.3-992.6)+(-0.990114+(-0.028203--0.506226))+0--243.4-0.124133999999975</f>
        <v>1246.863775</v>
      </c>
      <c r="O323" s="3">
        <f>2107.6+(56.4-1097.5)+(1.074876+(0.028764-0.559725))+0--246--0.125459999999975</f>
        <v>1313.1693749999999</v>
      </c>
      <c r="P323" s="3">
        <f>2171.7+(56.9-1150.2)+(-4.430268+(-0.116076--2.346408))+0--246.3-0.502451999999989</f>
        <v>1321.9976119999999</v>
      </c>
      <c r="Q323" s="3">
        <f>2177.5+(53.4-1171.8)+(-4.4421+(-0.108936--2.390472))+0--246.9-0.503675999999989</f>
        <v>1303.3357600000002</v>
      </c>
      <c r="R323" s="3">
        <f>2107.8+(47.2-1147.4)+(-4.299912+(-0.096288--2.340696))+0--246-0.501839999999989</f>
        <v>1251.0426560000001</v>
      </c>
      <c r="S323" s="3">
        <f>2013.9+(51.1-1074.3)+(-3.081267+(-0.078183--1.643679))+0--245.6-0.375768000000014</f>
        <v>1234.408461</v>
      </c>
      <c r="T323" s="3">
        <f>2035.3+(52.3-1116.5)+(-2.076006+(-0.053346--1.13883))+0--245.3-0.250206000000039</f>
        <v>1215.1592719999999</v>
      </c>
      <c r="U323" s="3">
        <f>2020.1+(53-1100.1)+(-6.181506+(-0.16218--3.366306))+0--245.7-0.751842000000028</f>
        <v>1214.9707779999999</v>
      </c>
      <c r="V323" s="3">
        <f>1975.3+(50.7-1048.6)+(0+(0-0))+0--245.8-0</f>
        <v>1223.2</v>
      </c>
      <c r="W323" s="3">
        <f>2269.6+(50.9-1269.4)+(-3.472488+(-0.077877--1.942182))+0--246.9-0.377757000000014</f>
        <v>1296.01406</v>
      </c>
      <c r="X323" s="3">
        <f>2771.7+(56.1-1535.1)+(0+(0-0))+0--246.6-0</f>
        <v>1539.2999999999997</v>
      </c>
      <c r="Y323" s="3">
        <f>2736+(53.9-1530.9)+(-9.76752+(-0.192423--5.465313))+0--247.5-0.883575000000004</f>
        <v>1501.121795</v>
      </c>
      <c r="Z323" s="3">
        <f>2643.4+(52.5-1477.5)+(-1.348134+(-0.026775--0.753525))+0--247.4-0.126173999999975</f>
        <v>1465.0524420000002</v>
      </c>
      <c r="AA323" s="3">
        <f>2593.6+(53.4-1443.7)+(-6.61368+(-0.13617--3.681435))+0--247.4-0.630869999999964</f>
        <v>1447.0007150000001</v>
      </c>
      <c r="AB323" s="3">
        <f>2248.2+(53-1239.8)+(-2.293164+(-0.05406--1.264596))+0--246.1-0.251022000000039</f>
        <v>1306.1663499999995</v>
      </c>
      <c r="AC323" s="3">
        <f>1982.9+(50.7-1035.7)+(-4.045116+(-0.103428--2.112828))+0--247.6-0.505103999999989</f>
        <v>1242.9591800000001</v>
      </c>
      <c r="AD323">
        <f t="shared" si="5"/>
        <v>29643.701764000001</v>
      </c>
      <c r="AE323" s="3">
        <f>2802.3+(52.7-1537.9)+(0+(0-0))+0--245-0</f>
        <v>1562.1000000000001</v>
      </c>
    </row>
    <row r="324" spans="1:31" s="2" customFormat="1" x14ac:dyDescent="0.25">
      <c r="A324">
        <v>89</v>
      </c>
      <c r="B324">
        <v>11</v>
      </c>
      <c r="C324">
        <v>18</v>
      </c>
      <c r="D324">
        <v>3</v>
      </c>
      <c r="E324">
        <v>1</v>
      </c>
      <c r="F324" s="3">
        <f>1848.9+(45.4-1003.8)+(-3.771756+(-0.092616--2.047752))+0--249.4-0.508775999999989</f>
        <v>1137.5746040000004</v>
      </c>
      <c r="G324" s="3">
        <f>1842.1+(42.2-1054.4)+(-0.939471+(-0.021522--0.537744))+0--249.2-0.127091999999975</f>
        <v>1078.5496589999998</v>
      </c>
      <c r="H324" s="3">
        <f>1835.2+(42.6-1062.7)+(0.935952+(0.021726-0.541977))+0--249.3--0.127142999999975</f>
        <v>1064.9428439999999</v>
      </c>
      <c r="I324" s="3">
        <f>1690.2+(48.2-942.1)+(-4.31001+(-0.12291--2.402355))+0--251.6-0.641579999999964</f>
        <v>1045.2278550000001</v>
      </c>
      <c r="J324" s="3">
        <f>1541.5+(66.9-671)+(-1.57233+(-0.068238--0.68442))+0--101.8-0.103836000000016</f>
        <v>1038.1400160000001</v>
      </c>
      <c r="K324" s="3">
        <f>1547.1+(54.6-616.4)+(-0.789021+(-0.027846--0.314364))+0--90.3-0.0460529999999908</f>
        <v>1075.0514439999999</v>
      </c>
      <c r="L324" s="3">
        <f>1580.6+(59-577)+(-4.836636+(-0.18054--1.76562))+0--89.4-0.27356400000001</f>
        <v>1148.47488</v>
      </c>
      <c r="M324" s="3">
        <f>1687.7+(57.7-660.2)+(0+(0-0))+0--130.1-0</f>
        <v>1215.3</v>
      </c>
      <c r="N324" s="3">
        <f>1950.9+(49-965.9)+(2.984877+(0.07497-1.477827))+0--243.6--0.372708000000014</f>
        <v>1279.5547280000001</v>
      </c>
      <c r="O324" s="3">
        <f>2233.8+(51-1188.7)+(0+(0-0))+0--246.6-0</f>
        <v>1342.7</v>
      </c>
      <c r="P324" s="3">
        <f>2204.7+(60.3-1149.2)+(0+(0-0))+0--245.2-0</f>
        <v>1360.9999999999998</v>
      </c>
      <c r="Q324" s="3">
        <f>2285.2+(57.6-1209.7)+(0+(0-0))+0--244-0</f>
        <v>1377.0999999999997</v>
      </c>
      <c r="R324" s="3">
        <f>2264.4+(49.2-1261.5)+(-5.77422+(-0.12546--3.216825))+0--243.5-0.620924999999965</f>
        <v>1292.2962200000002</v>
      </c>
      <c r="S324" s="3">
        <f>2156.4+(56.2-1149.2)+(-2.199528+(-0.057324--1.172184))+0--242.8-0.247656000000039</f>
        <v>1304.8676760000001</v>
      </c>
      <c r="T324" s="3">
        <f>2128.7+(58.2-1108.1)+(-1.085637+(-0.029682--0.565131))+0--204.7-0.104396999999979</f>
        <v>1282.845415</v>
      </c>
      <c r="U324" s="3">
        <f>2131.2+(60.4-1071.1)+(-2.173824+(-0.061608--1.092522))+0--165.1-0.168402000000026</f>
        <v>1284.2886879999999</v>
      </c>
      <c r="V324" s="3">
        <f>2355+(51.9-1322.8)+(1.20105+(0.026469-0.674628))+0--165.1--0.0842009999999832</f>
        <v>1249.837092</v>
      </c>
      <c r="W324" s="3">
        <f>2517.9+(48.3-1405.8)+(-1.284129+(-0.024633--0.716958))+0--169.9-0.0866489999999828</f>
        <v>1329.6215470000002</v>
      </c>
      <c r="X324" s="3">
        <f>2634.5+(59.8-1372)+(-5.37438+(-0.121992--2.79888))+0--242.9-0.495515999999989</f>
        <v>1562.0069920000001</v>
      </c>
      <c r="Y324" s="3">
        <f>2636.6+(57-1399.6)+(-5.378664+(-0.11628--2.855184))+0--244.2-0.498167999999989</f>
        <v>1535.0620719999999</v>
      </c>
      <c r="Z324" s="3">
        <f>2623.6+(54.2-1442.9)+(-4.014108+(-0.082926--2.207637))+0--244.7-0.374391000000014</f>
        <v>1477.3362119999999</v>
      </c>
      <c r="AA324" s="3">
        <f>2533.8+(55-1339.7)+(-6.46119+(-0.14025--3.416235))+0--197.8-0.504389999999971</f>
        <v>1443.210405</v>
      </c>
      <c r="AB324" s="3">
        <f>2361.4+(58.1-1206.6)+(-4.817256+(-0.118524--2.461464))+0--165.6-0.337823999999993</f>
        <v>1375.68786</v>
      </c>
      <c r="AC324" s="3">
        <f>2120.7+(56.1-1072.3)+(-9.734013+(-0.257499--4.921857))+0--166-0.761940000000029</f>
        <v>1264.6684049999999</v>
      </c>
      <c r="AD324">
        <f t="shared" si="5"/>
        <v>30565.344613999998</v>
      </c>
      <c r="AE324" s="3">
        <f>2634.3+(59.4-1375.5)+(0+(0-0))+0--243-0</f>
        <v>1561.2000000000003</v>
      </c>
    </row>
    <row r="325" spans="1:31" s="2" customFormat="1" x14ac:dyDescent="0.25">
      <c r="A325">
        <v>89</v>
      </c>
      <c r="B325">
        <v>11</v>
      </c>
      <c r="C325">
        <v>19</v>
      </c>
      <c r="D325">
        <v>4</v>
      </c>
      <c r="E325">
        <v>1</v>
      </c>
      <c r="F325" s="3">
        <f>2019.9+(97.5-1122.5)+(4.120596+(0.1989-2.2899))+0--166.6--0.339863999999993</f>
        <v>1163.8694600000001</v>
      </c>
      <c r="G325" s="3">
        <f>1962.6+(120.5-1156.2)+(2.001852+(0.12291-1.179324))+0--166.6--0.169932000000027</f>
        <v>1094.6153699999998</v>
      </c>
      <c r="H325" s="3">
        <f>1872.9+(133.5-1116.5)+(-1.910358+(-0.13617--1.13883))+0--167.5-0.170850000000027</f>
        <v>1056.3214520000001</v>
      </c>
      <c r="I325" s="3">
        <f>1810.5+(137-1076.5)+(-4.616775+(-0.34935--2.745075))+0--168.1-0.428654999999976</f>
        <v>1036.4502950000001</v>
      </c>
      <c r="J325" s="3">
        <f>1808+(115.4-1053.4)+(0.92208+(0.058854-0.537234))+0--168--0.085679999999983</f>
        <v>1038.5293799999997</v>
      </c>
      <c r="K325" s="3">
        <f>1812+(100.8-1000.3)+(3.69648+(0.205632-2.040612))+0--168.9--0.344555999999993</f>
        <v>1083.6060560000001</v>
      </c>
      <c r="L325" s="3">
        <f>1884.4+(59-979.9)+(-3.844176+(-0.12036--1.998996))+0--171.6-0.350063999999992</f>
        <v>1132.784396</v>
      </c>
      <c r="M325" s="3">
        <f>1891.9+(68.7-966.5)+(-0.964869+(-0.035037--0.492915))+0--190.2-0.0970019999999807</f>
        <v>1183.6960070000002</v>
      </c>
      <c r="N325" s="3">
        <f>2188.4+(58.7-1218)+(2.232168+(0.059874-1.24236))+0--247.8--0.25275600000004</f>
        <v>1278.2024380000003</v>
      </c>
      <c r="O325" s="3">
        <f>2306.9+(60.2-1265)+(1.176519+(0.030702-0.64515))+0--159.9--0.0815489999999838</f>
        <v>1262.6436200000003</v>
      </c>
      <c r="P325" s="3">
        <f>2290.9+(62.4-1231)+(-4.673436+(-0.127296--2.51124))+0--91.7-0.187067999999996</f>
        <v>1211.5234400000002</v>
      </c>
      <c r="Q325" s="3">
        <f>2292.9+(56.1-1232.5)+(-4.677516+(-0.114444--2.5143))+0--94-0.191759999999996</f>
        <v>1208.0305800000001</v>
      </c>
      <c r="R325" s="3">
        <f>2164.5+(47.1-1121)+(-3.311685+(-0.072063--1.71513))+0--239.3-0.366129000000014</f>
        <v>1327.8652529999999</v>
      </c>
      <c r="S325" s="3">
        <f>2081.7+(58.6-1048.2)+(0+(0-0))+0--238.3-0</f>
        <v>1330.3999999999999</v>
      </c>
      <c r="T325" s="3">
        <f>2073.8+(56.2-1082.5)+(0+(0-0))+0--235.9-0</f>
        <v>1283.4000000000003</v>
      </c>
      <c r="U325" s="3">
        <f>2066.8+(53.7-1086.9)+(-2.108136+(-0.054774--1.108638))+0--237.9-0.242658000000038</f>
        <v>1270.20307</v>
      </c>
      <c r="V325" s="3">
        <f>2058.8+(54.5-1076.5)+(-3.149964+(-0.083385--1.647045))+0--239.4-0.366282000000014</f>
        <v>1274.2474140000004</v>
      </c>
      <c r="W325" s="3">
        <f>2196.3+(55.2-969.4)+(1.120113+(0.028152-0.494394))+0--239.7--0.122246999999976</f>
        <v>1522.5761180000004</v>
      </c>
      <c r="X325" s="3">
        <f>2398.7+(63.3-1199.4)+(-2.446674+(-0.064566--1.223388))+0--240.9-0.245718000000038</f>
        <v>1501.9664299999997</v>
      </c>
      <c r="Y325" s="3">
        <f>2396.1+(60.1-1190.9)+(-3.666033+(-0.091953--1.822077))+0--241.4-0.369342000000014</f>
        <v>1504.3947489999998</v>
      </c>
      <c r="Z325" s="3">
        <f>2363.8+(55.6-1203.6)+(-6.02769+(-0.14178--3.06918))+0--241.1-0.614804999999965</f>
        <v>1453.1849050000001</v>
      </c>
      <c r="AA325" s="3">
        <f>2400.1+(53.3-1271.6)+(0+(0-0))+0--239.1-0</f>
        <v>1420.8999999999999</v>
      </c>
      <c r="AB325" s="3">
        <f>2390.1+(48.1-1318.1)+(-1.218951+(-0.024531--0.672231))+0--237.4-0.121073999999976</f>
        <v>1356.807675</v>
      </c>
      <c r="AC325" s="3">
        <f>2210.7+(43.1-1170.1)+(-6.764742+(-0.131886--3.580506))+0--165.4-0.506124000000019</f>
        <v>1245.277754</v>
      </c>
      <c r="AD325">
        <f t="shared" si="5"/>
        <v>30241.495862000003</v>
      </c>
      <c r="AE325" s="3">
        <f>2461.3+(64.5-1190.8)+(0+(0-0))+0--238-0</f>
        <v>1573.0000000000002</v>
      </c>
    </row>
    <row r="326" spans="1:31" s="2" customFormat="1" x14ac:dyDescent="0.25">
      <c r="A326">
        <v>89</v>
      </c>
      <c r="B326">
        <v>11</v>
      </c>
      <c r="C326">
        <v>20</v>
      </c>
      <c r="D326">
        <v>5</v>
      </c>
      <c r="E326">
        <v>1</v>
      </c>
      <c r="F326" s="3">
        <f>2097.1+(61.4-1122.9)+(-2.139042+(-0.062628--1.145358))+0--122.5-0.12495000000002</f>
        <v>1156.9187379999998</v>
      </c>
      <c r="G326" s="3">
        <f>2049.6+(69.1-1115.5)+(-6.271776+(-0.211446--3.41343))+0--90.6-0.27723600000001</f>
        <v>1090.4529719999998</v>
      </c>
      <c r="H326" s="3">
        <f>1947.7+(75.1-1042.3)+(0.993327+(0.038301-0.531573))+0--90.8--0.0463079999999908</f>
        <v>1071.8463630000001</v>
      </c>
      <c r="I326" s="3">
        <f>1878.1+(81.6-999.6)+(-4.789155+(-0.20808--2.54898))+0--90.9-0.231794999999987</f>
        <v>1048.3199500000001</v>
      </c>
      <c r="J326" s="3">
        <f>1865.2+(54.2-1062.8)+(-0.951252+(-0.027642--0.542028))+0--177.6-0.090575999999982</f>
        <v>1033.672558</v>
      </c>
      <c r="K326" s="3">
        <f>1879.3+(43.5-1096.8)+(-0.958443+(-0.022185--0.559368))+0--248.2-0.126581999999975</f>
        <v>1073.6521580000001</v>
      </c>
      <c r="L326" s="3">
        <f>1925.1+(45.6-1074.9)+(-0.981801+(-0.023256--0.548199))+0--248.5-0.126734999999975</f>
        <v>1143.7164069999997</v>
      </c>
      <c r="M326" s="3">
        <f>1968.1+(51.5-1070.4)+(3.011193+(0.078795-1.637712))+0--249.2--0.381276000000014</f>
        <v>1200.2335519999999</v>
      </c>
      <c r="N326" s="3">
        <f>2026.6+(58.2-1049)+(2.067132+(0.059364-1.06998))+0--248.1--0.25306200000004</f>
        <v>1285.209578</v>
      </c>
      <c r="O326" s="3">
        <f>2143.2+(47.8-1092.5)+(-1.093032+(-0.024378--0.557175))+0--245.4-0.125153999999975</f>
        <v>1343.2146109999999</v>
      </c>
      <c r="P326" s="3">
        <f>2264.7+(44.8-1175.8)+(-2.309994+(-0.045696--1.199316))+0--242.3-0.247146000000039</f>
        <v>1374.5964799999999</v>
      </c>
      <c r="Q326" s="3">
        <f>2304+(42.7-1208.7)+(-4.70016+(-0.087108--2.465748))+0--241.8-0.493271999999989</f>
        <v>1376.9852080000001</v>
      </c>
      <c r="R326" s="3">
        <f>2130.2+(37.4-1097.2)+(-6.518412+(-0.114444--3.357432))+0--240.9-0.737154000000028</f>
        <v>1307.2874220000001</v>
      </c>
      <c r="S326" s="3">
        <f>1993.7+(44.6-992.4)+(-1.016787+(-0.022746--0.506124))+0--241.2-0.123011999999976</f>
        <v>1286.4435790000002</v>
      </c>
      <c r="T326" s="3">
        <f>2018.2+(44-1034.6)+(0+(0-0))+0--215-0</f>
        <v>1242.6000000000001</v>
      </c>
      <c r="U326" s="3">
        <f>2039.6+(41.9-987.4)+(-4.160784+(-0.085476--2.014296))+0--123-0.250919999999995</f>
        <v>1214.6171159999999</v>
      </c>
      <c r="V326" s="3">
        <f>2049.6+(40.9-954)+(-6.271776+(-0.125154--2.91924))+0--90.9-0.278154000000011</f>
        <v>1223.6441560000001</v>
      </c>
      <c r="W326" s="3">
        <f>2092.9+(43.5-967.6)+(-2.134758+(-0.04437--0.986952))+0--124.8-0.12729600000002</f>
        <v>1292.280528</v>
      </c>
      <c r="X326" s="3">
        <f>2401.1+(48.3-1190.5)+(-8.571927+(-0.172431--4.250085))+0--240.2-0.857514000000003</f>
        <v>1493.7482129999999</v>
      </c>
      <c r="Y326" s="3">
        <f>2282.4+(48.1-1091.3)+(-3.492072+(-0.073593--1.669689))+0--240.9-0.368577000000014</f>
        <v>1477.8354470000002</v>
      </c>
      <c r="Z326" s="3">
        <f>2168.2+(46.4-1020.9)+(-6.634692+(-0.141984--3.123954))+0--242.5-0.742050000000028</f>
        <v>1431.8052279999997</v>
      </c>
      <c r="AA326" s="3">
        <f>2109.4+(51.5-1003.5)+(-3.227382+(-0.078795--1.535355))+0--244.2-0.373626000000014</f>
        <v>1399.4555520000001</v>
      </c>
      <c r="AB326" s="3">
        <f>2118.6+(53-1039.1)+(-5.40243+(-0.13515--2.649705))+0--245.5-0.626024999999964</f>
        <v>1374.4861000000001</v>
      </c>
      <c r="AC326" s="3">
        <f>2016.4+(49.3-1087.9)+(-1.028364+(-0.025143--0.554829))+0--245.7-0.125306999999975</f>
        <v>1222.8760149999998</v>
      </c>
      <c r="AD326">
        <f t="shared" si="5"/>
        <v>30165.897931</v>
      </c>
      <c r="AE326" s="3">
        <f>2417.3+(49.6-1192.8)+(0+(0-0))+0--239-0</f>
        <v>1513.1000000000001</v>
      </c>
    </row>
    <row r="327" spans="1:31" s="2" customFormat="1" x14ac:dyDescent="0.25">
      <c r="A327">
        <v>89</v>
      </c>
      <c r="B327">
        <v>11</v>
      </c>
      <c r="C327">
        <v>21</v>
      </c>
      <c r="D327">
        <v>6</v>
      </c>
      <c r="E327">
        <v>1</v>
      </c>
      <c r="F327" s="3">
        <f>2042.1+(58.3-1148.8)+(-6.248826+(-0.178398--3.515328))+0--245.9-0.752454000000028</f>
        <v>1193.83565</v>
      </c>
      <c r="G327" s="3">
        <f>2077.3+(71.3-1276.3)+(2.118846+(0.072726-1.301826))+0--205--0.209100000000033</f>
        <v>1078.398846</v>
      </c>
      <c r="H327" s="3">
        <f>1963.4+(83-1123.3)+(-2.002668+(-0.08466--1.145766))+0--90-0.0918000000000144</f>
        <v>1012.0666380000001</v>
      </c>
      <c r="I327" s="3">
        <f>1926.7+(85-1105.3)+(3.930468+(0.1734-2.254812))+0--89.7--0.182987999999996</f>
        <v>998.13204400000018</v>
      </c>
      <c r="J327" s="3">
        <f>1870.4+(92.5-1060.5)+(4.76952+(0.235875-2.704275))+0--90--0.229499999999987</f>
        <v>994.93062000000009</v>
      </c>
      <c r="K327" s="3">
        <f>1946.9+(81.2-1057.6)+(-1.985838+(-0.082824--1.078752))+0--89.5-0.0912900000000143</f>
        <v>1058.9188000000001</v>
      </c>
      <c r="L327" s="3">
        <f>1946.5+(65.9-986.6)+(-4.963575+(-0.168045--2.51583))+0--89.7-0.228734999999987</f>
        <v>1112.655475</v>
      </c>
      <c r="M327" s="3">
        <f>1999.1+(43.6-1074)+(-2.039082+(-0.044472--1.09548))+0--170.5-0.173910000000027</f>
        <v>1138.038016</v>
      </c>
      <c r="N327" s="3">
        <f>2191.8+(51.4-1225.4)+(-2.235636+(-0.052428--1.249908))+0--220.7-0.225114000000035</f>
        <v>1237.2367300000001</v>
      </c>
      <c r="O327" s="3">
        <f>2251.8+(44.7-1221.7)+(0+(0-0))+0--167.7-0</f>
        <v>1242.5000000000002</v>
      </c>
      <c r="P327" s="3">
        <f>2332.2+(49.9-1270.9)+(-4.757688+(-0.101796--2.592636))+0--241.1-0.491843999999989</f>
        <v>1349.5413079999998</v>
      </c>
      <c r="Q327" s="3">
        <f>2424.3+(51-1347.8)+(-8.654751+(-0.18207--4.811646))+0--241.1-0.860727000000003</f>
        <v>1363.7140980000001</v>
      </c>
      <c r="R327" s="3">
        <f>2359.1+(43.9-1410.9)+(-2.406282+(-0.044778--1.439118))+0--239.7-0.244494000000038</f>
        <v>1230.5435639999998</v>
      </c>
      <c r="S327" s="3">
        <f>2404.4+(39.9-1416.7)+(1.226244+(0.020349-0.722517))+0--239.3--0.122042999999976</f>
        <v>1267.5461190000001</v>
      </c>
      <c r="T327" s="3">
        <f>2298.9+(37.3-1370.8)+(-1.172439+(-0.019023--0.699108))+0--240-0.122399999999976</f>
        <v>1204.7852460000001</v>
      </c>
      <c r="U327" s="3">
        <f>2265+(36.9-1287)+(-6.9309+(-0.112914--3.93822))+0--214.9-0.657594000000025</f>
        <v>1226.0368120000001</v>
      </c>
      <c r="V327" s="3">
        <f>2348.1+(43.4-1363.5)+(5.987655+(0.11067-3.476925))+0--210.1--0.535754999999969</f>
        <v>1241.2571549999998</v>
      </c>
      <c r="W327" s="3">
        <f>2356.8+(45.4-1356.3)+(-1.201968+(-0.023154--0.691713))+0--241.2-0.123011999999976</f>
        <v>1286.4435790000005</v>
      </c>
      <c r="X327" s="3">
        <f>2590.4+(53.3-1383.3)+(-3.963312+(-0.081549--2.116449))+0--243.7-0.372861000000014</f>
        <v>1501.7987270000001</v>
      </c>
      <c r="Y327" s="3">
        <f>2559.6+(51.1-1423.5)+(-2.610792+(-0.052122--1.45197))+0--244.5-0.249390000000039</f>
        <v>1430.2396659999999</v>
      </c>
      <c r="Z327" s="3">
        <f>2463.4+(50.8-1336.6)+(-10.050672+(-0.207264--5.453328))+0--245.2-1.00041599999998</f>
        <v>1416.9949760000002</v>
      </c>
      <c r="AA327" s="3">
        <f>2482.9+(50.6-1391.3)+(-1.266279+(-0.025806--0.709563))+0--244.9-0.124898999999975</f>
        <v>1386.3925790000003</v>
      </c>
      <c r="AB327" s="3">
        <f>2439.1+(47-1376.3)+(-6.219705+(-0.11985--3.509565))+0--233.1-0.594404999999966</f>
        <v>1339.4756049999999</v>
      </c>
      <c r="AC327" s="3">
        <f>2102.7+(66.4-1107.4)+(0+(0-0))+0--166.8-0</f>
        <v>1228.4999999999998</v>
      </c>
      <c r="AD327">
        <f t="shared" si="5"/>
        <v>29539.982253000002</v>
      </c>
      <c r="AE327" s="3">
        <f>2653.5+(52.7-1430.7)+(0+(0-0))+0--248-0</f>
        <v>1523.5</v>
      </c>
    </row>
    <row r="328" spans="1:31" s="2" customFormat="1" x14ac:dyDescent="0.25">
      <c r="A328">
        <v>89</v>
      </c>
      <c r="B328">
        <v>11</v>
      </c>
      <c r="C328">
        <v>22</v>
      </c>
      <c r="D328">
        <v>7</v>
      </c>
      <c r="E328">
        <v>2</v>
      </c>
      <c r="F328" s="3">
        <f>2176.6+(65.8-1244)+(-1.110066+(-0.033558--0.63444))+0--165.6-0.0844559999999832</f>
        <v>1163.4063599999997</v>
      </c>
      <c r="G328" s="3">
        <f>2242+(76.5-1325.3)+(-1.14342+(-0.039015--0.675903))+0--99.6-0.0507959999999899</f>
        <v>1092.2426720000001</v>
      </c>
      <c r="H328" s="3">
        <f>2120.8+(87.3-1269.1)+(0+(0-0))+0--88.6-0</f>
        <v>1027.6000000000001</v>
      </c>
      <c r="I328" s="3">
        <f>2060.8+(91.7-1231)+(-3.153024+(-0.140301--1.88343))+0--89-0.136170000000005</f>
        <v>1008.9539350000002</v>
      </c>
      <c r="J328" s="3">
        <f>1935.1+(100.9-1149.8)+(-3.947604+(-0.205836--2.345592))+0--88.9-0.181355999999996</f>
        <v>973.11079599999994</v>
      </c>
      <c r="K328" s="3">
        <f>1875.3+(93.1-1036.7)+(0.956403+(0.047481-0.528717))+0--88.9--0.045338999999991</f>
        <v>1021.120506</v>
      </c>
      <c r="L328" s="3">
        <f>1874.5+(89.8-1003.9)+(-6.691965+(-0.320586--3.583923))+0--91-0.324870000000001</f>
        <v>1047.6465020000001</v>
      </c>
      <c r="M328" s="3">
        <f>1888.1+(67.6-1005.2)+(0+(0-0))+0--91.6-0</f>
        <v>1042.0999999999999</v>
      </c>
      <c r="N328" s="3">
        <f>1894.6+(54-977.7)+(2.898738+(0.08262-1.495881))+0--91.8--0.140454000000005</f>
        <v>1064.3259309999999</v>
      </c>
      <c r="O328" s="3">
        <f>2030.3+(46.2-1063.6)+(2.070906+(0.047124-1.084872))+0--141.3--0.144126000000023</f>
        <v>1155.3772839999999</v>
      </c>
      <c r="P328" s="3">
        <f>2100.2+(47.8-1182.9)+(1.071102+(0.024378-0.603279))+0--244.1--0.124490999999975</f>
        <v>1209.8166919999996</v>
      </c>
      <c r="Q328" s="3">
        <f>2115.2+(47.7-1184.7)+(1.078752+(0.024327-0.604197))+0--243.4--0.124133999999975</f>
        <v>1222.2230159999997</v>
      </c>
      <c r="R328" s="3">
        <f>2183.1+(49.6-1280.2)+(-3.340143+(-0.075888--1.958706))+0--243.9-0.373167000000014</f>
        <v>1194.5695079999998</v>
      </c>
      <c r="S328" s="3">
        <f>2145.2+(50.1-1258.8)+(-6.564312+(-0.153306--3.851928))+0--239.1-0.731646000000028</f>
        <v>1172.0026639999999</v>
      </c>
      <c r="T328" s="3">
        <f>1982+(58.8-1126.3)+(-4.04328+(-0.119952--2.297652))+0--231.2-0.47164799999999</f>
        <v>1143.3627719999999</v>
      </c>
      <c r="U328" s="3">
        <f>2045.8+(53.9-1142.9)+(-1.043358+(-0.027489--0.582879))+0--166.9-0.0851189999999831</f>
        <v>1123.1269129999998</v>
      </c>
      <c r="V328" s="3">
        <f>2124.9+(48.1-1234.2)+(-1.083699+(-0.024531--0.629442))+0--198.8-0.10138799999998</f>
        <v>1137.019824</v>
      </c>
      <c r="W328" s="3">
        <f>2125.1+(48.3-1183.4)+(-3.251403+(-0.073899--1.810602))+0--233.6-0.357408000000013</f>
        <v>1221.7278919999997</v>
      </c>
      <c r="X328" s="3">
        <f>2402+(65.8-1275.3)+(-2.45004+(-0.067116--1.300806))+0--237.6-0.242352000000038</f>
        <v>1428.641298</v>
      </c>
      <c r="Y328" s="3">
        <f>2456.8+(66.7-1347.8)+(-2.505936+(-0.068034--1.374756))+0--238.5-0.243270000000038</f>
        <v>1412.7575160000004</v>
      </c>
      <c r="Z328" s="3">
        <f>2407.7+(66.2-1367)+(-3.683781+(-0.101286--2.09151))+0--240.6-0.368118000000014</f>
        <v>1345.4383249999996</v>
      </c>
      <c r="AA328" s="3">
        <f>2360.4+(63.6-1318.5)+(3.611412+(0.097308-2.017305))+0--239.6--0.366588000000014</f>
        <v>1347.158003</v>
      </c>
      <c r="AB328" s="3">
        <f>2386.6+(59.9-1377.4)+(-3.651498+(-0.091647--2.107422))+0--218.2-0.333846000000013</f>
        <v>1285.3304309999999</v>
      </c>
      <c r="AC328" s="3">
        <f>2313.8+(49.7-1278.9)+(-5.90019+(-0.126735--3.261195))+0--122.3-0.311864999999982</f>
        <v>1203.8224050000001</v>
      </c>
      <c r="AD328">
        <f t="shared" si="5"/>
        <v>28042.881244999997</v>
      </c>
      <c r="AE328" s="3">
        <f>2464.5+(72.6-1311.9)+(0+(0-0))+0--239-0</f>
        <v>1464.1999999999998</v>
      </c>
    </row>
    <row r="329" spans="1:31" s="2" customFormat="1" x14ac:dyDescent="0.25">
      <c r="A329">
        <v>89</v>
      </c>
      <c r="B329">
        <v>11</v>
      </c>
      <c r="C329">
        <v>23</v>
      </c>
      <c r="D329">
        <v>1</v>
      </c>
      <c r="E329">
        <v>1</v>
      </c>
      <c r="F329" s="3">
        <f>2193.2+(62.1-1243.8)+(-6.711192+(-0.190026--3.806028))+0--91.4-0.279684000000011</f>
        <v>1099.5251259999998</v>
      </c>
      <c r="G329" s="3">
        <f>2200.3+(51.6-1300.4)+(-4.488612+(-0.105264--2.652816))+0--90.5-0.184619999999996</f>
        <v>1039.8743199999999</v>
      </c>
      <c r="H329" s="3">
        <f>2180.5+(56.6-1312.8)+(-4.44822+(-0.115464--2.678112))+0--89.6-0.182783999999996</f>
        <v>1011.831644</v>
      </c>
      <c r="I329" s="3">
        <f>2111+(73.8-1276)+(0+(0-0))+0--90.7-0</f>
        <v>999.5</v>
      </c>
      <c r="J329" s="3">
        <f>2068.5+(86.5-1247.1)+(3.164805+(0.132345-1.908063))+0--91.7--0.140301000000005</f>
        <v>1001.1293880000002</v>
      </c>
      <c r="K329" s="3">
        <f>2112.6+(64-1230)+(6.464556+(0.19584-3.7638))+0--91.3--0.279378000000011</f>
        <v>1041.0759739999999</v>
      </c>
      <c r="L329" s="3">
        <f>2157.6+(38.1-1160.2)+(-7.702632+(-0.136017--4.141914))+0--91.3-0.325941000000001</f>
        <v>1122.7773239999997</v>
      </c>
      <c r="M329" s="3">
        <f>2226.6+(39.6-1193.6)+(2.271132+(0.040392-1.217472))+0--91.4--0.0932280000000146</f>
        <v>1165.1872799999999</v>
      </c>
      <c r="N329" s="3">
        <f>2257.2+(48.8-1197.3)+(-5.75586+(-0.12444--3.053115))+0--134-0.341699999999981</f>
        <v>1239.5311149999998</v>
      </c>
      <c r="O329" s="3">
        <f>2189.8+(63.8-1123.9)+(3.350394+(0.097614-1.719567))+0--168.8--0.25826400000001</f>
        <v>1300.486705</v>
      </c>
      <c r="P329" s="3">
        <f>2453.7+(50.8-1407)+(1.251387+(0.025908-0.71757))+0--239.3--0.122042999999976</f>
        <v>1337.4817679999999</v>
      </c>
      <c r="Q329" s="3">
        <f>2453.8+(50-1408.7)+(-2.502876+(-0.051--1.436874))+0--239.9-0.244698000000038</f>
        <v>1333.6383000000003</v>
      </c>
      <c r="R329" s="3">
        <f>2437.2+(42.9-1426.1)+(-6.21486+(-0.109395--3.636555))+0--231.9-0.591344999999966</f>
        <v>1282.6209550000001</v>
      </c>
      <c r="S329" s="3">
        <f>2373.2+(47.5-1303.8)+(-2.420664+(-0.04845--1.329876))+0--162-0.165240000000026</f>
        <v>1277.5955219999998</v>
      </c>
      <c r="T329" s="3">
        <f>2303.5+(56.9-1198.4)+(0+(0-0))+0--83.2-0</f>
        <v>1245.2</v>
      </c>
      <c r="U329" s="3">
        <f>2264.1+(53-1175.5)+(-3.464073+(-0.08109--1.798515))+0--92.1-0.140913000000005</f>
        <v>1231.8124389999998</v>
      </c>
      <c r="V329" s="3">
        <f>2234.8+(53-1147.8)+(-4.558992+(-0.10812--2.341512))+0--92.3-0.188291999999996</f>
        <v>1229.7861080000002</v>
      </c>
      <c r="W329" s="3">
        <f>2437.2+(44.5-1286.5)+(-1.242972+(-0.022695--0.656115))+0--97.2-0.0495719999999901</f>
        <v>1291.7408760000001</v>
      </c>
      <c r="X329" s="3">
        <f>2840.6+(54.2-1519.3)+(-2.897412+(-0.055284--1.549686))+0--168-0.171360000000027</f>
        <v>1541.92563</v>
      </c>
      <c r="Y329" s="3">
        <f>2857.5+(53.5-1542)+(-1.457325+(-0.027285--0.78642))+0--168.9-0.0861389999999829</f>
        <v>1537.115671</v>
      </c>
      <c r="Z329" s="3">
        <f>2788.1+(51.4-1517.5)+(-5.687724+(-0.104856--3.0957))+0--169.4-0.345575999999993</f>
        <v>1488.3575440000002</v>
      </c>
      <c r="AA329" s="3">
        <f>2601.2+(50.1-1360.7)+(1.326612+(0.025551-0.693957))+0--170.2--0.0868019999999827</f>
        <v>1461.5450079999998</v>
      </c>
      <c r="AB329" s="3">
        <f>2333+(62.9-1181.4)+(-4.75932+(-0.128316--2.410056))+0--171-0.348839999999993</f>
        <v>1382.6735800000001</v>
      </c>
      <c r="AC329" s="3">
        <f>2165.3+(75.3-1148.9)+(-5.521515+(-0.192015--2.929695))+0--171.3-0.436814999999975</f>
        <v>1259.77935</v>
      </c>
      <c r="AD329">
        <f t="shared" si="5"/>
        <v>29922.191627</v>
      </c>
      <c r="AE329" s="3">
        <f>2885.5+(58.4-1532.4)+(0+(0-0))+0--166-0</f>
        <v>1577.5</v>
      </c>
    </row>
    <row r="330" spans="1:31" s="2" customFormat="1" x14ac:dyDescent="0.25">
      <c r="A330">
        <v>89</v>
      </c>
      <c r="B330">
        <v>11</v>
      </c>
      <c r="C330">
        <v>24</v>
      </c>
      <c r="D330">
        <v>2</v>
      </c>
      <c r="E330">
        <v>1</v>
      </c>
      <c r="F330" s="3">
        <f>2147.9+(88.9-1249.5)+(-2.190858+(-0.090678--1.27449))+0--173.6-0.177072000000028</f>
        <v>1159.7158820000002</v>
      </c>
      <c r="G330" s="3">
        <f>2117.7+(69.1-1243.9)+(-5.400135+(-0.176205--3.171945))+0--173.2-0.441659999999975</f>
        <v>1113.2539449999997</v>
      </c>
      <c r="H330" s="3">
        <f>1956+(115.9-1104.2)+(0+(0-0))+0--96.1-0</f>
        <v>1063.8</v>
      </c>
      <c r="I330" s="3">
        <f>1934+(121-1092)+(-2.95902+(-0.18513--1.67076))+0--94.1-0.143973000000005</f>
        <v>1055.4826370000001</v>
      </c>
      <c r="J330" s="3">
        <f>1867.2+(120.1-1051.5)+(3.809088+(0.245004-2.14506))+0--100.1--0.204203999999996</f>
        <v>1038.013236</v>
      </c>
      <c r="K330" s="3">
        <f>1863.9+(84.5-1032.8)+(0+(0-0))+0--174.3-0</f>
        <v>1089.9000000000001</v>
      </c>
      <c r="L330" s="3">
        <f>1882.3+(79.2-968.7)+(0.959973+(0.040392-0.494037))+0--175.7--0.0896069999999822</f>
        <v>1169.0959349999998</v>
      </c>
      <c r="M330" s="3">
        <f>1894.4+(77-937.3)+(0+(0-0))+0--174.7-0</f>
        <v>1208.8000000000002</v>
      </c>
      <c r="N330" s="3">
        <f>1956.3+(90.4-905.3)+(0+(0-0))+0--127-0</f>
        <v>1268.4000000000001</v>
      </c>
      <c r="O330" s="3">
        <f>2047.4+(75.8-1045.8)+(-1.044174+(-0.038658--0.533358))+0--247-0.125969999999975</f>
        <v>1323.7245560000001</v>
      </c>
      <c r="P330" s="3">
        <f>2224.1+(76.2-1127.8)+(-3.402873+(-0.116586--1.725534))+0--247.2-0.378216000000014</f>
        <v>1417.527859</v>
      </c>
      <c r="Q330" s="3">
        <f>2228.8+(76.5-1183.2)+(-3.410064+(-0.117045--1.810296))+0--246.6-0.377298000000014</f>
        <v>1366.6058889999999</v>
      </c>
      <c r="R330" s="3">
        <f>2213.9+(65.5-1220.4)+(-6.774534+(-0.20043--3.734424))+0--245.4-0.750924000000028</f>
        <v>1300.4085360000001</v>
      </c>
      <c r="S330" s="3">
        <f>2221.4+(67.8-1236.7)+(1.132914+(0.034578-0.630717))+0--244.6--0.124745999999975</f>
        <v>1297.7615209999999</v>
      </c>
      <c r="T330" s="3">
        <f>2195.2+(72.6-1217)+(-6.717312+(-0.222156--3.72402))+0--244.9-0.749394000000028</f>
        <v>1291.735158</v>
      </c>
      <c r="U330" s="3">
        <f>2156.7+(68.9-1185.8)+(-1.099917+(-0.035139--0.604758))+0--228.3-0.116432999999977</f>
        <v>1267.4532690000001</v>
      </c>
      <c r="V330" s="3">
        <f>2102.7+(66.5-1045)+(-4.289508+(-0.13566--2.1318))+0--136.3-0.278051999999994</f>
        <v>1257.9285799999998</v>
      </c>
      <c r="W330" s="3">
        <f>2131.4+(63.6-999.5)+(1.087014+(0.032436-0.509745))+0--93.9--0.0478889999999905</f>
        <v>1290.0575940000001</v>
      </c>
      <c r="X330" s="3">
        <f>2457.4+(67.4-1189.7)+(0+(0-0))+0--213.1-0</f>
        <v>1548.2</v>
      </c>
      <c r="Y330" s="3">
        <f>2522.2+(66.5-1277)+(-7.717932+(-0.20349--3.90762))+0--244.1-0.746946000000028</f>
        <v>1551.0392519999998</v>
      </c>
      <c r="Z330" s="3">
        <f>2468+(57.1-1215.3)+(-3.77604+(-0.087363--1.859409))+0--173.6-0.26560800000001</f>
        <v>1481.130398</v>
      </c>
      <c r="AA330" s="3">
        <f>2480.5+(59.4-1285.8)+(-5.06022+(-0.121176--2.623032))+0--206.2-0.420647999999991</f>
        <v>1457.3209880000002</v>
      </c>
      <c r="AB330" s="3">
        <f>2316.9+(64.9-1103.6)+(-2.363238+(-0.066198--1.125672))+0--93.5-0.0953700000000149</f>
        <v>1370.3008660000003</v>
      </c>
      <c r="AC330" s="3">
        <f>2207.7+(74.4-1111)+(-6.755562+(-0.227664--3.39966))+0--93.2-0.285192000000011</f>
        <v>1260.4312419999999</v>
      </c>
      <c r="AD330">
        <f t="shared" si="5"/>
        <v>30648.087342999999</v>
      </c>
      <c r="AE330" s="3">
        <f>2476.3+(70-1220.5)+(0+(0-0))+0--240-0</f>
        <v>1565.8000000000002</v>
      </c>
    </row>
    <row r="331" spans="1:31" s="2" customFormat="1" x14ac:dyDescent="0.25">
      <c r="A331">
        <v>89</v>
      </c>
      <c r="B331">
        <v>11</v>
      </c>
      <c r="C331">
        <v>25</v>
      </c>
      <c r="D331">
        <v>3</v>
      </c>
      <c r="E331">
        <v>1</v>
      </c>
      <c r="F331" s="3">
        <f>1981.5+(72.1-982.1)+(-6.06339+(-0.220626--3.005226))+0--92.4-0.282744000000011</f>
        <v>1160.3384659999999</v>
      </c>
      <c r="G331" s="3">
        <f>1920.6+(68.4-999.1)+(0.979506+(0.034884-0.509541))+0--92.2--0.0470219999999906</f>
        <v>1082.6518709999998</v>
      </c>
      <c r="H331" s="3">
        <f>1816.5+(66.2-927.9)+(-0.926415+(-0.033762--0.473229))+0--92.4-0.0471239999999906</f>
        <v>1046.6659280000001</v>
      </c>
      <c r="I331" s="3">
        <f>1842.5+(63.4-962.6)+(0+(0-0))+0--92.1-0</f>
        <v>1035.3999999999999</v>
      </c>
      <c r="J331" s="3">
        <f>1847.9+(60.7-965.5)+(-0.942429+(-0.030957--0.492405))+0--92.1-0.0469709999999907</f>
        <v>1034.6720480000001</v>
      </c>
      <c r="K331" s="3">
        <f>1798+(63.9-882.1)+(0+(0-0))+0--92.6-0</f>
        <v>1072.3999999999999</v>
      </c>
      <c r="L331" s="3">
        <f>1798.1+(67.3-807.6)+(-0.917031+(-0.034323--0.411876))+0--92.8-0.0473279999999906</f>
        <v>1150.0131939999999</v>
      </c>
      <c r="M331" s="3">
        <f>1850.2+(91.1-850.9)+(-0.943602+(-0.046461--0.433959))+0--93.4-0.0476339999999905</f>
        <v>1183.1962620000002</v>
      </c>
      <c r="N331" s="3">
        <f>1957.7+(94-930.1)+(0.998427+(0.04794-0.474351))+0--150.4--0.0767039999999847</f>
        <v>1272.6487200000001</v>
      </c>
      <c r="O331" s="3">
        <f>2034.8+(98.6-973.6)+(-4.150992+(-0.201144--1.986144))+0--170.9-0.348635999999993</f>
        <v>1327.9853720000001</v>
      </c>
      <c r="P331" s="3">
        <f>2024.2+(101-956.4)+(-2.064684+(-0.10302--0.975528))+0--170.1-0.173502000000027</f>
        <v>1337.534322</v>
      </c>
      <c r="Q331" s="3">
        <f>2044.6+(97.8-971.7)+(2.085492+(0.099756-0.991134))+0--170.2--0.173604000000027</f>
        <v>1342.2677179999998</v>
      </c>
      <c r="R331" s="3">
        <f>2037.2+(85.8-994)+(-5.19486+(-0.21879--2.5347))+0--169.8-0.432989999999975</f>
        <v>1295.4880599999999</v>
      </c>
      <c r="S331" s="3">
        <f>2032.7+(98.7-1007.4)+(-2.073354+(-0.100674--1.027548))+0--169.7-0.173094000000027</f>
        <v>1292.3804259999999</v>
      </c>
      <c r="T331" s="3">
        <f>2002.6+(97.5-977.3)+(-1.021326+(-0.049725--0.498423))+0--154.8-0.0789479999999843</f>
        <v>1276.9484239999999</v>
      </c>
      <c r="U331" s="3">
        <f>1970.8+(76.2-950.9)+(1.005108+(0.038862-0.484959))+0--168.5--0.0859349999999829</f>
        <v>1265.244946</v>
      </c>
      <c r="V331" s="3">
        <f>2023.3+(70.7-1020.4)+(0+(0-0))+0--179.9-0</f>
        <v>1253.5</v>
      </c>
      <c r="W331" s="3">
        <f>2202.2+(79.6-1162.5)+(-3.369366+(-0.121788--1.778625))+0--208.2-0.318546000000012</f>
        <v>1325.4689249999999</v>
      </c>
      <c r="X331" s="3">
        <f>2681.8+(98.7-1435.9)+(-4.103154+(-0.151011--2.196927))+0--241-0.368730000000014</f>
        <v>1583.1740320000001</v>
      </c>
      <c r="Y331" s="3">
        <f>2655.7+(96.6-1414.5)+(-4.063221+(-0.147798--2.164185))+0--242.1-0.370413000000014</f>
        <v>1577.4827529999995</v>
      </c>
      <c r="Z331" s="3">
        <f>2632.2+(92.6-1369.7)+(-5.369688+(-0.188904--2.794188))+0--183.2-0.373727999999992</f>
        <v>1535.1618679999997</v>
      </c>
      <c r="AA331" s="3">
        <f>2584.9+(94.8-1339.6)+(-5.273196+(-0.193392--2.732784))+0--170.1-0.347003999999993</f>
        <v>1507.1191920000001</v>
      </c>
      <c r="AB331" s="3">
        <f>2265.2+(88.8-1114.1)+(-1.155252+(-0.045288--0.568191))+0--170.8-0.0871079999999827</f>
        <v>1409.9805429999999</v>
      </c>
      <c r="AC331" s="3">
        <f>2201+(81.7-1145.5)+(-10.10259+(-0.375003--5.257845))+0--171.6-0.78764400000003</f>
        <v>1302.792608</v>
      </c>
      <c r="AD331">
        <f t="shared" si="5"/>
        <v>30670.515677999996</v>
      </c>
      <c r="AE331" s="3">
        <f>2675.5+(100.9-1440.8)+(0+(0-0))+0--241-0</f>
        <v>1576.6000000000001</v>
      </c>
    </row>
    <row r="332" spans="1:31" s="2" customFormat="1" x14ac:dyDescent="0.25">
      <c r="A332">
        <v>89</v>
      </c>
      <c r="B332">
        <v>11</v>
      </c>
      <c r="C332">
        <v>26</v>
      </c>
      <c r="D332">
        <v>4</v>
      </c>
      <c r="E332">
        <v>1</v>
      </c>
      <c r="F332" s="3">
        <f>2162.6+(77.3-1214.1)+(-3.308778+(-0.118269--1.857573))+0--172.7-0.26423100000001</f>
        <v>1196.666295</v>
      </c>
      <c r="G332" s="3">
        <f>2062.2+(108.4-1205.6)+(-3.155166+(-0.165852--1.844568))+0--172.9-0.26453700000001</f>
        <v>1136.159013</v>
      </c>
      <c r="H332" s="3">
        <f>2040.1+(107-1220.8)+(1.040451+(0.05457-0.622608))+0--173.4--0.0884339999999824</f>
        <v>1100.260847</v>
      </c>
      <c r="I332" s="3">
        <f>1996.6+(121.8-1203.5)+(-3.054798+(-0.186354--1.841355))+0--173.6-0.26560800000001</f>
        <v>1086.8345949999998</v>
      </c>
      <c r="J332" s="3">
        <f>1942.8+(131.9-1157.3)+(0.990828+(0.067269-0.590223))+0--173.7--0.0885869999999824</f>
        <v>1091.656461</v>
      </c>
      <c r="K332" s="3">
        <f>1922.4+(103.2-1084.5)+(-0.980424+(-0.052632--0.553095))+0--173.7-0.0885869999999824</f>
        <v>1114.2314520000002</v>
      </c>
      <c r="L332" s="3">
        <f>1970.4+(73.5-1021.8)+(-2.009808+(-0.07497--1.042236))+0--174.5-0.177990000000028</f>
        <v>1195.3794680000001</v>
      </c>
      <c r="M332" s="3">
        <f>2009.6+(76-1020.2)+(-1.024896+(-0.03876--0.520302))+0--174.1-0.0887909999999823</f>
        <v>1238.867855</v>
      </c>
      <c r="N332" s="3">
        <f>2105.9+(79.3-1043.2)+(4.296036+(0.161772-2.128128))+0--172.8--0.352511999999993</f>
        <v>1317.4821919999999</v>
      </c>
      <c r="O332" s="3">
        <f>2189.9+(84.4-1084)+(-2.233698+(-0.086088--1.10568))+0--171.6-0.175032000000027</f>
        <v>1360.5108620000001</v>
      </c>
      <c r="P332" s="3">
        <f>2213.4+(84.6-1084.9)+(-1.128834+(-0.043146--0.553299))+0--170.6-0.0870059999999827</f>
        <v>1382.9943129999999</v>
      </c>
      <c r="Q332" s="3">
        <f>2197.7+(86.5-997.2)+(-4.483308+(-0.17646--2.034288))+0--170.6-0.348023999999993</f>
        <v>1454.6264959999999</v>
      </c>
      <c r="R332" s="3">
        <f>2050.4+(67.9-958.4)+(-6.274224+(-0.207774--2.932704))+0--165.4-0.506124000000019</f>
        <v>1321.2445820000003</v>
      </c>
      <c r="S332" s="3">
        <f>1887.3+(75.8-816.9)+(-1.925046+(-0.077316--0.833238))+0--165.2-0.168504000000026</f>
        <v>1310.0623719999999</v>
      </c>
      <c r="T332" s="3">
        <f>1868+(79.8-814.9)+(0+(0-0))+0--165.1-0</f>
        <v>1298</v>
      </c>
      <c r="U332" s="3">
        <f>1853.4+(80.3-814.1)+(-1.890468+(-0.081906--0.830382))+0--165.4-0.168708000000026</f>
        <v>1283.6893</v>
      </c>
      <c r="V332" s="3">
        <f>1999.3+(70.7-941.9)+(0+(0-0))+0--140.6-0</f>
        <v>1268.6999999999998</v>
      </c>
      <c r="W332" s="3">
        <f>2078+(67.4-938.9)+(0+(0-0))+0--126.6-0</f>
        <v>1333.1</v>
      </c>
      <c r="X332" s="3">
        <f>2172.7+(93-965.9)+(-2.216154+(-0.09486--0.985218))+0--218.2-0.222564000000035</f>
        <v>1516.4516399999995</v>
      </c>
      <c r="Y332" s="3">
        <f>2222.4+(92-1058.2)+(-6.800544+(-0.28152--3.238092))+0--242.9-0.743274000000028</f>
        <v>1494.5127540000003</v>
      </c>
      <c r="Z332" s="3">
        <f>2314.2+(88.4-1140.3)+(-5.90121+(-0.22542--2.907765))+0--243.7-0.621434999999965</f>
        <v>1502.1596999999999</v>
      </c>
      <c r="AA332" s="3">
        <f>2246.2+(86.6-1108.4)+(-4.582248+(-0.176664--2.261136))+0--244.6-0.498983999999989</f>
        <v>1466.0032399999996</v>
      </c>
      <c r="AB332" s="3">
        <f>2162.2+(78.9-999.3)+(-2.205444+(-0.080478--1.019286))+0--150.7-0.153714000000024</f>
        <v>1391.0796499999997</v>
      </c>
      <c r="AC332" s="3">
        <f>2028.2+(117.4-967.5)+(-5.17191+(-0.29937--2.467125))+0--91.6-0.233579999999987</f>
        <v>1266.4622649999997</v>
      </c>
      <c r="AD332">
        <f t="shared" si="5"/>
        <v>31127.13535199999</v>
      </c>
      <c r="AE332" s="3">
        <f>2179.5+(98.3-922)+(0+(0-0))+0--236-0</f>
        <v>1591.8</v>
      </c>
    </row>
    <row r="333" spans="1:31" s="2" customFormat="1" x14ac:dyDescent="0.25">
      <c r="A333">
        <v>89</v>
      </c>
      <c r="B333">
        <v>11</v>
      </c>
      <c r="C333">
        <v>27</v>
      </c>
      <c r="D333">
        <v>5</v>
      </c>
      <c r="E333">
        <v>3</v>
      </c>
      <c r="F333" s="3">
        <f>1904.1+(108.6-937.1)+(-4.855455+(-0.27693--2.389605))+0--91.2-0.232559999999987</f>
        <v>1163.82466</v>
      </c>
      <c r="G333" s="3">
        <f>1871.4+(105.9-959.1)+(-2.863242+(-0.162027--1.467423))+0--91.7-0.140301000000005</f>
        <v>1108.201853</v>
      </c>
      <c r="H333" s="3">
        <f>1856.2+(113.3-987.2)+(-5.679972+(-0.346698--3.020832))+0--91.1-0.278766000000011</f>
        <v>1070.1153959999999</v>
      </c>
      <c r="I333" s="3">
        <f>1876.9+(112.3-1023.3)+(0.957219+(0.057273-0.521883))+0--91.3--0.0465629999999907</f>
        <v>1057.7391720000001</v>
      </c>
      <c r="J333" s="3">
        <f>1788.2+(97.5-917.8)+(3.647928+(0.1989-1.872312))+0--91--0.185639999999996</f>
        <v>1061.060156</v>
      </c>
      <c r="K333" s="3">
        <f>1744.1+(72.7-807.2)+(5.336946+(0.222462-2.470032))+0--91.6--0.280296000000011</f>
        <v>1104.5696719999999</v>
      </c>
      <c r="L333" s="3">
        <f>1903.4+(64.5-877.8)+(-4.85367+(-0.164475--2.23839))+0--91.5-0.233324999999987</f>
        <v>1178.5869200000002</v>
      </c>
      <c r="M333" s="3">
        <f>1996.3+(62.8-927.4)+(2.036226+(0.064056-0.945948))+0--92.2--0.0940440000000147</f>
        <v>1225.1483779999999</v>
      </c>
      <c r="N333" s="3">
        <f>2009.3+(73.6-893.6)+(3.074229+(0.112608-1.367208))+0--117--0.179010000000007</f>
        <v>1308.2986390000001</v>
      </c>
      <c r="O333" s="3">
        <f>2185.5+(84.6-1142.8)+(3.343815+(0.129438-1.748484))+0--241.1--0.368883000000014</f>
        <v>1370.4936519999999</v>
      </c>
      <c r="P333" s="3">
        <f>2219.7+(85.1-1170.7)+(-4.528188+(-0.173604--2.388228))+0--241.3-0.492251999999989</f>
        <v>1372.5941839999996</v>
      </c>
      <c r="Q333" s="3">
        <f>2132.3+(81.8-1014.6)+(-4.349892+(-0.166872--2.069784))+0--170.4-0.347615999999993</f>
        <v>1367.1054040000001</v>
      </c>
      <c r="R333" s="3">
        <f>1999.4+(73.7-869.8)+(-5.09847+(-0.187935--2.21799))+0--91.1-0.232304999999987</f>
        <v>1291.0992800000001</v>
      </c>
      <c r="S333" s="3">
        <f>1929.2+(81.7-839.2)+(-2.951676+(-0.125001--1.283976))+0--117.8-0.180234000000007</f>
        <v>1287.527065</v>
      </c>
      <c r="T333" s="3">
        <f>1970.8+(86.1-930.4)+(-1.005108+(-0.043911--0.474504))+0--163.7-0.0834869999999834</f>
        <v>1289.5419980000001</v>
      </c>
      <c r="U333" s="3">
        <f>1964.2+(86.2-932.4)+(-5.00871+(-0.21981--2.37762))+0--163.4-0.416669999999976</f>
        <v>1278.1324300000001</v>
      </c>
      <c r="V333" s="3">
        <f>1978.7+(82.4-944.7)+(0+(0-0))+0--163.6-0</f>
        <v>1280</v>
      </c>
      <c r="W333" s="3">
        <f>2029.8+(79-962.4)+(-4.140792+(-0.16116--1.963296))+0--190.8-0.389231999999992</f>
        <v>1334.4721120000002</v>
      </c>
      <c r="X333" s="3">
        <f>2233.8+(91.4-994.8)+(-10.253142+(-0.419526--4.566132))+0--236.2-1.08415800000004</f>
        <v>1559.409306</v>
      </c>
      <c r="Y333" s="3">
        <f>2305.6+(86.6-1082.1)+(-1.175856+(-0.044166--0.551871))+0--237.5-0.121124999999976</f>
        <v>1546.8107239999999</v>
      </c>
      <c r="Z333" s="3">
        <f>2243.8+(89.4-1062.5)+(-10.299042+(-0.410346--4.876875))+0--238.7-1.09563300000004</f>
        <v>1502.4718540000001</v>
      </c>
      <c r="AA333" s="3">
        <f>2198.6+(87.7-1053.1)+(-1.121286+(-0.044727--0.537081))+0--237.9-0.121328999999976</f>
        <v>1470.349739</v>
      </c>
      <c r="AB333" s="3">
        <f>2174.7+(87.1-1076.7)+(-5.545485+(-0.222105--2.745585))+0--217.8-0.555389999999968</f>
        <v>1399.3226049999998</v>
      </c>
      <c r="AC333" s="3">
        <f>2092.4+(78.6-1027.5)+(-5.33562+(-0.20043--2.620125))+0--153.8-0.392189999999978</f>
        <v>1293.9918849999999</v>
      </c>
      <c r="AD333">
        <f t="shared" si="5"/>
        <v>30920.867084000001</v>
      </c>
      <c r="AE333" s="3">
        <f>2275.5+(93.5-1067.7)+(0+(0-0))+0--237-0</f>
        <v>1538.3</v>
      </c>
    </row>
    <row r="334" spans="1:31" s="2" customFormat="1" x14ac:dyDescent="0.25">
      <c r="A334">
        <v>89</v>
      </c>
      <c r="B334">
        <v>11</v>
      </c>
      <c r="C334">
        <v>28</v>
      </c>
      <c r="D334">
        <v>6</v>
      </c>
      <c r="E334">
        <v>6</v>
      </c>
      <c r="F334" s="3">
        <f>1924.1+(99.6-933)+(-0.981291+(-0.050796--0.47583))+0--93.4-0.0476339999999905</f>
        <v>1183.4961089999999</v>
      </c>
      <c r="G334" s="3">
        <f>1931.1+(106.3-1021.7)+(0+(0-0))+0--93.7-0</f>
        <v>1109.3999999999999</v>
      </c>
      <c r="H334" s="3">
        <f>1901.3+(110.2-1033.8)+(-3.878652+(-0.224808--2.108952))+0--93-0.189719999999996</f>
        <v>1068.515772</v>
      </c>
      <c r="I334" s="3">
        <f>1883+(111.7-1030.8)+(4.80165+(0.284835-2.62854))+0--93.1--0.237404999999986</f>
        <v>1059.6953500000002</v>
      </c>
      <c r="J334" s="3">
        <f>1871.7+(109.5-1012.2)+(-1.909134+(-0.11169--1.032444))+0--93-0.0948600000000148</f>
        <v>1060.9167600000001</v>
      </c>
      <c r="K334" s="3">
        <f>1887.9+(87.4-977.7)+(0.962829+(0.044574-0.498627))+0--93.5--0.0476849999999905</f>
        <v>1091.656461</v>
      </c>
      <c r="L334" s="3">
        <f>1882.9+(78-881.8)+(-2.880837+(-0.11934--1.349154))+0--91.5-0.139995000000005</f>
        <v>1168.8089820000002</v>
      </c>
      <c r="M334" s="3">
        <f>1892.9+(91.3-843.9)+(0+(0-0))+0--92.1-0</f>
        <v>1232.4000000000001</v>
      </c>
      <c r="N334" s="3">
        <f>1962.7+(101.2-850.9)+(1.000977+(0.051612-0.433959))+0--92.1--0.0469709999999907</f>
        <v>1305.7656009999998</v>
      </c>
      <c r="O334" s="3">
        <f>2086.9+(104.3-1025.7)+(3.192957+(0.159579-1.569321))+0--212.7--0.325431000000012</f>
        <v>1380.308646</v>
      </c>
      <c r="P334" s="3">
        <f>2163.8+(102.3-1106.2)+(-5.51769+(-0.260865--2.82081))+0--235.2-0.599759999999966</f>
        <v>1391.5424950000001</v>
      </c>
      <c r="Q334" s="3">
        <f>2158.4+(99.4-1118.4)+(-5.50392+(-0.25347--2.85192))+0--231.6-0.590579999999966</f>
        <v>1367.50395</v>
      </c>
      <c r="R334" s="3">
        <f>2044.3+(97.3-1062.1)+(-7.298151+(-0.347361--3.791697))+0--231.5-0.826455000000003</f>
        <v>1306.3197300000002</v>
      </c>
      <c r="S334" s="3">
        <f>1954.6+(92.8-1012.9)+(-0.996846+(-0.047328--0.516579))+0--230.8-0.117707999999977</f>
        <v>1264.6546969999999</v>
      </c>
      <c r="T334" s="3">
        <f>1969.7+(87.6-1058)+(-3.013641+(-0.134028--1.61874))+0--230-0.351900000000013</f>
        <v>1227.419171</v>
      </c>
      <c r="U334" s="3">
        <f>1903.2+(81.9-997.9)+(-4.85316+(-0.208845--2.544645))+0--230.3-0.587264999999967</f>
        <v>1214.3953750000001</v>
      </c>
      <c r="V334" s="3">
        <f>1912.9+(82.5-1009.3)+(0+(0-0))+0--235-0</f>
        <v>1221.1000000000001</v>
      </c>
      <c r="W334" s="3">
        <f>1938.9+(83.3-900.1)+(-1.977678+(-0.084966--0.918102))+0--143.4-0.146268000000023</f>
        <v>1264.20919</v>
      </c>
      <c r="X334" s="3">
        <f>2184.7+(88.8-970.7)+(-4.456788+(-0.181152--1.980228))+0--173.6-0.354143999999992</f>
        <v>1473.3881439999998</v>
      </c>
      <c r="Y334" s="3">
        <f>2173.4+(91.3-1025.8)+(-3.325302+(-0.139689--1.569474))+0--236.6-0.361998000000014</f>
        <v>1473.242485</v>
      </c>
      <c r="Z334" s="3">
        <f>2152.1+(95.4-1056.4)+(-1.097571+(-0.048654--0.538764))+0--237.8-0.121277999999976</f>
        <v>1428.1712609999997</v>
      </c>
      <c r="AA334" s="3">
        <f>2106.9+(102.2-1061.5)+(-3.223557+(-0.156366--1.624095))+0--238.4-0.364752000000014</f>
        <v>1383.8794200000002</v>
      </c>
      <c r="AB334" s="3">
        <f>2121+(103.7-1119.4)+(-6.49026+(-0.317322--3.425364))+0--240.1-0.734706000000028</f>
        <v>1341.2830759999999</v>
      </c>
      <c r="AC334" s="3">
        <f>1929.9+(110-1021)+(-4.921245+(-0.2805--2.60355))+0--224.2-0.571709999999967</f>
        <v>1239.9300950000002</v>
      </c>
      <c r="AD334">
        <f t="shared" si="5"/>
        <v>30258.002770000003</v>
      </c>
      <c r="AE334" s="3">
        <f>2158.3+(84.2-979.1)+(0+(0-0))+0--228-0</f>
        <v>1491.4</v>
      </c>
    </row>
    <row r="335" spans="1:31" s="2" customFormat="1" x14ac:dyDescent="0.25">
      <c r="A335">
        <v>89</v>
      </c>
      <c r="B335">
        <v>11</v>
      </c>
      <c r="C335">
        <v>29</v>
      </c>
      <c r="D335">
        <v>7</v>
      </c>
      <c r="E335">
        <v>1</v>
      </c>
      <c r="F335" s="3">
        <f>1786.9+(81.6-836.9)+(-4.556595+(-0.20808--2.134095))+0--109.2-0.278459999999984</f>
        <v>1137.8909600000002</v>
      </c>
      <c r="G335" s="3">
        <f>1721.3+(82.4-819)+(-3.511452+(-0.168096--1.67076))+0--90.5-0.184619999999996</f>
        <v>1073.006592</v>
      </c>
      <c r="H335" s="3">
        <f>1638.7+(95.7-804.1)+(-2.507211+(-0.146421--1.230273))+0--91.6-0.140148000000005</f>
        <v>1020.3364930000001</v>
      </c>
      <c r="I335" s="3">
        <f>1636.7+(97.3-825.1)+(-3.338868+(-0.198492--1.683204))+0--91.4-0.186455999999996</f>
        <v>998.25938799999994</v>
      </c>
      <c r="J335" s="3">
        <f>1639.4+(91.2-820.4)+(0.836094+(0.046512-0.418404))+0--92--0.0469199999999907</f>
        <v>1002.7111220000002</v>
      </c>
      <c r="K335" s="3">
        <f>1691.7+(47-801.7)+(0.862767+(0.02397-0.408867))+0--91.7--0.0467669999999907</f>
        <v>1029.224637</v>
      </c>
      <c r="L335" s="3">
        <f>1777.5+(49.8-875.9)+(-4.532625+(-0.12699--2.233545))+0--92-0.234599999999987</f>
        <v>1040.7393300000001</v>
      </c>
      <c r="M335" s="3">
        <f>1718.7+(55.1-848.2)+(-2.629611+(-0.084303--1.297746))+0--115-0.175950000000007</f>
        <v>1039.0078820000001</v>
      </c>
      <c r="N335" s="3">
        <f>1705.5+(69.4-823.3)+(-2.609415+(-0.106182--1.259649))+0--163.1-0.249543000000009</f>
        <v>1112.9945090000001</v>
      </c>
      <c r="O335" s="3">
        <f>1744.1+(74.5-843.3)+(0.889491+(0.037995-0.430083))+0--203.8--0.103937999999979</f>
        <v>1179.701341</v>
      </c>
      <c r="P335" s="3">
        <f>1786.6+(81-895)+(-0.911166+(-0.04131--0.45645))+0--237.7-0.121226999999976</f>
        <v>1209.6827470000001</v>
      </c>
      <c r="Q335" s="3">
        <f>1704.4+(76.5-817.6)+(-3.476976+(-0.15606--1.667904))+0--239.3-0.48817199999999</f>
        <v>1200.146696</v>
      </c>
      <c r="R335" s="3">
        <f>1671.6+(71.2-785.2)+(-3.410064+(-0.145248--1.601808))+0--195.6-0.399023999999991</f>
        <v>1150.8474719999999</v>
      </c>
      <c r="S335" s="3">
        <f>1603.8+(69.3-715.5)+(-4.08969+(-0.176715--1.824525))+0--162.6-0.414629999999976</f>
        <v>1117.34349</v>
      </c>
      <c r="T335" s="3">
        <f>1605.5+(66.2-737.2)+(-2.456415+(-0.101286--1.127916))+0--162.2-0.248166000000009</f>
        <v>1095.0220489999999</v>
      </c>
      <c r="U335" s="3">
        <f>1602.9+(67.1-745)+(-3.269916+(-0.136884--1.5198))+0--162.7-0.331907999999993</f>
        <v>1085.4810920000002</v>
      </c>
      <c r="V335" s="3">
        <f>1605.3+(67.6-738.5)+(-1.637406+(-0.068952--0.75327))+0--162.9-0.166158000000026</f>
        <v>1096.180754</v>
      </c>
      <c r="W335" s="3">
        <f>1611.8+(68.3-630.8)+(-2.466054+(-0.104499--0.965124))+0--102.3-0.156519000000006</f>
        <v>1149.8380519999998</v>
      </c>
      <c r="X335" s="3">
        <f>1767.5+(95.5-683.2)+(-3.6057+(-0.19482--1.393728))+0--216.6-0.441863999999991</f>
        <v>1393.551344</v>
      </c>
      <c r="Y335" s="3">
        <f>1783.5+(97.1-723.7)+(-4.547925+(-0.247605--1.845435))+0--241.8-0.616589999999965</f>
        <v>1395.1333150000003</v>
      </c>
      <c r="Z335" s="3">
        <f>1817.5+(96.3-789.5)+(-1.85385+(-0.098226--0.80529))+0--242.6-0.247452000000039</f>
        <v>1365.5057619999998</v>
      </c>
      <c r="AA335" s="3">
        <f>1864.4+(95.2-857.8)+(0.950844+(0.048552-0.437478))+0--243.7--0.124286999999975</f>
        <v>1346.1862050000002</v>
      </c>
      <c r="AB335" s="3">
        <f>1875.4+(95.8-919.2)+(-3.825816+(-0.195432--1.875168))+0--244.5-0.498779999999989</f>
        <v>1293.8551400000001</v>
      </c>
      <c r="AC335" s="3">
        <f>1855.9+(84.8-981.2)+(-4.732545+(-0.21624--2.50206))+0--245.4-0.625769999999964</f>
        <v>1201.8275050000002</v>
      </c>
      <c r="AD335">
        <f t="shared" si="5"/>
        <v>27734.473877000004</v>
      </c>
      <c r="AE335" s="3">
        <f>1770.3+(109.5-692)+(0+(0-0))+0--238-0</f>
        <v>1425.8</v>
      </c>
    </row>
    <row r="336" spans="1:31" s="2" customFormat="1" x14ac:dyDescent="0.25">
      <c r="A336">
        <v>89</v>
      </c>
      <c r="B336">
        <v>11</v>
      </c>
      <c r="C336">
        <v>30</v>
      </c>
      <c r="D336">
        <v>1</v>
      </c>
      <c r="E336">
        <v>1</v>
      </c>
      <c r="F336" s="3">
        <f>1866.3+(88.4-1076.1)+(-2.855439+(-0.135252--1.646433))+0--244.5-0.374085000000014</f>
        <v>1121.3816570000001</v>
      </c>
      <c r="G336" s="3">
        <f>1784.8+(98.6-1039.6)+(-4.55124+(-0.25143--2.65098))+0--219.8-0.560489999999968</f>
        <v>1060.8878199999999</v>
      </c>
      <c r="H336" s="3">
        <f>1813.5+(117.4-996.2)+(0.924885+(0.059874-0.508062))+0--90.1--0.0459509999999909</f>
        <v>1025.3226479999998</v>
      </c>
      <c r="I336" s="3">
        <f>1811.3+(118.2-1009.3)+(-0.923763+(-0.060282--0.514743))+0--90-0.0458999999999909</f>
        <v>1009.6847980000001</v>
      </c>
      <c r="J336" s="3">
        <f>1822.5+(112.4-1009.4)+(3.7179+(0.229296-2.059176))+0--90.1--0.183803999999996</f>
        <v>1017.671824</v>
      </c>
      <c r="K336" s="3">
        <f>1818+(91.4-938.5)+(1.85436+(0.093228-0.95727))+0--90.2--0.0920040000000144</f>
        <v>1062.1823220000001</v>
      </c>
      <c r="L336" s="3">
        <f>1912.3+(69.6-941.7)+(0+(0-0))+0--90.4-0</f>
        <v>1130.5999999999999</v>
      </c>
      <c r="M336" s="3">
        <f>2009+(73.2-989.9)+(0+(0-0))+0--90.8-0</f>
        <v>1183.1000000000001</v>
      </c>
      <c r="N336" s="3">
        <f>2085.7+(78.5-1060.7)+(4.254828+(0.16014-2.163828))+0--182.9--0.373115999999992</f>
        <v>1289.0242559999999</v>
      </c>
      <c r="O336" s="3">
        <f>2082+(95-1079.7)+(-1.06182+(-0.04845--0.550647))+0--239.8-0.122297999999976</f>
        <v>1336.4180789999998</v>
      </c>
      <c r="P336" s="3">
        <f>2095.2+(88.3-1060.6)+(-3.205656+(-0.135099--1.622718))+0--249.6-0.381888000000014</f>
        <v>1370.4000749999996</v>
      </c>
      <c r="Q336" s="3">
        <f>2104.5+(82.2-1078.7)+(-1.073295+(-0.041922--0.550137))+0--234.4-0.119543999999976</f>
        <v>1341.7153760000001</v>
      </c>
      <c r="R336" s="3">
        <f>2091+(78.4-1088)+(-1.06641+(-0.039984--0.55488))+0--233.5-0.119084999999976</f>
        <v>1314.2294010000001</v>
      </c>
      <c r="S336" s="3">
        <f>2061.3+(83.5-1060.5)+(-5.256315+(-0.212925--2.704275))+0--222.3-0.566864999999968</f>
        <v>1303.2681700000001</v>
      </c>
      <c r="T336" s="3">
        <f>1997.2+(83.7-954.4)+(-1.018572+(-0.042687--0.486744))+0--163-0.0831299999999835</f>
        <v>1288.842355</v>
      </c>
      <c r="U336" s="3">
        <f>1986.8+(86.7-950.5)+(-3.039804+(-0.132651--1.454265))+0--162.4-0.248472000000009</f>
        <v>1283.433338</v>
      </c>
      <c r="V336" s="3">
        <f>2028.9+(85.1-938.3)+(-4.138956+(-0.173604--1.914132))+0--107.7-0.219707999999995</f>
        <v>1280.7818640000003</v>
      </c>
      <c r="W336" s="3">
        <f>2138.8+(77.2-989.3)+(-4.363152+(-0.157488--2.018172))+0--90.4-0.184415999999996</f>
        <v>1314.4131160000004</v>
      </c>
      <c r="X336" s="3">
        <f>2345.3+(77.7-1011.4)+(-3.588309+(-0.118881--1.547442))+0--124.4-0.190332000000007</f>
        <v>1533.6499200000005</v>
      </c>
      <c r="Y336" s="3">
        <f>2370.6+(81.6-1076.9)+(-6.04503+(-0.20808--2.746095))+0--161.5-0.411824999999977</f>
        <v>1532.8811599999999</v>
      </c>
      <c r="Z336" s="3">
        <f>2316.6+(80.4-1024.3)+(-3.544398+(-0.123012--1.567179))+0--113.7-0.173961000000007</f>
        <v>1484.125808</v>
      </c>
      <c r="AA336" s="3">
        <f>2225.3+(77-938.2)+(-3.404709+(-0.11781--1.435446))+0--90.1-0.137853000000005</f>
        <v>1451.9750740000002</v>
      </c>
      <c r="AB336" s="3">
        <f>2171.6+(78.4-956.5)+(-5.53758+(-0.19992--2.439075))+0--90.2-0.230009999999987</f>
        <v>1380.1715650000001</v>
      </c>
      <c r="AC336" s="3">
        <f>1949+(127-895.5)+(-4.96995+(-0.32385--2.283525))+0--90.1-0.229754999999987</f>
        <v>1267.3599699999997</v>
      </c>
      <c r="AD336">
        <f t="shared" si="5"/>
        <v>30383.520596000006</v>
      </c>
      <c r="AE336" s="3">
        <f>2383.5+(83.3-1069.8)+(0+(0-0))+0--163-0</f>
        <v>1560</v>
      </c>
    </row>
    <row r="337" spans="1:31" s="2" customFormat="1" x14ac:dyDescent="0.25">
      <c r="A337">
        <v>89</v>
      </c>
      <c r="B337">
        <v>12</v>
      </c>
      <c r="C337">
        <v>1</v>
      </c>
      <c r="D337">
        <v>2</v>
      </c>
      <c r="E337">
        <v>1</v>
      </c>
      <c r="F337" s="3">
        <f>1904.4+(148.1-982.9)+(-6.798708+(-0.528717--3.508953))+0--93-0.332010000000001</f>
        <v>1158.4495180000001</v>
      </c>
      <c r="G337" s="3">
        <f>1932.1+(153.6-1072.5)+(0+(0-0))+0--90.2-0</f>
        <v>1103.3999999999999</v>
      </c>
      <c r="H337" s="3">
        <f>1918+(161.8-1100.1)+(-3.91272+(-0.330072--2.244204))+0--89.4-0.182375999999996</f>
        <v>1066.919036</v>
      </c>
      <c r="I337" s="3">
        <f>1939.9+(135-1111.6)+(4.946745+(0.34425-2.83458))+0--89.5--0.228224999999987</f>
        <v>1055.4846400000004</v>
      </c>
      <c r="J337" s="3">
        <f>1936.9+(135-1101.4)+(0+(0-0))+0--89.6-0</f>
        <v>1060.0999999999999</v>
      </c>
      <c r="K337" s="3">
        <f>1972.6+(94.1-1051.3)+(2.012052+(0.095982-1.072326))+0--90.1--0.0919020000000144</f>
        <v>1106.62761</v>
      </c>
      <c r="L337" s="3">
        <f>2021.2+(75.6-1002.4)+(2.061624+(0.077112-1.022448))+0--90.3--0.0921060000000144</f>
        <v>1185.908394</v>
      </c>
      <c r="M337" s="3">
        <f>2039.5+(82-979.2)+(2.08029+(0.08364-0.998784))+0--90.9--0.0927180000000145</f>
        <v>1234.4578640000002</v>
      </c>
      <c r="N337" s="3">
        <f>2153.5+(84.9-1142.1)+(3.294855+(0.129897-1.747413))+0--206.6--0.316098000000012</f>
        <v>1304.8934370000002</v>
      </c>
      <c r="O337" s="3">
        <f>2260.7+(92.5-1245.4)+(-2.305914+(-0.09435--1.270308))+0--233.7-0.238374000000037</f>
        <v>1340.1316699999998</v>
      </c>
      <c r="P337" s="3">
        <f>2244.4+(93.2-1206.5)+(-3.433932+(-0.142596--1.845945))+0--230.6-0.352818000000013</f>
        <v>1359.616599</v>
      </c>
      <c r="Q337" s="3">
        <f>2255.1+(96.1-1180.2)+(-8.050707+(-0.343077--4.213314))+0--205.3-0.732921000000003</f>
        <v>1371.3866089999997</v>
      </c>
      <c r="R337" s="3">
        <f>2180.8+(74.9-1112.3)+(-4.448832+(-0.152796--2.269092))+0--160.9-0.328235999999993</f>
        <v>1301.6392280000005</v>
      </c>
      <c r="S337" s="3">
        <f>2065.2+(77.5-1007.1)+(-4.213008+(-0.1581--2.054484))+0--160.1-0.326603999999993</f>
        <v>1293.0567719999997</v>
      </c>
      <c r="T337" s="3">
        <f>1999.7+(86.1-973.6)+(-1.019847+(-0.043911--0.496536))+0--161-0.0821099999999837</f>
        <v>1272.5506680000001</v>
      </c>
      <c r="U337" s="3">
        <f>2039.1+(75.8-1045.3)+(3.119823+(0.115974-1.599309))+0--202.2--0.309366000000012</f>
        <v>1273.745854</v>
      </c>
      <c r="V337" s="3">
        <f>2075.4+(75.2-1098)+(0+(0-0))+0--228.9-0</f>
        <v>1281.5000000000002</v>
      </c>
      <c r="W337" s="3">
        <f>2174.8+(78.8-1189.6)+(0+(0-0))+0--232.8-0</f>
        <v>1296.8000000000002</v>
      </c>
      <c r="X337" s="3">
        <f>2256.3+(95.1-1066.2)+(-3.452139+(-0.145503--1.631286))+0--236.4-0.361692000000014</f>
        <v>1519.2719520000005</v>
      </c>
      <c r="Y337" s="3">
        <f>2272.9+(94.3-1096.2)+(-4.636716+(-0.192372--2.236248))+0--235.3-0.48001199999999</f>
        <v>1503.2271479999999</v>
      </c>
      <c r="Z337" s="3">
        <f>2204.5+(88.9-1078.6)+(-2.24859+(-0.090678--1.100172))+0--235.9-0.240618000000038</f>
        <v>1449.2202860000002</v>
      </c>
      <c r="AA337" s="3">
        <f>2169.8+(88.3-1075.3)+(1.106598+(0.045033-0.548403))+0--235.4--0.120053999999976</f>
        <v>1418.9232820000002</v>
      </c>
      <c r="AB337" s="3">
        <f>2150.8+(84.4-1118.5)+(-5.48454+(-0.21522--2.852175))+0--236.6-0.603329999999966</f>
        <v>1349.8490850000003</v>
      </c>
      <c r="AC337" s="3">
        <f>2081.5+(74.5-1130.7)+(1.061565+(0.037995-0.576657))+0--236.5--0.120614999999976</f>
        <v>1262.443518</v>
      </c>
      <c r="AD337">
        <f t="shared" si="5"/>
        <v>30569.603170000002</v>
      </c>
      <c r="AE337" s="3">
        <f>2275.5+(77.5-1050.6)+(0+(0-0))+0--239-0</f>
        <v>1541.4</v>
      </c>
    </row>
    <row r="338" spans="1:31" s="2" customFormat="1" x14ac:dyDescent="0.25">
      <c r="A338">
        <v>89</v>
      </c>
      <c r="B338">
        <v>12</v>
      </c>
      <c r="C338">
        <v>2</v>
      </c>
      <c r="D338">
        <v>3</v>
      </c>
      <c r="E338">
        <v>1</v>
      </c>
      <c r="F338" s="3">
        <f>1993.8+(81.4-1118.5)+(-4.067352+(-0.166056--2.28174))+0--236.2-0.48184799999999</f>
        <v>1190.466484</v>
      </c>
      <c r="G338" s="3">
        <f>1900.1+(80.8-1094.7)+(-3.876204+(-0.164832--2.233188))+0--236.7-0.48286799999999</f>
        <v>1120.6092839999997</v>
      </c>
      <c r="H338" s="3">
        <f>1861.4+(85.8-1107.5)+(0.949314+(0.043758-0.564825))+0--236.7--0.120716999999976</f>
        <v>1076.9489640000002</v>
      </c>
      <c r="I338" s="3">
        <f>1862.3+(84.4-1137.7)+(3.799092+(0.172176-2.320908))+3--236.1--0.48164399999999</f>
        <v>1050.232004</v>
      </c>
      <c r="J338" s="3">
        <f>1858.1+(81.4-1101.8)+(-0.947631+(-0.041514--0.561918))+0--203.9-0.103988999999979</f>
        <v>1041.0687840000001</v>
      </c>
      <c r="K338" s="3">
        <f>1860.5+(73.8-1038.9)+(0+(0-0))+0--163.3-0</f>
        <v>1058.6999999999998</v>
      </c>
      <c r="L338" s="3">
        <f>1918+(74.5-1049.5)+(-3.91272+(-0.15198--2.14098))+0--136.9-0.279275999999994</f>
        <v>1077.6970040000001</v>
      </c>
      <c r="M338" s="3">
        <f>1919+(69.9-993.9)+(-2.93607+(-0.106947--1.520667))+0--90.9-0.139077000000005</f>
        <v>1084.2385730000001</v>
      </c>
      <c r="N338" s="3">
        <f>1938.8+(62.3-952.6)+(2.966364+(0.095319-1.457478))+0--123.8--0.189414000000007</f>
        <v>1174.093619</v>
      </c>
      <c r="O338" s="3">
        <f>2038.8+(65.6-1077.5)+(1.039788+(0.033456-0.549525))+5.8--217.6--0.110975999999978</f>
        <v>1250.9346949999999</v>
      </c>
      <c r="P338" s="3">
        <f>2126.9+(75.5-1112.8)+(-2.169438+(-0.07701--1.135056))+0--228.2-0.232764000000036</f>
        <v>1316.4558440000001</v>
      </c>
      <c r="Q338" s="3">
        <f>2204.8+(77.6-1186)+(-2.248896+(-0.079152--1.20972))+0--228-0.232560000000036</f>
        <v>1323.0491119999999</v>
      </c>
      <c r="R338" s="3">
        <f>2181.5+(76.7-1168.1)+(-6.67539+(-0.234702--3.574386))+0--193.3-0.591498000000022</f>
        <v>1279.472796</v>
      </c>
      <c r="S338" s="3">
        <f>2128.7+(72.8-1121.5)+(-2.171274+(-0.074256--1.14393))+0--159.7-0.162894000000025</f>
        <v>1238.4355059999998</v>
      </c>
      <c r="T338" s="3">
        <f>2078+(68.1-1036.3)+(2.11956+(0.069462-1.057026))+0--92.8--0.0946560000000148</f>
        <v>1203.8266520000002</v>
      </c>
      <c r="U338" s="3">
        <f>2007.2+(75.9-979.5)+(-4.094688+(-0.154836--1.99818))+0--91-0.185639999999996</f>
        <v>1192.163016</v>
      </c>
      <c r="V338" s="3">
        <f>1951.5+(79.6-933)+(1.99053+(0.081192-0.95166))+0--91--0.0928200000000145</f>
        <v>1190.3128819999999</v>
      </c>
      <c r="W338" s="3">
        <f>2159+(72.5-1066.5)+(-2.20218+(-0.07395--1.08783))+0--90.7-0.0925140000000145</f>
        <v>1254.4191860000001</v>
      </c>
      <c r="X338" s="3">
        <f>2276.7+(89.3-1101.7)+(-1.161117+(-0.045543--0.561867))+0--204.7-0.104396999999979</f>
        <v>1468.2508099999998</v>
      </c>
      <c r="Y338" s="3">
        <f>2312.1+(94.1-1155.7)+(-2.358342+(-0.095982--1.178814))+0--232.2-0.236844000000037</f>
        <v>1481.1876459999999</v>
      </c>
      <c r="Z338" s="3">
        <f>2313.2+(93.3-1195.1)+(-1.179732+(-0.047583--0.609501))+0--234-0.119339999999976</f>
        <v>1444.6628459999999</v>
      </c>
      <c r="AA338" s="3">
        <f>2302+(97.5-1209.7)+(-1.17402+(-0.049725--0.616947))+0--234.9-0.119798999999976</f>
        <v>1423.973403</v>
      </c>
      <c r="AB338" s="3">
        <f>2133.8+(98.6-1166.1)+(-4.352952+(-0.201144--2.378844))+0--235.9-0.48123599999999</f>
        <v>1299.5435120000002</v>
      </c>
      <c r="AC338" s="3">
        <f>1948.3+(100.9-952.8)+(0+(0-0))+0--161.8-0</f>
        <v>1258.2</v>
      </c>
      <c r="AD338">
        <f t="shared" si="5"/>
        <v>29498.942621999995</v>
      </c>
      <c r="AE338" s="3">
        <f>2293.5+(88-1145.2)+(0+(0-0))+0--233-0</f>
        <v>1469.3</v>
      </c>
    </row>
    <row r="339" spans="1:31" s="2" customFormat="1" x14ac:dyDescent="0.25">
      <c r="A339">
        <v>89</v>
      </c>
      <c r="B339">
        <v>12</v>
      </c>
      <c r="C339">
        <v>3</v>
      </c>
      <c r="D339">
        <v>4</v>
      </c>
      <c r="E339">
        <v>1</v>
      </c>
      <c r="F339" s="3">
        <f>1886.5+(131-974.7)+(-1.92423+(-0.13362--0.994194))+0--91.1-0.0929220000000145</f>
        <v>1132.7434219999998</v>
      </c>
      <c r="G339" s="3">
        <f>1811.3+(143.3-988.9)+(0+(0-0))+0-6-0</f>
        <v>959.7</v>
      </c>
      <c r="H339" s="3">
        <f>1801.4+(124-985.2)+(0+(0-0))+0--90.2-0</f>
        <v>1030.4000000000001</v>
      </c>
      <c r="I339" s="3">
        <f>1842+(107.4-1025.1)+(-2.81826+(-0.164322--1.568403))+0--90.4-0.138312000000005</f>
        <v>1013.147509</v>
      </c>
      <c r="J339" s="3">
        <f>1828.9+(107-1006.3)+(-3.730956+(-0.21828--2.052852))+0--90.5-0.184619999999996</f>
        <v>1018.0189960000001</v>
      </c>
      <c r="K339" s="3">
        <f>1829.1+(87.2-944.3)+(1.865682+(0.088944-0.963186))+0--91.2--0.0930240000000145</f>
        <v>1064.2844640000001</v>
      </c>
      <c r="L339" s="3">
        <f>1816.2+(68.8-868.2)+(-1.852524+(-0.070176--0.885564))+0--121.1-0.123522000000019</f>
        <v>1136.7393419999999</v>
      </c>
      <c r="M339" s="3">
        <f>1928+(67.4-965.3)+(-2.94984+(-0.103122--1.476909))+0--165.7-0.25352100000001</f>
        <v>1193.9704259999999</v>
      </c>
      <c r="N339" s="3">
        <f>2034.9+(74.1-985.6)+(0+(0-0))+0--131.4-0</f>
        <v>1254.8000000000002</v>
      </c>
      <c r="O339" s="3">
        <f>2213.2+(81.4-1208.5)+(-2.257464+(-0.083028--1.23267))+0--236.1-0.240822000000038</f>
        <v>1320.8513559999999</v>
      </c>
      <c r="P339" s="3">
        <f>2176.2+(84-1142.2)+(-5.54931+(-0.2142--2.91261))+0--234.2-0.597209999999966</f>
        <v>1348.75189</v>
      </c>
      <c r="Q339" s="3">
        <f>2223.9+(79.9-1190.4)+(-2.268378+(-0.081498--1.214208))+0--231.2-0.235824000000037</f>
        <v>1343.2285080000001</v>
      </c>
      <c r="R339" s="3">
        <f>2272.9+(59.7-1282.4)+(-5.795895+(-0.152235--3.27012))+0--226.2-0.576809999999967</f>
        <v>1273.14518</v>
      </c>
      <c r="S339" s="3">
        <f>2231.9+(58.2-1231.8)+(0+(0-0))+0--225.2-0</f>
        <v>1283.5000000000002</v>
      </c>
      <c r="T339" s="3">
        <f>2211.9+(56-1213)+(1.128069+(0.02856-0.61863))+0--229.6--0.117095999999977</f>
        <v>1285.1550949999998</v>
      </c>
      <c r="U339" s="3">
        <f>2256+(55-1266.6)+(0+(0-0))+0--229-0</f>
        <v>1273.4000000000001</v>
      </c>
      <c r="V339" s="3">
        <f>2239.8+(53-1258.5)+(0+(0-0))+0--229-0</f>
        <v>1263.3000000000002</v>
      </c>
      <c r="W339" s="3">
        <f>2169.2+(52.5-1165.7)+(-1.106292+(-0.026775--0.594507))+0--229.1-0.116840999999977</f>
        <v>1284.4445989999997</v>
      </c>
      <c r="X339" s="3">
        <f>2355.6+(63.3-1137.2)+(-1.201356+(-0.032283--0.579972))+0--229.2-0.116891999999977</f>
        <v>1510.1294409999998</v>
      </c>
      <c r="Y339" s="3">
        <f>2404.9+(66.2-1182)+(-3.679497+(-0.101286--1.80846))+0--230.3-0.352359000000013</f>
        <v>1517.0753180000002</v>
      </c>
      <c r="Z339" s="3">
        <f>2340.9+(63.6-1161.9)+(-2.387718+(-0.064872--1.185138))+0--230.5-0.235110000000037</f>
        <v>1471.5974379999998</v>
      </c>
      <c r="AA339" s="3">
        <f>2214.3+(66.7-1055.8)+(-6.775758+(-0.204102--3.230748))+0--231.2-0.707472000000027</f>
        <v>1451.9434160000003</v>
      </c>
      <c r="AB339" s="3">
        <f>2212+(62.2-1131.2)+(-4.51248+(-0.126888--2.307648))+0--231.4-0.47205599999999</f>
        <v>1371.5962240000001</v>
      </c>
      <c r="AC339" s="3">
        <f>2123.9+(55.1-1111.3)+(-6.499134+(-0.168606--3.400578))+0--194.4-0.594864000000022</f>
        <v>1258.2379740000001</v>
      </c>
      <c r="AD339">
        <f t="shared" si="5"/>
        <v>30060.160597999999</v>
      </c>
      <c r="AE339" s="3">
        <f>2380.5+(82.9-1131.9)+(0+(0-0))+0--233-0</f>
        <v>1564.5</v>
      </c>
    </row>
    <row r="340" spans="1:31" s="2" customFormat="1" x14ac:dyDescent="0.25">
      <c r="A340">
        <v>89</v>
      </c>
      <c r="B340">
        <v>12</v>
      </c>
      <c r="C340">
        <v>4</v>
      </c>
      <c r="D340">
        <v>5</v>
      </c>
      <c r="E340">
        <v>1</v>
      </c>
      <c r="F340" s="3">
        <f>2050.4+(78.9-1123.5)+(2.091408+(0.080478-1.14597))+0--162.2--0.165444000000026</f>
        <v>1169.1913600000003</v>
      </c>
      <c r="G340" s="3">
        <f>1898.3+(123.9-1081.9)+(-3.872532+(-0.252756--2.207076))+0--162.3-0.331091999999993</f>
        <v>1100.350696</v>
      </c>
      <c r="H340" s="3">
        <f>1936.1+(129.2-1093)+(0.987411+(0.065892-0.55743))+0--93.4--0.0476339999999905</f>
        <v>1066.2435069999999</v>
      </c>
      <c r="I340" s="3">
        <f>1928.3+(138.4-1098.5)+(-3.933732+(-0.282336--2.24094))+0--87.6-0.178703999999996</f>
        <v>1053.646168</v>
      </c>
      <c r="J340" s="3">
        <f>1947.5+(113.1-1101.3)+(-2.979675+(-0.173043--1.684989))+0--87.1-0.133263000000005</f>
        <v>1044.7990080000002</v>
      </c>
      <c r="K340" s="3">
        <f>2024.3+(87.5-1158)+(1.032393+(0.044625-0.59058))+0--149--0.0759899999999849</f>
        <v>1103.3624280000001</v>
      </c>
      <c r="L340" s="3">
        <f>1903.1+(87.1-1044.9)+(-3.882324+(-0.177684--2.131596))+0--237.2-0.48388799999999</f>
        <v>1180.0876999999998</v>
      </c>
      <c r="M340" s="3">
        <f>2000.3+(79.5-1078.9)+(-2.040306+(-0.08109--1.100478))+0--239.7-0.244494000000038</f>
        <v>1239.3345879999997</v>
      </c>
      <c r="N340" s="3">
        <f>2062.4+(87.7-1073.2)+(0+(0-0))+5.3--237.2-0</f>
        <v>1319.4</v>
      </c>
      <c r="O340" s="3">
        <f>2130.7+(98-1141)+(-1.086657+(-0.04998--0.58191))+0--233.7-0.119186999999976</f>
        <v>1320.7260859999999</v>
      </c>
      <c r="P340" s="3">
        <f>2188.6+(99.3-1133.7)+(-1.116186+(-0.050643--0.578187))+0--231.8-0.118217999999976</f>
        <v>1385.2931399999998</v>
      </c>
      <c r="Q340" s="3">
        <f>2176.1+(101.2-1116.9)+(-1.109811+(-0.051612--0.569619))+0--229.6-0.117095999999977</f>
        <v>1389.2910999999999</v>
      </c>
      <c r="R340" s="3">
        <f>2099.9+(85.7-1090.5)+(-5.354745+(-0.218535--2.780775))+0--225.6-0.575279999999967</f>
        <v>1317.3322150000001</v>
      </c>
      <c r="S340" s="3">
        <f>2076.7+(87.3-1071.9)+(-1.059117+(-0.044523--0.546669))+0--227.3-0.115922999999977</f>
        <v>1318.7271059999996</v>
      </c>
      <c r="T340" s="3">
        <f>2061.2+(88-1066.3)+(-5.25606+(-0.2244--2.719065))+0--228.4-0.582419999999967</f>
        <v>1307.956185</v>
      </c>
      <c r="U340" s="3">
        <f>1993.9+(83.5-1002.4)+(-3.050667+(-0.127755--1.533672))+0--229.1-0.350523000000013</f>
        <v>1302.1047269999999</v>
      </c>
      <c r="V340" s="3">
        <f>1951.7+(102.3-918.9)+(-8.958303+(-0.469557--4.217751))+0--166.7-0.765153000000029</f>
        <v>1295.8247379999998</v>
      </c>
      <c r="W340" s="3">
        <f>1960.4+(90.3-885.6)+(0+(0-0))+0--158.9-0</f>
        <v>1324</v>
      </c>
      <c r="X340" s="3">
        <f>2173.9+(101.4-899.6)+(-4.434756+(-0.206856--1.835184))+0--159.5-0.325379999999993</f>
        <v>1532.068192</v>
      </c>
      <c r="Y340" s="3">
        <f>2266.5+(100.3-977.2)+(0+(0-0))+0--158.4-0</f>
        <v>1548</v>
      </c>
      <c r="Z340" s="3">
        <f>2229.7+(94.3-986)+(0+(0-0))+0--158.9-0</f>
        <v>1496.8999999999999</v>
      </c>
      <c r="AA340" s="3">
        <f>2174.5+(94.9-959.6)+(-2.21799+(-0.096798--0.978792))+0--159.6-0.162792000000025</f>
        <v>1467.9012119999998</v>
      </c>
      <c r="AB340" s="3">
        <f>2051+(90.1-892.9)+(-4.18404+(-0.183804--1.821516))+0--144.2-0.294167999999994</f>
        <v>1389.5595040000003</v>
      </c>
      <c r="AC340" s="3">
        <f>1930.5+(83.2-823.1)+(-7.87644+(-0.339456--3.358248))+0--84.9-0.346391999999993</f>
        <v>1270.2959600000002</v>
      </c>
      <c r="AD340">
        <f t="shared" si="5"/>
        <v>30942.395620000003</v>
      </c>
      <c r="AE340" s="3">
        <f>2244.6+(119.7-920.4)+(0+(0-0))+0--158-0</f>
        <v>1601.9</v>
      </c>
    </row>
    <row r="341" spans="1:31" s="2" customFormat="1" x14ac:dyDescent="0.25">
      <c r="A341">
        <v>89</v>
      </c>
      <c r="B341">
        <v>12</v>
      </c>
      <c r="C341">
        <v>5</v>
      </c>
      <c r="D341">
        <v>6</v>
      </c>
      <c r="E341">
        <v>1</v>
      </c>
      <c r="F341" s="3">
        <f>2024.4+(114.8-951.6)+(-3.097332+(-0.175644--1.455948))+0--86-0.131580000000005</f>
        <v>1271.651392</v>
      </c>
      <c r="G341" s="3">
        <f>2049.6+(112.7-1044.7)+(2.090592+(0.114954-1.065594))+0--87--0.0887400000000139</f>
        <v>1205.8286919999998</v>
      </c>
      <c r="H341" s="3">
        <f>2002.7+(123.3-1042.3)+(-6.128262+(-0.377298--3.189438))+0--87-0.26622000000001</f>
        <v>1167.1176580000001</v>
      </c>
      <c r="I341" s="3">
        <f>1972.3+(121.7-1025.5)+(2.011746+(0.124134-1.04601))+0--87--0.0887400000000139</f>
        <v>1156.6786099999999</v>
      </c>
      <c r="J341" s="3">
        <f>1959.4+(121.3-1009.3)+(0.999294+(0.061863-0.514743))+0--87--0.0443699999999912</f>
        <v>1158.9907840000001</v>
      </c>
      <c r="K341" s="3">
        <f>2037.4+(92.2-1017.6)+(6.234444+(0.282132-3.113856))+0--87--0.26622000000001</f>
        <v>1202.66894</v>
      </c>
      <c r="L341" s="3">
        <f>2007.7+(97.4-1016.5)+(0+(0-0))+0--85-0</f>
        <v>1173.5999999999999</v>
      </c>
      <c r="M341" s="3">
        <f>2052.1+(113-1038.9)+(3.139713+(0.17289-1.589517))+0--113--0.172890000000007</f>
        <v>1241.0959759999998</v>
      </c>
      <c r="N341" s="3">
        <f>2417.9+(125.5-1332.9)+(0+(0-0))+0--108-0</f>
        <v>1318.5</v>
      </c>
      <c r="O341" s="3">
        <f>2604.1+(135.7-1427.4)+(0+(0-0))+0--84-0</f>
        <v>1396.3999999999999</v>
      </c>
      <c r="P341" s="3">
        <f>2589.9+(124.9-1392.4)+(0+(0-0))+0--86-0</f>
        <v>1408.4</v>
      </c>
      <c r="Q341" s="3">
        <f>2623.7+(124-1414.7)+(1.338087+(0.06324-0.721497))+0--86--0.0438599999999913</f>
        <v>1419.7236899999998</v>
      </c>
      <c r="R341" s="3">
        <f>2622.1+(98.3-1436.1)+(-2.674542+(-0.100266--1.464822))+0--83-0.0846600000000132</f>
        <v>1365.905354</v>
      </c>
      <c r="S341" s="3">
        <f>2602.6+(91-1406.2)+(-2.654652+(-0.09282--1.434324))+0--82.6-0.0842520000000132</f>
        <v>1368.6025999999997</v>
      </c>
      <c r="T341" s="3">
        <f>2498.1+(88-1318.3)+(-1.274031+(-0.04488--0.672333))+0--82.3-0.0419729999999916</f>
        <v>1349.4114489999997</v>
      </c>
      <c r="U341" s="3">
        <f>2336.9+(82.4-1185.2)+(-2.383638+(-0.084048--1.208904))+0--82.5-0.0841500000000132</f>
        <v>1315.2570680000001</v>
      </c>
      <c r="V341" s="3">
        <f>2314.2+(82.1-1162)+(-8.261694+(-0.293097--4.14834))+0--84.8-0.302736000000001</f>
        <v>1314.3908129999995</v>
      </c>
      <c r="W341" s="3">
        <f>2353.7+(80.4-1179)+(-1.200387+(-0.041004--0.60129))+0--84.9-0.0432989999999914</f>
        <v>1339.3166000000001</v>
      </c>
      <c r="X341" s="3">
        <f>2510.8+(97.7-1272)+(-3.841524+(-0.149481--1.94616))+0--192.1-0.293913000000011</f>
        <v>1526.2612420000003</v>
      </c>
      <c r="Y341" s="3">
        <f>2420.3+(102.1-1227.7)+(-2.468706+(-0.104142--1.252254))+0--226.9-0.231438000000036</f>
        <v>1520.0479680000001</v>
      </c>
      <c r="Z341" s="3">
        <f>2281.3+(107.9-1103.2)+(-3.490389+(-0.165087--1.687896))+0--184.8-0.282744000000011</f>
        <v>1468.5496759999999</v>
      </c>
      <c r="AA341" s="3">
        <f>2299.9+(109.1-1122.9)+(0+(0-0))+0--158.1-0</f>
        <v>1444.1999999999998</v>
      </c>
      <c r="AB341" s="3">
        <f>2069.2+(101-952.2)+(-4.221168+(-0.20604--1.942488))+0--158.5-0.323339999999993</f>
        <v>1373.6919399999999</v>
      </c>
      <c r="AC341" s="3">
        <f>1973.4+(87.9-935.8)+(-5.03217+(-0.224145--2.38629))+0--158.7-0.404684999999977</f>
        <v>1280.9252900000001</v>
      </c>
      <c r="AD341">
        <f t="shared" si="5"/>
        <v>31787.215741999989</v>
      </c>
      <c r="AE341" s="3">
        <f>2572+(105.7-1339.9)+(0+(0-0))+0--225-0</f>
        <v>1562.8</v>
      </c>
    </row>
    <row r="342" spans="1:31" s="2" customFormat="1" x14ac:dyDescent="0.25">
      <c r="A342">
        <v>89</v>
      </c>
      <c r="B342">
        <v>12</v>
      </c>
      <c r="C342">
        <v>6</v>
      </c>
      <c r="D342">
        <v>7</v>
      </c>
      <c r="E342">
        <v>1</v>
      </c>
      <c r="F342" s="3">
        <f>1853+(76.8-915.3)+(-1.89006+(-0.078336--0.933606))+0--161.8-0.165036000000026</f>
        <v>1175.1001739999999</v>
      </c>
      <c r="G342" s="3">
        <f>1802.1+(77.2-931.1)+(-0.919071+(-0.039372--0.474861))+0--161.4-0.0823139999999836</f>
        <v>1109.0341040000001</v>
      </c>
      <c r="H342" s="3">
        <f>1795+(75.7-961)+(0+(0-0))+0--161.8-0</f>
        <v>1071.5</v>
      </c>
      <c r="I342" s="3">
        <f>1797.4+(85.4-932.3)+(2.750022+(0.130662-1.426419))+0--94.5--0.144585000000005</f>
        <v>1046.5988500000001</v>
      </c>
      <c r="J342" s="3">
        <f>1783.2+(80-911.6)+(-4.54716+(-0.204--2.32458))+0--87-0.221849999999987</f>
        <v>1035.9515700000002</v>
      </c>
      <c r="K342" s="3">
        <f>1795.8+(71.2-889.5)+(2.747574+(0.108936-1.360935))+0--87.4--0.133722000000005</f>
        <v>1066.529297</v>
      </c>
      <c r="L342" s="3">
        <f>1788.8+(64.8-871.2)+(-1.824576+(-0.066096--0.888624))+0--88.1-0.089862000000014</f>
        <v>1069.4080899999999</v>
      </c>
      <c r="M342" s="3">
        <f>1797.5+(60.5-847.9)+(0.916725+(0.030855-0.432429))+0--88.1--0.0449309999999911</f>
        <v>1098.7600819999998</v>
      </c>
      <c r="N342" s="3">
        <f>1820.4+(77.2-790.6)+(-1.856808+(-0.078744--0.806412))+0--86.9-0.0886380000000139</f>
        <v>1192.6822220000001</v>
      </c>
      <c r="O342" s="3">
        <f>1972.7+(58.9-866.3)+(1.006077+(0.030039-0.441813))+0--88.2--0.0449819999999911</f>
        <v>1254.1392850000002</v>
      </c>
      <c r="P342" s="3">
        <f>2155.8+(75.3-1056.7)+(2.198916+(0.076806-1.077834))+0--124.5--0.12699000000002</f>
        <v>1300.224878</v>
      </c>
      <c r="Q342" s="3">
        <f>2203.1+(81.6-1129.9)+(-4.494324+(-0.166464--2.304996))+0--157.2-0.320687999999993</f>
        <v>1309.3235199999997</v>
      </c>
      <c r="R342" s="3">
        <f>2207.1+(69-1170.9)+(-1.125621+(-0.03519--0.597159))+0--157.1-0.0801209999999841</f>
        <v>1261.6562269999997</v>
      </c>
      <c r="S342" s="3">
        <f>2140.1+(68.1-1130.5)+(-6.548706+(-0.208386--3.45933))+0--155.2-0.474912000000018</f>
        <v>1229.1273259999998</v>
      </c>
      <c r="T342" s="3">
        <f>2052+(60.6-996.7)+(-2.09304+(-0.061812--1.016634))+0--88.3-0.0900660000000141</f>
        <v>1202.971716</v>
      </c>
      <c r="U342" s="3">
        <f>1866.7+(65.8-818.6)+(-5.712102+(-0.201348--2.504916))+0--86.9-0.26591400000001</f>
        <v>1197.1255520000002</v>
      </c>
      <c r="V342" s="3">
        <f>1785.2+(76.8-842.9)+(-1.820904+(-0.078336--0.859758))+0--193.1-0.196962000000031</f>
        <v>1210.9635559999999</v>
      </c>
      <c r="W342" s="3">
        <f>1930.9+(64.2-908)+(-0.984759+(-0.032742--0.46308))+0--180.4-0.0920039999999817</f>
        <v>1266.8535750000001</v>
      </c>
      <c r="X342" s="3">
        <f>2244.8+(71.7-1045.4)+(-3.434544+(-0.109701--1.599462))+0--208.9-0.319617000000012</f>
        <v>1477.7356000000002</v>
      </c>
      <c r="Y342" s="3">
        <f>2326.3+(73.1-1135.3)+(1.186413+(0.037281-0.579003))+0--224.8--0.114647999999977</f>
        <v>1489.659339</v>
      </c>
      <c r="Z342" s="3">
        <f>2331.7+(70.3-1178.2)+(-3.567501+(-0.107559--1.802646))+0--225.8-0.345474000000013</f>
        <v>1447.3821119999998</v>
      </c>
      <c r="AA342" s="3">
        <f>2336.9+(73-1209.7)+(1.191819+(0.03723-0.616947))+0--225.5--0.115004999999977</f>
        <v>1426.427107</v>
      </c>
      <c r="AB342" s="3">
        <f>2343+(69.8-1287.9)+(-2.38986+(-0.071196--1.313658))+0--227-0.231540000000036</f>
        <v>1350.5210619999998</v>
      </c>
      <c r="AC342" s="3">
        <f>2333.6+(65.9-1374.5)+(-4.760544+(-0.134436--2.80398))+0--223.9-0.45675599999999</f>
        <v>1246.3522439999999</v>
      </c>
      <c r="AD342">
        <f t="shared" si="5"/>
        <v>29536.027488000003</v>
      </c>
      <c r="AE342" s="3">
        <f>2303.6+(84.6-1122.9)+(0+(0-0))+0--221-0</f>
        <v>1486.2999999999997</v>
      </c>
    </row>
    <row r="343" spans="1:31" s="2" customFormat="1" x14ac:dyDescent="0.25">
      <c r="A343">
        <v>89</v>
      </c>
      <c r="B343">
        <v>12</v>
      </c>
      <c r="C343">
        <v>7</v>
      </c>
      <c r="D343">
        <v>1</v>
      </c>
      <c r="E343">
        <v>1</v>
      </c>
      <c r="F343" s="3">
        <f>2148.7+(83.3-1190.6)+(-2.191674+(-0.084966--1.214412))+0--120.4-0.122808000000019</f>
        <v>1160.6149639999999</v>
      </c>
      <c r="G343" s="3">
        <f>2027.1+(81.9-1103.9)+(-2.067642+(-0.083538--1.125978))+0--85.7-0.0874140000000137</f>
        <v>1089.6873839999996</v>
      </c>
      <c r="H343" s="3">
        <f>1903.9+(80.7-1020.5)+(3.883956+(0.164628-2.08182))+0--85.9--0.175235999999996</f>
        <v>1052.1420000000003</v>
      </c>
      <c r="I343" s="3">
        <f>1887.4+(79.9-1017.1)+(-1.925148+(-0.081498--1.037442))+0--85.8-0.0875160000000137</f>
        <v>1034.94328</v>
      </c>
      <c r="J343" s="3">
        <f>1875.8+(78.4-1046.3)+(5.739948+(0.239904-3.201678))+0--128.3--0.392598000000015</f>
        <v>1039.370772</v>
      </c>
      <c r="K343" s="3">
        <f>1990.8+(70-1132.8)+(1.015308+(0.0357-0.577728))+0--154.5--0.0787949999999843</f>
        <v>1083.0520750000001</v>
      </c>
      <c r="L343" s="3">
        <f>2092.6+(60.6-1210)+(3.201678+(0.092718-1.8513))+0--200.5--0.306765000000012</f>
        <v>1145.4498609999998</v>
      </c>
      <c r="M343" s="3">
        <f>2205+(61.7-1270.2)+(5.62275+(0.157335-3.23901))+0--228.8--0.583439999999967</f>
        <v>1228.4245149999999</v>
      </c>
      <c r="N343" s="3">
        <f>2350.2+(67.3-1299.1)+(1.198602+(0.034323-0.662541))+0--237.1--0.120920999999976</f>
        <v>1356.1913049999998</v>
      </c>
      <c r="O343" s="3">
        <f>2396.1+(74.7-1245.4)+(1.222011+(0.038097-0.635154))+0--227.1--0.115820999999977</f>
        <v>1453.2407749999995</v>
      </c>
      <c r="P343" s="3">
        <f>2449.3+(72.2-1253.6)+(3.747429+(0.110466-1.918008))+0--225--0.344250000000013</f>
        <v>1495.1841370000004</v>
      </c>
      <c r="Q343" s="3">
        <f>2406.5+(71.6-1239.5)+(-1.227315+(-0.036516--0.632145))+0--221.2-0.112811999999978</f>
        <v>1459.0555019999999</v>
      </c>
      <c r="R343" s="3">
        <f>2401.1+(59.4-1308.5)+(-1.224561+(-0.030294--0.667335))+0--218.9-0.111638999999978</f>
        <v>1370.2008410000001</v>
      </c>
      <c r="S343" s="3">
        <f>2425.6+(65.4-1340.1)+(-3.711168+(-0.100062--2.050353))+0--223.7-0.342261000000013</f>
        <v>1372.4968620000002</v>
      </c>
      <c r="T343" s="3">
        <f>2463.5+(63.7-1396.2)+(0+(0-0))+0--225.5-0</f>
        <v>1356.5</v>
      </c>
      <c r="U343" s="3">
        <f>2244+(65.2-1201.2)+(-2.28888+(-0.066504--1.225224))+2.7--224.8-0.229296000000036</f>
        <v>1334.1405440000001</v>
      </c>
      <c r="V343" s="3">
        <f>2325.2+(62.7-1259)+(0+(0-0))+0--226-0</f>
        <v>1354.8999999999999</v>
      </c>
      <c r="W343" s="3">
        <f>2460.9+(63.3-1323.9)+(-5.020236+(-0.129132--2.700756))+0--216.5-0.441659999999991</f>
        <v>1413.9097280000001</v>
      </c>
      <c r="X343" s="3">
        <f>2715.3+(68.4-1448.3)+(-6.924015+(-0.17442--3.693165))+0--231.1-0.589304999999966</f>
        <v>1562.5054250000003</v>
      </c>
      <c r="Y343" s="3">
        <f>2752.7+(68.2-1506.5)+(-4.211631+(-0.104346--2.304945))+0--231.1-0.353583000000013</f>
        <v>1543.1353849999998</v>
      </c>
      <c r="Z343" s="3">
        <f>2672.8+(64.8-1490.3)+(-1.363128+(-0.033048--0.760053))+0--231.3-0.117962999999977</f>
        <v>1477.8459140000002</v>
      </c>
      <c r="AA343" s="3">
        <f>2581.3+(66.1-1452.5)+(-2.632926+(-0.067422--1.48155))+0--232.3-0.236946000000037</f>
        <v>1425.744256</v>
      </c>
      <c r="AB343" s="3">
        <f>2547.2+(59.1-1497.4)+(-6.49536+(-0.150705--3.81837))+0--231.7-0.590834999999966</f>
        <v>1337.1814699999998</v>
      </c>
      <c r="AC343" s="3">
        <f>2405.2+(59-1458.3)+(-4.906608+(-0.12036--2.974932))+0--230.8-0.47083199999999</f>
        <v>1234.1771319999998</v>
      </c>
      <c r="AD343">
        <f t="shared" si="5"/>
        <v>31380.094127000004</v>
      </c>
      <c r="AE343" s="3">
        <f>2755.6+(67.7-1471.8)+(0+(0-0))+0--231-0</f>
        <v>1582.5</v>
      </c>
    </row>
    <row r="344" spans="1:31" s="2" customFormat="1" x14ac:dyDescent="0.25">
      <c r="A344">
        <v>89</v>
      </c>
      <c r="B344">
        <v>12</v>
      </c>
      <c r="C344">
        <v>8</v>
      </c>
      <c r="D344">
        <v>2</v>
      </c>
      <c r="E344">
        <v>1</v>
      </c>
      <c r="F344" s="3">
        <f>2158.8+(65.9-1304.7)+(-1.100988+(-0.033609--0.665397))+0--229.3-0.116942999999977</f>
        <v>1148.7138570000002</v>
      </c>
      <c r="G344" s="3">
        <f>1997.4+(78.4-1157.9)+(0+(0-0))+0--176.8-0</f>
        <v>1094.7</v>
      </c>
      <c r="H344" s="3">
        <f>1882+(77.4-1004.5)+(-2.87946+(-0.118422--1.536885))+0--91-0.139230000000005</f>
        <v>1044.299773</v>
      </c>
      <c r="I344" s="3">
        <f>1874.2+(75-1009.4)+(-2.867526+(-0.11475--1.544382))+0--90.9-0.139077000000005</f>
        <v>1029.1230290000001</v>
      </c>
      <c r="J344" s="3">
        <f>1871.8+(74.1-1004.1)+(-0.954618+(-0.037791--0.512091))+0--91-0.0464099999999908</f>
        <v>1032.2732719999999</v>
      </c>
      <c r="K344" s="3">
        <f>1920.7+(69.8-1055.8)+(0.979557+(0.035598-0.538458))+0--145.1--0.0740009999999853</f>
        <v>1080.350698</v>
      </c>
      <c r="L344" s="3">
        <f>2016.1+(67.9-1094)+(-2.056422+(-0.069258--1.11588))+0--161.4-0.164628000000026</f>
        <v>1150.2255720000001</v>
      </c>
      <c r="M344" s="3">
        <f>2040.2+(70.7-1067.1)+(-1.040502+(-0.036057--0.544221))+0--162.6-0.0829259999999835</f>
        <v>1205.7847360000001</v>
      </c>
      <c r="N344" s="3">
        <f>2237.4+(18.3-1188.7)+(-2.282148+(-0.018666--1.212474))+0--169-0.172380000000027</f>
        <v>1234.73928</v>
      </c>
      <c r="O344" s="3">
        <f>2372.4+(19.7-1168.3)+(2.419848+(0.020094-1.191666))+0--159--0.162180000000025</f>
        <v>1384.2104560000002</v>
      </c>
      <c r="P344" s="3">
        <f>2409.1+(15-1255.5)+(-4.914564+(-0.0306--2.56122))+0--157-0.320279999999993</f>
        <v>1322.8957760000001</v>
      </c>
      <c r="Q344" s="3">
        <f>2403.8+(71.9-1286.4)+(-3.677814+(-0.110007--1.968192))+0--197-0.301410000000011</f>
        <v>1384.1789610000001</v>
      </c>
      <c r="R344" s="3">
        <f>2405+(68.5-1363.4)+(-7.3593+(-0.20961--4.172004))+0--215.4-0.659124000000025</f>
        <v>1321.44397</v>
      </c>
      <c r="S344" s="3">
        <f>2311.6+(63.4-1287.6)+(-3.536748+(-0.097002--1.970028))+0--223.5-0.341955000000013</f>
        <v>1308.894323</v>
      </c>
      <c r="T344" s="3">
        <f>2299+(63.5-1279.7)+(-3.51747+(-0.097155--1.957941))+0--219-0.335070000000013</f>
        <v>1299.8082459999998</v>
      </c>
      <c r="U344" s="3">
        <f>2192.7+(63.1-1172.1)+(-2.236554+(-0.064362--1.195542))+0--220.7-0.225114000000035</f>
        <v>1303.0695119999998</v>
      </c>
      <c r="V344" s="3">
        <f>2169.4+(62.8-1150.6)+(-6.638364+(-0.192168--3.520836))+0--222.8-0.681768000000026</f>
        <v>1300.4085360000001</v>
      </c>
      <c r="W344" s="3">
        <f>2186.3+(60.4-1131.9)+(-3.345039+(-0.092412--1.731807))+0--223.5-0.341955000000013</f>
        <v>1336.2524010000002</v>
      </c>
      <c r="X344" s="3">
        <f>2368.7+(73.9-1139.5)+(-2.416074+(-0.075378--1.16229))+0--223.9-0.228378000000036</f>
        <v>1525.44246</v>
      </c>
      <c r="Y344" s="3">
        <f>2450.4+(78.1-1223.3)+(-7.498224+(-0.238986--3.743298))+0--225.4-0.689724000000026</f>
        <v>1525.9163640000002</v>
      </c>
      <c r="Z344" s="3">
        <f>2454.5+(77.7-1278)+(-2.50359+(-0.079254--1.30356))+0--226.2-0.230724000000036</f>
        <v>1478.8899920000001</v>
      </c>
      <c r="AA344" s="3">
        <f>2452.5+(79.9-1297.9)+(-3.752325+(-0.122247--1.985787))+0--225.5-0.345015000000013</f>
        <v>1457.7661999999998</v>
      </c>
      <c r="AB344" s="3">
        <f>2419.9+(70.9-1258.6)+(-6.170745+(-0.180795--3.20943))+0--146.3-0.373064999999979</f>
        <v>1374.9848250000002</v>
      </c>
      <c r="AC344" s="3">
        <f>2308.2+(60.5-1141.7)+(-5.88591+(-0.154275--2.911335))+0--30.9-0.0787949999999955</f>
        <v>1254.6923549999999</v>
      </c>
      <c r="AD344">
        <f t="shared" si="5"/>
        <v>30599.064593999996</v>
      </c>
      <c r="AE344" s="3">
        <f>2445.6+(79-1172.7)+(0+(0-0))+0--223-0</f>
        <v>1574.8999999999999</v>
      </c>
    </row>
    <row r="345" spans="1:31" s="2" customFormat="1" x14ac:dyDescent="0.25">
      <c r="A345">
        <v>89</v>
      </c>
      <c r="B345">
        <v>12</v>
      </c>
      <c r="C345">
        <v>9</v>
      </c>
      <c r="D345">
        <v>3</v>
      </c>
      <c r="E345">
        <v>1</v>
      </c>
      <c r="F345" s="3">
        <f>2060.1+(87.3-1017)+(0+(0-0))+0--31.3-0</f>
        <v>1161.6999999999998</v>
      </c>
      <c r="G345" s="3">
        <f>1871.4+(95.2-911.8)+(0+(0-0))+0--30.7-0</f>
        <v>1085.5000000000002</v>
      </c>
      <c r="H345" s="3">
        <f>1782.8+(76.3-842.2)+(0+(0-0))+0--31.1-0</f>
        <v>1047.9999999999998</v>
      </c>
      <c r="I345" s="3">
        <f>1759.1+(76.2-840.7)+(0+(0-0))+0--31-0</f>
        <v>1025.5999999999999</v>
      </c>
      <c r="J345" s="3">
        <f>1757.6+(74.8-833.9)+(0+(0-0))+0--31-0</f>
        <v>1029.5</v>
      </c>
      <c r="K345" s="3">
        <f>1832.5+(69.2-859.6)+(0+(0-0))+0--31.2-0</f>
        <v>1073.3</v>
      </c>
      <c r="L345" s="3">
        <f>1896.8+(68.1-866.2)+(0+(0-0))+0--30.5-0</f>
        <v>1129.1999999999998</v>
      </c>
      <c r="M345" s="3">
        <f>1954.2+(69.4-874.4)+(0+(0-0))+0--30.6-0</f>
        <v>1179.8</v>
      </c>
      <c r="N345" s="3">
        <f>2199.1+(69.8-1034.4)+(0+(0-0))+0--30.9-0</f>
        <v>1265.3999999999999</v>
      </c>
      <c r="O345" s="3">
        <f>2271.7+(71.2-1092.9)+(0+(0-0))+0--67.5-0</f>
        <v>1317.4999999999998</v>
      </c>
      <c r="P345" s="3">
        <f>2271+(74.9-1077.7)+(-2.31642+(-0.076398--1.099254))+0--84.5-0.0861900000000135</f>
        <v>1351.3202459999998</v>
      </c>
      <c r="Q345" s="3">
        <f>2259.2+(71.1-1052.9)+(-3.456576+(-0.108783--1.610937))+0--86.5-0.132345000000005</f>
        <v>1361.8132329999996</v>
      </c>
      <c r="R345" s="3">
        <f>2247.3+(56.2-1097.2)+(-4.584492+(-0.114648--2.238288))+0--86.5-0.176459999999996</f>
        <v>1290.1626880000003</v>
      </c>
      <c r="S345" s="3">
        <f>2202.1+(60.3-1052.3)+(-4.492284+(-0.123012--2.146692))+0--86.2-0.175847999999996</f>
        <v>1293.655548</v>
      </c>
      <c r="T345" s="3">
        <f>2003.5+(60.3-883.4)+(-1.021785+(-0.030753--0.450534))+0--85.9-0.0438089999999913</f>
        <v>1265.6541870000001</v>
      </c>
      <c r="U345" s="3">
        <f>2093.6+(56.9-992.2)+(0+(0-0))+0--87.3-0</f>
        <v>1245.5999999999997</v>
      </c>
      <c r="V345" s="3">
        <f>2108+(57-998.5)+(-6.45048+(-0.17442--3.05541))+0--88.4-0.27050400000001</f>
        <v>1251.0600059999999</v>
      </c>
      <c r="W345" s="3">
        <f>2133.7+(54.9-987)+(-5.440935+(-0.139995--2.51685))+0--86.8-0.221339999999987</f>
        <v>1285.1145799999997</v>
      </c>
      <c r="X345" s="3">
        <f>2260.8+(70.2-1050.3)+(-4.612032+(-0.143208--2.142612))+0--193.1-0.393923999999992</f>
        <v>1470.7934480000001</v>
      </c>
      <c r="Y345" s="3">
        <f>2182.1+(72.7-1100.6)+(-3.338613+(-0.111231--1.683918))+0--227.8-0.348534000000013</f>
        <v>1379.88554</v>
      </c>
      <c r="Z345" s="3">
        <f>2212.4+(65.8-1070.3)+(-6.769944+(-0.201348--3.275118))+0--226.7-0.693702000000026</f>
        <v>1430.2101240000002</v>
      </c>
      <c r="AA345" s="3">
        <f>2095.4+(63.7-921.6)+(-1.068654+(-0.032487--0.470016))+0--164.6-0.0839459999999833</f>
        <v>1401.3849289999998</v>
      </c>
      <c r="AB345" s="3">
        <f>2087.6+(60.5-925.9)+(-4.258704+(-0.12342--1.888836))+0--86.7-0.176867999999996</f>
        <v>1306.229844</v>
      </c>
      <c r="AC345" s="3">
        <f>2026.9+(55-966.5)+(-7.236033+(-0.19635--3.450405))+0--86.7-0.309519000000001</f>
        <v>1197.8085030000002</v>
      </c>
      <c r="AD345">
        <f t="shared" si="5"/>
        <v>29846.192875999997</v>
      </c>
      <c r="AE345" s="3">
        <f>2277.3+(82.8-1109.1)+(0+(0-0))+0--226.6-0</f>
        <v>1477.6000000000001</v>
      </c>
    </row>
    <row r="346" spans="1:31" s="2" customFormat="1" x14ac:dyDescent="0.25">
      <c r="A346">
        <v>89</v>
      </c>
      <c r="B346">
        <v>12</v>
      </c>
      <c r="C346">
        <v>10</v>
      </c>
      <c r="D346">
        <v>4</v>
      </c>
      <c r="E346">
        <v>1</v>
      </c>
      <c r="F346" s="3">
        <f>1947.5+(62.8-984.8)+(-3.9729+(-0.128112--2.008992))+0--87.6-0.178703999999996</f>
        <v>1110.8292759999999</v>
      </c>
      <c r="G346" s="3">
        <f>1947.7+(59.6-1046.9)+(-2.979981+(-0.091188--1.601757))+0--88.3-0.135099000000005</f>
        <v>1047.0954889999998</v>
      </c>
      <c r="H346" s="3">
        <f>1941.4+(60.3-1062.2)+(-3.960456+(-0.123012--2.166888))+0--76.3-0.155651999999997</f>
        <v>1013.727768</v>
      </c>
      <c r="I346" s="3">
        <f>1872.6+(68-973.8)+(-4.77513+(-0.1734--2.48319))+0--32.1-0.0818549999999953</f>
        <v>996.35280499999999</v>
      </c>
      <c r="J346" s="3">
        <f>1881.3+(67.3-979.7)+(0+(0-0))+0--32.3-0</f>
        <v>1001.1999999999998</v>
      </c>
      <c r="K346" s="3">
        <f>1924.8+(61.3-971.8)+(-2.944944+(-0.093789--1.486854))+0--31.8-0.0486540000000018</f>
        <v>1044.4994670000001</v>
      </c>
      <c r="L346" s="3">
        <f>1877.5+(70.3-874.5)+(-2.872575+(-0.107559--1.337985))+0--32.4-0.0495720000000019</f>
        <v>1104.0082790000001</v>
      </c>
      <c r="M346" s="3">
        <f>2003.7+(99.4-992.1)+(0+(0-0))+0--76-0</f>
        <v>1187</v>
      </c>
      <c r="N346" s="3">
        <f>2275.5+(81.3-1190.7)+(1.160505+(0.041463-0.607257))+0--89.3--0.0455429999999909</f>
        <v>1256.0402539999998</v>
      </c>
      <c r="O346" s="3">
        <f>2313.3+(85.5-1177.3)+(-1.179783+(-0.043605--0.600423))+0--89.3-0.0455429999999909</f>
        <v>1310.1314920000002</v>
      </c>
      <c r="P346" s="3">
        <f>2305.3+(85-1140.3)+(0+(0-0))+0--87.7-0</f>
        <v>1337.7000000000003</v>
      </c>
      <c r="Q346" s="3">
        <f>2296.2+(82.7-1139.3)+(-2.342124+(-0.084354--1.162086))+0--87.9-0.089658000000014</f>
        <v>1326.1459499999999</v>
      </c>
      <c r="R346" s="3">
        <f>2248.6+(64.2-1143.3)+(-5.73393+(-0.16371--2.915415))+0--87.8-0.223889999999987</f>
        <v>1254.093885</v>
      </c>
      <c r="S346" s="3">
        <f>2146.8+(63.1-1047.7)+(1.094868+(0.032181-0.534327))+0--87.3--0.0445229999999911</f>
        <v>1250.1372450000003</v>
      </c>
      <c r="T346" s="3">
        <f>2128.6+(70.3-1044.7)+(-2.171172+(-0.071706--1.065594))+0--86.6-0.0883320000000138</f>
        <v>1239.5343839999996</v>
      </c>
      <c r="U346" s="3">
        <f>2131.8+(68.6-1050.9)+(0+(0-0))+0--87-0</f>
        <v>1236.5</v>
      </c>
      <c r="V346" s="3">
        <f>2230+(71-1150.7)+(-2.2746+(-0.07242--1.173714))+0--88.4-0.0901680000000141</f>
        <v>1237.4365260000002</v>
      </c>
      <c r="W346" s="3">
        <f>2299.3+(60.5-1166.4)+(-2.345286+(-0.06171--1.189728))+0--87.9-0.089658000000014</f>
        <v>1279.993074</v>
      </c>
      <c r="X346" s="3">
        <f>2311.5+(69.1-1070.5)+(-3.536595+(-0.105723--1.637865))+0--180.4-0.27601200000001</f>
        <v>1488.219535</v>
      </c>
      <c r="Y346" s="3">
        <f>2321.7+(74.1-1130)+(-3.552201+(-0.113373--1.7289))+0--231.1-0.353583000000013</f>
        <v>1494.6097429999995</v>
      </c>
      <c r="Z346" s="3">
        <f>2326.5+(72.9-1182.5)+(-2.37303+(-0.074358--1.20615))+0--233-0.237660000000037</f>
        <v>1448.421102</v>
      </c>
      <c r="AA346" s="3">
        <f>2329.5+(74.9-1211.1)+(-4.75218+(-0.152796--2.470644))+0--234.1-0.47756399999999</f>
        <v>1424.488104</v>
      </c>
      <c r="AB346" s="3">
        <f>2304.9+(72.2-1253.5)+(-7.052994+(-0.220932--3.83571))+0--234.6-0.717876000000027</f>
        <v>1354.0439080000001</v>
      </c>
      <c r="AC346" s="3">
        <f>2129.8+(58.6-1141.2)+(-2.172396+(-0.059772--1.164024))+0--193.9-0.197778000000031</f>
        <v>1239.8340780000001</v>
      </c>
      <c r="AD346">
        <f t="shared" si="5"/>
        <v>29682.042364000001</v>
      </c>
      <c r="AE346" s="3">
        <f>2321.6+(81.5-1094.5)+(0+(0-0))+0--229-0</f>
        <v>1537.6</v>
      </c>
    </row>
    <row r="347" spans="1:31" s="2" customFormat="1" x14ac:dyDescent="0.25">
      <c r="A347">
        <v>89</v>
      </c>
      <c r="B347">
        <v>12</v>
      </c>
      <c r="C347">
        <v>11</v>
      </c>
      <c r="D347">
        <v>5</v>
      </c>
      <c r="E347">
        <v>1</v>
      </c>
      <c r="F347" s="3">
        <f>2057.5+(61.8-1134.9)+(-4.1973+(-0.126072--2.315196))+0--159.5-0.325379999999993</f>
        <v>1141.5664439999998</v>
      </c>
      <c r="G347" s="3">
        <f>1852+(67.2-956.3)+(-3.77808+(-0.137088--1.950852))+0--107.2-0.218687999999995</f>
        <v>1067.9169960000002</v>
      </c>
      <c r="H347" s="3">
        <f>1792.8+(73.5-922.2)+(-1.828656+(-0.07497--0.940644))+0--90.7-0.0925140000000145</f>
        <v>1033.744504</v>
      </c>
      <c r="I347" s="3">
        <f>1760.8+(76-906.1)+(-1.796016+(-0.07752--0.924222))+0--89.6-0.0913920000000143</f>
        <v>1019.259294</v>
      </c>
      <c r="J347" s="3">
        <f>1768.1+(73.8-912.5)+(2.705193+(0.112914-1.396125))+0--89.7--0.137241000000005</f>
        <v>1020.6592229999999</v>
      </c>
      <c r="K347" s="3">
        <f>1760.9+(73.1-862.9)+(-1.796118+(-0.074562--0.880158))+0--89.2-0.0909840000000142</f>
        <v>1059.2184940000002</v>
      </c>
      <c r="L347" s="3">
        <f>1764.3+(75.2-815.1)+(0+(0-0))+0--91.5-0</f>
        <v>1115.9000000000001</v>
      </c>
      <c r="M347" s="3">
        <f>1848.4+(74.4-854.1)+(0.942684+(0.037944-0.435591))+0--95.8--0.0488579999999903</f>
        <v>1165.093895</v>
      </c>
      <c r="N347" s="3">
        <f>2172.6+(67.3-1177.3)+(-1.108026+(-0.034323--0.600423))+0--196-0.0999599999999801</f>
        <v>1257.9581139999998</v>
      </c>
      <c r="O347" s="3">
        <f>2288.7+(76.2-1269.2)+(2.334474+(0.077724-1.294584))+0--215--0.219300000000034</f>
        <v>1312.0369139999998</v>
      </c>
      <c r="P347" s="3">
        <f>2254.3+(71.5-1247.6)+(-1.149693+(-0.036465--0.636276))+0--233.1-0.118880999999976</f>
        <v>1310.6312370000003</v>
      </c>
      <c r="Q347" s="3">
        <f>2293.8+(66.2-1281.8)+(-2.339676+(-0.067524--1.307436))+0--232.6-0.237252000000037</f>
        <v>1309.462984</v>
      </c>
      <c r="R347" s="3">
        <f>2297.7+(59.5-1305.8)+(-2.343654+(-0.06069--1.331916))+0--231.8-0.236436000000037</f>
        <v>1281.8911359999997</v>
      </c>
      <c r="S347" s="3">
        <f>2207.1+(63.7-1156.5)+(-1.125621+(-0.032487--0.589815))+0--169.6-0.0864959999999828</f>
        <v>1283.2452109999999</v>
      </c>
      <c r="T347" s="3">
        <f>2101.8+(74.1-1064.5)+(-2.143836+(-0.075582--1.08579))+0--158.6-0.161772000000025</f>
        <v>1268.7046</v>
      </c>
      <c r="U347" s="3">
        <f>2038.4+(72.3-1019)+(2.079168+(0.073746-1.03938))+0--161.5--0.164730000000026</f>
        <v>1254.4782640000001</v>
      </c>
      <c r="V347" s="3">
        <f>2078.9+(66.3-1103.6)+(-4.240956+(-0.135252--2.251344))+0--230.6-0.47042399999999</f>
        <v>1269.6047120000001</v>
      </c>
      <c r="W347" s="3">
        <f>2110.7+(60.7-1118.4)+(-4.305828+(-0.123828--2.281536))+0--232.1-0.47348399999999</f>
        <v>1282.4783959999995</v>
      </c>
      <c r="X347" s="3">
        <f>2335+(80.1-1137)+(-4.7634+(-0.163404--2.31948))+0--234.1-0.47756399999999</f>
        <v>1509.1151119999997</v>
      </c>
      <c r="Y347" s="3">
        <f>2357.9+(84.2-1128.3)+(-6.012645+(-0.21471--2.877165))+0--235.6-0.600779999999966</f>
        <v>1545.44903</v>
      </c>
      <c r="Z347" s="3">
        <f>2310.5+(82.8-1142.9)+(-7.07013+(-0.253368--3.497274))+0--237.4-0.726444000000027</f>
        <v>1483.2473319999999</v>
      </c>
      <c r="AA347" s="3">
        <f>2283.6+(77.2-1156.9)+(-1.164636+(-0.039372--0.590019))+0--237.5-0.121124999999976</f>
        <v>1440.664886</v>
      </c>
      <c r="AB347" s="3">
        <f>2240.4+(70.9-1178.9)+(-4.570416+(-0.144636--2.404956))+0--238.3-0.48613199999999</f>
        <v>1367.9037720000001</v>
      </c>
      <c r="AC347" s="3">
        <f>2223.1+(64.5-1274.6)+(-5.668905+(-0.164475--3.25023))+0--240.1-0.612254999999965</f>
        <v>1249.904595</v>
      </c>
      <c r="AD347">
        <f t="shared" si="5"/>
        <v>30050.135144999997</v>
      </c>
      <c r="AE347" s="3">
        <f>2361.6+(98.8-1085.1)+(0+(0-0))+0--234-0</f>
        <v>1609.3</v>
      </c>
    </row>
    <row r="348" spans="1:31" s="2" customFormat="1" x14ac:dyDescent="0.25">
      <c r="A348">
        <v>89</v>
      </c>
      <c r="B348">
        <v>12</v>
      </c>
      <c r="C348">
        <v>12</v>
      </c>
      <c r="D348">
        <v>6</v>
      </c>
      <c r="E348">
        <v>1</v>
      </c>
      <c r="F348" s="3">
        <f>2223.3+(62.1-1348.8)+(-5.669415+(-0.158355--3.43944))+0--241.1-0.614804999999965</f>
        <v>1174.6968650000001</v>
      </c>
      <c r="G348" s="3">
        <f>2043.8+(61.4-1141.8)+(-3.127014+(-0.093942--1.746954))+0--142.5-0.218025000000008</f>
        <v>1104.2079730000003</v>
      </c>
      <c r="H348" s="3">
        <f>1959.7+(62.3-1047.8)+(-0.999447+(-0.031773--0.534378))+0--90.9-0.0463589999999908</f>
        <v>1064.5567990000002</v>
      </c>
      <c r="I348" s="3">
        <f>1909.6+(70.3-1024.3)+(-4.86948+(-0.179265--2.611965))+0--90.7-0.231284999999987</f>
        <v>1043.6319349999999</v>
      </c>
      <c r="J348" s="3">
        <f>1910+(73.3-1031)+(4.8705+(0.186915-2.62905))+0--91.1--0.232304999999987</f>
        <v>1046.0606699999998</v>
      </c>
      <c r="K348" s="3">
        <f>1906.4+(72.9-993.6)+(1.944528+(0.074358-1.013472))+0--99.3--0.101286000000016</f>
        <v>1086.1067</v>
      </c>
      <c r="L348" s="3">
        <f>1888.8+(72.5-992.5)+(-0.963288+(-0.036975--0.506175))+0--166.6-0.0849659999999831</f>
        <v>1134.820946</v>
      </c>
      <c r="M348" s="3">
        <f>2044.7+(70.4-1131.7)+(1.042797+(0.035904-0.577167))+0--221.2--0.112811999999978</f>
        <v>1205.2143460000002</v>
      </c>
      <c r="N348" s="3">
        <f>2308.8+(76.1-1313.2)+(2.354976+(0.077622-1.339464))+0--238--0.242760000000038</f>
        <v>1311.0358940000001</v>
      </c>
      <c r="O348" s="3">
        <f>2335.2+(144.5-1227.5)+(0+(0-0))+0--235.4-0</f>
        <v>1487.6</v>
      </c>
      <c r="P348" s="3">
        <f>2418.8+(133.5-1272.7)+(2.467176+(0.13617-1.298154))+0--237--0.241740000000038</f>
        <v>1518.1469320000001</v>
      </c>
      <c r="Q348" s="3">
        <f>2428.8+(129.3-1378.5)+(1.238688+(0.065943-0.703035))+0--237.7--0.121226999999976</f>
        <v>1418.022823</v>
      </c>
      <c r="R348" s="3">
        <f>2406.2+(51.6-1372.7)+(-2.454324+(-0.052632--1.400154))+0--236.9-0.241638000000038</f>
        <v>1320.6515599999998</v>
      </c>
      <c r="S348" s="3">
        <f>2360.5+(52.9-1341.9)+(-7.22313+(-0.161874--4.106214))+0--236-0.722160000000027</f>
        <v>1303.4990499999999</v>
      </c>
      <c r="T348" s="3">
        <f>2360.5+(50.9-1375.6)+(-4.81542+(-0.103836--2.806224))+0--236.5-0.48245999999999</f>
        <v>1269.7045080000003</v>
      </c>
      <c r="U348" s="3">
        <f>2307.3+(47.9-1337.2)+(0+(0-0))+0--237.7-0</f>
        <v>1255.7000000000003</v>
      </c>
      <c r="V348" s="3">
        <f>2367.7+(46.1-1380.6)+(-2.415054+(-0.047022--1.408212))+0--238.2-0.242964000000038</f>
        <v>1270.1031719999999</v>
      </c>
      <c r="W348" s="3">
        <f>2470.5+(46.9-1452.3)+(1.259955+(0.023919-0.740673))+0--237.8--0.121277999999976</f>
        <v>1303.5644790000001</v>
      </c>
      <c r="X348" s="3">
        <f>2625.6+(63.5-1402.7)+(-1.339056+(-0.032385--0.715377))+0--237.6-0.121175999999976</f>
        <v>1523.2227599999999</v>
      </c>
      <c r="Y348" s="3">
        <f>2658.9+(68.9-1418.6)+(-8.136234+(-0.210834--4.340916))+0--239.2-0.731952000000028</f>
        <v>1543.6618960000003</v>
      </c>
      <c r="Z348" s="3">
        <f>2635.4+(66.8-1447.3)+(-2.688108+(-0.068136--1.476246))+0--240-0.244800000000038</f>
        <v>1493.3752020000002</v>
      </c>
      <c r="AA348" s="3">
        <f>2351.2+(85.2-1219.6)+(-3.597336+(-0.130356--1.865988))+0--240.7-0.368271000000014</f>
        <v>1455.270025</v>
      </c>
      <c r="AB348" s="3">
        <f>2308.1+(82-1257.8)+(-5.885655+(-0.2091--3.20739))+0--241.4-0.615569999999965</f>
        <v>1370.1970650000001</v>
      </c>
      <c r="AC348" s="3">
        <f>2313.1+(76.6-1346.6)+(-5.898405+(-0.19533--3.43383))+0--242.7-0.618884999999965</f>
        <v>1282.5212100000001</v>
      </c>
      <c r="AD348">
        <f t="shared" si="5"/>
        <v>30985.572810000001</v>
      </c>
      <c r="AE348" s="3">
        <f>2677+(67.2-1393.3)+(0+(0-0))+0--239-0</f>
        <v>1589.9</v>
      </c>
    </row>
    <row r="349" spans="1:31" s="2" customFormat="1" x14ac:dyDescent="0.25">
      <c r="A349">
        <v>89</v>
      </c>
      <c r="B349">
        <v>12</v>
      </c>
      <c r="C349">
        <v>13</v>
      </c>
      <c r="D349">
        <v>7</v>
      </c>
      <c r="E349">
        <v>1</v>
      </c>
      <c r="F349" s="3">
        <f>2269.7+(68.9-1342.5)+(-5.787735+(-0.175695--3.423375))+0--238.9-0.609194999999965</f>
        <v>1231.8507499999998</v>
      </c>
      <c r="G349" s="3">
        <f>2194+(55.6-1199.5)+(-3.35682+(-0.085068--1.835235))+0--91.4-0.139842000000005</f>
        <v>1139.7535049999999</v>
      </c>
      <c r="H349" s="3">
        <f>2172.2+(53.8-1216.5)+(-4.431288+(-0.109752--2.48166))+0--90.6-0.184823999999996</f>
        <v>1097.8557959999998</v>
      </c>
      <c r="I349" s="3">
        <f>1959.2+(83.4-1059.5)+(2.997576+(0.127602-1.621035))+0--90.4--0.138312000000005</f>
        <v>1075.1424550000002</v>
      </c>
      <c r="J349" s="3">
        <f>1990.5+(80-1086.4)+(1.015155+(0.0408-0.554064))+0--90.3--0.0460529999999908</f>
        <v>1074.947944</v>
      </c>
      <c r="K349" s="3">
        <f>2020.5+(61-1068.8)+(2.06091+(0.06222-1.090176))+0--90.4--0.0922080000000144</f>
        <v>1104.2251620000002</v>
      </c>
      <c r="L349" s="3">
        <f>2012.6+(57.2-1056.7)+(-4.105704+(-0.116688--2.155668))+0--90.6-0.184823999999996</f>
        <v>1101.4484519999999</v>
      </c>
      <c r="M349" s="3">
        <f>2031.3+(53.9-1035.8)+(1.035963+(0.027489-0.528258))+0--91.1--0.0464609999999908</f>
        <v>1141.081655</v>
      </c>
      <c r="N349" s="3">
        <f>2084+(51.4-997.8)+(0+(0-0))+0--90.8-0</f>
        <v>1228.3999999999999</v>
      </c>
      <c r="O349" s="3">
        <f>2188+(52.8-1030.7)+(0+(0-0))+0--90.8-0</f>
        <v>1300.8999999999999</v>
      </c>
      <c r="P349" s="3">
        <f>2329.5+(51.8-1146.5)+(1.188045+(0.026418-0.584715))+0--114.2--0.0582419999999884</f>
        <v>1349.6879900000001</v>
      </c>
      <c r="Q349" s="3">
        <f>2413.7+(55.1-1256.2)+(0+(0-0))+0--159.4-0</f>
        <v>1371.9999999999998</v>
      </c>
      <c r="R349" s="3">
        <f>2406.6+(50.3-1329.2)+(0+(0-0))+0--159.7-0</f>
        <v>1287.3999999999999</v>
      </c>
      <c r="S349" s="3">
        <f>2390.5+(51.5-1340)+(0+(0-0))+0--159.6-0</f>
        <v>1261.5999999999999</v>
      </c>
      <c r="T349" s="3">
        <f>2213.5+(48.7-1185.5)+(0+(0-0))+0--159.4-0</f>
        <v>1236.1000000000001</v>
      </c>
      <c r="U349" s="3">
        <f>2160.4+(49.3-1136.9)+(0+(0-0))+0--159.6-0</f>
        <v>1232.3999999999999</v>
      </c>
      <c r="V349" s="3">
        <f>2171.7+(49.3-1142.3)+(0+(0-0))+0--160.5-0</f>
        <v>1239.1999999999998</v>
      </c>
      <c r="W349" s="3">
        <f>2265.8+(51.2-1207.5)+(0+(0-0))+0--159.8-0</f>
        <v>1269.3000000000002</v>
      </c>
      <c r="X349" s="3">
        <f>2438.1+(73.9-1235.6)+(0+(0-0))+0--227.2-0</f>
        <v>1503.6000000000001</v>
      </c>
      <c r="Y349" s="3">
        <f>2464.2+(79.2-1252.6)+(0+(0-0))+0--238.2-0</f>
        <v>1529</v>
      </c>
      <c r="Z349" s="3">
        <f>2358.3+(71.3-1182.8)+(0+(0-0))+0--239.3-0</f>
        <v>1486.1000000000001</v>
      </c>
      <c r="AA349" s="3">
        <f>2501.6+(76.7-1371.6)+(0+(0-0))+0--241-0</f>
        <v>1447.7</v>
      </c>
      <c r="AB349" s="3">
        <f>2413.4+(74.2-1351.1)+(0+(0-0))+0--241.3-0</f>
        <v>1377.8000000000002</v>
      </c>
      <c r="AC349" s="3">
        <f>2357.8+(65.4-1380.4)+(0+(0-0))+0--242.5-0</f>
        <v>1285.3000000000002</v>
      </c>
      <c r="AD349">
        <f t="shared" si="5"/>
        <v>30372.793708999994</v>
      </c>
      <c r="AE349" s="3">
        <f>2506.5+(85.2-1272.2)+(0+(0-0))+0--239-0</f>
        <v>1558.5</v>
      </c>
    </row>
    <row r="350" spans="1:31" s="2" customFormat="1" x14ac:dyDescent="0.25">
      <c r="A350">
        <v>89</v>
      </c>
      <c r="B350">
        <v>12</v>
      </c>
      <c r="C350">
        <v>14</v>
      </c>
      <c r="D350">
        <v>1</v>
      </c>
      <c r="E350">
        <v>1</v>
      </c>
      <c r="F350" s="3">
        <f>2080.3+(61.7-1181.7)+(-3.182859+(-0.094401--1.808001))+0--236.1-0.361233000000014</f>
        <v>1194.569508</v>
      </c>
      <c r="G350" s="3">
        <f>1802.7+(65.2-844.3)+(2.758131+(0.099756-1.291779))+0--91.6--0.140148000000005</f>
        <v>1116.906256</v>
      </c>
      <c r="H350" s="3">
        <f>1751.9+(68.6-827.3)+(0+(0-0))+0--91.7-0</f>
        <v>1084.9000000000001</v>
      </c>
      <c r="I350" s="3">
        <f>1660.9+(90.1-773.8)+(4.235295+(0.229755-1.97319))+0--91.3--0.232814999999987</f>
        <v>1071.2246750000002</v>
      </c>
      <c r="J350" s="3">
        <f>1670+(87.1-778.1)+(5.1102+(0.266526-2.380986))+0--91.6--0.280296000000011</f>
        <v>1073.8760359999999</v>
      </c>
      <c r="K350" s="3">
        <f>1658.1+(82.5-709.4)+(0+(0-0))+0--91.3-0</f>
        <v>1122.4999999999998</v>
      </c>
      <c r="L350" s="3">
        <f>1664.8+(69.9-648.5)+(0+(0-0))+0--89.9-0</f>
        <v>1176.0999999999999</v>
      </c>
      <c r="M350" s="3">
        <f>1657.1+(82-587)+(0+(0-0))+0--90.1-0</f>
        <v>1242.1999999999998</v>
      </c>
      <c r="N350" s="3">
        <f>1664.7+(88.7-514.8)+(0+(0-0))+0--100.1-0</f>
        <v>1338.7</v>
      </c>
      <c r="O350" s="3">
        <f>1852.4+(91.7-690)+(0+(0-0))+0--161.9-0</f>
        <v>1416.0000000000002</v>
      </c>
      <c r="P350" s="3">
        <f>1994.8+(79.8-834.6)+(0+(0-0))+0--193.8-0</f>
        <v>1433.8</v>
      </c>
      <c r="Q350" s="3">
        <f>2002.3+(87.7-879.1)+(0+(0-0))+0--239.6-0</f>
        <v>1450.5</v>
      </c>
      <c r="R350" s="3">
        <f>1994.6+(69.4-923.2)+(0+(0-0))+0--239.7-0</f>
        <v>1380.4999999999998</v>
      </c>
      <c r="S350" s="3">
        <f>1989+(70-931)+(0+(0-0))+0--240.9-0</f>
        <v>1368.9</v>
      </c>
      <c r="T350" s="3">
        <f>1945.2+(68.7-862.6)+(0+(0-0))+0--241.7-0</f>
        <v>1393.0000000000002</v>
      </c>
      <c r="U350" s="3">
        <f>1911.6+(70.9-813.6)+(0+(0-0))+0--227.5-0</f>
        <v>1396.3999999999999</v>
      </c>
      <c r="V350" s="3">
        <f>1911.6+(69.3-789.1)+(0+(0-0))+0--169.4-0</f>
        <v>1361.1999999999998</v>
      </c>
      <c r="W350" s="3">
        <f>1952.1+(67.9-810.6)+(0+(0-0))+0--169.6-0</f>
        <v>1378.9999999999998</v>
      </c>
      <c r="X350" s="3">
        <f>2189.3+(85.9-880.7)+(0+(0-0))+0--205.1-0</f>
        <v>1599.6</v>
      </c>
      <c r="Y350" s="3">
        <f>2196.6+(89.4-912.2)+(0+(0-0))+0--243.8-0</f>
        <v>1617.5999999999997</v>
      </c>
      <c r="Z350" s="3">
        <f>1851.1+(73.5-528.1)+(0+(0-0))+0--145.6-0</f>
        <v>1542.1</v>
      </c>
      <c r="AA350" s="3">
        <f>1812.2+(74.6-473.1)+(0+(0-0))+0--81-0</f>
        <v>1494.7</v>
      </c>
      <c r="AB350" s="3">
        <f>1805.8+(70.3-539.9)+(0+(0-0))+0--86-0</f>
        <v>1422.2</v>
      </c>
      <c r="AC350" s="3">
        <f>1804.2+(62.9-644.6)+(0+(0-0))+0--86.5-0</f>
        <v>1309</v>
      </c>
      <c r="AD350">
        <f t="shared" si="5"/>
        <v>31985.476474999999</v>
      </c>
      <c r="AE350" s="3">
        <f>2278.5+(97.5-952.2)+(0+(0-0))+0--201-0</f>
        <v>1624.8</v>
      </c>
    </row>
    <row r="351" spans="1:31" s="2" customFormat="1" x14ac:dyDescent="0.25">
      <c r="A351">
        <v>89</v>
      </c>
      <c r="B351">
        <v>12</v>
      </c>
      <c r="C351">
        <v>15</v>
      </c>
      <c r="D351">
        <v>2</v>
      </c>
      <c r="E351">
        <v>1</v>
      </c>
      <c r="F351" s="3">
        <f>1786.4+(82.1-744.2)+(0+(0-0))+0--88-0</f>
        <v>1212.3000000000002</v>
      </c>
      <c r="G351" s="3">
        <f>1788.1+(95.1-822.3)+(0+(0-0))+0--88-0</f>
        <v>1148.9000000000001</v>
      </c>
      <c r="H351" s="3">
        <f>1807.4+(97.9-893.9)+(0+(0-0))+0--88-0</f>
        <v>1099.4000000000001</v>
      </c>
      <c r="I351" s="3">
        <f>1769.1+(140.2-835.6)+(0+(0-0))+0--89-0</f>
        <v>1162.6999999999998</v>
      </c>
      <c r="J351" s="3">
        <f>1685.2+(166.3-788.2)+(0+(0-0))+0--90-0</f>
        <v>1153.3</v>
      </c>
      <c r="K351" s="3">
        <f>1727.2+(125.7-803.2)+(0+(0-0))+0--87-0</f>
        <v>1136.7</v>
      </c>
      <c r="L351" s="3">
        <f>1768.7+(136.3-776.5)+(0+(0-0))+0--83.7-0</f>
        <v>1212.2</v>
      </c>
      <c r="M351" s="3">
        <f>1786.6+(136.4-727.7)+(0+(0-0))+0--83.2-0</f>
        <v>1278.4999999999998</v>
      </c>
      <c r="N351" s="3">
        <f>1777.8+(114.7-595.8)+(0+(0-0))+0--83-0</f>
        <v>1379.7</v>
      </c>
      <c r="O351" s="3">
        <f>1785.4+(113-569.7)+(0+(0-0))+0--85.4-0</f>
        <v>1414.1000000000001</v>
      </c>
      <c r="P351" s="3">
        <f>1858+(93.5-651.3)+(0+(0-0))+0--190.5-0</f>
        <v>1490.7</v>
      </c>
      <c r="Q351" s="3">
        <f>1793.7+(92.6-683)+(0+(0-0))+0--240.9-0</f>
        <v>1444.2000000000003</v>
      </c>
      <c r="R351" s="3">
        <f>1830.7+(75.9-610.1)+(-3.734628+(-0.154836--1.244604))+0--170.9-0.348635999999993</f>
        <v>1464.406504</v>
      </c>
      <c r="S351" s="3">
        <f>1708.3+(92.1-489.2)+(-0.871233+(-0.046971--0.249492))+0--100.5-0.0512549999999898</f>
        <v>1410.9800329999998</v>
      </c>
      <c r="T351" s="3">
        <f>1713.6+(113.3-520.9)+(-2.621808+(-0.173349--0.796977))+0--91.3-0.139689000000005</f>
        <v>1395.1621309999998</v>
      </c>
      <c r="U351" s="3">
        <f>1712.3+(93.9-504)+(-1.746546+(-0.095778--0.51408))+0--90-0.0918000000000144</f>
        <v>1390.7799559999999</v>
      </c>
      <c r="V351" s="3">
        <f>1844.7+(72.2-534.6)+(-1.881594+(-0.073644--0.545292))+0--89.3-0.0910860000000142</f>
        <v>1470.098968</v>
      </c>
      <c r="W351" s="3">
        <f>2026.4+(60.6-821.7)+(-6.200784+(-0.185436--2.514402))+0--131.6-0.402696000000015</f>
        <v>1392.6254859999999</v>
      </c>
      <c r="X351" s="3">
        <f>2211.4+(78.8-899.3)+(-2.255628+(-0.080376--0.917286))+0--232.9-0.237558000000037</f>
        <v>1622.1437240000002</v>
      </c>
      <c r="Y351" s="3">
        <f>2255.5+(80.6-929.2)+(-5.751525+(-0.20553--2.36946))+0--234.4-0.597719999999966</f>
        <v>1637.1146850000002</v>
      </c>
      <c r="Z351" s="3">
        <f>2237.2+(79.3-969.4)+(-5.70486+(-0.202215--2.47197))+0--233.2-0.594659999999966</f>
        <v>1576.270235</v>
      </c>
      <c r="AA351" s="3">
        <f>2236.9+(77.7-1006.9)+(-3.422457+(-0.118881--1.540557))+0--234.7-0.359091000000014</f>
        <v>1540.0401280000003</v>
      </c>
      <c r="AB351" s="3">
        <f>2149.9+(75-1000.4)+(-1.096449+(-0.03825--0.510204))+0--235-0.119849999999976</f>
        <v>1458.7556549999999</v>
      </c>
      <c r="AC351" s="3">
        <f>2015+(64.9-938.5)+(-5.13825+(-0.165495--2.393175))+0--211.4-0.539069999999969</f>
        <v>1349.3503600000001</v>
      </c>
      <c r="AD351">
        <f t="shared" si="5"/>
        <v>32840.427865000005</v>
      </c>
      <c r="AE351" s="3">
        <f>2264+(94.3-919)+(0+(0-0))+0--234-0</f>
        <v>1673.3</v>
      </c>
    </row>
    <row r="352" spans="1:31" s="2" customFormat="1" x14ac:dyDescent="0.25">
      <c r="A352">
        <v>89</v>
      </c>
      <c r="B352">
        <v>12</v>
      </c>
      <c r="C352">
        <v>16</v>
      </c>
      <c r="D352">
        <v>3</v>
      </c>
      <c r="E352">
        <v>1</v>
      </c>
      <c r="F352" s="3">
        <f>1900.6+(66.5-894.9)+(-2.907918+(-0.101745--1.369197))+0--80.5-0.123165000000005</f>
        <v>1150.9363689999998</v>
      </c>
      <c r="G352" s="3">
        <f>1902.4+(62.7-885)+(-3.880896+(-0.127908--1.8054))+0--81.9-0.167075999999996</f>
        <v>1159.6295200000002</v>
      </c>
      <c r="H352" s="3">
        <f>1761.4+(72.2-786.9)+(0.898314+(0.036822-0.401319))+0--81.6--0.0416159999999917</f>
        <v>1128.8754330000002</v>
      </c>
      <c r="I352" s="3">
        <f>1665+(83-726.2)+(0.84915+(0.04233-0.370362))+0--81.5--0.0415649999999917</f>
        <v>1103.8626829999998</v>
      </c>
      <c r="J352" s="3">
        <f>1665.5+(81.4-722.9)+(-1.69881+(-0.083028--0.737358))+0--81.3-0.082926000000013</f>
        <v>1104.1725939999999</v>
      </c>
      <c r="K352" s="3">
        <f>1738.4+(81.3-749.4)+(4.43292+(0.207315-1.91097))+0--81.5--0.207824999999988</f>
        <v>1154.7370900000001</v>
      </c>
      <c r="L352" s="3">
        <f>1753.6+(71.3-709.3)+(0+(0-0))+0--81.7-0</f>
        <v>1197.3</v>
      </c>
      <c r="M352" s="3">
        <f>1880+(73-752.5)+(0+(0-0))+0--82.1-0</f>
        <v>1282.5999999999999</v>
      </c>
      <c r="N352" s="3">
        <f>2086.6+(70.5-850.4)+(0+(0-0))+0--81.9-0</f>
        <v>1388.6</v>
      </c>
      <c r="O352" s="3">
        <f>2071.9+(72.6-795.7)+(0+(0-0))+0--81.9-0</f>
        <v>1430.7000000000003</v>
      </c>
      <c r="P352" s="3">
        <f>2131.2+(77.2-880.1)+(0+(0-0))+0--133.1-0</f>
        <v>1461.3999999999996</v>
      </c>
      <c r="Q352" s="3">
        <f>2124.9+(77.5-957.2)+(0+(0-0))+0--224.1-0</f>
        <v>1469.3</v>
      </c>
      <c r="R352" s="3">
        <f>2078.6+(67.1-952.3)+(0+(0-0))+0--224.4-0</f>
        <v>1417.8000000000002</v>
      </c>
      <c r="S352" s="3">
        <f>1973.3+(73.1-790.8)+(-1.006383+(-0.037281--0.403308))+0--156.5-0.0798149999999841</f>
        <v>1411.3798289999997</v>
      </c>
      <c r="T352" s="3">
        <f>1947.1+(71-706.6)+(-1.986042+(-0.07242--0.720732))+0--82-0.0836400000000131</f>
        <v>1392.07863</v>
      </c>
      <c r="U352" s="3">
        <f>1909.9+(72.8-680.9)+(2.922147+(0.111384-1.041777))+0--82--0.125460000000005</f>
        <v>1385.9172140000001</v>
      </c>
      <c r="V352" s="3">
        <f>1880.5+(71.4-651.8)+(-3.83622+(-0.145656--1.329672))+0--81.9-0.167075999999996</f>
        <v>1379.1807200000001</v>
      </c>
      <c r="W352" s="3">
        <f>1921.8+(62.8-813.8)+(-5.880708+(-0.192168--2.490228))+0--216.9-0.663714000000025</f>
        <v>1383.453638</v>
      </c>
      <c r="X352" s="3">
        <f>2247.8+(72.8-941.4)+(-2.292756+(-0.074256--0.960228))+0--224.8-0.229296000000036</f>
        <v>1602.3639200000002</v>
      </c>
      <c r="Y352" s="3">
        <f>2323.8+(73.2-988.5)+(-3.555414+(-0.111996--1.512405))+0--225.8-0.345474000000013</f>
        <v>1631.7995210000001</v>
      </c>
      <c r="Z352" s="3">
        <f>2346.7+(72.4-1060.8)+(-8.377719+(-0.258468--3.787056))+0--226.9-0.810033000000003</f>
        <v>1579.5408359999999</v>
      </c>
      <c r="AA352" s="3">
        <f>2298.7+(74.6-1044.9)+(-4.689348+(-0.152184--2.131596))+0--227-0.46307999999999</f>
        <v>1552.2269839999997</v>
      </c>
      <c r="AB352" s="3">
        <f>2167.1+(70.1-1003.1)+(-3.315663+(-0.107253--1.534743))+0--228-0.348840000000013</f>
        <v>1459.8629869999997</v>
      </c>
      <c r="AC352" s="3">
        <f>1995.2+(60.9-941.9)+(-5.08776+(-0.155295--2.401845))+0--230.3-0.587264999999967</f>
        <v>1341.0715250000001</v>
      </c>
      <c r="AD352">
        <f t="shared" si="5"/>
        <v>32568.789493000004</v>
      </c>
      <c r="AE352" s="3">
        <f>2271+(84.2-937.1)+(0+(0-0))+0--232-0</f>
        <v>1650.1</v>
      </c>
    </row>
    <row r="353" spans="1:31" s="2" customFormat="1" x14ac:dyDescent="0.25">
      <c r="A353">
        <v>89</v>
      </c>
      <c r="B353">
        <v>12</v>
      </c>
      <c r="C353">
        <v>17</v>
      </c>
      <c r="D353">
        <v>4</v>
      </c>
      <c r="E353">
        <v>1</v>
      </c>
      <c r="F353" s="3">
        <f>1890.2+(58.7-955.8)+(-4.82001+(-0.149685--2.43729))+0--237.5-0.605624999999966</f>
        <v>1227.4619700000001</v>
      </c>
      <c r="G353" s="3">
        <f>1827.3+(57.9-960.8)+(-5.591538+(-0.177174--2.940048))+0--237.7-0.727362000000027</f>
        <v>1158.5439739999999</v>
      </c>
      <c r="H353" s="3">
        <f>1686.9+(78.7-854)+(-1.720638+(-0.080274--0.87108))+0--236.6-0.241332000000038</f>
        <v>1147.028836</v>
      </c>
      <c r="I353" s="3">
        <f>1697.7+(81.1-820.8)+(0.865827+(0.041361-0.418608))+0--177.4--0.090473999999982</f>
        <v>1135.9790540000001</v>
      </c>
      <c r="J353" s="3">
        <f>1695.5+(94.7-743.3)+(-0.864705+(-0.048297--0.379083))+0--89.1-0.045440999999991</f>
        <v>1135.42064</v>
      </c>
      <c r="K353" s="3">
        <f>1703.1+(77.5-692.2)+(1.737162+(0.07905-0.706044))+0--88.9--0.0906780000000142</f>
        <v>1178.5008459999999</v>
      </c>
      <c r="L353" s="3">
        <f>1724.8+(64.2-653)+(-1.759296+(-0.065484--0.66606))+0--89.1-0.0908820000000142</f>
        <v>1223.850398</v>
      </c>
      <c r="M353" s="3">
        <f>1901.8+(62.4-752.4)+(-0.969918+(-0.031824--0.383724))+0--93.2-0.0475319999999905</f>
        <v>1304.3344500000001</v>
      </c>
      <c r="N353" s="3">
        <f>2051+(87-958.6)+(-1.04601+(-0.04437--0.488886))+0--231-0.117809999999977</f>
        <v>1409.6806960000001</v>
      </c>
      <c r="O353" s="3">
        <f>2090.3+(87.3-946.8)+(-2.132106+(-0.089046--0.965736))+0--230-0.234600000000037</f>
        <v>1459.3099840000002</v>
      </c>
      <c r="P353" s="3">
        <f>2101.6+(87.4-926.9)+(-3.215448+(-0.133722--1.418157))+0--228.2-0.349146000000013</f>
        <v>1488.019841</v>
      </c>
      <c r="Q353" s="3">
        <f>2094.3+(83.7-905.3)+(-1.068093+(-0.042687--0.461703))+0--225.2-0.114851999999977</f>
        <v>1497.1360710000004</v>
      </c>
      <c r="R353" s="3">
        <f>2020.6+(74.6-872.6)+(-2.061012+(-0.076092--0.890052))+0--236.5-0.241230000000038</f>
        <v>1457.6117179999999</v>
      </c>
      <c r="S353" s="3">
        <f>1902.2+(76.2-766.8)+(-1.940244+(-0.077724--0.782136))+0--232.7-0.237354000000037</f>
        <v>1442.826814</v>
      </c>
      <c r="T353" s="3">
        <f>1924.7+(70.6-787.8)+(-1.963194+(-0.072012--0.803556))+0--232.4-0.237048000000037</f>
        <v>1438.4313020000002</v>
      </c>
      <c r="U353" s="3">
        <f>1945.4+(73.1-818.4)+(-0.992154+(-0.037281--0.417384))+0--233.6-0.119135999999976</f>
        <v>1432.968813</v>
      </c>
      <c r="V353" s="3">
        <f>1935.9+(72.1-811)+(0+(0-0))+0--236.6-0</f>
        <v>1433.6</v>
      </c>
      <c r="W353" s="3">
        <f>2116.4+(69.4-958.6)+(-5.39682+(-0.17697--2.44443))+0--239.4-0.610469999999965</f>
        <v>1462.8601700000002</v>
      </c>
      <c r="X353" s="3">
        <f>2262.5+(83.9-923.3)+(-1.153875+(-0.042789--0.470883))+0--240.6-0.122705999999976</f>
        <v>1662.8515129999998</v>
      </c>
      <c r="Y353" s="3">
        <f>2271.4+(85.2-932.4)+(-4.633656+(-0.173808--1.902096))+0--240-0.48959999999999</f>
        <v>1660.8050320000004</v>
      </c>
      <c r="Z353" s="3">
        <f>2194.4+(81.7-917.8)+(3.357432+(0.125001-1.404234))+0--240--0.367200000000014</f>
        <v>1600.7453990000001</v>
      </c>
      <c r="AA353" s="3">
        <f>2198.2+(85.5-964.9)+(1.121082+(0.043605-0.492099))+0--240.4--0.122603999999976</f>
        <v>1559.9951919999996</v>
      </c>
      <c r="AB353" s="3">
        <f>2204.7+(82-1047)+(-4.497588+(-0.16728--2.13588))+0--241.7-0.493067999999989</f>
        <v>1478.3779439999998</v>
      </c>
      <c r="AC353" s="3">
        <f>2203.1+(74.2-1149)+(-4.494324+(-0.151368--2.34396))+0--241.5-0.492659999999989</f>
        <v>1367.0056080000002</v>
      </c>
      <c r="AD353">
        <f t="shared" si="5"/>
        <v>33363.346265</v>
      </c>
      <c r="AE353" s="3">
        <f>2264+(91.8-888.8)+(0+(0-0))+0--245-0</f>
        <v>1712</v>
      </c>
    </row>
    <row r="354" spans="1:31" s="2" customFormat="1" x14ac:dyDescent="0.25">
      <c r="A354">
        <v>89</v>
      </c>
      <c r="B354">
        <v>12</v>
      </c>
      <c r="C354">
        <v>18</v>
      </c>
      <c r="D354">
        <v>5</v>
      </c>
      <c r="E354">
        <v>1</v>
      </c>
      <c r="F354" s="3">
        <f>2104.6+(76.2-1076.9)+(-3.220038+(-0.116586--1.647657))+0--174-0.26622000000001</f>
        <v>1275.9448129999998</v>
      </c>
      <c r="G354" s="3">
        <f>1930.4+(103-932.6)+(-4.92252+(-0.26265--2.37813))+0--94-0.239699999999986</f>
        <v>1191.7532600000002</v>
      </c>
      <c r="H354" s="3">
        <f>1797.3+(123.3-856.1)+(-0.916623+(-0.062883--0.436611))+0--94-0.0479399999999905</f>
        <v>1157.909165</v>
      </c>
      <c r="I354" s="3">
        <f>1773.4+(108.3-830.5)+(-3.617736+(-0.220932--1.69422))+0--94-0.191759999999996</f>
        <v>1142.8637920000001</v>
      </c>
      <c r="J354" s="3">
        <f>1776.1+(106.4-826.5)+(-1.811622+(-0.108528--0.84303))+0--94-0.095880000000015</f>
        <v>1148.827</v>
      </c>
      <c r="K354" s="3">
        <f>1775.3+(88.1-757.6)+(-1.810806+(-0.089862--0.772752))+0--94-0.095880000000015</f>
        <v>1198.576204</v>
      </c>
      <c r="L354" s="3">
        <f>1775.2+(83.5-707.8)+(0+(0-0))+0--88.9-0</f>
        <v>1239.8000000000002</v>
      </c>
      <c r="M354" s="3">
        <f>1775.1+(95.8-637.3)+(-0.905301+(-0.048858--0.325023))+0--88.7-0.045236999999991</f>
        <v>1321.6256269999999</v>
      </c>
      <c r="N354" s="3">
        <f>1796+(97.5-579)+(1.83192+(0.09945-0.59058))+0--98.4--0.100368000000016</f>
        <v>1414.3411580000002</v>
      </c>
      <c r="O354" s="3">
        <f>1892.3+(85.1-653.4)+(-0.965073+(-0.043401--0.333234))+0--162.8-0.0830279999999835</f>
        <v>1486.0417319999999</v>
      </c>
      <c r="P354" s="3">
        <f>2195.6+(82.6-906)+(-3.359268+(-0.126378--1.38618))+0--172.1-0.26331300000001</f>
        <v>1541.9372209999999</v>
      </c>
      <c r="Q354" s="3">
        <f>2249+(83.6-1029.1)+(-3.44097+(-0.127908--1.574523))+0--227.1-0.347463000000013</f>
        <v>1528.2581819999998</v>
      </c>
      <c r="R354" s="3">
        <f>2198.1+(63.1-1003.2)+(-5.605155+(-0.160905--2.55816))+0--221.1-0.563804999999968</f>
        <v>1475.3282949999998</v>
      </c>
      <c r="S354" s="3">
        <f>2095.1+(68.8-855.5)+(-4.274004+(-0.140352--1.74522))+0--171.4-0.349655999999993</f>
        <v>1476.7812079999999</v>
      </c>
      <c r="T354" s="3">
        <f>2073.3+(70.4-818.6)+(-2.114766+(-0.071808--0.834972))+0--151.6-0.154632000000024</f>
        <v>1475.1937660000001</v>
      </c>
      <c r="U354" s="3">
        <f>2078.2+(70.3-824.7)+(-4.239528+(-0.143412--1.682388))+0--152.1-0.310283999999993</f>
        <v>1472.8891639999997</v>
      </c>
      <c r="V354" s="3">
        <f>2044.9+(70.5-795.8)+(1.042899+(0.035955-0.405858))+0--154--0.0785399999999844</f>
        <v>1474.3515360000001</v>
      </c>
      <c r="W354" s="3">
        <f>1997.8+(66.7-741.1)+(-4.075512+(-0.136068--1.511844))+0--154.4-0.314975999999993</f>
        <v>1474.7852880000003</v>
      </c>
      <c r="X354" s="3">
        <f>2155.3+(79.1-788.1)+(-2.198406+(-0.080682--0.803862))+0--210.4-0.214608000000034</f>
        <v>1655.0101660000003</v>
      </c>
      <c r="Y354" s="3">
        <f>2245.8+(82.2-882.8)+(-5.72679+(-0.20961--2.25114))+0--217.2-0.553859999999968</f>
        <v>1658.1608800000004</v>
      </c>
      <c r="Z354" s="3">
        <f>2112.9+(82.4-755.3)+(0+(0-0))+0--157.8-0</f>
        <v>1597.8</v>
      </c>
      <c r="AA354" s="3">
        <f>2110.2+(83.3-761.1)+(-2.152404+(-0.084966--0.776322))+0--116-0.118320000000018</f>
        <v>1546.8206319999997</v>
      </c>
      <c r="AB354" s="3">
        <f>2101.5+(76.3-796.8)+(-5.358825+(-0.194565--2.03184))+0--84.3-0.214964999999988</f>
        <v>1461.5634850000001</v>
      </c>
      <c r="AC354" s="3">
        <f>2090.5+(62.3-881.9)+(-2.13231+(-0.063546--0.899538))+0--85.9-0.0876180000000137</f>
        <v>1355.4160640000002</v>
      </c>
      <c r="AD354">
        <f t="shared" si="5"/>
        <v>33771.978638000001</v>
      </c>
      <c r="AE354" s="3">
        <f>2233+(87.3-847.2)+(0+(0-0))+0--235-0</f>
        <v>1708.1</v>
      </c>
    </row>
    <row r="355" spans="1:31" s="2" customFormat="1" x14ac:dyDescent="0.25">
      <c r="A355">
        <v>89</v>
      </c>
      <c r="B355">
        <v>12</v>
      </c>
      <c r="C355">
        <v>19</v>
      </c>
      <c r="D355">
        <v>6</v>
      </c>
      <c r="E355">
        <v>1</v>
      </c>
      <c r="F355" s="3">
        <f>2045.7+(63.1-931.7)+(0+(0-0))+0--93.8-0</f>
        <v>1270.8999999999999</v>
      </c>
      <c r="G355" s="3">
        <f>1945.4+(57.5-891.9)+(0+(0-0))+0--94.5-0</f>
        <v>1205.5</v>
      </c>
      <c r="H355" s="3">
        <f>1931.1+(54-912.6)+(0+(0-0))+0--93.9-0</f>
        <v>1166.4000000000001</v>
      </c>
      <c r="I355" s="3">
        <f>1933.9+(53.4-929.5)+(0+(0-0))+0--92.6-0</f>
        <v>1150.4000000000001</v>
      </c>
      <c r="J355" s="3">
        <f>1935+(52.4-923.6)+(0+(0-0))+0--92.1-0</f>
        <v>1155.8999999999999</v>
      </c>
      <c r="K355" s="3">
        <f>1936+(55.2-943.4)+(0+(0-0))+0--93.4-0</f>
        <v>1141.2000000000003</v>
      </c>
      <c r="L355" s="3">
        <f>2011+(53.8-935.5)+(0+(0-0))+0--91.6-0</f>
        <v>1220.8999999999999</v>
      </c>
      <c r="M355" s="3">
        <f>2056.4+(62-903.5)+(0+(0-0))+0--91.2-0</f>
        <v>1306.1000000000001</v>
      </c>
      <c r="N355" s="3">
        <f>2073.5+(70-837.5)+(0+(0-0))+0--90-0</f>
        <v>1396</v>
      </c>
      <c r="O355" s="3">
        <f>2024.1+(75.4-764.5)+(0+(0-0))+0--88.2-0</f>
        <v>1423.2</v>
      </c>
      <c r="P355" s="3">
        <f>2103.7+(76.2-751.5)+(0+(0-0))+0--86.7-0</f>
        <v>1515.1</v>
      </c>
      <c r="Q355" s="3">
        <f>2111.7+(74.7-768.7)+(0+(0-0))+0--77.4-0</f>
        <v>1495.1</v>
      </c>
      <c r="R355" s="3">
        <f>2097.2+(67.3-816.7)+(-5.34786+(-0.171615--2.082585))+0--79.4-0.202469999999988</f>
        <v>1423.5606399999999</v>
      </c>
      <c r="S355" s="3">
        <f>2090.2+(68-842.8)+(3.198006+(0.10404-1.289484))+0--85.9--0.131427000000005</f>
        <v>1403.4439889999999</v>
      </c>
      <c r="T355" s="3">
        <f>2087+(67.7-854.8)+(-3.19311+(-0.103581--1.307844))+0--86.2-0.131886000000005</f>
        <v>1383.9792670000002</v>
      </c>
      <c r="U355" s="3">
        <f>2082.1+(64.9-866.8)+(-3.185613+(-0.099297--1.326204))+0--84.2-0.128826000000005</f>
        <v>1362.3124679999999</v>
      </c>
      <c r="V355" s="3">
        <f>2009.4+(63.8-855.2)+(-3.074382+(-0.097614--1.308456))+0--85.1-0.130203000000005</f>
        <v>1301.1062569999999</v>
      </c>
      <c r="W355" s="3">
        <f>2175.2+(64.1-934.8)+(0+(0-0))+0--84.4-0</f>
        <v>1388.9</v>
      </c>
      <c r="X355" s="3">
        <f>2529.9+(70.2-1137.8)+(-2.580498+(-0.071604--1.160556))+0--84.5-0.0861900000000135</f>
        <v>1545.2222640000002</v>
      </c>
      <c r="Y355" s="3">
        <f>2694.1+(69-1232)+(-9.617937+(-0.24633--4.39824))+0--89-0.317730000000001</f>
        <v>1614.316243</v>
      </c>
      <c r="Z355" s="3">
        <f>2692.8+(66.3-1330.9)+(-5.493312+(-0.135252--2.715036))+0--88.8-0.181151999999996</f>
        <v>1513.9053200000001</v>
      </c>
      <c r="AA355" s="3">
        <f>2681.2+(66.3-1352.6)+(-5.469648+(-0.135252--2.759304))+0--87.3-0.178091999999996</f>
        <v>1479.1763119999998</v>
      </c>
      <c r="AB355" s="3">
        <f>2706.8+(62.9-1437.1)+(-6.90234+(-0.160395--3.664605))+0--88.9-0.226694999999987</f>
        <v>1417.8751750000004</v>
      </c>
      <c r="AC355" s="3">
        <f>2404.3+(60.2-1230.4)+(-4.904772+(-0.122808--2.510016))+0--82-0.167279999999996</f>
        <v>1313.4151560000003</v>
      </c>
      <c r="AD355">
        <f t="shared" si="5"/>
        <v>32593.913091000002</v>
      </c>
      <c r="AE355" s="3">
        <f>2630+(69.2-1211.4)+(0+(0-0))+0--91-0</f>
        <v>1578.8</v>
      </c>
    </row>
    <row r="356" spans="1:31" s="2" customFormat="1" x14ac:dyDescent="0.25">
      <c r="A356">
        <v>89</v>
      </c>
      <c r="B356">
        <v>12</v>
      </c>
      <c r="C356">
        <v>20</v>
      </c>
      <c r="D356">
        <v>7</v>
      </c>
      <c r="E356">
        <v>1</v>
      </c>
      <c r="F356" s="3">
        <f>2186.7+(63.4-1105.5)+(0+(0-0))+0--90-0</f>
        <v>1234.5999999999999</v>
      </c>
      <c r="G356" s="3">
        <f>2184.4+(60-1139)+(0+(0-0))+0--89-0</f>
        <v>1194.4000000000001</v>
      </c>
      <c r="H356" s="3">
        <f>2112.1+(59.1-1115.5)+(0+(0-0))+0--88-0</f>
        <v>1143.6999999999998</v>
      </c>
      <c r="I356" s="3">
        <f>2102.6+(57.4-1118.8)+(0+(0-0))+0--88-0</f>
        <v>1129.2</v>
      </c>
      <c r="J356" s="3">
        <f>2107.3+(56.7-1142.1)+(0+(0-0))+0--90-0</f>
        <v>1111.9000000000003</v>
      </c>
      <c r="K356" s="3">
        <f>2124.4+(54.4-1116.4)+(0+(0-0))+0--90-0</f>
        <v>1152.4000000000001</v>
      </c>
      <c r="L356" s="3">
        <f>2117.1+(57.4-1094.5)+(0+(0-0))+0--88.6-0</f>
        <v>1168.5999999999999</v>
      </c>
      <c r="M356" s="3">
        <f>2117.2+(58.9-1077.4)+(0+(0-0))+0--88.7-0</f>
        <v>1187.3999999999999</v>
      </c>
      <c r="N356" s="3">
        <f>2111.9+(62.4-1046.3)+(0+(0-0))+0--86.9-0</f>
        <v>1214.9000000000001</v>
      </c>
      <c r="O356" s="3">
        <f>2191.5+(61.4-1043.8)+(0+(0-0))+0--87.3-0</f>
        <v>1296.3999999999999</v>
      </c>
      <c r="P356" s="3">
        <f>2229.6+(63.5-1053.9)+(0+(0-0))+0--87.4-0</f>
        <v>1326.6</v>
      </c>
      <c r="Q356" s="3">
        <f>2227+(64-1027.8)+(0+(0-0))+0--85-0</f>
        <v>1348.2</v>
      </c>
      <c r="R356" s="3">
        <f>2237.6+(59.7-1078.5)+(-5.70588+(-0.152235--2.750175))+0--79.8-0.203489999999988</f>
        <v>1295.2885699999997</v>
      </c>
      <c r="S356" s="3">
        <f>2120.4+(60.3-976.8)+(-4.325616+(-0.123012--1.992672))+0--85.8-0.175031999999996</f>
        <v>1287.0690119999999</v>
      </c>
      <c r="T356" s="3">
        <f>2159.9+(59.8-1063)+(-2.203098+(-0.060996--1.08426))+0--86.4-0.0881280000000138</f>
        <v>1241.832038</v>
      </c>
      <c r="U356" s="3">
        <f>2166.9+(59.7-1068)+(-4.420476+(-0.121788--2.17872))+0--85.6-0.174623999999996</f>
        <v>1241.661832</v>
      </c>
      <c r="V356" s="3">
        <f>2170.8+(60.1-1073.6)+(2.214216+(0.061302-1.095072))+0--85.5--0.0872100000000136</f>
        <v>1244.0676560000002</v>
      </c>
      <c r="W356" s="3">
        <f>2221.6+(59.6-1064.7)+(-2.266032+(-0.060792--1.085994))+0--85.3-0.0870060000000136</f>
        <v>1300.472164</v>
      </c>
      <c r="X356" s="3">
        <f>2404+(70.3-1068.2)+(0+(0-0))+0--83.4-0</f>
        <v>1489.5</v>
      </c>
      <c r="Y356" s="3">
        <f>2470.2+(71.6-1114.3)+(-7.558812+(-0.219096--3.409758))+0--84.4-0.25826400000001</f>
        <v>1507.2735859999998</v>
      </c>
      <c r="Z356" s="3">
        <f>2445+(69.3-1124.7)+(-2.4939+(-0.070686--1.147194))+0--82.9-0.0845580000000132</f>
        <v>1470.9980499999999</v>
      </c>
      <c r="AA356" s="3">
        <f>2416.7+(69.5-1119.7)+(-1.232517+(-0.035445--0.571047))+0--81.7-0.0416669999999917</f>
        <v>1447.4614179999999</v>
      </c>
      <c r="AB356" s="3">
        <f>2423.2+(65.9-1182.6)+(-2.471664+(-0.067218--1.206252))+0--81.6-0.083232000000013</f>
        <v>1386.6841379999998</v>
      </c>
      <c r="AC356" s="3">
        <f>2376.4+(58.1-1225.3)+(-4.847856+(-0.118524--2.499612))+0--79.6-0.162383999999997</f>
        <v>1286.170848</v>
      </c>
      <c r="AD356">
        <f t="shared" si="5"/>
        <v>30706.779311999999</v>
      </c>
      <c r="AE356" s="3">
        <f>2465+(71-1101.4)+(0+(0-0))+0--89-0</f>
        <v>1523.6</v>
      </c>
    </row>
    <row r="357" spans="1:31" s="2" customFormat="1" x14ac:dyDescent="0.25">
      <c r="A357">
        <v>89</v>
      </c>
      <c r="B357">
        <v>12</v>
      </c>
      <c r="C357">
        <v>21</v>
      </c>
      <c r="D357">
        <v>1</v>
      </c>
      <c r="E357">
        <v>1</v>
      </c>
      <c r="F357" s="3">
        <f>2187.9+(60.1-1135.7)+(-5.579145+(-0.153255--2.896035))+0--90-0.229499999999987</f>
        <v>1199.2341350000002</v>
      </c>
      <c r="G357" s="3">
        <f>1955.1+(68.6-981.1)+(-1.994202+(-0.069972--1.000722))+0--90-0.0918000000000144</f>
        <v>1131.4447479999999</v>
      </c>
      <c r="H357" s="3">
        <f>1945.7+(66.4-999.3)+(-2.976921+(-0.101592--1.528929))+0--87-0.133110000000005</f>
        <v>1098.1173060000001</v>
      </c>
      <c r="I357" s="3">
        <f>1953+(66.6-1017.4)+(2.98809+(0.101898-1.556622))+0--89--0.136170000000005</f>
        <v>1092.8695359999999</v>
      </c>
      <c r="J357" s="3">
        <f>1951.3+(67.9-1016.9)+(-0.995163+(-0.034629--0.518619))+0--90-0.0458999999999909</f>
        <v>1091.7429269999998</v>
      </c>
      <c r="K357" s="3">
        <f>1952.3+(63.6-975.4)+(0+(0-0))+0--91-0</f>
        <v>1131.5</v>
      </c>
      <c r="L357" s="3">
        <f>2025.6+(60.7-1003.6)+(-1.033056+(-0.030957--0.511836))+0--90.6-0.0462059999999908</f>
        <v>1172.7016169999997</v>
      </c>
      <c r="M357" s="3">
        <f>2033.1+(71.4-938.9)+(0+(0-0))+0--89.9-0</f>
        <v>1255.5</v>
      </c>
      <c r="N357" s="3">
        <f>2041.4+(82.8-859.1)+(0+(0-0))+0--79.9-0</f>
        <v>1345</v>
      </c>
      <c r="O357" s="3">
        <f>2119.1+(83.3-867.5)+(0+(0-0))+0--76.4-0</f>
        <v>1411.3</v>
      </c>
      <c r="P357" s="3">
        <f>2228.4+(71.9-937.9)+(2.272968+(0.073338-0.956658))+0--77.5--0.0790500000000124</f>
        <v>1441.3686980000002</v>
      </c>
      <c r="Q357" s="3">
        <f>2216.4+(68.4-927.1)+(-2.260728+(-0.069768--0.945642))+0--77.4-0.0789480000000123</f>
        <v>1433.6361980000001</v>
      </c>
      <c r="R357" s="3">
        <f>2199.1+(62.3-964.3)+(-5.607705+(-0.158865--2.458965))+0--77-0.196349999999989</f>
        <v>1370.596045</v>
      </c>
      <c r="S357" s="3">
        <f>2135.4+(66.7-901.5)+(-4.356216+(-0.136068--1.83906))+0--79.8-0.162791999999997</f>
        <v>1377.5839840000001</v>
      </c>
      <c r="T357" s="3">
        <f>2108.2+(66.6-865)+(0+(0-0))+0--55.6-0</f>
        <v>1365.3999999999996</v>
      </c>
      <c r="U357" s="3">
        <f>2199.8+(65.4-918.7)+(-1.121898+(-0.033354--0.468537))+0--38.1-0.0194309999999961</f>
        <v>1383.8938539999999</v>
      </c>
      <c r="V357" s="3">
        <f>2203.3+(64.9-916.4)+(1.123683+(0.033099-0.467364))+0--41.5--0.0211649999999958</f>
        <v>1394.010583</v>
      </c>
      <c r="W357" s="3">
        <f>2209+(62.6-889.3)+(-1.12659+(-0.031926--0.453543))+0--42.7-0.0217769999999957</f>
        <v>1424.2732500000002</v>
      </c>
      <c r="X357" s="3">
        <f>2269.4+(72.6-846.1)+(-2.314788+(-0.074052--0.863022))+0--67.5-0.0688500000000108</f>
        <v>1561.8053319999999</v>
      </c>
      <c r="Y357" s="3">
        <f>2356.7+(74.8-947.2)+(-1.201917+(-0.038148--0.483072))+0--85.9-0.0438089999999913</f>
        <v>1569.3991979999998</v>
      </c>
      <c r="Z357" s="3">
        <f>2164.9+(68.6-784.4)+(-2.208198+(-0.069972--0.800088))+0--83.4-0.0850680000000133</f>
        <v>1530.93685</v>
      </c>
      <c r="AA357" s="3">
        <f>2080.9+(69.1-749)+(-3.183777+(-0.105723--1.14597))+0--81.8-0.125154000000005</f>
        <v>1480.5313159999998</v>
      </c>
      <c r="AB357" s="3">
        <f>2063.5+(66.6-805.5)+(-7.366695+(-0.237762--2.875635))+0--80.9-0.288813000000001</f>
        <v>1400.4823650000001</v>
      </c>
      <c r="AC357" s="3">
        <f>2076.6+(61.4-906.4)+(-4.236264+(-0.125256--1.849056))+0--79.7-0.162587999999997</f>
        <v>1308.6249480000001</v>
      </c>
      <c r="AD357">
        <f t="shared" si="5"/>
        <v>31971.952890000008</v>
      </c>
      <c r="AE357" s="3">
        <f>2417+(82.9-990)+(0+(0-0))+0--89-0</f>
        <v>1598.9</v>
      </c>
    </row>
    <row r="358" spans="1:31" s="2" customFormat="1" x14ac:dyDescent="0.25">
      <c r="A358">
        <v>89</v>
      </c>
      <c r="B358">
        <v>12</v>
      </c>
      <c r="C358">
        <v>22</v>
      </c>
      <c r="D358">
        <v>2</v>
      </c>
      <c r="E358">
        <v>1</v>
      </c>
      <c r="F358" s="3">
        <f>2121.3+(62.4-982)+(-5.409315+(-0.15912--2.5041))+0--89-0.226949999999987</f>
        <v>1287.4087150000003</v>
      </c>
      <c r="G358" s="3">
        <f>2072.1+(62.5-1022.1)+(-6.340626+(-0.19125--3.127626))+0--89-0.27234000000001</f>
        <v>1197.82341</v>
      </c>
      <c r="H358" s="3">
        <f>2093.5+(59.5-1037.8)+(-4.27074+(-0.12138--2.117112))+0--89-0.181559999999996</f>
        <v>1201.743432</v>
      </c>
      <c r="I358" s="3">
        <f>2098.9+(57.7-1075)+(3.211317+(0.088281-1.64475))+0--89--0.136170000000005</f>
        <v>1172.391018</v>
      </c>
      <c r="J358" s="3">
        <f>2093.9+(58.4-1063.7)+(-3.203667+(-0.089352--1.627461))+0--89-0.136170000000005</f>
        <v>1175.798272</v>
      </c>
      <c r="K358" s="3">
        <f>2098.3+(61.1-1054.5)+(4.280532+(0.124644-2.15118))+0--89--0.181559999999996</f>
        <v>1196.335556</v>
      </c>
      <c r="L358" s="3">
        <f>2074.6+(63.9-937.5)+(-6.348276+(-0.195534--2.86875))+0--90-0.27540000000001</f>
        <v>1287.04954</v>
      </c>
      <c r="M358" s="3">
        <f>2142.8+(64.5-968.7)+(2.185656+(0.06579-0.988074))+0--90--0.0918000000000144</f>
        <v>1329.9551719999999</v>
      </c>
      <c r="N358" s="3">
        <f>2161.1+(70.4-1003.2)+(2.204322+(0.071808-1.023264))+0--79--0.0805800000000126</f>
        <v>1308.6334459999998</v>
      </c>
      <c r="O358" s="3">
        <f>2289.4+(86.7-1060)+(1.167594+(0.044217-0.5406))+0--79--0.040289999999992</f>
        <v>1395.8115010000001</v>
      </c>
      <c r="P358" s="3">
        <f>2447.8+(70.4-1172.4)+(1.248378+(0.035904-0.597924))+0--79--0.040289999999992</f>
        <v>1425.526648</v>
      </c>
      <c r="Q358" s="3">
        <f>2529.5+(68.3-1227.3)+(-3.870135+(-0.104499--1.877769))+0--79-0.120870000000005</f>
        <v>1447.2822650000001</v>
      </c>
      <c r="R358" s="3">
        <f>2497.4+(61.3-1250.5)+(0+(0-0))+0--83.2-0</f>
        <v>1391.4</v>
      </c>
      <c r="S358" s="3">
        <f>2493.8+(56-1240.4)+(1.271838+(0.02856-0.632604))+0--83.8--0.0427379999999915</f>
        <v>1393.9105320000001</v>
      </c>
      <c r="T358" s="3">
        <f>2476.8+(56.9-1234)+(-2.526336+(-0.058038--1.25868))+0--84.8-0.0864960000000135</f>
        <v>1383.08781</v>
      </c>
      <c r="U358" s="3">
        <f>2352.4+(58.5-1092.1)+(0+(0-0))+0--84.5-0</f>
        <v>1403.3000000000002</v>
      </c>
      <c r="V358" s="3">
        <f>2357.2+(56.9-1094.7)+(-6.01086+(-0.145095--2.791485))+0--84.5-0.215474999999988</f>
        <v>1400.3200549999999</v>
      </c>
      <c r="W358" s="3">
        <f>2368.2+(54.6-1088.1)+(0+(0-0))+0--84.5-0</f>
        <v>1419.1999999999998</v>
      </c>
      <c r="X358" s="3">
        <f>2511+(66.7-1065.4)+(-1.28061+(-0.034017--0.543354))+0--90.5-0.0461549999999908</f>
        <v>1601.9825719999999</v>
      </c>
      <c r="Y358" s="3">
        <f>2562.3+(67-1089.8)+(-3.920319+(-0.10251--1.667394))+0--91.9-0.140607000000005</f>
        <v>1628.9039580000003</v>
      </c>
      <c r="Z358" s="3">
        <f>2565.2+(63.1-1155)+(-2.616504+(-0.064362--1.1781))+0--91.8-0.0936360000000146</f>
        <v>1563.5035979999996</v>
      </c>
      <c r="AA358" s="3">
        <f>2566.9+(63.4-1171.1)+(-3.927357+(-0.097002--1.791783))+0--92-0.140760000000005</f>
        <v>1548.8266640000002</v>
      </c>
      <c r="AB358" s="3">
        <f>2494.7+(60.6-1208)+(-2.544594+(-0.061812--1.23216))+0--91.4-0.0932280000000146</f>
        <v>1437.2325259999998</v>
      </c>
      <c r="AC358" s="3">
        <f>2456.3+(56.6-1257.4)+(-3.758139+(-0.086598--1.923822))+0--89.9-0.137547000000005</f>
        <v>1343.3415380000001</v>
      </c>
      <c r="AD358">
        <f t="shared" si="5"/>
        <v>32940.768228000001</v>
      </c>
      <c r="AE358" s="3">
        <f>2549+(73-1054)+(0+(0-0))+0--90-0</f>
        <v>1658</v>
      </c>
    </row>
    <row r="359" spans="1:31" s="2" customFormat="1" x14ac:dyDescent="0.25">
      <c r="A359">
        <v>89</v>
      </c>
      <c r="B359">
        <v>12</v>
      </c>
      <c r="C359">
        <v>23</v>
      </c>
      <c r="D359">
        <v>3</v>
      </c>
      <c r="E359">
        <v>1</v>
      </c>
      <c r="F359" s="3">
        <f>2322.7+(63.2-1184)+(-11.84577+(-0.32232--6.0384))+0--70-0.357000000000005</f>
        <v>1265.4133099999999</v>
      </c>
      <c r="G359" s="3">
        <f>2012.9+(69-939.3)+(-6.159474+(-0.21114--2.874258))+0--33-0.100980000000004</f>
        <v>1172.0026640000001</v>
      </c>
      <c r="H359" s="3">
        <f>1974.4+(68.8-933.5)+(-3.020832+(-0.105264--1.428255))+0--33-0.0504900000000019</f>
        <v>1140.951669</v>
      </c>
      <c r="I359" s="3">
        <f>1975.9+(70.3-952.6)+(-3.023127+(-0.107559--1.457478))+0--33-0.0504900000000019</f>
        <v>1124.8763019999999</v>
      </c>
      <c r="J359" s="3">
        <f>2015+(64-981.1)+(2.0553+(0.06528-1.000722))+0--33--0.0336600000000053</f>
        <v>1132.0535180000002</v>
      </c>
      <c r="K359" s="3">
        <f>2017.6+(62.4-942.9)+(-1.028976+(-0.031824--0.480879))+0--33-0.0168299999999967</f>
        <v>1169.5032489999999</v>
      </c>
      <c r="L359" s="3">
        <f>2017.7+(64.8-909.1)+(-1.029027+(-0.033048--0.463641))+0--41.8-0.0213179999999958</f>
        <v>1214.580248</v>
      </c>
      <c r="M359" s="3">
        <f>2025.8+(74.9-839.9)+(4.132632+(0.152796-1.713396))+0--40.4--0.0824159999999982</f>
        <v>1303.854448</v>
      </c>
      <c r="N359" s="3">
        <f>2093.1+(79.9-855.5)+(0+(0-0))+0--52.9-0</f>
        <v>1370.4</v>
      </c>
      <c r="O359" s="3">
        <f>2134.2+(81.8-892)+(-4.353768+(-0.166872--1.81968))+0--81.2-0.165647999999996</f>
        <v>1402.333392</v>
      </c>
      <c r="P359" s="3">
        <f>2172.7+(75.9-895.6)+(-4.432308+(-0.154836--1.827024))+0--83.4-0.170135999999996</f>
        <v>1433.469744</v>
      </c>
      <c r="Q359" s="3">
        <f>2272.4+(72.9-984)+(-3.476772+(-0.111537--1.50552))+0--84.9-0.129897000000005</f>
        <v>1443.9873140000002</v>
      </c>
      <c r="R359" s="3">
        <f>2115.7+(62.7-844.1)+(-4.316028+(-0.127908--1.721964))+0--62.1-0.126683999999997</f>
        <v>1393.5513439999995</v>
      </c>
      <c r="S359" s="3">
        <f>1963.6+(67.5-669)+(2.002872+(0.06885-0.68238))+0--35.9--0.0366180000000057</f>
        <v>1399.42596</v>
      </c>
      <c r="T359" s="3">
        <f>1908.5+(68.9-636.2)+(-1.94667+(-0.070278--0.648924))+0--35.9-0.0366180000000057</f>
        <v>1375.6953579999997</v>
      </c>
      <c r="U359" s="3">
        <f>2236.1+(59.8-968.7)+(0+(0-0))+0--31-0</f>
        <v>1358.1999999999998</v>
      </c>
      <c r="V359" s="3">
        <f>2413.1+(55.8-1115.7)+(-4.922724+(-0.113832--2.276028))+0--26-0.0530399999999989</f>
        <v>1376.3864319999998</v>
      </c>
      <c r="W359" s="3">
        <f>2470.2+(51.2-1166.5)+(-1.259802+(-0.026112--0.594915))+0--26.3-0.0134129999999973</f>
        <v>1380.495588</v>
      </c>
      <c r="X359" s="3">
        <f>2634.3+(61.8-1141.8)+(-1.343493+(-0.031518--0.582318))+0--25.3-0.0129029999999974</f>
        <v>1578.794404</v>
      </c>
      <c r="Y359" s="3">
        <f>2639.8+(63.6-1125.8)+(-8.077788+(-0.194616--3.444948))+0--33.2-0.101592000000004</f>
        <v>1605.8709520000002</v>
      </c>
      <c r="Z359" s="3">
        <f>2661.7+(57.6-1334.7)+(-4.072401+(-0.088128--2.042091))+0--93-0.142290000000005</f>
        <v>1475.3392719999997</v>
      </c>
      <c r="AA359" s="3">
        <f>2690.6+(59.2-1384)+(-4.116618+(-0.090576--2.11752))+0--93.4-0.142902000000005</f>
        <v>1456.9674239999999</v>
      </c>
      <c r="AB359" s="3">
        <f>2631.9+(56.6-1398.6)+(-5.369076+(-0.115464--2.853144))+0--93.4-0.190535999999996</f>
        <v>1380.4780680000001</v>
      </c>
      <c r="AC359" s="3">
        <f>2579+(55.2-1419.7)+(-6.57645+(-0.14076--3.620235))+0--64.7-0.164984999999991</f>
        <v>1275.9380400000002</v>
      </c>
      <c r="AD359">
        <f t="shared" si="5"/>
        <v>32230.568700000007</v>
      </c>
      <c r="AE359" s="3">
        <f>2528+(170-1080.5)+(0+(0-0))+0--29-0</f>
        <v>1646.5</v>
      </c>
    </row>
    <row r="360" spans="1:31" s="2" customFormat="1" x14ac:dyDescent="0.25">
      <c r="A360">
        <v>89</v>
      </c>
      <c r="B360">
        <v>12</v>
      </c>
      <c r="C360">
        <v>24</v>
      </c>
      <c r="D360">
        <v>4</v>
      </c>
      <c r="E360">
        <v>1</v>
      </c>
      <c r="F360" s="3">
        <f>2577.5+(22.6-1378.9)+(-7.88715+(-0.069156--4.219434))+0--26.2-0.080172000000003</f>
        <v>1243.582956</v>
      </c>
      <c r="G360" s="3">
        <f>2326.4+(19.4-1206.2)+(-5.93232+(-0.04947--3.07581))+0--33.3-0.0849149999999952</f>
        <v>1169.9091050000002</v>
      </c>
      <c r="H360" s="3">
        <f>1994.5+(15-925.1)+(0+(0-0))+0--36.8-0</f>
        <v>1121.2</v>
      </c>
      <c r="I360" s="3">
        <f>1963.3+(15-915.5)+(-6.007698+(-0.0459--2.80143))+0--36-0.110160000000004</f>
        <v>1095.437672</v>
      </c>
      <c r="J360" s="3">
        <f>1962+(15-922.9)+(3.00186+(0.02295-1.412037))+0--36.6--0.0559980000000021</f>
        <v>1092.3687709999999</v>
      </c>
      <c r="K360" s="3">
        <f>2067.8+(17-891.5)+(-5.27289+(-0.04335--2.273325))+0--38.4-0.0979199999999944</f>
        <v>1228.5591650000003</v>
      </c>
      <c r="L360" s="3">
        <f>2122.2+(49-1001.6)+(-3.246966+(-0.07497--1.532448))+0--39.3-0.0601290000000023</f>
        <v>1207.050383</v>
      </c>
      <c r="M360" s="3">
        <f>2270+(50-1135.7)+(-2.3154+(-0.051--1.158414))+0--51.8-0.0528360000000083</f>
        <v>1234.8391779999999</v>
      </c>
      <c r="N360" s="3">
        <f>2581.5+(54-1344.8)+(0+(0-0))+0--84.9-0</f>
        <v>1375.6000000000001</v>
      </c>
      <c r="O360" s="3">
        <f>2677.8+(58-1374.4)+(-2.731356+(-0.05916--1.401888))+0--85.6-0.0873120000000136</f>
        <v>1445.52406</v>
      </c>
      <c r="P360" s="3">
        <f>2438.1+(62-1105.8)+(-1.243431+(-0.03162--0.563958))+0--84.7-0.0431969999999914</f>
        <v>1478.2457100000001</v>
      </c>
      <c r="Q360" s="3">
        <f>2377.9+(59-1040.3)+(-3.638187+(-0.09027--1.591659))+0--84.1-0.128673000000005</f>
        <v>1478.4345290000001</v>
      </c>
      <c r="R360" s="3">
        <f>2213+(53-953.8)+(-2.25726+(-0.05406--0.972876))+0--80.6-0.0822120000000128</f>
        <v>1391.3793439999999</v>
      </c>
      <c r="S360" s="3">
        <f>2206.1+(57.4-937.5)+(-1.125111+(-0.029274--0.478125))+0--80.2-0.0409019999999919</f>
        <v>1405.4828380000001</v>
      </c>
      <c r="T360" s="3">
        <f>2193.3+(57.4-930.1)+(-1.118583+(-0.029274--0.474351))+0--80-0.0407999999999919</f>
        <v>1399.8856940000001</v>
      </c>
      <c r="U360" s="3">
        <f>2196.5+(57.2-948.9)+(-3.360645+(-0.087516--1.451817))+0--82-0.125460000000005</f>
        <v>1384.6781960000003</v>
      </c>
      <c r="V360" s="3">
        <f>2195.6+(50.8-939.2)+(-8.958048+(-0.207264--3.831936))+0--90.5-0.369239999999992</f>
        <v>1391.9973839999998</v>
      </c>
      <c r="W360" s="3">
        <f>2205.6+(45.2-951.8)+(1.124856+(0.023052-0.485418))+0--82.5--0.0420749999999916</f>
        <v>1382.204565</v>
      </c>
      <c r="X360" s="3">
        <f>2392.2+(58.6-954.7)+(1.220022+(0.029886-0.486897))+0--86.3--0.0440129999999912</f>
        <v>1583.2070239999998</v>
      </c>
      <c r="Y360" s="3">
        <f>2614.1+(58.6-1137.5)+(-5.332764+(-0.119544--2.3205))+0--90.8-0.185231999999996</f>
        <v>1622.6829599999996</v>
      </c>
      <c r="Z360" s="3">
        <f>2648.5+(56.6-1226.5)+(-2.70147+(-0.057732--1.25103))+0--91.1-0.0929220000000145</f>
        <v>1568.0989059999997</v>
      </c>
      <c r="AA360" s="3">
        <f>2656.9+(56.2-1278.9)+(-2.710038+(-0.057324--1.304478))+0--90.7-0.0925140000000145</f>
        <v>1523.3446020000001</v>
      </c>
      <c r="AB360" s="3">
        <f>2664.8+(53.8-1353.2)+(-1.359048+(-0.027438--0.690132))+0--90.7-0.0462569999999908</f>
        <v>1455.3573890000002</v>
      </c>
      <c r="AC360" s="3">
        <f>2669.6+(48.2-1437.7)+(-1.361496+(-0.024582--0.733227))+0--90.2-0.0460019999999908</f>
        <v>1369.6011469999999</v>
      </c>
      <c r="AD360">
        <f t="shared" si="5"/>
        <v>32648.671577999998</v>
      </c>
      <c r="AE360" s="3">
        <f>2627+(65-1130.6)+(0+(0-0))+0--92-0</f>
        <v>1653.4</v>
      </c>
    </row>
    <row r="361" spans="1:31" s="2" customFormat="1" x14ac:dyDescent="0.25">
      <c r="A361">
        <v>89</v>
      </c>
      <c r="B361">
        <v>12</v>
      </c>
      <c r="C361">
        <v>25</v>
      </c>
      <c r="D361">
        <v>5</v>
      </c>
      <c r="E361">
        <v>1</v>
      </c>
      <c r="F361" s="3">
        <f>2571.1+(18-1423.5)+(-1.311261+(-0.00918--0.725985))+0--99-0.05048999999999</f>
        <v>1263.9550539999998</v>
      </c>
      <c r="G361" s="3">
        <f>2269+(18-1181.2)+(-2.31438+(-0.01836--1.204824))+0--67-0.0683400000000107</f>
        <v>1171.603744</v>
      </c>
      <c r="H361" s="3">
        <f>2174+(18-1103.9)+(-4.43496+(-0.03672--2.251956))+0--33-0.0673199999999986</f>
        <v>1118.8129559999998</v>
      </c>
      <c r="I361" s="3">
        <f>2104.8+(22-1057.2)+(2.146896+(0.02244-1.078344))+0--33--0.0336600000000053</f>
        <v>1103.7246520000001</v>
      </c>
      <c r="J361" s="3">
        <f>2090+(22-1037.2)+(0+(0-0))+0--33-0</f>
        <v>1107.8</v>
      </c>
      <c r="K361" s="3">
        <f>2056.7+(21-967.2)+(2.097834+(0.02142-0.986544))+0--33--0.0336600000000053</f>
        <v>1144.6663699999999</v>
      </c>
      <c r="L361" s="3">
        <f>2154.3+(49.1-1028.2)+(-5.493465+(-0.125205--2.62191))+0--37-0.0943499999999946</f>
        <v>1209.1088900000002</v>
      </c>
      <c r="M361" s="3">
        <f>2442.9+(54.5-1228.4)+(2.491758+(0.05559-1.252968))+0--32.3--0.0329460000000051</f>
        <v>1302.627326</v>
      </c>
      <c r="N361" s="3">
        <f>2614.1+(61.9-1305.8)+(1.333191+(0.031569-0.665958))+0--39.4--0.020093999999996</f>
        <v>1410.318896</v>
      </c>
      <c r="O361" s="3">
        <f>2641.3+(65.8-1330)+(-2.694126+(-0.067116--1.3566))+0--81.6-0.083232000000013</f>
        <v>1457.2121260000001</v>
      </c>
      <c r="P361" s="3">
        <f>2648.4+(67.1-1318.8)+(2.701368+(0.068442-1.345176))+0--86.4--0.0881280000000138</f>
        <v>1484.6127620000002</v>
      </c>
      <c r="Q361" s="3">
        <f>2649.2+(66.8-1395.3)+(4.053276+(0.102204-2.134809))+0--164--0.250920000000009</f>
        <v>1486.9715909999998</v>
      </c>
      <c r="R361" s="3">
        <f>2511.5+(64.3-1291.7)+(-3.842595+(-0.098379--1.976301))+0--156.3-0.239139000000009</f>
        <v>1438.1961879999999</v>
      </c>
      <c r="S361" s="3">
        <f>2500.5+(62.7-1299.5)+(-1.275255+(-0.031977--0.662745))+0--181.7-0.0926669999999816</f>
        <v>1444.6628460000002</v>
      </c>
      <c r="T361" s="3">
        <f>2492.7+(62.4-1339.4)+(-3.813831+(-0.095472--2.049282))+0--226.1-0.345933000000013</f>
        <v>1439.5940459999997</v>
      </c>
      <c r="U361" s="3">
        <f>2495.3+(62.2-1341.5)+(-5.090412+(-0.126888--2.73666))+0--228.9-0.46695599999999</f>
        <v>1441.9524040000003</v>
      </c>
      <c r="V361" s="3">
        <f>2504.9+(59.2-1336.7)+(-2.554998+(-0.060384--1.363434))+0--229.8-0.234396000000037</f>
        <v>1455.7136559999999</v>
      </c>
      <c r="W361" s="3">
        <f>2501.8+(57-1337.3)+(-7.655508+(-0.17442--4.092138))+0--231-0.706860000000027</f>
        <v>1448.0553500000003</v>
      </c>
      <c r="X361" s="3">
        <f>2607.4+(68.6-1268.4)+(1.329774+(0.034986-0.646884))+0--231.3--0.117962999999977</f>
        <v>1639.7358389999997</v>
      </c>
      <c r="Y361" s="3">
        <f>2673.3+(69.9-1306.6)+(-6.816915+(-0.178245--3.33183))+0--232.7-0.593384999999966</f>
        <v>1665.0432850000004</v>
      </c>
      <c r="Z361" s="3">
        <f>2695.7+(66.8-1374.2)+(-2.749614+(-0.068136--1.401684))+0--233-0.237660000000037</f>
        <v>1619.6462739999997</v>
      </c>
      <c r="AA361" s="3">
        <f>2689.8+(67.2-1399.1)+(-6.85899+(-0.17136--3.567705))+0--234.4-0.597719999999966</f>
        <v>1588.2396350000004</v>
      </c>
      <c r="AB361" s="3">
        <f>2702.8+(64.3-1430.1)+(-6.89214+(-0.163965--3.646755))+0--173.3-0.441914999999975</f>
        <v>1506.4487350000004</v>
      </c>
      <c r="AC361" s="3">
        <f>2744.2+(58.6-1544.9)+(-5.598168+(-0.119544--3.151596))+0--141.5-0.288659999999994</f>
        <v>1396.5452239999997</v>
      </c>
      <c r="AD361">
        <f t="shared" si="5"/>
        <v>33345.247848999999</v>
      </c>
      <c r="AE361" s="3">
        <f>2678+(66.7-1302.6)+(0+(0-0))+0--238-0</f>
        <v>1680.1000000000001</v>
      </c>
    </row>
    <row r="362" spans="1:31" s="2" customFormat="1" x14ac:dyDescent="0.25">
      <c r="A362">
        <v>89</v>
      </c>
      <c r="B362">
        <v>12</v>
      </c>
      <c r="C362">
        <v>26</v>
      </c>
      <c r="D362">
        <v>6</v>
      </c>
      <c r="E362">
        <v>1</v>
      </c>
      <c r="F362" s="3">
        <f>2585.1+(53.7-1431.1)+(-3.955203+(-0.082161--2.189583))+0--97-0.148410000000006</f>
        <v>1302.7038090000001</v>
      </c>
      <c r="G362" s="3">
        <f>2378.4+(51.8-1299.8)+(-2.425968+(-0.052836--1.325796))+0--97-0.0989400000000155</f>
        <v>1226.148052</v>
      </c>
      <c r="H362" s="3">
        <f>2202.9+(57.4-1143.2)+(-3.370437+(-0.087822--1.749096))+0--72-0.110160000000004</f>
        <v>1187.2806770000002</v>
      </c>
      <c r="I362" s="3">
        <f>2138.8+(56.4-1057.3)+(1.090788+(0.028764-0.539223))+0--27--0.0137699999999973</f>
        <v>1165.494099</v>
      </c>
      <c r="J362" s="3">
        <f>2129.5+(58.3-1044.8)+(-3.258135+(-0.089199--1.598544))+0--27-0.0413100000000016</f>
        <v>1168.2098999999998</v>
      </c>
      <c r="K362" s="3">
        <f>2355.1+(52.4-1278.3)+(-1.201101+(-0.026724--0.651933))+0--94-0.0479399999999905</f>
        <v>1222.5761680000001</v>
      </c>
      <c r="L362" s="3">
        <f>2429.4+(48.7-1339.8)+(-4.955976+(-0.099348--2.733192))+0--84-0.171359999999996</f>
        <v>1219.8065080000001</v>
      </c>
      <c r="M362" s="3">
        <f>2592.7+(52.5-1416.9)+(1.322277+(0.026775-0.722619))+0--86--0.0438599999999913</f>
        <v>1314.9702929999996</v>
      </c>
      <c r="N362" s="3">
        <f>2643.7+(57.9-1364.3)+(1.348287+(0.029529-0.695793))+0--27--0.0137699999999973</f>
        <v>1364.995793</v>
      </c>
      <c r="O362" s="3">
        <f>2630+(61.3-1293.3)+(-4.0239+(-0.093789--1.978749))+0--86-0.131580000000005</f>
        <v>1481.72948</v>
      </c>
      <c r="P362" s="3">
        <f>2701.4+(60-1338.7)+(-4.133142+(-0.0918--2.048211))+0--85-0.130050000000005</f>
        <v>1505.393219</v>
      </c>
      <c r="Q362" s="3">
        <f>2660.5+(59.6-1294.2)+(-1.356855+(-0.030396--0.660042))+0--85-0.0433499999999914</f>
        <v>1510.129441</v>
      </c>
      <c r="R362" s="3">
        <f>2569.3+(56.3-1267)+(-3.931029+(-0.086139--1.93851))+0--85.4-0.130662000000005</f>
        <v>1441.7906800000003</v>
      </c>
      <c r="S362" s="3">
        <f>2565.2+(55.2-1283)+(0+(0-0))+0--84.2-0</f>
        <v>1421.6</v>
      </c>
      <c r="T362" s="3">
        <f>2551.2+(56.2-1279)+(-3.903336+(-0.085986--1.95687))+0--83.9-0.128367000000005</f>
        <v>1410.139181</v>
      </c>
      <c r="U362" s="3">
        <f>2502.9+(56.3-1242.7)+(-8.935353+(-0.200991--4.436439))+0--80.5-0.287385000000001</f>
        <v>1392.01271</v>
      </c>
      <c r="V362" s="3">
        <f>2398.2+(56.7-1082.6)+(-2.446164+(-0.057834--1.104252))+0--26-0.0265200000000041</f>
        <v>1396.873734</v>
      </c>
      <c r="W362" s="3">
        <f>2401+(56.5-1083.2)+(-4.89804+(-0.11526--2.209728))+0--32.1-0.0654839999999986</f>
        <v>1403.5309439999999</v>
      </c>
      <c r="X362" s="3">
        <f>2567.1+(67.1-1108.7)+(0+(0-0))+0--46.6-0</f>
        <v>1572.0999999999997</v>
      </c>
      <c r="Y362" s="3">
        <f>2669.7+(68.8-1222)+(-5.446188+(-0.140352--2.49288))+0--92.2-0.188087999999996</f>
        <v>1605.4182519999997</v>
      </c>
      <c r="Z362" s="3">
        <f>2472.3+(66.5-1070.1)+(-3.782619+(-0.101745--1.637253))+0--89.7-0.137241000000005</f>
        <v>1556.0156480000005</v>
      </c>
      <c r="AA362" s="3">
        <f>2424.7+(66.3-1058.2)+(-1.236597+(-0.033813--0.539682))+0--88.8-0.045287999999991</f>
        <v>1520.8239839999997</v>
      </c>
      <c r="AB362" s="3">
        <f>2432.5+(62.9-1128.4)+(3.721725+(0.096237-1.726452))+0--88.6--0.135558000000005</f>
        <v>1457.8270679999998</v>
      </c>
      <c r="AC362" s="3">
        <f>2341.1+(57.3-1115.8)+(-5.969805+(-0.146115--2.84529))+0--87.5-0.223124999999987</f>
        <v>1366.6062449999999</v>
      </c>
      <c r="AD362">
        <f t="shared" si="5"/>
        <v>33214.175884999997</v>
      </c>
      <c r="AE362" s="3">
        <f>2662+(67.5-1190.9)+(0+(0-0))+0--90-0</f>
        <v>1628.6</v>
      </c>
    </row>
    <row r="363" spans="1:31" s="2" customFormat="1" x14ac:dyDescent="0.25">
      <c r="A363">
        <v>89</v>
      </c>
      <c r="B363">
        <v>12</v>
      </c>
      <c r="C363">
        <v>27</v>
      </c>
      <c r="D363">
        <v>7</v>
      </c>
      <c r="E363">
        <v>1</v>
      </c>
      <c r="F363" s="3">
        <f>2262.6+(57.5-1122.4)+(-4.615704+(-0.1173--2.289696))+0--102-0.208079999999996</f>
        <v>1297.0486119999998</v>
      </c>
      <c r="G363" s="3">
        <f>2171.3+(54.4-1103.4)+(-3.322089+(-0.083232--1.688202))+0--101-0.154530000000006</f>
        <v>1221.4283510000002</v>
      </c>
      <c r="H363" s="3">
        <f>2130.6+(54.5-1104.2)+(-1.086606+(-0.027795--0.563142))+0--101-0.0515099999999898</f>
        <v>1181.2972309999998</v>
      </c>
      <c r="I363" s="3">
        <f>2049.8+(53.4-998)+(-3.136194+(-0.081702--1.52694))+0--47-0.0719100000000027</f>
        <v>1150.4371340000002</v>
      </c>
      <c r="J363" s="3">
        <f>2058.8+(52.6-995.5)+(1.049988+(0.026826-0.507705))+0--35--0.0178499999999964</f>
        <v>1151.4869590000001</v>
      </c>
      <c r="K363" s="3">
        <f>2047.7+(56.3-955)+(-3.132981+(-0.086139--1.46115))+0--35-0.053550000000002</f>
        <v>1182.18848</v>
      </c>
      <c r="L363" s="3">
        <f>1952.2+(58.2-860.3)+(-1.991244+(-0.059364--0.877506))+0--30-0.0306000000000048</f>
        <v>1178.8962980000001</v>
      </c>
      <c r="M363" s="3">
        <f>1939+(62.1-787.5)+(0+(0-0))+0--31-0</f>
        <v>1244.5999999999999</v>
      </c>
      <c r="N363" s="3">
        <f>2049.4+(62.5-805.3)+(1.045194+(0.031875-0.410703))+0--33--0.0168299999999967</f>
        <v>1340.2831960000001</v>
      </c>
      <c r="O363" s="3">
        <f>2136.3+(67.7-846.3)+(-1.089513+(-0.034527--0.431613))+0--53-0.0270299999999946</f>
        <v>1409.9805430000004</v>
      </c>
      <c r="P363" s="3">
        <f>2264.8+(68.5-965.9)+(-4.620192+(-0.13974--1.970436))+0--91.1-0.185843999999996</f>
        <v>1455.5246599999998</v>
      </c>
      <c r="Q363" s="3">
        <f>2249.8+(62.8-943.5)+(-4.589592+(-0.128112--1.92474))+0--94.1-0.191963999999996</f>
        <v>1460.215072</v>
      </c>
      <c r="R363" s="3">
        <f>2173.5+(57.4-928)+(-1.108485+(-0.029274--0.47328))+0--94.2-0.0480419999999904</f>
        <v>1396.3874790000002</v>
      </c>
      <c r="S363" s="3">
        <f>2091.9+(56.7-847.9)+(1.066869+(0.028917-0.432429))+0--68.5--0.034934999999993</f>
        <v>1369.8982920000001</v>
      </c>
      <c r="T363" s="3">
        <f>2053.7+(56.5-795.9)+(-5.236935+(-0.144075--2.029545))+0--31.4-0.0800699999999954</f>
        <v>1342.2684649999999</v>
      </c>
      <c r="U363" s="3">
        <f>1981+(57.1-739.8)+(-5.05155+(-0.145605--1.88649))+0--32-0.0815999999999954</f>
        <v>1326.9077350000002</v>
      </c>
      <c r="V363" s="3">
        <f>1936.4+(61.3-698.6)+(-2.962692+(-0.093789--1.068858))+0--32-0.0489600000000018</f>
        <v>1329.0634169999998</v>
      </c>
      <c r="W363" s="3">
        <f>1932+(62.2-695.4)+(-1.97064+(-0.063444--0.709308))+0--32-0.0326400000000051</f>
        <v>1329.4425840000004</v>
      </c>
      <c r="X363" s="3">
        <f>2134.4+(69-749.9)+(0+(0-0))+0--58.5-0</f>
        <v>1512</v>
      </c>
      <c r="Y363" s="3">
        <f>2245.8+(71.8-822.2)+(-3.436074+(-0.109854--1.257966))+0--94.8-0.145044000000005</f>
        <v>1587.7669939999998</v>
      </c>
      <c r="Z363" s="3">
        <f>2266.9+(68.6-875.9)+(-2.312238+(-0.069972--0.893418))+0--95.9-0.0978180000000153</f>
        <v>1553.9133900000002</v>
      </c>
      <c r="AA363" s="3">
        <f>2116.9+(68.9-766.2)+(-2.159238+(-0.070278--0.781524))+0--96.5-0.0984300000000154</f>
        <v>1514.5535779999998</v>
      </c>
      <c r="AB363" s="3">
        <f>2107.4+(65.7-804)+(-4.299096+(-0.134028--1.64016))+0--97.3-0.198491999999996</f>
        <v>1463.4085440000001</v>
      </c>
      <c r="AC363" s="3">
        <f>2010.5+(61.2-796.5)+(-4.10142+(-0.124848--1.62486))+0--97.1-0.198083999999996</f>
        <v>1369.5005079999999</v>
      </c>
      <c r="AD363">
        <f t="shared" si="5"/>
        <v>32368.497522000009</v>
      </c>
      <c r="AE363" s="3">
        <f>2255+(74.6-807.2)+(0+(0-0))+0--94-0</f>
        <v>1616.4</v>
      </c>
    </row>
    <row r="364" spans="1:31" s="2" customFormat="1" x14ac:dyDescent="0.25">
      <c r="A364">
        <v>89</v>
      </c>
      <c r="B364">
        <v>12</v>
      </c>
      <c r="C364">
        <v>28</v>
      </c>
      <c r="D364">
        <v>1</v>
      </c>
      <c r="E364">
        <v>6</v>
      </c>
      <c r="F364" s="3">
        <f>1857.3+(84.9-731.9)+(-3.788892+(-0.173196--1.493076))+0--56.3-0.114851999999998</f>
        <v>1264.016136</v>
      </c>
      <c r="G364" s="3">
        <f>1770.9+(115.1-761.6)+(-4.515795+(-0.293505--1.94208))+0--29.7-0.0757349999999957</f>
        <v>1151.1570450000002</v>
      </c>
      <c r="H364" s="3">
        <f>1671.6+(88.7-660.8)+(0.852516+(0.045237-0.337008))+0--30--0.015299999999997</f>
        <v>1130.076045</v>
      </c>
      <c r="I364" s="3">
        <f>1631+(106.6-652.4)+(-4.15905+(-0.27183--1.66362))+0--32.3-0.0823649999999953</f>
        <v>1114.6503749999999</v>
      </c>
      <c r="J364" s="3">
        <f>1635.3+(114.9-664)+(1.668006+(0.117198-0.67728))+0--32.7--0.0333540000000052</f>
        <v>1120.0412779999997</v>
      </c>
      <c r="K364" s="3">
        <f>1656.5+(131.5-669.2)+(0+(0-0))+0--32.2-0</f>
        <v>1151</v>
      </c>
      <c r="L364" s="3">
        <f>1725.3+(133.7-723.2)+(-2.639709+(-0.204561--1.106496))+0--33.3-0.0509490000000019</f>
        <v>1167.311277</v>
      </c>
      <c r="M364" s="3">
        <f>1740.8+(145.2-652.3)+(-0.887808+(-0.074052--0.332673))+0--32.8-0.0167279999999967</f>
        <v>1265.8540849999999</v>
      </c>
      <c r="N364" s="3">
        <f>1788+(161.2-651.1)+(-0.91188+(-0.082212--0.332061))+0--58.8-0.029987999999994</f>
        <v>1356.2079809999998</v>
      </c>
      <c r="O364" s="3">
        <f>1834.7+(132.4-649.8)+(-2.807091+(-0.202572--0.994194))+0--98.3-0.150399000000006</f>
        <v>1413.4341320000001</v>
      </c>
      <c r="P364" s="3">
        <f>1817.3+(116.4-593.6)+(-0.926823+(-0.059364--0.302736))+0--97-0.0494699999999902</f>
        <v>1436.3670789999999</v>
      </c>
      <c r="Q364" s="3">
        <f>1795.4+(98-530.4)+(-3.662616+(-0.19992--1.082016))+0--81.8-0.166871999999996</f>
        <v>1441.8526079999999</v>
      </c>
      <c r="R364" s="3">
        <f>1784.6+(75.2-493.8)+(-1.820292+(-0.076704--0.503676))+0--31.7-0.0323340000000051</f>
        <v>1396.2743460000002</v>
      </c>
      <c r="S364" s="3">
        <f>1774.6+(75.2-491.8)+(0+(0-0))+0--31.2-0</f>
        <v>1389.2</v>
      </c>
      <c r="T364" s="3">
        <f>1698.2+(80.9-455.2)+(0.866082+(0.041259-0.232152))+0--52.7--0.0268769999999947</f>
        <v>1377.3020660000002</v>
      </c>
      <c r="U364" s="3">
        <f>1684.3+(83.2-484.2)+(-0.858993+(-0.042432--0.246942))+0--93.6-0.0477359999999905</f>
        <v>1376.1977809999998</v>
      </c>
      <c r="V364" s="3">
        <f>1671.1+(94.5-486.4)+(-4.261305+(-0.240975--1.24032))+0--94.1-0.239954999999986</f>
        <v>1369.7980849999997</v>
      </c>
      <c r="W364" s="3">
        <f>1677.5+(121.4-536.1)+(-3.4221+(-0.247656--1.093644))+0--94.7-0.193187999999996</f>
        <v>1354.7307000000001</v>
      </c>
      <c r="X364" s="3">
        <f>1749.9+(124.7-435.7)+(-0.892449+(-0.063597--0.222207))+0--95.3-0.0486029999999903</f>
        <v>1533.4175580000001</v>
      </c>
      <c r="Y364" s="3">
        <f>1818.2+(94.2-410)+(-1.854564+(-0.096084--0.4182))+0--96.5-0.0984300000000154</f>
        <v>1597.2691220000002</v>
      </c>
      <c r="Z364" s="3">
        <f>1772.8+(106.5-422.4)+(-0.904128+(-0.054315--0.215424))+0--98.5-0.05023499999999</f>
        <v>1554.6067460000002</v>
      </c>
      <c r="AA364" s="3">
        <f>1733+(111.9-381.6)+(-2.65149+(-0.171207--0.583848))+0--68.8-0.105264000000004</f>
        <v>1529.7558869999998</v>
      </c>
      <c r="AB364" s="3">
        <f>1699.4+(89.9-345.6)+(-2.600082+(-0.137547--0.528768))+0--30.7-0.0469710000000018</f>
        <v>1472.144168</v>
      </c>
      <c r="AC364" s="3">
        <f>1511.9+(96.4-257.3)+(-2.313207+(-0.147492--0.393669))+0--31-0.0474300000000018</f>
        <v>1379.88554</v>
      </c>
      <c r="AD364">
        <f t="shared" si="5"/>
        <v>32342.550039999998</v>
      </c>
      <c r="AE364" s="3">
        <f>1814+(100.5-388.6)+(0+(0-0))+0--96-0</f>
        <v>1621.9</v>
      </c>
    </row>
    <row r="365" spans="1:31" s="2" customFormat="1" x14ac:dyDescent="0.25">
      <c r="A365">
        <v>89</v>
      </c>
      <c r="B365">
        <v>12</v>
      </c>
      <c r="C365">
        <v>29</v>
      </c>
      <c r="D365">
        <v>2</v>
      </c>
      <c r="E365">
        <v>2</v>
      </c>
      <c r="F365" s="3">
        <f>1410.9+(103.3-265.5)+(-2.158677+(-0.158049--0.406215))+0--31.5-0.0481950000000018</f>
        <v>1278.2412939999999</v>
      </c>
      <c r="G365" s="3">
        <f>1398.3+(101.2-329.2)+(-2.139399+(-0.154836--0.503676))+0--30.8-0.0471240000000018</f>
        <v>1199.2623169999999</v>
      </c>
      <c r="H365" s="3">
        <f>1418.9+(108.8-398.1)+(-2.894556+(-0.221952--0.812124))+0--31-0.0632399999999986</f>
        <v>1158.2323760000002</v>
      </c>
      <c r="I365" s="3">
        <f>1386+(126-415.8)+(0.70686+(0.06426-0.212058))+0--31--0.0158099999999969</f>
        <v>1127.7748720000002</v>
      </c>
      <c r="J365" s="3">
        <f>1377.9+(134.2-420.4)+(2.108187+(0.205326-0.643212))+0--31--0.0474300000000018</f>
        <v>1124.4177310000002</v>
      </c>
      <c r="K365" s="3">
        <f>1370.2+(148.3-390.6)+(-1.397604+(-0.151266--0.398412))+0--30.9-0.0315180000000049</f>
        <v>1157.6180240000001</v>
      </c>
      <c r="L365" s="3">
        <f>1365.3+(178.2-423.4)+(-2.088909+(-0.272646--0.647802))+0--31.9-0.0488070000000018</f>
        <v>1150.2374400000001</v>
      </c>
      <c r="M365" s="3">
        <f>1379+(154-343.1)+(2.81316+(0.31416-0.699924))+0--31.8--0.0648719999999986</f>
        <v>1224.192268</v>
      </c>
      <c r="N365" s="3">
        <f>1448.2+(171.3-324.2)+(0+(0-0))+0--32.2-0</f>
        <v>1327.5000000000002</v>
      </c>
      <c r="O365" s="3">
        <f>1617+(146.6-422.8)+(-1.64934+(-0.149532--0.431256))+0--61.5-0.0627300000000098</f>
        <v>1400.8696539999999</v>
      </c>
      <c r="P365" s="3">
        <f>1748.1+(142.2-430.2)+(-3.566124+(-0.290088--0.877608))+0--95.4-0.194615999999996</f>
        <v>1552.3267800000001</v>
      </c>
      <c r="Q365" s="3">
        <f>1659.6+(132.6-407.2)+(-2.539188+(-0.202878--0.623016))+0--95.1-0.145503000000005</f>
        <v>1477.8354469999999</v>
      </c>
      <c r="R365" s="3">
        <f>1401.2+(136.4-249.5)+(-2.143836+(-0.208692--0.381735))+0--94.2-0.144126000000005</f>
        <v>1380.1850810000003</v>
      </c>
      <c r="S365" s="3">
        <f>1377.6+(132.4-232.8)+(-3.51288+(-0.33762--0.59364))+0--92.8-0.236639999999987</f>
        <v>1366.5064999999997</v>
      </c>
      <c r="T365" s="3">
        <f>1359.4+(150.1-211.1)+(-2.773176+(-0.306204--0.430644))+0--72.6-0.148103999999997</f>
        <v>1368.2031599999998</v>
      </c>
      <c r="U365" s="3">
        <f>1342.2+(175.8-178.8)+(-2.053566+(-0.268974--0.273564))+0--28.8-0.0440640000000017</f>
        <v>1365.90696</v>
      </c>
      <c r="V365" s="3">
        <f>1352.4+(173.9-180.2)+(0.689724+(0.088689-0.091902))+0--29.6--0.015095999999997</f>
        <v>1376.4016070000002</v>
      </c>
      <c r="W365" s="3">
        <f>1384.3+(155.6-201.6)+(0+(0-0))+0--31-0</f>
        <v>1369.3</v>
      </c>
      <c r="X365" s="3">
        <f>1412.6+(303.6-195.8)+(0.720426+(0.154836-0.099858))+0--32.9--0.0167789999999967</f>
        <v>1554.092183</v>
      </c>
      <c r="Y365" s="3">
        <f>1653.7+(172.8-307.3)+(-4.216935+(-0.44064--0.783615))+0--96.6-0.246329999999986</f>
        <v>1611.6797100000001</v>
      </c>
      <c r="Z365" s="3">
        <f>1621+(138.2-288.3)+(-2.48013+(-0.211446--0.441099))+0--97.6-0.149328000000006</f>
        <v>1566.100195</v>
      </c>
      <c r="AA365" s="3">
        <f>1538.8+(177.4-236)+(-1.569576+(-0.180948--0.24072))+0--55.8-0.0569160000000089</f>
        <v>1534.43328</v>
      </c>
      <c r="AB365" s="3">
        <f>1592.6+(119.1-253.1)+(-0.812226+(-0.060741--0.129081))+0--31-0.0158099999999969</f>
        <v>1488.8403039999998</v>
      </c>
      <c r="AC365" s="3">
        <f>1515+(128.9-251.5)+(-3.0906+(-0.262956--0.51306))+0--31.2-0.0636479999999986</f>
        <v>1420.695856</v>
      </c>
      <c r="AD365">
        <f t="shared" si="5"/>
        <v>32580.853039000001</v>
      </c>
      <c r="AE365" s="3">
        <f>1669+(159.9-300.6)+(0+(0-0))+0--95-0</f>
        <v>1623.3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89</v>
      </c>
      <c r="B1">
        <v>1</v>
      </c>
      <c r="C1">
        <v>1</v>
      </c>
      <c r="D1">
        <v>2</v>
      </c>
      <c r="E1">
        <v>2</v>
      </c>
      <c r="F1" s="3">
        <f>296.1+(140-107.1)+(0+(0-0))+0-35.8-0</f>
        <v>293.2</v>
      </c>
      <c r="G1" s="3">
        <f>297.9+(137.3-123.8)+(0+(0-0))+0-33.6-0</f>
        <v>277.79999999999995</v>
      </c>
      <c r="H1" s="3">
        <f>298+(178.3-174.7)+(0+(0-0))+0-33.7-0</f>
        <v>267.90000000000003</v>
      </c>
      <c r="I1" s="3">
        <f>292.9+(196.2-197.9)+(-0.149379+(-0.100062--0.100929))+0-32.4--0.0165239999999967</f>
        <v>258.66801199999998</v>
      </c>
      <c r="J1" s="3">
        <f>297.6+(207.7-208.6)+(-0.75888+(-0.529635--0.53193))+0-32.9--0.0838949999999952</f>
        <v>263.12731000000008</v>
      </c>
      <c r="K1" s="3">
        <f>296.4+(238.9-248)+(-0.151164+(-0.121839--0.12648))+0-33.1--0.0168809999999966</f>
        <v>254.07035799999994</v>
      </c>
      <c r="L1" s="3">
        <f>293.8+(229.5-256.7)+(-0.74919+(-0.585225--0.654585))+0-32.5--0.0828749999999953</f>
        <v>233.50304500000004</v>
      </c>
      <c r="M1" s="3">
        <f>297.5+(163.3-188.5)+(0.455175+(0.249849-0.288405))+0-39.1-0.0598230000000023</f>
        <v>233.55679600000005</v>
      </c>
      <c r="N1" s="3">
        <f>295.2+(143.9-149.7)+(0+(0-0))+0-51.9-0</f>
        <v>237.49999999999997</v>
      </c>
      <c r="O1" s="3">
        <f>294.8+(146.8-161)+(-0.601392+(-0.299472--0.32844))+0-35.7--0.0728279999999985</f>
        <v>244.40040400000001</v>
      </c>
      <c r="P1" s="3">
        <f>288.5+(150.4-149.2)+(-0.735675+(-0.38352--0.38046))+0-50.6--0.129029999999993</f>
        <v>238.49029500000003</v>
      </c>
      <c r="Q1" s="3">
        <f>288.6+(147.5-139.5)+(-0.294372+(-0.15045--0.14229))+0-59.5--0.0606900000000095</f>
        <v>236.85815800000006</v>
      </c>
      <c r="R1" s="3">
        <f>284.5+(133.4-155)+(-0.29019+(-0.136068--0.1581))+0-59--0.0601800000000094</f>
        <v>203.69202199999995</v>
      </c>
      <c r="S1" s="3">
        <f>281+(142.9-141.9)+(0+(0-0))+0-61.9-0</f>
        <v>220.1</v>
      </c>
      <c r="T1" s="3">
        <f>277.2+(150.4-132.3)+(-0.424116+(-0.230112--0.202419))+0-62.8--0.0960840000000036</f>
        <v>232.14427499999991</v>
      </c>
      <c r="U1" s="3">
        <f>269.8+(143-140.2)+(-0.412794+(-0.21879--0.214506))+0-41.8--0.0639540000000024</f>
        <v>230.446876</v>
      </c>
      <c r="V1" s="3">
        <f>268+(139.7-134.5)+(-0.41004+(-0.213741--0.205785))+0-68.9--0.105417000000004</f>
        <v>203.98742099999998</v>
      </c>
      <c r="W1" s="3">
        <f>271.7+(120.3-151.4)+(-0.277134+(-0.122706--0.154428))+0-53.5--0.0545700000000085</f>
        <v>186.90915799999999</v>
      </c>
      <c r="X1" s="3">
        <f>273.7+(136.8-123.6)+(-0.139587+(-0.069768--0.063036))+0-55--0.0280499999999944</f>
        <v>231.78173099999998</v>
      </c>
      <c r="Y1" s="3">
        <f>279.9+(179.4-119.4)+(0+(0-0))+0-64.2-0</f>
        <v>275.7</v>
      </c>
      <c r="Z1" s="3">
        <f>289.6+(162.2-141.8)+(-0.147696+(-0.082722--0.072318))+0-53.3--0.0271829999999946</f>
        <v>256.56908299999998</v>
      </c>
      <c r="AA1" s="3">
        <f>291.6+(124.9-121.6)+(-0.74358+(-0.318495--0.31008))+0-73.8--0.188189999999989</f>
        <v>220.53619499999999</v>
      </c>
      <c r="AB1" s="3">
        <f>296.2+(100.9-124.5)+(-0.302124+(-0.102918--0.12699))+0-58.3--0.0594660000000093</f>
        <v>214.08141400000002</v>
      </c>
      <c r="AC1" s="3">
        <f>296+(113.5-105.3)+(-1.05672+(-0.405195--0.375921))+0-44--0.157080000000001</f>
        <v>259.27108599999997</v>
      </c>
      <c r="AD1">
        <f t="shared" ref="AD1:AD64" si="0">SUM(F1:AC1)</f>
        <v>5774.2936390000004</v>
      </c>
      <c r="AE1" s="3">
        <f>282+(184-119)+(0+(0-0))+0-60-0</f>
        <v>287</v>
      </c>
    </row>
    <row r="2" spans="1:31" s="2" customFormat="1" x14ac:dyDescent="0.25">
      <c r="A2">
        <v>89</v>
      </c>
      <c r="B2">
        <v>1</v>
      </c>
      <c r="C2">
        <v>2</v>
      </c>
      <c r="D2">
        <v>3</v>
      </c>
      <c r="E2">
        <v>2</v>
      </c>
      <c r="F2" s="3">
        <f>(G2+AC1)/2</f>
        <v>299.70076799999998</v>
      </c>
      <c r="G2" s="3">
        <f>303+(118-72)+(-0.77265+(-0.3009--0.1836))+0-8--0.0203999999999988</f>
        <v>340.13045</v>
      </c>
      <c r="H2" s="3">
        <f>302.4+(124-111.5)+(-0.925344+(-0.37944--0.34119))+0-8--0.0244800000000009</f>
        <v>305.96088599999996</v>
      </c>
      <c r="I2" s="3">
        <f>302.9+(124-116.9)+(-0.308958+(-0.12648--0.119238))+0-8--0.00816000000000128</f>
        <v>301.69195999999999</v>
      </c>
      <c r="J2" s="3">
        <f>303.4+(122.2-115.3)+(0+(0-0))+0-8-0</f>
        <v>302.29999999999995</v>
      </c>
      <c r="K2" s="3">
        <f>303.4+(118.8-122.8)+(0.309468+(0.121176-0.125256))+0-8-0.00816000000000128</f>
        <v>291.697228</v>
      </c>
      <c r="L2" s="3">
        <f>305.2+(118.6-119.5)+(0.155652+(0.060486-0.060945))+0-9-0.00458999999999909</f>
        <v>295.45060299999994</v>
      </c>
      <c r="M2" s="3">
        <f>305.1+(120.3-119.5)+(-0.778005+(-0.306765--0.304725))+0-9--0.0229499999999987</f>
        <v>296.14290500000004</v>
      </c>
      <c r="N2" s="3">
        <f>301.3+(113.8-122.7)+(-0.307326+(-0.116076--0.125154))+0-5--0.0051000000000008</f>
        <v>287.106852</v>
      </c>
      <c r="O2" s="3">
        <f>300.6+(112.7-140.4)+(-0.306612+(-0.114954--0.143208))+0-5--0.0051000000000008</f>
        <v>267.62674200000004</v>
      </c>
      <c r="P2" s="3">
        <f>296.6+(124.5-138.4)+(-0.302532+(-0.12699--0.141168))+0-5--0.0051000000000008</f>
        <v>277.41674600000005</v>
      </c>
      <c r="Q2" s="3">
        <f>295.8+(117.2-127.1)+(-0.452574+(-0.179316--0.194463))+0-9--0.0137700000000005</f>
        <v>276.47634300000004</v>
      </c>
      <c r="R2" s="3">
        <f>295.2+(185-142.6)+(0+(0-0))+0-67.6-0</f>
        <v>270</v>
      </c>
      <c r="S2" s="3">
        <f>291.6+(176-137.5)+(-0.74358+(-0.4488--0.350625))+0-63.2--0.161159999999991</f>
        <v>266.21940500000005</v>
      </c>
      <c r="T2" s="3">
        <f>292.3+(251.8-231.9)+(-0.149073+(-0.128418--0.118269))+0-49.7--0.025346999999995</f>
        <v>262.36612500000007</v>
      </c>
      <c r="U2" s="3">
        <f>291.7+(258.5-237.5)+(-0.148767+(-0.131835--0.121125))+0-54.1--0.0275909999999945</f>
        <v>258.46811399999996</v>
      </c>
      <c r="V2" s="3">
        <f>311.8+(202.1-202.5)+(-0.477054+(-0.309213--0.309825))+0-50.2--0.0768060000000029</f>
        <v>260.80036399999995</v>
      </c>
      <c r="W2" s="3">
        <f>334.8+(169-173.6)+(-0.341496+(-0.17238--0.177072))+0-64.3--0.0655860000000102</f>
        <v>265.62878200000006</v>
      </c>
      <c r="X2" s="3">
        <f>333.6+(165.4-153.2)+(0+(0-0))+0-72.7-0</f>
        <v>273.10000000000008</v>
      </c>
      <c r="Y2" s="3">
        <f>336.2+(321.6-241.5)+(-0.171462+(-0.164016--0.123165))+0-84.5--0.0430949999999914</f>
        <v>331.63078200000001</v>
      </c>
      <c r="Z2" s="3">
        <f>336.9+(264-151.7)+(-0.687276+(-0.53856--0.309468))+0-97.2--0.198287999999996</f>
        <v>351.28192000000001</v>
      </c>
      <c r="AA2" s="3">
        <f>339.2+(271.3-174.5)+(-0.345984+(-0.276726--0.17799))+0-85.1--0.0868020000000136</f>
        <v>350.54208200000005</v>
      </c>
      <c r="AB2" s="3">
        <f>338.9+(282.9-199)+(-0.518517+(-0.432837--0.30447))+0-83.1--0.127143000000005</f>
        <v>339.18025899999992</v>
      </c>
      <c r="AC2" s="3">
        <f>339.7+(274-212.6)+(-0.519741+(-0.41922--0.325278))+0-73.8--0.112914000000004</f>
        <v>326.79923100000002</v>
      </c>
      <c r="AD2">
        <f t="shared" si="0"/>
        <v>7097.7185470000004</v>
      </c>
      <c r="AE2" s="3">
        <f>336+(269-143)+(0+(0-0))+0-109-0</f>
        <v>353</v>
      </c>
    </row>
    <row r="3" spans="1:31" s="2" customFormat="1" x14ac:dyDescent="0.25">
      <c r="A3">
        <v>89</v>
      </c>
      <c r="B3">
        <v>1</v>
      </c>
      <c r="C3">
        <v>3</v>
      </c>
      <c r="D3">
        <v>4</v>
      </c>
      <c r="E3">
        <v>2</v>
      </c>
      <c r="F3" s="3">
        <f>311.8+(236.8-126.3)+(-0.636072+(-0.483072--0.257652))+0-69.4--0.141575999999997</f>
        <v>352.18008399999997</v>
      </c>
      <c r="G3" s="3">
        <f>295.9+(176.3-99.4)+(-0.452727+(-0.269739--0.152082))+0-66.1--0.101133000000004</f>
        <v>306.23074899999995</v>
      </c>
      <c r="H3" s="3">
        <f>294.7+(159.2-85.3)+(-0.901782+(-0.487152--0.261018))+0-72.5--0.221850000000008</f>
        <v>295.19393399999996</v>
      </c>
      <c r="I3" s="3">
        <f>295.8+(155.5-106)+(-0.301716+(-0.15861--0.10812))+0-55.3--0.0564060000000088</f>
        <v>289.70419999999996</v>
      </c>
      <c r="J3" s="3">
        <f>298.9+(121.7-96.2)+(-0.457317+(-0.186201--0.147186))+0-85--0.130050000000005</f>
        <v>239.03371799999999</v>
      </c>
      <c r="K3" s="3">
        <f>299+(121.2-97.2)+(-0.15249+(-0.061812--0.049572))+0-79.1--0.040340999999992</f>
        <v>243.77561099999997</v>
      </c>
      <c r="L3" s="3">
        <f>302+(115.4-107.8)+(-0.61608+(-0.235416--0.219912))+0-69--0.140759999999997</f>
        <v>240.10917600000005</v>
      </c>
      <c r="M3" s="3">
        <f>306+(109.5-119)+(-0.46818+(-0.167535--0.18207))+0-64.9--0.0992970000000038</f>
        <v>231.24565200000001</v>
      </c>
      <c r="N3" s="3">
        <f>306.5+(134.8-81.2)+(0.156315+(0.068748-0.041412))+0-77.8-0.0396779999999921</f>
        <v>282.44397300000003</v>
      </c>
      <c r="O3" s="3">
        <f>304.9+(183.7-104.9)+(0+(0-0))+0-73.5-0</f>
        <v>310.19999999999993</v>
      </c>
      <c r="P3" s="3">
        <f>299+(214-118.9)+(0.15249+(0.10914-0.060639))+0-71.9-0.0366689999999927</f>
        <v>322.36432199999996</v>
      </c>
      <c r="Q3" s="3">
        <f>296.5+(236.4-115.9)+(-0.151215+(-0.120564--0.059109))+0-76.5--0.0390149999999922</f>
        <v>340.326345</v>
      </c>
      <c r="R3" s="3">
        <f>293.2+(352.9-283.3)+(-0.299064+(-0.359958--0.288966))+0-74.2--0.0756840000000118</f>
        <v>288.30562800000001</v>
      </c>
      <c r="S3" s="3">
        <f>274+(527.3-441.8)+(-0.13974+(-0.268923--0.225318))+0-78.2--0.0398819999999921</f>
        <v>281.15653699999996</v>
      </c>
      <c r="T3" s="3">
        <f>189.8+(447.6-287.6)+(0+(0-0))+0-76.7-0</f>
        <v>273.10000000000002</v>
      </c>
      <c r="U3" s="3">
        <f>190+(495.9-348.8)+(-0.2907+(-0.758727--0.533664))+0-71.9--0.110007000000004</f>
        <v>264.79424399999994</v>
      </c>
      <c r="V3" s="3">
        <f>190.1+(495.6-344.1)+(-0.193902+(-0.505512--0.350982))+0-72.2--0.0736440000000115</f>
        <v>269.12521200000003</v>
      </c>
      <c r="W3" s="3">
        <f>190+(434.7-282.6)+(-0.1938+(-0.443394--0.288252))+0-62.7--0.06395400000001</f>
        <v>279.11501199999998</v>
      </c>
      <c r="X3" s="3">
        <f>190.1+(405.3-230.6)+(0+(0-0))+0-76.4-0</f>
        <v>288.39999999999998</v>
      </c>
      <c r="Y3" s="3">
        <f>250.2+(434.1-250.3)+(0+(0-0))+0-80.8-0</f>
        <v>353.2</v>
      </c>
      <c r="Z3" s="3">
        <f>294.9+(326.6-184.1)+(-0.601596+(-0.666264--0.375564))+0-75.5--0.154019999999997</f>
        <v>361.16172399999999</v>
      </c>
      <c r="AA3" s="3">
        <f>296.6+(338-204.8)+(0+(0-0))+0-77.6-0</f>
        <v>352.20000000000005</v>
      </c>
      <c r="AB3" s="3">
        <f>297.6+(374.8-255.1)+(-0.151776+(-0.191148--0.130101))+0-77.4--0.0394739999999922</f>
        <v>339.726651</v>
      </c>
      <c r="AC3" s="3">
        <f>297.7+(337.7-230.9)+(-0.303654+(-0.344454--0.235518))+0-77.7--0.0792540000000124</f>
        <v>326.46666399999998</v>
      </c>
      <c r="AD3">
        <f t="shared" si="0"/>
        <v>7129.5594359999977</v>
      </c>
      <c r="AE3" s="3">
        <f>290+(337-185)+(0+(0-0))+0-82-0</f>
        <v>360</v>
      </c>
    </row>
    <row r="4" spans="1:31" s="2" customFormat="1" x14ac:dyDescent="0.25">
      <c r="A4">
        <v>89</v>
      </c>
      <c r="B4">
        <v>1</v>
      </c>
      <c r="C4">
        <v>4</v>
      </c>
      <c r="D4">
        <v>5</v>
      </c>
      <c r="E4">
        <v>2</v>
      </c>
      <c r="F4" s="3">
        <f>301.8+(308.9-221.4)+(-0.307836+(-0.315078--0.225828))+0-76.9--0.0784380000000123</f>
        <v>312.08135199999992</v>
      </c>
      <c r="G4" s="3">
        <f>301.9+(222.4-149.1)+(-0.615876+(-0.453696--0.304164))+0-82.6--0.168503999999996</f>
        <v>292.00309600000003</v>
      </c>
      <c r="H4" s="3">
        <f>304.1+(182.5-127.8)+(-0.465273+(-0.279225--0.195534))+0-77.2--0.118116000000004</f>
        <v>281.169152</v>
      </c>
      <c r="I4" s="3">
        <f>305.1+(168-118.3)+(0.311202+(0.17136-0.120666))+0-80-0.0816000000000128</f>
        <v>275.08029599999998</v>
      </c>
      <c r="J4" s="3">
        <f>305+(205.3-161.4)+(-0.15555+(-0.104703--0.082314))+0-77.1--0.0393209999999922</f>
        <v>271.661382</v>
      </c>
      <c r="K4" s="3">
        <f>304.9+(194-156.7)+(0.155499+(0.09894-0.079917))+0-67.6-0.0344759999999931</f>
        <v>274.74004600000006</v>
      </c>
      <c r="L4" s="3">
        <f>303+(164.8-139.3)+(-0.15453+(-0.084048--0.071043))+0-59.5--0.030344999999994</f>
        <v>268.86281000000002</v>
      </c>
      <c r="M4" s="3">
        <f>301.8+(158.5-117.3)+(-0.307836+(-0.16167--0.119646))+0-80.1--0.0817020000000128</f>
        <v>262.63184200000006</v>
      </c>
      <c r="N4" s="3">
        <f>297.2+(201.1-147.3)+(0+(0-0))+0-80.3-0</f>
        <v>270.7</v>
      </c>
      <c r="O4" s="3">
        <f>293.8+(226.6-148.8)+(0.149838+(0.115566-0.075888))+0-89.4-0.0455939999999909</f>
        <v>282.34392200000008</v>
      </c>
      <c r="P4" s="3">
        <f>291.4+(228.3-160.3)+(-0.594456+(-0.465732--0.327012))+0-68.8--0.140351999999997</f>
        <v>290.00717599999996</v>
      </c>
      <c r="Q4" s="3">
        <f>289.3+(240.8-161)+(-0.295086+(-0.245616--0.16422))+0-65.7--0.0670140000000105</f>
        <v>303.09053200000005</v>
      </c>
      <c r="R4" s="3">
        <f>287+(272.3-186.9)+(0+(0-0))+0-69-0</f>
        <v>303.39999999999998</v>
      </c>
      <c r="S4" s="3">
        <f>284.9+(324.8-246.2)+(0.145299+(0.165648-0.125562))+0-67.1-0.0342209999999932</f>
        <v>296.55116399999997</v>
      </c>
      <c r="T4" s="3">
        <f>216+(396-235.3)+(-0.22032+(-0.40392--0.240006))+0-75.3--0.076806000000012</f>
        <v>301.09257200000002</v>
      </c>
      <c r="U4" s="3">
        <f>164.1+(422.7-219.1)+(-0.251073+(-0.646731--0.335223))+0-83.7--0.128061000000005</f>
        <v>283.56547999999998</v>
      </c>
      <c r="V4" s="3">
        <f>164.1+(395.1-192.7)+(0+(0-0))+0-77.4-0</f>
        <v>289.10000000000002</v>
      </c>
      <c r="W4" s="3">
        <f>162.8+(363.5-142)+(-0.083028+(-0.185385--0.07242))+0-84.3--0.0429929999999914</f>
        <v>299.84699999999998</v>
      </c>
      <c r="X4" s="3">
        <f>164.9+(332.9-112.6)+(-0.084099+(-0.169779--0.057426))+0-77.6--0.0395759999999921</f>
        <v>307.44312400000001</v>
      </c>
      <c r="Y4" s="3">
        <f>168.9+(513-236)+(-0.086139+(-0.26163--0.12036))+0-92.1--0.0469709999999907</f>
        <v>353.61956199999997</v>
      </c>
      <c r="Z4" s="3">
        <f>171.6+(532.4-254.3)+(-0.350064+(-1.086096--0.518772))+0-85.3--0.174011999999996</f>
        <v>363.65662399999991</v>
      </c>
      <c r="AA4" s="3">
        <f>171+(501.6-234.9)+(-0.17442+(-0.511632--0.239598))+0-84.5--0.0861900000000135</f>
        <v>352.83973600000002</v>
      </c>
      <c r="AB4" s="3">
        <f>171.1+(472.2-221.3)+(0+(0-0))+0-78.9-0</f>
        <v>343.1</v>
      </c>
      <c r="AC4" s="3">
        <f>172.9+(464.4-222.2)+(-0.176358+(-0.473688--0.226644))+0-87.3--0.0890460000000139</f>
        <v>327.465644</v>
      </c>
      <c r="AD4">
        <f t="shared" si="0"/>
        <v>7206.0525120000011</v>
      </c>
      <c r="AE4" s="3">
        <f>171+(508-258)+(0+(0-0))+0-63-0</f>
        <v>358</v>
      </c>
    </row>
    <row r="5" spans="1:31" s="2" customFormat="1" x14ac:dyDescent="0.25">
      <c r="A5">
        <v>89</v>
      </c>
      <c r="B5">
        <v>1</v>
      </c>
      <c r="C5">
        <v>5</v>
      </c>
      <c r="D5">
        <v>6</v>
      </c>
      <c r="E5">
        <v>6</v>
      </c>
      <c r="F5" s="3">
        <f>172.6+(378.9-156.2)+(-0.44013+(-0.966195--0.39831))+0-78.8--0.200939999999989</f>
        <v>315.69292499999995</v>
      </c>
      <c r="G5" s="3">
        <f>173.9+(334.4-121.9)+(-0.266067+(-0.511632--0.186507))+0-90.1--0.137853000000005</f>
        <v>295.84666099999998</v>
      </c>
      <c r="H5" s="3">
        <f>173.6+(279.9-90.7)+(-0.177072+(-0.285498--0.092514))+0-78.3--0.0798660000000125</f>
        <v>284.20981</v>
      </c>
      <c r="I5" s="3">
        <f>173.7+(273.6-86.8)+(-0.088587+(-0.139536--0.044268))+0-81.7--0.0416669999999917</f>
        <v>278.65781200000004</v>
      </c>
      <c r="J5" s="3">
        <f>173.8+(265-79.4)+(-0.088638+(-0.13515--0.040494))+0-84.7--0.0431969999999914</f>
        <v>274.55990299999996</v>
      </c>
      <c r="K5" s="3">
        <f>175.2+(255.5-70.5)+(-0.089352+(-0.130305--0.035955))+0-79.4--0.0404939999999919</f>
        <v>280.656792</v>
      </c>
      <c r="L5" s="3">
        <f>170.3+(244.3-60.6)+(-0.347412+(-0.498372--0.123624))+0-80.8--0.164831999999996</f>
        <v>272.642672</v>
      </c>
      <c r="M5" s="3">
        <f>170.2+(233.1-50.9)+(0.086802+(0.118881-0.025959))+0-77.6-0.0395759999999921</f>
        <v>274.94014800000002</v>
      </c>
      <c r="N5" s="3">
        <f>169.8+(281.2-83.1)+(0.086598+(0.143412-0.042381))+0-80.6-0.0411059999999918</f>
        <v>287.44652299999996</v>
      </c>
      <c r="O5" s="3">
        <f>169.4+(360.9-144.8)+(0.086394+(0.184059-0.073848))+0-83.5-0.0425849999999915</f>
        <v>302.15402</v>
      </c>
      <c r="P5" s="3">
        <f>169.1+(374.4-150.8)+(0+(0-0))+0-83.1-0</f>
        <v>309.59999999999991</v>
      </c>
      <c r="Q5" s="3">
        <f>169.2+(388.1-150)+(0.172584+(0.395862-0.153))+0-86.8-0.0885360000000138</f>
        <v>320.82690999999994</v>
      </c>
      <c r="R5" s="3">
        <f>167.9+(405.8-174)+(-0.085629+(-0.206958--0.08874))+0-78.7--0.040136999999992</f>
        <v>320.83629000000008</v>
      </c>
      <c r="S5" s="3">
        <f>167.7+(443.4-217.5)+(-0.171054+(-0.452268--0.22185))+0-79.3--0.0808860000000126</f>
        <v>313.97941399999996</v>
      </c>
      <c r="T5" s="3">
        <f>167.6+(504.1-284.8)+(0.085476+(0.257091-0.145248))+0-86.2-0.0439619999999913</f>
        <v>300.85335700000002</v>
      </c>
      <c r="U5" s="3">
        <f>167.6+(470.4-268.9)+(-0.170952+(-0.479808--0.274278))+0-73.1--0.0745620000000116</f>
        <v>295.69808</v>
      </c>
      <c r="V5" s="3">
        <f>167.5+(448.4-229)+(0+(0-0))+0-87.8-0</f>
        <v>299.09999999999997</v>
      </c>
      <c r="W5" s="3">
        <f>167.6+(386.1-164)+(-0.256428+(-0.590733--0.25092))+0-81.5--0.124695000000005</f>
        <v>307.72845400000006</v>
      </c>
      <c r="X5" s="3">
        <f>167.7+(339-104)+(-0.342108+(-0.69156--0.21216))+0-82.6--0.168503999999996</f>
        <v>319.44699600000001</v>
      </c>
      <c r="Y5" s="3">
        <f>168.9+(482.3-196.6)+(-0.172278+(-0.491946--0.200532))+0-83.2--0.0848640000000133</f>
        <v>371.02117200000009</v>
      </c>
      <c r="Z5" s="3">
        <f>169.2+(529-244)+(-0.258876+(-0.80937--0.37332))+0-81.1--0.124083000000005</f>
        <v>372.529157</v>
      </c>
      <c r="AA5" s="3">
        <f>169.4+(504.1-241)+(0+(0-0))+0-70-0</f>
        <v>362.5</v>
      </c>
      <c r="AB5" s="3">
        <f>169.5+(527.9-264)+(-0.086445+(-0.269229--0.13464))+0-84.8--0.0432479999999914</f>
        <v>348.422214</v>
      </c>
      <c r="AC5" s="3">
        <f>168.3+(508.7-249.7)+(-0.171666+(-0.518874--0.254694))+0-88.5--0.0902700000000141</f>
        <v>338.45442400000002</v>
      </c>
      <c r="AD5">
        <f t="shared" si="0"/>
        <v>7447.8037339999992</v>
      </c>
      <c r="AE5" s="3">
        <f>168+(514-239)+(0+(0-0))+0-57-0</f>
        <v>386</v>
      </c>
    </row>
    <row r="6" spans="1:31" s="2" customFormat="1" x14ac:dyDescent="0.25">
      <c r="A6">
        <v>89</v>
      </c>
      <c r="B6">
        <v>1</v>
      </c>
      <c r="C6">
        <v>6</v>
      </c>
      <c r="D6">
        <v>7</v>
      </c>
      <c r="E6">
        <v>1</v>
      </c>
      <c r="F6" s="3">
        <f>173.4+(422.2-179.2)+(-0.088434+(-0.215322--0.091392))+0-82--0.0418199999999917</f>
        <v>334.22945599999997</v>
      </c>
      <c r="G6" s="3">
        <f>173.6+(344.6-119.2)+(-0.177072+(-0.351492--0.121584))+0-86.9--0.0886380000000139</f>
        <v>311.78165800000005</v>
      </c>
      <c r="H6" s="3">
        <f>173.8+(272.6-70.7)+(-0.265914+(-0.417078--0.108171))+0-79.5--0.121635000000005</f>
        <v>295.74681400000009</v>
      </c>
      <c r="I6" s="3">
        <f>173.8+(245.9-52.4)+(0+(0-0))+0-75.9-0</f>
        <v>291.39999999999998</v>
      </c>
      <c r="J6" s="3">
        <f>173.8+(246.3-42.9)+(-0.265914+(-0.376839--0.065637))+0-89.5--0.136935000000005</f>
        <v>287.25981900000005</v>
      </c>
      <c r="K6" s="3">
        <f>173.9+(230.4-35.4)+(0+(0-0))+0-80.3-0</f>
        <v>288.59999999999997</v>
      </c>
      <c r="L6" s="3">
        <f>173.9+(227.2-33.9)+(0.266067+(0.347616-0.051867))+0-85.8-0.131274000000005</f>
        <v>281.83054199999998</v>
      </c>
      <c r="M6" s="3">
        <f>174+(230.2-62)+(-0.53244+(-0.704412--0.18972))+0-67.9--0.207774000000008</f>
        <v>273.46064200000006</v>
      </c>
      <c r="N6" s="3">
        <f>173.3+(276.7-99.1)+(0.176766+(0.282234-0.101082))+0-68.9-0.070278000000011</f>
        <v>282.2876399999999</v>
      </c>
      <c r="O6" s="3">
        <f>173.3+(320.1-114.4)+(0+(0-0))+0-89.8-0</f>
        <v>289.2</v>
      </c>
      <c r="P6" s="3">
        <f>173+(384.4-182.6)+(0+(0-0))+0-75.8-0</f>
        <v>298.99999999999994</v>
      </c>
      <c r="Q6" s="3">
        <f>172.8+(437.3-214.6)+(0.176256+(0.446046-0.218892))+0-89.5-0.0912900000000143</f>
        <v>306.31211999999999</v>
      </c>
      <c r="R6" s="3">
        <f>167.7+(476.6-260.6)+(0+(0-0))+0-80.6-0</f>
        <v>303.10000000000002</v>
      </c>
      <c r="S6" s="3">
        <f>166.5+(506.5-293.4)+(-0.254745+(-0.774945--0.448902))+0-81.2--0.124236000000005</f>
        <v>297.94344800000005</v>
      </c>
      <c r="T6" s="3">
        <f>165.4+(535.4-326.5)+(-0.253062+(-0.819162--0.499545))+0-88.4--0.135252000000005</f>
        <v>285.46257299999996</v>
      </c>
      <c r="U6" s="3">
        <f>165.4+(500.9-294)+(-0.253062+(-0.766377--0.44982))+0-82.4--0.126072000000005</f>
        <v>289.45645300000001</v>
      </c>
      <c r="V6" s="3">
        <f>166.2+(478.2-248.1)+(-0.254286+(-0.731646--0.379593))+0-101.3--0.154989000000006</f>
        <v>294.54864999999995</v>
      </c>
      <c r="W6" s="3">
        <f>165+(380.4-153.9)+(0+(0-0))+0-93.6-0</f>
        <v>297.89999999999998</v>
      </c>
      <c r="X6" s="3">
        <f>162.2+(306.8-50.5)+(-0.248166+(-0.469404--0.077265))+0-109.9--0.168147000000006</f>
        <v>308.12784200000004</v>
      </c>
      <c r="Y6" s="3">
        <f>164.2+(367-79.6)+(-0.251226+(-0.56151--0.121788))+0-110--0.168300000000006</f>
        <v>341.07735199999996</v>
      </c>
      <c r="Z6" s="3">
        <f>166.7+(379.5-52.5)+(-0.340068+(-0.77418--0.1071))+0-117.7--0.240107999999995</f>
        <v>375.23296000000005</v>
      </c>
      <c r="AA6" s="3">
        <f>167.7+(352.4-40)+(-0.171054+(-0.359448--0.0408))+0-115.8--0.118116000000018</f>
        <v>363.92841399999998</v>
      </c>
      <c r="AB6" s="3">
        <f>168.3+(379.5-79.3)+(-0.085833+(-0.193545--0.040443))+0-115.2--0.0587519999999883</f>
        <v>353.11981699999995</v>
      </c>
      <c r="AC6" s="3">
        <f>168.2+(357.3-52.8)+(0+(0-0))+0-131.3-0</f>
        <v>341.4</v>
      </c>
      <c r="AD6">
        <f t="shared" si="0"/>
        <v>7392.4061999999985</v>
      </c>
      <c r="AE6" s="3">
        <f>165+(388-54)+(0+(0-0))+0-122-0</f>
        <v>377</v>
      </c>
    </row>
    <row r="7" spans="1:31" s="2" customFormat="1" x14ac:dyDescent="0.25">
      <c r="A7">
        <v>89</v>
      </c>
      <c r="B7">
        <v>1</v>
      </c>
      <c r="C7">
        <v>7</v>
      </c>
      <c r="D7">
        <v>1</v>
      </c>
      <c r="E7">
        <v>1</v>
      </c>
      <c r="F7" s="3">
        <f>170.1+(361.3-94.5)+(-0.086751+(-0.184263--0.048195))+0-111.2--0.0567119999999887</f>
        <v>325.53389299999998</v>
      </c>
      <c r="G7" s="3">
        <f>170.1+(357.1-104.3)+(-0.260253+(-0.546363--0.159579))+0-116.1--0.177633000000007</f>
        <v>306.33059600000001</v>
      </c>
      <c r="H7" s="3">
        <f>171.5+(304.8-66.7)+(0+(0-0))+0-111.5-0</f>
        <v>298.10000000000002</v>
      </c>
      <c r="I7" s="3">
        <f>172.6+(291.6-50.1)+(-0.352104+(-0.594864--0.102204))+0-119.1--0.242963999999995</f>
        <v>294.39820000000003</v>
      </c>
      <c r="J7" s="3">
        <f>171.1+(274.5-32)+(0.087261+(0.139995-0.01632))+0-122.2-0.0623219999999876</f>
        <v>291.54861400000004</v>
      </c>
      <c r="K7" s="3">
        <f>172.7+(265-29.3)+(-0.088077+(-0.13515--0.014943))+0-118.8--0.060587999999988</f>
        <v>289.45230399999997</v>
      </c>
      <c r="L7" s="3">
        <f>173.5+(262-24.2)+(-0.17697+(-0.26724--0.024684))+0-107.1--0.109242000000017</f>
        <v>303.88971600000002</v>
      </c>
      <c r="M7" s="3">
        <f>173.8+(283.3-20.2)+(-0.354552+(-0.577932--0.041208))+0-113.8--0.232151999999995</f>
        <v>322.440876</v>
      </c>
      <c r="N7" s="3">
        <f>174+(319-33.8)+(0.17748+(0.32538-0.034476))+0-100-0.102000000000016</f>
        <v>359.56638399999997</v>
      </c>
      <c r="O7" s="3">
        <f>174+(317.3-38.9)+(-0.08874+(-0.161823--0.019839))+0-109.1--0.0556409999999889</f>
        <v>343.12491700000004</v>
      </c>
      <c r="P7" s="3">
        <f>174+(367-62.6)+(0+(0-0))+0-94-0</f>
        <v>384.4</v>
      </c>
      <c r="Q7" s="3">
        <f>173.7+(358.6-54.3)+(-0.177174+(-0.365772--0.055386))+0-77--0.0785400000000123</f>
        <v>400.59098000000006</v>
      </c>
      <c r="R7" s="3">
        <f>173.7+(409.2-74.6)+(-0.088587+(-0.208692--0.038046))+0-121.9--0.0621689999999876</f>
        <v>386.20293599999997</v>
      </c>
      <c r="S7" s="3">
        <f>174+(440.5-125.1)+(-0.26622+(-0.673965--0.191403))+0-105--0.160650000000006</f>
        <v>383.811868</v>
      </c>
      <c r="T7" s="3">
        <f>171.9+(459-160.3)+(-0.350676+(-0.93636--0.327012))+0-114.6--0.233783999999995</f>
        <v>355.27376000000004</v>
      </c>
      <c r="U7" s="3">
        <f>167.9+(485.7-204.4)+(-0.171258+(-0.495414--0.208488))+0-94.1--0.095982000000015</f>
        <v>354.73779799999994</v>
      </c>
      <c r="V7" s="3">
        <f>166+(473.1-182.7)+(-0.4233+(-1.206405--0.465885))+0-110.2--0.281009999999984</f>
        <v>345.31719000000004</v>
      </c>
      <c r="W7" s="3">
        <f>164.9+(421.2-118.1)+(0+(0-0))+0-109.3-0</f>
        <v>358.7</v>
      </c>
      <c r="X7" s="3">
        <f>164.5+(392.7-64.8)+(-0.251685+(-0.600831--0.099144))+0-125.7--0.192321000000007</f>
        <v>366.13894899999997</v>
      </c>
      <c r="Y7" s="3">
        <f>169.4+(473.9-93.7)+(0+(0-0))+0-106-0</f>
        <v>443.6</v>
      </c>
      <c r="Z7" s="3">
        <f>174+(407.3-22.7)+(-0.17748+(-0.415446--0.023154))+0-120.6--0.123012000000019</f>
        <v>437.55324000000007</v>
      </c>
      <c r="AA7" s="3">
        <f>176.1+(396.9-29.4)+(-0.179622+(-0.404838--0.029988))+0-116.2--0.118524000000019</f>
        <v>426.96405200000004</v>
      </c>
      <c r="AB7" s="3">
        <f>174.8+(429.9-72.1)+(-0.089148+(-0.219249--0.036771))+0-122.4--0.0624239999999876</f>
        <v>409.99079799999993</v>
      </c>
      <c r="AC7" s="3">
        <f>175+(437.1-111.2)+(-0.08925+(-0.222921--0.056712))+0-103.8--0.0529379999999895</f>
        <v>396.89747900000003</v>
      </c>
      <c r="AD7">
        <f t="shared" si="0"/>
        <v>8584.564550000001</v>
      </c>
      <c r="AE7" s="3">
        <f>176+(406-12)+(0+(0-0))+0-140-0</f>
        <v>430</v>
      </c>
    </row>
    <row r="8" spans="1:31" s="2" customFormat="1" x14ac:dyDescent="0.25">
      <c r="A8">
        <v>89</v>
      </c>
      <c r="B8">
        <v>1</v>
      </c>
      <c r="C8">
        <v>8</v>
      </c>
      <c r="D8">
        <v>2</v>
      </c>
      <c r="E8">
        <v>1</v>
      </c>
      <c r="F8" s="3">
        <f>175.2+(391.8-71)+(-0.357408+(-0.799272--0.14484))+0-117.5--0.239699999999995</f>
        <v>377.72785999999996</v>
      </c>
      <c r="G8" s="3">
        <f>174.9+(323.4-37.9)+(-0.267597+(-0.494802--0.057987))+0-106--0.162180000000006</f>
        <v>353.85776799999996</v>
      </c>
      <c r="H8" s="3">
        <f>167.4+(309.9-9.9)+(-0.341496+(-0.632196--0.020196))+0-124.4--0.253775999999995</f>
        <v>342.30028000000004</v>
      </c>
      <c r="I8" s="3">
        <f>166.8+(298.4-11.3)+(-0.170136+(-0.304368--0.011526))+0-114--0.116280000000018</f>
        <v>339.55330199999997</v>
      </c>
      <c r="J8" s="3">
        <f>168.1+(288.5-15.2)+(0+(0-0))+0-110.9-0</f>
        <v>330.5</v>
      </c>
      <c r="K8" s="3">
        <f>168.5+(286.1-17)+(0.085935+(0.145911-0.00867))+0-102.8-0.0524279999999896</f>
        <v>334.97074800000007</v>
      </c>
      <c r="L8" s="3">
        <f>169+(284.5-9.6)+(0.17238+(0.29019-0.009792))+0-108.5-0.110670000000017</f>
        <v>335.74210799999997</v>
      </c>
      <c r="M8" s="3">
        <f>167.6+(302.9-6)+(-0.085476+(-0.154479--0.00306))+0-114.7--0.0584969999999884</f>
        <v>349.621602</v>
      </c>
      <c r="N8" s="3">
        <f>168.5+(312.3-9.4)+(-0.085935+(-0.159273--0.004794))+0-99.5--0.0507449999999899</f>
        <v>371.71033100000005</v>
      </c>
      <c r="O8" s="3">
        <f>171.6+(334.9-7.1)+(-0.175032+(-0.341598--0.007242))+0-116--0.118320000000018</f>
        <v>383.00893200000002</v>
      </c>
      <c r="P8" s="3">
        <f>171.9+(354.3-24.1)+(0+(0-0))+0-111.4-0</f>
        <v>390.70000000000005</v>
      </c>
      <c r="Q8" s="3">
        <f>171.1+(383.8-43.8)+(-0.174522+(-0.391476--0.044676))+0-109.4--0.111588000000017</f>
        <v>401.29026600000003</v>
      </c>
      <c r="R8" s="3">
        <f>170.9+(363.7-59.9)+(-0.261477+(-0.556461--0.091647))+0-102.7--0.157131000000006</f>
        <v>371.43084000000005</v>
      </c>
      <c r="S8" s="3">
        <f>170.6+(451.6-104.5)+(0+(0-0))+0-120.1-0</f>
        <v>397.6</v>
      </c>
      <c r="T8" s="3">
        <f>170.1+(468.2-129.2)+(-0.347004+(-0.955128--0.263568))+0-123.3--0.251531999999995</f>
        <v>385.012968</v>
      </c>
      <c r="U8" s="3">
        <f>170.6+(447.2-136.8)+(-0.261018+(-0.684216--0.209304))+0-99.9--0.152847000000006</f>
        <v>380.51691699999998</v>
      </c>
      <c r="V8" s="3">
        <f>169.4+(433.9-107.5)+(-0.086394+(-0.221289--0.054825))+0-119--0.0606899999999879</f>
        <v>376.60783199999992</v>
      </c>
      <c r="W8" s="3">
        <f>168.6+(390.6-62.9)+(-0.257958+(-0.597618--0.096237))+0-112.4--0.171972000000007</f>
        <v>383.31263300000001</v>
      </c>
      <c r="X8" s="3">
        <f>169.3+(390.2-32)+(-0.086343+(-0.199002--0.01632))+0-130.4--0.0665039999999868</f>
        <v>396.89747899999998</v>
      </c>
      <c r="Y8" s="3">
        <f>172.4+(416.6-26.8)+(-0.175848+(-0.424932--0.027336))+0-116.6--0.118932000000019</f>
        <v>445.14548800000006</v>
      </c>
      <c r="Z8" s="3">
        <f>173.8+(420.6-16)+(-0.354552+(-0.858024--0.03264))+0-124.6--0.254183999999995</f>
        <v>452.87424800000008</v>
      </c>
      <c r="AA8" s="3">
        <f>173.7+(410.5-16.8)+(-0.088587+(-0.209355--0.008568))+0-127.4--0.0649739999999871</f>
        <v>439.77560000000005</v>
      </c>
      <c r="AB8" s="3">
        <f>171.9+(410.9-42.5)+(-0.263007+(-0.628677--0.065025))+0-116.9--0.178857000000007</f>
        <v>422.75219800000002</v>
      </c>
      <c r="AC8" s="3">
        <f>173.6+(416.9-61.1)+(0.088536+(0.212619-0.031161))+0-118-0.060179999999988</f>
        <v>411.60981399999997</v>
      </c>
      <c r="AD8">
        <f t="shared" si="0"/>
        <v>9174.5192139999999</v>
      </c>
      <c r="AE8" s="3">
        <f>175+(426-14)+(0+(0-0))+0-132-0</f>
        <v>455</v>
      </c>
    </row>
    <row r="9" spans="1:31" s="2" customFormat="1" x14ac:dyDescent="0.25">
      <c r="A9">
        <v>89</v>
      </c>
      <c r="B9">
        <v>1</v>
      </c>
      <c r="C9">
        <v>9</v>
      </c>
      <c r="D9">
        <v>3</v>
      </c>
      <c r="E9">
        <v>1</v>
      </c>
      <c r="F9" s="3">
        <f>170.3+(303.3-24.5)+(-0.434265+(-0.773415--0.062475))+0-100.5--0.256274999999985</f>
        <v>347.71107000000001</v>
      </c>
      <c r="G9" s="3">
        <f>169.4+(283.3-17)+(-0.43197+(-0.722415--0.04335))+0-114.9--0.292994999999983</f>
        <v>319.98196000000002</v>
      </c>
      <c r="H9" s="3">
        <f>171.5+(251.9-22.9)+(0+(0-0))+0-109.3-0</f>
        <v>291.2</v>
      </c>
      <c r="I9" s="3">
        <f>170.6+(249.8-23)+(-0.174012+(-0.254796--0.02346))+0-97.2--0.0991440000000155</f>
        <v>299.89379600000001</v>
      </c>
      <c r="J9" s="3">
        <f>169.2+(261.4-22.2)+(-0.43146+(-0.66657--0.05661))+0-111.3--0.283814999999984</f>
        <v>296.34239499999995</v>
      </c>
      <c r="K9" s="3">
        <f>170.4+(248-21.6)+(-0.173808+(-0.25296--0.022032))+0-98.7--0.100674000000016</f>
        <v>297.79593800000004</v>
      </c>
      <c r="L9" s="3">
        <f>171.4+(300.7-48.7)+(0+(0-0))+0-85.8-0</f>
        <v>337.59999999999997</v>
      </c>
      <c r="M9" s="3">
        <f>171+(316.3-42.6)+(-0.08721+(-0.161313--0.021726))+0-91.7--0.0467669999999907</f>
        <v>352.81997000000001</v>
      </c>
      <c r="N9" s="3">
        <f>170.1+(325.8-17.7)+(-0.173502+(-0.332316--0.018054))+0-115.8--0.118116000000018</f>
        <v>362.03035200000005</v>
      </c>
      <c r="O9" s="3">
        <f>171.7+(330.9-17.3)+(-0.087567+(-0.168759--0.008823))+0-105.3--0.0537029999999893</f>
        <v>379.80619999999993</v>
      </c>
      <c r="P9" s="3">
        <f>171.4+(347.1-21.6)+(0+(0-0))+0-110.9-0</f>
        <v>386</v>
      </c>
      <c r="Q9" s="3">
        <f>170.1+(354.1-20.5)+(0+(0-0))+0-108.9-0</f>
        <v>394.80000000000007</v>
      </c>
      <c r="R9" s="3">
        <f>168.8+(370.4-15.6)+(0+(0-0))+0-116.3-0</f>
        <v>407.2999999999999</v>
      </c>
      <c r="S9" s="3">
        <f>167.9+(348.3-12.3)+(-0.342516+(-0.710532--0.025092))+0-105.1--0.214403999999995</f>
        <v>397.98644799999994</v>
      </c>
      <c r="T9" s="3">
        <f>167.1+(323.7-16.8)+(-0.255663+(-0.495261--0.025704))+0-105--0.160650000000006</f>
        <v>368.43543000000005</v>
      </c>
      <c r="U9" s="3">
        <f>166.2+(344.6-33.1)+(-0.084762+(-0.175746--0.016881))+0-103.1--0.0525809999999895</f>
        <v>374.40895399999994</v>
      </c>
      <c r="V9" s="3">
        <f>166.2+(358.2-22.1)+(-0.339048+(-0.730728--0.045084))+0-86.2--0.175847999999996</f>
        <v>415.25115599999992</v>
      </c>
      <c r="W9" s="3">
        <f>165.9+(335-15.1)+(0.084609+(0.17085-0.007701))+0-86.2-0.0439619999999913</f>
        <v>399.80379599999998</v>
      </c>
      <c r="X9" s="3">
        <f>166.5+(351.7-23.4)+(-0.33966+(-0.717468--0.047736))+0-86.2--0.175847999999996</f>
        <v>407.76645600000001</v>
      </c>
      <c r="Y9" s="3">
        <f>167.8+(399.7-19.7)+(0.085578+(0.203847-0.010047))+0-86.2-0.0439619999999913</f>
        <v>461.83541599999995</v>
      </c>
      <c r="Z9" s="3">
        <f>169.6+(405.3-23.4)+(-0.345984+(-0.826812--0.047736))+0-86.2--0.175847999999996</f>
        <v>464.35078800000002</v>
      </c>
      <c r="AA9" s="3">
        <f>170.3+(378.2-23.4)+(-0.086853+(-0.192882--0.011934))+0-86.2--0.0439619999999913</f>
        <v>438.67616100000004</v>
      </c>
      <c r="AB9" s="3">
        <f>171.5+(380.1-38.3)+(-0.17493+(-0.387702--0.039066))+0-86.2--0.0879240000000137</f>
        <v>426.66435799999999</v>
      </c>
      <c r="AC9" s="3">
        <f>172.1+(357.8-35.4)+(-0.263313+(-0.547434--0.054162))+0-86.2--0.131886000000005</f>
        <v>407.67530100000005</v>
      </c>
      <c r="AD9">
        <f t="shared" si="0"/>
        <v>9036.135945</v>
      </c>
      <c r="AE9" s="3">
        <f>169+(421.7-21.5)+(0+(0-0))+0-78-0</f>
        <v>491.20000000000005</v>
      </c>
    </row>
    <row r="10" spans="1:31" s="2" customFormat="1" x14ac:dyDescent="0.25">
      <c r="A10">
        <v>89</v>
      </c>
      <c r="B10">
        <v>1</v>
      </c>
      <c r="C10">
        <v>10</v>
      </c>
      <c r="D10">
        <v>4</v>
      </c>
      <c r="E10">
        <v>1</v>
      </c>
      <c r="F10" s="3">
        <f>169.7+(337-25.8)+(-0.346188+(-0.68748--0.052632))+0-65--0.132599999999997</f>
        <v>415.05156399999998</v>
      </c>
      <c r="G10" s="3">
        <f>169+(323.7-26)+(-0.43095+(-0.825435--0.0663))+0-74--0.188699999999989</f>
        <v>391.69861499999996</v>
      </c>
      <c r="H10" s="3">
        <f>167.5+(310-27.1)+(-0.3417+(-0.6324--0.055284))+0-74--0.150959999999997</f>
        <v>375.63214399999998</v>
      </c>
      <c r="I10" s="3">
        <f>168.1+(306-27.4)+(-0.171462+(-0.31212--0.027948))+0-75--0.076500000000012</f>
        <v>371.32086600000008</v>
      </c>
      <c r="J10" s="3">
        <f>169.5+(307.3-31.9)+(0+(0-0))+0-73-0</f>
        <v>371.90000000000003</v>
      </c>
      <c r="K10" s="3">
        <f>168.6+(335-36)+(-0.171972+(-0.3417--0.03672))+0-92--0.0938400000000147</f>
        <v>375.21688800000004</v>
      </c>
      <c r="L10" s="3">
        <f>168.5+(343.3-67.4)+(-0.17187+(-0.350166--0.068748))+0-65--0.0663000000000104</f>
        <v>379.013012</v>
      </c>
      <c r="M10" s="3">
        <f>168.1+(318.3-58.9)+(-0.171462+(-0.324666--0.060078))+0-68--0.0693600000000108</f>
        <v>359.13330999999999</v>
      </c>
      <c r="N10" s="3">
        <f>170+(326.7-39.9)+(0.1734+(0.333234-0.040698))+0-69-0.070380000000011</f>
        <v>388.19555600000001</v>
      </c>
      <c r="O10" s="3">
        <f>168.5+(345.5-33.7)+(0.085935+(0.176205-0.017187))+0-71-0.0362099999999928</f>
        <v>409.50874300000004</v>
      </c>
      <c r="P10" s="3">
        <f>166.6+(353.4-26.1)+(-0.084966+(-0.180234--0.013311))+0-83--0.0423299999999916</f>
        <v>410.69044099999996</v>
      </c>
      <c r="Q10" s="3">
        <f>165.2+(345.5-23.8)+(0.084252+(0.176205-0.012138))+0-65-0.0331499999999934</f>
        <v>422.11516899999998</v>
      </c>
      <c r="R10" s="3">
        <f>165.1+(331.9-19.6)+(-0.168402+(-0.338538--0.019992))+0-77--0.0785400000000123</f>
        <v>399.99159200000003</v>
      </c>
      <c r="S10" s="3">
        <f>164.2+(322.1-14.9)+(-0.334968+(-0.657084--0.030396))+0-68--0.138719999999997</f>
        <v>402.57706400000001</v>
      </c>
      <c r="T10" s="3">
        <f>163.5+(315-22.2)+(0.16677+(0.3213-0.022644))+0-72-0.0734400000000115</f>
        <v>384.69198599999999</v>
      </c>
      <c r="U10" s="3">
        <f>163.4+(325-25.8)+(0+(0-0))+0-76-0</f>
        <v>386.6</v>
      </c>
      <c r="V10" s="3">
        <f>162.8+(308.1-11.3)+(-0.166056+(-0.314262--0.011526))+0-80--0.0816000000000128</f>
        <v>379.21280800000005</v>
      </c>
      <c r="W10" s="3">
        <f>162.6+(329.6-13)+(-0.082926+(-0.168096--0.00663))+0-74--0.0377399999999925</f>
        <v>404.99334800000003</v>
      </c>
      <c r="X10" s="3">
        <f>165+(320-17.4)+(-0.1683+(-0.3264--0.017748))+0-87--0.0887400000000139</f>
        <v>380.21178800000007</v>
      </c>
      <c r="Y10" s="3">
        <f>166.9+(366.9-15.1)+(-0.255357+(-0.561357--0.023103))+0-75--0.114750000000004</f>
        <v>443.02113899999989</v>
      </c>
      <c r="Z10" s="3">
        <f>168.4+(392.2-10.5)+(-0.171768+(-0.400044--0.01071))+0-77--0.0785400000000123</f>
        <v>472.61743800000005</v>
      </c>
      <c r="AA10" s="3">
        <f>169.9+(396.6-19.2)+(-0.346596+(-0.809064--0.039168))+0-93--0.189719999999996</f>
        <v>453.3732280000001</v>
      </c>
      <c r="AB10" s="3">
        <f>170.3+(432.5-73.7)+(-0.347412+(-0.8823--0.150348))+0-97--0.197879999999996</f>
        <v>431.21851599999997</v>
      </c>
      <c r="AC10" s="3">
        <f>170.9+(417.9-78.8)+(-0.261477+(-0.639387--0.120564))+0-96--0.146880000000006</f>
        <v>413.36658</v>
      </c>
      <c r="AD10">
        <f t="shared" si="0"/>
        <v>9621.3517950000005</v>
      </c>
      <c r="AE10" s="3">
        <f>167+(425.9-11.4)+(0+(0-0))+0-84-0</f>
        <v>497.5</v>
      </c>
    </row>
    <row r="11" spans="1:31" s="2" customFormat="1" x14ac:dyDescent="0.25">
      <c r="A11">
        <v>89</v>
      </c>
      <c r="B11">
        <v>1</v>
      </c>
      <c r="C11">
        <v>11</v>
      </c>
      <c r="D11">
        <v>5</v>
      </c>
      <c r="E11">
        <v>1</v>
      </c>
      <c r="F11" s="3">
        <f>171.5+(405.5-67.1)+(-0.437325+(-1.034025--0.171105))+0-93--0.237149999999987</f>
        <v>415.83690499999994</v>
      </c>
      <c r="G11" s="3">
        <f>171.7+(361.5-30.4)+(-0.262701+(-0.553095--0.046512))+0-109--0.166770000000006</f>
        <v>393.19748599999997</v>
      </c>
      <c r="H11" s="3">
        <f>171.5+(375.7-68.6)+(-0.34986+(-0.766428--0.139944))+0-97--0.197879999999996</f>
        <v>380.82153600000004</v>
      </c>
      <c r="I11" s="3">
        <f>172+(335.7-33.2)+(-0.35088+(-0.684828--0.067728))+0-98--0.199919999999996</f>
        <v>375.73194000000001</v>
      </c>
      <c r="J11" s="3">
        <f>172.6+(294.2-10.2)+(-0.264078+(-0.450126--0.015606))+0-94--0.143820000000005</f>
        <v>362.04522200000002</v>
      </c>
      <c r="K11" s="3">
        <f>173.2+(302.3-3.4)+(0+(0-0))+0-97-0</f>
        <v>375.1</v>
      </c>
      <c r="L11" s="3">
        <f>174.7+(292.3-10.8)+(-0.267291+(-0.447219--0.016524))+0-90--0.137700000000005</f>
        <v>365.63971399999997</v>
      </c>
      <c r="M11" s="3">
        <f>170.5+(303.9-6.1)+(0+(0-0))+0-81-0</f>
        <v>387.29999999999995</v>
      </c>
      <c r="N11" s="3">
        <f>167+(324.6-9.1)+(-0.08517+(-0.165546--0.004641))+0-74--0.0377399999999925</f>
        <v>408.29166499999997</v>
      </c>
      <c r="O11" s="3">
        <f>167.1+(349.8-10.3)+(-0.085221+(-0.178398--0.005253))+0-92--0.0469199999999907</f>
        <v>414.388554</v>
      </c>
      <c r="P11" s="3">
        <f>164.2+(355.3-13)+(-0.502452+(-1.087218--0.03978))+0-80--0.244800000000009</f>
        <v>425.19490999999999</v>
      </c>
      <c r="Q11" s="3">
        <f>166.1+(364.9-12.3)+(0+(0-0))+0-81-0</f>
        <v>437.69999999999993</v>
      </c>
      <c r="R11" s="3">
        <f>165.4+(390.5-12.1)+(-0.168708+(-0.39831--0.012342))+0-93--0.0948600000000148</f>
        <v>450.34018400000002</v>
      </c>
      <c r="S11" s="3">
        <f>162.5+(369.8-4.1)+(0+(0-0))+0-93-0</f>
        <v>435.20000000000005</v>
      </c>
      <c r="T11" s="3">
        <f>161.2+(373.6-15.6)+(-0.082212+(-0.190536--0.007956))+0-97--0.0494699999999902</f>
        <v>421.98467799999997</v>
      </c>
      <c r="U11" s="3">
        <f>160.7+(366.5-12.5)+(-0.327828+(-0.74766--0.0255))+0-92--0.187679999999996</f>
        <v>421.83769200000006</v>
      </c>
      <c r="V11" s="3">
        <f>160+(357-1)+(-0.1632+(-0.36414--0.00102))+0-91--0.0928200000000145</f>
        <v>424.56649999999996</v>
      </c>
      <c r="W11" s="3">
        <f>159.5+(355.7-4)+(-0.244035+(-0.544221--0.00612))+0-82--0.125460000000005</f>
        <v>428.54332400000004</v>
      </c>
      <c r="X11" s="3">
        <f>158.3+(351.3-8.6)+(-0.161466+(-0.358326--0.008772))+0-66--0.0673200000000105</f>
        <v>434.55630000000002</v>
      </c>
      <c r="Y11" s="3">
        <f>164.4+(409.5-7.8)+(-0.083844+(-0.208845--0.003978))+0-111--0.0566099999999887</f>
        <v>454.86789899999997</v>
      </c>
      <c r="Z11" s="3">
        <f>169.5+(434.5-16.6)+(-0.259335+(-0.664785--0.025398))+0-119.9--0.183447000000007</f>
        <v>466.78472499999998</v>
      </c>
      <c r="AA11" s="3">
        <f>170.3+(407.3-14.3)+(-0.260559+(-0.623169--0.021879))+0-120.4--0.184212000000007</f>
        <v>442.22236299999997</v>
      </c>
      <c r="AB11" s="3">
        <f>170.4+(403.2-12.8)+(-0.260712+(-0.616896--0.019584))+0-137.5--0.210375000000008</f>
        <v>422.65235099999995</v>
      </c>
      <c r="AC11" s="3">
        <f>170.5+(381.6-15.9)+(-0.260865+(-0.583848--0.024327))+0-127.4--0.194922000000007</f>
        <v>408.1745360000001</v>
      </c>
      <c r="AD11">
        <f t="shared" si="0"/>
        <v>9952.9784840000011</v>
      </c>
      <c r="AE11" s="3">
        <f>168+(463.9-12.8)+(0+(0-0))+0-159.3-0</f>
        <v>459.7999999999999</v>
      </c>
    </row>
    <row r="12" spans="1:31" s="2" customFormat="1" x14ac:dyDescent="0.25">
      <c r="A12">
        <v>89</v>
      </c>
      <c r="B12">
        <v>1</v>
      </c>
      <c r="C12">
        <v>12</v>
      </c>
      <c r="D12">
        <v>6</v>
      </c>
      <c r="E12">
        <v>2</v>
      </c>
      <c r="F12" s="3">
        <f>171.9+(335.8-13.7)+(-0.350676+(-0.685032--0.027948))+0-128--0.261119999999994</f>
        <v>365.25335999999999</v>
      </c>
      <c r="G12" s="3">
        <f>171.6+(309.3-8.9)+(-0.087516+(-0.157743--0.004539))+0-131.2--0.0669119999999867</f>
        <v>340.626192</v>
      </c>
      <c r="H12" s="3">
        <f>172+(282.3-9.8)+(-0.26316+(-0.431919--0.014994))+0-114.3--0.174879000000007</f>
        <v>329.694794</v>
      </c>
      <c r="I12" s="3">
        <f>173.1+(284.1-11.1)+(-0.353124+(-0.579564--0.022644))+0-121.3--0.247451999999995</f>
        <v>324.13740799999999</v>
      </c>
      <c r="J12" s="3">
        <f>172.9+(289-10.5)+(-0.176358+(-0.29478--0.01071))+0-133.5--0.136170000000021</f>
        <v>317.57574199999999</v>
      </c>
      <c r="K12" s="3">
        <f>173.6+(271.3-13.7)+(0+(0-0))+0-120.3-0</f>
        <v>310.90000000000003</v>
      </c>
      <c r="L12" s="3">
        <f>174+(288.7-15.5)+(-0.4437+(-0.736185--0.039525))+0-135.8--0.34628999999998</f>
        <v>310.60592999999994</v>
      </c>
      <c r="M12" s="3">
        <f>173+(271-11.1)+(0.17646+(0.27642-0.011322))+0-117.3-0.119646000000019</f>
        <v>315.92191199999991</v>
      </c>
      <c r="N12" s="3">
        <f>171.8+(271.5-8.6)+(0.087618+(0.138465-0.004386))+0-116.2-0.0592619999999882</f>
        <v>318.66243500000002</v>
      </c>
      <c r="O12" s="3">
        <f>169.2+(308.8-5.5)+(0+(0-0))+0-132.3-0</f>
        <v>340.2</v>
      </c>
      <c r="P12" s="3">
        <f>168.5+(322.4-7.2)+(-0.085935+(-0.164424--0.003672))+0-121.9--0.0621689999999876</f>
        <v>361.61548199999999</v>
      </c>
      <c r="Q12" s="3">
        <f>167.8+(321.9-7.3)+(0+(0-0))+0-112.3-0</f>
        <v>370.09999999999997</v>
      </c>
      <c r="R12" s="3">
        <f>166.7+(342.9-12.7)+(-0.170034+(-0.349758--0.012954))+0-124.9--0.12739800000002</f>
        <v>371.62056000000001</v>
      </c>
      <c r="S12" s="3">
        <f>165.7+(397.5-86.7)+(-0.338028+(-0.8109--0.176868))+0-115.4--0.235415999999995</f>
        <v>360.36335599999995</v>
      </c>
      <c r="T12" s="3">
        <f>164.3+(432.6-127.1)+(0.251379+(0.661878-0.194463))+0-124.9-0.191097000000007</f>
        <v>345.42769699999997</v>
      </c>
      <c r="U12" s="3">
        <f>162.2+(440-144.2)+(-0.248166+(-0.6732--0.220626))+0-118.3--0.180999000000007</f>
        <v>339.18025899999998</v>
      </c>
      <c r="V12" s="3">
        <f>160.1+(443.2-149.4)+(-0.163302+(-0.452064--0.152388))+0-114.8--0.117096000000018</f>
        <v>338.75411799999995</v>
      </c>
      <c r="W12" s="3">
        <f>160.2+(388.7-86.8)+(-0.245106+(-0.594711--0.132804))+0-114.4--0.175032000000007</f>
        <v>347.16801899999996</v>
      </c>
      <c r="X12" s="3">
        <f>159.8+(344.3-38.3)+(-0.325992+(-0.702372--0.078132))+0-119.7--0.244187999999995</f>
        <v>345.393956</v>
      </c>
      <c r="Y12" s="3">
        <f>161.8+(384.5-16.4)+(0+(0-0))+0-127.1-0</f>
        <v>402.80000000000007</v>
      </c>
      <c r="Z12" s="3">
        <f>167.6+(402-20.1)+(-0.341904+(-0.82008--0.041004))+0-129.5--0.264179999999994</f>
        <v>419.14319999999998</v>
      </c>
      <c r="AA12" s="3">
        <f>233.7+(333.1-25.6)+(-0.119187+(-0.169881--0.013056))+0-129--0.0657899999999869</f>
        <v>411.989778</v>
      </c>
      <c r="AB12" s="3">
        <f>273.3+(293.6-29.7)+(-0.278766+(-0.299472--0.030294))+0-129.1--0.131682000000021</f>
        <v>407.68373800000001</v>
      </c>
      <c r="AC12" s="3">
        <f>274.7+(265.5-38.2)+(-0.560388+(-0.54162--0.077928))+0-111.7--0.227867999999995</f>
        <v>389.50378799999999</v>
      </c>
      <c r="AD12">
        <f t="shared" si="0"/>
        <v>8484.3217239999976</v>
      </c>
      <c r="AE12" s="3">
        <f>163+(421.7-16.7)+(0+(0-0))+0-144.6-0</f>
        <v>423.4</v>
      </c>
    </row>
    <row r="13" spans="1:31" s="2" customFormat="1" x14ac:dyDescent="0.25">
      <c r="A13">
        <v>89</v>
      </c>
      <c r="B13">
        <v>1</v>
      </c>
      <c r="C13">
        <v>13</v>
      </c>
      <c r="D13">
        <v>7</v>
      </c>
      <c r="E13">
        <v>2</v>
      </c>
      <c r="F13" s="3">
        <f>273.5+(259.4-35.9)+(-0.27897+(-0.264588--0.036618))+0-129.4--0.131988000000021</f>
        <v>367.22504800000007</v>
      </c>
      <c r="G13" s="3">
        <f>236.7+(250.6-32.9)+(-0.241434+(-0.255612--0.033558))+0-123.1--0.12556200000002</f>
        <v>330.96207399999997</v>
      </c>
      <c r="H13" s="3">
        <f>172.5+(280.8-26.2)+(-0.17595+(-0.286416--0.026724))+0-108--0.110160000000017</f>
        <v>318.77451800000006</v>
      </c>
      <c r="I13" s="3">
        <f>172.3+(258.9-28.5)+(-0.263619+(-0.396117--0.043605))+0-95.9--0.146727000000006</f>
        <v>306.33059599999996</v>
      </c>
      <c r="J13" s="3">
        <f>171.9+(261.7-31.3)+(-0.175338+(-0.266934--0.031926))+0-95.6--0.0975120000000152</f>
        <v>306.38716599999992</v>
      </c>
      <c r="K13" s="3">
        <f>172.7+(269.9-49.2)+(0.088077+(0.137649-0.025092))+0-92-0.0469199999999907</f>
        <v>301.55371399999996</v>
      </c>
      <c r="L13" s="3">
        <f>172.7+(260-75.2)+(-0.264231+(-0.3978--0.115056))+0-87.6--0.134028000000005</f>
        <v>269.487053</v>
      </c>
      <c r="M13" s="3">
        <f>172.6+(237.2-60)+(0+(0-0))+0-98.6-0</f>
        <v>251.19999999999996</v>
      </c>
      <c r="N13" s="3">
        <f>171.7+(268.2-84.2)+(0.175134+(0.273564-0.085884))+0-105.7-0.107814000000017</f>
        <v>250.255</v>
      </c>
      <c r="O13" s="3">
        <f>169.9+(293.5-98.8)+(-0.086649+(-0.149685--0.050388))+0-106.9--0.0545189999999892</f>
        <v>257.56857299999996</v>
      </c>
      <c r="P13" s="3">
        <f>170+(291.6-98.3)+(-0.0867+(-0.148716--0.050133))+0-105.4--0.0537539999999893</f>
        <v>257.76847099999992</v>
      </c>
      <c r="Q13" s="3">
        <f>169.8+(266.9-82.8)+(-0.173196+(-0.272238--0.084456))+0-98--0.0999600000000156</f>
        <v>255.638982</v>
      </c>
      <c r="R13" s="3">
        <f>168.8+(253.2-69.5)+(-0.172176+(-0.258264--0.07089))+0-97.3--0.0992460000000155</f>
        <v>254.939696</v>
      </c>
      <c r="S13" s="3">
        <f>167.5+(232-46.4)+(-0.085425+(-0.11832--0.023664))+0-102.8--0.0524279999999896</f>
        <v>250.17234700000003</v>
      </c>
      <c r="T13" s="3">
        <f>166.7+(198.9-23.2)+(0+(0-0))+0-97.1-0</f>
        <v>245.29999999999998</v>
      </c>
      <c r="U13" s="3">
        <f>166.5+(202.7-20.3)+(0+(0-0))+0-106.1-0</f>
        <v>242.79999999999998</v>
      </c>
      <c r="V13" s="3">
        <f>165.8+(206.1-20)+(0+(0-0))+0-108.6-0</f>
        <v>243.29999999999998</v>
      </c>
      <c r="W13" s="3">
        <f>164.4+(239.5-29.5)+(-0.251532+(-0.366435--0.045135))+0-126.4--0.193392000000007</f>
        <v>247.62055999999998</v>
      </c>
      <c r="X13" s="3">
        <f>166.1+(257.8-51.1)+(-0.169422+(-0.262956--0.052122))+0-112.5--0.114750000000018</f>
        <v>260.03449400000005</v>
      </c>
      <c r="Y13" s="3">
        <f>167.4+(289.6-18.6)+(-0.170748+(-0.295392--0.018972))+0-120.7--0.123114000000019</f>
        <v>317.37594600000006</v>
      </c>
      <c r="Z13" s="3">
        <f>169.4+(331.8-26.1)+(-0.43197+(-0.84609--0.066555))+0-130.7--0.333284999999981</f>
        <v>343.52178000000004</v>
      </c>
      <c r="AA13" s="3">
        <f>170+(320.6-25.8)+(-0.2601+(-0.490518--0.039474))+0-118.4--0.181152000000007</f>
        <v>345.87000799999998</v>
      </c>
      <c r="AB13" s="3">
        <f>170.7+(317.7-23.3)+(-0.174114+(-0.324054--0.023766))+0-123.4--0.12586800000002</f>
        <v>341.35146600000002</v>
      </c>
      <c r="AC13" s="3">
        <f>171.7+(320.8-27.9)+(-0.262701+(-0.490824--0.042687))+0-119.3--0.182529000000007</f>
        <v>344.77169099999998</v>
      </c>
      <c r="AD13">
        <f t="shared" si="0"/>
        <v>6910.2091830000008</v>
      </c>
      <c r="AE13" s="3">
        <f>169+(345.9-26.3)+(0+(0-0))+0-137.7-0</f>
        <v>350.9</v>
      </c>
    </row>
    <row r="14" spans="1:31" s="2" customFormat="1" x14ac:dyDescent="0.25">
      <c r="A14">
        <v>89</v>
      </c>
      <c r="B14">
        <v>1</v>
      </c>
      <c r="C14">
        <v>14</v>
      </c>
      <c r="D14">
        <v>1</v>
      </c>
      <c r="E14">
        <v>1</v>
      </c>
      <c r="F14" s="3">
        <f>171.8+(285.6-26.8)+(-0.175236+(-0.291312--0.027336))+0-116.5--0.118830000000019</f>
        <v>313.77961800000003</v>
      </c>
      <c r="G14" s="3">
        <f>172+(280.4-31.7)+(-0.35088+(-0.572016--0.064668))+0-120.7--0.246227999999995</f>
        <v>299.38799999999998</v>
      </c>
      <c r="H14" s="3">
        <f>171.8+(275.7-22.5)+(-0.087618+(-0.140607--0.011475))+0-127.9--0.065228999999987</f>
        <v>296.94847899999996</v>
      </c>
      <c r="I14" s="3">
        <f>171.3+(268-20.6)+(-0.087363+(-0.13668--0.010506))+0-124.9--0.0636989999999873</f>
        <v>293.65016200000008</v>
      </c>
      <c r="J14" s="3">
        <f>172.4+(269.2-17.4)+(0.087924+(0.137292-0.008874))+0-128.9-0.0657389999999869</f>
        <v>295.450603</v>
      </c>
      <c r="K14" s="3">
        <f>172.9+(277.8-20.5)+(0.176358+(0.283356-0.02091))+0-136.7-0.139434000000022</f>
        <v>293.79937000000007</v>
      </c>
      <c r="L14" s="3">
        <f>170.8+(307.4-19.7)+(-0.348432+(-0.627096--0.040188))+0-129.1--0.263363999999994</f>
        <v>328.72802399999995</v>
      </c>
      <c r="M14" s="3">
        <f>173.6+(343.1-34.7)+(0.088536+(0.174981-0.017697))+0-116.1-0.0592109999999882</f>
        <v>366.08660899999995</v>
      </c>
      <c r="N14" s="3">
        <f>172.3+(394.2-37.1)+(0+(0-0))+0-131.9-0</f>
        <v>397.5</v>
      </c>
      <c r="O14" s="3">
        <f>170.4+(403.4-27.3)+(-0.086904+(-0.205734--0.013923))+0-134.6--0.0686459999999863</f>
        <v>411.68993099999994</v>
      </c>
      <c r="P14" s="3">
        <f>169.2+(429.1-29.9)+(0+(0-0))+0-148.9-0</f>
        <v>419.50000000000011</v>
      </c>
      <c r="Q14" s="3">
        <f>168+(433.5-26.6)+(0+(0-0))+0-141.9-0</f>
        <v>433</v>
      </c>
      <c r="R14" s="3">
        <f>167.2+(426.2-19.6)+(0+(0-0))+0-141.8-0</f>
        <v>431.99999999999994</v>
      </c>
      <c r="S14" s="3">
        <f>166.2+(405.1-12.8)+(-0.339048+(-0.826404--0.026112))+0-136.5--0.278459999999994</f>
        <v>421.13912000000005</v>
      </c>
      <c r="T14" s="3">
        <f>165.6+(392.5-10.7)+(0.084456+(0.200175-0.005457))+0-139-0.0708899999999859</f>
        <v>408.60828400000003</v>
      </c>
      <c r="U14" s="3">
        <f>164.9+(368.4-13.6)+(0.168198+(0.375768-0.013872))+0-132.2-0.134844000000021</f>
        <v>387.89524999999986</v>
      </c>
      <c r="V14" s="3">
        <f>180.3+(366.3-14.9)+(-0.091953+(-0.186813--0.007599))+0-131.3--0.0669629999999867</f>
        <v>400.19579600000003</v>
      </c>
      <c r="W14" s="3">
        <f>256.3+(292.3-26.4)+(-0.392139+(-0.447219--0.040392))+0-120.8--0.184824000000007</f>
        <v>400.78585800000008</v>
      </c>
      <c r="X14" s="3">
        <f>262.8+(293.6-22.6)+(-0.804168+(-0.898416--0.069156))+0-120.8--0.369648000000014</f>
        <v>411.73622</v>
      </c>
      <c r="Y14" s="3">
        <f>264.3+(387.9-42.2)+(0.134793+(0.197829-0.021522))+0-144.1-0.0734909999999854</f>
        <v>466.137609</v>
      </c>
      <c r="Z14" s="3">
        <f>268.2+(378.6-41.5)+(-0.273564+(-0.386172--0.04233))+0-138.1--0.140862000000022</f>
        <v>466.723456</v>
      </c>
      <c r="AA14" s="3">
        <f>269.5+(365.5-30.5)+(-0.54978+(-0.74562--0.06222))+0-134--0.273359999999994</f>
        <v>469.54018000000002</v>
      </c>
      <c r="AB14" s="3">
        <f>269.1+(347.9-22.6)+(-0.548964+(-0.709716--0.046104))+0-117.7--0.240107999999995</f>
        <v>475.727532</v>
      </c>
      <c r="AC14" s="3">
        <f>270+(344.4-26.5)+(-0.2754+(-0.351288--0.02703))+0-146.1--0.149022000000023</f>
        <v>441.34936399999998</v>
      </c>
      <c r="AD14">
        <f t="shared" si="0"/>
        <v>9331.3594649999995</v>
      </c>
      <c r="AE14" s="3">
        <f>265+(412.3-18.2)+(0+(0-0))+0-157.2-0</f>
        <v>501.90000000000003</v>
      </c>
    </row>
    <row r="15" spans="1:31" s="2" customFormat="1" x14ac:dyDescent="0.25">
      <c r="A15">
        <v>89</v>
      </c>
      <c r="B15">
        <v>1</v>
      </c>
      <c r="C15">
        <v>15</v>
      </c>
      <c r="D15">
        <v>2</v>
      </c>
      <c r="E15">
        <v>1</v>
      </c>
      <c r="F15" s="3">
        <f>270.1+(319.8-30.4)+(-0.826506+(-0.978588--0.093024))+0-121.9--0.373014000000014</f>
        <v>436.26094399999999</v>
      </c>
      <c r="G15" s="3">
        <f>270.7+(293.7-30.1)+(-0.276114+(-0.299574--0.030702))+0-133.9--0.136578000000021</f>
        <v>399.99159200000003</v>
      </c>
      <c r="H15" s="3">
        <f>268.8+(265.8-58.1)+(-0.137088+(-0.135558--0.029631))+0-107.9--0.0550289999999891</f>
        <v>368.412014</v>
      </c>
      <c r="I15" s="3">
        <f>267.9+(257.6-54.3)+(-0.546516+(-0.525504--0.110772))+0-118.6--0.241943999999995</f>
        <v>351.88069599999994</v>
      </c>
      <c r="J15" s="3">
        <f>268.1+(239.4-26.8)+(-0.273462+(-0.244188--0.027336))+0-118.1--0.120462000000019</f>
        <v>362.23014800000004</v>
      </c>
      <c r="K15" s="3">
        <f>267.7+(238.8-28.2)+(-0.409581+(-0.365364--0.043146))+0-108.5--0.166005000000006</f>
        <v>369.23420599999997</v>
      </c>
      <c r="L15" s="3">
        <f>267.9+(266.9-41.4)+(-0.136629+(-0.136119--0.021114))+0-123.1--0.0627809999999875</f>
        <v>370.11114699999996</v>
      </c>
      <c r="M15" s="3">
        <f>267.6+(306.7-70.6)+(-0.545904+(-0.625668--0.144024))+0-126.9--0.258875999999995</f>
        <v>376.03132800000003</v>
      </c>
      <c r="N15" s="3">
        <f>265.4+(341.7-45.8)+(0+(0-0))+0-131.8-0</f>
        <v>429.49999999999994</v>
      </c>
      <c r="O15" s="3">
        <f>262.5+(340.3-61.3)+(0+(0-0))+0-119.8-0</f>
        <v>421.7</v>
      </c>
      <c r="P15" s="3">
        <f>263.3+(348.1-38.8)+(-0.134283+(-0.177531--0.019788))+0-118--0.060179999999988</f>
        <v>454.36815400000006</v>
      </c>
      <c r="Q15" s="3">
        <f>261.8+(341.9-40.5)+(-0.267036+(-0.348738--0.04131))+0-133--0.135660000000021</f>
        <v>429.76119600000004</v>
      </c>
      <c r="R15" s="3">
        <f>259+(354.6-36.5)+(-0.52836+(-0.723384--0.07446))+0-129.3--0.263771999999994</f>
        <v>446.88648800000004</v>
      </c>
      <c r="S15" s="3">
        <f>257.5+(347.9-24.2)+(-0.26265+(-0.354858--0.024684))+0-145.4--0.148308000000023</f>
        <v>435.35548400000016</v>
      </c>
      <c r="T15" s="3">
        <f>254.4+(325.6-26.1)+(-0.389232+(-0.498168--0.039933))+0-125.5--0.192015000000007</f>
        <v>427.74454799999995</v>
      </c>
      <c r="U15" s="3">
        <f>250+(284.5-34.9)+(0+(0-0))+0-76-0</f>
        <v>423.6</v>
      </c>
      <c r="V15" s="3">
        <f>245.2+(318-32)+(-0.375156+(-0.48654--0.04896))+0-86.2--0.131886000000005</f>
        <v>444.31915000000009</v>
      </c>
      <c r="W15" s="3">
        <f>308.1+(261.3-38.9)+(0.157131+(0.133263-0.019839))+0-81.1-0.0413609999999918</f>
        <v>449.62919399999993</v>
      </c>
      <c r="X15" s="3">
        <f>312+(279.4-46)+(-0.7956+(-0.71247--0.1173))+0-92.9--0.236894999999987</f>
        <v>451.34612500000003</v>
      </c>
      <c r="Y15" s="3">
        <f>391.8+(254.3-46)+(0.399636+(0.259386-0.04692))+0-86.4-0.0881280000000138</f>
        <v>514.22397400000011</v>
      </c>
      <c r="Z15" s="3">
        <f>419.8+(296.6-48.6)+(-0.428196+(-0.302532--0.049572))+0-140.2--0.143004000000022</f>
        <v>527.06184800000005</v>
      </c>
      <c r="AA15" s="3">
        <f>418.7+(278.7-44.8)+(-1.067685+(-0.710685--0.11424))+0-145.9--0.372044999999979</f>
        <v>505.40791499999989</v>
      </c>
      <c r="AB15" s="3">
        <f>426.3+(240.6-43.9)+(-0.434826+(-0.245412--0.044778))+0-135.9--0.138618000000022</f>
        <v>486.60315800000006</v>
      </c>
      <c r="AC15" s="3">
        <f>424.7+(199.5-49.7)+(-0.649791+(-0.305235--0.076041))+0-120.1--0.183753000000007</f>
        <v>453.70476800000006</v>
      </c>
      <c r="AD15">
        <f t="shared" si="0"/>
        <v>10335.364076999998</v>
      </c>
      <c r="AE15" s="3">
        <f>416+(281.3-48)+(0+(0-0))+0-114.3-0</f>
        <v>535</v>
      </c>
    </row>
    <row r="16" spans="1:31" s="2" customFormat="1" x14ac:dyDescent="0.25">
      <c r="A16">
        <v>89</v>
      </c>
      <c r="B16">
        <v>1</v>
      </c>
      <c r="C16">
        <v>16</v>
      </c>
      <c r="D16">
        <v>3</v>
      </c>
      <c r="E16">
        <v>1</v>
      </c>
      <c r="F16" s="3">
        <f>332.7+(218.7-45.8)+(-0.678708+(-0.446148--0.093432))+0-120.1--0.245003999999995</f>
        <v>384.71357999999998</v>
      </c>
      <c r="G16" s="3">
        <f>190.8+(334.8-16.7)+(0+(0-0))+0-122.7-0</f>
        <v>386.20000000000005</v>
      </c>
      <c r="H16" s="3">
        <f>198.5+(353.7-13.8)+(-0.20247+(-0.360774--0.014076))+0-140.5--0.143310000000022</f>
        <v>397.49414200000001</v>
      </c>
      <c r="I16" s="3">
        <f>214.6+(329.8-14.5)+(-0.437784+(-0.672792--0.02958))+0-136.9--0.279275999999994</f>
        <v>392.19827999999995</v>
      </c>
      <c r="J16" s="3">
        <f>293.9+(249.4-21.5)+(0.149889+(0.127194-0.010965))+0-134.9-0.0687989999999863</f>
        <v>387.09731899999997</v>
      </c>
      <c r="K16" s="3">
        <f>316.3+(226.8-26.7)+(0+(0-0))+0-121.4-0</f>
        <v>395.00000000000011</v>
      </c>
      <c r="L16" s="3">
        <f>316.2+(266.9-85.3)+(-0.161262+(-0.136119--0.043503))+0-100.8--0.0514079999999898</f>
        <v>396.79752999999994</v>
      </c>
      <c r="M16" s="3">
        <f>316+(325.2-101.9)+(-0.16116+(-0.165852--0.051969))+0-100.2--0.0511019999999898</f>
        <v>438.876059</v>
      </c>
      <c r="N16" s="3">
        <f>315.7+(371.4-122.1)+(0.161007+(0.189414-0.062271))+0-108.2-0.055181999999989</f>
        <v>457.03296799999998</v>
      </c>
      <c r="O16" s="3">
        <f>310.7+(392.4-118)+(0.158457+(0.200124-0.06018))+0-118.9-0.0606389999999879</f>
        <v>466.43776199999996</v>
      </c>
      <c r="P16" s="3">
        <f>305.4+(335-55.5)+(0.155754+(0.17085-0.028305))+0-120.3-0.0613529999999878</f>
        <v>464.83694600000001</v>
      </c>
      <c r="Q16" s="3">
        <f>298.8+(343.1-35)+(-0.152388+(-0.174981--0.01785))+0-128.7--0.0656369999999869</f>
        <v>477.95611800000006</v>
      </c>
      <c r="R16" s="3">
        <f>306.6+(343.2-27)+(0+(0-0))+0-137.9-0</f>
        <v>484.9</v>
      </c>
      <c r="S16" s="3">
        <f>323.9+(309.5-25.4)+(-0.660756+(-0.63138--0.051816))+0-134.2--0.273767999999994</f>
        <v>472.83344800000003</v>
      </c>
      <c r="T16" s="3">
        <f>326.2+(315-57.3)+(-0.166362+(-0.16065--0.029223))+0-135.4--0.0690539999999863</f>
        <v>448.27126500000003</v>
      </c>
      <c r="U16" s="3">
        <f>323.8+(306.3-47.1)+(-0.330276+(-0.312426--0.048042))+0-137.6--0.140352000000022</f>
        <v>444.94569200000001</v>
      </c>
      <c r="V16" s="3">
        <f>323.5+(284.1-24.9)+(-0.164985+(-0.144891--0.012699))+0-129.3--0.0659429999999869</f>
        <v>453.16876600000001</v>
      </c>
      <c r="W16" s="3">
        <f>336.1+(290-32)+(-0.342822+(-0.2958--0.03264))+0-128.5--0.13107000000002</f>
        <v>465.12508800000001</v>
      </c>
      <c r="X16" s="3">
        <f>362.4+(294.6-33.9)+(-0.92412+(-0.75123--0.086445))+0-138.1--0.35215499999998</f>
        <v>483.76325000000003</v>
      </c>
      <c r="Y16" s="3">
        <f>382.9+(301.4-38.7)+(-0.195279+(-0.153714--0.019737))+0-118.9--0.0606389999999879</f>
        <v>526.43138299999998</v>
      </c>
      <c r="Z16" s="3">
        <f>386.7+(343.9-70.8)+(-0.591651+(-0.526167--0.108324))+0-133.4--0.204102000000008</f>
        <v>525.59460799999999</v>
      </c>
      <c r="AA16" s="3">
        <f>368.1+(344.6-78.7)+(-0.750924+(-0.702984--0.160548))+0-130.3--0.265811999999994</f>
        <v>502.67245199999996</v>
      </c>
      <c r="AB16" s="3">
        <f>369.7+(297.9-75.1)+(-0.377094+(-0.303858--0.076602))+0-111.2--0.113424000000018</f>
        <v>480.80907400000007</v>
      </c>
      <c r="AC16" s="3">
        <f>315+(279.7-40.9)+(-0.6426+(-0.570588--0.083436))+0-110.6--0.225623999999995</f>
        <v>442.29587199999986</v>
      </c>
      <c r="AD16">
        <f t="shared" si="0"/>
        <v>10775.451602000001</v>
      </c>
      <c r="AE16" s="3">
        <f>391+(323.8-69.8)+(0+(0-0))+0-139.1-0</f>
        <v>505.9</v>
      </c>
    </row>
    <row r="17" spans="1:31" s="2" customFormat="1" x14ac:dyDescent="0.25">
      <c r="A17">
        <v>89</v>
      </c>
      <c r="B17">
        <v>1</v>
      </c>
      <c r="C17">
        <v>17</v>
      </c>
      <c r="D17">
        <v>4</v>
      </c>
      <c r="E17">
        <v>1</v>
      </c>
      <c r="F17" s="3">
        <f>298.8+(266.6-39.2)+(-0.457164+(-0.407898--0.059976))+0-105.8--0.161874000000006</f>
        <v>419.75678800000009</v>
      </c>
      <c r="G17" s="3">
        <f>300.1+(251.5-24.2)+(-0.765255+(-0.641325--0.06171))+0-114.3--0.291464999999983</f>
        <v>412.04659500000002</v>
      </c>
      <c r="H17" s="3">
        <f>302.4+(263.4-22.9)+(-0.462672+(-0.403002--0.035037))+0-138.1--0.211293000000008</f>
        <v>404.18065599999994</v>
      </c>
      <c r="I17" s="3">
        <f>301.2+(251-25.1)+(-0.76806+(-0.64005--0.064005))+0-126.1--0.321554999999982</f>
        <v>399.97744999999998</v>
      </c>
      <c r="J17" s="3">
        <f>304.8+(237.1-25.6)+(0+(0-0))+0-116.3-0</f>
        <v>399.99999999999994</v>
      </c>
      <c r="K17" s="3">
        <f>308.3+(244-24.1)+(0.314466+(0.24888-0.024582))+0-124.5-0.12699000000002</f>
        <v>404.11177400000003</v>
      </c>
      <c r="L17" s="3">
        <f>301.3+(270.6-45)+(0+(0-0))+0-115.7-0</f>
        <v>411.2000000000001</v>
      </c>
      <c r="M17" s="3">
        <f>297.5+(311-62.9)+(-0.6069+(-0.63444--0.128316))+0-107.8--0.219911999999995</f>
        <v>436.90688800000004</v>
      </c>
      <c r="N17" s="3">
        <f>301.9+(325.2-51.7)+(0+(0-0))+0-115.4-0</f>
        <v>460</v>
      </c>
      <c r="O17" s="3">
        <f>303.7+(331.6-48)+(0.464661+(0.507348-0.07344))+0-123.4-0.188802000000007</f>
        <v>464.60976699999992</v>
      </c>
      <c r="P17" s="3">
        <f>306.3+(321.5-36.8)+(0.156213+(0.163965-0.018768))+0-120.3-0.0613529999999878</f>
        <v>470.94005700000002</v>
      </c>
      <c r="Q17" s="3">
        <f>320.2+(332.9-33.2)+(-0.489906+(-0.509337--0.050796))+0-138--0.211140000000008</f>
        <v>481.16269299999999</v>
      </c>
      <c r="R17" s="3">
        <f>329+(301.8-30.2)+(-0.16779+(-0.153918--0.015402))+0-112.4--0.0573239999999886</f>
        <v>487.95101800000009</v>
      </c>
      <c r="S17" s="3">
        <f>301.6+(332.1-38.9)+(-0.307632+(-0.338742--0.039678))+0-120--0.122400000000019</f>
        <v>474.31570400000004</v>
      </c>
      <c r="T17" s="3">
        <f>293.8+(332.3-49.1)+(-0.149838+(-0.169473--0.025041))+0-120.8--0.0616079999999877</f>
        <v>455.96733799999998</v>
      </c>
      <c r="U17" s="3">
        <f>313.3+(320.6-79.7)+(0.319566+(0.327012-0.081294))+0-105-0.107100000000017</f>
        <v>449.65818400000006</v>
      </c>
      <c r="V17" s="3">
        <f>336.9+(288.4-55.6)+(0.343638+(0.294168-0.056712))+0-113-0.115260000000018</f>
        <v>457.1658339999999</v>
      </c>
      <c r="W17" s="3">
        <f>336.3+(266.5-26.2)+(-0.514539+(-0.407745--0.040086))+0-115.3--0.176409000000007</f>
        <v>460.59421100000003</v>
      </c>
      <c r="X17" s="3">
        <f>339.6+(259.4-32)+(-0.346392+(-0.264588--0.03264))+0-106.2--0.108324000000017</f>
        <v>460.32998400000002</v>
      </c>
      <c r="Y17" s="3">
        <f>343.1+(311.3-36.6)+(-0.349962+(-0.317526--0.037332))+0-120.7--0.123114000000019</f>
        <v>496.59295799999995</v>
      </c>
      <c r="Z17" s="3">
        <f>351.8+(369.5-79.9)+(-0.358836+(-0.37689--0.081498))+0-121.7--0.124134000000019</f>
        <v>519.16990600000008</v>
      </c>
      <c r="AA17" s="3">
        <f>352.9+(396.2-109.7)+(-0.359958+(-0.404124--0.111894))+0-139.3--0.142086000000022</f>
        <v>499.58989799999995</v>
      </c>
      <c r="AB17" s="3">
        <f>350.9+(350.3-91)+(0+(0-0))+0-129.5-0</f>
        <v>480.70000000000005</v>
      </c>
      <c r="AC17" s="3">
        <f>354.2+(310.5-64.4)+(-0.180642+(-0.158355--0.032844))+0-143.7--0.0732869999999854</f>
        <v>456.36713399999996</v>
      </c>
      <c r="AD17">
        <f t="shared" si="0"/>
        <v>10863.294836999999</v>
      </c>
      <c r="AE17" s="3">
        <f>353+(352-79.2)+(0+(0-0))+0-113.1-0</f>
        <v>512.69999999999993</v>
      </c>
    </row>
    <row r="18" spans="1:31" s="2" customFormat="1" x14ac:dyDescent="0.25">
      <c r="A18">
        <v>89</v>
      </c>
      <c r="B18">
        <v>1</v>
      </c>
      <c r="C18">
        <v>18</v>
      </c>
      <c r="D18">
        <v>5</v>
      </c>
      <c r="E18">
        <v>1</v>
      </c>
      <c r="F18" s="3">
        <f>321.6+(272.9-28)+(-0.492048+(-0.417537--0.04284))+0-138.5--0.211905000000008</f>
        <v>427.34515999999996</v>
      </c>
      <c r="G18" s="3">
        <f>323.1+(260.6-31.4)+(0.164781+(0.132906-0.016014))+0-139.6-0.0711959999999858</f>
        <v>412.91047700000001</v>
      </c>
      <c r="H18" s="3">
        <f>324.2+(226.9-30.2)+(-0.165342+(-0.115719--0.015402))+0-114.7--0.0584969999999884</f>
        <v>405.99283799999995</v>
      </c>
      <c r="I18" s="3">
        <f>323.9+(238.2-26.6)+(-0.165189+(-0.121482--0.013566))+0-134.5--0.0685949999999864</f>
        <v>400.79548999999997</v>
      </c>
      <c r="J18" s="3">
        <f>322.8+(235.8-26.5)+(-0.987768+(-0.721548--0.08109))+0-134.7--0.412182000000016</f>
        <v>396.18395600000002</v>
      </c>
      <c r="K18" s="3">
        <f>324.5+(232.4-26.8)+(0+(0-0))+0-130.3-0</f>
        <v>399.8</v>
      </c>
      <c r="L18" s="3">
        <f>324.1+(256.4-47.6)+(-0.330582+(-0.261528--0.048552))+0-130.9--0.133518000000021</f>
        <v>401.58996000000008</v>
      </c>
      <c r="M18" s="3">
        <f>325.8+(299.3-71.9)+(-0.166158+(-0.152643--0.036669))+0-120--0.0611999999999878</f>
        <v>432.97906799999998</v>
      </c>
      <c r="N18" s="3">
        <f>320.6+(336.5-86.6)+(0.163506+(0.171615-0.044166))+0-120.2-0.0613019999999878</f>
        <v>450.52965300000005</v>
      </c>
      <c r="O18" s="3">
        <f>281.4+(347.9-38.6)+(0+(0-0))+0-137.4-0</f>
        <v>453.29999999999995</v>
      </c>
      <c r="P18" s="3">
        <f>261.3+(363.3-29.5)+(0+(0-0))+0-126.8-0</f>
        <v>468.3</v>
      </c>
      <c r="Q18" s="3">
        <f>265.6+(385.8-25.5)+(-0.270912+(-0.393516--0.02601))+0-145.2--0.148104000000023</f>
        <v>480.20968600000015</v>
      </c>
      <c r="R18" s="3">
        <f>279.3+(351.4-22.4)+(-0.427329+(-0.537642--0.034272))+0-129.1--0.197523000000007</f>
        <v>478.46682399999992</v>
      </c>
      <c r="S18" s="3">
        <f>317.1+(354.5-74.7)+(-0.485163+(-0.542385--0.114291))+0-119.5--0.182835000000007</f>
        <v>476.66957800000006</v>
      </c>
      <c r="T18" s="3">
        <f>316.6+(338.4-91.7)+(-0.484398+(-0.517752--0.140301))+0-108.1--0.165393000000006</f>
        <v>454.50354399999992</v>
      </c>
      <c r="U18" s="3">
        <f>317.9+(324-66.7)+(-0.486387+(-0.49572--0.102051))+0-129--0.197370000000007</f>
        <v>445.51731400000011</v>
      </c>
      <c r="V18" s="3">
        <f>323.3+(306.2-38.9)+(-0.164883+(-0.156162--0.019839))+0-128.3--0.065432999999987</f>
        <v>462.06422700000002</v>
      </c>
      <c r="W18" s="3">
        <f>334+(277.7-30.2)+(-0.8517+(-0.708135--0.07701))+0-119.7--0.305234999999983</f>
        <v>460.62240999999995</v>
      </c>
      <c r="X18" s="3">
        <f>342+(296.3-33.4)+(-0.52326+(-0.453339--0.051102))+0-136.8--0.209304000000008</f>
        <v>467.38380700000016</v>
      </c>
      <c r="Y18" s="3">
        <f>337+(325.4-30.4)+(-0.34374+(-0.331908--0.031008))+0-128.2--0.13076400000002</f>
        <v>503.28612400000003</v>
      </c>
      <c r="Z18" s="3">
        <f>335+(378.9-68.6)+(-1.19595+(-1.352673--0.244902))+0-123.6--0.441252000000002</f>
        <v>519.8375309999999</v>
      </c>
      <c r="AA18" s="3">
        <f>340+(365.4-73.6)+(-0.5202+(-0.559062--0.112608))+0-130.4--0.199512000000008</f>
        <v>500.63285800000006</v>
      </c>
      <c r="AB18" s="3">
        <f>343+(410.1-122.9)+(-0.52479+(-0.627453--0.188037))+0-145.5--0.222615000000008</f>
        <v>483.95840900000007</v>
      </c>
      <c r="AC18" s="3">
        <f>345+(454.4-213.6)+(0.17595+(0.231744-0.108936))+0-142.5-0.0726749999999855</f>
        <v>443.52608299999997</v>
      </c>
      <c r="AD18">
        <f t="shared" si="0"/>
        <v>10826.404997000003</v>
      </c>
      <c r="AE18" s="3">
        <f>345+(390.6-53.3)+(0+(0-0))+0-152.7-0</f>
        <v>529.59999999999991</v>
      </c>
    </row>
    <row r="19" spans="1:31" s="2" customFormat="1" x14ac:dyDescent="0.25">
      <c r="A19">
        <v>89</v>
      </c>
      <c r="B19">
        <v>1</v>
      </c>
      <c r="C19">
        <v>19</v>
      </c>
      <c r="D19">
        <v>6</v>
      </c>
      <c r="E19">
        <v>1</v>
      </c>
      <c r="F19" s="3">
        <f>337+(324.2-108)+(-0.68748+(-0.661368--0.22032))+0-141--0.287639999999994</f>
        <v>411.3591120000001</v>
      </c>
      <c r="G19" s="3">
        <f>304+(290.8-52.5)+(-0.46512+(-0.444924--0.080325))+0-136.1--0.208233000000008</f>
        <v>405.57851399999998</v>
      </c>
      <c r="H19" s="3">
        <f>212+(381-20.7)+(-0.21624+(-0.38862--0.021114))+0-148.7--0.151674000000024</f>
        <v>423.16792799999996</v>
      </c>
      <c r="I19" s="3">
        <f>184.9+(359.5-20.5)+(-0.282897+(-0.550035--0.031365))+0-131.1--0.200583000000008</f>
        <v>392.19901599999997</v>
      </c>
      <c r="J19" s="3">
        <f>189+(373.8-20.7)+(0+(0-0))+0-148.4-0</f>
        <v>393.70000000000005</v>
      </c>
      <c r="K19" s="3">
        <f>191+(361.5-12)+(0.09741+(0.184365-0.00612))+0-142.5-0.0726749999999855</f>
        <v>398.20298000000003</v>
      </c>
      <c r="L19" s="3">
        <f>187.8+(361-17.9)+(-0.191556+(-0.36822--0.018258))+0-132.4--0.135048000000021</f>
        <v>398.09353000000016</v>
      </c>
      <c r="M19" s="3">
        <f>185.7+(384.1-17.2)+(-0.094707+(-0.195891--0.008772))+0-135.1--0.0689009999999863</f>
        <v>417.28707499999996</v>
      </c>
      <c r="N19" s="3">
        <f>182.5+(416.8-19.3)+(-0.093075+(-0.212568--0.009843))+0-138.4--0.070583999999986</f>
        <v>441.37478400000003</v>
      </c>
      <c r="O19" s="3">
        <f>183+(426.7-19.6)+(0.27999+(0.652851-0.029988))+0-142-0.217260000000008</f>
        <v>448.78559299999995</v>
      </c>
      <c r="P19" s="3">
        <f>180.9+(421.7-18.8)+(0.184518+(0.430134-0.019176))+0-126.5-0.12903000000002</f>
        <v>457.76644599999992</v>
      </c>
      <c r="Q19" s="3">
        <f>152.9+(492.1-31.7)+(0.077979+(0.250971-0.016167))+0-141.4-0.0721139999999857</f>
        <v>472.14066900000006</v>
      </c>
      <c r="R19" s="3">
        <f>106.6+(581.6-79.6)+(0+(0-0))+0-138.2-0</f>
        <v>470.40000000000003</v>
      </c>
      <c r="S19" s="3">
        <f>121.8+(616-146.4)+(-0.248472+(-1.25664--0.298656))+0-136.1--0.277643999999994</f>
        <v>454.37118799999996</v>
      </c>
      <c r="T19" s="3">
        <f>154.6+(641.4-223.8)+(0.236538+(0.981342-0.342414))+0-130.6-0.199818000000008</f>
        <v>442.27564799999988</v>
      </c>
      <c r="U19" s="3">
        <f>198.5+(651.9-294.4)+(-0.101235+(-0.332469--0.150144))+0-125.9--0.0642089999999872</f>
        <v>429.88064900000006</v>
      </c>
      <c r="V19" s="3">
        <f>210.9+(600.7-237)+(-0.107559+(-0.306357--0.12087))+0-138.5--0.0706349999999859</f>
        <v>435.877589</v>
      </c>
      <c r="W19" s="3">
        <f>204.3+(506.7-127.4)+(-0.208386+(-0.516834--0.129948))+0-138.8--0.141576000000022</f>
        <v>444.34630399999992</v>
      </c>
      <c r="X19" s="3">
        <f>203.4+(474.3-105.1)+(-0.103734+(-0.241893--0.053601))+0-132.5--0.0675749999999866</f>
        <v>439.87554900000003</v>
      </c>
      <c r="Y19" s="3">
        <f>204.1+(564.2-145)+(0.208182+(0.575484-0.1479))+0-139.9-0.142698000000022</f>
        <v>483.89306800000008</v>
      </c>
      <c r="Z19" s="3">
        <f>206.4+(581.9-137.4)+(0.105264+(0.296769-0.070074))+0-147.4-0.075173999999985</f>
        <v>503.75678499999998</v>
      </c>
      <c r="AA19" s="3">
        <f>205.8+(556.4-143.5)+(0+(0-0))+0-137.5-0</f>
        <v>481.20000000000005</v>
      </c>
      <c r="AB19" s="3">
        <f>206.6+(542.1-150.9)+(-0.316098+(-0.829413--0.230877))+0-134--0.205020000000008</f>
        <v>463.09038600000008</v>
      </c>
      <c r="AC19" s="3">
        <f>215.2+(527.6-156.5)+(0+(0-0))+0-141.8-0</f>
        <v>444.49999999999994</v>
      </c>
      <c r="AD19">
        <f t="shared" si="0"/>
        <v>10553.122813</v>
      </c>
      <c r="AE19" s="3">
        <f>207+(572.3-131.8)+(0+(0-0))+0-153.9-0</f>
        <v>493.6</v>
      </c>
    </row>
    <row r="20" spans="1:31" s="2" customFormat="1" x14ac:dyDescent="0.25">
      <c r="A20">
        <v>89</v>
      </c>
      <c r="B20">
        <v>1</v>
      </c>
      <c r="C20">
        <v>20</v>
      </c>
      <c r="D20">
        <v>7</v>
      </c>
      <c r="E20">
        <v>1</v>
      </c>
      <c r="F20" s="3">
        <f>215.9+(463.7-125.6)+(-0.220218+(-0.472974--0.128112))+0-133.6--0.136272000000021</f>
        <v>419.97119200000003</v>
      </c>
      <c r="G20" s="3">
        <f>213.4+(467.7-137.5)+(-0.435336+(-0.954108--0.2805))+0-146.5--0.298859999999994</f>
        <v>396.28991600000006</v>
      </c>
      <c r="H20" s="3">
        <f>214.2+(472.2-159.7)+(-0.218484+(-0.481644--0.162894))+0-138.6--0.141372000000022</f>
        <v>387.70413800000006</v>
      </c>
      <c r="I20" s="3">
        <f>215.1+(494.8-177.7)+(-0.109701+(-0.252348--0.090627))+0-147.1--0.0750209999999851</f>
        <v>384.90359899999999</v>
      </c>
      <c r="J20" s="3">
        <f>215.2+(463.7-161.1)+(-0.219504+(-0.472974--0.164322))+0-135.5--0.138210000000022</f>
        <v>381.910054</v>
      </c>
      <c r="K20" s="3">
        <f>215.2+(431-131.4)+(-0.109752+(-0.21981--0.067014))+0-138.3--0.070532999999986</f>
        <v>376.30798499999992</v>
      </c>
      <c r="L20" s="3">
        <f>217.1+(366.2-82.9)+(-0.442884+(-0.747048--0.169116))+0-140.3--0.286211999999994</f>
        <v>359.36539599999992</v>
      </c>
      <c r="M20" s="3">
        <f>222.2+(342.2-79)+(0+(0-0))+0-130.7-0</f>
        <v>354.7</v>
      </c>
      <c r="N20" s="3">
        <f>222.3+(360.3-107.8)+(-0.226746+(-0.367506--0.109956))+0-121.9--0.124338000000019</f>
        <v>352.54004200000003</v>
      </c>
      <c r="O20" s="3">
        <f>220.8+(391-109.5)+(0.337824+(0.59823-0.167535))+0-120-0.183600000000007</f>
        <v>382.88491900000002</v>
      </c>
      <c r="P20" s="3">
        <f>218+(458.1-144.7)+(0.22236+(0.467262-0.147594))+0-136.7-0.139434000000022</f>
        <v>395.10259400000007</v>
      </c>
      <c r="Q20" s="3">
        <f>218+(522.4-201.5)+(0.11118+(0.266424-0.102765))+0-139.2-0.0709919999999859</f>
        <v>399.90384700000004</v>
      </c>
      <c r="R20" s="3">
        <f>217+(532-225.7)+(0+(0-0))+0-140.1-0</f>
        <v>383.19999999999993</v>
      </c>
      <c r="S20" s="3">
        <f>217+(566.2-289.4)+(-0.11067+(-0.288762--0.147594))+0-130.8--0.0667079999999867</f>
        <v>362.81487000000004</v>
      </c>
      <c r="T20" s="3">
        <f>217+(564.4-302)+(-0.22134+(-0.575688--0.30804))+0-126.6--0.12913200000002</f>
        <v>352.44014400000003</v>
      </c>
      <c r="U20" s="3">
        <f>217+(552-278.8)+(0.11067+(0.28152-0.142188))+0-140.4-0.0716039999999858</f>
        <v>349.97839799999997</v>
      </c>
      <c r="V20" s="3">
        <f>217+(475.3-213)+(-0.44268+(-0.969612--0.43452))+0-120.2--0.245207999999995</f>
        <v>358.367436</v>
      </c>
      <c r="W20" s="3">
        <f>238+(364.3-96.8)+(-0.24276+(-0.371586--0.098736))+0-127.6--0.13015200000002</f>
        <v>377.51454200000006</v>
      </c>
      <c r="X20" s="3">
        <f>241.5+(308.7-34.6)+(-0.73899+(-0.944622--0.105876))+0-131--0.400860000000015</f>
        <v>383.42312399999997</v>
      </c>
      <c r="Y20" s="3">
        <f>243.9+(355.9-68.7)+(0+(0-0))+0-103.7-0</f>
        <v>427.40000000000003</v>
      </c>
      <c r="Z20" s="3">
        <f>245.4+(450.4-122.4)+(-0.125154+(-0.229704--0.062424))+0-116.2--0.0592619999999882</f>
        <v>456.96682800000002</v>
      </c>
      <c r="AA20" s="3">
        <f>248.2+(465.8-139.4)+(-0.379746+(-0.712674--0.213282))+0-139--0.212670000000008</f>
        <v>434.9335319999999</v>
      </c>
      <c r="AB20" s="3">
        <f>247.9+(454.2-162.5)+(-0.379287+(-0.694926--0.248625))+0-127--0.194310000000007</f>
        <v>411.96872200000001</v>
      </c>
      <c r="AC20" s="3">
        <f>249.6+(435.2-168.2)+(-0.509184+(-0.887808--0.343128))+0-126.9--0.258875999999995</f>
        <v>388.90501200000006</v>
      </c>
      <c r="AD20">
        <f t="shared" si="0"/>
        <v>9279.4962899999991</v>
      </c>
      <c r="AE20" s="3">
        <f>243+(466.9-118.2)+(0+(0-0))+0-132.5-0</f>
        <v>459.20000000000005</v>
      </c>
    </row>
    <row r="21" spans="1:31" s="2" customFormat="1" x14ac:dyDescent="0.25">
      <c r="A21">
        <v>89</v>
      </c>
      <c r="B21">
        <v>1</v>
      </c>
      <c r="C21">
        <v>21</v>
      </c>
      <c r="D21">
        <v>1</v>
      </c>
      <c r="E21">
        <v>1</v>
      </c>
      <c r="F21" s="3">
        <f>257.7+(423.3-165.5)+(-0.657135+(-1.079415--0.422025))+0-133.1--0.339404999999981</f>
        <v>381.42487999999997</v>
      </c>
      <c r="G21" s="3">
        <f>258.1+(381.5-133)+(-0.658155+(-0.972825--0.33915))+0-128.3--0.327164999999981</f>
        <v>377.33533499999999</v>
      </c>
      <c r="H21" s="3">
        <f>259.7+(372.3-131.8)+(-0.794682+(-1.139238--0.403308))+0-130.4--0.399024000000015</f>
        <v>368.66841199999993</v>
      </c>
      <c r="I21" s="3">
        <f>257.3+(332.7-90.4)+(-0.131223+(-0.169677--0.046104))+0-132.3--0.0674729999999866</f>
        <v>367.11267700000002</v>
      </c>
      <c r="J21" s="3">
        <f>258.2+(345.6-107.2)+(-0.395046+(-0.528768--0.164016))+0-133.9--0.204867000000008</f>
        <v>362.14506900000003</v>
      </c>
      <c r="K21" s="3">
        <f>258.2+(316.7-64.3)+(-0.263364+(-0.323034--0.065586))+0-143.7--0.146574000000023</f>
        <v>366.52576200000004</v>
      </c>
      <c r="L21" s="3">
        <f>257+(290.4-22.7)+(-0.78642+(-0.888624--0.069462))+0-138.1--0.422586000000016</f>
        <v>385.41700400000002</v>
      </c>
      <c r="M21" s="3">
        <f>255.7+(329.3-24.1)+(0.130407+(0.167943-0.012291))+0-138-0.070379999999986</f>
        <v>423.115679</v>
      </c>
      <c r="N21" s="3">
        <f>252.3+(355.8-27.7)+(0+(0-0))+0-130.1-0</f>
        <v>450.30000000000007</v>
      </c>
      <c r="O21" s="3">
        <f>249.2+(365.2-30.7)+(-0.254184+(-0.372504--0.031314))+0-135.7--0.138414000000022</f>
        <v>447.54304000000008</v>
      </c>
      <c r="P21" s="3">
        <f>246.1+(387-27.7)+(0.125511+(0.19737-0.014127))+0-140-0.0713999999999858</f>
        <v>465.63735400000002</v>
      </c>
      <c r="Q21" s="3">
        <f>242.4+(393.9-28.9)+(0.123624+(0.200889-0.014739))+0-126.6-0.0645659999999871</f>
        <v>481.04520799999989</v>
      </c>
      <c r="R21" s="3">
        <f>239.2+(485.9-94.5)+(-0.243984+(-0.495618--0.09639))+0-140.5--0.143310000000022</f>
        <v>489.600098</v>
      </c>
      <c r="S21" s="3">
        <f>237.9+(543-149.4)+(-0.606645+(-1.38465--0.38097))+0-143.7--0.366434999999979</f>
        <v>486.55610999999999</v>
      </c>
      <c r="T21" s="3">
        <f>237.6+(539.7-173.2)+(0.121176+(0.275247-0.088332))+0-136.5-0.0696149999999861</f>
        <v>467.83847600000001</v>
      </c>
      <c r="U21" s="3">
        <f>232.9+(473.2-139.1)+(-0.475116+(-0.965328--0.283764))+0-105.6--0.215423999999995</f>
        <v>460.45874399999991</v>
      </c>
      <c r="V21" s="3">
        <f>232.8+(369.3-23.3)+(0+(0-0))+0-113.9-0</f>
        <v>464.9</v>
      </c>
      <c r="W21" s="3">
        <f>232.9+(388.5-18)+(-0.475116+(-0.79254--0.03672))+0-131--0.267239999999994</f>
        <v>471.43630399999995</v>
      </c>
      <c r="X21" s="3">
        <f>255.9+(358.1-24.6)+(-0.261018+(-0.365262--0.025092))+0-118.7--0.121074000000019</f>
        <v>470.21988600000003</v>
      </c>
      <c r="Y21" s="3">
        <f>311.3+(366.6-25.9)+(-0.635052+(-0.747864--0.052836))+0-127--0.259079999999994</f>
        <v>523.92900000000009</v>
      </c>
      <c r="Z21" s="3">
        <f>362.5+(367.5-84.1)+(-0.554625+(-0.562275--0.128673))+0-124.7--0.190791000000007</f>
        <v>520.40256399999987</v>
      </c>
      <c r="AA21" s="3">
        <f>402.1+(376.9-126.6)+(-0.615213+(-0.576657--0.193698))+0-133--0.203490000000008</f>
        <v>518.60531800000001</v>
      </c>
      <c r="AB21" s="3">
        <f>411.1+(362.8-149.3)+(-0.628983+(-0.555084--0.228429))+0-130.2--0.199206000000008</f>
        <v>493.64356800000002</v>
      </c>
      <c r="AC21" s="3">
        <f>411.3+(346.7-165)+(-0.839052+(-0.707268--0.3366))+0-123.8--0.252551999999995</f>
        <v>468.24283200000002</v>
      </c>
      <c r="AD21">
        <f t="shared" si="0"/>
        <v>10712.103319999997</v>
      </c>
      <c r="AE21" s="3">
        <f>376+(379.3-111.1)+(0+(0-0))+0-135-0</f>
        <v>509.20000000000005</v>
      </c>
    </row>
    <row r="22" spans="1:31" s="2" customFormat="1" x14ac:dyDescent="0.25">
      <c r="A22">
        <v>89</v>
      </c>
      <c r="B22">
        <v>1</v>
      </c>
      <c r="C22">
        <v>22</v>
      </c>
      <c r="D22">
        <v>2</v>
      </c>
      <c r="E22">
        <v>1</v>
      </c>
      <c r="F22" s="3">
        <f>414+(284.2-119.9)+(-0.42228+(-0.289884--0.122298))+0-127.6--0.13015200000002</f>
        <v>450.24028599999991</v>
      </c>
      <c r="G22" s="3">
        <f>413.9+(217.6-65.9)+(-1.055445+(-0.55488--0.168045))+0-135.3--0.34501499999998</f>
        <v>429.2027349999999</v>
      </c>
      <c r="H22" s="3">
        <f>418.6+(183.3-63.3)+(-0.640458+(-0.280449--0.096849))+0-117.6--0.179928000000007</f>
        <v>420.35586999999998</v>
      </c>
      <c r="I22" s="3">
        <f>420.1+(174.5-62.9)+(-0.642753+(-0.266985--0.096237))+0-123.4--0.188802000000007</f>
        <v>407.6753010000001</v>
      </c>
      <c r="J22" s="3">
        <f>419.9+(166.2-77.8)+(-1.070745+(-0.42381--0.19839))+0-127--0.323849999999982</f>
        <v>380.32768499999997</v>
      </c>
      <c r="K22" s="3">
        <f>430+(189.8-82.7)+(0.4386+(0.193596-0.084354))+0-130.7-0.133314000000021</f>
        <v>406.81452799999994</v>
      </c>
      <c r="L22" s="3">
        <f>423.4+(222.3-118.8)+(-1.07967+(-0.566865--0.30294))+0-114.7--0.292484999999983</f>
        <v>411.14888999999994</v>
      </c>
      <c r="M22" s="3">
        <f>429.3+(227.5-128.8)+(-0.218943+(-0.116025--0.065688))+0-88.8--0.045287999999991</f>
        <v>438.97600799999998</v>
      </c>
      <c r="N22" s="3">
        <f>430.7+(220.8-112.5)+(0.219657+(0.112608-0.057375))+0-80.4-0.0410039999999918</f>
        <v>458.83388600000006</v>
      </c>
      <c r="O22" s="3">
        <f>429+(215-88.6)+(-0.21879+(-0.10965--0.045186))+0-85.2--0.0434519999999914</f>
        <v>469.96019799999993</v>
      </c>
      <c r="P22" s="3">
        <f>424.7+(200.9-60.9)+(-0.216597+(-0.102459--0.031059))+0-88.4--0.045083999999991</f>
        <v>476.05708700000002</v>
      </c>
      <c r="Q22" s="3">
        <f>425.8+(211-62.3)+(0.217158+(0.10761-0.031773))+0-83.1-0.0423809999999916</f>
        <v>491.65061400000002</v>
      </c>
      <c r="R22" s="3">
        <f>417.8+(245.4-77.9)+(-0.639234+(-0.375462--0.119187))+0-96--0.146880000000006</f>
        <v>488.55137100000002</v>
      </c>
      <c r="S22" s="3">
        <f>416.8+(328.8-141)+(-0.637704+(-0.503064--0.21573))+0-131.8--0.201654000000008</f>
        <v>472.07661600000006</v>
      </c>
      <c r="T22" s="3">
        <f>416+(372.2-209.1)+(0+(0-0))+0-117.8-0</f>
        <v>461.3</v>
      </c>
      <c r="U22" s="3">
        <f>399.6+(398.4-219.9)+(0+(0-0))+0-124.5-0</f>
        <v>453.6</v>
      </c>
      <c r="V22" s="3">
        <f>397.4+(308.8-127.7)+(-0.202674+(-0.157488--0.065127))+0-119.7--0.0610469999999879</f>
        <v>458.566012</v>
      </c>
      <c r="W22" s="3">
        <f>410.3+(227.4-45.1)+(-1.255518+(-0.695844--0.138006))+0-133.4--0.408204000000015</f>
        <v>457.79484800000006</v>
      </c>
      <c r="X22" s="3">
        <f>421.1+(228.2-48.7)+(-0.214761+(-0.116382--0.024837))+0-130.7--0.0666569999999867</f>
        <v>469.66035100000005</v>
      </c>
      <c r="Y22" s="3">
        <f>496+(200.7-59.2)+(-0.50592+(-0.204714--0.060384))+0-125--0.12750000000002</f>
        <v>511.97724999999997</v>
      </c>
      <c r="Z22" s="3">
        <f>546.1+(215.9-111.2)+(-1.671066+(-0.660654--0.340272))+0-113.6--0.347616000000013</f>
        <v>535.55616800000007</v>
      </c>
      <c r="AA22" s="3">
        <f>545.2+(217.8-138.7)+(-1.112208+(-0.444312--0.282948))+0-105.4--0.215015999999995</f>
        <v>517.84144400000014</v>
      </c>
      <c r="AB22" s="3">
        <f>482.7+(287.2-170.6)+(0+(0-0))+0-104.9-0</f>
        <v>494.4</v>
      </c>
      <c r="AC22" s="3">
        <f>427.8+(356.4-184.9)+(-0.218178+(-0.181764--0.094299))+0-135.2--0.0689519999999863</f>
        <v>463.8633089999999</v>
      </c>
      <c r="AD22">
        <f t="shared" si="0"/>
        <v>11026.430457000002</v>
      </c>
      <c r="AE22" s="3">
        <f>548+(221.4-120.5)+(0+(0-0))+0-113.3-0</f>
        <v>535.6</v>
      </c>
    </row>
    <row r="23" spans="1:31" s="2" customFormat="1" x14ac:dyDescent="0.25">
      <c r="A23">
        <v>89</v>
      </c>
      <c r="B23">
        <v>1</v>
      </c>
      <c r="C23">
        <v>23</v>
      </c>
      <c r="D23">
        <v>3</v>
      </c>
      <c r="E23">
        <v>1</v>
      </c>
      <c r="F23" s="3">
        <f>426.4+(278.8-137.1)+(-0.652392+(-0.426564--0.209763))+0-127.1--0.194463000000007</f>
        <v>440.32526999999999</v>
      </c>
      <c r="G23" s="3">
        <f>430.2+(254.6-122.5)+(0+(0-0))+0-138.5-0</f>
        <v>423.79999999999995</v>
      </c>
      <c r="H23" s="3">
        <f>429.8+(230.8-131.6)+(-0.438396+(-0.235416--0.134232))+0-118.6--0.120972000000019</f>
        <v>409.98139199999997</v>
      </c>
      <c r="I23" s="3">
        <f>430.2+(200-101.1)+(-0.219402+(-0.102--0.051561))+0-122.4--0.0624239999999876</f>
        <v>406.49258299999997</v>
      </c>
      <c r="J23" s="3">
        <f>426+(180.7-99.7)+(-0.86904+(-0.368628--0.203388))+0-107.4--0.219095999999995</f>
        <v>398.78481599999992</v>
      </c>
      <c r="K23" s="3">
        <f>429.5+(171.2-90.8)+(-0.219045+(-0.087312--0.046308))+0-105.6--0.0538559999999893</f>
        <v>404.09380699999997</v>
      </c>
      <c r="L23" s="3">
        <f>428.3+(174.8-91)+(-0.218433+(-0.089148--0.04641))+0-107.3--0.0547229999999891</f>
        <v>404.59355199999999</v>
      </c>
      <c r="M23" s="3">
        <f>430.3+(210.9-87.7)+(-0.438906+(-0.215118--0.089454))+0-121.3--0.123726000000019</f>
        <v>431.75915600000002</v>
      </c>
      <c r="N23" s="3">
        <f>456.9+(210.2-86.1)+(-0.932076+(-0.428808--0.175644))+0-118--0.240719999999995</f>
        <v>462.05547999999999</v>
      </c>
      <c r="O23" s="3">
        <f>550.3+(169.4-120.5)+(-0.841959+(-0.259182--0.184365))+0-126.5--0.193545000000007</f>
        <v>471.97676899999993</v>
      </c>
      <c r="P23" s="3">
        <f>541.6+(145-94.9)+(-0.828648+(-0.22185--0.145197))+0-112.2--0.171666000000006</f>
        <v>478.76636500000006</v>
      </c>
      <c r="Q23" s="3">
        <f>543+(165.3-111.6)+(-0.55386+(-0.168606--0.113832))+0-104.8--0.106896000000017</f>
        <v>491.39826199999999</v>
      </c>
      <c r="R23" s="3">
        <f>551.2+(300.6-250.7)+(0+(0-0))+0-103.4-0</f>
        <v>497.70000000000016</v>
      </c>
      <c r="S23" s="3">
        <f>537.3+(436.5-384.6)+(-0.274023+(-0.222615--0.196146))+0-100.4--0.0512039999999898</f>
        <v>488.55071199999998</v>
      </c>
      <c r="T23" s="3">
        <f>527.4+(421.6-388.8)+(-0.537948+(-0.430032--0.396576))+0-102.1--0.104142000000016</f>
        <v>457.63273800000002</v>
      </c>
      <c r="U23" s="3">
        <f>527+(379.9-355.7)+(-0.53754+(-0.387498--0.362814))+0-104.4--0.106488000000017</f>
        <v>446.34426400000007</v>
      </c>
      <c r="V23" s="3">
        <f>529.7+(294-270)+(-0.540294+(-0.29988--0.2754))+0-104.9--0.106998000000017</f>
        <v>448.34222400000004</v>
      </c>
      <c r="W23" s="3">
        <f>465.6+(267-163.6)+(-0.237456+(-0.13617--0.083436))+0-119.5--0.0609449999999879</f>
        <v>449.27075499999995</v>
      </c>
      <c r="X23" s="3">
        <f>472+(199.4-96)+(-0.24072+(-0.101694--0.04896))+0-119.9--0.0611489999999878</f>
        <v>455.267695</v>
      </c>
      <c r="Y23" s="3">
        <f>489.2+(311.2-165.6)+(0+(0-0))+0-131.1-0</f>
        <v>503.69999999999993</v>
      </c>
      <c r="Z23" s="3">
        <f>560.4+(272.6-176.8)+(-0.571608+(-0.278052--0.180336))+0-127.4--0.12994800000002</f>
        <v>528.26062400000012</v>
      </c>
      <c r="AA23" s="3">
        <f>566+(265.8-186.8)+(-0.57732+(-0.271116--0.190536))+0-128.2--0.13076400000002</f>
        <v>516.27286400000003</v>
      </c>
      <c r="AB23" s="3">
        <f>566.8+(321.4-267.6)+(-1.156272+(-0.655656--0.545904))+0-129--0.263159999999994</f>
        <v>490.59713599999986</v>
      </c>
      <c r="AC23" s="3">
        <f>514+(414.7-332.7)+(-0.52428+(-0.422994--0.339354))+0-122.3--0.124746000000019</f>
        <v>473.21682599999997</v>
      </c>
      <c r="AD23">
        <f t="shared" si="0"/>
        <v>10979.183290000003</v>
      </c>
      <c r="AE23" s="3">
        <f>563+(297.7-183.8)+(0+(0-0))+0-143.4-0</f>
        <v>533.5</v>
      </c>
    </row>
    <row r="24" spans="1:31" s="2" customFormat="1" x14ac:dyDescent="0.25">
      <c r="A24">
        <v>89</v>
      </c>
      <c r="B24">
        <v>1</v>
      </c>
      <c r="C24">
        <v>24</v>
      </c>
      <c r="D24">
        <v>4</v>
      </c>
      <c r="E24">
        <v>1</v>
      </c>
      <c r="F24" s="3">
        <f>428.2+(449.6-326.4)+(-0.655146+(-0.687888--0.499392))+0-120.7--0.184671000000007</f>
        <v>430.04102900000004</v>
      </c>
      <c r="G24" s="3">
        <f>428.8+(448-325.5)+(-0.656064+(-0.68544--0.498015))+0-123.1--0.188343000000007</f>
        <v>427.54485399999999</v>
      </c>
      <c r="H24" s="3">
        <f>428.7+(383.4-293.9)+(0.218637+(0.195534-0.149889))+0-109.7-0.0559469999999889</f>
        <v>408.70833500000003</v>
      </c>
      <c r="I24" s="3">
        <f>426.7+(365.5-263)+(-0.652851+(-0.559215--0.40239))+0-131.7--0.201501000000008</f>
        <v>396.8918250000001</v>
      </c>
      <c r="J24" s="3">
        <f>423.5+(408.9-308.6)+(-1.079925+(-1.042695--0.78693))+0-132.4--0.337619999999981</f>
        <v>390.40192999999994</v>
      </c>
      <c r="K24" s="3">
        <f>430.2+(333.5-251.9)+(-0.658206+(-0.510255--0.385407))+0-122.4--0.187272000000007</f>
        <v>388.80421799999999</v>
      </c>
      <c r="L24" s="3">
        <f>431.2+(228-137.3)+(-0.219912+(-0.11628--0.070023))+0-124.8--0.0636479999999873</f>
        <v>396.89747899999998</v>
      </c>
      <c r="M24" s="3">
        <f>431+(256.1-142)+(0+(0-0))+0-106.8-0</f>
        <v>438.3</v>
      </c>
      <c r="N24" s="3">
        <f>435.5+(265.4-125.2)+(0+(0-0))+0-119.8-0</f>
        <v>455.90000000000003</v>
      </c>
      <c r="O24" s="3">
        <f>440.9+(260-106.9)+(-0.224859+(-0.1326--0.054519))+0-125.4--0.0639539999999873</f>
        <v>468.36101399999995</v>
      </c>
      <c r="P24" s="3">
        <f>434.1+(326.7-158.3)+(0+(0-0))+0-118.5-0</f>
        <v>484</v>
      </c>
      <c r="Q24" s="3">
        <f>430.6+(395.2-201.9)+(0+(0-0))+0-128.5-0</f>
        <v>495.4</v>
      </c>
      <c r="R24" s="3">
        <f>422.2+(425.8-241)+(-0.645966+(-0.651474--0.36873))+0-117.5--0.179775000000007</f>
        <v>488.75106499999998</v>
      </c>
      <c r="S24" s="3">
        <f>412.6+(547.1-361.3)+(-0.420852+(-0.558042--0.368526))+0-122.4--0.12484800000002</f>
        <v>475.51448000000016</v>
      </c>
      <c r="T24" s="3">
        <f>400.2+(591.3-428.7)+(-0.204102+(-0.301563--0.218637))+0-109.6--0.0558959999999889</f>
        <v>452.96886799999993</v>
      </c>
      <c r="U24" s="3">
        <f>395.8+(554.2-392.7)+(0.201858+(0.282642-0.200277))+0-108.8-0.055487999999989</f>
        <v>448.72873500000009</v>
      </c>
      <c r="V24" s="3">
        <f>399.6+(463.7-291.1)+(-0.203796+(-0.236487--0.148461))+0-118.1--0.060230999999988</f>
        <v>453.86840899999999</v>
      </c>
      <c r="W24" s="3">
        <f>402.6+(336-155.8)+(-0.615978+(-0.51408--0.238374))+0-115.6--0.176868000000007</f>
        <v>466.48518399999989</v>
      </c>
      <c r="X24" s="3">
        <f>415.1+(315.9-145.2)+(-1.058505+(-0.805545--0.37026))+0-103.8--0.264689999999985</f>
        <v>480.77089999999993</v>
      </c>
      <c r="Y24" s="3">
        <f>422+(449.8-230.2)+(-0.43044+(-0.458796--0.234804))+0-116.6--0.118932000000019</f>
        <v>524.46449999999993</v>
      </c>
      <c r="Z24" s="3">
        <f>424.6+(424-198.4)+(-0.866184+(-0.86496--0.404736))+0-114.1--0.232763999999995</f>
        <v>535.00635599999998</v>
      </c>
      <c r="AA24" s="3">
        <f>430.1+(438.1-216.7)+(-1.096755+(-1.117155--0.552585))+0-132.4--0.337619999999981</f>
        <v>517.776295</v>
      </c>
      <c r="AB24" s="3">
        <f>430.4+(497.9-303.7)+(-0.878016+(-1.015716--0.619548))+0-123.4--0.251735999999995</f>
        <v>500.17755199999993</v>
      </c>
      <c r="AC24" s="3">
        <f>419.4+(510.1-321)+(-0.855576+(-1.040604--0.65484))+0-138.9--0.283355999999994</f>
        <v>468.64201599999996</v>
      </c>
      <c r="AD24">
        <f t="shared" si="0"/>
        <v>10994.405043999997</v>
      </c>
      <c r="AE24" s="3">
        <f>428+(426-205)+(0+(0-0))+0-106-0</f>
        <v>543</v>
      </c>
    </row>
    <row r="25" spans="1:31" s="2" customFormat="1" x14ac:dyDescent="0.25">
      <c r="A25">
        <v>89</v>
      </c>
      <c r="B25">
        <v>1</v>
      </c>
      <c r="C25">
        <v>25</v>
      </c>
      <c r="D25">
        <v>5</v>
      </c>
      <c r="E25">
        <v>1</v>
      </c>
      <c r="F25" s="3">
        <f>427.3+(457.5-313.1)+(-0.653769+(-0.699975--0.479043))+0-125.6--0.192168000000007</f>
        <v>445.41746700000004</v>
      </c>
      <c r="G25" s="3">
        <f>436.4+(400.9-295.8)+(-0.667692+(-0.613377--0.452574))+0-117--0.179010000000007</f>
        <v>423.85051500000003</v>
      </c>
      <c r="H25" s="3">
        <f>436.6+(347.7-260.5)+(-0.445332+(-0.354654--0.26571))+0-113.3--0.115566000000018</f>
        <v>410.08128999999997</v>
      </c>
      <c r="I25" s="3">
        <f>432.3+(309.2-204.2)+(-0.440946+(-0.315384--0.208284))+0-132.4--0.135048000000021</f>
        <v>404.48700200000002</v>
      </c>
      <c r="J25" s="3">
        <f>431.6+(279.9-159.4)+(-0.440232+(-0.285498--0.162588))+0-150.5--0.153510000000024</f>
        <v>401.19036800000009</v>
      </c>
      <c r="K25" s="3">
        <f>432.8+(230.1-118.3)+(0.220728+(0.117351-0.060333))+0-143.4-0.0731339999999855</f>
        <v>401.40461200000004</v>
      </c>
      <c r="L25" s="3">
        <f>434.3+(191.6-85.1)+(-0.221493+(-0.097716--0.043401))+0-135.2--0.0689519999999863</f>
        <v>405.39314399999995</v>
      </c>
      <c r="M25" s="3">
        <f>432.5+(212.9-79.7)+(0.220575+(0.108579-0.040647))+0-129.5-0.0660449999999869</f>
        <v>436.42246200000005</v>
      </c>
      <c r="N25" s="3">
        <f>430.3+(224.3-66.8)+(0+(0-0))+0-125.3-0</f>
        <v>462.49999999999994</v>
      </c>
      <c r="O25" s="3">
        <f>422.9+(229.2-53.2)+(-0.215679+(-0.116892--0.027132))+0-124.8--0.0636479999999873</f>
        <v>473.85820899999999</v>
      </c>
      <c r="P25" s="3">
        <f>430.8+(246-75.6)+(0.439416+(0.25092-0.077112))+0-117.7-0.120054000000019</f>
        <v>483.99316999999996</v>
      </c>
      <c r="Q25" s="3">
        <f>422+(322.6-136.4)+(-0.64566+(-0.493578--0.208692))+0-114--0.174420000000007</f>
        <v>493.44387399999999</v>
      </c>
      <c r="R25" s="3">
        <f>431+(425.8-240.5)+(0.21981+(0.217158-0.122655))+0-124.5-0.0634949999999874</f>
        <v>492.05081799999994</v>
      </c>
      <c r="S25" s="3">
        <f>428.2+(510.1-328)+(-0.218382+(-0.260151--0.16728))+0-133.6--0.0681359999999864</f>
        <v>476.45688299999995</v>
      </c>
      <c r="T25" s="3">
        <f>423.7+(501.8-335.5)+(0.216087+(0.255918-0.171105))+0-126-0.0642599999999872</f>
        <v>464.23663999999997</v>
      </c>
      <c r="U25" s="3">
        <f>407.8+(396.7-231)+(-0.623934+(-0.606951--0.35343))+0-124.2--0.190026000000007</f>
        <v>448.61257099999995</v>
      </c>
      <c r="V25" s="3">
        <f>405.6+(391.9-218.6)+(0+(0-0))+0-121.7-0</f>
        <v>457.2</v>
      </c>
      <c r="W25" s="3">
        <f>408.5+(351.7-168.4)+(-0.625005+(-0.538101--0.257652))+0-125.7--0.192321000000007</f>
        <v>465.386867</v>
      </c>
      <c r="X25" s="3">
        <f>409.7+(299.3-88.6)+(-1.253682+(-0.915858--0.271116))+0-146.7--0.448902000000017</f>
        <v>472.25047800000004</v>
      </c>
      <c r="Y25" s="3">
        <f>424.6+(364-113.9)+(-0.433092+(-0.37128--0.116178))+0-154.9--0.157998000000025</f>
        <v>519.26980400000014</v>
      </c>
      <c r="Z25" s="3">
        <f>428.9+(336.6-81.5)+(-0.874956+(-0.686664--0.16626))+0-152.3--0.310691999999993</f>
        <v>530.61533200000008</v>
      </c>
      <c r="AA25" s="3">
        <f>430.5+(392.2-160.9)+(-0.658665+(-0.600066--0.246177))+0-151.6--0.231948000000009</f>
        <v>509.4193939999999</v>
      </c>
      <c r="AB25" s="3">
        <f>420.3+(393.6-171.8)+(-0.857412+(-0.802944--0.350472))+0-154.6--0.315383999999993</f>
        <v>486.50549999999998</v>
      </c>
      <c r="AC25" s="3">
        <f>418.3+(366.9-170.1)+(0+(0-0))+0-151.9-0</f>
        <v>463.20000000000005</v>
      </c>
      <c r="AD25">
        <f t="shared" si="0"/>
        <v>11027.246399999998</v>
      </c>
      <c r="AE25" s="3">
        <f>432+(356-121)+(0+(0-0))+0-162-0</f>
        <v>505</v>
      </c>
    </row>
    <row r="26" spans="1:31" s="2" customFormat="1" x14ac:dyDescent="0.25">
      <c r="A26">
        <v>89</v>
      </c>
      <c r="B26">
        <v>1</v>
      </c>
      <c r="C26">
        <v>26</v>
      </c>
      <c r="D26">
        <v>6</v>
      </c>
      <c r="E26">
        <v>1</v>
      </c>
      <c r="F26" s="3">
        <f>422.4+(364.4-200.7)+(-0.646272+(-0.557532--0.307071))+0-143.4--0.219402000000008</f>
        <v>442.02266899999989</v>
      </c>
      <c r="G26" s="3">
        <f>426+(377.6-248.8)+(-0.21726+(-0.192576--0.126888))+0-126.8--0.0646679999999871</f>
        <v>427.78171999999989</v>
      </c>
      <c r="H26" s="3">
        <f>426+(339.1-217.6)+(0+(0-0))+0-130.9-0</f>
        <v>416.6</v>
      </c>
      <c r="I26" s="3">
        <f>428.1+(303.6-194)+(-0.873324+(-0.619344--0.39576))+0-125.6--0.256223999999995</f>
        <v>411.25931600000001</v>
      </c>
      <c r="J26" s="3">
        <f>428.9+(320.7-204)+(-0.656217+(-0.490671--0.31212))+0-146.2--0.223686000000008</f>
        <v>398.78891799999985</v>
      </c>
      <c r="K26" s="3">
        <f>430.1+(286.9-172.7)+(0+(0-0))+0-143.6-0</f>
        <v>400.69999999999993</v>
      </c>
      <c r="L26" s="3">
        <f>423.7+(183.9-75.5)+(-1.296522+(-0.562734--0.23103))+0-129.2--0.395352000000015</f>
        <v>401.667126</v>
      </c>
      <c r="M26" s="3">
        <f>430.7+(179.5-50.8)+(0.219657+(0.091545-0.025908))+0-124.4-0.0634439999999874</f>
        <v>435.22185000000002</v>
      </c>
      <c r="N26" s="3">
        <f>424.7+(206.6-57.4)+(0+(0-0))+0-118.8-0</f>
        <v>455.09999999999997</v>
      </c>
      <c r="O26" s="3">
        <f>426.2+(243-70.1)+(0.434724+(0.24786-0.071502))+0-125-0.12750000000002</f>
        <v>474.58358200000004</v>
      </c>
      <c r="P26" s="3">
        <f>421.9+(304.3-127.5)+(-0.645507+(-0.465579--0.195075))+0-121--0.185130000000007</f>
        <v>476.96911900000003</v>
      </c>
      <c r="Q26" s="3">
        <f>419.6+(400.8-203.4)+(-0.641988+(-0.613224--0.311202))+0-126.5--0.193545000000007</f>
        <v>489.74953499999998</v>
      </c>
      <c r="R26" s="3">
        <f>421.4+(516-310.5)+(0+(0-0))+0-135.6-0</f>
        <v>491.29999999999995</v>
      </c>
      <c r="S26" s="3">
        <f>419.3+(557.8-376.5)+(-0.641529+(-0.853434--0.576045))+0-126.5--0.193545000000007</f>
        <v>473.37462699999998</v>
      </c>
      <c r="T26" s="3">
        <f>420+(549.8-389.2)+(-0.2142+(-0.280398--0.198492))+0-128.2--0.065381999999987</f>
        <v>452.16927599999991</v>
      </c>
      <c r="U26" s="3">
        <f>418.1+(509.8-352.4)+(-0.213231+(-0.259998--0.179724))+0-130.1--0.0663509999999868</f>
        <v>445.17284599999999</v>
      </c>
      <c r="V26" s="3">
        <f>416+(369.7-225.4)+(-0.63648+(-0.565641--0.344862))+0-116.7--0.178551000000007</f>
        <v>442.92129199999999</v>
      </c>
      <c r="W26" s="3">
        <f>416.1+(275.9-136.1)+(-0.636633+(-0.422127--0.208233))+0-113.1--0.173043000000007</f>
        <v>442.12251599999991</v>
      </c>
      <c r="X26" s="3">
        <f>414.8+(204.8-57.7)+(-0.634644+(-0.313344--0.088281))+0-132.6--0.202878000000008</f>
        <v>428.64317100000011</v>
      </c>
      <c r="Y26" s="3">
        <f>416.8+(405.8-220.4)+(0.212568+(0.206958-0.112404))+0-125.2-0.0638519999999873</f>
        <v>477.24327000000011</v>
      </c>
      <c r="Z26" s="3">
        <f>415.7+(412.1-199.3)+(-0.424014+(-0.420342--0.203286))+0-131.1--0.133722000000021</f>
        <v>496.892652</v>
      </c>
      <c r="AA26" s="3">
        <f>421.8+(396.5-201)+(-0.215118+(-0.202215--0.10251))+0-134.1--0.0683909999999864</f>
        <v>482.95356799999985</v>
      </c>
      <c r="AB26" s="3">
        <f>420.5+(386.3-188.6)+(-0.42891+(-0.394026--0.192372))+0-150.4--0.153408000000024</f>
        <v>467.32284400000003</v>
      </c>
      <c r="AC26" s="3">
        <f>406.5+(365.1-189.6)+(-1.24389+(-1.117206--0.580176))+0-132.3--0.404838000000015</f>
        <v>448.32391799999999</v>
      </c>
      <c r="AD26">
        <f t="shared" si="0"/>
        <v>10778.883814999999</v>
      </c>
      <c r="AE26" s="3">
        <f>421+(421.8-208.7)+(0+(0-0))+0-139.5-0</f>
        <v>494.6</v>
      </c>
    </row>
    <row r="27" spans="1:31" s="2" customFormat="1" x14ac:dyDescent="0.25">
      <c r="A27">
        <v>89</v>
      </c>
      <c r="B27">
        <v>1</v>
      </c>
      <c r="C27">
        <v>27</v>
      </c>
      <c r="D27">
        <v>7</v>
      </c>
      <c r="E27">
        <v>1</v>
      </c>
      <c r="F27" s="3">
        <f>317.3+(399.5-133.6)+(-0.323646+(-0.40749--0.136272))+0-151.7--0.154734000000024</f>
        <v>431.05987000000005</v>
      </c>
      <c r="G27" s="3">
        <f>204.8+(429.8-92.5)+(-0.52224+(-1.09599--0.235875))+0-141.7--0.361334999999979</f>
        <v>399.37898000000007</v>
      </c>
      <c r="H27" s="3">
        <f>205.8+(379.3-51)+(-0.52479+(-0.967215--0.13005))+0-142.1--0.362354999999979</f>
        <v>391.00040000000001</v>
      </c>
      <c r="I27" s="3">
        <f>207.9+(350-24.7)+(-0.212058+(-0.357--0.025194))+0-150.1--0.153102000000024</f>
        <v>382.70923800000008</v>
      </c>
      <c r="J27" s="3">
        <f>208.9+(340.8-20)+(0+(0-0))+0-148.5-0</f>
        <v>381.20000000000005</v>
      </c>
      <c r="K27" s="3">
        <f>206.7+(319.1-24.6)+(-0.421668+(-0.650964--0.050184))+0-124.9--0.254795999999995</f>
        <v>375.53234800000001</v>
      </c>
      <c r="L27" s="3">
        <f>204.7+(293.4-27)+(-0.730779+(-1.047438--0.09639))+0-119.9--0.428043000000002</f>
        <v>349.94621599999994</v>
      </c>
      <c r="M27" s="3">
        <f>206.2+(291.7-23.7)+(-0.420648+(-0.595068--0.048348))+0-132.9--0.271115999999994</f>
        <v>340.603748</v>
      </c>
      <c r="N27" s="3">
        <f>205.3+(321.9-21.4)+(0+(0-0))+0-145.1-0</f>
        <v>360.70000000000005</v>
      </c>
      <c r="O27" s="3">
        <f>204.2+(323-22.5)+(0.208284+(0.32946-0.02295))+0-135.2-0.137904000000022</f>
        <v>369.87688999999995</v>
      </c>
      <c r="P27" s="3">
        <f>205+(370-55.6)+(0+(0-0))+0-135.5-0</f>
        <v>383.9</v>
      </c>
      <c r="Q27" s="3">
        <f>203.7+(467.8-135.9)+(-0.207774+(-0.477156--0.138618))+0-146.1--0.149022000000023</f>
        <v>389.10270999999995</v>
      </c>
      <c r="R27" s="3">
        <f>201.6+(546.9-208.9)+(-0.205632+(-0.557838--0.213078))+0-145--0.147900000000023</f>
        <v>394.19750800000008</v>
      </c>
      <c r="S27" s="3">
        <f>199.7+(616.5-291.5)+(0+(0-0))+0-141.4-0</f>
        <v>383.30000000000007</v>
      </c>
      <c r="T27" s="3">
        <f>198.8+(642.3-349)+(-0.405552+(-1.310292--0.71196))+0-122.1--0.249083999999995</f>
        <v>369.2451999999999</v>
      </c>
      <c r="U27" s="3">
        <f>198.4+(591.9-306.5)+(-0.708288+(-2.113083--1.094205))+0-115.4--0.411978000000002</f>
        <v>367.08481199999994</v>
      </c>
      <c r="V27" s="3">
        <f>198.5+(464-182.8)+(-0.60741+(-1.41984--0.559368))+0-117.7--0.360162000000014</f>
        <v>360.89228000000003</v>
      </c>
      <c r="W27" s="3">
        <f>199.4+(389-99.1)+(-0.101694+(-0.19839--0.050541))+0-127--0.0647699999999871</f>
        <v>362.11522699999995</v>
      </c>
      <c r="X27" s="3">
        <f>199.2+(333.1-30.5)+(-0.50796+(-0.849405--0.077775))+0-122.7--0.312884999999982</f>
        <v>378.13329500000003</v>
      </c>
      <c r="Y27" s="3">
        <f>201.4+(470.3-103.1)+(-0.205428+(-0.479706--0.105162))+0-139.3--0.142086000000022</f>
        <v>428.86211400000002</v>
      </c>
      <c r="Z27" s="3">
        <f>202.3+(507.6-126.3)+(-0.206346+(-0.517752--0.128826))+0-129.9--0.132498000000021</f>
        <v>453.23722600000002</v>
      </c>
      <c r="AA27" s="3">
        <f>203.6+(535.7-153.2)+(0+(0-0))+0-142.1-0</f>
        <v>444</v>
      </c>
      <c r="AB27" s="3">
        <f>204.1+(554-198.2)+(-0.312273+(-0.84762--0.303246))+0-126.3--0.193239000000007</f>
        <v>432.93659200000002</v>
      </c>
      <c r="AC27" s="3">
        <f>206.9+(570.8-232.9)+(-0.316557+(-0.873324--0.356337))+0-135--0.206550000000008</f>
        <v>409.17300599999999</v>
      </c>
      <c r="AD27">
        <f t="shared" si="0"/>
        <v>9338.1876599999996</v>
      </c>
      <c r="AE27" s="3">
        <f>201+(518-118.3)+(0+(0-0))+0-147.8-0</f>
        <v>452.90000000000003</v>
      </c>
    </row>
    <row r="28" spans="1:31" s="2" customFormat="1" x14ac:dyDescent="0.25">
      <c r="A28">
        <v>89</v>
      </c>
      <c r="B28">
        <v>1</v>
      </c>
      <c r="C28">
        <v>28</v>
      </c>
      <c r="D28">
        <v>1</v>
      </c>
      <c r="E28">
        <v>1</v>
      </c>
      <c r="F28" s="3">
        <f>209.6+(504.9-193.6)+(-0.53448+(-1.287495--0.49368))+0-131.5--0.335324999999981</f>
        <v>388.40702999999991</v>
      </c>
      <c r="G28" s="3">
        <f>210.3+(423.3-117.9)+(-0.643518+(-1.295298--0.360774))+0-137.5--0.420750000000016</f>
        <v>377.04270800000006</v>
      </c>
      <c r="H28" s="3">
        <f>210+(420.4-128.7)+(-0.4284+(-0.857616--0.262548))+0-138.1--0.281723999999994</f>
        <v>362.85825600000004</v>
      </c>
      <c r="I28" s="3">
        <f>210.6+(412.7-130.9)+(-0.214812+(-0.420954--0.133518))+0-134.8--0.137496000000022</f>
        <v>357.23524799999996</v>
      </c>
      <c r="J28" s="3">
        <f>210.6+(397-92.2)+(-0.322218+(-0.60741--0.141066))+0-152.4--0.233172000000009</f>
        <v>362.44461000000007</v>
      </c>
      <c r="K28" s="3">
        <f>211.5+(368.7-81.5)+(-0.21573+(-0.376074--0.08313))+0-136.5--0.139230000000022</f>
        <v>361.830556</v>
      </c>
      <c r="L28" s="3">
        <f>211.5+(325.7-15.4)+(-0.107865+(-0.166107--0.007854))+0-145.1--0.0740009999999853</f>
        <v>376.50788299999994</v>
      </c>
      <c r="M28" s="3">
        <f>210.3+(357.5-21.7)+(0.107253+(0.182325-0.011067))+0-135.6-0.0691559999999862</f>
        <v>410.70935500000002</v>
      </c>
      <c r="N28" s="3">
        <f>209+(392.2-28.4)+(-0.10659+(-0.200022--0.014484))+0-122.3--0.0623729999999876</f>
        <v>450.27024499999987</v>
      </c>
      <c r="O28" s="3">
        <f>208.2+(397.1-30.5)+(0+(0-0))+0-114-0</f>
        <v>460.79999999999995</v>
      </c>
      <c r="P28" s="3">
        <f>206.7+(431.5-32.6)+(-0.316251+(-0.660195--0.049878))+0-127.7--0.195381000000007</f>
        <v>477.16881299999994</v>
      </c>
      <c r="Q28" s="3">
        <f>205.3+(453-23.5)+(-0.314109+(-0.69309--0.035955))+0-135.8--0.207774000000008</f>
        <v>498.23653000000002</v>
      </c>
      <c r="R28" s="3">
        <f>204.2+(498.2-36.1)+(-0.312426+(-0.762246--0.055233))+0-158.1--0.241893000000009</f>
        <v>507.4224539999999</v>
      </c>
      <c r="S28" s="3">
        <f>204.9+(540.3-144.7)+(-0.522495+(-1.377765--0.368985))+0-129.1--0.329204999999981</f>
        <v>470.19792999999993</v>
      </c>
      <c r="T28" s="3">
        <f>204.1+(527.5-168.9)+(-0.312273+(-0.807075--0.258417))+0-123.5--0.188955000000007</f>
        <v>438.52802400000002</v>
      </c>
      <c r="U28" s="3">
        <f>262.4+(470-146)+(-0.133824+(-0.2397--0.07446))+0-112.2--0.0572219999999886</f>
        <v>473.95815799999991</v>
      </c>
      <c r="V28" s="3">
        <f>296.2+(417.2-101.3)+(-0.302124+(-0.425544--0.103326))+0-127.1--0.12964200000002</f>
        <v>484.50529999999998</v>
      </c>
      <c r="W28" s="3">
        <f>366.3+(296-53.9)+(-0.186813+(-0.15096--0.027489))+0-120--0.0611999999999878</f>
        <v>488.15091599999994</v>
      </c>
      <c r="X28" s="3">
        <f>414.9+(239.2-36.9)+(-0.634797+(-0.365976--0.056457))+0-127.2--0.194616000000007</f>
        <v>489.25029999999998</v>
      </c>
      <c r="Y28" s="3">
        <f>423+(293.3-122.8)+(-0.21573+(-0.149583--0.062628))+0-102.7--0.0523769999999896</f>
        <v>490.54969199999999</v>
      </c>
      <c r="Z28" s="3">
        <f>421.8+(385.6-225)+(-0.860472+(-0.786624--0.459))+0-94.6--0.192983999999996</f>
        <v>486.80488800000012</v>
      </c>
      <c r="AA28" s="3">
        <f>431+(411-272.7)+(-0.65943+(-0.62883--0.417231))+0-100.5--0.153765000000006</f>
        <v>468.08273599999995</v>
      </c>
      <c r="AB28" s="3">
        <f>437.4+(447.2-293)+(-0.446148+(-0.456144--0.29886))+0-99.8--0.101796000000016</f>
        <v>491.29836399999994</v>
      </c>
      <c r="AC28" s="3">
        <f>441.3+(429.6-306.6)+(-0.450126+(-0.438192--0.312732))+0-92.4--0.0942480000000147</f>
        <v>471.41866199999993</v>
      </c>
      <c r="AD28">
        <f t="shared" si="0"/>
        <v>10643.678658000001</v>
      </c>
      <c r="AE28" s="3">
        <f>473+(370.4-246.4)+(0+(0-0))+0-93.5-0</f>
        <v>503.5</v>
      </c>
    </row>
    <row r="29" spans="1:31" s="2" customFormat="1" x14ac:dyDescent="0.25">
      <c r="A29">
        <v>89</v>
      </c>
      <c r="B29">
        <v>1</v>
      </c>
      <c r="C29">
        <v>29</v>
      </c>
      <c r="D29">
        <v>2</v>
      </c>
      <c r="E29">
        <v>1</v>
      </c>
      <c r="F29" s="3">
        <f>444.1+(367.9-266.2)+(-0.679473+(-0.562887--0.407286))+0-107.9--0.165087000000006</f>
        <v>437.23001300000004</v>
      </c>
      <c r="G29" s="3">
        <f>444.2+(321.4-210.2)+(-0.906168+(-0.655656--0.428808))+0-132.9--0.271115999999994</f>
        <v>421.63810000000001</v>
      </c>
      <c r="H29" s="3">
        <f>444.4+(303.8-195.9)+(-0.226644+(-0.154938--0.099909))+0-131.6--0.0671159999999866</f>
        <v>420.48544299999998</v>
      </c>
      <c r="I29" s="3">
        <f>444+(270.3-174.9)+(-0.22644+(-0.137853--0.089199))+0-125--0.0637499999999873</f>
        <v>414.18865599999998</v>
      </c>
      <c r="J29" s="3">
        <f>442.5+(251-155.3)+(-0.45135+(-0.25602--0.158406))+0-127.5--0.13005000000002</f>
        <v>410.28108600000013</v>
      </c>
      <c r="K29" s="3">
        <f>441.3+(195.1-102.8)+(-1.125315+(-0.497505--0.26214))+0-129.2--0.329459999999981</f>
        <v>403.36878000000002</v>
      </c>
      <c r="L29" s="3">
        <f>435.1+(202.1-96.1)+(-0.221901+(-0.103071--0.049011))+0-128.5--0.065534999999987</f>
        <v>412.38957399999998</v>
      </c>
      <c r="M29" s="3">
        <f>422.2+(250.5-135.9)+(-0.430644+(-0.25551--0.138618))+0-99.1--0.101082000000016</f>
        <v>437.25354599999991</v>
      </c>
      <c r="N29" s="3">
        <f>419.4+(262.4-104.2)+(-0.641682+(-0.401472--0.159426))+0-78--0.119340000000005</f>
        <v>498.83561199999991</v>
      </c>
      <c r="O29" s="3">
        <f>425.2+(264.9-82.9)+(0+(0-0))+0-118.7-0</f>
        <v>488.49999999999994</v>
      </c>
      <c r="P29" s="3">
        <f>420.3+(235.5-56)+(0+(0-0))+0-112.4-0</f>
        <v>487.4</v>
      </c>
      <c r="Q29" s="3">
        <f>425.1+(237-44.8)+(-0.433602+(-0.24174--0.045696))+0-117.4--0.119748000000019</f>
        <v>499.39010200000001</v>
      </c>
      <c r="R29" s="3">
        <f>419.3+(212.4-51.4)+(-0.641529+(-0.324972--0.078642))+0-117.4--0.179622000000007</f>
        <v>462.19176299999992</v>
      </c>
      <c r="S29" s="3">
        <f>410.9+(333.7-122.6)+(-0.209559+(-0.170187--0.062526))+0-130.3--0.0664529999999868</f>
        <v>491.44923299999994</v>
      </c>
      <c r="T29" s="3">
        <f>411.3+(346.3-162.7)+(0.209763+(0.176613-0.082977))+0-122.5-0.0624749999999876</f>
        <v>472.6409240000001</v>
      </c>
      <c r="U29" s="3">
        <f>433.9+(325.9-187.8)+(-0.885156+(-0.664836--0.383112))+0-116.2--0.237047999999995</f>
        <v>454.87016800000004</v>
      </c>
      <c r="V29" s="3">
        <f>472.6+(185.9-98.2)+(-0.241026+(-0.094809--0.050082))+0-106.2--0.0541619999999892</f>
        <v>453.86840900000004</v>
      </c>
      <c r="W29" s="3">
        <f>459.6+(224.8-101.5)+(-0.703188+(-0.343944--0.155295))+0-115.7--0.177021000000007</f>
        <v>466.48518400000012</v>
      </c>
      <c r="X29" s="3">
        <f>459+(232.2-86.5)+(-0.70227+(-0.355266--0.132345))+0-128.9--0.197217000000007</f>
        <v>475.07202600000005</v>
      </c>
      <c r="Y29" s="3">
        <f>531.7+(196.9-72.7)+(-0.542334+(-0.200838--0.074154))+0-130.3--0.132906000000021</f>
        <v>525.06388800000013</v>
      </c>
      <c r="Z29" s="3">
        <f>573+(160.9-82.4)+(-1.16892+(-0.328236--0.168096))+0-105.8--0.215831999999995</f>
        <v>544.586772</v>
      </c>
      <c r="AA29" s="3">
        <f>559.4+(200.4-134.2)+(-1.42647+(-0.51102--0.34221))+0-110.3--0.281264999999984</f>
        <v>513.98598500000003</v>
      </c>
      <c r="AB29" s="3">
        <f>461.3+(329.6-170.6)+(-0.235263+(-0.168096--0.087006))+0-117--0.0596699999999881</f>
        <v>503.043317</v>
      </c>
      <c r="AC29" s="3">
        <f>422.6+(345.8-207.3)+(-0.431052+(-0.352716--0.211446))+0-99.4--0.101388000000016</f>
        <v>461.2290660000001</v>
      </c>
      <c r="AD29">
        <f t="shared" si="0"/>
        <v>11155.447647000001</v>
      </c>
      <c r="AE29" s="3">
        <f>561+(152.9-116)+(0+(0-0))+0-95-0</f>
        <v>502.9</v>
      </c>
    </row>
    <row r="30" spans="1:31" s="2" customFormat="1" x14ac:dyDescent="0.25">
      <c r="A30">
        <v>89</v>
      </c>
      <c r="B30">
        <v>1</v>
      </c>
      <c r="C30">
        <v>30</v>
      </c>
      <c r="D30">
        <v>3</v>
      </c>
      <c r="E30">
        <v>1</v>
      </c>
      <c r="F30" s="3">
        <f>426.9+(433.4-293.9)+(-0.653157+(-0.663102--0.449667))+0-119.7--0.183141000000007</f>
        <v>446.01654900000005</v>
      </c>
      <c r="G30" s="3">
        <f>434.7+(371.1-267.5)+(-0.886788+(-0.757044--0.5457))+0-111.6--0.227663999999995</f>
        <v>425.82953199999997</v>
      </c>
      <c r="H30" s="3">
        <f>440.8+(295.5-187.2)+(0+(0-0))+0-128.3-0</f>
        <v>420.8</v>
      </c>
      <c r="I30" s="3">
        <f>436.6+(273.6-179.9)+(-0.890664+(-0.558144--0.366996))+0-111.9--0.228275999999995</f>
        <v>417.54646400000007</v>
      </c>
      <c r="J30" s="3">
        <f>440.3+(199.4-108.8)+(-0.449106+(-0.203388--0.110976))+0-115.8--0.118116000000018</f>
        <v>414.67659800000001</v>
      </c>
      <c r="K30" s="3">
        <f>441+(159.1-72.7)+(-0.67473+(-0.243423--0.111231))+0-114.1--0.174573000000007</f>
        <v>412.66765099999998</v>
      </c>
      <c r="L30" s="3">
        <f>442.1+(193.7-121.2)+(-0.450942+(-0.197574--0.123624))+0-101.6--0.103632000000016</f>
        <v>412.57873999999998</v>
      </c>
      <c r="M30" s="3">
        <f>442.7+(246.6-149.1)+(-0.225777+(-0.125766--0.076041))+0-103.6--0.0528359999999895</f>
        <v>436.37733400000008</v>
      </c>
      <c r="N30" s="3">
        <f>438.4+(238-102.2)+(0+(0-0))+0-94-0</f>
        <v>480.20000000000005</v>
      </c>
      <c r="O30" s="3">
        <f>442.6+(249.9-85.3)+(0.225726+(0.127449-0.043503))+0-96-0.0489599999999903</f>
        <v>511.46071200000006</v>
      </c>
      <c r="P30" s="3">
        <f>436.4+(205.8-48.9)+(0+(0-0))+0-77-0</f>
        <v>516.29999999999995</v>
      </c>
      <c r="Q30" s="3">
        <f>434+(234-43.5)+(-0.22134+(-0.11934--0.022185))+0-98--0.0499799999999901</f>
        <v>526.23148500000002</v>
      </c>
      <c r="R30" s="3">
        <f>432.1+(267.1-80.1)+(0.440742+(0.272442-0.081702))+0-79-0.0805800000000126</f>
        <v>540.65090199999997</v>
      </c>
      <c r="S30" s="3">
        <f>430.7+(328.5-165.4)+(0.219657+(0.167535-0.084354))+0-73-0.0372299999999926</f>
        <v>521.06560799999988</v>
      </c>
      <c r="T30" s="3">
        <f>429.8+(309.7-228.7)+(-0.219198+(-0.157947--0.116637))+0-73--0.0372299999999926</f>
        <v>437.57672199999996</v>
      </c>
      <c r="U30" s="3">
        <f>454.1+(273.6-161.5)+(-1.157955+(-0.69768--0.411825))+0-75--0.191249999999989</f>
        <v>489.94744000000003</v>
      </c>
      <c r="V30" s="3">
        <f>481.1+(213.9-123.6)+(-0.490722+(-0.218178--0.126072))+0-71--0.0724200000000113</f>
        <v>499.88959200000016</v>
      </c>
      <c r="W30" s="3">
        <f>484.5+(174-70.6)+(-1.235475+(-0.4437--0.18003))+0-103.9--0.264944999999985</f>
        <v>482.76580000000001</v>
      </c>
      <c r="X30" s="3">
        <f>487.7+(271.3-160.3)+(-1.243635+(-0.691815--0.408765))+0-121.5--0.309824999999982</f>
        <v>475.98313999999999</v>
      </c>
      <c r="Y30" s="3">
        <f>514.6+(246.1-134.2)+(-0.787338+(-0.376533--0.205326))+0-100.4--0.153612000000006</f>
        <v>525.29506700000002</v>
      </c>
      <c r="Z30" s="3">
        <f>593.1+(200.7-118.9)+(-1.209924+(-0.409428--0.242556))+0-127.3--0.259691999999994</f>
        <v>546.48289599999998</v>
      </c>
      <c r="AA30" s="3">
        <f>599+(164.3-111.3)+(-1.83294+(-0.502758--0.340578))+0-132.5--0.405450000000015</f>
        <v>517.91032999999993</v>
      </c>
      <c r="AB30" s="3">
        <f>530.1+(146.7-73)+(-1.351755+(-0.374085--0.18615))+0-114.4--0.291719999999983</f>
        <v>488.15203000000002</v>
      </c>
      <c r="AC30" s="3">
        <f>455.5+(221.8-77.5)+(-1.39383+(-0.678708--0.23715))+0-109.3--0.334458000000013</f>
        <v>488.99907000000002</v>
      </c>
      <c r="AD30">
        <f t="shared" si="0"/>
        <v>11435.403662000001</v>
      </c>
      <c r="AE30" s="3">
        <f>597+(181.1-139.7)+(0+(0-0))+0-100.8-0</f>
        <v>537.6</v>
      </c>
    </row>
    <row r="31" spans="1:31" s="2" customFormat="1" x14ac:dyDescent="0.25">
      <c r="A31">
        <v>89</v>
      </c>
      <c r="B31">
        <v>1</v>
      </c>
      <c r="C31">
        <v>31</v>
      </c>
      <c r="D31">
        <v>4</v>
      </c>
      <c r="E31">
        <v>1</v>
      </c>
      <c r="F31" s="3">
        <f>427.6+(210.4-85.5)+(-1.308456+(-0.643824--0.26163))+0-114.4--0.350064000000013</f>
        <v>436.75941400000005</v>
      </c>
      <c r="G31" s="3">
        <f>410.9+(218.9-81.8)+(-1.257354+(-0.669834--0.250308))+0-119.8--0.366588000000014</f>
        <v>426.88970800000004</v>
      </c>
      <c r="H31" s="3">
        <f>415.4+(200.7-82.5)+(-0.211854+(-0.102357--0.042075))+0-119.2--0.0607919999999879</f>
        <v>414.18865599999987</v>
      </c>
      <c r="I31" s="3">
        <f>411.6+(189.3-76)+(-0.419832+(-0.193086--0.07752))+0-117.3--0.119646000000019</f>
        <v>407.18424800000014</v>
      </c>
      <c r="J31" s="3">
        <f>414.2+(198.3-75.6)+(0+(0-0))+0-130.3-0</f>
        <v>406.59999999999997</v>
      </c>
      <c r="K31" s="3">
        <f>413.1+(220.2-123.6)+(-0.210681+(-0.112302--0.063036))+0-101.2--0.0516119999999897</f>
        <v>408.29166500000002</v>
      </c>
      <c r="L31" s="3">
        <f>410.3+(274.2-180.4)+(-0.418506+(-0.279684--0.184008))+0-96.1--0.0980220000000153</f>
        <v>407.58384000000001</v>
      </c>
      <c r="M31" s="3">
        <f>424.1+(320.8-206.8)+(-0.432582+(-0.327216--0.210936))+0-99--0.100980000000016</f>
        <v>438.65211800000003</v>
      </c>
      <c r="N31" s="3">
        <f>441.4+(346.4-225.2)+(-0.675342+(-0.529992--0.344556))+0-99--0.151470000000006</f>
        <v>462.89069199999994</v>
      </c>
      <c r="O31" s="3">
        <f>438.9+(361.3-243.6)+(-0.671517+(-0.552789--0.372708))+0-83--0.126990000000005</f>
        <v>472.87539200000003</v>
      </c>
      <c r="P31" s="3">
        <f>432.9+(322.7-160.8)+(0+(0-0))+0-115.7-0</f>
        <v>479.09999999999997</v>
      </c>
      <c r="Q31" s="3">
        <f>430.5+(293.2-131)+(0.219555+(0.149532-0.06681))+0-101.4-0.0517139999999897</f>
        <v>491.55056300000007</v>
      </c>
      <c r="R31" s="3">
        <f>425.2+(268.5-73.8)+(-0.216852+(-0.136935--0.037638))+0-126.5--0.0645149999999872</f>
        <v>493.14836599999995</v>
      </c>
      <c r="S31" s="3">
        <f>422.6+(243.5-63.7)+(-0.215526+(-0.124185--0.032487))+0-120.9--0.0616589999999877</f>
        <v>481.25443500000006</v>
      </c>
      <c r="T31" s="3">
        <f>420.1+(257.8-107.3)+(0+(0-0))+0-113.3-0</f>
        <v>457.3</v>
      </c>
      <c r="U31" s="3">
        <f>419.6+(243.2-105.1)+(-0.641988+(-0.372096--0.160803))+0-112.9--0.172737000000007</f>
        <v>444.11945600000001</v>
      </c>
      <c r="V31" s="3">
        <f>418.2+(196-58.8)+(-0.639846+(-0.29988--0.089964))+0-114.9--0.175797000000007</f>
        <v>439.82603499999993</v>
      </c>
      <c r="W31" s="3">
        <f>417.9+(258-108.4)+(-1.065645+(-0.6579--0.27642))+0-115.1--0.293504999999983</f>
        <v>451.24637999999993</v>
      </c>
      <c r="X31" s="3">
        <f>418.8+(266.5-108.1)+(-0.854352+(-0.54366--0.220524))+0-112--0.228479999999995</f>
        <v>464.250992</v>
      </c>
      <c r="Y31" s="3">
        <f>456.9+(221.2-53.3)+(-0.466038+(-0.225624--0.054366))+0-119.1--0.121482000000019</f>
        <v>505.18418599999995</v>
      </c>
      <c r="Z31" s="3">
        <f>466+(274.2-91.2)+(-0.71298+(-0.419526--0.139536))+0-114.4--0.175032000000007</f>
        <v>533.782062</v>
      </c>
      <c r="AA31" s="3">
        <f>469.8+(263.3-86.9)+(-0.239598+(-0.134283--0.044319))+0-130.9--0.0667589999999867</f>
        <v>515.03719699999999</v>
      </c>
      <c r="AB31" s="3">
        <f>467.9+(248.5-73.1)+(-1.193145+(-0.633675--0.186405))+0-147.3--0.375614999999979</f>
        <v>494.73519999999996</v>
      </c>
      <c r="AC31" s="3">
        <f>463.9+(215.5-75.3)+(-0.946356+(-0.43962--0.153612))+0-141.7--0.289067999999994</f>
        <v>461.45670399999995</v>
      </c>
      <c r="AD31">
        <f t="shared" si="0"/>
        <v>10993.907309</v>
      </c>
      <c r="AE31" s="3">
        <f>463+(287.8-89.2)+(0+(0-0))+0-116.8-0</f>
        <v>544.80000000000007</v>
      </c>
    </row>
    <row r="32" spans="1:31" s="2" customFormat="1" x14ac:dyDescent="0.25">
      <c r="A32">
        <v>89</v>
      </c>
      <c r="B32">
        <v>2</v>
      </c>
      <c r="C32">
        <v>1</v>
      </c>
      <c r="D32">
        <v>5</v>
      </c>
      <c r="E32">
        <v>1</v>
      </c>
      <c r="F32" s="3">
        <f>433.1+(213.7-61.6)+(-0.441762+(-0.217974--0.062832))+0-140.7--0.143514000000022</f>
        <v>444.0466100000001</v>
      </c>
      <c r="G32" s="3">
        <f>430.2+(190.9-55.5)+(-1.09701+(-0.486795--0.141525))+0-135.3--0.34501499999998</f>
        <v>429.20273500000002</v>
      </c>
      <c r="H32" s="3">
        <f>426.9+(190.8-74)+(0+(0-0))+0-123.1-0</f>
        <v>420.6</v>
      </c>
      <c r="I32" s="3">
        <f>431.1+(184-68.4)+(-0.659583+(-0.28152--0.104652))+0-139.2--0.212976000000008</f>
        <v>406.87652500000007</v>
      </c>
      <c r="J32" s="3">
        <f>433.1+(193.3-94.6)+(-0.662643+(-0.295749--0.144738))+0-129--0.197370000000007</f>
        <v>402.18371600000006</v>
      </c>
      <c r="K32" s="3">
        <f>431.6+(242.5-124.1)+(-0.880464+(-0.4947--0.253164))+0-144.7--0.295187999999994</f>
        <v>404.47318800000005</v>
      </c>
      <c r="L32" s="3">
        <f>434.1+(328.7-215.8)+(-0.664173+(-0.502911--0.330174))+0-128.1--0.195993000000007</f>
        <v>418.25908299999998</v>
      </c>
      <c r="M32" s="3">
        <f>434.3+(409.7-265.4)+(0+(0-0))+0-126.3-0</f>
        <v>452.3</v>
      </c>
      <c r="N32" s="3">
        <f>432.9+(412.3-251.7)+(0.441558+(0.420546-0.256734))+0-108-0.110160000000017</f>
        <v>485.99520999999999</v>
      </c>
      <c r="O32" s="3">
        <f>429.6+(450.9-268.9)+(0.876384+(0.919836-0.548556))+0-123.2-0.251327999999995</f>
        <v>489.39633600000002</v>
      </c>
      <c r="P32" s="3">
        <f>423.9+(404.3-205.6)+(-0.216189+(-0.206193--0.104856))+0-125.8--0.0641579999999872</f>
        <v>496.54663199999993</v>
      </c>
      <c r="Q32" s="3">
        <f>419.8+(333.6-131.9)+(0.642294+(0.510408-0.201807))+0-111.7-0.170901000000006</f>
        <v>510.57999399999994</v>
      </c>
      <c r="R32" s="3">
        <f>416.7+(289.2-65.5)+(0.212517+(0.147492-0.033405))+0-137.3-0.0700229999999861</f>
        <v>503.35658099999995</v>
      </c>
      <c r="S32" s="3">
        <f>411.8+(258.6-54)+(-0.840072+(-0.527544--0.11016))+0-120.7--0.246227999999995</f>
        <v>494.68877200000003</v>
      </c>
      <c r="T32" s="3">
        <f>412.4+(333.2-136.3)+(-0.210324+(-0.169932--0.069513))+0-133.6--0.0681359999999864</f>
        <v>475.45739299999991</v>
      </c>
      <c r="U32" s="3">
        <f>411+(308.4-128.2)+(-0.20961+(-0.157284--0.065382))+0-132--0.0673199999999866</f>
        <v>458.96580800000004</v>
      </c>
      <c r="V32" s="3">
        <f>406.9+(251.7-65.5)+(-1.037595+(-0.641835--0.167025))+0-120.8--0.308039999999982</f>
        <v>471.09563499999996</v>
      </c>
      <c r="W32" s="3">
        <f>407+(244.2-41.5)+(-0.62271+(-0.373626--0.063495))+0-134.4--0.205632000000008</f>
        <v>474.572791</v>
      </c>
      <c r="X32" s="3">
        <f>414.1+(234.8-43.3)+(-1.267146+(-0.718488--0.132498))+0-124.8--0.381888000000014</f>
        <v>479.32875200000007</v>
      </c>
      <c r="Y32" s="3">
        <f>508.4+(302.8-157.6)+(-0.259284+(-0.154428--0.080376))+0-130.1--0.0663509999999868</f>
        <v>523.23301499999991</v>
      </c>
      <c r="Z32" s="3">
        <f>572.1+(247.2-124.8)+(-1.167084+(-0.504288--0.254592))+0-142.8--0.291311999999994</f>
        <v>550.57453199999998</v>
      </c>
      <c r="AA32" s="3">
        <f>577.7+(226.7-146.6)+(-1.767762+(-0.693702--0.448596))+0-128.8--0.394128000000015</f>
        <v>527.38126</v>
      </c>
      <c r="AB32" s="3">
        <f>580.3+(227.1-173.1)+(-0.887859+(-0.347463--0.264843))+0-126.4--0.193392000000007</f>
        <v>507.12291300000004</v>
      </c>
      <c r="AC32" s="3">
        <f>551.9+(239.9-169)+(-0.562938+(-0.244698--0.17238))+0-142--0.144840000000023</f>
        <v>480.30958399999997</v>
      </c>
      <c r="AD32">
        <f t="shared" si="0"/>
        <v>11306.547064999999</v>
      </c>
      <c r="AE32" s="3">
        <f>572+(250.5-103.7)+(0+(0-0))+0-163.9-0</f>
        <v>554.9</v>
      </c>
    </row>
    <row r="33" spans="1:31" s="2" customFormat="1" x14ac:dyDescent="0.25">
      <c r="A33">
        <v>89</v>
      </c>
      <c r="B33">
        <v>2</v>
      </c>
      <c r="C33">
        <v>2</v>
      </c>
      <c r="D33">
        <v>6</v>
      </c>
      <c r="E33">
        <v>1</v>
      </c>
      <c r="F33" s="3">
        <f>422.1+(279.7-176.8)+(-0.430542+(-0.285294--0.180336))+0-138.9--0.141678000000022</f>
        <v>385.70617800000008</v>
      </c>
      <c r="G33" s="3">
        <f>423.9+(293.5-173.8)+(0+(0-0))+0-123.5-0</f>
        <v>420.09999999999991</v>
      </c>
      <c r="H33" s="3">
        <f>420.7+(279.1-167.7)+(-0.643671+(-0.427023--0.256581))+0-120.1--0.183753000000007</f>
        <v>411.36964</v>
      </c>
      <c r="I33" s="3">
        <f>413.1+(257.6-150.1)+(-1.053405+(-0.65688--0.382755))+0-120.5--0.307274999999983</f>
        <v>399.079745</v>
      </c>
      <c r="J33" s="3">
        <f>420.9+(255.8-147.3)+(0.214659+(0.130458-0.075123))+0-127.3-0.0649229999999871</f>
        <v>402.305071</v>
      </c>
      <c r="K33" s="3">
        <f>419+(198.4-81.3)+(0+(0-0))+0-138.6-0</f>
        <v>397.5</v>
      </c>
      <c r="L33" s="3">
        <f>417.9+(143.7-91.8)+(-0.639387+(-0.219861--0.140454))+0-120.2--0.183906000000007</f>
        <v>349.06511199999994</v>
      </c>
      <c r="M33" s="3">
        <f>420.1+(214.3-87.5)+(-0.214251+(-0.109293--0.044625))+0-116.2--0.0592619999999882</f>
        <v>430.48034300000012</v>
      </c>
      <c r="N33" s="3">
        <f>420.1+(221.1-67.8)+(0+(0-0))+0-125.3-0</f>
        <v>448.10000000000008</v>
      </c>
      <c r="O33" s="3">
        <f>417.1+(216.5-48.5)+(-0.425442+(-0.22083--0.04947))+0-124.9--0.12739800000002</f>
        <v>459.73059600000005</v>
      </c>
      <c r="P33" s="3">
        <f>415+(235.1-49.3)+(-0.4233+(-0.239802--0.050286))+0-113.3--0.115566000000018</f>
        <v>487.00274999999999</v>
      </c>
      <c r="Q33" s="3">
        <f>412.6+(293.3-88.8)+(-0.210426+(-0.149583--0.045288))+0-121.1--0.0617609999999877</f>
        <v>495.74704000000003</v>
      </c>
      <c r="R33" s="3">
        <f>407.7+(362-146.2)+(-0.207927+(-0.18462--0.074562))+0-127.4--0.0649739999999871</f>
        <v>495.84698900000001</v>
      </c>
      <c r="S33" s="3">
        <f>404.9+(493-292.8)+(-0.206499+(-0.25143--0.149328))+0-121.6--0.0620159999999877</f>
        <v>483.2534149999999</v>
      </c>
      <c r="T33" s="3">
        <f>402.8+(583-379.2)+(-0.205428+(-0.29733--0.193392))+0-144.5--0.0736949999999853</f>
        <v>461.86432900000005</v>
      </c>
      <c r="U33" s="3">
        <f>399.8+(538-355)+(-0.203898+(-0.27438--0.18105))+0-134--0.0683399999999864</f>
        <v>448.57111199999991</v>
      </c>
      <c r="V33" s="3">
        <f>400+(397.5-236.8)+(-0.816+(-0.8109--0.483072))+0-114.5--0.233579999999995</f>
        <v>445.28975200000008</v>
      </c>
      <c r="W33" s="3">
        <f>399.9+(289.7-129.4)+(-1.223694+(-0.886482--0.395964))+0-109.9--0.336294000000013</f>
        <v>448.92208199999999</v>
      </c>
      <c r="X33" s="3">
        <f>401.5+(229.9-65.4)+(-0.40953+(-0.234498--0.066708))+0-122.9--0.12535800000002</f>
        <v>442.64803800000004</v>
      </c>
      <c r="Y33" s="3">
        <f>420.3+(359.1-176.2)+(-0.214353+(-0.183141--0.089862))+0-131.1--0.0668609999999867</f>
        <v>471.85922899999997</v>
      </c>
      <c r="Z33" s="3">
        <f>428.6+(435.7-247.9)+(-0.437172+(-0.444414--0.252858))+0-123.5--0.12597000000002</f>
        <v>492.39724199999995</v>
      </c>
      <c r="AA33" s="3">
        <f>433.1+(466-293.5)+(-0.220881+(-0.23766--0.149685))+0-127.8--0.065177999999987</f>
        <v>477.55632200000002</v>
      </c>
      <c r="AB33" s="3">
        <f>435.9+(484.6-305.6)+(0.222309+(0.247146-0.155856))+0-144.7-0.0737969999999853</f>
        <v>470.43980199999993</v>
      </c>
      <c r="AC33" s="3">
        <f>434.1+(476.2-335)+(0+(0-0))+0-120.6-0</f>
        <v>454.69999999999993</v>
      </c>
      <c r="AD33">
        <f t="shared" si="0"/>
        <v>10679.534787000001</v>
      </c>
      <c r="AE33" s="3">
        <f>431+(447-270.4)+(0+(0-0))+0-111-0</f>
        <v>496.6</v>
      </c>
    </row>
    <row r="34" spans="1:31" s="2" customFormat="1" x14ac:dyDescent="0.25">
      <c r="A34">
        <v>89</v>
      </c>
      <c r="B34">
        <v>2</v>
      </c>
      <c r="C34">
        <v>3</v>
      </c>
      <c r="D34">
        <v>7</v>
      </c>
      <c r="E34">
        <v>1</v>
      </c>
      <c r="F34" s="3">
        <f>385.3+(496.5-344.6)+(0.196503+(0.253215-0.175746))+0-106.2-0.0541619999999892</f>
        <v>431.21981000000005</v>
      </c>
      <c r="G34" s="3">
        <f>381.2+(451.2-309.5)+(-0.194412+(-0.230112--0.157845))+0-106.9--0.0545189999999892</f>
        <v>415.78784000000002</v>
      </c>
      <c r="H34" s="3">
        <f>381+(383.2-259.1)+(-0.19431+(-0.195432--0.132141))+0-107.4--0.0547739999999891</f>
        <v>397.49717299999992</v>
      </c>
      <c r="I34" s="3">
        <f>385.6+(330.8-214.8)+(0+(0-0))+0-103.2-0</f>
        <v>398.40000000000003</v>
      </c>
      <c r="J34" s="3">
        <f>384.4+(311.5-173.3)+(-0.784176+(-0.63546--0.353532))+0-125.9--0.256835999999995</f>
        <v>395.89073199999996</v>
      </c>
      <c r="K34" s="3">
        <f>388.4+(253.1-117.7)+(-0.594252+(-0.387243--0.180081))+0-131.2--0.200736000000008</f>
        <v>391.99932199999995</v>
      </c>
      <c r="L34" s="3">
        <f>388.6+(169-82.1)+(-1.189116+(-0.51714--0.251226))+0-104.4--0.319464000000012</f>
        <v>369.96443399999998</v>
      </c>
      <c r="M34" s="3">
        <f>389.3+(180.7-84.5)+(-0.595629+(-0.276471--0.129285))+0-118--0.180540000000007</f>
        <v>366.937725</v>
      </c>
      <c r="N34" s="3">
        <f>382.9+(192.9-81.1)+(-0.195279+(-0.098379--0.041361))+0-115--0.0586499999999883</f>
        <v>379.50635299999999</v>
      </c>
      <c r="O34" s="3">
        <f>376.6+(189.7-54.1)+(0.384132+(0.193494-0.055182))+0-121.1-0.123522000000019</f>
        <v>391.49892199999994</v>
      </c>
      <c r="P34" s="3">
        <f>368.1+(220.4-58.7)+(-0.563193+(-0.337212--0.089811))+0-136--0.208080000000008</f>
        <v>393.19748599999991</v>
      </c>
      <c r="Q34" s="3">
        <f>363.8+(308.2-136.1)+(-0.371076+(-0.314364--0.138822))+0-130.2--0.132804000000021</f>
        <v>405.28618600000004</v>
      </c>
      <c r="R34" s="3">
        <f>359.8+(382.2-207.5)+(-0.366996+(-0.389844--0.21165))+0-126.3--0.12882600000002</f>
        <v>407.78363599999994</v>
      </c>
      <c r="S34" s="3">
        <f>356.3+(452.7-276.5)+(0.181713+(0.230877-0.141015))+0-133-0.0678299999999865</f>
        <v>399.70374500000003</v>
      </c>
      <c r="T34" s="3">
        <f>352+(475.8-324.7)+(-0.8976+(-1.21329--0.827985))+0-111.2--0.283559999999984</f>
        <v>390.90065499999997</v>
      </c>
      <c r="U34" s="3">
        <f>351.3+(510.1-348.8)+(-0.716652+(-1.040604--0.711552))+0-124.9--0.254795999999995</f>
        <v>386.90909200000004</v>
      </c>
      <c r="V34" s="3">
        <f>352.7+(525.7-352.2)+(-0.359754+(-0.536214--0.359244))+0-133.5--0.136170000000021</f>
        <v>392.29944599999999</v>
      </c>
      <c r="W34" s="3">
        <f>329.1+(451.4-261.7)+(-0.839205+(-1.15107--0.667335))+0-130.5--0.332774999999981</f>
        <v>387.30983499999991</v>
      </c>
      <c r="X34" s="3">
        <f>326.9+(382.4-185.9)+(-0.166719+(-0.195024--0.094809))+0-132.2--0.0674219999999866</f>
        <v>391.00048799999996</v>
      </c>
      <c r="Y34" s="3">
        <f>332.5+(445.6-222.3)+(-0.6783+(-0.909024--0.453492))+0-123.2--0.251327999999995</f>
        <v>431.71749599999998</v>
      </c>
      <c r="Z34" s="3">
        <f>348.5+(501-244.7)+(-0.888675+(-1.27755--0.623985))+0-145.1--0.370004999999979</f>
        <v>458.52776499999993</v>
      </c>
      <c r="AA34" s="3">
        <f>360.8+(535.2-318)+(-0.368016+(-0.545904--0.32436))+0-132.7--0.135354000000021</f>
        <v>444.84579400000001</v>
      </c>
      <c r="AB34" s="3">
        <f>364.8+(608.7-406.5)+(-0.372096+(-0.620874--0.41463))+0-132.3--0.134946000000021</f>
        <v>434.25660599999998</v>
      </c>
      <c r="AC34" s="3">
        <f>366.4+(665.2-492.9)+(-0.373728+(-0.678504--0.502758))+0-128.9--0.131478000000021</f>
        <v>409.38200400000005</v>
      </c>
      <c r="AD34">
        <f t="shared" si="0"/>
        <v>9671.8225450000027</v>
      </c>
      <c r="AE34" s="3">
        <f>348+(500.7-251.9)+(0+(0-0))+0-160.8-0</f>
        <v>435.99999999999994</v>
      </c>
    </row>
    <row r="35" spans="1:31" s="2" customFormat="1" x14ac:dyDescent="0.25">
      <c r="A35">
        <v>89</v>
      </c>
      <c r="B35">
        <v>2</v>
      </c>
      <c r="C35">
        <v>4</v>
      </c>
      <c r="D35">
        <v>1</v>
      </c>
      <c r="E35">
        <v>1</v>
      </c>
      <c r="F35" s="3">
        <f>376.7+(648.5-526.2)+(-0.768468+(-1.32294--1.073448))+0-114.4--0.233375999999995</f>
        <v>383.81541599999991</v>
      </c>
      <c r="G35" s="3">
        <f>380.1+(654.3-549.8)+(0.193851+(0.333693-0.280398))+0-114.9-0.0585989999999883</f>
        <v>369.88854699999996</v>
      </c>
      <c r="H35" s="3">
        <f>378.4+(506.2-393.1)+(0+(0-0))+0-130.9-0</f>
        <v>360.59999999999991</v>
      </c>
      <c r="I35" s="3">
        <f>374.9+(423.2-297.8)+(-0.764796+(-0.863328--0.607512))+0-142.7--0.291107999999994</f>
        <v>356.87049599999995</v>
      </c>
      <c r="J35" s="3">
        <f>380.7+(371.6-267.8)+(0.194157+(0.189516-0.136578))+0-126.3-0.0644129999999872</f>
        <v>358.38268199999999</v>
      </c>
      <c r="K35" s="3">
        <f>380.8+(336.3-219.9)+(0+(0-0))+0-139-0</f>
        <v>358.20000000000005</v>
      </c>
      <c r="L35" s="3">
        <f>378.4+(218.1-87.5)+(-0.96492+(-0.556155--0.223125))+0-128.9--0.328694999999981</f>
        <v>379.13074499999999</v>
      </c>
      <c r="M35" s="3">
        <f>381.6+(220.4-38.7)+(-0.194616+(-0.112404--0.019737))+0-137.7--0.070226999999986</f>
        <v>425.38294399999995</v>
      </c>
      <c r="N35" s="3">
        <f>384.5+(255.4-59.9)+(0.39219+(0.260508-0.061098))+0-123.5-0.12597000000002</f>
        <v>456.96562999999998</v>
      </c>
      <c r="O35" s="3">
        <f>379.1+(254-36.5)+(-0.580023+(-0.38862--0.055845))+0-90--0.137700000000005</f>
        <v>505.82490200000007</v>
      </c>
      <c r="P35" s="3">
        <f>376.8+(289.4-41.4)+(-0.384336+(-0.295188--0.042228))+0-96--0.0979200000000153</f>
        <v>528.26062400000001</v>
      </c>
      <c r="Q35" s="3">
        <f>375.4+(386.2-126)+(0.191454+(0.196962-0.06426))+0-125.1-0.0638009999999873</f>
        <v>510.76035499999989</v>
      </c>
      <c r="R35" s="3">
        <f>368.4+(458.9-233.8)+(-0.375768+(-0.468078--0.238476))+0-84.9--0.0865980000000135</f>
        <v>508.08122800000007</v>
      </c>
      <c r="S35" s="3">
        <f>465.3+(536.1-410.3)+(-0.949212+(-1.093644--0.837012))+0-85.7--0.174827999999996</f>
        <v>504.36898400000007</v>
      </c>
      <c r="T35" s="3">
        <f>494+(531.9-487.9)+(-0.50388+(-0.542538--0.497658))+0-64.4--0.0656880000000103</f>
        <v>473.11692800000003</v>
      </c>
      <c r="U35" s="3">
        <f>512.8+(457.8-432.9)+(-0.784584+(-0.700434--0.662337))+0-75.3--0.115209000000004</f>
        <v>461.69252800000004</v>
      </c>
      <c r="V35" s="3">
        <f>515.7+(368.4-350.2)+(-0.263007+(-0.187884--0.178602))+0-67--0.0341699999999932</f>
        <v>466.66188100000011</v>
      </c>
      <c r="W35" s="3">
        <f>516+(354.3-281.6)+(-1.05264+(-0.722772--0.574464))+0-115.1--0.234803999999995</f>
        <v>472.63385599999998</v>
      </c>
      <c r="X35" s="3">
        <f>519+(298.6-217.5)+(-0.79407+(-0.456858--0.332775))+0-123.1--0.188343000000007</f>
        <v>476.27019000000007</v>
      </c>
      <c r="Y35" s="3">
        <f>518.1+(436.4-311)+(-1.056924+(-0.890256--0.63444))+0-127.4--0.259895999999994</f>
        <v>515.04715600000009</v>
      </c>
      <c r="Z35" s="3">
        <f>517.8+(520.5-360.8)+(-0.792234+(-0.796365--0.552024))+0-133.7--0.204561000000008</f>
        <v>542.96798600000011</v>
      </c>
      <c r="AA35" s="3">
        <f>518.6+(480-352.8)+(-0.793458+(-0.7344--0.539784))+0-125.2--0.191556000000007</f>
        <v>519.80348199999992</v>
      </c>
      <c r="AB35" s="3">
        <f>521.8+(519.8-405.3)+(-1.33059+(-1.32549--1.033515))+0-124.1--0.316454999999982</f>
        <v>510.89388999999989</v>
      </c>
      <c r="AC35" s="3">
        <f>498+(525.1-432.5)+(-1.2699+(-1.339005--1.102875))+0-135.6--0.34577999999998</f>
        <v>453.83974999999998</v>
      </c>
      <c r="AD35">
        <f t="shared" si="0"/>
        <v>10899.4602</v>
      </c>
      <c r="AE35" s="3">
        <f>521+(494.5-332.5)+(0+(0-0))+0-135.6-0</f>
        <v>547.4</v>
      </c>
    </row>
    <row r="36" spans="1:31" s="2" customFormat="1" x14ac:dyDescent="0.25">
      <c r="A36">
        <v>89</v>
      </c>
      <c r="B36">
        <v>2</v>
      </c>
      <c r="C36">
        <v>5</v>
      </c>
      <c r="D36">
        <v>2</v>
      </c>
      <c r="E36">
        <v>1</v>
      </c>
      <c r="F36" s="3">
        <f>389.4+(573.9-396.9)+(-0.397188+(-0.585378--0.404838))+0-135.5--0.138210000000022</f>
        <v>430.46048200000001</v>
      </c>
      <c r="G36" s="3">
        <f>389+(486.1-318.7)+(-0.59517+(-0.743733--0.487611))+0-145.6--0.222768000000008</f>
        <v>410.17147600000015</v>
      </c>
      <c r="H36" s="3">
        <f>393.4+(458.4-314.1)+(-0.601902+(-0.701352--0.480573))+0-135.9--0.207927000000008</f>
        <v>401.18524599999995</v>
      </c>
      <c r="I36" s="3">
        <f>403.1+(441.9-314.8)+(-0.616743+(-0.676107--0.481644))+0-132.7--0.203031000000008</f>
        <v>396.8918250000001</v>
      </c>
      <c r="J36" s="3">
        <f>409.5+(412.3-271.5)+(0.626535+(0.630819-0.415395))+0-140.4-0.214812000000008</f>
        <v>410.52714699999996</v>
      </c>
      <c r="K36" s="3">
        <f>400.7+(348.1-206.8)+(-1.021785+(-0.887655--0.52734))+0-130.8--0.333539999999981</f>
        <v>410.15143999999992</v>
      </c>
      <c r="L36" s="3">
        <f>380.9+(219.1-50.4)+(-0.971295+(-0.558705--0.12852))+0-129.9--0.331244999999981</f>
        <v>418.62976499999991</v>
      </c>
      <c r="M36" s="3">
        <f>376.6+(232.4-30.9)+(-0.384132+(-0.237048--0.031518))+0-120.9--0.123318000000019</f>
        <v>456.73365600000011</v>
      </c>
      <c r="N36" s="3">
        <f>379.4+(253.9-37)+(0.386988+(0.258978-0.03774))+0-117.4-0.119748000000019</f>
        <v>479.38847799999991</v>
      </c>
      <c r="O36" s="3">
        <f>444.4+(223.7-48.3)+(-0.226644+(-0.114087--0.024633))+0-124.8--0.0636479999999873</f>
        <v>494.74754999999993</v>
      </c>
      <c r="P36" s="3">
        <f>531.3+(180.6-93.2)+(-0.812889+(-0.276318--0.142596))+0-104.2--0.159426000000006</f>
        <v>513.71281499999998</v>
      </c>
      <c r="Q36" s="3">
        <f>477.4+(206.7-47.2)+(-0.730422+(-0.316251--0.072216))+0-123.8--0.189414000000007</f>
        <v>512.31495700000005</v>
      </c>
      <c r="R36" s="3">
        <f>478+(205.1-38.1)+(0+(0-0))+0-123.1-0</f>
        <v>521.9</v>
      </c>
      <c r="S36" s="3">
        <f>474+(236.9-61.6)+(-0.96696+(-0.483276--0.125664))+0-129.1--0.263363999999994</f>
        <v>519.13879199999997</v>
      </c>
      <c r="T36" s="3">
        <f>436.3+(313.8-140.9)+(0+(0-0))+0-112.9-0</f>
        <v>496.30000000000007</v>
      </c>
      <c r="U36" s="3">
        <f>389.2+(343.1-151.6)+(-0.793968+(-0.699924--0.309264))+0-104.2--0.212567999999995</f>
        <v>475.52794000000006</v>
      </c>
      <c r="V36" s="3">
        <f>402+(318.4-114.9)+(-0.41004+(-0.324768--0.117198))+0-124.4--0.12688800000002</f>
        <v>480.60927800000002</v>
      </c>
      <c r="W36" s="3">
        <f>432.1+(250.3-80.8)+(-1.101855+(-0.638265--0.20604))+0-108.1--0.275654999999984</f>
        <v>492.24157499999995</v>
      </c>
      <c r="X36" s="3">
        <f>446.2+(229.1-55.9)+(-1.365372+(-0.701046--0.171054))+0-122.4--0.374544000000014</f>
        <v>495.47918000000004</v>
      </c>
      <c r="Y36" s="3">
        <f>459.7+(272.8-81.5)+(-0.234447+(-0.139128--0.041565))+0-118.5--0.060434999999988</f>
        <v>532.22842500000002</v>
      </c>
      <c r="Z36" s="3">
        <f>502.4+(269.1-112.7)+(-1.537344+(-0.823446--0.344862))+0-108.5--0.332010000000013</f>
        <v>548.61608199999989</v>
      </c>
      <c r="AA36" s="3">
        <f>448.2+(394-179.7)+(-1.828656+(-1.60752--0.733176))+0-126.3--0.515303999999989</f>
        <v>534.01230400000009</v>
      </c>
      <c r="AB36" s="3">
        <f>407.7+(480.4-255.9)+(-1.455489+(-1.715028--0.913563))+0-126--0.449820000000002</f>
        <v>504.39286599999997</v>
      </c>
      <c r="AC36" s="3">
        <f>421.9+(420-237.2)+(-0.860676+(-0.8568--0.483888))+0-119--0.242759999999995</f>
        <v>484.70917199999997</v>
      </c>
      <c r="AD36">
        <f t="shared" si="0"/>
        <v>11420.070451</v>
      </c>
      <c r="AE36" s="3">
        <f>513+(314-171.2)+(0+(0-0))+0-102.2-0</f>
        <v>553.59999999999991</v>
      </c>
    </row>
    <row r="37" spans="1:31" s="2" customFormat="1" x14ac:dyDescent="0.25">
      <c r="A37">
        <v>89</v>
      </c>
      <c r="B37">
        <v>2</v>
      </c>
      <c r="C37">
        <v>6</v>
      </c>
      <c r="D37">
        <v>3</v>
      </c>
      <c r="E37">
        <v>1</v>
      </c>
      <c r="F37" s="3">
        <f>421+(379.7-226)+(-1.07355+(-0.968235--0.5763))+0-123--0.313649999999982</f>
        <v>450.5481650000001</v>
      </c>
      <c r="G37" s="3">
        <f>418.6+(334.7-212.5)+(-0.853944+(-0.682788--0.4335))+0-103--0.210119999999996</f>
        <v>436.90688799999992</v>
      </c>
      <c r="H37" s="3">
        <f>419.2+(336.6-223.3)+(-1.496544+(-1.201662--0.797181))+0-107.2--0.382704000000002</f>
        <v>423.781679</v>
      </c>
      <c r="I37" s="3">
        <f>426.4+(296.3-181.5)+(-0.434928+(-0.302226--0.18513))+0-123.2--0.12566400000002</f>
        <v>417.57364000000013</v>
      </c>
      <c r="J37" s="3">
        <f>425.7+(249.4-127)+(-0.868428+(-0.508776--0.25908))+0-132.9--0.271115999999994</f>
        <v>414.35299200000009</v>
      </c>
      <c r="K37" s="3">
        <f>434.8+(193.4-83.4)+(0.221748+(0.098634-0.042534))+0-133-0.0678299999999865</f>
        <v>412.01001799999995</v>
      </c>
      <c r="L37" s="3">
        <f>430.9+(197.7-104)+(-1.318554+(-0.604962--0.31824))+0-108.4--0.331704000000013</f>
        <v>414.92642799999993</v>
      </c>
      <c r="M37" s="3">
        <f>437.7+(255.8-129.6)+(-0.223227+(-0.130458--0.066096))+0-108.4--0.055283999999989</f>
        <v>455.26769499999995</v>
      </c>
      <c r="N37" s="3">
        <f>432.5+(295.9-131.9)+(-0.44115+(-0.301818--0.134538))+0-119.1--0.121482000000019</f>
        <v>476.91305199999999</v>
      </c>
      <c r="O37" s="3">
        <f>428.6+(287.9-107.4)+(-0.874344+(-0.587316--0.219096))+0-115.9--0.236435999999995</f>
        <v>492.193872</v>
      </c>
      <c r="P37" s="3">
        <f>429.2+(235.2-38.9)+(0+(0-0))+0-126.4-0</f>
        <v>499.1</v>
      </c>
      <c r="Q37" s="3">
        <f>425.9+(246.7-37.5)+(-0.434418+(-0.251634--0.03825))+0-119.6--0.121992000000019</f>
        <v>514.97418999999991</v>
      </c>
      <c r="R37" s="3">
        <f>421.6+(249.7-25.9)+(-0.430032+(-0.254694--0.026418))+0-130.2--0.132804000000021</f>
        <v>514.67449599999998</v>
      </c>
      <c r="S37" s="3">
        <f>417.1+(369.6-169.2)+(-0.638163+(-0.565488--0.258876))+0-115.4--0.176562000000007</f>
        <v>501.33178699999996</v>
      </c>
      <c r="T37" s="3">
        <f>415.5+(480.9-289.2)+(-0.84762+(-0.981036--0.589968))+0-127.7--0.260507999999994</f>
        <v>478.52182000000005</v>
      </c>
      <c r="U37" s="3">
        <f>410.3+(440.2-264.8)+(-0.627759+(-0.673506--0.405144))+0-114.4--0.175032000000007</f>
        <v>470.57891100000006</v>
      </c>
      <c r="V37" s="3">
        <f>406.6+(397.2-188.4)+(-0.622098+(-0.607716--0.288252))+0-130.2--0.199206000000008</f>
        <v>484.45764400000002</v>
      </c>
      <c r="W37" s="3">
        <f>408.2+(337.7-122.6)+(-0.416364+(-0.344454--0.125052))+0-129.7--0.132294000000021</f>
        <v>493.09652799999998</v>
      </c>
      <c r="X37" s="3">
        <f>405.1+(299.7-76.1)+(-0.826404+(-0.611388--0.155244))+0-136.3--0.278051999999994</f>
        <v>491.39550400000002</v>
      </c>
      <c r="Y37" s="3">
        <f>407.6+(355.6-95.8)+(-0.415752+(-0.362712--0.097716))+0-133.1--0.135762000000021</f>
        <v>533.75501400000007</v>
      </c>
      <c r="Z37" s="3">
        <f>412.5+(387.2-113.9)+(-0.631125+(-0.592416--0.174267))+0-127.7--0.195381000000007</f>
        <v>557.24610699999994</v>
      </c>
      <c r="AA37" s="3">
        <f>418+(407.5-161.8)+(0+(0-0))+0-129.1-0</f>
        <v>534.6</v>
      </c>
      <c r="AB37" s="3">
        <f>419.1+(466.4-244.4)+(-0.641223+(-0.713592--0.373932))+0-130.6--0.199818000000008</f>
        <v>509.71893500000004</v>
      </c>
      <c r="AC37" s="3">
        <f>420.2+(502.6-310.9)+(-0.428604+(-0.512652--0.317118))+0-128.1--0.13066200000002</f>
        <v>483.30652400000008</v>
      </c>
      <c r="AD37">
        <f t="shared" si="0"/>
        <v>11461.231889000001</v>
      </c>
      <c r="AE37" s="3">
        <f>416+(392.7-121)+(0+(0-0))+0-145.6-0</f>
        <v>542.1</v>
      </c>
    </row>
    <row r="38" spans="1:31" s="2" customFormat="1" x14ac:dyDescent="0.25">
      <c r="A38">
        <v>89</v>
      </c>
      <c r="B38">
        <v>2</v>
      </c>
      <c r="C38">
        <v>7</v>
      </c>
      <c r="D38">
        <v>4</v>
      </c>
      <c r="E38">
        <v>1</v>
      </c>
      <c r="F38" s="3">
        <f>425.4+(457-297)+(-0.867816+(-0.93228--0.60588))+0-122.5--0.249899999999995</f>
        <v>461.95568399999996</v>
      </c>
      <c r="G38" s="3">
        <f>425.5+(386.1-246.8)+(-1.519035+(-1.378377--0.881076))+0-125.5--0.448035000000002</f>
        <v>437.73169899999994</v>
      </c>
      <c r="H38" s="3">
        <f>429.1+(327.6-216.2)+(-0.656523+(-0.501228--0.330786))+0-110.6--0.169218000000006</f>
        <v>429.24225300000001</v>
      </c>
      <c r="I38" s="3">
        <f>432.8+(263.7-145.7)+(-0.441456+(-0.268974--0.148614))+0-124.8--0.12729600000002</f>
        <v>425.56547999999992</v>
      </c>
      <c r="J38" s="3">
        <f>430.3+(222.9-115.6)+(-1.316718+(-0.682074--0.353736))+0-117.7--0.360162000000014</f>
        <v>418.61510600000008</v>
      </c>
      <c r="K38" s="3">
        <f>433.4+(208-89.5)+(-0.442068+(-0.21216--0.09129))+0-125.7--0.12821400000002</f>
        <v>425.76527599999997</v>
      </c>
      <c r="L38" s="3">
        <f>430.5+(210.9-103.4)+(-1.31733+(-0.645354--0.316404))+0-105.3--0.322218000000012</f>
        <v>431.37593799999996</v>
      </c>
      <c r="M38" s="3">
        <f>432.3+(256-123)+(-0.661419+(-0.39168--0.18819))+0-101.2--0.154836000000006</f>
        <v>463.38992699999994</v>
      </c>
      <c r="N38" s="3">
        <f>430.8+(267.9-101.8)+(-0.219708+(-0.136629--0.051918))+0-100.9--0.0514589999999898</f>
        <v>495.74703999999991</v>
      </c>
      <c r="O38" s="3">
        <f>426.6+(288.2-107.6)+(-0.652698+(-0.440946--0.164628))+0-101.6--0.155448000000006</f>
        <v>504.82643199999995</v>
      </c>
      <c r="P38" s="3">
        <f>427.1+(256.4-58.7)+(-0.653463+(-0.392292--0.089811))+0-107.4--0.164322000000006</f>
        <v>516.6083779999999</v>
      </c>
      <c r="Q38" s="3">
        <f>423.3+(253.8-41.5)+(0+(0-0))+0-108.3-0</f>
        <v>527.30000000000007</v>
      </c>
      <c r="R38" s="3">
        <f>420.8+(306.9-88.3)+(-0.643824+(-0.469557--0.135099))+0-106.3--0.162639000000006</f>
        <v>532.284357</v>
      </c>
      <c r="S38" s="3">
        <f>417.8+(422.4-210.3)+(0+(0-0))+0-105.9-0</f>
        <v>524</v>
      </c>
      <c r="T38" s="3">
        <f>412.1+(459.8-272)+(-0.420342+(-0.468996--0.27744))+0-106.6--0.108732000000017</f>
        <v>492.7968340000001</v>
      </c>
      <c r="U38" s="3">
        <f>406.7+(470.6-284.5)+(-0.829668+(-0.960024--0.58038))+0-105.9--0.216035999999995</f>
        <v>485.906724</v>
      </c>
      <c r="V38" s="3">
        <f>404.2+(421.1-226.3)+(-0.618426+(-0.644283--0.346239))+0-101.1--0.154683000000006</f>
        <v>497.13821300000001</v>
      </c>
      <c r="W38" s="3">
        <f>406.1+(290.4-91.7)+(-0.828444+(-0.592416--0.187068))+0-98.4--0.200735999999996</f>
        <v>505.36694399999999</v>
      </c>
      <c r="X38" s="3">
        <f>413.5+(258.4-60.4)+(-0.632655+(-0.395352--0.092412))+0-105.6--0.161568000000006</f>
        <v>505.12597299999993</v>
      </c>
      <c r="Y38" s="3">
        <f>468.6+(281.8-99.3)+(-0.955944+(-0.574872--0.202572))+0-106.5--0.217259999999995</f>
        <v>543.48901599999999</v>
      </c>
      <c r="Z38" s="3">
        <f>532.2+(251.5-111)+(-0.542844+(-0.25653--0.11322))+0-110--0.112200000000018</f>
        <v>562.12604600000009</v>
      </c>
      <c r="AA38" s="3">
        <f>529.3+(281.8-155.5)+(-1.079772+(-0.574872--0.31722))+0-117.4--0.239495999999995</f>
        <v>537.10207199999991</v>
      </c>
      <c r="AB38" s="3">
        <f>460.7+(339.9-169.5)+(-0.469914+(-0.346698--0.17289))+0-120.8--0.123216000000019</f>
        <v>509.77949399999989</v>
      </c>
      <c r="AC38" s="3">
        <f>404.4+(385.3-189.5)+(-0.412488+(-0.393006--0.19329))+0-115.4--0.117708000000018</f>
        <v>484.30550400000004</v>
      </c>
      <c r="AD38">
        <f t="shared" si="0"/>
        <v>11717.544389999999</v>
      </c>
      <c r="AE38" s="3">
        <f>532+(244.3-100.9)+(0+(0-0))+0-123.5-0</f>
        <v>551.9</v>
      </c>
    </row>
    <row r="39" spans="1:31" s="2" customFormat="1" x14ac:dyDescent="0.25">
      <c r="A39">
        <v>89</v>
      </c>
      <c r="B39">
        <v>2</v>
      </c>
      <c r="C39">
        <v>8</v>
      </c>
      <c r="D39">
        <v>5</v>
      </c>
      <c r="E39">
        <v>1</v>
      </c>
      <c r="F39" s="3">
        <f>386+(336.9-146.4)+(-0.19686+(-0.171819--0.074664))+0-112.9--0.0575789999999885</f>
        <v>463.36356400000005</v>
      </c>
      <c r="G39" s="3">
        <f>392.3+(280.1-112.6)+(-0.200073+(-0.142851--0.057426))+0-118.3--0.060332999999988</f>
        <v>441.27483500000011</v>
      </c>
      <c r="H39" s="3">
        <f>391.7+(376-213.6)+(-0.399534+(-0.38352--0.217872))+0-125.2--0.12770400000002</f>
        <v>428.46252199999998</v>
      </c>
      <c r="I39" s="3">
        <f>394.1+(350.4-189.4)+(0+(0-0))+0-129.2-0</f>
        <v>425.90000000000003</v>
      </c>
      <c r="J39" s="3">
        <f>396.7+(286.4-138.8)+(-0.404634+(-0.292128--0.141576))+0-125.2--0.12770400000002</f>
        <v>418.67251799999991</v>
      </c>
      <c r="K39" s="3">
        <f>395+(223-70)+(-1.00725+(-0.56865--0.1785))+0-124.4--0.317219999999982</f>
        <v>422.51982000000004</v>
      </c>
      <c r="L39" s="3">
        <f>397+(231.7-85.3)+(-0.60741+(-0.354501--0.130509))+0-118.9--0.181917000000007</f>
        <v>423.85051499999997</v>
      </c>
      <c r="M39" s="3">
        <f>397.8+(273.7-91.9)+(0+(0-0))+0-123-0</f>
        <v>456.6</v>
      </c>
      <c r="N39" s="3">
        <f>391.3+(333-109)+(-0.399126+(-0.33966--0.11118))+0-130.4--0.133008000000021</f>
        <v>484.40540199999998</v>
      </c>
      <c r="O39" s="3">
        <f>389+(326.2-87.1)+(-0.19839+(-0.166362--0.044421))+0-128.3--0.065432999999987</f>
        <v>499.54510199999999</v>
      </c>
      <c r="P39" s="3">
        <f>386.2+(303.9-45.9)+(-0.590886+(-0.464967--0.070227))+0-132.5--0.202725000000008</f>
        <v>510.91709900000001</v>
      </c>
      <c r="Q39" s="3">
        <f>383.5+(322.4-41.8)+(-0.586755+(-0.493272--0.063954))+0-138.3--0.211599000000008</f>
        <v>524.99552599999993</v>
      </c>
      <c r="R39" s="3">
        <f>391.3+(333-51.2)+(-0.598689+(-0.50949--0.078336))+0-148.4--0.227052000000009</f>
        <v>523.89720899999998</v>
      </c>
      <c r="S39" s="3">
        <f>494.3+(384.5-222)+(-1.008372+(-0.78438--0.45288))+0-132.9--0.271115999999994</f>
        <v>522.83124399999997</v>
      </c>
      <c r="T39" s="3">
        <f>515+(435.9-325.9)+(-0.26265+(-0.222309--0.166209))+0-142.1--0.0724709999999856</f>
        <v>482.65372099999996</v>
      </c>
      <c r="U39" s="3">
        <f>516.2+(405.8-307.4)+(-0.263262+(-0.206958--0.156774))+0-129.8--0.0661979999999868</f>
        <v>484.55275200000011</v>
      </c>
      <c r="V39" s="3">
        <f>514.2+(290.1-178.3)+(-1.31121+(-0.739755--0.454665))+0-134.1--0.341954999999981</f>
        <v>490.64565499999992</v>
      </c>
      <c r="W39" s="3">
        <f>508.5+(193.3-71.7)+(-1.03734+(-0.394332--0.146268))+0-138.1--0.281723999999994</f>
        <v>490.99632000000003</v>
      </c>
      <c r="X39" s="3">
        <f>508.5+(232.8-104.3)+(-1.03734+(-0.474912--0.212772))+0-141--0.287639999999994</f>
        <v>494.98815999999999</v>
      </c>
      <c r="Y39" s="3">
        <f>514.8+(229.5-64.5)+(-0.787644+(-0.351135--0.098685))+0-148.2--0.226746000000009</f>
        <v>530.786652</v>
      </c>
      <c r="Z39" s="3">
        <f>522.7+(294-102.4)+(-0.799731+(-0.44982--0.156672))+0-152.1--0.232713000000009</f>
        <v>561.339834</v>
      </c>
      <c r="AA39" s="3">
        <f>530+(302.3-147.4)+(-0.5406+(-0.308346--0.150348))+0-145--0.147900000000023</f>
        <v>539.34930200000008</v>
      </c>
      <c r="AB39" s="3">
        <f>532.1+(368.7-243.6)+(-1.085484+(-0.752148--0.496944))+0-139.4--0.284375999999994</f>
        <v>516.74368800000002</v>
      </c>
      <c r="AC39" s="3">
        <f>515+(370.3-250.1)+(-1.0506+(-0.755412--0.510204))+0-143.1--0.291923999999994</f>
        <v>491.09611600000005</v>
      </c>
      <c r="AD39">
        <f t="shared" si="0"/>
        <v>11630.387556000003</v>
      </c>
      <c r="AE39" s="3">
        <f>526+(308.1-105.2)+(0+(0-0))+0-166-0</f>
        <v>562.90000000000009</v>
      </c>
    </row>
    <row r="40" spans="1:31" s="2" customFormat="1" x14ac:dyDescent="0.25">
      <c r="A40">
        <v>89</v>
      </c>
      <c r="B40">
        <v>2</v>
      </c>
      <c r="C40">
        <v>9</v>
      </c>
      <c r="D40">
        <v>6</v>
      </c>
      <c r="E40">
        <v>1</v>
      </c>
      <c r="F40" s="3">
        <f>409+(417.4-246.5)+(-0.20859+(-0.212874--0.125715))+0-124.8--0.0636479999999873</f>
        <v>454.86789899999997</v>
      </c>
      <c r="G40" s="3">
        <f>349.4+(448.5-215)+(-0.534582+(-0.686205--0.32895))+0-145.7--0.222921000000008</f>
        <v>436.53108399999996</v>
      </c>
      <c r="H40" s="3">
        <f>248.1+(560.2-256.5)+(0.379593+(0.857106-0.392445))+0-128.7-0.196911000000007</f>
        <v>423.74734300000006</v>
      </c>
      <c r="I40" s="3">
        <f>231.2+(607.7-287.9)+(-0.353736+(-0.929781--0.440487))+0-142.2--0.217566000000008</f>
        <v>408.17453600000005</v>
      </c>
      <c r="J40" s="3">
        <f>238.1+(528.8-232.2)+(0.121431+(0.269688-0.118422))+0-122.2-0.0623219999999876</f>
        <v>412.71037499999994</v>
      </c>
      <c r="K40" s="3">
        <f>239.8+(446.7-130)+(-0.366894+(-0.683451--0.1989))+0-142.7--0.218331000000008</f>
        <v>413.16688600000003</v>
      </c>
      <c r="L40" s="3">
        <f>240+(344.1-37)+(-0.4896+(-0.701964--0.07548))+0-130.2--0.265607999999994</f>
        <v>416.04952400000002</v>
      </c>
      <c r="M40" s="3">
        <f>238.2+(362.8-14.4)+(-0.364446+(-0.555084--0.022032))+0-134.2--0.205326000000008</f>
        <v>451.70782800000001</v>
      </c>
      <c r="N40" s="3">
        <f>235.4+(392.9-15.6)+(0+(0-0))+0-131.7-0</f>
        <v>480.99999999999994</v>
      </c>
      <c r="O40" s="3">
        <f>231.6+(410.4-25.7)+(-0.118116+(-0.209304--0.013107))+0-119.1--0.0607409999999879</f>
        <v>496.94642799999997</v>
      </c>
      <c r="P40" s="3">
        <f>232.4+(409.9-25.4)+(-0.237048+(-0.418098--0.025908))+0-112.6--0.114852000000018</f>
        <v>503.78561400000001</v>
      </c>
      <c r="Q40" s="3">
        <f>230.5+(435.1-14)+(0+(0-0))+0-138.7-0</f>
        <v>512.90000000000009</v>
      </c>
      <c r="R40" s="3">
        <f>224.3+(520.9-124.7)+(-0.343179+(-0.796977--0.190791))+0-125.1--0.191403000000007</f>
        <v>494.64203800000001</v>
      </c>
      <c r="S40" s="3">
        <f>222.9+(674.7-280.8)+(-0.227358+(-0.688194--0.286416))+0-141.8--0.144636000000023</f>
        <v>474.51550000000009</v>
      </c>
      <c r="T40" s="3">
        <f>221.6+(729.1-362.4)+(-0.113016+(-0.371841--0.184824))+0-136.1--0.0694109999999862</f>
        <v>451.96937800000006</v>
      </c>
      <c r="U40" s="3">
        <f>222.8+(683.5-327.2)+(-0.340884+(-1.045755--0.500616))+0-142.5--0.218025000000008</f>
        <v>435.93200200000001</v>
      </c>
      <c r="V40" s="3">
        <f>222.5+(592.5-234.6)+(-0.22695+(-0.60435--0.239292))+0-108--0.110160000000017</f>
        <v>471.91815200000002</v>
      </c>
      <c r="W40" s="3">
        <f>222.1+(479.8-109.5)+(-0.792897+(-1.712886--0.390915))+0-115--0.410550000000002</f>
        <v>475.69568199999998</v>
      </c>
      <c r="X40" s="3">
        <f>225.3+(362.7-8.1)+(0+(0-0))+0-129.7-0</f>
        <v>450.2</v>
      </c>
      <c r="Y40" s="3">
        <f>229.1+(388.6-30.8)+(-0.233682+(-0.396372--0.031416))+0-128--0.13056000000002</f>
        <v>458.43192199999993</v>
      </c>
      <c r="Z40" s="3">
        <f>242+(396.9-19.7)+(-0.6171+(-1.012095--0.050235))+0-103--0.262649999999985</f>
        <v>514.88369</v>
      </c>
      <c r="AA40" s="3">
        <f>243.6+(377.3-18.9)+(-0.248472+(-0.384846--0.019278))+0-98--0.0999600000000156</f>
        <v>503.48591999999996</v>
      </c>
      <c r="AB40" s="3">
        <f>244.6+(474-98.8)+(-0.498984+(-0.96696--0.201552))+0-114--0.232559999999995</f>
        <v>504.76816799999989</v>
      </c>
      <c r="AC40" s="3">
        <f>237.7+(457.1-132.4)+(-0.121227+(-0.233121--0.067524))+0-90--0.0458999999999909</f>
        <v>472.15907600000008</v>
      </c>
      <c r="AD40">
        <f t="shared" si="0"/>
        <v>11120.189045000001</v>
      </c>
      <c r="AE40" s="3">
        <f>243+(422.9-17.3)+(0+(0-0))+0-66-0</f>
        <v>582.59999999999991</v>
      </c>
    </row>
    <row r="41" spans="1:31" s="2" customFormat="1" x14ac:dyDescent="0.25">
      <c r="A41">
        <v>89</v>
      </c>
      <c r="B41">
        <v>2</v>
      </c>
      <c r="C41">
        <v>10</v>
      </c>
      <c r="D41">
        <v>7</v>
      </c>
      <c r="E41">
        <v>1</v>
      </c>
      <c r="F41" s="3">
        <f>247+(531.7-208.8)+(0+(0-0))+0-94-0</f>
        <v>475.90000000000009</v>
      </c>
      <c r="G41" s="3">
        <f>246.4+(534.8-234.1)+(0+(0-0))+0-114-0</f>
        <v>433.09999999999991</v>
      </c>
      <c r="H41" s="3">
        <f>248.8+(399.4-105.7)+(0.253776+(0.407388-0.107814))+0-101-0.103020000000016</f>
        <v>441.95033000000001</v>
      </c>
      <c r="I41" s="3">
        <f>248.3+(356.8-48.9)+(-0.126633+(-0.181968--0.024939))+0-120--0.0611999999999878</f>
        <v>435.97753799999998</v>
      </c>
      <c r="J41" s="3">
        <f>248.9+(314.3-27.5)+(0.253878+(0.320586-0.02805))+0-108-0.110160000000017</f>
        <v>428.13625400000006</v>
      </c>
      <c r="K41" s="3">
        <f>246.8+(294.4-12.4)+(-0.62934+(-0.75072--0.03162))+0-107--0.272849999999984</f>
        <v>420.72440999999998</v>
      </c>
      <c r="L41" s="3">
        <f>246.5+(269.7-15.6)+(-0.628575+(-0.687735--0.03978))+0-109--0.277949999999984</f>
        <v>390.60142000000002</v>
      </c>
      <c r="M41" s="3">
        <f>244.6+(298.5-54.5)+(-0.249492+(-0.30447--0.05559))+0-102--0.104040000000016</f>
        <v>386.205668</v>
      </c>
      <c r="N41" s="3">
        <f>240.1+(286-19.6)+(0.122451+(0.14586-0.009996))+0-103-0.0525299999999896</f>
        <v>403.70578499999999</v>
      </c>
      <c r="O41" s="3">
        <f>235.2+(300.3-32.9)+(-0.119952+(-0.153153--0.016779))+0-99--0.05048999999999</f>
        <v>403.39416399999999</v>
      </c>
      <c r="P41" s="3">
        <f>233.6+(382.9-63.2)+(-0.238272+(-0.390558--0.064464))+0-106--0.108120000000017</f>
        <v>446.84375400000005</v>
      </c>
      <c r="Q41" s="3">
        <f>231+(454.9-123.2)+(-0.35343+(-0.695997--0.188496))+0-108--0.165240000000006</f>
        <v>454.00430899999998</v>
      </c>
      <c r="R41" s="3">
        <f>226.4+(566.1-209)+(0.115464+(0.288711-0.10659))+0-91-0.0464099999999908</f>
        <v>492.75117500000005</v>
      </c>
      <c r="S41" s="3">
        <f>224.3+(662-326.2)+(-0.228786+(-0.67524--0.332724))+0-105--0.107100000000017</f>
        <v>454.63579800000008</v>
      </c>
      <c r="T41" s="3">
        <f>223.2+(675.1-366.2)+(0.341496+(1.032903-0.560286))+0-91-0.139230000000005</f>
        <v>441.77488300000005</v>
      </c>
      <c r="U41" s="3">
        <f>221.3+(698.2-388.9)+(-0.338589+(-1.068246--0.595017))+0-93--0.142290000000005</f>
        <v>436.93047200000012</v>
      </c>
      <c r="V41" s="3">
        <f>226.5+(629-339)+(-0.346545+(-0.96237--0.51867))+0-86--0.131580000000005</f>
        <v>429.84133499999996</v>
      </c>
      <c r="W41" s="3">
        <f>222.4+(526.1-180.7)+(-0.56712+(-1.341555--0.460785))+0-115--0.293249999999983</f>
        <v>451.64536000000004</v>
      </c>
      <c r="X41" s="3">
        <f>222.3+(424-90.6)+(-0.566865+(-1.0812--0.23103))+0-75--0.191249999999989</f>
        <v>479.47421499999996</v>
      </c>
      <c r="Y41" s="3">
        <f>225.4+(464.3-118.8)+(-0.114954+(-0.236793--0.060588))+0-102--0.0520199999999897</f>
        <v>468.66086099999995</v>
      </c>
      <c r="Z41" s="3">
        <f>227.8+(613.8-231.6)+(-0.464712+(-1.252152--0.472464))+0-105--0.214199999999995</f>
        <v>503.96979999999996</v>
      </c>
      <c r="AA41" s="3">
        <f>230.8+(565-225.6)+(-0.235416+(-0.5763--0.230112))+0-98--0.0999600000000156</f>
        <v>471.71835600000009</v>
      </c>
      <c r="AB41" s="3">
        <f>234.2+(547-204.7)+(-0.716652+(-1.67382--0.626382))+0-94--0.287640000000011</f>
        <v>481.02355</v>
      </c>
      <c r="AC41" s="3">
        <f>233.6+(559-231.5)+(-0.238272+(-0.57018--0.23613))+0-101--0.103020000000016</f>
        <v>459.63069800000005</v>
      </c>
      <c r="AD41">
        <f t="shared" si="0"/>
        <v>10692.600135000002</v>
      </c>
      <c r="AE41" s="3">
        <f>228+(608-231)+(0+(0-0))+0-99-0</f>
        <v>506</v>
      </c>
    </row>
    <row r="42" spans="1:31" s="2" customFormat="1" x14ac:dyDescent="0.25">
      <c r="A42">
        <v>89</v>
      </c>
      <c r="B42">
        <v>2</v>
      </c>
      <c r="C42">
        <v>11</v>
      </c>
      <c r="D42">
        <v>1</v>
      </c>
      <c r="E42">
        <v>1</v>
      </c>
      <c r="F42" s="3">
        <f>236.1+(649.4-361.2)+(-0.481644+(-1.324776--0.736848))+0-103--0.210119999999996</f>
        <v>420.44054799999998</v>
      </c>
      <c r="G42" s="3">
        <f>235.4+(651.4-355)+(-0.60027+(-1.66107--0.90525))+0-117--0.298349999999983</f>
        <v>413.74225999999993</v>
      </c>
      <c r="H42" s="3">
        <f>238.3+(620.8-344.3)+(-0.243066+(-0.633216--0.351186))+0-109--0.111180000000017</f>
        <v>405.38608399999998</v>
      </c>
      <c r="I42" s="3">
        <f>240.9+(567.1-294.5)+(-0.491436+(-1.156884--0.60078))+0-113--0.230519999999995</f>
        <v>399.68297999999999</v>
      </c>
      <c r="J42" s="3">
        <f>243.8+(505.6-254.2)+(0+(0-0))+0-89-0</f>
        <v>406.20000000000005</v>
      </c>
      <c r="K42" s="3">
        <f>242.5+(424.7-171.2)+(-0.123675+(-0.216597--0.087312))+0-120--0.0611999999999878</f>
        <v>375.80824000000001</v>
      </c>
      <c r="L42" s="3">
        <f>244.7+(253.1-30.2)+(-0.499188+(-0.516324--0.061608))+0-62--0.126479999999997</f>
        <v>404.77257600000002</v>
      </c>
      <c r="M42" s="3">
        <f>241.7+(297.9-36.8)+(-0.246534+(-0.303858--0.037536))+0-66--0.0673200000000105</f>
        <v>436.35446399999995</v>
      </c>
      <c r="N42" s="3">
        <f>245.4+(322.7-37.8)+(-0.250308+(-0.329154--0.038556))+0-64--0.0652800000000102</f>
        <v>465.82437400000003</v>
      </c>
      <c r="O42" s="3">
        <f>249.8+(344.6-34.1)+(-0.382194+(-0.527238--0.052173))+0-71--0.108630000000004</f>
        <v>488.55137099999996</v>
      </c>
      <c r="P42" s="3">
        <f>221.9+(358.2-28.3)+(-0.226338+(-0.365364--0.028866))+0-51--0.0520200000000081</f>
        <v>500.28918400000003</v>
      </c>
      <c r="Q42" s="3">
        <f>224+(399.2-18.1)+(-0.11424+(-0.203592--0.009231))+0-109--0.0555899999999889</f>
        <v>495.84698899999995</v>
      </c>
      <c r="R42" s="3">
        <f>184.9+(616-163.3)+(-0.471495+(-1.5708--0.416415))+0-113--0.288149999999984</f>
        <v>523.26226999999994</v>
      </c>
      <c r="S42" s="3">
        <f>243.2+(663.8-306.9)+(-0.248064+(-0.677076--0.313038))+0-92--0.0938400000000147</f>
        <v>507.58173799999986</v>
      </c>
      <c r="T42" s="3">
        <f>229.6+(641.2-290.8)+(-0.117096+(-0.327012--0.148308))+0-86--0.0438599999999913</f>
        <v>493.74806000000001</v>
      </c>
      <c r="U42" s="3">
        <f>223.6+(639.2-274.7)+(-0.57018+(-1.62996--0.700485))+0-104--0.265199999999985</f>
        <v>482.86554500000005</v>
      </c>
      <c r="V42" s="3">
        <f>223.2+(553.3-182.7)+(-0.56916+(-1.410915--0.465885))+0-109--0.277949999999984</f>
        <v>483.56375999999995</v>
      </c>
      <c r="W42" s="3">
        <f>225.9+(469.3-98.5)+(-0.345627+(-0.718029--0.150705))+0-111--0.169830000000006</f>
        <v>484.95687900000001</v>
      </c>
      <c r="X42" s="3">
        <f>227.4+(401.6-16.9)+(-0.347922+(-0.614448--0.025857))+0-111--0.169830000000006</f>
        <v>500.33331700000002</v>
      </c>
      <c r="Y42" s="3">
        <f>226.2+(493-60.4)+(-0.115362+(-0.25143--0.030804))+0-113--0.0576299999999885</f>
        <v>545.52164199999993</v>
      </c>
      <c r="Z42" s="3">
        <f>229.3+(605.8-158.3)+(-0.467772+(-1.235832--0.322932))+0-114--0.232559999999995</f>
        <v>561.65188799999999</v>
      </c>
      <c r="AA42" s="3">
        <f>233.1+(561.8-137.1)+(-0.237762+(-0.573036--0.139842))+0-109--0.111180000000017</f>
        <v>548.2402239999999</v>
      </c>
      <c r="AB42" s="3">
        <f>235.1+(556.1-179.3)+(-0.239802+(-0.567222--0.182886))+0-111--0.113220000000018</f>
        <v>500.38908199999997</v>
      </c>
      <c r="AC42" s="3">
        <f>239.1+(552.6-166.9)+(-0.365823+(-0.845478--0.255357))+0-105--0.160650000000006</f>
        <v>519.00470600000006</v>
      </c>
      <c r="AD42">
        <f t="shared" si="0"/>
        <v>11364.018180999998</v>
      </c>
      <c r="AE42" s="3">
        <f>230+(573-125.3)+(0+(0-0))+0-130-0</f>
        <v>547.70000000000005</v>
      </c>
    </row>
    <row r="43" spans="1:31" s="2" customFormat="1" x14ac:dyDescent="0.25">
      <c r="A43">
        <v>89</v>
      </c>
      <c r="B43">
        <v>2</v>
      </c>
      <c r="C43">
        <v>12</v>
      </c>
      <c r="D43">
        <v>2</v>
      </c>
      <c r="E43">
        <v>1</v>
      </c>
      <c r="F43" s="3">
        <f>238.5+(556.4-218.8)+(0+(0-0))+0-47-0</f>
        <v>529.09999999999991</v>
      </c>
      <c r="G43" s="3">
        <f>238.8+(504-203.6)+(-0.121788+(-0.25704--0.103836))+0-34--0.0173399999999966</f>
        <v>504.94234800000004</v>
      </c>
      <c r="H43" s="3">
        <f>241.4+(414.6-108.7)+(0+(0-0))+0-50-0</f>
        <v>497.30000000000007</v>
      </c>
      <c r="I43" s="3">
        <f>240.9+(334.8-40.9)+(-0.245718+(-0.341496--0.041718))+0-41--0.0418200000000065</f>
        <v>493.29632400000014</v>
      </c>
      <c r="J43" s="3">
        <f>242.3+(323.5-18.6)+(-0.123573+(-0.164985--0.009486))+0-57--0.0290699999999942</f>
        <v>489.94999799999999</v>
      </c>
      <c r="K43" s="3">
        <f>241.6+(307.8-21.4)+(-0.61608+(-0.78489--0.05457))+0-44--0.112199999999994</f>
        <v>482.76579999999996</v>
      </c>
      <c r="L43" s="3">
        <f>243.5+(326.2-25)+(-0.24837+(-0.332724--0.0255))+0-68--0.0693600000000108</f>
        <v>476.21376600000002</v>
      </c>
      <c r="M43" s="3">
        <f>244.5+(372.2-21.6)+(0+(0-0))+0-65-0</f>
        <v>530.09999999999991</v>
      </c>
      <c r="N43" s="3">
        <f>246.9+(399.1-28.6)+(-0.125919+(-0.203541--0.014586))+0-65--0.0331499999999934</f>
        <v>552.11827599999992</v>
      </c>
      <c r="O43" s="3">
        <f>260.9+(400-33.2)+(0+(0-0))+0-65-0</f>
        <v>562.70000000000005</v>
      </c>
      <c r="P43" s="3">
        <f>255.9+(423.2-31.6)+(0.261018+(0.431664-0.032232))+0-65-0.0663000000000104</f>
        <v>583.09415000000001</v>
      </c>
      <c r="Q43" s="3">
        <f>252.1+(426.7-24)+(-0.128571+(-0.217617--0.01224))+0-61--0.0311099999999938</f>
        <v>593.497162</v>
      </c>
      <c r="R43" s="3">
        <f>245.5+(475.3-51.1)+(-0.375615+(-0.727209--0.078183))+0-65--0.0994500000000038</f>
        <v>603.77480900000012</v>
      </c>
      <c r="S43" s="3">
        <f>242.7+(602.3-196.7)+(-0.495108+(-1.228692--0.401268))+0-68--0.138719999999997</f>
        <v>579.11618799999997</v>
      </c>
      <c r="T43" s="3">
        <f>243+(664.1-284.3)+(0.12393+(0.338691-0.144993))+0-69-0.035189999999993</f>
        <v>554.08243800000002</v>
      </c>
      <c r="U43" s="3">
        <f>232.6+(657.9-303.6)+(-0.355878+(-1.006587--0.464508))+0-72--0.110160000000004</f>
        <v>514.11220299999991</v>
      </c>
      <c r="V43" s="3">
        <f>230.2+(547.1-181.9)+(-0.704412+(-1.674126--0.556614))+0-72--0.220320000000008</f>
        <v>521.79839600000014</v>
      </c>
      <c r="W43" s="3">
        <f>232.5+(423.6-34)+(-0.118575+(-0.216036--0.01734))+0-68--0.0346799999999931</f>
        <v>553.817409</v>
      </c>
      <c r="X43" s="3">
        <f>242+(400.5-49.5)+(-0.37026+(-0.612765--0.075735))+0-68--0.104040000000004</f>
        <v>524.19675000000007</v>
      </c>
      <c r="Y43" s="3">
        <f>296.3+(390.6-24.9)+(-0.302226+(-0.398412--0.025398))+0-64--0.0652800000000102</f>
        <v>597.39004</v>
      </c>
      <c r="Z43" s="3">
        <f>336.3+(378.6-36.7)+(-1.200591+(-1.351602--0.131019))+0-68--0.242760000000001</f>
        <v>608.02158600000007</v>
      </c>
      <c r="AA43" s="3">
        <f>350+(353.9-51.1)+(-0.714+(-0.721956--0.104244))+0-67--0.136679999999997</f>
        <v>584.60496799999987</v>
      </c>
      <c r="AB43" s="3">
        <f>292.9+(506.8-164.1)+(-0.746895+(-1.29234--0.418455))+0-67--0.17084999999999</f>
        <v>567.15007000000003</v>
      </c>
      <c r="AC43" s="3">
        <f>272.7+(513.6-189.8)+(-0.695385+(-1.30968--0.48399))+0-67--0.17084999999999</f>
        <v>528.14977499999998</v>
      </c>
      <c r="AD43">
        <f t="shared" si="0"/>
        <v>13031.292456000001</v>
      </c>
      <c r="AE43" s="3">
        <f>346+(343.9-37)+(0+(0-0))+0-113-0</f>
        <v>539.9</v>
      </c>
    </row>
    <row r="44" spans="1:31" s="2" customFormat="1" x14ac:dyDescent="0.25">
      <c r="A44">
        <v>89</v>
      </c>
      <c r="B44">
        <v>2</v>
      </c>
      <c r="C44">
        <v>13</v>
      </c>
      <c r="D44">
        <v>3</v>
      </c>
      <c r="E44">
        <v>1</v>
      </c>
      <c r="F44" s="3">
        <f>287.2+(472-169)+(-0.878832+(-1.44432--0.51714))+0-111--0.339660000000013</f>
        <v>477.73364800000007</v>
      </c>
      <c r="G44" s="3">
        <f>325.4+(410-177.7)+(-1.161678+(-1.4637--0.634389))+0-105--0.374850000000001</f>
        <v>451.08386100000001</v>
      </c>
      <c r="H44" s="3">
        <f>376.8+(300-142.8)+(-0.192168+(-0.153--0.072828))+0-93--0.0474299999999906</f>
        <v>440.77508999999998</v>
      </c>
      <c r="I44" s="3">
        <f>375.2+(276-120.9)+(-0.191352+(-0.14076--0.061659))+0-90--0.0458999999999909</f>
        <v>440.075447</v>
      </c>
      <c r="J44" s="3">
        <f>373.4+(236.1-75.6)+(-0.380868+(-0.240822--0.077112))+0-98--0.0999600000000156</f>
        <v>435.45538199999999</v>
      </c>
      <c r="K44" s="3">
        <f>371.5+(194.3-56)+(-0.947325+(-0.495465--0.1428))+0-92--0.234599999999987</f>
        <v>416.73461000000003</v>
      </c>
      <c r="L44" s="3">
        <f>373.7+(270.6-110.7)+(-1.143522+(-0.828036--0.338742))+0-91--0.278460000000011</f>
        <v>441.24564399999997</v>
      </c>
      <c r="M44" s="3">
        <f>381.2+(343.6-128)+(0.194412+(0.175236-0.06528))+0-88-0.0448799999999911</f>
        <v>509.05948799999993</v>
      </c>
      <c r="N44" s="3">
        <f>379.6+(332.7-95.1)+(0+(0-0))+0-94-0</f>
        <v>523.20000000000005</v>
      </c>
      <c r="O44" s="3">
        <f>376.6+(401.9-136.3)+(-0.576198+(-0.614907--0.208539))+0-87--0.133110000000005</f>
        <v>554.35054400000001</v>
      </c>
      <c r="P44" s="3">
        <f>377.5+(410.8-121.1)+(0+(0-0))+0-104-0</f>
        <v>563.20000000000005</v>
      </c>
      <c r="Q44" s="3">
        <f>375.1+(382.4-87.7)+(-0.765204+(-0.780096--0.178908))+0-94--0.191759999999996</f>
        <v>574.62536799999998</v>
      </c>
      <c r="R44" s="3">
        <f>376+(341.5-55.3)+(-0.19176+(-0.174165--0.028203))+0-91--0.0464099999999908</f>
        <v>570.9086880000001</v>
      </c>
      <c r="S44" s="3">
        <f>372.9+(377-93.3)+(-0.760716+(-0.76908--0.190332))+0-92--0.187679999999996</f>
        <v>563.44821599999989</v>
      </c>
      <c r="T44" s="3">
        <f>368+(368-99.7)+(-0.75072+(-0.75072--0.203388))+0-103--0.210119999999996</f>
        <v>532.21206799999993</v>
      </c>
      <c r="U44" s="3">
        <f>359.1+(427-161)+(-0.549423+(-0.65331--0.24633))+0-93--0.142290000000005</f>
        <v>531.285887</v>
      </c>
      <c r="V44" s="3">
        <f>358.6+(437-163.7)+(-0.548658+(-0.66861--0.250461))+0-102--0.156060000000006</f>
        <v>529.0892530000001</v>
      </c>
      <c r="W44" s="3">
        <f>357.4+(351.4-70.1)+(0+(0-0))+0-100-0</f>
        <v>538.69999999999993</v>
      </c>
      <c r="X44" s="3">
        <f>356+(331.4-46.4)+(-0.72624+(-0.676056--0.094656))+0-100--0.203999999999996</f>
        <v>539.89635999999996</v>
      </c>
      <c r="Y44" s="3">
        <f>365.5+(372.7-84.7)+(0.186405+(0.190077-0.043197))+0-102-0.0520199999999897</f>
        <v>551.78126500000008</v>
      </c>
      <c r="Z44" s="3">
        <f>378.8+(538-222.6)+(-0.96594+(-1.3719--0.56763))+0-103--0.262649999999985</f>
        <v>589.69244000000003</v>
      </c>
      <c r="AA44" s="3">
        <f>390.1+(519-266)+(-0.994755+(-1.32345--0.6783))+0-110--0.280499999999984</f>
        <v>531.74059499999998</v>
      </c>
      <c r="AB44" s="3">
        <f>390.4+(500-267)+(-0.199104+(-0.255--0.13617))+0-114--0.0581399999999884</f>
        <v>509.14020599999992</v>
      </c>
      <c r="AC44" s="3">
        <f>383.7+(509-270.2)+(-0.195687+(-0.25959--0.137802))+0-116--0.0591599999999882</f>
        <v>506.24168500000002</v>
      </c>
      <c r="AD44">
        <f t="shared" si="0"/>
        <v>12321.675745000002</v>
      </c>
      <c r="AE44" s="3">
        <f>388+(509-203.2)+(0+(0-0))+0-98-0</f>
        <v>595.79999999999995</v>
      </c>
    </row>
    <row r="45" spans="1:31" s="2" customFormat="1" x14ac:dyDescent="0.25">
      <c r="A45">
        <v>89</v>
      </c>
      <c r="B45">
        <v>2</v>
      </c>
      <c r="C45">
        <v>14</v>
      </c>
      <c r="D45">
        <v>4</v>
      </c>
      <c r="E45">
        <v>1</v>
      </c>
      <c r="F45" s="3">
        <f>373.4+(532.1-300.4)+(-0.761736+(-1.085484--0.612816))+0-111--0.226439999999995</f>
        <v>493.09203599999995</v>
      </c>
      <c r="G45" s="3">
        <f>374.3+(470.7-304.2)+(-0.763572+(-0.960228--0.620568))+0-105--0.214199999999995</f>
        <v>434.91096799999991</v>
      </c>
      <c r="H45" s="3">
        <f>376.1+(373.6-264.7)+(-0.575433+(-0.571608--0.404991))+0-93--0.142290000000005</f>
        <v>391.40024000000005</v>
      </c>
      <c r="I45" s="3">
        <f>378.6+(348.3-224)+(0.193086+(0.177633-0.11424))+0-90-0.0458999999999909</f>
        <v>413.11057900000003</v>
      </c>
      <c r="J45" s="3">
        <f>387+(287.5-157.8)+(0.78948+(0.5865-0.321912))+0-98-0.199919999999996</f>
        <v>419.55414800000005</v>
      </c>
      <c r="K45" s="3">
        <f>389.2+(202.6-56.1)+(-0.198492+(-0.103326--0.028611))+0-92--0.0469199999999907</f>
        <v>443.47371300000009</v>
      </c>
      <c r="L45" s="3">
        <f>388.5+(205.3-37.5)+(-0.990675+(-0.523515--0.095625))+0-91--0.232049999999987</f>
        <v>464.11348500000003</v>
      </c>
      <c r="M45" s="3">
        <f>390.7+(241.1-39.8)+(0+(0-0))+0-88-0</f>
        <v>504</v>
      </c>
      <c r="N45" s="3">
        <f>388.6+(315.7-78.2)+(-0.396372+(-0.322014--0.079764))+0-94--0.095880000000015</f>
        <v>531.55725799999993</v>
      </c>
      <c r="O45" s="3">
        <f>388.3+(340.7-94.2)+(0.396066+(0.347514-0.096084))+0-87-0.0887400000000139</f>
        <v>548.35875599999997</v>
      </c>
      <c r="P45" s="3">
        <f>375.9+(354-101.8)+(-0.575127+(-0.54162--0.155754))+0-104--0.159120000000006</f>
        <v>523.29812699999991</v>
      </c>
      <c r="Q45" s="3">
        <f>370.7+(380.2-101.5)+(-0.378114+(-0.387804--0.10353))+0-94--0.095880000000015</f>
        <v>554.83349199999998</v>
      </c>
      <c r="R45" s="3">
        <f>370.2+(415.4-107.6)+(-0.755208+(-0.847416--0.219504))+0-118--0.240719999999995</f>
        <v>558.85760000000005</v>
      </c>
      <c r="S45" s="3">
        <f>366.6+(482.8-176.8)+(0+(0-0))+0-120-0</f>
        <v>552.6</v>
      </c>
      <c r="T45" s="3">
        <f>361.3+(485.1-207.7)+(0.368526+(0.494802-0.211854))+0-114-0.116280000000018</f>
        <v>525.23519399999998</v>
      </c>
      <c r="U45" s="3">
        <f>365.4+(470.9-215.2)+(-0.186354+(-0.240159--0.109752))+0-98--0.0499799999999901</f>
        <v>522.83321899999987</v>
      </c>
      <c r="V45" s="3">
        <f>362.7+(377.1-131.3)+(-0.369954+(-0.384642--0.133926))+0-83--0.0846600000000132</f>
        <v>524.96398999999997</v>
      </c>
      <c r="W45" s="3">
        <f>361.3+(372.5-97.6)+(-0.737052+(-0.7599--0.199104))+0-107--0.218279999999995</f>
        <v>528.12043200000005</v>
      </c>
      <c r="X45" s="3">
        <f>362.6+(373-96.8)+(-0.92463+(-0.95115--0.24684))+0-102--0.260099999999985</f>
        <v>535.43115999999986</v>
      </c>
      <c r="Y45" s="3">
        <f>372.4+(401.1-98.7)+(-0.379848+(-0.409122--0.100674))+0-112--0.114240000000018</f>
        <v>562.22594399999991</v>
      </c>
      <c r="Z45" s="3">
        <f>377.5+(432-113)+(-0.7701+(-0.88128--0.23052))+0-104--0.212159999999995</f>
        <v>591.29130000000009</v>
      </c>
      <c r="AA45" s="3">
        <f>387.2+(435.4-112.6)+(-0.394944+(-0.444108--0.114852))+0-147.4--0.150348000000024</f>
        <v>562.02614800000003</v>
      </c>
      <c r="AB45" s="3">
        <f>391.4+(355.9-91.9)+(-0.598842+(-0.544527--0.140607))+0-143.1--0.218943000000008</f>
        <v>511.51618100000002</v>
      </c>
      <c r="AC45" s="3">
        <f>388.6+(326-75.7)+(-0.396372+(-0.33252--0.077214))+0-150--0.153000000000024</f>
        <v>488.40132200000016</v>
      </c>
      <c r="AD45">
        <f t="shared" si="0"/>
        <v>12185.205292000002</v>
      </c>
      <c r="AE45" s="3">
        <f>376+(442-114)+(0+(0-0))+0-67-0</f>
        <v>637</v>
      </c>
    </row>
    <row r="46" spans="1:31" s="2" customFormat="1" x14ac:dyDescent="0.25">
      <c r="A46">
        <v>89</v>
      </c>
      <c r="B46">
        <v>2</v>
      </c>
      <c r="C46">
        <v>15</v>
      </c>
      <c r="D46">
        <v>5</v>
      </c>
      <c r="E46">
        <v>1</v>
      </c>
      <c r="F46" s="3">
        <f>379.1+(306.3-98.4)+(-0.193341+(-0.156213--0.050184))+0-126.8--0.0646679999999871</f>
        <v>459.96529800000002</v>
      </c>
      <c r="G46" s="3">
        <f>379.3+(366-155.7)+(-0.580329+(-0.55998--0.238221))+0-149.9--0.229347000000009</f>
        <v>439.02725900000002</v>
      </c>
      <c r="H46" s="3">
        <f>381.9+(430.3-246.8)+(-0.389538+(-0.438906--0.251736))+0-140.6--0.143412000000022</f>
        <v>424.36670399999991</v>
      </c>
      <c r="I46" s="3">
        <f>385.2+(379.9-211.7)+(-0.785808+(-0.774996--0.431868))+0-128.9--0.262955999999994</f>
        <v>423.63402000000002</v>
      </c>
      <c r="J46" s="3">
        <f>389.4+(328.6-147.4)+(0.198594+(0.167586-0.075174))+0-147.9-0.075428999999985</f>
        <v>422.9155770000001</v>
      </c>
      <c r="K46" s="3">
        <f>390.3+(241.3-84.4)+(0.199053+(0.123063-0.043044))+0-131-0.0668099999999867</f>
        <v>416.41226200000011</v>
      </c>
      <c r="L46" s="3">
        <f>366.7+(229.4-43)+(-0.748068+(-0.467976--0.08772))+0-129.2--0.263567999999994</f>
        <v>423.03524400000003</v>
      </c>
      <c r="M46" s="3">
        <f>356+(271.2-47.8)+(0+(0-0))+0-117-0</f>
        <v>462.4</v>
      </c>
      <c r="N46" s="3">
        <f>378.7+(304.7-56.4)+(-0.193137+(-0.155397--0.028764))+0-132.8--0.0677279999999865</f>
        <v>493.94795800000003</v>
      </c>
      <c r="O46" s="3">
        <f>379+(349.4-91.7)+(0+(0-0))+0-140.4-0</f>
        <v>496.30000000000007</v>
      </c>
      <c r="P46" s="3">
        <f>377.5+(374.1-113)+(-0.38505+(-0.381582--0.11526))+0-124.5--0.12699000000002</f>
        <v>513.57561799999996</v>
      </c>
      <c r="Q46" s="3">
        <f>380.6+(374.2-77.4)+(-0.388212+(-0.381684--0.078948))+0-148--0.150960000000024</f>
        <v>528.86001199999998</v>
      </c>
      <c r="R46" s="3">
        <f>378.6+(329.6-58.3)+(-0.386172+(-0.336192--0.059466))+0-131.5--0.134130000000021</f>
        <v>517.87123200000008</v>
      </c>
      <c r="S46" s="3">
        <f>382+(360-105.3)+(0.19482+(0.1836-0.053703))+0-122.1-0.0622709999999876</f>
        <v>514.86244599999998</v>
      </c>
      <c r="T46" s="3">
        <f>401.5+(388.7-168.4)+(0.614295+(0.594711-0.257652))+0-130-0.198900000000008</f>
        <v>492.55245400000001</v>
      </c>
      <c r="U46" s="3">
        <f>406+(359.2-144.1)+(-0.41412+(-0.366384--0.146982))+0-130.2--0.132804000000021</f>
        <v>490.39928200000008</v>
      </c>
      <c r="V46" s="3">
        <f>405.5+(252.6-83.9)+(-0.620415+(-0.386478--0.128367))+0-76.2--0.116586000000004</f>
        <v>497.23806000000008</v>
      </c>
      <c r="W46" s="3">
        <f>403.9+(272.2-94.4)+(-0.617967+(-0.416466--0.144432))+0-65.5--0.100215000000004</f>
        <v>515.410214</v>
      </c>
      <c r="X46" s="3">
        <f>404.6+(340.6-149.6)+(-1.03173+(-0.86853--0.38148))+0-89--0.226949999999987</f>
        <v>505.30817000000002</v>
      </c>
      <c r="Y46" s="3">
        <f>404.3+(298.1-62.8)+(-0.412386+(-0.304062--0.064056))+0-105.2--0.107304000000017</f>
        <v>533.85491200000001</v>
      </c>
      <c r="Z46" s="3">
        <f>410+(318.6-73.4)+(-0.2091+(-0.162486--0.037434))+0-96--0.0489599999999903</f>
        <v>558.91480799999999</v>
      </c>
      <c r="AA46" s="3">
        <f>416.7+(335.7-66)+(-1.062585+(-0.856035--0.1683))+0-140.6--0.35852999999998</f>
        <v>544.40820999999994</v>
      </c>
      <c r="AB46" s="3">
        <f>419.9+(294-59.5)+(-0.428298+(-0.29988--0.06069))+0-134.5--0.137190000000021</f>
        <v>519.36970199999996</v>
      </c>
      <c r="AC46" s="3">
        <f>420.8+(268.9-62.1)+(-0.643824+(-0.411417--0.095013))+0-137.3--0.210069000000008</f>
        <v>489.54984100000001</v>
      </c>
      <c r="AD46">
        <f t="shared" si="0"/>
        <v>11684.179283000001</v>
      </c>
      <c r="AE46" s="3">
        <f>412+(316.8-74.4)+(0+(0-0))+0-106.2-0</f>
        <v>548.19999999999993</v>
      </c>
    </row>
    <row r="47" spans="1:31" s="2" customFormat="1" x14ac:dyDescent="0.25">
      <c r="A47">
        <v>89</v>
      </c>
      <c r="B47">
        <v>2</v>
      </c>
      <c r="C47">
        <v>16</v>
      </c>
      <c r="D47">
        <v>6</v>
      </c>
      <c r="E47">
        <v>1</v>
      </c>
      <c r="F47" s="3">
        <f>419.2+(261.1-76.9)+(0+(0-0))+0-136.5-0</f>
        <v>466.9</v>
      </c>
      <c r="G47" s="3">
        <f>420.2+(213.8-47.4)+(0+(0-0))+0-134.7-0</f>
        <v>451.90000000000003</v>
      </c>
      <c r="H47" s="3">
        <f>424.5+(195.4-53.1)+(0+(0-0))+0-136.7-0</f>
        <v>430.09999999999997</v>
      </c>
      <c r="I47" s="3">
        <f>424.1+(218.2-69.4)+(0+(0-0))+0-136.4-0</f>
        <v>436.5</v>
      </c>
      <c r="J47" s="3">
        <f>426.7+(194.8-64.7)+(0+(0-0))+0-133-0</f>
        <v>423.79999999999995</v>
      </c>
      <c r="K47" s="3">
        <f>426.7+(221.8-93.5)+(0+(0-0))+0-135-0</f>
        <v>420</v>
      </c>
      <c r="L47" s="3">
        <f>428.4+(238.9-124.2)+(0+(0-0))+0-124.6-0</f>
        <v>418.5</v>
      </c>
      <c r="M47" s="3">
        <f>427.1+(206.1-61.2)+(0+(0-0))+0-121.4-0</f>
        <v>450.6</v>
      </c>
      <c r="N47" s="3">
        <f>424+(233-60)+(0+(0-0))+0-119.5-0</f>
        <v>477.5</v>
      </c>
      <c r="O47" s="3">
        <f>424.5+(313.7-104.8)+(0+(0-0))+0-138.2-0</f>
        <v>495.2</v>
      </c>
      <c r="P47" s="3">
        <f>422.4+(345.9-118.8)+(0+(0-0))+0-147.1-0</f>
        <v>502.4</v>
      </c>
      <c r="Q47" s="3">
        <f>421+(377.5-144.1)+(0+(0-0))+0-138-0</f>
        <v>516.4</v>
      </c>
      <c r="R47" s="3">
        <f>421+(478.6-240.5)+(0.21471+(0.244086-0.122655))+0-141.7-0.0722669999999856</f>
        <v>517.66387400000008</v>
      </c>
      <c r="S47" s="3">
        <f>421+(531-306.9)+(0+(0-0))+0-138-0</f>
        <v>507.1</v>
      </c>
      <c r="T47" s="3">
        <f>421+(579.3-396.7)+(-0.42942+(-0.590886--0.404634))+0-116.3--0.118626000000019</f>
        <v>486.80295399999989</v>
      </c>
      <c r="U47" s="3">
        <f>421+(525.1-351.7)+(-0.64413+(-0.803403--0.538101))+0-132.2--0.202266000000008</f>
        <v>461.49283400000007</v>
      </c>
      <c r="V47" s="3">
        <f>421+(436-258.9)+(-1.07355+(-1.1118--0.660195))+0-114--0.290699999999983</f>
        <v>482.86554499999994</v>
      </c>
      <c r="W47" s="3">
        <f>418+(406.1-217.9)+(-0.63954+(-0.621333--0.333387))+0-127.5--0.195075000000007</f>
        <v>477.96758900000003</v>
      </c>
      <c r="X47" s="3">
        <f>417+(349.7-153.4)+(-0.42534+(-0.356694--0.156468))+0-139.4--0.142188000000022</f>
        <v>473.41662199999996</v>
      </c>
      <c r="Y47" s="3">
        <f>416.3+(371.3-144.4)+(-0.424626+(-0.378726--0.147288))+0-140.2--0.143004000000022</f>
        <v>502.48694000000006</v>
      </c>
      <c r="Z47" s="3">
        <f>418.5+(410.3-166)+(-0.640305+(-0.627759--0.25398))+0-130.9--0.200277000000008</f>
        <v>531.08619299999998</v>
      </c>
      <c r="AA47" s="3">
        <f>420.5+(434.6-221.4)+(-0.85782+(-0.886584--0.451656))+0-119.2--0.243167999999995</f>
        <v>513.45042000000001</v>
      </c>
      <c r="AB47" s="3">
        <f>424.5+(517.7-311.2)+(0.216495+(0.264027-0.158712))+0-142.7-0.0727769999999855</f>
        <v>488.54903300000007</v>
      </c>
      <c r="AC47" s="3">
        <f>426.2+(525.2-341.3)+(-0.434724+(-0.535704--0.348126))+0-143.7--0.146574000000023</f>
        <v>465.92427200000009</v>
      </c>
      <c r="AD47">
        <f t="shared" si="0"/>
        <v>11398.606275999999</v>
      </c>
      <c r="AE47" s="3">
        <f>417+(384.7-148.7)+(0+(0-0))+0-142-0</f>
        <v>511</v>
      </c>
    </row>
    <row r="48" spans="1:31" s="2" customFormat="1" x14ac:dyDescent="0.25">
      <c r="A48">
        <v>89</v>
      </c>
      <c r="B48">
        <v>2</v>
      </c>
      <c r="C48">
        <v>17</v>
      </c>
      <c r="D48">
        <v>7</v>
      </c>
      <c r="E48">
        <v>1</v>
      </c>
      <c r="F48" s="3">
        <f>429.8+(469.3-316)+(-0.438396+(-0.478686--0.32232))+0-129.8--0.132396000000021</f>
        <v>452.83763400000009</v>
      </c>
      <c r="G48" s="3">
        <f>427.1+(405.9-272.4)+(-0.653463+(-0.621027--0.416772))+0-130.4--0.199512000000008</f>
        <v>429.5417940000001</v>
      </c>
      <c r="H48" s="3">
        <f>425.8+(367.1-244.6)+(-0.868632+(-0.748884--0.498984))+0-129--0.263159999999994</f>
        <v>418.44462800000008</v>
      </c>
      <c r="I48" s="3">
        <f>428.6+(326.7-197.8)+(-0.218586+(-0.166617--0.100878))+0-144.5--0.0736949999999853</f>
        <v>412.78937000000002</v>
      </c>
      <c r="J48" s="3">
        <f>428.1+(262.2-137.2)+(-0.654993+(-0.401166--0.209916))+0-143.8--0.220014000000008</f>
        <v>408.67377100000004</v>
      </c>
      <c r="K48" s="3">
        <f>430.6+(203.4-97)+(0+(0-0))+0-140.5-0</f>
        <v>396.5</v>
      </c>
      <c r="L48" s="3">
        <f>426.1+(178.2-101.5)+(-0.869244+(-0.363528--0.20706))+0-127.4--0.259895999999994</f>
        <v>374.63418399999995</v>
      </c>
      <c r="M48" s="3">
        <f>428.6+(213.6-140.8)+(-0.437172+(-0.217872--0.143616))+0-129.6--0.132192000000021</f>
        <v>371.42076399999996</v>
      </c>
      <c r="N48" s="3">
        <f>425.2+(283.4-193.7)+(-0.650556+(-0.433602--0.296361))+0-133.1--0.203643000000008</f>
        <v>381.215846</v>
      </c>
      <c r="O48" s="3">
        <f>425.6+(341.9-250.2)+(0+(0-0))+0-124.9-0</f>
        <v>392.4</v>
      </c>
      <c r="P48" s="3">
        <f>422.5+(361.8-257.2)+(-0.215475+(-0.184518--0.131172))+0-122.4--0.0624239999999876</f>
        <v>404.49360300000001</v>
      </c>
      <c r="Q48" s="3">
        <f>423.2+(414.4-310.1)+(0+(0-0))+0-126.9-0</f>
        <v>400.6</v>
      </c>
      <c r="R48" s="3">
        <f>420.3+(544.3-440.4)+(0+(0-0))+0-122.3-0</f>
        <v>401.90000000000003</v>
      </c>
      <c r="S48" s="3">
        <f>419.6+(680.6-562.9)+(0+(0-0))+0-130.4-0</f>
        <v>406.90000000000009</v>
      </c>
      <c r="T48" s="3">
        <f>416.8+(703.9-600.1)+(0+(0-0))+0-124.3-0</f>
        <v>396.2999999999999</v>
      </c>
      <c r="U48" s="3">
        <f>415.8+(703.2-609.7)+(0+(0-0))+0-123.3-0</f>
        <v>386</v>
      </c>
      <c r="V48" s="3">
        <f>414.1+(606.3-513)+(-1.055955+(-1.546065--1.30815))+0-123.5--0.314924999999982</f>
        <v>382.92105499999991</v>
      </c>
      <c r="W48" s="3">
        <f>414.7+(451.6-349.7)+(-0.634491+(-0.690948--0.535041))+0-133.1--0.203643000000008</f>
        <v>382.91324500000002</v>
      </c>
      <c r="X48" s="3">
        <f>413.9+(304.1-209.5)+(-0.422178+(-0.310182--0.21369))+0-122.5--0.12495000000002</f>
        <v>385.60628000000003</v>
      </c>
      <c r="Y48" s="3">
        <f>416.9+(324.5-181.1)+(-0.425238+(-0.33099--0.184722))+0-133.3--0.135966000000021</f>
        <v>426.56445999999994</v>
      </c>
      <c r="Z48" s="3">
        <f>416.8+(335.3-157.7)+(-1.06284+(-0.855015--0.402135))+0-121.2--0.309059999999982</f>
        <v>471.9933400000001</v>
      </c>
      <c r="AA48" s="3">
        <f>419.1+(348.2-158.7)+(-0.427482+(-0.355164--0.161874))+0-144.4--0.147288000000023</f>
        <v>463.72651600000006</v>
      </c>
      <c r="AB48" s="3">
        <f>419.3+(327.4-164.7)+(-0.641529+(-0.500922--0.251991))+0-122.9--0.188037000000007</f>
        <v>458.39757700000007</v>
      </c>
      <c r="AC48" s="3">
        <f>420.8+(292.8-157.7)+(-0.214608+(-0.149328--0.080427))+0-126--0.0642599999999872</f>
        <v>429.6807510000001</v>
      </c>
      <c r="AD48">
        <f t="shared" si="0"/>
        <v>9836.454818000002</v>
      </c>
      <c r="AE48" s="3">
        <f>413+(383.1-153.3)+(0+(0-0))+0-165.6-0</f>
        <v>477.19999999999993</v>
      </c>
    </row>
    <row r="49" spans="1:31" s="2" customFormat="1" x14ac:dyDescent="0.25">
      <c r="A49">
        <v>89</v>
      </c>
      <c r="B49">
        <v>2</v>
      </c>
      <c r="C49">
        <v>18</v>
      </c>
      <c r="D49">
        <v>1</v>
      </c>
      <c r="E49">
        <v>1</v>
      </c>
      <c r="F49" s="3">
        <f>418.2+(246.8-121.1)+(-0.639846+(-0.377604--0.185283))+0-132.8--0.203184000000008</f>
        <v>410.47101699999996</v>
      </c>
      <c r="G49" s="3">
        <f>421.6+(195.5-110.5)+(-0.215016+(-0.099705--0.056355))+0-112--0.0571199999999886</f>
        <v>394.398754</v>
      </c>
      <c r="H49" s="3">
        <f>425.8+(202-111.1)+(-0.434316+(-0.20604--0.113322))+0-131.8--0.134436000000021</f>
        <v>384.50740200000007</v>
      </c>
      <c r="I49" s="3">
        <f>428.8+(220.2-138.5)+(-0.218688+(-0.112302--0.070635))+0-127.1--0.0648209999999871</f>
        <v>383.20446599999997</v>
      </c>
      <c r="J49" s="3">
        <f>432.5+(247.3-158.9)+(0.220575+(0.126123-0.081039))+0-133.2-0.0679319999999865</f>
        <v>387.89772700000003</v>
      </c>
      <c r="K49" s="3">
        <f>441.3+(290.9-224.4)+(-0.450126+(-0.296718--0.228888))+0-122.5--0.12495000000002</f>
        <v>384.90699399999994</v>
      </c>
      <c r="L49" s="3">
        <f>443.3+(321.4-220.9)+(-0.226083+(-0.163914--0.112659))+0-136.2--0.0694619999999862</f>
        <v>407.39212399999997</v>
      </c>
      <c r="M49" s="3">
        <f>438.7+(399.3-262)+(0+(0-0))+0-122.3-0</f>
        <v>453.7</v>
      </c>
      <c r="N49" s="3">
        <f>435.6+(371.1-207.8)+(-0.666468+(-0.567783--0.317934))+0-109.3--0.167229000000006</f>
        <v>488.85091200000005</v>
      </c>
      <c r="O49" s="3">
        <f>434.6+(427.3-243.2)+(0+(0-0))+0-113.2-0</f>
        <v>505.50000000000006</v>
      </c>
      <c r="P49" s="3">
        <f>428.1+(444.9-242.1)+(-0.436662+(-0.453798--0.246942))+0-114.1--0.116382000000018</f>
        <v>516.27286400000003</v>
      </c>
      <c r="Q49" s="3">
        <f>421.9+(437.9-199.1)+(-0.430338+(-0.446658--0.203082))+0-127.9--0.13045800000002</f>
        <v>532.25654399999996</v>
      </c>
      <c r="R49" s="3">
        <f>416.3+(382.6-146.2)+(-0.212313+(-0.195126--0.074562))+0-109.6--0.0558959999999889</f>
        <v>542.82301899999993</v>
      </c>
      <c r="S49" s="3">
        <f>413.6+(328.4-114.3)+(-0.632808+(-0.502452--0.174879))+0-109.6--0.167688000000006</f>
        <v>517.30730700000004</v>
      </c>
      <c r="T49" s="3">
        <f>411.7+(373.9-153.5)+(-0.629901+(-0.572067--0.234855))+0-132.1--0.202113000000008</f>
        <v>499.23499999999984</v>
      </c>
      <c r="U49" s="3">
        <f>406.5+(361.8-156.8)+(-0.82926+(-0.738072--0.319872))+0-116.1--0.236843999999995</f>
        <v>494.38938399999995</v>
      </c>
      <c r="V49" s="3">
        <f>415.6+(324.9-136)+(-0.423912+(-0.331398--0.13872))+0-102.6--0.104652000000016</f>
        <v>501.38806200000005</v>
      </c>
      <c r="W49" s="3">
        <f>415.1+(394.1-184.3)+(-1.270206+(-1.205946--0.563958))+0-113.6--0.347616000000013</f>
        <v>509.73542200000009</v>
      </c>
      <c r="X49" s="3">
        <f>412.9+(454.3-215.7)+(-1.474053+(-1.621851--0.770049))+0-130.5--0.465885000000002</f>
        <v>519.14002999999991</v>
      </c>
      <c r="Y49" s="3">
        <f>412.6+(406.7-145.6)+(-0.841704+(-0.829668--0.297024))+0-136.7--0.278867999999994</f>
        <v>535.90451999999993</v>
      </c>
      <c r="Z49" s="3">
        <f>421.3+(425.6-154.1)+(-0.429726+(-0.434112--0.157182))+0-133.2--0.135864000000021</f>
        <v>559.02920800000004</v>
      </c>
      <c r="AA49" s="3">
        <f>426.3+(403-178)+(-0.652239+(-0.61659--0.27234))+0-108.8--0.166464000000006</f>
        <v>541.66997500000002</v>
      </c>
      <c r="AB49" s="3">
        <f>427.7+(357.5-155.6)+(-0.872508+(-0.7293--0.317424))+0-110--0.224399999999995</f>
        <v>518.54001599999992</v>
      </c>
      <c r="AC49" s="3">
        <f>431.1+(314.3-150.5)+(-0.439722+(-0.320586--0.15351))+0-107.9--0.110058000000017</f>
        <v>486.50326000000013</v>
      </c>
      <c r="AD49">
        <f t="shared" si="0"/>
        <v>11475.024006999998</v>
      </c>
      <c r="AE49" s="3">
        <f>427+(443-171.7)+(0+(0-0))+0-135.3-0</f>
        <v>563</v>
      </c>
    </row>
    <row r="50" spans="1:31" s="2" customFormat="1" x14ac:dyDescent="0.25">
      <c r="A50">
        <v>89</v>
      </c>
      <c r="B50">
        <v>2</v>
      </c>
      <c r="C50">
        <v>19</v>
      </c>
      <c r="D50">
        <v>2</v>
      </c>
      <c r="E50">
        <v>1</v>
      </c>
      <c r="F50" s="3">
        <f>431.8+(290.1-159.8)+(-0.440436+(-0.295902--0.162996))+0-109.7--0.111894000000017</f>
        <v>451.93855200000002</v>
      </c>
      <c r="G50" s="3">
        <f>433.1+(258.1-141.2)+(-0.220881+(-0.131631--0.072012))+0-107.5--0.0548249999999891</f>
        <v>442.27432500000003</v>
      </c>
      <c r="H50" s="3">
        <f>435.3+(225.2-124.9)+(0+(0-0))+0-107.5-0</f>
        <v>428.1</v>
      </c>
      <c r="I50" s="3">
        <f>433.1+(244.3-140)+(-0.220881+(-0.124593--0.0714))+0-111.2--0.0567119999999887</f>
        <v>425.98263800000007</v>
      </c>
      <c r="J50" s="3">
        <f>433.9+(241.7-141.2)+(-0.442578+(-0.246534--0.144024))+0-116.9--0.119238000000019</f>
        <v>417.07415000000003</v>
      </c>
      <c r="K50" s="3">
        <f>429.1+(275.3-172)+(-1.094205+(-0.702015--0.4386))+0-122.2--0.311609999999982</f>
        <v>409.15399000000008</v>
      </c>
      <c r="L50" s="3">
        <f>425.4+(291.1-208.5)+(-1.08477+(-0.742305--0.531675))+0-100--0.254999999999986</f>
        <v>406.95960000000002</v>
      </c>
      <c r="M50" s="3">
        <f>427.2+(311-223)+(-0.435744+(-0.31722--0.22746))+0-103.4--0.105468000000016</f>
        <v>411.37996400000014</v>
      </c>
      <c r="N50" s="3">
        <f>430+(407.3-252.8)+(-0.6579+(-0.623169--0.386784))+0-108.3--0.165699000000006</f>
        <v>475.47141400000004</v>
      </c>
      <c r="O50" s="3">
        <f>430.8+(441.7-244.3)+(-0.219708+(-0.225267--0.124593))+0-127.1--0.0648209999999871</f>
        <v>500.84443900000002</v>
      </c>
      <c r="P50" s="3">
        <f>424.2+(418.7-225.1)+(0+(0-0))+0-104.4-0</f>
        <v>513.4</v>
      </c>
      <c r="Q50" s="3">
        <f>416+(395.9-164.5)+(-0.21216+(-0.201909--0.083895))+0-125.9--0.0642089999999872</f>
        <v>521.23403499999995</v>
      </c>
      <c r="R50" s="3">
        <f>402.7+(350.5-111.7)+(-0.410754+(-0.35751--0.113934))+0-120.4--0.122808000000019</f>
        <v>520.56847800000003</v>
      </c>
      <c r="S50" s="3">
        <f>399.2+(405.7-184.9)+(-0.610776+(-0.620721--0.282897))+0-116.8--0.178704000000007</f>
        <v>502.43010399999991</v>
      </c>
      <c r="T50" s="3">
        <f>404.2+(412.9-212.5)+(-0.412284+(-0.421158--0.21675))+0-125.5--0.12801000000002</f>
        <v>478.61131799999998</v>
      </c>
      <c r="U50" s="3">
        <f>413.1+(406.8-211.8)+(-1.053405+(-1.03734--0.54009))+0-127.6--0.325379999999981</f>
        <v>479.27472499999999</v>
      </c>
      <c r="V50" s="3">
        <f>411.5+(331.2-143.3)+(-0.41973+(-0.337824--0.146166))+0-112.7--0.114954000000018</f>
        <v>486.20356599999997</v>
      </c>
      <c r="W50" s="3">
        <f>410.4+(347.8-160.1)+(-1.255824+(-1.064268--0.489906))+0-112.7--0.344862000000013</f>
        <v>483.91467600000004</v>
      </c>
      <c r="X50" s="3">
        <f>412.7+(377-168.2)+(-0.841908+(-0.76908--0.343128))+0-132.6--0.270503999999994</f>
        <v>487.90264399999995</v>
      </c>
      <c r="Y50" s="3">
        <f>412.4+(386.9-152.4)+(0+(0-0))+0-129.6-0</f>
        <v>517.29999999999995</v>
      </c>
      <c r="Z50" s="3">
        <f>416.9+(397.5-131.7)+(-0.850476+(-0.8109--0.268668))+0-128.2--0.261527999999994</f>
        <v>553.36882000000014</v>
      </c>
      <c r="AA50" s="3">
        <f>422.5+(366.6-155.5)+(-1.077375+(-0.93483--0.396525))+0-104.8--0.267239999999985</f>
        <v>527.45156000000009</v>
      </c>
      <c r="AB50" s="3">
        <f>425.5+(339.3-148.2)+(-0.651015+(-0.519129--0.226746))+0-113.6--0.173808000000007</f>
        <v>502.23041000000001</v>
      </c>
      <c r="AC50" s="3">
        <f>425.6+(313.7-149.7)+(-1.08528+(-0.799935--0.381735))+0-122.6--0.312629999999982</f>
        <v>465.80914999999999</v>
      </c>
      <c r="AD50">
        <f t="shared" si="0"/>
        <v>11408.878557999999</v>
      </c>
      <c r="AE50" s="3">
        <f>420+(371.6-153.5)+(0+(0-0))+0-102.9-0</f>
        <v>535.20000000000005</v>
      </c>
    </row>
    <row r="51" spans="1:31" s="2" customFormat="1" x14ac:dyDescent="0.25">
      <c r="A51">
        <v>89</v>
      </c>
      <c r="B51">
        <v>2</v>
      </c>
      <c r="C51">
        <v>20</v>
      </c>
      <c r="D51">
        <v>3</v>
      </c>
      <c r="E51">
        <v>1</v>
      </c>
      <c r="F51" s="3">
        <f>409.9+(296.1-146)+(-1.881441+(-1.359099--0.67014))+0-118.9--0.545751000000021</f>
        <v>439.07535100000007</v>
      </c>
      <c r="G51" s="3">
        <f>406.6+(287-145.7)+(-1.866294+(-1.31733--0.668763))+0-119.4--0.548046000000021</f>
        <v>426.53318500000012</v>
      </c>
      <c r="H51" s="3">
        <f>418.4+(264.6-144.8)+(0.213384+(0.134946-0.073848))+0-116.7-0.0595169999999882</f>
        <v>421.71496500000012</v>
      </c>
      <c r="I51" s="3">
        <f>417.8+(246-144.5)+(-1.491546+(-0.87822--0.515865))+0-101.5--0.362355000000001</f>
        <v>416.30845399999998</v>
      </c>
      <c r="J51" s="3">
        <f>425.1+(204.6-112.3)+(-0.216801+(-0.104346--0.057273))+0-113.8--0.0580379999999885</f>
        <v>403.39416399999999</v>
      </c>
      <c r="K51" s="3">
        <f>423.8+(214.8-121.4)+(-1.08069+(-0.54774--0.30957))+0-124.9--0.318494999999982</f>
        <v>391.29963500000008</v>
      </c>
      <c r="L51" s="3">
        <f>388.8+(273.4-135.3)+(-0.594864+(-0.418302--0.207009))+0-119.9--0.183447000000007</f>
        <v>406.37729000000002</v>
      </c>
      <c r="M51" s="3">
        <f>382.9+(301.5-132.7)+(0.390558+(0.30753-0.135354))+0-109.2-0.111384000000017</f>
        <v>442.95134999999999</v>
      </c>
      <c r="N51" s="3">
        <f>379.4+(372.7-181.6)+(0.386988+(0.380154-0.185232))+0-95.3-0.0972060000000152</f>
        <v>475.68470399999995</v>
      </c>
      <c r="O51" s="3">
        <f>372.5+(463.5-234.5)+(-0.569925+(-0.709155--0.358785))+0-109--0.166770000000006</f>
        <v>491.74647499999998</v>
      </c>
      <c r="P51" s="3">
        <f>368.1+(424.5-161.1)+(-0.375462+(-0.43299--0.164322))+0-123.8--0.12627600000002</f>
        <v>507.18214599999999</v>
      </c>
      <c r="Q51" s="3">
        <f>388.2+(382.3-136.2)+(-0.197982+(-0.194973--0.069462))+0-117.6--0.0599759999999881</f>
        <v>516.43648299999995</v>
      </c>
      <c r="R51" s="3">
        <f>399.3+(374.4-134.9)+(-0.610929+(-0.572832--0.206397))+0-113.6--0.173808000000007</f>
        <v>524.39644399999997</v>
      </c>
      <c r="S51" s="3">
        <f>398.4+(451.1-248.5)+(-0.406368+(-0.460122--0.25347))+0-118.1--0.120462000000019</f>
        <v>482.407442</v>
      </c>
      <c r="T51" s="3">
        <f>398.3+(517.1-347.3)+(-0.406266+(-0.527442--0.354246))+0-102.7--0.104754000000016</f>
        <v>464.92529200000001</v>
      </c>
      <c r="U51" s="3">
        <f>400.6+(491.6-328.1)+(0+(0-0))+0-102.5-0</f>
        <v>461.6</v>
      </c>
      <c r="V51" s="3">
        <f>401.2+(425.5-249.5)+(-1.02306+(-1.085025--0.636225))+0-103.7--0.264434999999985</f>
        <v>472.29257500000006</v>
      </c>
      <c r="W51" s="3">
        <f>398.7+(330.5-143.9)+(-1.016685+(-0.842775--0.366945))+0-103.9--0.264944999999985</f>
        <v>480.17242999999996</v>
      </c>
      <c r="X51" s="3">
        <f>396.3+(337.2-130.2)+(-1.212678+(-1.031832--0.398412))+0-119.6--0.365976000000014</f>
        <v>482.21987799999994</v>
      </c>
      <c r="Y51" s="3">
        <f>403.1+(384.1-174.4)+(-0.205581+(-0.195891--0.088944))+0-113.6--0.0579359999999885</f>
        <v>498.94540799999999</v>
      </c>
      <c r="Z51" s="3">
        <f>513.6+(447.3-299.5)+(-1.047744+(-0.912492--0.61098))+0-122.1--0.249083999999995</f>
        <v>538.19982800000014</v>
      </c>
      <c r="AA51" s="3">
        <f>536.2+(443.3-335.2)+(-1.640772+(-1.356498--1.025712))+0-118.3--0.361998000000014</f>
        <v>524.39044000000013</v>
      </c>
      <c r="AB51" s="3">
        <f>541.4+(440.9-360.4)+(-1.104456+(-0.899436--0.735216))+0-115.1--0.234803999999995</f>
        <v>505.76612799999992</v>
      </c>
      <c r="AC51" s="3">
        <f>542.4+(410.8-364.2)+(-0.829872+(-0.628524--0.557226))+0-110.2--0.168606000000006</f>
        <v>478.06743600000004</v>
      </c>
      <c r="AD51">
        <f t="shared" si="0"/>
        <v>11252.087503000001</v>
      </c>
      <c r="AE51" s="3">
        <f>525+(461.4-311.4)+(0+(0-0))+0-132.4-0</f>
        <v>542.6</v>
      </c>
    </row>
    <row r="52" spans="1:31" s="2" customFormat="1" x14ac:dyDescent="0.25">
      <c r="A52">
        <v>89</v>
      </c>
      <c r="B52">
        <v>2</v>
      </c>
      <c r="C52">
        <v>21</v>
      </c>
      <c r="D52">
        <v>4</v>
      </c>
      <c r="E52">
        <v>1</v>
      </c>
      <c r="F52" s="3">
        <f>523.2+(386.7-333.9)+(-0.266832+(-0.197217--0.170289))+0-114.6--0.0584459999999884</f>
        <v>461.16468599999996</v>
      </c>
      <c r="G52" s="3">
        <f>426+(344.5-218.8)+(-0.43452+(-0.35139--0.223176))+0-117.6--0.119952000000019</f>
        <v>433.65721800000006</v>
      </c>
      <c r="H52" s="3">
        <f>428.2+(277-160.5)+(-1.09191+(-0.70635--0.409275))+0-111.5--0.284324999999984</f>
        <v>432.09533999999996</v>
      </c>
      <c r="I52" s="3">
        <f>425.3+(264.7-160.4)+(-0.433806+(-0.269994--0.163608))+0-103.9--0.105978000000017</f>
        <v>425.26578599999999</v>
      </c>
      <c r="J52" s="3">
        <f>424.1+(274.6-164.4)+(0+(0-0))+0-110.4-0</f>
        <v>423.90000000000009</v>
      </c>
      <c r="K52" s="3">
        <f>420.2+(232.2-137)+(-0.857208+(-0.473688--0.27948))+0-96.6--0.197063999999996</f>
        <v>417.94564799999995</v>
      </c>
      <c r="L52" s="3">
        <f>428+(211.3-121)+(-0.65484+(-0.323289--0.18513))+0-93--0.142290000000005</f>
        <v>424.64929099999995</v>
      </c>
      <c r="M52" s="3">
        <f>421.8+(308.5-179.1)+(0+(0-0))+0-90.3-0</f>
        <v>460.90000000000003</v>
      </c>
      <c r="N52" s="3">
        <f>413.5+(414.4-242.2)+(0.42177+(0.422688-0.247044))+0-90.3-0.0921060000000144</f>
        <v>495.90530799999999</v>
      </c>
      <c r="O52" s="3">
        <f>410.4+(427.9-243.1)+(-0.209304+(-0.218229--0.123981))+0-87.7--0.0447269999999911</f>
        <v>507.24117499999994</v>
      </c>
      <c r="P52" s="3">
        <f>402.1+(391.1-187.7)+(0.410142+(0.398922-0.191454))+0-86.6-0.0883320000000138</f>
        <v>519.42927799999995</v>
      </c>
      <c r="Q52" s="3">
        <f>397.5+(350.9-124.9)+(0.40545+(0.357918-0.127398))+0-86-0.0877200000000137</f>
        <v>538.04825000000005</v>
      </c>
      <c r="R52" s="3">
        <f>507.7+(355.4-227.9)+(-0.776781+(-0.543762--0.348687))+0-83.9--0.128367000000005</f>
        <v>550.45651099999998</v>
      </c>
      <c r="S52" s="3">
        <f>506.3+(452.5-346.7)+(-0.258213+(-0.230775--0.176817))+0-85.4--0.0435539999999913</f>
        <v>526.43138299999998</v>
      </c>
      <c r="T52" s="3">
        <f>507.4+(517.2-427.8)+(-0.776322+(-0.791316--0.654534))+0-89.1--0.136323000000005</f>
        <v>506.92321899999996</v>
      </c>
      <c r="U52" s="3">
        <f>505.2+(493.7-410.5)+(-1.030608+(-1.007148--0.83742))+0-87.6--0.178703999999996</f>
        <v>499.77836799999994</v>
      </c>
      <c r="V52" s="3">
        <f>504.6+(386.4-297.4)+(-1.029384+(-0.788256--0.606696))+0-88.9--0.181355999999996</f>
        <v>503.670412</v>
      </c>
      <c r="W52" s="3">
        <f>501.7+(243.2-137.6)+(-1.535202+(-0.744192--0.421056))+0-91--0.278460000000011</f>
        <v>514.72012199999995</v>
      </c>
      <c r="X52" s="3">
        <f>503.1+(208.8-107.3)+(-1.026324+(-0.425952--0.218892))+0-90.7--0.185027999999996</f>
        <v>512.85164399999996</v>
      </c>
      <c r="Y52" s="3">
        <f>509.3+(203.2-81.3)+(-0.519486+(-0.207264--0.082926))+0-95.3--0.0972060000000152</f>
        <v>535.35338200000012</v>
      </c>
      <c r="Z52" s="3">
        <f>520.9+(301.2-150.9)+(-0.265659+(-0.153612--0.076959))+0-101.8--0.0519179999999897</f>
        <v>569.10960599999999</v>
      </c>
      <c r="AA52" s="3">
        <f>527.1+(332.6-203)+(-0.806463+(-0.508878--0.31059))+0-101.4--0.155142000000006</f>
        <v>554.45039099999997</v>
      </c>
      <c r="AB52" s="3">
        <f>532.5+(292-195.4)+(-0.814725+(-0.44676--0.298962))+0-100.8--0.154224000000006</f>
        <v>527.49170100000003</v>
      </c>
      <c r="AC52" s="3">
        <f>528.9+(272.9-202.5)+(-1.078956+(-0.556716--0.4131))+0-100.5--0.205019999999996</f>
        <v>497.78244799999993</v>
      </c>
      <c r="AD52">
        <f t="shared" si="0"/>
        <v>11839.221167000002</v>
      </c>
      <c r="AE52" s="3">
        <f>527+(325.5-194.7)+(0+(0-0))+0-101.8-0</f>
        <v>556</v>
      </c>
    </row>
    <row r="53" spans="1:31" s="2" customFormat="1" x14ac:dyDescent="0.25">
      <c r="A53">
        <v>89</v>
      </c>
      <c r="B53">
        <v>2</v>
      </c>
      <c r="C53">
        <v>22</v>
      </c>
      <c r="D53">
        <v>5</v>
      </c>
      <c r="E53">
        <v>1</v>
      </c>
      <c r="F53" s="3">
        <f>445+(284.9-163.9)+(-0.22695+(-0.145299--0.083589))+0-97.1--0.0495209999999901</f>
        <v>468.6608609999999</v>
      </c>
      <c r="G53" s="3">
        <f>414.8+(264.4-124.3)+(-0.846192+(-0.539376--0.253572))+0-99.3--0.202571999999996</f>
        <v>454.67057599999998</v>
      </c>
      <c r="H53" s="3">
        <f>414.5+(250.9-130.5)+(-1.056975+(-0.639795--0.332775))+0-100.8--0.257039999999985</f>
        <v>432.99304499999988</v>
      </c>
      <c r="I53" s="3">
        <f>417.6+(249.7-128.6)+(-0.638928+(-0.382041--0.196758))+0-98.2--0.150246000000006</f>
        <v>439.82603500000005</v>
      </c>
      <c r="J53" s="3">
        <f>420.4+(212.8-96.2)+(-0.428808+(-0.217056--0.098124))+0-101.9--0.103938000000016</f>
        <v>434.65619800000007</v>
      </c>
      <c r="K53" s="3">
        <f>421.6+(186.1-76.4)+(-0.215016+(-0.094911--0.038964))+0-109.7--0.0559469999999889</f>
        <v>421.38498399999992</v>
      </c>
      <c r="L53" s="3">
        <f>422+(259.9-146.3)+(-0.86088+(-0.530196--0.298452))+0-109.7--0.223787999999995</f>
        <v>425.03116399999993</v>
      </c>
      <c r="M53" s="3">
        <f>424.6+(351.6-186.4)+(-0.649638+(-0.537948--0.285192))+0-112--0.171360000000006</f>
        <v>477.0689660000001</v>
      </c>
      <c r="N53" s="3">
        <f>422.5+(329.4-164.9)+(0+(0-0))+0-91.9-0</f>
        <v>495.1</v>
      </c>
      <c r="O53" s="3">
        <f>417.7+(458-244.6)+(-0.426054+(-0.46716--0.249492))+0-118.6--0.120972000000019</f>
        <v>511.97724999999997</v>
      </c>
      <c r="P53" s="3">
        <f>508.9+(364.1-224.4)+(-0.519078+(-0.371382--0.228888))+0-108--0.110160000000017</f>
        <v>540.04858800000011</v>
      </c>
      <c r="Q53" s="3">
        <f>500+(326.6-155.7)+(0+(0-0))+0-117.3-0</f>
        <v>553.60000000000014</v>
      </c>
      <c r="R53" s="3">
        <f>496.6+(374.4-185.5)+(-0.506532+(-0.381888--0.18921))+0-123.1--0.12556200000002</f>
        <v>561.82635200000004</v>
      </c>
      <c r="S53" s="3">
        <f>500.4+(496-328.8)+(-0.510408+(-0.50592--0.335376))+0-120.3--0.122706000000019</f>
        <v>546.7417539999999</v>
      </c>
      <c r="T53" s="3">
        <f>496+(454-338.4)+(-0.25296+(-0.23154--0.172584))+0-88--0.0448799999999911</f>
        <v>523.33296400000006</v>
      </c>
      <c r="U53" s="3">
        <f>495.4+(433-329.5)+(-0.757962+(-0.66249--0.504135))+0-86--0.131580000000005</f>
        <v>512.11526299999991</v>
      </c>
      <c r="V53" s="3">
        <f>494.9+(335-242.7)+(-0.252399+(-0.17085--0.123777))+0-73--0.0372299999999926</f>
        <v>513.93775800000003</v>
      </c>
      <c r="W53" s="3">
        <f>495.6+(264.9-146.4)+(-1.516536+(-0.810594--0.447984))+0-86--0.26316000000001</f>
        <v>526.484014</v>
      </c>
      <c r="X53" s="3">
        <f>496.6+(366.5-247.2)+(-1.013064+(-0.74766--0.504288))+0-68--0.138719999999997</f>
        <v>546.78228400000012</v>
      </c>
      <c r="Y53" s="3">
        <f>501.3+(300.7-149.1)+(-0.766989+(-0.460071--0.228123))+0-114.5--0.175185000000007</f>
        <v>537.57624800000008</v>
      </c>
      <c r="Z53" s="3">
        <f>512.2+(275.1-139.1)+(-1.044888+(-0.561204--0.283764))+0-65--0.132599999999997</f>
        <v>582.0102720000001</v>
      </c>
      <c r="AA53" s="3">
        <f>516.5+(269.6-136.3)+(-1.05366+(-0.549984--0.278052))+0-93--0.189719999999996</f>
        <v>555.66412799999989</v>
      </c>
      <c r="AB53" s="3">
        <f>523.7+(255.1-162.8)+(-0.534174+(-0.260202--0.166056))+0-74--0.0754800000000118</f>
        <v>541.44715999999994</v>
      </c>
      <c r="AC53" s="3">
        <f>526.8+(264.2-160.4)+(-1.34334+(-0.67371--0.40902))+0-118.6--0.302429999999983</f>
        <v>510.69439999999986</v>
      </c>
      <c r="AD53">
        <f t="shared" si="0"/>
        <v>12113.630263999999</v>
      </c>
      <c r="AE53" s="3">
        <f>416+(340.4-125.4)+(0+(0-0))+0-52-0</f>
        <v>579</v>
      </c>
    </row>
    <row r="54" spans="1:31" s="2" customFormat="1" x14ac:dyDescent="0.25">
      <c r="A54">
        <v>89</v>
      </c>
      <c r="B54">
        <v>2</v>
      </c>
      <c r="C54">
        <v>23</v>
      </c>
      <c r="D54">
        <v>6</v>
      </c>
      <c r="E54">
        <v>1</v>
      </c>
      <c r="F54" s="3">
        <f>528.5+(284.1-205.3)+(-2.15628+(-1.159128--0.837624))+0-127--0.518159999999989</f>
        <v>478.34037599999988</v>
      </c>
      <c r="G54" s="3">
        <f>485.4+(265.3-180.2)+(-1.23777+(-0.676515--0.45951))+0-121.9--0.310844999999982</f>
        <v>447.45606999999995</v>
      </c>
      <c r="H54" s="3">
        <f>443.5+(288.3-143.5)+(-0.226185+(-0.147033--0.073185))+0-123.3--0.0628829999999875</f>
        <v>464.76284999999996</v>
      </c>
      <c r="I54" s="3">
        <f>425.3+(283.6-136.4)+(-1.084515+(-0.72318--0.34782))+0-128.4--0.327419999999981</f>
        <v>442.96754499999997</v>
      </c>
      <c r="J54" s="3">
        <f>426.6+(300-162.3)+(0+(0-0))+0-123.6-0</f>
        <v>440.69999999999993</v>
      </c>
      <c r="K54" s="3">
        <f>401.5+(233.5-95)+(-1.023825+(-0.595425--0.24225))+0-106.9--0.272594999999984</f>
        <v>431.99559500000004</v>
      </c>
      <c r="L54" s="3">
        <f>418.8+(230.9-115.4)+(-0.427176+(-0.235518--0.117708))+0-99.2--0.101184000000016</f>
        <v>434.65619799999996</v>
      </c>
      <c r="M54" s="3">
        <f>425.8+(275.8-138.3)+(0+(0-0))+0-90.6-0</f>
        <v>472.69999999999993</v>
      </c>
      <c r="N54" s="3">
        <f>418.3+(335.3-139.6)+(-0.213333+(-0.171003--0.071196))+0-115.1--0.0587009999999883</f>
        <v>498.64556099999999</v>
      </c>
      <c r="O54" s="3">
        <f>482.6+(360.7-192.8)+(0+(0-0))+0-124.5-0</f>
        <v>526</v>
      </c>
      <c r="P54" s="3">
        <f>520.3+(317.7-194.7)+(-0.530706+(-0.324054--0.198594))+0-113.8--0.116076000000018</f>
        <v>528.95991000000004</v>
      </c>
      <c r="Q54" s="3">
        <f>518.6+(328.6-173.4)+(0+(0-0))+0-117.8-0</f>
        <v>556.00000000000011</v>
      </c>
      <c r="R54" s="3">
        <f>515.4+(481-328.8)+(-1.051416+(-0.98124--0.670752))+0-112.2--0.228887999999995</f>
        <v>554.26698399999987</v>
      </c>
      <c r="S54" s="3">
        <f>502+(590.9-424)+(-0.25602+(-0.301359--0.21624))+0-126.7--0.0646169999999871</f>
        <v>541.92347799999993</v>
      </c>
      <c r="T54" s="3">
        <f>499.2+(557.2-422.7)+(-0.763776+(-0.852516--0.646731))+0-107.9--0.165087000000006</f>
        <v>524.99552600000004</v>
      </c>
      <c r="U54" s="3">
        <f>478.9+(519-365.1)+(-0.488478+(-0.52938--0.372402))+0-101--0.103020000000016</f>
        <v>531.257564</v>
      </c>
      <c r="V54" s="3">
        <f>495.9+(354.1-240)+(-1.264545+(-0.902955--0.612))+0-92.4--0.235619999999987</f>
        <v>516.28012000000001</v>
      </c>
      <c r="W54" s="3">
        <f>484+(258.3-130.3)+(-0.74052+(-0.395199--0.199359))+0-89.7--0.137241000000005</f>
        <v>521.50088099999994</v>
      </c>
      <c r="X54" s="3">
        <f>477+(312.6-170.7)+(-0.97308+(-0.637704--0.348228))+0-110.3--0.225011999999995</f>
        <v>507.56245600000005</v>
      </c>
      <c r="Y54" s="3">
        <f>491+(284.7-112.6)+(-1.00164+(-0.580788--0.229704))+0-124.2--0.253367999999995</f>
        <v>537.80064400000003</v>
      </c>
      <c r="Z54" s="3">
        <f>499.7+(322.4-144)+(-1.019388+(-0.657696--0.29376))+0-115.4--0.235415999999995</f>
        <v>561.5520919999999</v>
      </c>
      <c r="AA54" s="3">
        <f>501.8+(292.9-151.2)+(-1.023672+(-0.597516--0.308448))+0-98.6--0.201143999999996</f>
        <v>543.78840400000001</v>
      </c>
      <c r="AB54" s="3">
        <f>500.7+(279.6-150.8)+(-1.276785+(-0.71298--0.38454))+0-103.5--0.263924999999985</f>
        <v>524.65869999999995</v>
      </c>
      <c r="AC54" s="3">
        <f>399.7+(325.1-118.2)+(-0.611541+(-0.497403--0.180846))+0-109--0.166770000000006</f>
        <v>496.83867200000003</v>
      </c>
      <c r="AD54">
        <f t="shared" si="0"/>
        <v>12085.609625999999</v>
      </c>
      <c r="AE54" s="3">
        <f>498+(334.5-160.1)+(0+(0-0))+0-130.6-0</f>
        <v>541.79999999999995</v>
      </c>
    </row>
    <row r="55" spans="1:31" s="2" customFormat="1" x14ac:dyDescent="0.25">
      <c r="A55">
        <v>89</v>
      </c>
      <c r="B55">
        <v>2</v>
      </c>
      <c r="C55">
        <v>24</v>
      </c>
      <c r="D55">
        <v>7</v>
      </c>
      <c r="E55">
        <v>1</v>
      </c>
      <c r="F55" s="3">
        <f>391.8+(316.2-119)+(-0.199818+(-0.161262--0.06069))+0-102.1--0.0520709999999896</f>
        <v>486.651681</v>
      </c>
      <c r="G55" s="3">
        <f>392.7+(294.4-96.5)+(-0.600831+(-0.450432--0.147645))+0-126.3--0.193239000000007</f>
        <v>463.58962099999985</v>
      </c>
      <c r="H55" s="3">
        <f>397.2+(252.7-74.6)+(0+(0-0))+0-121.6-0</f>
        <v>453.69999999999993</v>
      </c>
      <c r="I55" s="3">
        <f>395.9+(238.6-82.4)+(-0.403818+(-0.243372--0.084048))+0-110.9--0.113118000000018</f>
        <v>440.749976</v>
      </c>
      <c r="J55" s="3">
        <f>399.8+(225.1-90)+(-0.203898+(-0.114801--0.0459))+0-108.4--0.055283999999989</f>
        <v>426.28248500000001</v>
      </c>
      <c r="K55" s="3">
        <f>384.7+(232.1-71.5)+(-2.354364+(-1.420452--0.43758))+0-108--0.660959999999986</f>
        <v>434.62372399999998</v>
      </c>
      <c r="L55" s="3">
        <f>400.1+(166.2-65.1)+(-1.632408+(-0.678096--0.265608))+0-100--0.407999999999991</f>
        <v>399.56310400000007</v>
      </c>
      <c r="M55" s="3">
        <f>399.9+(173.7-61.2)+(-0.203949+(-0.088587--0.031212))+0-105.6--0.0538559999999893</f>
        <v>406.59253200000001</v>
      </c>
      <c r="N55" s="3">
        <f>359.4+(303.1-136.5)+(-0.366588+(-0.309162--0.13923))+0-117.4--0.119748000000019</f>
        <v>408.18322800000004</v>
      </c>
      <c r="O55" s="3">
        <f>362+(319.7-130.4)+(-0.55386+(-0.489141--0.199512))+0-108.9--0.166617000000006</f>
        <v>441.72312800000003</v>
      </c>
      <c r="P55" s="3">
        <f>364.3+(312.3-92.3)+(-0.185793+(-0.159273--0.047073))+0-133.8--0.0682379999999864</f>
        <v>450.27024499999993</v>
      </c>
      <c r="Q55" s="3">
        <f>360.5+(319.1-88.6)+(-0.73542+(-0.650964--0.180744))+0-131.6--0.268463999999994</f>
        <v>458.46282399999996</v>
      </c>
      <c r="R55" s="3">
        <f>358.4+(366.8-130.3)+(-0.365568+(-0.374136--0.132906))+0-130.5--0.133110000000021</f>
        <v>463.926312</v>
      </c>
      <c r="S55" s="3">
        <f>354.1+(405-173.5)+(-0.722364+(-0.8262--0.35394))+0-128.6--0.262343999999994</f>
        <v>456.06772000000001</v>
      </c>
      <c r="T55" s="3">
        <f>353.4+(441.6-238.5)+(0+(0-0))+0-110.5-0</f>
        <v>446</v>
      </c>
      <c r="U55" s="3">
        <f>348.9+(453.6-238.2)+(-0.355878+(-0.462672--0.242964))+0-118.6--0.120972000000019</f>
        <v>445.24538599999988</v>
      </c>
      <c r="V55" s="3">
        <f>345+(367.8-128.3)+(-0.87975+(-0.93789--0.327165))+0-137.2--0.34985999999998</f>
        <v>446.15938500000004</v>
      </c>
      <c r="W55" s="3">
        <f>341.8+(296-60.5)+(-1.045908+(-0.90576--0.18513))+0-136.4--0.417384000000016</f>
        <v>439.55084600000004</v>
      </c>
      <c r="X55" s="3">
        <f>330.1+(323.7-81.5)+(-0.336702+(-0.330174--0.08313))+0-133.9--0.136578000000021</f>
        <v>437.952832</v>
      </c>
      <c r="Y55" s="3">
        <f>345+(319.6-51.9)+(-0.7038+(-0.651984--0.105876))+0-140.3--0.286211999999994</f>
        <v>471.43630400000001</v>
      </c>
      <c r="Z55" s="3">
        <f>364.1+(355.4-69.1)+(-0.371382+(-0.362508--0.070482))+0-150.7--0.153714000000024</f>
        <v>499.19030600000002</v>
      </c>
      <c r="AA55" s="3">
        <f>365.6+(402.9-128)+(-0.559368+(-0.616437--0.19584))+0-145.2--0.222156000000008</f>
        <v>494.542191</v>
      </c>
      <c r="AB55" s="3">
        <f>367.1+(356.6-105.2)+(-0.936105+(-0.90933--0.26826))+0-132.3--0.337364999999981</f>
        <v>484.96018999999995</v>
      </c>
      <c r="AC55" s="3">
        <f>375.5+(324.3-84.3)+(-0.191505+(-0.165393--0.042993))+0-147--0.0749699999999851</f>
        <v>468.26106500000003</v>
      </c>
      <c r="AD55">
        <f t="shared" si="0"/>
        <v>10823.685085000001</v>
      </c>
      <c r="AE55" s="3">
        <f>361+(385-124)+(0+(0-0))+0-138-0</f>
        <v>484</v>
      </c>
    </row>
    <row r="56" spans="1:31" s="2" customFormat="1" x14ac:dyDescent="0.25">
      <c r="A56">
        <v>89</v>
      </c>
      <c r="B56">
        <v>2</v>
      </c>
      <c r="C56">
        <v>25</v>
      </c>
      <c r="D56">
        <v>1</v>
      </c>
      <c r="E56">
        <v>1</v>
      </c>
      <c r="F56" s="3">
        <f>378.3+(318.8-126.8)+(-0.192933+(-0.162588--0.064668))+0-128.1--0.065330999999987</f>
        <v>441.97447799999998</v>
      </c>
      <c r="G56" s="3">
        <f>378.3+(294.3-127.3)+(-0.192933+(-0.150093--0.064923))+0-124.9--0.0636989999999873</f>
        <v>420.18559599999998</v>
      </c>
      <c r="H56" s="3">
        <f>382.2+(265-102.7)+(0.194922+(0.13515-0.052377))+0-135.2-0.0689519999999863</f>
        <v>409.50874300000004</v>
      </c>
      <c r="I56" s="3">
        <f>376.1+(273.7-126.2)+(-0.767244+(-0.558348--0.257448))+0-122--0.248879999999995</f>
        <v>400.78073600000005</v>
      </c>
      <c r="J56" s="3">
        <f>383.5+(313.4-165.2)+(0.586755+(0.479502-0.252756))+0-133.6-0.204408000000008</f>
        <v>398.709093</v>
      </c>
      <c r="K56" s="3">
        <f>379.7+(326.2-177.8)+(-0.387294+(-0.332724--0.181356))+0-128.7--0.131274000000021</f>
        <v>398.99261199999989</v>
      </c>
      <c r="L56" s="3">
        <f>381.7+(326.7-156.2)+(0.194667+(0.166617-0.079662))+0-135.2-0.0689519999999863</f>
        <v>417.21267000000006</v>
      </c>
      <c r="M56" s="3">
        <f>379.8+(326.8-128.2)+(-0.387396+(-0.333336--0.130764))+0-127.5--0.13005000000002</f>
        <v>450.44008200000013</v>
      </c>
      <c r="N56" s="3">
        <f>404.5+(436.8-194.7)+(-0.206295+(-0.222768--0.099297))+0-135.6--0.0691559999999862</f>
        <v>510.73939000000001</v>
      </c>
      <c r="O56" s="3">
        <f>478.4+(397.9-239)+(-0.487968+(-0.405858--0.24378))+0-134.4--0.137088000000021</f>
        <v>502.38704200000001</v>
      </c>
      <c r="P56" s="3">
        <f>495.6+(339.6-197)+(-0.505512+(-0.346392--0.20094))+0-126.1--0.12862200000002</f>
        <v>511.57765799999999</v>
      </c>
      <c r="Q56" s="3">
        <f>492.4+(278.2-115)+(0+(0-0))+0-127-0</f>
        <v>528.59999999999991</v>
      </c>
      <c r="R56" s="3">
        <f>488.9+(324.1-151)+(-0.748017+(-0.495873--0.23103))+0-128.7--0.196911000000007</f>
        <v>532.48405099999991</v>
      </c>
      <c r="S56" s="3">
        <f>483.4+(423.8-237)+(-0.739602+(-0.648414--0.36261))+0-147.6--0.225828000000009</f>
        <v>521.80042200000003</v>
      </c>
      <c r="T56" s="3">
        <f>477.2+(496.1-347.9)+(-0.973488+(-1.012044--0.709716))+0-125.7--0.256427999999994</f>
        <v>498.68061200000011</v>
      </c>
      <c r="U56" s="3">
        <f>473.5+(486-326.1)+(0+(0-0))+0-138.6-0</f>
        <v>494.79999999999995</v>
      </c>
      <c r="V56" s="3">
        <f>474.9+(374-222.1)+(-0.242199+(-0.19074--0.113271))+0-120.3--0.0613529999999878</f>
        <v>506.24168499999996</v>
      </c>
      <c r="W56" s="3">
        <f>454.6+(249.2-80.6)+(-1.391076+(-0.762552--0.246636))+0-130.8--0.400248000000015</f>
        <v>490.89325600000012</v>
      </c>
      <c r="X56" s="3">
        <f>460.1+(324.9-153.9)+(-0.469302+(-0.331398--0.156978))+0-122--0.124440000000019</f>
        <v>508.58071799999999</v>
      </c>
      <c r="Y56" s="3">
        <f>493.5+(304.8-128.1)+(-1.00674+(-0.621792--0.261324))+0-141.6--0.288863999999994</f>
        <v>527.52165600000001</v>
      </c>
      <c r="Z56" s="3">
        <f>511.4+(317.2-138.8)+(-0.782442+(-0.485316--0.212364))+0-139.8--0.213894000000008</f>
        <v>549.1585</v>
      </c>
      <c r="AA56" s="3">
        <f>507.3+(300.9-144.5)+(-0.776169+(-0.460377--0.221085))+0-129--0.197370000000007</f>
        <v>533.88190900000006</v>
      </c>
      <c r="AB56" s="3">
        <f>507.5+(301.2-170.9)+(-0.776475+(-0.460836--0.261477))+0-123.5--0.188955000000007</f>
        <v>513.51312099999996</v>
      </c>
      <c r="AC56" s="3">
        <f>511.2+(274-170.3)+(-0.521424+(-0.27948--0.173706))+0-124.3--0.12678600000002</f>
        <v>490.09958799999998</v>
      </c>
      <c r="AD56">
        <f t="shared" si="0"/>
        <v>11558.763617999997</v>
      </c>
      <c r="AE56" s="3">
        <f>506+(304.3-134.1)+(0+(0-0))+0-121-0</f>
        <v>555.20000000000005</v>
      </c>
    </row>
    <row r="57" spans="1:31" s="2" customFormat="1" x14ac:dyDescent="0.25">
      <c r="A57">
        <v>89</v>
      </c>
      <c r="B57">
        <v>2</v>
      </c>
      <c r="C57">
        <v>26</v>
      </c>
      <c r="D57">
        <v>2</v>
      </c>
      <c r="E57">
        <v>1</v>
      </c>
      <c r="F57" s="3">
        <f>493+(228.9-133.7)+(-0.75429+(-0.350217--0.204561))+0-142.6--0.218178000000008</f>
        <v>444.91823200000005</v>
      </c>
      <c r="G57" s="3">
        <f>445.3+(241.4-108.5)+(-0.681309+(-0.369342--0.166005))+0-140.2--0.214506000000008</f>
        <v>437.32986000000011</v>
      </c>
      <c r="H57" s="3">
        <f>444.9+(211.9-95.5)+(-1.134495+(-0.540345--0.243525))+0-136.5--0.34807499999998</f>
        <v>423.71675999999991</v>
      </c>
      <c r="I57" s="3">
        <f>447.3+(194.8-85.9)+(-0.684369+(-0.298044--0.131427))+0-134--0.205020000000008</f>
        <v>421.554034</v>
      </c>
      <c r="J57" s="3">
        <f>446.9+(205.9-100.6)+(-0.911676+(-0.420036--0.205224))+0-128.9--0.262955999999994</f>
        <v>422.43646800000005</v>
      </c>
      <c r="K57" s="3">
        <f>446.5+(190.4-106.9)+(-0.683145+(-0.291312--0.163557))+0-116.6--0.178398000000007</f>
        <v>412.76749800000005</v>
      </c>
      <c r="L57" s="3">
        <f>442.2+(424.6-311.7)+(-0.676566+(-0.649638--0.476901))+0-135.6--0.207468000000008</f>
        <v>418.85816500000004</v>
      </c>
      <c r="M57" s="3">
        <f>442.5+(439.5-301.3)+(-0.225675+(-0.224145--0.153663))+0-118--0.060179999999988</f>
        <v>462.46402300000005</v>
      </c>
      <c r="N57" s="3">
        <f>439.4+(434.5-262.5)+(-0.672282+(-0.664785--0.401625))+0-123.5--0.188955000000007</f>
        <v>487.15351300000003</v>
      </c>
      <c r="O57" s="3">
        <f>481.1+(455.5-284.9)+(-0.736083+(-0.696915--0.435897))+0-142.2--0.217566000000008</f>
        <v>508.72046500000005</v>
      </c>
      <c r="P57" s="3">
        <f>501.4+(388.9-229)+(-0.511428+(-0.396678--0.23358))+0-160.5--0.163710000000026</f>
        <v>500.28918399999998</v>
      </c>
      <c r="Q57" s="3">
        <f>496.9+(334-170.1)+(0+(0-0))+0-131.4-0</f>
        <v>529.4</v>
      </c>
      <c r="R57" s="3">
        <f>492.8+(284.7-105.9)+(-0.753984+(-0.435591--0.162027))+0-131.4--0.201042000000008</f>
        <v>539.37349400000005</v>
      </c>
      <c r="S57" s="3">
        <f>490.4+(475-294.7)+(0+(0-0))+0-147.2-0</f>
        <v>523.5</v>
      </c>
      <c r="T57" s="3">
        <f>485.9+(547.2-413.3)+(0+(0-0))+0-121.1-0</f>
        <v>498.69999999999993</v>
      </c>
      <c r="U57" s="3">
        <f>486+(500.3-349.4)+(-0.74358+(-0.765459--0.534582))+0-137.5--0.210375000000008</f>
        <v>498.63591800000006</v>
      </c>
      <c r="V57" s="3">
        <f>486.3+(256.7-110.8)+(-1.240065+(-0.654585--0.28254))+0-127.1--0.324104999999982</f>
        <v>503.81199499999997</v>
      </c>
      <c r="W57" s="3">
        <f>460.6+(330.3-159.1)+(-1.17453+(-0.842265--0.405705))+0-130.1--0.331754999999981</f>
        <v>500.42066500000004</v>
      </c>
      <c r="X57" s="3">
        <f>424.1+(320.6-112.5)+(-1.081455+(-0.81753--0.286875))+0-141.8--0.361589999999979</f>
        <v>489.14947999999998</v>
      </c>
      <c r="Y57" s="3">
        <f>409.3+(283.7-56.8)+(-0.626229+(-0.434061--0.086904))+0-138.3--0.211599000000008</f>
        <v>497.13821300000006</v>
      </c>
      <c r="Z57" s="3">
        <f>442.6+(362.4-126.7)+(-0.902904+(-0.739296--0.258468))+0-139.3--0.284171999999994</f>
        <v>537.90044</v>
      </c>
      <c r="AA57" s="3">
        <f>444.3+(371.1-161.1)+(-0.906372+(-0.757044--0.328644))+0-134.6--0.274583999999994</f>
        <v>518.63981200000001</v>
      </c>
      <c r="AB57" s="3">
        <f>386.4+(366.3-133.3)+(0+(0-0))+0-121.4-0</f>
        <v>498</v>
      </c>
      <c r="AC57" s="3">
        <f>378.7+(348.4-130.2)+(0+(0-0))+0-125.2-0</f>
        <v>471.7</v>
      </c>
      <c r="AD57">
        <f t="shared" si="0"/>
        <v>11546.578219000001</v>
      </c>
      <c r="AE57" s="3">
        <f>441+(387.4-140.5)+(0+(0-0))+0-150-0</f>
        <v>537.9</v>
      </c>
    </row>
    <row r="58" spans="1:31" s="2" customFormat="1" x14ac:dyDescent="0.25">
      <c r="A58">
        <v>89</v>
      </c>
      <c r="B58">
        <v>2</v>
      </c>
      <c r="C58">
        <v>27</v>
      </c>
      <c r="D58">
        <v>3</v>
      </c>
      <c r="E58">
        <v>5</v>
      </c>
      <c r="F58" s="3">
        <f>379.7+(294.3-77.9)+(-0.193647+(-0.150093--0.039729))+0-132.8--0.0677279999999865</f>
        <v>463.06371700000005</v>
      </c>
      <c r="G58" s="3">
        <f>380.2+(271.5-64.1)+(-0.193902+(-0.138465--0.032691))+0-146.2--0.0745619999999852</f>
        <v>441.17488600000001</v>
      </c>
      <c r="H58" s="3">
        <f>384+(304.7-115)+(-0.19584+(-0.155397--0.05865))+0-147.5--0.075224999999985</f>
        <v>425.98263800000001</v>
      </c>
      <c r="I58" s="3">
        <f>386.7+(305.5-133.2)+(-0.788868+(-0.62322--0.271728))+0-138.4--0.282335999999994</f>
        <v>419.74197600000002</v>
      </c>
      <c r="J58" s="3">
        <f>387.2+(292.3-122.1)+(0+(0-0))+0-144.7-0</f>
        <v>412.7</v>
      </c>
      <c r="K58" s="3">
        <f>383.6+(343.4-194.5)+(-0.97818+(-0.87567--0.495975))+0-137--0.34934999999998</f>
        <v>394.49147499999992</v>
      </c>
      <c r="L58" s="3">
        <f>389.5+(348.5-274.1)+(-0.198645+(-0.177735--0.139791))+0-108.6--0.055385999999989</f>
        <v>355.11879699999997</v>
      </c>
      <c r="M58" s="3">
        <f>390.3+(276.8-191.3)+(0.398106+(0.282336-0.195126))+0-116.4-0.118728000000019</f>
        <v>359.76658799999996</v>
      </c>
      <c r="N58" s="3">
        <f>379.4+(339.9-204.1)+(-0.580482+(-0.520047--0.312273))+0-130.6--0.199818000000008</f>
        <v>384.01156199999986</v>
      </c>
      <c r="O58" s="3">
        <f>376+(344.2-187)+(0+(0-0))+0-131.6-0</f>
        <v>401.6</v>
      </c>
      <c r="P58" s="3">
        <f>372.7+(303.9-132.9)+(-0.760308+(-0.619956--0.271116))+0-133--0.271319999999994</f>
        <v>409.86217199999993</v>
      </c>
      <c r="Q58" s="3">
        <f>368.3+(274.8-83.6)+(-0.751332+(-0.560592--0.170544))+0-131.1--0.267443999999994</f>
        <v>427.52606399999996</v>
      </c>
      <c r="R58" s="3">
        <f>359.8+(281.5-71.8)+(-0.733992+(-0.57426--0.146472))+0-128.4--0.261935999999994</f>
        <v>440.20015599999999</v>
      </c>
      <c r="S58" s="3">
        <f>357.1+(362.1-160.3)+(0+(0-0))+0-125.1-0</f>
        <v>433.80000000000007</v>
      </c>
      <c r="T58" s="3">
        <f>374.7+(368.1-175)+(-0.573291+(-0.563193--0.26775))+0-143.3--0.219249000000008</f>
        <v>423.85051499999992</v>
      </c>
      <c r="U58" s="3">
        <f>463.4+(278.6-170.7)+(-0.472668+(-0.284172--0.174114))+0-143.1--0.145962000000023</f>
        <v>427.76323599999995</v>
      </c>
      <c r="V58" s="3">
        <f>461.7+(220-132)+(-0.706401+(-0.3366--0.20196))+0-120.7--0.184671000000007</f>
        <v>428.34363000000002</v>
      </c>
      <c r="W58" s="3">
        <f>461.8+(229.8-146.2)+(-0.471036+(-0.234396--0.149124))+0-117.1--0.119442000000019</f>
        <v>427.86313400000012</v>
      </c>
      <c r="X58" s="3">
        <f>446.5+(221.5-148.1)+(-0.91086+(-0.45186--0.302124))+0-97.2--0.198287999999996</f>
        <v>421.83769199999995</v>
      </c>
      <c r="Y58" s="3">
        <f>408.6+(193.5-86.5)+(0+(0-0))+0-72.3-0</f>
        <v>443.3</v>
      </c>
      <c r="Z58" s="3">
        <f>418.6+(255.2-120.2)+(-0.213486+(-0.130152--0.061302))+0-72.4--0.0369239999999927</f>
        <v>480.95458800000006</v>
      </c>
      <c r="AA58" s="3">
        <f>483.1+(261.2-167.6)+(-0.985524+(-0.532848--0.341904))+0-91.2--0.186047999999996</f>
        <v>484.50958000000003</v>
      </c>
      <c r="AB58" s="3">
        <f>482.7+(251.4-143.7)+(-0.492354+(-0.256428--0.146574))+0-117.3--0.119646000000019</f>
        <v>472.61743799999999</v>
      </c>
      <c r="AC58" s="3">
        <f>486+(229.1-136.1)+(-0.24786+(-0.116841--0.069411))+0-123.6--0.0630359999999875</f>
        <v>455.16774599999997</v>
      </c>
      <c r="AD58">
        <f t="shared" si="0"/>
        <v>10235.247589999997</v>
      </c>
      <c r="AE58" s="3">
        <f>475+(278.1-161.8)+(0+(0-0))+0-88.9-0</f>
        <v>502.4</v>
      </c>
    </row>
    <row r="59" spans="1:31" s="2" customFormat="1" x14ac:dyDescent="0.25">
      <c r="A59">
        <v>89</v>
      </c>
      <c r="B59">
        <v>2</v>
      </c>
      <c r="C59">
        <v>28</v>
      </c>
      <c r="D59">
        <v>4</v>
      </c>
      <c r="E59">
        <v>1</v>
      </c>
      <c r="F59" s="3">
        <f>490.1+(220-133.4)+(0+(0-0))+0-140.5-0</f>
        <v>436.20000000000005</v>
      </c>
      <c r="G59" s="3">
        <f>489.1+(209.7-138.9)+(-0.748323+(-0.320841--0.212517))+0-141.2--0.216036000000008</f>
        <v>418.05938900000007</v>
      </c>
      <c r="H59" s="3">
        <f>446.1+(218.2-129.6)+(0.227511+(0.111282-0.066096))+0-128.8-0.0656879999999869</f>
        <v>406.10700900000006</v>
      </c>
      <c r="I59" s="3">
        <f>425.1+(242.2-134.9)+(-0.433602+(-0.247044--0.137598))+0-142.6--0.145452000000023</f>
        <v>389.40240399999999</v>
      </c>
      <c r="J59" s="3">
        <f>427+(226.3-131.9)+(0.21777+(0.115413-0.067269))+0-134.3-0.0684929999999864</f>
        <v>387.29742099999993</v>
      </c>
      <c r="K59" s="3">
        <f>424+(269.8-165.8)+(-0.86496+(-0.550392--0.338232))+0-144.2--0.294167999999994</f>
        <v>383.01704799999999</v>
      </c>
      <c r="L59" s="3">
        <f>425.7+(292.2-188.2)+(-0.868428+(-0.596088--0.383928))+0-122.1--0.249083999999995</f>
        <v>406.76849599999997</v>
      </c>
      <c r="M59" s="3">
        <f>427.6+(382.2-221.5)+(-0.436152+(-0.389844--0.22593))+0-125.4--0.12790800000002</f>
        <v>462.42784200000006</v>
      </c>
      <c r="N59" s="3">
        <f>477.7+(483.5-319)+(-0.730881+(-0.739755--0.48807))+0-125.9--0.192627000000007</f>
        <v>515.51006100000006</v>
      </c>
      <c r="O59" s="3">
        <f>359.7+(576.5-294.6)+(0.183447+(0.294015-0.150246))+0-122.3-0.0623729999999876</f>
        <v>519.564843</v>
      </c>
      <c r="P59" s="3">
        <f>402.8+(511.9-264.2)+(-0.205428+(-0.261069--0.134742))+0-114--0.0581399999999884</f>
        <v>536.22638499999994</v>
      </c>
      <c r="Q59" s="3">
        <f>458.2+(429-218)+(0+(0-0))+0-115-0</f>
        <v>554.20000000000005</v>
      </c>
      <c r="R59" s="3">
        <f>470.9+(328.5-116.2)+(-0.720477+(-0.502605--0.177786))+0-121.3--0.185589000000007</f>
        <v>561.04029300000013</v>
      </c>
      <c r="S59" s="3">
        <f>471+(353.2-149.1)+(-0.48042+(-0.360264--0.152082))+0-119.1--0.121482000000019</f>
        <v>555.43288000000007</v>
      </c>
      <c r="T59" s="3">
        <f>469.2+(405.2-219)+(0.239292+(0.206652-0.11169))+0-122.9-0.0626789999999875</f>
        <v>532.77157499999998</v>
      </c>
      <c r="U59" s="3">
        <f>465.3+(429.2-244.5)+(-0.237303+(-0.218892--0.124695))+0-125.3--0.0639029999999873</f>
        <v>524.43240300000002</v>
      </c>
      <c r="V59" s="3">
        <f>464.1+(369.3-169.8)+(-0.710073+(-0.565029--0.259794))+0-131.6--0.201348000000008</f>
        <v>531.18604000000005</v>
      </c>
      <c r="W59" s="3">
        <f>451.2+(340.2-119.7)+(-1.380672+(-1.041012--0.366282))+0-136.6--0.417996000000016</f>
        <v>533.46259400000008</v>
      </c>
      <c r="X59" s="3">
        <f>395.8+(456.8-201.8)+(-1.00929+(-1.16484--0.51459))+0-124--0.316199999999982</f>
        <v>525.45665999999994</v>
      </c>
      <c r="Y59" s="3">
        <f>394.7+(419.1-148.8)+(-0.402594+(-0.427482--0.151776))+0-127.8--0.13035600000002</f>
        <v>536.65205600000002</v>
      </c>
      <c r="Z59" s="3">
        <f>457.6+(334.9-99.1)+(-0.466752+(-0.341598--0.101082))+0-122.9--0.12535800000002</f>
        <v>569.91809000000001</v>
      </c>
      <c r="AA59" s="3">
        <f>485.2+(330.8-121.1)+(-1.23726+(-0.84354--0.308805))+0-134.5--0.34297499999998</f>
        <v>558.97098000000005</v>
      </c>
      <c r="AB59" s="3">
        <f>490.7+(309.9-140.7)+(-0.750771+(-0.474147--0.215271))+0-123.5--0.188955000000007</f>
        <v>535.57930799999997</v>
      </c>
      <c r="AC59" s="3">
        <f>490.2+(313.2-171.1)+(-0.500004+(-0.319464--0.174522))+0-128.2--0.13076400000002</f>
        <v>503.58581799999996</v>
      </c>
      <c r="AD59">
        <f t="shared" si="0"/>
        <v>11883.269595</v>
      </c>
      <c r="AE59" s="3">
        <f>487+(342.8-127.6)+(0+(0-0))+0-143.2-0</f>
        <v>559</v>
      </c>
    </row>
    <row r="60" spans="1:31" s="2" customFormat="1" x14ac:dyDescent="0.25">
      <c r="A60">
        <v>89</v>
      </c>
      <c r="B60">
        <v>2</v>
      </c>
      <c r="C60">
        <v>29</v>
      </c>
      <c r="D60">
        <v>5</v>
      </c>
      <c r="E60">
        <v>1</v>
      </c>
      <c r="F60" s="3">
        <f>447.1+(306.4-144.7)+(-0.684063+(-0.468792--0.221391))+0-127.9--0.195687000000007</f>
        <v>480.16422299999999</v>
      </c>
      <c r="G60" s="3">
        <f>426.7+(272.9-98.4)+(0.217617+(0.139179-0.050184))+0-143.7-0.0732869999999854</f>
        <v>457.73332499999992</v>
      </c>
      <c r="H60" s="3">
        <f>426.7+(267.5-106.6)+(-0.652851+(-0.409275--0.163098))+0-142.2--0.217566000000008</f>
        <v>444.71853800000002</v>
      </c>
      <c r="I60" s="3">
        <f>428+(308-159.7)+(-0.65484+(-0.47124--0.244341))+0-136.2--0.208386000000008</f>
        <v>439.42664699999995</v>
      </c>
      <c r="J60" s="3">
        <f>435.5+(340.2-217.5)+(0.222105+(0.173502-0.110925))+0-119.1-0.0607409999999879</f>
        <v>439.32394099999999</v>
      </c>
      <c r="K60" s="3">
        <f>432.6+(365-231.8)+(-1.10313+(-0.93075--0.59109))+0-139.4--0.35546999999998</f>
        <v>425.31268</v>
      </c>
      <c r="L60" s="3">
        <f>443.4+(308.5-192.1)+(0+(0-0))+0-124.9-0</f>
        <v>434.9</v>
      </c>
      <c r="M60" s="3">
        <f>441.4+(388.4-241.5)+(-0.675342+(-0.594252--0.369495))+0-125--0.191250000000007</f>
        <v>462.59115100000002</v>
      </c>
      <c r="N60" s="3">
        <f>456.7+(418.1-232.3)+(-0.465834+(-0.426462--0.236946))+0-126.7--0.12923400000002</f>
        <v>515.27388399999995</v>
      </c>
      <c r="O60" s="3">
        <f>499.1+(418.8-265.4)+(-0.254541+(-0.213588--0.135354))+0-123.5--0.0629849999999875</f>
        <v>528.73021000000006</v>
      </c>
      <c r="P60" s="3">
        <f>494+(395.6-209.4)+(-0.50388+(-0.403512--0.213588))+0-135.8--0.138516000000022</f>
        <v>543.84471200000007</v>
      </c>
      <c r="Q60" s="3">
        <f>486.8+(351.1-145.4)+(-0.496536+(-0.358122--0.148308))+0-128.4--0.13096800000002</f>
        <v>563.52461800000003</v>
      </c>
      <c r="R60" s="3">
        <f>480.5+(345-135.4)+(0+(0-0))+0-122.7-0</f>
        <v>567.4</v>
      </c>
      <c r="S60" s="3">
        <f>477.5+(414.3-221.8)+(-0.9741+(-0.845172--0.452472))+0-116.3--0.237251999999995</f>
        <v>552.57045200000005</v>
      </c>
      <c r="T60" s="3">
        <f>474.3+(440.8-260.3)+(0+(0-0))+0-122.1-0</f>
        <v>532.69999999999993</v>
      </c>
      <c r="U60" s="3">
        <f>472.5+(430-253.9)+(-0.722925+(-0.6579--0.388467))+0-118.5--0.181305000000007</f>
        <v>529.28894700000001</v>
      </c>
      <c r="V60" s="3">
        <f>471.9+(365.3-180.4)+(-0.962676+(-0.745212--0.368016))+0-119.7--0.244187999999995</f>
        <v>536.0043159999999</v>
      </c>
      <c r="W60" s="3">
        <f>473.5+(343.6-134.7)+(-0.96594+(-0.700944--0.274788))+0-133.5--0.272339999999994</f>
        <v>547.78024400000004</v>
      </c>
      <c r="X60" s="3">
        <f>477+(459.7-249.9)+(-1.21635+(-1.172235--0.637245))+0-135.7--0.34603499999998</f>
        <v>549.69469499999991</v>
      </c>
      <c r="Y60" s="3">
        <f>476.9+(481-262.9)+(-0.486438+(-0.49062--0.268158))+0-132.8--0.135456000000021</f>
        <v>561.62655599999994</v>
      </c>
      <c r="Z60" s="3">
        <f>495.1+(389-146.4)+(-0.252501+(-0.19839--0.074664))+0-146.8--0.0748679999999851</f>
        <v>590.59864100000016</v>
      </c>
      <c r="AA60" s="3">
        <f>507.3+(329.4-114.3)+(-0.776169+(-0.503982--0.174879))+0-150.1--0.229653000000009</f>
        <v>571.42438099999993</v>
      </c>
      <c r="AB60" s="3">
        <f>510+(295.3-109.4)+(-1.3005+(-0.753015--0.27897))+0-144.3--0.367964999999979</f>
        <v>550.19341999999995</v>
      </c>
      <c r="AC60" s="3">
        <f>488.3+(277.7-107)+(-0.996132+(-0.566508--0.21828))+0-132.3--0.269891999999994</f>
        <v>525.62553200000002</v>
      </c>
      <c r="AD60">
        <f t="shared" si="0"/>
        <v>12350.451112999999</v>
      </c>
      <c r="AE60" s="3">
        <f>508+(353.9-122.1)+(0+(0-0))+0-151.5-0</f>
        <v>588.29999999999995</v>
      </c>
    </row>
    <row r="61" spans="1:31" s="2" customFormat="1" x14ac:dyDescent="0.25">
      <c r="A61">
        <v>89</v>
      </c>
      <c r="B61">
        <v>2</v>
      </c>
      <c r="C61">
        <v>30</v>
      </c>
      <c r="D61">
        <v>6</v>
      </c>
      <c r="E61">
        <v>1</v>
      </c>
      <c r="F61" s="3">
        <f>476.4+(258.8-109.8)+(-1.943712+(-1.055904--0.447984))+0-126.5--0.516119999999989</f>
        <v>496.86448799999994</v>
      </c>
      <c r="G61" s="3">
        <f>473.5+(238.5-100.5)+(-0.724455+(-0.364905--0.153765))+0-132.3--0.202419000000008</f>
        <v>478.46682399999997</v>
      </c>
      <c r="H61" s="3">
        <f>474.6+(233.6-97.6)+(-0.484092+(-0.238272--0.099552))+0-143--0.145860000000023</f>
        <v>467.1230480000001</v>
      </c>
      <c r="I61" s="3">
        <f>481.7+(226.3-104.7)+(-0.982668+(-0.461652--0.213588))+0-145.2--0.296207999999994</f>
        <v>457.16547599999996</v>
      </c>
      <c r="J61" s="3">
        <f>484.4+(204.1-99.6)+(0.494088+(0.208182-0.101592))+0-137.3-0.140046000000022</f>
        <v>452.06063199999994</v>
      </c>
      <c r="K61" s="3">
        <f>462.6+(212.5-114.3)+(-1.17963+(-0.541875--0.291465))+0-134.7--0.34348499999998</f>
        <v>425.0134450000001</v>
      </c>
      <c r="L61" s="3">
        <f>409.1+(300.6-140.8)+(-0.834564+(-0.613224--0.287232))+0-141.8--0.289271999999994</f>
        <v>426.22871600000002</v>
      </c>
      <c r="M61" s="3">
        <f>411.9+(310.3-132.4)+(0.420138+(0.316506-0.135048))+0-128.2-0.13076400000002</f>
        <v>462.07083199999994</v>
      </c>
      <c r="N61" s="3">
        <f>446.3+(329.6-129.2)+(-0.455226+(-0.336192--0.131784))+0-143.4--0.146268000000023</f>
        <v>502.78663400000011</v>
      </c>
      <c r="O61" s="3">
        <f>460+(281-89.4)+(-0.2346+(-0.14331--0.045594))+0-129.2--0.0658919999999869</f>
        <v>522.13357600000006</v>
      </c>
      <c r="P61" s="3">
        <f>487.4+(295.6-123.8)+(0+(0-0))+0-114.4-0</f>
        <v>544.80000000000007</v>
      </c>
      <c r="Q61" s="3">
        <f>487.3+(443.8-226.6)+(0.497046+(0.452676-0.231132))+0-144.6-0.147492000000023</f>
        <v>560.47109799999987</v>
      </c>
      <c r="R61" s="3">
        <f>481.7+(664.4-435)+(-0.982668+(-1.355376--0.8874))+0-152.3--0.310691999999993</f>
        <v>557.66004799999996</v>
      </c>
      <c r="S61" s="3">
        <f>480.6+(732.6-531.3)+(-0.735318+(-1.120878--0.812889))+0-137.1--0.209763000000008</f>
        <v>543.96645599999999</v>
      </c>
      <c r="T61" s="3">
        <f>481.4+(762.1-595.1)+(-0.491028+(-0.777342--0.607002))+0-127--0.12954000000002</f>
        <v>520.86817199999996</v>
      </c>
      <c r="U61" s="3">
        <f>478.1+(756-602.6)+(-0.243831+(-0.38556--0.307326))+0-120--0.0611999999999878</f>
        <v>511.23913500000003</v>
      </c>
      <c r="V61" s="3">
        <f>477.9+(613.2-448.7)+(-0.731187+(-0.938196--0.686511))+0-128.3--0.196299000000007</f>
        <v>513.31342700000005</v>
      </c>
      <c r="W61" s="3">
        <f>478.7+(354-169.3)+(-0.976548+(-0.72216--0.345372))+0-145.4--0.296615999999994</f>
        <v>516.94327999999996</v>
      </c>
      <c r="X61" s="3">
        <f>476.6+(283.4-100.1)+(-1.458396+(-0.867204--0.306306))+0-145--0.443700000000017</f>
        <v>513.32440600000007</v>
      </c>
      <c r="Y61" s="3">
        <f>464.2+(320.8-129.5)+(-0.710226+(-0.490824--0.198135))+0-129.6--0.198288000000007</f>
        <v>525.095373</v>
      </c>
      <c r="Z61" s="3">
        <f>488.2+(354.1-148.9)+(-0.248982+(-0.180591--0.075939))+0-133.3--0.0679829999999865</f>
        <v>559.81434899999988</v>
      </c>
      <c r="AA61" s="3">
        <f>500.2+(378.7-195.6)+(-0.510204+(-0.386274--0.199512))+0-139.8--0.142596000000022</f>
        <v>542.94563000000005</v>
      </c>
      <c r="AB61" s="3">
        <f>452.8+(428.8-218.7)+(-0.692784+(-0.656064--0.334611))+0-144.8--0.221544000000008</f>
        <v>517.30730700000004</v>
      </c>
      <c r="AC61" s="3">
        <f>443.1+(444.2-251.5)+(-0.225981+(-0.226542--0.128265))+0-142--0.0724199999999856</f>
        <v>493.54816199999993</v>
      </c>
      <c r="AD61">
        <f t="shared" si="0"/>
        <v>12111.210513999999</v>
      </c>
      <c r="AE61" s="3">
        <f>499+(369.7-197.6)+(0+(0-0))+0-123.4-0</f>
        <v>547.70000000000005</v>
      </c>
    </row>
    <row r="62" spans="1:31" s="2" customFormat="1" x14ac:dyDescent="0.25">
      <c r="A62">
        <v>89</v>
      </c>
      <c r="B62">
        <v>2</v>
      </c>
      <c r="C62">
        <v>31</v>
      </c>
      <c r="D62">
        <v>7</v>
      </c>
      <c r="E62">
        <v>1</v>
      </c>
      <c r="F62" s="3">
        <f>472+(364.2-269.2)+(-0.24072+(-0.185742--0.137292))+0-130.8--0.0667079999999867</f>
        <v>435.97753799999998</v>
      </c>
      <c r="G62" s="3">
        <f>476+(273.6-196.9)+(0.24276+(0.139536-0.100419))+0-136.3-0.0695129999999862</f>
        <v>416.61236400000007</v>
      </c>
      <c r="H62" s="3">
        <f>468.5+(225.8-144)+(-0.95574+(-0.460632--0.29376))+0-140.9--0.287435999999994</f>
        <v>408.56482399999999</v>
      </c>
      <c r="I62" s="3">
        <f>422.9+(213.9-99)+(0.431358+(0.218178-0.10098))+0-143.9-0.146778000000023</f>
        <v>394.3017779999999</v>
      </c>
      <c r="J62" s="3">
        <f>421.5+(189.1-75.6)+(-0.214965+(-0.096441--0.038556))+0-145.5--0.0742049999999852</f>
        <v>389.30135500000006</v>
      </c>
      <c r="K62" s="3">
        <f>421.7+(222.3-115.9)+(-0.860268+(-0.453492--0.236436))+0-150.4--0.306815999999993</f>
        <v>376.92949200000004</v>
      </c>
      <c r="L62" s="3">
        <f>421.5+(281.9-178.6)+(-0.85986+(-0.575076--0.364344))+0-122.9--0.250715999999995</f>
        <v>401.08012399999996</v>
      </c>
      <c r="M62" s="3">
        <f>421.3+(296.9-189.1)+(-0.429726+(-0.302838--0.192882))+0-117.8--0.120156000000019</f>
        <v>410.88047400000005</v>
      </c>
      <c r="N62" s="3">
        <f>415.9+(310.6-162)+(-0.424218+(-0.316812--0.16524))+0-148.9--0.151878000000024</f>
        <v>415.17608800000005</v>
      </c>
      <c r="O62" s="3">
        <f>412.3+(321.3-164.8)+(-0.841092+(-0.655452--0.336192))+0-139.7--0.284987999999994</f>
        <v>428.22463599999998</v>
      </c>
      <c r="P62" s="3">
        <f>435.9+(250.3-82.9)+(-0.444618+(-0.255306--0.084558))+0-148.7--0.151674000000024</f>
        <v>454.13630799999999</v>
      </c>
      <c r="Q62" s="3">
        <f>455.8+(261.4-102.5)+(-0.464916+(-0.266628--0.10455))+0-149.9--0.152898000000024</f>
        <v>464.32590400000015</v>
      </c>
      <c r="R62" s="3">
        <f>453.1+(327.6-167.6)+(-0.924324+(-0.668304--0.341904))+0-139--0.283559999999994</f>
        <v>473.132836</v>
      </c>
      <c r="S62" s="3">
        <f>443.6+(443.2-269.3)+(-0.226236+(-0.226032--0.137343))+0-154.2--0.0786419999999843</f>
        <v>463.063717</v>
      </c>
      <c r="T62" s="3">
        <f>426.1+(495.9-328.6)+(-0.434622+(-0.505818--0.335172))+0-142.5--0.145350000000023</f>
        <v>450.44008199999996</v>
      </c>
      <c r="U62" s="3">
        <f>415.1+(537.3-366.6)+(-1.270206+(-1.644138--1.121796))+0-135.7--0.415242000000016</f>
        <v>448.72269399999999</v>
      </c>
      <c r="V62" s="3">
        <f>412.3+(369.7-194.6)+(-0.841092+(-0.754188--0.396984))+0-144.4--0.294575999999994</f>
        <v>442.09627999999998</v>
      </c>
      <c r="W62" s="3">
        <f>404.4+(247.4-69)+(-0.618732+(-0.378522--0.10557))+0-129.7--0.198441000000007</f>
        <v>452.40675699999991</v>
      </c>
      <c r="X62" s="3">
        <f>358.2+(257.1-55.8)+(-1.278774+(-0.917847--0.199206))+0-114--0.406980000000002</f>
        <v>443.90956499999993</v>
      </c>
      <c r="Y62" s="3">
        <f>359+(287.1-68.7)+(-0.36618+(-0.292842--0.070074))+0-119.5--0.121890000000019</f>
        <v>457.43294200000014</v>
      </c>
      <c r="Z62" s="3">
        <f>382.4+(362.4-117.3)+(-0.585072+(-0.554472--0.179469))+0-129.5--0.198135000000007</f>
        <v>497.23806000000002</v>
      </c>
      <c r="AA62" s="3">
        <f>438.4+(347.9-142.8)+(-0.670752+(-0.532287--0.218484))+0-147.6--0.225828000000009</f>
        <v>495.14127300000001</v>
      </c>
      <c r="AB62" s="3">
        <f>465.2+(359.8-184.1)+(-0.949008+(-0.733992--0.375564))+0-155.8--0.317831999999993</f>
        <v>484.11039599999992</v>
      </c>
      <c r="AC62" s="3">
        <f>461.8+(314.8-185.4)+(-0.706554+(-0.481644--0.283662))+0-121--0.185130000000007</f>
        <v>469.48059400000005</v>
      </c>
      <c r="AD62">
        <f t="shared" si="0"/>
        <v>10572.686081</v>
      </c>
      <c r="AE62" s="3">
        <f>468+(351.4-132.6)+(0+(0-0))+0-173.2-0</f>
        <v>513.59999999999991</v>
      </c>
    </row>
    <row r="63" spans="1:31" s="2" customFormat="1" x14ac:dyDescent="0.25">
      <c r="A63">
        <v>89</v>
      </c>
      <c r="B63">
        <v>3</v>
      </c>
      <c r="C63">
        <v>1</v>
      </c>
      <c r="D63">
        <v>1</v>
      </c>
      <c r="E63">
        <v>1</v>
      </c>
      <c r="F63" s="3">
        <f>453.4+(284.2-154.4)+(-0.462468+(-0.289884--0.157488))+0-124.5--0.12699000000002</f>
        <v>458.23212599999994</v>
      </c>
      <c r="G63" s="3">
        <f>409.9+(285.1-108.4)+(0.627147+(0.436203-0.165852))+0-147.4-0.225522000000009</f>
        <v>439.87197600000007</v>
      </c>
      <c r="H63" s="3">
        <f>407.9+(275.8-112.6)+(-1.040145+(-0.70329--0.28713))+0-143.3--0.365414999999979</f>
        <v>426.70910999999995</v>
      </c>
      <c r="I63" s="3">
        <f>411.2+(273.3-126.3)+(-0.209712+(-0.139383--0.064413))+0-139.7--0.0712469999999858</f>
        <v>418.28656500000005</v>
      </c>
      <c r="J63" s="3">
        <f>411.6+(267.8-112.1)+(0.209916+(0.136578-0.057171))+0-152.4-0.0777239999999845</f>
        <v>415.11159900000007</v>
      </c>
      <c r="K63" s="3">
        <f>407.3+(210.9-75)+(-1.038615+(-0.537795--0.19125))+0-136.7--0.34858499999998</f>
        <v>405.46342499999997</v>
      </c>
      <c r="L63" s="3">
        <f>413.1+(337.7-208.1)+(0+(0-0))+0-123.7-0</f>
        <v>419.00000000000006</v>
      </c>
      <c r="M63" s="3">
        <f>412.2+(378.6-205.7)+(0.210222+(0.193086-0.104907))+0-140.5-0.0716549999999857</f>
        <v>444.82674600000007</v>
      </c>
      <c r="N63" s="3">
        <f>409.1+(403.6-171.6)+(0+(0-0))+0-138.5-0</f>
        <v>502.6</v>
      </c>
      <c r="O63" s="3">
        <f>405.6+(429.9-178.5)+(-0.413712+(-0.438498--0.18207))+0-136--0.138720000000022</f>
        <v>520.46858000000009</v>
      </c>
      <c r="P63" s="3">
        <f>408+(453.5-168.5)+(-1.0404+(-1.156425--0.429675))+0-136--0.34679999999998</f>
        <v>555.57965000000002</v>
      </c>
      <c r="Q63" s="3">
        <f>406+(359.8-77)+(-0.20706+(-0.183498--0.03927))+0-136--0.0693599999999862</f>
        <v>552.51807199999996</v>
      </c>
      <c r="R63" s="3">
        <f>442.4+(443.5-124.7)+(-0.451248+(-0.45237--0.127194))+0-173.8--0.177276000000028</f>
        <v>586.80085199999996</v>
      </c>
      <c r="S63" s="3">
        <f>461.8+(511.6-253.9)+(-0.706554+(-0.782748--0.388467))+0-142.7--0.218331000000008</f>
        <v>575.91749600000003</v>
      </c>
      <c r="T63" s="3">
        <f>458.7+(539.6-275.8)+(0.233937+(0.275196-0.140658))+0-167.3-0.085322999999983</f>
        <v>555.48315200000002</v>
      </c>
      <c r="U63" s="3">
        <f>457+(487.7-252)+(-1.16535+(-1.243635--0.6426))+0-149.5--0.381224999999978</f>
        <v>541.81484</v>
      </c>
      <c r="V63" s="3">
        <f>456.8+(400.9-170)+(-0.465936+(-0.408918--0.1734))+0-133.4--0.136068000000021</f>
        <v>553.73461400000008</v>
      </c>
      <c r="W63" s="3">
        <f>440.6+(308.3-65.2)+(-1.12353+(-0.786165--0.16626))+0-129.9--0.331244999999981</f>
        <v>552.38781000000006</v>
      </c>
      <c r="X63" s="3">
        <f>399.7+(382.2-98.6)+(-0.815388+(-0.779688--0.201144))+0-127.8--0.260711999999994</f>
        <v>554.36678000000006</v>
      </c>
      <c r="Y63" s="3">
        <f>418.5+(336.4-53.3)+(-0.85374+(-0.686256--0.108732))+0-143.7--0.293147999999994</f>
        <v>556.76188399999978</v>
      </c>
      <c r="Z63" s="3">
        <f>454.5+(367.1-72.3)+(-1.158975+(-0.936105--0.184365))+0-155.3--0.396014999999977</f>
        <v>592.48529999999994</v>
      </c>
      <c r="AA63" s="3">
        <f>507.3+(326.6-97.5)+(-1.811061+(-1.165962--0.348075))+0-148.3--0.529431000000002</f>
        <v>586.00048300000014</v>
      </c>
      <c r="AB63" s="3">
        <f>453.8+(354.6-116.8)+(-0.925752+(-0.723384--0.238272))+0-133.8--0.272951999999994</f>
        <v>556.66208800000004</v>
      </c>
      <c r="AC63" s="3">
        <f>427.4+(363.3-122.2)+(-0.435948+(-0.370566--0.124644))+0-137--0.139740000000022</f>
        <v>530.95787000000007</v>
      </c>
      <c r="AD63">
        <f t="shared" si="0"/>
        <v>12302.041018000002</v>
      </c>
      <c r="AE63" s="3">
        <f>507+(339.2-89.3)+(0+(0-0))+0-154.8-0</f>
        <v>602.09999999999991</v>
      </c>
    </row>
    <row r="64" spans="1:31" s="2" customFormat="1" x14ac:dyDescent="0.25">
      <c r="A64">
        <v>89</v>
      </c>
      <c r="B64">
        <v>3</v>
      </c>
      <c r="C64">
        <v>2</v>
      </c>
      <c r="D64">
        <v>2</v>
      </c>
      <c r="E64">
        <v>1</v>
      </c>
      <c r="F64" s="3">
        <f>411.4+(328.5-109.6)+(-0.419628+(-0.33507--0.111792))+0-130--0.132600000000021</f>
        <v>499.78969399999994</v>
      </c>
      <c r="G64" s="3">
        <f>310.6+(359.7-91.8)+(-0.79203+(-0.917235--0.23409))+0-134.9--0.34399499999998</f>
        <v>442.46881999999999</v>
      </c>
      <c r="H64" s="3">
        <f>347.4+(344.2-147.6)+(-0.531522+(-0.526626--0.225828))+0-122.6--0.187578000000007</f>
        <v>420.75525800000003</v>
      </c>
      <c r="I64" s="3">
        <f>411.5+(322.1-202)+(-0.629595+(-0.492813--0.30906))+0-124.1--0.189873000000007</f>
        <v>406.87652500000002</v>
      </c>
      <c r="J64" s="3">
        <f>432.8+(289.7-189.3)+(-0.441456+(-0.295494--0.193086))+0-126--0.12852000000002</f>
        <v>406.7846560000001</v>
      </c>
      <c r="K64" s="3">
        <f>435.3+(278.5-200.7)+(-0.666009+(-0.426105--0.307071))+0-113.5--0.173655000000007</f>
        <v>398.98861200000005</v>
      </c>
      <c r="L64" s="3">
        <f>375.7+(403.9-246.6)+(-0.191607+(-0.205989--0.125766))+0-113--0.0576299999999885</f>
        <v>419.78579999999994</v>
      </c>
      <c r="M64" s="3">
        <f>335.1+(480.5-235)+(-0.170901+(-0.245055--0.11985))+0-113.8--0.0580379999999885</f>
        <v>466.56193200000001</v>
      </c>
      <c r="N64" s="3">
        <f>329.5+(504.8-231.7)+(-0.168045+(-0.257448--0.118167))+0-106--0.0540599999999892</f>
        <v>496.34673400000003</v>
      </c>
      <c r="O64" s="3">
        <f>330.9+(521.3-221.1)+(-0.337518+(-0.531726--0.225522))+0-120.9--0.123318000000019</f>
        <v>509.67959599999995</v>
      </c>
      <c r="P64" s="3">
        <f>373.9+(422.7-145.6)+(-1.144134+(-1.293462--0.445536))+0-126.3--0.386478000000015</f>
        <v>523.09441800000002</v>
      </c>
      <c r="Q64" s="3">
        <f>381.4+(354.1-75)+(-0.194514+(-0.180591--0.03825))+0-132.4--0.0675239999999866</f>
        <v>527.83066899999994</v>
      </c>
      <c r="R64" s="3">
        <f>430.3+(393-155)+(-0.438906+(-0.40086--0.1581))+0-88--0.089760000000014</f>
        <v>579.70809400000007</v>
      </c>
      <c r="S64" s="3">
        <f>425.4+(475.8-220.3)+(-1.08477+(-1.21329--0.561765))+0-136.3--0.34756499999998</f>
        <v>543.21127000000001</v>
      </c>
      <c r="T64" s="3">
        <f>422.9+(467.6-219.3)+(0+(0-0))+0-122.5-0</f>
        <v>548.70000000000005</v>
      </c>
      <c r="U64" s="3">
        <f>419.4+(443.6-196.2)+(-0.641682+(-0.678708--0.300186))+0-124.3--0.190179000000007</f>
        <v>541.66997500000002</v>
      </c>
      <c r="V64" s="3">
        <f>422.5+(407.6-144.5)+(-0.8619+(-0.831504--0.29478))+0-132.5--0.270299999999994</f>
        <v>551.971676</v>
      </c>
      <c r="W64" s="3">
        <f>415.5+(334.1-58)+(-1.27143+(-1.022346--0.17748))+0-137.4--0.420444000000016</f>
        <v>552.50414799999999</v>
      </c>
      <c r="X64" s="3">
        <f>365.4+(383.5-68.9)+(-0.93177+(-0.977925--0.175695))+0-133.3--0.339914999999981</f>
        <v>545.30591499999991</v>
      </c>
      <c r="Y64" s="3">
        <f>380.7+(362.5-55)+(-0.194157+(-0.184875--0.02805))+0-136.3--0.0695129999999862</f>
        <v>551.61853099999996</v>
      </c>
      <c r="Z64" s="3">
        <f>455.7+(361.4-64.4)+(-0.232407+(-0.184314--0.032844))+0-140.7--0.0717569999999857</f>
        <v>611.68787999999995</v>
      </c>
      <c r="AA64" s="3">
        <f>468.7+(338.2-73.5)+(-0.717111+(-0.517446--0.112455))+0-151.3--0.231489000000009</f>
        <v>581.20938699999988</v>
      </c>
      <c r="AB64" s="3">
        <f>478.2+(318.1-101.5)+(-1.21941+(-0.811155--0.258825))+0-149.7--0.381734999999978</f>
        <v>543.70999499999994</v>
      </c>
      <c r="AC64" s="3">
        <f>480.7+(289.5-124.8)+(-0.490314+(-0.29529--0.127296))+0-119.7--0.122094000000019</f>
        <v>525.16378599999996</v>
      </c>
      <c r="AD64">
        <f t="shared" si="0"/>
        <v>12195.423370999997</v>
      </c>
      <c r="AE64" s="3">
        <f>466+(333.5-78.1)+(0+(0-0))+0-126.5-0</f>
        <v>594.9</v>
      </c>
    </row>
    <row r="65" spans="1:31" s="2" customFormat="1" x14ac:dyDescent="0.25">
      <c r="A65">
        <v>89</v>
      </c>
      <c r="B65">
        <v>3</v>
      </c>
      <c r="C65">
        <v>3</v>
      </c>
      <c r="D65">
        <v>3</v>
      </c>
      <c r="E65">
        <v>1</v>
      </c>
      <c r="F65" s="3">
        <f>477.2+(268.3-112)+(-0.730116+(-0.410499--0.17136))+0-131.6--0.201348000000008</f>
        <v>501.132093</v>
      </c>
      <c r="G65" s="3">
        <f>478.6+(235.5-76.7)+(-0.244086+(-0.120105--0.039117))+0-159.3--0.0812429999999838</f>
        <v>477.85616900000008</v>
      </c>
      <c r="H65" s="3">
        <f>478.3+(243.5-124.7)+(-0.243933+(-0.124185--0.063597))+0-130.1--0.0663509999999868</f>
        <v>466.76182999999997</v>
      </c>
      <c r="I65" s="3">
        <f>424.5+(288.8-121.5)+(-0.43299+(-0.294576--0.12393))+0-138.6--0.141372000000022</f>
        <v>452.73773599999993</v>
      </c>
      <c r="J65" s="3">
        <f>427.6+(309-138.5)+(-1.09038+(-0.78795--0.353175))+0-148--0.377399999999979</f>
        <v>448.95224499999995</v>
      </c>
      <c r="K65" s="3">
        <f>427.7+(302.2-151.2)+(-0.654381+(-0.462366--0.231336))+0-144.9--0.221697000000008</f>
        <v>433.1362860000001</v>
      </c>
      <c r="L65" s="3">
        <f>425.1+(415.6-247)+(-0.216801+(-0.211956--0.12597))+0-155.1--0.0791009999999843</f>
        <v>438.37631400000004</v>
      </c>
      <c r="M65" s="3">
        <f>419.9+(449.3-249.5)+(0+(0-0))+0-139.9-0</f>
        <v>479.80000000000007</v>
      </c>
      <c r="N65" s="3">
        <f>419.9+(433.3-204.7)+(-0.214149+(-0.220983--0.104397))+0-140.4--0.0716039999999858</f>
        <v>507.840869</v>
      </c>
      <c r="O65" s="3">
        <f>412.9+(438.5-201)+(-0.210579+(-0.223635--0.10251))+0-114.6--0.0584459999999884</f>
        <v>535.52674200000001</v>
      </c>
      <c r="P65" s="3">
        <f>449.8+(427.7-181.6)+(-0.229398+(-0.218127--0.092616))+0-131--0.0668099999999867</f>
        <v>564.61190099999999</v>
      </c>
      <c r="Q65" s="3">
        <f>457.8+(359.4-97)+(-0.466956+(-0.366588--0.09894))+0-137.5--0.140250000000022</f>
        <v>582.10564600000009</v>
      </c>
      <c r="R65" s="3">
        <f>458.3+(368.6-99.8)+(-0.467466+(-0.375972--0.101796))+0-119.5--0.121890000000019</f>
        <v>606.98024800000007</v>
      </c>
      <c r="S65" s="3">
        <f>451.6+(452-200.5)+(-0.460632+(-0.46104--0.20451))+0-126.5--0.12903000000002</f>
        <v>576.01186800000005</v>
      </c>
      <c r="T65" s="3">
        <f>449.3+(493.1-243.6)+(0+(0-0))+0-144-0</f>
        <v>554.80000000000007</v>
      </c>
      <c r="U65" s="3">
        <f>457.3+(455.9-227)+(-0.466446+(-0.465018--0.23154))+0-138.9--0.141678000000022</f>
        <v>546.74175400000013</v>
      </c>
      <c r="V65" s="3">
        <f>447.7+(404.9-178.6)+(-1.369962+(-1.238994--0.546516))+0-144.6--0.442476000000017</f>
        <v>527.780036</v>
      </c>
      <c r="W65" s="3">
        <f>437.1+(310.2-75)+(-0.891684+(-0.632808--0.153))+0-124--0.252959999999995</f>
        <v>547.181468</v>
      </c>
      <c r="X65" s="3">
        <f>385.7+(420.9-124)+(-1.180242+(-1.287954--0.37944))+0-128.3--0.392598000000015</f>
        <v>552.60384199999987</v>
      </c>
      <c r="Y65" s="3">
        <f>382.2+(406.3-104.5)+(-0.97461+(-1.036065--0.266475))+0-131.7--0.335834999999981</f>
        <v>550.89163500000006</v>
      </c>
      <c r="Z65" s="3">
        <f>420.2+(371.3-69)+(-0.642906+(-0.568089--0.10557))+0-127.5--0.195075000000007</f>
        <v>594.08965000000001</v>
      </c>
      <c r="AA65" s="3">
        <f>455.8+(340.9-76.7)+(-1.627206+(-1.217013--0.273819))+0-145.7--0.520149000000002</f>
        <v>572.24974900000007</v>
      </c>
      <c r="AB65" s="3">
        <f>470.3+(334.3-109.7)+(-0.959412+(-0.681972--0.223788))+0-137.5--0.280499999999994</f>
        <v>556.26290400000005</v>
      </c>
      <c r="AC65" s="3">
        <f>476+(309.4-118)+(-1.2138+(-0.78897--0.3009))+0-125.7--0.320534999999982</f>
        <v>540.3186649999999</v>
      </c>
      <c r="AD65">
        <f t="shared" ref="AD65:AD128" si="1">SUM(F65:AC65)</f>
        <v>12614.749650000002</v>
      </c>
      <c r="AE65" s="3">
        <f>456+(339.9-74)+(0+(0-0))+0-154.7-0</f>
        <v>567.20000000000005</v>
      </c>
    </row>
    <row r="66" spans="1:31" s="2" customFormat="1" x14ac:dyDescent="0.25">
      <c r="A66">
        <v>89</v>
      </c>
      <c r="B66">
        <v>3</v>
      </c>
      <c r="C66">
        <v>4</v>
      </c>
      <c r="D66">
        <v>4</v>
      </c>
      <c r="E66">
        <v>1</v>
      </c>
      <c r="F66" s="3">
        <f>493.1+(259.7-154.3)+(-0.754443+(-0.397341--0.236079))+0-95.2--0.145656000000006</f>
        <v>502.52995100000004</v>
      </c>
      <c r="G66" s="3">
        <f>498+(221.7-145.5)+(-0.76194+(-0.339201--0.222615))+0-90.6--0.138618000000005</f>
        <v>482.86009200000007</v>
      </c>
      <c r="H66" s="3">
        <f>502.6+(216.4-159.1)+(-0.512652+(-0.220728--0.162282))+0-85.9--0.0876180000000137</f>
        <v>473.51652000000013</v>
      </c>
      <c r="I66" s="3">
        <f>498+(239.5-190.4)+(-1.52388+(-0.73287--0.582624))+0-81.8--0.250308000000009</f>
        <v>463.87618200000003</v>
      </c>
      <c r="J66" s="3">
        <f>504.6+(233.5-209)+(-0.514692+(-0.23817--0.21318))+0-67.9--0.0692580000000108</f>
        <v>460.72957600000007</v>
      </c>
      <c r="K66" s="3">
        <f>480.7+(327.2-247.6)+(-1.225785+(-0.83436--0.63138))+0-112.8--0.287639999999984</f>
        <v>446.35887499999995</v>
      </c>
      <c r="L66" s="3">
        <f>416.6+(379.4-235)+(-1.06233+(-0.96747--0.59925))+0-112.4--0.286619999999984</f>
        <v>447.45606999999995</v>
      </c>
      <c r="M66" s="3">
        <f>383.4+(421.9-188)+(-0.782136+(-0.860676--0.38352))+0-124.3--0.253571999999995</f>
        <v>491.99428</v>
      </c>
      <c r="N66" s="3">
        <f>410.6+(418-183.9)+(-0.418812+(-0.42636--0.187578))+0-110--0.112200000000018</f>
        <v>534.15460600000006</v>
      </c>
      <c r="O66" s="3">
        <f>408.2+(469.1-203.8)+(-0.624546+(-0.717723--0.311814))+0-113.1--0.173043000000007</f>
        <v>559.54258800000002</v>
      </c>
      <c r="P66" s="3">
        <f>406.6+(480.9-184.3)+(-0.207366+(-0.245259--0.093993))+0-124.4--0.0634439999999874</f>
        <v>578.50481200000013</v>
      </c>
      <c r="Q66" s="3">
        <f>440.9+(478-180)+(-0.224859+(-0.24378--0.0918))+0-125--0.0637499999999873</f>
        <v>613.58691099999999</v>
      </c>
      <c r="R66" s="3">
        <f>458.3+(390.6-107)+(-0.467466+(-0.398412--0.10914))+0-132.8--0.135456000000021</f>
        <v>608.47871800000007</v>
      </c>
      <c r="S66" s="3">
        <f>462.1+(485.1-230)+(-0.471342+(-0.494802--0.2346))+0-128.7--0.131274000000021</f>
        <v>587.89973000000009</v>
      </c>
      <c r="T66" s="3">
        <f>449.6+(502.8-286.2)+(-0.687888+(-0.769284--0.437886))+0-107.2--0.164016000000006</f>
        <v>558.1447300000001</v>
      </c>
      <c r="U66" s="3">
        <f>445.3+(486.3-258.6)+(0.227103+(0.248013-0.131886))+0-120.9-0.0616589999999877</f>
        <v>552.38157100000001</v>
      </c>
      <c r="V66" s="3">
        <f>443.4+(395.6-159.7)+(0.226134+(0.201756-0.081447))+0-120.5-0.0614549999999878</f>
        <v>559.08498799999995</v>
      </c>
      <c r="W66" s="3">
        <f>417.2+(363.3-72.5)+(-0.851088+(-0.741132--0.1479))+0-133.7--0.272747999999994</f>
        <v>573.1284280000001</v>
      </c>
      <c r="X66" s="3">
        <f>392.9+(454.8-168.7)+(-1.202274+(-1.391688--0.516222))+0-115.1--0.352206000000013</f>
        <v>562.17446600000005</v>
      </c>
      <c r="Y66" s="3">
        <f>397.4+(437.9-149.3)+(-1.01337+(-1.116645--0.380715))+0-113.6--0.289679999999984</f>
        <v>570.94038</v>
      </c>
      <c r="Z66" s="3">
        <f>430.7+(383-74)+(-1.317942+(-1.17198--0.22644))+0-130.9--0.400554000000015</f>
        <v>606.93707200000017</v>
      </c>
      <c r="AA66" s="3">
        <f>464.7+(352-84)+(-1.895976+(-1.43616--0.34272))+0-132.9--0.542231999999988</f>
        <v>597.35281600000008</v>
      </c>
      <c r="AB66" s="3">
        <f>468.9+(336.8-110.8)+(-0.239139+(-0.171768--0.056508))+0-125.5--0.0640049999999873</f>
        <v>569.10960599999999</v>
      </c>
      <c r="AC66" s="3">
        <f>471.4+(327.5-135.4)+(-1.20207+(-0.835125--0.34527))+0-121.2--0.309059999999982</f>
        <v>540.91713499999992</v>
      </c>
      <c r="AD66">
        <f t="shared" si="1"/>
        <v>12941.660103000004</v>
      </c>
      <c r="AE66" s="3">
        <f>466+(350.5-88.5)+(0+(0-0))+0-115.3-0</f>
        <v>612.70000000000005</v>
      </c>
    </row>
    <row r="67" spans="1:31" s="2" customFormat="1" x14ac:dyDescent="0.25">
      <c r="A67">
        <v>89</v>
      </c>
      <c r="B67">
        <v>3</v>
      </c>
      <c r="C67">
        <v>5</v>
      </c>
      <c r="D67">
        <v>5</v>
      </c>
      <c r="E67">
        <v>1</v>
      </c>
      <c r="F67" s="3">
        <f>466.5+(311.5-137.5)+(-0.95166+(-0.63546--0.2805))+0-126.2--0.257447999999995</f>
        <v>513.25082799999996</v>
      </c>
      <c r="G67" s="3">
        <f>458.3+(289.2-121.9)+(0.233733+(0.147492-0.062169))+0-132-0.0673199999999866</f>
        <v>493.85173600000007</v>
      </c>
      <c r="H67" s="3">
        <f>462.1+(288.2-134.8)+(-1.178355+(-0.73491--0.34374))+0-136.4--0.34781999999998</f>
        <v>477.87829499999998</v>
      </c>
      <c r="I67" s="3">
        <f>463.7+(264.5-115.7)+(-0.709461+(-0.404685--0.177021))+0-142.9--0.218637000000008</f>
        <v>468.88151199999999</v>
      </c>
      <c r="J67" s="3">
        <f>465+(221.8-103.3)+(-0.23715+(-0.113118--0.052683))+0-123.2--0.0628319999999875</f>
        <v>460.065247</v>
      </c>
      <c r="K67" s="3">
        <f>464.1+(298.6-194.8)+(-1.420146+(-0.913716--0.596088))+0-122.8--0.375768000000014</f>
        <v>443.73799400000013</v>
      </c>
      <c r="L67" s="3">
        <f>467.7+(421-315.6)+(-0.954108+(-0.85884--0.643824))+0-120.9--0.246635999999995</f>
        <v>451.27751199999989</v>
      </c>
      <c r="M67" s="3">
        <f>468.3+(386.5-232)+(-0.477666+(-0.39423--0.23664))+0-125.1--0.12760200000002</f>
        <v>497.19234599999993</v>
      </c>
      <c r="N67" s="3">
        <f>459.9+(402.9-193.6)+(0.234549+(0.205479-0.098736))+0-132-0.0673199999999866</f>
        <v>537.47397199999989</v>
      </c>
      <c r="O67" s="3">
        <f>455.3+(442.3-203.5)+(-0.928812+(-0.902292--0.41514))+0-141.4--0.288455999999994</f>
        <v>551.57249200000001</v>
      </c>
      <c r="P67" s="3">
        <f>455.6+(532.9-271.5)+(0+(0-0))+0-141.3-0</f>
        <v>575.70000000000005</v>
      </c>
      <c r="Q67" s="3">
        <f>506.2+(471.3-214.6)+(-0.258162+(-0.240363--0.109446))+0-145.3--0.0741029999999853</f>
        <v>617.28502400000013</v>
      </c>
      <c r="R67" s="3">
        <f>507.1+(507.8-262.6)+(-0.258621+(-0.258978--0.133926))+0-152.2--0.0776219999999846</f>
        <v>599.79394899999988</v>
      </c>
      <c r="S67" s="3">
        <f>504.3+(637.8-399)+(-0.257193+(-0.325278--0.20349))+0-155.5--0.0793049999999842</f>
        <v>587.30032399999993</v>
      </c>
      <c r="T67" s="3">
        <f>500.3+(616.6-412.2)+(-0.510306+(-0.628932--0.420444))+0-141--0.143820000000022</f>
        <v>563.12502600000005</v>
      </c>
      <c r="U67" s="3">
        <f>496.8+(542-337.3)+(-0.253368+(-0.27642--0.172023))+0-139.4--0.0710939999999859</f>
        <v>561.81332900000007</v>
      </c>
      <c r="V67" s="3">
        <f>496.5+(465.4-266.5)+(-0.759645+(-0.712062--0.407745))+0-131.5--0.201195000000008</f>
        <v>563.03723300000001</v>
      </c>
      <c r="W67" s="3">
        <f>495.8+(340.8-113.6)+(-1.770006+(-1.216656--0.405552))+0-150.5--0.537285000000002</f>
        <v>570.45617500000003</v>
      </c>
      <c r="X67" s="3">
        <f>497.5+(379.4-170.1)+(-1.776075+(-1.354458--0.607257))+0-131--0.467670000000002</f>
        <v>573.74439399999994</v>
      </c>
      <c r="Y67" s="3">
        <f>500.1+(380.6-168.1)+(-1.020204+(-0.776424--0.342924))+0-147.9--0.301715999999994</f>
        <v>563.54801199999997</v>
      </c>
      <c r="Z67" s="3">
        <f>514.7+(332.5-89.6)+(-0.524994+(-0.33915--0.091392))+0-157--0.160140000000025</f>
        <v>599.98738800000012</v>
      </c>
      <c r="AA67" s="3">
        <f>535.9+(298.8-89.5)+(-1.639854+(-0.914328--0.27387))+0-154.9--0.473994000000018</f>
        <v>588.49368200000015</v>
      </c>
      <c r="AB67" s="3">
        <f>541.2+(345.9-179.8)+(0.276012+(0.176409-0.091698))+0-148.2-0.075581999999985</f>
        <v>559.38514099999998</v>
      </c>
      <c r="AC67" s="3">
        <f>542.8+(373.7-237.7)+(-0.276828+(-0.190587--0.121227))+0-150.2--0.0766019999999848</f>
        <v>528.33041399999991</v>
      </c>
      <c r="AD67">
        <f t="shared" si="1"/>
        <v>12947.182024999996</v>
      </c>
      <c r="AE67" s="3">
        <f>533+(323.6-100)+(0+(0-0))+0-151.1-0</f>
        <v>605.5</v>
      </c>
    </row>
    <row r="68" spans="1:31" s="2" customFormat="1" x14ac:dyDescent="0.25">
      <c r="A68">
        <v>89</v>
      </c>
      <c r="B68">
        <v>3</v>
      </c>
      <c r="C68">
        <v>6</v>
      </c>
      <c r="D68">
        <v>6</v>
      </c>
      <c r="E68">
        <v>1</v>
      </c>
      <c r="F68" s="3">
        <f>527+(334.2-214.4)+(-1.07508+(-0.681768--0.437376))+0-141.4--0.288455999999994</f>
        <v>504.36898399999995</v>
      </c>
      <c r="G68" s="3">
        <f>527.6+(256-150.9)+(-0.269076+(-0.13056--0.076959))+0-148.1--0.075530999999985</f>
        <v>484.35285400000004</v>
      </c>
      <c r="H68" s="3">
        <f>490.6+(234.7-110)+(-0.500412+(-0.239394--0.1122))+0-139.9--0.142698000000022</f>
        <v>474.91509199999996</v>
      </c>
      <c r="I68" s="3">
        <f>463+(249.6-108.8)+(-1.41678+(-0.763776--0.332928))+0-137--0.419220000000016</f>
        <v>465.37159199999996</v>
      </c>
      <c r="J68" s="3">
        <f>465.8+(238.8-119.9)+(-0.712674+(-0.365364--0.183447))+0-126--0.192780000000007</f>
        <v>457.99818900000008</v>
      </c>
      <c r="K68" s="3">
        <f>469.4+(331.2-222.9)+(-1.915152+(-1.351296--0.909432))+0-135.2--0.551615999999988</f>
        <v>440.69459999999987</v>
      </c>
      <c r="L68" s="3">
        <f>426.5+(459.2-313.3)+(-0.43503+(-0.468384--0.319566))+0-128--0.13056000000002</f>
        <v>443.94671199999999</v>
      </c>
      <c r="M68" s="3">
        <f>375+(526.7-286)+(0+(0-0))+0-136.1-0</f>
        <v>479.6</v>
      </c>
      <c r="N68" s="3">
        <f>383.3+(468.2-203.3)+(0.390966+(0.477564-0.207366))+0-143.4-0.146268000000023</f>
        <v>505.31489600000003</v>
      </c>
      <c r="O68" s="3">
        <f>447.9+(351.9-126.7)+(-0.456858+(-0.358938--0.129234))+0-144.7--0.147594000000023</f>
        <v>527.86103200000002</v>
      </c>
      <c r="P68" s="3">
        <f>454.8+(323.6-84.4)+(-0.231948+(-0.165036--0.043044))+0-154.4--0.0787439999999843</f>
        <v>539.32480400000009</v>
      </c>
      <c r="Q68" s="3">
        <f>497.8+(288.4-94.4)+(0+(0-0))+0-129.7-0</f>
        <v>562.09999999999991</v>
      </c>
      <c r="R68" s="3">
        <f>506.2+(343.8-161.2)+(-0.774486+(-0.526014--0.246636))+0-131--0.200430000000008</f>
        <v>556.94656599999996</v>
      </c>
      <c r="S68" s="3">
        <f>502.6+(441.4-243.3)+(-0.512652+(-0.450228--0.248166))+0-157.1--0.160242000000025</f>
        <v>543.0455280000001</v>
      </c>
      <c r="T68" s="3">
        <f>499.7+(476.2-321.7)+(-0.509694+(-0.485724--0.328134))+0-131.8--0.134436000000021</f>
        <v>521.86715200000003</v>
      </c>
      <c r="U68" s="3">
        <f>497.3+(487.6-321.5)+(-0.507246+(-0.497352--0.32793))+0-143.9--0.146778000000023</f>
        <v>518.9701100000002</v>
      </c>
      <c r="V68" s="3">
        <f>493.8+(402.2-240.8)+(-0.251838+(-0.205122--0.122808))+0-134.5--0.0685949999999864</f>
        <v>520.43444299999999</v>
      </c>
      <c r="W68" s="3">
        <f>492.6+(270.7-105.1)+(-1.25613+(-0.690285--0.268005))+0-141.7--0.361334999999979</f>
        <v>515.18292499999995</v>
      </c>
      <c r="X68" s="3">
        <f>442.8+(314.7-116)+(-1.12914+(-0.802485--0.2958))+0-141.3--0.36031499999998</f>
        <v>498.92448999999999</v>
      </c>
      <c r="Y68" s="3">
        <f>436.9+(334.2-114)+(-0.445638+(-0.340884--0.11628))+0-153.1--0.156162000000024</f>
        <v>503.48591999999991</v>
      </c>
      <c r="Z68" s="3">
        <f>481.3+(300.5-73.2)+(-0.736389+(-0.459765--0.111996))+0-159.4--0.243882000000009</f>
        <v>548.35972400000003</v>
      </c>
      <c r="AA68" s="3">
        <f>513.9+(274-107)+(-0.786267+(-0.41922--0.16371))+0-143.7--0.219861000000008</f>
        <v>536.37808399999994</v>
      </c>
      <c r="AB68" s="3">
        <f>498.4+(285.1-119.3)+(-1.016736+(-0.581604--0.243372))+0-139.5--0.284579999999994</f>
        <v>523.62961200000007</v>
      </c>
      <c r="AC68" s="3">
        <f>458.6+(297.8-121.1)+(-0.935544+(-0.607512--0.247044))+0-136.8--0.279071999999994</f>
        <v>497.48306000000002</v>
      </c>
      <c r="AD68">
        <f t="shared" si="1"/>
        <v>12170.556368999996</v>
      </c>
      <c r="AE68" s="3">
        <f>513+(274.3-108.4)+(0+(0-0))+0-142.9-0</f>
        <v>536</v>
      </c>
    </row>
    <row r="69" spans="1:31" s="2" customFormat="1" x14ac:dyDescent="0.25">
      <c r="A69">
        <v>89</v>
      </c>
      <c r="B69">
        <v>3</v>
      </c>
      <c r="C69">
        <v>7</v>
      </c>
      <c r="D69">
        <v>7</v>
      </c>
      <c r="E69">
        <v>1</v>
      </c>
      <c r="F69" s="3">
        <f>461.4+(273.3-113.4)+(0.941256+(0.557532-0.231336))+0-142.8-0.291311999999994</f>
        <v>479.47613999999999</v>
      </c>
      <c r="G69" s="3">
        <f>460.2+(255.3-133.3)+(0.469404+(0.260406-0.135966))+0-126.9-0.12943800000002</f>
        <v>455.76440600000006</v>
      </c>
      <c r="H69" s="3">
        <f>462.4+(245.9-115.1)+(0.471648+(0.250818-0.117402))+0-155.5-0.158610000000025</f>
        <v>438.14645400000001</v>
      </c>
      <c r="I69" s="3">
        <f>440.2+(235.8-106.8)+(0+(0-0))+0-136.3-0</f>
        <v>432.90000000000003</v>
      </c>
      <c r="J69" s="3">
        <f>337.2+(356.6-130.2)+(0.343944+(0.363732-0.132804))+0-141.3-0.144126000000023</f>
        <v>422.73074600000001</v>
      </c>
      <c r="K69" s="3">
        <f>329.8+(306.8-96.5)+(-0.504594+(-0.469404--0.147645))+0-140.1--0.214353000000008</f>
        <v>399.38799999999998</v>
      </c>
      <c r="L69" s="3">
        <f>333.8+(228.8-51.4)+(-0.510714+(-0.350064--0.078642))+0-133.8--0.204714000000008</f>
        <v>376.82257800000008</v>
      </c>
      <c r="M69" s="3">
        <f>328.4+(233.2-57.1)+(-0.334968+(-0.237864--0.058242))+0-117.1--0.119442000000019</f>
        <v>387.00485199999997</v>
      </c>
      <c r="N69" s="3">
        <f>324+(300.9-89.7)+(-0.49572+(-0.460377--0.137241))+0-132--0.201960000000008</f>
        <v>402.58310400000005</v>
      </c>
      <c r="O69" s="3">
        <f>345+(362.2-136.3)+(-0.52785+(-0.554166--0.208539))+0-145.7--0.222921000000008</f>
        <v>424.54944399999999</v>
      </c>
      <c r="P69" s="3">
        <f>381.1+(342.8-138.4)+(0+(0-0))+0-144.8-0</f>
        <v>440.7</v>
      </c>
      <c r="Q69" s="3">
        <f>377.6+(348.5-125.2)+(-0.192576+(-0.177735--0.063852))+0-145.6--0.0742559999999852</f>
        <v>455.06779700000004</v>
      </c>
      <c r="R69" s="3">
        <f>372+(403.5-169.2)+(0+(0-0))+0-147.3-0</f>
        <v>458.99999999999994</v>
      </c>
      <c r="S69" s="3">
        <f>368.5+(524.4-314.1)+(-0.187935+(-0.267444--0.160191))+0-126.4--0.0644639999999872</f>
        <v>452.16927599999991</v>
      </c>
      <c r="T69" s="3">
        <f>366.1+(622.5-413.4)+(0+(0-0))+0-136.8-0</f>
        <v>438.40000000000003</v>
      </c>
      <c r="U69" s="3">
        <f>363.4+(654.9-434.8)+(0.185334+(0.333999-0.221748))+0-148.8-0.0758879999999849</f>
        <v>434.92169700000005</v>
      </c>
      <c r="V69" s="3">
        <f>353.9+(588.8-367.2)+(-1.082934+(-1.801728--1.123632))+0-139.7--0.427482000000016</f>
        <v>434.466452</v>
      </c>
      <c r="W69" s="3">
        <f>353.4+(437.2-203.8)+(-1.081404+(-1.337832--0.623628))+0-148.8--0.455328000000017</f>
        <v>436.65971999999994</v>
      </c>
      <c r="X69" s="3">
        <f>354.1+(294.2-69.6)+(-0.722364+(-0.600168--0.141984))+0-147.4--0.300695999999994</f>
        <v>430.42014800000004</v>
      </c>
      <c r="Y69" s="3">
        <f>357.7+(280.7-46.3)+(-0.547281+(-0.429471--0.070839))+0-148.8--0.227664000000009</f>
        <v>442.62175099999985</v>
      </c>
      <c r="Z69" s="3">
        <f>360.4+(361.6-74.8)+(-0.551412+(-0.553248--0.114444))+0-154.7--0.236691000000009</f>
        <v>491.74647500000003</v>
      </c>
      <c r="AA69" s="3">
        <f>365.6+(408.3-131.4)+(-0.372912+(-0.416466--0.134028))+0-149.3--0.152286000000024</f>
        <v>492.69693599999999</v>
      </c>
      <c r="AB69" s="3">
        <f>364.9+(462.1-198)+(-0.372198+(-0.471342--0.20196))+0-144.1--0.146982000000023</f>
        <v>484.40540200000004</v>
      </c>
      <c r="AC69" s="3">
        <f>364.8+(445.4-205.6)+(-0.744192+(-0.908616--0.419424))+0-133.8--0.272951999999994</f>
        <v>469.83956799999999</v>
      </c>
      <c r="AD69">
        <f t="shared" si="1"/>
        <v>10582.480945999998</v>
      </c>
      <c r="AE69" s="3">
        <f>355+(467.9-155.3)+(0+(0-0))+0-174.7-0</f>
        <v>492.89999999999992</v>
      </c>
    </row>
    <row r="70" spans="1:31" s="2" customFormat="1" x14ac:dyDescent="0.25">
      <c r="A70">
        <v>89</v>
      </c>
      <c r="B70">
        <v>3</v>
      </c>
      <c r="C70">
        <v>8</v>
      </c>
      <c r="D70">
        <v>1</v>
      </c>
      <c r="E70">
        <v>1</v>
      </c>
      <c r="F70" s="3">
        <f>301.9+(448.9-177.5)+(-0.461907+(-0.686817--0.271575))+0-129.4--0.197982000000007</f>
        <v>443.22083299999997</v>
      </c>
      <c r="G70" s="3">
        <f>268.7+(436.9-128.9)+(-0.959259+(-1.559733--0.460173))+0-144.6--0.516222000000002</f>
        <v>430.55740300000008</v>
      </c>
      <c r="H70" s="3">
        <f>257.1+(401.8-113.1)+(-0.524484+(-0.819672--0.230724))+0-130.3--0.265811999999994</f>
        <v>414.65238000000005</v>
      </c>
      <c r="I70" s="3">
        <f>270.8+(398.3-113.8)+(-0.138108+(-0.203133--0.058038))+0-146.7--0.0748169999999851</f>
        <v>408.391614</v>
      </c>
      <c r="J70" s="3">
        <f>250.8+(385.5-80.3)+(0+(0-0))+0-147.5-0</f>
        <v>408.5</v>
      </c>
      <c r="K70" s="3">
        <f>314.7+(288.2-62.3)+(-0.802485+(-0.73491--0.158865))+0-144.1--0.367454999999979</f>
        <v>395.48892499999994</v>
      </c>
      <c r="L70" s="3">
        <f>430.7+(218.4-85.2)+(-0.219657+(-0.111384--0.043452))+0-142.9--0.0728789999999855</f>
        <v>420.78528999999997</v>
      </c>
      <c r="M70" s="3">
        <f>457+(310.7-168.5)+(0+(0-0))+0-121.6-0</f>
        <v>477.6</v>
      </c>
      <c r="N70" s="3">
        <f>456.1+(432.8-230.4)+(-0.697833+(-0.662184--0.352512))+0-136.6--0.208998000000008</f>
        <v>521.10149299999989</v>
      </c>
      <c r="O70" s="3">
        <f>511.8+(417.2-227.1)+(-0.261018+(-0.212772--0.115821))+0-129.1--0.0658409999999869</f>
        <v>572.50787199999991</v>
      </c>
      <c r="P70" s="3">
        <f>490.8+(420-197.6)+(0+(0-0))+0-145-0</f>
        <v>568.20000000000005</v>
      </c>
      <c r="Q70" s="3">
        <f>373.5+(424.2-73.2)+(-0.190485+(-0.216342--0.037332))+0-138.2--0.070481999999986</f>
        <v>586.00098700000001</v>
      </c>
      <c r="R70" s="3">
        <f>365+(466.9-103.1)+(0+(0-0))+0-124-0</f>
        <v>604.79999999999995</v>
      </c>
      <c r="S70" s="3">
        <f>320.4+(565.7-140.4)+(0.163404+(0.288507-0.071604))+0-150.7-0.0768569999999847</f>
        <v>595.30345000000011</v>
      </c>
      <c r="T70" s="3">
        <f>350.1+(552.3-200.1)+(0+(0-0))+0-129.2-0</f>
        <v>573.09999999999991</v>
      </c>
      <c r="U70" s="3">
        <f>361.3+(520.1-184.7)+(-0.184263+(-0.265251--0.094197))+0-127.9--0.065228999999987</f>
        <v>568.50991199999999</v>
      </c>
      <c r="V70" s="3">
        <f>446.7+(432.9-167.1)+(-0.683451+(-0.662337--0.255663))+0-140.6--0.215118000000008</f>
        <v>571.02499299999999</v>
      </c>
      <c r="W70" s="3">
        <f>445.2+(335.1-59.6)+(-1.589364+(-1.196307--0.212772))+0-145.7--0.520149000000002</f>
        <v>572.94724999999994</v>
      </c>
      <c r="X70" s="3">
        <f>400.7+(380.8-73.7)+(-1.021785+(-0.97104--0.187935))+0-145.2--0.370259999999979</f>
        <v>561.16537000000005</v>
      </c>
      <c r="Y70" s="3">
        <f>421.7+(402.2-105.7)+(-0.215067+(-0.205122--0.053907))+0-149.3--0.0761429999999849</f>
        <v>568.60986100000014</v>
      </c>
      <c r="Z70" s="3">
        <f>484.9+(332.1-66.6)+(-0.247299+(-0.169371--0.033966))+0-139.7--0.0712469999999858</f>
        <v>610.38854299999991</v>
      </c>
      <c r="AA70" s="3">
        <f>520.6+(313.9-85.9)+(-0.531012+(-0.320178--0.087618))+0-151--0.154020000000024</f>
        <v>596.99044800000013</v>
      </c>
      <c r="AB70" s="3">
        <f>522.1+(306.3-109)+(-1.331355+(-0.781065--0.27795))+0-148.8--0.379439999999978</f>
        <v>569.14497000000006</v>
      </c>
      <c r="AC70" s="3">
        <f>508.1+(265.2-81)+(-1.036524+(-0.541008--0.16524))+0-146.5--0.298859999999994</f>
        <v>544.68656799999997</v>
      </c>
      <c r="AD70">
        <f t="shared" si="1"/>
        <v>12583.678161999998</v>
      </c>
      <c r="AE70" s="3">
        <f>521+(314.5-93.9)+(0+(0-0))+0-139.5-0</f>
        <v>602.1</v>
      </c>
    </row>
    <row r="71" spans="1:31" s="2" customFormat="1" x14ac:dyDescent="0.25">
      <c r="A71">
        <v>89</v>
      </c>
      <c r="B71">
        <v>3</v>
      </c>
      <c r="C71">
        <v>9</v>
      </c>
      <c r="D71">
        <v>2</v>
      </c>
      <c r="E71">
        <v>1</v>
      </c>
      <c r="F71" s="3">
        <f>476.6+(249.9-74.8)+(-0.729198+(-0.382347--0.114444))+0-135.4--0.207162000000008</f>
        <v>515.51006100000006</v>
      </c>
      <c r="G71" s="3">
        <f>465.1+(287.1-126.7)+(-0.474402+(-0.292842--0.129234))+0-131.6--0.134232000000021</f>
        <v>493.39622199999997</v>
      </c>
      <c r="H71" s="3">
        <f>473.7+(337.6-183.9)+(-0.241587+(-0.172176--0.093789))+0-136.6--0.0696659999999861</f>
        <v>490.54969199999994</v>
      </c>
      <c r="I71" s="3">
        <f>482.9+(335.9-204.2)+(-0.985116+(-0.685236--0.416568))+0-130.6--0.266423999999994</f>
        <v>483.01263999999986</v>
      </c>
      <c r="J71" s="3">
        <f>456+(324.8-184.5)+(-0.23256+(-0.165648--0.094095))+0-128.4--0.065483999999987</f>
        <v>467.66137099999992</v>
      </c>
      <c r="K71" s="3">
        <f>456.8+(389.5-260.5)+(-0.698904+(-0.595935--0.398565))+0-129--0.197370000000007</f>
        <v>456.10109600000004</v>
      </c>
      <c r="L71" s="3">
        <f>454.2+(500.9-356.2)+(-0.926568+(-1.021836--0.726648))+0-134.8--0.274991999999994</f>
        <v>463.15323599999994</v>
      </c>
      <c r="M71" s="3">
        <f>449.8+(546.6-338.2)+(0+(0-0))+0-146-0</f>
        <v>512.20000000000005</v>
      </c>
      <c r="N71" s="3">
        <f>462.4+(564-324.4)+(0.235824+(0.28764-0.165444))+0-146.6-0.0747659999999851</f>
        <v>555.68325400000003</v>
      </c>
      <c r="O71" s="3">
        <f>496.7+(536.8-310.6)+(-0.253317+(-0.273768--0.158406))+0-145.9--0.0744089999999852</f>
        <v>576.70572999999979</v>
      </c>
      <c r="P71" s="3">
        <f>491.2+(484.9-249)+(0.250512+(0.247299-0.12699))+0-137.1-0.0699209999999861</f>
        <v>590.30089999999984</v>
      </c>
      <c r="Q71" s="3">
        <f>485.7+(396.7-137.3)+(0+(0-0))+0-140.6-0</f>
        <v>604.49999999999989</v>
      </c>
      <c r="R71" s="3">
        <f>489.2+(336.9-68.5)+(-0.498984+(-0.343638--0.06987))+0-142--0.144840000000023</f>
        <v>614.97208799999999</v>
      </c>
      <c r="S71" s="3">
        <f>501.6+(368.5-122)+(-0.511632+(-0.37587--0.12444))+0-145.7--0.148614000000023</f>
        <v>601.78555200000017</v>
      </c>
      <c r="T71" s="3">
        <f>486.8+(381.8-137.8)+(0+(0-0))+0-148.6-0</f>
        <v>582.19999999999993</v>
      </c>
      <c r="U71" s="3">
        <f>484+(385.6-154.9)+(0.24684+(0.196656-0.078999))+0-141.6-0.0722159999999856</f>
        <v>573.39228100000003</v>
      </c>
      <c r="V71" s="3">
        <f>444+(390.5-118.3)+(-0.67932+(-0.597465--0.180999))+0-139.8--0.213894000000008</f>
        <v>575.51810799999998</v>
      </c>
      <c r="W71" s="3">
        <f>440+(391.2-127.7)+(-0.6732+(-0.598536--0.195381))+0-132.4--0.202572000000008</f>
        <v>570.22621700000002</v>
      </c>
      <c r="X71" s="3">
        <f>441+(509.8-250.5)+(-1.79928+(-2.079984--1.02204))+0-122.8--0.501023999999989</f>
        <v>575.14380000000006</v>
      </c>
      <c r="Y71" s="3">
        <f>443.3+(487.3-219.1)+(-0.226083+(-0.248523--0.111741))+0-135.8--0.0692579999999862</f>
        <v>575.40639299999998</v>
      </c>
      <c r="Z71" s="3">
        <f>458.8+(414.9-124)+(0+(0-0))+0-143.8-0</f>
        <v>605.90000000000009</v>
      </c>
      <c r="AA71" s="3">
        <f>467.1+(368.6-94.6)+(-0.714663+(-0.563958--0.144738))+0-142.3--0.217719000000008</f>
        <v>597.88383599999997</v>
      </c>
      <c r="AB71" s="3">
        <f>465.6+(319.6-64.9)+(-0.712368+(-0.488988--0.099297))+0-146.9--0.224757000000009</f>
        <v>572.52269799999999</v>
      </c>
      <c r="AC71" s="3">
        <f>472.6+(284.5-80.8)+(-1.20513+(-0.725475--0.20604))+0-132.9--0.338894999999981</f>
        <v>542.01432999999997</v>
      </c>
      <c r="AD71">
        <f t="shared" si="1"/>
        <v>13195.739505</v>
      </c>
      <c r="AE71" s="3">
        <f>458+(375.6-117.2)+(0+(0-0))+0-150.2-0</f>
        <v>566.20000000000005</v>
      </c>
    </row>
    <row r="72" spans="1:31" s="2" customFormat="1" x14ac:dyDescent="0.25">
      <c r="A72">
        <v>89</v>
      </c>
      <c r="B72">
        <v>3</v>
      </c>
      <c r="C72">
        <v>10</v>
      </c>
      <c r="D72">
        <v>3</v>
      </c>
      <c r="E72">
        <v>1</v>
      </c>
      <c r="F72" s="3">
        <f>472+(286.5-93.7)+(-0.24072+(-0.146115--0.047787))+0-145.3--0.0741029999999853</f>
        <v>519.23505499999999</v>
      </c>
      <c r="G72" s="3">
        <f>417.3+(342.5-123.6)+(-0.425646+(-0.34935--0.126072))+0-140.1--0.142902000000022</f>
        <v>495.59397800000011</v>
      </c>
      <c r="H72" s="3">
        <f>417.9+(403.6-177)+(0+(0-0))+0-160.7-0</f>
        <v>483.8</v>
      </c>
      <c r="I72" s="3">
        <f>423.1+(419.1-214.9)+(-0.647343+(-0.641223--0.328797))+0-145.9--0.223227000000008</f>
        <v>480.66345800000005</v>
      </c>
      <c r="J72" s="3">
        <f>433+(378.3-195.5)+(-0.66249+(-0.578799--0.299115))+0-141--0.215730000000008</f>
        <v>474.07355599999994</v>
      </c>
      <c r="K72" s="3">
        <f>450.4+(362.4-232.3)+(-0.459408+(-0.369648--0.236946))+0-126.7--0.12923400000002</f>
        <v>453.33712399999996</v>
      </c>
      <c r="L72" s="3">
        <f>452.5+(500.7-376.3)+(0+(0-0))+0-114.4-0</f>
        <v>462.5</v>
      </c>
      <c r="M72" s="3">
        <f>447.1+(588.5-409.1)+(0.228021+(0.300135-0.208641))+0-116.3-0.0593129999999882</f>
        <v>510.46020200000004</v>
      </c>
      <c r="N72" s="3">
        <f>442.3+(572.5-349.2)+(0.451146+(0.58395-0.356184))+0-111.8-0.114036000000018</f>
        <v>554.36487599999998</v>
      </c>
      <c r="O72" s="3">
        <f>439.2+(580.5-305.8)+(0+(0-0))+0-139.6-0</f>
        <v>574.29999999999995</v>
      </c>
      <c r="P72" s="3">
        <f>487.3+(519.1-274.3)+(0.248523+(0.264741-0.139893))+0-133.9-0.0682889999999864</f>
        <v>598.50508200000013</v>
      </c>
      <c r="Q72" s="3">
        <f>494.4+(447.5-187.6)+(0.252144+(0.228225-0.095676))+0-144-0.0734399999999854</f>
        <v>610.61125299999992</v>
      </c>
      <c r="R72" s="3">
        <f>510+(355.5-117.3)+(-0.5202+(-0.36261--0.119646))+0-135.3--0.138006000000022</f>
        <v>612.27484200000015</v>
      </c>
      <c r="S72" s="3">
        <f>511.8+(392.4-164.5)+(-0.522036+(-0.400248--0.16779))+0-137.4--0.140148000000022</f>
        <v>601.68565400000011</v>
      </c>
      <c r="T72" s="3">
        <f>508+(419.5-219.1)+(-0.25908+(-0.213945--0.111741))+0-127.5--0.0650249999999871</f>
        <v>580.60374100000001</v>
      </c>
      <c r="U72" s="3">
        <f>519.4+(401.6-214)+(-0.529788+(-0.409632--0.21828))+0-130.3--0.132906000000021</f>
        <v>576.11176599999999</v>
      </c>
      <c r="V72" s="3">
        <f>473.4+(383-144.7)+(-0.965736+(-0.78132--0.295188))+0-127.6--0.260303999999994</f>
        <v>582.90843600000005</v>
      </c>
      <c r="W72" s="3">
        <f>467.8+(349-92.3)+(-1.431468+(-1.06794--0.282438))+0-134.2--0.410652000000015</f>
        <v>588.49368200000004</v>
      </c>
      <c r="X72" s="3">
        <f>423.8+(472.9-183.3)+(-1.08069+(-1.205895--0.467415))+0-131--0.334049999999981</f>
        <v>580.91487999999993</v>
      </c>
      <c r="Y72" s="3">
        <f>358.9+(400.6-62.3)+(-0.366078+(-0.408612--0.063546))+0-129.3--0.131886000000021</f>
        <v>567.320742</v>
      </c>
      <c r="Z72" s="3">
        <f>491.1+(330.1-66.7)+(-0.500922+(-0.336702--0.068034))+0-150.7--0.153714000000024</f>
        <v>603.18412400000011</v>
      </c>
      <c r="AA72" s="3">
        <f>521.8+(322.2-107.6)+(-0.266118+(-0.164322--0.054876))+0-144--0.0734399999999854</f>
        <v>592.09787599999993</v>
      </c>
      <c r="AB72" s="3">
        <f>522.5+(292.2-93.3)+(-0.53295+(-0.298044--0.095166))+0-144--0.146880000000023</f>
        <v>576.81105200000002</v>
      </c>
      <c r="AC72" s="3">
        <f>508.1+(292.6-106)+(-0.777393+(-0.447678--0.16218))+0-138.9--0.212517000000008</f>
        <v>554.94962600000008</v>
      </c>
      <c r="AD72">
        <f t="shared" si="1"/>
        <v>13234.801004999999</v>
      </c>
      <c r="AE72" s="3">
        <f>523+(326.8-122.8)+(0+(0-0))+0-131.5-0</f>
        <v>595.5</v>
      </c>
    </row>
    <row r="73" spans="1:31" s="2" customFormat="1" x14ac:dyDescent="0.25">
      <c r="A73">
        <v>89</v>
      </c>
      <c r="B73">
        <v>3</v>
      </c>
      <c r="C73">
        <v>11</v>
      </c>
      <c r="D73">
        <v>4</v>
      </c>
      <c r="E73">
        <v>1</v>
      </c>
      <c r="F73" s="3">
        <f>449.2+(290-96)+(-1.14546+(-0.7395--0.2448))+0-125.9--0.321044999999982</f>
        <v>515.98088500000006</v>
      </c>
      <c r="G73" s="3">
        <f>450.3+(257.9-114.1)+(-0.688959+(-0.394587--0.174573))+0-102.9--0.157437000000006</f>
        <v>490.44846400000011</v>
      </c>
      <c r="H73" s="3">
        <f>452.5+(302.1-189.4)+(-0.692325+(-0.462213--0.289782))+0-79.2--0.121176000000005</f>
        <v>485.25641999999999</v>
      </c>
      <c r="I73" s="3">
        <f>456.6+(287.6-180.4)+(0+(0-0))+0-82.2-0</f>
        <v>481.60000000000008</v>
      </c>
      <c r="J73" s="3">
        <f>457.9+(269.8-169.4)+(0.233529+(0.137598-0.086394))+0-88.7-0.045236999999991</f>
        <v>469.83949599999994</v>
      </c>
      <c r="K73" s="3">
        <f>455.5+(324-247.5)+(-1.39383+(-0.99144--0.75735))+0-81.6--0.249696000000009</f>
        <v>449.02177599999999</v>
      </c>
      <c r="L73" s="3">
        <f>458.4+(454.7-363.4)+(-0.233784+(-0.231897--0.185334))+0-93.9--0.0478889999999905</f>
        <v>455.56754200000006</v>
      </c>
      <c r="M73" s="3">
        <f>457.5+(479.5-324.4)+(-0.9333+(-0.97818--0.661776))+0-113.7--0.231947999999995</f>
        <v>497.88224400000007</v>
      </c>
      <c r="N73" s="3">
        <f>447.6+(477.5-269.6)+(0.228276+(0.243525-0.137496))+0-124.4-0.0634439999999874</f>
        <v>531.37086099999999</v>
      </c>
      <c r="O73" s="3">
        <f>431.9+(481.5-210.4)+(0.220269+(0.245565-0.107304))+0-146.2-0.0745619999999852</f>
        <v>557.08396799999991</v>
      </c>
      <c r="P73" s="3">
        <f>469.8+(424.8-175.1)+(-0.479196+(-0.433296--0.178602))+0-139.2--0.141984000000022</f>
        <v>579.70809399999996</v>
      </c>
      <c r="Q73" s="3">
        <f>485.3+(353.8-97.3)+(-0.247503+(-0.180438--0.049623))+0-145.3--0.0741029999999853</f>
        <v>596.195785</v>
      </c>
      <c r="R73" s="3">
        <f>496.1+(320.6-77.1)+(0.253011+(0.163506-0.039321))+0-134.1-0.0683909999999864</f>
        <v>605.80880500000001</v>
      </c>
      <c r="S73" s="3">
        <f>500.7+(368.1-132.2)+(-0.255357+(-0.187731--0.067422))+0-143--0.0729299999999855</f>
        <v>593.29726400000004</v>
      </c>
      <c r="T73" s="3">
        <f>514.5+(367.9-177.9)+(0.52479+(0.375258-0.181458))+0-129.6-0.132192000000021</f>
        <v>575.48639799999989</v>
      </c>
      <c r="U73" s="3">
        <f>515.3+(336-145)+(-0.788409+(-0.51408--0.22185))+0-137.6--0.210528000000008</f>
        <v>567.82988899999987</v>
      </c>
      <c r="V73" s="3">
        <f>514.7+(277.6-77)+(-0.524994+(-0.283152--0.07854))+0-138.6--0.141372000000022</f>
        <v>576.1117660000001</v>
      </c>
      <c r="W73" s="3">
        <f>493.9+(345-123.9)+(-1.259445+(-0.87975--0.315945))+0-132.6--0.338129999999981</f>
        <v>580.91487999999993</v>
      </c>
      <c r="X73" s="3">
        <f>488+(459.1-235.4)+(-1.2444+(-1.170705--0.60027))+0-143.3--0.365414999999979</f>
        <v>566.95057999999995</v>
      </c>
      <c r="Y73" s="3">
        <f>434.7+(436.8-163.5)+(-0.221697+(-0.222768--0.083385))+0-139.3--0.0710429999999859</f>
        <v>568.40996299999995</v>
      </c>
      <c r="Z73" s="3">
        <f>488.8+(341.4-82.6)+(-0.498576+(-0.348228--0.084252))+0-147.7--0.150654000000024</f>
        <v>599.28810199999998</v>
      </c>
      <c r="AA73" s="3">
        <f>542.5+(271.7-82.2)+(-0.276675+(-0.138567--0.041922))+0-139.6--0.0711959999999858</f>
        <v>592.09787599999993</v>
      </c>
      <c r="AB73" s="3">
        <f>544.8+(241.5-69.1)+(-0.277848+(-0.123165--0.035241))+0-147.4--0.075173999999985</f>
        <v>569.50940199999991</v>
      </c>
      <c r="AC73" s="3">
        <f>528.1+(209-52.6)+(-1.077324+(-0.42636--0.107304))+0-139.9--0.285395999999994</f>
        <v>543.48901599999999</v>
      </c>
      <c r="AD73">
        <f t="shared" si="1"/>
        <v>13049.149476000001</v>
      </c>
      <c r="AE73" s="3">
        <f>541+(318.8-96.9)+(0+(0-0))+0-151.9-0</f>
        <v>611</v>
      </c>
    </row>
    <row r="74" spans="1:31" s="2" customFormat="1" x14ac:dyDescent="0.25">
      <c r="A74">
        <v>89</v>
      </c>
      <c r="B74">
        <v>3</v>
      </c>
      <c r="C74">
        <v>12</v>
      </c>
      <c r="D74">
        <v>5</v>
      </c>
      <c r="E74">
        <v>1</v>
      </c>
      <c r="F74" s="3">
        <f>513.5+(187.8-62.1)+(-0.261885+(-0.095778--0.031671))+0-124.5--0.0634949999999874</f>
        <v>514.43750299999999</v>
      </c>
      <c r="G74" s="3">
        <f>516.2+(197.7-78.1)+(-0.526524+(-0.201654--0.079662))+0-143.6--0.146472000000023</f>
        <v>491.69795600000009</v>
      </c>
      <c r="H74" s="3">
        <f>519.9+(214.9-116.8)+(-0.265149+(-0.109599--0.059568))+0-134.4--0.0685439999999864</f>
        <v>483.35336399999994</v>
      </c>
      <c r="I74" s="3">
        <f>480.1+(228.6-104.9)+(-0.979404+(-0.466344--0.213996))+0-128.1--0.261323999999994</f>
        <v>474.72957199999991</v>
      </c>
      <c r="J74" s="3">
        <f>459.7+(270.8-138.6)+(0.234447+(0.138108-0.070686))+0-130.3-0.0664529999999868</f>
        <v>461.83541600000001</v>
      </c>
      <c r="K74" s="3">
        <f>461.6+(386.8-267)+(-0.941664+(-0.789072--0.54468))+0-131.8--0.268871999999994</f>
        <v>448.68281600000006</v>
      </c>
      <c r="L74" s="3">
        <f>459.8+(399.9-280.3)+(-0.937992+(-0.815796--0.571812))+0-124.5--0.253979999999995</f>
        <v>453.97200400000003</v>
      </c>
      <c r="M74" s="3">
        <f>457.9+(439.3-266.5)+(0.233529+(0.224043-0.135915))+0-134.7-0.0686969999999863</f>
        <v>496.25296000000003</v>
      </c>
      <c r="N74" s="3">
        <f>452.8+(440.9-223.1)+(-0.692784+(-0.674577--0.341343))+0-136.7--0.209151000000008</f>
        <v>533.08313300000009</v>
      </c>
      <c r="O74" s="3">
        <f>450+(467.7-203.7)+(-0.459+(-0.477054--0.207774))+0-153--0.156060000000024</f>
        <v>560.42777999999998</v>
      </c>
      <c r="P74" s="3">
        <f>466.8+(398-156)+(0+(0-0))+0-127.5-0</f>
        <v>581.29999999999995</v>
      </c>
      <c r="Q74" s="3">
        <f>502.6+(418.2-178)+(0.256326+(0.213282-0.09078))+0-134.8-0.0687479999999863</f>
        <v>608.31007999999986</v>
      </c>
      <c r="R74" s="3">
        <f>511+(326.3-82.5)+(0.52122+(0.332826-0.08415))+0-139.3-0.142086000000022</f>
        <v>616.12780999999995</v>
      </c>
      <c r="S74" s="3">
        <f>515.8+(387.7-161.3)+(-0.263058+(-0.197727--0.082263))+0-140.6--0.0717059999999857</f>
        <v>601.29318399999988</v>
      </c>
      <c r="T74" s="3">
        <f>515.2+(373.6-176.7)+(-0.788256+(-0.571608--0.270351))+0-132--0.201960000000008</f>
        <v>579.21244700000011</v>
      </c>
      <c r="U74" s="3">
        <f>515+(344.3-144)+(0+(0-0))+0-144.3-0</f>
        <v>571</v>
      </c>
      <c r="V74" s="3">
        <f>519.7+(276.2-93.3)+(-0.265047+(-0.140862--0.047583))+0-129.9--0.0662489999999868</f>
        <v>572.40792299999998</v>
      </c>
      <c r="W74" s="3">
        <f>508.5+(336.4-143.2)+(-0.51867+(-0.343128--0.146064))+0-123.9--0.12637800000002</f>
        <v>577.21064400000012</v>
      </c>
      <c r="X74" s="3">
        <f>443.2+(464.7-201.1)+(-0.678096+(-0.710991--0.307683))+0-142.4--0.217872000000008</f>
        <v>563.53646800000001</v>
      </c>
      <c r="Y74" s="3">
        <f>452.5+(400.7-158.3)+(0+(0-0))+0-133.7-0</f>
        <v>561.20000000000005</v>
      </c>
      <c r="Z74" s="3">
        <f>486.2+(303.2-45.2)+(0+(0-0))+0-143.6-0</f>
        <v>600.6</v>
      </c>
      <c r="AA74" s="3">
        <f>527+(276.8-82.5)+(-0.53754+(-0.282336--0.08415))+0-133--0.135660000000021</f>
        <v>587.69993399999998</v>
      </c>
      <c r="AB74" s="3">
        <f>546.8+(249.8-94)+(-0.557736+(-0.254796--0.09588))+0-132.3--0.134946000000021</f>
        <v>569.7182939999999</v>
      </c>
      <c r="AC74" s="3">
        <f>547.6+(234.3-104.5)+(-0.837828+(-0.358479--0.159885))+0-136.2--0.208386000000008</f>
        <v>540.37196400000016</v>
      </c>
      <c r="AD74">
        <f t="shared" si="1"/>
        <v>13048.461252000005</v>
      </c>
      <c r="AE74" s="3">
        <f>529+(278.3-84.5)+(0+(0-0))+0-125.1-0</f>
        <v>597.69999999999993</v>
      </c>
    </row>
    <row r="75" spans="1:31" s="2" customFormat="1" x14ac:dyDescent="0.25">
      <c r="A75">
        <v>89</v>
      </c>
      <c r="B75">
        <v>3</v>
      </c>
      <c r="C75">
        <v>13</v>
      </c>
      <c r="D75">
        <v>6</v>
      </c>
      <c r="E75">
        <v>1</v>
      </c>
      <c r="F75" s="3">
        <f>520.6+(355.7-237.8)+(0+(0-0))+0-128-0</f>
        <v>510.5</v>
      </c>
      <c r="G75" s="3">
        <f>523.9+(322.6-227)+(-0.267189+(-0.164526--0.11577))+0-130.7--0.0666569999999867</f>
        <v>488.55071199999992</v>
      </c>
      <c r="H75" s="3">
        <f>526.1+(257-171.9)+(-0.536622+(-0.26214--0.175338))+0-132.8--0.135456000000021</f>
        <v>477.91203200000007</v>
      </c>
      <c r="I75" s="3">
        <f>528.4+(222.5-141.5)+(-0.538968+(-0.22695--0.14433))+0-139.6--0.142392000000022</f>
        <v>469.32080400000001</v>
      </c>
      <c r="J75" s="3">
        <f>528.8+(186.1-125.5)+(-0.539376+(-0.189822--0.12801))+0-133--0.135660000000021</f>
        <v>455.93447200000003</v>
      </c>
      <c r="K75" s="3">
        <f>448.6+(245.7-121.8)+(-0.457572+(-0.250614--0.124236))+0-138--0.140760000000022</f>
        <v>434.05681000000004</v>
      </c>
      <c r="L75" s="3">
        <f>446.6+(294-127.7)+(-0.227766+(-0.14994--0.065127))+0-135.5--0.0691049999999863</f>
        <v>477.15652600000004</v>
      </c>
      <c r="M75" s="3">
        <f>446.4+(314.8-151.9)+(0+(0-0))+0-132.5-0</f>
        <v>476.79999999999995</v>
      </c>
      <c r="N75" s="3">
        <f>491.8+(357.8-203)+(0.501636+(0.364956-0.20706))+0-123.4-0.12586800000002</f>
        <v>523.73366400000009</v>
      </c>
      <c r="O75" s="3">
        <f>498.3+(353.6-182)+(-0.254133+(-0.180336--0.09282))+0-134.9--0.0687989999999863</f>
        <v>534.72715000000017</v>
      </c>
      <c r="P75" s="3">
        <f>494.1+(321.6-132.4)+(0+(0-0))+0-133.7-0</f>
        <v>549.60000000000014</v>
      </c>
      <c r="Q75" s="3">
        <f>487.7+(291.3-75.3)+(0.497454+(0.297126-0.076806))+0-136.2-0.138924000000022</f>
        <v>568.07884999999999</v>
      </c>
      <c r="R75" s="3">
        <f>501.7+(433.4-210.3)+(0+(0-0))+0-147.5-0</f>
        <v>577.29999999999995</v>
      </c>
      <c r="S75" s="3">
        <f>501.5+(501.8-302)+(-0.51153+(-0.511836--0.30804))+0-133.2--0.135864000000021</f>
        <v>567.52053799999987</v>
      </c>
      <c r="T75" s="3">
        <f>501.6+(525-345.4)+(-0.511632+(-0.5355--0.352308))+0-141.5--0.144330000000023</f>
        <v>539.14950599999997</v>
      </c>
      <c r="U75" s="3">
        <f>498.7+(487.2-321.7)+(-0.254337+(-0.248472--0.164067))+0-136.6--0.0696659999999861</f>
        <v>527.33092399999998</v>
      </c>
      <c r="V75" s="3">
        <f>508.5+(398-245.8)+(-1.296675+(-1.0149--0.62679))+0-137.3--0.35011499999998</f>
        <v>522.0653299999999</v>
      </c>
      <c r="W75" s="3">
        <f>508.9+(257.5-114.3)+(-1.297695+(-0.656625--0.291465))+0-133.4--0.340169999999981</f>
        <v>517.37731499999984</v>
      </c>
      <c r="X75" s="3">
        <f>455.8+(311-130.9)+(-0.929832+(-0.63444--0.267036))+0-132.8--0.270911999999994</f>
        <v>502.07367599999998</v>
      </c>
      <c r="Y75" s="3">
        <f>440.5+(340.9-158.9)+(0+(0-0))+0-133.9-0</f>
        <v>488.6</v>
      </c>
      <c r="Z75" s="3">
        <f>483.2+(273.4-76.8)+(-0.739296+(-0.418302--0.117504))+0-143.9--0.220167000000008</f>
        <v>535.08007300000008</v>
      </c>
      <c r="AA75" s="3">
        <f>524.7+(272-123)+(-0.802791+(-0.41616--0.18819))+0-147.3--0.225369000000009</f>
        <v>525.59460800000011</v>
      </c>
      <c r="AB75" s="3">
        <f>529+(263-141)+(-0.26979+(-0.13413--0.07191))+0-144.4--0.0736439999999854</f>
        <v>506.34163400000006</v>
      </c>
      <c r="AC75" s="3">
        <f>511.5+(267.5-144.9)+(-0.782595+(-0.409275--0.221697))+0-146.2--0.223686000000008</f>
        <v>487.15351299999998</v>
      </c>
      <c r="AD75">
        <f t="shared" si="1"/>
        <v>12261.958137</v>
      </c>
      <c r="AE75" s="3">
        <f>528+(291-125)+(0+(0-0))+0-161-0</f>
        <v>533</v>
      </c>
    </row>
    <row r="76" spans="1:31" s="2" customFormat="1" x14ac:dyDescent="0.25">
      <c r="A76">
        <v>89</v>
      </c>
      <c r="B76">
        <v>3</v>
      </c>
      <c r="C76">
        <v>14</v>
      </c>
      <c r="D76">
        <v>7</v>
      </c>
      <c r="E76">
        <v>4</v>
      </c>
      <c r="F76" s="3">
        <f>409+(291.4-85.1)+(0+(0-0))+0-148.1-0</f>
        <v>467.19999999999993</v>
      </c>
      <c r="G76" s="3">
        <f>403.3+(241.4-61.1)+(-0.205683+(-0.123114--0.031161))+0-136.9--0.0698189999999861</f>
        <v>446.47218300000003</v>
      </c>
      <c r="H76" s="3">
        <f>405.3+(296.7-126)+(0.413406+(0.302634-0.12852))+0-146-0.148920000000023</f>
        <v>430.43860000000001</v>
      </c>
      <c r="I76" s="3">
        <f>404.8+(298.6-158.8)+(-0.412896+(-0.304572--0.161976))+0-123.5--0.12597000000002</f>
        <v>420.67047800000006</v>
      </c>
      <c r="J76" s="3">
        <f>409.4+(255.2-115.1)+(0+(0-0))+0-135.1-0</f>
        <v>414.4</v>
      </c>
      <c r="K76" s="3">
        <f>410+(169.1-51.4)+(0+(0-0))+0-139-0</f>
        <v>388.70000000000005</v>
      </c>
      <c r="L76" s="3">
        <f>413.2+(134.7-44.7)+(0+(0-0))+0-146.9-0</f>
        <v>356.29999999999995</v>
      </c>
      <c r="M76" s="3">
        <f>410.8+(148-52)+(-0.628524+(-0.22644--0.07956))+0-137.3--0.210069000000008</f>
        <v>368.93466500000005</v>
      </c>
      <c r="N76" s="3">
        <f>404.3+(185.7-60)+(-0.412386+(-0.189414--0.0612))+0-142.2--0.145044000000023</f>
        <v>387.40444400000001</v>
      </c>
      <c r="O76" s="3">
        <f>388.7+(218.7-63.7)+(-0.198237+(-0.111537--0.032487))+0-137--0.0698699999999861</f>
        <v>406.49258300000002</v>
      </c>
      <c r="P76" s="3">
        <f>388.7+(242.1-73)+(0.198237+(0.123471-0.03723))+0-138.8-0.0707879999999859</f>
        <v>419.21368999999999</v>
      </c>
      <c r="Q76" s="3">
        <f>386.3+(254.1-61.8)+(0+(0-0))+0-148.6-0</f>
        <v>430</v>
      </c>
      <c r="R76" s="3">
        <f>383.6+(343-135.4)+(-0.391272+(-0.34986--0.138108))+0-155.5--0.158610000000025</f>
        <v>435.25558600000005</v>
      </c>
      <c r="S76" s="3">
        <f>378.5+(374.9-170.1)+(-0.38607+(-0.382398--0.173502))+0-151.7--0.154734000000024</f>
        <v>431.15976799999999</v>
      </c>
      <c r="T76" s="3">
        <f>373.7+(402.9-200.3)+(-0.381174+(-0.410958--0.204306))+0-154.1--0.157182000000025</f>
        <v>421.76935600000002</v>
      </c>
      <c r="U76" s="3">
        <f>395.1+(368.9-187.7)+(-0.403002+(-0.376278--0.191454))+0-154.2--0.157284000000025</f>
        <v>421.66945800000002</v>
      </c>
      <c r="V76" s="3">
        <f>373.2+(325.3-130.1)+(-0.380664+(-0.331806--0.132702))+0-144.1--0.146982000000023</f>
        <v>423.86721400000005</v>
      </c>
      <c r="W76" s="3">
        <f>354.9+(272.9-64.7)+(-0.542997+(-0.417537--0.098991))+0-138.8--0.212364000000008</f>
        <v>423.65082099999995</v>
      </c>
      <c r="X76" s="3">
        <f>370.4+(308-105)+(-0.377808+(-0.31416--0.1071))+0-154.6--0.157692000000025</f>
        <v>418.37282399999992</v>
      </c>
      <c r="Y76" s="3">
        <f>367.3+(292.8-97.7)+(-0.187323+(-0.149328--0.049827))+0-137.5--0.070124999999986</f>
        <v>424.68330100000003</v>
      </c>
      <c r="Z76" s="3">
        <f>383.9+(287.1-72.9)+(-0.195789+(-0.146421--0.037179))+0-131.4--0.0670139999999867</f>
        <v>466.46198300000003</v>
      </c>
      <c r="AA76" s="3">
        <f>415.5+(309.9-120.6)+(-0.211905+(-0.158049--0.061506))+0-126.9--0.0647189999999871</f>
        <v>477.65627099999995</v>
      </c>
      <c r="AB76" s="3">
        <f>418.8+(327.2-146.6)+(-0.640764+(-0.500616--0.224298))+0-133.5--0.204255000000008</f>
        <v>465.18717299999992</v>
      </c>
      <c r="AC76" s="3">
        <f>421.9+(329.7-161.6)+(-0.430338+(-0.336294--0.164832))+0-137.2--0.139944000000022</f>
        <v>452.338144</v>
      </c>
      <c r="AD76">
        <f t="shared" si="1"/>
        <v>10198.298541999999</v>
      </c>
      <c r="AE76" s="3">
        <f>417+(324.2-110.2)+(0+(0-0))+0-152.2-0</f>
        <v>478.8</v>
      </c>
    </row>
    <row r="77" spans="1:31" s="2" customFormat="1" x14ac:dyDescent="0.25">
      <c r="A77">
        <v>89</v>
      </c>
      <c r="B77">
        <v>3</v>
      </c>
      <c r="C77">
        <v>15</v>
      </c>
      <c r="D77">
        <v>1</v>
      </c>
      <c r="E77">
        <v>4</v>
      </c>
      <c r="F77" s="3">
        <f>421.8+(284.9-143.5)+(-0.645354+(-0.435897--0.219555))+0-129.8--0.198594000000008</f>
        <v>432.736898</v>
      </c>
      <c r="G77" s="3">
        <f>408.1+(204.3-67.5)+(0+(0-0))+0-130.8-0</f>
        <v>414.10000000000008</v>
      </c>
      <c r="H77" s="3">
        <f>406.5+(200.5-81.2)+(0.41463+(0.20451-0.082824))+0-122.7-0.12515400000002</f>
        <v>403.51116200000001</v>
      </c>
      <c r="I77" s="3">
        <f>405.9+(217.3-97.7)+(-0.414018+(-0.221646--0.099654))+0-134.1--0.136782000000021</f>
        <v>391.00077199999998</v>
      </c>
      <c r="J77" s="3">
        <f>409.4+(214.5-103.1)+(0+(0-0))+0-135.6-0</f>
        <v>385.19999999999993</v>
      </c>
      <c r="K77" s="3">
        <f>408.5+(228.2-130.2)+(-0.83334+(-0.465528--0.265608))+0-139.2--0.283967999999994</f>
        <v>366.55070800000004</v>
      </c>
      <c r="L77" s="3">
        <f>411.4+(236.4-152.8)+(-0.419628+(-0.241128--0.155856))+0-130.6--0.133212000000021</f>
        <v>364.02831199999997</v>
      </c>
      <c r="M77" s="3">
        <f>405.3+(294.1-191.9)+(0+(0-0))+0-123.1-0</f>
        <v>384.4</v>
      </c>
      <c r="N77" s="3">
        <f>393.1+(325.4-173.9)+(0.200481+(0.165954-0.088689))+0-138.5-0.0706349999999859</f>
        <v>406.30711100000002</v>
      </c>
      <c r="O77" s="3">
        <f>389.1+(376.7-198.9)+(0.198441+(0.192117-0.101439))+0-134.8-0.0687479999999863</f>
        <v>432.32037100000002</v>
      </c>
      <c r="P77" s="3">
        <f>390.6+(378.5-178.4)+(0.597618+(0.579105-0.272952))+0-145.6-0.222768000000008</f>
        <v>445.781003</v>
      </c>
      <c r="Q77" s="3">
        <f>386.3+(342.1-137.9)+(0.394026+(0.348942-0.140658))+0-126.7-0.12923400000002</f>
        <v>464.273076</v>
      </c>
      <c r="R77" s="3">
        <f>401.5+(296.2-87.6)+(0+(0-0))+0-140-0</f>
        <v>470.1</v>
      </c>
      <c r="S77" s="3">
        <f>404.3+(332.9-127.1)+(-0.206193+(-0.169779--0.064821))+0-143--0.0729299999999855</f>
        <v>466.86177900000001</v>
      </c>
      <c r="T77" s="3">
        <f>402.9+(373.3-183.4)+(0+(0-0))+0-138.4-0</f>
        <v>454.4</v>
      </c>
      <c r="U77" s="3">
        <f>403.1+(382.3-187.2)+(-0.411162+(-0.389946--0.190944))+0-135--0.137700000000022</f>
        <v>462.72753599999999</v>
      </c>
      <c r="V77" s="3">
        <f>380.3+(318-98.4)+(-0.193953+(-0.16218--0.050184))+0-134.6--0.0686459999999863</f>
        <v>465.0626969999999</v>
      </c>
      <c r="W77" s="3">
        <f>378.1+(299-69.5)+(-0.964155+(-0.76245--0.177225))+0-141.9--0.361844999999979</f>
        <v>464.51246499999996</v>
      </c>
      <c r="X77" s="3">
        <f>377+(387-181.6)+(-0.57681+(-0.59211--0.277848))+0-120.4--0.184212000000007</f>
        <v>461.29313999999999</v>
      </c>
      <c r="Y77" s="3">
        <f>380.3+(405.2-189.7)+(-1.163718+(-1.239912--0.580482))+0-138.5--0.423810000000016</f>
        <v>455.90066200000001</v>
      </c>
      <c r="Z77" s="3">
        <f>394.4+(383.4-135.2)+(-0.201144+(-0.195534--0.068952))+0-134.3--0.0684929999999864</f>
        <v>508.0407669999999</v>
      </c>
      <c r="AA77" s="3">
        <f>410.5+(359.2-123)+(-1.046775+(-0.91596--0.31365))+0-136.9--0.34909499999998</f>
        <v>508.50001000000003</v>
      </c>
      <c r="AB77" s="3">
        <f>412.9+(317.5-93.3)+(-0.421158+(-0.32385--0.095166))+0-141.7--0.144534000000023</f>
        <v>494.89469199999991</v>
      </c>
      <c r="AC77" s="3">
        <f>413.5+(269.2-75)+(-0.84354+(-0.549168--0.153))+0-127.1--0.259283999999994</f>
        <v>479.61957600000005</v>
      </c>
      <c r="AD77">
        <f t="shared" si="1"/>
        <v>10582.122737000002</v>
      </c>
      <c r="AE77" s="3">
        <f>412+(369.6-140.8)+(0+(0-0))+0-129.5-0</f>
        <v>511.29999999999995</v>
      </c>
    </row>
    <row r="78" spans="1:31" s="2" customFormat="1" x14ac:dyDescent="0.25">
      <c r="A78">
        <v>89</v>
      </c>
      <c r="B78">
        <v>3</v>
      </c>
      <c r="C78">
        <v>16</v>
      </c>
      <c r="D78">
        <v>2</v>
      </c>
      <c r="E78">
        <v>1</v>
      </c>
      <c r="F78" s="3">
        <f>419.8+(243.1-69.7)+(-1.07049+(-0.619905--0.177735))+0-137.1--0.34960499999998</f>
        <v>454.93694500000004</v>
      </c>
      <c r="G78" s="3">
        <f>402.1+(230.8-71.6)+(-0.615213+(-0.353124--0.109548))+0-130--0.198900000000008</f>
        <v>430.64011100000005</v>
      </c>
      <c r="H78" s="3">
        <f>404.7+(273.3-113.1)+(0.206397+(0.139383-0.057681))+0-139.6-0.0711959999999858</f>
        <v>425.51690299999996</v>
      </c>
      <c r="I78" s="3">
        <f>398.9+(300.5-148.5)+(-1.017195+(-0.766275--0.378675))+0-130.4--0.332519999999981</f>
        <v>419.42772499999995</v>
      </c>
      <c r="J78" s="3">
        <f>403.9+(318.2-178.3)+(0+(0-0))+0-124.9-0</f>
        <v>418.9</v>
      </c>
      <c r="K78" s="3">
        <f>402.1+(329.2-208)+(-1.025355+(-0.83946--0.5304))+0-122.6--0.312629999999982</f>
        <v>399.67821499999985</v>
      </c>
      <c r="L78" s="3">
        <f>402.2+(431.2-279.5)+(0.205122+(0.219912-0.142545))+0-133.6-0.0681359999999864</f>
        <v>420.51435300000003</v>
      </c>
      <c r="M78" s="3">
        <f>395.4+(431.4-230.6)+(-0.201654+(-0.220014--0.117606))+0-130.3--0.0664529999999868</f>
        <v>465.66239099999984</v>
      </c>
      <c r="N78" s="3">
        <f>376.9+(474.4-191.1)+(0+(0-0))+0-137.8-0</f>
        <v>522.39999999999986</v>
      </c>
      <c r="O78" s="3">
        <f>361.3+(543.9-220.7)+(0.184263+(0.277389-0.112557))+0-129.9-0.0662489999999868</f>
        <v>554.88284600000009</v>
      </c>
      <c r="P78" s="3">
        <f>356.6+(574.2-242.4)+(0+(0-0))+0-122.1-0</f>
        <v>566.30000000000007</v>
      </c>
      <c r="Q78" s="3">
        <f>368.4+(543.9-190.5)+(0.187884+(0.277389-0.097155))+0-122.7-0.0625769999999876</f>
        <v>599.40554099999986</v>
      </c>
      <c r="R78" s="3">
        <f>389.2+(485.4-157.9)+(-0.198492+(-0.247554--0.080529))+0-113.6--0.0579359999999885</f>
        <v>602.79241900000011</v>
      </c>
      <c r="S78" s="3">
        <f>408.7+(395.3-94)+(-0.416874+(-0.403206--0.09588))+0-114.5--0.116790000000018</f>
        <v>594.89259000000004</v>
      </c>
      <c r="T78" s="3">
        <f>504+(351.9-141.2)+(-0.51408+(-0.358938--0.144024))+0-128.3--0.13086600000002</f>
        <v>585.801872</v>
      </c>
      <c r="U78" s="3">
        <f>526.4+(358.9-174.5)+(-0.536928+(-0.366078--0.17799))+0-133.8--0.136476000000021</f>
        <v>576.41145999999992</v>
      </c>
      <c r="V78" s="3">
        <f>530.2+(392.5-207.2)+(-1.081608+(-0.8007--0.422688))+0-126--0.257039999999995</f>
        <v>588.29741999999999</v>
      </c>
      <c r="W78" s="3">
        <f>530.1+(458.1-273.4)+(-1.351755+(-1.168155--0.69717))+0-135.2--0.34475999999998</f>
        <v>578.12202000000002</v>
      </c>
      <c r="X78" s="3">
        <f>504.4+(524.2-318.7)+(-1.543464+(-1.604052--0.975222))+0-130.1--0.398106000000015</f>
        <v>578.02581200000009</v>
      </c>
      <c r="Y78" s="3">
        <f>501.8+(477.6-313.8)+(-1.023672+(-0.974304--0.640152))+0-103.3--0.210731999999995</f>
        <v>561.15290800000002</v>
      </c>
      <c r="Z78" s="3">
        <f>530.4+(385-205.4)+(0+(0-0))+0-125.4-0</f>
        <v>584.6</v>
      </c>
      <c r="AA78" s="3">
        <f>546.1+(408.3-242.6)+(-1.392555+(-1.041165--0.61863))+0-125.4--0.319769999999982</f>
        <v>584.90467999999998</v>
      </c>
      <c r="AB78" s="3">
        <f>549.5+(322.1-202.6)+(-1.12098+(-0.657084--0.413304))+0-116.6--0.237863999999995</f>
        <v>551.27310399999988</v>
      </c>
      <c r="AC78" s="3">
        <f>551.2+(248.2-144.9)+(-1.686672+(-0.759492--0.443394))+0-126.9--0.388314000000015</f>
        <v>525.985544</v>
      </c>
      <c r="AD78">
        <f t="shared" si="1"/>
        <v>12590.524859000001</v>
      </c>
      <c r="AE78" s="3">
        <f>546+(392-233)+(0+(0-0))+0-132.3-0</f>
        <v>572.70000000000005</v>
      </c>
    </row>
    <row r="79" spans="1:31" s="2" customFormat="1" x14ac:dyDescent="0.25">
      <c r="A79">
        <v>89</v>
      </c>
      <c r="B79">
        <v>3</v>
      </c>
      <c r="C79">
        <v>17</v>
      </c>
      <c r="D79">
        <v>3</v>
      </c>
      <c r="E79">
        <v>1</v>
      </c>
      <c r="F79" s="3">
        <f>516.6+(238.4-112.3)+(0+(0-0))+0-135.4-0</f>
        <v>507.30000000000007</v>
      </c>
      <c r="G79" s="3">
        <f>483.6+(286.8-154.7)+(-0.493272+(-0.292536--0.157794))+0-129.6--0.132192000000021</f>
        <v>485.60417800000005</v>
      </c>
      <c r="H79" s="3">
        <f>484.8+(289-155.1)+(0+(0-0))+0-136.4-0</f>
        <v>482.30000000000007</v>
      </c>
      <c r="I79" s="3">
        <f>480.4+(359.3-248.3)+(-0.735012+(-0.549729--0.379899))+0-124.8--0.190944000000007</f>
        <v>465.88610199999994</v>
      </c>
      <c r="J79" s="3">
        <f>485.4+(307.1-195.5)+(-0.247554+(-0.156621--0.099705))+0-131.6--0.0671159999999866</f>
        <v>465.16264599999994</v>
      </c>
      <c r="K79" s="3">
        <f>482.6+(339.5-260.5)+(-0.984504+(-0.69258--0.53142))+0-123.4--0.251735999999995</f>
        <v>437.30607200000003</v>
      </c>
      <c r="L79" s="3">
        <f>495.8+(428.9-361.7)+(-0.505716+(-0.437478--0.368934))+0-111.7--0.113934000000018</f>
        <v>450.83967400000006</v>
      </c>
      <c r="M79" s="3">
        <f>492.2+(427.6-306.4)+(0+(0-0))+0-117.3-0</f>
        <v>496.10000000000008</v>
      </c>
      <c r="N79" s="3">
        <f>502.4+(383.5-237.8)+(-0.256224+(-0.195585--0.121278))+0-116.9--0.0596189999999881</f>
        <v>530.92908799999998</v>
      </c>
      <c r="O79" s="3">
        <f>526+(427.7-269.7)+(-0.53652+(-0.436254--0.275094))+0-117.8--0.120156000000019</f>
        <v>565.62247600000012</v>
      </c>
      <c r="P79" s="3">
        <f>523.7+(454.3-271)+(-0.267087+(-0.231693--0.13821))+0-134.5--0.0685949999999864</f>
        <v>572.20802499999991</v>
      </c>
      <c r="Q79" s="3">
        <f>520.6+(405-204.8)+(0+(0-0))+0-129-0</f>
        <v>591.79999999999995</v>
      </c>
      <c r="R79" s="3">
        <f>516.2+(375.5-159.8)+(-0.526524+(-0.38301--0.162996))+0-123.4--0.12586800000002</f>
        <v>607.8793300000001</v>
      </c>
      <c r="S79" s="3">
        <f>514.1+(348.6-124.1)+(-0.786573+(-0.533358--0.189873))+0-139.5--0.213435000000008</f>
        <v>598.18337700000006</v>
      </c>
      <c r="T79" s="3">
        <f>510.4+(377-177.6)+(-0.520608+(-0.38454--0.181152))+0-136.8--0.139536000000022</f>
        <v>572.41553999999985</v>
      </c>
      <c r="U79" s="3">
        <f>507.4+(382.6-178.7)+(-0.258774+(-0.195126--0.091137))+0-141.7--0.0722669999999856</f>
        <v>569.30950400000006</v>
      </c>
      <c r="V79" s="3">
        <f>505.7+(423.6-195.3)+(-0.515814+(-0.432072--0.199206))+0-142--0.144840000000023</f>
        <v>591.39616000000001</v>
      </c>
      <c r="W79" s="3">
        <f>507.2+(453.4-221.6)+(-1.034688+(-0.924936--0.452064))+0-148--0.301919999999994</f>
        <v>589.79435999999998</v>
      </c>
      <c r="X79" s="3">
        <f>553+(498.3-334.5)+(-1.12812+(-1.016532--0.68238))+0-133.1--0.271523999999994</f>
        <v>582.50925199999995</v>
      </c>
      <c r="Y79" s="3">
        <f>562.5+(553.5-411.8)+(-0.860625+(-0.846855--0.630054))+0-125.9--0.192627000000007</f>
        <v>577.41520100000014</v>
      </c>
      <c r="Z79" s="3">
        <f>645.1+(424.9-316.9)+(-0.987003+(-0.650097--0.484857))+0-127--0.194310000000007</f>
        <v>625.142067</v>
      </c>
      <c r="AA79" s="3">
        <f>656.6+(396.2-305.6)+(-0.669732+(-0.404124--0.311712))+0-137.8--0.140556000000022</f>
        <v>608.77841200000012</v>
      </c>
      <c r="AB79" s="3">
        <f>660.2+(336.5-281.7)+(-1.010106+(-0.514845--0.431001))+0-139.2--0.212976000000008</f>
        <v>574.91902600000003</v>
      </c>
      <c r="AC79" s="3">
        <f>662.7+(272.4-248.7)+(-1.013931+(-0.416772--0.380511))+0-143.6--0.219708000000008</f>
        <v>541.969516</v>
      </c>
      <c r="AD79">
        <f t="shared" si="1"/>
        <v>13090.770006000001</v>
      </c>
      <c r="AE79" s="3">
        <f>654+(411.4-310)+(0+(0-0))+0-177.5-0</f>
        <v>577.9</v>
      </c>
    </row>
    <row r="80" spans="1:31" s="2" customFormat="1" x14ac:dyDescent="0.25">
      <c r="A80">
        <v>89</v>
      </c>
      <c r="B80">
        <v>3</v>
      </c>
      <c r="C80">
        <v>18</v>
      </c>
      <c r="D80">
        <v>4</v>
      </c>
      <c r="E80">
        <v>1</v>
      </c>
      <c r="F80" s="3">
        <f>634.2+(208.7-203.2)+(-0.970326+(-0.319311--0.310896))+0-142.9--0.218637000000008</f>
        <v>496.03989600000006</v>
      </c>
      <c r="G80" s="3">
        <f>636.1+(224.9-247.8)+(-1.622055+(-0.573495--0.63189))+0-134.3--0.342464999999981</f>
        <v>477.67880500000001</v>
      </c>
      <c r="H80" s="3">
        <f>642.6+(300.1-345)+(0+(0-0))+0-113.1-0</f>
        <v>484.6</v>
      </c>
      <c r="I80" s="3">
        <f>627.6+(346.8-376.1)+(-1.280304+(-0.707472--0.767244))+0-120--0.244799999999995</f>
        <v>477.3242679999999</v>
      </c>
      <c r="J80" s="3">
        <f>530+(443.4-392.5)+(-0.2703+(-0.226134--0.200175))+0-107.2--0.0546719999999891</f>
        <v>473.45841300000001</v>
      </c>
      <c r="K80" s="3">
        <f>520.4+(556.6-519.2)+(-1.592424+(-1.703196--1.588752))+0-100--0.306000000000012</f>
        <v>456.39913200000001</v>
      </c>
      <c r="L80" s="3">
        <f>527.3+(600.1-563)+(-0.537846+(-0.612102--0.57426))+0-96.1--0.0980220000000153</f>
        <v>467.82233399999996</v>
      </c>
      <c r="M80" s="3">
        <f>526.2+(617.7-537.4)+(0+(0-0))+0-99-0</f>
        <v>507.50000000000011</v>
      </c>
      <c r="N80" s="3">
        <f>521.4+(564.6-439.4)+(-0.531828+(-0.575892--0.448188))+0-98.5--0.100470000000016</f>
        <v>547.54093799999998</v>
      </c>
      <c r="O80" s="3">
        <f>614.4+(536.5-466)+(0.940032+(0.820845-0.71298))+0-100.9-0.154377000000006</f>
        <v>584.89352000000008</v>
      </c>
      <c r="P80" s="3">
        <f>627.2+(466.5-386)+(-0.639744+(-0.47583--0.39372))+0-98.4--0.100368000000016</f>
        <v>608.67851400000006</v>
      </c>
      <c r="Q80" s="3">
        <f>622.6+(416.1-311.9)+(0.635052+(0.424422-0.318138))+0-101.3-0.103326000000016</f>
        <v>626.13801000000012</v>
      </c>
      <c r="R80" s="3">
        <f>635.8+(367.5-253.9)+(-0.972774+(-0.562275--0.388467))+0-103.4--0.158202000000006</f>
        <v>645.01161999999999</v>
      </c>
      <c r="S80" s="3">
        <f>639.2+(338.9-237.3)+(-0.651984+(-0.345678--0.242046))+0-102.3--0.104346000000016</f>
        <v>637.84872999999993</v>
      </c>
      <c r="T80" s="3">
        <f>633.8+(338-262)+(0.323238+(0.17238-0.13362))+0-104.2-0.0531419999999894</f>
        <v>605.9088559999999</v>
      </c>
      <c r="U80" s="3">
        <f>633.9+(342.9-265.7)+(0+(0-0))+0-105-0</f>
        <v>606.09999999999991</v>
      </c>
      <c r="V80" s="3">
        <f>615.9+(342.1-248.1)+(0+(0-0))+0-103.9-0</f>
        <v>606</v>
      </c>
      <c r="W80" s="3">
        <f>605.3+(417.1-289)+(-1.234812+(-0.850884--0.58956))+0-121.1--0.247043999999995</f>
        <v>611.05090799999994</v>
      </c>
      <c r="X80" s="3">
        <f>597.1+(551.8-427.9)+(-1.218084+(-1.125672--0.872916))+0-115--0.234599999999995</f>
        <v>604.76376000000005</v>
      </c>
      <c r="Y80" s="3">
        <f>549.7+(573.3-401.1)+(-2.242776+(-2.339064--1.636488))+0-127.7--0.521015999999989</f>
        <v>591.77566400000001</v>
      </c>
      <c r="Z80" s="3">
        <f>548.8+(449.8-252)+(-1.119552+(-0.917592--0.51408))+0-120.8--0.246431999999995</f>
        <v>624.523368</v>
      </c>
      <c r="AA80" s="3">
        <f>626.9+(374.3-272.8)+(-0.639438+(-0.381786--0.278256))+0-131.7--0.134334000000021</f>
        <v>596.09136599999999</v>
      </c>
      <c r="AB80" s="3">
        <f>628.1+(337.5-268.6)+(-0.960993+(-0.516375--0.410958))+0-120.4--0.184212000000007</f>
        <v>575.71780200000001</v>
      </c>
      <c r="AC80" s="3">
        <f>624.4+(271-224.7)+(-1.273776+(-0.55284--0.458388))+0-94.4--0.192575999999996</f>
        <v>575.12434800000005</v>
      </c>
      <c r="AD80">
        <f t="shared" si="1"/>
        <v>13487.990251999998</v>
      </c>
      <c r="AE80" s="3">
        <f>633+(380.4-290.4)+(0+(0-0))+0-140.7-0</f>
        <v>582.29999999999995</v>
      </c>
    </row>
    <row r="81" spans="1:31" s="2" customFormat="1" x14ac:dyDescent="0.25">
      <c r="A81">
        <v>89</v>
      </c>
      <c r="B81">
        <v>3</v>
      </c>
      <c r="C81">
        <v>19</v>
      </c>
      <c r="D81">
        <v>5</v>
      </c>
      <c r="E81">
        <v>1</v>
      </c>
      <c r="F81" s="3">
        <f>606+(174.6-207.4)+(-0.92718+(-0.267138--0.317322))+0-78.5--0.120105000000005</f>
        <v>493.94310900000011</v>
      </c>
      <c r="G81" s="3">
        <f>611.4+(139.1-202.9)+(-1.247256+(-0.283764--0.413916))+0-86.2--0.175847999999996</f>
        <v>460.45874399999985</v>
      </c>
      <c r="H81" s="3">
        <f>619.3+(140.1-221.8)+(-0.631686+(-0.142902--0.226236))+0-90.2--0.0920040000000144</f>
        <v>446.94365199999993</v>
      </c>
      <c r="I81" s="3">
        <f>622.6+(193.2-284)+(-1.58763+(-0.49266--0.7242))+0-95.7--0.244034999999986</f>
        <v>434.98794499999997</v>
      </c>
      <c r="J81" s="3">
        <f>628.7+(241.4-317.4)+(0.641274+(0.246228-0.323748))+0-120.2-0.122604000000019</f>
        <v>432.94115000000005</v>
      </c>
      <c r="K81" s="3">
        <f>626.4+(351.3-424.2)+(-1.59732+(-0.895815--1.08171))+0-129--0.328949999999981</f>
        <v>423.41752499999996</v>
      </c>
      <c r="L81" s="3">
        <f>550.2+(493.3-448.8)+(-0.280602+(-0.251583--0.228888))+0-130.8--0.0667079999999867</f>
        <v>463.663411</v>
      </c>
      <c r="M81" s="3">
        <f>540.4+(535-444.5)+(0.551208+(0.5457-0.45339))+0-112.1-0.114342000000018</f>
        <v>519.32917599999996</v>
      </c>
      <c r="N81" s="3">
        <f>619+(482.4-429.3)+(0+(0-0))+0-114.5-0</f>
        <v>557.59999999999991</v>
      </c>
      <c r="O81" s="3">
        <f>622.5+(473.8-421.1)+(0+(0-0))+0-97.7-0</f>
        <v>577.5</v>
      </c>
      <c r="P81" s="3">
        <f>616.2+(440.7-354.1)+(-0.628524+(-0.449514--0.361182))+0-99.2--0.101184000000016</f>
        <v>602.98432799999989</v>
      </c>
      <c r="Q81" s="3">
        <f>635.2+(447-341.7)+(0.647904+(0.45594-0.348534))+0-111.3-0.113526000000018</f>
        <v>629.84178400000008</v>
      </c>
      <c r="R81" s="3">
        <f>636.2+(403.5-287.5)+(-0.973386+(-0.617355--0.439875))+0-110.2--0.168606000000006</f>
        <v>641.01774</v>
      </c>
      <c r="S81" s="3">
        <f>636.1+(351.9-244.9)+(-0.324411+(-0.179469--0.124899))+0-113.4--0.0578339999999885</f>
        <v>629.37885300000005</v>
      </c>
      <c r="T81" s="3">
        <f>631.6+(342.4-268)+(-0.322116+(-0.174624--0.13668))+0-100.6--0.0513059999999898</f>
        <v>605.09124599999996</v>
      </c>
      <c r="U81" s="3">
        <f>628.5+(318.7-254.5)+(-0.64107+(-0.325074--0.25959))+0-97.8--0.0997560000000156</f>
        <v>594.29320200000018</v>
      </c>
      <c r="V81" s="3">
        <f>619.5+(321.7-241.2)+(-0.947835+(-0.492201--0.369036))+0-101--0.154530000000006</f>
        <v>598.08353</v>
      </c>
      <c r="W81" s="3">
        <f>595.2+(432.8-311.1)+(-0.910656+(-0.662184--0.475983))+0-110--0.168300000000006</f>
        <v>605.97144300000014</v>
      </c>
      <c r="X81" s="3">
        <f>596.5+(570.2-441.2)+(-1.521075+(-1.45401--1.12506))+0-123.9--0.315944999999982</f>
        <v>600.06592000000001</v>
      </c>
      <c r="Y81" s="3">
        <f>601.9+(568.3-448.6)+(-1.534845+(-1.449165--1.14393))+0-120.1--0.306254999999983</f>
        <v>599.96617499999991</v>
      </c>
      <c r="Z81" s="3">
        <f>631.4+(405.4-289.2)+(-0.644028+(-0.413508--0.294984))+0-111.5--0.113730000000018</f>
        <v>635.45117799999991</v>
      </c>
      <c r="AA81" s="3">
        <f>653.8+(384.2-277.3)+(-1.000314+(-0.587826--0.424269))+0-124.1--0.189873000000007</f>
        <v>635.62600199999997</v>
      </c>
      <c r="AB81" s="3">
        <f>650.9+(353.4-261.7)+(-1.659795+(-0.90117--0.667335))+0-134.2--0.34220999999998</f>
        <v>606.84857999999986</v>
      </c>
      <c r="AC81" s="3">
        <f>649.8+(285.7-219.2)+(0+(0-0))+0-125.6-0</f>
        <v>590.69999999999993</v>
      </c>
      <c r="AD81">
        <f t="shared" si="1"/>
        <v>13386.104692999999</v>
      </c>
      <c r="AE81" s="3">
        <f>648+(400.2-273.3)+(0+(0-0))+0-131.1-0</f>
        <v>643.79999999999995</v>
      </c>
    </row>
    <row r="82" spans="1:31" s="2" customFormat="1" x14ac:dyDescent="0.25">
      <c r="A82">
        <v>89</v>
      </c>
      <c r="B82">
        <v>3</v>
      </c>
      <c r="C82">
        <v>20</v>
      </c>
      <c r="D82">
        <v>6</v>
      </c>
      <c r="E82">
        <v>1</v>
      </c>
      <c r="F82" s="3">
        <f>636.8+(222.9-183.8)+(-0.649536+(-0.227358--0.187476))+0-124.4--0.12688800000002</f>
        <v>550.93746999999996</v>
      </c>
      <c r="G82" s="3">
        <f>647.6+(221.8-194.6)+(0.990828+(0.339354-0.297738))+0-123.7-0.189261000000007</f>
        <v>551.94318300000009</v>
      </c>
      <c r="H82" s="3">
        <f>644.5+(224.2-211.6)+(0+(0-0))+0-127-0</f>
        <v>530.1</v>
      </c>
      <c r="I82" s="3">
        <f>642.6+(244.3-263.8)+(0.327726+(0.124593-0.134538))+0-125.1-0.0638009999999873</f>
        <v>498.25397999999996</v>
      </c>
      <c r="J82" s="3">
        <f>596.7+(248.3-248.3)+(-0.608634+(-0.253266--0.253266))+0-126.7--0.12923400000002</f>
        <v>469.5206</v>
      </c>
      <c r="K82" s="3">
        <f>523+(286.6-234.9)+(-0.80019+(-0.438498--0.359397))+0-110.4--0.168912000000006</f>
        <v>463.58962100000014</v>
      </c>
      <c r="L82" s="3">
        <f>528.8+(331.6-293)+(-0.269688+(-0.169116--0.14943))+0-97.6--0.0497759999999901</f>
        <v>469.56040200000001</v>
      </c>
      <c r="M82" s="3">
        <f>528.5+(390-307.8)+(0.269535+(0.1989-0.156978))+0-109.2-0.0556919999999889</f>
        <v>501.75576500000011</v>
      </c>
      <c r="N82" s="3">
        <f>603.3+(409.2-368.7)+(0.615366+(0.417384-0.376074))+0-113.7-0.115974000000018</f>
        <v>530.64070199999981</v>
      </c>
      <c r="O82" s="3">
        <f>619.8+(454.5-382.3)+(1.264392+(0.92718-0.779892))+0-111.1-0.226643999999995</f>
        <v>582.08503600000006</v>
      </c>
      <c r="P82" s="3">
        <f>614.2+(449.5-341.9)+(0.626484+(0.45849-0.348738))+0-121.4-0.123828000000019</f>
        <v>601.01240800000005</v>
      </c>
      <c r="Q82" s="3">
        <f>615.3+(426.5-315.7)+(0.627606+(0.43503-0.322014))+0-111.6-0.113832000000018</f>
        <v>615.12678999999991</v>
      </c>
      <c r="R82" s="3">
        <f>634.8+(379.4-257.3)+(0.323748+(0.193494-0.131223))+0-124.9-0.0636989999999873</f>
        <v>632.32231999999988</v>
      </c>
      <c r="S82" s="3">
        <f>633+(355.7-250.4)+(0+(0-0))+0-129.9-0</f>
        <v>608.4</v>
      </c>
      <c r="T82" s="3">
        <f>630.6+(340.7-266.7)+(0+(0-0))+0-130.8-0</f>
        <v>573.79999999999995</v>
      </c>
      <c r="U82" s="3">
        <f>629.4+(323.2-288.5)+(-0.320994+(-0.164832--0.147135))+0-111.9--0.0570689999999887</f>
        <v>551.91837799999985</v>
      </c>
      <c r="V82" s="3">
        <f>622.5+(306.5-267.1)+(-0.63495+(-0.31263--0.272442))+0-109.5--0.111690000000017</f>
        <v>551.8365520000001</v>
      </c>
      <c r="W82" s="3">
        <f>601.1+(366.9-308.7)+(-0.919683+(-0.561357--0.472311))+0-109.1--0.166923000000006</f>
        <v>549.35819399999991</v>
      </c>
      <c r="X82" s="3">
        <f>589.1+(505.5-437.5)+(-1.502205+(-1.289025--1.115625))+0-108.5--0.276674999999984</f>
        <v>547.20106999999996</v>
      </c>
      <c r="Y82" s="3">
        <f>598.4+(456.3-404.4)+(-0.915552+(-0.698139--0.618732))+0-100.3--0.153459000000006</f>
        <v>549.1585</v>
      </c>
      <c r="Z82" s="3">
        <f>640.4+(320.1-247.4)+(-0.326604+(-0.163251--0.126174))+0-121.7--0.0620669999999877</f>
        <v>591.09838599999989</v>
      </c>
      <c r="AA82" s="3">
        <f>645.4+(298.7-267.9)+(-0.658308+(-0.304674--0.273258))+0-100.8--0.102816000000016</f>
        <v>574.8130920000001</v>
      </c>
      <c r="AB82" s="3">
        <f>660.7+(280.2-253.4)+(-0.673914+(-0.285804--0.258468))+0-117.8--0.120156000000019</f>
        <v>569.11890600000015</v>
      </c>
      <c r="AC82" s="3">
        <f>658.9+(246.2-233.3)+(-0.336039+(-0.125562--0.118983))+0-131.3--0.0669629999999867</f>
        <v>540.22434499999986</v>
      </c>
      <c r="AD82">
        <f t="shared" si="1"/>
        <v>13203.7757</v>
      </c>
      <c r="AE82" s="3">
        <f>643+(303.2-263.7)+(0+(0-0))+0-108.9-0</f>
        <v>573.6</v>
      </c>
    </row>
    <row r="83" spans="1:31" s="2" customFormat="1" x14ac:dyDescent="0.25">
      <c r="A83">
        <v>89</v>
      </c>
      <c r="B83">
        <v>3</v>
      </c>
      <c r="C83">
        <v>21</v>
      </c>
      <c r="D83">
        <v>7</v>
      </c>
      <c r="E83">
        <v>1</v>
      </c>
      <c r="F83" s="3">
        <f>646.6+(205.8-228.3)+(0+(0-0))+0-99.1-0</f>
        <v>525</v>
      </c>
      <c r="G83" s="3">
        <f>602.5+(202.9-184.6)+(-0.921825+(-0.310437--0.282438))+0-113--0.172890000000007</f>
        <v>507.02306599999991</v>
      </c>
      <c r="H83" s="3">
        <f>553.6+(210.8-166.9)+(0+(0-0))+0-107.8-0</f>
        <v>489.7</v>
      </c>
      <c r="I83" s="3">
        <f>523.7+(274.2-217.9)+(0+(0-0))+0-101.5-0</f>
        <v>478.5</v>
      </c>
      <c r="J83" s="3">
        <f>496.8+(321.7-246.1)+(0.506736+(0.328134-0.251022))+0-104.1-0.106182000000017</f>
        <v>468.77766599999995</v>
      </c>
      <c r="K83" s="3">
        <f>478.5+(324.6-269.4)+(-0.97614+(-0.662184--0.549576))+0-89.4--0.182375999999996</f>
        <v>443.39362800000004</v>
      </c>
      <c r="L83" s="3">
        <f>368.4+(357.1-228)+(0+(0-0))+0-89.9-0</f>
        <v>407.6</v>
      </c>
      <c r="M83" s="3">
        <f>364.2+(353.9-208.7)+(-0.557226+(-0.541467--0.319311))+0-89.4--0.136782000000005</f>
        <v>419.35739999999993</v>
      </c>
      <c r="N83" s="3">
        <f>393.3+(386.6-214.7)+(0+(0-0))+0-120.8-0</f>
        <v>444.40000000000003</v>
      </c>
      <c r="O83" s="3">
        <f>509+(352.1-275.4)+(0+(0-0))+0-121.8-0</f>
        <v>463.90000000000003</v>
      </c>
      <c r="P83" s="3">
        <f>569.8+(253.9-222.5)+(-0.290598+(-0.129489--0.113475))+0-123.6--0.0630359999999875</f>
        <v>477.35642399999995</v>
      </c>
      <c r="Q83" s="3">
        <f>593.4+(143.1-120.9)+(0.907902+(0.218943-0.184977))+0-114-0.174420000000007</f>
        <v>502.36744799999991</v>
      </c>
      <c r="R83" s="3">
        <f>590.8+(307.6-277)+(0+(0-0))+0-122-0</f>
        <v>499.4</v>
      </c>
      <c r="S83" s="3">
        <f>589.4+(379.8-343.6)+(0+(0-0))+0-130.3-0</f>
        <v>495.2999999999999</v>
      </c>
      <c r="T83" s="3">
        <f>588.5+(375.9-355.7)+(-0.60027+(-0.383418--0.362814))+0-123.4--0.12586800000002</f>
        <v>484.80499400000014</v>
      </c>
      <c r="U83" s="3">
        <f>587.3+(323.5-322.1)+(0+(0-0))+0-107.3-0</f>
        <v>481.39999999999992</v>
      </c>
      <c r="V83" s="3">
        <f>561.4+(280.4-251.1)+(0+(0-0))+0-111-0</f>
        <v>479.69999999999993</v>
      </c>
      <c r="W83" s="3">
        <f>568.7+(223.4-180.4)+(0.290037+(0.113934-0.092004))+0-125.9-0.0642089999999872</f>
        <v>486.04775800000004</v>
      </c>
      <c r="X83" s="3">
        <f>580.5+(282.2-239.4)+(-0.296055+(-0.143922--0.122094))+0-137.7--0.070226999999986</f>
        <v>485.3523439999999</v>
      </c>
      <c r="Y83" s="3">
        <f>543.5+(250.9-175.5)+(0+(0-0))+0-125.6-0</f>
        <v>493.29999999999995</v>
      </c>
      <c r="Z83" s="3">
        <f>587.7+(240.3-157.9)+(-0.299727+(-0.122553--0.080529))+0-124.8--0.0636479999999873</f>
        <v>545.02189699999997</v>
      </c>
      <c r="AA83" s="3">
        <f>638.1+(267.9-221.9)+(0.325431+(0.136629-0.113169))+0-133.9-0.0682889999999864</f>
        <v>550.48060200000009</v>
      </c>
      <c r="AB83" s="3">
        <f>645.3+(260.1-227.1)+(-0.658206+(-0.265302--0.231642))+0-133.1--0.135762000000021</f>
        <v>544.64389599999993</v>
      </c>
      <c r="AC83" s="3">
        <f>649.2+(232.2-216.3)+(-0.993276+(-0.355266--0.330939))+0-134.6--0.205938000000008</f>
        <v>529.68833500000005</v>
      </c>
      <c r="AD83">
        <f t="shared" si="1"/>
        <v>11702.515458</v>
      </c>
      <c r="AE83" s="3">
        <f>633+(268.9-230.5)+(0+(0-0))+0-141.7-0</f>
        <v>529.70000000000005</v>
      </c>
    </row>
    <row r="84" spans="1:31" s="2" customFormat="1" x14ac:dyDescent="0.25">
      <c r="A84">
        <v>89</v>
      </c>
      <c r="B84">
        <v>3</v>
      </c>
      <c r="C84">
        <v>22</v>
      </c>
      <c r="D84">
        <v>1</v>
      </c>
      <c r="E84">
        <v>1</v>
      </c>
      <c r="F84" s="3">
        <f>606.7+(222.7-190.4)+(-0.618834+(-0.227154--0.194208))+0-133.6--0.136272000000021</f>
        <v>504.88449199999997</v>
      </c>
      <c r="G84" s="3">
        <f>497.4+(238.5-126.8)+(-0.761022+(-0.364905--0.194004))+0-130.4--0.199512000000008</f>
        <v>477.96758900000009</v>
      </c>
      <c r="H84" s="3">
        <f>500+(246.6-142.5)+(-0.255+(-0.125766--0.072675))+0-134.9--0.0687989999999863</f>
        <v>468.96070800000007</v>
      </c>
      <c r="I84" s="3">
        <f>504.3+(257.8-176.1)+(-0.514386+(-0.262956--0.179622))+0-122.2--0.124644000000019</f>
        <v>463.32692400000008</v>
      </c>
      <c r="J84" s="3">
        <f>504+(302.5-226.8)+(-1.2852+(-0.771375--0.57834))+0-123--0.313649999999982</f>
        <v>455.535415</v>
      </c>
      <c r="K84" s="3">
        <f>506.2+(383.7-325)+(-1.032648+(-0.782748--0.663))+0-120.1--0.245003999999995</f>
        <v>443.892608</v>
      </c>
      <c r="L84" s="3">
        <f>509.2+(403.1-337.3)+(-0.779076+(-0.616743--0.516069))+0-118.5--0.181305000000007</f>
        <v>455.80155500000006</v>
      </c>
      <c r="M84" s="3">
        <f>502.8+(443.6-310)+(0+(0-0))+0-121.7-0</f>
        <v>514.70000000000005</v>
      </c>
      <c r="N84" s="3">
        <f>538.3+(412.2-274)+(0+(0-0))+0-131.6-0</f>
        <v>544.9</v>
      </c>
      <c r="O84" s="3">
        <f>591.8+(433-286.8)+(0.301818+(0.22083-0.146268))+0-147.5-0.075224999999985</f>
        <v>590.80115500000011</v>
      </c>
      <c r="P84" s="3">
        <f>598.6+(451.1-304.5)+(0.610572+(0.460122-0.31059))+0-138.7-0.141474000000022</f>
        <v>607.11862999999994</v>
      </c>
      <c r="Q84" s="3">
        <f>594.4+(417-248.6)+(-0.303144+(-0.21267--0.126786))+0-128.6--0.0655859999999869</f>
        <v>633.87655799999982</v>
      </c>
      <c r="R84" s="3">
        <f>630.3+(413.5-260.6)+(0.964359+(0.632655-0.398718))+0-131.3-0.200889000000008</f>
        <v>652.89740699999993</v>
      </c>
      <c r="S84" s="3">
        <f>629.8+(393.2-227.4)+(-0.321198+(-0.200532--0.115974))+0-149.9--0.0764489999999848</f>
        <v>645.37069299999996</v>
      </c>
      <c r="T84" s="3">
        <f>627.2+(376.8-273.4)+(0.959616+(0.576504-0.418302))+0-128.4-0.196452000000007</f>
        <v>603.12136600000019</v>
      </c>
      <c r="U84" s="3">
        <f>617.8+(375.9-255.1)+(0+(0-0))+0-133.3-0</f>
        <v>605.29999999999995</v>
      </c>
      <c r="V84" s="3">
        <f>614.5+(374.9-253.6)+(0.313395+(0.191199-0.129336))+0-127.8-0.065177999999987</f>
        <v>608.31008000000008</v>
      </c>
      <c r="W84" s="3">
        <f>596.5+(362.2-215.8)+(-0.304215+(-0.184722--0.110058))+0-133.2--0.0679319999999865</f>
        <v>609.38905299999999</v>
      </c>
      <c r="X84" s="3">
        <f>582+(445.7-298.5)+(-0.59364+(-0.454614--0.30447))+0-114.7--0.116994000000018</f>
        <v>613.87320999999997</v>
      </c>
      <c r="Y84" s="3">
        <f>534.6+(501.8-310.3)+(-0.272646+(-0.255918--0.158253))+0-130.8--0.0667079999999867</f>
        <v>594.996397</v>
      </c>
      <c r="Z84" s="3">
        <f>617.4+(353.7-207.7)+(-0.629748+(-0.360774--0.211854))+0-137.8--0.140556000000022</f>
        <v>624.96188800000004</v>
      </c>
      <c r="AA84" s="3">
        <f>637+(363.1-230.7)+(-0.32487+(-0.185181--0.117657))+0-136.5--0.0696149999999861</f>
        <v>632.57722100000012</v>
      </c>
      <c r="AB84" s="3">
        <f>644.5+(345.4-245.4)+(-0.328695+(-0.176154--0.125154))+0-128.9--0.0657389999999869</f>
        <v>615.28604400000006</v>
      </c>
      <c r="AC84" s="3">
        <f>646.6+(309.9-254.1)+(-0.329766+(-0.158049--0.129591))+0-125.2--0.0638519999999873</f>
        <v>576.90562799999998</v>
      </c>
      <c r="AD84">
        <f t="shared" si="1"/>
        <v>13544.754621</v>
      </c>
      <c r="AE84" s="3">
        <f>636+(388.5-223.2)+(0+(0-0))+0-155.6-0</f>
        <v>645.69999999999993</v>
      </c>
    </row>
    <row r="85" spans="1:31" s="2" customFormat="1" x14ac:dyDescent="0.25">
      <c r="A85">
        <v>89</v>
      </c>
      <c r="B85">
        <v>3</v>
      </c>
      <c r="C85">
        <v>23</v>
      </c>
      <c r="D85">
        <v>2</v>
      </c>
      <c r="E85">
        <v>1</v>
      </c>
      <c r="F85" s="3">
        <f>634.5+(257.1-205.1)+(-0.323595+(-0.131121--0.104601))+0-126.9--0.0647189999999871</f>
        <v>559.31460400000003</v>
      </c>
      <c r="G85" s="3">
        <f>637.2+(228.2-187.5)+(-1.299888+(-0.465528--0.3825))+0-133.9--0.273155999999994</f>
        <v>542.89024000000006</v>
      </c>
      <c r="H85" s="3">
        <f>635.1+(299.1-267.4)+(-0.971703+(-0.457623--0.409122))+0-143.3--0.219249000000008</f>
        <v>522.69904500000007</v>
      </c>
      <c r="I85" s="3">
        <f>637.4+(357.2-349)+(0+(0-0))+0-128.3-0</f>
        <v>517.29999999999995</v>
      </c>
      <c r="J85" s="3">
        <f>642.3+(385.4-376)+(0.327573+(0.196554-0.19176))+0-139.9-0.0713489999999858</f>
        <v>512.06101799999999</v>
      </c>
      <c r="K85" s="3">
        <f>608.7+(417-404.6)+(-1.241748+(-0.85068--0.825384))+0-127.1--0.259283999999994</f>
        <v>492.99223999999992</v>
      </c>
      <c r="L85" s="3">
        <f>488.7+(548.7-416.4)+(0.747711+(0.839511-0.637092))+0-131.4-0.201042000000008</f>
        <v>490.34908799999994</v>
      </c>
      <c r="M85" s="3">
        <f>487+(606.5-422.4)+(0.24837+(0.309315-0.215424))+0-132.4-0.0675239999999866</f>
        <v>538.97473700000012</v>
      </c>
      <c r="N85" s="3">
        <f>483.3+(584.2-360.9)+(-0.739449+(-0.893826--0.552177))+0-134.1--0.205173000000008</f>
        <v>571.62407500000018</v>
      </c>
      <c r="O85" s="3">
        <f>546.8+(581.1-360.9)+(-0.557736+(-0.592722--0.368118))+0-141.8--0.144636000000023</f>
        <v>624.56229600000006</v>
      </c>
      <c r="P85" s="3">
        <f>602+(432.6-282.7)+(-0.30702+(-0.220626--0.144177))+0-140.1--0.0714509999999858</f>
        <v>611.4879820000001</v>
      </c>
      <c r="Q85" s="3">
        <f>633.1+(343.8-204.8)+(0+(0-0))+0-132.5-0</f>
        <v>639.6</v>
      </c>
      <c r="R85" s="3">
        <f>631.6+(367.5-221.8)+(-0.644232+(-0.37485--0.226236))+0-140.5--0.143310000000022</f>
        <v>636.15046399999994</v>
      </c>
      <c r="S85" s="3">
        <f>628.6+(415.6-298.2)+(-0.961758+(-0.635868--0.456246))+0-123.4--0.188802000000007</f>
        <v>621.64742200000001</v>
      </c>
      <c r="T85" s="3">
        <f>629.9+(409.6-299.9)+(-0.321249+(-0.208896--0.152949))+0-125.7--0.0641069999999872</f>
        <v>613.58691099999999</v>
      </c>
      <c r="U85" s="3">
        <f>637+(400-300.6)+(0.32487+(0.204-0.153306))+0-137.8-0.070277999999986</f>
        <v>598.90528600000005</v>
      </c>
      <c r="V85" s="3">
        <f>628.6+(365.8-274.4)+(-0.320586+(-0.186558--0.139944))+0-114.4--0.0583439999999884</f>
        <v>605.29114400000003</v>
      </c>
      <c r="W85" s="3">
        <f>618.7+(349.7-243.2)+(-0.315537+(-0.178347--0.124032))+0-118.1--0.060230999999988</f>
        <v>606.79037900000003</v>
      </c>
      <c r="X85" s="3">
        <f>590.4+(401-247)+(-0.903312+(-0.61353--0.37791))+0-145.3--0.222309000000008</f>
        <v>598.18337700000006</v>
      </c>
      <c r="Y85" s="3">
        <f>563.7+(447.1-283)+(-0.574974+(-0.456042--0.28866))+0-135.4--0.138108000000022</f>
        <v>591.79575200000011</v>
      </c>
      <c r="Z85" s="3">
        <f>621.7+(362.8-206.3)+(-0.317067+(-0.185028--0.105213))+0-136.6--0.0696659999999861</f>
        <v>641.272784</v>
      </c>
      <c r="AA85" s="3">
        <f>653.1+(380.6-259)+(0+(0-0))+0-140.2-0</f>
        <v>634.5</v>
      </c>
      <c r="AB85" s="3">
        <f>646.9+(357.8-257.3)+(-0.329919+(-0.182478--0.131223))+0-134.1--0.0683909999999864</f>
        <v>612.98721699999999</v>
      </c>
      <c r="AC85" s="3">
        <f>622.1+(312.3-212.2)+(-0.951813+(-0.477819--0.324666))+0-134--0.205020000000008</f>
        <v>587.30005400000005</v>
      </c>
      <c r="AD85">
        <f t="shared" si="1"/>
        <v>13972.266115000002</v>
      </c>
      <c r="AE85" s="3">
        <f>652+(396.9-269.7)+(0+(0-0))+0-144-0</f>
        <v>635.20000000000005</v>
      </c>
    </row>
    <row r="86" spans="1:31" s="2" customFormat="1" x14ac:dyDescent="0.25">
      <c r="A86">
        <v>89</v>
      </c>
      <c r="B86">
        <v>3</v>
      </c>
      <c r="C86">
        <v>24</v>
      </c>
      <c r="D86">
        <v>3</v>
      </c>
      <c r="E86">
        <v>1</v>
      </c>
      <c r="F86" s="3">
        <f>625+(257.5-188.5)+(-0.6375+(-0.26265--0.19227))+0-135.6--0.138312000000022</f>
        <v>557.83043199999997</v>
      </c>
      <c r="G86" s="3">
        <f>544.3+(273.9-146.5)+(0+(0-0))+0-128.7-0</f>
        <v>543</v>
      </c>
      <c r="H86" s="3">
        <f>515.1+(265.1-138.6)+(-0.525402+(-0.270402--0.141372))+0-132.8--0.135456000000021</f>
        <v>508.281024</v>
      </c>
      <c r="I86" s="3">
        <f>517.9+(256-144.6)+(0.528258+(0.26112-0.147492))+0-129.5-0.132090000000021</f>
        <v>500.30979599999995</v>
      </c>
      <c r="J86" s="3">
        <f>517.4+(260.3-169.1)+(-0.263874+(-0.132753--0.086241))+0-114.1--0.0581909999999884</f>
        <v>494.24780499999997</v>
      </c>
      <c r="K86" s="3">
        <f>514.2+(315.2-236.9)+(-0.524484+(-0.321504--0.241638))+0-123.3--0.12576600000002</f>
        <v>468.72141600000003</v>
      </c>
      <c r="L86" s="3">
        <f>519.2+(425.8-370.5)+(0.264792+(0.217158-0.188955))+0-116.9-0.0596189999999881</f>
        <v>457.83337600000004</v>
      </c>
      <c r="M86" s="3">
        <f>516.8+(494.1-398)+(0.263568+(0.251991-0.20298))+0-106.7-0.0544169999999892</f>
        <v>506.45816200000002</v>
      </c>
      <c r="N86" s="3">
        <f>532.7+(574.8-439.5)+(-0.543354+(-0.586296--0.44829))+0-116.4--0.118728000000019</f>
        <v>551.03736800000001</v>
      </c>
      <c r="O86" s="3">
        <f>608.2+(508.6-416)+(0+(0-0))+0-127-0</f>
        <v>573.80000000000007</v>
      </c>
      <c r="P86" s="3">
        <f>595.8+(485.8-343.5)+(0.607716+(0.495516-0.35037))+0-150.2-0.153204000000024</f>
        <v>588.49965799999984</v>
      </c>
      <c r="Q86" s="3">
        <f>611+(427.5-287.8)+(0.31161+(0.218025-0.146778))+0-144.3-0.0735929999999854</f>
        <v>606.70926399999996</v>
      </c>
      <c r="R86" s="3">
        <f>636.4+(408.8-280.6)+(0.324564+(0.208488-0.143106))+0-141.6-0.0722159999999856</f>
        <v>623.31772999999987</v>
      </c>
      <c r="S86" s="3">
        <f>635.1+(302.9-190.4)+(-0.647802+(-0.308958--0.194208))+0-136.3--0.139026000000022</f>
        <v>610.6764740000001</v>
      </c>
      <c r="T86" s="3">
        <f>629.8+(290.6-186.3)+(0.642396+(0.296412-0.190026))+0-130.2-0.132804000000021</f>
        <v>604.51597800000002</v>
      </c>
      <c r="U86" s="3">
        <f>616.5+(295.2-188.9)+(1.25766+(0.602208-0.385356))+0-129.9-0.264995999999994</f>
        <v>594.10951599999999</v>
      </c>
      <c r="V86" s="3">
        <f>599.2+(292.5-163.2)+(-0.305592+(-0.149175--0.083232))+0-123--0.0627299999999875</f>
        <v>605.19119499999999</v>
      </c>
      <c r="W86" s="3">
        <f>581.7+(254.4-92)+(-0.593334+(-0.259488--0.09384))+0-142.8--0.145656000000023</f>
        <v>600.68667400000015</v>
      </c>
      <c r="X86" s="3">
        <f>569.6+(455.3-286.3)+(-1.161984+(-0.928812--0.584052))+0-147.6--0.301103999999994</f>
        <v>589.79435999999998</v>
      </c>
      <c r="Y86" s="3">
        <f>585+(541.3-404)+(0+(0-0))+0-138.7-0</f>
        <v>583.59999999999991</v>
      </c>
      <c r="Z86" s="3">
        <f>649.7+(324.7-208.4)+(0.331347+(0.165597-0.106284))+0-137.6-0.070175999999986</f>
        <v>628.72048400000006</v>
      </c>
      <c r="AA86" s="3">
        <f>660.7+(230.2-139.5)+(-0.336957+(-0.117402--0.071145))+0-137.7--0.070226999999986</f>
        <v>613.38701300000002</v>
      </c>
      <c r="AB86" s="3">
        <f>668.9+(226.6-149)+(-1.023417+(-0.346698--0.22797))+0-147.9--0.226287000000009</f>
        <v>597.68414199999995</v>
      </c>
      <c r="AC86" s="3">
        <f>674.8+(226.9-181.9)+(-0.688296+(-0.231438--0.185538))+0-136.1--0.138822000000022</f>
        <v>583.10462599999994</v>
      </c>
      <c r="AD86">
        <f t="shared" si="1"/>
        <v>13591.516492999999</v>
      </c>
      <c r="AE86" s="3">
        <f>664+(222.8-154.9)+(0+(0-0))+0-130.3-0</f>
        <v>601.59999999999991</v>
      </c>
    </row>
    <row r="87" spans="1:31" s="2" customFormat="1" x14ac:dyDescent="0.25">
      <c r="A87">
        <v>89</v>
      </c>
      <c r="B87">
        <v>3</v>
      </c>
      <c r="C87">
        <v>25</v>
      </c>
      <c r="D87">
        <v>4</v>
      </c>
      <c r="E87">
        <v>1</v>
      </c>
      <c r="F87" s="3">
        <f>639.5+(231.6-200.7)+(-0.978435+(-0.354348--0.307071))+0-138.8--0.212364000000008</f>
        <v>530.786652</v>
      </c>
      <c r="G87" s="3">
        <f>572.4+(263.3-150.9)+(0+(0-0))+0-138-0</f>
        <v>546.79999999999995</v>
      </c>
      <c r="H87" s="3">
        <f>536.9+(263.2-161.5)+(-0.547638+(-0.268464--0.16473))+0-137.2--0.139944000000022</f>
        <v>500.8885719999999</v>
      </c>
      <c r="I87" s="3">
        <f>536.1+(280.2-193.1)+(-0.273411+(-0.142902--0.098481))+0-134.9--0.0687989999999863</f>
        <v>488.05096700000013</v>
      </c>
      <c r="J87" s="3">
        <f>526.3+(288.6-185.6)+(-0.536826+(-0.294372--0.189312))+0-145.3--0.148206000000023</f>
        <v>483.50631999999996</v>
      </c>
      <c r="K87" s="3">
        <f>521.7+(359.7-278.7)+(-1.330335+(-0.917235--0.710685))+0-135.4--0.34526999999998</f>
        <v>466.10838500000006</v>
      </c>
      <c r="L87" s="3">
        <f>536.3+(480.9-413.3)+(-1.367565+(-1.226295--1.053915))+0-131.4--0.335069999999981</f>
        <v>471.29512499999987</v>
      </c>
      <c r="M87" s="3">
        <f>545.5+(530.9-422.5)+(0.55641+(0.541518-0.43095))+0-132.8-0.135456000000021</f>
        <v>521.6315219999999</v>
      </c>
      <c r="N87" s="3">
        <f>536+(565.9-408.9)+(0.27336+(0.288609-0.208539))+0-139.6-0.0711959999999858</f>
        <v>553.68223399999999</v>
      </c>
      <c r="O87" s="3">
        <f>598.1+(538.4-422.2)+(0.305031+(0.274584-0.215322))+0-136.9-0.0698189999999861</f>
        <v>577.69447400000001</v>
      </c>
      <c r="P87" s="3">
        <f>628.2+(465.9-367.3)+(-0.320382+(-0.237609--0.187323))+0-140.9--0.0718589999999857</f>
        <v>585.60119099999997</v>
      </c>
      <c r="Q87" s="3">
        <f>623.4+(339.1-212.7)+(0+(0-0))+0-142.6-0</f>
        <v>607.19999999999993</v>
      </c>
      <c r="R87" s="3">
        <f>648.9+(232.4-113.5)+(-0.661878+(-0.237048--0.11577))+0-143.4--0.146268000000023</f>
        <v>623.76311200000009</v>
      </c>
      <c r="S87" s="3">
        <f>657.8+(285.9-188.1)+(-0.670956+(-0.291618--0.191862))+0-137.8--0.140556000000022</f>
        <v>617.16984400000001</v>
      </c>
      <c r="T87" s="3">
        <f>647.3+(300-209.1)+(0+(0-0))+0-136.2-0</f>
        <v>602</v>
      </c>
      <c r="U87" s="3">
        <f>634.5+(292.7-201.3)+(0.64719+(0.298554-0.205326))+0-136.9-0.139638000000022</f>
        <v>589.60077999999999</v>
      </c>
      <c r="V87" s="3">
        <f>634.6+(247.4-179.9)+(-0.647292+(-0.252348--0.183498))+0-121.8--0.124236000000019</f>
        <v>579.70809400000007</v>
      </c>
      <c r="W87" s="3">
        <f>636.4+(235.6-126.6)+(-0.973692+(-0.360468--0.193698))+0-149.8--0.229194000000009</f>
        <v>594.68873200000007</v>
      </c>
      <c r="X87" s="3">
        <f>625.9+(433.6-329.1)+(-0.957627+(-0.663408--0.503523))+0-141.3--0.216189000000008</f>
        <v>588.19867699999986</v>
      </c>
      <c r="Y87" s="3">
        <f>611.8+(546.9-439.9)+(-0.624036+(-0.557838--0.448698))+0-145.4--0.148308000000023</f>
        <v>572.81513200000006</v>
      </c>
      <c r="Z87" s="3">
        <f>631.4+(341-204.7)+(-0.322014+(-0.17391--0.104397))+0-149.6--0.0762959999999848</f>
        <v>617.78476899999998</v>
      </c>
      <c r="AA87" s="3">
        <f>668.1+(234.9-148.2)+(-1.022193+(-0.359397--0.226746))+0-147.7--0.225981000000009</f>
        <v>606.17113700000004</v>
      </c>
      <c r="AB87" s="3">
        <f>667.6+(231.5-162.1)+(-1.021428+(-0.354195--0.248013))+0-151.3--0.231489000000009</f>
        <v>584.80387900000005</v>
      </c>
      <c r="AC87" s="3">
        <f>640+(234.1-177.5)+(-0.6528+(-0.238782--0.18105))+0-139.5--0.142290000000022</f>
        <v>556.53175800000008</v>
      </c>
      <c r="AD87">
        <f t="shared" si="1"/>
        <v>13466.481356</v>
      </c>
      <c r="AE87" s="3">
        <f>669+(246.2-148.3)+(0+(0-0))+0-161.3-0</f>
        <v>605.59999999999991</v>
      </c>
    </row>
    <row r="88" spans="1:31" s="2" customFormat="1" x14ac:dyDescent="0.25">
      <c r="A88">
        <v>89</v>
      </c>
      <c r="B88">
        <v>3</v>
      </c>
      <c r="C88">
        <v>26</v>
      </c>
      <c r="D88">
        <v>5</v>
      </c>
      <c r="E88">
        <v>1</v>
      </c>
      <c r="F88" s="3">
        <f>638.6+(249.1-191.9)+(-0.651372+(-0.254082--0.195738))+0-152.4--0.155448000000024</f>
        <v>542.845732</v>
      </c>
      <c r="G88" s="3">
        <f>638.7+(242.7-211.7)+(-0.325737+(-0.123777--0.107967))+0-154.3--0.0786929999999844</f>
        <v>515.13714600000003</v>
      </c>
      <c r="H88" s="3">
        <f>640.1+(228-217.8)+(-0.652902+(-0.23256--0.222156))+0-145.9--0.148818000000023</f>
        <v>503.88551199999995</v>
      </c>
      <c r="I88" s="3">
        <f>640+(236.1-232.4)+(-0.9792+(-0.361233--0.355572))+0-151.7--0.232101000000009</f>
        <v>491.24724000000003</v>
      </c>
      <c r="J88" s="3">
        <f>645.5+(268.9-277.2)+(-0.329205+(-0.137139--0.141372))+0-154.4--0.0787439999999843</f>
        <v>482.55377200000004</v>
      </c>
      <c r="K88" s="3">
        <f>641.5+(365.5-399.7)+(-1.635825+(-0.932025--1.019235))+0-141.7--0.361334999999979</f>
        <v>464.41271999999992</v>
      </c>
      <c r="L88" s="3">
        <f>615.5+(476-492.7)+(-0.313905+(-0.24276--0.251277))+0-122.7--0.0625769999999876</f>
        <v>475.85718899999995</v>
      </c>
      <c r="M88" s="3">
        <f>521.6+(536.8-393.9)+(-0.266016+(-0.273768--0.200889))+0-147.5--0.075224999999985</f>
        <v>516.73632999999995</v>
      </c>
      <c r="N88" s="3">
        <f>516.9+(520.4-339.6)+(-0.527238+(-0.530808--0.346392))+0-153--0.156060000000024</f>
        <v>544.144406</v>
      </c>
      <c r="O88" s="3">
        <f>551.1+(576.4-404.1)+(-0.281061+(-0.293964--0.206091))+0-150.9--0.0769589999999847</f>
        <v>572.20802500000002</v>
      </c>
      <c r="P88" s="3">
        <f>635+(498.1-390.3)+(0+(0-0))+0-150.6-0</f>
        <v>592.19999999999993</v>
      </c>
      <c r="Q88" s="3">
        <f>646.2+(413.1-297)+(-0.659124+(-0.421362--0.30294))+0-148.2--0.151164000000024</f>
        <v>613.4736180000001</v>
      </c>
      <c r="R88" s="3">
        <f>642.1+(242.3-98.3)+(0+(0-0))+0-159.9-0</f>
        <v>626.20000000000005</v>
      </c>
      <c r="S88" s="3">
        <f>638+(278.2-145.3)+(0+(0-0))+0-147.7-0</f>
        <v>623.20000000000005</v>
      </c>
      <c r="T88" s="3">
        <f>633.4+(281.1-177.8)+(0+(0-0))+0-139-0</f>
        <v>597.70000000000005</v>
      </c>
      <c r="U88" s="3">
        <f>631.2+(271.2-172.6)+(-0.321912+(-0.138312--0.088026))+0-133.7--0.0681869999999864</f>
        <v>595.79598900000008</v>
      </c>
      <c r="V88" s="3">
        <f>629.7+(235.8-151.1)+(0.642294+(0.240516-0.154122))+0-130.4-0.133008000000021</f>
        <v>584.59568000000013</v>
      </c>
      <c r="W88" s="3">
        <f>629+(279.7-182.2)+(-1.60395+(-0.713235--0.46461))+0-146.9--0.374594999999979</f>
        <v>578.12202000000002</v>
      </c>
      <c r="X88" s="3">
        <f>618.1+(551.5-438.1)+(-1.576155+(-1.406325--1.117155))+0-158.8--0.404939999999977</f>
        <v>571.23961500000007</v>
      </c>
      <c r="Y88" s="3">
        <f>587.4+(546.1-404)+(-0.599148+(-0.557022--0.41208))+0-146.2--0.149124000000023</f>
        <v>582.70503400000007</v>
      </c>
      <c r="Z88" s="3">
        <f>590.2+(343.3-167.1)+(0+(0-0))+0-153.8-0</f>
        <v>612.60000000000014</v>
      </c>
      <c r="AA88" s="3">
        <f>654.8+(249.3-135.7)+(-1.001844+(-0.381429--0.207621))+0-158.4--0.242352000000009</f>
        <v>609.06669999999997</v>
      </c>
      <c r="AB88" s="3">
        <f>615.9+(252.2-129.8)+(-0.314109+(-0.128622--0.066198))+0-141.1--0.0719609999999857</f>
        <v>596.89542799999992</v>
      </c>
      <c r="AC88" s="3">
        <f>565.5+(271.6-128.3)+(-0.288405+(-0.138516--0.065433))+0-146.9--0.0749189999999851</f>
        <v>561.61343099999999</v>
      </c>
      <c r="AD88">
        <f t="shared" si="1"/>
        <v>13454.435587</v>
      </c>
      <c r="AE88" s="3">
        <f>655+(232.9-155)+(0+(0-0))+0-170-0</f>
        <v>562.9</v>
      </c>
    </row>
    <row r="89" spans="1:31" s="2" customFormat="1" x14ac:dyDescent="0.25">
      <c r="A89">
        <v>89</v>
      </c>
      <c r="B89">
        <v>3</v>
      </c>
      <c r="C89">
        <v>27</v>
      </c>
      <c r="D89">
        <v>6</v>
      </c>
      <c r="E89">
        <v>1</v>
      </c>
      <c r="F89" s="3">
        <f>560.1+(258.2-140.7)+(-0.571302+(-0.263364--0.143514))+0-151.1--0.154122000000024</f>
        <v>525.96297000000004</v>
      </c>
      <c r="G89" s="3">
        <f>522.2+(250.3-142.6)+(0+(0-0))+0-132.1-0</f>
        <v>497.80000000000007</v>
      </c>
      <c r="H89" s="3">
        <f>516.6+(236.6-123.6)+(-0.790398+(-0.361998--0.189108))+0-143.8--0.220014000000008</f>
        <v>485.05672599999997</v>
      </c>
      <c r="I89" s="3">
        <f>518+(245.5-138.8)+(-0.52836+(-0.25041--0.141576))+0-147.4--0.150348000000024</f>
        <v>476.81315400000005</v>
      </c>
      <c r="J89" s="3">
        <f>517.2+(309.2-191.8)+(-0.527544+(-0.315384--0.195636))+0-161.6--0.164832000000026</f>
        <v>472.51754000000005</v>
      </c>
      <c r="K89" s="3">
        <f>513.5+(406.2-305.3)+(-1.309425+(-1.03581--0.778515))+0-150.2--0.383009999999978</f>
        <v>463.01628999999991</v>
      </c>
      <c r="L89" s="3">
        <f>517.4+(454.7-367.6)+(-1.31937+(-1.159485--0.93738))+0-143.5--0.365924999999979</f>
        <v>459.82445000000001</v>
      </c>
      <c r="M89" s="3">
        <f>521+(467.5-356.8)+(0.79713+(0.715275-0.545904))+0-129.6-0.198288000000007</f>
        <v>502.86821300000003</v>
      </c>
      <c r="N89" s="3">
        <f>584.8+(463.9-396.7)+(0+(0-0))+0-127.1-0</f>
        <v>524.9</v>
      </c>
      <c r="O89" s="3">
        <f>626.3+(471.1-404.2)+(0.958239+(0.720783-0.618426))+0-137.8-0.210834000000008</f>
        <v>556.24976200000015</v>
      </c>
      <c r="P89" s="3">
        <f>629.1+(400.9-302.1)+(0+(0-0))+0-153.6-0</f>
        <v>574.29999999999995</v>
      </c>
      <c r="Q89" s="3">
        <f>644.5+(361-207.3)+(0.65739+(0.36822-0.211446))+0-152.7-0.155754000000024</f>
        <v>646.15841000000012</v>
      </c>
      <c r="R89" s="3">
        <f>647.3+(230.1-146.1)+(0+(0-0))+0-123.2-0</f>
        <v>608.09999999999991</v>
      </c>
      <c r="S89" s="3">
        <f>641.6+(221-171)+(0+(0-0))+0-92.7-0</f>
        <v>598.9</v>
      </c>
      <c r="T89" s="3">
        <f>627.6+(214.5-191.5)+(0+(0-0))+0-87.8-0</f>
        <v>562.80000000000007</v>
      </c>
      <c r="U89" s="3">
        <f>623.4+(213.1-198.6)+(-0.635868+(-0.217362--0.202572))+0-88.6--0.0903720000000141</f>
        <v>548.73971399999994</v>
      </c>
      <c r="V89" s="3">
        <f>622.9+(206.7-189.9)+(0+(0-0))+0-82.3-0</f>
        <v>557.4</v>
      </c>
      <c r="W89" s="3">
        <f>596.1+(256.2-192.5)+(-1.520055+(-0.65331--0.490875))+0-108.1--0.275654999999984</f>
        <v>550.29316499999993</v>
      </c>
      <c r="X89" s="3">
        <f>527.3+(470.6-278.1)+(-1.075692+(-0.960024--0.567324))+0-121.6--0.248063999999995</f>
        <v>596.97967199999994</v>
      </c>
      <c r="Y89" s="3">
        <f>532.3+(423.6-233.2)+(-0.271473+(-0.216036--0.118932))+0-135.7--0.0692069999999862</f>
        <v>586.70063000000005</v>
      </c>
      <c r="Z89" s="3">
        <f>629.2+(254.9-126.8)+(-0.320892+(-0.129999--0.064668))+0-119.1--0.0607409999999879</f>
        <v>637.87451800000008</v>
      </c>
      <c r="AA89" s="3">
        <f>640.2+(254-174.8)+(-1.63251+(-0.6477--0.44574))+0-145.4--0.370769999999979</f>
        <v>572.5363000000001</v>
      </c>
      <c r="AB89" s="3">
        <f>626.6+(247-172)+(-0.319566+(-0.12597--0.08772))+0-159--0.0810899999999839</f>
        <v>542.32327400000008</v>
      </c>
      <c r="AC89" s="3">
        <f>624.3+(250.8-180.2)+(-1.273572+(-0.511632--0.367608))+0-163.2--0.332927999999993</f>
        <v>530.61533200000008</v>
      </c>
      <c r="AD89">
        <f t="shared" si="1"/>
        <v>13078.730119999998</v>
      </c>
      <c r="AE89" s="3">
        <f>647+(244.3-185.8)+(0+(0-0))+0-156.7-0</f>
        <v>548.79999999999995</v>
      </c>
    </row>
    <row r="90" spans="1:31" s="2" customFormat="1" x14ac:dyDescent="0.25">
      <c r="A90">
        <v>89</v>
      </c>
      <c r="B90">
        <v>3</v>
      </c>
      <c r="C90">
        <v>28</v>
      </c>
      <c r="D90">
        <v>7</v>
      </c>
      <c r="E90">
        <v>1</v>
      </c>
      <c r="F90" s="3">
        <f>608.4+(242.6-181.7)+(-0.930852+(-0.371178--0.278001))+0-149.7--0.229041000000009</f>
        <v>518.80501200000003</v>
      </c>
      <c r="G90" s="3">
        <f>610+(231.7-201.3)+(-0.6222+(-0.236334--0.205326))+0-140.2--0.143004000000022</f>
        <v>499.68979600000006</v>
      </c>
      <c r="H90" s="3">
        <f>612.2+(228.2-208)+(-0.936666+(-0.349146--0.31824))+0-154.4--0.236232000000009</f>
        <v>477.26866000000012</v>
      </c>
      <c r="I90" s="3">
        <f>582.6+(237.7-205.1)+(-0.891378+(-0.363681--0.313803))+0-142.2--0.217566000000008</f>
        <v>472.27631000000014</v>
      </c>
      <c r="J90" s="3">
        <f>541.8+(276.1-199.4)+(-0.828954+(-0.422433--0.305082))+0-151.3--0.231489000000009</f>
        <v>466.48518399999995</v>
      </c>
      <c r="K90" s="3">
        <f>481.3+(310.5-204.9)+(-0.736389+(-0.475065--0.313497))+0-152.7--0.233631000000009</f>
        <v>433.53567399999997</v>
      </c>
      <c r="L90" s="3">
        <f>460.7+(309.1-216)+(0+(0-0))+0-145.6-0</f>
        <v>408.19999999999993</v>
      </c>
      <c r="M90" s="3">
        <f>462.6+(330.6-230.3)+(0+(0-0))+0-142.1-0</f>
        <v>420.80000000000007</v>
      </c>
      <c r="N90" s="3">
        <f>458.1+(380.8-255.1)+(-0.934524+(-0.776832--0.520404))+0-151.8--0.309671999999993</f>
        <v>431.11872</v>
      </c>
      <c r="O90" s="3">
        <f>494.7+(407.8-313.6)+(-0.756891+(-0.623934--0.479808))+0-147.9--0.226287000000009</f>
        <v>440.32526999999999</v>
      </c>
      <c r="P90" s="3">
        <f>499.7+(432.7-309.1)+(0+(0-0))+0-140.3-0</f>
        <v>482.99999999999994</v>
      </c>
      <c r="Q90" s="3">
        <f>489.4+(338.1-174.4)+(0+(0-0))+0-157.1-0</f>
        <v>496</v>
      </c>
      <c r="R90" s="3">
        <f>483.3+(278.9-116)+(-0.246483+(-0.142239--0.05916))+0-153.4--0.0782339999999844</f>
        <v>492.54867200000007</v>
      </c>
      <c r="S90" s="3">
        <f>481.3+(280.1-116.4)+(-0.245463+(-0.142851--0.059364))+0-143.9--0.0733889999999854</f>
        <v>500.84443900000002</v>
      </c>
      <c r="T90" s="3">
        <f>485.2+(287.4-164.7)+(-0.247452+(-0.146574--0.083997))+0-129.6--0.0660959999999868</f>
        <v>478.05606699999993</v>
      </c>
      <c r="U90" s="3">
        <f>483.1+(250.5-163.5)+(-0.492762+(-0.25551--0.16677))+0-127.1--0.12964200000002</f>
        <v>442.54814000000005</v>
      </c>
      <c r="V90" s="3">
        <f>481+(251.7-145.7)+(-0.24531+(-0.128367--0.074307))+0-143.2--0.0730319999999855</f>
        <v>443.57366200000007</v>
      </c>
      <c r="W90" s="3">
        <f>468.1+(288-155.1)+(-0.716193+(-0.44064--0.237303))+0-149.6--0.228888000000009</f>
        <v>450.70935799999995</v>
      </c>
      <c r="X90" s="3">
        <f>418.1+(467.2-275.3)+(-1.066155+(-1.19136--0.702015))+0-157.7--0.402134999999977</f>
        <v>451.14663499999995</v>
      </c>
      <c r="Y90" s="3">
        <f>423.5+(473-269.2)+(-0.43197+(-0.48246--0.274584))+0-154.2--0.157284000000025</f>
        <v>472.61743799999994</v>
      </c>
      <c r="Z90" s="3">
        <f>452.5+(378.1-154.8)+(-0.230775+(-0.192831--0.078948))+0-161.7--0.0824669999999836</f>
        <v>513.83780899999988</v>
      </c>
      <c r="AA90" s="3">
        <f>525.7+(302.1-144.5)+(-0.804321+(-0.462213--0.221085))+0-160.5--0.245565000000009</f>
        <v>522.00011600000016</v>
      </c>
      <c r="AB90" s="3">
        <f>542.4+(276.7-142.3)+(-0.553248+(-0.282234--0.145146))+0-162--0.165240000000026</f>
        <v>514.27490399999999</v>
      </c>
      <c r="AC90" s="3">
        <f>545.3+(270-160.5)+(-1.112412+(-0.5508--0.32742))+0-159.7--0.325787999999993</f>
        <v>494.08999599999999</v>
      </c>
      <c r="AD90">
        <f t="shared" si="1"/>
        <v>11323.751862000001</v>
      </c>
      <c r="AE90" s="3">
        <f>534+(319.3-175.6)+(0+(0-0))+0-186.1-0</f>
        <v>491.6</v>
      </c>
    </row>
    <row r="91" spans="1:31" s="2" customFormat="1" x14ac:dyDescent="0.25">
      <c r="A91">
        <v>89</v>
      </c>
      <c r="B91">
        <v>3</v>
      </c>
      <c r="C91">
        <v>29</v>
      </c>
      <c r="D91">
        <v>1</v>
      </c>
      <c r="E91">
        <v>1</v>
      </c>
      <c r="F91" s="3">
        <f>534.3+(255.1-166)+(-0.544986+(-0.260202--0.16932))+0-152.8--0.155856000000024</f>
        <v>470.11998800000003</v>
      </c>
      <c r="G91" s="3">
        <f>523.7+(237.2-163.1)+(-1.068348+(-0.483888--0.332724))+0-148.8--0.303551999999994</f>
        <v>448.08404000000002</v>
      </c>
      <c r="H91" s="3">
        <f>526.4+(239.8-159.5)+(-0.805392+(-0.366894--0.244035))+0-159.2--0.243576000000009</f>
        <v>446.81532500000003</v>
      </c>
      <c r="I91" s="3">
        <f>483.5+(271.4-151.6)+(-1.47951+(-0.830484--0.463896))+0-150.3--0.459918000000017</f>
        <v>451.61381999999998</v>
      </c>
      <c r="J91" s="3">
        <f>471.8+(304.6-161.1)+(0+(0-0))+0-165.9-0</f>
        <v>449.40000000000009</v>
      </c>
      <c r="K91" s="3">
        <f>471.3+(329.6-228.5)+(-0.240363+(-0.168096--0.116535))+0-143.8--0.0733379999999854</f>
        <v>428.38141400000006</v>
      </c>
      <c r="L91" s="3">
        <f>473.7+(369-267.6)+(-0.241587+(-0.18819--0.136476))+0-125.2--0.0638519999999873</f>
        <v>449.67055099999988</v>
      </c>
      <c r="M91" s="3">
        <f>469.7+(454.7-276.5)+(-0.479094+(-0.463794--0.28203))+0-141.6--0.144432000000023</f>
        <v>505.78357399999999</v>
      </c>
      <c r="N91" s="3">
        <f>468.6+(451.9-223.9)+(0.238986+(0.230469-0.114189))+0-154.8-0.0789479999999843</f>
        <v>542.07631800000001</v>
      </c>
      <c r="O91" s="3">
        <f>561+(375-205.1)+(0.28611+(0.19125-0.104601))+0-156.4-0.0797639999999841</f>
        <v>574.79299500000002</v>
      </c>
      <c r="P91" s="3">
        <f>621.4+(331.5-192.8)+(-0.633828+(-0.33813--0.196656))+0-158.5--0.161670000000025</f>
        <v>600.98636799999997</v>
      </c>
      <c r="Q91" s="3">
        <f>638.6+(264.6-113.3)+(0.651372+(0.269892-0.115566))+0-163-0.166260000000026</f>
        <v>627.53943800000002</v>
      </c>
      <c r="R91" s="3">
        <f>640.7+(294.7-131.8)+(-0.653514+(-0.300594--0.134436))+0-166--0.169320000000026</f>
        <v>636.94964800000002</v>
      </c>
      <c r="S91" s="3">
        <f>632.2+(326.5-189.9)+(0+(0-0))+0-150.1-0</f>
        <v>618.70000000000005</v>
      </c>
      <c r="T91" s="3">
        <f>608.3+(341.7-200.9)+(-0.310233+(-0.174267--0.102459))+0-147.9--0.075428999999985</f>
        <v>600.89338799999996</v>
      </c>
      <c r="U91" s="3">
        <f>605.6+(337-205.9)+(-0.617712+(-0.34374--0.210018))+0-148--0.150960000000024</f>
        <v>588.09952600000008</v>
      </c>
      <c r="V91" s="3">
        <f>607+(380.5-230.1)+(0.30957+(0.194055-0.117351))+0-158.8-0.0809879999999839</f>
        <v>598.90528599999993</v>
      </c>
      <c r="W91" s="3">
        <f>586.3+(361.1-188.3)+(-1.196052+(-0.736644--0.384132))+0-162.5--0.331499999999993</f>
        <v>595.38293599999986</v>
      </c>
      <c r="X91" s="3">
        <f>574.2+(249.2-97)+(-1.757052+(-0.762552--0.29682))+0-141.8--0.433908000000016</f>
        <v>582.81112400000006</v>
      </c>
      <c r="Y91" s="3">
        <f>594.7+(266.3-134.3)+(-0.303297+(-0.135813--0.068493))+0-128.2--0.065381999999987</f>
        <v>598.19476499999996</v>
      </c>
      <c r="Z91" s="3">
        <f>611.8+(317.3-164.2)+(0+(0-0))+0-147.9-0</f>
        <v>617</v>
      </c>
      <c r="AA91" s="3">
        <f>644.9+(313.6-226.5)+(0+(0-0))+0-141.2-0</f>
        <v>590.79999999999995</v>
      </c>
      <c r="AB91" s="3">
        <f>654.2+(331.6-265.8)+(-1.000926+(-0.507348--0.406674))+0-136--0.208080000000008</f>
        <v>583.10648000000003</v>
      </c>
      <c r="AC91" s="3">
        <f>656+(354.4-290.4)+(-0.66912+(-0.361488--0.296208))+0-150.2--0.153204000000024</f>
        <v>569.21880399999998</v>
      </c>
      <c r="AD91">
        <f t="shared" si="1"/>
        <v>13175.325787999998</v>
      </c>
      <c r="AE91" s="3">
        <f>648+(334.1-224.3)+(0+(0-0))+0-159.1-0</f>
        <v>598.69999999999993</v>
      </c>
    </row>
    <row r="92" spans="1:31" s="2" customFormat="1" x14ac:dyDescent="0.25">
      <c r="A92">
        <v>89</v>
      </c>
      <c r="B92">
        <v>3</v>
      </c>
      <c r="C92">
        <v>30</v>
      </c>
      <c r="D92">
        <v>2</v>
      </c>
      <c r="E92">
        <v>1</v>
      </c>
      <c r="F92" s="3">
        <f>644.8+(305.5-254)+(-1.315392+(-0.62322--0.51816))+0-150.6--0.307223999999993</f>
        <v>544.586772</v>
      </c>
      <c r="G92" s="3">
        <f>566.2+(295.7-198.4)+(-0.288762+(-0.150807--0.101184))+0-153.8--0.0784379999999844</f>
        <v>509.44005299999998</v>
      </c>
      <c r="H92" s="3">
        <f>526.8+(293.8-152)+(0.268668+(0.149838-0.07752))+0-166.5-0.0849149999999831</f>
        <v>502.35607099999999</v>
      </c>
      <c r="I92" s="3">
        <f>524.1+(274.1-142.2)+(-0.801873+(-0.419373--0.217566))+0-159.9--0.244647000000009</f>
        <v>495.34096699999998</v>
      </c>
      <c r="J92" s="3">
        <f>524.9+(275.2-157.3)+(-0.803097+(-0.421056--0.240669))+0-159.2--0.243576000000009</f>
        <v>482.86009200000001</v>
      </c>
      <c r="K92" s="3">
        <f>522.7+(279.2-171.1)+(-1.066308+(-0.569568--0.349044))+0-160--0.326399999999993</f>
        <v>469.83956800000004</v>
      </c>
      <c r="L92" s="3">
        <f>481.6+(326.6-194.3)+(0.245616+(0.166566-0.099093))+0-141.8-0.0723179999999856</f>
        <v>472.34077100000007</v>
      </c>
      <c r="M92" s="3">
        <f>464.2+(433.6-226.3)+(0+(0-0))+0-153.8-0</f>
        <v>517.70000000000005</v>
      </c>
      <c r="N92" s="3">
        <f>463.2+(411.7-162.8)+(0.472464+(0.419934-0.166056))+0-156.9-0.160038000000025</f>
        <v>555.76630399999999</v>
      </c>
      <c r="O92" s="3">
        <f>509.8+(330.9-106.1)+(0.519996+(0.337518-0.108222))+0-158.1-0.161262000000025</f>
        <v>577.08802999999989</v>
      </c>
      <c r="P92" s="3">
        <f>497.3+(341.8-95.1)+(0.253623+(0.174318-0.048501))+0-148.3-0.075632999999985</f>
        <v>596.00380699999994</v>
      </c>
      <c r="Q92" s="3">
        <f>573.6+(411.1-195.8)+(0.292536+(0.209661-0.099858))+0-164.5-0.0838949999999833</f>
        <v>624.71844400000009</v>
      </c>
      <c r="R92" s="3">
        <f>623.3+(494.2-353.6)+(0.317883+(0.252042-0.180336))+0-163.4-0.0833339999999834</f>
        <v>600.80625499999985</v>
      </c>
      <c r="S92" s="3">
        <f>620.9+(552.6-410.1)+(0+(0-0))+0-145.9-0</f>
        <v>617.5</v>
      </c>
      <c r="T92" s="3">
        <f>619.6+(553.6-437.4)+(0.315996+(0.282336-0.223074))+0-158-0.080579999999984</f>
        <v>578.09467800000016</v>
      </c>
      <c r="U92" s="3">
        <f>617.3+(525.4-423.8)+(-0.629646+(-0.535908--0.432276))+0-163.2--0.166464000000026</f>
        <v>555.13318599999991</v>
      </c>
      <c r="V92" s="3">
        <f>620.2+(479.6-375.1)+(-0.632604+(-0.489192--0.382602))+0-156.3--0.159426000000025</f>
        <v>567.82023200000015</v>
      </c>
      <c r="W92" s="3">
        <f>592.5+(313.7-183.6)+(-0.60435+(-0.319974--0.187272))+0-161--0.164220000000026</f>
        <v>561.02716800000007</v>
      </c>
      <c r="X92" s="3">
        <f>589.8+(229-100.3)+(-0.902394+(-0.35037--0.153459))+0-157.8--0.241434000000009</f>
        <v>559.84212900000011</v>
      </c>
      <c r="Y92" s="3">
        <f>608.3+(258-157.7)+(-0.310233+(-0.13158--0.080427))+0-142.9--0.0728789999999855</f>
        <v>565.41149299999984</v>
      </c>
      <c r="Z92" s="3">
        <f>635.1+(275.1-176.4)+(0+(0-0))+0-153.1-0</f>
        <v>580.70000000000005</v>
      </c>
      <c r="AA92" s="3">
        <f>623.1+(357.7-260.4)+(-0.635562+(-0.364854--0.265608))+0-153.3--0.156366000000024</f>
        <v>566.52155800000003</v>
      </c>
      <c r="AB92" s="3">
        <f>587.1+(388.6-254.7)+(-0.299421+(-0.198186--0.129897))+0-167.9--0.085628999999983</f>
        <v>552.81791899999996</v>
      </c>
      <c r="AC92" s="3">
        <f>611.6+(382.5-311)+(0+(0-0))+0-140.4-0</f>
        <v>542.70000000000005</v>
      </c>
      <c r="AD92">
        <f t="shared" si="1"/>
        <v>13196.415497</v>
      </c>
      <c r="AE92" s="3">
        <f>577+(400-264.6)+(0+(0-0))+0-161.6-0</f>
        <v>550.79999999999995</v>
      </c>
    </row>
    <row r="93" spans="1:31" s="2" customFormat="1" x14ac:dyDescent="0.25">
      <c r="A93">
        <v>89</v>
      </c>
      <c r="B93">
        <v>3</v>
      </c>
      <c r="C93">
        <v>31</v>
      </c>
      <c r="D93">
        <v>3</v>
      </c>
      <c r="E93">
        <v>1</v>
      </c>
      <c r="F93" s="3">
        <f>637.2+(375.1-315.5)+(-0.324972+(-0.191301--0.160905))+0-146.5--0.0747149999999851</f>
        <v>550.01934700000004</v>
      </c>
      <c r="G93" s="3">
        <f>646.9+(286.8-249.3)+(0.329919+(0.146268-0.127143))+0-160.4-0.0818039999999837</f>
        <v>524.26724000000002</v>
      </c>
      <c r="H93" s="3">
        <f>645.8+(227.3-206.8)+(0.329358+(0.115923-0.105468))+0-161.5-0.0823649999999836</f>
        <v>505.05744800000002</v>
      </c>
      <c r="I93" s="3">
        <f>645.7+(223.3-212)+(0.658614+(0.227766-0.21624))+0-156.9-0.160038000000025</f>
        <v>500.61010199999993</v>
      </c>
      <c r="J93" s="3">
        <f>536.3+(244.4-190.8)+(1.094052+(0.498576-0.389232))+0-161.9-0.330275999999993</f>
        <v>428.87312000000003</v>
      </c>
      <c r="K93" s="3">
        <f>470.1+(272.2-174)+(0+(0-0))+0-157.8-0</f>
        <v>410.49999999999994</v>
      </c>
      <c r="L93" s="3">
        <f>464.1+(287.2-131.8)+(-0.236691+(-0.146472--0.067218))+0-152.2--0.0776219999999846</f>
        <v>467.06167699999992</v>
      </c>
      <c r="M93" s="3">
        <f>473.3+(334-138.8)+(0+(0-0))+0-159.5-0</f>
        <v>509</v>
      </c>
      <c r="N93" s="3">
        <f>514.2+(341.2-148.3)+(0.524484+(0.348024-0.151266))+0-159.5-0.162690000000025</f>
        <v>548.15855199999999</v>
      </c>
      <c r="O93" s="3">
        <f>511.3+(360-148.9)+(0.521526+(0.3672-0.151878))+0-151.4-0.154428000000024</f>
        <v>571.58241999999996</v>
      </c>
      <c r="P93" s="3">
        <f>510.9+(475.2-215.5)+(0+(0-0))+0-169.9-0</f>
        <v>600.69999999999993</v>
      </c>
      <c r="Q93" s="3">
        <f>505.4+(622.3-357.8)+(0+(0-0))+0-157.4-0</f>
        <v>612.49999999999989</v>
      </c>
      <c r="R93" s="3">
        <f>511.5+(778-492.3)+(0.260865+(0.39678-0.251073))+0-175.1-0.0893009999999822</f>
        <v>622.41727100000003</v>
      </c>
      <c r="S93" s="3">
        <f>507.8+(799-511.4)+(0+(0-0))+0-166-0</f>
        <v>629.40000000000009</v>
      </c>
      <c r="T93" s="3">
        <f>509.4+(850.6-576.2)+(0.259794+(0.433806-0.293862))+0-163.7-0.0834869999999834</f>
        <v>620.41625099999999</v>
      </c>
      <c r="U93" s="3">
        <f>614.2+(727.2-601.9)+(-0.313242+(-0.370872--0.306969))+0-145--0.0739499999999853</f>
        <v>594.19680500000004</v>
      </c>
      <c r="V93" s="3">
        <f>610.1+(650.9-520.5)+(0.622302+(0.663918-0.53091))+0-146-0.148920000000023</f>
        <v>595.10639000000003</v>
      </c>
      <c r="W93" s="3">
        <f>601.2+(471.4-319)+(0.306612+(0.240414-0.16269))+0-154-0.0785399999999844</f>
        <v>599.90579600000001</v>
      </c>
      <c r="X93" s="3">
        <f>580.7+(270-122.3)+(0+(0-0))+0-144-0</f>
        <v>584.40000000000009</v>
      </c>
      <c r="Y93" s="3">
        <f>478+(360.8-91.2)+(0.48756+(0.368016-0.093024))+0-159.3-0.162486000000025</f>
        <v>588.90006600000004</v>
      </c>
      <c r="Z93" s="3">
        <f>563.5+(501-263.9)+(0+(0-0))+0-161.7-0</f>
        <v>638.90000000000009</v>
      </c>
      <c r="AA93" s="3">
        <f>629+(605.1-432.6)+(-0.32079+(-0.308601--0.220626))+0-177.3--0.090422999999982</f>
        <v>623.8816579999999</v>
      </c>
      <c r="AB93" s="3">
        <f>614.4+(596.6-462)+(0+(0-0))+0-161.8-0</f>
        <v>587.20000000000005</v>
      </c>
      <c r="AC93" s="3">
        <f>601.9+(468.4-347.7)+(-0.920907+(-0.716652--0.531981))+0-148--0.226440000000009</f>
        <v>573.7208619999999</v>
      </c>
      <c r="AD93">
        <f t="shared" si="1"/>
        <v>13486.775005000001</v>
      </c>
      <c r="AE93" s="3">
        <f>626+(610.6-412.3)+(0+(0-0))+0-196.7-0</f>
        <v>627.59999999999991</v>
      </c>
    </row>
    <row r="94" spans="1:31" s="2" customFormat="1" x14ac:dyDescent="0.25">
      <c r="A94">
        <v>89</v>
      </c>
      <c r="B94">
        <v>4</v>
      </c>
      <c r="C94">
        <v>1</v>
      </c>
      <c r="D94">
        <v>4</v>
      </c>
      <c r="E94">
        <v>1</v>
      </c>
      <c r="F94" s="3">
        <f>585.5+(356.9-227.7)+(-1.493025+(-0.910095--0.580635))+0-152.4--0.388619999999978</f>
        <v>560.86613499999999</v>
      </c>
      <c r="G94" s="3">
        <f>601.4+(286-192.7)+(-0.920142+(-0.43758--0.294831))+0-150.4--0.230112000000009</f>
        <v>543.467221</v>
      </c>
      <c r="H94" s="3">
        <f>614.8+(247.2-183.2)+(-1.254192+(-0.504288--0.373728))+0-141.8--0.289271999999994</f>
        <v>535.90451999999982</v>
      </c>
      <c r="I94" s="3">
        <f>617.6+(232.9-195.4)+(-0.944928+(-0.356337--0.298962))+0-143--0.218790000000008</f>
        <v>511.31648700000005</v>
      </c>
      <c r="J94" s="3">
        <f>598.2+(242.5-192.8)+(-0.305082+(-0.123675--0.098328))+0-147.5--0.075224999999985</f>
        <v>500.1447960000001</v>
      </c>
      <c r="K94" s="3">
        <f>506.2+(288.2-165.9)+(-1.032648+(-0.587928--0.338436))+0-141.7--0.289067999999994</f>
        <v>485.80692799999997</v>
      </c>
      <c r="L94" s="3">
        <f>531.8+(370.7-256.7)+(0.271218+(0.189057-0.130917))+0-137.1-0.0699209999999861</f>
        <v>508.95943699999992</v>
      </c>
      <c r="M94" s="3">
        <f>545.7+(394.8-260.7)+(0.556614+(0.402696-0.265914))+0-144.8-0.147696000000023</f>
        <v>535.54570000000012</v>
      </c>
      <c r="N94" s="3">
        <f>504.7+(412.5-227.2)+(-0.257397+(-0.210375--0.115872))+0-121.4--0.0619139999999877</f>
        <v>568.31001400000002</v>
      </c>
      <c r="O94" s="3">
        <f>598+(339.9-190.3)+(0.60996+(0.346698-0.194106))+0-130.8-0.133416000000021</f>
        <v>617.42913599999986</v>
      </c>
      <c r="P94" s="3">
        <f>606.4+(270.3-114.6)+(0.309264+(0.137853-0.058446))+0-138.6-0.0706859999999859</f>
        <v>623.81798500000002</v>
      </c>
      <c r="Q94" s="3">
        <f>605+(315.5-137.9)+(0+(0-0))+0-133.7-0</f>
        <v>648.90000000000009</v>
      </c>
      <c r="R94" s="3">
        <f>591.6+(398.6-217.7)+(-0.301716+(-0.203286--0.111027))+0-124.3--0.0633929999999874</f>
        <v>647.86941800000011</v>
      </c>
      <c r="S94" s="3">
        <f>587.9+(398.9-237.3)+(-0.599658+(-0.406878--0.242046))+0-111--0.113220000000018</f>
        <v>637.84873000000005</v>
      </c>
      <c r="T94" s="3">
        <f>583.1+(395.9-251.7)+(0.297381+(0.201909-0.128367))+0-108.6-0.055385999999989</f>
        <v>619.01553699999988</v>
      </c>
      <c r="U94" s="3">
        <f>578.5+(359.9-229.9)+(0.885105+(0.550647-0.351747))+0-109.2-0.167076000000006</f>
        <v>600.21692900000005</v>
      </c>
      <c r="V94" s="3">
        <f>576.3+(319-185.7)+(-0.587826+(-0.32538--0.189414))+0-102.5--0.104550000000016</f>
        <v>606.48075799999992</v>
      </c>
      <c r="W94" s="3">
        <f>568.1+(268.1-114.9)+(-0.579462+(-0.273462--0.117198))+0-104.5--0.106590000000017</f>
        <v>616.17086400000005</v>
      </c>
      <c r="X94" s="3">
        <f>503+(403.1-227.5)+(-0.76959+(-0.616743--0.348075))+0-109.3--0.167229000000006</f>
        <v>568.42897100000005</v>
      </c>
      <c r="Y94" s="3">
        <f>508.6+(427.3-186.3)+(0.259386+(0.217923-0.095013))+0-107-0.0545699999999891</f>
        <v>642.92772600000001</v>
      </c>
      <c r="Z94" s="3">
        <f>598.5+(274.8-117.8)+(-0.915705+(-0.420444--0.180234))+0-127.2--0.194616000000007</f>
        <v>627.3387009999999</v>
      </c>
      <c r="AA94" s="3">
        <f>636+(244.1-134)+(-0.32436+(-0.124491--0.06834))+0-127.1--0.0648209999999871</f>
        <v>618.68430999999998</v>
      </c>
      <c r="AB94" s="3">
        <f>635+(243.9-147.4)+(0+(0-0))+0-131.1-0</f>
        <v>600.4</v>
      </c>
      <c r="AC94" s="3">
        <f>605.1+(248.1-159.7)+(-0.308601+(-0.126531--0.081447))+0-115.6--0.0589559999999883</f>
        <v>577.6052709999999</v>
      </c>
      <c r="AD94">
        <f t="shared" si="1"/>
        <v>14003.455573999998</v>
      </c>
      <c r="AE94" s="3">
        <f>639+(245.9-147.7)+(0+(0-0))+0-114.1-0</f>
        <v>623.1</v>
      </c>
    </row>
    <row r="95" spans="1:31" s="2" customFormat="1" x14ac:dyDescent="0.25">
      <c r="A95">
        <v>89</v>
      </c>
      <c r="B95">
        <v>4</v>
      </c>
      <c r="C95">
        <v>2</v>
      </c>
      <c r="D95">
        <v>5</v>
      </c>
      <c r="E95">
        <v>1</v>
      </c>
      <c r="F95" s="3">
        <f>531.7+(272-135.5)+(0+(0-0))+0-110.9-0</f>
        <v>557.30000000000007</v>
      </c>
      <c r="G95" s="3">
        <f>520.1+(269.6-138.9)+(-0.530502+(-0.274992--0.141678))+0-112.6--0.114852000000018</f>
        <v>537.65103600000009</v>
      </c>
      <c r="H95" s="3">
        <f>522.9+(257-149.8)+(0+(0-0))+0-111.5-0</f>
        <v>518.59999999999991</v>
      </c>
      <c r="I95" s="3">
        <f>523.8+(284.1-150.8)+(-0.534276+(-0.289782--0.153816))+0-143.5--0.146370000000023</f>
        <v>513.07612799999993</v>
      </c>
      <c r="J95" s="3">
        <f>525.3+(278.3-163.8)+(-0.267903+(-0.141933--0.083538))+0-134.8--0.0687479999999863</f>
        <v>504.74244999999996</v>
      </c>
      <c r="K95" s="3">
        <f>475.9+(327.6-199.1)+(-0.485418+(-0.334152--0.203082))+0-128.5--0.13107000000002</f>
        <v>475.414582</v>
      </c>
      <c r="L95" s="3">
        <f>467.2+(459.8-322.7)+(-0.238272+(-0.234498--0.164577))+0-118--0.060179999999988</f>
        <v>486.051987</v>
      </c>
      <c r="M95" s="3">
        <f>464.3+(493.8-313.2)+(-0.236793+(-0.251838--0.159732))+0-114.3--0.0582929999999884</f>
        <v>530.32939400000009</v>
      </c>
      <c r="N95" s="3">
        <f>484.3+(516.1-321.2)+(0+(0-0))+0-106.1-0</f>
        <v>573.1</v>
      </c>
      <c r="O95" s="3">
        <f>475.8+(505-275.9)+(-0.727974+(-0.77265--0.422127))+0-108.1--0.165393000000006</f>
        <v>595.88689600000009</v>
      </c>
      <c r="P95" s="3">
        <f>568.3+(415.1-272.8)+(0.289833+(0.211701-0.139128))+0-113-0.0576299999999885</f>
        <v>597.90477599999986</v>
      </c>
      <c r="Q95" s="3">
        <f>594.5+(297.1-120.1)+(-0.303195+(-0.151521--0.061251))+0-127.5--0.0650249999999871</f>
        <v>643.67156</v>
      </c>
      <c r="R95" s="3">
        <f>460.3+(420.3-97.7)+(0.234753+(0.214353-0.049827))+0-138.9-0.0708389999999859</f>
        <v>644.32844000000011</v>
      </c>
      <c r="S95" s="3">
        <f>472.4+(444.6-161.5)+(-0.240924+(-0.226746--0.082365))+0-122.3--0.0623729999999876</f>
        <v>632.87706800000001</v>
      </c>
      <c r="T95" s="3">
        <f>582.4+(429.3-285.1)+(0.594048+(0.437886-0.290802))+0-125.1-0.12760200000002</f>
        <v>602.11352999999986</v>
      </c>
      <c r="U95" s="3">
        <f>620.4+(358.5-252.2)+(0.316404+(0.182835-0.128622))+0-133.6-0.0681359999999864</f>
        <v>593.40248100000008</v>
      </c>
      <c r="V95" s="3">
        <f>624+(299.5-186.5)+(0+(0-0))+0-130.5-0</f>
        <v>606.5</v>
      </c>
      <c r="W95" s="3">
        <f>610.9+(249.6-111.9)+(-0.311559+(-0.127296--0.057069))+0-136.5--0.0696149999999861</f>
        <v>611.78782899999987</v>
      </c>
      <c r="X95" s="3">
        <f>594.2+(419.6-277.2)+(-0.909126+(-0.641988--0.424116))+0-133.7--0.204561000000008</f>
        <v>601.97756300000015</v>
      </c>
      <c r="Y95" s="3">
        <f>520.1+(512.7-320.6)+(-0.530502+(-0.522954--0.327012))+0-115.1--0.117402000000018</f>
        <v>596.49095799999998</v>
      </c>
      <c r="Z95" s="3">
        <f>565+(302.6-125)+(0+(0-0))+0-123.4-0</f>
        <v>619.20000000000005</v>
      </c>
      <c r="AA95" s="3">
        <f>642.2+(239.9-130.1)+(-0.982566+(-0.367047--0.199053))+0-128.6--0.196758000000007</f>
        <v>622.44619799999998</v>
      </c>
      <c r="AB95" s="3">
        <f>645.6+(232.2-151.1)+(-0.658512+(-0.236844--0.154122))+0-132.1--0.134742000000021</f>
        <v>593.99350800000013</v>
      </c>
      <c r="AC95" s="3">
        <f>648.9+(238.5-172.8)+(-0.330939+(-0.121635--0.088128))+0-139--0.0708899999999859</f>
        <v>575.30644399999983</v>
      </c>
      <c r="AD95">
        <f t="shared" si="1"/>
        <v>13834.152828</v>
      </c>
      <c r="AE95" s="3">
        <f>640+(235.9-134.2)+(0+(0-0))+0-131-0</f>
        <v>610.70000000000005</v>
      </c>
    </row>
    <row r="96" spans="1:31" s="2" customFormat="1" x14ac:dyDescent="0.25">
      <c r="A96">
        <v>89</v>
      </c>
      <c r="B96">
        <v>4</v>
      </c>
      <c r="C96">
        <v>3</v>
      </c>
      <c r="D96">
        <v>6</v>
      </c>
      <c r="E96">
        <v>1</v>
      </c>
      <c r="F96" s="3">
        <f>634.2+(241.2-186.6)+(-1.293768+(-0.492048--0.380664))+0-128.3--0.261731999999994</f>
        <v>559.35657999999989</v>
      </c>
      <c r="G96" s="3">
        <f>603.9+(244.1-185)+(-1.539945+(-0.622455--0.47175))+0-124.8--0.318239999999982</f>
        <v>536.82758999999999</v>
      </c>
      <c r="H96" s="3">
        <f>485+(280.9-135.3)+(-0.24735+(-0.143259--0.069003))+0-120.5--0.0614549999999878</f>
        <v>509.8398489999999</v>
      </c>
      <c r="I96" s="3">
        <f>464.6+(286.5-112.8)+(-0.473892+(-0.29223--0.115056))+0-135.1--0.137802000000022</f>
        <v>502.68673599999994</v>
      </c>
      <c r="J96" s="3">
        <f>461.3+(312.3-150)+(-0.235263+(-0.159273--0.0765))+0-129.2--0.0658919999999869</f>
        <v>494.14785599999999</v>
      </c>
      <c r="K96" s="3">
        <f>464+(331-187.5)+(-0.70992+(-0.50643--0.286875))+0-133.1--0.203643000000008</f>
        <v>473.67416799999995</v>
      </c>
      <c r="L96" s="3">
        <f>465.9+(345.2-209.8)+(0+(0-0))+0-134.1-0</f>
        <v>467.19999999999993</v>
      </c>
      <c r="M96" s="3">
        <f>463.3+(346.7-176.7)+(-0.236283+(-0.176817--0.090117))+0-121.5--0.0619649999999877</f>
        <v>511.53898199999992</v>
      </c>
      <c r="N96" s="3">
        <f>498.3+(390.3-206.7)+(0+(0-0))+0-127.7-0</f>
        <v>554.20000000000005</v>
      </c>
      <c r="O96" s="3">
        <f>612.4+(404.1-320.4)+(0.312324+(0.206091-0.163404))+0-118.2-0.060281999999988</f>
        <v>578.19472899999994</v>
      </c>
      <c r="P96" s="3">
        <f>609.5+(309.5-196.7)+(0.62169+(0.31569-0.200634))+0-126.1-0.12862200000002</f>
        <v>596.80812399999991</v>
      </c>
      <c r="Q96" s="3">
        <f>604.7+(250.6-135.3)+(0.925191+(0.383418-0.207009))+0-113-0.172890000000007</f>
        <v>607.92870999999991</v>
      </c>
      <c r="R96" s="3">
        <f>621.9+(284.1-169.7)+(0.317169+(0.144891-0.086547))+0-116.7-0.0595169999999882</f>
        <v>619.91599599999984</v>
      </c>
      <c r="S96" s="3">
        <f>628.5+(363.1-287.3)+(0.64107+(0.370362-0.293046))+0-122.3-0.124746000000019</f>
        <v>582.59363999999994</v>
      </c>
      <c r="T96" s="3">
        <f>627.9+(391-323.1)+(-0.960687+(-0.59823--0.494343))+0-112.5--0.172125000000006</f>
        <v>582.40755100000001</v>
      </c>
      <c r="U96" s="3">
        <f>626.1+(376.6-314.1)+(-0.319311+(-0.192066--0.160191))+0-119--0.0606899999999879</f>
        <v>569.30950400000006</v>
      </c>
      <c r="V96" s="3">
        <f>598.4+(331-239.3)+(-1.220736+(-0.67524--0.488172))+0-121.8--0.248471999999995</f>
        <v>567.14066799999989</v>
      </c>
      <c r="W96" s="3">
        <f>591.1+(251-137.7)+(-1.205844+(-0.51204--0.280908))+0-135.6--0.276623999999994</f>
        <v>567.63964800000008</v>
      </c>
      <c r="X96" s="3">
        <f>584.4+(329.8-216.2)+(-0.894132+(-0.504594--0.330786))+0-136.7--0.209151000000008</f>
        <v>560.44121100000007</v>
      </c>
      <c r="Y96" s="3">
        <f>586.2+(354-254.7)+(-0.298962+(-0.18054--0.129897))+0-142.2--0.0725219999999856</f>
        <v>543.02291700000001</v>
      </c>
      <c r="Z96" s="3">
        <f>615.2+(245.9-152.3)+(-0.313752+(-0.125409--0.077673))+0-132.9--0.0677789999999865</f>
        <v>575.60629100000006</v>
      </c>
      <c r="AA96" s="3">
        <f>643.8+(244.6-167)+(-1.313352+(-0.498984--0.34068))+0-145.8--0.297431999999994</f>
        <v>574.42577599999993</v>
      </c>
      <c r="AB96" s="3">
        <f>644.3+(228.5-198.9)+(-0.328593+(-0.116535--0.101439))+0-121.5--0.0619649999999877</f>
        <v>552.11827599999992</v>
      </c>
      <c r="AC96" s="3">
        <f>640.5+(230.8-205.2)+(0.326655+(0.117708-0.104652))+0-131.9-0.0672689999999866</f>
        <v>534.472442</v>
      </c>
      <c r="AD96">
        <f t="shared" si="1"/>
        <v>13221.497244</v>
      </c>
      <c r="AE96" s="3">
        <f>646+(241.2-168.6)+(0+(0-0))+0-167.9-0</f>
        <v>550.70000000000005</v>
      </c>
    </row>
    <row r="97" spans="1:31" s="2" customFormat="1" x14ac:dyDescent="0.25">
      <c r="A97">
        <v>89</v>
      </c>
      <c r="B97">
        <v>4</v>
      </c>
      <c r="C97">
        <v>4</v>
      </c>
      <c r="D97">
        <v>7</v>
      </c>
      <c r="E97">
        <v>1</v>
      </c>
      <c r="F97" s="3">
        <f>608.5+(231.2-204.7)+(0.310335+(0.117912-0.104397))+0-113.1-0.0576809999999885</f>
        <v>522.16616899999997</v>
      </c>
      <c r="G97" s="3">
        <f>611.9+(227.1-210.8)+(-0.312069+(-0.115821--0.107508))+0-127--0.0647699999999871</f>
        <v>500.94438799999995</v>
      </c>
      <c r="H97" s="3">
        <f>583.6+(230.2-199.2)+(-0.595272+(-0.234804--0.203184))+0-126.3--0.12882600000002</f>
        <v>487.80193400000002</v>
      </c>
      <c r="I97" s="3">
        <f>495.7+(255.4-147.8)+(0.252807+(0.130254-0.075378))+0-113.3-0.0577829999999885</f>
        <v>490.24989999999997</v>
      </c>
      <c r="J97" s="3">
        <f>455+(287.9-125.9)+(-0.4641+(-0.293658--0.128418))+0-134.3--0.136986000000021</f>
        <v>482.20764600000007</v>
      </c>
      <c r="K97" s="3">
        <f>320.5+(315.9-71.8)+(-0.490365+(-0.483327--0.109854))+0-126--0.192780000000007</f>
        <v>437.92894199999995</v>
      </c>
      <c r="L97" s="3">
        <f>287.3+(344.8-90.9)+(-0.293046+(-0.351696--0.092718))+0-123.7--0.12617400000002</f>
        <v>417.07415000000009</v>
      </c>
      <c r="M97" s="3">
        <f>284.3+(397.6-128.9)+(-0.579972+(-0.811104--0.262956))+0-125.8--0.256631999999994</f>
        <v>426.32851199999999</v>
      </c>
      <c r="N97" s="3">
        <f>291+(414-147.1)+(-0.14841+(-0.21114--0.075021))+0-121.3--0.0618629999999877</f>
        <v>436.37733399999991</v>
      </c>
      <c r="O97" s="3">
        <f>366.1+(409.5-190.1)+(0.186711+(0.208845-0.096951))+0-132.6-0.0676259999999865</f>
        <v>453.13097899999997</v>
      </c>
      <c r="P97" s="3">
        <f>342.8+(391.3-138.3)+(-0.87414+(-0.997815--0.352665))+0-117.4--0.299369999999983</f>
        <v>477.18008000000003</v>
      </c>
      <c r="Q97" s="3">
        <f>328+(317.6-36.4)+(0.16728+(0.161976-0.018564))+0-126-0.0642599999999872</f>
        <v>483.44643200000007</v>
      </c>
      <c r="R97" s="3">
        <f>297.4+(389.2-84)+(-0.151674+(-0.198492--0.04284))+0-122.2--0.0623219999999876</f>
        <v>480.15499599999993</v>
      </c>
      <c r="S97" s="3">
        <f>339.5+(407.9-132.2)+(0+(0-0))+0-139-0</f>
        <v>476.20000000000005</v>
      </c>
      <c r="T97" s="3">
        <f>346.9+(428.4-207.1)+(-0.530757+(-0.655452--0.316863))+0-100.3--0.153459000000006</f>
        <v>467.18411299999997</v>
      </c>
      <c r="U97" s="3">
        <f>369.5+(431.4-216)+(0.565335+(0.660042-0.33048))+0-120.8-0.184824000000007</f>
        <v>464.81007299999999</v>
      </c>
      <c r="V97" s="3">
        <f>363.2+(408.1-182.3)+(-0.370464+(-0.416262--0.185946))+0-126.1--0.12862200000002</f>
        <v>462.427842</v>
      </c>
      <c r="W97" s="3">
        <f>363.4+(303-70.2)+(-0.741336+(-0.61812--0.143208))+0-133.6--0.272543999999994</f>
        <v>461.65629600000005</v>
      </c>
      <c r="X97" s="3">
        <f>362.1+(358.5-130.6)+(-0.184671+(-0.182835--0.066606))+0-130--0.0662999999999868</f>
        <v>459.76540000000006</v>
      </c>
      <c r="Y97" s="3">
        <f>308+(430.1-138)+(-0.31416+(-0.438702--0.14076))+0-136.4--0.139128000000022</f>
        <v>463.22702600000002</v>
      </c>
      <c r="Z97" s="3">
        <f>361.4+(330.2-44.1)+(-0.368628+(-0.336804--0.044982))+0-140.2--0.143004000000022</f>
        <v>506.78255400000006</v>
      </c>
      <c r="AA97" s="3">
        <f>412.6+(307.5-64.6)+(-0.631278+(-0.470475--0.098838))+0-139.3--0.213129000000008</f>
        <v>515.410214</v>
      </c>
      <c r="AB97" s="3">
        <f>416.4+(292.1-88.2)+(-0.424728+(-0.297942--0.089964))+0-130.6--0.133212000000021</f>
        <v>489.20050599999996</v>
      </c>
      <c r="AC97" s="3">
        <f>415.4+(321.2-113.5)+(-0.423708+(-0.327624--0.11577))+0-132.5--0.135150000000021</f>
        <v>490.09958799999987</v>
      </c>
      <c r="AD97">
        <f t="shared" si="1"/>
        <v>11351.755073999997</v>
      </c>
      <c r="AE97" s="3">
        <f>411+(296.2-106.3)+(0+(0-0))+0-107-0</f>
        <v>493.9</v>
      </c>
    </row>
    <row r="98" spans="1:31" s="2" customFormat="1" x14ac:dyDescent="0.25">
      <c r="A98">
        <v>89</v>
      </c>
      <c r="B98">
        <v>4</v>
      </c>
      <c r="C98">
        <v>5</v>
      </c>
      <c r="D98">
        <v>1</v>
      </c>
      <c r="E98">
        <v>3</v>
      </c>
      <c r="F98" s="3">
        <f>415.5+(302-89.9)+(-0.635715+(-0.46206--0.137547))+0-148.6--0.227358000000009</f>
        <v>478.26712999999995</v>
      </c>
      <c r="G98" s="3">
        <f>398.6+(277.2-95.4)+(-0.813144+(-0.565488--0.194616))+0-127.7--0.260507999999994</f>
        <v>451.77649199999996</v>
      </c>
      <c r="H98" s="3">
        <f>402.6+(285.2-112.1)+(-0.205326+(-0.145452--0.057171))+0-131--0.0668099999999867</f>
        <v>444.47320300000007</v>
      </c>
      <c r="I98" s="3">
        <f>376.6+(296.5-135.9)+(-0.576198+(-0.453645--0.207927))+0-109.9--0.168147000000006</f>
        <v>426.64623100000011</v>
      </c>
      <c r="J98" s="3">
        <f>343.5+(358.6-145.7)+(-0.35037+(-0.365772--0.148614))+0-129.8--0.132396000000021</f>
        <v>426.16486800000007</v>
      </c>
      <c r="K98" s="3">
        <f>309.7+(399.2-166.8)+(-1.105629+(-1.425144--0.595476))+0-131.4--0.469098000000002</f>
        <v>409.23380099999991</v>
      </c>
      <c r="L98" s="3">
        <f>274.3+(416.2-171.6)+(-0.279786+(-0.424524--0.175032))+0-127.3--0.12984600000002</f>
        <v>391.20056800000003</v>
      </c>
      <c r="M98" s="3">
        <f>273.5+(449.9-199.7)+(-0.55794+(-0.917796--0.407388))+0-113.9--0.232355999999995</f>
        <v>408.96400800000004</v>
      </c>
      <c r="N98" s="3">
        <f>269.7+(409.3-143.5)+(-0.275094+(-0.417486--0.14637))+0-113.2--0.115464000000018</f>
        <v>421.86925400000007</v>
      </c>
      <c r="O98" s="3">
        <f>269.9+(357.8-107.3)+(-0.275298+(-0.364956--0.109446))+0-83.3--0.0849660000000133</f>
        <v>436.654158</v>
      </c>
      <c r="P98" s="3">
        <f>267+(357.1-85.8)+(-0.40851+(-0.546363--0.131274))+0-88.1--0.134793000000005</f>
        <v>449.51119399999999</v>
      </c>
      <c r="Q98" s="3">
        <f>291.6+(390.2-120.9)+(-0.297432+(-0.398004--0.123318))+0-92.2--0.0940440000000147</f>
        <v>468.22192599999994</v>
      </c>
      <c r="R98" s="3">
        <f>373.1+(272.7-75.3)+(-0.380562+(-0.278154--0.076806))+0-91.9--0.0937380000000147</f>
        <v>478.11182800000006</v>
      </c>
      <c r="S98" s="3">
        <f>383.7+(300.3-125.6)+(-0.587061+(-0.459459--0.192168))+0-83.6--0.127908000000005</f>
        <v>474.073556</v>
      </c>
      <c r="T98" s="3">
        <f>378.9+(340.9-163.8)+(0+(0-0))+0-95.3-0</f>
        <v>460.7</v>
      </c>
      <c r="U98" s="3">
        <f>375.6+(356.1-171.5)+(-0.191556+(-0.181611--0.087465))+0-93.4--0.0476339999999905</f>
        <v>466.56193200000007</v>
      </c>
      <c r="V98" s="3">
        <f>375.1+(324-131.7)+(-0.956505+(-0.8262--0.335835))+0-96.8--0.246839999999986</f>
        <v>469.39997000000005</v>
      </c>
      <c r="W98" s="3">
        <f>341+(287-51.1)+(-0.52173+(-0.43911--0.078183))+0-95.1--0.145503000000005</f>
        <v>481.06284599999998</v>
      </c>
      <c r="X98" s="3">
        <f>281.9+(438.3-132.3)+(-0.431307+(-0.670599--0.202419))+0-111.9--0.171207000000006</f>
        <v>475.27171999999996</v>
      </c>
      <c r="Y98" s="3">
        <f>302.7+(464.4-179.8)+(0+(0-0))+0-111.5-0</f>
        <v>475.79999999999995</v>
      </c>
      <c r="Z98" s="3">
        <f>367.6+(320.2-63.5)+(0+(0-0))+0-117.5-0</f>
        <v>506.79999999999995</v>
      </c>
      <c r="AA98" s="3">
        <f>423.7+(289.4-82.7)+(-0.432174+(-0.295188--0.084354))+0-114.8--0.117096000000018</f>
        <v>515.07408800000007</v>
      </c>
      <c r="AB98" s="3">
        <f>501.7+(266.3-125.7)+(0+(0-0))+0-129.6-0</f>
        <v>512.69999999999993</v>
      </c>
      <c r="AC98" s="3">
        <f>511.9+(262.2-143.5)+(0.522138+(0.267444-0.14637))+0-124.8-0.12729600000002</f>
        <v>506.31591599999985</v>
      </c>
      <c r="AD98">
        <f t="shared" si="1"/>
        <v>11034.854688999998</v>
      </c>
      <c r="AE98" s="3">
        <f>487+(293.6-101.1)+(0+(0-0))+0-160.4-0</f>
        <v>519.1</v>
      </c>
    </row>
    <row r="99" spans="1:31" s="2" customFormat="1" x14ac:dyDescent="0.25">
      <c r="A99">
        <v>89</v>
      </c>
      <c r="B99">
        <v>4</v>
      </c>
      <c r="C99">
        <v>6</v>
      </c>
      <c r="D99">
        <v>2</v>
      </c>
      <c r="E99">
        <v>1</v>
      </c>
      <c r="F99" s="3">
        <f>514.6+(211.7-140.5)+(0+(0-0))+0-132.2-0</f>
        <v>453.59999999999997</v>
      </c>
      <c r="G99" s="3">
        <f>519.8+(200.2-153.8)+(-0.795294+(-0.306306--0.235314))+0-137.8--0.210834000000008</f>
        <v>427.74454800000001</v>
      </c>
      <c r="H99" s="3">
        <f>509.3+(184.7-164.3)+(-1.298715+(-0.470985--0.418965))+0-113.1--0.288404999999984</f>
        <v>415.53767000000005</v>
      </c>
      <c r="I99" s="3">
        <f>501.2+(198.1-168)+(-1.27806+(-0.505155--0.4284))+0-118.1--0.301154999999983</f>
        <v>412.1463399999999</v>
      </c>
      <c r="J99" s="3">
        <f>509+(184.5-156.4)+(-0.25959+(-0.094095--0.079764))+0-127.4--0.0649739999999871</f>
        <v>409.49105300000008</v>
      </c>
      <c r="K99" s="3">
        <f>510.2+(212.9-196.2)+(-1.040808+(-0.434316--0.400248))+0-126.2--0.257447999999995</f>
        <v>399.88257199999998</v>
      </c>
      <c r="L99" s="3">
        <f>463.8+(390.6-301.6)+(-0.236538+(-0.199206--0.153816))+0-104.4--0.0532439999999894</f>
        <v>448.17131599999999</v>
      </c>
      <c r="M99" s="3">
        <f>471+(467.2-308.4)+(0.24021+(0.238272-0.157284))+0-128.7-0.0656369999999869</f>
        <v>501.35556099999997</v>
      </c>
      <c r="N99" s="3">
        <f>468.6+(506.5-328.9)+(-0.477972+(-0.51663--0.335478))+0-116.1--0.118422000000019</f>
        <v>529.55929800000001</v>
      </c>
      <c r="O99" s="3">
        <f>522.9+(524.9-297.4)+(0.266679+(0.267699-0.151674))+0-123.6-0.0630359999999875</f>
        <v>627.11966799999993</v>
      </c>
      <c r="P99" s="3">
        <f>574.7+(427.6-270.3)+(0+(0-0))+0-116.6-0</f>
        <v>615.4</v>
      </c>
      <c r="Q99" s="3">
        <f>633.9+(320.9-185.5)+(0.646578+(0.327318-0.18921))+0-132.8-0.135456000000021</f>
        <v>637.14922999999999</v>
      </c>
      <c r="R99" s="3">
        <f>642.5+(247.5-128.8)+(0+(0-0))+0-122.8-0</f>
        <v>638.40000000000009</v>
      </c>
      <c r="S99" s="3">
        <f>636.4+(276.4-176.6)+(-0.324564+(-0.140964--0.090066))+0-106.6--0.0543659999999892</f>
        <v>629.2789039999999</v>
      </c>
      <c r="T99" s="3">
        <f>630+(292.7-198.4)+(0+(0-0))+0-116.8-0</f>
        <v>607.5</v>
      </c>
      <c r="U99" s="3">
        <f>629.4+(277.9-200.3)+(-0.641988+(-0.283458--0.204306))+0-109.5--0.111690000000017</f>
        <v>596.89055000000008</v>
      </c>
      <c r="V99" s="3">
        <f>613.8+(291.1-159.7)+(0+(0-0))+0-138.5-0</f>
        <v>606.70000000000005</v>
      </c>
      <c r="W99" s="3">
        <f>591.6+(255.2-132.1)+(-0.603432+(-0.260304--0.134742))+0-117.1--0.119442000000019</f>
        <v>596.99044800000013</v>
      </c>
      <c r="X99" s="3">
        <f>585.5+(456.7-317.9)+(-1.19442+(-0.931668--0.648516))+0-131.1--0.267443999999994</f>
        <v>591.98987199999988</v>
      </c>
      <c r="Y99" s="3">
        <f>484.2+(563.1-344.6)+(-0.246942+(-0.287181--0.175746))+0-112.6--0.0574259999999886</f>
        <v>589.79904899999997</v>
      </c>
      <c r="Z99" s="3">
        <f>535.8+(364.7-153.4)+(-0.273258+(-0.185997--0.078234))+0-131.5--0.0670649999999867</f>
        <v>615.28604399999983</v>
      </c>
      <c r="AA99" s="3">
        <f>641.7+(245.9-142.2)+(0+(0-0))+0-119.8-0</f>
        <v>625.60000000000014</v>
      </c>
      <c r="AB99" s="3">
        <f>650.4+(250.1-159.9)+(-0.331704+(-0.127551--0.081549))+0-136--0.0693599999999862</f>
        <v>604.29165399999988</v>
      </c>
      <c r="AC99" s="3">
        <f>632.8+(244.4-176.2)+(-0.322728+(-0.124644--0.089862))+0-127.6--0.065075999999987</f>
        <v>573.10756599999991</v>
      </c>
      <c r="AD99">
        <f t="shared" si="1"/>
        <v>13152.991343000002</v>
      </c>
      <c r="AE99" s="3">
        <f>641+(254.8-127.1)+(0+(0-0))+0-155.2-0</f>
        <v>613.5</v>
      </c>
    </row>
    <row r="100" spans="1:31" s="2" customFormat="1" x14ac:dyDescent="0.25">
      <c r="A100">
        <v>89</v>
      </c>
      <c r="B100">
        <v>4</v>
      </c>
      <c r="C100">
        <v>7</v>
      </c>
      <c r="D100">
        <v>3</v>
      </c>
      <c r="E100">
        <v>1</v>
      </c>
      <c r="F100" s="3">
        <f>631.6+(238.1-187.6)+(-0.644232+(-0.242862--0.191352))+0-124.6--0.12709200000002</f>
        <v>556.93135000000007</v>
      </c>
      <c r="G100" s="3">
        <f>597.3+(242.6-186.2)+(-0.304623+(-0.123726--0.094962))+0-117.4--0.0598739999999881</f>
        <v>536.02648699999997</v>
      </c>
      <c r="H100" s="3">
        <f>566.4+(274-191.1)+(-0.866592+(-0.41922--0.292383))+0-124.3--0.190179000000007</f>
        <v>524.19675000000007</v>
      </c>
      <c r="I100" s="3">
        <f>530.5+(291.5-199.8)+(-0.54111+(-0.29733--0.203796))+0-113.9--0.116178000000018</f>
        <v>507.78153400000008</v>
      </c>
      <c r="J100" s="3">
        <f>472+(339.5-198.4)+(-1.2036+(-0.865725--0.50592))+0-109.9--0.280244999999984</f>
        <v>501.91684000000004</v>
      </c>
      <c r="K100" s="3">
        <f>453.9+(440.8-298.5)+(-0.925956+(-0.899232--0.60894))+0-118.2--0.241127999999995</f>
        <v>477.02488000000011</v>
      </c>
      <c r="L100" s="3">
        <f>505.2+(602-499.2)+(-1.030608+(-1.22808--1.018368))+0-122.6--0.250103999999995</f>
        <v>484.409784</v>
      </c>
      <c r="M100" s="3">
        <f>539.3+(599.4-488)+(-0.275043+(-0.305694--0.24888))+0-123.9--0.0631889999999874</f>
        <v>526.53133199999991</v>
      </c>
      <c r="N100" s="3">
        <f>548.7+(533.9-387.7)+(0+(0-0))+0-123-0</f>
        <v>571.90000000000009</v>
      </c>
      <c r="O100" s="3">
        <f>491.3+(553.4-330.8)+(-0.501126+(-0.564468--0.337416))+0-120.4--0.122808000000019</f>
        <v>592.89463000000001</v>
      </c>
      <c r="P100" s="3">
        <f>505.1+(454.5-224.8)+(-0.772803+(-0.695385--0.343944))+0-125.7--0.192321000000007</f>
        <v>608.16807699999993</v>
      </c>
      <c r="Q100" s="3">
        <f>542.9+(343.5-127.8)+(-0.276879+(-0.175185--0.065178))+0-129.6--0.0660959999999868</f>
        <v>628.6792099999999</v>
      </c>
      <c r="R100" s="3">
        <f>631.9+(244.6-129.4)+(0+(0-0))+0-111.2-0</f>
        <v>635.89999999999986</v>
      </c>
      <c r="S100" s="3">
        <f>629.6+(280.9-185.9)+(0+(0-0))+0-102.4-0</f>
        <v>622.20000000000005</v>
      </c>
      <c r="T100" s="3">
        <f>626.6+(297.2-220.4)+(-0.639132+(-0.303144--0.224808))+0-103.8--0.105876000000017</f>
        <v>598.98840799999994</v>
      </c>
      <c r="U100" s="3">
        <f>623.8+(299.4-189.7)+(0.954414+(0.458082-0.290241))+0-113.1-0.173043000000007</f>
        <v>621.34921199999997</v>
      </c>
      <c r="V100" s="3">
        <f>620.9+(262.9-174.8)+(0.316659+(0.134079-0.089148))+0-110.5-0.0563549999999888</f>
        <v>598.80523500000004</v>
      </c>
      <c r="W100" s="3">
        <f>593.6+(238.3-108.4)+(-0.605472+(-0.243066--0.110568))+0-114.7--0.116994000000018</f>
        <v>608.17902399999991</v>
      </c>
      <c r="X100" s="3">
        <f>572.8+(395.3-250.4)+(-1.46064+(-1.008015--0.63852))+0-111.1--0.283304999999984</f>
        <v>605.0531699999998</v>
      </c>
      <c r="Y100" s="3">
        <f>517.2+(457.6-236.4)+(-0.527544+(-0.466752--0.241128))+0-106.9--0.109038000000017</f>
        <v>630.85587000000021</v>
      </c>
      <c r="Z100" s="3">
        <f>546.4+(281-88.4)+(-0.278664+(-0.14331--0.045084))+0-115.2--0.0587519999999883</f>
        <v>623.48186199999998</v>
      </c>
      <c r="AA100" s="3">
        <f>639.8+(250.1-123.9)+(-0.978894+(-0.382653--0.189567))+0-130.9--0.200277000000008</f>
        <v>634.12829700000009</v>
      </c>
      <c r="AB100" s="3">
        <f>644.4+(242.8-154.9)+(-1.314576+(-0.495312--0.315996))+0-121.9--0.248675999999995</f>
        <v>609.15478400000006</v>
      </c>
      <c r="AC100" s="3">
        <f>638.1+(239.9-170.8)+(-1.301724+(-0.489396--0.348432))+0-126.9--0.258875999999995</f>
        <v>579.11618800000008</v>
      </c>
      <c r="AD100">
        <f t="shared" si="1"/>
        <v>13883.672923999995</v>
      </c>
      <c r="AE100" s="3">
        <f>645+(260.6-122.1)+(0+(0-0))+0-145.1-0</f>
        <v>638.4</v>
      </c>
    </row>
    <row r="101" spans="1:31" s="2" customFormat="1" x14ac:dyDescent="0.25">
      <c r="A101">
        <v>89</v>
      </c>
      <c r="B101">
        <v>4</v>
      </c>
      <c r="C101">
        <v>8</v>
      </c>
      <c r="D101">
        <v>4</v>
      </c>
      <c r="E101">
        <v>1</v>
      </c>
      <c r="F101" s="3">
        <f>636.2+(236-190)+(-1.62231+(-0.6018--0.4845))+0-119.2--0.303959999999983</f>
        <v>561.56434999999999</v>
      </c>
      <c r="G101" s="3">
        <f>636.4+(231-202.9)+(-0.324564+(-0.11781--0.103479))+0-125.6--0.0640559999999873</f>
        <v>538.62516099999993</v>
      </c>
      <c r="H101" s="3">
        <f>617.6+(221.4-187.1)+(-0.629952+(-0.225828--0.190842))+0-125.6--0.12811200000002</f>
        <v>525.76317400000005</v>
      </c>
      <c r="I101" s="3">
        <f>521.8+(248.2-131.6)+(-1.33059+(-0.63291--0.33558))+0-125.2--0.319259999999982</f>
        <v>511.89133999999996</v>
      </c>
      <c r="J101" s="3">
        <f>522.4+(244.4-150.7)+(-1.065696+(-0.498576--0.307428))+0-118.8--0.242351999999995</f>
        <v>496.28550799999999</v>
      </c>
      <c r="K101" s="3">
        <f>525.7+(302.9-236.2)+(-1.340535+(-0.772395--0.60231))+0-106.5--0.271574999999985</f>
        <v>484.66095500000006</v>
      </c>
      <c r="L101" s="3">
        <f>476.3+(488.8-377.6)+(-0.728739+(-0.747864--0.577728))+0-104.9--0.160497000000006</f>
        <v>481.86162200000007</v>
      </c>
      <c r="M101" s="3">
        <f>482.1+(513.7-356.2)+(0+(0-0))+0-110-0</f>
        <v>529.60000000000014</v>
      </c>
      <c r="N101" s="3">
        <f>466+(515.1-296.7)+(-0.71298+(-0.788103--0.453951))+0-111.2--0.170136000000006</f>
        <v>572.32300399999997</v>
      </c>
      <c r="O101" s="3">
        <f>541.9+(484.7-302.4)+(0.276369+(0.247197-0.154224))+0-111.8-0.0570179999999887</f>
        <v>612.71232400000008</v>
      </c>
      <c r="P101" s="3">
        <f>598.3+(442.8-317.5)+(0.305133+(0.225828-0.161925))+0-112.4-0.0573239999999886</f>
        <v>611.51171199999999</v>
      </c>
      <c r="Q101" s="3">
        <f>598.1+(292.8-144.8)+(0.610062+(0.298656-0.147696))+0-113.7-0.115974000000018</f>
        <v>633.04504799999995</v>
      </c>
      <c r="R101" s="3">
        <f>597.9+(310.8-157)+(0.304929+(0.158508-0.08007))+0-110.8-0.0565079999999888</f>
        <v>641.2268590000001</v>
      </c>
      <c r="S101" s="3">
        <f>615.8+(300.3-165.6)+(-0.314058+(-0.153153--0.084456))+0-109.7--0.0559469999999889</f>
        <v>640.47319199999993</v>
      </c>
      <c r="T101" s="3">
        <f>616.4+(280.6-171.9)+(0.628728+(0.286212-0.175338))+0-110-0.112200000000018</f>
        <v>615.72740199999998</v>
      </c>
      <c r="U101" s="3">
        <f>610.7+(312.5-207)+(-0.622914+(-0.31875--0.21114))+0-108.3--0.110466000000017</f>
        <v>607.27994200000012</v>
      </c>
      <c r="V101" s="3">
        <f>606.5+(308.8-185.9)+(0+(0-0))+0-107.5-0</f>
        <v>621.9</v>
      </c>
      <c r="W101" s="3">
        <f>583.5+(255.4-104.3)+(-1.19034+(-0.521016--0.212772))+0-108.6--0.221543999999995</f>
        <v>624.72295999999994</v>
      </c>
      <c r="X101" s="3">
        <f>571.9+(379.3-216.7)+(-1.166676+(-0.773772--0.442068))+0-108.1--0.220523999999995</f>
        <v>625.12214399999993</v>
      </c>
      <c r="Y101" s="3">
        <f>566.1+(454.3-225.4)+(-0.288711+(-0.231693--0.114954))+0-108.5--0.055334999999989</f>
        <v>686.14988500000004</v>
      </c>
      <c r="Z101" s="3">
        <f>579.9+(315.8-115.4)+(0.295749+(0.161058-0.058854))+0-112-0.0571199999999886</f>
        <v>668.64083300000004</v>
      </c>
      <c r="AA101" s="3">
        <f>622.2+(257.9-130.8)+(-0.634644+(-0.263058--0.133416))+0-114--0.116280000000018</f>
        <v>634.65199400000006</v>
      </c>
      <c r="AB101" s="3">
        <f>620.4+(248.9-148.5)+(0.316404+(0.126939-0.075735))+0-112.5-0.0573749999999886</f>
        <v>608.61023299999999</v>
      </c>
      <c r="AC101" s="3">
        <f>617.4+(244.2-165.2)+(-0.314874+(-0.124542--0.084252))+0-109.7--0.0559469999999889</f>
        <v>586.40078299999993</v>
      </c>
      <c r="AD101">
        <f t="shared" si="1"/>
        <v>14120.750424999997</v>
      </c>
      <c r="AE101" s="3">
        <f>621+(245.2-134)+(0+(0-0))+0-115.3-0</f>
        <v>616.90000000000009</v>
      </c>
    </row>
    <row r="102" spans="1:31" s="2" customFormat="1" x14ac:dyDescent="0.25">
      <c r="A102">
        <v>89</v>
      </c>
      <c r="B102">
        <v>4</v>
      </c>
      <c r="C102">
        <v>9</v>
      </c>
      <c r="D102">
        <v>5</v>
      </c>
      <c r="E102">
        <v>1</v>
      </c>
      <c r="F102" s="3">
        <f>603.1+(248.1-178.3)+(-1.845486+(-0.759186--0.545598))+0-99.9--0.305694000000012</f>
        <v>571.24662000000001</v>
      </c>
      <c r="G102" s="3">
        <f>505.6+(279.8-134.8)+(0.257856+(0.142698-0.068748))+0-104.7-0.0533969999999894</f>
        <v>546.17840899999999</v>
      </c>
      <c r="H102" s="3">
        <f>487+(282.5-132.1)+(-0.99348+(-0.5763--0.269484))+0-107.1--0.218483999999995</f>
        <v>529.21818799999994</v>
      </c>
      <c r="I102" s="3">
        <f>506.2+(293.2-169.4)+(-0.516324+(-0.299064--0.172788))+0-105.2--0.107304000000017</f>
        <v>524.26470399999994</v>
      </c>
      <c r="J102" s="3">
        <f>512.6+(288.6-187.8)+(-0.261426+(-0.147186--0.095778))+0-103.3--0.0526829999999895</f>
        <v>509.83984900000013</v>
      </c>
      <c r="K102" s="3">
        <f>511.7+(297.7-216.8)+(-1.043868+(-0.607308--0.442272))+0-102.1--0.208283999999996</f>
        <v>489.49937999999992</v>
      </c>
      <c r="L102" s="3">
        <f>519.3+(337.3-261.7)+(0+(0-0))+0-102.9-0</f>
        <v>492</v>
      </c>
      <c r="M102" s="3">
        <f>517+(434.9-310.3)+(0.26367+(0.221799-0.158253))+0-105.3-0.0537029999999893</f>
        <v>536.57351299999993</v>
      </c>
      <c r="N102" s="3">
        <f>546.8+(464.6-325.4)+(-0.557736+(-0.473892--0.331908))+0-106.6--0.108732000000017</f>
        <v>578.80901200000005</v>
      </c>
      <c r="O102" s="3">
        <f>606.1+(452.5-346.2)+(0.618222+(0.46155-0.353124))+0-116.1-0.118422000000019</f>
        <v>596.90822600000001</v>
      </c>
      <c r="P102" s="3">
        <f>597.5+(390.1-245)+(0+(0-0))+0-121.5-0</f>
        <v>621.1</v>
      </c>
      <c r="Q102" s="3">
        <f>594.9+(253.8-89.3)+(0.606798+(0.258876-0.091086))+0-117.1-0.119442000000019</f>
        <v>642.9551459999999</v>
      </c>
      <c r="R102" s="3">
        <f>627+(273-170.8)+(-0.31977+(-0.13923--0.087108))+25-89.8--0.0457979999999909</f>
        <v>664.07390600000008</v>
      </c>
      <c r="S102" s="3">
        <f>603.8+(367.3-219.7)+(0.615876+(0.374646-0.224094))+25-95.5-0.0974100000000152</f>
        <v>681.56901800000003</v>
      </c>
      <c r="T102" s="3">
        <f>597.5+(366.3-251.3)+(0.304725+(0.186813-0.128163))+10.4-97.3-0.0496229999999901</f>
        <v>625.91375200000004</v>
      </c>
      <c r="U102" s="3">
        <f>589.9+(346.6-253.7)+(0.300849+(0.176766-0.129387))+0-94-0.0479399999999905</f>
        <v>589.10028799999986</v>
      </c>
      <c r="V102" s="3">
        <f>584.4+(327.2-212)+(-0.894132+(-0.500616--0.32436))+0-120.1--0.183753000000007</f>
        <v>578.61336499999993</v>
      </c>
      <c r="W102" s="3">
        <f>580.3+(227.4-110.5)+(-1.183812+(-0.463896--0.22542))+0-97.6--0.199103999999996</f>
        <v>598.37681599999996</v>
      </c>
      <c r="X102" s="3">
        <f>577.6+(400-271.7)+(-1.178304+(-0.816--0.554268))+0-93.9--0.191555999999996</f>
        <v>610.75152000000014</v>
      </c>
      <c r="Y102" s="3">
        <f>564.3+(478.5-337.5)+(-1.151172+(-0.97614--0.6885))+0-89.8--0.183191999999996</f>
        <v>614.24437999999998</v>
      </c>
      <c r="Z102" s="3">
        <f>585.9+(290.7-138.8)+(0.298809+(0.148257-0.070788))+0-94.9-0.0483989999999904</f>
        <v>643.22787899999992</v>
      </c>
      <c r="AA102" s="3">
        <f>629.2+(237.8-131.2)+(0+(0-0))+0-99.6-0</f>
        <v>636.20000000000005</v>
      </c>
      <c r="AB102" s="3">
        <f>642.5+(233.9-141.7)+(-0.327675+(-0.119289--0.072267))+0-111.3--0.0567629999999887</f>
        <v>623.08206600000005</v>
      </c>
      <c r="AC102" s="3">
        <f>622.5+(245-161.1)+(-0.317475+(-0.12495--0.082161))+0-119--0.0606899999999879</f>
        <v>587.10042599999997</v>
      </c>
      <c r="AD102">
        <f t="shared" si="1"/>
        <v>14090.846463000002</v>
      </c>
      <c r="AE102" s="3">
        <f>628+(233.6-140.3)+(0+(0-0))+0-97.5-0</f>
        <v>623.79999999999995</v>
      </c>
    </row>
    <row r="103" spans="1:31" s="2" customFormat="1" x14ac:dyDescent="0.25">
      <c r="A103">
        <v>89</v>
      </c>
      <c r="B103">
        <v>4</v>
      </c>
      <c r="C103">
        <v>10</v>
      </c>
      <c r="D103">
        <v>6</v>
      </c>
      <c r="E103">
        <v>1</v>
      </c>
      <c r="F103" s="3">
        <f>596.8+(243.1-151.6)+(-0.913104+(-0.371943--0.231948))+0-128.1--0.195993000000007</f>
        <v>559.342894</v>
      </c>
      <c r="G103" s="3">
        <f>595+(246.8-175)+(-0.30345+(-0.125868--0.08925))+0-127.7--0.065126999999987</f>
        <v>538.8250589999999</v>
      </c>
      <c r="H103" s="3">
        <f>595.3+(244.1-188.2)+(-0.910809+(-0.373473--0.287946))+0-129.1--0.197523000000007</f>
        <v>521.30118699999991</v>
      </c>
      <c r="I103" s="3">
        <f>610+(284.9-249.3)+(0+(0-0))+0-128.6-0</f>
        <v>516.99999999999989</v>
      </c>
      <c r="J103" s="3">
        <f>535.8+(328.1-228.2)+(0.546516+(0.334662-0.232764))+0-128.5-0.13107000000002</f>
        <v>507.71734400000003</v>
      </c>
      <c r="K103" s="3">
        <f>492.4+(342.6-229)+(-1.004496+(-0.698904--0.46716))+0-119.6--0.243983999999995</f>
        <v>485.40774400000004</v>
      </c>
      <c r="L103" s="3">
        <f>495.5+(413.3-305.2)+(-0.50541+(-0.421566--0.311304))+0-120.3--0.122706000000019</f>
        <v>482.80703399999999</v>
      </c>
      <c r="M103" s="3">
        <f>498.7+(487.3-336.5)+(0.763011+(0.745569-0.514845))+0-121.9-0.186507000000007</f>
        <v>528.40722800000003</v>
      </c>
      <c r="N103" s="3">
        <f>490.8+(536.8-322.9)+(-0.250308+(-0.273768--0.164679))+0-131.3--0.0669629999999867</f>
        <v>573.10756600000013</v>
      </c>
      <c r="O103" s="3">
        <f>581.7+(466.7-317.9)+(0+(0-0))+0-130.7-0</f>
        <v>599.79999999999995</v>
      </c>
      <c r="P103" s="3">
        <f>586.6+(355.7-212.9)+(1.49583+(0.907035-0.542895))+0-134.2-0.34220999999998</f>
        <v>596.71776</v>
      </c>
      <c r="Q103" s="3">
        <f>625.4+(253.4-115.1)+(0.318954+(0.129234-0.058701))+0-131-0.0668099999999867</f>
        <v>633.02267700000004</v>
      </c>
      <c r="R103" s="3">
        <f>608.4+(284.9-149.1)+(0.310284+(0.145299-0.076041))+0-115.3-0.0588029999999883</f>
        <v>629.22073899999998</v>
      </c>
      <c r="S103" s="3">
        <f>593.6+(337.9-191.8)+(0+(0-0))+0-131.3-0</f>
        <v>608.40000000000009</v>
      </c>
      <c r="T103" s="3">
        <f>584.4+(356.6-249)+(0+(0-0))+0-113.4-0</f>
        <v>578.6</v>
      </c>
      <c r="U103" s="3">
        <f>585.2+(411.7-309.6)+(-0.895356+(-0.629901--0.473688))+0-122.4--0.187272000000007</f>
        <v>564.03570300000001</v>
      </c>
      <c r="V103" s="3">
        <f>571.4+(303.7-179.9)+(0+(0-0))+0-122.3-0</f>
        <v>572.9</v>
      </c>
      <c r="W103" s="3">
        <f>558.7+(263.1-102.8)+(-1.424685+(-0.670905--0.26214))+0-132.1--0.336854999999981</f>
        <v>585.40340500000002</v>
      </c>
      <c r="X103" s="3">
        <f>559+(339.1-180.2)+(-1.14036+(-0.691764--0.367608))+0-150.4--0.306815999999993</f>
        <v>566.34230000000014</v>
      </c>
      <c r="Y103" s="3">
        <f>492+(456.3-251.2)+(-1.00368+(-0.930852--0.512448))+0-133.6--0.272543999999994</f>
        <v>562.35046</v>
      </c>
      <c r="Z103" s="3">
        <f>588.7+(269.1-133.4)+(-0.300237+(-0.137241--0.068034))+0-135.9--0.0693089999999862</f>
        <v>588.19986500000005</v>
      </c>
      <c r="AA103" s="3">
        <f>618.2+(274.3-146)+(-0.630564+(-0.279786--0.14892))+0-164.7--0.167994000000026</f>
        <v>581.20656399999996</v>
      </c>
      <c r="AB103" s="3">
        <f>630.8+(243.5-181.2)+(-0.643416+(-0.24837--0.184824))+0-128.9--0.131478000000021</f>
        <v>563.62451599999997</v>
      </c>
      <c r="AC103" s="3">
        <f>630.9+(244.5-189)+(-0.321759+(-0.124695--0.09639))+0-136.7--0.0697169999999861</f>
        <v>549.41965300000004</v>
      </c>
      <c r="AD103">
        <f t="shared" si="1"/>
        <v>13493.159698000003</v>
      </c>
      <c r="AE103" s="3">
        <f>623+(268.6-149.9)+(0+(0-0))+0-173.5-0</f>
        <v>568.20000000000005</v>
      </c>
    </row>
    <row r="104" spans="1:31" s="2" customFormat="1" x14ac:dyDescent="0.25">
      <c r="A104">
        <v>89</v>
      </c>
      <c r="B104">
        <v>4</v>
      </c>
      <c r="C104">
        <v>11</v>
      </c>
      <c r="D104">
        <v>7</v>
      </c>
      <c r="E104">
        <v>1</v>
      </c>
      <c r="F104" s="3">
        <f>618.1+(243.7-183.4)+(0+(0-0))+0-140.8-0</f>
        <v>537.59999999999991</v>
      </c>
      <c r="G104" s="3">
        <f>626.1+(247.1-199.6)+(-0.638622+(-0.252042--0.203592))+0-152.7--0.155754000000024</f>
        <v>520.36868200000015</v>
      </c>
      <c r="H104" s="3">
        <f>608.7+(241.6-204.5)+(0+(0-0))+0-135.1-0</f>
        <v>510.70000000000005</v>
      </c>
      <c r="I104" s="3">
        <f>581.5+(249.7-189.1)+(-1.18626+(-0.509388--0.385764))+0-145.3--0.296411999999994</f>
        <v>495.78652799999998</v>
      </c>
      <c r="J104" s="3">
        <f>584.7+(251.8-208.3)+(-0.596394+(-0.256836--0.212466))+0-136.3--0.139026000000022</f>
        <v>491.39826200000005</v>
      </c>
      <c r="K104" s="3">
        <f>589.8+(323.4-304.8)+(-1.50399+(-0.82467--0.77724))+0-142.3--0.362864999999979</f>
        <v>464.91144499999984</v>
      </c>
      <c r="L104" s="3">
        <f>577.8+(300.5-311.7)+(-0.589356+(-0.30651--0.317934))+0-120.5--0.122910000000019</f>
        <v>445.64497799999992</v>
      </c>
      <c r="M104" s="3">
        <f>534.8+(236.2-203)+(0+(0-0))+0-121.8-0</f>
        <v>446.2</v>
      </c>
      <c r="N104" s="3">
        <f>522.7+(254.6-175.6)+(0+(0-0))+0-140.6-0</f>
        <v>461.1</v>
      </c>
      <c r="O104" s="3">
        <f>510.1+(268.3-159.7)+(-0.520302+(-0.273666--0.162894))+0-140.4--0.143208000000022</f>
        <v>477.81213400000007</v>
      </c>
      <c r="P104" s="3">
        <f>488.1+(264.5-118.2)+(0+(0-0))+0-140.6-0</f>
        <v>493.80000000000007</v>
      </c>
      <c r="Q104" s="3">
        <f>477.5+(272-103.8)+(-0.243525+(-0.13872--0.052938))+0-143.5--0.0731849999999854</f>
        <v>501.94387800000004</v>
      </c>
      <c r="R104" s="3">
        <f>557.1+(272.9-172.3)+(-0.284121+(-0.139179--0.087873))+0-143--0.0729299999999855</f>
        <v>514.43750300000011</v>
      </c>
      <c r="S104" s="3">
        <f>555.5+(303.7-218.7)+(0.56661+(0.309774-0.223074))+0-132-0.134640000000021</f>
        <v>509.01866999999999</v>
      </c>
      <c r="T104" s="3">
        <f>539.3+(374.6-265.1)+(-0.275043+(-0.191046--0.135201))+0-134.5--0.0685949999999864</f>
        <v>514.03770699999995</v>
      </c>
      <c r="U104" s="3">
        <f>536+(367.1-255.1)+(-0.27336+(-0.187221--0.130101))+0-138.5--0.0706349999999859</f>
        <v>509.24015500000002</v>
      </c>
      <c r="V104" s="3">
        <f>537.6+(339-222)+(0.274176+(0.17289-0.11322))+0-148.8-0.0758879999999849</f>
        <v>506.05795800000004</v>
      </c>
      <c r="W104" s="3">
        <f>540.7+(272.3-176.4)+(-1.103028+(-0.555492--0.359856))+0-131.9--0.269075999999994</f>
        <v>503.670412</v>
      </c>
      <c r="X104" s="3">
        <f>511.3+(281.6-160.1)+(-0.260763+(-0.143616--0.081651))+0-133.2--0.0679319999999865</f>
        <v>499.34520400000008</v>
      </c>
      <c r="Y104" s="3">
        <f>451.4+(329.4-145.1)+(-0.690642+(-0.503982--0.222003))+0-133.3--0.203949000000008</f>
        <v>501.63132799999994</v>
      </c>
      <c r="Z104" s="3">
        <f>567+(255.9-131.4)+(0+(0-0))+0-155.6-0</f>
        <v>535.9</v>
      </c>
      <c r="AA104" s="3">
        <f>601.5+(266.8-190.9)+(-0.306765+(-0.136068--0.097359))+0-144.4--0.0736439999999854</f>
        <v>532.72816999999998</v>
      </c>
      <c r="AB104" s="3">
        <f>614.8+(277.3-206.6)+(-0.627096+(-0.282846--0.210732))+0-157.6--0.160752000000025</f>
        <v>527.36154199999999</v>
      </c>
      <c r="AC104" s="3">
        <f>617.1+(258.1-220.1)+(0.314721+(0.131631-0.112251))+0-132.8-0.0677279999999865</f>
        <v>522.56637300000011</v>
      </c>
      <c r="AD104">
        <f t="shared" si="1"/>
        <v>12023.260929</v>
      </c>
      <c r="AE104" s="3">
        <f>602+(298.7-191.5)+(0+(0-0))+0-180.2-0</f>
        <v>529</v>
      </c>
    </row>
    <row r="105" spans="1:31" s="2" customFormat="1" x14ac:dyDescent="0.25">
      <c r="A105">
        <v>89</v>
      </c>
      <c r="B105">
        <v>4</v>
      </c>
      <c r="C105">
        <v>12</v>
      </c>
      <c r="D105">
        <v>1</v>
      </c>
      <c r="E105">
        <v>1</v>
      </c>
      <c r="F105" s="3">
        <f>622.5+(249.8-217.7)+(0.63495+(0.254796-0.222054))+0-134.6-0.137292000000021</f>
        <v>520.53039999999999</v>
      </c>
      <c r="G105" s="3">
        <f>607.7+(224.5-200.7)+(-0.309927+(-0.114495--0.102357))+0-128.7--0.0656369999999869</f>
        <v>502.54357200000004</v>
      </c>
      <c r="H105" s="3">
        <f>594.4+(220.9-201.1)+(-0.303144+(-0.112659--0.102561))+0-130--0.0662999999999868</f>
        <v>483.95305800000011</v>
      </c>
      <c r="I105" s="3">
        <f>603.2+(219.7-207.8)+(0+(0-0))+0-137-0</f>
        <v>478.1</v>
      </c>
      <c r="J105" s="3">
        <f>604.5+(216-213)+(-0.924885+(-0.33048--0.32589))+0-132.7--0.203031000000008</f>
        <v>474.073556</v>
      </c>
      <c r="K105" s="3">
        <f>572.6+(221-207.5)+(-1.46013+(-0.56355--0.529125))+0-128.6--0.327929999999981</f>
        <v>456.33337499999999</v>
      </c>
      <c r="L105" s="3">
        <f>569.5+(229.3-199.8)+(0+(0-0))+0-128-0</f>
        <v>471</v>
      </c>
      <c r="M105" s="3">
        <f>568.1+(279.5-195.5)+(0.579462+(0.28509-0.19941))+0-130.4-0.133008000000021</f>
        <v>522.23213399999997</v>
      </c>
      <c r="N105" s="3">
        <f>557+(307-159.7)+(0.28407+(0.15657-0.081447))+0-138.8-0.0707879999999859</f>
        <v>565.78840500000001</v>
      </c>
      <c r="O105" s="3">
        <f>579.7+(315.2-165.5)+(0.886941+(0.482256-0.253215))+0-131.8-0.201654000000008</f>
        <v>598.51432800000021</v>
      </c>
      <c r="P105" s="3">
        <f>574.1+(277.4-117.7)+(1.171164+(0.565896-0.240108))+0-146.4-0.298655999999994</f>
        <v>588.598296</v>
      </c>
      <c r="Q105" s="3">
        <f>559.4+(362.9-124.6)+(-0.285294+(-0.185079--0.063546))+0-147.4--0.075173999999985</f>
        <v>649.96834699999988</v>
      </c>
      <c r="R105" s="3">
        <f>588.2+(441.4-224.6)+(0+(0-0))+0-147.1-0</f>
        <v>657.9</v>
      </c>
      <c r="S105" s="3">
        <f>586.9+(522.3-334.9)+(0+(0-0))+0-130.8-0</f>
        <v>643.5</v>
      </c>
      <c r="T105" s="3">
        <f>585.2+(514.5-342.1)+(0.298452+(0.262395-0.174471))+0-138.6-0.0706859999999859</f>
        <v>619.31569000000002</v>
      </c>
      <c r="U105" s="3">
        <f>581.5+(458.9-300.1)+(0.296565+(0.234039-0.153051))+0-132-0.0673199999999866</f>
        <v>608.61023299999999</v>
      </c>
      <c r="V105" s="3">
        <f>565.8+(400.4-220.5)+(0.577116+(0.408408-0.22491))+0-135.5-0.138210000000022</f>
        <v>610.82240399999989</v>
      </c>
      <c r="W105" s="3">
        <f>552.3+(332.3-126.7)+(0+(0-0))+0-140.6-0</f>
        <v>617.29999999999995</v>
      </c>
      <c r="X105" s="3">
        <f>552.3+(313.8-125.8)+(-0.563346+(-0.320076--0.128316))+0-122.2--0.124644000000019</f>
        <v>617.46953799999994</v>
      </c>
      <c r="Y105" s="3">
        <f>565.6+(384.5-211)+(0+(0-0))+0-127.6-0</f>
        <v>611.5</v>
      </c>
      <c r="Z105" s="3">
        <f>600.7+(276.4-85.4)+(-0.306357+(-0.140964--0.043554))+0-156.8--0.0799679999999841</f>
        <v>634.57620100000008</v>
      </c>
      <c r="AA105" s="3">
        <f>632.5+(292.8-154.4)+(-0.64515+(-0.298656--0.157488))+0-145.5--0.148410000000023</f>
        <v>624.76209199999994</v>
      </c>
      <c r="AB105" s="3">
        <f>619.5+(294.4-168.1)+(0+(0-0))+0-149-0</f>
        <v>596.79999999999995</v>
      </c>
      <c r="AC105" s="3">
        <f>612.7+(284.7-168.7)+(-0.312477+(-0.145197--0.086037))+0-143.9--0.0733889999999854</f>
        <v>584.50175200000012</v>
      </c>
      <c r="AD105">
        <f t="shared" si="1"/>
        <v>13738.693380999997</v>
      </c>
      <c r="AE105" s="3">
        <f>628+(288.8-154.8)+(0+(0-0))+0-114.2-0</f>
        <v>647.79999999999995</v>
      </c>
    </row>
    <row r="106" spans="1:31" s="2" customFormat="1" x14ac:dyDescent="0.25">
      <c r="A106">
        <v>89</v>
      </c>
      <c r="B106">
        <v>4</v>
      </c>
      <c r="C106">
        <v>13</v>
      </c>
      <c r="D106">
        <v>2</v>
      </c>
      <c r="E106">
        <v>1</v>
      </c>
      <c r="F106" s="3">
        <f>567+(286.1-154.4)+(-0.57834+(-0.291822--0.157488))+0-145.1--0.148002000000023</f>
        <v>553.03532800000005</v>
      </c>
      <c r="G106" s="3">
        <f>542.6+(273.9-117.4)+(-0.553452+(-0.279378--0.119748))+0-152.8--0.155856000000024</f>
        <v>545.74277399999994</v>
      </c>
      <c r="H106" s="3">
        <f>522.1+(263.9-119.9)+(0+(0-0))+0-146.1-0</f>
        <v>520</v>
      </c>
      <c r="I106" s="3">
        <f>528.4+(273.5-144.1)+(0+(0-0))+0-145.8-0</f>
        <v>511.99999999999994</v>
      </c>
      <c r="J106" s="3">
        <f>534+(283.6-163)+(0.81702+(0.433908-0.24939))+0-149.8-0.229194000000009</f>
        <v>505.57234399999999</v>
      </c>
      <c r="K106" s="3">
        <f>526.2+(293.2-192.8)+(-0.268362+(-0.149532--0.098328))+0-146.9--0.0749189999999851</f>
        <v>479.455353</v>
      </c>
      <c r="L106" s="3">
        <f>526+(311.7-220.5)+(0+(0-0))+0-136.8-0</f>
        <v>480.40000000000003</v>
      </c>
      <c r="M106" s="3">
        <f>534.5+(340.5-211.8)+(-0.817785+(-0.520965--0.324054))+0-131.6--0.201348000000008</f>
        <v>530.78665200000012</v>
      </c>
      <c r="N106" s="3">
        <f>614.7+(331.4-237.1)+(-0.626994+(-0.338028--0.241842))+0-144.6--0.147492000000023</f>
        <v>563.82431200000008</v>
      </c>
      <c r="O106" s="3">
        <f>618.8+(358.4-226.2)+(-0.946764+(-0.548352--0.346086))+0-150.8--0.230724000000009</f>
        <v>599.28169400000002</v>
      </c>
      <c r="P106" s="3">
        <f>478.8+(384.4-93.4)+(-0.244188+(-0.196044--0.047634))+0-145.9--0.0744089999999852</f>
        <v>623.5818109999999</v>
      </c>
      <c r="Q106" s="3">
        <f>389.5+(456.9-56.2)+(-0.198645+(-0.233019--0.028662))+0-158.6--0.0808859999999839</f>
        <v>631.27788399999997</v>
      </c>
      <c r="R106" s="3">
        <f>399.5+(540.2-159.5)+(0.40749+(0.551004-0.16269))+0-132.9-0.135558000000021</f>
        <v>647.96024599999998</v>
      </c>
      <c r="S106" s="3">
        <f>446.8+(574.9-249.8)+(0.227868+(0.293199-0.127398))+0-117.9-0.060128999999988</f>
        <v>654.33354000000008</v>
      </c>
      <c r="T106" s="3">
        <f>508.2+(526-303.4)+(0.259182+(0.26826-0.154734))+0-96.8-0.0493679999999902</f>
        <v>634.32334000000003</v>
      </c>
      <c r="U106" s="3">
        <f>506.3+(519-336.5)+(0.258213+(0.26469-0.171615))+0-66.3-0.0338129999999933</f>
        <v>622.81747499999994</v>
      </c>
      <c r="V106" s="3">
        <f>508.7+(461.3-258.9)+(-0.259437+(-0.235263--0.132039))+0-77.7--0.0396269999999921</f>
        <v>633.07696599999997</v>
      </c>
      <c r="W106" s="3">
        <f>475.1+(358.2-124.1)+(-0.726903+(-0.548046--0.189873))+0-76--0.116280000000004</f>
        <v>632.23120400000005</v>
      </c>
      <c r="X106" s="3">
        <f>509+(337.5-138.7)+(-0.51918+(-0.34425--0.141474))+0-85.1--0.0868020000000136</f>
        <v>622.06484599999999</v>
      </c>
      <c r="Y106" s="3">
        <f>477.9+(385.7-188)+(-0.243729+(-0.196707--0.09588))+0-66.4--0.0338639999999933</f>
        <v>608.88930799999991</v>
      </c>
      <c r="Z106" s="3">
        <f>601.2+(281.5-97.1)+(0.613224+(0.28713-0.099042))+0-136-0.138720000000022</f>
        <v>650.26259200000004</v>
      </c>
      <c r="AA106" s="3">
        <f>664.8+(291.8-172.4)+(0+(0-0))+0-127.3-0</f>
        <v>656.9</v>
      </c>
      <c r="AB106" s="3">
        <f>667.9+(287.2-192.5)+(-0.340629+(-0.146472--0.098175))+0-137.2--0.0699719999999861</f>
        <v>625.08104600000001</v>
      </c>
      <c r="AC106" s="3">
        <f>655.5+(285.3-210.8)+(0.334305+(0.145503-0.107508))+0-120.8-0.0616079999999877</f>
        <v>609.51069200000006</v>
      </c>
      <c r="AD106">
        <f t="shared" si="1"/>
        <v>14142.409406999997</v>
      </c>
      <c r="AE106" s="3">
        <f>661+(265.3-180.3)+(0+(0-0))+0-104.1-0</f>
        <v>641.9</v>
      </c>
    </row>
    <row r="107" spans="1:31" s="2" customFormat="1" x14ac:dyDescent="0.25">
      <c r="A107">
        <v>89</v>
      </c>
      <c r="B107">
        <v>4</v>
      </c>
      <c r="C107">
        <v>14</v>
      </c>
      <c r="D107">
        <v>3</v>
      </c>
      <c r="E107">
        <v>1</v>
      </c>
      <c r="F107" s="3">
        <f>625+(261.4-200.1)+(0.31875+(0.133314-0.102051))+0-140-0.0713999999999858</f>
        <v>546.5786129999999</v>
      </c>
      <c r="G107" s="3">
        <f>629.3+(221-168.8)+(-0.320943+(-0.11271--0.086088))+0-157.8--0.080477999999984</f>
        <v>523.43291299999999</v>
      </c>
      <c r="H107" s="3">
        <f>631.8+(218.3-181.2)+(-0.644436+(-0.222666--0.184824))+0-154.9--0.157998000000025</f>
        <v>513.47572000000002</v>
      </c>
      <c r="I107" s="3">
        <f>633.6+(210.1-185.8)+(-0.323136+(-0.107151--0.094758))+0-150.9--0.0769589999999847</f>
        <v>506.74143000000004</v>
      </c>
      <c r="J107" s="3">
        <f>639.8+(201.2-202.1)+(-0.652596+(-0.205224--0.206142))+0-139.5--0.142290000000022</f>
        <v>498.89061200000003</v>
      </c>
      <c r="K107" s="3">
        <f>637.9+(284.7-294.9)+(-1.626645+(-0.725985--0.751995))+0-151.6--0.386579999999978</f>
        <v>474.88594499999999</v>
      </c>
      <c r="L107" s="3">
        <f>636.2+(394.8-432.3)+(-1.297848+(-0.805392--0.881892))+0-128.7--0.262547999999994</f>
        <v>469.0412</v>
      </c>
      <c r="M107" s="3">
        <f>631.4+(362.6-350.5)+(0+(0-0))+0-143.8-0</f>
        <v>499.7</v>
      </c>
      <c r="N107" s="3">
        <f>630.7+(324.2-269.6)+(0+(0-0))+0-136.1-0</f>
        <v>549.19999999999993</v>
      </c>
      <c r="O107" s="3">
        <f>595.1+(309.1-184.7)+(0.303501+(0.157641-0.094197))+0-138.3-0.070532999999986</f>
        <v>581.49641200000008</v>
      </c>
      <c r="P107" s="3">
        <f>583.1+(275.2-113.7)+(0.297381+(0.140352-0.057987))+0-147.7-0.075326999999985</f>
        <v>597.20441899999992</v>
      </c>
      <c r="Q107" s="3">
        <f>580.4+(297.8-115.7)+(0.592008+(0.303756-0.118014))+0-146.3-0.149226000000023</f>
        <v>616.82852400000002</v>
      </c>
      <c r="R107" s="3">
        <f>616.8+(407.1-233.1)+(0.943704+(0.622863-0.356643))+0-132.1-0.202113000000008</f>
        <v>659.70781099999988</v>
      </c>
      <c r="S107" s="3">
        <f>620.7+(512.2-341.1)+(0.633114+(0.522444-0.347922))+0-140.4-0.143208000000022</f>
        <v>652.06442800000002</v>
      </c>
      <c r="T107" s="3">
        <f>617+(523-380.6)+(0.94401+(0.80019-0.582318))+0-134.7-0.206091000000008</f>
        <v>625.65579099999991</v>
      </c>
      <c r="U107" s="3">
        <f>595.5+(518.7-376.6)+(0.911115+(0.793611-0.576198))+0-120.4-0.184212000000007</f>
        <v>618.144316</v>
      </c>
      <c r="V107" s="3">
        <f>597.9+(479.6-321.9)+(0+(0-0))+0-133.7-0</f>
        <v>621.90000000000009</v>
      </c>
      <c r="W107" s="3">
        <f>591.6+(323.2-169.3)+(-0.603432+(-0.329664--0.172686))+0-118--0.120360000000019</f>
        <v>626.85995000000003</v>
      </c>
      <c r="X107" s="3">
        <f>555.2+(306.1-121.2)+(-0.566304+(-0.312222--0.123624))+0-123.4--0.12586800000002</f>
        <v>616.07096600000011</v>
      </c>
      <c r="Y107" s="3">
        <f>558+(368.5-190.8)+(-0.28458+(-0.187935--0.097308))+0-127.9--0.065228999999987</f>
        <v>607.49002199999995</v>
      </c>
      <c r="Z107" s="3">
        <f>581.7+(312.9-130.4)+(0.593334+(0.319158-0.133008))+0-133.7-0.136374000000021</f>
        <v>631.14311000000009</v>
      </c>
      <c r="AA107" s="3">
        <f>602.6+(391.2-232.2)+(-0.307326+(-0.199512--0.118422))+0-135.8--0.0692579999999862</f>
        <v>625.48084199999994</v>
      </c>
      <c r="AB107" s="3">
        <f>611.7+(360.6-239.7)+(0+(0-0))+0-124.9-0</f>
        <v>607.70000000000016</v>
      </c>
      <c r="AC107" s="3">
        <f>639.4+(340.1-246.8)+(-0.652188+(-0.346902--0.251736))+0-135.9--0.138618000000022</f>
        <v>596.19126400000016</v>
      </c>
      <c r="AD107">
        <f t="shared" si="1"/>
        <v>13865.884288000001</v>
      </c>
      <c r="AE107" s="3">
        <f>633+(423.9-242.9)+(0+(0-0))+0-151-0</f>
        <v>663</v>
      </c>
    </row>
    <row r="108" spans="1:31" s="2" customFormat="1" x14ac:dyDescent="0.25">
      <c r="A108">
        <v>89</v>
      </c>
      <c r="B108">
        <v>4</v>
      </c>
      <c r="C108">
        <v>15</v>
      </c>
      <c r="D108">
        <v>4</v>
      </c>
      <c r="E108">
        <v>1</v>
      </c>
      <c r="F108" s="3">
        <f>628.8+(299.5-224.5)+(-1.282752+(-0.61098--0.45798))+0-131.5--0.268259999999994</f>
        <v>571.13250799999992</v>
      </c>
      <c r="G108" s="3">
        <f>629.9+(239.7-186.4)+(0.963747+(0.366741-0.285192))+0-135.9-0.207927000000008</f>
        <v>548.13736899999992</v>
      </c>
      <c r="H108" s="3">
        <f>635.4+(235.4-194.6)+(0+(0-0))+0-135.6-0</f>
        <v>540.6</v>
      </c>
      <c r="I108" s="3">
        <f>637.7+(222.4-209.8)+(-0.325227+(-0.113424--0.106998))+0-119.2--0.0607919999999879</f>
        <v>530.82913900000005</v>
      </c>
      <c r="J108" s="3">
        <f>542.6+(257.8-155.1)+(-1.106904+(-0.525912--0.316404))+0-121.7--0.248267999999995</f>
        <v>522.53185599999995</v>
      </c>
      <c r="K108" s="3">
        <f>525.9+(256.5-155.5)+(-0.804627+(-0.392445--0.237915))+0-126.1--0.192933000000007</f>
        <v>500.03377599999993</v>
      </c>
      <c r="L108" s="3">
        <f>526.7+(314.2-232.2)+(-0.537234+(-0.320484--0.236844))+0-103.8--0.105876000000017</f>
        <v>504.3850020000001</v>
      </c>
      <c r="M108" s="3">
        <f>554.7+(356.8-243.6)+(0+(0-0))+0-122.9-0</f>
        <v>545.00000000000011</v>
      </c>
      <c r="N108" s="3">
        <f>589.5+(336.5-214.1)+(0.300645+(0.171615-0.109191))+0-125.8-0.0641579999999872</f>
        <v>586.398911</v>
      </c>
      <c r="O108" s="3">
        <f>629.8+(313.9-203.2)+(1.284792+(0.640356-0.414528))+0-132.4-0.270095999999994</f>
        <v>609.34052400000007</v>
      </c>
      <c r="P108" s="3">
        <f>622.5+(281-141.1)+(0.63495+(0.28662-0.143922))+0-132-0.134640000000021</f>
        <v>631.04300799999999</v>
      </c>
      <c r="Q108" s="3">
        <f>633.6+(278.3-139.5)+(0.323136+(0.141933-0.071145))+0-124.4-0.0634439999999874</f>
        <v>648.33048000000008</v>
      </c>
      <c r="R108" s="3">
        <f>641+(369.7-259.2)+(0.32691+(0.188547-0.132192))+0-130.4-0.0665039999999868</f>
        <v>621.41676100000006</v>
      </c>
      <c r="S108" s="3">
        <f>639.4+(498.8-365.1)+(0.326094+(0.254388-0.186201))+0-126.4-0.0644639999999872</f>
        <v>647.02981699999987</v>
      </c>
      <c r="T108" s="3">
        <f>636+(509.1-390.9)+(0.64872+(0.519282-0.398718))+0-132.6-0.135252000000021</f>
        <v>622.23403199999996</v>
      </c>
      <c r="U108" s="3">
        <f>623+(480.8-358)+(0.95319+(0.735624-0.54774))+0-135.1-0.206703000000008</f>
        <v>611.63437099999987</v>
      </c>
      <c r="V108" s="3">
        <f>611.1+(417.2-280.7)+(0.623322+(0.425544-0.286314))+0-131-0.133620000000021</f>
        <v>617.22893199999999</v>
      </c>
      <c r="W108" s="3">
        <f>590+(291.9-132.3)+(0.3009+(0.148869-0.067473))+0-123.7-0.0630869999999875</f>
        <v>626.21920899999986</v>
      </c>
      <c r="X108" s="3">
        <f>560.9+(353.6-171.9)+(-0.286059+(-0.180336--0.087669))+0-132.6--0.0676259999999865</f>
        <v>609.68889999999999</v>
      </c>
      <c r="Y108" s="3">
        <f>556.9+(450.5-270.8)+(0+(0-0))+0-128.9-0</f>
        <v>607.69999999999993</v>
      </c>
      <c r="Z108" s="3">
        <f>592.5+(272.8-105.9)+(0.60435+(0.278256-0.108018))+0-132.9-0.135558000000021</f>
        <v>627.13902999999993</v>
      </c>
      <c r="AA108" s="3">
        <f>623.1+(294.3-159.8)+(0+(0-0))+0-139.5-0</f>
        <v>618.1</v>
      </c>
      <c r="AB108" s="3">
        <f>640.7+(268.7-177.9)+(0.326757+(0.137037-0.090729))+0-127.7-0.065126999999987</f>
        <v>604.10793799999999</v>
      </c>
      <c r="AC108" s="3">
        <f>646.3+(267.9-191.9)+(-0.988839+(-0.409887--0.293607))+0-137.3--0.210069000000008</f>
        <v>584.10494999999992</v>
      </c>
      <c r="AD108">
        <f t="shared" si="1"/>
        <v>14134.366513000001</v>
      </c>
      <c r="AE108" s="3">
        <f>630+(286.5-172.6)+(0+(0-0))+0-150.1-0</f>
        <v>593.79999999999995</v>
      </c>
    </row>
    <row r="109" spans="1:31" s="2" customFormat="1" x14ac:dyDescent="0.25">
      <c r="A109">
        <v>89</v>
      </c>
      <c r="B109">
        <v>4</v>
      </c>
      <c r="C109">
        <v>16</v>
      </c>
      <c r="D109">
        <v>5</v>
      </c>
      <c r="E109">
        <v>1</v>
      </c>
      <c r="F109" s="3">
        <f>662.1+(246.3-196.8)+(-0.675342+(-0.251226--0.200736))+0-134.4--0.137088000000021</f>
        <v>576.61125600000014</v>
      </c>
      <c r="G109" s="3">
        <f>647.4+(242.6-206.4)+(-0.330174+(-0.123726--0.105264))+0-142--0.0724199999999856</f>
        <v>541.32378399999982</v>
      </c>
      <c r="H109" s="3">
        <f>643.6+(238.4-217.2)+(0+(0-0))+0-130-0</f>
        <v>534.80000000000007</v>
      </c>
      <c r="I109" s="3">
        <f>644.7+(236.7-233.4)+(-0.328797+(-0.120717--0.119034))+0-128--0.065279999999987</f>
        <v>519.73480000000006</v>
      </c>
      <c r="J109" s="3">
        <f>650.1+(228.5-241.6)+(0+(0-0))+0-121.2-0</f>
        <v>515.79999999999995</v>
      </c>
      <c r="K109" s="3">
        <f>630+(257.8-252.1)+(-1.6065+(-0.65739--0.642855))+0-133.3--0.339914999999981</f>
        <v>501.11887999999999</v>
      </c>
      <c r="L109" s="3">
        <f>549.4+(416.5-338.7)+(-0.560388+(-0.42483--0.345474))+0-122--0.124440000000019</f>
        <v>504.68469600000009</v>
      </c>
      <c r="M109" s="3">
        <f>554.1+(424.3-291.2)+(0.282591+(0.216393-0.148512))+0-141.2-0.0720119999999857</f>
        <v>546.27846000000011</v>
      </c>
      <c r="N109" s="3">
        <f>643.2+(421.2-339.7)+(0.328032+(0.214812-0.173247))+0-130-0.0662999999999868</f>
        <v>595.00329700000009</v>
      </c>
      <c r="O109" s="3">
        <f>635.7+(389-246.1)+(0.324207+(0.19839-0.125511))+0-154.8-0.0789479999999843</f>
        <v>624.11813799999993</v>
      </c>
      <c r="P109" s="3">
        <f>668.7+(320.8-189.3)+(0.682074+(0.327216-0.193086))+0-144.9-0.147798000000023</f>
        <v>655.96840599999996</v>
      </c>
      <c r="Q109" s="3">
        <f>670.7+(266.9-111.7)+(0+(0-0))+0-144.6-0</f>
        <v>681.30000000000007</v>
      </c>
      <c r="R109" s="3">
        <f>662.8+(352.8-180)+(1.014084+(0.539784-0.2754))+0-158-0.241740000000009</f>
        <v>678.63672799999983</v>
      </c>
      <c r="S109" s="3">
        <f>657.9+(389-236.3)+(0.335529+(0.19839-0.120513))+0-143.3-0.0730829999999855</f>
        <v>667.64032299999985</v>
      </c>
      <c r="T109" s="3">
        <f>655.6+(381.5-266.7)+(0+(0-0))+0-128.7-0</f>
        <v>641.70000000000005</v>
      </c>
      <c r="U109" s="3">
        <f>610.5+(370.8-231.1)+(-0.62271+(-0.378216--0.235722))+0-140.3--0.143106000000022</f>
        <v>609.27790200000004</v>
      </c>
      <c r="V109" s="3">
        <f>588.4+(367.3-197.3)+(-0.300084+(-0.187323--0.100623))+0-143.7--0.0732869999999854</f>
        <v>614.38650299999995</v>
      </c>
      <c r="W109" s="3">
        <f>570.2+(322.2-114.5)+(0.581604+(0.328644-0.11679))+0-156.5-0.159630000000025</f>
        <v>622.03382800000009</v>
      </c>
      <c r="X109" s="3">
        <f>569.7+(376.1-197.6)+(-0.290547+(-0.191811--0.100776))+0-134.7--0.0686969999999863</f>
        <v>613.18711500000006</v>
      </c>
      <c r="Y109" s="3">
        <f>577.5+(457.2-306.2)+(0+(0-0))+0-125-0</f>
        <v>603.5</v>
      </c>
      <c r="Z109" s="3">
        <f>605.7+(284.6-116.7)+(0.308907+(0.145146-0.059517))+0-131.5-0.0670649999999867</f>
        <v>642.4274710000002</v>
      </c>
      <c r="AA109" s="3">
        <f>651.8+(273.9-156.1)+(0+(0-0))+0-132.8-0</f>
        <v>636.79999999999995</v>
      </c>
      <c r="AB109" s="3">
        <f>663.6+(264.2-171.8)+(0.338436+(0.134742-0.087618))+0-138.2-0.070481999999986</f>
        <v>618.11507800000015</v>
      </c>
      <c r="AC109" s="3">
        <f>641.1+(322.6-215.3)+(0+(0-0))+0-145.2-0</f>
        <v>603.20000000000005</v>
      </c>
      <c r="AD109">
        <f t="shared" si="1"/>
        <v>14347.646665000002</v>
      </c>
      <c r="AE109" s="3">
        <f>661+(269.8-163.5)+(0+(0-0))+0-128.9-0</f>
        <v>638.4</v>
      </c>
    </row>
    <row r="110" spans="1:31" s="2" customFormat="1" x14ac:dyDescent="0.25">
      <c r="A110">
        <v>89</v>
      </c>
      <c r="B110">
        <v>4</v>
      </c>
      <c r="C110">
        <v>17</v>
      </c>
      <c r="D110">
        <v>6</v>
      </c>
      <c r="E110">
        <v>1</v>
      </c>
      <c r="F110" s="3">
        <f>587.6+(343.5-207.8)+(0.299676+(0.175185-0.105978))+0-140.4-0.0716039999999858</f>
        <v>583.19727899999998</v>
      </c>
      <c r="G110" s="3">
        <f>553.7+(302.3-150.7)+(0+(0-0))+0-144.8-0</f>
        <v>560.5</v>
      </c>
      <c r="H110" s="3">
        <f>536+(288.9-151.1)+(0.27336+(0.147339-0.077061))+0-134.6-0.0686459999999863</f>
        <v>539.47499200000004</v>
      </c>
      <c r="I110" s="3">
        <f>539.2+(299.5-149.6)+(0.549984+(0.30549-0.152592))+0-158-0.161160000000025</f>
        <v>531.64172200000007</v>
      </c>
      <c r="J110" s="3">
        <f>540.8+(290.8-159.1)+(0.275808+(0.148308-0.081141))+0-139.6-0.0711959999999858</f>
        <v>533.17177900000002</v>
      </c>
      <c r="K110" s="3">
        <f>545.4+(300.3-198.5)+(0+(0-0))+0-136.3-0</f>
        <v>510.90000000000003</v>
      </c>
      <c r="L110" s="3">
        <f>543.7+(370.3-268.9)+(-0.831861+(-0.566559--0.411417))+0-137.9--0.210987000000008</f>
        <v>506.42398400000019</v>
      </c>
      <c r="M110" s="3">
        <f>544.7+(439.6-299.2)+(-0.833391+(-0.672588--0.457776))+0-139.3--0.213129000000008</f>
        <v>544.9649260000001</v>
      </c>
      <c r="N110" s="3">
        <f>538.4+(434.1-248.5)+(-1.098336+(-0.885564--0.50694))+0-143.6--0.292943999999994</f>
        <v>579.21598400000005</v>
      </c>
      <c r="O110" s="3">
        <f>535+(396.8-226.5)+(-0.27285+(-0.202368--0.115515))+0-154.5--0.0787949999999843</f>
        <v>550.519092</v>
      </c>
      <c r="P110" s="3">
        <f>542.5+(330.7-163)+(0.276675+(0.168657-0.08313))+0-139.6-0.0711959999999858</f>
        <v>570.89100600000006</v>
      </c>
      <c r="Q110" s="3">
        <f>575.1+(264.4-128.4)+(0.586602+(0.269688-0.130968))+0-135.7-0.138414000000022</f>
        <v>575.98690800000008</v>
      </c>
      <c r="R110" s="3">
        <f>607.9+(332-199.5)+(0.620058+(0.33864-0.20349))+0-124.2-0.12668400000002</f>
        <v>616.8285239999999</v>
      </c>
      <c r="S110" s="3">
        <f>635.3+(335.5-251.4)+(0+(0-0))+0-106-0</f>
        <v>613.4</v>
      </c>
      <c r="T110" s="3">
        <f>617.6+(388.9-284.5)+(0.314976+(0.198339-0.145095))+0-130.6-0.0666059999999867</f>
        <v>591.70161399999995</v>
      </c>
      <c r="U110" s="3">
        <f>536.9+(432.3-266.5)+(0.273819+(0.220473-0.135915))+0-130.2-0.0664019999999868</f>
        <v>572.79197499999998</v>
      </c>
      <c r="V110" s="3">
        <f>531.9+(404.4-220.6)+(0+(0-0))+0-137.3-0</f>
        <v>578.39999999999986</v>
      </c>
      <c r="W110" s="3">
        <f>559.7+(309.2-124.5)+(-0.285447+(-0.157692--0.063495))+0-156.6--0.0798659999999841</f>
        <v>587.50022200000012</v>
      </c>
      <c r="X110" s="3">
        <f>565.1+(357.1-192.8)+(-0.864603+(-0.546363--0.294984))+0-142.4--0.217872000000008</f>
        <v>586.10189000000014</v>
      </c>
      <c r="Y110" s="3">
        <f>571.3+(434.6-300.3)+(-0.291363+(-0.221646--0.153153))+0-136.7--0.0697169999999861</f>
        <v>568.6098609999998</v>
      </c>
      <c r="Z110" s="3">
        <f>599.4+(271.1-137.3)+(0+(0-0))+0-137.6-0</f>
        <v>595.6</v>
      </c>
      <c r="AA110" s="3">
        <f>640.9+(262.2-146.1)+(-1.307436+(-0.534888--0.298044))+0-164.6--0.335783999999993</f>
        <v>591.19150400000001</v>
      </c>
      <c r="AB110" s="3">
        <f>661.1+(237.9-188)+(-0.337161+(-0.121329--0.09588))+0-129.1--0.0658409999999869</f>
        <v>581.60323099999994</v>
      </c>
      <c r="AC110" s="3">
        <f>665.2+(238.8-196.6)+(0.339252+(0.121788-0.100266))+0-137.6-0.070175999999986</f>
        <v>570.09059800000011</v>
      </c>
      <c r="AD110">
        <f t="shared" si="1"/>
        <v>13640.707090999998</v>
      </c>
      <c r="AE110" s="3">
        <f>616+(257.1-149.1)+(0+(0-0))+0-144.4-0</f>
        <v>579.6</v>
      </c>
    </row>
    <row r="111" spans="1:31" s="2" customFormat="1" x14ac:dyDescent="0.25">
      <c r="A111">
        <v>89</v>
      </c>
      <c r="B111">
        <v>4</v>
      </c>
      <c r="C111">
        <v>18</v>
      </c>
      <c r="D111">
        <v>7</v>
      </c>
      <c r="E111">
        <v>1</v>
      </c>
      <c r="F111" s="3">
        <f>642.4+(248.8-192.8)+(0+(0-0))+0-145-0</f>
        <v>553.4</v>
      </c>
      <c r="G111" s="3">
        <f>641+(243.3-208.3)+(-0.32691+(-0.124083--0.106233))+0-141.9--0.0723689999999856</f>
        <v>533.82760900000005</v>
      </c>
      <c r="H111" s="3">
        <f>629.7+(242-209.3)+(0.321147+(0.12342-0.106743))+0-146-0.0744599999999852</f>
        <v>516.66336400000012</v>
      </c>
      <c r="I111" s="3">
        <f>579.8+(249.3-193.9)+(0.295698+(0.127143-0.098889))+0-125.6-0.0640559999999873</f>
        <v>509.85989599999988</v>
      </c>
      <c r="J111" s="3">
        <f>548.8+(263.3-172.3)+(0.279888+(0.134283-0.087873))+0-134.3-0.0684929999999864</f>
        <v>505.75780499999991</v>
      </c>
      <c r="K111" s="3">
        <f>545.8+(321.4-253)+(-0.835074+(-0.491742--0.38709))+0-133.1--0.203643000000008</f>
        <v>480.36391699999996</v>
      </c>
      <c r="L111" s="3">
        <f>549.5+(386.5-337.9)+(0+(0-0))+0-152.3-0</f>
        <v>445.8</v>
      </c>
      <c r="M111" s="3">
        <f>509.3+(377.6-293.8)+(0+(0-0))+0-141.2-0</f>
        <v>451.90000000000003</v>
      </c>
      <c r="N111" s="3">
        <f>488.2+(421.8-314)+(-0.497964+(-0.430236--0.32028))+0-128.5--0.13107000000002</f>
        <v>467.02314999999999</v>
      </c>
      <c r="O111" s="3">
        <f>578.1+(417.5-364)+(0+(0-0))+0-130.3-0</f>
        <v>501.3</v>
      </c>
      <c r="P111" s="3">
        <f>587.2+(340.6-270)+(0.598944+(0.347412-0.2754))+0-150-0.153000000000024</f>
        <v>508.31795600000009</v>
      </c>
      <c r="Q111" s="3">
        <f>580.4+(246.9-158)+(0+(0-0))+0-157.7-0</f>
        <v>511.59999999999997</v>
      </c>
      <c r="R111" s="3">
        <f>597+(235.9-157.5)+(0.30447+(0.120309-0.080325))+0-152.1-0.0775709999999846</f>
        <v>523.56688299999996</v>
      </c>
      <c r="S111" s="3">
        <f>598.2+(262.4-205.9)+(0.610164+(0.267648-0.210018))+0-146.8-0.149736000000023</f>
        <v>508.41805799999997</v>
      </c>
      <c r="T111" s="3">
        <f>586.4+(312.9-249.2)+(0.299064+(0.159579-0.127092))+0-158-0.080579999999984</f>
        <v>492.3509709999999</v>
      </c>
      <c r="U111" s="3">
        <f>562.6+(431.2-362.9)+(-0.573852+(-0.439824--0.370158))+0-149.1--0.152082000000024</f>
        <v>481.3085640000001</v>
      </c>
      <c r="V111" s="3">
        <f>534.9+(435.5-343.6)+(-0.272799+(-0.222105--0.175236))+0-139.3--0.0710429999999859</f>
        <v>487.25137499999994</v>
      </c>
      <c r="W111" s="3">
        <f>528.5+(286.8-188.2)+(-0.269535+(-0.146268--0.095982))+0-134.7--0.0686969999999863</f>
        <v>492.14887599999997</v>
      </c>
      <c r="X111" s="3">
        <f>535.6+(229.4-137.6)+(-0.546312+(-0.233988--0.140352))+0-133.7--0.136374000000021</f>
        <v>493.19642600000014</v>
      </c>
      <c r="Y111" s="3">
        <f>579.6+(306.6-247.9)+(-0.886788+(-0.469098--0.379287))+0-133--0.203490000000008</f>
        <v>504.52689100000009</v>
      </c>
      <c r="Z111" s="3">
        <f>607.9+(237.3-163.5)+(0.310029+(0.121023-0.083385))+0-147.5-0.075224999999985</f>
        <v>534.47244200000011</v>
      </c>
      <c r="AA111" s="3">
        <f>655.7+(225.3-178.2)+(-0.334407+(-0.114903--0.090882))+0-158.6--0.0808859999999839</f>
        <v>543.92245800000001</v>
      </c>
      <c r="AB111" s="3">
        <f>664.2+(233.9-197.5)+(0+(0-0))+0-168.8-0</f>
        <v>531.79999999999995</v>
      </c>
      <c r="AC111" s="3">
        <f>636.6+(257.1-222.8)+(0.324666+(0.131121-0.113628))+0-149.2-0.0760919999999849</f>
        <v>521.96606700000007</v>
      </c>
      <c r="AD111">
        <f t="shared" si="1"/>
        <v>12100.742708</v>
      </c>
      <c r="AE111" s="3">
        <f>653+(243.6-179.1)+(0+(0-0))+0-138.6-0</f>
        <v>578.9</v>
      </c>
    </row>
    <row r="112" spans="1:31" s="2" customFormat="1" x14ac:dyDescent="0.25">
      <c r="A112">
        <v>89</v>
      </c>
      <c r="B112">
        <v>4</v>
      </c>
      <c r="C112">
        <v>19</v>
      </c>
      <c r="D112">
        <v>1</v>
      </c>
      <c r="E112">
        <v>3</v>
      </c>
      <c r="F112" s="3">
        <f>632.9+(256.7-222.9)+(-1.291116+(-0.523668--0.454716))+0-151.2--0.308447999999993</f>
        <v>514.44838000000004</v>
      </c>
      <c r="G112" s="3">
        <f>646.4+(237.1-250.5)+(-0.988992+(-0.362763--0.383265))+0-134.4--0.205632000000008</f>
        <v>497.83714200000003</v>
      </c>
      <c r="H112" s="3">
        <f>649.6+(202-211.1)+(-0.662592+(-0.20604--0.215322))+0-153.1--0.156162000000024</f>
        <v>486.902852</v>
      </c>
      <c r="I112" s="3">
        <f>656.9+(188.8-226.5)+(-0.670038+(-0.192576--0.23103))+0-140--0.142800000000022</f>
        <v>478.71121600000009</v>
      </c>
      <c r="J112" s="3">
        <f>659+(188-214.8)+(-0.67218+(-0.19176--0.219096))+0-155.7--0.158814000000025</f>
        <v>476.01397000000003</v>
      </c>
      <c r="K112" s="3">
        <f>613.5+(190.4-219.6)+(0+(0-0))+0-123.1-0</f>
        <v>461.19999999999993</v>
      </c>
      <c r="L112" s="3">
        <f>536.6+(241.6-207.4)+(0+(0-0))+0-131.2-0</f>
        <v>439.59999999999997</v>
      </c>
      <c r="M112" s="3">
        <f>551.8+(252.4-212)+(-0.844254+(-0.386172--0.32436))+0-125.5--0.192015000000007</f>
        <v>465.98594899999995</v>
      </c>
      <c r="N112" s="3">
        <f>643.5+(292.2-326.6)+(-0.328185+(-0.149022--0.166566))+0-133.9--0.0682889999999864</f>
        <v>474.95764799999989</v>
      </c>
      <c r="O112" s="3">
        <f>628.2+(231.4-231.2)+(0.640764+(0.236028-0.235824))+0-147.8-0.150756000000024</f>
        <v>481.09021200000012</v>
      </c>
      <c r="P112" s="3">
        <f>618+(194.1-177.8)+(0.63036+(0.197982-0.181356))+0-137.9-0.140658000000022</f>
        <v>496.90632799999992</v>
      </c>
      <c r="Q112" s="3">
        <f>612.1+(219-168.2)+(0.624342+(0.22338-0.171564))+0-153.4-0.156468000000024</f>
        <v>510.01969000000008</v>
      </c>
      <c r="R112" s="3">
        <f>637.1+(296.9-271.6)+(0+(0-0))+0-147.9-0</f>
        <v>514.5</v>
      </c>
      <c r="S112" s="3">
        <f>626.6+(351-325.9)+(0+(0-0))+0-136.7-0</f>
        <v>515</v>
      </c>
      <c r="T112" s="3">
        <f>622.9+(381.7-371.9)+(0.317679+(0.194667-0.189669))+2-137.3-0.0700229999999861</f>
        <v>497.65265400000004</v>
      </c>
      <c r="U112" s="3">
        <f>615.1+(372-336.1)+(0+(0-0))+4-150.2-0</f>
        <v>504.8</v>
      </c>
      <c r="V112" s="3">
        <f>608.9+(338.9-298.6)+(0+(0-0))+4-143.9-0</f>
        <v>509.29999999999995</v>
      </c>
      <c r="W112" s="3">
        <f>591.2+(241.2-162.1)+(-0.603024+(-0.246024--0.165342))+4-160.2--0.163404000000026</f>
        <v>513.57969800000012</v>
      </c>
      <c r="X112" s="3">
        <f>572.1+(259.4-176)+(0+(0-0))+4-150.3-0</f>
        <v>509.2</v>
      </c>
      <c r="Y112" s="3">
        <f>567.9+(326.6-235.3)+(0.289629+(0.166566-0.120003))+0-155.2-0.0791519999999842</f>
        <v>504.25704000000007</v>
      </c>
      <c r="Z112" s="3">
        <f>603.1+(249.6-152)+(0+(0-0))+0-165.5-0</f>
        <v>535.20000000000005</v>
      </c>
      <c r="AA112" s="3">
        <f>635.6+(321.5-256.9)+(-0.324156+(-0.163965--0.131019))+0-158.3--0.0807329999999839</f>
        <v>541.62363099999993</v>
      </c>
      <c r="AB112" s="3">
        <f>650.9+(322.8-290.5)+(0+(0-0))+0-154.8-0</f>
        <v>528.40000000000009</v>
      </c>
      <c r="AC112" s="3">
        <f>655.2+(357.2-322.8)+(0+(0-0))+0-154.7-0</f>
        <v>534.90000000000009</v>
      </c>
      <c r="AD112">
        <f t="shared" si="1"/>
        <v>11992.086410000002</v>
      </c>
      <c r="AE112" s="3">
        <f>650+(321.1-279.4)+(0+(0-0))+0-161.4-0</f>
        <v>530.30000000000007</v>
      </c>
    </row>
    <row r="113" spans="1:31" s="2" customFormat="1" x14ac:dyDescent="0.25">
      <c r="A113">
        <v>89</v>
      </c>
      <c r="B113">
        <v>4</v>
      </c>
      <c r="C113">
        <v>20</v>
      </c>
      <c r="D113">
        <v>2</v>
      </c>
      <c r="E113">
        <v>1</v>
      </c>
      <c r="F113" s="3">
        <f>649+(307.3-313.6)+(0+(0-0))+0-151.6-0</f>
        <v>491.1</v>
      </c>
      <c r="G113" s="3">
        <f>643.3+(231.1-250.5)+(-0.984249+(-0.353583--0.383265))+0-150.4--0.230112000000009</f>
        <v>472.77554500000002</v>
      </c>
      <c r="H113" s="3">
        <f>645.8+(191.2-223.2)+(-0.658716+(-0.195024--0.227664))+0-149.7--0.152694000000024</f>
        <v>463.62661799999995</v>
      </c>
      <c r="I113" s="3">
        <f>645.4+(189.4-219)+(-0.987462+(-0.289782--0.33507))+0-154.6--0.236538000000009</f>
        <v>460.4943639999999</v>
      </c>
      <c r="J113" s="3">
        <f>650.3+(181.5-223.9)+(0+(0-0))+0-144.5-0</f>
        <v>463.4</v>
      </c>
      <c r="K113" s="3">
        <f>648.3+(172.5-227.1)+(0+(0-0))+0-148.2-0</f>
        <v>445.49999999999994</v>
      </c>
      <c r="L113" s="3">
        <f>660+(229.2-268.5)+(-0.6732+(-0.233784--0.27387))+0-131.2--0.133824000000021</f>
        <v>489.00071000000008</v>
      </c>
      <c r="M113" s="3">
        <f>658.2+(274-260.8)+(-0.335682+(-0.13974--0.133008))+0-138.6--0.0706859999999859</f>
        <v>532.52827200000013</v>
      </c>
      <c r="N113" s="3">
        <f>648.8+(252.2-193.1)+(0.330888+(0.128622-0.098481))+0-143-0.0729299999999855</f>
        <v>565.18809899999997</v>
      </c>
      <c r="O113" s="3">
        <f>636.2+(239.7-164.6)+(0.324462+(0.122247-0.083946))+0-131.9-0.0672689999999866</f>
        <v>579.69549400000005</v>
      </c>
      <c r="P113" s="3">
        <f>624.8+(237.6-110.8)+(0.637296+(0.242352-0.113016))+0-142.1-0.144942000000023</f>
        <v>610.12168999999983</v>
      </c>
      <c r="Q113" s="3">
        <f>616.8+(285.1-137.9)+(0.629136+(0.290802-0.140658))+13.7-133.8-0.136476000000021</f>
        <v>644.54280400000005</v>
      </c>
      <c r="R113" s="3">
        <f>641.3+(316.3-205.9)+(0.327063+(0.161313-0.105009))+41-118.2-0.060281999999988</f>
        <v>674.82308499999988</v>
      </c>
      <c r="S113" s="3">
        <f>637.4+(411.2-315.3)+(0.325074+(0.209712-0.160803))+41-121-0.0617099999999877</f>
        <v>653.61227299999996</v>
      </c>
      <c r="T113" s="3">
        <f>628.5+(434.2-365.7)+(0.320535+(0.221442-0.186507))+41-108.2-0.055181999999989</f>
        <v>630.10028799999998</v>
      </c>
      <c r="U113" s="3">
        <f>627.3+(426.8-343.3)+(0.639846+(0.435336-0.350166))+41-119.3-0.121686000000019</f>
        <v>633.10332999999991</v>
      </c>
      <c r="V113" s="3">
        <f>622.7+(346.5-261.9)+(0+(0-0))+41-104.8-0</f>
        <v>643.50000000000011</v>
      </c>
      <c r="W113" s="3">
        <f>612.3+(292.8-176.5)+(-1.249092+(-0.597312--0.36006))+41-114.2--0.232967999999995</f>
        <v>654.14662399999986</v>
      </c>
      <c r="X113" s="3">
        <f>591.3+(256.5-115.4)+(0+(0-0))+13.7-110.6-0</f>
        <v>635.5</v>
      </c>
      <c r="Y113" s="3">
        <f>594.1+(321-173.9)+(-0.302991+(-0.16371--0.088689))+0-123.3--0.0628829999999875</f>
        <v>617.58487100000002</v>
      </c>
      <c r="Z113" s="3">
        <f>613.6+(312-156.2)+(0.312936+(0.15912-0.079662))+0-118.5-0.060434999999988</f>
        <v>651.23195900000007</v>
      </c>
      <c r="AA113" s="3">
        <f>655.5+(433.2-304.7)+(-0.66861+(-0.441864--0.310794))+0-135.5--0.138210000000022</f>
        <v>647.83853000000011</v>
      </c>
      <c r="AB113" s="3">
        <f>636.6+(426.9-325.4)+(-0.324666+(-0.217719--0.165954))+0-133.3--0.0679829999999865</f>
        <v>604.49155200000007</v>
      </c>
      <c r="AC113" s="3">
        <f>585.9+(461-320.5)+(-0.298809+(-0.23511--0.163455))+0-143.9--0.0733889999999854</f>
        <v>582.20292500000005</v>
      </c>
      <c r="AD113">
        <f t="shared" si="1"/>
        <v>13846.109032999999</v>
      </c>
      <c r="AE113" s="3">
        <f>658+(417.7-318.8)+(0+(0-0))+0-133.1-0</f>
        <v>623.79999999999995</v>
      </c>
    </row>
    <row r="114" spans="1:31" s="2" customFormat="1" x14ac:dyDescent="0.25">
      <c r="A114">
        <v>89</v>
      </c>
      <c r="B114">
        <v>4</v>
      </c>
      <c r="C114">
        <v>21</v>
      </c>
      <c r="D114">
        <v>3</v>
      </c>
      <c r="E114">
        <v>1</v>
      </c>
      <c r="F114" s="3">
        <f>632.5+(354.2-263.8)+(-0.64515+(-0.361284--0.269076))+0-155.6--0.158712000000025</f>
        <v>566.72135400000002</v>
      </c>
      <c r="G114" s="3">
        <f>633.1+(250.6-184.6)+(-0.322881+(-0.127806--0.094146))+0-162.6--0.0829259999999835</f>
        <v>536.22638499999994</v>
      </c>
      <c r="H114" s="3">
        <f>633.6+(223.8-193.5)+(-1.292544+(-0.456552--0.39474))+0-144.8--0.295391999999994</f>
        <v>518.04103600000008</v>
      </c>
      <c r="I114" s="3">
        <f>644.6+(224.4-192.8)+(0.657492+(0.228888-0.196656))+0-164.2-0.167484000000026</f>
        <v>512.52224000000001</v>
      </c>
      <c r="J114" s="3">
        <f>643.9+(219.2-208.4)+(-0.656778+(-0.223584--0.212568))+0-149.8--0.152796000000024</f>
        <v>504.38500199999999</v>
      </c>
      <c r="K114" s="3">
        <f>643+(241.9-252.2)+(-0.65586+(-0.246738--0.257244))+0-150--0.153000000000024</f>
        <v>482.20764600000007</v>
      </c>
      <c r="L114" s="3">
        <f>640.1+(310.1-346.9)+(0+(0-0))+0-150-0</f>
        <v>453.30000000000007</v>
      </c>
      <c r="M114" s="3">
        <f>639.9+(347.4-328.7)+(0+(0-0))+0-136.3-0</f>
        <v>522.29999999999995</v>
      </c>
      <c r="N114" s="3">
        <f>633.4+(350.9-289.2)+(0+(0-0))+0-136.4-0</f>
        <v>558.69999999999993</v>
      </c>
      <c r="O114" s="3">
        <f>622.4+(400.1-301.2)+(0+(0-0))+0-140-0</f>
        <v>581.29999999999995</v>
      </c>
      <c r="P114" s="3">
        <f>614.4+(268.6-147.6)+(0+(0-0))+0-133.7-0</f>
        <v>601.70000000000005</v>
      </c>
      <c r="Q114" s="3">
        <f>630.8+(256.9-120.2)+(1.286832+(0.524076-0.245208))+0-136.4-0.278255999999994</f>
        <v>632.38744400000007</v>
      </c>
      <c r="R114" s="3">
        <f>646.9+(280.3-192)+(-0.659838+(-0.285906--0.19584))+46.7-94.9--0.0967980000000151</f>
        <v>686.34689400000013</v>
      </c>
      <c r="S114" s="3">
        <f>629.2+(326.5-247)+(0.320892+(0.166515-0.12597))+70-76-0.0387599999999923</f>
        <v>703.02267700000004</v>
      </c>
      <c r="T114" s="3">
        <f>624.8+(326.8-276.3)+(0.318648+(0.166668-0.140913))+70-70-0.0356999999999929</f>
        <v>675.60870299999999</v>
      </c>
      <c r="U114" s="3">
        <f>646.8+(288.9-275.9)+(0.659736+(0.294678-0.281418))+70-67-0.0683400000000107</f>
        <v>663.40465599999993</v>
      </c>
      <c r="V114" s="3">
        <f>646.2+(266.4-250.6)+(-0.329562+(-0.135864--0.127806))+70-66.9--0.0341189999999932</f>
        <v>664.79649900000004</v>
      </c>
      <c r="W114" s="3">
        <f>625.5+(211.1-124.2)+(-0.957015+(-0.322983--0.190026))+70-99.3--0.151929000000006</f>
        <v>682.16195700000003</v>
      </c>
      <c r="X114" s="3">
        <f>624.2+(372.8-259.1)+(-0.955026+(-0.570384--0.396423))+0-118.9--0.181917000000007</f>
        <v>618.05293000000006</v>
      </c>
      <c r="Y114" s="3">
        <f>628.9+(438.4-312.7)+(-0.320739+(-0.223584--0.159477))+0-138.2--0.070481999999986</f>
        <v>616.08563599999991</v>
      </c>
      <c r="Z114" s="3">
        <f>654.2+(249.1-138.9)+(0.333642+(0.127041-0.070839))+0-111.9-0.0570689999999887</f>
        <v>652.8327750000002</v>
      </c>
      <c r="AA114" s="3">
        <f>695+(267.3-189.7)+(-0.35445+(-0.136323--0.096747))+0-125.4--0.0639539999999873</f>
        <v>646.86992799999996</v>
      </c>
      <c r="AB114" s="3">
        <f>719.2+(233.3-200.9)+(-0.366792+(-0.118983--0.102459))+0-120--0.0611999999999878</f>
        <v>631.27788399999997</v>
      </c>
      <c r="AC114" s="3">
        <f>705.7+(245.6-205.1)+(0+(0-0))+0-129.3-0</f>
        <v>616.90000000000009</v>
      </c>
      <c r="AD114">
        <f t="shared" si="1"/>
        <v>14327.151646</v>
      </c>
      <c r="AE114" s="3">
        <f>693+(252.1-194.4)+(0+(0-0))+0-132.7-0</f>
        <v>618</v>
      </c>
    </row>
    <row r="115" spans="1:31" s="2" customFormat="1" x14ac:dyDescent="0.25">
      <c r="A115">
        <v>89</v>
      </c>
      <c r="B115">
        <v>4</v>
      </c>
      <c r="C115">
        <v>22</v>
      </c>
      <c r="D115">
        <v>4</v>
      </c>
      <c r="E115">
        <v>1</v>
      </c>
      <c r="F115" s="3">
        <f>681+(230.3-205.3)+(0+(0-0))+0-140.5-0</f>
        <v>565.5</v>
      </c>
      <c r="G115" s="3">
        <f>687.3+(231-235.8)+(-0.701046+(-0.23562--0.240516))+0-134.6--0.137292000000021</f>
        <v>547.34114199999999</v>
      </c>
      <c r="H115" s="3">
        <f>688.6+(230.4-241.1)+(0.351186+(0.117504-0.122961))+0-150.4-0.0767039999999847</f>
        <v>527.76902500000017</v>
      </c>
      <c r="I115" s="3">
        <f>693.8+(227.8-241.9)+(0+(0-0))+0-161.7-0</f>
        <v>518</v>
      </c>
      <c r="J115" s="3">
        <f>696.2+(218.1-243.5)+(1.065186+(0.333693-0.372555))+0-150.5-0.230265000000009</f>
        <v>521.09605900000008</v>
      </c>
      <c r="K115" s="3">
        <f>699.6+(252.4-291.6)+(0+(0-0))+0-146.8-0</f>
        <v>513.59999999999991</v>
      </c>
      <c r="L115" s="3">
        <f>654.9+(353.6-363.8)+(-0.333999+(-0.180336--0.185538))+0-130.7--0.0666569999999867</f>
        <v>513.73786000000007</v>
      </c>
      <c r="M115" s="3">
        <f>597.5+(392.9-282.5)+(0+(0-0))+0-163.5-0</f>
        <v>544.4</v>
      </c>
      <c r="N115" s="3">
        <f>572.5+(420-262.7)+(1.1679+(0.8568-0.535908))+0-142.8-0.291311999999994</f>
        <v>588.19747999999993</v>
      </c>
      <c r="O115" s="3">
        <f>567.5+(409.9-221.6)+(0+(0-0))+0-143.5-0</f>
        <v>612.29999999999995</v>
      </c>
      <c r="P115" s="3">
        <f>563.5+(327-143.1)+(0.862155+(0.50031-0.218943))+0-122-0.186660000000007</f>
        <v>626.35686199999998</v>
      </c>
      <c r="Q115" s="3">
        <f>649.5+(252.2-113.3)+(0.331245+(0.128622-0.057783))+0-138.4-0.070583999999986</f>
        <v>650.33150000000001</v>
      </c>
      <c r="R115" s="3">
        <f>706.8+(254.7-195.7)+(-0.720936+(-0.259794--0.199614))+34.7-115.7--0.118014000000018</f>
        <v>684.13689799999997</v>
      </c>
      <c r="S115" s="3">
        <f>699.4+(301.5-244)+(0+(0-0))+52-112.5-0</f>
        <v>696.4</v>
      </c>
      <c r="T115" s="3">
        <f>693.8+(318.5-283)+(1.061514+(0.487305-0.43299))+52-113.5-0.173655000000007</f>
        <v>668.74217399999986</v>
      </c>
      <c r="U115" s="3">
        <f>690.1+(311.9-284.6)+(-0.351951+(-0.159069--0.145146))+52-105.5--0.0538049999999893</f>
        <v>663.58793100000003</v>
      </c>
      <c r="V115" s="3">
        <f>690.2+(290.7-238)+(-0.352002+(-0.148257--0.12138))+52-123.7--0.0630869999999875</f>
        <v>670.88420800000006</v>
      </c>
      <c r="W115" s="3">
        <f>665.5+(233.6-147.5)+(-2.03643+(-0.714816--0.45135))+52-128.5--0.393210000000015</f>
        <v>673.1933140000001</v>
      </c>
      <c r="X115" s="3">
        <f>643.4+(358.1-255.4)+(-1.312536+(-0.730524--0.521016))+0-120.4--0.245615999999995</f>
        <v>624.42357200000004</v>
      </c>
      <c r="Y115" s="3">
        <f>655.7+(425.3-323.9)+(-1.003221+(-0.650709--0.495567))+0-123.2--0.188496000000007</f>
        <v>632.93013300000007</v>
      </c>
      <c r="Z115" s="3">
        <f>684.5+(250.5-153.1)+(0.349095+(0.127755-0.078081))+0-121-0.0617099999999877</f>
        <v>661.23705900000004</v>
      </c>
      <c r="AA115" s="3">
        <f>717+(266.3-189.7)+(-1.46268+(-0.543252--0.386988))+0-141.2--0.288047999999994</f>
        <v>651.06910400000004</v>
      </c>
      <c r="AB115" s="3">
        <f>726.9+(226-177.2)+(-1.482876+(-0.46104--0.361488))+0-139.8--0.285191999999994</f>
        <v>634.60276399999987</v>
      </c>
      <c r="AC115" s="3">
        <f>711.8+(227.8-193.4)+(0.726036+(0.232356-0.197268))+0-141.7-0.144534000000023</f>
        <v>605.11658999999986</v>
      </c>
      <c r="AD115">
        <f t="shared" si="1"/>
        <v>14594.953674999997</v>
      </c>
      <c r="AE115" s="3">
        <f>726+(249-189)+(0+(0-0))+0-135-0</f>
        <v>651</v>
      </c>
    </row>
    <row r="116" spans="1:31" s="2" customFormat="1" x14ac:dyDescent="0.25">
      <c r="A116">
        <v>89</v>
      </c>
      <c r="B116">
        <v>4</v>
      </c>
      <c r="C116">
        <v>23</v>
      </c>
      <c r="D116">
        <v>5</v>
      </c>
      <c r="E116">
        <v>1</v>
      </c>
      <c r="F116" s="3">
        <f>694.2+(235.4-199)+(-0.708084+(-0.240108--0.20298))+0-149.6--0.152592000000024</f>
        <v>580.40737999999999</v>
      </c>
      <c r="G116" s="3">
        <f>698.8+(233.9-219.6)+(-0.356388+(-0.119289--0.111996))+0-153.5--0.0782849999999844</f>
        <v>559.3146039999998</v>
      </c>
      <c r="H116" s="3">
        <f>703+(223-235.3)+(-0.71706+(-0.22746--0.240006))+0-145.2--0.148104000000023</f>
        <v>544.94358999999997</v>
      </c>
      <c r="I116" s="3">
        <f>702.2+(252.4-278.8)+(-0.716244+(-0.257448--0.284376))+0-145.8--0.148716000000023</f>
        <v>529.45940000000007</v>
      </c>
      <c r="J116" s="3">
        <f>707.8+(300.3-336.1)+(1.082934+(0.459459-0.514233))+0-147.7-0.225981000000009</f>
        <v>525.10217899999998</v>
      </c>
      <c r="K116" s="3">
        <f>711.5+(349.7-387.2)+(-0.72573+(-0.356694--0.394944))+0-168.1--0.171462000000027</f>
        <v>505.38398199999995</v>
      </c>
      <c r="L116" s="3">
        <f>661.1+(358.9-364)+(-0.337161+(-0.183039--0.18564))+0-158--0.080579999999984</f>
        <v>497.74601999999999</v>
      </c>
      <c r="M116" s="3">
        <f>638.8+(412.2-356.2)+(0.977364+(0.630666-0.544986))+0-152.5-0.233325000000009</f>
        <v>543.12971899999991</v>
      </c>
      <c r="N116" s="3">
        <f>632.2+(491.4-382.3)+(-0.322422+(-0.250614--0.194973))+0-169.1--0.0862409999999828</f>
        <v>571.90817799999991</v>
      </c>
      <c r="O116" s="3">
        <f>677.4+(432.2-335.7)+(0.690948+(0.440844-0.342414))+0-163.6-0.166872000000026</f>
        <v>610.922506</v>
      </c>
      <c r="P116" s="3">
        <f>694.9+(380.7-313.3)+(0.354399+(0.194157-0.159783))+12.5-145.3-0.0741029999999853</f>
        <v>629.81466999999986</v>
      </c>
      <c r="Q116" s="3">
        <f>707+(385-317)+(-0.36057+(-0.19635--0.16167))+30-146--0.0744599999999852</f>
        <v>658.6792099999999</v>
      </c>
      <c r="R116" s="3">
        <f>703.4+(228.8-182.3)+(-0.717468+(-0.233376--0.185946))+60-136--0.138720000000022</f>
        <v>673.273822</v>
      </c>
      <c r="S116" s="3">
        <f>663+(239.2-166.4)+(0+(0-0))+60-126-0</f>
        <v>669.8</v>
      </c>
      <c r="T116" s="3">
        <f>612.7+(242.1-148.7)+(0.312477+(0.123471-0.075837))+60-121.7-0.0620669999999877</f>
        <v>644.69804399999998</v>
      </c>
      <c r="U116" s="3">
        <f>599.7+(275.5-185.2)+(-0.305847+(-0.140505--0.094452))+60-123.9--0.0631889999999874</f>
        <v>625.81128899999999</v>
      </c>
      <c r="V116" s="3">
        <f>564.7+(290.2-151.3)+(-0.575994+(-0.296004--0.154326))+60-125--0.12750000000002</f>
        <v>638.00982800000008</v>
      </c>
      <c r="W116" s="3">
        <f>561.2+(366.5-213.2)+(0.858636+(0.560745-0.326196))+60-130.1-0.199053000000008</f>
        <v>645.29413199999988</v>
      </c>
      <c r="X116" s="3">
        <f>595.7+(571.1-424.5)+(-0.607614+(-0.582522--0.43299))+20-124.2--0.12668400000002</f>
        <v>637.46953800000006</v>
      </c>
      <c r="Y116" s="3">
        <f>600.2+(657.4-498)+(0.306102+(0.335274-0.25398))+0-142.2-0.0725219999999856</f>
        <v>617.71487400000001</v>
      </c>
      <c r="Z116" s="3">
        <f>614.9+(380-190.2)+(0.627198+(0.3876-0.194004))+0-164.6-0.167892000000026</f>
        <v>640.75290199999995</v>
      </c>
      <c r="AA116" s="3">
        <f>656+(266-146)+(-1.00368+(-0.40698--0.22338))+0-142.6--0.218178000000008</f>
        <v>632.43089799999996</v>
      </c>
      <c r="AB116" s="3">
        <f>661.1+(244.6-157.9)+(-0.337161+(-0.124746--0.080529))+0-133.7--0.0681869999999864</f>
        <v>613.78680899999983</v>
      </c>
      <c r="AC116" s="3">
        <f>670+(246.7-175)+(-0.3417+(-0.125817--0.08925))+0-132.4--0.0675239999999866</f>
        <v>608.98925699999995</v>
      </c>
      <c r="AD116">
        <f t="shared" si="1"/>
        <v>14404.842830999996</v>
      </c>
      <c r="AE116" s="3">
        <f>676+(244.7-146.5)+(0+(0-0))+0-127.6-0</f>
        <v>646.6</v>
      </c>
    </row>
    <row r="117" spans="1:31" s="2" customFormat="1" x14ac:dyDescent="0.25">
      <c r="A117">
        <v>89</v>
      </c>
      <c r="B117">
        <v>4</v>
      </c>
      <c r="C117">
        <v>24</v>
      </c>
      <c r="D117">
        <v>6</v>
      </c>
      <c r="E117">
        <v>1</v>
      </c>
      <c r="F117" s="3">
        <f>655+(251.6-183.9)+(-0.33405+(-0.128316--0.093789))+0-131.9--0.0672689999999866</f>
        <v>590.49869200000012</v>
      </c>
      <c r="G117" s="3">
        <f>647+(258.9-181.8)+(-0.32997+(-0.132039--0.092718))+0-152.5--0.0777749999999845</f>
        <v>571.30848399999991</v>
      </c>
      <c r="H117" s="3">
        <f>656.6+(255.6-205)+(1.339464+(0.521424-0.4182))+0-150.2-0.306407999999993</f>
        <v>558.13628000000006</v>
      </c>
      <c r="I117" s="3">
        <f>657.7+(250.3-212.4)+(-0.670854+(-0.255306--0.216648))+0-152.4--0.155448000000024</f>
        <v>542.64593600000001</v>
      </c>
      <c r="J117" s="3">
        <f>660.5+(276.4-262.5)+(-0.336855+(-0.140964--0.133875))+0-130--0.0662999999999868</f>
        <v>544.12235599999997</v>
      </c>
      <c r="K117" s="3">
        <f>662.7+(304.3-314.5)+(-0.675954+(-0.310386--0.32079))+0-123.2--0.12566400000002</f>
        <v>528.76011399999993</v>
      </c>
      <c r="L117" s="3">
        <f>663.8+(379.5-388.8)+(-0.677076+(-0.38709--0.396576))+0-125.2--0.12770400000002</f>
        <v>528.76011399999993</v>
      </c>
      <c r="M117" s="3">
        <f>664.5+(479.2-413.1)+(-0.338895+(-0.244392--0.210681))+0-150.3--0.0766529999999848</f>
        <v>580.00404699999979</v>
      </c>
      <c r="N117" s="3">
        <f>660.3+(500.2-385.1)+(0.336753+(0.255102-0.196401))+0-144.7-0.0737969999999853</f>
        <v>631.02165699999978</v>
      </c>
      <c r="O117" s="3">
        <f>656.4+(453.4-310.6)+(1.67382+(1.15617-0.79203))+0-153.5-0.391424999999978</f>
        <v>647.3465349999999</v>
      </c>
      <c r="P117" s="3">
        <f>651.5+(424.2-284.2)+(0.332265+(0.216342-0.144942))+27.5-156-0.0795599999999842</f>
        <v>663.32410500000003</v>
      </c>
      <c r="Q117" s="3">
        <f>648.1+(349.5-183.5)+(0.330531+(0.178245-0.093585))+44-166-0.0846599999999832</f>
        <v>692.43053100000009</v>
      </c>
      <c r="R117" s="3">
        <f>649.8+(272.4-123.4)+(-0.331398+(-0.138924--0.062934))+44-144.9--0.0738989999999853</f>
        <v>697.56651099999999</v>
      </c>
      <c r="S117" s="3">
        <f>640.5+(291-146.2)+(-0.65331+(-0.29682--0.149124))+44-145.2--0.148104000000023</f>
        <v>683.44709799999998</v>
      </c>
      <c r="T117" s="3">
        <f>630.1+(278.7-173)+(-0.321351+(-0.142137--0.08823))+44-130.5--0.0665549999999868</f>
        <v>648.99129699999992</v>
      </c>
      <c r="U117" s="3">
        <f>625.6+(286.6-180)+(-0.319056+(-0.146166--0.0918))+44-143.3--0.0730829999999855</f>
        <v>632.59966099999997</v>
      </c>
      <c r="V117" s="3">
        <f>608.9+(280.4-146.3)+(0+(0-0))+29.4-152.6-0</f>
        <v>619.79999999999995</v>
      </c>
      <c r="W117" s="3">
        <f>583.4+(270.1-108.8)+(-0.595068+(-0.275502--0.110976))+0-152.8--0.155856000000024</f>
        <v>591.29626199999996</v>
      </c>
      <c r="X117" s="3">
        <f>581.6+(415.6-273.1)+(-1.48308+(-1.05978--0.696405))+0-139.7--0.35623499999998</f>
        <v>582.90977999999996</v>
      </c>
      <c r="Y117" s="3">
        <f>583.3+(538.8-394.5)+(-0.297483+(-0.274788--0.201195))+0-144.7--0.0737969999999853</f>
        <v>582.60272099999997</v>
      </c>
      <c r="Z117" s="3">
        <f>622.5+(302.7-144.7)+(-0.63495+(-0.308754--0.147594))+0-165.5--0.168810000000026</f>
        <v>614.37270000000001</v>
      </c>
      <c r="AA117" s="3">
        <f>656.3+(256.1-144.8)+(-1.004139+(-0.391833--0.221544))+0-165.3--0.25290900000001</f>
        <v>601.37848099999997</v>
      </c>
      <c r="AB117" s="3">
        <f>662.5+(253.3-155.8)+(-0.337875+(-0.129183--0.079458))+0-161.4--0.0823139999999836</f>
        <v>598.294714</v>
      </c>
      <c r="AC117" s="3">
        <f>663+(247.8-165.7)+(-1.01439+(-0.379134--0.253521))+0-161--0.246330000000009</f>
        <v>583.2063270000001</v>
      </c>
      <c r="AD117">
        <f t="shared" si="1"/>
        <v>14514.824402999997</v>
      </c>
      <c r="AE117" s="3">
        <f>654+(274.2-119.1)+(0+(0-0))+0-187.5-0</f>
        <v>621.6</v>
      </c>
    </row>
    <row r="118" spans="1:31" s="2" customFormat="1" x14ac:dyDescent="0.25">
      <c r="A118">
        <v>89</v>
      </c>
      <c r="B118">
        <v>4</v>
      </c>
      <c r="C118">
        <v>25</v>
      </c>
      <c r="D118">
        <v>7</v>
      </c>
      <c r="E118">
        <v>1</v>
      </c>
      <c r="F118" s="3">
        <f>621.4+(263.2-153.9)+(0.950742+(0.402696-0.235467))+0-154.5-0.236385000000009</f>
        <v>577.0815859999999</v>
      </c>
      <c r="G118" s="3">
        <f>616+(259.9-173.1)+(-0.31416+(-0.132549--0.088281))+0-149.1--0.0760409999999849</f>
        <v>553.41761299999996</v>
      </c>
      <c r="H118" s="3">
        <f>626.2+(244.8-186.7)+(0.319362+(0.124848-0.095217))+0-147.3-0.0751229999999851</f>
        <v>537.2738700000001</v>
      </c>
      <c r="I118" s="3">
        <f>645.9+(235.7-197)+(0.329409+(0.120207-0.10047))+0-157.6-0.080375999999984</f>
        <v>527.2687699999999</v>
      </c>
      <c r="J118" s="3">
        <f>649.4+(233.3-216.9)+(-0.993582+(-0.356949--0.331857))+0-144.4--0.220932000000008</f>
        <v>520.60225800000001</v>
      </c>
      <c r="K118" s="3">
        <f>644.3+(261.7-273.6)+(-1.971558+(-0.800802--0.837216))+0-131.1--0.401166000000015</f>
        <v>499.76602199999979</v>
      </c>
      <c r="L118" s="3">
        <f>543.1+(259.1-199.8)+(-1.384905+(-0.660705--0.50949))+0-137--0.34934999999998</f>
        <v>464.21323000000007</v>
      </c>
      <c r="M118" s="3">
        <f>548+(291.8-237.6)+(0+(0-0))+0-130.9-0</f>
        <v>471.30000000000007</v>
      </c>
      <c r="N118" s="3">
        <f>540.5+(375.6-293.1)+(-0.55131+(-0.383112--0.298962))+0-145--0.147900000000023</f>
        <v>477.51244000000008</v>
      </c>
      <c r="O118" s="3">
        <f>530+(406.6-301.3)+(-0.5406+(-0.414732--0.307326))+0-130.3--0.132906000000021</f>
        <v>504.48489999999998</v>
      </c>
      <c r="P118" s="3">
        <f>530.5+(338.5-228.6)+(-0.270555+(-0.172635--0.116586))+0-125.7--0.0641069999999872</f>
        <v>514.43750299999999</v>
      </c>
      <c r="Q118" s="3">
        <f>606.6+(282.2-209.1)+(-0.618732+(-0.287844--0.213282))+0-153.5--0.156570000000024</f>
        <v>525.663276</v>
      </c>
      <c r="R118" s="3">
        <f>626.1+(241.5-170.1)+(-0.319311+(-0.123165--0.086751))+22-167.3--0.085322999999983</f>
        <v>551.92959799999994</v>
      </c>
      <c r="S118" s="3">
        <f>648.3+(217.5-207.2)+(-0.330633+(-0.110925--0.105672))+22-139.6--0.0711959999999858</f>
        <v>540.73530999999991</v>
      </c>
      <c r="T118" s="3">
        <f>644.6+(223.5-208.4)+(0.657492+(0.22797-0.212568))+22-144.1-0.146982000000023</f>
        <v>538.12591200000008</v>
      </c>
      <c r="U118" s="3">
        <f>644+(221.3-208.6)+(-0.65688+(-0.225726--0.212772))+12.8-141.1--0.143922000000023</f>
        <v>527.87408799999992</v>
      </c>
      <c r="V118" s="3">
        <f>607.7+(237-183.2)+(0.619854+(0.24174-0.186864))+0-148.4-0.151368000000024</f>
        <v>513.62336199999993</v>
      </c>
      <c r="W118" s="3">
        <f>600.1+(258.4-196.7)+(-0.612102+(-0.263568--0.200634))+0-145.2--0.148104000000023</f>
        <v>516.07306800000003</v>
      </c>
      <c r="X118" s="3">
        <f>588.4+(355.3-283.3)+(-2.100588+(-1.268421--1.011381))+0-135.7--0.484449000000002</f>
        <v>522.82682100000011</v>
      </c>
      <c r="Y118" s="3">
        <f>583.4+(366.8-286.7)+(0.595068+(0.374136-0.292434))+0-147.3-0.150246000000024</f>
        <v>516.72652400000004</v>
      </c>
      <c r="Z118" s="3">
        <f>618.5+(258.3-153.3)+(-0.946305+(-0.395199--0.234549))+0-169.6--0.25948800000001</f>
        <v>553.05253300000004</v>
      </c>
      <c r="AA118" s="3">
        <f>653.9+(242.9-163.7)+(-0.666978+(-0.247758--0.166974))+0-174.9--0.178398000000028</f>
        <v>557.6306360000001</v>
      </c>
      <c r="AB118" s="3">
        <f>646.6+(240-176.6)+(0+(0-0))+0-174.9-0</f>
        <v>535.1</v>
      </c>
      <c r="AC118" s="3">
        <f>657.9+(236.9-176.8)+(-0.671058+(-0.241638--0.180336))+0-166.5--0.169830000000027</f>
        <v>550.93747000000008</v>
      </c>
      <c r="AD118">
        <f t="shared" si="1"/>
        <v>12597.656790000003</v>
      </c>
      <c r="AE118" s="3">
        <f>664+(255.4-148.3)+(0+(0-0))+0-201.2-0</f>
        <v>569.90000000000009</v>
      </c>
    </row>
    <row r="119" spans="1:31" s="2" customFormat="1" x14ac:dyDescent="0.25">
      <c r="A119">
        <v>89</v>
      </c>
      <c r="B119">
        <v>4</v>
      </c>
      <c r="C119">
        <v>26</v>
      </c>
      <c r="D119">
        <v>1</v>
      </c>
      <c r="E119">
        <v>1</v>
      </c>
      <c r="F119" s="3">
        <f>670.7+(236.1-196.6)+(-1.026171+(-0.361233--0.300798))+0-168--0.25704000000001</f>
        <v>541.37043400000005</v>
      </c>
      <c r="G119" s="3">
        <f>672.2+(230.4-207)+(-1.028466+(-0.352512--0.31671))+0-164.9--0.25229700000001</f>
        <v>529.88802900000007</v>
      </c>
      <c r="H119" s="3">
        <f>677.7+(249.5-255.9)+(-0.345627+(-0.127245--0.130509))+0-151.8--0.0774179999999846</f>
        <v>519.23505499999999</v>
      </c>
      <c r="I119" s="3">
        <f>672.3+(283.6-297.3)+(-2.057238+(-0.867816--0.909738))+0-144.2--0.441252000000017</f>
        <v>512.82593599999984</v>
      </c>
      <c r="J119" s="3">
        <f>680.1+(351.2-366.2)+(-0.693702+(-0.358224--0.373524))+0-155.6--0.158712000000025</f>
        <v>508.98031000000003</v>
      </c>
      <c r="K119" s="3">
        <f>680.1+(422.8-443.2)+(-1.387404+(-0.862512--0.904128))+0-161.4--0.329255999999993</f>
        <v>497.28346800000008</v>
      </c>
      <c r="L119" s="3">
        <f>675.7+(464.1-507.4)+(-1.723035+(-1.183455--1.29387))+0-126.1--0.321554999999982</f>
        <v>505.00893500000006</v>
      </c>
      <c r="M119" s="3">
        <f>677.2+(510.4-490.3)+(0.345372+(0.260304-0.250053))+0-136.2-0.0694619999999862</f>
        <v>561.38616100000013</v>
      </c>
      <c r="N119" s="3">
        <f>667+(549.8-467.8)+(0+(0-0))+0-150.3-0</f>
        <v>598.70000000000005</v>
      </c>
      <c r="O119" s="3">
        <f>663.6+(507-393)+(0.338436+(0.25857-0.20043))+0-163.2-0.0832319999999834</f>
        <v>614.71334400000001</v>
      </c>
      <c r="P119" s="3">
        <f>656.4+(383.4-243.7)+(0.334764+(0.195534-0.124287))+0-158.6-0.0808859999999839</f>
        <v>637.82512499999996</v>
      </c>
      <c r="Q119" s="3">
        <f>658.9+(333.2-187.8)+(0+(0-0))+45-141.8-0</f>
        <v>707.5</v>
      </c>
      <c r="R119" s="3">
        <f>688.9+(248.6-139.5)+(0+(0-0))+45-114.1-0</f>
        <v>728.9</v>
      </c>
      <c r="S119" s="3">
        <f>669.4+(311.2-187.3)+(0+(0-0))+45-120.3-0</f>
        <v>718</v>
      </c>
      <c r="T119" s="3">
        <f>655.1+(312.4-197.4)+(0.334101+(0.159324-0.100674))+45-117.5-0.0599249999999881</f>
        <v>697.93282599999998</v>
      </c>
      <c r="U119" s="3">
        <f>655.8+(302.4-203.7)+(0.668916+(0.308448-0.207774))+45-120.7-0.123114000000019</f>
        <v>679.44647599999996</v>
      </c>
      <c r="V119" s="3">
        <f>653.2+(298.1-187.7)+(-0.333132+(-0.152031--0.095727))+30-121.4--0.0619139999999877</f>
        <v>671.87247800000011</v>
      </c>
      <c r="W119" s="3">
        <f>650.7+(269.5-126.5)+(0+(0-0))+0-147.4-0</f>
        <v>646.30000000000007</v>
      </c>
      <c r="X119" s="3">
        <f>621.2+(318.5-164.8)+(-0.950436+(-0.487305--0.252144))+0-134--0.205020000000008</f>
        <v>639.91942300000005</v>
      </c>
      <c r="Y119" s="3">
        <f>617.3+(420.1-270.3)+(0+(0-0))+0-127.6-0</f>
        <v>639.49999999999989</v>
      </c>
      <c r="Z119" s="3">
        <f>645.2+(258.6-87)+(0+(0-0))+0-148.4-0</f>
        <v>668.40000000000009</v>
      </c>
      <c r="AA119" s="3">
        <f>689.1+(257.1-154.7)+(-1.054323+(-0.393363--0.236691))+0-121.4--0.185742000000007</f>
        <v>669.074747</v>
      </c>
      <c r="AB119" s="3">
        <f>703.9+(248.5-159.4)+(-1.435956+(-0.50694--0.325176))+0-150.5--0.307019999999993</f>
        <v>641.1893</v>
      </c>
      <c r="AC119" s="3">
        <f>687.1+(247.2-161.8)+(-1.401684+(-0.504288--0.330072))+0-150.5--0.307019999999993</f>
        <v>620.73111999999992</v>
      </c>
      <c r="AD119">
        <f t="shared" si="1"/>
        <v>14755.983166999997</v>
      </c>
      <c r="AE119" s="3">
        <f>706+(244.3-159.9)+(0+(0-0))+0-112.5-0</f>
        <v>677.9</v>
      </c>
    </row>
    <row r="120" spans="1:31" s="2" customFormat="1" x14ac:dyDescent="0.25">
      <c r="A120">
        <v>89</v>
      </c>
      <c r="B120">
        <v>4</v>
      </c>
      <c r="C120">
        <v>27</v>
      </c>
      <c r="D120">
        <v>2</v>
      </c>
      <c r="E120">
        <v>1</v>
      </c>
      <c r="F120" s="3">
        <f>664.7+(253.4-162)+(-1.355988+(-0.516936--0.33048))+0-165.9--0.338435999999993</f>
        <v>588.995992</v>
      </c>
      <c r="G120" s="3">
        <f>667.1+(238.3-188.6)+(-0.340221+(-0.121533--0.096186))+0-146--0.0744599999999852</f>
        <v>570.50889199999995</v>
      </c>
      <c r="H120" s="3">
        <f>673.6+(242.9-198.7)+(0+(0-0))+0-160.6-0</f>
        <v>557.20000000000005</v>
      </c>
      <c r="I120" s="3">
        <f>682+(241.5-215.1)+(-1.04346+(-0.369495--0.329103))+0-157.5--0.240975000000009</f>
        <v>550.05712300000005</v>
      </c>
      <c r="J120" s="3">
        <f>682.3+(261.7-227.8)+(-0.695946+(-0.266934--0.232356))+0-166.1--0.169422000000026</f>
        <v>549.53889800000002</v>
      </c>
      <c r="K120" s="3">
        <f>682.8+(277.2-269.3)+(-1.74114+(-0.70686--0.686715))+0-165.6--0.422279999999976</f>
        <v>523.76099499999987</v>
      </c>
      <c r="L120" s="3">
        <f>688.2+(292.4-315.5)+(-1.403928+(-0.596496--0.64362))+0-62--0.126479999999997</f>
        <v>601.86967600000003</v>
      </c>
      <c r="M120" s="3">
        <f>690.3+(327-310.6)+(-0.352053+(-0.16677--0.158406))+0-92--0.0469199999999907</f>
        <v>614.38650299999995</v>
      </c>
      <c r="N120" s="3">
        <f>687.4+(433.7-368)+(-0.701148+(-0.442374--0.37536))+0-107--0.109140000000017</f>
        <v>645.44097799999997</v>
      </c>
      <c r="O120" s="3">
        <f>678.6+(454.2-356.3)+(0.346086+(0.231642-0.181713))+0-105-0.0535499999999893</f>
        <v>671.84246500000006</v>
      </c>
      <c r="P120" s="3">
        <f>669.6+(381.7-229.2)+(0.341496+(0.194667-0.116892))+14.7-128-0.065279999999987</f>
        <v>709.15399100000002</v>
      </c>
      <c r="Q120" s="3">
        <f>670.1+(265.2-139.7)+(0.683502+(0.270504-0.142494))+44-92.5-0.0943500000000148</f>
        <v>747.81716200000005</v>
      </c>
      <c r="R120" s="3">
        <f>704.3+(267.9-164.7)+(0.359193+(0.136629-0.083997))+44-97.7-0.0498269999999901</f>
        <v>754.16199800000004</v>
      </c>
      <c r="S120" s="3">
        <f>703.4+(295.8-206.6)+(0.358734+(0.150858-0.105366))+44-96-0.0489599999999903</f>
        <v>740.95526600000005</v>
      </c>
      <c r="T120" s="3">
        <f>698.1+(315-224.7)+(0.712062+(0.3213-0.229194))+44-101-0.103020000000016</f>
        <v>732.10114800000008</v>
      </c>
      <c r="U120" s="3">
        <f>691.8+(304-231.9)+(0.705636+(0.31008-0.236538))+44-93-0.0948600000000148</f>
        <v>715.58431799999994</v>
      </c>
      <c r="V120" s="3">
        <f>642.7+(304.3-181)+(0.327777+(0.155193-0.09231))+44-96-0.0489599999999903</f>
        <v>714.34170000000006</v>
      </c>
      <c r="W120" s="3">
        <f>599.1+(257.4-81.6)+(0+(0-0))+7.3-106-0</f>
        <v>676.19999999999993</v>
      </c>
      <c r="X120" s="3">
        <f>582.8+(376.8-206.6)+(-0.891684+(-0.576504--0.316098))+0-112--0.171360000000006</f>
        <v>640.01927000000001</v>
      </c>
      <c r="Y120" s="3">
        <f>578.2+(459.1-257.2)+(-0.294882+(-0.234141--0.131172))+0-103--0.0525299999999896</f>
        <v>676.75467900000012</v>
      </c>
      <c r="Z120" s="3">
        <f>609.8+(290.7-72.1)+(0.310998+(0.148257-0.036771))+0-118-0.060179999999988</f>
        <v>710.76230400000009</v>
      </c>
      <c r="AA120" s="3">
        <f>699.8+(261.3-123.6)+(0+(0-0))+0-120-0</f>
        <v>717.5</v>
      </c>
      <c r="AB120" s="3">
        <f>702.2+(238.4-145.6)+(-1.432488+(-0.486336--0.297024))+0-101--0.206039999999996</f>
        <v>692.58424000000002</v>
      </c>
      <c r="AC120" s="3">
        <f>690.8+(253.1-165.4)+(-0.704616+(-0.258162--0.168708))+0-97--0.0989400000000155</f>
        <v>680.80486999999994</v>
      </c>
      <c r="AD120">
        <f t="shared" si="1"/>
        <v>15782.342468000001</v>
      </c>
      <c r="AE120" s="3">
        <f>702+(247.9-157.8)+(0+(0-0))+0-54-0</f>
        <v>738.1</v>
      </c>
    </row>
    <row r="121" spans="1:31" s="2" customFormat="1" x14ac:dyDescent="0.25">
      <c r="A121">
        <v>89</v>
      </c>
      <c r="B121">
        <v>4</v>
      </c>
      <c r="C121">
        <v>28</v>
      </c>
      <c r="D121">
        <v>3</v>
      </c>
      <c r="E121">
        <v>1</v>
      </c>
      <c r="F121" s="3">
        <f>605+(222.1-183.6)+(-0.92565+(-0.339813--0.280908))+0-36--0.0550800000000021</f>
        <v>606.57052499999998</v>
      </c>
      <c r="G121" s="3">
        <f>615.4+(213-210.7)+(-0.627708+(-0.21726--0.214914))+0-35--0.0357000000000056</f>
        <v>582.10564600000009</v>
      </c>
      <c r="H121" s="3">
        <f>624.4+(202.1-211.7)+(-1.273776+(-0.412284--0.431868))+0-36--0.0734399999999984</f>
        <v>577.61924799999997</v>
      </c>
      <c r="I121" s="3">
        <f>623.1+(199.6-226.8)+(-0.953343+(-0.305388--0.347004))+0-31--0.0474300000000018</f>
        <v>564.0357029999999</v>
      </c>
      <c r="J121" s="3">
        <f>631.4+(199.3-241.1)+(-0.644028+(-0.203286--0.245922))+0-29--0.0295800000000046</f>
        <v>560.028188</v>
      </c>
      <c r="K121" s="3">
        <f>628.9+(203.8-263.6)+(-1.282956+(-0.415752--0.537744))+0-31--0.0632399999999986</f>
        <v>537.00227599999982</v>
      </c>
      <c r="L121" s="3">
        <f>630.8+(300-269)+(-1.286832+(-0.612--0.54876))+0-88--0.179519999999996</f>
        <v>572.62944800000002</v>
      </c>
      <c r="M121" s="3">
        <f>566.5+(371.7-279.7)+(-0.866745+(-0.568701--0.427941))+0-90--0.137700000000005</f>
        <v>567.63019499999996</v>
      </c>
      <c r="N121" s="3">
        <f>565.1+(414.6-274.1)+(0.288201+(0.211446-0.139791))+0-105-0.0535499999999893</f>
        <v>600.90630600000009</v>
      </c>
      <c r="O121" s="3">
        <f>650.6+(364.2-295.9)+(0.331806+(0.185742-0.150909))+0-88-0.0448799999999911</f>
        <v>631.22175900000002</v>
      </c>
      <c r="P121" s="3">
        <f>665.5+(315.8-236.2)+(0+(0-0))+0-106-0</f>
        <v>639.1</v>
      </c>
      <c r="Q121" s="3">
        <f>672.1+(232-157)+(0.342771+(0.11832-0.08007))+0-92-0.0469199999999907</f>
        <v>655.43410100000006</v>
      </c>
      <c r="R121" s="3">
        <f>687.3+(253-150)+(-0.350523+(-0.12903--0.0765))+0-103--0.0525299999999896</f>
        <v>686.94947699999989</v>
      </c>
      <c r="S121" s="3">
        <f>672.9+(290.2-205.5)+(-0.343179+(-0.148002--0.104805))+0-94--0.0479399999999905</f>
        <v>663.26156399999991</v>
      </c>
      <c r="T121" s="3">
        <f>665.2+(294.8-223.6)+(0.678504+(0.300696-0.228072))+0-94-0.095880000000015</f>
        <v>643.05524800000012</v>
      </c>
      <c r="U121" s="3">
        <f>655.5+(293.7-220.2)+(0.334305+(0.149787-0.112302))+0-108-0.055079999999989</f>
        <v>621.31671000000006</v>
      </c>
      <c r="V121" s="3">
        <f>644.2+(278.7-200)+(-0.657084+(-0.284274--0.204))+0-99--0.100980000000016</f>
        <v>623.26362200000017</v>
      </c>
      <c r="W121" s="3">
        <f>605.5+(233.5-116.2)+(-1.23522+(-0.47634--0.237048))+0-92--0.187679999999996</f>
        <v>629.51316799999995</v>
      </c>
      <c r="X121" s="3">
        <f>602.1+(373.4-245.1)+(-1.228284+(-0.761736--0.500004))+0-98--0.199919999999996</f>
        <v>631.10990400000003</v>
      </c>
      <c r="Y121" s="3">
        <f>603.5+(433.2-311.5)+(0+(0-0))+0-100-0</f>
        <v>625.20000000000005</v>
      </c>
      <c r="Z121" s="3">
        <f>629.2+(246-153.1)+(0.320892+(0.12546-0.078081))+0-46-0.0234599999999953</f>
        <v>676.44481100000007</v>
      </c>
      <c r="AA121" s="3">
        <f>677.5+(197.4-160.9)+(-0.69105+(-0.201348--0.164118))+0-58--0.0591600000000092</f>
        <v>655.33087999999998</v>
      </c>
      <c r="AB121" s="3">
        <f>687.2+(194.1-181.1)+(-0.350472+(-0.098991--0.092361))+0-63--0.0321299999999936</f>
        <v>636.87502799999993</v>
      </c>
      <c r="AC121" s="3">
        <f>693.2+(180.1-220)+(0+(0-0))+0-48-0</f>
        <v>605.30000000000007</v>
      </c>
      <c r="AD121">
        <f t="shared" si="1"/>
        <v>14791.903807000001</v>
      </c>
      <c r="AE121" s="3">
        <f>682+(205.1-160.5)+(0+(0-0))+0-34-0</f>
        <v>692.6</v>
      </c>
    </row>
    <row r="122" spans="1:31" s="2" customFormat="1" x14ac:dyDescent="0.25">
      <c r="A122">
        <v>89</v>
      </c>
      <c r="B122">
        <v>4</v>
      </c>
      <c r="C122">
        <v>29</v>
      </c>
      <c r="D122">
        <v>4</v>
      </c>
      <c r="E122">
        <v>1</v>
      </c>
      <c r="F122" s="3">
        <f>682.1+(228.8-199.2)+(-1.391484+(-0.466752--0.406368))+0-51--0.104039999999998</f>
        <v>659.35217200000011</v>
      </c>
      <c r="G122" s="3">
        <f>677.1+(221.7-213.1)+(-2.071926+(-0.678402--0.652086))+0-55--0.168300000000006</f>
        <v>628.77005800000006</v>
      </c>
      <c r="H122" s="3">
        <f>677.2+(200.3-202.6)+(-1.036116+(-0.306459--0.309978))+0-63--0.0963900000000036</f>
        <v>610.96379300000012</v>
      </c>
      <c r="I122" s="3">
        <f>681+(237.5-249.9)+(-1.04193+(-0.363375--0.382347))+0-67--0.102510000000004</f>
        <v>600.67955200000006</v>
      </c>
      <c r="J122" s="3">
        <f>622.4+(280.9-255.5)+(0.634848+(0.286518-0.26061))+0-58-0.0591600000000092</f>
        <v>590.40159599999993</v>
      </c>
      <c r="K122" s="3">
        <f>558.5+(304.1-222.6)+(-0.56967+(-0.310182--0.227052))+0-79--0.0805800000000126</f>
        <v>560.4277800000001</v>
      </c>
      <c r="L122" s="3">
        <f>565.7+(312.6-267.7)+(-1.731042+(-0.956556--0.819162))+0-50--0.153000000000006</f>
        <v>558.88456400000018</v>
      </c>
      <c r="M122" s="3">
        <f>567.2+(344.7-240.1)+(0.289272+(0.175797-0.122451))+0-74-0.0377399999999925</f>
        <v>598.1048780000001</v>
      </c>
      <c r="N122" s="3">
        <f>554.4+(444-286)+(0.282744+(0.22644-0.14586))+0-72-0.0367199999999927</f>
        <v>640.72660400000007</v>
      </c>
      <c r="O122" s="3">
        <f>585.4+(458.3-301.8)+(0.597108+(0.467466-0.307836))+0-73-0.0744600000000116</f>
        <v>669.58227799999997</v>
      </c>
      <c r="P122" s="3">
        <f>651.9+(414.8-302.9)+(0.664938+(0.423096-0.308958))+0-83-0.0846600000000132</f>
        <v>681.494416</v>
      </c>
      <c r="Q122" s="3">
        <f>674.3+(298.2-190.5)+(0.343893+(0.152082-0.097155))+0-77-0.0392699999999922</f>
        <v>705.35955000000001</v>
      </c>
      <c r="R122" s="3">
        <f>676.6+(260-116.3)+(1.035198+(0.3978-0.177939))+0-122-0.186660000000007</f>
        <v>699.36839899999995</v>
      </c>
      <c r="S122" s="3">
        <f>670.5+(317.3-176.3)+(0.341955+(0.161823-0.089913))+0-109-0.0555899999999889</f>
        <v>702.85827500000005</v>
      </c>
      <c r="T122" s="3">
        <f>661.2+(386.1-258.6)+(1.348848+(0.787644-0.527544))+0-107-0.218279999999995</f>
        <v>683.09066800000005</v>
      </c>
      <c r="U122" s="3">
        <f>659.3+(357-242.5)+(0.336243+(0.18207-0.123675))+0-147.1-0.0750209999999851</f>
        <v>627.01961699999993</v>
      </c>
      <c r="V122" s="3">
        <f>657.8+(317-213.5)+(-0.335478+(-0.16167--0.108885))+0-129.6--0.0660959999999868</f>
        <v>631.3778329999999</v>
      </c>
      <c r="W122" s="3">
        <f>624+(269.8-111.4)+(-0.95472+(-0.412794--0.170442))+0-140.9--0.215577000000008</f>
        <v>640.518505</v>
      </c>
      <c r="X122" s="3">
        <f>601.2+(414.9-251.3)+(-0.919836+(-0.634797--0.384489))+0-134.6--0.205938000000008</f>
        <v>629.23579399999994</v>
      </c>
      <c r="Y122" s="3">
        <f>603.4+(515.7-335.9)+(-0.923202+(-0.789021--0.513927))+0-150.2--0.229806000000009</f>
        <v>632.03151000000003</v>
      </c>
      <c r="Z122" s="3">
        <f>640.1+(316.2-120.2)+(0+(0-0))+0-164-0</f>
        <v>672.1</v>
      </c>
      <c r="AA122" s="3">
        <f>679.3+(249.8-115.3)+(-0.346443+(-0.127398--0.058803))+0-149.3--0.0761429999999849</f>
        <v>664.16110499999991</v>
      </c>
      <c r="AB122" s="3">
        <f>690.6+(239.1-148.1)+(-0.704412+(-0.243882--0.151062))+0-135--0.137700000000022</f>
        <v>645.94046800000001</v>
      </c>
      <c r="AC122" s="3">
        <f>664.7+(235.4-165.1)+(0.677994+(0.240108-0.168402))+0-104.9-0.106998000000017</f>
        <v>630.74270200000001</v>
      </c>
      <c r="AD122">
        <f t="shared" si="1"/>
        <v>15363.192117000002</v>
      </c>
      <c r="AE122" s="3">
        <f>689+(241.5-125.8)+(0+(0-0))+0-147.4-0</f>
        <v>657.30000000000007</v>
      </c>
    </row>
    <row r="123" spans="1:31" s="2" customFormat="1" x14ac:dyDescent="0.25">
      <c r="A123">
        <v>89</v>
      </c>
      <c r="B123">
        <v>4</v>
      </c>
      <c r="C123">
        <v>30</v>
      </c>
      <c r="D123">
        <v>5</v>
      </c>
      <c r="E123">
        <v>1</v>
      </c>
      <c r="F123" s="3">
        <f>660.4+(217.6-210.8)+(0+(0-0))+0-120.5-0</f>
        <v>546.69999999999993</v>
      </c>
      <c r="G123" s="3">
        <f>664+(204-218.2)+(-0.33864+(-0.10404--0.111282))+0-122.6--0.0625259999999876</f>
        <v>526.93112799999983</v>
      </c>
      <c r="H123" s="3">
        <f>667.9+(236.9-270.5)+(0.340629+(0.120819-0.137955))+0-122-0.0622199999999876</f>
        <v>512.56127299999991</v>
      </c>
      <c r="I123" s="3">
        <f>669.4+(314.2-344.8)+(-0.341394+(-0.160242--0.175848))+0-138.9--0.0708389999999859</f>
        <v>499.64505099999997</v>
      </c>
      <c r="J123" s="3">
        <f>669.2+(351.2-361.7)+(-0.682584+(-0.358224--0.368934))+0-156.7--0.159834000000025</f>
        <v>501.4879600000001</v>
      </c>
      <c r="K123" s="3">
        <f>658.9+(320.2-344.8)+(-0.336039+(-0.163302--0.175848))+0-154.4--0.0787439999999843</f>
        <v>479.65525099999996</v>
      </c>
      <c r="L123" s="3">
        <f>605.3+(366.4-345.2)+(-0.308703+(-0.186864--0.176052))+0-152.4--0.0777239999999845</f>
        <v>473.85820899999999</v>
      </c>
      <c r="M123" s="3">
        <f>579.5+(329.4-259.1)+(-0.295545+(-0.167994--0.132141))+0-138.6--0.0706859999999859</f>
        <v>510.93928799999986</v>
      </c>
      <c r="N123" s="3">
        <f>642.2+(337.5-289.4)+(-0.327522+(-0.172125--0.147594))+0-132--0.0673199999999866</f>
        <v>558.01526700000011</v>
      </c>
      <c r="O123" s="3">
        <f>676.5+(445.3-394.4)+(0+(0-0))+0-144.7-0</f>
        <v>582.70000000000005</v>
      </c>
      <c r="P123" s="3">
        <f>673.9+(421.5-338.9)+(-0.343689+(-0.214965--0.172839))+0-156.8--0.0799679999999841</f>
        <v>599.39415299999996</v>
      </c>
      <c r="Q123" s="3">
        <f>687+(264.2-192.6)+(0.35037+(0.134742-0.098226))+0-143.4-0.0731339999999855</f>
        <v>615.51375200000007</v>
      </c>
      <c r="R123" s="3">
        <f>686.2+(230.6-164.6)+(-0.349962+(-0.117606--0.083946))+3.7-134.2--0.0684419999999864</f>
        <v>621.38482000000022</v>
      </c>
      <c r="S123" s="3">
        <f>686.7+(258.9-209.2)+(-0.350217+(-0.132039--0.106692))+22-122.4--0.0624239999999876</f>
        <v>635.68686000000002</v>
      </c>
      <c r="T123" s="3">
        <f>722.2+(280.7-236.2)+(1.104966+(0.429471-0.361386))+22-145.9-0.223227000000008</f>
        <v>643.7498240000001</v>
      </c>
      <c r="U123" s="3">
        <f>693.1+(231.2-239.7)+(0+(0-0))+22-100.5-0</f>
        <v>606.1</v>
      </c>
      <c r="V123" s="3">
        <f>685.1+(250.4-205.9)+(-0.349401+(-0.127704--0.105009))+22-131.1--0.0668609999999867</f>
        <v>620.19476499999996</v>
      </c>
      <c r="W123" s="3">
        <f>677.8+(187.8-141.8)+(-1.037034+(-0.287334--0.216954))+14.7-117.9--0.180387000000007</f>
        <v>619.67297300000007</v>
      </c>
      <c r="X123" s="3">
        <f>642.4+(367.3-285.3)+(-0.982872+(-0.561969--0.436509))+0-113.8--0.174114000000007</f>
        <v>609.66578200000004</v>
      </c>
      <c r="Y123" s="3">
        <f>641.1+(412.9-330.3)+(0.326961+(0.210579-0.168453))+0-115.3-0.0588029999999883</f>
        <v>608.71028400000012</v>
      </c>
      <c r="Z123" s="3">
        <f>668.8+(230-137.3)+(0.682176+(0.2346-0.140046))+0-129-0.131580000000021</f>
        <v>633.14515000000006</v>
      </c>
      <c r="AA123" s="3">
        <f>713.1+(192.1-171)+(-0.363681+(-0.097971--0.08721))+0-119.2--0.0607919999999879</f>
        <v>614.68634999999995</v>
      </c>
      <c r="AB123" s="3">
        <f>723.5+(190.2-189.7)+(-0.368985+(-0.097002--0.096747))+0-128.6--0.0655859999999869</f>
        <v>595.09634599999993</v>
      </c>
      <c r="AC123" s="3">
        <f>719.5+(190.1-198.6)+(-0.73389+(-0.193902--0.202572))+0-130--0.132600000000021</f>
        <v>580.40737999999999</v>
      </c>
      <c r="AD123">
        <f t="shared" si="1"/>
        <v>13795.901866000002</v>
      </c>
      <c r="AE123" s="3">
        <f>712+(218.1-148.5)+(0+(0-0))+0-101.4-0</f>
        <v>680.2</v>
      </c>
    </row>
    <row r="124" spans="1:31" s="2" customFormat="1" x14ac:dyDescent="0.25">
      <c r="A124">
        <v>89</v>
      </c>
      <c r="B124">
        <v>4</v>
      </c>
      <c r="C124">
        <v>31</v>
      </c>
      <c r="D124">
        <v>6</v>
      </c>
      <c r="E124">
        <v>1</v>
      </c>
      <c r="F124" s="3">
        <f>683.4+(238.9-176.5)+(-0.697068+(-0.243678--0.18003))+0-163.6--0.166872000000026</f>
        <v>581.60615599999994</v>
      </c>
      <c r="G124" s="3">
        <f>681.5+(230.1-201.6)+(0.69513+(0.234702-0.205632))+0-149.7-0.152694000000024</f>
        <v>560.87150600000007</v>
      </c>
      <c r="H124" s="3">
        <f>632.1+(244.6-177.1)+(-1.289484+(-0.498984--0.361284))+0-153.5--0.313139999999993</f>
        <v>544.98595599999999</v>
      </c>
      <c r="I124" s="3">
        <f>589.5+(291.4-188.4)+(-1.503225+(-0.74307--0.48042))+0-156.7--0.399584999999977</f>
        <v>534.43370999999991</v>
      </c>
      <c r="J124" s="3">
        <f>595.7+(324.6-240.8)+(0.303807+(0.165546-0.122808))+0-149.8-0.0763979999999848</f>
        <v>529.97014699999988</v>
      </c>
      <c r="K124" s="3">
        <f>597.5+(333.4-264.8)+(-1.523625+(-0.85017--0.67524))+0-156.6--0.399329999999977</f>
        <v>508.20077499999979</v>
      </c>
      <c r="L124" s="3">
        <f>594.5+(284.5-231)+(-0.60639+(-0.29019--0.23562))+0-151.6--0.154632000000024</f>
        <v>495.89367199999998</v>
      </c>
      <c r="M124" s="3">
        <f>541.1+(384.7-256.4)+(-0.275961+(-0.196197--0.130764))+0-143.6--0.0732359999999854</f>
        <v>525.53184199999998</v>
      </c>
      <c r="N124" s="3">
        <f>521+(503.9-317.8)+(0.26571+(0.256989-0.162078))+0-141.6-0.0722159999999856</f>
        <v>565.7884049999999</v>
      </c>
      <c r="O124" s="3">
        <f>585.6+(505-324.7)+(0+(0-0))+0-160.8-0</f>
        <v>605.10000000000014</v>
      </c>
      <c r="P124" s="3">
        <f>680.4+(399-301.8)+(0+(0-0))+0-157.4-0</f>
        <v>620.19999999999993</v>
      </c>
      <c r="Q124" s="3">
        <f>683.3+(276.4-167.4)+(0+(0-0))+0-147.5-0</f>
        <v>644.79999999999995</v>
      </c>
      <c r="R124" s="3">
        <f>688.2+(264.7-139.4)+(0.350982+(0.134997-0.071094))+0-158.6-0.0808859999999839</f>
        <v>655.23399900000004</v>
      </c>
      <c r="S124" s="3">
        <f>682.3+(306-191.3)+(0.347973+(0.15606-0.097563))+0-149.5-0.0762449999999848</f>
        <v>647.83022500000004</v>
      </c>
      <c r="T124" s="3">
        <f>678+(317.8-225.8)+(0.69156+(0.324156-0.230316))+0-141.9-0.144738000000023</f>
        <v>628.74066199999993</v>
      </c>
      <c r="U124" s="3">
        <f>674.6+(300.4-226.9)+(0+(0-0))+0-143.4-0</f>
        <v>604.70000000000005</v>
      </c>
      <c r="V124" s="3">
        <f>666+(289.8-203.4)+(0+(0-0))+0-139.7-0</f>
        <v>612.70000000000005</v>
      </c>
      <c r="W124" s="3">
        <f>640.6+(246.8-129)+(-0.653412+(-0.251736--0.13158))+0-143--0.145860000000023</f>
        <v>614.77229200000011</v>
      </c>
      <c r="X124" s="3">
        <f>621.4+(399.4-258.9)+(-1.901484+(-1.222164--0.792234))+0-156.5--0.478890000000018</f>
        <v>603.54747599999996</v>
      </c>
      <c r="Y124" s="3">
        <f>527.2+(382.6-167.1)+(-0.268872+(-0.195126--0.085221))+0-148.3--0.075632999999985</f>
        <v>594.096856</v>
      </c>
      <c r="Z124" s="3">
        <f>593.9+(291.2-103.9)+(-1.211556+(-0.594048--0.211956))+0-153--0.312119999999993</f>
        <v>626.91847199999984</v>
      </c>
      <c r="AA124" s="3">
        <f>685.8+(259.9-158)+(-1.399032+(-0.530196--0.32232))+0-160.3--0.327011999999993</f>
        <v>626.12010399999986</v>
      </c>
      <c r="AB124" s="3">
        <f>687+(251-167.5)+(0+(0-0))+0-161.5-0</f>
        <v>609</v>
      </c>
      <c r="AC124" s="3">
        <f>676.9+(244.3-176.4)+(-0.690438+(-0.249186--0.179928))+0-149.6--0.152592000000024</f>
        <v>594.592896</v>
      </c>
      <c r="AD124">
        <f t="shared" si="1"/>
        <v>14135.635151</v>
      </c>
      <c r="AE124" s="3">
        <f>683+(255-175.6)+(0+(0-0))+0-127.9-0</f>
        <v>634.5</v>
      </c>
    </row>
    <row r="125" spans="1:31" s="2" customFormat="1" x14ac:dyDescent="0.25">
      <c r="A125">
        <v>89</v>
      </c>
      <c r="B125">
        <v>5</v>
      </c>
      <c r="C125">
        <v>1</v>
      </c>
      <c r="D125">
        <v>7</v>
      </c>
      <c r="E125">
        <v>1</v>
      </c>
      <c r="F125" s="3">
        <f>662.1+(218.7-216.8)+(-0.337671+(-0.111537--0.110568))+0-147.1--0.0750209999999851</f>
        <v>516.63638099999991</v>
      </c>
      <c r="G125" s="3">
        <f>650.2+(225.1-224)+(-1.989612+(-0.688806--0.68544))+0-146.6--0.448596000000017</f>
        <v>503.15561800000006</v>
      </c>
      <c r="H125" s="3">
        <f>558.5+(254.1-178.3)+(-1.424175+(-0.647955--0.454665))+0-149.3--0.380714999999978</f>
        <v>483.76324999999986</v>
      </c>
      <c r="I125" s="3">
        <f>559+(270.1-209.6)+(0.28509+(0.137751-0.106896))+0-147.1-0.0750209999999851</f>
        <v>472.64092400000004</v>
      </c>
      <c r="J125" s="3">
        <f>565.2+(293.8-248.3)+(-0.288252+(-0.149838--0.126633))+0-160--0.0815999999999838</f>
        <v>450.47014300000001</v>
      </c>
      <c r="K125" s="3">
        <f>567.5+(329.6-318.2)+(-0.57885+(-0.336192--0.324564))+0-147.2--0.150144000000023</f>
        <v>431.25966600000015</v>
      </c>
      <c r="L125" s="3">
        <f>546.8+(259.3-257.5)+(-0.278868+(-0.132243--0.131325))+0-153.1--0.0780809999999845</f>
        <v>395.29829499999994</v>
      </c>
      <c r="M125" s="3">
        <f>501.4+(298.6-258.9)+(-0.255714+(-0.152286--0.132039))+0-142.6--0.0727259999999855</f>
        <v>398.29676499999994</v>
      </c>
      <c r="N125" s="3">
        <f>496.6+(340.7-262.9)+(0+(0-0))+0-143.8-0</f>
        <v>430.60000000000008</v>
      </c>
      <c r="O125" s="3">
        <f>491.9+(397.3-300.3)+(0.250869+(0.202623-0.153153))+0-135.9-0.0693089999999862</f>
        <v>453.23103000000003</v>
      </c>
      <c r="P125" s="3">
        <f>537.4+(394.9-311.4)+(-0.548148+(-0.402798--0.317628))+0-142.3--0.145146000000023</f>
        <v>478.11182799999995</v>
      </c>
      <c r="Q125" s="3">
        <f>538.4+(304.4-216.8)+(0.274584+(0.155244-0.110568))+0-146.9-0.0749189999999851</f>
        <v>479.34434100000004</v>
      </c>
      <c r="R125" s="3">
        <f>593.2+(228.2-191.8)+(-0.605064+(-0.232764--0.195636))+0-139.5--0.142290000000022</f>
        <v>489.600098</v>
      </c>
      <c r="S125" s="3">
        <f>649.6+(203.1-223.3)+(-0.331296+(-0.103581--0.113883))+0-150.3--0.0766529999999848</f>
        <v>478.85565899999989</v>
      </c>
      <c r="T125" s="3">
        <f>644.4+(195.7-231.8)+(-0.657288+(-0.199614--0.236436))+0-145.9--0.148818000000023</f>
        <v>461.92835200000002</v>
      </c>
      <c r="U125" s="3">
        <f>624.6+(195.8-226.3)+(0+(0-0))+0-137.2-0</f>
        <v>456.90000000000003</v>
      </c>
      <c r="V125" s="3">
        <f>620.7+(196.6-215.8)+(0+(0-0))+0-134.5-0</f>
        <v>467</v>
      </c>
      <c r="W125" s="3">
        <f>601.5+(218.4-202.3)+(-1.22706+(-0.445536--0.412692))+0-147.1--0.300083999999994</f>
        <v>469.54017999999996</v>
      </c>
      <c r="X125" s="3">
        <f>598.9+(387.9-366.7)+(-0.610878+(-0.395658--0.374034))+0-140.4--0.143208000000022</f>
        <v>479.2107059999999</v>
      </c>
      <c r="Y125" s="3">
        <f>577.4+(442.8-401.3)+(0+(0-0))+0-134.8-0</f>
        <v>484.09999999999997</v>
      </c>
      <c r="Z125" s="3">
        <f>611.2+(294.1-251)+(-0.623424+(-0.299982--0.25602))+0-120.2--0.122604000000019</f>
        <v>533.55521800000008</v>
      </c>
      <c r="AA125" s="3">
        <f>670.7+(271.6-257.4)+(0+(0-0))+0-145.9-0</f>
        <v>539.00000000000011</v>
      </c>
      <c r="AB125" s="3">
        <f>666.7+(228.1-210.7)+(-0.680034+(-0.232662--0.214914))+0-150.7--0.153714000000024</f>
        <v>532.85593200000017</v>
      </c>
      <c r="AC125" s="3">
        <f>662.2+(229.4-211.5)+(-0.337722+(-0.116994--0.107865))+0-150.8--0.0769079999999847</f>
        <v>529.03005699999994</v>
      </c>
      <c r="AD125">
        <f t="shared" si="1"/>
        <v>11414.384442999999</v>
      </c>
      <c r="AE125" s="3">
        <f>668+(292.3-213.9)+(0+(0-0))+0-190.2-0</f>
        <v>556.20000000000005</v>
      </c>
    </row>
    <row r="126" spans="1:31" s="2" customFormat="1" x14ac:dyDescent="0.25">
      <c r="A126">
        <v>89</v>
      </c>
      <c r="B126">
        <v>5</v>
      </c>
      <c r="C126">
        <v>2</v>
      </c>
      <c r="D126">
        <v>1</v>
      </c>
      <c r="E126">
        <v>1</v>
      </c>
      <c r="F126" s="3">
        <f>666.9+(255.3-193.6)+(-0.340119+(-0.130203--0.098736))+0-156.4--0.0797639999999841</f>
        <v>571.90817800000002</v>
      </c>
      <c r="G126" s="3">
        <f>666.1+(272.2-230)+(0.339711+(0.138822-0.1173))+0-150.9-0.0769589999999847</f>
        <v>557.68427399999996</v>
      </c>
      <c r="H126" s="3">
        <f>667+(283.4-264.1)+(0.34017+(0.144534-0.134691))+0-144.8-0.0738479999999853</f>
        <v>541.77616499999999</v>
      </c>
      <c r="I126" s="3">
        <f>670.9+(315.1-312.6)+(-0.684318+(-0.321402--0.318852))+0-142.8--0.145656000000023</f>
        <v>530.05878799999994</v>
      </c>
      <c r="J126" s="3">
        <f>678.9+(343.7-361.3)+(0+(0-0))+0-133.1-0</f>
        <v>528.19999999999993</v>
      </c>
      <c r="K126" s="3">
        <f>673.9+(392.5-414.9)+(-0.687378+(-0.40035--0.423198))+0-134.2--0.136884000000021</f>
        <v>516.77235399999995</v>
      </c>
      <c r="L126" s="3">
        <f>580.8+(403.2-336)+(0+(0-0))+0-126-0</f>
        <v>522</v>
      </c>
      <c r="M126" s="3">
        <f>642.5+(452.5-412.7)+(0.65535+(0.46155-0.420954))+0-118.5-0.120870000000019</f>
        <v>564.37507600000004</v>
      </c>
      <c r="N126" s="3">
        <f>679+(566.1-501.5)+(-0.69258+(-0.577422--0.51153))+0-134.5--0.137190000000021</f>
        <v>608.47871800000007</v>
      </c>
      <c r="O126" s="3">
        <f>673.1+(527.6-458.4)+(0+(0-0))+0-107.6-0</f>
        <v>634.70000000000005</v>
      </c>
      <c r="P126" s="3">
        <f>661.7+(476.1-355.3)+(0.337467+(0.242811-0.181203))+0-134.5-0.0685949999999864</f>
        <v>648.33048000000008</v>
      </c>
      <c r="Q126" s="3">
        <f>654.6+(352-222.6)+(0+(0-0))+30-125.4-0</f>
        <v>688.6</v>
      </c>
      <c r="R126" s="3">
        <f>690.3+(245.9-160.5)+(0.352053+(0.125409-0.081855))+40-92.9-0.0473789999999906</f>
        <v>723.14822800000002</v>
      </c>
      <c r="S126" s="3">
        <f>690.6+(245.1-156.7)+(0.352206+(0.125001-0.079917))+40-102.8-0.0524279999999896</f>
        <v>716.54486200000008</v>
      </c>
      <c r="T126" s="3">
        <f>688.4+(224.3-164.4)+(0.351084+(0.114393-0.083844))+40-97-0.0494699999999902</f>
        <v>691.63216299999988</v>
      </c>
      <c r="U126" s="3">
        <f>695.3+(212.4-172.1)+(0.354603+(0.108324-0.087771))+40-88.8-0.045287999999991</f>
        <v>687.12986799999987</v>
      </c>
      <c r="V126" s="3">
        <f>694.2+(212.8-167.5)+(-1.416168+(-0.434112--0.3417))+40-78.2--0.159527999999997</f>
        <v>699.95094799999993</v>
      </c>
      <c r="W126" s="3">
        <f>664.6+(260-193.3)+(-0.677892+(-0.2652--0.197166))+10-62.6--0.06385200000001</f>
        <v>678.01792599999987</v>
      </c>
      <c r="X126" s="3">
        <f>651.2+(500.4-383.2)+(-1.328448+(-1.020816--0.781728))+0-102--0.208079999999996</f>
        <v>665.04054400000007</v>
      </c>
      <c r="Y126" s="3">
        <f>641.4+(535.4-415.6)+(-0.654228+(-0.546108--0.423912))+0-102.4--0.104448000000016</f>
        <v>658.12802399999998</v>
      </c>
      <c r="Z126" s="3">
        <f>657.8+(335-193.4)+(-0.670956+(-0.3417--0.197268))+0-104.4--0.106488000000017</f>
        <v>694.29110000000003</v>
      </c>
      <c r="AA126" s="3">
        <f>707.3+(284.9-197.8)+(-0.360723+(-0.145299--0.100878))+0-109.4--0.0557939999999889</f>
        <v>684.65064999999993</v>
      </c>
      <c r="AB126" s="3">
        <f>700.3+(270.6-191.6)+(0+(0-0))+0-110.2-0</f>
        <v>669.09999999999991</v>
      </c>
      <c r="AC126" s="3">
        <f>665.3+(263.4-162.4)+(-0.339303+(-0.134334--0.082824))+0-119.3--0.0608429999999879</f>
        <v>646.67003</v>
      </c>
      <c r="AD126">
        <f t="shared" si="1"/>
        <v>15127.188376</v>
      </c>
      <c r="AE126" s="3">
        <f>705+(303.6-184)+(0+(0-0))+0-119-0</f>
        <v>705.6</v>
      </c>
    </row>
    <row r="127" spans="1:31" s="2" customFormat="1" x14ac:dyDescent="0.25">
      <c r="A127">
        <v>89</v>
      </c>
      <c r="B127">
        <v>5</v>
      </c>
      <c r="C127">
        <v>3</v>
      </c>
      <c r="D127">
        <v>2</v>
      </c>
      <c r="E127">
        <v>1</v>
      </c>
      <c r="F127" s="3">
        <f>653.5+(278.6-195)+(-0.999855+(-0.426258--0.29835))+0-132.1--0.202113000000008</f>
        <v>604.07435000000009</v>
      </c>
      <c r="G127" s="3">
        <f>655.7+(315.9-265.3)+(-1.337628+(-0.644436--0.541212))+0-126.2--0.257447999999995</f>
        <v>578.91659599999991</v>
      </c>
      <c r="H127" s="3">
        <f>666.6+(320.7-296.1)+(-0.679932+(-0.327114--0.302022))+0-128.5--0.13107000000002</f>
        <v>562.12604600000009</v>
      </c>
      <c r="I127" s="3">
        <f>675.5+(347.8-344.8)+(0+(0-0))+0-124.4-0</f>
        <v>554.1</v>
      </c>
      <c r="J127" s="3">
        <f>679.1+(364-374.2)+(0+(0-0))+0-119.2-0</f>
        <v>549.70000000000005</v>
      </c>
      <c r="K127" s="3">
        <f>627.6+(343.9-316.2)+(-0.960228+(-0.526167--0.483786))+0-126.1--0.192933000000007</f>
        <v>528.39032399999996</v>
      </c>
      <c r="L127" s="3">
        <f>582.7+(400.4-328.4)+(0.297177+(0.204204-0.167484))+0-108.4-0.055283999999989</f>
        <v>546.57861300000002</v>
      </c>
      <c r="M127" s="3">
        <f>661.5+(455-438.7)+(0.67473+(0.4641-0.447474))+0-108.6-0.110772000000017</f>
        <v>569.78058399999998</v>
      </c>
      <c r="N127" s="3">
        <f>661.5+(460-438.7)+(0.67473+(0.4692-0.447474))+0-108.6-0.110772000000017</f>
        <v>574.78568399999995</v>
      </c>
      <c r="O127" s="3">
        <f>688.6+(386.8-359.6)+(0.702372+(0.394536-0.366792))+0-107.9-0.110058000000017</f>
        <v>608.52005799999995</v>
      </c>
      <c r="P127" s="3">
        <f>684.2+(276.6-234.8)+(1.046826+(0.423198-0.359244))+0-106.9-0.163557000000006</f>
        <v>620.04722300000003</v>
      </c>
      <c r="Q127" s="3">
        <f>682.2+(233.2-156)+(0+(0-0))+0-107.1-0</f>
        <v>652.30000000000007</v>
      </c>
      <c r="R127" s="3">
        <f>707.4+(216.1-171.7)+(-0.721548+(-0.220422--0.175134))+0-88--0.089760000000014</f>
        <v>663.12292400000001</v>
      </c>
      <c r="S127" s="3">
        <f>707.5+(212.3-177.5)+(-0.360825+(-0.108273--0.090525))+0-81.1--0.0413609999999918</f>
        <v>660.86278799999991</v>
      </c>
      <c r="T127" s="3">
        <f>700.6+(208.5-192.8)+(0.357306+(0.106335-0.098328))+0-77.2-0.0393719999999922</f>
        <v>639.42594099999997</v>
      </c>
      <c r="U127" s="3">
        <f>696.8+(197.5-193)+(0.710736+(0.20145-0.19686))+0-70.6-0.0720120000000112</f>
        <v>631.34331399999996</v>
      </c>
      <c r="V127" s="3">
        <f>694.1+(205.1-179)+(-0.353991+(-0.104601--0.09129))+0-80.3--0.0409529999999919</f>
        <v>639.57365100000004</v>
      </c>
      <c r="W127" s="3">
        <f>647.1+(250.7-173.2)+(-1.650105+(-0.639285--0.44166))+0-80.3--0.204764999999988</f>
        <v>642.65703500000006</v>
      </c>
      <c r="X127" s="3">
        <f>633.5+(508.5-410.4)+(-1.615425+(-1.296675--1.04652))+0-80.2--0.204509999999988</f>
        <v>649.73892999999998</v>
      </c>
      <c r="Y127" s="3">
        <f>635.6+(551.9-459.1)+(-0.648312+(-0.562938--0.468282))+0-80.2--0.0818040000000128</f>
        <v>647.53883599999995</v>
      </c>
      <c r="Z127" s="3">
        <f>682.8+(346.1-248.8)+(-1.044684+(-0.529533--0.380664))+0-87.1--0.133263000000005</f>
        <v>691.93970999999999</v>
      </c>
      <c r="AA127" s="3">
        <f>711.7+(283.3-220.4)+(-0.725934+(-0.288966--0.224808))+0-96.3--0.0982260000000154</f>
        <v>677.60813400000018</v>
      </c>
      <c r="AB127" s="3">
        <f>701+(259.4-219.4)+(-0.35751+(-0.132294--0.111894))+0-92.3--0.0470729999999906</f>
        <v>648.36916299999996</v>
      </c>
      <c r="AC127" s="3">
        <f>687.5+(258.7-202.6)+(0+(0-0))+0-112.2-0</f>
        <v>631.4</v>
      </c>
      <c r="AD127">
        <f t="shared" si="1"/>
        <v>14772.899904</v>
      </c>
      <c r="AE127" s="3">
        <f>710+(299.3-218.6)+(0+(0-0))+0-108.9-0</f>
        <v>681.80000000000007</v>
      </c>
    </row>
    <row r="128" spans="1:31" s="2" customFormat="1" x14ac:dyDescent="0.25">
      <c r="A128">
        <v>89</v>
      </c>
      <c r="B128">
        <v>5</v>
      </c>
      <c r="C128">
        <v>4</v>
      </c>
      <c r="D128">
        <v>3</v>
      </c>
      <c r="E128">
        <v>1</v>
      </c>
      <c r="F128" s="3">
        <f>671.8+(282.4-229.6)+(0.342618+(0.144024-0.117096))+0-120.6-0.0615059999999878</f>
        <v>604.30803999999989</v>
      </c>
      <c r="G128" s="3">
        <f>665+(313.1-277.7)+(0.33915+(0.159681-0.141627))+0-114.8-0.0585479999999884</f>
        <v>585.89865600000019</v>
      </c>
      <c r="H128" s="3">
        <f>664.9+(383.3-344.6)+(-0.339099+(-0.195483--0.175746))+0-133.7--0.0681869999999864</f>
        <v>569.60935099999995</v>
      </c>
      <c r="I128" s="3">
        <f>670.1+(357.1-349.9)+(-1.025253+(-0.546363--0.535347))+0-134.3--0.205479000000008</f>
        <v>542.16921000000002</v>
      </c>
      <c r="J128" s="3">
        <f>676.2+(355.8-338.2)+(-1.034586+(-0.544374--0.517446))+0-161.9--0.247707000000009</f>
        <v>531.08619300000009</v>
      </c>
      <c r="K128" s="3">
        <f>677+(349.5-370.3)+(-0.69054+(-0.35649--0.377706))+0-126.1--0.12862200000002</f>
        <v>529.55929800000013</v>
      </c>
      <c r="L128" s="3">
        <f>591.7+(400.4-347.6)+(-0.905301+(-0.612612--0.531828))+0-122.8--0.187884000000007</f>
        <v>520.9017990000001</v>
      </c>
      <c r="M128" s="3">
        <f>583.7+(458.2-363.8)+(0+(0-0))+0-131.8-0</f>
        <v>546.29999999999995</v>
      </c>
      <c r="N128" s="3">
        <f>630.9+(505.4-405.7)+(0.321759+(0.257754-0.206907))+0-151.8-0.0774179999999846</f>
        <v>579.09518799999989</v>
      </c>
      <c r="O128" s="3">
        <f>624.9+(497.1-399.4)+(0+(0-0))+0-129.3-0</f>
        <v>593.29999999999995</v>
      </c>
      <c r="P128" s="3">
        <f>667.2+(413-346)+(0+(0-0))+0-90-0</f>
        <v>644.20000000000005</v>
      </c>
      <c r="Q128" s="3">
        <f>677.5+(347.9-246.3)+(0+(0-0))+0-135-0</f>
        <v>644.09999999999991</v>
      </c>
      <c r="R128" s="3">
        <f>709.1+(308.7-267)+(0+(0-0))+0-115.7-0</f>
        <v>635.09999999999991</v>
      </c>
      <c r="S128" s="3">
        <f>704.5+(198.8-197.4)+(0+(0-0))+0-112.9-0</f>
        <v>593</v>
      </c>
      <c r="T128" s="3">
        <f>703.3+(181-207.9)+(0.358683+(0.09231-0.106029))+0-104.8-0.0534479999999894</f>
        <v>571.89151600000002</v>
      </c>
      <c r="U128" s="3">
        <f>686.9+(196.8-188.9)+(-0.350319+(-0.100368--0.096339))+0-139.7--0.0712469999999858</f>
        <v>554.81689900000003</v>
      </c>
      <c r="V128" s="3">
        <f>675.5+(185.2-188.9)+(-0.68901+(-0.188904--0.192678))+0-125.6--0.12811200000002</f>
        <v>545.64287599999989</v>
      </c>
      <c r="W128" s="3">
        <f>651.1+(253.6-217)+(-0.664122+(-0.258672--0.22134))+0-136.7--0.139434000000022</f>
        <v>550.43798000000004</v>
      </c>
      <c r="X128" s="3">
        <f>592.3+(429.5-337.6)+(-1.208292+(-0.87618--0.688704))+0-134.7--0.274787999999994</f>
        <v>548.37901999999985</v>
      </c>
      <c r="Y128" s="3">
        <f>500+(465.4-305.4)+(-0.255+(-0.237354--0.155754))+0-127.3--0.0649229999999871</f>
        <v>532.42832300000009</v>
      </c>
      <c r="Z128" s="3">
        <f>586.1+(304.9-180.4)+(-0.298911+(-0.155499--0.092004))+0-145.1--0.0740009999999853</f>
        <v>565.21159499999999</v>
      </c>
      <c r="AA128" s="3">
        <f>682.8+(238.9-220.1)+(-0.696456+(-0.243678--0.224502))+0-152.4--0.155448000000024</f>
        <v>548.63981599999988</v>
      </c>
      <c r="AB128" s="3">
        <f>691.1+(215.1-236.9)+(-0.352461+(-0.109701--0.120819))+0-143.5--0.0731849999999854</f>
        <v>525.53184199999987</v>
      </c>
      <c r="AC128" s="3">
        <f>679.5+(199.8-227.4)+(0+(0-0))+0-127.9-0</f>
        <v>524</v>
      </c>
      <c r="AD128">
        <f t="shared" si="1"/>
        <v>13585.607602000004</v>
      </c>
      <c r="AE128" s="3">
        <f>685+(275.9-189.5)+(0+(0-0))+0-165.4-0</f>
        <v>606</v>
      </c>
    </row>
    <row r="129" spans="1:31" s="2" customFormat="1" x14ac:dyDescent="0.25">
      <c r="A129">
        <v>89</v>
      </c>
      <c r="B129">
        <v>5</v>
      </c>
      <c r="C129">
        <v>5</v>
      </c>
      <c r="D129">
        <v>4</v>
      </c>
      <c r="E129">
        <v>3</v>
      </c>
      <c r="F129" s="3">
        <f>686.2+(221-206.8)+(-0.699924+(-0.22542--0.210936))+0-129.8--0.132396000000021</f>
        <v>570.01798800000006</v>
      </c>
      <c r="G129" s="3">
        <f>692.1+(230.5-216.4)+(-1.764855+(-0.587775--0.55182))+0-157.3--0.401114999999977</f>
        <v>547.50030500000014</v>
      </c>
      <c r="H129" s="3">
        <f>697.5+(266.4-291.7)+(-0.71145+(-0.271728--0.297534))+0-138--0.140760000000022</f>
        <v>533.65511600000002</v>
      </c>
      <c r="I129" s="3">
        <f>702.9+(242.5-291.7)+(0+(0-0))+0-131.1-0</f>
        <v>522.6</v>
      </c>
      <c r="J129" s="3">
        <f>707.8+(292.8-343)+(0.721956+(0.298656-0.34986))+0-143.9-0.146778000000023</f>
        <v>514.22397399999988</v>
      </c>
      <c r="K129" s="3">
        <f>707.9+(210.5-270.3)+(-1.083087+(-0.322065--0.413559))+0-152.9--0.233937000000009</f>
        <v>494.44234399999999</v>
      </c>
      <c r="L129" s="3">
        <f>687.3+(307.7-392.9)+(-1.051569+(-0.470781--0.601137))+0-143--0.218790000000008</f>
        <v>458.39757699999996</v>
      </c>
      <c r="M129" s="3">
        <f>595.3+(293.4-304.8)+(0.607206+(0.299268-0.310896))+0-132.2-0.134844000000021</f>
        <v>452.16073399999988</v>
      </c>
      <c r="N129" s="3">
        <f>655.6+(280.2-337)+(-0.668712+(-0.285804--0.34374))+0-134.4--0.137088000000021</f>
        <v>463.926312</v>
      </c>
      <c r="O129" s="3">
        <f>676.8+(251.1-304.6)+(0.345168+(0.128061-0.155346))+0-138.9-0.0708389999999859</f>
        <v>484.64704400000005</v>
      </c>
      <c r="P129" s="3">
        <f>674+(210.1-260)+(1.03122+(0.321453-0.3978))+0-130.6-0.199818000000008</f>
        <v>494.25505500000003</v>
      </c>
      <c r="Q129" s="3">
        <f>683.3+(176.7-210.1)+(0.348483+(0.090117-0.107151))+0-151.8-0.0774179999999846</f>
        <v>498.35403100000002</v>
      </c>
      <c r="R129" s="3">
        <f>687.7+(169-235.8)+(0+(0-0))+0-129.5-0</f>
        <v>491.40000000000009</v>
      </c>
      <c r="S129" s="3">
        <f>696.3+(184.5-254.9)+(0.355113+(0.094095-0.129999))+0-140.5-0.0716549999999857</f>
        <v>485.64755400000001</v>
      </c>
      <c r="T129" s="3">
        <f>693.2+(183.4-268.9)+(0.353532+(0.093534-0.137139))+0-126.8-0.0646679999999871</f>
        <v>481.14525900000007</v>
      </c>
      <c r="U129" s="3">
        <f>668.1+(209.2-255.5)+(-0.681462+(-0.213384--0.26061))+0-142.8--0.145656000000023</f>
        <v>478.51141999999999</v>
      </c>
      <c r="V129" s="3">
        <f>659.6+(194.3-232.6)+(-0.672792+(-0.198186--0.237252))+0-134.4--0.137088000000021</f>
        <v>486.40336200000007</v>
      </c>
      <c r="W129" s="3">
        <f>644.1+(198.9-229.8)+(-1.642455+(-0.507195--0.58599))+0-128.5--0.327674999999981</f>
        <v>483.46401500000002</v>
      </c>
      <c r="X129" s="3">
        <f>633+(347.7-366.2)+(-1.61415+(-0.886635--0.93381))+0-135.5--0.34552499999998</f>
        <v>477.77855</v>
      </c>
      <c r="Y129" s="3">
        <f>638.7+(374.7-387.7)+(0+(0-0))+0-143.9-0</f>
        <v>481.80000000000007</v>
      </c>
      <c r="Z129" s="3">
        <f>686.4+(229.6-225.6)+(0.350064+(0.117096-0.115056))+0-162.1-0.0826709999999835</f>
        <v>528.569433</v>
      </c>
      <c r="AA129" s="3">
        <f>716.9+(211.6-241.9)+(0+(0-0))+0-162.6-0</f>
        <v>523.99999999999989</v>
      </c>
      <c r="AB129" s="3">
        <f>728.5+(196.6-277.1)+(-0.371535+(-0.100266--0.141321))+0-128.6--0.0655859999999869</f>
        <v>519.13510599999995</v>
      </c>
      <c r="AC129" s="3">
        <f>731+(207.7-265.9)+(0+(0-0))+0-152.1-0</f>
        <v>520.69999999999993</v>
      </c>
      <c r="AD129">
        <f t="shared" ref="AD129:AD192" si="2">SUM(F129:AC129)</f>
        <v>11992.735178999998</v>
      </c>
      <c r="AE129" s="3">
        <f>710+(207.9-247.4)+(0+(0-0))+0-139.4-0</f>
        <v>531.1</v>
      </c>
    </row>
    <row r="130" spans="1:31" s="2" customFormat="1" x14ac:dyDescent="0.25">
      <c r="A130">
        <v>89</v>
      </c>
      <c r="B130">
        <v>5</v>
      </c>
      <c r="C130">
        <v>6</v>
      </c>
      <c r="D130">
        <v>5</v>
      </c>
      <c r="E130">
        <v>1</v>
      </c>
      <c r="F130" s="3">
        <f>730.5+(161.1-249.4)+(0+(0-0))+0-135.4-0</f>
        <v>506.80000000000007</v>
      </c>
      <c r="G130" s="3">
        <f>725.1+(184.5-255.6)+(-0.739602+(-0.18819--0.260712))+0-165.6--0.168912000000026</f>
        <v>487.90183199999996</v>
      </c>
      <c r="H130" s="3">
        <f>727.2+(218.3-338.7)+(0+(0-0))+0-133.7-0</f>
        <v>473.10000000000008</v>
      </c>
      <c r="I130" s="3">
        <f>731.3+(246-361.9)+(0.372963+(0.12546-0.184569))+0-144.1-0.0734909999999854</f>
        <v>471.54036299999996</v>
      </c>
      <c r="J130" s="3">
        <f>728.7+(292.2-415.8)+(0+(0-0))+0-137.3-0</f>
        <v>467.8</v>
      </c>
      <c r="K130" s="3">
        <f>732.3+(330.7-487.1)+(0+(0-0))+0-124.6-0</f>
        <v>451.29999999999984</v>
      </c>
      <c r="L130" s="3">
        <f>655.2+(476.9-544.5)+(0+(0-0))+0-123.8-0</f>
        <v>463.8</v>
      </c>
      <c r="M130" s="3">
        <f>623.2+(485.8-480.1)+(0.635664+(0.495516-0.489702))+0-134.9-0.137598000000022</f>
        <v>494.50388000000009</v>
      </c>
      <c r="N130" s="3">
        <f>720.6+(519.5-586.7)+(0.367506+(0.264945-0.299217))+0-120.3-0.0613529999999878</f>
        <v>533.37188100000003</v>
      </c>
      <c r="O130" s="3">
        <f>712.6+(533.2-562.6)+(0.363426+(0.271932-0.286926))+0-120.1-0.0612509999999878</f>
        <v>563.38718100000006</v>
      </c>
      <c r="P130" s="3">
        <f>705.8+(434.9-469.3)+(-0.359958+(-0.221799--0.239343))+0-88.6--0.045185999999991</f>
        <v>582.50277199999982</v>
      </c>
      <c r="Q130" s="3">
        <f>694.6+(305-311.7)+(0.354246+(0.15555-0.158967))+33.3-91.4-0.0466139999999907</f>
        <v>630.10421500000007</v>
      </c>
      <c r="R130" s="3">
        <f>710+(200-234.6)+(0.3621+(0.102-0.119646))+40-82.5-0.0420749999999916</f>
        <v>633.20237900000006</v>
      </c>
      <c r="S130" s="3">
        <f>707.7+(189.5-245.1)+(0.360927+(0.096645-0.125001))+40-64-0.0326399999999935</f>
        <v>628.39993100000004</v>
      </c>
      <c r="T130" s="3">
        <f>703.9+(194.7-236.2)+(0.717978+(0.198594-0.240924))+40-79-0.0805800000000126</f>
        <v>623.99506799999995</v>
      </c>
      <c r="U130" s="3">
        <f>693.1+(199.5-222.3)+(0.353481+(0.101745-0.113373))+40-100.4-0.0512039999999898</f>
        <v>610.19064900000001</v>
      </c>
      <c r="V130" s="3">
        <f>687.6+(208.6-209.7)+(0+(0-0))+40-101.2-0</f>
        <v>625.29999999999995</v>
      </c>
      <c r="W130" s="3">
        <f>671+(291.3-258.5)+(-0.34221+(-0.148563--0.131835))+6.7-109.5--0.0558449999999889</f>
        <v>600.69690700000001</v>
      </c>
      <c r="X130" s="3">
        <f>661.7+(503.2-461.4)+(-0.674934+(-0.513264--0.470628))+0-120.6--0.123012000000019</f>
        <v>582.30544199999997</v>
      </c>
      <c r="Y130" s="3">
        <f>667.9+(474.4-445.4)+(-0.340629+(-0.241944--0.227154))+0-112.5--0.0573749999999886</f>
        <v>584.10195599999997</v>
      </c>
      <c r="Z130" s="3">
        <f>703.4+(250.6-196)+(-0.358734+(-0.127806--0.09996))+0-126.5--0.0645149999999872</f>
        <v>631.17793500000005</v>
      </c>
      <c r="AA130" s="3">
        <f>712.8+(235.9-205.5)+(-1.090584+(-0.360927--0.314415))+0-123.9--0.189567000000007</f>
        <v>618.35247099999992</v>
      </c>
      <c r="AB130" s="3">
        <f>716+(231.1-222)+(-0.36516+(-0.117861--0.11322))+0-127.9--0.065228999999987</f>
        <v>596.89542799999992</v>
      </c>
      <c r="AC130" s="3">
        <f>703.5+(234.1-232.1)+(0+(0-0))+0-127.2-0</f>
        <v>578.29999999999995</v>
      </c>
      <c r="AD130">
        <f t="shared" si="2"/>
        <v>13439.030289999999</v>
      </c>
      <c r="AE130" s="3">
        <f>708+(230-222)+(0+(0-0))+0-126-0</f>
        <v>590</v>
      </c>
    </row>
    <row r="131" spans="1:31" s="2" customFormat="1" x14ac:dyDescent="0.25">
      <c r="A131">
        <v>89</v>
      </c>
      <c r="B131">
        <v>5</v>
      </c>
      <c r="C131">
        <v>7</v>
      </c>
      <c r="D131">
        <v>6</v>
      </c>
      <c r="E131">
        <v>1</v>
      </c>
      <c r="F131" s="3">
        <f>710.9+(222.8-253.2)+(-0.362559+(-0.113628--0.129132))+0-126.3--0.0644129999999872</f>
        <v>553.91735800000004</v>
      </c>
      <c r="G131" s="3">
        <f>714+(222.5-271.8)+(-1.45656+(-0.4539--0.554472))+0-135.8--0.277031999999994</f>
        <v>527.82104400000003</v>
      </c>
      <c r="H131" s="3">
        <f>716.7+(218-268.7)+(-0.731034+(-0.22236--0.274074))+0-152.7--0.155754000000024</f>
        <v>512.77643399999999</v>
      </c>
      <c r="I131" s="3">
        <f>721.4+(217.9-302.6)+(0+(0-0))+0-126.8-0</f>
        <v>509.89999999999992</v>
      </c>
      <c r="J131" s="3">
        <f>722.5+(220.1-329.9)+(0+(0-0))+0-108.7-0</f>
        <v>504.00000000000006</v>
      </c>
      <c r="K131" s="3">
        <f>728.7+(233.2-355.2)+(-0.743274+(-0.237864--0.362304))+0-114--0.116280000000018</f>
        <v>492.19744600000007</v>
      </c>
      <c r="L131" s="3">
        <f>626.6+(307.4-315.2)+(-1.917396+(-0.940644--0.964512))+0-131--0.400860000000015</f>
        <v>486.30733200000003</v>
      </c>
      <c r="M131" s="3">
        <f>589.5+(367.5-327.8)+(0.300645+(0.187425-0.167178))+0-123.6-0.0630359999999875</f>
        <v>505.85785599999997</v>
      </c>
      <c r="N131" s="3">
        <f>632.8+(420.6-400)+(0.968184+(0.643518-0.612))+0-119.7-0.183141000000007</f>
        <v>534.51656099999991</v>
      </c>
      <c r="O131" s="3">
        <f>708.7+(425-435.7)+(0.361437+(0.21675-0.222207))+0-132.7-0.0676769999999865</f>
        <v>565.588303</v>
      </c>
      <c r="P131" s="3">
        <f>695.2+(355.7-349.1)+(-0.354552+(-0.181407--0.178041))+0-125.4--0.0639539999999873</f>
        <v>576.1060359999999</v>
      </c>
      <c r="Q131" s="3">
        <f>697.6+(255.5-215.2)+(0.355776+(0.130305-0.109752))+0-144.7-0.0737969999999853</f>
        <v>593.5025320000002</v>
      </c>
      <c r="R131" s="3">
        <f>710+(231.1-197.4)+(0+(0-0))+0-134.9-0</f>
        <v>608.80000000000007</v>
      </c>
      <c r="S131" s="3">
        <f>706.3+(221.7-208.7)+(-0.360213+(-0.113067--0.106437))+0-121.7--0.0620669999999877</f>
        <v>597.29522399999985</v>
      </c>
      <c r="T131" s="3">
        <f>703.4+(212.2-230.5)+(0+(0-0))+0-105.8-0</f>
        <v>579.29999999999995</v>
      </c>
      <c r="U131" s="3">
        <f>701.9+(212.9-227.6)+(-0.357969+(-0.108579--0.116076))+0-115.3--0.0588029999999883</f>
        <v>571.60833100000013</v>
      </c>
      <c r="V131" s="3">
        <f>681+(220.9-207.1)+(-1.04193+(-0.337977--0.316863))+0-113.3--0.173349000000007</f>
        <v>580.61030500000004</v>
      </c>
      <c r="W131" s="3">
        <f>656.6+(238.6-192.1)+(-0.669732+(-0.243372--0.195942))+0-122.7--0.12515400000002</f>
        <v>579.80799200000001</v>
      </c>
      <c r="X131" s="3">
        <f>656.6+(487.6-447.2)+(-1.67433+(-1.24338--1.14036))+0-123.5--0.314924999999982</f>
        <v>572.03757500000006</v>
      </c>
      <c r="Y131" s="3">
        <f>652.5+(461.4-406.6)+(-0.998325+(-0.705942--0.622098))+0-141.4--0.216342000000008</f>
        <v>565.03417300000001</v>
      </c>
      <c r="Z131" s="3">
        <f>695.8+(248.3-212.1)+(0+(0-0))+0-131.8-0</f>
        <v>600.20000000000005</v>
      </c>
      <c r="AA131" s="3">
        <f>715.1+(240-236.5)+(-0.729402+(-0.2448--0.24123))+0-131.3--0.133926000000021</f>
        <v>586.70095399999991</v>
      </c>
      <c r="AB131" s="3">
        <f>721.4+(227.8-252.7)+(0+(0-0))+0-126.4-0</f>
        <v>570.1</v>
      </c>
      <c r="AC131" s="3">
        <f>726.8+(237.2-257)+(-1.112004+(-0.362916--0.39321))+0-141.9--0.217107000000008</f>
        <v>564.23539700000003</v>
      </c>
      <c r="AD131">
        <f t="shared" si="2"/>
        <v>13338.220853000003</v>
      </c>
      <c r="AE131" s="3">
        <f>711+(263.3-207.3)+(0+(0-0))+0-169.3-0</f>
        <v>597.70000000000005</v>
      </c>
    </row>
    <row r="132" spans="1:31" s="2" customFormat="1" x14ac:dyDescent="0.25">
      <c r="A132">
        <v>89</v>
      </c>
      <c r="B132">
        <v>5</v>
      </c>
      <c r="C132">
        <v>8</v>
      </c>
      <c r="D132">
        <v>7</v>
      </c>
      <c r="E132">
        <v>1</v>
      </c>
      <c r="F132" s="3">
        <f>713.1+(231.8-259.7)+(-1.818405+(-0.59109--0.662235))+0-137.2--0.34985999999998</f>
        <v>546.60260000000017</v>
      </c>
      <c r="G132" s="3">
        <f>709.7+(216.8-268.7)+(0.361947+(0.110568-0.137037))+0-134.1-0.0683909999999864</f>
        <v>523.96708699999999</v>
      </c>
      <c r="H132" s="3">
        <f>716.4+(213.8-280.9)+(0+(0-0))+0-135.1-0</f>
        <v>514.19999999999993</v>
      </c>
      <c r="I132" s="3">
        <f>710.8+(202.9-270)+(-1.81254+(-0.517395--0.6885))+0-141.2--0.36005999999998</f>
        <v>501.21862499999992</v>
      </c>
      <c r="J132" s="3">
        <f>716.7+(195.4-272.8)+(-1.096551+(-0.298962--0.417384))+0-145.9--0.223227000000008</f>
        <v>492.64509800000013</v>
      </c>
      <c r="K132" s="3">
        <f>716.6+(232.2-334.5)+(-2.558262+(-0.828954--1.194165))+0-132.5--0.473025000000002</f>
        <v>480.07997399999999</v>
      </c>
      <c r="L132" s="3">
        <f>708.4+(287-408.8)+(-1.445136+(-0.58548--0.833952))+0-145.2--0.296207999999994</f>
        <v>440.49954399999984</v>
      </c>
      <c r="M132" s="3">
        <f>608.6+(334.3-375.9)+(0.310386+(0.170493-0.191709))+0-119.8-0.0610979999999878</f>
        <v>447.42807199999999</v>
      </c>
      <c r="N132" s="3">
        <f>580.4+(310.4-322)+(0+(0-0))+0-109.5-0</f>
        <v>459.29999999999995</v>
      </c>
      <c r="O132" s="3">
        <f>580.9+(341.2-332.6)+(0+(0-0))+0-111.4-0</f>
        <v>478.1</v>
      </c>
      <c r="P132" s="3">
        <f>694.4+(309.9-400.3)+(0.354144+(0.158049-0.204153))+0-112.4-0.0573239999999886</f>
        <v>491.85071600000003</v>
      </c>
      <c r="Q132" s="3">
        <f>694.6+(206.2-282.8)+(0.354246+(0.105162-0.144228))+0-124.7-0.0635969999999874</f>
        <v>493.55158300000005</v>
      </c>
      <c r="R132" s="3">
        <f>709.3+(196.1-267.9)+(0+(0-0))+0-138.1-0</f>
        <v>499.4</v>
      </c>
      <c r="S132" s="3">
        <f>705+(193.9-269.5)+(-0.7191+(-0.197778--0.27489))+0-137.9--0.140658000000022</f>
        <v>490.99867000000006</v>
      </c>
      <c r="T132" s="3">
        <f>702.5+(182.1-282.7)+(0.358275+(0.092871-0.144177))+0-119.9-0.0611489999999878</f>
        <v>482.24581999999998</v>
      </c>
      <c r="U132" s="3">
        <f>701.1+(173.2-283.9)+(-1.072683+(-0.264996--0.434367))+0-106--0.162180000000006</f>
        <v>483.65886800000004</v>
      </c>
      <c r="V132" s="3">
        <f>696.8+(179.8-279)+(-0.355368+(-0.091698--0.14229))+0-105.7--0.0539069999999893</f>
        <v>491.64913099999995</v>
      </c>
      <c r="W132" s="3">
        <f>663.6+(321.1-380.3)+(-0.338436+(-0.163761--0.193953))+0-114.4--0.0583439999999884</f>
        <v>489.75010000000015</v>
      </c>
      <c r="X132" s="3">
        <f>608.1+(499.6-507.9)+(-1.550655+(-1.27398--1.295145))+0-112.8--0.287639999999984</f>
        <v>485.75815000000006</v>
      </c>
      <c r="Y132" s="3">
        <f>547.4+(512.5-463)+(-0.558348+(-0.52275--0.47226))+0-105--0.107100000000017</f>
        <v>491.39826199999999</v>
      </c>
      <c r="Z132" s="3">
        <f>593.5+(325.5-247.8)+(-0.908055+(-0.498015--0.379134))+0-137.5--0.210375000000008</f>
        <v>532.88343900000007</v>
      </c>
      <c r="AA132" s="3">
        <f>716.6+(295.6-343.7)+(-2.192796+(-0.904536--1.051722))+0-125.1--0.382806000000014</f>
        <v>541.73719599999993</v>
      </c>
      <c r="AB132" s="3">
        <f>710.6+(281.1-318.4)+(-0.724812+(-0.286722--0.324768))+0-142.3--0.145146000000023</f>
        <v>530.45838000000003</v>
      </c>
      <c r="AC132" s="3">
        <f>711.6+(255.8-302.8)+(-0.362916+(-0.130458--0.154428))+0-139.4--0.0710939999999859</f>
        <v>524.9321480000001</v>
      </c>
      <c r="AD132">
        <f t="shared" si="2"/>
        <v>11914.313462999999</v>
      </c>
      <c r="AE132" s="3">
        <f>716+(263.6-295.6)+(0+(0-0))+0-136.6-0</f>
        <v>547.4</v>
      </c>
    </row>
    <row r="133" spans="1:31" s="2" customFormat="1" x14ac:dyDescent="0.25">
      <c r="A133">
        <v>89</v>
      </c>
      <c r="B133">
        <v>5</v>
      </c>
      <c r="C133">
        <v>9</v>
      </c>
      <c r="D133">
        <v>1</v>
      </c>
      <c r="E133">
        <v>1</v>
      </c>
      <c r="F133" s="3">
        <f>713.4+(284-357.7)+(-1.455336+(-0.57936--0.729708))+0-133.2--0.271727999999994</f>
        <v>505.46674000000007</v>
      </c>
      <c r="G133" s="3">
        <f>727.3+(371.8-478.5)+(-2.225538+(-1.137708--1.46421))+0-130.5--0.399330000000015</f>
        <v>488.60029399999991</v>
      </c>
      <c r="H133" s="3">
        <f>727.9+(359.8-474.9)+(-1.484916+(-0.733992--0.968796))+0-133.6--0.272543999999994</f>
        <v>478.22243199999997</v>
      </c>
      <c r="I133" s="3">
        <f>729.7+(404-525.8)+(-0.744294+(-0.41208--0.536316))+0-136.4--0.139128000000022</f>
        <v>471.01907000000017</v>
      </c>
      <c r="J133" s="3">
        <f>702.7+(428.5-518.9)+(0.716754+(0.43707-0.529278))+0-139.6-0.142392000000022</f>
        <v>473.18215400000003</v>
      </c>
      <c r="K133" s="3">
        <f>663.5+(466.6-536.7)+(0.338385+(0.237966-0.273717))+0-132.5-0.0675749999999866</f>
        <v>461.13505900000001</v>
      </c>
      <c r="L133" s="3">
        <f>600.9+(596.6-600.8)+(0+(0-0))+0-137.4-0</f>
        <v>459.30000000000007</v>
      </c>
      <c r="M133" s="3">
        <f>599.9+(646.4-613.7)+(0+(0-0))+0-129.3-0</f>
        <v>503.2999999999999</v>
      </c>
      <c r="N133" s="3">
        <f>630.6+(626.2-584.1)+(-0.643212+(-0.638724--0.595782))+0-134--0.136680000000021</f>
        <v>538.15052600000013</v>
      </c>
      <c r="O133" s="3">
        <f>679.3+(579.1-559.2)+(-0.692886+(-0.590682--0.570384))+0-124--0.12648000000002</f>
        <v>574.61329599999999</v>
      </c>
      <c r="P133" s="3">
        <f>712.4+(509.1-510.5)+(1.089972+(0.778923-0.781065))+0-116.1-0.177633000000007</f>
        <v>595.81019700000002</v>
      </c>
      <c r="Q133" s="3">
        <f>705.4+(423-407.7)+(0.719508+(0.43146-0.415854))+0-117.8-0.120156000000019</f>
        <v>603.51495799999998</v>
      </c>
      <c r="R133" s="3">
        <f>718.1+(278.6-282.5)+(0+(0-0))+0-104.2-0</f>
        <v>610</v>
      </c>
      <c r="S133" s="3">
        <f>715.7+(221.6-221.1)+(-1.095021+(-0.339048--0.338283))+0-114.1--0.174573000000007</f>
        <v>601.17878700000006</v>
      </c>
      <c r="T133" s="3">
        <f>711.6+(217.9-224.9)+(-0.362916+(-0.111129--0.114699))+0-115.2--0.0587519999999883</f>
        <v>589.09940600000004</v>
      </c>
      <c r="U133" s="3">
        <f>708.2+(210.9-231.8)+(-0.361182+(-0.107559--0.118218))+0-111.3--0.0567629999999887</f>
        <v>575.70624000000009</v>
      </c>
      <c r="V133" s="3">
        <f>706.4+(216.4-227.2)+(-0.360264+(-0.110364--0.115872))+0-108.4--0.055283999999989</f>
        <v>586.90052800000012</v>
      </c>
      <c r="W133" s="3">
        <f>690.4+(308.3-293.8)+(-0.704208+(-0.314466--0.299676))+0-114--0.116280000000018</f>
        <v>590.297282</v>
      </c>
      <c r="X133" s="3">
        <f>679.6+(557.8-527.3)+(-1.386384+(-1.137912--1.075692))+0-116.4--0.237455999999995</f>
        <v>592.48885199999995</v>
      </c>
      <c r="Y133" s="3">
        <f>587.4+(535.4-425)+(0+(0-0))+0-107-0</f>
        <v>590.79999999999995</v>
      </c>
      <c r="Z133" s="3">
        <f>710.5+(292.8-240.6)+(-0.362355+(-0.149328--0.122706))+0-128.1--0.065330999999987</f>
        <v>634.27635400000008</v>
      </c>
      <c r="AA133" s="3">
        <f>728.5+(270.1-231)+(-1.114605+(-0.413253--0.35343))+0-137.5--0.210375000000008</f>
        <v>629.13594699999999</v>
      </c>
      <c r="AB133" s="3">
        <f>737.6+(226.8-249.5)+(-0.752352+(-0.231336--0.25449))+0-112.9--0.115158000000018</f>
        <v>601.38596000000018</v>
      </c>
      <c r="AC133" s="3">
        <f>734.2+(226.7-249.7)+(-0.748884+(-0.231234--0.254694))+0-123.7--0.12617400000002</f>
        <v>586.90075000000002</v>
      </c>
      <c r="AD133">
        <f t="shared" si="2"/>
        <v>13340.484832</v>
      </c>
      <c r="AE133" s="3">
        <f>726+(271.1-223.3)+(0+(0-0))+0-129.2-0</f>
        <v>644.59999999999991</v>
      </c>
    </row>
    <row r="134" spans="1:31" s="2" customFormat="1" x14ac:dyDescent="0.25">
      <c r="A134">
        <v>89</v>
      </c>
      <c r="B134">
        <v>5</v>
      </c>
      <c r="C134">
        <v>10</v>
      </c>
      <c r="D134">
        <v>2</v>
      </c>
      <c r="E134">
        <v>1</v>
      </c>
      <c r="F134" s="3">
        <f>727+(220.8-267.5)+(-1.48308+(-0.450432--0.5457))+0-124.3--0.253571999999995</f>
        <v>554.86575999999991</v>
      </c>
      <c r="G134" s="3">
        <f>728.9+(260.5-334.2)+(-1.858695+(-0.664275--0.85221))+0-119.7--0.305234999999983</f>
        <v>534.13447500000007</v>
      </c>
      <c r="H134" s="3">
        <f>738.4+(310.7-385.6)+(0.376584+(0.158457-0.196656))+0-146.4-0.0746639999999851</f>
        <v>517.36372100000006</v>
      </c>
      <c r="I134" s="3">
        <f>737.3+(359.4-456.3)+(-1.128069+(-0.549882--0.698139))+0-131.3--0.200889000000008</f>
        <v>508.32107699999983</v>
      </c>
      <c r="J134" s="3">
        <f>745.5+(389-487.5)+(-0.76041+(-0.39678--0.49725))+0-138.8--0.141576000000022</f>
        <v>507.68163600000003</v>
      </c>
      <c r="K134" s="3">
        <f>745.9+(393-507.7)+(-0.380409+(-0.20043--0.258927))+0-140--0.0713999999999858</f>
        <v>490.94948800000003</v>
      </c>
      <c r="L134" s="3">
        <f>640.7+(441.9-476.4)+(-0.653514+(-0.450738--0.485928))+0-122.9--0.12535800000002</f>
        <v>482.80703400000004</v>
      </c>
      <c r="M134" s="3">
        <f>644.3+(551.7-542.3)+(0+(0-0))+0-145.7-0</f>
        <v>508.00000000000006</v>
      </c>
      <c r="N134" s="3">
        <f>653.7+(576.5-564.7)+(-0.666774+(-0.58803--0.575994))+0-124.6--0.12709200000002</f>
        <v>540.34828200000004</v>
      </c>
      <c r="O134" s="3">
        <f>664+(593.2-553.9)+(-0.67728+(-0.605064--0.564978))+0-145.5--0.148410000000023</f>
        <v>557.23104400000011</v>
      </c>
      <c r="P134" s="3">
        <f>708.4+(506.4-500)+(-0.361284+(-0.258264--0.255))+0-143.9--0.0733889999999854</f>
        <v>570.60884099999998</v>
      </c>
      <c r="Q134" s="3">
        <f>702.2+(414.8-376.7)+(-0.716244+(-0.423096--0.384234))+0-153.5--0.156570000000024</f>
        <v>586.2014640000001</v>
      </c>
      <c r="R134" s="3">
        <f>704.4+(246-241.3)+(-0.359244+(-0.12546--0.123063))+0-121.5--0.0619649999999877</f>
        <v>587.30032399999993</v>
      </c>
      <c r="S134" s="3">
        <f>699.4+(232.5-213.1)+(-0.713388+(-0.23715--0.217362))+0-142.5--0.145350000000023</f>
        <v>575.712174</v>
      </c>
      <c r="T134" s="3">
        <f>696.5+(217.7-228.6)+(-0.71043+(-0.222054--0.233172))+0-122.8--0.12525600000002</f>
        <v>562.22594400000014</v>
      </c>
      <c r="U134" s="3">
        <f>693.9+(220.7-238.3)+(-0.353889+(-0.112557--0.121533))+0-117.6--0.0599759999999881</f>
        <v>558.41506299999992</v>
      </c>
      <c r="V134" s="3">
        <f>693.2+(218.2-233)+(-1.060596+(-0.333846--0.35649))+0-110.3--0.168759000000006</f>
        <v>567.23080700000014</v>
      </c>
      <c r="W134" s="3">
        <f>693.4+(352.9-337.2)+(-1.414536+(-0.719916--0.687888))+0-123.9--0.252755999999995</f>
        <v>584.00619199999994</v>
      </c>
      <c r="X134" s="3">
        <f>648.4+(588.5-511)+(-1.984104+(-1.80081--1.56366))+0-142.8--0.436968000000017</f>
        <v>581.31571399999984</v>
      </c>
      <c r="Y134" s="3">
        <f>597.1+(523.5-422)+(-1.218084+(-1.06794--0.86088))+0-128--0.261119999999994</f>
        <v>569.43597599999998</v>
      </c>
      <c r="Z134" s="3">
        <f>687.9+(287.3-216.4)+(0+(0-0))+0-142.4-0</f>
        <v>616.4</v>
      </c>
      <c r="AA134" s="3">
        <f>713.6+(241.5-211.5)+(-1.455744+(-0.49266--0.43146))+0-130.8--0.266831999999994</f>
        <v>611.54988800000001</v>
      </c>
      <c r="AB134" s="3">
        <f>720.6+(230.2-225.2)+(-1.102518+(-0.352206--0.344556))+0-141.2--0.216036000000008</f>
        <v>583.50586799999996</v>
      </c>
      <c r="AC134" s="3">
        <f>724.2+(219.7-238.3)+(-1.108026+(-0.336141--0.364599))+0-137.5--0.210375000000008</f>
        <v>567.23080700000003</v>
      </c>
      <c r="AD134">
        <f t="shared" si="2"/>
        <v>13322.841579000002</v>
      </c>
      <c r="AE134" s="3">
        <f>707+(261.3-194.9)+(0+(0-0))+0-150.5-0</f>
        <v>622.9</v>
      </c>
    </row>
    <row r="135" spans="1:31" s="2" customFormat="1" x14ac:dyDescent="0.25">
      <c r="A135">
        <v>89</v>
      </c>
      <c r="B135">
        <v>5</v>
      </c>
      <c r="C135">
        <v>11</v>
      </c>
      <c r="D135">
        <v>3</v>
      </c>
      <c r="E135">
        <v>1</v>
      </c>
      <c r="F135" s="3">
        <f>723.8+(214-265.7)+(-1.84569+(-0.5457--0.677535))+0-125.9--0.321044999999982</f>
        <v>544.80718999999999</v>
      </c>
      <c r="G135" s="3">
        <f>724.9+(189.6-264.3)+(-1.478796+(-0.386784--0.539172))+0-127.3--0.259691999999994</f>
        <v>521.83328399999994</v>
      </c>
      <c r="H135" s="3">
        <f>728.7+(174.8-270.4)+(-1.114911+(-0.267444--0.413712))+0-127.4--0.194922000000007</f>
        <v>504.92627900000014</v>
      </c>
      <c r="I135" s="3">
        <f>733.1+(219-328.4)+(-1.121643+(-0.33507--0.502452))+0-122.4--0.187272000000007</f>
        <v>500.5330110000001</v>
      </c>
      <c r="J135" s="3">
        <f>740.8+(265.6-395.9)+(1.133424+(0.406368-0.605727))+0-116-0.177480000000007</f>
        <v>495.25658500000003</v>
      </c>
      <c r="K135" s="3">
        <f>731.4+(323.8-441.8)+(-1.119042+(-0.495414--0.675954))+0-126.5--0.193545000000007</f>
        <v>486.15504300000003</v>
      </c>
      <c r="L135" s="3">
        <f>640.5+(367.8-404.4)+(-1.633275+(-0.93789--1.03122))+0-123.4--0.314669999999982</f>
        <v>479.2747250000001</v>
      </c>
      <c r="M135" s="3">
        <f>603+(445.1-401.7)+(0+(0-0))+0-136.6-0</f>
        <v>509.80000000000007</v>
      </c>
      <c r="N135" s="3">
        <f>602.7+(476.1-408.4)+(0.307377+(0.242811-0.208284))+0-126-0.0642599999999872</f>
        <v>544.6776440000001</v>
      </c>
      <c r="O135" s="3">
        <f>652.6+(477.8-421.9)+(-0.665652+(-0.487356--0.430338))+0-149.9--0.152898000000024</f>
        <v>558.03022800000008</v>
      </c>
      <c r="P135" s="3">
        <f>703.6+(469.9-481.5)+(0+(0-0))+0-132.2-0</f>
        <v>559.79999999999995</v>
      </c>
      <c r="Q135" s="3">
        <f>701.5+(463.9-452.2)+(0+(0-0))+0-131.9-0</f>
        <v>581.30000000000007</v>
      </c>
      <c r="R135" s="3">
        <f>687.5+(337.8-316.3)+(-0.350625+(-0.172278--0.161313))+0-123.9--0.0631889999999874</f>
        <v>584.80159900000001</v>
      </c>
      <c r="S135" s="3">
        <f>686.7+(229.7-196)+(0+(0-0))+0-140.7-0</f>
        <v>579.70000000000005</v>
      </c>
      <c r="T135" s="3">
        <f>673.6+(219.2-206.6)+(-0.687072+(-0.223584--0.210732))+0-131.4--0.134028000000021</f>
        <v>554.23410400000012</v>
      </c>
      <c r="U135" s="3">
        <f>674.4+(223.9-200.8)+(-0.343944+(-0.114189--0.102408))+0-139.3--0.0710429999999859</f>
        <v>557.91531799999996</v>
      </c>
      <c r="V135" s="3">
        <f>667.5+(239.5-206.1)+(-0.68085+(-0.24429--0.210222))+0-132.8--0.135456000000021</f>
        <v>567.52053799999999</v>
      </c>
      <c r="W135" s="3">
        <f>663.7+(386.4-357.3)+(-2.369409+(-1.379448--1.275561))+0-125.6--0.448392000000002</f>
        <v>565.17509599999994</v>
      </c>
      <c r="X135" s="3">
        <f>668.8+(502.1-474.2)+(-1.70544+(-1.280355--1.20921))+0-129.8--0.330989999999981</f>
        <v>565.45440499999995</v>
      </c>
      <c r="Y135" s="3">
        <f>681.7+(445.9-426.8)+(-0.695334+(-0.454818--0.435336))+0-121.7--0.124134000000019</f>
        <v>578.50931799999989</v>
      </c>
      <c r="Z135" s="3">
        <f>686.6+(328.3-268.7)+(-0.700332+(-0.334866--0.274074))+0-124--0.12648000000002</f>
        <v>621.56535600000007</v>
      </c>
      <c r="AA135" s="3">
        <f>691.8+(260-218.8)+(-1.411272+(-0.5304--0.446352))+0-123.2--0.251327999999995</f>
        <v>608.55600799999991</v>
      </c>
      <c r="AB135" s="3">
        <f>695.3+(235.9-208.7)+(-1.418412+(-0.481236--0.425748))+0-140.6--0.286823999999994</f>
        <v>580.71292400000004</v>
      </c>
      <c r="AC135" s="3">
        <f>698.5+(223.7-234)+(0+(0-0))+0-128.7-0</f>
        <v>559.5</v>
      </c>
      <c r="AD135">
        <f t="shared" si="2"/>
        <v>13210.038655</v>
      </c>
      <c r="AE135" s="3">
        <f>681+(289.7-243.7)+(0+(0-0))+0-120-0</f>
        <v>607</v>
      </c>
    </row>
    <row r="136" spans="1:31" s="2" customFormat="1" x14ac:dyDescent="0.25">
      <c r="A136">
        <v>89</v>
      </c>
      <c r="B136">
        <v>5</v>
      </c>
      <c r="C136">
        <v>12</v>
      </c>
      <c r="D136">
        <v>4</v>
      </c>
      <c r="E136">
        <v>1</v>
      </c>
      <c r="F136" s="3">
        <f>701.1+(215.6-249.2)+(-0.357561+(-0.109956--0.127092))+0-130.4--0.0665039999999868</f>
        <v>536.82607900000005</v>
      </c>
      <c r="G136" s="3">
        <f>704+(228.5-289.1)+(-0.71808+(-0.23307--0.294882))+0-127.8--0.13035600000002</f>
        <v>515.07408800000007</v>
      </c>
      <c r="H136" s="3">
        <f>708+(346.1-425.9)+(0.36108+(0.176511-0.217209))+0-129.2-0.0658919999999869</f>
        <v>499.25449000000009</v>
      </c>
      <c r="I136" s="3">
        <f>707.5+(387.3-470.3)+(0+(0-0))+0-130.5-0</f>
        <v>494</v>
      </c>
      <c r="J136" s="3">
        <f>706.5+(408.5-498.3)+(-0.360315+(-0.208335--0.254133))+0-123.7--0.0630869999999875</f>
        <v>492.74857000000003</v>
      </c>
      <c r="K136" s="3">
        <f>668+(451.5-521.2)+(0.68136+(0.46053-0.531624))+0-116.8-0.119136000000019</f>
        <v>481.99112999999994</v>
      </c>
      <c r="L136" s="3">
        <f>633+(542.5-579)+(-0.96849+(-0.830025--0.88587))+0-115.6--0.176868000000007</f>
        <v>480.16422299999999</v>
      </c>
      <c r="M136" s="3">
        <f>620.5+(577.8-587.9)+(-0.316455+(-0.294678--0.299829))+0-93.2--0.0475319999999905</f>
        <v>516.93622800000003</v>
      </c>
      <c r="N136" s="3">
        <f>667.2+(565.9-571.1)+(0+(0-0))+0-108.5-0</f>
        <v>553.5</v>
      </c>
      <c r="O136" s="3">
        <f>689.1+(494.1-521.6)+(0.351441+(0.251991-0.266016))+0-108.8-0.055487999999989</f>
        <v>553.08192800000006</v>
      </c>
      <c r="P136" s="3">
        <f>706.4+(492-523.8)+(-0.720528+(-0.50184--0.534276))+0-105--0.107100000000017</f>
        <v>569.0190080000001</v>
      </c>
      <c r="Q136" s="3">
        <f>691.4+(491.8-480.6)+(-0.352614+(-0.250818--0.245106))+0-115.1--0.0587009999999883</f>
        <v>587.20037499999989</v>
      </c>
      <c r="R136" s="3">
        <f>683.1+(367.5-367.3)+(0+(0-0))+0-95.5-0</f>
        <v>587.79999999999995</v>
      </c>
      <c r="S136" s="3">
        <f>678.2+(235.3-224.7)+(0+(0-0))+0-113.3-0</f>
        <v>575.50000000000011</v>
      </c>
      <c r="T136" s="3">
        <f>677.1+(192.4-203.6)+(0.345321+(0.098124-0.103836))+0-108.5-0.055334999999989</f>
        <v>557.68427400000007</v>
      </c>
      <c r="U136" s="3">
        <f>673.8+(202-190.6)+(0.343638+(0.10302-0.097206))+0-114.7-0.0584969999999884</f>
        <v>570.79095499999994</v>
      </c>
      <c r="V136" s="3">
        <f>663.8+(261.8-250.3)+(0.338538+(0.133518-0.127653))+0-105-0.0535499999999893</f>
        <v>570.59085300000004</v>
      </c>
      <c r="W136" s="3">
        <f>661.8+(418-374.7)+(0+(0-0))+0-120.1-0</f>
        <v>584.99999999999989</v>
      </c>
      <c r="X136" s="3">
        <f>660.1+(591.5-561)+(-0.336651+(-0.301665--0.28611))+0-111.6--0.0569159999999887</f>
        <v>578.70470999999998</v>
      </c>
      <c r="Y136" s="3">
        <f>671.6+(467.8-450.2)+(1.027548+(0.715734-0.688806))+0-99.5-0.152235000000006</f>
        <v>590.60224100000005</v>
      </c>
      <c r="Z136" s="3">
        <f>694.6+(362.5-308)+(0.354246+(0.184875-0.15708))+0-110.1-0.0561509999999888</f>
        <v>639.32588999999996</v>
      </c>
      <c r="AA136" s="3">
        <f>701.6+(326-298.5)+(-1.073448+(-0.49878--0.456705))+0-120--0.183600000000007</f>
        <v>608.16807699999993</v>
      </c>
      <c r="AB136" s="3">
        <f>688.5+(291.9-279.5)+(-0.70227+(-0.297738--0.28509))+0-100.8--0.102816000000016</f>
        <v>599.48789799999997</v>
      </c>
      <c r="AC136" s="3">
        <f>689.3+(263.4-255.2)+(-1.757715+(-0.67167--0.65076))+0-118.9--0.303194999999983</f>
        <v>577.12456999999995</v>
      </c>
      <c r="AD136">
        <f t="shared" si="2"/>
        <v>13320.575586999999</v>
      </c>
      <c r="AE136" s="3">
        <f>701+(345.9-309.4)+(0+(0-0))+0-123.5-0</f>
        <v>614</v>
      </c>
    </row>
    <row r="137" spans="1:31" s="2" customFormat="1" x14ac:dyDescent="0.25">
      <c r="A137">
        <v>89</v>
      </c>
      <c r="B137">
        <v>5</v>
      </c>
      <c r="C137">
        <v>13</v>
      </c>
      <c r="D137">
        <v>5</v>
      </c>
      <c r="E137">
        <v>1</v>
      </c>
      <c r="F137" s="3">
        <f>690.2+(278.9-307.1)+(-0.704004+(-0.284478--0.313242))+0-112.4--0.114648000000018</f>
        <v>549.03940799999998</v>
      </c>
      <c r="G137" s="3">
        <f>692.6+(366.6-398.8)+(-0.706452+(-0.373932--0.406776))+0-127.4--0.12994800000002</f>
        <v>532.45634000000018</v>
      </c>
      <c r="H137" s="3">
        <f>693.1+(420.1-481.6)+(-0.353481+(-0.214251--0.245616))+0-113.4--0.0578339999999885</f>
        <v>517.93571799999995</v>
      </c>
      <c r="I137" s="3">
        <f>697.2+(486.4-543)+(-1.422288+(-0.992256--1.10772))+0-131.3--0.267851999999994</f>
        <v>508.26102800000001</v>
      </c>
      <c r="J137" s="3">
        <f>686.9+(528.5-573.6)+(-1.751595+(-1.347675--1.46268))+0-129.8--0.330989999999981</f>
        <v>510.69439999999997</v>
      </c>
      <c r="K137" s="3">
        <f>593+(545.3-528.9)+(-1.20972+(-1.112412--1.078956))+0-119.7--0.244187999999995</f>
        <v>488.70101200000005</v>
      </c>
      <c r="L137" s="3">
        <f>604.8+(539-549.6)+(-1.233792+(-1.09956--1.121184))+0-101.1--0.206243999999996</f>
        <v>492.09407599999986</v>
      </c>
      <c r="M137" s="3">
        <f>699+(597.5-705)+(0.71298+(0.60945-0.7191))+0-103-0.105060000000016</f>
        <v>488.99826999999999</v>
      </c>
      <c r="N137" s="3">
        <f>694.2+(707.1-721.2)+(-0.354042+(-0.360621--0.367812))+0-100.5--0.0512549999999898</f>
        <v>579.30440399999998</v>
      </c>
      <c r="O137" s="3">
        <f>693+(654.4-688.3)+(-0.35343+(-0.333744--0.351033))+0-107.2--0.0546719999999891</f>
        <v>551.61853099999996</v>
      </c>
      <c r="P137" s="3">
        <f>693+(589-581.4)+(1.76715+(1.50195-1.48257))+0-115-0.293249999999983</f>
        <v>587.09328000000005</v>
      </c>
      <c r="Q137" s="3">
        <f>690.3+(537.4-493.1)+(0+(0-0))+0-123.1-0</f>
        <v>611.49999999999989</v>
      </c>
      <c r="R137" s="3">
        <f>700.5+(376-349.1)+(0.71451+(0.38352-0.356082))+0-108.3-0.110466000000017</f>
        <v>619.73148200000003</v>
      </c>
      <c r="S137" s="3">
        <f>699.1+(269.4-252.3)+(-0.713082+(-0.274788--0.257346))+0-113--0.115260000000018</f>
        <v>602.58473600000013</v>
      </c>
      <c r="T137" s="3">
        <f>695.6+(205.6-224.4)+(0+(0-0))+0-99.5-0</f>
        <v>577.29999999999995</v>
      </c>
      <c r="U137" s="3">
        <f>694.8+(204-217.2)+(0+(0-0))+0-107.6-0</f>
        <v>573.99999999999989</v>
      </c>
      <c r="V137" s="3">
        <f>683.3+(225.7-226.1)+(-0.348483+(-0.115107--0.115311))+0-106.9--0.0545189999999892</f>
        <v>575.70623999999998</v>
      </c>
      <c r="W137" s="3">
        <f>670.4+(391.8-364.3)+(-0.683808+(-0.399636--0.371586))+0-115.2--0.117504000000018</f>
        <v>582.10564599999998</v>
      </c>
      <c r="X137" s="3">
        <f>667.9+(597.1-576.3)+(-1.362516+(-1.218084--1.175652))+0-110.3--0.225011999999995</f>
        <v>577.22006400000009</v>
      </c>
      <c r="Y137" s="3">
        <f>626.4+(625.5-570.3)+(-0.319464+(-0.319005--0.290853))+0-94.1--0.0479909999999905</f>
        <v>587.20037500000001</v>
      </c>
      <c r="Z137" s="3">
        <f>677.6+(423.6-369.4)+(-1.036728+(-0.648108--0.565182))+0-94.9--0.145197000000005</f>
        <v>635.92554300000018</v>
      </c>
      <c r="AA137" s="3">
        <f>711.3+(374-361.3)+(-1.088289+(-0.57222--0.552789))+0-106.5--0.162945000000006</f>
        <v>616.55522500000006</v>
      </c>
      <c r="AB137" s="3">
        <f>715.9+(323.8-339.1)+(0.365109+(0.165138-0.172941))+0-95.5-0.0487049999999903</f>
        <v>605.40860099999986</v>
      </c>
      <c r="AC137" s="3">
        <f>722.4+(312.8-359.6)+(-1.105272+(-0.478584--0.550188))+0-94.7--0.144891000000005</f>
        <v>580.01122299999986</v>
      </c>
      <c r="AD137">
        <f t="shared" si="2"/>
        <v>13551.445602</v>
      </c>
      <c r="AE137" s="3">
        <f>711+(395.3-364)+(0+(0-0))+0-102.4-0</f>
        <v>639.9</v>
      </c>
    </row>
    <row r="138" spans="1:31" s="2" customFormat="1" x14ac:dyDescent="0.25">
      <c r="A138">
        <v>89</v>
      </c>
      <c r="B138">
        <v>5</v>
      </c>
      <c r="C138">
        <v>14</v>
      </c>
      <c r="D138">
        <v>6</v>
      </c>
      <c r="E138">
        <v>1</v>
      </c>
      <c r="F138" s="3">
        <f>715+(363.4-391.3)+(-0.36465+(-0.185334--0.199563))+0-125--0.0637499999999873</f>
        <v>561.81332899999995</v>
      </c>
      <c r="G138" s="3">
        <f>702.4+(436-475.3)+(-0.358224+(-0.22236--0.242403))+0-127.7--0.065126999999987</f>
        <v>535.12694599999986</v>
      </c>
      <c r="H138" s="3">
        <f>709+(471.7-540.1)+(-0.72318+(-0.481134--0.550902))+0-126.5--0.12903000000002</f>
        <v>513.57561799999996</v>
      </c>
      <c r="I138" s="3">
        <f>710.6+(466.3-542.5)+(-0.724812+(-0.475626--0.55335))+0-126.6--0.12913200000002</f>
        <v>507.28204400000004</v>
      </c>
      <c r="J138" s="3">
        <f>708.9+(421-499.2)+(-1.446156+(-0.85884--1.018368))+0-119.7--0.244187999999995</f>
        <v>509.95756000000011</v>
      </c>
      <c r="K138" s="3">
        <f>705.7+(436.5-528.8)+(-1.799535+(-1.113075--1.34844))+0-119.4--0.304469999999983</f>
        <v>492.7403000000001</v>
      </c>
      <c r="L138" s="3">
        <f>638.8+(589.3-622.8)+(-0.977364+(-0.901629--0.952884))+0-116.3--0.177939000000007</f>
        <v>488.25182999999993</v>
      </c>
      <c r="M138" s="3">
        <f>646.4+(600.2-606.3)+(-0.329664+(-0.306102--0.309213))+0-126.3--0.0644129999999872</f>
        <v>513.73786000000007</v>
      </c>
      <c r="N138" s="3">
        <f>667.8+(597.4-603.8)+(0.340578+(0.304674-0.307938))+0-112-0.0571199999999886</f>
        <v>549.68019400000003</v>
      </c>
      <c r="O138" s="3">
        <f>684.2+(665.3-637.7)+(-0.348942+(-0.339303--0.325227))+0-131.2--0.0669119999999867</f>
        <v>580.3038939999999</v>
      </c>
      <c r="P138" s="3">
        <f>690.3+(656.5-627.8)+(0.352053+(0.334815-0.320178))+0-117.2-0.0597719999999881</f>
        <v>602.10691799999995</v>
      </c>
      <c r="Q138" s="3">
        <f>686.7+(562.5-543.1)+(-0.350217+(-0.286875--0.276981))+0-95.7--0.0488069999999903</f>
        <v>610.08869600000003</v>
      </c>
      <c r="R138" s="3">
        <f>690.6+(401.5-383.9)+(0+(0-0))+0-92.3-0</f>
        <v>615.90000000000009</v>
      </c>
      <c r="S138" s="3">
        <f>683.6+(274-252.7)+(-1.045908+(-0.41922--0.386631))+0-105.5--0.161415000000006</f>
        <v>598.48291800000015</v>
      </c>
      <c r="T138" s="3">
        <f>677.7+(201.3-232.5)+(0+(0-0))+0-72.1-0</f>
        <v>574.4</v>
      </c>
      <c r="U138" s="3">
        <f>663.6+(190.1-237)+(-1.69218+(-0.484755--0.60435))+0-55.8--0.142289999999992</f>
        <v>559.46970500000009</v>
      </c>
      <c r="V138" s="3">
        <f>660.9+(222.8-243.3)+(0.337059+(0.113628-0.124083))+0-76.3-0.0389129999999923</f>
        <v>564.38769100000002</v>
      </c>
      <c r="W138" s="3">
        <f>659.9+(406.7-416)+(-1.009647+(-0.622251--0.63648))+0-72.1--0.110313000000004</f>
        <v>577.61489499999993</v>
      </c>
      <c r="X138" s="3">
        <f>591.4+(616.9-519.3)+(-1.206456+(-1.258476--1.059372))+0-115.5--0.235619999999995</f>
        <v>572.33006</v>
      </c>
      <c r="Y138" s="3">
        <f>557.3+(583.6-452.7)+(-0.284223+(-0.297636--0.230877))+0-112.5--0.0573749999999886</f>
        <v>575.40639299999998</v>
      </c>
      <c r="Z138" s="3">
        <f>661.1+(376.3-307.2)+(-1.011483+(-0.575739--0.470016))+0-107.7--0.164781000000006</f>
        <v>621.54757500000005</v>
      </c>
      <c r="AA138" s="3">
        <f>696.1+(353.9-325.7)+(-1.065033+(-0.541467--0.498321))+0-115.5--0.176715000000007</f>
        <v>607.86853600000006</v>
      </c>
      <c r="AB138" s="3">
        <f>688+(308.4-280.3)+(-1.40352+(-0.629136--0.571812))+0-125--0.254999999999995</f>
        <v>589.89415599999995</v>
      </c>
      <c r="AC138" s="3">
        <f>699.9+(279.7-283.8)+(-0.356949+(-0.142647--0.144738))+0-115.8--0.0590579999999883</f>
        <v>579.7041999999999</v>
      </c>
      <c r="AD138">
        <f t="shared" si="2"/>
        <v>13501.671318000001</v>
      </c>
      <c r="AE138" s="3">
        <f>715+(357.5-342.9)+(0+(0-0))+0-95.4-0</f>
        <v>634.20000000000005</v>
      </c>
    </row>
    <row r="139" spans="1:31" s="2" customFormat="1" x14ac:dyDescent="0.25">
      <c r="A139">
        <v>89</v>
      </c>
      <c r="B139">
        <v>5</v>
      </c>
      <c r="C139">
        <v>15</v>
      </c>
      <c r="D139">
        <v>7</v>
      </c>
      <c r="E139">
        <v>1</v>
      </c>
      <c r="F139" s="3">
        <f>601.4+(238.3-232)+(-0.920142+(-0.364599--0.35496))+0-105.8--0.161874000000006</f>
        <v>501.132093</v>
      </c>
      <c r="G139" s="3">
        <f>510.1+(329.7-254.7)+(-0.780453+(-0.504441--0.389691))+0-114.6--0.175338000000007</f>
        <v>469.78013499999997</v>
      </c>
      <c r="H139" s="3">
        <f>514.7+(380.8-305)+(0+(0-0))+0-124.9-0</f>
        <v>465.6</v>
      </c>
      <c r="I139" s="3">
        <f>603.6+(371.7-394.8)+(-0.923508+(-0.568701--0.604044))+0-123.1--0.188343000000007</f>
        <v>456.70017800000005</v>
      </c>
      <c r="J139" s="3">
        <f>635.8+(352.2-411.1)+(-0.324258+(-0.179622--0.209661))+0-124.3--0.0633929999999874</f>
        <v>452.36917399999982</v>
      </c>
      <c r="K139" s="3">
        <f>633.7+(310.2-396.6)+(-1.615935+(-0.79101--1.01133))+0-122--0.311099999999982</f>
        <v>424.21548499999994</v>
      </c>
      <c r="L139" s="3">
        <f>570.2+(464.2-470.9)+(-1.45401+(-1.18371--1.200795))+0-114.1--0.290954999999983</f>
        <v>448.25403</v>
      </c>
      <c r="M139" s="3">
        <f>515.1+(524.7-470.8)+(0+(0-0))+0-131.1-0</f>
        <v>437.9</v>
      </c>
      <c r="N139" s="3">
        <f>511.9+(493.1-407.7)+(-1.044276+(-1.005924--0.831708))+0-142.8--0.291311999999994</f>
        <v>453.57281999999998</v>
      </c>
      <c r="O139" s="3">
        <f>515.6+(464.7-387.8)+(0.525912+(0.473994-0.395556))+0-126.7-0.12923400000002</f>
        <v>466.27511599999997</v>
      </c>
      <c r="P139" s="3">
        <f>511.4+(478.5-368.1)+(0+(0-0))+0-138.3-0</f>
        <v>483.49999999999994</v>
      </c>
      <c r="Q139" s="3">
        <f>578.8+(425.8-365.8)+(-0.295188+(-0.217158--0.186558))+0-141.6--0.0722159999999856</f>
        <v>496.94642799999991</v>
      </c>
      <c r="R139" s="3">
        <f>614.6+(306.6-309.2)+(-0.940338+(-0.469098--0.473076))+0-119.1--0.182223000000007</f>
        <v>492.14586299999996</v>
      </c>
      <c r="S139" s="3">
        <f>608+(245.9-231.1)+(-0.31008+(-0.125409--0.117861))+0-143.3--0.0730829999999855</f>
        <v>479.25545499999993</v>
      </c>
      <c r="T139" s="3">
        <f>605.2+(211.2-204.1)+(-0.925956+(-0.323136--0.312273))+0-147.1--0.225063000000008</f>
        <v>464.48824400000007</v>
      </c>
      <c r="U139" s="3">
        <f>600.2+(213-204.5)+(-0.306102+(-0.10863--0.104295))+0-141.8--0.0723179999999856</f>
        <v>466.66188100000005</v>
      </c>
      <c r="V139" s="3">
        <f>506.1+(287-168.1)+(-1.290555+(-0.73185--0.428655))+0-154.9--0.394994999999978</f>
        <v>468.90124500000002</v>
      </c>
      <c r="W139" s="3">
        <f>488+(410.4-287.8)+(-1.2444+(-1.04652--0.73389))+0-143--0.364649999999979</f>
        <v>466.40761999999984</v>
      </c>
      <c r="X139" s="3">
        <f>489.2+(544.5-426)+(-0.748476+(-0.833085--0.65178))+0-142.6--0.218178000000008</f>
        <v>464.388397</v>
      </c>
      <c r="Y139" s="3">
        <f>491.5+(446.6-316.7)+(0+(0-0))+0-143.9-0</f>
        <v>477.50000000000011</v>
      </c>
      <c r="Z139" s="3">
        <f>588.1+(325.7-229.6)+(0.299931+(0.166107-0.117096))+0-150.6-0.0768059999999847</f>
        <v>533.87213599999995</v>
      </c>
      <c r="AA139" s="3">
        <f>638.7+(337.6-288.5)+(-0.325737+(-0.172176--0.147135))+0-139.1--0.0709409999999859</f>
        <v>548.420163</v>
      </c>
      <c r="AB139" s="3">
        <f>634.2+(286.4-235.1)+(0+(0-0))+0-148.7-0</f>
        <v>536.79999999999995</v>
      </c>
      <c r="AC139" s="3">
        <f>616.6+(256.1-211.5)+(-0.943398+(-0.391833--0.323595))+0-134.5--0.205785000000008</f>
        <v>525.89414900000008</v>
      </c>
      <c r="AD139">
        <f t="shared" si="2"/>
        <v>11480.980611999999</v>
      </c>
      <c r="AE139" s="3">
        <f>631+(318.2-238)+(0+(0-0))+0-172.6-0</f>
        <v>538.6</v>
      </c>
    </row>
    <row r="140" spans="1:31" s="2" customFormat="1" x14ac:dyDescent="0.25">
      <c r="A140">
        <v>89</v>
      </c>
      <c r="B140">
        <v>5</v>
      </c>
      <c r="C140">
        <v>16</v>
      </c>
      <c r="D140">
        <v>1</v>
      </c>
      <c r="E140">
        <v>1</v>
      </c>
      <c r="F140" s="3">
        <f>615.8+(257.9-232.2)+(-0.314058+(-0.131529--0.118422))+0-136.9--0.0698189999999861</f>
        <v>504.34265399999998</v>
      </c>
      <c r="G140" s="3">
        <f>617+(312.9-298)+(-0.31467+(-0.159579--0.15198))+0-151.4--0.0772139999999846</f>
        <v>480.25494499999996</v>
      </c>
      <c r="H140" s="3">
        <f>620.6+(343.1-356.8)+(-0.316506+(-0.174981--0.181968))+0-129--0.0657899999999869</f>
        <v>477.65627100000006</v>
      </c>
      <c r="I140" s="3">
        <f>615.4+(339.3-342.7)+(-0.627708+(-0.346086--0.349554))+0-145.5--0.148410000000023</f>
        <v>466.02417000000003</v>
      </c>
      <c r="J140" s="3">
        <f>613.6+(346.3-349.6)+(-0.938808+(-0.529839--0.534888))+0-146.1--0.223533000000008</f>
        <v>463.48977399999995</v>
      </c>
      <c r="K140" s="3">
        <f>561.1+(408.4-362)+(-0.858483+(-0.624852--0.55386))+0-152.8--0.233784000000009</f>
        <v>454.00430899999998</v>
      </c>
      <c r="L140" s="3">
        <f>557.7+(470.2-423.9)+(-1.422135+(-1.19901--1.080945))+0-136.5--0.34807499999998</f>
        <v>466.30787499999997</v>
      </c>
      <c r="M140" s="3">
        <f>594.4+(515.8-465.4)+(0+(0-0))+0-137.6-0</f>
        <v>507.19999999999993</v>
      </c>
      <c r="N140" s="3">
        <f>628.3+(559.7-499.7)+(-0.320433+(-0.285447--0.254847))+0-139.5--0.0711449999999858</f>
        <v>548.52011199999993</v>
      </c>
      <c r="O140" s="3">
        <f>624.7+(600-513.8)+(0+(0-0))+0-139.9-0</f>
        <v>571.00000000000011</v>
      </c>
      <c r="P140" s="3">
        <f>617.3+(557.5-452.4)+(0.314823+(0.284325-0.230724))+0-140.5-0.0716549999999857</f>
        <v>582.19676900000002</v>
      </c>
      <c r="Q140" s="3">
        <f>641.9+(437.9-321.1)+(-0.327369+(-0.223329--0.163761))+0-151.5--0.0772649999999846</f>
        <v>606.89032799999995</v>
      </c>
      <c r="R140" s="3">
        <f>701.9+(279.3-240)+(0.357969+(0.142443-0.1224))+0-126.6-0.0645659999999871</f>
        <v>614.91344600000002</v>
      </c>
      <c r="S140" s="3">
        <f>697.5+(224.7-182)+(-1.067175+(-0.343791--0.27846))+0-130.6--0.199818000000008</f>
        <v>608.66731200000004</v>
      </c>
      <c r="T140" s="3">
        <f>696+(215.9-193.5)+(0+(0-0))+0-135.9-0</f>
        <v>582.5</v>
      </c>
      <c r="U140" s="3">
        <f>695.8+(201.9-190.9)+(0+(0-0))+0-126.3-0</f>
        <v>580.5</v>
      </c>
      <c r="V140" s="3">
        <f>696+(192.6-174.7)+(-1.41984+(-0.392904--0.356388))+0-127.2--0.259487999999994</f>
        <v>585.50313199999994</v>
      </c>
      <c r="W140" s="3">
        <f>697.2+(206.9-184)+(-0.711144+(-0.211038--0.18768))+0-130.7--0.133314000000021</f>
        <v>588.79881200000011</v>
      </c>
      <c r="X140" s="3">
        <f>671.3+(427.2-378.5)+(-1.027089+(-0.653616--0.579105))+0-140.4--0.214812000000008</f>
        <v>578.71321200000011</v>
      </c>
      <c r="Y140" s="3">
        <f>659.5+(461.9-392.4)+(0+(0-0))+0-148.8-0</f>
        <v>580.20000000000005</v>
      </c>
      <c r="Z140" s="3">
        <f>696.2+(261.4-203.2)+(0+(0-0))+0-135.9-0</f>
        <v>618.50000000000011</v>
      </c>
      <c r="AA140" s="3">
        <f>715.2+(229-177)+(0+(0-0))+0-154.2-0</f>
        <v>613</v>
      </c>
      <c r="AB140" s="3">
        <f>723.8+(216.8-215.9)+(0.738276+(0.221136-0.220218))+0-133.1-0.135762000000021</f>
        <v>592.20343199999991</v>
      </c>
      <c r="AC140" s="3">
        <f>724.9+(214.7-224.1)+(-0.369699+(-0.109497--0.114291))+0-139.3--0.0710429999999859</f>
        <v>575.90613799999994</v>
      </c>
      <c r="AD140">
        <f t="shared" si="2"/>
        <v>13247.292691000002</v>
      </c>
      <c r="AE140" s="3">
        <f>709+(229.9-163.9)+(0+(0-0))+0-163.2-0</f>
        <v>611.79999999999995</v>
      </c>
    </row>
    <row r="141" spans="1:31" s="2" customFormat="1" x14ac:dyDescent="0.25">
      <c r="A141">
        <v>89</v>
      </c>
      <c r="B141">
        <v>5</v>
      </c>
      <c r="C141">
        <v>17</v>
      </c>
      <c r="D141">
        <v>2</v>
      </c>
      <c r="E141">
        <v>1</v>
      </c>
      <c r="F141" s="3">
        <f>708.3+(334.3-334.5)+(-1.444932+(-0.681972--0.68238))+0-154.1--0.314363999999993</f>
        <v>552.86983999999984</v>
      </c>
      <c r="G141" s="3">
        <f>706.5+(314.9-349.8)+(-0.360315+(-0.160599--0.178398))+0-145.1--0.0740009999999853</f>
        <v>526.23148499999979</v>
      </c>
      <c r="H141" s="3">
        <f>711+(373.3-438.5)+(0+(0-0))+0-131.7-0</f>
        <v>514.09999999999991</v>
      </c>
      <c r="I141" s="3">
        <f>708.6+(411.1-468.1)+(-1.084158+(-0.628983--0.716193))+0-141.2--0.216036000000008</f>
        <v>509.61908800000009</v>
      </c>
      <c r="J141" s="3">
        <f>713+(432.8-499.6)+(-0.72726+(-0.441456--0.509592))+0-141.5--0.144330000000023</f>
        <v>504.18520600000005</v>
      </c>
      <c r="K141" s="3">
        <f>701+(445.6-528.1)+(-0.71502+(-0.454512--0.538662))+0-123.5--0.12597000000002</f>
        <v>494.49510000000004</v>
      </c>
      <c r="L141" s="3">
        <f>625.7+(537.2-537.6)+(-1.276428+(-1.095888--1.096704))+0-135.7--0.276827999999994</f>
        <v>488.60121600000002</v>
      </c>
      <c r="M141" s="3">
        <f>603.6+(565.8-502.9)+(0+(0-0))+0-144.8-0</f>
        <v>521.70000000000005</v>
      </c>
      <c r="N141" s="3">
        <f>640.7+(594.6-541.4)+(-0.326757+(-0.303246--0.276114))+0-145--0.0739499999999853</f>
        <v>548.62006100000008</v>
      </c>
      <c r="O141" s="3">
        <f>694.2+(590.7-554.1)+(-1.062126+(-0.903771--0.847773))+0-162.2--0.248166000000009</f>
        <v>567.73004200000003</v>
      </c>
      <c r="P141" s="3">
        <f>693.2+(491-466.7)+(0+(0-0))+0-127-0</f>
        <v>590.5</v>
      </c>
      <c r="Q141" s="3">
        <f>694.6+(414.6-362.7)+(0+(0-0))+0-140.8-0</f>
        <v>605.70000000000005</v>
      </c>
      <c r="R141" s="3">
        <f>706.6+(314.3-282.8)+(0.360366+(0.160293-0.144228))+0-133.8-0.0682379999999864</f>
        <v>604.60819300000014</v>
      </c>
      <c r="S141" s="3">
        <f>700.4+(217.7-192.9)+(-0.357204+(-0.111027--0.098379))+0-121.1--0.0617609999999877</f>
        <v>603.79190899999981</v>
      </c>
      <c r="T141" s="3">
        <f>699.4+(206.2-194.4)+(0.356694+(0.105162-0.099144))+0-131.9-0.0672689999999866</f>
        <v>579.59544299999993</v>
      </c>
      <c r="U141" s="3">
        <f>699.4+(204.2-201.9)+(-0.356694+(-0.104142--0.102969))+0-133.3--0.0679829999999865</f>
        <v>568.11011599999995</v>
      </c>
      <c r="V141" s="3">
        <f>691.4+(217.1-186.3)+(-0.352614+(-0.110721--0.095013))+0-141.7--0.0722669999999856</f>
        <v>580.20394499999998</v>
      </c>
      <c r="W141" s="3">
        <f>675.2+(362.8-310.6)+(-1.033056+(-0.555084--0.475218))+0-145.6--0.222768000000008</f>
        <v>580.90984600000002</v>
      </c>
      <c r="X141" s="3">
        <f>677.3+(574.8-537.7)+(-1.727115+(-1.46574--1.371135))+0-131.1--0.334304999999981</f>
        <v>581.81258499999979</v>
      </c>
      <c r="Y141" s="3">
        <f>680.8+(585.8-533)+(-0.694416+(-0.597516--0.54366))+0-142.9--0.145758000000023</f>
        <v>590.09748599999989</v>
      </c>
      <c r="Z141" s="3">
        <f>710.2+(363.6-312.1)+(-0.362202+(-0.185436--0.159171))+0-142.2--0.0725219999999856</f>
        <v>619.18405499999994</v>
      </c>
      <c r="AA141" s="3">
        <f>718.4+(285.9-258.3)+(-1.099152+(-0.437427--0.395199))+0-140.5--0.214965000000008</f>
        <v>604.57358499999998</v>
      </c>
      <c r="AB141" s="3">
        <f>727+(254.8-258.1)+(0+(0-0))+0-140.7-0</f>
        <v>583</v>
      </c>
      <c r="AC141" s="3">
        <f>712.3+(215.5-204.3)+(-0.726546+(-0.21981--0.208386))+0-150.6--0.153612000000024</f>
        <v>572.31564200000003</v>
      </c>
      <c r="AD141">
        <f t="shared" si="2"/>
        <v>13492.554842999998</v>
      </c>
      <c r="AE141" s="3">
        <f>717+(281.4-258.6)+(0+(0-0))+0-134.2-0</f>
        <v>605.59999999999991</v>
      </c>
    </row>
    <row r="142" spans="1:31" s="2" customFormat="1" x14ac:dyDescent="0.25">
      <c r="A142">
        <v>89</v>
      </c>
      <c r="B142">
        <v>5</v>
      </c>
      <c r="C142">
        <v>18</v>
      </c>
      <c r="D142">
        <v>3</v>
      </c>
      <c r="E142">
        <v>1</v>
      </c>
      <c r="F142" s="3">
        <f>694.7+(224.6-241.1)+(-1.771485+(-0.57273--0.614805))+0-139.3--0.35521499999998</f>
        <v>537.52580499999988</v>
      </c>
      <c r="G142" s="3">
        <f>701.9+(322.8-351.2)+(-0.715938+(-0.329256--0.358224))+0-158.4--0.161568000000025</f>
        <v>514.57459800000004</v>
      </c>
      <c r="H142" s="3">
        <f>703.7+(341-401.5)+(-0.358887+(-0.17391--0.204765))+0-147.1--0.0750209999999851</f>
        <v>495.84698900000001</v>
      </c>
      <c r="I142" s="3">
        <f>706.4+(320.6-388.5)+(0.360264+(0.163506-0.198135))+0-145.8-0.0743579999999852</f>
        <v>492.95127700000006</v>
      </c>
      <c r="J142" s="3">
        <f>710.1+(319.2-415)+(1.086453+(0.488376-0.63495))+0-130.6-0.199818000000008</f>
        <v>484.44006099999996</v>
      </c>
      <c r="K142" s="3">
        <f>708.7+(390.5-477.7)+(-0.361437+(-0.199155--0.243627))+0-139--0.0708899999999859</f>
        <v>482.25392499999998</v>
      </c>
      <c r="L142" s="3">
        <f>695.2+(486.6-555.6)+(-1.063656+(-0.744498--0.850068))+0-142.3--0.217719000000008</f>
        <v>483.15963300000004</v>
      </c>
      <c r="M142" s="3">
        <f>658+(517.3-528.4)+(0+(0-0))+0-128.7-0</f>
        <v>518.20000000000005</v>
      </c>
      <c r="N142" s="3">
        <f>686.2+(585.2-581.7)+(0.699924+(0.596904-0.593334))+0-137.5-0.140250000000022</f>
        <v>552.76324399999999</v>
      </c>
      <c r="O142" s="3">
        <f>691.4+(603-578.1)+(-0.705228+(-0.61506--0.589662))+0-147.7--0.150654000000024</f>
        <v>568.02002799999991</v>
      </c>
      <c r="P142" s="3">
        <f>693.8+(561.4-511.8)+(1.061514+(0.858942-0.783054))+0-141.8-0.216954000000008</f>
        <v>602.52044799999976</v>
      </c>
      <c r="Q142" s="3">
        <f>685.9+(433.1-347)+(0.349809+(0.220881-0.17697))+0-154.9-0.0789989999999843</f>
        <v>617.4147210000001</v>
      </c>
      <c r="R142" s="3">
        <f>699.9+(288.3-230.7)+(-0.713898+(-0.294066--0.235314))+0-134.8--0.137496000000022</f>
        <v>622.06484599999999</v>
      </c>
      <c r="S142" s="3">
        <f>700.1+(205.4-164.6)+(0.357051+(0.104754-0.083946))+0-131-0.0668099999999867</f>
        <v>610.211049</v>
      </c>
      <c r="T142" s="3">
        <f>698.8+(173.6-173.2)+(0+(0-0))+0-132.1-0</f>
        <v>567.09999999999991</v>
      </c>
      <c r="U142" s="3">
        <f>697.4+(174.2-175.1)+(0+(0-0))+0-140.7-0</f>
        <v>555.79999999999995</v>
      </c>
      <c r="V142" s="3">
        <f>681.2+(185.8-160.4)+(-0.347412+(-0.094758--0.081804))+0-132--0.0673199999999866</f>
        <v>574.30695400000002</v>
      </c>
      <c r="W142" s="3">
        <f>665.1+(273.4-217.7)+(-0.678402+(-0.278868--0.222054))+0-143.4--0.146268000000023</f>
        <v>576.81105200000002</v>
      </c>
      <c r="X142" s="3">
        <f>666.9+(536.1-483.8)+(-1.700595+(-1.367055--1.23369))+0-139.2--0.35495999999998</f>
        <v>578.52100000000007</v>
      </c>
      <c r="Y142" s="3">
        <f>676.6+(572.4-507.9)+(-0.690132+(-0.583848--0.518058))+0-142.1--0.144942000000023</f>
        <v>598.38901999999996</v>
      </c>
      <c r="Z142" s="3">
        <f>706.7+(369.6-301.2)+(-0.360417+(-0.188496--0.153612))+0-137.4--0.0700739999999861</f>
        <v>637.37477300000012</v>
      </c>
      <c r="AA142" s="3">
        <f>716.7+(298.7-256.3)+(-1.462068+(-0.609348--0.522852))+0-138.4--0.282335999999994</f>
        <v>619.43377199999998</v>
      </c>
      <c r="AB142" s="3">
        <f>718.7+(240.2-228.1)+(-0.733074+(-0.245004--0.232662))+0-130.9--0.133518000000021</f>
        <v>599.28810200000009</v>
      </c>
      <c r="AC142" s="3">
        <f>713.7+(224.6-209.8)+(-0.727974+(-0.229092--0.213996))+0-144.7--0.147594000000023</f>
        <v>583.20452399999999</v>
      </c>
      <c r="AD142">
        <f t="shared" si="2"/>
        <v>13472.175821000001</v>
      </c>
      <c r="AE142" s="3">
        <f>715+(319.3-245.3)+(0+(0-0))+0-159-0</f>
        <v>630</v>
      </c>
    </row>
    <row r="143" spans="1:31" s="2" customFormat="1" x14ac:dyDescent="0.25">
      <c r="A143">
        <v>89</v>
      </c>
      <c r="B143">
        <v>5</v>
      </c>
      <c r="C143">
        <v>19</v>
      </c>
      <c r="D143">
        <v>4</v>
      </c>
      <c r="E143">
        <v>1</v>
      </c>
      <c r="F143" s="3">
        <f>702.5+(225.5-237.2)+(-0.71655+(-0.23001--0.241944))+0-136.8--0.139536000000022</f>
        <v>553.43492000000003</v>
      </c>
      <c r="G143" s="3">
        <f>702.6+(285.1-312.1)+(-0.716652+(-0.290802--0.318342))+0-140.1--0.142902000000022</f>
        <v>534.95379000000003</v>
      </c>
      <c r="H143" s="3">
        <f>704.1+(346.9-403.7)+(-1.436364+(-0.707676--0.823548))+0-126.7--0.258467999999994</f>
        <v>519.53797599999996</v>
      </c>
      <c r="I143" s="3">
        <f>711.9+(338.6-408.3)+(0.363069+(0.172686-0.208233))+0-132.1-0.0673709999999866</f>
        <v>510.36015100000009</v>
      </c>
      <c r="J143" s="3">
        <f>714.4+(289.5-355.5)+(1.457376+(0.59058-0.72522))+0-143.7-0.293147999999994</f>
        <v>505.72958799999998</v>
      </c>
      <c r="K143" s="3">
        <f>712.8+(282.7-370.5)+(0.727056+(0.288354-0.37791))+0-131-0.133620000000021</f>
        <v>494.50388000000004</v>
      </c>
      <c r="L143" s="3">
        <f>627.6+(378.3-403.2)+(-0.640152+(-0.385866--0.411264))+0-118.4--0.120768000000019</f>
        <v>483.80601400000012</v>
      </c>
      <c r="M143" s="3">
        <f>594.6+(444.7-423)+(0.606492+(0.453594-0.43146))+0-118.4-0.120768000000019</f>
        <v>498.40785800000003</v>
      </c>
      <c r="N143" s="3">
        <f>606+(399-365.8)+(0.92718+(0.61047-0.559674))+0-75-0.114750000000004</f>
        <v>565.0632260000001</v>
      </c>
      <c r="O143" s="3">
        <f>698.3+(381.7-393.4)+(1.424532+(0.778668-0.802536))+0-119.3-0.243371999999995</f>
        <v>568.45729199999994</v>
      </c>
      <c r="P143" s="3">
        <f>686.4+(469-446.6)+(0.700128+(0.47838-0.455532))+0-119.4-0.121788000000019</f>
        <v>590.00118799999996</v>
      </c>
      <c r="Q143" s="3">
        <f>671.9+(425.6-379.4)+(0+(0-0))+0-113.5-0</f>
        <v>604.6</v>
      </c>
      <c r="R143" s="3">
        <f>671.1+(323.9-275.2)+(0.342261+(0.165189-0.140352))+0-113.7-0.0579869999999885</f>
        <v>606.40911099999994</v>
      </c>
      <c r="S143" s="3">
        <f>664.2+(221-177.6)+(0+(0-0))+0-113.8-0</f>
        <v>593.80000000000007</v>
      </c>
      <c r="T143" s="3">
        <f>659.6+(208.3-185.9)+(0+(0-0))+0-111.8-0</f>
        <v>570.20000000000005</v>
      </c>
      <c r="U143" s="3">
        <f>656.7+(208.2-188.8)+(0.334917+(0.106182-0.096288))+0-113-0.0576299999999885</f>
        <v>563.38718100000006</v>
      </c>
      <c r="V143" s="3">
        <f>641.4+(226-184.5)+(0.654228+(0.23052-0.18819))+0-111.7-0.113934000000018</f>
        <v>571.78262399999994</v>
      </c>
      <c r="W143" s="3">
        <f>634.3+(371.7-307.6)+(-1.293972+(-0.758268--0.627504))+0-116.4--0.237455999999995</f>
        <v>580.81271999999979</v>
      </c>
      <c r="X143" s="3">
        <f>630.9+(574.6-512.4)+(-1.608795+(-1.46523--1.30662))+0-115.4--0.294269999999983</f>
        <v>576.22686499999998</v>
      </c>
      <c r="Y143" s="3">
        <f>608.4+(533.7-416.7)+(0.620568+(0.544374-0.425034))+0-122.1-0.124542000000019</f>
        <v>603.91536600000006</v>
      </c>
      <c r="Z143" s="3">
        <f>670.1+(328.4-237.2)+(0+(0-0))+0-122.5-0</f>
        <v>638.79999999999995</v>
      </c>
      <c r="AA143" s="3">
        <f>682.6+(283.1-215)+(-0.696252+(-0.288762--0.2193))+0-130.9--0.133518000000021</f>
        <v>619.16780400000005</v>
      </c>
      <c r="AB143" s="3">
        <f>689.7+(250.3-230)+(-0.351747+(-0.127653--0.1173))+0-117.1--0.0597209999999881</f>
        <v>592.59762099999989</v>
      </c>
      <c r="AC143" s="3">
        <f>694.1+(241.4-247)+(-1.415964+(-0.492456--0.50388))+0-118.8--0.242351999999995</f>
        <v>568.53781200000003</v>
      </c>
      <c r="AD143">
        <f t="shared" si="2"/>
        <v>13514.492987000003</v>
      </c>
      <c r="AE143" s="3">
        <f>683+(285.8-198.5)+(0+(0-0))+0-145.5-0</f>
        <v>624.79999999999995</v>
      </c>
    </row>
    <row r="144" spans="1:31" s="2" customFormat="1" x14ac:dyDescent="0.25">
      <c r="A144">
        <v>89</v>
      </c>
      <c r="B144">
        <v>5</v>
      </c>
      <c r="C144">
        <v>20</v>
      </c>
      <c r="D144">
        <v>5</v>
      </c>
      <c r="E144">
        <v>1</v>
      </c>
      <c r="F144" s="3">
        <f>703.7+(260.3-284.8)+(-1.435548+(-0.531012--0.580992))+0-125.7--0.256427999999994</f>
        <v>552.37085999999999</v>
      </c>
      <c r="G144" s="3">
        <f>708.3+(284.6-340.2)+(-1.083699+(-0.435438--0.520506))+0-128.2--0.196146000000007</f>
        <v>523.69751500000007</v>
      </c>
      <c r="H144" s="3">
        <f>708.1+(360.7-419.2)+(-1.444524+(-0.735828--0.855168))+0-141.1--0.287843999999994</f>
        <v>507.46265999999997</v>
      </c>
      <c r="I144" s="3">
        <f>709.5+(417.9-503.5)+(-1.809225+(-1.065645--1.283925))+0-128.3--0.327164999999981</f>
        <v>494.33621999999991</v>
      </c>
      <c r="J144" s="3">
        <f>713.6+(459.6-540.3)+(-2.183616+(-1.406376--1.653318))+0-139.9--0.428094000000016</f>
        <v>491.49142000000012</v>
      </c>
      <c r="K144" s="3">
        <f>718.3+(542.1-627.3)+(-1.465332+(-1.105884--1.279692))+0-149.3--0.304571999999994</f>
        <v>482.81304800000004</v>
      </c>
      <c r="L144" s="3">
        <f>631.8+(580.3-593.1)+(-1.933308+(-1.775718--1.814886))+0-145.4--0.444924000000017</f>
        <v>472.15078399999993</v>
      </c>
      <c r="M144" s="3">
        <f>587.8+(637.2-582.2)+(-0.899334+(-0.974916--0.890766))+0-142.4--0.217872000000008</f>
        <v>499.634388</v>
      </c>
      <c r="N144" s="3">
        <f>584.5+(632.7-541.5)+(0+(0-0))+0-145-0</f>
        <v>530.70000000000005</v>
      </c>
      <c r="O144" s="3">
        <f>644+(634.4-587.4)+(-0.32844+(-0.323544--0.299574))+0-130.1--0.0663509999999868</f>
        <v>560.61394099999995</v>
      </c>
      <c r="P144" s="3">
        <f>700.2+(557.1-520.2)+(1.071306+(0.852363-0.795906))+0-155.2-0.237456000000009</f>
        <v>582.79030699999998</v>
      </c>
      <c r="Q144" s="3">
        <f>716.1+(434.7-423.8)+(-0.365211+(-0.221697--0.216138))+0-134.6--0.0686459999999863</f>
        <v>592.09787599999993</v>
      </c>
      <c r="R144" s="3">
        <f>714.4+(293.2-288.6)+(0.364344+(0.149532-0.147186))+0-128.9-0.0657389999999869</f>
        <v>590.40095099999996</v>
      </c>
      <c r="S144" s="3">
        <f>691.6+(212.7-210.5)+(0+(0-0))+0-131.7-0</f>
        <v>562.09999999999991</v>
      </c>
      <c r="T144" s="3">
        <f>688.4+(194.3-196.3)+(0.351084+(0.099093-0.100113))+0-131.5-0.0670649999999867</f>
        <v>555.182999</v>
      </c>
      <c r="U144" s="3">
        <f>688.1+(191.2-200.3)+(0+(0-0))+0-133.3-0</f>
        <v>545.70000000000005</v>
      </c>
      <c r="V144" s="3">
        <f>691.2+(211.4-205.2)+(-1.410048+(-0.431256--0.418608))+0-136.2--0.277847999999994</f>
        <v>560.05515200000013</v>
      </c>
      <c r="W144" s="3">
        <f>677.2+(361.2-338.1)+(-1.381488+(-0.736848--0.689724))+0-138.7--0.282947999999994</f>
        <v>560.45433600000001</v>
      </c>
      <c r="X144" s="3">
        <f>662.8+(548.2-519.2)+(-2.028168+(-1.677492--1.588752))+0-137.6--0.421056000000016</f>
        <v>552.50414799999999</v>
      </c>
      <c r="Y144" s="3">
        <f>667.4+(550.3-505.8)+(0.340374+(0.280653-0.257958))+0-148-0.075479999999985</f>
        <v>564.18758899999989</v>
      </c>
      <c r="Z144" s="3">
        <f>695.4+(332.2-277.1)+(0.709308+(0.338844-0.282642))+0-143.3-0.146166000000023</f>
        <v>607.819344</v>
      </c>
      <c r="AA144" s="3">
        <f>710.4+(277.4-230)+(-1.086912+(-0.424422--0.3519))+0-154.1--0.235773000000009</f>
        <v>602.77633899999989</v>
      </c>
      <c r="AB144" s="3">
        <f>714.4+(247.6-221.6)+(0+(0-0))+0-151-0</f>
        <v>589.4</v>
      </c>
      <c r="AC144" s="3">
        <f>722.1+(238.8-231.4)+(-1.104813+(-0.365364--0.354042))+0-146.7--0.224451000000008</f>
        <v>581.90831600000001</v>
      </c>
      <c r="AD144">
        <f t="shared" si="2"/>
        <v>13162.648192999997</v>
      </c>
      <c r="AE144" s="3">
        <f>705+(294.9-221)+(0+(0-0))+0-168-0</f>
        <v>610.9</v>
      </c>
    </row>
    <row r="145" spans="1:31" s="2" customFormat="1" x14ac:dyDescent="0.25">
      <c r="A145">
        <v>89</v>
      </c>
      <c r="B145">
        <v>5</v>
      </c>
      <c r="C145">
        <v>21</v>
      </c>
      <c r="D145">
        <v>6</v>
      </c>
      <c r="E145">
        <v>8</v>
      </c>
      <c r="F145" s="3">
        <f>709.2+(264.6-273.8)+(-1.446768+(-0.539784--0.558552))+0-147.6--0.301103999999994</f>
        <v>551.27310399999999</v>
      </c>
      <c r="G145" s="3">
        <f>714.6+(361.1-408.3)+(-1.457784+(-0.736644--0.832932))+0-134.1--0.273563999999994</f>
        <v>532.21206800000004</v>
      </c>
      <c r="H145" s="3">
        <f>719.3+(421.7-468.7)+(0+(0-0))+0-143-0</f>
        <v>529.29999999999995</v>
      </c>
      <c r="I145" s="3">
        <f>720.7+(354.6-422.3)+(0.735114+(0.361692-0.430746))+0-141.9-0.144738000000023</f>
        <v>511.62132200000002</v>
      </c>
      <c r="J145" s="3">
        <f>726.9+(359.7-440)+(-1.112157+(-0.550341--0.6732))+0-127.3--0.194769000000007</f>
        <v>518.50547099999994</v>
      </c>
      <c r="K145" s="3">
        <f>731.6+(358.7-455.9)+(-1.86558+(-0.914685--1.162545))+0-138--0.35189999999998</f>
        <v>495.13418000000013</v>
      </c>
      <c r="L145" s="3">
        <f>701.4+(335.9-429.8)+(-2.861712+(-1.370472--1.753584))+0-127.8--0.521423999999989</f>
        <v>477.74282399999993</v>
      </c>
      <c r="M145" s="3">
        <f>596.4+(377.9-347.1)+(0.608328+(0.385458-0.354042))+0-132.5-0.135150000000021</f>
        <v>495.20459399999987</v>
      </c>
      <c r="N145" s="3">
        <f>698.6+(343.6-378.7)+(0.712572+(0.350472-0.386274))+0-126.2-0.12872400000002</f>
        <v>537.84804599999995</v>
      </c>
      <c r="O145" s="3">
        <f>697.8+(374.4-380.6)+(1.423512+(0.763776-0.776424))+0-136.2-0.277847999999994</f>
        <v>556.53301599999986</v>
      </c>
      <c r="P145" s="3">
        <f>685.4+(265.5-254.6)+(0.699108+(0.27081-0.259692))+0-130.9-0.133518000000021</f>
        <v>565.97670800000003</v>
      </c>
      <c r="Q145" s="3">
        <f>679.1+(208.5-180.9)+(0+(0-0))+0-125.9-0</f>
        <v>580.80000000000007</v>
      </c>
      <c r="R145" s="3">
        <f>686+(201.3-180.4)+(0.69972+(0.205326-0.184008))+0-139.8-0.142596000000022</f>
        <v>567.67844200000002</v>
      </c>
      <c r="S145" s="3">
        <f>694.2+(186.7-187.8)+(0+(0-0))+0-131.5-0</f>
        <v>561.6</v>
      </c>
      <c r="T145" s="3">
        <f>689.2+(187.1-180.8)+(0+(0-0))+0-145.8-0</f>
        <v>549.70000000000005</v>
      </c>
      <c r="U145" s="3">
        <f>680.9+(181.6-193.2)+(-0.347259+(-0.092616--0.098532))+0-135.8--0.0692579999999862</f>
        <v>533.22791499999994</v>
      </c>
      <c r="V145" s="3">
        <f>679.9+(189.1-186.3)+(-0.346749+(-0.096441--0.095013))+0-143.5--0.0731849999999854</f>
        <v>538.92500799999993</v>
      </c>
      <c r="W145" s="3">
        <f>663.2+(207.8-189.9)+(-1.014696+(-0.317934--0.290547))+0-140.1--0.214353000000008</f>
        <v>540.17226999999991</v>
      </c>
      <c r="X145" s="3">
        <f>665.7+(360.8-333.9)+(-1.358028+(-0.736032--0.681156))+0-152--0.310079999999993</f>
        <v>539.49717600000008</v>
      </c>
      <c r="Y145" s="3">
        <f>670.3+(306.8-260.8)+(0.341853+(0.156468-0.133008))+0-158.7-0.0809369999999839</f>
        <v>557.88437599999997</v>
      </c>
      <c r="Z145" s="3">
        <f>692.4+(200.8-169.6)+(0.706248+(0.204816-0.172992))+0-143-0.145860000000023</f>
        <v>581.19221200000004</v>
      </c>
      <c r="AA145" s="3">
        <f>706.1+(194.8-171.7)+(-0.360111+(-0.099348--0.087567))+0-142.6--0.0727259999999855</f>
        <v>586.30083400000001</v>
      </c>
      <c r="AB145" s="3">
        <f>712.7+(194.3-188.9)+(-0.363477+(-0.099093--0.096339))+0-145.2--0.0740519999999853</f>
        <v>572.60782100000006</v>
      </c>
      <c r="AC145" s="3">
        <f>712+(196.2-209.8)+(0.36312+(0.100062-0.106998))+0-141.9-0.0723689999999856</f>
        <v>556.783815</v>
      </c>
      <c r="AD145">
        <f t="shared" si="2"/>
        <v>13037.721202000001</v>
      </c>
      <c r="AE145" s="3">
        <f>702+(194.3-172.4)+(0+(0-0))+0-122.3-0</f>
        <v>601.6</v>
      </c>
    </row>
    <row r="146" spans="1:31" s="2" customFormat="1" x14ac:dyDescent="0.25">
      <c r="A146">
        <v>89</v>
      </c>
      <c r="B146">
        <v>5</v>
      </c>
      <c r="C146">
        <v>22</v>
      </c>
      <c r="D146">
        <v>7</v>
      </c>
      <c r="E146">
        <v>1</v>
      </c>
      <c r="F146" s="3">
        <f>711.9+(185.6-226.4)+(0.363069+(0.094656-0.115464))+0-137.2-0.0699719999999861</f>
        <v>534.17228899999986</v>
      </c>
      <c r="G146" s="3">
        <f>708.8+(174.8-241.1)+(-0.722976+(-0.178296--0.245922))+0-135.2--0.137904000000022</f>
        <v>506.78255400000006</v>
      </c>
      <c r="H146" s="3">
        <f>716.4+(202-285)+(-0.365364+(-0.10302--0.14535))+0-130--0.0662999999999868</f>
        <v>503.14326599999998</v>
      </c>
      <c r="I146" s="3">
        <f>717.2+(242.6-334.7)+(0+(0-0))+0-133.2-0</f>
        <v>491.90000000000003</v>
      </c>
      <c r="J146" s="3">
        <f>711.1+(254.6-335.6)+(-0.362661+(-0.129846--0.171156))+0-143.8--0.0733379999999854</f>
        <v>486.05198699999994</v>
      </c>
      <c r="K146" s="3">
        <f>680.1+(274.7-348.8)+(-0.693702+(-0.280194--0.355776))+0-145.4--0.148308000000023</f>
        <v>460.13018800000009</v>
      </c>
      <c r="L146" s="3">
        <f>680.2+(228.7-351.6)+(-1.387608+(-0.466548--0.717264))+0-121.7--0.248267999999995</f>
        <v>434.71137599999997</v>
      </c>
      <c r="M146" s="3">
        <f>677.6+(179.2-295)+(-0.345576+(-0.091392--0.15045))+0-138.4--0.070583999999986</f>
        <v>423.18406599999997</v>
      </c>
      <c r="N146" s="3">
        <f>673.3+(183.7-271)+(-1.030149+(-0.281061--0.41463))+0-144.5--0.221085000000008</f>
        <v>440.82450500000004</v>
      </c>
      <c r="O146" s="3">
        <f>705.1+(186.1-278.3)+(0.359601+(0.094911-0.141933))+0-134.9-0.0687989999999863</f>
        <v>478.24378000000002</v>
      </c>
      <c r="P146" s="3">
        <f>702.5+(226.7-303.8)+(-0.71655+(-0.231234--0.309876))+0-131.2--0.133824000000021</f>
        <v>493.69591599999995</v>
      </c>
      <c r="Q146" s="3">
        <f>695.3+(183.8-233.3)+(0+(0-0))+0-136.7-0</f>
        <v>509.09999999999997</v>
      </c>
      <c r="R146" s="3">
        <f>676+(179.5-214.2)+(0.34476+(0.091545-0.109242))+0-155.3-0.0792029999999843</f>
        <v>486.24785999999989</v>
      </c>
      <c r="S146" s="3">
        <f>665.9+(172.4-209.1)+(0+(0-0))+0-146.8-0</f>
        <v>482.40000000000003</v>
      </c>
      <c r="T146" s="3">
        <f>676.7+(166.1-218.6)+(0.345117+(0.084711-0.111486))+0-148.7-0.0758369999999849</f>
        <v>475.74250500000011</v>
      </c>
      <c r="U146" s="3">
        <f>680.2+(165.3-229.1)+(0+(0-0))+0-138.8-0</f>
        <v>477.60000000000008</v>
      </c>
      <c r="V146" s="3">
        <f>675.2+(168.1-221.1)+(-1.033056+(-0.257193--0.338283))+0-133.7--0.204561000000008</f>
        <v>487.7525950000001</v>
      </c>
      <c r="W146" s="3">
        <f>653.3+(195.4-216.7)+(-0.999549+(-0.298962--0.331551))+0-144.6--0.221238000000008</f>
        <v>486.65427800000003</v>
      </c>
      <c r="X146" s="3">
        <f>655.9+(356.5-389.2)+(-1.338036+(-0.72726--0.793968))+0-121.9--0.248675999999995</f>
        <v>500.27734800000002</v>
      </c>
      <c r="Y146" s="3">
        <f>665.8+(299.8-297.1)+(-0.679116+(-0.305796--0.303042))+0-149.5--0.152490000000024</f>
        <v>518.47062000000005</v>
      </c>
      <c r="Z146" s="3">
        <f>674.8+(212.5-204.1)+(-0.344148+(-0.108375--0.104091))+0-133.3--0.0679829999999865</f>
        <v>549.61955099999989</v>
      </c>
      <c r="AA146" s="3">
        <f>676.3+(217.7-199.2)+(-1.724565+(-0.555135--0.50796))+0-143--0.364649999999979</f>
        <v>550.39290999999992</v>
      </c>
      <c r="AB146" s="3">
        <f>686.1+(215.1-218)+(-0.699822+(-0.219402--0.22236))+0-135.6--0.138312000000022</f>
        <v>547.04144800000006</v>
      </c>
      <c r="AC146" s="3">
        <f>695+(218.6-229.9)+(0.35445+(0.111486-0.117249))+0-144.1-0.0734909999999854</f>
        <v>539.87519600000007</v>
      </c>
      <c r="AD146">
        <f t="shared" si="2"/>
        <v>11864.014238</v>
      </c>
      <c r="AE146" s="3">
        <f>675+(214.5-199.6)+(0+(0-0))+0-120.7-0</f>
        <v>569.19999999999993</v>
      </c>
    </row>
    <row r="147" spans="1:31" s="2" customFormat="1" x14ac:dyDescent="0.25">
      <c r="A147">
        <v>89</v>
      </c>
      <c r="B147">
        <v>5</v>
      </c>
      <c r="C147">
        <v>23</v>
      </c>
      <c r="D147">
        <v>1</v>
      </c>
      <c r="E147">
        <v>1</v>
      </c>
      <c r="F147" s="3">
        <f>684.1+(208.8-243.4)+(-1.395564+(-0.425952--0.496536))+0-140.1--0.285803999999994</f>
        <v>508.36082399999998</v>
      </c>
      <c r="G147" s="3">
        <f>694.9+(212.7-283.3)+(0.354399+(0.108477-0.144483))+0-127.6-0.065075999999987</f>
        <v>496.95331699999997</v>
      </c>
      <c r="H147" s="3">
        <f>696.3+(280.6-382.5)+(-0.710226+(-0.286212--0.39015))+0-102.4--0.104448000000016</f>
        <v>491.49816000000004</v>
      </c>
      <c r="I147" s="3">
        <f>691.1+(316-436.4)+(-1.409844+(-0.64464--0.890256))+0-87--0.177479999999996</f>
        <v>482.71325200000007</v>
      </c>
      <c r="J147" s="3">
        <f>690+(341.5-464.4)+(-0.3519+(-0.174165--0.236844))+0-78.5--0.040034999999992</f>
        <v>488.35081400000001</v>
      </c>
      <c r="K147" s="3">
        <f>692+(335.2-473.9)+(-0.70584+(-0.341904--0.483378))+0-72.8--0.0742560000000116</f>
        <v>480.00988999999998</v>
      </c>
      <c r="L147" s="3">
        <f>647.8+(379.1-458.4)+(-0.660756+(-0.386682--0.467568))+0-88.5--0.0902700000000141</f>
        <v>479.5104</v>
      </c>
      <c r="M147" s="3">
        <f>630.3+(429.1-467.8)+(-0.321453+(-0.218841--0.238578))+0-93.3--0.0475829999999905</f>
        <v>498.04586699999982</v>
      </c>
      <c r="N147" s="3">
        <f>648.2+(337-328.5)+(0.330582+(0.17187-0.167535))+0-128.3-0.065432999999987</f>
        <v>528.66948400000001</v>
      </c>
      <c r="O147" s="3">
        <f>665.2+(404.3-362.2)+(-1.017756+(-0.618579--0.554166))+0-142.7--0.218331000000008</f>
        <v>563.73616200000015</v>
      </c>
      <c r="P147" s="3">
        <f>563.4+(383.2-216.3)+(0.287334+(0.195432-0.110313))+0-158.1-0.080630999999984</f>
        <v>572.49182199999984</v>
      </c>
      <c r="Q147" s="3">
        <f>589.1+(314-173)+(0.901323+(0.48042-0.26469))+0-151.6-0.231948000000009</f>
        <v>579.38510500000007</v>
      </c>
      <c r="R147" s="3">
        <f>686.1+(230.3-184.9)+(0.349911+(0.117453-0.094299))+0-146.3-0.0746129999999852</f>
        <v>585.49845200000004</v>
      </c>
      <c r="S147" s="3">
        <f>682.3+(215.2-186.1)+(0.347973+(0.109752-0.094911))+0-145.8-0.0743579999999852</f>
        <v>565.88845600000002</v>
      </c>
      <c r="T147" s="3">
        <f>678.9+(211.4-183.9)+(0.346239+(0.107814-0.093789))+0-148.3-0.075632999999985</f>
        <v>558.38463100000001</v>
      </c>
      <c r="U147" s="3">
        <f>686.8+(210.2-190.4)+(-0.350268+(-0.107202--0.097104))+0-148.4--0.0756839999999849</f>
        <v>557.91531799999996</v>
      </c>
      <c r="V147" s="3">
        <f>651.6+(222.8-177.4)+(0+(0-0))+0-144-0</f>
        <v>553</v>
      </c>
      <c r="W147" s="3">
        <f>648.9+(278.2-217.8)+(-1.654695+(-0.70941--0.55539))+0-137.9--0.35164499999998</f>
        <v>569.94292999999993</v>
      </c>
      <c r="X147" s="3">
        <f>645.1+(433.1-373.8)+(-0.658002+(-0.441762--0.381276))+0-143.9--0.146778000000023</f>
        <v>559.92829000000017</v>
      </c>
      <c r="Y147" s="3">
        <f>653.1+(346.7-264.8)+(-0.666162+(-0.353634--0.270096))+0-153.3--0.156366000000024</f>
        <v>581.10666600000002</v>
      </c>
      <c r="Z147" s="3">
        <f>687.1+(240.3-178.1)+(-0.350421+(-0.122553--0.090831))+0-144--0.0734399999999854</f>
        <v>604.99129700000003</v>
      </c>
      <c r="AA147" s="3">
        <f>690.7+(249.4-171.3)+(-1.409028+(-0.508776--0.349452))+0-143.3--0.292331999999994</f>
        <v>624.22397999999998</v>
      </c>
      <c r="AB147" s="3">
        <f>695.3+(245.4-188.3)+(-0.709206+(-0.250308--0.192066))+0-140.3--0.143106000000022</f>
        <v>611.47565800000007</v>
      </c>
      <c r="AC147" s="3">
        <f>683.8+(245.8-196.2)+(-0.697476+(-0.250716--0.200124))+0-143.3--0.146166000000023</f>
        <v>589.49809800000003</v>
      </c>
      <c r="AD147">
        <f t="shared" si="2"/>
        <v>13131.578872999999</v>
      </c>
      <c r="AE147" s="3">
        <f>691+(245.3-173.9)+(0+(0-0))+0-127.7-0</f>
        <v>634.69999999999993</v>
      </c>
    </row>
    <row r="148" spans="1:31" s="2" customFormat="1" x14ac:dyDescent="0.25">
      <c r="A148">
        <v>89</v>
      </c>
      <c r="B148">
        <v>5</v>
      </c>
      <c r="C148">
        <v>24</v>
      </c>
      <c r="D148">
        <v>2</v>
      </c>
      <c r="E148">
        <v>1</v>
      </c>
      <c r="F148" s="3">
        <f>675.7+(243.9-215.2)+(-1.033821+(-0.373167--0.329256))+0-142.2--0.217566000000008</f>
        <v>561.33983400000011</v>
      </c>
      <c r="G148" s="3">
        <f>680.4+(276.8-266.9)+(-0.347004+(-0.141168--0.136119))+0-143.5--0.0731849999999854</f>
        <v>546.52113199999997</v>
      </c>
      <c r="H148" s="3">
        <f>687.5+(340.5-344.1)+(0.350625+(0.173655-0.175491))+0-147.5-0.075224999999985</f>
        <v>536.67356400000006</v>
      </c>
      <c r="I148" s="3">
        <f>687.6+(381.2-422.2)+(-1.402704+(-0.777648--0.861288))+0-134--0.273359999999994</f>
        <v>511.55429599999997</v>
      </c>
      <c r="J148" s="3">
        <f>702.6+(371-421)+(0.358326+(0.18921-0.21471))+0-134-0.0683399999999864</f>
        <v>518.86448599999994</v>
      </c>
      <c r="K148" s="3">
        <f>622.3+(386.9-388.7)+(-0.952119+(-0.591957--0.594711))+0-132.8--0.203184000000008</f>
        <v>486.95381900000007</v>
      </c>
      <c r="L148" s="3">
        <f>598.1+(385.7-354.3)+(-1.220124+(-0.786828--0.722772))+0-131.9--0.269075999999994</f>
        <v>496.58489600000001</v>
      </c>
      <c r="M148" s="3">
        <f>518.9+(456.7-327.2)+(-0.529278+(-0.465834--0.333744))+0-131.2--0.133824000000021</f>
        <v>516.67245600000001</v>
      </c>
      <c r="N148" s="3">
        <f>540.4+(487.5-357.7)+(0.551208+(0.49725-0.364854))+0-141.4-0.144228000000023</f>
        <v>529.33937600000002</v>
      </c>
      <c r="O148" s="3">
        <f>579.6+(541.1-419.6)+(-1.182384+(-1.103844--0.855984))+0-137.6--0.280703999999994</f>
        <v>562.35046</v>
      </c>
      <c r="P148" s="3">
        <f>686+(457-394.5)+(1.04958+(0.69921-0.603585))+0-146.7-0.224451000000008</f>
        <v>602.72075399999994</v>
      </c>
      <c r="Q148" s="3">
        <f>686.4+(327.8-275)+(-0.700128+(-0.334356--0.2805))+0-135.4--0.138108000000022</f>
        <v>603.18412400000011</v>
      </c>
      <c r="R148" s="3">
        <f>695.7+(225.1-201)+(0+(0-0))+0-135.8-0</f>
        <v>584</v>
      </c>
      <c r="S148" s="3">
        <f>700.2+(218.9-206.2)+(-0.714204+(-0.223278--0.210324))+0-129.3--0.131886000000021</f>
        <v>583.004728</v>
      </c>
      <c r="T148" s="3">
        <f>697.4+(214.7-198.3)+(0.355674+(0.109497-0.101133))+0-149-0.0759899999999849</f>
        <v>565.08804800000007</v>
      </c>
      <c r="U148" s="3">
        <f>693.6+(206.9-199.7)+(-0.353736+(-0.105519--0.101847))+0-144.3--0.0735929999999854</f>
        <v>556.21618500000011</v>
      </c>
      <c r="V148" s="3">
        <f>691.8+(207.5-199.9)+(-0.705636+(-0.21165--0.203898))+0-134.8--0.137496000000022</f>
        <v>564.02410800000007</v>
      </c>
      <c r="W148" s="3">
        <f>663.1+(310.5-269.1)+(0+(0-0))+0-145.6-0</f>
        <v>558.9</v>
      </c>
      <c r="X148" s="3">
        <f>668.7+(457.5-423.1)+(-0.682074+(-0.46665--0.431562))+0-139.2--0.141984000000022</f>
        <v>563.32482199999993</v>
      </c>
      <c r="Y148" s="3">
        <f>677.3+(383.8-340.1)+(0+(0-0))+0-144.1-0</f>
        <v>576.9</v>
      </c>
      <c r="Z148" s="3">
        <f>702.1+(245.2-196.1)+(-0.716142+(-0.250104--0.200022))+0-155.8--0.158916000000025</f>
        <v>594.7926920000001</v>
      </c>
      <c r="AA148" s="3">
        <f>714.6+(239.3-189.1)+(-0.728892+(-0.244086--0.192882))+0-150.1--0.153102000000024</f>
        <v>614.07300600000008</v>
      </c>
      <c r="AB148" s="3">
        <f>718.6+(231.6-205.9)+(-0.732972+(-0.236232--0.210018))+0-145.3--0.148206000000023</f>
        <v>598.38902000000007</v>
      </c>
      <c r="AC148" s="3">
        <f>714.5+(231.8-221.2)+(-0.72879+(-0.236436--0.225624))+0-147.6--0.150552000000024</f>
        <v>576.91095000000007</v>
      </c>
      <c r="AD148">
        <f t="shared" si="2"/>
        <v>13408.382755999999</v>
      </c>
      <c r="AE148" s="3">
        <f>701+(236.4-175.7)+(0+(0-0))+0-159.7-0</f>
        <v>602</v>
      </c>
    </row>
    <row r="149" spans="1:31" s="2" customFormat="1" x14ac:dyDescent="0.25">
      <c r="A149">
        <v>89</v>
      </c>
      <c r="B149">
        <v>5</v>
      </c>
      <c r="C149">
        <v>25</v>
      </c>
      <c r="D149">
        <v>3</v>
      </c>
      <c r="E149">
        <v>1</v>
      </c>
      <c r="F149" s="3">
        <f>710.2+(227.6-238)+(-2.535414+(-0.812532--0.84966))+0-142.3--0.508011000000002</f>
        <v>555.509725</v>
      </c>
      <c r="G149" s="3">
        <f>711.6+(219.2-257.2)+(-1.81458+(-0.55896--0.65586))+0-135.1--0.34450499999998</f>
        <v>537.12682500000005</v>
      </c>
      <c r="H149" s="3">
        <f>720.8+(278-315.2)+(-0.367608+(-0.14178--0.160752))+0-152.9--0.0779789999999845</f>
        <v>530.4293429999999</v>
      </c>
      <c r="I149" s="3">
        <f>725.6+(315.3-385.2)+(0.370056+(0.160803-0.196452))+0-140.8-0.0718079999999857</f>
        <v>515.16259900000011</v>
      </c>
      <c r="J149" s="3">
        <f>725.3+(342.7-406.1)+(0.369903+(0.174777-0.207111))+0-150-0.0764999999999848</f>
        <v>512.16106899999988</v>
      </c>
      <c r="K149" s="3">
        <f>733.5+(242.8-312.5)+(-1.49634+(-0.495312--0.6375))+0-150.2--0.306407999999993</f>
        <v>512.55225600000006</v>
      </c>
      <c r="L149" s="3">
        <f>733.9+(235.9-329.3)+(-1.497156+(-0.481236--0.671772))+0-147.8--0.301511999999994</f>
        <v>491.69489200000004</v>
      </c>
      <c r="M149" s="3">
        <f>724.5+(292.6-368.8)+(0+(0-0))+0-151.2-0</f>
        <v>497.09999999999997</v>
      </c>
      <c r="N149" s="3">
        <f>708.7+(360.3-389.8)+(0+(0-0))+0-148.1-0</f>
        <v>531.1</v>
      </c>
      <c r="O149" s="3">
        <f>706.2+(350.7-344.3)+(0+(0-0))+0-143.9-0</f>
        <v>568.70000000000005</v>
      </c>
      <c r="P149" s="3">
        <f>697.7+(280.1-243.9)+(1.067481+(0.428553-0.373167))+0-145.2-0.222156000000008</f>
        <v>589.60071100000005</v>
      </c>
      <c r="Q149" s="3">
        <f>692.6+(228.9-191.1)+(0.706452+(0.233478-0.194922))+0-142.4-0.145248000000023</f>
        <v>588.59976000000006</v>
      </c>
      <c r="R149" s="3">
        <f>702.7+(217.7-198.7)+(1.433508+(0.444108-0.405348))+0-141.7-0.289067999999994</f>
        <v>581.18319999999994</v>
      </c>
      <c r="S149" s="3">
        <f>699.5+(243.2-227.7)+(-0.71349+(-0.248064--0.232254))+0-147.6--0.150552000000024</f>
        <v>566.82125200000007</v>
      </c>
      <c r="T149" s="3">
        <f>694.5+(229.2-238.6)+(0.70839+(0.233784-0.243372))+0-132.5-0.135150000000021</f>
        <v>553.16365199999996</v>
      </c>
      <c r="U149" s="3">
        <f>688+(221.3-222)+(0.70176+(0.225726-0.22644))+0-148.8-0.151776000000024</f>
        <v>539.04926999999986</v>
      </c>
      <c r="V149" s="3">
        <f>685.6+(210.9-190.7)+(-1.398624+(-0.430236--0.389028))+0-164.6--0.335783999999993</f>
        <v>540.09595200000001</v>
      </c>
      <c r="W149" s="3">
        <f>668.7+(224.7-199.1)+(-0.682074+(-0.229194--0.203082))+0-143.9--0.146778000000023</f>
        <v>549.83859200000018</v>
      </c>
      <c r="X149" s="3">
        <f>670.2+(419.6-391.8)+(-0.683604+(-0.427992--0.399636))+0-143.9--0.146778000000023</f>
        <v>553.53481800000009</v>
      </c>
      <c r="Y149" s="3">
        <f>684.9+(377.1-323.8)+(0.349299+(0.192321-0.165138))+0-167.2-0.085271999999983</f>
        <v>571.29121000000009</v>
      </c>
      <c r="Z149" s="3">
        <f>704.1+(235.2-181.7)+(-0.359091+(-0.119952--0.092667))+0-172--0.0877199999999825</f>
        <v>585.30134399999997</v>
      </c>
      <c r="AA149" s="3">
        <f>713.7+(240.8-186.5)+(0+(0-0))+0-171.8-0</f>
        <v>596.20000000000005</v>
      </c>
      <c r="AB149" s="3">
        <f>716.2+(234.8-237.1)+(-0.730524+(-0.239496--0.241842))+0-160.2--0.163404000000026</f>
        <v>553.13522600000022</v>
      </c>
      <c r="AC149" s="3">
        <f>705.9+(242.6-204.9)+(-0.720018+(-0.247452--0.208998))+0-164.9--0.168198000000026</f>
        <v>578.10972600000002</v>
      </c>
      <c r="AD149">
        <f t="shared" si="2"/>
        <v>13197.461422</v>
      </c>
      <c r="AE149" s="3">
        <f>701+(231.3-183.8)+(0+(0-0))+0-165.4-0</f>
        <v>583.1</v>
      </c>
    </row>
    <row r="150" spans="1:31" s="2" customFormat="1" x14ac:dyDescent="0.25">
      <c r="A150">
        <v>89</v>
      </c>
      <c r="B150">
        <v>5</v>
      </c>
      <c r="C150">
        <v>26</v>
      </c>
      <c r="D150">
        <v>4</v>
      </c>
      <c r="E150">
        <v>1</v>
      </c>
      <c r="F150" s="3">
        <f>676.8+(241.8-225.4)+(-1.380672+(-0.493272--0.459816))+0-159.2--0.324767999999993</f>
        <v>532.91063999999983</v>
      </c>
      <c r="G150" s="3">
        <f>697+(236.8-255.7)+(-0.71094+(-0.241536--0.260814))+0-157.8--0.160956000000025</f>
        <v>519.76929400000006</v>
      </c>
      <c r="H150" s="3">
        <f>691.7+(286.9-341.4)+(-0.352767+(-0.146319--0.174114))+0-151.1--0.0770609999999847</f>
        <v>485.85208899999998</v>
      </c>
      <c r="I150" s="3">
        <f>701.5+(326.8-415.1)+(-1.43106+(-0.666672--0.846804))+0-144--0.293759999999994</f>
        <v>468.24283200000002</v>
      </c>
      <c r="J150" s="3">
        <f>689.5+(331.6-445.2)+(0.70329+(0.338232-0.454104))+0-133.4-0.136068000000021</f>
        <v>442.95135000000005</v>
      </c>
      <c r="K150" s="3">
        <f>649.9+(378.5-419.1)+(-0.662898+(-0.38607--0.427482))+0-139.1--0.141882000000022</f>
        <v>469.72039599999994</v>
      </c>
      <c r="L150" s="3">
        <f>590.4+(389-403.4)+(-1.204416+(-0.79356--0.822936))+0-141.3--0.288251999999994</f>
        <v>433.81321200000002</v>
      </c>
      <c r="M150" s="3">
        <f>589+(336-354.5)+(0.30039+(0.17136-0.180795))+0-104-0.0530399999999895</f>
        <v>466.73791500000004</v>
      </c>
      <c r="N150" s="3">
        <f>680.2+(374.5-438.1)+(0+(0-0))+0-141.6-0</f>
        <v>475</v>
      </c>
      <c r="O150" s="3">
        <f>692.1+(428.8-501.7)+(0+(0-0))+0-139.3-0</f>
        <v>479.90000000000003</v>
      </c>
      <c r="P150" s="3">
        <f>688.4+(367.9-415.6)+(0.702168+(0.375258-0.423912))+0-137.6-0.140352000000022</f>
        <v>503.61316199999987</v>
      </c>
      <c r="Q150" s="3">
        <f>679.3+(266.9-273.9)+(0.692886+(0.272238-0.279378))+0-153.1-0.156162000000024</f>
        <v>519.72958399999993</v>
      </c>
      <c r="R150" s="3">
        <f>694.4+(230.4-257.1)+(0+(0-0))+0-150.1-0</f>
        <v>517.59999999999991</v>
      </c>
      <c r="S150" s="3">
        <f>692.9+(236.8-244.8)+(0+(0-0))+0-167.4-0</f>
        <v>517.5</v>
      </c>
      <c r="T150" s="3">
        <f>688.2+(241.1-272.3)+(0+(0-0))+0-154.2-0</f>
        <v>502.8</v>
      </c>
      <c r="U150" s="3">
        <f>683.9+(217.7-269)+(-0.348789+(-0.111027--0.13719))+0-137.6--0.070175999999986</f>
        <v>494.74754999999988</v>
      </c>
      <c r="V150" s="3">
        <f>684.9+(217.1-245.2)+(-0.349299+(-0.110721--0.125052))+0-148.9--0.0759389999999849</f>
        <v>507.64097099999998</v>
      </c>
      <c r="W150" s="3">
        <f>666+(292.7-299.8)+(-1.35864+(-0.597108--0.611592))+0-158.2--0.322727999999993</f>
        <v>499.67857199999997</v>
      </c>
      <c r="X150" s="3">
        <f>663.5+(489.2-499.4)+(-1.015155+(-0.748476--0.764082))+0-150.4--0.230112000000009</f>
        <v>502.130563</v>
      </c>
      <c r="Y150" s="3">
        <f>677.2+(381.5-357)+(0.345372+(0.194565-0.18207))+0-163.5-0.0833849999999834</f>
        <v>538.47448200000008</v>
      </c>
      <c r="Z150" s="3">
        <f>699.2+(238.9-238.1)+(-0.356592+(-0.121839--0.121431))+0-151.1--0.0770609999999847</f>
        <v>548.62006099999996</v>
      </c>
      <c r="AA150" s="3">
        <f>709.6+(239.5-220.9)+(-1.085688+(-0.366435--0.337977))+0-167.6--0.25642800000001</f>
        <v>559.74228200000005</v>
      </c>
      <c r="AB150" s="3">
        <f>703.4+(241.9-227.4)+(0.358734+(0.123369-0.115974))+0-174.5-0.0889949999999823</f>
        <v>543.67713400000002</v>
      </c>
      <c r="AC150" s="3">
        <f>692+(232.6-249.4)+(0+(0-0))+0-153-0</f>
        <v>522.20000000000005</v>
      </c>
      <c r="AD150">
        <f t="shared" si="2"/>
        <v>12053.052088999999</v>
      </c>
      <c r="AE150" s="3">
        <f>710+(235.2-212.4)+(0+(0-0))+0-154.1-0</f>
        <v>578.69999999999993</v>
      </c>
    </row>
    <row r="151" spans="1:31" s="2" customFormat="1" x14ac:dyDescent="0.25">
      <c r="A151">
        <v>89</v>
      </c>
      <c r="B151">
        <v>5</v>
      </c>
      <c r="C151">
        <v>27</v>
      </c>
      <c r="D151">
        <v>5</v>
      </c>
      <c r="E151">
        <v>1</v>
      </c>
      <c r="F151" s="3">
        <f>694.6+(237.1-213.2)+(-1.062738+(-0.362763--0.326196))+0-154.5--0.236385000000009</f>
        <v>563.13708000000008</v>
      </c>
      <c r="G151" s="3">
        <f>700.4+(230.2-239.4)+(-0.357204+(-0.117402--0.122094))+0-153.9--0.0784889999999844</f>
        <v>537.0259769999999</v>
      </c>
      <c r="H151" s="3">
        <f>708.2+(292.9-327)+(-0.361182+(-0.149379--0.16677))+0-144.9--0.0738989999999853</f>
        <v>528.93010800000002</v>
      </c>
      <c r="I151" s="3">
        <f>709.1+(338.4-399.8)+(0+(0-0))+0-134.6-0</f>
        <v>513.1</v>
      </c>
      <c r="J151" s="3">
        <f>709.9+(368.4-422.3)+(-1.086147+(-0.563652--0.646119))+0-146.3--0.223839000000008</f>
        <v>508.92015899999996</v>
      </c>
      <c r="K151" s="3">
        <f>692+(400-446.7)+(-1.05876+(-0.612--0.683451))+0-134.1--0.205173000000008</f>
        <v>510.41786399999995</v>
      </c>
      <c r="L151" s="3">
        <f>590+(451.2-391.5)+(-0.6018+(-0.460224--0.39933))+0-162.3--0.165546000000026</f>
        <v>486.90285200000005</v>
      </c>
      <c r="M151" s="3">
        <f>641.1+(480-446.5)+(0.326961+(0.2448-0.227715))+0-153-0.0780299999999845</f>
        <v>521.86601600000006</v>
      </c>
      <c r="N151" s="3">
        <f>700.5+(513.4-518.7)+(-0.71451+(-0.523668--0.529074))+0-149.8--0.152796000000024</f>
        <v>544.84369199999992</v>
      </c>
      <c r="O151" s="3">
        <f>696.5+(472.7-451.4)+(0+(0-0))+0-156.2-0</f>
        <v>561.59999999999991</v>
      </c>
      <c r="P151" s="3">
        <f>686.3+(408.8-365.6)+(0.700026+(0.416976-0.372912))+0-144.9-0.147798000000023</f>
        <v>585.19629200000008</v>
      </c>
      <c r="Q151" s="3">
        <f>677.7+(309.8-240.7)+(0+(0-0))+0-149.1-0</f>
        <v>597.70000000000005</v>
      </c>
      <c r="R151" s="3">
        <f>683.7+(219.4-163.3)+(0.348687+(0.111894-0.083283))+0-146.4-0.0746639999999851</f>
        <v>593.7026340000001</v>
      </c>
      <c r="S151" s="3">
        <f>682.3+(216.8-176)+(0+(0-0))+0-153.9-0</f>
        <v>569.19999999999993</v>
      </c>
      <c r="T151" s="3">
        <f>679.8+(211.9-198.9)+(0.346698+(0.108069-0.101439))+0-137.9-0.070328999999986</f>
        <v>555.182999</v>
      </c>
      <c r="U151" s="3">
        <f>680.4+(194.2-200.9)+(0+(0-0))+0-129.8-0</f>
        <v>543.89999999999986</v>
      </c>
      <c r="V151" s="3">
        <f>673.5+(207.4-179.1)+(-0.343485+(-0.105774--0.091341))+0-153.3--0.0781829999999845</f>
        <v>548.22026499999981</v>
      </c>
      <c r="W151" s="3">
        <f>637+(247.2-165.1)+(-0.64974+(-0.252144--0.168402))+0-169.9--0.173298000000027</f>
        <v>548.63981600000011</v>
      </c>
      <c r="X151" s="3">
        <f>638.5+(438.5-352.7)+(-0.325635+(-0.223635--0.179877))+0-162.6--0.0829259999999835</f>
        <v>561.41353299999992</v>
      </c>
      <c r="Y151" s="3">
        <f>661.6+(397.6-309)+(0+(0-0))+0-161.9-0</f>
        <v>588.30000000000007</v>
      </c>
      <c r="Z151" s="3">
        <f>697.2+(234.1-165.4)+(0+(0-0))+0-164.3-0</f>
        <v>601.60000000000014</v>
      </c>
      <c r="AA151" s="3">
        <f>702.3+(235.1-159.3)+(-1.074519+(-0.359703--0.243729))+0-166.3--0.25443900000001</f>
        <v>610.86394599999994</v>
      </c>
      <c r="AB151" s="3">
        <f>712.2+(235.7-169.8)+(-0.363222+(-0.120207--0.086598))+0-165.8--0.0845579999999832</f>
        <v>611.98772699999995</v>
      </c>
      <c r="AC151" s="3">
        <f>697+(232.1-187.2)+(-0.71094+(-0.236742--0.190944))+0-154.6--0.157692000000025</f>
        <v>586.70095399999991</v>
      </c>
      <c r="AD151">
        <f t="shared" si="2"/>
        <v>13379.351913999999</v>
      </c>
      <c r="AE151" s="3">
        <f>701+(248-142.1)+(0+(0-0))+0-181-0</f>
        <v>625.9</v>
      </c>
    </row>
    <row r="152" spans="1:31" s="2" customFormat="1" x14ac:dyDescent="0.25">
      <c r="A152">
        <v>89</v>
      </c>
      <c r="B152">
        <v>5</v>
      </c>
      <c r="C152">
        <v>28</v>
      </c>
      <c r="D152">
        <v>6</v>
      </c>
      <c r="E152">
        <v>1</v>
      </c>
      <c r="F152" s="3">
        <f>697.6+(238.6-206.1)+(-0.711552+(-0.243372--0.210222))+0-159.4--0.162588000000025</f>
        <v>570.11788600000011</v>
      </c>
      <c r="G152" s="3">
        <f>702.5+(232-235.3)+(-1.074825+(-0.35496--0.360009))+0-155.6--0.238068000000009</f>
        <v>542.76829199999997</v>
      </c>
      <c r="H152" s="3">
        <f>711.6+(270.3-294.4)+(0.362916+(0.137853-0.150144))+0-158.9-0.0810389999999839</f>
        <v>528.86958600000003</v>
      </c>
      <c r="I152" s="3">
        <f>712.4+(318.1-366.4)+(0+(0-0))+0-144.6-0</f>
        <v>519.5</v>
      </c>
      <c r="J152" s="3">
        <f>713.2+(354.1-391.1)+(0+(0-0))+0-166-0</f>
        <v>510.20000000000005</v>
      </c>
      <c r="K152" s="3">
        <f>715.6+(390.6-445.6)+(-1.459824+(-0.796824--0.909024))+0-147.9--0.301715999999994</f>
        <v>511.65409200000005</v>
      </c>
      <c r="L152" s="3">
        <f>646.4+(336.1-330.3)+(-1.318656+(-0.685644--0.673812))+0-154.5--0.315179999999993</f>
        <v>496.6846920000001</v>
      </c>
      <c r="M152" s="3">
        <f>588+(322.7-273.6)+(-0.59976+(-0.329154--0.279072))+0-133.9--0.136578000000021</f>
        <v>502.68673599999994</v>
      </c>
      <c r="N152" s="3">
        <f>621.8+(410.9-369.8)+(-0.317118+(-0.209559--0.188598))+0-142.2--0.0725219999999856</f>
        <v>520.43444299999987</v>
      </c>
      <c r="O152" s="3">
        <f>687.7+(471.9-453.6)+(0.701454+(0.481338-0.462672))+0-148.2-0.151164000000024</f>
        <v>558.36895599999991</v>
      </c>
      <c r="P152" s="3">
        <f>679.1+(413.6-366.9)+(0.692682+(0.421872-0.374238))+0-156.4-0.159528000000025</f>
        <v>569.98078800000008</v>
      </c>
      <c r="Q152" s="3">
        <f>686.2+(313.8-255.9)+(0+(0-0))+0-161.2-0</f>
        <v>582.90000000000009</v>
      </c>
      <c r="R152" s="3">
        <f>689.5+(224.9-188.2)+(0+(0-0))+0-158.9-0</f>
        <v>567.30000000000007</v>
      </c>
      <c r="S152" s="3">
        <f>683.3+(218-189.9)+(-0.348483+(-0.11118--0.096849))+0-153.3--0.0781829999999845</f>
        <v>557.81536900000003</v>
      </c>
      <c r="T152" s="3">
        <f>687.8+(204.1-200.8)+(0.350778+(0.104091-0.102408))+0-138.7-0.0707369999999859</f>
        <v>552.6817239999998</v>
      </c>
      <c r="U152" s="3">
        <f>499.4+(317.2-154.1)+(0.509388+(0.323544-0.157182))+0-148.1-0.151062000000024</f>
        <v>514.92468799999995</v>
      </c>
      <c r="V152" s="3">
        <f>497.8+(312.9-116.3)+(-0.253878+(-0.159579--0.059313))+0-161.3--0.0822629999999836</f>
        <v>532.82811900000002</v>
      </c>
      <c r="W152" s="3">
        <f>502.1+(307.4-96.5)+(-0.768213+(-0.470322--0.147645))+0-161.9--0.247707000000009</f>
        <v>550.25681700000007</v>
      </c>
      <c r="X152" s="3">
        <f>508.6+(420.8-236.7)+(-0.778158+(-0.643824--0.362151))+0-152.6--0.233478000000009</f>
        <v>539.27364699999998</v>
      </c>
      <c r="Y152" s="3">
        <f>504.5+(372.5-184.2)+(-0.257295+(-0.189975--0.093942))+0-144.2--0.0735419999999854</f>
        <v>548.32021399999996</v>
      </c>
      <c r="Z152" s="3">
        <f>511.7+(287.4-96.3)+(0.260967+(0.146574-0.049113))+0-147.1-0.0750209999999851</f>
        <v>555.98340699999994</v>
      </c>
      <c r="AA152" s="3">
        <f>531.4+(283-71.8)+(-0.813042+(-0.43299--0.109854))+0-173--0.26469000000001</f>
        <v>568.72851199999991</v>
      </c>
      <c r="AB152" s="3">
        <f>534.6+(274.6-97.2)+(-0.545292+(-0.280092--0.099144))+0-148.6--0.151572000000024</f>
        <v>562.825332</v>
      </c>
      <c r="AC152" s="3">
        <f>539.9+(285.1-107.4)+(0+(0-0))+0-166.1-0</f>
        <v>551.5</v>
      </c>
      <c r="AD152">
        <f t="shared" si="2"/>
        <v>13016.603299999999</v>
      </c>
      <c r="AE152" s="3">
        <f>523+(325-106.8)+(0+(0-0))+0-160.9-0</f>
        <v>580.30000000000007</v>
      </c>
    </row>
    <row r="153" spans="1:31" s="2" customFormat="1" x14ac:dyDescent="0.25">
      <c r="A153">
        <v>89</v>
      </c>
      <c r="B153">
        <v>5</v>
      </c>
      <c r="C153">
        <v>29</v>
      </c>
      <c r="D153">
        <v>7</v>
      </c>
      <c r="E153">
        <v>1</v>
      </c>
      <c r="F153" s="3">
        <f>584.7+(258.2-162.2)+(-0.596394+(-0.263364--0.165444))+0-152.9--0.155958000000024</f>
        <v>527.26164400000016</v>
      </c>
      <c r="G153" s="3">
        <f>584.8+(327.5-262.3)+(0.596496+(0.33405-0.267546))+0-140.8-0.143616000000022</f>
        <v>509.71938399999999</v>
      </c>
      <c r="H153" s="3">
        <f>590.9+(344.8-292.5)+(-0.301359+(-0.175848--0.149175))+0-151.8--0.0774179999999846</f>
        <v>491.14938599999999</v>
      </c>
      <c r="I153" s="3">
        <f>596.1+(321.9-282.1)+(-1.520055+(-0.820845--0.719355))+0-154.1--0.392954999999978</f>
        <v>480.57140999999996</v>
      </c>
      <c r="J153" s="3">
        <f>598.6+(358.9-301.1)+(0.305286+(0.183039-0.153561))+0-171.4-0.0874139999999826</f>
        <v>485.24734999999998</v>
      </c>
      <c r="K153" s="3">
        <f>598.7+(344.2-323)+(-2.137359+(-1.228794--1.15311))+0-155.5--0.555135000000002</f>
        <v>462.74209200000013</v>
      </c>
      <c r="L153" s="3">
        <f>600.9+(302.9-324.1)+(-1.225836+(-0.617916--0.661164))+0-156.8--0.319871999999993</f>
        <v>422.03728399999989</v>
      </c>
      <c r="M153" s="3">
        <f>516.5+(334.9-275.3)+(-0.263415+(-0.170799--0.140403))+0-145.6--0.0742559999999852</f>
        <v>430.28044499999987</v>
      </c>
      <c r="N153" s="3">
        <f>468.1+(389.1-275.1)+(-0.238731+(-0.198441--0.140301))+0-151.8--0.0774179999999846</f>
        <v>430.08054699999997</v>
      </c>
      <c r="O153" s="3">
        <f>461.9+(390.9-244.9)+(0+(0-0))+0-156.7-0</f>
        <v>451.2</v>
      </c>
      <c r="P153" s="3">
        <f>463.3+(358-192.9)+(0.236283+(0.18258-0.098379))+0-151.6-0.0773159999999846</f>
        <v>477.04316799999992</v>
      </c>
      <c r="Q153" s="3">
        <f>562.2+(351.9-279.8)+(-0.573444+(-0.358938--0.285396))+0-137.1--0.139842000000022</f>
        <v>496.69285600000001</v>
      </c>
      <c r="R153" s="3">
        <f>570.5+(280.2-200.7)+(-0.290955+(-0.142902--0.102357))+0-157.9--0.080528999999984</f>
        <v>491.84902899999997</v>
      </c>
      <c r="S153" s="3">
        <f>580.6+(231.3-176.1)+(0+(0-0))+0-146.6-0</f>
        <v>489.20000000000005</v>
      </c>
      <c r="T153" s="3">
        <f>574.2+(220.5-179.9)+(0+(0-0))+0-133.4-0</f>
        <v>481.40000000000009</v>
      </c>
      <c r="U153" s="3">
        <f>574.1+(228.8-176.6)+(-0.292791+(-0.116688--0.090066))+0-149.8--0.0763979999999848</f>
        <v>476.25698499999999</v>
      </c>
      <c r="V153" s="3">
        <f>567.6+(225.8-169.1)+(-0.868428+(-0.345474--0.258723))+0-149--0.227970000000009</f>
        <v>474.57279100000005</v>
      </c>
      <c r="W153" s="3">
        <f>548.9+(296.2-230.1)+(-0.279939+(-0.151062--0.117351))+0-139.6--0.0711959999999858</f>
        <v>475.15754599999991</v>
      </c>
      <c r="X153" s="3">
        <f>535.4+(495.4-415.5)+(-1.911378+(-1.768578--1.483335))+0-143.4--0.511938000000002</f>
        <v>470.21531699999991</v>
      </c>
      <c r="Y153" s="3">
        <f>449.1+(456.8-284.3)+(-0.229041+(-0.232968--0.144993))+0-150.7--0.0768569999999847</f>
        <v>470.65984100000003</v>
      </c>
      <c r="Z153" s="3">
        <f>557.1+(262.7-180)+(0+(0-0))+0-151.3-0</f>
        <v>488.49999999999994</v>
      </c>
      <c r="AA153" s="3">
        <f>573.4+(241.9-162.3)+(0+(0-0))+0-148.9-0</f>
        <v>504.1</v>
      </c>
      <c r="AB153" s="3">
        <f>612+(232-167.1)+(-0.62424+(-0.23664--0.170442))+0-142--0.144840000000023</f>
        <v>534.35440200000005</v>
      </c>
      <c r="AC153" s="3">
        <f>616.9+(239.3-191.7)+(-0.629238+(-0.244086--0.195534))+0-134.1--0.136782000000021</f>
        <v>529.85899200000006</v>
      </c>
      <c r="AD153">
        <f t="shared" si="2"/>
        <v>11550.150469000002</v>
      </c>
      <c r="AE153" s="3">
        <f>607+(261-156.9)+(0+(0-0))+0-166.9-0</f>
        <v>544.20000000000005</v>
      </c>
    </row>
    <row r="154" spans="1:31" s="2" customFormat="1" x14ac:dyDescent="0.25">
      <c r="A154">
        <v>89</v>
      </c>
      <c r="B154">
        <v>5</v>
      </c>
      <c r="C154">
        <v>30</v>
      </c>
      <c r="D154">
        <v>1</v>
      </c>
      <c r="E154">
        <v>1</v>
      </c>
      <c r="F154" s="3">
        <f>623.9+(264.4-232.6)+(-0.954567+(-0.404532--0.355878))+0-145.9--0.223227000000008</f>
        <v>509.02000599999991</v>
      </c>
      <c r="G154" s="3">
        <f>627.1+(310.1-305.4)+(-0.639642+(-0.316302--0.311508))+0-143.8--0.146676000000023</f>
        <v>487.50224000000003</v>
      </c>
      <c r="H154" s="3">
        <f>632.9+(285.8-296.2)+(-0.968337+(-0.437274--0.453186))+0-144.1--0.220473000000008</f>
        <v>477.66804800000006</v>
      </c>
      <c r="I154" s="3">
        <f>634.7+(306.6-324.6)+(-0.323697+(-0.156366--0.165546))+0-146.1--0.0745109999999852</f>
        <v>470.35999399999997</v>
      </c>
      <c r="J154" s="3">
        <f>635.1+(367.9-387.6)+(-1.619505+(-0.938145--0.98838))+0-143.3--0.365414999999979</f>
        <v>470.89614499999999</v>
      </c>
      <c r="K154" s="3">
        <f>635.5+(339.8-366.6)+(-0.972315+(-0.519894--0.560898))+0-142.2--0.217566000000008</f>
        <v>465.78625500000004</v>
      </c>
      <c r="L154" s="3">
        <f>642.7+(339.6-374.7)+(-0.983331+(-0.519588--0.573291))+0-137.6--0.210528000000008</f>
        <v>469.28090000000014</v>
      </c>
      <c r="M154" s="3">
        <f>643.4+(416.7-426.9)+(1.312536+(0.850068-0.870876))+0-138.4-0.282335999999994</f>
        <v>495.80939200000012</v>
      </c>
      <c r="N154" s="3">
        <f>631.8+(425.8-391.4)+(0.644436+(0.434316-0.399228))+0-134.1-0.136782000000021</f>
        <v>532.642742</v>
      </c>
      <c r="O154" s="3">
        <f>619.3+(550.1-466.6)+(0.315843+(0.280551-0.237966))+0-144.5-0.0736949999999853</f>
        <v>558.58473300000003</v>
      </c>
      <c r="P154" s="3">
        <f>603.2+(450.8-331.6)+(0.922896+(0.689724-0.507348))+0-142-0.217260000000008</f>
        <v>581.28801200000009</v>
      </c>
      <c r="Q154" s="3">
        <f>596.8+(343.2-198.9)+(1.217472+(0.700128-0.405756))+0-143.1-0.291923999999994</f>
        <v>599.21991999999989</v>
      </c>
      <c r="R154" s="3">
        <f>593.3+(239.9-130.3)+(0.605166+(0.244698-0.132906))+0-103.5-0.105570000000016</f>
        <v>600.0113879999999</v>
      </c>
      <c r="S154" s="3">
        <f>609.9+(220.8-138.5)+(-0.311049+(-0.112608--0.070635))+0-103.9--0.0529889999999895</f>
        <v>587.99996700000008</v>
      </c>
      <c r="T154" s="3">
        <f>606.2+(228.9-179.4)+(0.309162+(0.116739-0.091494))+0-83-0.0423299999999916</f>
        <v>572.99207700000011</v>
      </c>
      <c r="U154" s="3">
        <f>599.9+(206.1-151)+(0+(0-0))+0-95.3-0</f>
        <v>559.70000000000005</v>
      </c>
      <c r="V154" s="3">
        <f>603.8+(209-151.2)+(0+(0-0))+0-98-0</f>
        <v>563.59999999999991</v>
      </c>
      <c r="W154" s="3">
        <f>589.7+(292.6-175.2)+(0+(0-0))+0-127.4-0</f>
        <v>579.70000000000016</v>
      </c>
      <c r="X154" s="3">
        <f>576.3+(489.6-377.4)+(0+(0-0))+0-118.2-0</f>
        <v>570.29999999999995</v>
      </c>
      <c r="Y154" s="3">
        <f>588.4+(419.2-297.8)+(0.300084+(0.213792-0.151878))+0-117.9-0.060128999999988</f>
        <v>592.20186899999999</v>
      </c>
      <c r="Z154" s="3">
        <f>621.6+(256.4-129.8)+(0+(0-0))+0-154-0</f>
        <v>594.20000000000005</v>
      </c>
      <c r="AA154" s="3">
        <f>623.5+(251.2-129.6)+(-0.63597+(-0.256224--0.132192))+0-146.6--0.149532000000023</f>
        <v>597.88953000000004</v>
      </c>
      <c r="AB154" s="3">
        <f>609.9+(263.2-122.4)+(0+(0-0))+0-154.3-0</f>
        <v>596.39999999999986</v>
      </c>
      <c r="AC154" s="3">
        <f>602.5+(267.1-152.9)+(-0.921825+(-0.408663--0.233937))+0-125.9--0.192627000000007</f>
        <v>589.89607600000011</v>
      </c>
      <c r="AD154">
        <f t="shared" si="2"/>
        <v>13122.949294000002</v>
      </c>
      <c r="AE154" s="3">
        <f>625+(264.5-106.2)+(0+(0-0))+0-178.7-0</f>
        <v>604.59999999999991</v>
      </c>
    </row>
    <row r="155" spans="1:31" s="2" customFormat="1" x14ac:dyDescent="0.25">
      <c r="A155">
        <v>89</v>
      </c>
      <c r="B155">
        <v>5</v>
      </c>
      <c r="C155">
        <v>31</v>
      </c>
      <c r="D155">
        <v>2</v>
      </c>
      <c r="E155">
        <v>1</v>
      </c>
      <c r="F155" s="3">
        <f>592+(286-198.9)+(-0.60384+(-0.29172--0.202878))+0-134.2--0.136884000000021</f>
        <v>544.344202</v>
      </c>
      <c r="G155" s="3">
        <f>597.4+(310.5-234.6)+(-0.609348+(-0.31671--0.239292))+0-142.5--0.145350000000023</f>
        <v>530.25858399999993</v>
      </c>
      <c r="H155" s="3">
        <f>607.5+(344.7-289.2)+(0.309825+(0.175797-0.147492))+0-137.6-0.070175999999986</f>
        <v>525.66795400000001</v>
      </c>
      <c r="I155" s="3">
        <f>602.6+(373.2-322.2)+(-0.307326+(-0.190332--0.164322))+0-146.9--0.0749189999999851</f>
        <v>506.44158299999998</v>
      </c>
      <c r="J155" s="3">
        <f>606.7+(404.5-367.4)+(-0.618834+(-0.41259--0.374748))+0-149.6--0.152592000000024</f>
        <v>493.69591600000012</v>
      </c>
      <c r="K155" s="3">
        <f>622.7+(452.6-423.1)+(-0.317577+(-0.230826--0.215781))+0-151.6--0.0773159999999846</f>
        <v>500.344694</v>
      </c>
      <c r="L155" s="3">
        <f>565.7+(423.3-392.2)+(-1.731042+(-1.295298--1.200132))+0-139.4--0.426564000000016</f>
        <v>456.00035600000018</v>
      </c>
      <c r="M155" s="3">
        <f>497.1+(402.6-249.6)+(0+(0-0))+0-147.5-0</f>
        <v>502.6</v>
      </c>
      <c r="N155" s="3">
        <f>553+(409-326)+(0+(0-0))+0-111-0</f>
        <v>525</v>
      </c>
      <c r="O155" s="3">
        <f>585+(417-380)+(0+(0-0))+0-102-0</f>
        <v>520</v>
      </c>
      <c r="P155" s="3">
        <f>571.5+(453.6-279)+(0.58293+(0.462672-0.28458))+0-104-0.106080000000017</f>
        <v>642.75494200000003</v>
      </c>
      <c r="Q155" s="3">
        <f>567.5+(333.6-168.4)+(-0.57885+(-0.340272--0.171768))+0-105--0.107100000000017</f>
        <v>627.05974600000013</v>
      </c>
      <c r="R155" s="3">
        <f>576.7+(254-102.9)+(0.588234+(0.25908-0.104958))+0-133.1-0.135762000000021</f>
        <v>595.30659400000002</v>
      </c>
      <c r="S155" s="3">
        <f>586.5+(290.3-149.5)+(-0.897345+(-0.444159--0.228735))+0-141--0.215730000000008</f>
        <v>585.402961</v>
      </c>
      <c r="T155" s="3">
        <f>591.7+(301.1-180.2)+(-0.301767+(-0.153561--0.091902))+0-130.3--0.0664529999999868</f>
        <v>582.00302700000009</v>
      </c>
      <c r="U155" s="3">
        <f>589.8+(270.4-152.2)+(0+(0-0))+0-146.5-0</f>
        <v>561.5</v>
      </c>
      <c r="V155" s="3">
        <f>590.3+(251-124.3)+(-0.602106+(-0.25602--0.126786))+0-142.9--0.145758000000023</f>
        <v>573.51441799999998</v>
      </c>
      <c r="W155" s="3">
        <f>574.5+(326.4-175.3)+(-0.878985+(-0.499392--0.268209))+0-150.2--0.229806000000009</f>
        <v>574.51963799999999</v>
      </c>
      <c r="X155" s="3">
        <f>579.4+(477.4-349.3)+(-0.590988+(-0.486948--0.356286))+0-135.7--0.138414000000022</f>
        <v>571.21676400000001</v>
      </c>
      <c r="Y155" s="3">
        <f>602.6+(364.3-233.6)+(-0.614652+(-0.371586--0.238272))+0-142.4--0.145248000000023</f>
        <v>590.29728200000011</v>
      </c>
      <c r="Z155" s="3">
        <f>621.6+(266.9-129.8)+(-0.317016+(-0.136119--0.066198))+0-149--0.0759899999999849</f>
        <v>609.38905299999999</v>
      </c>
      <c r="AA155" s="3">
        <f>609.2+(274.6-111.8)+(-0.932076+(-0.420138--0.171054))+0-153.3--0.234549000000009</f>
        <v>617.75338899999997</v>
      </c>
      <c r="AB155" s="3">
        <f>603.9+(267.1-113.9)+(0+(0-0))+0-142.2-0</f>
        <v>614.90000000000009</v>
      </c>
      <c r="AC155" s="3">
        <f>602.3+(275.3-119.7)+(-0.307173+(-0.140403--0.061047))+0-160.1--0.0816509999999838</f>
        <v>597.49512199999992</v>
      </c>
      <c r="AD155">
        <f t="shared" si="2"/>
        <v>13447.466225</v>
      </c>
      <c r="AE155" s="3">
        <f>617+(285.7-107.3)+(0+(0-0))+0-162.7-0</f>
        <v>632.70000000000005</v>
      </c>
    </row>
    <row r="156" spans="1:31" s="2" customFormat="1" x14ac:dyDescent="0.25">
      <c r="A156">
        <v>89</v>
      </c>
      <c r="B156">
        <v>6</v>
      </c>
      <c r="C156">
        <v>1</v>
      </c>
      <c r="D156">
        <v>3</v>
      </c>
      <c r="E156">
        <v>1</v>
      </c>
      <c r="F156" s="3">
        <f>599.5+(261.5-146.6)+(0+(0-0))+0-136-0</f>
        <v>578.4</v>
      </c>
      <c r="G156" s="3">
        <f>598.4+(270.7-169.2)+(-1.220736+(-0.552228--0.345168))+0-150.5--0.307019999999993</f>
        <v>548.279224</v>
      </c>
      <c r="H156" s="3">
        <f>605.9+(292.3-215.7)+(0.927027+(0.447219-0.330021))+0-147.8-0.226134000000009</f>
        <v>535.51809099999991</v>
      </c>
      <c r="I156" s="3">
        <f>600.3+(298.8-242.4)+(-0.612306+(-0.304776--0.247248))+0-138.5--0.141270000000022</f>
        <v>517.67143599999997</v>
      </c>
      <c r="J156" s="3">
        <f>605.4+(310.5-270.3)+(-0.308754+(-0.158355--0.137853))+0-126.5--0.0645149999999872</f>
        <v>518.83525899999995</v>
      </c>
      <c r="K156" s="3">
        <f>612.1+(327.3-302.2)+(-0.312171+(-0.166923--0.154122))+0-121--0.0617099999999877</f>
        <v>515.93673799999999</v>
      </c>
      <c r="L156" s="3">
        <f>552.7+(361.8-297.8)+(-0.563754+(-0.369036--0.303756))+0-116.6--0.118932000000019</f>
        <v>499.58989800000001</v>
      </c>
      <c r="M156" s="3">
        <f>496.6+(406.7-260.5)+(0.506532+(0.414834-0.26571))+0-131.2-0.133824000000021</f>
        <v>512.12183200000004</v>
      </c>
      <c r="N156" s="3">
        <f>580.7+(449.1-358.9)+(0.296157+(0.229041-0.183039))+0-123.8-0.0631379999999874</f>
        <v>547.37902100000019</v>
      </c>
      <c r="O156" s="3">
        <f>603.3+(512.3-399.7)+(0.307683+(0.261273-0.203847))+0-132.5-0.0675749999999866</f>
        <v>583.69753399999979</v>
      </c>
      <c r="P156" s="3">
        <f>608.3+(434.2-309)+(0+(0-0))+0-131.5-0</f>
        <v>602</v>
      </c>
      <c r="Q156" s="3">
        <f>623+(312.8-201.5)+(0.31773+(0.159528-0.102765))+0-117.4-0.0598739999999881</f>
        <v>617.21461899999997</v>
      </c>
      <c r="R156" s="3">
        <f>623.2+(256-145.5)+(0.317832+(0.13056-0.074205))+0-112.8-0.0575279999999886</f>
        <v>621.21665900000016</v>
      </c>
      <c r="S156" s="3">
        <f>620.4+(284.6-169.2)+(0+(0-0))+0-127.5-0</f>
        <v>608.29999999999995</v>
      </c>
      <c r="T156" s="3">
        <f>618.1+(303.1-190.3)+(0+(0-0))+0-139.8-0</f>
        <v>591.10000000000014</v>
      </c>
      <c r="U156" s="3">
        <f>616.2+(295.4-180.2)+(0.314262+(0.150654-0.091902))+0-144.9-0.0738989999999853</f>
        <v>586.79911500000014</v>
      </c>
      <c r="V156" s="3">
        <f>607.2+(270.5-151.5)+(0.309672+(0.137955-0.077265))+0-140.3-0.0715529999999858</f>
        <v>586.19880899999998</v>
      </c>
      <c r="W156" s="3">
        <f>593.4+(256.4-127.8)+(-0.302634+(-0.130764--0.065178))+0-145.5--0.0742049999999852</f>
        <v>576.20598500000006</v>
      </c>
      <c r="X156" s="3">
        <f>594.7+(407.2-276.7)+(-0.909891+(-0.623016--0.423351))+0-139.5--0.213435000000008</f>
        <v>584.80387900000005</v>
      </c>
      <c r="Y156" s="3">
        <f>610.2+(329.1-219.3)+(-0.933606+(-0.503523--0.335529))+0-120.6--0.184518000000007</f>
        <v>598.48291800000004</v>
      </c>
      <c r="Z156" s="3">
        <f>625.1+(259.9-141.7)+(-0.318801+(-0.132549--0.072267))+0-130.7--0.0666569999999867</f>
        <v>612.28757399999984</v>
      </c>
      <c r="AA156" s="3">
        <f>631.6+(274.8-128.5)+(-0.644232+(-0.280296--0.13107))+0-149.6--0.152592000000024</f>
        <v>627.65913400000011</v>
      </c>
      <c r="AB156" s="3">
        <f>636.3+(266.2-142.6)+(0+(0-0))+0-137.9-0</f>
        <v>622</v>
      </c>
      <c r="AC156" s="3">
        <f>640.9+(258.7-167.3)+(-0.653718+(-0.263874--0.170646))+0-134.7--0.137394000000021</f>
        <v>596.9904479999999</v>
      </c>
      <c r="AD156">
        <f t="shared" si="2"/>
        <v>13788.688173</v>
      </c>
      <c r="AE156" s="3">
        <f>626+(285.2-132.8)+(0+(0-0))+0-131.6-0</f>
        <v>646.79999999999995</v>
      </c>
    </row>
    <row r="157" spans="1:31" s="2" customFormat="1" x14ac:dyDescent="0.25">
      <c r="A157">
        <v>89</v>
      </c>
      <c r="B157">
        <v>6</v>
      </c>
      <c r="C157">
        <v>2</v>
      </c>
      <c r="D157">
        <v>4</v>
      </c>
      <c r="E157">
        <v>1</v>
      </c>
      <c r="F157" s="3">
        <f>621.1+(251.2-160.3)+(-0.316761+(-0.128112--0.081753))+0-149.4--0.0761939999999848</f>
        <v>562.31307400000003</v>
      </c>
      <c r="G157" s="3">
        <f>624.3+(238.1-180.7)+(-0.955179+(-0.364293--0.276471))+0-133.3--0.203949000000008</f>
        <v>547.56094799999983</v>
      </c>
      <c r="H157" s="3">
        <f>626.3+(237.3-183.8)+(-0.319413+(-0.121023--0.093738))+0-151--0.0770099999999847</f>
        <v>528.53031199999998</v>
      </c>
      <c r="I157" s="3">
        <f>625.8+(242.7-219.8)+(0.319158+(0.123777-0.112098))+0-131.6-0.0671159999999866</f>
        <v>517.36372099999994</v>
      </c>
      <c r="J157" s="3">
        <f>627.5+(252-238.5)+(0+(0-0))+0-134-0</f>
        <v>507</v>
      </c>
      <c r="K157" s="3">
        <f>631.3+(288.7-296.4)+(-1.609815+(-0.736185--0.75582))+0-134.2--0.34220999999998</f>
        <v>488.15202999999985</v>
      </c>
      <c r="L157" s="3">
        <f>603.8+(331.2-310.4)+(0+(0-0))+0-123-0</f>
        <v>501.59999999999991</v>
      </c>
      <c r="M157" s="3">
        <f>567.2+(378.3-293.3)+(-0.578544+(-0.385866--0.299166))+0-130.6--0.133212000000021</f>
        <v>521.06796800000006</v>
      </c>
      <c r="N157" s="3">
        <f>593.4+(413.7-323.6)+(0+(0-0))+0-127.4-0</f>
        <v>556.1</v>
      </c>
      <c r="O157" s="3">
        <f>618.7+(383.1-276.4)+(0.315537+(0.195381-0.140964))+0-140.8-0.0718079999999857</f>
        <v>584.89814600000011</v>
      </c>
      <c r="P157" s="3">
        <f>613.8+(303.1-175.1)+(0.313038+(0.154581-0.089301))+0-137.5-0.070124999999986</f>
        <v>604.60819300000003</v>
      </c>
      <c r="Q157" s="3">
        <f>608.6+(255.5-102)+(0+(0-0))+0-144.9-0</f>
        <v>617.20000000000005</v>
      </c>
      <c r="R157" s="3">
        <f>599.3+(295.4-166.1)+(-0.305643+(-0.150654--0.084711))+0-133.5--0.0680849999999865</f>
        <v>594.79649899999993</v>
      </c>
      <c r="S157" s="3">
        <f>593.1+(371.6-233.8)+(-0.302481+(-0.189516--0.119238))+0-131.7--0.0671669999999866</f>
        <v>598.89440800000023</v>
      </c>
      <c r="T157" s="3">
        <f>588+(411.3-292.8)+(0.29988+(0.209763-0.149328))+0-124.5-0.0634949999999874</f>
        <v>582.29682000000003</v>
      </c>
      <c r="U157" s="3">
        <f>588.1+(403.5-277.4)+(-0.599862+(-0.41157--0.282948))+0-136.2--0.138924000000022</f>
        <v>577.41043999999999</v>
      </c>
      <c r="V157" s="3">
        <f>587.6+(315.7-216.1)+(0+(0-0))+0-115.4-0</f>
        <v>571.80000000000007</v>
      </c>
      <c r="W157" s="3">
        <f>587.8+(242.2-135)+(-1.199112+(-0.494088--0.2754))+0-124.4--0.253775999999995</f>
        <v>569.43597599999998</v>
      </c>
      <c r="X157" s="3">
        <f>590.7+(310.2-205.7)+(0.602514+(0.316404-0.209814))+0-128.6-0.13117200000002</f>
        <v>567.17793200000006</v>
      </c>
      <c r="Y157" s="3">
        <f>596.6+(254.3-135.8)+(0.304266+(0.129693-0.069258))+0-137.4-0.0700739999999861</f>
        <v>577.99462700000004</v>
      </c>
      <c r="Z157" s="3">
        <f>621+(274.8-164.6)+(-0.63342+(-0.280296--0.167892))+0-133.4--0.136068000000021</f>
        <v>597.19024400000012</v>
      </c>
      <c r="AA157" s="3">
        <f>626+(289-162.7)+(-0.95778+(-0.44217--0.248931))+0-139.9--0.214047000000008</f>
        <v>611.46302800000001</v>
      </c>
      <c r="AB157" s="3">
        <f>629.6+(281.1-178.3)+(-0.963288+(-0.430083--0.272799))+0-125.3--0.191709000000007</f>
        <v>606.17113700000016</v>
      </c>
      <c r="AC157" s="3">
        <f>569.2+(310.8-172)+(-0.580584+(-0.317016--0.17544))+0-128.9--0.131478000000021</f>
        <v>578.50931800000001</v>
      </c>
      <c r="AD157">
        <f t="shared" si="2"/>
        <v>13569.534820999999</v>
      </c>
      <c r="AE157" s="3">
        <f>624+(289.7-173.5)+(0+(0-0))+0-140.6-0</f>
        <v>599.6</v>
      </c>
    </row>
    <row r="158" spans="1:31" s="2" customFormat="1" x14ac:dyDescent="0.25">
      <c r="A158">
        <v>89</v>
      </c>
      <c r="B158">
        <v>6</v>
      </c>
      <c r="C158">
        <v>3</v>
      </c>
      <c r="D158">
        <v>5</v>
      </c>
      <c r="E158">
        <v>1</v>
      </c>
      <c r="F158" s="3">
        <f>561.2+(267-138.8)+(-0.286212+(-0.13617--0.070788))+0-128.3--0.065432999999987</f>
        <v>560.81383900000014</v>
      </c>
      <c r="G158" s="3">
        <f>594+(229.7-152.5)+(-0.60588+(-0.234294--0.15555))+0-120.3--0.122706000000019</f>
        <v>550.3380820000001</v>
      </c>
      <c r="H158" s="3">
        <f>636.8+(214.4-176.6)+(0+(0-0))+0-140.3-0</f>
        <v>534.29999999999995</v>
      </c>
      <c r="I158" s="3">
        <f>702.2+(183.8-221.3)+(-1.432488+(-0.374952--0.451452))+0-138.8--0.283151999999994</f>
        <v>524.82716400000004</v>
      </c>
      <c r="J158" s="3">
        <f>713.9+(181.6-237.8)+(0+(0-0))+0-137.7-0</f>
        <v>520</v>
      </c>
      <c r="K158" s="3">
        <f>716.7+(263.3-311)+(-0.365517+(-0.134283--0.15861))+0-148.8--0.0758879999999849</f>
        <v>519.93469799999991</v>
      </c>
      <c r="L158" s="3">
        <f>719.7+(297.2-381.4)+(-1.835235+(-0.75786--0.97257))+0-132.2--0.337109999999981</f>
        <v>502.01658499999996</v>
      </c>
      <c r="M158" s="3">
        <f>716.8+(214.8-264.6)+(-1.096704+(-0.328644--0.404838))+0-136.5--0.208845000000008</f>
        <v>529.68833500000005</v>
      </c>
      <c r="N158" s="3">
        <f>712.5+(254.4-268.5)+(0.363375+(0.129744-0.136935))+0-138.5-0.0706349999999859</f>
        <v>560.18554899999992</v>
      </c>
      <c r="O158" s="3">
        <f>704.5+(357.1-347.7)+(-0.359295+(-0.182121--0.177327))+0-130--0.0662999999999868</f>
        <v>583.60221100000001</v>
      </c>
      <c r="P158" s="3">
        <f>694.5+(259.1-212.5)+(0+(0-0))+0-132-0</f>
        <v>609.1</v>
      </c>
      <c r="Q158" s="3">
        <f>687.2+(230.2-156.1)+(0+(0-0))+0-144.8-0</f>
        <v>616.5</v>
      </c>
      <c r="R158" s="3">
        <f>654.2+(236.9-180)+(0+(0-0))+0-94-0</f>
        <v>617.1</v>
      </c>
      <c r="S158" s="3">
        <f>696.7+(272.1-232.4)+(-0.710634+(-0.277542--0.237048))+0-126.2--0.12872400000002</f>
        <v>609.57759600000009</v>
      </c>
      <c r="T158" s="3">
        <f>692.5+(280.9-250.6)+(0+(0-0))+0-127.9-0</f>
        <v>594.9</v>
      </c>
      <c r="U158" s="3">
        <f>688+(280.5-243.8)+(-0.35088+(-0.143055--0.124338))+0-143.9--0.0733889999999854</f>
        <v>580.50379200000009</v>
      </c>
      <c r="V158" s="3">
        <f>669.9+(242.1-193.3)+(0.341649+(0.123471-0.098583))+0-135.2-0.0689519999999863</f>
        <v>583.79758499999991</v>
      </c>
      <c r="W158" s="3">
        <f>666.8+(230.5-169.6)+(-0.340068+(-0.117555--0.086496))+0-142.5--0.0726749999999855</f>
        <v>584.90154799999993</v>
      </c>
      <c r="X158" s="3">
        <f>667.5+(299.6-259.3)+(-0.68085+(-0.305592--0.264486))+0-127.9--0.13045800000002</f>
        <v>579.30850199999998</v>
      </c>
      <c r="Y158" s="3">
        <f>677.5+(221.6-168.9)+(-0.345525+(-0.113016--0.086139))+0-136.9--0.0698189999999861</f>
        <v>592.99741700000004</v>
      </c>
      <c r="Z158" s="3">
        <f>697.6+(236.2-166.2)+(-1.067328+(-0.361386--0.254286))+0-160.4--0.245412000000009</f>
        <v>606.270984</v>
      </c>
      <c r="AA158" s="3">
        <f>706.3+(233-168.4)+(-0.360213+(-0.11883--0.085884))+0-148.6--0.0757859999999849</f>
        <v>621.98262699999998</v>
      </c>
      <c r="AB158" s="3">
        <f>694.7+(249.7-169.1)+(-1.062891+(-0.382041--0.258723))+0-154.3--0.236079000000009</f>
        <v>620.04987000000006</v>
      </c>
      <c r="AC158" s="3">
        <f>693.4+(262.3-226.1)+(-0.353634+(-0.133773--0.115311))+0-141.7--0.0722669999999856</f>
        <v>587.60017100000005</v>
      </c>
      <c r="AD158">
        <f t="shared" si="2"/>
        <v>13790.296555000003</v>
      </c>
      <c r="AE158" s="3">
        <f>705+(241.6-171.4)+(0+(0-0))+0-166-0</f>
        <v>609.20000000000005</v>
      </c>
    </row>
    <row r="159" spans="1:31" s="2" customFormat="1" x14ac:dyDescent="0.25">
      <c r="A159">
        <v>89</v>
      </c>
      <c r="B159">
        <v>6</v>
      </c>
      <c r="C159">
        <v>4</v>
      </c>
      <c r="D159">
        <v>6</v>
      </c>
      <c r="E159">
        <v>1</v>
      </c>
      <c r="F159" s="3">
        <f>689.4+(234.7-207.6)+(-1.406376+(-0.478788--0.423504))+0-145--0.295799999999994</f>
        <v>570.33413999999993</v>
      </c>
      <c r="G159" s="3">
        <f>691.3+(203.3-203.3)+(-2.115378+(-0.622098--0.622098))+0-144.2--0.441252000000017</f>
        <v>545.42587399999991</v>
      </c>
      <c r="H159" s="3">
        <f>697.3+(199.5-208.7)+(-0.711246+(-0.20349--0.212874))+0-151.4--0.154428000000024</f>
        <v>536.15256599999998</v>
      </c>
      <c r="I159" s="3">
        <f>700.2+(190.4-225.9)+(1.428408+(0.388416-0.460836))+0-138.4-0.282335999999994</f>
        <v>527.37365200000011</v>
      </c>
      <c r="J159" s="3">
        <f>703.1+(184.4-231.4)+(0+(0-0))+0-130-0</f>
        <v>526.1</v>
      </c>
      <c r="K159" s="3">
        <f>702.7+(193.4-231.4)+(-1.791885+(-0.49317--0.59007))+0-147.5--0.376124999999979</f>
        <v>515.88114000000007</v>
      </c>
      <c r="L159" s="3">
        <f>709.1+(271.7-337.6)+(-1.808205+(-0.692835--0.86088))+0-122.2--0.311609999999982</f>
        <v>519.67144999999994</v>
      </c>
      <c r="M159" s="3">
        <f>718.1+(276.5-340.8)+(0+(0-0))+0-122.1-0</f>
        <v>531.69999999999993</v>
      </c>
      <c r="N159" s="3">
        <f>707.6+(325.2-345)+(-0.360876+(-0.165852--0.17595))+0-136.7--0.0697169999999861</f>
        <v>550.81893899999989</v>
      </c>
      <c r="O159" s="3">
        <f>702.5+(288.4-278.2)+(-0.358275+(-0.147084--0.141882))+0-139.8--0.0712979999999858</f>
        <v>572.60782099999994</v>
      </c>
      <c r="P159" s="3">
        <f>699.9+(257-239.8)+(-1.070847+(-0.39321--0.366894))+0-123--0.188190000000007</f>
        <v>593.19102699999985</v>
      </c>
      <c r="Q159" s="3">
        <f>694.2+(218.5-197.3)+(0+(0-0))+0-125.7-0</f>
        <v>589.70000000000005</v>
      </c>
      <c r="R159" s="3">
        <f>706.6+(200.6-213.7)+(0.720732+(0.204612-0.217974))+0-114.2-0.116484000000018</f>
        <v>579.89088599999991</v>
      </c>
      <c r="S159" s="3">
        <f>700.8+(224.2-238)+(0.357408+(0.114342-0.12138))+0-128.4-0.065483999999987</f>
        <v>558.88488600000005</v>
      </c>
      <c r="T159" s="3">
        <f>698.4+(259.4-264.3)+(-0.712368+(-0.264588--0.269586))+0-145.4--0.148308000000023</f>
        <v>547.5409380000001</v>
      </c>
      <c r="U159" s="3">
        <f>691.2+(268.3-288.4)+(-1.057536+(-0.410499--0.441252))+0-132.6--0.202878000000008</f>
        <v>537.67609500000015</v>
      </c>
      <c r="V159" s="3">
        <f>687.5+(214.4-220)+(-1.4025+(-0.437376--0.4488))+0-142.4--0.290495999999994</f>
        <v>538.39941999999996</v>
      </c>
      <c r="W159" s="3">
        <f>688.4+(200.2-215.4)+(-1.75542+(-0.51051--0.54927))+0-129.1--0.329204999999981</f>
        <v>542.71254499999986</v>
      </c>
      <c r="X159" s="3">
        <f>667.8+(297.3-293.8)+(-0.681156+(-0.303246--0.299676))+0-114.5--0.116790000000018</f>
        <v>556.23206400000004</v>
      </c>
      <c r="Y159" s="3">
        <f>669.5+(226.8-175.5)+(0.341445+(0.115668-0.089505))+0-147.7-0.075326999999985</f>
        <v>573.39228099999991</v>
      </c>
      <c r="Z159" s="3">
        <f>699.4+(219.1-190)+(-1.070082+(-0.335223--0.2907))+0-139.9--0.214047000000008</f>
        <v>587.69944200000009</v>
      </c>
      <c r="AA159" s="3">
        <f>709.2+(225.4-180.6)+(-1.80846+(-0.57477--0.46053))+0-162.2--0.413609999999976</f>
        <v>590.29091000000005</v>
      </c>
      <c r="AB159" s="3">
        <f>681.2+(220.4-185.4)+(-0.347412+(-0.112404--0.094554))+0-132.7--0.0676769999999865</f>
        <v>583.20241499999997</v>
      </c>
      <c r="AC159" s="3">
        <f>663.9+(221.7-185.1)+(-1.354356+(-0.452268--0.377604))+0-133.1--0.271523999999994</f>
        <v>566.24250399999994</v>
      </c>
      <c r="AD159">
        <f t="shared" si="2"/>
        <v>13341.120994999999</v>
      </c>
      <c r="AE159" s="3">
        <f>699+(215.5-189.6)+(0+(0-0))+0-126.5-0</f>
        <v>598.4</v>
      </c>
    </row>
    <row r="160" spans="1:31" s="2" customFormat="1" x14ac:dyDescent="0.25">
      <c r="A160">
        <v>89</v>
      </c>
      <c r="B160">
        <v>6</v>
      </c>
      <c r="C160">
        <v>5</v>
      </c>
      <c r="D160">
        <v>7</v>
      </c>
      <c r="E160">
        <v>1</v>
      </c>
      <c r="F160" s="3">
        <f>660.8+(219-197.3)+(-0.337008+(-0.11169--0.100623))+0-129.3--0.0659429999999869</f>
        <v>552.91786799999988</v>
      </c>
      <c r="G160" s="3">
        <f>684.8+(210.1-222.8)+(-0.349248+(-0.107151--0.113628))+0-144.9--0.0738989999999853</f>
        <v>526.93112799999994</v>
      </c>
      <c r="H160" s="3">
        <f>684.6+(189-224.3)+(-2.094876+(-0.57834--0.686358))+0-138.9--0.425034000000016</f>
        <v>508.83817600000003</v>
      </c>
      <c r="I160" s="3">
        <f>699.5+(168.6-227.2)+(1.070235+(0.257958-0.347616))+0-142.6-0.218178000000008</f>
        <v>499.06239899999997</v>
      </c>
      <c r="J160" s="3">
        <f>691.6+(170.2-224.5)+(-1.410864+(-0.347208--0.45798))+0-140.6--0.286823999999994</f>
        <v>495.68673199999995</v>
      </c>
      <c r="K160" s="3">
        <f>695.8+(178.9-236.5)+(-0.354858+(-0.091239--0.120615))+0-144.9--0.0738989999999853</f>
        <v>493.04841699999997</v>
      </c>
      <c r="L160" s="3">
        <f>700.6+(157.3-281.4)+(0+(0-0))+0-127.7-0</f>
        <v>448.8</v>
      </c>
      <c r="M160" s="3">
        <f>689.3+(155.2-266.6)+(0+(0-0))+0-126.4-0</f>
        <v>451.49999999999989</v>
      </c>
      <c r="N160" s="3">
        <f>576.3+(226.5-207.9)+(0+(0-0))+0-136.5-0</f>
        <v>458.4</v>
      </c>
      <c r="O160" s="3">
        <f>610.8+(238-237.8)+(-0.623016+(-0.24276--0.242556))+0-139.6--0.142392000000022</f>
        <v>470.91917200000006</v>
      </c>
      <c r="P160" s="3">
        <f>689.9+(181.5-231)+(-0.703698+(-0.18513--0.23562))+0-144--0.146880000000023</f>
        <v>495.89367200000004</v>
      </c>
      <c r="Q160" s="3">
        <f>685.6+(165.6-225.5)+(0+(0-0))+0-120.3-0</f>
        <v>505.40000000000003</v>
      </c>
      <c r="R160" s="3">
        <f>696.4+(171.8-232.5)+(-0.355164+(-0.087618--0.118575))+0-135.9--0.0693089999999862</f>
        <v>499.54510200000004</v>
      </c>
      <c r="S160" s="3">
        <f>687.6+(214-277.9)+(-0.701352+(-0.21828--0.283458))+0-129.9--0.132498000000021</f>
        <v>493.29632400000008</v>
      </c>
      <c r="T160" s="3">
        <f>639.5+(261.7-290.2)+(-0.978435+(-0.400401--0.444006))+0-141.4--0.216342000000008</f>
        <v>468.88151199999999</v>
      </c>
      <c r="U160" s="3">
        <f>683.5+(228.3-279.1)+(-1.39434+(-0.465732--0.569364))+0-115.3--0.235211999999995</f>
        <v>516.34450400000014</v>
      </c>
      <c r="V160" s="3">
        <f>677.4+(172.3-231.9)+(-0.690948+(-0.175746--0.236538))+0-123.4--0.12586800000002</f>
        <v>493.89571199999995</v>
      </c>
      <c r="W160" s="3">
        <f>660.1+(180.8-229.7)+(0.673302+(0.184416-0.234294))+0-111.3-0.113526000000018</f>
        <v>500.409898</v>
      </c>
      <c r="X160" s="3">
        <f>659.5+(284.7-313.3)+(0+(0-0))+0-126.8-0</f>
        <v>504.09999999999997</v>
      </c>
      <c r="Y160" s="3">
        <f>671+(187.5-207.1)+(0+(0-0))+0-128.9-0</f>
        <v>522.5</v>
      </c>
      <c r="Z160" s="3">
        <f>693+(205.3-204.5)+(-0.35343+(-0.104703--0.104295))+0-145.5--0.0742049999999852</f>
        <v>548.02036699999996</v>
      </c>
      <c r="AA160" s="3">
        <f>706.1+(203.2-218.9)+(-0.360111+(-0.103632--0.111639))+0-139.7--0.0712469999999858</f>
        <v>550.41914299999996</v>
      </c>
      <c r="AB160" s="3">
        <f>711.7+(207-223.9)+(-0.725934+(-0.21114--0.228378))+0-149.9--0.152898000000024</f>
        <v>544.34420200000011</v>
      </c>
      <c r="AC160" s="3">
        <f>705.7+(196.9-227.1)+(0+(0-0))+0-131.3-0</f>
        <v>544.20000000000005</v>
      </c>
      <c r="AD160">
        <f t="shared" si="2"/>
        <v>12093.354327999999</v>
      </c>
      <c r="AE160" s="3">
        <f>699+(204.9-218.8)+(0+(0-0))+0-137.9-0</f>
        <v>547.20000000000005</v>
      </c>
    </row>
    <row r="161" spans="1:31" s="2" customFormat="1" x14ac:dyDescent="0.25">
      <c r="A161">
        <v>89</v>
      </c>
      <c r="B161">
        <v>6</v>
      </c>
      <c r="C161">
        <v>6</v>
      </c>
      <c r="D161">
        <v>1</v>
      </c>
      <c r="E161">
        <v>1</v>
      </c>
      <c r="F161" s="3">
        <f>701.4+(200.3-230)+(-0.357714+(-0.102153--0.1173))+0-145.6--0.0742559999999852</f>
        <v>525.83168899999998</v>
      </c>
      <c r="G161" s="3">
        <f>702.2+(196.5-247.1)+(0+(0-0))+0-141-0</f>
        <v>510.6</v>
      </c>
      <c r="H161" s="3">
        <f>708.1+(184.6-255.6)+(-1.444524+(-0.376584--0.521424))+0-142.7--0.291107999999994</f>
        <v>493.39142400000009</v>
      </c>
      <c r="I161" s="3">
        <f>710.5+(207.7-290.5)+(0+(0-0))+0-140.7-0</f>
        <v>487.00000000000006</v>
      </c>
      <c r="J161" s="3">
        <f>711.8+(243.6-332.9)+(-0.726036+(-0.248472--0.339558))+0-141.7--0.144534000000023</f>
        <v>480.30958400000003</v>
      </c>
      <c r="K161" s="3">
        <f>721+(300.2-414)+(-1.83855+(-0.76551--1.0557))+0-123.9--0.315944999999982</f>
        <v>482.06758500000007</v>
      </c>
      <c r="L161" s="3">
        <f>684.1+(362.8-436)+(-2.093346+(-1.110168--1.33416))+0-121.4--0.371484000000014</f>
        <v>488.00213000000008</v>
      </c>
      <c r="M161" s="3">
        <f>599.4+(369.5-329.9)+(0.305694+(0.188445-0.168249))+0-128.4-0.065483999999987</f>
        <v>510.86040600000001</v>
      </c>
      <c r="N161" s="3">
        <f>685.5+(396.4-397.5)+(0+(0-0))+0-137.7-0</f>
        <v>546.70000000000005</v>
      </c>
      <c r="O161" s="3">
        <f>698.5+(357.6-351.3)+(-0.356235+(-0.182376--0.179163))+0-129.1--0.0658409999999869</f>
        <v>575.40639299999987</v>
      </c>
      <c r="P161" s="3">
        <f>686.9+(288.4-255)+(0.700638+(0.294168-0.2601))+0-130.6-0.133212000000021</f>
        <v>590.30149399999982</v>
      </c>
      <c r="Q161" s="3">
        <f>678.8+(225.2-152)+(0.346188+(0.114852-0.07752))+0-147.4-0.075173999999985</f>
        <v>604.90834600000005</v>
      </c>
      <c r="R161" s="3">
        <f>671.3+(226.9-173.4)+(0.342363+(0.115719-0.088434))+0-139.7-0.0712469999999858</f>
        <v>585.39840100000004</v>
      </c>
      <c r="S161" s="3">
        <f>665.9+(305.6-250.1)+(0+(0-0))+0-138.7-0</f>
        <v>582.70000000000005</v>
      </c>
      <c r="T161" s="3">
        <f>664.2+(342.4-297)+(0+(0-0))+0-131.7-0</f>
        <v>577.90000000000009</v>
      </c>
      <c r="U161" s="3">
        <f>664+(333.6-277.6)+(-1.35456+(-0.680544--0.566304))+0-148.6--0.303143999999993</f>
        <v>570.23434399999996</v>
      </c>
      <c r="V161" s="3">
        <f>662+(230.9-176.6)+(-1.6881+(-0.588795--0.45033))+0-144.2--0.367709999999979</f>
        <v>570.64114500000005</v>
      </c>
      <c r="W161" s="3">
        <f>662.7+(235.6-174.6)+(-1.351908+(-0.480624--0.356184))+0-148.6--0.303143999999993</f>
        <v>573.92679599999997</v>
      </c>
      <c r="X161" s="3">
        <f>667.8+(351.3-307.7)+(-1.021734+(-0.537489--0.470781))+0-149.8--0.229194000000009</f>
        <v>560.74075199999993</v>
      </c>
      <c r="Y161" s="3">
        <f>684.2+(229.4-163.4)+(0.348942+(0.116994-0.083334))+0-144.8-0.0738479999999853</f>
        <v>605.708754</v>
      </c>
      <c r="Z161" s="3">
        <f>701.3+(201.4-156.6)+(-1.430652+(-0.410856--0.319464))+0-145.9--0.297635999999994</f>
        <v>598.97559199999989</v>
      </c>
      <c r="AA161" s="3">
        <f>703.1+(204.1-158.5)+(-2.151486+(-0.624546--0.48501))+0-154.5--0.472770000000018</f>
        <v>592.38174800000002</v>
      </c>
      <c r="AB161" s="3">
        <f>704.4+(190.2-172.6)+(-0.718488+(-0.194004--0.176052))+0-138.5--0.141270000000022</f>
        <v>582.90483000000006</v>
      </c>
      <c r="AC161" s="3">
        <f>690.5+(190.4-160)+(-0.70431+(-0.194208--0.1632))+0-145.3--0.148206000000023</f>
        <v>575.01288799999998</v>
      </c>
      <c r="AD161">
        <f t="shared" si="2"/>
        <v>13271.904300999999</v>
      </c>
      <c r="AE161" s="3">
        <f>696+(240.6-155.7)+(0+(0-0))+0-155.6-0</f>
        <v>625.29999999999995</v>
      </c>
    </row>
    <row r="162" spans="1:31" s="2" customFormat="1" x14ac:dyDescent="0.25">
      <c r="A162">
        <v>89</v>
      </c>
      <c r="B162">
        <v>6</v>
      </c>
      <c r="C162">
        <v>7</v>
      </c>
      <c r="D162">
        <v>2</v>
      </c>
      <c r="E162">
        <v>1</v>
      </c>
      <c r="F162" s="3">
        <f>678.7+(183.9-169.8)+(-0.692274+(-0.187578--0.173196))+0-139.1--0.141882000000022</f>
        <v>553.1352260000001</v>
      </c>
      <c r="G162" s="3">
        <f>675.8+(179.5-187.4)+(-1.378632+(-0.36618--0.382296))+0-138.8--0.283151999999994</f>
        <v>528.02063599999997</v>
      </c>
      <c r="H162" s="3">
        <f>676.3+(177.4-195.9)+(-1.724565+(-0.45237--0.499545))+0-137.6--0.35087999999998</f>
        <v>518.87348999999995</v>
      </c>
      <c r="I162" s="3">
        <f>676.1+(182.6-203.2)+(-0.689622+(-0.186252--0.207264))+0-150.6--0.153612000000024</f>
        <v>504.38500200000004</v>
      </c>
      <c r="J162" s="3">
        <f>688.7+(181-230)+(1.404948+(0.36924-0.4692))+0-144.2-0.294167999999994</f>
        <v>496.51082000000002</v>
      </c>
      <c r="K162" s="3">
        <f>683.8+(218.5-264.5)+(-1.046214+(-0.334305--0.404685))+0-143.2--0.219096000000008</f>
        <v>493.84326200000004</v>
      </c>
      <c r="L162" s="3">
        <f>684.2+(264.9-305.6)+(0+(0-0))+0-131.4-0</f>
        <v>512.1</v>
      </c>
      <c r="M162" s="3">
        <f>683.5+(332.4-353)+(0+(0-0))+0-139.9-0</f>
        <v>523</v>
      </c>
      <c r="N162" s="3">
        <f>689+(328.7-317.9)+(0.70278+(0.335274-0.324258))+0-139.5-0.142290000000022</f>
        <v>560.87150599999995</v>
      </c>
      <c r="O162" s="3">
        <f>680.3+(327.6-290)+(-0.346953+(-0.167076--0.1479))+0-140.1--0.0714509999999858</f>
        <v>577.50532199999998</v>
      </c>
      <c r="P162" s="3">
        <f>674+(251.6-204.1)+(0+(0-0))+0-107-0</f>
        <v>614.5</v>
      </c>
      <c r="Q162" s="3">
        <f>671.7+(231.6-152.4)+(0.342567+(0.118116-0.077724))+0-143.5-0.0731849999999854</f>
        <v>607.70977400000015</v>
      </c>
      <c r="R162" s="3">
        <f>678.3+(240.2-175.8)+(-1.037799+(-0.367506--0.268974))+0-137.9--0.210987000000008</f>
        <v>603.87465599999996</v>
      </c>
      <c r="S162" s="3">
        <f>689.1+(248.4-204.5)+(-1.054323+(-0.380052--0.312885))+0-135.2--0.206856000000008</f>
        <v>596.88536599999998</v>
      </c>
      <c r="T162" s="3">
        <f>686.4+(272.5-227.7)+(-1.050192+(-0.416925--0.348381))+0-137.6--0.210528000000008</f>
        <v>592.69179199999996</v>
      </c>
      <c r="U162" s="3">
        <f>684.3+(243.1-203.7)+(-0.697986+(-0.247962--0.207774))+0-142--0.144840000000023</f>
        <v>581.10666600000002</v>
      </c>
      <c r="V162" s="3">
        <f>686.4+(204.7-159.8)+(-2.800512+(-0.835176--0.651984))+0-138.1--0.563447999999988</f>
        <v>590.77974399999994</v>
      </c>
      <c r="W162" s="3">
        <f>666+(244.7-181.9)+(-1.35864+(-0.499188--0.371076))+0-132.2--0.269687999999994</f>
        <v>595.38293599999986</v>
      </c>
      <c r="X162" s="3">
        <f>666+(361.9-302)+(-0.67932+(-0.369138--0.30804))+0-131.1--0.133722000000021</f>
        <v>594.19330400000001</v>
      </c>
      <c r="Y162" s="3">
        <f>683.3+(257.7-204.6)+(0.348483+(0.131427-0.104346))+0-134-0.0683399999999864</f>
        <v>602.707224</v>
      </c>
      <c r="Z162" s="3">
        <f>698.2+(217.6-151.8)+(-1.068246+(-0.332928--0.232254))+0-139.8--0.213894000000008</f>
        <v>623.24497399999996</v>
      </c>
      <c r="AA162" s="3">
        <f>698.4+(224.7-145.3)+(-2.137104+(-0.687582--0.444618))+0-146.6--0.448596000000017</f>
        <v>629.26852799999995</v>
      </c>
      <c r="AB162" s="3">
        <f>687+(224.5-144)+(-1.05111+(-0.343485--0.22032))+0-142.1--0.217413000000008</f>
        <v>624.44313799999998</v>
      </c>
      <c r="AC162" s="3">
        <f>691.4+(213.7-157.7)+(-0.705228+(-0.217974--0.160854))+0-143.7--0.146574000000023</f>
        <v>603.08422600000006</v>
      </c>
      <c r="AD162">
        <f t="shared" si="2"/>
        <v>13728.117592000001</v>
      </c>
      <c r="AE162" s="3">
        <f>697+(225.5-154.7)+(0+(0-0))+0-156.2-0</f>
        <v>611.59999999999991</v>
      </c>
    </row>
    <row r="163" spans="1:31" s="2" customFormat="1" x14ac:dyDescent="0.25">
      <c r="A163">
        <v>89</v>
      </c>
      <c r="B163">
        <v>6</v>
      </c>
      <c r="C163">
        <v>8</v>
      </c>
      <c r="D163">
        <v>3</v>
      </c>
      <c r="E163">
        <v>1</v>
      </c>
      <c r="F163" s="3">
        <f>684.8+(208.6-177.9)+(-0.698496+(-0.212772--0.181458))+0-140.9--0.143718000000022</f>
        <v>574.01390800000001</v>
      </c>
      <c r="G163" s="3">
        <f>680.9+(213.3-177)+(-0.347259+(-0.108783--0.09027))+0-147.3--0.0751229999999851</f>
        <v>569.60935099999995</v>
      </c>
      <c r="H163" s="3">
        <f>686.5+(204.2-198.7)+(0+(0-0))+0-142-0</f>
        <v>550</v>
      </c>
      <c r="I163" s="3">
        <f>686.3+(247.2-242.2)+(-0.700026+(-0.252144--0.247044))+0-152.5--0.155550000000024</f>
        <v>538.25042400000007</v>
      </c>
      <c r="J163" s="3">
        <f>693.2+(240.4-268.7)+(0.353532+(0.122604-0.137037))+0-139.7-0.0712469999999858</f>
        <v>525.46785200000011</v>
      </c>
      <c r="K163" s="3">
        <f>690.6+(256.4-281.8)+(-1.408824+(-0.523056--0.574872))+0-140.6--0.286823999999994</f>
        <v>523.5298160000001</v>
      </c>
      <c r="L163" s="3">
        <f>686.2+(285.8-340.5)+(-2.099772+(-0.874548--1.04193))+0-125.1--0.382806000000014</f>
        <v>504.85041599999994</v>
      </c>
      <c r="M163" s="3">
        <f>690.9+(239.8-306)+(0.704718+(0.244596-0.31212))+0-108.9-0.111078000000017</f>
        <v>516.32611600000007</v>
      </c>
      <c r="N163" s="3">
        <f>678.3+(227.3-279.2)+(0.345933+(0.115923-0.142392))+0-92.9-0.0473789999999906</f>
        <v>533.77208500000006</v>
      </c>
      <c r="O163" s="3">
        <f>687.9+(209.4-227.3)+(0+(0-0))+0-94-0</f>
        <v>576</v>
      </c>
      <c r="P163" s="3">
        <f>682.2+(300.9-275.9)+(1.391688+(0.613836-0.562836))+0-105.9-0.216035999999995</f>
        <v>602.52665200000001</v>
      </c>
      <c r="Q163" s="3">
        <f>674+(230.4-190.9)+(0.68748+(0.235008-0.194718))+0-102.9-0.104958000000016</f>
        <v>611.22281199999998</v>
      </c>
      <c r="R163" s="3">
        <f>686.9+(203.7-144.2)+(-0.350319+(-0.103887--0.073542))+0-138.7--0.0707369999999859</f>
        <v>607.39007300000003</v>
      </c>
      <c r="S163" s="3">
        <f>687.4+(198-150.8)+(0+(0-0))+0-152.6-0</f>
        <v>581.99999999999989</v>
      </c>
      <c r="T163" s="3">
        <f>681.1+(211.6-175)+(0.347361+(0.107916-0.08925))+0-136.9-0.0698189999999861</f>
        <v>581.09620800000016</v>
      </c>
      <c r="U163" s="3">
        <f>658.7+(218.2-173.2)+(0.335937+(0.111282-0.088332))+0-148.2-0.075581999999985</f>
        <v>555.78330500000015</v>
      </c>
      <c r="V163" s="3">
        <f>651.7+(204.6-139.7)+(-0.997101+(-0.313038--0.213741))+0-146.9--0.224757000000009</f>
        <v>568.82835899999998</v>
      </c>
      <c r="W163" s="3">
        <f>652.4+(257.1-198.9)+(-0.998172+(-0.393363--0.304317))+0-150.4--0.230112000000009</f>
        <v>559.342894</v>
      </c>
      <c r="X163" s="3">
        <f>644.4+(410.5-340.9)+(-0.328644+(-0.209355--0.173859))+0-153.9--0.0784889999999844</f>
        <v>559.81434899999999</v>
      </c>
      <c r="Y163" s="3">
        <f>649.5+(265.2-185.4)+(0.331245+(0.135252-0.094554))+0-153.1-0.0780809999999845</f>
        <v>576.49386199999992</v>
      </c>
      <c r="Z163" s="3">
        <f>698.6+(216.2-147.1)+(-0.356286+(-0.110262--0.075021))+0-161--0.0821099999999837</f>
        <v>606.39058299999999</v>
      </c>
      <c r="AA163" s="3">
        <f>704.2+(214.9-156.5)+(0+(0-0))+0-154.9-0</f>
        <v>607.70000000000005</v>
      </c>
      <c r="AB163" s="3">
        <f>705.5+(218.5-155.3)+(-0.71961+(-0.22287--0.158406))+0-160.2--0.163404000000026</f>
        <v>607.8793300000001</v>
      </c>
      <c r="AC163" s="3">
        <f>662.2+(237.6-146.7)+(0+(0-0))+0-149.7-0</f>
        <v>603.40000000000009</v>
      </c>
      <c r="AD163">
        <f t="shared" si="2"/>
        <v>13641.688395000001</v>
      </c>
      <c r="AE163" s="3">
        <f>697+(220.2-158.8)+(0+(0-0))+0-177.8-0</f>
        <v>580.59999999999991</v>
      </c>
    </row>
    <row r="164" spans="1:31" s="2" customFormat="1" x14ac:dyDescent="0.25">
      <c r="A164">
        <v>89</v>
      </c>
      <c r="B164">
        <v>6</v>
      </c>
      <c r="C164">
        <v>9</v>
      </c>
      <c r="D164">
        <v>4</v>
      </c>
      <c r="E164">
        <v>1</v>
      </c>
      <c r="F164" s="3">
        <f>668.6+(226.6-163.8)+(-1.70493+(-0.57783--0.41769))+0-154--0.392699999999978</f>
        <v>575.92763000000002</v>
      </c>
      <c r="G164" s="3">
        <f>701.8+(209.8-199.4)+(-1.431672+(-0.427992--0.406776))+0-155.8--0.317831999999993</f>
        <v>555.26494399999979</v>
      </c>
      <c r="H164" s="3">
        <f>704.8+(242.9-255.9)+(-1.078344+(-0.371637--0.391527))+0-148.9--0.227817000000009</f>
        <v>542.06936299999995</v>
      </c>
      <c r="I164" s="3">
        <f>712.9+(251.9-286.4)+(-1.817895+(-0.642345--0.73032))+0-147--0.374849999999979</f>
        <v>530.04492999999991</v>
      </c>
      <c r="J164" s="3">
        <f>715.1+(250.9-294.4)+(0+(0-0))+0-142.7-0</f>
        <v>528.90000000000009</v>
      </c>
      <c r="K164" s="3">
        <f>715.7+(304-348.9)+(-1.825035+(-0.7752--0.889695))+0-144.4--0.368219999999979</f>
        <v>525.05768</v>
      </c>
      <c r="L164" s="3">
        <f>682.6+(295.4-317.6)+(-1.392504+(-0.602616--0.647904))+0-151.4--0.308855999999993</f>
        <v>507.96163999999999</v>
      </c>
      <c r="M164" s="3">
        <f>595.5+(367.6-294.3)+(0+(0-0))+0-142.6-0</f>
        <v>526.19999999999993</v>
      </c>
      <c r="N164" s="3">
        <f>569.5+(444-317)+(0.290445+(0.22644-0.16167))+0-143.5-0.0731849999999854</f>
        <v>553.28203000000008</v>
      </c>
      <c r="O164" s="3">
        <f>671.5+(406.7-378.5)+(0+(0-0))+0-146.7-0</f>
        <v>553</v>
      </c>
      <c r="P164" s="3">
        <f>668.5+(332.6-260.2)+(0.340935+(0.169626-0.132702))+0-153.5-0.0782849999999844</f>
        <v>587.6995740000001</v>
      </c>
      <c r="Q164" s="3">
        <f>660+(225-141.8)+(1.0098+(0.34425-0.216954))+0-143.6-0.219708000000008</f>
        <v>600.5173880000001</v>
      </c>
      <c r="R164" s="3">
        <f>671.7+(225.6-167.1)+(0.342567+(0.115056-0.085221))+0-144.3-0.0735929999999854</f>
        <v>586.1988090000001</v>
      </c>
      <c r="S164" s="3">
        <f>684.9+(270.6-236)+(0+(0-0))+0-144.3-0</f>
        <v>575.20000000000005</v>
      </c>
      <c r="T164" s="3">
        <f>685.8+(259.3-232)+(0.349758+(0.132243-0.11832))+0-149.3-0.0761429999999849</f>
        <v>564.087538</v>
      </c>
      <c r="U164" s="3">
        <f>683.3+(223.6-219)+(-1.742415+(-0.57018--0.55845))+0-148.1--0.377654999999978</f>
        <v>538.42350999999996</v>
      </c>
      <c r="V164" s="3">
        <f>681.3+(158.6-161.3)+(-0.694926+(-0.161772--0.164526))+0-126.6--0.12913200000002</f>
        <v>551.43695999999989</v>
      </c>
      <c r="W164" s="3">
        <f>665.6+(224-202.4)+(-0.678912+(-0.22848--0.206448))+0-144.9--0.147798000000023</f>
        <v>541.74685399999998</v>
      </c>
      <c r="X164" s="3">
        <f>661.8+(369.6-338.3)+(-0.675036+(-0.376992--0.345066))+0-145.2--0.148104000000023</f>
        <v>547.34114199999988</v>
      </c>
      <c r="Y164" s="3">
        <f>663.9+(224.5-183.7)+(-0.677178+(-0.22899--0.187374))+0-151.7--0.154734000000024</f>
        <v>552.43594000000019</v>
      </c>
      <c r="Z164" s="3">
        <f>688.3+(190.1-161.6)+(0+(0-0))+0-144.2-0</f>
        <v>572.59999999999991</v>
      </c>
      <c r="AA164" s="3">
        <f>695.5+(174.6-183.4)+(-1.41882+(-0.356184--0.374136))+0-139.4--0.284375999999994</f>
        <v>546.18350800000007</v>
      </c>
      <c r="AB164" s="3">
        <f>674.9+(178.6-195)+(0+(0-0))+0-157.3-0</f>
        <v>501.2</v>
      </c>
      <c r="AC164" s="3">
        <f>673.9+(166.6-219.5)+(-1.718445+(-0.42483--0.559725))+0-140.2--0.35750999999998</f>
        <v>479.57396000000006</v>
      </c>
      <c r="AD164">
        <f t="shared" si="2"/>
        <v>13142.3534</v>
      </c>
      <c r="AE164" s="3">
        <f>691+(188.2-152.7)+(0+(0-0))+0-155.2-0</f>
        <v>571.29999999999995</v>
      </c>
    </row>
    <row r="165" spans="1:31" s="2" customFormat="1" x14ac:dyDescent="0.25">
      <c r="A165">
        <v>89</v>
      </c>
      <c r="B165">
        <v>6</v>
      </c>
      <c r="C165">
        <v>10</v>
      </c>
      <c r="D165">
        <v>5</v>
      </c>
      <c r="E165">
        <v>5</v>
      </c>
      <c r="F165" s="3">
        <f>674+(157.8-228.8)+(-1.03122+(-0.241434--0.350064))+0-154.9--0.236997000000009</f>
        <v>447.41440700000004</v>
      </c>
      <c r="G165" s="3">
        <f>689.2+(136.6-242.4)+(-1.054476+(-0.208998--0.370872))+0-138.8--0.212364000000008</f>
        <v>443.91976200000011</v>
      </c>
      <c r="H165" s="3">
        <f>698.3+(156.5-258)+(-0.356133+(-0.079815--0.13158))+0-158.7--0.0809369999999839</f>
        <v>437.87656900000002</v>
      </c>
      <c r="I165" s="3">
        <f>700.8+(181.4-308.2)+(-0.714816+(-0.185028--0.314364))+0-137.8--0.140556000000022</f>
        <v>435.75507600000003</v>
      </c>
      <c r="J165" s="3">
        <f>702.4+(190.5-304.8)+(-1.432896+(-0.38862--0.621792))+0-155.4--0.317015999999993</f>
        <v>431.81729199999995</v>
      </c>
      <c r="K165" s="3">
        <f>704.3+(178-330.4)+(-1.795965+(-0.4539--0.84252))+0-139.5--0.35572499999998</f>
        <v>411.34838000000002</v>
      </c>
      <c r="L165" s="3">
        <f>708.9+(133.4-328.2)+(-1.807695+(-0.34017--0.83691))+0-145.7--0.371534999999979</f>
        <v>367.46057999999999</v>
      </c>
      <c r="M165" s="3">
        <f>601.2+(145.6-262.1)+(0+(0-0))+0-130.4-0</f>
        <v>354.30000000000007</v>
      </c>
      <c r="N165" s="3">
        <f>575.8+(143.3-223.3)+(-0.587316+(-0.146166--0.227766))+0-142.2--0.145044000000023</f>
        <v>353.239328</v>
      </c>
      <c r="O165" s="3">
        <f>573.6+(138.4-209.8)+(-0.585072+(-0.141168--0.213996))+0-138.4--0.141168000000022</f>
        <v>363.42892400000011</v>
      </c>
      <c r="P165" s="3">
        <f>612.7+(129.3-217.4)+(-0.312477+(-0.065943--0.110874))+0-148.4--0.0756839999999849</f>
        <v>376.00813799999997</v>
      </c>
      <c r="Q165" s="3">
        <f>675.7+(133.7-269.4)+(0.689214+(0.136374-0.274788))+0-141-0.143820000000022</f>
        <v>399.40697999999998</v>
      </c>
      <c r="R165" s="3">
        <f>659.5+(124.2-235.4)+(-0.336345+(-0.063342--0.120054))+0-151.7--0.0773669999999846</f>
        <v>396.39773399999996</v>
      </c>
      <c r="S165" s="3">
        <f>656+(159.6-269.9)+(-0.33456+(-0.081396--0.137649))+0-144.8--0.0738479999999853</f>
        <v>400.69554099999999</v>
      </c>
      <c r="T165" s="3">
        <f>649.6+(201.1-295.7)+(0+(0-0))+0-138.9-0</f>
        <v>416.1</v>
      </c>
      <c r="U165" s="3">
        <f>649+(158.4-256.4)+(-1.32396+(-0.323136--0.523056))+0-132.4--0.270095999999994</f>
        <v>417.74605599999995</v>
      </c>
      <c r="V165" s="3">
        <f>649.6+(142.4-218.1)+(-0.331296+(-0.072624--0.111231))+0-138.8--0.0707879999999859</f>
        <v>434.87809900000008</v>
      </c>
      <c r="W165" s="3">
        <f>649.3+(150.5-201.6)+(-0.662286+(-0.15351--0.205632))+0-151.8--0.154836000000024</f>
        <v>445.94467199999991</v>
      </c>
      <c r="X165" s="3">
        <f>634.2+(224.7-262.5)+(-0.646884+(-0.229194--0.26775))+0-137.4--0.140148000000022</f>
        <v>458.5318200000001</v>
      </c>
      <c r="Y165" s="3">
        <f>672.4+(155.3-176.2)+(0+(0-0))+0-158.7-0</f>
        <v>492.8</v>
      </c>
      <c r="Z165" s="3">
        <f>702.8+(172.2-203.1)+(-0.358428+(-0.087822--0.103581))+0-156.2--0.0796619999999841</f>
        <v>515.43699299999992</v>
      </c>
      <c r="AA165" s="3">
        <f>711.4+(156.1-183)+(-1.088442+(-0.238833--0.27999))+0-151.4--0.231642000000009</f>
        <v>532.284357</v>
      </c>
      <c r="AB165" s="3">
        <f>715.9+(155.8-183.5)+(0.365109+(0.079458-0.093585))+0-156.5-0.0798149999999841</f>
        <v>531.97116700000015</v>
      </c>
      <c r="AC165" s="3">
        <f>705.7+(161.3-187)+(-0.359907+(-0.082263--0.09537))+0-151--0.0770099999999847</f>
        <v>528.73020999999994</v>
      </c>
      <c r="AD165">
        <f t="shared" si="2"/>
        <v>10393.492085</v>
      </c>
      <c r="AE165" s="3">
        <f>701+(162.2-173.5)+(0+(0-0))+0-153.8-0</f>
        <v>535.90000000000009</v>
      </c>
    </row>
    <row r="166" spans="1:31" s="2" customFormat="1" x14ac:dyDescent="0.25">
      <c r="A166">
        <v>89</v>
      </c>
      <c r="B166">
        <v>6</v>
      </c>
      <c r="C166">
        <v>11</v>
      </c>
      <c r="D166">
        <v>6</v>
      </c>
      <c r="E166">
        <v>6</v>
      </c>
      <c r="F166" s="3">
        <f>703.1+(137.5-199.3)+(0+(0-0))+0-153.1-0</f>
        <v>488.19999999999993</v>
      </c>
      <c r="G166" s="3">
        <f>706.8+(120.9-222.4)+(-0.360468+(-0.061659--0.113424))+0-139.4--0.0710939999999859</f>
        <v>465.6623909999999</v>
      </c>
      <c r="H166" s="3">
        <f>702.6+(120.1-236.2)+(0.358326+(0.061251-0.120462))+0-126-0.0642599999999872</f>
        <v>460.73485500000004</v>
      </c>
      <c r="I166" s="3">
        <f>658+(134.5-209.6)+(0+(0-0))+0-132.1-0</f>
        <v>450.79999999999995</v>
      </c>
      <c r="J166" s="3">
        <f>659.9+(138.6-207.3)+(0+(0-0))+0-149.2-0</f>
        <v>441.99999999999994</v>
      </c>
      <c r="K166" s="3">
        <f>643.1+(169.5-211.2)+(0+(0-0))+0-147.8-0</f>
        <v>453.60000000000008</v>
      </c>
      <c r="L166" s="3">
        <f>583.1+(208.3-186.7)+(-1.189524+(-0.424932--0.380868))+0-143.1--0.291923999999994</f>
        <v>460.65833599999996</v>
      </c>
      <c r="M166" s="3">
        <f>629.7+(246.1-273.7)+(0.321147+(0.125511-0.139587))+0-131.1-0.0668609999999867</f>
        <v>471.24020999999999</v>
      </c>
      <c r="N166" s="3">
        <f>664.9+(287.6-291)+(-0.339099+(-0.146676--0.14841))+0-149.1--0.0760409999999849</f>
        <v>512.13867600000003</v>
      </c>
      <c r="O166" s="3">
        <f>659.8+(236.1-218.5)+(0.672996+(0.240822-0.22287))+0-148.3-0.151266000000024</f>
        <v>529.63968199999999</v>
      </c>
      <c r="P166" s="3">
        <f>649.2+(200.3-145.2)+(0.662184+(0.204306-0.148104))+0-148.1-0.151062000000024</f>
        <v>556.76732400000003</v>
      </c>
      <c r="Q166" s="3">
        <f>638.3+(200.5-128.9)+(0.325533+(0.102255-0.065739))+0-145.4-0.0741539999999853</f>
        <v>564.78789499999993</v>
      </c>
      <c r="R166" s="3">
        <f>641.5+(263.4-199.3)+(0.327165+(0.134334-0.101643))+0-156.8-0.0799679999999841</f>
        <v>549.07988799999998</v>
      </c>
      <c r="S166" s="3">
        <f>677.4+(319.8-307.4)+(-0.345474+(-0.163098--0.156774))+0-137.4--0.0700739999999861</f>
        <v>552.11827599999992</v>
      </c>
      <c r="T166" s="3">
        <f>679.4+(372.7-377.1)+(0.346494+(0.190077-0.192321))+0-138.5-0.0706349999999859</f>
        <v>536.77361499999995</v>
      </c>
      <c r="U166" s="3">
        <f>678.5+(396.7-397.5)+(-0.346035+(-0.202317--0.202725))+0-141.6--0.0722159999999856</f>
        <v>535.82658900000001</v>
      </c>
      <c r="V166" s="3">
        <f>675.4+(349.1-343.6)+(-1.033362+(-0.534123--0.525708))+0-142.8--0.218484000000008</f>
        <v>537.27670699999999</v>
      </c>
      <c r="W166" s="3">
        <f>637.7+(200.2-152.9)+(0+(0-0))+0-153.8-0</f>
        <v>531.20000000000005</v>
      </c>
      <c r="X166" s="3">
        <f>642.3+(199.4-180.9)+(0.327573+(0.101694-0.092259))+0-132.1-0.0673709999999866</f>
        <v>528.96963699999992</v>
      </c>
      <c r="Y166" s="3">
        <f>671.5+(188-151.7)+(0.68493+(0.19176-0.154734))+0-146.3-0.149226000000023</f>
        <v>562.07272999999986</v>
      </c>
      <c r="Z166" s="3">
        <f>699.3+(171-160.6)+(-0.356643+(-0.08721--0.081906))+0-140.8--0.0718079999999857</f>
        <v>568.60986100000002</v>
      </c>
      <c r="AA166" s="3">
        <f>705+(179.2-148.7)+(0.35955+(0.091392-0.075837))+0-153.6-0.0783359999999844</f>
        <v>582.1967689999999</v>
      </c>
      <c r="AB166" s="3">
        <f>712.4+(166.6-173.3)+(-0.726648+(-0.169932--0.176766))+0-148.2--0.151164000000024</f>
        <v>556.93134999999995</v>
      </c>
      <c r="AC166" s="3">
        <f>704.6+(167.4-199.5)+(0.718692+(0.170748-0.20349))+0-134.1-0.136782000000021</f>
        <v>538.94916799999999</v>
      </c>
      <c r="AD166">
        <f t="shared" si="2"/>
        <v>12436.233959000003</v>
      </c>
      <c r="AE166" s="3">
        <f>693+(186.8-150.6)+(0+(0-0))+0-162.1-0</f>
        <v>567.1</v>
      </c>
    </row>
    <row r="167" spans="1:31" s="2" customFormat="1" x14ac:dyDescent="0.25">
      <c r="A167">
        <v>89</v>
      </c>
      <c r="B167">
        <v>6</v>
      </c>
      <c r="C167">
        <v>12</v>
      </c>
      <c r="D167">
        <v>7</v>
      </c>
      <c r="E167">
        <v>1</v>
      </c>
      <c r="F167" s="3">
        <f>685.6+(170.4-191.2)+(0+(0-0))+0-139.2-0</f>
        <v>525.60000000000014</v>
      </c>
      <c r="G167" s="3">
        <f>687.2+(179.9-203.4)+(0.350472+(0.091749-0.103734))+0-155.5-0.0793049999999842</f>
        <v>508.45918200000006</v>
      </c>
      <c r="H167" s="3">
        <f>696.1+(174.3-226.5)+(0+(0-0))+0-140.4-0</f>
        <v>503.50000000000011</v>
      </c>
      <c r="I167" s="3">
        <f>696.8+(192.7-252.5)+(1.77684+(0.491385-0.643875))+0-146.5-0.373574999999979</f>
        <v>491.75077500000009</v>
      </c>
      <c r="J167" s="3">
        <f>688.6+(208.8-261.1)+(-0.702372+(-0.212976--0.266322))+0-139.4--0.142188000000022</f>
        <v>496.39316199999996</v>
      </c>
      <c r="K167" s="3">
        <f>485.9+(302.9-202.2)+(-1.239045+(-0.772395--0.51561))+0-121.3--0.309314999999982</f>
        <v>464.11348499999991</v>
      </c>
      <c r="L167" s="3">
        <f>479.9+(288.3-210.5)+(-1.223745+(-0.735165--0.536775))+0-122.7--0.312884999999982</f>
        <v>433.89075000000003</v>
      </c>
      <c r="M167" s="3">
        <f>481.9+(265.4-192.7)+(-0.983076+(-0.541416--0.393108))+0-123.1--0.251123999999995</f>
        <v>430.61973999999987</v>
      </c>
      <c r="N167" s="3">
        <f>479.7+(254.4-165.3)+(0.244647+(0.129744-0.084303))+0-134.3-0.0684929999999864</f>
        <v>434.72159499999992</v>
      </c>
      <c r="O167" s="3">
        <f>528.2+(259.9-197.2)+(0+(0-0))+0-144.5-0</f>
        <v>446.40000000000009</v>
      </c>
      <c r="P167" s="3">
        <f>515.4+(243.4-163.6)+(-0.262854+(-0.124134--0.083436))+0-136--0.0693599999999862</f>
        <v>458.96580800000004</v>
      </c>
      <c r="Q167" s="3">
        <f>547.6+(220.5-153.4)+(-0.279276+(-0.112455--0.078234))+0-121.8--0.0621179999999876</f>
        <v>492.64862100000005</v>
      </c>
      <c r="R167" s="3">
        <f>576.6+(181.2-154.7)+(-0.294066+(-0.092412--0.078897))+0-121.3--0.0618629999999877</f>
        <v>481.55428199999994</v>
      </c>
      <c r="S167" s="3">
        <f>576.6+(186.4-148.3)+(-0.588132+(-0.190128--0.151266))+0-129.5--0.132090000000021</f>
        <v>484.70509600000008</v>
      </c>
      <c r="T167" s="3">
        <f>496.9+(264.7-158.2)+(0+(0-0))+0-120.3-0</f>
        <v>483.09999999999997</v>
      </c>
      <c r="U167" s="3">
        <f>483.7+(289.7-152.4)+(-0.740061+(-0.443241--0.233172))+0-130.5--0.199665000000008</f>
        <v>489.74953500000004</v>
      </c>
      <c r="V167" s="3">
        <f>464.8+(267.4-115.1)+(-0.237048+(-0.136374--0.058701))+0-127.7--0.065126999999987</f>
        <v>489.15040600000003</v>
      </c>
      <c r="W167" s="3">
        <f>462.2+(275.4-108.7)+(-0.707166+(-0.421362--0.166311))+0-135.8--0.207774000000008</f>
        <v>492.34555699999999</v>
      </c>
      <c r="X167" s="3">
        <f>523.9+(322.6-216.8)+(-1.335945+(-0.82263--0.55284))+0-132.3--0.337364999999981</f>
        <v>496.13163000000003</v>
      </c>
      <c r="Y167" s="3">
        <f>621.6+(202-151.8)+(0+(0-0))+0-142-0</f>
        <v>529.79999999999995</v>
      </c>
      <c r="Z167" s="3">
        <f>691.2+(183.1-161.6)+(-0.705024+(-0.186762--0.164832))+0-154.9--0.157998000000025</f>
        <v>557.23104400000011</v>
      </c>
      <c r="AA167" s="3">
        <f>704.6+(182.9-172.9)+(-1.437384+(-0.373116--0.352716))+0-155.5--0.317219999999993</f>
        <v>557.9594360000001</v>
      </c>
      <c r="AB167" s="3">
        <f>717.7+(179.2-184.6)+(-0.366027+(-0.091392--0.094146))+0-150.1--0.0765509999999848</f>
        <v>561.91327799999999</v>
      </c>
      <c r="AC167" s="3">
        <f>710.8+(175.7-197.9)+(-0.362508+(-0.089607--0.100929))+0-141.6--0.0722159999999856</f>
        <v>546.72102999999993</v>
      </c>
      <c r="AD167">
        <f t="shared" si="2"/>
        <v>11857.424412</v>
      </c>
      <c r="AE167" s="3">
        <f>698+(189.3-153.2)+(0+(0-0))+0-182.5-0</f>
        <v>551.6</v>
      </c>
    </row>
    <row r="168" spans="1:31" s="2" customFormat="1" x14ac:dyDescent="0.25">
      <c r="A168">
        <v>89</v>
      </c>
      <c r="B168">
        <v>6</v>
      </c>
      <c r="C168">
        <v>13</v>
      </c>
      <c r="D168">
        <v>1</v>
      </c>
      <c r="E168">
        <v>1</v>
      </c>
      <c r="F168" s="3">
        <f>700.2+(179-202)+(-1.071306+(-0.27387--0.30906))+0-145.8--0.223074000000008</f>
        <v>530.5869580000001</v>
      </c>
      <c r="G168" s="3">
        <f>707.7+(173.9-219.8)+(-1.082781+(-0.266067--0.336294))+0-159.4--0.243882000000009</f>
        <v>501.63132800000005</v>
      </c>
      <c r="H168" s="3">
        <f>717.8+(160.1-236.7)+(-0.732156+(-0.163302--0.241434))+0-143.4--0.146268000000023</f>
        <v>497.29224399999993</v>
      </c>
      <c r="I168" s="3">
        <f>723.6+(170.5-270.2)+(0.369036+(0.086955-0.137802))+0-142.7-0.0727769999999855</f>
        <v>481.44541200000009</v>
      </c>
      <c r="J168" s="3">
        <f>722.1+(149.9-255)+(0.368271+(0.076449-0.13005))+0-143.4-0.0731339999999855</f>
        <v>473.84153600000002</v>
      </c>
      <c r="K168" s="3">
        <f>705.8+(156.5-245)+(-1.79979+(-0.399075--0.62475))+0-145--0.369749999999979</f>
        <v>471.0956349999999</v>
      </c>
      <c r="L168" s="3">
        <f>695.1+(143.1-255.8)+(-2.481507+(-0.510867--0.913206))+0-136--0.485520000000002</f>
        <v>444.806352</v>
      </c>
      <c r="M168" s="3">
        <f>702.4+(146.5-249)+(0+(0-0))+0-124.7-0</f>
        <v>475.2</v>
      </c>
      <c r="N168" s="3">
        <f>699.6+(162.5-211.5)+(0+(0-0))+0-145.7-0</f>
        <v>504.90000000000003</v>
      </c>
      <c r="O168" s="3">
        <f>696.3+(172.9-197.6)+(0.355113+(0.088179-0.100776))+0-142-0.0724199999999856</f>
        <v>529.87009599999999</v>
      </c>
      <c r="P168" s="3">
        <f>693+(243.8-236.9)+(1.06029+(0.373014-0.362457))+0-149.7-0.229041000000009</f>
        <v>551.04180599999995</v>
      </c>
      <c r="Q168" s="3">
        <f>690.9+(353.1-334.9)+(1.409436+(0.720324-0.683196))+0-141.4-0.288455999999994</f>
        <v>568.85810800000002</v>
      </c>
      <c r="R168" s="3">
        <f>705.4+(497.4-463.2)+(0+(0-0))+0-157.9-0</f>
        <v>581.69999999999993</v>
      </c>
      <c r="S168" s="3">
        <f>705.6+(531.9-515.2)+(-1.079568+(-0.813807--0.788256))+0-146.6--0.224298000000008</f>
        <v>574.81917899999996</v>
      </c>
      <c r="T168" s="3">
        <f>705.1+(527.9-519.5)+(0+(0-0))+0-145.7-0</f>
        <v>567.79999999999995</v>
      </c>
      <c r="U168" s="3">
        <f>705.2+(488.2-503.4)+(0+(0-0))+0-131.8-0</f>
        <v>558.20000000000005</v>
      </c>
      <c r="V168" s="3">
        <f>709.1+(467.3-494.9)+(-0.723282+(-0.476646--0.504798))+0-126.9--0.12943800000002</f>
        <v>554.03430800000012</v>
      </c>
      <c r="W168" s="3">
        <f>696.7+(354.7-344.2)+(-1.065951+(-0.542691--0.526626))+0-132.2--0.202266000000008</f>
        <v>574.12025000000017</v>
      </c>
      <c r="X168" s="3">
        <f>694.2+(192.2-179.5)+(-2.124252+(-0.588132--0.54927))+0-136.6--0.417996000000016</f>
        <v>568.55488200000013</v>
      </c>
      <c r="Y168" s="3">
        <f>708.5+(258.2-240)+(-1.44534+(-0.526728--0.4896))+0-145.1--0.296003999999994</f>
        <v>580.41353600000002</v>
      </c>
      <c r="Z168" s="3">
        <f>729.8+(333.1-309.9)+(-1.488792+(-0.679524--0.632196))+0-146.9--0.299675999999994</f>
        <v>604.86355600000002</v>
      </c>
      <c r="AA168" s="3">
        <f>730.4+(323.3-313.4)+(-1.117512+(-0.494649--0.479502))+0-134.9--0.206397000000008</f>
        <v>604.47373800000003</v>
      </c>
      <c r="AB168" s="3">
        <f>725.2+(288-283.9)+(-0.739704+(-0.29376--0.289578))+0-140.6--0.143412000000022</f>
        <v>588.09952600000008</v>
      </c>
      <c r="AC168" s="3">
        <f>711.8+(304.5-281.3)+(-1.089054+(-0.465885--0.430389))+0-143.6--0.219708000000008</f>
        <v>590.49515799999995</v>
      </c>
      <c r="AD168">
        <f t="shared" si="2"/>
        <v>12978.143608000002</v>
      </c>
      <c r="AE168" s="3">
        <f>730+(365.3-335.8)+(0+(0-0))+0-149.8-0</f>
        <v>609.70000000000005</v>
      </c>
    </row>
    <row r="169" spans="1:31" s="2" customFormat="1" x14ac:dyDescent="0.25">
      <c r="A169">
        <v>89</v>
      </c>
      <c r="B169">
        <v>6</v>
      </c>
      <c r="C169">
        <v>14</v>
      </c>
      <c r="D169">
        <v>2</v>
      </c>
      <c r="E169">
        <v>1</v>
      </c>
      <c r="F169" s="3">
        <f>596+(336.1-249.3)+(-0.30396+(-0.171411--0.127143))+0-135.3--0.0690029999999863</f>
        <v>547.22077499999989</v>
      </c>
      <c r="G169" s="3">
        <f>595.9+(249.8-179)+(-0.911727+(-0.382194--0.27387))+0-140.7--0.215271000000008</f>
        <v>525.19522000000006</v>
      </c>
      <c r="H169" s="3">
        <f>601+(213.7-169.2)+(0+(0-0))+0-135.2-0</f>
        <v>510.3</v>
      </c>
      <c r="I169" s="3">
        <f>599+(209-173.2)+(0+(0-0))+0-135-0</f>
        <v>499.79999999999995</v>
      </c>
      <c r="J169" s="3">
        <f>595.4+(207.9-179.9)+(1.214616+(0.424116-0.366996))+0-128.7-0.262547999999994</f>
        <v>495.70918800000004</v>
      </c>
      <c r="K169" s="3">
        <f>584.5+(225.5-176.1)+(-0.59619+(-0.23001--0.179622))+0-129.7--0.132294000000021</f>
        <v>503.68571600000001</v>
      </c>
      <c r="L169" s="3">
        <f>559.3+(268.8-215.3)+(-1.140972+(-0.548352--0.439212))+0-123.4--0.251735999999995</f>
        <v>488.40162400000003</v>
      </c>
      <c r="M169" s="3">
        <f>562.5+(274.2-208.7)+(0.860625+(0.419526-0.319311))+0-127.6-0.195228000000007</f>
        <v>501.16561199999995</v>
      </c>
      <c r="N169" s="3">
        <f>587.4+(331.9-259)+(-0.299574+(-0.169269--0.13209))+0-127.9--0.065228999999987</f>
        <v>532.12847599999986</v>
      </c>
      <c r="O169" s="3">
        <f>589.6+(316.4-211.8)+(0+(0-0))+0-138-0</f>
        <v>556.20000000000005</v>
      </c>
      <c r="P169" s="3">
        <f>585.4+(264.8-144.5)+(0.895662+(0.405144-0.221085))+0-126.9-0.194157000000007</f>
        <v>579.685564</v>
      </c>
      <c r="Q169" s="3">
        <f>579.4+(272.5-133.5)+(0.295494+(0.138975-0.068085))+0-129.3-0.0659429999999869</f>
        <v>589.40044100000011</v>
      </c>
      <c r="R169" s="3">
        <f>587+(339-186.6)+(0.29937+(0.17289-0.095166))+0-139.1-0.0709409999999859</f>
        <v>600.60615300000006</v>
      </c>
      <c r="S169" s="3">
        <f>583.2+(409.3-271.7)+(-0.297432+(-0.208743--0.138567))+0-137.5--0.070124999999986</f>
        <v>583.00251700000001</v>
      </c>
      <c r="T169" s="3">
        <f>578.3+(407.7-270.9)+(0.294933+(0.207927-0.138159))+0-140.4-0.0716039999999858</f>
        <v>574.99309699999992</v>
      </c>
      <c r="U169" s="3">
        <f>577.3+(362.1-237.4)+(-0.883269+(-0.554013--0.363222))+0-136.7--0.209151000000008</f>
        <v>564.43509100000006</v>
      </c>
      <c r="V169" s="3">
        <f>577.1+(310.5-185)+(0+(0-0))+0-145.3-0</f>
        <v>557.29999999999995</v>
      </c>
      <c r="W169" s="3">
        <f>575.9+(237.4-123.1)+(-1.174836+(-0.484296--0.251124))+0-137.8--0.281111999999994</f>
        <v>551.27310399999999</v>
      </c>
      <c r="X169" s="3">
        <f>577.6+(305.1-185.1)+(-0.883728+(-0.466803--0.283203))+0-145.2--0.222156000000008</f>
        <v>551.55482800000004</v>
      </c>
      <c r="Y169" s="3">
        <f>592.8+(271.2-130.9)+(-0.302328+(-0.138312--0.066759))+0-152.3--0.0776729999999846</f>
        <v>580.50379199999998</v>
      </c>
      <c r="Z169" s="3">
        <f>614.8+(247.2-124.6)+(-0.627096+(-0.252144--0.127092))+0-139.7--0.142494000000022</f>
        <v>597.09034600000007</v>
      </c>
      <c r="AA169" s="3">
        <f>620.6+(245.1-122.5)+(-0.633012+(-0.250002--0.12495))+0-144.6--0.147492000000023</f>
        <v>597.98942800000009</v>
      </c>
      <c r="AB169" s="3">
        <f>608.5+(246.8-125)+(-0.310335+(-0.125868--0.06375))+0-136.2--0.0694619999999862</f>
        <v>593.79700899999989</v>
      </c>
      <c r="AC169" s="3">
        <f>608.8+(243.2-142)+(-0.931464+(-0.372096--0.21726))+0-137.2--0.209916000000008</f>
        <v>571.92361600000004</v>
      </c>
      <c r="AD169">
        <f t="shared" si="2"/>
        <v>13253.361596999999</v>
      </c>
      <c r="AE169" s="3">
        <f>612+(270.7-121.6)+(0+(0-0))+0-176.1-0</f>
        <v>585</v>
      </c>
    </row>
    <row r="170" spans="1:31" s="2" customFormat="1" x14ac:dyDescent="0.25">
      <c r="A170">
        <v>89</v>
      </c>
      <c r="B170">
        <v>6</v>
      </c>
      <c r="C170">
        <v>15</v>
      </c>
      <c r="D170">
        <v>3</v>
      </c>
      <c r="E170">
        <v>1</v>
      </c>
      <c r="F170" s="3">
        <f>612.7+(235.4-153.3)+(-0.937431+(-0.360162--0.234549))+0-138.9--0.212517000000008</f>
        <v>555.04947300000015</v>
      </c>
      <c r="G170" s="3">
        <f>612.9+(221.8-163.2)+(-0.937737+(-0.339354--0.249696))+0-138--0.211140000000008</f>
        <v>532.68374500000004</v>
      </c>
      <c r="H170" s="3">
        <f>619.5+(231.8-184.2)+(-0.63189+(-0.236436--0.187884))+0-137.5--0.140250000000022</f>
        <v>529.05980800000009</v>
      </c>
      <c r="I170" s="3">
        <f>623.9+(233.6-198.9)+(-0.954567+(-0.357408--0.304317))+0-138.9--0.212517000000008</f>
        <v>518.90485899999999</v>
      </c>
      <c r="J170" s="3">
        <f>621.4+(264.7-237.9)+(-0.633828+(-0.269994--0.242658))+0-138.8--0.141576000000022</f>
        <v>508.88041199999998</v>
      </c>
      <c r="K170" s="3">
        <f>610.1+(339-301.3)+(-1.244604+(-0.69156--0.614652))+0-139.3--0.284171999999994</f>
        <v>507.46265999999997</v>
      </c>
      <c r="L170" s="3">
        <f>554.5+(288.3-222.7)+(-2.545155+(-1.323297--1.022193))+0-125.4--0.575586000000022</f>
        <v>492.42932700000006</v>
      </c>
      <c r="M170" s="3">
        <f>559.8+(305.1-219.1)+(-0.856494+(-0.466803--0.335223))+0-131.7--0.201501000000008</f>
        <v>513.31342700000005</v>
      </c>
      <c r="N170" s="3">
        <f>553.7+(412.9-297)+(-0.564774+(-0.421158--0.30294))+0-126.8--0.12933600000002</f>
        <v>542.24634400000002</v>
      </c>
      <c r="O170" s="3">
        <f>548.4+(412.6-253)+(-0.839052+(-0.631278--0.38709))+0-145.5--0.222615000000008</f>
        <v>561.63937499999997</v>
      </c>
      <c r="P170" s="3">
        <f>584.7+(353.1-224.5)+(-1.192788+(-0.720324--0.45798))+0-137.9--0.281315999999994</f>
        <v>574.22618399999999</v>
      </c>
      <c r="Q170" s="3">
        <f>593.7+(327.5-166.9)+(0.908361+(0.501075-0.255357))+0-158.9-0.243117000000009</f>
        <v>596.31096200000013</v>
      </c>
      <c r="R170" s="3">
        <f>585.8+(266.9-97.1)+(0+(0-0))+0-164-0</f>
        <v>591.59999999999991</v>
      </c>
      <c r="S170" s="3">
        <f>604+(246.6-117.1)+(0+(0-0))+0-142.7-0</f>
        <v>590.79999999999995</v>
      </c>
      <c r="T170" s="3">
        <f>600.7+(256-155.8)+(0.306357+(0.13056-0.079458))+0-123.1-0.0627809999999875</f>
        <v>578.09467800000004</v>
      </c>
      <c r="U170" s="3">
        <f>599+(256.8-148.6)+(-0.61098+(-0.261936--0.151572))+0-136--0.138720000000022</f>
        <v>570.61737600000004</v>
      </c>
      <c r="V170" s="3">
        <f>595.5+(223.8-134.2)+(-0.60741+(-0.228276--0.136884))+0-139.9--0.142698000000022</f>
        <v>544.64389600000004</v>
      </c>
      <c r="W170" s="3">
        <f>573.6+(271.6-156.8)+(-0.877608+(-0.415548--0.239904))+0-143--0.218790000000008</f>
        <v>544.56553800000006</v>
      </c>
      <c r="X170" s="3">
        <f>572.6+(313.1-194.1)+(-0.584052+(-0.319362--0.197982))+0-143.8--0.146676000000023</f>
        <v>547.24124400000005</v>
      </c>
      <c r="Y170" s="3">
        <f>588.3+(256.3-116.8)+(0.300033+(0.130713-0.059568))+0-143.2-0.0730319999999855</f>
        <v>584.898146</v>
      </c>
      <c r="Z170" s="3">
        <f>615.6+(243.9-109.2)+(-0.313956+(-0.124389--0.055692))+0-140.5--0.0716549999999857</f>
        <v>609.48900199999991</v>
      </c>
      <c r="AA170" s="3">
        <f>614.7+(259.5-119)+(-0.940491+(-0.397035--0.18207))+0-145.8--0.223074000000008</f>
        <v>608.46761800000013</v>
      </c>
      <c r="AB170" s="3">
        <f>593.3+(253.4-135.6)+(0+(0-0))+0-119.1-0</f>
        <v>591.99999999999989</v>
      </c>
      <c r="AC170" s="3">
        <f>582.5+(239.9-149.8)+(-0.297075+(-0.122349--0.076398))+0-90.6--0.0462059999999908</f>
        <v>581.70317999999997</v>
      </c>
      <c r="AD170">
        <f t="shared" si="2"/>
        <v>13376.327254000003</v>
      </c>
      <c r="AE170" s="3">
        <f>613+(252.3-119.1)+(0+(0-0))+0-134.5-0</f>
        <v>611.70000000000005</v>
      </c>
    </row>
    <row r="171" spans="1:31" s="2" customFormat="1" x14ac:dyDescent="0.25">
      <c r="A171">
        <v>89</v>
      </c>
      <c r="B171">
        <v>6</v>
      </c>
      <c r="C171">
        <v>16</v>
      </c>
      <c r="D171">
        <v>4</v>
      </c>
      <c r="E171">
        <v>1</v>
      </c>
      <c r="F171" s="3">
        <f>577.6+(226.5-166.1)+(-0.589152+(-0.23103--0.169422))+0-86.4--0.0881280000000138</f>
        <v>551.03736800000001</v>
      </c>
      <c r="G171" s="3">
        <f>578.4+(265.6-215.7)+(-1.47492+(-0.67728--0.550035))+0-93.6--0.238679999999986</f>
        <v>533.33651499999985</v>
      </c>
      <c r="H171" s="3">
        <f>589.7+(240.7-223.9)+(0.300747+(0.122757-0.114189))+0-85-0.0433499999999914</f>
        <v>521.76596499999994</v>
      </c>
      <c r="I171" s="3">
        <f>582.9+(241.3-223.5)+(-1.486395+(-0.615315--0.569925))+0-91.3--0.232814999999987</f>
        <v>508.10102999999998</v>
      </c>
      <c r="J171" s="3">
        <f>522.9+(272.1-180)+(0.266679+(0.138771-0.0918))+0-124.4-0.0634439999999874</f>
        <v>490.85020600000007</v>
      </c>
      <c r="K171" s="3">
        <f>518.9+(311.5-187.8)+(-1.323195+(-0.794325--0.47889))+0-148.6--0.378929999999978</f>
        <v>492.74029999999982</v>
      </c>
      <c r="L171" s="3">
        <f>512.9+(312.7-208.1)+(-1.307895+(-0.797385--0.530655))+0-145.5--0.371024999999979</f>
        <v>470.79640000000001</v>
      </c>
      <c r="M171" s="3">
        <f>526.5+(341.9-230.6)+(0+(0-0))+0-141.1-0</f>
        <v>496.69999999999993</v>
      </c>
      <c r="N171" s="3">
        <f>524.3+(378.4-232.7)+(0.267393+(0.192984-0.118677))+0-144.8-0.0738479999999853</f>
        <v>525.46785199999999</v>
      </c>
      <c r="O171" s="3">
        <f>570.4+(449.8-330.4)+(0.872712+(0.688194-0.505512))+0-133.4-0.204102000000008</f>
        <v>557.25129199999992</v>
      </c>
      <c r="P171" s="3">
        <f>564.1+(385-245.9)+(-0.287691+(-0.19635--0.125409))+0-135.1--0.0689009999999863</f>
        <v>567.81026900000006</v>
      </c>
      <c r="Q171" s="3">
        <f>559.1+(317.2-158.5)+(0.285141+(0.161772-0.080835))+0-135.4-0.0690539999999863</f>
        <v>582.69702400000006</v>
      </c>
      <c r="R171" s="3">
        <f>555.9+(257-96.6)+(0.283509+(0.13107-0.049266))+0-138.7-0.0707369999999859</f>
        <v>577.89457599999992</v>
      </c>
      <c r="S171" s="3">
        <f>551.2+(330.8-153.8)+(-0.562224+(-0.337416--0.156876))+0-162.3--0.165546000000026</f>
        <v>565.32278200000007</v>
      </c>
      <c r="T171" s="3">
        <f>546.4+(406.7-265.9)+(0+(0-0))+0-145.5-0</f>
        <v>541.70000000000005</v>
      </c>
      <c r="U171" s="3">
        <f>549.7+(378.9-239.1)+(-0.280347+(-0.193239--0.121941))+0-146.3--0.0746129999999852</f>
        <v>542.92296800000008</v>
      </c>
      <c r="V171" s="3">
        <f>563.2+(287.5-153.6)+(-0.574464+(-0.29325--0.156672))+0-146.5--0.149430000000023</f>
        <v>550.03838800000005</v>
      </c>
      <c r="W171" s="3">
        <f>564.1+(262.7-119.1)+(-0.287691+(-0.133977--0.060741))+0-155.6--0.0793559999999842</f>
        <v>551.81842900000004</v>
      </c>
      <c r="X171" s="3">
        <f>562.2+(345.4-207.1)+(0+(0-0))+0-142.7-0</f>
        <v>557.79999999999995</v>
      </c>
      <c r="Y171" s="3">
        <f>585.8+(249.3-94)+(-0.597516+(-0.254286--0.09588))+0-155.5--0.158610000000025</f>
        <v>585.00268799999992</v>
      </c>
      <c r="Z171" s="3">
        <f>601.8+(256.8-96.9)+(-0.920754+(-0.392904--0.148257))+0-153.9--0.235467000000009</f>
        <v>606.87006599999995</v>
      </c>
      <c r="AA171" s="3">
        <f>582.3+(288.4-113.3)+(-0.890919+(-0.441252--0.173349))+0-152.6--0.233478000000009</f>
        <v>603.87465599999985</v>
      </c>
      <c r="AB171" s="3">
        <f>589.9+(286-113.8)+(-0.300849+(-0.14586--0.058038))+0-162.6--0.0829259999999835</f>
        <v>599.19425499999977</v>
      </c>
      <c r="AC171" s="3">
        <f>589+(275.7-124.7)+(-0.60078+(-0.281214--0.127194))+0-158--0.161160000000025</f>
        <v>581.40635999999995</v>
      </c>
      <c r="AD171">
        <f t="shared" si="2"/>
        <v>13162.399389000002</v>
      </c>
      <c r="AE171" s="3">
        <f>600+(281.9-102.3)+(0+(0-0))+0-167-0</f>
        <v>612.59999999999991</v>
      </c>
    </row>
    <row r="172" spans="1:31" s="2" customFormat="1" x14ac:dyDescent="0.25">
      <c r="A172">
        <v>89</v>
      </c>
      <c r="B172">
        <v>6</v>
      </c>
      <c r="C172">
        <v>17</v>
      </c>
      <c r="D172">
        <v>5</v>
      </c>
      <c r="E172">
        <v>1</v>
      </c>
      <c r="F172" s="3">
        <f>582.4+(250.5-127.2)+(-0.297024+(-0.127755--0.064872))+0-150--0.0764999999999848</f>
        <v>555.41659299999992</v>
      </c>
      <c r="G172" s="3">
        <f>581.9+(247.7-135.3)+(-1.187076+(-0.505308--0.276012))+0-156.8--0.319871999999993</f>
        <v>536.40349999999989</v>
      </c>
      <c r="H172" s="3">
        <f>557.5+(254-121.8)+(-0.852975+(-0.38862--0.186354))+0-162.2--0.248166000000009</f>
        <v>526.69292499999995</v>
      </c>
      <c r="I172" s="3">
        <f>527.1+(257.4-127.8)+(-0.806463+(-0.393822--0.195534))+0-148.9--0.227817000000009</f>
        <v>507.02306600000003</v>
      </c>
      <c r="J172" s="3">
        <f>560.7+(239.6-156.5)+(0.285957+(0.122196-0.079815))+0-144.2-0.0735419999999854</f>
        <v>499.85479600000014</v>
      </c>
      <c r="K172" s="3">
        <f>586.6+(240.4-167.8)+(-0.897498+(-0.367812--0.256734))+0-143.8--0.220014000000008</f>
        <v>514.61143800000013</v>
      </c>
      <c r="L172" s="3">
        <f>546.1+(288.1-194.5)+(-0.278511+(-0.146931--0.099195))+0-145.3--0.0741029999999853</f>
        <v>494.14785600000005</v>
      </c>
      <c r="M172" s="3">
        <f>530.2+(335.7-207)+(-0.270402+(-0.171207--0.10557))+0-150.9--0.0769589999999847</f>
        <v>507.74092000000007</v>
      </c>
      <c r="N172" s="3">
        <f>523.1+(348.5-196.8)+(-0.800343+(-0.533205--0.301104))+0-136--0.208080000000008</f>
        <v>537.97563599999989</v>
      </c>
      <c r="O172" s="3">
        <f>519.9+(372.9-184)+(-0.530298+(-0.380358--0.18768))+0-139.4--0.142188000000022</f>
        <v>568.81921199999999</v>
      </c>
      <c r="P172" s="3">
        <f>567.1+(363.6-200.3)+(-0.867663+(-0.556308--0.306459))+0-142.4--0.217872000000008</f>
        <v>587.10036000000014</v>
      </c>
      <c r="Q172" s="3">
        <f>577.4+(294.3-135.6)+(-0.294474+(-0.150093--0.069156))+0-130.8--0.0667079999999867</f>
        <v>604.99129699999992</v>
      </c>
      <c r="R172" s="3">
        <f>585.4+(263.8-103.7)+(-0.298554+(-0.134538--0.052887))+0-146.7--0.0748169999999851</f>
        <v>598.49461199999996</v>
      </c>
      <c r="S172" s="3">
        <f>583.5+(307.9-148.7)+(-0.59517+(-0.314058--0.151674))+0-156.4--0.159528000000025</f>
        <v>585.70197400000006</v>
      </c>
      <c r="T172" s="3">
        <f>582.1+(321.8-200.4)+(-0.296871+(-0.164118--0.102204))+0-131.3--0.0669629999999867</f>
        <v>571.90817799999991</v>
      </c>
      <c r="U172" s="3">
        <f>580.7+(330.7-206.3)+(0.296157+(0.168657-0.105213))+0-142.2-0.0725219999999856</f>
        <v>563.18707900000004</v>
      </c>
      <c r="V172" s="3">
        <f>590.5+(259.7-153.2)+(-0.903465+(-0.397341--0.234396))+0-135.6--0.207468000000008</f>
        <v>560.54105800000002</v>
      </c>
      <c r="W172" s="3">
        <f>577.6+(245.4-129.7)+(-0.589152+(-0.250308--0.132294))+0-123--0.12546000000002</f>
        <v>569.71829400000001</v>
      </c>
      <c r="X172" s="3">
        <f>572.2+(378.3-249.6)+(-1.167288+(-0.771732--0.509184))+0-127.8--0.260711999999994</f>
        <v>571.93087600000013</v>
      </c>
      <c r="Y172" s="3">
        <f>587.7+(275.7-121.2)+(-0.299727+(-0.140607--0.061812))+0-157.8--0.080477999999984</f>
        <v>584.10195600000009</v>
      </c>
      <c r="Z172" s="3">
        <f>612.1+(256.3-100)+(-0.936513+(-0.392139--0.153))+0-166.3--0.25443900000001</f>
        <v>601.17878700000006</v>
      </c>
      <c r="AA172" s="3">
        <f>613.3+(259.1-106.8)+(-0.625566+(-0.264282--0.108936))+0-159.9--0.163098000000026</f>
        <v>605.08218599999998</v>
      </c>
      <c r="AB172" s="3">
        <f>615+(248.8-131.2)+(0.31365+(0.126888-0.066912))+0-146.4-0.0746639999999851</f>
        <v>586.49896200000001</v>
      </c>
      <c r="AC172" s="3">
        <f>615.3+(260.7-128.5)+(-1.255212+(-0.531828--0.26214))+0-169.1--0.344963999999993</f>
        <v>577.22006399999998</v>
      </c>
      <c r="AD172">
        <f t="shared" si="2"/>
        <v>13416.341624999999</v>
      </c>
      <c r="AE172" s="3">
        <f>608+(282.2-108.9)+(0+(0-0))+0-181.3-0</f>
        <v>600</v>
      </c>
    </row>
    <row r="173" spans="1:31" s="2" customFormat="1" x14ac:dyDescent="0.25">
      <c r="A173">
        <v>89</v>
      </c>
      <c r="B173">
        <v>6</v>
      </c>
      <c r="C173">
        <v>18</v>
      </c>
      <c r="D173">
        <v>6</v>
      </c>
      <c r="E173">
        <v>1</v>
      </c>
      <c r="F173" s="3">
        <f>613.1+(195-146.8)+(0+(0-0))+0-158.4-0</f>
        <v>502.9</v>
      </c>
      <c r="G173" s="3">
        <f>599+(196.1-153.5)+(-0.61098+(-0.200022--0.15657))+0-154.3--0.157386000000025</f>
        <v>486.802954</v>
      </c>
      <c r="H173" s="3">
        <f>542.7+(218.9-103.3)+(0+(0-0))+0-168.1-0</f>
        <v>490.20000000000005</v>
      </c>
      <c r="I173" s="3">
        <f>494.2+(230.1-105.4)+(-0.504084+(-0.234702--0.107508))+0-158.5--0.161670000000025</f>
        <v>459.93039200000004</v>
      </c>
      <c r="J173" s="3">
        <f>492.9+(253.7-142.5)+(0.251379+(0.129387-0.072675))+0-159.5-0.0813449999999838</f>
        <v>444.8267459999999</v>
      </c>
      <c r="K173" s="3">
        <f>495.7+(263.9-156.2)+(0+(0-0))+0-154.7-0</f>
        <v>448.7</v>
      </c>
      <c r="L173" s="3">
        <f>486.7+(259-125)+(-0.496434+(-0.26418--0.1275))+0-150.8--0.153816000000024</f>
        <v>469.42070200000006</v>
      </c>
      <c r="M173" s="3">
        <f>488.3+(247.3-110.1)+(0.249033+(0.126123-0.056151))+0-159.5-0.0813449999999838</f>
        <v>466.23765999999995</v>
      </c>
      <c r="N173" s="3">
        <f>477+(272.3-114.8)+(-0.24327+(-0.138873--0.058548))+0-143--0.0729299999999855</f>
        <v>491.24933500000003</v>
      </c>
      <c r="O173" s="3">
        <f>472.3+(310.5-115.8)+(0+(0-0))+0-153.9-0</f>
        <v>513.1</v>
      </c>
      <c r="P173" s="3">
        <f>468.6+(277.1-67.7)+(0.238986+(0.141321-0.034527))+0-142.8-0.0728279999999855</f>
        <v>535.47295199999996</v>
      </c>
      <c r="Q173" s="3">
        <f>458.7+(350.6-116.6)+(0.233937+(0.178806-0.059466))+0-152.9-0.0779789999999845</f>
        <v>540.07529800000009</v>
      </c>
      <c r="R173" s="3">
        <f>569.1+(363.1-250.8)+(-0.580482+(-0.370362--0.255816))+0-156.1--0.159222000000025</f>
        <v>524.76419400000009</v>
      </c>
      <c r="S173" s="3">
        <f>607.2+(443.6-386.8)+(-1.238688+(-0.904944--0.789072))+0-143.6--0.292943999999994</f>
        <v>519.33838400000002</v>
      </c>
      <c r="T173" s="3">
        <f>602.5+(478.9-447.1)+(-0.61455+(-0.488478--0.456042))+0-127.5--0.13005000000002</f>
        <v>506.28306400000002</v>
      </c>
      <c r="U173" s="3">
        <f>601.5+(489.9-441)+(0+(0-0))+0-151.3-0</f>
        <v>499.09999999999997</v>
      </c>
      <c r="V173" s="3">
        <f>598.4+(425.3-379.1)+(-0.610368+(-0.433806--0.386682))+0-148.2--0.151164000000024</f>
        <v>495.89367199999992</v>
      </c>
      <c r="W173" s="3">
        <f>560.6+(251.7-173.1)+(-1.143624+(-0.513468--0.353124))+0-148.6--0.303143999999993</f>
        <v>489.59917599999994</v>
      </c>
      <c r="X173" s="3">
        <f>563.4+(204-140.7)+(0.574668+(0.20808-0.143514))+0-126.6-0.12913200000002</f>
        <v>500.61010199999998</v>
      </c>
      <c r="Y173" s="3">
        <f>590.6+(223.7-160.9)+(0.301206+(0.114087-0.082059))+0-128.7-0.0656369999999869</f>
        <v>524.96759699999996</v>
      </c>
      <c r="Z173" s="3">
        <f>601.7+(270.5-200.2)+(-0.613734+(-0.27591--0.204204))+0-129.7--0.132294000000021</f>
        <v>541.74685399999998</v>
      </c>
      <c r="AA173" s="3">
        <f>606.2+(265.1-176)+(-0.618324+(-0.270402--0.17952))+0-148.5--0.151470000000024</f>
        <v>546.24226400000009</v>
      </c>
      <c r="AB173" s="3">
        <f>609.2+(239.1-163.4)+(-0.621384+(-0.243882--0.166668))+0-159--0.162180000000025</f>
        <v>525.36358200000018</v>
      </c>
      <c r="AC173" s="3">
        <f>604.6+(225.7-193.8)+(0+(0-0))+0-147.7-0</f>
        <v>488.8</v>
      </c>
      <c r="AD173">
        <f t="shared" si="2"/>
        <v>12011.624927999999</v>
      </c>
      <c r="AE173" s="3">
        <f>597+(283-204.8)+(0+(0-0))+0-131.4-0</f>
        <v>543.80000000000007</v>
      </c>
    </row>
    <row r="174" spans="1:31" s="2" customFormat="1" x14ac:dyDescent="0.25">
      <c r="A174">
        <v>89</v>
      </c>
      <c r="B174">
        <v>6</v>
      </c>
      <c r="C174">
        <v>19</v>
      </c>
      <c r="D174">
        <v>7</v>
      </c>
      <c r="E174">
        <v>3</v>
      </c>
      <c r="F174" s="3">
        <f>571+(220-153.8)+(-1.16484+(-0.4488--0.313752))+0-169.9--0.346595999999993</f>
        <v>466.34670800000004</v>
      </c>
      <c r="G174" s="3">
        <f>548.1+(205.8-156.3)+(-0.838593+(-0.314874--0.239139))+0-145.2--0.222156000000008</f>
        <v>451.70782800000006</v>
      </c>
      <c r="H174" s="3">
        <f>551.4+(200.5-150.2)+(-0.843642+(-0.306765--0.229806))+0-152.8--0.233784000000009</f>
        <v>448.21318300000001</v>
      </c>
      <c r="I174" s="3">
        <f>542.2+(199.1-155.9)+(-0.276522+(-0.101541--0.079509))+0-152.2--0.0776219999999846</f>
        <v>432.9790680000001</v>
      </c>
      <c r="J174" s="3">
        <f>539.3+(201.4-161.6)+(0+(0-0))+0-147.3-0</f>
        <v>431.7999999999999</v>
      </c>
      <c r="K174" s="3">
        <f>543.9+(201.1-198.8)+(0+(0-0))+0-152-0</f>
        <v>394.19999999999993</v>
      </c>
      <c r="L174" s="3">
        <f>524.5+(218.2-236.1)+(-1.872465+(-0.778974--0.842877))+0-144.6--0.516222000000002</f>
        <v>360.70766000000009</v>
      </c>
      <c r="M174" s="3">
        <f>409.1+(216.8-150.9)+(-0.208641+(-0.110568--0.076959))+0-130.8--0.0667079999999867</f>
        <v>344.02445799999998</v>
      </c>
      <c r="N174" s="3">
        <f>406+(234.1-145.7)+(1.0353+(0.596955-0.371535))+0-133.6-0.340679999999981</f>
        <v>361.72003999999998</v>
      </c>
      <c r="O174" s="3">
        <f>404.2+(214.3-114.7)+(-0.206142+(-0.109293--0.058497))+0-139.1--0.0709409999999859</f>
        <v>364.51400300000006</v>
      </c>
      <c r="P174" s="3">
        <f>454.6+(195.4-110.2)+(-0.463692+(-0.199308--0.112404))+0-148.1--0.151062000000024</f>
        <v>391.30046600000003</v>
      </c>
      <c r="Q174" s="3">
        <f>475+(177.5-111.4)+(-0.24225+(-0.090525--0.056814))+0-157.9--0.080528999999984</f>
        <v>383.00456799999995</v>
      </c>
      <c r="R174" s="3">
        <f>502.1+(164.1-146.1)+(-0.768213+(-0.251073--0.223533))+0-150--0.229500000000009</f>
        <v>369.53374700000006</v>
      </c>
      <c r="S174" s="3">
        <f>498.9+(171.3-149)+(-0.508878+(-0.174726--0.15198))+0-150.6--0.153612000000024</f>
        <v>370.22198800000007</v>
      </c>
      <c r="T174" s="3">
        <f>492.2+(182.8-167.3)+(-0.502044+(-0.186456--0.170646))+0-140.2--0.143004000000022</f>
        <v>367.12515000000002</v>
      </c>
      <c r="U174" s="3">
        <f>490.2+(181.7-162.7)+(-0.250002+(-0.092667--0.082977))+0-127.1--0.0648209999999871</f>
        <v>381.90512900000004</v>
      </c>
      <c r="V174" s="3">
        <f>487.2+(175.3-149.7)+(-0.745416+(-0.268209--0.229041))+0-129.5--0.198135000000007</f>
        <v>382.71355099999994</v>
      </c>
      <c r="W174" s="3">
        <f>486.2+(206.5-174.4)+(-1.487772+(-0.63189--0.533664))+0-134.6--0.411876000000016</f>
        <v>382.52587799999992</v>
      </c>
      <c r="X174" s="3">
        <f>487.2+(208.6-161.6)+(-0.496944+(-0.212772--0.164832))+0-141.9--0.144738000000023</f>
        <v>391.89985400000006</v>
      </c>
      <c r="Y174" s="3">
        <f>491.2+(224.4-132.1)+(-0.501024+(-0.228888--0.134742))+0-149--0.151980000000024</f>
        <v>434.05680999999998</v>
      </c>
      <c r="Z174" s="3">
        <f>494.2+(225.1-124.9)+(-1.008168+(-0.459204--0.254796))+0-156.7--0.319667999999993</f>
        <v>436.80709199999995</v>
      </c>
      <c r="AA174" s="3">
        <f>498.2+(231.4-131.4)+(-1.016328+(-0.472056--0.268056))+0-157.6--0.321503999999993</f>
        <v>439.70117600000003</v>
      </c>
      <c r="AB174" s="3">
        <f>504.7+(224.8-138.5)+(-0.257397+(-0.114648--0.070635))+0-155.5--0.0793049999999842</f>
        <v>435.27789499999994</v>
      </c>
      <c r="AC174" s="3">
        <f>508.8+(216.8-149.8)+(-0.778464+(-0.331704--0.229194))+0-151--0.231030000000009</f>
        <v>424.15005599999995</v>
      </c>
      <c r="AD174">
        <f t="shared" si="2"/>
        <v>9646.4363080000003</v>
      </c>
      <c r="AE174" s="3">
        <f>496+(244.3-124.2)+(0+(0-0))+0-156.6-0</f>
        <v>459.5</v>
      </c>
    </row>
    <row r="175" spans="1:31" s="2" customFormat="1" x14ac:dyDescent="0.25">
      <c r="A175">
        <v>89</v>
      </c>
      <c r="B175">
        <v>6</v>
      </c>
      <c r="C175">
        <v>20</v>
      </c>
      <c r="D175">
        <v>1</v>
      </c>
      <c r="E175">
        <v>1</v>
      </c>
      <c r="F175" s="3">
        <f>508.7+(206.2-168.4)+(-1.037748+(-0.420648--0.343536))+0-133.7--0.272747999999994</f>
        <v>411.95788799999997</v>
      </c>
      <c r="G175" s="3">
        <f>513.7+(239.7-246.9)+(-0.785961+(-0.366741--0.377757))+0-113.7--0.173961000000007</f>
        <v>392.19901600000003</v>
      </c>
      <c r="H175" s="3">
        <f>511.4+(324.8-343)+(-1.564884+(-0.993888--1.04958))+0-109.3--0.334458000000013</f>
        <v>382.72526600000003</v>
      </c>
      <c r="I175" s="3">
        <f>515.4+(341.6-348.8)+(-0.525708+(-0.348432--0.355776))+0-125--0.12750000000002</f>
        <v>382.80913599999997</v>
      </c>
      <c r="J175" s="3">
        <f>516.5+(293-291.1)+(-0.52683+(-0.29886--0.296922))+0-138.9--0.141678000000022</f>
        <v>379.11291</v>
      </c>
      <c r="K175" s="3">
        <f>519.6+(249.9-260)+(0+(0-0))+0-131.5-0</f>
        <v>378</v>
      </c>
      <c r="L175" s="3">
        <f>486.2+(353.9-337.6)+(-1.735734+(-1.263423--1.205232))+0-141.9--0.506583000000002</f>
        <v>359.31265799999994</v>
      </c>
      <c r="M175" s="3">
        <f>466.9+(382-351.1)+(-0.714357+(-0.58446--0.537183))+0-118--0.180540000000007</f>
        <v>379.21890599999995</v>
      </c>
      <c r="N175" s="3">
        <f>463.9+(368.2-329.3)+(-0.709767+(-0.563346--0.503829))+0-107.8--0.164934000000006</f>
        <v>394.39564999999993</v>
      </c>
      <c r="O175" s="3">
        <f>471.3+(369.1-304.9)+(-0.240363+(-0.188241--0.155499))+0-117.3--0.0598229999999881</f>
        <v>417.986718</v>
      </c>
      <c r="P175" s="3">
        <f>518+(352.9-295.3)+(-0.52836+(-0.359958--0.301206))+0-133.9--0.136578000000021</f>
        <v>441.24946599999993</v>
      </c>
      <c r="Q175" s="3">
        <f>513.5+(361.2-292.2)+(-0.261885+(-0.184212--0.149022))+0-130.3--0.0664529999999868</f>
        <v>451.96937800000001</v>
      </c>
      <c r="R175" s="3">
        <f>516.8+(256.5-191.5)+(-0.263568+(-0.130815--0.097665))+0-119.1--0.0607409999999879</f>
        <v>462.46402299999988</v>
      </c>
      <c r="S175" s="3">
        <f>511+(222.9-134.6)+(-0.52122+(-0.227358--0.137292))+0-141.6--0.144432000000023</f>
        <v>457.23314599999998</v>
      </c>
      <c r="T175" s="3">
        <f>506.9+(207.4-141.8)+(0.258519+(0.105774-0.072318))+0-116.8-0.0595679999999882</f>
        <v>455.93240699999996</v>
      </c>
      <c r="U175" s="3">
        <f>505.9+(208.7-144.8)+(-0.516018+(-0.212874--0.147696))+0-126.5--0.12903000000002</f>
        <v>442.84783399999998</v>
      </c>
      <c r="V175" s="3">
        <f>505.4+(215.4-136.1)+(0+(0-0))+0-129.5-0</f>
        <v>455.20000000000005</v>
      </c>
      <c r="W175" s="3">
        <f>505.1+(244.9-152.3)+(-1.288005+(-0.624495--0.388365))+0-142--0.362099999999979</f>
        <v>454.53796500000004</v>
      </c>
      <c r="X175" s="3">
        <f>466.5+(301.4-167.4)+(-1.42749+(-0.922284--0.512244))+0-135.6--0.414936000000016</f>
        <v>463.47740599999997</v>
      </c>
      <c r="Y175" s="3">
        <f>499+(309.7-141.5)+(-0.25449+(-0.157947--0.072165))+0-148.5--0.0757349999999849</f>
        <v>518.43546300000003</v>
      </c>
      <c r="Z175" s="3">
        <f>499.3+(277.7-99.6)+(-0.509286+(-0.283254--0.101592))+0-145.4--0.148308000000023</f>
        <v>531.45735999999999</v>
      </c>
      <c r="AA175" s="3">
        <f>500.3+(274.8-95.2)+(-1.020612+(-0.560592--0.194208))+0-142.8--0.291311999999994</f>
        <v>536.00431600000013</v>
      </c>
      <c r="AB175" s="3">
        <f>507.7+(253.9-93.9)+(-0.776781+(-0.388467--0.143667))+0-155.6--0.238068000000009</f>
        <v>511.31648700000005</v>
      </c>
      <c r="AC175" s="3">
        <f>507.7+(243.1-113.7)+(-1.294635+(-0.619905--0.289935))+0-139--0.35444999999998</f>
        <v>496.82984499999992</v>
      </c>
      <c r="AD175">
        <f t="shared" si="2"/>
        <v>10556.673244</v>
      </c>
      <c r="AE175" s="3">
        <f>498+(266.7-108.4)+(0+(0-0))+0-150.5-0</f>
        <v>505.79999999999995</v>
      </c>
    </row>
    <row r="176" spans="1:31" s="2" customFormat="1" x14ac:dyDescent="0.25">
      <c r="A176">
        <v>89</v>
      </c>
      <c r="B176">
        <v>6</v>
      </c>
      <c r="C176">
        <v>21</v>
      </c>
      <c r="D176">
        <v>2</v>
      </c>
      <c r="E176">
        <v>1</v>
      </c>
      <c r="F176" s="3">
        <f>507.9+(230.9-125.6)+(-0.777087+(-0.353277--0.192168))+0-138.5--0.211905000000008</f>
        <v>473.9737090000001</v>
      </c>
      <c r="G176" s="3">
        <f>516.2+(238.7-159.1)+(-0.263262+(-0.121737--0.081141))+0-143.5--0.0731849999999854</f>
        <v>452.06932700000004</v>
      </c>
      <c r="H176" s="3">
        <f>515.6+(265.9-187.8)+(-0.525912+(-0.271218--0.191556))+0-139.1--0.141882000000022</f>
        <v>454.13630799999999</v>
      </c>
      <c r="I176" s="3">
        <f>519.6+(296.5-216.7)+(-0.794988+(-0.453645--0.331551))+0-143.7--0.219861000000008</f>
        <v>455.00277900000003</v>
      </c>
      <c r="J176" s="3">
        <f>519.1+(297.8-241.9)+(-0.794223+(-0.455634--0.370107))+0-131.3--0.200889000000008</f>
        <v>443.02113900000006</v>
      </c>
      <c r="K176" s="3">
        <f>524.4+(286.2-226.3)+(0+(0-0))+0-141-0</f>
        <v>443.29999999999995</v>
      </c>
      <c r="L176" s="3">
        <f>508.4+(394.4-324)+(-1.29642+(-1.00572--0.8262))+0-125.9--0.321044999999982</f>
        <v>451.74510499999991</v>
      </c>
      <c r="M176" s="3">
        <f>461.6+(459.1-307.3)+(0+(0-0))+0-138.7-0</f>
        <v>474.7000000000001</v>
      </c>
      <c r="N176" s="3">
        <f>491.6+(502.4-349.7)+(0.250716+(0.256224-0.178347))+0-132.6-0.0676259999999865</f>
        <v>511.96096699999993</v>
      </c>
      <c r="O176" s="3">
        <f>541.5+(503.9-370.5)+(-0.828495+(-0.770967--0.566865))+0-142.3--0.217719000000008</f>
        <v>531.785122</v>
      </c>
      <c r="P176" s="3">
        <f>576.4+(387.5-243.3)+(0+(0-0))+0-136-0</f>
        <v>584.59999999999991</v>
      </c>
      <c r="Q176" s="3">
        <f>551.1+(278.2-110.3)+(0+(0-0))+0-136.1-0</f>
        <v>582.9</v>
      </c>
      <c r="R176" s="3">
        <f>556+(255.8-93.1)+(-0.85068+(-0.391374--0.142443))+0-137.7--0.210681000000008</f>
        <v>580.11107000000015</v>
      </c>
      <c r="S176" s="3">
        <f>566.5+(295.8-141.7)+(-1.444575+(-0.75429--0.361335))+0-144.2--0.367709999999979</f>
        <v>574.93018000000006</v>
      </c>
      <c r="T176" s="3">
        <f>564.4+(306.4-176.8)+(0+(0-0))+0-136.8-0</f>
        <v>557.20000000000005</v>
      </c>
      <c r="U176" s="3">
        <f>565.1+(294.2-174.4)+(0.576402+(0.300084-0.177888))+0-139.4-0.142188000000022</f>
        <v>546.05640999999991</v>
      </c>
      <c r="V176" s="3">
        <f>552.2+(284.6-152.5)+(-1.126488+(-0.580584--0.3111))+0-141--0.287639999999994</f>
        <v>542.19166800000005</v>
      </c>
      <c r="W176" s="3">
        <f>536.4+(235.8-86.5)+(-1.094256+(-0.481032--0.17646))+0-140.8--0.287231999999994</f>
        <v>543.78840400000001</v>
      </c>
      <c r="X176" s="3">
        <f>541+(364.8-198.3)+(-0.27591+(-0.186048--0.101133))+0-151.5--0.0772649999999846</f>
        <v>555.71644000000003</v>
      </c>
      <c r="Y176" s="3">
        <f>543.5+(308.7-94)+(-0.277185+(-0.157437--0.04794))+0-154.6--0.0788459999999843</f>
        <v>603.29216400000007</v>
      </c>
      <c r="Z176" s="3">
        <f>562.9+(275.7-80.6)+(-0.861237+(-0.421821--0.123318))+0-158.4--0.242352000000009</f>
        <v>598.68261199999995</v>
      </c>
      <c r="AA176" s="3">
        <f>573.6+(260.9-94.4)+(-2.047752+(-0.931413--0.337008))+0-158.4--0.565488000000002</f>
        <v>579.62333100000001</v>
      </c>
      <c r="AB176" s="3">
        <f>578+(245.8-102.7)+(-0.29478+(-0.125358--0.052377))+0-161.3--0.0822629999999836</f>
        <v>559.51450199999999</v>
      </c>
      <c r="AC176" s="3">
        <f>577.8+(222.8-129.8)+(-0.589356+(-0.227256--0.132396))+0-133.1--0.135762000000021</f>
        <v>537.15154599999994</v>
      </c>
      <c r="AD176">
        <f t="shared" si="2"/>
        <v>12637.452783000001</v>
      </c>
      <c r="AE176" s="3">
        <f>569+(267.3-86)+(0+(0-0))+0-151.7-0</f>
        <v>598.59999999999991</v>
      </c>
    </row>
    <row r="177" spans="1:31" s="2" customFormat="1" x14ac:dyDescent="0.25">
      <c r="A177">
        <v>89</v>
      </c>
      <c r="B177">
        <v>6</v>
      </c>
      <c r="C177">
        <v>22</v>
      </c>
      <c r="D177">
        <v>3</v>
      </c>
      <c r="E177">
        <v>1</v>
      </c>
      <c r="F177" s="3">
        <f>571.2+(217-147)+(-1.165248+(-0.44268--0.29988))+0-123.7--0.252347999999995</f>
        <v>516.4443</v>
      </c>
      <c r="G177" s="3">
        <f>566.9+(215.5-158.4)+(-0.289119+(-0.109905--0.080784))+0-126.2--0.0643619999999872</f>
        <v>497.54612200000003</v>
      </c>
      <c r="H177" s="3">
        <f>569.1+(229.4-178.8)+(-0.580482+(-0.233988--0.182376))+0-130.8--0.133416000000021</f>
        <v>488.40132199999999</v>
      </c>
      <c r="I177" s="3">
        <f>571.8+(243-206.6)+(-0.874854+(-0.37179--0.316098))+0-128.9--0.197217000000007</f>
        <v>478.56667099999993</v>
      </c>
      <c r="J177" s="3">
        <f>573.8+(205-177.6)+(-0.585276+(-0.2091--0.181152))+0-119.8--0.122196000000019</f>
        <v>480.90897200000001</v>
      </c>
      <c r="K177" s="3">
        <f>578.6+(195.1-160.3)+(1.180344+(0.398004-0.327012))+0-139.3-0.284171999999994</f>
        <v>475.06716399999999</v>
      </c>
      <c r="L177" s="3">
        <f>572.6+(232.3-214.9)+(-1.168104+(-0.473892--0.438396))+0-121.2--0.247247999999995</f>
        <v>467.84364799999997</v>
      </c>
      <c r="M177" s="3">
        <f>578.1+(296.7-247.3)+(0.884493+(0.453951-0.378369))+0-136.8-0.209304000000008</f>
        <v>491.45077099999992</v>
      </c>
      <c r="N177" s="3">
        <f>573.2+(348.7-277.5)+(-0.292332+(-0.177837--0.141525))+0-122.2--0.0623219999999876</f>
        <v>521.93367799999999</v>
      </c>
      <c r="O177" s="3">
        <f>572.1+(304.2-204)+(0.291771+(0.155142-0.10404))+0-132.4-0.0675239999999866</f>
        <v>540.1753490000001</v>
      </c>
      <c r="P177" s="3">
        <f>567.6+(262-146.1)+(0.578952+(0.26724-0.149022))+0-123.3-0.12576600000002</f>
        <v>560.77140400000008</v>
      </c>
      <c r="Q177" s="3">
        <f>563.9+(248.1-91.5)+(-0.287589+(-0.126531--0.046665))+0-136.7--0.0697169999999861</f>
        <v>583.50226200000009</v>
      </c>
      <c r="R177" s="3">
        <f>557.6+(300.1-144)+(0+(0-0))+0-137.8-0</f>
        <v>575.90000000000009</v>
      </c>
      <c r="S177" s="3">
        <f>550.4+(407.4-254.3)+(-0.561408+(-0.415548--0.259386))+0-134.8--0.137496000000022</f>
        <v>568.11992600000008</v>
      </c>
      <c r="T177" s="3">
        <f>548.7+(460.5-323.2)+(0+(0-0))+0-133.5-0</f>
        <v>552.5</v>
      </c>
      <c r="U177" s="3">
        <f>536.4+(459.8-338.2)+(0+(0-0))+0-130.3-0</f>
        <v>527.70000000000005</v>
      </c>
      <c r="V177" s="3">
        <f>526+(368.2-226.3)+(-1.3413+(-0.93891--0.577065))+0-134.1--0.341954999999981</f>
        <v>532.43880999999999</v>
      </c>
      <c r="W177" s="3">
        <f>525.4+(256.4-89.5)+(-1.607724+(-0.784584--0.27387))+0-136.4--0.417384000000016</f>
        <v>554.19894599999998</v>
      </c>
      <c r="X177" s="3">
        <f>539.6+(376-207.4)+(-0.825588+(-0.57528--0.317322))+0-142--0.217260000000008</f>
        <v>565.3337140000001</v>
      </c>
      <c r="Y177" s="3">
        <f>551.1+(292.9-82.3)+(-0.562122+(-0.298758--0.083946))+0-148.6--0.151572000000024</f>
        <v>612.47463800000003</v>
      </c>
      <c r="Z177" s="3">
        <f>561.5+(303.4-108.6)+(-0.859095+(-0.464202--0.166158))+0-150.7--0.230571000000009</f>
        <v>604.67343200000005</v>
      </c>
      <c r="AA177" s="3">
        <f>568.1+(295.1-130.2)+(-0.869193+(-0.451503--0.199206))+0-148.9--0.227817000000009</f>
        <v>583.20632699999999</v>
      </c>
      <c r="AB177" s="3">
        <f>569.9+(261.8-122.2)+(-1.162596+(-0.534072--0.249288))+0-148.8--0.303551999999994</f>
        <v>559.55617199999995</v>
      </c>
      <c r="AC177" s="3">
        <f>570+(242.4-123.4)+(-0.5814+(-0.247248--0.125868))+0-146.1--0.149022000000023</f>
        <v>542.34624200000007</v>
      </c>
      <c r="AD177">
        <f t="shared" si="2"/>
        <v>12881.059870000001</v>
      </c>
      <c r="AE177" s="3">
        <f>563+(285.2-120.1)+(0+(0-0))+0-139-0</f>
        <v>589.1</v>
      </c>
    </row>
    <row r="178" spans="1:31" s="2" customFormat="1" x14ac:dyDescent="0.25">
      <c r="A178">
        <v>89</v>
      </c>
      <c r="B178">
        <v>6</v>
      </c>
      <c r="C178">
        <v>23</v>
      </c>
      <c r="D178">
        <v>4</v>
      </c>
      <c r="E178">
        <v>1</v>
      </c>
      <c r="F178" s="3">
        <f>570.8+(221.1-132.2)+(-0.873324+(-0.338283--0.202266))+0-140.3--0.214659000000008</f>
        <v>518.6053179999999</v>
      </c>
      <c r="G178" s="3">
        <f>573.4+(210.8-151)+(-0.877302+(-0.322524--0.23103))+0-137.2--0.209916000000008</f>
        <v>495.24112000000008</v>
      </c>
      <c r="H178" s="3">
        <f>576.6+(202.8-156.8)+(-0.294066+(-0.103428--0.079968))+0-143.6--0.0732359999999854</f>
        <v>478.75570999999997</v>
      </c>
      <c r="I178" s="3">
        <f>575.9+(201.5-163.1)+(-0.881127+(-0.308295--0.249543))+0-139.3--0.213129000000008</f>
        <v>474.2732499999999</v>
      </c>
      <c r="J178" s="3">
        <f>572+(208.1-160.6)+(-1.4586+(-0.530655--0.40953))+0-139.3--0.35521499999998</f>
        <v>478.97548999999992</v>
      </c>
      <c r="K178" s="3">
        <f>573.5+(213.4-178.3)+(-0.292485+(-0.108834--0.090933))+0-142.9--0.0728789999999855</f>
        <v>465.46249300000005</v>
      </c>
      <c r="L178" s="3">
        <f>571.4+(309-281.8)+(-1.165656+(-0.63036--0.574872))+0-130.7--0.266627999999994</f>
        <v>466.94548399999991</v>
      </c>
      <c r="M178" s="3">
        <f>574.2+(332.2-268.5)+(0+(0-0))+0-139.4-0</f>
        <v>498.50000000000011</v>
      </c>
      <c r="N178" s="3">
        <f>578.2+(298.3-208.4)+(-0.589764+(-0.304266--0.212568))+0-139--0.141780000000022</f>
        <v>528.56031800000005</v>
      </c>
      <c r="O178" s="3">
        <f>575.1+(295.3-178.9)+(-0.879903+(-0.451809--0.273717))+0-141.9--0.217107000000008</f>
        <v>548.75911200000007</v>
      </c>
      <c r="P178" s="3">
        <f>569.8+(316.5-174)+(-0.290598+(-0.161415--0.08874))+0-149--0.0759899999999849</f>
        <v>563.01271699999984</v>
      </c>
      <c r="Q178" s="3">
        <f>561.3+(261.5-104.6)+(-0.572526+(-0.26673--0.106692))+0-140.6--0.143412000000022</f>
        <v>577.0108479999999</v>
      </c>
      <c r="R178" s="3">
        <f>549.3+(288.6-127.1)+(-1.400715+(-0.73593--0.324105))+0-139.5--0.35572499999998</f>
        <v>569.84318499999995</v>
      </c>
      <c r="S178" s="3">
        <f>559+(349.9-188.8)+(-1.14036+(-0.713796--0.385152))+0-142.6--0.290903999999994</f>
        <v>576.3218999999998</v>
      </c>
      <c r="T178" s="3">
        <f>560+(377.4-205.3)+(-0.2856+(-0.192474--0.104703))+0-145--0.0739499999999853</f>
        <v>586.80057899999986</v>
      </c>
      <c r="U178" s="3">
        <f>552.8+(360-237.7)+(-1.127712+(-0.7344--0.484908))+0-140--0.285599999999994</f>
        <v>534.00839599999995</v>
      </c>
      <c r="V178" s="3">
        <f>553.7+(320.5-158.5)+(-0.564774+(-0.32691--0.16167))+0-143--0.145860000000023</f>
        <v>572.11584600000003</v>
      </c>
      <c r="W178" s="3">
        <f>552.2+(246.2-99.5)+(-0.563244+(-0.251124--0.10149))+0-142--0.144840000000023</f>
        <v>556.33196200000009</v>
      </c>
      <c r="X178" s="3">
        <f>534.1+(355.4-171.7)+(-0.544782+(-0.362508--0.175134))+0-142.5--0.145350000000023</f>
        <v>574.71319399999993</v>
      </c>
      <c r="Y178" s="3">
        <f>555+(263-129.4)+(-0.84915+(-0.40239--0.197982))+0-143--0.218790000000008</f>
        <v>544.76523200000008</v>
      </c>
      <c r="Z178" s="3">
        <f>568.7+(293.2-133.9)+(-0.870111+(-0.448596--0.204867))+0-145--0.221850000000008</f>
        <v>582.10801000000004</v>
      </c>
      <c r="AA178" s="3">
        <f>575.5+(347.6-146.7)+(-1.467525+(-0.88638--0.374085))+0-150--0.382499999999978</f>
        <v>624.80268000000001</v>
      </c>
      <c r="AB178" s="3">
        <f>575.7+(279.5-132.3)+(-0.587214+(-0.28509--0.134946))+0-142--0.144840000000023</f>
        <v>580.30748200000016</v>
      </c>
      <c r="AC178" s="3">
        <f>565.5+(270-151)+(-0.57681+(-0.2754--0.15402))+0-140--0.142800000000022</f>
        <v>543.94461000000001</v>
      </c>
      <c r="AD178">
        <f t="shared" si="2"/>
        <v>12940.164935999999</v>
      </c>
      <c r="AE178" s="3">
        <f>567+(347.6-133.8)+(0+(0-0))+0-147-0</f>
        <v>633.79999999999995</v>
      </c>
    </row>
    <row r="179" spans="1:31" s="2" customFormat="1" x14ac:dyDescent="0.25">
      <c r="A179">
        <v>89</v>
      </c>
      <c r="B179">
        <v>6</v>
      </c>
      <c r="C179">
        <v>24</v>
      </c>
      <c r="D179">
        <v>5</v>
      </c>
      <c r="E179">
        <v>1</v>
      </c>
      <c r="F179" s="3">
        <f>546.5+(240.3-136.7)+(-0.55743+(-0.245106--0.139434))+0-99--0.100980000000016</f>
        <v>550.53787800000009</v>
      </c>
      <c r="G179" s="3">
        <f>553.7+(234.5-137.1)+(-0.282387+(-0.119595--0.069921))+0-117--0.0596699999999881</f>
        <v>533.82760900000005</v>
      </c>
      <c r="H179" s="3">
        <f>557.5+(208.3-161.2)+(0.852975+(0.318699-0.246636))+0-91-0.139230000000005</f>
        <v>514.385808</v>
      </c>
      <c r="I179" s="3">
        <f>557.7+(215.6-156.7)+(0+(0-0))+0-106-0</f>
        <v>510.6</v>
      </c>
      <c r="J179" s="3">
        <f>513.1+(242.3-141.9)+(-0.523362+(-0.247146--0.144738))+0-107--0.109140000000017</f>
        <v>505.98337000000004</v>
      </c>
      <c r="K179" s="3">
        <f>485.8+(252.3-144.8)+(0+(0-0))+0-90-0</f>
        <v>503.29999999999995</v>
      </c>
      <c r="L179" s="3">
        <f>485.7+(288.3-181.2)+(-0.743121+(-0.441099--0.277236))+0-90--0.137700000000005</f>
        <v>502.03071599999998</v>
      </c>
      <c r="M179" s="3">
        <f>483.4+(344.6-211.5)+(-0.493068+(-0.351492--0.21573))+0-87--0.0887400000000139</f>
        <v>528.95991000000004</v>
      </c>
      <c r="N179" s="3">
        <f>477.3+(349-200.8)+(0.243423+(0.17799-0.102408))+0-76-0.0387599999999923</f>
        <v>549.78024499999992</v>
      </c>
      <c r="O179" s="3">
        <f>538.3+(316.3-166.6)+(-0.274533+(-0.161313--0.084966))+0-95--0.0484499999999904</f>
        <v>592.69757000000004</v>
      </c>
      <c r="P179" s="3">
        <f>528.5+(283.2-124.6)+(0+(0-0))+0-125.9-0</f>
        <v>561.20000000000005</v>
      </c>
      <c r="Q179" s="3">
        <f>517.5+(275.2-98.4)+(0.263925+(0.140352-0.050184))+0-129.2-0.0658919999999869</f>
        <v>565.38820100000009</v>
      </c>
      <c r="R179" s="3">
        <f>531.1+(296.5-112.1)+(-0.270861+(-0.151215--0.057171))+0-132.1--0.0673709999999866</f>
        <v>583.10246599999994</v>
      </c>
      <c r="S179" s="3">
        <f>542.9+(359.1-194.3)+(-0.276879+(-0.183141--0.099093))+0-134.6--0.0686459999999863</f>
        <v>572.80771900000002</v>
      </c>
      <c r="T179" s="3">
        <f>539.6+(397.5-268.2)+(-0.825588+(-0.608175--0.410346))+0-118.5--0.181305000000007</f>
        <v>549.55788800000005</v>
      </c>
      <c r="U179" s="3">
        <f>539.2+(406.7-268.4)+(0.549984+(0.414834-0.273768))+0-130.3-0.132906000000021</f>
        <v>547.7581439999999</v>
      </c>
      <c r="V179" s="3">
        <f>539.2+(330.8-191.8)+(0+(0-0))+0-114-0</f>
        <v>564.20000000000005</v>
      </c>
      <c r="W179" s="3">
        <f>541.8+(253.8-100)+(-1.105272+(-0.517752--0.204))+0-127.1--0.259283999999994</f>
        <v>567.34025999999983</v>
      </c>
      <c r="X179" s="3">
        <f>517.2+(369.7-194.4)+(0.263772+(0.188547-0.099144))+0-119.7-0.0610469999999879</f>
        <v>573.09212799999989</v>
      </c>
      <c r="Y179" s="3">
        <f>532.3+(296.7-70.8)+(-0.271473+(-0.151317--0.036108))+0-145.3--0.0741029999999853</f>
        <v>612.58742100000006</v>
      </c>
      <c r="Z179" s="3">
        <f>555+(304.2-110.2)+(-1.41525+(-0.77571--0.28101))+0-143.7--0.366434999999979</f>
        <v>603.756485</v>
      </c>
      <c r="AA179" s="3">
        <f>553.5+(295.6-138.7)+(-1.411425+(-0.75378--0.353685))+0-134.7--0.34348499999998</f>
        <v>574.23196500000006</v>
      </c>
      <c r="AB179" s="3">
        <f>541+(291.8-127.7)+(-1.10364+(-0.595272--0.260508))+0-149.3--0.304571999999994</f>
        <v>554.66616799999997</v>
      </c>
      <c r="AC179" s="3">
        <f>541.5+(266.3-138.2)+(-0.276165+(-0.135813--0.070482))+0-134.6--0.0686459999999863</f>
        <v>534.72714999999994</v>
      </c>
      <c r="AD179">
        <f t="shared" si="2"/>
        <v>13256.519101000002</v>
      </c>
      <c r="AE179" s="3">
        <f>570+(323.3-103.4)+(0+(0-0))+0-169.9-0</f>
        <v>620</v>
      </c>
    </row>
    <row r="180" spans="1:31" s="2" customFormat="1" x14ac:dyDescent="0.25">
      <c r="A180">
        <v>89</v>
      </c>
      <c r="B180">
        <v>6</v>
      </c>
      <c r="C180">
        <v>25</v>
      </c>
      <c r="D180">
        <v>6</v>
      </c>
      <c r="E180">
        <v>1</v>
      </c>
      <c r="F180" s="3">
        <f>558.9+(250.9-162.7)+(-1.425195+(-0.639795--0.414885))+0-128.5--0.327674999999981</f>
        <v>517.27756999999997</v>
      </c>
      <c r="G180" s="3">
        <f>557.9+(226.6-169)+(-1.138116+(-0.462264--0.34476))+0-118--0.240719999999995</f>
        <v>496.48509999999999</v>
      </c>
      <c r="H180" s="3">
        <f>567.8+(197.5-155)+(0.289578+(0.100725-0.07905))+0-125.9-0.0642089999999872</f>
        <v>484.64704399999994</v>
      </c>
      <c r="I180" s="3">
        <f>562.6+(187.3-172.6)+(-1.721556+(-0.573138--0.528156))+0-115.3--0.352818000000013</f>
        <v>460.5862800000001</v>
      </c>
      <c r="J180" s="3">
        <f>522+(218.5-142.8)+(0.26622+(0.111435-0.072828))+0-130.2-0.0664019999999868</f>
        <v>467.73842500000012</v>
      </c>
      <c r="K180" s="3">
        <f>508.5+(228.5-134.5)+(0+(0-0))+0-140.9-0</f>
        <v>461.6</v>
      </c>
      <c r="L180" s="3">
        <f>506.2+(235.1-159.3)+(-1.29081+(-0.599505--0.406215))+0-121--0.308549999999982</f>
        <v>459.82444999999996</v>
      </c>
      <c r="M180" s="3">
        <f>515.9+(261.6-147.5)+(0.263109+(0.133416-0.075225))+0-138-0.070379999999986</f>
        <v>492.25091999999995</v>
      </c>
      <c r="N180" s="3">
        <f>521+(289.1-161.9)+(-0.53142+(-0.294882--0.165138))+0-127.5--0.13005000000002</f>
        <v>520.16888600000004</v>
      </c>
      <c r="O180" s="3">
        <f>574.3+(281.8-174.9)+(-0.292893+(-0.143718--0.089199))+0-138.6--0.0706859999999859</f>
        <v>542.32327399999997</v>
      </c>
      <c r="P180" s="3">
        <f>557.7+(247.2-142.3)+(-0.853281+(-0.378216--0.217719))+0-105.3--0.161109000000006</f>
        <v>556.44733100000008</v>
      </c>
      <c r="Q180" s="3">
        <f>546.3+(238.2-114)+(-1.393065+(-0.60741--0.2907))+0-104.5--0.266474999999985</f>
        <v>564.55669999999998</v>
      </c>
      <c r="R180" s="3">
        <f>556.9+(255-156.1)+(-3.124209+(-1.43055--0.875721))+0-90.4--0.507143999999997</f>
        <v>562.22810600000003</v>
      </c>
      <c r="S180" s="3">
        <f>559.3+(269.5-193.3)+(-0.570486+(-0.27489--0.197166))+0-96.5--0.0984300000000154</f>
        <v>538.45022000000006</v>
      </c>
      <c r="T180" s="3">
        <f>555+(313.2-254.6)+(-0.5661+(-0.319464--0.259692))+0-98.2--0.100164000000016</f>
        <v>514.87429200000008</v>
      </c>
      <c r="U180" s="3">
        <f>553.9+(327.2-247.1)+(-0.282489+(-0.166872--0.126021))+0-125.1--0.0638009999999873</f>
        <v>508.64046099999996</v>
      </c>
      <c r="V180" s="3">
        <f>552.8+(298.2-219.7)+(-0.563856+(-0.304164--0.224094))+0-111.6--0.113832000000018</f>
        <v>519.16990599999997</v>
      </c>
      <c r="W180" s="3">
        <f>543+(243.4-153)+(-1.38465+(-0.62067--0.39015))+0-119--0.303449999999983</f>
        <v>513.08827999999994</v>
      </c>
      <c r="X180" s="3">
        <f>513.4+(254.5-131.1)+(-0.261834+(-0.129795--0.066861))+0-121.8--0.0621179999999876</f>
        <v>514.73734999999999</v>
      </c>
      <c r="Y180" s="3">
        <f>521.9+(291.9-131.3)+(0+(0-0))+0-122.5-0</f>
        <v>560</v>
      </c>
      <c r="Z180" s="3">
        <f>549.3+(293-159.7)+(-0.280143+(-0.14943--0.081447))+0-124.9--0.0636989999999873</f>
        <v>557.41557299999999</v>
      </c>
      <c r="AA180" s="3">
        <f>550.8+(286.4-170.8)+(-0.842724+(-0.438192--0.261324))+0-133.4--0.204102000000008</f>
        <v>532.18450999999993</v>
      </c>
      <c r="AB180" s="3">
        <f>550.2+(247.9-171.4)+(-1.122408+(-0.505716--0.349656))+0-111.8--0.228071999999995</f>
        <v>513.84960400000011</v>
      </c>
      <c r="AC180" s="3">
        <f>552.6+(247.1-178.9)+(-0.845478+(-0.378063--0.273717))+0-126.8--0.194004000000007</f>
        <v>493.24417999999991</v>
      </c>
      <c r="AD180">
        <f t="shared" si="2"/>
        <v>12351.788461999999</v>
      </c>
      <c r="AE180" s="3">
        <f>553+(319.3-154.8)+(0+(0-0))+0-131.8-0</f>
        <v>585.70000000000005</v>
      </c>
    </row>
    <row r="181" spans="1:31" s="2" customFormat="1" x14ac:dyDescent="0.25">
      <c r="A181">
        <v>89</v>
      </c>
      <c r="B181">
        <v>6</v>
      </c>
      <c r="C181">
        <v>26</v>
      </c>
      <c r="D181">
        <v>7</v>
      </c>
      <c r="E181">
        <v>1</v>
      </c>
      <c r="F181" s="3">
        <f>550.9+(216.7-162.9)+(-1.123836+(-0.442068--0.332316))+0-135--0.275399999999994</f>
        <v>468.74181199999987</v>
      </c>
      <c r="G181" s="3">
        <f>522.1+(225.4-149)+(-1.331355+(-0.57477--0.37995))+0-143--0.364649999999979</f>
        <v>454.33847500000002</v>
      </c>
      <c r="H181" s="3">
        <f>523.2+(220.2-142.3)+(0.266832+(0.112302-0.072573))+0-150.1-0.0765509999999848</f>
        <v>451.23000999999999</v>
      </c>
      <c r="I181" s="3">
        <f>525.5+(212.6-143.1)+(0.268005+(0.108426-0.072981))+0-146.5-0.0747149999999851</f>
        <v>448.72873500000003</v>
      </c>
      <c r="J181" s="3">
        <f>522.7+(214.3-145)+(0+(0-0))+0-155.6-0</f>
        <v>436.4</v>
      </c>
      <c r="K181" s="3">
        <f>529.7+(207.5-153.1)+(0.270147+(0.105825-0.078081))+0-147.8-0.075377999999985</f>
        <v>436.52251300000006</v>
      </c>
      <c r="L181" s="3">
        <f>529.9+(202.7-174)+(-1.351245+(-0.516885--0.4437))+0-144.2--0.367709999999979</f>
        <v>413.34327999999988</v>
      </c>
      <c r="M181" s="3">
        <f>529.8+(194-167.7)+(-0.810594+(-0.29682--0.256581))+0-140.2--0.214506000000008</f>
        <v>415.26367299999998</v>
      </c>
      <c r="N181" s="3">
        <f>529.2+(217-134.6)+(0+(0-0))+0-147.4-0</f>
        <v>464.20000000000005</v>
      </c>
      <c r="O181" s="3">
        <f>517.8+(207.5-102.3)+(-0.264078+(-0.105825--0.052173))+0-153.4--0.0782339999999844</f>
        <v>469.36050400000005</v>
      </c>
      <c r="P181" s="3">
        <f>517.2+(183.5-137)+(-0.527544+(-0.18717--0.13974))+0-136.1--0.138822000000022</f>
        <v>427.16384800000003</v>
      </c>
      <c r="Q181" s="3">
        <f>516.5+(192.3-112.7)+(-0.790245+(-0.294219--0.172431))+0-142.8--0.218484000000008</f>
        <v>452.60645100000005</v>
      </c>
      <c r="R181" s="3">
        <f>506+(264.5-178.5)+(0+(0-0))+0-141.4-0</f>
        <v>450.6</v>
      </c>
      <c r="S181" s="3">
        <f>500.7+(332.7-247.5)+(-0.510714+(-0.339354--0.25245))+0-146.5--0.149430000000023</f>
        <v>438.95181199999996</v>
      </c>
      <c r="T181" s="3">
        <f>504.3+(372.2-293.7)+(-1.028772+(-0.759288--0.599148))+0-143.1--0.291923999999994</f>
        <v>438.80301199999997</v>
      </c>
      <c r="U181" s="3">
        <f>498.1+(357.1-296.3)+(-0.508062+(-0.364242--0.302226))+0-143--0.145860000000023</f>
        <v>415.47578200000015</v>
      </c>
      <c r="V181" s="3">
        <f>495+(277.9-203.3)+(-0.5049+(-0.283458--0.207366))+0-142.5--0.145350000000023</f>
        <v>426.66435799999988</v>
      </c>
      <c r="W181" s="3">
        <f>479.2+(197.1-120.2)+(-0.244392+(-0.100521--0.061302))+0-153.5--0.0782849999999844</f>
        <v>402.39467400000007</v>
      </c>
      <c r="X181" s="3">
        <f>464.7+(278.9-165.1)+(-0.710991+(-0.426717--0.252603))+0-153.8--0.235314000000009</f>
        <v>424.05020900000005</v>
      </c>
      <c r="Y181" s="3">
        <f>471.1+(244.1-79.4)+(-0.720783+(-0.373473--0.121482))+0-155.8--0.238374000000009</f>
        <v>479.26560000000001</v>
      </c>
      <c r="Z181" s="3">
        <f>503.5+(269.4-139.3)+(0+(0-0))+0-157.4-0</f>
        <v>476.19999999999993</v>
      </c>
      <c r="AA181" s="3">
        <f>522.1+(258.3-159)+(-1.863897+(-0.922131--0.56763))+0-154.7--0.552279000000002</f>
        <v>465.03388100000012</v>
      </c>
      <c r="AB181" s="3">
        <f>514+(267.7-160.8)+(-1.04856+(-0.546108--0.328032))+0-169.7--0.346187999999993</f>
        <v>450.27955200000002</v>
      </c>
      <c r="AC181" s="3">
        <f>512+(246.8-182.8)+(-0.52224+(-0.251736--0.186456))+0-141--0.143820000000022</f>
        <v>434.55629999999996</v>
      </c>
      <c r="AD181">
        <f t="shared" si="2"/>
        <v>10640.174481000004</v>
      </c>
      <c r="AE181" s="3">
        <f>512+(283.2-132.7)+(0+(0-0))+0-177.3-0</f>
        <v>485.2</v>
      </c>
    </row>
    <row r="182" spans="1:31" s="2" customFormat="1" x14ac:dyDescent="0.25">
      <c r="A182">
        <v>89</v>
      </c>
      <c r="B182">
        <v>6</v>
      </c>
      <c r="C182">
        <v>27</v>
      </c>
      <c r="D182">
        <v>1</v>
      </c>
      <c r="E182">
        <v>1</v>
      </c>
      <c r="F182" s="3">
        <f>523+(209.4-170.5)+(-0.80019+(-0.320382--0.260865))+0-144.6--0.221238000000008</f>
        <v>416.66153100000002</v>
      </c>
      <c r="G182" s="3">
        <f>525+(202.4-177.9)+(-1.071+(-0.412896--0.362916))+0-148.1--0.302123999999994</f>
        <v>400.58114399999994</v>
      </c>
      <c r="H182" s="3">
        <f>527+(197.6-171.8)+(-1.07508+(-0.403104--0.350472))+0-155.3--0.316811999999993</f>
        <v>396.68909999999994</v>
      </c>
      <c r="I182" s="3">
        <f>531+(196.4-194.9)+(-0.27081+(-0.100164--0.099399))+0-140.8--0.0718079999999857</f>
        <v>391.50023299999998</v>
      </c>
      <c r="J182" s="3">
        <f>531+(194.4-190.8)+(0.27081+(0.099144-0.097308))+0-150.6-0.0768059999999847</f>
        <v>384.19584000000003</v>
      </c>
      <c r="K182" s="3">
        <f>537+(197-193.3)+(0.27387+(0.10047-0.098583))+0-150.3-0.0766529999999848</f>
        <v>390.59910400000007</v>
      </c>
      <c r="L182" s="3">
        <f>534+(216.3-211.5)+(-1.3617+(-0.551565--0.539325))+0-136.9--0.34909499999998</f>
        <v>400.87515500000001</v>
      </c>
      <c r="M182" s="3">
        <f>537+(277.9-240.3)+(-1.09548+(-0.566916--0.490212))+0-137.9--0.281315999999994</f>
        <v>435.80913199999992</v>
      </c>
      <c r="N182" s="3">
        <f>529+(291.9-212)+(0+(0-0))+0-142.7-0</f>
        <v>466.2</v>
      </c>
      <c r="O182" s="3">
        <f>536+(342.2-236.4)+(0+(0-0))+0-149.4-0</f>
        <v>492.4</v>
      </c>
      <c r="P182" s="3">
        <f>532+(331.8-221.6)+(-0.27132+(-0.169218--0.113016))+0-140.5--0.0716549999999857</f>
        <v>501.44413299999997</v>
      </c>
      <c r="Q182" s="3">
        <f>593+(235.6-176.9)+(-1.20972+(-0.480624--0.360876))+0-131.8--0.268871999999994</f>
        <v>518.83940399999994</v>
      </c>
      <c r="R182" s="3">
        <f>533+(255.2-126.1)+(-0.54366+(-0.260304--0.128622))+0-155--0.158100000000025</f>
        <v>506.58275800000007</v>
      </c>
      <c r="S182" s="3">
        <f>514+(298.7-166)+(-1.57284+(-0.914022--0.50796))+0-145.5--0.445230000000017</f>
        <v>499.66632800000014</v>
      </c>
      <c r="T182" s="3">
        <f>509+(338.3-224)+(-0.51918+(-0.345066--0.22848))+0-151.5--0.154530000000024</f>
        <v>471.31876399999999</v>
      </c>
      <c r="U182" s="3">
        <f>513+(279.6-186.9)+(-0.78489+(-0.427788--0.285957))+0-135--0.206550000000008</f>
        <v>469.979829</v>
      </c>
      <c r="V182" s="3">
        <f>509+(250.7-133.4)+(-0.51918+(-0.255714--0.136068))+0-147.2--0.150144000000023</f>
        <v>478.61131799999998</v>
      </c>
      <c r="W182" s="3">
        <f>514+(284.1-150)+(-1.04856+(-0.579564--0.306))+0-149.9--0.305795999999993</f>
        <v>497.183672</v>
      </c>
      <c r="X182" s="3">
        <f>513+(309.2-192.6)+(-0.78489+(-0.473076--0.294678))+0-133.6--0.204408000000008</f>
        <v>495.24111999999997</v>
      </c>
      <c r="Y182" s="3">
        <f>517+(311.8-150.1)+(-0.26367+(-0.159018--0.076551))+0-141.6--0.0722159999999856</f>
        <v>536.82607900000005</v>
      </c>
      <c r="Z182" s="3">
        <f>533+(251.6-112.1)+(-1.08732+(-0.513264--0.228684))+0-129.3--0.263771999999994</f>
        <v>542.09187199999997</v>
      </c>
      <c r="AA182" s="3">
        <f>517+(242.5-112.8)+(0.26367+(0.123675-0.057528))+0-137.5-0.070124999999986</f>
        <v>509.45969200000013</v>
      </c>
      <c r="AB182" s="3">
        <f>474+(278.5-138.2)+(-0.96696+(-0.56814--0.281928))+0-127.8--0.260711999999994</f>
        <v>485.50754000000001</v>
      </c>
      <c r="AC182" s="3">
        <f>475+(262.4-154.6)+(-0.969+(-0.535296--0.315384))+0-125.6--0.256223999999995</f>
        <v>456.26731199999995</v>
      </c>
      <c r="AD182">
        <f t="shared" si="2"/>
        <v>11144.531060000003</v>
      </c>
      <c r="AE182" s="3">
        <f>532+(257.6-124.9)+(0+(0-0))+0-130.8-0</f>
        <v>533.90000000000009</v>
      </c>
    </row>
    <row r="183" spans="1:31" s="2" customFormat="1" x14ac:dyDescent="0.25">
      <c r="A183">
        <v>89</v>
      </c>
      <c r="B183">
        <v>6</v>
      </c>
      <c r="C183">
        <v>28</v>
      </c>
      <c r="D183">
        <v>2</v>
      </c>
      <c r="E183">
        <v>1</v>
      </c>
      <c r="F183" s="3">
        <f>478+(270.5-171.9)+(0+(0-0))+0-146.1-0</f>
        <v>430.5</v>
      </c>
      <c r="G183" s="3">
        <f>481+(225.8-145.8)+(-0.24531+(-0.115158--0.074358))+0-151.9--0.0774689999999846</f>
        <v>408.89135900000002</v>
      </c>
      <c r="H183" s="3">
        <f>483+(196.7-136.8)+(-0.24633+(-0.100317--0.069768))+0-136.8--0.0697679999999861</f>
        <v>405.89288899999997</v>
      </c>
      <c r="I183" s="3">
        <f>480+(197.4-136.9)+(-0.4896+(-0.201348--0.139638))+0-145.1--0.148002000000023</f>
        <v>394.99669200000005</v>
      </c>
      <c r="J183" s="3">
        <f>483+(196.3-138.5)+(-0.24633+(-0.100113--0.070635))+0-150.3--0.0766529999999848</f>
        <v>390.30084499999992</v>
      </c>
      <c r="K183" s="3">
        <f>482+(207-154.4)+(-0.49164+(-0.21114--0.157488))+0-141.4--0.144228000000023</f>
        <v>392.79893600000003</v>
      </c>
      <c r="L183" s="3">
        <f>487+(268.1-206.4)+(-1.24185+(-0.683655--0.52632))+0-148.5--0.378674999999978</f>
        <v>399.17949000000004</v>
      </c>
      <c r="M183" s="3">
        <f>483+(306.6-232.1)+(0+(0-0))+0-131.8-0</f>
        <v>425.7</v>
      </c>
      <c r="N183" s="3">
        <f>511+(354-254.9)+(-0.52122+(-0.36108--0.259998))+0-152.3--0.155346000000024</f>
        <v>457.33304400000003</v>
      </c>
      <c r="O183" s="3">
        <f>526+(315.1-214.7)+(-1.3413+(-0.803505--0.547485))+0-139.7--0.35623499999998</f>
        <v>485.4589150000001</v>
      </c>
      <c r="P183" s="3">
        <f>524+(307.9-181.6)+(0+(0-0))+0-149.2-0</f>
        <v>501.09999999999997</v>
      </c>
      <c r="Q183" s="3">
        <f>519+(301.5-163.7)+(-0.79407+(-0.461295--0.250461))+0-136.7--0.209151000000008</f>
        <v>519.30424700000003</v>
      </c>
      <c r="R183" s="3">
        <f>513+(249.2-89.9)+(-0.78489+(-0.381276--0.137547))+0-146--0.223380000000008</f>
        <v>525.49476099999993</v>
      </c>
      <c r="S183" s="3">
        <f>512+(254.5-110.3)+(-1.04448+(-0.51918--0.225012))+0-139.1--0.283763999999994</f>
        <v>516.04511600000001</v>
      </c>
      <c r="T183" s="3">
        <f>511+(268.4-150.1)+(0.26061+(0.136884-0.076551))+0-129-0.0657899999999869</f>
        <v>500.55515300000002</v>
      </c>
      <c r="U183" s="3">
        <f>511+(262-149.5)+(-0.52122+(-0.26724--0.15249))+0-129.3--0.131886000000021</f>
        <v>493.69591599999995</v>
      </c>
      <c r="V183" s="3">
        <f>521.4+(238-104)+(-1.32957+(-0.6069--0.2652))+0-138.8--0.35393999999998</f>
        <v>515.28266999999983</v>
      </c>
      <c r="W183" s="3">
        <f>482.1+(293.5-125.6)+(-0.983484+(-0.59874--0.256224))+0-151.2--0.308447999999993</f>
        <v>497.78244799999999</v>
      </c>
      <c r="X183" s="3">
        <f>445.5+(314.4-113.2)+(0.227205+(0.160344-0.057732))+0-141.6-0.0722159999999856</f>
        <v>505.3576010000001</v>
      </c>
      <c r="Y183" s="3">
        <f>495+(291.5-60.1)+(-0.25245+(-0.148665--0.030651))+0-160--0.0815999999999838</f>
        <v>566.11113599999999</v>
      </c>
      <c r="Z183" s="3">
        <f>529+(259.5-64.4)+(-0.80937+(-0.397035--0.098532))+0-150.4--0.230112000000009</f>
        <v>572.82223899999997</v>
      </c>
      <c r="AA183" s="3">
        <f>531.9+(246.1-62.6)+(-1.085076+(-0.502044--0.127704))+0-166.4--0.339455999999993</f>
        <v>547.88004000000001</v>
      </c>
      <c r="AB183" s="3">
        <f>535.9+(234.8-89.4)+(-1.639854+(-0.718488--0.273564))+0-148.5--0.454410000000017</f>
        <v>531.16963199999998</v>
      </c>
      <c r="AC183" s="3">
        <f>533.6+(225.8-112.4)+(-0.272136+(-0.115158--0.057324))+0-155--0.0790499999999843</f>
        <v>491.74907999999999</v>
      </c>
      <c r="AD183">
        <f t="shared" si="2"/>
        <v>11475.402208999998</v>
      </c>
      <c r="AE183" s="3">
        <f>511+(258.5-63.3)+(0+(0-0))+0-152.7-0</f>
        <v>553.5</v>
      </c>
    </row>
    <row r="184" spans="1:31" s="2" customFormat="1" x14ac:dyDescent="0.25">
      <c r="A184">
        <v>89</v>
      </c>
      <c r="B184">
        <v>6</v>
      </c>
      <c r="C184">
        <v>29</v>
      </c>
      <c r="D184">
        <v>3</v>
      </c>
      <c r="E184">
        <v>1</v>
      </c>
      <c r="F184" s="3">
        <f>524.5+(221.9-121.4)+(-1.06998+(-0.452676--0.247656))+0-155.9--0.318035999999993</f>
        <v>468.14303600000005</v>
      </c>
      <c r="G184" s="3">
        <f>527.6+(252.6-161.6)+(0+(0-0))+0-167.9-0</f>
        <v>450.70000000000005</v>
      </c>
      <c r="H184" s="3">
        <f>528.9+(240.4-179.7)+(-0.809217+(-0.367812--0.274941))+0-147.6--0.225828000000009</f>
        <v>441.32373999999999</v>
      </c>
      <c r="I184" s="3">
        <f>526.4+(241.7-187.9)+(-0.536928+(-0.246534--0.191658))+0-145.6--0.148512000000023</f>
        <v>434.15670799999992</v>
      </c>
      <c r="J184" s="3">
        <f>532.9+(277-237.5)+(0.271779+(0.14127-0.121125))+0-145.5-0.0742049999999852</f>
        <v>427.11771899999997</v>
      </c>
      <c r="K184" s="3">
        <f>534.9+(329.6-285.7)+(0+(0-0))+0-148.8-0</f>
        <v>429.99999999999994</v>
      </c>
      <c r="L184" s="3">
        <f>526.2+(419.4-359.4)+(-1.610172+(-1.283364--1.099764))+0-152.2--0.465732000000018</f>
        <v>432.67196000000007</v>
      </c>
      <c r="M184" s="3">
        <f>540.1+(406.2-330.9)+(0+(0-0))+0-145.7-0</f>
        <v>469.7000000000001</v>
      </c>
      <c r="N184" s="3">
        <f>533.7+(459.6-349.2)+(-0.272187+(-0.234396--0.178092))+0-146.6--0.0747659999999851</f>
        <v>497.24627500000014</v>
      </c>
      <c r="O184" s="3">
        <f>530.7+(458.5-342.1)+(-0.270657+(-0.233835--0.174471))+0-134.8--0.0687479999999863</f>
        <v>512.03872699999999</v>
      </c>
      <c r="P184" s="3">
        <f>529.4+(392.7-247.8)+(0+(0-0))+0-148.8-0</f>
        <v>525.5</v>
      </c>
      <c r="Q184" s="3">
        <f>520.4+(330.5-174.1)+(-0.796212+(-0.505665--0.266373))+0-135.3--0.207009000000008</f>
        <v>540.67150500000002</v>
      </c>
      <c r="R184" s="3">
        <f>514.2+(263.4-90.9)+(-0.262242+(-0.134334--0.046359))+0-159.6--0.0813959999999838</f>
        <v>526.83117900000002</v>
      </c>
      <c r="S184" s="3">
        <f>512.7+(264.6-113.5)+(-1.830339+(-0.944622--0.405195))+0-138--0.492660000000002</f>
        <v>523.92289400000004</v>
      </c>
      <c r="T184" s="3">
        <f>508.6+(309.8-166.6)+(0.259386+(0.157998-0.084966))+0-148.2-0.075581999999985</f>
        <v>503.85683600000004</v>
      </c>
      <c r="U184" s="3">
        <f>505.3+(264.5-139.2)+(-1.030812+(-0.53958--0.283968))+0-139--0.283559999999994</f>
        <v>490.59713599999998</v>
      </c>
      <c r="V184" s="3">
        <f>502.6+(230.1-89)+(-1.025304+(-0.469404--0.18156))+0-148.9--0.303755999999994</f>
        <v>493.79060800000013</v>
      </c>
      <c r="W184" s="3">
        <f>499.8+(317-158.9)+(-1.27449+(-0.80835--0.405195))+0-147.2--0.375359999999979</f>
        <v>509.39771500000001</v>
      </c>
      <c r="X184" s="3">
        <f>504.2+(452-284.1)+(-0.257142+(-0.23052--0.144891))+0-149.2--0.0760919999999849</f>
        <v>522.63332100000002</v>
      </c>
      <c r="Y184" s="3">
        <f>510.8+(341.6-146.2)+(0.260508+(0.174216-0.074562))+0-136.4-0.0695639999999862</f>
        <v>570.090598</v>
      </c>
      <c r="Z184" s="3">
        <f>530.4+(261.1-66.3)+(-1.082016+(-0.532644--0.135252))+0-152.1--0.310283999999993</f>
        <v>571.93087600000001</v>
      </c>
      <c r="AA184" s="3">
        <f>520.1+(246.8-66)+(-1.591506+(-0.755208--0.20196))+0-164.3--0.502758000000019</f>
        <v>534.95800399999996</v>
      </c>
      <c r="AB184" s="3">
        <f>512.3+(290-136.1)+(-1.045092+(-0.5916--0.277644))+0-161.5--0.329459999999993</f>
        <v>503.67041199999989</v>
      </c>
      <c r="AC184" s="3">
        <f>492.7+(265.5-148.3)+(-1.005108+(-0.54162--0.302532))+0-154.3--0.314771999999993</f>
        <v>454.67057599999998</v>
      </c>
      <c r="AD184">
        <f t="shared" si="2"/>
        <v>11835.619825000002</v>
      </c>
      <c r="AE184" s="3">
        <f>526+(249.8-72.6)+(0+(0-0))+0-125.5-0</f>
        <v>577.70000000000005</v>
      </c>
    </row>
    <row r="185" spans="1:31" s="2" customFormat="1" x14ac:dyDescent="0.25">
      <c r="A185">
        <v>89</v>
      </c>
      <c r="B185">
        <v>6</v>
      </c>
      <c r="C185">
        <v>30</v>
      </c>
      <c r="D185">
        <v>4</v>
      </c>
      <c r="E185">
        <v>1</v>
      </c>
      <c r="F185" s="3">
        <f>528+(212.1-137.1)+(-0.80784+(-0.324513--0.209763))+0-139.2--0.212976000000008</f>
        <v>463.09038600000002</v>
      </c>
      <c r="G185" s="3">
        <f>527+(196.7-137.6)+(-0.80631+(-0.300951--0.210528))+0-151.7--0.232101000000009</f>
        <v>433.73536799999999</v>
      </c>
      <c r="H185" s="3">
        <f>526+(185-139.2)+(0+(0-0))+0-147.8-0</f>
        <v>423.99999999999994</v>
      </c>
      <c r="I185" s="3">
        <f>526+(202.2-165.3)+(-0.26826+(-0.103122--0.084303))+0-141.7--0.0722669999999856</f>
        <v>420.98518800000005</v>
      </c>
      <c r="J185" s="3">
        <f>527+(219.1-175.7)+(-0.26877+(-0.111741--0.089607))+0-154.3--0.0786929999999844</f>
        <v>415.887789</v>
      </c>
      <c r="K185" s="3">
        <f>531+(258.1-208.8)+(0.27081+(0.131631-0.106488))+0-146-0.0744599999999852</f>
        <v>434.52149300000002</v>
      </c>
      <c r="L185" s="3">
        <f>478+(410.7-317.6)+(-0.48756+(-0.418914--0.323952))+0-140.9--0.143718000000022</f>
        <v>429.76119599999993</v>
      </c>
      <c r="M185" s="3">
        <f>473+(494.2-383.6)+(-0.48246+(-0.504084--0.391272))+0-132--0.134640000000021</f>
        <v>451.13936799999993</v>
      </c>
      <c r="N185" s="3">
        <f>473+(472.2-320)+(0.24123+(0.240822-0.1632))+0-137.3-0.0700229999999861</f>
        <v>488.14882900000003</v>
      </c>
      <c r="O185" s="3">
        <f>496+(460.6-300.9)+(-0.50592+(-0.469812--0.306918))+0-149.3--0.152286000000024</f>
        <v>505.88347200000004</v>
      </c>
      <c r="P185" s="3">
        <f>518+(401.8-277.5)+(-0.26418+(-0.204918--0.141525))+0-145.6--0.0742559999999852</f>
        <v>496.44668299999989</v>
      </c>
      <c r="Q185" s="3">
        <f>513+(300.1-141.4)+(0+(0-0))+0-149.9-0</f>
        <v>521.80000000000007</v>
      </c>
      <c r="R185" s="3">
        <f>505+(261.1-81.1)+(0.25755+(0.133161-0.041361))+0-151.3-0.0771629999999847</f>
        <v>533.97218699999996</v>
      </c>
      <c r="S185" s="3">
        <f>498+(284.4-105.6)+(-1.2699+(-0.72522--0.26928))+0-162.9--0.415394999999976</f>
        <v>512.58955500000002</v>
      </c>
      <c r="T185" s="3">
        <f>496+(287.7-134.6)+(0.50592+(0.293454-0.137292))+0-149.9-0.152898000000024</f>
        <v>499.70918400000005</v>
      </c>
      <c r="U185" s="3">
        <f>493+(271.5-112.5)+(-0.50286+(-0.27693--0.11475))+0-162.1--0.165342000000026</f>
        <v>489.40030200000001</v>
      </c>
      <c r="V185" s="3">
        <f>489+(237.9-78.4)+(-0.99756+(-0.485316--0.159936))+0-153.7--0.313547999999993</f>
        <v>493.79060799999996</v>
      </c>
      <c r="W185" s="3">
        <f>490+(310.7-125.6)+(-0.4998+(-0.316914--0.128112))+0-160.8--0.164016000000026</f>
        <v>513.77541400000007</v>
      </c>
      <c r="X185" s="3">
        <f>496+(332.7-155.6)+(-0.50592+(-0.339354--0.158712))+0-146.5--0.149430000000023</f>
        <v>526.06286800000009</v>
      </c>
      <c r="Y185" s="3">
        <f>501+(290.9-65.1)+(0+(0-0))+0-149.4-0</f>
        <v>577.4</v>
      </c>
      <c r="Z185" s="3">
        <f>501+(291.2-63.2)+(-1.27755+(-0.74256--0.16116))+0-158.2--0.403409999999977</f>
        <v>569.34445999999991</v>
      </c>
      <c r="AA185" s="3">
        <f>500+(266.8-60.1)+(-1.53+(-0.816408--0.183906))+0-159.7--0.488682000000018</f>
        <v>545.32618000000014</v>
      </c>
      <c r="AB185" s="3">
        <f>506+(265.7-104.6)+(-0.51612+(-0.271014--0.106692))+0-148.1--0.151062000000024</f>
        <v>518.47062000000005</v>
      </c>
      <c r="AC185" s="3">
        <f>504+(253.7-114.2)+(-0.51408+(-0.258774--0.116484))+0-156.7--0.159834000000025</f>
        <v>486.30346400000002</v>
      </c>
      <c r="AD185">
        <f t="shared" si="2"/>
        <v>11751.544614000002</v>
      </c>
      <c r="AE185" s="3">
        <f>503+(296.3-62.7)+(0+(0-0))+0-187.2-0</f>
        <v>549.40000000000009</v>
      </c>
    </row>
    <row r="186" spans="1:31" s="2" customFormat="1" x14ac:dyDescent="0.25">
      <c r="A186">
        <v>89</v>
      </c>
      <c r="B186">
        <v>6</v>
      </c>
      <c r="C186">
        <v>31</v>
      </c>
      <c r="D186">
        <v>5</v>
      </c>
      <c r="E186">
        <v>1</v>
      </c>
      <c r="F186" s="3">
        <f>510+(200.6-108.8)+(-0.5202+(-0.204612--0.110976))+0-153.9--0.156978000000025</f>
        <v>447.44314200000002</v>
      </c>
      <c r="G186" s="3">
        <f>519+(185-104.2)+(-0.79407+(-0.28305--0.159426))+0-153--0.234090000000009</f>
        <v>446.11639600000001</v>
      </c>
      <c r="H186" s="3">
        <f>524+(205.2-145.5)+(-0.80172+(-0.313956--0.222615))+0-152.6--0.233478000000009</f>
        <v>430.44041700000002</v>
      </c>
      <c r="I186" s="3">
        <f>531+(248.8-209.5)+(0.54162+(0.253776-0.21369))+0-142.5-0.145350000000023</f>
        <v>428.236356</v>
      </c>
      <c r="J186" s="3">
        <f>528+(289.6-243.9)+(-0.26928+(-0.147696--0.124389))+0-147.1--0.0750209999999851</f>
        <v>426.38243399999999</v>
      </c>
      <c r="K186" s="3">
        <f>528+(354.6-316.7)+(-0.53856+(-0.361692--0.323034))+0-142.8--0.145656000000023</f>
        <v>422.66843800000009</v>
      </c>
      <c r="L186" s="3">
        <f>532+(393.3-340.6)+(-0.54264+(-0.401166--0.347412))+0-140.8--0.143616000000022</f>
        <v>443.44722200000001</v>
      </c>
      <c r="M186" s="3">
        <f>526+(440.2-349.2)+(0+(0-0))+0-139-0</f>
        <v>478</v>
      </c>
      <c r="N186" s="3">
        <f>534.2+(480.3-368.9)+(0.272442+(0.244953-0.188139))+0-131.8-0.0672179999999866</f>
        <v>514.06203800000014</v>
      </c>
      <c r="O186" s="3">
        <f>529.6+(397.2-247.9)+(0+(0-0))+0-141.9-0</f>
        <v>537</v>
      </c>
      <c r="P186" s="3">
        <f>524.4+(323.8-141.1)+(0.534888+(0.330276-0.143922))+0-151.7-0.154734000000024</f>
        <v>555.96650799999986</v>
      </c>
      <c r="Q186" s="3">
        <f>517.8+(260.9-84.8)+(-0.264078+(-0.133059--0.043248))+0-123.6--0.0630359999999875</f>
        <v>570.00914699999987</v>
      </c>
      <c r="R186" s="3">
        <f>513.7+(285.3-85.4)+(-2.095896+(-1.164024--0.348432))+0-144.8--0.590783999999987</f>
        <v>566.47929599999998</v>
      </c>
      <c r="S186" s="3">
        <f>507.5+(323.6-149.3)+(-0.258825+(-0.165036--0.076143))+0-132.2--0.0674219999999866</f>
        <v>549.31970399999989</v>
      </c>
      <c r="T186" s="3">
        <f>501.4+(331.4-152.4)+(-0.255714+(-0.169014--0.077724))+0-144.8--0.0738479999999853</f>
        <v>535.32684399999994</v>
      </c>
      <c r="U186" s="3">
        <f>504.3+(275.1-105.5)+(-0.771579+(-0.420903--0.161415))+0-138.1--0.211293000000008</f>
        <v>534.98022600000002</v>
      </c>
      <c r="V186" s="3">
        <f>503.5+(289.1-107)+(0+(0-0))+0-137.2-0</f>
        <v>548.40000000000009</v>
      </c>
      <c r="W186" s="3">
        <f>505.1+(364.5-158.1)+(-0.257601+(-0.185895--0.080631))+0-140.9--0.0718589999999857</f>
        <v>570.30899399999998</v>
      </c>
      <c r="X186" s="3">
        <f>510.6+(309-58.1)+(-0.260406+(-0.15759--0.029631))+0-146.7--0.0748169999999851</f>
        <v>614.48645199999987</v>
      </c>
      <c r="Y186" s="3">
        <f>517.8+(298.6-70)+(0.264078+(0.152286-0.0357))+0-147.1-0.0750209999999851</f>
        <v>599.60564299999999</v>
      </c>
      <c r="Z186" s="3">
        <f>527.5+(273.1-79.7)+(-0.53805+(-0.278562--0.081294))+0-142.9--0.145758000000023</f>
        <v>577.41044000000011</v>
      </c>
      <c r="AA186" s="3">
        <f>525.1+(254.2-82.9)+(-1.606806+(-0.777852--0.253674))+0-135.2--0.413712000000016</f>
        <v>559.48272799999995</v>
      </c>
      <c r="AB186" s="3">
        <f>528+(223.5-83.5)+(-1.07712+(-0.45594--0.17034))+0-129--0.263159999999994</f>
        <v>537.90044</v>
      </c>
      <c r="AC186" s="3">
        <f>527.8+(247.5-150.7)+(-1.076712+(-0.5049--0.307428))+0-113.9--0.232355999999995</f>
        <v>509.65817199999992</v>
      </c>
      <c r="AD186">
        <f t="shared" si="2"/>
        <v>12403.131036999997</v>
      </c>
      <c r="AE186" s="3">
        <f>515+(277.2-60.6)+(0+(0-0))+0-141.4-0</f>
        <v>590.20000000000005</v>
      </c>
    </row>
    <row r="187" spans="1:31" s="2" customFormat="1" x14ac:dyDescent="0.25">
      <c r="A187">
        <v>89</v>
      </c>
      <c r="B187">
        <v>7</v>
      </c>
      <c r="C187">
        <v>1</v>
      </c>
      <c r="D187">
        <v>6</v>
      </c>
      <c r="E187">
        <v>1</v>
      </c>
      <c r="F187" s="3">
        <f>534.9+(225.7-153.8)+(-0.545598+(-0.230214--0.156876))+0-126.1--0.12862200000002</f>
        <v>480.20968599999998</v>
      </c>
      <c r="G187" s="3">
        <f>538.4+(179.7-125.6)+(-0.823752+(-0.274941--0.192168))+0-129.4--0.197982000000007</f>
        <v>462.39145700000006</v>
      </c>
      <c r="H187" s="3">
        <f>543.8+(171.8-135.2)+(-0.277338+(-0.087618--0.068952))+0-133--0.0678299999999865</f>
        <v>447.1718259999999</v>
      </c>
      <c r="I187" s="3">
        <f>543.3+(167.3-149.3)+(0.277083+(0.085323-0.076143))+0-114.5-0.0583949999999884</f>
        <v>447.02786799999996</v>
      </c>
      <c r="J187" s="3">
        <f>541.9+(173.1-140)+(-0.829107+(-0.264843--0.2142))+0-125--0.191250000000007</f>
        <v>449.31150000000008</v>
      </c>
      <c r="K187" s="3">
        <f>541.5+(180.3-154.3)+(-0.55233+(-0.183906--0.157386))+0-135--0.137700000000022</f>
        <v>432.05885000000001</v>
      </c>
      <c r="L187" s="3">
        <f>489.3+(250.7-155.7)+(0.249543+(0.127857-0.079407))+0-140.2-0.0715019999999858</f>
        <v>444.32649099999998</v>
      </c>
      <c r="M187" s="3">
        <f>479.2+(258.7-126.4)+(0+(0-0))+0-128.2-0</f>
        <v>483.3</v>
      </c>
      <c r="N187" s="3">
        <f>476.3+(263-96.6)+(0.242913+(0.13413-0.049266))+0-134.9-0.0687989999999863</f>
        <v>508.05897800000002</v>
      </c>
      <c r="O187" s="3">
        <f>426.5+(330.6-98.2)+(-0.217515+(-0.168606--0.050082))+0-128.7--0.0656369999999869</f>
        <v>529.92959800000006</v>
      </c>
      <c r="P187" s="3">
        <f>455.9+(267.7-62.1)+(-0.232509+(-0.136527--0.031671))+0-118.4--0.060383999999988</f>
        <v>542.82301900000004</v>
      </c>
      <c r="Q187" s="3">
        <f>502+(276.3-104.2)+(-0.25602+(-0.140913--0.053142))+0-126.3--0.0644129999999872</f>
        <v>547.520622</v>
      </c>
      <c r="R187" s="3">
        <f>508+(375-197.8)+(-0.25908+(-0.19125--0.100878))+0-131.9--0.0672689999999866</f>
        <v>553.01781700000004</v>
      </c>
      <c r="S187" s="3">
        <f>476.3+(501.5-332.8)+(-0.728739+(-0.767295--0.509184))+0-116.8--0.178704000000007</f>
        <v>527.39185400000008</v>
      </c>
      <c r="T187" s="3">
        <f>459+(513.3-371.1)+(-0.70227+(-0.785349--0.567783))+0-107.9--0.165087000000006</f>
        <v>492.54525099999995</v>
      </c>
      <c r="U187" s="3">
        <f>499.2+(417.7-306.1)+(-1.527552+(-1.278162--0.936666))+0-119.7--0.366282000000014</f>
        <v>489.59723399999996</v>
      </c>
      <c r="V187" s="3">
        <f>497.4+(218.2-98)+(-1.522044+(-0.667692--0.29988))+0-135.3--0.414018000000016</f>
        <v>480.82416199999989</v>
      </c>
      <c r="W187" s="3">
        <f>500.1+(227.1-118)+(-0.510102+(-0.231642--0.12036))+0-122.8--0.12525600000002</f>
        <v>485.90387200000004</v>
      </c>
      <c r="X187" s="3">
        <f>505+(357.9-197.7)+(0+(0-0))+0-127.2-0</f>
        <v>538</v>
      </c>
      <c r="Y187" s="3">
        <f>509+(403.2-261.1)+(-1.03836+(-0.822528--0.532644))+0-121--0.246839999999995</f>
        <v>529.01859599999989</v>
      </c>
      <c r="Z187" s="3">
        <f>510+(362-236.9)+(-1.3005+(-0.9231--0.604095))+0-119.4--0.304469999999983</f>
        <v>514.38496500000008</v>
      </c>
      <c r="AA187" s="3">
        <f>514+(354.5-240.8)+(-1.04856+(-0.72318--0.491232))+0-129.9--0.264995999999994</f>
        <v>496.78448800000001</v>
      </c>
      <c r="AB187" s="3">
        <f>527+(317.2-245.7)+(0+(0-0))+0-115.7-0</f>
        <v>482.8</v>
      </c>
      <c r="AC187" s="3">
        <f>520+(270.7-224.5)+(-0.5304+(-0.276114--0.22899))+0-94.7--0.0965940000000151</f>
        <v>471.01907000000006</v>
      </c>
      <c r="AD187">
        <f t="shared" si="2"/>
        <v>11835.417203999999</v>
      </c>
      <c r="AE187" s="3">
        <f>509+(403.8-272.3)+(0+(0-0))+0-113.6-0</f>
        <v>526.9</v>
      </c>
    </row>
    <row r="188" spans="1:31" s="2" customFormat="1" x14ac:dyDescent="0.25">
      <c r="A188">
        <v>89</v>
      </c>
      <c r="B188">
        <v>7</v>
      </c>
      <c r="C188">
        <v>2</v>
      </c>
      <c r="D188">
        <v>7</v>
      </c>
      <c r="E188">
        <v>1</v>
      </c>
      <c r="F188" s="3">
        <f>365+(270.3-131.5)+(-0.7446+(-0.551412--0.26826))+0-84.5--0.172379999999996</f>
        <v>418.44462799999997</v>
      </c>
      <c r="G188" s="3">
        <f>360+(256.6-122.9)+(-0.7344+(-0.523464--0.250716))+0-84.7--0.172787999999996</f>
        <v>408.16564000000005</v>
      </c>
      <c r="H188" s="3">
        <f>356+(270.2-147.7)+(-0.18156+(-0.137802--0.075327))+0-89.3--0.0455429999999909</f>
        <v>389.001508</v>
      </c>
      <c r="I188" s="3">
        <f>359+(270.1-154.1)+(-0.54927+(-0.413253--0.235773))+0-82.3--0.125919000000005</f>
        <v>392.09916900000002</v>
      </c>
      <c r="J188" s="3">
        <f>353+(251.7-133.1)+(0.18003+(0.128367-0.067881))+0-94.4-0.0481439999999904</f>
        <v>377.39237200000002</v>
      </c>
      <c r="K188" s="3">
        <f>339+(234.8-80)+(-1.03734+(-0.718488--0.2448))+0-111.9--0.342414000000013</f>
        <v>380.73138599999999</v>
      </c>
      <c r="L188" s="3">
        <f>298+(252.9-62.9)+(-0.30396+(-0.257958--0.064158))+0-116.8--0.119136000000019</f>
        <v>370.82137599999999</v>
      </c>
      <c r="M188" s="3">
        <f>295+(251.6-61.8)+(-0.45135+(-0.384948--0.094554))+0-111--0.169830000000006</f>
        <v>373.22808600000002</v>
      </c>
      <c r="N188" s="3">
        <f>294+(286.3-88.5)+(-0.44982+(-0.438039--0.135405))+0-121.4--0.185742000000007</f>
        <v>369.83328800000004</v>
      </c>
      <c r="O188" s="3">
        <f>321+(312.2-108.6)+(-0.65484+(-0.636888--0.221544))+0-119.9--0.244595999999995</f>
        <v>403.87441200000001</v>
      </c>
      <c r="P188" s="3">
        <f>342+(324.4-124)+(-0.52326+(-0.496332--0.18972))+0-122.6--0.187578000000007</f>
        <v>419.15770599999996</v>
      </c>
      <c r="Q188" s="3">
        <f>338+(421.2-224.8)+(0.17238+(0.214812-0.114648))+0-107.1-0.0546209999999891</f>
        <v>427.517923</v>
      </c>
      <c r="R188" s="3">
        <f>338+(536.6-338)+(0+(0-0))+0-107.9-0</f>
        <v>428.70000000000005</v>
      </c>
      <c r="S188" s="3">
        <f>333+(618.9-426.9)+(-0.33966+(-0.631278--0.435438))+0-101.9--0.103938000000016</f>
        <v>422.66843800000009</v>
      </c>
      <c r="T188" s="3">
        <f>333+(620.8-427.3)+(0.16983+(0.316608-0.217923))+0-111.9-0.0570689999999887</f>
        <v>414.81144599999999</v>
      </c>
      <c r="U188" s="3">
        <f>328+(566.6-348.1)+(-0.33456+(-0.577932--0.355062))+0-137.4--0.140148000000022</f>
        <v>408.68271800000008</v>
      </c>
      <c r="V188" s="3">
        <f>329+(386.4-171.8)+(-0.50337+(-0.591192--0.262854))+0-123.9--0.189567000000007</f>
        <v>419.05785899999989</v>
      </c>
      <c r="W188" s="3">
        <f>329+(337.7-101.8)+(-0.83895+(-0.861135--0.25959))+0-128.7--0.328184999999981</f>
        <v>435.0876899999999</v>
      </c>
      <c r="X188" s="3">
        <f>344+(467.5-181)+(-0.35088+(-0.47685--0.18462))+0-137.2--0.139944000000022</f>
        <v>492.79683400000005</v>
      </c>
      <c r="Y188" s="3">
        <f>355+(490.8-222)+(-0.3621+(-0.500616--0.22644))+0-138.4--0.141168000000022</f>
        <v>484.90489200000007</v>
      </c>
      <c r="Z188" s="3">
        <f>360+(520.2-255.4)+(-0.1836+(-0.265302--0.130254))+0-139.7--0.0712469999999858</f>
        <v>484.852599</v>
      </c>
      <c r="AA188" s="3">
        <f>375+(528.8-281.3)+(-0.19125+(-0.269688--0.143463))+0-146.1--0.0745109999999852</f>
        <v>476.15703600000001</v>
      </c>
      <c r="AB188" s="3">
        <f>426+(420.4-249.7)+(-1.0863+(-1.07202--0.636735))+0-134--0.341699999999981</f>
        <v>461.52011500000009</v>
      </c>
      <c r="AC188" s="3">
        <f>525+(283.1-233.2)+(-0.5355+(-0.288762--0.237864))+0-109.1--0.111282000000017</f>
        <v>465.32488400000005</v>
      </c>
      <c r="AD188">
        <f t="shared" si="2"/>
        <v>10124.832004999998</v>
      </c>
      <c r="AE188" s="3">
        <f>354+(483.4-209.5)+(0+(0-0))+0-151.6-0</f>
        <v>476.29999999999995</v>
      </c>
    </row>
    <row r="189" spans="1:31" s="2" customFormat="1" x14ac:dyDescent="0.25">
      <c r="A189">
        <v>89</v>
      </c>
      <c r="B189">
        <v>7</v>
      </c>
      <c r="C189">
        <v>3</v>
      </c>
      <c r="D189">
        <v>1</v>
      </c>
      <c r="E189">
        <v>1</v>
      </c>
      <c r="F189" s="3">
        <f>505+(214.3-188.7)+(-0.77265+(-0.327879--0.288711))+0-128.2--0.196146000000007</f>
        <v>401.78432800000002</v>
      </c>
      <c r="G189" s="3">
        <f>521+(193.3-185)+(-1.06284+(-0.394332--0.3774))+0-120.8--0.246431999999995</f>
        <v>407.66665999999987</v>
      </c>
      <c r="H189" s="3">
        <f>522+(195.1-188.2)+(-0.53244+(-0.199002--0.191964))+0-126.4--0.12892800000002</f>
        <v>402.08945</v>
      </c>
      <c r="I189" s="3">
        <f>522+(204.6-204.7)+(0.53244+(0.208692-0.208794))+0-120.1-0.122502000000019</f>
        <v>402.20983599999994</v>
      </c>
      <c r="J189" s="3">
        <f>520+(204.7-202.8)+(-1.0608+(-0.417588--0.413712))+0-119.2--0.243167999999995</f>
        <v>401.87849199999999</v>
      </c>
      <c r="K189" s="3">
        <f>516+(206.1-207.4)+(-0.78948+(-0.315333--0.317322))+0-122.4--0.187272000000007</f>
        <v>391.69978100000003</v>
      </c>
      <c r="L189" s="3">
        <f>514+(226.7-216.3)+(-0.52428+(-0.231234--0.220626))+0-110.1--0.112302000000018</f>
        <v>413.87741399999993</v>
      </c>
      <c r="M189" s="3">
        <f>512+(258.8-191.4)+(0.26112+(0.131988-0.097614))+0-114-0.0581399999999884</f>
        <v>465.63735399999996</v>
      </c>
      <c r="N189" s="3">
        <f>512+(288.3-188.7)+(0+(0-0))+0-106-0</f>
        <v>505.6</v>
      </c>
      <c r="O189" s="3">
        <f>508+(283.6-166.9)+(-0.25908+(-0.144636--0.085119))+0-113.7--0.0579869999999885</f>
        <v>510.73939000000007</v>
      </c>
      <c r="P189" s="3">
        <f>505+(257.7-117)+(-0.25755+(-0.131427--0.05967))+0-115.1--0.0587009999999883</f>
        <v>530.32939400000009</v>
      </c>
      <c r="Q189" s="3">
        <f>505+(264.7-103)+(0.25755+(0.134997-0.05253))+0-127.8-0.065177999999987</f>
        <v>539.17483900000013</v>
      </c>
      <c r="R189" s="3">
        <f>500+(348-192.8)+(0+(0-0))+0-116.2-0</f>
        <v>539</v>
      </c>
      <c r="S189" s="3">
        <f>496+(466.7-312.6)+(0+(0-0))+0-123.4-0</f>
        <v>526.69999999999993</v>
      </c>
      <c r="T189" s="3">
        <f>494+(470.3-338.3)+(-0.50388+(-0.479706--0.345066))+0-115.9--0.118218000000018</f>
        <v>509.57969800000006</v>
      </c>
      <c r="U189" s="3">
        <f>497+(375.3-246.9)+(-0.76041+(-0.574209--0.377757))+0-121.5--0.185895000000007</f>
        <v>503.12903299999999</v>
      </c>
      <c r="V189" s="3">
        <f>497+(234.4-94.5)+(-0.76041+(-0.358632--0.144585))+0-131.4--0.201042000000008</f>
        <v>504.726585</v>
      </c>
      <c r="W189" s="3">
        <f>498+(275.7-114.5)+(0.25398+(0.140607-0.058395))+0-137.5-0.070124999999986</f>
        <v>521.96606700000007</v>
      </c>
      <c r="X189" s="3">
        <f>511+(310.8-98.7)+(-1.04244+(-0.634032--0.201348))+0-137.7--0.280907999999994</f>
        <v>584.20578399999999</v>
      </c>
      <c r="Y189" s="3">
        <f>524+(342.2-151.3)+(0+(0-0))+0-136.4-0</f>
        <v>578.5</v>
      </c>
      <c r="Z189" s="3">
        <f>525+(289.8-124.8)+(0.5355+(0.295596-0.127296))+0-133.2-0.135864000000021</f>
        <v>557.36793599999999</v>
      </c>
      <c r="AA189" s="3">
        <f>530+(280.9-138.2)+(-0.8109+(-0.429777--0.211446))+0-133.4--0.204102000000008</f>
        <v>538.47487100000012</v>
      </c>
      <c r="AB189" s="3">
        <f>536+(232.3-135.7)+(-1.3668+(-0.592365--0.346035))+0-117.8--0.300389999999983</f>
        <v>513.48726000000011</v>
      </c>
      <c r="AC189" s="3">
        <f>521+(210.3-135)+(-1.32855+(-0.536265--0.34425))+0-125.2--0.319259999999982</f>
        <v>469.89869499999992</v>
      </c>
      <c r="AD189">
        <f t="shared" si="2"/>
        <v>11719.722867000002</v>
      </c>
      <c r="AE189" s="3">
        <f>524+(351.4-148.5)+(0+(0-0))+0-112.6-0</f>
        <v>614.29999999999995</v>
      </c>
    </row>
    <row r="190" spans="1:31" s="2" customFormat="1" x14ac:dyDescent="0.25">
      <c r="A190">
        <v>89</v>
      </c>
      <c r="B190">
        <v>7</v>
      </c>
      <c r="C190">
        <v>4</v>
      </c>
      <c r="D190">
        <v>2</v>
      </c>
      <c r="E190">
        <v>1</v>
      </c>
      <c r="F190" s="3">
        <f>497+(212.2-133.2)+(-0.50694+(-0.216444--0.135864))+0-123.2--0.12566400000002</f>
        <v>452.338144</v>
      </c>
      <c r="G190" s="3">
        <f>484+(208.3-139.9)+(-1.2342+(-0.531165--0.356745))+0-115.6--0.294779999999983</f>
        <v>435.68615999999992</v>
      </c>
      <c r="H190" s="3">
        <f>437+(217.7-84.8)+(-0.66861+(-0.333081--0.129744))+0-129.2--0.197676000000007</f>
        <v>440.02572900000001</v>
      </c>
      <c r="I190" s="3">
        <f>437+(201.7-96.9)+(-0.22287+(-0.102867--0.049419))+0-110.8--0.0565079999999888</f>
        <v>430.78019</v>
      </c>
      <c r="J190" s="3">
        <f>437+(233-113.6)+(0+(0-0))+0-128.3-0</f>
        <v>428.09999999999997</v>
      </c>
      <c r="K190" s="3">
        <f>439+(265-168.1)+(0+(0-0))+0-126.9-0</f>
        <v>409</v>
      </c>
      <c r="L190" s="3">
        <f>439+(302.1-183.7)+(-0.22389+(-0.154071--0.093687))+0-128.6--0.0655859999999869</f>
        <v>428.58131200000008</v>
      </c>
      <c r="M190" s="3">
        <f>489+(284.6-169)+(-0.49878+(-0.290292--0.17238))+0-116.9--0.119238000000019</f>
        <v>487.2025460000001</v>
      </c>
      <c r="N190" s="3">
        <f>480+(300.3-158)+(0+(0-0))+0-127.9-0</f>
        <v>494.4</v>
      </c>
      <c r="O190" s="3">
        <f>471+(308.3-146.9)+(-0.24021+(-0.157233--0.074919))+0-113.1--0.0576809999999885</f>
        <v>519.03515699999991</v>
      </c>
      <c r="P190" s="3">
        <f>467+(310.5-121.2)+(0+(0-0))+0-125.6-0</f>
        <v>530.69999999999993</v>
      </c>
      <c r="Q190" s="3">
        <f>463+(285.1-69.1)+(0.23613+(0.145401-0.035241))+0-136.6-0.0696659999999861</f>
        <v>542.67662399999995</v>
      </c>
      <c r="R190" s="3">
        <f>460+(363.7-144.4)+(-0.2346+(-0.185487--0.073644))+0-133.2--0.0679319999999865</f>
        <v>545.82148900000004</v>
      </c>
      <c r="S190" s="3">
        <f>452+(456.3-243.5)+(0.23052+(0.232713-0.124185))+0-138-0.070379999999986</f>
        <v>527.068668</v>
      </c>
      <c r="T190" s="3">
        <f>458+(438.5-255.8)+(-0.23358+(-0.223635--0.130458))+0-118--0.060179999999988</f>
        <v>522.43342299999995</v>
      </c>
      <c r="U190" s="3">
        <f>450+(360.5-170.7)+(-0.459+(-0.36771--0.174114))+0-127.8--0.13035600000002</f>
        <v>511.47775999999993</v>
      </c>
      <c r="V190" s="3">
        <f>450+(244-68.3)+(-0.6885+(-0.37332--0.104499))+0-111.7--0.170901000000006</f>
        <v>513.21357999999998</v>
      </c>
      <c r="W190" s="3">
        <f>456+(318.6-106.5)+(0+(0-0))+0-124.6-0</f>
        <v>543.5</v>
      </c>
      <c r="X190" s="3">
        <f>474+(322.4-63.5)+(-0.48348+(-0.328848--0.06477))+0-138.1--0.140862000000022</f>
        <v>594.1933039999999</v>
      </c>
      <c r="Y190" s="3">
        <f>528+(296.3-98.2)+(-0.80784+(-0.453339--0.150246))+0-144.7--0.221391000000008</f>
        <v>580.51045799999997</v>
      </c>
      <c r="Z190" s="3">
        <f>525+(268.1-88.5)+(-0.5355+(-0.273462--0.09027))+0-141.9--0.144738000000023</f>
        <v>562.12604600000009</v>
      </c>
      <c r="AA190" s="3">
        <f>520+(271.1-105.2)+(0.2652+(0.138261-0.053652))+0-139.5-0.0711449999999858</f>
        <v>546.67866400000014</v>
      </c>
      <c r="AB190" s="3">
        <f>505+(232.7-106.6)+(0+(0-0))+0-120.8-0</f>
        <v>510.3</v>
      </c>
      <c r="AC190" s="3">
        <f>503+(208.3-101.4)+(-0.51306+(-0.212466--0.103428))+0-130.1--0.132702000000021</f>
        <v>479.3106039999999</v>
      </c>
      <c r="AD190">
        <f t="shared" si="2"/>
        <v>12035.159857999999</v>
      </c>
      <c r="AE190" s="3">
        <f>527+(297.1-87.9)+(0+(0-0))+0-137.5-0</f>
        <v>598.70000000000005</v>
      </c>
    </row>
    <row r="191" spans="1:31" s="2" customFormat="1" x14ac:dyDescent="0.25">
      <c r="A191">
        <v>89</v>
      </c>
      <c r="B191">
        <v>7</v>
      </c>
      <c r="C191">
        <v>5</v>
      </c>
      <c r="D191">
        <v>3</v>
      </c>
      <c r="E191">
        <v>1</v>
      </c>
      <c r="F191" s="3">
        <f>503+(166.3-101.1)+(-0.76959+(-0.254439--0.154683))+0-117.5--0.179775000000007</f>
        <v>450.0104290000001</v>
      </c>
      <c r="G191" s="3">
        <f>513+(155.8-104.2)+(0+(0-0))+0-119.4-0</f>
        <v>445.20000000000005</v>
      </c>
      <c r="H191" s="3">
        <f>454+(167.7-90.8)+(-0.46308+(-0.171054--0.092616))+0-126.5--0.12903000000002</f>
        <v>403.98751199999998</v>
      </c>
      <c r="I191" s="3">
        <f>457+(176.9-73.6)+(0.23307+(0.090219-0.037536))+0-132.2-0.0674219999999866</f>
        <v>428.318331</v>
      </c>
      <c r="J191" s="3">
        <f>452+(207.5-90.7)+(0.23052+(0.105825-0.046257))+0-146-0.0744599999999852</f>
        <v>423.01562799999994</v>
      </c>
      <c r="K191" s="3">
        <f>449+(260.3-161.4)+(-1.60293+(-0.929271--0.576198))+0-120.7--0.430899000000002</f>
        <v>425.67489599999999</v>
      </c>
      <c r="L191" s="3">
        <f>457+(241-139.7)+(0.23307+(0.12291-0.071247))+0-125.9-0.0642089999999872</f>
        <v>432.62052399999993</v>
      </c>
      <c r="M191" s="3">
        <f>461+(253.9-119.4)+(0.47022+(0.258978-0.121788))+0-110.8-0.113016000000018</f>
        <v>485.19439399999993</v>
      </c>
      <c r="N191" s="3">
        <f>515+(275.9-160.2)+(0+(0-0))+0-118.9-0</f>
        <v>511.80000000000007</v>
      </c>
      <c r="O191" s="3">
        <f>515+(301.2-165.2)+(0+(0-0))+0-120.3-0</f>
        <v>530.70000000000005</v>
      </c>
      <c r="P191" s="3">
        <f>508+(285.8-103.6)+(0.51816+(0.291516-0.105672))+0-134.5-0.137190000000021</f>
        <v>556.26681400000007</v>
      </c>
      <c r="Q191" s="3">
        <f>502+(249.9-71.6)+(0.76806+(0.382347-0.109548))+0-119-0.182070000000007</f>
        <v>562.15878899999996</v>
      </c>
      <c r="R191" s="3">
        <f>492+(380.1-198.5)+(-0.50184+(-0.387702--0.20247))+0-130.6--0.133212000000021</f>
        <v>542.44614000000013</v>
      </c>
      <c r="S191" s="3">
        <f>488+(474.7-287.5)+(-0.24888+(-0.242097--0.146625))+0-135.3--0.0690029999999863</f>
        <v>539.62465099999997</v>
      </c>
      <c r="T191" s="3">
        <f>488+(472.6-299.1)+(-0.49776+(-0.482052--0.305082))+0-140.5--0.143310000000022</f>
        <v>520.46858000000009</v>
      </c>
      <c r="U191" s="3">
        <f>486+(428.5-260.6)+(-0.99144+(-0.87414--0.531624))+0-134.1--0.273563999999994</f>
        <v>518.73960799999998</v>
      </c>
      <c r="V191" s="3">
        <f>489+(235.9-75.7)+(-1.24695+(-0.601545--0.193035))+0-132.7--0.338384999999981</f>
        <v>515.18292500000007</v>
      </c>
      <c r="W191" s="3">
        <f>513.8+(225.5-66.5)+(-0.262038+(-0.115005--0.033915))+0-129.8--0.0661979999999868</f>
        <v>542.72307000000001</v>
      </c>
      <c r="X191" s="3">
        <f>534.5+(400.3-210.3)+(0.272595+(0.204153-0.107253))+0-124.6-0.0635459999999874</f>
        <v>600.20594900000003</v>
      </c>
      <c r="Y191" s="3">
        <f>548.4+(454.2-289.7)+(-1.678104+(-1.389852--0.886482))+0-131.8--0.403308000000015</f>
        <v>579.32183399999997</v>
      </c>
      <c r="Z191" s="3">
        <f>535.3+(459.1-292.3)+(-0.819009+(-0.702423--0.447219))+0-144--0.220320000000008</f>
        <v>557.24610699999994</v>
      </c>
      <c r="AA191" s="3">
        <f>535.6+(481.2-320)+(-1.092624+(-0.981648--0.6528))+0-142.8--0.291311999999994</f>
        <v>552.86983999999995</v>
      </c>
      <c r="AB191" s="3">
        <f>508.6+(454.9-320.8)+(-1.037544+(-0.927996--0.654432))+0-126.8--0.258671999999994</f>
        <v>514.84756400000015</v>
      </c>
      <c r="AC191" s="3">
        <f>510+(399.3-265)+(-1.3005+(-1.018215--0.67575))+0-148.8--0.379439999999978</f>
        <v>494.23647499999993</v>
      </c>
      <c r="AD191">
        <f t="shared" si="2"/>
        <v>12132.860060000001</v>
      </c>
      <c r="AE191" s="3">
        <f>550+(453.6-259.5)+(0+(0-0))+0-156.9-0</f>
        <v>587.20000000000005</v>
      </c>
    </row>
    <row r="192" spans="1:31" s="2" customFormat="1" x14ac:dyDescent="0.25">
      <c r="A192">
        <v>89</v>
      </c>
      <c r="B192">
        <v>7</v>
      </c>
      <c r="C192">
        <v>6</v>
      </c>
      <c r="D192">
        <v>4</v>
      </c>
      <c r="E192">
        <v>1</v>
      </c>
      <c r="F192" s="3">
        <f>507+(245.5-171)+(-1.03428+(-0.50082--0.34884))+0-123.6--0.252143999999995</f>
        <v>456.96588400000002</v>
      </c>
      <c r="G192" s="3">
        <f>511+(190.7-142.6)+(-0.78183+(-0.291771--0.218178))+0-117--0.179010000000007</f>
        <v>441.42358700000005</v>
      </c>
      <c r="H192" s="3">
        <f>510+(214.8-174.1)+(-0.5202+(-0.219096--0.177582))+0-116.8--0.119136000000019</f>
        <v>433.45742200000001</v>
      </c>
      <c r="I192" s="3">
        <f>515+(218.6-171.7)+(-0.5253+(-0.222972--0.175134))+0-141--0.143820000000022</f>
        <v>420.47068200000001</v>
      </c>
      <c r="J192" s="3">
        <f>523+(180.8-141.6)+(1.06692+(0.368832-0.288864))+0-135.2-0.275807999999994</f>
        <v>427.87108000000006</v>
      </c>
      <c r="K192" s="3">
        <f>486+(202.9-127.6)+(-0.99144+(-0.413916--0.260304))+0-131.1--0.267443999999994</f>
        <v>429.32239199999998</v>
      </c>
      <c r="L192" s="3">
        <f>401+(254.7-122.4)+(0.20451+(0.129897-0.062424))+0-106.4-0.0542639999999892</f>
        <v>427.11771899999997</v>
      </c>
      <c r="M192" s="3">
        <f>401+(271-82.5)+(-0.20451+(-0.13821--0.042075))+0-120.1--0.0612509999999878</f>
        <v>469.16060599999992</v>
      </c>
      <c r="N192" s="3">
        <f>450+(248.9-72.7)+(0+(0-0))+0-122.7-0</f>
        <v>503.50000000000006</v>
      </c>
      <c r="O192" s="3">
        <f>505+(263.5-135.4)+(-1.0302+(-0.53754--0.276216))+0-123.6--0.252143999999995</f>
        <v>508.46062000000001</v>
      </c>
      <c r="P192" s="3">
        <f>508+(263.3-95.3)+(-0.25908+(-0.134283--0.048603))+0-138.4--0.070583999999986</f>
        <v>537.32582400000001</v>
      </c>
      <c r="Q192" s="3">
        <f>513+(266.6-100.1)+(1.04652+(0.543864-0.204204))+0-128.8-0.262751999999994</f>
        <v>551.82342800000004</v>
      </c>
      <c r="R192" s="3">
        <f>498+(410.8-226)+(-0.50796+(-0.419016--0.23052))+0-140.6--0.143412000000022</f>
        <v>541.64695599999993</v>
      </c>
      <c r="S192" s="3">
        <f>492+(496.9-339)+(0.25092+(0.253419-0.17289))+0-125.2-0.0638519999999873</f>
        <v>524.96759699999996</v>
      </c>
      <c r="T192" s="3">
        <f>470+(504.8-321.8)+(-0.9588+(-1.029792--0.656472))+0-140.2--0.286007999999994</f>
        <v>511.75388799999996</v>
      </c>
      <c r="U192" s="3">
        <f>465+(388.7-210.7)+(-1.18575+(-0.991185--0.537285))+0-131.3--0.334814999999981</f>
        <v>510.39516500000002</v>
      </c>
      <c r="V192" s="3">
        <f>459.7+(252.3-73)+(-1.172235+(-0.643365--0.18615))+0-132.7--0.338384999999981</f>
        <v>505.00893499999995</v>
      </c>
      <c r="W192" s="3">
        <f>489+(262.4-73)+(-0.74817+(-0.401472--0.11169))+0-119--0.182070000000007</f>
        <v>558.54411799999991</v>
      </c>
      <c r="X192" s="3">
        <f>522+(346.7-135.2)+(0+(0-0))+0-146.8-0</f>
        <v>586.70000000000005</v>
      </c>
      <c r="Y192" s="3">
        <f>530+(410.1-223.6)+(-0.8109+(-0.627453--0.342108))+0-142.9--0.218637000000008</f>
        <v>572.72239200000013</v>
      </c>
      <c r="Z192" s="3">
        <f>535+(439-274)+(-0.81855+(-0.67167--0.41922))+0-139.9--0.214047000000008</f>
        <v>559.24304700000005</v>
      </c>
      <c r="AA192" s="3">
        <f>536+(444-299.2)+(-0.54672+(-0.45288--0.305184))+0-138.8--0.141576000000022</f>
        <v>541.44715999999994</v>
      </c>
      <c r="AB192" s="3">
        <f>530+(398.9-285.1)+(-0.5406+(-0.406878--0.290802))+0-128.2--0.13076400000002</f>
        <v>515.07408800000007</v>
      </c>
      <c r="AC192" s="3">
        <f>525+(324.7-236.8)+(-0.5355+(-0.331194--0.241536))+0-131.2--0.133824000000021</f>
        <v>481.20866599999994</v>
      </c>
      <c r="AD192">
        <f t="shared" si="2"/>
        <v>12015.611256</v>
      </c>
      <c r="AE192" s="3">
        <f>527+(393.6-193.1)+(0+(0-0))+0-151.4-0</f>
        <v>576.1</v>
      </c>
    </row>
    <row r="193" spans="1:31" s="2" customFormat="1" x14ac:dyDescent="0.25">
      <c r="A193">
        <v>89</v>
      </c>
      <c r="B193">
        <v>7</v>
      </c>
      <c r="C193">
        <v>7</v>
      </c>
      <c r="D193">
        <v>5</v>
      </c>
      <c r="E193">
        <v>1</v>
      </c>
      <c r="F193" s="3">
        <f>445+(275.3-145.1)+(-1.3617+(-0.842418--0.444006))+0-130.9--0.400554000000015</f>
        <v>442.94044200000002</v>
      </c>
      <c r="G193" s="3">
        <f>386+(261.9-78.6)+(-1.18116+(-0.801414--0.240516))+0-146.4--0.447984000000017</f>
        <v>421.60592599999995</v>
      </c>
      <c r="H193" s="3">
        <f>380+(227.1-58)+(0+(0-0))+0-124.6-0</f>
        <v>424.5</v>
      </c>
      <c r="I193" s="3">
        <f>363+(248.1-53.6)+(-0.37026+(-0.253062--0.054672))+0-138.7--0.141474000000022</f>
        <v>418.37282399999998</v>
      </c>
      <c r="J193" s="3">
        <f>365+(256.6-87.6)+(0.55845+(0.392598-0.134028))+0-134.1-0.205173000000008</f>
        <v>400.51184699999993</v>
      </c>
      <c r="K193" s="3">
        <f>371+(230.2-70)+(-0.56763+(-0.352206--0.1071))+0-139.2--0.212976000000008</f>
        <v>391.40024000000011</v>
      </c>
      <c r="L193" s="3">
        <f>367+(274.8-91.6)+(-0.37434+(-0.280296--0.093432))+0-139.3--0.142086000000022</f>
        <v>410.48088200000007</v>
      </c>
      <c r="M193" s="3">
        <f>374+(306.6-89.7)+(0+(0-0))+0-122.2-0</f>
        <v>468.7000000000001</v>
      </c>
      <c r="N193" s="3">
        <f>477+(283-132.6)+(0+(0-0))+0-128.5-0</f>
        <v>498.9</v>
      </c>
      <c r="O193" s="3">
        <f>464+(267.8-90.2)+(-0.47328+(-0.273156--0.092004))+0-132.2--0.134844000000021</f>
        <v>508.88041200000004</v>
      </c>
      <c r="P193" s="3">
        <f>483.4+(269.9-62.4)+(-0.739602+(-0.412947--0.095472))+0-136.8--0.209304000000008</f>
        <v>553.25222699999995</v>
      </c>
      <c r="Q193" s="3">
        <f>478.3+(313.6-93)+(-0.487866+(-0.319872--0.09486))+0-134.9--0.137598000000022</f>
        <v>563.42472000000009</v>
      </c>
      <c r="R193" s="3">
        <f>466.3+(419.9-184.8)+(-0.475626+(-0.428298--0.188496))+0-144.2--0.147084000000023</f>
        <v>556.63165600000013</v>
      </c>
      <c r="S193" s="3">
        <f>461.1+(502.1-295.3)+(0+(0-0))+0-126.2-0</f>
        <v>541.70000000000005</v>
      </c>
      <c r="T193" s="3">
        <f>456.6+(454.6-264.2)+(-0.465732+(-0.463692--0.269484))+0-123.2--0.12566400000002</f>
        <v>523.26572399999998</v>
      </c>
      <c r="U193" s="3">
        <f>489+(345.2-189.5)+(-0.49878+(-0.352104--0.19329))+0-124.4--0.12688800000002</f>
        <v>519.76929400000006</v>
      </c>
      <c r="V193" s="3">
        <f>490.8+(224.9-62.3)+(-1.001232+(-0.458796--0.127092))+0-127.7--0.260507999999994</f>
        <v>524.62757199999999</v>
      </c>
      <c r="W193" s="3">
        <f>495.2+(257.3-81.8)+(0.252552+(0.131223-0.041718))+0-125-0.0637499999999873</f>
        <v>545.97830699999997</v>
      </c>
      <c r="X193" s="3">
        <f>498.2+(316.5-77.6)+(0.254082+(0.161415-0.039576))+0-149.6-0.0762959999999848</f>
        <v>587.79962499999999</v>
      </c>
      <c r="Y193" s="3">
        <f>499.4+(385.9-170.7)+(-1.018776+(-0.787236--0.348228))+0-136.7--0.278867999999994</f>
        <v>576.72108399999991</v>
      </c>
      <c r="Z193" s="3">
        <f>506.3+(449.1-272.2)+(-0.258213+(-0.229041--0.138822))+0-130.5--0.0665549999999868</f>
        <v>552.41812300000004</v>
      </c>
      <c r="AA193" s="3">
        <f>499.1+(467-305.2)+(-0.763623+(-0.71451--0.466956))+0-127.6--0.195228000000007</f>
        <v>532.48405100000014</v>
      </c>
      <c r="AB193" s="3">
        <f>502.3+(429.4-296.7)+(-1.024692+(-0.875976--0.605268))+0-118.3--0.241331999999995</f>
        <v>515.64593200000002</v>
      </c>
      <c r="AC193" s="3">
        <f>500.5+(348.8-245.4)+(-1.02102+(-0.711552--0.500616))+0-122.3--0.249491999999995</f>
        <v>480.61753599999997</v>
      </c>
      <c r="AD193">
        <f t="shared" ref="AD193:AD256" si="3">SUM(F193:AC193)</f>
        <v>11960.628423999999</v>
      </c>
      <c r="AE193" s="3">
        <f>503+(326-82.6)+(0+(0-0))+0-170-0</f>
        <v>576.4</v>
      </c>
    </row>
    <row r="194" spans="1:31" s="2" customFormat="1" x14ac:dyDescent="0.25">
      <c r="A194">
        <v>89</v>
      </c>
      <c r="B194">
        <v>7</v>
      </c>
      <c r="C194">
        <v>8</v>
      </c>
      <c r="D194">
        <v>6</v>
      </c>
      <c r="E194">
        <v>1</v>
      </c>
      <c r="F194" s="3">
        <f>505.1+(281.3-217.5)+(-0.772803+(-0.430389--0.332775))+0-116.1--0.177633000000007</f>
        <v>452.10721600000011</v>
      </c>
      <c r="G194" s="3">
        <f>472.8+(241.1-136)+(-0.964512+(-0.491844--0.27744))+0-135.4--0.276215999999994</f>
        <v>441.59730000000002</v>
      </c>
      <c r="H194" s="3">
        <f>478.9+(200.1-109)+(-0.488478+(-0.204102--0.11118))+0-130.2--0.132804000000021</f>
        <v>439.351404</v>
      </c>
      <c r="I194" s="3">
        <f>478.7+(213.9-144.5)+(-0.244137+(-0.109089--0.073695))+0-130.1--0.0663509999999868</f>
        <v>417.78681999999998</v>
      </c>
      <c r="J194" s="3">
        <f>477.4+(194.8-107.4)+(-0.486948+(-0.198696--0.109548))+0-131.9--0.134538000000021</f>
        <v>432.45844199999999</v>
      </c>
      <c r="K194" s="3">
        <f>473.8+(198.4-135.4)+(-0.966552+(-0.404736--0.276216))+0-126.2--0.257447999999995</f>
        <v>409.76237600000002</v>
      </c>
      <c r="L194" s="3">
        <f>480.8+(252.9-197.6)+(0+(0-0))+0-120.7-0</f>
        <v>415.40000000000003</v>
      </c>
      <c r="M194" s="3">
        <f>472.9+(284.6-168.8)+(-0.241179+(-0.145146--0.086088))+0-136.1--0.0694109999999862</f>
        <v>452.36917399999999</v>
      </c>
      <c r="N194" s="3">
        <f>475.6+(294.9-158.7)+(-0.242556+(-0.150399--0.080937))+0-126.9--0.0647189999999871</f>
        <v>484.65270099999998</v>
      </c>
      <c r="O194" s="3">
        <f>466.8+(299.7-155.9)+(-0.714204+(-0.458541--0.238527))+0-122.5--0.187425000000007</f>
        <v>487.35320700000005</v>
      </c>
      <c r="P194" s="3">
        <f>471.7+(273.7-107.8)+(-0.240567+(-0.139587--0.054978))+0-125.4--0.0639539999999873</f>
        <v>511.93877799999984</v>
      </c>
      <c r="Q194" s="3">
        <f>479+(268.7-86.7)+(-0.24429+(-0.137037--0.044217))+0-137.9--0.070328999999986</f>
        <v>522.83321899999999</v>
      </c>
      <c r="R194" s="3">
        <f>503.8+(342.9-207.5)+(0+(0-0))+0-117.8-0</f>
        <v>521.40000000000009</v>
      </c>
      <c r="S194" s="3">
        <f>500.2+(413-264.7)+(-0.255102+(-0.21063--0.134997))+0-131.9--0.0672689999999866</f>
        <v>516.33653400000003</v>
      </c>
      <c r="T194" s="3">
        <f>523.9+(378.5-287.5)+(-0.267189+(-0.193035--0.146625))+0-118.5--0.060434999999988</f>
        <v>496.14683600000001</v>
      </c>
      <c r="U194" s="3">
        <f>528.9+(268.7-169.8)+(-0.269739+(-0.137037--0.086598))+0-135.1--0.0689009999999863</f>
        <v>492.44872299999986</v>
      </c>
      <c r="V194" s="3">
        <f>530.5+(200.5-118.3)+(-1.62333+(-0.61353--0.361998))+0-126.7--0.387702000000015</f>
        <v>484.51284000000004</v>
      </c>
      <c r="W194" s="3">
        <f>532.6+(274.7-158.7)+(0.271626+(0.140097-0.080937))+0-139.3-0.0710429999999859</f>
        <v>509.55974300000003</v>
      </c>
      <c r="X194" s="3">
        <f>554.9+(223.6-78.7)+(0+(0-0))+0-137.9-0</f>
        <v>561.9</v>
      </c>
      <c r="Y194" s="3">
        <f>563.6+(201.1-119.6)+(-1.149744+(-0.410244--0.243984))+0-109.4--0.223175999999995</f>
        <v>534.60717199999999</v>
      </c>
      <c r="Z194" s="3">
        <f>566.4+(198.3-138.1)+(-1.155456+(-0.404532--0.281724))+0-108--0.220319999999995</f>
        <v>517.542056</v>
      </c>
      <c r="AA194" s="3">
        <f>565.9+(226.5-178)+(-0.577218+(-0.23103--0.18156))+0-113.5--0.115770000000018</f>
        <v>500.38908200000003</v>
      </c>
      <c r="AB194" s="3">
        <f>570.9+(190.7-178.1)+(-0.873477+(-0.291771--0.272493))+0-107.3--0.164169000000006</f>
        <v>475.47141400000004</v>
      </c>
      <c r="AC194" s="3">
        <f>574.9+(162.1-180.3)+(-1.465995+(-0.413355--0.459765))+0-92.5--0.235874999999987</f>
        <v>463.01628999999991</v>
      </c>
      <c r="AD194">
        <f t="shared" si="3"/>
        <v>11540.941326999999</v>
      </c>
      <c r="AE194" s="3">
        <f>574+(206.5-108.1)+(0+(0-0))+0-117.2-0</f>
        <v>555.19999999999993</v>
      </c>
    </row>
    <row r="195" spans="1:31" s="2" customFormat="1" x14ac:dyDescent="0.25">
      <c r="A195">
        <v>89</v>
      </c>
      <c r="B195">
        <v>7</v>
      </c>
      <c r="C195">
        <v>9</v>
      </c>
      <c r="D195">
        <v>7</v>
      </c>
      <c r="E195">
        <v>1</v>
      </c>
      <c r="F195" s="3">
        <f>498+(184.3-125.6)+(-0.25398+(-0.093993--0.064056))+0-123.1--0.0627809999999875</f>
        <v>433.37886400000002</v>
      </c>
      <c r="G195" s="3">
        <f>475.4+(195.2-120)+(-1.21227+(-0.49776--0.306))+0-131.7--0.335834999999981</f>
        <v>417.83180499999986</v>
      </c>
      <c r="H195" s="3">
        <f>448.6+(205.8-103.6)+(0+(0-0))+0-142.1-0</f>
        <v>408.70000000000005</v>
      </c>
      <c r="I195" s="3">
        <f>454.2+(212.5-114.7)+(-0.926568+(-0.4335--0.233988))+0-140.3--0.286211999999994</f>
        <v>410.86013199999996</v>
      </c>
      <c r="J195" s="3">
        <f>454.4+(213-129.1)+(-0.695232+(-0.32589--0.197523))+0-131.8--0.201654000000008</f>
        <v>405.87805500000002</v>
      </c>
      <c r="K195" s="3">
        <f>455.5+(265.3-199)+(-1.161525+(-0.676515--0.50745))+0-134.1--0.341954999999981</f>
        <v>386.71136499999989</v>
      </c>
      <c r="L195" s="3">
        <f>526.9+(190.2-173)+(-0.806157+(-0.291006--0.26469))+0-136.3--0.208539000000008</f>
        <v>407.17606599999988</v>
      </c>
      <c r="M195" s="3">
        <f>498+(176.4-164.4)+(-0.76194+(-0.269892--0.251532))+0-122--0.186660000000007</f>
        <v>387.40636000000001</v>
      </c>
      <c r="N195" s="3">
        <f>490.3+(199-173)+(-0.250053+(-0.10149--0.08823))+0-111.8--0.0570179999999887</f>
        <v>404.29370499999987</v>
      </c>
      <c r="O195" s="3">
        <f>484.5+(237.2-178.5)+(-0.49419+(-0.241944--0.18207))+0-116.6--0.118932000000019</f>
        <v>426.16486800000001</v>
      </c>
      <c r="P195" s="3">
        <f>478.8+(233.5-141.3)+(-0.244188+(-0.119085--0.072063))+0-136.1--0.0694109999999862</f>
        <v>434.678201</v>
      </c>
      <c r="Q195" s="3">
        <f>473.5+(204.5-93.6)+(-0.48297+(-0.20859--0.095472))+0-131.2--0.133824000000021</f>
        <v>452.73773599999998</v>
      </c>
      <c r="R195" s="3">
        <f>459.6+(235.7-130.2)+(-0.703188+(-0.360621--0.199206))+0-131.7--0.201501000000008</f>
        <v>432.73689800000005</v>
      </c>
      <c r="S195" s="3">
        <f>455+(308.4-202.2)+(-0.69615+(-0.471852--0.309366))+0-141.3--0.216189000000008</f>
        <v>419.25755299999997</v>
      </c>
      <c r="T195" s="3">
        <f>454.9+(311.5-222.8)+(-1.159995+(-0.794325--0.56814))+0-138.1--0.35215499999998</f>
        <v>404.4659749999999</v>
      </c>
      <c r="U195" s="3">
        <f>456.9+(241.8-143.9)+(-0.699057+(-0.369954--0.220167))+0-141.1--0.215883000000008</f>
        <v>413.06703899999997</v>
      </c>
      <c r="V195" s="3">
        <f>456.6+(195.8-95.5)+(-0.698598+(-0.299574--0.146115))+0-140.4--0.214812000000008</f>
        <v>415.86275500000016</v>
      </c>
      <c r="W195" s="3">
        <f>458.2+(200.4-84.3)+(0+(0-0))+0-129.6-0</f>
        <v>444.69999999999993</v>
      </c>
      <c r="X195" s="3">
        <f>467.1+(274.3-94.2)+(-0.238221+(-0.139893--0.048042))+0-153.5--0.0782849999999844</f>
        <v>493.44821300000007</v>
      </c>
      <c r="Y195" s="3">
        <f>476.5+(338.5-184.8)+(-0.48603+(-0.34527--0.188496))+0-139.1--0.141882000000022</f>
        <v>490.59907800000008</v>
      </c>
      <c r="Z195" s="3">
        <f>480.5+(370.7-227.3)+(-0.98022+(-0.756228--0.463692))+0-137.5--0.280499999999994</f>
        <v>485.40774400000004</v>
      </c>
      <c r="AA195" s="3">
        <f>484.1+(362.3-244.9)+(-0.740673+(-0.554319--0.374697))+0-125.7--0.192321000000007</f>
        <v>475.07202599999999</v>
      </c>
      <c r="AB195" s="3">
        <f>466.7+(418.2-291.6)+(-1.190085+(-1.06641--0.74358))+0-143.6--0.366179999999979</f>
        <v>448.5532649999999</v>
      </c>
      <c r="AC195" s="3">
        <f>445.6+(386.1-276.4)+(-1.13628+(-0.984555--0.70482))+0-125.4--0.319769999999982</f>
        <v>428.80375500000008</v>
      </c>
      <c r="AD195">
        <f t="shared" si="3"/>
        <v>10327.791458</v>
      </c>
      <c r="AE195" s="3">
        <f>475+(323.9-146.8)+(0+(0-0))+0-164.2-0</f>
        <v>487.89999999999992</v>
      </c>
    </row>
    <row r="196" spans="1:31" s="2" customFormat="1" x14ac:dyDescent="0.25">
      <c r="A196">
        <v>89</v>
      </c>
      <c r="B196">
        <v>7</v>
      </c>
      <c r="C196">
        <v>10</v>
      </c>
      <c r="D196">
        <v>1</v>
      </c>
      <c r="E196">
        <v>1</v>
      </c>
      <c r="F196" s="3">
        <f>443.6+(292.9-203.4)+(-1.357416+(-0.896274--0.622404))+0-139.4--0.426564000000016</f>
        <v>392.49527800000004</v>
      </c>
      <c r="G196" s="3">
        <f>446.9+(205.2-142)+(-0.683757+(-0.313956--0.21726))+0-126.8--0.194004000000007</f>
        <v>382.71355099999994</v>
      </c>
      <c r="H196" s="3">
        <f>446.3+(184.8-119)+(-1.138065+(-0.47124--0.30345))+0-124.3--0.316964999999982</f>
        <v>386.81110999999999</v>
      </c>
      <c r="I196" s="3">
        <f>446.6+(200.6-146)+(-0.227766+(-0.102306--0.07446))+0-127--0.0647699999999871</f>
        <v>374.00915800000007</v>
      </c>
      <c r="J196" s="3">
        <f>448.1+(192-127.8)+(-0.457062+(-0.19584--0.130356))+0-139.3--0.142086000000022</f>
        <v>372.61954000000009</v>
      </c>
      <c r="K196" s="3">
        <f>448+(191.4-128.4)+(-0.91392+(-0.390456--0.261936))+0-136.2--0.277847999999994</f>
        <v>374.03540800000002</v>
      </c>
      <c r="L196" s="3">
        <f>452+(275.1-197.8)+(0.23052+(0.140301-0.100878))+0-126.6-0.0645659999999871</f>
        <v>402.90537699999993</v>
      </c>
      <c r="M196" s="3">
        <f>447+(341.7-199.3)+(-0.22797+(-0.174267--0.101643))+0-125.3--0.0639029999999873</f>
        <v>463.8633089999999</v>
      </c>
      <c r="N196" s="3">
        <f>439+(365.6-176.9)+(-0.22389+(-0.186456--0.090219))+0-124.7--0.0635969999999874</f>
        <v>502.74347000000012</v>
      </c>
      <c r="O196" s="3">
        <f>434+(359.8-145.6)+(-0.22134+(-0.183498--0.074256))+0-139.3--0.0710429999999859</f>
        <v>508.64046099999996</v>
      </c>
      <c r="P196" s="3">
        <f>428+(297-86.1)+(0+(0-0))+0-119.5-0</f>
        <v>519.4</v>
      </c>
      <c r="Q196" s="3">
        <f>424+(298.3-61.9)+(0.21624+(0.152133-0.031569))+0-128.9-0.0657389999999869</f>
        <v>531.77106500000002</v>
      </c>
      <c r="R196" s="3">
        <f>423+(403.7-157.3)+(0+(0-0))+0-128-0</f>
        <v>541.4</v>
      </c>
      <c r="S196" s="3">
        <f>417.6+(473.2-246.1)+(0+(0-0))+0-123.6-0</f>
        <v>521.1</v>
      </c>
      <c r="T196" s="3">
        <f>447+(426.9-257.9)+(-0.91188+(-0.870876--0.526116))+0-109.3--0.222971999999995</f>
        <v>505.66633200000001</v>
      </c>
      <c r="U196" s="3">
        <f>445.3+(338.2-152.5)+(-1.362618+(-1.034892--0.46665))+0-121.4--0.371484000000014</f>
        <v>508.04062399999998</v>
      </c>
      <c r="V196" s="3">
        <f>446.3+(261.2-64.7)+(-1.138065+(-0.66606--0.164985))+0-126.3--0.322064999999982</f>
        <v>515.18292499999995</v>
      </c>
      <c r="W196" s="3">
        <f>447.3+(318.9-89.8)+(0.684369+(0.487917-0.137394))+0-137.8-0.210834000000008</f>
        <v>539.42405800000006</v>
      </c>
      <c r="X196" s="3">
        <f>495.7+(298.6-89.9)+(-0.252807+(-0.152286--0.045849))+0-124.2--0.0633419999999874</f>
        <v>579.90409799999998</v>
      </c>
      <c r="Y196" s="3">
        <f>518.7+(326.5-166.7)+(-1.322685+(-0.832575--0.425085))+0-108.5--0.276674999999984</f>
        <v>568.54649999999992</v>
      </c>
      <c r="Z196" s="3">
        <f>522+(331.3-182.5)+(-0.79866+(-0.506889--0.279225))+0-125.4--0.191862000000007</f>
        <v>544.56553799999995</v>
      </c>
      <c r="AA196" s="3">
        <f>523.7+(339.7-199.9)+(-1.068348+(-0.692988--0.407796))+0-133.6--0.272543999999994</f>
        <v>528.81900400000006</v>
      </c>
      <c r="AB196" s="3">
        <f>521.2+(257.9-169.1)+(-1.063248+(-0.526116--0.344964))+0-116.2--0.237047999999995</f>
        <v>492.79264799999999</v>
      </c>
      <c r="AC196" s="3">
        <f>513.6+(208.5-120.7)+(-1.571616+(-0.63801--0.369342))+0-122.5--0.374850000000014</f>
        <v>477.43456600000002</v>
      </c>
      <c r="AD196">
        <f t="shared" si="3"/>
        <v>11534.884020000001</v>
      </c>
      <c r="AE196" s="3">
        <f>517+(300.4-163.6)+(0+(0-0))+0-101.3-0</f>
        <v>552.5</v>
      </c>
    </row>
    <row r="197" spans="1:31" s="2" customFormat="1" x14ac:dyDescent="0.25">
      <c r="A197">
        <v>89</v>
      </c>
      <c r="B197">
        <v>7</v>
      </c>
      <c r="C197">
        <v>11</v>
      </c>
      <c r="D197">
        <v>2</v>
      </c>
      <c r="E197">
        <v>1</v>
      </c>
      <c r="F197" s="3">
        <f>528.2+(186-129.8)+(-0.538764+(-0.18972--0.132396))+0-135.9--0.138618000000022</f>
        <v>448.04253000000011</v>
      </c>
      <c r="G197" s="3">
        <f>548.1+(169.5-168.1)+(-0.279531+(-0.086445--0.085731))+0-120.4--0.0614039999999878</f>
        <v>428.88115899999997</v>
      </c>
      <c r="H197" s="3">
        <f>524.9+(173.1-170.6)+(-1.338495+(-0.441405--0.43503))+0-101--0.257549999999985</f>
        <v>425.31267999999994</v>
      </c>
      <c r="I197" s="3">
        <f>530.2+(177.6-170.2)+(-0.540804+(-0.181152--0.173604))+0-116.5--0.118830000000019</f>
        <v>420.670478</v>
      </c>
      <c r="J197" s="3">
        <f>529.1+(177.1-161.4)+(0+(0-0))+0-122.1-0</f>
        <v>422.69999999999993</v>
      </c>
      <c r="K197" s="3">
        <f>487.2+(218.9-167.5)+(-0.248472+(-0.111639--0.085425))+0-124.6--0.0635459999999874</f>
        <v>413.78886</v>
      </c>
      <c r="L197" s="3">
        <f>466.4+(279.2-198.4)+(0.237864+(0.142392-0.101184))+0-115.2-0.0587519999999883</f>
        <v>432.22032000000002</v>
      </c>
      <c r="M197" s="3">
        <f>461+(329.2-197.9)+(-0.23511+(-0.167892--0.100929))+0-125.3--0.0639029999999873</f>
        <v>466.76182999999997</v>
      </c>
      <c r="N197" s="3">
        <f>459.5+(355-188.5)+(0.234345+(0.18105-0.096135))+0-124.6-0.0635459999999874</f>
        <v>501.65571399999999</v>
      </c>
      <c r="O197" s="3">
        <f>459.5+(392.6-215.8)+(-0.46869+(-0.400452--0.220116))+0-118.5--0.120870000000019</f>
        <v>517.27184399999987</v>
      </c>
      <c r="P197" s="3">
        <f>457.6+(368.2-157.5)+(-0.466752+(-0.375564--0.16065))+0-127.4--0.12994800000002</f>
        <v>540.34828200000004</v>
      </c>
      <c r="Q197" s="3">
        <f>504.5+(245.7-55.2)+(0.257295+(0.125307-0.028152))+0-115.8-0.0590579999999883</f>
        <v>579.49539200000015</v>
      </c>
      <c r="R197" s="3">
        <f>496.4+(335.5-146.8)+(-0.253164+(-0.171105--0.074868))+0-141.1--0.0719609999999857</f>
        <v>543.72255999999993</v>
      </c>
      <c r="S197" s="3">
        <f>492.9+(412.3-251.3)+(0.251379+(0.210273-0.128163))+0-113.4-0.0578339999999885</f>
        <v>540.77565500000003</v>
      </c>
      <c r="T197" s="3">
        <f>490.8+(430.7-265.8)+(-0.750924+(-0.658971--0.406674))+0-141.3--0.216189000000008</f>
        <v>513.61296799999991</v>
      </c>
      <c r="U197" s="3">
        <f>489+(300.4-163.2)+(-1.24695+(-0.76602--0.41616))+0-114.2--0.291209999999983</f>
        <v>510.69440000000003</v>
      </c>
      <c r="V197" s="3">
        <f>489.8+(240.1-86.7)+(-0.749394+(-0.367353--0.132651))+0-130.4--0.199512000000008</f>
        <v>512.01541600000007</v>
      </c>
      <c r="W197" s="3">
        <f>502.7+(271.8-123.6)+(-1.281885+(-0.69309--0.31518))+0-117.2--0.298859999999983</f>
        <v>532.33906499999989</v>
      </c>
      <c r="X197" s="3">
        <f>556.6+(233.4-88.4)+(-0.567732+(-0.238068--0.090168))+0-121.2--0.123624000000019</f>
        <v>579.80799200000001</v>
      </c>
      <c r="Y197" s="3">
        <f>555.9+(258.1-130.6)+(-0.850527+(-0.394893--0.199818))+0-120.7--0.184671000000007</f>
        <v>561.83906899999988</v>
      </c>
      <c r="Z197" s="3">
        <f>552.7+(252.7-137.8)+(-1.127508+(-0.515508--0.281112))+0-134.8--0.274991999999994</f>
        <v>531.71308800000008</v>
      </c>
      <c r="AA197" s="3">
        <f>567+(250.4-162.5)+(-1.15668+(-0.510816--0.3315))+0-125.3--0.255611999999995</f>
        <v>528.51961600000004</v>
      </c>
      <c r="AB197" s="3">
        <f>559+(214.3-156.6)+(-1.42545+(-0.546465--0.39933))+0-115.9--0.295544999999983</f>
        <v>499.52296000000007</v>
      </c>
      <c r="AC197" s="3">
        <f>517.1+(198.3-129.5)+(-0.791163+(-0.303399--0.198135))+0-118.4--0.181152000000007</f>
        <v>466.78472500000009</v>
      </c>
      <c r="AD197">
        <f t="shared" si="3"/>
        <v>11918.496603</v>
      </c>
      <c r="AE197" s="3">
        <f>563+(222-107.5)+(0+(0-0))+0-109-0</f>
        <v>568.5</v>
      </c>
    </row>
    <row r="198" spans="1:31" s="2" customFormat="1" x14ac:dyDescent="0.25">
      <c r="A198">
        <v>89</v>
      </c>
      <c r="B198">
        <v>7</v>
      </c>
      <c r="C198">
        <v>12</v>
      </c>
      <c r="D198">
        <v>3</v>
      </c>
      <c r="E198">
        <v>5</v>
      </c>
      <c r="F198" s="3">
        <f>515.1+(190.1-149.1)+(-0.525402+(-0.193902--0.152082))+0-116.2--0.118524000000019</f>
        <v>439.45130200000006</v>
      </c>
      <c r="G198" s="3">
        <f>517+(179.9-159.6)+(-0.52734+(-0.183498--0.162792))+0-120.6--0.123012000000019</f>
        <v>416.27496599999995</v>
      </c>
      <c r="H198" s="3">
        <f>521.8+(177.6-169.3)+(-1.33059+(-0.45288--0.431715))+0-124--0.316199999999982</f>
        <v>405.06444499999986</v>
      </c>
      <c r="I198" s="3">
        <f>497.7+(215.3-160)+(0.507654+(0.219606-0.1632))+0-126.9-0.12943800000002</f>
        <v>426.53462200000007</v>
      </c>
      <c r="J198" s="3">
        <f>493.3+(266.7-215)+(-0.251583+(-0.136017--0.10965))+0-103.6--0.0528359999999895</f>
        <v>441.17488599999996</v>
      </c>
      <c r="K198" s="3">
        <f>492.5+(273.1-216.9)+(-0.50235+(-0.278562--0.221238))+0-122.1--0.124542000000019</f>
        <v>426.16486800000007</v>
      </c>
      <c r="L198" s="3">
        <f>464.6+(352.1-307.8)+(-0.947784+(-0.718284--0.627912))+0-107.6--0.219503999999995</f>
        <v>400.48134799999997</v>
      </c>
      <c r="M198" s="3">
        <f>433.6+(338.5-237.3)+(0.442272+(0.34527-0.242046))+0-119.2-0.121584000000019</f>
        <v>416.02391199999988</v>
      </c>
      <c r="N198" s="3">
        <f>449+(377.8-288.9)+(0+(0-0))+0-115.1-0</f>
        <v>422.80000000000007</v>
      </c>
      <c r="O198" s="3">
        <f>497.5+(344.8-295.6)+(-0.761175+(-0.527544--0.452268))+0-125.4--0.191862000000007</f>
        <v>420.65541100000007</v>
      </c>
      <c r="P198" s="3">
        <f>517.8+(268.5-218.7)+(0+(0-0))+0-130.9-0</f>
        <v>436.69999999999993</v>
      </c>
      <c r="Q198" s="3">
        <f>508.5+(216.7-155.6)+(0+(0-0))+0-122.1-0</f>
        <v>447.5</v>
      </c>
      <c r="R198" s="3">
        <f>505.6+(210.7-130.9)+(-0.515712+(-0.214914--0.133518))+0-130.2--0.132804000000021</f>
        <v>454.73569599999996</v>
      </c>
      <c r="S198" s="3">
        <f>501.4+(294.3-218.3)+(0.511428+(0.300186-0.222666))+0-134.8-0.137496000000022</f>
        <v>443.05145199999993</v>
      </c>
      <c r="T198" s="3">
        <f>499.5+(320.4-242.7)+(-0.764235+(-0.490212--0.371331))+0-141--0.215730000000008</f>
        <v>435.53261400000008</v>
      </c>
      <c r="U198" s="3">
        <f>501+(205.3-139.8)+(-1.53306+(-0.628218--0.427788))+0-127.7--0.390762000000015</f>
        <v>437.45727200000005</v>
      </c>
      <c r="V198" s="3">
        <f>462.2+(220.8-101.4)+(-1.17861+(-0.56304--0.25857))+0-137.6--0.35087999999998</f>
        <v>442.86779999999999</v>
      </c>
      <c r="W198" s="3">
        <f>448.1+(268.3-105.6)+(0+(0-0))+0-137.8-0</f>
        <v>473.00000000000006</v>
      </c>
      <c r="X198" s="3">
        <f>495.2+(264.6-110.4)+(-0.757656+(-0.404838--0.168912))+0-139.8--0.213894000000008</f>
        <v>508.820312</v>
      </c>
      <c r="Y198" s="3">
        <f>529.7+(280-177.8)+(-0.810441+(-0.4284--0.272034))+0-134.3--0.205479000000008</f>
        <v>496.83867200000009</v>
      </c>
      <c r="Z198" s="3">
        <f>534.5+(297.7-198.1)+(-0.817785+(-0.455481--0.303093))+0-148.9--0.227817000000009</f>
        <v>484.45764400000002</v>
      </c>
      <c r="AA198" s="3">
        <f>533.6+(314.4-247.5)+(-1.36068+(-0.80172--0.631125))+0-123.7--0.315434999999982</f>
        <v>475.58415999999994</v>
      </c>
      <c r="AB198" s="3">
        <f>532+(279.5-228.8)+(-0.81396+(-0.427635--0.350064))+0-124.4--0.190332000000007</f>
        <v>457.59880100000009</v>
      </c>
      <c r="AC198" s="3">
        <f>523+(260-222.1)+(-0.80019+(-0.3978--0.339813))+0-132.1--0.202113000000008</f>
        <v>428.143936</v>
      </c>
      <c r="AD198">
        <f t="shared" si="3"/>
        <v>10636.914118999999</v>
      </c>
      <c r="AE198" s="3">
        <f>534+(300.6-169.6)+(0+(0-0))+0-165.8-0</f>
        <v>499.2</v>
      </c>
    </row>
    <row r="199" spans="1:31" s="2" customFormat="1" x14ac:dyDescent="0.25">
      <c r="A199">
        <v>89</v>
      </c>
      <c r="B199">
        <v>7</v>
      </c>
      <c r="C199">
        <v>13</v>
      </c>
      <c r="D199">
        <v>4</v>
      </c>
      <c r="E199">
        <v>1</v>
      </c>
      <c r="F199" s="3">
        <f>521.6+(198.3-184.6)+(0+(0-0))+0-124.8-0</f>
        <v>410.50000000000006</v>
      </c>
      <c r="G199" s="3">
        <f>513.6+(173.8-146.2)+(-0.261936+(-0.088638--0.074562))+0-141.2--0.0720119999999857</f>
        <v>399.79599999999999</v>
      </c>
      <c r="H199" s="3">
        <f>518.5+(167.8-166.4)+(0.264435+(0.085578-0.084864))+0-120.9-0.0616589999999877</f>
        <v>399.20348999999999</v>
      </c>
      <c r="I199" s="3">
        <f>522.6+(176.6-162.2)+(1.066104+(0.360264-0.330888))+0-140.3-0.286211999999994</f>
        <v>397.50926799999996</v>
      </c>
      <c r="J199" s="3">
        <f>516.1+(173.7-169.2)+(-0.789633+(-0.265761--0.258876))+0-125.3--0.191709000000007</f>
        <v>394.69519100000002</v>
      </c>
      <c r="K199" s="3">
        <f>505.4+(225.2-199.7)+(-0.773262+(-0.344556--0.305541))+0-130.6--0.199818000000008</f>
        <v>399.68754099999995</v>
      </c>
      <c r="L199" s="3">
        <f>476.4+(316.3-246.8)+(0+(0-0))+0-124-0</f>
        <v>421.9</v>
      </c>
      <c r="M199" s="3">
        <f>475.8+(339.8-211.3)+(0.242658+(0.173298-0.107763))+0-135.8-0.0692579999999862</f>
        <v>468.73893499999991</v>
      </c>
      <c r="N199" s="3">
        <f>473.6+(386.5-221.6)+(0+(0-0))+0-132.1-0</f>
        <v>506.4</v>
      </c>
      <c r="O199" s="3">
        <f>500.9+(382.6-222.7)+(-0.766377+(-0.585378--0.340731))+0-139.7--0.213741000000008</f>
        <v>520.30271700000003</v>
      </c>
      <c r="P199" s="3">
        <f>499.2+(303.6-136.3)+(0.254592+(0.154836-0.069513))+0-125.3-0.0639029999999873</f>
        <v>541.47601200000008</v>
      </c>
      <c r="Q199" s="3">
        <f>496.5+(257.8-75.9)+(0+(0-0))+0-125.6-0</f>
        <v>552.79999999999995</v>
      </c>
      <c r="R199" s="3">
        <f>497.8+(356.8-182.5)+(-0.253878+(-0.181968--0.093075))+0-110.1--0.0561509999999888</f>
        <v>561.71338000000003</v>
      </c>
      <c r="S199" s="3">
        <f>497+(456.7-290.3)+(0.76041+(0.698751-0.444159))+0-120.6-0.184518000000007</f>
        <v>543.63048399999991</v>
      </c>
      <c r="T199" s="3">
        <f>496.5+(427.7-279.9)+(-0.253215+(-0.218127--0.142749))+0-113.4--0.0578339999999885</f>
        <v>530.62924099999998</v>
      </c>
      <c r="U199" s="3">
        <f>495.4+(333.6-174.9)+(-1.010616+(-0.680544--0.356796))+0-124.5--0.253979999999995</f>
        <v>528.51961599999993</v>
      </c>
      <c r="V199" s="3">
        <f>496.7+(254.5-76.9)+(-0.759951+(-0.389385--0.117657))+0-141.6--0.216648000000008</f>
        <v>531.88496899999984</v>
      </c>
      <c r="W199" s="3">
        <f>518.7+(291.9-124.8)+(-0.793611+(-0.446607--0.190944))+0-130.9--0.200277000000008</f>
        <v>554.05100300000004</v>
      </c>
      <c r="X199" s="3">
        <f>554.5+(326.1-135.3)+(0.282795+(0.166311-0.069003))+0-151-0.0770099999999847</f>
        <v>594.60309299999994</v>
      </c>
      <c r="Y199" s="3">
        <f>562.7+(382.6-228)+(-1.147908+(-0.780504--0.46512))+0-140.4--0.286415999999994</f>
        <v>575.7231240000001</v>
      </c>
      <c r="Z199" s="3">
        <f>559.9+(386.4-212.4)+(0.285549+(0.197064-0.108324))+0-148.4-0.0756839999999849</f>
        <v>585.79860499999995</v>
      </c>
      <c r="AA199" s="3">
        <f>391.3+(443.9-168.9)+(-0.598689+(-0.679167--0.258417))+0-132.9--0.203337000000008</f>
        <v>532.58389799999998</v>
      </c>
      <c r="AB199" s="3">
        <f>386.9+(387.5-133.8)+(-0.789276+(-0.7905--0.272952))+0-140.1--0.285803999999994</f>
        <v>499.47897999999986</v>
      </c>
      <c r="AC199" s="3">
        <f>386.6+(354.5-122.2)+(-0.394332+(-0.36159--0.124644))+0-139.2--0.141984000000022</f>
        <v>479.21070600000019</v>
      </c>
      <c r="AD199">
        <f t="shared" si="3"/>
        <v>11930.836252999999</v>
      </c>
      <c r="AE199" s="3">
        <f>560+(371.1-196)+(0+(0-0))+0-143.3-0</f>
        <v>591.79999999999995</v>
      </c>
    </row>
    <row r="200" spans="1:31" s="2" customFormat="1" x14ac:dyDescent="0.25">
      <c r="A200">
        <v>89</v>
      </c>
      <c r="B200">
        <v>7</v>
      </c>
      <c r="C200">
        <v>14</v>
      </c>
      <c r="D200">
        <v>5</v>
      </c>
      <c r="E200">
        <v>1</v>
      </c>
      <c r="F200" s="3">
        <f>350.8+(325.2-91.4)+(-0.357816+(-0.331704--0.093228))+0-143.8--0.146676000000023</f>
        <v>440.35038400000008</v>
      </c>
      <c r="G200" s="3">
        <f>352.9+(341.5-127.1)+(-0.179979+(-0.174165--0.064821))+0-142.7--0.0727769999999855</f>
        <v>424.38345399999997</v>
      </c>
      <c r="H200" s="3">
        <f>355.6+(370.4-163.9)+(-0.544068+(-0.566712--0.250767))+0-144.6--0.221238000000008</f>
        <v>416.86122500000005</v>
      </c>
      <c r="I200" s="3">
        <f>355.7+(351.1-153.3)+(-0.362814+(-0.358122--0.156366))+0-138.9--0.141678000000022</f>
        <v>414.17710800000003</v>
      </c>
      <c r="J200" s="3">
        <f>358.9+(326.2-128.3)+(-0.183039+(-0.166362--0.065433))+0-142.4--0.0726239999999856</f>
        <v>414.18865599999998</v>
      </c>
      <c r="K200" s="3">
        <f>358.5+(272.9-77.3)+(-0.73134+(-0.556716--0.157692))+0-143.2--0.292127999999994</f>
        <v>410.06176399999993</v>
      </c>
      <c r="L200" s="3">
        <f>335.3+(320.9-88.8)+(-0.171003+(-0.163659--0.045288))+0-131.9--0.0672689999999866</f>
        <v>435.27789500000006</v>
      </c>
      <c r="M200" s="3">
        <f>305.9+(398.4-94.7)+(0.156009+(0.203184-0.048297))+0-141.9-0.0723689999999856</f>
        <v>467.93852699999991</v>
      </c>
      <c r="N200" s="3">
        <f>341.2+(368.4-94.3)+(0.348024+(0.375768-0.096186))+0-120.4-0.122808000000019</f>
        <v>495.40479799999997</v>
      </c>
      <c r="O200" s="3">
        <f>338.6+(362.3-50.7)+(-0.172686+(-0.184773--0.025857))+0-145--0.0739499999999853</f>
        <v>504.94234800000004</v>
      </c>
      <c r="P200" s="3">
        <f>338.2+(371.8-44.3)+(-0.517446+(-0.568854--0.067779))+0-145.9--0.223227000000008</f>
        <v>519.00470600000006</v>
      </c>
      <c r="Q200" s="3">
        <f>337.2+(451.6-129.1)+(0+(0-0))+0-131.4-0</f>
        <v>528.30000000000007</v>
      </c>
      <c r="R200" s="3">
        <f>336.4+(612.4-283.5)+(0.171564+(0.312324-0.144585))+0-137.5-0.070124999999986</f>
        <v>528.06917799999997</v>
      </c>
      <c r="S200" s="3">
        <f>339.8+(655.6-349.7)+(0.173298+(0.334356-0.178347))+0-118.5-0.060434999999988</f>
        <v>527.46887200000003</v>
      </c>
      <c r="T200" s="3">
        <f>348.1+(594.7-311.7)+(-0.887655+(-1.516485--0.794835))+0-128.8--0.328439999999981</f>
        <v>501.01913500000018</v>
      </c>
      <c r="U200" s="3">
        <f>349+(460.1-193.6)+(-0.35598+(-0.469302--0.197472))+0-121--0.123420000000019</f>
        <v>493.99561000000006</v>
      </c>
      <c r="V200" s="3">
        <f>349.7+(354.1-63.5)+(-0.713388+(-0.722364--0.12954))+0-135.9--0.277235999999994</f>
        <v>503.37102400000003</v>
      </c>
      <c r="W200" s="3">
        <f>394+(336.3-48.3)+(-0.20094+(-0.171513--0.024633))+0-144.5--0.0736949999999853</f>
        <v>537.22587499999997</v>
      </c>
      <c r="X200" s="3">
        <f>527.5+(373.2-143.3)+(-0.53805+(-0.380664--0.146166))+0-141.6--0.144432000000023</f>
        <v>615.17188399999998</v>
      </c>
      <c r="Y200" s="3">
        <f>565.9+(379.8-238.2)+(-1.154436+(-0.774792--0.485928))+0-140.3--0.286211999999994</f>
        <v>566.04291199999989</v>
      </c>
      <c r="Z200" s="3">
        <f>521+(418.7-265)+(-0.53142+(-0.427074--0.2703))+0-133.5--0.136170000000021</f>
        <v>540.64797600000009</v>
      </c>
      <c r="AA200" s="3">
        <f>519.5+(438.9-285.9)+(-1.854615+(-1.566873--1.020663))+0-145.8--0.520506000000002</f>
        <v>524.81968099999983</v>
      </c>
      <c r="AB200" s="3">
        <f>525.2+(414.2-300.5)+(-0.535704+(-0.422484--0.30651))+0-140.5--0.143310000000022</f>
        <v>497.89163200000019</v>
      </c>
      <c r="AC200" s="3">
        <f>524.4+(351.4-261.2)+(-1.069776+(-0.716856--0.532848))+0-141.6--0.288863999999994</f>
        <v>472.03507999999988</v>
      </c>
      <c r="AD200">
        <f t="shared" si="3"/>
        <v>11778.649724000001</v>
      </c>
      <c r="AE200" s="3">
        <f>567+(385.8-169.6)+(0+(0-0))+0-170.7-0</f>
        <v>612.5</v>
      </c>
    </row>
    <row r="201" spans="1:31" s="2" customFormat="1" x14ac:dyDescent="0.25">
      <c r="A201">
        <v>89</v>
      </c>
      <c r="B201">
        <v>7</v>
      </c>
      <c r="C201">
        <v>15</v>
      </c>
      <c r="D201">
        <v>6</v>
      </c>
      <c r="E201">
        <v>1</v>
      </c>
      <c r="F201" s="3">
        <f>526.8+(229.6-172.8)+(-0.806004+(-0.351288--0.264384))+0-141.1--0.215883000000008</f>
        <v>441.82297499999987</v>
      </c>
      <c r="G201" s="3">
        <f>532.6+(181-159.9)+(-0.271626+(-0.09231--0.081549))+0-128.2--0.065381999999987</f>
        <v>425.28299500000008</v>
      </c>
      <c r="H201" s="3">
        <f>527.9+(170.5-159.1)+(-0.807687+(-0.260865--0.243423))+0-123.9--0.189567000000007</f>
        <v>414.76443800000004</v>
      </c>
      <c r="I201" s="3">
        <f>529.9+(179.5-155)+(-1.351245+(-0.457725--0.39525))+0-132--0.336599999999981</f>
        <v>421.32287999999994</v>
      </c>
      <c r="J201" s="3">
        <f>535.7+(178.9-171.7)+(-0.273207+(-0.091239--0.087567))+0-121.5--0.0619649999999877</f>
        <v>421.18508600000007</v>
      </c>
      <c r="K201" s="3">
        <f>536.8+(179.1-176.6)+(-0.821304+(-0.274023--0.270198))+0-123.6--0.189108000000007</f>
        <v>415.06397900000002</v>
      </c>
      <c r="L201" s="3">
        <f>445.1+(202.6-102.3)+(0.454002+(0.206652-0.104346))+0-114.7-0.116994000000018</f>
        <v>431.1393139999999</v>
      </c>
      <c r="M201" s="3">
        <f>435.8+(231.6-80.1)+(0.222258+(0.118116-0.040851))+0-123.3-0.0628829999999875</f>
        <v>464.23663999999997</v>
      </c>
      <c r="N201" s="3">
        <f>453.2+(217.9-61.6)+(-0.231132+(-0.111129--0.031416))+0-122.1--0.0622709999999876</f>
        <v>487.15142600000001</v>
      </c>
      <c r="O201" s="3">
        <f>465.2+(242.9-69.8)+(0+(0-0))+0-134-0</f>
        <v>504.29999999999995</v>
      </c>
      <c r="P201" s="3">
        <f>476+(241.7-79.4)+(-0.24276+(-0.123267--0.040494))+0-111.4--0.0568139999999887</f>
        <v>526.63128100000006</v>
      </c>
      <c r="Q201" s="3">
        <f>508.1+(230.2-85.1)+(-0.259131+(-0.117402--0.043401))+0-121.7--0.0620669999999877</f>
        <v>531.22893499999998</v>
      </c>
      <c r="R201" s="3">
        <f>506.7+(336.3-189.1)+(-0.775251+(-0.514539--0.289323))+0-122.5--0.187425000000007</f>
        <v>530.58695799999998</v>
      </c>
      <c r="S201" s="3">
        <f>505.8+(407.9-272.3)+(-0.515916+(-0.416058--0.277746))+0-125.2--0.12770400000002</f>
        <v>515.67347599999994</v>
      </c>
      <c r="T201" s="3">
        <f>503+(378.6-264.8)+(-1.02612+(-0.772344--0.540192))+0-126.9--0.258875999999995</f>
        <v>488.90060399999993</v>
      </c>
      <c r="U201" s="3">
        <f>504.1+(273.5-167.2)+(-1.799637+(-0.976395--0.596904))+0-131--0.467670000000002</f>
        <v>477.6885420000001</v>
      </c>
      <c r="V201" s="3">
        <f>503.2+(197.9-115.3)+(-0.513264+(-0.201858--0.117606))+0-117.5--0.119850000000019</f>
        <v>467.82233399999996</v>
      </c>
      <c r="W201" s="3">
        <f>506.1+(226-96.6)+(-0.516222+(-0.23052--0.098532))+0-129.8--0.132396000000021</f>
        <v>505.18418600000007</v>
      </c>
      <c r="X201" s="3">
        <f>528.7+(306.1-166.3)+(-0.808911+(-0.468333--0.254439))+0-119.6--0.182988000000007</f>
        <v>548.06018300000005</v>
      </c>
      <c r="Y201" s="3">
        <f>534.7+(319.7-207.4)+(-0.818091+(-0.489141--0.317322))+0-116.3--0.177939000000007</f>
        <v>529.88802900000007</v>
      </c>
      <c r="Z201" s="3">
        <f>535.6+(289.4-192.8)+(0.273156+(0.147594-0.098328))+0-124.6-0.0635459999999874</f>
        <v>507.85887600000001</v>
      </c>
      <c r="AA201" s="3">
        <f>535.7+(308.2-215.1)+(-1.092828+(-0.628728--0.438804))+0-130.8--0.266831999999994</f>
        <v>496.98408000000012</v>
      </c>
      <c r="AB201" s="3">
        <f>525.3+(295.7-208)+(-0.535806+(-0.301614--0.21216))+0-135.4--0.138108000000022</f>
        <v>477.11284800000004</v>
      </c>
      <c r="AC201" s="3">
        <f>478.4+(302.3-203.6)+(-0.975936+(-0.616692--0.415344))+0-119.8--0.244391999999995</f>
        <v>456.36710800000003</v>
      </c>
      <c r="AD201">
        <f t="shared" si="3"/>
        <v>11486.257173000002</v>
      </c>
      <c r="AE201" s="3">
        <f>531+(317.4-171.4)+(0+(0-0))+0-120.9-0</f>
        <v>556.1</v>
      </c>
    </row>
    <row r="202" spans="1:31" s="2" customFormat="1" x14ac:dyDescent="0.25">
      <c r="A202">
        <v>89</v>
      </c>
      <c r="B202">
        <v>7</v>
      </c>
      <c r="C202">
        <v>16</v>
      </c>
      <c r="D202">
        <v>7</v>
      </c>
      <c r="E202">
        <v>1</v>
      </c>
      <c r="F202" s="3">
        <f>479.1+(224.3-149.9)+(-0.733023+(-0.343179--0.229347))+0-123.6--0.189108000000007</f>
        <v>429.24225300000001</v>
      </c>
      <c r="G202" s="3">
        <f>481.8+(200.2-132.2)+(-0.245718+(-0.102102--0.067422))+0-139.4--0.0710939999999859</f>
        <v>410.19069599999995</v>
      </c>
      <c r="H202" s="3">
        <f>485.5+(179.9-138.4)+(0+(0-0))+0-124.5-0</f>
        <v>402.5</v>
      </c>
      <c r="I202" s="3">
        <f>487.1+(178.6-141.8)+(0.248421+(0.091086-0.072318))+0-131.1-0.0668609999999867</f>
        <v>393.00032800000002</v>
      </c>
      <c r="J202" s="3">
        <f>486.4+(177.3-133.3)+(0+(0-0))+0-133.3-0</f>
        <v>397.09999999999997</v>
      </c>
      <c r="K202" s="3">
        <f>481.7+(234.5-201.5)+(-1.228335+(-0.597975--0.513825))+0-127.8--0.325889999999981</f>
        <v>385.91340499999995</v>
      </c>
      <c r="L202" s="3">
        <f>438.8+(252.2-185.8)+(-1.11894+(-0.64311--0.47379))+0-131.5--0.335324999999981</f>
        <v>372.74706499999996</v>
      </c>
      <c r="M202" s="3">
        <f>399.6+(267.6-125.3)+(0.611388+(0.409428-0.191709))+0-130.2-0.199206000000008</f>
        <v>412.32990100000012</v>
      </c>
      <c r="N202" s="3">
        <f>414.4+(238.8-112.1)+(-0.422688+(-0.243576--0.114342))+0-125.4--0.12790800000002</f>
        <v>415.2759860000001</v>
      </c>
      <c r="O202" s="3">
        <f>428.3+(221.6-113.3)+(-0.436866+(-0.226032--0.115566))+0-126.2--0.12872400000002</f>
        <v>409.98139200000008</v>
      </c>
      <c r="P202" s="3">
        <f>425+(210.4-74.2)+(-0.65025+(-0.321912--0.113526))+0-131.7--0.201501000000008</f>
        <v>428.84286500000002</v>
      </c>
      <c r="Q202" s="3">
        <f>421.9+(273.7-124.7)+(-0.215169+(-0.139587--0.063597))+0-139.2--0.0709919999999859</f>
        <v>431.47983299999999</v>
      </c>
      <c r="R202" s="3">
        <f>452.6+(330.5-211.4)+(-0.692478+(-0.505665--0.323442))+0-139--0.212670000000008</f>
        <v>432.03796900000009</v>
      </c>
      <c r="S202" s="3">
        <f>466+(371.2-286.9)+(0+(0-0))+0-134.1-0</f>
        <v>416.19999999999993</v>
      </c>
      <c r="T202" s="3">
        <f>461.6+(364.9-295.9)+(-0.706248+(-0.558297--0.452727))+0-119.5--0.182835000000007</f>
        <v>410.47101700000002</v>
      </c>
      <c r="U202" s="3">
        <f>461.4+(281.4-209.6)+(-0.941256+(-0.574056--0.427584))+0-129.8--0.264791999999994</f>
        <v>402.57706399999995</v>
      </c>
      <c r="V202" s="3">
        <f>464.8+(189.9-115.1)+(-0.948192+(-0.387396--0.234804))+0-127.6--0.260303999999994</f>
        <v>411.15952000000004</v>
      </c>
      <c r="W202" s="3">
        <f>468.7+(192-93.3)+(-1.195185+(-0.4896--0.237915))+0-119.9--0.305744999999983</f>
        <v>446.35887500000001</v>
      </c>
      <c r="X202" s="3">
        <f>488.9+(212.4-114.2)+(-0.997356+(-0.433296--0.232968))+0-104--0.212159999999995</f>
        <v>482.11447600000002</v>
      </c>
      <c r="Y202" s="3">
        <f>498.2+(224.9-167.6)+(-0.508164+(-0.229398--0.170952))+0-93--0.0948600000000148</f>
        <v>462.02825000000007</v>
      </c>
      <c r="Z202" s="3">
        <f>486+(245.1-196.1)+(-0.74358+(-0.375003--0.300033))+0-80.2--0.122706000000005</f>
        <v>454.10415600000005</v>
      </c>
      <c r="AA202" s="3">
        <f>438.6+(351.8-264.5)+(-0.671058+(-0.538254--0.404685))+0-86.3--0.132039000000005</f>
        <v>438.92741200000012</v>
      </c>
      <c r="AB202" s="3">
        <f>421.7+(385.9-290.5)+(-1.075335+(-0.984045--0.740775))+0-98.1--0.250154999999986</f>
        <v>417.93154999999985</v>
      </c>
      <c r="AC202" s="3">
        <f>422.2+(333.7-263.6)+(-0.430644+(-0.340374--0.268872))+0-96.1--0.0980220000000153</f>
        <v>395.79587600000002</v>
      </c>
      <c r="AD202">
        <f t="shared" si="3"/>
        <v>10058.309889</v>
      </c>
      <c r="AE202" s="3">
        <f>497+(249.9-153)+(0+(0-0))+0-119.6-0</f>
        <v>474.29999999999995</v>
      </c>
    </row>
    <row r="203" spans="1:31" s="2" customFormat="1" x14ac:dyDescent="0.25">
      <c r="A203">
        <v>89</v>
      </c>
      <c r="B203">
        <v>7</v>
      </c>
      <c r="C203">
        <v>17</v>
      </c>
      <c r="D203">
        <v>1</v>
      </c>
      <c r="E203">
        <v>1</v>
      </c>
      <c r="F203" s="3">
        <f>423.5+(272.2-207.9)+(-1.079925+(-0.69411--0.530145))+0-108.6--0.276929999999984</f>
        <v>378.23303999999996</v>
      </c>
      <c r="G203" s="3">
        <f>387.4+(237-158.1)+(-0.98787+(-0.60435--0.403155))+0-120.9--0.308294999999982</f>
        <v>344.51922999999994</v>
      </c>
      <c r="H203" s="3">
        <f>331.8+(270-120.9)+(-0.169218+(-0.1377--0.061659))+0-126--0.0642599999999872</f>
        <v>354.71900099999999</v>
      </c>
      <c r="I203" s="3">
        <f>328.8+(245.3-89)+(-0.670752+(-0.500412--0.18156))+0-128.7--0.262547999999994</f>
        <v>355.67294400000003</v>
      </c>
      <c r="J203" s="3">
        <f>330.2+(226-72)+(-0.168402+(-0.11526--0.03672))+0-121.1--0.0617609999999877</f>
        <v>362.91481900000002</v>
      </c>
      <c r="K203" s="3">
        <f>329.5+(238-81.3)+(0+(0-0))+0-133.8-0</f>
        <v>352.4</v>
      </c>
      <c r="L203" s="3">
        <f>329.7+(293.9-118.1)+(0.168147+(0.149889-0.060231))+0-127-0.0647699999999871</f>
        <v>378.69303500000001</v>
      </c>
      <c r="M203" s="3">
        <f>330.3+(300.8-84.6)+(-0.168453+(-0.153408--0.043146))+0-114.7--0.0584969999999884</f>
        <v>431.57978199999997</v>
      </c>
      <c r="N203" s="3">
        <f>418.9+(279-90.5)+(-0.213639+(-0.14229--0.046155))+0-126.9--0.0647189999999871</f>
        <v>480.25494500000002</v>
      </c>
      <c r="O203" s="3">
        <f>426.5+(233.3-52)+(-0.43503+(-0.237966--0.05304))+0-128.8--0.131376000000021</f>
        <v>478.51141999999999</v>
      </c>
      <c r="P203" s="3">
        <f>439.3+(251.6-52)+(-0.224043+(-0.128316--0.02652))+0-138.1--0.070430999999986</f>
        <v>500.54459199999997</v>
      </c>
      <c r="Q203" s="3">
        <f>476+(266.9-91.2)+(-0.48552+(-0.272238--0.093024))+0-141.1--0.143922000000023</f>
        <v>510.0791880000001</v>
      </c>
      <c r="R203" s="3">
        <f>470.8+(349.3-182.2)+(-0.240108+(-0.178143--0.092922))+0-133.3--0.0679829999999865</f>
        <v>504.34265400000004</v>
      </c>
      <c r="S203" s="3">
        <f>466.2+(479.3-320.8)+(-0.475524+(-0.488886--0.327216))+0-131.7--0.134334000000021</f>
        <v>492.49714000000006</v>
      </c>
      <c r="T203" s="3">
        <f>468+(443.2-302.1)+(-0.47736+(-0.452064--0.308142))+0-127.5--0.13005000000002</f>
        <v>481.108768</v>
      </c>
      <c r="U203" s="3">
        <f>465+(345.4-197.7)+(-0.9486+(-0.704616--0.403308))+0-132.4--0.270095999999994</f>
        <v>479.32018800000003</v>
      </c>
      <c r="V203" s="3">
        <f>462+(229.5-94.8)+(-1.41372+(-0.70227--0.290088))+0-115.9--0.354654000000013</f>
        <v>479.32875200000007</v>
      </c>
      <c r="W203" s="3">
        <f>467+(268.9-93.2)+(-0.47634+(-0.274278--0.095064))+0-122.5--0.12495000000002</f>
        <v>519.66939600000001</v>
      </c>
      <c r="X203" s="3">
        <f>491+(353.5-151.7)+(-0.75123+(-0.540855--0.232101))+0-135--0.206550000000008</f>
        <v>556.94656599999996</v>
      </c>
      <c r="Y203" s="3">
        <f>493+(401.7-236.6)+(-1.25715+(-1.024335--0.60333))+0-123.8--0.315689999999982</f>
        <v>532.93753500000014</v>
      </c>
      <c r="Z203" s="3">
        <f>502+(422.5-290.6)+(-0.76806+(-0.646425--0.444618))+0-110.5--0.169065000000006</f>
        <v>522.599198</v>
      </c>
      <c r="AA203" s="3">
        <f>498+(438.1-304.4)+(-1.2699+(-1.117155--0.77622))+0-127.4--0.324869999999982</f>
        <v>503.01403500000009</v>
      </c>
      <c r="AB203" s="3">
        <f>489+(385.7-270.2)+(-1.24695+(-0.983535--0.68901))+0-120.3--0.306764999999983</f>
        <v>482.96528999999998</v>
      </c>
      <c r="AC203" s="3">
        <f>494+(294-213.4)+(0+(0-0))+0-115.9-0</f>
        <v>458.70000000000005</v>
      </c>
      <c r="AD203">
        <f t="shared" si="3"/>
        <v>10941.551518000002</v>
      </c>
      <c r="AE203" s="3">
        <f>499+(377-206.6)+(0+(0-0))+0-123.2-0</f>
        <v>546.19999999999993</v>
      </c>
    </row>
    <row r="204" spans="1:31" s="2" customFormat="1" x14ac:dyDescent="0.25">
      <c r="A204">
        <v>89</v>
      </c>
      <c r="B204">
        <v>7</v>
      </c>
      <c r="C204">
        <v>18</v>
      </c>
      <c r="D204">
        <v>2</v>
      </c>
      <c r="E204">
        <v>1</v>
      </c>
      <c r="F204" s="3">
        <f>449+(205.1-170.3)+(0+(0-0))+0-108-0</f>
        <v>375.79999999999995</v>
      </c>
      <c r="G204" s="3">
        <f>450+(182.4-141.1)+(0+(0-0))+0-116-0</f>
        <v>375.3</v>
      </c>
      <c r="H204" s="3">
        <f>460+(219.7-194.5)+(0+(0-0))+0-121.9-0</f>
        <v>363.29999999999995</v>
      </c>
      <c r="I204" s="3">
        <f>460+(176.3-162.5)+(0+(0-0))+0-113.7-0</f>
        <v>360.1</v>
      </c>
      <c r="J204" s="3">
        <f>463+(174-152.2)+(0+(0-0))+0-122.3-0</f>
        <v>362.5</v>
      </c>
      <c r="K204" s="3">
        <f>454+(182.6-153.3)+(0+(0-0))+0-128.6-0</f>
        <v>354.69999999999993</v>
      </c>
      <c r="L204" s="3">
        <f>436+(246.4-170.5)+(0+(0-0))+0-106.4-0</f>
        <v>405.5</v>
      </c>
      <c r="M204" s="3">
        <f>479+(276.3-138.9)+(0+(0-0))+0-113.1-0</f>
        <v>503.29999999999995</v>
      </c>
      <c r="N204" s="3">
        <f>491+(277.3-146.4)+(0+(0-0))+0-120.1-0</f>
        <v>501.79999999999995</v>
      </c>
      <c r="O204" s="3">
        <f>490+(243.4-103.2)+(0+(0-0))+0-126.4-0</f>
        <v>503.80000000000007</v>
      </c>
      <c r="P204" s="3">
        <f>489+(213-53.5)+(0+(0-0))+0-85.6-0</f>
        <v>562.9</v>
      </c>
      <c r="Q204" s="3">
        <f>490+(313.7-154.9)+(0+(0-0))+0-73-0</f>
        <v>575.79999999999995</v>
      </c>
      <c r="R204" s="3">
        <f>479.2+(448.2-309.6)+(-0.244392+(-0.228582--0.157896))+0-106.3--0.0542129999999892</f>
        <v>511.23913499999998</v>
      </c>
      <c r="S204" s="3">
        <f>475.6+(486.1-354.9)+(-0.485112+(-0.495822--0.361998))+0-102.5--0.104550000000016</f>
        <v>503.78561400000012</v>
      </c>
      <c r="T204" s="3">
        <f>476.6+(429.8-307.6)+(-0.486132+(-0.438396--0.313752))+0-106.1--0.108222000000017</f>
        <v>492.19744599999996</v>
      </c>
      <c r="U204" s="3">
        <f>467.7+(323.9-180)+(-0.954108+(-0.660756--0.3672))+0-119.9--0.244595999999995</f>
        <v>490.69693199999995</v>
      </c>
      <c r="V204" s="3">
        <f>455.4+(213.1-64.4)+(-0.696762+(-0.326043--0.098532))+0-110.6--0.169218000000006</f>
        <v>492.74494499999992</v>
      </c>
      <c r="W204" s="3">
        <f>471.9+(271.4-79.5)+(0+(0-0))+0-120-0</f>
        <v>543.79999999999995</v>
      </c>
      <c r="X204" s="3">
        <f>482.4+(317-100.5)+(-0.246024+(-0.16167--0.051255))+0-125.3--0.0639029999999873</f>
        <v>573.30746399999998</v>
      </c>
      <c r="Y204" s="3">
        <f>481+(336.9-148.4)+(-0.73593+(-0.515457--0.227052))+0-121.8--0.186354000000007</f>
        <v>546.86201900000015</v>
      </c>
      <c r="Z204" s="3">
        <f>487.8+(351.8-178.6)+(-1.492668+(-1.076508--0.546516))+0-125.8--0.384948000000015</f>
        <v>533.56228800000008</v>
      </c>
      <c r="AA204" s="3">
        <f>488.2+(358.6-215.9)+(-0.497964+(-0.365772--0.220218))+0-116.8--0.119136000000019</f>
        <v>513.57561800000008</v>
      </c>
      <c r="AB204" s="3">
        <f>483.5+(312.6-200.2)+(-1.47951+(-0.956556--0.612612))+0-118.1--0.361386000000014</f>
        <v>476.33793200000014</v>
      </c>
      <c r="AC204" s="3">
        <f>479.2+(264.3-164)+(-1.22196+(-0.673965--0.4182))+0-123.1--0.313904999999982</f>
        <v>455.23617999999999</v>
      </c>
      <c r="AD204">
        <f t="shared" si="3"/>
        <v>11378.145573000002</v>
      </c>
      <c r="AE204" s="3">
        <f>483+(345.1-125.4)+(0+(0-0))+0-130.7-0</f>
        <v>572</v>
      </c>
    </row>
    <row r="205" spans="1:31" s="2" customFormat="1" x14ac:dyDescent="0.25">
      <c r="A205">
        <v>89</v>
      </c>
      <c r="B205">
        <v>7</v>
      </c>
      <c r="C205">
        <v>19</v>
      </c>
      <c r="D205">
        <v>3</v>
      </c>
      <c r="E205">
        <v>1</v>
      </c>
      <c r="F205" s="3">
        <f>474.9+(195.8-125.6)+(0.242199+(0.099858-0.064056))+0-123-0.0627299999999875</f>
        <v>422.31527100000005</v>
      </c>
      <c r="G205" s="3">
        <f>479.7+(195-118.4)+(-0.978588+(-0.3978--0.241536))+0-133.8--0.272951999999994</f>
        <v>421.63809999999989</v>
      </c>
      <c r="H205" s="3">
        <f>480+(189.3-137.7)+(-0.9792+(-0.386172--0.280908))+0-120.3--0.245411999999995</f>
        <v>410.46094799999997</v>
      </c>
      <c r="I205" s="3">
        <f>477.1+(211.5-149)+(-0.486642+(-0.21573--0.15198))+0-131.3--0.133926000000021</f>
        <v>407.88353400000005</v>
      </c>
      <c r="J205" s="3">
        <f>475.6+(276.5-192.7)+(-0.485112+(-0.28203--0.196554))+0-147--0.149940000000023</f>
        <v>411.97935200000006</v>
      </c>
      <c r="K205" s="3">
        <f>476.6+(287.9-234.6)+(0.243066+(0.146829-0.119646))+0-116.2-0.0592619999999882</f>
        <v>413.91098700000003</v>
      </c>
      <c r="L205" s="3">
        <f>477.2+(330.7-260.8)+(-0.486744+(-0.337314--0.266016))+0-126.5--0.12903000000002</f>
        <v>420.17098799999991</v>
      </c>
      <c r="M205" s="3">
        <f>476.5+(334.5-216.5)+(0.243015+(0.170595-0.110415))+0-132.3-0.0674729999999866</f>
        <v>462.43572199999994</v>
      </c>
      <c r="N205" s="3">
        <f>472.7+(384-243.5)+(-0.241077+(-0.19584--0.124185))+0-117.9--0.060128999999988</f>
        <v>495.04739700000005</v>
      </c>
      <c r="O205" s="3">
        <f>471.5+(323.1-169)+(0+(0-0))+0-125.5-0</f>
        <v>500.1</v>
      </c>
      <c r="P205" s="3">
        <f>475.7+(278.7-108.2)+(0+(0-0))+0-119.1-0</f>
        <v>527.1</v>
      </c>
      <c r="Q205" s="3">
        <f>498+(245.3-69.3)+(0+(0-0))+0-137.3-0</f>
        <v>536.70000000000005</v>
      </c>
      <c r="R205" s="3">
        <f>494.8+(308.9-154.1)+(-0.504696+(-0.315078--0.157182))+0-115.1--0.117402000000018</f>
        <v>533.95480999999995</v>
      </c>
      <c r="S205" s="3">
        <f>489.3+(390.1-233.4)+(0+(0-0))+0-126-0</f>
        <v>520</v>
      </c>
      <c r="T205" s="3">
        <f>488.8+(332.8-206.6)+(-0.498576+(-0.339456--0.210732))+0-118.2--0.120564000000019</f>
        <v>496.29326400000002</v>
      </c>
      <c r="U205" s="3">
        <f>488.1+(271.6-140.3)+(-0.995724+(-0.554064--0.286212))+0-117.7--0.240107999999995</f>
        <v>500.67653200000018</v>
      </c>
      <c r="V205" s="3">
        <f>479.7+(215.5-79.4)+(-0.978588+(-0.43962--0.161976))+0-102.6--0.209303999999996</f>
        <v>512.15307199999995</v>
      </c>
      <c r="W205" s="3">
        <f>491.6+(246-73.7)+(0.501432+(0.25092-0.075174))+0-108.2-0.110364000000017</f>
        <v>556.26681400000007</v>
      </c>
      <c r="X205" s="3">
        <f>489.6+(346.7-110.9)+(-0.749088+(-0.530451--0.169677))+0-136.8--0.209304000000008</f>
        <v>587.69944199999986</v>
      </c>
      <c r="Y205" s="3">
        <f>500.5+(352.4-153.8)+(-1.02102+(-0.718896--0.313752))+0-138.8--0.283151999999994</f>
        <v>559.15698799999996</v>
      </c>
      <c r="Z205" s="3">
        <f>508.5+(275-106.3)+(-0.778005+(-0.42075--0.162639))+0-126.6--0.193698000000007</f>
        <v>549.75758200000007</v>
      </c>
      <c r="AA205" s="3">
        <f>505.1+(264-114.9)+(-0.515202+(-0.26928--0.117198))+0-131.8--0.134436000000021</f>
        <v>521.86715200000003</v>
      </c>
      <c r="AB205" s="3">
        <f>503.3+(283.4-144.5)+(-0.513366+(-0.289068--0.14739))+0-138.8--0.141576000000022</f>
        <v>502.8865320000001</v>
      </c>
      <c r="AC205" s="3">
        <f>471.5+(268-141.5)+(-0.240465+(-0.13668--0.072165))+0-132.5--0.0675749999999866</f>
        <v>465.26259499999998</v>
      </c>
      <c r="AD205">
        <f t="shared" si="3"/>
        <v>11735.717082000003</v>
      </c>
      <c r="AE205" s="3">
        <f>494+(357.5-121.9)+(0+(0-0))+0-139.9-0</f>
        <v>589.70000000000005</v>
      </c>
    </row>
    <row r="206" spans="1:31" s="2" customFormat="1" x14ac:dyDescent="0.25">
      <c r="A206">
        <v>89</v>
      </c>
      <c r="B206">
        <v>7</v>
      </c>
      <c r="C206">
        <v>20</v>
      </c>
      <c r="D206">
        <v>4</v>
      </c>
      <c r="E206">
        <v>1</v>
      </c>
      <c r="F206" s="3">
        <f>475.6+(223-118.6)+(-0.970224+(-0.45492--0.241944))+0-136.2--0.277847999999994</f>
        <v>442.89464799999996</v>
      </c>
      <c r="G206" s="3">
        <f>469.3+(204.7-120.6)+(-0.239343+(-0.104397--0.061506))+0-139.9--0.0713489999999858</f>
        <v>413.28911499999998</v>
      </c>
      <c r="H206" s="3">
        <f>475+(207.7-124.3)+(-0.72675+(-0.317781--0.190179))+0-132.3--0.202419000000008</f>
        <v>425.44806700000004</v>
      </c>
      <c r="I206" s="3">
        <f>475.1+(209.2-141.9)+(-0.726903+(-0.320076--0.217107))+0-123.7--0.189261000000007</f>
        <v>418.05938899999995</v>
      </c>
      <c r="J206" s="3">
        <f>472.4+(239.3-171.8)+(-0.481848+(-0.244086--0.175236))+0-135.5--0.138210000000022</f>
        <v>403.98751199999998</v>
      </c>
      <c r="K206" s="3">
        <f>467+(335-264.7)+(0+(0-0))+0-134.9-0</f>
        <v>402.4</v>
      </c>
      <c r="L206" s="3">
        <f>423+(387.7-269.8)+(0+(0-0))+0-120.1-0</f>
        <v>420.79999999999995</v>
      </c>
      <c r="M206" s="3">
        <f>428.9+(358.8-187.5)+(0.218739+(0.182988-0.095625))+0-139.3-0.0710429999999859</f>
        <v>461.13505900000007</v>
      </c>
      <c r="N206" s="3">
        <f>470+(382-234)+(0+(0-0))+0-93-0</f>
        <v>525</v>
      </c>
      <c r="O206" s="3">
        <f>456+(341-176)+(0+(0-0))+0-84-0</f>
        <v>537</v>
      </c>
      <c r="P206" s="3">
        <f>457+(303-114)+(-1.16535+(-0.77265--0.2907))+0-81--0.206549999999988</f>
        <v>563.55925000000002</v>
      </c>
      <c r="Q206" s="3">
        <f>454.3+(274.4-67)+(0+(0-0))+0-126.5-0</f>
        <v>535.20000000000005</v>
      </c>
      <c r="R206" s="3">
        <f>456.3+(297-114.5)+(0+(0-0))+0-104.1-0</f>
        <v>534.69999999999993</v>
      </c>
      <c r="S206" s="3">
        <f>455.7+(397.9-223)+(0+(0-0))+0-115.1-0</f>
        <v>515.49999999999989</v>
      </c>
      <c r="T206" s="3">
        <f>458.7+(404.4-222.3)+(-1.169685+(-1.03122--0.566865))+0-132.5--0.337874999999981</f>
        <v>507.00383499999992</v>
      </c>
      <c r="U206" s="3">
        <f>457.7+(286.5-108.1)+(-0.466854+(-0.29223--0.110262))+0-131.7--0.134334000000021</f>
        <v>503.88551200000006</v>
      </c>
      <c r="V206" s="3">
        <f>461.5+(254.2-59)+(-1.41219+(-0.777852--0.18054))+0-136.7--0.418302000000016</f>
        <v>518.40880000000016</v>
      </c>
      <c r="W206" s="3">
        <f>462+(298-72.5)+(-0.94248+(-0.60792--0.1479))+0-108--0.220319999999995</f>
        <v>578.31781999999998</v>
      </c>
      <c r="X206" s="3">
        <f>484.1+(324.8-78.5)+(-0.987564+(-0.662592--0.16014))+0-146.5--0.298859999999994</f>
        <v>582.70884400000011</v>
      </c>
      <c r="Y206" s="3">
        <f>488.5+(329.1-110.1)+(-0.747405+(-0.503523--0.168453))+0-143.9--0.220167000000008</f>
        <v>562.73769200000004</v>
      </c>
      <c r="Z206" s="3">
        <f>483.6+(348.2-137.9)+(-0.739908+(-0.532746--0.210987))+0-149--0.227970000000009</f>
        <v>544.06630299999995</v>
      </c>
      <c r="AA206" s="3">
        <f>477.5+(373.6-186.5)+(-1.46115+(-1.143216--0.57069))+0-144--0.440640000000017</f>
        <v>519.00696400000004</v>
      </c>
      <c r="AB206" s="3">
        <f>472.4+(332-167)+(-0.963696+(-0.67728--0.34068))+0-139.9--0.285395999999994</f>
        <v>496.48509999999999</v>
      </c>
      <c r="AC206" s="3">
        <f>470.9+(262.4-130.6)+(-1.200795+(-0.66912--0.33303))+0-132.6--0.338129999999981</f>
        <v>468.9012449999999</v>
      </c>
      <c r="AD206">
        <f t="shared" si="3"/>
        <v>11880.495154999999</v>
      </c>
      <c r="AE206" s="3">
        <f>490+(328.4-98)+(0+(0-0))+0-160.6-0</f>
        <v>559.79999999999995</v>
      </c>
    </row>
    <row r="207" spans="1:31" s="2" customFormat="1" x14ac:dyDescent="0.25">
      <c r="A207">
        <v>89</v>
      </c>
      <c r="B207">
        <v>7</v>
      </c>
      <c r="C207">
        <v>21</v>
      </c>
      <c r="D207">
        <v>5</v>
      </c>
      <c r="E207">
        <v>1</v>
      </c>
      <c r="F207" s="3">
        <f>475.3+(201.2-104)+(-0.242403+(-0.102612--0.05304))+0-140.6--0.0717059999999857</f>
        <v>431.679731</v>
      </c>
      <c r="G207" s="3">
        <f>466.7+(190-112)+(-0.714051+(-0.2907--0.17136))+0-125.6--0.192168000000007</f>
        <v>418.458777</v>
      </c>
      <c r="H207" s="3">
        <f>420.5+(228.8-99.2)+(-0.643365+(-0.350064--0.151776))+0-139.2--0.212976000000008</f>
        <v>410.27132300000011</v>
      </c>
      <c r="I207" s="3">
        <f>420.3+(224.1-108.3)+(-0.643059+(-0.342873--0.165699))+0-126.8--0.194004000000007</f>
        <v>408.67377099999999</v>
      </c>
      <c r="J207" s="3">
        <f>426.6+(221.9-87.9)+(0+(0-0))+0-149.1-0</f>
        <v>411.5</v>
      </c>
      <c r="K207" s="3">
        <f>420.1+(231.6-105.8)+(-0.857004+(-0.472464--0.215832))+0-137.1--0.279683999999994</f>
        <v>407.96604799999989</v>
      </c>
      <c r="L207" s="3">
        <f>428.4+(283.5-144.5)+(-0.655452+(-0.433755--0.221085))+0-140.9--0.215577000000008</f>
        <v>425.84745500000002</v>
      </c>
      <c r="M207" s="3">
        <f>432.2+(262.7-96.8)+(0.440844+(0.267954-0.098736))+0-135.5-0.138210000000022</f>
        <v>463.07185199999986</v>
      </c>
      <c r="N207" s="3">
        <f>427.8+(249.3-61.8)+(-0.436356+(-0.254286--0.063036))+0-115.6--0.117912000000018</f>
        <v>499.19030599999991</v>
      </c>
      <c r="O207" s="3">
        <f>430.2+(297-96.7)+(-0.658206+(-0.45441--0.147951))+0-129.8--0.198594000000008</f>
        <v>499.93392900000003</v>
      </c>
      <c r="P207" s="3">
        <f>461.3+(252.6-71.6)+(-0.705789+(-0.386478--0.109548))+0-128.4--0.196452000000007</f>
        <v>513.11373300000002</v>
      </c>
      <c r="Q207" s="3">
        <f>475.2+(253.7-59.9)+(0.242352+(0.129387-0.030549))+0-142.5-0.0726749999999855</f>
        <v>526.76851499999998</v>
      </c>
      <c r="R207" s="3">
        <f>468.5+(291.1-100.7)+(-1.43361+(-0.890766--0.308142))+0-129.1--0.395046000000015</f>
        <v>528.17881199999999</v>
      </c>
      <c r="S207" s="3">
        <f>468.4+(354.6-165.4)+(-0.238884+(-0.180846--0.084354))+0-148--0.075479999999985</f>
        <v>509.340104</v>
      </c>
      <c r="T207" s="3">
        <f>460.3+(317.5-159)+(-0.469506+(-0.32385--0.16218))+0-127--0.12954000000002</f>
        <v>491.29836399999999</v>
      </c>
      <c r="U207" s="3">
        <f>465+(239.4-79.2)+(-0.4743+(-0.244188--0.080784))+0-126--0.12852000000002</f>
        <v>498.6908160000001</v>
      </c>
      <c r="V207" s="3">
        <f>463.4+(243.1-115.7)+(-0.945336+(-0.495924--0.236028))+0-94.1--0.191963999999996</f>
        <v>495.68673199999989</v>
      </c>
      <c r="W207" s="3">
        <f>469.2+(258.5-95.4)+(-0.239292+(-0.131835--0.048654))+0-95.2--0.0485519999999903</f>
        <v>536.82607899999994</v>
      </c>
      <c r="X207" s="3">
        <f>472+(270.3-65.8)+(-0.96288+(-0.551412--0.134232))+0-112.7--0.229907999999995</f>
        <v>562.64984800000002</v>
      </c>
      <c r="Y207" s="3">
        <f>484.7+(287.7-108.3)+(-0.988788+(-0.586908--0.220932))+0-110.5--0.225419999999995</f>
        <v>552.47065599999985</v>
      </c>
      <c r="Z207" s="3">
        <f>488.7+(285.4-120.9)+(-1.246185+(-0.72777--0.308295))+0-116.7--0.297584999999983</f>
        <v>535.13192499999991</v>
      </c>
      <c r="AA207" s="3">
        <f>490+(291.2-147.9)+(-0.7497+(-0.445536--0.226287))+0-120.2--0.183906000000007</f>
        <v>512.31495699999994</v>
      </c>
      <c r="AB207" s="3">
        <f>490.4+(277.8-148.9)+(-0.750312+(-0.425034--0.227817))+0-129.2--0.197676000000007</f>
        <v>489.35014699999994</v>
      </c>
      <c r="AC207" s="3">
        <f>490.3+(252.5-151.3)+(-1.250265+(-0.643875--0.385815))+0-124--0.316199999999982</f>
        <v>466.30787499999997</v>
      </c>
      <c r="AD207">
        <f t="shared" si="3"/>
        <v>11594.721755</v>
      </c>
      <c r="AE207" s="3">
        <f>481+(293.8-61)+(0+(0-0))+0-143.2-0</f>
        <v>570.59999999999991</v>
      </c>
    </row>
    <row r="208" spans="1:31" s="2" customFormat="1" x14ac:dyDescent="0.25">
      <c r="A208">
        <v>89</v>
      </c>
      <c r="B208">
        <v>7</v>
      </c>
      <c r="C208">
        <v>22</v>
      </c>
      <c r="D208">
        <v>6</v>
      </c>
      <c r="E208">
        <v>1</v>
      </c>
      <c r="F208" s="3">
        <f>496.2+(198.5-130.1)+(-1.771434+(-0.708645--0.464457))+0-133.1--0.475167000000002</f>
        <v>429.95954499999999</v>
      </c>
      <c r="G208" s="3">
        <f>495.8+(181.1-123.6)+(-0.505716+(-0.184722--0.126072))+0-134.4--0.137088000000021</f>
        <v>418.47272200000003</v>
      </c>
      <c r="H208" s="3">
        <f>483.3+(166.5-117.5)+(-0.739449+(-0.254745--0.179775))+0-128.1--0.195993000000007</f>
        <v>403.58157399999988</v>
      </c>
      <c r="I208" s="3">
        <f>485.8+(170.1-102.6)+(-0.495516+(-0.173502--0.104652))+0-141.9--0.144738000000023</f>
        <v>410.98037200000005</v>
      </c>
      <c r="J208" s="3">
        <f>486.1+(171.8-111.8)+(0.247911+(0.087618-0.057018))+0-140.2-0.0715019999999858</f>
        <v>406.10700900000001</v>
      </c>
      <c r="K208" s="3">
        <f>426.1+(250.5-133)+(-0.651933+(-0.383265--0.20349))+0-139--0.212670000000008</f>
        <v>403.98096199999998</v>
      </c>
      <c r="L208" s="3">
        <f>368.4+(285.9-119.9)+(-0.375768+(-0.291618--0.122298))+0-136.6--0.139332000000022</f>
        <v>397.39424400000001</v>
      </c>
      <c r="M208" s="3">
        <f>368.5+(279.6-74.3)+(0.37587+(0.285192-0.075786))+0-123.2-0.12566400000002</f>
        <v>451.05961199999996</v>
      </c>
      <c r="N208" s="3">
        <f>486+(240-80.9)+(-0.24786+(-0.1224--0.041259))+0-152.6--0.0778259999999845</f>
        <v>492.24882500000001</v>
      </c>
      <c r="O208" s="3">
        <f>486.2+(210.4-81.4)+(0.247962+(0.107304-0.041514))+0-129.5-0.0660449999999869</f>
        <v>485.94770700000009</v>
      </c>
      <c r="P208" s="3">
        <f>484.8+(239.4-87.6)+(-0.494496+(-0.244188--0.089352))+0-127.7--0.13025400000002</f>
        <v>508.38092200000011</v>
      </c>
      <c r="Q208" s="3">
        <f>476.6+(233.5-56.5)+(0.486132+(0.23817-0.05763))+0-142.8-0.145656000000023</f>
        <v>511.32101599999993</v>
      </c>
      <c r="R208" s="3">
        <f>475.5+(236.1-69.8)+(-1.697535+(-0.842877--0.249186))+0-134--0.478380000000002</f>
        <v>505.98715399999992</v>
      </c>
      <c r="S208" s="3">
        <f>474.7+(299.9-135.4)+(-1.452582+(-0.917694--0.414324))+0-146.4--0.447984000000017</f>
        <v>491.29203199999995</v>
      </c>
      <c r="T208" s="3">
        <f>474.3+(348.2-210.9)+(-0.483786+(-0.355164--0.215118))+0-140.7--0.143514000000022</f>
        <v>470.41968200000008</v>
      </c>
      <c r="U208" s="3">
        <f>474+(259.3-126.2)+(-1.2087+(-0.661215--0.32181))+0-143.2--0.365159999999979</f>
        <v>462.71705500000007</v>
      </c>
      <c r="V208" s="3">
        <f>475.5+(194.9-62.6)+(0.242505+(0.099399-0.031926))+0-141.1-0.0719609999999857</f>
        <v>466.93801699999995</v>
      </c>
      <c r="W208" s="3">
        <f>476.6+(233.2-56.9)+(-0.486132+(-0.237864--0.058038))+0-146.1--0.149022000000023</f>
        <v>506.28306399999991</v>
      </c>
      <c r="X208" s="3">
        <f>484.6+(260-68.2)+(-0.494292+(-0.2652--0.069564))+0-149.5--0.152490000000024</f>
        <v>526.36256200000014</v>
      </c>
      <c r="Y208" s="3">
        <f>493.4+(240-77.1)+(-1.006536+(-0.4896--0.157284))+0-144.9--0.295595999999994</f>
        <v>510.35674399999999</v>
      </c>
      <c r="Z208" s="3">
        <f>484.9+(242.7-75.6)+(-0.494598+(-0.247554--0.077112))+0-142.1--0.144942000000023</f>
        <v>509.37990200000002</v>
      </c>
      <c r="AA208" s="3">
        <f>486.9+(305-155.4)+(-1.241595+(-0.77775--0.39627))+0-142.7--0.363884999999979</f>
        <v>492.54081000000002</v>
      </c>
      <c r="AB208" s="3">
        <f>488.1+(311-214.6)+(-0.248931+(-0.15861--0.109446))+0-122.3--0.0623729999999876</f>
        <v>461.96427799999998</v>
      </c>
      <c r="AC208" s="3">
        <f>489.6+(358.5-272.9)+(-1.498176+(-1.09701--0.835074))+0-131--0.400860000000015</f>
        <v>442.84074800000002</v>
      </c>
      <c r="AD208">
        <f t="shared" si="3"/>
        <v>11166.516558000001</v>
      </c>
      <c r="AE208" s="3">
        <f>501+(276.6-71)+(0+(0-0))+0-162.2-0</f>
        <v>544.40000000000009</v>
      </c>
    </row>
    <row r="209" spans="1:31" s="2" customFormat="1" x14ac:dyDescent="0.25">
      <c r="A209">
        <v>89</v>
      </c>
      <c r="B209">
        <v>7</v>
      </c>
      <c r="C209">
        <v>23</v>
      </c>
      <c r="D209">
        <v>7</v>
      </c>
      <c r="E209">
        <v>1</v>
      </c>
      <c r="F209" s="3">
        <f>487.6+(358-300.8)+(-0.497352+(-0.36516--0.306816))+0-130--0.132600000000021</f>
        <v>414.37690399999997</v>
      </c>
      <c r="G209" s="3">
        <f>489.6+(323.2-276.3)+(-0.749088+(-0.494496--0.422739))+0-132.7--0.203031000000008</f>
        <v>403.18218600000006</v>
      </c>
      <c r="H209" s="3">
        <f>489.7+(263.2-223.4)+(0+(0-0))+0-133.8-0</f>
        <v>395.7</v>
      </c>
      <c r="I209" s="3">
        <f>490.4+(216.8-173.3)+(-0.250104+(-0.110568--0.088383))+0-138.1--0.070430999999986</f>
        <v>395.59814199999994</v>
      </c>
      <c r="J209" s="3">
        <f>491.2+(152.6-114.8)+(0.250512+(0.077826-0.058548))+0-130.3-0.0664529999999868</f>
        <v>398.90333699999996</v>
      </c>
      <c r="K209" s="3">
        <f>492.2+(144.9-117)+(-0.753066+(-0.221697--0.17901))+0-131.4--0.201042000000008</f>
        <v>388.10528900000008</v>
      </c>
      <c r="L209" s="3">
        <f>453.1+(153.9-101.6)+(-0.693243+(-0.235467--0.155448))+0-138--0.211140000000008</f>
        <v>366.83787800000005</v>
      </c>
      <c r="M209" s="3">
        <f>433.1+(154.9-92.9)+(0+(0-0))+0-124-0</f>
        <v>371.1</v>
      </c>
      <c r="N209" s="3">
        <f>427.6+(159.8-94.4)+(0+(0-0))+0-117.7-0</f>
        <v>375.3</v>
      </c>
      <c r="O209" s="3">
        <f>423.6+(195.5-108.2)+(-1.08018+(-0.498525--0.27591))+0-118.2--0.301409999999983</f>
        <v>391.69861500000002</v>
      </c>
      <c r="P209" s="3">
        <f>479.6+(200.4-142.5)+(-0.978384+(-0.408816--0.2907))+0-127.1--0.259283999999994</f>
        <v>409.56278399999997</v>
      </c>
      <c r="Q209" s="3">
        <f>477.8+(276.1-205.4)+(-0.487356+(-0.281622--0.209508))+0-133.3--0.135966000000021</f>
        <v>414.77649599999995</v>
      </c>
      <c r="R209" s="3">
        <f>470.1+(364.2-286)+(-0.479502+(-0.371484--0.29172))+0-131.6--0.134232000000021</f>
        <v>416.27496599999995</v>
      </c>
      <c r="S209" s="3">
        <f>466+(423.5-350.8)+(0+(0-0))+0-148.9-0</f>
        <v>389.80000000000007</v>
      </c>
      <c r="T209" s="3">
        <f>465.2+(449-381.5)+(-0.237252+(-0.22899--0.194565))+0-141.2--0.0720119999999857</f>
        <v>391.30033500000008</v>
      </c>
      <c r="U209" s="3">
        <f>466.3+(421.9-339.1)+(-0.951252+(-0.860676--0.691764))+0-150.8--0.307631999999993</f>
        <v>397.48746799999986</v>
      </c>
      <c r="V209" s="3">
        <f>465+(341.1-248.9)+(-0.4743+(-0.347922--0.253878))+0-151.7--0.154734000000024</f>
        <v>405.08639000000005</v>
      </c>
      <c r="W209" s="3">
        <f>468.9+(348.3-216.9)+(-0.956556+(-0.710532--0.442476))+0-151.7--0.309467999999993</f>
        <v>447.68485599999997</v>
      </c>
      <c r="X209" s="3">
        <f>492.8+(240.7-124.1)+(-0.502656+(-0.245514--0.126582))+0-122.1--0.124542000000019</f>
        <v>486.802954</v>
      </c>
      <c r="Y209" s="3">
        <f>497.5+(257.3-147.6)+(-1.0149+(-0.524892--0.301104))+0-123.5--0.251939999999995</f>
        <v>482.71325200000001</v>
      </c>
      <c r="Z209" s="3">
        <f>484.7+(274.6-143)+(0+(0-0))+0-145.7-0</f>
        <v>470.59999999999997</v>
      </c>
      <c r="AA209" s="3">
        <f>482.5+(307.4-166.4)+(-0.738225+(-0.470322--0.254592))+0-161--0.246330000000009</f>
        <v>461.79237500000005</v>
      </c>
      <c r="AB209" s="3">
        <f>484.8+(260.7-173.1)+(0+(0-0))+0-129.9-0</f>
        <v>442.5</v>
      </c>
      <c r="AC209" s="3">
        <f>489+(204.5-147)+(-1.49634+(-0.62577--0.44982))+0-121.1--0.370566000000014</f>
        <v>424.098276</v>
      </c>
      <c r="AD209">
        <f t="shared" si="3"/>
        <v>9941.2825030000022</v>
      </c>
      <c r="AE209" s="3">
        <f>498+(221-115.7)+(0+(0-0))+0-124.8-0</f>
        <v>478.49999999999994</v>
      </c>
    </row>
    <row r="210" spans="1:31" s="2" customFormat="1" x14ac:dyDescent="0.25">
      <c r="A210">
        <v>89</v>
      </c>
      <c r="B210">
        <v>7</v>
      </c>
      <c r="C210">
        <v>24</v>
      </c>
      <c r="D210">
        <v>1</v>
      </c>
      <c r="E210">
        <v>1</v>
      </c>
      <c r="F210" s="3">
        <f>494.5+(153.6-113.8)+(-1.260975+(-0.39168--0.29019))+0-128.2--0.326909999999981</f>
        <v>405.06444499999992</v>
      </c>
      <c r="G210" s="3">
        <f>496.8+(146.8-117.6)+(-1.26684+(-0.37434--0.29988))+0-124.9--0.318494999999982</f>
        <v>400.07719499999996</v>
      </c>
      <c r="H210" s="3">
        <f>470.3+(186.9-137.7)+(-0.239853+(-0.095319--0.070227))+0-130.4--0.0665039999999868</f>
        <v>388.90155900000002</v>
      </c>
      <c r="I210" s="3">
        <f>437.1+(177.4-82.6)+(0.222921+(0.090474-0.042126))+0-144.4-0.0736439999999854</f>
        <v>387.69762500000007</v>
      </c>
      <c r="J210" s="3">
        <f>435.6+(180.1-81.3)+(-0.444312+(-0.183702--0.082926))+0-149.9--0.152898000000024</f>
        <v>384.10781000000009</v>
      </c>
      <c r="K210" s="3">
        <f>437.4+(257.6-160.2)+(-0.223074+(-0.131376--0.081702))+0-143.9--0.0733889999999854</f>
        <v>390.70064099999996</v>
      </c>
      <c r="L210" s="3">
        <f>440.3+(294.3-170.3)+(0.224553+(0.150093-0.086853))+0-152-0.0775199999999846</f>
        <v>412.51027299999993</v>
      </c>
      <c r="M210" s="3">
        <f>436.1+(279.1-124)+(0.444822+(0.284682-0.12648))+0-131.9-0.134538000000021</f>
        <v>459.76848600000005</v>
      </c>
      <c r="N210" s="3">
        <f>479+(240.1-112.6)+(-0.24429+(-0.122451--0.057426))+0-118.3--0.060332999999988</f>
        <v>487.95101800000003</v>
      </c>
      <c r="O210" s="3">
        <f>475+(250.9-106.6)+(0+(0-0))+0-123.5-0</f>
        <v>495.79999999999995</v>
      </c>
      <c r="P210" s="3">
        <f>471.1+(259.7-87.2)+(0+(0-0))+0-120.4-0</f>
        <v>523.20000000000005</v>
      </c>
      <c r="Q210" s="3">
        <f>464.5+(240.1-52.8)+(-0.47379+(-0.244902--0.053856))+0-123.1--0.12556200000002</f>
        <v>528.16072599999995</v>
      </c>
      <c r="R210" s="3">
        <f>461.2+(299.9-102.8)+(-0.235212+(-0.152949--0.052428))+0-128.5--0.065534999999987</f>
        <v>529.5298019999999</v>
      </c>
      <c r="S210" s="3">
        <f>440.6+(370.1-176.3)+(0.224706+(0.188751-0.089913))+0-134.5-0.0685949999999864</f>
        <v>500.1549490000001</v>
      </c>
      <c r="T210" s="3">
        <f>430+(381.3-171.2)+(0+(0-0))+0-139.7-0</f>
        <v>500.40000000000003</v>
      </c>
      <c r="U210" s="3">
        <f>451.3+(309-108)+(-0.460326+(-0.31518--0.11016))+0-140.3--0.143106000000022</f>
        <v>511.47775999999999</v>
      </c>
      <c r="V210" s="3">
        <f>439.1+(246.3-54.9)+(0.223941+(0.125613-0.027999))+0-131.3-0.0669629999999867</f>
        <v>499.45459199999999</v>
      </c>
      <c r="W210" s="3">
        <f>459.1+(280.6-57.1)+(-0.234141+(-0.143106--0.029121))+0-122.6--0.0625259999999876</f>
        <v>559.71439999999996</v>
      </c>
      <c r="X210" s="3">
        <f>447.1+(341.4-87.9)+(-1.140105+(-0.87057--0.224145))+0-121.9--0.310844999999982</f>
        <v>577.22431500000005</v>
      </c>
      <c r="Y210" s="3">
        <f>455.9+(355.3-124.8)+(0.232509+(0.181203-0.063648))+0-122-0.0622199999999876</f>
        <v>564.68784399999993</v>
      </c>
      <c r="Z210" s="3">
        <f>454.2+(394-136.1)+(0+(0-0))+0-159-0</f>
        <v>553.09999999999991</v>
      </c>
      <c r="AA210" s="3">
        <f>451.5+(356.9-156)+(0+(0-0))+0-128.4-0</f>
        <v>524</v>
      </c>
      <c r="AB210" s="3">
        <f>450.9+(323.4-138.9)+(-0.919836+(-0.659736--0.283356))+0-127.2--0.259487999999994</f>
        <v>507.16327200000001</v>
      </c>
      <c r="AC210" s="3">
        <f>439.6+(276.2-93)+(-1.12098+(-0.70431--0.23715))+0-147.9--0.377144999999979</f>
        <v>473.68900500000001</v>
      </c>
      <c r="AD210">
        <f t="shared" si="3"/>
        <v>11564.535716999999</v>
      </c>
      <c r="AE210" s="3">
        <f>456+(333.4-101.3)+(0+(0-0))+0-124.7-0</f>
        <v>563.39999999999986</v>
      </c>
    </row>
    <row r="211" spans="1:31" s="2" customFormat="1" x14ac:dyDescent="0.25">
      <c r="A211">
        <v>89</v>
      </c>
      <c r="B211">
        <v>7</v>
      </c>
      <c r="C211">
        <v>25</v>
      </c>
      <c r="D211">
        <v>2</v>
      </c>
      <c r="E211">
        <v>1</v>
      </c>
      <c r="F211" s="3">
        <f>457.3+(190.8-59.1)+(-0.699669+(-0.291924--0.090423))+0-136.7--0.209151000000008</f>
        <v>451.60798100000005</v>
      </c>
      <c r="G211" s="3">
        <f>456.4+(188-77.7)+(-0.698292+(-0.28764--0.118881))+0-136.8--0.209304000000008</f>
        <v>429.24225300000001</v>
      </c>
      <c r="H211" s="3">
        <f>459+(215.3-112)+(-0.70227+(-0.329409--0.17136))+0-141.5--0.216495000000008</f>
        <v>420.15617599999996</v>
      </c>
      <c r="I211" s="3">
        <f>458.6+(195.5-87.4)+(-0.233886+(-0.099705--0.044574))+0-152.1--0.0775709999999846</f>
        <v>414.38855400000006</v>
      </c>
      <c r="J211" s="3">
        <f>463.4+(184.8-86.2)+(0.236334+(0.094248-0.043962))+0-147.3-0.0751229999999851</f>
        <v>414.911497</v>
      </c>
      <c r="K211" s="3">
        <f>464.1+(247.8-150)+(-0.236691+(-0.126378--0.0765))+0-135.7--0.0692069999999862</f>
        <v>425.98263800000012</v>
      </c>
      <c r="L211" s="3">
        <f>467.7+(228.9-143.7)+(-0.238527+(-0.116739--0.073287))+0-115.5--0.0589049999999883</f>
        <v>437.17692599999998</v>
      </c>
      <c r="M211" s="3">
        <f>471.7+(274.4-139.6)+(0.240567+(0.139944-0.071196))+0-137.2-0.0699719999999861</f>
        <v>469.53934299999997</v>
      </c>
      <c r="N211" s="3">
        <f>480+(266.7-121.3)+(0.7344+(0.408051-0.185589))+0-131-0.200430000000008</f>
        <v>495.156432</v>
      </c>
      <c r="O211" s="3">
        <f>476.9+(216.9-71.7)+(0+(0-0))+0-123.7-0</f>
        <v>498.39999999999992</v>
      </c>
      <c r="P211" s="3">
        <f>468.2+(231.8-57.7)+(-0.238782+(-0.118218--0.029427))+0-121.2--0.0618119999999877</f>
        <v>520.83423899999991</v>
      </c>
      <c r="Q211" s="3">
        <f>466.2+(270.7-64.6)+(-0.237762+(-0.138057--0.032946))+0-142.3--0.0725729999999856</f>
        <v>529.72969999999998</v>
      </c>
      <c r="R211" s="3">
        <f>466.2+(343.7-146.6)+(0+(0-0))+0-129.4-0</f>
        <v>533.9</v>
      </c>
      <c r="S211" s="3">
        <f>466.2+(418.3-224)+(-0.237762+(-0.213333--0.11424))+0-132.8--0.0677279999999865</f>
        <v>527.43087300000002</v>
      </c>
      <c r="T211" s="3">
        <f>466.2+(426.3-238.7)+(0+(0-0))+0-142.2-0</f>
        <v>511.59999999999997</v>
      </c>
      <c r="U211" s="3">
        <f>466.2+(325.1-139)+(-0.713286+(-0.497403--0.21267))+0-141.1--0.215883000000008</f>
        <v>510.41786399999995</v>
      </c>
      <c r="V211" s="3">
        <f>462.3+(232.4-55.9)+(-0.471546+(-0.237048--0.057018))+0-129.1--0.131682000000021</f>
        <v>509.18010599999997</v>
      </c>
      <c r="W211" s="3">
        <f>469.2+(275.1-66)+(-0.239292+(-0.140301--0.03366))+0-126.6--0.0645659999999871</f>
        <v>551.418633</v>
      </c>
      <c r="X211" s="3">
        <f>481.8+(387.7-172.2)+(-0.737154+(-0.593181--0.263466))+0-127.5--0.195075000000007</f>
        <v>568.92820599999993</v>
      </c>
      <c r="Y211" s="3">
        <f>487.1+(412.1-199.8)+(-0.993684+(-0.840684--0.407592))+0-144--0.293759999999994</f>
        <v>554.26698400000009</v>
      </c>
      <c r="Z211" s="3">
        <f>478.1+(376.3-170)+(-0.731493+(-0.575739--0.2601))+0-143.2--0.219096000000008</f>
        <v>540.37196400000016</v>
      </c>
      <c r="AA211" s="3">
        <f>477.6+(374.7-173)+(-0.243576+(-0.191097--0.08823))+0-157.2--0.080171999999984</f>
        <v>521.83372899999995</v>
      </c>
      <c r="AB211" s="3">
        <f>478.3+(334.8-166.1)+(-0.731799+(-0.512244--0.254133))+0-151.2--0.231336000000009</f>
        <v>495.041426</v>
      </c>
      <c r="AC211" s="3">
        <f>481.3+(219.3-82.8)+(-0.245463+(-0.111843--0.042228))+0-150.5--0.0767549999999847</f>
        <v>467.06167699999997</v>
      </c>
      <c r="AD211">
        <f t="shared" si="3"/>
        <v>11798.577200999998</v>
      </c>
      <c r="AE211" s="3">
        <f>493+(406.1-192.6)+(0+(0-0))+0-122.5-0</f>
        <v>584</v>
      </c>
    </row>
    <row r="212" spans="1:31" s="2" customFormat="1" x14ac:dyDescent="0.25">
      <c r="A212">
        <v>89</v>
      </c>
      <c r="B212">
        <v>7</v>
      </c>
      <c r="C212">
        <v>26</v>
      </c>
      <c r="D212">
        <v>3</v>
      </c>
      <c r="E212">
        <v>1</v>
      </c>
      <c r="F212" s="3">
        <f>458.4+(183.5-56.7)+(-0.935136+(-0.37434--0.115668))+0-143.4--0.292535999999994</f>
        <v>440.89872799999995</v>
      </c>
      <c r="G212" s="3">
        <f>471.6+(195-79.2)+(0.240516+(0.09945-0.040392))+0-151.9-0.0774689999999846</f>
        <v>435.722105</v>
      </c>
      <c r="H212" s="3">
        <f>475.2+(198.1-103)+(-0.484704+(-0.202062--0.10506))+0-142.5--0.145350000000023</f>
        <v>427.36364399999991</v>
      </c>
      <c r="I212" s="3">
        <f>471.4+(191.3-81.7)+(-0.961656+(-0.390252--0.166668))+0-153.7--0.313547999999993</f>
        <v>426.42830799999996</v>
      </c>
      <c r="J212" s="3">
        <f>480.7+(181.1-102.8)+(0.735471+(0.277083-0.157284))+0-138.3-0.211599000000008</f>
        <v>421.34367099999997</v>
      </c>
      <c r="K212" s="3">
        <f>470.3+(240.9-153.3)+(-0.719559+(-0.368577--0.234549))+0-142.6--0.218178000000008</f>
        <v>414.66459100000003</v>
      </c>
      <c r="L212" s="3">
        <f>478.8+(333.4-250.7)+(0.488376+(0.340068-0.255714))+0-133.8-0.136476000000021</f>
        <v>428.13625399999995</v>
      </c>
      <c r="M212" s="3">
        <f>475.8+(315-176.8)+(0.242658+(0.16065-0.090168))+0-146-0.0744599999999852</f>
        <v>468.23867999999999</v>
      </c>
      <c r="N212" s="3">
        <f>471.4+(298.8-144)+(0.480828+(0.304776-0.14688))+0-128.4-0.13096800000002</f>
        <v>498.3077560000001</v>
      </c>
      <c r="O212" s="3">
        <f>467.4+(316.3-141)+(0+(0-0))+0-135.2-0</f>
        <v>507.50000000000006</v>
      </c>
      <c r="P212" s="3">
        <f>468.7+(282.1-101.7)+(0+(0-0))+0-120.1-0</f>
        <v>529</v>
      </c>
      <c r="Q212" s="3">
        <f>465.2+(276.8-75.2)+(0+(0-0))+0-121.6-0</f>
        <v>545.19999999999993</v>
      </c>
      <c r="R212" s="3">
        <f>463+(260.7-65.8)+(0.47226+(0.265914-0.067116))+0-138.1-0.140862000000022</f>
        <v>520.330196</v>
      </c>
      <c r="S212" s="3">
        <f>458.4+(325.3-136.2)+(0.233784+(0.165903-0.069462))+0-124.8-0.0636479999999873</f>
        <v>522.96657700000014</v>
      </c>
      <c r="T212" s="3">
        <f>457.6+(319.3-123.1)+(-0.700128+(-0.488529--0.188343))+0-142.2--0.217566000000008</f>
        <v>510.81725200000011</v>
      </c>
      <c r="U212" s="3">
        <f>452.5+(265.8-57.4)+(-0.230775+(-0.135558--0.029274))+0-153.7--0.0783869999999844</f>
        <v>506.941328</v>
      </c>
      <c r="V212" s="3">
        <f>446.2+(289.7-74.3)+(-0.455124+(-0.295494--0.075786))+0-144.7--0.147594000000023</f>
        <v>516.37276199999997</v>
      </c>
      <c r="W212" s="3">
        <f>449.9+(313.9-63.2)+(0.229449+(0.160089-0.032232))+0-144.9-0.0738989999999853</f>
        <v>555.98340699999994</v>
      </c>
      <c r="X212" s="3">
        <f>456+(334.6-55.8)+(-0.69768+(-0.511938--0.085374))+0-151.1--0.231183000000009</f>
        <v>582.80693899999994</v>
      </c>
      <c r="Y212" s="3">
        <f>468.1+(330-88.9)+(0+(0-0))+0-138.3-0</f>
        <v>570.90000000000009</v>
      </c>
      <c r="Z212" s="3">
        <f>465.1+(323.9-106.1)+(0+(0-0))+0-135.8-0</f>
        <v>547.09999999999991</v>
      </c>
      <c r="AA212" s="3">
        <f>453.7+(323.4-117)+(-1.156935+(-0.82467--0.29835))+0-137.5--0.35062499999998</f>
        <v>521.26736999999991</v>
      </c>
      <c r="AB212" s="3">
        <f>462.2+(270.6-100)+(-0.471444+(-0.276012--0.102))+0-145.7--0.148614000000023</f>
        <v>486.60315800000001</v>
      </c>
      <c r="AC212" s="3">
        <f>457.8+(226.5-73.8)+(-1.400868+(-0.69309--0.225828))+0-139.7--0.427482000000016</f>
        <v>469.35935200000006</v>
      </c>
      <c r="AD212">
        <f t="shared" si="3"/>
        <v>11854.252078</v>
      </c>
      <c r="AE212" s="3">
        <f>464+(360-52.9)+(0+(0-0))+0-185.8-0</f>
        <v>585.29999999999995</v>
      </c>
    </row>
    <row r="213" spans="1:31" s="2" customFormat="1" x14ac:dyDescent="0.25">
      <c r="A213">
        <v>89</v>
      </c>
      <c r="B213">
        <v>7</v>
      </c>
      <c r="C213">
        <v>27</v>
      </c>
      <c r="D213">
        <v>4</v>
      </c>
      <c r="E213">
        <v>1</v>
      </c>
      <c r="F213" s="3">
        <f>469.9+(196.5-73.4)+(-0.479298+(-0.20043--0.074868))+0-140.5--0.143310000000022</f>
        <v>452.03845000000001</v>
      </c>
      <c r="G213" s="3">
        <f>467.1+(186.1-74.6)+(-0.238221+(-0.094911--0.038046))+0-139.4--0.0710939999999859</f>
        <v>438.97600800000004</v>
      </c>
      <c r="H213" s="3">
        <f>461.8+(170.7-72.4)+(-0.706554+(-0.261171--0.110772))+0-137.2--0.209916000000008</f>
        <v>422.25296300000008</v>
      </c>
      <c r="I213" s="3">
        <f>403.2+(213.5-62.9)+(-0.205632+(-0.108885--0.032079))+0-136--0.0693599999999862</f>
        <v>417.58692199999996</v>
      </c>
      <c r="J213" s="3">
        <f>358.2+(252.8-54.4)+(0.365364+(0.257856-0.055488))+0-144.4-0.147288000000023</f>
        <v>412.62044400000002</v>
      </c>
      <c r="K213" s="3">
        <f>355.1+(259.5-61.1)+(0.362202+(0.26469-0.062322))+0-139.5-0.142290000000022</f>
        <v>414.42228</v>
      </c>
      <c r="L213" s="3">
        <f>352.6+(282.2-97)+(0+(0-0))+0-114.4-0</f>
        <v>423.4</v>
      </c>
      <c r="M213" s="3">
        <f>354.1+(301.9-53.9)+(0.361182+(0.307938-0.054978))+0-143-0.145860000000023</f>
        <v>459.56828200000001</v>
      </c>
      <c r="N213" s="3">
        <f>411.8+(311.8-90.2)+(0.210018+(0.159018-0.046002))+0-136.4-0.0695639999999862</f>
        <v>497.25347000000011</v>
      </c>
      <c r="O213" s="3">
        <f>465.5+(270-110.5)+(0.94962+(0.5508-0.22542))+0-133.6-0.272543999999994</f>
        <v>492.40245599999997</v>
      </c>
      <c r="P213" s="3">
        <f>457.4+(257-104.3)+(-0.233274+(-0.13107--0.053193))+0-95.3--0.0486029999999903</f>
        <v>514.53745199999992</v>
      </c>
      <c r="Q213" s="3">
        <f>450.3+(238.3-72.8)+(0.229653+(0.121533-0.037128))+0-97.1-0.0495209999999901</f>
        <v>518.96453699999995</v>
      </c>
      <c r="R213" s="3">
        <f>467.4+(275.2-126.1)+(-1.19187+(-0.70176--0.321555))+0-93.8--0.239189999999986</f>
        <v>521.36711500000001</v>
      </c>
      <c r="S213" s="3">
        <f>487.2+(306.4-209.8)+(0+(0-0))+0-78.3-0</f>
        <v>505.49999999999994</v>
      </c>
      <c r="T213" s="3">
        <f>487+(284.8-193)+(-0.24837+(-0.145248--0.09843))+0-90.1--0.0459509999999909</f>
        <v>488.45076299999988</v>
      </c>
      <c r="U213" s="3">
        <f>484.3+(234.2-97.9)+(-0.740979+(-0.358326--0.149787))+0-122--0.186660000000007</f>
        <v>497.83714200000003</v>
      </c>
      <c r="V213" s="3">
        <f>487.9+(226.6-86.3)+(0+(0-0))+0-118.7-0</f>
        <v>509.50000000000006</v>
      </c>
      <c r="W213" s="3">
        <f>489+(273.7-68.6)+(0.49878+(0.279174-0.069972))+0-137.1-0.139842000000022</f>
        <v>557.56813999999997</v>
      </c>
      <c r="X213" s="3">
        <f>515.6+(337.7-148.9)+(0+(0-0))+0-120.5-0</f>
        <v>583.9</v>
      </c>
      <c r="Y213" s="3">
        <f>530.9+(347.7-178.9)+(-0.270759+(-0.177327--0.091239))+0-138.3--0.070532999999986</f>
        <v>561.1136859999998</v>
      </c>
      <c r="Z213" s="3">
        <f>525.3+(328.1-171.6)+(-0.535806+(-0.334662--0.175032))+0-141.3--0.144126000000023</f>
        <v>539.94869000000006</v>
      </c>
      <c r="AA213" s="3">
        <f>521+(309.8-165.9)+(-0.53142+(-0.315996--0.169218))+0-146.8--0.149736000000023</f>
        <v>517.57153800000015</v>
      </c>
      <c r="AB213" s="3">
        <f>493.1+(281-155.3)+(-1.005924+(-0.57324--0.316812))+0-121.1--0.247043999999995</f>
        <v>496.68469199999998</v>
      </c>
      <c r="AC213" s="3">
        <f>492.4+(195.2-98.3)+(-0.753372+(-0.298656--0.150399))+0-131.1--0.200583000000008</f>
        <v>457.49895399999997</v>
      </c>
      <c r="AD213">
        <f t="shared" si="3"/>
        <v>11700.963984</v>
      </c>
      <c r="AE213" s="3">
        <f>531+(339.3-169.5)+(0+(0-0))+0-109.5-0</f>
        <v>591.29999999999995</v>
      </c>
    </row>
    <row r="214" spans="1:31" s="2" customFormat="1" x14ac:dyDescent="0.25">
      <c r="A214">
        <v>89</v>
      </c>
      <c r="B214">
        <v>7</v>
      </c>
      <c r="C214">
        <v>28</v>
      </c>
      <c r="D214">
        <v>5</v>
      </c>
      <c r="E214">
        <v>1</v>
      </c>
      <c r="F214" s="3">
        <f>498.5+(163.6-83.4)+(-1.52541+(-0.500616--0.255204))+0-131.1--0.401166000000015</f>
        <v>446.23034400000006</v>
      </c>
      <c r="G214" s="3">
        <f>503.4+(159.5-90.3)+(-0.513468+(-0.16269--0.092106))+0-145.4--0.148308000000023</f>
        <v>426.76425600000005</v>
      </c>
      <c r="H214" s="3">
        <f>505.1+(157.3-99.7)+(-0.772803+(-0.240669--0.152541))+0-138.4--0.211752000000008</f>
        <v>423.65082100000001</v>
      </c>
      <c r="I214" s="3">
        <f>507.5+(164.3-115.5)+(-0.51765+(-0.167586--0.11781))+0-135.5--0.138210000000022</f>
        <v>420.37078400000001</v>
      </c>
      <c r="J214" s="3">
        <f>507.8+(168.4-110.3)+(0.258978+(0.085884-0.056253))+0-148.5-0.0757349999999849</f>
        <v>417.61287399999992</v>
      </c>
      <c r="K214" s="3">
        <f>509.7+(193.9-169.3)+(-0.259947+(-0.098889--0.086343))+0-117.4--0.0598739999999881</f>
        <v>416.6873809999999</v>
      </c>
      <c r="L214" s="3">
        <f>507.9+(215.8-197.1)+(-1.295145+(-0.55029--0.502605))+0-114.3--0.291464999999983</f>
        <v>411.24863499999992</v>
      </c>
      <c r="M214" s="3">
        <f>497.2+(234-161.8)+(0.507144+(0.23868-0.165036))+0-121.1-0.123522000000019</f>
        <v>448.7572659999999</v>
      </c>
      <c r="N214" s="3">
        <f>475.2+(249.3-123.9)+(0.242352+(0.127143-0.063189))+0-125.1-0.0638009999999873</f>
        <v>475.74250499999994</v>
      </c>
      <c r="O214" s="3">
        <f>468+(258.9-120.6)+(0+(0-0))+0-120.9-0</f>
        <v>485.4</v>
      </c>
      <c r="P214" s="3">
        <f>467.1+(286.3-105.4)+(0.714663+(0.438039-0.161262))+0-128.4-0.196452000000007</f>
        <v>520.39498800000001</v>
      </c>
      <c r="Q214" s="3">
        <f>471.1+(254.6-71.1)+(-0.240261+(-0.129846--0.036261))+0-127.9--0.065228999999987</f>
        <v>526.43138299999998</v>
      </c>
      <c r="R214" s="3">
        <f>491.6+(251.7-87.7)+(-0.752148+(-0.385101--0.134181))+0-121.3--0.185589000000007</f>
        <v>533.48252100000013</v>
      </c>
      <c r="S214" s="3">
        <f>495.9+(323.6-170.4)+(0+(0-0))+0-125.3-0</f>
        <v>523.80000000000007</v>
      </c>
      <c r="T214" s="3">
        <f>493.5+(300.1-163.7)+(-0.251685+(-0.153051--0.083487))+0-120.8--0.0616079999999877</f>
        <v>508.84035900000009</v>
      </c>
      <c r="U214" s="3">
        <f>491.4+(223-80.1)+(-0.501228+(-0.22746--0.081702))+0-122--0.124440000000019</f>
        <v>511.77745399999998</v>
      </c>
      <c r="V214" s="3">
        <f>494+(216-86.2)+(-0.25194+(-0.11016--0.043962))+0-114.9--0.0585989999999883</f>
        <v>508.64046100000002</v>
      </c>
      <c r="W214" s="3">
        <f>492.3+(245.9-68.5)+(-0.753219+(-0.376227--0.104805))+0-120.9--0.184977000000007</f>
        <v>547.9603360000001</v>
      </c>
      <c r="X214" s="3">
        <f>500.9+(313.7-127)+(-0.255459+(-0.159987--0.06477))+0-117--0.0596699999999881</f>
        <v>570.30899399999987</v>
      </c>
      <c r="Y214" s="3">
        <f>503.9+(338.3-162)+(-0.513978+(-0.345066--0.16524))+0-127.3--0.12984600000002</f>
        <v>552.33604200000013</v>
      </c>
      <c r="Z214" s="3">
        <f>505.9+(328.5-160.2)+(-0.774027+(-0.502605--0.245106))+0-128.3--0.196299000000007</f>
        <v>545.06477300000006</v>
      </c>
      <c r="AA214" s="3">
        <f>500.8+(316.6-153.7)+(-0.255408+(-0.161466--0.078387))+0-128.4--0.065483999999987</f>
        <v>535.02699700000005</v>
      </c>
      <c r="AB214" s="3">
        <f>469.7+(308.5-125.4)+(-1.916376+(-1.25868--0.511632))+0-150.6--0.614447999999987</f>
        <v>500.15102399999995</v>
      </c>
      <c r="AC214" s="3">
        <f>453.1+(224-83.5)+(-0.693243+(-0.34272--0.127755))+0-130.9--0.200277000000008</f>
        <v>461.99206900000013</v>
      </c>
      <c r="AD214">
        <f t="shared" si="3"/>
        <v>11718.672267</v>
      </c>
      <c r="AE214" s="3">
        <f>502+(312.5-140.5)+(0+(0-0))+0-109.1-0</f>
        <v>564.9</v>
      </c>
    </row>
    <row r="215" spans="1:31" s="2" customFormat="1" x14ac:dyDescent="0.25">
      <c r="A215">
        <v>89</v>
      </c>
      <c r="B215">
        <v>7</v>
      </c>
      <c r="C215">
        <v>29</v>
      </c>
      <c r="D215">
        <v>6</v>
      </c>
      <c r="E215">
        <v>1</v>
      </c>
      <c r="F215" s="3">
        <f>452.5+(202.1-66.5)+(-0.9231+(-0.412284--0.13566))+0-147.1--0.300083999999994</f>
        <v>440.10036000000002</v>
      </c>
      <c r="G215" s="3">
        <f>453.5+(182.4-69.6)+(-0.693855+(-0.279072--0.106488))+0-145.7--0.222921000000008</f>
        <v>419.95648199999994</v>
      </c>
      <c r="H215" s="3">
        <f>456.3+(175.2-70.7)+(-0.465426+(-0.178704--0.072114))+0-133.8--0.136476000000021</f>
        <v>426.56446</v>
      </c>
      <c r="I215" s="3">
        <f>458.9+(196.1-100.8)+(0+(0-0))+0-146.9-0</f>
        <v>407.29999999999995</v>
      </c>
      <c r="J215" s="3">
        <f>455.3+(226.7-129.5)+(0+(0-0))+0-142.9-0</f>
        <v>409.6</v>
      </c>
      <c r="K215" s="3">
        <f>426.4+(296.6-163.9)+(-0.869856+(-0.605064--0.334356))+0-133.7--0.272747999999994</f>
        <v>424.53218399999997</v>
      </c>
      <c r="L215" s="3">
        <f>416.8+(326.5-189.6)+(-0.212568+(-0.166515--0.096696))+0-133--0.0678299999999865</f>
        <v>420.48544300000003</v>
      </c>
      <c r="M215" s="3">
        <f>415.8+(342.8-166.1)+(-0.212058+(-0.174828--0.084711))+0-140.8--0.0718079999999857</f>
        <v>451.46963299999993</v>
      </c>
      <c r="N215" s="3">
        <f>431.5+(395.1-191.5)+(-0.44013+(-0.403002--0.19533))+0-138.4--0.141168000000022</f>
        <v>496.19336600000014</v>
      </c>
      <c r="O215" s="3">
        <f>464.5+(349.6-166)+(0.236895+(0.178296-0.08466))+0-151.8-0.0774179999999846</f>
        <v>496.553113</v>
      </c>
      <c r="P215" s="3">
        <f>458.3+(260.5-74.5)+(0.233733+(0.132855-0.037995))+0-136.3-0.0695129999999862</f>
        <v>508.25907999999993</v>
      </c>
      <c r="Q215" s="3">
        <f>456.5+(264.2-59.9)+(-0.232815+(-0.134742--0.030549))+0-151.3--0.0771629999999847</f>
        <v>509.24015499999996</v>
      </c>
      <c r="R215" s="3">
        <f>445.3+(294.6-90.7)+(-1.135515+(-0.75123--0.231285))+0-140.2--0.35750999999998</f>
        <v>507.7020500000001</v>
      </c>
      <c r="S215" s="3">
        <f>436.6+(293.8-120.6)+(0+(0-0))+0-141-0</f>
        <v>468.80000000000007</v>
      </c>
      <c r="T215" s="3">
        <f>443.6+(303.2-115.9)+(0.226236+(0.154632-0.059109))+0-152.5-0.0777749999999845</f>
        <v>478.64398400000005</v>
      </c>
      <c r="U215" s="3">
        <f>432.1+(230.3-65.9)+(-1.101855+(-0.587265--0.168045))+0-133.6--0.340679999999981</f>
        <v>461.71960499999994</v>
      </c>
      <c r="V215" s="3">
        <f>448.1+(243.5-68.2)+(-0.914124+(-0.49674--0.139128))+0-148.9--0.303755999999994</f>
        <v>473.5320200000001</v>
      </c>
      <c r="W215" s="3">
        <f>456.4+(267.5-65)+(0.232764+(0.136425-0.03315))+0-147.9-0.075428999999985</f>
        <v>511.26061000000004</v>
      </c>
      <c r="X215" s="3">
        <f>463.7+(280.1-57.9)+(0.472974+(0.285702-0.059058))+0-144.2-0.147084000000023</f>
        <v>542.25253399999986</v>
      </c>
      <c r="Y215" s="3">
        <f>458.5+(291.2-73.2)+(-1.169175+(-0.74256--0.18666))+0-156.8--0.399839999999977</f>
        <v>518.37476499999991</v>
      </c>
      <c r="Z215" s="3">
        <f>457+(281-93.7)+(-0.93228+(-0.57324--0.191148))+0-142.5--0.290699999999994</f>
        <v>500.77632799999992</v>
      </c>
      <c r="AA215" s="3">
        <f>461.2+(276-95.1)+(-0.470424+(-0.28152--0.097002))+0-153.2--0.156264000000024</f>
        <v>488.40132200000005</v>
      </c>
      <c r="AB215" s="3">
        <f>460.4+(245.8-106.2)+(-0.704412+(-0.376074--0.162486))+0-138.1--0.211293000000008</f>
        <v>461.19329299999998</v>
      </c>
      <c r="AC215" s="3">
        <f>465.4+(285.9-170)+(0+(0-0))+0-138-0</f>
        <v>443.29999999999995</v>
      </c>
      <c r="AD215">
        <f t="shared" si="3"/>
        <v>11266.210786999998</v>
      </c>
      <c r="AE215" s="3">
        <f>467+(285.3-56.5)+(0+(0-0))+0-149.7-0</f>
        <v>546.09999999999991</v>
      </c>
    </row>
    <row r="216" spans="1:31" s="2" customFormat="1" x14ac:dyDescent="0.25">
      <c r="A216">
        <v>89</v>
      </c>
      <c r="B216">
        <v>7</v>
      </c>
      <c r="C216">
        <v>30</v>
      </c>
      <c r="D216">
        <v>7</v>
      </c>
      <c r="E216">
        <v>1</v>
      </c>
      <c r="F216" s="3">
        <f>471+(218.5-118.9)+(0.24021+(0.111435-0.060639))+0-146.9-0.0749189999999851</f>
        <v>423.91608700000012</v>
      </c>
      <c r="G216" s="3">
        <f>462.3+(183.8-92.9)+(-0.943092+(-0.374952--0.189516))+0-137.5--0.280499999999994</f>
        <v>414.8519720000001</v>
      </c>
      <c r="H216" s="3">
        <f>460.5+(170-81.9)+(-1.174275+(-0.4335--0.208845))+0-139.9--0.35674499999998</f>
        <v>407.65781500000008</v>
      </c>
      <c r="I216" s="3">
        <f>463.1+(162.7-80.8)+(-0.708543+(-0.248931--0.123624))+0-139--0.212670000000008</f>
        <v>405.37882000000002</v>
      </c>
      <c r="J216" s="3">
        <f>465.1+(165.7-98.8)+(0+(0-0))+0-134.6-0</f>
        <v>397.4</v>
      </c>
      <c r="K216" s="3">
        <f>465.2+(159.7-101.6)+(0+(0-0))+0-128.2-0</f>
        <v>395.09999999999997</v>
      </c>
      <c r="L216" s="3">
        <f>413.6+(161.3-79)+(-0.632808+(-0.246789--0.12087))+0-116.8--0.178704000000007</f>
        <v>378.51997699999998</v>
      </c>
      <c r="M216" s="3">
        <f>417+(186.9-98.2)+(0.21267+(0.095319-0.050082))+0-121.2-0.0618119999999877</f>
        <v>384.69609500000001</v>
      </c>
      <c r="N216" s="3">
        <f>411.4+(223.9-115.9)+(0+(0-0))+0-119.4-0</f>
        <v>400</v>
      </c>
      <c r="O216" s="3">
        <f>408.1+(176.3-66.7)+(0+(0-0))+0-107.2-0</f>
        <v>410.50000000000006</v>
      </c>
      <c r="P216" s="3">
        <f>405.8+(189.8-48.4)+(-0.620874+(-0.290394--0.074052))+0-127.2--0.194616000000007</f>
        <v>419.35740000000004</v>
      </c>
      <c r="Q216" s="3">
        <f>411.4+(193.3-50.2)+(0+(0-0))+0-142.4-0</f>
        <v>412.1</v>
      </c>
      <c r="R216" s="3">
        <f>452.7+(176.5-95.4)+(-0.230877+(-0.090015--0.048654))+0-126--0.0642599999999872</f>
        <v>407.59202199999993</v>
      </c>
      <c r="S216" s="3">
        <f>451.2+(165.7-79.4)+(-0.920448+(-0.338028--0.161976))+0-142.1--0.289883999999994</f>
        <v>394.59338399999996</v>
      </c>
      <c r="T216" s="3">
        <f>451+(152.2-85.3)+(-0.69003+(-0.232866--0.130509))+0-133.1--0.203643000000008</f>
        <v>384.21125599999999</v>
      </c>
      <c r="U216" s="3">
        <f>450.8+(134.1-73.1)+(-1.14954+(-0.341955--0.186405))+0-127.9--0.326144999999981</f>
        <v>382.92105500000002</v>
      </c>
      <c r="V216" s="3">
        <f>454.1+(150-78.1)+(-0.463182+(-0.153--0.079662))+0-132.5--0.135150000000021</f>
        <v>393.09863000000001</v>
      </c>
      <c r="W216" s="3">
        <f>464.6+(190.6-63.7)+(0.473892+(0.194412-0.064974))+0-147.8-0.150756000000024</f>
        <v>444.15257400000002</v>
      </c>
      <c r="X216" s="3">
        <f>469.8+(203-58)+(0.718794+(0.31059-0.08874))+0-147-0.224910000000008</f>
        <v>468.51573399999995</v>
      </c>
      <c r="Y216" s="3">
        <f>470.5+(209.8-78.8)+(0.239955+(0.106998-0.040188))+0-140-0.0713999999999858</f>
        <v>461.73536500000006</v>
      </c>
      <c r="Z216" s="3">
        <f>475+(209.2-82)+(0.24225+(0.106692-0.04182))+0-146-0.0744599999999852</f>
        <v>456.43266200000011</v>
      </c>
      <c r="AA216" s="3">
        <f>471.1+(218.1-109.9)+(-0.480522+(-0.222462--0.112098))+0-127.7--0.13025400000002</f>
        <v>451.13936800000005</v>
      </c>
      <c r="AB216" s="3">
        <f>463.8+(196.1-98.2)+(-0.709614+(-0.300033--0.150246))+0-135.4--0.207162000000008</f>
        <v>425.647761</v>
      </c>
      <c r="AC216" s="3">
        <f>466.7+(161.1-92.6)+(-0.476034+(-0.164322--0.094452))+0-121.4--0.123828000000019</f>
        <v>413.37792400000012</v>
      </c>
      <c r="AD216">
        <f t="shared" si="3"/>
        <v>9932.8959009999999</v>
      </c>
      <c r="AE216" s="3">
        <f>476+(219.6-55.4)+(0+(0-0))+0-178-0</f>
        <v>462.20000000000005</v>
      </c>
    </row>
    <row r="217" spans="1:31" s="2" customFormat="1" x14ac:dyDescent="0.25">
      <c r="A217">
        <v>89</v>
      </c>
      <c r="B217">
        <v>8</v>
      </c>
      <c r="C217">
        <v>1</v>
      </c>
      <c r="D217">
        <v>1</v>
      </c>
      <c r="E217">
        <v>1</v>
      </c>
      <c r="F217" s="3">
        <f>467.1+(144.2-94.3)+(-0.476442+(-0.147084--0.096186))+0-127--0.12954000000002</f>
        <v>389.60220000000004</v>
      </c>
      <c r="G217" s="3">
        <f>467.3+(144.9-113.4)+(-0.714969+(-0.221697--0.173502))+0-114.6--0.175338000000007</f>
        <v>383.61217399999998</v>
      </c>
      <c r="H217" s="3">
        <f>466.8+(156.6-120.9)+(-0.714204+(-0.239598--0.184977))+0-128.6--0.196758000000007</f>
        <v>373.32793299999997</v>
      </c>
      <c r="I217" s="3">
        <f>465.5+(164-149.7)+(-0.712215+(-0.25092--0.229041))+0-107.7--0.164781000000006</f>
        <v>371.530687</v>
      </c>
      <c r="J217" s="3">
        <f>466.7+(150.4-137.1)+(-0.952068+(-0.306816--0.279684))+0-104.4--0.212975999999995</f>
        <v>374.833776</v>
      </c>
      <c r="K217" s="3">
        <f>476.6+(191.8-196.5)+(0+(0-0))+0-101.4-0</f>
        <v>370.5</v>
      </c>
      <c r="L217" s="3">
        <f>475.5+(247.8-228.9)+(-0.242505+(-0.126378--0.116739))+0-99.3--0.0506429999999899</f>
        <v>394.89849899999996</v>
      </c>
      <c r="M217" s="3">
        <f>482.2+(254.9-193.3)+(0.737766+(0.389997-0.295749))+0-99.8-0.152694000000006</f>
        <v>444.6793199999999</v>
      </c>
      <c r="N217" s="3">
        <f>474.4+(313.9-222.7)+(0+(0-0))+0-100.6-0</f>
        <v>464.99999999999989</v>
      </c>
      <c r="O217" s="3">
        <f>471.8+(329.8-228.3)+(-0.240618+(-0.168198--0.116433))+0-101.5--0.0517649999999897</f>
        <v>471.55938199999997</v>
      </c>
      <c r="P217" s="3">
        <f>476.1+(278.7-154)+(0.728433+(0.426411-0.23562))+0-101.2-0.154836000000006</f>
        <v>500.36438799999996</v>
      </c>
      <c r="Q217" s="3">
        <f>467.5+(238.4-92.5)+(0+(0-0))+0-103.1-0</f>
        <v>510.29999999999995</v>
      </c>
      <c r="R217" s="3">
        <f>461+(208.9-59.9)+(-0.70533+(-0.319617--0.091647))+0-103.1--0.157743000000006</f>
        <v>506.12444299999993</v>
      </c>
      <c r="S217" s="3">
        <f>453.2+(256.6-119.7)+(-1.386792+(-0.785196--0.366282))+0-105.1--0.321606000000012</f>
        <v>483.51590000000004</v>
      </c>
      <c r="T217" s="3">
        <f>460.3+(242.5-134.5)+(0+(0-0))+0-105.9-0</f>
        <v>462.4</v>
      </c>
      <c r="U217" s="3">
        <f>459.5+(201.9-80)+(-0.46869+(-0.205938--0.0816))+0-106.2--0.108324000000017</f>
        <v>474.71529600000002</v>
      </c>
      <c r="V217" s="3">
        <f>460.3+(226.9-94.4)+(-0.704259+(-0.347157--0.144432))+0-103--0.157590000000006</f>
        <v>489.05060600000002</v>
      </c>
      <c r="W217" s="3">
        <f>468.3+(258.4-73.5)+(0.238833+(0.131784-0.037485))+0-107.5-0.0548249999999891</f>
        <v>545.97830700000009</v>
      </c>
      <c r="X217" s="3">
        <f>468.1+(277.1-62.6)+(-0.716193+(-0.423963--0.095778))+0-110.5--0.169065000000006</f>
        <v>571.22468700000002</v>
      </c>
      <c r="Y217" s="3">
        <f>472.1+(281-95.9)+(-0.481542+(-0.28662--0.097818))+0-107.5--0.109650000000017</f>
        <v>549.13930600000003</v>
      </c>
      <c r="Z217" s="3">
        <f>470.9+(297.1-126.1)+(-0.720477+(-0.454563--0.192933))+0-106.1--0.162333000000006</f>
        <v>534.9802259999999</v>
      </c>
      <c r="AA217" s="3">
        <f>473.3+(281.6-130.5)+(-0.482766+(-0.287232--0.13311))+0-107.4--0.109548000000017</f>
        <v>516.47266000000013</v>
      </c>
      <c r="AB217" s="3">
        <f>462.2+(255.9-127.6)+(-1.17861+(-0.652545--0.32538))+0-108.1--0.275654999999984</f>
        <v>481.16987999999998</v>
      </c>
      <c r="AC217" s="3">
        <f>468+(180.4-83.4)+(-1.1934+(-0.46002--0.21267))+0-105.8--0.269789999999985</f>
        <v>458.02904000000001</v>
      </c>
      <c r="AD217">
        <f t="shared" si="3"/>
        <v>11123.008709999998</v>
      </c>
      <c r="AE217" s="3">
        <f>474+(243.9-71.4)+(0+(0-0))+0-110.5-0</f>
        <v>536</v>
      </c>
    </row>
    <row r="218" spans="1:31" s="2" customFormat="1" x14ac:dyDescent="0.25">
      <c r="A218">
        <v>89</v>
      </c>
      <c r="B218">
        <v>8</v>
      </c>
      <c r="C218">
        <v>2</v>
      </c>
      <c r="D218">
        <v>2</v>
      </c>
      <c r="E218">
        <v>1</v>
      </c>
      <c r="F218" s="3">
        <f>468.7+(185.5-110.7)+(-0.956148+(-0.37842--0.225828))+0-105.6--0.215423999999995</f>
        <v>437.00668399999995</v>
      </c>
      <c r="G218" s="3">
        <f>474.6+(177-123.5)+(-0.242046+(-0.09027--0.062985))+0-102.8--0.0524279999999896</f>
        <v>425.08309700000001</v>
      </c>
      <c r="H218" s="3">
        <f>471+(158.6-112.2)+(-1.20105+(-0.40443--0.28611))+0-99--0.252449999999986</f>
        <v>417.33307999999994</v>
      </c>
      <c r="I218" s="3">
        <f>484.2+(140.9-119.5)+(1.23471+(0.359295-0.304725))+0-96.5-0.246074999999986</f>
        <v>410.14320500000008</v>
      </c>
      <c r="J218" s="3">
        <f>481.5+(138.1-107.6)+(0.49113+(0.140862-0.109752))+0-98.5-0.100470000000016</f>
        <v>413.92176999999998</v>
      </c>
      <c r="K218" s="3">
        <f>477.7+(158.3-118)+(-0.487254+(-0.161466--0.12036))+0-99.9--0.101898000000016</f>
        <v>417.67353800000001</v>
      </c>
      <c r="L218" s="3">
        <f>484.6+(227.2-150.5)+(-0.494292+(-0.231744--0.15351))+0-99.1--0.101082000000016</f>
        <v>461.72855599999991</v>
      </c>
      <c r="M218" s="3">
        <f>483.5+(217.7-73.5)+(0.49317+(0.222054-0.07497))+0-99.9-0.101898000000016</f>
        <v>528.33835600000009</v>
      </c>
      <c r="N218" s="3">
        <f>482.7+(234.6-58.9)+(-0.738531+(-0.358938--0.090117))+0-100.3--0.153459000000006</f>
        <v>557.24610700000005</v>
      </c>
      <c r="O218" s="3">
        <f>479.7+(188.2-64.4)+(-0.733941+(-0.287946--0.098532))+0-100.4--0.153612000000006</f>
        <v>502.33025700000002</v>
      </c>
      <c r="P218" s="3">
        <f>478.7+(207.1-63.2)+(-0.732411+(-0.316863--0.096696))+0-104.1--0.159273000000006</f>
        <v>517.70669499999985</v>
      </c>
      <c r="Q218" s="3">
        <f>476.7+(237-83.3)+(-1.215585+(-0.60435--0.212415))+0-102.9--0.262394999999985</f>
        <v>526.15487499999995</v>
      </c>
      <c r="R218" s="3">
        <f>458+(320.4-166.4)+(-1.1679+(-0.81702--0.42432))+0-100.6--0.256529999999985</f>
        <v>510.09592999999995</v>
      </c>
      <c r="S218" s="3">
        <f>451+(389.5-256.7)+(-0.46002+(-0.39729--0.261834))+0-99.7--0.101694000000016</f>
        <v>483.60621800000001</v>
      </c>
      <c r="T218" s="3">
        <f>450+(374.7-252.7)+(-0.918+(-0.764388--0.515508))+0-101.3--0.206651999999996</f>
        <v>469.73977200000002</v>
      </c>
      <c r="U218" s="3">
        <f>439.9+(212.7-86.9)+(-0.897396+(-0.433908--0.177276))+0-100.1--0.204203999999996</f>
        <v>464.65017599999987</v>
      </c>
      <c r="V218" s="3">
        <f>443.9+(216-84)+(0.226389+(0.11016-0.04284))+0-100.9-0.0514589999999898</f>
        <v>475.24225000000007</v>
      </c>
      <c r="W218" s="3">
        <f>448.4+(265.3-73.9)+(0+(0-0))+0-103-0</f>
        <v>536.79999999999995</v>
      </c>
      <c r="X218" s="3">
        <f>450.2+(263.7-60.2)+(-0.918408+(-0.537948--0.122808))+0-104.7--0.213587999999995</f>
        <v>547.88004000000001</v>
      </c>
      <c r="Y218" s="3">
        <f>458.3+(248.6-65.4)+(-0.934932+(-0.507144--0.133416))+0-104.6--0.213383999999995</f>
        <v>535.80472399999996</v>
      </c>
      <c r="Z218" s="3">
        <f>452.7+(230.2-63)+(-0.461754+(-0.234804--0.06426))+0-104.3--0.106386000000017</f>
        <v>515.07408800000007</v>
      </c>
      <c r="AA218" s="3">
        <f>455.3+(205.9-53.6)+(-0.464406+(-0.210018--0.054672))+0-106--0.108120000000017</f>
        <v>501.08836800000012</v>
      </c>
      <c r="AB218" s="3">
        <f>457.9+(189.4-65.1)+(-1.167645+(-0.48297--0.166005))+0-105.3--0.268514999999985</f>
        <v>475.68390500000004</v>
      </c>
      <c r="AC218" s="3">
        <f>458.2+(174-82.5)+(-1.16841+(-0.4437--0.210375))+0-104.5--0.266474999999985</f>
        <v>444.06473999999997</v>
      </c>
      <c r="AD218">
        <f t="shared" si="3"/>
        <v>11574.396430999999</v>
      </c>
      <c r="AE218" s="3">
        <f>465+(263.9-59.8)+(0+(0-0))+0-105.2-0</f>
        <v>563.89999999999986</v>
      </c>
    </row>
    <row r="219" spans="1:31" s="2" customFormat="1" x14ac:dyDescent="0.25">
      <c r="A219">
        <v>89</v>
      </c>
      <c r="B219">
        <v>8</v>
      </c>
      <c r="C219">
        <v>3</v>
      </c>
      <c r="D219">
        <v>3</v>
      </c>
      <c r="E219">
        <v>1</v>
      </c>
      <c r="F219" s="3">
        <f>479.7+(173.7-121.6)+(-0.733941+(-0.265761--0.186048))+0-102.8--0.157284000000006</f>
        <v>428.34362999999991</v>
      </c>
      <c r="G219" s="3">
        <f>481.2+(148.8-124.8)+(-1.22706+(-0.37944--0.31824))+0-100.5--0.256274999999985</f>
        <v>403.66801499999997</v>
      </c>
      <c r="H219" s="3">
        <f>492.1+(125.3-116.4)+(-0.501942+(-0.127806--0.118728))+0-100.2--0.102204000000016</f>
        <v>400.39118400000007</v>
      </c>
      <c r="I219" s="3">
        <f>496.8+(164-141.8)+(0+(0-0))+0-99.8-0</f>
        <v>419.2</v>
      </c>
      <c r="J219" s="3">
        <f>497.6+(187.5-168.6)+(0.253776+(0.095625-0.085986))+0-100-0.0509999999999899</f>
        <v>416.71241500000002</v>
      </c>
      <c r="K219" s="3">
        <f>488.8+(225.4-200.5)+(-0.498576+(-0.229908--0.20451))+0-99.5--0.101490000000016</f>
        <v>413.77751600000011</v>
      </c>
      <c r="L219" s="3">
        <f>454.3+(299.9-227.1)+(-0.231693+(-0.152949--0.115821))+0-98.5--0.05023499999999</f>
        <v>428.38141400000001</v>
      </c>
      <c r="M219" s="3">
        <f>430.1+(295.9-173.1)+(0.658053+(0.452727-0.264843))+0-98.2-0.150246000000006</f>
        <v>455.39569100000006</v>
      </c>
      <c r="N219" s="3">
        <f>475.3+(238.7-121.4)+(-0.242403+(-0.121737--0.061914))+0-99.8--0.0508979999999899</f>
        <v>492.54867200000001</v>
      </c>
      <c r="O219" s="3">
        <f>481+(238.1-119)+(-0.24531+(-0.121431--0.06069))+0-100.3--0.0511529999999898</f>
        <v>499.54510199999999</v>
      </c>
      <c r="P219" s="3">
        <f>488+(225.7-100)+(0+(0-0))+0-100.9-0</f>
        <v>512.80000000000007</v>
      </c>
      <c r="Q219" s="3">
        <f>484.7+(214-87.9)+(-0.494394+(-0.21828--0.089658))+0-100.1--0.102102000000016</f>
        <v>510.17908599999993</v>
      </c>
      <c r="R219" s="3">
        <f>520+(282.6-177.6)+(-1.5912+(-0.864756--0.543456))+0-100.2--0.306612000000012</f>
        <v>523.1941119999999</v>
      </c>
      <c r="S219" s="3">
        <f>558+(259.2-210.6)+(-1.13832+(-0.528768--0.429624))+0-101.8--0.207671999999996</f>
        <v>503.77020799999997</v>
      </c>
      <c r="T219" s="3">
        <f>583.1+(173-170.6)+(-0.892143+(-0.26469--0.261018))+0-102.8--0.157284000000006</f>
        <v>481.96146900000002</v>
      </c>
      <c r="U219" s="3">
        <f>505.2+(151.9-100.8)+(0.515304+(0.154938-0.102816))+0-102.1-0.104142000000016</f>
        <v>454.66328399999986</v>
      </c>
      <c r="V219" s="3">
        <f>484+(206.6-116.4)+(0+(0-0))+0-103.3-0</f>
        <v>470.90000000000003</v>
      </c>
      <c r="W219" s="3">
        <f>578.5+(164.1-130.2)+(0.295035+(0.083691-0.066402))+0-94-0.0479399999999905</f>
        <v>518.66438399999993</v>
      </c>
      <c r="X219" s="3">
        <f>585.7+(159.4-80.9)+(-0.298707+(-0.081294--0.041259))+0-111.3--0.0567629999999887</f>
        <v>552.618021</v>
      </c>
      <c r="Y219" s="3">
        <f>578.8+(156.7-76.3)+(-1.180752+(-0.319668--0.155652))+0-112.1--0.228683999999995</f>
        <v>545.98391599999991</v>
      </c>
      <c r="Z219" s="3">
        <f>586.8+(146.7-80.6)+(-0.598536+(-0.149634--0.082212))+0-110.3--0.112506000000018</f>
        <v>542.04654800000003</v>
      </c>
      <c r="AA219" s="3">
        <f>585.7+(143.3-93.9)+(-0.298707+(-0.073083--0.047889))+0-107.9--0.0550289999999891</f>
        <v>526.93112800000006</v>
      </c>
      <c r="AB219" s="3">
        <f>578+(146.6-115.1)+(-0.88434+(-0.224298--0.176103))+0-107.7--0.164781000000006</f>
        <v>501.03224599999999</v>
      </c>
      <c r="AC219" s="3">
        <f>530.4+(192.7-142)+(-1.35252+(-0.491385--0.3621))+0-105.6--0.269279999999985</f>
        <v>474.28747499999986</v>
      </c>
      <c r="AD219">
        <f t="shared" si="3"/>
        <v>11476.995515999999</v>
      </c>
      <c r="AE219" s="3">
        <f>586+(153.2-82.2)+(0+(0-0))+0-111.5-0</f>
        <v>545.5</v>
      </c>
    </row>
    <row r="220" spans="1:31" s="2" customFormat="1" x14ac:dyDescent="0.25">
      <c r="A220">
        <v>89</v>
      </c>
      <c r="B220">
        <v>8</v>
      </c>
      <c r="C220">
        <v>4</v>
      </c>
      <c r="D220">
        <v>4</v>
      </c>
      <c r="E220">
        <v>1</v>
      </c>
      <c r="F220" s="3">
        <f>565+(212.4-213.7)+(-1.1526+(-0.433296--0.435948))+0-105.1--0.214403999999995</f>
        <v>457.66445600000003</v>
      </c>
      <c r="G220" s="3">
        <f>482.1+(217.7-165.1)+(0+(0-0))+0-102.5-0</f>
        <v>432.20000000000005</v>
      </c>
      <c r="H220" s="3">
        <f>487.5+(230.8-186.3)+(0.248625+(0.117708-0.095013))+0-102.1-0.0520709999999896</f>
        <v>430.11924899999991</v>
      </c>
      <c r="I220" s="3">
        <f>491+(235.6-198)+(0.50082+(0.240312-0.20196))+0-101.8-0.103836000000016</f>
        <v>427.23533600000002</v>
      </c>
      <c r="J220" s="3">
        <f>484.4+(265.6-223.3)+(-0.494088+(-0.270912--0.227766))+0-102--0.104040000000016</f>
        <v>424.26680600000003</v>
      </c>
      <c r="K220" s="3">
        <f>479.5+(324.6-278.7)+(-0.48909+(-0.331092--0.284274))+0-101.5--0.103530000000016</f>
        <v>423.46762200000018</v>
      </c>
      <c r="L220" s="3">
        <f>484.5+(392.6-340.9)+(-0.741285+(-0.600678--0.521577))+0-97.8--0.149634000000006</f>
        <v>437.72924800000004</v>
      </c>
      <c r="M220" s="3">
        <f>490.5+(333.2-257.6)+(-0.250155+(-0.169932--0.131376))+0-98.1--0.05003099999999</f>
        <v>467.76131999999984</v>
      </c>
      <c r="N220" s="3">
        <f>492.9+(279.8-173.6)+(0+(0-0))+0-99.7-0</f>
        <v>499.40000000000003</v>
      </c>
      <c r="O220" s="3">
        <f>526.8+(267.7-186.6)+(0.268668+(0.136527-0.095166))+0-100.2-0.0511019999999898</f>
        <v>507.95892699999996</v>
      </c>
      <c r="P220" s="3">
        <f>598.5+(197.8-186.1)+(0+(0-0))+0-100.6-0</f>
        <v>509.6</v>
      </c>
      <c r="Q220" s="3">
        <f>596.3+(138.3-111.9)+(-0.304113+(-0.070533--0.057069))+0-100.2--0.0511019999999898</f>
        <v>522.23352499999987</v>
      </c>
      <c r="R220" s="3">
        <f>589+(157.9-130.6)+(-0.90117+(-0.241587--0.199818))+0-97.9--0.149787000000006</f>
        <v>517.60684800000001</v>
      </c>
      <c r="S220" s="3">
        <f>585.9+(223.7-206.9)+(-1.195236+(-0.456348--0.422076))+0-98.8--0.201551999999996</f>
        <v>502.8720439999999</v>
      </c>
      <c r="T220" s="3">
        <f>580.6+(183.4-167.8)+(-1.48053+(-0.46767--0.42789))+0-98.8--0.251939999999986</f>
        <v>496.13163000000003</v>
      </c>
      <c r="U220" s="3">
        <f>543+(163.4-112.5)+(-1.10772+(-0.333336--0.2295))+0-97.3--0.198491999999996</f>
        <v>495.58693599999998</v>
      </c>
      <c r="V220" s="3">
        <f>460.5+(282.5-145.4)+(-0.234855+(-0.144075--0.074154))+0-99.4--0.0506939999999899</f>
        <v>497.94591800000006</v>
      </c>
      <c r="W220" s="3">
        <f>558.8+(207.5-118.3)+(0+(0-0))+0-108-0</f>
        <v>540</v>
      </c>
      <c r="X220" s="3">
        <f>593.2+(165.9-95)+(-0.907596+(-0.253827--0.14535))+0-108--0.165240000000006</f>
        <v>555.24916700000006</v>
      </c>
      <c r="Y220" s="3">
        <f>590.9+(149.6-92.4)+(-1.808154+(-0.457776--0.282744))+0-108.5--0.332010000000013</f>
        <v>537.94882399999983</v>
      </c>
      <c r="Z220" s="3">
        <f>597.5+(141.3-103.1)+(-0.914175+(-0.216189--0.157743))+0-106.8--0.163404000000006</f>
        <v>528.0907830000001</v>
      </c>
      <c r="AA220" s="3">
        <f>605.2+(135.1-116.9)+(0.308652+(0.068901-0.059619))+0-108.2-0.055181999999989</f>
        <v>515.46275200000014</v>
      </c>
      <c r="AB220" s="3">
        <f>514.3+(180-94.8)+(-0.524586+(-0.1836--0.096696))+0-106.9--0.109038000000017</f>
        <v>492.09754800000002</v>
      </c>
      <c r="AC220" s="3">
        <f>544.3+(143.6-129.3)+(-1.110372+(-0.292944--0.263772))+0-99.6--0.203183999999996</f>
        <v>458.06363999999991</v>
      </c>
      <c r="AD220">
        <f t="shared" si="3"/>
        <v>11676.692578999999</v>
      </c>
      <c r="AE220" s="3">
        <f>592+(164.7-84.1)+(0+(0-0))+0-110.1-0</f>
        <v>562.5</v>
      </c>
    </row>
    <row r="221" spans="1:31" s="2" customFormat="1" x14ac:dyDescent="0.25">
      <c r="A221">
        <v>89</v>
      </c>
      <c r="B221">
        <v>8</v>
      </c>
      <c r="C221">
        <v>5</v>
      </c>
      <c r="D221">
        <v>5</v>
      </c>
      <c r="E221">
        <v>1</v>
      </c>
      <c r="F221" s="3">
        <f>475.9+(165.7-125.8)+(-0.485418+(-0.169014--0.128316))+0-88.4--0.0901680000000141</f>
        <v>426.96405199999998</v>
      </c>
      <c r="G221" s="3">
        <f>462.2+(143.7-123)+(-1.17861+(-0.366435--0.31365))+0-71.4--0.18206999999999</f>
        <v>410.45067499999999</v>
      </c>
      <c r="H221" s="3">
        <f>479.5+(118.1-123.6)+(-0.244545+(-0.060231--0.063036))+0-67.5--0.0344249999999932</f>
        <v>406.29268500000001</v>
      </c>
      <c r="I221" s="3">
        <f>479+(103.8-110.2)+(-0.24429+(-0.052938--0.056202))+0-66.5--0.0339149999999933</f>
        <v>405.89288900000003</v>
      </c>
      <c r="J221" s="3">
        <f>496.2+(99.8-122.6)+(1.26531+(0.25449-0.31263))+0-64.6-0.164729999999991</f>
        <v>409.84244000000001</v>
      </c>
      <c r="K221" s="3">
        <f>496+(101.1-124)+(0.25296+(0.051561-0.06324))+0-66.1-0.0337109999999933</f>
        <v>407.20757000000009</v>
      </c>
      <c r="L221" s="3">
        <f>494.8+(178.4-159.4)+(-0.757044+(-0.272952--0.243882))+0-89.7--0.137241000000005</f>
        <v>423.45112699999999</v>
      </c>
      <c r="M221" s="3">
        <f>487.9+(165.6-88.2)+(0.497658+(0.168912-0.089964))+0-99.9-0.101898000000016</f>
        <v>465.87470799999994</v>
      </c>
      <c r="N221" s="3">
        <f>470.3+(214.2-86.3)+(-0.719559+(-0.327726--0.132039))+0-106.1--0.162333000000006</f>
        <v>491.34708699999999</v>
      </c>
      <c r="O221" s="3">
        <f>473.6+(209.2-94.5)+(0+(0-0))+0-106.3-0</f>
        <v>481.99999999999994</v>
      </c>
      <c r="P221" s="3">
        <f>473.8+(202.2-63.6)+(0+(0-0))+0-105.7-0</f>
        <v>506.7</v>
      </c>
      <c r="Q221" s="3">
        <f>471.4+(227-86)+(-0.240414+(-0.11577--0.04386))+0-106.8--0.0544679999999892</f>
        <v>505.34214399999996</v>
      </c>
      <c r="R221" s="3">
        <f>463.9+(332.9-180.3)+(-1.182945+(-0.848895--0.459765))+0-108.3--0.276164999999984</f>
        <v>506.90408999999994</v>
      </c>
      <c r="S221" s="3">
        <f>465.9+(478.5-344.5)+(-0.712827+(-0.732105--0.527085))+0-107--0.163710000000006</f>
        <v>492.14586299999991</v>
      </c>
      <c r="T221" s="3">
        <f>454.8+(447.8-316.4)+(-0.695844+(-0.685134--0.484092))+0-107.5--0.164475000000006</f>
        <v>477.96758900000003</v>
      </c>
      <c r="U221" s="3">
        <f>458.2+(283.8-154.6)+(-1.16841+(-0.72369--0.39423))+0-104.7--0.266984999999985</f>
        <v>481.46911499999993</v>
      </c>
      <c r="V221" s="3">
        <f>456.9+(205.5-61.8)+(-1.165095+(-0.524025--0.15759))+0-104.7--0.266984999999985</f>
        <v>494.63545499999992</v>
      </c>
      <c r="W221" s="3">
        <f>590+(146.9-80.5)+(-0.6018+(-0.149838--0.08211))+0-113.8--0.116076000000018</f>
        <v>542.04654800000003</v>
      </c>
      <c r="X221" s="3">
        <f>618.4+(161-113.1)+(-0.630768+(-0.16422--0.115362))+0-115.2--0.117504000000018</f>
        <v>550.53787799999998</v>
      </c>
      <c r="Y221" s="3">
        <f>619.3+(172-135.3)+(-0.947529+(-0.26316--0.207009))+0-113.1--0.173043000000007</f>
        <v>542.06936299999995</v>
      </c>
      <c r="Z221" s="3">
        <f>613.5+(162-130)+(-0.62577+(-0.16524--0.1326))+0-113.2--0.115464000000018</f>
        <v>531.75705399999993</v>
      </c>
      <c r="AA221" s="3">
        <f>611.4+(147.4-124.1)+(-1.55907+(-0.37587--0.316455))+0-109.3--0.278714999999984</f>
        <v>524.06023000000016</v>
      </c>
      <c r="AB221" s="3">
        <f>615.9+(121.2-127.9)+(0.314109+(0.061812-0.065229))+0-109-0.0555899999999889</f>
        <v>500.45510199999995</v>
      </c>
      <c r="AC221" s="3">
        <f>559.9+(106.3-88.4)+(-1.427745+(-0.271065--0.22542))+0-109--0.277949999999984</f>
        <v>467.60455999999994</v>
      </c>
      <c r="AD221">
        <f t="shared" si="3"/>
        <v>11453.018223999998</v>
      </c>
      <c r="AE221" s="3">
        <f>616+(179.6-111.5)+(0+(0-0))+0-115-0</f>
        <v>569.1</v>
      </c>
    </row>
    <row r="222" spans="1:31" s="2" customFormat="1" x14ac:dyDescent="0.25">
      <c r="A222">
        <v>89</v>
      </c>
      <c r="B222">
        <v>8</v>
      </c>
      <c r="C222">
        <v>6</v>
      </c>
      <c r="D222">
        <v>6</v>
      </c>
      <c r="E222">
        <v>1</v>
      </c>
      <c r="F222" s="3">
        <f>555.4+(106.7-108.2)+(-1.133016+(-0.217668--0.220728))+0-108.1--0.220523999999995</f>
        <v>444.89056799999997</v>
      </c>
      <c r="G222" s="3">
        <f>569.1+(99.9-127.4)+(0.290241+(0.050949-0.064974))+0-106.2-0.0541619999999892</f>
        <v>435.62205400000005</v>
      </c>
      <c r="H222" s="3">
        <f>568.5+(86.7-113.3)+(0.289935+(0.044217-0.057783))+0-107.6-0.0548759999999891</f>
        <v>434.52149300000002</v>
      </c>
      <c r="I222" s="3">
        <f>550.5+(90.4-106.7)+(-0.56151+(-0.092208--0.108834))+0-106.9--0.109038000000017</f>
        <v>426.86415400000004</v>
      </c>
      <c r="J222" s="3">
        <f>465+(127.6-60.5)+(-0.23715+(-0.065076--0.030855))+0-107.5--0.0548249999999891</f>
        <v>424.38345399999997</v>
      </c>
      <c r="K222" s="3">
        <f>469+(132.8-73)+(-0.47838+(-0.135456--0.07446))+0-106--0.108120000000017</f>
        <v>422.36874400000005</v>
      </c>
      <c r="L222" s="3">
        <f>465.3+(174.5-105.2)+(-0.474606+(-0.17799--0.107304))+0-106.2--0.108324000000017</f>
        <v>427.96303200000006</v>
      </c>
      <c r="M222" s="3">
        <f>467.7+(176.3-75.3)+(-0.238527+(-0.089913--0.038403))+0-107.3--0.0547229999999891</f>
        <v>461.16468600000002</v>
      </c>
      <c r="N222" s="3">
        <f>480.6+(212.7-102.1)+(0.735318+(0.325431-0.156213))+0-107.6-0.164628000000006</f>
        <v>484.33990800000004</v>
      </c>
      <c r="O222" s="3">
        <f>538.9+(131.4-74.6)+(0.549678+(0.134028-0.076092))+0-106.5-0.108630000000017</f>
        <v>489.69898400000005</v>
      </c>
      <c r="P222" s="3">
        <f>565.6+(133-89.6)+(-1.153824+(-0.27132--0.182784))+0-105.1--0.214403999999995</f>
        <v>502.87204400000002</v>
      </c>
      <c r="Q222" s="3">
        <f>576.4+(170.1-129.6)+(-0.587928+(-0.173502--0.132192))+0-108.2--0.110364000000017</f>
        <v>508.18112600000001</v>
      </c>
      <c r="R222" s="3">
        <f>548.9+(161.9-97.7)+(-2.239512+(-0.660552--0.398616))+0-107.2--0.437375999999991</f>
        <v>503.83592800000002</v>
      </c>
      <c r="S222" s="3">
        <f>541.1+(134.4-76)+(0+(0-0))+0-108.5-0</f>
        <v>491</v>
      </c>
      <c r="T222" s="3">
        <f>541.9+(131.1-89.5)+(0+(0-0))+0-109.3-0</f>
        <v>474.2</v>
      </c>
      <c r="U222" s="3">
        <f>548.4+(139.8-113.5)+(-0.839052+(-0.213894--0.173655))+0-106.9--0.163557000000006</f>
        <v>467.08426600000013</v>
      </c>
      <c r="V222" s="3">
        <f>579.7+(114.9-125.4)+(0+(0-0))+0-108.4-0</f>
        <v>460.80000000000007</v>
      </c>
      <c r="W222" s="3">
        <f>579.2+(141.4-95.4)+(-0.886176+(-0.216342--0.145962))+0-114.9--0.175797000000007</f>
        <v>509.51924100000008</v>
      </c>
      <c r="X222" s="3">
        <f>581.4+(170-116.5)+(-1.48257+(-0.4335--0.297075))+0-115.1--0.293504999999983</f>
        <v>518.4745099999999</v>
      </c>
      <c r="Y222" s="3">
        <f>588+(145.3-107.5)+(-2.39904+(-0.592824--0.4386))+0-114.4--0.46675199999999</f>
        <v>509.31348799999995</v>
      </c>
      <c r="Z222" s="3">
        <f>606.8+(135.6-127.3)+(-0.618936+(-0.138312--0.129846))+0-113.5--0.115770000000018</f>
        <v>501.08836799999995</v>
      </c>
      <c r="AA222" s="3">
        <f>599.8+(109.7-102.1)+(-1.223592+(-0.223788--0.208284))+0-112.8--0.230111999999995</f>
        <v>493.59101599999997</v>
      </c>
      <c r="AB222" s="3">
        <f>597.5+(86.5-100.1)+(-1.82835+(-0.26469--0.306306))+0-110.9--0.339354000000013</f>
        <v>471.55261999999999</v>
      </c>
      <c r="AC222" s="3">
        <f>526.9+(121.5-89.7)+(-0.268719+(-0.061965--0.045747))+0-110.3--0.0562529999999888</f>
        <v>448.17131599999988</v>
      </c>
      <c r="AD222">
        <f t="shared" si="3"/>
        <v>11311.501000000002</v>
      </c>
      <c r="AE222" s="3">
        <f>592+(146.8-111.1)+(0+(0-0))+0-112.9-0</f>
        <v>514.80000000000007</v>
      </c>
    </row>
    <row r="223" spans="1:31" s="2" customFormat="1" x14ac:dyDescent="0.25">
      <c r="A223">
        <v>89</v>
      </c>
      <c r="B223">
        <v>8</v>
      </c>
      <c r="C223">
        <v>7</v>
      </c>
      <c r="D223">
        <v>7</v>
      </c>
      <c r="E223">
        <v>1</v>
      </c>
      <c r="F223" s="3">
        <f>439.9+(169.1-80.4)+(-1.121745+(-0.431205--0.20502))+0-110.8--0.282539999999984</f>
        <v>416.73460999999986</v>
      </c>
      <c r="G223" s="3">
        <f>431.8+(167.2-79)+(-1.321308+(-0.511632--0.24174))+0-109.7--0.335682000000013</f>
        <v>409.04448200000007</v>
      </c>
      <c r="H223" s="3">
        <f>432.5+(143.6-68.8)+(-0.661725+(-0.219708--0.105264))+0-109.2--0.167076000000006</f>
        <v>397.49090700000005</v>
      </c>
      <c r="I223" s="3">
        <f>435+(142.1-79.9)+(-0.22185+(-0.072471--0.040749))+0-108.8--0.055487999999989</f>
        <v>388.20191599999993</v>
      </c>
      <c r="J223" s="3">
        <f>443+(156.7-96.8)+(0+(0-0))+0-107.9-0</f>
        <v>395</v>
      </c>
      <c r="K223" s="3">
        <f>442.4+(131.8-83.4)+(-0.225624+(-0.067218--0.042534))+0-108--0.055079999999989</f>
        <v>382.60477199999991</v>
      </c>
      <c r="L223" s="3">
        <f>441.5+(124-87.7)+(-0.225165+(-0.06324--0.044727))+0-108.4--0.055283999999989</f>
        <v>369.21160600000002</v>
      </c>
      <c r="M223" s="3">
        <f>439.2+(112.4-64.9)+(-0.223992+(-0.057324--0.033099))+0-109.4--0.0557939999999889</f>
        <v>377.10757699999999</v>
      </c>
      <c r="N223" s="3">
        <f>469+(111.5-95.3)+(-0.71757+(-0.170595--0.145809))+0-103.6--0.158508000000006</f>
        <v>381.01615200000003</v>
      </c>
      <c r="O223" s="3">
        <f>468.3+(164.8-127.2)+(-0.477666+(-0.168096--0.129744))+0-110.9--0.113118000000018</f>
        <v>394.59710000000013</v>
      </c>
      <c r="P223" s="3">
        <f>466.3+(179.1-128.5)+(-0.475626+(-0.182682--0.13107))+0-111.4--0.113628000000018</f>
        <v>405.08638999999999</v>
      </c>
      <c r="Q223" s="3">
        <f>466.1+(229.1-174.6)+(-0.475422+(-0.233682--0.178092))+0-108.2--0.110364000000017</f>
        <v>411.97935200000001</v>
      </c>
      <c r="R223" s="3">
        <f>427.4+(282.4-196.1)+(-0.435948+(-0.288048--0.200022))+0-105.8--0.107916000000017</f>
        <v>407.48394199999996</v>
      </c>
      <c r="S223" s="3">
        <f>411.8+(333.3-245.4)+(-0.420036+(-0.339966--0.250308))+0-107.8--0.109956000000017</f>
        <v>391.50026200000002</v>
      </c>
      <c r="T223" s="3">
        <f>409.7+(379.3-298.1)+(-0.835788+(-0.773772--0.608124))+0-106.6--0.217463999999995</f>
        <v>383.51602799999995</v>
      </c>
      <c r="U223" s="3">
        <f>413.1+(322.7-243.5)+(-0.210681+(-0.164577--0.124185))+0-105.8--0.0539579999999893</f>
        <v>386.30288499999995</v>
      </c>
      <c r="V223" s="3">
        <f>415+(267.4-182.3)+(0.21165+(0.136374-0.092973))+0-106.2-0.0541619999999892</f>
        <v>394.100889</v>
      </c>
      <c r="W223" s="3">
        <f>451.5+(280-169.8)+(-0.230265+(-0.1428--0.086598))+0-112.7--0.0574769999999886</f>
        <v>448.77101000000005</v>
      </c>
      <c r="X223" s="3">
        <f>470.4+(247-124.8)+(-0.959616+(-0.50388--0.254592))+0-116.3--0.237251999999995</f>
        <v>475.32834800000006</v>
      </c>
      <c r="Y223" s="3">
        <f>484.3+(272.1-167.6)+(0.493986+(0.277542-0.170952))+0-117.9-0.120258000000019</f>
        <v>471.3803180000001</v>
      </c>
      <c r="Z223" s="3">
        <f>476.2+(318.9-220.9)+(-0.728586+(-0.487917--0.337977))+0-115.1--0.176103000000007</f>
        <v>458.39757699999996</v>
      </c>
      <c r="AA223" s="3">
        <f>476.8+(318.1-221)+(-0.486336+(-0.324462--0.22542))+0-115.2--0.117504000000018</f>
        <v>458.23212600000011</v>
      </c>
      <c r="AB223" s="3">
        <f>476.3+(242.2-163.2)+(-0.485826+(-0.247044--0.166464))+0-115.9--0.118218000000018</f>
        <v>438.95181199999996</v>
      </c>
      <c r="AC223" s="3">
        <f>470.9+(206.8-148.7)+(-1.200795+(-0.52734--0.379185))+0-114.8--0.292739999999983</f>
        <v>413.14379000000002</v>
      </c>
      <c r="AD223">
        <f t="shared" si="3"/>
        <v>9855.1838510000016</v>
      </c>
      <c r="AE223" s="3">
        <f>475+(246.8-117.5)+(0+(0-0))+0-116.8-0</f>
        <v>487.49999999999994</v>
      </c>
    </row>
    <row r="224" spans="1:31" s="2" customFormat="1" x14ac:dyDescent="0.25">
      <c r="A224">
        <v>89</v>
      </c>
      <c r="B224">
        <v>8</v>
      </c>
      <c r="C224">
        <v>8</v>
      </c>
      <c r="D224">
        <v>1</v>
      </c>
      <c r="E224">
        <v>1</v>
      </c>
      <c r="F224" s="3">
        <f>476.1+(159-121)+(-0.242811+(-0.08109--0.06171))+0-112.6--0.0574259999999886</f>
        <v>401.29523499999993</v>
      </c>
      <c r="G224" s="3">
        <f>477.2+(120.7-86)+(-0.243372+(-0.061557--0.04386))+0-113.5--0.0578849999999885</f>
        <v>398.19681599999996</v>
      </c>
      <c r="H224" s="3">
        <f>478.2+(119-95.2)+(-0.731646+(-0.18207--0.145656))+0-112.8--0.172584000000007</f>
        <v>388.60452400000003</v>
      </c>
      <c r="I224" s="3">
        <f>484.8+(137.6-132.3)+(0.247248+(0.070176-0.067473))+0-112.6-0.0574259999999886</f>
        <v>377.69252500000005</v>
      </c>
      <c r="J224" s="3">
        <f>476.3+(130.9-113.8)+(-0.971652+(-0.267036--0.232152))+0-112--0.228479999999995</f>
        <v>380.62194400000004</v>
      </c>
      <c r="K224" s="3">
        <f>483.8+(119.5-104.1)+(0+(0-0))+0-112.1-0</f>
        <v>387.1</v>
      </c>
      <c r="L224" s="3">
        <f>467.8+(129.3-79)+(0+(0-0))+0-111.2-0</f>
        <v>406.90000000000003</v>
      </c>
      <c r="M224" s="3">
        <f>428.2+(186.3-47.3)+(-0.218382+(-0.095013--0.024123))+0-110.6--0.0564059999999888</f>
        <v>456.36713400000002</v>
      </c>
      <c r="N224" s="3">
        <f>457.7+(217.6-89)+(-0.700281+(-0.332928--0.13617))+0-111--0.169830000000006</f>
        <v>474.572791</v>
      </c>
      <c r="O224" s="3">
        <f>489.9+(281.5-164.9)+(-0.499698+(-0.28713--0.168198))+0-113.8--0.116076000000018</f>
        <v>492.19744599999996</v>
      </c>
      <c r="P224" s="3">
        <f>531.7+(273.2-177.6)+(-1.084668+(-0.557328--0.362304))+0-115.7--0.236027999999995</f>
        <v>510.5563360000001</v>
      </c>
      <c r="Q224" s="3">
        <f>589.5+(254.7-207.4)+(-0.300645+(-0.129897--0.105774))+0-116.6--0.0594659999999882</f>
        <v>519.93469800000003</v>
      </c>
      <c r="R224" s="3">
        <f>585.9+(214.8-171)+(-0.597618+(-0.219096--0.17442))+0-111.6--0.113832000000018</f>
        <v>517.57153800000003</v>
      </c>
      <c r="S224" s="3">
        <f>583.8+(175.1-146.3)+(-1.190952+(-0.357204--0.298452))+0-111.2--0.226847999999995</f>
        <v>500.37714399999999</v>
      </c>
      <c r="T224" s="3">
        <f>584.7+(152.4-135.9)+(0+(0-0))+0-109.9-0</f>
        <v>491.30000000000007</v>
      </c>
      <c r="U224" s="3">
        <f>583.2+(163.1-146.1)+(-1.189728+(-0.332724--0.298044))+0-110.2--0.224807999999995</f>
        <v>489.00040000000001</v>
      </c>
      <c r="V224" s="3">
        <f>582.5+(217.2-186.1)+(-0.891225+(-0.332316--0.284733))+0-112.2--0.171666000000006</f>
        <v>500.63285800000006</v>
      </c>
      <c r="W224" s="3">
        <f>587.6+(176.7-86.6)+(0+(0-0))+0-118.5-0</f>
        <v>559.20000000000005</v>
      </c>
      <c r="X224" s="3">
        <f>586.7+(181.1-81.3)+(-0.897651+(-0.277083--0.124389))+0-118.6--0.181458000000007</f>
        <v>567.031113</v>
      </c>
      <c r="Y224" s="3">
        <f>583.7+(167.6-79.7)+(-1.488435+(-0.42738--0.203235))+0-120.1--0.306254999999983</f>
        <v>550.09367499999996</v>
      </c>
      <c r="Z224" s="3">
        <f>586.5+(156.3-76.5)+(-1.19646+(-0.318852--0.15606))+0-118.3--0.241331999999995</f>
        <v>546.88207999999997</v>
      </c>
      <c r="AA224" s="3">
        <f>588.4+(149.7-84.7)+(-0.900252+(-0.229041--0.129591))+0-118.7--0.181611000000007</f>
        <v>533.88190899999995</v>
      </c>
      <c r="AB224" s="3">
        <f>587.7+(139.6-102.1)+(-1.498635+(-0.35598--0.260355))+0-118.6--0.302429999999983</f>
        <v>505.30817000000002</v>
      </c>
      <c r="AC224" s="3">
        <f>540.1+(141.3-92)+(-1.652706+(-0.432378--0.28152))+0-116.3--0.355878000000013</f>
        <v>471.65231400000005</v>
      </c>
      <c r="AD224">
        <f t="shared" si="3"/>
        <v>11426.970650000001</v>
      </c>
      <c r="AE224" s="3">
        <f>606+(174.6-80.1)+(0+(0-0))+0-118.2-0</f>
        <v>582.29999999999995</v>
      </c>
    </row>
    <row r="225" spans="1:31" s="2" customFormat="1" x14ac:dyDescent="0.25">
      <c r="A225">
        <v>89</v>
      </c>
      <c r="B225">
        <v>8</v>
      </c>
      <c r="C225">
        <v>9</v>
      </c>
      <c r="D225">
        <v>2</v>
      </c>
      <c r="E225">
        <v>1</v>
      </c>
      <c r="F225" s="3">
        <f>379.9+(228.4-51.5)+(-0.581247+(-0.349452--0.078795))+0-114.8--0.175644000000007</f>
        <v>441.32373999999999</v>
      </c>
      <c r="G225" s="3">
        <f>360.7+(217.9-37.7)+(-0.367914+(-0.222258--0.038454))+0-112--0.114240000000018</f>
        <v>428.46252199999992</v>
      </c>
      <c r="H225" s="3">
        <f>365.7+(207.2-38.1)+(-0.746028+(-0.422688--0.077724))+0-113.5--0.231539999999995</f>
        <v>420.44054799999992</v>
      </c>
      <c r="I225" s="3">
        <f>368.4+(208.4-37.4)+(-0.563652+(-0.318852--0.057222))+0-115.4--0.176562000000007</f>
        <v>423.35127999999997</v>
      </c>
      <c r="J225" s="3">
        <f>372.1+(206.1-42.6)+(0+(0-0))+0-112.4-0</f>
        <v>423.20000000000005</v>
      </c>
      <c r="K225" s="3">
        <f>373.3+(237.7-77.7)+(0+(0-0))+0-111-0</f>
        <v>422.29999999999995</v>
      </c>
      <c r="L225" s="3">
        <f>369.5+(267.9-95.4)+(-0.37689+(-0.273258--0.097308))+0-109.3--0.111486000000017</f>
        <v>432.25864600000006</v>
      </c>
      <c r="M225" s="3">
        <f>373.9+(300.6-101.8)+(0+(0-0))+0-105.4-0</f>
        <v>467.30000000000007</v>
      </c>
      <c r="N225" s="3">
        <f>369+(346.1-115.4)+(-0.37638+(-0.353022--0.117708))+0-110.1--0.112302000000018</f>
        <v>489.10060800000008</v>
      </c>
      <c r="O225" s="3">
        <f>374.7+(345.7-121.8)+(-0.191097+(-0.176307--0.062118))+0-109.1--0.0556409999999889</f>
        <v>489.25035499999984</v>
      </c>
      <c r="P225" s="3">
        <f>374.7+(387.3-128.5)+(-0.382194+(-0.395046--0.13107))+0-107.3--0.109446000000017</f>
        <v>525.66327600000011</v>
      </c>
      <c r="Q225" s="3">
        <f>345.7+(405.6-132.8)+(-0.705228+(-0.827424--0.270912))+0-106.2--0.216647999999995</f>
        <v>511.254908</v>
      </c>
      <c r="R225" s="3">
        <f>299.6+(405.4-127.4)+(-0.152796+(-0.206754--0.064974))+0-108.2--0.055181999999989</f>
        <v>469.16060600000003</v>
      </c>
      <c r="S225" s="3">
        <f>296.1+(383.5-124.7)+(-0.302022+(-0.39117--0.127194))+0-109.4--0.111588000000017</f>
        <v>445.04559000000012</v>
      </c>
      <c r="T225" s="3">
        <f>296.6+(363.1-120.5)+(-0.151266+(-0.185181--0.061455))+0-102--0.0520199999999897</f>
        <v>436.97702800000002</v>
      </c>
      <c r="U225" s="3">
        <f>336.9+(311-71.4)+(-0.859095+(-0.79305--0.18207))+0-105.1--0.268004999999985</f>
        <v>470.19792999999999</v>
      </c>
      <c r="V225" s="3">
        <f>345.5+(303.8-46.2)+(0+(0-0))+0-108.7-0</f>
        <v>494.40000000000003</v>
      </c>
      <c r="W225" s="3">
        <f>350.4+(360.9-47.9)+(-0.357408+(-0.368118--0.048858))+0-114.9--0.117198000000018</f>
        <v>547.94053000000008</v>
      </c>
      <c r="X225" s="3">
        <f>353.2+(362.3-45)+(-0.720528+(-0.739092--0.0918))+0-112.3--0.229091999999995</f>
        <v>557.06127200000003</v>
      </c>
      <c r="Y225" s="3">
        <f>356.2+(344.2-41.6)+(-0.726648+(-0.702168--0.084864))+0-112.7--0.229907999999995</f>
        <v>544.98595599999999</v>
      </c>
      <c r="Z225" s="3">
        <f>360.3+(320.2-38.2)+(-0.367506+(-0.326604--0.038964))+0-111.7--0.113934000000018</f>
        <v>530.05878799999994</v>
      </c>
      <c r="AA225" s="3">
        <f>359.1+(313.8-36.7)+(-0.549423+(-0.480114--0.056151))+0-112.5--0.172125000000006</f>
        <v>522.89873900000009</v>
      </c>
      <c r="AB225" s="3">
        <f>359.1+(284.1-39.5)+(-0.732564+(-0.579564--0.08058))+0-114.4--0.233375999999995</f>
        <v>488.30182800000011</v>
      </c>
      <c r="AC225" s="3">
        <f>357.9+(288.5-74.7)+(-0.730116+(-0.58854--0.152388))+0-112.5--0.229499999999995</f>
        <v>458.26323200000007</v>
      </c>
      <c r="AD225">
        <f t="shared" si="3"/>
        <v>11439.197382000002</v>
      </c>
      <c r="AE225" s="3">
        <f>353+(363.5-45.1)+(0+(0-0))+0-110.7-0</f>
        <v>560.69999999999993</v>
      </c>
    </row>
    <row r="226" spans="1:31" s="2" customFormat="1" x14ac:dyDescent="0.25">
      <c r="A226">
        <v>89</v>
      </c>
      <c r="B226">
        <v>8</v>
      </c>
      <c r="C226">
        <v>10</v>
      </c>
      <c r="D226">
        <v>3</v>
      </c>
      <c r="E226">
        <v>1</v>
      </c>
      <c r="F226" s="3">
        <f>362.7+(310.3-122.6)+(-0.184977+(-0.158253--0.062526))+0-111.1--0.0566609999999887</f>
        <v>439.0759569999999</v>
      </c>
      <c r="G226" s="3">
        <f>357.7+(260.2-77.4)+(-0.912135+(-0.66351--0.19737))+0-114.2--0.291209999999983</f>
        <v>425.21293499999996</v>
      </c>
      <c r="H226" s="3">
        <f>362.1+(212.9-41.4)+(-0.369342+(-0.217158--0.042228))+0-114.6--0.116892000000018</f>
        <v>418.57262000000003</v>
      </c>
      <c r="I226" s="3">
        <f>369.7+(237.1-73.5)+(0.377094+(0.241842-0.07497))+0-113.7-0.115974000000018</f>
        <v>420.02799199999993</v>
      </c>
      <c r="J226" s="3">
        <f>354.9+(264.9-84.8)+(-0.723996+(-0.540396--0.172992))+0-114.6--0.233783999999995</f>
        <v>419.54238399999997</v>
      </c>
      <c r="K226" s="3">
        <f>364.8+(299.6-130)+(0.558144+(0.458388-0.1989))+0-115.2-0.176256000000007</f>
        <v>419.84137600000008</v>
      </c>
      <c r="L226" s="3">
        <f>355.4+(325.9-137.5)+(-0.543762+(-0.498627--0.210375))+0-114.4--0.175032000000007</f>
        <v>428.74301800000001</v>
      </c>
      <c r="M226" s="3">
        <f>359.7+(363-138.3)+(0+(0-0))+0-116.2-0</f>
        <v>468.2</v>
      </c>
      <c r="N226" s="3">
        <f>355.3+(328.8-87.2)+(-0.362406+(-0.335376--0.088944))+0-116.9--0.119238000000019</f>
        <v>479.51040000000012</v>
      </c>
      <c r="O226" s="3">
        <f>350.2+(356-95.7)+(-0.89301+(-0.9078--0.244035))+0-121.3--0.309314999999982</f>
        <v>487.95253999999994</v>
      </c>
      <c r="P226" s="3">
        <f>351.4+(356.3-91.5)+(-0.537642+(-0.545139--0.139995))+0-83.7--0.128061000000005</f>
        <v>531.68527500000005</v>
      </c>
      <c r="Q226" s="3">
        <f>348.9+(338.2-71.5)+(0+(0-0))+0-114.2-0</f>
        <v>501.39999999999992</v>
      </c>
      <c r="R226" s="3">
        <f>336.8+(318.3-45.3)+(-1.202376+(-1.136331--0.161721))+0-107.3--0.383061000000001</f>
        <v>500.70607499999988</v>
      </c>
      <c r="S226" s="3">
        <f>347.4+(280-42.2)+(0+(0-0))+0-99.9-0</f>
        <v>485.30000000000007</v>
      </c>
      <c r="T226" s="3">
        <f>345.7+(280-48.4)+(-0.528921+(-0.4284--0.074052))+0-99.8--0.152694000000006</f>
        <v>476.7694249999999</v>
      </c>
      <c r="U226" s="3">
        <f>345.3+(290.5-48.6)+(-1.056618+(-0.88893--0.148716))+0-99.6--0.304776000000011</f>
        <v>486.10794400000003</v>
      </c>
      <c r="V226" s="3">
        <f>353.6+(297-52.9)+(0+(0-0))+0-102.6-0</f>
        <v>495.1</v>
      </c>
      <c r="W226" s="3">
        <f>356.9+(354.2-55.5)+(0.182019+(0.180642-0.028305))+0-105.7-0.0539069999999893</f>
        <v>550.18044899999984</v>
      </c>
      <c r="X226" s="3">
        <f>353.2+(358.4-50.9)+(-0.720528+(-0.731136--0.103836))+0-104.5--0.213179999999995</f>
        <v>555.06535199999996</v>
      </c>
      <c r="Y226" s="3">
        <f>353.1+(338.8-48.4)+(-0.900405+(-0.86394--0.12342))+0-101.2--0.258059999999985</f>
        <v>540.91713499999992</v>
      </c>
      <c r="Z226" s="3">
        <f>364.1+(304.1-49.2)+(0+(0-0))+0-101.4-0</f>
        <v>517.6</v>
      </c>
      <c r="AA226" s="3">
        <f>362.2+(302.3-48.2)+(-0.369444+(-0.308346--0.049164))+0-101.6--0.103632000000016</f>
        <v>514.17500599999994</v>
      </c>
      <c r="AB226" s="3">
        <f>357.4+(312.2-75.3)+(-0.91137+(-0.79611--0.192015))+0-100.9--0.257294999999985</f>
        <v>492.14183000000003</v>
      </c>
      <c r="AC226" s="3">
        <f>363.3+(289-105.5)+(-0.185283+(-0.14739--0.053805))+0-98.9--0.05043899999999</f>
        <v>447.67157099999997</v>
      </c>
      <c r="AD226">
        <f t="shared" si="3"/>
        <v>11501.499284</v>
      </c>
      <c r="AE226" s="3">
        <f>362+(356.1-51.4)+(0+(0-0))+0-105.2-0</f>
        <v>561.5</v>
      </c>
    </row>
    <row r="227" spans="1:31" s="2" customFormat="1" x14ac:dyDescent="0.25">
      <c r="A227">
        <v>89</v>
      </c>
      <c r="B227">
        <v>8</v>
      </c>
      <c r="C227">
        <v>11</v>
      </c>
      <c r="D227">
        <v>4</v>
      </c>
      <c r="E227">
        <v>1</v>
      </c>
      <c r="F227" s="3">
        <f>367.7+(293.1-156.3)+(0.187527+(0.149481-0.079713))+0-102.3-0.0521729999999896</f>
        <v>402.40512200000001</v>
      </c>
      <c r="G227" s="3">
        <f>360.3+(287.7-157.7)+(-0.551259+(-0.440181--0.241281))+0-102--0.156060000000006</f>
        <v>387.70590100000004</v>
      </c>
      <c r="H227" s="3">
        <f>362.3+(251.9-129.4)+(-0.554319+(-0.385407--0.197982))+0-102.1--0.156213000000006</f>
        <v>382.11446899999999</v>
      </c>
      <c r="I227" s="3">
        <f>369.2+(247.5-143.5)+(0.376584+(0.25245-0.14637))+0-98.8-0.100776000000016</f>
        <v>374.78188799999998</v>
      </c>
      <c r="J227" s="3">
        <f>374.9+(222.8-118.4)+(0.191199+(0.113628-0.060384))+0-99.7-0.0508469999999899</f>
        <v>379.79359599999998</v>
      </c>
      <c r="K227" s="3">
        <f>375.1+(284.8-180.8)+(0+(0-0))+0-101.1-0</f>
        <v>378</v>
      </c>
      <c r="L227" s="3">
        <f>376.4+(355.2-220.1)+(0.191964+(0.181152-0.112251))+0-99-0.05048999999999</f>
        <v>412.71037500000006</v>
      </c>
      <c r="M227" s="3">
        <f>373.4+(335.2-168.1)+(-0.190434+(-0.170952--0.085731))+0-98.5--0.05023499999999</f>
        <v>441.77457999999996</v>
      </c>
      <c r="N227" s="3">
        <f>369.7+(346.4-155.7)+(-0.565641+(-0.529992--0.238221))+0-100--0.153000000000006</f>
        <v>459.69558800000004</v>
      </c>
      <c r="O227" s="3">
        <f>370.6+(375.9-180.7)+(-0.378012+(-0.383418--0.184314))+0-98.3--0.100266000000016</f>
        <v>467.02314999999993</v>
      </c>
      <c r="P227" s="3">
        <f>372.4+(359.2-148.5)+(0+(0-0))+0-100.2-0</f>
        <v>482.89999999999992</v>
      </c>
      <c r="Q227" s="3">
        <f>367.9+(274.1-57.1)+(-0.750516+(-0.559164--0.116484))+0-100.1--0.204203999999996</f>
        <v>483.81100800000002</v>
      </c>
      <c r="R227" s="3">
        <f>373+(251.3-43.6)+(0.38046+(0.256326-0.044472))+0-97.1-0.0990420000000155</f>
        <v>484.09327200000001</v>
      </c>
      <c r="S227" s="3">
        <f>366.7+(246.7-45.1)+(-0.748068+(-0.503268--0.092004))+0-99.5--0.202979999999996</f>
        <v>467.84364799999997</v>
      </c>
      <c r="T227" s="3">
        <f>367+(240-45.8)+(-0.37434+(-0.2448--0.046716))+0-100.5--0.102510000000016</f>
        <v>460.23008600000009</v>
      </c>
      <c r="U227" s="3">
        <f>360.5+(255.1-59.4)+(-0.919275+(-0.650505--0.15147))+0-100.8--0.257039999999985</f>
        <v>454.23872999999998</v>
      </c>
      <c r="V227" s="3">
        <f>366.1+(304.9-102.9)+(0.560133+(0.466497-0.157437))+0-100.6-0.153918000000006</f>
        <v>468.21527499999996</v>
      </c>
      <c r="W227" s="3">
        <f>364.1+(326.3-55.7)+(-0.557073+(-0.499239--0.085221))+0-105.3--0.161109000000006</f>
        <v>528.5900180000001</v>
      </c>
      <c r="X227" s="3">
        <f>362.1+(326.7-51)+(-0.923355+(-0.833085--0.13005))+0-106.6--0.271829999999985</f>
        <v>529.84543999999994</v>
      </c>
      <c r="Y227" s="3">
        <f>369.3+(303.1-50.7)+(-0.376686+(-0.309162--0.051714))+0-104.3--0.106386000000017</f>
        <v>516.87225200000012</v>
      </c>
      <c r="Z227" s="3">
        <f>369.3+(287-59.9)+(-0.188343+(-0.14637--0.030549))+0-103.3--0.0526829999999895</f>
        <v>492.84851899999995</v>
      </c>
      <c r="AA227" s="3">
        <f>370.3+(280-56.2)+(-0.566559+(-0.4284--0.085986))+0-103.6--0.158508000000006</f>
        <v>489.74953500000004</v>
      </c>
      <c r="AB227" s="3">
        <f>370.4+(289.7-100.7)+(-0.377808+(-0.295494--0.102714))+0-103.7--0.105774000000017</f>
        <v>455.23518599999994</v>
      </c>
      <c r="AC227" s="3">
        <f>370.7+(266.5-116.5)+(-0.378114+(-0.27183--0.11883))+0-101.4--0.103428000000016</f>
        <v>418.87231400000007</v>
      </c>
      <c r="AD227">
        <f t="shared" si="3"/>
        <v>10819.349952</v>
      </c>
      <c r="AE227" s="3">
        <f>364+(325.4-50.8)+(0+(0-0))+0-107.1-0</f>
        <v>531.49999999999989</v>
      </c>
    </row>
    <row r="228" spans="1:31" s="2" customFormat="1" x14ac:dyDescent="0.25">
      <c r="A228">
        <v>89</v>
      </c>
      <c r="B228">
        <v>8</v>
      </c>
      <c r="C228">
        <v>12</v>
      </c>
      <c r="D228">
        <v>5</v>
      </c>
      <c r="E228">
        <v>1</v>
      </c>
      <c r="F228" s="3">
        <f>377.9+(290.3-150.6)+(-0.192729+(-0.148053--0.076806))+0-102.8--0.0524279999999896</f>
        <v>414.58845200000002</v>
      </c>
      <c r="G228" s="3">
        <f>377.4+(336.4-207.5)+(-0.96237+(-0.85782--0.529125))+0-101.6--0.259079999999985</f>
        <v>403.66801499999991</v>
      </c>
      <c r="H228" s="3">
        <f>389.4+(412.3-293.2)+(-0.397188+(-0.420546--0.299064))+0-102.5--0.104550000000016</f>
        <v>405.58588000000003</v>
      </c>
      <c r="I228" s="3">
        <f>388.4+(362.1-247.1)+(0+(0-0))+0-103.2-0</f>
        <v>400.2</v>
      </c>
      <c r="J228" s="3">
        <f>381.7+(314.8-194.7)+(-0.778668+(-0.642192--0.397188))+0-102.9--0.209915999999996</f>
        <v>398.08624400000008</v>
      </c>
      <c r="K228" s="3">
        <f>388.1+(376.6-255)+(-0.395862+(-0.384132--0.2601))+0-101.1--0.103122000000016</f>
        <v>408.18322800000004</v>
      </c>
      <c r="L228" s="3">
        <f>387.9+(438.2-306.7)+(0.395658+(0.446964-0.312834))+0-99.5-0.101490000000016</f>
        <v>420.32829800000002</v>
      </c>
      <c r="M228" s="3">
        <f>387.5+(484.6-306.1)+(-0.197625+(-0.247146--0.156111))+0-102.6--0.0523259999999896</f>
        <v>463.16366599999992</v>
      </c>
      <c r="N228" s="3">
        <f>383+(494.3-280.8)+(-0.39066+(-0.504186--0.286416))+0-103.6--0.105672000000017</f>
        <v>492.39724200000001</v>
      </c>
      <c r="O228" s="3">
        <f>386.5+(498.1-301.6)+(-0.197115+(-0.254031--0.153816))+0-102.8--0.0524279999999896</f>
        <v>479.95509799999996</v>
      </c>
      <c r="P228" s="3">
        <f>376+(460.5-238.6)+(-0.76704+(-0.93942--0.486744))+0-105.7--0.215627999999995</f>
        <v>491.19591200000002</v>
      </c>
      <c r="Q228" s="3">
        <f>381.5+(428.4-193.6)+(0.38913+(0.436968-0.197472))+0-102.5-0.104550000000016</f>
        <v>514.32407599999999</v>
      </c>
      <c r="R228" s="3">
        <f>384.5+(361.1-126.4)+(-0.39219+(-0.368322--0.128928))+0-102.7--0.104754000000016</f>
        <v>515.9731700000001</v>
      </c>
      <c r="S228" s="3">
        <f>385.4+(315.8-97.8)+(0.393108+(0.322116-0.099756))+0-103.4-0.105468000000016</f>
        <v>500.50999999999993</v>
      </c>
      <c r="T228" s="3">
        <f>385.4+(351.8-152.4)+(0.393108+(0.358836-0.155448))+0-103.7-0.105774000000017</f>
        <v>481.59072199999997</v>
      </c>
      <c r="U228" s="3">
        <f>383.4+(434.7-237.6)+(0.391068+(0.443394-0.242352))+0-103.5-0.105570000000016</f>
        <v>477.48654000000005</v>
      </c>
      <c r="V228" s="3">
        <f>382.2+(475.1-249.3)+(0+(0-0))+0-105.5-0</f>
        <v>502.5</v>
      </c>
      <c r="W228" s="3">
        <f>390.5+(401.7-120.3)+(-0.39831+(-0.409734--0.122706))+0-108.6--0.110772000000017</f>
        <v>562.72543399999995</v>
      </c>
      <c r="X228" s="3">
        <f>390+(379.7-103.8)+(-0.5967+(-0.580941--0.158814))+0-111.2--0.170136000000006</f>
        <v>553.8513089999999</v>
      </c>
      <c r="Y228" s="3">
        <f>394+(381.5-126.1)+(-1.0047+(-0.972825--0.321555))+0-110.1--0.280754999999984</f>
        <v>537.92478499999993</v>
      </c>
      <c r="Z228" s="3">
        <f>394+(343-117)+(-1.0047+(-0.87465--0.29835))+0-69--0.17594999999999</f>
        <v>549.59494999999993</v>
      </c>
      <c r="AA228" s="3">
        <f>393+(320-116)+(-1.20258+(-0.9792--0.35496))+0-68--0.208080000000008</f>
        <v>527.38126</v>
      </c>
      <c r="AB228" s="3">
        <f>391+(349.9-143.2)+(-0.39882+(-0.356898--0.146064))+0-107.8--0.109956000000017</f>
        <v>489.40030200000007</v>
      </c>
      <c r="AC228" s="3">
        <f>389+(294.5-128)+(-0.59517+(-0.450585--0.19584))+0-105.8--0.161874000000006</f>
        <v>449.01195899999999</v>
      </c>
      <c r="AD228">
        <f t="shared" si="3"/>
        <v>11439.626541999998</v>
      </c>
      <c r="AE228" s="3">
        <f>396+(390.6-111.9)+(0+(0-0))+0-110.3-0</f>
        <v>564.40000000000009</v>
      </c>
    </row>
    <row r="229" spans="1:31" s="2" customFormat="1" x14ac:dyDescent="0.25">
      <c r="A229">
        <v>89</v>
      </c>
      <c r="B229">
        <v>8</v>
      </c>
      <c r="C229">
        <v>13</v>
      </c>
      <c r="D229">
        <v>6</v>
      </c>
      <c r="E229">
        <v>1</v>
      </c>
      <c r="F229" s="3">
        <f>390.6+(244.5-114.8)+(-0.199206+(-0.124695--0.058548))+0-107.2--0.0546719999999891</f>
        <v>412.88931899999994</v>
      </c>
      <c r="G229" s="3">
        <f>397+(294.7-174.6)+(-0.40494+(-0.300594--0.178092))+0-108.7--0.110874000000017</f>
        <v>407.98343200000011</v>
      </c>
      <c r="H229" s="3">
        <f>400.2+(341.3-229.2)+(-0.204102+(-0.174063--0.116892))+0-108.3--0.055232999999989</f>
        <v>403.79395999999997</v>
      </c>
      <c r="I229" s="3">
        <f>402.4+(322.3-225.2)+(0+(0-0))+0-110-0</f>
        <v>389.5</v>
      </c>
      <c r="J229" s="3">
        <f>404.3+(321.5-226.4)+(0.824772+(0.65586-0.461856))+0-108.3-0.220931999999995</f>
        <v>391.89784399999996</v>
      </c>
      <c r="K229" s="3">
        <f>401.8+(441-341.3)+(-0.204918+(-0.22491--0.174063))+0-106.4--0.0542639999999892</f>
        <v>394.89849900000002</v>
      </c>
      <c r="L229" s="3">
        <f>399.2+(495.4-360.5)+(-0.814368+(-1.010616--0.73542))+0-108.7--0.221747999999995</f>
        <v>424.53218399999992</v>
      </c>
      <c r="M229" s="3">
        <f>400.2+(475.7-308.2)+(-0.408204+(-0.485214--0.314364))+0-113.1--0.115362000000018</f>
        <v>454.13630799999999</v>
      </c>
      <c r="N229" s="3">
        <f>394.8+(437.8-232.7)+(-0.201348+(-0.223278--0.118677))+0-116--0.0591599999999882</f>
        <v>483.653211</v>
      </c>
      <c r="O229" s="3">
        <f>389.6+(364.4-162.8)+(-0.596088+(-0.557532--0.249084))+0-108.1--0.165393000000006</f>
        <v>482.36085700000001</v>
      </c>
      <c r="P229" s="3">
        <f>385.5+(307.8-91.6)+(0+(0-0))+0-108.3-0</f>
        <v>493.40000000000003</v>
      </c>
      <c r="Q229" s="3">
        <f>338.4+(339.7-59.3)+(0+(0-0))+0-116.6-0</f>
        <v>502.19999999999993</v>
      </c>
      <c r="R229" s="3">
        <f>336.4+(283.4-38.7)+(-0.514692+(-0.433602--0.059211))+0-92.4--0.141372000000005</f>
        <v>487.95228899999989</v>
      </c>
      <c r="S229" s="3">
        <f>336.4+(251-35.6)+(-0.686256+(-0.51204--0.072624))+0-80.5--0.164219999999996</f>
        <v>470.33854799999995</v>
      </c>
      <c r="T229" s="3">
        <f>336.4+(239.3-39.1)+(0.171564+(0.122043-0.019941))+0-84.8-0.0432479999999914</f>
        <v>452.03041800000005</v>
      </c>
      <c r="U229" s="3">
        <f>336.4+(271.2-67.8)+(-0.85782+(-0.69156--0.17289))+0-83.9--0.213944999999988</f>
        <v>454.73745499999995</v>
      </c>
      <c r="V229" s="3">
        <f>336.4+(287.8-82.8)+(-0.514692+(-0.440334--0.126684))+0-77.4--0.118422000000004</f>
        <v>463.29007999999999</v>
      </c>
      <c r="W229" s="3">
        <f>336.4+(336-48.2)+(-0.343128+(-0.34272--0.049164))+0-101.9--0.103938000000016</f>
        <v>521.76725400000009</v>
      </c>
      <c r="X229" s="3">
        <f>336.4+(351.1-40.3)+(-0.686256+(-0.716244--0.082212))+0-115.7--0.236027999999995</f>
        <v>530.41574000000003</v>
      </c>
      <c r="Y229" s="3">
        <f>336.4+(358.6-37.7)+(-0.85782+(-0.91443--0.096135))+0-118--0.300899999999983</f>
        <v>537.92478499999993</v>
      </c>
      <c r="Z229" s="3">
        <f>336.4+(343.6-36.6)+(-0.514692+(-0.525708--0.055998))+0-118.3--0.180999000000007</f>
        <v>524.29659700000002</v>
      </c>
      <c r="AA229" s="3">
        <f>336.4+(351-36.7)+(-0.171564+(-0.17901--0.018717))+0-116.6--0.0594659999999882</f>
        <v>533.82760900000005</v>
      </c>
      <c r="AB229" s="3">
        <f>336.4+(333.8-37.4)+(-0.686256+(-0.680952--0.076296))+0-115.2--0.235007999999995</f>
        <v>516.54409599999985</v>
      </c>
      <c r="AC229" s="3">
        <f>336.4+(317.4-47.4)+(-0.85782+(-0.80937--0.12087))+0-111.6--0.284579999999984</f>
        <v>493.53825999999992</v>
      </c>
      <c r="AD229">
        <f t="shared" si="3"/>
        <v>11227.908744999997</v>
      </c>
      <c r="AE229" s="3">
        <f>312+(363.9-38.8)+(0+(0-0))+0-117.1-0</f>
        <v>519.99999999999989</v>
      </c>
    </row>
    <row r="230" spans="1:31" s="2" customFormat="1" x14ac:dyDescent="0.25">
      <c r="A230">
        <v>89</v>
      </c>
      <c r="B230">
        <v>8</v>
      </c>
      <c r="C230">
        <v>14</v>
      </c>
      <c r="D230">
        <v>7</v>
      </c>
      <c r="E230">
        <v>1</v>
      </c>
      <c r="F230" s="3">
        <f>274+(249.3-25.3)+(-0.27948+(-0.254286--0.025806))+0-111.9--0.114138000000018</f>
        <v>385.70617800000002</v>
      </c>
      <c r="G230" s="3">
        <f>280+(251.9-36.5)+(-0.1428+(-0.128469--0.018615))+0-117.8--0.0600779999999881</f>
        <v>377.40742399999993</v>
      </c>
      <c r="H230" s="3">
        <f>274+(236.4-25.2)+(-0.13974+(-0.120564--0.012852))+0-112.4--0.0573239999999886</f>
        <v>372.609872</v>
      </c>
      <c r="I230" s="3">
        <f>267+(249.2-39.9)+(-0.27234+(-0.254184--0.040698))+0-110--0.112200000000018</f>
        <v>365.92637400000001</v>
      </c>
      <c r="J230" s="3">
        <f>268+(247.5-22.3)+(-0.41004+(-0.378675--0.034119))+0-116.9--0.178857000000007</f>
        <v>375.72426099999996</v>
      </c>
      <c r="K230" s="3">
        <f>266+(237-23.8)+(0.27132+(0.24174-0.024276))+0-118.2-0.120564000000019</f>
        <v>361.36822000000001</v>
      </c>
      <c r="L230" s="3">
        <f>260+(236.7-32.7)+(-0.663+(-0.603585--0.083385))+0-110--0.280499999999984</f>
        <v>353.09729999999996</v>
      </c>
      <c r="M230" s="3">
        <f>263+(224.8-24.6)+(0+(0-0))+0-108.8-0</f>
        <v>354.40000000000003</v>
      </c>
      <c r="N230" s="3">
        <f>268+(225.2-26.7)+(-0.13668+(-0.114852--0.013617))+0-110--0.0560999999999888</f>
        <v>356.31818500000003</v>
      </c>
      <c r="O230" s="3">
        <f>272+(239.1-24.2)+(0.13872+(0.121941-0.012342))+0-118.9-0.0606389999999879</f>
        <v>368.18767999999994</v>
      </c>
      <c r="P230" s="3">
        <f>268+(266.2-21.4)+(-0.27336+(-0.271524--0.021828))+0-124.7--0.12719400000002</f>
        <v>387.704138</v>
      </c>
      <c r="Q230" s="3">
        <f>265+(273.6-17.1)+(-0.67575+(-0.69768--0.043605))+0-130.6--0.333029999999981</f>
        <v>389.90320499999996</v>
      </c>
      <c r="R230" s="3">
        <f>269+(260.5-21.6)+(-0.27438+(-0.26571--0.022032))+0-122.7--0.12515400000002</f>
        <v>384.807096</v>
      </c>
      <c r="S230" s="3">
        <f>268+(269.3-40.6)+(-0.41004+(-0.412029--0.062118))+0-119.7--0.183141000000007</f>
        <v>376.42319000000009</v>
      </c>
      <c r="T230" s="3">
        <f>275+(282.9-65)+(-0.2805+(-0.288558--0.0663))+0-116.3--0.118626000000019</f>
        <v>376.215868</v>
      </c>
      <c r="U230" s="3">
        <f>267+(239.7-30.2)+(-0.40851+(-0.366741--0.046206))+0-113.3--0.173349000000007</f>
        <v>362.64430400000003</v>
      </c>
      <c r="V230" s="3">
        <f>266+(276-45)+(-0.27132+(-0.28152--0.0459))+0-118.1--0.120462000000019</f>
        <v>378.51352200000002</v>
      </c>
      <c r="W230" s="3">
        <f>269+(320.3-27.4)+(-0.13719+(-0.163353--0.013974))+0-119.9--0.0611489999999878</f>
        <v>441.77458000000013</v>
      </c>
      <c r="X230" s="3">
        <f>299+(340.3-26.4)+(-0.30498+(-0.347106--0.026928))+0-135.3--0.138006000000022</f>
        <v>477.11284800000004</v>
      </c>
      <c r="Y230" s="3">
        <f>317+(300.9-30.8)+(-0.32334+(-0.306918--0.031416))+0-123.7--0.12617400000002</f>
        <v>462.92733199999992</v>
      </c>
      <c r="Z230" s="3">
        <f>290+(307.1-29.1)+(-0.4437+(-0.469863--0.044523))+0-132.9--0.203337000000008</f>
        <v>434.43429700000002</v>
      </c>
      <c r="AA230" s="3">
        <f>277+(314.6-28.6)+(-0.28254+(-0.320892--0.029172))+0-133.8--0.136476000000021</f>
        <v>428.76221600000002</v>
      </c>
      <c r="AB230" s="3">
        <f>284+(335.9-68.5)+(-0.14484+(-0.171309--0.034935))+0-120--0.0611999999999878</f>
        <v>431.17998599999999</v>
      </c>
      <c r="AC230" s="3">
        <f>277+(314-61.5)+(-0.70635+(-0.8007--0.156825))+0-118.4--0.301919999999983</f>
        <v>410.051695</v>
      </c>
      <c r="AD230">
        <f t="shared" si="3"/>
        <v>9413.1997709999996</v>
      </c>
      <c r="AE230" s="3">
        <f>330+(347.5-24.2)+(0+(0-0))+0-141.1-0</f>
        <v>512.19999999999993</v>
      </c>
    </row>
    <row r="231" spans="1:31" s="2" customFormat="1" x14ac:dyDescent="0.25">
      <c r="A231">
        <v>89</v>
      </c>
      <c r="B231">
        <v>8</v>
      </c>
      <c r="C231">
        <v>15</v>
      </c>
      <c r="D231">
        <v>1</v>
      </c>
      <c r="E231">
        <v>1</v>
      </c>
      <c r="F231" s="3">
        <f>278+(257.4-61.1)+(-0.7089+(-0.65637--0.155805))+0-117.4--0.299369999999983</f>
        <v>355.98990499999996</v>
      </c>
      <c r="G231" s="3">
        <f>249+(286.3-74.3)+(-1.01592+(-1.168104--0.303144))+0-117.2--0.47817599999999</f>
        <v>342.39729599999998</v>
      </c>
      <c r="H231" s="3">
        <f>243+(267.9-53.4)+(-0.49572+(-0.546516--0.108936))+0-116.5--0.237659999999995</f>
        <v>340.30436000000003</v>
      </c>
      <c r="I231" s="3">
        <f>241+(285.6-63.1)+(0.24582+(0.291312-0.064362))+0-127.9-0.13045800000002</f>
        <v>335.94231199999996</v>
      </c>
      <c r="J231" s="3">
        <f>242+(300.6-61.2)+(-0.12342+(-0.153306--0.031212))+0-141.5--0.0721649999999856</f>
        <v>339.726651</v>
      </c>
      <c r="K231" s="3">
        <f>243+(335.2-102.4)+(-0.37179+(-0.512856--0.156672))+0-129.6--0.198288000000007</f>
        <v>345.67031399999991</v>
      </c>
      <c r="L231" s="3">
        <f>240+(465.9-199.3)+(0+(0-0))+0-120.5-0</f>
        <v>386.09999999999997</v>
      </c>
      <c r="M231" s="3">
        <f>243+(517.8-209.1)+(-0.12393+(-0.264078--0.106641))+0-118.9--0.0606389999999879</f>
        <v>432.57927199999989</v>
      </c>
      <c r="N231" s="3">
        <f>284+(539.3-227.9)+(0.14484+(0.275043-0.116229))+0-124.9-0.0636989999999873</f>
        <v>470.73995500000007</v>
      </c>
      <c r="O231" s="3">
        <f>296+(502.5-205.2)+(0.30192+(0.51255-0.209304))+0-125.7-0.12821400000002</f>
        <v>468.07695200000001</v>
      </c>
      <c r="P231" s="3">
        <f>296+(468.6-168.1)+(0+(0-0))+0-126.7-0</f>
        <v>469.8</v>
      </c>
      <c r="Q231" s="3">
        <f>286+(437-132)+(-0.43758+(-0.66861--0.20196))+0-120.4--0.184212000000007</f>
        <v>469.87998200000004</v>
      </c>
      <c r="R231" s="3">
        <f>327+(411.7-114.9)+(-1.16739+(-1.469769--0.410193))+0-115.6--0.412692000000002</f>
        <v>506.38572599999998</v>
      </c>
      <c r="S231" s="3">
        <f>336+(384-115.5)+(-0.17136+(-0.19584--0.058905))+0-125.2--0.0638519999999873</f>
        <v>479.05555699999996</v>
      </c>
      <c r="T231" s="3">
        <f>336+(401.2-154.4)+(-0.68544+(-0.818448--0.314976))+0-120.6--0.246023999999995</f>
        <v>461.25711199999995</v>
      </c>
      <c r="U231" s="3">
        <f>334+(435.4-212.9)+(0+(0-0))+0-107.9-0</f>
        <v>448.6</v>
      </c>
      <c r="V231" s="3">
        <f>364+(471.7-235.5)+(-0.18564+(-0.240567--0.120105))+0-128--0.065279999999987</f>
        <v>471.95917800000001</v>
      </c>
      <c r="W231" s="3">
        <f>352+(390-78.6)+(-0.17952+(-0.1989--0.040086))+0-126.9--0.0647189999999871</f>
        <v>536.22638499999994</v>
      </c>
      <c r="X231" s="3">
        <f>344+(393.7-57.1)+(-0.8772+(-1.003935--0.145605))+0-138.8--0.35393999999998</f>
        <v>540.41840999999977</v>
      </c>
      <c r="Y231" s="3">
        <f>345+(396.1-69.3)+(-1.0557+(-1.212066--0.212058))+0-146.5--0.448290000000017</f>
        <v>523.69258200000002</v>
      </c>
      <c r="Z231" s="3">
        <f>347+(387.5-85)+(-0.53091+(-0.592875--0.13005))+0-135--0.206550000000008</f>
        <v>513.71281499999998</v>
      </c>
      <c r="AA231" s="3">
        <f>350+(414.8-105)+(-0.5355+(-0.634644--0.16065))+0-154--0.235620000000009</f>
        <v>505.02612599999992</v>
      </c>
      <c r="AB231" s="3">
        <f>349+(458-178.7)+(-0.53397+(-0.70074--0.273411))+0-147.2--0.225216000000008</f>
        <v>480.3639169999999</v>
      </c>
      <c r="AC231" s="3">
        <f>356+(535.6-284.6)+(-0.72624+(-1.092624--0.580584))+0-144.2--0.294167999999994</f>
        <v>461.85588799999999</v>
      </c>
      <c r="AD231">
        <f t="shared" si="3"/>
        <v>10685.760695000003</v>
      </c>
      <c r="AE231" s="3">
        <f>344+(413.8-61)+(0+(0-0))+0-138.7-0</f>
        <v>558.09999999999991</v>
      </c>
    </row>
    <row r="232" spans="1:31" s="2" customFormat="1" x14ac:dyDescent="0.25">
      <c r="A232">
        <v>89</v>
      </c>
      <c r="B232">
        <v>8</v>
      </c>
      <c r="C232">
        <v>16</v>
      </c>
      <c r="D232">
        <v>2</v>
      </c>
      <c r="E232">
        <v>1</v>
      </c>
      <c r="F232" s="3">
        <f>330+(571.2-353.2)+(-0.3366+(-0.582624--0.360264))+0-135.6--0.138312000000022</f>
        <v>411.97935200000006</v>
      </c>
      <c r="G232" s="3">
        <f>330+(511-279.4)+(-0.1683+(-0.26061--0.142494))+0-144.2--0.0735419999999854</f>
        <v>417.18712599999998</v>
      </c>
      <c r="H232" s="3">
        <f>330+(461.5-233.7)+(-0.5049+(-0.706095--0.357561))+0-141--0.215730000000008</f>
        <v>416.16229599999997</v>
      </c>
      <c r="I232" s="3">
        <f>330+(465.2-250)+(-0.3366+(-0.474504--0.255))+0-140.4--0.143208000000022</f>
        <v>404.38710400000008</v>
      </c>
      <c r="J232" s="3">
        <f>330+(472.6-262.3)+(0.3366+(0.482052-0.267546))+0-137-0.139740000000022</f>
        <v>403.71136599999994</v>
      </c>
      <c r="K232" s="3">
        <f>330+(457.8-257.7)+(0.8415+(1.16739-0.657135))+0-134.8-0.34373999999998</f>
        <v>396.30801500000007</v>
      </c>
      <c r="L232" s="3">
        <f>336+(501.2-289.9)+(-0.51408+(-0.766836--0.443547))+0-124.6--0.190638000000007</f>
        <v>422.053269</v>
      </c>
      <c r="M232" s="3">
        <f>333+(453.8-208)+(-0.84915+(-1.15719--0.5304))+0-130.1--0.331754999999981</f>
        <v>447.55581499999988</v>
      </c>
      <c r="N232" s="3">
        <f>341+(444.9-193.8)+(0.52173+(0.680697-0.296514))+0-124.7-0.190791000000007</f>
        <v>468.11512199999999</v>
      </c>
      <c r="O232" s="3">
        <f>334+(490.9-207.9)+(-0.51102+(-0.751077--0.318087))+0-140.5--0.214965000000008</f>
        <v>475.77095499999996</v>
      </c>
      <c r="P232" s="3">
        <f>321+(494.1-196.9)+(-0.16371+(-0.251991--0.100419))+0-135.7--0.0692069999999862</f>
        <v>482.25392500000004</v>
      </c>
      <c r="Q232" s="3">
        <f>329+(476.4-157.4)+(-0.16779+(-0.242964--0.080274))+0-146.3--0.0746129999999852</f>
        <v>501.44413300000002</v>
      </c>
      <c r="R232" s="3">
        <f>323+(453.2-135.1)+(-0.65892+(-0.924528--0.275604))+0-136.3--0.278051999999994</f>
        <v>503.77020799999997</v>
      </c>
      <c r="S232" s="3">
        <f>324+(428.2-123.8)+(0+(0-0))+0-146-0</f>
        <v>482.4</v>
      </c>
      <c r="T232" s="3">
        <f>327+(453.7-174.2)+(0.33354+(0.462774-0.177684))+0-138.2-0.140964000000022</f>
        <v>468.77766600000007</v>
      </c>
      <c r="U232" s="3">
        <f>323+(458.9-171.4)+(-0.32946+(-0.468078--0.174828))+0-143.3--0.146166000000023</f>
        <v>466.72345600000006</v>
      </c>
      <c r="V232" s="3">
        <f>326+(464-170.6)+(-0.16626+(-0.23664--0.087006))+0-132.5--0.0675749999999866</f>
        <v>486.651681</v>
      </c>
      <c r="W232" s="3">
        <f>339+(385.5-59.3)+(-0.17289+(-0.196605--0.030243))+0-133.1--0.0678809999999865</f>
        <v>531.82862899999998</v>
      </c>
      <c r="X232" s="3">
        <f>342+(392.4-54.9)+(-0.17442+(-0.200124--0.027999))+0-133--0.0678299999999865</f>
        <v>546.22128499999997</v>
      </c>
      <c r="Y232" s="3">
        <f>346+(385.9-59.3)+(-0.8823+(-0.984045--0.151215))+0-136.1--0.34705499999998</f>
        <v>535.1319249999998</v>
      </c>
      <c r="Z232" s="3">
        <f>348+(396.4-109.4)+(-0.8874+(-1.01082--0.27897))+0-128.2--0.326909999999981</f>
        <v>505.50766000000004</v>
      </c>
      <c r="AA232" s="3">
        <f>348+(425.2-121.7)+(-0.35496+(-0.433704--0.124134))+0-151--0.154020000000024</f>
        <v>499.98948999999999</v>
      </c>
      <c r="AB232" s="3">
        <f>349+(452.2-206)+(-0.35598+(-0.461244--0.21012))+0-114.4--0.116688000000018</f>
        <v>480.30958400000003</v>
      </c>
      <c r="AC232" s="3">
        <f>340+(483.9-256.3)+(-0.867+(-1.233945--0.653565))+0-118.5--0.302174999999983</f>
        <v>447.95479499999993</v>
      </c>
      <c r="AD232">
        <f t="shared" si="3"/>
        <v>11202.194856999999</v>
      </c>
      <c r="AE232" s="3">
        <f>344+(391.8-56.8)+(0+(0-0))+0-137.9-0</f>
        <v>541.1</v>
      </c>
    </row>
    <row r="233" spans="1:31" s="2" customFormat="1" x14ac:dyDescent="0.25">
      <c r="A233">
        <v>89</v>
      </c>
      <c r="B233">
        <v>8</v>
      </c>
      <c r="C233">
        <v>17</v>
      </c>
      <c r="D233">
        <v>3</v>
      </c>
      <c r="E233">
        <v>1</v>
      </c>
      <c r="F233" s="3">
        <f>342+(485.7-272.2)+(-0.52326+(-0.743121--0.416466))+0-126.5--0.193545000000007</f>
        <v>428.34363000000002</v>
      </c>
      <c r="G233" s="3">
        <f>344+(444.4-236.1)+(-0.70176+(-0.906576--0.481644))+0-133.6--0.272543999999994</f>
        <v>417.84585199999987</v>
      </c>
      <c r="H233" s="3">
        <f>339+(444.5-243.8)+(-0.51867+(-0.680085--0.373014))+0-126.7--0.193851000000007</f>
        <v>412.36811000000006</v>
      </c>
      <c r="I233" s="3">
        <f>342+(485-285.5)+(-0.17442+(-0.24735--0.145605))+0-134.5--0.0685949999999864</f>
        <v>406.79242999999997</v>
      </c>
      <c r="J233" s="3">
        <f>346+(500.7-298.8)+(-0.17646+(-0.255357--0.152388))+0-135.9--0.0693089999999862</f>
        <v>411.78987999999993</v>
      </c>
      <c r="K233" s="3">
        <f>347+(493.3-288.2)+(0+(0-0))+0-129-0</f>
        <v>423.1</v>
      </c>
      <c r="L233" s="3">
        <f>347+(537.8-328.2)+(-0.35394+(-0.548556--0.334764))+0-126.5--0.12903000000002</f>
        <v>429.66129799999993</v>
      </c>
      <c r="M233" s="3">
        <f>342+(521.1-296.9)+(-0.52326+(-0.797283--0.454257))+0-121.6--0.186048000000007</f>
        <v>443.91976200000011</v>
      </c>
      <c r="N233" s="3">
        <f>335+(543.3-283.3)+(-0.3417+(-0.554166--0.288966))+0-127.8--0.13035600000002</f>
        <v>466.723456</v>
      </c>
      <c r="O233" s="3">
        <f>339+(542.9-263.5)+(0+(0-0))+0-145.8-0</f>
        <v>472.59999999999997</v>
      </c>
      <c r="P233" s="3">
        <f>330+(498.9-197.1)+(0+(0-0))+0-142.3-0</f>
        <v>489.49999999999994</v>
      </c>
      <c r="Q233" s="3">
        <f>321+(465.8-167)+(-0.49113+(-0.712674--0.25551))+0-132.1--0.202113000000008</f>
        <v>486.9538189999999</v>
      </c>
      <c r="R233" s="3">
        <f>322+(410.3-97.1)+(-0.8211+(-1.046265--0.247605))+0-153.9--0.392444999999978</f>
        <v>480.07268499999998</v>
      </c>
      <c r="S233" s="3">
        <f>326+(398.1-122.1)+(0.16626+(0.203031-0.062271))+0-129.3-0.0659429999999869</f>
        <v>472.94107699999995</v>
      </c>
      <c r="T233" s="3">
        <f>325+(452.6-201.3)+(-0.3315+(-0.461652--0.205326))+0-119--0.121380000000019</f>
        <v>456.83355400000005</v>
      </c>
      <c r="U233" s="3">
        <f>320+(525.5-281.4)+(0+(0-0))+0-110.9-0</f>
        <v>453.20000000000005</v>
      </c>
      <c r="V233" s="3">
        <f>331+(498.9-227.1)+(-0.16881+(-0.254439--0.115821))+0-117.8--0.0600779999999881</f>
        <v>484.75264999999996</v>
      </c>
      <c r="W233" s="3">
        <f>328+(437.3-82.5)+(0+(0-0))+0-144.3-0</f>
        <v>538.5</v>
      </c>
      <c r="X233" s="3">
        <f>347+(451.1-127.7)+(-0.35394+(-0.460122--0.130254))+0-141.3--0.144126000000023</f>
        <v>528.56031800000017</v>
      </c>
      <c r="Y233" s="3">
        <f>332+(470.3-134.5)+(-0.8466+(-1.199265--0.342975))+0-136.5--0.34807499999998</f>
        <v>529.94518499999992</v>
      </c>
      <c r="Z233" s="3">
        <f>335+(532.3-208.3)+(-0.51255+(-0.814419--0.318699))+0-137--0.209610000000008</f>
        <v>521.20133999999996</v>
      </c>
      <c r="AA233" s="3">
        <f>334+(571.3-244.5)+(-0.34068+(-0.582726--0.24939))+0-154.3--0.157386000000025</f>
        <v>505.98336999999992</v>
      </c>
      <c r="AB233" s="3">
        <f>334+(628.8-316.3)+(-0.8517+(-1.60344--0.806565))+0-154.2--0.393209999999978</f>
        <v>491.04463499999991</v>
      </c>
      <c r="AC233" s="3">
        <f>316+(738.6-456.7)+(-0.64464+(-1.506744--0.931668))+0-144.1--0.293963999999994</f>
        <v>452.87424800000014</v>
      </c>
      <c r="AD233">
        <f t="shared" si="3"/>
        <v>11205.507299000001</v>
      </c>
      <c r="AE233" s="3">
        <f>342+(503.1-132.9)+(0+(0-0))+0-151.9-0</f>
        <v>560.30000000000007</v>
      </c>
    </row>
    <row r="234" spans="1:31" s="2" customFormat="1" x14ac:dyDescent="0.25">
      <c r="A234">
        <v>89</v>
      </c>
      <c r="B234">
        <v>8</v>
      </c>
      <c r="C234">
        <v>18</v>
      </c>
      <c r="D234">
        <v>4</v>
      </c>
      <c r="E234">
        <v>1</v>
      </c>
      <c r="F234" s="3">
        <f>221+(669.7-348.7)+(-0.45084+(-1.366188--0.711348))+0-128.3--0.261731999999994</f>
        <v>412.85605199999998</v>
      </c>
      <c r="G234" s="3">
        <f>164+(682.8-297)+(0+(0-0))+0-131.2-0</f>
        <v>418.59999999999997</v>
      </c>
      <c r="H234" s="3">
        <f>160+(691.3-336.1)+(-0.0816+(-0.352563--0.171411))+0-114.1--0.0581909999999884</f>
        <v>400.8954389999999</v>
      </c>
      <c r="I234" s="3">
        <f>166+(699.4-338)+(0.16932+(0.713388-0.34476))+0-122-0.124440000000019</f>
        <v>405.81350800000001</v>
      </c>
      <c r="J234" s="3">
        <f>161+(688.4-325.5)+(0.08211+(0.351084-0.166005))+0-87-0.0443699999999912</f>
        <v>437.12281899999999</v>
      </c>
      <c r="K234" s="3">
        <f>163+(695.3-327.7)+(0+(0-0))+0-85-0</f>
        <v>445.59999999999991</v>
      </c>
      <c r="L234" s="3">
        <f>161+(713.1-330.8)+(0.08211+(0.363681-0.168708))+0-89-0.045389999999991</f>
        <v>454.5316929999999</v>
      </c>
      <c r="M234" s="3">
        <f>162+(718.4-330.2)+(0+(0-0))+0-92-0</f>
        <v>458.20000000000005</v>
      </c>
      <c r="N234" s="3">
        <f>162+(675.9-247.1)+(0.08262+(0.344709-0.126021))+0-77-0.0392699999999922</f>
        <v>514.06203799999992</v>
      </c>
      <c r="O234" s="3">
        <f>161+(674.9-253.4)+(-0.24633+(-1.032597--0.387702))+0-131.2--0.200736000000008</f>
        <v>450.60951100000005</v>
      </c>
      <c r="P234" s="3">
        <f>161+(586-166.9)+(0+(0-0))+0-126.6-0</f>
        <v>453.5</v>
      </c>
      <c r="Q234" s="3">
        <f>160+(561.9-121.9)+(-0.408+(-1.432845--0.310845))+0-134--0.341699999999981</f>
        <v>464.81170000000003</v>
      </c>
      <c r="R234" s="3">
        <f>158.9+(590.9-135.9)+(0+(0-0))+0-131.1-0</f>
        <v>482.79999999999995</v>
      </c>
      <c r="S234" s="3">
        <f>155+(513.4-70.3)+(0+(0-0))+0-134.3-0</f>
        <v>463.7999999999999</v>
      </c>
      <c r="T234" s="3">
        <f>154.2+(512.9-91.1)+(0.078642+(0.261579-0.046461))+0-125.8-0.0641579999999872</f>
        <v>450.42960200000005</v>
      </c>
      <c r="U234" s="3">
        <f>154.8+(542.4-103.6)+(0+(0-0))+0-149.5-0</f>
        <v>444.09999999999991</v>
      </c>
      <c r="V234" s="3">
        <f>153.3+(606.3-151.5)+(0.156366+(0.618426-0.15453))+0-134.4-0.137088000000021</f>
        <v>474.18317399999995</v>
      </c>
      <c r="W234" s="3">
        <f>149.8+(581.3-65.1)+(0.076398+(0.296463-0.033201))+0-140.7-0.0717569999999857</f>
        <v>525.56790300000011</v>
      </c>
      <c r="X234" s="3">
        <f>144.9+(599.4-76.6)+(-0.221697+(-0.917082--0.117198))+0-136.8--0.209304000000008</f>
        <v>530.08772299999987</v>
      </c>
      <c r="Y234" s="3">
        <f>144.1+(603-77.1)+(-0.367455+(-1.53765--0.196605))+0-153.8--0.392189999999978</f>
        <v>514.88369000000012</v>
      </c>
      <c r="Z234" s="3">
        <f>150.2+(612.6-97.1)+(-0.076602+(-0.312426--0.049521))+0-163.8--0.0835379999999834</f>
        <v>501.64403099999998</v>
      </c>
      <c r="AA234" s="3">
        <f>149.1+(636.9-139.6)+(-0.152082+(-0.649638--0.142392))+0-151.5--0.154530000000024</f>
        <v>494.39520200000004</v>
      </c>
      <c r="AB234" s="3">
        <f>151.2+(642.4-165.7)+(-0.462672+(-1.965744--0.507042))+0-159.9--0.489294000000018</f>
        <v>466.56792000000002</v>
      </c>
      <c r="AC234" s="3">
        <f>152.1+(622.6-206)+(-0.387855+(-1.58763--0.5253))+0-130.6--0.333029999999981</f>
        <v>436.982845</v>
      </c>
      <c r="AD234">
        <f t="shared" si="3"/>
        <v>11102.04485</v>
      </c>
      <c r="AE234" s="3">
        <f>150+(583.3-65.9)+(0+(0-0))+0-118.2-0</f>
        <v>549.19999999999993</v>
      </c>
    </row>
    <row r="235" spans="1:31" s="2" customFormat="1" x14ac:dyDescent="0.25">
      <c r="A235">
        <v>89</v>
      </c>
      <c r="B235">
        <v>8</v>
      </c>
      <c r="C235">
        <v>19</v>
      </c>
      <c r="D235">
        <v>5</v>
      </c>
      <c r="E235">
        <v>1</v>
      </c>
      <c r="F235" s="3">
        <f>153.4+(577.1-171.2)+(-0.234702+(-0.882963--0.261936))+0-147--0.224910000000008</f>
        <v>411.66918100000009</v>
      </c>
      <c r="G235" s="3">
        <f>154.7+(574.8-188)+(-0.157794+(-0.586296--0.19176))+0-134.8--0.137496000000022</f>
        <v>406.285166</v>
      </c>
      <c r="H235" s="3">
        <f>157.6+(582.5-205.5)+(0+(0-0))+0-137.7-0</f>
        <v>396.90000000000003</v>
      </c>
      <c r="I235" s="3">
        <f>154.8+(614.8-240.9)+(-0.315792+(-1.254192--0.491436))+0-132.4--0.270095999999994</f>
        <v>395.49154800000008</v>
      </c>
      <c r="J235" s="3">
        <f>161.5+(654.3-278.5)+(0.411825+(1.668465-0.710175))+0-140.6-0.35852999999998</f>
        <v>397.71158500000001</v>
      </c>
      <c r="K235" s="3">
        <f>155.4+(662.4-276.2)+(-0.237762+(-1.013472--0.422586))+0-143.8--0.220014000000008</f>
        <v>397.19136599999996</v>
      </c>
      <c r="L235" s="3">
        <f>154.8+(667.8-279.1)+(-0.39474+(-1.70289--0.711705))+0-139.9--0.35674499999998</f>
        <v>402.57081999999997</v>
      </c>
      <c r="M235" s="3">
        <f>156.3+(624.3-204.8)+(-0.079713+(-0.318393--0.104448))+0-143.3--0.0730829999999855</f>
        <v>432.27942499999989</v>
      </c>
      <c r="N235" s="3">
        <f>157.7+(515.9-106.2)+(0+(0-0))+0-80-0</f>
        <v>487.4</v>
      </c>
      <c r="O235" s="3">
        <f>186.2+(496.7-103)+(0+(0-0))+0-86-0</f>
        <v>493.9</v>
      </c>
      <c r="P235" s="3">
        <f>264.4+(499-186.1)+(0.134844+(0.25449-0.094911))+0-119.6-0.0609959999999879</f>
        <v>457.93342699999999</v>
      </c>
      <c r="Q235" s="3">
        <f>272+(518.1-201.5)+(-0.83232+(-1.585386--0.61659))+0-117.8--0.360468000000014</f>
        <v>469.35935200000006</v>
      </c>
      <c r="R235" s="3">
        <f>279.8+(492.6-177.8)+(-0.285396+(-0.502452--0.181356))+0-126.9--0.12943800000002</f>
        <v>467.22294600000004</v>
      </c>
      <c r="S235" s="3">
        <f>280+(453.5-150.7)+(0+(0-0))+0-130.1-0</f>
        <v>452.69999999999993</v>
      </c>
      <c r="T235" s="3">
        <f>279.9+(437.5-148.1)+(-0.285498+(-0.44625--0.151062))+0-134.5--0.137190000000021</f>
        <v>434.35650399999997</v>
      </c>
      <c r="U235" s="3">
        <f>278.5+(421.9-120.8)+(-0.426105+(-0.645507--0.184824))+0-137.5--0.210375000000008</f>
        <v>441.42358699999988</v>
      </c>
      <c r="V235" s="3">
        <f>281.2+(479.4-182.6)+(0.143412+(0.244494-0.093126))+0-128.5-0.065534999999987</f>
        <v>449.72924499999993</v>
      </c>
      <c r="W235" s="3">
        <f>282.7+(523.7-154.1)+(0.144177+(0.267087-0.078591))+0-135.3-0.0690029999999863</f>
        <v>517.26366999999993</v>
      </c>
      <c r="X235" s="3">
        <f>284.7+(539.7-152.6)+(0+(0-0))+0-137.7-0</f>
        <v>534.09999999999991</v>
      </c>
      <c r="Y235" s="3">
        <f>284.7+(578.9-194.9)+(-0.871182+(-1.771434--0.596394))+0-152.5--0.466650000000018</f>
        <v>514.62042800000017</v>
      </c>
      <c r="Z235" s="3">
        <f>286.3+(566.8-201.9)+(-0.292026+(-0.578136--0.205938))+0-146.8--0.149736000000023</f>
        <v>503.88551200000006</v>
      </c>
      <c r="AA235" s="3">
        <f>290.7+(585-243.2)+(0.148257+(0.29835-0.124032))+0-138.9-0.0708389999999859</f>
        <v>493.85173600000007</v>
      </c>
      <c r="AB235" s="3">
        <f>288.8+(609.3-284.2)+(-0.589152+(-1.242972--0.579768))+0-136.5--0.278459999999994</f>
        <v>476.42610400000001</v>
      </c>
      <c r="AC235" s="3">
        <f>289.2+(557.9-259.6)+(-0.442476+(-0.853587--0.397188))+0-141.9--0.217107000000008</f>
        <v>444.91823200000005</v>
      </c>
      <c r="AD235">
        <f t="shared" si="3"/>
        <v>10879.189834000003</v>
      </c>
      <c r="AE235" s="3">
        <f>281+(561-156.1)+(0+(0-0))+0-140.4-0</f>
        <v>545.5</v>
      </c>
    </row>
    <row r="236" spans="1:31" s="2" customFormat="1" x14ac:dyDescent="0.25">
      <c r="A236">
        <v>89</v>
      </c>
      <c r="B236">
        <v>8</v>
      </c>
      <c r="C236">
        <v>20</v>
      </c>
      <c r="D236">
        <v>6</v>
      </c>
      <c r="E236">
        <v>1</v>
      </c>
      <c r="F236" s="3">
        <f>288.1+(514.2-240.6)+(-0.293862+(-0.524484--0.245412))+0-135.3--0.138006000000022</f>
        <v>425.96507200000002</v>
      </c>
      <c r="G236" s="3">
        <f>285.7+(530.7-268)+(-0.437121+(-0.811971--0.41004))+0-144.9--0.221697000000008</f>
        <v>402.88264500000008</v>
      </c>
      <c r="H236" s="3">
        <f>281+(513.6-265.6)+(-0.42993+(-0.785808--0.406368))+0-139.2--0.212976000000008</f>
        <v>389.20360600000009</v>
      </c>
      <c r="I236" s="3">
        <f>284.7+(482.4-246.4)+(0.145197+(0.246024-0.125664))+0-134.3-0.0684929999999864</f>
        <v>386.59706399999988</v>
      </c>
      <c r="J236" s="3">
        <f>286.4+(482.2-238)+(0.438192+(0.737766-0.36414))+0-128.4-0.196452000000007</f>
        <v>402.81536599999993</v>
      </c>
      <c r="K236" s="3">
        <f>285.2+(450.3-201.2)+(0.290904+(0.459306-0.205224))+0-127.9-0.13045800000002</f>
        <v>406.81452799999994</v>
      </c>
      <c r="L236" s="3">
        <f>286.1+(357.8-88.6)+(-0.145911+(-0.182478--0.045186))+0-154.8--0.0789479999999843</f>
        <v>400.29574500000007</v>
      </c>
      <c r="M236" s="3">
        <f>290.7+(354.4-75.3)+(0.444771+(0.542232-0.115209))+0-142.2-0.217566000000008</f>
        <v>428.25422799999996</v>
      </c>
      <c r="N236" s="3">
        <f>286.4+(387-88.9)+(0.438192+(0.59211-0.136017))+0-143.8-0.220014000000008</f>
        <v>441.37427099999996</v>
      </c>
      <c r="O236" s="3">
        <f>283.5+(440.6-131)+(0.28917+(0.449412-0.13362))+0-127.6-0.13015200000002</f>
        <v>465.97480999999999</v>
      </c>
      <c r="P236" s="3">
        <f>285.4+(412.9-102.2)+(0.436662+(0.631737-0.156366))+0-124.9-0.191097000000007</f>
        <v>471.92093599999987</v>
      </c>
      <c r="Q236" s="3">
        <f>282.8+(408-88.8)+(-0.288456+(-0.41616--0.090576))+0-129.6--0.132192000000021</f>
        <v>471.91815199999996</v>
      </c>
      <c r="R236" s="3">
        <f>268.1+(397.7-57.9)+(-0.273462+(-0.405654--0.059058))+0-140.4--0.143208000000022</f>
        <v>467.02315000000016</v>
      </c>
      <c r="S236" s="3">
        <f>267.2+(372.8-39.8)+(-0.545088+(-0.760512--0.081192))+0-145.6--0.297023999999994</f>
        <v>453.672616</v>
      </c>
      <c r="T236" s="3">
        <f>266.9+(347.2-58.1)+(-0.544476+(-0.708288--0.118524))+0-130.2--0.265607999999994</f>
        <v>424.93136800000002</v>
      </c>
      <c r="U236" s="3">
        <f>264.7+(334.3-43)+(-0.404991+(-0.511479--0.06579))+0-134--0.205020000000008</f>
        <v>421.35433999999998</v>
      </c>
      <c r="V236" s="3">
        <f>265.5+(351.8-42.8)+(0.27081+(0.358836-0.043656))+0-130.6-0.133212000000021</f>
        <v>444.352778</v>
      </c>
      <c r="W236" s="3">
        <f>269.2+(398.3-46.6)+(-0.137292+(-0.203133--0.023766))+0-127.4--0.0649739999999871</f>
        <v>493.24831500000005</v>
      </c>
      <c r="X236" s="3">
        <f>271.2+(389.2-46.4)+(-0.69156+(-0.99246--0.11832))+0-127.7--0.325634999999981</f>
        <v>485.059935</v>
      </c>
      <c r="Y236" s="3">
        <f>275.7+(376.1-48.8)+(-0.421821+(-0.575433--0.074664))+0-136.7--0.209151000000008</f>
        <v>465.58656100000002</v>
      </c>
      <c r="Z236" s="3">
        <f>293.5+(354-72.5)+(-0.149685+(-0.18054--0.036975))+0-117.3--0.0598229999999881</f>
        <v>457.46657300000004</v>
      </c>
      <c r="AA236" s="3">
        <f>293+(404-72.9)+(-0.44829+(-0.61812--0.111537))+0-152.9--0.233937000000009</f>
        <v>470.47906400000005</v>
      </c>
      <c r="AB236" s="3">
        <f>294.9+(387.3-87.3)+(-0.451197+(-0.592569--0.133569))+0-147.1--0.225063000000008</f>
        <v>447.11486599999995</v>
      </c>
      <c r="AC236" s="3">
        <f>287.9+(411.9-135.9)+(-0.587316+(-0.840276--0.277236))+0-132.3--0.269891999999994</f>
        <v>430.71953599999995</v>
      </c>
      <c r="AD236">
        <f t="shared" si="3"/>
        <v>10555.025524999999</v>
      </c>
      <c r="AE236" s="3">
        <f>266+(404.9-47.2)+(0+(0-0))+0-117.3-0</f>
        <v>506.40000000000003</v>
      </c>
    </row>
    <row r="237" spans="1:31" s="2" customFormat="1" x14ac:dyDescent="0.25">
      <c r="A237">
        <v>89</v>
      </c>
      <c r="B237">
        <v>8</v>
      </c>
      <c r="C237">
        <v>21</v>
      </c>
      <c r="D237">
        <v>7</v>
      </c>
      <c r="E237">
        <v>1</v>
      </c>
      <c r="F237" s="3">
        <f>283.3+(380.9-151.8)+(-0.433449+(-0.582777--0.232254))+0-126.4--0.193392000000007</f>
        <v>385.40941999999995</v>
      </c>
      <c r="G237" s="3">
        <f>283.8+(340.4-99.3)+(-0.434214+(-0.520812--0.151929))+0-149.9--0.229347000000009</f>
        <v>374.42625000000004</v>
      </c>
      <c r="H237" s="3">
        <f>284.2+(327.1-114)+(-0.289884+(-0.333642--0.11628))+0-136.7--0.139434000000022</f>
        <v>360.23218800000001</v>
      </c>
      <c r="I237" s="3">
        <f>284.6+(325.2-125.6)+(-0.435438+(-0.497556--0.192168))+0-125.6--0.192168000000007</f>
        <v>358.05134200000003</v>
      </c>
      <c r="J237" s="3">
        <f>287.7+(320-125.3)+(-0.146727+(-0.1632--0.063903))+0-125.6--0.0640559999999873</f>
        <v>356.61803200000003</v>
      </c>
      <c r="K237" s="3">
        <f>288.3+(325.7-139.2)+(-0.147033+(-0.166107--0.070992))+0-119.4--0.0608939999999879</f>
        <v>355.21874600000001</v>
      </c>
      <c r="L237" s="3">
        <f>289.4+(321.6-130)+(-1.033158+(-1.148112--0.4641))+0-144.3--0.515151000000002</f>
        <v>335.49798099999998</v>
      </c>
      <c r="M237" s="3">
        <f>287.7+(283.5-97.6)+(0.146727+(0.144585-0.049776))+0-137.3-0.0700229999999861</f>
        <v>336.47151300000002</v>
      </c>
      <c r="N237" s="3">
        <f>281.9+(211.7-25.4)+(-0.431307+(-0.323901--0.038862))+0-138.9--0.212517000000008</f>
        <v>328.7961709999999</v>
      </c>
      <c r="O237" s="3">
        <f>281.3+(215.1-25)+(-0.286926+(-0.219402--0.0255))+0-124--0.12648000000002</f>
        <v>347.04565200000002</v>
      </c>
      <c r="P237" s="3">
        <f>274.4+(245.3-31)+(-0.139944+(-0.125103--0.01581))+0-123.8--0.0631379999999874</f>
        <v>364.71390099999996</v>
      </c>
      <c r="Q237" s="3">
        <f>267.9+(264-24)+(-0.136629+(-0.13464--0.01224))+0-145.1--0.0740009999999853</f>
        <v>362.61497200000002</v>
      </c>
      <c r="R237" s="3">
        <f>265.2+(286.2-22.4)+(-0.541008+(-0.583848--0.045696))+0-141--0.287639999999994</f>
        <v>387.20848000000001</v>
      </c>
      <c r="S237" s="3">
        <f>272.6+(261.1-21.2)+(0.556104+(0.532644-0.043248))+0-133.3-0.271931999999994</f>
        <v>379.97356799999994</v>
      </c>
      <c r="T237" s="3">
        <f>267.7+(269.6-21.5)+(-0.409581+(-0.412488--0.032895))+0-146.8--0.224604000000008</f>
        <v>368.43542999999994</v>
      </c>
      <c r="U237" s="3">
        <f>268.5+(274.3-22.3)+(-0.136935+(-0.139893--0.011373))+0-125.7--0.0641069999999872</f>
        <v>394.59865200000002</v>
      </c>
      <c r="V237" s="3">
        <f>268.5+(320.3-22.7)+(-0.136935+(-0.163353--0.011577))+0-114.6--0.0584459999999884</f>
        <v>451.26973499999997</v>
      </c>
      <c r="W237" s="3">
        <f>268.8+(397-30.7)+(-0.411264+(-0.60741--0.046971))+0-137.4--0.210222000000008</f>
        <v>496.93851899999999</v>
      </c>
      <c r="X237" s="3">
        <f>266.5+(396.7-39.3)+(-0.951405+(-1.416219--0.140301))+0-155.1--0.553707000000002</f>
        <v>467.12638399999997</v>
      </c>
      <c r="Y237" s="3">
        <f>269.7+(407.2-54.1)+(-0.412641+(-0.623016--0.082773))+0-152.8--0.233784000000009</f>
        <v>469.28089999999992</v>
      </c>
      <c r="Z237" s="3">
        <f>272.6+(361.8-40.2)+(-0.556104+(-0.738072--0.082008))+0-135.4--0.276215999999994</f>
        <v>457.86404800000003</v>
      </c>
      <c r="AA237" s="3">
        <f>280.9+(352.5-38.8)+(-0.286518+(-0.35955--0.039576))+0-135.6--0.138312000000022</f>
        <v>458.53181999999993</v>
      </c>
      <c r="AB237" s="3">
        <f>281+(340.4-52)+(-0.42993+(-0.520812--0.07956))+0-125.9--0.192627000000007</f>
        <v>442.82144500000004</v>
      </c>
      <c r="AC237" s="3">
        <f>280.9+(381.8-109.7)+(-0.429777+(-0.584154--0.167841))+0-128.1--0.195993000000007</f>
        <v>424.24990299999996</v>
      </c>
      <c r="AD237">
        <f t="shared" si="3"/>
        <v>9463.3950519999999</v>
      </c>
      <c r="AE237" s="3">
        <f>257+(388.2-55.2)+(0+(0-0))+0-153.3-0</f>
        <v>436.7</v>
      </c>
    </row>
    <row r="238" spans="1:31" s="2" customFormat="1" x14ac:dyDescent="0.25">
      <c r="A238">
        <v>89</v>
      </c>
      <c r="B238">
        <v>8</v>
      </c>
      <c r="C238">
        <v>22</v>
      </c>
      <c r="D238">
        <v>1</v>
      </c>
      <c r="E238">
        <v>1</v>
      </c>
      <c r="F238" s="3">
        <f>270.5+(424.1-175.9)+(0.27591+(0.432582-0.179418))+0-126.3-0.12882600000002</f>
        <v>392.80024800000007</v>
      </c>
      <c r="G238" s="3">
        <f>271+(456.2-192.4)+(0+(0-0))+0-154-0</f>
        <v>380.79999999999995</v>
      </c>
      <c r="H238" s="3">
        <f>267.6+(495.4-249.5)+(0.136476+(0.252654-0.127245))+0-137.9-0.070328999999986</f>
        <v>375.79155600000007</v>
      </c>
      <c r="I238" s="3">
        <f>221.6+(507.3-216.2)+(0.226032+(0.517446-0.220524))+0-141.4-0.144228000000023</f>
        <v>371.6787260000001</v>
      </c>
      <c r="J238" s="3">
        <f>221.8+(519.2-234.3)+(0.226236+(0.529584-0.238986))+0-124.6-0.12709200000002</f>
        <v>382.48974200000004</v>
      </c>
      <c r="K238" s="3">
        <f>219.9+(530.6-225.2)+(-0.112149+(-0.270606--0.114852))+0-139.5--0.0711449999999858</f>
        <v>385.60324200000002</v>
      </c>
      <c r="L238" s="3">
        <f>219+(513.8-192.3)+(-0.33507+(-0.786114--0.294219))+0-132.6--0.202878000000008</f>
        <v>407.275913</v>
      </c>
      <c r="M238" s="3">
        <f>220.5+(510.7-152.9)+(-0.112455+(-0.260457--0.077979))+0-138.4--0.070583999999986</f>
        <v>439.67565099999996</v>
      </c>
      <c r="N238" s="3">
        <f>232.2+(461.7-101.8)+(-0.236844+(-0.470934--0.103836))+0-136.5--0.139230000000022</f>
        <v>455.13528799999995</v>
      </c>
      <c r="O238" s="3">
        <f>287.2+(453.7-143.3)+(-0.439416+(-0.694161--0.219249))+0-141--0.215730000000008</f>
        <v>455.90140199999996</v>
      </c>
      <c r="P238" s="3">
        <f>281+(426.6-116.3)+(0+(0-0))+0-127.3-0</f>
        <v>463.99999999999994</v>
      </c>
      <c r="Q238" s="3">
        <f>283.1+(441.2-107.6)+(-0.144381+(-0.225012--0.054876))+0-136.3--0.0695129999999862</f>
        <v>480.15499599999998</v>
      </c>
      <c r="R238" s="3">
        <f>281.3+(429.6-100.7)+(-0.573852+(-0.876384--0.205428))+0-146.9--0.299675999999994</f>
        <v>462.35486800000001</v>
      </c>
      <c r="S238" s="3">
        <f>281.5+(423.9-125.8)+(-0.28713+(-0.432378--0.128316))+0-118.3--0.120666000000019</f>
        <v>460.82947399999995</v>
      </c>
      <c r="T238" s="3">
        <f>281.8+(406.2-123)+(-0.143718+(-0.207162--0.06273))+0-116.9--0.0596189999999881</f>
        <v>447.87146900000005</v>
      </c>
      <c r="U238" s="3">
        <f>281.6+(476.4-176.5)+(0.143616+(0.242964-0.090015))+0-125.1-0.0638009999999873</f>
        <v>456.63276399999995</v>
      </c>
      <c r="V238" s="3">
        <f>279.9+(484-162.1)+(0.285498+(0.49368-0.165342))+0-136.8-0.139536000000022</f>
        <v>465.47429999999991</v>
      </c>
      <c r="W238" s="3">
        <f>277+(472.2-86.4)+(0+(0-0))+0-134.8-0</f>
        <v>528</v>
      </c>
      <c r="X238" s="3">
        <f>276.5+(453.7-70)+(-0.141015+(-0.231387--0.0357))+0-140.2--0.0715019999999858</f>
        <v>519.73480000000018</v>
      </c>
      <c r="Y238" s="3">
        <f>274.2+(464-83.6)+(-0.559368+(-0.94656--0.170544))+0-146.8--0.299471999999994</f>
        <v>506.7640879999999</v>
      </c>
      <c r="Z238" s="3">
        <f>279.9+(464.4-114.9)+(-0.142749+(-0.236844--0.058599))+0-126--0.0642599999999872</f>
        <v>503.14326599999993</v>
      </c>
      <c r="AA238" s="3">
        <f>277.3+(511.6-143.9)+(-0.424269+(-0.782748--0.220167))+0-146.8--0.224604000000008</f>
        <v>497.43775399999998</v>
      </c>
      <c r="AB238" s="3">
        <f>274.6+(549-217.2)+(-0.70023+(-1.39995--0.55386))+0-128.2--0.326909999999981</f>
        <v>476.98059000000006</v>
      </c>
      <c r="AC238" s="3">
        <f>275.2+(456.2-164.5)+(-0.70176+(-1.16331--0.419475))+0-129.5--0.330224999999981</f>
        <v>436.28462999999994</v>
      </c>
      <c r="AD238">
        <f t="shared" si="3"/>
        <v>10752.814767</v>
      </c>
      <c r="AE238" s="3">
        <f>283+(467-62)+(0+(0-0))+0-150.7-0</f>
        <v>537.29999999999995</v>
      </c>
    </row>
    <row r="239" spans="1:31" s="2" customFormat="1" x14ac:dyDescent="0.25">
      <c r="A239">
        <v>89</v>
      </c>
      <c r="B239">
        <v>8</v>
      </c>
      <c r="C239">
        <v>23</v>
      </c>
      <c r="D239">
        <v>2</v>
      </c>
      <c r="E239">
        <v>1</v>
      </c>
      <c r="F239" s="3">
        <f>270.7+(461.3-197.8)+(-0.552228+(-0.941052--0.403512))+0-119.9--0.244595999999995</f>
        <v>413.45482800000002</v>
      </c>
      <c r="G239" s="3">
        <f>250.9+(494.5-199)+(-0.639795+(-1.260975--0.50745))+0-140.5--0.35827499999998</f>
        <v>404.86495499999995</v>
      </c>
      <c r="H239" s="3">
        <f>214.3+(535.5-201.9)+(-0.109293+(-0.273105--0.102969))+0-148.6--0.0757859999999849</f>
        <v>399.09635700000001</v>
      </c>
      <c r="I239" s="3">
        <f>213.7+(543.7-221.1)+(-0.217974+(-0.554574--0.225522))+0-138.3--0.141066000000022</f>
        <v>397.59404000000001</v>
      </c>
      <c r="J239" s="3">
        <f>213.7+(551-229.8)+(-0.217974+(-0.56202--0.234396))+0-136--0.138720000000022</f>
        <v>398.49312199999997</v>
      </c>
      <c r="K239" s="3">
        <f>217.7+(555.4-239)+(0.333081+(0.849762-0.36567))+0-130.7-0.199971000000008</f>
        <v>404.01720199999994</v>
      </c>
      <c r="L239" s="3">
        <f>214.6+(545.8-223.1)+(0+(0-0))+0-134.5-0</f>
        <v>402.79999999999995</v>
      </c>
      <c r="M239" s="3">
        <f>216.3+(495.2-160)+(0.110313+(0.252552-0.0816))+0-119.5-0.0609449999999879</f>
        <v>432.22031999999996</v>
      </c>
      <c r="N239" s="3">
        <f>219.7+(482.3-122)+(-0.448188+(-0.983892--0.24888))+0-125.9--0.256835999999995</f>
        <v>453.17363599999999</v>
      </c>
      <c r="O239" s="3">
        <f>221.1+(532.7-162.5)+(0+(0-0))+0-130.2-0</f>
        <v>461.10000000000008</v>
      </c>
      <c r="P239" s="3">
        <f>230.3+(492-112.4)+(-0.117453+(-0.25092--0.057324))+0-129.2--0.0658919999999869</f>
        <v>480.45484300000004</v>
      </c>
      <c r="Q239" s="3">
        <f>382.6+(393.7-155.1)+(-0.585378+(-0.602361--0.237303))+0-151.2--0.231336000000009</f>
        <v>469.28090000000009</v>
      </c>
      <c r="R239" s="3">
        <f>379.5+(292.3-71.4)+(-0.77418+(-0.596292--0.145656))+0-129.3--0.263771999999994</f>
        <v>470.13895599999995</v>
      </c>
      <c r="S239" s="3">
        <f>341+(288.8-53.6)+(-0.34782+(-0.294576--0.054672))+0-131.1--0.133722000000021</f>
        <v>444.64599800000008</v>
      </c>
      <c r="T239" s="3">
        <f>340.3+(305.4-59)+(-0.173553+(-0.155754--0.03009))+0-155.8--0.0794579999999842</f>
        <v>430.68024100000002</v>
      </c>
      <c r="U239" s="3">
        <f>340+(330.7-81.2)+(-0.3468+(-0.337314--0.082824))+0-134.5--0.137190000000021</f>
        <v>454.53590000000008</v>
      </c>
      <c r="V239" s="3">
        <f>342.1+(430-144)+(0+(0-0))+0-153.8-0</f>
        <v>474.3</v>
      </c>
      <c r="W239" s="3">
        <f>395.6+(363.9-69.2)+(0.605268+(0.556767-0.105876))+0-156.4-0.239292000000009</f>
        <v>534.71686699999998</v>
      </c>
      <c r="X239" s="3">
        <f>420.2+(340.6-76.4)+(-0.857208+(-0.694824--0.155856))+0-131.1--0.267443999999994</f>
        <v>552.17126800000005</v>
      </c>
      <c r="Y239" s="3">
        <f>407.3+(376.2-95.9)+(-1.038615+(-0.95931--0.244545))+0-157.7--0.402134999999977</f>
        <v>528.54875499999991</v>
      </c>
      <c r="Z239" s="3">
        <f>378.2+(414.9-151.2)+(-0.385764+(-0.423198--0.154224))+0-135.2--0.137904000000022</f>
        <v>506.18316600000009</v>
      </c>
      <c r="AA239" s="3">
        <f>381.1+(456.6-233.1)+(-0.583083+(-0.698598--0.356643))+0-102.5--0.156825000000006</f>
        <v>501.33178700000008</v>
      </c>
      <c r="AB239" s="3">
        <f>378.6+(529.6-328.3)+(-0.772344+(-1.080384--0.669732))+0-108.4--0.221135999999995</f>
        <v>470.53814000000011</v>
      </c>
      <c r="AC239" s="3">
        <f>377.9+(497-313.8)+(-0.963645+(-1.26735--0.80019))+0-109.9--0.280244999999984</f>
        <v>450.04943999999995</v>
      </c>
      <c r="AD239">
        <f t="shared" si="3"/>
        <v>10934.390721000002</v>
      </c>
      <c r="AE239" s="3">
        <f>414+(330.1-72.6)+(0+(0-0))+0-126.3-0</f>
        <v>545.20000000000005</v>
      </c>
    </row>
    <row r="240" spans="1:31" s="2" customFormat="1" x14ac:dyDescent="0.25">
      <c r="A240">
        <v>89</v>
      </c>
      <c r="B240">
        <v>8</v>
      </c>
      <c r="C240">
        <v>24</v>
      </c>
      <c r="D240">
        <v>3</v>
      </c>
      <c r="E240">
        <v>1</v>
      </c>
      <c r="F240" s="3">
        <f>337+(417.8-261)+(-0.85935+(-1.06539--0.66555))+0-94.9--0.241994999999986</f>
        <v>397.88280499999996</v>
      </c>
      <c r="G240" s="3">
        <f>336.8+(450.8-298.2)+(-0.687072+(-0.919632--0.608328))+0-91.8--0.187271999999996</f>
        <v>396.78889600000002</v>
      </c>
      <c r="H240" s="3">
        <f>293+(496.8-280.3)+(-0.44829+(-0.760104--0.428859))+0-113.4--0.173502000000007</f>
        <v>395.493967</v>
      </c>
      <c r="I240" s="3">
        <f>288.3+(521.5-273.8)+(0+(0-0))+0-141.4-0</f>
        <v>394.6</v>
      </c>
      <c r="J240" s="3">
        <f>287.8+(527.6-265)+(-0.146778+(-0.269076--0.13515))+0-155.7--0.0794069999999842</f>
        <v>394.49870300000009</v>
      </c>
      <c r="K240" s="3">
        <f>292.2+(533.1-296)+(0.447066+(0.815643-0.45288))+0-125.3-0.191709000000007</f>
        <v>404.61811999999998</v>
      </c>
      <c r="L240" s="3">
        <f>287.9+(564.7-304.3)+(-0.146829+(-0.287997--0.155193))+0-124.3--0.0633929999999874</f>
        <v>423.78375999999992</v>
      </c>
      <c r="M240" s="3">
        <f>286.9+(565-277.9)+(-0.292638+(-0.5763--0.283458))+0-122.1--0.124542000000019</f>
        <v>451.43906200000004</v>
      </c>
      <c r="N240" s="3">
        <f>353.7+(498-229.5)+(-0.180387+(-0.25398--0.117045))+0-129.5--0.0660449999999869</f>
        <v>492.44872300000003</v>
      </c>
      <c r="O240" s="3">
        <f>397.9+(433.9-206.7)+(-0.202929+(-0.221289--0.105417))+0-145.4--0.0741539999999853</f>
        <v>479.45535299999989</v>
      </c>
      <c r="P240" s="3">
        <f>405.5+(451.2-222.8)+(-0.41361+(-0.460224--0.227256))+0-140.8--0.143616000000022</f>
        <v>492.597038</v>
      </c>
      <c r="Q240" s="3">
        <f>438.5+(433-213)+(-0.89454+(-0.88332--0.43452))+0-158.5--0.323339999999993</f>
        <v>498.97999999999996</v>
      </c>
      <c r="R240" s="3">
        <f>485.1+(405.4-217.1)+(-1.237005+(-1.03377--0.553605))+0-149.2--0.380459999999978</f>
        <v>522.86328999999989</v>
      </c>
      <c r="S240" s="3">
        <f>523+(329-203)+(-0.26673+(-0.16779--0.10353))+0-131.3--0.0669629999999867</f>
        <v>517.43597299999988</v>
      </c>
      <c r="T240" s="3">
        <f>533.9+(351.3-229.4)+(-0.544578+(-0.358326--0.233988))+0-154.2--0.157284000000025</f>
        <v>501.088368</v>
      </c>
      <c r="U240" s="3">
        <f>531.5+(369.5-278.3)+(-0.271065+(-0.188445--0.141933))+0-148.8--0.0758879999999849</f>
        <v>473.65831099999997</v>
      </c>
      <c r="V240" s="3">
        <f>546+(391.1-316.4)+(0+(0-0))+0-150.4-0</f>
        <v>470.30000000000007</v>
      </c>
      <c r="W240" s="3">
        <f>572.1+(349.4-229.5)+(-0.875313+(-0.534582--0.351135))+0-144.6--0.221238000000008</f>
        <v>546.56247799999994</v>
      </c>
      <c r="X240" s="3">
        <f>577+(348-230.1)+(-1.47135+(-0.8874--0.586755))+0-140.5--0.35827499999998</f>
        <v>552.98627999999997</v>
      </c>
      <c r="Y240" s="3">
        <f>577.4+(375.9-274.6)+(-1.766844+(-1.150254--0.840276))+0-139.5--0.426870000000016</f>
        <v>537.55004799999995</v>
      </c>
      <c r="Z240" s="3">
        <f>494.5+(395.9-217.9)+(-0.756585+(-0.605727--0.333387))+0-140.6--0.215118000000008</f>
        <v>531.08619299999998</v>
      </c>
      <c r="AA240" s="3">
        <f>363.6+(444.9-159)+(-0.92718+(-1.134495--0.40545))+0-143.7--0.366434999999979</f>
        <v>504.51021000000003</v>
      </c>
      <c r="AB240" s="3">
        <f>306.8+(536.5-210)+(-0.625872+(-1.09446--0.4284))+0-149.1--0.304163999999994</f>
        <v>483.21223199999997</v>
      </c>
      <c r="AC240" s="3">
        <f>299.8+(507.7-203.2)+(-0.76449+(-1.294635--0.51816))+0-149.1--0.380204999999978</f>
        <v>454.03923999999989</v>
      </c>
      <c r="AD240">
        <f t="shared" si="3"/>
        <v>11317.879049999998</v>
      </c>
      <c r="AE240" s="3">
        <f>582+(345.5-221.2)+(0+(0-0))+0-176.7-0</f>
        <v>529.59999999999991</v>
      </c>
    </row>
    <row r="241" spans="1:31" s="2" customFormat="1" x14ac:dyDescent="0.25">
      <c r="A241">
        <v>89</v>
      </c>
      <c r="B241">
        <v>8</v>
      </c>
      <c r="C241">
        <v>25</v>
      </c>
      <c r="D241">
        <v>4</v>
      </c>
      <c r="E241">
        <v>1</v>
      </c>
      <c r="F241" s="3">
        <f>301+(467.8-185.2)+(-0.76755+(-1.19289--0.47226))+0-143.4--0.365669999999979</f>
        <v>439.07749000000007</v>
      </c>
      <c r="G241" s="3">
        <f>299.7+(493.9-228.2)+(-0.152847+(-0.251889--0.116382))+0-158.9--0.0810389999999839</f>
        <v>406.29268499999995</v>
      </c>
      <c r="H241" s="3">
        <f>303.7+(503.6-252.5)+(-0.774435+(-1.28418--0.643875))+0-141.7--0.361334999999979</f>
        <v>412.04659499999991</v>
      </c>
      <c r="I241" s="3">
        <f>252.2+(549.6-233.1)+(0.257244+(0.560592-0.237762))+0-154.4-0.157488000000025</f>
        <v>414.72258600000004</v>
      </c>
      <c r="J241" s="3">
        <f>250.9+(538.5-228.2)+(0+(0-0))+0-149.2-0</f>
        <v>412.00000000000006</v>
      </c>
      <c r="K241" s="3">
        <f>250.2+(525.3-210.1)+(-0.127602+(-0.267903--0.107151))+0-150.8--0.0769079999999847</f>
        <v>414.38855399999983</v>
      </c>
      <c r="L241" s="3">
        <f>251.4+(491.4-189.7)+(0.128214+(0.250614-0.096747))+0-134.1-0.0683909999999864</f>
        <v>419.21368999999999</v>
      </c>
      <c r="M241" s="3">
        <f>275.8+(482.5-160.1)+(0.140658+(0.246075-0.081651))+0-161.4-0.0823139999999836</f>
        <v>437.02276800000004</v>
      </c>
      <c r="N241" s="3">
        <f>306.3+(456.8-174.3)+(0.468639+(0.698904-0.266679))+0-140.7-0.215271000000008</f>
        <v>448.78559299999989</v>
      </c>
      <c r="O241" s="3">
        <f>301.6+(472.4-183.9)+(-0.461448+(-0.722772--0.281367))+0-129.3--0.197829000000007</f>
        <v>460.09497599999997</v>
      </c>
      <c r="P241" s="3">
        <f>306.3+(449.3-137.9)+(0+(0-0))+0-147.7-0</f>
        <v>470.00000000000006</v>
      </c>
      <c r="Q241" s="3">
        <f>303.1+(436.3-115.4)+(-0.463743+(-0.667539--0.176562))+0-143.2--0.219096000000008</f>
        <v>480.0643760000001</v>
      </c>
      <c r="R241" s="3">
        <f>322.8+(391.3-104.2)+(-0.658512+(-0.798252--0.212568))+0-141--0.287639999999994</f>
        <v>467.94344400000011</v>
      </c>
      <c r="S241" s="3">
        <f>324.6+(343.3-67.8)+(-0.165546+(-0.175083--0.034578))+0-152.6--0.0778259999999845</f>
        <v>447.27177499999993</v>
      </c>
      <c r="T241" s="3">
        <f>319.8+(310.5-82.2)+(-0.489294+(-0.475065--0.125766))+0-121--0.185130000000007</f>
        <v>426.44653700000009</v>
      </c>
      <c r="U241" s="3">
        <f>314+(309.1-94.2)+(-0.8007+(-0.788205--0.24021))+0-116--0.295799999999983</f>
        <v>411.84710500000006</v>
      </c>
      <c r="V241" s="3">
        <f>315.2+(330.4-64.1)+(-0.643008+(-0.674016--0.130764))+0-134.5--0.274379999999994</f>
        <v>446.08812000000006</v>
      </c>
      <c r="W241" s="3">
        <f>328.1+(373.2-52.6)+(0+(0-0))+0-147.4-0</f>
        <v>501.30000000000007</v>
      </c>
      <c r="X241" s="3">
        <f>395.4+(320.3-65.9)+(-0.806616+(-0.653412--0.134436))+0-139.6--0.284783999999994</f>
        <v>509.1591919999999</v>
      </c>
      <c r="Y241" s="3">
        <f>447.7+(292.6-94.5)+(-1.369962+(-0.895356--0.28917))+0-136.5--0.417690000000016</f>
        <v>507.74154199999998</v>
      </c>
      <c r="Z241" s="3">
        <f>454.8+(302.1-127.5)+(-0.463896+(-0.308142--0.13005))+0-146.8--0.149736000000023</f>
        <v>482.10774800000013</v>
      </c>
      <c r="AA241" s="3">
        <f>452.1+(347.7-166.5)+(-0.691713+(-0.531981--0.254745))+0-145.3--0.222309000000008</f>
        <v>487.25335999999999</v>
      </c>
      <c r="AB241" s="3">
        <f>436.4+(393.1-234.6)+(-1.11282+(-1.002405--0.59823))+0-138.8--0.35393999999998</f>
        <v>454.93694499999998</v>
      </c>
      <c r="AC241" s="3">
        <f>252.9+(487.2-172.7)+(0+(0-0))+0-131.1-0</f>
        <v>436.29999999999995</v>
      </c>
      <c r="AD241">
        <f t="shared" si="3"/>
        <v>10792.105081</v>
      </c>
      <c r="AE241" s="3">
        <f>328+(357.5-57.1)+(0+(0-0))+0-121.1-0</f>
        <v>507.29999999999995</v>
      </c>
    </row>
    <row r="242" spans="1:31" s="2" customFormat="1" x14ac:dyDescent="0.25">
      <c r="A242">
        <v>89</v>
      </c>
      <c r="B242">
        <v>8</v>
      </c>
      <c r="C242">
        <v>26</v>
      </c>
      <c r="D242">
        <v>5</v>
      </c>
      <c r="E242">
        <v>3</v>
      </c>
      <c r="F242" s="3">
        <f>164.5+(559.1-194.6)+(-0.33558+(-1.140564--0.396984))+0-117.6--0.239903999999995</f>
        <v>410.56074399999994</v>
      </c>
      <c r="G242" s="3">
        <f>166.4+(615.6-232.6)+(0+(0-0))+0-139.1-0</f>
        <v>410.29999999999995</v>
      </c>
      <c r="H242" s="3">
        <f>166+(677.9-290.8)+(-0.4233+(-1.728645--0.74154))+0-148.4--0.378419999999979</f>
        <v>403.66801499999997</v>
      </c>
      <c r="I242" s="3">
        <f>164.8+(671.1-284.1)+(-0.336192+(-1.369044--0.579564))+0-155--0.316199999999993</f>
        <v>395.99052799999993</v>
      </c>
      <c r="J242" s="3">
        <f>157.7+(563.2-170.5)+(0.241281+(0.861696-0.260865))+0-158-0.241740000000009</f>
        <v>393.00037200000014</v>
      </c>
      <c r="K242" s="3">
        <f>155.1+(547.8-154.1)+(-0.079101+(-0.279378--0.078591))+0-157.6--0.080375999999984</f>
        <v>391.0004879999999</v>
      </c>
      <c r="L242" s="3">
        <f>161.3+(485.9-141.3)+(0.082263+(0.247809-0.072063))+0-154.2-0.0786419999999843</f>
        <v>351.879367</v>
      </c>
      <c r="M242" s="3">
        <f>166.3+(435-126)+(-0.169626+(-0.4437--0.12852))+0-136.4--0.139128000000022</f>
        <v>338.55432200000007</v>
      </c>
      <c r="N242" s="3">
        <f>166.9+(476-136.6)+(0+(0-0))+0-159.9-0</f>
        <v>346.4</v>
      </c>
      <c r="O242" s="3">
        <f>164.8+(453-128.4)+(-0.336192+(-0.92412--0.261936))+0-137--0.279479999999994</f>
        <v>351.681104</v>
      </c>
      <c r="P242" s="3">
        <f>164+(439.2-124.9)+(-0.25092+(-0.671976--0.191097))+0-118.2--0.180846000000007</f>
        <v>359.54904699999997</v>
      </c>
      <c r="Q242" s="3">
        <f>163.1+(435-108.9)+(-0.332724+(-0.8874--0.222156))+0-135.1--0.275603999999994</f>
        <v>353.377636</v>
      </c>
      <c r="R242" s="3">
        <f>162.6+(445.2-113)+(-0.165852+(-0.454104--0.11526))+0-140.1--0.142902000000022</f>
        <v>354.33820600000001</v>
      </c>
      <c r="S242" s="3">
        <f>161.8+(430.2-102.9)+(-0.165036+(-0.438804--0.104958))+0-144.2--0.147084000000023</f>
        <v>344.548202</v>
      </c>
      <c r="T242" s="3">
        <f>161.3+(441.7-119.6)+(-0.082263+(-0.225267--0.060996))+0-146.5--0.0747149999999851</f>
        <v>336.72818100000001</v>
      </c>
      <c r="U242" s="3">
        <f>162+(430.6-106.8)+(-0.08262+(-0.219606--0.054468))+0-144.4--0.0736439999999854</f>
        <v>341.225886</v>
      </c>
      <c r="V242" s="3">
        <f>161.5+(422.5-77.7)+(-0.32946+(-0.8619--0.158508))+0-140.1--0.285803999999994</f>
        <v>365.45295199999998</v>
      </c>
      <c r="W242" s="3">
        <f>163+(433.8-32.1)+(-0.24939+(-0.663714--0.049113))+0-144.3--0.220779000000008</f>
        <v>419.75678799999997</v>
      </c>
      <c r="X242" s="3">
        <f>165.3+(449.1-44.3)+(-0.421515+(-1.145205--0.112965))+0-146.4--0.373319999999979</f>
        <v>422.61956500000002</v>
      </c>
      <c r="Y242" s="3">
        <f>165.9+(442.1-43.4)+(-0.169218+(-0.450942--0.044268))+0-146.1--0.149022000000023</f>
        <v>418.07313000000005</v>
      </c>
      <c r="Z242" s="3">
        <f>207+(452.1-87.5)+(-0.21114+(-0.461142--0.08925))+0-153.7--0.156774000000025</f>
        <v>417.47374200000007</v>
      </c>
      <c r="AA242" s="3">
        <f>162.5+(489.1-84.7)+(-0.3315+(-0.997764--0.172788))+0-148.8--0.303551999999994</f>
        <v>417.24707600000005</v>
      </c>
      <c r="AB242" s="3">
        <f>160.9+(500.4-112.6)+(-0.410295+(-1.27602--0.28713))+0-145.2--0.370259999999979</f>
        <v>402.47107499999993</v>
      </c>
      <c r="AC242" s="3">
        <f>161.7+(488.4-124.8)+(-0.329868+(-0.996336--0.254592))+0-130.7--0.266627999999994</f>
        <v>393.79501599999998</v>
      </c>
      <c r="AD242">
        <f t="shared" si="3"/>
        <v>9139.6914419999994</v>
      </c>
      <c r="AE242" s="3">
        <f>161+(452.1-58.9)+(0+(0-0))+0-156.6-0</f>
        <v>397.6</v>
      </c>
    </row>
    <row r="243" spans="1:31" s="2" customFormat="1" x14ac:dyDescent="0.25">
      <c r="A243">
        <v>89</v>
      </c>
      <c r="B243">
        <v>8</v>
      </c>
      <c r="C243">
        <v>27</v>
      </c>
      <c r="D243">
        <v>6</v>
      </c>
      <c r="E243">
        <v>6</v>
      </c>
      <c r="F243" s="3">
        <f>162.7+(436.5-94.4)+(-0.414885+(-1.113075--0.24072))+0-132.7--0.338384999999981</f>
        <v>371.15114499999999</v>
      </c>
      <c r="G243" s="3">
        <f>163.8+(450.1-118.2)+(-0.334152+(-0.918204--0.241128))+0-135.4--0.276215999999994</f>
        <v>359.56498799999997</v>
      </c>
      <c r="H243" s="3">
        <f>159.1+(451.5-111.3)+(-0.324564+(-0.92106--0.227052))+0-142.3--0.290291999999994</f>
        <v>356.27171999999996</v>
      </c>
      <c r="I243" s="3">
        <f>128.9+(438.4-77.1)+(0.131478+(0.447168-0.078642))+0-143.8-0.146676000000023</f>
        <v>346.7533279999999</v>
      </c>
      <c r="J243" s="3">
        <f>164.6+(416.3-91.3)+(-0.251838+(-0.636939--0.139689))+0-141.5--0.216495000000008</f>
        <v>347.56740700000006</v>
      </c>
      <c r="K243" s="3">
        <f>185.1+(396.3-91.7)+(-0.094401+(-0.202113--0.046767))+0-141.8--0.0723179999999856</f>
        <v>347.72257100000002</v>
      </c>
      <c r="L243" s="3">
        <f>184.1+(386.4-96.2)+(-0.563346+(-1.182384--0.294372))+0-132.8--0.406368000000015</f>
        <v>340.45500999999996</v>
      </c>
      <c r="M243" s="3">
        <f>184.3+(363.8-39.9)+(0+(0-0))+0-140.3-0</f>
        <v>367.90000000000003</v>
      </c>
      <c r="N243" s="3">
        <f>142.3+(405.3-23.2)+(-0.145146+(-0.413406--0.023664))+0-135.9--0.138618000000022</f>
        <v>388.1037300000001</v>
      </c>
      <c r="O243" s="3">
        <f>161.7+(412.7-24.4)+(0.164934+(0.420954-0.024888))+0-146.1-0.149022000000023</f>
        <v>404.31197800000001</v>
      </c>
      <c r="P243" s="3">
        <f>278.9+(315.1-45.1)+(-0.568956+(-0.642804--0.092004))+0-136.2--0.277847999999994</f>
        <v>411.85809199999994</v>
      </c>
      <c r="Q243" s="3">
        <f>331.5+(240.3-48.9)+(-0.67626+(-0.490212--0.099756))+0-121.3--0.247451999999995</f>
        <v>400.78073599999993</v>
      </c>
      <c r="R243" s="3">
        <f>334.4+(231.5-33.6)+(-0.511632+(-0.354195--0.051408))+0-131.1--0.200583000000008</f>
        <v>400.58616399999988</v>
      </c>
      <c r="S243" s="3">
        <f>333.6+(235.9-33.4)+(-0.510408+(-0.360927--0.051102))+0-138.6--0.212058000000008</f>
        <v>396.89182499999998</v>
      </c>
      <c r="T243" s="3">
        <f>334.9+(230.6-36)+(0.170799+(0.117606-0.01836))+0-146.3-0.0746129999999852</f>
        <v>383.39543199999997</v>
      </c>
      <c r="U243" s="3">
        <f>329.2+(228.8-40.2)+(0.167892+(0.116688-0.020502))+0-134.4-0.0685439999999864</f>
        <v>383.59553400000004</v>
      </c>
      <c r="V243" s="3">
        <f>329+(229.6-34)+(0+(0-0))+0-119.3-0</f>
        <v>405.3</v>
      </c>
      <c r="W243" s="3">
        <f>329.9+(310.4-38.2)+(0+(0-0))+0-141.1-0</f>
        <v>460.99999999999989</v>
      </c>
      <c r="X243" s="3">
        <f>327.1+(323.3-36.9)+(-0.500463+(-0.494649--0.056457))+0-154.9--0.236997000000009</f>
        <v>457.89834200000001</v>
      </c>
      <c r="Y243" s="3">
        <f>327.9+(319.6-39.6)+(-0.334458+(-0.325992--0.040392))+0-148.4--0.151368000000024</f>
        <v>459.03131000000008</v>
      </c>
      <c r="Z243" s="3">
        <f>330.2+(337.1-57.4)+(-0.168402+(-0.171921--0.029274))+0-155.4--0.0792539999999842</f>
        <v>454.26820500000008</v>
      </c>
      <c r="AA243" s="3">
        <f>328.7+(364.4-89.9)+(-0.167637+(-0.185844--0.045849))+0-157--0.0800699999999841</f>
        <v>445.97243800000001</v>
      </c>
      <c r="AB243" s="3">
        <f>325.7+(375.1-108.3)+(-0.498321+(-0.573903--0.165699))+0-162.5--0.248625000000009</f>
        <v>429.34210000000002</v>
      </c>
      <c r="AC243" s="3">
        <f>327.2+(350.2-116.9)+(-0.333744+(-0.357204--0.119238))+0-148.6--0.151572000000024</f>
        <v>411.47986199999997</v>
      </c>
      <c r="AD243">
        <f t="shared" si="3"/>
        <v>9531.2019170000021</v>
      </c>
      <c r="AE243" s="3">
        <f>335+(314.1-37.3)+(0+(0-0))+0-162-0</f>
        <v>449.79999999999995</v>
      </c>
    </row>
    <row r="244" spans="1:31" s="2" customFormat="1" x14ac:dyDescent="0.25">
      <c r="A244">
        <v>89</v>
      </c>
      <c r="B244">
        <v>8</v>
      </c>
      <c r="C244">
        <v>28</v>
      </c>
      <c r="D244">
        <v>7</v>
      </c>
      <c r="E244">
        <v>1</v>
      </c>
      <c r="F244" s="3">
        <f>328.8+(359.3-147.6)+(-0.670752+(-0.732972--0.301104))+0-144.6--0.294983999999994</f>
        <v>395.09236399999998</v>
      </c>
      <c r="G244" s="3">
        <f>325.8+(339.5-133.5)+(-0.83079+(-0.865725--0.340425))+0-150.6--0.384029999999978</f>
        <v>380.22793999999993</v>
      </c>
      <c r="H244" s="3">
        <f>326.9+(344.4-145.7)+(-0.833595+(-0.87822--0.371535))+0-147--0.374849999999979</f>
        <v>377.63456999999988</v>
      </c>
      <c r="I244" s="3">
        <f>331.6+(354.1-167.3)+(-0.169116+(-0.180591--0.085323))+0-149.4--0.0761939999999848</f>
        <v>368.81181000000015</v>
      </c>
      <c r="J244" s="3">
        <f>336.8+(359.8-189.2)+(0.343536+(0.366996-0.192984))+0-141-0.143820000000022</f>
        <v>366.77372800000001</v>
      </c>
      <c r="K244" s="3">
        <f>332+(326.1-164)+(-0.16932+(-0.166311--0.08364))+0-124--0.0632399999999874</f>
        <v>369.91124900000005</v>
      </c>
      <c r="L244" s="3">
        <f>328.1+(311.2-151.8)+(-0.669324+(-0.634848--0.309672))+0-131.1--0.267443999999994</f>
        <v>355.67294399999997</v>
      </c>
      <c r="M244" s="3">
        <f>335.2+(278.2-137.8)+(0.512856+(0.425646-0.210834))+0-122.4-0.187272000000007</f>
        <v>353.74039599999992</v>
      </c>
      <c r="N244" s="3">
        <f>332.9+(222.2-72.1)+(0+(0-0))+0-121.4-0</f>
        <v>361.6</v>
      </c>
      <c r="O244" s="3">
        <f>339.7+(192.4-38.3)+(-0.173247+(-0.098124--0.019533))+0-123.6--0.0630359999999875</f>
        <v>370.01119800000004</v>
      </c>
      <c r="P244" s="3">
        <f>340.1+(210.1-45.4)+(0.173451+(0.107151-0.023154))+0-124.6-0.0635459999999874</f>
        <v>380.39390200000003</v>
      </c>
      <c r="Q244" s="3">
        <f>338+(225.6-44.4)+(0.17238+(0.115056-0.022644))+0-136.2-0.0694619999999862</f>
        <v>383.19533000000013</v>
      </c>
      <c r="R244" s="3">
        <f>327.2+(244.3-38.7)+(-0.83436+(-0.622965--0.098685))+0-150.9--0.384794999999978</f>
        <v>380.92615499999994</v>
      </c>
      <c r="S244" s="3">
        <f>325.5+(235.7-36.2)+(-0.498015+(-0.360621--0.055386))+0-152.5--0.233325000000009</f>
        <v>371.93007499999999</v>
      </c>
      <c r="T244" s="3">
        <f>332+(226.3-44.9)+(0.16932+(0.115413-0.022899))+0-151.2-0.0771119999999847</f>
        <v>362.38472200000001</v>
      </c>
      <c r="U244" s="3">
        <f>325.7+(229.3-40.4)+(-0.664428+(-0.467772--0.082416))+0-150.2--0.306407999999993</f>
        <v>363.65662399999997</v>
      </c>
      <c r="V244" s="3">
        <f>334.1+(243.8-43.6)+(0.170391+(0.124338-0.022236))+0-147.3-0.0751229999999851</f>
        <v>387.19737000000015</v>
      </c>
      <c r="W244" s="3">
        <f>340.5+(286.4-32.8)+(0+(0-0))+0-159.5-0</f>
        <v>434.59999999999991</v>
      </c>
      <c r="X244" s="3">
        <f>339.3+(291.4-36.7)+(-0.692172+(-0.594456--0.074868))+0-155.1--0.316403999999993</f>
        <v>438.00464399999993</v>
      </c>
      <c r="Y244" s="3">
        <f>340.5+(294.8-40)+(-0.34731+(-0.300696--0.0408))+0-161.3--0.164526000000026</f>
        <v>433.55731999999995</v>
      </c>
      <c r="Z244" s="3">
        <f>340.8+(301.4-50.5)+(-0.347616+(-0.307428--0.05151))+0-158--0.161160000000025</f>
        <v>433.25762600000013</v>
      </c>
      <c r="AA244" s="3">
        <f>343+(338-89.1)+(-0.17493+(-0.17238--0.045441))+0-156.6--0.0798659999999841</f>
        <v>435.07799699999993</v>
      </c>
      <c r="AB244" s="3">
        <f>341.7+(379.3-150.1)+(-0.522801+(-0.580329--0.229653))+0-153.2--0.234396000000009</f>
        <v>417.06091900000001</v>
      </c>
      <c r="AC244" s="3">
        <f>343.8+(421.7-212.7)+(0+(0-0))+0-154-0</f>
        <v>398.79999999999995</v>
      </c>
      <c r="AD244">
        <f t="shared" si="3"/>
        <v>9319.5188829999988</v>
      </c>
      <c r="AE244" s="3">
        <f>338+(290.2-37.6)+(0+(0-0))+0-147.8-0</f>
        <v>442.8</v>
      </c>
    </row>
    <row r="245" spans="1:31" s="2" customFormat="1" x14ac:dyDescent="0.25">
      <c r="A245">
        <v>89</v>
      </c>
      <c r="B245">
        <v>8</v>
      </c>
      <c r="C245">
        <v>29</v>
      </c>
      <c r="D245">
        <v>1</v>
      </c>
      <c r="E245">
        <v>1</v>
      </c>
      <c r="F245" s="3">
        <f>340.9+(434.2-250.5)+(-0.695436+(-0.885768--0.51102))+0-138.5--0.282539999999994</f>
        <v>385.31235599999985</v>
      </c>
      <c r="G245" s="3">
        <f>342.4+(428.1-255.1)+(-0.523872+(-0.654993--0.390303))+0-140.8--0.215424000000008</f>
        <v>374.02686199999999</v>
      </c>
      <c r="H245" s="3">
        <f>345.1+(400.2-244.3)+(-0.528003+(-0.612306--0.373779))+0-135.1--0.206703000000008</f>
        <v>365.34017299999999</v>
      </c>
      <c r="I245" s="3">
        <f>350.9+(410.1-264.3)+(0.536877+(0.627453-0.404379))+0-126.4-0.193392000000007</f>
        <v>370.86655899999994</v>
      </c>
      <c r="J245" s="3">
        <f>348.7+(401.9-247.4)+(-0.533511+(-0.614907--0.378522))+0-132.9--0.203337000000008</f>
        <v>369.73344099999997</v>
      </c>
      <c r="K245" s="3">
        <f>350.5+(376.5-228.9)+(-0.178755+(-0.192015--0.116739))+0-119.8--0.0610979999999878</f>
        <v>378.10706700000003</v>
      </c>
      <c r="L245" s="3">
        <f>346.7+(341.7-138.6)+(-0.707268+(-0.697068--0.282744))+0-155.8--0.317831999999993</f>
        <v>393.19623999999999</v>
      </c>
      <c r="M245" s="3">
        <f>352.2+(334-115.5)+(0.538866+(0.51102-0.176715))+0-145.1-0.222003000000008</f>
        <v>426.25116799999995</v>
      </c>
      <c r="N245" s="3">
        <f>344.5+(360.2-88.3)+(0.175695+(0.183702-0.045033))+0-162.4-0.0828239999999835</f>
        <v>454.23154</v>
      </c>
      <c r="O245" s="3">
        <f>340.2+(452.9-202)+(-0.347004+(-0.461958--0.20604))+0-149.5--0.152490000000024</f>
        <v>441.14956799999987</v>
      </c>
      <c r="P245" s="3">
        <f>414.1+(449.9-235.3)+(0+(0-0))+0-143.8-0</f>
        <v>484.90000000000003</v>
      </c>
      <c r="Q245" s="3">
        <f>441.7+(435.6-245.6)+(0+(0-0))+0-149.1-0</f>
        <v>482.6</v>
      </c>
      <c r="R245" s="3">
        <f>438.9+(397.4-205.5)+(-0.895356+(-0.810696--0.41922))+0-150.5--0.307019999999993</f>
        <v>479.32018799999992</v>
      </c>
      <c r="S245" s="3">
        <f>446.1+(375.8-206.2)+(0.682533+(0.574974-0.315486))+0-151.8-0.232254000000009</f>
        <v>464.60976699999998</v>
      </c>
      <c r="T245" s="3">
        <f>440.1+(387.5-256.2)+(0+(0-0))+0-121.9-0</f>
        <v>449.50000000000011</v>
      </c>
      <c r="U245" s="3">
        <f>439.5+(407.2-268.1)+(-0.44829+(-0.415344--0.273462))+0-123.9--0.12637800000002</f>
        <v>454.23620599999992</v>
      </c>
      <c r="V245" s="3">
        <f>442.4+(311.2-140.8)+(0.225624+(0.158712-0.071808))+0-134.3-0.0684929999999864</f>
        <v>478.744035</v>
      </c>
      <c r="W245" s="3">
        <f>441.1+(342.4-97.3)+(-0.449922+(-0.349248--0.099246))+0-139.1--0.141882000000022</f>
        <v>546.54195800000002</v>
      </c>
      <c r="X245" s="3">
        <f>442.8+(489.2-225.3)+(-0.677484+(-0.748476--0.344709))+0-163.3--0.249849000000009</f>
        <v>542.56859800000007</v>
      </c>
      <c r="Y245" s="3">
        <f>448.7+(425.7-186.3)+(-0.228837+(-0.217107--0.095013))+0-157.7--0.080426999999984</f>
        <v>530.1294959999999</v>
      </c>
      <c r="Z245" s="3">
        <f>448.5+(459.6-223.5)+(-0.228735+(-0.234396--0.113985))+0-165.5--0.0844049999999832</f>
        <v>518.83525899999995</v>
      </c>
      <c r="AA245" s="3">
        <f>447.1+(453-253.1)+(-0.456042+(-0.46206--0.258162))+0-145.7--0.148614000000023</f>
        <v>500.78867400000001</v>
      </c>
      <c r="AB245" s="3">
        <f>448.8+(460.1-300)+(-0.228888+(-0.234651--0.153))+0-130.8--0.0667079999999867</f>
        <v>477.85616900000014</v>
      </c>
      <c r="AC245" s="3">
        <f>443.6+(490.5-345.1)+(-0.904944+(-1.00062--0.704004))+0-132.8--0.270911999999994</f>
        <v>455.26935200000003</v>
      </c>
      <c r="AD245">
        <f t="shared" si="3"/>
        <v>10824.114675999996</v>
      </c>
      <c r="AE245" s="3">
        <f>439+(399.4-114.6)+(0+(0-0))+0-133.2-0</f>
        <v>590.59999999999991</v>
      </c>
    </row>
    <row r="246" spans="1:31" s="2" customFormat="1" x14ac:dyDescent="0.25">
      <c r="A246">
        <v>89</v>
      </c>
      <c r="B246">
        <v>8</v>
      </c>
      <c r="C246">
        <v>30</v>
      </c>
      <c r="D246">
        <v>2</v>
      </c>
      <c r="E246">
        <v>1</v>
      </c>
      <c r="F246" s="3">
        <f>447.9+(504.6-392.7)+(-0.228429+(-0.257346--0.200277))+0-127.9--0.065228999999987</f>
        <v>431.679731</v>
      </c>
      <c r="G246" s="3">
        <f>448.6+(539.4-437.1)+(-0.686358+(-0.825282--0.668763))+0-129.3--0.197829000000007</f>
        <v>420.95495199999993</v>
      </c>
      <c r="H246" s="3">
        <f>460.9+(558.8-465.1)+(-0.235059+(-0.284988--0.237201))+0-138.8--0.0707879999999859</f>
        <v>415.58794199999994</v>
      </c>
      <c r="I246" s="3">
        <f>416.1+(546-394.6)+(-0.212211+(-0.27846--0.201246))+0-153.3--0.0781829999999845</f>
        <v>413.9887579999999</v>
      </c>
      <c r="J246" s="3">
        <f>398.5+(544.5-383)+(0.81294+(1.11078-0.78132))+0-148.6-0.303143999999993</f>
        <v>412.23925599999995</v>
      </c>
      <c r="K246" s="3">
        <f>394+(529.1-368.3)+(0.20094+(0.269841-0.187833))+0-135.6-0.0691559999999862</f>
        <v>419.413792</v>
      </c>
      <c r="L246" s="3">
        <f>433+(572.7-415.5)+(0+(0-0))+0-159.3-0</f>
        <v>430.90000000000003</v>
      </c>
      <c r="M246" s="3">
        <f>448.9+(522-360.2)+(-0.686817+(-0.79866--0.551106))+0-149.8--0.229194000000009</f>
        <v>460.19482299999999</v>
      </c>
      <c r="N246" s="3">
        <f>455.9+(479.1-317)+(0.465018+(0.488682-0.32334))+0-137.6-0.140352000000022</f>
        <v>480.89000799999997</v>
      </c>
      <c r="O246" s="3">
        <f>450+(461.6-296.3)+(-0.6885+(-0.706248--0.453339))+0-126.8--0.194004000000007</f>
        <v>487.75259499999993</v>
      </c>
      <c r="P246" s="3">
        <f>450+(428.6-255.1)+(0.2295+(0.218586-0.130101))+0-127.7-0.065126999999987</f>
        <v>496.05285800000007</v>
      </c>
      <c r="Q246" s="3">
        <f>445+(352.2-157.3)+(-0.4539+(-0.359244--0.160446))+0-141.4--0.144228000000023</f>
        <v>497.99153000000001</v>
      </c>
      <c r="R246" s="3">
        <f>433+(382.5-204.8)+(-1.10415+(-0.975375--0.52224))+0-132.4--0.337619999999981</f>
        <v>477.08033500000005</v>
      </c>
      <c r="S246" s="3">
        <f>444+(398.4-213.5)+(-0.22644+(-0.203184--0.108885))+0-153.6--0.0783359999999844</f>
        <v>475.05759699999993</v>
      </c>
      <c r="T246" s="3">
        <f>441+(374.8-203.5)+(-0.67473+(-0.573444--0.311355))+0-149.1--0.228123000000009</f>
        <v>462.4913039999999</v>
      </c>
      <c r="U246" s="3">
        <f>440+(456.2-293.2)+(0.2244+(0.232662-0.149532))+0-155.9-0.0795089999999842</f>
        <v>447.32802100000009</v>
      </c>
      <c r="V246" s="3">
        <f>446+(467.5-273)+(-0.22746+(-0.238425--0.13923))+0-147.2--0.0750719999999851</f>
        <v>493.04841700000003</v>
      </c>
      <c r="W246" s="3">
        <f>440+(463.5-186.1)+(0+(0-0))+0-174.2-0</f>
        <v>543.20000000000005</v>
      </c>
      <c r="X246" s="3">
        <f>438+(479.5-225.5)+(-0.89352+(-0.97818--0.46002))+0-150.9--0.307835999999993</f>
        <v>539.99615599999993</v>
      </c>
      <c r="Y246" s="3">
        <f>449+(519.1-275.4)+(-0.91596+(-1.058964--0.561816))+0-160.3--0.327011999999993</f>
        <v>531.31390400000009</v>
      </c>
      <c r="Z246" s="3">
        <f>442+(501.2-276.9)+(-1.1271+(-1.27806--0.706095))+0-154.8--0.394739999999978</f>
        <v>510.19567499999988</v>
      </c>
      <c r="AA246" s="3">
        <f>442+(475-255.7)+(-0.67626+(-0.72675--0.391221))+0-157.6--0.241128000000009</f>
        <v>502.92933899999991</v>
      </c>
      <c r="AB246" s="3">
        <f>441+(439-270.9)+(-0.67473+(-0.67167--0.414477))+0-140.1--0.214353000000008</f>
        <v>468.28243000000003</v>
      </c>
      <c r="AC246" s="3">
        <f>454+(474.9-344.6)+(-0.69462+(-0.726597--0.527238))+0-138.3--0.211599000000008</f>
        <v>445.31762000000003</v>
      </c>
      <c r="AD246">
        <f t="shared" si="3"/>
        <v>11263.887042999999</v>
      </c>
      <c r="AE246" s="3">
        <f>448+(467.7-219.9)+(0+(0-0))+0-158.8-0</f>
        <v>537</v>
      </c>
    </row>
    <row r="247" spans="1:31" s="2" customFormat="1" x14ac:dyDescent="0.25">
      <c r="A247">
        <v>89</v>
      </c>
      <c r="B247">
        <v>9</v>
      </c>
      <c r="C247">
        <v>1</v>
      </c>
      <c r="D247">
        <v>3</v>
      </c>
      <c r="E247">
        <v>1</v>
      </c>
      <c r="F247" s="3">
        <f>453+(453.2-338.8)+(-1.15515+(-1.15566--0.86394))+0-148--0.377399999999979</f>
        <v>418.33052999999995</v>
      </c>
      <c r="G247" s="3">
        <f>453+(473.2-355.3)+(-0.23103+(-0.241332--0.181203))+0-164.7--0.0839969999999833</f>
        <v>405.99283800000001</v>
      </c>
      <c r="H247" s="3">
        <f>428+(467.2-333.8)+(-0.65484+(-0.714816--0.510714))+0-149--0.227970000000009</f>
        <v>411.76902800000005</v>
      </c>
      <c r="I247" s="3">
        <f>398+(502.7-339.8)+(-0.20298+(-0.256377--0.173298))+0-162.5--0.0828749999999835</f>
        <v>398.19681599999996</v>
      </c>
      <c r="J247" s="3">
        <f>401+(498.3-345.3)+(0.20451+(0.254133-0.176103))+0-139.2-0.0709919999999859</f>
        <v>415.01154800000006</v>
      </c>
      <c r="K247" s="3">
        <f>399+(416.3-273.3)+(-0.61047+(-0.636939--0.418149))+0-142.2--0.217566000000008</f>
        <v>399.18830600000007</v>
      </c>
      <c r="L247" s="3">
        <f>396+(431.9-281.9)+(0+(0-0))+0-126.5-0</f>
        <v>419.5</v>
      </c>
      <c r="M247" s="3">
        <f>398.6+(398.9-210.2)+(-0.203286+(-0.203439--0.107202))+0-139.3--0.0710429999999859</f>
        <v>447.7715199999999</v>
      </c>
      <c r="N247" s="3">
        <f>427.3+(425.6-234.2)+(-0.871692+(-0.868224--0.477768))+0-136.2--0.277847999999994</f>
        <v>481.51570000000004</v>
      </c>
      <c r="O247" s="3">
        <f>465.3+(475.8-320.4)+(-0.711909+(-0.727974--0.490212))+0-133.2--0.203796000000008</f>
        <v>486.7541250000001</v>
      </c>
      <c r="P247" s="3">
        <f>463.8+(482.8-322.3)+(-0.473076+(-0.492456--0.328746))+0-134.1--0.136782000000021</f>
        <v>489.69999599999994</v>
      </c>
      <c r="Q247" s="3">
        <f>453.8+(474.5-302.8)+(-0.462876+(-0.48399--0.308856))+0-124.9--0.12739800000002</f>
        <v>500.08938800000004</v>
      </c>
      <c r="R247" s="3">
        <f>444.7+(457.5-283.5)+(-0.226797+(-0.233325--0.144585))+0-126.8--0.0646679999999871</f>
        <v>491.64913100000007</v>
      </c>
      <c r="S247" s="3">
        <f>442.4+(412.5-251.5)+(-0.676872+(-0.631125--0.384795))+0-119.7--0.183141000000007</f>
        <v>482.95993900000008</v>
      </c>
      <c r="T247" s="3">
        <f>445.9+(406.2-267.7)+(0+(0-0))+0-117.5-0</f>
        <v>466.9</v>
      </c>
      <c r="U247" s="3">
        <f>432.6+(423-270.3)+(0.220626+(0.21573-0.137853))+0-119.7-0.0610469999999879</f>
        <v>465.83745599999997</v>
      </c>
      <c r="V247" s="3">
        <f>443.6+(373.8-198.1)+(0+(0-0))+0-133.8-0</f>
        <v>485.50000000000006</v>
      </c>
      <c r="W247" s="3">
        <f>448.9+(312.4-82.9)+(-0.228939+(-0.159324--0.042279))+0-136.1--0.0694109999999862</f>
        <v>542.02342699999986</v>
      </c>
      <c r="X247" s="3">
        <f>451.7+(321.5-86.9)+(-1.151835+(-0.819825--0.221595))+0-141.1--0.35980499999998</f>
        <v>543.80973999999992</v>
      </c>
      <c r="Y247" s="3">
        <f>451.8+(331.6-122.5)+(-0.230418+(-0.169116--0.062475))+0-129.1--0.0658409999999869</f>
        <v>531.52878200000009</v>
      </c>
      <c r="Z247" s="3">
        <f>441.7+(361.9-162.2)+(-0.675801+(-0.553707--0.248166))+0-123.5--0.188955000000007</f>
        <v>517.1076129999999</v>
      </c>
      <c r="AA247" s="3">
        <f>429.5+(421-222.2)+(-0.87618+(-0.85884--0.453288))+0-123.7--0.252347999999995</f>
        <v>503.57061599999992</v>
      </c>
      <c r="AB247" s="3">
        <f>378.4+(482.8-252.7)+(-0.771936+(-0.984912--0.515508))+0-132--0.269279999999994</f>
        <v>475.52793999999994</v>
      </c>
      <c r="AC247" s="3">
        <f>363.3+(510.7-289.7)+(-1.296981+(-1.823199--1.034229))+0-130.6--0.466242000000002</f>
        <v>452.08029099999993</v>
      </c>
      <c r="AD247">
        <f t="shared" si="3"/>
        <v>11232.31473</v>
      </c>
      <c r="AE247" s="3">
        <f>451+(318.7-72)+(0+(0-0))+0-138-0</f>
        <v>559.70000000000005</v>
      </c>
    </row>
    <row r="248" spans="1:31" s="2" customFormat="1" x14ac:dyDescent="0.25">
      <c r="A248">
        <v>89</v>
      </c>
      <c r="B248">
        <v>9</v>
      </c>
      <c r="C248">
        <v>2</v>
      </c>
      <c r="D248">
        <v>4</v>
      </c>
      <c r="E248">
        <v>1</v>
      </c>
      <c r="F248" s="3">
        <f>318.2+(566.1-329)+(-0.486846+(-0.866133--0.50337))+0-129.4--0.197982000000007</f>
        <v>425.24837300000002</v>
      </c>
      <c r="G248" s="3">
        <f>319.4+(535.4-312)+(-0.325788+(-0.546108--0.31824))+0-136.1--0.138822000000022</f>
        <v>406.28516599999989</v>
      </c>
      <c r="H248" s="3">
        <f>317.1+(559.8-336.2)+(-0.485163+(-0.856494--0.514386))+0-131.4--0.201042000000008</f>
        <v>408.6737710000001</v>
      </c>
      <c r="I248" s="3">
        <f>319.2+(580.4-355.4)+(-0.488376+(-0.888012--0.543762))+0-139.1--0.212823000000008</f>
        <v>404.48019700000003</v>
      </c>
      <c r="J248" s="3">
        <f>322.4+(575.1-373.3)+(0+(0-0))+0-120-0</f>
        <v>404.20000000000005</v>
      </c>
      <c r="K248" s="3">
        <f>318+(538.3-328.7)+(-0.64872+(-1.098132--0.670548))+0-117--0.238679999999995</f>
        <v>409.76237599999985</v>
      </c>
      <c r="L248" s="3">
        <f>321.3+(485.6-276.9)+(-0.163863+(-0.247656--0.141219))+0-115.7--0.0590069999999883</f>
        <v>414.088707</v>
      </c>
      <c r="M248" s="3">
        <f>320.6+(467.2-223.7)+(-0.163506+(-0.238272--0.114087))+0-117.9--0.060128999999988</f>
        <v>445.97243800000001</v>
      </c>
      <c r="N248" s="3">
        <f>325+(408.4-137.9)+(0.16575+(0.208284-0.070329))+0-135-0.0688499999999863</f>
        <v>460.73485500000004</v>
      </c>
      <c r="O248" s="3">
        <f>331.6+(401.7-128.8)+(-0.507348+(-0.614601--0.197064))+0-134.6--0.205938000000008</f>
        <v>469.18105299999996</v>
      </c>
      <c r="P248" s="3">
        <f>339.1+(385.2-111.2)+(0.172941+(0.196452-0.056712))+0-137.1-0.0699209999999861</f>
        <v>476.24276000000003</v>
      </c>
      <c r="Q248" s="3">
        <f>320.9+(384.4-96.7)+(-0.654636+(-0.784176--0.197268))+0-130.4--0.266015999999994</f>
        <v>477.22447199999993</v>
      </c>
      <c r="R248" s="3">
        <f>327.2+(355.3-74.3)+(-0.166872+(-0.181203--0.037893))+0-134.5--0.0685949999999864</f>
        <v>473.45841299999995</v>
      </c>
      <c r="S248" s="3">
        <f>328.9+(355-97.3)+(0.335478+(0.3621-0.099246))+0-126.8-0.12933600000002</f>
        <v>460.2689959999999</v>
      </c>
      <c r="T248" s="3">
        <f>328.1+(298.3-67.2)+(0.334662+(0.304266-0.068544))+0-117.5-0.119850000000019</f>
        <v>442.15053399999999</v>
      </c>
      <c r="U248" s="3">
        <f>327.4+(317-66.9)+(0.166974+(0.16167-0.034119))+0-128.3-0.065432999999987</f>
        <v>449.42909200000003</v>
      </c>
      <c r="V248" s="3">
        <f>366.3+(319.5-75.1)+(-0.373626+(-0.32589--0.076602))+0-136.7--0.139434000000022</f>
        <v>473.51652000000001</v>
      </c>
      <c r="W248" s="3">
        <f>433.3+(295.5-59)+(0.220983+(0.150705-0.03009))+0-137.2-0.0699719999999861</f>
        <v>532.87162599999988</v>
      </c>
      <c r="X248" s="3">
        <f>472.1+(270.8-77)+(-0.722313+(-0.414324--0.11781))+0-133.3--0.203949000000008</f>
        <v>531.785122</v>
      </c>
      <c r="Y248" s="3">
        <f>479.7+(288.8-121.5)+(-0.733941+(-0.441864--0.185895))+0-131.9--0.201807000000008</f>
        <v>514.31189700000004</v>
      </c>
      <c r="Z248" s="3">
        <f>481.2+(340.7-180.7)+(-0.490824+(-0.347514--0.184314))+0-140--0.142800000000022</f>
        <v>500.68877600000002</v>
      </c>
      <c r="AA248" s="3">
        <f>482.6+(404.6-239)+(-0.738378+(-0.619038--0.36567))+0-143.9--0.220167000000008</f>
        <v>503.52842100000004</v>
      </c>
      <c r="AB248" s="3">
        <f>483.9+(479.1-349.7)+(-0.987156+(-0.977364--0.713388))+0-133.4--0.272135999999994</f>
        <v>478.92100399999998</v>
      </c>
      <c r="AC248" s="3">
        <f>486+(482.4-388.1)+(-0.49572+(-0.492048--0.395862))+0-124.8--0.12729600000002</f>
        <v>455.03538999999995</v>
      </c>
      <c r="AD248">
        <f t="shared" si="3"/>
        <v>11018.059959</v>
      </c>
      <c r="AE248" s="3">
        <f>471+(270.1-76.7)+(0+(0-0))+0-141-0</f>
        <v>523.40000000000009</v>
      </c>
    </row>
    <row r="249" spans="1:31" s="2" customFormat="1" x14ac:dyDescent="0.25">
      <c r="A249">
        <v>89</v>
      </c>
      <c r="B249">
        <v>9</v>
      </c>
      <c r="C249">
        <v>3</v>
      </c>
      <c r="D249">
        <v>5</v>
      </c>
      <c r="E249">
        <v>1</v>
      </c>
      <c r="F249" s="3">
        <f>482+(411.3-359.1)+(-0.98328+(-0.839052--0.732564))+0-124.9--0.254795999999995</f>
        <v>408.46502800000002</v>
      </c>
      <c r="G249" s="3">
        <f>478.9+(444.1-409.7)+(-0.732717+(-0.679473--0.626841))+0-121.9--0.186507000000007</f>
        <v>390.80115799999999</v>
      </c>
      <c r="H249" s="3">
        <f>454.7+(466.4-419.7)+(-1.159485+(-1.18932--1.070235))+0-122.5--0.312374999999982</f>
        <v>377.93380499999995</v>
      </c>
      <c r="I249" s="3">
        <f>393.4+(423.5-354.9)+(-0.200634+(-0.215985--0.180999))+0-93.3--0.0475829999999905</f>
        <v>368.51196299999998</v>
      </c>
      <c r="J249" s="3">
        <f>399.9+(388.6-305.7)+(0+(0-0))+0-114.7-0</f>
        <v>368.1</v>
      </c>
      <c r="K249" s="3">
        <f>474.1+(327.3-321.7)+(-0.725373+(-0.500769--0.492201))+0-105.4--0.161262000000006</f>
        <v>373.72732100000002</v>
      </c>
      <c r="L249" s="3">
        <f>435.9+(302.1-225.8)+(-0.666927+(-0.462213--0.345474))+0-101.1--0.154683000000006</f>
        <v>410.47101700000013</v>
      </c>
      <c r="M249" s="3">
        <f>436.7+(260.3-153.7)+(-0.668151+(-0.398259--0.235161))+0-108.5--0.166005000000006</f>
        <v>434.13475599999998</v>
      </c>
      <c r="N249" s="3">
        <f>451.4+(252.5-117.1)+(-0.460428+(-0.25755--0.119442))+0-119--0.121380000000019</f>
        <v>467.32284400000003</v>
      </c>
      <c r="O249" s="3">
        <f>447.7+(247.1-81.8)+(0+(0-0))+0-146.9-0</f>
        <v>466.1</v>
      </c>
      <c r="P249" s="3">
        <f>435.4+(253.3-85.9)+(-0.444108+(-0.258366--0.087618))+0-137.9--0.140658000000022</f>
        <v>464.42580199999998</v>
      </c>
      <c r="Q249" s="3">
        <f>439.5+(246.4-65.3)+(-0.44829+(-0.251328--0.066606))+0-152.5--0.155550000000024</f>
        <v>467.62253800000002</v>
      </c>
      <c r="R249" s="3">
        <f>436.7+(222.7-68.8)+(-0.222717+(-0.113577--0.035088))+0-130.8--0.0667079999999867</f>
        <v>459.56550199999992</v>
      </c>
      <c r="S249" s="3">
        <f>436.2+(206.1-71)+(-0.444924+(-0.210222--0.07242))+0-130.3--0.132906000000021</f>
        <v>440.55018000000001</v>
      </c>
      <c r="T249" s="3">
        <f>436.6+(194.4-66.5)+(-0.445332+(-0.198288--0.06783))+0-147.4--0.150348000000024</f>
        <v>416.67455800000005</v>
      </c>
      <c r="U249" s="3">
        <f>445.6+(204.9-88.7)+(0.227256+(0.104499-0.045237))+0-136.8-0.0697679999999861</f>
        <v>425.21675000000005</v>
      </c>
      <c r="V249" s="3">
        <f>468.9+(202.5-57.3)+(0+(0-0))+0-157.1-0</f>
        <v>456.99999999999989</v>
      </c>
      <c r="W249" s="3">
        <f>445.5+(281.6-69.4)+(0+(0-0))+0-152.1-0</f>
        <v>505.6</v>
      </c>
      <c r="X249" s="3">
        <f>443.4+(258.6-57.4)+(-0.678402+(-0.395658--0.087822))+0-148.5--0.227205000000009</f>
        <v>495.34096700000009</v>
      </c>
      <c r="Y249" s="3">
        <f>441.9+(260.3-58)+(-0.901476+(-0.531012--0.11832))+0-153.5--0.313139999999993</f>
        <v>489.69897200000003</v>
      </c>
      <c r="Z249" s="3">
        <f>439.1+(259.4-76.7)+(-1.343646+(-0.793764--0.234702))+0-143.6--0.439416000000017</f>
        <v>476.73670799999996</v>
      </c>
      <c r="AA249" s="3">
        <f>441.9+(260.8-90.3)+(-0.901476+(-0.532032--0.184212))+0-148.4--0.302735999999994</f>
        <v>463.05344000000002</v>
      </c>
      <c r="AB249" s="3">
        <f>394.6+(304.8-120.1)+(-0.402492+(-0.310896--0.122502))+0-132.9--0.135558000000021</f>
        <v>445.94467200000014</v>
      </c>
      <c r="AC249" s="3">
        <f>267.2+(401.6-106.7)+(-0.545088+(-0.819264--0.217668))+0-144.6--0.294983999999994</f>
        <v>416.64829999999995</v>
      </c>
      <c r="AD249">
        <f t="shared" si="3"/>
        <v>10489.646281000001</v>
      </c>
      <c r="AE249" s="3">
        <f>494+(262.9-65.2)+(0+(0-0))+0-142.9-0</f>
        <v>548.80000000000007</v>
      </c>
    </row>
    <row r="250" spans="1:31" s="2" customFormat="1" x14ac:dyDescent="0.25">
      <c r="A250">
        <v>89</v>
      </c>
      <c r="B250">
        <v>9</v>
      </c>
      <c r="C250">
        <v>4</v>
      </c>
      <c r="D250">
        <v>6</v>
      </c>
      <c r="E250">
        <v>3</v>
      </c>
      <c r="F250" s="3">
        <f>194.2+(389.1-53.5)+(0+(0-0))+0-143.2-0</f>
        <v>386.59999999999997</v>
      </c>
      <c r="G250" s="3">
        <f>196.6+(367.3-47.9)+(0+(0-0))+0-151.5-0</f>
        <v>364.5</v>
      </c>
      <c r="H250" s="3">
        <f>196.7+(364.3-63.9)+(0+(0-0))+0-138.4-0</f>
        <v>358.70000000000005</v>
      </c>
      <c r="I250" s="3">
        <f>196.5+(347.1-64.4)+(0+(0-0))+0-128.9-0</f>
        <v>350.30000000000007</v>
      </c>
      <c r="J250" s="3">
        <f>196.7+(348.3-63.5)+(-0.100317+(-0.177633--0.032385))+0-136.7--0.0697169999999861</f>
        <v>344.62415199999998</v>
      </c>
      <c r="K250" s="3">
        <f>199.8+(328.9-58.3)+(0.305694+(0.503217-0.089199))+0-149-0.227970000000009</f>
        <v>321.89174199999997</v>
      </c>
      <c r="L250" s="3">
        <f>197.4+(250.7-28.3)+(0+(0-0))+0-139.8-0</f>
        <v>279.99999999999994</v>
      </c>
      <c r="M250" s="3">
        <f>195.1+(240.1-23)+(-0.199002+(-0.244902--0.02346))+0-146--0.148920000000023</f>
        <v>265.92847600000005</v>
      </c>
      <c r="N250" s="3">
        <f>193.8+(284.8-69.6)+(-0.197676+(-0.290496--0.070992))+0-139.9--0.142698000000022</f>
        <v>268.82551799999999</v>
      </c>
      <c r="O250" s="3">
        <f>193.7+(316.5-88.1)+(-0.296361+(-0.484245--0.134793))+0-147.5--0.225675000000009</f>
        <v>274.17986200000007</v>
      </c>
      <c r="P250" s="3">
        <f>193.8+(355.5-125.5)+(-0.197676+(-0.36261--0.12801))+0-145.7--0.148614000000023</f>
        <v>277.81633800000003</v>
      </c>
      <c r="Q250" s="3">
        <f>194+(349-115.2)+(-0.19788+(-0.35598--0.117504))+0-149.6--0.152592000000024</f>
        <v>277.91623600000003</v>
      </c>
      <c r="R250" s="3">
        <f>190.4+(307.7-82.5)+(-0.48552+(-0.784635--0.210375))+0-142.2--0.362609999999979</f>
        <v>272.70283000000001</v>
      </c>
      <c r="S250" s="3">
        <f>194.1+(266-58.5)+(0.197982+(0.27132-0.05967))+0-134-0.136680000000021</f>
        <v>267.872952</v>
      </c>
      <c r="T250" s="3">
        <f>191+(248.2-47)+(-0.48705+(-0.63291--0.11985))+0-128--0.326399999999981</f>
        <v>263.52628999999996</v>
      </c>
      <c r="U250" s="3">
        <f>192+(243.1-43)+(0+(0-0))+0-124.5-0</f>
        <v>267.60000000000002</v>
      </c>
      <c r="V250" s="3">
        <f>192+(321.6-71.6)+(-0.29376+(-0.492048--0.109548))+0-153.8--0.235314000000009</f>
        <v>287.75905399999999</v>
      </c>
      <c r="W250" s="3">
        <f>197+(462.6-174.5)+(0.10047+(0.235926-0.088995))+0-142.7-0.0727769999999855</f>
        <v>342.57462400000009</v>
      </c>
      <c r="X250" s="3">
        <f>194.1+(439.6-134)+(0+(0-0))+0-154.8-0</f>
        <v>344.90000000000003</v>
      </c>
      <c r="Y250" s="3">
        <f>189.2+(406.1-100.2)+(-0.48246+(-1.035555--0.25551))+0-153.3--0.390914999999978</f>
        <v>340.92840999999999</v>
      </c>
      <c r="Z250" s="3">
        <f>193.1+(342.3-53.1)+(-0.098481+(-0.174573--0.027081))+0-147--0.0749699999999851</f>
        <v>335.12899699999997</v>
      </c>
      <c r="AA250" s="3">
        <f>193.6+(323.9-22.9)+(-0.098736+(-0.165189--0.011679))+0-164--0.0836399999999834</f>
        <v>330.43139400000001</v>
      </c>
      <c r="AB250" s="3">
        <f>193.1+(294.8-30.2)+(-0.196962+(-0.300696--0.030804))+0-132.9--0.135558000000021</f>
        <v>324.46870400000006</v>
      </c>
      <c r="AC250" s="3">
        <f>193.1+(305-31.3)+(-0.393924+(-0.6222--0.063852))+0-146.9--0.299675999999994</f>
        <v>319.24740399999996</v>
      </c>
      <c r="AD250">
        <f t="shared" si="3"/>
        <v>7468.4229829999986</v>
      </c>
      <c r="AE250" s="3">
        <f>202+(443.8-147.3)+(0+(0-0))+0-126-0</f>
        <v>372.5</v>
      </c>
    </row>
    <row r="251" spans="1:31" s="2" customFormat="1" x14ac:dyDescent="0.25">
      <c r="A251">
        <v>89</v>
      </c>
      <c r="B251">
        <v>9</v>
      </c>
      <c r="C251">
        <v>5</v>
      </c>
      <c r="D251">
        <v>7</v>
      </c>
      <c r="E251">
        <v>1</v>
      </c>
      <c r="F251" s="3">
        <f>194.1+(304.2-41.3)+(-0.296973+(-0.465426--0.063189))+0-147.6--0.225828000000009</f>
        <v>308.92661800000002</v>
      </c>
      <c r="G251" s="3">
        <f>194.2+(309.7-51.8)+(-0.297126+(-0.473841--0.079254))+0-144.6--0.221238000000008</f>
        <v>307.02952499999998</v>
      </c>
      <c r="H251" s="3">
        <f>194.6+(311.3-50.5)+(-0.297738+(-0.476289--0.077265))+0-147--0.224910000000008</f>
        <v>307.92814800000002</v>
      </c>
      <c r="I251" s="3">
        <f>195.8+(330.9-73)+(-0.199716+(-0.337518--0.07446))+0-147.5--0.150450000000024</f>
        <v>305.887676</v>
      </c>
      <c r="J251" s="3">
        <f>206.2+(307.1-70.8)+(0.210324+(0.313242-0.072216))+0-130.3-0.132906000000021</f>
        <v>312.51844399999993</v>
      </c>
      <c r="K251" s="3">
        <f>204.2+(283.8-28.8)+(0.104142+(0.144738-0.014688))+0-144.3-0.0735929999999854</f>
        <v>315.06059900000002</v>
      </c>
      <c r="L251" s="3">
        <f>200+(287.1-22.4)+(-0.408+(-0.585684--0.045696))+0-148.1--0.302123999999994</f>
        <v>315.95413600000001</v>
      </c>
      <c r="M251" s="3">
        <f>200.8+(282.1-16.6)+(-0.204816+(-0.287742--0.016932))+0-146.1--0.149022000000023</f>
        <v>319.87339600000001</v>
      </c>
      <c r="N251" s="3">
        <f>202.8+(294.5-17.2)+(0.103428+(0.150195-0.008772))+0-154.5-0.0787949999999843</f>
        <v>325.76605600000005</v>
      </c>
      <c r="O251" s="3">
        <f>201.3+(313.9-17.2)+(0+(0-0))+0-155.1-0</f>
        <v>342.9</v>
      </c>
      <c r="P251" s="3">
        <f>198.9+(329.7-15.9)+(-0.101439+(-0.168147--0.008109))+0-160.2--0.0817019999999837</f>
        <v>352.32022500000005</v>
      </c>
      <c r="Q251" s="3">
        <f>194+(324.5-16.7)+(-0.79152+(-1.32396--0.068136))+0-155.4--0.634031999999987</f>
        <v>344.98668800000002</v>
      </c>
      <c r="R251" s="3">
        <f>187.9+(325.3-17.3)+(-0.287487+(-0.497709--0.026469))+0-140.9--0.215577000000008</f>
        <v>354.45684999999997</v>
      </c>
      <c r="S251" s="3">
        <f>185.7+(323.4-18.7)+(-0.189414+(-0.329868--0.019074))+0-143.4--0.146268000000023</f>
        <v>346.64605999999998</v>
      </c>
      <c r="T251" s="3">
        <f>186.6+(301.3-18.7)+(-0.095166+(-0.153663--0.009537))+0-133.7--0.0681869999999864</f>
        <v>335.32889500000005</v>
      </c>
      <c r="U251" s="3">
        <f>185.9+(315.6-16.6)+(-0.189618+(-0.321912--0.016932))+0-140.8--0.143616000000022</f>
        <v>343.74901799999998</v>
      </c>
      <c r="V251" s="3">
        <f>193.9+(338.3-18.7)+(0+(0-0))+0-147.7-0</f>
        <v>365.8</v>
      </c>
      <c r="W251" s="3">
        <f>202.8+(383.4-19.8)+(-0.103428+(-0.195534--0.010098))+0-145.4--0.0741539999999853</f>
        <v>420.78528999999997</v>
      </c>
      <c r="X251" s="3">
        <f>205.9+(386.8-22.8)+(-0.105009+(-0.197268--0.011628))+0-146.4--0.0746639999999851</f>
        <v>423.28401499999995</v>
      </c>
      <c r="Y251" s="3">
        <f>207.5+(380.1-21)+(-0.317475+(-0.581553--0.03213))+0-151.4--0.231642000000009</f>
        <v>414.56474400000008</v>
      </c>
      <c r="Z251" s="3">
        <f>208.9+(390.7-21.7)+(-0.213078+(-0.398514--0.022134))+0-161.6--0.164832000000026</f>
        <v>415.87537399999997</v>
      </c>
      <c r="AA251" s="3">
        <f>190.7+(414.7-26.2)+(-0.389028+(-0.845988--0.053448))+0-159.6--0.325583999999993</f>
        <v>418.74401600000004</v>
      </c>
      <c r="AB251" s="3">
        <f>189.9+(435.8-66.4)+(-0.290547+(-0.666774--0.101592))+0-151.1--0.231183000000009</f>
        <v>407.57545399999992</v>
      </c>
      <c r="AC251" s="3">
        <f>188.1+(465.4-124.2)+(-0.575586+(-1.424124--0.380052))+0-137.6--0.421056000000016</f>
        <v>390.50139799999999</v>
      </c>
      <c r="AD251">
        <f t="shared" si="3"/>
        <v>8496.4626249999983</v>
      </c>
      <c r="AE251" s="3">
        <f>206+(356.1-27.5)+(0+(0-0))+0-121.6-0</f>
        <v>413</v>
      </c>
    </row>
    <row r="252" spans="1:31" s="2" customFormat="1" x14ac:dyDescent="0.25">
      <c r="A252">
        <v>89</v>
      </c>
      <c r="B252">
        <v>9</v>
      </c>
      <c r="C252">
        <v>6</v>
      </c>
      <c r="D252">
        <v>1</v>
      </c>
      <c r="E252">
        <v>1</v>
      </c>
      <c r="F252" s="3">
        <f>193.1+(442.1-110.6)+(0+(0-0))+0-151.2-0</f>
        <v>373.40000000000003</v>
      </c>
      <c r="G252" s="3">
        <f>198.9+(477.2-167.9)+(0+(0-0))+0-141.8-0</f>
        <v>366.39999999999992</v>
      </c>
      <c r="H252" s="3">
        <f>192.6+(501.5-194.7)+(0.098226+(0.255765-0.099297))+0-137.3-0.0700229999999861</f>
        <v>362.28467099999995</v>
      </c>
      <c r="I252" s="3">
        <f>121+(495.3-115.8)+(0.12342+(0.505206-0.118116))+0-149.8-0.152796000000024</f>
        <v>351.05771399999998</v>
      </c>
      <c r="J252" s="3">
        <f>120.4+(484.9-105.2)+(0+(0-0))+0-144-0</f>
        <v>356.1</v>
      </c>
      <c r="K252" s="3">
        <f>120.1+(454.1-61.1)+(-0.122502+(-0.463182--0.062322))+0-147.7--0.150654000000024</f>
        <v>365.02729200000005</v>
      </c>
      <c r="L252" s="3">
        <f>120.4+(432.3-31.5)+(-0.30702+(-1.102365--0.080325))+0-138--0.35189999999998</f>
        <v>382.22284000000002</v>
      </c>
      <c r="M252" s="3">
        <f>166.3+(420.1-21)+(0.084813+(0.214251-0.01071))+0-151.4-0.0772139999999846</f>
        <v>414.21114000000017</v>
      </c>
      <c r="N252" s="3">
        <f>197.7+(417.5-33.9)+(0+(0-0))+0-147.2-0</f>
        <v>434.09999999999997</v>
      </c>
      <c r="O252" s="3">
        <f>199.6+(423.7-36.4)+(0.305388+(0.648261-0.055692))+0-137.7-0.210681000000008</f>
        <v>449.88727599999999</v>
      </c>
      <c r="P252" s="3">
        <f>197.1+(441.2-34.8)+(0+(0-0))+0-138.3-0</f>
        <v>465.2</v>
      </c>
      <c r="Q252" s="3">
        <f>195.8+(435-29.8)+(-0.099858+(-0.22185--0.015198))+0-132.8--0.0677279999999865</f>
        <v>467.96121799999997</v>
      </c>
      <c r="R252" s="3">
        <f>192.9+(425.7-27.6)+(-0.098379+(-0.217107--0.014076))+0-124.2--0.0633419999999874</f>
        <v>466.56193199999996</v>
      </c>
      <c r="S252" s="3">
        <f>179.1+(446.4-27.3)+(-0.091341+(-0.227664--0.013923))+0-151.3--0.0771629999999847</f>
        <v>446.67208099999993</v>
      </c>
      <c r="T252" s="3">
        <f>178+(433.8-30.8)+(-0.18156+(-0.442476--0.031416))+0-146--0.148920000000023</f>
        <v>434.55630000000002</v>
      </c>
      <c r="U252" s="3">
        <f>179.2+(443.9-29.6)+(-0.091392+(-0.226389--0.015096))+0-154.8--0.0789479999999843</f>
        <v>438.47626299999996</v>
      </c>
      <c r="V252" s="3">
        <f>178+(464.2-26.5)+(-0.18156+(-0.473484--0.02703))+0-151--0.154020000000024</f>
        <v>464.22600600000004</v>
      </c>
      <c r="W252" s="3">
        <f>183.4+(511.4-29.7)+(0.187068+(0.521628-0.030294))+0-139.8-0.142596000000022</f>
        <v>525.83580599999993</v>
      </c>
      <c r="X252" s="3">
        <f>180.5+(531.3-24.3)+(-0.18411+(-0.541926--0.024786))+0-162.2--0.165444000000026</f>
        <v>524.76419400000009</v>
      </c>
      <c r="Y252" s="3">
        <f>177+(501.1-26.3)+(-0.36108+(-1.022244--0.053652))+0-145.5--0.296819999999994</f>
        <v>505.26714799999996</v>
      </c>
      <c r="Z252" s="3">
        <f>176.6+(483.6-25.1)+(-0.45033+(-1.23318--0.064005))+0-136.9--0.34909499999998</f>
        <v>496.92959000000002</v>
      </c>
      <c r="AA252" s="3">
        <f>182.8+(485.7-28.7)+(0.093228+(0.247707-0.014637))+0-149.7-0.0763469999999848</f>
        <v>490.34995099999992</v>
      </c>
      <c r="AB252" s="3">
        <f>199.4+(484.3-53)+(-0.406776+(-0.987972--0.10812))+0-161.3--0.329051999999993</f>
        <v>468.44242400000007</v>
      </c>
      <c r="AC252" s="3">
        <f>209.2+(504.5-128.1)+(-0.320076+(-0.771885--0.195993))+0-144.8--0.221544000000008</f>
        <v>440.12557599999985</v>
      </c>
      <c r="AD252">
        <f t="shared" si="3"/>
        <v>10490.059422000002</v>
      </c>
      <c r="AE252" s="3">
        <f>180+(508.4-30.2)+(0+(0-0))+0-129.5-0</f>
        <v>528.70000000000005</v>
      </c>
    </row>
    <row r="253" spans="1:31" s="2" customFormat="1" x14ac:dyDescent="0.25">
      <c r="A253">
        <v>89</v>
      </c>
      <c r="B253">
        <v>9</v>
      </c>
      <c r="C253">
        <v>7</v>
      </c>
      <c r="D253">
        <v>2</v>
      </c>
      <c r="E253">
        <v>1</v>
      </c>
      <c r="F253" s="3">
        <f>209.8+(507.1-143.6)+(-0.106998+(-0.258621--0.073236))+0-150.5--0.0767549999999847</f>
        <v>422.58437199999997</v>
      </c>
      <c r="G253" s="3">
        <f>206.9+(568.2-212.7)+(-0.527595+(-1.44891--0.542385))+0-152.1--0.387854999999978</f>
        <v>409.25373500000006</v>
      </c>
      <c r="H253" s="3">
        <f>210.5+(529.2-176.5)+(-0.107355+(-0.269892--0.090015))+0-156.2--0.0796619999999841</f>
        <v>406.79243000000002</v>
      </c>
      <c r="I253" s="3">
        <f>147.1+(537.8-139.9)+(-0.075021+(-0.274278--0.071349))+0-152.5--0.0777749999999845</f>
        <v>392.29982499999994</v>
      </c>
      <c r="J253" s="3">
        <f>120.6+(542-112.1)+(-0.123012+(-0.55284--0.114342))+0-159.4--0.162588000000025</f>
        <v>390.70107800000005</v>
      </c>
      <c r="K253" s="3">
        <f>120.4+(481.5-77.1)+(0+(0-0))+0-134.4-0</f>
        <v>390.4</v>
      </c>
      <c r="L253" s="3">
        <f>120.1+(464.7-23.5)+(-0.245004+(-0.947988--0.04794))+0-156.3--0.318851999999993</f>
        <v>404.17379999999997</v>
      </c>
      <c r="M253" s="3">
        <f>120.4+(468.5-20.5)+(-0.061404+(-0.238935--0.010455))+0-151--0.0770099999999847</f>
        <v>417.18712599999992</v>
      </c>
      <c r="N253" s="3">
        <f>208+(429-35)+(0+(0-0))+0-102-0</f>
        <v>500</v>
      </c>
      <c r="O253" s="3">
        <f>205+(426-66)+(0.10455+(0.21726-0.03366))+0-103-0.0525299999999896</f>
        <v>462.23561999999998</v>
      </c>
      <c r="P253" s="3">
        <f>203+(439-59.4)+(0.20706+(0.44778-0.060588))+0-102-0.104040000000016</f>
        <v>481.09021200000001</v>
      </c>
      <c r="Q253" s="3">
        <f>195.3+(461.8-40.9)+(0+(0-0))+0-98-0</f>
        <v>518.20000000000005</v>
      </c>
      <c r="R253" s="3">
        <f>194.4+(481.1-49.1)+(-0.49572+(-1.226805--0.125205))+0-127.6--0.325379999999981</f>
        <v>497.52805999999998</v>
      </c>
      <c r="S253" s="3">
        <f>193.9+(447.6-35)+(-0.296667+(-0.684828--0.05355))+0-152.9--0.233937000000009</f>
        <v>452.90599200000003</v>
      </c>
      <c r="T253" s="3">
        <f>193.7+(413.7-39.9)+(0.098787+(0.210987-0.020349))+0-130-0.0662999999999868</f>
        <v>437.72312500000004</v>
      </c>
      <c r="U253" s="3">
        <f>193.7+(408.5-43.3)+(0.197574+(0.41667-0.044166))+0-125.8-0.12831600000002</f>
        <v>433.54176199999989</v>
      </c>
      <c r="V253" s="3">
        <f>192.6+(441.2-37)+(-0.098226+(-0.225012--0.01887))+0-140.9--0.0718589999999857</f>
        <v>455.66749099999998</v>
      </c>
      <c r="W253" s="3">
        <f>185.7+(532.9-32.1)+(0.094707+(0.271779-0.016371))+0-164.2-0.0837419999999833</f>
        <v>522.56637299999988</v>
      </c>
      <c r="X253" s="3">
        <f>194.7+(520.6-31.6)+(-0.695079+(-1.858542--0.112812))+0-159.1--0.567987000000002</f>
        <v>522.72717800000009</v>
      </c>
      <c r="Y253" s="3">
        <f>208.6+(494.2-34.6)+(-0.425544+(-1.008168--0.070584))+0-155.7--0.317627999999993</f>
        <v>511.4545</v>
      </c>
      <c r="Z253" s="3">
        <f>209.5+(501.9-48.7)+(-0.106845+(-0.255969--0.024837))+0-162.5--0.0828749999999835</f>
        <v>499.94489800000002</v>
      </c>
      <c r="AA253" s="3">
        <f>211.4+(552-99.7)+(-0.323442+(-0.84456--0.152541))+0-164.1--0.251073000000009</f>
        <v>498.83561200000008</v>
      </c>
      <c r="AB253" s="3">
        <f>160.7+(575.3-106.2)+(-0.163914+(-0.586806--0.108324))+0-153--0.156060000000024</f>
        <v>476.31366400000002</v>
      </c>
      <c r="AC253" s="3">
        <f>116.9+(625.8-138.5)+(-0.238476+(-1.276632--0.28254))+0-150.9--0.307835999999993</f>
        <v>452.37526799999995</v>
      </c>
      <c r="AD253">
        <f t="shared" si="3"/>
        <v>10956.502121</v>
      </c>
      <c r="AE253" s="3">
        <f>207+(550.3-29.3)+(0+(0-0))+0-177.6-0</f>
        <v>550.4</v>
      </c>
    </row>
    <row r="254" spans="1:31" s="2" customFormat="1" x14ac:dyDescent="0.25">
      <c r="A254">
        <v>89</v>
      </c>
      <c r="B254">
        <v>9</v>
      </c>
      <c r="C254">
        <v>8</v>
      </c>
      <c r="D254">
        <v>3</v>
      </c>
      <c r="E254">
        <v>1</v>
      </c>
      <c r="F254" s="3">
        <f>142.7+(678.4-254)+(-0.291108+(-1.383936--0.51816))+0-143.7--0.293147999999994</f>
        <v>422.5362639999999</v>
      </c>
      <c r="G254" s="3">
        <f>156.9+(727.1-326.8)+(-0.080019+(-0.370821--0.166668))+0-145.8--0.0743579999999852</f>
        <v>411.19018599999998</v>
      </c>
      <c r="H254" s="3">
        <f>183.9+(705.1-327.8)+(0.093789+(0.359601-0.167178))+0-152.6-0.0778259999999845</f>
        <v>408.80838600000004</v>
      </c>
      <c r="I254" s="3">
        <f>185.3+(696.2-327.6)+(-0.189006+(-0.710124--0.334152))+0-144.6--0.147492000000023</f>
        <v>408.88251400000007</v>
      </c>
      <c r="J254" s="3">
        <f>186.1+(669.9-303.2)+(0.094911+(0.341649-0.154632))+0-146.5-0.0747149999999851</f>
        <v>406.50721299999998</v>
      </c>
      <c r="K254" s="3">
        <f>242.5+(613-277.4)+(0.123675+(0.31263-0.141474))+0-166.2-0.0847619999999831</f>
        <v>412.11006900000012</v>
      </c>
      <c r="L254" s="3">
        <f>251.6+(571-260.1)+(0+(0-0))+0-137.9-0</f>
        <v>424.6</v>
      </c>
      <c r="M254" s="3">
        <f>269.4+(517.5-183.1)+(-0.68697+(-1.319625--0.466905))+0-153.7--0.391934999999978</f>
        <v>448.952245</v>
      </c>
      <c r="N254" s="3">
        <f>267.1+(494.8-147.3)+(0.408663+(0.757044-0.225369))+0-147.3-0.225369000000009</f>
        <v>468.01496900000001</v>
      </c>
      <c r="O254" s="3">
        <f>265.5+(486.2-129.8)+(-0.406215+(-0.743886--0.198594))+0-156.4--0.239292000000009</f>
        <v>464.78778500000004</v>
      </c>
      <c r="P254" s="3">
        <f>264+(514.2-164)+(0.13464+(0.262242-0.08364))+0-123.6-0.0630359999999875</f>
        <v>490.85020599999996</v>
      </c>
      <c r="Q254" s="3">
        <f>266.7+(543.2-189.8)+(-0.680085+(-1.38516--0.48399))+0-139.4--0.35546999999998</f>
        <v>479.47421499999996</v>
      </c>
      <c r="R254" s="3">
        <f>263.9+(489.3-140)+(-0.269178+(-0.499086--0.1428))+0-142.5--0.145350000000023</f>
        <v>470.21988600000009</v>
      </c>
      <c r="S254" s="3">
        <f>262.5+(439.7-102.7)+(0+(0-0))+0-147.2-0</f>
        <v>452.3</v>
      </c>
      <c r="T254" s="3">
        <f>261.4+(452.9-129.9)+(0+(0-0))+0-134.4-0</f>
        <v>450</v>
      </c>
      <c r="U254" s="3">
        <f>261.1+(458.3-135.8)+(0.133161+(0.233733-0.069258))+0-129-0.0657899999999869</f>
        <v>454.83184600000004</v>
      </c>
      <c r="V254" s="3">
        <f>262.5+(492.1-132.6)+(0.401625+(0.752913-0.202878))+0-134.4-0.205632000000008</f>
        <v>488.34602799999999</v>
      </c>
      <c r="W254" s="3">
        <f>295.6+(463.7-57.6)+(0.452268+(0.709461-0.088128))+0-152.4-0.233172000000009</f>
        <v>550.14042900000015</v>
      </c>
      <c r="X254" s="3">
        <f>398.5+(406.8-119.1)+(-0.81294+(-0.829872--0.242964))+0-139.6--0.284783999999994</f>
        <v>545.48493599999995</v>
      </c>
      <c r="Y254" s="3">
        <f>402.7+(406.2-130.5)+(-0.616131+(-0.621486--0.199665))+0-149.1--0.228123000000009</f>
        <v>528.49017099999992</v>
      </c>
      <c r="Z254" s="3">
        <f>403.9+(423.8-154.9)+(-0.617967+(-0.648414--0.236997))+0-154.4--0.236232000000009</f>
        <v>517.6068479999999</v>
      </c>
      <c r="AA254" s="3">
        <f>405.1+(477.6-215.6)+(-0.413202+(-0.487152--0.219912))+0-154.2--0.157284000000025</f>
        <v>512.37684200000001</v>
      </c>
      <c r="AB254" s="3">
        <f>369.9+(533-259.5)+(0+(0-0))+0-157.6-0</f>
        <v>485.79999999999995</v>
      </c>
      <c r="AC254" s="3">
        <f>274+(540.5-210.1)+(-0.6987+(-1.378275--0.535755))+0-151.5--0.386324999999978</f>
        <v>451.74510500000002</v>
      </c>
      <c r="AD254">
        <f t="shared" si="3"/>
        <v>11154.056142999998</v>
      </c>
      <c r="AE254" s="3">
        <f>392+(419.2-100.3)+(0+(0-0))+0-151.2-0</f>
        <v>559.70000000000005</v>
      </c>
    </row>
    <row r="255" spans="1:31" s="2" customFormat="1" x14ac:dyDescent="0.25">
      <c r="A255">
        <v>89</v>
      </c>
      <c r="B255">
        <v>9</v>
      </c>
      <c r="C255">
        <v>9</v>
      </c>
      <c r="D255">
        <v>4</v>
      </c>
      <c r="E255">
        <v>1</v>
      </c>
      <c r="F255" s="3">
        <f>277.8+(510-224.9)+(-0.566712+(-1.0404--0.458796))+0-136--0.277439999999994</f>
        <v>426.02912400000008</v>
      </c>
      <c r="G255" s="3">
        <f>279.1+(453.5-195.2)+(-0.284682+(-0.46257--0.199104))+0-122.8--0.12525600000002</f>
        <v>414.17710800000015</v>
      </c>
      <c r="H255" s="3">
        <f>279.7+(477.5-229.4)+(-0.427941+(-0.730575--0.350982))+0-119.3--0.182529000000007</f>
        <v>407.8749949999999</v>
      </c>
      <c r="I255" s="3">
        <f>281.3+(481.6-238.1)+(-0.286926+(-0.491232--0.242862))+0-118.9--0.121278000000019</f>
        <v>405.48598200000009</v>
      </c>
      <c r="J255" s="3">
        <f>280.1+(486.3-236.4)+(-0.285702+(-0.496026--0.241128))+0-118--0.120360000000019</f>
        <v>411.57975999999996</v>
      </c>
      <c r="K255" s="3">
        <f>281.2+(445.6-196.1)+(0+(0-0))+0-119.6-0</f>
        <v>411.1</v>
      </c>
      <c r="L255" s="3">
        <f>282.5+(414.4-159.3)+(-0.28815+(-0.422688--0.162486))+0-118.6--0.120972000000019</f>
        <v>418.57261999999986</v>
      </c>
      <c r="M255" s="3">
        <f>279.9+(405.5-116)+(-0.142749+(-0.206805--0.05916))+0-117.7--0.0600269999999881</f>
        <v>451.46963299999999</v>
      </c>
      <c r="N255" s="3">
        <f>269+(410.4-100.1)+(0.13719+(0.209304-0.051051))+0-121.4-0.0619139999999877</f>
        <v>458.13352899999995</v>
      </c>
      <c r="O255" s="3">
        <f>279.7+(423.4-105)+(0+(0-0))+0-133-0</f>
        <v>465.09999999999991</v>
      </c>
      <c r="P255" s="3">
        <f>279+(402.7-80.7)+(-0.14229+(-0.205377--0.041157))+0-121.6--0.0620159999999877</f>
        <v>479.15550599999995</v>
      </c>
      <c r="Q255" s="3">
        <f>277+(407.3-64.9)+(-0.28254+(-0.415446--0.066198))+0-131.7--0.134334000000021</f>
        <v>487.20254599999998</v>
      </c>
      <c r="R255" s="3">
        <f>276.7+(430.6-90.4)+(-0.141117+(-0.219606--0.046104))+0-135.5--0.0691049999999863</f>
        <v>481.15448600000008</v>
      </c>
      <c r="S255" s="3">
        <f>277.9+(432.5-102.9)+(0+(0-0))+0-139-0</f>
        <v>468.5</v>
      </c>
      <c r="T255" s="3">
        <f>274.7+(429.1-131)+(-0.420291+(-0.656523--0.20043))+0-128.3--0.196299000000007</f>
        <v>443.81991499999992</v>
      </c>
      <c r="U255" s="3">
        <f>278.1+(413.4-113)+(-0.425493+(-0.632502--0.17289))+0-121.9--0.186507000000007</f>
        <v>455.90140200000008</v>
      </c>
      <c r="V255" s="3">
        <f>245.4+(410.3-53.8)+(-0.375462+(-0.627759--0.082314))+0-136.2--0.208386000000008</f>
        <v>464.98747899999995</v>
      </c>
      <c r="W255" s="3">
        <f>251.1+(473.6-39.3)+(-0.256122+(-0.483072--0.040086))+0-152.6--0.155652000000024</f>
        <v>532.25654399999996</v>
      </c>
      <c r="X255" s="3">
        <f>259.4+(474.8-37.8)+(-0.529176+(-0.968592--0.077112))+0-159.8--0.325991999999993</f>
        <v>535.50533599999994</v>
      </c>
      <c r="Y255" s="3">
        <f>259.7+(454.8-37.3)+(-0.529788+(-0.927792--0.076092))+0-150--0.305999999999993</f>
        <v>526.1245120000001</v>
      </c>
      <c r="Z255" s="3">
        <f>260.4+(424.8-34.6)+(-0.265608+(-0.433296--0.035292))+0-139--0.141780000000022</f>
        <v>511.07816800000001</v>
      </c>
      <c r="AA255" s="3">
        <f>257.7+(431.2-61.1)+(-0.394281+(-0.659736--0.093483))+0-131.2--0.200736000000008</f>
        <v>495.84020199999992</v>
      </c>
      <c r="AB255" s="3">
        <f>256.9+(448.7-90.6)+(-0.393057+(-0.686511--0.138618))+0-144.9--0.221697000000008</f>
        <v>469.38074699999999</v>
      </c>
      <c r="AC255" s="3">
        <f>255.1+(442-114.6)+(-0.650505+(-1.1271--0.29223))+0-140.6--0.35852999999998</f>
        <v>440.77315499999997</v>
      </c>
      <c r="AD255">
        <f t="shared" si="3"/>
        <v>11061.202749</v>
      </c>
      <c r="AE255" s="3">
        <f>261+(477-39.4)+(0+(0-0))+0-171.8-0</f>
        <v>526.79999999999995</v>
      </c>
    </row>
    <row r="256" spans="1:31" s="2" customFormat="1" x14ac:dyDescent="0.25">
      <c r="A256">
        <v>89</v>
      </c>
      <c r="B256">
        <v>9</v>
      </c>
      <c r="C256">
        <v>10</v>
      </c>
      <c r="D256">
        <v>5</v>
      </c>
      <c r="E256">
        <v>1</v>
      </c>
      <c r="F256" s="3">
        <f>255.4+(384.4-99.9)+(-0.65127+(-0.98022--0.254745))+0-127.4--0.324869999999982</f>
        <v>411.44812499999995</v>
      </c>
      <c r="G256" s="3">
        <f>259.8+(395.7-106)+(0+(0-0))+0-149.8-0</f>
        <v>399.7</v>
      </c>
      <c r="H256" s="3">
        <f>259.6+(401.8-118.8)+(-0.132396+(-0.204918--0.060588))+0-148.2--0.075581999999985</f>
        <v>394.19885599999998</v>
      </c>
      <c r="I256" s="3">
        <f>213.4+(434.1-104.7)+(-0.108834+(-0.221391--0.053397))+0-154.1--0.0785909999999844</f>
        <v>388.50176299999998</v>
      </c>
      <c r="J256" s="3">
        <f>197.8+(441.5-87.4)+(0.201756+(0.45033-0.089148))+0-164.3-0.167586000000026</f>
        <v>387.99535200000008</v>
      </c>
      <c r="K256" s="3">
        <f>197.8+(393.2-52)+(-0.201756+(-0.401064--0.05304))+0-147.3--0.150246000000024</f>
        <v>391.30046599999997</v>
      </c>
      <c r="L256" s="3">
        <f>198.4+(379-18.8)+(-0.101184+(-0.19329--0.009588))+0-161.1--0.0821609999999837</f>
        <v>397.29727499999996</v>
      </c>
      <c r="M256" s="3">
        <f>199.4+(391.1-21.5)+(0+(0-0))+0-141.8-0</f>
        <v>427.2</v>
      </c>
      <c r="N256" s="3">
        <f>225.9+(392.6-28.1)+(-0.115209+(-0.200226--0.014331))+0-144.4--0.0736439999999854</f>
        <v>445.77253999999999</v>
      </c>
      <c r="O256" s="3">
        <f>262.1+(371.7-38.9)+(-0.534684+(-0.758268--0.079356))+0-136.4--0.278255999999994</f>
        <v>457.56466000000006</v>
      </c>
      <c r="P256" s="3">
        <f>284+(345.2-45.6)+(0.14484+(0.176052-0.023256))+0-139.6-0.0711959999999858</f>
        <v>444.22643999999991</v>
      </c>
      <c r="Q256" s="3">
        <f>289.2+(381-50.5)+(-0.147492+(-0.19431--0.025755))+0-154.9--0.0789989999999843</f>
        <v>464.56295200000005</v>
      </c>
      <c r="R256" s="3">
        <f>284+(374.9-74.7)+(-0.7242+(-0.955995--0.190485))+0-109--0.277949999999984</f>
        <v>473.98824000000008</v>
      </c>
      <c r="S256" s="3">
        <f>269.1+(363.9-43.5)+(0+(0-0))+0-140.6-0</f>
        <v>448.9</v>
      </c>
      <c r="T256" s="3">
        <f>188+(417.9-34.1)+(0+(0-0))+0-133.4-0</f>
        <v>438.4</v>
      </c>
      <c r="U256" s="3">
        <f>170.1+(444.4-32.7)+(-0.086751+(-0.226644--0.016677))+0-139.2--0.0709919999999859</f>
        <v>442.3742739999999</v>
      </c>
      <c r="V256" s="3">
        <f>227+(431-37)+(0.23154+(0.43962-0.03774))+0-150.8-0.153816000000024</f>
        <v>470.67960399999998</v>
      </c>
      <c r="W256" s="3">
        <f>459.7+(308.6-62)+(0+(0-0))+0-159.5-0</f>
        <v>546.79999999999995</v>
      </c>
      <c r="X256" s="3">
        <f>588.8+(245.7-139.6)+(-1.201152+(-0.501228--0.284784))+0-152.8--0.311711999999993</f>
        <v>540.99411599999985</v>
      </c>
      <c r="Y256" s="3">
        <f>531.3+(297.6-146.5)+(-0.812889+(-0.455328--0.224145))+0-158.6--0.242658000000009</f>
        <v>522.99858599999993</v>
      </c>
      <c r="Z256" s="3">
        <f>453.4+(324.5-117)+(-0.231234+(-0.165495--0.05967))+0-154.6--0.0788459999999843</f>
        <v>506.041787</v>
      </c>
      <c r="AA256" s="3">
        <f>412.1+(316.9-84.7)+(0+(0-0))+0-144.3-0</f>
        <v>499.99999999999994</v>
      </c>
      <c r="AB256" s="3">
        <f>347.3+(353.4-127.4)+(-0.708492+(-0.720936--0.259896))+0-117.4--0.239495999999995</f>
        <v>454.96996399999995</v>
      </c>
      <c r="AC256" s="3">
        <f>349.2+(328-131)+(-0.534276+(-0.50184--0.20043))+0-118.1--0.180693000000007</f>
        <v>427.44500700000003</v>
      </c>
      <c r="AD256">
        <f t="shared" si="3"/>
        <v>10783.360006999997</v>
      </c>
      <c r="AE256" s="3">
        <f>566+(256.6-111.6)+(0+(0-0))+0-146.8-0</f>
        <v>564.20000000000005</v>
      </c>
    </row>
    <row r="257" spans="1:31" s="2" customFormat="1" x14ac:dyDescent="0.25">
      <c r="A257">
        <v>89</v>
      </c>
      <c r="B257">
        <v>9</v>
      </c>
      <c r="C257">
        <v>11</v>
      </c>
      <c r="D257">
        <v>6</v>
      </c>
      <c r="E257">
        <v>1</v>
      </c>
      <c r="F257" s="3">
        <f>338.5+(273.5-88)+(-0.34527+(-0.27897--0.08976))+0-124.7--0.12719400000002</f>
        <v>398.89271400000001</v>
      </c>
      <c r="G257" s="3">
        <f>341.7+(271.4-103.7)+(0.348534+(0.276828-0.105774))+0-123.6-0.12607200000002</f>
        <v>386.19351599999993</v>
      </c>
      <c r="H257" s="3">
        <f>344.2+(286.1-112.8)+(0.526626+(0.437733-0.172584))+0-138.7-0.212211000000008</f>
        <v>379.37956400000002</v>
      </c>
      <c r="I257" s="3">
        <f>340.8+(291.7-106.1)+(-0.173808+(-0.148767--0.054111))+0-134.9--0.0687989999999863</f>
        <v>391.30033500000002</v>
      </c>
      <c r="J257" s="3">
        <f>343.4+(271.5-93.2)+(0.175134+(0.138465-0.047532))+0-133.1-0.0678809999999865</f>
        <v>388.79818600000004</v>
      </c>
      <c r="K257" s="3">
        <f>338.7+(249.2-58.6)+(0+(0-0))+0-150.6-0</f>
        <v>378.69999999999993</v>
      </c>
      <c r="L257" s="3">
        <f>336.7+(247.6-54.7)+(-0.343434+(-0.252552--0.055794))+0-136--0.138720000000022</f>
        <v>393.1985279999999</v>
      </c>
      <c r="M257" s="3">
        <f>337.5+(273.7-56.7)+(0.172125+(0.139587-0.028917))+0-130-0.0662999999999868</f>
        <v>424.71649499999995</v>
      </c>
      <c r="N257" s="3">
        <f>319.8+(307.3-37.6)+(0+(0-0))+0-150-0</f>
        <v>439.5</v>
      </c>
      <c r="O257" s="3">
        <f>272.1+(366.4-29.9)+(-0.555084+(-0.747456--0.060996))+0-158--0.322319999999993</f>
        <v>449.68077600000004</v>
      </c>
      <c r="P257" s="3">
        <f>255.5+(387.2-32.7)+(-0.390915+(-0.592416--0.050031))+0-155--0.237150000000009</f>
        <v>454.30384999999995</v>
      </c>
      <c r="Q257" s="3">
        <f>256.9+(403-34.4)+(-0.131019+(-0.20553--0.017544))+0-162--0.0826199999999836</f>
        <v>463.26361500000002</v>
      </c>
      <c r="R257" s="3">
        <f>254.1+(389.2-28.4)+(-0.518364+(-0.793968--0.057936))+0-152.7--0.311507999999993</f>
        <v>461.25711199999995</v>
      </c>
      <c r="S257" s="3">
        <f>253.2+(385.8-30)+(-0.258264+(-0.393516--0.0306))+0-159.1--0.162282000000025</f>
        <v>449.441102</v>
      </c>
      <c r="T257" s="3">
        <f>252.8+(364.1-36.2)+(-0.257856+(-0.371382--0.036924))+0-151.6--0.154632000000024</f>
        <v>428.66231800000008</v>
      </c>
      <c r="U257" s="3">
        <f>252.8+(341.3-59.8)+(-0.128928+(-0.174063--0.030498))+0-125.8--0.0641579999999872</f>
        <v>408.29166499999985</v>
      </c>
      <c r="V257" s="3">
        <f>252.3+(364.6-35.9)+(-0.643365+(-0.92973--0.091545))+0-138.8--0.35393999999998</f>
        <v>441.07238999999998</v>
      </c>
      <c r="W257" s="3">
        <f>257.9+(413.6-34.4)+(0+(0-0))+0-134.7-0</f>
        <v>502.40000000000003</v>
      </c>
      <c r="X257" s="3">
        <f>254.5+(428.6-32.5)+(-0.908565+(-1.530102--0.116025))+0-147.6--0.526932000000002</f>
        <v>501.20429000000001</v>
      </c>
      <c r="Y257" s="3">
        <f>259.4+(392.9-25.6)+(-0.396882+(-0.601137--0.039168))+0-147.1--0.225063000000008</f>
        <v>478.86621199999996</v>
      </c>
      <c r="Z257" s="3">
        <f>260.4+(382.5-20.2)+(-0.398412+(-0.585225--0.030906))+0-152.7--0.233631000000009</f>
        <v>469.28090000000009</v>
      </c>
      <c r="AA257" s="3">
        <f>257.7+(362.3-30.3)+(-0.657135+(-0.923865--0.077265))+0-152.5--0.388874999999978</f>
        <v>436.08514000000002</v>
      </c>
      <c r="AB257" s="3">
        <f>261.6+(319-78.1)+(0+(0-0))+0-144.8-0</f>
        <v>357.7</v>
      </c>
      <c r="AC257" s="3">
        <f>259.4+(353.3-108)+(-0.396882+(-0.540549--0.16524))+0-147.9--0.226287000000009</f>
        <v>356.25409599999995</v>
      </c>
      <c r="AD257">
        <f t="shared" ref="AD257:AD320" si="4">SUM(F257:AC257)</f>
        <v>10238.442804</v>
      </c>
      <c r="AE257" s="3">
        <f>254+(409.5-37)+(0+(0-0))+0-138.1-0</f>
        <v>488.4</v>
      </c>
    </row>
    <row r="258" spans="1:31" s="2" customFormat="1" x14ac:dyDescent="0.25">
      <c r="A258">
        <v>89</v>
      </c>
      <c r="B258">
        <v>9</v>
      </c>
      <c r="C258">
        <v>12</v>
      </c>
      <c r="D258">
        <v>7</v>
      </c>
      <c r="E258">
        <v>1</v>
      </c>
      <c r="F258" s="3">
        <f>257.1+(418.5-112.4)+(-0.786726+(-1.28061--0.343944))+0-150.1--0.459306000000017</f>
        <v>411.83591400000006</v>
      </c>
      <c r="G258" s="3">
        <f>261.8+(438.7-141.3)+(0+(0-0))+0-164.2-0</f>
        <v>395.00000000000006</v>
      </c>
      <c r="H258" s="3">
        <f>261+(459-185.1)+(-0.13311+(-0.23409--0.094401))+0-147.5--0.075224999999985</f>
        <v>387.202426</v>
      </c>
      <c r="I258" s="3">
        <f>263.7+(452.2-171.8)+(0.134487+(0.230622-0.087618))+0-157.8-0.080477999999984</f>
        <v>386.49701299999998</v>
      </c>
      <c r="J258" s="3">
        <f>263.8+(442.3-170)+(0+(0-0))+0-152.4-0</f>
        <v>383.70000000000005</v>
      </c>
      <c r="K258" s="3">
        <f>266.2+(419.8-169.9)+(0.407286+(0.642294-0.259947))+0-139.6-0.213588000000008</f>
        <v>377.07604499999997</v>
      </c>
      <c r="L258" s="3">
        <f>261.7+(396.4-150)+(-0.266934+(-0.404328--0.153))+0-149.6--0.152592000000024</f>
        <v>358.13432999999998</v>
      </c>
      <c r="M258" s="3">
        <f>258.1+(351.6-113.1)+(-0.658155+(-0.89658--0.288405))+0-144.5--0.368474999999979</f>
        <v>351.20214500000003</v>
      </c>
      <c r="N258" s="3">
        <f>262.5+(296.7-74.3)+(0.133875+(0.151317-0.037893))+0-131.5-0.0670649999999867</f>
        <v>353.58023399999996</v>
      </c>
      <c r="O258" s="3">
        <f>260.8+(259.1-32.5)+(0.133008+(0.132141-0.016575))+0-128.5-0.065534999999987</f>
        <v>359.08303900000004</v>
      </c>
      <c r="P258" s="3">
        <f>256.1+(294-34.9)+(-0.522444+(-0.59976--0.071196))+0-140.1--0.285803999999994</f>
        <v>374.33479599999998</v>
      </c>
      <c r="Q258" s="3">
        <f>257.2+(303.3-30.5)+(-0.131172+(-0.154683--0.015555))+0-153.7--0.0783869999999844</f>
        <v>376.10808699999995</v>
      </c>
      <c r="R258" s="3">
        <f>253.7+(279.1-28.6)+(-0.388161+(-0.427023--0.043758))+0-148.8--0.227664000000009</f>
        <v>354.85623800000002</v>
      </c>
      <c r="S258" s="3">
        <f>255+(240.6-53.4)+(-0.39015+(-0.368118--0.081702))+0-146.4--0.223992000000008</f>
        <v>295.34742599999998</v>
      </c>
      <c r="T258" s="3">
        <f>253+(204.7-64.9)+(0.12903+(0.104397-0.033099))+0-132.5-0.0675749999999866</f>
        <v>260.43275299999999</v>
      </c>
      <c r="U258" s="3">
        <f>257+(277.9-23.7)+(-0.26214+(-0.283458--0.024174))+0-152.4--0.155448000000024</f>
        <v>358.43402399999997</v>
      </c>
      <c r="V258" s="3">
        <f>255+(287.4-25.1)+(-0.2601+(-0.293148--0.025602))+0-133.7--0.136374000000021</f>
        <v>383.20872800000001</v>
      </c>
      <c r="W258" s="3">
        <f>265+(359.9-25.3)+(0+(0-0))+0-151.9-0</f>
        <v>447.69999999999993</v>
      </c>
      <c r="X258" s="3">
        <f>253+(325.8-32.3)+(-0.25806+(-0.332316--0.032946))+0-137.8--0.140556000000022</f>
        <v>408.28312600000004</v>
      </c>
      <c r="Y258" s="3">
        <f>262+(311.6-33.4)+(-0.13362+(-0.158916--0.017034))+0-146.3--0.0746129999999852</f>
        <v>393.69911100000007</v>
      </c>
      <c r="Z258" s="3">
        <f>261+(332.1-23.7)+(-0.26622+(-0.338742--0.024174))+0-151.8--0.154836000000024</f>
        <v>417.17404800000014</v>
      </c>
      <c r="AA258" s="3">
        <f>190+(376.5-22.5)+(-0.1938+(-0.38403--0.02295))+0-165.4--0.168708000000026</f>
        <v>378.21382800000003</v>
      </c>
      <c r="AB258" s="3">
        <f>190+(323.1-32.2)+(0+(0-0))+0-151-0</f>
        <v>329.90000000000003</v>
      </c>
      <c r="AC258" s="3">
        <f>250+(270.4-54.7)+(-0.6375+(-0.68952--0.139485))+0-137.3--0.35011499999998</f>
        <v>327.56257999999991</v>
      </c>
      <c r="AD258">
        <f t="shared" si="4"/>
        <v>8868.5658910000002</v>
      </c>
      <c r="AE258" s="3">
        <f>277+(359.3-27.8)+(0+(0-0))+0-150.1-0</f>
        <v>458.4</v>
      </c>
    </row>
    <row r="259" spans="1:31" s="2" customFormat="1" x14ac:dyDescent="0.25">
      <c r="A259">
        <v>89</v>
      </c>
      <c r="B259">
        <v>9</v>
      </c>
      <c r="C259">
        <v>13</v>
      </c>
      <c r="D259">
        <v>1</v>
      </c>
      <c r="E259">
        <v>1</v>
      </c>
      <c r="F259" s="3">
        <f>333+(270.6-81.5)+(-1.01898+(-0.828036--0.24939))+0-140.4--0.429624000000016</f>
        <v>380.53199800000004</v>
      </c>
      <c r="G259" s="3">
        <f>331+(309.8-131.4)+(-0.67524+(-0.631992--0.268056))+0-145.1--0.296003999999994</f>
        <v>363.55682799999994</v>
      </c>
      <c r="H259" s="3">
        <f>335+(337-138.5)+(-0.6834+(-0.68748--0.28254))+0-160.7--0.327827999999993</f>
        <v>372.03948800000001</v>
      </c>
      <c r="I259" s="3">
        <f>337+(341.2-166.7)+(-0.34374+(-0.348024--0.170034))+0-139--0.141780000000022</f>
        <v>372.12005000000005</v>
      </c>
      <c r="J259" s="3">
        <f>343+(357.9-174.9)+(0+(0-0))+0-153.9-0</f>
        <v>372.1</v>
      </c>
      <c r="K259" s="3">
        <f>340+(297.4-128.7)+(0.1734+(0.151674-0.065637))+0-137.1-0.0699209999999861</f>
        <v>371.78951599999999</v>
      </c>
      <c r="L259" s="3">
        <f>338+(319.5-114.5)+(-0.68952+(-0.65178--0.23358))+0-143.7--0.293147999999994</f>
        <v>398.48542800000001</v>
      </c>
      <c r="M259" s="3">
        <f>345+(303.6-70.1)+(-0.3519+(-0.309672--0.071502))+0-141.7--0.144534000000023</f>
        <v>436.35446400000006</v>
      </c>
      <c r="N259" s="3">
        <f>332+(341.1-74.7)+(0+(0-0))+0-151.6-0</f>
        <v>446.80000000000007</v>
      </c>
      <c r="O259" s="3">
        <f>335+(348.3-81.6)+(0.51255+(0.532899-0.124848))+0-144.3-0.220779000000008</f>
        <v>458.09982200000007</v>
      </c>
      <c r="P259" s="3">
        <f>327+(348.1-51.9)+(-0.50031+(-0.532593--0.079407))+0-148.5--0.227205000000009</f>
        <v>473.9737090000001</v>
      </c>
      <c r="Q259" s="3">
        <f>335.9+(341.2-61.3)+(0+(0-0))+0-133.8-0</f>
        <v>481.99999999999994</v>
      </c>
      <c r="R259" s="3">
        <f>331+(323.7-41.2)+(-1.01286+(-0.990522--0.126072))+0-136.3--0.417078000000016</f>
        <v>475.73976800000003</v>
      </c>
      <c r="S259" s="3">
        <f>336+(313.2-38.9)+(-0.51408+(-0.479196--0.059517))+0-147.7--0.225981000000009</f>
        <v>461.89222199999995</v>
      </c>
      <c r="T259" s="3">
        <f>360+(301.9-57.6)+(0+(0-0))+0-152.1-0</f>
        <v>452.19999999999993</v>
      </c>
      <c r="U259" s="3">
        <f>413+(271.2-96.5)+(0+(0-0))+0-138.7-0</f>
        <v>449.00000000000006</v>
      </c>
      <c r="V259" s="3">
        <f>451+(203.5-63.8)+(-0.23001+(-0.103785--0.032538))+0-121.1--0.0617609999999877</f>
        <v>469.36050400000005</v>
      </c>
      <c r="W259" s="3">
        <f>473+(256.8-54.8)+(0.72369+(0.392904-0.083844))+0-137.3-0.210069000000008</f>
        <v>538.52268099999992</v>
      </c>
      <c r="X259" s="3">
        <f>440+(291.5-50.5)+(-0.8976+(-0.59466--0.10302))+0-139.2--0.283967999999994</f>
        <v>540.69472799999994</v>
      </c>
      <c r="Y259" s="3">
        <f>341+(364.6-37.5)+(-0.86955+(-0.92973--0.095625))+0-143.5--0.365924999999979</f>
        <v>523.26226999999994</v>
      </c>
      <c r="Z259" s="3">
        <f>339+(347.7-39.8)+(0+(0-0))+0-136.8-0</f>
        <v>510.09999999999997</v>
      </c>
      <c r="AA259" s="3">
        <f>334+(354.7-48.2)+(-0.8517+(-0.904485--0.12291))+0-142.5--0.363374999999979</f>
        <v>496.73009999999994</v>
      </c>
      <c r="AB259" s="3">
        <f>341+(371.1-87.9)+(-0.34782+(-0.378522--0.089658))+0-144.7--0.147594000000023</f>
        <v>479.01091000000014</v>
      </c>
      <c r="AC259" s="3">
        <f>382+(368.9-146.8)+(-0.9741+(-0.940695--0.37434))+0-144.1--0.367454999999979</f>
        <v>458.82699999999994</v>
      </c>
      <c r="AD259">
        <f t="shared" si="4"/>
        <v>10783.191486000002</v>
      </c>
      <c r="AE259" s="3">
        <f>474+(287.2-56.8)+(0+(0-0))+0-120.2-0</f>
        <v>584.19999999999993</v>
      </c>
    </row>
    <row r="260" spans="1:31" s="2" customFormat="1" x14ac:dyDescent="0.25">
      <c r="A260">
        <v>89</v>
      </c>
      <c r="B260">
        <v>9</v>
      </c>
      <c r="C260">
        <v>14</v>
      </c>
      <c r="D260">
        <v>2</v>
      </c>
      <c r="E260">
        <v>1</v>
      </c>
      <c r="F260" s="3">
        <f>367+(350.1-172.8)+(-0.74868+(-0.714204--0.352512))+0-145.9--0.297635999999994</f>
        <v>397.587264</v>
      </c>
      <c r="G260" s="3">
        <f>343+(391.9-214.9)+(0+(0-0))+0-129.1-0</f>
        <v>390.9</v>
      </c>
      <c r="H260" s="3">
        <f>343+(403.1-218.8)+(-0.17493+(-0.205581--0.111588))+0-139.2--0.0709919999999859</f>
        <v>387.90206899999998</v>
      </c>
      <c r="I260" s="3">
        <f>343+(403.3-215.5)+(0+(0-0))+0-149.5-0</f>
        <v>381.29999999999995</v>
      </c>
      <c r="J260" s="3">
        <f>340+(381.2-191.8)+(-0.3468+(-0.388824--0.195636))+0-147.7--0.150654000000024</f>
        <v>381.31066600000003</v>
      </c>
      <c r="K260" s="3">
        <f>347+(340.6-156.9)+(0+(0-0))+0-143.8-0</f>
        <v>386.90000000000003</v>
      </c>
      <c r="L260" s="3">
        <f>339+(279-89.7)+(-0.34578+(-0.28458--0.091494))+0-148.4--0.151368000000024</f>
        <v>379.51250200000004</v>
      </c>
      <c r="M260" s="3">
        <f>347+(319.4-104.6)+(-0.35394+(-0.325788--0.106692))+0-147.9--0.150858000000024</f>
        <v>413.477822</v>
      </c>
      <c r="N260" s="3">
        <f>348+(301.9-90.2)+(0.17748+(0.153969-0.046002))+0-130.1-0.0663509999999868</f>
        <v>429.819096</v>
      </c>
      <c r="O260" s="3">
        <f>344+(304.7-86.9)+(0.17544+(0.155397-0.044319))+0-130.9-0.0667589999999867</f>
        <v>431.11975899999999</v>
      </c>
      <c r="P260" s="3">
        <f>343+(296-49.7)+(-0.17493+(-0.15096--0.025347))+0-141.7--0.0722669999999856</f>
        <v>447.37172400000003</v>
      </c>
      <c r="Q260" s="3">
        <f>339+(302.4-48.7)+(-0.51867+(-0.462672--0.074511))+0-141.7--0.216801000000008</f>
        <v>450.30997000000008</v>
      </c>
      <c r="R260" s="3">
        <f>336+(267.6-52.5)+(-0.51408+(-0.409428--0.080325))+0-119--0.182070000000007</f>
        <v>431.43888700000008</v>
      </c>
      <c r="S260" s="3">
        <f>330.9+(261.9-45.6)+(-0.168759+(-0.133569--0.023256))+0-132.8--0.0677279999999865</f>
        <v>414.18865599999987</v>
      </c>
      <c r="T260" s="3">
        <f>329.8+(239.2-56.3)+(-0.168198+(-0.121992--0.028713))+0-120.3--0.0613529999999878</f>
        <v>392.19987600000002</v>
      </c>
      <c r="U260" s="3">
        <f>330.2+(225.6-49.8)+(0+(0-0))+0-115.3-0</f>
        <v>390.7</v>
      </c>
      <c r="V260" s="3">
        <f>323.3+(243-42.3)+(-0.824415+(-0.61965--0.107865))+0-119.3--0.304214999999983</f>
        <v>403.66801500000003</v>
      </c>
      <c r="W260" s="3">
        <f>331.8+(305-39.6)+(0+(0-0))+0-139-0</f>
        <v>458.20000000000005</v>
      </c>
      <c r="X260" s="3">
        <f>323.5+(323.3-45.5)+(-0.824925+(-0.824415--0.116025))+0-134.6--0.34322999999998</f>
        <v>465.50991499999992</v>
      </c>
      <c r="Y260" s="3">
        <f>329.1+(304.9-37.8)+(-0.335682+(-0.310998--0.038556))+0-143.7--0.146574000000023</f>
        <v>452.03845000000013</v>
      </c>
      <c r="Z260" s="3">
        <f>325.7+(296.5-40.1)+(-0.830535+(-0.756075--0.102255))+0-137--0.34934999999998</f>
        <v>443.96499499999982</v>
      </c>
      <c r="AA260" s="3">
        <f>330.8+(323.7-75.7)+(-0.337416+(-0.330174--0.077214))+0-139.4--0.142188000000022</f>
        <v>438.95181200000002</v>
      </c>
      <c r="AB260" s="3">
        <f>326.8+(347.8-115.4)+(-0.83334+(-0.88689--0.29427))+0-139--0.35444999999998</f>
        <v>419.12849</v>
      </c>
      <c r="AC260" s="3">
        <f>330.8+(416.6-215.1)+(-0.337416+(-0.424932--0.219402))+0-135.4--0.138108000000022</f>
        <v>396.49516200000011</v>
      </c>
      <c r="AD260">
        <f t="shared" si="4"/>
        <v>9983.9951299999993</v>
      </c>
      <c r="AE260" s="3">
        <f>321+(387.7-37.3)+(0+(0-0))+0-147.5-0</f>
        <v>523.9</v>
      </c>
    </row>
    <row r="261" spans="1:31" s="2" customFormat="1" x14ac:dyDescent="0.25">
      <c r="A261">
        <v>89</v>
      </c>
      <c r="B261">
        <v>9</v>
      </c>
      <c r="C261">
        <v>15</v>
      </c>
      <c r="D261">
        <v>3</v>
      </c>
      <c r="E261">
        <v>1</v>
      </c>
      <c r="F261" s="3">
        <f>330+(471.2-232.2)+(-0.5049+(-0.720936--0.355266))+0-136.9--0.209457000000008</f>
        <v>431.43888699999997</v>
      </c>
      <c r="G261" s="3">
        <f>318.3+(432.4-207.1)+(-0.324666+(-0.441048--0.211242))+0-126.5--0.12903000000002</f>
        <v>416.67455799999999</v>
      </c>
      <c r="H261" s="3">
        <f>260.6+(398-121)+(-0.398718+(-0.60894--0.18513))+0-135--0.206550000000008</f>
        <v>401.98402199999998</v>
      </c>
      <c r="I261" s="3">
        <f>259.5+(433.1-150.6)+(-0.397035+(-0.662643--0.230418))+0-132.1--0.202113000000008</f>
        <v>409.272853</v>
      </c>
      <c r="J261" s="3">
        <f>259.5+(435.6-155.1)+(-0.132345+(-0.222156--0.079101))+0-130.3--0.0664529999999868</f>
        <v>409.49105299999997</v>
      </c>
      <c r="K261" s="3">
        <f>258.9+(403.9-122.9)+(0+(0-0))+0-127.3-0</f>
        <v>412.59999999999997</v>
      </c>
      <c r="L261" s="3">
        <f>258.4+(334.4-66.6)+(-0.131784+(-0.170544--0.033966))+0-117.7--0.0600269999999881</f>
        <v>408.29166499999991</v>
      </c>
      <c r="M261" s="3">
        <f>318.1+(318.1-71.3)+(0+(0-0))+0-124.4-0</f>
        <v>440.50000000000011</v>
      </c>
      <c r="N261" s="3">
        <f>347.7+(343.6-95)+(0+(0-0))+0-131.8-0</f>
        <v>464.49999999999994</v>
      </c>
      <c r="O261" s="3">
        <f>344.3+(364.7-93.4)+(0.526779+(0.557991-0.142902))+0-141.3-0.216189000000008</f>
        <v>475.02567899999991</v>
      </c>
      <c r="P261" s="3">
        <f>333.2+(382.4-96.4)+(-0.339864+(-0.390048--0.098328))+0-141--0.143820000000022</f>
        <v>477.71223600000008</v>
      </c>
      <c r="Q261" s="3">
        <f>435.7+(335.2-150.7)+(-0.666621+(-0.512856--0.230571))+0-133.5--0.204255000000008</f>
        <v>485.95534900000007</v>
      </c>
      <c r="R261" s="3">
        <f>449.8+(355.9-174.6)+(-1.605786+(-1.270563--0.623322))+0-142.8--0.509796000000002</f>
        <v>486.55676900000003</v>
      </c>
      <c r="S261" s="3">
        <f>458.4+(322.6-169.5)+(-0.233784+(-0.164526--0.086445))+0-138.4--0.070583999999986</f>
        <v>472.85871900000001</v>
      </c>
      <c r="T261" s="3">
        <f>453.2+(348.6-220.3)+(-0.693396+(-0.533358--0.337059))+0-130.2--0.199206000000008</f>
        <v>450.60951100000005</v>
      </c>
      <c r="U261" s="3">
        <f>456.1+(368.4-245.6)+(-0.697833+(-0.563652--0.375768))+0-127.2--0.194616000000007</f>
        <v>451.00889899999999</v>
      </c>
      <c r="V261" s="3">
        <f>449.4+(301.3-152)+(-0.687582+(-0.460989--0.23256))+0-119.6--0.182988000000007</f>
        <v>478.36697700000002</v>
      </c>
      <c r="W261" s="3">
        <f>466.7+(262.8-63.9)+(0.238017+(0.134028-0.032589))+0-133.3-0.0679829999999865</f>
        <v>532.57147300000008</v>
      </c>
      <c r="X261" s="3">
        <f>465.9+(266.4-63)+(-0.475218+(-0.271728--0.06426))+0-133.7--0.136374000000021</f>
        <v>535.05368800000008</v>
      </c>
      <c r="Y261" s="3">
        <f>458.9+(287.7-89.2)+(-1.638273+(-1.027089--0.318444))+0-131--0.467670000000002</f>
        <v>524.52075200000002</v>
      </c>
      <c r="Z261" s="3">
        <f>463.5+(311.2-128.3)+(-0.709155+(-0.476136--0.196299))+0-134.9--0.206397000000008</f>
        <v>510.71740499999993</v>
      </c>
      <c r="AA261" s="3">
        <f>455+(347.4-160.9)+(-0.69615+(-0.531522--0.246177))+0-137.9--0.210987000000008</f>
        <v>502.82949200000002</v>
      </c>
      <c r="AB261" s="3">
        <f>369.9+(413.8-167.6)+(-0.754596+(-0.844152--0.341904))+0-133.9--0.273155999999994</f>
        <v>481.21631200000002</v>
      </c>
      <c r="AC261" s="3">
        <f>335.8+(464.8-230.5)+(-1.027548+(-1.422288--0.70533))+0-131.1--0.401166000000015</f>
        <v>437.65665999999999</v>
      </c>
      <c r="AD261">
        <f t="shared" si="4"/>
        <v>11097.412959000001</v>
      </c>
      <c r="AE261" s="3">
        <f>465+(258.7-64.5)+(0+(0-0))+0-118.6-0</f>
        <v>540.6</v>
      </c>
    </row>
    <row r="262" spans="1:31" s="2" customFormat="1" x14ac:dyDescent="0.25">
      <c r="A262">
        <v>89</v>
      </c>
      <c r="B262">
        <v>9</v>
      </c>
      <c r="C262">
        <v>16</v>
      </c>
      <c r="D262">
        <v>4</v>
      </c>
      <c r="E262">
        <v>1</v>
      </c>
      <c r="F262" s="3">
        <f>339.5+(478.8-275.3)+(-0.519435+(-0.732564--0.421209))+0-132.7--0.203031000000008</f>
        <v>409.67224100000004</v>
      </c>
      <c r="G262" s="3">
        <f>341.5+(465.2-276.4)+(-0.34833+(-0.474504--0.281928))+0-136.5--0.139230000000022</f>
        <v>393.398324</v>
      </c>
      <c r="H262" s="3">
        <f>344+(405.6-240)+(0+(0-0))+0-125.4-0</f>
        <v>384.20000000000005</v>
      </c>
      <c r="I262" s="3">
        <f>341.7+(384-212.1)+(-0.348534+(-0.39168--0.216342))+0-130.4--0.133008000000021</f>
        <v>382.80913600000008</v>
      </c>
      <c r="J262" s="3">
        <f>342.1+(384.9-211.1)+(-0.348942+(-0.392598--0.215322))+0-133.2--0.135864000000021</f>
        <v>382.30964600000004</v>
      </c>
      <c r="K262" s="3">
        <f>342.8+(331.7-162.5)+(-0.174828+(-0.169167--0.082875))+0-127.5--0.0650249999999871</f>
        <v>384.30390499999999</v>
      </c>
      <c r="L262" s="3">
        <f>340.9+(286.6-98.3)+(-0.521577+(-0.438498--0.150399))+0-135.3--0.207009000000008</f>
        <v>393.29733300000009</v>
      </c>
      <c r="M262" s="3">
        <f>343.3+(292.6-96.3)+(0+(0-0))+0-119.7-0</f>
        <v>419.90000000000003</v>
      </c>
      <c r="N262" s="3">
        <f>341.5+(295.7-57.8)+(-0.522495+(-0.452421--0.088434))+0-137--0.209610000000008</f>
        <v>441.72312799999997</v>
      </c>
      <c r="O262" s="3">
        <f>347.1+(291.9-45.4)+(0.531063+(0.446607-0.069462))+0-142-0.217260000000008</f>
        <v>452.29094799999996</v>
      </c>
      <c r="P262" s="3">
        <f>360+(311.4-62.5)+(-0.5508+(-0.476442--0.095625))+0-157--0.240210000000009</f>
        <v>451.20859300000001</v>
      </c>
      <c r="Q262" s="3">
        <f>469.2+(264.1-132.4)+(-0.478584+(-0.269382--0.135048))+0-138.1--0.140862000000022</f>
        <v>462.32794399999995</v>
      </c>
      <c r="R262" s="3">
        <f>448.2+(299.9-136.4)+(-0.457164+(-0.305898--0.139128))+0-141--0.143820000000022</f>
        <v>470.21988599999997</v>
      </c>
      <c r="S262" s="3">
        <f>448+(260.3-120.4)+(-0.22848+(-0.132753--0.061404))+0-135.8--0.0692579999999862</f>
        <v>451.86942899999991</v>
      </c>
      <c r="T262" s="3">
        <f>449.3+(230.5-123.7)+(0.229143+(0.117555-0.063087))+0-126.2-0.0643619999999872</f>
        <v>430.11924900000002</v>
      </c>
      <c r="U262" s="3">
        <f>450.1+(253.4-143.9)+(0.229551+(0.129234-0.073389))+0-125.5-0.0640049999999873</f>
        <v>434.32139100000001</v>
      </c>
      <c r="V262" s="3">
        <f>449+(245.1-105.1)+(-1.14495+(-0.625005--0.268005))+0-126.5--0.322574999999982</f>
        <v>461.32062500000001</v>
      </c>
      <c r="W262" s="3">
        <f>463.4+(259.6-57.1)+(0+(0-0))+0-148.6-0</f>
        <v>517.29999999999995</v>
      </c>
      <c r="X262" s="3">
        <f>458.7+(249.2-63.8)+(-1.403622+(-0.762552--0.195228))+0-128.8--0.394128000000015</f>
        <v>513.72318199999984</v>
      </c>
      <c r="Y262" s="3">
        <f>416.6+(265.1-46.9)+(-0.849864+(-0.540804--0.095676))+0-134.4--0.274175999999994</f>
        <v>499.37918400000012</v>
      </c>
      <c r="Z262" s="3">
        <f>345.4+(322.9-48.5)+(-0.528462+(-0.494037--0.074205))+0-136.4--0.208692000000008</f>
        <v>482.66039799999993</v>
      </c>
      <c r="AA262" s="3">
        <f>344.9+(330.1-63.4)+(-0.527697+(-0.505053--0.097002))+0-130.2--0.199206000000008</f>
        <v>480.66345800000005</v>
      </c>
      <c r="AB262" s="3">
        <f>344+(359.6-104.8)+(-0.70176+(-0.733584--0.213792))+0-139.9--0.285395999999994</f>
        <v>457.96384399999999</v>
      </c>
      <c r="AC262" s="3">
        <f>342.1+(367.4-141.6)+(-0.872355+(-0.93687--0.36108))+0-138--0.35189999999998</f>
        <v>428.80375500000002</v>
      </c>
      <c r="AD262">
        <f t="shared" si="4"/>
        <v>10585.785599000003</v>
      </c>
      <c r="AE262" s="3">
        <f>461+(251.7-76.5)+(0+(0-0))+0-121.4-0</f>
        <v>514.80000000000007</v>
      </c>
    </row>
    <row r="263" spans="1:31" s="2" customFormat="1" x14ac:dyDescent="0.25">
      <c r="A263">
        <v>89</v>
      </c>
      <c r="B263">
        <v>9</v>
      </c>
      <c r="C263">
        <v>17</v>
      </c>
      <c r="D263">
        <v>5</v>
      </c>
      <c r="E263">
        <v>1</v>
      </c>
      <c r="F263" s="3">
        <f>340.3+(391.5-185.7)+(-1.041318+(-1.19799--0.568242))+0-143.6--0.439416000000017</f>
        <v>401.26835</v>
      </c>
      <c r="G263" s="3">
        <f>342+(432.9-230.9)+(-0.69768+(-0.883116--0.471036))+0-144--0.293759999999994</f>
        <v>399.18399999999997</v>
      </c>
      <c r="H263" s="3">
        <f>346.3+(368.9-200.9)+(-0.883065+(-0.940695--0.512295))+0-129.1--0.329204999999981</f>
        <v>384.21773999999994</v>
      </c>
      <c r="I263" s="3">
        <f>354.9+(348.4-170.3)+(0+(0-0))+0-141.5-0</f>
        <v>391.5</v>
      </c>
      <c r="J263" s="3">
        <f>356.5+(331.6-162.4)+(0.181815+(0.169116-0.082824))+0-136.4-0.0695639999999862</f>
        <v>389.49854300000004</v>
      </c>
      <c r="K263" s="3">
        <f>354.9+(295.2-117.7)+(-0.361998+(-0.301104--0.120054))+0-147.3--0.150246000000024</f>
        <v>384.70719800000001</v>
      </c>
      <c r="L263" s="3">
        <f>357+(278.6-100.8)+(0+(0-0))+0-119.7-0</f>
        <v>415.09999999999997</v>
      </c>
      <c r="M263" s="3">
        <f>355.5+(280.9-71.3)+(-0.36261+(-0.286518--0.072726))+0-125.9--0.12841800000002</f>
        <v>438.75201599999991</v>
      </c>
      <c r="N263" s="3">
        <f>355.7+(269.3-47.2)+(-0.544221+(-0.412029--0.072216))+0-119.5--0.182835000000007</f>
        <v>457.59880099999992</v>
      </c>
      <c r="O263" s="3">
        <f>355.2+(310.1-55.1)+(-0.362304+(-0.316302--0.056202))+0-142.8--0.145656000000023</f>
        <v>466.9232520000001</v>
      </c>
      <c r="P263" s="3">
        <f>350.7+(325.8-57.8)+(-0.536571+(-0.498474--0.088434))+0-137.3--0.210069000000008</f>
        <v>480.66345800000011</v>
      </c>
      <c r="Q263" s="3">
        <f>356.1+(322.9-49.3)+(-0.544833+(-0.494037--0.075429))+0-145.9--0.223227000000008</f>
        <v>483.05978600000009</v>
      </c>
      <c r="R263" s="3">
        <f>354.7+(307.4-43.3)+(-0.904485+(-0.78387--0.110415))+0-136.7--0.34858499999998</f>
        <v>480.87064499999991</v>
      </c>
      <c r="S263" s="3">
        <f>349.6+(321.4-56.9)+(-0.356592+(-0.327828--0.058038))+0-150--0.153000000000024</f>
        <v>463.62661800000001</v>
      </c>
      <c r="T263" s="3">
        <f>350.6+(317.5-72.1)+(-0.357612+(-0.32385--0.073542))+0-149.2--0.152184000000024</f>
        <v>446.34426400000001</v>
      </c>
      <c r="U263" s="3">
        <f>350.6+(313-76)+(-0.357612+(-0.31926--0.07752))+0-134.5--0.137190000000021</f>
        <v>452.6378380000001</v>
      </c>
      <c r="V263" s="3">
        <f>352.2+(329.1-55.6)+(-0.718488+(-0.671364--0.113424))+0-141.7--0.289067999999994</f>
        <v>483.01264000000003</v>
      </c>
      <c r="W263" s="3">
        <f>356.7+(378.6-49.2)+(-0.181917+(-0.193086--0.025092))+0-140.4--0.0716039999999858</f>
        <v>545.421693</v>
      </c>
      <c r="X263" s="3">
        <f>351.1+(377.9-49.7)+(-0.537183+(-0.578187--0.076041))+0-147.6--0.225828000000009</f>
        <v>530.88649899999996</v>
      </c>
      <c r="Y263" s="3">
        <f>343.8+(382.2-69.5)+(-0.701352+(-0.779688--0.14178))+0-139.8--0.285191999999994</f>
        <v>515.64593200000002</v>
      </c>
      <c r="Z263" s="3">
        <f>352.1+(344.6-64.4)+(0.179571+(0.175746-0.032844))+0-132-0.0673199999999866</f>
        <v>500.55515300000002</v>
      </c>
      <c r="AA263" s="3">
        <f>348.4+(342.4-57.1)+(-0.355368+(-0.349248--0.058242))+0-137.3--0.140046000000022</f>
        <v>495.89367199999992</v>
      </c>
      <c r="AB263" s="3">
        <f>344.1+(366-110.2)+(-0.877455+(-0.9333--0.28101))+0-127.7--0.325634999999981</f>
        <v>470.99589000000003</v>
      </c>
      <c r="AC263" s="3">
        <f>348+(357-131.6)+(-0.35496+(-0.36414--0.134232))+0-131.7--0.134334000000021</f>
        <v>441.24946599999998</v>
      </c>
      <c r="AD263">
        <f t="shared" si="4"/>
        <v>10919.613453999998</v>
      </c>
      <c r="AE263" s="3">
        <f>356+(391.4-51.4)+(0+(0-0))+0-154.7-0</f>
        <v>541.29999999999995</v>
      </c>
    </row>
    <row r="264" spans="1:31" s="2" customFormat="1" x14ac:dyDescent="0.25">
      <c r="A264">
        <v>89</v>
      </c>
      <c r="B264">
        <v>9</v>
      </c>
      <c r="C264">
        <v>18</v>
      </c>
      <c r="D264">
        <v>6</v>
      </c>
      <c r="E264">
        <v>1</v>
      </c>
      <c r="F264" s="3">
        <f>351.5+(330.5-120.1)+(0.179265+(0.168555-0.061251))+0-142.9-0.0728789999999855</f>
        <v>419.21368999999999</v>
      </c>
      <c r="G264" s="3">
        <f>348.6+(364.8-150.4)+(-0.177786+(-0.186048--0.076704))+0-155.5--0.0793049999999842</f>
        <v>407.29217499999993</v>
      </c>
      <c r="H264" s="3">
        <f>348.8+(358-152.5)+(-0.177888+(-0.18258--0.077775))+0-150.8--0.0769079999999847</f>
        <v>403.29421499999995</v>
      </c>
      <c r="I264" s="3">
        <f>350.5+(377.9-173.5)+(0+(0-0))+0-151.6-0</f>
        <v>403.29999999999995</v>
      </c>
      <c r="J264" s="3">
        <f>353.7+(366.7-165.5)+(0.541161+(0.561051-0.253215))+0-153.9-0.235467000000009</f>
        <v>401.61353000000003</v>
      </c>
      <c r="K264" s="3">
        <f>350.6+(340.9-149.8)+(0.178806+(0.173859-0.076398))+0-133.9-0.0682889999999864</f>
        <v>408.00797800000004</v>
      </c>
      <c r="L264" s="3">
        <f>343.4+(321.7-107.7)+(-0.700536+(-0.656268--0.219708))+0-141.3--0.288251999999994</f>
        <v>415.25115599999992</v>
      </c>
      <c r="M264" s="3">
        <f>344.4+(348.8-104.2)+(-0.351288+(-0.355776--0.106284))+0-149.5--0.152490000000024</f>
        <v>439.05171000000001</v>
      </c>
      <c r="N264" s="3">
        <f>352.9+(297.4-55.1)+(0.719916+(0.606696-0.112404))+0-141.3-0.288251999999994</f>
        <v>454.82595599999991</v>
      </c>
      <c r="O264" s="3">
        <f>348.1+(297.5-43.9)+(-0.177531+(-0.151725--0.022389))+0-147.5--0.075224999999985</f>
        <v>453.96835800000002</v>
      </c>
      <c r="P264" s="3">
        <f>367+(291.5-45.4)+(0.18717+(0.148665-0.023154))+0-152.5-0.0777749999999845</f>
        <v>460.83490600000005</v>
      </c>
      <c r="Q264" s="3">
        <f>468+(217.6-56)+(-0.23868+(-0.110976--0.02856))+0-148.4--0.0756839999999849</f>
        <v>480.954588</v>
      </c>
      <c r="R264" s="3">
        <f>459.4+(195.7-46.9)+(-1.17147+(-0.499035--0.119595))+0-144.2--0.367709999999979</f>
        <v>462.81679999999989</v>
      </c>
      <c r="S264" s="3">
        <f>464.6+(181.2-47.4)+(-0.473892+(-0.184824--0.048348))+0-145.9--0.148818000000023</f>
        <v>452.03845000000001</v>
      </c>
      <c r="T264" s="3">
        <f>467.5+(165.1-61.4)+(-0.238425+(-0.084201--0.031314))+0-138.9--0.0708389999999859</f>
        <v>432.0795270000001</v>
      </c>
      <c r="U264" s="3">
        <f>455.1+(188-77.9)+(-0.464202+(-0.19176--0.079458))+0-138.7--0.141474000000022</f>
        <v>426.06497000000007</v>
      </c>
      <c r="V264" s="3">
        <f>406+(226.9-65.6)+(0+(0-0))+0-116.9-0</f>
        <v>450.4</v>
      </c>
      <c r="W264" s="3">
        <f>435+(255.1-86.6)+(0.22185+(0.130101-0.044166))+0-136.2-0.0694619999999862</f>
        <v>467.53832299999999</v>
      </c>
      <c r="X264" s="3">
        <f>468.2+(225.7-53)+(0+(0-0))+0-134.7-0</f>
        <v>506.2</v>
      </c>
      <c r="Y264" s="3">
        <f>458.3+(220.9-53.1)+(-0.701199+(-0.337977--0.081243))+0-136.7--0.209151000000008</f>
        <v>488.65121800000003</v>
      </c>
      <c r="Z264" s="3">
        <f>464.3+(243.9-86)+(-0.473586+(-0.248778--0.08772))+0-144--0.146880000000023</f>
        <v>477.71223600000008</v>
      </c>
      <c r="AA264" s="3">
        <f>468.4+(202.6-63.8)+(0.238884+(0.103326-0.032538))+0-139.5-0.0711449999999858</f>
        <v>467.93852700000002</v>
      </c>
      <c r="AB264" s="3">
        <f>462.1+(218.9-101)+(-1.178355+(-0.558195--0.25755))+0-131.8--0.336089999999981</f>
        <v>447.0570899999999</v>
      </c>
      <c r="AC264" s="3">
        <f>445.9+(262.4-146.4)+(-1.819272+(-1.070592--0.597312))+0-129.3--0.527543999999989</f>
        <v>430.83499199999994</v>
      </c>
      <c r="AD264">
        <f t="shared" si="4"/>
        <v>10656.940395</v>
      </c>
      <c r="AE264" s="3">
        <f>484+(265.8-88.7)+(0+(0-0))+0-145.4-0</f>
        <v>515.70000000000005</v>
      </c>
    </row>
    <row r="265" spans="1:31" s="2" customFormat="1" x14ac:dyDescent="0.25">
      <c r="A265">
        <v>89</v>
      </c>
      <c r="B265">
        <v>9</v>
      </c>
      <c r="C265">
        <v>19</v>
      </c>
      <c r="D265">
        <v>7</v>
      </c>
      <c r="E265">
        <v>1</v>
      </c>
      <c r="F265" s="3">
        <f>431.5+(281.8-171.5)+(0+(0-0))+0-134.1-0</f>
        <v>407.69999999999993</v>
      </c>
      <c r="G265" s="3">
        <f>407.7+(297.8-189.6)+(-0.623781+(-0.455634--0.290088))+0-121.2--0.185436000000007</f>
        <v>394.09610900000001</v>
      </c>
      <c r="H265" s="3">
        <f>322.2+(350.5-170)+(-0.328644+(-0.35751--0.1734))+0-119.7--0.122094000000019</f>
        <v>382.60934000000003</v>
      </c>
      <c r="I265" s="3">
        <f>325.7+(353.3-164.2)+(0.166107+(0.180183-0.083742))+0-129.9-0.0662489999999868</f>
        <v>385.09629900000004</v>
      </c>
      <c r="J265" s="3">
        <f>316.3+(351.4-151.4)+(-0.806565+(-0.89607--0.38607))+0-134.1--0.341954999999981</f>
        <v>381.22538999999995</v>
      </c>
      <c r="K265" s="3">
        <f>326.1+(332.8-143.5)+(0.166311+(0.169728-0.073185))+0-127.4-0.0649739999999871</f>
        <v>388.19788000000005</v>
      </c>
      <c r="L265" s="3">
        <f>359.4+(273.6-143.9)+(-0.366588+(-0.279072--0.146778))+0-116.8--0.119136000000019</f>
        <v>371.92025400000006</v>
      </c>
      <c r="M265" s="3">
        <f>366+(255.6-110.8)+(-0.55998+(-0.391068--0.169524))+0-142.7--0.218331000000008</f>
        <v>367.53680700000007</v>
      </c>
      <c r="N265" s="3">
        <f>361.6+(220.5-65.1)+(-0.368832+(-0.22491--0.066402))+0-148--0.150960000000024</f>
        <v>368.62362000000002</v>
      </c>
      <c r="O265" s="3">
        <f>417.4+(169.4-62.1)+(-0.638622+(-0.259182--0.095013))+0-151--0.231030000000009</f>
        <v>373.12823900000012</v>
      </c>
      <c r="P265" s="3">
        <f>420.3+(182-65)+(-0.857412+(-0.37128--0.1326))+0-147.7--0.301307999999994</f>
        <v>388.80521599999997</v>
      </c>
      <c r="Q265" s="3">
        <f>423+(198.2-66.4)+(-0.43146+(-0.202164--0.067728))+0-156.4--0.159528000000025</f>
        <v>397.99363200000005</v>
      </c>
      <c r="R265" s="3">
        <f>419+(177.8-53.1)+(-0.64107+(-0.272034--0.081243))+0-145.1--0.222003000000008</f>
        <v>397.99014200000005</v>
      </c>
      <c r="S265" s="3">
        <f>418.3+(170.4-49.5)+(-0.853332+(-0.347616--0.10098))+0-160.8--0.328031999999993</f>
        <v>377.62806400000005</v>
      </c>
      <c r="T265" s="3">
        <f>411.2+(170.7-61)+(-0.419424+(-0.174114--0.06222))+0-149.6--0.152592000000024</f>
        <v>370.92127399999993</v>
      </c>
      <c r="U265" s="3">
        <f>383.9+(206.2-65.4)+(0+(0-0))+0-155.2-0</f>
        <v>369.49999999999994</v>
      </c>
      <c r="V265" s="3">
        <f>334.3+(274.1-60.6)+(-0.852465+(-0.698955--0.15453))+0-158--0.402899999999977</f>
        <v>388.80601000000007</v>
      </c>
      <c r="W265" s="3">
        <f>414.2+(276.2-86.1)+(0.211242+(0.140862-0.043911))+0-155.6-0.0793559999999842</f>
        <v>448.92883699999993</v>
      </c>
      <c r="X265" s="3">
        <f>416.3+(275.6-82.5)+(-0.212313+(-0.140556--0.042075))+0-162.8--0.0830279999999835</f>
        <v>446.37223400000005</v>
      </c>
      <c r="Y265" s="3">
        <f>412.8+(238-57.1)+(-0.631584+(-0.36414--0.087363))+0-148.1--0.226593000000009</f>
        <v>444.91823200000005</v>
      </c>
      <c r="Z265" s="3">
        <f>415.5+(233.5-43.8)+(-0.211905+(-0.119085--0.022338))+0-170.9--0.0871589999999827</f>
        <v>434.078507</v>
      </c>
      <c r="AA265" s="3">
        <f>417.7+(228.2-45.1)+(0+(0-0))+0-165.7-0</f>
        <v>435.09999999999997</v>
      </c>
      <c r="AB265" s="3">
        <f>414.8+(252.8-86)+(-0.423096+(-0.257856--0.08772))+0-153.1--0.156162000000024</f>
        <v>428.06293000000011</v>
      </c>
      <c r="AC265" s="3">
        <f>307.1+(344.5-78.2)+(-0.939726+(-1.05417--0.239292))+0-163.5--0.500310000000019</f>
        <v>408.64570600000013</v>
      </c>
      <c r="AD265">
        <f t="shared" si="4"/>
        <v>9557.8847220000007</v>
      </c>
      <c r="AE265" s="3">
        <f>407+(285.5-85.8)+(0+(0-0))+0-161-0</f>
        <v>445.70000000000005</v>
      </c>
    </row>
    <row r="266" spans="1:31" s="2" customFormat="1" x14ac:dyDescent="0.25">
      <c r="A266">
        <v>89</v>
      </c>
      <c r="B266">
        <v>9</v>
      </c>
      <c r="C266">
        <v>20</v>
      </c>
      <c r="D266">
        <v>1</v>
      </c>
      <c r="E266">
        <v>1</v>
      </c>
      <c r="F266" s="3">
        <f>311.2+(361.8-121.8)+(-0.476136+(-0.553554--0.186354))+0-158.8--0.242964000000009</f>
        <v>391.79962800000004</v>
      </c>
      <c r="G266" s="3">
        <f>312.9+(372.7-144.2)+(0.478737+(0.570231-0.220626))+0-164.8-0.25214400000001</f>
        <v>377.176198</v>
      </c>
      <c r="H266" s="3">
        <f>311.3+(390.9-170.3)+(-0.317526+(-0.398718--0.173706))+0-154.9--0.157998000000025</f>
        <v>376.61545999999998</v>
      </c>
      <c r="I266" s="3">
        <f>311.8+(372.3-152.5)+(0+(0-0))+0-160.9-0</f>
        <v>370.70000000000005</v>
      </c>
      <c r="J266" s="3">
        <f>310.1+(351.3-126.3)+(-0.158151+(-0.179163--0.064413))+0-164--0.0836399999999834</f>
        <v>370.91073899999998</v>
      </c>
      <c r="K266" s="3">
        <f>315.2+(325.5-109.5)+(0.80376+(0.830025-0.279225))+0-155.3-0.396014999999977</f>
        <v>376.85854500000005</v>
      </c>
      <c r="L266" s="3">
        <f>311.8+(305.9-65)+(-0.159018+(-0.156009--0.03315))+0-158.1--0.080630999999984</f>
        <v>394.398754</v>
      </c>
      <c r="M266" s="3">
        <f>324+(307.9-71.6)+(-0.16524+(-0.157029--0.036516))+0-135.6--0.0691559999999862</f>
        <v>424.4834029999999</v>
      </c>
      <c r="N266" s="3">
        <f>344.5+(283.9-73.1)+(0+(0-0))+0-117.4-0</f>
        <v>437.9</v>
      </c>
      <c r="O266" s="3">
        <f>339.6+(270.9-59.4)+(-0.346392+(-0.276318--0.060588))+0-106.2--0.108324000000017</f>
        <v>444.44620200000003</v>
      </c>
      <c r="P266" s="3">
        <f>338.8+(286.3-57.8)+(0.172788+(0.146013-0.029478))+0-111.1-0.0566609999999887</f>
        <v>456.43266199999994</v>
      </c>
      <c r="Q266" s="3">
        <f>336.7+(302.8-55.4)+(-0.858585+(-0.77214--0.14127))+0-120.9--0.308294999999982</f>
        <v>462.01884000000001</v>
      </c>
      <c r="R266" s="3">
        <f>333.5+(287.6-48.6)+(-0.68034+(-0.586704--0.099144))+0-107.8--0.219911999999995</f>
        <v>463.75201199999998</v>
      </c>
      <c r="S266" s="3">
        <f>330.1+(290-63.7)+(-0.673404+(-0.5916--0.129948))+0-108.2--0.220727999999995</f>
        <v>447.28567200000015</v>
      </c>
      <c r="T266" s="3">
        <f>326.4+(286.9-50.9)+(0.665856+(0.585276-0.103836))+0-124.8-0.254591999999995</f>
        <v>438.49270399999995</v>
      </c>
      <c r="U266" s="3">
        <f>327.1+(273.1-59.4)+(-0.834105+(-0.696405--0.15147))+0-114.2--0.291209999999983</f>
        <v>425.51217000000003</v>
      </c>
      <c r="V266" s="3">
        <f>326.6+(293.3-46.6)+(-0.499698+(-0.448749--0.071298))+0-115.5--0.176715000000007</f>
        <v>457.09956600000004</v>
      </c>
      <c r="W266" s="3">
        <f>311.4+(386-47.4)+(-0.476442+(-0.59058--0.072522))+0-122--0.186660000000007</f>
        <v>527.19215999999994</v>
      </c>
      <c r="X266" s="3">
        <f>315.1+(391.8-40.8)+(-0.642804+(-0.799272--0.083232))+0-146.4--0.298655999999994</f>
        <v>518.63981200000001</v>
      </c>
      <c r="Y266" s="3">
        <f>322.7+(362.6-37.8)+(-0.493731+(-0.554778--0.057834))+0-149.3--0.228429000000009</f>
        <v>497.43775399999998</v>
      </c>
      <c r="Z266" s="3">
        <f>326.6+(342.7-31.7)+(-0.666264+(-0.699108--0.064668))+0-154.8--0.315791999999993</f>
        <v>481.815088</v>
      </c>
      <c r="AA266" s="3">
        <f>327.1+(328.1-35.3)+(-0.500463+(-0.501993--0.054009))+0-144.1--0.220473000000008</f>
        <v>475.07202600000011</v>
      </c>
      <c r="AB266" s="3">
        <f>327.7+(313.1-56.5)+(-0.668508+(-0.638724--0.11526))+0-119.8--0.244391999999995</f>
        <v>463.55241999999998</v>
      </c>
      <c r="AC266" s="3">
        <f>331.6+(346.8-111.8)+(-0.507348+(-0.530604--0.171054))+0-123.8--0.189414000000007</f>
        <v>442.12251600000002</v>
      </c>
      <c r="AD266">
        <f t="shared" si="4"/>
        <v>10521.714330999997</v>
      </c>
      <c r="AE266" s="3">
        <f>316+(423-43.3)+(0+(0-0))+0-161-0</f>
        <v>534.70000000000005</v>
      </c>
    </row>
    <row r="267" spans="1:31" s="2" customFormat="1" x14ac:dyDescent="0.25">
      <c r="A267">
        <v>89</v>
      </c>
      <c r="B267">
        <v>9</v>
      </c>
      <c r="C267">
        <v>21</v>
      </c>
      <c r="D267">
        <v>2</v>
      </c>
      <c r="E267">
        <v>1</v>
      </c>
      <c r="F267" s="3">
        <f>328.6+(335.9-105.4)+(-0.83793+(-0.856545--0.26877))+0-142.3--0.362864999999979</f>
        <v>415.73716000000002</v>
      </c>
      <c r="G267" s="3">
        <f>330.6+(388.5-168)+(-0.168606+(-0.198135--0.08568))+0-143.1--0.0729809999999855</f>
        <v>407.79191999999995</v>
      </c>
      <c r="H267" s="3">
        <f>294.4+(426.4-181.3)+(-0.600576+(-0.869856--0.369852))+0-138.5--0.282539999999994</f>
        <v>400.18195999999995</v>
      </c>
      <c r="I267" s="3">
        <f>296.3+(439-217.1)+(0.453339+(0.67167-0.332163))+0-119.5-0.182835000000007</f>
        <v>399.31001100000009</v>
      </c>
      <c r="J267" s="3">
        <f>301.7+(431-196.7)+(0.769335+(1.09905-0.501585))+0-128.8-0.328439999999981</f>
        <v>408.23836</v>
      </c>
      <c r="K267" s="3">
        <f>294.4+(400.4-152.8)+(0.450432+(0.612612-0.233784))+0-137.1-0.209763000000008</f>
        <v>405.51949699999994</v>
      </c>
      <c r="L267" s="3">
        <f>288.6+(361.3-101.6)+(-0.147186+(-0.184263--0.051816))+0-127.6--0.065075999999987</f>
        <v>420.48544300000003</v>
      </c>
      <c r="M267" s="3">
        <f>302.2+(356.3-76.4)+(-0.154122+(-0.181713--0.038964))+0-144.4--0.0736439999999854</f>
        <v>437.47677299999992</v>
      </c>
      <c r="N267" s="3">
        <f>328.2+(324.6-46.7)+(0+(0-0))+0-143.2-0</f>
        <v>462.90000000000003</v>
      </c>
      <c r="O267" s="3">
        <f>324+(305.1-46.2)+(-0.49572+(-0.466803--0.070686))+0-124.5--0.190485000000007</f>
        <v>457.69864800000011</v>
      </c>
      <c r="P267" s="3">
        <f>321.4+(342.1-46.5)+(-0.163914+(-0.174471--0.023715))+0-137.1--0.0699209999999861</f>
        <v>479.65525099999996</v>
      </c>
      <c r="Q267" s="3">
        <f>323.2+(349.4-45.8)+(-0.494496+(-0.534582--0.070074))+0-137.4--0.210222000000008</f>
        <v>488.65121799999991</v>
      </c>
      <c r="R267" s="3">
        <f>304.5+(354-38.7)+(-1.24236+(-1.44432--0.157896))+0-137.3--0.560183999999988</f>
        <v>480.53139999999996</v>
      </c>
      <c r="S267" s="3">
        <f>322.8+(306.1-39.3)+(-0.164628+(-0.156111--0.020043))+0-127.1--0.0648209999999871</f>
        <v>462.26412499999998</v>
      </c>
      <c r="T267" s="3">
        <f>314.6+(303.7-43.7)+(-0.481338+(-0.464661--0.066861))+0-132.9--0.203337000000008</f>
        <v>441.02419900000007</v>
      </c>
      <c r="U267" s="3">
        <f>316.2+(290.7-46.9)+(0.483786+(0.444771-0.071757))+0-118.7-0.181611000000007</f>
        <v>441.975189</v>
      </c>
      <c r="V267" s="3">
        <f>310.6+(308.3-41.7)+(-0.79203+(-0.786165--0.106335))+0-114--0.290699999999983</f>
        <v>462.01884000000001</v>
      </c>
      <c r="W267" s="3">
        <f>318.2+(367.1-38.4)+(0.162282+(0.187221-0.019584))+0-114.6-0.0584459999999884</f>
        <v>532.57147300000008</v>
      </c>
      <c r="X267" s="3">
        <f>328.7+(369.8-40.3)+(-0.502911+(-0.565794--0.061659))+0-131.7--0.201501000000008</f>
        <v>525.69445500000006</v>
      </c>
      <c r="Y267" s="3">
        <f>330.8+(358.1-36.6)+(-0.506124+(-0.547893--0.055998))+0-145--0.221850000000008</f>
        <v>506.52383099999997</v>
      </c>
      <c r="Z267" s="3">
        <f>333.7+(321.3-37)+(-0.340374+(-0.327726--0.03774))+0-130.6--0.133212000000021</f>
        <v>486.902852</v>
      </c>
      <c r="AA267" s="3">
        <f>334.9+(323.3-40.5)+(0+(0-0))+0-142.8-0</f>
        <v>474.90000000000003</v>
      </c>
      <c r="AB267" s="3">
        <f>334+(301.3-38.6)+(-0.51102+(-0.460989--0.059058))+0-135.7--0.207621000000008</f>
        <v>460.29467000000005</v>
      </c>
      <c r="AC267" s="3">
        <f>337.5+(273.3-39)+(-0.34425+(-0.278766--0.03978))+0-136.3--0.139026000000022</f>
        <v>435.05578999999989</v>
      </c>
      <c r="AD267">
        <f t="shared" si="4"/>
        <v>10893.403064999999</v>
      </c>
      <c r="AE267" s="3">
        <f>333+(378.8-38.8)+(0+(0-0))+0-109.2-0</f>
        <v>563.79999999999995</v>
      </c>
    </row>
    <row r="268" spans="1:31" s="2" customFormat="1" x14ac:dyDescent="0.25">
      <c r="A268">
        <v>89</v>
      </c>
      <c r="B268">
        <v>9</v>
      </c>
      <c r="C268">
        <v>22</v>
      </c>
      <c r="D268">
        <v>3</v>
      </c>
      <c r="E268">
        <v>1</v>
      </c>
      <c r="F268" s="3">
        <f>328.9+(294.8-69.8)+(-1.006434+(-0.902088--0.213588))+0-135.9--0.415854000000016</f>
        <v>416.72092000000004</v>
      </c>
      <c r="G268" s="3">
        <f>313.5+(312-80.6)+(-1.119195+(-1.11384--0.287742))+0-139.9--0.499443000000002</f>
        <v>403.55414999999999</v>
      </c>
      <c r="H268" s="3">
        <f>318.2+(286.5-70.4)+(-0.486846+(-0.438345--0.107712))+0-136.7--0.209151000000008</f>
        <v>396.99167199999994</v>
      </c>
      <c r="I268" s="3">
        <f>323.4+(305.1-102.8)+(0+(0-0))+0-134.4-0</f>
        <v>391.30000000000007</v>
      </c>
      <c r="J268" s="3">
        <f>314.2+(300.1-86.3)+(-0.160242+(-0.153051--0.044013))+0-135.5--0.0691049999999863</f>
        <v>392.299825</v>
      </c>
      <c r="K268" s="3">
        <f>314.1+(308.9-86.3)+(0.320382+(0.315078-0.088026))+0-137.8-0.140556000000022</f>
        <v>399.30687799999998</v>
      </c>
      <c r="L268" s="3">
        <f>313+(301.1-74.7)+(-0.31926+(-0.307122--0.076194))+0-125.9--0.12841800000002</f>
        <v>413.07823000000008</v>
      </c>
      <c r="M268" s="3">
        <f>325.5+(266.6-39.2)+(0.166005+(0.135966-0.019992))+0-119.7-0.0610469999999879</f>
        <v>433.42093200000011</v>
      </c>
      <c r="N268" s="3">
        <f>321.8+(325.9-75.5)+(-0.328236+(-0.332418--0.07701))+0-117.8--0.120156000000019</f>
        <v>453.93651199999999</v>
      </c>
      <c r="O268" s="3">
        <f>295.3+(332.6-49.6)+(0+(0-0))+0-120-0</f>
        <v>458.29999999999995</v>
      </c>
      <c r="P268" s="3">
        <f>271.2+(363.2-49.5)+(0+(0-0))+0-120.7-0</f>
        <v>464.2</v>
      </c>
      <c r="Q268" s="3">
        <f>269.9+(390.1-46.8)+(0+(0-0))+0-143.9-0</f>
        <v>469.30000000000007</v>
      </c>
      <c r="R268" s="3">
        <f>260.2+(384.5-38.6)+(0+(0-0))+0-136.1-0</f>
        <v>469.99999999999989</v>
      </c>
      <c r="S268" s="3">
        <f>256.6+(358.8-45.5)+(0+(0-0))+0-121.1-0</f>
        <v>448.80000000000007</v>
      </c>
      <c r="T268" s="3">
        <f>258.7+(347.6-45.8)+(0+(0-0))+0-120.5-0</f>
        <v>440</v>
      </c>
      <c r="U268" s="3">
        <f>254.3+(342.9-41.6)+(0+(0-0))+0-125.1-0</f>
        <v>430.49999999999989</v>
      </c>
      <c r="V268" s="3">
        <f>266.9+(371.3-37.3)+(0+(0-0))+0-135.1-0</f>
        <v>465.79999999999995</v>
      </c>
      <c r="W268" s="3">
        <f>276.6+(422.7-45.3)+(0+(0-0))+0-135.1-0</f>
        <v>518.9</v>
      </c>
      <c r="X268" s="3">
        <f>279+(410.8-32.3)+(0+(0-0))+0-147.4-0</f>
        <v>510.1</v>
      </c>
      <c r="Y268" s="3">
        <f>281.2+(385.9-33.9)+(0+(0-0))+0-144.9-0</f>
        <v>488.30000000000007</v>
      </c>
      <c r="Z268" s="3">
        <f>282.3+(335.7-37.5)+(0+(0-0))+0-120.5-0</f>
        <v>460</v>
      </c>
      <c r="AA268" s="3">
        <f>282.9+(354.9-33.3)+(0+(0-0))+0-150-0</f>
        <v>454.5</v>
      </c>
      <c r="AB268" s="3">
        <f>283.8+(334.1-37.6)+(0+(0-0))+0-130.9-0</f>
        <v>449.4</v>
      </c>
      <c r="AC268" s="3">
        <f>284+(305.3-41.2)+(0+(0-0))+0-119.1-0</f>
        <v>429</v>
      </c>
      <c r="AD268">
        <f t="shared" si="4"/>
        <v>10657.709118999999</v>
      </c>
      <c r="AE268" s="3">
        <f>277+(437.6-47.8)+(0+(0-0))+0-143.4-0</f>
        <v>523.4</v>
      </c>
    </row>
    <row r="269" spans="1:31" s="2" customFormat="1" x14ac:dyDescent="0.25">
      <c r="A269">
        <v>89</v>
      </c>
      <c r="B269">
        <v>9</v>
      </c>
      <c r="C269">
        <v>23</v>
      </c>
      <c r="D269">
        <v>4</v>
      </c>
      <c r="E269">
        <v>1</v>
      </c>
      <c r="F269" s="3">
        <f>278.4+(311.6-42.5)+(0+(0-0))+0-140.6-0</f>
        <v>406.9</v>
      </c>
      <c r="G269" s="3">
        <f>279.7+(333.3-73.5)+(0+(0-0))+0-139.9-0</f>
        <v>399.6</v>
      </c>
      <c r="H269" s="3">
        <f>277.7+(347.1-110.3)+(0+(0-0))+0-127-0</f>
        <v>387.5</v>
      </c>
      <c r="I269" s="3">
        <f>276.2+(349-110.3)+(0+(0-0))+0-128.8-0</f>
        <v>386.09999999999997</v>
      </c>
      <c r="J269" s="3">
        <f>276.8+(336.1-82.5)+(0+(0-0))+0-145.2-0</f>
        <v>385.2000000000001</v>
      </c>
      <c r="K269" s="3">
        <f>277.1+(303.9-59.6)+(0+(0-0))+0-135.2-0</f>
        <v>386.2</v>
      </c>
      <c r="L269" s="3">
        <f>272.6+(300.1-37)+(0+(0-0))+0-136.8-0</f>
        <v>398.90000000000003</v>
      </c>
      <c r="M269" s="3">
        <f>279.2+(317.6-33.1)+(0+(0-0))+0-143.2-0</f>
        <v>420.50000000000006</v>
      </c>
      <c r="N269" s="3">
        <f>288.1+(347.2-55.5)+(0+(0-0))+0-143.1-0</f>
        <v>436.69999999999993</v>
      </c>
      <c r="O269" s="3">
        <f>285.5+(347.9-66)+(0+(0-0))+0-126.2-0</f>
        <v>441.2</v>
      </c>
      <c r="P269" s="3">
        <f>275.6+(355.6-47.1)+(0+(0-0))+0-131.3-0</f>
        <v>452.8</v>
      </c>
      <c r="Q269" s="3">
        <f>134.5+(464.8-14.5)+(0+(0-0))+0-129.1-0</f>
        <v>455.69999999999993</v>
      </c>
      <c r="R269" s="3">
        <f>135.9+(457-11.8)+(-0.346545+(-1.16535--0.03009))+0-135.8--0.34628999999998</f>
        <v>444.16448499999996</v>
      </c>
      <c r="S269" s="3">
        <f>188.9+(414.3-20.3)+(-0.096339+(-0.211293--0.010353))+0-155.2--0.0791519999999842</f>
        <v>427.48187299999995</v>
      </c>
      <c r="T269" s="3">
        <f>271.7+(281.8-35.3)+(-0.415701+(-0.431154--0.054009))+0-126.7--0.193851000000007</f>
        <v>390.901005</v>
      </c>
      <c r="U269" s="3">
        <f>270.9+(303.4-39.6)+(-0.690795+(-0.77367--0.10098))+0-147.1--0.375104999999979</f>
        <v>386.6116199999999</v>
      </c>
      <c r="V269" s="3">
        <f>271.5+(299.5-34)+(-0.692325+(-0.763725--0.0867))+0-128.7--0.328184999999981</f>
        <v>407.25883499999992</v>
      </c>
      <c r="W269" s="3">
        <f>277.3+(355.2-44.7)+(-0.282846+(-0.362304--0.045594))+0-126.8--0.12933600000002</f>
        <v>460.52977999999996</v>
      </c>
      <c r="X269" s="3">
        <f>275.8+(348.6-44.6)+(-0.70329+(-0.88893--0.11373))+0-137.7--0.35113499999998</f>
        <v>440.972645</v>
      </c>
      <c r="Y269" s="3">
        <f>282.5+(303-30.5)+(-0.144075+(-0.15453--0.015555))+0-135.3--0.0690029999999863</f>
        <v>419.48595299999999</v>
      </c>
      <c r="Z269" s="3">
        <f>277.3+(288.2-34.4)+(-0.565692+(-0.587928--0.070176))+0-138.7--0.282947999999994</f>
        <v>391.59950400000002</v>
      </c>
      <c r="AA269" s="3">
        <f>283+(304.3-66.6)+(0+(0-0))+0-133-0</f>
        <v>387.70000000000005</v>
      </c>
      <c r="AB269" s="3">
        <f>277.4+(316.5-87.5)+(-0.565896+(-0.64566--0.1785))+0-137.4--0.280295999999994</f>
        <v>368.24724000000003</v>
      </c>
      <c r="AC269" s="3">
        <f>282.3+(340.2-145)+(-0.143973+(-0.173502--0.07395))+0-119.7--0.0610469999999879</f>
        <v>357.61752200000001</v>
      </c>
      <c r="AD269">
        <f t="shared" si="4"/>
        <v>9839.870461999999</v>
      </c>
      <c r="AE269" s="3">
        <f>274+(375.4-49.2)+(0+(0-0))+0-123.8-0</f>
        <v>476.40000000000003</v>
      </c>
    </row>
    <row r="270" spans="1:31" s="2" customFormat="1" x14ac:dyDescent="0.25">
      <c r="A270">
        <v>89</v>
      </c>
      <c r="B270">
        <v>9</v>
      </c>
      <c r="C270">
        <v>24</v>
      </c>
      <c r="D270">
        <v>5</v>
      </c>
      <c r="E270">
        <v>5</v>
      </c>
      <c r="F270" s="3">
        <f>280.6+(357.6-183)+(-0.286212+(-0.364752--0.18666))+0-132.7--0.135354000000021</f>
        <v>322.17105000000004</v>
      </c>
      <c r="G270" s="3">
        <f>285.4+(279.8-134.5)+(0.291108+(0.285396-0.13719))+0-126.7-0.12923400000002</f>
        <v>304.31008000000003</v>
      </c>
      <c r="H270" s="3">
        <f>284+(300.8-140)+(0+(0-0))+0-146.7-0</f>
        <v>298.10000000000002</v>
      </c>
      <c r="I270" s="3">
        <f>299.8+(265.9-131.6)+(0.152898+(0.135609-0.067116))+0-138.9-0.0708389999999859</f>
        <v>295.35055199999999</v>
      </c>
      <c r="J270" s="3">
        <f>294.2+(217.8-101)+(0.150042+(0.111078-0.05151))+0-124.9-0.0636989999999873</f>
        <v>286.24591100000004</v>
      </c>
      <c r="K270" s="3">
        <f>273.8+(232.3-106.4)+(-0.139638+(-0.118473--0.054264))+0-127.6--0.065075999999987</f>
        <v>271.961229</v>
      </c>
      <c r="L270" s="3">
        <f>271.4+(216.9-85.4)+(-0.138414+(-0.110619--0.043554))+0-137.5--0.070124999999986</f>
        <v>265.26464599999991</v>
      </c>
      <c r="M270" s="3">
        <f>274.8+(192.5-89.7)+(-0.280296+(-0.19635--0.091494))+0-130--0.132600000000021</f>
        <v>247.34744800000004</v>
      </c>
      <c r="N270" s="3">
        <f>281.5+(235.7-132.9)+(0.28713+(0.240414-0.135558))+0-137.4-0.140148000000022</f>
        <v>247.15183799999991</v>
      </c>
      <c r="O270" s="3">
        <f>300.7+(162.1-84.7)+(0.153357+(0.082671-0.043197))+0-138.7-0.0707369999999859</f>
        <v>239.52209400000001</v>
      </c>
      <c r="P270" s="3">
        <f>293.9+(173.8-85.4)+(-0.599556+(-0.354552--0.174216))+0-138.5--0.282539999999994</f>
        <v>243.30264799999992</v>
      </c>
      <c r="Q270" s="3">
        <f>288.1+(185.2-92.4)+(-0.734655+(-0.47226--0.23562))+0-143.1--0.364904999999979</f>
        <v>237.19360999999998</v>
      </c>
      <c r="R270" s="3">
        <f>281.4+(172-86.6)+(-0.287028+(-0.17544--0.088332))+0-131.6--0.134232000000021</f>
        <v>234.96009599999996</v>
      </c>
      <c r="S270" s="3">
        <f>283+(158-68)+(-0.43299+(-0.24174--0.10404))+0-147.7--0.225981000000009</f>
        <v>224.95529100000002</v>
      </c>
      <c r="T270" s="3">
        <f>279.9+(149.8-85.6)+(-0.570996+(-0.305592--0.174624))+0-117.5--0.239699999999995</f>
        <v>226.13773600000005</v>
      </c>
      <c r="U270" s="3">
        <f>283.8+(159.1-73.4)+(-0.434214+(-0.243423--0.112302))+0-142.6--0.218178000000008</f>
        <v>226.552843</v>
      </c>
      <c r="V270" s="3">
        <f>283.5+(174.6-84.2)+(0.28917+(0.178092-0.085884))+0-128.3-0.13086600000002</f>
        <v>245.85051199999992</v>
      </c>
      <c r="W270" s="3">
        <f>292.2+(289.2-144.7)+(-0.149022+(-0.147492--0.073797))+0-141.3--0.0720629999999857</f>
        <v>295.24934599999995</v>
      </c>
      <c r="X270" s="3">
        <f>286.1+(214.3-55.9)+(-0.875466+(-0.655758--0.171054))+0-143.5--0.439110000000017</f>
        <v>300.07894000000005</v>
      </c>
      <c r="Y270" s="3">
        <f>281.8+(195.6-38.1)+(-0.574872+(-0.399024--0.077724))+0-138.2--0.281927999999994</f>
        <v>300.48575600000004</v>
      </c>
      <c r="Z270" s="3">
        <f>278.7+(185.4-45.1)+(0.142137+(0.094554-0.023001))+0-135.3-0.0690029999999863</f>
        <v>283.84468699999996</v>
      </c>
      <c r="AA270" s="3">
        <f>275.9+(231-94)+(-0.140709+(-0.11781--0.04794))+0-134.8--0.0687479999999863</f>
        <v>277.95816899999994</v>
      </c>
      <c r="AB270" s="3">
        <f>306.8+(252.4-115.1)+(-0.312936+(-0.257448--0.117402))+0-141.9--0.144738000000023</f>
        <v>301.89175600000004</v>
      </c>
      <c r="AC270" s="3">
        <f>310.1+(268.9-197.3)+(-0.474453+(-0.411417--0.301869))+0-124.4--0.190332000000007</f>
        <v>256.90633100000002</v>
      </c>
      <c r="AD270">
        <f t="shared" si="4"/>
        <v>6432.7925689999993</v>
      </c>
      <c r="AE270" s="3">
        <f>306+(268.6-96)+(0+(0-0))+0-150.6-0</f>
        <v>328</v>
      </c>
    </row>
    <row r="271" spans="1:31" s="2" customFormat="1" x14ac:dyDescent="0.25">
      <c r="A271">
        <v>89</v>
      </c>
      <c r="B271">
        <v>9</v>
      </c>
      <c r="C271">
        <v>25</v>
      </c>
      <c r="D271">
        <v>6</v>
      </c>
      <c r="E271">
        <v>5</v>
      </c>
      <c r="F271" s="3">
        <f>378.2+(239.5-235.5)+(-0.771528+(-0.48858--0.48042))+0-131.5--0.268259999999994</f>
        <v>250.18857199999997</v>
      </c>
      <c r="G271" s="3">
        <f>326.4+(174.4-165.2)+(-0.499392+(-0.266832--0.252756))+0-106--0.162180000000006</f>
        <v>229.24871200000004</v>
      </c>
      <c r="H271" s="3">
        <f>279+(196.5-135.3)+(-0.28458+(-0.20043--0.138006))+0-116.4--0.118728000000019</f>
        <v>223.57172399999999</v>
      </c>
      <c r="I271" s="3">
        <f>252.9+(177.3-106)+(-0.644895+(-0.452115--0.2703))+0-118.4--0.301919999999983</f>
        <v>205.27521000000004</v>
      </c>
      <c r="J271" s="3">
        <f>230.8+(160.9-66.4)+(-0.235416+(-0.164118--0.067728))+0-109.1--0.111282000000017</f>
        <v>215.97947600000006</v>
      </c>
      <c r="K271" s="3">
        <f>230.1+(156.7-83.7)+(0+(0-0))+0-99.2-0</f>
        <v>203.89999999999998</v>
      </c>
      <c r="L271" s="3">
        <f>228.3+(155.4-90.3)+(-0.465732+(-0.317016--0.184212))+0-98.5--0.200939999999996</f>
        <v>194.50240400000001</v>
      </c>
      <c r="M271" s="3">
        <f>229.4+(125.6-95.8)+(-0.233988+(-0.128112--0.097716))+0-91.8--0.0936360000000146</f>
        <v>167.22925199999997</v>
      </c>
      <c r="N271" s="3">
        <f>244.6+(137.2-118.5)+(-0.124746+(-0.069972--0.060435))+0-92.1--0.0469709999999907</f>
        <v>171.11268799999996</v>
      </c>
      <c r="O271" s="3">
        <f>241.4+(89.1-76.5)+(0.246228+(0.090882-0.07803))+0-92.1-0.0939420000000147</f>
        <v>162.06513799999999</v>
      </c>
      <c r="P271" s="3">
        <f>245.3+(57.5-70.3)+(-0.875721+(-0.205275--0.250971))+0-74.8--0.267036000000001</f>
        <v>157.137011</v>
      </c>
      <c r="Q271" s="3">
        <f>245.5+(55-75.6)+(-0.25041+(-0.0561--0.077112))+0-70.8--0.0722160000000113</f>
        <v>153.94281800000002</v>
      </c>
      <c r="R271" s="3">
        <f>247.4+(81-77.5)+(0.126174+(0.04131-0.039525))+0-90.1-0.0459509999999909</f>
        <v>160.88200800000001</v>
      </c>
      <c r="S271" s="3">
        <f>265.4+(81.7-91.4)+(-0.270708+(-0.083334--0.093228))+0-91.1--0.0929220000000145</f>
        <v>164.432108</v>
      </c>
      <c r="T271" s="3">
        <f>273.5+(78.1-92.3)+(-0.697425+(-0.199155--0.235365))+0-90.8--0.231539999999987</f>
        <v>168.07032499999997</v>
      </c>
      <c r="U271" s="3">
        <f>290.5+(74-87.8)+(0+(0-0))+0-89.3-0</f>
        <v>187.39999999999998</v>
      </c>
      <c r="V271" s="3">
        <f>310.7+(139-146.8)+(-0.475371+(-0.21267--0.224604))+0-91.8--0.140454000000005</f>
        <v>210.77701699999997</v>
      </c>
      <c r="W271" s="3">
        <f>338.6+(205.6-187)+(-0.86343+(-0.52428--0.47685))+0-97.8--0.249389999999986</f>
        <v>258.73853000000003</v>
      </c>
      <c r="X271" s="3">
        <f>340.8+(203.4-180.5)+(-0.347616+(-0.207468--0.18411))+0-98.3--0.100266000000016</f>
        <v>265.12929200000008</v>
      </c>
      <c r="Y271" s="3">
        <f>304.7+(191.9-131.4)+(0+(0-0))+0-99.3-0</f>
        <v>265.89999999999998</v>
      </c>
      <c r="Z271" s="3">
        <f>306.1+(151.6-92.2)+(-0.468333+(-0.231948--0.141066))+0-98.5--0.150705000000006</f>
        <v>266.59149000000002</v>
      </c>
      <c r="AA271" s="3">
        <f>307+(127.7-44.1)+(0.15657+(0.065127-0.022491))+0-110.5-0.0563549999999888</f>
        <v>280.24285100000003</v>
      </c>
      <c r="AB271" s="3">
        <f>308.4+(139.3-56.5)+(-0.314568+(-0.142086--0.05763))+0-115.2--0.117504000000018</f>
        <v>275.71848</v>
      </c>
      <c r="AC271" s="3">
        <f>308.8+(189.4-100.5)+(-0.314976+(-0.193188--0.10251))+0-115.6--0.117912000000018</f>
        <v>281.81225799999999</v>
      </c>
      <c r="AD271">
        <f t="shared" si="4"/>
        <v>5119.8473639999993</v>
      </c>
      <c r="AE271" s="3">
        <f>345+(195.4-174.4)+(0+(0-0))+0-97.6-0</f>
        <v>268.39999999999998</v>
      </c>
    </row>
    <row r="272" spans="1:31" s="2" customFormat="1" x14ac:dyDescent="0.25">
      <c r="A272">
        <v>89</v>
      </c>
      <c r="B272">
        <v>9</v>
      </c>
      <c r="C272">
        <v>26</v>
      </c>
      <c r="D272">
        <v>7</v>
      </c>
      <c r="E272">
        <v>1</v>
      </c>
      <c r="F272" s="3">
        <f>309.1+(193.5-110)+(-0.472923+(-0.296055--0.1683))+0-120.2--0.183906000000007</f>
        <v>271.983228</v>
      </c>
      <c r="G272" s="3">
        <f>309.4+(147.6-64.2)+(0+(0-0))+0-127.1-0</f>
        <v>265.69999999999993</v>
      </c>
      <c r="H272" s="3">
        <f>309.9+(122.5-37.3)+(-1.106343+(-0.437325--0.133161))+0-140.5--0.501585000000002</f>
        <v>253.69107799999998</v>
      </c>
      <c r="I272" s="3">
        <f>271+(179.7-98.4)+(0+(0-0))+0-126.3-0</f>
        <v>225.99999999999994</v>
      </c>
      <c r="J272" s="3">
        <f>246.1+(221-81)+(0+(0-0))+0-142.5-0</f>
        <v>243.60000000000002</v>
      </c>
      <c r="K272" s="3">
        <f>245.4+(239-96.2)+(0.375462+(0.36567-0.147186))+0-141-0.215730000000008</f>
        <v>247.57821600000005</v>
      </c>
      <c r="L272" s="3">
        <f>245.1+(255.4-113.7)+(-0.375003+(-0.390762--0.173961))+0-130.4--0.199512000000008</f>
        <v>256.00770799999992</v>
      </c>
      <c r="M272" s="3">
        <f>248.6+(341.2-185.8)+(-0.380358+(-0.522036--0.284274))+0-134.5--0.205785000000008</f>
        <v>269.08766500000002</v>
      </c>
      <c r="N272" s="3">
        <f>303.3+(364.4-238.7)+(0+(0-0))+0-131.4-0</f>
        <v>297.60000000000002</v>
      </c>
      <c r="O272" s="3">
        <f>308.1+(279.5-148.6)+(0.157131+(0.142545-0.075786))+0-137.4-0.0700739999999861</f>
        <v>301.75381600000003</v>
      </c>
      <c r="P272" s="3">
        <f>304+(277.8-122.3)+(-0.7752+(-0.70839--0.311865))+0-136.2--0.34730999999998</f>
        <v>322.47558500000002</v>
      </c>
      <c r="Q272" s="3">
        <f>303.8+(310.9-147.2)+(-0.309876+(-0.317118--0.150144))+0-137.5--0.140250000000022</f>
        <v>329.66340000000002</v>
      </c>
      <c r="R272" s="3">
        <f>302.3+(326.7-161.2)+(-0.154173+(-0.166617--0.082212))+0-130.3--0.0664529999999868</f>
        <v>337.32787499999995</v>
      </c>
      <c r="S272" s="3">
        <f>302.8+(333-180.9)+(-0.463284+(-0.50949--0.276777))+0-129.4--0.197982000000007</f>
        <v>325.00198499999999</v>
      </c>
      <c r="T272" s="3">
        <f>301.6+(312.1-143.8)+(-0.461448+(-0.477513--0.220014))+0-149.8--0.229194000000009</f>
        <v>319.61024700000002</v>
      </c>
      <c r="U272" s="3">
        <f>298.5+(283.2-123.9)+(-0.456705+(-0.433296--0.189567))+0-130.8--0.200124000000008</f>
        <v>326.49968999999999</v>
      </c>
      <c r="V272" s="3">
        <f>299.7+(322.1-145.8)+(-0.458541+(-0.492813--0.223074))+0-138.4--0.211752000000008</f>
        <v>337.08347199999997</v>
      </c>
      <c r="W272" s="3">
        <f>328.4+(380.3-160.7)+(-0.167484+(-0.193953--0.081957))+0-141.8--0.0723179999999856</f>
        <v>405.99283799999995</v>
      </c>
      <c r="X272" s="3">
        <f>342.2+(364.5-149.7)+(-0.698088+(-0.74358--0.305388))+0-142.9--0.291515999999994</f>
        <v>413.25523599999997</v>
      </c>
      <c r="Y272" s="3">
        <f>317.8+(315.5-89.7)+(-0.486234+(-0.482715--0.137241))+0-143.8--0.220014000000008</f>
        <v>399.18830599999995</v>
      </c>
      <c r="Z272" s="3">
        <f>304.1+(353.5-112.5)+(-0.620364+(-0.72114--0.2295))+0-140.1--0.285803999999994</f>
        <v>404.17380000000003</v>
      </c>
      <c r="AA272" s="3">
        <f>304.4+(299.6-44.7)+(-0.310488+(-0.305592--0.045594))+0-156.8--0.159936000000025</f>
        <v>402.08945</v>
      </c>
      <c r="AB272" s="3">
        <f>306+(239.5-32.4)+(-0.7803+(-0.610725--0.08262))+0-121.6--0.310079999999982</f>
        <v>390.50167499999998</v>
      </c>
      <c r="AC272" s="3">
        <f>305.1+(238.5-42.8)+(-0.466803+(-0.364905--0.065484))+0-127.7--0.195381000000007</f>
        <v>372.529157</v>
      </c>
      <c r="AD272">
        <f t="shared" si="4"/>
        <v>7718.3944270000002</v>
      </c>
      <c r="AE272" s="3">
        <f>339+(391.6-154.9)+(0+(0-0))+0-155.3-0</f>
        <v>420.40000000000003</v>
      </c>
    </row>
    <row r="273" spans="1:31" s="2" customFormat="1" x14ac:dyDescent="0.25">
      <c r="A273">
        <v>89</v>
      </c>
      <c r="B273">
        <v>9</v>
      </c>
      <c r="C273">
        <v>27</v>
      </c>
      <c r="D273">
        <v>1</v>
      </c>
      <c r="E273">
        <v>1</v>
      </c>
      <c r="F273" s="3">
        <f>308.8+(251.5-64)+(-0.472464+(-0.384795--0.09792))+0-145.1--0.222003000000008</f>
        <v>350.66266400000001</v>
      </c>
      <c r="G273" s="3">
        <f>280.5+(220.5-34.8)+(-0.715275+(-0.562275--0.08874))+0-138.4--0.35291999999998</f>
        <v>326.96410999999995</v>
      </c>
      <c r="H273" s="3">
        <f>264.5+(239.3-27.1)+(-0.26979+(-0.244086--0.027642))+0-145.3--0.148206000000023</f>
        <v>331.06197200000003</v>
      </c>
      <c r="I273" s="3">
        <f>262.2+(237.5-31.9)+(-0.267444+(-0.24225--0.032538))+0-140.1--0.142902000000022</f>
        <v>327.36574600000006</v>
      </c>
      <c r="J273" s="3">
        <f>265.8+(242.7-31.6)+(0+(0-0))+0-143.9-0</f>
        <v>333</v>
      </c>
      <c r="K273" s="3">
        <f>291.1+(219.7-29.3)+(-0.296922+(-0.224094--0.029886))+0-142.4--0.145248000000023</f>
        <v>338.75411800000006</v>
      </c>
      <c r="L273" s="3">
        <f>302.8+(228.1-48.8)+(0+(0-0))+0-117.9-0</f>
        <v>364.20000000000005</v>
      </c>
      <c r="M273" s="3">
        <f>306.8+(262.4-51.8)+(0+(0-0))+0-123.7-0</f>
        <v>393.7</v>
      </c>
      <c r="N273" s="3">
        <f>305.2+(302.5-50.6)+(0+(0-0))+0-139.6-0</f>
        <v>417.5</v>
      </c>
      <c r="O273" s="3">
        <f>304.5+(306.8-46.9)+(0+(0-0))+0-135.6-0</f>
        <v>428.80000000000007</v>
      </c>
      <c r="P273" s="3">
        <f>303+(302.2-35.5)+(0+(0-0))+0-76-0</f>
        <v>493.70000000000005</v>
      </c>
      <c r="Q273" s="3">
        <f>296.1+(334.5-33.7)+(0+(0-0))+0-85-0</f>
        <v>511.90000000000009</v>
      </c>
      <c r="R273" s="3">
        <f>296.1+(347.6-33)+(-0.151011+(-0.177276--0.01683))+0-95--0.0484499999999904</f>
        <v>515.43699300000003</v>
      </c>
      <c r="S273" s="3">
        <f>292.7+(318.5-42.8)+(-0.149277+(-0.162435--0.021828))+0-125--0.0637499999999873</f>
        <v>443.17386599999992</v>
      </c>
      <c r="T273" s="3">
        <f>296+(333.3-65.7)+(0+(0-0))+0-132-0</f>
        <v>431.6</v>
      </c>
      <c r="U273" s="3">
        <f>284.9+(384.5-100.6)+(0.435897+(0.588285-0.153918))+0-132.7-0.203031000000008</f>
        <v>436.76723299999998</v>
      </c>
      <c r="V273" s="3">
        <f>281.6+(397.7-69.7)+(0.287232+(0.405654-0.071094))+0-138.7-0.141474000000022</f>
        <v>471.38031800000005</v>
      </c>
      <c r="W273" s="3">
        <f>279.9+(432-44.4)+(0+(0-0))+0-144.4-0</f>
        <v>523.1</v>
      </c>
      <c r="X273" s="3">
        <f>279+(412-40.2)+(-0.14229+(-0.21012--0.020502))+0-121.9--0.0621689999999876</f>
        <v>528.63026100000002</v>
      </c>
      <c r="Y273" s="3">
        <f>274.2+(416.1-32)+(-0.69921+(-1.061055--0.0816))+0-144.4--0.368219999999979</f>
        <v>512.5895549999999</v>
      </c>
      <c r="Z273" s="3">
        <f>284.9+(396.6-35.5)+(0.145299+(0.202266-0.018105))+0-145.7-0.0743069999999852</f>
        <v>500.55515300000008</v>
      </c>
      <c r="AA273" s="3">
        <f>284.7+(412.2-56.8)+(-0.145197+(-0.210222--0.028968))+0-150--0.0764999999999848</f>
        <v>489.8500489999999</v>
      </c>
      <c r="AB273" s="3">
        <f>283.3+(411.5-84.9)+(-0.288966+(-0.41973--0.086598))+0-146.4--0.149328000000023</f>
        <v>463.02723000000009</v>
      </c>
      <c r="AC273" s="3">
        <f>283.8+(444-155.4)+(-0.144738+(-0.22644--0.079254))+0-147--0.0749699999999851</f>
        <v>425.1830460000001</v>
      </c>
      <c r="AD273">
        <f t="shared" si="4"/>
        <v>10358.902314000003</v>
      </c>
      <c r="AE273" s="3">
        <f>271+(419.5-43.3)+(0+(0-0))+0-121.6-0</f>
        <v>525.6</v>
      </c>
    </row>
    <row r="274" spans="1:31" s="2" customFormat="1" x14ac:dyDescent="0.25">
      <c r="A274">
        <v>89</v>
      </c>
      <c r="B274">
        <v>9</v>
      </c>
      <c r="C274">
        <v>28</v>
      </c>
      <c r="D274">
        <v>2</v>
      </c>
      <c r="E274">
        <v>1</v>
      </c>
      <c r="F274" s="3">
        <f>285.1+(498.9-237.4)+(0+(0-0))+0-140.8-0</f>
        <v>405.8</v>
      </c>
      <c r="G274" s="3">
        <f>282.4+(518.4-261.2)+(-0.432072+(-0.793152--0.399636))+0-140.8--0.215424000000008</f>
        <v>398.18983599999984</v>
      </c>
      <c r="H274" s="3">
        <f>231.2+(491.4-190.2)+(-0.353736+(-0.751842--0.291006))+0-140.5--0.214965000000008</f>
        <v>391.30039299999999</v>
      </c>
      <c r="I274" s="3">
        <f>211.1+(480.4-154.4)+(0+(0-0))+0-148.4-0</f>
        <v>388.70000000000005</v>
      </c>
      <c r="J274" s="3">
        <f>210.9+(478.1-166.5)+(0+(0-0))+0-134.2-0</f>
        <v>388.3</v>
      </c>
      <c r="K274" s="3">
        <f>213.5+(444.9-135.2)+(-0.326655+(-0.680697--0.206856))+0-134.8--0.206244000000008</f>
        <v>387.80574800000011</v>
      </c>
      <c r="L274" s="3">
        <f>211.2+(435.9-93)+(0+(0-0))+0-150.9-0</f>
        <v>403.19999999999993</v>
      </c>
      <c r="M274" s="3">
        <f>211.3+(417.3-73.8)+(0+(0-0))+0-123.2-0</f>
        <v>431.59999999999997</v>
      </c>
      <c r="N274" s="3">
        <f>274.2+(400.5-90.7)+(-0.139842+(-0.204255--0.046257))+0-133.1--0.0678809999999865</f>
        <v>450.67004100000003</v>
      </c>
      <c r="O274" s="3">
        <f>289.8+(407.3-90.3)+(0+(0-0))+0-145.2-0</f>
        <v>461.59999999999997</v>
      </c>
      <c r="P274" s="3">
        <f>288.8+(379.2-62.7)+(0+(0-0))+0-142.4-0</f>
        <v>462.9</v>
      </c>
      <c r="Q274" s="3">
        <f>284.4+(391.6-71.4)+(-0.580176+(-0.798864--0.145656))+0-131.9--0.269075999999994</f>
        <v>471.73569200000003</v>
      </c>
      <c r="R274" s="3">
        <f>283.8+(381.6-50.3)+(-0.434214+(-0.583848--0.076959))+0-147.7--0.225981000000009</f>
        <v>466.68487800000003</v>
      </c>
      <c r="S274" s="3">
        <f>285.1+(336.3-70.2)+(-0.290802+(-0.343026--0.071604))+0-142.1--0.144942000000023</f>
        <v>408.68271800000002</v>
      </c>
      <c r="T274" s="3">
        <f>285+(316.5-118.7)+(-0.2907+(-0.32283--0.121074))+0-138.2--0.140964000000022</f>
        <v>344.24850800000002</v>
      </c>
      <c r="U274" s="3">
        <f>286+(348.7-85.5)+(-0.29172+(-0.355674--0.08721))+0-150.2--0.153204000000024</f>
        <v>398.59302000000002</v>
      </c>
      <c r="V274" s="3">
        <f>280+(347.4-45.4)+(0+(0-0))+0-125.7-0</f>
        <v>456.3</v>
      </c>
      <c r="W274" s="3">
        <f>286+(411.9-44)+(-0.14586+(-0.210069--0.02244))+0-139.4--0.0710939999999859</f>
        <v>514.23760500000003</v>
      </c>
      <c r="X274" s="3">
        <f>281+(414.7-38.1)+(-0.42993+(-0.634491--0.058293))+0-146.2--0.223686000000008</f>
        <v>510.61755799999992</v>
      </c>
      <c r="Y274" s="3">
        <f>282+(399.8-35.8)+(-0.43146+(-0.611694--0.054774))+0-148.2--0.226746000000009</f>
        <v>497.038366</v>
      </c>
      <c r="Z274" s="3">
        <f>282+(390.8-50.8)+(-0.14382+(-0.199308--0.025908))+0-137.3--0.0700229999999861</f>
        <v>484.45280299999996</v>
      </c>
      <c r="AA274" s="3">
        <f>277+(409.9-68.6)+(-0.42381+(-0.627147--0.104958))+0-143--0.218790000000008</f>
        <v>474.57279099999994</v>
      </c>
      <c r="AB274" s="3">
        <f>278+(434.5-98.7)+(-0.42534+(-0.664785--0.151011))+0-162.8--0.249084000000009</f>
        <v>450.30996999999991</v>
      </c>
      <c r="AC274" s="3">
        <f>285+(462.4-184.8)+(-0.2907+(-0.471648--0.188496))+0-129--0.131580000000021</f>
        <v>433.15772799999996</v>
      </c>
      <c r="AD274">
        <f t="shared" si="4"/>
        <v>10480.697655000002</v>
      </c>
      <c r="AE274" s="3">
        <f>282+(402-42.1)+(0+(0-0))+0-151.9-0</f>
        <v>490</v>
      </c>
    </row>
    <row r="275" spans="1:31" s="2" customFormat="1" x14ac:dyDescent="0.25">
      <c r="A275">
        <v>89</v>
      </c>
      <c r="B275">
        <v>9</v>
      </c>
      <c r="C275">
        <v>29</v>
      </c>
      <c r="D275">
        <v>3</v>
      </c>
      <c r="E275">
        <v>1</v>
      </c>
      <c r="F275" s="3">
        <f>287+(505.7-243)+(-0.73185+(-1.289535--0.61965))+0-142.3--0.362864999999979</f>
        <v>406.36113</v>
      </c>
      <c r="G275" s="3">
        <f>287+(549.2-255.2)+(0.14637+(0.280092-0.130152))+0-140.6-0.0717059999999857</f>
        <v>440.62460399999992</v>
      </c>
      <c r="H275" s="3">
        <f>286+(484.4-183.3)+(-0.29172+(-0.494088--0.186966))+0-155.4--0.158508000000025</f>
        <v>431.25966599999998</v>
      </c>
      <c r="I275" s="3">
        <f>226+(477.4-197)+(-0.11526+(-0.243474--0.10047))+0-142.2--0.0725219999999856</f>
        <v>364.01425799999998</v>
      </c>
      <c r="J275" s="3">
        <f>226.3+(460.2-181.7)+(0.230826+(0.469404-0.185334))+0-139.9-0.142698000000022</f>
        <v>365.272198</v>
      </c>
      <c r="K275" s="3">
        <f>226.6+(430.1-146.3)+(-0.462264+(-0.877404--0.298452))+0-146.4--0.298655999999994</f>
        <v>363.25743999999992</v>
      </c>
      <c r="L275" s="3">
        <f>233.9+(394.5-86.6)+(-0.238578+(-0.40239--0.088332))+0-140.2--0.143004000000022</f>
        <v>401.19036799999998</v>
      </c>
      <c r="M275" s="3">
        <f>278.9+(381.3-91.6)+(-0.142239+(-0.194463--0.046716))+0-143.4--0.0731339999999855</f>
        <v>424.98314800000003</v>
      </c>
      <c r="N275" s="3">
        <f>277.7+(382.5-70.9)+(-0.424881+(-0.585225--0.108477))+0-140.7--0.215271000000008</f>
        <v>447.91364200000004</v>
      </c>
      <c r="O275" s="3">
        <f>274+(402.3-73.6)+(-0.27948+(-0.410346--0.075072))+0-154.6--0.157692000000025</f>
        <v>447.64293800000007</v>
      </c>
      <c r="P275" s="3">
        <f>275+(421.1-80.2)+(-0.42075+(-0.644283--0.122706))+0-152.9--0.233937000000009</f>
        <v>462.29161000000016</v>
      </c>
      <c r="Q275" s="3">
        <f>273+(418.5-68.2)+(-0.41769+(-0.640305--0.104346))+0-152.8--0.233784000000009</f>
        <v>469.78013499999992</v>
      </c>
      <c r="R275" s="3">
        <f>319+(440.1-101.5)+(-0.32538+(-0.448902--0.10353))+0-154.2--0.157284000000025</f>
        <v>502.88653200000005</v>
      </c>
      <c r="S275" s="3">
        <f>357+(418.3-151.9)+(-0.72828+(-0.853332--0.309876))+0-150.2--0.306407999999993</f>
        <v>472.23467199999993</v>
      </c>
      <c r="T275" s="3">
        <f>369+(376.4-110.6)+(-0.56457+(-0.575892--0.169218))+0-157.7--0.241281000000009</f>
        <v>476.37003700000002</v>
      </c>
      <c r="U275" s="3">
        <f>333.2+(346.8-96)+(-0.509796+(-0.530604--0.14688))+0-148.7--0.227511000000009</f>
        <v>434.63399100000004</v>
      </c>
      <c r="V275" s="3">
        <f>334.2+(327.6-74.7)+(-0.511326+(-0.501228--0.114291))+0-137--0.209610000000008</f>
        <v>449.41134699999998</v>
      </c>
      <c r="W275" s="3">
        <f>339.1+(349.9-49.6)+(0.172941+(0.178449-0.025296))+0-121.2-0.0618119999999877</f>
        <v>518.46428199999991</v>
      </c>
      <c r="X275" s="3">
        <f>331.1+(399.1-59)+(-1.013166+(-1.221246--0.18054))+0-154.9--0.473994000000018</f>
        <v>514.72012200000017</v>
      </c>
      <c r="Y275" s="3">
        <f>331.4+(394-106.7)+(-0.338028+(-0.40188--0.108834))+0-148.4--0.151368000000024</f>
        <v>469.8202940000001</v>
      </c>
      <c r="Z275" s="3">
        <f>384.3+(411.7-154.1)+(-0.391986+(-0.419934--0.157182))+0-142.1--0.144942000000023</f>
        <v>499.29020400000013</v>
      </c>
      <c r="AA275" s="3">
        <f>328.5+(457.3-142.2)+(-0.67014+(-0.932892--0.290088))+0-151.6--0.309263999999993</f>
        <v>490.99631999999997</v>
      </c>
      <c r="AB275" s="3">
        <f>322.9+(528-231.4)+(-0.658716+(-1.07712--0.472056))+0-145.2--0.296207999999994</f>
        <v>473.33242799999999</v>
      </c>
      <c r="AC275" s="3">
        <f>327.2+(597.4-331)+(-0.500616+(-0.914022--0.50643))+0-145.6--0.222768000000008</f>
        <v>447.31455999999997</v>
      </c>
      <c r="AD275">
        <f t="shared" si="4"/>
        <v>10774.065926000001</v>
      </c>
      <c r="AE275" s="3">
        <f>343+(355.2-52.6)+(0+(0-0))+0-116.1-0</f>
        <v>529.49999999999989</v>
      </c>
    </row>
    <row r="276" spans="1:31" s="2" customFormat="1" x14ac:dyDescent="0.25">
      <c r="A276">
        <v>89</v>
      </c>
      <c r="B276">
        <v>9</v>
      </c>
      <c r="C276">
        <v>30</v>
      </c>
      <c r="D276">
        <v>4</v>
      </c>
      <c r="E276">
        <v>1</v>
      </c>
      <c r="F276" s="3">
        <f>321.7+(534.2-282)+(-0.328134+(-0.544884--0.28764))+0-149.1--0.152082000000024</f>
        <v>424.36670400000008</v>
      </c>
      <c r="G276" s="3">
        <f>326.9+(464.2-226.6)+(0.333438+(0.473484-0.231132))+0-151.6-0.154632000000024</f>
        <v>413.32115799999991</v>
      </c>
      <c r="H276" s="3">
        <f>278.9+(452.6-189.6)+(-0.284478+(-0.461652--0.193392))+0-138.1--0.140862000000022</f>
        <v>403.388124</v>
      </c>
      <c r="I276" s="3">
        <f>248.4+(459.5-165.3)+(-0.63342+(-1.171725--0.421515))+0-143.6--0.366179999999979</f>
        <v>397.98254999999995</v>
      </c>
      <c r="J276" s="3">
        <f>248.2+(463.7-174.2)+(-0.253164+(-0.472974--0.177684))+0-138.4--0.141168000000022</f>
        <v>398.89271400000013</v>
      </c>
      <c r="K276" s="3">
        <f>248.3+(431-137.6)+(-0.126633+(-0.21981--0.070176))+0-142.3--0.0725729999999856</f>
        <v>399.19630600000005</v>
      </c>
      <c r="L276" s="3">
        <f>243.1+(430.4-121.1)+(-0.495924+(-0.878016--0.247044))+0-139.4--0.284375999999994</f>
        <v>412.15748000000002</v>
      </c>
      <c r="M276" s="3">
        <f>240.2+(419-78.6)+(-0.490008+(-0.85476--0.160344))+0-139.3--0.284171999999994</f>
        <v>440.39974799999987</v>
      </c>
      <c r="N276" s="3">
        <f>303.6+(426.3-117.7)+(-0.154836+(-0.217413--0.060027))+0-143.3--0.0730829999999855</f>
        <v>468.66086100000001</v>
      </c>
      <c r="O276" s="3">
        <f>309.2+(455.8-138)+(-0.78846+(-1.16229--0.3519))+0-151.7--0.386834999999978</f>
        <v>474.087985</v>
      </c>
      <c r="P276" s="3">
        <f>324.4+(454.6-156.9)+(-0.165444+(-0.231846--0.080019))+0-135.4--0.0690539999999863</f>
        <v>486.45178300000003</v>
      </c>
      <c r="Q276" s="3">
        <f>328.4+(480.7-171.8)+(-0.502452+(-0.735471--0.262854))+0-146.3--0.223839000000008</f>
        <v>490.24876999999998</v>
      </c>
      <c r="R276" s="3">
        <f>328.1+(392.3-96.6)+(-0.669324+(-0.800292--0.197064))+0-146.2--0.298247999999994</f>
        <v>476.62569600000006</v>
      </c>
      <c r="S276" s="3">
        <f>332.2+(340-62.7)+(-0.169422+(-0.1734--0.031977))+0-152.9--0.0779789999999845</f>
        <v>456.36713400000002</v>
      </c>
      <c r="T276" s="3">
        <f>328.7+(358.1-94)+(-0.670548+(-0.730524--0.19176))+0-147.7--0.301307999999994</f>
        <v>444.19199600000002</v>
      </c>
      <c r="U276" s="3">
        <f>330.1+(337.9-92.6)+(-0.505053+(-0.516987--0.141678))+0-134.6--0.205938000000008</f>
        <v>440.12557599999997</v>
      </c>
      <c r="V276" s="3">
        <f>333.7+(373.3-107.2)+(0+(0-0))+0-142.3-0</f>
        <v>457.49999999999994</v>
      </c>
      <c r="W276" s="3">
        <f>335.8+(411.8-73.8)+(0.342516+(0.420036-0.075276))+0-148.1-0.151062000000024</f>
        <v>526.2362139999999</v>
      </c>
      <c r="X276" s="3">
        <f>324.5+(430.8-97.5)+(-0.99297+(-1.318248--0.29835))+0-130.9--0.400554000000015</f>
        <v>525.28768600000001</v>
      </c>
      <c r="Y276" s="3">
        <f>323.5+(436.9-126.5)+(-1.154895+(-1.559733--0.451605))+0-132.8--0.474096000000002</f>
        <v>499.31107299999996</v>
      </c>
      <c r="Z276" s="3">
        <f>325.2+(453.1-141)+(-0.82926+(-1.155405--0.35955))+0-140.8--0.35903999999998</f>
        <v>495.23392499999989</v>
      </c>
      <c r="AA276" s="3">
        <f>331.9+(443-156.1)+(0.169269+(0.22593-0.079611))+0-135.7-0.0692069999999862</f>
        <v>483.34638100000001</v>
      </c>
      <c r="AB276" s="3">
        <f>310.5+(455.5-163.6)+(-0.475065+(-0.696915--0.250308))+0-146.8--0.224604000000008</f>
        <v>454.90293200000002</v>
      </c>
      <c r="AC276" s="3">
        <f>306.1+(536-265.9)+(-0.624444+(-1.09344--0.542436))+0-138.7--0.282947999999994</f>
        <v>436.60750000000007</v>
      </c>
      <c r="AD276">
        <f t="shared" si="4"/>
        <v>10904.890296000001</v>
      </c>
      <c r="AE276" s="3">
        <f>327+(427.5-99.9)+(0+(0-0))+0-117.8-0</f>
        <v>536.80000000000007</v>
      </c>
    </row>
    <row r="277" spans="1:31" s="2" customFormat="1" x14ac:dyDescent="0.25">
      <c r="A277">
        <v>89</v>
      </c>
      <c r="B277">
        <v>10</v>
      </c>
      <c r="C277">
        <v>1</v>
      </c>
      <c r="D277">
        <v>5</v>
      </c>
      <c r="E277">
        <v>1</v>
      </c>
      <c r="F277" s="3">
        <f>312.9+(539.8-292.3)+(0.159579+(0.275298-0.149073))+0-145.7-0.0743069999999852</f>
        <v>414.91149699999988</v>
      </c>
      <c r="G277" s="3">
        <f>304.6+(555.3-318.5)+(-0.466038+(-0.849609--0.487305))+0-142--0.217260000000008</f>
        <v>398.78891799999997</v>
      </c>
      <c r="H277" s="3">
        <f>303.7+(545.8-308.6)+(-0.309774+(-0.556716--0.314772))+0-153.2--0.156264000000024</f>
        <v>387.30454599999985</v>
      </c>
      <c r="I277" s="3">
        <f>302.6+(562.4-320.4)+(-0.154326+(-0.286824--0.163404))+0-152.4--0.0777239999999845</f>
        <v>391.99997800000006</v>
      </c>
      <c r="J277" s="3">
        <f>303.9+(556.1-307.5)+(-0.154989+(-0.283611--0.156825))+0-155.5--0.0793049999999842</f>
        <v>396.79752999999994</v>
      </c>
      <c r="K277" s="3">
        <f>306.5+(496.6-250.6)+(0+(0-0))+0-150.5-0</f>
        <v>402</v>
      </c>
      <c r="L277" s="3">
        <f>299.8+(421.4-173.6)+(-0.76449+(-1.07457--0.44268))+0-139.1--0.35470499999998</f>
        <v>407.45832499999995</v>
      </c>
      <c r="M277" s="3">
        <f>311.6+(411.4-155.3)+(-0.158916+(-0.209814--0.079203))+0-133.1--0.0678809999999865</f>
        <v>434.378354</v>
      </c>
      <c r="N277" s="3">
        <f>313.9+(401.9-153.2)+(0.160089+(0.204969-0.078132))+0-109.5-0.0558449999999889</f>
        <v>453.33108099999993</v>
      </c>
      <c r="O277" s="3">
        <f>310.2+(420.5-186.4)+(0.158202+(0.214455-0.095064))+0-95.2-0.0485519999999903</f>
        <v>449.32904100000002</v>
      </c>
      <c r="P277" s="3">
        <f>308+(427.8-160.1)+(-0.47124+(-0.654534--0.244953))+0-108.8--0.166464000000006</f>
        <v>466.18564300000008</v>
      </c>
      <c r="Q277" s="3">
        <f>318.3+(411.7-160.2)+(-0.324666+(-0.419934--0.163404))+0-101.8--0.103836000000016</f>
        <v>467.52263999999997</v>
      </c>
      <c r="R277" s="3">
        <f>317.6+(399.7-141.5)+(-0.323952+(-0.407694--0.14433))+0-107.7--0.109854000000017</f>
        <v>467.62253800000002</v>
      </c>
      <c r="S277" s="3">
        <f>318+(382.1-123.4)+(-0.32436+(-0.389742--0.125868))+0-113.3--0.115566000000018</f>
        <v>462.92733199999998</v>
      </c>
      <c r="T277" s="3">
        <f>328.1+(380.7-126.6)+(0.836655+(0.970785-0.32283))+0-137.1-0.34960499999998</f>
        <v>446.235005</v>
      </c>
      <c r="U277" s="3">
        <f>323.6+(390.4-143.3)+(0.165036+(0.199104-0.073083))+0-129.5-0.0660449999999869</f>
        <v>441.42501200000009</v>
      </c>
      <c r="V277" s="3">
        <f>317.9+(417.8-157.7)+(-0.486387+(-0.639234--0.241281))+0-116--0.177480000000007</f>
        <v>461.29314000000005</v>
      </c>
      <c r="W277" s="3">
        <f>321.9+(432.4-118.2)+(-0.164169+(-0.220524--0.060282))+0-119.7--0.0610469999999879</f>
        <v>516.13663599999984</v>
      </c>
      <c r="X277" s="3">
        <f>323.3+(425.6-90.8)+(-0.659532+(-0.868224--0.185232))+0-140.3--0.286211999999994</f>
        <v>516.74368800000002</v>
      </c>
      <c r="Y277" s="3">
        <f>334.3+(396.4-91)+(-0.852465+(-1.01082--0.23205))+0-137.4--0.35036999999998</f>
        <v>501.01913500000012</v>
      </c>
      <c r="Z277" s="3">
        <f>340.4+(393.2-100.9)+(-0.520812+(-0.601596--0.154377))+0-142.2--0.217566000000008</f>
        <v>489.74953499999998</v>
      </c>
      <c r="AA277" s="3">
        <f>343.9+(407.4-115)+(0+(0-0))+0-156.9-0</f>
        <v>479.4</v>
      </c>
      <c r="AB277" s="3">
        <f>337.5+(448.5-179.8)+(-0.860625+(-1.143675--0.45849))+0-147.5--0.376124999999979</f>
        <v>457.53031500000009</v>
      </c>
      <c r="AC277" s="3">
        <f>332.1+(551-296.7)+(-0.508113+(-0.84303--0.453951))+0-146.5--0.224145000000008</f>
        <v>439.22695300000009</v>
      </c>
      <c r="AD277">
        <f t="shared" si="4"/>
        <v>10749.316841999998</v>
      </c>
      <c r="AE277" s="3">
        <f>311+(424.2-92.5)+(0+(0-0))+0-109.7-0</f>
        <v>533</v>
      </c>
    </row>
    <row r="278" spans="1:31" s="2" customFormat="1" x14ac:dyDescent="0.25">
      <c r="A278">
        <v>89</v>
      </c>
      <c r="B278">
        <v>10</v>
      </c>
      <c r="C278">
        <v>2</v>
      </c>
      <c r="D278">
        <v>6</v>
      </c>
      <c r="E278">
        <v>1</v>
      </c>
      <c r="F278" s="3">
        <f>328.3+(558.6-337.8)+(-0.837165+(-1.42443--0.86139))+0-131.1--0.334304999999981</f>
        <v>416.93409999999994</v>
      </c>
      <c r="G278" s="3">
        <f>331.8+(582.3-368.7)+(0+(0-0))+0-139.7-0</f>
        <v>405.7</v>
      </c>
      <c r="H278" s="3">
        <f>328+(522.8-319.7)+(-0.8364+(-1.33314--0.815235))+0-128.5--0.327674999999981</f>
        <v>401.57336999999995</v>
      </c>
      <c r="I278" s="3">
        <f>271.9+(438.4-179.4)+(0.138669+(0.223584-0.091494))+0-139.2-0.0709919999999859</f>
        <v>391.899767</v>
      </c>
      <c r="J278" s="3">
        <f>246.8+(435.1-148.6)+(0.377604+(0.665703-0.227358))+0-146.8-0.224604000000008</f>
        <v>387.09134499999999</v>
      </c>
      <c r="K278" s="3">
        <f>246.9+(432-141.9)+(0.503676+(0.88128-0.289476))+0-142.4-0.290495999999994</f>
        <v>395.40498399999996</v>
      </c>
      <c r="L278" s="3">
        <f>266.6+(393.2-107.4)+(0.67983+(1.00266-0.27387))+0-148.3-0.378164999999978</f>
        <v>405.13045500000004</v>
      </c>
      <c r="M278" s="3">
        <f>324.2+(343.3-98.1)+(-0.165342+(-0.175083--0.050031))+0-140.4--0.0716039999999858</f>
        <v>428.78120999999999</v>
      </c>
      <c r="N278" s="3">
        <f>325.1+(349.7-81.6)+(-0.331602+(-0.356694--0.083232))+0-142.7--0.145554000000023</f>
        <v>450.04049000000009</v>
      </c>
      <c r="O278" s="3">
        <f>327.1+(342.1-61.8)+(-0.166821+(-0.174471--0.031518))+0-148.2--0.075581999999985</f>
        <v>458.96580800000015</v>
      </c>
      <c r="P278" s="3">
        <f>328+(331.2-46.8)+(0.33456+(0.337824-0.047736))+0-150.6-0.153612000000024</f>
        <v>462.27103599999992</v>
      </c>
      <c r="Q278" s="3">
        <f>323.4+(333.4-41.1)+(-0.164934+(-0.170034--0.020961))+0-154.9--0.0789989999999843</f>
        <v>460.56499200000002</v>
      </c>
      <c r="R278" s="3">
        <f>318.3+(328.5-33)+(-0.486999+(-0.502605--0.05049))+0-156.6--0.239598000000009</f>
        <v>456.50048399999991</v>
      </c>
      <c r="S278" s="3">
        <f>319.8+(298.9-32.6)+(-0.326196+(-0.304878--0.033252))+0-144.8--0.147696000000023</f>
        <v>440.84987399999994</v>
      </c>
      <c r="T278" s="3">
        <f>322.4+(281.8-34.2)+(-0.164424+(-0.143718--0.017442))+0-159.4--0.0812939999999838</f>
        <v>410.39059399999996</v>
      </c>
      <c r="U278" s="3">
        <f>325+(258.2-36.6)+(0.3315+(0.263364-0.037332))+0-150.1-0.153102000000024</f>
        <v>396.90442999999999</v>
      </c>
      <c r="V278" s="3">
        <f>318.4+(284.6-33.9)+(-0.487152+(-0.435438--0.051867))+0-136.5--0.208845000000008</f>
        <v>431.93812200000002</v>
      </c>
      <c r="W278" s="3">
        <f>322.5+(329.8-34.1)+(-0.493425+(-0.504594--0.052173))+0-138.2--0.211446000000008</f>
        <v>479.26560000000012</v>
      </c>
      <c r="X278" s="3">
        <f>329.5+(328.5-34.9)+(-0.33609+(-0.33507--0.035598))+0-145.6--0.148512000000023</f>
        <v>477.01294999999999</v>
      </c>
      <c r="Y278" s="3">
        <f>329.8+(325.8-40)+(-0.168198+(-0.166158--0.0204))+0-143.1--0.0729809999999855</f>
        <v>472.25902500000001</v>
      </c>
      <c r="Z278" s="3">
        <f>330.6+(330.2-55.5)+(-0.168606+(-0.168402--0.028305))+0-143.2--0.0730319999999855</f>
        <v>461.86432899999994</v>
      </c>
      <c r="AA278" s="3">
        <f>324.1+(350.1-54.3)+(-0.991746+(-1.071306--0.166158))+0-166.6--0.509796000000019</f>
        <v>451.91290200000009</v>
      </c>
      <c r="AB278" s="3">
        <f>328.1+(361.6-93.8)+(-0.501993+(-0.553248--0.143514))+0-158.6--0.242658000000009</f>
        <v>436.63093100000003</v>
      </c>
      <c r="AC278" s="3">
        <f>327.5+(390.3-139.5)+(-0.501075+(-0.597159--0.213435))+0-157.6--0.241128000000009</f>
        <v>420.05632899999989</v>
      </c>
      <c r="AD278">
        <f t="shared" si="4"/>
        <v>10399.943126999999</v>
      </c>
      <c r="AE278" s="3">
        <f>329+(360.1-33.2)+(0+(0-0))+0-166.9-0</f>
        <v>489.00000000000011</v>
      </c>
    </row>
    <row r="279" spans="1:31" s="2" customFormat="1" x14ac:dyDescent="0.25">
      <c r="A279">
        <v>89</v>
      </c>
      <c r="B279">
        <v>10</v>
      </c>
      <c r="C279">
        <v>3</v>
      </c>
      <c r="D279">
        <v>7</v>
      </c>
      <c r="E279">
        <v>1</v>
      </c>
      <c r="F279" s="3">
        <f>331.1+(451.1-220.2)+(0+(0-0))+0-157.5-0</f>
        <v>404.5</v>
      </c>
      <c r="G279" s="3">
        <f>307.9+(447-228.4)+(-0.785145+(-1.13985--0.58242))+0-139.8--0.35648999999998</f>
        <v>385.71391499999999</v>
      </c>
      <c r="H279" s="3">
        <f>243.8+(411.1-126.6)+(0.248676+(0.419322-0.129132))+0-154.3-0.157386000000025</f>
        <v>374.3814799999999</v>
      </c>
      <c r="I279" s="3">
        <f>241+(406-116.8)+(0+(0-0))+0-161.9-0</f>
        <v>368.30000000000007</v>
      </c>
      <c r="J279" s="3">
        <f>257.9+(397.4-130.7)+(0+(0-0))+0-158-0</f>
        <v>366.59999999999991</v>
      </c>
      <c r="K279" s="3">
        <f>252.1+(373.5-92.9)+(-0.128571+(-0.190485--0.047379))+0-167--0.0851699999999831</f>
        <v>365.5134930000001</v>
      </c>
      <c r="L279" s="3">
        <f>276.1+(321.9-89.2)+(-0.140811+(-0.164169--0.045492))+0-153--0.0780299999999845</f>
        <v>355.61854200000005</v>
      </c>
      <c r="M279" s="3">
        <f>287.8+(282.7-71.9)+(-0.73389+(-0.720885--0.183345))+0-151.9--0.387344999999978</f>
        <v>345.81591500000002</v>
      </c>
      <c r="N279" s="3">
        <f>249.4+(271-21.6)+(0.254388+(0.27642-0.022032))+0-142-0.144840000000023</f>
        <v>357.16393599999998</v>
      </c>
      <c r="O279" s="3">
        <f>324.7+(223.2-32.6)+(0.165597+(0.113832-0.016626))+0-151.2-0.0771119999999847</f>
        <v>364.28569099999993</v>
      </c>
      <c r="P279" s="3">
        <f>330.6+(235.6-34.3)+(-1.011636+(-0.720936--0.104958))+0-150.3--0.459918000000017</f>
        <v>380.4323040000001</v>
      </c>
      <c r="Q279" s="3">
        <f>333.2+(240.8-34.9)+(-0.339864+(-0.245616--0.035598))+0-150.4--0.153408000000024</f>
        <v>388.30352600000003</v>
      </c>
      <c r="R279" s="3">
        <f>328.2+(242.9-38.1)+(-0.334764+(-0.247758--0.038862))+0-144.6--0.147492000000023</f>
        <v>388.00383199999993</v>
      </c>
      <c r="S279" s="3">
        <f>325.6+(245-50.6)+(-0.664224+(-0.4998--0.103224))+0-138.8--0.283151999999994</f>
        <v>380.42235199999999</v>
      </c>
      <c r="T279" s="3">
        <f>322.5+(245.6-54.3)+(-0.822375+(-0.62628--0.138465))+0-145.9--0.372044999999979</f>
        <v>366.9618549999999</v>
      </c>
      <c r="U279" s="3">
        <f>329+(248.1-56.2)+(0+(0-0))+0-149.3-0</f>
        <v>371.59999999999997</v>
      </c>
      <c r="V279" s="3">
        <f>330.9+(253.2-62.9)+(-0.168759+(-0.129132--0.032079))+0-128.5--0.065534999999987</f>
        <v>392.49972299999996</v>
      </c>
      <c r="W279" s="3">
        <f>341.5+(317.2-82.5)+(-0.174165+(-0.161772--0.042075))+0-145.4--0.0741539999999853</f>
        <v>430.58029200000004</v>
      </c>
      <c r="X279" s="3">
        <f>339+(273.4-46.8)+(-0.86445+(-0.69717--0.11934))+0-139.7--0.35623499999998</f>
        <v>424.81395499999991</v>
      </c>
      <c r="Y279" s="3">
        <f>331.8+(263.6-37.6)+(0.169218+(0.134436-0.019176))+0-138.9-0.0708389999999859</f>
        <v>419.11363900000015</v>
      </c>
      <c r="Z279" s="3">
        <f>328.3+(291.7-57.9)+(0.167433+(0.148767-0.029529))+0-139.2-0.0709919999999859</f>
        <v>423.115679</v>
      </c>
      <c r="AA279" s="3">
        <f>329+(308.9-69.8)+(0+(0-0))+0-144.6-0</f>
        <v>423.49999999999989</v>
      </c>
      <c r="AB279" s="3">
        <f>327.9+(344.9-116.9)+(-0.501687+(-0.527697--0.178857))+0-136.5--0.208845000000008</f>
        <v>418.75831799999992</v>
      </c>
      <c r="AC279" s="3">
        <f>320.2+(363.4-163.5)+(-0.326604+(-0.370668--0.16677))+0-119.8--0.122196000000019</f>
        <v>399.89169399999997</v>
      </c>
      <c r="AD279">
        <f t="shared" si="4"/>
        <v>9295.8901409999999</v>
      </c>
      <c r="AE279" s="3">
        <f>351+(282.1-77.4)+(0+(0-0))+0-121.5-0</f>
        <v>434.20000000000005</v>
      </c>
    </row>
    <row r="280" spans="1:31" s="2" customFormat="1" x14ac:dyDescent="0.25">
      <c r="A280">
        <v>89</v>
      </c>
      <c r="B280">
        <v>10</v>
      </c>
      <c r="C280">
        <v>4</v>
      </c>
      <c r="D280">
        <v>1</v>
      </c>
      <c r="E280">
        <v>1</v>
      </c>
      <c r="F280" s="3">
        <f>317.7+(323.6-131)+(-0.648108+(-0.660144--0.26724))+0-129.3--0.263771999999994</f>
        <v>380.22275999999999</v>
      </c>
      <c r="G280" s="3">
        <f>324.2+(320.4-148.3)+(0+(0-0))+0-124.7-0</f>
        <v>371.59999999999997</v>
      </c>
      <c r="H280" s="3">
        <f>318.2+(318.5-126.7)+(-0.486846+(-0.487305--0.193851))+0-141.5--0.216495000000008</f>
        <v>367.936195</v>
      </c>
      <c r="I280" s="3">
        <f>328+(317.5-134.4)+(0.50184+(0.485775-0.205632))+0-148.1-0.226593000000009</f>
        <v>363.55539000000005</v>
      </c>
      <c r="J280" s="3">
        <f>322.8+(319.5-131.9)+(-0.164628+(-0.162945--0.067269))+0-148.6--0.0757859999999849</f>
        <v>361.61548199999993</v>
      </c>
      <c r="K280" s="3">
        <f>328.5+(287.3-101.4)+(0.67014+(0.586092-0.206856))+0-144.2-0.294167999999994</f>
        <v>370.95520800000003</v>
      </c>
      <c r="L280" s="3">
        <f>325.2+(273.2-54.5)+(0.165852+(0.139332-0.027795))+0-156.1-0.0796109999999842</f>
        <v>387.99777799999993</v>
      </c>
      <c r="M280" s="3">
        <f>321+(280.4-29.5)+(-0.49113+(-0.429012--0.045135))+0-148.2--0.226746000000009</f>
        <v>423.051739</v>
      </c>
      <c r="N280" s="3">
        <f>320.6+(304.4-31.6)+(-0.490518+(-0.465732--0.048348))+0-152.2--0.232866000000009</f>
        <v>440.52496399999995</v>
      </c>
      <c r="O280" s="3">
        <f>326.6+(309.5-40.5)+(0.166566+(0.157845-0.020655))+0-147.2-0.0750719999999851</f>
        <v>448.62868400000008</v>
      </c>
      <c r="P280" s="3">
        <f>321.5+(336.8-39.8)+(-0.491895+(-0.515304--0.060894))+0-151.5--0.231795000000009</f>
        <v>466.28548999999998</v>
      </c>
      <c r="Q280" s="3">
        <f>319.9+(337.5-39.1)+(-0.652596+(-0.6885--0.079764))+0-143.1--0.291923999999994</f>
        <v>474.23059199999989</v>
      </c>
      <c r="R280" s="3">
        <f>291.5+(380.5-65.1)+(-0.89199+(-1.16433--0.199206))+0-142.6--0.436356000000016</f>
        <v>462.87924199999992</v>
      </c>
      <c r="S280" s="3">
        <f>266+(351.3-17.4)+(-0.40698+(-0.537489--0.026622))+0-150.6--0.230418000000009</f>
        <v>448.612571</v>
      </c>
      <c r="T280" s="3">
        <f>262.9+(330.3-21.8)+(-0.536316+(-0.673812--0.044472))+0-132.9--0.271115999999994</f>
        <v>437.60545999999999</v>
      </c>
      <c r="U280" s="3">
        <f>262.6+(321.3-21.6)+(0+(0-0))+0-128.4-0</f>
        <v>433.9</v>
      </c>
      <c r="V280" s="3">
        <f>245.3+(353.8-18.3)+(-0.750618+(-1.082628--0.055998))+0-129.6--0.396576000000015</f>
        <v>449.81932799999998</v>
      </c>
      <c r="W280" s="3">
        <f>286.1+(383.4-29.8)+(-0.291822+(-0.391068--0.030396))+0-136.1--0.138822000000022</f>
        <v>503.08632799999998</v>
      </c>
      <c r="X280" s="3">
        <f>285.6+(394-29.7)+(-0.582624+(-0.80376--0.060588))+0-150.5--0.307019999999993</f>
        <v>498.38122400000009</v>
      </c>
      <c r="Y280" s="3">
        <f>290.1+(375.2-28)+(-0.147951+(-0.191352--0.01428))+0-145.9--0.0744089999999852</f>
        <v>491.14938599999999</v>
      </c>
      <c r="Z280" s="3">
        <f>287.1+(367.5-29.9)+(-0.439263+(-0.562275--0.045747))+0-147.3--0.225369000000009</f>
        <v>476.66957800000006</v>
      </c>
      <c r="AA280" s="3">
        <f>285.6+(367.8-32.7)+(-0.582624+(-0.750312--0.066708))+0-147.5--0.300899999999994</f>
        <v>472.2346720000001</v>
      </c>
      <c r="AB280" s="3">
        <f>287.7+(363.9-79.1)+(-0.440181+(-0.556767--0.121023))+0-131.6--0.201348000000008</f>
        <v>440.22542299999992</v>
      </c>
      <c r="AC280" s="3">
        <f>288.8+(392.4-125.5)+(-0.294576+(-0.400248--0.12801))+0-136.6--0.139332000000022</f>
        <v>418.67251800000003</v>
      </c>
      <c r="AD280">
        <f t="shared" si="4"/>
        <v>10389.840011999999</v>
      </c>
      <c r="AE280" s="3">
        <f>291+(402.8-29.6)+(0+(0-0))+0-152-0</f>
        <v>512.20000000000005</v>
      </c>
    </row>
    <row r="281" spans="1:31" s="2" customFormat="1" x14ac:dyDescent="0.25">
      <c r="A281">
        <v>89</v>
      </c>
      <c r="B281">
        <v>10</v>
      </c>
      <c r="C281">
        <v>5</v>
      </c>
      <c r="D281">
        <v>2</v>
      </c>
      <c r="E281">
        <v>1</v>
      </c>
      <c r="F281" s="3">
        <f>288.8+(402.8-147.5)+(-0.147288+(-0.205428--0.075225))+0-137.4--0.0700739999999861</f>
        <v>406.49258299999997</v>
      </c>
      <c r="G281" s="3">
        <f>289.2+(382.5-135.5)+(-0.147492+(-0.195075--0.069105))+0-138.5--0.0706349999999859</f>
        <v>397.49717300000003</v>
      </c>
      <c r="H281" s="3">
        <f>287.2+(397.9-159)+(-0.439416+(-0.608787--0.24327))+0-136.1--0.208233000000008</f>
        <v>389.40329999999989</v>
      </c>
      <c r="I281" s="3">
        <f>289.1+(409.1-155.8)+(-0.294882+(-0.417282--0.158916))+0-155.6--0.158712000000025</f>
        <v>386.40546400000005</v>
      </c>
      <c r="J281" s="3">
        <f>295.9+(408.5-170)+(0.452727+(0.625005-0.2601))+0-144-0.220320000000008</f>
        <v>390.99731199999997</v>
      </c>
      <c r="K281" s="3">
        <f>294.5+(384.9-134.9)+(0.30039+(0.392598-0.137598))+0-152.3-0.155346000000024</f>
        <v>392.60004399999997</v>
      </c>
      <c r="L281" s="3">
        <f>289.7+(355.1-82.7)+(-0.147747+(-0.181101--0.042177))+0-153--0.0780299999999845</f>
        <v>408.89135900000008</v>
      </c>
      <c r="M281" s="3">
        <f>289.2+(346.2-49.5)+(-0.294984+(-0.353124--0.05049))+0-152.5--0.155550000000024</f>
        <v>432.95793199999997</v>
      </c>
      <c r="N281" s="3">
        <f>284.6+(371.3-67.7)+(-0.72573+(-0.946815--0.172635))+0-144.7--0.368984999999979</f>
        <v>442.36907500000001</v>
      </c>
      <c r="O281" s="3">
        <f>287.8+(397.4-85.3)+(-0.440334+(-0.608022--0.130509))+0-141.5--0.216495000000008</f>
        <v>457.69864799999993</v>
      </c>
      <c r="P281" s="3">
        <f>293.7+(393-60)+(0.149787+(0.20043-0.0306))+0-150-0.0764999999999848</f>
        <v>476.94311700000003</v>
      </c>
      <c r="Q281" s="3">
        <f>279.1+(391.1-57.1)+(-0.427023+(-0.598383--0.087363))+0-140.7--0.215271000000008</f>
        <v>471.67722800000007</v>
      </c>
      <c r="R281" s="3">
        <f>286+(382.6-61.1)+(-0.43758+(-0.585378--0.093483))+0-134.2--0.205326000000008</f>
        <v>472.575851</v>
      </c>
      <c r="S281" s="3">
        <f>292.3+(361.7-51.1)+(0.447219+(0.553401-0.078183))+0-144.5-0.221085000000008</f>
        <v>459.10135199999991</v>
      </c>
      <c r="T281" s="3">
        <f>281+(373.9-48.8)+(-0.57324+(-0.762756--0.099552))+0-162.8--0.332111999999993</f>
        <v>442.39566799999989</v>
      </c>
      <c r="U281" s="3">
        <f>286+(357.7-56.6)+(0+(0-0))+0-140.5-0</f>
        <v>446.59999999999991</v>
      </c>
      <c r="V281" s="3">
        <f>282.8+(382.3-56.6)+(-0.288456+(-0.389946--0.057732))+0-149.7--0.152694000000024</f>
        <v>458.33202399999999</v>
      </c>
      <c r="W281" s="3">
        <f>284+(388.6-31.4)+(-0.28968+(-0.396372--0.032028))+0-130--0.132600000000021</f>
        <v>510.67857600000002</v>
      </c>
      <c r="X281" s="3">
        <f>283.7+(390.9-29.4)+(-0.868122+(-1.196154--0.089964))+0-128.2--0.392292000000015</f>
        <v>515.41797999999994</v>
      </c>
      <c r="Y281" s="3">
        <f>291.8+(387.8-25.8)+(0.148818+(0.197778-0.013158))+0-144.8-0.0738479999999853</f>
        <v>509.25958999999995</v>
      </c>
      <c r="Z281" s="3">
        <f>286.9+(367.6-30.6)+(-0.438957+(-0.562428--0.046818))+0-135.6--0.207468000000008</f>
        <v>487.55290099999996</v>
      </c>
      <c r="AA281" s="3">
        <f>284.8+(370.3-25.3)+(-0.580992+(-0.755412--0.051612))+0-147--0.299879999999994</f>
        <v>481.81508799999989</v>
      </c>
      <c r="AB281" s="3">
        <f>290.7+(392.5-73.5)+(-0.148257+(-0.200175--0.037485))+0-143.3--0.0730829999999855</f>
        <v>466.16213599999998</v>
      </c>
      <c r="AC281" s="3">
        <f>277.5+(400.2-93.9)+(-1.273725+(-1.836918--0.431001))+0-141.7--0.650403000000025</f>
        <v>440.07076100000006</v>
      </c>
      <c r="AD281">
        <f t="shared" si="4"/>
        <v>10743.895161999999</v>
      </c>
      <c r="AE281" s="3">
        <f>281+(397.7-31.1)+(0+(0-0))+0-123.5-0</f>
        <v>524.09999999999991</v>
      </c>
    </row>
    <row r="282" spans="1:31" s="2" customFormat="1" x14ac:dyDescent="0.25">
      <c r="A282">
        <v>89</v>
      </c>
      <c r="B282">
        <v>10</v>
      </c>
      <c r="C282">
        <v>6</v>
      </c>
      <c r="D282">
        <v>3</v>
      </c>
      <c r="E282">
        <v>1</v>
      </c>
      <c r="F282" s="3">
        <f>285.4+(365.7-99.4)+(-0.582216+(-0.746028--0.202776))+0-135.7--0.276827999999994</f>
        <v>415.15135999999995</v>
      </c>
      <c r="G282" s="3">
        <f>290.1+(336.6-80.1)+(-0.147951+(-0.171666--0.040851))+0-140.3--0.0715529999999858</f>
        <v>406.09278699999999</v>
      </c>
      <c r="H282" s="3">
        <f>288.7+(318.7-69.1)+(-0.294474+(-0.325074--0.070482))+0-133.4--0.136068000000021</f>
        <v>404.48700199999996</v>
      </c>
      <c r="I282" s="3">
        <f>292.1+(298.6-53.8)+(0.148971+(0.152286-0.027438))+0-139.6-0.0711959999999858</f>
        <v>397.50262300000009</v>
      </c>
      <c r="J282" s="3">
        <f>286.2+(277.9-31.1)+(-0.437886+(-0.425187--0.047583))+0-136--0.208080000000008</f>
        <v>396.39259000000004</v>
      </c>
      <c r="K282" s="3">
        <f>294.9+(269.3-21.1)+(0.451197+(0.412029-0.032283))+0-134-0.205020000000008</f>
        <v>409.72592300000008</v>
      </c>
      <c r="L282" s="3">
        <f>289.2+(328.5-62.6)+(-0.147492+(-0.167535--0.031926))+0-138.1--0.070430999999986</f>
        <v>416.78732999999988</v>
      </c>
      <c r="M282" s="3">
        <f>292.9+(334.3-73.1)+(0.298758+(0.340986-0.074562))+0-120.7-0.123114000000019</f>
        <v>433.84206800000004</v>
      </c>
      <c r="N282" s="3">
        <f>296.7+(358.2-75.9)+(0+(0-0))+0-126.5-0</f>
        <v>452.5</v>
      </c>
      <c r="O282" s="3">
        <f>256.8+(405.7-69.8)+(-0.392904+(-0.620721--0.106794))+0-135.9--0.207927000000008</f>
        <v>456.10109600000004</v>
      </c>
      <c r="P282" s="3">
        <f>208.5+(424.6-29.5)+(-0.319005+(-0.649638--0.045135))+0-138.9--0.212517000000008</f>
        <v>463.98900900000007</v>
      </c>
      <c r="Q282" s="3">
        <f>206.1+(414.3-21.4)+(-0.105111+(-0.211293--0.010914))+0-128--0.065279999999987</f>
        <v>470.75979000000001</v>
      </c>
      <c r="R282" s="3">
        <f>251.8+(360.4-17.7)+(-0.385254+(-0.551412--0.027081))+0-127--0.194310000000007</f>
        <v>466.78472500000004</v>
      </c>
      <c r="S282" s="3">
        <f>295.4+(319.9-30.3)+(-0.451962+(-0.489447--0.046359))+0-126.5--0.193545000000007</f>
        <v>457.79849500000006</v>
      </c>
      <c r="T282" s="3">
        <f>327.2+(286.5-29.6)+(-0.166872+(-0.146115--0.015096))+0-140.5--0.0716549999999857</f>
        <v>443.37376399999982</v>
      </c>
      <c r="U282" s="3">
        <f>295.1+(312.1-40.3)+(0.451503+(0.477513-0.061659))+0-129.6-0.198288000000007</f>
        <v>437.96906900000005</v>
      </c>
      <c r="V282" s="3">
        <f>297.7+(326.3-26)+(-0.607308+(-0.665652--0.05304))+0-144.8--0.295391999999994</f>
        <v>452.27547199999998</v>
      </c>
      <c r="W282" s="3">
        <f>288.1+(400.1-29.4)+(-0.440793+(-0.612153--0.044982))+0-135.3--0.207009000000008</f>
        <v>522.69904500000007</v>
      </c>
      <c r="X282" s="3">
        <f>279.4+(411.4-28.4)+(-0.142494+(-0.209814--0.014484))+0-150.5--0.0767549999999847</f>
        <v>511.63893100000001</v>
      </c>
      <c r="Y282" s="3">
        <f>281.3+(396.1-31.2)+(-0.143463+(-0.202011--0.015912))+0-149.7--0.0763469999999848</f>
        <v>496.24678500000005</v>
      </c>
      <c r="Z282" s="3">
        <f>279.1+(373.2-15.2)+(-0.284682+(-0.380664--0.015504))+0-155.2--0.158304000000025</f>
        <v>481.40846200000004</v>
      </c>
      <c r="AA282" s="3">
        <f>281+(370-18.2)+(-0.14331+(-0.1887--0.009282))+0-152--0.0775199999999846</f>
        <v>480.55479199999996</v>
      </c>
      <c r="AB282" s="3">
        <f>279.9+(361.4-21.3)+(-0.285498+(-0.368628--0.021726))+0-157.9--0.161058000000025</f>
        <v>461.62865800000009</v>
      </c>
      <c r="AC282" s="3">
        <f>282+(340.7-24.9)+(-0.28764+(-0.347514--0.025398))+0-158.5--0.161670000000025</f>
        <v>438.85191400000002</v>
      </c>
      <c r="AD282">
        <f t="shared" si="4"/>
        <v>10774.56169</v>
      </c>
      <c r="AE282" s="3">
        <f>266+(432.1-20.9)+(0+(0-0))+0-151.2-0</f>
        <v>526</v>
      </c>
    </row>
    <row r="283" spans="1:31" s="2" customFormat="1" x14ac:dyDescent="0.25">
      <c r="A283">
        <v>89</v>
      </c>
      <c r="B283">
        <v>10</v>
      </c>
      <c r="C283">
        <v>7</v>
      </c>
      <c r="D283">
        <v>4</v>
      </c>
      <c r="E283">
        <v>1</v>
      </c>
      <c r="F283" s="3">
        <f>279.2+(363.8-66.7)+(-0.71196+(-0.92769--0.170085))+0-154.4--0.393719999999978</f>
        <v>420.82415499999996</v>
      </c>
      <c r="G283" s="3">
        <f>285.2+(398.9-111.7)+(0+(0-0))+0-162.3-0</f>
        <v>410.09999999999997</v>
      </c>
      <c r="H283" s="3">
        <f>283.3+(409.7-126.7)+(-0.288966+(-0.417894--0.129234))+0-159.2--0.162384000000025</f>
        <v>406.68475799999999</v>
      </c>
      <c r="I283" s="3">
        <f>286.5+(402.9-132.9)+(0+(0-0))+0-157.3-0</f>
        <v>399.2</v>
      </c>
      <c r="J283" s="3">
        <f>287.2+(393.2-124.8)+(0.146472+(0.200532-0.063648))+0-159.2-0.0811919999999838</f>
        <v>396.60216399999996</v>
      </c>
      <c r="K283" s="3">
        <f>284.8+(351.9-74)+(0+(0-0))+0-159.3-0</f>
        <v>403.40000000000003</v>
      </c>
      <c r="L283" s="3">
        <f>282.5+(293-20.9)+(-0.28815+(-0.29886--0.021318))+0-147.3--0.150246000000024</f>
        <v>406.88455400000004</v>
      </c>
      <c r="M283" s="3">
        <f>283.4+(331.8-27.3)+(-0.144534+(-0.169218--0.013923))+0-159.8--0.0814979999999838</f>
        <v>427.88166899999993</v>
      </c>
      <c r="N283" s="3">
        <f>296+(319-18.8)+(1.05672+(1.13883-0.067116))+0-152-0.542640000000002</f>
        <v>445.78579400000001</v>
      </c>
      <c r="O283" s="3">
        <f>285.8+(363.1-23.1)+(0+(0-0))+0-172.2-0</f>
        <v>453.59999999999997</v>
      </c>
      <c r="P283" s="3">
        <f>283.1+(392.1-56.4)+(-0.288762+(-0.399942--0.057528))+0-150.8--0.153816000000024</f>
        <v>467.52264000000008</v>
      </c>
      <c r="Q283" s="3">
        <f>284.3+(407.6-61.4)+(-0.289986+(-0.415752--0.062628))+0-157.6--0.160752000000025</f>
        <v>472.417642</v>
      </c>
      <c r="R283" s="3">
        <f>282.1+(405.3-74.8)+(-0.431613+(-0.620109--0.114444))+0-137.9--0.210987000000008</f>
        <v>473.97370900000004</v>
      </c>
      <c r="S283" s="3">
        <f>281.4+(419.2-95)+(-0.574056+(-0.855168--0.1938))+0-144.3--0.294371999999994</f>
        <v>460.35894799999994</v>
      </c>
      <c r="T283" s="3">
        <f>289.1+(398.7-105.5)+(0.442323+(0.610011-0.161415))+0-137.1-0.209763000000008</f>
        <v>445.88115599999998</v>
      </c>
      <c r="U283" s="3">
        <f>280+(394.9-87.1)+(-0.5712+(-0.805596--0.177684))+0-141.8--0.289271999999994</f>
        <v>445.09015999999991</v>
      </c>
      <c r="V283" s="3">
        <f>283.3+(374.4-72.3)+(-0.288966+(-0.381888--0.073746))+0-124.9--0.12739800000002</f>
        <v>460.03028999999998</v>
      </c>
      <c r="W283" s="3">
        <f>285.2+(404-22.9)+(-0.145452+(-0.20604--0.011679))+0-146.8--0.0748679999999851</f>
        <v>519.23505499999999</v>
      </c>
      <c r="X283" s="3">
        <f>283.2+(399-22.8)+(-0.433296+(-0.61047--0.034884))+0-142.3--0.217719000000008</f>
        <v>516.30883700000004</v>
      </c>
      <c r="Y283" s="3">
        <f>279.5+(396-21.8)+(-0.712725+(-1.0098--0.05559))+0-146.1--0.372554999999979</f>
        <v>506.30562000000003</v>
      </c>
      <c r="Z283" s="3">
        <f>285.9+(381.9-30.3)+(0+(0-0))+0-143-0</f>
        <v>494.5</v>
      </c>
      <c r="AA283" s="3">
        <f>281.6+(428.1-54.4)+(-0.430848+(-0.654993--0.083232))+0-159.1--0.243423000000009</f>
        <v>495.44081400000005</v>
      </c>
      <c r="AB283" s="3">
        <f>282.2+(414.4-78.7)+(-0.431766+(-0.634032--0.120411))+0-148--0.226440000000009</f>
        <v>469.18105300000002</v>
      </c>
      <c r="AC283" s="3">
        <f>276.9+(415.9-113.5)+(-0.847314+(-1.272654--0.34731))+0-135.3--0.414018000000016</f>
        <v>442.64135999999996</v>
      </c>
      <c r="AD283">
        <f t="shared" si="4"/>
        <v>10839.850377999999</v>
      </c>
      <c r="AE283" s="3">
        <f>277+(411.9-23.6)+(0+(0-0))+0-138.1-0</f>
        <v>527.19999999999993</v>
      </c>
    </row>
    <row r="284" spans="1:31" s="2" customFormat="1" x14ac:dyDescent="0.25">
      <c r="A284">
        <v>89</v>
      </c>
      <c r="B284">
        <v>10</v>
      </c>
      <c r="C284">
        <v>8</v>
      </c>
      <c r="D284">
        <v>5</v>
      </c>
      <c r="E284">
        <v>1</v>
      </c>
      <c r="F284" s="3">
        <f>285.8+(452.4-162.2)+(0+(0-0))+0-150.9-0</f>
        <v>425.1</v>
      </c>
      <c r="G284" s="3">
        <f>291.6+(499.1-225.3)+(-0.297432+(-0.509082--0.229806))+0-148.5--0.151470000000024</f>
        <v>416.47476200000006</v>
      </c>
      <c r="H284" s="3">
        <f>287.6+(500.7-223.4)+(-0.293352+(-0.510714--0.227868))+0-150.9--0.153918000000024</f>
        <v>413.57772000000006</v>
      </c>
      <c r="I284" s="3">
        <f>290.7+(508.3-242.2)+(-0.296514+(-0.518466--0.247044))+0-154.4--0.157488000000025</f>
        <v>401.98955199999995</v>
      </c>
      <c r="J284" s="3">
        <f>291.8+(425.5-167.8)+(-0.148818+(-0.217005--0.085578))+0-151.4--0.0772139999999846</f>
        <v>397.89696899999996</v>
      </c>
      <c r="K284" s="3">
        <f>290.2+(404-145.6)+(-0.296004+(-0.41208--0.148512))+0-142.6--0.145452000000023</f>
        <v>405.58587999999992</v>
      </c>
      <c r="L284" s="3">
        <f>291.5+(366-93.9)+(-0.148665+(-0.18666--0.047889))+0-146.9--0.0749189999999851</f>
        <v>416.48748300000005</v>
      </c>
      <c r="M284" s="3">
        <f>290.4+(345.1-44)+(-0.296208+(-0.352002--0.04488))+0-157.2--0.160344000000025</f>
        <v>433.85701399999999</v>
      </c>
      <c r="N284" s="3">
        <f>293.2+(358.1-56.1)+(0+(0-0))+0-142.4-0</f>
        <v>452.80000000000007</v>
      </c>
      <c r="O284" s="3">
        <f>293.7+(368.4-49.6)+(0.299574+(0.375768-0.050592))+0-149.8-0.152796000000024</f>
        <v>463.17195399999991</v>
      </c>
      <c r="P284" s="3">
        <f>278.1+(382.1-32)+(-0.141831+(-0.194871--0.01632))+0-153--0.0780299999999845</f>
        <v>474.95764800000006</v>
      </c>
      <c r="Q284" s="3">
        <f>277+(371.1-29)+(0+(0-0))+0-148.3-0</f>
        <v>470.8</v>
      </c>
      <c r="R284" s="3">
        <f>288.4+(358.6-23.8)+(-0.441252+(-0.548658--0.036414))+0-157.1--0.240363000000009</f>
        <v>465.38686700000005</v>
      </c>
      <c r="S284" s="3">
        <f>286.3+(348.6-24.4)+(0+(0-0))+0-152.6-0</f>
        <v>457.9</v>
      </c>
      <c r="T284" s="3">
        <f>276.2+(325.9-25.5)+(0+(0-0))+0-146.6-0</f>
        <v>429.99999999999989</v>
      </c>
      <c r="U284" s="3">
        <f>275.5+(315.3-27.3)+(0+(0-0))+0-131.2-0</f>
        <v>432.3</v>
      </c>
      <c r="V284" s="3">
        <f>270+(346.9-21.2)+(-0.5508+(-0.707676--0.043248))+0-145.3--0.296411999999994</f>
        <v>449.48118399999998</v>
      </c>
      <c r="W284" s="3">
        <f>276.2+(395.4-18.3)+(0+(0-0))+0-143.1-0</f>
        <v>510.19999999999993</v>
      </c>
      <c r="X284" s="3">
        <f>272.1+(407.2-18.7)+(-0.693855+(-1.03836--0.047685))+0-156.4--0.398819999999977</f>
        <v>502.91429000000005</v>
      </c>
      <c r="Y284" s="3">
        <f>291+(388.6-23.8)+(-1.18728+(-1.585488--0.097104))+0-157.8--0.643823999999986</f>
        <v>495.96815999999995</v>
      </c>
      <c r="Z284" s="3">
        <f>300.1+(357.1-27)+(0+(0-0))+0-146-0</f>
        <v>484.20000000000005</v>
      </c>
      <c r="AA284" s="3">
        <f>303.1+(375.8-45.5)+(-0.309162+(-0.383316--0.04641))+0-151.2--0.154224000000024</f>
        <v>481.70815600000009</v>
      </c>
      <c r="AB284" s="3">
        <f>305+(383.6-75.5)+(-0.3111+(-0.391272--0.07701))+0-150.3--0.153306000000024</f>
        <v>462.32794400000006</v>
      </c>
      <c r="AC284" s="3">
        <f>301.9+(397.3-102.5)+(-0.769845+(-1.013115--0.261375))+0-153.2--0.390659999999978</f>
        <v>442.36907500000007</v>
      </c>
      <c r="AD284">
        <f t="shared" si="4"/>
        <v>10787.454658000004</v>
      </c>
      <c r="AE284" s="3">
        <f>283+(396.3-20.9)+(0+(0-0))+0-145-0</f>
        <v>513.40000000000009</v>
      </c>
    </row>
    <row r="285" spans="1:31" s="2" customFormat="1" x14ac:dyDescent="0.25">
      <c r="A285">
        <v>89</v>
      </c>
      <c r="B285">
        <v>10</v>
      </c>
      <c r="C285">
        <v>9</v>
      </c>
      <c r="D285">
        <v>6</v>
      </c>
      <c r="E285">
        <v>1</v>
      </c>
      <c r="F285" s="3">
        <f>304.6+(363.5-93.7)+(-0.466038+(-0.556155--0.143361))+0-157.2--0.240516000000009</f>
        <v>416.56168400000013</v>
      </c>
      <c r="G285" s="3">
        <f>310+(374.3-136.7)+(0.1581+(0.190893-0.069717))+0-133.5-0.0680849999999865</f>
        <v>414.31119100000001</v>
      </c>
      <c r="H285" s="3">
        <f>303.1+(387.6-146.4)+(-0.618324+(-0.790704--0.298656))+0-132.4--0.270095999999994</f>
        <v>411.05972400000007</v>
      </c>
      <c r="I285" s="3">
        <f>274.1+(417.6-134.1)+(-0.279582+(-0.425952--0.136782))+0-152.6--0.155652000000024</f>
        <v>404.58690000000001</v>
      </c>
      <c r="J285" s="3">
        <f>236.9+(427.5-113.6)+(-0.362457+(-0.654075--0.173808))+0-154.5--0.236385000000009</f>
        <v>395.69366099999996</v>
      </c>
      <c r="K285" s="3">
        <f>244.7+(421-100.8)+(0+(0-0))+0-160.9-0</f>
        <v>404</v>
      </c>
      <c r="L285" s="3">
        <f>238.6+(395.7-71)+(-0.365058+(-0.605421--0.10863))+0-156--0.238680000000009</f>
        <v>406.67683099999994</v>
      </c>
      <c r="M285" s="3">
        <f>247.5+(381.1-57.5)+(0.25245+(0.388722-0.05865))+0-155.2-0.158304000000025</f>
        <v>416.32421800000003</v>
      </c>
      <c r="N285" s="3">
        <f>264+(334.6-28)+(0.13464+(0.170646-0.01428))+0-145-0.0739499999999853</f>
        <v>425.81705600000009</v>
      </c>
      <c r="O285" s="3">
        <f>312.8+(275.6-43.6)+(-0.79764+(-0.70278--0.11118))+0-118.2--0.301409999999983</f>
        <v>425.51217000000008</v>
      </c>
      <c r="P285" s="3">
        <f>302.2+(311-50.6)+(0+(0-0))+0-114.2-0</f>
        <v>448.39999999999992</v>
      </c>
      <c r="Q285" s="3">
        <f>298.7+(311.4-45.7)+(-0.304674+(-0.317628--0.046614))+0-118.9--0.121278000000019</f>
        <v>445.04559</v>
      </c>
      <c r="R285" s="3">
        <f>291.9+(314.9-47.2)+(-0.595476+(-0.642396--0.096288))+0-118.2--0.241127999999995</f>
        <v>440.49954399999996</v>
      </c>
      <c r="S285" s="3">
        <f>289.5+(333.5-50.4)+(-0.442935+(-0.510255--0.077112))+0-141.4--0.216342000000008</f>
        <v>430.54026400000004</v>
      </c>
      <c r="T285" s="3">
        <f>291.1+(314.7-56.7)+(-0.148461+(-0.160497--0.028917))+0-133.5--0.0680849999999865</f>
        <v>415.38804400000004</v>
      </c>
      <c r="U285" s="3">
        <f>290.9+(340.8-90.7)+(-0.148359+(-0.173808--0.046257))+0-132.8--0.0677279999999865</f>
        <v>407.99181800000002</v>
      </c>
      <c r="V285" s="3">
        <f>284.3+(348.3-91.2)+(-0.579972+(-0.710532--0.186048))+0-130.7--0.266627999999994</f>
        <v>409.86217200000004</v>
      </c>
      <c r="W285" s="3">
        <f>290.6+(344.8-37.8)+(-0.444618+(-0.527544--0.057834))+0-127.9--0.195687000000007</f>
        <v>468.98135900000011</v>
      </c>
      <c r="X285" s="3">
        <f>293.7+(355-26.8)+(-0.898722+(-1.0863--0.082008))+0-149.9--0.458694000000017</f>
        <v>470.55568000000005</v>
      </c>
      <c r="Y285" s="3">
        <f>303.4+(318.1-43.7)+(0+(0-0))+0-123.6-0</f>
        <v>454.19999999999993</v>
      </c>
      <c r="Z285" s="3">
        <f>299.5+(340.3-56.3)+(-0.458235+(-0.520659--0.086139))+0-135.9--0.207927000000008</f>
        <v>446.91517200000004</v>
      </c>
      <c r="AA285" s="3">
        <f>299.8+(336.6-44.4)+(-0.152898+(-0.171666--0.022644))+0-136.7--0.0697169999999861</f>
        <v>455.06779699999998</v>
      </c>
      <c r="AB285" s="3">
        <f>298.8+(314.8-36.6)+(-0.609552+(-0.642192--0.074664))+0-137.3--0.280091999999994</f>
        <v>438.80301199999991</v>
      </c>
      <c r="AC285" s="3">
        <f>293.6+(311.1-47.2)+(-0.898416+(-0.951966--0.144432))+0-146.5--0.448290000000017</f>
        <v>409.74234000000001</v>
      </c>
      <c r="AD285">
        <f t="shared" si="4"/>
        <v>10262.536227000004</v>
      </c>
      <c r="AE285" s="3">
        <f>301+(345.7-31.1)+(0+(0-0))+0-138.6-0</f>
        <v>476.99999999999989</v>
      </c>
    </row>
    <row r="286" spans="1:31" s="2" customFormat="1" x14ac:dyDescent="0.25">
      <c r="A286">
        <v>89</v>
      </c>
      <c r="B286">
        <v>10</v>
      </c>
      <c r="C286">
        <v>10</v>
      </c>
      <c r="D286">
        <v>7</v>
      </c>
      <c r="E286">
        <v>1</v>
      </c>
      <c r="F286" s="3">
        <f>302.3+(253-29.7)+(0+(0-0))+0-130.2-0</f>
        <v>395.40000000000003</v>
      </c>
      <c r="G286" s="3">
        <f>301.6+(262.7-27.9)+(-0.307632+(-0.267954--0.028458))+0-147.2--0.150144000000023</f>
        <v>388.80301599999996</v>
      </c>
      <c r="H286" s="3">
        <f>302.9+(256.1-33.4)+(0+(0-0))+0-147.7-0</f>
        <v>377.90000000000003</v>
      </c>
      <c r="I286" s="3">
        <f>288.4+(255.5-30)+(-0.441252+(-0.390915--0.0459))+0-145.2--0.222156000000008</f>
        <v>368.13588900000002</v>
      </c>
      <c r="J286" s="3">
        <f>274.4+(268.1-24.8)+(-0.279888+(-0.273462--0.025296))+0-151.9--0.154938000000024</f>
        <v>365.42688400000009</v>
      </c>
      <c r="K286" s="3">
        <f>271.1+(260.6-23.3)+(0.138261+(0.132906-0.011883))+0-141.7-0.0722669999999856</f>
        <v>366.88701700000001</v>
      </c>
      <c r="L286" s="3">
        <f>270.7+(245.5-43.7)+(0+(0-0))+0-135.8-0</f>
        <v>336.7</v>
      </c>
      <c r="M286" s="3">
        <f>269.2+(247.3-49.5)+(-0.274584+(-0.252246--0.05049))+0-136.1--0.138822000000022</f>
        <v>330.56248200000005</v>
      </c>
      <c r="N286" s="3">
        <f>268.8+(336.9-130.8)+(-0.411264+(-0.515457--0.200124))+0-143.7--0.219861000000008</f>
        <v>330.69326399999994</v>
      </c>
      <c r="O286" s="3">
        <f>289.8+(425-225.3)+(-0.147798+(-0.21675--0.114903))+0-156.7--0.0799169999999841</f>
        <v>332.63027199999999</v>
      </c>
      <c r="P286" s="3">
        <f>307+(439.2-235)+(-0.78285+(-1.11996--0.59925))+0-146.7--0.374084999999979</f>
        <v>363.57052499999998</v>
      </c>
      <c r="Q286" s="3">
        <f>305.6+(475.9-254.3)+(0.155856+(0.242709-0.129693))+0-151.5-0.0772649999999846</f>
        <v>375.89160700000002</v>
      </c>
      <c r="R286" s="3">
        <f>290.8+(467.8-242.2)+(-0.296616+(-0.477156--0.247044))+0-148.6--0.151572000000024</f>
        <v>367.42484400000006</v>
      </c>
      <c r="S286" s="3">
        <f>284.6+(444.3-216.7)+(-0.870876+(-1.359558--0.663102))+0-141.2--0.432072000000016</f>
        <v>369.86474000000004</v>
      </c>
      <c r="T286" s="3">
        <f>293.6+(397.5-188.1)+(0.299472+(0.40545-0.191862))+0-152.1-0.155142000000024</f>
        <v>351.25791799999996</v>
      </c>
      <c r="U286" s="3">
        <f>291.1+(387.3-176.3)+(-0.148461+(-0.197523--0.089913))+0-140.6--0.0717059999999857</f>
        <v>361.31563499999999</v>
      </c>
      <c r="V286" s="3">
        <f>291+(395-163.3)+(-0.14841+(-0.20145--0.083283))+0-134.6--0.0686459999999863</f>
        <v>387.90206900000004</v>
      </c>
      <c r="W286" s="3">
        <f>292.3+(495.9-220.1)+(0.149073+(0.252909-0.112251))+0-146.3-0.0746129999999852</f>
        <v>422.01511799999986</v>
      </c>
      <c r="X286" s="3">
        <f>284.5+(544.4-259.9)+(-0.435285+(-0.832932--0.397647))+0-149.3--0.228429000000009</f>
        <v>419.05785899999995</v>
      </c>
      <c r="Y286" s="3">
        <f>285.4+(559-269.7)+(-0.145554+(-0.28509--0.137547))+0-158.6--0.0808859999999839</f>
        <v>415.887789</v>
      </c>
      <c r="Z286" s="3">
        <f>289.5+(497.6-238.5)+(0.147645+(0.253776-0.121635))+0-139.6-0.0711959999999858</f>
        <v>409.20858999999996</v>
      </c>
      <c r="AA286" s="3">
        <f>284.1+(450.1-160.4)+(-0.434673+(-0.688653--0.245412))+0-147.4--0.225522000000009</f>
        <v>425.74760800000007</v>
      </c>
      <c r="AB286" s="3">
        <f>279+(389.2-104.2)+(-0.71145+(-0.99246--0.26571))+0-155.3--0.396014999999977</f>
        <v>407.65781499999991</v>
      </c>
      <c r="AC286" s="3">
        <f>286+(288.8-41.8)+(-0.14586+(-0.147288--0.021318))+0-139.6--0.0711959999999858</f>
        <v>393.19936599999994</v>
      </c>
      <c r="AD286">
        <f t="shared" si="4"/>
        <v>9063.1403070000015</v>
      </c>
      <c r="AE286" s="3">
        <f>289+(547-262.8)+(0+(0-0))+0-166.8-0</f>
        <v>406.40000000000003</v>
      </c>
    </row>
    <row r="287" spans="1:31" s="2" customFormat="1" x14ac:dyDescent="0.25">
      <c r="A287">
        <v>89</v>
      </c>
      <c r="B287">
        <v>10</v>
      </c>
      <c r="C287">
        <v>11</v>
      </c>
      <c r="D287">
        <v>1</v>
      </c>
      <c r="E287">
        <v>1</v>
      </c>
      <c r="F287" s="3">
        <f>280+(267.1-35.6)+(-0.714+(-0.681105--0.09078))+0-138.6--0.35342999999998</f>
        <v>371.94910500000003</v>
      </c>
      <c r="G287" s="3">
        <f>279.5+(244.7-10.1)+(-0.712725+(-0.623985--0.025755))+0-145.1--0.370004999999979</f>
        <v>368.05904999999996</v>
      </c>
      <c r="H287" s="3">
        <f>279.9+(241.6-17.9)+(-0.570996+(-0.492864--0.036516))+0-142--0.289679999999994</f>
        <v>360.86233599999991</v>
      </c>
      <c r="I287" s="3">
        <f>285.2+(241.2-21.8)+(-0.290904+(-0.246024--0.022236))+0-143.1--0.145962000000023</f>
        <v>361.13126999999992</v>
      </c>
      <c r="J287" s="3">
        <f>287.9+(229.5-16.7)+(0+(0-0))+0-137.4-0</f>
        <v>363.29999999999995</v>
      </c>
      <c r="K287" s="3">
        <f>292+(265-33.1)+(0.44676+(0.40545-0.050643))+0-150.7-0.230571000000009</f>
        <v>373.77099599999997</v>
      </c>
      <c r="L287" s="3">
        <f>285.2+(352.8-121.7)+(-0.290904+(-0.359856--0.124134))+0-124--0.12648000000002</f>
        <v>391.899854</v>
      </c>
      <c r="M287" s="3">
        <f>288.7+(350.5-103.6)+(0.147237+(0.178755-0.052836))+0-116.1-0.0592109999999882</f>
        <v>419.71394499999997</v>
      </c>
      <c r="N287" s="3">
        <f>284+(318.9-41.1)+(-0.28968+(-0.325278--0.041922))+0-122--0.124440000000019</f>
        <v>439.35140399999995</v>
      </c>
      <c r="O287" s="3">
        <f>276.4+(345.4-48.8)+(0+(0-0))+0-125.7-0</f>
        <v>447.3</v>
      </c>
      <c r="P287" s="3">
        <f>268.1+(362.5-32.4)+(0.136731+(0.184875-0.016524))+0-138.3-0.070532999999986</f>
        <v>460.13454899999999</v>
      </c>
      <c r="Q287" s="3">
        <f>295.3+(354.1-37.9)+(-0.602412+(-0.722364--0.077316))+0-137.7--0.280907999999994</f>
        <v>472.83344799999998</v>
      </c>
      <c r="R287" s="3">
        <f>288.9+(354.2-30.5)+(-0.442017+(-0.541926--0.046665))+0-139.2--0.212976000000008</f>
        <v>472.67569799999995</v>
      </c>
      <c r="S287" s="3">
        <f>286.1+(337.6-31)+(-0.291822+(-0.344352--0.03162))+0-127.6--0.13015200000002</f>
        <v>464.62559800000002</v>
      </c>
      <c r="T287" s="3">
        <f>285.3+(337.7-40.5)+(-0.436509+(-0.516681--0.061965))+0-137.1--0.209763000000008</f>
        <v>444.71853800000002</v>
      </c>
      <c r="U287" s="3">
        <f>284.2+(327.2-35.4)+(0.289884+(0.333744-0.036108))+0-139-0.141780000000022</f>
        <v>437.44574</v>
      </c>
      <c r="V287" s="3">
        <f>286.7+(349.2-29.2)+(0+(0-0))+0-151.5-0</f>
        <v>455.20000000000005</v>
      </c>
      <c r="W287" s="3">
        <f>290.3+(378.7-25)+(-0.740265+(-0.965685--0.06375))+0-144.4--0.368219999999979</f>
        <v>498.32601999999997</v>
      </c>
      <c r="X287" s="3">
        <f>293.8+(365.2-28.2)+(-0.74919+(-0.93126--0.07191))+0-134.1--0.341954999999981</f>
        <v>495.43341499999997</v>
      </c>
      <c r="Y287" s="3">
        <f>317.3+(343-25.6)+(-0.323646+(-0.34986--0.026112))+0-141.1--0.143922000000023</f>
        <v>493.09652800000009</v>
      </c>
      <c r="Z287" s="3">
        <f>334.3+(311.3-24)+(-0.340986+(-0.317526--0.02448))+0-140--0.142800000000022</f>
        <v>481.108768</v>
      </c>
      <c r="AA287" s="3">
        <f>336.9+(308.6-26.5)+(-0.515457+(-0.472158--0.040545))+0-152.3--0.233019000000009</f>
        <v>465.98594899999995</v>
      </c>
      <c r="AB287" s="3">
        <f>335.7+(301.8-56.7)+(-0.171207+(-0.153918--0.028917))+0-135.9--0.0693089999999862</f>
        <v>444.67310099999997</v>
      </c>
      <c r="AC287" s="3">
        <f>337.6+(310.3-69.3)+(-0.86088+(-0.791265--0.176715))+0-143.5--0.365924999999979</f>
        <v>433.99049500000007</v>
      </c>
      <c r="AD287">
        <f t="shared" si="4"/>
        <v>10417.585806999999</v>
      </c>
      <c r="AE287" s="3">
        <f>293+(401-25.7)+(0+(0-0))+0-155.7-0</f>
        <v>512.59999999999991</v>
      </c>
    </row>
    <row r="288" spans="1:31" s="2" customFormat="1" x14ac:dyDescent="0.25">
      <c r="A288">
        <v>89</v>
      </c>
      <c r="B288">
        <v>10</v>
      </c>
      <c r="C288">
        <v>12</v>
      </c>
      <c r="D288">
        <v>2</v>
      </c>
      <c r="E288">
        <v>1</v>
      </c>
      <c r="F288" s="3">
        <f>336.8+(254.2-38.8)+(-0.515304+(-0.388926--0.059364))+0-136.7--0.209151000000008</f>
        <v>414.86428500000005</v>
      </c>
      <c r="G288" s="3">
        <f>336.5+(248-46.7)+(0+(0-0))+0-139.5-0</f>
        <v>398.29999999999995</v>
      </c>
      <c r="H288" s="3">
        <f>330.4+(258.1-66.8)+(-0.84252+(-0.658155--0.17034))+0-128.4--0.327419999999981</f>
        <v>392.29708500000004</v>
      </c>
      <c r="I288" s="3">
        <f>338.2+(233.5-30.4)+(0.517446+(0.357255-0.046512))+0-150.1-0.229653000000009</f>
        <v>391.7985359999999</v>
      </c>
      <c r="J288" s="3">
        <f>332.5+(234.6-25.1)+(-0.6783+(-0.478584--0.051204))+0-147.3--0.300491999999994</f>
        <v>393.894812</v>
      </c>
      <c r="K288" s="3">
        <f>334.1+(233.8-36.2)+(-0.170391+(-0.119238--0.018462))+0-139.7--0.0712469999999858</f>
        <v>391.80008000000004</v>
      </c>
      <c r="L288" s="3">
        <f>334+(304.5-100.1)+(-0.34068+(-0.31059--0.102102))+0-134.7--0.137394000000021</f>
        <v>403.28822600000001</v>
      </c>
      <c r="M288" s="3">
        <f>330+(306.2-85.8)+(-0.1683+(-0.156162--0.043758))+0-132.7--0.0676769999999865</f>
        <v>417.48697299999998</v>
      </c>
      <c r="N288" s="3">
        <f>322.3+(319-62.4)+(-0.164373+(-0.16269--0.031824))+0-138--0.070379999999986</f>
        <v>440.67514100000005</v>
      </c>
      <c r="O288" s="3">
        <f>344+(332.9-64.3)+(-0.52632+(-0.509337--0.098379))+0-150.6--0.230418000000009</f>
        <v>461.29313999999988</v>
      </c>
      <c r="P288" s="3">
        <f>360+(325.6-85.2)+(0.5508+(0.498168-0.130356))+0-142.1-0.217413000000008</f>
        <v>459.0011990000001</v>
      </c>
      <c r="Q288" s="3">
        <f>342.6+(351.4-76.6)+(-0.87363+(-0.89607--0.19533))+0-160.5--0.409274999999977</f>
        <v>455.73490499999991</v>
      </c>
      <c r="R288" s="3">
        <f>324.6+(363.8-66.7)+(-0.82773+(-0.92769--0.170085))+0-147.5--0.376124999999979</f>
        <v>472.99079000000006</v>
      </c>
      <c r="S288" s="3">
        <f>316.4+(378.1-87)+(0+(0-0))+0-151.3-0</f>
        <v>456.2</v>
      </c>
      <c r="T288" s="3">
        <f>314.2+(346.9-85.8)+(-0.160242+(-0.176919--0.043758))+0-141.7--0.0722669999999856</f>
        <v>433.37886399999996</v>
      </c>
      <c r="U288" s="3">
        <f>308.6+(355-92.7)+(-0.78693+(-0.90525--0.236385))+0-138.2--0.35240999999998</f>
        <v>431.5966150000001</v>
      </c>
      <c r="V288" s="3">
        <f>308.6+(387.7-109.8)+(-0.78693+(-0.988635--0.27999))+0-147.7--0.376634999999979</f>
        <v>437.68105999999995</v>
      </c>
      <c r="W288" s="3">
        <f>313.1+(477.2-145.7)+(-0.798405+(-1.21686--0.371535))+0-145.5--0.371024999999979</f>
        <v>497.82729499999999</v>
      </c>
      <c r="X288" s="3">
        <f>308.4+(462-114)+(-0.943704+(-1.41372--0.34884))+0-152.6--0.466956000000018</f>
        <v>502.25837199999995</v>
      </c>
      <c r="Y288" s="3">
        <f>307.7+(447.7-122)+(-0.784635+(-1.141635--0.3111))+0-148.6--0.378929999999978</f>
        <v>483.56375999999989</v>
      </c>
      <c r="Z288" s="3">
        <f>307.3+(415.7-104)+(-0.470169+(-0.636021--0.15912))+0-145.1--0.222003000000008</f>
        <v>473.17493299999995</v>
      </c>
      <c r="AA288" s="3">
        <f>303.2+(386-66)+(0+(0-0))+0-152.7-0</f>
        <v>470.50000000000006</v>
      </c>
      <c r="AB288" s="3">
        <f>297.2+(346.5-45.5)+(-0.454716+(-0.530145--0.069615))+0-147.8--0.226134000000009</f>
        <v>449.71088800000001</v>
      </c>
      <c r="AC288" s="3">
        <f>294.3+(303.7-27.4)+(-0.600372+(-0.619548--0.055896))+0-143.6--0.292943999999994</f>
        <v>426.12891999999994</v>
      </c>
      <c r="AD288">
        <f t="shared" si="4"/>
        <v>10555.445878999999</v>
      </c>
      <c r="AE288" s="3">
        <f>318+(484.5-125.8)+(0+(0-0))+0-178.2-0</f>
        <v>498.50000000000006</v>
      </c>
    </row>
    <row r="289" spans="1:31" s="2" customFormat="1" x14ac:dyDescent="0.25">
      <c r="A289">
        <v>89</v>
      </c>
      <c r="B289">
        <v>10</v>
      </c>
      <c r="C289">
        <v>13</v>
      </c>
      <c r="D289">
        <v>3</v>
      </c>
      <c r="E289">
        <v>1</v>
      </c>
      <c r="F289" s="3">
        <f>294.4+(276.9-21.6)+(-0.600576+(-0.564876--0.044064))+0-143.4--0.292535999999994</f>
        <v>405.47114799999991</v>
      </c>
      <c r="G289" s="3">
        <f>296.4+(272.1-36.3)+(-0.302328+(-0.277542--0.037026))+0-141.4--0.144228000000023</f>
        <v>390.40138400000012</v>
      </c>
      <c r="H289" s="3">
        <f>297.3+(285.3-48.7)+(-0.303246+(-0.291006--0.049674))+0-145.1--0.148002000000023</f>
        <v>388.40342400000009</v>
      </c>
      <c r="I289" s="3">
        <f>296.3+(285.1-50.3)+(-0.453339+(-0.436203--0.076959))+0-143.7--0.219861000000008</f>
        <v>386.807278</v>
      </c>
      <c r="J289" s="3">
        <f>304.7+(257.8-36.2)+(0.466191+(0.394434-0.055386))+0-145.8-0.223074000000008</f>
        <v>381.08216499999997</v>
      </c>
      <c r="K289" s="3">
        <f>300.7+(262.8-24.8)+(0+(0-0))+0-146.7-0</f>
        <v>392.00000000000006</v>
      </c>
      <c r="L289" s="3">
        <f>300.7+(265.8-24.8)+(0+(0-0))+0-146.7-0</f>
        <v>395.00000000000006</v>
      </c>
      <c r="M289" s="3">
        <f>297+(313.8-64.7)+(-0.30294+(-0.320076--0.065994))+0-136.8--0.139536000000022</f>
        <v>408.88251400000007</v>
      </c>
      <c r="N289" s="3">
        <f>297.3+(324-56)+(-0.151623+(-0.16524--0.02856))+0-140.9--0.0718589999999857</f>
        <v>424.1835559999999</v>
      </c>
      <c r="O289" s="3">
        <f>332.6+(313-57.7)+(-0.339252+(-0.31926--0.058854))+0-133.1--0.135762000000021</f>
        <v>454.33610400000009</v>
      </c>
      <c r="P289" s="3">
        <f>334.5+(320-64)+(-0.68238+(-0.6528--0.13056))+0-84--0.171359999999996</f>
        <v>505.46674000000002</v>
      </c>
      <c r="Q289" s="3">
        <f>338.1+(316.3-62.4)+(-0.517293+(-0.483939--0.095472))+0-120.2--0.183906000000007</f>
        <v>471.078146</v>
      </c>
      <c r="R289" s="3">
        <f>331.6+(331.9-45.3)+(-0.676464+(-0.677076--0.092412))+0-146.5--0.298859999999994</f>
        <v>470.73773200000005</v>
      </c>
      <c r="S289" s="3">
        <f>326.2+(334.4-66.6)+(-0.332724+(-0.341088--0.067932))+0-138.4--0.141168000000022</f>
        <v>455.13528800000012</v>
      </c>
      <c r="T289" s="3">
        <f>332.6+(339.4-95.7)+(-0.169626+(-0.173094--0.048807))+0-140.7--0.0717569999999857</f>
        <v>435.37784399999998</v>
      </c>
      <c r="U289" s="3">
        <f>330.9+(314.9-99.2)+(-0.337518+(-0.321198--0.101184))+0-110.9--0.113118000000018</f>
        <v>435.25558599999994</v>
      </c>
      <c r="V289" s="3">
        <f>326.7+(324-70.6)+(-0.833085+(-0.8262--0.18003))+0-127.6--0.325379999999981</f>
        <v>451.34612500000003</v>
      </c>
      <c r="W289" s="3">
        <f>347.6+(337.3-43)+(-0.88638+(-0.860115--0.10965))+0-141--0.35954999999998</f>
        <v>499.62270500000005</v>
      </c>
      <c r="X289" s="3">
        <f>361.2+(324.1-46.8)+(-0.736848+(-0.661164--0.095472))+0-133.3--0.271931999999994</f>
        <v>504.16939199999996</v>
      </c>
      <c r="Y289" s="3">
        <f>372.2+(325.3-55.8)+(-0.379644+(-0.331806--0.056916))+0-143.4--0.146268000000023</f>
        <v>497.79173400000008</v>
      </c>
      <c r="Z289" s="3">
        <f>358.4+(335.5-67.4)+(-0.365568+(-0.34221--0.068748))+0-140.8--0.143616000000022</f>
        <v>485.20458599999995</v>
      </c>
      <c r="AA289" s="3">
        <f>334.5+(336.1-68.4)+(0.170595+(0.171411-0.034884))+0-131-0.0668099999999867</f>
        <v>471.44031200000012</v>
      </c>
      <c r="AB289" s="3">
        <f>329.2+(328.7-72)+(-0.503676+(-0.502911--0.11016))+0-126.1--0.192933000000007</f>
        <v>459.09650599999992</v>
      </c>
      <c r="AC289" s="3">
        <f>323.7+(340.3-106)+(-0.825435+(-0.867765--0.2703))+0-129.9--0.331244999999981</f>
        <v>427.00834499999996</v>
      </c>
      <c r="AD289">
        <f t="shared" si="4"/>
        <v>10595.298614000001</v>
      </c>
      <c r="AE289" s="3">
        <f>350+(323.2-53.6)+(0+(0-0))+0-139.4-0</f>
        <v>480.19999999999993</v>
      </c>
    </row>
    <row r="290" spans="1:31" s="2" customFormat="1" x14ac:dyDescent="0.25">
      <c r="A290">
        <v>89</v>
      </c>
      <c r="B290">
        <v>10</v>
      </c>
      <c r="C290">
        <v>14</v>
      </c>
      <c r="D290">
        <v>4</v>
      </c>
      <c r="E290">
        <v>1</v>
      </c>
      <c r="F290" s="3">
        <f>327+(347.5-133.4)+(-0.66708+(-0.7089--0.272136))+0-129.5--0.264179999999994</f>
        <v>410.76033600000005</v>
      </c>
      <c r="G290" s="3">
        <f>329.9+(387.8-179.8)+(-0.336498+(-0.395556--0.183396))+0-130.5--0.133110000000021</f>
        <v>406.98445199999998</v>
      </c>
      <c r="H290" s="3">
        <f>333.8+(371.2-160.3)+(0+(0-0))+0-132.5-0</f>
        <v>412.20000000000005</v>
      </c>
      <c r="I290" s="3">
        <f>331.3+(335.8-131.2)+(-0.337926+(-0.342516--0.133824))+0-129.3--0.131886000000021</f>
        <v>406.18526800000012</v>
      </c>
      <c r="J290" s="3">
        <f>339+(326.5-127.7)+(0.69156+(0.66606-0.260508))+0-127.5-0.260099999999994</f>
        <v>411.13701200000003</v>
      </c>
      <c r="K290" s="3">
        <f>333+(298-92.1)+(0.16983+(0.15198-0.046971))+0-128.1-0.065330999999987</f>
        <v>411.00950799999998</v>
      </c>
      <c r="L290" s="3">
        <f>330.5+(274.2-63.3)+(-0.33711+(-0.279684--0.064566))+0-123.3--0.12576600000002</f>
        <v>417.67353799999995</v>
      </c>
      <c r="M290" s="3">
        <f>327.7+(309.2-80.5)+(-0.501381+(-0.473076--0.123165))+0-125.3--0.191709000000007</f>
        <v>430.44041700000002</v>
      </c>
      <c r="N290" s="3">
        <f>320.3+(292.3-28.4)+(-0.326706+(-0.298146--0.028968))+0-132--0.134640000000021</f>
        <v>451.73875600000014</v>
      </c>
      <c r="O290" s="3">
        <f>284+(335-30.7)+(-0.28968+(-0.3417--0.031314))+0-128--0.13056000000002</f>
        <v>459.83049399999999</v>
      </c>
      <c r="P290" s="3">
        <f>286.4+(363.3-51.3)+(-0.146064+(-0.185283--0.026163))+0-131.2--0.0669119999999867</f>
        <v>466.96172799999994</v>
      </c>
      <c r="Q290" s="3">
        <f>290.1+(396.8-93.6)+(-0.591804+(-0.809472--0.190944))+0-125.7--0.256427999999994</f>
        <v>466.64609600000006</v>
      </c>
      <c r="R290" s="3">
        <f>289.6+(381.6-82.8)+(-0.295392+(-0.389232--0.084456))+0-127.5--0.13005000000002</f>
        <v>460.42988200000008</v>
      </c>
      <c r="S290" s="3">
        <f>289.4+(371.7-81.3)+(-0.295188+(-0.379134--0.082926))+0-130--0.132600000000021</f>
        <v>449.34120399999995</v>
      </c>
      <c r="T290" s="3">
        <f>289.6+(375.8-95.2)+(-0.147696+(-0.191658--0.048552))+0-133.1--0.0678809999999865</f>
        <v>436.87707900000004</v>
      </c>
      <c r="U290" s="3">
        <f>291.9+(355.4-90.6)+(0+(0-0))+0-127.6-0</f>
        <v>429.09999999999991</v>
      </c>
      <c r="V290" s="3">
        <f>286.8+(357.6-65.5)+(-0.585072+(-0.729504--0.13362))+0-136.3--0.278051999999994</f>
        <v>441.69709600000004</v>
      </c>
      <c r="W290" s="3">
        <f>293.5+(385-35.4)+(0+(0-0))+0-145.8-0</f>
        <v>497.3</v>
      </c>
      <c r="X290" s="3">
        <f>291.2+(384.6-38.2)+(-0.297024+(-0.392292--0.038964))+0-130.2--0.132804000000021</f>
        <v>506.88245200000006</v>
      </c>
      <c r="Y290" s="3">
        <f>292.9+(393.6-48.6)+(-0.149379+(-0.200736--0.024786))+0-148.2--0.075581999999985</f>
        <v>489.45025299999998</v>
      </c>
      <c r="Z290" s="3">
        <f>288.7+(399.4-70)+(-0.736185+(-1.01847--0.1785))+0-135.8--0.34628999999998</f>
        <v>481.07013499999988</v>
      </c>
      <c r="AA290" s="3">
        <f>297.9+(412.9-102.9)+(0+(0-0))+0-133.8-0</f>
        <v>474.09999999999997</v>
      </c>
      <c r="AB290" s="3">
        <f>295.2+(404.6-115.5)+(-0.150552+(-0.206346--0.058905))+0-134.6--0.0686459999999863</f>
        <v>449.47065299999991</v>
      </c>
      <c r="AC290" s="3">
        <f>294.3+(400.1-129.2)+(-0.450279+(-0.612153--0.197676))+0-147.6--0.225828000000009</f>
        <v>416.961072</v>
      </c>
      <c r="AD290">
        <f t="shared" si="4"/>
        <v>10684.247431000002</v>
      </c>
      <c r="AE290" s="3">
        <f>296+(416.2-33.8)+(0+(0-0))+0-166.9-0</f>
        <v>511.5</v>
      </c>
    </row>
    <row r="291" spans="1:31" s="2" customFormat="1" x14ac:dyDescent="0.25">
      <c r="A291">
        <v>89</v>
      </c>
      <c r="B291">
        <v>10</v>
      </c>
      <c r="C291">
        <v>15</v>
      </c>
      <c r="D291">
        <v>5</v>
      </c>
      <c r="E291">
        <v>1</v>
      </c>
      <c r="F291" s="3">
        <f>294.9+(425.8-173.6)+(-0.601596+(-0.868632--0.354144))+0-144.7--0.295187999999994</f>
        <v>401.57910400000003</v>
      </c>
      <c r="G291" s="3">
        <f>297.3+(389.8-147.6)+(-0.303246+(-0.397596--0.150552))+0-144.6--0.147492000000023</f>
        <v>394.49720199999996</v>
      </c>
      <c r="H291" s="3">
        <f>298.3+(368.3-137.9)+(-0.152133+(-0.187833--0.070329))+0-141.1--0.0719609999999857</f>
        <v>387.40232400000002</v>
      </c>
      <c r="I291" s="3">
        <f>297.5+(334.1-116.5)+(-0.151725+(-0.170391--0.059415))+0-134.4--0.0685439999999864</f>
        <v>380.50584300000003</v>
      </c>
      <c r="J291" s="3">
        <f>290.3+(368.7-130)+(-0.148053+(-0.188037--0.0663))+0-151.5--0.0772649999999846</f>
        <v>377.30747500000007</v>
      </c>
      <c r="K291" s="3">
        <f>238.1+(369.3-74.7)+(-0.242862+(-0.376686--0.076194))+0-144.4--0.147288000000023</f>
        <v>387.90393400000005</v>
      </c>
      <c r="L291" s="3">
        <f>237.3+(346.2-61)+(-0.242046+(-0.353124--0.06222))+0-132.6--0.135252000000021</f>
        <v>389.50230199999999</v>
      </c>
      <c r="M291" s="3">
        <f>221.2+(376.3-54)+(-0.225624+(-0.383826--0.05508))+0-132--0.134640000000021</f>
        <v>411.0802700000001</v>
      </c>
      <c r="N291" s="3">
        <f>179.3+(415.2-24.7)+(-0.365772+(-0.847008--0.050388))+0-144.6--0.294983999999994</f>
        <v>424.33259199999998</v>
      </c>
      <c r="O291" s="3">
        <f>288.6+(376.4-94.6)+(-0.147186+(-0.191964--0.048246))+0-135.8--0.0692579999999862</f>
        <v>434.378354</v>
      </c>
      <c r="P291" s="3">
        <f>289.5+(367.7-79.1)+(-0.147645+(-0.187527--0.040341))+0-128.2--0.065381999999987</f>
        <v>449.67055099999999</v>
      </c>
      <c r="Q291" s="3">
        <f>288.7+(367.5-72.8)+(-0.147237+(-0.187425--0.037128))+0-132.9--0.0677789999999865</f>
        <v>450.27024499999993</v>
      </c>
      <c r="R291" s="3">
        <f>287.8+(377.1-66.9)+(-0.293556+(-0.384642--0.068238))+0-136.8--0.139536000000022</f>
        <v>460.72957600000001</v>
      </c>
      <c r="S291" s="3">
        <f>285.2+(371.2-78.3)+(-0.436356+(-0.567936--0.119799))+0-128.3--0.196299000000007</f>
        <v>449.11180599999989</v>
      </c>
      <c r="T291" s="3">
        <f>286.8+(362.3-88.9)+(-0.292536+(-0.369546--0.090678))+0-131.7--0.134334000000021</f>
        <v>428.06293000000005</v>
      </c>
      <c r="U291" s="3">
        <f>294.8+(350.8-91.1)+(0.75174+(0.89454-0.232305))+0-132.1-0.336854999999981</f>
        <v>423.47712000000007</v>
      </c>
      <c r="V291" s="3">
        <f>286.4+(340.5-58.9)+(-0.438192+(-0.520965--0.090117))+0-126.4--0.193392000000007</f>
        <v>440.924352</v>
      </c>
      <c r="W291" s="3">
        <f>291.4+(364.5-34.9)+(0.148614+(0.185895-0.017799))+0-134.4-0.0685439999999864</f>
        <v>486.84816599999999</v>
      </c>
      <c r="X291" s="3">
        <f>290+(359.2-33.1)+(-0.5916+(-0.732768--0.067524))+0-133.2--0.271727999999994</f>
        <v>481.91488399999992</v>
      </c>
      <c r="Y291" s="3">
        <f>299.3+(371-53.3)+(-0.457929+(-0.56763--0.081549))+0-140.9--0.215577000000008</f>
        <v>475.37156699999997</v>
      </c>
      <c r="Z291" s="3">
        <f>298.9+(393.9-104)+(-0.152439+(-0.200889--0.05304))+0-131.9--0.0672689999999866</f>
        <v>456.66698099999996</v>
      </c>
      <c r="AA291" s="3">
        <f>298.8+(422.9-135)+(-0.457164+(-0.647037--0.20655))+0-132.9--0.203337000000008</f>
        <v>453.10568600000011</v>
      </c>
      <c r="AB291" s="3">
        <f>280.6+(454.9-161)+(-0.71553+(-1.159995--0.41055))+0-134.3--0.342464999999981</f>
        <v>439.07749000000001</v>
      </c>
      <c r="AC291" s="3">
        <f>265+(446.3-157.1)+(-0.67575+(-1.138065--0.400605))+0-129.9--0.331244999999981</f>
        <v>423.21803499999999</v>
      </c>
      <c r="AD291">
        <f t="shared" si="4"/>
        <v>10306.938789</v>
      </c>
      <c r="AE291" s="3">
        <f>285+(358.6-30)+(0+(0-0))+0-124.1-0</f>
        <v>489.5</v>
      </c>
    </row>
    <row r="292" spans="1:31" s="2" customFormat="1" x14ac:dyDescent="0.25">
      <c r="A292">
        <v>89</v>
      </c>
      <c r="B292">
        <v>10</v>
      </c>
      <c r="C292">
        <v>16</v>
      </c>
      <c r="D292">
        <v>6</v>
      </c>
      <c r="E292">
        <v>1</v>
      </c>
      <c r="F292" s="3">
        <f>145.6+(532-134.1)+(-0.148512+(-0.54264--0.136782))+0-139.4--0.142188000000022</f>
        <v>403.68781800000011</v>
      </c>
      <c r="G292" s="3">
        <f>141.1+(530.9-138.7)+(-0.215883+(-0.812277--0.212211))+0-130.9--0.200277000000008</f>
        <v>401.78432799999996</v>
      </c>
      <c r="H292" s="3">
        <f>146.4+(508.2-131.3)+(-0.298656+(-1.036728--0.267852))+0-134.7--0.274787999999994</f>
        <v>387.80725599999994</v>
      </c>
      <c r="I292" s="3">
        <f>145.5+(540-162.4)+(-0.222615+(-0.8262--0.248472))+0-133.1--0.203643000000008</f>
        <v>389.4033</v>
      </c>
      <c r="J292" s="3">
        <f>146.6+(535.2-151.7)+(-0.074766+(-0.272952--0.077367))+0-141.1--0.0719609999999857</f>
        <v>388.80160999999998</v>
      </c>
      <c r="K292" s="3">
        <f>147.8+(506.7-124.4)+(0+(0-0))+0-131.5-0</f>
        <v>398.59999999999991</v>
      </c>
      <c r="L292" s="3">
        <f>146.7+(456.7-51.9)+(-0.074817+(-0.232917--0.026469))+0-144.3--0.0735929999999854</f>
        <v>406.99232799999999</v>
      </c>
      <c r="M292" s="3">
        <f>147.9+(419.3-9.4)+(0+(0-0))+0-135.1-0</f>
        <v>422.70000000000005</v>
      </c>
      <c r="N292" s="3">
        <f>149.2+(443.5-0)+(-0.076092+(-0.226185-0))+0-152.7--0.0778769999999845</f>
        <v>439.77560000000005</v>
      </c>
      <c r="O292" s="3">
        <f>149.2+(469-9.5)+(-0.152184+(-0.47838--0.00969))+0-153.4--0.156468000000024</f>
        <v>454.83559400000013</v>
      </c>
      <c r="P292" s="3">
        <f>150.1+(482.5-24.4)+(0+(0-0))+0-146.2-0</f>
        <v>462.00000000000006</v>
      </c>
      <c r="Q292" s="3">
        <f>148.8+(476.6-14)+(-0.151776+(-0.486132--0.01428))+0-153.7--0.156774000000025</f>
        <v>457.23314600000009</v>
      </c>
      <c r="R292" s="3">
        <f>146.1+(457-4.5)+(-0.447066+(-1.39842--0.01377))+0-142.5--0.436050000000016</f>
        <v>454.70433400000002</v>
      </c>
      <c r="S292" s="3">
        <f>148.3+(444.7-5.4)+(-0.226899+(-0.680391--0.008262))+0-140.8--0.215424000000008</f>
        <v>446.11639599999995</v>
      </c>
      <c r="T292" s="3">
        <f>144.7+(440.9-23)+(-0.147594+(-0.449718--0.02346))+0-145.1--0.148002000000023</f>
        <v>417.07414999999992</v>
      </c>
      <c r="U292" s="3">
        <f>162.4+(432.1-32.2)+(0+(0-0))+0-146.9-0</f>
        <v>415.40000000000009</v>
      </c>
      <c r="V292" s="3">
        <f>163.6+(421.9-9)+(-0.166872+(-0.430338--0.00918))+0-148.8--0.151776000000024</f>
        <v>427.26374600000003</v>
      </c>
      <c r="W292" s="3">
        <f>168.9+(457.8-1.8)+(0+(0-0))+0-152.7-0</f>
        <v>472.2</v>
      </c>
      <c r="X292" s="3">
        <f>170.1+(467.7-0)+(-0.433755+(-1.192635-0))+0-157.5--0.401624999999977</f>
        <v>479.07523499999991</v>
      </c>
      <c r="Y292" s="3">
        <f>169.3+(461.7-0)+(-0.259029+(-0.706401-0))+0-154.6--0.236538000000009</f>
        <v>475.671108</v>
      </c>
      <c r="Z292" s="3">
        <f>170.1+(458.7-5.4)+(-0.086751+(-0.233937--0.002754))+0-160.5--0.0818549999999837</f>
        <v>462.6639209999999</v>
      </c>
      <c r="AA292" s="3">
        <f>169.9+(472.7-16.6)+(-0.173298+(-0.482154--0.016932))+0-166.3--0.169626000000027</f>
        <v>459.23110600000007</v>
      </c>
      <c r="AB292" s="3">
        <f>170.2+(473.2-50.3)+(-0.086802+(-0.241332--0.025653))+0-147.3--0.0751229999999851</f>
        <v>445.57264199999992</v>
      </c>
      <c r="AC292" s="3">
        <f>170.3+(444.7-37.8)+(-0.260559+(-0.680391--0.057834))+0-150.5--0.230265000000009</f>
        <v>426.0471490000001</v>
      </c>
      <c r="AD292">
        <f t="shared" si="4"/>
        <v>10394.640766999999</v>
      </c>
      <c r="AE292" s="3">
        <f>170+(467.2-0)+(0+(0-0))+0-161.9-0</f>
        <v>475.30000000000007</v>
      </c>
    </row>
    <row r="293" spans="1:31" s="2" customFormat="1" x14ac:dyDescent="0.25">
      <c r="A293">
        <v>89</v>
      </c>
      <c r="B293">
        <v>10</v>
      </c>
      <c r="C293">
        <v>17</v>
      </c>
      <c r="D293">
        <v>7</v>
      </c>
      <c r="E293">
        <v>1</v>
      </c>
      <c r="F293" s="3">
        <f>170.7+(446.1-61.6)+(-0.087057+(-0.227511--0.031416))+0-143.2--0.0730319999999855</f>
        <v>411.7898800000001</v>
      </c>
      <c r="G293" s="3">
        <f>170.9+(484.4-102)+(-0.261477+(-0.741132--0.15606))+0-151.8--0.232254000000009</f>
        <v>400.88570499999997</v>
      </c>
      <c r="H293" s="3">
        <f>172.3+(477-113.9)+(0+(0-0))+0-146.4-0</f>
        <v>389.00000000000011</v>
      </c>
      <c r="I293" s="3">
        <f>173.6+(476.2-120.2)+(0.088536+(0.242862-0.061302))+0-143.9-0.0733889999999854</f>
        <v>385.89670700000005</v>
      </c>
      <c r="J293" s="3">
        <f>173.8+(469.7-105.8)+(-0.177276+(-0.479094--0.107916))+0-151.8--0.154836000000024</f>
        <v>385.50638200000009</v>
      </c>
      <c r="K293" s="3">
        <f>174.2+(431.4-75.6)+(0.088842+(0.220014-0.038556))+0-152.2-0.0776219999999846</f>
        <v>377.99267800000007</v>
      </c>
      <c r="L293" s="3">
        <f>174.7+(387.6-45.2)+(-0.445485+(-0.98838--0.11526))+0-157--0.400349999999977</f>
        <v>359.18174499999998</v>
      </c>
      <c r="M293" s="3">
        <f>174.7+(361.8-31.4)+(0+(0-0))+0-152-0</f>
        <v>353.1</v>
      </c>
      <c r="N293" s="3">
        <f>172.1+(359.1-13.2)+(0+(0-0))+0-158.4-0</f>
        <v>359.6</v>
      </c>
      <c r="O293" s="3">
        <f>170.2+(359.3-0)+(0.347208+(0.732972-0))+0-156.7-0.319667999999993</f>
        <v>373.56051200000007</v>
      </c>
      <c r="P293" s="3">
        <f>169.8+(400-23.1)+(-0.259794+(-0.612--0.035343))+0-160--0.244800000000009</f>
        <v>386.10834900000003</v>
      </c>
      <c r="Q293" s="3">
        <f>168.6+(394.8-11.5)+(-0.085986+(-0.201348--0.005865))+0-161--0.0821099999999837</f>
        <v>390.70064099999996</v>
      </c>
      <c r="R293" s="3">
        <f>167.7+(377.9-0)+(-0.256581+(-0.578187-0))+0-158.2--0.242046000000009</f>
        <v>386.80727799999988</v>
      </c>
      <c r="S293" s="3">
        <f>167.3+(377.7-10)+(-0.170646+(-0.385254--0.0102))+0-152.6--0.155652000000024</f>
        <v>382.009952</v>
      </c>
      <c r="T293" s="3">
        <f>167.1+(396.5-49)+(0.170442+(0.40443-0.04998))+0-144.5-0.147390000000023</f>
        <v>370.47750200000002</v>
      </c>
      <c r="U293" s="3">
        <f>166.6+(408-52.2)+(0+(0-0))+0-154-0</f>
        <v>368.4</v>
      </c>
      <c r="V293" s="3">
        <f>166.9+(358.3-8.1)+(-0.510714+(-1.096398--0.024786))+0-150.5--0.460530000000017</f>
        <v>365.47820400000006</v>
      </c>
      <c r="W293" s="3">
        <f>167.5+(410.7-0)+(-0.085425+(-0.209457-0))+0-159.2--0.0811919999999838</f>
        <v>418.78631000000001</v>
      </c>
      <c r="X293" s="3">
        <f>169.1+(410.9-5.7)+(-0.258723+(-0.628677--0.008721))+0-151.3--0.231489000000009</f>
        <v>422.35280999999992</v>
      </c>
      <c r="Y293" s="3">
        <f>170.4+(435.5-49.2)+(0+(0-0))+0-132.6-0</f>
        <v>424.1</v>
      </c>
      <c r="Z293" s="3">
        <f>171.7+(444.3-70.7)+(-0.350268+(-0.906372--0.144228))+0-127--0.259079999999994</f>
        <v>417.44666799999999</v>
      </c>
      <c r="AA293" s="3">
        <f>171.5+(470.7-81.4)+(-0.087465+(-0.240057--0.041514))+0-139.1--0.0709409999999859</f>
        <v>421.4849329999999</v>
      </c>
      <c r="AB293" s="3">
        <f>172+(482.7-121.5)+(-0.08772+(-0.246177--0.061965))+0-120.3--0.0613529999999878</f>
        <v>412.68942100000004</v>
      </c>
      <c r="AC293" s="3">
        <f>172.6+(509.2-135.1)+(-0.264078+(-0.779076--0.206703))+0-146.2--0.223686000000008</f>
        <v>399.88723500000003</v>
      </c>
      <c r="AD293">
        <f t="shared" si="4"/>
        <v>9363.2429119999997</v>
      </c>
      <c r="AE293" s="3">
        <f>171+(421.4-0)+(0+(0-0))+0-168.9-0</f>
        <v>423.5</v>
      </c>
    </row>
    <row r="294" spans="1:31" s="2" customFormat="1" x14ac:dyDescent="0.25">
      <c r="A294">
        <v>89</v>
      </c>
      <c r="B294">
        <v>10</v>
      </c>
      <c r="C294">
        <v>18</v>
      </c>
      <c r="D294">
        <v>1</v>
      </c>
      <c r="E294">
        <v>1</v>
      </c>
      <c r="F294" s="3">
        <f>172.9+(573.6-210.6)+(-0.440895+(-1.46268--0.53703))+0-146.4--0.373319999999979</f>
        <v>388.506775</v>
      </c>
      <c r="G294" s="3">
        <f>174+(601-240.7)+(-0.17748+(-0.61302--0.245514))+0-151.5--0.154530000000024</f>
        <v>382.40954399999998</v>
      </c>
      <c r="H294" s="3">
        <f>174.1+(625.4-276.1)+(-0.443955+(-1.59477--0.704055))+0-138.9--0.35419499999998</f>
        <v>383.51952500000004</v>
      </c>
      <c r="I294" s="3">
        <f>134.9+(607.1-218.4)+(-0.137598+(-0.619242--0.222768))+0-144.8--0.147696000000023</f>
        <v>378.41362399999997</v>
      </c>
      <c r="J294" s="3">
        <f>117.1+(640.6-231.7)+(-0.059721+(-0.326706--0.118167))+0-147.7--0.075326999999985</f>
        <v>378.10706699999992</v>
      </c>
      <c r="K294" s="3">
        <f>116.9+(550.3-137.1)+(-0.119238+(-0.561306--0.139842))+0-150.2--0.153204000000024</f>
        <v>379.51250199999993</v>
      </c>
      <c r="L294" s="3">
        <f>117.3+(507.4-84.6)+(-0.059823+(-0.258774--0.043146))+0-149.7--0.0763469999999848</f>
        <v>390.20089599999994</v>
      </c>
      <c r="M294" s="3">
        <f>147.3+(487.2-64.4)+(0.075123+(0.248472-0.032844))+0-145-0.0739499999999853</f>
        <v>425.31680099999994</v>
      </c>
      <c r="N294" s="3">
        <f>168.3+(517-96.6)+(0+(0-0))+0-147.2-0</f>
        <v>441.50000000000006</v>
      </c>
      <c r="O294" s="3">
        <f>167.3+(517.2-100.2)+(-0.085323+(-0.263772--0.051102))+0-131.1--0.0668609999999867</f>
        <v>452.96886799999999</v>
      </c>
      <c r="P294" s="3">
        <f>166.6+(505-67.4)+(-0.169932+(-0.5151--0.068748))+0-140.7--0.143514000000022</f>
        <v>463.02723000000015</v>
      </c>
      <c r="Q294" s="3">
        <f>167.1+(519.9-57.4)+(-0.085221+(-0.265149--0.029274))+0-153.5--0.0782849999999844</f>
        <v>475.85718900000001</v>
      </c>
      <c r="R294" s="3">
        <f>166.5+(528.1-72.2)+(-0.084915+(-0.269331--0.036822))+0-156.8--0.0799679999999841</f>
        <v>465.36254400000013</v>
      </c>
      <c r="S294" s="3">
        <f>166.3+(529.9-86.9)+(-0.169626+(-0.540498--0.088638))+0-154.1--0.157182000000025</f>
        <v>454.73569599999996</v>
      </c>
      <c r="T294" s="3">
        <f>166.1+(526.4-133.2)+(-0.169422+(-0.536928--0.135864))+0-137.2--0.139944000000022</f>
        <v>421.66945800000002</v>
      </c>
      <c r="U294" s="3">
        <f>167+(533.4-133.6)+(0+(0-0))+0-139.4-0</f>
        <v>427.4</v>
      </c>
      <c r="V294" s="3">
        <f>166.7+(505.2-109.5)+(0+(0-0))+0-140.6-0</f>
        <v>421.79999999999995</v>
      </c>
      <c r="W294" s="3">
        <f>168.5+(450-63.9)+(0.17187+(0.459-0.065178))+0-148.2-0.151164000000024</f>
        <v>406.814528</v>
      </c>
      <c r="X294" s="3">
        <f>167.3+(413.7-55.8)+(-0.255969+(-0.632961--0.085374))+0-153.6--0.235008000000009</f>
        <v>371.03145200000006</v>
      </c>
      <c r="Y294" s="3">
        <f>167+(441.5-77.3)+(-0.34068+(-0.90066--0.157692))+0-145.7--0.297227999999994</f>
        <v>384.71358000000004</v>
      </c>
      <c r="Z294" s="3">
        <f>166.7+(497.2-105.8)+(-0.170034+(-0.507144--0.107916))+0-136.9--0.139638000000022</f>
        <v>420.770376</v>
      </c>
      <c r="AA294" s="3">
        <f>166.7+(553.9-106.3)+(-0.170034+(-0.564978--0.108426))+0-156.4--0.159528000000025</f>
        <v>457.43294200000003</v>
      </c>
      <c r="AB294" s="3">
        <f>166.7+(604.9-158.5)+(-0.085017+(-0.308499--0.080835))+0-156.9--0.0800189999999841</f>
        <v>455.96733799999993</v>
      </c>
      <c r="AC294" s="3">
        <f>163.9+(602.2-183.6)+(-0.334356+(-1.228488--0.374544))+0-153.8--0.313751999999993</f>
        <v>427.82545199999993</v>
      </c>
      <c r="AD294">
        <f t="shared" si="4"/>
        <v>10054.863386999999</v>
      </c>
      <c r="AE294" s="3">
        <f>300+(452.1-56.8)+(0+(0-0))+0-162.1-0</f>
        <v>533.19999999999993</v>
      </c>
    </row>
    <row r="295" spans="1:31" s="2" customFormat="1" x14ac:dyDescent="0.25">
      <c r="A295">
        <v>89</v>
      </c>
      <c r="B295">
        <v>10</v>
      </c>
      <c r="C295">
        <v>19</v>
      </c>
      <c r="D295">
        <v>2</v>
      </c>
      <c r="E295">
        <v>1</v>
      </c>
      <c r="F295" s="3">
        <f>165.8+(603.2-174.9)+(-0.253674+(-0.922896--0.267597))+0-163.9--0.250767000000009</f>
        <v>429.54179400000021</v>
      </c>
      <c r="G295" s="3">
        <f>163.5+(625.9-206.7)+(-0.50031+(-1.915254--0.632502))+0-153.7--0.470322000000018</f>
        <v>427.68726000000009</v>
      </c>
      <c r="H295" s="3">
        <f>168.4+(565.8-163.5)+(0.085884+(0.288558-0.083385))+0-157.1-0.0801209999999841</f>
        <v>413.81093599999997</v>
      </c>
      <c r="I295" s="3">
        <f>165.7+(561.5-168.7)+(-0.253521+(-0.859095--0.258111))+0-141.9--0.217107000000008</f>
        <v>415.962602</v>
      </c>
      <c r="J295" s="3">
        <f>160.1+(531.5-127.1)+(0.163302+(0.54213-0.129642))+0-160.6-0.163812000000026</f>
        <v>404.31197799999995</v>
      </c>
      <c r="K295" s="3">
        <f>152.9+(512.6-110.8)+(-0.155958+(-0.522852--0.113016))+0-141.4--0.144228000000023</f>
        <v>412.87843400000008</v>
      </c>
      <c r="L295" s="3">
        <f>152.3+(469.3-56.1)+(-0.310692+(-0.957372--0.114444))+0-141--0.287639999999994</f>
        <v>423.63401999999996</v>
      </c>
      <c r="M295" s="3">
        <f>157.2+(486.7-58.7)+(-0.240516+(-0.744651--0.089811))+0-145.6--0.222768000000008</f>
        <v>438.92741200000006</v>
      </c>
      <c r="N295" s="3">
        <f>167+(485.5-53.2)+(0.08517+(0.247605-0.027132))+0-146.9-0.0749189999999851</f>
        <v>452.63072400000004</v>
      </c>
      <c r="O295" s="3">
        <f>166.2+(516.4-46)+(-0.084762+(-0.263364--0.02346))+0-162.8--0.0830279999999835</f>
        <v>473.55836199999987</v>
      </c>
      <c r="P295" s="3">
        <f>171.9+(512.9-32.9)+(0+(0-0))+0-149.9-0</f>
        <v>502</v>
      </c>
      <c r="Q295" s="3">
        <f>166.1+(488.9-21.5)+(0+(0-0))+0-142.8-0</f>
        <v>490.7</v>
      </c>
      <c r="R295" s="3">
        <f>163.7+(492.4-21.4)+(-0.333948+(-1.004496--0.043656))+0-143.7--0.293147999999994</f>
        <v>489.99835999999999</v>
      </c>
      <c r="S295" s="3">
        <f>164.5+(506.3-35.8)+(-0.16779+(-0.516426--0.036516))+0-155.5--0.158610000000025</f>
        <v>479.01091000000002</v>
      </c>
      <c r="T295" s="3">
        <f>163.2+(528.5-89.3)+(-0.332928+(-1.07814--0.182172))+0-140.4--0.286415999999994</f>
        <v>461.05752000000001</v>
      </c>
      <c r="U295" s="3">
        <f>165+(616.5-155.1)+(0+(0-0))+0-161.8-0</f>
        <v>464.59999999999997</v>
      </c>
      <c r="V295" s="3">
        <f>164+(548.8-106.1)+(0+(0-0))+0-146-0</f>
        <v>460.69999999999993</v>
      </c>
      <c r="W295" s="3">
        <f>166+(494.9-35)+(0+(0-0))+0-151.2-0</f>
        <v>474.7</v>
      </c>
      <c r="X295" s="3">
        <f>164+(456.3-30.9)+(-0.25092+(-0.698139--0.047277))+0-134.6--0.205938000000008</f>
        <v>454.10415600000005</v>
      </c>
      <c r="Y295" s="3">
        <f>163.9+(472-43.8)+(-0.250767+(-0.72216--0.067014))+0-137.7--0.210681000000008</f>
        <v>453.704768</v>
      </c>
      <c r="Z295" s="3">
        <f>164.1+(483.6-93)+(-0.167382+(-0.493272--0.09486))+0-136--0.138720000000022</f>
        <v>418.2729260000001</v>
      </c>
      <c r="AA295" s="3">
        <f>165+(521.9-120.7)+(-0.1683+(-0.532338--0.123114))+0-161.8--0.165036000000026</f>
        <v>403.98751200000004</v>
      </c>
      <c r="AB295" s="3">
        <f>162.8+(529.9-159.4)+(-0.332112+(-1.080996--0.325176))+0-131.2--0.267647999999994</f>
        <v>401.27971599999995</v>
      </c>
      <c r="AC295" s="3">
        <f>164.6+(582.6-212.6)+(-0.083946+(-0.297126--0.108426))+0-136.3--0.0695129999999862</f>
        <v>398.09686699999997</v>
      </c>
      <c r="AD295">
        <f t="shared" si="4"/>
        <v>10645.156256999999</v>
      </c>
      <c r="AE295" s="3">
        <f>164+(476.7-21.8)+(0+(0-0))+0-171.5-0</f>
        <v>447.4</v>
      </c>
    </row>
    <row r="296" spans="1:31" s="2" customFormat="1" x14ac:dyDescent="0.25">
      <c r="A296">
        <v>89</v>
      </c>
      <c r="B296">
        <v>10</v>
      </c>
      <c r="C296">
        <v>20</v>
      </c>
      <c r="D296">
        <v>3</v>
      </c>
      <c r="E296">
        <v>1</v>
      </c>
      <c r="F296" s="3">
        <f>164+(626.8-234.7)+(-0.25092+(-0.959004--0.359091))+0-149.7--0.229041000000009</f>
        <v>405.77820799999995</v>
      </c>
      <c r="G296" s="3">
        <f>147.6+(635.4-218.9)+(-0.225828+(-0.972162--0.334917))+0-158.3--0.242199000000009</f>
        <v>405.17912600000005</v>
      </c>
      <c r="H296" s="3">
        <f>148.9+(620.6-216.9)+(0.227817+(0.949518-0.331857))+0-154.4-0.236232000000009</f>
        <v>398.80924599999997</v>
      </c>
      <c r="I296" s="3">
        <f>145.6+(569.1-169)+(-0.148512+(-0.580482--0.17238))+0-152.8--0.155856000000024</f>
        <v>392.49924200000009</v>
      </c>
      <c r="J296" s="3">
        <f>146.2+(533.5-125.4)+(-0.149124+(-0.54417--0.127908))+0-153.4--0.156468000000024</f>
        <v>400.49108200000001</v>
      </c>
      <c r="K296" s="3">
        <f>148+(495.5-98.1)+(0+(0-0))+0-151.2-0</f>
        <v>394.2</v>
      </c>
      <c r="L296" s="3">
        <f>147.1+(447.4-37.2)+(-0.075021+(-0.228174--0.018972))+0-155.2--0.0791519999999842</f>
        <v>401.89492899999993</v>
      </c>
      <c r="M296" s="3">
        <f>148.9+(437.1-31.3)+(0.151878+(0.445842-0.031926))+0-145.5-0.148410000000023</f>
        <v>409.61738400000002</v>
      </c>
      <c r="N296" s="3">
        <f>158+(460.4-83.5)+(0+(0-0))+0-93-0</f>
        <v>441.9</v>
      </c>
      <c r="O296" s="3">
        <f>164.6+(485.5-77.5)+(0+(0-0))+0-157.3-0</f>
        <v>415.3</v>
      </c>
      <c r="P296" s="3">
        <f>168+(510.3-87)+(-0.17136+(-0.520506--0.08874))+0-150.5--0.153510000000024</f>
        <v>440.35038400000002</v>
      </c>
      <c r="Q296" s="3">
        <f>161.6+(526.4-71.1)+(-0.082416+(-0.268464--0.036261))+0-156.2--0.0796619999999841</f>
        <v>460.46504299999998</v>
      </c>
      <c r="R296" s="3">
        <f>220+(491-105)+(-0.7854+(-1.75287--0.37485))+0-139.1--0.496587000000002</f>
        <v>465.23316699999998</v>
      </c>
      <c r="S296" s="3">
        <f>195.2+(515.1-106.8)+(-0.099552+(-0.262701--0.054468))+0-145.1--0.0740009999999853</f>
        <v>458.16621600000002</v>
      </c>
      <c r="T296" s="3">
        <f>167.5+(523.7-113.2)+(0+(0-0))+0-139-0</f>
        <v>439</v>
      </c>
      <c r="U296" s="3">
        <f>156.8+(527.8-106.2)+(0+(0-0))+0-149.4-0</f>
        <v>429</v>
      </c>
      <c r="V296" s="3">
        <f>140.4+(507-69.5)+(-0.35802+(-1.29285--0.177225))+0-135.7--0.34603499999998</f>
        <v>441.07238999999993</v>
      </c>
      <c r="W296" s="3">
        <f>143.4+(503.5-6)+(0+(0-0))+0-142.4-0</f>
        <v>498.5</v>
      </c>
      <c r="X296" s="3">
        <f>140.9+(500.8-1.8)+(-0.287436+(-1.021632--0.003672))+0-137.7--0.280907999999994</f>
        <v>501.17551200000003</v>
      </c>
      <c r="Y296" s="3">
        <f>142.6+(521.4-15.3)+(-0.218178+(-0.797742--0.023409))+0-161.2--0.246636000000009</f>
        <v>486.75412499999993</v>
      </c>
      <c r="Z296" s="3">
        <f>145.1+(551.2-33.2)+(-0.074001+(-0.281112--0.016932))+0-178.3--0.0909329999999819</f>
        <v>484.55275200000005</v>
      </c>
      <c r="AA296" s="3">
        <f>147.7+(540.4-63.4)+(0.150654+(0.551208-0.064668))+0-143.8-0.146676000000023</f>
        <v>481.39051800000004</v>
      </c>
      <c r="AB296" s="3">
        <f>70.1+(598.7-54.4)+(-0.071502+(-0.610674--0.055488))+0-151.5--0.154530000000024</f>
        <v>462.42784200000017</v>
      </c>
      <c r="AC296" s="3">
        <f>0+(655.8-60.7)+(0+(-0.668916--0.061914))+0-153.9--0.156978000000025</f>
        <v>440.749976</v>
      </c>
      <c r="AD296">
        <f t="shared" si="4"/>
        <v>10554.507142</v>
      </c>
      <c r="AE296" s="3">
        <f>151+(502-0)+(0+(0-0))+0-128-0</f>
        <v>525</v>
      </c>
    </row>
    <row r="297" spans="1:31" s="2" customFormat="1" x14ac:dyDescent="0.25">
      <c r="A297">
        <v>89</v>
      </c>
      <c r="B297">
        <v>10</v>
      </c>
      <c r="C297">
        <v>21</v>
      </c>
      <c r="D297">
        <v>4</v>
      </c>
      <c r="E297">
        <v>1</v>
      </c>
      <c r="F297" s="3">
        <f>0+(614.1-52.4)+(0+(-0.626382--0.053448))+0-154--0.157080000000025</f>
        <v>407.28414600000002</v>
      </c>
      <c r="G297" s="3">
        <f>0+(658.1-89.3)+(0+(-0.671262--0.091086))+0-158.8--0.161976000000025</f>
        <v>409.58180000000004</v>
      </c>
      <c r="H297" s="3">
        <f>0+(634.9-85.3)+(0+(0.323799-0.043503))+0-149.4-0.0761939999999848</f>
        <v>400.40410200000008</v>
      </c>
      <c r="I297" s="3">
        <f>0+(601.6-57.5)+(0+(0.306816-0.029325))+0-146.7-0.0748169999999851</f>
        <v>397.60267400000009</v>
      </c>
      <c r="J297" s="3">
        <f>6.7+(598.5-56.7)+(0.006834+(0.61047-0.057834))+0-156.5-0.159630000000025</f>
        <v>392.39983999999998</v>
      </c>
      <c r="K297" s="3">
        <f>65.7+(539.2-67.8)+(-0.033507+(-0.274992--0.034578))+0-153.5--0.0782849999999844</f>
        <v>383.40436400000004</v>
      </c>
      <c r="L297" s="3">
        <f>100.9+(462.2-16.9)+(-0.308754+(-1.414332--0.051714))+0-149--0.455940000000017</f>
        <v>395.98456800000002</v>
      </c>
      <c r="M297" s="3">
        <f>143.3+(446.3-34.2)+(0+(0-0))+0-138.2-0</f>
        <v>417.2000000000001</v>
      </c>
      <c r="N297" s="3">
        <f>159.1+(493.6-48.5)+(-0.162282+(-0.503472--0.04947))+0-161.2--0.164424000000026</f>
        <v>442.54814000000016</v>
      </c>
      <c r="O297" s="3">
        <f>162.9+(529.9-86.6)+(-0.083079+(-0.270249--0.044166))+0-152.9--0.0779789999999845</f>
        <v>453.06881699999991</v>
      </c>
      <c r="P297" s="3">
        <f>164.5+(549.3-107.6)+(0.083895+(0.280143-0.054876))+0-151.7-0.0773669999999846</f>
        <v>454.73179499999998</v>
      </c>
      <c r="Q297" s="3">
        <f>161.1+(526.9-68.1)+(-0.246483+(-0.806157--0.104193))+0-159.5--0.244035000000009</f>
        <v>459.69558799999999</v>
      </c>
      <c r="R297" s="3">
        <f>159.6+(514.7-56.2)+(-0.40698+(-1.312485--0.14331))+0-160--0.407999999999977</f>
        <v>456.93184500000001</v>
      </c>
      <c r="S297" s="3">
        <f>158.9+(498.1-60.7)+(0+(0-0))+0-154.3-0</f>
        <v>442.00000000000006</v>
      </c>
      <c r="T297" s="3">
        <f>158.8+(478.5-74.6)+(0.080988+(0.244035-0.038046))+0-138-0.070379999999986</f>
        <v>424.91659700000002</v>
      </c>
      <c r="U297" s="3">
        <f>160.3+(485.9-78.6)+(0+(0-0))+0-148.4-0</f>
        <v>419.19999999999993</v>
      </c>
      <c r="V297" s="3">
        <f>150.5+(442.9-1.1)+(-0.076755+(-0.225879--0.000561))+0-160.5--0.0818549999999837</f>
        <v>431.57978199999997</v>
      </c>
      <c r="W297" s="3">
        <f>145.9+(490.6-0)+(0.074409+(0.250206-0))+0-160.4-0.0818039999999837</f>
        <v>476.34281100000004</v>
      </c>
      <c r="X297" s="3">
        <f>156.3+(492.7-0)+(-0.239139+(-0.753831-0))+0-165.4--0.25306200000001</f>
        <v>482.86009200000001</v>
      </c>
      <c r="Y297" s="3">
        <f>156.3+(478.5-1.2)+(-0.318852+(-0.97614--0.002448))+0-162.3--0.331091999999993</f>
        <v>470.338548</v>
      </c>
      <c r="Z297" s="3">
        <f>155.4+(495-26.5)+(-0.317016+(-1.0098--0.05406))+0-159.9--0.326195999999993</f>
        <v>463.05344000000002</v>
      </c>
      <c r="AA297" s="3">
        <f>166.5+(504.3-54.9)+(-0.33966+(-1.028772--0.111996))+0-159--0.324359999999993</f>
        <v>455.9679240000001</v>
      </c>
      <c r="AB297" s="3">
        <f>163.9+(516.6-95.1)+(-0.250767+(-0.790398--0.145503))+0-148.4--0.227052000000009</f>
        <v>436.33139</v>
      </c>
      <c r="AC297" s="3">
        <f>160.9+(526-133.6)+(-0.574413+(-1.87782--0.476952))+0-147.1--0.525147000000002</f>
        <v>404.74986599999994</v>
      </c>
      <c r="AD297">
        <f t="shared" si="4"/>
        <v>10378.178129</v>
      </c>
      <c r="AE297" s="3">
        <f>158+(480.6-0)+(0+(0-0))+0-140.2-0</f>
        <v>498.40000000000003</v>
      </c>
    </row>
    <row r="298" spans="1:31" s="2" customFormat="1" x14ac:dyDescent="0.25">
      <c r="A298">
        <v>89</v>
      </c>
      <c r="B298">
        <v>10</v>
      </c>
      <c r="C298">
        <v>22</v>
      </c>
      <c r="D298">
        <v>5</v>
      </c>
      <c r="E298">
        <v>1</v>
      </c>
      <c r="F298" s="3">
        <f>166.4+(532.5-153.4)+(0.169728+(0.54315-0.156468))+0-154.6-0.157692000000025</f>
        <v>391.29871800000001</v>
      </c>
      <c r="G298" s="3">
        <f>165.5+(548.4-164.4)+(0+(0-0))+0-165-0</f>
        <v>384.5</v>
      </c>
      <c r="H298" s="3">
        <f>165.5+(551.7-184.3)+(0+(0-0))+0-152.1-0</f>
        <v>380.80000000000007</v>
      </c>
      <c r="I298" s="3">
        <f>165.4+(534.3-177.7)+(0+(0-0))+0-142.6-0</f>
        <v>379.4</v>
      </c>
      <c r="J298" s="3">
        <f>169.8+(520-154.5)+(0.43299+(1.326-0.393975))+0-153.3-0.390914999999978</f>
        <v>382.97409999999996</v>
      </c>
      <c r="K298" s="3">
        <f>165.9+(479.5-110.4)+(0+(0-0))+0-154.2-0</f>
        <v>380.8</v>
      </c>
      <c r="L298" s="3">
        <f>164.2+(466.9-92.1)+(-0.083742+(-0.238119--0.046971))+0-151.5--0.0772649999999846</f>
        <v>387.30237499999998</v>
      </c>
      <c r="M298" s="3">
        <f>167+(475.7-82.9)+(0.08517+(0.242607-0.042279))+0-148.4-0.0756839999999849</f>
        <v>411.60981399999997</v>
      </c>
      <c r="N298" s="3">
        <f>166.4+(499.5-80.7)+(0.339456+(1.01898-0.164628))+0-157-0.320279999999993</f>
        <v>429.07352800000007</v>
      </c>
      <c r="O298" s="3">
        <f>161.6+(468.2-54.9)+(0.164832+(0.477564-0.055998))+0-145.8-0.148716000000023</f>
        <v>429.53768199999996</v>
      </c>
      <c r="P298" s="3">
        <f>161.6+(446.5-23.5)+(0.329664+(0.91086-0.04794))+0-153.7-0.313547999999993</f>
        <v>431.77903600000008</v>
      </c>
      <c r="Q298" s="3">
        <f>156.4+(449.9-13.5)+(0+(0-0))+0-150.7-0</f>
        <v>442.09999999999997</v>
      </c>
      <c r="R298" s="3">
        <f>154.4+(461.6-14.7)+(-0.236232+(-0.706248--0.022491))+0-147.8--0.226134000000009</f>
        <v>452.80614500000007</v>
      </c>
      <c r="S298" s="3">
        <f>153.6+(476.9-21.1)+(-0.313344+(-0.972876--0.043044))+0-166.8--0.340271999999993</f>
        <v>441.69709599999999</v>
      </c>
      <c r="T298" s="3">
        <f>156.3+(467.1-60.8)+(0+(0-0))+0-143.6-0</f>
        <v>419</v>
      </c>
      <c r="U298" s="3">
        <f>160.6+(486.4-73.7)+(-0.163812+(-0.496128--0.075174))+0-154.2--0.157284000000025</f>
        <v>418.67251800000003</v>
      </c>
      <c r="V298" s="3">
        <f>159.6+(483.2-69)+(-0.488376+(-1.478592--0.21114))+0-131.4--0.402084000000015</f>
        <v>441.04625600000003</v>
      </c>
      <c r="W298" s="3">
        <f>163.2+(461.7-0)+(-0.083232+(-0.235467-0))+0-149.7--0.0763469999999848</f>
        <v>474.95764799999995</v>
      </c>
      <c r="X298" s="3">
        <f>161.9+(484.7-0)+(-0.247707+(-0.741591-0))+0-164.5--0.251685000000009</f>
        <v>481.36238700000007</v>
      </c>
      <c r="Y298" s="3">
        <f>160.1+(477.4-0)+(-0.163302+(-0.486948-0))+0-161.4--0.164628000000026</f>
        <v>475.61437800000004</v>
      </c>
      <c r="Z298" s="3">
        <f>158.9+(506.4-18.7)+(-0.081039+(-0.258264--0.009537))+0-179.2--0.0913919999999818</f>
        <v>467.16162600000007</v>
      </c>
      <c r="AA298" s="3">
        <f>159.2+(520.1-57.8)+(-0.081192+(-0.265251--0.029478))+0-159.5--0.0813449999999838</f>
        <v>461.76438000000002</v>
      </c>
      <c r="AB298" s="3">
        <f>158.9+(518-71.9)+(-0.081039+(-0.26418--0.036669))+0-163--0.0831299999999835</f>
        <v>441.77458000000001</v>
      </c>
      <c r="AC298" s="3">
        <f>160.9+(542.9-127.6)+(-0.164118+(-0.553758--0.130152))+0-154.3--0.157386000000025</f>
        <v>421.46966199999997</v>
      </c>
      <c r="AD298">
        <f t="shared" si="4"/>
        <v>10228.501929</v>
      </c>
      <c r="AE298" s="3">
        <f>164+(458-0)+(0+(0-0))+0-157.4-0</f>
        <v>464.6</v>
      </c>
    </row>
    <row r="299" spans="1:31" s="2" customFormat="1" x14ac:dyDescent="0.25">
      <c r="A299">
        <v>89</v>
      </c>
      <c r="B299">
        <v>10</v>
      </c>
      <c r="C299">
        <v>23</v>
      </c>
      <c r="D299">
        <v>6</v>
      </c>
      <c r="E299">
        <v>1</v>
      </c>
      <c r="F299" s="3">
        <f>160.7+(496.4-116.4)+(-0.245871+(-0.759492--0.178092))+0-155.9--0.238527000000009</f>
        <v>384.21125600000011</v>
      </c>
      <c r="G299" s="3">
        <f>162.2+(429.1-61.9)+(0+(0-0))+0-155-0</f>
        <v>374.40000000000009</v>
      </c>
      <c r="H299" s="3">
        <f>163+(437.3-74.6)+(0.08313+(0.223023-0.038046))+0-159.2-0.0811919999999838</f>
        <v>366.68691500000006</v>
      </c>
      <c r="I299" s="3">
        <f>162.8+(426.3-74.5)+(0.083028+(0.217413-0.037995))+0-155.1-0.0791009999999843</f>
        <v>359.68334499999997</v>
      </c>
      <c r="J299" s="3">
        <f>164+(419.1-48.2)+(0.16728+(0.427482-0.049164))+0-158.4-0.161568000000025</f>
        <v>376.88403000000011</v>
      </c>
      <c r="K299" s="3">
        <f>164.8+(388.9-33.8)+(0.168096+(0.396678-0.034476))+0-140.9-0.143718000000022</f>
        <v>379.38657999999998</v>
      </c>
      <c r="L299" s="3">
        <f>162.3+(381-0)+(0+(0-0))+0-153-0</f>
        <v>390.29999999999995</v>
      </c>
      <c r="M299" s="3">
        <f>161.8+(395.6-0)+(-0.082518+(-0.201756-0))+0-150.6--0.0768059999999847</f>
        <v>406.59253200000006</v>
      </c>
      <c r="N299" s="3">
        <f>166.1+(391-3.7)+(-0.169422+(-0.39882--0.003774))+0-141.7--0.144534000000023</f>
        <v>411.28006599999998</v>
      </c>
      <c r="O299" s="3">
        <f>171.3+(407.6-2.2)+(0.087363+(0.207876-0.001122))+0-164.7-0.0839969999999833</f>
        <v>412.21012000000007</v>
      </c>
      <c r="P299" s="3">
        <f>167.6+(420-5.5)+(0.170952+(0.4284-0.00561))+0-163.8-0.167076000000026</f>
        <v>418.72666600000002</v>
      </c>
      <c r="Q299" s="3">
        <f>166.8+(412.8-6.7)+(-0.085068+(-0.210528--0.003417))+0-158.4--0.0807839999999839</f>
        <v>414.28860500000008</v>
      </c>
      <c r="R299" s="3">
        <f>167.7+(401.2-0)+(-0.085527+(-0.204612-0))+0-143--0.0729299999999855</f>
        <v>425.68279100000001</v>
      </c>
      <c r="S299" s="3">
        <f>164.4+(384.7-1.6)+(0+(0-0))+0-135.7-0</f>
        <v>411.8</v>
      </c>
      <c r="T299" s="3">
        <f>169.1+(361-0)+(-0.344964+(-0.73644-0))+0-135--0.275399999999994</f>
        <v>394.29399599999999</v>
      </c>
      <c r="U299" s="3">
        <f>173+(364-1)+(0+(0-0))+0-146.9-0</f>
        <v>389.1</v>
      </c>
      <c r="V299" s="3">
        <f>171+(366.7-0)+(-0.08721+(-0.187017-0))+0-148.3--0.075632999999985</f>
        <v>389.20140600000002</v>
      </c>
      <c r="W299" s="3">
        <f>172+(459.8-51)+(0+(0-0))+0-147.9-0</f>
        <v>432.9</v>
      </c>
      <c r="X299" s="3">
        <f>172+(456.9-8.1)+(-0.17544+(-0.466038--0.008262))+0-170.1--0.173502000000027</f>
        <v>450.24028600000003</v>
      </c>
      <c r="Y299" s="3">
        <f>173+(425.1-0)+(-0.17646+(-0.433602-0))+0-158.6--0.161772000000025</f>
        <v>439.05171000000007</v>
      </c>
      <c r="Z299" s="3">
        <f>170+(432.6-0)+(-0.1734+(-0.441252-0))+0-167--0.170340000000027</f>
        <v>435.15568800000005</v>
      </c>
      <c r="AA299" s="3">
        <f>168+(432.3-0)+(0.17136+(0.440946-0))+0-166.3-0.169626000000027</f>
        <v>434.44267999999988</v>
      </c>
      <c r="AB299" s="3">
        <f>167+(415.3-0)+(-0.17034+(-0.423606-0))+0-155.8--0.158916000000025</f>
        <v>426.06497000000002</v>
      </c>
      <c r="AC299" s="3">
        <f>165+(426.9-28.3)+(-0.25245+(-0.653157--0.043299))+0-157.7--0.241281000000009</f>
        <v>405.27897299999995</v>
      </c>
      <c r="AD299">
        <f t="shared" si="4"/>
        <v>9727.8626150000018</v>
      </c>
      <c r="AE299" s="3">
        <f>175+(494.4-38.8)+(0+(0-0))+0-179.7-0</f>
        <v>450.89999999999992</v>
      </c>
    </row>
    <row r="300" spans="1:31" s="2" customFormat="1" x14ac:dyDescent="0.25">
      <c r="A300">
        <v>89</v>
      </c>
      <c r="B300">
        <v>10</v>
      </c>
      <c r="C300">
        <v>24</v>
      </c>
      <c r="D300">
        <v>7</v>
      </c>
      <c r="E300">
        <v>1</v>
      </c>
      <c r="F300" s="3">
        <f>171+(427.4-39.2)+(0+(0-0))+0-157.1-0</f>
        <v>402.1</v>
      </c>
      <c r="G300" s="3">
        <f>171+(468.4-72.9)+(-0.26163+(-0.716652--0.111537))+0-159.2--0.243576000000009</f>
        <v>406.67683099999999</v>
      </c>
      <c r="H300" s="3">
        <f>171+(395.4-13.8)+(-0.08721+(-0.201654--0.007038))+0-155.7--0.0794069999999842</f>
        <v>396.6975809999999</v>
      </c>
      <c r="I300" s="3">
        <f>171+(401.9-45.2)+(0.08721+(0.204969-0.023052))+0-139.3-0.0710429999999859</f>
        <v>388.59808400000009</v>
      </c>
      <c r="J300" s="3">
        <f>171+(414.6-28.6)+(0.08721+(0.211446-0.014586))+0-153.1-0.0780809999999845</f>
        <v>404.10598900000002</v>
      </c>
      <c r="K300" s="3">
        <f>171+(395.4-7.4)+(0.34884+(0.806616-0.015096))+0-154.2-0.314567999999993</f>
        <v>405.62579199999999</v>
      </c>
      <c r="L300" s="3">
        <f>119+(364.3-0)+(-0.18207+(-0.557379-0))+0-132.6--0.202878000000008</f>
        <v>350.16342900000001</v>
      </c>
      <c r="M300" s="3">
        <f>118+(377.9-0)+(-0.24072+(-0.770916-0))+0-156--0.318239999999993</f>
        <v>339.20660399999997</v>
      </c>
      <c r="N300" s="3">
        <f>119+(364.8-0)+(0.18207+(0.558144-0))+0-143.3-0.219249000000008</f>
        <v>341.02096499999999</v>
      </c>
      <c r="O300" s="3">
        <f>116+(366.2-0)+(-0.11832+(-0.373524-0))+0-135--0.137700000000022</f>
        <v>346.84585599999997</v>
      </c>
      <c r="P300" s="3">
        <f>122+(391.1-0)+(-0.12444+(-0.398922-0))+0-152.6--0.155652000000024</f>
        <v>360.13229000000001</v>
      </c>
      <c r="Q300" s="3">
        <f>120+(400.6-5.2)+(-0.1836+(-0.612918--0.007956))+0-155.5--0.237915000000009</f>
        <v>359.34935300000012</v>
      </c>
      <c r="R300" s="3">
        <f>120+(406.4-11)+(-0.2448+(-0.829056--0.02244))+0-161.4--0.329255999999993</f>
        <v>353.27783999999997</v>
      </c>
      <c r="S300" s="3">
        <f>119+(395.7-20.7)+(-0.18207+(-0.605421--0.031671))+0-146.8--0.224604000000008</f>
        <v>346.66878400000002</v>
      </c>
      <c r="T300" s="3">
        <f>130+(388.8-29.3)+(-0.0663+(-0.198288--0.014943))+0-140.9--0.0718589999999857</f>
        <v>348.422214</v>
      </c>
      <c r="U300" s="3">
        <f>172+(374.5-63.1)+(-0.4386+(-0.954975--0.160905))+0-133.3--0.339914999999981</f>
        <v>349.20724499999994</v>
      </c>
      <c r="V300" s="3">
        <f>144+(408.2-62.9)+(-0.3672+(-1.04091--0.160395))+0-150.3--0.383264999999978</f>
        <v>338.13554999999997</v>
      </c>
      <c r="W300" s="3">
        <f>137+(486.6-73.2)+(-0.20961+(-0.744498--0.111996))+0-160.4--0.245412000000009</f>
        <v>389.40330000000006</v>
      </c>
      <c r="X300" s="3">
        <f>150+(459.3-38.7)+(-0.0765+(-0.234243--0.019737))+0-155.3--0.0792029999999843</f>
        <v>415.08819699999998</v>
      </c>
      <c r="Y300" s="3">
        <f>144+(440.9-19.2)+(-0.22032+(-0.674577--0.029376))+0-165.6--0.25336800000001</f>
        <v>399.4878470000001</v>
      </c>
      <c r="Z300" s="3">
        <f>151+(414.2-0)+(0.07701+(0.211242-0))+0-158.5-0.0808349999999839</f>
        <v>406.90741700000012</v>
      </c>
      <c r="AA300" s="3">
        <f>150+(420-0)+(-0.0765+(-0.2142-0))+0-161.7--0.0824669999999836</f>
        <v>408.091767</v>
      </c>
      <c r="AB300" s="3">
        <f>152+(410.1-0)+(-0.23256+(-0.627453-0))+0-160--0.244800000000009</f>
        <v>401.48478700000004</v>
      </c>
      <c r="AC300" s="3">
        <f>152+(400.9-4.3)+(0.15504+(0.408918-0.004386))+0-163.3-0.166566000000026</f>
        <v>385.69300599999985</v>
      </c>
      <c r="AD300">
        <f t="shared" si="4"/>
        <v>9042.3907280000003</v>
      </c>
      <c r="AE300" s="3">
        <f>151+(448.3-40.1)+(0+(0-0))+0-141.8-0</f>
        <v>417.40000000000003</v>
      </c>
    </row>
    <row r="301" spans="1:31" s="2" customFormat="1" x14ac:dyDescent="0.25">
      <c r="A301">
        <v>89</v>
      </c>
      <c r="B301">
        <v>10</v>
      </c>
      <c r="C301">
        <v>25</v>
      </c>
      <c r="D301">
        <v>1</v>
      </c>
      <c r="E301">
        <v>1</v>
      </c>
      <c r="F301" s="3">
        <f>171+(373.8-12.1)+(-0.26163+(-0.571914--0.018513))+0-150.8--0.230724000000009</f>
        <v>381.31569300000007</v>
      </c>
      <c r="G301" s="3">
        <f>171+(339.8-3.5)+(0+(0-0))+0-132.9-0</f>
        <v>374.4</v>
      </c>
      <c r="H301" s="3">
        <f>171+(354.3-12.5)+(-0.17442+(-0.361386--0.01275))+0-140--0.142800000000022</f>
        <v>372.41974399999998</v>
      </c>
      <c r="I301" s="3">
        <f>171+(381.8-11)+(0.17442+(0.389436-0.01122))+0-155.5-0.158610000000025</f>
        <v>386.69402599999995</v>
      </c>
      <c r="J301" s="3">
        <f>171+(346.1-1.9)+(0.17442+(0.353022-0.001938))+0-138.8-0.141576000000022</f>
        <v>376.78392799999995</v>
      </c>
      <c r="K301" s="3">
        <f>171+(366-0)+(-0.17442+(-0.37332-0))+0-153--0.156060000000024</f>
        <v>383.60832000000005</v>
      </c>
      <c r="L301" s="3">
        <f>133+(387.9-0)+(-0.20349+(-0.593487-0))+0-147.1--0.225063000000008</f>
        <v>373.22808600000002</v>
      </c>
      <c r="M301" s="3">
        <f>138+(417.5-0)+(-0.07038+(-0.212925-0))+0-158.1--0.080630999999984</f>
        <v>397.19732599999992</v>
      </c>
      <c r="N301" s="3">
        <f>139+(426.3-0)+(0.07089+(0.217413-0))+0-147.4-0.075173999999985</f>
        <v>418.11312900000001</v>
      </c>
      <c r="O301" s="3">
        <f>141+(417.1-0)+(0.07191+(0.212721-0))+0-133.2-0.0679319999999865</f>
        <v>425.11669900000004</v>
      </c>
      <c r="P301" s="3">
        <f>138+(422.4-8.1)+(0+(0-0))+0-120.3-0</f>
        <v>431.99999999999994</v>
      </c>
      <c r="Q301" s="3">
        <f>138+(432.7-2.8)+(0+(0-0))+0-129.5-0</f>
        <v>438.4</v>
      </c>
      <c r="R301" s="3">
        <f>142+(423.9-0)+(-0.07242+(-0.216189-0))+0-113.4--0.0578339999999885</f>
        <v>452.26922500000006</v>
      </c>
      <c r="S301" s="3">
        <f>138+(448.2-0)+(0+(0-0))+0-146.2-0</f>
        <v>440.00000000000006</v>
      </c>
      <c r="T301" s="3">
        <f>143+(434.2-0)+(0.07293+(0.221442-0))+0-150.9-0.0769589999999847</f>
        <v>426.51741300000003</v>
      </c>
      <c r="U301" s="3">
        <f>147+(430.4-0)+(0.07497+(0.219504-0))+0-151.5-0.0772649999999846</f>
        <v>426.117209</v>
      </c>
      <c r="V301" s="3">
        <f>139+(447.6-0)+(-0.07089+(-0.228276-0))+0-147.5--0.075224999999985</f>
        <v>438.876059</v>
      </c>
      <c r="W301" s="3">
        <f>138+(501-0)+(0.07038+(0.25551-0))+0-158-0.080579999999984</f>
        <v>481.24530999999996</v>
      </c>
      <c r="X301" s="3">
        <f>139+(501.8-0)+(-0.28356+(-1.023672-0))+0-162.3--0.331091999999993</f>
        <v>477.52385999999996</v>
      </c>
      <c r="Y301" s="3">
        <f>140+(489.2-0)+(-0.0714+(-0.249492-0))+0-161.3--0.0822629999999836</f>
        <v>467.66137100000009</v>
      </c>
      <c r="Z301" s="3">
        <f>137+(487.5-0)+(-0.34935+(-1.243125-0))+0-160.1--0.408254999999977</f>
        <v>463.21577999999994</v>
      </c>
      <c r="AA301" s="3">
        <f>137+(473.1-0)+(-0.20961+(-0.723843-0))+0-150.6--0.230418000000009</f>
        <v>458.796965</v>
      </c>
      <c r="AB301" s="3">
        <f>139+(445.2-0)+(-0.14178+(-0.454104-0))+0-146.8--0.149736000000023</f>
        <v>436.9538520000001</v>
      </c>
      <c r="AC301" s="3">
        <f>137+(430.8-6.7)+(-0.34935+(-1.09854--0.017085))+0-145.4--0.370769999999979</f>
        <v>414.63996500000007</v>
      </c>
      <c r="AD301">
        <f t="shared" si="4"/>
        <v>10143.09396</v>
      </c>
      <c r="AE301" s="3">
        <f>133+(545.6-0)+(0+(0-0))+0-193-0</f>
        <v>485.6</v>
      </c>
    </row>
    <row r="302" spans="1:31" s="2" customFormat="1" x14ac:dyDescent="0.25">
      <c r="A302">
        <v>89</v>
      </c>
      <c r="B302">
        <v>10</v>
      </c>
      <c r="C302">
        <v>26</v>
      </c>
      <c r="D302">
        <v>2</v>
      </c>
      <c r="E302">
        <v>1</v>
      </c>
      <c r="F302" s="3">
        <f>139.5+(406.6-0)+(-0.071145+(-0.207366-0))+0-148.4--0.0756839999999849</f>
        <v>397.49717300000003</v>
      </c>
      <c r="G302" s="3">
        <f>139+(401.4-0)+(-0.14178+(-0.409428-0))+0-152.5--0.155550000000024</f>
        <v>387.50434200000001</v>
      </c>
      <c r="H302" s="3">
        <f>138+(404.1-1.8)+(-0.21114+(-0.618273--0.002754))+0-158.4--0.242352000000009</f>
        <v>381.31569300000001</v>
      </c>
      <c r="I302" s="3">
        <f>139+(399.3-7.5)+(-0.14178+(-0.407286--0.00765))+0-151.5--0.154530000000024</f>
        <v>378.91311399999995</v>
      </c>
      <c r="J302" s="3">
        <f>135.3+(407.3-10)+(-0.345015+(-1.038615--0.0255))+0-154--0.392699999999978</f>
        <v>377.63457000000005</v>
      </c>
      <c r="K302" s="3">
        <f>141.7+(395.3-0)+(0.144534+(0.403206-0))+0-156.6-0.159732000000025</f>
        <v>380.78800799999993</v>
      </c>
      <c r="L302" s="3">
        <f>135.2+(409-0)+(-0.413712+(-1.25154-0))+0-147.5--0.451350000000017</f>
        <v>395.48609800000003</v>
      </c>
      <c r="M302" s="3">
        <f>149.8+(409.2-3.8)+(-0.076398+(-0.208692--0.001938))+0-135.7--0.0692069999999862</f>
        <v>419.28605500000009</v>
      </c>
      <c r="N302" s="3">
        <f>154.6+(423.7-3.2)+(-0.315384+(-0.864348--0.006528))+0-138.4--0.282335999999994</f>
        <v>435.80913199999998</v>
      </c>
      <c r="O302" s="3">
        <f>208.9+(373.3-0)+(0+(0-0))+0-135.8-0</f>
        <v>446.40000000000003</v>
      </c>
      <c r="P302" s="3">
        <f>274.8+(338.8-6)+(-0.280296+(-0.345576--0.00612))+0-141.8--0.144636000000023</f>
        <v>465.32488400000011</v>
      </c>
      <c r="Q302" s="3">
        <f>168.5+(445.7-0)+(-0.17187+(-0.454614-0))+0-146.4--0.149328000000023</f>
        <v>467.32284400000009</v>
      </c>
      <c r="R302" s="3">
        <f>146.1+(460.5-0)+(0+(0-0))+0-98-0</f>
        <v>508.6</v>
      </c>
      <c r="S302" s="3">
        <f>144.9+(447.4-0)+(-0.073899+(-0.228174-0))+0-95--0.0484499999999904</f>
        <v>497.04637700000001</v>
      </c>
      <c r="T302" s="3">
        <f>143.4+(427.1-0)+(-0.146268+(-0.435642-0))+0-95--0.0969000000000152</f>
        <v>475.01499000000001</v>
      </c>
      <c r="U302" s="3">
        <f>145.9+(412.5-0)+(-0.148818+(-0.42075-0))+0-106--0.108120000000017</f>
        <v>451.93855200000002</v>
      </c>
      <c r="V302" s="3">
        <f>148.5+(402.1-0)+(-0.30294+(-0.820284-0))+0-113--0.230519999999995</f>
        <v>436.70729599999999</v>
      </c>
      <c r="W302" s="3">
        <f>141.4+(488.3-0)+(0+(0-0))+0-116-0</f>
        <v>513.70000000000005</v>
      </c>
      <c r="X302" s="3">
        <f>137.7+(494.1-0)+(-0.070227+(-0.251991-0))+0-98--0.0499799999999901</f>
        <v>533.52776199999994</v>
      </c>
      <c r="Y302" s="3">
        <f>137.4+(495.6-0)+(-0.35037+(-1.26378-0))+0-104--0.265199999999985</f>
        <v>527.65104999999994</v>
      </c>
      <c r="Z302" s="3">
        <f>139.7+(457.7-0)+(-0.213741+(-0.700281-0))+0-86--0.131580000000005</f>
        <v>510.61755799999992</v>
      </c>
      <c r="AA302" s="3">
        <f>139.2+(468.4-0)+(-0.283968+(-0.955536-0))+0-104--0.212159999999995</f>
        <v>502.57265599999988</v>
      </c>
      <c r="AB302" s="3">
        <f>140.3+(436.2-0)+(0+(0-0))+0-87-0</f>
        <v>489.5</v>
      </c>
      <c r="AC302" s="3">
        <f>134.7+(429.7-0)+(-0.480879+(-1.534029-0))+0-96--0.342720000000001</f>
        <v>466.72781199999997</v>
      </c>
      <c r="AD302">
        <f t="shared" si="4"/>
        <v>10846.885966</v>
      </c>
      <c r="AE302" s="3">
        <f>136+(511.3-0)+(0+(0-0))+0-67-0</f>
        <v>580.29999999999995</v>
      </c>
    </row>
    <row r="303" spans="1:31" s="2" customFormat="1" x14ac:dyDescent="0.25">
      <c r="A303">
        <v>89</v>
      </c>
      <c r="B303">
        <v>10</v>
      </c>
      <c r="C303">
        <v>27</v>
      </c>
      <c r="D303">
        <v>3</v>
      </c>
      <c r="E303">
        <v>1</v>
      </c>
      <c r="F303" s="3">
        <f>139.6+(437.9-8.5)+(-0.142392+(-0.446658--0.00867))+0-114--0.116280000000018</f>
        <v>454.53590000000003</v>
      </c>
      <c r="G303" s="3">
        <f>137.5+(434.1-26.8)+(-0.350625+(-1.106955--0.06834))+0-95--0.242249999999986</f>
        <v>448.65300999999999</v>
      </c>
      <c r="H303" s="3">
        <f>143.1+(458.4-55.1)+(0.145962+(0.467568-0.056202))+0-106-0.108120000000017</f>
        <v>440.84920799999992</v>
      </c>
      <c r="I303" s="3">
        <f>140.9+(452.2-65.5)+(0+(0-0))+0-92-0</f>
        <v>435.6</v>
      </c>
      <c r="J303" s="3">
        <f>141.9+(441.1-53)+(0.072369+(0.224961-0.02703))+0-94-0.0479399999999905</f>
        <v>436.22236000000004</v>
      </c>
      <c r="K303" s="3">
        <f>137.9+(437.4-47.3)+(-0.351645+(-1.11537--0.120615))+0-80--0.203999999999988</f>
        <v>446.85759999999999</v>
      </c>
      <c r="L303" s="3">
        <f>141.3+(393.9-0)+(0+(0-0))+0-93-0</f>
        <v>442.20000000000005</v>
      </c>
      <c r="M303" s="3">
        <f>139.1+(409.3-0)+(-0.212823+(-0.626229-0))+0-87--0.133110000000005</f>
        <v>460.69405799999993</v>
      </c>
      <c r="N303" s="3">
        <f>139.3+(433.4-0)+(-0.213129+(-0.663102-0))+0-96--0.146880000000006</f>
        <v>475.97064900000009</v>
      </c>
      <c r="O303" s="3">
        <f>157.1+(433.3-0)+(0.080121+(0.220983-0))+0-102-0.0520199999999897</f>
        <v>488.64908400000002</v>
      </c>
      <c r="P303" s="3">
        <f>201.7+(412.3-0)+(-0.514335+(-1.051365-0))+0-150.2--0.383009999999978</f>
        <v>462.61730999999997</v>
      </c>
      <c r="Q303" s="3">
        <f>250+(377.6-13.9)+(0.1275+(0.192576-0.007089))+0-139.6-0.0711959999999858</f>
        <v>474.34179100000006</v>
      </c>
      <c r="R303" s="3">
        <f>217.4+(410.7-9.8)+(-0.55437+(-1.047285--0.02499))+0-143.2--0.365159999999979</f>
        <v>473.88849499999992</v>
      </c>
      <c r="S303" s="3">
        <f>140.6+(464.9-9.8)+(0+(0-0))+0-140.6-0</f>
        <v>455.09999999999991</v>
      </c>
      <c r="T303" s="3">
        <f>129+(424.2-0)+(-0.19737+(-0.649026-0))+0-134.3--0.205479000000008</f>
        <v>418.25908300000003</v>
      </c>
      <c r="U303" s="3">
        <f>135.6+(442.9-0)+(-0.138312+(-0.451758-0))+0-159.3--0.162486000000025</f>
        <v>418.77241600000002</v>
      </c>
      <c r="V303" s="3">
        <f>147.5+(427-0)+(-0.075225+(-0.21777-0))+0-150.9--0.0769589999999847</f>
        <v>423.38396399999999</v>
      </c>
      <c r="W303" s="3">
        <f>147.1+(505.5-0)+(-0.075021+(-0.257805-0))+0-167.9--0.085628999999983</f>
        <v>484.45280300000007</v>
      </c>
      <c r="X303" s="3">
        <f>151.8+(511.7-0)+(-0.232254+(-0.782901-0))+0-161.2--0.246636000000009</f>
        <v>501.53148099999999</v>
      </c>
      <c r="Y303" s="3">
        <f>151.2+(504.6-0)+(-0.231336+(-0.772038-0))+0-168.4--0.25765200000001</f>
        <v>486.65427799999998</v>
      </c>
      <c r="Z303" s="3">
        <f>147.1+(487.7-0)+(0+(0-0))+0-156.6-0</f>
        <v>478.19999999999993</v>
      </c>
      <c r="AA303" s="3">
        <f>147.4+(496-7.7)+(0.075174+(0.25296-0.003927))+0-159.2-0.0811919999999838</f>
        <v>476.74301500000007</v>
      </c>
      <c r="AB303" s="3">
        <f>142.2+(517.2-45.2)+(-0.145044+(-0.527544--0.046104))+0-157.1--0.160242000000025</f>
        <v>456.63375800000006</v>
      </c>
      <c r="AC303" s="3">
        <f>141.7+(545-97.7)+(-0.144534+(-0.5559--0.099654))+0-158.4--0.161568000000025</f>
        <v>430.16078800000008</v>
      </c>
      <c r="AD303">
        <f t="shared" si="4"/>
        <v>10970.971050999999</v>
      </c>
      <c r="AE303" s="3">
        <f>134+(503.1-0)+(0+(0-0))+0-160-0</f>
        <v>477.1</v>
      </c>
    </row>
    <row r="304" spans="1:31" s="2" customFormat="1" x14ac:dyDescent="0.25">
      <c r="A304">
        <v>89</v>
      </c>
      <c r="B304">
        <v>10</v>
      </c>
      <c r="C304">
        <v>28</v>
      </c>
      <c r="D304">
        <v>4</v>
      </c>
      <c r="E304">
        <v>1</v>
      </c>
      <c r="F304" s="3">
        <f>138.9+(559.4-121.4)+(-0.425034+(-1.711764--0.371484))+0-162.3--0.496638000000019</f>
        <v>413.331324</v>
      </c>
      <c r="G304" s="3">
        <f>142.3+(565.6-147.3)+(-0.072573+(-0.288456--0.075123))+0-155.3--0.0792029999999843</f>
        <v>405.09329700000006</v>
      </c>
      <c r="H304" s="3">
        <f>143.4+(538.1-116.4)+(-0.073134+(-0.274431--0.059364))+0-167.4--0.085373999999983</f>
        <v>397.49717300000009</v>
      </c>
      <c r="I304" s="3">
        <f>141.2+(525.3-108.8)+(-0.216036+(-0.803709--0.166464))+0-159.4--0.243882000000009</f>
        <v>397.6906009999999</v>
      </c>
      <c r="J304" s="3">
        <f>143.7+(515.4-107.1)+(0+(0-0))+0-157.4-0</f>
        <v>394.6</v>
      </c>
      <c r="K304" s="3">
        <f>143.8+(505.1-90.4)+(0+(0-0))+0-163.3-0</f>
        <v>395.2</v>
      </c>
      <c r="L304" s="3">
        <f>139.9+(459.8-40)+(-0.356745+(-1.17249--0.102))+0-146.4--0.373319999999979</f>
        <v>412.24608500000005</v>
      </c>
      <c r="M304" s="3">
        <f>144.4+(442.8-4.2)+(0.147288+(0.451656-0.004284))+0-166.9-0.170238000000027</f>
        <v>416.52442199999996</v>
      </c>
      <c r="N304" s="3">
        <f>144.4+(495.5-56)+(0.073644+(0.252705-0.02856))+0-147.3-0.0751229999999851</f>
        <v>436.82266599999997</v>
      </c>
      <c r="O304" s="3">
        <f>141+(526-74.4)+(-0.21573+(-0.80478--0.113832))+0-151.2--0.231336000000009</f>
        <v>440.72465799999998</v>
      </c>
      <c r="P304" s="3">
        <f>142.4+(578.6-113.4)+(-0.072624+(-0.295086--0.057834))+0-141.4--0.0721139999999857</f>
        <v>465.96223800000001</v>
      </c>
      <c r="Q304" s="3">
        <f>142.9+(583.2-109.2)+(-0.145758+(-0.594864--0.111384))+0-145.7--0.148614000000023</f>
        <v>470.71937600000012</v>
      </c>
      <c r="R304" s="3">
        <f>140.8+(572.8-108.3)+(-0.287232+(-1.168512--0.220932))+0-142.4--0.290495999999994</f>
        <v>461.95568399999996</v>
      </c>
      <c r="S304" s="3">
        <f>143.5+(561.1-94.3)+(0+(0-0))+0-157.8-0</f>
        <v>452.49999999999994</v>
      </c>
      <c r="T304" s="3">
        <f>118.8+(514.6-58.2)+(0+(0-0))+0-152.4-0</f>
        <v>422.80000000000007</v>
      </c>
      <c r="U304" s="3">
        <f>0+(573.1-7.2)+(0+(-0.584562--0.007344))+0-148.7--0.151674000000024</f>
        <v>416.77445599999999</v>
      </c>
      <c r="V304" s="3">
        <f>97.4+(537.4-46.2)+(-0.298044+(-1.644444--0.141372))+0-144.8--0.443088000000017</f>
        <v>442.44197200000002</v>
      </c>
      <c r="W304" s="3">
        <f>166.9+(545.3-96.9)+(-0.170238+(-0.556206--0.098838))+0-130.3--0.132906000000021</f>
        <v>484.50529999999998</v>
      </c>
      <c r="X304" s="3">
        <f>226+(548.8-114.5)+(-0.34578+(-0.839664--0.175185))+0-152.4--0.233172000000009</f>
        <v>507.12291299999998</v>
      </c>
      <c r="Y304" s="3">
        <f>224.8+(543.7-125.7)+(-0.229296+(-0.554574--0.128214))+0-149.8--0.152796000000024</f>
        <v>492.49714000000006</v>
      </c>
      <c r="Z304" s="3">
        <f>224.8+(537.6-130.7)+(-0.343944+(-0.822528--0.199971))+0-153.1--0.234243000000009</f>
        <v>477.86774200000002</v>
      </c>
      <c r="AA304" s="3">
        <f>252.1+(611.9-231.2)+(-0.128571+(-0.312069--0.117912))+0-146.4--0.0746639999999851</f>
        <v>486.15193599999998</v>
      </c>
      <c r="AB304" s="3">
        <f>245.8+(671.8-307.6)+(-0.125358+(-0.342618--0.156876))+0-147.6--0.075275999999985</f>
        <v>462.16417599999994</v>
      </c>
      <c r="AC304" s="3">
        <f>152.8+(679.8-243)+(-0.233784+(-1.040094--0.37179))+0-150.8--0.230724000000009</f>
        <v>438.12863599999986</v>
      </c>
      <c r="AD304">
        <f t="shared" si="4"/>
        <v>10591.321794999998</v>
      </c>
      <c r="AE304" s="3">
        <f>241+(553.5-133.9)+(0+(0-0))+0-150.3-0</f>
        <v>510.3</v>
      </c>
    </row>
    <row r="305" spans="1:31" s="2" customFormat="1" x14ac:dyDescent="0.25">
      <c r="A305">
        <v>89</v>
      </c>
      <c r="B305">
        <v>10</v>
      </c>
      <c r="C305">
        <v>29</v>
      </c>
      <c r="D305">
        <v>5</v>
      </c>
      <c r="E305">
        <v>1</v>
      </c>
      <c r="F305" s="3">
        <f>152.2+(672-268.5)+(-0.38811+(-1.7136--0.684675))+0-137.2--0.34985999999998</f>
        <v>417.43282499999998</v>
      </c>
      <c r="G305" s="3">
        <f>144+(683.5-269.1)+(0.22032+(1.045755-0.411723))+0-100-0.153000000000006</f>
        <v>459.10135199999991</v>
      </c>
      <c r="H305" s="3">
        <f>138.1+(685.1-273.9)+(-0.211293+(-1.048203--0.419067))+0-98--0.149940000000006</f>
        <v>450.60951100000011</v>
      </c>
      <c r="I305" s="3">
        <f>140.1+(699-268.9)+(0.071451+(0.35649-0.137139))+0-98-0.0499799999999901</f>
        <v>472.44082200000003</v>
      </c>
      <c r="J305" s="3">
        <f>135.6+(702.1-266.5)+(-0.34578+(-1.790355--0.679575))+0-83--0.211649999999988</f>
        <v>486.95509000000004</v>
      </c>
      <c r="K305" s="3">
        <f>140.7+(677.7-247.4)+(0.071757+(0.345627-0.126174))+0-67-0.0341699999999932</f>
        <v>504.25703999999996</v>
      </c>
      <c r="L305" s="3">
        <f>141.1+(605.2-157.3)+(0.071961+(0.308652-0.080223))+0-113-0.0576299999999885</f>
        <v>476.24276000000003</v>
      </c>
      <c r="M305" s="3">
        <f>143.1+(618.5-159.4)+(0+(0-0))+0-109-0</f>
        <v>493.20000000000005</v>
      </c>
      <c r="N305" s="3">
        <f>145.9+(711.7-229.9)+(0.223227+(1.088901-0.351747))+0-115-0.175950000000007</f>
        <v>513.48443099999997</v>
      </c>
      <c r="O305" s="3">
        <f>143.1+(666.4-185.8)+(0+(0-0))+0-104-0</f>
        <v>519.69999999999993</v>
      </c>
      <c r="P305" s="3">
        <f>140.6+(639.2-147.1)+(-0.286824+(-1.303968--0.300084))+0-117--0.238679999999995</f>
        <v>514.6479720000001</v>
      </c>
      <c r="Q305" s="3">
        <f>141.8+(697.7-201.7)+(-0.072318+(-0.355827--0.102867))+0-170--0.0866999999999827</f>
        <v>467.56142200000005</v>
      </c>
      <c r="R305" s="3">
        <f>140.2+(661.2-182)+(-0.214506+(-1.011636--0.27846))+0-107--0.163710000000006</f>
        <v>511.61602800000009</v>
      </c>
      <c r="S305" s="3">
        <f>141.9+(622-178.4)+(-0.144738+(-0.63444--0.181968))+0-110--0.112200000000018</f>
        <v>475.01499000000001</v>
      </c>
      <c r="T305" s="3">
        <f>143.4+(586.1-127.1)+(0+(0-0))+0-111-0</f>
        <v>491.4</v>
      </c>
      <c r="U305" s="3">
        <f>143.6+(542.8-88)+(0+(0-0))+0-107-0</f>
        <v>491.4</v>
      </c>
      <c r="V305" s="3">
        <f>145.1+(551.5-84.8)+(0+(0-0))+0-103-0</f>
        <v>508.79999999999995</v>
      </c>
      <c r="W305" s="3">
        <f>146+(591-101.3)+(-0.29784+(-1.20564--0.206652))+0-117--0.238679999999995</f>
        <v>517.64185200000009</v>
      </c>
      <c r="X305" s="3">
        <f>148.1+(658.4-133.3)+(-0.151062+(-0.671568--0.135966))+0-175.6--0.179112000000028</f>
        <v>497.09244799999999</v>
      </c>
      <c r="Y305" s="3">
        <f>142.1+(654.1-155.6)+(-0.362355+(-1.667955--0.39678))+0-151.1--0.385304999999978</f>
        <v>488.25177500000001</v>
      </c>
      <c r="Z305" s="3">
        <f>143.3+(643.7-147.6)+(0+(0-0))+0-166.9-0</f>
        <v>472.50000000000011</v>
      </c>
      <c r="AA305" s="3">
        <f>146.5+(584.5-101.6)+(0.14943+(0.59619-0.103632))+0-155.6-0.158712000000025</f>
        <v>474.28327599999989</v>
      </c>
      <c r="AB305" s="3">
        <f>144.2+(537.6-78.4)+(0.147084+(0.548352-0.079968))+0-154-0.157080000000025</f>
        <v>449.85838800000005</v>
      </c>
      <c r="AC305" s="3">
        <f>141.4+(459.3-31)+(-0.288456+(-0.936972--0.06324))+0-148--0.301919999999994</f>
        <v>420.83973200000003</v>
      </c>
      <c r="AD305">
        <f t="shared" si="4"/>
        <v>11574.331714</v>
      </c>
      <c r="AE305" s="3">
        <f>155+(648.2-151)+(0+(0-0))+0-175.1-0</f>
        <v>477.1</v>
      </c>
    </row>
    <row r="306" spans="1:31" s="2" customFormat="1" x14ac:dyDescent="0.25">
      <c r="A306">
        <v>89</v>
      </c>
      <c r="B306">
        <v>10</v>
      </c>
      <c r="C306">
        <v>30</v>
      </c>
      <c r="D306">
        <v>6</v>
      </c>
      <c r="E306">
        <v>1</v>
      </c>
      <c r="F306" s="3">
        <f>142.2+(433.6-28.9)+(-0.145044+(-0.442272--0.029478))+0-148.5--0.151470000000024</f>
        <v>397.99363200000016</v>
      </c>
      <c r="G306" s="3">
        <f>49.2+(506.7-7.2)+(0+(0-0))+0-166-0</f>
        <v>382.70000000000005</v>
      </c>
      <c r="H306" s="3">
        <f>0+(533.8-12.7)+(0+(0-0))+0-150.1-0</f>
        <v>370.99999999999989</v>
      </c>
      <c r="I306" s="3">
        <f>0+(541.7-10.9)+(0+(-0.276267--0.005559))+0-162.5--0.0828749999999835</f>
        <v>368.11216700000006</v>
      </c>
      <c r="J306" s="3">
        <f>70+(509.6-8.6)+(-0.0714+(-0.519792--0.008772))+0-165.6--0.168912000000026</f>
        <v>404.98649200000006</v>
      </c>
      <c r="K306" s="3">
        <f>90+(468-33.7)+(0.1836+(0.95472-0.068748))+0-156.3-0.318851999999993</f>
        <v>368.75071999999994</v>
      </c>
      <c r="L306" s="3">
        <f>121+(426.8-21.4)+(0.06171+(0.217668-0.010914))+0-140.8-0.0718079999999857</f>
        <v>385.7966560000001</v>
      </c>
      <c r="M306" s="3">
        <f>131.6+(424.1-0)+(-0.201348+(-0.648873-0))+0-144.6--0.221238000000008</f>
        <v>410.47101700000002</v>
      </c>
      <c r="N306" s="3">
        <f>135.5+(436.4-0)+(0+(0-0))+0-142.5-0</f>
        <v>429.4</v>
      </c>
      <c r="O306" s="3">
        <f>147.7+(432.5-4.3)+(0.301308+(0.8823-0.008772))+0-144.8-0.295391999999994</f>
        <v>431.979444</v>
      </c>
      <c r="P306" s="3">
        <f>144.8+(453.9-4.3)+(0.073848+(0.231489-0.002193))+0-143.1-0.0729809999999855</f>
        <v>451.53016299999996</v>
      </c>
      <c r="Q306" s="3">
        <f>145.6+(438-5.3)+(-0.297024+(-0.89352--0.010812))+0-138.3--0.282131999999994</f>
        <v>439.10239999999999</v>
      </c>
      <c r="R306" s="3">
        <f>146.9+(443.2-0)+(0.149838+(0.452064-0))+0-145-0.147900000000023</f>
        <v>445.55400199999997</v>
      </c>
      <c r="S306" s="3">
        <f>146.4+(420.9-0)+(-0.149328+(-0.429318-0))+0-144.4--0.147288000000023</f>
        <v>422.46864199999993</v>
      </c>
      <c r="T306" s="3">
        <f>146.5+(389.7-0)+(-0.074715+(-0.198747-0))+0-139.8--0.0712979999999858</f>
        <v>396.19783600000005</v>
      </c>
      <c r="U306" s="3">
        <f>147+(389.3-0)+(-0.07497+(-0.198543-0))+0-138.9--0.0708389999999859</f>
        <v>397.19732599999998</v>
      </c>
      <c r="V306" s="3">
        <f>147.4+(399.4-0)+(0.075174+(0.203694-0))+0-139.7-0.0712469999999858</f>
        <v>407.30762099999998</v>
      </c>
      <c r="W306" s="3">
        <f>146.4+(447.1-0)+(-0.074664+(-0.228021-0))+0-146.5--0.0747149999999851</f>
        <v>446.77202999999997</v>
      </c>
      <c r="X306" s="3">
        <f>145.8+(451.8-0)+(-0.297432+(-0.921672-0))+0-147.8--0.301511999999994</f>
        <v>448.882408</v>
      </c>
      <c r="Y306" s="3">
        <f>146.5+(444.4-0)+(-0.224145+(-0.679932-0))+0-152.5--0.233325000000009</f>
        <v>437.72924799999998</v>
      </c>
      <c r="Z306" s="3">
        <f>144.1+(433.4-0)+(-0.367455+(-1.10517-0))+0-146--0.372299999999979</f>
        <v>430.399675</v>
      </c>
      <c r="AA306" s="3">
        <f>148.8+(422.5-0)+(0.151776+(0.43095-0))+0-147.5-0.150450000000024</f>
        <v>424.2322759999999</v>
      </c>
      <c r="AB306" s="3">
        <f>148.9+(399.3-0)+(0.227817+(0.610929-0))+0-134.7-0.206091000000008</f>
        <v>414.13265500000006</v>
      </c>
      <c r="AC306" s="3">
        <f>144.9+(414.3-19.1)+(-0.221697+(-0.633879--0.029223))+0-144.5--0.221085000000008</f>
        <v>394.994732</v>
      </c>
      <c r="AD306">
        <f t="shared" si="4"/>
        <v>9907.6911419999997</v>
      </c>
      <c r="AE306" s="3">
        <f>141+(467.6-0)+(0+(0-0))+0-166.8-0</f>
        <v>441.8</v>
      </c>
    </row>
    <row r="307" spans="1:31" s="2" customFormat="1" x14ac:dyDescent="0.25">
      <c r="A307">
        <v>89</v>
      </c>
      <c r="B307">
        <v>11</v>
      </c>
      <c r="C307">
        <v>1</v>
      </c>
      <c r="D307">
        <v>7</v>
      </c>
      <c r="E307">
        <v>1</v>
      </c>
      <c r="F307" s="3">
        <f>143.4+(421.5-39.5)+(-0.36567+(-1.074825--0.100725))+0-148--0.377399999999979</f>
        <v>376.4376299999999</v>
      </c>
      <c r="G307" s="3">
        <f>146.3+(395.1-30.6)+(-0.149226+(-0.403002--0.031212))+0-148--0.150960000000024</f>
        <v>362.42994400000003</v>
      </c>
      <c r="H307" s="3">
        <f>143+(382.7-14.3)+(-0.43758+(-1.171062--0.043758))+0-158.1--0.483786000000018</f>
        <v>352.21890199999996</v>
      </c>
      <c r="I307" s="3">
        <f>145.6+(392.1-44.8)+(0+(0-0))+0-150.5-0</f>
        <v>342.4</v>
      </c>
      <c r="J307" s="3">
        <f>146.5+(403.5-64.9)+(-0.074715+(-0.205785--0.033099))+0-143.6--0.0732359999999854</f>
        <v>341.32583500000004</v>
      </c>
      <c r="K307" s="3">
        <f>148.7+(364-24.9)+(0+(0-0))+0-148-0</f>
        <v>339.8</v>
      </c>
      <c r="L307" s="3">
        <f>140.8+(342.3-22.9)+(-0.71808+(-1.74573--0.11679))+0-130.5--0.665550000000009</f>
        <v>328.01853000000006</v>
      </c>
      <c r="M307" s="3">
        <f>148.9+(310-0)+(0.151878+(0.3162-0))+0-138.3-0.141066000000022</f>
        <v>320.92701199999993</v>
      </c>
      <c r="N307" s="3">
        <f>144.1+(334-0)+(-0.367455+(-0.8517-0))+0-155--0.395249999999978</f>
        <v>322.276095</v>
      </c>
      <c r="O307" s="3">
        <f>126.4+(391-20.2)+(-0.064464+(-0.19941--0.010302))+0-161.4--0.0823139999999836</f>
        <v>335.62874199999999</v>
      </c>
      <c r="P307" s="3">
        <f>121.7+(402.8-22.7)+(-0.248268+(-0.821712--0.046308))+0-162.9--0.332315999999993</f>
        <v>338.20864400000005</v>
      </c>
      <c r="Q307" s="3">
        <f>155.9+(357-0)+(-0.238527+(-0.54621-0))+0-164.6--0.25183800000001</f>
        <v>347.76710100000003</v>
      </c>
      <c r="R307" s="3">
        <f>154+(371.8-32.6)+(0.07854+(0.189618-0.016626))+0-159.7-0.0814469999999838</f>
        <v>333.67008500000003</v>
      </c>
      <c r="S307" s="3">
        <f>156.1+(373.9-32.9)+(-0.318444+(-0.762756--0.067116))+0-168.2--0.343127999999993</f>
        <v>328.22904399999999</v>
      </c>
      <c r="T307" s="3">
        <f>157.3+(359.2-50.3)+(-0.080223+(-0.183192--0.025653))+0-148.8--0.0758879999999849</f>
        <v>317.23812599999997</v>
      </c>
      <c r="U307" s="3">
        <f>155.2+(347.9-30.4)+(-0.237456+(-0.532287--0.046512))+0-151.1--0.231183000000009</f>
        <v>321.10795199999995</v>
      </c>
      <c r="V307" s="3">
        <f>155.7+(326-7.5)+(-0.317628+(-0.66504--0.0153))+0-136.5--0.278459999999994</f>
        <v>337.01109199999996</v>
      </c>
      <c r="W307" s="3">
        <f>157.4+(381.9-16.2)+(0.080274+(0.194769-0.008262))+0-142.4-0.0726239999999856</f>
        <v>380.89415700000012</v>
      </c>
      <c r="X307" s="3">
        <f>155.8+(399.3-0)+(-0.238374+(-0.610929-0))+0-153--0.234090000000009</f>
        <v>401.4847870000001</v>
      </c>
      <c r="Y307" s="3">
        <f>158.1+(394.5-0)+(-0.080631+(-0.201195-0))+0-150.6--0.0768059999999847</f>
        <v>401.79497999999995</v>
      </c>
      <c r="Z307" s="3">
        <f>155.9+(398.6-0)+(-0.318036+(-0.813144-0))+0-159.1--0.324563999999993</f>
        <v>394.59338400000001</v>
      </c>
      <c r="AA307" s="3">
        <f>155.1+(407.8-0)+(0.237303+(0.623934-0))+0-169.1-0.25872300000001</f>
        <v>394.40251399999988</v>
      </c>
      <c r="AB307" s="3">
        <f>148.6+(393-0)+(-0.303144+(-0.80172-0))+0-156.6--0.319463999999993</f>
        <v>384.21459999999996</v>
      </c>
      <c r="AC307" s="3">
        <f>150.8+(381.4-3)+(-0.153816+(-0.389028--0.00306))+0-164.7--0.167994000000026</f>
        <v>364.12821000000002</v>
      </c>
      <c r="AD307">
        <f t="shared" si="4"/>
        <v>8466.2073660000005</v>
      </c>
      <c r="AE307" s="3">
        <f>150+(386.5-0)+(0+(0-0))+0-128.2-0</f>
        <v>408.3</v>
      </c>
    </row>
    <row r="308" spans="1:31" s="2" customFormat="1" x14ac:dyDescent="0.25">
      <c r="A308">
        <v>89</v>
      </c>
      <c r="B308">
        <v>11</v>
      </c>
      <c r="C308">
        <v>2</v>
      </c>
      <c r="D308">
        <v>1</v>
      </c>
      <c r="E308">
        <v>1</v>
      </c>
      <c r="F308" s="3">
        <f>148.2+(378.3-9)+(-0.529074+(-1.350531--0.03213))+0-161.5--0.576555000000002</f>
        <v>354.72907999999995</v>
      </c>
      <c r="G308" s="3">
        <f>150.7+(395.5-29.4)+(-0.307428+(-0.80682--0.059976))+0-171.9--0.350675999999992</f>
        <v>344.19640399999997</v>
      </c>
      <c r="H308" s="3">
        <f>153.3+(372.5-27.8)+(0.078183+(0.189975-0.014178))+0-158.5-0.0808349999999839</f>
        <v>339.67314500000003</v>
      </c>
      <c r="I308" s="3">
        <f>151.7+(337.1-0)+(0+(0-0))+0-159.6-0</f>
        <v>329.20000000000005</v>
      </c>
      <c r="J308" s="3">
        <f>150.3+(342.9-3.2)+(-0.229959+(-0.524637--0.004896))+0-162.2--0.248166000000009</f>
        <v>327.29846600000002</v>
      </c>
      <c r="K308" s="3">
        <f>154.8+(343.9-0)+(0.078948+(0.175389-0))+0-163.2-0.0832319999999834</f>
        <v>335.67110500000001</v>
      </c>
      <c r="L308" s="3">
        <f>153.2+(350.1-0)+(0.078132+(0.178551-0))+0-148.3-0.075632999999985</f>
        <v>355.18105000000003</v>
      </c>
      <c r="M308" s="3">
        <f>146.9+(383.8-0)+(-0.149838+(-0.391476-0))+0-141.9--0.144738000000023</f>
        <v>388.40342400000003</v>
      </c>
      <c r="N308" s="3">
        <f>151.2+(420.7-0)+(-0.154224+(-0.429114-0))+0-155.7--0.158814000000025</f>
        <v>415.77547599999997</v>
      </c>
      <c r="O308" s="3">
        <f>152.2+(446.7-0)+(-0.077622+(-0.227817-0))+0-161.8--0.0825179999999836</f>
        <v>436.87707899999998</v>
      </c>
      <c r="P308" s="3">
        <f>150.2+(467.7-22)+(-0.306408+(-0.954108--0.04488))+0-151--0.308039999999993</f>
        <v>443.99240399999996</v>
      </c>
      <c r="Q308" s="3">
        <f>149.8+(486.9-27)+(-0.229194+(-0.744957--0.04131))+0-158.7--0.242811000000009</f>
        <v>450.30997000000002</v>
      </c>
      <c r="R308" s="3">
        <f>146.9+(424.1-5.8)+(-0.374595+(-1.081455--0.01479))+0-134.5--0.34297499999998</f>
        <v>429.60171499999996</v>
      </c>
      <c r="S308" s="3">
        <f>152.1+(382.2-0)+(0.155142+(0.389844-0))+0-117.5-0.119850000000019</f>
        <v>417.22513599999991</v>
      </c>
      <c r="T308" s="3">
        <f>160.9+(401.1-12.4)+(-0.082059+(-0.204561--0.006324))+0-144.7--0.0737969999999853</f>
        <v>404.69350100000003</v>
      </c>
      <c r="U308" s="3">
        <f>161.9+(364.2-20)+(0.082569+(0.185742-0.0102))+0-122.2-0.0623219999999876</f>
        <v>384.09578900000002</v>
      </c>
      <c r="V308" s="3">
        <f>186.9+(351.7-31.5)+(0+(0-0))+0-117.1-0</f>
        <v>390</v>
      </c>
      <c r="W308" s="3">
        <f>318.9+(277.4-23.6)+(0.487917+(0.424422-0.036108))+0-132.4-0.202572000000008</f>
        <v>440.97365899999988</v>
      </c>
      <c r="X308" s="3">
        <f>400.5+(287.1-23.9)+(-0.612765+(-0.439263--0.036567))+0-172.4--0.26377200000001</f>
        <v>490.54831100000013</v>
      </c>
      <c r="Y308" s="3">
        <f>399.3+(271.3-23)+(-0.610929+(-0.415089--0.03519))+0-169.1--0.25872300000001</f>
        <v>477.76789500000007</v>
      </c>
      <c r="Z308" s="3">
        <f>397.8+(275.1-35.4)+(-0.811512+(-0.561204--0.072216))+0-162.7--0.331907999999993</f>
        <v>473.83140799999995</v>
      </c>
      <c r="AA308" s="3">
        <f>382.6+(318.8-72.9)+(-0.195126+(-0.162588--0.037179))+0-158.4--0.0807839999999839</f>
        <v>469.86024900000007</v>
      </c>
      <c r="AB308" s="3">
        <f>377.5+(347.6-124.3)+(-0.7701+(-0.709104--0.253572))+0-152.7--0.311507999999993</f>
        <v>447.18587599999995</v>
      </c>
      <c r="AC308" s="3">
        <f>275.8+(436.6-127.7)+(-1.125264+(-1.781328--0.521016))+0-164.2--0.669935999999986</f>
        <v>418.78436000000005</v>
      </c>
      <c r="AD308">
        <f t="shared" si="4"/>
        <v>9765.875501999999</v>
      </c>
      <c r="AE308" s="3">
        <f>402+(297.9-26)+(0+(0-0))+0-184.3-0</f>
        <v>489.59999999999997</v>
      </c>
    </row>
    <row r="309" spans="1:31" s="2" customFormat="1" x14ac:dyDescent="0.25">
      <c r="A309">
        <v>89</v>
      </c>
      <c r="B309">
        <v>11</v>
      </c>
      <c r="C309">
        <v>3</v>
      </c>
      <c r="D309">
        <v>2</v>
      </c>
      <c r="E309">
        <v>1</v>
      </c>
      <c r="F309" s="3">
        <f>143.3+(486.3-100.5)+(-0.219249+(-0.744039--0.153765))+0-135.6--0.207468000000008</f>
        <v>392.89794499999999</v>
      </c>
      <c r="G309" s="3">
        <f>104.5+(513.8-88.4)+(-0.21318+(-1.048152--0.180336))+0-147.9--0.301715999999994</f>
        <v>381.22071999999997</v>
      </c>
      <c r="H309" s="3">
        <f>101.4+(481.7-65.5)+(-0.25857+(-1.228335--0.167025))+0-145.6--0.371279999999979</f>
        <v>371.05139999999994</v>
      </c>
      <c r="I309" s="3">
        <f>105.4+(485.8-77.4)+(0.053754+(0.247758-0.039474))+0-140.4-0.0716039999999858</f>
        <v>373.59043399999996</v>
      </c>
      <c r="J309" s="3">
        <f>104.7+(495-80.7)+(0.106794+(0.5049-0.082314))+0-146.6-0.149532000000023</f>
        <v>372.7798479999999</v>
      </c>
      <c r="K309" s="3">
        <f>104.5+(472.1-61)+(0+(0-0))+0-136.1-0</f>
        <v>379.5</v>
      </c>
      <c r="L309" s="3">
        <f>102.1+(448.5-25.6)+(-0.208284+(-0.91494--0.052224))+0-140.5--0.286619999999994</f>
        <v>383.71561999999994</v>
      </c>
      <c r="M309" s="3">
        <f>104.3+(437.3-4.7)+(-0.106386+(-0.446046--0.004794))+0-135.5--0.138210000000022</f>
        <v>400.99057199999999</v>
      </c>
      <c r="N309" s="3">
        <f>102.6+(460.9-12.1)+(0+(0-0))+0-140.2-0</f>
        <v>411.2</v>
      </c>
      <c r="O309" s="3">
        <f>103.8+(495.9-37.5)+(-0.052938+(-0.252909--0.019125))+0-135.6--0.0691559999999862</f>
        <v>426.38243399999982</v>
      </c>
      <c r="P309" s="3">
        <f>102.9+(506.4-42.5)+(-0.052479+(-0.258264--0.021675))+0-131--0.0668099999999867</f>
        <v>435.57774199999989</v>
      </c>
      <c r="Q309" s="3">
        <f>102.9+(525.1-28)+(-0.104958+(-0.535602--0.02856))+0-131--0.133620000000021</f>
        <v>468.52162000000004</v>
      </c>
      <c r="R309" s="3">
        <f>100.6+(495.4-9)+(-0.051306+(-0.252654--0.00459))+0-139.4--0.0710939999999859</f>
        <v>447.37172400000003</v>
      </c>
      <c r="S309" s="3">
        <f>102.2+(465.3-2.8)+(-0.052122+(-0.237303--0.001428))+0-132.3--0.0674729999999866</f>
        <v>432.17947600000002</v>
      </c>
      <c r="T309" s="3">
        <f>97.5+(479-17.4)+(-0.248625+(-1.22145--0.04437))+0-142.3--0.362864999999979</f>
        <v>415.73716000000002</v>
      </c>
      <c r="U309" s="3">
        <f>100.4+(477.3-18.9)+(0.051204+(0.243423-0.009639))+0-149.9-0.0764489999999848</f>
        <v>409.10853900000012</v>
      </c>
      <c r="V309" s="3">
        <f>98.6+(470.2-4.2)+(-0.150858+(-0.719406--0.006426))+0-153.3--0.234549000000009</f>
        <v>410.67071100000004</v>
      </c>
      <c r="W309" s="3">
        <f>97.4+(447.8-6.7)+(-0.099348+(-0.456756--0.006834))+0-146.9--0.149838000000023</f>
        <v>391.20056800000009</v>
      </c>
      <c r="X309" s="3">
        <f>97.9+(414-20.4)+(-0.199716+(-0.84456--0.041616))+0-141.1--0.287843999999994</f>
        <v>349.68518399999999</v>
      </c>
      <c r="Y309" s="3">
        <f>98.4+(482.6-7.6)+(-0.200736+(-0.984504--0.015504))+0-158.1--0.322523999999993</f>
        <v>414.452788</v>
      </c>
      <c r="Z309" s="3">
        <f>99+(510.4-0)+(-0.05049+(-0.260304-0))+0-151.9--0.0774689999999846</f>
        <v>457.26667500000002</v>
      </c>
      <c r="AA309" s="3">
        <f>99.2+(516.5-2)+(-0.050592+(-0.263415--0.00102))+0-163.7--0.0834869999999834</f>
        <v>449.77050000000003</v>
      </c>
      <c r="AB309" s="3">
        <f>100+(492.7-5.3)+(0+(0-0))+0-153.4-0</f>
        <v>434</v>
      </c>
      <c r="AC309" s="3">
        <f>97.4+(498.8-51.6)+(-0.24837+(-1.27194--0.13158))+0-135.6--0.34577999999998</f>
        <v>407.95704999999998</v>
      </c>
      <c r="AD309">
        <f t="shared" si="4"/>
        <v>9816.828709999998</v>
      </c>
      <c r="AE309" s="3">
        <f>232+(434.1-17.6)+(0+(0-0))+0-157.5-0</f>
        <v>491</v>
      </c>
    </row>
    <row r="310" spans="1:31" s="2" customFormat="1" x14ac:dyDescent="0.25">
      <c r="A310">
        <v>89</v>
      </c>
      <c r="B310">
        <v>11</v>
      </c>
      <c r="C310">
        <v>4</v>
      </c>
      <c r="D310">
        <v>3</v>
      </c>
      <c r="E310">
        <v>1</v>
      </c>
      <c r="F310" s="3">
        <f>112.3+(481.7-53.2)+(-0.114546+(-0.491334--0.054264))+0-141.2--0.144024000000022</f>
        <v>399.192408</v>
      </c>
      <c r="G310" s="3">
        <f>114.3+(479.6-69.5)+(-0.058293+(-0.244596--0.035445))+0-133.5--0.0680849999999865</f>
        <v>390.70064100000002</v>
      </c>
      <c r="H310" s="3">
        <f>110.6+(495-76.9)+(-0.112812+(-0.5049--0.078438))+0-143.1--0.145962000000023</f>
        <v>385.20668800000004</v>
      </c>
      <c r="I310" s="3">
        <f>63.4+(511.4-59.6)+(0.064668+(0.521628-0.060792))+0-138.7-0.141474000000022</f>
        <v>376.88402999999988</v>
      </c>
      <c r="J310" s="3">
        <f>63.1+(505.9-55.4)+(0.064362+(0.516018-0.056508))+0-138.9-0.141678000000022</f>
        <v>375.08219400000002</v>
      </c>
      <c r="K310" s="3">
        <f>63.6+(495.7-37.2)+(0.129744+(1.011228-0.075888))+0-141.1-0.287843999999994</f>
        <v>381.77723999999995</v>
      </c>
      <c r="L310" s="3">
        <f>65.5+(466.5-8.5)+(-0.100215+(-0.713745--0.013005))+0-134.2--0.205326000000008</f>
        <v>388.70437099999998</v>
      </c>
      <c r="M310" s="3">
        <f>116.1+(427.9-0)+(-0.296055+(-1.091145-0))+0-137.7--0.35113499999998</f>
        <v>405.263935</v>
      </c>
      <c r="N310" s="3">
        <f>116+(420.7-30)+(0+(0-0))+0-138-0</f>
        <v>368.7</v>
      </c>
      <c r="O310" s="3">
        <f>115.2+(525.2-65.3)+(0+(0-0))+0-138.3-0</f>
        <v>436.8</v>
      </c>
      <c r="P310" s="3">
        <f>108+(525.4-53.1)+(-0.22032+(-1.071816--0.108324))+0-138.3--0.282131999999994</f>
        <v>441.09831999999994</v>
      </c>
      <c r="Q310" s="3">
        <f>96.4+(531.8-35.4)+(-0.24582+(-1.35609--0.09027))+0-137.4--0.35036999999998</f>
        <v>454.23873000000003</v>
      </c>
      <c r="R310" s="3">
        <f>95.9+(521.7-36.6)+(-0.195636+(-1.064268--0.074664))+0-132.2--0.269687999999994</f>
        <v>447.88444799999996</v>
      </c>
      <c r="S310" s="3">
        <f>96.5+(511.5-27.3)+(-0.049215+(-0.260865--0.013923))+0-140--0.0713999999999858</f>
        <v>440.47524300000003</v>
      </c>
      <c r="T310" s="3">
        <f>95.3+(487-18.7)+(0+(0-0))+0-145.1-0</f>
        <v>418.5</v>
      </c>
      <c r="U310" s="3">
        <f>93.8+(475.1-28.4)+(0.143514+(0.726903-0.043452))+0-130-0.198900000000008</f>
        <v>411.12806499999999</v>
      </c>
      <c r="V310" s="3">
        <f>92.6+(485.5-18.1)+(0+(0-0))+0-145.8-0</f>
        <v>414.2</v>
      </c>
      <c r="W310" s="3">
        <f>95.3+(507.3-0)+(0+(0-0))+0-146.6-0</f>
        <v>456</v>
      </c>
      <c r="X310" s="3">
        <f>104.9+(493.5-0)+(-0.160497+(-0.755055-0))+0-123.7--0.189261000000007</f>
        <v>473.97370899999993</v>
      </c>
      <c r="Y310" s="3">
        <f>106.6+(480-0)+(-0.163098+(-0.7344-0))+0-121.8--0.186354000000007</f>
        <v>464.08885599999996</v>
      </c>
      <c r="Z310" s="3">
        <f>107+(479-0)+(-0.16371+(-0.73287-0))+0-132.1--0.202113000000008</f>
        <v>453.205533</v>
      </c>
      <c r="AA310" s="3">
        <f>107.4+(488.5-0)+(-0.054774+(-0.249135-0))+0-153.3--0.0781829999999845</f>
        <v>442.37427399999996</v>
      </c>
      <c r="AB310" s="3">
        <f>107.7+(481-21.8)+(-0.109854+(-0.49062--0.022236))+0-143.1--0.145962000000023</f>
        <v>423.3677239999999</v>
      </c>
      <c r="AC310" s="3">
        <f>107.9+(515.5-50.8)+(0+(0-0))+0-161.8-0</f>
        <v>410.8</v>
      </c>
      <c r="AD310">
        <f t="shared" si="4"/>
        <v>10059.646408999997</v>
      </c>
      <c r="AE310" s="3">
        <f>105+(501.6-0)+(0+(0-0))+0-120.3-0</f>
        <v>486.3</v>
      </c>
    </row>
    <row r="311" spans="1:31" s="2" customFormat="1" x14ac:dyDescent="0.25">
      <c r="A311">
        <v>89</v>
      </c>
      <c r="B311">
        <v>11</v>
      </c>
      <c r="C311">
        <v>5</v>
      </c>
      <c r="D311">
        <v>4</v>
      </c>
      <c r="E311">
        <v>5</v>
      </c>
      <c r="F311" s="3">
        <f>32.6+(530.9-43.1)+(-0.016626+(-0.270759--0.021981))+0-132.6--0.0676259999999865</f>
        <v>387.60222199999993</v>
      </c>
      <c r="G311" s="3">
        <f>7.8+(560.7-60.8)+(-0.011934+(-0.857871--0.093024))+0-122.4--0.187272000000007</f>
        <v>384.71049100000005</v>
      </c>
      <c r="H311" s="3">
        <f>9+(570.5-82.8)+(0.00918+(0.58191-0.084456))+0-128.9-0.131478000000021</f>
        <v>368.17515600000002</v>
      </c>
      <c r="I311" s="3">
        <f>9.9+(571.6-69.3)+(-0.005049+(-0.291516--0.035343))+0-143--0.0729299999999855</f>
        <v>369.01170800000006</v>
      </c>
      <c r="J311" s="3">
        <f>9.9+(549.8-46.8)+(-0.005049+(-0.280398--0.023868))+0-151.3--0.0771629999999847</f>
        <v>361.41558399999997</v>
      </c>
      <c r="K311" s="3">
        <f>9.9+(521.4-30.5)+(0.005049+(0.265914-0.015555))+0-146.6-0.0747659999999851</f>
        <v>354.38064199999991</v>
      </c>
      <c r="L311" s="3">
        <f>9.9+(502-26.9)+(-0.030294+(-1.53612--0.082314))+0-151--0.462060000000017</f>
        <v>332.97796</v>
      </c>
      <c r="M311" s="3">
        <f>9.9+(434.1-0)+(-0.025245+(-1.106955-0))+0-134.6--0.34322999999998</f>
        <v>308.61102999999997</v>
      </c>
      <c r="N311" s="3">
        <f>9.8+(451.9-0)+(-0.009996+(-0.460938-0))+0-153.4--0.156468000000024</f>
        <v>307.98553400000003</v>
      </c>
      <c r="O311" s="3">
        <f>0+(463.3-0)+(0+(-0.945132-0))+0-153.1--0.312323999999993</f>
        <v>309.56719199999998</v>
      </c>
      <c r="P311" s="3">
        <f>0+(467.8-0)+(0+(-0.715734-0))+0-148.4--0.227052000000009</f>
        <v>318.91131799999999</v>
      </c>
      <c r="Q311" s="3">
        <f>0+(472.6-0)+(0+(-1.20513-0))+0-156.9--0.400094999999977</f>
        <v>314.89496499999996</v>
      </c>
      <c r="R311" s="3">
        <f>0+(484.9-0)+(0+(-1.483794-0))+0-165.2--0.505512000000019</f>
        <v>318.72171800000001</v>
      </c>
      <c r="S311" s="3">
        <f>0+(487.8-18.4)+(0+(-0.497556--0.018768))+0-159.2--0.162384000000025</f>
        <v>309.88359600000007</v>
      </c>
      <c r="T311" s="3">
        <f>0+(473.9-13.7)+(0+(-1.208445--0.034935))+0-150.4--0.383519999999978</f>
        <v>309.01000999999997</v>
      </c>
      <c r="U311" s="3">
        <f>0+(464.8-7.6)+(0+(0.474096-0.007752))+0-144.8-0.147696000000023</f>
        <v>312.71864799999997</v>
      </c>
      <c r="V311" s="3">
        <f>0+(473.8-1.6)+(0+(0.483276-0.001632))+0-153.2-0.156264000000024</f>
        <v>319.32538</v>
      </c>
      <c r="W311" s="3">
        <f>0+(526.6-0)+(0+(0-0))+0-168.1-0</f>
        <v>358.5</v>
      </c>
      <c r="X311" s="3">
        <f>0+(551.5-0)+(0+(-0.281265-0))+0-159.1--0.0811409999999839</f>
        <v>392.19987600000002</v>
      </c>
      <c r="Y311" s="3">
        <f>0+(551.9-0)+(0+(-1.125876-0))+0-158.5--0.323339999999993</f>
        <v>392.597464</v>
      </c>
      <c r="Z311" s="3">
        <f>0+(559-0)+(0+(0-0))+0-171.5-0</f>
        <v>387.5</v>
      </c>
      <c r="AA311" s="3">
        <f>0+(536.8-0)+(0+(0-0))+0-146.9-0</f>
        <v>389.9</v>
      </c>
      <c r="AB311" s="3">
        <f>0+(531.7-0)+(0+(-1.627002-0))+0-150.2--0.459612000000017</f>
        <v>380.3326100000001</v>
      </c>
      <c r="AC311" s="3">
        <f>0+(516.1-0)+(0+(-0.526422-0))+0-153.8--0.156876000000025</f>
        <v>361.930454</v>
      </c>
      <c r="AD311">
        <f t="shared" si="4"/>
        <v>8350.8635579999991</v>
      </c>
      <c r="AE311" s="3">
        <f>0+(557.3-0)+(0+(0-0))+0-173.2-0</f>
        <v>384.09999999999997</v>
      </c>
    </row>
    <row r="312" spans="1:31" s="2" customFormat="1" x14ac:dyDescent="0.25">
      <c r="A312">
        <v>89</v>
      </c>
      <c r="B312">
        <v>11</v>
      </c>
      <c r="C312">
        <v>6</v>
      </c>
      <c r="D312">
        <v>5</v>
      </c>
      <c r="E312">
        <v>1</v>
      </c>
      <c r="F312" s="3">
        <f>0+(493.8-6.1)+(0+(-0.755514--0.009333))+0-139.8--0.213894000000008</f>
        <v>347.36771299999998</v>
      </c>
      <c r="G312" s="3">
        <f>0+(496.3-0)+(0+(-0.253113-0))+0-159.1--0.0811409999999839</f>
        <v>337.02802800000006</v>
      </c>
      <c r="H312" s="3">
        <f>0+(477-0)+(0+(0.24327-0))+0-144-0.0734399999999854</f>
        <v>333.16982999999999</v>
      </c>
      <c r="I312" s="3">
        <f>0+(492.2-0)+(0+(0-0))+0-160.2-0</f>
        <v>332</v>
      </c>
      <c r="J312" s="3">
        <f>0+(491.1-0)+(0+(1.001844-0))+0-158.4-0.323135999999993</f>
        <v>333.37870800000007</v>
      </c>
      <c r="K312" s="3">
        <f>0+(481-0)+(0+(0.24531-0))+0-146.5-0.0747149999999851</f>
        <v>334.67059500000005</v>
      </c>
      <c r="L312" s="3">
        <f>0+(521.5-0)+(0+(-0.53193-0))+0-158.3--0.161466000000025</f>
        <v>362.82953600000002</v>
      </c>
      <c r="M312" s="3">
        <f>0+(528.9-0)+(0+(0.539478-0))+0-151.4-0.154428000000024</f>
        <v>377.88505000000004</v>
      </c>
      <c r="N312" s="3">
        <f>0+(562.1-0)+(0+(-0.286671-0))+0-154.8--0.0789479999999843</f>
        <v>407.09227700000002</v>
      </c>
      <c r="O312" s="3">
        <f>0+(562.3-0)+(0+(-0.573546-0))+0-148.2--0.151164000000024</f>
        <v>413.67761800000005</v>
      </c>
      <c r="P312" s="3">
        <f>90.5+(502.5-8.6)+(0.09231+(0.51255-0.008772))+0-165.3-0.168606000000026</f>
        <v>419.52748199999996</v>
      </c>
      <c r="Q312" s="3">
        <f>129.5+(483.9-13.5)+(0.066045+(0.246789-0.006885))+0-163.9-0.0835889999999834</f>
        <v>436.22236000000009</v>
      </c>
      <c r="R312" s="3">
        <f>128.6+(471.1-10)+(-0.32793+(-1.201305--0.0255))+0-156.4--0.398819999999977</f>
        <v>432.19508500000006</v>
      </c>
      <c r="S312" s="3">
        <f>127.5+(471.5-10.5)+(0+(0-0))+0-161.3-0</f>
        <v>427.2</v>
      </c>
      <c r="T312" s="3">
        <f>126.2+(471.9-36.1)+(0+(0-0))+0-153.2-0</f>
        <v>408.8</v>
      </c>
      <c r="U312" s="3">
        <f>125.7+(442-12.9)+(-0.064107+(-0.22542--0.006579))+0-155--0.0790499999999843</f>
        <v>399.59610200000003</v>
      </c>
      <c r="V312" s="3">
        <f>125.6+(442.1-7.3)+(-0.256224+(-0.901884--0.014892))+0-153.6--0.313343999999993</f>
        <v>405.97012799999987</v>
      </c>
      <c r="W312" s="3">
        <f>125.5+(482.9-0)+(-0.25602+(-0.985116-0))+0-161--0.328439999999993</f>
        <v>446.48730399999999</v>
      </c>
      <c r="X312" s="3">
        <f>119.8+(498.3-0)+(0.061098+(0.254133-0))+0-154.9-0.0789989999999843</f>
        <v>463.43623200000008</v>
      </c>
      <c r="Y312" s="3">
        <f>15+(597.5-0)+(0.00765+(0.304725-0))+0-156.5-0.0798149999999841</f>
        <v>456.23255999999998</v>
      </c>
      <c r="Z312" s="3">
        <f>0+(598-0)+(0+(-1.5249-0))+0-156.7--0.399584999999977</f>
        <v>440.17468500000001</v>
      </c>
      <c r="AA312" s="3">
        <f>9+(593.5-0)+(0+(0-0))+0-161.9-0</f>
        <v>440.6</v>
      </c>
      <c r="AB312" s="3">
        <f>9.9+(560.6-0)+(-0.025245+(-1.42953-0))+0-148.7--0.379184999999978</f>
        <v>420.72440999999992</v>
      </c>
      <c r="AC312" s="3">
        <f>9.8+(546.5-0)+(-0.029988+(-1.67229-0))+0-157.5--0.481950000000018</f>
        <v>397.57967200000002</v>
      </c>
      <c r="AD312">
        <f t="shared" si="4"/>
        <v>9573.8453750000026</v>
      </c>
      <c r="AE312" s="3">
        <f>120+(507.5-0)+(0+(0-0))+0-165.3-0</f>
        <v>462.2</v>
      </c>
    </row>
    <row r="313" spans="1:31" s="2" customFormat="1" x14ac:dyDescent="0.25">
      <c r="A313">
        <v>89</v>
      </c>
      <c r="B313">
        <v>11</v>
      </c>
      <c r="C313">
        <v>7</v>
      </c>
      <c r="D313">
        <v>6</v>
      </c>
      <c r="E313">
        <v>1</v>
      </c>
      <c r="F313" s="3">
        <f>9.8+(520.1-0)+(-0.014994+(-0.795753-0))+0-161.3--0.246789000000009</f>
        <v>368.03604200000001</v>
      </c>
      <c r="G313" s="3">
        <f>10+(513.4-0)+(0.0204+(1.047336-0))+0-153-0.312119999999993</f>
        <v>371.15561599999995</v>
      </c>
      <c r="H313" s="3">
        <f>9.8+(519.6-0)+(0.014994+(0.794988-0))+0-169.7-0.25964100000001</f>
        <v>360.25034099999999</v>
      </c>
      <c r="I313" s="3">
        <f>9.9+(507.7-0)+(0.005049+(0.258927-0))+0-146.3-0.0746129999999852</f>
        <v>371.48936299999997</v>
      </c>
      <c r="J313" s="3">
        <f>9.9+(530.4-0)+(0+(0-0))+0-164.4-0</f>
        <v>375.9</v>
      </c>
      <c r="K313" s="3">
        <f>9.8+(518.5-0)+(0+(0-0))+0-144.2-0</f>
        <v>384.09999999999997</v>
      </c>
      <c r="L313" s="3">
        <f>9.9+(534-0)+(0.010098+(0.54468-0))+0-159.2-0.162384000000025</f>
        <v>385.09239400000001</v>
      </c>
      <c r="M313" s="3">
        <f>9.8+(554-0)+(-0.004998+(-0.28254-0))+0-143.8--0.0733379999999854</f>
        <v>419.78579999999988</v>
      </c>
      <c r="N313" s="3">
        <f>9.9+(561.5-0)+(-0.010098+(-0.57273-0))+0-132.7--0.135354000000021</f>
        <v>438.25252600000005</v>
      </c>
      <c r="O313" s="3">
        <f>9.9+(592-0)+(-0.020196+(-1.20768-0))+0-159.5--0.325379999999993</f>
        <v>441.49750399999994</v>
      </c>
      <c r="P313" s="3">
        <f>9.9+(578.6-0)+(-0.005049+(-0.295086-0))+0-132.3--0.0674729999999866</f>
        <v>455.96733800000004</v>
      </c>
      <c r="Q313" s="3">
        <f>9.8+(606.6-0)+(0+(0-0))+0-157.6-0</f>
        <v>458.79999999999995</v>
      </c>
      <c r="R313" s="3">
        <f>9.8+(609.2-0)+(-0.019992+(-1.242768-0))+0-157.9--0.322115999999993</f>
        <v>460.15935600000006</v>
      </c>
      <c r="S313" s="3">
        <f>9.9+(592.5-0)+(-0.035343+(-2.115225-0))+0-158.7--0.566559000000002</f>
        <v>442.11599099999995</v>
      </c>
      <c r="T313" s="3">
        <f>9.9+(551.4-0)+(-0.025245+(-1.40607-0))+0-144.1--0.367454999999979</f>
        <v>416.1361399999999</v>
      </c>
      <c r="U313" s="3">
        <f>9.9+(547.1-0)+(-0.010098+(-0.558042-0))+0-143--0.145860000000023</f>
        <v>413.57772000000006</v>
      </c>
      <c r="V313" s="3">
        <f>9.7+(544.4-0)+(-0.019788+(-1.110576-0))+0-147.5--0.300899999999994</f>
        <v>405.77053600000005</v>
      </c>
      <c r="W313" s="3">
        <f>37.2+(554.5-0)+(0.018972+(0.282795-0))+0-152.8-0.0779279999999845</f>
        <v>439.12383900000009</v>
      </c>
      <c r="X313" s="3">
        <f>59.8+(549.1-0)+(-0.15249+(-1.400205-0))+0-147.1--0.375104999999979</f>
        <v>460.62240999999995</v>
      </c>
      <c r="Y313" s="3">
        <f>64.4+(528.3-0)+(-0.098532+(-0.808299-0))+0-139.6--0.213588000000008</f>
        <v>452.40675699999991</v>
      </c>
      <c r="Z313" s="3">
        <f>99.9+(495.4-0)+(-0.050949+(-0.252654-0))+0-144--0.0734399999999854</f>
        <v>451.06983700000001</v>
      </c>
      <c r="AA313" s="3">
        <f>64.8+(539.1-0)+(-0.066096+(-0.549882-0))+0-158.6--0.161772000000025</f>
        <v>444.84579399999996</v>
      </c>
      <c r="AB313" s="3">
        <f>54.9+(532-0)+(-0.111996+(-1.08528-0))+0-144.3--0.294371999999994</f>
        <v>441.69709599999999</v>
      </c>
      <c r="AC313" s="3">
        <f>54.9+(535.5-0)+(0+(0-0))+0-171.6-0</f>
        <v>418.79999999999995</v>
      </c>
      <c r="AD313">
        <f t="shared" si="4"/>
        <v>10076.652399999999</v>
      </c>
      <c r="AE313" s="3">
        <f>59+(554.1-0)+(0+(0-0))+0-141.7-0</f>
        <v>471.40000000000003</v>
      </c>
    </row>
    <row r="314" spans="1:31" s="2" customFormat="1" x14ac:dyDescent="0.25">
      <c r="A314">
        <v>89</v>
      </c>
      <c r="B314">
        <v>11</v>
      </c>
      <c r="C314">
        <v>8</v>
      </c>
      <c r="D314">
        <v>7</v>
      </c>
      <c r="E314">
        <v>1</v>
      </c>
      <c r="F314" s="3">
        <f>54.9+(497.2-0)+(-0.139995+(-1.26786-0))+0-159.9--0.407744999999977</f>
        <v>391.19988999999998</v>
      </c>
      <c r="G314" s="3">
        <f>54.9+(500.8-0)+(-0.083997+(-0.766224-0))+0-162.9--0.249237000000009</f>
        <v>392.19901600000003</v>
      </c>
      <c r="H314" s="3">
        <f>54.9+(491.9-0)+(-0.027999+(-0.250869-0))+0-166.7--0.0850169999999831</f>
        <v>379.90614899999997</v>
      </c>
      <c r="I314" s="3">
        <f>54.9+(476.5-0)+(-0.027999+(-0.243015-0))+0-153.4--0.0782339999999844</f>
        <v>377.80721999999997</v>
      </c>
      <c r="J314" s="3">
        <f>89.9+(435.7-0)+(0.045849+(0.222207-0))+0-156.1-0.0796109999999842</f>
        <v>369.688445</v>
      </c>
      <c r="K314" s="3">
        <f>129.1+(412.3-24.3)+(-0.197523+(-0.630819--0.037179))+0-151.2--0.231336000000009</f>
        <v>365.34017300000005</v>
      </c>
      <c r="L314" s="3">
        <f>129+(381.6-0)+(-0.13158+(-0.389232-0))+0-147.8--0.150756000000024</f>
        <v>362.42994400000003</v>
      </c>
      <c r="M314" s="3">
        <f>128.9+(352.4-0)+(0+(0-0))+0-140-0</f>
        <v>341.29999999999995</v>
      </c>
      <c r="N314" s="3">
        <f>128.8+(357.8-15.7)+(-0.131376+(-0.364956--0.016014))+0-144.2--0.147084000000023</f>
        <v>326.36676600000004</v>
      </c>
      <c r="O314" s="3">
        <f>129.8+(383.1-0)+(0.198594+(0.586143-0))+0-161.4-0.246942000000009</f>
        <v>352.03779500000007</v>
      </c>
      <c r="P314" s="3">
        <f>129+(406.6-0)+(-0.19737+(-0.622098-0))+0-168.8--0.25826400000001</f>
        <v>366.23879599999998</v>
      </c>
      <c r="Q314" s="3">
        <f>126.6+(412.9-0)+(-0.129132+(-0.421158-0))+0-162.4--0.165648000000026</f>
        <v>376.71535800000004</v>
      </c>
      <c r="R314" s="3">
        <f>120.1+(418.4-0)+(-0.551259+(-1.920456-0))+0-160.7--0.737613000000028</f>
        <v>376.065898</v>
      </c>
      <c r="S314" s="3">
        <f>121.9+(396.1-0)+(0+(0-0))+0-155.5-0</f>
        <v>362.5</v>
      </c>
      <c r="T314" s="3">
        <f>121.3+(380.4-0)+(-0.061863+(-0.194004-0))+0-153.5--0.0782849999999844</f>
        <v>348.02241799999996</v>
      </c>
      <c r="U314" s="3">
        <f>121.8+(385.1-0)+(-0.062118+(-0.196401-0))+0-150.7--0.0768569999999847</f>
        <v>356.01833800000003</v>
      </c>
      <c r="V314" s="3">
        <f>121+(382.3-0)+(-0.18513+(-0.584919-0))+0-155.3--0.237609000000009</f>
        <v>347.46756000000005</v>
      </c>
      <c r="W314" s="3">
        <f>104.6+(461.2-5.1)+(-0.213384+(-0.940848--0.010404))+0-168--0.342719999999993</f>
        <v>391.89889199999993</v>
      </c>
      <c r="X314" s="3">
        <f>113.6+(452.6-0)+(-0.231744+(-0.923304-0))+0-152.3--0.310691999999993</f>
        <v>413.05564400000009</v>
      </c>
      <c r="Y314" s="3">
        <f>114.7+(449.2-0)+(-0.175491+(-0.687276-0))+0-151.7--0.232101000000009</f>
        <v>411.56933400000003</v>
      </c>
      <c r="Z314" s="3">
        <f>114.6+(454.3-0)+(-0.116892+(-0.463386-0))+0-168.9--0.172278000000027</f>
        <v>399.59199999999998</v>
      </c>
      <c r="AA314" s="3">
        <f>114.6+(447.6-4.9)+(-0.058446+(-0.228276--0.002499))+0-143.8--0.0733379999999854</f>
        <v>413.28911500000004</v>
      </c>
      <c r="AB314" s="3">
        <f>114.4+(436.6-15.2)+(-0.116688+(-0.445332--0.015504))+0-128.9--0.131478000000021</f>
        <v>406.48496200000011</v>
      </c>
      <c r="AC314" s="3">
        <f>112.7+(454.3-49.1)+(-0.402339+(-1.621851--0.175287))+0-126.7--0.452319000000002</f>
        <v>389.80341600000003</v>
      </c>
      <c r="AD314">
        <f t="shared" si="4"/>
        <v>9016.9971289999994</v>
      </c>
      <c r="AE314" s="3">
        <f>114+(428.9-0)+(0+(0-0))+0-151.8-0</f>
        <v>391.09999999999997</v>
      </c>
    </row>
    <row r="315" spans="1:31" s="2" customFormat="1" x14ac:dyDescent="0.25">
      <c r="A315">
        <v>89</v>
      </c>
      <c r="B315">
        <v>11</v>
      </c>
      <c r="C315">
        <v>9</v>
      </c>
      <c r="D315">
        <v>1</v>
      </c>
      <c r="E315">
        <v>1</v>
      </c>
      <c r="F315" s="3">
        <f>115.1+(471.2-89.2)+(0+(0-0))+0-128.3-0</f>
        <v>368.8</v>
      </c>
      <c r="G315" s="3">
        <f>85.8+(507.9-88.1)+(-0.306306+(-1.813203--0.314517))+0-135.3--0.483021000000002</f>
        <v>368.97802899999994</v>
      </c>
      <c r="H315" s="3">
        <f>59.9+(499.7-67.4)+(-0.030549+(-0.254847--0.034374))+0-132.7--0.0676769999999865</f>
        <v>359.31665499999997</v>
      </c>
      <c r="I315" s="3">
        <f>59.8+(453.8-17.6)+(-0.091494+(-0.694314--0.026928))+0-134.9--0.206397000000008</f>
        <v>360.54751700000003</v>
      </c>
      <c r="J315" s="3">
        <f>59.7+(446.9-2.1)+(0+(0-0))+0-143.4-0</f>
        <v>361.09999999999991</v>
      </c>
      <c r="K315" s="3">
        <f>59.9+(446-0)+(0+(0-0))+0-144.3-0</f>
        <v>361.59999999999997</v>
      </c>
      <c r="L315" s="3">
        <f>59.8+(471.5-0)+(0+(0-0))+0-144.4-0</f>
        <v>386.9</v>
      </c>
      <c r="M315" s="3">
        <f>59.8+(495.7-0)+(-0.15249+(-1.264035-0))+0-136.9--0.34909499999998</f>
        <v>417.53257000000002</v>
      </c>
      <c r="N315" s="3">
        <f>104+(474.7-0)+(0.05304+(0.242097-0))+0-141.1-0.0719609999999857</f>
        <v>437.82317599999999</v>
      </c>
      <c r="O315" s="3">
        <f>119.4+(476.1-15.8)+(-0.060894+(-0.242811--0.008058))+0-143--0.0729299999999855</f>
        <v>436.477283</v>
      </c>
      <c r="P315" s="3">
        <f>124.5+(506.6-22.8)+(-0.12699+(-0.516732--0.023256))+0-142.5--0.145350000000023</f>
        <v>465.324884</v>
      </c>
      <c r="Q315" s="3">
        <f>205.7+(502.4-91.7)+(-0.524535+(-1.28112--0.233835))+0-144.1--0.367454999999979</f>
        <v>471.09563499999996</v>
      </c>
      <c r="R315" s="3">
        <f>215.9+(497.9-111)+(0+(0-0))+0-142.1-0</f>
        <v>460.69999999999993</v>
      </c>
      <c r="S315" s="3">
        <f>214.2+(494.9-112.6)+(-0.436968+(-1.009596--0.229704))+0-142.9--0.291515999999994</f>
        <v>452.67465600000003</v>
      </c>
      <c r="T315" s="3">
        <f>219.3+(477-129.6)+(0.335529+(0.72981-0.198288))+0-132.5-0.202725000000008</f>
        <v>434.86432600000001</v>
      </c>
      <c r="U315" s="3">
        <f>215+(489.2-135.8)+(-0.32895+(-0.748476--0.207774))+0-140.6--0.215118000000008</f>
        <v>427.145466</v>
      </c>
      <c r="V315" s="3">
        <f>232.8+(465-131)+(0.356184+(0.71145-0.20043))+0-130-0.198900000000008</f>
        <v>437.46830399999999</v>
      </c>
      <c r="W315" s="3">
        <f>231.7+(421.1-31.7)+(-0.354501+(-0.644283--0.048501))+0-149--0.227970000000009</f>
        <v>471.37768700000004</v>
      </c>
      <c r="X315" s="3">
        <f>233.3+(409.2-19.6)+(-0.713898+(-1.252152--0.059976))+0-133.4--0.408204000000015</f>
        <v>488.00213000000002</v>
      </c>
      <c r="Y315" s="3">
        <f>235.4+(398.6-19.8)+(-0.840378+(-1.423002--0.070686))+0-134.4--0.479808000000002</f>
        <v>478.0871140000001</v>
      </c>
      <c r="Z315" s="3">
        <f>238.1+(396.2-16.6)+(0.121431+(0.202062-0.008466))+0-146.4-0.0746639999999851</f>
        <v>471.54036299999996</v>
      </c>
      <c r="AA315" s="3">
        <f>236.7+(408.2-28.6)+(-0.120717+(-0.208182--0.014586))+0-148.5--0.0757349999999849</f>
        <v>467.56142199999999</v>
      </c>
      <c r="AB315" s="3">
        <f>98.2+(523.8-20.5)+(-0.050082+(-0.267138--0.010455))+0-136.6--0.0696659999999861</f>
        <v>464.66290099999992</v>
      </c>
      <c r="AC315" s="3">
        <f>10.1+(561.4-4.7)+(-0.005151+(-0.286314--0.002397))+0-133.8--0.0682379999999864</f>
        <v>432.77916999999991</v>
      </c>
      <c r="AD315">
        <f t="shared" si="4"/>
        <v>10282.359288</v>
      </c>
      <c r="AE315" s="3">
        <f>231+(389.6-20.9)+(0+(0-0))+0-126.2-0</f>
        <v>473.50000000000006</v>
      </c>
    </row>
    <row r="316" spans="1:31" s="2" customFormat="1" x14ac:dyDescent="0.25">
      <c r="A316">
        <v>89</v>
      </c>
      <c r="B316">
        <v>11</v>
      </c>
      <c r="C316">
        <v>10</v>
      </c>
      <c r="D316">
        <v>2</v>
      </c>
      <c r="E316">
        <v>1</v>
      </c>
      <c r="F316" s="3">
        <f>10.1+(521.5-1.2)+(0.005151+(0.265965-0.000612))+0-124.4-0.0634439999999874</f>
        <v>406.20705999999996</v>
      </c>
      <c r="G316" s="3">
        <f>10.1+(557.7-35.1)+(0+(0-0))+0-133.4-0</f>
        <v>399.30000000000007</v>
      </c>
      <c r="H316" s="3">
        <f>10+(548.4-24.9)+(-0.0153+(-0.839052--0.038097))+0-138--0.211140000000008</f>
        <v>394.89488500000004</v>
      </c>
      <c r="I316" s="3">
        <f>10+(537.9-23)+(-0.0255+(-1.371645--0.05865))+0-134.2--0.34220999999998</f>
        <v>389.70371499999999</v>
      </c>
      <c r="J316" s="3">
        <f>10.1+(526.3-39.4)+(0.010302+(0.536826-0.040188))+0-111.5-0.113730000000018</f>
        <v>385.89320999999995</v>
      </c>
      <c r="K316" s="3">
        <f>10.1+(495.5-30.2)+(-0.020604+(-1.01082--0.061608))+0-96.6--0.197063999999996</f>
        <v>378.02724800000004</v>
      </c>
      <c r="L316" s="3">
        <f>10.1+(492-0)+(0.020604+(1.00368-0))+0-111.8-0.228071999999995</f>
        <v>391.09621200000004</v>
      </c>
      <c r="M316" s="3">
        <f>10+(502.1-0)+(0.0051+(0.256071-0))+0-105.2-0.0536519999999893</f>
        <v>407.10751900000002</v>
      </c>
      <c r="N316" s="3">
        <f>10.1+(530.3-2)+(-0.025755+(-1.352265--0.0051))+0-107.3--0.273614999999984</f>
        <v>430.00069499999995</v>
      </c>
      <c r="O316" s="3">
        <f>10.1+(544.2-3)+(0.005151+(0.277542-0.00153))+0-118.5-0.060434999999988</f>
        <v>433.02072800000008</v>
      </c>
      <c r="P316" s="3">
        <f>5.1+(583.5-2.6)+(-0.005202+(-0.59517--0.002652))+0-134.7--0.137394000000021</f>
        <v>450.83967400000006</v>
      </c>
      <c r="Q316" s="3">
        <f>0+(612-0)+(0+(0-0))+0-145.7-0</f>
        <v>466.3</v>
      </c>
      <c r="R316" s="3">
        <f>0+(594.3-0)+(0+(-0.909279-0))+0-134.2--0.205326000000008</f>
        <v>459.39604700000001</v>
      </c>
      <c r="S316" s="3">
        <f>0+(595.7-0)+(0+(-0.607614-0))+0-143.4--0.146268000000023</f>
        <v>451.83865400000008</v>
      </c>
      <c r="T316" s="3">
        <f>0+(588-4.7)+(0+(-0.59976--0.004794))+0-136.8--0.139536000000022</f>
        <v>446.04456999999996</v>
      </c>
      <c r="U316" s="3">
        <f>0+(588-0)+(0+(0.29988-0))+0-152.6-0.0778259999999845</f>
        <v>435.62205400000005</v>
      </c>
      <c r="V316" s="3">
        <f>8.7+(584.3-0)+(-0.008874+(-0.595986-0))+0-149--0.151980000000024</f>
        <v>443.54712000000001</v>
      </c>
      <c r="W316" s="3">
        <f>10+(603.5-0)+(0+(0-0))+0-150.4-0</f>
        <v>463.1</v>
      </c>
      <c r="X316" s="3">
        <f>9.9+(648.9-0)+(-0.010098+(-0.661878-0))+0-163.4--0.166668000000026</f>
        <v>494.89469200000002</v>
      </c>
      <c r="Y316" s="3">
        <f>10.1+(621.7-0)+(-0.015453+(-0.951201-0))+0-155.5--0.237915000000009</f>
        <v>475.57126100000011</v>
      </c>
      <c r="Z316" s="3">
        <f>23.8+(591.4-0)+(-0.048552+(-1.206456-0))+0-154--0.314159999999993</f>
        <v>460.25915199999997</v>
      </c>
      <c r="AA316" s="3">
        <f>19.1+(586.2-0)+(-0.009741+(-0.298962-0))+0-143--0.0729299999999855</f>
        <v>462.06422700000002</v>
      </c>
      <c r="AB316" s="3">
        <f>10.2+(587.2-0)+(-0.020808+(-1.197888-0))+0-142.5--0.290699999999994</f>
        <v>453.97200400000008</v>
      </c>
      <c r="AC316" s="3">
        <f>10.1+(567.7-0)+(-0.010302+(-0.579054-0))+0-147.9--0.150858000000024</f>
        <v>429.46150200000017</v>
      </c>
      <c r="AD316">
        <f t="shared" si="4"/>
        <v>10408.162229000003</v>
      </c>
      <c r="AE316" s="3">
        <f>10+(649.1-0)+(0+(0-0))+0-163-0</f>
        <v>496.1</v>
      </c>
    </row>
    <row r="317" spans="1:31" s="2" customFormat="1" x14ac:dyDescent="0.25">
      <c r="A317">
        <v>89</v>
      </c>
      <c r="B317">
        <v>11</v>
      </c>
      <c r="C317">
        <v>11</v>
      </c>
      <c r="D317">
        <v>3</v>
      </c>
      <c r="E317">
        <v>1</v>
      </c>
      <c r="F317" s="3">
        <f>0+(542.7-15.7)+(0+(-1.383885--0.040035))+0-133.8--0.341189999999981</f>
        <v>392.19734</v>
      </c>
      <c r="G317" s="3">
        <f>0+(601.4-84)+(0+(-1.226856--0.17136))+0-138--0.281519999999994</f>
        <v>378.62602400000003</v>
      </c>
      <c r="H317" s="3">
        <f>0+(617.4-83)+(0+(-1.259496--0.16932))+0-141--0.287639999999994</f>
        <v>392.59746399999995</v>
      </c>
      <c r="I317" s="3">
        <f>0+(599.5-84)+(0+(-1.528725--0.2142))+0-128.4--0.327419999999981</f>
        <v>386.11289499999998</v>
      </c>
      <c r="J317" s="3">
        <f>0+(575.2-49)+(0+(1.173408-0.09996))+0-139-0.283559999999994</f>
        <v>387.98988800000006</v>
      </c>
      <c r="K317" s="3">
        <f>0+(522.2-0)+(0+(1.33161-0))+0-135.8-0.34628999999998</f>
        <v>387.38532000000004</v>
      </c>
      <c r="L317" s="3">
        <f>0+(532.5-0)+(0+(0.814725-0))+0-142.1-0.217413000000008</f>
        <v>390.99731199999991</v>
      </c>
      <c r="M317" s="3">
        <f>0+(452.2-0)+(0+(0.691866-0))+0-94-0.143820000000005</f>
        <v>358.74804599999999</v>
      </c>
      <c r="N317" s="3">
        <f>0+(555.8-0)+(0+(0.566916-0))+0-94-0.095880000000015</f>
        <v>462.27103599999992</v>
      </c>
      <c r="O317" s="3">
        <f>0+(593.2-3.5)+(0+(-1.210128--0.00714))+0-144.9--0.295595999999994</f>
        <v>443.89260800000005</v>
      </c>
      <c r="P317" s="3">
        <f>29.3+(578.1-40.6)+(0.044829+(0.884493-0.062118))+0-138.3-0.211599000000008</f>
        <v>429.15560499999992</v>
      </c>
      <c r="Q317" s="3">
        <f>120.3+(551.5-82.1)+(-0.184059+(-0.843795--0.125613))+0-133.8--0.204714000000008</f>
        <v>455.20247299999994</v>
      </c>
      <c r="R317" s="3">
        <f>19.6+(579.5-42.4)+(-0.069972+(-2.068815--0.151368))+0-93--0.332010000000001</f>
        <v>462.04459100000003</v>
      </c>
      <c r="S317" s="3">
        <f>9.9+(565.3-4.8)+(-0.005049+(-0.288303--0.002448))+0-73--0.0372299999999926</f>
        <v>497.14632599999999</v>
      </c>
      <c r="T317" s="3">
        <f>54.3+(529.8-39.2)+(-0.083079+(-0.810594--0.059976))+0-66--0.100980000000004</f>
        <v>478.16728299999994</v>
      </c>
      <c r="U317" s="3">
        <f>37.4+(522.8-31.4)+(-0.057222+(-0.799884--0.048042))+0-82--0.125460000000005</f>
        <v>446.11639599999995</v>
      </c>
      <c r="V317" s="3">
        <f>10.1+(538.8-0)+(-0.030906+(-1.648728-0))+0-83--0.25398000000001</f>
        <v>464.47434600000003</v>
      </c>
      <c r="W317" s="3">
        <f>23.5+(559.3-3.3)+(-0.083895+(-1.996701--0.011781))+0-141.7--0.505869000000002</f>
        <v>436.23705400000006</v>
      </c>
      <c r="X317" s="3">
        <f>126.2+(502.4-16.9)+(-0.386172+(-1.537344--0.051714))+0-140.4--0.429624000000016</f>
        <v>469.85782200000006</v>
      </c>
      <c r="Y317" s="3">
        <f>79.5+(553.2-8.9)+(0.08109+(0.564264-0.009078))+0-138.1-0.140862000000022</f>
        <v>486.19541399999997</v>
      </c>
      <c r="Z317" s="3">
        <f>10.2+(572.5-0)+(-0.010404+(-0.58395-0))+0-134.3--0.136986000000021</f>
        <v>447.94263200000012</v>
      </c>
      <c r="AA317" s="3">
        <f>10.1+(574-2.7)+(-0.020604+(-1.17096--0.005508))+0-140.1--0.285803999999994</f>
        <v>440.39974799999993</v>
      </c>
      <c r="AB317" s="3">
        <f>19.1+(574.1-28.5)+(-0.058446+(-1.756746--0.08721))+0-136.7--0.418302000000016</f>
        <v>426.6903200000001</v>
      </c>
      <c r="AC317" s="3">
        <f>75.7+(572.9-94.8)+(-0.308856+(-2.337432--0.386784))+0-133.3--0.543863999999988</f>
        <v>418.78435999999994</v>
      </c>
      <c r="AD317">
        <f t="shared" si="4"/>
        <v>10339.232303000001</v>
      </c>
      <c r="AE317" s="3">
        <f>127+(489.2-18.2)+(0+(0-0))+0-122.7-0</f>
        <v>475.3</v>
      </c>
    </row>
    <row r="318" spans="1:31" s="2" customFormat="1" x14ac:dyDescent="0.25">
      <c r="A318">
        <v>89</v>
      </c>
      <c r="B318">
        <v>11</v>
      </c>
      <c r="C318">
        <v>12</v>
      </c>
      <c r="D318">
        <v>4</v>
      </c>
      <c r="E318">
        <v>1</v>
      </c>
      <c r="F318" s="3">
        <f>10.1+(612.6-86.8)+(-0.010302+(-0.624852--0.088536))+0-135.3--0.138006000000022</f>
        <v>400.19138800000013</v>
      </c>
      <c r="G318" s="3">
        <f>10.1+(583.9-78.2)+(-0.030906+(-1.786734--0.239292))+0-143.2--0.438192000000017</f>
        <v>371.45984399999998</v>
      </c>
      <c r="H318" s="3">
        <f>10.1+(556.9-65.8)+(-0.015453+(-0.852057--0.100674))+0-127.2--0.194616000000007</f>
        <v>373.42777999999998</v>
      </c>
      <c r="I318" s="3">
        <f>10.1+(575.7-76.1)+(0+(0-0))+0-91-0</f>
        <v>418.70000000000005</v>
      </c>
      <c r="J318" s="3">
        <f>10.1+(567.3-71.7)+(-0.025755+(-1.446615--0.182835))+0-85--0.216749999999988</f>
        <v>419.62721499999998</v>
      </c>
      <c r="K318" s="3">
        <f>10.1+(544.4-47.6)+(-0.020604+(-1.110576--0.097104))+0-87--0.177479999999996</f>
        <v>419.04340399999995</v>
      </c>
      <c r="L318" s="3">
        <f>10.1+(502.5-0)+(-0.025755+(-1.281375-0))+0-87--0.221849999999987</f>
        <v>424.51472000000001</v>
      </c>
      <c r="M318" s="3">
        <f>10.1+(512.7-0)+(0.015453+(0.784431-0))+0-89-0.136170000000005</f>
        <v>434.4637140000001</v>
      </c>
      <c r="N318" s="3">
        <f>10.2+(531.9-3.2)+(-0.005202+(-0.271269--0.001632))+0-97--0.0494699999999902</f>
        <v>441.67463099999992</v>
      </c>
      <c r="O318" s="3">
        <f>10.1+(527.5-6.1)+(0.005151+(0.269025-0.003111))+0-107-0.0545699999999891</f>
        <v>424.71649500000001</v>
      </c>
      <c r="P318" s="3">
        <f>10.1+(528.2-11)+(-0.015453+(-0.808146--0.01683))+0-153.4--0.234702000000009</f>
        <v>373.32793300000009</v>
      </c>
      <c r="Q318" s="3">
        <f>10+(527.3-12.1)+(-0.0204+(-1.075692--0.024684))+0-144.7--0.295187999999994</f>
        <v>379.72377999999992</v>
      </c>
      <c r="R318" s="3">
        <f>10.1+(512.9-0)+(-0.015453+(-0.784737-0))+0-150.6--0.230418000000009</f>
        <v>371.83022799999992</v>
      </c>
      <c r="S318" s="3">
        <f>10+(495.7-2.9)+(-0.0051+(-0.252807--0.001479))+0-151--0.0770099999999847</f>
        <v>351.62058199999996</v>
      </c>
      <c r="T318" s="3">
        <f>10.1+(483.7-8.7)+(0.005151+(0.246687-0.004437))+0-85-0.0433499999999914</f>
        <v>400.30405100000007</v>
      </c>
      <c r="U318" s="3">
        <f>10+(476.2-11.4)+(-0.0153+(-0.728586--0.017442))+0-77--0.117810000000004</f>
        <v>397.19136600000002</v>
      </c>
      <c r="V318" s="3">
        <f>10.1+(495.7-0)+(0+(0-0))+0-101-0</f>
        <v>404.8</v>
      </c>
      <c r="W318" s="3">
        <f>17.3+(530.5-0)+(-0.017646+(-0.54111-0))+0-106--0.108120000000017</f>
        <v>441.34936399999998</v>
      </c>
      <c r="X318" s="3">
        <f>124.2+(480.2-11.8)+(-0.380052+(-1.469412--0.036108))+0-117--0.358020000000014</f>
        <v>474.14466400000003</v>
      </c>
      <c r="Y318" s="3">
        <f>124.7+(458.1-13.8)+(-0.190791+(-0.700893--0.021114))+0-95--0.145350000000006</f>
        <v>473.27477999999996</v>
      </c>
      <c r="Z318" s="3">
        <f>125.9+(504-56.9)+(-0.128418+(-0.51408--0.058038))+0-111--0.113220000000018</f>
        <v>461.52875999999998</v>
      </c>
      <c r="AA318" s="3">
        <f>109.1+(516.1-63.2)+(-0.111282+(-0.526422--0.064464))+0-105--0.107100000000017</f>
        <v>456.53385999999995</v>
      </c>
      <c r="AB318" s="3">
        <f>10+(587.2-80.2)+(-0.0153+(-0.898416--0.122706))+0-82--0.125460000000005</f>
        <v>434.33445</v>
      </c>
      <c r="AC318" s="3">
        <f>10.2+(625.4-120.2)+(-0.010404+(-0.637908--0.122604))+0-93--0.0948600000000148</f>
        <v>421.96915200000001</v>
      </c>
      <c r="AD318">
        <f t="shared" si="4"/>
        <v>9969.7521609999985</v>
      </c>
      <c r="AE318" s="3">
        <f>123+(445.6-8.7)+(0+(0-0))+0-61-0</f>
        <v>498.90000000000009</v>
      </c>
    </row>
    <row r="319" spans="1:31" s="2" customFormat="1" x14ac:dyDescent="0.25">
      <c r="A319">
        <v>89</v>
      </c>
      <c r="B319">
        <v>11</v>
      </c>
      <c r="C319">
        <v>13</v>
      </c>
      <c r="D319">
        <v>5</v>
      </c>
      <c r="E319">
        <v>5</v>
      </c>
      <c r="F319" s="3">
        <f>10.1+(595.7-95.5)+(-0.015453+(-0.911421--0.146115))+0-108--0.165240000000006</f>
        <v>401.68448100000006</v>
      </c>
      <c r="G319" s="3">
        <f>10.1+(568.1-79.4)+(0.005151+(0.289731-0.040494))+0-115-0.0586499999999883</f>
        <v>383.99573800000007</v>
      </c>
      <c r="H319" s="3">
        <f>10.2+(625.5-151.9)+(-0.010404+(-0.63801--0.154938))+0-102--0.104040000000016</f>
        <v>381.41056400000002</v>
      </c>
      <c r="I319" s="3">
        <f>10.1+(609-129.8)+(0.010302+(0.62118-0.132396))+0-103-0.105060000000016</f>
        <v>386.69402599999995</v>
      </c>
      <c r="J319" s="3">
        <f>10.1+(588.7-106.3)+(0.010302+(0.600474-0.108426))+0-113-0.115260000000018</f>
        <v>379.88709</v>
      </c>
      <c r="K319" s="3">
        <f>10.1+(625.5-157.2)+(0.015453+(0.957015-0.240516))+0-100-0.153000000000006</f>
        <v>378.97895199999999</v>
      </c>
      <c r="L319" s="3">
        <f>10+(568.6-130.3)+(0+(0-0))+0-96-0</f>
        <v>352.3</v>
      </c>
      <c r="M319" s="3">
        <f>10+(486.1-64)+(-0.0255+(-1.239555--0.1632))+0-95--0.242249999999986</f>
        <v>336.24039500000003</v>
      </c>
      <c r="N319" s="3">
        <f>10+(498.9-77)+(-0.0051+(-0.254439--0.03927))+0-97--0.0494699999999902</f>
        <v>334.72920099999999</v>
      </c>
      <c r="O319" s="3">
        <f>10.1+(514.1-82)+(0.015453+(0.786573-0.12546))+0-96-0.146880000000006</f>
        <v>346.72968600000002</v>
      </c>
      <c r="P319" s="3">
        <f>10.1+(524.2-55)+(-0.030906+(-1.604052--0.1683))+0-113--0.345780000000013</f>
        <v>365.17912200000006</v>
      </c>
      <c r="Q319" s="3">
        <f>19.7+(482.3-33)+(-0.030141+(-0.737919--0.05049))+0-109--0.166770000000006</f>
        <v>359.44919999999996</v>
      </c>
      <c r="R319" s="3">
        <f>75.9+(459.4-65)+(0+(0-0))+0-101-0</f>
        <v>369.29999999999995</v>
      </c>
      <c r="S319" s="3">
        <f>80.6+(469.6-88.5)+(-0.082212+(-0.478992--0.09027))+0-109--0.111180000000017</f>
        <v>352.34024600000004</v>
      </c>
      <c r="T319" s="3">
        <f>101.8+(500.8-166.2)+(-0.155754+(-0.766224--0.254286))+0-88--0.134640000000005</f>
        <v>347.86694800000004</v>
      </c>
      <c r="U319" s="3">
        <f>100.4+(460.4-110.1)+(-0.204816+(-0.939216--0.224604))+0-102--0.208079999999996</f>
        <v>347.98865199999995</v>
      </c>
      <c r="V319" s="3">
        <f>104.3+(474.8-117.2)+(0+(0-0))+0-105-0</f>
        <v>356.90000000000003</v>
      </c>
      <c r="W319" s="3">
        <f>123.8+(415.8-57.1)+(0+(0-0))+0-108-0</f>
        <v>374.5</v>
      </c>
      <c r="X319" s="3">
        <f>210+(417.4-90.1)+(-0.4284+(-0.851496--0.183804))+0-113--0.230519999999995</f>
        <v>423.43442799999997</v>
      </c>
      <c r="Y319" s="3">
        <f>102.9+(490-49.2)+(-0.104958+(-0.4998--0.050184))+0-117--0.119340000000019</f>
        <v>426.26476600000007</v>
      </c>
      <c r="Z319" s="3">
        <f>101.4+(507.4-78.9)+(0+(0-0))+0-108-0</f>
        <v>421.9</v>
      </c>
      <c r="AA319" s="3">
        <f>102.5+(504.1-75.5)+(0.052275+(0.257091-0.038505))+0-120-0.0611999999999878</f>
        <v>411.30966100000001</v>
      </c>
      <c r="AB319" s="3">
        <f>101+(514.3-110.3)+(-0.05151+(-0.262293--0.056253))+0-107--0.0545699999999891</f>
        <v>397.79701999999997</v>
      </c>
      <c r="AC319" s="3">
        <f>106.2+(490.1-101.3)+(-0.324972+(-1.499706--0.309978))+0-112--0.342720000000013</f>
        <v>381.82801999999998</v>
      </c>
      <c r="AD319">
        <f t="shared" si="4"/>
        <v>9018.7081959999996</v>
      </c>
      <c r="AE319" s="3">
        <f>215+(411-91.8)+(0+(0-0))+0-94-0</f>
        <v>440.20000000000005</v>
      </c>
    </row>
    <row r="320" spans="1:31" s="2" customFormat="1" x14ac:dyDescent="0.25">
      <c r="A320">
        <v>89</v>
      </c>
      <c r="B320">
        <v>11</v>
      </c>
      <c r="C320">
        <v>14</v>
      </c>
      <c r="D320">
        <v>6</v>
      </c>
      <c r="E320">
        <v>6</v>
      </c>
      <c r="F320" s="3">
        <f>123.4+(491.2-140.1)+(-0.062934+(-0.250512--0.071451))+0-112--0.0571199999999886</f>
        <v>362.31512500000002</v>
      </c>
      <c r="G320" s="3">
        <f>176.7+(462.2-154.3)+(0+(0-0))+0-121-0</f>
        <v>363.59999999999997</v>
      </c>
      <c r="H320" s="3">
        <f>190.1+(431.4-146.7)+(-0.581706+(-1.320084--0.448902))+0-106--0.324360000000012</f>
        <v>367.67147199999999</v>
      </c>
      <c r="I320" s="3">
        <f>179.1+(453.7-157.2)+(0.365364+(0.925548-0.320688))+0-117-0.238679999999995</f>
        <v>359.33154400000001</v>
      </c>
      <c r="J320" s="3">
        <f>179.8+(451.3-153.7)+(0.091698+(0.230163-0.078387))+0-117-0.0596699999999881</f>
        <v>360.58380400000004</v>
      </c>
      <c r="K320" s="3">
        <f>178.9+(425.4-137.1)+(0.364956+(0.867816-0.279684))+0-108-0.220319999999995</f>
        <v>359.9327679999999</v>
      </c>
      <c r="L320" s="3">
        <f>179.4+(408-105.8)+(0.091494+(0.20808-0.053958))+0-110-0.0560999999999888</f>
        <v>371.78951599999999</v>
      </c>
      <c r="M320" s="3">
        <f>175.3+(413-90.2)+(-0.089403+(-0.21063--0.046002))+0-112--0.0571199999999886</f>
        <v>385.90308900000002</v>
      </c>
      <c r="N320" s="3">
        <f>175.9+(456.2-114.5)+(-0.089709+(-0.232662--0.058395))+0-111--0.0566099999999887</f>
        <v>406.39263400000004</v>
      </c>
      <c r="O320" s="3">
        <f>199.7+(487.7-155.9)+(0.203694+(0.497454-0.159018))+0-117-0.119340000000019</f>
        <v>414.92279000000002</v>
      </c>
      <c r="P320" s="3">
        <f>212.9+(512-191.3)+(-0.108579+(-0.26112--0.097563))+0-107--0.0545699999999891</f>
        <v>426.38243399999999</v>
      </c>
      <c r="Q320" s="3">
        <f>212.8+(497.9-172.9)+(0+(0-0))+0-97-0</f>
        <v>440.79999999999995</v>
      </c>
      <c r="R320" s="3">
        <f>211.9+(531-195.6)+(-0.324207+(-0.81243--0.299268))+0-110--0.168300000000006</f>
        <v>436.63093099999998</v>
      </c>
      <c r="S320" s="3">
        <f>210+(538.1-222.1)+(-0.5355+(-1.372155--0.566355))+0-98--0.249899999999986</f>
        <v>426.90859999999992</v>
      </c>
      <c r="T320" s="3">
        <f>212.2+(526.4-238.3)+(-0.324666+(-0.805392--0.364599))+0-93--0.142290000000005</f>
        <v>406.67683099999994</v>
      </c>
      <c r="U320" s="3">
        <f>207.5+(479.5-202.9)+(-0.952425+(-2.200905--0.931311))+0-85--0.390150000000015</f>
        <v>397.26813100000004</v>
      </c>
      <c r="V320" s="3">
        <f>211.8+(410.8-113.7)+(-0.216036+(-0.419016--0.115974))+0-110--0.112200000000018</f>
        <v>398.49312200000008</v>
      </c>
      <c r="W320" s="3">
        <f>212.9+(379.4-75.7)+(0.108579+(0.193494-0.038607))+0-91-0.0464099999999908</f>
        <v>425.81705600000004</v>
      </c>
      <c r="X320" s="3">
        <f>212.3+(398.8-50.4)+(-0.324819+(-0.610164--0.077112))+0-117--0.179010000000007</f>
        <v>443.02113900000001</v>
      </c>
      <c r="Y320" s="3">
        <f>211.1+(414.2-76.4)+(-0.538305+(-1.05621--0.19482))+0-90--0.229499999999987</f>
        <v>457.729805</v>
      </c>
      <c r="Z320" s="3">
        <f>213.2+(369.8-56.6)+(-0.326196+(-0.565794--0.086598))+0-102--0.156060000000006</f>
        <v>423.75066800000002</v>
      </c>
      <c r="AA320" s="3">
        <f>211.6+(405.8-90.6)+(-0.323748+(-0.620874--0.138618))+0-122--0.186660000000007</f>
        <v>404.18065600000006</v>
      </c>
      <c r="AB320" s="3">
        <f>214.2+(448.2-122.2)+(-0.109242+(-0.228582--0.062322))+0-114--0.0581399999999884</f>
        <v>425.98263800000007</v>
      </c>
      <c r="AC320" s="3">
        <f>136+(494.7-105.8)+(-0.13872+(-0.504594--0.107916))+0-113--0.115260000000018</f>
        <v>411.47986200000003</v>
      </c>
      <c r="AD320">
        <f t="shared" si="4"/>
        <v>9677.5646149999993</v>
      </c>
      <c r="AE320" s="3">
        <f>211+(419.7-60.1)+(0+(0-0))+0-101-0</f>
        <v>469.59999999999991</v>
      </c>
    </row>
    <row r="321" spans="1:31" s="2" customFormat="1" x14ac:dyDescent="0.25">
      <c r="A321">
        <v>89</v>
      </c>
      <c r="B321">
        <v>11</v>
      </c>
      <c r="C321">
        <v>15</v>
      </c>
      <c r="D321">
        <v>7</v>
      </c>
      <c r="E321">
        <v>5</v>
      </c>
      <c r="F321" s="3">
        <f>96.2+(495.3-78.5)+(-0.049062+(-0.252603--0.040035))+0-111--0.0566099999999887</f>
        <v>401.79498000000001</v>
      </c>
      <c r="G321" s="3">
        <f>94.5+(486.2-65.4)+(-0.048195+(-0.247962--0.033354))+0-123--0.0627299999999875</f>
        <v>392.09992699999998</v>
      </c>
      <c r="H321" s="3">
        <f>93.5+(485-72.5)+(-0.19074+(-0.9894--0.1479))+0-122--0.248879999999995</f>
        <v>383.21663999999998</v>
      </c>
      <c r="I321" s="3">
        <f>93.1+(469.5-61)+(-0.189924+(-0.95778--0.12444))+0-121--0.246839999999995</f>
        <v>379.82357600000006</v>
      </c>
      <c r="J321" s="3">
        <f>64.6+(456.4-36.2)+(0+(0-0))+0-115-0</f>
        <v>369.79999999999995</v>
      </c>
      <c r="K321" s="3">
        <f>54.7+(455.1-16.1)+(0.139485+(1.160505-0.041055))+0-126-0.321299999999982</f>
        <v>368.63763499999999</v>
      </c>
      <c r="L321" s="3">
        <f>55.3+(455.7-43.9)+(-0.056406+(-0.464814--0.044778))+0-108--0.110160000000017</f>
        <v>358.73371800000001</v>
      </c>
      <c r="M321" s="3">
        <f>55.4+(399.8-0)+(-0.028254+(-0.203898-0))+0-116--0.0591599999999882</f>
        <v>339.02700799999997</v>
      </c>
      <c r="N321" s="3">
        <f>55.4+(401.6-0)+(-0.028254+(-0.204816-0))+0-105--0.0535499999999893</f>
        <v>351.82047999999998</v>
      </c>
      <c r="O321" s="3">
        <f>55.7+(448.8-43)+(-0.056814+(-0.457776--0.04386))+0-100--0.102000000000016</f>
        <v>361.13127000000003</v>
      </c>
      <c r="P321" s="3">
        <f>55+(474.9-56.3)+(-0.19635+(-1.695393--0.200991))+0-110--0.392700000000002</f>
        <v>362.30194799999998</v>
      </c>
      <c r="Q321" s="3">
        <f>56+(455.4-58.3)+(0+(0-0))+0-85-0</f>
        <v>368.09999999999997</v>
      </c>
      <c r="R321" s="3">
        <f>55.1+(439.7-38.6)+(0+(0-0))+0-90-0</f>
        <v>366.2</v>
      </c>
      <c r="S321" s="3">
        <f>55.7+(418.8-10)+(-0.028407+(-0.213588--0.0051))+0-109--0.0555899999999889</f>
        <v>355.31869499999999</v>
      </c>
      <c r="T321" s="3">
        <f>55.7+(442.2-18)+(-0.056814+(-0.451044--0.01836))+0-128--0.13056000000002</f>
        <v>351.54106199999995</v>
      </c>
      <c r="U321" s="3">
        <f>55.1+(439-56.6)+(-0.056202+(-0.44778--0.057732))+0-90--0.0918000000000144</f>
        <v>347.14555000000001</v>
      </c>
      <c r="V321" s="3">
        <f>83.9+(475.7-93)+(-0.042789+(-0.242607--0.04743))+0-121--0.0617099999999877</f>
        <v>345.42374400000006</v>
      </c>
      <c r="W321" s="3">
        <f>93.4+(441.2-28.6)+(-0.095268+(-0.450024--0.029172))+0-122--0.124440000000019</f>
        <v>383.60831999999999</v>
      </c>
      <c r="X321" s="3">
        <f>93.7+(444.3-0)+(-0.095574+(-0.453186-0))+0-107--0.109140000000017</f>
        <v>430.56038000000001</v>
      </c>
      <c r="Y321" s="3">
        <f>94.1+(442.2-1.2)+(-0.047991+(-0.225522--0.000612))+0-111--0.0566099999999887</f>
        <v>423.88370899999995</v>
      </c>
      <c r="Z321" s="3">
        <f>93+(455.5-1.6)+(-0.14229+(-0.696915--0.002448))+0-114--0.174420000000007</f>
        <v>432.23766299999994</v>
      </c>
      <c r="AA321" s="3">
        <f>94.3+(475.3-17.4)+(0+(0-0))+0-125-0</f>
        <v>427.20000000000005</v>
      </c>
      <c r="AB321" s="3">
        <f>93.2+(501-62.3)+(-0.23766+(-1.27755--0.158865))+0-119--0.303449999999983</f>
        <v>411.84710499999994</v>
      </c>
      <c r="AC321" s="3">
        <f>91.5+(521.7-109.3)+(-0.233325+(-1.330335--0.278715))+0-112--0.285599999999984</f>
        <v>390.90065500000003</v>
      </c>
      <c r="AD321">
        <f t="shared" ref="AD321:AD365" si="5">SUM(F321:AC321)</f>
        <v>9102.3540649999995</v>
      </c>
      <c r="AE321" s="3">
        <f>98+(456.3-0)+(0+(0-0))+0-67-0</f>
        <v>487.29999999999995</v>
      </c>
    </row>
    <row r="322" spans="1:31" s="2" customFormat="1" x14ac:dyDescent="0.25">
      <c r="A322">
        <v>89</v>
      </c>
      <c r="B322">
        <v>11</v>
      </c>
      <c r="C322">
        <v>16</v>
      </c>
      <c r="D322">
        <v>1</v>
      </c>
      <c r="E322">
        <v>1</v>
      </c>
      <c r="F322" s="3">
        <f>90.3+(500.6-107.3)+(-0.046053+(-0.255306--0.054723))+0-110--0.0560999999999888</f>
        <v>373.40946400000001</v>
      </c>
      <c r="G322" s="3">
        <f>89.3+(486.9-88.6)+(0.136629+(0.744957-0.135558))+0-115-0.175950000000007</f>
        <v>373.17007799999999</v>
      </c>
      <c r="H322" s="3">
        <f>82.6+(477.1-69.5)+(-0.168504+(-0.973284--0.14178))+0-117--0.238679999999995</f>
        <v>372.43867200000005</v>
      </c>
      <c r="I322" s="3">
        <f>55.3+(484.4-49.1)+(-0.084609+(-0.741132--0.075123))+0-124--0.189720000000007</f>
        <v>366.03910200000001</v>
      </c>
      <c r="J322" s="3">
        <f>55.5+(465.4-41.8)+(-0.084915+(-0.712062--0.063954))+0-113--0.172890000000007</f>
        <v>365.53986699999996</v>
      </c>
      <c r="K322" s="3">
        <f>55.5+(443.9-21.8)+(0+(0-0))+0-102-0</f>
        <v>375.59999999999997</v>
      </c>
      <c r="L322" s="3">
        <f>55.2+(456.9-19.7)+(0.028152+(0.233019-0.010047))+0-93-0.0474299999999906</f>
        <v>399.60369400000002</v>
      </c>
      <c r="M322" s="3">
        <f>69.9+(473.9-7.6)+(-0.035649+(-0.241689--0.003876))+0-102--0.0520199999999897</f>
        <v>433.97855799999991</v>
      </c>
      <c r="N322" s="3">
        <f>117+(490.7-14.9)+(0.11934+(0.500514-0.015198))+0-126-0.12852000000002</f>
        <v>467.27613599999989</v>
      </c>
      <c r="O322" s="3">
        <f>220.5+(473.2-100.8)+(0.22491+(0.482664-0.102816))+0-104-0.106080000000017</f>
        <v>489.3986779999999</v>
      </c>
      <c r="P322" s="3">
        <f>218.9+(484.7-95.5)+(0.446556+(0.988788-0.19482))+0-111-0.226439999999995</f>
        <v>498.1140840000001</v>
      </c>
      <c r="Q322" s="3">
        <f>211.5+(500.7-96.9)+(-0.539325+(-1.276785--0.247095))+0-104--0.265199999999985</f>
        <v>509.99618499999991</v>
      </c>
      <c r="R322" s="3">
        <f>216.1+(504.4-115.7)+(-0.330633+(-0.771732--0.177021))+0-103--0.157590000000006</f>
        <v>501.03224599999999</v>
      </c>
      <c r="S322" s="3">
        <f>198.1+(525.6-132.1)+(-0.404124+(-1.072224--0.269484))+0-108--0.220319999999995</f>
        <v>482.61345600000004</v>
      </c>
      <c r="T322" s="3">
        <f>152.5+(572.7-144.7)+(-0.15555+(-0.584154--0.147594))+0-106--0.108120000000017</f>
        <v>474.01600999999999</v>
      </c>
      <c r="U322" s="3">
        <f>160.4+(549.6-144.9)+(0.245412+(0.840888-0.221697))+0-114-0.174420000000007</f>
        <v>451.79018300000001</v>
      </c>
      <c r="V322" s="3">
        <f>215.4+(502.8-144.8)+(-0.329562+(-0.769284--0.221544))+0-108--0.165240000000006</f>
        <v>464.68793799999997</v>
      </c>
      <c r="W322" s="3">
        <f>218+(530.1-145.9)+(0+(0-0))+0-91-0</f>
        <v>511.20000000000005</v>
      </c>
      <c r="X322" s="3">
        <f>216.3+(564.5-168)+(-0.330939+(-0.863685--0.25704))+0-85--0.130050000000005</f>
        <v>526.99246599999992</v>
      </c>
      <c r="Y322" s="3">
        <f>217.2+(513.6-99.3)+(-0.110772+(-0.261936--0.050643))+0-109--0.0555899999999889</f>
        <v>522.23352499999999</v>
      </c>
      <c r="Z322" s="3">
        <f>215.6+(510.9-90.5)+(-0.439824+(-1.042236--0.18462))+0-119--0.242759999999995</f>
        <v>515.94531999999992</v>
      </c>
      <c r="AA322" s="3">
        <f>217.4+(533.9-132.7)+(-0.110874+(-0.272289--0.067677))+0-110--0.0560999999999888</f>
        <v>508.34061400000007</v>
      </c>
      <c r="AB322" s="3">
        <f>211.6+(470.8-78.8)+(-0.53958+(-1.20054--0.20094))+0-117--0.298349999999983</f>
        <v>485.35917000000001</v>
      </c>
      <c r="AC322" s="3">
        <f>209.8+(445-69.9)+(-0.427992+(-0.9078--0.142596))+0-102--0.208079999999996</f>
        <v>481.91488400000014</v>
      </c>
      <c r="AD322">
        <f t="shared" si="5"/>
        <v>10950.690329999999</v>
      </c>
      <c r="AE322" s="3">
        <f>218+(577-173.5)+(0+(0-0))+0-62-0</f>
        <v>559.5</v>
      </c>
    </row>
    <row r="323" spans="1:31" s="2" customFormat="1" x14ac:dyDescent="0.25">
      <c r="A323">
        <v>89</v>
      </c>
      <c r="B323">
        <v>11</v>
      </c>
      <c r="C323">
        <v>17</v>
      </c>
      <c r="D323">
        <v>2</v>
      </c>
      <c r="E323">
        <v>1</v>
      </c>
      <c r="F323" s="3">
        <f>206.4+(471.7-132.8)+(-0.210528+(-0.481134--0.135456))+0-105--0.107100000000017</f>
        <v>439.85089399999998</v>
      </c>
      <c r="G323" s="3">
        <f>207+(500.5-156.6)+(-0.21114+(-0.51051--0.159732))+0-111--0.113220000000018</f>
        <v>439.451302</v>
      </c>
      <c r="H323" s="3">
        <f>206.5+(522.1-196)+(-0.105315+(-0.266271--0.09996))+0-102--0.0520199999999897</f>
        <v>430.38039400000002</v>
      </c>
      <c r="I323" s="3">
        <f>212.6+(546.3-204.1)+(0.54213+(1.393065-0.520455))+0-128-0.326399999999981</f>
        <v>427.88834000000003</v>
      </c>
      <c r="J323" s="3">
        <f>207.2+(529.9-229.2)+(-0.317016+(-0.810747--0.350676))+0-93--0.142290000000005</f>
        <v>414.26520299999999</v>
      </c>
      <c r="K323" s="3">
        <f>207.5+(486.8-176.6)+(0+(0-0))+0-98-0</f>
        <v>419.70000000000005</v>
      </c>
      <c r="L323" s="3">
        <f>208.1+(429.4-101.1)+(-0.212262+(-0.437988--0.103122))+0-95--0.0969000000000152</f>
        <v>440.94977199999994</v>
      </c>
      <c r="M323" s="3">
        <f>206.6+(421.5-78.1)+(-0.210732+(-0.42993--0.079662))+0-91--0.0928200000000145</f>
        <v>458.53181999999998</v>
      </c>
      <c r="N323" s="3">
        <f>208.5+(477.7-94.6)+(-0.106335+(-0.243627--0.048246))+0-113--0.0576299999999885</f>
        <v>478.35591399999993</v>
      </c>
      <c r="O323" s="3">
        <f>218.4+(514.9-134.2)+(0.111384+(0.262599-0.068442))+0-101-0.0515099999999898</f>
        <v>498.35403099999996</v>
      </c>
      <c r="P323" s="3">
        <f>250+(502-154.7)+(-0.51+(-1.02408--0.315588))+0-99--0.201959999999996</f>
        <v>497.28346799999997</v>
      </c>
      <c r="Q323" s="3">
        <f>274.6+(506.3-172.5)+(-0.560184+(-1.032852--0.3519))+0-91--0.185639999999996</f>
        <v>516.34450400000014</v>
      </c>
      <c r="R323" s="3">
        <f>263.2+(493.5-137.1)+(-0.536928+(-1.00674--0.279684))+0-85--0.173399999999996</f>
        <v>533.50941599999987</v>
      </c>
      <c r="S323" s="3">
        <f>153.7+(512.5-81.5)+(-0.235161+(-0.784125--0.124695))+0-80--0.122400000000005</f>
        <v>503.92780900000008</v>
      </c>
      <c r="T323" s="3">
        <f>155.9+(503.8-126.2)+(-0.159018+(-0.513876--0.128724))+0-62--0.0632400000000099</f>
        <v>471.01907</v>
      </c>
      <c r="U323" s="3">
        <f>153.2+(497-120.3)+(-0.468792+(-1.52082--0.368118))+0-65--0.198900000000008</f>
        <v>463.47740599999997</v>
      </c>
      <c r="V323" s="3">
        <f>187.8+(446.6-107.9)+(0+(0-0))+0-62-0</f>
        <v>464.5</v>
      </c>
      <c r="W323" s="3">
        <f>201.1+(451.1-90.3)+(-0.307683+(-0.690183--0.138159))+0-60--0.0918000000000035</f>
        <v>501.132093</v>
      </c>
      <c r="X323" s="3">
        <f>204.5+(510.2-106.2)+(0+(0-0))+0-88-0</f>
        <v>520.5</v>
      </c>
      <c r="Y323" s="3">
        <f>200.4+(537.7-113.2)+(-0.715428+(-1.919589--0.404124))+0-81--0.289170000000001</f>
        <v>541.95827700000007</v>
      </c>
      <c r="Z323" s="3">
        <f>204.8+(546.3-129.7)+(-0.104448+(-0.278613--0.066147))+0-84--0.0428399999999915</f>
        <v>537.12592599999994</v>
      </c>
      <c r="AA323" s="3">
        <f>192+(583.8-145.4)+(-0.4896+(-1.48869--0.37077))+0-114--0.290699999999983</f>
        <v>515.08317999999997</v>
      </c>
      <c r="AB323" s="3">
        <f>189.4+(559.2-155.9)+(-0.193188+(-0.570384--0.159018))+0-110--0.112200000000018</f>
        <v>482.20764600000007</v>
      </c>
      <c r="AC323" s="3">
        <f>180.9+(534.4-120.1)+(-0.369036+(-1.090176--0.245004))+0-121--0.246839999999995</f>
        <v>473.23263199999997</v>
      </c>
      <c r="AD323">
        <f t="shared" si="5"/>
        <v>11469.029096999999</v>
      </c>
      <c r="AE323" s="3">
        <f>206+(528.4-106.5)+(0+(0-0))+0-23-0</f>
        <v>604.9</v>
      </c>
    </row>
    <row r="324" spans="1:31" s="2" customFormat="1" x14ac:dyDescent="0.25">
      <c r="A324">
        <v>89</v>
      </c>
      <c r="B324">
        <v>11</v>
      </c>
      <c r="C324">
        <v>18</v>
      </c>
      <c r="D324">
        <v>3</v>
      </c>
      <c r="E324">
        <v>1</v>
      </c>
      <c r="F324" s="3">
        <f>185.6+(547.6-171.6)+(-0.378624+(-1.117104--0.350064))+0-64--0.130559999999997</f>
        <v>496.58489600000001</v>
      </c>
      <c r="G324" s="3">
        <f>180.8+(577.6-212.8)+(-0.092208+(-0.294576--0.108528))+0-64--0.0326399999999935</f>
        <v>481.35438399999998</v>
      </c>
      <c r="H324" s="3">
        <f>189.2+(602.3-247.2)+(0.096492+(0.307173-0.126072))+0-65-0.0331499999999934</f>
        <v>479.544443</v>
      </c>
      <c r="I324" s="3">
        <f>184.2+(566.3-195)+(-0.46971+(-1.444065--0.49725))+0-65--0.165749999999991</f>
        <v>489.24922500000002</v>
      </c>
      <c r="J324" s="3">
        <f>187.4+(468.1-113.3)+(-0.191148+(-0.477462--0.115566))+0-65--0.0663000000000104</f>
        <v>476.71325600000006</v>
      </c>
      <c r="K324" s="3">
        <f>190.1+(426.9-82.4)+(-0.096951+(-0.217719--0.042024))+0-63--0.0321299999999936</f>
        <v>471.35948400000001</v>
      </c>
      <c r="L324" s="3">
        <f>182.7+(393-34.8)+(-0.559062+(-1.20258--0.106488))+0-98--0.299880000000011</f>
        <v>441.54472599999997</v>
      </c>
      <c r="M324" s="3">
        <f>187.6+(411.2-39.2)+(0+(0-0))+0-87-0</f>
        <v>472.6</v>
      </c>
      <c r="N324" s="3">
        <f>190.3+(485.9-90.9)+(0.291159+(0.743427-0.139077))+0-94-0.143820000000005</f>
        <v>492.0516889999999</v>
      </c>
      <c r="O324" s="3">
        <f>196.7+(543-145.5)+(0+(0-0))+0-87-0</f>
        <v>507.20000000000005</v>
      </c>
      <c r="P324" s="3">
        <f>201.7+(540.4-127.9)+(0+(0-0))+0-99-0</f>
        <v>515.20000000000005</v>
      </c>
      <c r="Q324" s="3">
        <f>195.1+(569.1-145.8)+(0+(0-0))+0-91-0</f>
        <v>527.4</v>
      </c>
      <c r="R324" s="3">
        <f>171.8+(592.1-148.6)+(-0.43809+(-1.509855--0.37893))+0-104--0.265199999999985</f>
        <v>509.99618499999991</v>
      </c>
      <c r="S324" s="3">
        <f>194.9+(473.3-71.4)+(-0.198798+(-0.482766--0.072828))+0-98--0.0999600000000156</f>
        <v>498.29122399999994</v>
      </c>
      <c r="T324" s="3">
        <f>193.9+(499.2-108.9)+(-0.098889+(-0.254592--0.055539))+0-97--0.0494699999999902</f>
        <v>486.95152799999988</v>
      </c>
      <c r="U324" s="3">
        <f>194.5+(522.2-126.8)+(-0.19839+(-0.532644--0.129336))+0-102--0.104040000000016</f>
        <v>487.40234200000003</v>
      </c>
      <c r="V324" s="3">
        <f>195.9+(574.7-187.6)+(0.099909+(0.293097-0.095676))+0-94-0.0479399999999905</f>
        <v>489.24939000000001</v>
      </c>
      <c r="W324" s="3">
        <f>197.9+(582.9-158.1)+(-0.100929+(-0.297279--0.080631))+0-101--0.0515099999999898</f>
        <v>521.43393299999991</v>
      </c>
      <c r="X324" s="3">
        <f>200.5+(519.4-65.2)+(-0.40902+(-1.059576--0.133008))+0-105--0.214199999999995</f>
        <v>548.57861200000002</v>
      </c>
      <c r="Y324" s="3">
        <f>203.3+(523.7-103.3)+(-0.414732+(-1.068348--0.210732))+0-98--0.199919999999996</f>
        <v>524.6275720000001</v>
      </c>
      <c r="Z324" s="3">
        <f>204.3+(571-153)+(-0.312579+(-0.87363--0.23409))+0-109--0.166770000000006</f>
        <v>512.51465099999996</v>
      </c>
      <c r="AA324" s="3">
        <f>206.9+(583.1-186.2)+(-0.527595+(-1.486905--0.47481))+0-98--0.249899999999986</f>
        <v>504.51021000000009</v>
      </c>
      <c r="AB324" s="3">
        <f>205+(571.6-184.3)+(-0.4182+(-1.166064--0.375972))+0-104--0.212159999999995</f>
        <v>487.30386799999991</v>
      </c>
      <c r="AC324" s="3">
        <f>206.6+(583.2-225)+(-0.948294+(-2.676888--1.03275))+0-92--0.422280000000016</f>
        <v>470.62984800000004</v>
      </c>
      <c r="AD324">
        <f t="shared" si="5"/>
        <v>11892.291465999999</v>
      </c>
      <c r="AE324" s="3">
        <f>202+(519.8-53.2)+(0+(0-0))+0-66-0</f>
        <v>602.59999999999991</v>
      </c>
    </row>
    <row r="325" spans="1:31" s="2" customFormat="1" x14ac:dyDescent="0.25">
      <c r="A325">
        <v>89</v>
      </c>
      <c r="B325">
        <v>11</v>
      </c>
      <c r="C325">
        <v>19</v>
      </c>
      <c r="D325">
        <v>4</v>
      </c>
      <c r="E325">
        <v>1</v>
      </c>
      <c r="F325" s="3">
        <f>207+(618.3-283.2)+(0.42228+(1.261332-0.577728))+0-96-0.195839999999996</f>
        <v>447.01004399999988</v>
      </c>
      <c r="G325" s="3">
        <f>207+(649.7-336.7)+(0.21114+(0.662694-0.343434))+0-96-0.0979200000000153</f>
        <v>424.43248</v>
      </c>
      <c r="H325" s="3">
        <f>208.1+(653-331.4)+(-0.212262+(-0.66606--0.338028))+0-105--0.107100000000017</f>
        <v>424.26680600000003</v>
      </c>
      <c r="I325" s="3">
        <f>209.1+(642.2-320.8)+(-0.533205+(-1.63761--0.81804))+0-115--0.293249999999983</f>
        <v>414.44047500000005</v>
      </c>
      <c r="J325" s="3">
        <f>208.6+(597-280)+(0.106386+(0.30447-0.1428))+0-111-0.0566099999999887</f>
        <v>414.81144600000005</v>
      </c>
      <c r="K325" s="3">
        <f>209.8+(525.3-200.9)+(0.427992+(1.071612-0.409836))+0-110-0.224399999999995</f>
        <v>425.06536800000009</v>
      </c>
      <c r="L325" s="3">
        <f>212+(475.3-124.4)+(-0.43248+(-0.969612--0.253776))+0-114--0.232559999999995</f>
        <v>447.98424399999993</v>
      </c>
      <c r="M325" s="3">
        <f>212.8+(464.2-99.7)+(-0.108528+(-0.236742--0.050847))+0-98--0.0499799999999901</f>
        <v>479.05555699999991</v>
      </c>
      <c r="N325" s="3">
        <f>210.5+(551.8-148)+(0.21471+(0.562836-0.15096))+0-113-0.115260000000018</f>
        <v>501.81132599999989</v>
      </c>
      <c r="O325" s="3">
        <f>268.9+(567.5-232.7)+(0.137139+(0.289425-0.118677))+0-104-0.0530399999999895</f>
        <v>499.95484700000009</v>
      </c>
      <c r="P325" s="3">
        <f>326.6+(530.1-238.4)+(-0.666264+(-1.081404--0.486336))+0-152.1--0.310283999999993</f>
        <v>465.24895199999997</v>
      </c>
      <c r="Q325" s="3">
        <f>333.7+(531.8-244.6)+(-0.680748+(-1.084872--0.498984))+0-147--0.299879999999994</f>
        <v>472.93324399999989</v>
      </c>
      <c r="R325" s="3">
        <f>332.6+(521.3-228.7)+(-0.508878+(-0.797589--0.349911))+0-153.4--0.234702000000009</f>
        <v>471.07814600000012</v>
      </c>
      <c r="S325" s="3">
        <f>332+(474.1-210)+(0+(0-0))+0-94-0</f>
        <v>502.1</v>
      </c>
      <c r="T325" s="3">
        <f>329+(494.1-242.5)+(0+(0-0))+0-98-0</f>
        <v>482.6</v>
      </c>
      <c r="U325" s="3">
        <f>330.2+(506.6-253.6)+(-0.336804+(-0.516732--0.258672))+0-155.3--0.158406000000025</f>
        <v>427.46354200000002</v>
      </c>
      <c r="V325" s="3">
        <f>361.9+(470.1-252.8)+(-0.553707+(-0.719253--0.386784))+0-131.8--0.201654000000008</f>
        <v>446.71547800000008</v>
      </c>
      <c r="W325" s="3">
        <f>360.1+(387.1-131.9)+(0.183651+(0.197421-0.067269))+0-139.3-0.0710429999999859</f>
        <v>476.24276000000009</v>
      </c>
      <c r="X325" s="3">
        <f>438.4+(409.3-217.6)+(-0.447168+(-0.417486--0.221952))+0-132.4--0.135048000000021</f>
        <v>497.1923460000001</v>
      </c>
      <c r="Y325" s="3">
        <f>375.3+(453.9-212.1)+(-0.574209+(-0.694467--0.324513))+0-131.4--0.201042000000008</f>
        <v>484.95687900000007</v>
      </c>
      <c r="Z325" s="3">
        <f>258.9+(532-140.6)+(-0.660195+(-1.3566--0.35853))+0-118--0.300899999999983</f>
        <v>530.94263499999988</v>
      </c>
      <c r="AA325" s="3">
        <f>160.6+(590-126.1)+(0+(0-0))+0-153.6-0</f>
        <v>470.9</v>
      </c>
      <c r="AB325" s="3">
        <f>151.4+(615-155.7)+(-0.077214+(-0.31365--0.079407))+0-163.4--0.0833339999999834</f>
        <v>447.07187700000003</v>
      </c>
      <c r="AC325" s="3">
        <f>148.8+(620-175.1)+(-0.455328+(-1.8972--0.535806))+0-158.5--0.485010000000018</f>
        <v>433.86828800000006</v>
      </c>
      <c r="AD325">
        <f t="shared" si="5"/>
        <v>11088.14674</v>
      </c>
      <c r="AE325" s="3">
        <f>453+(417.2-235.4)+(0+(0-0))+0-87-0</f>
        <v>547.79999999999995</v>
      </c>
    </row>
    <row r="326" spans="1:31" s="2" customFormat="1" x14ac:dyDescent="0.25">
      <c r="A326">
        <v>89</v>
      </c>
      <c r="B326">
        <v>11</v>
      </c>
      <c r="C326">
        <v>20</v>
      </c>
      <c r="D326">
        <v>5</v>
      </c>
      <c r="E326">
        <v>1</v>
      </c>
      <c r="F326" s="3">
        <f>104.3+(630.5-163.8)+(-0.106386+(-0.64311--0.167076))+0-158--0.161160000000025</f>
        <v>412.5787400000001</v>
      </c>
      <c r="G326" s="3">
        <f>94+(641.3-165.9)+(-0.28764+(-1.962378--0.507654))+0-166.7--0.510102000000019</f>
        <v>401.46773800000005</v>
      </c>
      <c r="H326" s="3">
        <f>96.7+(629.5-173.5)+(0.049317+(0.321045-0.088485))+0-157.2-0.080171999999984</f>
        <v>395.70170500000006</v>
      </c>
      <c r="I326" s="3">
        <f>94.6+(624.4-177.9)+(-0.24123+(-1.59222--0.453645))+0-112--0.285599999999984</f>
        <v>428.00579499999998</v>
      </c>
      <c r="J326" s="3">
        <f>93.2+(643.3-209.6)+(-0.047532+(-0.328083--0.106896))+0-116--0.0591599999999882</f>
        <v>410.69044099999991</v>
      </c>
      <c r="K326" s="3">
        <f>95.7+(657.3-186.4)+(-0.048807+(-0.335223--0.095064))+0-124--0.0632399999999874</f>
        <v>442.37427400000007</v>
      </c>
      <c r="L326" s="3">
        <f>97.5+(604-135.9)+(-0.049725+(-0.30804--0.069309))+0-101--0.0515099999999898</f>
        <v>464.36305400000003</v>
      </c>
      <c r="M326" s="3">
        <f>95.8+(605.4-104.4)+(0.146574+(0.926262-0.159732))+0-109-0.166770000000006</f>
        <v>488.54633399999994</v>
      </c>
      <c r="N326" s="3">
        <f>98.1+(608.1-99.2)+(0.100062+(0.620262-0.101184))+0-109-0.111180000000017</f>
        <v>498.50796000000003</v>
      </c>
      <c r="O326" s="3">
        <f>96.7+(627.3-112.4)+(-0.049317+(-0.319923--0.057324))+0-100--0.0509999999999899</f>
        <v>511.33908400000001</v>
      </c>
      <c r="P326" s="3">
        <f>96.3+(643.2-129.6)+(-0.098226+(-0.656064--0.132192))+0-96--0.0979200000000153</f>
        <v>513.37582199999997</v>
      </c>
      <c r="Q326" s="3">
        <f>100.4+(669.4-129.6)+(-0.204816+(-1.365576--0.264384))+0-117--0.238679999999995</f>
        <v>522.13267199999996</v>
      </c>
      <c r="R326" s="3">
        <f>115.7+(635.1-118)+(-0.354042+(-1.943406--0.36108))+0-115--0.351900000000013</f>
        <v>516.21553200000005</v>
      </c>
      <c r="S326" s="3">
        <f>115+(613.3-117.7)+(-0.05865+(-0.312783--0.060027))+0-105--0.0535499999999893</f>
        <v>505.34214399999985</v>
      </c>
      <c r="T326" s="3">
        <f>116.9+(625-147.2)+(0+(0-0))+0-93-0</f>
        <v>501.70000000000005</v>
      </c>
      <c r="U326" s="3">
        <f>114.9+(558.5-77.5)+(-0.234396+(-1.13934--0.1581))+0-115--0.234599999999995</f>
        <v>479.91896399999996</v>
      </c>
      <c r="V326" s="3">
        <f>114.7+(559.2-87.7)+(-0.350982+(-1.711152--0.268362))+0-101--0.309060000000012</f>
        <v>483.71528800000004</v>
      </c>
      <c r="W326" s="3">
        <f>119.6+(567.5-75.4)+(-0.121992+(-0.57885--0.076908))+0-97--0.0989400000000155</f>
        <v>514.17500600000005</v>
      </c>
      <c r="X326" s="3">
        <f>296.3+(562.8-241.9)+(-1.057791+(-2.009196--0.863583))+0-85--0.303450000000001</f>
        <v>530.30004600000007</v>
      </c>
      <c r="Y326" s="3">
        <f>353.8+(549.8-255.4)+(-0.541314+(-0.841194--0.390762))+0-109--0.166770000000006</f>
        <v>538.37502400000005</v>
      </c>
      <c r="Z326" s="3">
        <f>354.7+(554.3-257)+(-1.085382+(-1.696158--0.78642))+0-117--0.358020000000014</f>
        <v>533.36289999999997</v>
      </c>
      <c r="AA326" s="3">
        <f>354.3+(574.5-306.3)+(-0.542079+(-0.878985--0.468639))+0-102--0.156060000000006</f>
        <v>519.70363500000008</v>
      </c>
      <c r="AB326" s="3">
        <f>259.6+(598.4-225.8)+(-0.66198+(-1.52592--0.57579))+0-109--0.277949999999984</f>
        <v>521.86584000000005</v>
      </c>
      <c r="AC326" s="3">
        <f>20+(678.8-133.6)+(-0.0102+(-0.346188--0.068136))+0-97--0.0494699999999902</f>
        <v>467.96121799999997</v>
      </c>
      <c r="AD326">
        <f t="shared" si="5"/>
        <v>11601.719216000003</v>
      </c>
      <c r="AE326" s="3">
        <f>355+(570-214.2)+(0+(0-0))+0-76-0</f>
        <v>634.79999999999995</v>
      </c>
    </row>
    <row r="327" spans="1:31" s="2" customFormat="1" x14ac:dyDescent="0.25">
      <c r="A327">
        <v>89</v>
      </c>
      <c r="B327">
        <v>11</v>
      </c>
      <c r="C327">
        <v>21</v>
      </c>
      <c r="D327">
        <v>6</v>
      </c>
      <c r="E327">
        <v>1</v>
      </c>
      <c r="F327" s="3">
        <f>20+(713.2-171.9)+(-0.0612+(-2.182392--0.526014))+0-105--0.321300000000012</f>
        <v>454.90372200000007</v>
      </c>
      <c r="G327" s="3">
        <f>20+(769.6-242.3)+(0.0204+(0.784992-0.247146))+0-105-0.107100000000017</f>
        <v>442.75114600000001</v>
      </c>
      <c r="H327" s="3">
        <f>20+(701.3-186.6)+(-0.0204+(-0.715326--0.190332))+0-96--0.0979200000000153</f>
        <v>438.25252599999993</v>
      </c>
      <c r="I327" s="3">
        <f>20+(698.4-189.2)+(0.0408+(1.424736-0.385968))+0-93-0.189719999999996</f>
        <v>437.08984800000002</v>
      </c>
      <c r="J327" s="3">
        <f>20+(678.7-164.6)+(0.051+(1.730685-0.41973))+0-100-0.254999999999986</f>
        <v>435.20695499999999</v>
      </c>
      <c r="K327" s="3">
        <f>20+(651.4-137.3)+(-0.0204+(-0.664428--0.140046))+0-98--0.0999600000000156</f>
        <v>435.65517799999986</v>
      </c>
      <c r="L327" s="3">
        <f>9+(617-97.8)+(-0.02295+(-1.57335--0.24939))+0-96--0.244799999999986</f>
        <v>431.09789000000006</v>
      </c>
      <c r="M327" s="3">
        <f>10+(632.1-96.4)+(-0.0102+(-0.644742--0.098328))+0-89--0.0907800000000142</f>
        <v>456.23416600000007</v>
      </c>
      <c r="N327" s="3">
        <f>10+(677.7-123.4)+(-0.0102+(-0.691254--0.125868))+0-88--0.089760000000014</f>
        <v>475.81417400000004</v>
      </c>
      <c r="O327" s="3">
        <f>10+(708.2-138.1)+(0+(0-0))+0-91-0</f>
        <v>489.1</v>
      </c>
      <c r="P327" s="3">
        <f>11+(723.6-136.4)+(-0.02244+(-1.476144--0.278256))+0-99--0.201959999999996</f>
        <v>498.18163200000004</v>
      </c>
      <c r="Q327" s="3">
        <f>11+(725.6-143)+(-0.03927+(-2.590392--0.51051))+0-94--0.335580000000001</f>
        <v>497.81642800000003</v>
      </c>
      <c r="R327" s="3">
        <f>40+(715.1-146.8)+(-0.0408+(-0.729402--0.149736))+0-121--0.123420000000019</f>
        <v>486.802954</v>
      </c>
      <c r="S327" s="3">
        <f>55+(677.4-139.5)+(0.02805+(0.345474-0.071145))+0-113-0.0576299999999885</f>
        <v>480.14474899999999</v>
      </c>
      <c r="T327" s="3">
        <f>89+(627.6-159.1)+(-0.04539+(-0.320076--0.081141))+0-109--0.0555899999999889</f>
        <v>448.27126500000003</v>
      </c>
      <c r="U327" s="3">
        <f>120+(587.8-154.5)+(-0.3672+(-1.798668--0.47277))+0-106--0.324360000000012</f>
        <v>445.931262</v>
      </c>
      <c r="V327" s="3">
        <f>122+(603.7-173.2)+(0.3111+(1.539435-0.44166))+0-102-0.260099999999985</f>
        <v>451.648775</v>
      </c>
      <c r="W327" s="3">
        <f>122+(574.3-127.4)+(-0.06222+(-0.292893--0.064974))+0-87--0.0443699999999912</f>
        <v>481.65423100000004</v>
      </c>
      <c r="X327" s="3">
        <f>125+(586.3-92)+(-0.19125+(-0.897039--0.14076))+0-102--0.156060000000006</f>
        <v>516.50853099999995</v>
      </c>
      <c r="Y327" s="3">
        <f>125+(605-124.2)+(-0.1275+(-0.6171--0.126684))+0-84--0.0856800000000134</f>
        <v>521.26776399999994</v>
      </c>
      <c r="Z327" s="3">
        <f>127+(637.2-171.5)+(-0.51816+(-2.599776--0.69972))+0-98--0.399839999999991</f>
        <v>492.681624</v>
      </c>
      <c r="AA327" s="3">
        <f>129+(683.2-215.1)+(-0.06579+(-0.348432--0.109701))+0-95--0.0484499999999904</f>
        <v>501.843929</v>
      </c>
      <c r="AB327" s="3">
        <f>130+(692.2-224.1)+(-0.3315+(-1.76511--0.571455))+0-110--0.280499999999984</f>
        <v>486.85534499999994</v>
      </c>
      <c r="AC327" s="3">
        <f>131+(607.7-180.7)+(0+(0-0))+0-93-0</f>
        <v>465</v>
      </c>
      <c r="AD327">
        <f t="shared" si="5"/>
        <v>11270.714094000001</v>
      </c>
      <c r="AE327" s="3">
        <f>125+(608.5-99.6)+(0+(0-0))+0-105-0</f>
        <v>528.9</v>
      </c>
    </row>
    <row r="328" spans="1:31" s="2" customFormat="1" x14ac:dyDescent="0.25">
      <c r="A328">
        <v>89</v>
      </c>
      <c r="B328">
        <v>11</v>
      </c>
      <c r="C328">
        <v>22</v>
      </c>
      <c r="D328">
        <v>7</v>
      </c>
      <c r="E328">
        <v>2</v>
      </c>
      <c r="F328" s="3">
        <f>81+(705-219.5)+(-0.04131+(-0.35955--0.111945))+0-109--0.0555899999999889</f>
        <v>457.26667500000002</v>
      </c>
      <c r="G328" s="3">
        <f>0+(768.8-237.2)+(0+(-0.392088--0.120972))+0-109--0.0555899999999889</f>
        <v>422.3844739999999</v>
      </c>
      <c r="H328" s="3">
        <f>0+(727.5-194.9)+(0+(0-0))+0-106-0</f>
        <v>426.6</v>
      </c>
      <c r="I328" s="3">
        <f>0+(723.4-192.4)+(0+(-1.106802--0.294372))+0-115--0.175950000000007</f>
        <v>415.36352000000005</v>
      </c>
      <c r="J328" s="3">
        <f>0+(696.2-168.4)+(0+(-1.420248--0.343536))+0-117--0.238679999999995</f>
        <v>409.96196800000001</v>
      </c>
      <c r="K328" s="3">
        <f>0+(642.9-120.9)+(0+(0.327879-0.061659))+0-120-0.0611999999999878</f>
        <v>402.20501999999999</v>
      </c>
      <c r="L328" s="3">
        <f>0+(604.3-110.5)+(0+(-2.157351--0.394485))+0-105--0.374850000000001</f>
        <v>387.41198399999996</v>
      </c>
      <c r="M328" s="3">
        <f>0+(592.2-99.6)+(0+(0-0))+0-121-0</f>
        <v>371.6</v>
      </c>
      <c r="N328" s="3">
        <f>0+(564.9-76.5)+(0+(0.864297-0.117045))+0-101-0.154530000000006</f>
        <v>387.99272199999996</v>
      </c>
      <c r="O328" s="3">
        <f>0+(584-68)+(0+(0.59568-0.06936))+0-116-0.118320000000018</f>
        <v>400.40800000000002</v>
      </c>
      <c r="P328" s="3">
        <f>0+(610-97)+(0+(0.3111-0.04947))+0-98-0.0499799999999901</f>
        <v>415.21164999999996</v>
      </c>
      <c r="Q328" s="3">
        <f>0+(600.7-81.9)+(0+(0.306357-0.041769))+0-99-0.05048999999999</f>
        <v>420.0140980000001</v>
      </c>
      <c r="R328" s="3">
        <f>0+(633-108.6)+(0+(-0.96849--0.166158))+0-110--0.168300000000006</f>
        <v>413.76596799999999</v>
      </c>
      <c r="S328" s="3">
        <f>0+(670.5-149.3)+(0+(-2.05173--0.456858))+0-115--0.351900000000013</f>
        <v>404.95702800000004</v>
      </c>
      <c r="T328" s="3">
        <f>0+(614.4-117.3)+(0+(-1.253376--0.239292))+0-106--0.216239999999995</f>
        <v>390.30215599999991</v>
      </c>
      <c r="U328" s="3">
        <f>0+(644.2-140.9)+(0+(-0.328542--0.071859))+0-109--0.0555899999999889</f>
        <v>394.09890700000005</v>
      </c>
      <c r="V328" s="3">
        <f>2+(659.9-141.1)+(-0.00102+(-0.336549--0.071961))+0-108--0.055079999999989</f>
        <v>412.58947199999989</v>
      </c>
      <c r="W328" s="3">
        <f>93+(587.1-142.3)+(-0.14229+(-0.898263--0.217719))+0-114--0.174420000000007</f>
        <v>423.15158600000001</v>
      </c>
      <c r="X328" s="3">
        <f>119+(580.6-124)+(-0.12138+(-0.592212--0.12648))+0-117--0.119340000000019</f>
        <v>458.132228</v>
      </c>
      <c r="Y328" s="3">
        <f>121+(614.7-157.3)+(-0.12342+(-0.626994--0.160446))+0-120--0.122400000000019</f>
        <v>457.93243200000012</v>
      </c>
      <c r="Z328" s="3">
        <f>104+(658.7-193.1)+(-0.15912+(-1.007811--0.295443))+0-110--0.168300000000006</f>
        <v>458.89681200000001</v>
      </c>
      <c r="AA328" s="3">
        <f>0+(675.5-105.5)+(0+(1.033515-0.161415))+0-119-0.182070000000007</f>
        <v>451.69003000000004</v>
      </c>
      <c r="AB328" s="3">
        <f>0+(666.4-118.1)+(0+(-1.019592--0.180693))+0-98--0.149940000000006</f>
        <v>449.611041</v>
      </c>
      <c r="AC328" s="3">
        <f>0+(685.2-132.4)+(0+(-1.74726--0.33762))+0-118--0.300899999999983</f>
        <v>433.69126000000006</v>
      </c>
      <c r="AD328">
        <f t="shared" si="5"/>
        <v>10065.239030999999</v>
      </c>
      <c r="AE328" s="3">
        <f>120+(606.3-124.3)+(0+(0-0))+0-67-0</f>
        <v>535</v>
      </c>
    </row>
    <row r="329" spans="1:31" s="2" customFormat="1" x14ac:dyDescent="0.25">
      <c r="A329">
        <v>89</v>
      </c>
      <c r="B329">
        <v>11</v>
      </c>
      <c r="C329">
        <v>23</v>
      </c>
      <c r="D329">
        <v>1</v>
      </c>
      <c r="E329">
        <v>1</v>
      </c>
      <c r="F329" s="3">
        <f>0+(709.4-188.6)+(0+(-2.170764--0.577116))+0-109--0.333540000000013</f>
        <v>410.53989199999995</v>
      </c>
      <c r="G329" s="3">
        <f>0+(741.9-221.8)+(0+(-1.513476--0.452472))+0-110--0.224399999999995</f>
        <v>409.26339599999989</v>
      </c>
      <c r="H329" s="3">
        <f>0+(743.8-219.3)+(0+(-1.517352--0.447372))+0-121--0.246839999999995</f>
        <v>402.67686000000003</v>
      </c>
      <c r="I329" s="3">
        <f>0+(737.3-228)+(0+(0-0))+0-104-0</f>
        <v>405.29999999999995</v>
      </c>
      <c r="J329" s="3">
        <f>0+(721.9-216.8)+(0+(1.104507-0.331704))+0-108-0.165240000000006</f>
        <v>397.70756299999999</v>
      </c>
      <c r="K329" s="3">
        <f>0+(688.8-174.4)+(0+(2.107728-0.533664))+0-110-0.336600000000013</f>
        <v>405.63746399999997</v>
      </c>
      <c r="L329" s="3">
        <f>0+(644.4-112.7)+(0+(-2.300508--0.402339))+0-62--0.221340000000001</f>
        <v>468.02317099999988</v>
      </c>
      <c r="M329" s="3">
        <f>0+(655.7-108.1)+(0+(0.668814-0.110262))+0-63-0.06426000000001</f>
        <v>485.094292</v>
      </c>
      <c r="N329" s="3">
        <f>0+(666.7-84.9)+(0+(-1.700085--0.216495))+0-63--0.160649999999991</f>
        <v>517.47706000000005</v>
      </c>
      <c r="O329" s="3">
        <f>65.7+(645.4-122.1)+(0.100521+(0.987462-0.186813))+0-63-0.0963900000000036</f>
        <v>526.80477999999994</v>
      </c>
      <c r="P329" s="3">
        <f>143.3+(736.3-275.5)+(0.073083+(0.375513-0.140505))+0-67-0.0341699999999932</f>
        <v>537.37392099999988</v>
      </c>
      <c r="Q329" s="3">
        <f>230.3+(734.5-343.4)+(-0.234906+(-0.74919--0.350268))+0-66--0.0673200000000105</f>
        <v>554.83349200000009</v>
      </c>
      <c r="R329" s="3">
        <f>221.7+(730.9-346.5)+(-0.565335+(-1.863795--0.883575))+0-108--0.275399999999984</f>
        <v>496.82984499999986</v>
      </c>
      <c r="S329" s="3">
        <f>228.1+(706.2-344.3)+(-0.232662+(-0.720324--0.351186))+0-99--0.100980000000016</f>
        <v>490.49917999999997</v>
      </c>
      <c r="T329" s="3">
        <f>229.6+(715.2-359.4)+(0+(0-0))+0-112-0</f>
        <v>473.40000000000009</v>
      </c>
      <c r="U329" s="3">
        <f>229+(708.9-369.6)+(-0.35037+(-1.084617--0.565488))+0-94--0.143820000000005</f>
        <v>473.57432099999994</v>
      </c>
      <c r="V329" s="3">
        <f>263+(687.8-382)+(-0.53652+(-1.403112--0.77928))+0-97--0.197879999999996</f>
        <v>470.83752799999996</v>
      </c>
      <c r="W329" s="3">
        <f>322.8+(680.3-406.9)+(-0.164628+(-0.346953--0.207519))+0-99--0.05048999999999</f>
        <v>496.94642799999997</v>
      </c>
      <c r="X329" s="3">
        <f>336.5+(698.8-400.1)+(-0.34323+(-0.712776--0.408102))+0-117--0.119340000000019</f>
        <v>517.67143599999986</v>
      </c>
      <c r="Y329" s="3">
        <f>185.8+(751.8-307.3)+(-0.094758+(-0.383418--0.156723))+0-115--0.0586499999999883</f>
        <v>515.03719699999988</v>
      </c>
      <c r="Z329" s="3">
        <f>130.8+(765.2-268.4)+(-0.266832+(-1.561008--0.547536))+0-118--0.240719999999995</f>
        <v>508.56041600000015</v>
      </c>
      <c r="AA329" s="3">
        <f>127.6+(752-262.4)+(0.065076+(0.38352-0.133824))+0-116-0.0591599999999882</f>
        <v>501.45561200000003</v>
      </c>
      <c r="AB329" s="3">
        <f>171.3+(690.2-258.9)+(-0.349452+(-1.408008--0.528156))+0-118--0.240719999999995</f>
        <v>483.61141600000019</v>
      </c>
      <c r="AC329" s="3">
        <f>139.8+(719.8-282.8)+(-0.35649+(-1.83549--0.72114))+0-122--0.311099999999982</f>
        <v>453.64026000000001</v>
      </c>
      <c r="AD329">
        <f t="shared" si="5"/>
        <v>11402.795529999999</v>
      </c>
      <c r="AE329" s="3">
        <f>348+(710.8-405.2)+(0+(0-0))+0-94-0</f>
        <v>559.59999999999991</v>
      </c>
    </row>
    <row r="330" spans="1:31" s="2" customFormat="1" x14ac:dyDescent="0.25">
      <c r="A330">
        <v>89</v>
      </c>
      <c r="B330">
        <v>11</v>
      </c>
      <c r="C330">
        <v>24</v>
      </c>
      <c r="D330">
        <v>2</v>
      </c>
      <c r="E330">
        <v>1</v>
      </c>
      <c r="F330" s="3">
        <f>66.8+(808.3-379.7)+(-0.068136+(-0.824466--0.387294))+0-71--0.0724200000000113</f>
        <v>423.96711199999999</v>
      </c>
      <c r="G330" s="3">
        <f>54.8+(812.7-358.4)+(-0.13974+(-2.072385--0.91392))+0-80--0.203999999999988</f>
        <v>428.00579500000009</v>
      </c>
      <c r="H330" s="3">
        <f>55.6+(768.5-334.4)+(0+(0-0))+0-68-0</f>
        <v>421.70000000000005</v>
      </c>
      <c r="I330" s="3">
        <f>55.2+(774.1-327)+(-0.084456+(-1.184373--0.50031))+0-78--0.119340000000005</f>
        <v>423.65082100000001</v>
      </c>
      <c r="J330" s="3">
        <f>55.4+(758.8-313.7)+(0.113016+(1.547952-0.639948))+0-74-0.150959999999997</f>
        <v>427.37005999999997</v>
      </c>
      <c r="K330" s="3">
        <f>54.6+(733.5-293.3)+(0+(0-0))+0-80-0</f>
        <v>414.8</v>
      </c>
      <c r="L330" s="3">
        <f>73.9+(676.4-238.4)+(0.037689+(0.344964-0.121584))+0-71-0.0362099999999928</f>
        <v>441.12485900000001</v>
      </c>
      <c r="M330" s="3">
        <f>88.3+(680-180)+(0+(0-0))+0-109-0</f>
        <v>479.29999999999995</v>
      </c>
      <c r="N330" s="3">
        <f>87.4+(617-129)+(0+(0-0))+0-96-0</f>
        <v>479.4</v>
      </c>
      <c r="O330" s="3">
        <f>88+(645.9-161.9)+(-0.04488+(-0.329409--0.082569))+0-90--0.0458999999999909</f>
        <v>481.75417999999996</v>
      </c>
      <c r="P330" s="3">
        <f>85.2+(704.6-176.5)+(-0.130356+(-1.078038--0.270045))+0-105--0.160650000000006</f>
        <v>507.52230100000008</v>
      </c>
      <c r="Q330" s="3">
        <f>86.2+(701.3-173.3)+(-0.131886+(-1.072989--0.265149))+0-108--0.165240000000006</f>
        <v>505.42551400000008</v>
      </c>
      <c r="R330" s="3">
        <f>84.8+(700.6-180.1)+(-0.259488+(-2.143836--0.551106))+0-100--0.306000000000012</f>
        <v>503.753782</v>
      </c>
      <c r="S330" s="3">
        <f>87.7+(700-189.4)+(0.044727+(0.357-0.096594))+0-105-0.0535499999999893</f>
        <v>493.55158300000005</v>
      </c>
      <c r="T330" s="3">
        <f>85.3+(686.6-206.9)+(-0.261018+(-2.100996--0.633114))+0-95--0.290700000000011</f>
        <v>468.56180000000006</v>
      </c>
      <c r="U330" s="3">
        <f>87.2+(696.1-238.1)+(-0.044472+(-0.355011--0.121431))+0-70--0.0356999999999929</f>
        <v>474.95764800000006</v>
      </c>
      <c r="V330" s="3">
        <f>87.8+(609.3-172.2)+(-0.179112+(-1.242972--0.351288))+0-77--0.157079999999997</f>
        <v>446.98628400000001</v>
      </c>
      <c r="W330" s="3">
        <f>207.9+(483.2-113.3)+(0.106029+(0.246432-0.057783))+0-97-0.0494699999999902</f>
        <v>481.04520799999995</v>
      </c>
      <c r="X330" s="3">
        <f>282.1+(512.9-153.9)+(0+(0-0))+0-118-0</f>
        <v>523.1</v>
      </c>
      <c r="Y330" s="3">
        <f>279.8+(566.8-215.4)+(-0.856188+(-1.734408--0.659124))+0-101--0.309060000000012</f>
        <v>528.57758800000011</v>
      </c>
      <c r="Z330" s="3">
        <f>187.3+(579.2-134.8)+(-0.286569+(-0.886176--0.206244))+0-115--0.175950000000007</f>
        <v>515.90944900000011</v>
      </c>
      <c r="AA330" s="3">
        <f>169.3+(636.6-190.6)+(-0.345372+(-1.298664--0.388824))+0-103--0.210119999999996</f>
        <v>511.25490799999994</v>
      </c>
      <c r="AB330" s="3">
        <f>183.1+(619.1-199.2)+(-0.186762+(-0.631482--0.203184))+0-114--0.116280000000018</f>
        <v>488.50122000000005</v>
      </c>
      <c r="AC330" s="3">
        <f>208.9+(616.6-257.6)+(-0.639234+(-1.886796--0.788256))+0-96--0.293760000000011</f>
        <v>470.45598600000005</v>
      </c>
      <c r="AD330">
        <f t="shared" si="5"/>
        <v>11340.676098000005</v>
      </c>
      <c r="AE330" s="3">
        <f>323+(564-180.8)+(0+(0-0))+0-101-0</f>
        <v>605.20000000000005</v>
      </c>
    </row>
    <row r="331" spans="1:31" s="2" customFormat="1" x14ac:dyDescent="0.25">
      <c r="A331">
        <v>89</v>
      </c>
      <c r="B331">
        <v>11</v>
      </c>
      <c r="C331">
        <v>25</v>
      </c>
      <c r="D331">
        <v>3</v>
      </c>
      <c r="E331">
        <v>1</v>
      </c>
      <c r="F331" s="3">
        <f>228.1+(585.4-264.2)+(-0.697986+(-1.791324--0.808452))+0-96--0.293760000000011</f>
        <v>451.91290200000003</v>
      </c>
      <c r="G331" s="3">
        <f>215+(598.2-284.6)+(0.10965+(0.305082-0.145146))+0-92-0.0469199999999907</f>
        <v>436.82266600000003</v>
      </c>
      <c r="H331" s="3">
        <f>178.7+(588.1-242)+(-0.091137+(-0.299931--0.12342))+0-102--0.0520199999999897</f>
        <v>422.58437199999992</v>
      </c>
      <c r="I331" s="3">
        <f>179.3+(597-222.7)+(0+(0-0))+0-130-0</f>
        <v>423.6</v>
      </c>
      <c r="J331" s="3">
        <f>178.5+(585.3-220.5)+(-0.091035+(-0.298503--0.112455))+0-119--0.0606899999999879</f>
        <v>424.08360699999997</v>
      </c>
      <c r="K331" s="3">
        <f>178.8+(510.9-153.5)+(0+(0-0))+0-115-0</f>
        <v>421.20000000000005</v>
      </c>
      <c r="L331" s="3">
        <f>178.6+(457.6-96.5)+(-0.091086+(-0.233376--0.049215))+0-113--0.0576299999999885</f>
        <v>426.48238299999997</v>
      </c>
      <c r="M331" s="3">
        <f>178.4+(499.8-112)+(-0.090984+(-0.254898--0.05712))+0-109--0.0555899999999889</f>
        <v>456.96682800000002</v>
      </c>
      <c r="N331" s="3">
        <f>190.6+(540.1-158.5)+(0.097206+(0.275451-0.080835))+0-87-0.0443699999999912</f>
        <v>485.44745200000006</v>
      </c>
      <c r="O331" s="3">
        <f>202.8+(552.1-175)+(-0.413712+(-1.126284--0.357))+0-91--0.185639999999996</f>
        <v>487.90264400000007</v>
      </c>
      <c r="P331" s="3">
        <f>240.9+(552.8-202.6)+(-0.245718+(-0.563856--0.206652))+0-97--0.0989400000000155</f>
        <v>493.5960179999999</v>
      </c>
      <c r="Q331" s="3">
        <f>255.6+(547-215)+(0.260712+(0.55794-0.2193))+0-85-0.0867000000000136</f>
        <v>503.11265199999997</v>
      </c>
      <c r="R331" s="3">
        <f>186.3+(564.1-179.3)+(-0.475065+(-1.438455--0.457215))+0-97--0.247349999999986</f>
        <v>472.89104499999996</v>
      </c>
      <c r="S331" s="3">
        <f>208.2+(545.7-226.9)+(-0.212364+(-0.556614--0.231438))+0-96--0.0979200000000153</f>
        <v>430.56037999999995</v>
      </c>
      <c r="T331" s="3">
        <f>172.7+(589.1-224.1)+(-0.088077+(-0.300441--0.114291))+0-95--0.0484499999999904</f>
        <v>442.47422300000005</v>
      </c>
      <c r="U331" s="3">
        <f>178.9+(552.6-184.3)+(0.091239+(0.281826-0.093993))+0-111-0.0566099999999887</f>
        <v>436.42246200000011</v>
      </c>
      <c r="V331" s="3">
        <f>202.9+(537.5-195.7)+(0+(0-0))+0-98-0</f>
        <v>446.70000000000005</v>
      </c>
      <c r="W331" s="3">
        <f>345.5+(480.7-237.3)+(-0.528615+(-0.735471--0.363069))+0-111--0.169830000000006</f>
        <v>477.16881299999994</v>
      </c>
      <c r="X331" s="3">
        <f>427.6+(502.1-290.7)+(-0.654228+(-0.768213--0.444771))+0-106--0.162180000000006</f>
        <v>532.18451000000005</v>
      </c>
      <c r="Y331" s="3">
        <f>468+(501-326.8)+(-0.71604+(-0.76653--0.500004))+0-108--0.165240000000006</f>
        <v>533.38267400000007</v>
      </c>
      <c r="Z331" s="3">
        <f>470.7+(512.8-350)+(-0.960228+(-1.046112--0.714))+0-108--0.220319999999995</f>
        <v>524.42798000000005</v>
      </c>
      <c r="AA331" s="3">
        <f>470.4+(545.5-381.3)+(-0.959616+(-1.11282--0.777852))+0-114--0.232559999999995</f>
        <v>519.53797599999996</v>
      </c>
      <c r="AB331" s="3">
        <f>415.7+(512.9-330.5)+(-0.212007+(-0.261579--0.168555))+0-89--0.045389999999991</f>
        <v>508.84035899999992</v>
      </c>
      <c r="AC331" s="3">
        <f>343.1+(594.7-388.2)+(-1.574829+(-2.729673--1.781838))+0-95--0.436050000000017</f>
        <v>452.5133860000002</v>
      </c>
      <c r="AD331">
        <f t="shared" si="5"/>
        <v>11210.815332000002</v>
      </c>
      <c r="AE331" s="3">
        <f>464+(535.8-320.2)+(0+(0-0))+0-68-0</f>
        <v>611.59999999999991</v>
      </c>
    </row>
    <row r="332" spans="1:31" s="2" customFormat="1" x14ac:dyDescent="0.25">
      <c r="A332">
        <v>89</v>
      </c>
      <c r="B332">
        <v>11</v>
      </c>
      <c r="C332">
        <v>26</v>
      </c>
      <c r="D332">
        <v>4</v>
      </c>
      <c r="E332">
        <v>1</v>
      </c>
      <c r="F332" s="3">
        <f>341.5+(655.4-463.7)+(-0.522495+(-1.002762--0.709461))+0-99--0.151470000000006</f>
        <v>433.53567400000009</v>
      </c>
      <c r="G332" s="3">
        <f>344.3+(678.6-480.2)+(-0.526779+(-1.038258--0.734706))+0-109--0.166770000000006</f>
        <v>433.03643900000003</v>
      </c>
      <c r="H332" s="3">
        <f>343.8+(707.2-506.9)+(0.175338+(0.360672-0.258519))+0-112-0.0571199999999886</f>
        <v>432.32037100000019</v>
      </c>
      <c r="I332" s="3">
        <f>344.6+(706.7-512)+(-0.527238+(-1.081251--0.78336))+0-111--0.169830000000006</f>
        <v>427.64470100000011</v>
      </c>
      <c r="J332" s="3">
        <f>345.2+(682.2-478.6)+(0.176052+(0.347922-0.244086))+0-111-0.0566099999999887</f>
        <v>438.023278</v>
      </c>
      <c r="K332" s="3">
        <f>344.8+(631.2-440.4)+(-0.175848+(-0.321912--0.224604))+0-98--0.0499799999999901</f>
        <v>437.37682400000017</v>
      </c>
      <c r="L332" s="3">
        <f>346.6+(568.4-376.4)+(-0.353532+(-0.579768--0.383928))+0-90--0.0918000000000144</f>
        <v>448.14242800000011</v>
      </c>
      <c r="M332" s="3">
        <f>344.5+(562.9-328.3)+(-0.175695+(-0.287079--0.167433))+0-112--0.0571199999999886</f>
        <v>466.8617789999999</v>
      </c>
      <c r="N332" s="3">
        <f>339.7+(553.5-298)+(0.692988+(1.12914-0.60792))+0-110-0.224399999999995</f>
        <v>486.18980800000003</v>
      </c>
      <c r="O332" s="3">
        <f>335.8+(591.9-316.8)+(-0.342516+(-0.603738--0.323136))+0-114--0.116280000000018</f>
        <v>496.39316200000002</v>
      </c>
      <c r="P332" s="3">
        <f>333+(570.3-279.1)+(-0.16983+(-0.290853--0.142341))+0-114--0.0581399999999884</f>
        <v>509.93979799999988</v>
      </c>
      <c r="Q332" s="3">
        <f>333.6+(569-293.6)+(-0.680544+(-1.16076--0.598944))+0-100--0.203999999999996</f>
        <v>507.96164000000005</v>
      </c>
      <c r="R332" s="3">
        <f>326.4+(523.6-255)+(-0.998784+(-1.602216--0.7803))+0-96--0.293760000000011</f>
        <v>497.47306000000003</v>
      </c>
      <c r="S332" s="3">
        <f>333.8+(444.8-201.1)+(-0.340476+(-0.453696--0.205122))+0-88--0.089760000000014</f>
        <v>489.00070999999997</v>
      </c>
      <c r="T332" s="3">
        <f>324.7+(445-196.9)+(0+(0-0))+0-100-0</f>
        <v>472.79999999999995</v>
      </c>
      <c r="U332" s="3">
        <f>321.4+(452-203.6)+(-0.327828+(-0.46104--0.207672))+0-99--0.100980000000016</f>
        <v>470.31978399999997</v>
      </c>
      <c r="V332" s="3">
        <f>334.1+(478.7-246.6)+(0+(0-0))+0-92-0</f>
        <v>474.20000000000005</v>
      </c>
      <c r="W332" s="3">
        <f>363.5+(417.3-195.5)+(0+(0-0))+0-89-0</f>
        <v>496.29999999999995</v>
      </c>
      <c r="X332" s="3">
        <f>455.3+(352.2-187.9)+(-0.464406+(-0.359244--0.191658))+0-86--0.0877200000000137</f>
        <v>533.05572800000004</v>
      </c>
      <c r="Y332" s="3">
        <f>463.3+(396.9-233.7)+(-1.417698+(-1.214514--0.715122))+0-102--0.312120000000012</f>
        <v>522.89503000000002</v>
      </c>
      <c r="Z332" s="3">
        <f>467.7+(455.9-324.7)+(-1.192635+(-1.162545--0.827985))+0-85--0.216749999999988</f>
        <v>512.5895549999999</v>
      </c>
      <c r="AA332" s="3">
        <f>432.7+(498.5-304.5)+(-0.882708+(-1.01694--0.62118))+0-110--0.224399999999995</f>
        <v>515.64593200000002</v>
      </c>
      <c r="AB332" s="3">
        <f>395.8+(509.7-308.4)+(-0.403716+(-0.519894--0.314568))+0-88--0.089760000000014</f>
        <v>508.58071799999999</v>
      </c>
      <c r="AC332" s="3">
        <f>453.2+(507.2-387.3)+(-1.15566+(-1.29336--0.987615))+0-93--0.237149999999987</f>
        <v>478.87574499999988</v>
      </c>
      <c r="AD332">
        <f t="shared" si="5"/>
        <v>11489.162163999999</v>
      </c>
      <c r="AE332" s="3">
        <f>458+(378.6-193.6)+(0+(0-0))+0-85-0</f>
        <v>558</v>
      </c>
    </row>
    <row r="333" spans="1:31" s="2" customFormat="1" x14ac:dyDescent="0.25">
      <c r="A333">
        <v>89</v>
      </c>
      <c r="B333">
        <v>11</v>
      </c>
      <c r="C333">
        <v>27</v>
      </c>
      <c r="D333">
        <v>5</v>
      </c>
      <c r="E333">
        <v>3</v>
      </c>
      <c r="F333" s="3">
        <f>427.1+(437.7-318.7)+(-1.089105+(-1.116135--0.812685))+0-101--0.257549999999985</f>
        <v>443.96499499999999</v>
      </c>
      <c r="G333" s="3">
        <f>468.5+(428-361.2)+(-0.716805+(-0.65484--0.552636))+0-105--0.160650000000006</f>
        <v>429.64164099999994</v>
      </c>
      <c r="H333" s="3">
        <f>459.8+(459.4-382.9)+(-1.406988+(-1.405764--1.171674))+0-101--0.309060000000012</f>
        <v>433.96798199999995</v>
      </c>
      <c r="I333" s="3">
        <f>458.3+(478.6-415.6)+(0.233733+(0.244086-0.211956))+0-92-0.0469199999999907</f>
        <v>429.51894299999992</v>
      </c>
      <c r="J333" s="3">
        <f>414.3+(449-341.2)+(0.845172+(0.91596-0.696048))+0-84-0.171359999999996</f>
        <v>438.99372399999999</v>
      </c>
      <c r="K333" s="3">
        <f>397.1+(394.6-246.9)+(1.215126+(1.207476-0.755514))+0-98-0.299880000000011</f>
        <v>448.16720800000007</v>
      </c>
      <c r="L333" s="3">
        <f>399.1+(334.1-188.9)+(-1.017705+(-0.851955--0.481695))+0-98--0.249899999999986</f>
        <v>445.16193500000003</v>
      </c>
      <c r="M333" s="3">
        <f>403.2+(325-150.5)+(0.411264+(0.3315-0.15351))+0-101-0.103020000000016</f>
        <v>477.18623400000001</v>
      </c>
      <c r="N333" s="3">
        <f>458.2+(335.8-189.1)+(0.701046+(0.513774-0.289323))+0-116-0.177480000000007</f>
        <v>489.64801699999992</v>
      </c>
      <c r="O333" s="3">
        <f>449.2+(405.5-248.3)+(0.687276+(0.620415-0.379899))+0-102-0.156060000000006</f>
        <v>505.17173199999991</v>
      </c>
      <c r="P333" s="3">
        <f>423+(386.8-218.8)+(-0.86292+(-0.789072--0.446352))+0-90--0.183599999999996</f>
        <v>499.97796</v>
      </c>
      <c r="Q333" s="3">
        <f>371.7+(339.6-96.1)+(-0.758268+(-0.692784--0.196044))+0-108--0.220319999999995</f>
        <v>506.16531200000009</v>
      </c>
      <c r="R333" s="3">
        <f>367.9+(297-42.8)+(-0.938145+(-0.75735--0.10914))+0-116--0.295799999999983</f>
        <v>504.80944499999987</v>
      </c>
      <c r="S333" s="3">
        <f>342.9+(299.6-30)+(-0.524637+(-0.458388--0.0459))+0-124--0.189720000000007</f>
        <v>487.75259499999999</v>
      </c>
      <c r="T333" s="3">
        <f>340.1+(338.1-102.9)+(-0.173451+(-0.172431--0.052479))+0-107--0.0545699999999891</f>
        <v>468.06116700000007</v>
      </c>
      <c r="U333" s="3">
        <f>419.4+(335.3-185.6)+(-1.06947+(-0.855015--0.47328))+0-106--0.270299999999985</f>
        <v>461.91909500000003</v>
      </c>
      <c r="V333" s="3">
        <f>432.9+(300.1-177.8)+(0+(0-0))+0-97-0</f>
        <v>458.20000000000005</v>
      </c>
      <c r="W333" s="3">
        <f>422.3+(258.2-106)+(-0.861492+(-0.526728--0.21624))+0-99--0.201959999999996</f>
        <v>474.52998000000002</v>
      </c>
      <c r="X333" s="3">
        <f>436+(241.4-73.9)+(-2.00124+(-1.108026--0.339201))+0-93--0.426870000000016</f>
        <v>508.15680499999996</v>
      </c>
      <c r="Y333" s="3">
        <f>447.1+(279.2-130.8)+(-0.228021+(-0.142392--0.066708))+0-97--0.0494699999999902</f>
        <v>498.24576499999995</v>
      </c>
      <c r="Z333" s="3">
        <f>436.2+(329.7-169.2)+(-2.002158+(-1.513323--0.776628))+0-95--0.436050000000017</f>
        <v>499.39719700000012</v>
      </c>
      <c r="AA333" s="3">
        <f>413.2+(379.1-175.2)+(-0.210732+(-0.193341--0.089352))+0-113--0.0576299999999885</f>
        <v>503.84290900000002</v>
      </c>
      <c r="AB333" s="3">
        <f>405.5+(396.4-217.9)+(-1.034025+(-1.01082--0.555645))+0-107--0.272849999999984</f>
        <v>475.78365000000002</v>
      </c>
      <c r="AC333" s="3">
        <f>447.9+(399.3-289.5)+(-1.142145+(-1.018215--0.738225))+0-96--0.244799999999986</f>
        <v>460.52266500000002</v>
      </c>
      <c r="AD333">
        <f t="shared" si="5"/>
        <v>11348.786956</v>
      </c>
      <c r="AE333" s="3">
        <f>485+(267.9-105.7)+(0+(0-0))+0-59-0</f>
        <v>588.20000000000005</v>
      </c>
    </row>
    <row r="334" spans="1:31" s="2" customFormat="1" x14ac:dyDescent="0.25">
      <c r="A334">
        <v>89</v>
      </c>
      <c r="B334">
        <v>11</v>
      </c>
      <c r="C334">
        <v>28</v>
      </c>
      <c r="D334">
        <v>6</v>
      </c>
      <c r="E334">
        <v>6</v>
      </c>
      <c r="F334" s="3">
        <f>448+(395.7-313)+(-0.22848+(-0.201807--0.15963))+0-100--0.0509999999999899</f>
        <v>430.480343</v>
      </c>
      <c r="G334" s="3">
        <f>447.7+(452-377.1)+(0+(0-0))+0-103-0</f>
        <v>419.59999999999991</v>
      </c>
      <c r="H334" s="3">
        <f>395.8+(497.5-365.3)+(-0.807432+(-1.0149--0.745212))+0-106--0.216239999999995</f>
        <v>421.13911999999993</v>
      </c>
      <c r="I334" s="3">
        <f>316.1+(519.6-305.3)+(0.806055+(1.32498-0.778515))+0-110-0.280499999999984</f>
        <v>421.47202000000016</v>
      </c>
      <c r="J334" s="3">
        <f>270.4+(518.9-275)+(-0.275808+(-0.529278--0.2805))+0-96--0.0979200000000153</f>
        <v>417.87333399999994</v>
      </c>
      <c r="K334" s="3">
        <f>270.4+(467.2-209.3)+(0.137904+(0.238272-0.106743))+0-109-0.0555899999999889</f>
        <v>419.51384300000001</v>
      </c>
      <c r="L334" s="3">
        <f>270.9+(391.8-121.3)+(-0.414477+(-0.599454--0.185589))+0-108--0.165240000000006</f>
        <v>432.73689799999994</v>
      </c>
      <c r="M334" s="3">
        <f>271+(400.5-117.3)+(0+(0-0))+0-110-0</f>
        <v>444.20000000000005</v>
      </c>
      <c r="N334" s="3">
        <f>300.7+(385.6-125.5)+(0.153357+(0.196656-0.064005))+0-88-0.0448799999999911</f>
        <v>473.04112800000001</v>
      </c>
      <c r="O334" s="3">
        <f>335.8+(413.3-180)+(0.513774+(0.632349-0.2754))+0-90-0.137700000000005</f>
        <v>479.83302300000003</v>
      </c>
      <c r="P334" s="3">
        <f>434.1+(436.4-243.4)+(-1.106955+(-1.11282--0.62067))+0-103--0.262649999999985</f>
        <v>522.76354500000002</v>
      </c>
      <c r="Q334" s="3">
        <f>445.3+(460.9-248)+(-1.135515+(-1.175295--0.6324))+0-127--0.323849999999982</f>
        <v>529.84544000000005</v>
      </c>
      <c r="R334" s="3">
        <f>438.8+(419.7-259.5)+(-1.566516+(-1.498329--0.926415))+0-105--0.374850000000001</f>
        <v>492.23642000000001</v>
      </c>
      <c r="S334" s="3">
        <f>448.6+(409.8-252.2)+(-0.228786+(-0.208998--0.128622))+0-124--0.0632399999999874</f>
        <v>481.95407800000004</v>
      </c>
      <c r="T334" s="3">
        <f>447.8+(436.8-308.9)+(-0.685134+(-0.668304--0.472617))+0-107--0.163710000000006</f>
        <v>467.98288900000006</v>
      </c>
      <c r="U334" s="3">
        <f>437.5+(415-301.4)+(-1.115625+(-1.05825--0.76857))+0-105--0.267749999999985</f>
        <v>444.962445</v>
      </c>
      <c r="V334" s="3">
        <f>450.8+(404.6-325.8)+(0+(0-0))+0-85-0</f>
        <v>444.6</v>
      </c>
      <c r="W334" s="3">
        <f>447.9+(313.5-187.7)+(-0.456858+(-0.31977--0.191454))+0-100--0.102000000000016</f>
        <v>473.21682600000003</v>
      </c>
      <c r="X334" s="3">
        <f>446.7+(285.7-119.8)+(-0.911268+(-0.582828--0.244392))+0-111--0.226439999999995</f>
        <v>500.57673599999993</v>
      </c>
      <c r="Y334" s="3">
        <f>448.3+(361.6-199.3)+(-0.685899+(-0.553248--0.304929))+0-110--0.168300000000006</f>
        <v>499.83408200000002</v>
      </c>
      <c r="Z334" s="3">
        <f>449.8+(392.9-253.9)+(-0.229398+(-0.200379--0.129489))+0-101--0.0515099999999898</f>
        <v>487.55122199999994</v>
      </c>
      <c r="AA334" s="3">
        <f>453.5+(427.6-291)+(-0.693855+(-0.654228--0.44523))+0-105--0.160650000000006</f>
        <v>484.35779700000001</v>
      </c>
      <c r="AB334" s="3">
        <f>404.3+(479.9-309.6)+(-1.237158+(-1.468494--0.947376))+0-100--0.306000000000012</f>
        <v>473.14772399999993</v>
      </c>
      <c r="AC334" s="3">
        <f>324.3+(493.1-257.8)+(-0.826965+(-1.257405--0.65739))+0-107--0.272849999999984</f>
        <v>451.44587000000007</v>
      </c>
      <c r="AD334">
        <f t="shared" si="5"/>
        <v>11114.364782999999</v>
      </c>
      <c r="AE334" s="3">
        <f>446+(322.7-140.1)+(0+(0-0))+0-64-0</f>
        <v>564.6</v>
      </c>
    </row>
    <row r="335" spans="1:31" s="2" customFormat="1" x14ac:dyDescent="0.25">
      <c r="A335">
        <v>89</v>
      </c>
      <c r="B335">
        <v>11</v>
      </c>
      <c r="C335">
        <v>29</v>
      </c>
      <c r="D335">
        <v>7</v>
      </c>
      <c r="E335">
        <v>1</v>
      </c>
      <c r="F335" s="3">
        <f>323.2+(372.3-169.3)+(-0.82416+(-0.949365--0.431715))+0-108--0.275399999999984</f>
        <v>417.13359000000003</v>
      </c>
      <c r="G335" s="3">
        <f>322.1+(350.2-174.7)+(-0.657084+(-0.714408--0.356388))+0-104--0.212159999999995</f>
        <v>392.797056</v>
      </c>
      <c r="H335" s="3">
        <f>326.9+(361.1-182.7)+(-0.500157+(-0.552483--0.279531))+0-112--0.171360000000006</f>
        <v>392.69825100000003</v>
      </c>
      <c r="I335" s="3">
        <f>325.9+(366.6-198.5)+(-0.664836+(-0.747864--0.40494))+0-107--0.218279999999995</f>
        <v>386.21051999999997</v>
      </c>
      <c r="J335" s="3">
        <f>330.5+(355.2-182.7)+(0.168555+(0.181152-0.093177))+0-109-0.0555899999999889</f>
        <v>394.20094</v>
      </c>
      <c r="K335" s="3">
        <f>334.1+(274.1-110.2)+(0.170391+(0.139791-0.056202))+0-115-0.0586499999999883</f>
        <v>383.19533000000007</v>
      </c>
      <c r="L335" s="3">
        <f>323.3+(260.1-95.1)+(-0.824415+(-0.663255--0.242505))+0-103--0.262649999999985</f>
        <v>384.31748500000009</v>
      </c>
      <c r="M335" s="3">
        <f>326.7+(233.8-72.5)+(-0.499851+(-0.357714--0.110925))+0-102--0.156060000000006</f>
        <v>385.40942000000001</v>
      </c>
      <c r="N335" s="3">
        <f>329.9+(210.7-46.1)+(-0.504747+(-0.322371--0.070533))+0-106--0.162180000000006</f>
        <v>387.90559500000001</v>
      </c>
      <c r="O335" s="3">
        <f>331.5+(197.5-53.2)+(0.169065+(0.100725-0.027132))+0-65-0.0331499999999934</f>
        <v>411.00950800000004</v>
      </c>
      <c r="P335" s="3">
        <f>330.8+(236.3-81.7)+(-0.168708+(-0.120513--0.041667))+0-68--0.0346799999999931</f>
        <v>417.18712600000003</v>
      </c>
      <c r="Q335" s="3">
        <f>325.8+(216.6-68.5)+(-0.664632+(-0.441864--0.13974))+0-62--0.126479999999997</f>
        <v>411.05972400000002</v>
      </c>
      <c r="R335" s="3">
        <f>363.3+(197.1-100.6)+(-0.741132+(-0.402084--0.205224))+0-104.5--0.213179999999995</f>
        <v>354.57518800000003</v>
      </c>
      <c r="S335" s="3">
        <f>360.9+(203.9-101)+(-0.920295+(-0.519945--0.25755))+0-95--0.242249999999986</f>
        <v>367.85955999999999</v>
      </c>
      <c r="T335" s="3">
        <f>339.1+(215.7-65.3)+(-0.518823+(-0.330021--0.099909))+0-99.9--0.152847000000006</f>
        <v>389.00391199999996</v>
      </c>
      <c r="U335" s="3">
        <f>324.9+(227.2-73.8)+(-0.662796+(-0.463488--0.150552))+0-93.1--0.189923999999996</f>
        <v>384.41419199999996</v>
      </c>
      <c r="V335" s="3">
        <f>328.9+(214.6-58.4)+(-0.335478+(-0.218892--0.059568))+0-99.7--0.101694000000016</f>
        <v>385.00689199999999</v>
      </c>
      <c r="W335" s="3">
        <f>322.9+(173-0)+(-0.494037+(-0.26469-0))+0-88.8--0.135864000000005</f>
        <v>406.47713699999997</v>
      </c>
      <c r="X335" s="3">
        <f>331.6+(222.7-0)+(-0.676464+(-0.454308-0))+0-91.8--0.187271999999996</f>
        <v>461.55649999999997</v>
      </c>
      <c r="Y335" s="3">
        <f>331.2+(229.5-0)+(-0.84456+(-0.585225-0))+0-98.1--0.250154999999986</f>
        <v>461.42036999999999</v>
      </c>
      <c r="Z335" s="3">
        <f>340.4+(223.7-0)+(-0.347208+(-0.228174-0))+0-98.1--0.100062000000016</f>
        <v>465.52467999999993</v>
      </c>
      <c r="AA335" s="3">
        <f>340.6+(237.1-2.5)+(0.173706+(0.120921-0.001275))+0-105.5-0.0538049999999893</f>
        <v>469.93954700000006</v>
      </c>
      <c r="AB335" s="3">
        <f>331.1+(305.6-82.3)+(-0.675444+(-0.623424--0.167892))+0-95--0.193799999999996</f>
        <v>458.46282400000007</v>
      </c>
      <c r="AC335" s="3">
        <f>325+(319-115.2)+(-0.82875+(-0.81345--0.29376))+0-86.6--0.220829999999987</f>
        <v>441.07238999999993</v>
      </c>
      <c r="AD335">
        <f t="shared" si="5"/>
        <v>9808.4377370000002</v>
      </c>
      <c r="AE335" s="3">
        <f>330+(220-0)+(0+(0-0))+0-62.3-0</f>
        <v>487.7</v>
      </c>
    </row>
    <row r="336" spans="1:31" s="2" customFormat="1" x14ac:dyDescent="0.25">
      <c r="A336">
        <v>89</v>
      </c>
      <c r="B336">
        <v>11</v>
      </c>
      <c r="C336">
        <v>30</v>
      </c>
      <c r="D336">
        <v>1</v>
      </c>
      <c r="E336">
        <v>1</v>
      </c>
      <c r="F336" s="3">
        <f>331.2+(405-219.6)+(-0.506736+(-0.61965--0.335988))+0-92.8--0.141984000000005</f>
        <v>423.15158600000001</v>
      </c>
      <c r="G336" s="3">
        <f>325.2+(476.5-299.7)+(-0.82926+(-1.215075--0.764235))+0-87.1--0.222104999999987</f>
        <v>413.84200500000003</v>
      </c>
      <c r="H336" s="3">
        <f>336.7+(490.5-317.4)+(0.171717+(0.250155-0.161874))+0-107.1-0.0546209999999891</f>
        <v>402.90537700000004</v>
      </c>
      <c r="I336" s="3">
        <f>335.6+(487-326.8)+(-0.171156+(-0.24837--0.166668))+0-88.6--0.045185999999991</f>
        <v>406.99232799999999</v>
      </c>
      <c r="J336" s="3">
        <f>342.7+(477.7-317)+(0.699108+(0.974508-0.64668))+0-94.9-0.193595999999996</f>
        <v>409.33333999999996</v>
      </c>
      <c r="K336" s="3">
        <f>341.1+(427-242)+(0.347922+(0.43554-0.24684))+0-110.8-0.113016000000018</f>
        <v>415.72360599999996</v>
      </c>
      <c r="L336" s="3">
        <f>337.4+(380-204.9)+(0+(0-0))+0-83.1-0</f>
        <v>429.4</v>
      </c>
      <c r="M336" s="3">
        <f>335+(367.4-145.3)+(0+(0-0))+0-102-0</f>
        <v>455.09999999999991</v>
      </c>
      <c r="N336" s="3">
        <f>338.4+(393-150)+(0.690336+(0.80172-0.306))+0-99.3-0.202571999999996</f>
        <v>483.083484</v>
      </c>
      <c r="O336" s="3">
        <f>334+(507-234.6)+(-0.17034+(-0.25857--0.119646))+0-104.5--0.0532949999999894</f>
        <v>501.64403099999998</v>
      </c>
      <c r="P336" s="3">
        <f>331.2+(467.8-180.1)+(-0.506736+(-0.715734--0.275553))+0-103.8--0.158814000000006</f>
        <v>514.31189700000016</v>
      </c>
      <c r="Q336" s="3">
        <f>331.8+(493.1-205.8)+(-0.169218+(-0.251481--0.104958))+0-99--0.05048999999999</f>
        <v>519.83474899999999</v>
      </c>
      <c r="R336" s="3">
        <f>307.1+(532.9-213.1)+(-0.156621+(-0.271779--0.108681))+0-107.9--0.0550289999999891</f>
        <v>518.73531000000003</v>
      </c>
      <c r="S336" s="3">
        <f>273.3+(557.2-250.4)+(-0.696915+(-1.42086--0.63852))+0-92.8--0.236639999999987</f>
        <v>486.05738500000012</v>
      </c>
      <c r="T336" s="3">
        <f>275+(541-234.7)+(-0.14025+(-0.27591--0.119697))+0-110.8--0.0565079999999888</f>
        <v>470.26004499999993</v>
      </c>
      <c r="U336" s="3">
        <f>274.6+(528.7-239)+(-0.420138+(-0.808911--0.36567))+0-90.1--0.137853000000005</f>
        <v>473.47447400000004</v>
      </c>
      <c r="V336" s="3">
        <f>283.3+(514.6-211.7)+(-0.577932+(-1.049784--0.431868))+0-110.5--0.225419999999995</f>
        <v>474.72957200000008</v>
      </c>
      <c r="W336" s="3">
        <f>329.4+(469.9-220.3)+(-0.671976+(-0.958596--0.449412))+0-84.9--0.173195999999996</f>
        <v>493.09203600000006</v>
      </c>
      <c r="X336" s="3">
        <f>332.4+(444.5-135.1)+(-0.508572+(-0.680085--0.206703))+0-100.9--0.154377000000006</f>
        <v>540.07242299999996</v>
      </c>
      <c r="Y336" s="3">
        <f>329.2+(489.9-185.5)+(-0.83946+(-1.249245--0.473025))+0-95.4--0.243269999999986</f>
        <v>536.82758999999987</v>
      </c>
      <c r="Z336" s="3">
        <f>285.4+(509.4-159.9)+(-0.436662+(-0.779382--0.244647))+0-105.2--0.160956000000006</f>
        <v>528.88955899999996</v>
      </c>
      <c r="AA336" s="3">
        <f>273.6+(492.6-154.2)+(-0.418608+(-0.753678--0.235926))+0-109--0.166770000000006</f>
        <v>502.23040999999995</v>
      </c>
      <c r="AB336" s="3">
        <f>272.8+(505.5-191.1)+(-0.69564+(-1.289025--0.487305))+0-104.7--0.266984999999985</f>
        <v>481.26962500000008</v>
      </c>
      <c r="AC336" s="3">
        <f>269.1+(511.2-229.9)+(-0.686205+(-1.30356--0.586245))+0-89.1--0.227204999999987</f>
        <v>460.12368499999997</v>
      </c>
      <c r="AD336">
        <f t="shared" si="5"/>
        <v>11341.084517000001</v>
      </c>
      <c r="AE336" s="3">
        <f>330+(493.3-137.4)+(0+(0-0))+0-133.1-0</f>
        <v>552.79999999999995</v>
      </c>
    </row>
    <row r="337" spans="1:31" s="2" customFormat="1" x14ac:dyDescent="0.25">
      <c r="A337">
        <v>89</v>
      </c>
      <c r="B337">
        <v>12</v>
      </c>
      <c r="C337">
        <v>1</v>
      </c>
      <c r="D337">
        <v>2</v>
      </c>
      <c r="E337">
        <v>1</v>
      </c>
      <c r="F337" s="3">
        <f>272.5+(580.7-311.5)+(-0.972825+(-2.073099--1.112055))+0-101.9--0.363783000000001</f>
        <v>438.22991400000012</v>
      </c>
      <c r="G337" s="3">
        <f>271.2+(647.6-388.9)+(0+(0-0))+0-101.7-0</f>
        <v>428.2000000000001</v>
      </c>
      <c r="H337" s="3">
        <f>273+(659.4-408.4)+(-0.55692+(-1.345176--0.833136))+0-97.3--0.198491999999996</f>
        <v>425.82953200000003</v>
      </c>
      <c r="I337" s="3">
        <f>271.5+(678.8-414.9)+(0.692325+(1.73094-1.057995))+0-110.8-0.282539999999984</f>
        <v>425.68272999999999</v>
      </c>
      <c r="J337" s="3">
        <f>270.1+(662.2-417.7)+(0+(0-0))+0-93.8-0</f>
        <v>420.80000000000013</v>
      </c>
      <c r="K337" s="3">
        <f>272.8+(619.5-355.5)+(0.278256+(0.63189-0.36261))+0-111.5-0.113730000000018</f>
        <v>425.73380599999996</v>
      </c>
      <c r="L337" s="3">
        <f>271.2+(561.5-301.3)+(0.276624+(0.57273-0.307326))+0-84.3-0.0859860000000134</f>
        <v>447.55604199999993</v>
      </c>
      <c r="M337" s="3">
        <f>297.4+(550.3-270.9)+(0.303348+(0.561306-0.276318))+0-104-0.106080000000017</f>
        <v>473.28225599999996</v>
      </c>
      <c r="N337" s="3">
        <f>334.7+(560.7-329.2)+(0.512091+(0.857871-0.503676))+0-81.7-0.125001000000005</f>
        <v>485.241285</v>
      </c>
      <c r="O337" s="3">
        <f>280+(595.3-257)+(-0.2856+(-0.607206--0.26214))+0-95.8--0.0977160000000153</f>
        <v>521.96704999999997</v>
      </c>
      <c r="P337" s="3">
        <f>308+(587-316)+(-0.47124+(-0.89811--0.48348))+0-49--0.0749700000000028</f>
        <v>529.18910000000005</v>
      </c>
      <c r="Q337" s="3">
        <f>305+(596.2-310.2)+(-1.08885+(-2.128434--1.107414))+0-90--0.321300000000001</f>
        <v>499.21143000000001</v>
      </c>
      <c r="R337" s="3">
        <f>332+(535-273.3)+(-0.67728+(-1.0914--0.557532))+0-89.1--0.181763999999996</f>
        <v>503.57061600000003</v>
      </c>
      <c r="S337" s="3">
        <f>300+(518.6-243.2)+(-0.612+(-1.057944--0.496128))+0-89.1--0.181763999999996</f>
        <v>485.30794800000007</v>
      </c>
      <c r="T337" s="3">
        <f>305+(502.1-247.6)+(-0.15555+(-0.256071--0.126276))+0-81.1--0.0413609999999918</f>
        <v>478.15601599999997</v>
      </c>
      <c r="U337" s="3">
        <f>307+(517.6-270.2)+(0.46971+(0.791928-0.413406))+0-89.8-0.137394000000005</f>
        <v>465.3108380000001</v>
      </c>
      <c r="V337" s="3">
        <f>308+(520.2-281.9)+(0+(0-0))+0-76.3-0</f>
        <v>470.00000000000006</v>
      </c>
      <c r="W337" s="3">
        <f>306+(520.2-249.2)+(0+(0-0))+0-100.9-0</f>
        <v>476.1</v>
      </c>
      <c r="X337" s="3">
        <f>313+(434.6-153.3)+(-0.47889+(-0.664938--0.234549))+0-75.3--0.115209000000004</f>
        <v>518.20593000000008</v>
      </c>
      <c r="Y337" s="3">
        <f>322+(460.5-200.5)+(-0.65688+(-0.93942--0.40902))+0-67.8--0.138311999999997</f>
        <v>513.1510320000001</v>
      </c>
      <c r="Z337" s="3">
        <f>321+(491.7-244.3)+(-0.32742+(-0.501534--0.249186))+0-68.9--0.070278000000011</f>
        <v>498.99051000000009</v>
      </c>
      <c r="AA337" s="3">
        <f>287+(490.7-218)+(0.14637+(0.250257-0.11118))+0-81.9-0.0417689999999917</f>
        <v>478.04367800000006</v>
      </c>
      <c r="AB337" s="3">
        <f>259+(490.6-194.4)+(-0.66045+(-1.25103--0.49572))+0-73.3--0.186914999999989</f>
        <v>480.67115500000006</v>
      </c>
      <c r="AC337" s="3">
        <f>258+(535.7-244.9)+(0.13158+(0.273207-0.124899))+0-87.1-0.0444209999999912</f>
        <v>461.93546700000007</v>
      </c>
      <c r="AD337">
        <f t="shared" si="5"/>
        <v>11350.366334999999</v>
      </c>
      <c r="AE337" s="3">
        <f>320+(433.1-149.9)+(0+(0-0))+0-91.3-0</f>
        <v>511.90000000000003</v>
      </c>
    </row>
    <row r="338" spans="1:31" s="2" customFormat="1" x14ac:dyDescent="0.25">
      <c r="A338">
        <v>89</v>
      </c>
      <c r="B338">
        <v>12</v>
      </c>
      <c r="C338">
        <v>2</v>
      </c>
      <c r="D338">
        <v>3</v>
      </c>
      <c r="E338">
        <v>1</v>
      </c>
      <c r="F338" s="3">
        <f>259.7+(553.5-286.5)+(-0.529788+(-1.12914--0.58446))+0-80.6--0.164423999999996</f>
        <v>445.189956</v>
      </c>
      <c r="G338" s="3">
        <f>260.2+(556.4-289.2)+(-0.530808+(-1.135056--0.589968))+0-95.2--0.194207999999996</f>
        <v>431.31831200000005</v>
      </c>
      <c r="H338" s="3">
        <f>261.5+(578.3-302.1)+(0.133365+(0.294933-0.154071))+0-112.6-0.0574259999999886</f>
        <v>425.31680099999994</v>
      </c>
      <c r="I338" s="3">
        <f>260.8+(596-346.2)+(0.532032+(1.21584-0.706248))+0-90.5-0.184619999999996</f>
        <v>420.95700400000004</v>
      </c>
      <c r="J338" s="3">
        <f>191.9+(587.6-280.9)+(-0.097869+(-0.299676--0.143259))+0-83.1--0.0423809999999916</f>
        <v>415.288095</v>
      </c>
      <c r="K338" s="3">
        <f>121+(552-165.7)+(0+(0-0))+0-97.3-0</f>
        <v>410</v>
      </c>
      <c r="L338" s="3">
        <f>121.1+(531.3-136.1)+(-0.247044+(-1.083852--0.277644))+0-108.7--0.221747999999995</f>
        <v>406.76849599999991</v>
      </c>
      <c r="M338" s="3">
        <f>121.9+(469.7-103.4)+(-0.186507+(-0.718641--0.158202))+0-77.7--0.118881000000004</f>
        <v>409.87193499999995</v>
      </c>
      <c r="N338" s="3">
        <f>121.5+(422.5-48.9)+(0.185895+(0.646425-0.074817))+0-77.7-0.118881000000004</f>
        <v>418.03862200000003</v>
      </c>
      <c r="O338" s="3">
        <f>122.5+(425.4-42.7)+(0.062475+(0.216954-0.021777))+0-89.2-0.0454919999999909</f>
        <v>416.21216000000004</v>
      </c>
      <c r="P338" s="3">
        <f>134.8+(457.9-69.6)+(-0.137496+(-0.467058--0.070992))+0-101.8--0.103836000000016</f>
        <v>420.87027399999994</v>
      </c>
      <c r="Q338" s="3">
        <f>171.4+(470-135.9)+(-0.174828+(-0.4794--0.138618))+0-88.8--0.0905760000000142</f>
        <v>416.27496600000001</v>
      </c>
      <c r="R338" s="3">
        <f>204.4+(433.9-140.5)+(-0.625464+(-1.327734--0.42993))+0-82.3--0.25183800000001</f>
        <v>414.22856999999999</v>
      </c>
      <c r="S338" s="3">
        <f>258.3+(412.1-176.9)+(-0.263466+(-0.420342--0.180438))+0-96--0.0979200000000153</f>
        <v>397.09454999999997</v>
      </c>
      <c r="T338" s="3">
        <f>323.2+(352.4-175.5)+(0.329664+(0.359448-0.17901))+0-105.6-0.107712000000017</f>
        <v>394.90238999999997</v>
      </c>
      <c r="U338" s="3">
        <f>318.9+(335.9-162.9)+(-0.650556+(-0.685236--0.332316))+0-102.2--0.208487999999996</f>
        <v>388.905012</v>
      </c>
      <c r="V338" s="3">
        <f>332.2+(313.3-144.3)+(0.338844+(0.319566-0.147186))+0-126.5-0.12903000000002</f>
        <v>375.08219400000002</v>
      </c>
      <c r="W338" s="3">
        <f>333+(296.8-107.8)+(-0.33966+(-0.302736--0.109956))+0-130.4--0.133008000000021</f>
        <v>391.20056800000009</v>
      </c>
      <c r="X338" s="3">
        <f>331.8+(324-90)+(-0.169218+(-0.16524--0.0459))+0-118.5--0.060434999999988</f>
        <v>447.07187699999997</v>
      </c>
      <c r="Y338" s="3">
        <f>293.7+(392.7-121.8)+(-0.299574+(-0.400554--0.124236))+0-122.7--0.12515400000002</f>
        <v>441.44926199999998</v>
      </c>
      <c r="Z338" s="3">
        <f>277+(425.1-139.4)+(-0.14127+(-0.216801--0.071094))+0-122.1--0.0622709999999876</f>
        <v>440.37529400000005</v>
      </c>
      <c r="AA338" s="3">
        <f>276.5+(467.1-194.8)+(-0.141015+(-0.238221--0.099348))+0-110.9--0.0565589999999888</f>
        <v>437.67667099999994</v>
      </c>
      <c r="AB338" s="3">
        <f>277.9+(508.7-238.5)+(-0.566916+(-1.037748--0.48654))+0-118.3--0.241331999999995</f>
        <v>428.92320799999993</v>
      </c>
      <c r="AC338" s="3">
        <f>276.3+(474.4-231.4)+(0+(0-0))+0-111.1-0</f>
        <v>408.19999999999993</v>
      </c>
      <c r="AD338">
        <f t="shared" si="5"/>
        <v>10001.216216999999</v>
      </c>
      <c r="AE338" s="3">
        <f>329+(400.5-124)+(0+(0-0))+0-138-0</f>
        <v>467.5</v>
      </c>
    </row>
    <row r="339" spans="1:31" s="2" customFormat="1" x14ac:dyDescent="0.25">
      <c r="A339">
        <v>89</v>
      </c>
      <c r="B339">
        <v>12</v>
      </c>
      <c r="C339">
        <v>3</v>
      </c>
      <c r="D339">
        <v>4</v>
      </c>
      <c r="E339">
        <v>1</v>
      </c>
      <c r="F339" s="3">
        <f>275.9+(547-317.2)+(-0.281418+(-0.55794--0.323544))+0-111--0.113220000000018</f>
        <v>394.29740600000002</v>
      </c>
      <c r="G339" s="3">
        <f>276.2+(573.4-343.3)+(0+(0-0))+0-118.4-0</f>
        <v>387.9</v>
      </c>
      <c r="H339" s="3">
        <f>274.6+(574.3-351.6)+(0+(0-0))+0-117-0</f>
        <v>380.29999999999995</v>
      </c>
      <c r="I339" s="3">
        <f>276.1+(591.4-380)+(-0.422433+(-0.904842--0.5814))+0-111.2--0.170136000000006</f>
        <v>375.72426100000001</v>
      </c>
      <c r="J339" s="3">
        <f>275.2+(577.9-376.2)+(-0.561408+(-1.178916--0.767448))+0-96.3--0.196451999999996</f>
        <v>379.823576</v>
      </c>
      <c r="K339" s="3">
        <f>275.5+(527.1-324.7)+(0.28101+(0.537642-0.331194))+0-95.4-0.0973080000000152</f>
        <v>382.89015000000006</v>
      </c>
      <c r="L339" s="3">
        <f>274.7+(434.6-211.5)+(-0.280194+(-0.443292--0.21573))+0-96--0.0979200000000153</f>
        <v>401.39016400000003</v>
      </c>
      <c r="M339" s="3">
        <f>275.6+(447.3-185.1)+(-0.421668+(-0.684369--0.283203))+0-102.8--0.157284000000006</f>
        <v>434.33445000000012</v>
      </c>
      <c r="N339" s="3">
        <f>282.6+(447.8-164.4)+(0+(0-0))+0-102-0</f>
        <v>464</v>
      </c>
      <c r="O339" s="3">
        <f>341.8+(566-323.7)+(-0.348636+(-0.57732--0.330174))+0-112--0.114240000000018</f>
        <v>471.61845800000003</v>
      </c>
      <c r="P339" s="3">
        <f>339.1+(531.1-281.5)+(-0.864705+(-1.354305--0.717825))+0-107.2--0.273359999999984</f>
        <v>480.27217500000006</v>
      </c>
      <c r="Q339" s="3">
        <f>339.7+(536.2-283.2)+(-0.346494+(-0.546924--0.288864))+0-105.1--0.107202000000017</f>
        <v>487.10264800000004</v>
      </c>
      <c r="R339" s="3">
        <f>267.6+(577.7-246.5)+(-0.68238+(-1.473135--0.628575))+0-111--0.283049999999984</f>
        <v>486.5561100000001</v>
      </c>
      <c r="S339" s="3">
        <f>253.5+(560.1-241.1)+(0+(0-0))+0-110.2-0</f>
        <v>462.3</v>
      </c>
      <c r="T339" s="3">
        <f>253.2+(522.6-203)+(0.129132+(0.266526-0.10353))+0-131.1-0.0668609999999867</f>
        <v>441.92526700000002</v>
      </c>
      <c r="U339" s="3">
        <f>237.2+(535.3-222.7)+(0+(0-0))+0-108.3-0</f>
        <v>441.49999999999994</v>
      </c>
      <c r="V339" s="3">
        <f>209.9+(531-185.1)+(0+(0-0))+0-123.1-0</f>
        <v>432.69999999999993</v>
      </c>
      <c r="W339" s="3">
        <f>309.3+(413.3-159.7)+(-0.157743+(-0.210783--0.081447))+0-114.7--0.0584969999999884</f>
        <v>447.97141800000014</v>
      </c>
      <c r="X339" s="3">
        <f>330.9+(403.4-116.1)+(-0.168759+(-0.205734--0.059211))+0-127.8--0.065177999999987</f>
        <v>490.1498959999999</v>
      </c>
      <c r="Y339" s="3">
        <f>335.1+(449.8-182.3)+(-0.512703+(-0.688194--0.278919))+0-123.7--0.189261000000007</f>
        <v>478.16728300000005</v>
      </c>
      <c r="Z339" s="3">
        <f>333.9+(483.3-230.5)+(-0.340578+(-0.492966--0.23511))+0-113.2--0.115464000000018</f>
        <v>473.01703000000009</v>
      </c>
      <c r="AA339" s="3">
        <f>329.8+(475-220)+(-1.009188+(-1.4535--0.6732))+0-115--0.351900000000013</f>
        <v>468.36241199999995</v>
      </c>
      <c r="AB339" s="3">
        <f>330.2+(522.7-282)+(-0.673608+(-1.066308--0.57528))+0-126.6--0.258263999999994</f>
        <v>443.39362800000009</v>
      </c>
      <c r="AC339" s="3">
        <f>328.6+(546.3-319.2)+(-1.005516+(-1.671678--0.976752))+0-126.1--0.385866000000015</f>
        <v>428.28542400000009</v>
      </c>
      <c r="AD339">
        <f t="shared" si="5"/>
        <v>10533.981756000003</v>
      </c>
      <c r="AE339" s="3">
        <f>338+(447-130.2)+(0+(0-0))+0-143.3-0</f>
        <v>511.49999999999994</v>
      </c>
    </row>
    <row r="340" spans="1:31" s="2" customFormat="1" x14ac:dyDescent="0.25">
      <c r="A340">
        <v>89</v>
      </c>
      <c r="B340">
        <v>12</v>
      </c>
      <c r="C340">
        <v>4</v>
      </c>
      <c r="D340">
        <v>5</v>
      </c>
      <c r="E340">
        <v>1</v>
      </c>
      <c r="F340" s="3">
        <f>300.1+(584.9-350.2)+(0.306102+(0.596598-0.357204))+0-125-0.12750000000002</f>
        <v>410.21799599999991</v>
      </c>
      <c r="G340" s="3">
        <f>260.5+(598.9-323)+(-0.53142+(-1.221756--0.65892))+0-147--0.299879999999994</f>
        <v>388.60562399999998</v>
      </c>
      <c r="H340" s="3">
        <f>260.6+(626.4-370)+(0.132906+(0.319464-0.1887))+0-131.1-0.0668609999999867</f>
        <v>386.09680900000006</v>
      </c>
      <c r="I340" s="3">
        <f>259.7+(632.4-360.4)+(-0.529788+(-1.290096--0.735216))+0-151.4--0.308855999999993</f>
        <v>379.52418800000009</v>
      </c>
      <c r="J340" s="3">
        <f>260.1+(631.2-375.9)+(-0.397953+(-0.965736--0.575127))+0-133.7--0.204561000000008</f>
        <v>381.11599900000016</v>
      </c>
      <c r="K340" s="3">
        <f>259.4+(604.4-331.5)+(0.132294+(0.308244-0.169065))+0-148.7-0.0758369999999849</f>
        <v>383.795636</v>
      </c>
      <c r="L340" s="3">
        <f>259.2+(506.6-223.8)+(-0.528768+(-1.033464--0.456552))+0-144.2--0.294167999999994</f>
        <v>396.98848800000002</v>
      </c>
      <c r="M340" s="3">
        <f>259.6+(479.8-168)+(-0.264792+(-0.489396--0.17136))+0-148.1--0.151062000000024</f>
        <v>422.86823400000014</v>
      </c>
      <c r="N340" s="3">
        <f>207.9+(517.4-125.2)+(0+(0-0))+0-154.3-0</f>
        <v>445.8</v>
      </c>
      <c r="O340" s="3">
        <f>162.6+(575.2-153.1)+(-0.082926+(-0.293352--0.078081))+0-131.1--0.0668609999999867</f>
        <v>453.36866400000002</v>
      </c>
      <c r="P340" s="3">
        <f>158.9+(578.1-141.1)+(-0.081039+(-0.294831--0.071961))+0-133.6--0.0681359999999864</f>
        <v>462.06422699999996</v>
      </c>
      <c r="Q340" s="3">
        <f>151.3+(566.1-111.4)+(-0.077163+(-0.288711--0.056814))+0-138.7--0.0707369999999859</f>
        <v>467.06167699999997</v>
      </c>
      <c r="R340" s="3">
        <f>144.7+(554-80.7)+(-0.368985+(-1.4127--0.205785))+0-153.4--0.391169999999978</f>
        <v>463.41526999999996</v>
      </c>
      <c r="S340" s="3">
        <f>153.1+(542.6-86.9)+(-0.078081+(-0.276726--0.044319))+0-152.6--0.0778259999999845</f>
        <v>455.96733800000004</v>
      </c>
      <c r="T340" s="3">
        <f>201+(528.9-129.3)+(-0.51255+(-1.348695--0.329715))+0-155.1--0.395504999999977</f>
        <v>444.36397499999987</v>
      </c>
      <c r="U340" s="3">
        <f>301.7+(503.4-223.4)+(-0.461601+(-0.770202--0.341802))+0-143.7--0.219861000000008</f>
        <v>437.32986000000005</v>
      </c>
      <c r="V340" s="3">
        <f>356.9+(433.4-215.4)+(-1.638171+(-1.989306--0.988686))+0-142.1--0.652239000000025</f>
        <v>430.81344799999999</v>
      </c>
      <c r="W340" s="3">
        <f>454.5+(355.3-204.3)+(0+(0-0))+0-153.1-0</f>
        <v>452.4</v>
      </c>
      <c r="X340" s="3">
        <f>461.4+(340.2-148.1)+(-0.941256+(-0.694008--0.302124))+0-156.5--0.319259999999993</f>
        <v>495.98612000000003</v>
      </c>
      <c r="Y340" s="3">
        <f>469.9+(394.2-224)+(0+(0-0))+0-155.4-0</f>
        <v>484.69999999999993</v>
      </c>
      <c r="Z340" s="3">
        <f>425.7+(432.4-212.3)+(0+(0-0))+0-166-0</f>
        <v>479.79999999999995</v>
      </c>
      <c r="AA340" s="3">
        <f>401.5+(409-202.7)+(-0.40953+(-0.41718--0.206754))+0-151.1--0.154122000000024</f>
        <v>456.23416599999996</v>
      </c>
      <c r="AB340" s="3">
        <f>400.2+(410.8-259.9)+(-0.816408+(-0.838032--0.530196))+0-103.6--0.211343999999995</f>
        <v>446.58710000000002</v>
      </c>
      <c r="AC340" s="3">
        <f>346.3+(440.4-224.9)+(-1.412904+(-1.796832--0.917592))+0-131.8--0.537743999999989</f>
        <v>428.24559999999991</v>
      </c>
      <c r="AD340">
        <f t="shared" si="5"/>
        <v>10453.350419000002</v>
      </c>
      <c r="AE340" s="3">
        <f>462+(372.9-166.9)+(0+(0-0))+0-186.8-0</f>
        <v>481.2</v>
      </c>
    </row>
    <row r="341" spans="1:31" s="2" customFormat="1" x14ac:dyDescent="0.25">
      <c r="A341">
        <v>89</v>
      </c>
      <c r="B341">
        <v>12</v>
      </c>
      <c r="C341">
        <v>5</v>
      </c>
      <c r="D341">
        <v>6</v>
      </c>
      <c r="E341">
        <v>1</v>
      </c>
      <c r="F341" s="3">
        <f>301.8+(504.8-272.6)+(-0.461754+(-0.772344--0.417078))+0-119.7--0.183141000000007</f>
        <v>413.66612100000009</v>
      </c>
      <c r="G341" s="3">
        <f>272.7+(565.6-329)+(0.278154+(0.576912-0.33558))+0-120.4-0.122808000000019</f>
        <v>389.29667799999999</v>
      </c>
      <c r="H341" s="3">
        <f>274.2+(595.1-337)+(-0.839052+(-1.821006--1.03122))+0-106--0.324360000000012</f>
        <v>424.99552199999999</v>
      </c>
      <c r="I341" s="3">
        <f>209.5+(626.8-275)+(0.21369+(0.639336-0.2805))+0-109-0.111180000000017</f>
        <v>452.761346</v>
      </c>
      <c r="J341" s="3">
        <f>194.6+(616.2-259.2)+(0.099246+(0.314262-0.132192))+0-106-0.0540599999999892</f>
        <v>445.82725599999998</v>
      </c>
      <c r="K341" s="3">
        <f>194.3+(594.6-233.4)+(0.594558+(1.819476-0.714204))+0-113-0.345780000000013</f>
        <v>443.85405000000003</v>
      </c>
      <c r="L341" s="3">
        <f>194.7+(560.2-211.7)+(0+(0-0))+0-100-0</f>
        <v>443.20000000000005</v>
      </c>
      <c r="M341" s="3">
        <f>197.4+(566.4-173.9)+(0.302022+(0.866592-0.266067))+0-125-0.191250000000007</f>
        <v>465.61129699999998</v>
      </c>
      <c r="N341" s="3">
        <f>273.5+(584.7-271.5)+(0+(0-0))+0-101-0</f>
        <v>485.70000000000005</v>
      </c>
      <c r="O341" s="3">
        <f>276.8+(624-270.6)+(0+(0-0))+0-120-0</f>
        <v>510.20000000000005</v>
      </c>
      <c r="P341" s="3">
        <f>276.3+(590.2-264.8)+(0+(0-0))+0-82-0</f>
        <v>519.70000000000005</v>
      </c>
      <c r="Q341" s="3">
        <f>268.1+(592.5-231.3)+(0.136731+(0.302175-0.117963))+0-98-0.0499799999999901</f>
        <v>531.57096300000001</v>
      </c>
      <c r="R341" s="3">
        <f>274.3+(574.5-243.6)+(-0.279786+(-0.58599--0.248472))+0-88--0.089760000000014</f>
        <v>516.67245600000012</v>
      </c>
      <c r="S341" s="3">
        <f>272+(578.7-234.3)+(-0.27744+(-0.590274--0.238986))+0-115--0.117300000000018</f>
        <v>500.88857200000007</v>
      </c>
      <c r="T341" s="3">
        <f>271+(562.5-264.4)+(-0.13821+(-0.286875--0.134844))+0-90--0.0458999999999909</f>
        <v>478.855659</v>
      </c>
      <c r="U341" s="3">
        <f>272.2+(545.6-248.2)+(-0.277644+(-0.556512--0.253164))+0-104--0.106080000000017</f>
        <v>465.12508800000001</v>
      </c>
      <c r="V341" s="3">
        <f>271.5+(535.7-229.5)+(-0.969255+(-1.912449--0.819315))+0-113--0.403410000000002</f>
        <v>463.041021</v>
      </c>
      <c r="W341" s="3">
        <f>272.7+(520.2-204.4)+(-0.139077+(-0.265302--0.104244))+0-108--0.055079999999989</f>
        <v>480.25494500000002</v>
      </c>
      <c r="X341" s="3">
        <f>293.5+(508.6-196)+(-0.449055+(-0.778158--0.29988))+0-86--0.131580000000005</f>
        <v>519.30424700000003</v>
      </c>
      <c r="Y341" s="3">
        <f>286.6+(530.3-203.9)+(-0.292332+(-0.540906--0.207978))+0-151.9--0.154938000000024</f>
        <v>460.62967800000001</v>
      </c>
      <c r="Z341" s="3">
        <f>273.7+(520.7-185.4)+(-0.418761+(-0.796671--0.283662))+0-162.5--0.248625000000009</f>
        <v>445.81685499999998</v>
      </c>
      <c r="AA341" s="3">
        <f>273+(544.9-218.5)+(0+(0-0))+0-156.2-0</f>
        <v>443.2</v>
      </c>
      <c r="AB341" s="3">
        <f>200.2+(561-173.8)+(-0.408408+(-1.14444--0.354552))+0-150.3--0.306611999999993</f>
        <v>436.20831599999991</v>
      </c>
      <c r="AC341" s="3">
        <f>166.6+(500.7-100.5)+(-0.42483+(-1.276785--0.256275))+0-162.6--0.414629999999976</f>
        <v>403.16928999999993</v>
      </c>
      <c r="AD341">
        <f t="shared" si="5"/>
        <v>11139.549359999999</v>
      </c>
      <c r="AE341" s="3">
        <f>292+(531.3-224.3)+(0+(0-0))+0-126.3-0</f>
        <v>472.7</v>
      </c>
    </row>
    <row r="342" spans="1:31" s="2" customFormat="1" x14ac:dyDescent="0.25">
      <c r="A342">
        <v>89</v>
      </c>
      <c r="B342">
        <v>12</v>
      </c>
      <c r="C342">
        <v>6</v>
      </c>
      <c r="D342">
        <v>7</v>
      </c>
      <c r="E342">
        <v>1</v>
      </c>
      <c r="F342" s="3">
        <f>166.4+(476.5-114.3)+(-0.169728+(-0.48603--0.116586))+0-145--0.147900000000023</f>
        <v>383.20872800000006</v>
      </c>
      <c r="G342" s="3">
        <f>166.3+(495.3-142.5)+(-0.084813+(-0.252603--0.072675))+0-147.7--0.075326999999985</f>
        <v>371.21058600000003</v>
      </c>
      <c r="H342" s="3">
        <f>166.3+(531.9-191.7)+(0+(0-0))+0-143.1-0</f>
        <v>363.4</v>
      </c>
      <c r="I342" s="3">
        <f>166.3+(536.5-193.3)+(0.254439+(0.820845-0.295749))+0-156.5-0.239445000000009</f>
        <v>353.54009000000002</v>
      </c>
      <c r="J342" s="3">
        <f>167.1+(536.4-189.6)+(-0.426105+(-1.36782--0.48348))+0-160.2--0.408509999999977</f>
        <v>352.79806500000001</v>
      </c>
      <c r="K342" s="3">
        <f>168.4+(487.6-152.6)+(0.257652+(0.746028-0.233478))+0-154-0.235620000000009</f>
        <v>349.93458199999998</v>
      </c>
      <c r="L342" s="3">
        <f>168.2+(456.4-133.1)+(-0.171564+(-0.465528--0.135762))+0-159.2--0.162384000000025</f>
        <v>331.96105399999999</v>
      </c>
      <c r="M342" s="3">
        <f>168.1+(400.4-69)+(0.085731+(0.204204-0.03519))+0-167.5-0.085424999999983</f>
        <v>332.16932000000003</v>
      </c>
      <c r="N342" s="3">
        <f>157.7+(370.7-42.2)+(-0.160854+(-0.378114--0.043044))+0-150.4--0.153408000000024</f>
        <v>335.45748400000002</v>
      </c>
      <c r="O342" s="3">
        <f>160.1+(369.9-23.8)+(0.081651+(0.188649-0.012138))+0-159.1-0.0811409999999839</f>
        <v>347.27702099999999</v>
      </c>
      <c r="P342" s="3">
        <f>162+(384.8-30.8)+(0.16524+(0.392496-0.031416))+0-155.6-0.158712000000025</f>
        <v>360.767608</v>
      </c>
      <c r="Q342" s="3">
        <f>157+(391.9-40.5)+(-0.32028+(-0.799476--0.08262))+0-152.9--0.311915999999993</f>
        <v>354.77477999999996</v>
      </c>
      <c r="R342" s="3">
        <f>159.8+(407.3-53)+(-0.081498+(-0.207723--0.02703))+0-130--0.0662999999999868</f>
        <v>383.90410900000001</v>
      </c>
      <c r="S342" s="3">
        <f>158+(390.8-36)+(-0.48348+(-1.195848--0.11016))+0-120--0.367200000000014</f>
        <v>391.59803199999999</v>
      </c>
      <c r="T342" s="3">
        <f>159.6+(342.1-23.9)+(-0.162792+(-0.348942--0.024378))+0-144.5--0.147390000000023</f>
        <v>332.96003400000012</v>
      </c>
      <c r="U342" s="3">
        <f>157.3+(337-15.8)+(-0.481338+(-1.03122--0.048348))+0-141.3--0.432378000000016</f>
        <v>336.16816800000004</v>
      </c>
      <c r="V342" s="3">
        <f>159.7+(346.5-14.3)+(-0.162894+(-0.35343--0.014586))+0-162--0.165240000000026</f>
        <v>329.56350200000003</v>
      </c>
      <c r="W342" s="3">
        <f>160.2+(356.1-12.3)+(-0.081702+(-0.181611--0.006273))+0-147.4--0.075173999999985</f>
        <v>356.41813399999995</v>
      </c>
      <c r="X342" s="3">
        <f>163.1+(416.4-12.8)+(-0.249543+(-0.637092--0.019584))+0-160.6--0.245718000000009</f>
        <v>405.47866699999997</v>
      </c>
      <c r="Y342" s="3">
        <f>164.2+(430.5-14.2)+(0.083742+(0.219555-0.007242))+0-168.9-0.0861389999999829</f>
        <v>411.80991600000004</v>
      </c>
      <c r="Z342" s="3">
        <f>164.5+(423-18.4)+(-0.251685+(-0.64719--0.028152))+0-162.1--0.248013000000009</f>
        <v>406.37729000000002</v>
      </c>
      <c r="AA342" s="3">
        <f>164.1+(438.5-25.3)+(0.083691+(0.223635-0.012903))+0-157.5-0.080324999999984</f>
        <v>420.01409800000005</v>
      </c>
      <c r="AB342" s="3">
        <f>165.6+(475.9-82.6)+(-0.168912+(-0.485418--0.084252))+0-144.1--0.146982000000023</f>
        <v>414.37690400000002</v>
      </c>
      <c r="AC342" s="3">
        <f>166.4+(547.4-138.6)+(-0.339456+(-1.116696--0.282744))+0-172.6--0.352103999999992</f>
        <v>401.77869599999991</v>
      </c>
      <c r="AD342">
        <f t="shared" si="5"/>
        <v>8826.9468679999991</v>
      </c>
      <c r="AE342" s="3">
        <f>162+(462.7-10.8)+(0+(0-0))+0-188.6-0</f>
        <v>425.29999999999995</v>
      </c>
    </row>
    <row r="343" spans="1:31" s="2" customFormat="1" x14ac:dyDescent="0.25">
      <c r="A343">
        <v>89</v>
      </c>
      <c r="B343">
        <v>12</v>
      </c>
      <c r="C343">
        <v>7</v>
      </c>
      <c r="D343">
        <v>1</v>
      </c>
      <c r="E343">
        <v>1</v>
      </c>
      <c r="F343" s="3">
        <f>166.4+(523.6-151.5)+(-0.169728+(-0.534072--0.15453))+0-167.4--0.170748000000027</f>
        <v>370.72147800000005</v>
      </c>
      <c r="G343" s="3">
        <f>167+(520.6-165.1)+(-0.17034+(-0.531012--0.168402))+0-162.1--0.165342000000026</f>
        <v>360.03239199999996</v>
      </c>
      <c r="H343" s="3">
        <f>167.2+(513.5-161.9)+(0.341088+(1.04754-0.330276))+0-164.9-0.336395999999993</f>
        <v>354.62195600000001</v>
      </c>
      <c r="I343" s="3">
        <f>167.5+(525.5-178.6)+(-0.17085+(-0.53601--0.182172))+0-162--0.165240000000026</f>
        <v>352.04055200000005</v>
      </c>
      <c r="J343" s="3">
        <f>167.6+(531.8-189.4)+(0.512856+(1.627308-0.579564))+0-156.8-0.479808000000018</f>
        <v>354.28079200000002</v>
      </c>
      <c r="K343" s="3">
        <f>168.5+(519.1-162)+(0.085935+(0.264741-0.08262))+0-162.9-0.0830789999999835</f>
        <v>362.88497700000005</v>
      </c>
      <c r="L343" s="3">
        <f>168.7+(489.6-110.8)+(0.258111+(0.749088-0.169524))+0-165.7-0.25352100000001</f>
        <v>382.38415399999997</v>
      </c>
      <c r="M343" s="3">
        <f>168.3+(480.5-82.7)+(0.429165+(1.225275-0.210885))+0-146.7-0.374084999999979</f>
        <v>420.46947</v>
      </c>
      <c r="N343" s="3">
        <f>167.6+(527-84.5)+(0.085476+(0.26877-0.043095))+0-158.2-0.0806819999999839</f>
        <v>452.13046900000006</v>
      </c>
      <c r="O343" s="3">
        <f>166.3+(534.9-98)+(0.084813+(0.272799-0.04998))+0-149.3-0.0761429999999849</f>
        <v>454.13148900000004</v>
      </c>
      <c r="P343" s="3">
        <f>165.3+(522-61)+(0.252909+(0.79866-0.09333))+0-165.9-0.25382700000001</f>
        <v>461.10441200000002</v>
      </c>
      <c r="Q343" s="3">
        <f>164.5+(505.2-34.2)+(-0.083895+(-0.257652--0.017442))+0-166.5--0.0849149999999831</f>
        <v>468.76080999999994</v>
      </c>
      <c r="R343" s="3">
        <f>163.6+(499-42.7)+(-0.083436+(-0.25449--0.021777))+0-150.2--0.0766019999999848</f>
        <v>469.46045299999997</v>
      </c>
      <c r="S343" s="3">
        <f>163+(503.1-62.4)+(-0.24939+(-0.769743--0.095472))+0-142.4--0.217872000000008</f>
        <v>460.59421100000003</v>
      </c>
      <c r="T343" s="3">
        <f>163.1+(532.6-105.3)+(0+(0-0))+0-144.1-0</f>
        <v>446.29999999999995</v>
      </c>
      <c r="U343" s="3">
        <f>162.5+(454-23.1)+(-0.16575+(-0.46308--0.023562))+0-158.6--0.161772000000025</f>
        <v>434.35650399999997</v>
      </c>
      <c r="V343" s="3">
        <f>162+(441-26.8)+(0+(0-0))+0-138.1-0</f>
        <v>438.1</v>
      </c>
      <c r="W343" s="3">
        <f>162.6+(439.4-2.1)+(-0.331704+(-0.896376--0.004284))+0-156.8--0.319871999999993</f>
        <v>442.19607599999995</v>
      </c>
      <c r="X343" s="3">
        <f>164.6+(476-0)+(-0.41973+(-1.2138-0))+0-167.6--0.427379999999976</f>
        <v>471.79385000000002</v>
      </c>
      <c r="Y343" s="3">
        <f>163.6+(468.8-0)+(-0.250308+(-0.717264-0))+0-162.6--0.248778000000009</f>
        <v>469.08120599999995</v>
      </c>
      <c r="Z343" s="3">
        <f>163.4+(495.9-33.6)+(-0.083334+(-0.252909--0.017136))+0-155.2--0.0791519999999842</f>
        <v>470.26004499999988</v>
      </c>
      <c r="AA343" s="3">
        <f>163.7+(485.5-31.6)+(-0.166974+(-0.49521--0.032232))+0-150.9--0.153918000000024</f>
        <v>466.22396599999996</v>
      </c>
      <c r="AB343" s="3">
        <f>164.4+(531.3-109.7)+(-0.41922+(-1.354815--0.279735))+0-139.3--0.35521499999998</f>
        <v>445.56091500000002</v>
      </c>
      <c r="AC343" s="3">
        <f>164.7+(560.9-144)+(-0.335988+(-1.144236--0.29376))+0-162.9--0.332315999999993</f>
        <v>417.84585199999992</v>
      </c>
      <c r="AD343">
        <f t="shared" si="5"/>
        <v>10225.336029</v>
      </c>
      <c r="AE343" s="3">
        <f>165+(499.1-0)+(0+(0-0))+0-199.1-0</f>
        <v>465</v>
      </c>
    </row>
    <row r="344" spans="1:31" s="2" customFormat="1" x14ac:dyDescent="0.25">
      <c r="A344">
        <v>89</v>
      </c>
      <c r="B344">
        <v>12</v>
      </c>
      <c r="C344">
        <v>8</v>
      </c>
      <c r="D344">
        <v>2</v>
      </c>
      <c r="E344">
        <v>1</v>
      </c>
      <c r="F344" s="3">
        <f>166.2+(549.4-159.4)+(-0.084762+(-0.280194--0.081294))+0-151.9--0.0774689999999846</f>
        <v>404.09380700000003</v>
      </c>
      <c r="G344" s="3">
        <f>165.8+(544.3-154.9)+(0+(0-0))+0-164.5-0</f>
        <v>390.70000000000005</v>
      </c>
      <c r="H344" s="3">
        <f>165+(516.8-141.7)+(-0.25245+(-0.790704--0.216801))+0-156.2--0.238986000000009</f>
        <v>383.31263299999989</v>
      </c>
      <c r="I344" s="3">
        <f>164.7+(548-171.5)+(-0.251991+(-0.83844--0.262395))+0-157.5--0.240975000000009</f>
        <v>383.11293900000004</v>
      </c>
      <c r="J344" s="3">
        <f>164.8+(549.1-172.7)+(-0.084048+(-0.280041--0.088077))+0-160.9--0.0820589999999837</f>
        <v>380.10604699999999</v>
      </c>
      <c r="K344" s="3">
        <f>164.6+(532.5-151.2)+(0.083946+(0.271575-0.077112))+0-159.6-0.0813959999999838</f>
        <v>386.49701299999998</v>
      </c>
      <c r="L344" s="3">
        <f>164.5+(468.4-88.6)+(-0.16779+(-0.477768--0.090372))+0-147.3--0.150246000000024</f>
        <v>396.59505999999993</v>
      </c>
      <c r="M344" s="3">
        <f>163.9+(435.6-24.6)+(-0.083589+(-0.222156--0.012546))+0-157--0.0800699999999841</f>
        <v>417.686871</v>
      </c>
      <c r="N344" s="3">
        <f>163+(491.4-67.7)+(-0.16626+(-0.501228--0.069054))+0-145.1--0.148002000000023</f>
        <v>441.14956800000004</v>
      </c>
      <c r="O344" s="3">
        <f>161.2+(520.2-86.9)+(0.164424+(0.530604-0.088638))+0-148.6-0.151572000000024</f>
        <v>446.35481799999997</v>
      </c>
      <c r="P344" s="3">
        <f>143.2+(424-0)+(-0.292128+(-0.86496-0))+0-148.6--0.303143999999993</f>
        <v>417.74605599999995</v>
      </c>
      <c r="Q344" s="3">
        <f>147.4+(470.4-0)+(-0.225522+(-0.719712-0))+0-149.5--0.228735000000009</f>
        <v>467.58350099999996</v>
      </c>
      <c r="R344" s="3">
        <f>144.2+(494.8-19)+(-0.441252+(-1.514088--0.05814))+0-156.3--0.478278000000018</f>
        <v>462.28107800000004</v>
      </c>
      <c r="S344" s="3">
        <f>144.7+(473.5-11.5)+(-0.221391+(-0.724455--0.017595))+0-161.2--0.246636000000009</f>
        <v>444.81838500000003</v>
      </c>
      <c r="T344" s="3">
        <f>144.6+(476.5-30.2)+(-0.221238+(-0.729045--0.046206))+0-157.5--0.240975000000009</f>
        <v>432.73689799999994</v>
      </c>
      <c r="U344" s="3">
        <f>145.6+(467.8-33.9)+(-0.148512+(-0.477156--0.034578))+0-145--0.147900000000023</f>
        <v>434.05681000000004</v>
      </c>
      <c r="V344" s="3">
        <f>143.3+(464.9-12.2)+(-0.438498+(-1.422594--0.037332))+0-151.2--0.462672000000017</f>
        <v>443.43891200000002</v>
      </c>
      <c r="W344" s="3">
        <f>146.9+(447.1-3)+(-0.224757+(-0.684063--0.00459))+0-96--0.146880000000006</f>
        <v>494.24265000000003</v>
      </c>
      <c r="X344" s="3">
        <f>153.4+(476.7-0)+(-0.156468+(-0.486234-0))+0-148.3--0.151266000000024</f>
        <v>481.30856400000005</v>
      </c>
      <c r="Y344" s="3">
        <f>152.5+(501.5-0)+(-0.46665+(-1.53459-0))+0-170.2--0.52081200000002</f>
        <v>482.31957199999999</v>
      </c>
      <c r="Z344" s="3">
        <f>153.9+(515.3-31.4)+(-0.156978+(-0.525606--0.032028))+0-165.1--0.168402000000026</f>
        <v>472.21784599999989</v>
      </c>
      <c r="AA344" s="3">
        <f>152.3+(543.7-67.3)+(-0.233019+(-0.831861--0.102969))+0-157.9--0.241587000000009</f>
        <v>470.07967600000006</v>
      </c>
      <c r="AB344" s="3">
        <f>163.9+(557.9-93)+(-0.417945+(-1.422645--0.23715))+0-174.9--0.445994999999975</f>
        <v>452.74255499999998</v>
      </c>
      <c r="AC344" s="3">
        <f>155.9+(510.6-69.3)+(-0.397545+(-1.30203--0.176715))+0-158.4--0.403919999999977</f>
        <v>437.68106</v>
      </c>
      <c r="AD344">
        <f t="shared" si="5"/>
        <v>10422.862319</v>
      </c>
      <c r="AE344" s="3">
        <f>153+(466.5-0)+(0+(0-0))+0-130-0</f>
        <v>489.5</v>
      </c>
    </row>
    <row r="345" spans="1:31" s="2" customFormat="1" x14ac:dyDescent="0.25">
      <c r="A345">
        <v>89</v>
      </c>
      <c r="B345">
        <v>12</v>
      </c>
      <c r="C345">
        <v>9</v>
      </c>
      <c r="D345">
        <v>3</v>
      </c>
      <c r="E345">
        <v>1</v>
      </c>
      <c r="F345" s="3">
        <f>156.5+(506.4-97.8)+(0+(0-0))+0-154.1-0</f>
        <v>410.99999999999989</v>
      </c>
      <c r="G345" s="3">
        <f>165.4+(484-102.1)+(0+(0-0))+0-139.1-0</f>
        <v>408.19999999999993</v>
      </c>
      <c r="H345" s="3">
        <f>166.1+(450.5-63.6)+(0+(0-0))+0-152-0</f>
        <v>401</v>
      </c>
      <c r="I345" s="3">
        <f>163.7+(455.9-64.9)+(0+(0-0))+0-158.6-0</f>
        <v>396.1</v>
      </c>
      <c r="J345" s="3">
        <f>161.7+(453.1-84.9)+(0+(0-0))+0-137.1-0</f>
        <v>392.80000000000007</v>
      </c>
      <c r="K345" s="3">
        <f>159.2+(444.1-41.6)+(0+(0-0))+0-170.6-0</f>
        <v>391.1</v>
      </c>
      <c r="L345" s="3">
        <f>162.6+(392.2-7.8)+(0+(0-0))+0-145.3-0</f>
        <v>401.7</v>
      </c>
      <c r="M345" s="3">
        <f>161.4+(431.9-0)+(0+(0-0))+0-169.8-0</f>
        <v>423.49999999999994</v>
      </c>
      <c r="N345" s="3">
        <f>203.2+(402-14.9)+(0+(0-0))+0-139.4-0</f>
        <v>450.9</v>
      </c>
      <c r="O345" s="3">
        <f>219.9+(400.2-12.7)+(0+(0-0))+0-152.2-0</f>
        <v>455.2</v>
      </c>
      <c r="P345" s="3">
        <f>219.6+(381.5-0)+(-0.223992+(-0.38913-0))+0-142.3--0.145146000000023</f>
        <v>458.33202400000005</v>
      </c>
      <c r="Q345" s="3">
        <f>221.1+(390.3-0)+(-0.338283+(-0.597159-0))+0-152.2--0.232866000000009</f>
        <v>458.49742400000002</v>
      </c>
      <c r="R345" s="3">
        <f>219.4+(377-0)+(-0.447576+(-0.76908-0))+0-137.3--0.280091999999994</f>
        <v>458.16343599999999</v>
      </c>
      <c r="S345" s="3">
        <f>220.2+(392.4-7.8)+(-0.449208+(-0.800496--0.015912))+0-146.7--0.299267999999994</f>
        <v>457.16547599999996</v>
      </c>
      <c r="T345" s="3">
        <f>216.6+(403.7-29.4)+(-0.110466+(-0.205887--0.014994))+0-146.3--0.0746129999999852</f>
        <v>444.37325399999992</v>
      </c>
      <c r="U345" s="3">
        <f>213.4+(454.3-81.8)+(0+(0-0))+0-141.3-0</f>
        <v>444.59999999999997</v>
      </c>
      <c r="V345" s="3">
        <f>208.9+(453.5-73.6)+(-0.639234+(-1.38771--0.225216))+0-142.6--0.436356000000016</f>
        <v>444.8346279999999</v>
      </c>
      <c r="W345" s="3">
        <f>210+(409.8-25.7)+(-0.5355+(-1.04499--0.065535))+0-140.3--0.35776499999998</f>
        <v>452.64281</v>
      </c>
      <c r="X345" s="3">
        <f>265+(405.4-23.1)+(-0.5406+(-0.827016--0.047124))+0-145.7--0.297227999999994</f>
        <v>500.57673600000004</v>
      </c>
      <c r="Y345" s="3">
        <f>289.2+(415.5-62.6)+(-0.442476+(-0.635715--0.095778))+0-142.8--0.218484000000008</f>
        <v>498.53607099999994</v>
      </c>
      <c r="Z345" s="3">
        <f>290.2+(421.7-78)+(-0.888012+(-1.290402--0.23868))+0-143.9--0.440334000000017</f>
        <v>488.50059999999996</v>
      </c>
      <c r="AA345" s="3">
        <f>293.2+(415.3-91.9)+(-0.149532+(-0.211803--0.046869))+0-133.6--0.0681359999999864</f>
        <v>482.75366999999983</v>
      </c>
      <c r="AB345" s="3">
        <f>262.3+(445.1-112.6)+(-0.535092+(-0.908004--0.229704))+0-134.5--0.274379999999994</f>
        <v>459.36098799999996</v>
      </c>
      <c r="AC345" s="3">
        <f>212.6+(510.6-127.2)+(-0.758982+(-1.822842--0.454104))+0-154.8--0.552636000000002</f>
        <v>439.62491600000004</v>
      </c>
      <c r="AD345">
        <f t="shared" si="5"/>
        <v>10619.462033000002</v>
      </c>
      <c r="AE345" s="3">
        <f>285+(427.7-74)+(0+(0-0))+0-128.3-0</f>
        <v>510.40000000000003</v>
      </c>
    </row>
    <row r="346" spans="1:31" s="2" customFormat="1" x14ac:dyDescent="0.25">
      <c r="A346">
        <v>89</v>
      </c>
      <c r="B346">
        <v>12</v>
      </c>
      <c r="C346">
        <v>10</v>
      </c>
      <c r="D346">
        <v>4</v>
      </c>
      <c r="E346">
        <v>1</v>
      </c>
      <c r="F346" s="3">
        <f>168.3+(555.9-151.7)+(-0.343332+(-1.134036--0.309468))+0-156.7--0.319667999999993</f>
        <v>414.95176799999996</v>
      </c>
      <c r="G346" s="3">
        <f>160.1+(588.2-189.6)+(-0.244953+(-0.899946--0.290088))+0-151.2--0.231336000000009</f>
        <v>406.87652500000002</v>
      </c>
      <c r="H346" s="3">
        <f>163.5+(609.8-208.3)+(-0.33354+(-1.243992--0.424932))+0-170.5--0.347819999999993</f>
        <v>393.69522000000001</v>
      </c>
      <c r="I346" s="3">
        <f>163.4+(593.7-207.5)+(-0.41667+(-1.513935--0.529125))+0-151.5--0.386324999999978</f>
        <v>397.08484500000003</v>
      </c>
      <c r="J346" s="3">
        <f>165.6+(587.5-205.4)+(0+(0-0))+0-148.5-0</f>
        <v>399.20000000000005</v>
      </c>
      <c r="K346" s="3">
        <f>165.5+(556.2-166.8)+(-0.253215+(-0.850986--0.255204))+0-156.1--0.238833000000009</f>
        <v>398.18983600000001</v>
      </c>
      <c r="L346" s="3">
        <f>163.9+(451.6-68)+(-0.250767+(-0.690948--0.10404))+0-140.7--0.215271000000008</f>
        <v>406.17759600000005</v>
      </c>
      <c r="M346" s="3">
        <f>164.7+(476.2-54.1)+(0+(0-0))+0-145.2-0</f>
        <v>441.59999999999997</v>
      </c>
      <c r="N346" s="3">
        <f>167.2+(560.7-113.4)+(0.085272+(0.285957-0.057834))+0-140.5-0.0716549999999857</f>
        <v>474.24174000000005</v>
      </c>
      <c r="O346" s="3">
        <f>165.1+(558-102)+(-0.084201+(-0.28458--0.05202))+0-144.9--0.0738989999999853</f>
        <v>475.95713799999999</v>
      </c>
      <c r="P346" s="3">
        <f>163.7+(546.9-106.9)+(0+(0-0))+0-127-0</f>
        <v>476.70000000000005</v>
      </c>
      <c r="Q346" s="3">
        <f>163.2+(542.4-117.7)+(-0.166464+(-0.553248--0.120054))+0-119.3--0.121686000000019</f>
        <v>468.122028</v>
      </c>
      <c r="R346" s="3">
        <f>162.4+(527.6-116.7)+(-0.41412+(-1.34538--0.297585))+0-107.9--0.275144999999984</f>
        <v>464.21323000000012</v>
      </c>
      <c r="S346" s="3">
        <f>162.2+(503.7-102.7)+(0.082722+(0.256887-0.052377))+0-114.3-0.0582929999999884</f>
        <v>449.12893900000006</v>
      </c>
      <c r="T346" s="3">
        <f>162.2+(511.7-120.8)+(-0.165444+(-0.521934--0.123216))+0-113.1--0.115362000000018</f>
        <v>439.55119999999988</v>
      </c>
      <c r="U346" s="3">
        <f>161.8+(527.3-109.6)+(0+(0-0))+0-127.4-0</f>
        <v>452.1</v>
      </c>
      <c r="V346" s="3">
        <f>162.1+(558.9-114.8)+(-0.165342+(-0.570078--0.117096))+0-151.8--0.154836000000024</f>
        <v>453.93651199999994</v>
      </c>
      <c r="W346" s="3">
        <f>162+(487.2-47.7)+(-0.16524+(-0.496944--0.048654))+0-141.9--0.144738000000023</f>
        <v>459.13120800000007</v>
      </c>
      <c r="X346" s="3">
        <f>158.7+(490.1-0)+(-0.242811+(-0.749853-0))+0-155.8--0.238374000000009</f>
        <v>492.24570999999997</v>
      </c>
      <c r="Y346" s="3">
        <f>159.6+(495.7-6.2)+(-0.244188+(-0.758421--0.009486))+0-154--0.235620000000009</f>
        <v>494.34249700000004</v>
      </c>
      <c r="Z346" s="3">
        <f>159.8+(529.3-51.4)+(-0.162996+(-0.539886--0.052428))+0-147.1--0.150042000000023</f>
        <v>490.0995880000001</v>
      </c>
      <c r="AA346" s="3">
        <f>158.7+(570.2-94.4)+(-0.323748+(-1.163208--0.192576))+0-150--0.305999999999993</f>
        <v>483.51161999999994</v>
      </c>
      <c r="AB346" s="3">
        <f>157.4+(603.8-147)+(-0.481644+(-1.847628--0.44982))+0-146.9--0.449514000000017</f>
        <v>465.87006199999996</v>
      </c>
      <c r="AC346" s="3">
        <f>158.9+(613.4-194.3)+(-0.162078+(-0.625668--0.198186))+0-130.4--0.133008000000021</f>
        <v>447.14344800000003</v>
      </c>
      <c r="AD346">
        <f t="shared" si="5"/>
        <v>10744.07071</v>
      </c>
      <c r="AE346" s="3">
        <f>157+(471.1-0)+(0+(0-0))+0-148.5-0</f>
        <v>479.6</v>
      </c>
    </row>
    <row r="347" spans="1:31" s="2" customFormat="1" x14ac:dyDescent="0.25">
      <c r="A347">
        <v>89</v>
      </c>
      <c r="B347">
        <v>12</v>
      </c>
      <c r="C347">
        <v>11</v>
      </c>
      <c r="D347">
        <v>5</v>
      </c>
      <c r="E347">
        <v>1</v>
      </c>
      <c r="F347" s="3">
        <f>159+(647.5-242.9)+(-0.32436+(-1.3209--0.495516))+0-137.9--0.281315999999994</f>
        <v>424.83157199999999</v>
      </c>
      <c r="G347" s="3">
        <f>157.5+(604.7-200.8)+(-0.3213+(-1.233588--0.409632))+0-141.4--0.288455999999994</f>
        <v>419.14320000000009</v>
      </c>
      <c r="H347" s="3">
        <f>159+(570.3-169.6)+(-0.16218+(-0.581706--0.172992))+0-148.6--0.151572000000024</f>
        <v>410.680678</v>
      </c>
      <c r="I347" s="3">
        <f>159.6+(568-177.8)+(-0.162792+(-0.57936--0.181356))+0-141--0.143820000000022</f>
        <v>408.38302399999998</v>
      </c>
      <c r="J347" s="3">
        <f>161.3+(561.6-180.8)+(0.246789+(0.859248-0.276624))+0-141.3-0.216189000000008</f>
        <v>401.41322400000007</v>
      </c>
      <c r="K347" s="3">
        <f>159.5+(525.9-123.7)+(-0.16269+(-0.536418--0.126174))+0-150.1--0.153102000000024</f>
        <v>411.18016800000004</v>
      </c>
      <c r="L347" s="3">
        <f>161.3+(444.3-69.1)+(0+(0-0))+0-136.4-0</f>
        <v>400.1</v>
      </c>
      <c r="M347" s="3">
        <f>160.9+(431.3-27.1)+(0.082059+(0.219963-0.013821))+0-137.2-0.0699719999999861</f>
        <v>428.11822899999999</v>
      </c>
      <c r="N347" s="3">
        <f>159.3+(549.2-123.5)+(-0.081243+(-0.280092--0.062985))+0-127.9--0.065228999999987</f>
        <v>456.86687899999998</v>
      </c>
      <c r="O347" s="3">
        <f>165.5+(598.9-162.5)+(0.16881+(0.610878-0.16575))+0-137.3-0.140046000000022</f>
        <v>465.07389199999989</v>
      </c>
      <c r="P347" s="3">
        <f>164.8+(489.6-40.7)+(-0.084048+(-0.249696--0.020757))+0-124.2--0.0633419999999874</f>
        <v>489.25035500000001</v>
      </c>
      <c r="Q347" s="3">
        <f>164.8+(474.9-17.2)+(-0.168096+(-0.484398--0.017544))+0-123.3--0.12576600000002</f>
        <v>498.69081599999998</v>
      </c>
      <c r="R347" s="3">
        <f>164.5+(530.3-68)+(-0.16779+(-0.540906--0.06936))+0-113.7--0.115974000000018</f>
        <v>512.576638</v>
      </c>
      <c r="S347" s="3">
        <f>164.1+(520.2-64)+(-0.083691+(-0.265302--0.03264))+0-120.9--0.0616589999999877</f>
        <v>499.14530600000001</v>
      </c>
      <c r="T347" s="3">
        <f>163.3+(504-70)+(-0.166566+(-0.51408--0.0714))+0-115.6--0.117912000000018</f>
        <v>481.20866599999994</v>
      </c>
      <c r="U347" s="3">
        <f>162.9+(495.4-79.2)+(0.166158+(0.505308-0.080784))+0-119.8-0.122196000000019</f>
        <v>459.768486</v>
      </c>
      <c r="V347" s="3">
        <f>160.1+(521.9-98.7)+(-0.326604+(-1.064676--0.201348))+0-111.9--0.228275999999995</f>
        <v>470.43834399999997</v>
      </c>
      <c r="W347" s="3">
        <f>162.8+(499.7-54.4)+(-0.332112+(-1.019388--0.110976))+0-125.5--0.256019999999995</f>
        <v>481.61549599999995</v>
      </c>
      <c r="X347" s="3">
        <f>162.8+(489.5-0)+(-0.332112+(-0.99858-0))+0-118.4--0.241535999999995</f>
        <v>532.81084399999997</v>
      </c>
      <c r="Y347" s="3">
        <f>162.4+(489.7-0)+(-0.41412+(-1.248735-0))+0-124.3--0.316964999999982</f>
        <v>526.45411000000001</v>
      </c>
      <c r="Z347" s="3">
        <f>162.4+(485.6-1.8)+(-0.496944+(-1.485936--0.005508))+0-127.3--0.389538000000015</f>
        <v>517.31216600000016</v>
      </c>
      <c r="AA347" s="3">
        <f>164.2+(468.8-5.5)+(-0.083742+(-0.239088--0.002805))+0-115.9--0.0591089999999882</f>
        <v>511.33908400000001</v>
      </c>
      <c r="AB347" s="3">
        <f>163+(528.7-70.6)+(-0.33252+(-1.078548--0.144024))+0-126.3--0.257651999999995</f>
        <v>493.79060799999996</v>
      </c>
      <c r="AC347" s="3">
        <f>161.5+(609-173.5)+(-0.411825+(-1.55295--0.442425))+0-115.3--0.294014999999983</f>
        <v>480.47166500000003</v>
      </c>
      <c r="AD347">
        <f t="shared" si="5"/>
        <v>11180.66345</v>
      </c>
      <c r="AE347" s="3">
        <f>164+(493.8-0)+(0+(0-0))+0-123.4-0</f>
        <v>534.4</v>
      </c>
    </row>
    <row r="348" spans="1:31" s="2" customFormat="1" x14ac:dyDescent="0.25">
      <c r="A348">
        <v>89</v>
      </c>
      <c r="B348">
        <v>12</v>
      </c>
      <c r="C348">
        <v>12</v>
      </c>
      <c r="D348">
        <v>6</v>
      </c>
      <c r="E348">
        <v>1</v>
      </c>
      <c r="F348" s="3">
        <f>162.2+(669.2-246.1)+(-0.41361+(-1.70646--0.627555))+0-125.8--0.320789999999982</f>
        <v>458.32827499999991</v>
      </c>
      <c r="G348" s="3">
        <f>163+(623.6-205.9)+(-0.24939+(-0.954108--0.315027))+0-132.7--0.203031000000008</f>
        <v>447.31456000000009</v>
      </c>
      <c r="H348" s="3">
        <f>164+(610.4-200.1)+(-0.08364+(-0.311304--0.102051))+0-135.8--0.0692579999999862</f>
        <v>438.27636499999988</v>
      </c>
      <c r="I348" s="3">
        <f>162.6+(615.6-217.1)+(-0.41463+(-1.56978--0.553605))+0-127--0.323849999999982</f>
        <v>432.99304500000005</v>
      </c>
      <c r="J348" s="3">
        <f>167.5+(617.4-208)+(0.427125+(1.57437-0.5304))+0-140.1-0.35725499999998</f>
        <v>437.91383999999999</v>
      </c>
      <c r="K348" s="3">
        <f>166.1+(565-180)+(0.169422+(0.5763-0.1836))+0-118.3-0.120666000000019</f>
        <v>433.24145600000003</v>
      </c>
      <c r="L348" s="3">
        <f>164.3+(493.4-115.5)+(-0.083793+(-0.251634--0.058905))+0-109.6--0.0558959999999889</f>
        <v>432.37937399999998</v>
      </c>
      <c r="M348" s="3">
        <f>166.9+(524.4-105.4)+(0.085119+(0.267444-0.053754))+0-121.5-0.0619649999999877</f>
        <v>464.636844</v>
      </c>
      <c r="N348" s="3">
        <f>166.2+(606.8-154.9)+(0.169524+(0.618936-0.157998))+0-130.8-0.133416000000021</f>
        <v>487.79704599999985</v>
      </c>
      <c r="O348" s="3">
        <f>162.9+(616.4-168.6)+(0+(0-0))+0-114.2-0</f>
        <v>496.49999999999994</v>
      </c>
      <c r="P348" s="3">
        <f>165.2+(648-204)+(0.168504+(0.66096-0.20808))+0-104.9-0.106998000000017</f>
        <v>504.81438600000007</v>
      </c>
      <c r="Q348" s="3">
        <f>274.4+(609.1-268.7)+(0.139944+(0.310641-0.137037))+0-113.5-0.0578849999999885</f>
        <v>501.55566299999992</v>
      </c>
      <c r="R348" s="3">
        <f>301.7+(647.4-316.1)+(-0.307734+(-0.660348--0.322422))+0-131.3--0.133926000000021</f>
        <v>501.188266</v>
      </c>
      <c r="S348" s="3">
        <f>301+(592-275.1)+(-0.92106+(-1.81152--0.841806))+0-134.9--0.412794000000016</f>
        <v>481.52202000000005</v>
      </c>
      <c r="T348" s="3">
        <f>299.5+(612.3-340.4)+(-0.61098+(-1.249092--0.694416))+0-113.3--0.231131999999995</f>
        <v>457.16547599999996</v>
      </c>
      <c r="U348" s="3">
        <f>292+(602.8-318.6)+(0+(0-0))+0-125.2-0</f>
        <v>450.99999999999994</v>
      </c>
      <c r="V348" s="3">
        <f>293.5+(612.1-326.5)+(-0.29937+(-0.624342--0.33303))+0-134--0.136680000000021</f>
        <v>444.64599800000002</v>
      </c>
      <c r="W348" s="3">
        <f>295.9+(616.3-339.1)+(0.150909+(0.314313-0.172941))+0-120.8-0.0616079999999877</f>
        <v>452.53067299999992</v>
      </c>
      <c r="X348" s="3">
        <f>301.8+(525-204.1)+(-0.153918+(-0.26775--0.104091))+0-118.1--0.060230999999988</f>
        <v>504.34265399999998</v>
      </c>
      <c r="Y348" s="3">
        <f>295.7+(544.6-218)+(-0.904842+(-1.666476--0.66708))+0-123.9--0.379134000000014</f>
        <v>496.87489600000004</v>
      </c>
      <c r="Z348" s="3">
        <f>299.7+(594.2-277.1)+(-0.305694+(-0.606084--0.282642))+0-127.1--0.12964200000002</f>
        <v>489.20050599999996</v>
      </c>
      <c r="AA348" s="3">
        <f>302.2+(544.6-243.5)+(-0.462366+(-0.833238--0.372555))+0-131.1--0.200583000000008</f>
        <v>471.47753399999993</v>
      </c>
      <c r="AB348" s="3">
        <f>233.8+(598.7-219.4)+(-0.59619+(-1.526685--0.55947))+0-138.6--0.35342999999998</f>
        <v>473.29002500000013</v>
      </c>
      <c r="AC348" s="3">
        <f>185+(655.3-261.6)+(-0.47175+(-1.671015--0.66708))+0-123.7--0.315434999999982</f>
        <v>453.83974999999992</v>
      </c>
      <c r="AD348">
        <f t="shared" si="5"/>
        <v>11212.828651999998</v>
      </c>
      <c r="AE348" s="3">
        <f>301+(521.2-204.2)+(0+(0-0))+0-110.5-0</f>
        <v>507.5</v>
      </c>
    </row>
    <row r="349" spans="1:31" s="2" customFormat="1" x14ac:dyDescent="0.25">
      <c r="A349">
        <v>89</v>
      </c>
      <c r="B349">
        <v>12</v>
      </c>
      <c r="C349">
        <v>13</v>
      </c>
      <c r="D349">
        <v>7</v>
      </c>
      <c r="E349">
        <v>1</v>
      </c>
      <c r="F349" s="3">
        <f>182.4+(662.2-300.4)+(-0.46512+(-1.68861--0.76602))+0-136.1--0.34705499999998</f>
        <v>407.05934500000001</v>
      </c>
      <c r="G349" s="3">
        <f>181.8+(645.7-307)+(-0.278154+(-0.987921--0.46971))+0-132.4--0.202572000000008</f>
        <v>387.50620700000002</v>
      </c>
      <c r="H349" s="3">
        <f>174.8+(672.6-324.8)+(-0.356592+(-1.372104--0.662592))+0-139.4--0.284375999999994</f>
        <v>382.41827200000006</v>
      </c>
      <c r="I349" s="3">
        <f>177.3+(632.3-298.9)+(0.271269+(0.967419-0.457317))+0-139-0.212670000000008</f>
        <v>372.26870099999996</v>
      </c>
      <c r="J349" s="3">
        <f>177+(618.8-301.7)+(0.09027+(0.315588-0.153867))+0-121-0.0617099999999877</f>
        <v>373.29028099999994</v>
      </c>
      <c r="K349" s="3">
        <f>178.7+(574.5-280.8)+(0.182274+(0.58599-0.286416))+0-114.3-0.116586000000018</f>
        <v>358.46526199999994</v>
      </c>
      <c r="L349" s="3">
        <f>180.1+(515.4-241.6)+(-0.367404+(-1.051416--0.492864))+0-115.5--0.235619999999995</f>
        <v>337.70966399999998</v>
      </c>
      <c r="M349" s="3">
        <f>186.9+(430.4-157.6)+(0.095319+(0.219504-0.080376))+0-125.8-0.0641579999999872</f>
        <v>334.07028899999995</v>
      </c>
      <c r="N349" s="3">
        <f>189.3+(380.9-103.6)+(0+(0-0))+0-132.8-0</f>
        <v>333.79999999999995</v>
      </c>
      <c r="O349" s="3">
        <f>189.7+(370.1-115.6)+(0+(0-0))+0-112.1-0</f>
        <v>332.1</v>
      </c>
      <c r="P349" s="3">
        <f>188.8+(396.2-114.3)+(0.096288+(0.202062-0.058293))+0-121.5-0.0619649999999877</f>
        <v>349.37809199999998</v>
      </c>
      <c r="Q349" s="3">
        <f>188+(409.6-116.9)+(0+(0-0))+0-122.8-0</f>
        <v>357.90000000000003</v>
      </c>
      <c r="R349" s="3">
        <f>187.2+(508.2-152.5)+(0+(0-0))+0-124.1-0</f>
        <v>418.79999999999995</v>
      </c>
      <c r="S349" s="3">
        <f>186.9+(518.8-177.1)+(0+(0-0))+0-116.8-0</f>
        <v>411.7999999999999</v>
      </c>
      <c r="T349" s="3">
        <f>187.1+(489.5-152.2)+(0+(0-0))+0-133.5-0</f>
        <v>390.9</v>
      </c>
      <c r="U349" s="3">
        <f>187.1+(478.6-148.1)+(0+(0-0))+0-120.3-0</f>
        <v>397.3</v>
      </c>
      <c r="V349" s="3">
        <f>187.1+(460.5-114.2)+(0+(0-0))+0-139.7-0</f>
        <v>393.7</v>
      </c>
      <c r="W349" s="3">
        <f>197.8+(449.6-103)+(0+(0-0))+0-137.2-0</f>
        <v>407.2000000000001</v>
      </c>
      <c r="X349" s="3">
        <f>402.1+(368.9-179.7)+(0+(0-0))+0-134.2-0</f>
        <v>457.09999999999997</v>
      </c>
      <c r="Y349" s="3">
        <f>449+(382.7-221.2)+(0+(0-0))+0-139.7-0</f>
        <v>470.8</v>
      </c>
      <c r="Z349" s="3">
        <f>449.7+(370.2-225.7)+(0+(0-0))+0-143.9-0</f>
        <v>450.30000000000007</v>
      </c>
      <c r="AA349" s="3">
        <f>450.9+(505-354.8)+(0+(0-0))+0-136.8-0</f>
        <v>464.2999999999999</v>
      </c>
      <c r="AB349" s="3">
        <f>402.7+(540.3-342.2)+(0+(0-0))+0-146.3-0</f>
        <v>454.49999999999994</v>
      </c>
      <c r="AC349" s="3">
        <f>190.1+(633.6-263.2)+(0+(0-0))+0-129.7-0</f>
        <v>430.8</v>
      </c>
      <c r="AD349">
        <f t="shared" si="5"/>
        <v>9473.4661129999986</v>
      </c>
      <c r="AE349" s="3">
        <f>448+(409.6-257.3)+(0+(0-0))+0-159.4-0</f>
        <v>440.9</v>
      </c>
    </row>
    <row r="350" spans="1:31" s="2" customFormat="1" x14ac:dyDescent="0.25">
      <c r="A350">
        <v>89</v>
      </c>
      <c r="B350">
        <v>12</v>
      </c>
      <c r="C350">
        <v>14</v>
      </c>
      <c r="D350">
        <v>1</v>
      </c>
      <c r="E350">
        <v>1</v>
      </c>
      <c r="F350" s="3">
        <f>190.2+(612.4-256.4)+(-0.291006+(-0.936972--0.392292))+0-144.4--0.220932000000008</f>
        <v>401.18524600000006</v>
      </c>
      <c r="G350" s="3">
        <f>202.8+(526.2-218.6)+(0.310284+(0.805086-0.334458))+0-125.3-0.191709000000007</f>
        <v>385.68920300000002</v>
      </c>
      <c r="H350" s="3">
        <f>203.6+(536.1-217.5)+(0+(0-0))+0-142.6-0</f>
        <v>379.6</v>
      </c>
      <c r="I350" s="3">
        <f>206.3+(517.1-210)+(0.526065+(1.318605-0.5355))+0-133.9-0.341444999999981</f>
        <v>380.46772500000014</v>
      </c>
      <c r="J350" s="3">
        <f>205+(522.5-204.9)+(0.6273+(1.59885-0.626994))+0-143.2-0.438192000000017</f>
        <v>380.56096400000001</v>
      </c>
      <c r="K350" s="3">
        <f>203.9+(465.8-145.8)+(0+(0-0))+0-139.6-0</f>
        <v>384.29999999999995</v>
      </c>
      <c r="L350" s="3">
        <f>205.1+(399.4-67.3)+(0+(0-0))+0-136.4-0</f>
        <v>400.79999999999995</v>
      </c>
      <c r="M350" s="3">
        <f>210+(381.7-16.7)+(0+(0-0))+0-131.2-0</f>
        <v>443.8</v>
      </c>
      <c r="N350" s="3">
        <f>209.8+(404.7-0)+(0+(0-0))+0-141.3-0</f>
        <v>473.2</v>
      </c>
      <c r="O350" s="3">
        <f>209.2+(430.6-15.3)+(0+(0-0))+0-135.9-0</f>
        <v>488.6</v>
      </c>
      <c r="P350" s="3">
        <f>208.2+(467-52.5)+(0+(0-0))+0-121.1-0</f>
        <v>501.6</v>
      </c>
      <c r="Q350" s="3">
        <f>207.5+(484.8-41.5)+(0+(0-0))+0-141.2-0</f>
        <v>509.59999999999997</v>
      </c>
      <c r="R350" s="3">
        <f>212.5+(511.2-74.4)+(0+(0-0))+0-133.3-0</f>
        <v>516</v>
      </c>
      <c r="S350" s="3">
        <f>223.5+(505.9-102.6)+(0+(0-0))+0-136.4-0</f>
        <v>490.4</v>
      </c>
      <c r="T350" s="3">
        <f>220.3+(528.8-133.2)+(0+(0-0))+0-135.2-0</f>
        <v>480.7</v>
      </c>
      <c r="U350" s="3">
        <f>224.4+(500.4-121.1)+(0+(0-0))+0-135.6-0</f>
        <v>468.09999999999991</v>
      </c>
      <c r="V350" s="3">
        <f>231.7+(428.1-79.9)+(0+(0-0))+0-110.2-0</f>
        <v>469.7000000000001</v>
      </c>
      <c r="W350" s="3">
        <f>238.9+(426.8-78.5)+(0+(0-0))+0-114.1-0</f>
        <v>473.1</v>
      </c>
      <c r="X350" s="3">
        <f>380+(404.2-133.9)+(0+(0-0))+0-126.3-0</f>
        <v>524</v>
      </c>
      <c r="Y350" s="3">
        <f>416.4+(449.3-200.8)+(0+(0-0))+0-145.4-0</f>
        <v>519.5</v>
      </c>
      <c r="Z350" s="3">
        <f>397.9+(320.3-69.7)+(0+(0-0))+0-139.8-0</f>
        <v>508.7</v>
      </c>
      <c r="AA350" s="3">
        <f>395.5+(322.7-75.8)+(0+(0-0))+0-146.3-0</f>
        <v>496.09999999999997</v>
      </c>
      <c r="AB350" s="3">
        <f>238.1+(421.7-34.3)+(0+(0-0))+0-143.6-0</f>
        <v>481.9</v>
      </c>
      <c r="AC350" s="3">
        <f>192+(475.7-104.5)+(0+(0-0))+0-112.5-0</f>
        <v>450.70000000000005</v>
      </c>
      <c r="AD350">
        <f t="shared" si="5"/>
        <v>11008.303138000003</v>
      </c>
      <c r="AE350" s="3">
        <f>437+(445.2-219.3)+(0+(0-0))+0-118.6-0</f>
        <v>544.29999999999995</v>
      </c>
    </row>
    <row r="351" spans="1:31" s="2" customFormat="1" x14ac:dyDescent="0.25">
      <c r="A351">
        <v>89</v>
      </c>
      <c r="B351">
        <v>12</v>
      </c>
      <c r="C351">
        <v>15</v>
      </c>
      <c r="D351">
        <v>2</v>
      </c>
      <c r="E351">
        <v>1</v>
      </c>
      <c r="F351" s="3">
        <f>182.8+(568.2-193.1)+(0+(0-0))+0-129.8-0</f>
        <v>428.10000000000008</v>
      </c>
      <c r="G351" s="3">
        <f>175.2+(615.8-252)+(0+(0-0))+0-118.4-0</f>
        <v>420.6</v>
      </c>
      <c r="H351" s="3">
        <f>180.9+(687.5-313.6)+(0+(0-0))+0-139.1-0</f>
        <v>415.69999999999993</v>
      </c>
      <c r="I351" s="3">
        <f>171.9+(695.4-319.4)+(0+(0-0))+0-136.8-0</f>
        <v>411.09999999999997</v>
      </c>
      <c r="J351" s="3">
        <f>175.7+(662.4-288.6)+(0+(0-0))+0-136.6-0</f>
        <v>412.9</v>
      </c>
      <c r="K351" s="3">
        <f>175.5+(622.6-240.9)+(0+(0-0))+0-142.4-0</f>
        <v>414.80000000000007</v>
      </c>
      <c r="L351" s="3">
        <f>170.5+(593.6-206.6)+(0+(0-0))+0-134.1-0</f>
        <v>423.4</v>
      </c>
      <c r="M351" s="3">
        <f>176.2+(572.9-177.7)+(0+(0-0))+0-126.6-0</f>
        <v>444.79999999999995</v>
      </c>
      <c r="N351" s="3">
        <f>184+(566.4-157.9)+(0+(0-0))+0-127.5-0</f>
        <v>465</v>
      </c>
      <c r="O351" s="3">
        <f>183+(565.4-142.7)+(0+(0-0))+0-116.6-0</f>
        <v>489.1</v>
      </c>
      <c r="P351" s="3">
        <f>181.9+(586.9-119.9)+(0+(0-0))+0-152.6-0</f>
        <v>496.29999999999995</v>
      </c>
      <c r="Q351" s="3">
        <f>180.5+(564.6-102.8)+(0+(0-0))+0-135-0</f>
        <v>507.29999999999995</v>
      </c>
      <c r="R351" s="3">
        <f>163.4+(570.3-95.4)+(-0.333336+(-1.163412--0.194616))+0-130.1--0.265403999999994</f>
        <v>507.16327199999989</v>
      </c>
      <c r="S351" s="3">
        <f>155.2+(492.3-24.1)+(-0.079152+(-0.251073--0.012291))+0-143--0.0729299999999855</f>
        <v>480.15499599999993</v>
      </c>
      <c r="T351" s="3">
        <f>172.3+(526.4-99.1)+(-0.263619+(-0.805392--0.151623))+0-132.5--0.202725000000008</f>
        <v>466.38533699999994</v>
      </c>
      <c r="U351" s="3">
        <f>185.6+(447.2-28.6)+(-0.189312+(-0.456144--0.029172))+0-140.4--0.143208000000022</f>
        <v>463.32692400000002</v>
      </c>
      <c r="V351" s="3">
        <f>185.6+(458.3-70.1)+(-0.189312+(-0.467466--0.071502))+0-111.4--0.113628000000018</f>
        <v>461.92835200000007</v>
      </c>
      <c r="W351" s="3">
        <f>197.9+(492.8-94.7)+(-0.605574+(-1.507968--0.289782))+0-126.7--0.387702000000015</f>
        <v>467.86394200000001</v>
      </c>
      <c r="X351" s="3">
        <f>309.6+(421.8-96)+(-0.315792+(-0.430236--0.09792))+0-137.9--0.140658000000022</f>
        <v>496.99255000000016</v>
      </c>
      <c r="Y351" s="3">
        <f>403.1+(425.8-176.6)+(-1.027905+(-1.08579--0.45033))+0-132.7--0.338384999999981</f>
        <v>518.27502000000004</v>
      </c>
      <c r="Z351" s="3">
        <f>400.4+(484.9-245.5)+(-1.02102+(-1.236495--0.626025))+0-134.6--0.34322999999998</f>
        <v>503.91173999999995</v>
      </c>
      <c r="AA351" s="3">
        <f>214.6+(556.8-137.7)+(-0.328338+(-0.851904--0.210681))+0-125.7--0.192321000000007</f>
        <v>507.22275999999994</v>
      </c>
      <c r="AB351" s="3">
        <f>160.3+(612.1-175.2)+(-0.081753+(-0.312171--0.089352))+0-117.3--0.0598229999999881</f>
        <v>479.65525100000002</v>
      </c>
      <c r="AC351" s="3">
        <f>178.3+(584.3-183.6)+(-0.454665+(-1.489965--0.46818))+0-120.7--0.307784999999982</f>
        <v>457.13133499999998</v>
      </c>
      <c r="AD351">
        <f t="shared" si="5"/>
        <v>11139.111479000001</v>
      </c>
      <c r="AE351" s="3">
        <f>403+(423.2-139.1)+(0+(0-0))+0-167.7-0</f>
        <v>519.40000000000009</v>
      </c>
    </row>
    <row r="352" spans="1:31" s="2" customFormat="1" x14ac:dyDescent="0.25">
      <c r="A352">
        <v>89</v>
      </c>
      <c r="B352">
        <v>12</v>
      </c>
      <c r="C352">
        <v>16</v>
      </c>
      <c r="D352">
        <v>3</v>
      </c>
      <c r="E352">
        <v>1</v>
      </c>
      <c r="F352" s="3">
        <f>199.7+(572.2-187.5)+(-0.305541+(-0.875466--0.286875))+0-143.5--0.219555000000008</f>
        <v>440.22542300000009</v>
      </c>
      <c r="G352" s="3">
        <f>193.8+(629.1-264)+(-0.395352+(-1.283364--0.53856))+0-129.7--0.264587999999994</f>
        <v>428.32443200000006</v>
      </c>
      <c r="H352" s="3">
        <f>198.3+(589.5-237.1)+(0.101133+(0.300645-0.120921))+0-133.8-0.0682379999999864</f>
        <v>417.112619</v>
      </c>
      <c r="I352" s="3">
        <f>198+(569.9-217.3)+(0.10098+(0.290649-0.110823))+0-130.6-0.0666059999999867</f>
        <v>420.21419999999989</v>
      </c>
      <c r="J352" s="3">
        <f>194.9+(567.1-191.5)+(-0.198798+(-0.578442--0.19533))+0-142--0.144840000000023</f>
        <v>428.06293000000005</v>
      </c>
      <c r="K352" s="3">
        <f>201.1+(528.2-170)+(0.512805+(1.34691-0.4335))+0-133.7-0.340934999999981</f>
        <v>426.68528000000003</v>
      </c>
      <c r="L352" s="3">
        <f>195.3+(429.6-65.9)+(0+(0-0))+0-132.3-0</f>
        <v>426.7</v>
      </c>
      <c r="M352" s="3">
        <f>197.4+(424.5-31.2)+(0+(0-0))+0-132.4-0</f>
        <v>458.30000000000007</v>
      </c>
      <c r="N352" s="3">
        <f>196.1+(434.8-47.4)+(0+(0-0))+0-105.3-0</f>
        <v>478.2</v>
      </c>
      <c r="O352" s="3">
        <f>196.2+(456.4-67.3)+(0+(0-0))+0-98.8-0</f>
        <v>486.49999999999994</v>
      </c>
      <c r="P352" s="3">
        <f>205.7+(509.1-116.7)+(0+(0-0))+0-103.5-0</f>
        <v>494.6</v>
      </c>
      <c r="Q352" s="3">
        <f>210.7+(556.7-149.5)+(0+(0-0))+0-112.9-0</f>
        <v>505.00000000000011</v>
      </c>
      <c r="R352" s="3">
        <f>191.4+(589.5-183.1)+(0+(0-0))+0-95.9-0</f>
        <v>501.9</v>
      </c>
      <c r="S352" s="3">
        <f>200.4+(478.4-78.7)+(-0.102204+(-0.243984--0.040137))+0-114.6--0.0584459999999884</f>
        <v>485.25239499999998</v>
      </c>
      <c r="T352" s="3">
        <f>186.1+(423.4-14.6)+(-0.189822+(-0.431868--0.014892))+0-119.1--0.121482000000019</f>
        <v>475.31468399999994</v>
      </c>
      <c r="U352" s="3">
        <f>190.5+(422.3-19.3)+(0.291465+(0.646119-0.029529))+0-121.4-0.185742000000007</f>
        <v>472.82231300000001</v>
      </c>
      <c r="V352" s="3">
        <f>167.8+(417.2-1.9)+(-0.342312+(-0.851088--0.003876))+0-133--0.271319999999994</f>
        <v>449.18179600000002</v>
      </c>
      <c r="W352" s="3">
        <f>202.5+(423.4-24.1)+(-0.61965+(-1.295604--0.073746))+0-129.1--0.395046000000015</f>
        <v>471.25353799999999</v>
      </c>
      <c r="X352" s="3">
        <f>320.7+(369.5-38.4)+(-0.327114+(-0.37689--0.039168))+0-130.9--0.133518000000021</f>
        <v>520.36868199999992</v>
      </c>
      <c r="Y352" s="3">
        <f>349.3+(421.4-122.9)+(-0.534429+(-0.644742--0.188037))+0-119.5--0.182835000000007</f>
        <v>527.49170099999992</v>
      </c>
      <c r="Z352" s="3">
        <f>358.4+(494.4-183)+(-1.279488+(-1.765008--0.65331))+0-145.9--0.520863000000002</f>
        <v>522.02967699999999</v>
      </c>
      <c r="AA352" s="3">
        <f>284.2+(565.6-202.2)+(-0.579768+(-1.153824--0.412488))+0-133.5--0.272339999999994</f>
        <v>513.05123600000002</v>
      </c>
      <c r="AB352" s="3">
        <f>228.7+(624-230.6)+(-0.349911+(-0.95472--0.352818))+0-125.1--0.191403000000007</f>
        <v>496.23958999999985</v>
      </c>
      <c r="AC352" s="3">
        <f>187.3+(609.7-210.7)+(-0.477615+(-1.554735--0.537285))+0-114.1--0.290954999999983</f>
        <v>470.99589000000009</v>
      </c>
      <c r="AD352">
        <f t="shared" si="5"/>
        <v>11315.826385999999</v>
      </c>
      <c r="AE352" s="3">
        <f>329+(383.4-78.9)+(0+(0-0))+0-102.6-0</f>
        <v>530.9</v>
      </c>
    </row>
    <row r="353" spans="1:31" s="2" customFormat="1" x14ac:dyDescent="0.25">
      <c r="A353">
        <v>89</v>
      </c>
      <c r="B353">
        <v>12</v>
      </c>
      <c r="C353">
        <v>17</v>
      </c>
      <c r="D353">
        <v>4</v>
      </c>
      <c r="E353">
        <v>1</v>
      </c>
      <c r="F353" s="3">
        <f>188.3+(620.6-255)+(-0.480165+(-1.58253--0.65025))+0-114.2--0.291209999999983</f>
        <v>438.57876500000003</v>
      </c>
      <c r="G353" s="3">
        <f>189.3+(655.9-289.8)+(-0.579258+(-2.007054--0.886788))+0-121.2--0.370872000000014</f>
        <v>432.87134800000001</v>
      </c>
      <c r="H353" s="3">
        <f>188.4+(638.4-277.7)+(-0.192168+(-0.651168--0.283254))+0-124.8--0.12729600000002</f>
        <v>423.86721400000005</v>
      </c>
      <c r="I353" s="3">
        <f>189.1+(635-269.3)+(0.096441+(0.32385-0.137343))+0-140-0.0713999999999858</f>
        <v>415.011548</v>
      </c>
      <c r="J353" s="3">
        <f>189.2+(600.4-238.3)+(-0.096492+(-0.306204--0.121533))+0-132.7--0.0676769999999865</f>
        <v>418.38651399999998</v>
      </c>
      <c r="K353" s="3">
        <f>188.8+(533.8-187.6)+(0.192576+(0.544476-0.191352))+0-122.2-0.124644000000019</f>
        <v>413.22105599999998</v>
      </c>
      <c r="L353" s="3">
        <f>188.2+(484.2-114.6)+(-0.191964+(-0.493884--0.116892))+0-135.1--0.137802000000022</f>
        <v>422.268846</v>
      </c>
      <c r="M353" s="3">
        <f>187.9+(476.8-75.9)+(-0.095829+(-0.243168--0.038709))+0-134.2--0.0684419999999864</f>
        <v>454.36815399999995</v>
      </c>
      <c r="N353" s="3">
        <f>185.4+(509.8-107.6)+(-0.094554+(-0.259998--0.054876))+0-107.2--0.0546719999999891</f>
        <v>480.15499600000004</v>
      </c>
      <c r="O353" s="3">
        <f>184.3+(550-137.5)+(-0.187986+(-0.561--0.14025))+0-113.5--0.115770000000018</f>
        <v>482.80703399999993</v>
      </c>
      <c r="P353" s="3">
        <f>110.1+(591.8-62.4)+(-0.168453+(-0.905454--0.095472))+0-130--0.198900000000008</f>
        <v>508.72046499999999</v>
      </c>
      <c r="Q353" s="3">
        <f>39.9+(601.1-19.7)+(-0.020349+(-0.306561--0.010047))+0-108.9--0.055538999999989</f>
        <v>512.13867599999992</v>
      </c>
      <c r="R353" s="3">
        <f>39.5+(609.8-15.4)+(-0.04029+(-0.621996--0.015708))+0-122.3--0.124746000000019</f>
        <v>511.07816800000001</v>
      </c>
      <c r="S353" s="3">
        <f>87.5+(556-0)+(-0.08925+(-0.56712-0))+0-144.3--0.147186000000023</f>
        <v>498.69081599999998</v>
      </c>
      <c r="T353" s="3">
        <f>134.9+(510.8-38.7)+(-0.137598+(-0.521016--0.039474))+0-126.6--0.12913200000002</f>
        <v>479.90999199999999</v>
      </c>
      <c r="U353" s="3">
        <f>178.1+(509.3-62.7)+(-0.090831+(-0.259743--0.031977))+0-138.4--0.070583999999986</f>
        <v>486.05198700000011</v>
      </c>
      <c r="V353" s="3">
        <f>195.7+(504.1-92.6)+(0+(0-0))+0-121.5-0</f>
        <v>485.70000000000005</v>
      </c>
      <c r="W353" s="3">
        <f>202.8+(526.7-118.9)+(-0.51714+(-1.343085--0.303195))+0-119.9--0.305744999999983</f>
        <v>489.44871500000011</v>
      </c>
      <c r="X353" s="3">
        <f>308+(427.4-76.3)+(-0.15708+(-0.217974--0.038913))+0-119.4--0.0608939999999879</f>
        <v>539.4247529999999</v>
      </c>
      <c r="Y353" s="3">
        <f>318.7+(444.4-98.2)+(-0.650148+(-0.906576--0.200328))+0-128.9--0.262955999999994</f>
        <v>534.90656000000001</v>
      </c>
      <c r="Z353" s="3">
        <f>227.9+(492-49.9)+(0.348687+(0.75276-0.076347))+0-140.6-0.215118000000008</f>
        <v>530.20998199999997</v>
      </c>
      <c r="AA353" s="3">
        <f>177.3+(539.7-64.8)+(0.090423+(0.275247-0.033048))+0-145.1-0.0740009999999853</f>
        <v>507.35862100000003</v>
      </c>
      <c r="AB353" s="3">
        <f>177.1+(586.5-147.5)+(-0.361284+(-1.19646--0.3009))+0-127.7--0.260507999999994</f>
        <v>487.40366400000005</v>
      </c>
      <c r="AC353" s="3">
        <f>179.3+(671.6-249.4)+(-0.365772+(-1.370064--0.508776))+0-132.5--0.270299999999994</f>
        <v>468.04323999999997</v>
      </c>
      <c r="AD353">
        <f t="shared" si="5"/>
        <v>11420.621113999998</v>
      </c>
      <c r="AE353" s="3">
        <f>320+(416.8-64.8)+(0+(0-0))+0-123.5-0</f>
        <v>548.5</v>
      </c>
    </row>
    <row r="354" spans="1:31" s="2" customFormat="1" x14ac:dyDescent="0.25">
      <c r="A354">
        <v>89</v>
      </c>
      <c r="B354">
        <v>12</v>
      </c>
      <c r="C354">
        <v>18</v>
      </c>
      <c r="D354">
        <v>5</v>
      </c>
      <c r="E354">
        <v>1</v>
      </c>
      <c r="F354" s="3">
        <f>177.8+(692.5-280.9)+(-0.272034+(-1.059525--0.429777))+0-134.6--0.205938000000008</f>
        <v>454.10415600000005</v>
      </c>
      <c r="G354" s="3">
        <f>177.3+(678-275.6)+(-0.452115+(-1.7289--0.70278))+0-141.8--0.361589999999979</f>
        <v>436.78335499999997</v>
      </c>
      <c r="H354" s="3">
        <f>175.8+(654.2-259.9)+(-0.089658+(-0.333642--0.132549))+0-136--0.0693599999999862</f>
        <v>433.8786090000001</v>
      </c>
      <c r="I354" s="3">
        <f>176.3+(627.1-232.6)+(-0.359652+(-1.279284--0.474504))+0-140.8--0.287231999999994</f>
        <v>429.12279999999993</v>
      </c>
      <c r="J354" s="3">
        <f>175.7+(628.3-248.9)+(-0.179214+(-0.640866--0.253878))+0-127.2--0.12974400000002</f>
        <v>427.46354199999996</v>
      </c>
      <c r="K354" s="3">
        <f>176.3+(581.9-194.2)+(-0.179826+(-0.593538--0.198084))+0-134.1--0.136782000000021</f>
        <v>429.461502</v>
      </c>
      <c r="L354" s="3">
        <f>176.5+(509.8-134.8)+(0+(0-0))+0-117.9-0</f>
        <v>433.6</v>
      </c>
      <c r="M354" s="3">
        <f>188+(433-50.5)+(-0.09588+(-0.22083--0.025755))+0-105.4--0.0537539999999893</f>
        <v>464.86279899999994</v>
      </c>
      <c r="N354" s="3">
        <f>226.7+(401.7-19.2)+(0.231234+(0.409734-0.019584))+0-134.9-0.137598000000022</f>
        <v>474.78378600000008</v>
      </c>
      <c r="O354" s="3">
        <f>226.5+(440-75.6)+(-0.115515+(-0.2244--0.038556))+0-114.6--0.0584459999999884</f>
        <v>476.05708699999991</v>
      </c>
      <c r="P354" s="3">
        <f>224.3+(508.1-130.4)+(-0.343179+(-0.777393--0.199512))+0-115--0.175950000000007</f>
        <v>486.25488999999999</v>
      </c>
      <c r="Q354" s="3">
        <f>218.3+(601.1-171.5)+(-0.333999+(-0.919683--0.262395))+0-147.3--0.225369000000009</f>
        <v>499.83408200000002</v>
      </c>
      <c r="R354" s="3">
        <f>222.7+(537-144.5)+(-0.567885+(-1.36935--0.368475))+0-119.7--0.305234999999983</f>
        <v>494.23647500000004</v>
      </c>
      <c r="S354" s="3">
        <f>222.4+(473-100.9)+(-0.453696+(-0.96492--0.205836))+0-111.4--0.227255999999995</f>
        <v>482.11447600000008</v>
      </c>
      <c r="T354" s="3">
        <f>221.6+(456.8-103.9)+(-0.226032+(-0.465936--0.105978))+0-104.3--0.106386000000017</f>
        <v>469.72039599999999</v>
      </c>
      <c r="U354" s="3">
        <f>222+(479.8-126.4)+(-0.45288+(-0.978792--0.257856))+0-103.9--0.211955999999995</f>
        <v>470.53814</v>
      </c>
      <c r="V354" s="3">
        <f>212.2+(469.1-85.3)+(0.108222+(0.239241-0.043503))+0-111.1-0.0566609999999887</f>
        <v>485.14729899999998</v>
      </c>
      <c r="W354" s="3">
        <f>212.2+(458.4-57.9)+(-0.432888+(-0.935136--0.118116))+0-103.8--0.211751999999995</f>
        <v>507.86184400000002</v>
      </c>
      <c r="X354" s="3">
        <f>239.6+(455.3-23.2)+(-0.244392+(-0.464406--0.023664))+0-128.2--0.13076400000002</f>
        <v>542.94563000000016</v>
      </c>
      <c r="Y354" s="3">
        <f>252.4+(515.8-91.1)+(-0.64362+(-1.31529--0.232305))+0-130.1--0.331754999999981</f>
        <v>545.60514999999987</v>
      </c>
      <c r="Z354" s="3">
        <f>248.4+(456.2-28.8)+(0+(0-0))+0-148.4-0</f>
        <v>527.4</v>
      </c>
      <c r="AA354" s="3">
        <f>248+(476.2-72.6)+(-0.25296+(-0.485724--0.074052))+0-129.2--0.131784000000021</f>
        <v>521.86715200000015</v>
      </c>
      <c r="AB354" s="3">
        <f>245.5+(523.9-120.9)+(-0.626025+(-1.335945--0.308295))+0-144.1--0.367454999999979</f>
        <v>503.11377999999996</v>
      </c>
      <c r="AC354" s="3">
        <f>242.2+(413.2-45)+(-0.247044+(-0.421464--0.0459))+0-134.1--0.136782000000021</f>
        <v>475.81417399999998</v>
      </c>
      <c r="AD354">
        <f t="shared" si="5"/>
        <v>11472.571123999998</v>
      </c>
      <c r="AE354" s="3">
        <f>258+(488.3-58.2)+(0+(0-0))+0-159.5-0</f>
        <v>528.6</v>
      </c>
    </row>
    <row r="355" spans="1:31" s="2" customFormat="1" x14ac:dyDescent="0.25">
      <c r="A355">
        <v>89</v>
      </c>
      <c r="B355">
        <v>12</v>
      </c>
      <c r="C355">
        <v>19</v>
      </c>
      <c r="D355">
        <v>6</v>
      </c>
      <c r="E355">
        <v>1</v>
      </c>
      <c r="F355" s="3">
        <f>217.4+(366.5-8.1)+(0+(0-0))+0-128.4-0</f>
        <v>447.4</v>
      </c>
      <c r="G355" s="3">
        <f>211.3+(375.5-19.3)+(0+(0-0))+0-131.8-0</f>
        <v>435.7</v>
      </c>
      <c r="H355" s="3">
        <f>212.2+(406.5-46.3)+(0+(0-0))+0-138.7-0</f>
        <v>433.7</v>
      </c>
      <c r="I355" s="3">
        <f>213+(410.8-54.1)+(0+(0-0))+0-139.2-0</f>
        <v>430.50000000000006</v>
      </c>
      <c r="J355" s="3">
        <f>213.4+(391.7-58.6)+(0+(0-0))+0-120.4-0</f>
        <v>426.1</v>
      </c>
      <c r="K355" s="3">
        <f>196.7+(368.6-24.7)+(0+(0-0))+0-105.8-0</f>
        <v>434.8</v>
      </c>
      <c r="L355" s="3">
        <f>164.5+(390.8-0)+(0+(0-0))+0-121.6-0</f>
        <v>433.69999999999993</v>
      </c>
      <c r="M355" s="3">
        <f>169.8+(418.6-0)+(0+(0-0))+0-129.5-0</f>
        <v>458.90000000000009</v>
      </c>
      <c r="N355" s="3">
        <f>169.5+(427.9-0)+(0+(0-0))+0-112.8-0</f>
        <v>484.59999999999997</v>
      </c>
      <c r="O355" s="3">
        <f>169.5+(434.3-0)+(0+(0-0))+0-116.1-0</f>
        <v>487.69999999999993</v>
      </c>
      <c r="P355" s="3">
        <f>172.3+(448.4-0)+(0+(0-0))+0-127.7-0</f>
        <v>493.00000000000006</v>
      </c>
      <c r="Q355" s="3">
        <f>186.7+(435.7-0)+(0+(0-0))+0-124.5-0</f>
        <v>497.9</v>
      </c>
      <c r="R355" s="3">
        <f>187+(422-0)+(-0.47685+(-1.0761-0))+0-112.7--0.287384999999984</f>
        <v>495.03443499999997</v>
      </c>
      <c r="S355" s="3">
        <f>185.5+(428.4-0)+(0.283815+(0.655452-0))+0-127.4-0.194922000000007</f>
        <v>487.24434499999995</v>
      </c>
      <c r="T355" s="3">
        <f>185.7+(414.3-0)+(-0.284121+(-0.633879-0))+0-133--0.203490000000008</f>
        <v>466.28548999999998</v>
      </c>
      <c r="U355" s="3">
        <f>190.4+(409.1-0)+(-0.291312+(-0.625923-0))+0-131.7--0.201501000000008</f>
        <v>467.08426600000001</v>
      </c>
      <c r="V355" s="3">
        <f>192.3+(404.2-0)+(-0.294219+(-0.618426-0))+0-126.5--0.193545000000007</f>
        <v>469.28090000000003</v>
      </c>
      <c r="W355" s="3">
        <f>190.6+(403.7-0)+(0+(0-0))+0-130.2-0</f>
        <v>464.09999999999997</v>
      </c>
      <c r="X355" s="3">
        <f>281+(335.6-0)+(-0.28662+(-0.342312-0))+0-128.6--0.13117200000002</f>
        <v>487.50224000000003</v>
      </c>
      <c r="Y355" s="3">
        <f>286+(359.1-0)+(-1.02102+(-1.281987-0))+0-144.3--0.515151000000002</f>
        <v>499.01214400000003</v>
      </c>
      <c r="Z355" s="3">
        <f>288+(368.7-41.3)+(-0.58752+(-0.752148--0.084252))+0-124.2--0.253367999999995</f>
        <v>490.19795200000004</v>
      </c>
      <c r="AA355" s="3">
        <f>291+(402.7-53.6)+(-0.59364+(-0.821508--0.109344))+0-143.6--0.292943999999994</f>
        <v>495.4871399999999</v>
      </c>
      <c r="AB355" s="3">
        <f>215+(455.5-74.6)+(-0.54825+(-1.161525--0.19023))+0-118.3--0.301664999999983</f>
        <v>476.38211999999993</v>
      </c>
      <c r="AC355" s="3">
        <f>206+(433.6-47.2)+(-0.42024+(-0.884544--0.096288))+0-129.1--0.263363999999994</f>
        <v>462.35486800000007</v>
      </c>
      <c r="AD355">
        <f t="shared" si="5"/>
        <v>11223.965899999999</v>
      </c>
      <c r="AE355" s="3">
        <f>289+(362.9-0)+(0+(0-0))+0-136.8-0</f>
        <v>515.09999999999991</v>
      </c>
    </row>
    <row r="356" spans="1:31" s="2" customFormat="1" x14ac:dyDescent="0.25">
      <c r="A356">
        <v>89</v>
      </c>
      <c r="B356">
        <v>12</v>
      </c>
      <c r="C356">
        <v>20</v>
      </c>
      <c r="D356">
        <v>7</v>
      </c>
      <c r="E356">
        <v>1</v>
      </c>
      <c r="F356" s="3">
        <f>207+(385.6-26.8)+(0+(0-0))+0-128.4-0</f>
        <v>437.4</v>
      </c>
      <c r="G356" s="3">
        <f>198+(438.6-73.4)+(0+(0-0))+0-129-0</f>
        <v>434.20000000000005</v>
      </c>
      <c r="H356" s="3">
        <f>197+(446.6-93.7)+(0+(0-0))+0-125.1-0</f>
        <v>424.80000000000007</v>
      </c>
      <c r="I356" s="3">
        <f>195+(459.8-125.9)+(0+(0-0))+0-111.3-0</f>
        <v>417.59999999999997</v>
      </c>
      <c r="J356" s="3">
        <f>194+(461.6-105.1)+(0+(0-0))+0-137.3-0</f>
        <v>413.2</v>
      </c>
      <c r="K356" s="3">
        <f>198+(426.5-95.6)+(0+(0-0))+0-121.5-0</f>
        <v>407.4</v>
      </c>
      <c r="L356" s="3">
        <f>194+(397.6-64.5)+(0+(0-0))+0-132.9-0</f>
        <v>394.20000000000005</v>
      </c>
      <c r="M356" s="3">
        <f>226+(346.2-46)+(0+(0-0))+0-130.9-0</f>
        <v>395.30000000000007</v>
      </c>
      <c r="N356" s="3">
        <f>232+(298.8-0)+(0+(0-0))+0-129.8-0</f>
        <v>400.99999999999994</v>
      </c>
      <c r="O356" s="3">
        <f>229+(297.8-0)+(0+(0-0))+0-122-0</f>
        <v>404.79999999999995</v>
      </c>
      <c r="P356" s="3">
        <f>228.6+(329.3-0)+(0+(0-0))+0-134.2-0</f>
        <v>423.7</v>
      </c>
      <c r="Q356" s="3">
        <f>230.6+(338.4-0)+(0+(0-0))+0-130.1-0</f>
        <v>438.9</v>
      </c>
      <c r="R356" s="3">
        <f>228.8+(334.8-0)+(-0.58344+(-0.85374-0))+0-128.6--0.327929999999981</f>
        <v>433.89074999999997</v>
      </c>
      <c r="S356" s="3">
        <f>229.6+(320-0)+(-0.468384+(-0.6528-0))+0-126.5--0.258059999999994</f>
        <v>422.23687600000005</v>
      </c>
      <c r="T356" s="3">
        <f>226.7+(310.7-0)+(-0.231234+(-0.316914-0))+0-133.5--0.136170000000021</f>
        <v>403.488022</v>
      </c>
      <c r="U356" s="3">
        <f>229.6+(298.8-0)+(-0.468384+(-0.609552-0))+0-120.4--0.245615999999995</f>
        <v>407.16767999999996</v>
      </c>
      <c r="V356" s="3">
        <f>227.9+(318.2-0)+(0.232458+(0.324564-0))+0-140-0.142800000000022</f>
        <v>406.51422199999996</v>
      </c>
      <c r="W356" s="3">
        <f>230+(316.6-0)+(-0.2346+(-0.322932-0))+0-130.5--0.133110000000021</f>
        <v>415.67557800000003</v>
      </c>
      <c r="X356" s="3">
        <f>229.8+(321.7-0)+(0+(0-0))+0-118.6-0</f>
        <v>432.9</v>
      </c>
      <c r="Y356" s="3">
        <f>248.1+(337.1-0)+(-0.759186+(-1.031526-0))+0-140.5--0.429930000000016</f>
        <v>443.33921800000007</v>
      </c>
      <c r="Z356" s="3">
        <f>254.8+(367.9-0)+(-0.259896+(-0.375258-0))+0-146.9--0.149838000000023</f>
        <v>475.31468400000006</v>
      </c>
      <c r="AA356" s="3">
        <f>253.2+(375.5-0)+(-0.129132+(-0.191505-0))+0-144.6--0.0737459999999853</f>
        <v>483.85310899999996</v>
      </c>
      <c r="AB356" s="3">
        <f>229.7+(350.7-0)+(-0.234294+(-0.357714-0))+0-125.3--0.12780600000002</f>
        <v>454.63579800000002</v>
      </c>
      <c r="AC356" s="3">
        <f>229.4+(386.1-38.1)+(-0.467976+(-0.787644--0.077724))+0-134.9--0.275195999999994</f>
        <v>441.59729999999996</v>
      </c>
      <c r="AD356">
        <f t="shared" si="5"/>
        <v>10213.113236999998</v>
      </c>
      <c r="AE356" s="3">
        <f>256+(325.7-0)+(0+(0-0))+0-159.2-0</f>
        <v>422.50000000000006</v>
      </c>
    </row>
    <row r="357" spans="1:31" s="2" customFormat="1" x14ac:dyDescent="0.25">
      <c r="A357">
        <v>89</v>
      </c>
      <c r="B357">
        <v>12</v>
      </c>
      <c r="C357">
        <v>21</v>
      </c>
      <c r="D357">
        <v>1</v>
      </c>
      <c r="E357">
        <v>1</v>
      </c>
      <c r="F357" s="3">
        <f>231.3+(416-97.8)+(-0.589815+(-1.0608--0.24939))+0-129--0.328949999999981</f>
        <v>419.42772500000001</v>
      </c>
      <c r="G357" s="3">
        <f>231.4+(372.6-99.5)+(-0.236028+(-0.380052--0.10149))+0-110.4--0.112608000000018</f>
        <v>393.69801800000005</v>
      </c>
      <c r="H357" s="3">
        <f>232.8+(402.9-120.7)+(-0.356184+(-0.616437--0.184671))+0-111.4--0.170442000000006</f>
        <v>402.98249199999998</v>
      </c>
      <c r="I357" s="3">
        <f>227.8+(417.8-122.2)+(0.348534+(0.639234-0.186966))+0-133.9-0.204867000000008</f>
        <v>390.09593500000005</v>
      </c>
      <c r="J357" s="3">
        <f>231.4+(407.6-109.2)+(-0.118014+(-0.207876--0.055692))+0-132.4--0.0675239999999866</f>
        <v>397.19732600000003</v>
      </c>
      <c r="K357" s="3">
        <f>230.9+(373.2-83.3)+(0+(0-0))+0-124.8-0</f>
        <v>395.99999999999994</v>
      </c>
      <c r="L357" s="3">
        <f>231.1+(359.1-45.8)+(-0.117861+(-0.183141--0.023358))+0-129.7--0.0661469999999868</f>
        <v>414.48850299999998</v>
      </c>
      <c r="M357" s="3">
        <f>231.7+(359.9-0)+(0+(0-0))+0-133-0</f>
        <v>458.59999999999991</v>
      </c>
      <c r="N357" s="3">
        <f>234.1+(387.6-0)+(0+(0-0))+0-139.2-0</f>
        <v>482.50000000000006</v>
      </c>
      <c r="O357" s="3">
        <f>240.6+(362-0)+(0+(0-0))+0-120.3-0</f>
        <v>482.3</v>
      </c>
      <c r="P357" s="3">
        <f>240.4+(396.8-0)+(0.245208+(0.404736-0))+0-141.4-0.144228000000023</f>
        <v>496.30571600000007</v>
      </c>
      <c r="Q357" s="3">
        <f>240.2+(389.6-0)+(-0.245004+(-0.397392-0))+0-125.5--0.12801000000002</f>
        <v>503.78561400000001</v>
      </c>
      <c r="R357" s="3">
        <f>247.2+(369.6-0)+(-0.63036+(-0.94248-0))+0-110--0.280499999999984</f>
        <v>505.50765999999987</v>
      </c>
      <c r="S357" s="3">
        <f>249.2+(369.6-0)+(-0.508368+(-0.753984-0))+0-130.5--0.266219999999994</f>
        <v>487.30386799999997</v>
      </c>
      <c r="T357" s="3">
        <f>256.2+(338.1-0)+(0+(0-0))+0-114.3-0</f>
        <v>479.99999999999994</v>
      </c>
      <c r="U357" s="3">
        <f>264.8+(345.6-10.2)+(-0.135048+(-0.176256--0.005202))+0-125.6--0.0640559999999873</f>
        <v>474.35795400000001</v>
      </c>
      <c r="V357" s="3">
        <f>278.6+(342-17.5)+(0.142086+(0.17442-0.008925))+0-127.1-0.0648209999999871</f>
        <v>476.24276000000003</v>
      </c>
      <c r="W357" s="3">
        <f>294+(374-55.2)+(-0.14994+(-0.19074--0.028152))+0-124.4--0.0634439999999874</f>
        <v>488.15091599999994</v>
      </c>
      <c r="X357" s="3">
        <f>420.7+(311-70.3)+(-0.429114+(-0.31722--0.071706))+0-139--0.141780000000022</f>
        <v>521.86715200000003</v>
      </c>
      <c r="Y357" s="3">
        <f>429.1+(354.6-128.3)+(-0.218841+(-0.180846--0.065433))+0-143.2--0.0730319999999855</f>
        <v>511.93877800000013</v>
      </c>
      <c r="Z357" s="3">
        <f>490.6+(226.1-85.6)+(-0.500412+(-0.230622--0.087312))+0-134.3--0.136986000000021</f>
        <v>496.29326400000002</v>
      </c>
      <c r="AA357" s="3">
        <f>443.1+(262.6-55.2)+(-0.677943+(-0.401778--0.084456))+0-124.3--0.190179000000007</f>
        <v>525.39491400000009</v>
      </c>
      <c r="AB357" s="3">
        <f>470.4+(293.9-136.2)+(-1.679328+(-1.049223--0.486234))+0-118.5--0.423045000000002</f>
        <v>507.78072799999995</v>
      </c>
      <c r="AC357" s="3">
        <f>310+(333.7-113.9)+(-0.6324+(-0.680748--0.232356))+0-118.6--0.241943999999995</f>
        <v>410.36115199999995</v>
      </c>
      <c r="AD357">
        <f t="shared" si="5"/>
        <v>11122.580474999999</v>
      </c>
      <c r="AE357" s="3">
        <f>418+(380.4-141.4)+(0+(0-0))+0-167.6-0</f>
        <v>489.4</v>
      </c>
    </row>
    <row r="358" spans="1:31" s="2" customFormat="1" x14ac:dyDescent="0.25">
      <c r="A358">
        <v>89</v>
      </c>
      <c r="B358">
        <v>12</v>
      </c>
      <c r="C358">
        <v>22</v>
      </c>
      <c r="D358">
        <v>2</v>
      </c>
      <c r="E358">
        <v>1</v>
      </c>
      <c r="F358" s="3">
        <f>336.9+(421.8-205.2)+(-0.859095+(-1.07559--0.52326))+0-113.4--0.289169999999984</f>
        <v>438.97774499999997</v>
      </c>
      <c r="G358" s="3">
        <f>335.3+(444.1-225.4)+(-1.026018+(-1.358946--0.689724))+0-128.1--0.391986000000015</f>
        <v>424.596746</v>
      </c>
      <c r="H358" s="3">
        <f>335.9+(483-254.9)+(-0.685236+(-0.98532--0.519996))+0-140.7--0.287027999999994</f>
        <v>422.43646799999999</v>
      </c>
      <c r="I358" s="3">
        <f>338.9+(502.9-290.3)+(0.518517+(0.769437-0.444159))+0-123.3-0.188649000000007</f>
        <v>428.85514599999999</v>
      </c>
      <c r="J358" s="3">
        <f>340.2+(499.4-275.2)+(-0.520506+(-0.764082--0.421056))+0-138.4--0.211752000000008</f>
        <v>425.34822000000003</v>
      </c>
      <c r="K358" s="3">
        <f>343.2+(470.3-270.5)+(0.700128+(0.959412-0.55182))+0-118-0.240719999999995</f>
        <v>425.86699999999996</v>
      </c>
      <c r="L358" s="3">
        <f>343.6+(391.4-192.2)+(-1.051416+(-1.197684--0.588132))+0-115.1--0.352206000000013</f>
        <v>426.39123799999993</v>
      </c>
      <c r="M358" s="3">
        <f>341+(380.4-128.6)+(0.34782+(0.388008-0.131172))+0-127.6-0.13015200000002</f>
        <v>465.6745039999999</v>
      </c>
      <c r="N358" s="3">
        <f>339.4+(396.6-119.4)+(0.346188+(0.404532-0.121788))+0-133.5-0.136170000000021</f>
        <v>483.59276199999999</v>
      </c>
      <c r="O358" s="3">
        <f>336.4+(410.4-134.5)+(0.171564+(0.209304-0.068595))+0-122.9-0.0626789999999875</f>
        <v>489.64959399999998</v>
      </c>
      <c r="P358" s="3">
        <f>332.2+(419.6-123.4)+(0.169422+(0.213996-0.062934))+0-121.9-0.0621689999999876</f>
        <v>506.7583150000001</v>
      </c>
      <c r="Q358" s="3">
        <f>328.6+(419.8-126.3)+(-0.502758+(-0.642294--0.193239))+0-108.5--0.166005000000006</f>
        <v>512.81419200000005</v>
      </c>
      <c r="R358" s="3">
        <f>329.5+(406.4-98.4)+(0+(0-0))+0-119.3-0</f>
        <v>518.20000000000005</v>
      </c>
      <c r="S358" s="3">
        <f>326+(384.4-90.3)+(0.16626+(0.196044-0.046053))+0-117.6-0.0599759999999881</f>
        <v>502.75627499999985</v>
      </c>
      <c r="T358" s="3">
        <f>327.1+(377.9-109.5)+(-0.333642+(-0.385458--0.11169))+0-108.1--0.110262000000017</f>
        <v>486.90285200000005</v>
      </c>
      <c r="U358" s="3">
        <f>289.1+(324.7-46.9)+(0+(0-0))+0-96.1-0</f>
        <v>470.80000000000007</v>
      </c>
      <c r="V358" s="3">
        <f>229.6+(318.2-1.2)+(-0.58548+(-0.81141--0.00306))+0-76.1--0.194054999999989</f>
        <v>469.30022500000001</v>
      </c>
      <c r="W358" s="3">
        <f>231+(336.9-9.5)+(0+(0-0))+0-77.6-0</f>
        <v>480.79999999999995</v>
      </c>
      <c r="X358" s="3">
        <f>268.9+(347.4-0)+(-0.137139+(-0.177174-0))+0-90.3--0.0460529999999908</f>
        <v>525.73174000000006</v>
      </c>
      <c r="Y358" s="3">
        <f>277.6+(397.4-37.4)+(-0.424728+(-0.608022--0.057222))+0-110.1--0.168453000000006</f>
        <v>526.69292499999995</v>
      </c>
      <c r="Z358" s="3">
        <f>278.9+(438.2-80.8)+(-0.284478+(-0.446964--0.082416))+0-112.4--0.114648000000018</f>
        <v>523.36562199999992</v>
      </c>
      <c r="AA358" s="3">
        <f>279.8+(474.9-114.3)+(-0.428094+(-0.726597--0.174879))+0-122--0.186660000000007</f>
        <v>517.6068479999999</v>
      </c>
      <c r="AB358" s="3">
        <f>280.3+(522.8-174.7)+(-0.285906+(-0.533256--0.178194))+0-128.6--0.13117200000002</f>
        <v>499.2902039999999</v>
      </c>
      <c r="AC358" s="3">
        <f>278.2+(561.8-240.2)+(-0.425646+(-0.859554--0.367506))+0-115.9--0.177327000000007</f>
        <v>483.15963299999999</v>
      </c>
      <c r="AD358">
        <f t="shared" si="5"/>
        <v>11455.568253999998</v>
      </c>
      <c r="AE358" s="3">
        <f>272+(349.8-0)+(0+(0-0))+0-97.6-0</f>
        <v>524.19999999999993</v>
      </c>
    </row>
    <row r="359" spans="1:31" s="2" customFormat="1" x14ac:dyDescent="0.25">
      <c r="A359">
        <v>89</v>
      </c>
      <c r="B359">
        <v>12</v>
      </c>
      <c r="C359">
        <v>23</v>
      </c>
      <c r="D359">
        <v>3</v>
      </c>
      <c r="E359">
        <v>1</v>
      </c>
      <c r="F359" s="3">
        <f>287.1+(505.6-210.4)+(-1.46421+(-2.57856--1.07304))+0-69--0.351900000000005</f>
        <v>510.68217000000004</v>
      </c>
      <c r="G359" s="3">
        <f>286.7+(458.7-187.6)+(-0.877302+(-1.403622--0.574056))+0-69--0.211140000000008</f>
        <v>487.30427199999997</v>
      </c>
      <c r="H359" s="3">
        <f>289.8+(492.2-219.9)+(-0.443394+(-0.753066--0.336447))+0-66--0.100980000000004</f>
        <v>495.34096699999992</v>
      </c>
      <c r="I359" s="3">
        <f>289.7+(509.9-250.9)+(-0.443241+(-0.780147--0.383877))+0-66--0.100980000000004</f>
        <v>481.96146900000002</v>
      </c>
      <c r="J359" s="3">
        <f>289.6+(519-265.9)+(0.295392+(0.52938-0.271218))+0-66-0.0673200000000105</f>
        <v>477.18623400000001</v>
      </c>
      <c r="K359" s="3">
        <f>289.7+(484.1-217.3)+(-0.147747+(-0.246891--0.110823))+0-66--0.0336599999999933</f>
        <v>490.24984499999999</v>
      </c>
      <c r="L359" s="3">
        <f>289.3+(442.1-169.2)+(-0.147543+(-0.225471--0.086292))+0-69--0.035189999999993</f>
        <v>492.94846799999999</v>
      </c>
      <c r="M359" s="3">
        <f>289.1+(378-86.3)+(0.589764+(0.77112-0.176052))+0-66-0.134639999999997</f>
        <v>515.85019199999999</v>
      </c>
      <c r="N359" s="3">
        <f>289+(340.5-26.5)+(0+(0-0))+0-66-0</f>
        <v>537</v>
      </c>
      <c r="O359" s="3">
        <f>220.4+(363.9-41.7)+(-0.449616+(-0.742356--0.085068))+0-69--0.140759999999997</f>
        <v>472.63385600000004</v>
      </c>
      <c r="P359" s="3">
        <f>280.8+(319.5-35)+(-0.572832+(-0.65178--0.0714))+0-67--0.136679999999997</f>
        <v>497.28346799999991</v>
      </c>
      <c r="Q359" s="3">
        <f>280.1+(366.9-22)+(-0.428553+(-0.561357--0.03366))+0-66--0.100980000000004</f>
        <v>558.1447300000001</v>
      </c>
      <c r="R359" s="3">
        <f>277.7+(356.1-0)+(-0.566508+(-0.726444-0))+0-130.2--0.265607999999994</f>
        <v>502.57265599999994</v>
      </c>
      <c r="S359" s="3">
        <f>270.2+(348.4-0)+(0.275604+(0.355368-0))+0-126.6-0.12913200000002</f>
        <v>492.5018399999999</v>
      </c>
      <c r="T359" s="3">
        <f>269+(351-0)+(-0.27438+(-0.35802-0))+0-143.1--0.145962000000023</f>
        <v>476.41356200000001</v>
      </c>
      <c r="U359" s="3">
        <f>270.5+(330.9-0)+(0+(0-0))+0-134.3-0</f>
        <v>467.09999999999997</v>
      </c>
      <c r="V359" s="3">
        <f>265.8+(331-0)+(-0.542232+(-0.67524-0))+0-131.4--0.268055999999994</f>
        <v>464.45058399999994</v>
      </c>
      <c r="W359" s="3">
        <f>265.9+(316.7-0)+(-0.135609+(-0.161517-0))+0-114.5--0.0583949999999884</f>
        <v>467.86126899999982</v>
      </c>
      <c r="X359" s="3">
        <f>271.5+(374.5-0)+(-0.138465+(-0.190995-0))+0-131.1--0.0668609999999867</f>
        <v>514.63740099999995</v>
      </c>
      <c r="Y359" s="3">
        <f>264.7+(393.7-0)+(-0.809982+(-1.204722-0))+0-149.3--0.456858000000017</f>
        <v>507.54215399999993</v>
      </c>
      <c r="Z359" s="3">
        <f>269.9+(372.6-6.1)+(-0.412947+(-0.570078--0.009333))+0-134.6--0.205938000000008</f>
        <v>501.03224599999993</v>
      </c>
      <c r="AA359" s="3">
        <f>279.9+(386.5-18.7)+(-0.428247+(-0.591345--0.028611))+0-118.7--0.181611000000007</f>
        <v>528.19062999999994</v>
      </c>
      <c r="AB359" s="3">
        <f>241.8+(410.9-50.1)+(-0.493272+(-0.838236--0.102204))+0-107.8--0.219911999999995</f>
        <v>493.79060799999996</v>
      </c>
      <c r="AC359" s="3">
        <f>229.1+(448.8-166.2)+(-0.584205+(-1.14444--0.42381))+0-117.7--0.300134999999983</f>
        <v>392.99529999999999</v>
      </c>
      <c r="AD359">
        <f t="shared" si="5"/>
        <v>11825.673921</v>
      </c>
      <c r="AE359" s="3">
        <f>265+(408.8-0)+(0+(0-0))+0-159-0</f>
        <v>514.79999999999995</v>
      </c>
    </row>
    <row r="360" spans="1:31" s="2" customFormat="1" x14ac:dyDescent="0.25">
      <c r="A360">
        <v>89</v>
      </c>
      <c r="B360">
        <v>12</v>
      </c>
      <c r="C360">
        <v>24</v>
      </c>
      <c r="D360">
        <v>4</v>
      </c>
      <c r="E360">
        <v>1</v>
      </c>
      <c r="F360" s="3">
        <f>358.3+(451.6-244.6)+(-1.096398+(-1.381896--0.748476))+0-133.9--0.409734000000015</f>
        <v>430.07991600000008</v>
      </c>
      <c r="G360" s="3">
        <f>374.7+(422.1-238.6)+(-0.955485+(-1.076355--0.60843))+0-136.8--0.34883999999998</f>
        <v>420.32543000000004</v>
      </c>
      <c r="H360" s="3">
        <f>389.8+(340.6-195)+(0+(0-0))+0-113.8-0</f>
        <v>421.60000000000008</v>
      </c>
      <c r="I360" s="3">
        <f>386.4+(338.5-194)+(-1.182384+(-1.03581--0.59364))+0-113.6--0.347616000000013</f>
        <v>416.02306199999998</v>
      </c>
      <c r="J360" s="3">
        <f>390.7+(299.5-164.8)+(0.597771+(0.458235-0.252144))+0-110.1-0.168453000000006</f>
        <v>415.93540899999994</v>
      </c>
      <c r="K360" s="3">
        <f>381.1+(281.1-139.6)+(-0.971805+(-0.716805--0.35598))+0-106.3--0.271064999999985</f>
        <v>415.23843499999998</v>
      </c>
      <c r="L360" s="3">
        <f>369+(285.5-138.1)+(-0.56457+(-0.436815--0.211293))+0-106.4--0.162792000000006</f>
        <v>409.37270000000007</v>
      </c>
      <c r="M360" s="3">
        <f>413+(280.1-116.6)+(-0.42126+(-0.285702--0.118932))+0-108.5--0.110670000000017</f>
        <v>467.52264000000002</v>
      </c>
      <c r="N360" s="3">
        <f>395+(339.2-138.6)+(0+(0-0))+0-108.9-0</f>
        <v>486.70000000000005</v>
      </c>
      <c r="O360" s="3">
        <f>405+(348.9-150.2)+(-0.4131+(-0.355878--0.153204))+0-75.8--0.0773160000000121</f>
        <v>527.3615420000001</v>
      </c>
      <c r="P360" s="3">
        <f>406+(286.4-96.6)+(-0.20706+(-0.146064--0.049266))+0-69.9--0.0356489999999929</f>
        <v>525.63179100000002</v>
      </c>
      <c r="Q360" s="3">
        <f>437+(313-106.5)+(-0.66861+(-0.47889--0.162945))+0-70.3--0.107559000000004</f>
        <v>572.32300400000008</v>
      </c>
      <c r="R360" s="3">
        <f>468.5+(273-130.1)+(-0.47787+(-0.27846--0.132702))+0-69.5--0.0708900000000111</f>
        <v>541.34726199999989</v>
      </c>
      <c r="S360" s="3">
        <f>514+(237-153.8)+(-0.26214+(-0.12087--0.078438))+0-69.3--0.035342999999993</f>
        <v>527.6307710000001</v>
      </c>
      <c r="T360" s="3">
        <f>504.1+(234.8-158.8)+(-0.257091+(-0.119748--0.080988))+0-98.2--0.05008199999999</f>
        <v>481.65423100000004</v>
      </c>
      <c r="U360" s="3">
        <f>520.6+(225.3-166.4)+(-0.796518+(-0.344709--0.254592))+0-102.9--0.157437000000006</f>
        <v>475.87080200000008</v>
      </c>
      <c r="V360" s="3">
        <f>614.9+(237.9-266.4)+(-2.508792+(-0.970632--1.086912))+0-105.4--0.430031999999991</f>
        <v>479.03751999999997</v>
      </c>
      <c r="W360" s="3">
        <f>607.8+(293.2-288.6)+(0.309978+(0.149532-0.147186))+0-121.5-0.0619649999999877</f>
        <v>491.15035899999987</v>
      </c>
      <c r="X360" s="3">
        <f>608.6+(264.7-224.2)+(0.310386+(0.134997-0.114342))+0-105.9-0.0540089999999893</f>
        <v>543.47703200000012</v>
      </c>
      <c r="Y360" s="3">
        <f>556.5+(343-248.8)+(-1.13526+(-0.69972--0.507552))+0-108.3--0.220931999999995</f>
        <v>541.29350399999998</v>
      </c>
      <c r="Z360" s="3">
        <f>513.4+(397.4-262.9)+(-0.523668+(-0.405348--0.268158))+0-123.2--0.12566400000002</f>
        <v>524.164806</v>
      </c>
      <c r="AA360" s="3">
        <f>515.6+(425.8-298.8)+(-0.525912+(-0.434316--0.304776))+0-125.3--0.12780600000002</f>
        <v>516.77235400000006</v>
      </c>
      <c r="AB360" s="3">
        <f>515.8+(445.9-332)+(-0.263058+(-0.227409--0.16932))+0-133.9--0.0682889999999864</f>
        <v>495.54714199999995</v>
      </c>
      <c r="AC360" s="3">
        <f>474.2+(426.9-316.2)+(-0.241842+(-0.217719--0.161262))+0-106.5--0.0543149999999892</f>
        <v>478.15601599999991</v>
      </c>
      <c r="AD360">
        <f t="shared" si="5"/>
        <v>11604.215727999999</v>
      </c>
      <c r="AE360" s="3">
        <f>515+(324.9-288.4)+(0+(0-0))+0-104.2-0</f>
        <v>447.3</v>
      </c>
    </row>
    <row r="361" spans="1:31" s="2" customFormat="1" x14ac:dyDescent="0.25">
      <c r="A361">
        <v>89</v>
      </c>
      <c r="B361">
        <v>12</v>
      </c>
      <c r="C361">
        <v>25</v>
      </c>
      <c r="D361">
        <v>5</v>
      </c>
      <c r="E361">
        <v>1</v>
      </c>
      <c r="F361" s="3">
        <f>295.4+(427.1-151.1)+(-0.150654+(-0.217821--0.077061))+0-125--0.0637499999999873</f>
        <v>446.17233599999992</v>
      </c>
      <c r="G361" s="3">
        <f>269.9+(352.1-64.9)+(-0.275298+(-0.359142--0.066198))+0-125.7--0.12821400000002</f>
        <v>430.95997199999999</v>
      </c>
      <c r="H361" s="3">
        <f>268.3+(371.7-91.4)+(-0.547332+(-0.758268--0.186456))+0-123.9--0.252755999999995</f>
        <v>423.8336119999999</v>
      </c>
      <c r="I361" s="3">
        <f>272.2+(456-170.3)+(0.277644+(0.46512-0.173706))+0-129.5-0.132090000000021</f>
        <v>428.83696800000001</v>
      </c>
      <c r="J361" s="3">
        <f>271.6+(432.7-141.9)+(0+(0-0))+0-140.7-0</f>
        <v>421.7</v>
      </c>
      <c r="K361" s="3">
        <f>341.6+(396.9-170.8)+(0.348432+(0.404838-0.174216))+0-142.6-0.145452000000023</f>
        <v>425.53360200000003</v>
      </c>
      <c r="L361" s="3">
        <f>404.9+(393.1-236.1)+(-1.032495+(-1.002405--0.602055))+0-140.5--0.35827499999998</f>
        <v>420.32542999999993</v>
      </c>
      <c r="M361" s="3">
        <f>410.5+(451.6-268.7)+(0.41871+(0.460632-0.274074))+0-139.1-0.141882000000022</f>
        <v>454.76338600000008</v>
      </c>
      <c r="N361" s="3">
        <f>391.9+(482.3-253)+(0.199869+(0.245973-0.12903))+0-147.9-0.075428999999985</f>
        <v>473.54138300000011</v>
      </c>
      <c r="O361" s="3">
        <f>390.2+(480.3-244.4)+(-0.398004+(-0.489906--0.249288))+0-145.6--0.148512000000023</f>
        <v>480.00988999999998</v>
      </c>
      <c r="P361" s="3">
        <f>389.6+(428.3-185.6)+(0.397392+(0.436866-0.189312))+0-141.9-0.144738000000023</f>
        <v>490.90020800000008</v>
      </c>
      <c r="Q361" s="3">
        <f>364.1+(408.5-130.1)+(0.557073+(0.625005-0.199053))+0-151.9-0.232407000000009</f>
        <v>491.350618</v>
      </c>
      <c r="R361" s="3">
        <f>384.7+(348.8-92.2)+(-0.588591+(-0.533664--0.141066))+0-138.4--0.211752000000008</f>
        <v>502.130563</v>
      </c>
      <c r="S361" s="3">
        <f>384.3+(344.3-124.1)+(-0.195993+(-0.175593--0.063291))+0-124.9--0.0636989999999873</f>
        <v>479.35540399999996</v>
      </c>
      <c r="T361" s="3">
        <f>398.3+(416.9-231.9)+(-0.609399+(-0.637857--0.354807))+0-115.4--0.176562000000007</f>
        <v>467.18411299999991</v>
      </c>
      <c r="U361" s="3">
        <f>416.3+(385.7-213.2)+(-0.849252+(-0.786828--0.434928))+0-121.8--0.248471999999995</f>
        <v>466.04731999999996</v>
      </c>
      <c r="V361" s="3">
        <f>490+(386.9-242)+(-0.4998+(-0.394638--0.24684))+0-134.2--0.136884000000021</f>
        <v>500.18928599999998</v>
      </c>
      <c r="W361" s="3">
        <f>518+(392-292.1)+(-1.58508+(-1.19952--0.893826))+0-144.5--0.442170000000017</f>
        <v>471.95139600000005</v>
      </c>
      <c r="X361" s="3">
        <f>573.3+(333.3-245.4)+(0.292383+(0.169983-0.125154))+0-137.4-0.0700739999999861</f>
        <v>524.067138</v>
      </c>
      <c r="Y361" s="3">
        <f>569.8+(376.2-298.7)+(-1.45299+(-0.95931--0.761685))+0-128.5--0.327674999999981</f>
        <v>517.47705999999994</v>
      </c>
      <c r="Z361" s="3">
        <f>571+(429.1-351.5)+(-0.58242+(-0.437682--0.35853))+0-135--0.137700000000022</f>
        <v>513.07612800000004</v>
      </c>
      <c r="AA361" s="3">
        <f>567.1+(418-356.6)+(-1.446105+(-1.0659--0.90933))+0-119.8--0.305489999999983</f>
        <v>507.40281499999998</v>
      </c>
      <c r="AB361" s="3">
        <f>567.6+(400.7-349.7)+(-1.44738+(-1.021785--0.891735))+0-134.5--0.34297499999998</f>
        <v>482.86554499999994</v>
      </c>
      <c r="AC361" s="3">
        <f>566.1+(407.8-377.5)+(-1.154844+(-0.831912--0.7701))+0-135.7--0.276827999999994</f>
        <v>459.76017200000013</v>
      </c>
      <c r="AD361">
        <f t="shared" si="5"/>
        <v>11279.434345</v>
      </c>
      <c r="AE361" s="3">
        <f>572+(378.9-277.9)+(0+(0-0))+0-139.2-0</f>
        <v>533.79999999999995</v>
      </c>
    </row>
    <row r="362" spans="1:31" s="2" customFormat="1" x14ac:dyDescent="0.25">
      <c r="A362">
        <v>89</v>
      </c>
      <c r="B362">
        <v>12</v>
      </c>
      <c r="C362">
        <v>26</v>
      </c>
      <c r="D362">
        <v>6</v>
      </c>
      <c r="E362">
        <v>1</v>
      </c>
      <c r="F362" s="3">
        <f>479.5+(408.8-284.4)+(-0.733635+(-0.625464--0.435132))+0-145.8--0.223074000000008</f>
        <v>457.39910700000013</v>
      </c>
      <c r="G362" s="3">
        <f>472.7+(402.8-301.6)+(-0.482154+(-0.410856--0.307632))+0-150.5--0.153510000000024</f>
        <v>422.96813200000003</v>
      </c>
      <c r="H362" s="3">
        <f>474.7+(379.3-300.6)+(-0.726291+(-0.580329--0.459918))+0-139.9--0.214047000000008</f>
        <v>412.86734499999994</v>
      </c>
      <c r="I362" s="3">
        <f>480.4+(370.3-302.5)+(0.245004+(0.188853-0.154275))+0-134.3-0.0684929999999864</f>
        <v>414.11108900000005</v>
      </c>
      <c r="J362" s="3">
        <f>481.1+(376.2-325.4)+(-0.736083+(-0.575586--0.497862))+0-111.9--0.171207000000006</f>
        <v>419.3574000000001</v>
      </c>
      <c r="K362" s="3">
        <f>479+(467.5-401.5)+(-0.24429+(-0.238425--0.204765))+0-126.8--0.0646679999999871</f>
        <v>417.98671799999994</v>
      </c>
      <c r="L362" s="3">
        <f>483.4+(465.3-389.9)+(-0.986136+(-0.949212--0.795396))+0-142.2--0.290087999999994</f>
        <v>415.75013599999994</v>
      </c>
      <c r="M362" s="3">
        <f>537.8+(446.3-404.3)+(0.274278+(0.227613-0.206193))+0-134.5-0.0685949999999864</f>
        <v>445.52710300000001</v>
      </c>
      <c r="N362" s="3">
        <f>546.6+(383.4-341)+(0.278766+(0.195534-0.17391))+0-121.4-0.0619139999999877</f>
        <v>467.83847600000001</v>
      </c>
      <c r="O362" s="3">
        <f>606.4+(316.2-333.7)+(-0.927792+(-0.483786--0.510561))+0-121.9--0.186507000000007</f>
        <v>466.28548999999998</v>
      </c>
      <c r="P362" s="3">
        <f>606.3+(306.9-306.6)+(-0.927639+(-0.469557--0.469098))+0-132.2--0.202266000000008</f>
        <v>473.67416799999995</v>
      </c>
      <c r="Q362" s="3">
        <f>611.2+(270.4-253.1)+(-0.311712+(-0.137904--0.129081))+0-145--0.0739499999999853</f>
        <v>483.25341500000002</v>
      </c>
      <c r="R362" s="3">
        <f>577.1+(252-214)+(-0.882963+(-0.38556--0.32742))+0-130.8--0.200124000000008</f>
        <v>483.55902100000003</v>
      </c>
      <c r="S362" s="3">
        <f>528.1+(247.7-181)+(0+(0-0))+0-133.9-0</f>
        <v>460.9</v>
      </c>
      <c r="T362" s="3">
        <f>525.6+(217.8-176.1)+(-0.804168+(-0.333234--0.269433))+0-115.3--0.176409000000007</f>
        <v>451.30844000000008</v>
      </c>
      <c r="U362" s="3">
        <f>463.2+(217-101.3)+(-1.653624+(-0.77469--0.361641))+0-128.7--0.459459000000002</f>
        <v>448.59278599999993</v>
      </c>
      <c r="V362" s="3">
        <f>452.3+(223.5-92.4)+(-0.461346+(-0.22797--0.094248))+0-137--0.139740000000022</f>
        <v>445.94467200000003</v>
      </c>
      <c r="W362" s="3">
        <f>448.1+(259.5-129.3)+(-0.914124+(-0.52938--0.263772))+0-134.3--0.273971999999994</f>
        <v>443.09424000000001</v>
      </c>
      <c r="X362" s="3">
        <f>482.8+(226.7-107.7)+(0+(0-0))+0-121.7-0</f>
        <v>480.09999999999997</v>
      </c>
      <c r="Y362" s="3">
        <f>591.7+(256.4-249.6)+(-1.207068+(-0.523056--0.509184))+0-127--0.259079999999994</f>
        <v>470.53813999999994</v>
      </c>
      <c r="Z362" s="3">
        <f>585.7+(255.8-274.1)+(-0.896121+(-0.391374--0.419373))+0-97.7--0.149481000000006</f>
        <v>468.98135900000011</v>
      </c>
      <c r="AA362" s="3">
        <f>382.6+(359.2-176.4)+(-0.195126+(-0.183192--0.089964))+0-108--0.055079999999989</f>
        <v>457.16672599999993</v>
      </c>
      <c r="AB362" s="3">
        <f>347.6+(410.7-227.3)+(0.531828+(0.628371-0.347769))+0-95.5-0.146115000000006</f>
        <v>436.16631499999994</v>
      </c>
      <c r="AC362" s="3">
        <f>335.2+(442-243.7)+(-0.85476+(-1.1271--0.621435))+0-112.7--0.287384999999984</f>
        <v>419.72696000000002</v>
      </c>
      <c r="AD362">
        <f t="shared" si="5"/>
        <v>10763.097237999998</v>
      </c>
      <c r="AE362" s="3">
        <f>593+(218.3-191.5)+(0+(0-0))+0-130.1-0</f>
        <v>489.69999999999993</v>
      </c>
    </row>
    <row r="363" spans="1:31" s="2" customFormat="1" x14ac:dyDescent="0.25">
      <c r="A363">
        <v>89</v>
      </c>
      <c r="B363">
        <v>12</v>
      </c>
      <c r="C363">
        <v>27</v>
      </c>
      <c r="D363">
        <v>7</v>
      </c>
      <c r="E363">
        <v>1</v>
      </c>
      <c r="F363" s="3">
        <f>278+(484-248.6)+(-0.56712+(-0.98736--0.507144))+0-106.9--0.218075999999995</f>
        <v>405.67074000000002</v>
      </c>
      <c r="G363" s="3">
        <f>260.2+(475.6-237.9)+(-0.398106+(-0.727668--0.363987))+0-109.2--0.167076000000006</f>
        <v>388.10528899999997</v>
      </c>
      <c r="H363" s="3">
        <f>261.9+(462.9-236.7)+(-0.133569+(-0.236079--0.120717))+0-112.8--0.0575279999999886</f>
        <v>375.10859699999992</v>
      </c>
      <c r="I363" s="3">
        <f>260.8+(449.9-226.5)+(-0.399024+(-0.688347--0.346545))+0-112.9--0.172737000000007</f>
        <v>370.73191099999997</v>
      </c>
      <c r="J363" s="3">
        <f>264+(442-227.1)+(0.13464+(0.22542-0.115821))+0-118.8-0.060587999999988</f>
        <v>360.28365099999996</v>
      </c>
      <c r="K363" s="3">
        <f>261.6+(437.5-238.5)+(-0.400248+(-0.669375--0.364905))+0-100--0.153000000000006</f>
        <v>360.04828200000003</v>
      </c>
      <c r="L363" s="3">
        <f>261.6+(388.9-202.9)+(-0.266832+(-0.396678--0.206958))+0-95.4--0.0973080000000152</f>
        <v>351.84075600000006</v>
      </c>
      <c r="M363" s="3">
        <f>264+(326.3-119.3)+(0+(0-0))+0-101.7-0</f>
        <v>369.3</v>
      </c>
      <c r="N363" s="3">
        <f>262+(289.8-64.4)+(0.13362+(0.147798-0.032844))+0-115.3-0.0588029999999883</f>
        <v>372.28977099999997</v>
      </c>
      <c r="O363" s="3">
        <f>259.7+(265-55.3)+(-0.132447+(-0.13515--0.028203))+0-103.6--0.0528359999999895</f>
        <v>365.61344200000002</v>
      </c>
      <c r="P363" s="3">
        <f>259.4+(294.8-68.6)+(-0.529176+(-0.601392--0.139944))+0-116.1--0.236843999999995</f>
        <v>368.74621999999999</v>
      </c>
      <c r="Q363" s="3">
        <f>257.6+(293.8-26.6)+(-0.525504+(-0.599352--0.054264))+0-124.4--0.253775999999995</f>
        <v>399.58318399999996</v>
      </c>
      <c r="R363" s="3">
        <f>258.5+(305.5-30.5)+(-0.131835+(-0.155805--0.015555))+0-137.4--0.0700739999999861</f>
        <v>395.89798900000005</v>
      </c>
      <c r="S363" s="3">
        <f>258.2+(285.4-29.4)+(0.131682+(0.145554-0.014994))+0-126.9-0.0647189999999871</f>
        <v>387.497523</v>
      </c>
      <c r="T363" s="3">
        <f>256.1+(290-42.1)+(-0.653055+(-0.7395--0.107355))+0-123.9--0.315944999999982</f>
        <v>379.13074499999999</v>
      </c>
      <c r="U363" s="3">
        <f>255.5+(308.4-59.2)+(-0.651525+(-0.78642--0.15096))+0-123.9--0.315944999999982</f>
        <v>379.82896</v>
      </c>
      <c r="V363" s="3">
        <f>256.3+(305-68.4)+(-0.392139+(-0.46665--0.104652))+0-127.3--0.194769000000007</f>
        <v>365.04063199999996</v>
      </c>
      <c r="W363" s="3">
        <f>257+(297.6-61.9)+(-0.26214+(-0.303552--0.063138))+0-123.3--0.12576600000002</f>
        <v>369.02321200000006</v>
      </c>
      <c r="X363" s="3">
        <f>259.7+(308.4-5.9)+(0+(0-0))+0-135.2-0</f>
        <v>427.00000000000006</v>
      </c>
      <c r="Y363" s="3">
        <f>258.8+(337.4-29.3)+(-0.395964+(-0.516222--0.044829))+0-126.9--0.194157000000007</f>
        <v>439.32680000000005</v>
      </c>
      <c r="Z363" s="3">
        <f>261.2+(367.9-78.4)+(-0.266424+(-0.375258--0.079968))+0-126.8--0.12933600000002</f>
        <v>423.46762200000001</v>
      </c>
      <c r="AA363" s="3">
        <f>260.9+(358.1-92.8)+(-0.266118+(-0.365262--0.094656))+0-109.1--0.111282000000017</f>
        <v>416.67455799999999</v>
      </c>
      <c r="AB363" s="3">
        <f>258.4+(383.1-128.6)+(-0.527136+(-0.781524--0.262344))+0-108.9--0.222155999999995</f>
        <v>403.17583999999994</v>
      </c>
      <c r="AC363" s="3">
        <f>248.7+(403.2-154.4)+(-0.507348+(-0.822528--0.314976))+0-111.6--0.227663999999995</f>
        <v>385.11276399999997</v>
      </c>
      <c r="AD363">
        <f t="shared" si="5"/>
        <v>9258.4984879999993</v>
      </c>
      <c r="AE363" s="3">
        <f>264+(332.5-26.2)+(0+(0-0))+0-147.8-0</f>
        <v>422.49999999999994</v>
      </c>
    </row>
    <row r="364" spans="1:31" s="2" customFormat="1" x14ac:dyDescent="0.25">
      <c r="A364">
        <v>89</v>
      </c>
      <c r="B364">
        <v>12</v>
      </c>
      <c r="C364">
        <v>28</v>
      </c>
      <c r="D364">
        <v>1</v>
      </c>
      <c r="E364">
        <v>6</v>
      </c>
      <c r="F364" s="3">
        <f>170.2+(419.8-121.6)+(-0.347208+(-0.856392--0.248064))+0-111.2--0.226847999999995</f>
        <v>356.47131200000007</v>
      </c>
      <c r="G364" s="3">
        <f>159.9+(449.7-160.9)+(-0.407745+(-1.146735--0.410295))+0-103.7--0.264434999999985</f>
        <v>344.12024999999994</v>
      </c>
      <c r="H364" s="3">
        <f>131.2+(416.8-107.8)+(0.066912+(0.212568-0.054978))+0-102.8-0.0524279999999896</f>
        <v>337.57207399999999</v>
      </c>
      <c r="I364" s="3">
        <f>127.3+(405.7-104.7)+(-0.324615+(-1.034535--0.266985))+0-100--0.254999999999986</f>
        <v>327.46283499999998</v>
      </c>
      <c r="J364" s="3">
        <f>131.3+(418.4-109.5)+(0.133926+(0.426768-0.11169))+0-111.1-0.113322000000018</f>
        <v>329.43568199999993</v>
      </c>
      <c r="K364" s="3">
        <f>163.1+(401.8-134.2)+(0+(0-0))+0-105.1-0</f>
        <v>325.60000000000002</v>
      </c>
      <c r="L364" s="3">
        <f>162.1+(389-133.6)+(-0.248013+(-0.59517--0.204408))+0-93.2--0.142596000000005</f>
        <v>323.80382100000003</v>
      </c>
      <c r="M364" s="3">
        <f>164.6+(381.3-106.2)+(-0.083946+(-0.194463--0.054162))+0-92.1--0.0469709999999907</f>
        <v>347.42272400000002</v>
      </c>
      <c r="N364" s="3">
        <f>163.4+(397.9-107.3)+(-0.083334+(-0.202929--0.054723))+0-81.3--0.0414629999999918</f>
        <v>372.50992299999996</v>
      </c>
      <c r="O364" s="3">
        <f>161.5+(415.7-82)+(-0.247095+(-0.636021--0.12546))+0-99.9--0.152847000000006</f>
        <v>394.69519099999997</v>
      </c>
      <c r="P364" s="3">
        <f>160+(386-53.6)+(-0.0816+(-0.19686--0.027336))+0-101.1--0.0515609999999897</f>
        <v>391.10043699999994</v>
      </c>
      <c r="Q364" s="3">
        <f>160.7+(356-16.4)+(-0.327828+(-0.72624--0.033456))+0-104.6--0.213383999999995</f>
        <v>394.89277200000004</v>
      </c>
      <c r="R364" s="3">
        <f>159.1+(333.6-0)+(-0.162282+(-0.340272-0))+0-109.8--0.111996000000017</f>
        <v>382.50944200000009</v>
      </c>
      <c r="S364" s="3">
        <f>158.3+(315.2-0)+(0+(0-0))+0-97.3-0</f>
        <v>376.2</v>
      </c>
      <c r="T364" s="3">
        <f>156.3+(309-0)+(0.079713+(0.15759-0))+0-103.2-0.0526319999999895</f>
        <v>362.284671</v>
      </c>
      <c r="U364" s="3">
        <f>154.1+(300.8-0)+(-0.078591+(-0.153408-0))+0-93.9--0.0478889999999905</f>
        <v>360.81589000000002</v>
      </c>
      <c r="V364" s="3">
        <f>160+(305.8-0)+(-0.408+(-0.77979-0))+0-104.2--0.265709999999985</f>
        <v>360.67792000000003</v>
      </c>
      <c r="W364" s="3">
        <f>216.9+(300.2-54.7)+(-0.442476+(-0.612408--0.111588))+0-104.1--0.212363999999995</f>
        <v>357.56906800000002</v>
      </c>
      <c r="X364" s="3">
        <f>312.2+(187.2-13)+(-0.159222+(-0.095472--0.00663))+0-77--0.0392699999999922</f>
        <v>409.19120599999997</v>
      </c>
      <c r="Y364" s="3">
        <f>326.9+(195-19.3)+(-0.333438+(-0.1989--0.019686))+0-94.9--0.0967980000000151</f>
        <v>407.28414599999996</v>
      </c>
      <c r="Z364" s="3">
        <f>327+(194.6-13.8)+(-0.16677+(-0.099246--0.007038))+0-103.5--0.0527849999999895</f>
        <v>404.09380699999991</v>
      </c>
      <c r="AA364" s="3">
        <f>316.9+(182.9-18.9)+(-0.484857+(-0.279837--0.028917))+0-82.5--0.126225000000005</f>
        <v>397.79044799999997</v>
      </c>
      <c r="AB364" s="3">
        <f>199.4+(289.7-0)+(-0.305082+(-0.443241-0))+0-104.3--0.159579000000006</f>
        <v>384.21125599999999</v>
      </c>
      <c r="AC364" s="3">
        <f>153.5+(318.1-0)+(-0.234855+(-0.486693-0))+0-107--0.163710000000006</f>
        <v>364.04216200000002</v>
      </c>
      <c r="AD364">
        <f t="shared" si="5"/>
        <v>8811.7570369999994</v>
      </c>
      <c r="AE364" s="3">
        <f>328+(206.5-18.1)+(0+(0-0))+0-100.8-0</f>
        <v>415.59999999999997</v>
      </c>
    </row>
    <row r="365" spans="1:31" s="2" customFormat="1" x14ac:dyDescent="0.25">
      <c r="A365">
        <v>89</v>
      </c>
      <c r="B365">
        <v>12</v>
      </c>
      <c r="C365">
        <v>29</v>
      </c>
      <c r="D365">
        <v>2</v>
      </c>
      <c r="E365">
        <v>2</v>
      </c>
      <c r="F365" s="3">
        <f>153.5+(283.5-0)+(-0.234855+(-0.433755-0))+0-102.6--0.156978000000006</f>
        <v>333.88836800000001</v>
      </c>
      <c r="G365" s="3">
        <f>153.5+(293.7-21.3)+(-0.234855+(-0.449361--0.032589))+0-103.1--0.157743000000006</f>
        <v>322.30611599999997</v>
      </c>
      <c r="H365" s="3">
        <f>153.5+(322.4-59.9)+(-0.31314+(-0.657696--0.122196))+0-100.9--0.205835999999996</f>
        <v>314.45719599999995</v>
      </c>
      <c r="I365" s="3">
        <f>153.4+(321-76.5)+(0.078234+(0.16371-0.039015))+0-95.5-0.0487049999999903</f>
        <v>302.55422399999998</v>
      </c>
      <c r="J365" s="3">
        <f>153.5+(332.9-83.5)+(0.234855+(0.509337-0.127755))+0-100.9-0.154377000000006</f>
        <v>302.46206000000001</v>
      </c>
      <c r="K365" s="3">
        <f>153.1+(321.7-80.6)+(-0.156162+(-0.328134--0.082212))+0-121.4--0.123828000000019</f>
        <v>272.52174400000001</v>
      </c>
      <c r="L365" s="3">
        <f>153.4+(298.8-92.5)+(-0.234702+(-0.457164--0.141525))+0-101.2--0.154836000000006</f>
        <v>258.10449500000004</v>
      </c>
      <c r="M365" s="3">
        <f>154.5+(260.4-37.3)+(0.31518+(0.531216-0.076092))+0-116.3-0.237251999999995</f>
        <v>261.83305199999995</v>
      </c>
      <c r="N365" s="3">
        <f>154.9+(246.8-8.4)+(0+(0-0))+0-111.3-0</f>
        <v>282</v>
      </c>
      <c r="O365" s="3">
        <f>155.1+(272.9-21.1)+(-0.158202+(-0.278358--0.021522))+0-111.6--0.113832000000018</f>
        <v>294.99879399999998</v>
      </c>
      <c r="P365" s="3">
        <f>155.3+(310.3-67.2)+(-0.316812+(-0.633012--0.137088))+0-91--0.185639999999996</f>
        <v>306.77290400000004</v>
      </c>
      <c r="Q365" s="3">
        <f>155.9+(265.3-26.1)+(-0.238527+(-0.405909--0.039933))+0-89.7--0.137241000000005</f>
        <v>304.93273800000003</v>
      </c>
      <c r="R365" s="3">
        <f>156+(243.3-0)+(-0.23868+(-0.372249-0))+0-101.7--0.155601000000006</f>
        <v>297.14467200000001</v>
      </c>
      <c r="S365" s="3">
        <f>155.3+(234.5-0)+(-0.396015+(-0.597975-0))+0-106.1--0.270554999999985</f>
        <v>282.97656499999999</v>
      </c>
      <c r="T365" s="3">
        <f>154.3+(221.3-8.8)+(-0.314772+(-0.451452--0.017952))+0-95.6--0.195023999999996</f>
        <v>270.64675199999999</v>
      </c>
      <c r="U365" s="3">
        <f>154.5+(209.4-12.4)+(-0.236385+(-0.320382--0.018972))+0-79--0.120870000000005</f>
        <v>272.08307500000001</v>
      </c>
      <c r="V365" s="3">
        <f>154.5+(233.5-9.1)+(0.078795+(0.119085-0.004641))+0-106.6-0.0543659999999892</f>
        <v>272.438873</v>
      </c>
      <c r="W365" s="3">
        <f>155.4+(232.1-0)+(0+(0-0))+0-111.8-0</f>
        <v>275.7</v>
      </c>
      <c r="X365" s="3">
        <f>157+(305.3-18.9)+(0.08007+(0.155703-0.009639))+0-117.6-0.0599759999999881</f>
        <v>325.96615800000006</v>
      </c>
      <c r="Y365" s="3">
        <f>159+(281.8-0)+(-0.40545+(-0.71859-0))+0-105.2--0.268259999999985</f>
        <v>334.74422000000004</v>
      </c>
      <c r="Z365" s="3">
        <f>159.7+(254.9-0)+(-0.244341+(-0.389997-0))+0-88.5--0.135405000000005</f>
        <v>325.601067</v>
      </c>
      <c r="AA365" s="3">
        <f>158.1+(242.4-0)+(-0.161262+(-0.247248-0))+0-88.3--0.0900660000000141</f>
        <v>311.88155600000005</v>
      </c>
      <c r="AB365" s="3">
        <f>157.7+(227.1-0)+(-0.080427+(-0.115821-0))+0-83.7--0.0426869999999915</f>
        <v>300.94643899999994</v>
      </c>
      <c r="AC365" s="3">
        <f>158.5+(214.6-8.6)+(-0.32334+(-0.437784--0.017544))+0-75.5--0.154019999999997</f>
        <v>288.41043999999999</v>
      </c>
      <c r="AD365">
        <f t="shared" si="5"/>
        <v>7115.3715079999993</v>
      </c>
      <c r="AE365" s="3">
        <f>158+(263.7-0)+(0+(0-0))+0-90-0</f>
        <v>331.7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89</v>
      </c>
      <c r="B1">
        <v>1</v>
      </c>
      <c r="C1">
        <v>1</v>
      </c>
      <c r="D1">
        <v>2</v>
      </c>
      <c r="E1">
        <v>2</v>
      </c>
      <c r="F1" s="3">
        <f>950.7+(442.2-362.7)+(0+(0-0))+0-140.4-0</f>
        <v>889.80000000000007</v>
      </c>
      <c r="G1" s="3">
        <f>955.1+(384-353.5)+(0+(0-0))+0-139.9-0</f>
        <v>845.7</v>
      </c>
      <c r="H1" s="3">
        <f>970.2+(346.1-373.1)+(0+(0-0))+0-136.1-0</f>
        <v>807.1</v>
      </c>
      <c r="I1" s="3">
        <f>970.2+(325.3-371.2)+(-0.494802+(-0.165903--0.189312))+0-138.7--0.0707369999999859</f>
        <v>785.19934400000011</v>
      </c>
      <c r="J1" s="3">
        <f>960.2+(337.8-378.7)+(-2.44851+(-0.86139--0.965685))+0-140.3--0.35776499999998</f>
        <v>777.01355000000012</v>
      </c>
      <c r="K1" s="3">
        <f>973+(341.5-408.7)+(-0.49623+(-0.174165--0.208437))+0-138.1--0.070430999999986</f>
        <v>767.30847299999994</v>
      </c>
      <c r="L1" s="3">
        <f>963.2+(329.1-386.7)+(-2.45616+(-0.839205--0.986085))+0-136.8--0.34883999999998</f>
        <v>766.83956000000023</v>
      </c>
      <c r="M1" s="3">
        <f>955.9+(311.1-335.7)+(1.462527+(0.475983-0.513621))+0-142-0.217260000000008</f>
        <v>790.50762899999995</v>
      </c>
      <c r="N1" s="3">
        <f>963.1+(288.5-285.3)+(0+(0-0))+0-141.5-0</f>
        <v>824.8</v>
      </c>
      <c r="O1" s="3">
        <f>963.7+(283.6-259.7)+(-1.965948+(-0.578544--0.529788))+0-137.1--0.279683999999994</f>
        <v>848.76498000000004</v>
      </c>
      <c r="P1" s="3">
        <f>965+(311.7-263.5)+(-2.46075+(-0.794835--0.671925))+0-135.5--0.34552499999998</f>
        <v>875.46186499999999</v>
      </c>
      <c r="Q1" s="3">
        <f>959.8+(355.5-279.7)+(-0.978996+(-0.36261--0.285294))+0-136.5--0.139230000000022</f>
        <v>898.18291799999997</v>
      </c>
      <c r="R1" s="3">
        <f>923.9+(421.9-294.2)+(-0.942378+(-0.430338--0.300084))+0-135.2--0.137904000000022</f>
        <v>915.4652719999998</v>
      </c>
      <c r="S1" s="3">
        <f>914.1+(444.5-328.4)+(0+(0-0))+0-135-0</f>
        <v>895.2</v>
      </c>
      <c r="T1" s="3">
        <f>908.4+(442.5-328.8)+(-1.389852+(-0.677025--0.503064))+0-136.6--0.208998000000008</f>
        <v>884.14518499999986</v>
      </c>
      <c r="U1" s="3">
        <f>884.6+(427.1-298.3)+(-1.353438+(-0.653463--0.456399))+0-132.1--0.202113000000008</f>
        <v>879.95161100000007</v>
      </c>
      <c r="V1" s="3">
        <f>870.6+(400.9-239.6)+(-1.332018+(-0.613377--0.366588))+0-135.9--0.207927000000008</f>
        <v>894.62912000000006</v>
      </c>
      <c r="W1" s="3">
        <f>870.4+(375-179.9)+(-0.887808+(-0.3825--0.183498))+0-139.1--0.141882000000022</f>
        <v>925.45507199999997</v>
      </c>
      <c r="X1" s="3">
        <f>906.1+(428.2-223)+(-0.462111+(-0.218382--0.11373))+0-139.2--0.0709919999999859</f>
        <v>971.6042289999998</v>
      </c>
      <c r="Y1" s="3">
        <f>963.9+(443-238.9)+(0+(0-0))+0-136.2-0</f>
        <v>1031.8</v>
      </c>
      <c r="Z1" s="3">
        <f>967.6+(466.4-255.1)+(-0.493476+(-0.237864--0.130101))+0-138.9--0.0708389999999859</f>
        <v>1039.4695999999999</v>
      </c>
      <c r="AA1" s="3">
        <f>973.8+(463.2-241.8)+(-2.48319+(-1.18116--0.61659))+0-139.7--0.35623499999998</f>
        <v>1052.8084749999998</v>
      </c>
      <c r="AB1" s="3">
        <f>972.6+(459.7-266.7)+(-0.992052+(-0.468894--0.272034))+0-138.6--0.141372000000022</f>
        <v>1025.95246</v>
      </c>
      <c r="AC1" s="3">
        <f>863.8+(495.2-294.5)+(-3.083766+(-1.767864--1.051365))+0-139.7--0.498729000000002</f>
        <v>921.4984639999999</v>
      </c>
      <c r="AD1">
        <f t="shared" ref="AD1:AD64" si="0">SUM(F1:AC1)</f>
        <v>21314.657807</v>
      </c>
      <c r="AE1" s="3">
        <f>972+(439-241)+(0+(0-0))+0-135-0</f>
        <v>1035</v>
      </c>
    </row>
    <row r="2" spans="1:31" s="2" customFormat="1" x14ac:dyDescent="0.25">
      <c r="A2">
        <v>89</v>
      </c>
      <c r="B2">
        <v>1</v>
      </c>
      <c r="C2">
        <v>2</v>
      </c>
      <c r="D2">
        <v>3</v>
      </c>
      <c r="E2">
        <v>2</v>
      </c>
      <c r="F2" s="3">
        <f>(G2+AC1)/2</f>
        <v>853.24580700000001</v>
      </c>
      <c r="G2" s="3">
        <f>780+(431-295)+(-1.989+(-1.09905--0.75225))+0-129--0.328949999999981</f>
        <v>784.99315000000001</v>
      </c>
      <c r="H2" s="3">
        <f>781.3+(420-276)+(-2.390778+(-1.2852--0.84456))+0-126--0.385560000000015</f>
        <v>796.85414200000002</v>
      </c>
      <c r="I2" s="3">
        <f>780.3+(388.9-256.8)+(-0.795906+(-0.396678--0.261936))+0-120.1--0.122502000000019</f>
        <v>791.49185399999988</v>
      </c>
      <c r="J2" s="3">
        <f>779.3+(428.6-310.9)+(0+(0-0))+0-119.6-0</f>
        <v>777.4</v>
      </c>
      <c r="K2" s="3">
        <f>794.4+(406.2-305)+(0.810288+(0.414324-0.3111))+0-120.7-0.123114000000019</f>
        <v>775.69039799999985</v>
      </c>
      <c r="L2" s="3">
        <f>806.2+(387-289.7)+(0.411162+(0.19737-0.147747))+0-128-0.065279999999987</f>
        <v>775.89550499999996</v>
      </c>
      <c r="M2" s="3">
        <f>810.2+(373.9-277.2)+(-2.06601+(-0.953445--0.70686))+0-132.5--0.337874999999981</f>
        <v>772.42528000000004</v>
      </c>
      <c r="N2" s="3">
        <f>807.2+(418.6-293.6)+(-0.823344+(-0.426972--0.299472))+0-130.2--0.132804000000021</f>
        <v>801.18196</v>
      </c>
      <c r="O2" s="3">
        <f>801.9+(489.2-276.8)+(-0.817938+(-0.498984--0.282336))+0-131--0.133620000000021</f>
        <v>882.39903400000003</v>
      </c>
      <c r="P2" s="3">
        <f>795.7+(474.2-230)+(-0.811614+(-0.483684--0.2346))+0-129.8--0.132396000000021</f>
        <v>909.17169800000011</v>
      </c>
      <c r="Q2" s="3">
        <f>788.1+(481.9-212.6)+(-1.205793+(-0.737307--0.325278))+0-126.5--0.193545000000007</f>
        <v>929.47572300000013</v>
      </c>
      <c r="R2" s="3">
        <f>779.4+(523.5-281.9)+(0+(0-0))+0-125-0</f>
        <v>896</v>
      </c>
      <c r="S2" s="3">
        <f>775.2+(593.5-327.5)+(-1.97676+(-1.513425--0.835125))+0-129.3--0.329714999999981</f>
        <v>909.57465500000001</v>
      </c>
      <c r="T2" s="3">
        <f>771.7+(656.6-375.9)+(-0.393567+(-0.334866--0.191709))+0-139.2--0.0709919999999859</f>
        <v>912.73426799999993</v>
      </c>
      <c r="U2" s="3">
        <f>767+(643.4-365.3)+(-0.39117+(-0.328134--0.186303))+0-141.1--0.0719609999999857</f>
        <v>903.53895999999986</v>
      </c>
      <c r="V2" s="3">
        <f>770.6+(577.9-318.1)+(-1.179018+(-0.884187--0.486693))+0-144.8--0.221544000000008</f>
        <v>884.24503200000004</v>
      </c>
      <c r="W2" s="3">
        <f>776.4+(512.3-277.4)+(-0.791928+(-0.522546--0.282948))+0-142.7--0.145554000000023</f>
        <v>867.71402799999998</v>
      </c>
      <c r="X2" s="3">
        <f>787.2+(466.8-225.5)+(0+(0-0))+0-147.2-0</f>
        <v>881.3</v>
      </c>
      <c r="Y2" s="3">
        <f>790.7+(625.9-291.5)+(-0.403257+(-0.319209--0.148665))+0-146.7--0.0748169999999851</f>
        <v>977.9010159999998</v>
      </c>
      <c r="Z2" s="3">
        <f>797.9+(630.3-286.2)+(-1.627716+(-1.285812--0.583848))+0-150.3--0.306611999999993</f>
        <v>989.67693199999997</v>
      </c>
      <c r="AA2" s="3">
        <f>801.5+(633.2-298.9)+(-0.81753+(-0.645864--0.304878))+0-151.6--0.154632000000024</f>
        <v>983.19611600000019</v>
      </c>
      <c r="AB2" s="3">
        <f>803.6+(674.9-365.2)+(-1.229508+(-1.032597--0.558756))+0-147.6--0.225828000000009</f>
        <v>964.22247900000002</v>
      </c>
      <c r="AC2" s="3">
        <f>797.9+(653.2-375.4)+(-1.220787+(-0.999396--0.574362))+0-141.6--0.216648000000008</f>
        <v>932.67082699999992</v>
      </c>
      <c r="AD2">
        <f t="shared" si="0"/>
        <v>20952.998864000001</v>
      </c>
      <c r="AE2" s="3">
        <f>794+(629-285)+(0+(0-0))+0-151-0</f>
        <v>987</v>
      </c>
    </row>
    <row r="3" spans="1:31" s="2" customFormat="1" x14ac:dyDescent="0.25">
      <c r="A3">
        <v>89</v>
      </c>
      <c r="B3">
        <v>1</v>
      </c>
      <c r="C3">
        <v>3</v>
      </c>
      <c r="D3">
        <v>4</v>
      </c>
      <c r="E3">
        <v>2</v>
      </c>
      <c r="F3" s="3">
        <f>799.3+(549.3-358.2)+(-1.630572+(-1.120572--0.730728))+0-142--0.289679999999994</f>
        <v>846.66926399999988</v>
      </c>
      <c r="G3" s="3">
        <f>800.6+(515-362.8)+(-1.224918+(-0.78795--0.555084))+0-138.6--0.212058000000008</f>
        <v>812.95427399999994</v>
      </c>
      <c r="H3" s="3">
        <f>806.1+(515-401.2)+(-2.466666+(-1.5759--1.227672))+0-135.5--0.414630000000016</f>
        <v>781.9997360000001</v>
      </c>
      <c r="I3" s="3">
        <f>806.4+(466.8-370.7)+(-0.822528+(-0.476136--0.378114))+0-132.1--0.134742000000021</f>
        <v>769.614192</v>
      </c>
      <c r="J3" s="3">
        <f>811.6+(435.7-305.9)+(-1.241748+(-0.666621--0.468027))+0-132--0.201960000000008</f>
        <v>808.16161800000009</v>
      </c>
      <c r="K3" s="3">
        <f>813.5+(419.2-304.5)+(-0.414885+(-0.213792--0.155295))+0-134.8--0.0687479999999863</f>
        <v>792.99536599999999</v>
      </c>
      <c r="L3" s="3">
        <f>815.7+(409.3-297.4)+(-1.664028+(-0.834972--0.606696))+0-136--0.277439999999994</f>
        <v>789.98513600000013</v>
      </c>
      <c r="M3" s="3">
        <f>805+(421.5-292.4)+(-1.23165+(-0.644895--0.447372))+0-139--0.212670000000008</f>
        <v>793.88349700000003</v>
      </c>
      <c r="N3" s="3">
        <f>639.9+(555.3-273.6)+(0.326349+(0.283203-0.139536))+0-138.2-0.070481999999986</f>
        <v>783.79953399999988</v>
      </c>
      <c r="O3" s="3">
        <f>612.4+(606.5-283.4)+(0+(0-0))+0-141-0</f>
        <v>794.5</v>
      </c>
      <c r="P3" s="3">
        <f>611.7+(620.9-276.5)+(0.311967+(0.316659-0.141015))+0-137.9-0.070328999999986</f>
        <v>818.61728200000005</v>
      </c>
      <c r="Q3" s="3">
        <f>604.5+(604.2-249.1)+(-0.308295+(-0.308142--0.127041))+0-139--0.0708899999999859</f>
        <v>820.18149399999993</v>
      </c>
      <c r="R3" s="3">
        <f>509.6+(790.9-261.3)+(-0.519792+(-0.806718--0.266526))+0-136.3--0.139026000000022</f>
        <v>901.97904199999994</v>
      </c>
      <c r="S3" s="3">
        <f>84+(1185.4-252.3)+(-0.04284+(-0.604554--0.128673))+94.7-136.8--0.0697679999999861</f>
        <v>974.55104700000004</v>
      </c>
      <c r="T3" s="3">
        <f>281+(846.4-179.8)+(0+(0-0))+47.3-127.6-0</f>
        <v>867.29999999999984</v>
      </c>
      <c r="U3" s="3">
        <f>330+(852.8-157.6)+(-0.5049+(-1.304784--0.241128))+0-135.1--0.206703000000008</f>
        <v>888.73814699999991</v>
      </c>
      <c r="V3" s="3">
        <f>366+(804-145.8)+(-0.37332+(-0.82008--0.148716))+0-138.9--0.141678000000022</f>
        <v>884.39699400000018</v>
      </c>
      <c r="W3" s="3">
        <f>389+(727.1-115.7)+(-0.39678+(-0.741642--0.118014))+0-136.6--0.139332000000022</f>
        <v>862.91892399999995</v>
      </c>
      <c r="X3" s="3">
        <f>448.6+(672.8-120)+(0+(0-0))+0-136.6-0</f>
        <v>864.8</v>
      </c>
      <c r="Y3" s="3">
        <f>621.4+(667.3-192.3)+(0+(0-0))+0-135.2-0</f>
        <v>961.19999999999982</v>
      </c>
      <c r="Z3" s="3">
        <f>645.2+(675.4-213.1)+(-1.316208+(-1.377816--0.434724))+0-131.7--0.268667999999994</f>
        <v>973.80936800000006</v>
      </c>
      <c r="AA3" s="3">
        <f>636.7+(696.2-239.4)+(0+(0-0))+0-136.3-0</f>
        <v>957.2</v>
      </c>
      <c r="AB3" s="3">
        <f>673.9+(704.7-312.7)+(-0.343689+(-0.359397--0.159477))+0-119.5--0.0609449999999879</f>
        <v>945.91733599999998</v>
      </c>
      <c r="AC3" s="3">
        <f>679.7+(681.4-312.5)+(-0.693294+(-0.695028--0.31875))+0-132.7--0.135354000000021</f>
        <v>914.96578199999976</v>
      </c>
      <c r="AD3">
        <f t="shared" si="0"/>
        <v>20611.138032999996</v>
      </c>
      <c r="AE3" s="3">
        <f>650+(679-214)+(0+(0-0))+0-132-0</f>
        <v>983</v>
      </c>
    </row>
    <row r="4" spans="1:31" s="2" customFormat="1" x14ac:dyDescent="0.25">
      <c r="A4">
        <v>89</v>
      </c>
      <c r="B4">
        <v>1</v>
      </c>
      <c r="C4">
        <v>4</v>
      </c>
      <c r="D4">
        <v>5</v>
      </c>
      <c r="E4">
        <v>2</v>
      </c>
      <c r="F4" s="3">
        <f>577.6+(704.7-268.1)+(-0.589152+(-0.718794--0.273462))+0-130.5--0.133110000000021</f>
        <v>882.79862600000001</v>
      </c>
      <c r="G4" s="3">
        <f>583.5+(623.1-236.4)+(-1.19034+(-1.271124--0.482256))+0-128.9--0.262955999999994</f>
        <v>839.58374800000013</v>
      </c>
      <c r="H4" s="3">
        <f>624.4+(538.4-218.4)+(-0.955332+(-0.823752--0.334152))+0-132.5--0.202725000000008</f>
        <v>810.65779299999997</v>
      </c>
      <c r="I4" s="3">
        <f>631.5+(461.4-186.6)+(0.64413+(0.470628-0.190332))+0-133.3-0.135966000000021</f>
        <v>773.78845999999999</v>
      </c>
      <c r="J4" s="3">
        <f>626.3+(560-282.3)+(-0.319413+(-0.2856--0.143973))+0-133.4--0.0680339999999865</f>
        <v>770.20699400000001</v>
      </c>
      <c r="K4" s="3">
        <f>630.6+(553.5-279.5)+(0.321606+(0.282285-0.142545))+0-135.4-0.0690539999999863</f>
        <v>769.59229200000016</v>
      </c>
      <c r="L4" s="3">
        <f>624.6+(530.4-257.3)+(-0.318546+(-0.270504--0.131223))+0-134.7--0.0686969999999863</f>
        <v>762.61087000000009</v>
      </c>
      <c r="M4" s="3">
        <f>632.8+(528.1-255.6)+(-0.645456+(-0.538662--0.260712))+0-134.8--0.137496000000022</f>
        <v>769.71408999999994</v>
      </c>
      <c r="N4" s="3">
        <f>637.3+(559.2-256.3)+(0+(0-0))+0-137.2-0</f>
        <v>803</v>
      </c>
      <c r="O4" s="3">
        <f>646.9+(530.7-203.3)+(0.329919+(0.270657-0.103683))+0-138.1-0.070430999999986</f>
        <v>836.62646199999995</v>
      </c>
      <c r="P4" s="3">
        <f>656.1+(557.7-213.2)+(-1.338444+(-1.137708--0.434928))+0-144.6--0.294983999999994</f>
        <v>854.25376000000006</v>
      </c>
      <c r="Q4" s="3">
        <f>693.2+(548.7-220.3)+(-0.707064+(-0.559674--0.224706))+0-148--0.150960000000024</f>
        <v>872.70892800000024</v>
      </c>
      <c r="R4" s="3">
        <f>727.6+(579.3-265.6)+(0+(0-0))+0-145.4-0</f>
        <v>895.9</v>
      </c>
      <c r="S4" s="3">
        <f>748.8+(634.4-331.5)+(0.381888+(0.323544-0.169065))+0-144.3-0.0735929999999854</f>
        <v>907.86277399999983</v>
      </c>
      <c r="T4" s="3">
        <f>742.8+(661.1-347.3)+(-0.757656+(-0.674322--0.354246))+0-148.8--0.151776000000024</f>
        <v>906.87404400000003</v>
      </c>
      <c r="U4" s="3">
        <f>739.7+(652.3-340.8)+(-1.131741+(-0.998019--0.521424))+0-148--0.226440000000009</f>
        <v>901.81810400000006</v>
      </c>
      <c r="V4" s="3">
        <f>744+(609.3-307.6)+(0+(0-0))+0-151.5-0</f>
        <v>894.19999999999982</v>
      </c>
      <c r="W4" s="3">
        <f>741.7+(539.1-241)+(-0.378267+(-0.274941--0.12291))+0-154.1--0.0785909999999844</f>
        <v>885.24829300000022</v>
      </c>
      <c r="X4" s="3">
        <f>745.4+(508.2-218)+(-0.380154+(-0.259182--0.11118))+0-155.4--0.0792539999999842</f>
        <v>879.75109799999984</v>
      </c>
      <c r="Y4" s="3">
        <f>754.3+(682.6-284)+(-0.384693+(-0.348126--0.14484))+0-154.7--0.0788969999999843</f>
        <v>997.69091800000012</v>
      </c>
      <c r="Z4" s="3">
        <f>776.6+(718.7-330.2)+(-1.584264+(-1.466148--0.673608))+0-162.4--0.331295999999993</f>
        <v>1000.6544920000001</v>
      </c>
      <c r="AA4" s="3">
        <f>779.7+(705.9-337.6)+(-0.795294+(-0.720018--0.344352))+0-166--0.169320000000026</f>
        <v>980.99836000000005</v>
      </c>
      <c r="AB4" s="3">
        <f>772+(689.8-339.1)+(0+(0-0))+0-162.1-0</f>
        <v>960.5999999999998</v>
      </c>
      <c r="AC4" s="3">
        <f>703.7+(714.7-326.8)+(-0.717774+(-0.728994--0.333336))+0-162.8--0.166056000000026</f>
        <v>927.85262400000011</v>
      </c>
      <c r="AD4">
        <f t="shared" si="0"/>
        <v>20884.992730000002</v>
      </c>
      <c r="AE4" s="3">
        <f>782+(716-326)+(0+(0-0))+0-165-0</f>
        <v>1007</v>
      </c>
    </row>
    <row r="5" spans="1:31" s="2" customFormat="1" x14ac:dyDescent="0.25">
      <c r="A5">
        <v>89</v>
      </c>
      <c r="B5">
        <v>1</v>
      </c>
      <c r="C5">
        <v>5</v>
      </c>
      <c r="D5">
        <v>6</v>
      </c>
      <c r="E5">
        <v>6</v>
      </c>
      <c r="F5" s="3">
        <f>773.8+(570.9-299)+(-1.97319+(-1.455795--0.76245))+0-165.3--0.421514999999976</f>
        <v>878.1549799999998</v>
      </c>
      <c r="G5" s="3">
        <f>782.2+(475.9-258.9)+(-1.196766+(-0.728127--0.396117))+0-163.7--0.250461000000009</f>
        <v>834.22168500000009</v>
      </c>
      <c r="H5" s="3">
        <f>788.3+(406.3-231.9)+(-0.804066+(-0.414426--0.236538))+0-142.3--0.145146000000023</f>
        <v>819.56319200000007</v>
      </c>
      <c r="I5" s="3">
        <f>789.3+(371.3-213.7)+(-0.402543+(-0.189363--0.108987))+0-143.7--0.0732869999999854</f>
        <v>802.79036799999994</v>
      </c>
      <c r="J5" s="3">
        <f>798.1+(349-201.5)+(-0.407031+(-0.17799--0.102765))+0-174.3--0.0888929999999823</f>
        <v>770.90663699999993</v>
      </c>
      <c r="K5" s="3">
        <f>801.1+(337.9-196.4)+(-0.408561+(-0.172329--0.100164))+0-175.6--0.0895559999999822</f>
        <v>766.60883000000001</v>
      </c>
      <c r="L5" s="3">
        <f>801.1+(321.1-187)+(-1.634244+(-0.655044--0.38148))+0-172.6--0.352103999999992</f>
        <v>761.04429599999992</v>
      </c>
      <c r="M5" s="3">
        <f>801.8+(333.3-187.6)+(0.408918+(0.169983-0.095676))+0-175.2-0.0893519999999822</f>
        <v>772.69387299999994</v>
      </c>
      <c r="N5" s="3">
        <f>793.5+(378.5-181.8)+(0.404685+(0.193035-0.092718))+0-175.2-0.0893519999999822</f>
        <v>815.41565000000014</v>
      </c>
      <c r="O5" s="3">
        <f>788.2+(469.3-219.8)+(0.401982+(0.239343-0.112098))+0-172.1-0.0877709999999825</f>
        <v>866.04145600000004</v>
      </c>
      <c r="P5" s="3">
        <f>777.4+(509.2-225)+(0+(0-0))+0-173.9-0</f>
        <v>887.69999999999993</v>
      </c>
      <c r="Q5" s="3">
        <f>769.8+(552.7-240.4)+(0.785196+(0.563754-0.245208))+0-173.7-0.177174000000028</f>
        <v>909.32656799999984</v>
      </c>
      <c r="R5" s="3">
        <f>764.2+(606.6-277.2)+(-0.389742+(-0.309366--0.141372))+0-169.8--0.0865979999999828</f>
        <v>923.32886200000019</v>
      </c>
      <c r="S5" s="3">
        <f>760+(670.1-337.4)+(-0.7752+(-0.683502--0.344148))+0-170.4--0.173808000000027</f>
        <v>921.35925400000008</v>
      </c>
      <c r="T5" s="3">
        <f>717.1+(761-379.1)+(0.365721+(0.38811-0.193341))+0-172.3-0.0878729999999825</f>
        <v>927.17261700000017</v>
      </c>
      <c r="U5" s="3">
        <f>708.1+(708.9-329.2)+(-0.722262+(-0.723078--0.335784))+0-172.8--0.176256000000028</f>
        <v>914.06669999999997</v>
      </c>
      <c r="V5" s="3">
        <f>716+(636.5-275.2)+(0+(0-0))+0-176.9-0</f>
        <v>900.4</v>
      </c>
      <c r="W5" s="3">
        <f>721.8+(544-214.5)+(-1.104354+(-0.83232--0.328185))+0-170.7--0.26117100000001</f>
        <v>879.25268199999994</v>
      </c>
      <c r="X5" s="3">
        <f>745.8+(483.6-190.3)+(-1.521432+(-0.986544--0.388212))+0-174.9--0.356795999999992</f>
        <v>862.43703199999993</v>
      </c>
      <c r="Y5" s="3">
        <f>767.2+(642.1-268.7)+(-0.782544+(-0.654942--0.274074))+0-173--0.176460000000028</f>
        <v>966.61304800000005</v>
      </c>
      <c r="Z5" s="3">
        <f>773.3+(688.4-296.3)+(-1.183149+(-1.053252--0.453339))+0-176.2--0.26958600000001</f>
        <v>987.68652399999985</v>
      </c>
      <c r="AA5" s="3">
        <f>775.9+(682.9-308.5)+(0+(0-0))+0-174.5-0</f>
        <v>975.8</v>
      </c>
      <c r="AB5" s="3">
        <f>779.5+(687.3-330.8)+(-0.397545+(-0.350523--0.168708))+0-175.6--0.0895559999999822</f>
        <v>959.91019600000004</v>
      </c>
      <c r="AC5" s="3">
        <f>779.3+(666-338.1)+(-0.794886+(-0.67932--0.344862))+0-177--0.180540000000028</f>
        <v>929.25119599999994</v>
      </c>
      <c r="AD5">
        <f t="shared" si="0"/>
        <v>21031.745646000003</v>
      </c>
      <c r="AE5" s="3">
        <f>773+(684-287)+(0+(0-0))+0-111-0</f>
        <v>1059</v>
      </c>
    </row>
    <row r="6" spans="1:31" s="2" customFormat="1" x14ac:dyDescent="0.25">
      <c r="A6">
        <v>89</v>
      </c>
      <c r="B6">
        <v>1</v>
      </c>
      <c r="C6">
        <v>6</v>
      </c>
      <c r="D6">
        <v>7</v>
      </c>
      <c r="E6">
        <v>1</v>
      </c>
      <c r="F6" s="3">
        <f>778.5+(585.3-303.6)+(-0.397035+(-0.298503--0.154836))+0-169.4--0.0863939999999828</f>
        <v>890.34569199999976</v>
      </c>
      <c r="G6" s="3">
        <f>785.4+(488-265.6)+(-0.801108+(-0.49776--0.270912))+0-163.4--0.166668000000026</f>
        <v>843.53871200000003</v>
      </c>
      <c r="H6" s="3">
        <f>785.7+(412.6-216.2)+(-1.202121+(-0.631278--0.330786))+0-165.1--0.25260300000001</f>
        <v>815.74999000000014</v>
      </c>
      <c r="I6" s="3">
        <f>791.1+(376.6-205.1)+(0+(0-0))+0-167.3-0</f>
        <v>795.3</v>
      </c>
      <c r="J6" s="3">
        <f>793.6+(355.8-198.8)+(-1.214208+(-0.544374--0.304164))+0-169.1--0.25872300000001</f>
        <v>780.304305</v>
      </c>
      <c r="K6" s="3">
        <f>789.3+(350.6-196.3)+(0+(0-0))+0-170.7-0</f>
        <v>772.89999999999986</v>
      </c>
      <c r="L6" s="3">
        <f>703.7+(395.5-166.8)+(1.076661+(0.605115-0.255204))+0-168.7-0.25811100000001</f>
        <v>764.86846100000014</v>
      </c>
      <c r="M6" s="3">
        <f>599.5+(489.7-144.1)+(-1.83447+(-1.498482--0.440946))+0-174.3--0.53335800000002</f>
        <v>768.44135199999994</v>
      </c>
      <c r="N6" s="3">
        <f>575+(558.1-157)+(0.5865+(0.569262-0.16014))+0-169.7-0.173094000000027</f>
        <v>807.22252800000001</v>
      </c>
      <c r="O6" s="3">
        <f>581.1+(603.7-178.6)+(0+(0-0))+0-170.9-0</f>
        <v>835.30000000000007</v>
      </c>
      <c r="P6" s="3">
        <f>588.5+(636.2-196.1)+(0+(0-0))+0-166.9-0</f>
        <v>861.69999999999993</v>
      </c>
      <c r="Q6" s="3">
        <f>583.8+(687.9-214.2)+(0.595476+(0.701658-0.218484))+0-169.3-0.172686000000027</f>
        <v>889.10596399999997</v>
      </c>
      <c r="R6" s="3">
        <f>577.4+(753.7-253.3)+(0+(0-0))+0-166.6-0</f>
        <v>911.19999999999993</v>
      </c>
      <c r="S6" s="3">
        <f>571.7+(812.9-297.7)+(-0.874701+(-1.243737--0.455481))+0-168.3--0.25749900000001</f>
        <v>917.19454200000018</v>
      </c>
      <c r="T6" s="3">
        <f>570.4+(832.7-313.1)+(-0.872712+(-1.274031--0.479043))+0-172.5--0.26392500000001</f>
        <v>916.096225</v>
      </c>
      <c r="U6" s="3">
        <f>596.9+(771.1-293.4)+(-0.913257+(-1.179783--0.448902))+0-168--0.25704000000001</f>
        <v>905.21290199999976</v>
      </c>
      <c r="V6" s="3">
        <f>619.5+(704-254.5)+(-0.947835+(-1.07712--0.389385))+0-171.1--0.26178300000001</f>
        <v>896.5262130000001</v>
      </c>
      <c r="W6" s="3">
        <f>675.5+(569.4-197.9)+(0+(0-0))+0-172.8-0</f>
        <v>874.2</v>
      </c>
      <c r="X6" s="3">
        <f>756.3+(490.2-202.7)+(-1.157139+(-0.750006--0.310131))+0-176.5--0.27004500000001</f>
        <v>865.97303099999999</v>
      </c>
      <c r="Y6" s="3">
        <f>761.3+(671.7-280.4)+(-1.164789+(-1.027701--0.429012))+0-182.6--0.279378000000011</f>
        <v>968.51589999999987</v>
      </c>
      <c r="Z6" s="3">
        <f>769.4+(722-313.3)+(-1.569576+(-1.47288--0.639132))+0-182.9--0.373115999999992</f>
        <v>993.1697919999998</v>
      </c>
      <c r="AA6" s="3">
        <f>773.6+(720.9-324.8)+(-0.789072+(-0.735318--0.331296))+0-184--0.187680000000029</f>
        <v>984.69458600000007</v>
      </c>
      <c r="AB6" s="3">
        <f>772.9+(682.4-310.6)+(-0.394179+(-0.348024--0.158406))+0-178.5--0.0910349999999819</f>
        <v>965.70723799999985</v>
      </c>
      <c r="AC6" s="3">
        <f>776.7+(618.9-283.9)+(0+(0-0))+0-181.7-0</f>
        <v>930</v>
      </c>
      <c r="AD6">
        <f t="shared" si="0"/>
        <v>20953.267433000001</v>
      </c>
      <c r="AE6" s="3">
        <f>770+(711-305)+(0+(0-0))+0-171-0</f>
        <v>1005</v>
      </c>
    </row>
    <row r="7" spans="1:31" s="2" customFormat="1" x14ac:dyDescent="0.25">
      <c r="A7">
        <v>89</v>
      </c>
      <c r="B7">
        <v>1</v>
      </c>
      <c r="C7">
        <v>7</v>
      </c>
      <c r="D7">
        <v>1</v>
      </c>
      <c r="E7">
        <v>1</v>
      </c>
      <c r="F7" s="3">
        <f>776.7+(549.9-251)+(-0.396117+(-0.280449--0.12801))+0-181.8--0.0927179999999816</f>
        <v>893.34416199999998</v>
      </c>
      <c r="G7" s="3">
        <f>782.5+(509.3-263.7)+(-1.197225+(-0.779229--0.403461))+0-177.4--0.27142200000001</f>
        <v>849.39842899999996</v>
      </c>
      <c r="H7" s="3">
        <f>782.4+(444.1-225)+(0+(0-0))+0-176.9-0</f>
        <v>824.6</v>
      </c>
      <c r="I7" s="3">
        <f>785.9+(399.6-200.8)+(-1.603236+(-0.815184--0.409632))+0-179--0.365159999999992</f>
        <v>804.05637200000001</v>
      </c>
      <c r="J7" s="3">
        <f>784.9+(371.3-189.7)+(0.400299+(0.189363-0.096747))+0-177.3-0.090422999999982</f>
        <v>789.6024920000001</v>
      </c>
      <c r="K7" s="3">
        <f>792.1+(364-196.5)+(-0.403971+(-0.18564--0.100215))+0-169.4--0.0863939999999828</f>
        <v>789.79699799999992</v>
      </c>
      <c r="L7" s="3">
        <f>793.3+(363.4-200.3)+(-0.809166+(-0.370668--0.204306))+0-171.2--0.174624000000027</f>
        <v>784.39909599999987</v>
      </c>
      <c r="M7" s="3">
        <f>797.8+(389.9-205.6)+(-1.627512+(-0.795396--0.419424))+0-172.2--0.351287999999992</f>
        <v>808.24780399999997</v>
      </c>
      <c r="N7" s="3">
        <f>787.2+(435.3-204)+(0.802944+(0.444006-0.20808))+0-173.8-0.177276000000028</f>
        <v>845.5615939999999</v>
      </c>
      <c r="O7" s="3">
        <f>780.7+(486.3-219)+(-0.398157+(-0.248013--0.11169))+0-167.6--0.085475999999983</f>
        <v>879.95099599999992</v>
      </c>
      <c r="P7" s="3">
        <f>761.1+(530.9-219.6)+(0+(0-0))+0-165.3-0</f>
        <v>907.10000000000014</v>
      </c>
      <c r="Q7" s="3">
        <f>771+(556.2-240.1)+(-0.78642+(-0.567324--0.244902))+0-158.5--0.161670000000025</f>
        <v>927.65282799999989</v>
      </c>
      <c r="R7" s="3">
        <f>766.2+(608.3-262.1)+(-0.390762+(-0.310233--0.133671))+0-155.6--0.0793559999999842</f>
        <v>956.31203199999993</v>
      </c>
      <c r="S7" s="3">
        <f>766+(652-283.9)+(-1.17198+(-0.99756--0.434367))+0-161.6--0.247248000000009</f>
        <v>971.01207499999987</v>
      </c>
      <c r="T7" s="3">
        <f>766.5+(687.1-312.3)+(-1.56366+(-1.401684--0.637092))+0-162.4--0.331295999999993</f>
        <v>976.90304399999991</v>
      </c>
      <c r="U7" s="3">
        <f>733.8+(708.1-315.1)+(-0.748476+(-0.722262--0.321402))+0-157.2--0.160344000000025</f>
        <v>968.61100799999997</v>
      </c>
      <c r="V7" s="3">
        <f>728.9+(674.7-276.1)+(-1.858695+(-1.720485--0.704055))+0-158.5--0.404174999999977</f>
        <v>966.52904999999998</v>
      </c>
      <c r="W7" s="3">
        <f>734.8+(598.6-227.2)+(0+(0-0))+0-157.2-0</f>
        <v>949</v>
      </c>
      <c r="X7" s="3">
        <f>737.8+(583-223.2)+(-1.128834+(-0.89199--0.341496))+0-160.6--0.245718000000009</f>
        <v>935.56638999999996</v>
      </c>
      <c r="Y7" s="3">
        <f>761.2+(696.6-288.9)+(0+(0-0))+0-152.8-0</f>
        <v>1016.1000000000001</v>
      </c>
      <c r="Z7" s="3">
        <f>786.9+(700.1-300)+(-0.802638+(-0.714102--0.306))+0-153.2--0.156264000000024</f>
        <v>1032.7455239999999</v>
      </c>
      <c r="AA7" s="3">
        <f>791.4+(679.3-299.5)+(-0.807228+(-0.692886--0.30549))+0-154.1--0.157182000000025</f>
        <v>1016.0625579999999</v>
      </c>
      <c r="AB7" s="3">
        <f>784.4+(647.5-282.7)+(-0.400044+(-0.330225--0.144177))+0-152.8--0.0779279999999845</f>
        <v>995.89183600000001</v>
      </c>
      <c r="AC7" s="3">
        <f>782.4+(645.5-306.8)+(-0.399024+(-0.329205--0.156468))+0-146.5--0.0747149999999851</f>
        <v>974.10295399999995</v>
      </c>
      <c r="AD7">
        <f t="shared" si="0"/>
        <v>21862.547242000001</v>
      </c>
      <c r="AE7" s="3">
        <f>789+(706-308)+(0+(0-0))+0-137-0</f>
        <v>1050</v>
      </c>
    </row>
    <row r="8" spans="1:31" s="2" customFormat="1" x14ac:dyDescent="0.25">
      <c r="A8">
        <v>89</v>
      </c>
      <c r="B8">
        <v>1</v>
      </c>
      <c r="C8">
        <v>8</v>
      </c>
      <c r="D8">
        <v>2</v>
      </c>
      <c r="E8">
        <v>1</v>
      </c>
      <c r="F8" s="3">
        <f>784.1+(575.9-278.5)+(-1.599564+(-1.174836--0.56814))+0-146.8--0.299471999999994</f>
        <v>932.79321200000015</v>
      </c>
      <c r="G8" s="3">
        <f>784.1+(506.7-247.7)+(-1.199673+(-0.775251--0.378981))+0-150.2--0.229806000000009</f>
        <v>891.53386299999988</v>
      </c>
      <c r="H8" s="3">
        <f>781.8+(463.7-226.8)+(-1.594872+(-0.945948--0.462672))+0-150.4--0.306815999999993</f>
        <v>866.52866799999993</v>
      </c>
      <c r="I8" s="3">
        <f>783.7+(444.4-232.7)+(-0.799374+(-0.453288--0.237354))+0-141.7--0.144534000000023</f>
        <v>852.82922600000006</v>
      </c>
      <c r="J8" s="3">
        <f>779.2+(445.3-240.5)+(0+(0-0))+0-147.5-0</f>
        <v>836.5</v>
      </c>
      <c r="K8" s="3">
        <f>786.5+(422-225.9)+(0.401115+(0.21522-0.115209))+0-150.4-0.0767039999999847</f>
        <v>832.6244220000001</v>
      </c>
      <c r="L8" s="3">
        <f>795.5+(406.3-237.1)+(0.81141+(0.414426-0.241842))+0-150.1-0.153102000000024</f>
        <v>815.43089200000009</v>
      </c>
      <c r="M8" s="3">
        <f>790.2+(441.7-249)+(-0.403002+(-0.225267--0.12699))+0-157.3--0.080222999999984</f>
        <v>825.178944</v>
      </c>
      <c r="N8" s="3">
        <f>771.6+(464.9-218.4)+(-0.393516+(-0.237099--0.111384))+0-159.5--0.0813449999999838</f>
        <v>858.16211399999997</v>
      </c>
      <c r="O8" s="3">
        <f>768.6+(526.7-242.8)+(-0.783972+(-0.537234--0.247656))+0-159.1--0.162282000000025</f>
        <v>892.48873199999991</v>
      </c>
      <c r="P8" s="3">
        <f>760.5+(571.7-244.2)+(0+(0-0))+0-156.8-0</f>
        <v>931.2</v>
      </c>
      <c r="Q8" s="3">
        <f>750.6+(617.7-254.2)+(-0.765612+(-0.630054--0.259284))+0-157.7--0.160854000000025</f>
        <v>955.42447200000015</v>
      </c>
      <c r="R8" s="3">
        <f>751.9+(634.3-269.6)+(-1.150407+(-0.970479--0.412488))+0-161.2--0.246636000000009</f>
        <v>953.93823799999984</v>
      </c>
      <c r="S8" s="3">
        <f>748.1+(611.6-297)+(0+(0-0))+0-164-0</f>
        <v>898.7</v>
      </c>
      <c r="T8" s="3">
        <f>746.5+(632.6-317.5)+(-1.52286+(-1.290504--0.6477))+0-157.8--0.321911999999993</f>
        <v>901.95624799999985</v>
      </c>
      <c r="U8" s="3">
        <f>748.5+(597.6-315.5)+(-1.145205+(-0.914328--0.482715))+0-158.4--0.242352000000009</f>
        <v>870.86553399999991</v>
      </c>
      <c r="V8" s="3">
        <f>752.9+(547.6-265.8)+(-0.383979+(-0.279276--0.135558))+0-165.6--0.0844559999999832</f>
        <v>868.65675899999997</v>
      </c>
      <c r="W8" s="3">
        <f>750.5+(481.3-231.5)+(-1.148265+(-0.736389--0.354195))+0-164.1--0.251073000000009</f>
        <v>834.920614</v>
      </c>
      <c r="X8" s="3">
        <f>755.6+(495.4-232.1)+(-0.385356+(-0.252654--0.118371))+0-166--0.0846599999999832</f>
        <v>852.46502099999998</v>
      </c>
      <c r="Y8" s="3">
        <f>783.9+(627.7-288.2)+(-0.799578+(-0.640254--0.293964))+0-161.4--0.164628000000026</f>
        <v>961.01876000000004</v>
      </c>
      <c r="Z8" s="3">
        <f>794.3+(699.2-342.5)+(-1.620372+(-1.426368--0.6987))+0-165.7--0.338027999999993</f>
        <v>983.28998799999988</v>
      </c>
      <c r="AA8" s="3">
        <f>790.9+(697.2-345.4)+(-0.403359+(-0.355572--0.176154))+0-165--0.0841499999999833</f>
        <v>977.20137299999999</v>
      </c>
      <c r="AB8" s="3">
        <f>752.1+(674.1-310.8)+(-1.150713+(-1.031373--0.475524))+0-165.3--0.25290900000001</f>
        <v>948.64634700000011</v>
      </c>
      <c r="AC8" s="3">
        <f>716.6+(668.9-288.1)+(0.365466+(0.341139-0.146931))+0-169.9-0.0866489999999828</f>
        <v>927.97302500000023</v>
      </c>
      <c r="AD8">
        <f t="shared" si="0"/>
        <v>21470.326452000005</v>
      </c>
      <c r="AE8" s="3">
        <f>793+(686-335)+(0+(0-0))+0-153-0</f>
        <v>991</v>
      </c>
    </row>
    <row r="9" spans="1:31" s="2" customFormat="1" x14ac:dyDescent="0.25">
      <c r="A9">
        <v>89</v>
      </c>
      <c r="B9">
        <v>1</v>
      </c>
      <c r="C9">
        <v>9</v>
      </c>
      <c r="D9">
        <v>3</v>
      </c>
      <c r="E9">
        <v>1</v>
      </c>
      <c r="F9" s="3">
        <f>711.6+(606.7-251.2)+(-1.81458+(-1.547085--0.64056))+0-173.6--0.442679999999975</f>
        <v>891.22157500000003</v>
      </c>
      <c r="G9" s="3">
        <f>713.7+(585.1-282.8)+(-1.819935+(-1.492005--0.72114))+0-166.7--0.425084999999976</f>
        <v>847.13428499999998</v>
      </c>
      <c r="H9" s="3">
        <f>717.3+(558.9-297.2)+(0+(0-0))+0-165.5-0</f>
        <v>813.5</v>
      </c>
      <c r="I9" s="3">
        <f>722.6+(548.8-307)+(-0.737052+(-0.559776--0.31314))+0-166--0.169320000000026</f>
        <v>797.58563199999992</v>
      </c>
      <c r="J9" s="3">
        <f>722.6+(536.1-305.7)+(-1.84263+(-1.367055--0.779535))+0-163--0.415649999999976</f>
        <v>787.9855</v>
      </c>
      <c r="K9" s="3">
        <f>725.4+(478.2-260.2)+(-0.739908+(-0.487764--0.265404))+0-163.3--0.166566000000026</f>
        <v>779.3042979999999</v>
      </c>
      <c r="L9" s="3">
        <f>725.4+(538.2-321.4)+(0+(0-0))+0-161.8-0</f>
        <v>780.40000000000009</v>
      </c>
      <c r="M9" s="3">
        <f>721.7+(597.4-346.9)+(-0.368067+(-0.304674--0.176919))+0-162.5--0.0828749999999835</f>
        <v>809.28705300000001</v>
      </c>
      <c r="N9" s="3">
        <f>714.8+(589.1-312.6)+(-0.729096+(-0.600882--0.318852))+0-146.1--0.149022000000023</f>
        <v>844.337896</v>
      </c>
      <c r="O9" s="3">
        <f>681.3+(635.9-290.3)+(-0.347463+(-0.324309--0.148053))+0-142.6--0.0727259999999855</f>
        <v>883.8490069999998</v>
      </c>
      <c r="P9" s="3">
        <f>686.1+(718.3-340.4)+(0+(0-0))+0-141.5-0</f>
        <v>922.5</v>
      </c>
      <c r="Q9" s="3">
        <f>743+(709.2-367.3)+(0+(0-0))+0-134.1-0</f>
        <v>950.80000000000007</v>
      </c>
      <c r="R9" s="3">
        <f>755.5+(713-373.6)+(0+(0-0))+0-133.5-0</f>
        <v>961.40000000000009</v>
      </c>
      <c r="S9" s="3">
        <f>753.4+(678.5-323.2)+(-1.536936+(-1.38414--0.659328))+0-134.1--0.273563999999994</f>
        <v>972.61181600000009</v>
      </c>
      <c r="T9" s="3">
        <f>754.6+(636.4-284.3)+(-1.154538+(-0.973692--0.434979))+0-134.4--0.205632000000008</f>
        <v>970.81238100000019</v>
      </c>
      <c r="U9" s="3">
        <f>751.9+(617.5-265.6)+(-0.383469+(-0.314925--0.135456))+0-133.4--0.0680339999999865</f>
        <v>969.90509599999996</v>
      </c>
      <c r="V9" s="3">
        <f>747.8+(603.9-263.7)+(-1.525512+(-1.231956--0.537948))+0-135.2--0.275807999999994</f>
        <v>950.85628799999984</v>
      </c>
      <c r="W9" s="3">
        <f>750.7+(648-325.6)+(0.382857+(0.33048-0.166056))+0-134.8-0.0687479999999863</f>
        <v>938.77853300000004</v>
      </c>
      <c r="X9" s="3">
        <f>755.5+(687-373)+(-1.54122+(-1.40148--0.76092))+0-133.9--0.273155999999994</f>
        <v>933.6913760000001</v>
      </c>
      <c r="Y9" s="3">
        <f>770.5+(708.4-324)+(0.392955+(0.361284-0.16524))+0-133.7-0.0681869999999864</f>
        <v>1021.7208120000001</v>
      </c>
      <c r="Z9" s="3">
        <f>781.7+(740.4-345.9)+(-1.594668+(-1.510416--0.705636))+0-136--0.277439999999994</f>
        <v>1038.0779920000002</v>
      </c>
      <c r="AA9" s="3">
        <f>785.3+(724.9-344.2)+(-0.400503+(-0.369699--0.175542))+0-139.4--0.0710939999999859</f>
        <v>1026.0764339999998</v>
      </c>
      <c r="AB9" s="3">
        <f>792.1+(673.9-326)+(-0.807942+(-0.687378--0.33252))+0-139.9--0.142698000000022</f>
        <v>999.07989799999996</v>
      </c>
      <c r="AC9" s="3">
        <f>798.8+(638-318.9)+(-1.222164+(-0.97614--0.487917))+0-140.2--0.214506000000008</f>
        <v>976.20411899999999</v>
      </c>
      <c r="AD9">
        <f t="shared" si="0"/>
        <v>21867.119990999992</v>
      </c>
      <c r="AE9" s="3">
        <f>778+(735.8-344)+(0+(0-0))+0-134.3-0</f>
        <v>1035.5</v>
      </c>
    </row>
    <row r="10" spans="1:31" s="2" customFormat="1" x14ac:dyDescent="0.25">
      <c r="A10">
        <v>89</v>
      </c>
      <c r="B10">
        <v>1</v>
      </c>
      <c r="C10">
        <v>10</v>
      </c>
      <c r="D10">
        <v>4</v>
      </c>
      <c r="E10">
        <v>1</v>
      </c>
      <c r="F10" s="3">
        <f>794.7+(612.8-320.9)+(-1.621188+(-1.250112--0.654636))+0-156.8--0.319871999999993</f>
        <v>927.90320799999995</v>
      </c>
      <c r="G10" s="3">
        <f>798.3+(595.8-368.6)+(-2.035665+(-1.51929--0.93993))+0-152.8--0.389639999999978</f>
        <v>870.47461499999997</v>
      </c>
      <c r="H10" s="3">
        <f>800.8+(579.1-380.8)+(-1.633632+(-1.181364--0.776832))+0-154.5--0.315179999999993</f>
        <v>842.8770159999998</v>
      </c>
      <c r="I10" s="3">
        <f>801.3+(549-372.5)+(-0.817326+(-0.55998--0.37995))+0-155.6--0.158712000000025</f>
        <v>821.361356</v>
      </c>
      <c r="J10" s="3">
        <f>812.1+(525.2-373.5)+(0+(0-0))+0-155-0</f>
        <v>808.80000000000007</v>
      </c>
      <c r="K10" s="3">
        <f>814+(556.8-411.1)+(-0.83028+(-0.567936--0.419322))+0-156.8--0.159936000000025</f>
        <v>802.08104200000002</v>
      </c>
      <c r="L10" s="3">
        <f>816.4+(563.4-423.9)+(-0.832728+(-0.574668--0.432378))+0-156.7--0.159834000000025</f>
        <v>798.384816</v>
      </c>
      <c r="M10" s="3">
        <f>816.6+(576.7-390.7)+(-0.832932+(-0.588234--0.398514))+0-157.9--0.161058000000025</f>
        <v>843.83840600000019</v>
      </c>
      <c r="N10" s="3">
        <f>806.5+(642.7-407.6)+(0.82263+(0.655554-0.415752))+0-163.5-0.166770000000026</f>
        <v>878.99566199999981</v>
      </c>
      <c r="O10" s="3">
        <f>796.4+(695.3-434.1)+(0.406164+(0.354603-0.221391))+0-163.2-0.0832319999999834</f>
        <v>894.85614399999986</v>
      </c>
      <c r="P10" s="3">
        <f>789.6+(685.1-389.5)+(-0.402696+(-0.349401--0.198645))+0-156.7--0.0799169999999841</f>
        <v>928.02646499999992</v>
      </c>
      <c r="Q10" s="3">
        <f>779.5+(684.6-367.9)+(0.397545+(0.349146-0.187629))+0-154.4-0.0787439999999843</f>
        <v>942.28031800000008</v>
      </c>
      <c r="R10" s="3">
        <f>771.2+(681.2-346.6)+(-0.786624+(-0.694824--0.353532))+0-155.3--0.158406000000025</f>
        <v>949.53049000000033</v>
      </c>
      <c r="S10" s="3">
        <f>770.3+(659.6-314.7)+(-1.571412+(-1.345584--0.641988))+0-157.9--0.322115999999993</f>
        <v>955.34710799999993</v>
      </c>
      <c r="T10" s="3">
        <f>765.7+(645.6-299.8)+(0.781014+(0.658512-0.305796))+0-161.4-0.164628000000026</f>
        <v>951.06910200000004</v>
      </c>
      <c r="U10" s="3">
        <f>762.9+(638.8-287.2)+(0+(0-0))+0-165.5-0</f>
        <v>949</v>
      </c>
      <c r="V10" s="3">
        <f>762.7+(631.4-281.7)+(-0.777954+(-0.644028--0.287334))+0-167.6--0.170952000000027</f>
        <v>943.83630400000015</v>
      </c>
      <c r="W10" s="3">
        <f>760.2+(618.8-282.4)+(-0.387702+(-0.315588--0.144024))+0-166.8--0.0850679999999831</f>
        <v>929.32580199999995</v>
      </c>
      <c r="X10" s="3">
        <f>763.1+(599.1-285.1)+(-0.778362+(-0.611082--0.290802))+0-162.9--0.166158000000026</f>
        <v>913.267516</v>
      </c>
      <c r="Y10" s="3">
        <f>774.2+(756.8-352)+(-1.184526+(-1.157904--0.53856))+0-160.9--0.246177000000009</f>
        <v>1016.5423070000001</v>
      </c>
      <c r="Z10" s="3">
        <f>778.4+(761.1-338.1)+(-0.793968+(-0.776322--0.344862))+0-161.7--0.164934000000026</f>
        <v>1038.6395060000002</v>
      </c>
      <c r="AA10" s="3">
        <f>784+(722.5-322.2)+(-1.59936+(-1.4739--0.657288))+0-166.1--0.338843999999993</f>
        <v>1016.1228719999999</v>
      </c>
      <c r="AB10" s="3">
        <f>735.7+(680-304.9)+(-1.500828+(-1.3872--0.621996))+0-165.6--0.337823999999993</f>
        <v>943.27179200000012</v>
      </c>
      <c r="AC10" s="3">
        <f>737.4+(634.6-289.2)+(-1.128222+(-0.970938--0.442476))+0-169.4--0.25918200000001</f>
        <v>912.00249799999995</v>
      </c>
      <c r="AD10">
        <f t="shared" si="0"/>
        <v>21877.834344999999</v>
      </c>
      <c r="AE10" s="3">
        <f>779+(760-336.6)+(0+(0-0))+0-148.2-0</f>
        <v>1054.2</v>
      </c>
    </row>
    <row r="11" spans="1:31" s="2" customFormat="1" x14ac:dyDescent="0.25">
      <c r="A11">
        <v>89</v>
      </c>
      <c r="B11">
        <v>1</v>
      </c>
      <c r="C11">
        <v>11</v>
      </c>
      <c r="D11">
        <v>5</v>
      </c>
      <c r="E11">
        <v>1</v>
      </c>
      <c r="F11" s="3">
        <f>793.3+(593.4-273.9)+(-2.022915+(-1.51317--0.698445))+0-169--0.430949999999975</f>
        <v>941.39330999999993</v>
      </c>
      <c r="G11" s="3">
        <f>791.5+(538.2-257.9)+(-1.210995+(-0.823446--0.394587))+0-175.3--0.26820900000001</f>
        <v>895.12835500000017</v>
      </c>
      <c r="H11" s="3">
        <f>631+(621.8-219.7)+(-1.28724+(-1.268472--0.448188))+0-174--0.354959999999992</f>
        <v>857.3474359999999</v>
      </c>
      <c r="I11" s="3">
        <f>612.4+(598.4-200)+(-1.249296+(-1.220736--0.408))+0-172.6--0.352103999999992</f>
        <v>836.49007199999983</v>
      </c>
      <c r="J11" s="3">
        <f>616.5+(573.4-190.7)+(-0.943245+(-0.877302--0.291771))+0-171.7--0.26270100000001</f>
        <v>826.23392500000011</v>
      </c>
      <c r="K11" s="3">
        <f>615.7+(581.8-204.9)+(0+(0-0))+0-167.3-0</f>
        <v>825.3</v>
      </c>
      <c r="L11" s="3">
        <f>619.2+(597-224.8)+(-0.947376+(-0.91341--0.343944))+0-170.8--0.26132400000001</f>
        <v>819.3444820000002</v>
      </c>
      <c r="M11" s="3">
        <f>615.4+(614.8-215.9)+(0+(0-0))+0-174.9-0</f>
        <v>839.4</v>
      </c>
      <c r="N11" s="3">
        <f>637.3+(633-231.9)+(-0.325023+(-0.32283--0.118269))+0-171.4--0.0874139999999826</f>
        <v>866.55782999999997</v>
      </c>
      <c r="O11" s="3">
        <f>601.7+(715.8-247.2)+(-0.306867+(-0.365058--0.126072))+0-176.3--0.0899129999999821</f>
        <v>893.54405999999994</v>
      </c>
      <c r="P11" s="3">
        <f>595.5+(805.3-299.5)+(-1.82223+(-2.464218--0.91647))+0-174.2--0.53305200000002</f>
        <v>924.26307399999996</v>
      </c>
      <c r="Q11" s="3">
        <f>615.1+(803.3-308.6)+(0+(0-0))+0-160.5-0</f>
        <v>949.3</v>
      </c>
      <c r="R11" s="3">
        <f>699.6+(782.8-368.2)+(-0.713592+(-0.798456--0.375564))+0-151.1--0.154122000000024</f>
        <v>962.11763799999994</v>
      </c>
      <c r="S11" s="3">
        <f>694.9+(767.1-332.1)+(0+(0-0))+0-169.4-0</f>
        <v>960.50000000000011</v>
      </c>
      <c r="T11" s="3">
        <f>669.9+(765-303.8)+(-0.341649+(-0.39015--0.154938))+0-172.3--0.0878729999999825</f>
        <v>958.31101199999989</v>
      </c>
      <c r="U11" s="3">
        <f>669+(752.1-293.4)+(-1.36476+(-1.534284--0.598536))+0-171.7--0.350267999999992</f>
        <v>954.04975999999999</v>
      </c>
      <c r="V11" s="3">
        <f>674.1+(716.7-270.9)+(-0.687582+(-0.731034--0.276318))+0-176.2--0.179724000000028</f>
        <v>942.73742600000014</v>
      </c>
      <c r="W11" s="3">
        <f>673.6+(710.5-274.4)+(-1.030608+(-1.087065--0.419832))+0-174.6--0.26713800000001</f>
        <v>933.66929700000014</v>
      </c>
      <c r="X11" s="3">
        <f>679.9+(684.1-270.4)+(-0.693498+(-0.697782--0.275808))+0-174.3--0.177786000000028</f>
        <v>918.36231400000008</v>
      </c>
      <c r="Y11" s="3">
        <f>702.8+(753.8-275.8)+(-0.358428+(-0.384438--0.140658))+0-166.6--0.0849659999999831</f>
        <v>1013.6827579999999</v>
      </c>
      <c r="Z11" s="3">
        <f>709.8+(875.4-365.5)+(-1.085994+(-1.339362--0.559215))+0-174.2--0.26652600000001</f>
        <v>1043.9003849999999</v>
      </c>
      <c r="AA11" s="3">
        <f>716.1+(827.5-332.9)+(-1.095633+(-1.266075--0.509337))+0-178.9--0.27371700000001</f>
        <v>1030.221346</v>
      </c>
      <c r="AB11" s="3">
        <f>714.6+(807.9-340.7)+(-1.093338+(-1.236087--0.521271))+0-173.7--0.26576100000001</f>
        <v>1006.5576069999998</v>
      </c>
      <c r="AC11" s="3">
        <f>721.8+(747.1-317.8)+(-1.104354+(-1.143063--0.486234))+0-177.8--0.27203400000001</f>
        <v>971.81085099999984</v>
      </c>
      <c r="AD11">
        <f t="shared" si="0"/>
        <v>22170.222937999995</v>
      </c>
      <c r="AE11" s="3">
        <f>710+(890.6-372.6)+(0+(0-0))+0-162.4-0</f>
        <v>1065.5999999999999</v>
      </c>
    </row>
    <row r="12" spans="1:31" s="2" customFormat="1" x14ac:dyDescent="0.25">
      <c r="A12">
        <v>89</v>
      </c>
      <c r="B12">
        <v>1</v>
      </c>
      <c r="C12">
        <v>12</v>
      </c>
      <c r="D12">
        <v>6</v>
      </c>
      <c r="E12">
        <v>2</v>
      </c>
      <c r="F12" s="3">
        <f>721.1+(681-299.3)+(-1.471044+(-1.38924--0.610572))+0-175--0.356999999999992</f>
        <v>925.90728799999988</v>
      </c>
      <c r="G12" s="3">
        <f>694+(642.6-277.1)+(-0.35394+(-0.327726--0.141321))+0-172.8--0.0881279999999825</f>
        <v>886.24778300000014</v>
      </c>
      <c r="H12" s="3">
        <f>612.9+(670.3-252.7)+(-0.937737+(-1.025559--0.386631))+0-170.3--0.26055900000001</f>
        <v>858.88389400000005</v>
      </c>
      <c r="I12" s="3">
        <f>615.9+(673.1-279.9)+(-1.256436+(-1.373124--0.570996))+0-171.4--0.349655999999993</f>
        <v>835.99109199999998</v>
      </c>
      <c r="J12" s="3">
        <f>615.6+(654-269.5)+(-0.627912+(-0.66708--0.27489))+0-170.1--0.173502000000027</f>
        <v>829.15340000000003</v>
      </c>
      <c r="K12" s="3">
        <f>619.5+(658.5-272.4)+(0+(0-0))+0-170.5-0</f>
        <v>835.1</v>
      </c>
      <c r="L12" s="3">
        <f>620.6+(658.9-287.9)+(-1.58253+(-1.680195--0.734145))+0-166.3--0.424064999999976</f>
        <v>823.19548499999996</v>
      </c>
      <c r="M12" s="3">
        <f>618.9+(638.3-257.4)+(0.631278+(0.651066-0.262548))+0-171-0.174420000000027</f>
        <v>829.64537599999994</v>
      </c>
      <c r="N12" s="3">
        <f>607.6+(653.8-232.9)+(0.309876+(0.333438-0.118779))+0-173.1-0.0882809999999824</f>
        <v>855.83625400000005</v>
      </c>
      <c r="O12" s="3">
        <f>591.6+(706.1-235.3)+(0+(0-0))+0-168.9-0</f>
        <v>893.50000000000011</v>
      </c>
      <c r="P12" s="3">
        <f>591.4+(738.4-237.2)+(-0.301614+(-0.376584--0.120972))+0-171--0.0872099999999826</f>
        <v>921.12998400000004</v>
      </c>
      <c r="Q12" s="3">
        <f>595.6+(768.1-251.1)+(0+(0-0))+0-171.1-0</f>
        <v>941.49999999999989</v>
      </c>
      <c r="R12" s="3">
        <f>587.2+(807.6-267)+(-0.598944+(-0.823752--0.27234))+0-171--0.174420000000027</f>
        <v>955.82406400000013</v>
      </c>
      <c r="S12" s="3">
        <f>570.6+(814.4-262.3)+(-1.164024+(-1.661376--0.535092))+0-167.9--0.342515999999993</f>
        <v>952.85220799999979</v>
      </c>
      <c r="T12" s="3">
        <f>575.7+(806-266)+(0.880821+(1.23318-0.40698))+0-162-0.247860000000009</f>
        <v>955.15916099999993</v>
      </c>
      <c r="U12" s="3">
        <f>571+(791.2-258.2)+(-0.87363+(-1.210536--0.395046))+0-162.3--0.248319000000009</f>
        <v>940.25919900000008</v>
      </c>
      <c r="V12" s="3">
        <f>572.2+(751.4-233.6)+(-0.583644+(-0.766428--0.238272))+0-167.9--0.171258000000027</f>
        <v>921.1594580000002</v>
      </c>
      <c r="W12" s="3">
        <f>574.7+(706.3-213.9)+(-0.879291+(-1.080639--0.327267))+0-176.3--0.26973900000001</f>
        <v>889.43707599999982</v>
      </c>
      <c r="X12" s="3">
        <f>591.9+(659.6-204.5)+(-1.207476+(-1.345584--0.41718))+0-173.2--0.353327999999992</f>
        <v>872.01744799999994</v>
      </c>
      <c r="Y12" s="3">
        <f>648.6+(733.2-246.2)+(0+(0-0))+0-170.9-0</f>
        <v>964.70000000000016</v>
      </c>
      <c r="Z12" s="3">
        <f>699.9+(840.4-366.1)+(-1.427796+(-1.714416--0.746844))+0-170.1--0.347003999999993</f>
        <v>1002.0516359999998</v>
      </c>
      <c r="AA12" s="3">
        <f>708.8+(778.5-326)+(-0.361488+(-0.397035--0.16626))+0-171.2--0.0873119999999826</f>
        <v>989.5950489999999</v>
      </c>
      <c r="AB12" s="3">
        <f>705.8+(756.9-321.4)+(-0.719916+(-0.772038--0.327828))+0-172.7--0.176154000000028</f>
        <v>967.61202800000001</v>
      </c>
      <c r="AC12" s="3">
        <f>704.2+(742.6-335.1)+(-1.436568+(-1.514904--0.683604))+0-172.9--0.352715999999992</f>
        <v>936.88484800000015</v>
      </c>
      <c r="AD12">
        <f t="shared" si="0"/>
        <v>21783.642731</v>
      </c>
      <c r="AE12" s="3">
        <f>696+(850.3-378.6)+(0+(0-0))+0-158.4-0</f>
        <v>1009.2999999999998</v>
      </c>
    </row>
    <row r="13" spans="1:31" s="2" customFormat="1" x14ac:dyDescent="0.25">
      <c r="A13">
        <v>89</v>
      </c>
      <c r="B13">
        <v>1</v>
      </c>
      <c r="C13">
        <v>13</v>
      </c>
      <c r="D13">
        <v>7</v>
      </c>
      <c r="E13">
        <v>2</v>
      </c>
      <c r="F13" s="3">
        <f>639.4+(712.3-276.4)+(-0.652188+(-0.726546--0.281928))+0-171.2--0.174624000000027</f>
        <v>903.17781799999989</v>
      </c>
      <c r="G13" s="3">
        <f>591.6+(724.7-283.8)+(-0.603432+(-0.739194--0.289476))+0-171.7--0.175134000000027</f>
        <v>859.92198400000007</v>
      </c>
      <c r="H13" s="3">
        <f>589.1+(712.6-301.7)+(-0.600882+(-0.726852--0.307734))+0-172.3--0.175746000000027</f>
        <v>826.85574600000007</v>
      </c>
      <c r="I13" s="3">
        <f>591.8+(694.1-304.9)+(-0.905454+(-1.061973--0.466497))+0-173.3--0.26514900000001</f>
        <v>806.46421899999996</v>
      </c>
      <c r="J13" s="3">
        <f>591.9+(702.1-324.2)+(-0.603738+(-0.716142--0.330684))+0-175.6--0.179112000000028</f>
        <v>793.38991599999997</v>
      </c>
      <c r="K13" s="3">
        <f>594.9+(723.8-351.9)+(0.303399+(0.369138-0.179469))+0-177-0.090269999999982</f>
        <v>790.20279799999992</v>
      </c>
      <c r="L13" s="3">
        <f>591.2+(708.6-352.7)+(-0.904536+(-1.084158--0.539631))+0-175.4--0.26836200000001</f>
        <v>770.51929900000016</v>
      </c>
      <c r="M13" s="3">
        <f>596.1+(646.2-301.2)+(0+(0-0))+0-175.5-0</f>
        <v>765.60000000000014</v>
      </c>
      <c r="N13" s="3">
        <f>598+(692.9-361.6)+(0.60996+(0.706758-0.368832))+0-167-0.170340000000027</f>
        <v>763.07754599999998</v>
      </c>
      <c r="O13" s="3">
        <f>598.2+(748.4-419.1)+(-0.305082+(-0.381684--0.213741))+0-170.3--0.0868529999999827</f>
        <v>756.81382800000006</v>
      </c>
      <c r="P13" s="3">
        <f>619.2+(731.8-424.9)+(-0.315792+(-0.373218--0.216699))+0-168.8--0.0860879999999829</f>
        <v>756.91377699999998</v>
      </c>
      <c r="Q13" s="3">
        <f>627.8+(707.1-417.2)+(-0.640356+(-0.721242--0.425544))+0-165--0.168300000000026</f>
        <v>751.93224600000008</v>
      </c>
      <c r="R13" s="3">
        <f>670.4+(709.1-466.2)+(-0.683808+(-0.723282--0.475524))+0-163.3--0.166566000000026</f>
        <v>749.23500000000001</v>
      </c>
      <c r="S13" s="3">
        <f>686.8+(671.6-446.4)+(-0.350268+(-0.342516--0.227664))+0-165.5--0.0844049999999832</f>
        <v>746.11928499999999</v>
      </c>
      <c r="T13" s="3">
        <f>682.8+(630.5-390.9)+(0+(0-0))+0-163.4-0</f>
        <v>759</v>
      </c>
      <c r="U13" s="3">
        <f>678.2+(586.9-340.6)+(0+(0-0))+0-160.2-0</f>
        <v>764.3</v>
      </c>
      <c r="V13" s="3">
        <f>681.8+(563.3-316.2)+(0+(0-0))+0-161.4-0</f>
        <v>767.49999999999989</v>
      </c>
      <c r="W13" s="3">
        <f>746.5+(532.1-340.6)+(-1.142145+(-0.814113--0.521118))+0-163.7--0.250461000000009</f>
        <v>773.11532099999988</v>
      </c>
      <c r="X13" s="3">
        <f>764.1+(559.3-372.3)+(-0.779382+(-0.570486--0.379746))+0-165--0.168300000000026</f>
        <v>785.29817800000001</v>
      </c>
      <c r="Y13" s="3">
        <f>773.6+(610.5-317.9)+(-0.789072+(-0.62271--0.324258))+0-162.5--0.165750000000026</f>
        <v>902.77822600000002</v>
      </c>
      <c r="Z13" s="3">
        <f>783.7+(769.2-401.7)+(-1.998435+(-1.96146--1.024335))+0-167.7--0.427634999999976</f>
        <v>980.99207500000011</v>
      </c>
      <c r="AA13" s="3">
        <f>789.9+(810.9-451.7)+(-1.208547+(-1.240677--0.691101))+0-164.9--0.25229700000001</f>
        <v>982.69417399999986</v>
      </c>
      <c r="AB13" s="3">
        <f>797.5+(757.3-444.5)+(-0.81345+(-0.772446--0.45339))+0-159.1--0.162282000000025</f>
        <v>950.22977600000002</v>
      </c>
      <c r="AC13" s="3">
        <f>795.3+(637-376.1)+(-1.216809+(-0.97461--0.575433))+0-158--0.241740000000009</f>
        <v>896.82575399999985</v>
      </c>
      <c r="AD13">
        <f t="shared" si="0"/>
        <v>19602.956966000002</v>
      </c>
      <c r="AE13" s="3">
        <f>779+(797.7-439.1)+(0+(0-0))+0-155.6-0</f>
        <v>981.99999999999989</v>
      </c>
    </row>
    <row r="14" spans="1:31" s="2" customFormat="1" x14ac:dyDescent="0.25">
      <c r="A14">
        <v>89</v>
      </c>
      <c r="B14">
        <v>1</v>
      </c>
      <c r="C14">
        <v>14</v>
      </c>
      <c r="D14">
        <v>1</v>
      </c>
      <c r="E14">
        <v>1</v>
      </c>
      <c r="F14" s="3">
        <f>776+(563.8-320.4)+(-0.79152+(-0.575076--0.326808))+0-163.9--0.167178000000026</f>
        <v>854.62738999999999</v>
      </c>
      <c r="G14" s="3">
        <f>775+(567.9-369.7)+(-1.581+(-1.158516--0.754188))+0-162.3--0.331091999999993</f>
        <v>809.24576400000012</v>
      </c>
      <c r="H14" s="3">
        <f>782.4+(503.2-333.8)+(-0.399024+(-0.256632--0.170238))+0-164.3--0.0837929999999833</f>
        <v>787.09837500000003</v>
      </c>
      <c r="I14" s="3">
        <f>773.9+(495.6-322.6)+(-0.394689+(-0.252756--0.164526))+0-167.7--0.085526999999983</f>
        <v>778.80260799999996</v>
      </c>
      <c r="J14" s="3">
        <f>749.8+(525.1-342.6)+(0.382398+(0.267801-0.174726))+0-166-0.0846599999999832</f>
        <v>766.69081299999993</v>
      </c>
      <c r="K14" s="3">
        <f>753.1+(541.2-366.9)+(0.768162+(0.552024-0.374238))+0-161.2-0.164424000000026</f>
        <v>766.98152400000004</v>
      </c>
      <c r="L14" s="3">
        <f>739.8+(574.6-406.3)+(-1.509192+(-1.172184--0.828852))+0-157.4--0.321095999999993</f>
        <v>749.16857199999993</v>
      </c>
      <c r="M14" s="3">
        <f>749.2+(637.9-444)+(0.382092+(0.325329-0.22644))+0-166.9-0.0851189999999831</f>
        <v>776.59586200000012</v>
      </c>
      <c r="N14" s="3">
        <f>754.6+(718-457.6)+(0+(0-0))+0-178.3-0</f>
        <v>836.7</v>
      </c>
      <c r="O14" s="3">
        <f>753.6+(794.7-457.5)+(-0.384336+(-0.405297--0.233325))+0-175.2--0.0893519999999822</f>
        <v>915.13304400000015</v>
      </c>
      <c r="P14" s="3">
        <f>757.7+(849.9-489.3)+(0+(0-0))+0-165.5-0</f>
        <v>952.8</v>
      </c>
      <c r="Q14" s="3">
        <f>750.6+(834.9-454)+(0+(0-0))+0-158.1-0</f>
        <v>973.4</v>
      </c>
      <c r="R14" s="3">
        <f>734.7+(819.4-394.7)+(0+(0-0))+0-160.7-0</f>
        <v>998.7</v>
      </c>
      <c r="S14" s="3">
        <f>723.3+(770.2-325.4)+(-1.475532+(-1.571208--0.663816))+0-162.5--0.331499999999993</f>
        <v>1003.5485759999999</v>
      </c>
      <c r="T14" s="3">
        <f>730.1+(722.8-284.6)+(0.372351+(0.368628-0.145146))+0-165.8-0.0845579999999832</f>
        <v>1003.0112750000001</v>
      </c>
      <c r="U14" s="3">
        <f>724+(706.3-274.3)+(0.73848+(0.720426-0.279786))+0-163-0.166260000000026</f>
        <v>994.01285999999993</v>
      </c>
      <c r="V14" s="3">
        <f>760+(727.1-290.7)+(-0.3876+(-0.370821--0.148257))+0-172--0.0877199999999825</f>
        <v>1023.8775560000001</v>
      </c>
      <c r="W14" s="3">
        <f>695+(695.1-280)+(-1.06335+(-1.063503--0.4284))+0-174--0.26622000000001</f>
        <v>934.66776699999991</v>
      </c>
      <c r="X14" s="3">
        <f>745+(652.4-253.5)+(-2.2797+(-1.996344--0.77571))+0-173--0.52938000000002</f>
        <v>967.92904600000008</v>
      </c>
      <c r="Y14" s="3">
        <f>732+(747.8-255.4)+(0.37332+(0.381378-0.130254))+0-174-0.0887399999999823</f>
        <v>1050.9357040000002</v>
      </c>
      <c r="Z14" s="3">
        <f>786+(755.4-281.5)+(-0.80172+(-0.770508--0.28713))+0-173--0.176460000000028</f>
        <v>1085.7913620000002</v>
      </c>
      <c r="AA14" s="3">
        <f>741+(748.3-284.6)+(-1.51164+(-1.526532--0.580584))+0-177--0.361079999999992</f>
        <v>1025.6034919999997</v>
      </c>
      <c r="AB14" s="3">
        <f>760+(701.2-292.6)+(-1.5504+(-1.430448--0.596904))+0-165--0.336599999999993</f>
        <v>1001.552656</v>
      </c>
      <c r="AC14" s="3">
        <f>786+(670.5-292.1)+(-0.80172+(-0.68391--0.297942))+0-173--0.176460000000028</f>
        <v>990.38877200000013</v>
      </c>
      <c r="AD14">
        <f t="shared" si="0"/>
        <v>22047.263017999998</v>
      </c>
      <c r="AE14" s="3">
        <f>758+(788.3-297.9)+(0+(0-0))+0-145-0</f>
        <v>1103.4000000000001</v>
      </c>
    </row>
    <row r="15" spans="1:31" s="2" customFormat="1" x14ac:dyDescent="0.25">
      <c r="A15">
        <v>89</v>
      </c>
      <c r="B15">
        <v>1</v>
      </c>
      <c r="C15">
        <v>15</v>
      </c>
      <c r="D15">
        <v>2</v>
      </c>
      <c r="E15">
        <v>1</v>
      </c>
      <c r="F15" s="3">
        <f>785+(606-355.1)+(-2.4021+(-1.85436--1.086606))+0-165--0.504900000000019</f>
        <v>868.23504600000012</v>
      </c>
      <c r="G15" s="3">
        <f>799+(583.3-355.7)+(-0.81498+(-0.594966--0.362814))+0-164--0.167280000000026</f>
        <v>861.72014799999999</v>
      </c>
      <c r="H15" s="3">
        <f>756+(551-352.1)+(-0.38556+(-0.28101--0.179571))+0-158--0.080579999999984</f>
        <v>796.49358099999995</v>
      </c>
      <c r="I15" s="3">
        <f>789+(528.5-314.9)+(-1.60956+(-1.07814--0.642396))+0-160--0.326399999999993</f>
        <v>840.88109600000007</v>
      </c>
      <c r="J15" s="3">
        <f>812+(492.3-251)+(-0.82824+(-0.502146--0.25602))+0-164--0.167280000000026</f>
        <v>888.39291399999991</v>
      </c>
      <c r="K15" s="3">
        <f>779+(523.7-267.9)+(-1.19187+(-0.801261--0.409887))+0-164--0.250920000000009</f>
        <v>869.46767600000032</v>
      </c>
      <c r="L15" s="3">
        <f>792+(587.2-310)+(-0.40392+(-0.299472--0.1581))+0-162--0.0826199999999836</f>
        <v>906.73732800000005</v>
      </c>
      <c r="M15" s="3">
        <f>792+(638.7-373.7)+(-1.61568+(-1.302948--0.762348))+0-164--0.334559999999993</f>
        <v>891.17828000000009</v>
      </c>
      <c r="N15" s="3">
        <f>768+(710.5-434.1)+(0+(0-0))+0-169-0</f>
        <v>875.40000000000009</v>
      </c>
      <c r="O15" s="3">
        <f>760+(765.4-467.8)+(0+(0-0))+0-137.7-0</f>
        <v>919.89999999999986</v>
      </c>
      <c r="P15" s="3">
        <f>767+(758.3-469.6)+(-0.39117+(-0.386733--0.239496))+0-136.5--0.0696149999999861</f>
        <v>918.73120799999981</v>
      </c>
      <c r="Q15" s="3">
        <f>847+(772.8-466)+(-0.86394+(-0.788256--0.47532))+0-137.3--0.140046000000022</f>
        <v>1015.46317</v>
      </c>
      <c r="R15" s="3">
        <f>858+(717.7-441.8)+(-1.75032+(-1.464108--0.901272))+0-138--0.281519999999994</f>
        <v>993.86836400000016</v>
      </c>
      <c r="S15" s="3">
        <f>859+(674.8-376)+(-0.87618+(-0.688296--0.38352))+0-142.3--0.145146000000023</f>
        <v>1014.4641900000001</v>
      </c>
      <c r="T15" s="3">
        <f>855+(651-332.2)+(-1.30815+(-0.99603--0.508266))+0-154.7--0.236691000000009</f>
        <v>1017.5407769999999</v>
      </c>
      <c r="U15" s="3">
        <f>852+(613.5-312.6)+(0+(0-0))+0-150-0</f>
        <v>1002.9000000000001</v>
      </c>
      <c r="V15" s="3">
        <f>827+(641.7-319.8)+(-1.26531+(-0.981801--0.489294))+0-151.5--0.231795000000009</f>
        <v>995.87397800000019</v>
      </c>
      <c r="W15" s="3">
        <f>793+(658.2-320.1)+(0.40443+(0.335682-0.163251))+0-152.5-0.0777749999999845</f>
        <v>979.09908599999994</v>
      </c>
      <c r="X15" s="3">
        <f>802+(688.4-365.2)+(-2.0451+(-1.75542--0.93126))+0-151.9--0.387344999999978</f>
        <v>970.81808500000011</v>
      </c>
      <c r="Y15" s="3">
        <f>832+(705.4-319.8)+(0.84864+(0.719508-0.326196))+0-147.6-0.150552000000024</f>
        <v>1071.0914</v>
      </c>
      <c r="Z15" s="3">
        <f>863+(678.3-289.2)+(-0.88026+(-0.691866--0.294984))+0-152.5--0.155550000000024</f>
        <v>1098.4784079999999</v>
      </c>
      <c r="AA15" s="3">
        <f>870+(655.5-296.7)+(-2.2185+(-1.671525--0.756585))+0-151.5--0.386324999999978</f>
        <v>1074.5528849999998</v>
      </c>
      <c r="AB15" s="3">
        <f>868+(603.9-284.3)+(-0.88536+(-0.615978--0.289986))+0-146.4--0.149328000000023</f>
        <v>1040.1379759999998</v>
      </c>
      <c r="AC15" s="3">
        <f>867+(570-310)+(-1.32651+(-0.8721--0.4743))+0-145.4--0.222462000000008</f>
        <v>980.09815200000003</v>
      </c>
      <c r="AD15">
        <f t="shared" si="0"/>
        <v>22891.523747999996</v>
      </c>
      <c r="AE15" s="3">
        <f>869+(676.9-287.1)+(0+(0-0))+0-149.1-0</f>
        <v>1109.7</v>
      </c>
    </row>
    <row r="16" spans="1:31" s="2" customFormat="1" x14ac:dyDescent="0.25">
      <c r="A16">
        <v>89</v>
      </c>
      <c r="B16">
        <v>1</v>
      </c>
      <c r="C16">
        <v>16</v>
      </c>
      <c r="D16">
        <v>3</v>
      </c>
      <c r="E16">
        <v>1</v>
      </c>
      <c r="F16" s="3">
        <f>855+(562.6-332.3)+(-1.7442+(-1.147704--0.677892))+0-144.1--0.293963999999994</f>
        <v>939.27995199999998</v>
      </c>
      <c r="G16" s="3">
        <f>711+(645.6-305.5)+(0+(0-0))+0-130.9-0</f>
        <v>920.19999999999993</v>
      </c>
      <c r="H16" s="3">
        <f>694+(650.1-320.6)+(-0.70788+(-0.663102--0.327012))+0-124.7--0.12719400000002</f>
        <v>897.88322400000004</v>
      </c>
      <c r="I16" s="3">
        <f>700+(574.8-271.7)+(-1.428+(-1.172592--0.554268))+0-125.4--0.255815999999995</f>
        <v>875.90949199999989</v>
      </c>
      <c r="J16" s="3">
        <f>695+(524.8-230.8)+(0.35445+(0.267648-0.117708))+0-125.5-0.0640049999999873</f>
        <v>863.94038499999999</v>
      </c>
      <c r="K16" s="3">
        <f>692+(537.1-235.4)+(0+(0-0))+0-128.7-0</f>
        <v>865</v>
      </c>
      <c r="L16" s="3">
        <f>783+(561.8-351.6)+(-0.39933+(-0.286518--0.179316))+0-128.6--0.0655859999999869</f>
        <v>864.15905399999986</v>
      </c>
      <c r="M16" s="3">
        <f>818+(626-441.9)+(-0.41718+(-0.31926--0.225369))+0-125.8--0.0641579999999872</f>
        <v>875.85308700000007</v>
      </c>
      <c r="N16" s="3">
        <f>808+(742-497.4)+(0.41208+(0.37842-0.253674))+0-131.1-0.0668609999999867</f>
        <v>921.96996499999989</v>
      </c>
      <c r="O16" s="3">
        <f>797+(779.4-479)+(0.40647+(0.397494-0.24429))+0-140.5-0.0716549999999857</f>
        <v>957.38801900000021</v>
      </c>
      <c r="P16" s="3">
        <f>787+(716.2-395.5)+(0.40137+(0.365262-0.201705))+0-136.4-0.0695639999999862</f>
        <v>971.79536299999995</v>
      </c>
      <c r="Q16" s="3">
        <f>783+(725.7-368.8)+(-0.39933+(-0.370107--0.188088))+0-137.7--0.070226999999986</f>
        <v>1001.6888779999999</v>
      </c>
      <c r="R16" s="3">
        <f>777+(699.5-318.3)+(0+(0-0))+0-137.5-0</f>
        <v>1020.7</v>
      </c>
      <c r="S16" s="3">
        <f>771+(634.3-249.4)+(-1.57284+(-1.293972--0.508776))+0-140.9--0.287435999999994</f>
        <v>1012.9294</v>
      </c>
      <c r="T16" s="3">
        <f>770+(625.6-236.6)+(-0.3927+(-0.319056--0.120666))+0-144.8--0.0738479999999853</f>
        <v>1013.6827580000001</v>
      </c>
      <c r="U16" s="3">
        <f>770+(614-228.6)+(-0.7854+(-0.62628--0.233172))+0-137.6--0.140352000000022</f>
        <v>1016.7618440000001</v>
      </c>
      <c r="V16" s="3">
        <f>772+(622.7-238)+(-0.39372+(-0.317577--0.12138))+0-142.6--0.0727259999999855</f>
        <v>1013.582809</v>
      </c>
      <c r="W16" s="3">
        <f>777+(655.1-297.4)+(-0.79254+(-0.668202--0.303348))+0-141.6--0.144432000000023</f>
        <v>992.08703800000001</v>
      </c>
      <c r="X16" s="3">
        <f>781+(671.2-323.9)+(-1.99155+(-1.71156--0.825945))+0-144.7--0.368984999999979</f>
        <v>981.09181999999998</v>
      </c>
      <c r="Y16" s="3">
        <f>783+(707.3-273.5)+(-0.39933+(-0.360723--0.139485))+0-143.9--0.0733889999999854</f>
        <v>1072.3528209999997</v>
      </c>
      <c r="Z16" s="3">
        <f>787+(772.9-299.6)+(-1.20411+(-1.182537--0.458388))+0-147.6--0.225828000000009</f>
        <v>1110.9975690000001</v>
      </c>
      <c r="AA16" s="3">
        <f>790+(742.3-294.6)+(-1.6116+(-1.514292--0.600984))+0-146.4--0.298655999999994</f>
        <v>1089.0737479999996</v>
      </c>
      <c r="AB16" s="3">
        <f>794+(685.9-278.4)+(-0.80988+(-0.699618--0.283968))+0-142--0.144840000000023</f>
        <v>1058.41931</v>
      </c>
      <c r="AC16" s="3">
        <f>796+(590-240.5)+(-1.62384+(-1.2036--0.49062))+0-141.3--0.288251999999994</f>
        <v>1002.151432</v>
      </c>
      <c r="AD16">
        <f t="shared" si="0"/>
        <v>23338.897968000001</v>
      </c>
      <c r="AE16" s="3">
        <f>792+(782.8-296)+(0+(0-0))+0-148.1-0</f>
        <v>1130.7</v>
      </c>
    </row>
    <row r="17" spans="1:31" s="2" customFormat="1" x14ac:dyDescent="0.25">
      <c r="A17">
        <v>89</v>
      </c>
      <c r="B17">
        <v>1</v>
      </c>
      <c r="C17">
        <v>17</v>
      </c>
      <c r="D17">
        <v>4</v>
      </c>
      <c r="E17">
        <v>1</v>
      </c>
      <c r="F17" s="3">
        <f>793+(537.2-218)+(-1.21329+(-0.821916--0.33354))+0-141.7--0.216801000000008</f>
        <v>969.0151350000001</v>
      </c>
      <c r="G17" s="3">
        <f>795+(513.9-231.4)+(-2.02725+(-1.310445--0.59007))+0-138.7--0.35368499999998</f>
        <v>936.40605999999991</v>
      </c>
      <c r="H17" s="3">
        <f>799+(487.6-246.7)+(-1.22247+(-0.746028--0.377451))+0-136.9--0.209457000000008</f>
        <v>901.61841000000027</v>
      </c>
      <c r="I17" s="3">
        <f>801+(463.1-239.2)+(-2.04255+(-1.180905--0.60996))+0-135.5--0.34552499999998</f>
        <v>887.1320300000001</v>
      </c>
      <c r="J17" s="3">
        <f>805+(429.9-217.3)+(0+(0-0))+0-137.8-0</f>
        <v>879.8</v>
      </c>
      <c r="K17" s="3">
        <f>806+(468.6-256.5)+(0.82212+(0.477972-0.26163))+0-138.3-0.141066000000022</f>
        <v>880.69739599999991</v>
      </c>
      <c r="L17" s="3">
        <f>820+(532.8-335.6)+(0+(0-0))+0-134.6-0</f>
        <v>882.59999999999991</v>
      </c>
      <c r="M17" s="3">
        <f>818+(609.1-384.5)+(-1.66872+(-1.242564--0.78438))+0-132.4--0.270095999999994</f>
        <v>908.34319199999993</v>
      </c>
      <c r="N17" s="3">
        <f>813+(634.7-390.3)+(0+(0-0))+0-135.2-0</f>
        <v>922.2</v>
      </c>
      <c r="O17" s="3">
        <f>807+(663.9-367.2)+(1.23471+(1.015767-0.561816))+0-134-0.205020000000008</f>
        <v>971.18364099999997</v>
      </c>
      <c r="P17" s="3">
        <f>803+(668.5-346.4)+(0.40953+(0.340935-0.176664))+0-132.2-0.0674219999999866</f>
        <v>993.4063789999999</v>
      </c>
      <c r="Q17" s="3">
        <f>802+(651.3-279.5)+(-1.22706+(-0.996489--0.427635))+0-129.8--0.198594000000008</f>
        <v>1042.4026799999999</v>
      </c>
      <c r="R17" s="3">
        <f>781+(623.6-242)+(-0.39831+(-0.318036--0.12342))+0-129.4--0.0659939999999869</f>
        <v>1032.6730679999998</v>
      </c>
      <c r="S17" s="3">
        <f>779+(612.9-218.6)+(-0.79458+(-0.625158--0.222972))+0-132.7--0.135354000000021</f>
        <v>1039.5385879999999</v>
      </c>
      <c r="T17" s="3">
        <f>777+(594.5-206.7)+(-0.39627+(-0.303195--0.105417))+0-129.8--0.0661979999999868</f>
        <v>1034.4721500000001</v>
      </c>
      <c r="U17" s="3">
        <f>763+(605.2-214.1)+(0.77826+(0.617304-0.218382))+0-128.9-0.131478000000021</f>
        <v>1026.2457039999997</v>
      </c>
      <c r="V17" s="3">
        <f>751+(626-222.2)+(0.76602+(0.63852-0.226644))+0-139.1-0.141882000000022</f>
        <v>1016.7360139999998</v>
      </c>
      <c r="W17" s="3">
        <f>747+(629.9-228.8)+(-1.14291+(-0.963747--0.350064))+0-145.1--0.222003000000008</f>
        <v>1001.4654099999998</v>
      </c>
      <c r="X17" s="3">
        <f>750+(664.6-272.2)+(-0.765+(-0.677892--0.277644))+0-144--0.146880000000023</f>
        <v>997.38163200000008</v>
      </c>
      <c r="Y17" s="3">
        <f>778+(716.3-283.4)+(-0.79356+(-0.730626--0.289068))+0-142.4--0.145248000000023</f>
        <v>1067.41013</v>
      </c>
      <c r="Z17" s="3">
        <f>814+(738.7-322.6)+(-0.83028+(-0.753474--0.329052))+0-139.5--0.142290000000022</f>
        <v>1089.487588</v>
      </c>
      <c r="AA17" s="3">
        <f>813+(755.5-348)+(-0.82926+(-0.77061--0.35496))+0-145--0.147900000000023</f>
        <v>1074.40299</v>
      </c>
      <c r="AB17" s="3">
        <f>813+(678.1-310.2)+(0+(0-0))+0-143.1-0</f>
        <v>1037.8000000000002</v>
      </c>
      <c r="AC17" s="3">
        <f>817+(589.7-278.1)+(-0.41667+(-0.300747--0.141831))+0-143.5--0.0731849999999854</f>
        <v>984.59759899999995</v>
      </c>
      <c r="AD17">
        <f t="shared" si="0"/>
        <v>23577.015795999996</v>
      </c>
      <c r="AE17" s="3">
        <f>820+(753.7-337.4)+(0+(0-0))+0-135-0</f>
        <v>1101.3000000000002</v>
      </c>
    </row>
    <row r="18" spans="1:31" s="2" customFormat="1" x14ac:dyDescent="0.25">
      <c r="A18">
        <v>89</v>
      </c>
      <c r="B18">
        <v>1</v>
      </c>
      <c r="C18">
        <v>18</v>
      </c>
      <c r="D18">
        <v>5</v>
      </c>
      <c r="E18">
        <v>1</v>
      </c>
      <c r="F18" s="3">
        <f>826+(537.2-262)+(-1.26378+(-0.821916--0.40086))+0-142.3--0.217719000000008</f>
        <v>957.43288300000017</v>
      </c>
      <c r="G18" s="3">
        <f>828+(501.6-260.8)+(0.42228+(0.255816-0.133008))+0-140.2-0.0715019999999858</f>
        <v>929.07358599999998</v>
      </c>
      <c r="H18" s="3">
        <f>824+(462.2-255.6)+(-0.42024+(-0.235722--0.130356))+0-135--0.0688499999999863</f>
        <v>895.14324399999998</v>
      </c>
      <c r="I18" s="3">
        <f>823+(460.6-276.6)+(-0.41973+(-0.234906--0.141066))+0-130.8--0.0667079999999867</f>
        <v>875.75313799999992</v>
      </c>
      <c r="J18" s="3">
        <f>825+(449.3-272.4)+(-2.5245+(-1.374858--0.833544))+0-138.4--0.423504000000016</f>
        <v>860.85769000000005</v>
      </c>
      <c r="K18" s="3">
        <f>828+(425.7-248.8)+(0+(0-0))+0-143.5-0</f>
        <v>861.4</v>
      </c>
      <c r="L18" s="3">
        <f>814+(473.8-290.8)+(-0.83028+(-0.483276--0.296616))+0-148.2--0.151164000000024</f>
        <v>847.93422399999997</v>
      </c>
      <c r="M18" s="3">
        <f>814+(586-366.4)+(-0.41514+(-0.29886--0.186864))+0-153.2--0.0781319999999845</f>
        <v>879.95099599999992</v>
      </c>
      <c r="N18" s="3">
        <f>805+(690.4-417)+(0.41055+(0.352104-0.21267))+0-151.6-0.0773159999999846</f>
        <v>927.27266800000007</v>
      </c>
      <c r="O18" s="3">
        <f>801+(724.2-418.2)+(0+(0-0))+0-150.7-0</f>
        <v>956.3</v>
      </c>
      <c r="P18" s="3">
        <f>792+(709.1-376.3)+(0+(0-0))+0-149.2-0</f>
        <v>975.59999999999991</v>
      </c>
      <c r="Q18" s="3">
        <f>792+(719-350.1)+(-0.80784+(-0.73338--0.357102))+0-151.1--0.154122000000024</f>
        <v>1008.7700040000002</v>
      </c>
      <c r="R18" s="3">
        <f>790+(682-288.6)+(-1.2087+(-1.04346--0.441558))+0-148.1--0.226593000000009</f>
        <v>1033.7159910000003</v>
      </c>
      <c r="S18" s="3">
        <f>779+(683.5-289.1)+(-1.19187+(-1.045755--0.442323))+0-145.5--0.222615000000008</f>
        <v>1026.327313</v>
      </c>
      <c r="T18" s="3">
        <f>781+(662.7-258.6)+(-1.19493+(-1.013931--0.395658))+0-144--0.220320000000008</f>
        <v>1039.5071169999999</v>
      </c>
      <c r="U18" s="3">
        <f>780+(623.5-244)+(-1.1934+(-0.953955--0.37332))+0-134--0.205020000000008</f>
        <v>1023.9309850000001</v>
      </c>
      <c r="V18" s="3">
        <f>782+(589.5-224.3)+(-0.39882+(-0.300645--0.114393))+0-138--0.070379999999986</f>
        <v>1008.685308</v>
      </c>
      <c r="W18" s="3">
        <f>769+(595.1-232.9)+(-1.96095+(-1.517505--0.593895))+0-145.4--0.370769999999979</f>
        <v>983.2862100000001</v>
      </c>
      <c r="X18" s="3">
        <f>751+(642.9-274.7)+(-1.14903+(-0.983637--0.420291))+0-141.5--0.216495000000008</f>
        <v>976.20411900000011</v>
      </c>
      <c r="Y18" s="3">
        <f>751+(716.3-257)+(-0.76602+(-0.730626--0.26214))+0-141.9--0.144738000000023</f>
        <v>1067.3102319999998</v>
      </c>
      <c r="Z18" s="3">
        <f>746+(772.8-266.8)+(-2.66322+(-2.758896--0.952476))+0-147.1--0.525147000000002</f>
        <v>1100.9555070000001</v>
      </c>
      <c r="AA18" s="3">
        <f>748+(736.3-247)+(-1.14444+(-1.126539--0.37791))+0-151.3--0.231489000000009</f>
        <v>1084.33842</v>
      </c>
      <c r="AB18" s="3">
        <f>750+(753.3-297.3)+(-1.1475+(-1.152549--0.454869))+0-150.6--0.230418000000009</f>
        <v>1053.7852380000002</v>
      </c>
      <c r="AC18" s="3">
        <f>765+(811.8-423.2)+(0.39015+(0.414018-0.215832))+0-143.7-0.0732869999999854</f>
        <v>1010.415049</v>
      </c>
      <c r="AD18">
        <f t="shared" si="0"/>
        <v>23383.949922</v>
      </c>
      <c r="AE18" s="3">
        <f>758+(764.5-278.8)+(0+(0-0))+0-146.9-0</f>
        <v>1096.8</v>
      </c>
    </row>
    <row r="19" spans="1:31" s="2" customFormat="1" x14ac:dyDescent="0.25">
      <c r="A19">
        <v>89</v>
      </c>
      <c r="B19">
        <v>1</v>
      </c>
      <c r="C19">
        <v>19</v>
      </c>
      <c r="D19">
        <v>6</v>
      </c>
      <c r="E19">
        <v>1</v>
      </c>
      <c r="F19" s="3">
        <f>815+(585.3-285.3)+(-1.6626+(-1.194012--0.582012))+0-141.8--0.289271999999994</f>
        <v>971.21467200000006</v>
      </c>
      <c r="G19" s="3">
        <f>817+(521.6-260.7)+(-1.25001+(-0.798048--0.398871))+0-137--0.209610000000008</f>
        <v>939.46042300000011</v>
      </c>
      <c r="H19" s="3">
        <f>819+(550.2-314)+(-0.83538+(-0.561204--0.32028))+0-144--0.146880000000023</f>
        <v>910.27057600000012</v>
      </c>
      <c r="I19" s="3">
        <f>826+(560.7-351.4)+(-1.26378+(-0.857871--0.537642))+0-142.6--0.218178000000008</f>
        <v>891.3341690000002</v>
      </c>
      <c r="J19" s="3">
        <f>831+(542.3-349)+(0+(0-0))+0-143.4-0</f>
        <v>880.9</v>
      </c>
      <c r="K19" s="3">
        <f>831+(526.7-328.8)+(0.42381+(0.268617-0.167688))+0-145.2-0.0740519999999853</f>
        <v>884.15068700000006</v>
      </c>
      <c r="L19" s="3">
        <f>834+(517.2-341.5)+(-0.85068+(-0.527544--0.34833))+0-145.7--0.148614000000023</f>
        <v>863.11872000000005</v>
      </c>
      <c r="M19" s="3">
        <f>829+(577.8-381.7)+(-0.42279+(-0.294678--0.194667))+0-149.2--0.0760919999999849</f>
        <v>875.45329099999981</v>
      </c>
      <c r="N19" s="3">
        <f>788+(665.9-392.5)+(-0.40188+(-0.339609--0.200175))+0-151.1--0.0770609999999847</f>
        <v>909.83574699999997</v>
      </c>
      <c r="O19" s="3">
        <f>792+(671-368.4)+(1.21176+(1.02663-0.563652))+0-147.1-0.225063000000008</f>
        <v>948.94967499999984</v>
      </c>
      <c r="P19" s="3">
        <f>794+(635.2-307.6)+(0.80988+(0.647904-0.313752))+0-142.5-0.145350000000023</f>
        <v>980.09868199999983</v>
      </c>
      <c r="Q19" s="3">
        <f>795+(663.2-303.6)+(0.40545+(0.338232-0.154836))+0-139.9-0.0713489999999858</f>
        <v>1015.2174970000001</v>
      </c>
      <c r="R19" s="3">
        <f>795+(701.3-316.2)+(0+(0-0))+0-139.4-0</f>
        <v>1040.6999999999998</v>
      </c>
      <c r="S19" s="3">
        <f>796+(756.7-364.6)+(-1.62384+(-1.543668--0.743784))+0-142.7--0.291107999999994</f>
        <v>1043.2673839999998</v>
      </c>
      <c r="T19" s="3">
        <f>789+(863.9-458.4)+(1.20717+(1.321767-0.701352))+0-147.9-0.226287000000009</f>
        <v>1048.201298</v>
      </c>
      <c r="U19" s="3">
        <f>787+(895.3-504.5)+(-0.40137+(-0.456603--0.257295))+0-150.9--0.0769589999999847</f>
        <v>1026.3762809999998</v>
      </c>
      <c r="V19" s="3">
        <f>791+(828.6-449.8)+(-0.40341+(-0.422586--0.229398))+0-162.7--0.0829769999999835</f>
        <v>1006.5863789999999</v>
      </c>
      <c r="W19" s="3">
        <f>792+(654.9-300.5)+(-0.80784+(-0.667998--0.30651))+0-165.6--0.168912000000026</f>
        <v>979.7995840000001</v>
      </c>
      <c r="X19" s="3">
        <f>797+(541-223.3)+(-0.40647+(-0.27591--0.113883))+0-165.8--0.0845579999999832</f>
        <v>948.41606100000013</v>
      </c>
      <c r="Y19" s="3">
        <f>801+(711.8-295.8)+(0.81702+(0.726036-0.301716))+0-162.3-0.165546000000026</f>
        <v>1055.7757940000001</v>
      </c>
      <c r="Z19" s="3">
        <f>825+(771.8-338.1)+(0.42075+(0.393618-0.172431))+0-162.7-0.0829769999999835</f>
        <v>1096.5589599999998</v>
      </c>
      <c r="AA19" s="3">
        <f>845+(773.1-368.7)+(0+(0-0))+0-163.3-0</f>
        <v>1086.1000000000001</v>
      </c>
      <c r="AB19" s="3">
        <f>852+(768.8-395.2)+(-1.30356+(-1.176264--0.604656))+0-162.2--0.248166000000009</f>
        <v>1061.7729979999999</v>
      </c>
      <c r="AC19" s="3">
        <f>858+(722.1-391.2)+(0+(0-0))+0-163.8-0</f>
        <v>1025.1000000000001</v>
      </c>
      <c r="AD19">
        <f t="shared" si="0"/>
        <v>23488.658877999998</v>
      </c>
      <c r="AE19" s="3">
        <f>840+(762.3-338.7)+(0+(0-0))+0-157.1-0</f>
        <v>1106.5</v>
      </c>
    </row>
    <row r="20" spans="1:31" s="2" customFormat="1" x14ac:dyDescent="0.25">
      <c r="A20">
        <v>89</v>
      </c>
      <c r="B20">
        <v>1</v>
      </c>
      <c r="C20">
        <v>20</v>
      </c>
      <c r="D20">
        <v>7</v>
      </c>
      <c r="E20">
        <v>1</v>
      </c>
      <c r="F20" s="3">
        <f>864+(658.4-362.5)+(-0.88128+(-0.671568--0.36975))+0-164.8--0.168096000000026</f>
        <v>994.08499800000016</v>
      </c>
      <c r="G20" s="3">
        <f>868+(622.2-370.6)+(-1.77072+(-1.269288--0.756024))+0-161--0.328439999999993</f>
        <v>956.64445599999999</v>
      </c>
      <c r="H20" s="3">
        <f>865+(570.5-353.1)+(-0.8823+(-0.58191--0.360162))+0-158.8--0.161976000000025</f>
        <v>922.6579280000002</v>
      </c>
      <c r="I20" s="3">
        <f>869+(514.2-330)+(-0.44319+(-0.262242--0.1683))+0-158.5--0.0808349999999839</f>
        <v>894.2437030000001</v>
      </c>
      <c r="J20" s="3">
        <f>870+(495-319)+(-0.8874+(-0.5049--0.32538))+0-157.5--0.160650000000025</f>
        <v>887.59373000000005</v>
      </c>
      <c r="K20" s="3">
        <f>872+(432-262.8)+(-0.44472+(-0.22032--0.134028))+0-154.8--0.0789479999999843</f>
        <v>885.94793600000014</v>
      </c>
      <c r="L20" s="3">
        <f>876+(340.9-200.1)+(-1.78704+(-0.695436--0.408204))+0-154.1--0.314363999999993</f>
        <v>860.94009199999994</v>
      </c>
      <c r="M20" s="3">
        <f>852+(352.8-182.2)+(0+(0-0))+0-153-0</f>
        <v>869.6</v>
      </c>
      <c r="N20" s="3">
        <f>823+(411.6-197.4)+(-0.83946+(-0.419832--0.201348))+0-149--0.151980000000024</f>
        <v>887.29403600000012</v>
      </c>
      <c r="O20" s="3">
        <f>827+(466-222.9)+(1.26531+(0.71298-0.341037))+0-152-0.232560000000009</f>
        <v>919.50469299999997</v>
      </c>
      <c r="P20" s="3">
        <f>818+(530.6-245.9)+(0.83436+(0.541212-0.250818))+0-146.3-0.149226000000023</f>
        <v>957.37552800000003</v>
      </c>
      <c r="Q20" s="3">
        <f>807+(594.9-262.3)+(0.41157+(0.303399-0.133773))+0-140.8-0.0718079999999857</f>
        <v>999.30938800000001</v>
      </c>
      <c r="R20" s="3">
        <f>780+(651.3-289.4)+(0+(0-0))+0-132.5-0</f>
        <v>1009.4000000000001</v>
      </c>
      <c r="S20" s="3">
        <f>771+(745.3-345.1)+(-0.39321+(-0.380103--0.176001))+0-138.1--0.070430999999986</f>
        <v>1032.5731189999999</v>
      </c>
      <c r="T20" s="3">
        <f>775+(744.1-349.2)+(-0.7905+(-0.758982--0.356184))+0-140.3--0.143106000000022</f>
        <v>1028.5498080000002</v>
      </c>
      <c r="U20" s="3">
        <f>782+(706.2-332.8)+(0.39882+(0.360162-0.169728))+0-145.4-0.0741539999999853</f>
        <v>1010.5151000000001</v>
      </c>
      <c r="V20" s="3">
        <f>788+(644.1-292.1)+(-1.60752+(-1.313964--0.595884))+0-159.1--0.324563999999993</f>
        <v>978.89896400000009</v>
      </c>
      <c r="W20" s="3">
        <f>787+(578.8-243.6)+(-0.80274+(-0.590376--0.248472))+0-162.7--0.165954000000026</f>
        <v>958.52130999999986</v>
      </c>
      <c r="X20" s="3">
        <f>783+(551.5-192.8)+(-2.39598+(-1.68759--0.589968))+0-169.3--0.51805800000002</f>
        <v>969.42445600000008</v>
      </c>
      <c r="Y20" s="3">
        <f>803+(737.6-312.4)+(0+(0-0))+0-163.4-0</f>
        <v>1064.8</v>
      </c>
      <c r="Z20" s="3">
        <f>823+(846.9-390.2)+(-0.41973+(-0.431919--0.199002))+0-163.8--0.0835379999999834</f>
        <v>1115.3308910000003</v>
      </c>
      <c r="AA20" s="3">
        <f>824+(826.5-382.2)+(-1.26072+(-1.264545--0.584766))+0-161.2--0.246636000000009</f>
        <v>1105.4061369999999</v>
      </c>
      <c r="AB20" s="3">
        <f>833+(784.8-374.2)+(-1.27449+(-1.200744--0.572526))+0-152.4--0.233172000000009</f>
        <v>1089.5304639999997</v>
      </c>
      <c r="AC20" s="3">
        <f>833+(717.3-354.5)+(-1.69932+(-1.463292--0.72318))+0-151--0.308039999999993</f>
        <v>1042.6686079999999</v>
      </c>
      <c r="AD20">
        <f t="shared" si="0"/>
        <v>23440.815344999999</v>
      </c>
      <c r="AE20" s="3">
        <f>822+(849.4-393.3)+(0+(0-0))+0-162-0</f>
        <v>1116.0999999999999</v>
      </c>
    </row>
    <row r="21" spans="1:31" s="2" customFormat="1" x14ac:dyDescent="0.25">
      <c r="A21">
        <v>89</v>
      </c>
      <c r="B21">
        <v>1</v>
      </c>
      <c r="C21">
        <v>21</v>
      </c>
      <c r="D21">
        <v>1</v>
      </c>
      <c r="E21">
        <v>1</v>
      </c>
      <c r="F21" s="3">
        <f>815+(720.9-370.7)+(-2.07825+(-1.838295--0.945285))+0-152.4--0.388619999999978</f>
        <v>1010.21736</v>
      </c>
      <c r="G21" s="3">
        <f>819+(647.3-342.4)+(-2.08845+(-1.650615--0.87312))+0-150.7--0.384284999999978</f>
        <v>970.71834000000001</v>
      </c>
      <c r="H21" s="3">
        <f>822+(589.1-317.6)+(-2.51532+(-1.802646--0.971856))+0-147.7--0.451962000000017</f>
        <v>942.90585199999998</v>
      </c>
      <c r="I21" s="3">
        <f>820+(537.3-288.8)+(-0.4182+(-0.274023--0.147288))+0-147--0.0749699999999851</f>
        <v>921.03003500000011</v>
      </c>
      <c r="J21" s="3">
        <f>819+(523.5-284.6)+(-1.25307+(-0.800955--0.435438))+0-145.6--0.222768000000008</f>
        <v>910.90418100000011</v>
      </c>
      <c r="K21" s="3">
        <f>817+(467.1-232.6)+(-0.83334+(-0.476442--0.237252))+0-146.9--0.149838000000023</f>
        <v>903.67730800000015</v>
      </c>
      <c r="L21" s="3">
        <f>820+(451.4-235.8)+(-2.5092+(-1.381284--0.721548))+0-147.2--0.450432000000017</f>
        <v>885.68149599999981</v>
      </c>
      <c r="M21" s="3">
        <f>817+(528.1-283.9)+(0.41667+(0.269331-0.144789))+0-151.8-0.0774179999999846</f>
        <v>909.86379400000021</v>
      </c>
      <c r="N21" s="3">
        <f>781+(639.1-322.1)+(0+(0-0))+0-153.8-0</f>
        <v>944.2</v>
      </c>
      <c r="O21" s="3">
        <f>772+(700.6-349.3)+(-0.78744+(-0.714612--0.356286))+11.3-150.4--0.153408000000024</f>
        <v>983.20764199999985</v>
      </c>
      <c r="P21" s="3">
        <f>760+(741-336.5)+(0.3876+(0.37791-0.171615))+0-150.8-0.0769079999999847</f>
        <v>1014.216987</v>
      </c>
      <c r="Q21" s="3">
        <f>744+(731.3-279.4)+(0.37944+(0.372963-0.142494))+0-146.5-0.0747149999999851</f>
        <v>1049.9351940000001</v>
      </c>
      <c r="R21" s="3">
        <f>739+(808.6-328.7)+(-0.75378+(-0.824772--0.335274))+0-145.5--0.148410000000023</f>
        <v>1072.3051320000002</v>
      </c>
      <c r="S21" s="3">
        <f>734+(834.8-339.1)+(-1.8717+(-2.12874--0.864705))+0-147.1--0.375104999999979</f>
        <v>1079.8393699999999</v>
      </c>
      <c r="T21" s="3">
        <f>745+(823.7-343.7)+(0.37995+(0.420087-0.175287))+0-152.3-0.0776729999999846</f>
        <v>1073.247077</v>
      </c>
      <c r="U21" s="3">
        <f>746+(748.1-321.5)+(-1.52184+(-1.526124--0.65586))+0-146.2--0.298247999999994</f>
        <v>1024.3061439999999</v>
      </c>
      <c r="V21" s="3">
        <f>769+(586.7-283.1)+(0+(0-0))+0-116.7-0</f>
        <v>955.89999999999986</v>
      </c>
      <c r="W21" s="3">
        <f>788+(595.8-294.7)+(-1.60752+(-1.215432--0.601188))+0-131.8--0.268871999999994</f>
        <v>955.34710800000005</v>
      </c>
      <c r="X21" s="3">
        <f>790+(638.8-305.4)+(-0.8058+(-0.651576--0.311508))+0-148.7--0.151674000000024</f>
        <v>973.70580600000005</v>
      </c>
      <c r="Y21" s="3">
        <f>792+(676.7-252.1)+(-1.61568+(-1.380468--0.514284))+0-154.3--0.314771999999993</f>
        <v>1060.1329079999998</v>
      </c>
      <c r="Z21" s="3">
        <f>794+(740.3-251.1)+(-1.21482+(-1.132659--0.384183))+0-158.3--0.242199000000009</f>
        <v>1123.178903</v>
      </c>
      <c r="AA21" s="3">
        <f>794+(729-253.8)+(-1.21482+(-1.11537--0.388314))+0-154.9--0.236997000000009</f>
        <v>1112.5951209999998</v>
      </c>
      <c r="AB21" s="3">
        <f>804+(720.7-282.1)+(-1.23012+(-1.102671--0.431613))+0-154.3--0.236079000000009</f>
        <v>1086.6349009999999</v>
      </c>
      <c r="AC21" s="3">
        <f>802+(680.1-288.6)+(-1.63608+(-1.387404--0.588744))+0-154.7--0.315587999999993</f>
        <v>1036.680848</v>
      </c>
      <c r="AD21">
        <f t="shared" si="0"/>
        <v>24000.431507000001</v>
      </c>
      <c r="AE21" s="3">
        <f>803+(768.4-257.2)+(0+(0-0))+0-161.5-0</f>
        <v>1152.7</v>
      </c>
    </row>
    <row r="22" spans="1:31" s="2" customFormat="1" x14ac:dyDescent="0.25">
      <c r="A22">
        <v>89</v>
      </c>
      <c r="B22">
        <v>1</v>
      </c>
      <c r="C22">
        <v>22</v>
      </c>
      <c r="D22">
        <v>2</v>
      </c>
      <c r="E22">
        <v>1</v>
      </c>
      <c r="F22" s="3">
        <f>800+(598.9-250.3)+(-0.816+(-0.610878--0.255306))+0-155.4--0.158508000000025</f>
        <v>992.18693599999995</v>
      </c>
      <c r="G22" s="3">
        <f>800+(516.7-205.7)+(-2.04+(-1.317585--0.524535))+0-153.8--0.392189999999978</f>
        <v>954.75914000000012</v>
      </c>
      <c r="H22" s="3">
        <f>800+(472.1-205.4)+(-1.224+(-0.722313--0.314262))+0-151.2--0.231336000000009</f>
        <v>914.09928500000001</v>
      </c>
      <c r="I22" s="3">
        <f>800+(431.9-188)+(-1.224+(-0.660807--0.28764))+0-153.2--0.234396000000009</f>
        <v>889.33722900000021</v>
      </c>
      <c r="J22" s="3">
        <f>797+(388.6-151.2)+(-2.03235+(-0.99093--0.38556))+0-152.1--0.387854999999978</f>
        <v>880.05013500000007</v>
      </c>
      <c r="K22" s="3">
        <f>800+(377.6-154.5)+(0.816+(0.385152-0.15759))+0-150.3-0.153306000000024</f>
        <v>873.69025599999998</v>
      </c>
      <c r="L22" s="3">
        <f>805+(413.1-196.9)+(-2.05275+(-1.053405--0.502095))+0-147.6--0.376379999999979</f>
        <v>871.37231999999995</v>
      </c>
      <c r="M22" s="3">
        <f>806+(457.5-214.5)+(-0.41106+(-0.233325--0.109395))+0-153.6--0.0783359999999844</f>
        <v>894.94334599999991</v>
      </c>
      <c r="N22" s="3">
        <f>806+(555.8-271.8)+(0.41106+(0.283458-0.138618))+0-151.7-0.0773669999999846</f>
        <v>938.77853300000004</v>
      </c>
      <c r="O22" s="3">
        <f>797+(663.2-329.6)+(-0.40647+(-0.338232--0.168096))+0-146--0.0744599999999852</f>
        <v>984.09785399999976</v>
      </c>
      <c r="P22" s="3">
        <f>807+(633.5-294.1)+(-0.41157+(-0.323085--0.149991))+0-146.2--0.0745619999999852</f>
        <v>999.68989800000008</v>
      </c>
      <c r="Q22" s="3">
        <f>808+(592.5-218.1)+(0.41208+(0.302175-0.111231))+0-144.3-0.0735929999999854</f>
        <v>1038.6294310000001</v>
      </c>
      <c r="R22" s="3">
        <f>800+(610.2-209.3)+(-1.224+(-0.933606--0.320229))+0-142.1--0.217413000000008</f>
        <v>1057.1800360000002</v>
      </c>
      <c r="S22" s="3">
        <f>796+(663.8-244.7)+(-1.21788+(-1.015614--0.374391))+0-145.3--0.222309000000008</f>
        <v>1068.1632059999999</v>
      </c>
      <c r="T22" s="3">
        <f>795+(719.3-280)+(0+(0-0))+0-147.7-0</f>
        <v>1086.5999999999999</v>
      </c>
      <c r="U22" s="3">
        <f>789+(698.6-258.4)+(0+(0-0))+0-144.8-0</f>
        <v>1084.4000000000001</v>
      </c>
      <c r="V22" s="3">
        <f>779+(644-219.6)+(-0.39729+(-0.32844--0.111996))+0-146.3--0.0746129999999852</f>
        <v>1056.5608790000001</v>
      </c>
      <c r="W22" s="3">
        <f>773+(599-203.1)+(-2.36538+(-1.83294--0.621486))+0-149.4--0.457164000000017</f>
        <v>1016.3803300000002</v>
      </c>
      <c r="X22" s="3">
        <f>779+(603.4-241.7)+(-0.39729+(-0.307734--0.123267))+0-149.7--0.0763469999999848</f>
        <v>990.49459000000002</v>
      </c>
      <c r="Y22" s="3">
        <f>787+(691.3-240.9)+(-0.80274+(-0.705126--0.245718))+0-147.9--0.150858000000024</f>
        <v>1088.3887099999999</v>
      </c>
      <c r="Z22" s="3">
        <f>825+(750-280.6)+(-2.5245+(-2.295--0.858636))+0-147.6--0.451656000000017</f>
        <v>1143.2907920000002</v>
      </c>
      <c r="AA22" s="3">
        <f>827+(748.9-290.3)+(-1.68708+(-1.527756--0.592212))+0-146.5--0.298859999999994</f>
        <v>1136.7762359999999</v>
      </c>
      <c r="AB22" s="3">
        <f>836+(751.2-343.3)+(0+(0-0))+0-143.9-0</f>
        <v>1100</v>
      </c>
      <c r="AC22" s="3">
        <f>843+(754.6-407.9)+(-0.42993+(-0.384846--0.208029))+0-146.9--0.0749189999999851</f>
        <v>1042.2681719999998</v>
      </c>
      <c r="AD22">
        <f t="shared" si="0"/>
        <v>24102.137314</v>
      </c>
      <c r="AE22" s="3">
        <f>793+(746.4-287.8)+(0+(0-0))+0-150.2-0</f>
        <v>1101.3999999999999</v>
      </c>
    </row>
    <row r="23" spans="1:31" s="2" customFormat="1" x14ac:dyDescent="0.25">
      <c r="A23">
        <v>89</v>
      </c>
      <c r="B23">
        <v>1</v>
      </c>
      <c r="C23">
        <v>23</v>
      </c>
      <c r="D23">
        <v>3</v>
      </c>
      <c r="E23">
        <v>1</v>
      </c>
      <c r="F23" s="3">
        <f>836+(659.8-358.5)+(-1.27908+(-1.009494--0.548505))+0-148.3--0.226899000000009</f>
        <v>987.48683000000005</v>
      </c>
      <c r="G23" s="3">
        <f>837+(596.3-335.1)+(0+(0-0))+0-145.8-0</f>
        <v>952.39999999999986</v>
      </c>
      <c r="H23" s="3">
        <f>844+(544.5-322.2)+(-0.86088+(-0.55539--0.328644))+0-145.6--0.148512000000023</f>
        <v>919.76088599999991</v>
      </c>
      <c r="I23" s="3">
        <f>846+(474.8-272.6)+(-0.43146+(-0.242148--0.139026))+0-146.5--0.0747149999999851</f>
        <v>901.24013300000001</v>
      </c>
      <c r="J23" s="3">
        <f>854+(423.8-244.2)+(-1.74216+(-0.864552--0.498168))+0-147.3--0.300491999999994</f>
        <v>884.49194799999998</v>
      </c>
      <c r="K23" s="3">
        <f>853+(382.6-208.4)+(-0.43503+(-0.195126--0.106284))+0-147.9--0.075428999999985</f>
        <v>878.85155700000007</v>
      </c>
      <c r="L23" s="3">
        <f>852+(353.1-187.2)+(-0.43452+(-0.180081--0.095472))+0-150--0.0764999999999848</f>
        <v>867.45737100000008</v>
      </c>
      <c r="M23" s="3">
        <f>856+(366.9-201.6)+(-0.87312+(-0.374238--0.205632))+0-151.8--0.154836000000024</f>
        <v>868.61310999999989</v>
      </c>
      <c r="N23" s="3">
        <f>841+(456.3-236.4)+(-1.71564+(-0.930852--0.482256))+0-149.1--0.304163999999994</f>
        <v>909.93992800000001</v>
      </c>
      <c r="O23" s="3">
        <f>836.8+(518.3-248.7)+(-1.280304+(-0.792999--0.380511))+0-147.2--0.225216000000008</f>
        <v>957.73242399999981</v>
      </c>
      <c r="P23" s="3">
        <f>827.8+(548.8-240.3)+(-1.266534+(-0.839664--0.367659))+0-144--0.220320000000008</f>
        <v>990.78178100000002</v>
      </c>
      <c r="Q23" s="3">
        <f>814.5+(550.1-207.2)+(-0.83079+(-0.561102--0.211344))+0-135--0.137700000000022</f>
        <v>1021.357152</v>
      </c>
      <c r="R23" s="3">
        <f>800+(735-329.2)+(0+(0-0))+0-129.8-0</f>
        <v>1076</v>
      </c>
      <c r="S23" s="3">
        <f>796.5+(884-448.4)+(-0.406215+(-0.45084--0.228684))+0-141.2--0.0720119999999857</f>
        <v>1090.3436409999999</v>
      </c>
      <c r="T23" s="3">
        <f>790+(884.5-437.8)+(-0.8058+(-0.90219--0.446556))+0-146.5--0.149430000000023</f>
        <v>1089.087996</v>
      </c>
      <c r="U23" s="3">
        <f>792+(866.3-423.4)+(-0.80784+(-0.883626--0.431868))+0-146.9--0.149838000000023</f>
        <v>1086.8902399999999</v>
      </c>
      <c r="V23" s="3">
        <f>789+(739-309.8)+(-0.80478+(-0.75378--0.315996))+0-153.9--0.156978000000025</f>
        <v>1063.214414</v>
      </c>
      <c r="W23" s="3">
        <f>784+(550.2-156.4)+(-0.39984+(-0.280602--0.079764))+0-153.8--0.0784379999999844</f>
        <v>1023.4777600000002</v>
      </c>
      <c r="X23" s="3">
        <f>791+(479.2-119.9)+(-0.40341+(-0.244392--0.061149))+0-153.3--0.0781829999999845</f>
        <v>996.4915299999999</v>
      </c>
      <c r="Y23" s="3">
        <f>805+(641-206.5)+(0+(0-0))+0-151.9-0</f>
        <v>1087.5999999999999</v>
      </c>
      <c r="Z23" s="3">
        <f>811+(733.9-250.7)+(-0.82722+(-0.748578--0.255714))+0-152.3--0.155346000000024</f>
        <v>1140.7352620000001</v>
      </c>
      <c r="AA23" s="3">
        <f>813+(772-298)+(-0.82926+(-0.78744--0.30396))+0-152.6--0.155652000000024</f>
        <v>1133.2429119999999</v>
      </c>
      <c r="AB23" s="3">
        <f>813+(841.3-384.3)+(-1.65852+(-1.716252--0.783972))+0-158.8--0.323951999999993</f>
        <v>1108.9331520000001</v>
      </c>
      <c r="AC23" s="3">
        <f>817+(857.1-477.2)+(-0.83334+(-0.874242--0.486744))+0-161.5--0.164730000000026</f>
        <v>1034.3438920000001</v>
      </c>
      <c r="AD23">
        <f t="shared" si="0"/>
        <v>24070.473919000004</v>
      </c>
      <c r="AE23" s="3">
        <f>816+(712.9-239.5)+(0+(0-0))+0-148.8-0</f>
        <v>1140.6000000000001</v>
      </c>
    </row>
    <row r="24" spans="1:31" s="2" customFormat="1" x14ac:dyDescent="0.25">
      <c r="A24">
        <v>89</v>
      </c>
      <c r="B24">
        <v>1</v>
      </c>
      <c r="C24">
        <v>24</v>
      </c>
      <c r="D24">
        <v>4</v>
      </c>
      <c r="E24">
        <v>1</v>
      </c>
      <c r="F24" s="3">
        <f>771+(837.8-431)+(-1.17963+(-1.281834--0.65943))+0-166.3--0.25443900000001</f>
        <v>1009.952405</v>
      </c>
      <c r="G24" s="3">
        <f>646+(890.3-401.7)+(-0.98838+(-1.362159--0.614601))+0-161--0.246330000000009</f>
        <v>972.11039199999993</v>
      </c>
      <c r="H24" s="3">
        <f>639+(819.1-353.5)+(0.32589+(0.417741-0.180285))+0-159.6-0.0813959999999838</f>
        <v>945.48194999999987</v>
      </c>
      <c r="I24" s="3">
        <f>644+(758.8-321.3)+(-0.98532+(-1.160964--0.491589))+0-159.5--0.244035000000009</f>
        <v>920.58934000000011</v>
      </c>
      <c r="J24" s="3">
        <f>642+(790.3-365.4)+(-1.6371+(-2.015265--0.93177))+0-161.2--0.411059999999977</f>
        <v>903.39046500000006</v>
      </c>
      <c r="K24" s="3">
        <f>646+(705.5-287.8)+(-0.98838+(-1.079415--0.440334))+0-162.2--0.248166000000009</f>
        <v>900.12070499999993</v>
      </c>
      <c r="L24" s="3">
        <f>638+(584.9-197)+(-0.32538+(-0.298299--0.10047))+0-161.6--0.0824159999999836</f>
        <v>863.85920700000008</v>
      </c>
      <c r="M24" s="3">
        <f>636+(595.2-188.9)+(0+(0-0))+0-164.2-0</f>
        <v>878.10000000000014</v>
      </c>
      <c r="N24" s="3">
        <f>627+(659.8-206.4)+(0+(0-0))+0-166.7-0</f>
        <v>913.7</v>
      </c>
      <c r="O24" s="3">
        <f>622+(721.9-226.4)+(-0.31722+(-0.368169--0.115464))+0-164.8--0.0840479999999833</f>
        <v>952.21412299999997</v>
      </c>
      <c r="P24" s="3">
        <f>617+(774.9-242.7)+(0+(0-0))+0-163.5-0</f>
        <v>985.7</v>
      </c>
      <c r="Q24" s="3">
        <f>613+(815.2-250.5)+(0+(0-0))+0-159-0</f>
        <v>1018.7</v>
      </c>
      <c r="R24" s="3">
        <f>605+(861.7-264.8)+(-0.92565+(-1.318401--0.405144))+0-149.9--0.229347000000009</f>
        <v>1050.3904399999999</v>
      </c>
      <c r="S24" s="3">
        <f>601+(985.1-354.3)+(-0.61302+(-1.004802--0.361386))+0-152.5--0.155550000000024</f>
        <v>1078.199114</v>
      </c>
      <c r="T24" s="3">
        <f>622+(1004.2-393)+(-0.31722+(-0.512142--0.20043))+0-161.2--0.0822119999999836</f>
        <v>1071.4532799999999</v>
      </c>
      <c r="U24" s="3">
        <f>620+(994.9-402.5)+(0.3162+(0.507399-0.205275))+0-154.6-0.0788459999999843</f>
        <v>1058.3394780000003</v>
      </c>
      <c r="V24" s="3">
        <f>623+(865.2-293.9)+(-0.31773+(-0.441252--0.149889))+0-151.9--0.0774689999999846</f>
        <v>1041.8683760000001</v>
      </c>
      <c r="W24" s="3">
        <f>622+(705.1-163.3)+(-0.95166+(-1.078803--0.249849))+0-160.5--0.245565000000009</f>
        <v>1001.764951</v>
      </c>
      <c r="X24" s="3">
        <f>627+(667.1-145.5)+(-1.59885+(-1.701105--0.371025))+0-152.3--0.388364999999978</f>
        <v>993.75943499999994</v>
      </c>
      <c r="Y24" s="3">
        <f>633+(838.7-232.1)+(-0.64566+(-0.855474--0.236742))+0-150.3--0.153306000000024</f>
        <v>1088.1889139999998</v>
      </c>
      <c r="Z24" s="3">
        <f>637+(947.7-278.5)+(-1.29948+(-1.933308--0.56814))+0-150.3--0.306611999999993</f>
        <v>1153.5419640000002</v>
      </c>
      <c r="AA24" s="3">
        <f>638+(948.4-289.3)+(-1.6269+(-2.41842--0.737715))+0-152.5--0.388874999999978</f>
        <v>1141.6812699999998</v>
      </c>
      <c r="AB24" s="3">
        <f>630+(991.1-348)+(-1.2852+(-2.021844--0.70992))+0-149.4--0.304775999999994</f>
        <v>1121.4076519999999</v>
      </c>
      <c r="AC24" s="3">
        <f>631+(960.2-374.3)+(-1.28724+(-1.958808--0.763572))+0-146.4--0.298655999999994</f>
        <v>1068.31618</v>
      </c>
      <c r="AD24">
        <f t="shared" si="0"/>
        <v>24132.829641000004</v>
      </c>
      <c r="AE24" s="3">
        <f>646+(968-289)+(0+(0-0))+0-150-0</f>
        <v>1175</v>
      </c>
    </row>
    <row r="25" spans="1:31" s="2" customFormat="1" x14ac:dyDescent="0.25">
      <c r="A25">
        <v>89</v>
      </c>
      <c r="B25">
        <v>1</v>
      </c>
      <c r="C25">
        <v>25</v>
      </c>
      <c r="D25">
        <v>5</v>
      </c>
      <c r="E25">
        <v>1</v>
      </c>
      <c r="F25" s="3">
        <f>632+(904.9-364.4)+(-0.96696+(-1.384497--0.557532))+0-145.6--0.222768000000008</f>
        <v>1025.3288430000002</v>
      </c>
      <c r="G25" s="3">
        <f>634+(849.5-357.6)+(-0.97002+(-1.299735--0.547128))+0-144.9--0.221697000000008</f>
        <v>979.49907000000007</v>
      </c>
      <c r="H25" s="3">
        <f>635+(789.7-326.3)+(-0.6477+(-0.805494--0.332826))+0-142.6--0.145452000000023</f>
        <v>954.82508399999995</v>
      </c>
      <c r="I25" s="3">
        <f>639+(709.3-275.6)+(-0.65178+(-0.723486--0.281112))+0-142.1--0.144942000000023</f>
        <v>929.65078799999992</v>
      </c>
      <c r="J25" s="3">
        <f>642+(655.5-225.9)+(-0.65484+(-0.66861--0.230418))+0-143.1--0.145962000000023</f>
        <v>927.55292999999995</v>
      </c>
      <c r="K25" s="3">
        <f>644+(593-171.9)+(0.32844+(0.30243-0.087669))+0-144.6-0.0737459999999853</f>
        <v>920.96945499999981</v>
      </c>
      <c r="L25" s="3">
        <f>648+(557.3-169.8)+(-0.33048+(-0.284223--0.086598))+0-141.3--0.0720629999999857</f>
        <v>893.74395799999991</v>
      </c>
      <c r="M25" s="3">
        <f>644+(625.9-212.5)+(0.32844+(0.319209-0.108375))+0-146.5-0.0747149999999851</f>
        <v>911.3645590000001</v>
      </c>
      <c r="N25" s="3">
        <f>636+(698.2-236.2)+(0+(0-0))+0-147.7-0</f>
        <v>950.3</v>
      </c>
      <c r="O25" s="3">
        <f>610+(732.7-203.3)+(-0.3111+(-0.373677--0.103683))+0-145.7--0.0743069999999852</f>
        <v>993.19321300000013</v>
      </c>
      <c r="P25" s="3">
        <f>610+(781.5-225.2)+(0.6222+(0.79713-0.229704))+0-147.6-0.150552000000024</f>
        <v>1019.739074</v>
      </c>
      <c r="Q25" s="3">
        <f>608+(868.9-270.7)+(-0.93024+(-1.329417--0.414171))+0-148.7--0.227511000000009</f>
        <v>1055.8820250000001</v>
      </c>
      <c r="R25" s="3">
        <f>608+(940.7-312.7)+(0.31008+(0.479757-0.159477))+0-148.6-0.0757859999999849</f>
        <v>1087.9545740000003</v>
      </c>
      <c r="S25" s="3">
        <f>607+(993-350.6)+(-0.30957+(-0.50643--0.178806))+0-153.2--0.0781319999999845</f>
        <v>1095.6409380000002</v>
      </c>
      <c r="T25" s="3">
        <f>608+(980-343.2)+(0.31008+(0.4998-0.175032))+0-152.3-0.0776729999999846</f>
        <v>1093.0571749999999</v>
      </c>
      <c r="U25" s="3">
        <f>602+(941.4-314.7)+(-0.92106+(-1.440342--0.481491))+0-150.2--0.229806000000009</f>
        <v>1076.8498950000001</v>
      </c>
      <c r="V25" s="3">
        <f>563+(908.2-288.4)+(0+(0-0))+0-152.3-0</f>
        <v>1030.5000000000002</v>
      </c>
      <c r="W25" s="3">
        <f>562+(839.1-250.1)+(-0.85986+(-1.283823--0.382653))+0-149.4--0.228582000000009</f>
        <v>1000.0675520000001</v>
      </c>
      <c r="X25" s="3">
        <f>596+(763.4-208.9)+(-1.82376+(-2.336004--0.639234))+0-144.3--0.441558000000017</f>
        <v>1003.121028</v>
      </c>
      <c r="Y25" s="3">
        <f>609+(906.8-272.1)+(-0.62118+(-0.924936--0.277542))+0-144.2--0.147084000000023</f>
        <v>1098.3785099999998</v>
      </c>
      <c r="Z25" s="3">
        <f>642+(1008.8-331.3)+(-1.30968+(-2.057952--0.675852))+0-149.3--0.304571999999994</f>
        <v>1167.8127919999999</v>
      </c>
      <c r="AA25" s="3">
        <f>649+(997.3-346.1)+(-0.99297+(-1.525869--0.529533))+0-151.8--0.232254000000009</f>
        <v>1146.6429479999999</v>
      </c>
      <c r="AB25" s="3">
        <f>646+(954.9-331)+(-1.31784+(-1.947996--0.67524))+0-154.3--0.314771999999993</f>
        <v>1113.3241760000001</v>
      </c>
      <c r="AC25" s="3">
        <f>643+(892.8-320.2)+(0+(0-0))+0-154.7-0</f>
        <v>1060.8999999999999</v>
      </c>
      <c r="AD25">
        <f t="shared" si="0"/>
        <v>24536.298587000005</v>
      </c>
      <c r="AE25" s="3">
        <f>651+(1020-338)+(0+(0-0))+0-148-0</f>
        <v>1185</v>
      </c>
    </row>
    <row r="26" spans="1:31" s="2" customFormat="1" x14ac:dyDescent="0.25">
      <c r="A26">
        <v>89</v>
      </c>
      <c r="B26">
        <v>1</v>
      </c>
      <c r="C26">
        <v>26</v>
      </c>
      <c r="D26">
        <v>6</v>
      </c>
      <c r="E26">
        <v>1</v>
      </c>
      <c r="F26" s="3">
        <f>645+(813.7-292)+(-0.98685+(-1.244961--0.44676))+0-153.8--0.235314000000009</f>
        <v>1011.350263</v>
      </c>
      <c r="G26" s="3">
        <f>649+(796.2-320)+(-0.33099+(-0.406062--0.1632))+0-154--0.0785399999999844</f>
        <v>970.70468800000003</v>
      </c>
      <c r="H26" s="3">
        <f>645+(814.7-370.7)+(0+(0-0))+0-150.7-0</f>
        <v>938.3</v>
      </c>
      <c r="I26" s="3">
        <f>651+(749.4-339)+(-1.32804+(-1.528776--0.69156))+0-149.6--0.305183999999993</f>
        <v>909.93992800000001</v>
      </c>
      <c r="J26" s="3">
        <f>652+(714.5-319.1)+(-0.99756+(-1.093185--0.488223))+0-147.8--0.226134000000009</f>
        <v>898.22361200000023</v>
      </c>
      <c r="K26" s="3">
        <f>654+(682.2-297.2)+(0+(0-0))+0-146-0</f>
        <v>893</v>
      </c>
      <c r="L26" s="3">
        <f>656+(598.8-242)+(-2.00736+(-1.832328--0.74052))+0-145.7--0.445842000000017</f>
        <v>864.44667399999992</v>
      </c>
      <c r="M26" s="3">
        <f>655+(650.4-262.8)+(0.33405+(0.331704-0.134028))+0-144.6-0.0737459999999853</f>
        <v>898.45797999999979</v>
      </c>
      <c r="N26" s="3">
        <f>643+(714-261.8)+(0+(0-0))+0-146.9-0</f>
        <v>948.30000000000007</v>
      </c>
      <c r="O26" s="3">
        <f>633+(768.4-283.1)+(0.64566+(0.783768-0.288762))+0-143.7-0.146574000000023</f>
        <v>975.59409199999993</v>
      </c>
      <c r="P26" s="3">
        <f>627+(842.4-309.9)+(-0.95931+(-1.288872--0.474147))+0-143.7--0.219861000000008</f>
        <v>1014.2458260000001</v>
      </c>
      <c r="Q26" s="3">
        <f>620+(918.2-338.2)+(-0.9486+(-1.404846--0.517446))+0-145.7--0.222921000000008</f>
        <v>1052.686921</v>
      </c>
      <c r="R26" s="3">
        <f>617+(1005.5-387.1)+(0+(0-0))+0-145.1-0</f>
        <v>1090.3000000000002</v>
      </c>
      <c r="S26" s="3">
        <f>615+(1007.9-374.2)+(-0.94095+(-1.542087--0.572526))+0-146.3--0.223839000000008</f>
        <v>1100.713328</v>
      </c>
      <c r="T26" s="3">
        <f>625+(983.7-352.5)+(-0.31875+(-0.501687--0.179775))+0-145.3--0.0741029999999853</f>
        <v>1110.333441</v>
      </c>
      <c r="U26" s="3">
        <f>623+(953.3-342.7)+(-0.31773+(-0.486183--0.174777))+0-141.2--0.0720119999999857</f>
        <v>1091.8428759999999</v>
      </c>
      <c r="V26" s="3">
        <f>631+(884.5-304)+(-0.96543+(-1.353285--0.46512))+0-143.9--0.220167000000008</f>
        <v>1065.9665719999998</v>
      </c>
      <c r="W26" s="3">
        <f>635+(825.3-287.9)+(-0.97155+(-1.262709--0.440487))+0-145.7--0.222921000000008</f>
        <v>1025.1291490000001</v>
      </c>
      <c r="X26" s="3">
        <f>637+(768.7-250.9)+(-0.97461+(-1.176111--0.383877))+0-143.7--0.219861000000008</f>
        <v>1009.5530170000002</v>
      </c>
      <c r="Y26" s="3">
        <f>632+(946.3-343.6)+(0.32232+(0.482613-0.175236))+0-141.9-0.0723689999999856</f>
        <v>1093.3573279999998</v>
      </c>
      <c r="Z26" s="3">
        <f>623+(1053.2-383.9)+(-0.63546+(-1.074264--0.391578))+0-145--0.147900000000023</f>
        <v>1146.129754</v>
      </c>
      <c r="AA26" s="3">
        <f>636+(1024.2-380.2)+(-0.32436+(-0.522342--0.193902))+0-143.1--0.0729809999999855</f>
        <v>1136.320181</v>
      </c>
      <c r="AB26" s="3">
        <f>638+(971.4-356.5)+(-0.65076+(-0.990828--0.36363))+0-144.2--0.147084000000023</f>
        <v>1107.5691260000001</v>
      </c>
      <c r="AC26" s="3">
        <f>638+(917.2-337.1)+(-1.95228+(-2.806632--1.031526))+0-145.2--0.444312000000017</f>
        <v>1069.6169259999999</v>
      </c>
      <c r="AD26">
        <f t="shared" si="0"/>
        <v>24422.081682</v>
      </c>
      <c r="AE26" s="3">
        <f>637+(1053.7-387.4)+(0+(0-0))+0-145.7-0</f>
        <v>1157.6000000000001</v>
      </c>
    </row>
    <row r="27" spans="1:31" s="2" customFormat="1" x14ac:dyDescent="0.25">
      <c r="A27">
        <v>89</v>
      </c>
      <c r="B27">
        <v>1</v>
      </c>
      <c r="C27">
        <v>27</v>
      </c>
      <c r="D27">
        <v>7</v>
      </c>
      <c r="E27">
        <v>1</v>
      </c>
      <c r="F27" s="3">
        <f>641+(858.6-313.2)+(-0.65382+(-0.875772--0.319464))+0-145.6--0.148512000000023</f>
        <v>1039.7383840000002</v>
      </c>
      <c r="G27" s="3">
        <f>640+(800.2-298)+(-1.632+(-2.04051--0.7599))+0-143.2--0.365159999999979</f>
        <v>996.45254999999986</v>
      </c>
      <c r="H27" s="3">
        <f>632+(756.2-281.1)+(-1.6116+(-1.92831--0.716805))+0-143.3--0.365414999999979</f>
        <v>961.34231</v>
      </c>
      <c r="I27" s="3">
        <f>638+(730.2-281)+(-0.65076+(-0.744804--0.28662))+0-144.3--0.147186000000023</f>
        <v>941.93824200000006</v>
      </c>
      <c r="J27" s="3">
        <f>645+(738.9-310.1)+(0+(0-0))+0-145.8-0</f>
        <v>928</v>
      </c>
      <c r="K27" s="3">
        <f>643+(719.1-295.8)+(-1.31172+(-1.466964--0.603432))+0-147.1--0.300083999999994</f>
        <v>917.3248319999999</v>
      </c>
      <c r="L27" s="3">
        <f>628+(669.8-269.6)+(-2.24196+(-2.391186--0.962472))+0-145.9--0.520863000000002</f>
        <v>879.15018899999984</v>
      </c>
      <c r="M27" s="3">
        <f>631+(686.3-285.2)+(-1.28724+(-1.400052--0.581808))+0-141.4--0.288455999999994</f>
        <v>888.882972</v>
      </c>
      <c r="N27" s="3">
        <f>632+(715.9-285.5)+(0+(0-0))+0-140.4-0</f>
        <v>922.00000000000011</v>
      </c>
      <c r="O27" s="3">
        <f>564+(833.8-298.3)+(0.57528+(0.850476-0.304266))+0-140.1-0.142902000000022</f>
        <v>960.37858799999992</v>
      </c>
      <c r="P27" s="3">
        <f>547+(883.7-290.5)+(0+(0-0))+0-141.5-0</f>
        <v>998.7</v>
      </c>
      <c r="Q27" s="3">
        <f>542+(969.5-331.3)+(-0.55284+(-0.98889--0.337926))+0-140.5--0.143310000000022</f>
        <v>1038.639506</v>
      </c>
      <c r="R27" s="3">
        <f>539+(1024.9-362.5)+(-0.54978+(-1.045398--0.36975))+0-136.6--0.139332000000022</f>
        <v>1063.7139040000002</v>
      </c>
      <c r="S27" s="3">
        <f>555+(1064.7-398.3)+(0+(0-0))+0-140.6-0</f>
        <v>1080.8000000000002</v>
      </c>
      <c r="T27" s="3">
        <f>564+(1078-405.6)+(-1.15056+(-2.19912--0.827424))+0-141.8--0.289271999999994</f>
        <v>1092.3670160000001</v>
      </c>
      <c r="U27" s="3">
        <f>628+(944.8-354.1)+(-2.24196+(-3.372936--1.264137))+0-143.8--0.513366000000002</f>
        <v>1071.0626069999998</v>
      </c>
      <c r="V27" s="3">
        <f>667+(755.3-245.6)+(-2.04102+(-2.311218--0.751536))+0-145.2--0.444312000000017</f>
        <v>1028.3436099999999</v>
      </c>
      <c r="W27" s="3">
        <f>671+(671-197.4)+(-0.34221+(-0.34221--0.100674))+0-145--0.0739499999999853</f>
        <v>999.09020399999986</v>
      </c>
      <c r="X27" s="3">
        <f>648+(665.4-182.5)+(-1.6524+(-1.69677--0.465375))+0-143.7--0.366434999999979</f>
        <v>984.68264000000011</v>
      </c>
      <c r="Y27" s="3">
        <f>643+(855.1-278.7)+(-0.65586+(-0.872202--0.284274))+0-140.9--0.143718000000022</f>
        <v>1077.39993</v>
      </c>
      <c r="Z27" s="3">
        <f>681+(962.1-347.3)+(-0.69462+(-0.981342--0.354246))+0-143.7--0.146574000000023</f>
        <v>1150.9248580000001</v>
      </c>
      <c r="AA27" s="3">
        <f>668+(968.9-361.4)+(0+(0-0))+0-145.2-0</f>
        <v>1130.3</v>
      </c>
      <c r="AB27" s="3">
        <f>672+(946-366.5)+(-1.02816+(-1.44738--0.560745))+0-147--0.224910000000008</f>
        <v>1102.810115</v>
      </c>
      <c r="AC27" s="3">
        <f>670+(914.5-382.4)+(-1.0251+(-1.399185--0.585072))+0-146.6--0.224298000000008</f>
        <v>1053.8850850000001</v>
      </c>
      <c r="AD27">
        <f t="shared" si="0"/>
        <v>24307.927542000001</v>
      </c>
      <c r="AE27" s="3">
        <f>685+(969.7-350.1)+(0+(0-0))+0-139.4-0</f>
        <v>1165.1999999999998</v>
      </c>
    </row>
    <row r="28" spans="1:31" s="2" customFormat="1" x14ac:dyDescent="0.25">
      <c r="A28">
        <v>89</v>
      </c>
      <c r="B28">
        <v>1</v>
      </c>
      <c r="C28">
        <v>28</v>
      </c>
      <c r="D28">
        <v>1</v>
      </c>
      <c r="E28">
        <v>1</v>
      </c>
      <c r="F28" s="3">
        <f>697+(847.2-361.4)+(-1.77735+(-2.16036--0.92157))+0-145.1--0.370004999999979</f>
        <v>1035.0538650000003</v>
      </c>
      <c r="G28" s="3">
        <f>697+(771.2-314.6)+(-2.13282+(-2.359872--0.962676))+0-143.1--0.437886000000017</f>
        <v>1007.40787</v>
      </c>
      <c r="H28" s="3">
        <f>681+(731.5-279.6)+(-1.38924+(-1.49226--0.570384))+0-142.8--0.291311999999994</f>
        <v>988.080196</v>
      </c>
      <c r="I28" s="3">
        <f>675+(699.7-260)+(-0.6885+(-0.713694--0.2652))+0-141.5--0.144330000000023</f>
        <v>972.20733600000005</v>
      </c>
      <c r="J28" s="3">
        <f>676+(655.9-231)+(-1.03428+(-1.003527--0.35343))+0-141.1--0.215883000000008</f>
        <v>958.33150599999999</v>
      </c>
      <c r="K28" s="3">
        <f>677+(609-193.1)+(-0.69054+(-0.62118--0.196962))+0-140.5--0.143310000000022</f>
        <v>951.4285520000002</v>
      </c>
      <c r="L28" s="3">
        <f>678+(607.1-213.9)+(-0.34578+(-0.309621--0.109089))+0-141.1--0.0719609999999857</f>
        <v>929.62564900000007</v>
      </c>
      <c r="M28" s="3">
        <f>681+(715.6-307)+(0.34731+(0.364956-0.15657))+0-134.1-0.0683909999999864</f>
        <v>955.98730499999976</v>
      </c>
      <c r="N28" s="3">
        <f>681+(836.5-388.6)+(-0.34731+(-0.426615--0.198186))+0-133.1--0.0678809999999865</f>
        <v>995.2921419999999</v>
      </c>
      <c r="O28" s="3">
        <f>698+(849.2-389)+(0+(0-0))+0-130.4-0</f>
        <v>1027.8</v>
      </c>
      <c r="P28" s="3">
        <f>720+(846.8-380.3)+(-1.1016+(-1.295604--0.581859))+0-127.8--0.195534000000007</f>
        <v>1057.080189</v>
      </c>
      <c r="Q28" s="3">
        <f>666+(877.3-316.4)+(-1.01898+(-1.342269--0.484092))+0-127.7--0.195381000000007</f>
        <v>1097.5182240000001</v>
      </c>
      <c r="R28" s="3">
        <f>666+(889.5-288.6)+(-1.01898+(-1.360935--0.441558))+0-128.2--0.196146000000007</f>
        <v>1136.957789</v>
      </c>
      <c r="S28" s="3">
        <f>662+(964.1-335)+(-1.6881+(-2.458455--0.85425))+0-128.5--0.327674999999981</f>
        <v>1159.63537</v>
      </c>
      <c r="T28" s="3">
        <f>701.3+(946-351.1)+(-1.072989+(-1.44738--0.537183))+0-130.3--0.199359000000008</f>
        <v>1164.1161729999999</v>
      </c>
      <c r="U28" s="3">
        <f>726.3+(858.2-306)+(-0.370413+(-0.437682--0.15606))+0-126.9--0.0647189999999871</f>
        <v>1151.0126839999998</v>
      </c>
      <c r="V28" s="3">
        <f>716.8+(781.3-253.7)+(-0.731136+(-0.796926--0.258774))+0-130.5--0.133110000000021</f>
        <v>1112.7638219999999</v>
      </c>
      <c r="W28" s="3">
        <f>712.4+(704.1-220.8)+(-0.363324+(-0.359091--0.112608))+0-131.9--0.0672689999999866</f>
        <v>1063.2574619999998</v>
      </c>
      <c r="X28" s="3">
        <f>716.9+(672.5-214.8)+(-1.096857+(-1.028925--0.328644))+0-131--0.200430000000008</f>
        <v>1042.0032920000001</v>
      </c>
      <c r="Y28" s="3">
        <f>717.5+(781.1-247.7)+(-0.365925+(-0.398361--0.126327))+0-127.3--0.0649229999999871</f>
        <v>1123.0269640000001</v>
      </c>
      <c r="Z28" s="3">
        <f>718.1+(901.9-284.7)+(-1.464924+(-1.839876--0.580788))+0-133.6--0.272543999999994</f>
        <v>1199.2485320000003</v>
      </c>
      <c r="AA28" s="3">
        <f>719+(947.8-331.2)+(-1.10007+(-1.450134--0.506736))+0-131.8--0.201654000000008</f>
        <v>1201.9581859999998</v>
      </c>
      <c r="AB28" s="3">
        <f>721.5+(968.8-392.9)+(-0.73593+(-0.988176--0.400758))+0-129.9--0.132498000000021</f>
        <v>1166.30915</v>
      </c>
      <c r="AC28" s="3">
        <f>724.1+(960.7-439.8)+(-0.738582+(-0.979914--0.448596))+0-131.6--0.134232000000021</f>
        <v>1112.2643320000002</v>
      </c>
      <c r="AD28">
        <f t="shared" si="0"/>
        <v>25608.366590000005</v>
      </c>
      <c r="AE28" s="3">
        <f>718+(916.3-290.8)+(0+(0-0))+0-130.8-0</f>
        <v>1212.7</v>
      </c>
    </row>
    <row r="29" spans="1:31" s="2" customFormat="1" x14ac:dyDescent="0.25">
      <c r="A29">
        <v>89</v>
      </c>
      <c r="B29">
        <v>1</v>
      </c>
      <c r="C29">
        <v>29</v>
      </c>
      <c r="D29">
        <v>2</v>
      </c>
      <c r="E29">
        <v>1</v>
      </c>
      <c r="F29" s="3">
        <f>716.3+(880.1-410.1)+(-1.095939+(-1.346553--0.627453))+0-132.4--0.202572000000008</f>
        <v>1052.2875329999997</v>
      </c>
      <c r="G29" s="3">
        <f>715.1+(783.4-360.4)+(-1.458804+(-1.598136--0.735216))+0-125.4--0.255815999999995</f>
        <v>1010.634092</v>
      </c>
      <c r="H29" s="3">
        <f>719.9+(735.1-347.8)+(-0.367149+(-0.374901--0.177378))+0-123.6--0.0630359999999875</f>
        <v>983.09836400000006</v>
      </c>
      <c r="I29" s="3">
        <f>721.6+(667.9-298.8)+(-0.368016+(-0.340629--0.152388))+0-127.4--0.0649739999999871</f>
        <v>962.80871700000012</v>
      </c>
      <c r="J29" s="3">
        <f>728.8+(603.9-250.6)+(-0.743376+(-0.615978--0.255612))+0-128.6--0.13117200000002</f>
        <v>952.52742999999987</v>
      </c>
      <c r="K29" s="3">
        <f>729.2+(523.3-174)+(-1.85946+(-1.334415--0.4437))+0-128.7--0.328184999999981</f>
        <v>947.37801000000002</v>
      </c>
      <c r="L29" s="3">
        <f>737.6+(479.6-180.1)+(-0.376176+(-0.244596--0.091851))+0-126--0.0642599999999872</f>
        <v>910.63533899999982</v>
      </c>
      <c r="M29" s="3">
        <f>738.9+(589.5-268.1)+(-0.753678+(-0.60129--0.273462))+0-128.2--0.13076400000002</f>
        <v>931.14925799999992</v>
      </c>
      <c r="N29" s="3">
        <f>729.7+(677-298)+(-1.116441+(-1.03581--0.45594))+0-131.9--0.201807000000008</f>
        <v>975.30549600000018</v>
      </c>
      <c r="O29" s="3">
        <f>726.8+(731.6-291)+(0+(0-0))+0-135.6-0</f>
        <v>1031.8000000000002</v>
      </c>
      <c r="P29" s="3">
        <f>722.1+(750.6-283.5)+(0+(0-0))+0-132.2-0</f>
        <v>1057</v>
      </c>
      <c r="Q29" s="3">
        <f>723+(804.8-297.6)+(-0.73746+(-0.820896--0.303552))+0-134.4--0.137088000000021</f>
        <v>1094.6822839999998</v>
      </c>
      <c r="R29" s="3">
        <f>750.9+(801.7-297.9)+(-1.148877+(-1.226601--0.455787))+0-134.1--0.205173000000008</f>
        <v>1118.8854820000001</v>
      </c>
      <c r="S29" s="3">
        <f>756.3+(867.4-357.6)+(-0.385713+(-0.442374--0.182376))+0-133.9--0.0682889999999864</f>
        <v>1131.622578</v>
      </c>
      <c r="T29" s="3">
        <f>751.8+(921.3-388.1)+(0.383418+(0.469863-0.197931))+0-136.6-0.0696659999999861</f>
        <v>1148.985684</v>
      </c>
      <c r="U29" s="3">
        <f>753.9+(909-383.8)+(-1.537956+(-1.85436--0.782952))+0-131.8--0.268871999999994</f>
        <v>1144.9595080000001</v>
      </c>
      <c r="V29" s="3">
        <f>765.5+(769.8-277.2)+(-0.390405+(-0.392598--0.141372))+0-136.6--0.0696659999999861</f>
        <v>1120.9280350000001</v>
      </c>
      <c r="W29" s="3">
        <f>786.3+(715-284.5)+(-1.203039+(-1.09395--0.435285))+0-135.4--0.207162000000008</f>
        <v>1079.7454579999999</v>
      </c>
      <c r="X29" s="3">
        <f>798.4+(628.9-238)+(-1.221552+(-0.962217--0.36414))+0-136.7--0.209151000000008</f>
        <v>1050.9895219999999</v>
      </c>
      <c r="Y29" s="3">
        <f>785.5+(728.3-271.5)+(-0.80121+(-0.742866--0.27693))+0-132.8--0.135456000000021</f>
        <v>1108.3683100000001</v>
      </c>
      <c r="Z29" s="3">
        <f>775.2+(837.2-300.3)+(-1.581408+(-1.707888--0.612612))+0-137.2--0.279887999999994</f>
        <v>1172.5032040000001</v>
      </c>
      <c r="AA29" s="3">
        <f>774.2+(848.4-319.8)+(-1.97421+(-2.16342--0.81549))+0-139.1--0.35470499999998</f>
        <v>1160.732565</v>
      </c>
      <c r="AB29" s="3">
        <f>761.6+(866.1-333.9)+(-0.388416+(-0.441711--0.170289))+0-137.3--0.0700229999999861</f>
        <v>1155.9101850000002</v>
      </c>
      <c r="AC29" s="3">
        <f>687.9+(920.7-370)+(-0.701658+(-0.939114--0.3774))+0-136.9--0.139638000000022</f>
        <v>1100.576266</v>
      </c>
      <c r="AD29">
        <f t="shared" si="0"/>
        <v>25403.513320000005</v>
      </c>
      <c r="AE29" s="3">
        <f>783+(857.9-311.3)+(0+(0-0))+0-130.5-0</f>
        <v>1199.0999999999999</v>
      </c>
    </row>
    <row r="30" spans="1:31" s="2" customFormat="1" x14ac:dyDescent="0.25">
      <c r="A30">
        <v>89</v>
      </c>
      <c r="B30">
        <v>1</v>
      </c>
      <c r="C30">
        <v>30</v>
      </c>
      <c r="D30">
        <v>3</v>
      </c>
      <c r="E30">
        <v>1</v>
      </c>
      <c r="F30" s="3">
        <f>643.4+(1012.8-456.5)+(-0.984402+(-1.549584--0.698445))+0-136.7--0.209151000000008</f>
        <v>1061.3736099999999</v>
      </c>
      <c r="G30" s="3">
        <f>679.7+(887.6-412.6)+(-1.386588+(-1.810704--0.841704))+0-135.4--0.276215999999994</f>
        <v>1017.2206280000001</v>
      </c>
      <c r="H30" s="3">
        <f>700.1+(798.4-368.1)+(0+(0-0))+0-133.7-0</f>
        <v>996.7</v>
      </c>
      <c r="I30" s="3">
        <f>722.1+(721.1-343.9)+(-1.473084+(-1.471044--0.701556))+0-130.4--0.266015999999994</f>
        <v>966.92344400000013</v>
      </c>
      <c r="J30" s="3">
        <f>782.9+(594.6-302.1)+(-0.798558+(-0.606492--0.308142))+0-127.6--0.13015200000002</f>
        <v>946.83324400000015</v>
      </c>
      <c r="K30" s="3">
        <f>787.9+(518.9-238.6)+(-1.205487+(-0.793917--0.365058))+0-127.6--0.195228000000007</f>
        <v>939.16088199999979</v>
      </c>
      <c r="L30" s="3">
        <f>777.7+(497.2-235.9)+(-0.793254+(-0.507144--0.240618))+0-126.5--0.12903000000002</f>
        <v>911.56925000000001</v>
      </c>
      <c r="M30" s="3">
        <f>769.3+(647.1-347.1)+(-0.392343+(-0.330021--0.177021))+0-131.7--0.0671669999999866</f>
        <v>937.12182399999995</v>
      </c>
      <c r="N30" s="3">
        <f>768.1+(670-314)+(0+(0-0))+0-143.1-0</f>
        <v>980.99999999999989</v>
      </c>
      <c r="O30" s="3">
        <f>775.4+(710.2-349.5)+(0.395454+(0.362202-0.178245))+0-132.8-0.0677279999999865</f>
        <v>1003.8116829999999</v>
      </c>
      <c r="P30" s="3">
        <f>775.9+(672.3-284)+(0+(0-0))+0-131.5-0</f>
        <v>1032.6999999999998</v>
      </c>
      <c r="Q30" s="3">
        <f>852.6+(624.6-281.6)+(-0.434826+(-0.318546--0.143616))+0-129.8--0.0661979999999868</f>
        <v>1065.2564419999999</v>
      </c>
      <c r="R30" s="3">
        <f>904+(658.7-314.3)+(0.92208+(0.671874-0.320586))+0-126.3-0.12882600000002</f>
        <v>1123.2445419999999</v>
      </c>
      <c r="S30" s="3">
        <f>897.7+(757.4-400)+(0.457827+(0.386274-0.204))+0-124.4-0.0634439999999874</f>
        <v>1131.2766569999999</v>
      </c>
      <c r="T30" s="3">
        <f>896+(799.2-429.3)+(-0.45696+(-0.407592--0.218943))+0-131.4--0.0670139999999867</f>
        <v>1133.921405</v>
      </c>
      <c r="U30" s="3">
        <f>894.8+(710.4-365.1)+(-2.28174+(-1.81152--0.931005))+0-128.3--0.327164999999981</f>
        <v>1108.9649099999999</v>
      </c>
      <c r="V30" s="3">
        <f>840.3+(654.4-261.7)+(-0.857106+(-0.667488--0.266934))+0-134--0.136680000000021</f>
        <v>1097.8790200000001</v>
      </c>
      <c r="W30" s="3">
        <f>833.1+(639.5-295.3)+(-2.124405+(-1.630725--0.753015))+0-133.9--0.341444999999981</f>
        <v>1040.7393299999999</v>
      </c>
      <c r="X30" s="3">
        <f>946.8+(655.7-447.5)+(-2.41434+(-1.672035--1.141125))+0-132.4--0.337619999999981</f>
        <v>1019.9923700000001</v>
      </c>
      <c r="Y30" s="3">
        <f>1022.3+(611.6-397.2)+(-1.564119+(-0.935748--0.607716))+0-129--0.197370000000007</f>
        <v>1106.0052190000001</v>
      </c>
      <c r="Z30" s="3">
        <f>1037.2+(637.3-375.5)+(-2.115888+(-1.300092--0.76602))+0-133.1--0.271523999999994</f>
        <v>1163.5215640000001</v>
      </c>
      <c r="AA30" s="3">
        <f>1035+(620.7-360.4)+(-3.1671+(-1.899342--1.102824))+0-135.9--0.415854000000016</f>
        <v>1155.8522360000002</v>
      </c>
      <c r="AB30" s="3">
        <f>1031.1+(616.7-371)+(-2.629305+(-1.572585--0.94605))+0-135.1--0.34450499999998</f>
        <v>1138.788665</v>
      </c>
      <c r="AC30" s="3">
        <f>1017.8+(577-401.8)+(-3.114468+(-1.76562--1.229508))+0-133.5--0.408510000000015</f>
        <v>1056.25793</v>
      </c>
      <c r="AD30">
        <f t="shared" si="0"/>
        <v>25136.114854999996</v>
      </c>
      <c r="AE30" s="3">
        <f>1039+(625.7-365.7)+(0+(0-0))+0-126.8-0</f>
        <v>1172.2</v>
      </c>
    </row>
    <row r="31" spans="1:31" s="2" customFormat="1" x14ac:dyDescent="0.25">
      <c r="A31">
        <v>89</v>
      </c>
      <c r="B31">
        <v>1</v>
      </c>
      <c r="C31">
        <v>31</v>
      </c>
      <c r="D31">
        <v>4</v>
      </c>
      <c r="E31">
        <v>1</v>
      </c>
      <c r="F31" s="3">
        <f>976.7+(545-350.8)+(-2.988702+(-1.6677--1.073448))+0-132.1--0.404226000000015</f>
        <v>1035.6212720000003</v>
      </c>
      <c r="G31" s="3">
        <f>954.2+(554.7-377.9)+(-2.919852+(-1.697382--1.156374))+0-132--0.403920000000015</f>
        <v>995.94306000000006</v>
      </c>
      <c r="H31" s="3">
        <f>921.5+(526.4-349.9)+(-0.469965+(-0.268464--0.178449))+0-128.6--0.0655859999999869</f>
        <v>968.90560599999992</v>
      </c>
      <c r="I31" s="3">
        <f>919.6+(485.5-326.3)+(-0.937992+(-0.49521--0.332826))+0-128--0.13056000000002</f>
        <v>949.83018399999992</v>
      </c>
      <c r="J31" s="3">
        <f>921.5+(461.1-316.4)+(0+(0-0))+0-128.2-0</f>
        <v>938</v>
      </c>
      <c r="K31" s="3">
        <f>920.3+(408.8-263.8)+(-0.469353+(-0.208488--0.134538))+0-126.3--0.0644129999999872</f>
        <v>938.52111000000002</v>
      </c>
      <c r="L31" s="3">
        <f>922.1+(426.3-318.4)+(-0.940542+(-0.434826--0.324768))+0-125.1--0.12760200000002</f>
        <v>903.97700199999997</v>
      </c>
      <c r="M31" s="3">
        <f>927+(537.8-409.4)+(-0.94554+(-0.548556--0.417588))+0-129.8--0.132396000000021</f>
        <v>924.655888</v>
      </c>
      <c r="N31" s="3">
        <f>957.2+(557.5-424.9)+(-1.464516+(-0.852975--0.650097))+0-133.1--0.203643000000008</f>
        <v>955.23624900000016</v>
      </c>
      <c r="O31" s="3">
        <f>965.7+(554.8-437.3)+(-1.477521+(-0.848844--0.669069))+0-141--0.215730000000008</f>
        <v>940.75843399999997</v>
      </c>
      <c r="P31" s="3">
        <f>986.4+(550.1-402.6)+(0+(0-0))+0-126-0</f>
        <v>1007.9000000000001</v>
      </c>
      <c r="Q31" s="3">
        <f>1028.5+(562.2-412.8)+(0.524535+(0.286722-0.210528))+0-125.3-0.0639029999999873</f>
        <v>1053.1368260000002</v>
      </c>
      <c r="R31" s="3">
        <f>1018.5+(621.5-415.3)+(-0.519435+(-0.316965--0.211803))+0-127.7--0.065126999999987</f>
        <v>1096.4405300000001</v>
      </c>
      <c r="S31" s="3">
        <f>1023.2+(624.3-400.1)+(-0.521832+(-0.318393--0.204051))+0-130.1--0.0663509999999868</f>
        <v>1116.7301770000001</v>
      </c>
      <c r="T31" s="3">
        <f>1031.7+(625.1-408.7)+(0+(0-0))+0-130.1-0</f>
        <v>1118.0000000000002</v>
      </c>
      <c r="U31" s="3">
        <f>1035.6+(550.1-346.5)+(-1.584468+(-0.841653--0.530145))+0-127.8--0.195534000000007</f>
        <v>1109.6995579999998</v>
      </c>
      <c r="V31" s="3">
        <f>1037.1+(467.5-290.2)+(-1.586763+(-0.715275--0.444006))+0-131.6--0.201348000000008</f>
        <v>1081.1433159999999</v>
      </c>
      <c r="W31" s="3">
        <f>1039.9+(434.6-311)+(-2.651745+(-1.10823--0.79305))+0-126.7--0.323084999999982</f>
        <v>1034.15616</v>
      </c>
      <c r="X31" s="3">
        <f>1043.3+(393.1-304.3)+(-2.128332+(-0.801924--0.620772))+0-124.6--0.254183999999995</f>
        <v>1005.4446999999998</v>
      </c>
      <c r="Y31" s="3">
        <f>1049.9+(449.7-273)+(-1.070898+(-0.458694--0.27846))+0-129.3--0.131886000000021</f>
        <v>1096.1807540000002</v>
      </c>
      <c r="Z31" s="3">
        <f>1051.1+(542.6-279.7)+(-1.608183+(-0.830178--0.427941))+0-133.6--0.204408000000008</f>
        <v>1178.5939880000001</v>
      </c>
      <c r="AA31" s="3">
        <f>1059.4+(559.1-317.9)+(-0.540294+(-0.285141--0.162129))+0-135--0.0688499999999863</f>
        <v>1165.0055440000001</v>
      </c>
      <c r="AB31" s="3">
        <f>1072.4+(557.4-358.9)+(-2.73462+(-1.42137--0.915195))+0-134.7--0.34348499999998</f>
        <v>1133.30269</v>
      </c>
      <c r="AC31" s="3">
        <f>1077+(511.1-380.3)+(-2.19708+(-1.042644--0.775812))+0-134--0.273359999999994</f>
        <v>1071.6094479999999</v>
      </c>
      <c r="AD31">
        <f t="shared" si="0"/>
        <v>24818.792495999998</v>
      </c>
      <c r="AE31" s="3">
        <f>1051+(552.8-289.9)+(0+(0-0))+0-132.8-0</f>
        <v>1181.1000000000001</v>
      </c>
    </row>
    <row r="32" spans="1:31" s="2" customFormat="1" x14ac:dyDescent="0.25">
      <c r="A32">
        <v>89</v>
      </c>
      <c r="B32">
        <v>2</v>
      </c>
      <c r="C32">
        <v>1</v>
      </c>
      <c r="D32">
        <v>5</v>
      </c>
      <c r="E32">
        <v>1</v>
      </c>
      <c r="F32" s="3">
        <f>988.7+(507.9-330.3)+(-1.008474+(-0.518058--0.336906))+0-131.5--0.134130000000021</f>
        <v>1033.7445039999998</v>
      </c>
      <c r="G32" s="3">
        <f>956+(459-292.7)+(-2.4378+(-1.17045--0.746385))+0-131.7--0.335834999999981</f>
        <v>988.0739699999998</v>
      </c>
      <c r="H32" s="3">
        <f>958.8+(413.9-283)+(0+(0-0))+0-131.4-0</f>
        <v>958.29999999999984</v>
      </c>
      <c r="I32" s="3">
        <f>960.3+(384-284.3)+(-1.469259+(-0.58752--0.434979))+0-129.1--0.197523000000007</f>
        <v>929.47572300000013</v>
      </c>
      <c r="J32" s="3">
        <f>965.2+(352.6-275.9)+(-1.476756+(-0.539478--0.422127))+0-120.6--0.184518000000007</f>
        <v>919.8904110000002</v>
      </c>
      <c r="K32" s="3">
        <f>966+(353.4-282.7)+(-1.97064+(-0.720936--0.576708))+0-115.5--0.235619999999995</f>
        <v>919.3207520000002</v>
      </c>
      <c r="L32" s="3">
        <f>967.4+(359.7-339.6)+(-1.480122+(-0.550341--0.519588))+0-104.2--0.159426000000006</f>
        <v>881.94855099999995</v>
      </c>
      <c r="M32" s="3">
        <f>967.1+(453.7-412.8)+(0+(0-0))+0-105.6-0</f>
        <v>902.4</v>
      </c>
      <c r="N32" s="3">
        <f>932.2+(522-415.7)+(0.950844+(0.53244-0.424014))+0-104.9-0.106998000000017</f>
        <v>934.55227200000002</v>
      </c>
      <c r="O32" s="3">
        <f>929.9+(575.6-445.3)+(1.896996+(1.174224-0.908412))+0-102.6-0.209303999999996</f>
        <v>959.55350400000009</v>
      </c>
      <c r="P32" s="3">
        <f>918.5+(571.1-390.2)+(-0.468435+(-0.291261--0.199002))+0-102.4--0.0522239999999896</f>
        <v>996.49153000000013</v>
      </c>
      <c r="Q32" s="3">
        <f>917+(556.5-324.1)+(1.40301+(0.851445-0.495873))+0-107-0.163710000000006</f>
        <v>1043.994872</v>
      </c>
      <c r="R32" s="3">
        <f>901.9+(531.7-250.7)+(0.459969+(0.271167-0.127857))+0-106.6-0.0543659999999892</f>
        <v>1076.848913</v>
      </c>
      <c r="S32" s="3">
        <f>892.9+(550.3-241.2)+(-1.821516+(-1.122612--0.492048))+0-100.2--0.204407999999996</f>
        <v>1099.552328</v>
      </c>
      <c r="T32" s="3">
        <f>898.7+(675.1-369.2)+(-0.458337+(-0.344301--0.188292))+0-99.8--0.0508979999999899</f>
        <v>1104.2365520000001</v>
      </c>
      <c r="U32" s="3">
        <f>888.6+(645.7-339.5)+(-0.453186+(-0.329307--0.173145))+0-99.4--0.0506939999999899</f>
        <v>1094.8413460000002</v>
      </c>
      <c r="V32" s="3">
        <f>886.1+(539.7-247.1)+(-2.259555+(-1.376235--0.630105))+0-100--0.254999999999986</f>
        <v>1075.9493149999998</v>
      </c>
      <c r="W32" s="3">
        <f>886.7+(445.1-196.9)+(-1.356651+(-0.681003--0.301257))+0-101.2--0.154836000000006</f>
        <v>1032.1184390000001</v>
      </c>
      <c r="X32" s="3">
        <f>885.1+(409.3-189.7)+(-2.708406+(-1.252458--0.580482))+0-108.5--0.332010000000013</f>
        <v>993.15162799999996</v>
      </c>
      <c r="Y32" s="3">
        <f>894.5+(524.8-248.5)+(-0.456195+(-0.267648--0.126735))+0-110.2--0.0562019999999888</f>
        <v>1060.059094</v>
      </c>
      <c r="Z32" s="3">
        <f>925.4+(625.2-278.3)+(-1.887816+(-1.275408--0.567732))+0-112.7--0.229907999999995</f>
        <v>1157.234416</v>
      </c>
      <c r="AA32" s="3">
        <f>933.2+(667-330.9)+(-2.855592+(-2.04102--1.012554))+0-113.4--0.347004000000013</f>
        <v>1152.362946</v>
      </c>
      <c r="AB32" s="3">
        <f>932.1+(676.1-364.5)+(-1.426113+(-1.034433--0.557685))+0-113.7--0.173961000000007</f>
        <v>1128.2710999999999</v>
      </c>
      <c r="AC32" s="3">
        <f>936.1+(637.1-363.9)+(-0.954822+(-0.649842--0.371178))+0-126.5--0.12903000000002</f>
        <v>1081.6955440000002</v>
      </c>
      <c r="AD32">
        <f t="shared" si="0"/>
        <v>24524.067710000003</v>
      </c>
      <c r="AE32" s="3">
        <f>926+(625.6-279.4)+(0+(0-0))+0-113-0</f>
        <v>1159.2</v>
      </c>
    </row>
    <row r="33" spans="1:31" s="2" customFormat="1" x14ac:dyDescent="0.25">
      <c r="A33">
        <v>89</v>
      </c>
      <c r="B33">
        <v>2</v>
      </c>
      <c r="C33">
        <v>2</v>
      </c>
      <c r="D33">
        <v>6</v>
      </c>
      <c r="E33">
        <v>1</v>
      </c>
      <c r="F33" s="3">
        <f>817.9+(659-319.4)+(-0.834258+(-0.67218--0.325788))+0-135.4--0.138108000000022</f>
        <v>1021.057458</v>
      </c>
      <c r="G33" s="3">
        <f>772.1+(642.7-274.3)+(0+(0-0))+0-131.1-0</f>
        <v>1009.4</v>
      </c>
      <c r="H33" s="3">
        <f>778.3+(567.9-235.2)+(-1.190799+(-0.868887--0.359856))+0-128.2--0.196146000000007</f>
        <v>981.29631599999993</v>
      </c>
      <c r="I33" s="3">
        <f>782.8+(520-214.2)+(-1.99614+(-1.326--0.54621))+0-130.8--0.333539999999981</f>
        <v>955.35760999999991</v>
      </c>
      <c r="J33" s="3">
        <f>779.7+(498.8-209.1)+(0.397647+(0.254388-0.106641))+0-129.7-0.0661469999999868</f>
        <v>940.17924700000003</v>
      </c>
      <c r="K33" s="3">
        <f>786.2+(416.4-141.1)+(0+(0-0))+0-129.9-0</f>
        <v>931.6</v>
      </c>
      <c r="L33" s="3">
        <f>785.4+(368.4-78.5)+(-1.201662+(-0.563652--0.120105))+0-126.8--0.194004000000007</f>
        <v>947.04879500000004</v>
      </c>
      <c r="M33" s="3">
        <f>777.1+(444.6-174.2)+(-0.396321+(-0.226746--0.088842))+0-133.8--0.0682379999999864</f>
        <v>913.23401299999989</v>
      </c>
      <c r="N33" s="3">
        <f>755.5+(523.7-180.9)+(0+(0-0))+0-136.2-0</f>
        <v>962.10000000000014</v>
      </c>
      <c r="O33" s="3">
        <f>746.6+(560.8-169.1)+(-0.761532+(-0.572016--0.172482))+0-131.7--0.134334000000021</f>
        <v>1005.573268</v>
      </c>
      <c r="P33" s="3">
        <f>741.1+(648.2-209.8)+(-0.755922+(-0.661164--0.213996))+0-129.4--0.131988000000021</f>
        <v>1049.028898</v>
      </c>
      <c r="Q33" s="3">
        <f>735.6+(633.9-148.8)+(-0.375156+(-0.323289--0.075888))+0-131.3--0.0669629999999867</f>
        <v>1088.8444060000002</v>
      </c>
      <c r="R33" s="3">
        <f>730.4+(689.5-189.4)+(-0.372504+(-0.351645--0.096594))+0-128.9--0.0657389999999869</f>
        <v>1101.0381839999998</v>
      </c>
      <c r="S33" s="3">
        <f>721.3+(925.4-404.3)+(-0.367863+(-0.471954--0.206193))+0-125.3--0.0639029999999873</f>
        <v>1116.5302789999998</v>
      </c>
      <c r="T33" s="3">
        <f>716.3+(1026.2-484.2)+(-0.365313+(-0.523362--0.246942))+0-128.2--0.065381999999987</f>
        <v>1129.523649</v>
      </c>
      <c r="U33" s="3">
        <f>722.1+(917.9-390.3)+(-0.368271+(-0.468129--0.199053))+0-129.8--0.0661979999999868</f>
        <v>1119.3288509999998</v>
      </c>
      <c r="V33" s="3">
        <f>724.6+(677.5-170.8)+(-1.478184+(-1.3821--0.348432))+0-133.9--0.273155999999994</f>
        <v>1095.1613039999997</v>
      </c>
      <c r="W33" s="3">
        <f>727.9+(563.5-111.4)+(-2.227374+(-1.72431--0.340884))+0-133.9--0.409734000000015</f>
        <v>1042.8989340000001</v>
      </c>
      <c r="X33" s="3">
        <f>728.9+(492.3-83.7)+(-0.743478+(-0.502146--0.085374))+0-132.2--0.134844000000021</f>
        <v>1004.2745940000001</v>
      </c>
      <c r="Y33" s="3">
        <f>744.7+(633.4-161.3)+(-0.379797+(-0.323034--0.082263))+0-130.1--0.0663509999999868</f>
        <v>1086.1457829999999</v>
      </c>
      <c r="Z33" s="3">
        <f>750.3+(774-223)+(-0.765306+(-0.78948--0.22746))+0-132--0.134640000000021</f>
        <v>1168.1073139999999</v>
      </c>
      <c r="AA33" s="3">
        <f>756.6+(801.9-262.6)+(-0.385866+(-0.408969--0.133926))+0-132.8--0.0677279999999865</f>
        <v>1162.5068190000002</v>
      </c>
      <c r="AB33" s="3">
        <f>758.2+(815.8-312.3)+(0.386682+(0.416058-0.159273))+0-128.5-0.065534999999987</f>
        <v>1133.7779320000002</v>
      </c>
      <c r="AC33" s="3">
        <f>760.5+(797.9-326)+(0+(0-0))+0-130-0</f>
        <v>1102.4000000000001</v>
      </c>
      <c r="AD33">
        <f t="shared" si="0"/>
        <v>25066.413654000007</v>
      </c>
      <c r="AE33" s="3">
        <f>742+(785.6-233.7)+(0+(0-0))+0-129-0</f>
        <v>1164.9000000000001</v>
      </c>
    </row>
    <row r="34" spans="1:31" s="2" customFormat="1" x14ac:dyDescent="0.25">
      <c r="A34">
        <v>89</v>
      </c>
      <c r="B34">
        <v>2</v>
      </c>
      <c r="C34">
        <v>3</v>
      </c>
      <c r="D34">
        <v>7</v>
      </c>
      <c r="E34">
        <v>1</v>
      </c>
      <c r="F34" s="3">
        <f>757.5+(775.5-369.7)+(0.386325+(0.395505-0.188547))+0-127.7-0.065126999999987</f>
        <v>1036.1281559999998</v>
      </c>
      <c r="G34" s="3">
        <f>758.6+(722.2-341.8)+(-0.386886+(-0.368322--0.174318))+0-125.4--0.0639539999999873</f>
        <v>1013.083064</v>
      </c>
      <c r="H34" s="3">
        <f>763.6+(643.6-296.7)+(-0.389436+(-0.328236--0.151317))+0-125.6--0.0640559999999873</f>
        <v>984.39770099999998</v>
      </c>
      <c r="I34" s="3">
        <f>765.9+(546.5-237.7)+(0+(0-0))+0-125.9-0</f>
        <v>948.80000000000007</v>
      </c>
      <c r="J34" s="3">
        <f>768.6+(467.5-193.5)+(-1.567944+(-0.9537--0.39474))+0-124.4--0.253775999999995</f>
        <v>916.32687199999998</v>
      </c>
      <c r="K34" s="3">
        <f>770.6+(399.2-121.1)+(-1.179018+(-0.610776--0.185283))+0-127.6--0.195228000000007</f>
        <v>919.69071700000006</v>
      </c>
      <c r="L34" s="3">
        <f>781.9+(318.2-87.3)+(-2.392614+(-0.973692--0.267138))+0-125--0.382500000000014</f>
        <v>885.08333200000004</v>
      </c>
      <c r="M34" s="3">
        <f>778.7+(375.2-115.5)+(-1.191411+(-0.574056--0.176715))+0-128--0.195840000000007</f>
        <v>909.00708799999995</v>
      </c>
      <c r="N34" s="3">
        <f>764.6+(421-146.6)+(-0.389946+(-0.21471--0.074766))+0-130.7--0.0666569999999867</f>
        <v>907.8367669999999</v>
      </c>
      <c r="O34" s="3">
        <f>755.5+(473.4-146.3)+(0.77061+(0.482868-0.149226))+0-132.7-0.135354000000021</f>
        <v>950.86889799999994</v>
      </c>
      <c r="P34" s="3">
        <f>747.3+(531.8-141.7)+(-1.143369+(-0.813654--0.216801))+0-127--0.194310000000007</f>
        <v>1008.8540879999999</v>
      </c>
      <c r="Q34" s="3">
        <f>740.4+(614.6-174)+(-0.755208+(-0.626892--0.17748))+0-123.7--0.12617400000002</f>
        <v>1056.221554</v>
      </c>
      <c r="R34" s="3">
        <f>734.6+(685-220.2)+(-0.749292+(-0.6987--0.224604))+0-110.9--0.113118000000018</f>
        <v>1087.3897300000001</v>
      </c>
      <c r="S34" s="3">
        <f>730.1+(785.3-302)+(0.372351+(0.400503-0.15402))+0-112.9-0.0575789999999885</f>
        <v>1101.0612550000001</v>
      </c>
      <c r="T34" s="3">
        <f>728.3+(820.5-334.8)+(-1.857165+(-2.092275--0.85374))+0-109.6--0.279479999999984</f>
        <v>1101.5837799999999</v>
      </c>
      <c r="U34" s="3">
        <f>728.7+(819.7-343.3)+(-1.486548+(-1.672188--0.700332))+0-116.2--0.237047999999995</f>
        <v>1086.6786440000001</v>
      </c>
      <c r="V34" s="3">
        <f>731+(753.7-289.2)+(-0.74562+(-0.768774--0.294984))+0-127.3--0.12984600000002</f>
        <v>1067.1104360000002</v>
      </c>
      <c r="W34" s="3">
        <f>734.6+(618.4-188.9)+(-1.87323+(-1.57692--0.481695))+0-128.5--0.327674999999981</f>
        <v>1032.95922</v>
      </c>
      <c r="X34" s="3">
        <f>734.8+(510.7-126.3)+(-0.374748+(-0.260457--0.064413))+0-129.1--0.0658409999999869</f>
        <v>989.59504899999979</v>
      </c>
      <c r="Y34" s="3">
        <f>734.9+(676.2-211.1)+(-1.499196+(-1.379448--0.430644))+0-127.6--0.260303999999994</f>
        <v>1070.2123039999999</v>
      </c>
      <c r="Z34" s="3">
        <f>737.8+(841.3-269.1)+(-1.88139+(-2.145315--0.686205))+0-130.7--0.333284999999981</f>
        <v>1176.2927849999999</v>
      </c>
      <c r="AA34" s="3">
        <f>742.7+(916.7-339)+(-0.757554+(-0.935034--0.34578))+0-132--0.134640000000021</f>
        <v>1187.1878320000001</v>
      </c>
      <c r="AB34" s="3">
        <f>746.1+(960.1-417.9)+(-0.761022+(-0.979302--0.426258))+0-132.7--0.135354000000021</f>
        <v>1154.4212880000002</v>
      </c>
      <c r="AC34" s="3">
        <f>696.8+(1003.7-464.9)+(-0.710736+(-1.023774--0.474198))+0-133.1--0.135762000000021</f>
        <v>1101.37545</v>
      </c>
      <c r="AD34">
        <f t="shared" si="0"/>
        <v>24692.166010000004</v>
      </c>
      <c r="AE34" s="3">
        <f>737+(862.2-271.4)+(0+(0-0))+0-130-0</f>
        <v>1197.8000000000002</v>
      </c>
    </row>
    <row r="35" spans="1:31" s="2" customFormat="1" x14ac:dyDescent="0.25">
      <c r="A35">
        <v>89</v>
      </c>
      <c r="B35">
        <v>2</v>
      </c>
      <c r="C35">
        <v>4</v>
      </c>
      <c r="D35">
        <v>1</v>
      </c>
      <c r="E35">
        <v>1</v>
      </c>
      <c r="F35" s="3">
        <f>633.5+(1031.1-477.4)+(-1.29234+(-2.103444--0.973896))+0-132.7--0.270707999999994</f>
        <v>1052.3488199999997</v>
      </c>
      <c r="G35" s="3">
        <f>564.7+(1042.8-459.7)+(0.287997+(0.531828-0.234447))+0-128.9-0.0657389999999869</f>
        <v>1019.419639</v>
      </c>
      <c r="H35" s="3">
        <f>581.7+(894.8-356.5)+(0+(0-0))+0-128.1-0</f>
        <v>991.9</v>
      </c>
      <c r="I35" s="3">
        <f>583.5+(802.5-286.6)+(-1.19034+(-1.6371--0.584664))+0-128.5--0.262139999999994</f>
        <v>968.91936400000009</v>
      </c>
      <c r="J35" s="3">
        <f>586.3+(734.6-230.6)+(0.299013+(0.374646-0.117606))+0-128-0.065279999999987</f>
        <v>962.79077299999994</v>
      </c>
      <c r="K35" s="3">
        <f>591.8+(632.7-146.1)+(0+(0-0))+0-128.8-0</f>
        <v>949.60000000000014</v>
      </c>
      <c r="L35" s="3">
        <f>599.2+(538.3-81.8)+(-1.52796+(-1.372665--0.20859))+0-130.6--0.333029999999981</f>
        <v>922.740995</v>
      </c>
      <c r="M35" s="3">
        <f>590.9+(624-123.2)+(-0.301359+(-0.31824--0.062832))+0-133.2--0.0679319999999865</f>
        <v>958.01116500000001</v>
      </c>
      <c r="N35" s="3">
        <f>583.8+(688.1-134.4)+(0.595476+(0.701862-0.137088))+0-128.9-0.131478000000021</f>
        <v>1009.6287719999999</v>
      </c>
      <c r="O35" s="3">
        <f>606.3+(731.2-157.3)+(-0.927639+(-1.118736--0.240669))+0-131.7--0.201501000000008</f>
        <v>1046.8957949999999</v>
      </c>
      <c r="P35" s="3">
        <f>621.5+(740.9-154.4)+(-0.63393+(-0.755718--0.157488))+0-147--0.149940000000023</f>
        <v>1059.91778</v>
      </c>
      <c r="Q35" s="3">
        <f>621.5+(843.9-192)+(0.316965+(0.430389-0.09792))+0-129.8-0.0661979999999868</f>
        <v>1144.1832360000001</v>
      </c>
      <c r="R35" s="3">
        <f>609.9+(994-286.1)+(-0.622098+(-1.01388--0.291822))+0-126.8--0.12933600000002</f>
        <v>1189.7851799999999</v>
      </c>
      <c r="S35" s="3">
        <f>615.1+(1131.9-416.1)+(-1.254804+(-2.309076--0.848844))+0-126.4--0.257855999999994</f>
        <v>1202.0428199999999</v>
      </c>
      <c r="T35" s="3">
        <f>692.7+(1065.4-442.8)+(-0.706554+(-1.086708--0.451656))+0-127.4--0.12994800000002</f>
        <v>1186.6883420000001</v>
      </c>
      <c r="U35" s="3">
        <f>735+(937.3-371.3)+(-1.12455+(-1.434069--0.568089))+0-124.9--0.191097000000007</f>
        <v>1174.3005669999998</v>
      </c>
      <c r="V35" s="3">
        <f>737.7+(799.4-270.6)+(-0.376227+(-0.407694--0.138006))+0-128.8--0.0656879999999869</f>
        <v>1137.1197729999999</v>
      </c>
      <c r="W35" s="3">
        <f>706+(673.4-161.4)+(-1.44024+(-1.373736--0.329256))+0-127.9--0.260915999999994</f>
        <v>1087.8761959999999</v>
      </c>
      <c r="X35" s="3">
        <f>708.7+(549.1-94.3)+(-1.084311+(-0.840123--0.144279))+0-126.2--0.193086000000007</f>
        <v>1035.712931</v>
      </c>
      <c r="Y35" s="3">
        <f>723.3+(716.1-189.2)+(-1.475532+(-1.460844--0.385968))+0-125.3--0.255611999999995</f>
        <v>1122.605204</v>
      </c>
      <c r="Z35" s="3">
        <f>750.4+(895.7-286.5)+(-1.148112+(-1.370421--0.438345))+0-129.4--0.197982000000007</f>
        <v>1228.3177939999998</v>
      </c>
      <c r="AA35" s="3">
        <f>767.1+(937.2-345.4)+(-1.173663+(-1.433916--0.528462))+0-130.4--0.199512000000008</f>
        <v>1226.6203949999999</v>
      </c>
      <c r="AB35" s="3">
        <f>771.1+(964.5-414)+(-1.966305+(-2.459475--1.0557))+0-130--0.331499999999981</f>
        <v>1188.56142</v>
      </c>
      <c r="AC35" s="3">
        <f>779.4+(944.6-453.4)+(-1.98747+(-2.40873--1.15617))+0-131.3--0.334814999999981</f>
        <v>1136.394785</v>
      </c>
      <c r="AD35">
        <f t="shared" si="0"/>
        <v>26002.381745999995</v>
      </c>
      <c r="AE35" s="3">
        <f>795+(900-293.5)+(0+(0-0))+0-133.3-0</f>
        <v>1268.2</v>
      </c>
    </row>
    <row r="36" spans="1:31" s="2" customFormat="1" x14ac:dyDescent="0.25">
      <c r="A36">
        <v>89</v>
      </c>
      <c r="B36">
        <v>2</v>
      </c>
      <c r="C36">
        <v>5</v>
      </c>
      <c r="D36">
        <v>2</v>
      </c>
      <c r="E36">
        <v>1</v>
      </c>
      <c r="F36" s="3">
        <f>786.2+(897.2-457.7)+(-0.801924+(-0.915144--0.466854))+0-129.8--0.132396000000021</f>
        <v>1094.7821820000001</v>
      </c>
      <c r="G36" s="3">
        <f>789.3+(811.4-424.5)+(-1.207629+(-1.241442--0.649485))+0-130--0.198900000000008</f>
        <v>1044.5993139999998</v>
      </c>
      <c r="H36" s="3">
        <f>784.9+(778.6-417.8)+(-1.200897+(-1.191258--0.639234))+0-127.4--0.194922000000007</f>
        <v>1016.7420010000001</v>
      </c>
      <c r="I36" s="3">
        <f>784.5+(748.3-404.3)+(-1.200285+(-1.144899--0.618579))+0-127.4--0.194922000000007</f>
        <v>999.56831699999998</v>
      </c>
      <c r="J36" s="3">
        <f>804.1+(673.1-370.6)+(1.230273+(1.029843-0.567018))+0-122.8-0.187884000000007</f>
        <v>985.30521399999986</v>
      </c>
      <c r="K36" s="3">
        <f>800.3+(582.7-283.7)+(-2.040765+(-1.485885--0.723435))+0-121.6--0.310079999999982</f>
        <v>975.20686499999999</v>
      </c>
      <c r="L36" s="3">
        <f>803.6+(385.3-127.9)+(-2.04918+(-0.982515--0.326145))+0-113.8--0.290189999999983</f>
        <v>944.78464000000008</v>
      </c>
      <c r="M36" s="3">
        <f>800.7+(403.9-136.4)+(-0.816714+(-0.411978--0.139128))+0-108--0.110160000000017</f>
        <v>959.220596</v>
      </c>
      <c r="N36" s="3">
        <f>798.8+(455.5-188.9)+(0.814776+(0.46461-0.192678))+0-110.1-0.112302000000018</f>
        <v>956.27440600000011</v>
      </c>
      <c r="O36" s="3">
        <f>831.8+(581.6-267)+(-0.424218+(-0.296616--0.13617))+0-109.5--0.0558449999999889</f>
        <v>1036.3711810000002</v>
      </c>
      <c r="P36" s="3">
        <f>865.4+(541.3-240)+(-1.324062+(-0.828189--0.3672))+0-107.5--0.164475000000006</f>
        <v>1057.5794239999998</v>
      </c>
      <c r="Q36" s="3">
        <f>911.8+(537-250.7)+(-1.395054+(-0.82161--0.383571))+0-106.5--0.162945000000006</f>
        <v>1089.929852</v>
      </c>
      <c r="R36" s="3">
        <f>895.4+(563.5-255.1)+(0+(0-0))+0-106.4-0</f>
        <v>1097.3999999999999</v>
      </c>
      <c r="S36" s="3">
        <f>972.6+(606.3-346.8)+(-1.984104+(-1.236852--0.707472))+0-108.4--0.221135999999995</f>
        <v>1121.4076519999996</v>
      </c>
      <c r="T36" s="3">
        <f>974.8+(645.6-393.8)+(0+(0-0))+0-108.8-0</f>
        <v>1117.8</v>
      </c>
      <c r="U36" s="3">
        <f>968.2+(608.6-378.2)+(-1.975128+(-1.241544--0.771528))+0-109.5--0.223379999999995</f>
        <v>1086.878236</v>
      </c>
      <c r="V36" s="3">
        <f>971+(526.7-323.8)+(-0.99042+(-0.537234--0.330276))+0-110.9--0.113118000000018</f>
        <v>1061.9157399999999</v>
      </c>
      <c r="W36" s="3">
        <f>960.5+(405.5-213)+(-2.449275+(-1.034025--0.54315))+0-114.5--0.291974999999983</f>
        <v>1035.8518250000002</v>
      </c>
      <c r="X36" s="3">
        <f>973.6+(312.5-164.4)+(-2.979216+(-0.95625--0.503064))+0-112.9--0.345474000000013</f>
        <v>1005.7130720000001</v>
      </c>
      <c r="Y36" s="3">
        <f>988.2+(426.2-218.1)+(-0.503982+(-0.217362--0.111231))+0-114.8--0.0585479999999884</f>
        <v>1080.948435</v>
      </c>
      <c r="Z36" s="3">
        <f>970.7+(586.3-263.7)+(-2.970342+(-1.794078--0.806922))+0-118.7--0.363222000000014</f>
        <v>1171.0057239999999</v>
      </c>
      <c r="AA36" s="3">
        <f>955.3+(688.8-355.6)+(-3.897624+(-2.810304--1.450848))+0-118.9--0.48511199999999</f>
        <v>1164.8280319999999</v>
      </c>
      <c r="AB36" s="3">
        <f>978+(737.3-458.1)+(-3.49146+(-2.632161--1.635417))+0-123.4--0.440538000000002</f>
        <v>1129.7523339999998</v>
      </c>
      <c r="AC36" s="3">
        <f>971+(696.3-467.3)+(-1.98084+(-1.420452--0.953292))+0-123.8--0.252551999999995</f>
        <v>1074.0045519999999</v>
      </c>
      <c r="AD36">
        <f t="shared" si="0"/>
        <v>25307.869593999996</v>
      </c>
      <c r="AE36" s="3">
        <f>936+(665.9-289)+(0+(0-0))+0-119.6-0</f>
        <v>1193.3000000000002</v>
      </c>
    </row>
    <row r="37" spans="1:31" s="2" customFormat="1" x14ac:dyDescent="0.25">
      <c r="A37">
        <v>89</v>
      </c>
      <c r="B37">
        <v>2</v>
      </c>
      <c r="C37">
        <v>6</v>
      </c>
      <c r="D37">
        <v>3</v>
      </c>
      <c r="E37">
        <v>1</v>
      </c>
      <c r="F37" s="3">
        <f>996.4+(645.3-449.2)+(-2.54082+(-1.645515--1.14546))+0-125.1--0.319004999999982</f>
        <v>1064.6781300000002</v>
      </c>
      <c r="G37" s="3">
        <f>996.7+(601.5-448.1)+(-2.033268+(-1.22706--0.914124))+0-122.4--0.249695999999995</f>
        <v>1025.603492</v>
      </c>
      <c r="H37" s="3">
        <f>943.9+(617.6-437.3)+(-3.369723+(-2.204832--1.561161))+0-122.5--0.437325000000002</f>
        <v>998.12393099999997</v>
      </c>
      <c r="I37" s="3">
        <f>897.8+(584.5-380.5)+(-0.915756+(-0.59619--0.38811))+0-124.9--0.12739800000002</f>
        <v>975.90356199999997</v>
      </c>
      <c r="J37" s="3">
        <f>899.2+(516.6-328.3)+(-1.834368+(-1.053864--0.669732))+0-124.9--0.254795999999995</f>
        <v>960.63629600000002</v>
      </c>
      <c r="K37" s="3">
        <f>905+(441.3-271.4)+(0.46155+(0.225063-0.138414))+0-124.7-0.0635969999999874</f>
        <v>950.68460200000015</v>
      </c>
      <c r="L37" s="3">
        <f>904.9+(351.7-201.2)+(-2.768994+(-1.076202--0.615672))+0-124.1--0.379746000000014</f>
        <v>928.45022200000005</v>
      </c>
      <c r="M37" s="3">
        <f>907.9+(507.3-347.1)+(-0.463029+(-0.258723--0.177021))+0-117--0.0596699999999881</f>
        <v>950.61493899999994</v>
      </c>
      <c r="N37" s="3">
        <f>907.3+(615-409.6)+(-0.925446+(-0.6273--0.417792))+0-109.3--0.111486000000017</f>
        <v>1002.3765319999998</v>
      </c>
      <c r="O37" s="3">
        <f>903.3+(643.7-422.4)+(-1.842732+(-1.313148--0.861696))+0-111.5--0.227459999999995</f>
        <v>1011.0332759999998</v>
      </c>
      <c r="P37" s="3">
        <f>900.9+(685.2-379)+(0+(0-0))+0-110.8-0</f>
        <v>1096.3</v>
      </c>
      <c r="Q37" s="3">
        <f>998+(589.7-345.4)+(-1.01796+(-0.601494--0.352308))+0-110.7--0.112914000000018</f>
        <v>1130.4457680000003</v>
      </c>
      <c r="R37" s="3">
        <f>983.5+(591.3-310.2)+(-1.00317+(-0.603126--0.316404))+0-113.1--0.115362000000018</f>
        <v>1150.32547</v>
      </c>
      <c r="S37" s="3">
        <f>1000.9+(746.5-477)+(-1.531377+(-1.142145--0.72981))+0-122.7--0.187731000000007</f>
        <v>1145.944019</v>
      </c>
      <c r="T37" s="3">
        <f>987.9+(815.7-510.6)+(-2.015316+(-1.664028--1.041624))+0-127.4--0.259895999999994</f>
        <v>1163.222176</v>
      </c>
      <c r="U37" s="3">
        <f>981.4+(753.2-468.6)+(-1.501542+(-1.152396--0.716958))+0-128.4--0.196452000000007</f>
        <v>1135.8594719999999</v>
      </c>
      <c r="V37" s="3">
        <f>972+(648.7-361.2)+(-1.48716+(-0.992511--0.552636))+0-131.7--0.201501000000008</f>
        <v>1126.074466</v>
      </c>
      <c r="W37" s="3">
        <f>971.1+(484.9-242.6)+(-0.990522+(-0.494598--0.247452))+0-134.2--0.136884000000021</f>
        <v>1078.0992160000001</v>
      </c>
      <c r="X37" s="3">
        <f>974.1+(348.6-151.5)+(-1.987164+(-0.711144--0.30906))+0-133.2--0.271727999999994</f>
        <v>1035.88248</v>
      </c>
      <c r="Y37" s="3">
        <f>978.5+(430.1-182.9)+(-0.99807+(-0.438702--0.186558))+0-130.3--0.132906000000021</f>
        <v>1094.2826920000002</v>
      </c>
      <c r="Z37" s="3">
        <f>981.8+(584.4-249.8)+(-1.502154+(-0.894132--0.382194))+0-133--0.203490000000008</f>
        <v>1181.5893980000001</v>
      </c>
      <c r="AA37" s="3">
        <f>984.2+(620.6-291.7)+(0+(0-0))+0-133.3-0</f>
        <v>1179.8000000000002</v>
      </c>
      <c r="AB37" s="3">
        <f>982.2+(698.7-402.5)+(-1.502766+(-1.069011--0.615825))+0-133.3--0.203949000000008</f>
        <v>1143.3479970000001</v>
      </c>
      <c r="AC37" s="3">
        <f>970.6+(735.2-484)+(-0.990012+(-0.749904--0.49368))+0-130.9--0.133518000000021</f>
        <v>1089.7872820000002</v>
      </c>
      <c r="AD37">
        <f t="shared" si="0"/>
        <v>25619.065418000002</v>
      </c>
      <c r="AE37" s="3">
        <f>978+(603.4-260)+(0+(0-0))+0-135.4-0</f>
        <v>1186</v>
      </c>
    </row>
    <row r="38" spans="1:31" s="2" customFormat="1" x14ac:dyDescent="0.25">
      <c r="A38">
        <v>89</v>
      </c>
      <c r="B38">
        <v>2</v>
      </c>
      <c r="C38">
        <v>7</v>
      </c>
      <c r="D38">
        <v>4</v>
      </c>
      <c r="E38">
        <v>1</v>
      </c>
      <c r="F38" s="3">
        <f>977.3+(706.2-507.4)+(-1.993692+(-1.440648--1.035096))+0-132.7--0.270707999999994</f>
        <v>1041.2714639999999</v>
      </c>
      <c r="G38" s="3">
        <f>991.5+(630.6-493.1)+(-3.539655+(-2.251242--1.760367))+0-129.4--0.461958000000002</f>
        <v>996.03142800000001</v>
      </c>
      <c r="H38" s="3">
        <f>1002+(538.1-448.8)+(-1.53306+(-0.823293--0.686664))+0-130.9--0.200277000000008</f>
        <v>958.93058799999994</v>
      </c>
      <c r="I38" s="3">
        <f>1005.3+(451.7-389.6)+(-1.025406+(-0.460734--0.397392))+0-129.7--0.132294000000021</f>
        <v>936.74354599999992</v>
      </c>
      <c r="J38" s="3">
        <f>998.5+(390.4-330.7)+(-3.05541+(-1.194624--1.011942))+0-128.6--0.393516000000015</f>
        <v>926.75542399999995</v>
      </c>
      <c r="K38" s="3">
        <f>1008+(326-287.3)+(-1.02816+(-0.33252--0.293046))+0-125.8--0.12831600000002</f>
        <v>919.96068200000013</v>
      </c>
      <c r="L38" s="3">
        <f>1007.4+(250-220.5)+(-3.082644+(-0.765--0.67473))+0-129.4--0.395964000000015</f>
        <v>904.72305000000017</v>
      </c>
      <c r="M38" s="3">
        <f>1020.7+(290.8-252.2)+(-1.561671+(-0.444924--0.385866))+0-130.9--0.200277000000008</f>
        <v>926.97954800000025</v>
      </c>
      <c r="N38" s="3">
        <f>1005.6+(358.2-278.9)+(-0.512856+(-0.182682--0.142239))+0-130.4--0.0665039999999868</f>
        <v>954.0132050000002</v>
      </c>
      <c r="O38" s="3">
        <f>990.8+(453.8-330.2)+(-1.515924+(-0.694314--0.505206))+0-125.8--0.192474000000007</f>
        <v>987.08744200000012</v>
      </c>
      <c r="P38" s="3">
        <f>981.6+(480.6-299.8)+(-1.501848+(-0.735318--0.458694))+0-123.7--0.189261000000007</f>
        <v>1037.1107890000001</v>
      </c>
      <c r="Q38" s="3">
        <f>974+(504.3-275.9)+(0+(0-0))+0-121.5-0</f>
        <v>1080.9000000000001</v>
      </c>
      <c r="R38" s="3">
        <f>952.7+(585.8-284.4)+(-1.457631+(-0.896274--0.435132))+0-121.4--0.185742000000007</f>
        <v>1130.9669689999998</v>
      </c>
      <c r="S38" s="3">
        <f>944.1+(743.7-414.4)+(0+(0-0))+0-121.6-0</f>
        <v>1151.8000000000002</v>
      </c>
      <c r="T38" s="3">
        <f>932.1+(785.5-446.4)+(-0.950742+(-0.80121--0.455328))+0-125.5--0.12801000000002</f>
        <v>1144.5313860000001</v>
      </c>
      <c r="U38" s="3">
        <f>930.9+(767.8-438.2)+(-1.899036+(-1.566312--0.893928))+0-122.5--0.249899999999995</f>
        <v>1135.67848</v>
      </c>
      <c r="V38" s="3">
        <f>931.9+(670.6-376.3)+(-1.425807+(-1.026018--0.575739))+0-124.8--0.190944000000007</f>
        <v>1099.714858</v>
      </c>
      <c r="W38" s="3">
        <f>933.9+(491.5-240.1)+(-1.905156+(-1.00266--0.489804))+0-130.5--0.266219999999994</f>
        <v>1052.6482079999998</v>
      </c>
      <c r="X38" s="3">
        <f>947.8+(341.8-139.8)+(-1.450134+(-0.522954--0.213894))+0-126.9--0.194157000000007</f>
        <v>1021.334963</v>
      </c>
      <c r="Y38" s="3">
        <f>974.6+(434.2-184.6)+(-1.988184+(-0.885768--0.376584))+0-127.1--0.259283999999994</f>
        <v>1094.8619160000001</v>
      </c>
      <c r="Z38" s="3">
        <f>1005+(551.2-249.5)+(-1.0251+(-0.562224--0.25449))+0-128.7--0.131274000000021</f>
        <v>1176.79844</v>
      </c>
      <c r="AA38" s="3">
        <f>981.1+(623.9-302.4)+(-2.001444+(-1.272756--0.616896))+0-129--0.263159999999994</f>
        <v>1171.2058559999998</v>
      </c>
      <c r="AB38" s="3">
        <f>988.9+(641.3-359.6)+(-1.008678+(-0.654126--0.366792))+0-128.7--0.131274000000021</f>
        <v>1140.7352619999999</v>
      </c>
      <c r="AC38" s="3">
        <f>986.5+(633.3-406)+(-1.00623+(-0.645966--0.41412))+0-126.7--0.12923400000002</f>
        <v>1085.9911579999998</v>
      </c>
      <c r="AD38">
        <f t="shared" si="0"/>
        <v>25076.774662</v>
      </c>
      <c r="AE38" s="3">
        <f>1000+(578.7-259.8)+(0+(0-0))+0-130.8-0</f>
        <v>1188.1000000000001</v>
      </c>
    </row>
    <row r="39" spans="1:31" s="2" customFormat="1" x14ac:dyDescent="0.25">
      <c r="A39">
        <v>89</v>
      </c>
      <c r="B39">
        <v>2</v>
      </c>
      <c r="C39">
        <v>8</v>
      </c>
      <c r="D39">
        <v>5</v>
      </c>
      <c r="E39">
        <v>1</v>
      </c>
      <c r="F39" s="3">
        <f>976.9+(576-388.6)+(-0.498219+(-0.29376--0.198186))+0-125.7--0.0641069999999872</f>
        <v>1038.0703139999998</v>
      </c>
      <c r="G39" s="3">
        <f>969.5+(517.7-360.2)+(-0.494445+(-0.264027--0.183702))+0-123.3--0.0628829999999875</f>
        <v>1003.188113</v>
      </c>
      <c r="H39" s="3">
        <f>970.4+(777.7-654.6)+(-0.989808+(-0.793254--0.667692))+0-121.5--0.123930000000019</f>
        <v>971.00855999999999</v>
      </c>
      <c r="I39" s="3">
        <f>968.6+(714.9-611.3)+(0+(0-0))+0-122.9-0</f>
        <v>949.30000000000007</v>
      </c>
      <c r="J39" s="3">
        <f>972.3+(639.9-546.3)+(-0.991746+(-0.652698--0.557226))+0-125.9--0.12841800000002</f>
        <v>939.04120000000023</v>
      </c>
      <c r="K39" s="3">
        <f>974.9+(548-466.2)+(-2.485995+(-1.3974--1.18881))+0-126.1--0.321554999999982</f>
        <v>928.22697000000005</v>
      </c>
      <c r="L39" s="3">
        <f>978.3+(317.2-259.6)+(-1.496799+(-0.485316--0.397188))+0-125.7--0.192321000000007</f>
        <v>908.8073939999997</v>
      </c>
      <c r="M39" s="3">
        <f>987.5+(332.7-250)+(0+(0-0))+0-130.1-0</f>
        <v>940.1</v>
      </c>
      <c r="N39" s="3">
        <f>988.3+(473.2-349.2)+(-1.008066+(-0.482664--0.356184))+0-133.9--0.136578000000021</f>
        <v>977.40203199999996</v>
      </c>
      <c r="O39" s="3">
        <f>994.8+(510.8-347.5)+(-0.507348+(-0.260508--0.177225))+0-134.3--0.0684929999999864</f>
        <v>1023.2778619999999</v>
      </c>
      <c r="P39" s="3">
        <f>984.6+(529.6-320.9)+(-1.506438+(-0.810288--0.490977))+0-133.4--0.204102000000008</f>
        <v>1058.2783529999999</v>
      </c>
      <c r="Q39" s="3">
        <f>973.7+(599.4-334.8)+(-1.489761+(-0.917082--0.512244))+0-132.8--0.203184000000008</f>
        <v>1103.808585</v>
      </c>
      <c r="R39" s="3">
        <f>975.4+(629.7-326.4)+(-1.492362+(-0.963441--0.499392))+0-133.3--0.203949000000008</f>
        <v>1143.6475380000002</v>
      </c>
      <c r="S39" s="3">
        <f>977+(791-469.9)+(-1.99308+(-1.61364--0.958596))+0-133.2--0.271727999999994</f>
        <v>1162.5236039999998</v>
      </c>
      <c r="T39" s="3">
        <f>970.3+(860.6-529.3)+(-0.494853+(-0.438906--0.269943))+0-135.9--0.0693089999999862</f>
        <v>1165.1054929999998</v>
      </c>
      <c r="U39" s="3">
        <f>971.5+(795.1-482.1)+(-0.495465+(-0.405501--0.245871))+0-132.5--0.0675749999999866</f>
        <v>1151.41248</v>
      </c>
      <c r="V39" s="3">
        <f>976.7+(617.4-321.8)+(-2.490585+(-1.57437--0.82059))+0-133.6--0.340679999999981</f>
        <v>1135.796315</v>
      </c>
      <c r="W39" s="3">
        <f>977+(450-228.5)+(-1.99308+(-0.918--0.46614))+0-131.4--0.268055999999994</f>
        <v>1064.9231159999997</v>
      </c>
      <c r="X39" s="3">
        <f>979.6+(441.5-270.2)+(-1.998384+(-0.90066--0.551208))+0-131.1--0.267443999999994</f>
        <v>1017.7196080000001</v>
      </c>
      <c r="Y39" s="3">
        <f>989.1+(519.7-287.2)+(-1.513323+(-0.795141--0.439416))+0-130.3--0.199359000000008</f>
        <v>1089.6303110000001</v>
      </c>
      <c r="Z39" s="3">
        <f>994.7+(572-242.4)+(-1.521891+(-0.87516--0.370872))+0-129.2--0.197676000000007</f>
        <v>1193.2714970000002</v>
      </c>
      <c r="AA39" s="3">
        <f>1011.8+(616.9-296.3)+(-1.032036+(-0.629238--0.302226))+0-129.7--0.132294000000021</f>
        <v>1201.4732459999998</v>
      </c>
      <c r="AB39" s="3">
        <f>1016.3+(700.3-416.7)+(-2.073252+(-1.428612--0.850068))+0-130.3--0.265811999999994</f>
        <v>1167.2140159999999</v>
      </c>
      <c r="AC39" s="3">
        <f>1019.2+(689.3-466.3)+(-2.079168+(-1.406172--0.951252))+0-128.9--0.262955999999994</f>
        <v>1111.0288679999999</v>
      </c>
      <c r="AD39">
        <f t="shared" si="0"/>
        <v>25444.255475000005</v>
      </c>
      <c r="AE39" s="3">
        <f>996+(571-248.8)+(0+(0-0))+0-126.8-0</f>
        <v>1191.4000000000001</v>
      </c>
    </row>
    <row r="40" spans="1:31" s="2" customFormat="1" x14ac:dyDescent="0.25">
      <c r="A40">
        <v>89</v>
      </c>
      <c r="B40">
        <v>2</v>
      </c>
      <c r="C40">
        <v>9</v>
      </c>
      <c r="D40">
        <v>6</v>
      </c>
      <c r="E40">
        <v>1</v>
      </c>
      <c r="F40" s="3">
        <f>990.8+(667.3-465.7)+(-0.505308+(-0.340323--0.237507))+0-126.6--0.0645659999999871</f>
        <v>1065.2564419999999</v>
      </c>
      <c r="G40" s="3">
        <f>989.3+(609-448.6)+(-1.513629+(-0.93177--0.686358))+0-128.1--0.195993000000007</f>
        <v>1020.0369519999998</v>
      </c>
      <c r="H40" s="3">
        <f>980.9+(684.7-551.3)+(1.500777+(1.047591-0.843489))+0-126.4-0.193392000000007</f>
        <v>989.41148700000008</v>
      </c>
      <c r="I40" s="3">
        <f>816+(767.3-489.2)+(-1.24848+(-1.173969--0.748476))+0-125--0.191250000000007</f>
        <v>967.61727699999994</v>
      </c>
      <c r="J40" s="3">
        <f>824.8+(672.1-419.9)+(0.420648+(0.342771-0.214149))+0-123.9-0.0631889999999874</f>
        <v>953.58608100000004</v>
      </c>
      <c r="K40" s="3">
        <f>845.5+(532.9-312.4)+(-1.293615+(-0.815337--0.477972))+0-124.1--0.189873000000007</f>
        <v>940.4588930000001</v>
      </c>
      <c r="L40" s="3">
        <f>903.5+(403.7-266.6)+(-1.84314+(-0.823548--0.543864))+0-122.8--0.250511999999995</f>
        <v>915.92768799999988</v>
      </c>
      <c r="M40" s="3">
        <f>1016.4+(356.8-306.9)+(-1.555092+(-0.545904--0.469557))+0-129.6--0.198288000000007</f>
        <v>935.26684899999998</v>
      </c>
      <c r="N40" s="3">
        <f>1024+(381.4-299.4)+(0+(0-0))+0-128.1-0</f>
        <v>977.9</v>
      </c>
      <c r="O40" s="3">
        <f>1018.5+(513.7-378.8)+(-0.519435+(-0.261987--0.193188))+0-125.8--0.0641579999999872</f>
        <v>1027.075924</v>
      </c>
      <c r="P40" s="3">
        <f>1005.4+(543.1-351.2)+(-1.025508+(-0.553962--0.358224))+0-122.3--0.124746000000019</f>
        <v>1073.9034999999999</v>
      </c>
      <c r="Q40" s="3">
        <f>984.8+(563.4-296.4)+(0+(0-0))+0-126.6-0</f>
        <v>1125.2</v>
      </c>
      <c r="R40" s="3">
        <f>971.2+(713.3-369)+(-1.485936+(-1.091349--0.56457))+0-121.8--0.186354000000007</f>
        <v>1191.8736389999999</v>
      </c>
      <c r="S40" s="3">
        <f>966.8+(856.1-542.9)+(-0.986136+(-0.873222--0.553758))+0-123.2--0.12566400000002</f>
        <v>1155.620064</v>
      </c>
      <c r="T40" s="3">
        <f>983.1+(917.9-615.5)+(-0.501381+(-0.468129--0.313905))+0-127.7--0.065126999999987</f>
        <v>1157.2095220000001</v>
      </c>
      <c r="U40" s="3">
        <f>1004.4+(866.9-577.2)+(-1.536732+(-1.326357--0.883116))+0-125.8--0.192474000000007</f>
        <v>1166.5125009999999</v>
      </c>
      <c r="V40" s="3">
        <f>1006.4+(719.8-440.7)+(-1.026528+(-0.734196--0.449514))+0-127.7--0.13025400000002</f>
        <v>1156.6190439999998</v>
      </c>
      <c r="W40" s="3">
        <f>997.1+(482.9-295.1)+(-3.559647+(-1.723953--1.053507))+0-125.4--0.447678000000002</f>
        <v>1055.7175850000001</v>
      </c>
      <c r="X40" s="3">
        <f>996.4+(332.5-175.6)+(0+(0-0))+0-126.9-0</f>
        <v>1026.3999999999999</v>
      </c>
      <c r="Y40" s="3">
        <f>1000.8+(454.2-223.9)+(-1.020816+(-0.463284--0.228378))+0-128.7--0.131274000000021</f>
        <v>1101.2755519999998</v>
      </c>
      <c r="Z40" s="3">
        <f>979.5+(591.9-253.1)+(-2.497725+(-1.509345--0.645405))+0-131.2--0.334559999999981</f>
        <v>1184.072895</v>
      </c>
      <c r="AA40" s="3">
        <f>981.6+(610.4-288.6)+(-1.001232+(-0.622608--0.294372))+0-128.8--0.131376000000021</f>
        <v>1173.4019080000003</v>
      </c>
      <c r="AB40" s="3">
        <f>980.9+(642.9-326.7)+(-2.001036+(-1.311516--0.666468))+0-126.5--0.258059999999994</f>
        <v>1168.2119759999998</v>
      </c>
      <c r="AC40" s="3">
        <f>988.3+(616.1-361.9)+(-0.504033+(-0.314211--0.184569))+0-126.8--0.0646679999999871</f>
        <v>1115.130993</v>
      </c>
      <c r="AD40">
        <f t="shared" si="0"/>
        <v>25643.686771999997</v>
      </c>
      <c r="AE40" s="3">
        <f>979+(614.6-298.8)+(0+(0-0))+0-128.2-0</f>
        <v>1166.5999999999999</v>
      </c>
    </row>
    <row r="41" spans="1:31" s="2" customFormat="1" x14ac:dyDescent="0.25">
      <c r="A41">
        <v>89</v>
      </c>
      <c r="B41">
        <v>2</v>
      </c>
      <c r="C41">
        <v>10</v>
      </c>
      <c r="D41">
        <v>7</v>
      </c>
      <c r="E41">
        <v>1</v>
      </c>
      <c r="F41" s="3">
        <f>981+(690.3-465.7)+(0+(0-0))+0-126.7-0</f>
        <v>1078.8999999999999</v>
      </c>
      <c r="G41" s="3">
        <f>978.5+(712.1-517.6)+(0+(0-0))+0-123.2-0</f>
        <v>1049.8</v>
      </c>
      <c r="H41" s="3">
        <f>981.3+(575.4-426.8)+(1.000926+(0.586908-0.435336))+0-121.4-0.123828000000019</f>
        <v>1009.5286699999998</v>
      </c>
      <c r="I41" s="3">
        <f>980+(507.9-378.4)+(-0.4998+(-0.259029--0.192984))+0-122.6--0.0625259999999876</f>
        <v>986.39668099999983</v>
      </c>
      <c r="J41" s="3">
        <f>987.9+(416.2-312.6)+(1.007658+(0.424524-0.318852))+0-122.7-0.12515400000002</f>
        <v>969.78817599999979</v>
      </c>
      <c r="K41" s="3">
        <f>981.7+(368.7-249)+(-2.503335+(-0.940185--0.63495))+0-119.7--0.305234999999983</f>
        <v>979.19666500000017</v>
      </c>
      <c r="L41" s="3">
        <f>978.7+(236-174.8)+(-2.495685+(-0.6018--0.44574))+0-119.5--0.304724999999983</f>
        <v>918.05298000000016</v>
      </c>
      <c r="M41" s="3">
        <f>984.3+(276.6-222.1)+(-1.003986+(-0.282132--0.226542))+0-120.7--0.123114000000019</f>
        <v>917.16353799999979</v>
      </c>
      <c r="N41" s="3">
        <f>993.5+(286.7-203.4)+(0.506685+(0.146217-0.103734))+0-123.6-0.0630359999999875</f>
        <v>953.68613199999993</v>
      </c>
      <c r="O41" s="3">
        <f>996.7+(310.8-178.4)+(-0.508317+(-0.158508--0.090984))+0-129--0.0657899999999869</f>
        <v>999.58994900000005</v>
      </c>
      <c r="P41" s="3">
        <f>980.7+(455.5-232.1)+(-1.000314+(-0.46461--0.236742))+0-129.1--0.131682000000021</f>
        <v>1073.9035000000001</v>
      </c>
      <c r="Q41" s="3">
        <f>969.3+(610.1-331.1)+(-1.483029+(-0.933453--0.506583))+0-126.2--0.193086000000007</f>
        <v>1120.3831869999999</v>
      </c>
      <c r="R41" s="3">
        <f>964.6+(758.3-465.3)+(0.491946+(0.386733-0.237303))+0-121.5-0.0619649999999877</f>
        <v>1136.6794109999998</v>
      </c>
      <c r="S41" s="3">
        <f>952+(884.4-575.8)+(-0.97104+(-0.902088--0.587316))+0-120.8--0.123216000000019</f>
        <v>1138.6374039999998</v>
      </c>
      <c r="T41" s="3">
        <f>955.7+(916.1-616.5)+(1.462221+(1.401633-0.943245))+0-119.9-0.183447000000007</f>
        <v>1137.137162</v>
      </c>
      <c r="U41" s="3">
        <f>943.5+(919.8-613.9)+(-1.443555+(-1.407294--0.939267))+0-123.6--0.189108000000007</f>
        <v>1124.0775260000003</v>
      </c>
      <c r="V41" s="3">
        <f>942.7+(797.4-509.2)+(-1.442331+(-1.220022--0.779076))+0-123.8--0.189414000000007</f>
        <v>1105.4061370000002</v>
      </c>
      <c r="W41" s="3">
        <f>941.9+(565.2-318.7)+(-2.401845+(-1.44126--0.812685))+0-126.1--0.321554999999982</f>
        <v>1059.5911350000001</v>
      </c>
      <c r="X41" s="3">
        <f>943.7+(382-177)+(-2.406435+(-0.9741--0.45135))+0-128.1--0.326654999999981</f>
        <v>1017.99747</v>
      </c>
      <c r="Y41" s="3">
        <f>955.4+(528.9-270.4)+(-0.487254+(-0.269739--0.137904))+0-127.6--0.065075999999987</f>
        <v>1085.7459870000002</v>
      </c>
      <c r="Z41" s="3">
        <f>963.6+(763.9-412)+(-1.965744+(-1.558356--0.84048))+0-128.1--0.261323999999994</f>
        <v>1184.9777040000001</v>
      </c>
      <c r="AA41" s="3">
        <f>972.4+(833.6-480.6)+(-0.991848+(-0.850272--0.490212))+0-128.3--0.13086600000002</f>
        <v>1195.878958</v>
      </c>
      <c r="AB41" s="3">
        <f>967.9+(844.6-504.6)+(-2.961774+(-2.584476--1.544076))+0-126.5--0.387090000000015</f>
        <v>1177.7849160000001</v>
      </c>
      <c r="AC41" s="3">
        <f>970.3+(816.2-533.8)+(-0.989706+(-0.832524--0.544476))+0-125.1--0.12760200000002</f>
        <v>1126.4498480000002</v>
      </c>
      <c r="AD41">
        <f t="shared" si="0"/>
        <v>25546.753136000003</v>
      </c>
      <c r="AE41" s="3">
        <f>964+(817.5-463.6)+(0+(0-0))+0-127.5-0</f>
        <v>1190.4000000000001</v>
      </c>
    </row>
    <row r="42" spans="1:31" s="2" customFormat="1" x14ac:dyDescent="0.25">
      <c r="A42">
        <v>89</v>
      </c>
      <c r="B42">
        <v>2</v>
      </c>
      <c r="C42">
        <v>11</v>
      </c>
      <c r="D42">
        <v>1</v>
      </c>
      <c r="E42">
        <v>1</v>
      </c>
      <c r="F42" s="3">
        <f>833.7+(904.3-532.4)+(-1.700748+(-1.844772--1.086096))+0-124.9--0.254795999999995</f>
        <v>1078.4953719999999</v>
      </c>
      <c r="G42" s="3">
        <f>836.2+(889.9-555.2)+(-2.13231+(-2.269245--1.41576))+0-122.2--0.311609999999982</f>
        <v>1046.025815</v>
      </c>
      <c r="H42" s="3">
        <f>832.7+(857.2-561.9)+(-0.849354+(-0.874344--0.573138))+0-121.3--0.123726000000019</f>
        <v>1005.673166</v>
      </c>
      <c r="I42" s="3">
        <f>835+(794-518.6)+(-1.7034+(-1.61976--1.057944))+0-121.4--0.247655999999995</f>
        <v>986.98244000000011</v>
      </c>
      <c r="J42" s="3">
        <f>835.5+(718.8-460.9)+(0+(0-0))+0-120.6-0</f>
        <v>972.80000000000007</v>
      </c>
      <c r="K42" s="3">
        <f>836.7+(592.3-349.8)+(-0.426717+(-0.302073--0.178398))+0-122.1--0.0622709999999876</f>
        <v>956.61187899999993</v>
      </c>
      <c r="L42" s="3">
        <f>835.3+(376.3-171.8)+(-1.704012+(-0.767652--0.350472))+0-119.2--0.243167999999995</f>
        <v>918.72197599999981</v>
      </c>
      <c r="M42" s="3">
        <f>840.4+(499.2-271.1)+(-0.857208+(-0.509184--0.276522))+0-124.4--0.12688800000002</f>
        <v>943.13701800000001</v>
      </c>
      <c r="N42" s="3">
        <f>838.7+(620-337.1)+(-0.855474+(-0.6324--0.343842))+0-125.9--0.12841800000002</f>
        <v>994.68438600000002</v>
      </c>
      <c r="O42" s="3">
        <f>840+(708.9-380.4)+(-1.2852+(-1.084617--0.582012))+0-120--0.183600000000007</f>
        <v>1046.8957950000001</v>
      </c>
      <c r="P42" s="3">
        <f>836.4+(694.4-317.6)+(-0.853128+(-0.708288--0.323952))+0-118.9--0.121278000000019</f>
        <v>1093.1838139999998</v>
      </c>
      <c r="Q42" s="3">
        <f>833.7+(719.7-293.2)+(-0.425187+(-0.367047--0.149532))+0-117.6--0.0599759999999881</f>
        <v>1142.017274</v>
      </c>
      <c r="R42" s="3">
        <f>818.7+(869.6-374.9)+(-2.087685+(-2.21748--0.955995))+0-115.8--0.295289999999983</f>
        <v>1194.5461200000002</v>
      </c>
      <c r="S42" s="3">
        <f>819.1+(996.3-493.9)+(-0.835482+(-1.016226--0.503778))+0-117.1--0.119442000000019</f>
        <v>1203.1715120000001</v>
      </c>
      <c r="T42" s="3">
        <f>822.2+(932.2-455.4)+(-0.419322+(-0.475422--0.232254))+0-113.1--0.0576809999999885</f>
        <v>1185.2951910000002</v>
      </c>
      <c r="U42" s="3">
        <f>817.5+(880.4-410.7)+(-2.084625+(-2.24502--1.047285))+0-111.2--0.283559999999984</f>
        <v>1173.0012000000002</v>
      </c>
      <c r="V42" s="3">
        <f>810.1+(707.5-263)+(-2.065755+(-1.804125--0.67065))+0-117.9--0.300644999999983</f>
        <v>1133.8014149999999</v>
      </c>
      <c r="W42" s="3">
        <f>763.9+(585.3-159)+(-1.168767+(-0.895509--0.24327))+0-118.7--0.181611000000007</f>
        <v>1069.8606049999999</v>
      </c>
      <c r="X42" s="3">
        <f>775.1+(585.7-196.4)+(-1.185903+(-0.896121--0.300492))+0-117.1--0.179163000000007</f>
        <v>1045.6976310000002</v>
      </c>
      <c r="Y42" s="3">
        <f>816.2+(639.1-216)+(-0.416262+(-0.325941--0.11016))+0-116.3--0.0593129999999882</f>
        <v>1122.4272700000001</v>
      </c>
      <c r="Z42" s="3">
        <f>839.2+(798.8-287.9)+(-1.711968+(-1.629552--0.587316))+0-124.1--0.253163999999995</f>
        <v>1223.4989599999999</v>
      </c>
      <c r="AA42" s="3">
        <f>895.2+(761.2-297.7)+(-0.913104+(-0.776424--0.303654))+0-125.1--0.12760200000002</f>
        <v>1232.3417280000001</v>
      </c>
      <c r="AB42" s="3">
        <f>896.2+(803.2-360.6)+(-0.914124+(-0.819264--0.367812))+0-124.2--0.12668400000002</f>
        <v>1213.3611080000003</v>
      </c>
      <c r="AC42" s="3">
        <f>900.5+(745.3-371.5)+(-1.377765+(-1.140309--0.568395))+0-125--0.191250000000007</f>
        <v>1147.541571</v>
      </c>
      <c r="AD42">
        <f t="shared" si="0"/>
        <v>26129.773246000008</v>
      </c>
      <c r="AE42" s="3">
        <f>881+(777.4-292.9)+(0+(0-0))+0-126.6-0</f>
        <v>1238.9000000000001</v>
      </c>
    </row>
    <row r="43" spans="1:31" s="2" customFormat="1" x14ac:dyDescent="0.25">
      <c r="A43">
        <v>89</v>
      </c>
      <c r="B43">
        <v>2</v>
      </c>
      <c r="C43">
        <v>12</v>
      </c>
      <c r="D43">
        <v>2</v>
      </c>
      <c r="E43">
        <v>1</v>
      </c>
      <c r="F43" s="3">
        <f>868.7+(799.7-450.2)+(0+(0-0))+0-124.4-0</f>
        <v>1093.8</v>
      </c>
      <c r="G43" s="3">
        <f>843.7+(790.1-459)+(-0.430287+(-0.402951--0.23409))+0-122.4--0.0624239999999876</f>
        <v>1051.863276</v>
      </c>
      <c r="H43" s="3">
        <f>891.9+(655.8-398.4)+(0+(0-0))+0-119.7-0</f>
        <v>1029.5999999999999</v>
      </c>
      <c r="I43" s="3">
        <f>986.5+(524-381.4)+(-1.00623+(-0.53448--0.389028))+0-120.5--0.122910000000019</f>
        <v>1007.571228</v>
      </c>
      <c r="J43" s="3">
        <f>995.4+(485.7-362.6)+(-0.507654+(-0.247707--0.184926))+0-120.8--0.0616079999999877</f>
        <v>997.19117299999994</v>
      </c>
      <c r="K43" s="3">
        <f>992.7+(435.4-325.2)+(-2.531385+(-1.11027--0.82926))+0-120.9--0.308294999999982</f>
        <v>979.49590000000012</v>
      </c>
      <c r="L43" s="3">
        <f>996+(329.1-278)+(-1.01592+(-0.335682--0.28356))+0-117.1--0.119442000000019</f>
        <v>929.05139999999983</v>
      </c>
      <c r="M43" s="3">
        <f>996.3+(369.3-304.8)+(0+(0-0))+0-118.3-0</f>
        <v>942.5</v>
      </c>
      <c r="N43" s="3">
        <f>988.4+(495.6-369)+(-0.504084+(-0.252756--0.18819))+0-112.3--0.0572729999999886</f>
        <v>1002.1886230000001</v>
      </c>
      <c r="O43" s="3">
        <f>980.7+(541.2-370.3)+(0+(0-0))+0-106-0</f>
        <v>1045.6000000000001</v>
      </c>
      <c r="P43" s="3">
        <f>985.5+(507.2-281.7)+(1.00521+(0.517344-0.287334))+0-102.9-0.104958000000016</f>
        <v>1109.2302619999998</v>
      </c>
      <c r="Q43" s="3">
        <f>970.4+(576.6-284.3)+(-0.494904+(-0.294066--0.144993))+0-102.7--0.0523769999999896</f>
        <v>1159.4084</v>
      </c>
      <c r="R43" s="3">
        <f>961.1+(646.8-302.5)+(-1.470483+(-0.989604--0.462825))+0-105.1--0.160803000000006</f>
        <v>1198.4635410000001</v>
      </c>
      <c r="S43" s="3">
        <f>966.5+(840-480.9)+(-1.97166+(-1.7136--0.981036))+0-108.5--0.221339999999995</f>
        <v>1214.6171159999999</v>
      </c>
      <c r="T43" s="3">
        <f>966.6+(903.5-535.1)+(0.492966+(0.460785-0.272901))+0-115.5-0.0589049999999883</f>
        <v>1220.1219449999999</v>
      </c>
      <c r="U43" s="3">
        <f>955.8+(882.9-506)+(-1.462374+(-1.350837--0.77418))+0-125.8--0.192474000000007</f>
        <v>1205.0534429999998</v>
      </c>
      <c r="V43" s="3">
        <f>937.5+(705.8-338.3)+(-2.86875+(-2.159748--1.035198))+0-129.7--0.396882000000015</f>
        <v>1171.7035819999999</v>
      </c>
      <c r="W43" s="3">
        <f>945.1+(507.1-189.2)+(-0.482001+(-0.258621--0.096492))+0-131.6--0.0671159999999866</f>
        <v>1130.8229860000001</v>
      </c>
      <c r="X43" s="3">
        <f>952.6+(541.5-210.2)+(-1.457478+(-0.828495--0.321606))+0-129--0.197370000000007</f>
        <v>1153.1330030000001</v>
      </c>
      <c r="Y43" s="3">
        <f>973.2+(563-253.2)+(-0.992664+(-0.57426--0.258264))+0-129.1--0.131682000000021</f>
        <v>1152.7230220000001</v>
      </c>
      <c r="Z43" s="3">
        <f>981.2+(714-313.8)+(-3.502884+(-2.54898--1.120266))+0-128--0.456960000000002</f>
        <v>1248.9253620000002</v>
      </c>
      <c r="AA43" s="3">
        <f>986+(759-354.8)+(-2.01144+(-1.54836--0.723792))+0-134.5--0.274379999999994</f>
        <v>1253.1383720000001</v>
      </c>
      <c r="AB43" s="3">
        <f>950.7+(845.9-437.3)+(-2.424285+(-2.157045--1.115115))+0-138.3--0.35266499999998</f>
        <v>1217.88645</v>
      </c>
      <c r="AC43" s="3">
        <f>941.3+(844.9-485.1)+(-2.400315+(-2.154495--1.237005))+0-138.6--0.35342999999998</f>
        <v>1159.535625</v>
      </c>
      <c r="AD43">
        <f t="shared" si="0"/>
        <v>26673.624709</v>
      </c>
      <c r="AE43" s="3">
        <f>982+(747.3-348.8)+(0+(0-0))+0-125.5-0</f>
        <v>1255</v>
      </c>
    </row>
    <row r="44" spans="1:31" s="2" customFormat="1" x14ac:dyDescent="0.25">
      <c r="A44">
        <v>89</v>
      </c>
      <c r="B44">
        <v>2</v>
      </c>
      <c r="C44">
        <v>13</v>
      </c>
      <c r="D44">
        <v>3</v>
      </c>
      <c r="E44">
        <v>1</v>
      </c>
      <c r="F44" s="3">
        <f>938.7+(799.5-475.4)+(-2.872422+(-2.44647--1.454724))+0-139.8--0.427788000000016</f>
        <v>1119.5636200000001</v>
      </c>
      <c r="G44" s="3">
        <f>841.2+(798-415.3)+(-3.003084+(-2.84886--1.482621))+0-135.8--0.484806000000002</f>
        <v>1084.2154830000002</v>
      </c>
      <c r="H44" s="3">
        <f>843.9+(694.4-349.4)+(-0.430389+(-0.354144--0.178194))+0-130.5--0.0665549999999868</f>
        <v>1057.860216</v>
      </c>
      <c r="I44" s="3">
        <f>843.4+(596.2-278.8)+(-0.430134+(-0.304062--0.142188))+0-127.2--0.0648719999999871</f>
        <v>1033.0728639999998</v>
      </c>
      <c r="J44" s="3">
        <f>841.4+(530-221.2)+(-0.858228+(-0.5406--0.225624))+0-127.9--0.13045800000002</f>
        <v>1021.2572540000001</v>
      </c>
      <c r="K44" s="3">
        <f>836.4+(453.9-160.4)+(-2.13282+(-1.157445--0.40902))+0-128.1--0.326654999999981</f>
        <v>999.24540999999999</v>
      </c>
      <c r="L44" s="3">
        <f>839.5+(497.8-243.9)+(-2.56887+(-1.523268--0.746334))+0-127.2--0.389232000000015</f>
        <v>963.24342799999999</v>
      </c>
      <c r="M44" s="3">
        <f>845.3+(621.3-329.5)+(0.431103+(0.316863-0.168045))+0-131.1-0.0668609999999867</f>
        <v>1006.5130599999999</v>
      </c>
      <c r="N44" s="3">
        <f>844+(693.4-351.5)+(0+(0-0))+0-134.5-0</f>
        <v>1051.4000000000001</v>
      </c>
      <c r="O44" s="3">
        <f>862.9+(755.2-385.7)+(-1.320237+(-1.155456--0.590121))+0-133--0.203490000000008</f>
        <v>1097.7179180000003</v>
      </c>
      <c r="P44" s="3">
        <f>895.6+(780.8-403.9)+(0+(0-0))+0-133-0</f>
        <v>1139.5</v>
      </c>
      <c r="Q44" s="3">
        <f>896.2+(739.7-331.6)+(-1.828248+(-1.508988--0.676464))+0-132.5--0.270299999999994</f>
        <v>1169.4095280000001</v>
      </c>
      <c r="R44" s="3">
        <f>897.8+(668.3-249.7)+(-0.457878+(-0.340833--0.127347))+0-134.6--0.0686459999999863</f>
        <v>1181.1972819999999</v>
      </c>
      <c r="S44" s="3">
        <f>901.9+(681.8-260.1)+(-1.839876+(-1.390872--0.530604))+0-137--0.279479999999994</f>
        <v>1184.1793359999999</v>
      </c>
      <c r="T44" s="3">
        <f>901.4+(625.8-240.6)+(-1.838856+(-1.276632--0.490824))+0-139.3--0.284171999999994</f>
        <v>1144.9595079999999</v>
      </c>
      <c r="U44" s="3">
        <f>899.4+(594.7-248.2)+(-1.376082+(-0.909891--0.379746))+0-139.3--0.213129000000008</f>
        <v>1104.9069020000002</v>
      </c>
      <c r="V44" s="3">
        <f>890.7+(485.6-165.9)+(-1.362771+(-0.742968--0.253827))+0-142.1--0.217413000000008</f>
        <v>1066.6655010000002</v>
      </c>
      <c r="W44" s="3">
        <f>890.4+(423.8-140.8)+(0+(0-0))+0-143.5-0</f>
        <v>1029.9000000000001</v>
      </c>
      <c r="X44" s="3">
        <f>889.4+(436.7-168.7)+(-1.814376+(-0.890868--0.344148))+0-139.3--0.284171999999994</f>
        <v>1016.0230760000001</v>
      </c>
      <c r="Y44" s="3">
        <f>892.3+(513.5-158.3)+(0.455073+(0.261885-0.080733))+0-136.7-0.0697169999999861</f>
        <v>1111.3665079999998</v>
      </c>
      <c r="Z44" s="3">
        <f>890.9+(642.5-194.3)+(-2.271795+(-1.638375--0.495465))+0-140.9--0.35929499999998</f>
        <v>1195.1445899999999</v>
      </c>
      <c r="AA44" s="3">
        <f>904.3+(617.7-193.2)+(-2.305965+(-1.575135--0.49266))+0-141.7--0.361334999999979</f>
        <v>1184.072895</v>
      </c>
      <c r="AB44" s="3">
        <f>912.8+(584.6-206.1)+(-0.465528+(-0.298146--0.105111))+0-135.1--0.0689009999999863</f>
        <v>1155.6103380000002</v>
      </c>
      <c r="AC44" s="3">
        <f>903.5+(572.5-249.4)+(-0.460785+(-0.291975--0.127194))+0-134.2--0.0684419999999864</f>
        <v>1091.8428759999999</v>
      </c>
      <c r="AD44">
        <f t="shared" si="0"/>
        <v>26208.867592999995</v>
      </c>
      <c r="AE44" s="3">
        <f>889+(666.6-219)+(0+(0-0))+0-138.5-0</f>
        <v>1198.0999999999999</v>
      </c>
    </row>
    <row r="45" spans="1:31" s="2" customFormat="1" x14ac:dyDescent="0.25">
      <c r="A45">
        <v>89</v>
      </c>
      <c r="B45">
        <v>2</v>
      </c>
      <c r="C45">
        <v>14</v>
      </c>
      <c r="D45">
        <v>4</v>
      </c>
      <c r="E45">
        <v>1</v>
      </c>
      <c r="F45" s="3">
        <f>805.2+(610.7-202.2)+(-1.642608+(-1.245828--0.412488))+0-136.9--0.279275999999994</f>
        <v>1074.6033279999999</v>
      </c>
      <c r="G45" s="3">
        <f>757.3+(655.1-237)+(-1.544892+(-1.336404--0.48348))+0-136--0.277439999999994</f>
        <v>1037.2796240000002</v>
      </c>
      <c r="H45" s="3">
        <f>760.4+(599.9-221.6)+(-1.163412+(-0.917847--0.339048))+0-134.1--0.205173000000008</f>
        <v>1003.0629619999999</v>
      </c>
      <c r="I45" s="3">
        <f>762.8+(572.3-216.1)+(0.389028+(0.291873-0.110211))+0-132.9-0.0677789999999865</f>
        <v>986.60291100000006</v>
      </c>
      <c r="J45" s="3">
        <f>765+(524.9-180.1)+(1.5606+(1.070796-0.367404))+0-130.6-0.266423999999994</f>
        <v>981.19756799999982</v>
      </c>
      <c r="K45" s="3">
        <f>763.3+(431.7-110.3)+(-0.389283+(-0.220167--0.056253))+0-132.3--0.0674729999999866</f>
        <v>951.91427599999986</v>
      </c>
      <c r="L45" s="3">
        <f>697.7+(465.7-150.6)+(-1.779135+(-1.187535--0.38403))+0-129.9--0.331244999999981</f>
        <v>880.64860500000009</v>
      </c>
      <c r="M45" s="3">
        <f>700.8+(512.8-137.8)+(0+(0-0))+0-134.3-0</f>
        <v>941.5</v>
      </c>
      <c r="N45" s="3">
        <f>699.1+(573.9-153.5)+(-0.713082+(-0.585378--0.15657))+0-135.2--0.137904000000022</f>
        <v>983.2960139999999</v>
      </c>
      <c r="O45" s="3">
        <f>721.8+(614.4-164.3)+(0.736236+(0.626688-0.167586))+0-131.3-0.133926000000021</f>
        <v>1041.6614119999999</v>
      </c>
      <c r="P45" s="3">
        <f>753.3+(666-238.4)+(-1.152549+(-1.01898--0.364752))+0-136.1--0.208233000000008</f>
        <v>1043.2014560000002</v>
      </c>
      <c r="Q45" s="3">
        <f>755+(622.2-284.9)+(-0.7701+(-0.634644--0.290598))+0-135--0.137700000000022</f>
        <v>956.32355400000029</v>
      </c>
      <c r="R45" s="3">
        <f>854.9+(592.5-291.5)+(-1.743996+(-1.2087--0.59466))+0-132.6--0.270503999999994</f>
        <v>1021.2124679999999</v>
      </c>
      <c r="S45" s="3">
        <f>850.3+(579.5-287.1)+(0+(0-0))+0-134.4-0</f>
        <v>1008.2999999999998</v>
      </c>
      <c r="T45" s="3">
        <f>847.4+(598.4-292.6)+(0.864348+(0.610368-0.298452))+0-135.9-0.138618000000022</f>
        <v>1018.3376459999997</v>
      </c>
      <c r="U45" s="3">
        <f>843.7+(570.7-239.6)+(-0.430287+(-0.291057--0.122196))+0-136.1--0.0694109999999862</f>
        <v>1038.1702630000002</v>
      </c>
      <c r="V45" s="3">
        <f>844.3+(480.3-144.2)+(-0.861186+(-0.489906--0.147084))+0-136.7--0.139434000000022</f>
        <v>1042.6354260000001</v>
      </c>
      <c r="W45" s="3">
        <f>840.3+(517.3-187.8)+(-1.714212+(-1.055292--0.383112))+0-135.3--0.276011999999994</f>
        <v>1032.3896200000001</v>
      </c>
      <c r="X45" s="3">
        <f>814.3+(550.7-236.5)+(-2.076465+(-1.404285--0.603075))+0-132.1--0.336854999999981</f>
        <v>993.85918000000004</v>
      </c>
      <c r="Y45" s="3">
        <f>810.3+(619.7-243.5)+(-0.826506+(-0.632094--0.24837))+0-131.9--0.134538000000021</f>
        <v>1053.524308</v>
      </c>
      <c r="Z45" s="3">
        <f>889.5+(634.1-261.3)+(-1.81458+(-1.293564--0.533052))+0-134.7--0.274787999999994</f>
        <v>1125.2996959999998</v>
      </c>
      <c r="AA45" s="3">
        <f>896.9+(571.4-223.2)+(-0.914838+(-0.582828--0.227664))+0-132.2--0.134844000000021</f>
        <v>1111.7648419999998</v>
      </c>
      <c r="AB45" s="3">
        <f>901.1+(530-209.2)+(-1.378683+(-0.8109--0.320076))+0-134.4--0.205632000000008</f>
        <v>1085.8361249999998</v>
      </c>
      <c r="AC45" s="3">
        <f>900.9+(462.1-193)+(-0.918918+(-0.471342--0.19686))+0-135--0.137700000000022</f>
        <v>1033.9442999999999</v>
      </c>
      <c r="AD45">
        <f t="shared" si="0"/>
        <v>24446.565584</v>
      </c>
      <c r="AE45" s="3">
        <f>885+(640-265)+(0+(0-0))+0-132-0</f>
        <v>1128</v>
      </c>
    </row>
    <row r="46" spans="1:31" s="2" customFormat="1" x14ac:dyDescent="0.25">
      <c r="A46">
        <v>89</v>
      </c>
      <c r="B46">
        <v>2</v>
      </c>
      <c r="C46">
        <v>15</v>
      </c>
      <c r="D46">
        <v>5</v>
      </c>
      <c r="E46">
        <v>1</v>
      </c>
      <c r="F46" s="3">
        <f>850+(531.5-202.8)+(-0.4335+(-0.271065--0.103428))+0-134.7--0.0686969999999863</f>
        <v>1043.4675599999998</v>
      </c>
      <c r="G46" s="3">
        <f>789.3+(675.4-363.5)+(-1.207629+(-1.033362--0.556155))+0-132.2--0.202266000000008</f>
        <v>967.51742999999988</v>
      </c>
      <c r="H46" s="3">
        <f>740.6+(739.5-409.7)+(-0.755412+(-0.75429--0.417894))+0-132--0.134640000000021</f>
        <v>937.44283200000018</v>
      </c>
      <c r="I46" s="3">
        <f>728.5+(697-377.9)+(-1.48614+(-1.42188--0.770916))+0-130.3--0.265811999999994</f>
        <v>915.42870800000003</v>
      </c>
      <c r="J46" s="3">
        <f>731.8+(588.6-275.7)+(0.373218+(0.300186-0.140607))+0-131.5-0.0670649999999867</f>
        <v>913.66573200000016</v>
      </c>
      <c r="K46" s="3">
        <f>725.5+(466.5-160)+(0.370005+(0.237915-0.0816))+0-131.4-0.0670139999999867</f>
        <v>901.05930599999999</v>
      </c>
      <c r="L46" s="3">
        <f>732.3+(505.9-230.1)+(-1.493892+(-1.032036--0.469404))+0-129.9--0.264995999999994</f>
        <v>876.40847199999996</v>
      </c>
      <c r="M46" s="3">
        <f>756.6+(496.9-210.2)+(0+(0-0))+0-132.7-0</f>
        <v>910.59999999999991</v>
      </c>
      <c r="N46" s="3">
        <f>775.5+(569.1-258)+(-0.395505+(-0.290241--0.13158))+0-134.2--0.0684419999999864</f>
        <v>951.91427599999997</v>
      </c>
      <c r="O46" s="3">
        <f>792.3+(638.3-306.7)+(0+(0-0))+0-128.1-0</f>
        <v>995.79999999999984</v>
      </c>
      <c r="P46" s="3">
        <f>865.9+(654-365.8)+(-0.883218+(-0.66708--0.373116))+0-122.7--0.12515400000002</f>
        <v>1030.347972</v>
      </c>
      <c r="Q46" s="3">
        <f>858.1+(682.2-343.7)+(-0.875262+(-0.695844--0.350574))+0-125.5--0.12801000000002</f>
        <v>1070.0074780000002</v>
      </c>
      <c r="R46" s="3">
        <f>847.7+(651-269.3)+(-0.864654+(-0.66402--0.274686))+0-123.4--0.12586800000002</f>
        <v>1104.8718800000001</v>
      </c>
      <c r="S46" s="3">
        <f>841.9+(646.2-237.2)+(0.429369+(0.329562-0.120972))+0-122.7-0.0625769999999876</f>
        <v>1128.775382</v>
      </c>
      <c r="T46" s="3">
        <f>835.2+(703.9-285.9)+(1.277856+(1.076967-0.437427))+0-124.4-0.190332000000007</f>
        <v>1130.5270640000001</v>
      </c>
      <c r="U46" s="3">
        <f>836.1+(654.2-242)+(-0.852822+(-0.667284--0.24684))+0-125.9--0.12841800000002</f>
        <v>1121.2551520000002</v>
      </c>
      <c r="V46" s="3">
        <f>835.5+(549.6-164.9)+(-1.278315+(-0.840888--0.252297))+0-129.7--0.198441000000007</f>
        <v>1088.831535</v>
      </c>
      <c r="W46" s="3">
        <f>836.5+(559.4-225.3)+(-1.279845+(-0.855882--0.344709))+0-123.6--0.189108000000007</f>
        <v>1045.3980900000001</v>
      </c>
      <c r="X46" s="3">
        <f>843+(606.4-321.7)+(-2.14965+(-1.54632--0.820335))+0-127.2--0.324359999999982</f>
        <v>997.94872499999985</v>
      </c>
      <c r="Y46" s="3">
        <f>847.4+(592.2-259.8)+(-0.864348+(-0.604044--0.264996))+0-129.9--0.132498000000021</f>
        <v>1048.8291019999997</v>
      </c>
      <c r="Z46" s="3">
        <f>852.3+(726.5-293.7)+(-0.434673+(-0.370515--0.149787))+0-132.9--0.0677789999999865</f>
        <v>1151.6123779999998</v>
      </c>
      <c r="AA46" s="3">
        <f>861.5+(716.5-291.5)+(-2.196825+(-1.827075--0.743325))+0-136--0.34679999999998</f>
        <v>1147.566225</v>
      </c>
      <c r="AB46" s="3">
        <f>862.6+(651.4-259.1)+(-0.879852+(-0.664428--0.264282))+0-132.7--0.135354000000021</f>
        <v>1121.0553560000001</v>
      </c>
      <c r="AC46" s="3">
        <f>871.6+(534.3-206.8)+(-1.333548+(-0.817479--0.316404))+0-131.9--0.201807000000008</f>
        <v>1065.5671839999998</v>
      </c>
      <c r="AD46">
        <f t="shared" si="0"/>
        <v>24665.89783899999</v>
      </c>
      <c r="AE46" s="3">
        <f>852+(723.3-277.2)+(0+(0-0))+0-136.5-0</f>
        <v>1161.5999999999999</v>
      </c>
    </row>
    <row r="47" spans="1:31" s="2" customFormat="1" x14ac:dyDescent="0.25">
      <c r="A47">
        <v>89</v>
      </c>
      <c r="B47">
        <v>2</v>
      </c>
      <c r="C47">
        <v>16</v>
      </c>
      <c r="D47">
        <v>6</v>
      </c>
      <c r="E47">
        <v>1</v>
      </c>
      <c r="F47" s="3">
        <f>875+(499.5-206.7)+(0+(0-0))+0-130.5-0</f>
        <v>1037.3</v>
      </c>
      <c r="G47" s="3">
        <f>882.4+(455.2-216.1)+(0+(0-0))+0-130.5-0</f>
        <v>991</v>
      </c>
      <c r="H47" s="3">
        <f>887.6+(428-234.4)+(0+(0-0))+0-120.7-0</f>
        <v>960.5</v>
      </c>
      <c r="I47" s="3">
        <f>895+(427.6-279.3)+(0+(0-0))+0-106.1-0</f>
        <v>937.19999999999993</v>
      </c>
      <c r="J47" s="3">
        <f>893.9+(381.4-236.7)+(0+(0-0))+0-118.7-0</f>
        <v>919.89999999999986</v>
      </c>
      <c r="K47" s="3">
        <f>899.2+(381.7-251.7)+(0+(0-0))+0-121.4-0</f>
        <v>907.80000000000007</v>
      </c>
      <c r="L47" s="3">
        <f>837+(423.9-261.6)+(0+(0-0))+0-122.5-0</f>
        <v>876.8</v>
      </c>
      <c r="M47" s="3">
        <f>733+(521.3-214.7)+(0+(0-0))+0-125.9-0</f>
        <v>913.69999999999993</v>
      </c>
      <c r="N47" s="3">
        <f>685.9+(624.7-217.4)+(0+(0-0))+0-127.7-0</f>
        <v>965.5</v>
      </c>
      <c r="O47" s="3">
        <f>728+(704.9-297.3)+(0+(0-0))+0-125.3-0</f>
        <v>1010.3</v>
      </c>
      <c r="P47" s="3">
        <f>724+(707.6-255.9)+(0+(0-0))+0-125.5-0</f>
        <v>1050.2</v>
      </c>
      <c r="Q47" s="3">
        <f>717.9+(715.3-222.9)+(0+(0-0))+0-126-0</f>
        <v>1084.3</v>
      </c>
      <c r="R47" s="3">
        <f>706.9+(813.5-283.4)+(0.360519+(0.414885-0.144534))+0-126.2-0.0643619999999872</f>
        <v>1111.3665079999998</v>
      </c>
      <c r="S47" s="3">
        <f>702.8+(820.4-285.6)+(0+(0-0))+0-125.9-0</f>
        <v>1111.6999999999998</v>
      </c>
      <c r="T47" s="3">
        <f>696.7+(862.2-316.4)+(-0.710634+(-0.879444--0.322728))+0-126.1--0.12862200000002</f>
        <v>1115.261272</v>
      </c>
      <c r="U47" s="3">
        <f>693.7+(792.6-258.3)+(-1.061361+(-1.212678--0.395199))+0-122.2--0.186966000000007</f>
        <v>1104.1081259999999</v>
      </c>
      <c r="V47" s="3">
        <f>696.7+(695.7-205.6)+(-1.776585+(-1.774035--0.52428))+0-124.5--0.317474999999982</f>
        <v>1059.5911350000003</v>
      </c>
      <c r="W47" s="3">
        <f>698.8+(595.5-155)+(-1.069164+(-0.911115--0.23715))+0-124.2--0.190026000000007</f>
        <v>1013.5468969999999</v>
      </c>
      <c r="X47" s="3">
        <f>698.2+(512.1-107.5)+(-0.712164+(-0.522342--0.10965))+0-125.6--0.12811200000002</f>
        <v>976.20325600000024</v>
      </c>
      <c r="Y47" s="3">
        <f>648.2+(633.6-132.3)+(-0.661164+(-0.646272--0.134946))+0-124.1--0.12658200000002</f>
        <v>1024.3540920000003</v>
      </c>
      <c r="Z47" s="3">
        <f>708.5+(718.3-187.6)+(-1.084005+(-1.098999--0.287028))+0-126.4--0.193392000000007</f>
        <v>1111.0974159999996</v>
      </c>
      <c r="AA47" s="3">
        <f>682.8+(751.2-202.8)+(-1.392912+(-1.532448--0.413712))+0-124.9--0.254795999999995</f>
        <v>1104.043148</v>
      </c>
      <c r="AB47" s="3">
        <f>622.7+(793.1-212.2)+(0.317577+(0.404481-0.108222))+0-126.8-0.0646679999999871</f>
        <v>1077.3491680000002</v>
      </c>
      <c r="AC47" s="3">
        <f>563.5+(790.2-188.2)+(-0.57477+(-0.806004--0.191964))+0-128.5--0.13107000000002</f>
        <v>1035.9422599999998</v>
      </c>
      <c r="AD47">
        <f t="shared" si="0"/>
        <v>24499.063278000001</v>
      </c>
      <c r="AE47" s="3">
        <f>712+(727.3-198.6)+(0+(0-0))+0-128.9-0</f>
        <v>1111.7999999999997</v>
      </c>
    </row>
    <row r="48" spans="1:31" s="2" customFormat="1" x14ac:dyDescent="0.25">
      <c r="A48">
        <v>89</v>
      </c>
      <c r="B48">
        <v>2</v>
      </c>
      <c r="C48">
        <v>17</v>
      </c>
      <c r="D48">
        <v>7</v>
      </c>
      <c r="E48">
        <v>1</v>
      </c>
      <c r="F48" s="3">
        <f>582.5+(727.1-168)+(-0.59415+(-0.741642--0.17136))+0-128.9--0.131478000000021</f>
        <v>1011.6670459999999</v>
      </c>
      <c r="G48" s="3">
        <f>579.6+(673.7-148.6)+(-0.886788+(-1.030761--0.227358))+0-126.4--0.193392000000007</f>
        <v>976.80320100000017</v>
      </c>
      <c r="H48" s="3">
        <f>614.4+(580.1-125.4)+(-1.253376+(-1.183404--0.255816))+0-126.6--0.258263999999994</f>
        <v>940.57729999999992</v>
      </c>
      <c r="I48" s="3">
        <f>678+(483.4-111.8)+(-0.34578+(-0.246534--0.057018))+0-126.7--0.0646169999999871</f>
        <v>922.42932099999985</v>
      </c>
      <c r="J48" s="3">
        <f>687.4+(419.1-77.2)+(-1.051722+(-0.641223--0.118116))+0-129.5--0.198135000000007</f>
        <v>898.42330600000003</v>
      </c>
      <c r="K48" s="3">
        <f>698.2+(408-94.9)+(0+(0-0))+0-132.5-0</f>
        <v>878.80000000000007</v>
      </c>
      <c r="L48" s="3">
        <f>739.2+(395-117.4)+(-1.507968+(-0.8058--0.239496))+0-131.3--0.267851999999994</f>
        <v>883.69358000000011</v>
      </c>
      <c r="M48" s="3">
        <f>698.4+(428.7-130.2)+(-0.712368+(-0.437274--0.132804))+0-132.6--0.135252000000021</f>
        <v>863.41841399999998</v>
      </c>
      <c r="N48" s="3">
        <f>700.7+(484.8-143)+(-1.072071+(-0.741744--0.21879))+0-137.4--0.210222000000008</f>
        <v>903.71519699999999</v>
      </c>
      <c r="O48" s="3">
        <f>631.7+(595.3-160.6)+(0+(0-0))+0-132.9-0</f>
        <v>933.50000000000011</v>
      </c>
      <c r="P48" s="3">
        <f>594.1+(690.1-187.7)+(-0.302991+(-0.351951--0.095727))+0-130.7--0.0666569999999867</f>
        <v>965.30744199999992</v>
      </c>
      <c r="Q48" s="3">
        <f>628.8+(764.4-228.1)+(0+(0-0))+0-130.5-0</f>
        <v>1034.5999999999999</v>
      </c>
      <c r="R48" s="3">
        <f>570.6+(964.2-344.8)+(0+(0-0))+0-131.3-0</f>
        <v>1058.7</v>
      </c>
      <c r="S48" s="3">
        <f>552.9+(1142.2-487.5)+(0+(0-0))+0-134.1-0</f>
        <v>1073.5</v>
      </c>
      <c r="T48" s="3">
        <f>570.3+(1211.7-569.6)+(0+(0-0))+0-133.8-0</f>
        <v>1078.6000000000001</v>
      </c>
      <c r="U48" s="3">
        <f>605.4+(1162.6-576)+(0+(0-0))+0-130.6-0</f>
        <v>1061.4000000000001</v>
      </c>
      <c r="V48" s="3">
        <f>785.5+(894.6-511.4)+(-2.003025+(-2.28123--1.30407))+0-134.9--0.34399499999998</f>
        <v>1031.16381</v>
      </c>
      <c r="W48" s="3">
        <f>820.8+(672.6-354.1)+(-1.255824+(-1.029078--0.541773))+0-136.8--0.209304000000008</f>
        <v>1000.966175</v>
      </c>
      <c r="X48" s="3">
        <f>809.2+(500.3-210.2)+(-0.825384+(-0.510306--0.214404))+0-134.4--0.137088000000021</f>
        <v>963.91580200000021</v>
      </c>
      <c r="Y48" s="3">
        <f>812+(568.5-242.3)+(-0.82824+(-0.57987--0.247146))+0-132.5--0.135150000000021</f>
        <v>1004.6741860000002</v>
      </c>
      <c r="Z48" s="3">
        <f>813.7+(649.2-216.1)+(-2.074935+(-1.65546--0.551055))+0-135.5--0.34552499999998</f>
        <v>1108.4661850000002</v>
      </c>
      <c r="AA48" s="3">
        <f>818.6+(661.2-223)+(-0.834972+(-0.674424--0.22746))+0-136.3--0.139026000000022</f>
        <v>1119.3570900000002</v>
      </c>
      <c r="AB48" s="3">
        <f>823.2+(622.8-223.9)+(-1.259496+(-0.952884--0.342567))+0-135--0.206550000000008</f>
        <v>1085.436737</v>
      </c>
      <c r="AC48" s="3">
        <f>830.2+(526.9-187.7)+(-0.423402+(-0.268719--0.095727))+0-135.1--0.0689009999999863</f>
        <v>1033.7725070000004</v>
      </c>
      <c r="AD48">
        <f t="shared" si="0"/>
        <v>23832.887299000005</v>
      </c>
      <c r="AE48" s="3">
        <f>818+(673.8-229.8)+(0+(0-0))+0-134.5-0</f>
        <v>1127.5</v>
      </c>
    </row>
    <row r="49" spans="1:31" s="2" customFormat="1" x14ac:dyDescent="0.25">
      <c r="A49">
        <v>89</v>
      </c>
      <c r="B49">
        <v>2</v>
      </c>
      <c r="C49">
        <v>18</v>
      </c>
      <c r="D49">
        <v>1</v>
      </c>
      <c r="E49">
        <v>1</v>
      </c>
      <c r="F49" s="3">
        <f>830.3+(459.6-164.3)+(-1.270359+(-0.703188--0.251379))+0-136.7--0.209151000000008</f>
        <v>987.38698299999987</v>
      </c>
      <c r="G49" s="3">
        <f>832.3+(437.8-186)+(-0.424473+(-0.223278--0.09486))+0-134.2--0.0684419999999864</f>
        <v>949.41555099999982</v>
      </c>
      <c r="H49" s="3">
        <f>753.6+(471.6-168.9)+(-0.768672+(-0.481032--0.172278))+0-131.8--0.134436000000021</f>
        <v>923.55701000000022</v>
      </c>
      <c r="I49" s="3">
        <f>732.7+(499.2-188)+(-0.373677+(-0.254592--0.09588))+0-132.5--0.0675749999999866</f>
        <v>910.93518600000016</v>
      </c>
      <c r="J49" s="3">
        <f>735.2+(523.7-226.8)+(0.374952+(0.267087-0.115668))+0-133.7-0.0681869999999864</f>
        <v>898.85818400000005</v>
      </c>
      <c r="K49" s="3">
        <f>740.2+(535-263.3)+(-0.755004+(-0.5457--0.268566))+0-131.7--0.134334000000021</f>
        <v>879.30219599999998</v>
      </c>
      <c r="L49" s="3">
        <f>746.5+(544-283.4)+(-0.380715+(-0.27744--0.144534))+0-132--0.0673199999999866</f>
        <v>874.65369900000007</v>
      </c>
      <c r="M49" s="3">
        <f>744.7+(679.5-365.1)+(0+(0-0))+0-135.2-0</f>
        <v>923.89999999999986</v>
      </c>
      <c r="N49" s="3">
        <f>735.6+(689.1-315.2)+(-1.125468+(-1.054323--0.482256))+0-136.4--0.208692000000008</f>
        <v>971.61115700000005</v>
      </c>
      <c r="O49" s="3">
        <f>800.1+(639.5-301.3)+(0+(0-0))+0-130.9-0</f>
        <v>1007.4</v>
      </c>
      <c r="P49" s="3">
        <f>873.6+(616.6-316.2)+(-0.891072+(-0.628932--0.322524))+0-133.4--0.136068000000021</f>
        <v>1039.5385879999999</v>
      </c>
      <c r="Q49" s="3">
        <f>891.3+(621.7-295.4)+(-0.909126+(-0.634134--0.301308))+0-128.8--0.131376000000021</f>
        <v>1087.6894239999999</v>
      </c>
      <c r="R49" s="3">
        <f>936.8+(558.8-242.6)+(-0.477768+(-0.284988--0.123726))+0-129--0.0657899999999869</f>
        <v>1123.4267599999998</v>
      </c>
      <c r="S49" s="3">
        <f>993.6+(486.1-208.8)+(-1.520208+(-0.743733--0.319464))+0-130--0.198900000000008</f>
        <v>1139.1544230000002</v>
      </c>
      <c r="T49" s="3">
        <f>995+(468.9-199.8)+(-1.52235+(-0.717417--0.305694))+0-130.3--0.199359000000008</f>
        <v>1132.065286</v>
      </c>
      <c r="U49" s="3">
        <f>992.1+(445.4-195.3)+(-2.023884+(-0.908616--0.398412))+0-127.5--0.260099999999994</f>
        <v>1112.4260119999999</v>
      </c>
      <c r="V49" s="3">
        <f>1014.9+(375.4-180.4)+(-1.035198+(-0.382908--0.184008))+0-134.1--0.136782000000021</f>
        <v>1074.7026840000001</v>
      </c>
      <c r="W49" s="3">
        <f>992.7+(469.7-274.4)+(-3.037662+(-1.437282--0.839664))+0-133.3--0.407898000000015</f>
        <v>1051.472618</v>
      </c>
      <c r="X49" s="3">
        <f>996.1+(496.9-335.7)+(-3.556077+(-1.773933--1.198449))+0-131.5--0.469455000000002</f>
        <v>1022.1378940000001</v>
      </c>
      <c r="Y49" s="3">
        <f>990.5+(445.9-233.3)+(-2.02062+(-0.909636--0.475932))+0-131--0.267239999999994</f>
        <v>1069.9129159999998</v>
      </c>
      <c r="Z49" s="3">
        <f>1000.4+(535.4-248)+(-1.020408+(-0.546108--0.25296))+0-131.4--0.134028000000021</f>
        <v>1155.2204719999997</v>
      </c>
      <c r="AA49" s="3">
        <f>1019.6+(531.1-269.7)+(-1.559988+(-0.812583--0.412641))+0-135.8--0.207774000000008</f>
        <v>1143.447844</v>
      </c>
      <c r="AB49" s="3">
        <f>1024.1+(461.3-238)+(-2.089164+(-0.941052--0.48552))+0-138.7--0.282947999999994</f>
        <v>1106.4382519999999</v>
      </c>
      <c r="AC49" s="3">
        <f>1005+(415.2-221.2)+(-1.0251+(-0.423504--0.225624))+0-139--0.141780000000022</f>
        <v>1058.9187999999999</v>
      </c>
      <c r="AD49">
        <f t="shared" si="0"/>
        <v>24643.571938999998</v>
      </c>
      <c r="AE49" s="3">
        <f>1005+(589.6-293.9)+(0+(0-0))+0-131.6-0</f>
        <v>1169.1000000000001</v>
      </c>
    </row>
    <row r="50" spans="1:31" s="2" customFormat="1" x14ac:dyDescent="0.25">
      <c r="A50">
        <v>89</v>
      </c>
      <c r="B50">
        <v>2</v>
      </c>
      <c r="C50">
        <v>19</v>
      </c>
      <c r="D50">
        <v>2</v>
      </c>
      <c r="E50">
        <v>1</v>
      </c>
      <c r="F50" s="3">
        <f>920.2+(428.5-187.2)+(-0.938604+(-0.43707--0.190944))+0-139--0.141780000000022</f>
        <v>1021.4570500000001</v>
      </c>
      <c r="G50" s="3">
        <f>919.9+(385.8-188.7)+(-0.469149+(-0.196758--0.096237))+0-139.7--0.0712469999999858</f>
        <v>976.80157699999984</v>
      </c>
      <c r="H50" s="3">
        <f>922+(323-160.4)+(0+(0-0))+0-136.9-0</f>
        <v>947.69999999999993</v>
      </c>
      <c r="I50" s="3">
        <f>927.9+(318.8-182.9)+(-0.473229+(-0.162588--0.093279))+0-136.8--0.0697679999999861</f>
        <v>926.52723000000003</v>
      </c>
      <c r="J50" s="3">
        <f>930.1+(315.8-193.8)+(-0.948702+(-0.322116--0.197676))+0-136.5--0.139230000000022</f>
        <v>914.66608799999995</v>
      </c>
      <c r="K50" s="3">
        <f>933.5+(336.9-230.2)+(-2.380425+(-0.859095--0.58701))+0-136.5--0.34807499999998</f>
        <v>901.39556500000015</v>
      </c>
      <c r="L50" s="3">
        <f>933.3+(380.7-291.6)+(-2.379915+(-0.970785--0.74358))+0-135.4--0.34526999999998</f>
        <v>884.73814999999991</v>
      </c>
      <c r="M50" s="3">
        <f>927+(572.6-410.4)+(-0.94554+(-0.584052--0.418608))+0-138.4--0.141168000000022</f>
        <v>949.83018400000014</v>
      </c>
      <c r="N50" s="3">
        <f>919.6+(612.3-427.6)+(-1.406988+(-0.936819--0.654228))+0-133.5--0.204255000000008</f>
        <v>969.31467599999985</v>
      </c>
      <c r="O50" s="3">
        <f>910.6+(602.7-372.3)+(-0.464406+(-0.307377--0.189873))+0-134.3--0.0684929999999864</f>
        <v>1006.1865829999999</v>
      </c>
      <c r="P50" s="3">
        <f>903.3+(595.7-301.9)+(0+(0-0))+0-142-0</f>
        <v>1055.0999999999999</v>
      </c>
      <c r="Q50" s="3">
        <f>898.1+(620.2-275.4)+(-0.458031+(-0.316302--0.140454))+0-141.4--0.0721139999999857</f>
        <v>1100.9382350000001</v>
      </c>
      <c r="R50" s="3">
        <f>896.2+(597.2-213.9)+(-0.914124+(-0.609144--0.218178))+0-137.7--0.140454000000022</f>
        <v>1140.635364</v>
      </c>
      <c r="S50" s="3">
        <f>937.9+(568.6-210.6)+(-1.434987+(-0.869958--0.322218))+0-138.7--0.212211000000008</f>
        <v>1155.429484</v>
      </c>
      <c r="T50" s="3">
        <f>1007.6+(531.8-248.5)+(-1.027752+(-0.542436--0.25347))+0-137.4--0.140148000000022</f>
        <v>1152.3234299999999</v>
      </c>
      <c r="U50" s="3">
        <f>1008.4+(486.9-222.4)+(-2.57142+(-1.241595--0.56712))+0-133.8--0.341189999999981</f>
        <v>1136.195295</v>
      </c>
      <c r="V50" s="3">
        <f>1005+(406.2-178.6)+(-1.0251+(-0.414324--0.182172))+0-132.4--0.135048000000021</f>
        <v>1099.0777959999998</v>
      </c>
      <c r="W50" s="3">
        <f>1010.1+(422.8-245.5)+(-3.090906+(-1.293768--0.75123))+0-139.8--0.427788000000016</f>
        <v>1044.394344</v>
      </c>
      <c r="X50" s="3">
        <f>959.8+(444.1-243.8)+(-1.957992+(-0.905964--0.497352))+0-139.1--0.283763999999994</f>
        <v>1018.9171599999999</v>
      </c>
      <c r="Y50" s="3">
        <f>933.5+(506-238)+(0+(0-0))+0-138.4-0</f>
        <v>1063.0999999999999</v>
      </c>
      <c r="Z50" s="3">
        <f>965.6+(551.7-208.5)+(-1.969824+(-1.125468--0.42534))+0-139.6--0.284783999999994</f>
        <v>1166.8148320000003</v>
      </c>
      <c r="AA50" s="3">
        <f>1040.8+(497.8-227.8)+(-2.65404+(-1.26939--0.58089))+0-137.1--0.34960499999998</f>
        <v>1170.7070649999998</v>
      </c>
      <c r="AB50" s="3">
        <f>1041.5+(440.3-212)+(-1.593495+(-0.673659--0.32436))+0-132.7--0.203031000000008</f>
        <v>1135.3602369999999</v>
      </c>
      <c r="AC50" s="3">
        <f>1041.4+(360-185.4)+(-2.65557+(-0.918--0.47277))+0-133.9--0.341444999999981</f>
        <v>1079.340645</v>
      </c>
      <c r="AD50">
        <f t="shared" si="0"/>
        <v>25016.950990000001</v>
      </c>
      <c r="AE50" s="3">
        <f>1035+(502.3-224.9)+(0+(0-0))+0-130.8-0</f>
        <v>1181.6000000000001</v>
      </c>
    </row>
    <row r="51" spans="1:31" s="2" customFormat="1" x14ac:dyDescent="0.25">
      <c r="A51">
        <v>89</v>
      </c>
      <c r="B51">
        <v>2</v>
      </c>
      <c r="C51">
        <v>20</v>
      </c>
      <c r="D51">
        <v>3</v>
      </c>
      <c r="E51">
        <v>1</v>
      </c>
      <c r="F51" s="3">
        <f>1042.8+(321.6-186.7)+(-4.786452+(-1.476144--0.856953))+0-137.7--0.632043000000024</f>
        <v>1035.2264</v>
      </c>
      <c r="G51" s="3">
        <f>999.8+(347-208)+(-4.589082+(-1.59273--0.95472))+0-136.9--0.628371000000024</f>
        <v>997.30127899999991</v>
      </c>
      <c r="H51" s="3">
        <f>988+(310-188.8)+(0.50388+(0.1581-0.096288))+0-135.5-0.0691049999999863</f>
        <v>974.19658699999991</v>
      </c>
      <c r="I51" s="3">
        <f>992.3+(261.5-167.7)+(-3.542511+(-0.933555--0.598689))+0-136.3--0.486591000000002</f>
        <v>946.40921399999991</v>
      </c>
      <c r="J51" s="3">
        <f>994+(247.4-167.3)+(-0.50694+(-0.126174--0.085323))+0-136.2--0.0694619999999862</f>
        <v>937.42167099999983</v>
      </c>
      <c r="K51" s="3">
        <f>993.1+(253.9-199.9)+(-2.532405+(-0.647445--0.509745))+0-135--0.34424999999998</f>
        <v>909.77414499999998</v>
      </c>
      <c r="L51" s="3">
        <f>995.6+(307.1-288.5)+(-1.523268+(-0.469863--0.441405))+0-130.8--0.200124000000008</f>
        <v>882.04839799999991</v>
      </c>
      <c r="M51" s="3">
        <f>994.7+(408.3-347.2)+(1.014594+(0.416466-0.354144))+0-134.4-0.137088000000021</f>
        <v>922.33982800000013</v>
      </c>
      <c r="N51" s="3">
        <f>1019.1+(436.1-353.5)+(1.039482+(0.444822-0.36057))+0-136.7-0.139434000000022</f>
        <v>965.98429999999996</v>
      </c>
      <c r="O51" s="3">
        <f>1023+(491.5-368.4)+(-1.56519+(-0.751995--0.563652))+0-140.3--0.214659000000008</f>
        <v>1004.2611259999999</v>
      </c>
      <c r="P51" s="3">
        <f>1020.6+(493-327.1)+(-1.041012+(-0.50286--0.333642))+0-133.4--0.136068000000021</f>
        <v>1052.025838</v>
      </c>
      <c r="Q51" s="3">
        <f>992.5+(492.4-252.9)+(-0.506175+(-0.251124--0.128979))+0-131.5--0.0670649999999867</f>
        <v>1099.9387449999999</v>
      </c>
      <c r="R51" s="3">
        <f>982+(502.5-200.4)+(-1.50246+(-0.768825--0.306612))+0-130.2--0.199206000000008</f>
        <v>1152.1345329999999</v>
      </c>
      <c r="S51" s="3">
        <f>992.4+(643.5-326.6)+(-1.012248+(-0.65637--0.333132))+0-130.6--0.133212000000021</f>
        <v>1177.4977260000001</v>
      </c>
      <c r="T51" s="3">
        <f>983.3+(706.3-384.8)+(-1.002966+(-0.720426--0.392496))+0-132.1--0.134742000000021</f>
        <v>1171.5038460000001</v>
      </c>
      <c r="U51" s="3">
        <f>999.1+(650.9-361.4)+(0+(0-0))+0-129.2-0</f>
        <v>1159.3999999999999</v>
      </c>
      <c r="V51" s="3">
        <f>982.1+(568.6-282.2)+(-2.504355+(-1.44993--0.71961))+0-135--0.34424999999998</f>
        <v>1130.6095749999999</v>
      </c>
      <c r="W51" s="3">
        <f>960.4+(462.2-206.5)+(-2.44902+(-1.17861--0.526575))+0-132.7--0.338384999999981</f>
        <v>1080.6373299999998</v>
      </c>
      <c r="X51" s="3">
        <f>942.8+(411.8-173.4)+(-2.884968+(-1.260108--0.530604))+0-136.5--0.417690000000016</f>
        <v>1041.5032180000001</v>
      </c>
      <c r="Y51" s="3">
        <f>942.9+(442.6-166.8)+(-0.480879+(-0.225726--0.085068))+0-135.8--0.0692579999999862</f>
        <v>1082.3477210000001</v>
      </c>
      <c r="Z51" s="3">
        <f>979.4+(567.3-210.5)+(-1.997976+(-1.157292--0.42942))+0-141.1--0.287843999999994</f>
        <v>1192.6619959999998</v>
      </c>
      <c r="AA51" s="3">
        <f>1005.1+(568.7-232.2)+(-3.075606+(-1.740222--0.710532))+0-142.3--0.435438000000016</f>
        <v>1195.6301420000002</v>
      </c>
      <c r="AB51" s="3">
        <f>1008.6+(581.8-283.3)+(-2.057544+(-1.186872--0.577932))+0-141.6--0.288863999999994</f>
        <v>1163.12238</v>
      </c>
      <c r="AC51" s="3">
        <f>1006.6+(537.4-295.1)+(-1.540098+(-0.822222--0.451503))+0-141.1--0.215883000000008</f>
        <v>1106.1050660000003</v>
      </c>
      <c r="AD51">
        <f t="shared" si="0"/>
        <v>25380.081063999998</v>
      </c>
      <c r="AE51" s="3">
        <f>999+(543.2-218.6)+(0+(0-0))+0-136.3-0</f>
        <v>1187.3</v>
      </c>
    </row>
    <row r="52" spans="1:31" s="2" customFormat="1" x14ac:dyDescent="0.25">
      <c r="A52">
        <v>89</v>
      </c>
      <c r="B52">
        <v>2</v>
      </c>
      <c r="C52">
        <v>21</v>
      </c>
      <c r="D52">
        <v>4</v>
      </c>
      <c r="E52">
        <v>1</v>
      </c>
      <c r="F52" s="3">
        <f>1007.7+(520.8-321.6)+(-0.513927+(-0.265608--0.164016))+0-141.3--0.0720629999999857</f>
        <v>1065.0565440000003</v>
      </c>
      <c r="G52" s="3">
        <f>953.7+(469.4-251)+(-0.972774+(-0.478788--0.25602))+0-138.2--0.140964000000022</f>
        <v>1032.8454219999999</v>
      </c>
      <c r="H52" s="3">
        <f>942.8+(401.5-201.9)+(-2.40414+(-1.023825--0.514845))+0-137.2--0.34985999999998</f>
        <v>1002.6367399999999</v>
      </c>
      <c r="I52" s="3">
        <f>957.3+(366.5-207.6)+(-0.976446+(-0.37383--0.211752))+0-137.2--0.139944000000022</f>
        <v>978.00142000000005</v>
      </c>
      <c r="J52" s="3">
        <f>962.4+(350-213.2)+(0+(0-0))+0-137.8-0</f>
        <v>961.40000000000009</v>
      </c>
      <c r="K52" s="3">
        <f>973.3+(283.4-175.4)+(-1.985532+(-0.578136--0.357816))+0-137.1--0.279683999999994</f>
        <v>942.27383199999986</v>
      </c>
      <c r="L52" s="3">
        <f>957.2+(285.1-195.2)+(-1.464516+(-0.436203--0.298656))+0-136.7--0.209151000000008</f>
        <v>909.00708800000007</v>
      </c>
      <c r="M52" s="3">
        <f>935.1+(436.1-298.3)+(0+(0-0))+0-139.3-0</f>
        <v>933.60000000000014</v>
      </c>
      <c r="N52" s="3">
        <f>984.4+(484.2-352.3)+(1.004088+(0.493884-0.359346))+0-139.5-0.142290000000022</f>
        <v>977.79633599999988</v>
      </c>
      <c r="O52" s="3">
        <f>982.2+(516.4-330.2)+(-0.500922+(-0.263364--0.168402))+0-137.5--0.070124999999986</f>
        <v>1030.374241</v>
      </c>
      <c r="P52" s="3">
        <f>979.6+(538.9-295.2)+(0.999192+(0.549678-0.301104))+0-139.1-0.141882000000022</f>
        <v>1085.3058839999999</v>
      </c>
      <c r="Q52" s="3">
        <f>980.6+(527.5-230.9)+(1.000212+(0.53805-0.235518))+0-140.1-0.142902000000022</f>
        <v>1138.2598420000002</v>
      </c>
      <c r="R52" s="3">
        <f>968.6+(625.6-268.3)+(-1.481958+(-0.957168--0.410499))+0-138.6--0.212058000000008</f>
        <v>1185.4834310000003</v>
      </c>
      <c r="S52" s="3">
        <f>921.7+(776.1-368.5)+(-0.470067+(-0.395811--0.187935))+0-137.8--0.070277999999986</f>
        <v>1190.8923350000002</v>
      </c>
      <c r="T52" s="3">
        <f>916.5+(831.2-413.1)+(-1.402245+(-1.271736--0.632043))+0-139--0.212670000000008</f>
        <v>1193.770732</v>
      </c>
      <c r="U52" s="3">
        <f>917.6+(784.6-376.6)+(-1.871904+(-1.600584--0.768264))+0-137.3--0.280091999999994</f>
        <v>1185.8758679999999</v>
      </c>
      <c r="V52" s="3">
        <f>937.2+(616.3-249.1)+(-1.911888+(-1.257252--0.508164))+0-140--0.285599999999994</f>
        <v>1162.0246240000001</v>
      </c>
      <c r="W52" s="3">
        <f>918.8+(468-145.9)+(-2.811528+(-1.43208--0.446454))+0-141.5--0.432990000000016</f>
        <v>1096.035836</v>
      </c>
      <c r="X52" s="3">
        <f>1008.6+(401.8-211.3)+(-2.057544+(-0.819672--0.431052))+0-139--0.283559999999994</f>
        <v>1057.937396</v>
      </c>
      <c r="Y52" s="3">
        <f>1033.5+(451.2-243.3)+(-1.05417+(-0.460224--0.248166))+0-137--0.139740000000022</f>
        <v>1103.2735120000002</v>
      </c>
      <c r="Z52" s="3">
        <f>1086.1+(477.3-212.5)+(-0.553911+(-0.243423--0.108375))+0-137.1--0.0699209999999861</f>
        <v>1213.1809619999999</v>
      </c>
      <c r="AA52" s="3">
        <f>1090.3+(456.4-196.8)+(-1.668159+(-0.698292--0.301104))+0-141.3--0.216189000000008</f>
        <v>1206.7508419999999</v>
      </c>
      <c r="AB52" s="3">
        <f>1089.9+(403.4-170)+(-1.667547+(-0.617202--0.2601))+0-136.5--0.208845000000008</f>
        <v>1184.9841960000003</v>
      </c>
      <c r="AC52" s="3">
        <f>1011.8+(417.6-152.1)+(-2.064072+(-0.851904--0.310284))+0-137.2--0.279887999999994</f>
        <v>1137.7741959999998</v>
      </c>
      <c r="AD52">
        <f t="shared" si="0"/>
        <v>25974.541279000001</v>
      </c>
      <c r="AE52" s="3">
        <f>1093+(506.6-218.3)+(0+(0-0))+0-139.6-0</f>
        <v>1241.7</v>
      </c>
    </row>
    <row r="53" spans="1:31" s="2" customFormat="1" x14ac:dyDescent="0.25">
      <c r="A53">
        <v>89</v>
      </c>
      <c r="B53">
        <v>2</v>
      </c>
      <c r="C53">
        <v>22</v>
      </c>
      <c r="D53">
        <v>5</v>
      </c>
      <c r="E53">
        <v>1</v>
      </c>
      <c r="F53" s="3">
        <f>991.2+(377.4-133.2)+(-0.505512+(-0.192474--0.067932))+0-137.4--0.0700739999999861</f>
        <v>1097.44002</v>
      </c>
      <c r="G53" s="3">
        <f>1002.5+(340.6-159.3)+(-2.0451+(-0.694824--0.324972))+0-135.6--0.276623999999994</f>
        <v>1046.061672</v>
      </c>
      <c r="H53" s="3">
        <f>1015.6+(290.7-161.5)+(-2.58978+(-0.741285--0.411825))+0-133.1--0.339404999999981</f>
        <v>1009.1201649999999</v>
      </c>
      <c r="I53" s="3">
        <f>994.1+(310.2-190.2)+(-1.520973+(-0.474606--0.291006))+0-131.7--0.201501000000008</f>
        <v>980.89692799999989</v>
      </c>
      <c r="J53" s="3">
        <f>918+(362.4-174.6)+(-0.93636+(-0.369648--0.178092))+0-132.5--0.135150000000021</f>
        <v>972.30723400000011</v>
      </c>
      <c r="K53" s="3">
        <f>919.9+(379.4-205.9)+(-0.469149+(-0.193494--0.105009))+0-134.2--0.0684419999999864</f>
        <v>958.71080799999982</v>
      </c>
      <c r="L53" s="3">
        <f>923.6+(435.1-297)+(-1.884144+(-0.887604--0.60588))+0-130.8--0.266831999999994</f>
        <v>929.00096400000007</v>
      </c>
      <c r="M53" s="3">
        <f>1008.8+(505.6-422)+(-1.543464+(-0.773568--0.64566))+0-129.1--0.197523000000007</f>
        <v>961.8261510000001</v>
      </c>
      <c r="N53" s="3">
        <f>981.1+(502.8-349.4)+(0+(0-0))+0-138.1-0</f>
        <v>996.4</v>
      </c>
      <c r="O53" s="3">
        <f>969.5+(610.2-381.3)+(-0.98889+(-0.622404--0.388926))+0-131.3--0.133926000000021</f>
        <v>1066.0115580000002</v>
      </c>
      <c r="P53" s="3">
        <f>988.2+(542.7-285.3)+(-1.007964+(-0.553554--0.291006))+0-130.4--0.133008000000021</f>
        <v>1114.062496</v>
      </c>
      <c r="Q53" s="3">
        <f>969.5+(511.4-177.6)+(0+(0-0))+0-132.8-0</f>
        <v>1170.5</v>
      </c>
      <c r="R53" s="3">
        <f>978.5+(523.7-174.8)+(-0.99807+(-0.534174--0.178296))+0-132.9--0.135558000000021</f>
        <v>1193.28161</v>
      </c>
      <c r="S53" s="3">
        <f>1022.5+(627.9-283.2)+(-1.04295+(-0.640458--0.288864))+0-134.4--0.137088000000021</f>
        <v>1231.5425439999999</v>
      </c>
      <c r="T53" s="3">
        <f>1029.5+(614.4-318.3)+(-0.525045+(-0.313344--0.162333))+0-137.1--0.0699209999999861</f>
        <v>1187.893865</v>
      </c>
      <c r="U53" s="3">
        <f>1027.1+(589.2-283.5)+(-1.571463+(-0.901476--0.433755))+0-133.8--0.204714000000008</f>
        <v>1197.16553</v>
      </c>
      <c r="V53" s="3">
        <f>1027.6+(469.9-170.9)+(-0.524076+(-0.239649--0.087159))+0-136.4--0.0695639999999862</f>
        <v>1189.5929979999996</v>
      </c>
      <c r="W53" s="3">
        <f>1027.6+(406.4-142.1)+(-3.144456+(-1.243584--0.434826))+0-141.7--0.433602000000016</f>
        <v>1146.680388</v>
      </c>
      <c r="X53" s="3">
        <f>1036+(476.1-278.5)+(-2.11344+(-0.971244--0.56814))+0-140.1--0.285803999999994</f>
        <v>1091.26926</v>
      </c>
      <c r="Y53" s="3">
        <f>1053.7+(469.3-249.6)+(-1.612161+(-0.718029--0.381888))+0-138.3--0.211599000000008</f>
        <v>1133.3632970000001</v>
      </c>
      <c r="Z53" s="3">
        <f>1157.6+(448.1-224.3)+(-2.361504+(-0.914124--0.457572))+0-140.7--0.287027999999994</f>
        <v>1238.1689719999997</v>
      </c>
      <c r="AA53" s="3">
        <f>1169.3+(389.2-180)+(-2.385372+(-0.793968--0.3672))+0-138.6--0.282743999999994</f>
        <v>1237.3706040000002</v>
      </c>
      <c r="AB53" s="3">
        <f>1171.3+(361.4-178.1)+(-1.194726+(-0.368628--0.181662))+0-138.7--0.141474000000022</f>
        <v>1214.659782</v>
      </c>
      <c r="AC53" s="3">
        <f>1176.8+(314.5-201.1)+(-3.00084+(-0.801975--0.512805))+0-138.6--0.35342999999998</f>
        <v>1148.6634200000001</v>
      </c>
      <c r="AD53">
        <f t="shared" si="0"/>
        <v>26511.990266000001</v>
      </c>
      <c r="AE53" s="3">
        <f>1173+(422.3-188.2)+(0+(0-0))+0-138.2-0</f>
        <v>1268.8999999999999</v>
      </c>
    </row>
    <row r="54" spans="1:31" s="2" customFormat="1" x14ac:dyDescent="0.25">
      <c r="A54">
        <v>89</v>
      </c>
      <c r="B54">
        <v>2</v>
      </c>
      <c r="C54">
        <v>23</v>
      </c>
      <c r="D54">
        <v>6</v>
      </c>
      <c r="E54">
        <v>1</v>
      </c>
      <c r="F54" s="3">
        <f>1161.5+(370.9-307.7)+(-4.73892+(-1.513272--1.255416))+0-136.6--0.557327999999988</f>
        <v>1083.6605520000003</v>
      </c>
      <c r="G54" s="3">
        <f>1159.5+(347.1-333.6)+(-2.956725+(-0.885105--0.85068))+0-126.9--0.323594999999982</f>
        <v>1043.4324449999999</v>
      </c>
      <c r="H54" s="3">
        <f>1167.9+(312.9-331.4)+(-0.595629+(-0.159579--0.169014))+0-121.8--0.0621179999999876</f>
        <v>1027.0759240000002</v>
      </c>
      <c r="I54" s="3">
        <f>1197.9+(264.6-321.8)+(-3.054645+(-0.67473--0.82059))+0-129.1--0.329204999999981</f>
        <v>1009.0204199999999</v>
      </c>
      <c r="J54" s="3">
        <f>1187.2+(285.8-336.4)+(0+(0-0))+0-137.3-0</f>
        <v>999.30000000000018</v>
      </c>
      <c r="K54" s="3">
        <f>1192.6+(222.3-308.8)+(-3.04113+(-0.566865--0.78744))+0-135.6--0.34577999999998</f>
        <v>968.02522499999986</v>
      </c>
      <c r="L54" s="3">
        <f>1179.7+(199.9-304.8)+(-1.203294+(-0.203898--0.310896))+0-134.4--0.137088000000021</f>
        <v>939.4407920000001</v>
      </c>
      <c r="M54" s="3">
        <f>1158+(298.7-354.9)+(0+(0-0))+0-139-0</f>
        <v>962.8</v>
      </c>
      <c r="N54" s="3">
        <f>1153.8+(361.5-357.3)+(-0.588438+(-0.184365--0.182223))+0-139.4--0.0710939999999859</f>
        <v>1018.080514</v>
      </c>
      <c r="O54" s="3">
        <f>1136.1+(344.6-257.8)+(0+(0-0))+0-138.6-0</f>
        <v>1084.3</v>
      </c>
      <c r="P54" s="3">
        <f>1147.4+(348.6-211.6)+(-1.170348+(-0.355572--0.215832))+0-137.4--0.140148000000022</f>
        <v>1145.83006</v>
      </c>
      <c r="Q54" s="3">
        <f>1143.7+(419.2-227.5)+(0+(0-0))+0-132.9-0</f>
        <v>1202.5</v>
      </c>
      <c r="R54" s="3">
        <f>1127.3+(644.7-422)+(-2.299692+(-1.315188--0.86088))+0-122.6--0.250103999999995</f>
        <v>1224.8961040000002</v>
      </c>
      <c r="S54" s="3">
        <f>1099+(766.5-518.5)+(-0.56049+(-0.390915--0.264435))+0-124.8--0.0636479999999873</f>
        <v>1221.5766780000001</v>
      </c>
      <c r="T54" s="3">
        <f>1107.2+(719.8-479.1)+(-1.694016+(-1.101294--0.733023))+0-137.1--0.209763000000008</f>
        <v>1208.9474760000003</v>
      </c>
      <c r="U54" s="3">
        <f>1102.6+(626.4-388)+(-1.124652+(-0.638928--0.39576))+0-138.5--0.141270000000022</f>
        <v>1201.2734500000001</v>
      </c>
      <c r="V54" s="3">
        <f>1108.1+(446.6-240.8)+(-2.825655+(-1.13883--0.61404))+0-133.7--0.340934999999981</f>
        <v>1177.1904899999997</v>
      </c>
      <c r="W54" s="3">
        <f>1111.3+(305.3-152.2)+(-1.700289+(-0.467109--0.232866))+0-137.7--0.210681000000008</f>
        <v>1124.9761490000001</v>
      </c>
      <c r="X54" s="3">
        <f>1121.9+(368-280.9)+(-2.288676+(-0.75072--0.573036))+0-139.5--0.284579999999994</f>
        <v>1067.3182200000001</v>
      </c>
      <c r="Y54" s="3">
        <f>1131.4+(374.8-268.4)+(-2.308056+(-0.764592--0.547536))+0-137.5--0.280499999999994</f>
        <v>1098.0553880000002</v>
      </c>
      <c r="Z54" s="3">
        <f>1135.1+(428.5-204.1)+(-2.315604+(-0.87414--0.416364))+0-139.6--0.284783999999994</f>
        <v>1217.4114039999999</v>
      </c>
      <c r="AA54" s="3">
        <f>1135.4+(404.8-174.8)+(-2.316216+(-0.825792--0.356592))+0-140.4--0.286415999999994</f>
        <v>1222.501</v>
      </c>
      <c r="AB54" s="3">
        <f>1126.4+(381.6-154.9)+(-2.87232+(-0.97308--0.394995))+0-139.3--0.35521499999998</f>
        <v>1210.7048100000002</v>
      </c>
      <c r="AC54" s="3">
        <f>1129.5+(346.3-167.5)+(-1.728135+(-0.529839--0.256275))+0-138.7--0.212211000000008</f>
        <v>1167.810512</v>
      </c>
      <c r="AD54">
        <f t="shared" si="0"/>
        <v>26626.127613000001</v>
      </c>
      <c r="AE54" s="3">
        <f>1132+(442.9-188.5)+(0+(0-0))+0-141.2-0</f>
        <v>1245.2</v>
      </c>
    </row>
    <row r="55" spans="1:31" s="2" customFormat="1" x14ac:dyDescent="0.25">
      <c r="A55">
        <v>89</v>
      </c>
      <c r="B55">
        <v>2</v>
      </c>
      <c r="C55">
        <v>24</v>
      </c>
      <c r="D55">
        <v>7</v>
      </c>
      <c r="E55">
        <v>1</v>
      </c>
      <c r="F55" s="3">
        <f>1132.8+(344.3-205.1)+(-0.577728+(-0.175593--0.104601))+0-140--0.0713999999999858</f>
        <v>1131.4226800000001</v>
      </c>
      <c r="G55" s="3">
        <f>1134.5+(321.3-232.6)+(-1.735785+(-0.491589--0.355878))+0-135.6--0.207468000000008</f>
        <v>1085.9359720000002</v>
      </c>
      <c r="H55" s="3">
        <f>1145.1+(278.2-231.4)+(0+(0-0))+0-134.3-0</f>
        <v>1057.5999999999999</v>
      </c>
      <c r="I55" s="3">
        <f>1142.8+(254.8-230.6)+(-1.165656+(-0.259896--0.235212))+0-133.6--0.136272000000021</f>
        <v>1032.3459319999999</v>
      </c>
      <c r="J55" s="3">
        <f>1144.1+(234-213.8)+(-0.583491+(-0.11934--0.109038))+0-135--0.0688499999999863</f>
        <v>1028.7750569999998</v>
      </c>
      <c r="K55" s="3">
        <f>1121.7+(210.9-220.4)+(-6.864804+(-1.290708--1.348848))+0-133.5--0.817019999999983</f>
        <v>972.71035600000005</v>
      </c>
      <c r="L55" s="3">
        <f>1118.7+(217.4-257.9)+(-4.564296+(-0.886992--1.052232))+0-133--0.542639999999988</f>
        <v>941.34358400000008</v>
      </c>
      <c r="M55" s="3">
        <f>1119.6+(212.6-241.5)+(-0.570996+(-0.108426--0.123165))+0-136.3--0.0695129999999862</f>
        <v>953.91325599999993</v>
      </c>
      <c r="N55" s="3">
        <f>1115.4+(383.7-375.1)+(-1.137708+(-0.391374--0.382602))+0-139.1--0.141882000000022</f>
        <v>983.89540199999988</v>
      </c>
      <c r="O55" s="3">
        <f>1111.3+(426.1-356)+(-1.700289+(-0.651933--0.54468))+0-138.4--0.211752000000008</f>
        <v>1041.4042099999999</v>
      </c>
      <c r="P55" s="3">
        <f>1103.6+(479.8-348.5)+(-0.562836+(-0.244698--0.177735))+0-139.6--0.0711959999999858</f>
        <v>1094.7413969999998</v>
      </c>
      <c r="Q55" s="3">
        <f>1091.7+(484.9-286.3)+(-2.227068+(-0.989196--0.584052))+0-139.3--0.284171999999994</f>
        <v>1148.6519599999999</v>
      </c>
      <c r="R55" s="3">
        <f>1089.5+(471.3-246.2)+(-1.11129+(-0.480726--0.251124))+0-137--0.139740000000022</f>
        <v>1176.398848</v>
      </c>
      <c r="S55" s="3">
        <f>1117.8+(469.7-258.2)+(-2.280312+(-0.958188--0.526728))+0-136.2--0.277847999999994</f>
        <v>1190.6660759999997</v>
      </c>
      <c r="T55" s="3">
        <f>1119.3+(505-287.5)+(0+(0-0))+0-138.2-0</f>
        <v>1198.5999999999999</v>
      </c>
      <c r="U55" s="3">
        <f>1068.8+(512.3-249.8)+(-1.090176+(-0.522546--0.254796))+0-138.9--0.141678000000022</f>
        <v>1191.1837519999999</v>
      </c>
      <c r="V55" s="3">
        <f>1054.6+(400.6-153.7)+(-2.68923+(-1.02153--0.391935))+0-140.5--0.35827499999998</f>
        <v>1158.03945</v>
      </c>
      <c r="W55" s="3">
        <f>1057.9+(411-221.3)+(-3.237174+(-1.25766--0.677178))+0-140.1--0.428706000000016</f>
        <v>1104.1110500000002</v>
      </c>
      <c r="X55" s="3">
        <f>1027.6+(469.9-307.3)+(-1.048152+(-0.479298--0.313446))+0-139.6--0.142392000000022</f>
        <v>1049.5283879999999</v>
      </c>
      <c r="Y55" s="3">
        <f>988.4+(554.1-321.9)+(-2.016336+(-1.130364--0.656676))+0-139.4--0.284375999999994</f>
        <v>1078.9943519999999</v>
      </c>
      <c r="Z55" s="3">
        <f>1025.4+(614.4-287.5)+(-1.045908+(-0.626688--0.29325))+0-137.3--0.140046000000022</f>
        <v>1213.7607000000003</v>
      </c>
      <c r="AA55" s="3">
        <f>1172+(533.5-331.4)+(-1.79316+(-0.816255--0.507042))+0-138.5--0.211905000000008</f>
        <v>1233.7095320000001</v>
      </c>
      <c r="AB55" s="3">
        <f>1186.5+(441.8-281.3)+(-3.025575+(-1.12659--0.717315))+0-136.4--0.34781999999998</f>
        <v>1207.5129699999998</v>
      </c>
      <c r="AC55" s="3">
        <f>1133.1+(359.6-207.9)+(-0.577881+(-0.183396--0.106029))+0-138.6--0.0706859999999859</f>
        <v>1145.615438</v>
      </c>
      <c r="AD55">
        <f t="shared" si="0"/>
        <v>26420.860361999999</v>
      </c>
      <c r="AE55" s="3">
        <f>1180+(610.7-317.1)+(0+(0-0))+0-134.6-0</f>
        <v>1339</v>
      </c>
    </row>
    <row r="56" spans="1:31" s="2" customFormat="1" x14ac:dyDescent="0.25">
      <c r="A56">
        <v>89</v>
      </c>
      <c r="B56">
        <v>2</v>
      </c>
      <c r="C56">
        <v>25</v>
      </c>
      <c r="D56">
        <v>1</v>
      </c>
      <c r="E56">
        <v>1</v>
      </c>
      <c r="F56" s="3">
        <f>1127.5+(327.8-198.1)+(-0.575025+(-0.167178--0.101031))+0-140.6--0.0717059999999857</f>
        <v>1116.030534</v>
      </c>
      <c r="G56" s="3">
        <f>1129.4+(328.9-244.9)+(-0.575994+(-0.167739--0.124899))+0-137--0.0698699999999861</f>
        <v>1075.851036</v>
      </c>
      <c r="H56" s="3">
        <f>1130.6+(272.6-236.4)+(0.576606+(0.139026-0.120564))+0-133.2-0.0679319999999865</f>
        <v>1034.1271360000001</v>
      </c>
      <c r="I56" s="3">
        <f>1130+(227.1-212.5)+(-2.3052+(-0.463284--0.4335))+0-133--0.271319999999994</f>
        <v>1009.5363359999998</v>
      </c>
      <c r="J56" s="3">
        <f>1137.1+(247.7-254.6)+(1.739763+(0.378981-0.389538))+0-132.4-0.202572000000008</f>
        <v>999.32663399999979</v>
      </c>
      <c r="K56" s="3">
        <f>1080.5+(330.4-306.1)+(-1.10211+(-0.337008--0.312222))+0-132.9--0.135558000000021</f>
        <v>970.90866200000005</v>
      </c>
      <c r="L56" s="3">
        <f>976.8+(444.6-342.2)+(0.498168+(0.226746-0.174522))+0-131.7-0.0671669999999866</f>
        <v>947.98322500000006</v>
      </c>
      <c r="M56" s="3">
        <f>979.4+(478.7-337.5)+(-0.998988+(-0.488274--0.34425))+0-133.8--0.136476000000021</f>
        <v>985.79346399999997</v>
      </c>
      <c r="N56" s="3">
        <f>979.1+(556-363)+(-0.499341+(-0.28356--0.18513))+0-135.9--0.0693089999999862</f>
        <v>1035.6715379999998</v>
      </c>
      <c r="O56" s="3">
        <f>981.3+(559.2-312.2)+(-1.000926+(-0.570384--0.318444))+0-135.2--0.137904000000022</f>
        <v>1091.9850379999998</v>
      </c>
      <c r="P56" s="3">
        <f>1008.6+(538.8-261.5)+(-1.028772+(-0.549576--0.26673))+0-131.8--0.134436000000021</f>
        <v>1152.9228180000002</v>
      </c>
      <c r="Q56" s="3">
        <f>1035.5+(516.3-211.9)+(0+(0-0))+0-133.2-0</f>
        <v>1206.7</v>
      </c>
      <c r="R56" s="3">
        <f>1131.8+(464.4-214)+(-1.731654+(-0.710532--0.32742))+0-131.7--0.201501000000008</f>
        <v>1248.5867349999999</v>
      </c>
      <c r="S56" s="3">
        <f>1173.1+(526.3-335.1)+(-1.794843+(-0.805239--0.512703))+0-133.5--0.204255000000008</f>
        <v>1228.9168759999998</v>
      </c>
      <c r="T56" s="3">
        <f>1102.5+(637-364.5)+(-2.2491+(-1.29948--0.74358))+0-140.6--0.286823999999994</f>
        <v>1231.8818240000001</v>
      </c>
      <c r="U56" s="3">
        <f>1080.4+(591-324.2)+(0+(0-0))+0-135.7-0</f>
        <v>1211.5</v>
      </c>
      <c r="V56" s="3">
        <f>1068.2+(439-203.4)+(-0.544782+(-0.22389--0.103734))+0-143.6--0.0732359999999854</f>
        <v>1159.6082980000001</v>
      </c>
      <c r="W56" s="3">
        <f>1079.2+(344.5-164)+(-3.302352+(-1.05417--0.50184))+0-142.6--0.436356000000016</f>
        <v>1113.6816740000002</v>
      </c>
      <c r="X56" s="3">
        <f>1007.5+(447.1-238.4)+(-1.02765+(-0.456042--0.243168))+0-141--0.143820000000022</f>
        <v>1074.103296</v>
      </c>
      <c r="Y56" s="3">
        <f>1050.7+(421.5-218.9)+(-2.143428+(-0.85986--0.446556))+0-140.3--0.286211999999994</f>
        <v>1110.72948</v>
      </c>
      <c r="Z56" s="3">
        <f>1117.9+(433.6-180.5)+(-1.710387+(-0.663408--0.276165))+0-142.4--0.217872000000008</f>
        <v>1226.7202419999999</v>
      </c>
      <c r="AA56" s="3">
        <f>1123.4+(444-195.9)+(-1.718802+(-0.67932--0.299727))+0-140.8--0.215424000000008</f>
        <v>1228.817029</v>
      </c>
      <c r="AB56" s="3">
        <f>1128.3+(423.1-207.1)+(-1.726299+(-0.647343--0.316863))+0-139.5--0.213435000000008</f>
        <v>1202.9566560000001</v>
      </c>
      <c r="AC56" s="3">
        <f>1140.9+(374.4-225.7)+(-1.163718+(-0.381888--0.230214))+0-138.9--0.141678000000022</f>
        <v>1149.526286</v>
      </c>
      <c r="AD56">
        <f t="shared" si="0"/>
        <v>26813.864816999998</v>
      </c>
      <c r="AE56" s="3">
        <f>1127+(441.5-194.8)+(0+(0-0))+0-142-0</f>
        <v>1231.7</v>
      </c>
    </row>
    <row r="57" spans="1:31" s="2" customFormat="1" x14ac:dyDescent="0.25">
      <c r="A57">
        <v>89</v>
      </c>
      <c r="B57">
        <v>2</v>
      </c>
      <c r="C57">
        <v>26</v>
      </c>
      <c r="D57">
        <v>2</v>
      </c>
      <c r="E57">
        <v>1</v>
      </c>
      <c r="F57" s="3">
        <f>1145.9+(309.8-212.9)+(-1.753227+(-0.473994--0.325737))+0-138.8--0.212364000000008</f>
        <v>1102.3108800000002</v>
      </c>
      <c r="G57" s="3">
        <f>1150.6+(299.7-250.3)+(-1.760418+(-0.458541--0.382959))+0-139.4--0.213282000000008</f>
        <v>1058.9772819999998</v>
      </c>
      <c r="H57" s="3">
        <f>1150+(286.1-267.5)+(-2.9325+(-0.729555--0.682125))+0-135.7--0.34603499999998</f>
        <v>1030.2661049999999</v>
      </c>
      <c r="I57" s="3">
        <f>1150.9+(307.3-317.3)+(-1.760877+(-0.470169--0.485469))+0-137.3--0.210069000000008</f>
        <v>1002.0644920000002</v>
      </c>
      <c r="J57" s="3">
        <f>1153.6+(290.1-314.9)+(-2.353344+(-0.591804--0.642396))+0-138--0.281519999999994</f>
        <v>988.7787679999999</v>
      </c>
      <c r="K57" s="3">
        <f>1151.5+(247-275.4)+(-1.761795+(-0.37791--0.421362))+0-137.3--0.210069000000008</f>
        <v>984.29172599999993</v>
      </c>
      <c r="L57" s="3">
        <f>1140.2+(410.7-467.4)+(-1.744506+(-0.628371--0.715122))+0-135.8--0.207774000000008</f>
        <v>946.25001900000007</v>
      </c>
      <c r="M57" s="3">
        <f>1148.6+(476-511.1)+(-0.585786+(-0.24276--0.260661))+0-138.5--0.0706349999999859</f>
        <v>974.50275000000011</v>
      </c>
      <c r="N57" s="3">
        <f>1145.6+(502.3-486.3)+(-1.752768+(-0.768519--0.744039))+0-144.1--0.220473000000008</f>
        <v>1015.9432249999998</v>
      </c>
      <c r="O57" s="3">
        <f>1145.2+(530.1-463.4)+(-1.752156+(-0.811053--0.709002))+0-138.6--0.212058000000008</f>
        <v>1071.6578510000002</v>
      </c>
      <c r="P57" s="3">
        <f>1050.2+(543.3-304.6)+(-1.071204+(-0.554166--0.310692))+0-133.6--0.136272000000021</f>
        <v>1154.1215940000002</v>
      </c>
      <c r="Q57" s="3">
        <f>1121.8+(451.4-268.5)+(0+(0-0))+0-130.2-0</f>
        <v>1174.4999999999998</v>
      </c>
      <c r="R57" s="3">
        <f>1102.5+(396.7-163.2)+(-1.686825+(-0.606951--0.249696))+0-134.5--0.205785000000008</f>
        <v>1199.6617050000002</v>
      </c>
      <c r="S57" s="3">
        <f>891.4+(661.6-194.5)+(0+(0-0))+0-134.1-0</f>
        <v>1224.4000000000001</v>
      </c>
      <c r="T57" s="3">
        <f>716.2+(829.2-209.1)+(0+(0-0))+0-132.9-0</f>
        <v>1203.4000000000001</v>
      </c>
      <c r="U57" s="3">
        <f>712.5+(739.4-129.5)+(-1.090125+(-1.131282--0.198135))+0-133.6--0.204408000000008</f>
        <v>1186.9811360000003</v>
      </c>
      <c r="V57" s="3">
        <f>890.2+(462.9-63)+(-2.27001+(-1.180395--0.16065))+0-138.1--0.35215499999998</f>
        <v>1149.0624</v>
      </c>
      <c r="W57" s="3">
        <f>1011.8+(475.2-245.2)+(-2.58009+(-1.21176--0.62526))+0-135.4--0.34526999999998</f>
        <v>1103.5786799999998</v>
      </c>
      <c r="X57" s="3">
        <f>1041.7+(459.8-328.9)+(-2.656335+(-1.17249--0.838695))+0-134.9--0.34399499999998</f>
        <v>1035.0538650000001</v>
      </c>
      <c r="Y57" s="3">
        <f>1050+(468.5-331.8)+(-1.6065+(-0.716805--0.507654))+0-132.8--0.203184000000008</f>
        <v>1052.2875330000002</v>
      </c>
      <c r="Z57" s="3">
        <f>1242.5+(407.9-346.1)+(-2.5347+(-0.832116--0.706044))+0-133.6--0.272543999999994</f>
        <v>1168.311772</v>
      </c>
      <c r="AA57" s="3">
        <f>1252.9+(391-344.5)+(-2.555916+(-0.79764--0.70278))+0-131.8--0.268871999999994</f>
        <v>1165.2180960000003</v>
      </c>
      <c r="AB57" s="3">
        <f>1255.6+(337.4-311.9)+(0+(0-0))+0-136.9-0</f>
        <v>1144.1999999999998</v>
      </c>
      <c r="AC57" s="3">
        <f>1252.1+(280.8-295.1)+(0+(0-0))+0-136.8-0</f>
        <v>1101</v>
      </c>
      <c r="AD57">
        <f t="shared" si="0"/>
        <v>26236.819879000002</v>
      </c>
      <c r="AE57" s="3">
        <f>1249+(396.9-360.8)+(0+(0-0))+0-134.4-0</f>
        <v>1150.6999999999998</v>
      </c>
    </row>
    <row r="58" spans="1:31" s="2" customFormat="1" x14ac:dyDescent="0.25">
      <c r="A58">
        <v>89</v>
      </c>
      <c r="B58">
        <v>2</v>
      </c>
      <c r="C58">
        <v>27</v>
      </c>
      <c r="D58">
        <v>3</v>
      </c>
      <c r="E58">
        <v>5</v>
      </c>
      <c r="F58" s="3">
        <f>1191.1+(212.9-217.5)+(-0.607461+(-0.108579--0.110925))+0-136.7--0.0697169999999861</f>
        <v>1049.264602</v>
      </c>
      <c r="G58" s="3">
        <f>1062.3+(261.5-173.3)+(-0.541773+(-0.133365--0.088383))+0-137.4--0.0700739999999861</f>
        <v>1012.583319</v>
      </c>
      <c r="H58" s="3">
        <f>1108+(254.6-240.7)+(-0.56508+(-0.129846--0.122757))+0-136.4--0.0695639999999862</f>
        <v>984.9973950000001</v>
      </c>
      <c r="I58" s="3">
        <f>1123+(266.9-283.9)+(-2.29092+(-0.544476--0.579156))+0-134.7--0.274787999999994</f>
        <v>969.31854799999996</v>
      </c>
      <c r="J58" s="3">
        <f>1120.8+(263.6-296.2)+(0+(0-0))+0-134-0</f>
        <v>954.2</v>
      </c>
      <c r="K58" s="3">
        <f>1129.7+(271.8-347.9)+(-2.880735+(-0.69309--0.887145))+0-132.6--0.338129999999981</f>
        <v>918.65145000000007</v>
      </c>
      <c r="L58" s="3">
        <f>1138+(342.2-463.3)+(-0.58038+(-0.174522--0.236283))+0-133.1--0.0678809999999865</f>
        <v>883.34926199999995</v>
      </c>
      <c r="M58" s="3">
        <f>1160.3+(251.5-380.9)+(1.183506+(0.25653-0.388518))+0-133.8-0.136476000000021</f>
        <v>898.01504200000011</v>
      </c>
      <c r="N58" s="3">
        <f>1154.2+(350-439.4)+(-1.765926+(-0.5355--0.672282))+0-136.1--0.208233000000008</f>
        <v>927.27908900000023</v>
      </c>
      <c r="O58" s="3">
        <f>1118.2+(399.9-404.2)+(0+(0-0))+0-137.5-0</f>
        <v>976.40000000000009</v>
      </c>
      <c r="P58" s="3">
        <f>1131.7+(281.7-256.2)+(-2.308668+(-0.574668--0.522648))+0-136.6--0.278663999999994</f>
        <v>1018.5179760000001</v>
      </c>
      <c r="Q58" s="3">
        <f>1055.9+(394.8-237.6)+(-2.154036+(-0.805392--0.484704))+0-135.6--0.276623999999994</f>
        <v>1075.3019000000004</v>
      </c>
      <c r="R58" s="3">
        <f>1072.2+(385.6-214.3)+(-2.187288+(-0.786624--0.437172))+0-135--0.275399999999994</f>
        <v>1106.23866</v>
      </c>
      <c r="S58" s="3">
        <f>1104.4+(472-318.5)+(0+(0-0))+0-133.8-0</f>
        <v>1124.1000000000001</v>
      </c>
      <c r="T58" s="3">
        <f>1106.7+(457-302.9)+(-1.693251+(-0.69921--0.463437))+0-133.5--0.204255000000008</f>
        <v>1125.5752310000003</v>
      </c>
      <c r="U58" s="3">
        <f>1090.5+(404.8-262.2)+(-1.11231+(-0.412896--0.267444))+0-130.7--0.133314000000021</f>
        <v>1101.2755519999998</v>
      </c>
      <c r="V58" s="3">
        <f>1084.8+(288-189.6)+(-1.659744+(-0.44064--0.290088))+0-135.2--0.206856000000008</f>
        <v>1046.3965599999999</v>
      </c>
      <c r="W58" s="3">
        <f>1102.5+(245.7-195.7)+(-1.12455+(-0.250614--0.199614))+0-135.2--0.137904000000022</f>
        <v>1016.2623540000001</v>
      </c>
      <c r="X58" s="3">
        <f>1087.1+(272.5-250.8)+(-2.217684+(-0.5559--0.511632))+0-133.2--0.271727999999994</f>
        <v>973.60977599999978</v>
      </c>
      <c r="Y58" s="3">
        <f>1049.3+(363.5-259.1)+(0+(0-0))+0-134.9-0</f>
        <v>1018.7999999999998</v>
      </c>
      <c r="Z58" s="3">
        <f>1096.6+(410.2-218.6)+(-0.559266+(-0.209202--0.111486))+0-141.8--0.0723179999999856</f>
        <v>1145.8153359999999</v>
      </c>
      <c r="AA58" s="3">
        <f>1107.5+(374.7-177.5)+(-2.2593+(-0.764388--0.3621))+0-139.8--0.285191999999994</f>
        <v>1162.5236040000002</v>
      </c>
      <c r="AB58" s="3">
        <f>1111.9+(385.6-201.3)+(-1.134138+(-0.393312--0.205326))+0-135.6--0.138312000000022</f>
        <v>1159.4161880000001</v>
      </c>
      <c r="AC58" s="3">
        <f>1105.1+(416.9-258.5)+(-0.563601+(-0.212619--0.131835))+0-136.9--0.0698189999999861</f>
        <v>1126.0254339999999</v>
      </c>
      <c r="AD58">
        <f t="shared" si="0"/>
        <v>24773.917278000001</v>
      </c>
      <c r="AE58" s="3">
        <f>1104+(365-190.4)+(0+(0-0))+0-139-0</f>
        <v>1139.5999999999999</v>
      </c>
    </row>
    <row r="59" spans="1:31" s="2" customFormat="1" x14ac:dyDescent="0.25">
      <c r="A59">
        <v>89</v>
      </c>
      <c r="B59">
        <v>2</v>
      </c>
      <c r="C59">
        <v>28</v>
      </c>
      <c r="D59">
        <v>4</v>
      </c>
      <c r="E59">
        <v>1</v>
      </c>
      <c r="F59" s="3">
        <f>1103.7+(378.4-262.4)+(0+(0-0))+0-135.6-0</f>
        <v>1084.1000000000001</v>
      </c>
      <c r="G59" s="3">
        <f>1106.6+(333.6-261.1)+(-1.693098+(-0.510408--0.399483))+0-131--0.200430000000008</f>
        <v>1046.4964070000001</v>
      </c>
      <c r="H59" s="3">
        <f>1113.3+(274.1-238.5)+(0.567783+(0.139791-0.121635))+0-131.3-0.0669629999999867</f>
        <v>1018.1189760000002</v>
      </c>
      <c r="I59" s="3">
        <f>1109.9+(248.2-228.2)+(-1.132098+(-0.253164--0.232764))+0-129.2--0.131784000000021</f>
        <v>999.67928600000016</v>
      </c>
      <c r="J59" s="3">
        <f>1110.2+(271.6-259.8)+(0.566202+(0.138516-0.132498))+0-133.5-0.0680849999999865</f>
        <v>989.00413500000002</v>
      </c>
      <c r="K59" s="3">
        <f>1107.9+(273.6-296.5)+(-2.260116+(-0.558144--0.60486))+0-130.7--0.266627999999994</f>
        <v>952.35322799999983</v>
      </c>
      <c r="L59" s="3">
        <f>1012.8+(394.2-342.8)+(-2.066112+(-0.804168--0.699312))+0-126.7--0.258467999999994</f>
        <v>935.58749999999986</v>
      </c>
      <c r="M59" s="3">
        <f>969.5+(615.4-475.3)+(-0.98889+(-0.627708--0.484806))+0-131.1--0.133722000000021</f>
        <v>977.50193000000002</v>
      </c>
      <c r="N59" s="3">
        <f>983.1+(764.1-595)+(-1.504143+(-1.169073--0.91035))+0-124.8--0.190944000000007</f>
        <v>1025.828078</v>
      </c>
      <c r="O59" s="3">
        <f>1069.8+(719-606.8)+(0.545598+(0.36669-0.309468))+0-118.4-0.060383999999988</f>
        <v>1064.1424360000001</v>
      </c>
      <c r="P59" s="3">
        <f>1128.5+(617.2-514)+(-0.575535+(-0.314772--0.26214))+0-120--0.0611999999999878</f>
        <v>1111.1330330000001</v>
      </c>
      <c r="Q59" s="3">
        <f>1131.3+(573.4-412.2)+(0+(0-0))+0-120.5-0</f>
        <v>1172</v>
      </c>
      <c r="R59" s="3">
        <f>1117.3+(510.7-299.4)+(-1.709469+(-0.781371--0.458082))+0-120--0.183600000000007</f>
        <v>1206.7508419999999</v>
      </c>
      <c r="S59" s="3">
        <f>1155.4+(485.8-290.4)+(-1.178508+(-0.495516--0.296208))+0-121.9--0.124338000000019</f>
        <v>1227.6465220000002</v>
      </c>
      <c r="T59" s="3">
        <f>1152.5+(504-317.3)+(0.587775+(0.25704-0.161823))+0-120.7-0.0615569999999878</f>
        <v>1219.121435</v>
      </c>
      <c r="U59" s="3">
        <f>1150.1+(498.2-322.3)+(-0.586551+(-0.254082--0.164373))+0-116.2--0.0592619999999882</f>
        <v>1209.183002</v>
      </c>
      <c r="V59" s="3">
        <f>1147.8+(383.8-219.2)+(-1.756134+(-0.587214--0.335376))+0-119.7--0.183141000000007</f>
        <v>1190.8751689999999</v>
      </c>
      <c r="W59" s="3">
        <f>1134.1+(362.5-242.4)+(-3.470346+(-1.10925--0.741744))+0-122.4--0.374544000000014</f>
        <v>1128.3366919999996</v>
      </c>
      <c r="X59" s="3">
        <f>1196.9+(467.9-476.9)+(-3.052095+(-1.193145--1.216095))+0-119.3--0.304214999999983</f>
        <v>1065.8750700000001</v>
      </c>
      <c r="Y59" s="3">
        <f>1222.9+(498.3-495.2)+(-1.247358+(-0.508266--0.505104))+0-115.3--0.117606000000018</f>
        <v>1109.567086</v>
      </c>
      <c r="Z59" s="3">
        <f>1234.1+(426.2-282)+(-1.258782+(-0.434724--0.28764))+0-118.7--0.121074000000019</f>
        <v>1258.3152079999998</v>
      </c>
      <c r="AA59" s="3">
        <f>1268.5+(353.6-240.6)+(-3.234675+(-0.90168--0.61353))+0-120--0.305999999999983</f>
        <v>1258.283175</v>
      </c>
      <c r="AB59" s="3">
        <f>1273.4+(362.9-275.5)+(-1.948302+(-0.555237--0.421515))+0-119.8--0.183294000000007</f>
        <v>1239.1012700000001</v>
      </c>
      <c r="AC59" s="3">
        <f>1193.1+(411.4-295)+(-1.216962+(-0.419628--0.3009))+0-125--0.12750000000002</f>
        <v>1183.2918099999999</v>
      </c>
      <c r="AD59">
        <f t="shared" si="0"/>
        <v>26672.292290000001</v>
      </c>
      <c r="AE59" s="3">
        <f>1260+(376.8-245.9)+(0+(0-0))+0-112.3-0</f>
        <v>1278.6000000000001</v>
      </c>
    </row>
    <row r="60" spans="1:31" s="2" customFormat="1" x14ac:dyDescent="0.25">
      <c r="A60">
        <v>89</v>
      </c>
      <c r="B60">
        <v>2</v>
      </c>
      <c r="C60">
        <v>29</v>
      </c>
      <c r="D60">
        <v>5</v>
      </c>
      <c r="E60">
        <v>1</v>
      </c>
      <c r="F60" s="3">
        <f>1134+(388.2-281.3)+(-1.73502+(-0.593946--0.430389))+0-123.8--0.189414000000007</f>
        <v>1115.3908370000001</v>
      </c>
      <c r="G60" s="3">
        <f>1193.3+(308-294)+(0.608583+(0.15708-0.14994))+0-127.1-0.0648209999999871</f>
        <v>1080.750902</v>
      </c>
      <c r="H60" s="3">
        <f>1194.1+(231.5-250.4)+(-1.826973+(-0.354195--0.383112))+0-128.8--0.197064000000007</f>
        <v>1044.7990079999997</v>
      </c>
      <c r="I60" s="3">
        <f>1210.2+(226.8-296.8)+(-1.851606+(-0.347004--0.454104))+0-128.3--0.196299000000007</f>
        <v>1010.351793</v>
      </c>
      <c r="J60" s="3">
        <f>1228.6+(275.7-375.5)+(0.626586+(0.140607-0.191505))+0-128.2-0.065381999999987</f>
        <v>1001.1103059999998</v>
      </c>
      <c r="K60" s="3">
        <f>1220+(324.7-429.9)+(-3.111+(-0.827985--1.096245))+0-129.7--0.330734999999981</f>
        <v>982.58799499999986</v>
      </c>
      <c r="L60" s="3">
        <f>1070.1+(399.6-380.7)+(0+(0-0))+0-128.9-0</f>
        <v>960.1</v>
      </c>
      <c r="M60" s="3">
        <f>1028.6+(514.4-418.5)+(-1.573758+(-0.787032--0.640305))+0-133.6--0.204408000000008</f>
        <v>989.38392299999998</v>
      </c>
      <c r="N60" s="3">
        <f>979.4+(623.6-440.2)+(-0.998988+(-0.636072--0.449004))+0-137.2--0.139944000000022</f>
        <v>1024.5538879999999</v>
      </c>
      <c r="O60" s="3">
        <f>1053.4+(574.2-414.6)+(-0.537234+(-0.292842--0.211446))+0-136.8--0.0697679999999861</f>
        <v>1075.6511380000002</v>
      </c>
      <c r="P60" s="3">
        <f>1077.2+(544.8-345)+(-1.098744+(-0.555696--0.3519))+0-134.8--0.137496000000022</f>
        <v>1141.0349560000002</v>
      </c>
      <c r="Q60" s="3">
        <f>1141.4+(481.3-278.3)+(-1.164228+(-0.490926--0.283866))+0-135.7--0.138414000000022</f>
        <v>1207.467126</v>
      </c>
      <c r="R60" s="3">
        <f>1180.2+(409.2-205.3)+(0+(0-0))+0-133.2-0</f>
        <v>1250.8999999999999</v>
      </c>
      <c r="S60" s="3">
        <f>1276+(453.6-344.2)+(-2.60304+(-0.925344--0.702168))+0-138.1--0.281723999999994</f>
        <v>1244.7555080000002</v>
      </c>
      <c r="T60" s="3">
        <f>1276.7+(491.5-407.7)+(0+(0-0))+0-137.4-0</f>
        <v>1223.0999999999999</v>
      </c>
      <c r="U60" s="3">
        <f>1269.4+(442.2-363.1)+(-1.942182+(-0.676566--0.555543))+0-132.2--0.202266000000008</f>
        <v>1214.439061</v>
      </c>
      <c r="V60" s="3">
        <f>1262.6+(379.4-248.9)+(-2.575704+(-0.773976--0.507756))+0-133.5--0.272339999999994</f>
        <v>1257.0304159999998</v>
      </c>
      <c r="W60" s="3">
        <f>1256.9+(345.4-276.2)+(-2.564076+(-0.704616--0.563448))+0-133.8--0.272951999999994</f>
        <v>1189.8677080000002</v>
      </c>
      <c r="X60" s="3">
        <f>1263.1+(497.2-492.5)+(-3.220905+(-1.26786--1.255875))+0-134.2--0.34220999999998</f>
        <v>1130.7093199999999</v>
      </c>
      <c r="Y60" s="3">
        <f>1291.4+(546.7-550.5)+(-1.317228+(-0.557634--0.56151))+0-130.9--0.133518000000021</f>
        <v>1155.5201660000002</v>
      </c>
      <c r="Z60" s="3">
        <f>1331.8+(417.7-351.3)+(-0.679218+(-0.213027--0.179163))+0-137--0.0698699999999861</f>
        <v>1260.5567879999999</v>
      </c>
      <c r="AA60" s="3">
        <f>1348.9+(350.3-281.9)+(-2.063817+(-0.535959--0.431307))+0-136.2--0.208386000000008</f>
        <v>1279.1399170000002</v>
      </c>
      <c r="AB60" s="3">
        <f>1373.1+(285.2-271.8)+(-3.501405+(-0.72726--0.69309))+0-132.9--0.338894999999981</f>
        <v>1250.4033199999999</v>
      </c>
      <c r="AC60" s="3">
        <f>1350+(276.4-291)+(-2.754+(-0.563856--0.59364))+0-133.6--0.272543999999994</f>
        <v>1199.348328</v>
      </c>
      <c r="AD60">
        <f t="shared" si="0"/>
        <v>27288.952404000007</v>
      </c>
      <c r="AE60" s="3">
        <f>1333+(375.5-292.2)+(0+(0-0))+0-136.3-0</f>
        <v>1280</v>
      </c>
    </row>
    <row r="61" spans="1:31" s="2" customFormat="1" x14ac:dyDescent="0.25">
      <c r="A61">
        <v>89</v>
      </c>
      <c r="B61">
        <v>2</v>
      </c>
      <c r="C61">
        <v>30</v>
      </c>
      <c r="D61">
        <v>6</v>
      </c>
      <c r="E61">
        <v>1</v>
      </c>
      <c r="F61" s="3">
        <f>1349.5+(247-297.2)+(-5.50596+(-1.00776--1.212576))+0-131.6--0.536927999999989</f>
        <v>1162.935784</v>
      </c>
      <c r="G61" s="3">
        <f>1348+(231.4-324.5)+(-2.06244+(-0.354042--0.496485))+0-132.5--0.202725000000008</f>
        <v>1120.6827280000002</v>
      </c>
      <c r="H61" s="3">
        <f>1353.9+(226.5-361.2)+(-1.380978+(-0.23103--0.368424))+0-129--0.131580000000021</f>
        <v>1089.087996</v>
      </c>
      <c r="I61" s="3">
        <f>1357+(216.1-375.2)+(-2.76828+(-0.440844--0.765408))+0-128--0.261119999999994</f>
        <v>1067.717404</v>
      </c>
      <c r="J61" s="3">
        <f>1373.4+(262.2-446.1)+(1.400868+(0.267444-0.455022))+0-131.8-0.134436000000021</f>
        <v>1058.7788539999999</v>
      </c>
      <c r="K61" s="3">
        <f>1349.9+(225.9-409.9)+(-3.442245+(-0.576045--1.045245))+0-131--0.334049999999981</f>
        <v>1032.2610050000001</v>
      </c>
      <c r="L61" s="3">
        <f>1274.6+(311-476.6)+(-2.600184+(-0.63444--0.972264))+0-127.7--0.260507999999994</f>
        <v>979.29814799999997</v>
      </c>
      <c r="M61" s="3">
        <f>1284.2+(292.8-423.7)+(1.309884+(0.298656-0.432174))+0-132.3-0.134946000000021</f>
        <v>1022.0414200000001</v>
      </c>
      <c r="N61" s="3">
        <f>1346.7+(234.8-363.5)+(-1.373634+(-0.239496--0.37077))+0-133.7--0.136374000000021</f>
        <v>1083.1940139999999</v>
      </c>
      <c r="O61" s="3">
        <f>1251.9+(260.4-232)+(-0.638469+(-0.132804--0.11832))+0-133.8--0.0682379999999864</f>
        <v>1145.9152850000003</v>
      </c>
      <c r="P61" s="3">
        <f>1225.7+(368.8-248.2)+(0+(0-0))+0-137.4-0</f>
        <v>1208.9000000000001</v>
      </c>
      <c r="Q61" s="3">
        <f>1203.1+(537-342)+(1.227162+(0.54774-0.34884))+0-138.2-0.140964000000022</f>
        <v>1261.1850979999999</v>
      </c>
      <c r="R61" s="3">
        <f>1219.2+(792.2-588.2)+(-2.487168+(-1.616088--1.199928))+0-134.9--0.275195999999994</f>
        <v>1285.6718679999999</v>
      </c>
      <c r="S61" s="3">
        <f>1258.8+(858.4-701.1)+(-1.925964+(-1.313352--1.072683))+0-134.5--0.205785000000008</f>
        <v>1279.639152</v>
      </c>
      <c r="T61" s="3">
        <f>1261.8+(907.7-757.9)+(-1.287036+(-0.925854--0.773058))+0-135.4--0.138108000000022</f>
        <v>1274.8982759999999</v>
      </c>
      <c r="U61" s="3">
        <f>1255.8+(914.1-772.8)+(-0.640458+(-0.466191--0.394128))+0-131.4--0.0670139999999867</f>
        <v>1265.0544929999999</v>
      </c>
      <c r="V61" s="3">
        <f>1276.3+(682.5-602.4)+(-1.952739+(-1.044225--0.921672))+0-132.6--0.202878000000008</f>
        <v>1221.9275860000002</v>
      </c>
      <c r="W61" s="3">
        <f>1308.6+(311.6-345.3)+(-2.669544+(-0.635664--0.704412))+0-132.5--0.270299999999994</f>
        <v>1140.0695039999998</v>
      </c>
      <c r="X61" s="3">
        <f>1314.6+(199-294.7)+(-4.022676+(-0.60894--0.901782))+0-132.2--0.404532000000015</f>
        <v>1083.3746979999999</v>
      </c>
      <c r="Y61" s="3">
        <f>1337.6+(205.4-292.9)+(-2.046528+(-0.314262--0.448137))+0-126.8--0.194004000000007</f>
        <v>1121.5813509999998</v>
      </c>
      <c r="Z61" s="3">
        <f>1361.9+(363.8-361.3)+(-0.694569+(-0.185538--0.184263))+0-129.1--0.0658409999999869</f>
        <v>1234.6699970000002</v>
      </c>
      <c r="AA61" s="3">
        <f>1344.9+(413.9-426.3)+(-1.371798+(-0.422178--0.434826))+0-130.9--0.133518000000021</f>
        <v>1200.374368</v>
      </c>
      <c r="AB61" s="3">
        <f>1342.7+(494.5-503.2)+(-2.054331+(-0.756585--0.769896))+0-134.5--0.205785000000008</f>
        <v>1197.6647650000002</v>
      </c>
      <c r="AC61" s="3">
        <f>1339.9+(515-547.6)+(-0.683349+(-0.26265--0.279276))+0-136.1--0.0694109999999862</f>
        <v>1170.6026880000002</v>
      </c>
      <c r="AD61">
        <f t="shared" si="0"/>
        <v>27707.526482000001</v>
      </c>
      <c r="AE61" s="3">
        <f>1365+(414.2-428.7)+(0+(0-0))+0-128.6-0</f>
        <v>1221.9000000000001</v>
      </c>
    </row>
    <row r="62" spans="1:31" s="2" customFormat="1" x14ac:dyDescent="0.25">
      <c r="A62">
        <v>89</v>
      </c>
      <c r="B62">
        <v>2</v>
      </c>
      <c r="C62">
        <v>31</v>
      </c>
      <c r="D62">
        <v>7</v>
      </c>
      <c r="E62">
        <v>1</v>
      </c>
      <c r="F62" s="3">
        <f>1338.5+(521.3-573.4)+(-0.682635+(-0.265863--0.292434))+0-134.8--0.0687479999999863</f>
        <v>1151.012684</v>
      </c>
      <c r="G62" s="3">
        <f>1345+(394.5-499.1)+(0.68595+(0.201195-0.254541))+0-131.6-0.0671159999999866</f>
        <v>1109.3654880000001</v>
      </c>
      <c r="H62" s="3">
        <f>1352.1+(337-473)+(-2.758284+(-0.68748--0.96492))+0-131--0.267239999999994</f>
        <v>1082.8863959999999</v>
      </c>
      <c r="I62" s="3">
        <f>1331.7+(289-426.1)+(1.358334+(0.29478-0.434622))+0-132.4-0.135048000000021</f>
        <v>1063.2834439999997</v>
      </c>
      <c r="J62" s="3">
        <f>1327.6+(241.4-390.7)+(-0.677076+(-0.123114--0.199257))+0-129.9--0.0662489999999868</f>
        <v>1047.8653159999999</v>
      </c>
      <c r="K62" s="3">
        <f>1330.2+(204.4-387.9)+(-2.713608+(-0.416976--0.791316))+0-129.3--0.263771999999994</f>
        <v>1015.3245040000002</v>
      </c>
      <c r="L62" s="3">
        <f>1269.7+(318.6-494.1)+(-2.590188+(-0.649944--1.007964))+0-128.1--0.261323999999994</f>
        <v>964.12915599999997</v>
      </c>
      <c r="M62" s="3">
        <f>1246.5+(371.6-526.1)+(-1.27143+(-0.379032--0.536622))+0-131.6--0.134232000000021</f>
        <v>959.42039199999999</v>
      </c>
      <c r="N62" s="3">
        <f>1264.2+(370.5-504.4)+(-1.289484+(-0.37791--0.514488))+0-134.8--0.137496000000022</f>
        <v>994.48459000000025</v>
      </c>
      <c r="O62" s="3">
        <f>1337.7+(366.5-524.1)+(-2.728908+(-0.74766--1.069164))+0-134.5--0.274379999999994</f>
        <v>1043.4669759999999</v>
      </c>
      <c r="P62" s="3">
        <f>1331.4+(341.3-419.9)+(-1.358028+(-0.348126--0.428298))+0-133.6--0.136272000000021</f>
        <v>1118.0584160000003</v>
      </c>
      <c r="Q62" s="3">
        <f>1313.9+(433.8-429.3)+(-1.340178+(-0.442476--0.437886))+0-134.1--0.136782000000021</f>
        <v>1183.0920140000003</v>
      </c>
      <c r="R62" s="3">
        <f>1297.2+(483.4-428.3)+(-2.646288+(-0.986136--0.873732))+0-132.5--0.270299999999994</f>
        <v>1217.3116079999998</v>
      </c>
      <c r="S62" s="3">
        <f>1296.4+(573.4-503.3)+(-0.661164+(-0.292434--0.256683))+0-133.6--0.0681359999999864</f>
        <v>1232.2712210000002</v>
      </c>
      <c r="T62" s="3">
        <f>1300+(629.3-556.5)+(-1.326+(-0.641886--0.56763))+0-137--0.139740000000022</f>
        <v>1234.5394840000001</v>
      </c>
      <c r="U62" s="3">
        <f>1299.5+(622.7-557.5)+(-3.97647+(-1.905462--1.70595))+0-131.7--0.403002000000015</f>
        <v>1229.22702</v>
      </c>
      <c r="V62" s="3">
        <f>1296.6+(458.5-410.8)+(-2.645064+(-0.93534--0.838032))+0-133.9--0.273155999999994</f>
        <v>1207.9307839999999</v>
      </c>
      <c r="W62" s="3">
        <f>1277.9+(272-258.8)+(-1.955187+(-0.41616--0.395964))+0-132.2--0.202266000000008</f>
        <v>1157.1268830000001</v>
      </c>
      <c r="X62" s="3">
        <f>1252.4+(318-336.9)+(-4.471068+(-1.13526--1.202733))+0-134.7--0.480879000000002</f>
        <v>1094.8772839999999</v>
      </c>
      <c r="Y62" s="3">
        <f>1107.5+(403.9-282)+(-1.12965+(-0.411978--0.28764))+0-127--0.12954000000002</f>
        <v>1101.2755520000001</v>
      </c>
      <c r="Z62" s="3">
        <f>1196.4+(447.9-272.2)+(-1.830492+(-0.685287--0.416466))+0-131.7--0.201501000000008</f>
        <v>1238.5021880000002</v>
      </c>
      <c r="AA62" s="3">
        <f>1321.9+(432.3-348.1)+(-2.022507+(-0.661419--0.532593))+0-136.1--0.208233000000008</f>
        <v>1268.0569000000003</v>
      </c>
      <c r="AB62" s="3">
        <f>1330.2+(439.9-380.8)+(-2.713608+(-0.897396--0.776832))+0-136.9--0.279275999999994</f>
        <v>1249.8451039999998</v>
      </c>
      <c r="AC62" s="3">
        <f>1336.6+(405.3-407.8)+(-2.044998+(-0.620109--0.623934))+0-138.6--0.212058000000008</f>
        <v>1193.670885</v>
      </c>
      <c r="AD62">
        <f t="shared" si="0"/>
        <v>27157.024288999994</v>
      </c>
      <c r="AE62" s="3">
        <f>1317+(438.4-363.2)+(0+(0-0))+0-132.6-0</f>
        <v>1259.6000000000001</v>
      </c>
    </row>
    <row r="63" spans="1:31" s="2" customFormat="1" x14ac:dyDescent="0.25">
      <c r="A63">
        <v>89</v>
      </c>
      <c r="B63">
        <v>3</v>
      </c>
      <c r="C63">
        <v>1</v>
      </c>
      <c r="D63">
        <v>1</v>
      </c>
      <c r="E63">
        <v>1</v>
      </c>
      <c r="F63" s="3">
        <f>1345.6+(365.9-426)+(-1.372512+(-0.373218--0.43452))+0-137.1--0.139842000000022</f>
        <v>1147.2286320000001</v>
      </c>
      <c r="G63" s="3">
        <f>1343.8+(330.1-435.8)+(2.056014+(0.505053-0.666774))+0-134.3-0.205479000000008</f>
        <v>1105.488814</v>
      </c>
      <c r="H63" s="3">
        <f>1359.4+(271.8-418.3)+(-3.46647+(-0.69309--1.066665))+0-130.4--0.332519999999981</f>
        <v>1079.7396249999999</v>
      </c>
      <c r="I63" s="3">
        <f>1367.2+(284.5-458.4)+(-0.697272+(-0.145095--0.233784))+0-129.6--0.0660959999999868</f>
        <v>1063.1575130000003</v>
      </c>
      <c r="J63" s="3">
        <f>1371.5+(301-500.9)+(0.699465+(0.15351-0.255459))+0-123.7-0.0630869999999875</f>
        <v>1048.4344289999999</v>
      </c>
      <c r="K63" s="3">
        <f>1305.5+(267.4-435.8)+(-3.329025+(-0.68187--1.11129))+0-116.5--0.297074999999983</f>
        <v>1017.9974699999998</v>
      </c>
      <c r="L63" s="3">
        <f>1251.8+(414.3-478.7)+(0+(0-0))+0-110.8-0</f>
        <v>1076.6000000000001</v>
      </c>
      <c r="M63" s="3">
        <f>1221.9+(495.9-535.6)+(0.623169+(0.252909-0.273156))+0-113.6-0.0579359999999885</f>
        <v>1069.1449860000002</v>
      </c>
      <c r="N63" s="3">
        <f>1256.8+(497.2-499.7)+(0+(0-0))+0-112.3-0</f>
        <v>1142</v>
      </c>
      <c r="O63" s="3">
        <f>1285.6+(475.6-442.8)+(-1.311312+(-0.485112--0.451656))+0-112.1--0.114342000000018</f>
        <v>1205.0695740000001</v>
      </c>
      <c r="P63" s="3">
        <f>1265+(449.6-406.2)+(-3.22575+(-1.14648--1.03581))+0-112.1--0.285854999999984</f>
        <v>1193.2494350000002</v>
      </c>
      <c r="Q63" s="3">
        <f>1272+(466.6-274.2)+(-0.64872+(-0.237966--0.139842))+0-112.1--0.0571709999999886</f>
        <v>1351.6103270000001</v>
      </c>
      <c r="R63" s="3">
        <f>1281.4+(551.8-317.5)+(-1.307028+(-0.562836--0.32385))+0-125.8--0.12831600000002</f>
        <v>1388.4823020000001</v>
      </c>
      <c r="S63" s="3">
        <f>1184.8+(667.7-408.6)+(-1.812744+(-1.021581--0.625158))+0-109.1--0.166923000000006</f>
        <v>1332.7577560000002</v>
      </c>
      <c r="T63" s="3">
        <f>1222.1+(619.9-415.9)+(0.623271+(0.316149-0.212109))+0-109-0.0555899999999889</f>
        <v>1317.7717210000001</v>
      </c>
      <c r="U63" s="3">
        <f>1262.8+(553-401.4)+(-3.22014+(-1.41015--1.02357))+0-102.2--0.260609999999985</f>
        <v>1308.8538900000001</v>
      </c>
      <c r="V63" s="3">
        <f>1269.1+(433.3-288.3)+(-1.294482+(-0.441966--0.294066))+0-105.5--0.107610000000017</f>
        <v>1307.265228</v>
      </c>
      <c r="W63" s="3">
        <f>1265.5+(292.4-179.7)+(-3.227025+(-0.74562--0.458235))+0-106.1--0.270554999999985</f>
        <v>1268.8561450000002</v>
      </c>
      <c r="X63" s="3">
        <f>1224.1+(356.5-319.9)+(-2.497164+(-0.72726--0.652596))+0-110.2--0.224807999999995</f>
        <v>1148.1529799999996</v>
      </c>
      <c r="Y63" s="3">
        <f>1197.5+(405.2-328.2)+(-2.4429+(-0.826608--0.669528))+0-110.6--0.225623999999995</f>
        <v>1161.5256440000001</v>
      </c>
      <c r="Z63" s="3">
        <f>1304.7+(371.3-257.7)+(-3.326985+(-0.946815--0.657135))+0-114.2--0.291209999999983</f>
        <v>1300.7745450000002</v>
      </c>
      <c r="AA63" s="3">
        <f>1355.7+(394-315.3)+(-4.839849+(-1.40658--1.125621))+0-113.1--0.403767000000002</f>
        <v>1316.5829590000003</v>
      </c>
      <c r="AB63" s="3">
        <f>1343.5+(420.9-354.7)+(-2.74074+(-0.858636--0.723588))+0-115.7--0.236027999999995</f>
        <v>1291.36024</v>
      </c>
      <c r="AC63" s="3">
        <f>1319.7+(398.8-370.5)+(-1.346094+(-0.406776--0.37791))+0-114.4--0.116688000000018</f>
        <v>1232.3417279999999</v>
      </c>
      <c r="AD63">
        <f t="shared" si="0"/>
        <v>28874.445942999999</v>
      </c>
      <c r="AE63" s="3">
        <f>1347+(402.4-314.3)+(0+(0-0))+0-133.8-0</f>
        <v>1301.3</v>
      </c>
    </row>
    <row r="64" spans="1:31" s="2" customFormat="1" x14ac:dyDescent="0.25">
      <c r="A64">
        <v>89</v>
      </c>
      <c r="B64">
        <v>3</v>
      </c>
      <c r="C64">
        <v>2</v>
      </c>
      <c r="D64">
        <v>2</v>
      </c>
      <c r="E64">
        <v>1</v>
      </c>
      <c r="F64" s="3">
        <f>1330.2+(358.8-377.7)+(-1.356804+(-0.365976--0.385254))+0-124.4--0.12688800000002</f>
        <v>1185.6893620000001</v>
      </c>
      <c r="G64" s="3">
        <f>1348.7+(310.7-385.6)+(-3.439185+(-0.792285--0.98328))+0-129.5--0.330224999999981</f>
        <v>1141.3820349999999</v>
      </c>
      <c r="H64" s="3">
        <f>1353.7+(280-392.1)+(-2.071161+(-0.4284--0.599913))+0-127.5--0.195075000000007</f>
        <v>1112.3954269999999</v>
      </c>
      <c r="I64" s="3">
        <f>1355.1+(253.1-393.5)+(-2.073303+(-0.387243--0.602055))+0-122.1--0.186813000000007</f>
        <v>1090.928322</v>
      </c>
      <c r="J64" s="3">
        <f>1319.5+(234.9-361.1)+(-1.34589+(-0.239598--0.368322))+0-120.5--0.122910000000019</f>
        <v>1071.7057440000001</v>
      </c>
      <c r="K64" s="3">
        <f>1289.3+(228.6-363.9)+(-1.972629+(-0.349758--0.556767))+0-116.1--0.177633000000007</f>
        <v>1036.3120130000002</v>
      </c>
      <c r="L64" s="3">
        <f>1290.7+(301.5-482.4)+(-0.658257+(-0.153765--0.246024))+0-120.3--0.0613529999999878</f>
        <v>988.99535500000013</v>
      </c>
      <c r="M64" s="3">
        <f>1282.5+(395.2-533.4)+(-0.654075+(-0.201552--0.272034))+0-122.8--0.0626279999999875</f>
        <v>1020.979035</v>
      </c>
      <c r="N64" s="3">
        <f>1311.5+(457.6-554.7)+(-0.668865+(-0.233376--0.282897))+0-125.7--0.0641069999999872</f>
        <v>1088.144763</v>
      </c>
      <c r="O64" s="3">
        <f>1314.6+(536.8-571.2)+(-1.340892+(-0.547536--0.582624))+0-118.9--0.121278000000019</f>
        <v>1160.1154739999997</v>
      </c>
      <c r="P64" s="3">
        <f>1306.5+(525.4-485.9)+(-3.99789+(-1.607724--1.486854))+0-122.5--0.374850000000014</f>
        <v>1219.7560899999999</v>
      </c>
      <c r="Q64" s="3">
        <f>1309.7+(465.3-378.4)+(-0.667947+(-0.237303--0.192984))+0-128.8--0.0656879999999869</f>
        <v>1267.1534220000001</v>
      </c>
      <c r="R64" s="3">
        <f>1319+(509.2-361)+(-1.34538+(-0.519384--0.36822))+0-131.8--0.134436000000021</f>
        <v>1334.0378920000001</v>
      </c>
      <c r="S64" s="3">
        <f>1322.9+(553.6-429.1)+(-3.373395+(-1.41168--1.094205))+0-127.3--0.324614999999982</f>
        <v>1316.7337450000002</v>
      </c>
      <c r="T64" s="3">
        <f>1321.4+(559.7-451.2)+(0+(0-0))+0-126.9-0</f>
        <v>1303</v>
      </c>
      <c r="U64" s="3">
        <f>1302.9+(532.2-408.8)+(-1.993437+(-0.814266--0.625464))+0-125.5--0.192015000000007</f>
        <v>1298.8097760000003</v>
      </c>
      <c r="V64" s="3">
        <f>1291.4+(452.8-320.4)+(-2.634456+(-0.923712--0.653616))+0-129.4--0.263975999999994</f>
        <v>1291.7594240000001</v>
      </c>
      <c r="W64" s="3">
        <f>1280.7+(309.3-219.1)+(-3.918942+(-0.946458--0.670446))+0-132--0.403920000000015</f>
        <v>1235.108966</v>
      </c>
      <c r="X64" s="3">
        <f>1246.1+(390.8-354.2)+(-3.177555+(-0.99654--0.90321))+0-133.5--0.340424999999981</f>
        <v>1146.2695399999998</v>
      </c>
      <c r="Y64" s="3">
        <f>1228.4+(435-379.1)+(-0.626484+(-0.22185--0.193341))+0-130.8--0.0667079999999867</f>
        <v>1152.9117150000002</v>
      </c>
      <c r="Z64" s="3">
        <f>1284.1+(395.1-257.5)+(-0.654891+(-0.201501--0.131325))+0-133.5--0.0680849999999865</f>
        <v>1287.5430179999996</v>
      </c>
      <c r="AA64" s="3">
        <f>1354.1+(353.8-244.9)+(-2.071773+(-0.541314--0.374697))+0-134.8--0.206244000000008</f>
        <v>1326.167854</v>
      </c>
      <c r="AB64" s="3">
        <f>1362.9+(391-318)+(-3.475395+(-0.99705--0.8109))+0-134.3--0.342464999999981</f>
        <v>1298.2809200000002</v>
      </c>
      <c r="AC64" s="3">
        <f>1344.3+(408.3-374.3)+(-1.371186+(-0.416466--0.381786))+0-133.7--0.136374000000021</f>
        <v>1243.3305079999998</v>
      </c>
      <c r="AD64">
        <f t="shared" si="0"/>
        <v>28617.510399999999</v>
      </c>
      <c r="AE64" s="3">
        <f>1348+(397.7-283.5)+(0+(0-0))+0-132.5-0</f>
        <v>1329.7</v>
      </c>
    </row>
    <row r="65" spans="1:31" s="2" customFormat="1" x14ac:dyDescent="0.25">
      <c r="A65">
        <v>89</v>
      </c>
      <c r="B65">
        <v>3</v>
      </c>
      <c r="C65">
        <v>3</v>
      </c>
      <c r="D65">
        <v>3</v>
      </c>
      <c r="E65">
        <v>1</v>
      </c>
      <c r="F65" s="3">
        <f>1358.1+(398.9-408.4)+(-2.077893+(-0.610317--0.624852))+0-134.9--0.206397000000008</f>
        <v>1211.8430389999996</v>
      </c>
      <c r="G65" s="3">
        <f>1357.7+(359.1-428.4)+(-0.692427+(-0.183141--0.218484))+0-135--0.0688499999999863</f>
        <v>1152.811766</v>
      </c>
      <c r="H65" s="3">
        <f>1359.6+(317.6-424.9)+(-0.693396+(-0.161976--0.216699))+0-134.1--0.0683909999999864</f>
        <v>1117.6297180000001</v>
      </c>
      <c r="I65" s="3">
        <f>1361.2+(296.8-431.1)+(-1.388424+(-0.302736--0.439722))+0-133.4--0.136068000000021</f>
        <v>1092.38463</v>
      </c>
      <c r="J65" s="3">
        <f>1378.5+(307-482.1)+(-3.515175+(-0.78285--1.229355))+0-135.4--0.34526999999998</f>
        <v>1065.2765999999999</v>
      </c>
      <c r="K65" s="3">
        <f>1363.7+(242.7-426.7)+(-2.086461+(-0.371331--0.652851))+0-134.6--0.205938000000008</f>
        <v>1043.5009970000001</v>
      </c>
      <c r="L65" s="3">
        <f>1343.4+(349.6-569.5)+(-0.685134+(-0.178296--0.290445))+0-132.2--0.0674219999999866</f>
        <v>990.7944369999999</v>
      </c>
      <c r="M65" s="3">
        <f>1323.8+(426.2-582.9)+(0+(0-0))+0-136-0</f>
        <v>1031.0999999999999</v>
      </c>
      <c r="N65" s="3">
        <f>1330.1+(446.5-555.5)+(-0.678351+(-0.227715--0.283305))+0-135.2--0.0689519999999863</f>
        <v>1085.3461909999999</v>
      </c>
      <c r="O65" s="3">
        <f>1329.9+(427.2-473.9)+(-0.678249+(-0.217872--0.241689))+0-130.5--0.0665549999999868</f>
        <v>1152.1121229999999</v>
      </c>
      <c r="P65" s="3">
        <f>1312.7+(478.8-432.7)+(-0.669477+(-0.244188--0.220677))+0-128.4--0.065483999999987</f>
        <v>1229.772496</v>
      </c>
      <c r="Q65" s="3">
        <f>1324.4+(431.1-360.3)+(-1.350888+(-0.439722--0.367506))+0-111.6--0.113832000000018</f>
        <v>1282.2907280000002</v>
      </c>
      <c r="R65" s="3">
        <f>1313.2+(481.1-353.5)+(-1.339464+(-0.490722--0.36057))+0-112.9--0.115158000000018</f>
        <v>1326.5455420000001</v>
      </c>
      <c r="S65" s="3">
        <f>1317.9+(577-438.8)+(-1.344258+(-0.58854--0.447576))+0-116.9--0.119238000000019</f>
        <v>1337.834016</v>
      </c>
      <c r="T65" s="3">
        <f>1313.8+(608.1-466.2)+(0+(0-0))+0-129.2-0</f>
        <v>1326.5</v>
      </c>
      <c r="U65" s="3">
        <f>1304.9+(565-422.6)+(-1.330998+(-0.5763--0.431052))+0-128.8--0.131376000000021</f>
        <v>1317.1551300000003</v>
      </c>
      <c r="V65" s="3">
        <f>1305.5+(480.2-342.7)+(-3.99483+(-1.469412--1.048662))+0-129.3--0.395658000000015</f>
        <v>1309.6800779999999</v>
      </c>
      <c r="W65" s="3">
        <f>1301.8+(324.2-235.4)+(-2.655672+(-0.661368--0.480216))+0-131.5--0.268259999999994</f>
        <v>1256.531436</v>
      </c>
      <c r="X65" s="3">
        <f>1299.6+(398.7-383)+(-3.976776+(-1.220022--1.17198))+0-130.2--0.398412000000015</f>
        <v>1181.4735939999998</v>
      </c>
      <c r="Y65" s="3">
        <f>1310.8+(431.2-434.9)+(-3.34254+(-1.09956--1.108995))+0-128.7--0.328184999999981</f>
        <v>1175.39508</v>
      </c>
      <c r="Z65" s="3">
        <f>1329.1+(456.4-344.2)+(-2.033523+(-0.698292--0.526626))+0-134.4--0.205632000000008</f>
        <v>1304.9004429999998</v>
      </c>
      <c r="AA65" s="3">
        <f>1358.7+(416.7-308.1)+(-4.850559+(-1.487619--1.099917))+0-136.4--0.486948000000002</f>
        <v>1326.1486869999999</v>
      </c>
      <c r="AB65" s="3">
        <f>1355.9+(429.8-331.5)+(-2.766036+(-0.876792--0.67626))+0-137--0.279479999999994</f>
        <v>1314.5129119999999</v>
      </c>
      <c r="AC65" s="3">
        <f>1318+(432.7-348)+(-3.3609+(-1.103385--0.8874))+0-139--0.35444999999998</f>
        <v>1260.4775650000001</v>
      </c>
      <c r="AD65">
        <f t="shared" ref="AD65:AD128" si="1">SUM(F65:AC65)</f>
        <v>28892.017207999997</v>
      </c>
      <c r="AE65" s="3">
        <f>1340+(438.9-321.6)+(0+(0-0))+0-134-0</f>
        <v>1323.3</v>
      </c>
    </row>
    <row r="66" spans="1:31" s="2" customFormat="1" x14ac:dyDescent="0.25">
      <c r="A66">
        <v>89</v>
      </c>
      <c r="B66">
        <v>3</v>
      </c>
      <c r="C66">
        <v>4</v>
      </c>
      <c r="D66">
        <v>4</v>
      </c>
      <c r="E66">
        <v>1</v>
      </c>
      <c r="F66" s="3">
        <f>1209.6+(461-323.2)+(-1.850688+(-0.70533--0.494496))+0-137.6--0.210528000000008</f>
        <v>1207.9490060000001</v>
      </c>
      <c r="G66" s="3">
        <f>1226.7+(406.6-335.5)+(-1.876851+(-0.622098--0.513315))+0-134.4--0.205632000000008</f>
        <v>1161.6199980000001</v>
      </c>
      <c r="H66" s="3">
        <f>1246.8+(382.8-364.1)+(-1.271736+(-0.390456--0.371382))+0-134.7--0.137394000000021</f>
        <v>1129.6465840000001</v>
      </c>
      <c r="I66" s="3">
        <f>1243.1+(364.4-371.6)+(-3.803886+(-1.115064--1.137096))+0-133.7--0.409122000000015</f>
        <v>1098.8272679999998</v>
      </c>
      <c r="J66" s="3">
        <f>1252.2+(397-427.2)+(-1.277244+(-0.40494--0.435744))+0-133.3--0.135966000000021</f>
        <v>1087.5895260000002</v>
      </c>
      <c r="K66" s="3">
        <f>1264.2+(421-501)+(-3.22371+(-1.07355--1.27755))+0-132.4--0.337619999999981</f>
        <v>1049.1179099999999</v>
      </c>
      <c r="L66" s="3">
        <f>1218.4+(436.6-512.9)+(-3.10692+(-1.11333--1.307895))+0-128.8--0.328439999999981</f>
        <v>1010.7160850000002</v>
      </c>
      <c r="M66" s="3">
        <f>1217+(480.8-519.4)+(-2.48268+(-0.980832--1.059576))+0-132.8--0.270911999999994</f>
        <v>1043.4669760000002</v>
      </c>
      <c r="N66" s="3">
        <f>1303.7+(432.4-501.7)+(-1.329774+(-0.441048--0.511734))+0-130.5--0.133110000000021</f>
        <v>1102.7740220000001</v>
      </c>
      <c r="O66" s="3">
        <f>1323.6+(452.5-487.2)+(-2.025108+(-0.692325--0.745416))+0-129.8--0.198594000000008</f>
        <v>1157.3265769999998</v>
      </c>
      <c r="P66" s="3">
        <f>1316.4+(470-425.5)+(-0.671364+(-0.2397--0.217005))+0-126.3--0.0644129999999872</f>
        <v>1233.9703540000003</v>
      </c>
      <c r="Q66" s="3">
        <f>1330.5+(476-468)+(-0.678555+(-0.24276--0.23868))+0-124--0.0632399999999874</f>
        <v>1213.8806050000001</v>
      </c>
      <c r="R66" s="3">
        <f>1311.9+(511.3-350.9)+(-1.338138+(-0.521526--0.357918))+0-128.6--0.13117200000002</f>
        <v>1342.3294260000005</v>
      </c>
      <c r="S66" s="3">
        <f>1282+(684.5-492.1)+(-1.30764+(-0.69819--0.501942))+0-127.1--0.12964200000002</f>
        <v>1345.9257540000003</v>
      </c>
      <c r="T66" s="3">
        <f>1265.3+(703.9-487.7)+(-1.935909+(-1.076967--0.746181))+0-131.9--0.201807000000008</f>
        <v>1347.5351119999998</v>
      </c>
      <c r="U66" s="3">
        <f>1258.6+(627.8-417.6)+(0.641886+(0.320178-0.212976))+0-129.6-0.0660959999999868</f>
        <v>1339.8829919999998</v>
      </c>
      <c r="V66" s="3">
        <f>1256.8+(466.4-294.8)+(0.640968+(0.237864-0.150348))+0-129.8-0.0661979999999868</f>
        <v>1299.2622859999999</v>
      </c>
      <c r="W66" s="3">
        <f>1261.2+(380.3-259.5)+(-2.572848+(-0.775812--0.52938))+0-131.1--0.267443999999994</f>
        <v>1248.3481640000002</v>
      </c>
      <c r="X66" s="3">
        <f>1270.2+(435.7-397.6)+(-3.886812+(-1.333242--1.216656))+0-133.7--0.409122000000015</f>
        <v>1171.0057239999999</v>
      </c>
      <c r="Y66" s="3">
        <f>1286.7+(437.3-429.9)+(-3.281085+(-1.115115--1.096245))+0-126.2--0.321809999999982</f>
        <v>1164.9218550000001</v>
      </c>
      <c r="Z66" s="3">
        <f>1304.2+(469.9-328.5)+(-3.990852+(-1.437894--1.00521))+0-132.2--0.404532000000015</f>
        <v>1309.3809959999999</v>
      </c>
      <c r="AA66" s="3">
        <f>1328.6+(439.2-295.7)+(-5.420688+(-1.791936--1.206456))+0-134.2--0.547535999999988</f>
        <v>1332.441368</v>
      </c>
      <c r="AB66" s="3">
        <f>1315.9+(464.8-336.6)+(-0.671109+(-0.237048--0.171666))+0-131.5--0.0670649999999867</f>
        <v>1311.9305740000002</v>
      </c>
      <c r="AC66" s="3">
        <f>1252.9+(489.2-354.3)+(-3.194895+(-1.24746--0.903465))+0-134.6--0.34322999999998</f>
        <v>1250.0043400000002</v>
      </c>
      <c r="AD66">
        <f t="shared" si="1"/>
        <v>28959.853502000002</v>
      </c>
      <c r="AE66" s="3">
        <f>1314+(441.6-285)+(0+(0-0))+0-130.1-0</f>
        <v>1340.5</v>
      </c>
    </row>
    <row r="67" spans="1:31" s="2" customFormat="1" x14ac:dyDescent="0.25">
      <c r="A67">
        <v>89</v>
      </c>
      <c r="B67">
        <v>3</v>
      </c>
      <c r="C67">
        <v>5</v>
      </c>
      <c r="D67">
        <v>5</v>
      </c>
      <c r="E67">
        <v>1</v>
      </c>
      <c r="F67" s="3">
        <f>1199.4+(495.9-348.6)+(-2.446776+(-1.011636--0.711144))+0-134.3--0.273971999999994</f>
        <v>1209.926704</v>
      </c>
      <c r="G67" s="3">
        <f>1218.3+(428.7-348.4)+(0.621333+(0.218637-0.177684))+0-130.8-0.0667079999999867</f>
        <v>1168.3955779999999</v>
      </c>
      <c r="H67" s="3">
        <f>1223.9+(406.7-364.7)+(-3.120945+(-1.037085--0.929985))+0-124.9--0.318494999999982</f>
        <v>1138.0904499999999</v>
      </c>
      <c r="I67" s="3">
        <f>1197+(430.2-389.7)+(-1.83141+(-0.658206--0.596241))+0-125.8--0.192474000000007</f>
        <v>1109.9990989999999</v>
      </c>
      <c r="J67" s="3">
        <f>1191.2+(424.1-402.3)+(-0.607512+(-0.216291--0.205173))+0-131.1--0.0668609999999867</f>
        <v>1081.3482310000002</v>
      </c>
      <c r="K67" s="3">
        <f>1196.3+(402.8-426)+(-3.660678+(-1.232568--1.30356))+0-131.1--0.401166000000015</f>
        <v>1038.8114800000001</v>
      </c>
      <c r="L67" s="3">
        <f>1202.4+(473.7-541.3)+(-2.452896+(-0.966348--1.104252))+0-129.6--0.264383999999994</f>
        <v>1003.149392</v>
      </c>
      <c r="M67" s="3">
        <f>1207.4+(492.4-517.9)+(-1.231548+(-0.502248--0.528258))+0-134.9--0.137598000000022</f>
        <v>1045.9320600000001</v>
      </c>
      <c r="N67" s="3">
        <f>1224.5+(487.5-469.1)+(0.624495+(0.248625-0.239241))+0-137.9-0.070328999999986</f>
        <v>1105.5635500000001</v>
      </c>
      <c r="O67" s="3">
        <f>1273.3+(459.3-430.7)+(-2.597532+(-0.936972--0.878628))+0-135.6--0.276623999999994</f>
        <v>1163.9207480000002</v>
      </c>
      <c r="P67" s="3">
        <f>1314.9+(333.3-283.6)+(0+(0-0))+0-133.1-0</f>
        <v>1231.5000000000002</v>
      </c>
      <c r="Q67" s="3">
        <f>1315.3+(384.2-261.4)+(-0.670803+(-0.195942--0.133314))+0-135.6--0.0691559999999862</f>
        <v>1301.8357249999999</v>
      </c>
      <c r="R67" s="3">
        <f>1320.2+(651.8-499.1)+(-0.673302+(-0.332418--0.254541))+0-131.8--0.0672179999999866</f>
        <v>1340.416039</v>
      </c>
      <c r="S67" s="3">
        <f>1309.9+(813.5-640.4)+(-0.668049+(-0.414885--0.326604))+0-135.2--0.0689519999999863</f>
        <v>1347.1126220000001</v>
      </c>
      <c r="T67" s="3">
        <f>1301.7+(741.9-591.1)+(-1.327734+(-0.756738--0.602922))+0-129.4--0.131988000000021</f>
        <v>1321.750438</v>
      </c>
      <c r="U67" s="3">
        <f>1284.9+(604.9-436.5)+(-0.655299+(-0.308499--0.222615))+0-128.8--0.0656879999999869</f>
        <v>1323.824505</v>
      </c>
      <c r="V67" s="3">
        <f>1192.8+(573.1-301.7)+(-1.824984+(-0.876843--0.461601))+0-134.7--0.206091000000008</f>
        <v>1327.4658650000001</v>
      </c>
      <c r="W67" s="3">
        <f>1115.8+(428.4-135.5)+(-3.983406+(-1.529388--0.483735))+0-138.6--0.494802000000002</f>
        <v>1265.5657429999999</v>
      </c>
      <c r="X67" s="3">
        <f>1161.6+(459.5-325.7)+(-4.146912+(-1.640415--1.162749))+0-129--0.460530000000002</f>
        <v>1162.235952</v>
      </c>
      <c r="Y67" s="3">
        <f>1258.1+(441.6-415.5)+(-2.566524+(-0.900864--0.84762))+0-127.4--0.259895999999994</f>
        <v>1154.4401279999997</v>
      </c>
      <c r="Z67" s="3">
        <f>1312.3+(390.6-276)+(-1.338546+(-0.398412--0.28152))+0-136.1--0.138822000000022</f>
        <v>1289.4833840000003</v>
      </c>
      <c r="AA67" s="3">
        <f>1339.1+(409.7-284.3)+(-4.097646+(-1.253682--0.869958))+0-138.5--0.423810000000016</f>
        <v>1321.94244</v>
      </c>
      <c r="AB67" s="3">
        <f>1340.3+(526.2-437.3)+(0.683553+(0.268362-0.223023))+0-139-0.0708899999999859</f>
        <v>1290.8580020000002</v>
      </c>
      <c r="AC67" s="3">
        <f>1363.6+(572.2-561.7)+(-0.695436+(-0.291822--0.286467))+0-140.5--0.0716549999999857</f>
        <v>1232.9708639999999</v>
      </c>
      <c r="AD67">
        <f t="shared" si="1"/>
        <v>28976.538998999993</v>
      </c>
      <c r="AE67" s="3">
        <f>1313+(420-310.1)+(0+(0-0))+0-137.7-0</f>
        <v>1285.2</v>
      </c>
    </row>
    <row r="68" spans="1:31" s="2" customFormat="1" x14ac:dyDescent="0.25">
      <c r="A68">
        <v>89</v>
      </c>
      <c r="B68">
        <v>3</v>
      </c>
      <c r="C68">
        <v>6</v>
      </c>
      <c r="D68">
        <v>6</v>
      </c>
      <c r="E68">
        <v>1</v>
      </c>
      <c r="F68" s="3">
        <f>1365.6+(515.8-547.7)+(-2.785824+(-1.052232--1.117308))+0-139.2--0.283967999999994</f>
        <v>1192.0632199999998</v>
      </c>
      <c r="G68" s="3">
        <f>1351.2+(431.8-497.7)+(-0.689112+(-0.220218--0.253827))+0-139.1--0.0709409999999859</f>
        <v>1145.6154380000003</v>
      </c>
      <c r="H68" s="3">
        <f>1356.3+(364.2-468.9)+(-1.383426+(-0.371484--0.478278))+0-138.7--0.141474000000022</f>
        <v>1111.7648419999998</v>
      </c>
      <c r="I68" s="3">
        <f>1364.7+(285.1-415.4)+(-4.175982+(-0.872406--1.271124))+0-137.8--0.421668000000016</f>
        <v>1093.244404</v>
      </c>
      <c r="J68" s="3">
        <f>1364.6+(253.1-398.4)+(-2.087838+(-0.387243--0.609552))+0-136--0.208080000000008</f>
        <v>1081.6425510000001</v>
      </c>
      <c r="K68" s="3">
        <f>1363.7+(219-398.4)+(-5.563896+(-0.89352--1.625472))+0-134.9--0.550391999999988</f>
        <v>1045.1184480000002</v>
      </c>
      <c r="L68" s="3">
        <f>1369.7+(231.4-458.7)+(-1.397094+(-0.236028--0.467874))+0-131.5--0.134130000000021</f>
        <v>1009.8688820000001</v>
      </c>
      <c r="M68" s="3">
        <f>1387.5+(300.7-508.5)+(0+(0-0))+0-135.4-0</f>
        <v>1044.3</v>
      </c>
      <c r="N68" s="3">
        <f>1386.1+(314.6-479.7)+(1.413822+(0.320892-0.489294))+0-139.5-0.142290000000022</f>
        <v>1082.60313</v>
      </c>
      <c r="O68" s="3">
        <f>1376.2+(357.6-442.9)+(-1.403724+(-0.364752--0.451758))+0-140.3--0.143106000000022</f>
        <v>1149.4263880000001</v>
      </c>
      <c r="P68" s="3">
        <f>1362.6+(381.1-376.7)+(-0.694926+(-0.194361--0.192117))+0-141.1--0.0719609999999857</f>
        <v>1225.2747910000001</v>
      </c>
      <c r="Q68" s="3">
        <f>1351.3+(395-310.4)+(0+(0-0))+0-142.4-0</f>
        <v>1293.5</v>
      </c>
      <c r="R68" s="3">
        <f>1331.3+(515.6-382)+(-2.036889+(-0.788868--0.58446))+0-140.5--0.214965000000008</f>
        <v>1322.3736680000002</v>
      </c>
      <c r="S68" s="3">
        <f>1309.4+(575.8-465.9)+(-1.335588+(-0.587316--0.475218))+0-139.6--0.142392000000022</f>
        <v>1278.3947060000003</v>
      </c>
      <c r="T68" s="3">
        <f>1292.9+(690.1-543.1)+(-1.318758+(-0.703902--0.553962))+0-137.1--0.139842000000022</f>
        <v>1301.4711440000003</v>
      </c>
      <c r="U68" s="3">
        <f>1283.2+(682.4-524)+(-1.308864+(-0.696048--0.53448))+0-135.7--0.138414000000022</f>
        <v>1304.5679819999998</v>
      </c>
      <c r="V68" s="3">
        <f>1281.3+(543.9-406.9)+(-0.653463+(-0.277389--0.207519))+0-136.8--0.0697679999999861</f>
        <v>1280.8464350000002</v>
      </c>
      <c r="W68" s="3">
        <f>1280.7+(338.4-251.5)+(-3.265785+(-0.86292--0.641325))+0-138.4--0.35291999999998</f>
        <v>1226.0655399999998</v>
      </c>
      <c r="X68" s="3">
        <f>1281.9+(260.3-277.2)+(-3.268845+(-0.663765--0.70686))+0-140.8--0.35903999999998</f>
        <v>1121.33329</v>
      </c>
      <c r="Y68" s="3">
        <f>1301+(280.3-332.7)+(-1.32702+(-0.285906--0.339354))+0-137.1--0.139842000000022</f>
        <v>1110.36627</v>
      </c>
      <c r="Z68" s="3">
        <f>1338.5+(311.6-243.4)+(-2.047905+(-0.476748--0.372402))+0-141.7--0.216801000000008</f>
        <v>1263.0645500000001</v>
      </c>
      <c r="AA68" s="3">
        <f>1359.2+(383.6-323.9)+(-2.079576+(-0.586908--0.495567))+0-142.4--0.217872000000008</f>
        <v>1274.546955</v>
      </c>
      <c r="AB68" s="3">
        <f>1363+(401.3-371)+(-2.78052+(-0.818652--0.75684))+0-140.7--0.287027999999994</f>
        <v>1250.0446959999999</v>
      </c>
      <c r="AC68" s="3">
        <f>1367.9+(406-428.5)+(-2.790516+(-0.82824--0.87414))+0-139.5--0.284579999999994</f>
        <v>1203.4399640000001</v>
      </c>
      <c r="AD68">
        <f t="shared" si="1"/>
        <v>28410.937293999999</v>
      </c>
      <c r="AE68" s="3">
        <f>1349+(384.4-312.4)+(0+(0-0))+0-143.8-0</f>
        <v>1277.2</v>
      </c>
    </row>
    <row r="69" spans="1:31" s="2" customFormat="1" x14ac:dyDescent="0.25">
      <c r="A69">
        <v>89</v>
      </c>
      <c r="B69">
        <v>3</v>
      </c>
      <c r="C69">
        <v>7</v>
      </c>
      <c r="D69">
        <v>7</v>
      </c>
      <c r="E69">
        <v>1</v>
      </c>
      <c r="F69" s="3">
        <f>1367.5+(365.5-421.7)+(2.7897+(0.74562-0.860268))+0-139.5-0.284579999999994</f>
        <v>1174.190472</v>
      </c>
      <c r="G69" s="3">
        <f>1279.3+(444.4-446.7)+(1.304886+(0.453288-0.455634))+0-140-0.142800000000022</f>
        <v>1138.1597399999998</v>
      </c>
      <c r="H69" s="3">
        <f>1196.1+(453-408.9)+(1.220022+(0.46206-0.417078))+0-140.8-0.143616000000022</f>
        <v>1100.5213879999999</v>
      </c>
      <c r="I69" s="3">
        <f>1178.2+(425.1-382.5)+(0+(0-0))+0-138.8-0</f>
        <v>1082.0000000000002</v>
      </c>
      <c r="J69" s="3">
        <f>1135+(363.3-302.1)+(1.1577+(0.370566-0.308142))+0-134.7-0.137394000000021</f>
        <v>1062.5827299999999</v>
      </c>
      <c r="K69" s="3">
        <f>1122.6+(272.5-227.5)+(-1.717578+(-0.416925--0.348075))+0-136--0.208080000000008</f>
        <v>1030.0216520000001</v>
      </c>
      <c r="L69" s="3">
        <f>1101.3+(250.3-228.8)+(-1.684989+(-0.382959--0.350064))+0-132.9--0.203337000000008</f>
        <v>988.3854530000001</v>
      </c>
      <c r="M69" s="3">
        <f>1041.3+(303.8-216.1)+(-1.062126+(-0.309876--0.220422))+0-137--0.139740000000022</f>
        <v>990.98816000000011</v>
      </c>
      <c r="N69" s="3">
        <f>983.7+(361.2-170)+(-1.505061+(-0.552636--0.2601))+0-137.2--0.209916000000008</f>
        <v>1036.1123190000001</v>
      </c>
      <c r="O69" s="3">
        <f>977.4+(404.5-154.1)+(-1.495422+(-0.618885--0.235773))+0-136.7--0.209151000000008</f>
        <v>1089.430617</v>
      </c>
      <c r="P69" s="3">
        <f>1019.5+(387-114.6)+(0+(0-0))+0-137.3-0</f>
        <v>1154.6000000000001</v>
      </c>
      <c r="Q69" s="3">
        <f>1107+(416.9-169.5)+(-0.56457+(-0.212619--0.086445))+0-138.5--0.0706349999999859</f>
        <v>1215.2798910000001</v>
      </c>
      <c r="R69" s="3">
        <f>1163.7+(518.4-297.7)+(0+(0-0))+0-138.8-0</f>
        <v>1245.6000000000001</v>
      </c>
      <c r="S69" s="3">
        <f>1158.1+(660.2-443.7)+(-0.590631+(-0.336702--0.226287))+0-138.8--0.0707879999999859</f>
        <v>1235.169742</v>
      </c>
      <c r="T69" s="3">
        <f>1139.6+(772.7-519.2)+(0+(0-0))+0-141.2-0</f>
        <v>1251.8999999999999</v>
      </c>
      <c r="U69" s="3">
        <f>1134.2+(762.5-524.7)+(0.578442+(0.388875-0.267597))+0-136.9-0.0698189999999861</f>
        <v>1235.7299009999999</v>
      </c>
      <c r="V69" s="3">
        <f>1093.4+(702.6-419.4)+(-3.345804+(-2.149956--1.283364))+0-139.8--0.427788000000016</f>
        <v>1233.0153920000002</v>
      </c>
      <c r="W69" s="3">
        <f>1098.5+(456.3-234)+(-3.36141+(-1.396278--0.71604))+0-136.3--0.417078000000016</f>
        <v>1180.8754300000001</v>
      </c>
      <c r="X69" s="3">
        <f>1112.2+(274.5-149.9)+(-2.268888+(-0.55998--0.305796))+0-133.1--0.271523999999994</f>
        <v>1101.4484520000001</v>
      </c>
      <c r="Y69" s="3">
        <f>1130.3+(359-261)+(-1.729359+(-0.54927--0.39933))+0-134.7--0.206091000000008</f>
        <v>1091.926792</v>
      </c>
      <c r="Z69" s="3">
        <f>1136.9+(486.7-248.3)+(-1.739457+(-0.744651--0.379899))+0-137.8--0.210834000000008</f>
        <v>1235.6066250000001</v>
      </c>
      <c r="AA69" s="3">
        <f>1167.7+(581-328.1)+(-1.191054+(-0.59262--0.334662))+0-140.4--0.143208000000022</f>
        <v>1278.8941959999997</v>
      </c>
      <c r="AB69" s="3">
        <f>1173.7+(614.6-388.8)+(-1.197174+(-0.626892--0.396576))+0-138--0.140760000000022</f>
        <v>1260.21327</v>
      </c>
      <c r="AC69" s="3">
        <f>1173.1+(601.1-428.4)+(-2.393124+(-1.226244--0.873936))+0-137.1--0.279683999999994</f>
        <v>1206.2342520000002</v>
      </c>
      <c r="AD69">
        <f t="shared" si="1"/>
        <v>27618.886473999999</v>
      </c>
      <c r="AE69" s="3">
        <f>1160+(581.8-385.3)+(0+(0-0))+0-141.8-0</f>
        <v>1214.7</v>
      </c>
    </row>
    <row r="70" spans="1:31" s="2" customFormat="1" x14ac:dyDescent="0.25">
      <c r="A70">
        <v>89</v>
      </c>
      <c r="B70">
        <v>3</v>
      </c>
      <c r="C70">
        <v>8</v>
      </c>
      <c r="D70">
        <v>1</v>
      </c>
      <c r="E70">
        <v>1</v>
      </c>
      <c r="F70" s="3">
        <f>1176.3+(574.4-436.1)+(-1.799739+(-0.878832--0.667233))+0-140.1--0.214353000000008</f>
        <v>1172.7030150000001</v>
      </c>
      <c r="G70" s="3">
        <f>1171.6+(502.4-410.3)+(-4.182612+(-1.793568--1.464771))+0-133.5--0.476595000000002</f>
        <v>1126.1651859999999</v>
      </c>
      <c r="H70" s="3">
        <f>1179.2+(430.8-382.6)+(-2.405568+(-0.878832--0.780504))+0-134.5--0.274379999999994</f>
        <v>1090.6704840000002</v>
      </c>
      <c r="I70" s="3">
        <f>1181.9+(366.8-345.5)+(-0.602769+(-0.187068--0.176205))+0-134.5--0.0685949999999864</f>
        <v>1068.154963</v>
      </c>
      <c r="J70" s="3">
        <f>1188.8+(323.9-321.3)+(0+(0-0))+0-134.9-0</f>
        <v>1056.4999999999998</v>
      </c>
      <c r="K70" s="3">
        <f>1166.7+(263.8-266.1)+(-2.975085+(-0.67269--0.678555))+0-133--0.339149999999981</f>
        <v>1028.7699300000002</v>
      </c>
      <c r="L70" s="3">
        <f>1110.5+(328.9-302.5)+(-0.566355+(-0.167739--0.154275))+0-134.4--0.0685439999999864</f>
        <v>1001.988725</v>
      </c>
      <c r="M70" s="3">
        <f>1100.1+(364.5-288.9)+(0+(0-0))+0-137.7-0</f>
        <v>1037.9999999999998</v>
      </c>
      <c r="N70" s="3">
        <f>1173.4+(410.9-357.8)+(-1.795302+(-0.628677--0.547434))+0-132.2--0.202266000000008</f>
        <v>1092.6257209999999</v>
      </c>
      <c r="O70" s="3">
        <f>1165.2+(461-346.7)+(-0.594252+(-0.23511--0.176817))+0-129.8--0.0661979999999868</f>
        <v>1149.1136530000001</v>
      </c>
      <c r="P70" s="3">
        <f>1157.8+(522.9-354.4)+(0+(0-0))+0-131.4-0</f>
        <v>1194.8999999999999</v>
      </c>
      <c r="Q70" s="3">
        <f>1142.3+(562.8-304.3)+(-0.582573+(-0.287028--0.155193))+0-121.9--0.0621689999999876</f>
        <v>1278.2477609999999</v>
      </c>
      <c r="R70" s="3">
        <f>1197.9+(545-267.3)+(0+(0-0))+0-110.4-0</f>
        <v>1365.2</v>
      </c>
      <c r="S70" s="3">
        <f>1217.9+(608.3-383.3)+(0.621129+(0.310233-0.195483))+0-107.4-0.0547739999999891</f>
        <v>1336.1811050000001</v>
      </c>
      <c r="T70" s="3">
        <f>1207.1+(626-399.2)+(0+(0-0))+0-108.6-0</f>
        <v>1325.3</v>
      </c>
      <c r="U70" s="3">
        <f>1203+(566.7-341.4)+(-0.61353+(-0.289017--0.174114))+0-106.8--0.0544679999999892</f>
        <v>1320.8260350000003</v>
      </c>
      <c r="V70" s="3">
        <f>1167.3+(498.3-244)+(-1.785969+(-0.762399--0.37332))+0-112.1--0.171513000000006</f>
        <v>1307.4964649999999</v>
      </c>
      <c r="W70" s="3">
        <f>1153.1+(372.2-164.8)+(-4.116567+(-1.328754--0.588336))+0-113.4--0.404838000000002</f>
        <v>1242.6478529999999</v>
      </c>
      <c r="X70" s="3">
        <f>1161.7+(410.4-300.4)+(-2.962335+(-1.04652--0.76602))+0-111.5--0.284324999999984</f>
        <v>1157.2414900000001</v>
      </c>
      <c r="Y70" s="3">
        <f>1169.6+(492.7-394.8)+(-0.596496+(-0.251277--0.201348))+0-115.7--0.0590069999999883</f>
        <v>1151.2125820000001</v>
      </c>
      <c r="Z70" s="3">
        <f>1229.4+(494.2-289.4)+(-0.626994+(-0.252042--0.147594))+0-137.4--0.0700739999999861</f>
        <v>1296.1386319999999</v>
      </c>
      <c r="AA70" s="3">
        <f>1298.5+(416.9-266.5)+(-1.32447+(-0.425238--0.27183))+0-137.3--0.140046000000022</f>
        <v>1310.2621680000002</v>
      </c>
      <c r="AB70" s="3">
        <f>1303.5+(426.5-296.4)+(-3.323925+(-1.087575--0.75582))+0-134.7--0.34348499999998</f>
        <v>1295.5878049999997</v>
      </c>
      <c r="AC70" s="3">
        <f>1315.7+(381.5-324.5)+(-2.684028+(-0.77826--0.66198))+0-133.2--0.271727999999994</f>
        <v>1236.9714199999999</v>
      </c>
      <c r="AD70">
        <f t="shared" si="1"/>
        <v>28642.904993000004</v>
      </c>
      <c r="AE70" s="3">
        <f>1294+(424.2-262.7)+(0+(0-0))+0-137-0</f>
        <v>1318.5</v>
      </c>
    </row>
    <row r="71" spans="1:31" s="2" customFormat="1" x14ac:dyDescent="0.25">
      <c r="A71">
        <v>89</v>
      </c>
      <c r="B71">
        <v>3</v>
      </c>
      <c r="C71">
        <v>9</v>
      </c>
      <c r="D71">
        <v>2</v>
      </c>
      <c r="E71">
        <v>1</v>
      </c>
      <c r="F71" s="3">
        <f>1324+(350.6-353.2)+(-2.02572+(-0.536418--0.540396))+0-130.5--0.199665000000008</f>
        <v>1189.0779230000003</v>
      </c>
      <c r="G71" s="3">
        <f>1336.5+(357.5-411.5)+(-1.36323+(-0.36465--0.41973))+0-129.3--0.131886000000021</f>
        <v>1152.0237360000001</v>
      </c>
      <c r="H71" s="3">
        <f>1339.3+(369.7-461.9)+(-0.683043+(-0.188547--0.235569))+0-129.3--0.0659429999999869</f>
        <v>1117.229922</v>
      </c>
      <c r="I71" s="3">
        <f>1336+(315.8-429.1)+(-2.72544+(-0.644232--0.875364))+0-126.8--0.258671999999994</f>
        <v>1093.664364</v>
      </c>
      <c r="J71" s="3">
        <f>1351.2+(255.7-396.8)+(-0.689112+(-0.130407--0.202368))+0-128--0.065279999999987</f>
        <v>1081.548129</v>
      </c>
      <c r="K71" s="3">
        <f>1355.1+(325.4-503.8)+(-2.073303+(-0.497862--0.770814))+0-126.8--0.194004000000007</f>
        <v>1048.2936529999997</v>
      </c>
      <c r="L71" s="3">
        <f>1327.6+(497.6-690.3)+(-2.708304+(-1.015104--1.408212))+0-124.9--0.254795999999995</f>
        <v>1007.9396</v>
      </c>
      <c r="M71" s="3">
        <f>1312.1+(554.9-676)+(0+(0-0))+0-128.5-0</f>
        <v>1062.5</v>
      </c>
      <c r="N71" s="3">
        <f>1346+(539.9-630.7)+(0.68646+(0.275349-0.321657))+0-132.2-0.0674219999999866</f>
        <v>1123.5727299999996</v>
      </c>
      <c r="O71" s="3">
        <f>1360.3+(559.6-604.8)+(-0.693753+(-0.285396--0.308448))+0-128.3--0.065432999999987</f>
        <v>1186.1947319999999</v>
      </c>
      <c r="P71" s="3">
        <f>1344.9+(615.3-574.7)+(0.685899+(0.313803-0.293097))+0-129.5-0.0660449999999869</f>
        <v>1256.6405600000001</v>
      </c>
      <c r="Q71" s="3">
        <f>1331.1+(602-487.5)+(0+(0-0))+0-130.7-0</f>
        <v>1314.8999999999999</v>
      </c>
      <c r="R71" s="3">
        <f>1321.6+(471.9-332.2)+(-1.348032+(-0.481338--0.338844))+0-129--0.131580000000021</f>
        <v>1330.9410539999999</v>
      </c>
      <c r="S71" s="3">
        <f>1324.8+(468.3-330.6)+(-1.351296+(-0.477666--0.337212))+0-129--0.131580000000021</f>
        <v>1332.1398300000001</v>
      </c>
      <c r="T71" s="3">
        <f>1314.5+(453-351.9)+(0+(0-0))+0-126.7-0</f>
        <v>1288.8999999999999</v>
      </c>
      <c r="U71" s="3">
        <f>1303.4+(450.1-330.4)+(0.664734+(0.229551-0.168504))+0-127.4-0.0649739999999871</f>
        <v>1296.3608070000002</v>
      </c>
      <c r="V71" s="3">
        <f>1305.5+(402-275.6)+(-1.997415+(-0.61506--0.421668))+0-128.7--0.196911000000007</f>
        <v>1301.2061040000001</v>
      </c>
      <c r="W71" s="3">
        <f>1287.7+(409.4-321.5)+(-1.970181+(-0.626382--0.491895))+0-130.7--0.199971000000008</f>
        <v>1242.9953029999999</v>
      </c>
      <c r="X71" s="3">
        <f>1272.8+(537.3-502.6)+(-5.193024+(-2.192184--2.050608))+0-124.5--0.507959999999989</f>
        <v>1178.17336</v>
      </c>
      <c r="Y71" s="3">
        <f>1312.3+(522-536.6)+(-0.669273+(-0.26622--0.273666))+0-119.9--0.0611489999999878</f>
        <v>1177.1993219999997</v>
      </c>
      <c r="Z71" s="3">
        <f>1317.2+(539.4-423.8)+(0+(0-0))+0-126.4-0</f>
        <v>1306.3999999999999</v>
      </c>
      <c r="AA71" s="3">
        <f>1334.7+(507.4-374.9)+(-2.042091+(-0.776322--0.573597))+0-132.1--0.202113000000008</f>
        <v>1333.0572970000003</v>
      </c>
      <c r="AB71" s="3">
        <f>1345.7+(437.5-351.9)+(-2.058921+(-0.669375--0.538407))+0-126.2--0.193086000000007</f>
        <v>1303.1031970000001</v>
      </c>
      <c r="AC71" s="3">
        <f>1338.6+(377.2-350.4)+(-3.41343+(-0.96186--0.89352))+0-124.6--0.317729999999982</f>
        <v>1237.6359599999998</v>
      </c>
      <c r="AD71">
        <f t="shared" si="1"/>
        <v>28961.697583000005</v>
      </c>
      <c r="AE71" s="3">
        <f>1329+(539-383)+(0+(0-0))+0-132.5-0</f>
        <v>1352.5</v>
      </c>
    </row>
    <row r="72" spans="1:31" s="2" customFormat="1" x14ac:dyDescent="0.25">
      <c r="A72">
        <v>89</v>
      </c>
      <c r="B72">
        <v>3</v>
      </c>
      <c r="C72">
        <v>10</v>
      </c>
      <c r="D72">
        <v>3</v>
      </c>
      <c r="E72">
        <v>1</v>
      </c>
      <c r="F72" s="3">
        <f>1345.9+(336.7-370.6)+(-0.686409+(-0.171717--0.189006))+0-124.3--0.0633929999999874</f>
        <v>1187.0942729999999</v>
      </c>
      <c r="G72" s="3">
        <f>1346.4+(354.7-430)+(-1.373328+(-0.361794--0.4386))+0-125.3--0.12780600000002</f>
        <v>1144.6312840000001</v>
      </c>
      <c r="H72" s="3">
        <f>1348+(372.9-493)+(0+(0-0))+0-126.5-0</f>
        <v>1101.4000000000001</v>
      </c>
      <c r="I72" s="3">
        <f>1346.9+(348.6-496.1)+(-2.060757+(-0.533358--0.759033))+0-122--0.186660000000007</f>
        <v>1075.7515780000001</v>
      </c>
      <c r="J72" s="3">
        <f>1348.5+(310.2-477.3)+(-2.063205+(-0.474606--0.730269))+0-116.6--0.178398000000007</f>
        <v>1063.1708560000002</v>
      </c>
      <c r="K72" s="3">
        <f>1307.4+(350.4-509.6)+(-1.333548+(-0.357408--0.519792))+0-110.9--0.113118000000018</f>
        <v>1036.2419539999999</v>
      </c>
      <c r="L72" s="3">
        <f>1305.8+(495.2-682.8)+(0+(0-0))+0-110.9-0</f>
        <v>1007.3000000000001</v>
      </c>
      <c r="M72" s="3">
        <f>1311.4+(578.8-728)+(0.668814+(0.295188-0.37128))+0-115.6-0.0589559999999883</f>
        <v>1047.1337660000002</v>
      </c>
      <c r="N72" s="3">
        <f>1315.1+(556.3-645.4)+(1.341402+(0.567426-0.658308))+0-123.2-0.12566400000002</f>
        <v>1103.9248560000001</v>
      </c>
      <c r="O72" s="3">
        <f>1346.5+(547.6-612.5)+(0+(0-0))+0-122.5-0</f>
        <v>1159.0999999999999</v>
      </c>
      <c r="P72" s="3">
        <f>1343.5+(516.3-503.6)+(0.685185+(0.263313-0.256836))+0-122.5-0.0624749999999876</f>
        <v>1234.3291869999998</v>
      </c>
      <c r="Q72" s="3">
        <f>1318.3+(481.5-397.5)+(0.672333+(0.245565-0.202725))+0-123.8-0.0631379999999874</f>
        <v>1279.1520350000001</v>
      </c>
      <c r="R72" s="3">
        <f>1306.5+(425.6-309.3)+(-1.33263+(-0.434112--0.315486))+0-123.6--0.12607200000002</f>
        <v>1297.874816</v>
      </c>
      <c r="S72" s="3">
        <f>1309.3+(502.6-384.2)+(-1.335486+(-0.512652--0.391884))+0-124.7--0.12719400000002</f>
        <v>1301.67094</v>
      </c>
      <c r="T72" s="3">
        <f>1304.7+(540.6-405.2)+(-0.665397+(-0.275706--0.206652))+0-125.8--0.0641579999999872</f>
        <v>1313.6297070000001</v>
      </c>
      <c r="U72" s="3">
        <f>1294.9+(515.6-366.7)+(-1.320798+(-0.525912--0.374034))+0-122.6--0.12505200000002</f>
        <v>1319.8523760000003</v>
      </c>
      <c r="V72" s="3">
        <f>1281.7+(423-266.9)+(-2.614668+(-0.86292--0.544476))+0-123--0.250919999999995</f>
        <v>1312.1178080000002</v>
      </c>
      <c r="W72" s="3">
        <f>1260+(374.8-260.2)+(-3.8556+(-1.146888--0.796212))+0-129.9--0.397494000000015</f>
        <v>1240.891218</v>
      </c>
      <c r="X72" s="3">
        <f>1252.1+(504-458.6)+(-3.192855+(-1.2852--1.16943))+0-132.8--0.338639999999981</f>
        <v>1161.7300150000001</v>
      </c>
      <c r="Y72" s="3">
        <f>1250+(490.8-457.2)+(-1.275+(-0.500616--0.466344))+0-132.3--0.134946000000021</f>
        <v>1150.1256740000001</v>
      </c>
      <c r="Z72" s="3">
        <f>1306+(426.3-310)+(-1.33212+(-0.434826--0.3162))+0-135.4--0.138108000000022</f>
        <v>1285.587362</v>
      </c>
      <c r="AA72" s="3">
        <f>1333.5+(425.8-315.9)+(-0.680085+(-0.217158--0.161109))+0-134.7--0.0686969999999863</f>
        <v>1308.032563</v>
      </c>
      <c r="AB72" s="3">
        <f>1354.8+(395.3-324.9)+(-1.381896+(-0.403206--0.331398))+0-132.3--0.134946000000021</f>
        <v>1291.5812420000002</v>
      </c>
      <c r="AC72" s="3">
        <f>1349.6+(381.7-364.3)+(-2.064888+(-0.584001--0.557379))+0-133--0.203490000000008</f>
        <v>1232.1119800000001</v>
      </c>
      <c r="AD72">
        <f t="shared" si="1"/>
        <v>28654.43549</v>
      </c>
      <c r="AE72" s="3">
        <f>1347+(423.1-300.7)+(0+(0-0))+0-134.2-0</f>
        <v>1335.2</v>
      </c>
    </row>
    <row r="73" spans="1:31" s="2" customFormat="1" x14ac:dyDescent="0.25">
      <c r="A73">
        <v>89</v>
      </c>
      <c r="B73">
        <v>3</v>
      </c>
      <c r="C73">
        <v>11</v>
      </c>
      <c r="D73">
        <v>4</v>
      </c>
      <c r="E73">
        <v>1</v>
      </c>
      <c r="F73" s="3">
        <f>1349.4+(323.9-361.7)+(-3.44097+(-0.825945--0.922335))+0-128.9--0.328694999999981</f>
        <v>1179.684115</v>
      </c>
      <c r="G73" s="3">
        <f>1363.9+(273.3-369.2)+(-2.086767+(-0.418149--0.564876))+0-129.6--0.198288000000007</f>
        <v>1136.6582480000002</v>
      </c>
      <c r="H73" s="3">
        <f>1374.8+(246-385.8)+(-2.103444+(-0.37638--0.590274))+0-131.3--0.200889000000008</f>
        <v>1102.0113389999999</v>
      </c>
      <c r="I73" s="3">
        <f>1375+(319-481.4)+(0+(0-0))+0-131.8-0</f>
        <v>1080.8</v>
      </c>
      <c r="J73" s="3">
        <f>1343.5+(337.9-482.3)+(0.685185+(0.172329-0.245973))+0-130.5-0.0665549999999868</f>
        <v>1069.144986</v>
      </c>
      <c r="K73" s="3">
        <f>1344.7+(305-494.8)+(-4.114782+(-0.9333--1.514088))+0-129.3--0.395658000000015</f>
        <v>1022.4616640000003</v>
      </c>
      <c r="L73" s="3">
        <f>1310.2+(425.1-625.1)+(-0.668202+(-0.216801--0.318801))+0-126.9--0.0647189999999871</f>
        <v>982.79851700000006</v>
      </c>
      <c r="M73" s="3">
        <f>1299.8+(506.3-655.8)+(-2.651592+(-1.032852--1.337832))+0-130.5--0.266219999999994</f>
        <v>1017.7196079999999</v>
      </c>
      <c r="N73" s="3">
        <f>1323.4+(498.3-630.4)+(0.674934+(0.254133-0.321504))+0-125.8-0.0641579999999872</f>
        <v>1066.0434050000003</v>
      </c>
      <c r="O73" s="3">
        <f>1364.1+(499.9-623.7)+(0.695691+(0.254949-0.318087))+0-118.8-0.060587999999988</f>
        <v>1122.0719649999996</v>
      </c>
      <c r="P73" s="3">
        <f>1351.1+(515.4-560)+(-1.378122+(-0.525708--0.5712))+0-119.4--0.121788000000019</f>
        <v>1185.8891579999997</v>
      </c>
      <c r="Q73" s="3">
        <f>1340.1+(490.1-458.8)+(-0.683451+(-0.249951--0.233988))+0-118--0.060179999999988</f>
        <v>1252.7607659999999</v>
      </c>
      <c r="R73" s="3">
        <f>1322.3+(475.3-373.7)+(0.674373+(0.242403-0.190587))+0-111.9-0.0570689999999887</f>
        <v>1312.66912</v>
      </c>
      <c r="S73" s="3">
        <f>1309.2+(540.3-409.4)+(-0.667692+(-0.275553--0.208794))+0-113.5--0.0578849999999885</f>
        <v>1325.9234339999998</v>
      </c>
      <c r="T73" s="3">
        <f>1296.5+(537-396.3)+(1.32243+(0.54774-0.404226))+0-118.4-0.120768000000019</f>
        <v>1320.145176</v>
      </c>
      <c r="U73" s="3">
        <f>1291.5+(480.2-324.4)+(-1.975995+(-0.734706--0.496332))+0-134.1--0.205173000000008</f>
        <v>1311.1908040000001</v>
      </c>
      <c r="V73" s="3">
        <f>1290.5+(349.9-203.8)+(-1.31631+(-0.356898--0.207876))+0-138.5--0.141270000000022</f>
        <v>1296.775938</v>
      </c>
      <c r="W73" s="3">
        <f>1302.3+(420.1-345.9)+(-3.320865+(-1.071255--0.882045))+0-137.4--0.35036999999998</f>
        <v>1235.9402949999999</v>
      </c>
      <c r="X73" s="3">
        <f>1307.6+(537.3-550.7)+(-3.33438+(-1.370115--1.404285))+0-134.1--0.341954999999981</f>
        <v>1157.1417449999997</v>
      </c>
      <c r="Y73" s="3">
        <f>1306.8+(534.9-563)+(-0.666468+(-0.272799--0.28713))+0-131.9--0.0672689999999866</f>
        <v>1146.2151319999996</v>
      </c>
      <c r="Z73" s="3">
        <f>1323.1+(459.8-353.6)+(-1.349562+(-0.468996--0.360672))+0-131.6--0.134232000000021</f>
        <v>1296.3763460000002</v>
      </c>
      <c r="AA73" s="3">
        <f>1221.9+(483.3-264.9)+(-0.623169+(-0.246483--0.135099))+0-134.1--0.0683909999999864</f>
        <v>1305.5338380000003</v>
      </c>
      <c r="AB73" s="3">
        <f>1158.1+(491.7-234.1)+(-0.590631+(-0.250767--0.119391))+0-134.1--0.0683909999999864</f>
        <v>1280.9463839999999</v>
      </c>
      <c r="AC73" s="3">
        <f>1158.4+(476.8-269.1)+(-2.363136+(-0.972672--0.548964))+0-132.6--0.270503999999994</f>
        <v>1230.9836600000003</v>
      </c>
      <c r="AD73">
        <f t="shared" si="1"/>
        <v>28437.885643000005</v>
      </c>
      <c r="AE73" s="3">
        <f>1336+(443.4-326.5)+(0+(0-0))+0-133.8-0</f>
        <v>1319.1000000000001</v>
      </c>
    </row>
    <row r="74" spans="1:31" s="2" customFormat="1" x14ac:dyDescent="0.25">
      <c r="A74">
        <v>89</v>
      </c>
      <c r="B74">
        <v>3</v>
      </c>
      <c r="C74">
        <v>12</v>
      </c>
      <c r="D74">
        <v>5</v>
      </c>
      <c r="E74">
        <v>1</v>
      </c>
      <c r="F74" s="3">
        <f>1162.8+(474-314.6)+(-0.593028+(-0.24174--0.160446))+0-132.8--0.0677279999999865</f>
        <v>1188.7934059999998</v>
      </c>
      <c r="G74" s="3">
        <f>1173.8+(417.7-322.7)+(-1.197276+(-0.426054--0.329154))+0-130.8--0.133416000000021</f>
        <v>1136.83924</v>
      </c>
      <c r="H74" s="3">
        <f>1120.3+(428.6-327.5)+(-0.571353+(-0.218586--0.167025))+0-127.1--0.0648209999999871</f>
        <v>1093.7419070000001</v>
      </c>
      <c r="I74" s="3">
        <f>1106.9+(441.6-346.1)+(-2.258076+(-0.900864--0.706044))+0-128.1--0.261323999999994</f>
        <v>1072.1084280000002</v>
      </c>
      <c r="J74" s="3">
        <f>1112.4+(444.9-378.5)+(0.567324+(0.226899-0.193035))+0-123.5-0.0629849999999875</f>
        <v>1055.8382030000002</v>
      </c>
      <c r="K74" s="3">
        <f>1127.1+(442.4-437.4)+(-2.299284+(-0.902496--0.892296))+0-123--0.250919999999995</f>
        <v>1007.0414359999997</v>
      </c>
      <c r="L74" s="3">
        <f>1128.5+(436.2-464.8)+(-2.30214+(-0.889848--0.948192))+0-120.3--0.245411999999995</f>
        <v>977.60161600000015</v>
      </c>
      <c r="M74" s="3">
        <f>1131.5+(523.5-520)+(0.577065+(0.266985-0.2652))+0-124.3-0.0633929999999874</f>
        <v>1011.2154570000001</v>
      </c>
      <c r="N74" s="3">
        <f>1162.5+(554.6-514)+(-1.778625+(-0.848538--0.78642))+0-128--0.195840000000007</f>
        <v>1073.455097</v>
      </c>
      <c r="O74" s="3">
        <f>1188.7+(597-506.1)+(-1.212474+(-0.60894--0.516222))+0-125.6--0.12811200000002</f>
        <v>1152.8229200000001</v>
      </c>
      <c r="P74" s="3">
        <f>1167.9+(629.6-437.3)+(0+(0-0))+0-124.1-0</f>
        <v>1236.1000000000001</v>
      </c>
      <c r="Q74" s="3">
        <f>1166+(635.9-455.4)+(0.59466+(0.324309-0.232254))+0-126.8-0.0646679999999871</f>
        <v>1220.3220470000001</v>
      </c>
      <c r="R74" s="3">
        <f>1155.3+(570.8-279.1)+(1.178406+(0.582216-0.284682))+0-122.6-0.12505200000002</f>
        <v>1325.750888</v>
      </c>
      <c r="S74" s="3">
        <f>1144.4+(618.1-293.6)+(-0.583644+(-0.315231--0.149736))+0-123.4--0.0629339999999875</f>
        <v>1344.813795</v>
      </c>
      <c r="T74" s="3">
        <f>1134.6+(560.7-253.4)+(-1.735938+(-0.857871--0.387702))+0-124.5--0.190485000000007</f>
        <v>1315.3843780000002</v>
      </c>
      <c r="U74" s="3">
        <f>1132.6+(481.6-180.1)+(0+(0-0))+0-121.5-0</f>
        <v>1312.6</v>
      </c>
      <c r="V74" s="3">
        <f>1134.2+(354.8-122.6)+(-0.578442+(-0.180948--0.062526))+0-125.4--0.0639539999999873</f>
        <v>1240.36709</v>
      </c>
      <c r="W74" s="3">
        <f>1131.5+(451.3-310.8)+(-1.15413+(-0.460326--0.317016))+0-123.1--0.12556200000002</f>
        <v>1147.728122</v>
      </c>
      <c r="X74" s="3">
        <f>1137.6+(594.7-496.7)+(-1.740528+(-0.909891--0.759951))+0-123.1--0.188343000000007</f>
        <v>1110.797875</v>
      </c>
      <c r="Y74" s="3">
        <f>1106.4+(568.4-434.3)+(0+(0-0))+0-120.9-0</f>
        <v>1119.5999999999999</v>
      </c>
      <c r="Z74" s="3">
        <f>1136.8+(422.4-188.5)+(0+(0-0))+0-123.1-0</f>
        <v>1247.5999999999999</v>
      </c>
      <c r="AA74" s="3">
        <f>1172+(417.4-183.4)+(-1.19544+(-0.425748--0.187068))+0-121.9--0.124338000000019</f>
        <v>1282.7902180000001</v>
      </c>
      <c r="AB74" s="3">
        <f>1180.6+(426.5-216.8)+(-1.204212+(-0.43503--0.221136))+0-118.8--0.121176000000019</f>
        <v>1270.20307</v>
      </c>
      <c r="AC74" s="3">
        <f>1184.2+(423.6-277.4)+(-1.811826+(-0.648108--0.424422))+0-119.2--0.182376000000007</f>
        <v>1209.3468640000001</v>
      </c>
      <c r="AD74">
        <f t="shared" si="1"/>
        <v>28152.862056999995</v>
      </c>
      <c r="AE74" s="3">
        <f>1177+(420.2-182.9)+(0+(0-0))+0-122.6-0</f>
        <v>1291.7</v>
      </c>
    </row>
    <row r="75" spans="1:31" s="2" customFormat="1" x14ac:dyDescent="0.25">
      <c r="A75">
        <v>89</v>
      </c>
      <c r="B75">
        <v>3</v>
      </c>
      <c r="C75">
        <v>13</v>
      </c>
      <c r="D75">
        <v>6</v>
      </c>
      <c r="E75">
        <v>1</v>
      </c>
      <c r="F75" s="3">
        <f>1186+(544.3-446.7)+(0+(0-0))+0-117.3-0</f>
        <v>1166.3</v>
      </c>
      <c r="G75" s="3">
        <f>1194.3+(516.4-473.5)+(-0.609093+(-0.263364--0.241485))+0-115.8--0.0590579999999883</f>
        <v>1120.828086</v>
      </c>
      <c r="H75" s="3">
        <f>1204.7+(438.2-437.4)+(-1.228794+(-0.446964--0.446148))+0-111.5--0.113730000000018</f>
        <v>1092.8841199999999</v>
      </c>
      <c r="I75" s="3">
        <f>1207.9+(382.2-403.3)+(-1.232058+(-0.389844--0.411366))+0-111.3--0.113526000000018</f>
        <v>1074.4029900000003</v>
      </c>
      <c r="J75" s="3">
        <f>1217.3+(293-328.4)+(-1.241646+(-0.29886--0.334968))+0-114--0.116280000000018</f>
        <v>1066.8107420000001</v>
      </c>
      <c r="K75" s="3">
        <f>1223.7+(222.9-295.7)+(-1.248174+(-0.227358--0.301614))+0-119.1--0.121482000000019</f>
        <v>1030.7475640000002</v>
      </c>
      <c r="L75" s="3">
        <f>1132.2+(289.3-301.4)+(-0.577422+(-0.147543--0.153714))+0-117.1--0.0597209999999881</f>
        <v>1002.48847</v>
      </c>
      <c r="M75" s="3">
        <f>1129.8+(341.6-318.7)+(0+(0-0))+0-122.2-0</f>
        <v>1030.5</v>
      </c>
      <c r="N75" s="3">
        <f>1202.1+(347.7-333.1)+(1.226142+(0.354654-0.339762))+0-122.5-0.12495000000002</f>
        <v>1095.3160839999996</v>
      </c>
      <c r="O75" s="3">
        <f>1188.3+(394.5-303.9)+(-0.606033+(-0.201195--0.154989))+0-120.4--0.0614039999999878</f>
        <v>1157.909165</v>
      </c>
      <c r="P75" s="3">
        <f>1181.7+(411.8-247.8)+(0+(0-0))+0-119.8-0</f>
        <v>1225.9000000000001</v>
      </c>
      <c r="Q75" s="3">
        <f>1162.6+(406.1-160.8)+(1.185852+(0.414222-0.164016))+0-123.3-0.12576600000002</f>
        <v>1285.9102919999998</v>
      </c>
      <c r="R75" s="3">
        <f>1145.5+(539.2-241)+(0+(0-0))+0-124.1-0</f>
        <v>1319.6000000000001</v>
      </c>
      <c r="S75" s="3">
        <f>1139.3+(648.8-358.1)+(-1.162086+(-0.661776--0.365262))+0-124.5--0.12699000000002</f>
        <v>1304.16839</v>
      </c>
      <c r="T75" s="3">
        <f>1104.9+(700.3-391.3)+(-1.126998+(-0.714306--0.399126))+0-124.1--0.12658200000002</f>
        <v>1288.4844040000003</v>
      </c>
      <c r="U75" s="3">
        <f>1100.1+(638.6-333.2)+(-0.561051+(-0.325686--0.169932))+0-121.7--0.0620669999999877</f>
        <v>1283.145262</v>
      </c>
      <c r="V75" s="3">
        <f>1096.9+(519.2-223.3)+(-2.797095+(-1.32396--0.569415))+0-123.2--0.314159999999982</f>
        <v>1266.3625200000001</v>
      </c>
      <c r="W75" s="3">
        <f>1100.3+(332.8-112.9)+(-2.805765+(-0.84864--0.287895))+0-123.8--0.315689999999982</f>
        <v>1193.3491799999999</v>
      </c>
      <c r="X75" s="3">
        <f>1122+(321.9-207.2)+(-2.28888+(-0.656676--0.422688))+0-123.7--0.252347999999995</f>
        <v>1110.72948</v>
      </c>
      <c r="Y75" s="3">
        <f>1134.2+(368.7-281.6)+(0+(0-0))+0-120.4-0</f>
        <v>1100.8999999999999</v>
      </c>
      <c r="Z75" s="3">
        <f>1152.6+(372.2-157.8)+(-1.763478+(-0.569466--0.241434))+0-126--0.192780000000007</f>
        <v>1239.1012700000001</v>
      </c>
      <c r="AA75" s="3">
        <f>1162.9+(405.4-169.6)+(-1.779237+(-0.620262--0.259488))+0-127.3--0.194769000000007</f>
        <v>1269.4547580000001</v>
      </c>
      <c r="AB75" s="3">
        <f>1167.8+(431.8-225.5)+(-0.595578+(-0.220218--0.115005))+0-121.5--0.0619649999999877</f>
        <v>1251.961174</v>
      </c>
      <c r="AC75" s="3">
        <f>1163.9+(430.1-260.5)+(-1.780767+(-0.658053--0.398565))+0-118.9--0.181917000000007</f>
        <v>1212.7416620000001</v>
      </c>
      <c r="AD75">
        <f t="shared" si="1"/>
        <v>28189.995613000003</v>
      </c>
      <c r="AE75" s="3">
        <f>1168+(413-174)+(0+(0-0))+0-127-0</f>
        <v>1280</v>
      </c>
    </row>
    <row r="76" spans="1:31" s="2" customFormat="1" x14ac:dyDescent="0.25">
      <c r="A76">
        <v>89</v>
      </c>
      <c r="B76">
        <v>3</v>
      </c>
      <c r="C76">
        <v>14</v>
      </c>
      <c r="D76">
        <v>7</v>
      </c>
      <c r="E76">
        <v>4</v>
      </c>
      <c r="F76" s="3">
        <f>1181.4+(359.9-244.5)+(0+(0-0))+0-116.1-0</f>
        <v>1180.7000000000003</v>
      </c>
      <c r="G76" s="3">
        <f>1178.3+(317-243)+(-0.600933+(-0.16167--0.12393))+0-113.4--0.0578339999999885</f>
        <v>1138.3191609999999</v>
      </c>
      <c r="H76" s="3">
        <f>961.1+(451.3-195.3)+(0.980322+(0.460326-0.199206))+0-115.2-0.117504000000018</f>
        <v>1103.0239379999998</v>
      </c>
      <c r="I76" s="3">
        <f>836.9+(508.3-143.1)+(-0.853638+(-0.518466--0.145962))+0-116.3--0.118626000000019</f>
        <v>1084.6924839999999</v>
      </c>
      <c r="J76" s="3">
        <f>839.3+(446.1-100.7)+(0+(0-0))+0-115.9-0</f>
        <v>1068.8</v>
      </c>
      <c r="K76" s="3">
        <f>843.9+(350.8-60.6)+(0+(0-0))+0-114.1-0</f>
        <v>1019.9999999999999</v>
      </c>
      <c r="L76" s="3">
        <f>821.4+(331.7-63)+(0+(0-0))+0-115.7-0</f>
        <v>974.39999999999986</v>
      </c>
      <c r="M76" s="3">
        <f>832.4+(376.6-103.5)+(-1.273572+(-0.576198--0.158355))+0-118.5--0.181305000000007</f>
        <v>985.48988999999995</v>
      </c>
      <c r="N76" s="3">
        <f>834+(438-136.8)+(-0.85068+(-0.44676--0.139536))+0-121.7--0.124134000000019</f>
        <v>1012.4662300000001</v>
      </c>
      <c r="O76" s="3">
        <f>832.2+(527.1-161.9)+(-0.424422+(-0.268821--0.082569))+0-119--0.0606899999999879</f>
        <v>1077.8500160000001</v>
      </c>
      <c r="P76" s="3">
        <f>822+(547.8-125)+(0.41922+(0.279378-0.06375))+0-121.6-0.0620159999999877</f>
        <v>1123.7728319999999</v>
      </c>
      <c r="Q76" s="3">
        <f>820.2+(508.7-38.3)+(0+(0-0))+0-122.6-0</f>
        <v>1168</v>
      </c>
      <c r="R76" s="3">
        <f>833.7+(508.1-44.7)+(-0.850374+(-0.518262--0.045594))+0-125.2--0.12770400000002</f>
        <v>1170.7046620000001</v>
      </c>
      <c r="S76" s="3">
        <f>907.9+(503.9-92)+(-0.926058+(-0.513978--0.09384))+0-124.9--0.12739800000002</f>
        <v>1193.681202</v>
      </c>
      <c r="T76" s="3">
        <f>946.4+(514.4-140.8)+(-0.965328+(-0.524688--0.143616))+0-125.9--0.12841800000002</f>
        <v>1192.882018</v>
      </c>
      <c r="U76" s="3">
        <f>987+(473.4-145.4)+(-1.00674+(-0.482868--0.148308))+0-123.4--0.12586800000002</f>
        <v>1190.3845679999999</v>
      </c>
      <c r="V76" s="3">
        <f>968+(389.9-58.6)+(-0.98736+(-0.397698--0.059772))+0-124.1--0.12658200000002</f>
        <v>1174.0012960000001</v>
      </c>
      <c r="W76" s="3">
        <f>962+(381.5-96.3)+(-1.47186+(-0.583695--0.147339))+0-125.5--0.192015000000007</f>
        <v>1119.9837990000001</v>
      </c>
      <c r="X76" s="3">
        <f>970.7+(446.7-235.5)+(-0.990114+(-0.455634--0.24021))+0-126.1--0.12862200000002</f>
        <v>1054.7230840000002</v>
      </c>
      <c r="Y76" s="3">
        <f>983.3+(444.6-256.4)+(-0.501483+(-0.226746--0.130764))+0-125.2--0.0638519999999873</f>
        <v>1045.7663869999999</v>
      </c>
      <c r="Z76" s="3">
        <f>994.2+(400.2-75.6)+(-0.507042+(-0.204102--0.038556))+0-127.3--0.0649229999999871</f>
        <v>1190.8923350000002</v>
      </c>
      <c r="AA76" s="3">
        <f>1011.6+(428.8-80.5)+(-0.515916+(-0.218688--0.041055))+0-126.5--0.0645149999999872</f>
        <v>1232.770966</v>
      </c>
      <c r="AB76" s="3">
        <f>1018.6+(434.3-99.3)+(-1.558458+(-0.664479--0.151929))+0-126.1--0.192933000000007</f>
        <v>1225.6219250000001</v>
      </c>
      <c r="AC76" s="3">
        <f>1021.7+(433.2-144)+(-1.042134+(-0.441864--0.14688))+0-124.9--0.12739800000002</f>
        <v>1184.7902800000002</v>
      </c>
      <c r="AD76">
        <f t="shared" si="1"/>
        <v>26913.717073000003</v>
      </c>
      <c r="AE76" s="3">
        <f>1016+(423.1-81.2)+(0+(0-0))+0-127.8-0</f>
        <v>1230.1000000000001</v>
      </c>
    </row>
    <row r="77" spans="1:31" s="2" customFormat="1" x14ac:dyDescent="0.25">
      <c r="A77">
        <v>89</v>
      </c>
      <c r="B77">
        <v>3</v>
      </c>
      <c r="C77">
        <v>15</v>
      </c>
      <c r="D77">
        <v>1</v>
      </c>
      <c r="E77">
        <v>4</v>
      </c>
      <c r="F77" s="3">
        <f>1021.8+(364.6-116.7)+(-1.563354+(-0.557838--0.178551))+0-126.1--0.192933000000007</f>
        <v>1141.8502920000001</v>
      </c>
      <c r="G77" s="3">
        <f>1021.6+(254.5-53.2)+(0+(0-0))+0-126.9-0</f>
        <v>1096</v>
      </c>
      <c r="H77" s="3">
        <f>1008.9+(259.8-86.3)+(1.029078+(0.264996-0.088026))+0-126.5-0.12903000000002</f>
        <v>1056.977018</v>
      </c>
      <c r="I77" s="3">
        <f>1007.1+(263.6-118.8)+(-1.027242+(-0.268872--0.121176))+0-125.2--0.12770400000002</f>
        <v>1025.6527659999999</v>
      </c>
      <c r="J77" s="3">
        <f>976.9+(292.1-132.9)+(0+(0-0))+0-125.8-0</f>
        <v>1010.3</v>
      </c>
      <c r="K77" s="3">
        <f>913.1+(357.5-166.5)+(-1.862724+(-0.7293--0.33966))+0-123.3--0.251531999999995</f>
        <v>978.79916800000001</v>
      </c>
      <c r="L77" s="3">
        <f>886.3+(441.9-257.1)+(-0.904026+(-0.450738--0.262242))+0-121.5--0.123930000000019</f>
        <v>948.63140799999996</v>
      </c>
      <c r="M77" s="3">
        <f>896.9+(535.4-340.3)+(0+(0-0))+0-122.3-0</f>
        <v>969.7</v>
      </c>
      <c r="N77" s="3">
        <f>877.1+(623-365.2)+(0.447321+(0.31773-0.186252))+0-125.5-0.0640049999999873</f>
        <v>1009.914794</v>
      </c>
      <c r="O77" s="3">
        <f>872.5+(678.8-342.2)+(0.444975+(0.346188-0.174522))+0-125.6-0.0640559999999873</f>
        <v>1084.0525850000001</v>
      </c>
      <c r="P77" s="3">
        <f>879.9+(642.2-254.8)+(1.346247+(0.982566-0.389844))+0-123.7-0.189261000000007</f>
        <v>1145.349708</v>
      </c>
      <c r="Q77" s="3">
        <f>928.4+(573-187.7)+(0.946968+(0.58446-0.191454))+0-123.7-0.12617400000002</f>
        <v>1191.2138</v>
      </c>
      <c r="R77" s="3">
        <f>983.3+(461.1-117.6)+(0+(0-0))+0-124.8-0</f>
        <v>1202</v>
      </c>
      <c r="S77" s="3">
        <f>987.2+(425.1-81.5)+(-0.503472+(-0.216801--0.041565))+0-126.7--0.0646169999999871</f>
        <v>1203.4859090000002</v>
      </c>
      <c r="T77" s="3">
        <f>988.4+(459.4-98.8)+(0+(0-0))+0-129.6-0</f>
        <v>1219.4000000000001</v>
      </c>
      <c r="U77" s="3">
        <f>978.9+(471-99.5)+(-0.998478+(-0.48042--0.10149))+0-130.4--0.133008000000021</f>
        <v>1218.7556</v>
      </c>
      <c r="V77" s="3">
        <f>966.9+(437.4-74.3)+(-0.493119+(-0.223074--0.037893))+0-133.7--0.0681869999999864</f>
        <v>1195.689887</v>
      </c>
      <c r="W77" s="3">
        <f>976+(452.6-137.4)+(-2.4888+(-1.15413--0.35037))+0-134.7--0.34348499999998</f>
        <v>1153.5509249999998</v>
      </c>
      <c r="X77" s="3">
        <f>1020.2+(583.9-374.8)+(-1.560906+(-0.893367--0.573444))+0-134.8--0.206244000000008</f>
        <v>1092.825415</v>
      </c>
      <c r="Y77" s="3">
        <f>1116+(557.9-460.7)+(-3.41496+(-1.707174--1.409742))+0-132.1--0.404226000000015</f>
        <v>1077.7918340000003</v>
      </c>
      <c r="Z77" s="3">
        <f>1203.2+(446.2-290.2)+(-0.613632+(-0.227562--0.148002))+0-135.9--0.0693089999999862</f>
        <v>1222.676117</v>
      </c>
      <c r="AA77" s="3">
        <f>1246.8+(349.3-194.3)+(-3.17934+(-0.890715--0.495465))+0-134.4--0.342719999999981</f>
        <v>1264.1681299999998</v>
      </c>
      <c r="AB77" s="3">
        <f>1252.5+(291.2-163.1)+(-1.27755+(-0.297024--0.166362))+0-135.3--0.138006000000022</f>
        <v>1244.029794</v>
      </c>
      <c r="AC77" s="3">
        <f>1261.9+(239.4-176.2)+(-2.574276+(-0.488376--0.359448))+0-137.2--0.279887999999994</f>
        <v>1185.4766840000002</v>
      </c>
      <c r="AD77">
        <f t="shared" si="1"/>
        <v>26938.291833999996</v>
      </c>
      <c r="AE77" s="3">
        <f>1242+(354.6-196.4)+(0+(0-0))+0-135-0</f>
        <v>1265.2</v>
      </c>
    </row>
    <row r="78" spans="1:31" s="2" customFormat="1" x14ac:dyDescent="0.25">
      <c r="A78">
        <v>89</v>
      </c>
      <c r="B78">
        <v>3</v>
      </c>
      <c r="C78">
        <v>16</v>
      </c>
      <c r="D78">
        <v>2</v>
      </c>
      <c r="E78">
        <v>1</v>
      </c>
      <c r="F78" s="3">
        <f>1278.3+(224.4-208.8)+(-3.259665+(-0.57222--0.53244))+0-136.5--0.34807499999998</f>
        <v>1154.4486299999996</v>
      </c>
      <c r="G78" s="3">
        <f>1291.5+(209.3-250.4)+(-1.975995+(-0.320229--0.383112))+0-132.5--0.202725000000008</f>
        <v>1116.1896130000002</v>
      </c>
      <c r="H78" s="3">
        <f>1343.5+(205.5-332)+(0.685185+(0.104805-0.16932))+0-131.5-0.0670649999999867</f>
        <v>1086.0536050000001</v>
      </c>
      <c r="I78" s="3">
        <f>1340.3+(224-375.8)+(-3.417765+(-0.5712--0.95829))+0-131.3--0.334814999999981</f>
        <v>1054.50414</v>
      </c>
      <c r="J78" s="3">
        <f>1346.3+(233.1-408.4)+(0+(0-0))+0-131.3-0</f>
        <v>1039.7</v>
      </c>
      <c r="K78" s="3">
        <f>1352.9+(290-501.6)+(-3.449895+(-0.7395--1.27908))+0-130.5--0.332774999999981</f>
        <v>1008.2224600000001</v>
      </c>
      <c r="L78" s="3">
        <f>1312.6+(427.5-630.8)+(0.669426+(0.218025-0.321708))+0-128-0.065279999999987</f>
        <v>981.80046300000004</v>
      </c>
      <c r="M78" s="3">
        <f>1293.1+(479-616.6)+(-0.659481+(-0.24429--0.314466))+0-130.1--0.0663509999999868</f>
        <v>1024.8770460000001</v>
      </c>
      <c r="N78" s="3">
        <f>1305.3+(511.1-590.8)+(0+(0-0))+0-136.6-0</f>
        <v>1089</v>
      </c>
      <c r="O78" s="3">
        <f>1330.3+(554.6-591.3)+(0.678453+(0.282846-0.301563))+0-135.7-0.0692069999999862</f>
        <v>1158.4905289999999</v>
      </c>
      <c r="P78" s="3">
        <f>1311.4+(553.2-503.7)+(0+(0-0))+0-137.6-0</f>
        <v>1223.3000000000002</v>
      </c>
      <c r="Q78" s="3">
        <f>1297.2+(483.2-376.2)+(0.661572+(0.246432-0.191862))+0-136.7-0.0697169999999861</f>
        <v>1268.1464249999999</v>
      </c>
      <c r="R78" s="3">
        <f>1291.7+(360.8-226.9)+(-0.658767+(-0.184008--0.115719))+0-135.9--0.0693089999999862</f>
        <v>1289.0422530000001</v>
      </c>
      <c r="S78" s="3">
        <f>1300+(277.3-129.5)+(-1.326+(-0.282846--0.13209))+0-138.7--0.141474000000022</f>
        <v>1307.7647179999999</v>
      </c>
      <c r="T78" s="3">
        <f>1311+(258.1-133.5)+(-1.33722+(-0.263262--0.13617))+0-139.5--0.142290000000022</f>
        <v>1294.7779779999998</v>
      </c>
      <c r="U78" s="3">
        <f>1338.3+(253.4-162.4)+(-1.365066+(-0.258468--0.165648))+0-137.4--0.140148000000022</f>
        <v>1290.5822619999999</v>
      </c>
      <c r="V78" s="3">
        <f>1341.8+(264.1-209.1)+(-2.737272+(-0.538764--0.426564))+0-139.6--0.284783999999994</f>
        <v>1254.6353119999999</v>
      </c>
      <c r="W78" s="3">
        <f>1375.7+(377.6-403.6)+(-3.508035+(-0.96288--1.02918))+0-133.8--0.341189999999981</f>
        <v>1212.7994549999999</v>
      </c>
      <c r="X78" s="3">
        <f>1439.7+(400.4-563.8)+(-4.405482+(-1.225224--1.725228))+0-131--0.400860000000015</f>
        <v>1141.7953820000002</v>
      </c>
      <c r="Y78" s="3">
        <f>1449.6+(420.2-623.8)+(-2.957184+(-0.857208--1.272552))+0-127.2--0.259487999999994</f>
        <v>1116.5176479999998</v>
      </c>
      <c r="Z78" s="3">
        <f>1460.1+(320.6-379)+(0+(0-0))+0-128.4-0</f>
        <v>1273.2999999999997</v>
      </c>
      <c r="AA78" s="3">
        <f>1470.7+(257.4-295.1)+(-3.750285+(-0.65637--0.752505))+0-132.8--0.338639999999981</f>
        <v>1296.8844899999999</v>
      </c>
      <c r="AB78" s="3">
        <f>1500.8+(233.1-311.4)+(-3.061632+(-0.475524--0.635256))+0-136.1--0.277643999999994</f>
        <v>1283.775744</v>
      </c>
      <c r="AC78" s="3">
        <f>1498.9+(218.4-356.9)+(-4.586634+(-0.668304--1.092114))+0-137.9--0.421974000000016</f>
        <v>1218.7591500000001</v>
      </c>
      <c r="AD78">
        <f t="shared" si="1"/>
        <v>28185.367302999999</v>
      </c>
      <c r="AE78" s="3">
        <f>1465+(250.9-284.1)+(0+(0-0))+0-135.6-0</f>
        <v>1296.2</v>
      </c>
    </row>
    <row r="79" spans="1:31" s="2" customFormat="1" x14ac:dyDescent="0.25">
      <c r="A79">
        <v>89</v>
      </c>
      <c r="B79">
        <v>3</v>
      </c>
      <c r="C79">
        <v>17</v>
      </c>
      <c r="D79">
        <v>3</v>
      </c>
      <c r="E79">
        <v>1</v>
      </c>
      <c r="F79" s="3">
        <f>1508.2+(206.8-396.6)+(0+(0-0))+0-141.1-0</f>
        <v>1177.3000000000002</v>
      </c>
      <c r="G79" s="3">
        <f>1512.5+(200.6-437.3)+(-1.54275+(-0.204612--0.446046))+0-138.2--0.140964000000022</f>
        <v>1136.4396479999998</v>
      </c>
      <c r="H79" s="3">
        <f>1452.3+(197.6-419.8)+(0+(0-0))+0-134.9-0</f>
        <v>1095.1999999999998</v>
      </c>
      <c r="I79" s="3">
        <f>1463.9+(206.6-465.3)+(-2.239767+(-0.316098--0.711909))+0-134--0.205020000000008</f>
        <v>1069.5610640000002</v>
      </c>
      <c r="J79" s="3">
        <f>1525.4+(173.9-502.3)+(-0.777954+(-0.088689--0.256173))+0-133.8--0.0682379999999864</f>
        <v>1062.657768</v>
      </c>
      <c r="K79" s="3">
        <f>1523.8+(172.8-540.3)+(-3.108552+(-0.352512--1.102212))+0-135.5--0.276419999999994</f>
        <v>1018.7175679999999</v>
      </c>
      <c r="L79" s="3">
        <f>1461.7+(363-703.4)+(-1.490934+(-0.37026--0.717468))+0-133.9--0.136578000000021</f>
        <v>986.39285200000018</v>
      </c>
      <c r="M79" s="3">
        <f>1429.8+(429.4-691.4)+(0+(0-0))+0-137.9-0</f>
        <v>1029.8999999999999</v>
      </c>
      <c r="N79" s="3">
        <f>1420.4+(445.8-638.6)+(-0.724404+(-0.227358--0.325686))+0-136.8--0.0697679999999861</f>
        <v>1090.2436920000002</v>
      </c>
      <c r="O79" s="3">
        <f>1473+(491.1-679.2)+(-1.50246+(-0.500922--0.692784))+0-133.1--0.135762000000021</f>
        <v>1150.6251640000003</v>
      </c>
      <c r="P79" s="3">
        <f>1462.3+(527.2-647.5)+(-0.745773+(-0.268872--0.330225))+0-131.2--0.0669119999999867</f>
        <v>1210.1824919999999</v>
      </c>
      <c r="Q79" s="3">
        <f>1485.4+(442.9-529.8)+(0+(0-0))+0-131.7-0</f>
        <v>1266.8</v>
      </c>
      <c r="R79" s="3">
        <f>1524.7+(302.4-396.1)+(-1.555194+(-0.308448--0.404022))+0-124.6--0.12709200000002</f>
        <v>1305.067472</v>
      </c>
      <c r="S79" s="3">
        <f>1521.8+(255.2-334)+(-2.328354+(-0.390456--0.51102))+0-128.9--0.197217000000007</f>
        <v>1312.0894269999999</v>
      </c>
      <c r="T79" s="3">
        <f>1503.5+(308.8-377.8)+(-1.53357+(-0.314976--0.385356))+0-132.2--0.134844000000021</f>
        <v>1300.9716539999999</v>
      </c>
      <c r="U79" s="3">
        <f>1479.5+(328.7-372.3)+(-0.754545+(-0.167637--0.189873))+0-128.6--0.0655859999999869</f>
        <v>1306.6332770000001</v>
      </c>
      <c r="V79" s="3">
        <f>1458.7+(302.6-346.1)+(-1.487874+(-0.308652--0.353022))+0-128.2--0.13076400000002</f>
        <v>1285.6872599999999</v>
      </c>
      <c r="W79" s="3">
        <f>1434.7+(362.4-459.8)+(-2.926788+(-0.739296--0.937992))+0-124.3--0.253571999999995</f>
        <v>1210.52548</v>
      </c>
      <c r="X79" s="3">
        <f>1478.3+(474-677.6)+(-3.015732+(-0.96696--1.382304))+0-130--0.265199999999994</f>
        <v>1142.3648119999998</v>
      </c>
      <c r="Y79" s="3">
        <f>1484.9+(501.8-738.1)+(-2.271897+(-0.767754--1.129293))+0-123.7--0.189261000000007</f>
        <v>1123.178903</v>
      </c>
      <c r="Z79" s="3">
        <f>1515.1+(398.4-522.3)+(-2.318103+(-0.609552--0.799119))+0-124.4--0.190332000000007</f>
        <v>1264.8617959999997</v>
      </c>
      <c r="AA79" s="3">
        <f>1536.4+(311.7-429.1)+(-1.567128+(-0.317934--0.437682))+0-126.4--0.12892800000002</f>
        <v>1291.2815479999999</v>
      </c>
      <c r="AB79" s="3">
        <f>1542.9+(258.3-390.7)+(-2.360637+(-0.395199--0.597771))+0-129.2--0.197676000000007</f>
        <v>1279.3396109999999</v>
      </c>
      <c r="AC79" s="3">
        <f>1485.5+(227.9-354.5)+(-2.272815+(-0.348687--0.542385))+0-129--0.197370000000007</f>
        <v>1228.0182530000002</v>
      </c>
      <c r="AD79">
        <f t="shared" si="1"/>
        <v>28344.039741000001</v>
      </c>
      <c r="AE79" s="3">
        <f>1532+(312.5-437.3)+(0+(0-0))+0-126.6-0</f>
        <v>1280.6000000000001</v>
      </c>
    </row>
    <row r="80" spans="1:31" s="2" customFormat="1" x14ac:dyDescent="0.25">
      <c r="A80">
        <v>89</v>
      </c>
      <c r="B80">
        <v>3</v>
      </c>
      <c r="C80">
        <v>18</v>
      </c>
      <c r="D80">
        <v>4</v>
      </c>
      <c r="E80">
        <v>1</v>
      </c>
      <c r="F80" s="3">
        <f>1450.4+(216-358.3)+(-2.219112+(-0.33048--0.548199))+0-127--0.194310000000007</f>
        <v>1179.2929170000002</v>
      </c>
      <c r="G80" s="3">
        <f>1451.1+(199.8-390.8)+(-3.700305+(-0.50949--0.99654))+0-128.7--0.328184999999981</f>
        <v>1128.51493</v>
      </c>
      <c r="H80" s="3">
        <f>1456.9+(192.4-429)+(0+(0-0))+0-127-0</f>
        <v>1093.3000000000002</v>
      </c>
      <c r="I80" s="3">
        <f>1461.3+(193.5-461.2)+(-2.981052+(-0.39474--0.940848))+0-125.4--0.255815999999995</f>
        <v>1066.0208719999998</v>
      </c>
      <c r="J80" s="3">
        <f>1463+(226.1-524.2)+(-0.74613+(-0.115311--0.267342))+0-125.4--0.0639539999999873</f>
        <v>1038.9698550000001</v>
      </c>
      <c r="K80" s="3">
        <f>1465.4+(314.4-658.2)+(-4.484124+(-0.962064--2.014092))+0-127.7--0.390762000000015</f>
        <v>990.85866599999986</v>
      </c>
      <c r="L80" s="3">
        <f>1466.2+(422-793.8)+(-1.495524+(-0.43044--0.809676))+0-126--0.12852000000002</f>
        <v>967.41223200000013</v>
      </c>
      <c r="M80" s="3">
        <f>1470+(477-807.7)+(0+(0-0))+0-123.9-0</f>
        <v>1015.4</v>
      </c>
      <c r="N80" s="3">
        <f>1528.9+(389.2-746.4)+(-1.559478+(-0.396984--0.761328))+0-114.4--0.116688000000018</f>
        <v>1056.221554</v>
      </c>
      <c r="O80" s="3">
        <f>1515.8+(395.9-671)+(2.319174+(0.605727-1.02663))+0-113.4-0.173502000000007</f>
        <v>1129.0247689999997</v>
      </c>
      <c r="P80" s="3">
        <f>1492.9+(456.9-608.7)+(-1.522758+(-0.466038--0.620874))+0-125.4--0.12790800000002</f>
        <v>1214.4599859999998</v>
      </c>
      <c r="Q80" s="3">
        <f>1466.9+(442.6-511.5)+(1.496238+(0.451452-0.52173))+0-117-0.119340000000019</f>
        <v>1282.3066200000001</v>
      </c>
      <c r="R80" s="3">
        <f>1407.7+(347.5-333.3)+(-2.153781+(-0.531675--0.509949))+0-108--0.165240000000006</f>
        <v>1311.8897330000002</v>
      </c>
      <c r="S80" s="3">
        <f>1415.1+(357.9-325.5)+(-1.443402+(-0.365058--0.33201))+0-113--0.115260000000018</f>
        <v>1333.1388099999999</v>
      </c>
      <c r="T80" s="3">
        <f>1467.7+(368.2-378.7)+(0.748527+(0.187782-0.193137))+0-114.7-0.0584969999999884</f>
        <v>1343.184675</v>
      </c>
      <c r="U80" s="3">
        <f>1469.1+(351.4-370.7)+(0+(0-0))+0-116.7-0</f>
        <v>1333.1</v>
      </c>
      <c r="V80" s="3">
        <f>1443.8+(306.7-301.2)+(0+(0-0))+0-138.8-0</f>
        <v>1310.5</v>
      </c>
      <c r="W80" s="3">
        <f>1412.8+(393.4-417.1)+(-2.882112+(-0.802536--0.850884))+0-142.7--0.291107999999994</f>
        <v>1243.8573439999998</v>
      </c>
      <c r="X80" s="3">
        <f>1416.7+(539.8-655.9)+(-2.890068+(-1.101192--1.338036))+0-139.9--0.285395999999994</f>
        <v>1158.3321719999999</v>
      </c>
      <c r="Y80" s="3">
        <f>1414.4+(526.7-655.2)+(-5.770752+(-2.148936--2.673216))+0-135--0.550799999999988</f>
        <v>1146.204328</v>
      </c>
      <c r="Z80" s="3">
        <f>1475.4+(401.3-439.6)+(-3.009816+(-0.818652--0.896784))+0-136.6--0.278663999999994</f>
        <v>1297.8469800000003</v>
      </c>
      <c r="AA80" s="3">
        <f>1504.6+(327.2-356.4)+(-1.534692+(-0.333744--0.363528))+0-139.9--0.142698000000022</f>
        <v>1334.13779</v>
      </c>
      <c r="AB80" s="3">
        <f>1512.1+(281.5-342.2)+(-2.313513+(-0.430695--0.523566))+0-136.2--0.208386000000008</f>
        <v>1313.1877439999998</v>
      </c>
      <c r="AC80" s="3">
        <f>1513.6+(248.9-368.6)+(-3.087744+(-0.507756--0.751944))+0-137.9--0.281315999999994</f>
        <v>1253.4377599999998</v>
      </c>
      <c r="AD80">
        <f t="shared" si="1"/>
        <v>28540.599736999993</v>
      </c>
      <c r="AE80" s="3">
        <f>1496+(323.3-353.2)+(0+(0-0))+0-138.7-0</f>
        <v>1327.3999999999999</v>
      </c>
    </row>
    <row r="81" spans="1:31" s="2" customFormat="1" x14ac:dyDescent="0.25">
      <c r="A81">
        <v>89</v>
      </c>
      <c r="B81">
        <v>3</v>
      </c>
      <c r="C81">
        <v>19</v>
      </c>
      <c r="D81">
        <v>5</v>
      </c>
      <c r="E81">
        <v>1</v>
      </c>
      <c r="F81" s="3">
        <f>1470.4+(224-349.9)+(-2.249712+(-0.34272--0.535347))+0-135.8--0.207774000000008</f>
        <v>1206.8506890000001</v>
      </c>
      <c r="G81" s="3">
        <f>1337.4+(231.2-275)+(-2.728296+(-0.471648--0.561))+0-131--0.267239999999994</f>
        <v>1160.228296</v>
      </c>
      <c r="H81" s="3">
        <f>1316.1+(219-282.3)+(-1.342422+(-0.22338--0.287946))+0-129.7--0.132294000000021</f>
        <v>1121.954438</v>
      </c>
      <c r="I81" s="3">
        <f>1335.3+(204.4-308.8)+(-3.405015+(-0.52122--0.78744))+0-131--0.334049999999981</f>
        <v>1097.0952549999997</v>
      </c>
      <c r="J81" s="3">
        <f>1336.4+(209.5-335.4)+(1.363128+(0.21369-0.342108))+0-129.3-0.131886000000021</f>
        <v>1082.3028239999999</v>
      </c>
      <c r="K81" s="3">
        <f>1350.1+(283.3-460.9)+(-3.442755+(-0.722415--1.175295))+0-129.5--0.330224999999981</f>
        <v>1040.3403499999999</v>
      </c>
      <c r="L81" s="3">
        <f>1343+(445.5-648)+(-0.68493+(-0.227205--0.33048))+0-127.4--0.0649739999999871</f>
        <v>1012.5833190000001</v>
      </c>
      <c r="M81" s="3">
        <f>1323.4+(527.9-672.4)+(1.349868+(0.538458-0.685848))+0-130.7-0.133314000000021</f>
        <v>1049.269164</v>
      </c>
      <c r="N81" s="3">
        <f>1320.8+(550.9-623.3)+(0+(0-0))+0-130.4-0</f>
        <v>1118</v>
      </c>
      <c r="O81" s="3">
        <f>1312.3+(565.1-568.5)+(0+(0-0))+0-124.9-0</f>
        <v>1184</v>
      </c>
      <c r="P81" s="3">
        <f>1338.2+(535.7-502.3)+(-1.364964+(-0.546414--0.512346))+0-121.2--0.123624000000019</f>
        <v>1249.1245920000001</v>
      </c>
      <c r="Q81" s="3">
        <f>1382.6+(439.9-429.2)+(1.410252+(0.448698-0.437784))+0-115.5-0.117810000000018</f>
        <v>1279.1033560000001</v>
      </c>
      <c r="R81" s="3">
        <f>1446.7+(317.2-328.3)+(-2.213451+(-0.485316--0.502299))+0-113.5--0.173655000000007</f>
        <v>1320.0771869999999</v>
      </c>
      <c r="S81" s="3">
        <f>1440.9+(317.4-308.2)+(-0.734859+(-0.161874--0.157182))+0-112.6--0.0574259999999886</f>
        <v>1336.8178750000004</v>
      </c>
      <c r="T81" s="3">
        <f>1443.6+(343.4-316.5)+(-0.736236+(-0.175134--0.161415))+0-113.6--0.0579359999999885</f>
        <v>1356.207981</v>
      </c>
      <c r="U81" s="3">
        <f>1337.1+(358.9-251.6)+(-1.363842+(-0.366078--0.256632))+0-111.5--0.113730000000018</f>
        <v>1331.540442</v>
      </c>
      <c r="V81" s="3">
        <f>1295.4+(280.9-243.5)+(-1.981962+(-0.429777--0.372555))+2-114.6--0.175338000000007</f>
        <v>1218.3361540000003</v>
      </c>
      <c r="W81" s="3">
        <f>1309.7+(346-490.8)+(-2.003841+(-0.52938--0.750924))+27-114.8--0.175644000000007</f>
        <v>1075.4933470000001</v>
      </c>
      <c r="X81" s="3">
        <f>1349.8+(527.8-665.9)+(-3.44199+(-1.34589--1.698045))+0-114.2--0.291209999999983</f>
        <v>1094.7013749999999</v>
      </c>
      <c r="Y81" s="3">
        <f>1436.4+(510-712.7)+(-3.66282+(-1.3005--1.817385))+0-111.2--0.283559999999984</f>
        <v>1119.6376250000001</v>
      </c>
      <c r="Z81" s="3">
        <f>1487.9+(397.2-492.8)+(-1.517658+(-0.405144--0.502656))+0-113.5--0.115770000000018</f>
        <v>1277.4956240000004</v>
      </c>
      <c r="AA81" s="3">
        <f>1509.6+(321.2-408.4)+(-2.309688+(-0.491436--0.624852))+0-111.7--0.170901000000006</f>
        <v>1308.6946289999998</v>
      </c>
      <c r="AB81" s="3">
        <f>1532.2+(275.4-409.9)+(-3.90711+(-0.70227--1.045245))+0-111.8--0.285089999999984</f>
        <v>1282.6209550000001</v>
      </c>
      <c r="AC81" s="3">
        <f>1525.8+(271.9-445.5)+(0+(0-0))+0-113.3-0</f>
        <v>1238.8999999999999</v>
      </c>
      <c r="AD81">
        <f t="shared" si="1"/>
        <v>28561.375477000001</v>
      </c>
      <c r="AE81" s="3">
        <f>1519+(323-390.2)+(0+(0-0))+0-123.6-0</f>
        <v>1328.2</v>
      </c>
    </row>
    <row r="82" spans="1:31" s="2" customFormat="1" x14ac:dyDescent="0.25">
      <c r="A82">
        <v>89</v>
      </c>
      <c r="B82">
        <v>3</v>
      </c>
      <c r="C82">
        <v>20</v>
      </c>
      <c r="D82">
        <v>6</v>
      </c>
      <c r="E82">
        <v>1</v>
      </c>
      <c r="F82" s="3">
        <f>1517.6+(251.4-468.5)+(-1.547952+(-0.256428--0.47787))+0-110--0.112200000000018</f>
        <v>1189.2856899999999</v>
      </c>
      <c r="G82" s="3">
        <f>1488.7+(234-472.4)+(2.277711+(0.35802-0.722772))+0-110.4-0.168912000000006</f>
        <v>1141.644047</v>
      </c>
      <c r="H82" s="3">
        <f>1494.9+(229.1-503.3)+(0+(0-0))+0-112.6-0</f>
        <v>1108.1000000000001</v>
      </c>
      <c r="I82" s="3">
        <f>1497+(212.4-496.2)+(0.76347+(0.108324-0.253062))+0-111.1-0.0566609999999887</f>
        <v>1102.662071</v>
      </c>
      <c r="J82" s="3">
        <f>1496.2+(201.2-495)+(-1.526124+(-0.205224--0.5049))+0-115.8--0.118116000000018</f>
        <v>1085.4916680000003</v>
      </c>
      <c r="K82" s="3">
        <f>1495.4+(176.2-498.1)+(-2.287962+(-0.269586--0.762093))+0-121.4--0.185742000000007</f>
        <v>1050.4902870000001</v>
      </c>
      <c r="L82" s="3">
        <f>1497+(173.5-533.9)+(-0.76347+(-0.088485--0.272289))+0-122.7--0.0625769999999876</f>
        <v>1013.3829109999998</v>
      </c>
      <c r="M82" s="3">
        <f>1503.5+(183-510.3)+(0.766785+(0.09333-0.260253))+0-125-0.0637499999999873</f>
        <v>1051.736112</v>
      </c>
      <c r="N82" s="3">
        <f>1497.1+(221.7-506)+(1.527042+(0.226134-0.51612))+0-126.4-0.12892800000002</f>
        <v>1087.5081279999997</v>
      </c>
      <c r="O82" s="3">
        <f>1497.3+(310.8-521.9)+(3.054492+(0.634032-1.064676))+0-125.5-0.256019999999995</f>
        <v>1163.067828</v>
      </c>
      <c r="P82" s="3">
        <f>1488.6+(332.3-459.5)+(1.518372+(0.338946-0.46869))+0-130.6-0.133212000000021</f>
        <v>1232.0554159999999</v>
      </c>
      <c r="Q82" s="3">
        <f>1484.4+(348.7-400.8)+(1.514088+(0.355674-0.408816))+0-127.2-0.12974400000002</f>
        <v>1306.431202</v>
      </c>
      <c r="R82" s="3">
        <f>1473.3+(374.3-409.3)+(0.751383+(0.190893-0.208743))+0-128.9-0.0657389999999869</f>
        <v>1310.067794</v>
      </c>
      <c r="S82" s="3">
        <f>1475.1+(470.4-491.7)+(0+(0-0))+0-127.7-0</f>
        <v>1326.1</v>
      </c>
      <c r="T82" s="3">
        <f>1467.9+(497-509.4)+(0+(0-0))+0-126.3-0</f>
        <v>1329.2</v>
      </c>
      <c r="U82" s="3">
        <f>1464+(463.6-474.9)+(-0.74664+(-0.236436--0.242199))+0-130.5--0.0665549999999868</f>
        <v>1321.525678</v>
      </c>
      <c r="V82" s="3">
        <f>1456.7+(317.3-397.5)+(-1.485834+(-0.323646--0.40545))+0-129.3--0.131886000000021</f>
        <v>1245.9278560000002</v>
      </c>
      <c r="W82" s="3">
        <f>1479.8+(223.8-406)+(-2.264094+(-0.342414--0.62118))+0-128.4--0.196452000000007</f>
        <v>1167.4111239999997</v>
      </c>
      <c r="X82" s="3">
        <f>1484.3+(325.5-582.1)+(-3.784965+(-0.830025--1.484355))+0-132.5--0.337874999999981</f>
        <v>1092.4072399999998</v>
      </c>
      <c r="Y82" s="3">
        <f>1497.8+(344.4-610.6)+(-2.291634+(-0.526932--0.934218))+0-130--0.198900000000008</f>
        <v>1099.914552</v>
      </c>
      <c r="Z82" s="3">
        <f>1515+(258.9-378.1)+(-0.77265+(-0.132039--0.192831))+0-132.4--0.0675239999999866</f>
        <v>1262.755666</v>
      </c>
      <c r="AA82" s="3">
        <f>1519.3+(262.4-356.1)+(-1.549686+(-0.267648--0.363222))+0-134--0.136680000000021</f>
        <v>1290.2825680000001</v>
      </c>
      <c r="AB82" s="3">
        <f>1523.2+(292.2-410.2)+(-1.553664+(-0.298044--0.418404))+0-132.9--0.135558000000021</f>
        <v>1271.002254</v>
      </c>
      <c r="AC82" s="3">
        <f>1515.8+(310.6-457.1)+(-0.773058+(-0.158406--0.233121))+0-131.8--0.0672179999999866</f>
        <v>1236.8688749999999</v>
      </c>
      <c r="AD82">
        <f t="shared" si="1"/>
        <v>28485.318966999996</v>
      </c>
      <c r="AE82" s="3">
        <f>1513+(264.5-365.6)+(0+(0-0))+0-129-0</f>
        <v>1282.9000000000001</v>
      </c>
    </row>
    <row r="83" spans="1:31" s="2" customFormat="1" x14ac:dyDescent="0.25">
      <c r="A83">
        <v>89</v>
      </c>
      <c r="B83">
        <v>3</v>
      </c>
      <c r="C83">
        <v>21</v>
      </c>
      <c r="D83">
        <v>7</v>
      </c>
      <c r="E83">
        <v>1</v>
      </c>
      <c r="F83" s="3">
        <f>1468.9+(288-426)+(0+(0-0))+0-133.5-0</f>
        <v>1197.4000000000001</v>
      </c>
      <c r="G83" s="3">
        <f>1457.4+(283.1-464)+(-2.229822+(-0.433143--0.70992))+0-128.6--0.196758000000007</f>
        <v>1146.1437130000002</v>
      </c>
      <c r="H83" s="3">
        <f>1463.4+(251.1-476.4)+(0+(0-0))+0-126-0</f>
        <v>1112.1000000000001</v>
      </c>
      <c r="I83" s="3">
        <f>1471.6+(241.2-494.4)+(0+(0-0))+0-126.8-0</f>
        <v>1091.5999999999999</v>
      </c>
      <c r="J83" s="3">
        <f>1469.7+(228.4-495.3)+(1.499094+(0.232968-0.505206))+0-129.3-0.131886000000021</f>
        <v>1074.5949700000001</v>
      </c>
      <c r="K83" s="3">
        <f>1429.8+(188.1-444.2)+(-2.916792+(-0.383724--0.906168))+0-128.6--0.262343999999994</f>
        <v>1042.9679959999999</v>
      </c>
      <c r="L83" s="3">
        <f>1302.1+(239-433.3)+(0+(0-0))+0-123.8-0</f>
        <v>984</v>
      </c>
      <c r="M83" s="3">
        <f>1290.7+(287.3-449.8)+(-1.974771+(-0.439569--0.688194))+0-126.9--0.194157000000007</f>
        <v>999.76801100000012</v>
      </c>
      <c r="N83" s="3">
        <f>1276.6+(350.2-459.8)+(0+(0-0))+0-132.2-0</f>
        <v>1034.8</v>
      </c>
      <c r="O83" s="3">
        <f>1248+(388.8-404.2)+(0+(0-0))+0-127.3-0</f>
        <v>1105.3</v>
      </c>
      <c r="P83" s="3">
        <f>1180+(390.3-261.3)+(-0.6018+(-0.199053--0.133263))+0-125.7--0.0641069999999872</f>
        <v>1182.6965169999999</v>
      </c>
      <c r="Q83" s="3">
        <f>1135.1+(382.8-170.7)+(1.736703+(0.585684-0.261171))+0-129.1-0.197523000000007</f>
        <v>1219.9636929999999</v>
      </c>
      <c r="R83" s="3">
        <f>1126.5+(585.4-327)+(0+(0-0))+0-129.9-0</f>
        <v>1255</v>
      </c>
      <c r="S83" s="3">
        <f>1240.5+(633.9-480.5)+(0+(0-0))+0-130.4-0</f>
        <v>1263.5</v>
      </c>
      <c r="T83" s="3">
        <f>1328.1+(567.8-511.9)+(-1.354662+(-0.579156--0.522138))+0-125.2--0.12770400000002</f>
        <v>1257.516024</v>
      </c>
      <c r="U83" s="3">
        <f>1345.9+(482.8-455.8)+(0+(0-0))+0-120.6-0</f>
        <v>1252.3000000000002</v>
      </c>
      <c r="V83" s="3">
        <f>1315.8+(412.4-378.5)+(0+(0-0))+0-125.4-0</f>
        <v>1224.2999999999997</v>
      </c>
      <c r="W83" s="3">
        <f>1350.2+(252.7-294.8)+(0.688602+(0.128877-0.150348))+0-129.2-0.0658919999999869</f>
        <v>1179.5012389999997</v>
      </c>
      <c r="X83" s="3">
        <f>1352.5+(195.3-349.4)+(-0.689775+(-0.099603--0.178194))+0-130.3--0.0664529999999868</f>
        <v>1067.555269</v>
      </c>
      <c r="Y83" s="3">
        <f>1362.4+(187.5-360.8)+(0+(0-0))+0-128.9-0</f>
        <v>1060.2</v>
      </c>
      <c r="Z83" s="3">
        <f>1404.2+(297.6-355.9)+(-0.716142+(-0.151776--0.181509))+0-132.9--0.0677789999999865</f>
        <v>1212.3813700000001</v>
      </c>
      <c r="AA83" s="3">
        <f>1416.4+(426.5-450.7)+(0.722364+(0.217515-0.229857))+0-134.8-0.0687479999999863</f>
        <v>1258.0412740000002</v>
      </c>
      <c r="AB83" s="3">
        <f>1428.2+(455.8-512.7)+(-1.456764+(-0.464916--0.522954))+0-133.4--0.136068000000021</f>
        <v>1236.637342</v>
      </c>
      <c r="AC83" s="3">
        <f>1425.3+(404.5-497.8)+(-2.180709+(-0.618885--0.761634))+0-136.3--0.208539000000008</f>
        <v>1193.8705789999999</v>
      </c>
      <c r="AD83">
        <f t="shared" si="1"/>
        <v>27652.137996999994</v>
      </c>
      <c r="AE83" s="3">
        <f>1413+(472.7-521.5)+(0+(0-0))+0-131.5-0</f>
        <v>1232.7</v>
      </c>
    </row>
    <row r="84" spans="1:31" s="2" customFormat="1" x14ac:dyDescent="0.25">
      <c r="A84">
        <v>89</v>
      </c>
      <c r="B84">
        <v>3</v>
      </c>
      <c r="C84">
        <v>22</v>
      </c>
      <c r="D84">
        <v>1</v>
      </c>
      <c r="E84">
        <v>1</v>
      </c>
      <c r="F84" s="3">
        <f>1442.3+(321.6-453.9)+(-1.471146+(-0.328032--0.462978))+0-134.5--0.137190000000021</f>
        <v>1174.30099</v>
      </c>
      <c r="G84" s="3">
        <f>1445.6+(279.9-457.5)+(-2.211768+(-0.428247--0.699975))+0-131.8--0.201654000000008</f>
        <v>1134.4616140000001</v>
      </c>
      <c r="H84" s="3">
        <f>1435.4+(286.2-486.1)+(-0.732054+(-0.145962--0.247911))+0-128.4--0.065483999999987</f>
        <v>1106.5353789999999</v>
      </c>
      <c r="I84" s="3">
        <f>1417.9+(292.8-497.1)+(-1.446258+(-0.298656--0.507042))+0-129.9--0.132498000000021</f>
        <v>1082.5946260000001</v>
      </c>
      <c r="J84" s="3">
        <f>1439.5+(271.9-506.8)+(-3.670725+(-0.693345--1.29234))+0-130.9--0.333794999999981</f>
        <v>1070.9620649999999</v>
      </c>
      <c r="K84" s="3">
        <f>1454.1+(197.7-485.2)+(-2.966364+(-0.403308--0.989808))+0-127.6--0.260303999999994</f>
        <v>1036.8804399999999</v>
      </c>
      <c r="L84" s="3">
        <f>1475.8+(216.1-566.9)+(-2.257974+(-0.330633--0.867357))+0-126.8--0.194004000000007</f>
        <v>996.67275400000005</v>
      </c>
      <c r="M84" s="3">
        <f>1441.9+(303.8-565.4)+(0+(0-0))+0-130.3-0</f>
        <v>1050.0000000000002</v>
      </c>
      <c r="N84" s="3">
        <f>1407.7+(366.8-519.8)+(0+(0-0))+0-133.3-0</f>
        <v>1121.4000000000001</v>
      </c>
      <c r="O84" s="3">
        <f>1380.2+(371-445.8)+(0.703902+(0.18921-0.227358))+0-130.5-0.0665549999999868</f>
        <v>1175.4991990000003</v>
      </c>
      <c r="P84" s="3">
        <f>1350.2+(420.3-374.3)+(1.377204+(0.428706-0.381786))+0-131.2-0.133824000000021</f>
        <v>1266.2902999999999</v>
      </c>
      <c r="Q84" s="3">
        <f>1307.9+(448.6-288.9)+(-0.667029+(-0.228786--0.147339))+0-130.1--0.0663509999999868</f>
        <v>1336.8178750000002</v>
      </c>
      <c r="R84" s="3">
        <f>1328.9+(431.4-273.4)+(2.033217+(0.660042-0.418302))+0-125.8-0.192474000000007</f>
        <v>1363.1824830000003</v>
      </c>
      <c r="S84" s="3">
        <f>1375.5+(386-309.7)+(-0.701505+(-0.19686--0.157947))+0-128.4--0.065483999999987</f>
        <v>1322.7250659999997</v>
      </c>
      <c r="T84" s="3">
        <f>1365.4+(378.7-303.2)+(2.089062+(0.579411-0.463896))+0-124.4-0.190332000000007</f>
        <v>1318.5142450000001</v>
      </c>
      <c r="U84" s="3">
        <f>1368.4+(345.4-278.1)+(0+(0-0))+0-112.4-0</f>
        <v>1323.3</v>
      </c>
      <c r="V84" s="3">
        <f>1360.3+(326.9-237.4)+(0.693753+(0.166719-0.121074))+0-121.8-0.0621179999999876</f>
        <v>1328.6772799999999</v>
      </c>
      <c r="W84" s="3">
        <f>1307.1+(333.2-245.2)+(-0.666621+(-0.169932--0.125052))+0-126.9--0.0647189999999871</f>
        <v>1267.5532179999998</v>
      </c>
      <c r="X84" s="3">
        <f>1303.1+(513.6-496.5)+(-1.329162+(-0.523872--0.50643))+0-129.9--0.132498000000021</f>
        <v>1189.0858939999996</v>
      </c>
      <c r="Y84" s="3">
        <f>1313.8+(552-572.1)+(-0.670038+(-0.28152--0.291771))+0-128.6--0.0655859999999869</f>
        <v>1164.5057989999998</v>
      </c>
      <c r="Z84" s="3">
        <f>1350.9+(430.8-341.2)+(-1.377918+(-0.439416--0.348024))+0-132.6--0.135252000000021</f>
        <v>1306.5659420000002</v>
      </c>
      <c r="AA84" s="3">
        <f>1399.5+(376.1-296.5)+(-0.713745+(-0.191811--0.151215))+0-132.7--0.0676769999999865</f>
        <v>1345.7133359999998</v>
      </c>
      <c r="AB84" s="3">
        <f>1500.8+(359.3-392.5)+(-0.765408+(-0.183243--0.200175))+0-132.9--0.0677789999999865</f>
        <v>1334.0193029999998</v>
      </c>
      <c r="AC84" s="3">
        <f>1496.3+(345.1-433.4)+(-0.763113+(-0.176001--0.221034))+0-136--0.0693599999999862</f>
        <v>1271.3512799999999</v>
      </c>
      <c r="AD84">
        <f t="shared" si="1"/>
        <v>29087.609088000001</v>
      </c>
      <c r="AE84" s="3">
        <f>1375+(386.8-303.6)+(0+(0-0))+0-133.3-0</f>
        <v>1324.9</v>
      </c>
    </row>
    <row r="85" spans="1:31" s="2" customFormat="1" x14ac:dyDescent="0.25">
      <c r="A85">
        <v>89</v>
      </c>
      <c r="B85">
        <v>3</v>
      </c>
      <c r="C85">
        <v>23</v>
      </c>
      <c r="D85">
        <v>2</v>
      </c>
      <c r="E85">
        <v>1</v>
      </c>
      <c r="F85" s="3">
        <f>1511+(367.3-521.3)+(-0.77061+(-0.187323--0.265863))+0-133.6--0.0681359999999864</f>
        <v>1222.7760660000001</v>
      </c>
      <c r="G85" s="3">
        <f>1548.2+(234.3-482)+(-3.158328+(-0.477972--0.98328))+0-132.3--0.269891999999994</f>
        <v>1165.8168720000001</v>
      </c>
      <c r="H85" s="3">
        <f>1547.4+(224.6-505)+(-2.367522+(-0.343638--0.77265))+0-129.5--0.198135000000007</f>
        <v>1135.7596250000001</v>
      </c>
      <c r="I85" s="3">
        <f>1545+(217.2-527.6)+(0+(0-0))+0-128.7-0</f>
        <v>1105.8999999999999</v>
      </c>
      <c r="J85" s="3">
        <f>1576.2+(200-556.2)+(0.803862+(0.102-0.283662))+0-130.4-0.0665039999999868</f>
        <v>1090.155696</v>
      </c>
      <c r="K85" s="3">
        <f>1581.4+(228.4-638.6)+(-3.226056+(-0.465936--1.302744))+0-128.2--0.261527999999994</f>
        <v>1040.87228</v>
      </c>
      <c r="L85" s="3">
        <f>1563.4+(320.3-751.2)+(2.392002+(0.490059-1.149336))+0-125.7-0.192321000000007</f>
        <v>1008.340404</v>
      </c>
      <c r="M85" s="3">
        <f>1539.2+(407.7-762.3)+(0.784992+(0.207927-0.388773))+0-128.3-0.065432999999987</f>
        <v>1056.8387130000001</v>
      </c>
      <c r="N85" s="3">
        <f>1517.4+(451.9-710.3)+(-2.321622+(-0.691407--1.086759))+0-135.4--0.207162000000008</f>
        <v>1121.8808919999999</v>
      </c>
      <c r="O85" s="3">
        <f>1505.6+(479.1-660.8)+(-1.535712+(-0.488682--0.674016))+0-134.1--0.136782000000021</f>
        <v>1188.5864040000001</v>
      </c>
      <c r="P85" s="3">
        <f>1485.7+(441.9-513.5)+(-0.757707+(-0.225369--0.261885))+0-129.7--0.0661469999999868</f>
        <v>1283.7449559999998</v>
      </c>
      <c r="Q85" s="3">
        <f>1348.9+(407.7-283.2)+(0+(0-0))+0-132.5-0</f>
        <v>1340.9</v>
      </c>
      <c r="R85" s="3">
        <f>1271.6+(542.4-304.7)+(-1.297032+(-0.553248--0.310794))+0-132.5--0.135150000000021</f>
        <v>1375.3956640000001</v>
      </c>
      <c r="S85" s="3">
        <f>1308.9+(618-431.6)+(-2.002617+(-0.94554--0.660348))+0-131.9--0.201807000000008</f>
        <v>1361.3139980000001</v>
      </c>
      <c r="T85" s="3">
        <f>1399.7+(526.5-473.9)+(-0.713847+(-0.268515--0.241689))+0-136--0.0693599999999862</f>
        <v>1315.6286870000001</v>
      </c>
      <c r="U85" s="3">
        <f>1407.2+(504.1-452)+(0.717672+(0.257091-0.23052))+0-134.7-0.0686969999999863</f>
        <v>1325.2755460000003</v>
      </c>
      <c r="V85" s="3">
        <f>1413.9+(450.8-386.1)+(-0.721089+(-0.229908--0.196911))+0-134.2--0.0684419999999864</f>
        <v>1343.7143560000002</v>
      </c>
      <c r="W85" s="3">
        <f>1430+(336.1-338.4)+(-0.7293+(-0.171411--0.172584))+0-132.1--0.0673709999999866</f>
        <v>1294.9392440000001</v>
      </c>
      <c r="X85" s="3">
        <f>1432.3+(388.1-485.9)+(-2.191419+(-0.593793--0.743427))+0-132.7--0.203031000000008</f>
        <v>1199.9612460000001</v>
      </c>
      <c r="Y85" s="3">
        <f>1458.6+(434.2-585.5)+(-1.487772+(-0.442884--0.59721))+0-132.1--0.134742000000021</f>
        <v>1174.0012959999999</v>
      </c>
      <c r="Z85" s="3">
        <f>1484.2+(332.7-365.7)+(-0.756942+(-0.169677--0.186507))+0-133--0.0678299999999865</f>
        <v>1317.527718</v>
      </c>
      <c r="AA85" s="3">
        <f>1525.7+(310.5-335.8)+(0+(0-0))+0-132.6-0</f>
        <v>1367.8000000000002</v>
      </c>
      <c r="AB85" s="3">
        <f>1531.9+(319.1-368.5)+(-0.781269+(-0.162741--0.187935))+0-129.9--0.0662489999999868</f>
        <v>1351.9101739999999</v>
      </c>
      <c r="AC85" s="3">
        <f>1520.8+(310.9-396.9)+(-2.326824+(-0.475677--0.607257))+0-134.7--0.206091000000008</f>
        <v>1298.1108469999999</v>
      </c>
      <c r="AD85">
        <f t="shared" si="1"/>
        <v>29487.150684</v>
      </c>
      <c r="AE85" s="3">
        <f>1521+(306.9-335.2)+(0+(0-0))+0-133.8-0</f>
        <v>1358.9</v>
      </c>
    </row>
    <row r="86" spans="1:31" s="2" customFormat="1" x14ac:dyDescent="0.25">
      <c r="A86">
        <v>89</v>
      </c>
      <c r="B86">
        <v>3</v>
      </c>
      <c r="C86">
        <v>24</v>
      </c>
      <c r="D86">
        <v>3</v>
      </c>
      <c r="E86">
        <v>1</v>
      </c>
      <c r="F86" s="3">
        <f>1541.1+(290.9-448.9)+(-1.571922+(-0.296718--0.457878))+0-135.3--0.138006000000022</f>
        <v>1246.5272440000001</v>
      </c>
      <c r="G86" s="3">
        <f>1512.9+(280.7-468.6)+(0+(0-0))+0-133.9-0</f>
        <v>1191.0999999999999</v>
      </c>
      <c r="H86" s="3">
        <f>1493+(250.2-458.1)+(-1.52286+(-0.255204--0.467262))+0-129.8--0.132396000000021</f>
        <v>1154.121594</v>
      </c>
      <c r="I86" s="3">
        <f>1501.5+(215.8-454.3)+(1.53153+(0.220116-0.463386))+0-127.5-0.13005000000002</f>
        <v>1136.6582100000001</v>
      </c>
      <c r="J86" s="3">
        <f>1500.2+(197.9-445.4)+(-0.765102+(-0.100929--0.227154))+0-127.1--0.0648209999999871</f>
        <v>1125.025944</v>
      </c>
      <c r="K86" s="3">
        <f>1522.1+(208.5-525)+(-1.552542+(-0.21267--0.5355))+0-125.7--0.12821400000002</f>
        <v>1078.7985019999999</v>
      </c>
      <c r="L86" s="3">
        <f>1520.3+(302.5-661.6)+(0.775353+(0.154275-0.337416))+0-124.6-0.0635459999999874</f>
        <v>1037.1286659999998</v>
      </c>
      <c r="M86" s="3">
        <f>1522.5+(364.9-670)+(0.776475+(0.186099-0.3417))+0-128.8-0.0656879999999869</f>
        <v>1089.1551860000002</v>
      </c>
      <c r="N86" s="3">
        <f>1527.4+(421.8-669.1)+(-1.557948+(-0.430236--0.682482))+0-133.2--0.135864000000021</f>
        <v>1145.7301620000001</v>
      </c>
      <c r="O86" s="3">
        <f>1516.6+(430.9-607)+(0+(0-0))+0-125.8-0</f>
        <v>1214.7</v>
      </c>
      <c r="P86" s="3">
        <f>1478.4+(399.3-482.9)+(1.507968+(0.407286-0.492558))+0-104-0.106080000000017</f>
        <v>1292.1166160000002</v>
      </c>
      <c r="Q86" s="3">
        <f>1450.3+(301.4-297.4)+(0.739653+(0.153714-0.151674))+0-131.3-0.0669629999999867</f>
        <v>1323.67473</v>
      </c>
      <c r="R86" s="3">
        <f>1460+(309-306.1)+(0.7446+(0.15759-0.156111))+0-132.5-0.0675749999999866</f>
        <v>1331.0785040000001</v>
      </c>
      <c r="S86" s="3">
        <f>1459.7+(363.1-356.5)+(-1.488894+(-0.370362--0.36363))+0-133.4--0.136068000000021</f>
        <v>1331.5404420000002</v>
      </c>
      <c r="T86" s="3">
        <f>1449.4+(341.5-368)+(1.478388+(0.34833-0.37536))+0-133.8-0.136476000000021</f>
        <v>1290.414882</v>
      </c>
      <c r="U86" s="3">
        <f>1439.3+(339.3-339.2)+(2.936172+(0.692172-0.691968))+0-132.1-0.269483999999994</f>
        <v>1309.9668920000004</v>
      </c>
      <c r="V86" s="3">
        <f>1440+(318.4-314.4)+(-0.7344+(-0.162384--0.160344))+0-133.1--0.0678809999999865</f>
        <v>1310.2314410000001</v>
      </c>
      <c r="W86" s="3">
        <f>1445.7+(251.3-298)+(-1.474614+(-0.256326--0.30396))+0-135.3--0.138006000000022</f>
        <v>1262.4110260000002</v>
      </c>
      <c r="X86" s="3">
        <f>1459.8+(392-535.6)+(-2.977992+(-0.79968--1.092624))+0-134.5--0.274379999999994</f>
        <v>1179.2893319999998</v>
      </c>
      <c r="Y86" s="3">
        <f>1479.4+(450.8-634.4)+(0+(0-0))+0-132.9-0</f>
        <v>1162.9000000000001</v>
      </c>
      <c r="Z86" s="3">
        <f>1505.7+(331.9-391.7)+(0.767907+(0.169269-0.199767))+0-135.4-0.0690539999999863</f>
        <v>1311.168355</v>
      </c>
      <c r="AA86" s="3">
        <f>1523.2+(283.4-311.6)+(-0.776832+(-0.144534--0.158916))+0-135.1--0.0689009999999863</f>
        <v>1359.2064510000002</v>
      </c>
      <c r="AB86" s="3">
        <f>1536.7+(310.1-373.7)+(-2.351151+(-0.474453--0.571761))+0-132.8--0.203184000000008</f>
        <v>1338.2493410000002</v>
      </c>
      <c r="AC86" s="3">
        <f>1538.3+(315.1-425.8)+(-1.569066+(-0.321402--0.434316))+0-134--0.136680000000021</f>
        <v>1292.280528</v>
      </c>
      <c r="AD86">
        <f t="shared" si="1"/>
        <v>29513.474048000007</v>
      </c>
      <c r="AE86" s="3">
        <f>1529+(281.7-320.5)+(0+(0-0))+0-135-0</f>
        <v>1355.2</v>
      </c>
    </row>
    <row r="87" spans="1:31" s="2" customFormat="1" x14ac:dyDescent="0.25">
      <c r="A87">
        <v>89</v>
      </c>
      <c r="B87">
        <v>3</v>
      </c>
      <c r="C87">
        <v>25</v>
      </c>
      <c r="D87">
        <v>4</v>
      </c>
      <c r="E87">
        <v>1</v>
      </c>
      <c r="F87" s="3">
        <f>1532.3+(299.1-463.5)+(-2.344419+(-0.457623--0.709155))+0-135.9--0.207927000000008</f>
        <v>1230.1150399999999</v>
      </c>
      <c r="G87" s="3">
        <f>1535.2+(237.5-458.5)+(0+(0-0))+0-131.9-0</f>
        <v>1182.3</v>
      </c>
      <c r="H87" s="3">
        <f>1538.3+(244.8-502.4)+(-1.569066+(-0.249696--0.512448))+0-129.8--0.132396000000021</f>
        <v>1149.7260820000001</v>
      </c>
      <c r="I87" s="3">
        <f>1545.5+(216.8-503.1)+(-0.788205+(-0.110568--0.256581))+0-129.1--0.0658409999999869</f>
        <v>1129.5236490000002</v>
      </c>
      <c r="J87" s="3">
        <f>1563.3+(217-537)+(-1.594566+(-0.22134--0.54774))+0-129.6--0.132192000000021</f>
        <v>1112.564026</v>
      </c>
      <c r="K87" s="3">
        <f>1569+(223.1-587.3)+(-4.00095+(-0.568905--1.497615))+0-129.3--0.329714999999981</f>
        <v>1072.7574750000003</v>
      </c>
      <c r="L87" s="3">
        <f>1558.6+(297.9-697.2)+(-3.97443+(-0.759645--1.77786))+0-127.9--0.326144999999981</f>
        <v>1028.7699299999997</v>
      </c>
      <c r="M87" s="3">
        <f>1556.3+(376.8-732.9)+(1.587426+(0.384336-0.747558))+0-134.5-0.137190000000021</f>
        <v>1066.7870140000002</v>
      </c>
      <c r="N87" s="3">
        <f>1562.5+(420.9-729)+(0.796875+(0.214659-0.37179))+0-136.6-0.0696659999999861</f>
        <v>1118.3700780000001</v>
      </c>
      <c r="O87" s="3">
        <f>1539+(410.3-634)+(0.78489+(0.209253-0.32334))+0-133.5-0.0680849999999865</f>
        <v>1182.402718</v>
      </c>
      <c r="P87" s="3">
        <f>1519.9+(403.4-537.4)+(-0.775149+(-0.205734--0.274074))+0-136.9--0.0698189999999861</f>
        <v>1248.36301</v>
      </c>
      <c r="Q87" s="3">
        <f>1490.6+(335.8-378.8)+(0+(0-0))+0-136.8-0</f>
        <v>1310.8</v>
      </c>
      <c r="R87" s="3">
        <f>1494.2+(279.7-285)+(-1.524084+(-0.285294--0.2907))+0-135.3--0.138006000000022</f>
        <v>1352.2193280000004</v>
      </c>
      <c r="S87" s="3">
        <f>1502.4+(361.9-367.8)+(-1.532448+(-0.369138--0.375156))+0-134.4--0.137088000000021</f>
        <v>1360.710658</v>
      </c>
      <c r="T87" s="3">
        <f>1501.7+(379.4-398)+(0+(0-0))+0-129.1-0</f>
        <v>1354</v>
      </c>
      <c r="U87" s="3">
        <f>1484.8+(350.8-373.6)+(1.514496+(0.357816-0.381072))+0-125.7-0.12821400000002</f>
        <v>1337.6630259999999</v>
      </c>
      <c r="V87" s="3">
        <f>1473.3+(331.3-348.7)+(-1.502766+(-0.337926--0.355674))+0-127.2--0.12974400000002</f>
        <v>1327.344726</v>
      </c>
      <c r="W87" s="3">
        <f>1460.7+(259.6-308.6)+(-2.234871+(-0.397188--0.472158))+0-131.4--0.201042000000008</f>
        <v>1278.3411409999999</v>
      </c>
      <c r="X87" s="3">
        <f>1469.9+(391.9-549.5)+(-2.248947+(-0.599607--0.840735))+0-131.2--0.200736000000008</f>
        <v>1179.2929170000002</v>
      </c>
      <c r="Y87" s="3">
        <f>1478.6+(486-680.1)+(-1.508172+(-0.49572--0.693702))+0-133.4--0.136068000000021</f>
        <v>1149.925878</v>
      </c>
      <c r="Z87" s="3">
        <f>1501.6+(361.2-426.9)+(-0.765816+(-0.184212--0.217719))+0-138--0.070379999999986</f>
        <v>1297.2380709999998</v>
      </c>
      <c r="AA87" s="3">
        <f>1533.5+(289.2-340.3)+(-2.346255+(-0.442476--0.520659))+0-136--0.208080000000008</f>
        <v>1344.3400080000001</v>
      </c>
      <c r="AB87" s="3">
        <f>1541.4+(314.4-389.4)+(-2.358342+(-0.481032--0.595782))+0-137.6--0.210528000000008</f>
        <v>1326.7669360000002</v>
      </c>
      <c r="AC87" s="3">
        <f>1534.4+(319.2-443)+(-1.565088+(-0.325584--0.45186))+0-137.4--0.140148000000022</f>
        <v>1271.9013359999999</v>
      </c>
      <c r="AD87">
        <f t="shared" si="1"/>
        <v>29412.223046999996</v>
      </c>
      <c r="AE87" s="3">
        <f>1526+(290-347.1)+(0+(0-0))+0-134.2-0</f>
        <v>1334.7</v>
      </c>
    </row>
    <row r="88" spans="1:31" s="2" customFormat="1" x14ac:dyDescent="0.25">
      <c r="A88">
        <v>89</v>
      </c>
      <c r="B88">
        <v>3</v>
      </c>
      <c r="C88">
        <v>26</v>
      </c>
      <c r="D88">
        <v>5</v>
      </c>
      <c r="E88">
        <v>1</v>
      </c>
      <c r="F88" s="3">
        <f>1537.7+(290.5-479.6)+(-1.568454+(-0.29631--0.489192))+0-136--0.138720000000022</f>
        <v>1211.3631479999999</v>
      </c>
      <c r="G88" s="3">
        <f>1533.2+(241.8-479)+(-0.781932+(-0.123318--0.24429))+0-134.7--0.0686969999999863</f>
        <v>1160.707737</v>
      </c>
      <c r="H88" s="3">
        <f>1466.1+(213-418.4)+(-1.495422+(-0.21726--0.426768))+0-134.3--0.136986000000021</f>
        <v>1125.2510719999998</v>
      </c>
      <c r="I88" s="3">
        <f>1446.2+(193-402.1)+(-2.212686+(-0.29529--0.615213))+0-133.1--0.203643000000008</f>
        <v>1102.31088</v>
      </c>
      <c r="J88" s="3">
        <f>1459.8+(190.6-436.7)+(-0.744498+(-0.097206--0.222717))+0-130.9--0.0667589999999867</f>
        <v>1082.2477719999999</v>
      </c>
      <c r="K88" s="3">
        <f>1477.8+(238.5-557.7)+(-3.76839+(-0.608175--1.422135))+0-130.5--0.332774999999981</f>
        <v>1025.478345</v>
      </c>
      <c r="L88" s="3">
        <f>1493.9+(329.5-708.5)+(-0.761889+(-0.168045--0.361335))+0-128--0.065279999999987</f>
        <v>986.39668100000017</v>
      </c>
      <c r="M88" s="3">
        <f>1526.2+(386.4-757)+(-0.778362+(-0.197064--0.38607))+0-130.9--0.0667589999999867</f>
        <v>1024.1774029999999</v>
      </c>
      <c r="N88" s="3">
        <f>1513.6+(428.5-717)+(-1.543872+(-0.43707--0.73134))+0-137.8--0.140556000000022</f>
        <v>1086.1909539999999</v>
      </c>
      <c r="O88" s="3">
        <f>1499.9+(475.6-679.3)+(-0.764949+(-0.242556--0.346443))+0-136.3--0.0695129999999862</f>
        <v>1159.3084510000003</v>
      </c>
      <c r="P88" s="3">
        <f>1514+(448.3-603.6)+(0+(0-0))+0-137.8-0</f>
        <v>1220.9000000000001</v>
      </c>
      <c r="Q88" s="3">
        <f>1526.7+(421-519)+(-1.557234+(-0.42942--0.52938))+0-139.4--0.142188000000022</f>
        <v>1287.9849139999999</v>
      </c>
      <c r="R88" s="3">
        <f>1510.7+(275.4-310.7)+(0+(0-0))+0-139.8-0</f>
        <v>1335.6000000000001</v>
      </c>
      <c r="S88" s="3">
        <f>1500.5+(336.7-339.8)+(0+(0-0))+0-140.8-0</f>
        <v>1356.6000000000001</v>
      </c>
      <c r="T88" s="3">
        <f>1494.7+(364-373)+(0+(0-0))+0-141.6-0</f>
        <v>1344.1000000000001</v>
      </c>
      <c r="U88" s="3">
        <f>1486.5+(336.4-358.5)+(-0.758115+(-0.171564--0.182835))+0-139.2--0.0709919999999859</f>
        <v>1324.524148</v>
      </c>
      <c r="V88" s="3">
        <f>1474.7+(319.2-335.4)+(1.504194+(0.325584-0.342108))+0-136.7-0.139434000000022</f>
        <v>1323.148236</v>
      </c>
      <c r="W88" s="3">
        <f>1453.5+(299.9-357.9)+(-3.706425+(-0.764745--0.912645))+0-129.9--0.331244999999981</f>
        <v>1262.3727200000001</v>
      </c>
      <c r="X88" s="3">
        <f>1455.7+(466.1-610.9)+(-3.712035+(-1.188555--1.557795))+0-134.8--0.34373999999998</f>
        <v>1173.1009450000001</v>
      </c>
      <c r="Y88" s="3">
        <f>1455.4+(467.4-638.1)+(-1.484508+(-0.476748--0.650862))+0-133.4--0.136068000000021</f>
        <v>1150.1256739999999</v>
      </c>
      <c r="Z88" s="3">
        <f>1475.8+(337.8-382.2)+(0+(0-0))+0-138.4-0</f>
        <v>1293</v>
      </c>
      <c r="AA88" s="3">
        <f>1511+(281.2-317.7)+(-2.31183+(-0.430236--0.486081))+0-141.9--0.217107000000008</f>
        <v>1330.5611219999998</v>
      </c>
      <c r="AB88" s="3">
        <f>1520.9+(268.8-338.2)+(-0.775659+(-0.137088--0.172482))+0-140--0.0713999999999858</f>
        <v>1310.8311350000001</v>
      </c>
      <c r="AC88" s="3">
        <f>1523.6+(265.1-389)+(-0.777036+(-0.135201--0.19839))+0-140.5--0.0716549999999857</f>
        <v>1258.5578079999998</v>
      </c>
      <c r="AD88">
        <f t="shared" si="1"/>
        <v>28934.839144999998</v>
      </c>
      <c r="AE88" s="3">
        <f>1506+(279.1-321.8)+(0+(0-0))+0-143.4-0</f>
        <v>1319.8999999999999</v>
      </c>
    </row>
    <row r="89" spans="1:31" s="2" customFormat="1" x14ac:dyDescent="0.25">
      <c r="A89">
        <v>89</v>
      </c>
      <c r="B89">
        <v>3</v>
      </c>
      <c r="C89">
        <v>27</v>
      </c>
      <c r="D89">
        <v>6</v>
      </c>
      <c r="E89">
        <v>1</v>
      </c>
      <c r="F89" s="3">
        <f>1500.1+(239.1-383.3)+(-1.530102+(-0.243882--0.390966))+0-139.8--0.142596000000022</f>
        <v>1214.8595779999998</v>
      </c>
      <c r="G89" s="3">
        <f>1462.8+(223.6-385.3)+(0+(0-0))+0-137.4-0</f>
        <v>1163.6999999999998</v>
      </c>
      <c r="H89" s="3">
        <f>1302.3+(332.8-370.4)+(-1.992519+(-0.509184--0.566712))+0-137.4--0.210222000000008</f>
        <v>1125.5752309999998</v>
      </c>
      <c r="I89" s="3">
        <f>1321.6+(271.4-346.5)+(-1.348032+(-0.276828--0.35343))+0-137.5--0.140250000000022</f>
        <v>1107.8688199999999</v>
      </c>
      <c r="J89" s="3">
        <f>1433.6+(249.5-451.9)+(-1.462272+(-0.25449--0.460938))+0-135.8--0.138516000000022</f>
        <v>1094.2826919999998</v>
      </c>
      <c r="K89" s="3">
        <f>1468.4+(290.8-573)+(-3.74442+(-0.74154--1.46115))+0-135.6--0.34577999999998</f>
        <v>1047.9209700000001</v>
      </c>
      <c r="L89" s="3">
        <f>1459.2+(354.7-676.1)+(-3.72096+(-0.904485--1.724055))+0-130.8--0.333539999999981</f>
        <v>1004.43215</v>
      </c>
      <c r="M89" s="3">
        <f>1459.7+(411.3-685.2)+(2.233341+(0.629289-1.048356))+0-134.3-0.205479000000008</f>
        <v>1053.1087950000001</v>
      </c>
      <c r="N89" s="3">
        <f>1469.6+(452.3-668.4)+(0+(0-0))+0-137.7-0</f>
        <v>1115.8</v>
      </c>
      <c r="O89" s="3">
        <f>1470.8+(466.2-639.5)+(2.250324+(0.713286-0.978435))+0-133.8-0.204714000000008</f>
        <v>1165.4804610000001</v>
      </c>
      <c r="P89" s="3">
        <f>1449.5+(448.6-531.4)+(0+(0-0))+0-132.5-0</f>
        <v>1234.2</v>
      </c>
      <c r="Q89" s="3">
        <f>1466.5+(358.2-475.1)+(1.49583+(0.365364-0.484602))+0-128.8-0.131376000000021</f>
        <v>1222.045216</v>
      </c>
      <c r="R89" s="3">
        <f>1468.7+(279.1-305.1)+(0+(0-0))+0-127-0</f>
        <v>1315.7</v>
      </c>
      <c r="S89" s="3">
        <f>1457.6+(346.3-338.6)+(0+(0-0))+0-124.1-0</f>
        <v>1341.2</v>
      </c>
      <c r="T89" s="3">
        <f>1447.6+(361.7-358.5)+(0+(0-0))+0-129.2-0</f>
        <v>1321.6</v>
      </c>
      <c r="U89" s="3">
        <f>1438.3+(370.4-355.8)+(-1.467066+(-0.377808--0.362916))+0-130--0.132600000000021</f>
        <v>1321.5506419999997</v>
      </c>
      <c r="V89" s="3">
        <f>1437.3+(346.6-319.3)+(0+(0-0))+0-132.8-0</f>
        <v>1331.8</v>
      </c>
      <c r="W89" s="3">
        <f>1425.9+(295.9-345.2)+(-3.636045+(-0.754545--0.88026))+0-132.7--0.338384999999981</f>
        <v>1240.728055</v>
      </c>
      <c r="X89" s="3">
        <f>1436.9+(425.9-569.5)+(-2.931276+(-0.868836--1.16178))+0-133--0.271319999999994</f>
        <v>1157.9329880000003</v>
      </c>
      <c r="Y89" s="3">
        <f>1388.6+(435.4-557.7)+(-0.708186+(-0.222054--0.284427))+0-128.6--0.0655859999999869</f>
        <v>1137.1197729999997</v>
      </c>
      <c r="Z89" s="3">
        <f>1319.2+(344.4-254.4)+(-0.672792+(-0.175644--0.129744))+0-129.6--0.0660959999999868</f>
        <v>1278.9474040000002</v>
      </c>
      <c r="AA89" s="3">
        <f>1466+(292.7-309.2)+(-3.7383+(-0.746385--0.78846))+0-130.7--0.333284999999981</f>
        <v>1315.43706</v>
      </c>
      <c r="AB89" s="3">
        <f>1479.3+(287.8-332.8)+(-0.754443+(-0.146778--0.169728))+0-133.2--0.0679319999999865</f>
        <v>1300.4364389999998</v>
      </c>
      <c r="AC89" s="3">
        <f>1481.3+(282.5-366.8)+(-3.021852+(-0.5763--0.748272))+0-133.9--0.273155999999994</f>
        <v>1260.5232759999999</v>
      </c>
      <c r="AD89">
        <f t="shared" si="1"/>
        <v>28872.249549999997</v>
      </c>
      <c r="AE89" s="3">
        <f>1466+(285.2-311.4)+(0+(0-0))+0-132.5-0</f>
        <v>1307.3</v>
      </c>
    </row>
    <row r="90" spans="1:31" s="2" customFormat="1" x14ac:dyDescent="0.25">
      <c r="A90">
        <v>89</v>
      </c>
      <c r="B90">
        <v>3</v>
      </c>
      <c r="C90">
        <v>28</v>
      </c>
      <c r="D90">
        <v>7</v>
      </c>
      <c r="E90">
        <v>1</v>
      </c>
      <c r="F90" s="3">
        <f>1479.7+(318-436.6)+(-2.263941+(-0.48654--0.667998))+0-129.3--0.197829000000007</f>
        <v>1229.915346</v>
      </c>
      <c r="G90" s="3">
        <f>1487.1+(315.4-492.9)+(-1.516842+(-0.321708--0.502758))+0-127.3--0.12984600000002</f>
        <v>1181.0940539999999</v>
      </c>
      <c r="H90" s="3">
        <f>1489.1+(301.3-516.5)+(-2.278323+(-0.460989--0.790245))+0-128.3--0.196299000000007</f>
        <v>1143.8472319999998</v>
      </c>
      <c r="I90" s="3">
        <f>1495.6+(252.2-500.4)+(-2.288268+(-0.385866--0.765612))+0-127.8--0.195534000000007</f>
        <v>1117.8870119999999</v>
      </c>
      <c r="J90" s="3">
        <f>1493.3+(234.4-497.1)+(-2.284749+(-0.358632--0.760563))+0-127.9--0.195687000000007</f>
        <v>1101.0128689999997</v>
      </c>
      <c r="K90" s="3">
        <f>1470.1+(229.1-494.1)+(-2.249253+(-0.350523--0.755973))+0-126.7--0.193851000000007</f>
        <v>1076.7500479999999</v>
      </c>
      <c r="L90" s="3">
        <f>1467.6+(225.9-539.4)+(0+(0-0))+0-121.4-0</f>
        <v>1032.6999999999998</v>
      </c>
      <c r="M90" s="3">
        <f>1453.8+(255-541.8)+(0+(0-0))+0-124-0</f>
        <v>1043</v>
      </c>
      <c r="N90" s="3">
        <f>1483.4+(319.1-590.1)+(-3.026136+(-0.650964--1.203804))+0-127.6--0.260303999999994</f>
        <v>1082.5870080000002</v>
      </c>
      <c r="O90" s="3">
        <f>1492.9+(395-571.4)+(-2.284137+(-0.60435--0.874242))+0-125.9--0.192627000000007</f>
        <v>1188.7783819999997</v>
      </c>
      <c r="P90" s="3">
        <f>1471.2+(440.6-576.5)+(0+(0-0))+0-126.5-0</f>
        <v>1208.8000000000002</v>
      </c>
      <c r="Q90" s="3">
        <f>1455.2+(398.1-464.7)+(0+(0-0))+0-127.7-0</f>
        <v>1260.9000000000001</v>
      </c>
      <c r="R90" s="3">
        <f>1449.5+(360.6-391.7)+(-0.739245+(-0.183906--0.199767))+0-143.5--0.0731849999999854</f>
        <v>1274.2498010000002</v>
      </c>
      <c r="S90" s="3">
        <f>1445+(389.4-419.6)+(-0.73695+(-0.198594--0.213996))+0-148.5--0.0757349999999849</f>
        <v>1265.6541869999999</v>
      </c>
      <c r="T90" s="3">
        <f>1438.6+(435.7-445.4)+(-0.733686+(-0.222207--0.227154))+0-147.1--0.0750209999999851</f>
        <v>1281.1462819999999</v>
      </c>
      <c r="U90" s="3">
        <f>1422.4+(408.2-432.9)+(-1.450848+(-0.416364--0.441558))+0-140.5--0.143310000000022</f>
        <v>1255.9176560000001</v>
      </c>
      <c r="V90" s="3">
        <f>1418.8+(335.5-381.2)+(-0.723588+(-0.171105--0.194412))+0-144.3--0.0735929999999854</f>
        <v>1228.1733120000001</v>
      </c>
      <c r="W90" s="3">
        <f>1426.9+(278-406.2)+(-2.183157+(-0.42534--0.621486))+0-142.4--0.217872000000008</f>
        <v>1154.530861</v>
      </c>
      <c r="X90" s="3">
        <f>1445.9+(413-631.4)+(-3.687045+(-1.05315--1.61007))+0-144.3--0.367964999999979</f>
        <v>1080.4378400000001</v>
      </c>
      <c r="Y90" s="3">
        <f>1475.1+(420.9-660.7)+(-1.504602+(-0.429318--0.673914))+0-141.6--0.144432000000023</f>
        <v>1092.5844259999999</v>
      </c>
      <c r="Z90" s="3">
        <f>1489.6+(359.6-462)+(-0.759696+(-0.183396--0.23562))+0-146.5--0.0747149999999851</f>
        <v>1240.0672429999997</v>
      </c>
      <c r="AA90" s="3">
        <f>1508.7+(266.2-337)+(-2.308311+(-0.407286--0.51561))+0-147.4--0.225522000000009</f>
        <v>1288.525535</v>
      </c>
      <c r="AB90" s="3">
        <f>1509.1+(325.1-410.8)+(-1.539282+(-0.331602--0.419016))+0-145--0.147900000000023</f>
        <v>1277.0960319999997</v>
      </c>
      <c r="AC90" s="3">
        <f>1506.4+(369.2-491.3)+(-3.073056+(-0.753168--1.002252))+0-144.9--0.295595999999994</f>
        <v>1236.8716240000001</v>
      </c>
      <c r="AD90">
        <f t="shared" si="1"/>
        <v>28342.526750000005</v>
      </c>
      <c r="AE90" s="3">
        <f>1501+(304-372.6)+(0+(0-0))+0-135.3-0</f>
        <v>1297.1000000000001</v>
      </c>
    </row>
    <row r="91" spans="1:31" s="2" customFormat="1" x14ac:dyDescent="0.25">
      <c r="A91">
        <v>89</v>
      </c>
      <c r="B91">
        <v>3</v>
      </c>
      <c r="C91">
        <v>29</v>
      </c>
      <c r="D91">
        <v>1</v>
      </c>
      <c r="E91">
        <v>1</v>
      </c>
      <c r="F91" s="3">
        <f>1408.6+(411.3-465.2)+(-1.436772+(-0.419526--0.474504))+0-131.3--0.133926000000021</f>
        <v>1222.1521319999999</v>
      </c>
      <c r="G91" s="3">
        <f>1327.1+(396.5-424.9)+(-2.707284+(-0.80886--0.866796))+0-125.9--0.256835999999995</f>
        <v>1170.4074879999998</v>
      </c>
      <c r="H91" s="3">
        <f>1360.6+(321.7-417.5)+(-2.081718+(-0.492201--0.638775))+0-127.2--0.194616000000007</f>
        <v>1135.8594719999999</v>
      </c>
      <c r="I91" s="3">
        <f>1498.5+(244.1-500.4)+(-4.58541+(-0.746946--1.531224))+0-126.7--0.387702000000015</f>
        <v>1112.0865699999999</v>
      </c>
      <c r="J91" s="3">
        <f>1526.1+(231.7-525.1)+(0+(0-0))+0-126.7-0</f>
        <v>1105.9999999999998</v>
      </c>
      <c r="K91" s="3">
        <f>1533+(184.4-508.5)+(-0.78183+(-0.094044--0.259335))+0-125.9--0.0642089999999872</f>
        <v>1082.4476699999998</v>
      </c>
      <c r="L91" s="3">
        <f>1531.3+(194.1-557.6)+(-0.780963+(-0.098991--0.284376))+0-123.8--0.0631379999999874</f>
        <v>1043.46756</v>
      </c>
      <c r="M91" s="3">
        <f>1527.7+(224.5-546.4)+(-1.558254+(-0.22899--0.557328))+0-126--0.12852000000002</f>
        <v>1078.6986040000002</v>
      </c>
      <c r="N91" s="3">
        <f>1510+(285.4-518.8)+(0.7701+(0.145554-0.264588))+0-129.3-0.0659429999999869</f>
        <v>1147.8851229999998</v>
      </c>
      <c r="O91" s="3">
        <f>1467.6+(320.6-440.3)+(0.748476+(0.163506-0.224553))+0-129.5-0.0660449999999869</f>
        <v>1219.0213839999999</v>
      </c>
      <c r="P91" s="3">
        <f>1445.9+(308.8-345.9)+(-1.474818+(-0.314976--0.352818))+0-132.1--0.134742000000021</f>
        <v>1275.3977660000003</v>
      </c>
      <c r="Q91" s="3">
        <f>1461.8+(321.5-292.6)+(1.491036+(0.32793-0.298452))+0-132.7-0.135354000000021</f>
        <v>1359.3851599999998</v>
      </c>
      <c r="R91" s="3">
        <f>1445.3+(400.2-330.2)+(-1.474206+(-0.408204--0.336804))+0-128.1--0.13066200000002</f>
        <v>1385.7850560000002</v>
      </c>
      <c r="S91" s="3">
        <f>1433.7+(454.5-389.7)+(0+(0-0))+0-131.6-0</f>
        <v>1366.9</v>
      </c>
      <c r="T91" s="3">
        <f>1435.9+(457.7-391.8)+(-0.732309+(-0.233427--0.199818))+0-131.2--0.0669119999999867</f>
        <v>1369.9009940000001</v>
      </c>
      <c r="U91" s="3">
        <f>1417.9+(448-383)+(-1.446258+(-0.45696--0.39066))+0-130--0.132600000000021</f>
        <v>1351.5200420000001</v>
      </c>
      <c r="V91" s="3">
        <f>1436+(456.1-396.4)+(0.73236+(0.232611-0.202164))+0-132.4-0.0675239999999866</f>
        <v>1363.995283</v>
      </c>
      <c r="W91" s="3">
        <f>1436+(406.5-386.5)+(-2.92944+(-0.82926--0.78846))+0-133.4--0.272135999999994</f>
        <v>1319.9018959999999</v>
      </c>
      <c r="X91" s="3">
        <f>1426.7+(242.8-295.9)+(-4.365702+(-0.742968--0.905454))+0-132.2--0.404532000000015</f>
        <v>1237.601316</v>
      </c>
      <c r="Y91" s="3">
        <f>1429.1+(224-311.8)+(-0.728841+(-0.11424--0.159018))+0-131.3--0.0669629999999867</f>
        <v>1209.3829000000001</v>
      </c>
      <c r="Z91" s="3">
        <f>1449+(428.8-397.3)+(0+(0-0))+0-135.4-0</f>
        <v>1345.1</v>
      </c>
      <c r="AA91" s="3">
        <f>1469.3+(480.1-430.7)+(0+(0-0))+0-137.3-0</f>
        <v>1381.4</v>
      </c>
      <c r="AB91" s="3">
        <f>1485.2+(508.4-495.5)+(-2.272356+(-0.777852--0.758115))+0-137--0.209610000000008</f>
        <v>1359.017517</v>
      </c>
      <c r="AC91" s="3">
        <f>1482.4+(519.9-558.3)+(-1.512048+(-0.530298--0.569466))+0-138--0.140760000000022</f>
        <v>1304.66788</v>
      </c>
      <c r="AD91">
        <f t="shared" si="1"/>
        <v>29947.981813000002</v>
      </c>
      <c r="AE91" s="3">
        <f>1467+(480.5-432.4)+(0+(0-0))+0-136.1-0</f>
        <v>1379</v>
      </c>
    </row>
    <row r="92" spans="1:31" s="2" customFormat="1" x14ac:dyDescent="0.25">
      <c r="A92">
        <v>89</v>
      </c>
      <c r="B92">
        <v>3</v>
      </c>
      <c r="C92">
        <v>30</v>
      </c>
      <c r="D92">
        <v>2</v>
      </c>
      <c r="E92">
        <v>1</v>
      </c>
      <c r="F92" s="3">
        <f>1490.8+(426.4-546.2)+(-3.041232+(-0.869856--1.114248))+0-125.2--0.255407999999995</f>
        <v>1243.258568</v>
      </c>
      <c r="G92" s="3">
        <f>1491.3+(408.6-571.5)+(-0.760563+(-0.208386--0.291465))+0-134.3--0.0684929999999864</f>
        <v>1193.4910090000001</v>
      </c>
      <c r="H92" s="3">
        <f>1496.9+(362.5-566.4)+(0.763419+(0.184875-0.288864))+0-131.8-0.0672179999999866</f>
        <v>1161.7922120000001</v>
      </c>
      <c r="I92" s="3">
        <f>1500.2+(299.9-527.4)+(-2.295306+(-0.458847--0.806922))+0-131.4--0.201042000000008</f>
        <v>1139.5538109999998</v>
      </c>
      <c r="J92" s="3">
        <f>1518.5+(240-495.9)+(-2.323305+(-0.3672--0.758727))+0-131.5--0.201195000000008</f>
        <v>1129.3694170000001</v>
      </c>
      <c r="K92" s="3">
        <f>1530.2+(167.2-457.7)+(-3.121608+(-0.341088--0.933708))+0-131.7--0.268667999999994</f>
        <v>1105.7396799999999</v>
      </c>
      <c r="L92" s="3">
        <f>1526.5+(171-493.1)+(0.778515+(0.08721-0.251481))+0-131.6-0.0671159999999866</f>
        <v>1073.3471280000003</v>
      </c>
      <c r="M92" s="3">
        <f>1525.6+(203-479.4)+(0+(0-0))+0-135.7-0</f>
        <v>1113.4999999999998</v>
      </c>
      <c r="N92" s="3">
        <f>1513.8+(215.5-410)+(1.544076+(0.21981-0.4182))+0-139.4-0.142188000000022</f>
        <v>1181.1034979999997</v>
      </c>
      <c r="O92" s="3">
        <f>1490.3+(242.2-345.5)+(1.520106+(0.247044-0.35241))+0-135.9-0.138618000000022</f>
        <v>1252.3761219999999</v>
      </c>
      <c r="P92" s="3">
        <f>1466+(324.2-341.3)+(0.74766+(0.165342-0.174063))+0-129.3-0.0659429999999869</f>
        <v>1320.2729960000001</v>
      </c>
      <c r="Q92" s="3">
        <f>1448.3+(456.6-401.3)+(0.738633+(0.232866-0.204663))+0-128.8-0.0656879999999869</f>
        <v>1375.5011480000001</v>
      </c>
      <c r="R92" s="3">
        <f>1435.9+(630-536.1)+(0.732309+(0.3213-0.273411))+0-131.6-0.0671159999999866</f>
        <v>1398.9130820000003</v>
      </c>
      <c r="S92" s="3">
        <f>1433.7+(656.7-618.5)+(0+(0-0))+0-134.7-0</f>
        <v>1337.2</v>
      </c>
      <c r="T92" s="3">
        <f>1429.4+(703.7-652.9)+(0.728994+(0.358887-0.332979))+2.5-133.2-0.0679319999999865</f>
        <v>1350.1869700000002</v>
      </c>
      <c r="U92" s="3">
        <f>1422.9+(679.7-622.4)+(-1.451358+(-0.693294--0.634848))+18.8-133--0.135660000000021</f>
        <v>1364.6258560000001</v>
      </c>
      <c r="V92" s="3">
        <f>1378.4+(603.4-517.5)+(-1.405968+(-0.615468--0.52785))+20-127.7--0.13025400000002</f>
        <v>1355.236668</v>
      </c>
      <c r="W92" s="3">
        <f>1372.4+(353.8-339.8)+(-1.399848+(-0.360876--0.346596))+3.3-125.9--0.12841800000002</f>
        <v>1262.5142900000001</v>
      </c>
      <c r="X92" s="3">
        <f>1381.4+(207.6-263.4)+(-2.113542+(-0.317628--0.403002))+0-117.5--0.179775000000007</f>
        <v>1206.2516070000001</v>
      </c>
      <c r="Y92" s="3">
        <f>1389.5+(233-292.6)+(-0.708645+(-0.11883--0.149226))+0-124.6--0.0635459999999874</f>
        <v>1204.6852970000002</v>
      </c>
      <c r="Z92" s="3">
        <f>1446.1+(465.8-411.8)+(0+(0-0))+0-136.6-0</f>
        <v>1363.5</v>
      </c>
      <c r="AA92" s="3">
        <f>1451.9+(562.2-500.4)+(-1.480938+(-0.573444--0.510408))+0-141.1--0.143922000000023</f>
        <v>1371.1999480000004</v>
      </c>
      <c r="AB92" s="3">
        <f>1432.9+(553.5-536.4)+(-0.730779+(-0.282285--0.273564))+0-137.9--0.070328999999986</f>
        <v>1311.4308289999999</v>
      </c>
      <c r="AC92" s="3">
        <f>1438.1+(582.5-588.8)+(0+(0-0))+0-137.7-0</f>
        <v>1294.0999999999999</v>
      </c>
      <c r="AD92">
        <f t="shared" si="1"/>
        <v>30109.150135999997</v>
      </c>
      <c r="AE92" s="3">
        <f>1424+(601.6-509.7)+(0+(0-0))+0-137-0</f>
        <v>1378.9</v>
      </c>
    </row>
    <row r="93" spans="1:31" s="2" customFormat="1" x14ac:dyDescent="0.25">
      <c r="A93">
        <v>89</v>
      </c>
      <c r="B93">
        <v>3</v>
      </c>
      <c r="C93">
        <v>31</v>
      </c>
      <c r="D93">
        <v>3</v>
      </c>
      <c r="E93">
        <v>1</v>
      </c>
      <c r="F93" s="3">
        <f>1445.7+(551.7-602)+(-0.737307+(-0.281367--0.30702))+0-138.7--0.0707369999999859</f>
        <v>1256.0590830000001</v>
      </c>
      <c r="G93" s="3">
        <f>1461.4+(457.4-574.7)+(0.745314+(0.233274-0.293097))+0-135.4-0.0690539999999863</f>
        <v>1209.3164369999997</v>
      </c>
      <c r="H93" s="3">
        <f>1473.9+(402.9-575.7)+(0.751689+(0.205479-0.293607))+0-133.9-0.0682889999999864</f>
        <v>1167.7952719999998</v>
      </c>
      <c r="I93" s="3">
        <f>1475.2+(468.6-665.4)+(1.504704+(0.477972-0.678708))+0-135.2-0.137904000000022</f>
        <v>1144.3660640000001</v>
      </c>
      <c r="J93" s="3">
        <f>1494.3+(459.4-683.7)+(3.048372+(0.937176-1.394748))+0-134.4-0.274175999999994</f>
        <v>1137.916624</v>
      </c>
      <c r="K93" s="3">
        <f>1493.7+(407.4-663.9)+(0+(0-0))+0-132.6-0</f>
        <v>1104.6000000000001</v>
      </c>
      <c r="L93" s="3">
        <f>1504+(272.4-562.2)+(-0.76704+(-0.138924--0.286722))+0-130.3--0.0664529999999868</f>
        <v>1083.3472109999998</v>
      </c>
      <c r="M93" s="3">
        <f>1493.9+(293.5-526.4)+(0+(0-0))+0-133.3-0</f>
        <v>1127.7</v>
      </c>
      <c r="N93" s="3">
        <f>1460.2+(398.4-536.6)+(1.489404+(0.406368-0.547332))+0-131.4-0.134028000000021</f>
        <v>1191.8144119999999</v>
      </c>
      <c r="O93" s="3">
        <f>1452.9+(467.5-539.2)+(1.481958+(0.47685-0.549984))+0-126.9-0.12943800000002</f>
        <v>1255.5793860000001</v>
      </c>
      <c r="P93" s="3">
        <f>1442.3+(563-541.6)+(0+(0-0))+0-126.4-0</f>
        <v>1337.2999999999997</v>
      </c>
      <c r="Q93" s="3">
        <f>1428.2+(755.5-666.7)+(0+(0-0))+11.7-126.2-0</f>
        <v>1402.5</v>
      </c>
      <c r="R93" s="3">
        <f>1419.9+(903.7-817.8)+(0.724149+(0.460887-0.417078))+44.2-124.9-0.0636989999999873</f>
        <v>1425.804259</v>
      </c>
      <c r="S93" s="3">
        <f>1414.9+(940.3-929.9)+(0+(0-0))+55-127-0</f>
        <v>1353.3000000000002</v>
      </c>
      <c r="T93" s="3">
        <f>1410.6+(998.7-956.5)+(0.719406+(0.509337-0.487815))+55-129.4-0.0659939999999869</f>
        <v>1379.0749339999998</v>
      </c>
      <c r="U93" s="3">
        <f>1434.7+(919.8-932.4)+(-0.731697+(-0.469098--0.475524))+55-128.9--0.0657389999999869</f>
        <v>1347.5404679999997</v>
      </c>
      <c r="V93" s="3">
        <f>1444.7+(850.4-841.1)+(1.473594+(0.867408-0.857922))+55-130-0.132600000000021</f>
        <v>1380.3504800000001</v>
      </c>
      <c r="W93" s="3">
        <f>1426.1+(544.4-544.1)+(0.727311+(0.277644-0.277491))+6.7-130.4-0.0665039999999868</f>
        <v>1303.36096</v>
      </c>
      <c r="X93" s="3">
        <f>1425+(206.7-370.5)+(0+(0-0))+0-129.3-0</f>
        <v>1131.9000000000001</v>
      </c>
      <c r="Y93" s="3">
        <f>1438.1+(288.1-382.6)+(1.466862+(0.293862-0.390252))+0-130.5-0.133110000000021</f>
        <v>1214.337362</v>
      </c>
      <c r="Z93" s="3">
        <f>1465.5+(615.7-568.6)+(0+(0-0))+0-139.3-0</f>
        <v>1373.3</v>
      </c>
      <c r="AA93" s="3">
        <f>1484.1+(798.7-722.4)+(-0.756891+(-0.407337--0.368424))+0-139.7--0.0712469999999858</f>
        <v>1419.975443</v>
      </c>
      <c r="AB93" s="3">
        <f>1492.7+(810.4-777.3)+(0+(0-0))+0-134.2-0</f>
        <v>1391.6000000000001</v>
      </c>
      <c r="AC93" s="3">
        <f>1488.5+(641.3-652.2)+(-2.277405+(-0.981189--0.997866))+0-135.7--0.207621000000008</f>
        <v>1339.8468929999999</v>
      </c>
      <c r="AD93">
        <f t="shared" si="1"/>
        <v>30478.685288000001</v>
      </c>
      <c r="AE93" s="3">
        <f>1481+(792.9-717.9)+(0+(0-0))+0-137.6-0</f>
        <v>1418.4</v>
      </c>
    </row>
    <row r="94" spans="1:31" s="2" customFormat="1" x14ac:dyDescent="0.25">
      <c r="A94">
        <v>89</v>
      </c>
      <c r="B94">
        <v>4</v>
      </c>
      <c r="C94">
        <v>1</v>
      </c>
      <c r="D94">
        <v>4</v>
      </c>
      <c r="E94">
        <v>1</v>
      </c>
      <c r="F94" s="3">
        <f>1491+(465.6-532.8)+(-3.80205+(-1.18728--1.35864))+0-133.1--0.339404999999981</f>
        <v>1287.4087150000003</v>
      </c>
      <c r="G94" s="3">
        <f>1499.6+(415.8-545)+(-2.294388+(-0.636174--0.83385))+0-131.7--0.201501000000008</f>
        <v>1236.8047889999998</v>
      </c>
      <c r="H94" s="3">
        <f>1498.8+(372.5-543.4)+(-3.057552+(-0.7599--1.108536))+0-128.9--0.262955999999994</f>
        <v>1196.55404</v>
      </c>
      <c r="I94" s="3">
        <f>1499+(326-518.8)+(-2.29347+(-0.49878--0.793764))+0-130.6--0.199818000000008</f>
        <v>1173.8013320000002</v>
      </c>
      <c r="J94" s="3">
        <f>1516+(278.2-503)+(-0.77316+(-0.141882--0.25653))+0-127.2--0.0648719999999871</f>
        <v>1163.4063599999999</v>
      </c>
      <c r="K94" s="3">
        <f>1514.4+(195.2-449.9)+(-3.089376+(-0.398208--0.917796))+0-125.4--0.255815999999995</f>
        <v>1131.986028</v>
      </c>
      <c r="L94" s="3">
        <f>1517.2+(191.7-469.8)+(0.773772+(0.097767-0.239598))+0-122-0.0622199999999876</f>
        <v>1117.669721</v>
      </c>
      <c r="M94" s="3">
        <f>1513.7+(207.6-446.2)+(1.543974+(0.211752-0.455124))+0-126.6-0.12913200000002</f>
        <v>1149.6714700000002</v>
      </c>
      <c r="N94" s="3">
        <f>1501.4+(236.9-426.1)+(-0.765714+(-0.120819--0.217311))+0-128.9--0.0657389999999869</f>
        <v>1182.6965169999999</v>
      </c>
      <c r="O94" s="3">
        <f>1463.3+(254.5-370.1)+(1.492566+(0.25959-0.377502))+0-124.7-0.12719400000002</f>
        <v>1224.2474599999998</v>
      </c>
      <c r="P94" s="3">
        <f>1445.1+(307.9-313.1)+(0.737001+(0.157029-0.159681))+0-128-0.065279999999987</f>
        <v>1312.5690689999999</v>
      </c>
      <c r="Q94" s="3">
        <f>1433.6+(448.6-369.9)+(0+(0-0))+0-127.2-0</f>
        <v>1385.1</v>
      </c>
      <c r="R94" s="3">
        <f>1423.6+(534.1-448.7)+(-0.726036+(-0.272391--0.228837))+0-123.8--0.0631379999999874</f>
        <v>1384.4935479999999</v>
      </c>
      <c r="S94" s="3">
        <f>1426+(554.5-453.2)+(-1.45452+(-0.56559--0.462264))+0-122.4--0.12484800000002</f>
        <v>1403.4670019999999</v>
      </c>
      <c r="T94" s="3">
        <f>1423.8+(527.6-444.1)+(0.726138+(0.269076-0.226491))+0-120.5-0.0614549999999878</f>
        <v>1387.5072679999998</v>
      </c>
      <c r="U94" s="3">
        <f>1420.7+(457.6-398.8)+(2.173671+(0.700128-0.610164))+0-118.1-0.180693000000007</f>
        <v>1363.4829420000001</v>
      </c>
      <c r="V94" s="3">
        <f>1427.2+(382.1-330.3)+(-1.455744+(-0.389742--0.336906))+0-123--0.12546000000002</f>
        <v>1354.61688</v>
      </c>
      <c r="W94" s="3">
        <f>1430.3+(281.5-255.7)+(-1.458906+(-0.28713--0.260814))+0-129.7--0.132294000000021</f>
        <v>1325.0470719999998</v>
      </c>
      <c r="X94" s="3">
        <f>1433.2+(395.1-448.2)+(-2.192796+(-0.604503--0.685746))+0-130--0.198900000000008</f>
        <v>1248.1873470000003</v>
      </c>
      <c r="Y94" s="3">
        <f>1440.5+(401.1-488.1)+(0.734655+(0.204561-0.248931))+0-126.4-0.0644639999999872</f>
        <v>1227.7258209999998</v>
      </c>
      <c r="Z94" s="3">
        <f>1468.3+(362.1-322.2)+(-2.246499+(-0.554013--0.492966))+0-130.4--0.199512000000008</f>
        <v>1375.6919659999999</v>
      </c>
      <c r="AA94" s="3">
        <f>1494.9+(439.9-374.2)+(-0.762399+(-0.224349--0.190842))+0-137.8--0.070277999999986</f>
        <v>1422.074372</v>
      </c>
      <c r="AB94" s="3">
        <f>1491.2+(443-398.9)+(0+(0-0))+0-137.1-0</f>
        <v>1398.2000000000003</v>
      </c>
      <c r="AC94" s="3">
        <f>1473.1+(454.1-444.2)+(-0.751281+(-0.231591--0.226542))+0-137.2--0.0699719999999861</f>
        <v>1345.113642</v>
      </c>
      <c r="AD94">
        <f t="shared" si="1"/>
        <v>30797.523361000003</v>
      </c>
      <c r="AE94" s="3">
        <f>1491+(445.2-374.4)+(0+(0-0))+0-133.2-0</f>
        <v>1428.6</v>
      </c>
    </row>
    <row r="95" spans="1:31" s="2" customFormat="1" x14ac:dyDescent="0.25">
      <c r="A95">
        <v>89</v>
      </c>
      <c r="B95">
        <v>4</v>
      </c>
      <c r="C95">
        <v>2</v>
      </c>
      <c r="D95">
        <v>5</v>
      </c>
      <c r="E95">
        <v>1</v>
      </c>
      <c r="F95" s="3">
        <f>1467.9+(405.6-440.7)+(0+(0-0))+0-139-0</f>
        <v>1293.8000000000002</v>
      </c>
      <c r="G95" s="3">
        <f>1476+(343.2-441.7)+(-1.50552+(-0.350064--0.450534))+0-135.5--0.138210000000022</f>
        <v>1240.73316</v>
      </c>
      <c r="H95" s="3">
        <f>1492.9+(308.6-458.6)+(0+(0-0))+0-132.8-0</f>
        <v>1210.1000000000001</v>
      </c>
      <c r="I95" s="3">
        <f>1507.6+(275.5-464.9)+(-1.537752+(-0.28101--0.474198))+0-132--0.134640000000021</f>
        <v>1184.9900759999998</v>
      </c>
      <c r="J95" s="3">
        <f>1516.3+(238.6-453.7)+(-0.773313+(-0.121686--0.231387))+0-130.1--0.0663509999999868</f>
        <v>1170.502739</v>
      </c>
      <c r="K95" s="3">
        <f>1517.3+(209.8-449.9)+(-1.547646+(-0.213996--0.458898))+0-130.9--0.133518000000021</f>
        <v>1145.130774</v>
      </c>
      <c r="L95" s="3">
        <f>1517+(245.4-523.3)+(-0.77367+(-0.125154--0.266883))+0-128.3--0.065432999999987</f>
        <v>1110.2334919999998</v>
      </c>
      <c r="M95" s="3">
        <f>1508.4+(309.3-549.9)+(-0.769284+(-0.157743--0.280449))+0-129.4--0.0659939999999869</f>
        <v>1137.819416</v>
      </c>
      <c r="N95" s="3">
        <f>1494.6+(373-560)+(0+(0-0))+0-122.6-0</f>
        <v>1185</v>
      </c>
      <c r="O95" s="3">
        <f>1501.3+(397.3-525.7)+(-2.296989+(-0.607869--0.804321))+0-105.6--0.161568000000006</f>
        <v>1265.3610309999999</v>
      </c>
      <c r="P95" s="3">
        <f>1495.5+(371.2-440.2)+(0.762705+(0.189312-0.224502))+0-99.7-0.0508469999999899</f>
        <v>1327.476668</v>
      </c>
      <c r="Q95" s="3">
        <f>1487.6+(356.4-351.3)+(-0.758676+(-0.181764--0.179163))+0-96.6--0.0492659999999902</f>
        <v>1395.3879889999998</v>
      </c>
      <c r="R95" s="3">
        <f>1477.2+(465.3-401.5)+(0.753372+(0.237303-0.204765))+0-103.9-0.0529889999999895</f>
        <v>1437.8329209999999</v>
      </c>
      <c r="S95" s="3">
        <f>1470.1+(504.1-463.8)+(-0.749751+(-0.257091--0.236538))+0-107.9--0.0550289999999891</f>
        <v>1401.7847249999998</v>
      </c>
      <c r="T95" s="3">
        <f>1460+(595-536.2)+(1.4892+(0.6069-0.546924))+0-111.9-0.114138000000018</f>
        <v>1408.3350379999999</v>
      </c>
      <c r="U95" s="3">
        <f>1428.6+(518.6-464.8)+(0.728586+(0.264486-0.237048))+0-109.2-0.0556919999999889</f>
        <v>1373.9003319999999</v>
      </c>
      <c r="V95" s="3">
        <f>1426.5+(421.4-373.6)+(0+(0-0))+0-113.3-0</f>
        <v>1361</v>
      </c>
      <c r="W95" s="3">
        <f>1430.8+(272.1-279.7)+(-0.729708+(-0.138771--0.142647))+0-120.9--0.0616589999999877</f>
        <v>1301.6358269999998</v>
      </c>
      <c r="X95" s="3">
        <f>1438.7+(403.6-492.2)+(-2.201211+(-0.617508--0.753066))+0-132.5--0.202725000000008</f>
        <v>1215.7370720000001</v>
      </c>
      <c r="Y95" s="3">
        <f>1443.2+(475.4-610.3)+(-1.472064+(-0.484908--0.622506))+0-131.3--0.133926000000021</f>
        <v>1175.7994600000002</v>
      </c>
      <c r="Z95" s="3">
        <f>1448+(396.2-396.9)+(0+(0-0))+0-134-0</f>
        <v>1313.3</v>
      </c>
      <c r="AA95" s="3">
        <f>1474.3+(401.8-369.4)+(-2.255679+(-0.614754--0.565182))+0-134.3--0.205479000000008</f>
        <v>1370.3002280000001</v>
      </c>
      <c r="AB95" s="3">
        <f>1477.1+(416.7-402.8)+(-1.506642+(-0.425034--0.410856))+0-133.7--0.136374000000021</f>
        <v>1355.9155539999999</v>
      </c>
      <c r="AC95" s="3">
        <f>1471.2+(410.5-448)+(-0.750312+(-0.209355--0.22848))+0-131.1--0.0668609999999867</f>
        <v>1301.9356740000001</v>
      </c>
      <c r="AD95">
        <f t="shared" si="1"/>
        <v>30684.012176</v>
      </c>
      <c r="AE95" s="3">
        <f>1468+(410.5-379.8)+(0+(0-0))+0-124.2-0</f>
        <v>1374.5</v>
      </c>
    </row>
    <row r="96" spans="1:31" s="2" customFormat="1" x14ac:dyDescent="0.25">
      <c r="A96">
        <v>89</v>
      </c>
      <c r="B96">
        <v>4</v>
      </c>
      <c r="C96">
        <v>3</v>
      </c>
      <c r="D96">
        <v>6</v>
      </c>
      <c r="E96">
        <v>1</v>
      </c>
      <c r="F96" s="3">
        <f>1472.4+(407.9-483.6)+(-3.003696+(-0.832116--0.986544))+0-131.9--0.269075999999994</f>
        <v>1262.2198080000001</v>
      </c>
      <c r="G96" s="3">
        <f>1492.3+(328.7-478.7)+(-3.805365+(-0.838185--1.220685))+0-126.7--0.323084999999982</f>
        <v>1212.5002199999999</v>
      </c>
      <c r="H96" s="3">
        <f>1507.5+(259.6-464.7)+(-0.768825+(-0.132396--0.236997))+0-126.9--0.0647189999999871</f>
        <v>1174.9004949999999</v>
      </c>
      <c r="I96" s="3">
        <f>1506.4+(209.8-436.1)+(-1.536528+(-0.213996--0.444822))+0-127.1--0.12964200000002</f>
        <v>1151.8239400000002</v>
      </c>
      <c r="J96" s="3">
        <f>1509.2+(198.1-437.8)+(-0.769692+(-0.101031--0.223278))+0-126.7--0.0646169999999871</f>
        <v>1142.2171719999999</v>
      </c>
      <c r="K96" s="3">
        <f>1519+(176.4-457.3)+(-2.32407+(-0.269892--0.699669))+0-124.8--0.190944000000007</f>
        <v>1111.5966509999998</v>
      </c>
      <c r="L96" s="3">
        <f>1527.3+(191.1-524.6)+(0+(0-0))+0-122.6-0</f>
        <v>1071.2</v>
      </c>
      <c r="M96" s="3">
        <f>1503.4+(196.2-466.2)+(-0.766734+(-0.100062--0.237762))+0-126.7--0.0646169999999871</f>
        <v>1106.135583</v>
      </c>
      <c r="N96" s="3">
        <f>1491.2+(254.8-449.5)+(0+(0-0))+0-132.7-0</f>
        <v>1163.8</v>
      </c>
      <c r="O96" s="3">
        <f>1478.3+(294.8-417.8)+(0.753933+(0.150348-0.213078))+0-131.5-0.0670649999999867</f>
        <v>1224.4241380000001</v>
      </c>
      <c r="P96" s="3">
        <f>1467.3+(315.6-353.3)+(1.496646+(0.321912-0.360366))+0-135.5-0.138210000000022</f>
        <v>1295.4199819999999</v>
      </c>
      <c r="Q96" s="3">
        <f>1454.2+(349.4-311.9)+(2.224926+(0.534582-0.477207))+0-133.1-0.203643000000008</f>
        <v>1360.678658</v>
      </c>
      <c r="R96" s="3">
        <f>1457.1+(464.4-406.1)+(0.743121+(0.236844-0.207111))+0-131.9-0.0672689999999866</f>
        <v>1384.2055849999999</v>
      </c>
      <c r="S96" s="3">
        <f>1445.4+(579.9-489)+(1.474308+(0.591498-0.49878))+0-133.8-0.136476000000021</f>
        <v>1403.93055</v>
      </c>
      <c r="T96" s="3">
        <f>1437.2+(600.6-529.4)+(-2.198916+(-0.918918--0.809982))+0-131.1--0.200583000000008</f>
        <v>1375.1927310000003</v>
      </c>
      <c r="U96" s="3">
        <f>1432.7+(570.4-499)+(-0.730677+(-0.290904--0.25449))+0-129.2--0.0658919999999869</f>
        <v>1374.198801</v>
      </c>
      <c r="V96" s="3">
        <f>1396.4+(490.5-387.9)+(-2.848656+(-1.00062--0.791316))+0-133--0.271319999999994</f>
        <v>1363.21336</v>
      </c>
      <c r="W96" s="3">
        <f>1382.2+(325.9-269.9)+(-2.819688+(-0.664836--0.550596))+0-133.1--0.271523999999994</f>
        <v>1302.4375960000002</v>
      </c>
      <c r="X96" s="3">
        <f>1390.1+(298.5-361.9)+(-2.126853+(-0.456705--0.553707))+0-134.7--0.206091000000008</f>
        <v>1190.1762399999998</v>
      </c>
      <c r="Y96" s="3">
        <f>1404+(339.8-455.4)+(-0.71604+(-0.173298--0.232254))+0-130.3--0.0664529999999868</f>
        <v>1157.5093690000001</v>
      </c>
      <c r="Z96" s="3">
        <f>1424.5+(304.4-284.2)+(-0.726495+(-0.155244--0.144942))+0-132.7--0.0676769999999865</f>
        <v>1311.33088</v>
      </c>
      <c r="AA96" s="3">
        <f>1476.1+(396.7-392.5)+(-3.011244+(-0.809268--0.8007))+0-133.1--0.271523999999994</f>
        <v>1344.451712</v>
      </c>
      <c r="AB96" s="3">
        <f>1483.7+(407-429.2)+(-0.756687+(-0.20757--0.218892))+0-132--0.0673199999999866</f>
        <v>1328.8219549999999</v>
      </c>
      <c r="AC96" s="3">
        <f>1473.5+(388.1-438.1)+(0.751485+(0.197931-0.223431))+0-131.7-0.0671669999999866</f>
        <v>1292.4588180000001</v>
      </c>
      <c r="AD96">
        <f t="shared" si="1"/>
        <v>30104.844244</v>
      </c>
      <c r="AE96" s="3">
        <f>1477+(407.4-404.8)+(0+(0-0))+0-122.5-0</f>
        <v>1357.1</v>
      </c>
    </row>
    <row r="97" spans="1:31" s="2" customFormat="1" x14ac:dyDescent="0.25">
      <c r="A97">
        <v>89</v>
      </c>
      <c r="B97">
        <v>4</v>
      </c>
      <c r="C97">
        <v>4</v>
      </c>
      <c r="D97">
        <v>7</v>
      </c>
      <c r="E97">
        <v>1</v>
      </c>
      <c r="F97" s="3">
        <f>1475.5+(369.4-465.1)+(0.752505+(0.188394-0.237201))+0-132.2-0.0674219999999866</f>
        <v>1248.2362759999999</v>
      </c>
      <c r="G97" s="3">
        <f>1498.3+(299.1-466.3)+(-0.764133+(-0.152541--0.237813))+0-133--0.0678299999999865</f>
        <v>1197.4889689999998</v>
      </c>
      <c r="H97" s="3">
        <f>1513.2+(235.2-456.2)+(-1.543464+(-0.239904--0.465324))+0-130.1--0.132702000000021</f>
        <v>1160.9146580000001</v>
      </c>
      <c r="I97" s="3">
        <f>1466.2+(211.8-404.3)+(0.747762+(0.108018-0.206193))+0-129.3-0.0659429999999869</f>
        <v>1144.9836440000001</v>
      </c>
      <c r="J97" s="3">
        <f>1434.3+(224.8-390.9)+(-1.462986+(-0.229296--0.398718))+0-130--0.132600000000021</f>
        <v>1137.0390359999999</v>
      </c>
      <c r="K97" s="3">
        <f>1341+(240.3-343.8)+(-2.05173+(-0.367659--0.526014))+0-128.6--0.196758000000007</f>
        <v>1107.203383</v>
      </c>
      <c r="L97" s="3">
        <f>1333.5+(200.7-339.3)+(-1.36017+(-0.204714--0.346086))+0-126.1--0.12862200000002</f>
        <v>1067.709824</v>
      </c>
      <c r="M97" s="3">
        <f>1327.2+(236.9-354.1)+(-2.707488+(-0.483276--0.722364))+0-130.1--0.265403999999994</f>
        <v>1077.6970040000001</v>
      </c>
      <c r="N97" s="3">
        <f>1314+(285.5-362.4)+(-0.67014+(-0.145605--0.184824))+0-131.9--0.0672689999999866</f>
        <v>1104.6363479999998</v>
      </c>
      <c r="O97" s="3">
        <f>1313+(353.8-377.8)+(0.66963+(0.180438-0.192678))+0-132-0.0673199999999866</f>
        <v>1157.5900700000002</v>
      </c>
      <c r="P97" s="3">
        <f>1303.8+(390.9-340)+(-3.32469+(-0.996795--0.867))+0-134.3--0.342464999999981</f>
        <v>1217.2879799999998</v>
      </c>
      <c r="Q97" s="3">
        <f>1292.1+(358.9-234.2)+(0.658971+(0.183039-0.119442))+0-132.5-0.0675749999999866</f>
        <v>1284.9549929999998</v>
      </c>
      <c r="R97" s="3">
        <f>1285.5+(435-288.8)+(-0.655605+(-0.22185--0.147288))+0-127.8--0.065177999999987</f>
        <v>1303.2350110000002</v>
      </c>
      <c r="S97" s="3">
        <f>1277+(501.6-328.4)+(0+(0-0))+0-130.8-0</f>
        <v>1319.4</v>
      </c>
      <c r="T97" s="3">
        <f>1270.1+(563.6-370)+(-1.943253+(-0.862308--0.5661))+0-132.7--0.203031000000008</f>
        <v>1328.9635699999999</v>
      </c>
      <c r="U97" s="3">
        <f>1263.7+(533.5-366.6)+(1.933461+(0.816255-0.560898))+0-128.8-0.197064000000007</f>
        <v>1303.7917540000001</v>
      </c>
      <c r="V97" s="3">
        <f>1265.8+(474.4-300)+(-1.291116+(-0.483888--0.306))+0-134.8--0.137496000000022</f>
        <v>1304.0684919999999</v>
      </c>
      <c r="W97" s="3">
        <f>1292.4+(305.4-207)+(-2.636496+(-0.623016--0.42228))+0-138.1--0.281723999999994</f>
        <v>1250.1444920000001</v>
      </c>
      <c r="X97" s="3">
        <f>1371.5+(293.6-371)+(-0.699465+(-0.149736--0.18921))+0-135.5--0.0691049999999863</f>
        <v>1158.009114</v>
      </c>
      <c r="Y97" s="3">
        <f>1439.4+(320.9-493.4)+(-1.468188+(-0.327318--0.503268))+0-132.7--0.135354000000021</f>
        <v>1133.0431160000001</v>
      </c>
      <c r="Z97" s="3">
        <f>1451.6+(255.1-306.3)+(-1.480632+(-0.260202--0.312426))+0-136.2--0.138924000000022</f>
        <v>1262.9105159999999</v>
      </c>
      <c r="AA97" s="3">
        <f>1487.9+(347.9-386.8)+(-2.276487+(-0.532287--0.591804))+0-141.3--0.216189000000008</f>
        <v>1305.6992190000001</v>
      </c>
      <c r="AB97" s="3">
        <f>1485+(391.4-437.5)+(-1.5147+(-0.399228--0.44625))+0-142--0.144840000000023</f>
        <v>1295.577162</v>
      </c>
      <c r="AC97" s="3">
        <f>1493.6+(433.5-522.9)+(-1.523472+(-0.44217--0.533358))+0-141.3--0.144126000000023</f>
        <v>1261.6118419999998</v>
      </c>
      <c r="AD97">
        <f t="shared" si="1"/>
        <v>29132.196473000004</v>
      </c>
      <c r="AE97" s="3">
        <f>1497+(369.2-412.1)+(0+(0-0))+0-141.4-0</f>
        <v>1312.6999999999998</v>
      </c>
    </row>
    <row r="98" spans="1:31" s="2" customFormat="1" x14ac:dyDescent="0.25">
      <c r="A98">
        <v>89</v>
      </c>
      <c r="B98">
        <v>4</v>
      </c>
      <c r="C98">
        <v>5</v>
      </c>
      <c r="D98">
        <v>1</v>
      </c>
      <c r="E98">
        <v>3</v>
      </c>
      <c r="F98" s="3">
        <f>1508.5+(363.4-487.6)+(-2.308005+(-0.556002--0.746028))+0-139--0.212670000000008</f>
        <v>1243.394691</v>
      </c>
      <c r="G98" s="3">
        <f>1451.5+(322.5-438.6)+(-2.96106+(-0.6579--0.894744))+0-135.2--0.275807999999994</f>
        <v>1197.7515920000001</v>
      </c>
      <c r="H98" s="3">
        <f>1458.6+(291.8-455.1)+(-0.743886+(-0.148818--0.232101))+0-135.3--0.0690029999999863</f>
        <v>1159.4084</v>
      </c>
      <c r="I98" s="3">
        <f>1452.2+(267.2-452.2)+(-2.221866+(-0.408816--0.691866))+0-131.9--0.201807000000008</f>
        <v>1133.5629909999998</v>
      </c>
      <c r="J98" s="3">
        <f>1404.6+(281.8-437.8)+(-1.432692+(-0.287436--0.446556))+0-131.5--0.134130000000021</f>
        <v>1115.9605579999998</v>
      </c>
      <c r="K98" s="3">
        <f>1352.1+(280.9-425.3)+(-4.826997+(-1.002813--1.518321))+0-131.1--0.468027000000002</f>
        <v>1072.7565379999999</v>
      </c>
      <c r="L98" s="3">
        <f>1309.7+(327.6-470)+(-1.335894+(-0.334152--0.4794))+0-129.8--0.132396000000021</f>
        <v>1036.4417500000002</v>
      </c>
      <c r="M98" s="3">
        <f>1309.5+(428.8-548.2)+(-2.67138+(-0.874752--1.118328))+0-135.4--0.276215999999994</f>
        <v>1052.5484119999999</v>
      </c>
      <c r="N98" s="3">
        <f>1305.6+(418.8-502.5)+(-1.331712+(-0.427176--0.51255))+0-134.9--0.137598000000022</f>
        <v>1085.8912599999999</v>
      </c>
      <c r="O98" s="3">
        <f>1297.7+(436.5-460.9)+(-1.323654+(-0.44523--0.470118))+0-132.4--0.135048000000021</f>
        <v>1139.7362820000003</v>
      </c>
      <c r="P98" s="3">
        <f>1263.5+(492.9-434.6)+(-1.933155+(-0.754137--0.664938))+0-135.9--0.207927000000008</f>
        <v>1184.0855729999998</v>
      </c>
      <c r="Q98" s="3">
        <f>1260.2+(510.9-391.2)+(-1.285404+(-0.521118--0.399024))+0-137.1--0.139842000000022</f>
        <v>1241.5323440000002</v>
      </c>
      <c r="R98" s="3">
        <f>1244.2+(416-258.3)+(-1.269084+(-0.42432--0.263466))+0-136.2--0.138924000000022</f>
        <v>1264.4089860000001</v>
      </c>
      <c r="S98" s="3">
        <f>1237.3+(444.2-265.1)+(-1.893069+(-0.679626--0.405603))+0-136.9--0.209457000000008</f>
        <v>1277.5423649999998</v>
      </c>
      <c r="T98" s="3">
        <f>1229.7+(494.1-291.9)+(0+(0-0))+0-141.4-0</f>
        <v>1290.5</v>
      </c>
      <c r="U98" s="3">
        <f>1244.8+(501.6-290.1)+(-0.634848+(-0.255816--0.147951))+0-138.5--0.0706349999999859</f>
        <v>1317.1279219999999</v>
      </c>
      <c r="V98" s="3">
        <f>1238.8+(409-211.8)+(-3.15894+(-1.04295--0.54009))+0-141.1--0.35980499999998</f>
        <v>1291.5980050000001</v>
      </c>
      <c r="W98" s="3">
        <f>1240.1+(351.1-202)+(-1.897353+(-0.537183--0.30906))+0-141--0.215730000000008</f>
        <v>1246.290254</v>
      </c>
      <c r="X98" s="3">
        <f>1276.8+(465.8-421.7)+(-1.953504+(-0.712674--0.645201))+0-137.4--0.210222000000008</f>
        <v>1181.689245</v>
      </c>
      <c r="Y98" s="3">
        <f>1318.9+(484.1-511.7)+(0+(0-0))+0-132.7-0</f>
        <v>1158.6000000000001</v>
      </c>
      <c r="Z98" s="3">
        <f>1420.7+(363.8-345.6)+(0+(0-0))+0-134.4-0</f>
        <v>1304.5</v>
      </c>
      <c r="AA98" s="3">
        <f>1455+(385.1-352)+(-1.4841+(-0.392802--0.35904))+0-136.2--0.138924000000022</f>
        <v>1350.521062</v>
      </c>
      <c r="AB98" s="3">
        <f>1463.8+(381.9-361.3)+(0+(0-0))+0-136.5-0</f>
        <v>1347.8999999999999</v>
      </c>
      <c r="AC98" s="3">
        <f>1472.1+(348.1-378.4)+(1.501542+(0.355062-0.385968))+0-135.6-0.138312000000022</f>
        <v>1307.532324</v>
      </c>
      <c r="AD98">
        <f t="shared" si="1"/>
        <v>29001.280554000001</v>
      </c>
      <c r="AE98" s="3">
        <f>1464+(403.5-354.6)+(0+(0-0))+0-136.2-0</f>
        <v>1376.7</v>
      </c>
    </row>
    <row r="99" spans="1:31" s="2" customFormat="1" x14ac:dyDescent="0.25">
      <c r="A99">
        <v>89</v>
      </c>
      <c r="B99">
        <v>4</v>
      </c>
      <c r="C99">
        <v>6</v>
      </c>
      <c r="D99">
        <v>2</v>
      </c>
      <c r="E99">
        <v>1</v>
      </c>
      <c r="F99" s="3">
        <f>1486.2+(332.4-426.9)+(0+(0-0))+0-134.8-0</f>
        <v>1256.9000000000001</v>
      </c>
      <c r="G99" s="3">
        <f>1491.9+(345.8-496.2)+(-2.282607+(-0.529074--0.759186))+0-134--0.205020000000008</f>
        <v>1205.6525250000002</v>
      </c>
      <c r="H99" s="3">
        <f>1475.9+(307.4-475.2)+(-3.763545+(-0.78387--1.21176))+0-134.5--0.34297499999998</f>
        <v>1170.6073200000001</v>
      </c>
      <c r="I99" s="3">
        <f>1454.8+(283.5-450.2)+(-3.70974+(-0.722925--1.14801))+0-134.8--0.34373999999998</f>
        <v>1150.3590850000001</v>
      </c>
      <c r="J99" s="3">
        <f>1460.4+(262.1-446.4)+(-0.744804+(-0.133671--0.227664))+0-135.1--0.0689009999999863</f>
        <v>1140.4180900000003</v>
      </c>
      <c r="K99" s="3">
        <f>1454.9+(233-444.4)+(-2.967996+(-0.47532--0.906576))+0-134.7--0.274787999999994</f>
        <v>1106.5380479999999</v>
      </c>
      <c r="L99" s="3">
        <f>1460+(277.6-532.2)+(-0.7446+(-0.141576--0.271422))+0-132.5--0.0675749999999866</f>
        <v>1072.3528210000002</v>
      </c>
      <c r="M99" s="3">
        <f>1461.7+(375.1-586.3)+(0.745467+(0.191301-0.299013))+0-136.7-0.0697169999999861</f>
        <v>1114.3680379999998</v>
      </c>
      <c r="N99" s="3">
        <f>1459.3+(419.1-568.4)+(-1.488486+(-0.427482--0.579768))+0-132.4--0.135048000000021</f>
        <v>1176.398848</v>
      </c>
      <c r="O99" s="3">
        <f>1458+(474-559.6)+(0.74358+(0.24174-0.285396))+0-128.4-0.065483999999987</f>
        <v>1244.63444</v>
      </c>
      <c r="P99" s="3">
        <f>1446.6+(459.1-466.2)+(0+(0-0))+0-127.9-0</f>
        <v>1311.6</v>
      </c>
      <c r="Q99" s="3">
        <f>1446.9+(430.6-379.9)+(1.475838+(0.439212-0.387498))+0-128.5-0.13107000000002</f>
        <v>1370.4964820000002</v>
      </c>
      <c r="R99" s="3">
        <f>1453.9+(393.1-308.7)+(0+(0-0))+0-127.9-0</f>
        <v>1410.4</v>
      </c>
      <c r="S99" s="3">
        <f>1454.9+(472.4-388.4)+(-0.741999+(-0.240924--0.198084))+0-128.8--0.0656879999999869</f>
        <v>1409.3808490000001</v>
      </c>
      <c r="T99" s="3">
        <f>1444.2+(480.3-404.4)+(0+(0-0))+0-130.3-0</f>
        <v>1389.8000000000002</v>
      </c>
      <c r="U99" s="3">
        <f>1436.3+(447-371.4)+(-1.465026+(-0.45594--0.378828))+0-128.1--0.13066200000002</f>
        <v>1382.3885240000002</v>
      </c>
      <c r="V99" s="3">
        <f>1424+(400.1-303.8)+(0+(0-0))+0-127.4-0</f>
        <v>1392.8999999999999</v>
      </c>
      <c r="W99" s="3">
        <f>1418.5+(308.8-268)+(-1.44687+(-0.314976--0.27336))+0-126.7--0.12923400000002</f>
        <v>1331.2407479999999</v>
      </c>
      <c r="X99" s="3">
        <f>1414+(480-519.3)+(-2.88456+(-0.9792--1.059372))+0-128.8--0.262751999999994</f>
        <v>1243.3583640000002</v>
      </c>
      <c r="Y99" s="3">
        <f>1409.7+(539.6-607.2)+(-0.718947+(-0.275196--0.309672))+0-125.4--0.0639539999999873</f>
        <v>1216.0794829999998</v>
      </c>
      <c r="Z99" s="3">
        <f>1445.4+(449.6-405.9)+(-0.737154+(-0.229296--0.207009))+0-125.4--0.0639539999999873</f>
        <v>1363.0045130000001</v>
      </c>
      <c r="AA99" s="3">
        <f>1469.9+(373.7-316.1)+(0+(0-0))+0-131.6-0</f>
        <v>1395.9</v>
      </c>
      <c r="AB99" s="3">
        <f>1481.6+(356.1-325.5)+(-0.755616+(-0.181611--0.166005))+0-130.6--0.0666059999999867</f>
        <v>1380.8953839999999</v>
      </c>
      <c r="AC99" s="3">
        <f>1487.7+(346-362.9)+(-0.758727+(-0.17646--0.185079))+0-131--0.0668099999999867</f>
        <v>1339.1167020000003</v>
      </c>
      <c r="AD99">
        <f t="shared" si="1"/>
        <v>30574.790264000007</v>
      </c>
      <c r="AE99" s="3">
        <f>1467+(380.7-322.6)+(0+(0-0))+0-129.8-0</f>
        <v>1395.3</v>
      </c>
    </row>
    <row r="100" spans="1:31" s="2" customFormat="1" x14ac:dyDescent="0.25">
      <c r="A100">
        <v>89</v>
      </c>
      <c r="B100">
        <v>4</v>
      </c>
      <c r="C100">
        <v>7</v>
      </c>
      <c r="D100">
        <v>3</v>
      </c>
      <c r="E100">
        <v>1</v>
      </c>
      <c r="F100" s="3">
        <f>1496.7+(308.9-384.1)+(-1.526634+(-0.315078--0.391782))+0-128.8--0.131376000000021</f>
        <v>1291.3814460000001</v>
      </c>
      <c r="G100" s="3">
        <f>1503.3+(248-381.7)+(-0.766683+(-0.12648--0.194667))+0-126.8--0.0646679999999871</f>
        <v>1242.166172</v>
      </c>
      <c r="H100" s="3">
        <f>1507.7+(237-412.3)+(-2.306781+(-0.36261--0.630819))+0-124.7--0.190791000000007</f>
        <v>1205.8522190000001</v>
      </c>
      <c r="I100" s="3">
        <f>1510+(223.8-443.7)+(-1.5402+(-0.228276--0.452574))+0-123.1--0.12556200000002</f>
        <v>1165.8096599999999</v>
      </c>
      <c r="J100" s="3">
        <f>1506.9+(223.5-461.2)+(-3.842595+(-0.569925--1.17606))+0-122--0.311099999999982</f>
        <v>1144.2746399999999</v>
      </c>
      <c r="K100" s="3">
        <f>1512.8+(283.2-565.7)+(-3.086112+(-0.577728--1.154028))+0-123.2--0.251327999999995</f>
        <v>1104.841516</v>
      </c>
      <c r="L100" s="3">
        <f>1514.5+(407.1-749.1)+(-3.08958+(-0.830484--1.528164))+0-120.4--0.245615999999995</f>
        <v>1049.9537159999998</v>
      </c>
      <c r="M100" s="3">
        <f>1509.3+(447.5-728)+(-0.769743+(-0.228225--0.37128))+0-123.8--0.0631379999999874</f>
        <v>1104.4364499999999</v>
      </c>
      <c r="N100" s="3">
        <f>1475+(470.7-631.3)+(0+(0-0))+0-127.6-0</f>
        <v>1186.8000000000002</v>
      </c>
      <c r="O100" s="3">
        <f>1475.8+(491.2-574.3)+(-1.505316+(-0.501024--0.585786))+0-124.4--0.12688800000002</f>
        <v>1267.0063339999999</v>
      </c>
      <c r="P100" s="3">
        <f>1437.6+(472.4-499.9)+(-2.199528+(-0.722772--0.764847))+0-117.9--0.180387000000007</f>
        <v>1290.2229339999999</v>
      </c>
      <c r="Q100" s="3">
        <f>1440.5+(437.9-379.9)+(-0.734655+(-0.223329--0.193749))+0-125.2--0.0638519999999873</f>
        <v>1372.5996169999999</v>
      </c>
      <c r="R100" s="3">
        <f>1431.1+(443.4-348.2)+(0+(0-0))+0-125.6-0</f>
        <v>1400.7</v>
      </c>
      <c r="S100" s="3">
        <f>1436.8+(498.9-406.6)+(0+(0-0))+0-125.2-0</f>
        <v>1403.8999999999999</v>
      </c>
      <c r="T100" s="3">
        <f>1432.5+(493.2-422.8)+(-1.46115+(-0.503064--0.431256))+0-128.8--0.131376000000021</f>
        <v>1372.6984180000002</v>
      </c>
      <c r="U100" s="3">
        <f>1428.3+(440.8-404)+(2.185299+(0.674424-0.61812))+0-124.4-0.190332000000007</f>
        <v>1342.7512709999999</v>
      </c>
      <c r="V100" s="3">
        <f>1421.2+(410.6-338.9)+(0.724812+(0.209406-0.172839))+0-126-0.0642599999999872</f>
        <v>1367.5971190000002</v>
      </c>
      <c r="W100" s="3">
        <f>1421.5+(303.9-270)+(-1.44993+(-0.309978--0.2754))+0-125.4--0.12790800000002</f>
        <v>1328.6433999999999</v>
      </c>
      <c r="X100" s="3">
        <f>1425.8+(418.2-475.3)+(-3.63579+(-1.06641--1.212015))+0-123.9--0.315944999999982</f>
        <v>1241.6257599999997</v>
      </c>
      <c r="Y100" s="3">
        <f>1426.7+(468.6-571.8)+(-1.455234+(-0.477972--0.583236))+0-122.8--0.12525600000002</f>
        <v>1199.4752860000001</v>
      </c>
      <c r="Z100" s="3">
        <f>1423.4+(366.7-340.2)+(-0.725934+(-0.187017--0.173502))+0-124--0.0632399999999874</f>
        <v>1325.2237910000001</v>
      </c>
      <c r="AA100" s="3">
        <f>1461.8+(369.4-316.4)+(-2.236554+(-0.565182--0.484092))+0-121.2--0.185436000000007</f>
        <v>1391.4677919999999</v>
      </c>
      <c r="AB100" s="3">
        <f>1447.3+(376.2-340.7)+(-2.952492+(-0.767448--0.695028))+0-120.9--0.246635999999995</f>
        <v>1359.1217239999999</v>
      </c>
      <c r="AC100" s="3">
        <f>1440.7+(361.1-362)+(-2.939028+(-0.736644--0.73848))+0-122.6--0.250103999999995</f>
        <v>1314.5129120000001</v>
      </c>
      <c r="AD100">
        <f t="shared" si="1"/>
        <v>30473.062177000007</v>
      </c>
      <c r="AE100" s="3">
        <f>1464+(361.1-313.9)+(0+(0-0))+0-123.1-0</f>
        <v>1388.1000000000001</v>
      </c>
    </row>
    <row r="101" spans="1:31" s="2" customFormat="1" x14ac:dyDescent="0.25">
      <c r="A101">
        <v>89</v>
      </c>
      <c r="B101">
        <v>4</v>
      </c>
      <c r="C101">
        <v>8</v>
      </c>
      <c r="D101">
        <v>4</v>
      </c>
      <c r="E101">
        <v>1</v>
      </c>
      <c r="F101" s="3">
        <f>1461.9+(325.1-360.9)+(-3.727845+(-0.829005--0.920295))+0-125.5--0.320024999999982</f>
        <v>1297.2834700000001</v>
      </c>
      <c r="G101" s="3">
        <f>1464.1+(286.7-386.4)+(-0.746691+(-0.146217--0.197064))+0-124--0.0632399999999874</f>
        <v>1239.7673959999997</v>
      </c>
      <c r="H101" s="3">
        <f>1364.8+(286.3-320)+(-1.392096+(-0.292026--0.3264))+0-122.5--0.12495000000002</f>
        <v>1207.3672280000001</v>
      </c>
      <c r="I101" s="3">
        <f>1314.7+(276-284.4)+(-3.352485+(-0.7038--0.72522))+0-123.5--0.314924999999982</f>
        <v>1179.78386</v>
      </c>
      <c r="J101" s="3">
        <f>1323.1+(263.5-312.6)+(-2.699124+(-0.53754--0.637704))+0-119--0.242759999999995</f>
        <v>1152.6438000000001</v>
      </c>
      <c r="K101" s="3">
        <f>1392.7+(248-417)+(-3.551385+(-0.6324--1.06335))+0-115.7--0.295034999999983</f>
        <v>1105.1745999999998</v>
      </c>
      <c r="L101" s="3">
        <f>1438.7+(359.8-608.9)+(-2.201211+(-0.550494--0.931617))+0-113.1--0.173043000000007</f>
        <v>1074.8529550000003</v>
      </c>
      <c r="M101" s="3">
        <f>1389.3+(456.9-600.9)+(0+(0-0))+0-117.8-0</f>
        <v>1127.5</v>
      </c>
      <c r="N101" s="3">
        <f>1424.7+(487.1-604.7)+(-2.179791+(-0.745263--0.925191))+0-112.2--0.171666000000006</f>
        <v>1193.0718029999998</v>
      </c>
      <c r="O101" s="3">
        <f>1432.3+(469.6-522.6)+(0.730473+(0.239496-0.266526))+0-113.2-0.0577319999999885</f>
        <v>1266.745711</v>
      </c>
      <c r="P101" s="3">
        <f>1443.4+(456.1-461.7)+(0.736134+(0.232611-0.235467))+0-114.6-0.0584459999999884</f>
        <v>1323.8748320000002</v>
      </c>
      <c r="Q101" s="3">
        <f>1423.5+(423.5-346.5)+(1.45197+(0.43197-0.35343))+0-116.4-0.118728000000019</f>
        <v>1385.511782</v>
      </c>
      <c r="R101" s="3">
        <f>1285.5+(506.4-248.2)+(0.655605+(0.258264-0.126582))+0-116.3-0.0593129999999882</f>
        <v>1428.1279740000002</v>
      </c>
      <c r="S101" s="3">
        <f>1295.9+(348.8-283.7)+(-0.660909+(-0.177888--0.144687))+80-116.9--0.0596189999999881</f>
        <v>1323.4655089999999</v>
      </c>
      <c r="T101" s="3">
        <f>1375.5+(287.1-373.6)+(1.40301+(0.292842-0.381072))+200-117.2-0.119544000000019</f>
        <v>1372.9952359999997</v>
      </c>
      <c r="U101" s="3">
        <f>1385.1+(418.8-375.6)+(-1.412802+(-0.427176--0.383112))+100-116.1--0.118422000000019</f>
        <v>1410.8615560000001</v>
      </c>
      <c r="V101" s="3">
        <f>1390.2+(424.7-315.2)+(0+(0-0))+0-117.6-0</f>
        <v>1382.1000000000001</v>
      </c>
      <c r="W101" s="3">
        <f>1356.2+(338-216.1)+(-2.766648+(-0.68952--0.440844))+0-121.8--0.248471999999995</f>
        <v>1353.5331480000002</v>
      </c>
      <c r="X101" s="3">
        <f>1371.3+(448.1-421.4)+(-2.797452+(-0.914124--0.859656))+0-122.5--0.249899999999995</f>
        <v>1272.89798</v>
      </c>
      <c r="Y101" s="3">
        <f>1415.6+(502.1-505.2)+(-0.721956+(-0.256071--0.257652))+0-124.1--0.0632909999999874</f>
        <v>1287.7429159999999</v>
      </c>
      <c r="Z101" s="3">
        <f>1458.1+(418.8-360.8)+(0.743631+(0.213588-0.184008))+0-125.9-0.0642089999999872</f>
        <v>1390.9090019999999</v>
      </c>
      <c r="AA101" s="3">
        <f>1471.9+(387.4-315.8)+(-1.501338+(-0.395148--0.322116))+0-128.5--0.13107000000002</f>
        <v>1413.5566999999999</v>
      </c>
      <c r="AB101" s="3">
        <f>1474.5+(393.9-351)+(0.751995+(0.200889-0.17901))+0-125.2-0.0638519999999873</f>
        <v>1392.910022</v>
      </c>
      <c r="AC101" s="3">
        <f>1478.2+(385.9-394.7)+(-0.753882+(-0.196809--0.201297))+0-124.3--0.0633929999999874</f>
        <v>1344.4139990000001</v>
      </c>
      <c r="AD101">
        <f t="shared" si="1"/>
        <v>30927.091478999999</v>
      </c>
      <c r="AE101" s="3">
        <f>1466+(392.1-318.1)+(0+(0-0))+0-127-0</f>
        <v>1413</v>
      </c>
    </row>
    <row r="102" spans="1:31" s="2" customFormat="1" x14ac:dyDescent="0.25">
      <c r="A102">
        <v>89</v>
      </c>
      <c r="B102">
        <v>4</v>
      </c>
      <c r="C102">
        <v>9</v>
      </c>
      <c r="D102">
        <v>5</v>
      </c>
      <c r="E102">
        <v>1</v>
      </c>
      <c r="F102" s="3">
        <f>1470.1+(366-400.8)+(-4.498506+(-1.11996--1.226448))+0-127.3--0.389538000000015</f>
        <v>1303.9975199999999</v>
      </c>
      <c r="G102" s="3">
        <f>1474.3+(291.8-389.7)+(0.751893+(0.148818-0.198747))+0-124.3-0.0633929999999874</f>
        <v>1252.7385710000003</v>
      </c>
      <c r="H102" s="3">
        <f>1488.5+(251.1-385.3)+(-3.03654+(-0.512244--0.786012))+0-129.3--0.263771999999994</f>
        <v>1222.501</v>
      </c>
      <c r="I102" s="3">
        <f>1495.8+(236.2-404)+(-1.525716+(-0.240924--0.41208))+0-128--0.13056000000002</f>
        <v>1198.7760000000001</v>
      </c>
      <c r="J102" s="3">
        <f>1489.2+(230-405.7)+(-0.759492+(-0.1173--0.206907))+0-126.7--0.0646169999999871</f>
        <v>1186.1947319999999</v>
      </c>
      <c r="K102" s="3">
        <f>1488.6+(220.8-438.4)+(-3.036744+(-0.450432--0.894336))+0-124.3--0.253571999999995</f>
        <v>1144.3607320000001</v>
      </c>
      <c r="L102" s="3">
        <f>1492.2+(307.1-569.7)+(0+(0-0))+0-123.9-0</f>
        <v>1105.6999999999998</v>
      </c>
      <c r="M102" s="3">
        <f>1486.9+(376.3-592.4)+(0.758319+(0.191913-0.302124))+0-129.1-0.0658409999999869</f>
        <v>1142.2822670000003</v>
      </c>
      <c r="N102" s="3">
        <f>1476.8+(434-568.2)+(-1.506336+(-0.44268--0.579564))+0-133--0.135660000000021</f>
        <v>1208.3662079999999</v>
      </c>
      <c r="O102" s="3">
        <f>1450.5+(464.6-495.4)+(1.47951+(0.473892-0.505308))+0-131.3-0.133926000000021</f>
        <v>1289.7141680000002</v>
      </c>
      <c r="P102" s="3">
        <f>1465.2+(425.9-429.5)+(0+(0-0))+0-109.5-0</f>
        <v>1352.1</v>
      </c>
      <c r="Q102" s="3">
        <f>1449.8+(342.1-277.8)+(1.478796+(0.348942-0.283356))+0-108.2-0.110364000000017</f>
        <v>1407.3340179999998</v>
      </c>
      <c r="R102" s="3">
        <f>1452.1+(423.6-310.5)+(-0.740571+(-0.216036--0.158355))+30-108.7--0.055436999999989</f>
        <v>1485.7571849999997</v>
      </c>
      <c r="S102" s="3">
        <f>1451.7+(518.1-420)+(1.480734+(0.528462-0.4284))+30-125.3-0.12780600000002</f>
        <v>1455.9529900000002</v>
      </c>
      <c r="T102" s="3">
        <f>1441.9+(525-426.2)+(0.735369+(0.26775-0.217362))+12.5-123.7-0.0630869999999875</f>
        <v>1430.2226700000001</v>
      </c>
      <c r="U102" s="3">
        <f>1438.9+(516.3-415.3)+(0.733839+(0.263313-0.211803))+0-124.7-0.0635969999999874</f>
        <v>1415.921752</v>
      </c>
      <c r="V102" s="3">
        <f>1403.7+(450.8-321.4)+(-2.147661+(-0.689724--0.491742))+0-124.3--0.190179000000007</f>
        <v>1406.644536</v>
      </c>
      <c r="W102" s="3">
        <f>1401.8+(308.1-230.3)+(-2.859672+(-0.628524--0.469812))+0-120.3--0.245411999999995</f>
        <v>1356.527028</v>
      </c>
      <c r="X102" s="3">
        <f>1409.2+(414.1-439.7)+(-2.874768+(-0.844764--0.896988))+0-123.2--0.251327999999995</f>
        <v>1257.828784</v>
      </c>
      <c r="Y102" s="3">
        <f>1426.9+(438.7-525)+(-2.910876+(-0.894948--1.071))+0-122.5--0.249899999999995</f>
        <v>1215.6150760000003</v>
      </c>
      <c r="Z102" s="3">
        <f>1472.9+(355.1-340.3)+(0.751179+(0.181101-0.173553))+0-130.8-0.0667079999999867</f>
        <v>1357.5920189999999</v>
      </c>
      <c r="AA102" s="3">
        <f>1491.5+(384.4-337.4)+(0+(0-0))+0-133.3-0</f>
        <v>1405.2</v>
      </c>
      <c r="AB102" s="3">
        <f>1499+(389.6-371.2)+(-0.76449+(-0.198696--0.189312))+0-131.5--0.0670649999999867</f>
        <v>1385.1931910000001</v>
      </c>
      <c r="AC102" s="3">
        <f>1496.9+(388.7-411.9)+(-0.763419+(-0.198237--0.210069))+0-129.5--0.0660449999999869</f>
        <v>1343.5144580000001</v>
      </c>
      <c r="AD102">
        <f t="shared" si="1"/>
        <v>31330.034905</v>
      </c>
      <c r="AE102" s="3">
        <f>1485+(391-350.3)+(0+(0-0))+0-132.4-0</f>
        <v>1393.3</v>
      </c>
    </row>
    <row r="103" spans="1:31" s="2" customFormat="1" x14ac:dyDescent="0.25">
      <c r="A103">
        <v>89</v>
      </c>
      <c r="B103">
        <v>4</v>
      </c>
      <c r="C103">
        <v>10</v>
      </c>
      <c r="D103">
        <v>6</v>
      </c>
      <c r="E103">
        <v>1</v>
      </c>
      <c r="F103" s="3">
        <f>1487.5+(360.1-423.2)+(-2.275875+(-0.550953--0.647496))+0-136.2--0.208386000000008</f>
        <v>1286.2290540000001</v>
      </c>
      <c r="G103" s="3">
        <f>1486.6+(291-402.7)+(-0.758166+(-0.14841--0.205377))+0-128.9--0.0657389999999869</f>
        <v>1245.3645399999996</v>
      </c>
      <c r="H103" s="3">
        <f>1498.2+(239.4-391.9)+(-2.292246+(-0.366282--0.599607))+0-128.6--0.196758000000007</f>
        <v>1215.2378370000001</v>
      </c>
      <c r="I103" s="3">
        <f>1491.2+(225.3-395.9)+(0+(0-0))+0-129.6-0</f>
        <v>1191.0000000000002</v>
      </c>
      <c r="J103" s="3">
        <f>1496.1+(215.6-404.8)+(1.526022+(0.219912-0.412896))+0-131-0.133620000000021</f>
        <v>1177.0994179999998</v>
      </c>
      <c r="K103" s="3">
        <f>1489.9+(208.6-426.9)+(-3.039396+(-0.425544--0.870876))+0-130.2--0.265607999999994</f>
        <v>1139.0715440000001</v>
      </c>
      <c r="L103" s="3">
        <f>1496.7+(263.5-533.9)+(-1.526634+(-0.26877--0.544578))+0-133.5--0.136170000000021</f>
        <v>1091.6853440000002</v>
      </c>
      <c r="M103" s="3">
        <f>1497.3+(335.1-569.1)+(2.290869+(0.512703-0.870723))+0-134.6-0.205938000000008</f>
        <v>1130.426911</v>
      </c>
      <c r="N103" s="3">
        <f>1483.1+(406.9-559.7)+(-0.756381+(-0.207519--0.285447))+0-136.1--0.0694109999999862</f>
        <v>1193.5909579999998</v>
      </c>
      <c r="O103" s="3">
        <f>1461.3+(431.7-480.8)+(0+(0-0))+0-137.8-0</f>
        <v>1274.3999999999999</v>
      </c>
      <c r="P103" s="3">
        <f>1436.1+(420.2-382.9)+(3.662055+(1.07151-0.976395))+0-142.3-0.362864999999979</f>
        <v>1334.4943049999999</v>
      </c>
      <c r="Q103" s="3">
        <f>1434.8+(354.4-277.6)+(0.731748+(0.180744-0.141576))+0-137.5-0.070124999999986</f>
        <v>1374.8007909999999</v>
      </c>
      <c r="R103" s="3">
        <f>1453.9+(415.4-320.5)+(0.741489+(0.211854-0.163455))+0-135.1-0.0689009999999863</f>
        <v>1414.4209870000002</v>
      </c>
      <c r="S103" s="3">
        <f>1446.8+(475.3-383)+(0+(0-0))+0-136.5-0</f>
        <v>1402.6</v>
      </c>
      <c r="T103" s="3">
        <f>1419.5+(528.7-403.1)+(0+(0-0))+0-141.1-0</f>
        <v>1404</v>
      </c>
      <c r="U103" s="3">
        <f>1271.7+(596.3-365.3)+(-1.945701+(-0.912339--0.558909))+2.7-136.7--0.209151000000008</f>
        <v>1366.6100200000001</v>
      </c>
      <c r="V103" s="3">
        <f>1358.6+(328.4-268.3)+(0+(0-0))+18.7-137.3-0</f>
        <v>1300.0999999999999</v>
      </c>
      <c r="W103" s="3">
        <f>1432.3+(267.7-248.2)+(-3.652365+(-0.682635--0.63291))+0-139.1--0.35470499999998</f>
        <v>1309.352615</v>
      </c>
      <c r="X103" s="3">
        <f>1442.6+(258.9-346.1)+(-2.942904+(-0.528156--0.706044))+0-138.7--0.282947999999994</f>
        <v>1214.2179319999998</v>
      </c>
      <c r="Y103" s="3">
        <f>1415.6+(337.1-458.1)+(-2.887824+(-0.687684--0.934524))+0-131.8--0.268871999999994</f>
        <v>1160.4278880000002</v>
      </c>
      <c r="Z103" s="3">
        <f>1460.6+(319.5-321.9)+(-0.744906+(-0.162945--0.164169))+0-130.7--0.0666569999999867</f>
        <v>1326.8229749999998</v>
      </c>
      <c r="AA103" s="3">
        <f>1483.2+(400-384.7)+(-1.512864+(-0.408--0.392394))+0-131.8--0.134436000000021</f>
        <v>1365.3059660000001</v>
      </c>
      <c r="AB103" s="3">
        <f>1490.1+(423.3-444.3)+(-1.519902+(-0.431766--0.453186))+0-132.4--0.135048000000021</f>
        <v>1335.3365659999999</v>
      </c>
      <c r="AC103" s="3">
        <f>1504.8+(435.7-492.5)+(-0.767448+(-0.222207--0.251175))+0-134.4--0.0685439999999864</f>
        <v>1312.9300639999999</v>
      </c>
      <c r="AD103">
        <f t="shared" si="1"/>
        <v>30565.525714999996</v>
      </c>
      <c r="AE103" s="3">
        <f>1475+(404-392.6)+(0+(0-0))+0-131.4-0</f>
        <v>1355</v>
      </c>
    </row>
    <row r="104" spans="1:31" s="2" customFormat="1" x14ac:dyDescent="0.25">
      <c r="A104">
        <v>89</v>
      </c>
      <c r="B104">
        <v>4</v>
      </c>
      <c r="C104">
        <v>11</v>
      </c>
      <c r="D104">
        <v>7</v>
      </c>
      <c r="E104">
        <v>1</v>
      </c>
      <c r="F104" s="3">
        <f>1510.2+(407-480.1)+(0+(0-0))+0-137.9-0</f>
        <v>1299.1999999999998</v>
      </c>
      <c r="G104" s="3">
        <f>1511.5+(336.3-484.5)+(-1.54173+(-0.343026--0.49419))+0-134.3--0.136986000000021</f>
        <v>1227.7464199999999</v>
      </c>
      <c r="H104" s="3">
        <f>1522.2+(281.7-478.7)+(0+(0-0))+0-134.4-0</f>
        <v>1190.8</v>
      </c>
      <c r="I104" s="3">
        <f>1512.8+(242.3-457.9)+(-3.086112+(-0.494292--0.934116))+0-134.2--0.273767999999994</f>
        <v>1160.6274800000001</v>
      </c>
      <c r="J104" s="3">
        <f>1532.9+(201.4-455.6)+(-1.563558+(-0.205428--0.464712))+0-133.6--0.136272000000021</f>
        <v>1143.931998</v>
      </c>
      <c r="K104" s="3">
        <f>1519.2+(185.5-454.3)+(-3.87396+(-0.473025--1.158465))+0-134.1--0.341954999999981</f>
        <v>1113.4534350000001</v>
      </c>
      <c r="L104" s="3">
        <f>1498.3+(205.2-484.7)+(-1.528266+(-0.209304--0.494394))+0-132.4--0.135048000000021</f>
        <v>1085.291872</v>
      </c>
      <c r="M104" s="3">
        <f>1481.4+(212.2-463.8)+(0+(0-0))+0-135.9-0</f>
        <v>1093.9000000000001</v>
      </c>
      <c r="N104" s="3">
        <f>1464.2+(231.1-422.4)+(0+(0-0))+0-135.3-0</f>
        <v>1137.6000000000001</v>
      </c>
      <c r="O104" s="3">
        <f>1477.7+(263.5-397.5)+(-1.507254+(-0.26877--0.40545))+0-135.1--0.137802000000022</f>
        <v>1207.3672280000001</v>
      </c>
      <c r="P104" s="3">
        <f>1467+(315.7-373.2)+(0+(0-0))+0-131.9-0</f>
        <v>1277.5999999999999</v>
      </c>
      <c r="Q104" s="3">
        <f>1457.3+(396-407)+(-0.743223+(-0.20196--0.20757))+0-126.5--0.0645149999999872</f>
        <v>1319.126902</v>
      </c>
      <c r="R104" s="3">
        <f>1442.3+(436.9-415)+(-0.735573+(-0.222819--0.21165))+0-133.4--0.0680339999999865</f>
        <v>1330.1212919999996</v>
      </c>
      <c r="S104" s="3">
        <f>1403.2+(455.7-414.8)+(1.431264+(0.464814-0.423096))+0-133-0.135660000000021</f>
        <v>1312.437322</v>
      </c>
      <c r="T104" s="3">
        <f>1413.6+(505.1-469.9)+(-0.720936+(-0.257601--0.239649))+0-134--0.0683399999999864</f>
        <v>1314.1294519999999</v>
      </c>
      <c r="U104" s="3">
        <f>1406.2+(481.7-453.4)+(-0.717162+(-0.245667--0.231234))+0-132.7--0.0676769999999865</f>
        <v>1301.136082</v>
      </c>
      <c r="V104" s="3">
        <f>1380.3+(457.8-387.9)+(0.703953+(0.233478-0.197829))+0-133.5-0.0680849999999865</f>
        <v>1317.3715170000003</v>
      </c>
      <c r="W104" s="3">
        <f>1245.8+(416.2-244.2)+(-2.541432+(-0.849048--0.498168))+0-136.3--0.278051999999994</f>
        <v>1278.8857399999999</v>
      </c>
      <c r="X104" s="3">
        <f>1250.9+(313.5-236.2)+(-0.637959+(-0.159885--0.120462))+0-133.2--0.0679319999999865</f>
        <v>1194.3905499999998</v>
      </c>
      <c r="Y104" s="3">
        <f>1259.7+(331.5-310.8)+(-1.927341+(-0.507195--0.475524))+0-128.9--0.197217000000007</f>
        <v>1149.7382049999999</v>
      </c>
      <c r="Z104" s="3">
        <f>1268.1+(417.2-243.9)+(0+(0-0))+0-130.2-0</f>
        <v>1311.1999999999998</v>
      </c>
      <c r="AA104" s="3">
        <f>1295.2+(506.4-312.6)+(-0.660552+(-0.258264--0.159426))+0-133--0.0678299999999865</f>
        <v>1355.30844</v>
      </c>
      <c r="AB104" s="3">
        <f>1318.7+(528.4-370.8)+(-1.345074+(-0.538968--0.378216))+0-132.3--0.134946000000021</f>
        <v>1342.6291200000001</v>
      </c>
      <c r="AC104" s="3">
        <f>1335.7+(501.6-402.1)+(0.681207+(0.255816-0.205071))+0-131.5-0.0670649999999867</f>
        <v>1304.3648870000002</v>
      </c>
      <c r="AD104">
        <f t="shared" si="1"/>
        <v>29768.357942000006</v>
      </c>
      <c r="AE104" s="3">
        <f>1293+(517.4-332.2)+(0+(0-0))+0-131.5-0</f>
        <v>1346.7</v>
      </c>
    </row>
    <row r="105" spans="1:31" s="2" customFormat="1" x14ac:dyDescent="0.25">
      <c r="A105">
        <v>89</v>
      </c>
      <c r="B105">
        <v>4</v>
      </c>
      <c r="C105">
        <v>12</v>
      </c>
      <c r="D105">
        <v>1</v>
      </c>
      <c r="E105">
        <v>1</v>
      </c>
      <c r="F105" s="3">
        <f>1321.7+(479-394.6)+(1.348134+(0.48858-0.402492))+0-134.9-0.137598000000022</f>
        <v>1272.4966239999999</v>
      </c>
      <c r="G105" s="3">
        <f>1324.6+(435.8-399.5)+(-0.675546+(-0.222258--0.203745))+0-131.8--0.0672179999999866</f>
        <v>1228.4731589999999</v>
      </c>
      <c r="H105" s="3">
        <f>1325+(430.7-441.1)+(-0.67575+(-0.219657--0.224961))+0-129.2--0.0658919999999869</f>
        <v>1184.7954459999999</v>
      </c>
      <c r="I105" s="3">
        <f>1330.1+(387.1-432.2)+(0+(0-0))+0-129-0</f>
        <v>1156</v>
      </c>
      <c r="J105" s="3">
        <f>1342.9+(349-417.4)+(-2.054637+(-0.53397--0.638622))+0-128.4--0.196452000000007</f>
        <v>1144.3464669999998</v>
      </c>
      <c r="K105" s="3">
        <f>1348.6+(336.4-426.4)+(-3.43893+(-0.85782--1.08732))+0-128.1--0.326654999999981</f>
        <v>1127.617225</v>
      </c>
      <c r="L105" s="3">
        <f>1334.6+(245.2-352.5)+(0+(0-0))+0-126.4-0</f>
        <v>1100.8999999999999</v>
      </c>
      <c r="M105" s="3">
        <f>1341.4+(266.1-330.6)+(1.368228+(0.271422-0.337212))+0-133.2-0.135864000000021</f>
        <v>1144.8665739999999</v>
      </c>
      <c r="N105" s="3">
        <f>1330.8+(362.3-347.9)+(0.678708+(0.184773-0.177429))+0-137.5-0.070124999999986</f>
        <v>1208.3159270000001</v>
      </c>
      <c r="O105" s="3">
        <f>1310.6+(386.2-297.4)+(2.005218+(0.590886-0.455022))+0-135.4-0.207162000000008</f>
        <v>1265.9339199999999</v>
      </c>
      <c r="P105" s="3">
        <f>1287.9+(447.6-242.4)+(2.627316+(0.913104-0.494496))+0-134.7-0.274787999999994</f>
        <v>1361.1711360000002</v>
      </c>
      <c r="Q105" s="3">
        <f>1286.4+(505-242.7)+(-0.656064+(-0.25755--0.123777))+0-134.9--0.0687989999999863</f>
        <v>1413.0789619999998</v>
      </c>
      <c r="R105" s="3">
        <f>1282.6+(604.3-325.8)+(0+(0-0))+0-130.1-0</f>
        <v>1431</v>
      </c>
      <c r="S105" s="3">
        <f>1277.8+(727.5-434.8)+(0+(0-0))+0-134.7-0</f>
        <v>1435.8</v>
      </c>
      <c r="T105" s="3">
        <f>1271.6+(711.3-407.8)+(0.648516+(0.362763-0.207978))+0-130.8-0.0667079999999867</f>
        <v>1445.0365929999998</v>
      </c>
      <c r="U105" s="3">
        <f>1269.8+(617.5-313.4)+(0.647598+(0.314925-0.159834))+0-131.3-0.0669629999999867</f>
        <v>1443.3357260000002</v>
      </c>
      <c r="V105" s="3">
        <f>1256.6+(532.8-226)+(1.281732+(0.543456-0.23052))+0-133.1-0.135762000000021</f>
        <v>1431.7589059999998</v>
      </c>
      <c r="W105" s="3">
        <f>1241.3+(433.7-172.1)+(0+(0-0))+0-130.7-0</f>
        <v>1372.2</v>
      </c>
      <c r="X105" s="3">
        <f>1246.5+(473.3-295)+(-1.27143+(-0.482766--0.3009))+0-126.4--0.12892800000002</f>
        <v>1297.075632</v>
      </c>
      <c r="Y105" s="3">
        <f>1256.8+(512.7-396.1)+(0+(0-0))+0-121.3-0</f>
        <v>1252.1000000000001</v>
      </c>
      <c r="Z105" s="3">
        <f>1292.1+(462.7-255.1)+(-0.658971+(-0.235977--0.130101))+0-124.9--0.0636989999999873</f>
        <v>1374.0988519999999</v>
      </c>
      <c r="AA105" s="3">
        <f>1308.3+(480.1-241.7)+(-1.334466+(-0.489702--0.246534))+0-130.6--0.133212000000021</f>
        <v>1414.6555780000001</v>
      </c>
      <c r="AB105" s="3">
        <f>1321.1+(476.9-273.7)+(0+(0-0))+0-132.1-0</f>
        <v>1392.2</v>
      </c>
      <c r="AC105" s="3">
        <f>1337.9+(438.8-303.1)+(-0.682329+(-0.223788--0.154581))+0-130.8--0.0667079999999867</f>
        <v>1342.1151720000003</v>
      </c>
      <c r="AD105">
        <f t="shared" si="1"/>
        <v>31239.371899000002</v>
      </c>
      <c r="AE105" s="3">
        <f>1293+(483.6-239)+(0+(0-0))+0-126-0</f>
        <v>1411.6</v>
      </c>
    </row>
    <row r="106" spans="1:31" s="2" customFormat="1" x14ac:dyDescent="0.25">
      <c r="A106">
        <v>89</v>
      </c>
      <c r="B106">
        <v>4</v>
      </c>
      <c r="C106">
        <v>13</v>
      </c>
      <c r="D106">
        <v>2</v>
      </c>
      <c r="E106">
        <v>1</v>
      </c>
      <c r="F106" s="3">
        <f>1346.7+(405.5-314.1)+(-1.373634+(-0.41361--0.320382))+0-128.1--0.13066200000002</f>
        <v>1308.6638</v>
      </c>
      <c r="G106" s="3">
        <f>1345.9+(347.4-301.5)+(-1.372818+(-0.354348--0.30753))+0-128.8--0.131376000000021</f>
        <v>1261.7117400000002</v>
      </c>
      <c r="H106" s="3">
        <f>1352.3+(297.8-291.7)+(0+(0-0))+0-129.8-0</f>
        <v>1228.6000000000001</v>
      </c>
      <c r="I106" s="3">
        <f>1345.5+(261.9-285.5)+(0+(0-0))+0-129.5-0</f>
        <v>1192.4000000000001</v>
      </c>
      <c r="J106" s="3">
        <f>1344.3+(263.6-297.7)+(2.056779+(0.403308-0.455481))+0-129.8-0.198594000000008</f>
        <v>1182.2060120000001</v>
      </c>
      <c r="K106" s="3">
        <f>1347.2+(244.2-314.2)+(-0.687072+(-0.124542--0.160242))+0-135.8--0.0692579999999862</f>
        <v>1140.817886</v>
      </c>
      <c r="L106" s="3">
        <f>1349.5+(304.8-432.3)+(0+(0-0))+0-133.2-0</f>
        <v>1088.8</v>
      </c>
      <c r="M106" s="3">
        <f>1334.2+(383.5-442.7)+(-2.041326+(-0.586755--0.677331))+0-136.3--0.208539000000008</f>
        <v>1136.957789</v>
      </c>
      <c r="N106" s="3">
        <f>1319.6+(442.6-407)+(-1.345992+(-0.451452--0.41514))+0-136.5--0.139230000000022</f>
        <v>1217.4569259999998</v>
      </c>
      <c r="O106" s="3">
        <f>1309.1+(508.5-388.4)+(-2.002923+(-0.778005--0.594252))+0-134.6--0.205938000000008</f>
        <v>1292.6192619999999</v>
      </c>
      <c r="P106" s="3">
        <f>1297.4+(540.8-337.9)+(-0.661674+(-0.275808--0.172329))+0-134.4--0.0685439999999864</f>
        <v>1365.203391</v>
      </c>
      <c r="Q106" s="3">
        <f>1288.9+(512.1-250.7)+(-0.657339+(-0.261171--0.127857))+0-133.8--0.0682379999999864</f>
        <v>1415.7775850000003</v>
      </c>
      <c r="R106" s="3">
        <f>1283.9+(546.1-251.9)+(1.309578+(0.557022-0.256938))+0-132.3-0.134946000000021</f>
        <v>1447.2747160000001</v>
      </c>
      <c r="S106" s="3">
        <f>1291.5+(642.1-340.4)+(0.658665+(0.327471-0.173604))+0-136.9-0.0698189999999861</f>
        <v>1457.0427129999998</v>
      </c>
      <c r="T106" s="3">
        <f>1272.3+(614.1-344.3)+(0.648873+(0.313191-0.175593))+0-137.4-0.0700739999999861</f>
        <v>1405.4163969999997</v>
      </c>
      <c r="U106" s="3">
        <f>1254.1+(647.6-335.4)+(0.639591+(0.330276-0.171054))+0-132.7-0.0676769999999865</f>
        <v>1434.331136</v>
      </c>
      <c r="V106" s="3">
        <f>1233.6+(550.2-216.8)+(-0.629136+(-0.280602--0.110568))+0-134.5--0.0685949999999864</f>
        <v>1431.769425</v>
      </c>
      <c r="W106" s="3">
        <f>1228.5+(447.5-162.7)+(-1.879605+(-0.684675--0.248931))+0-135.3--0.207009000000008</f>
        <v>1375.89166</v>
      </c>
      <c r="X106" s="3">
        <f>1248+(503.4-326.8)+(-1.27296+(-0.513468--0.333336))+0-132.1--0.134742000000021</f>
        <v>1291.18165</v>
      </c>
      <c r="Y106" s="3">
        <f>1265.8+(546.8-438)+(-0.645558+(-0.278868--0.22338))+0-125.4--0.0639539999999873</f>
        <v>1248.5629079999999</v>
      </c>
      <c r="Z106" s="3">
        <f>1290.8+(486.9-270.1)+(1.316616+(0.496638-0.275502))+0-129.2-0.131784000000021</f>
        <v>1379.8059679999999</v>
      </c>
      <c r="AA106" s="3">
        <f>1313.2+(495.5-250.7)+(0+(0-0))+0-134.2-0</f>
        <v>1423.8</v>
      </c>
      <c r="AB106" s="3">
        <f>1321.2+(503.5-282.4)+(-0.673812+(-0.256785--0.144024))+0-133.6--0.0681359999999864</f>
        <v>1407.9815630000003</v>
      </c>
      <c r="AC106" s="3">
        <f>1330.7+(475.8-305.2)+(0.678657+(0.242658-0.155652))+0-134.9-0.0687989999999863</f>
        <v>1367.0968640000001</v>
      </c>
      <c r="AD106">
        <f t="shared" si="1"/>
        <v>31501.369391</v>
      </c>
      <c r="AE106" s="3">
        <f>1309+(494.4-246.7)+(0+(0-0))+0-126.8-0</f>
        <v>1429.9</v>
      </c>
    </row>
    <row r="107" spans="1:31" s="2" customFormat="1" x14ac:dyDescent="0.25">
      <c r="A107">
        <v>89</v>
      </c>
      <c r="B107">
        <v>4</v>
      </c>
      <c r="C107">
        <v>14</v>
      </c>
      <c r="D107">
        <v>3</v>
      </c>
      <c r="E107">
        <v>1</v>
      </c>
      <c r="F107" s="3">
        <f>1324.9+(439.2-315.2)+(0.675699+(0.223992-0.160752))+0-136-0.0693599999999862</f>
        <v>1313.5695790000002</v>
      </c>
      <c r="G107" s="3">
        <f>1337.9+(386.6-322.1)+(-0.682329+(-0.197166--0.164271))+0-134.3--0.0684929999999864</f>
        <v>1267.4532690000001</v>
      </c>
      <c r="H107" s="3">
        <f>1348.4+(335.3-325.6)+(-1.375368+(-0.342006--0.332112))+0-129--0.131580000000021</f>
        <v>1227.8463180000001</v>
      </c>
      <c r="I107" s="3">
        <f>1349.3+(296.1-313.9)+(-0.688143+(-0.151011--0.160089))+0-128.4--0.065483999999987</f>
        <v>1202.4864189999998</v>
      </c>
      <c r="J107" s="3">
        <f>1351.7+(260.4-293.6)+(-1.378734+(-0.265608--0.299472))+0-129.8--0.132396000000021</f>
        <v>1187.4875260000001</v>
      </c>
      <c r="K107" s="3">
        <f>1355.6+(286.6-351)+(-3.45678+(-0.73083--0.89505))+0-130.7--0.333284999999981</f>
        <v>1157.5407249999996</v>
      </c>
      <c r="L107" s="3">
        <f>1365+(372.2-477.4)+(-2.7846+(-0.759288--0.973896))+0-129.4--0.263975999999994</f>
        <v>1128.0939839999999</v>
      </c>
      <c r="M107" s="3">
        <f>1339.1+(444.1-488.5)+(0+(0-0))+0-133.8-0</f>
        <v>1160.8999999999999</v>
      </c>
      <c r="N107" s="3">
        <f>1327.8+(466.1-443)+(0+(0-0))+0-135.5-0</f>
        <v>1215.4000000000001</v>
      </c>
      <c r="O107" s="3">
        <f>1317.7+(497.6-398.2)+(0.672027+(0.253776-0.203082))+0-132.5-0.0675749999999866</f>
        <v>1285.2551460000002</v>
      </c>
      <c r="P107" s="3">
        <f>1296+(476.1-289.7)+(0.66096+(0.242811-0.147747))+0-126.8-0.0646679999999871</f>
        <v>1356.2913560000002</v>
      </c>
      <c r="Q107" s="3">
        <f>1281.7+(479-216.2)+(1.307334+(0.48858-0.220524))+0-125.3-0.12780600000002</f>
        <v>1420.6475840000001</v>
      </c>
      <c r="R107" s="3">
        <f>1278.1+(552.2-257.6)+(1.955493+(0.844866-0.394128))+0-127.1-0.194463000000007</f>
        <v>1447.8117679999998</v>
      </c>
      <c r="S107" s="3">
        <f>1285.8+(658.1-384.3)+(1.311516+(0.671262-0.391986))+0-134.5-0.137190000000021</f>
        <v>1426.553602</v>
      </c>
      <c r="T107" s="3">
        <f>1273.4+(669.5-394)+(1.948302+(1.024335-0.60282))+0-133.8-0.204714000000008</f>
        <v>1417.2651030000002</v>
      </c>
      <c r="U107" s="3">
        <f>1271.8+(643.5-366)+(1.945854+(0.984555-0.55998))+0-131.5-0.201195000000008</f>
        <v>1419.9692339999999</v>
      </c>
      <c r="V107" s="3">
        <f>1269+(561.9-281)+(0+(0-0))+0-131.8-0</f>
        <v>1418.1000000000001</v>
      </c>
      <c r="W107" s="3">
        <f>1242.1+(404.1-138.4)+(-1.266942+(-0.412182--0.141168))+0-131.8--0.134436000000021</f>
        <v>1374.5964800000002</v>
      </c>
      <c r="X107" s="3">
        <f>1230.9+(478.3-287.3)+(-1.255518+(-0.487866--0.293046))+0-133.2--0.135864000000021</f>
        <v>1287.385526</v>
      </c>
      <c r="Y107" s="3">
        <f>1247.2+(506.1-394.8)+(-0.636072+(-0.258111--0.201348))+0-129.7--0.0661469999999868</f>
        <v>1228.1733119999999</v>
      </c>
      <c r="Z107" s="3">
        <f>1282.1+(503.2-277.7)+(1.307742+(0.513264-0.283254))+0-132.6-0.135252000000021</f>
        <v>1376.4024999999999</v>
      </c>
      <c r="AA107" s="3">
        <f>1309.6+(591.3-336)+(-0.667896+(-0.301563--0.17136))+0-132.6--0.0676259999999865</f>
        <v>1431.5695269999999</v>
      </c>
      <c r="AB107" s="3">
        <f>1329.4+(547.1-336)+(0+(0-0))+0-129.8-0</f>
        <v>1410.7</v>
      </c>
      <c r="AC107" s="3">
        <f>1330.3+(549.1-378.4)+(-1.356906+(-0.560082--0.385968))+0-131.6--0.134232000000021</f>
        <v>1368.0032120000003</v>
      </c>
      <c r="AD107">
        <f t="shared" si="1"/>
        <v>31529.502169999996</v>
      </c>
      <c r="AE107" s="3">
        <f>1294+(609.5-353.1)+(0+(0-0))+0-128.6-0</f>
        <v>1421.8000000000002</v>
      </c>
    </row>
    <row r="108" spans="1:31" s="2" customFormat="1" x14ac:dyDescent="0.25">
      <c r="A108">
        <v>89</v>
      </c>
      <c r="B108">
        <v>4</v>
      </c>
      <c r="C108">
        <v>15</v>
      </c>
      <c r="D108">
        <v>4</v>
      </c>
      <c r="E108">
        <v>1</v>
      </c>
      <c r="F108" s="3">
        <f>1337.8+(485.1-362.4)+(-2.729112+(-0.989604--0.739296))+0-129.8--0.264791999999994</f>
        <v>1327.9853720000001</v>
      </c>
      <c r="G108" s="3">
        <f>1336.7+(393.3-348.7)+(2.045151+(0.601749-0.533511))+0-127.8-0.195534000000007</f>
        <v>1255.4178550000004</v>
      </c>
      <c r="H108" s="3">
        <f>1350.2+(337.8-336.5)+(0+(0-0))+0-128.8-0</f>
        <v>1222.7</v>
      </c>
      <c r="I108" s="3">
        <f>1349+(304.7-315.8)+(-0.68799+(-0.155397--0.161058))+0-129.6--0.0660959999999868</f>
        <v>1207.6837670000002</v>
      </c>
      <c r="J108" s="3">
        <f>1356.6+(268.9-304.9)+(-2.767464+(-0.548556--0.621996))+0-126.8--0.258671999999994</f>
        <v>1191.364648</v>
      </c>
      <c r="K108" s="3">
        <f>1357.7+(240.1-306.5)+(-2.077281+(-0.367353--0.468945))+0-127--0.194310000000007</f>
        <v>1162.5186209999999</v>
      </c>
      <c r="L108" s="3">
        <f>1360.4+(293.7-402.2)+(-1.387608+(-0.299574--0.410244))+0-126.4--0.12892800000002</f>
        <v>1124.3519900000001</v>
      </c>
      <c r="M108" s="3">
        <f>1355.1+(352.2-401.1)+(0+(0-0))+0-135.4-0</f>
        <v>1170.7999999999997</v>
      </c>
      <c r="N108" s="3">
        <f>1334.3+(413-391.5)+(0.680493+(0.21063-0.199665))+0-132.9-0.0677789999999865</f>
        <v>1223.5236789999999</v>
      </c>
      <c r="O108" s="3">
        <f>1324.4+(450.3-359)+(2.701776+(0.918612-0.73236))+0-132.4-0.270095999999994</f>
        <v>1285.9179320000001</v>
      </c>
      <c r="P108" s="3">
        <f>1309.7+(416.4-269.8)+(1.335894+(0.424728-0.275196))+0-134.6-0.137292000000021</f>
        <v>1323.0481339999999</v>
      </c>
      <c r="Q108" s="3">
        <f>1270.1+(424.6-183.6)+(0.647751+(0.216546-0.093636))+0-133.1-0.0678809999999865</f>
        <v>1378.7027800000001</v>
      </c>
      <c r="R108" s="3">
        <f>1259.2+(531.9-241.4)+(0.642192+(0.271269-0.123114))+0-130.6-0.0666059999999867</f>
        <v>1419.8237410000002</v>
      </c>
      <c r="S108" s="3">
        <f>1233+(675.9-362.1)+(0.62883+(0.344709-0.184671))+0-130.9-0.0667589999999867</f>
        <v>1416.6221089999999</v>
      </c>
      <c r="T108" s="3">
        <f>1242.4+(687.7-391.4)+(1.267248+(0.701454-0.399228))+0-128.4-0.13096800000002</f>
        <v>1411.7385060000001</v>
      </c>
      <c r="U108" s="3">
        <f>1251.3+(627.3-354.3)+(1.914489+(0.959769-0.542079))+0-123.4-0.188802000000007</f>
        <v>1403.043377</v>
      </c>
      <c r="V108" s="3">
        <f>1270.3+(504.8-256.2)+(1.295706+(0.514896-0.261324))+0-122.7-0.12515400000002</f>
        <v>1397.6241239999999</v>
      </c>
      <c r="W108" s="3">
        <f>1290.2+(359.4-185.5)+(0.658002+(0.183294-0.094605))+0-126-0.0642599999999872</f>
        <v>1338.7824310000001</v>
      </c>
      <c r="X108" s="3">
        <f>1385.8+(442.5-445.3)+(-0.706758+(-0.225675--0.227103))+0-129.9--0.0662489999999868</f>
        <v>1252.4609189999999</v>
      </c>
      <c r="Y108" s="3">
        <f>1408.1+(485.7-553.8)+(0+(0-0))+0-129.9-0</f>
        <v>1210.0999999999999</v>
      </c>
      <c r="Z108" s="3">
        <f>1458.9+(350.7-319)+(1.488078+(0.357714-0.32538))+0-131.7-0.134334000000021</f>
        <v>1360.2860780000001</v>
      </c>
      <c r="AA108" s="3">
        <f>1478.3+(387.2-327.6)+(0+(0-0))+0-132.5-0</f>
        <v>1405.3999999999999</v>
      </c>
      <c r="AB108" s="3">
        <f>1498.7+(396.1-378.6)+(0.764337+(0.202011-0.193086))+0-130.2-0.0664019999999868</f>
        <v>1386.70686</v>
      </c>
      <c r="AC108" s="3">
        <f>1507.9+(404.2-437.9)+(-2.307087+(-0.618426--0.669987))+0-131.5--0.201195000000008</f>
        <v>1340.6456690000002</v>
      </c>
      <c r="AD108">
        <f t="shared" si="1"/>
        <v>31217.248592000007</v>
      </c>
      <c r="AE108" s="3">
        <f>1476+(398.8-340.1)+(0+(0-0))+0-135-0</f>
        <v>1399.7</v>
      </c>
    </row>
    <row r="109" spans="1:31" s="2" customFormat="1" x14ac:dyDescent="0.25">
      <c r="A109">
        <v>89</v>
      </c>
      <c r="B109">
        <v>4</v>
      </c>
      <c r="C109">
        <v>16</v>
      </c>
      <c r="D109">
        <v>5</v>
      </c>
      <c r="E109">
        <v>1</v>
      </c>
      <c r="F109" s="3">
        <f>1515.1+(401.7-489)+(-1.545402+(-0.409734--0.49878))+0-132.4--0.135048000000021</f>
        <v>1294.078692</v>
      </c>
      <c r="G109" s="3">
        <f>1521.8+(375.2-493)+(-0.776118+(-0.191352--0.25143))+0-128.5--0.065534999999987</f>
        <v>1274.8494949999999</v>
      </c>
      <c r="H109" s="3">
        <f>1524.2+(336-493.5)+(0+(0-0))+0-126.4-0</f>
        <v>1240.3</v>
      </c>
      <c r="I109" s="3">
        <f>1532.2+(318.6-504.2)+(-0.781422+(-0.162486--0.257142))+0-128.6--0.0655859999999869</f>
        <v>1217.3788200000001</v>
      </c>
      <c r="J109" s="3">
        <f>1546.1+(275.1-491.3)+(0+(0-0))+0-128.9-0</f>
        <v>1200.9999999999998</v>
      </c>
      <c r="K109" s="3">
        <f>1553.3+(240-504)+(-3.960915+(-0.612--1.2852))+0-125.4--0.319769999999982</f>
        <v>1160.932055</v>
      </c>
      <c r="L109" s="3">
        <f>1557.6+(302.3-617.2)+(-1.588752+(-0.308346--0.629544))+0-122.3--0.124746000000019</f>
        <v>1119.2571919999998</v>
      </c>
      <c r="M109" s="3">
        <f>1557.9+(316.4-631.9)+(0.794529+(0.161364-0.322269))+0-130.3-0.0664529999999868</f>
        <v>1112.6671710000003</v>
      </c>
      <c r="N109" s="3">
        <f>1533.8+(388.5-618.2)+(0.782238+(0.198135-0.315282))+0-129.2-0.0658919999999869</f>
        <v>1175.4991989999999</v>
      </c>
      <c r="O109" s="3">
        <f>1516.1+(416.4-552.8)+(0.773211+(0.212364-0.281928))+0-129.6-0.0660959999999868</f>
        <v>1250.7375509999999</v>
      </c>
      <c r="P109" s="3">
        <f>1494.9+(400.5-447.9)+(1.524798+(0.40851-0.456858))+0-133.6-0.136272000000021</f>
        <v>1315.2401780000002</v>
      </c>
      <c r="Q109" s="3">
        <f>1486.2+(340.9-315.4)+(0+(0-0))+0-132.7-0</f>
        <v>1379</v>
      </c>
      <c r="R109" s="3">
        <f>1473.5+(410.5-340.5)+(2.254455+(0.628065-0.520965))+0-130-0.198900000000008</f>
        <v>1415.6626549999999</v>
      </c>
      <c r="S109" s="3">
        <f>1469.3+(473-394.4)+(0.749343+(0.24123-0.201144))+0-133.8-0.0682379999999864</f>
        <v>1414.821191</v>
      </c>
      <c r="T109" s="3">
        <f>1452.7+(499.4-418.6)+(0+(0-0))+0-133.2-0</f>
        <v>1400.3</v>
      </c>
      <c r="U109" s="3">
        <f>1452.4+(439.3-386.8)+(-1.481448+(-0.448086--0.394536))+0-129.8--0.132396000000021</f>
        <v>1373.697398</v>
      </c>
      <c r="V109" s="3">
        <f>1446.1+(392-327.9)+(-0.737511+(-0.19992--0.167229))+0-138--0.070379999999986</f>
        <v>1371.5001779999998</v>
      </c>
      <c r="W109" s="3">
        <f>1444.5+(328.3-328.2)+(1.47339+(0.334866-0.334764))+0-138-0.140760000000022</f>
        <v>1307.932732</v>
      </c>
      <c r="X109" s="3">
        <f>1441+(437.7-511.1)+(-0.73491+(-0.223227--0.260661))+0-135.8--0.0692579999999862</f>
        <v>1231.1717819999999</v>
      </c>
      <c r="Y109" s="3">
        <f>1431.6+(467.3-583.7)+(0+(0-0))+0-130.9-0</f>
        <v>1184.2999999999997</v>
      </c>
      <c r="Z109" s="3">
        <f>1466.9+(327-327.9)+(0.748119+(0.16677-0.167229))+0-135.2-0.0689519999999863</f>
        <v>1331.4787079999999</v>
      </c>
      <c r="AA109" s="3">
        <f>1499.4+(361.8-350.4)+(0+(0-0))+0-138-0</f>
        <v>1372.8000000000002</v>
      </c>
      <c r="AB109" s="3">
        <f>1505.4+(372.6-385.2)+(0.767754+(0.190026-0.196452))+0-137.2-0.0699719999999861</f>
        <v>1356.2913560000002</v>
      </c>
      <c r="AC109" s="3">
        <f>1520.2+(408.3-468.9)+(0+(0-0))+0-139.3-0</f>
        <v>1320.3000000000002</v>
      </c>
      <c r="AD109">
        <f t="shared" si="1"/>
        <v>30821.196352999999</v>
      </c>
      <c r="AE109" s="3">
        <f>1494+(365.8-364.1)+(0+(0-0))+0-137-0</f>
        <v>1358.7</v>
      </c>
    </row>
    <row r="110" spans="1:31" s="2" customFormat="1" x14ac:dyDescent="0.25">
      <c r="A110">
        <v>89</v>
      </c>
      <c r="B110">
        <v>4</v>
      </c>
      <c r="C110">
        <v>17</v>
      </c>
      <c r="D110">
        <v>6</v>
      </c>
      <c r="E110">
        <v>1</v>
      </c>
      <c r="F110" s="3">
        <f>1524.1+(395.8-498)+(0.777291+(0.201858-0.25398))+0-138.6-0.0706859999999859</f>
        <v>1283.954483</v>
      </c>
      <c r="G110" s="3">
        <f>1527.9+(322.4-487.9)+(0+(0-0))+0-137.1-0</f>
        <v>1225.3000000000002</v>
      </c>
      <c r="H110" s="3">
        <f>1528.7+(265.1-470.1)+(0.779637+(0.135201-0.239751))+0-135.8-0.0692579999999862</f>
        <v>1188.5058290000002</v>
      </c>
      <c r="I110" s="3">
        <f>1541.7+(218.4-461.4)+(1.572534+(0.222768-0.470628))+0-133.4-0.136068000000021</f>
        <v>1166.4886059999999</v>
      </c>
      <c r="J110" s="3">
        <f>1546.5+(202.2-467.3)+(0.788715+(0.103122-0.238323))+0-132.9-0.0677789999999865</f>
        <v>1149.0857350000001</v>
      </c>
      <c r="K110" s="3">
        <f>1557.4+(194.6-495.9)+(0+(0-0))+0-132.8-0</f>
        <v>1123.3000000000002</v>
      </c>
      <c r="L110" s="3">
        <f>1555.1+(207.4-541.5)+(-2.379303+(-0.317322--0.828495))+0-132.3--0.202419000000008</f>
        <v>1087.0342889999999</v>
      </c>
      <c r="M110" s="3">
        <f>1546.6+(242.4-556.4)+(-2.366298+(-0.370872--0.851292))+0-135--0.206550000000008</f>
        <v>1095.920672</v>
      </c>
      <c r="N110" s="3">
        <f>1527.8+(283.6-509.8)+(-3.116712+(-0.578544--1.039992))+0-139.5--0.284579999999994</f>
        <v>1159.7293159999999</v>
      </c>
      <c r="O110" s="3">
        <f>1515.2+(311.1-454.5)+(-0.772752+(-0.158661--0.231795))+0-135--0.0688499999999863</f>
        <v>1236.169232</v>
      </c>
      <c r="P110" s="3">
        <f>1503.3+(291.8-349.7)+(0.766683+(0.148818-0.178347))+0-136.5-0.0696149999999861</f>
        <v>1309.5675390000001</v>
      </c>
      <c r="Q110" s="3">
        <f>1495.8+(303.9-290.6)+(1.525716+(0.309978-0.296412))+0-135.2-0.137904000000022</f>
        <v>1375.3013779999999</v>
      </c>
      <c r="R110" s="3">
        <f>1485.9+(384.1-360.6)+(1.515618+(0.391782-0.367812))+0-134.4-0.137088000000021</f>
        <v>1376.4025000000001</v>
      </c>
      <c r="S110" s="3">
        <f>1472+(444.3-412.6)+(0+(0-0))+0-137.4-0</f>
        <v>1366.3</v>
      </c>
      <c r="T110" s="3">
        <f>1463.2+(484.4-449.2)+(0.746232+(0.247044-0.229092))+0-136.1-0.0694109999999862</f>
        <v>1362.9947730000001</v>
      </c>
      <c r="U110" s="3">
        <f>1460.9+(475.5-432.6)+(0.745059+(0.242505-0.220626))+0-133.8-0.0682379999999864</f>
        <v>1370.6987000000001</v>
      </c>
      <c r="V110" s="3">
        <f>1456.7+(423.5-401.2)+(0+(0-0))+0-136.2-0</f>
        <v>1342.8</v>
      </c>
      <c r="W110" s="3">
        <f>1443.3+(315.2-314.3)+(-0.736083+(-0.160752--0.160293))+0-136.4--0.0695639999999862</f>
        <v>1307.1330219999995</v>
      </c>
      <c r="X110" s="3">
        <f>1418.1+(344.4-427.9)+(-2.169693+(-0.526932--0.654687))+0-134.8--0.206244000000008</f>
        <v>1197.9643059999999</v>
      </c>
      <c r="Y110" s="3">
        <f>1423.3+(369.3-507.7)+(-0.725883+(-0.188343--0.258927))+0-133.5--0.0680849999999865</f>
        <v>1150.812786</v>
      </c>
      <c r="Z110" s="3">
        <f>1449.6+(260.9-271.4)+(0+(0-0))+0-140-0</f>
        <v>1299.0999999999999</v>
      </c>
      <c r="AA110" s="3">
        <f>1483.9+(326.2-329.7)+(-3.027156+(-0.665448--0.672588))+0-142.1--0.289883999999994</f>
        <v>1335.5698680000003</v>
      </c>
      <c r="AB110" s="3">
        <f>1504+(337.5-379.8)+(-0.76704+(-0.172125--0.193698))+0-136.8--0.0697679999999861</f>
        <v>1324.2243010000002</v>
      </c>
      <c r="AC110" s="3">
        <f>1510.8+(324-407.4)+(0.770508+(0.16524-0.207774))+0-137.2-0.0699719999999861</f>
        <v>1290.8580019999999</v>
      </c>
      <c r="AD110">
        <f t="shared" si="1"/>
        <v>30125.215336999994</v>
      </c>
      <c r="AE110" s="3">
        <f>1486+(321.4-331.7)+(0+(0-0))+0-142.5-0</f>
        <v>1333.2</v>
      </c>
    </row>
    <row r="111" spans="1:31" s="2" customFormat="1" x14ac:dyDescent="0.25">
      <c r="A111">
        <v>89</v>
      </c>
      <c r="B111">
        <v>4</v>
      </c>
      <c r="C111">
        <v>18</v>
      </c>
      <c r="D111">
        <v>7</v>
      </c>
      <c r="E111">
        <v>1</v>
      </c>
      <c r="F111" s="3">
        <f>1516.1+(315.2-436.2)+(0+(0-0))+0-132.9-0</f>
        <v>1262.1999999999998</v>
      </c>
      <c r="G111" s="3">
        <f>1517.3+(303.7-471.1)+(-0.773823+(-0.154887--0.240261))+0-131.5--0.0670649999999867</f>
        <v>1217.7786159999998</v>
      </c>
      <c r="H111" s="3">
        <f>1523.1+(259.9-475.4)+(0.776781+(0.132549-0.242454))+0-128.4-0.065483999999987</f>
        <v>1179.8013919999999</v>
      </c>
      <c r="I111" s="3">
        <f>1526.1+(219.8-459.6)+(0.778311+(0.112098-0.234396))+0-128.4-0.065483999999987</f>
        <v>1158.4905289999999</v>
      </c>
      <c r="J111" s="3">
        <f>1528.9+(187.4-442.8)+(0.779739+(0.095574-0.225828))+0-129.2-0.0658919999999869</f>
        <v>1144.8835929999998</v>
      </c>
      <c r="K111" s="3">
        <f>1541.1+(182.1-501.6)+(-2.357883+(-0.278613--0.767448))+0-124.8--0.190944000000007</f>
        <v>1095.1218959999999</v>
      </c>
      <c r="L111" s="3">
        <f>1544.2+(189.5-567.7)+(0+(0-0))+0-125.7-0</f>
        <v>1040.3</v>
      </c>
      <c r="M111" s="3">
        <f>1537.1+(199.9-560.9)+(0+(0-0))+0-128.4-0</f>
        <v>1047.6999999999998</v>
      </c>
      <c r="N111" s="3">
        <f>1507.4+(252.9-553)+(-1.537548+(-0.257958--0.56406))+0-132.1--0.134742000000021</f>
        <v>1074.1032960000002</v>
      </c>
      <c r="O111" s="3">
        <f>1495.3+(280.1-518)+(0+(0-0))+0-131.3-0</f>
        <v>1126.1000000000001</v>
      </c>
      <c r="P111" s="3">
        <f>1479.2+(262.1-421.5)+(1.508784+(0.267342-0.42993))+0-130.7-0.133314000000021</f>
        <v>1190.3128820000002</v>
      </c>
      <c r="Q111" s="3">
        <f>1460.8+(249.2-332.2)+(0+(0-0))+0-132-0</f>
        <v>1245.8</v>
      </c>
      <c r="R111" s="3">
        <f>1446+(331.9-377.3)+(0.73746+(0.169269-0.192423))+0-131.2-0.0669119999999867</f>
        <v>1270.0473939999999</v>
      </c>
      <c r="S111" s="3">
        <f>1432.4+(399.5-402.7)+(1.461048+(0.40749-0.410754))+0-130.5-0.133110000000021</f>
        <v>1300.024674</v>
      </c>
      <c r="T111" s="3">
        <f>1356.9+(445.4-387.9)+(0.692019+(0.227154-0.197829))+0-128.3-0.065432999999987</f>
        <v>1286.7559110000002</v>
      </c>
      <c r="U111" s="3">
        <f>1279.7+(592.1-454.6)+(-1.305294+(-0.603942--0.463692))+0-127.9--0.13045800000002</f>
        <v>1287.9849140000001</v>
      </c>
      <c r="V111" s="3">
        <f>1278+(582.5-442.7)+(-0.65178+(-0.297075--0.225777))+0-130.8--0.0667079999999867</f>
        <v>1286.3436300000001</v>
      </c>
      <c r="W111" s="3">
        <f>1376.9+(373.9-365.6)+(-0.702219+(-0.190689--0.186456))+0-131.3--0.0669629999999867</f>
        <v>1253.2605110000002</v>
      </c>
      <c r="X111" s="3">
        <f>1300.5+(265.9-258.4)+(-1.32651+(-0.271218--0.263568))+0-132.9--0.135558000000021</f>
        <v>1173.9013979999997</v>
      </c>
      <c r="Y111" s="3">
        <f>1288.5+(302-348.8)+(-1.971405+(-0.46206--0.533664))+0-130.8--0.200124000000008</f>
        <v>1109.200323</v>
      </c>
      <c r="Z111" s="3">
        <f>1417.6+(312-331.2)+(0.722976+(0.15912-0.168912))+0-132.5-0.0675749999999866</f>
        <v>1266.5456089999998</v>
      </c>
      <c r="AA111" s="3">
        <f>1467.4+(384-404.1)+(-0.748374+(-0.19584--0.206091))+0-137.3--0.0700229999999861</f>
        <v>1309.3319000000001</v>
      </c>
      <c r="AB111" s="3">
        <f>1468.4+(409.1-442.7)+(0+(0-0))+0-134.5-0</f>
        <v>1300.3000000000002</v>
      </c>
      <c r="AC111" s="3">
        <f>1457.7+(439.1-480.2)+(0.743427+(0.223941-0.244902))+0-135.8-0.0692579999999862</f>
        <v>1281.4532080000001</v>
      </c>
      <c r="AD111">
        <f t="shared" si="1"/>
        <v>28907.741676000001</v>
      </c>
      <c r="AE111" s="3">
        <f>1460+(388.1-401.8)+(0+(0-0))+0-149-0</f>
        <v>1297.3</v>
      </c>
    </row>
    <row r="112" spans="1:31" s="2" customFormat="1" x14ac:dyDescent="0.25">
      <c r="A112">
        <v>89</v>
      </c>
      <c r="B112">
        <v>4</v>
      </c>
      <c r="C112">
        <v>19</v>
      </c>
      <c r="D112">
        <v>1</v>
      </c>
      <c r="E112">
        <v>3</v>
      </c>
      <c r="F112" s="3">
        <f>1416.9+(425.2-485.1)+(-2.890476+(-0.867408--0.989604))+0-132.8--0.270911999999994</f>
        <v>1221.702632</v>
      </c>
      <c r="G112" s="3">
        <f>1290.4+(460.2-427.9)+(-1.974312+(-0.704106--0.654687))+0-131.1--0.200583000000008</f>
        <v>1189.7768520000002</v>
      </c>
      <c r="H112" s="3">
        <f>1317.6+(383.9-406.6)+(-1.343952+(-0.391578--0.414732))+0-131.3--0.133926000000021</f>
        <v>1162.4131279999999</v>
      </c>
      <c r="I112" s="3">
        <f>1321.3+(335.4-388.5)+(-1.347726+(-0.342108--0.39627))+0-130.9--0.133518000000021</f>
        <v>1136.1399539999998</v>
      </c>
      <c r="J112" s="3">
        <f>1321.2+(312.6-379.4)+(-1.347624+(-0.318852--0.386988))+0-129.9--0.132498000000021</f>
        <v>1123.35301</v>
      </c>
      <c r="K112" s="3">
        <f>1324.9+(223.1-339.5)+(0+(0-0))+0-128-0</f>
        <v>1080.5</v>
      </c>
      <c r="L112" s="3">
        <f>1330.8+(190.3-353.9)+(0+(0-0))+0-127.5-0</f>
        <v>1039.7</v>
      </c>
      <c r="M112" s="3">
        <f>1333.4+(198-342)+(-2.040102+(-0.30294--0.52326))+0-134.8--0.206244000000008</f>
        <v>1052.9864620000001</v>
      </c>
      <c r="N112" s="3">
        <f>1298.5+(243.8-308.4)+(-0.662235+(-0.124338--0.157284))+0-137.6--0.070175999999986</f>
        <v>1095.7408870000002</v>
      </c>
      <c r="O112" s="3">
        <f>1270.7+(262.6-249.5)+(1.296114+(0.267852-0.25449))+0-132.1-0.134742000000021</f>
        <v>1152.8747340000002</v>
      </c>
      <c r="P112" s="3">
        <f>1153.7+(356.1-153.1)+(1.176774+(0.363222-0.156162))+0-133.2-0.135864000000021</f>
        <v>1224.7479699999999</v>
      </c>
      <c r="Q112" s="3">
        <f>1235.6+(422.1-232.3)+(1.260312+(0.430542-0.236946))+0-131.2-0.133824000000021</f>
        <v>1295.5200839999998</v>
      </c>
      <c r="R112" s="3">
        <f>1262+(531.7-348.3)+(0+(0-0))+0-122.7-0</f>
        <v>1322.7</v>
      </c>
      <c r="S112" s="3">
        <f>1273+(578.1-429.5)+(0+(0-0))+8.3-118.1-0</f>
        <v>1311.8</v>
      </c>
      <c r="T112" s="3">
        <f>1268.2+(644.9-476.2)+(0.646782+(0.328899-0.242862))+33-117.6-0.0599759999999881</f>
        <v>1352.9728430000002</v>
      </c>
      <c r="U112" s="3">
        <f>1265+(566.1-404.3)+(0+(0-0))+33-130.9-0</f>
        <v>1328.8999999999999</v>
      </c>
      <c r="V112" s="3">
        <f>1259+(517.6-351.7)+(0+(0-0))+33-134.3-0</f>
        <v>1323.6000000000001</v>
      </c>
      <c r="W112" s="3">
        <f>1226.9+(369.6-223.2)+(-1.251438+(-0.376992--0.227664))+33-135--0.137700000000022</f>
        <v>1270.0369340000002</v>
      </c>
      <c r="X112" s="3">
        <f>1229.2+(306.1-261)+(0+(0-0))+33-131.3-0</f>
        <v>1176.0000000000002</v>
      </c>
      <c r="Y112" s="3">
        <f>1236.7+(348.4-345.1)+(0.630717+(0.177684-0.176001))+0-127.7-0.065126999999987</f>
        <v>1112.8672729999998</v>
      </c>
      <c r="Z112" s="3">
        <f>1263.4+(398.9-266.6)+(0+(0-0))+0-132.5-0</f>
        <v>1263.2</v>
      </c>
      <c r="AA112" s="3">
        <f>1278.8+(514.7-358.2)+(-0.652188+(-0.262497--0.182682))+0-132.2--0.0674219999999866</f>
        <v>1302.4354189999999</v>
      </c>
      <c r="AB112" s="3">
        <f>1306.9+(544.7-401)+(0+(0-0))+0-131.5-0</f>
        <v>1319.1000000000001</v>
      </c>
      <c r="AC112" s="3">
        <f>1302.8+(606.8-482.6)+(0+(0-0))+0-131-0</f>
        <v>1296</v>
      </c>
      <c r="AD112">
        <f t="shared" si="1"/>
        <v>29155.068182000003</v>
      </c>
      <c r="AE112" s="3">
        <f>1335+(537.1-390.3)+(0+(0-0))+0-134.8-0</f>
        <v>1347</v>
      </c>
    </row>
    <row r="113" spans="1:31" s="2" customFormat="1" x14ac:dyDescent="0.25">
      <c r="A113">
        <v>89</v>
      </c>
      <c r="B113">
        <v>4</v>
      </c>
      <c r="C113">
        <v>20</v>
      </c>
      <c r="D113">
        <v>2</v>
      </c>
      <c r="E113">
        <v>1</v>
      </c>
      <c r="F113" s="3">
        <f>1328.6+(554.8-485.8)+(0+(0-0))+0-129.9-0</f>
        <v>1267.6999999999998</v>
      </c>
      <c r="G113" s="3">
        <f>1310.5+(454.8-421.4)+(-2.005065+(-0.695844--0.644742))+0-128.6--0.196758000000007</f>
        <v>1213.4405910000003</v>
      </c>
      <c r="H113" s="3">
        <f>1270.4+(406.5-373.8)+(-1.295808+(-0.41463--0.381276))+0-127--0.12954000000002</f>
        <v>1174.9003780000003</v>
      </c>
      <c r="I113" s="3">
        <f>1280.7+(351.7-349.8)+(-1.959471+(-0.538101--0.535194))+0-126.9--0.194157000000007</f>
        <v>1153.9317789999998</v>
      </c>
      <c r="J113" s="3">
        <f>1277.6+(324.1-332.1)+(0+(0-0))+0-128.4-0</f>
        <v>1141.1999999999998</v>
      </c>
      <c r="K113" s="3">
        <f>1268.6+(289.6-312.6)+(0+(0-0))+0-127.1-0</f>
        <v>1118.5</v>
      </c>
      <c r="L113" s="3">
        <f>1284.7+(231.2-305.4)+(-1.310394+(-0.235824--0.311508))+0-127.1--0.12964200000002</f>
        <v>1082.2949320000002</v>
      </c>
      <c r="M113" s="3">
        <f>1303.1+(241.1-299.6)+(-0.664581+(-0.122961--0.152796))+0-131.3--0.0669629999999867</f>
        <v>1112.732217</v>
      </c>
      <c r="N113" s="3">
        <f>1304+(261.6-280.1)+(0.66504+(0.133416-0.142851))+0-129-0.0657899999999869</f>
        <v>1157.089815</v>
      </c>
      <c r="O113" s="3">
        <f>1317.5+(299.6-247)+(0.671925+(0.152796-0.12597))+0-133-0.0678299999999865</f>
        <v>1237.7309209999999</v>
      </c>
      <c r="P113" s="3">
        <f>1293.3+(316.6-183.6)+(1.319166+(0.322932-0.187272))+0-132.1-0.134742000000021</f>
        <v>1295.520084</v>
      </c>
      <c r="Q113" s="3">
        <f>1283.1+(353.2-194.6)+(1.308762+(0.360264-0.198492))+26.3-134.5-0.137190000000021</f>
        <v>1334.8333439999999</v>
      </c>
      <c r="R113" s="3">
        <f>1295.8+(428.9-299.6)+(0.660858+(0.218739-0.152796))+79-132.5-0.0675749999999866</f>
        <v>1372.2592259999999</v>
      </c>
      <c r="S113" s="3">
        <f>1282.7+(576.6-425.2)+(0.654177+(0.294066-0.216852))+79-130.4-0.0665039999999868</f>
        <v>1383.3648870000002</v>
      </c>
      <c r="T113" s="3">
        <f>1277.7+(607.8-465.5)+(0.651627+(0.309978-0.237405))+79-121.8-0.0621179999999876</f>
        <v>1377.8620820000001</v>
      </c>
      <c r="U113" s="3">
        <f>1287+(565.8-443.9)+(1.31274+(0.577116-0.452778))+79-119.6-0.121992000000019</f>
        <v>1369.615086</v>
      </c>
      <c r="V113" s="3">
        <f>1290.4+(474.9-344.5)+(0+(0-0))+79-121.4-0</f>
        <v>1378.4</v>
      </c>
      <c r="W113" s="3">
        <f>1280.6+(361.1-241.6)+(-2.612424+(-0.736644--0.492864))+79-124.5--0.253979999999995</f>
        <v>1351.9977759999999</v>
      </c>
      <c r="X113" s="3">
        <f>1280.9+(303.9-263.9)+(0+(0-0))+26.3-122.3-0</f>
        <v>1224.9000000000001</v>
      </c>
      <c r="Y113" s="3">
        <f>1282.5+(357.2-343.6)+(-0.654075+(-0.182172--0.175236))+0-120.8--0.0616079999999877</f>
        <v>1174.700597</v>
      </c>
      <c r="Z113" s="3">
        <f>1303.7+(411.4-244.4)+(0.664887+(0.209814-0.124644))+0-130.7-0.0666569999999867</f>
        <v>1340.6833999999999</v>
      </c>
      <c r="AA113" s="3">
        <f>1316.3+(589.8-397)+(-1.342626+(-0.601596--0.40494))+0-138--0.140760000000022</f>
        <v>1369.701478</v>
      </c>
      <c r="AB113" s="3">
        <f>1318.8+(612.5-446.4)+(-0.672588+(-0.312375--0.227664))+0-139.1--0.0709409999999859</f>
        <v>1345.113642</v>
      </c>
      <c r="AC113" s="3">
        <f>1310.4+(631.6-499.6)+(-0.668304+(-0.322116--0.254796))+0-140.2--0.0715019999999858</f>
        <v>1301.5358780000001</v>
      </c>
      <c r="AD113">
        <f t="shared" si="1"/>
        <v>30280.008113</v>
      </c>
      <c r="AE113" s="3">
        <f>1307+(600.9-422.5)+(0+(0-0))+0-137.8-0</f>
        <v>1347.6000000000001</v>
      </c>
    </row>
    <row r="114" spans="1:31" s="2" customFormat="1" x14ac:dyDescent="0.25">
      <c r="A114">
        <v>89</v>
      </c>
      <c r="B114">
        <v>4</v>
      </c>
      <c r="C114">
        <v>21</v>
      </c>
      <c r="D114">
        <v>3</v>
      </c>
      <c r="E114">
        <v>1</v>
      </c>
      <c r="F114" s="3">
        <f>1333.2+(522-438.1)+(-1.359864+(-0.53244--0.446862))+0-140--0.142800000000022</f>
        <v>1275.797358</v>
      </c>
      <c r="G114" s="3">
        <f>1332.6+(400.9-338.8)+(-0.679626+(-0.204459--0.172788))+0-137.5--0.070124999999986</f>
        <v>1256.5588279999997</v>
      </c>
      <c r="H114" s="3">
        <f>1337.6+(331.4-325)+(-2.728704+(-0.676056--0.663))+0-133.7--0.272747999999994</f>
        <v>1207.8309879999999</v>
      </c>
      <c r="I114" s="3">
        <f>1339.7+(275.1-307.6)+(1.366494+(0.280602-0.313752))+0-134.7-0.137394000000021</f>
        <v>1173.6959499999998</v>
      </c>
      <c r="J114" s="3">
        <f>1340.9+(256.9-306)+(-1.367718+(-0.262038--0.31212))+0-134.4--0.137088000000021</f>
        <v>1156.219452</v>
      </c>
      <c r="K114" s="3">
        <f>1333+(254.6-329.9)+(-1.35966+(-0.259692--0.336498))+0-131--0.133620000000021</f>
        <v>1125.5507660000001</v>
      </c>
      <c r="L114" s="3">
        <f>1340+(325.5-451.1)+(0+(0-0))+0-132.2-0</f>
        <v>1082.2</v>
      </c>
      <c r="M114" s="3">
        <f>1330.1+(395.6-485.8)+(0+(0-0))+0-136.3-0</f>
        <v>1103.5999999999999</v>
      </c>
      <c r="N114" s="3">
        <f>1300.4+(439.7-437.4)+(0+(0-0))+0-134.5-0</f>
        <v>1168.2</v>
      </c>
      <c r="O114" s="3">
        <f>1310+(552-482.7)+(0+(0-0))+0-129.1-0</f>
        <v>1250.2</v>
      </c>
      <c r="P114" s="3">
        <f>1291.6+(447.6-287.2)+(0+(0-0))+0-127.1-0</f>
        <v>1324.9</v>
      </c>
      <c r="Q114" s="3">
        <f>1277.7+(392.6-168.1)+(2.606508+(0.800904-0.342924))+0-129.3-0.263771999999994</f>
        <v>1375.7007160000001</v>
      </c>
      <c r="R114" s="3">
        <f>1252.2+(391.4-183)+(-1.277244+(-0.399228--0.18666))+49.3-128.9--0.131478000000021</f>
        <v>1379.6416659999998</v>
      </c>
      <c r="S114" s="3">
        <f>1267.6+(454.9-265.6)+(0.646476+(0.231999-0.135456))+74-129-0.0657899999999869</f>
        <v>1402.577229</v>
      </c>
      <c r="T114" s="3">
        <f>1283.9+(481.5-312.3)+(0.654789+(0.245565-0.159273))+74-130.1-0.0663509999999868</f>
        <v>1397.6747300000002</v>
      </c>
      <c r="U114" s="3">
        <f>1277.5+(464.3-305.7)+(1.30305+(0.473586-0.311814))+74-129.7-0.132294000000021</f>
        <v>1381.7325279999998</v>
      </c>
      <c r="V114" s="3">
        <f>1260+(435.4-257)+(-0.6426+(-0.222054--0.13107))+74-130.8--0.0667079999999867</f>
        <v>1380.9331240000001</v>
      </c>
      <c r="W114" s="3">
        <f>1333+(323.8-256.9)+(-2.03949+(-0.495414--0.393057))+74-129--0.197370000000007</f>
        <v>1342.9555230000001</v>
      </c>
      <c r="X114" s="3">
        <f>1378.9+(416.6-471.2)+(-2.109717+(-0.637398--0.720936))+0-127.9--0.195687000000007</f>
        <v>1194.569508</v>
      </c>
      <c r="Y114" s="3">
        <f>1389+(455.3-534.6)+(-0.70839+(-0.232203--0.272646))+0-123.9--0.0631889999999874</f>
        <v>1185.195242</v>
      </c>
      <c r="Z114" s="3">
        <f>1417.9+(348.7-300.3)+(0.723129+(0.177837-0.153153))+0-127.2-0.0648719999999871</f>
        <v>1339.7829410000002</v>
      </c>
      <c r="AA114" s="3">
        <f>1443.8+(408.6-343.5)+(-0.736338+(-0.208386--0.175185))+0-131--0.0668099999999867</f>
        <v>1377.1972710000002</v>
      </c>
      <c r="AB114" s="3">
        <f>1457.6+(402.5-368.4)+(-0.743376+(-0.205275--0.187884))+0-137.3--0.0700229999999861</f>
        <v>1353.7092559999999</v>
      </c>
      <c r="AC114" s="3">
        <f>1474.9+(398.5-402.6)+(0+(0-0))+0-137.6-0</f>
        <v>1333.2000000000003</v>
      </c>
      <c r="AD114">
        <f t="shared" si="1"/>
        <v>30569.623076000003</v>
      </c>
      <c r="AE114" s="3">
        <f>1446+(413.5-354.3)+(0+(0-0))+0-128.4-0</f>
        <v>1376.8</v>
      </c>
    </row>
    <row r="115" spans="1:31" s="2" customFormat="1" x14ac:dyDescent="0.25">
      <c r="A115">
        <v>89</v>
      </c>
      <c r="B115">
        <v>4</v>
      </c>
      <c r="C115">
        <v>22</v>
      </c>
      <c r="D115">
        <v>4</v>
      </c>
      <c r="E115">
        <v>1</v>
      </c>
      <c r="F115" s="3">
        <f>1464.9+(373.9-411.6)+(0+(0-0))+0-135.1-0</f>
        <v>1292.1000000000001</v>
      </c>
      <c r="G115" s="3">
        <f>1466.3+(365.6-456.4)+(-1.495626+(-0.372912--0.465528))+0-131.2--0.133824000000021</f>
        <v>1243.030814</v>
      </c>
      <c r="H115" s="3">
        <f>1489.3+(311.8-458.9)+(0.759543+(0.159018-0.234039))+0-131.9-0.0672689999999866</f>
        <v>1210.9172530000001</v>
      </c>
      <c r="I115" s="3">
        <f>1499.3+(276.7-452.3)+(0+(0-0))+0-132.8-0</f>
        <v>1190.8999999999999</v>
      </c>
      <c r="J115" s="3">
        <f>1505.6+(249.9-448.1)+(2.303568+(0.382347-0.685593))+0-132.4-0.202572000000008</f>
        <v>1176.79775</v>
      </c>
      <c r="K115" s="3">
        <f>1521.4+(225.1-465.9)+(0+(0-0))+0-129.3-0</f>
        <v>1151.3000000000002</v>
      </c>
      <c r="L115" s="3">
        <f>1528.4+(247.4-544.6)+(-0.779484+(-0.126174--0.277746))+0-127.1--0.0648209999999871</f>
        <v>1103.5369090000002</v>
      </c>
      <c r="M115" s="3">
        <f>1517.3+(315-559.6)+(0+(0-0))+0-133.6-0</f>
        <v>1139.0999999999999</v>
      </c>
      <c r="N115" s="3">
        <f>1504.7+(368.5-550.6)+(3.069588+(0.75174-1.123224))+0-132.9-0.271115999999994</f>
        <v>1192.126988</v>
      </c>
      <c r="O115" s="3">
        <f>1495.8+(389.3-494.9)+(0+(0-0))+0-131.4-0</f>
        <v>1258.8</v>
      </c>
      <c r="P115" s="3">
        <f>1478.7+(367.5-397.5)+(2.262411+(0.562275-0.608175))+0-129.3-0.197829000000007</f>
        <v>1321.4186820000002</v>
      </c>
      <c r="Q115" s="3">
        <f>1476.2+(331.2-318.6)+(0.752862+(0.168912-0.162486))+0-130-0.0662999999999868</f>
        <v>1359.492988</v>
      </c>
      <c r="R115" s="3">
        <f>1478.1+(398.7-381.3)+(-1.507662+(-0.406674--0.388926))+41.3-127.3--0.12984600000002</f>
        <v>1408.1044360000001</v>
      </c>
      <c r="S115" s="3">
        <f>1466.7+(446.6-416.9)+(0+(0-0))+62-132.1-0</f>
        <v>1426.3000000000002</v>
      </c>
      <c r="T115" s="3">
        <f>1440.9+(475.1-420.6)+(2.204577+(0.726903-0.643518))+62-133.8-0.204714000000008</f>
        <v>1425.6832480000003</v>
      </c>
      <c r="U115" s="3">
        <f>1429.7+(466-407.7)+(-0.729147+(-0.23766--0.207927))+62-130.7--0.0666569999999867</f>
        <v>1418.6077769999999</v>
      </c>
      <c r="V115" s="3">
        <f>1426.2+(416.9-340.2)+(-0.727362+(-0.212619--0.173502))+62-132.6--0.0676259999999865</f>
        <v>1431.6011470000003</v>
      </c>
      <c r="W115" s="3">
        <f>1420.4+(330.6-300.5)+(-4.346424+(-1.011636--0.91953))+62-135.5--0.414630000000016</f>
        <v>1372.9761000000001</v>
      </c>
      <c r="X115" s="3">
        <f>1420.5+(408.6-476.7)+(-2.89782+(-0.833544--0.972468))+0-134.4--0.274175999999994</f>
        <v>1215.5152799999998</v>
      </c>
      <c r="Y115" s="3">
        <f>1431.3+(430.2-548)+(-2.189889+(-0.658206--0.83844))+0-130.2--0.199206000000008</f>
        <v>1181.4895509999999</v>
      </c>
      <c r="Z115" s="3">
        <f>1449.6+(343.5-314.1)+(0.739296+(0.175185-0.160191))+0-133.3-0.0679829999999865</f>
        <v>1346.3863070000002</v>
      </c>
      <c r="AA115" s="3">
        <f>1489.7+(393.9-364.3)+(-3.038988+(-0.803556--0.743172))+0-135.2--0.275807999999994</f>
        <v>1381.2764360000001</v>
      </c>
      <c r="AB115" s="3">
        <f>1514.3+(356.9-370.8)+(-3.089172+(-0.728076--0.756432))+0-133.8--0.272951999999994</f>
        <v>1363.812136</v>
      </c>
      <c r="AC115" s="3">
        <f>1509.7+(329.4-380.7)+(1.539894+(0.335988-0.388314))+0-133.2-0.135864000000021</f>
        <v>1326.551704</v>
      </c>
      <c r="AD115">
        <f t="shared" si="1"/>
        <v>30937.825506000005</v>
      </c>
      <c r="AE115" s="3">
        <f>1493+(380-363)+(0+(0-0))+0-134-0</f>
        <v>1376</v>
      </c>
    </row>
    <row r="116" spans="1:31" s="2" customFormat="1" x14ac:dyDescent="0.25">
      <c r="A116">
        <v>89</v>
      </c>
      <c r="B116">
        <v>4</v>
      </c>
      <c r="C116">
        <v>23</v>
      </c>
      <c r="D116">
        <v>5</v>
      </c>
      <c r="E116">
        <v>1</v>
      </c>
      <c r="F116" s="3">
        <f>1498.2+(311.9-398.4)+(-1.528164+(-0.318138--0.406368))+0-129.7--0.132294000000021</f>
        <v>1280.69236</v>
      </c>
      <c r="G116" s="3">
        <f>1519.9+(279.9-439)+(-0.775149+(-0.142749--0.22389))+0-127.1--0.0648209999999871</f>
        <v>1233.0708130000003</v>
      </c>
      <c r="H116" s="3">
        <f>1517.8+(232.8-429.7)+(-1.548156+(-0.237456--0.438294))+0-122.1--0.124542000000019</f>
        <v>1197.5772240000001</v>
      </c>
      <c r="I116" s="3">
        <f>1526.4+(209.4-430.9)+(-1.556928+(-0.213588--0.439518))+0-125--0.12750000000002</f>
        <v>1178.6965020000002</v>
      </c>
      <c r="J116" s="3">
        <f>1535+(206.5-446.9)+(2.34855+(0.315945-0.683757))+0-127.5-0.195075000000007</f>
        <v>1168.8856629999998</v>
      </c>
      <c r="K116" s="3">
        <f>1535.2+(211.3-473.1)+(-1.565904+(-0.215526--0.482562))+0-130.6--0.133212000000021</f>
        <v>1141.6343440000001</v>
      </c>
      <c r="L116" s="3">
        <f>1542.7+(224.3-543.5)+(-0.786777+(-0.114393--0.277185))+0-131.9--0.0672689999999866</f>
        <v>1091.0432839999999</v>
      </c>
      <c r="M116" s="3">
        <f>1540.8+(262.3-538.6)+(2.357424+(0.401319-0.824058))+0-129.5-0.198135000000007</f>
        <v>1136.7365499999999</v>
      </c>
      <c r="N116" s="3">
        <f>1531+(353.3-555)+(-0.78081+(-0.180183--0.28305))+0-124.5--0.0634949999999874</f>
        <v>1204.1855519999999</v>
      </c>
      <c r="O116" s="3">
        <f>1508+(373.1-476.5)+(1.53816+(0.380562-0.48603))+0-123.3-0.12576600000002</f>
        <v>1282.6069259999999</v>
      </c>
      <c r="P116" s="3">
        <f>1509.9+(379.3-408.3)+(0.770049+(0.193443-0.208233))+25-131.7-0.0671669999999866</f>
        <v>1374.8880920000001</v>
      </c>
      <c r="Q116" s="3">
        <f>1512.9+(381-415.5)+(-0.771579+(-0.19431--0.211905))+60-136--0.0693599999999862</f>
        <v>1401.7153760000001</v>
      </c>
      <c r="R116" s="3">
        <f>1485.2+(288-327.9)+(-1.514904+(-0.29376--0.334458))+120-133.8--0.136476000000021</f>
        <v>1430.1622700000003</v>
      </c>
      <c r="S116" s="3">
        <f>1467.7+(340.8-329.7)+(0+(0-0))+120-131.1-0</f>
        <v>1467.7000000000003</v>
      </c>
      <c r="T116" s="3">
        <f>1457.9+(322.9-345.7)+(0.743529+(0.164679-0.176307))+120-128.7-0.0656369999999869</f>
        <v>1427.0662640000003</v>
      </c>
      <c r="U116" s="3">
        <f>1451.4+(335.5-353.8)+(-0.740214+(-0.171105--0.180438))+120-119.9--0.0611489999999878</f>
        <v>1432.530268</v>
      </c>
      <c r="V116" s="3">
        <f>1453.1+(319.4-312.3)+(-1.482162+(-0.325788--0.318546))+120-119.6--0.121992000000019</f>
        <v>1459.2325880000001</v>
      </c>
      <c r="W116" s="3">
        <f>1461.1+(311.9-380)+(2.235483+(0.477207-0.5814))+120-120.5-0.184365000000007</f>
        <v>1394.446925</v>
      </c>
      <c r="X116" s="3">
        <f>1471.7+(465.2-637.2)+(-1.501134+(-0.474504--0.649944))+40-119.5--0.121890000000019</f>
        <v>1218.9961960000001</v>
      </c>
      <c r="Y116" s="3">
        <f>1467.5+(502.4-696.4)+(0.748425+(0.256224-0.355164))+0-122.3-0.0623729999999876</f>
        <v>1151.787112</v>
      </c>
      <c r="Z116" s="3">
        <f>1489.8+(303.1-377.3)+(1.519596+(0.309162-0.384846))+0-126.8-0.12933600000002</f>
        <v>1290.1145759999999</v>
      </c>
      <c r="AA116" s="3">
        <f>1515.5+(240.4-293.6)+(-2.318715+(-0.367812--0.449208))+0-131.9--0.201807000000008</f>
        <v>1328.3644879999997</v>
      </c>
      <c r="AB116" s="3">
        <f>1514.4+(238.1-303.2)+(-0.772344+(-0.121431--0.154632))+0-128.3--0.065432999999987</f>
        <v>1320.3262900000002</v>
      </c>
      <c r="AC116" s="3">
        <f>1515.4+(251.9-347.8)+(-0.772854+(-0.128469--0.177378))+0-128.4--0.065483999999987</f>
        <v>1290.4415389999999</v>
      </c>
      <c r="AD116">
        <f t="shared" si="1"/>
        <v>30902.901202000005</v>
      </c>
      <c r="AE116" s="3">
        <f>1512+(239.4-294.3)+(0+(0-0))+0-122-0</f>
        <v>1335.1</v>
      </c>
    </row>
    <row r="117" spans="1:31" s="2" customFormat="1" x14ac:dyDescent="0.25">
      <c r="A117">
        <v>89</v>
      </c>
      <c r="B117">
        <v>4</v>
      </c>
      <c r="C117">
        <v>24</v>
      </c>
      <c r="D117">
        <v>6</v>
      </c>
      <c r="E117">
        <v>1</v>
      </c>
      <c r="F117" s="3">
        <f>1511.5+(251.1-391)+(-0.770865+(-0.128061--0.19941))+0-129.9--0.0662489999999868</f>
        <v>1241.0667329999999</v>
      </c>
      <c r="G117" s="3">
        <f>1511.5+(222.2-396.1)+(-0.770865+(-0.113322--0.202011))+0-129.2--0.0658919999999869</f>
        <v>1207.7837159999999</v>
      </c>
      <c r="H117" s="3">
        <f>1510.6+(196.8-397.7)+(3.081624+(0.401472-0.811308))+0-127.9-0.260915999999994</f>
        <v>1184.2108719999999</v>
      </c>
      <c r="I117" s="3">
        <f>1509.8+(190.1-401.9)+(-1.539996+(-0.193902--0.409938))+0-130.1--0.132702000000021</f>
        <v>1166.7087420000003</v>
      </c>
      <c r="J117" s="3">
        <f>1513.4+(192.1-411)+(-0.771834+(-0.097971--0.20961))+0-130.2--0.0664019999999868</f>
        <v>1163.7062069999999</v>
      </c>
      <c r="K117" s="3">
        <f>1502.2+(199.4-430.3)+(-1.532244+(-0.203388--0.438906))+0-128.8--0.131376000000021</f>
        <v>1141.33465</v>
      </c>
      <c r="L117" s="3">
        <f>1495.9+(216.6-485.5)+(-1.525818+(-0.220932--0.49521))+0-128.5--0.13107000000002</f>
        <v>1097.3795299999999</v>
      </c>
      <c r="M117" s="3">
        <f>1499+(256.6-499.5)+(-0.76449+(-0.130866--0.254745))+0-132.3--0.0674729999999866</f>
        <v>1123.226862</v>
      </c>
      <c r="N117" s="3">
        <f>1488.6+(304.5-475.3)+(0.759186+(0.155295-0.242403))+0-133.4-0.0680339999999865</f>
        <v>1185.004044</v>
      </c>
      <c r="O117" s="3">
        <f>1496.1+(299.9-407.2)+(3.815055+(0.764745-1.03836))+0-136.2-0.34730999999998</f>
        <v>1255.79413</v>
      </c>
      <c r="P117" s="3">
        <f>1490.5+(293.7-374.5)+(0.760155+(0.149787-0.190995))+51.3-132.7-0.0676769999999865</f>
        <v>1328.95127</v>
      </c>
      <c r="Q117" s="3">
        <f>1480.7+(268.9-316.7)+(0.755157+(0.137139-0.161517))+82-130.7-0.0666569999999867</f>
        <v>1384.864122</v>
      </c>
      <c r="R117" s="3">
        <f>1461.8+(285.3-302.3)+(-0.745518+(-0.145503--0.154173))+82-130.8--0.0667079999999867</f>
        <v>1395.3298600000001</v>
      </c>
      <c r="S117" s="3">
        <f>1444.7+(339-334.5)+(-1.473594+(-0.34578--0.34119))+82-127--0.12954000000002</f>
        <v>1402.8513560000001</v>
      </c>
      <c r="T117" s="3">
        <f>1436.9+(375.2-346.8)+(-0.732819+(-0.191352--0.176868))+82-133.1--0.0678809999999865</f>
        <v>1413.5205780000001</v>
      </c>
      <c r="U117" s="3">
        <f>1430.7+(369.3-351.6)+(-0.729657+(-0.188343--0.179316))+82-131.9--0.0672689999999866</f>
        <v>1397.828585</v>
      </c>
      <c r="V117" s="3">
        <f>1426.9+(336.5-313.7)+(0+(0-0))+54.6-128.8-0</f>
        <v>1375.5</v>
      </c>
      <c r="W117" s="3">
        <f>1419.5+(274-243)+(-1.44789+(-0.27948--0.24786))+0-127.1--0.12964200000002</f>
        <v>1322.0501320000003</v>
      </c>
      <c r="X117" s="3">
        <f>1429+(336.5-405.3)+(-3.64395+(-0.858075--1.033515))+0-128.6--0.327929999999981</f>
        <v>1228.4594200000001</v>
      </c>
      <c r="Y117" s="3">
        <f>1434.7+(401.3-505.7)+(-0.731697+(-0.204663--0.257907))+0-124--0.0632399999999874</f>
        <v>1205.6847870000001</v>
      </c>
      <c r="Z117" s="3">
        <f>1456+(287-272.3)+(-1.48512+(-0.29274--0.277746))+0-126.8--0.12933600000002</f>
        <v>1342.5292220000001</v>
      </c>
      <c r="AA117" s="3">
        <f>1489.6+(294.9-300)+(-2.279088+(-0.451197--0.459))+0-127.2--0.194616000000007</f>
        <v>1355.2233309999999</v>
      </c>
      <c r="AB117" s="3">
        <f>1483+(303.3-310.2)+(-0.75633+(-0.154683--0.158202))+0-131.3--0.0669629999999867</f>
        <v>1344.1141519999999</v>
      </c>
      <c r="AC117" s="3">
        <f>1476.7+(341.2-365.3)+(-2.259351+(-0.522036--0.558909))+0-133.4--0.204102000000008</f>
        <v>1317.1816239999998</v>
      </c>
      <c r="AD117">
        <f t="shared" si="1"/>
        <v>30580.303924999997</v>
      </c>
      <c r="AE117" s="3">
        <f>1481+(299.2-304.3)+(0+(0-0))+0-139.8-0</f>
        <v>1336.1000000000001</v>
      </c>
    </row>
    <row r="118" spans="1:31" s="2" customFormat="1" x14ac:dyDescent="0.25">
      <c r="A118">
        <v>89</v>
      </c>
      <c r="B118">
        <v>4</v>
      </c>
      <c r="C118">
        <v>25</v>
      </c>
      <c r="D118">
        <v>7</v>
      </c>
      <c r="E118">
        <v>1</v>
      </c>
      <c r="F118" s="3">
        <f>1479.9+(350.2-405.4)+(2.264247+(0.535806-0.620262))+0-133.2-0.203796000000008</f>
        <v>1293.475995</v>
      </c>
      <c r="G118" s="3">
        <f>1494.6+(287.3-402.4)+(-0.762246+(-0.146523--0.205224))+0-127.6--0.065075999999987</f>
        <v>1251.2615310000001</v>
      </c>
      <c r="H118" s="3">
        <f>1470+(245.7-371.7)+(0.7497+(0.125307-0.189567))+0-128.3-0.065432999999987</f>
        <v>1216.320007</v>
      </c>
      <c r="I118" s="3">
        <f>1460.3+(214.8-354.1)+(0.744753+(0.109548-0.180591))+0-128.4-0.065483999999987</f>
        <v>1193.208226</v>
      </c>
      <c r="J118" s="3">
        <f>1456.4+(198.3-343.2)+(-2.228292+(-0.303399--0.525096))+0-128.1--0.195993000000007</f>
        <v>1181.5893980000001</v>
      </c>
      <c r="K118" s="3">
        <f>1455.1+(182.2-351.3)+(-4.452606+(-0.557532--1.074978))+0-127.8--0.391068000000015</f>
        <v>1154.655908</v>
      </c>
      <c r="L118" s="3">
        <f>1464.9+(187.4-419.1)+(-3.735495+(-0.47787--1.068705))+0-126.9--0.323594999999982</f>
        <v>1103.4789350000001</v>
      </c>
      <c r="M118" s="3">
        <f>1482.9+(194.9-437.8)+(0+(0-0))+0-128.5-0</f>
        <v>1111.5</v>
      </c>
      <c r="N118" s="3">
        <f>1476+(217.5-426.2)+(-1.50552+(-0.22185--0.434724))+0-128.4--0.13096800000002</f>
        <v>1137.7383219999997</v>
      </c>
      <c r="O118" s="3">
        <f>1465.5+(255.8-403)+(-1.49481+(-0.260916--0.41106))+0-127.7--0.13025400000002</f>
        <v>1189.3855879999999</v>
      </c>
      <c r="P118" s="3">
        <f>1440.4+(266.1-308.2)+(-0.734604+(-0.135711--0.157182))+0-121.6--0.0620159999999877</f>
        <v>1276.0488830000004</v>
      </c>
      <c r="Q118" s="3">
        <f>1464+(269.3-282.6)+(-1.49328+(-0.274686--0.288252))+0-119.5--0.121890000000019</f>
        <v>1329.8421760000001</v>
      </c>
      <c r="R118" s="3">
        <f>1454.6+(255-282)+(-0.741846+(-0.13005--0.14382))+41-118.3--0.060332999999988</f>
        <v>1349.6322569999998</v>
      </c>
      <c r="S118" s="3">
        <f>1453.4+(289-296.3)+(-0.741234+(-0.14739--0.151113))+41-123.6--0.0630359999999875</f>
        <v>1362.8255250000002</v>
      </c>
      <c r="T118" s="3">
        <f>1447.2+(298.5-319.5)+(1.476144+(0.30447-0.32589))+41-125.3-0.12780600000002</f>
        <v>1343.2269180000001</v>
      </c>
      <c r="U118" s="3">
        <f>1435.7+(293-316.4)+(-1.464414+(-0.29886--0.322728))+23.9-125--0.12750000000002</f>
        <v>1309.8869540000003</v>
      </c>
      <c r="V118" s="3">
        <f>1432.5+(303-287.7)+(1.46115+(0.30906-0.293454))+0-129.2-0.131784000000021</f>
        <v>1319.944972</v>
      </c>
      <c r="W118" s="3">
        <f>1398+(301.1-299.1)+(-1.42596+(-0.307122--0.305082))+0-128.1--0.13066200000002</f>
        <v>1270.602662</v>
      </c>
      <c r="X118" s="3">
        <f>1384.4+(406.4-461.7)+(-4.942308+(-1.450848--1.648269))+0-128.7--0.459459000000002</f>
        <v>1196.114572</v>
      </c>
      <c r="Y118" s="3">
        <f>1391.9+(413.1-503.6)+(1.419738+(0.421362-0.513672))+0-128.6-0.13117200000002</f>
        <v>1173.9962560000001</v>
      </c>
      <c r="Z118" s="3">
        <f>1430.5+(342-305.2)+(-2.188665+(-0.52326--0.466956))+0-133.9--0.204867000000008</f>
        <v>1331.3598979999997</v>
      </c>
      <c r="AA118" s="3">
        <f>1454+(349.6-286.2)+(-1.48308+(-0.356592--0.291924))+0-134.4--0.137088000000021</f>
        <v>1381.58934</v>
      </c>
      <c r="AB118" s="3">
        <f>1463.7+(341-296.8)+(0+(0-0))+0-134.4-0</f>
        <v>1373.5</v>
      </c>
      <c r="AC118" s="3">
        <f>1453.1+(322.3-299.4)+(-1.482162+(-0.328746--0.305388))+0-130.6--0.133212000000021</f>
        <v>1344.0276920000001</v>
      </c>
      <c r="AD118">
        <f t="shared" si="1"/>
        <v>30195.212014999997</v>
      </c>
      <c r="AE118" s="3">
        <f>1450+(361.1-297.7)+(0+(0-0))+0-134.5-0</f>
        <v>1378.9</v>
      </c>
    </row>
    <row r="119" spans="1:31" s="2" customFormat="1" x14ac:dyDescent="0.25">
      <c r="A119">
        <v>89</v>
      </c>
      <c r="B119">
        <v>4</v>
      </c>
      <c r="C119">
        <v>26</v>
      </c>
      <c r="D119">
        <v>1</v>
      </c>
      <c r="E119">
        <v>1</v>
      </c>
      <c r="F119" s="3">
        <f>1437.1+(299.4-294.1)+(-2.198763+(-0.458082--0.449973))+0-133.6--0.204408000000008</f>
        <v>1306.797536</v>
      </c>
      <c r="G119" s="3">
        <f>1460.9+(249.9-315.6)+(-2.235177+(-0.382347--0.482868))+0-131.2--0.200736000000008</f>
        <v>1262.0660800000001</v>
      </c>
      <c r="H119" s="3">
        <f>1460+(228-326.9)+(-0.7446+(-0.11628--0.166719))+0-130.4--0.0665039999999868</f>
        <v>1230.0723429999998</v>
      </c>
      <c r="I119" s="3">
        <f>1473.3+(220.7-354)+(-4.508298+(-0.675342--1.08324))+0-133.2--0.407592000000015</f>
        <v>1203.1071919999999</v>
      </c>
      <c r="J119" s="3">
        <f>1493.9+(223.5-399.9)+(-1.523778+(-0.22797--0.407898))+0-131.7--0.134334000000021</f>
        <v>1184.5904840000001</v>
      </c>
      <c r="K119" s="3">
        <f>1498.6+(255.2-466.2)+(-3.057144+(-0.520608--0.951048))+0-130.3--0.265811999999994</f>
        <v>1154.939108</v>
      </c>
      <c r="L119" s="3">
        <f>1491.1+(309-552.5)+(-3.802305+(-0.78795--1.408875))+0-128.7--0.328184999999981</f>
        <v>1116.0468049999999</v>
      </c>
      <c r="M119" s="3">
        <f>1498.7+(367.8-564.6)+(0.764337+(0.187578-0.287946))+0-132.1-0.0673709999999866</f>
        <v>1170.396598</v>
      </c>
      <c r="N119" s="3">
        <f>1488.4+(440.6-552.9)+(0+(0-0))+0-136.2-0</f>
        <v>1239.9000000000001</v>
      </c>
      <c r="O119" s="3">
        <f>1479.5+(450.8-476.2)+(0.754545+(0.229908-0.242862))+0-134-0.0683399999999864</f>
        <v>1320.7732509999998</v>
      </c>
      <c r="P119" s="3">
        <f>1464.7+(422.3-362.5)+(0.746997+(0.215373-0.184875))+0-133.8-0.0682379999999864</f>
        <v>1391.409257</v>
      </c>
      <c r="Q119" s="3">
        <f>1445.5+(377.4-305.5)+(0+(0-0))+85-133.9-0</f>
        <v>1468.5</v>
      </c>
      <c r="R119" s="3">
        <f>1445.1+(365.4-266.3)+(0+(0-0))+85-131.5-0</f>
        <v>1497.6999999999998</v>
      </c>
      <c r="S119" s="3">
        <f>1426.7+(426-308.7)+(0+(0-0))+85-129.6-0</f>
        <v>1499.4</v>
      </c>
      <c r="T119" s="3">
        <f>1425.8+(398.7-319.7)+(0.727158+(0.203337-0.163047))+85-130.2-0.0664019999999868</f>
        <v>1460.301046</v>
      </c>
      <c r="U119" s="3">
        <f>1405.4+(402.1-297.6)+(1.433508+(0.410142-0.303552))+85-130.1-0.132702000000021</f>
        <v>1466.207396</v>
      </c>
      <c r="V119" s="3">
        <f>1328+(395-201.1)+(-0.67728+(-0.20145--0.102561))+56.7-130.7--0.0666569999999867</f>
        <v>1447.1904880000002</v>
      </c>
      <c r="W119" s="3">
        <f>1301.1+(344-127)+(0+(0-0))+0-132.8-0</f>
        <v>1385.3</v>
      </c>
      <c r="X119" s="3">
        <f>1239.5+(462.7-267.7)+(-1.896435+(-0.707931--0.409581))+0-129.1--0.197523000000007</f>
        <v>1303.4027380000002</v>
      </c>
      <c r="Y119" s="3">
        <f>1243.7+(517.8-379.3)+(0+(0-0))+0-133.2-0</f>
        <v>1249</v>
      </c>
      <c r="Z119" s="3">
        <f>1358.3+(396.4-224.9)+(0+(0-0))+0-135.8-0</f>
        <v>1394</v>
      </c>
      <c r="AA119" s="3">
        <f>1375.9+(414.2-215.4)+(-2.105127+(-0.633726--0.329562))+0-136.2--0.208386000000008</f>
        <v>1436.2990950000001</v>
      </c>
      <c r="AB119" s="3">
        <f>1390.6+(406.7-244.5)+(-2.836824+(-0.829668--0.49878))+0-133.2--0.271727999999994</f>
        <v>1416.7040159999999</v>
      </c>
      <c r="AC119" s="3">
        <f>1406.4+(390.4-270.7)+(-2.869056+(-0.796416--0.552228))+0-133.5--0.272339999999994</f>
        <v>1389.7590960000002</v>
      </c>
      <c r="AD119">
        <f t="shared" si="1"/>
        <v>31993.862529000002</v>
      </c>
      <c r="AE119" s="3">
        <f>1369+(404.5-219)+(0+(0-0))+0-148.2-0</f>
        <v>1406.3</v>
      </c>
    </row>
    <row r="120" spans="1:31" s="2" customFormat="1" x14ac:dyDescent="0.25">
      <c r="A120">
        <v>89</v>
      </c>
      <c r="B120">
        <v>4</v>
      </c>
      <c r="C120">
        <v>27</v>
      </c>
      <c r="D120">
        <v>2</v>
      </c>
      <c r="E120">
        <v>1</v>
      </c>
      <c r="F120" s="3">
        <f>1396.9+(353-280.3)+(-2.849676+(-0.72012--0.571812))+0-132.2--0.269687999999994</f>
        <v>1334.6717040000001</v>
      </c>
      <c r="G120" s="3">
        <f>1397.9+(289.3-273.9)+(-0.712929+(-0.147543--0.139689))+0-132.9--0.0677789999999865</f>
        <v>1279.7469960000001</v>
      </c>
      <c r="H120" s="3">
        <f>1398+(262.1-277.6)+(0+(0-0))+0-133.6-0</f>
        <v>1248.9000000000001</v>
      </c>
      <c r="I120" s="3">
        <f>1393.2+(250.8-272.7)+(-2.131596+(-0.383724--0.417231))+0-133.9--0.204867000000008</f>
        <v>1235.5067779999999</v>
      </c>
      <c r="J120" s="3">
        <f>1390.5+(245.2-279.3)+(-1.41831+(-0.250104--0.284886))+0-133.8--0.136476000000021</f>
        <v>1221.3529480000002</v>
      </c>
      <c r="K120" s="3">
        <f>1381.1+(245.8-300.2)+(-3.521805+(-0.62679--0.76551))+0-130.7--0.333284999999981</f>
        <v>1192.9501999999998</v>
      </c>
      <c r="L120" s="3">
        <f>1386.6+(266.2-389.4)+(-2.828664+(-0.543048--0.794376))+0-128.4--0.261935999999994</f>
        <v>1132.6845999999998</v>
      </c>
      <c r="M120" s="3">
        <f>1397.5+(318.6-421.5)+(-0.712725+(-0.162486--0.214965))+0-133.6--0.0681359999999864</f>
        <v>1160.4078900000002</v>
      </c>
      <c r="N120" s="3">
        <f>1387.5+(415-432.9)+(-1.41525+(-0.4233--0.441558))+0-135.3--0.138006000000022</f>
        <v>1233.0410140000001</v>
      </c>
      <c r="O120" s="3">
        <f>1382.6+(476.1-421.9)+(0.705126+(0.242811-0.215169))+0-141.5-0.0721649999999856</f>
        <v>1295.960603</v>
      </c>
      <c r="P120" s="3">
        <f>1372.7+(477.1-346.6)+(0.700077+(0.243321-0.176766))+0-142.6-0.0727259999999855</f>
        <v>1361.2939060000003</v>
      </c>
      <c r="Q120" s="3">
        <f>1369.5+(370.8-202.2)+(1.39689+(0.378216-0.206244))+0-139.4-0.142188000000022</f>
        <v>1400.1266739999999</v>
      </c>
      <c r="R120" s="3">
        <f>1379.4+(397-218.3)+(0.703494+(0.20247-0.111333))+0-147.6-0.075275999999985</f>
        <v>1411.2193550000002</v>
      </c>
      <c r="S120" s="3">
        <f>1366.4+(426.1-270)+(0.696864+(0.217311-0.1377))+0-133.3-0.0679829999999865</f>
        <v>1389.908492</v>
      </c>
      <c r="T120" s="3">
        <f>1357.1+(428.9-282.6)+(1.384242+(0.437478-0.288252))+0-129.8-0.132396000000021</f>
        <v>1375.001072</v>
      </c>
      <c r="U120" s="3">
        <f>1351.8+(434.7-266)+(1.378836+(0.443394-0.27132))+0-118.4-0.120768000000019</f>
        <v>1403.5301419999998</v>
      </c>
      <c r="V120" s="3">
        <f>1329.1+(392.1-196.8)+(0.677841+(0.199971-0.100368))+0-113.9-0.0580889999999884</f>
        <v>1411.219355</v>
      </c>
      <c r="W120" s="3">
        <f>1329.4+(342.7-164.4)+(0+(0-0))+0-131-0</f>
        <v>1376.7</v>
      </c>
      <c r="X120" s="3">
        <f>1332.6+(486.2-362.2)+(-2.038878+(-0.743886--0.554166))+0-130.6--0.199818000000008</f>
        <v>1323.9712200000001</v>
      </c>
      <c r="Y120" s="3">
        <f>1313+(520.6-442.9)+(-0.66963+(-0.265506--0.225879))+0-131.3--0.0669629999999867</f>
        <v>1258.7577060000001</v>
      </c>
      <c r="Z120" s="3">
        <f>1353.1+(427.1-236.4)+(0.690081+(0.217821-0.120564))+0-136.6-0.0696659999999861</f>
        <v>1407.917672</v>
      </c>
      <c r="AA120" s="3">
        <f>1395.6+(399.4-226.2)+(0+(0-0))+0-135-0</f>
        <v>1433.8</v>
      </c>
      <c r="AB120" s="3">
        <f>1405.4+(396-253.3)+(-2.867016+(-0.80784--0.516732))+0-131.6--0.268463999999994</f>
        <v>1413.6103400000002</v>
      </c>
      <c r="AC120" s="3">
        <f>1410.6+(404.7-294.2)+(-1.438812+(-0.412794--0.300084))+0-133.1--0.135762000000021</f>
        <v>1386.5842400000001</v>
      </c>
      <c r="AD120">
        <f t="shared" si="1"/>
        <v>31688.862906999999</v>
      </c>
      <c r="AE120" s="3">
        <f>1388+(442.2-203.6)+(0+(0-0))+0-138.8-0</f>
        <v>1487.8</v>
      </c>
    </row>
    <row r="121" spans="1:31" s="2" customFormat="1" x14ac:dyDescent="0.25">
      <c r="A121">
        <v>89</v>
      </c>
      <c r="B121">
        <v>4</v>
      </c>
      <c r="C121">
        <v>28</v>
      </c>
      <c r="D121">
        <v>3</v>
      </c>
      <c r="E121">
        <v>1</v>
      </c>
      <c r="F121" s="3">
        <f>1396.2+(363.1-283.3)+(-2.136186+(-0.555543--0.433449))+0-135.6--0.207468000000008</f>
        <v>1338.3491880000001</v>
      </c>
      <c r="G121" s="3">
        <f>1391+(304.7-276.4)+(-1.41882+(-0.310794--0.281928))+0-130--0.132600000000021</f>
        <v>1287.9849139999999</v>
      </c>
      <c r="H121" s="3">
        <f>1394.1+(258-266.4)+(-2.843964+(-0.52632--0.543456))+0-128.5--0.262139999999994</f>
        <v>1254.6353119999999</v>
      </c>
      <c r="I121" s="3">
        <f>1408.9+(238.2-283.3)+(-2.155617+(-0.364446--0.433449))+0-127--0.194310000000007</f>
        <v>1234.9076960000002</v>
      </c>
      <c r="J121" s="3">
        <f>1410.6+(232.9-296.9)+(-1.438812+(-0.237558--0.302838))+0-127.6--0.13015200000002</f>
        <v>1217.7566199999999</v>
      </c>
      <c r="K121" s="3">
        <f>1421+(221.7-317.9)+(-2.89884+(-0.452268--0.648516))+0-128.7--0.262547999999994</f>
        <v>1193.6599559999997</v>
      </c>
      <c r="L121" s="3">
        <f>1414.6+(280.1-424.6)+(-2.885784+(-0.571404--0.866184))+0-144.1--0.293963999999994</f>
        <v>1123.7029599999998</v>
      </c>
      <c r="M121" s="3">
        <f>1408.8+(358.4-460.9)+(-2.155464+(-0.548352--0.705177))+0-150.1--0.229653000000009</f>
        <v>1154.4310140000002</v>
      </c>
      <c r="N121" s="3">
        <f>1398.3+(418.2-448.7)+(0.713133+(0.213282-0.228837))+0-148.6-0.0757859999999849</f>
        <v>1219.8217920000002</v>
      </c>
      <c r="O121" s="3">
        <f>1377.7+(434.6-380)+(0.702627+(0.221646-0.1938))+0-139.2-0.0709919999999859</f>
        <v>1293.7594810000003</v>
      </c>
      <c r="P121" s="3">
        <f>1347+(441.7-318)+(0+(0-0))+0-145.4-0</f>
        <v>1325.3</v>
      </c>
      <c r="Q121" s="3">
        <f>1375.3+(430.2-212)+(0.701403+(0.219402-0.10812))+0-135.6-0.0691559999999862</f>
        <v>1458.6435290000002</v>
      </c>
      <c r="R121" s="3">
        <f>1375+(413-246)+(-0.70125+(-0.21063--0.12546))+0-142--0.0724199999999856</f>
        <v>1399.2860000000001</v>
      </c>
      <c r="S121" s="3">
        <f>1366.3+(471.4-252.5)+(-0.696813+(-0.240414--0.128775))+0-134.7--0.0686969999999863</f>
        <v>1449.7602449999997</v>
      </c>
      <c r="T121" s="3">
        <f>1351.3+(456.4-252.6)+(1.378326+(0.465528-0.257652))+0-134.7-0.137394000000021</f>
        <v>1421.8488079999997</v>
      </c>
      <c r="U121" s="3">
        <f>1342.3+(428-226.1)+(0.684573+(0.21828-0.115311))+0-129.1-0.0658409999999869</f>
        <v>1415.8217010000001</v>
      </c>
      <c r="V121" s="3">
        <f>1348.5+(404.1-182.9)+(-1.37547+(-0.412182--0.186558))+0-133.6--0.136272000000021</f>
        <v>1434.635178</v>
      </c>
      <c r="W121" s="3">
        <f>1324+(360-153.4)+(-2.70096+(-0.7344--0.312936))+0-139.2--0.283967999999994</f>
        <v>1388.5615439999999</v>
      </c>
      <c r="X121" s="3">
        <f>1313.2+(490.7-355.3)+(-2.678928+(-1.001028--0.724812))+0-139.8--0.285191999999994</f>
        <v>1306.130048</v>
      </c>
      <c r="Y121" s="3">
        <f>1318.2+(510.9-444.7)+(0+(0-0))+0-135.9-0</f>
        <v>1248.5</v>
      </c>
      <c r="Z121" s="3">
        <f>1356.2+(428.8-265.1)+(0.691662+(0.218688-0.135201))+0-137-0.0698699999999861</f>
        <v>1383.6052790000001</v>
      </c>
      <c r="AA121" s="3">
        <f>1392.1+(394.1-223.7)+(-1.419942+(-0.401982--0.228174))+0-138.4--0.141168000000022</f>
        <v>1422.647418</v>
      </c>
      <c r="AB121" s="3">
        <f>1408.3+(370.7-238.1)+(-0.718233+(-0.189057--0.121431))+0-138.3--0.070532999999986</f>
        <v>1401.8846739999999</v>
      </c>
      <c r="AC121" s="3">
        <f>1391.7+(388-267.1)+(0+(0-0))+0-138-0</f>
        <v>1374.6</v>
      </c>
      <c r="AD121">
        <f t="shared" si="1"/>
        <v>31750.233357000001</v>
      </c>
      <c r="AE121" s="3">
        <f>1397+(394.6-229.4)+(0+(0-0))+0-136-0</f>
        <v>1426.2</v>
      </c>
    </row>
    <row r="122" spans="1:31" s="2" customFormat="1" x14ac:dyDescent="0.25">
      <c r="A122">
        <v>89</v>
      </c>
      <c r="B122">
        <v>4</v>
      </c>
      <c r="C122">
        <v>29</v>
      </c>
      <c r="D122">
        <v>4</v>
      </c>
      <c r="E122">
        <v>1</v>
      </c>
      <c r="F122" s="3">
        <f>1392.2+(346.3-277.3)+(-2.840088+(-0.706452--0.565692))+0-133.8--0.272951999999994</f>
        <v>1324.6921040000002</v>
      </c>
      <c r="G122" s="3">
        <f>1394.3+(282.5-269.5)+(-4.266558+(-0.86445--0.82467))+0-131.8--0.403308000000015</f>
        <v>1271.5969699999998</v>
      </c>
      <c r="H122" s="3">
        <f>1391.7+(254.7-261.7)+(-2.129301+(-0.389691--0.400401))+0-130.4--0.199512000000008</f>
        <v>1252.3809209999999</v>
      </c>
      <c r="I122" s="3">
        <f>1395.7+(235.8-271)+(-2.135421+(-0.360774--0.41463))+0-129.4--0.197982000000007</f>
        <v>1229.2164169999999</v>
      </c>
      <c r="J122" s="3">
        <f>1377+(241.7-276.4)+(1.40454+(0.246534-0.281928))+0-127.3-0.12984600000002</f>
        <v>1216.2393</v>
      </c>
      <c r="K122" s="3">
        <f>1374.6+(245.1-309.2)+(-1.402092+(-0.250002--0.315384))+0-122.6--0.12505200000002</f>
        <v>1186.6883420000001</v>
      </c>
      <c r="L122" s="3">
        <f>1357.2+(287.3-379.6)+(-4.153032+(-0.879138--1.161576))+0-121.5--0.371790000000014</f>
        <v>1139.901196</v>
      </c>
      <c r="M122" s="3">
        <f>1377.9+(325.4-412.1)+(0.702729+(0.165954-0.210171))+0-119.1-0.0607409999999879</f>
        <v>1172.6977710000001</v>
      </c>
      <c r="N122" s="3">
        <f>1369.6+(409.5-427.7)+(0.698496+(0.208845-0.218127))+0-110.1-0.0561509999999888</f>
        <v>1241.9330629999999</v>
      </c>
      <c r="O122" s="3">
        <f>1361.9+(464.7-416.3)+(1.389138+(0.473994-0.424626))+0-108.9-0.111078000000017</f>
        <v>1302.7274280000001</v>
      </c>
      <c r="P122" s="3">
        <f>1361.4+(501.5-385.2)+(1.388628+(0.51153-0.392904))+0-107.8-0.109956000000017</f>
        <v>1371.2972980000002</v>
      </c>
      <c r="Q122" s="3">
        <f>1365.8+(441.8-266.7)+(0.696558+(0.225318-0.136017))+0-109.7-0.0559469999999889</f>
        <v>1431.9299120000001</v>
      </c>
      <c r="R122" s="3">
        <f>1353.3+(384.8-174.5)+(2.070549+(0.588744-0.266985))+0-111.7-0.170901000000006</f>
        <v>1454.1214069999999</v>
      </c>
      <c r="S122" s="3">
        <f>1329.1+(455.9-239.2)+(0.677841+(0.232509-0.121992))+0-112.5-0.0573749999999886</f>
        <v>1434.0309829999999</v>
      </c>
      <c r="T122" s="3">
        <f>1209.9+(563.4-238.4)+(2.468196+(1.149336-0.486336))+0-113.6-0.231743999999995</f>
        <v>1424.1994520000003</v>
      </c>
      <c r="U122" s="3">
        <f>1256.4+(499.4-221.4)+(0.640764+(0.254694-0.112914))+0-112.5-0.0573749999999886</f>
        <v>1422.6251689999999</v>
      </c>
      <c r="V122" s="3">
        <f>1251.6+(442.9-166.5)+(-0.638316+(-0.225879--0.084915))+0-113--0.0576299999999885</f>
        <v>1414.27835</v>
      </c>
      <c r="W122" s="3">
        <f>1247.6+(350.5-106.1)+(-1.908828+(-0.536265--0.162333))+0-113.2--0.173196000000007</f>
        <v>1376.6904359999999</v>
      </c>
      <c r="X122" s="3">
        <f>1303.6+(492.4-387.4)+(-1.994508+(-0.753372--0.592722))+0-113.9--0.174267000000007</f>
        <v>1292.7191089999999</v>
      </c>
      <c r="Y122" s="3">
        <f>1364.4+(504.8-488.6)+(-2.087532+(-0.772344--0.747558))+0-110--0.168300000000006</f>
        <v>1268.6559820000002</v>
      </c>
      <c r="Z122" s="3">
        <f>1427+(388.3-279.6)+(0+(0-0))+0-122.4-0</f>
        <v>1413.3</v>
      </c>
      <c r="AA122" s="3">
        <f>1442.7+(345.8-227.1)+(-0.735777+(-0.176358--0.115821))+0-125.4--0.0639539999999873</f>
        <v>1435.26764</v>
      </c>
      <c r="AB122" s="3">
        <f>1445.1+(357.8-256.6)+(-1.474002+(-0.364956--0.261732))+0-118.6--0.120972000000019</f>
        <v>1426.2437459999999</v>
      </c>
      <c r="AC122" s="3">
        <f>1450+(367.5-296.1)+(1.479+(0.37485-0.302022))+0-123.6-0.12607200000002</f>
        <v>1399.225756</v>
      </c>
      <c r="AD122">
        <f t="shared" si="1"/>
        <v>31902.658752000003</v>
      </c>
      <c r="AE122" s="3">
        <f>1434+(351.2-230.7)+(0+(0-0))+0-122.8-0</f>
        <v>1431.7</v>
      </c>
    </row>
    <row r="123" spans="1:31" s="2" customFormat="1" x14ac:dyDescent="0.25">
      <c r="A123">
        <v>89</v>
      </c>
      <c r="B123">
        <v>4</v>
      </c>
      <c r="C123">
        <v>30</v>
      </c>
      <c r="D123">
        <v>5</v>
      </c>
      <c r="E123">
        <v>1</v>
      </c>
      <c r="F123" s="3">
        <f>1449+(326.3-316.9)+(0+(0-0))+0-125-0</f>
        <v>1333.4</v>
      </c>
      <c r="G123" s="3">
        <f>1442.7+(268.1-302.6)+(-0.735777+(-0.136731--0.154326))+0-120.4--0.0614039999999878</f>
        <v>1287.1432219999999</v>
      </c>
      <c r="H123" s="3">
        <f>1449.3+(238.3-314.5)+(0.739143+(0.121533-0.160395))+0-119.4-0.0608939999999879</f>
        <v>1254.3393869999998</v>
      </c>
      <c r="I123" s="3">
        <f>1457.2+(241.7-347.1)+(-0.743172+(-0.123267--0.177021))+0-118.3--0.060332999999988</f>
        <v>1232.870915</v>
      </c>
      <c r="J123" s="3">
        <f>1462.3+(246.8-370.2)+(-1.491546+(-0.251736--0.377604))+0-117.1--0.119442000000019</f>
        <v>1220.5537640000002</v>
      </c>
      <c r="K123" s="3">
        <f>1464.4+(237.1-395)+(-0.746844+(-0.120921--0.20145))+0-111.7--0.0569669999999887</f>
        <v>1194.190652</v>
      </c>
      <c r="L123" s="3">
        <f>1476.5+(274.1-548.7)+(-0.753015+(-0.139791--0.279837))+0-101.7--0.0518669999999897</f>
        <v>1099.6388979999999</v>
      </c>
      <c r="M123" s="3">
        <f>1468.6+(316.3-518.7)+(-0.748986+(-0.161313--0.264537))+0-99--0.05048999999999</f>
        <v>1166.6047279999998</v>
      </c>
      <c r="N123" s="3">
        <f>1483.1+(374.3-466.6)+(-0.756381+(-0.190893--0.237966))+0-128.5--0.065534999999987</f>
        <v>1261.6562269999999</v>
      </c>
      <c r="O123" s="3">
        <f>1440.8+(442.3-457.9)+(0+(0-0))+0-131.2-0</f>
        <v>1294</v>
      </c>
      <c r="P123" s="3">
        <f>1423.7+(506.4-442.8)+(-0.726087+(-0.258264--0.225828))+0-131.4--0.0670139999999867</f>
        <v>1355.2084909999999</v>
      </c>
      <c r="Q123" s="3">
        <f>1422.6+(464.4-346.5)+(0.725526+(0.236844-0.176715))+0-129.3-0.0659429999999869</f>
        <v>1411.9197119999999</v>
      </c>
      <c r="R123" s="3">
        <f>1423.5+(449.5-307.7)+(-0.725985+(-0.229245--0.156927))+6.8-126.6--0.0645659999999871</f>
        <v>1444.766263</v>
      </c>
      <c r="S123" s="3">
        <f>1419.4+(501.6-365.2)+(-0.723894+(-0.255816--0.186252))+41-132.3--0.0674729999999866</f>
        <v>1463.7740150000002</v>
      </c>
      <c r="T123" s="3">
        <f>1416.6+(521.8-401.8)+(2.167398+(0.798354-0.614754))+41-139.2-0.212976000000008</f>
        <v>1440.5380219999997</v>
      </c>
      <c r="U123" s="3">
        <f>1390.3+(496.4-347.8)+(0+(0-0))+41-129-0</f>
        <v>1450.8999999999999</v>
      </c>
      <c r="V123" s="3">
        <f>1386.2+(441.1-289.4)+(-0.706962+(-0.224961--0.147594))+41-132.7--0.0676769999999865</f>
        <v>1445.483348</v>
      </c>
      <c r="W123" s="3">
        <f>1379.2+(338.8-225.4)+(-2.110176+(-0.518364--0.344862))+27.3-132.2--0.202266000000008</f>
        <v>1385.618588</v>
      </c>
      <c r="X123" s="3">
        <f>1352.7+(475-409.7)+(-2.069631+(-0.72675--0.626841))+0-130.9--0.200277000000008</f>
        <v>1285.1307369999997</v>
      </c>
      <c r="Y123" s="3">
        <f>1366.1+(501.3-479.4)+(0.696711+(0.255663-0.244494))+0-134.2-0.0684419999999864</f>
        <v>1254.4394379999999</v>
      </c>
      <c r="Z123" s="3">
        <f>1422.9+(437.3-329.2)+(1.451358+(0.446046-0.335784))+0-136.2-0.138924000000022</f>
        <v>1396.2226959999998</v>
      </c>
      <c r="AA123" s="3">
        <f>1490.6+(407.2-335.1)+(-0.760206+(-0.207672--0.170901))+0-138.2--0.070481999999986</f>
        <v>1423.7735049999999</v>
      </c>
      <c r="AB123" s="3">
        <f>1496.9+(403.8-347.9)+(-0.763419+(-0.205938--0.177429))+0-135.2--0.0689519999999863</f>
        <v>1416.8770240000001</v>
      </c>
      <c r="AC123" s="3">
        <f>1502.6+(404.4-388.4)+(-1.532652+(-0.412488--0.396168))+0-134.6--0.137292000000021</f>
        <v>1382.5883200000001</v>
      </c>
      <c r="AD123">
        <f t="shared" si="1"/>
        <v>31901.637952000008</v>
      </c>
      <c r="AE123" s="3">
        <f>1483+(417.8-335)+(0+(0-0))+0-138.6-0</f>
        <v>1427.2</v>
      </c>
    </row>
    <row r="124" spans="1:31" s="2" customFormat="1" x14ac:dyDescent="0.25">
      <c r="A124">
        <v>89</v>
      </c>
      <c r="B124">
        <v>4</v>
      </c>
      <c r="C124">
        <v>31</v>
      </c>
      <c r="D124">
        <v>6</v>
      </c>
      <c r="E124">
        <v>1</v>
      </c>
      <c r="F124" s="3">
        <f>1505.4+(358.2-394.6)+(-1.535508+(-0.365364--0.402492))+0-133.6--0.136272000000021</f>
        <v>1334.0378920000001</v>
      </c>
      <c r="G124" s="3">
        <f>1497.3+(265.2-348)+(1.527246+(0.270504-0.35496))+0-130.7-0.133314000000021</f>
        <v>1285.1094760000001</v>
      </c>
      <c r="H124" s="3">
        <f>1500.2+(219.3-340.1)+(-3.060408+(-0.447372--0.693804))+0-130.3--0.265811999999994</f>
        <v>1246.5518360000003</v>
      </c>
      <c r="I124" s="3">
        <f>1517.5+(216.4-377.7)+(-3.869625+(-0.55182--0.963135))+0-127.9--0.326144999999981</f>
        <v>1225.167835</v>
      </c>
      <c r="J124" s="3">
        <f>1518.1+(211.4-387.9)+(0.774231+(0.107814-0.197829))+0-131.6-0.0671159999999866</f>
        <v>1210.6171000000002</v>
      </c>
      <c r="K124" s="3">
        <f>1524.4+(200.2-401.9)+(-3.88722+(-0.51051--1.024845))+0-130.7--0.333284999999981</f>
        <v>1188.9603999999999</v>
      </c>
      <c r="L124" s="3">
        <f>1535+(192.3-458.3)+(-1.5657+(-0.196146--0.467466))+0-123.9--0.12637800000002</f>
        <v>1143.9319979999998</v>
      </c>
      <c r="M124" s="3">
        <f>1537.5+(230.5-475.7)+(-0.784125+(-0.117555--0.242607))+0-126.5--0.0645149999999872</f>
        <v>1165.2054419999999</v>
      </c>
      <c r="N124" s="3">
        <f>1527.7+(337.4-498.8)+(0.779127+(0.172074-0.254388))+0-132.7-0.0676769999999865</f>
        <v>1234.2291359999999</v>
      </c>
      <c r="O124" s="3">
        <f>1507.7+(381.1-461.6)+(0+(0-0))+0-134.4-0</f>
        <v>1292.8</v>
      </c>
      <c r="P124" s="3">
        <f>1492.3+(341.6-346)+(0+(0-0))+0-133.6-0</f>
        <v>1354.3000000000002</v>
      </c>
      <c r="Q124" s="3">
        <f>1483.1+(302.1-240.1)+(0+(0-0))+0-132.8-0</f>
        <v>1412.3</v>
      </c>
      <c r="R124" s="3">
        <f>1455.9+(340.5-262.1)+(0.742509+(0.173655-0.133671))+0-129.1-0.0658409999999869</f>
        <v>1405.9166520000001</v>
      </c>
      <c r="S124" s="3">
        <f>1439.9+(393.6-315.8)+(0.734349+(0.200736-0.161058))+0-134.1-0.0683909999999864</f>
        <v>1384.305636</v>
      </c>
      <c r="T124" s="3">
        <f>1433.8+(431.2-331.7)+(1.462476+(0.439824-0.338334))+0-137-0.139740000000022</f>
        <v>1397.7242259999998</v>
      </c>
      <c r="U124" s="3">
        <f>1425.8+(406.8-313)+(0+(0-0))+0-133.5-0</f>
        <v>1386.1</v>
      </c>
      <c r="V124" s="3">
        <f>1421.7+(379.4-268.5)+(0+(0-0))+0-137.3-0</f>
        <v>1395.3</v>
      </c>
      <c r="W124" s="3">
        <f>1424.1+(252.9-219.6)+(-1.452582+(-0.257958--0.223992))+0-138.6--0.141372000000022</f>
        <v>1317.4548239999999</v>
      </c>
      <c r="X124" s="3">
        <f>1425.9+(351.2-413.1)+(-4.363254+(-1.074672--1.264086))+0-138--0.422280000000016</f>
        <v>1222.2484400000001</v>
      </c>
      <c r="Y124" s="3">
        <f>1425.8+(341.4-429.1)+(-0.727158+(-0.174114--0.218841))+0-137.6--0.070175999999986</f>
        <v>1199.887745</v>
      </c>
      <c r="Z124" s="3">
        <f>1458.5+(260.5-221.4)+(-2.97534+(-0.53142--0.451656))+0-142.1--0.289883999999994</f>
        <v>1352.73478</v>
      </c>
      <c r="AA124" s="3">
        <f>1493.4+(284-271.6)+(-3.046536+(-0.57936--0.554064))+0-141.3--0.288251999999994</f>
        <v>1361.7164200000002</v>
      </c>
      <c r="AB124" s="3">
        <f>1502.6+(289.5-297.2)+(0+(0-0))+0-135-0</f>
        <v>1359.8999999999999</v>
      </c>
      <c r="AC124" s="3">
        <f>1500.4+(315.2-338.1)+(-1.530408+(-0.321504--0.344862))+0-134--0.136680000000021</f>
        <v>1342.1296300000001</v>
      </c>
      <c r="AD124">
        <f t="shared" si="1"/>
        <v>31218.629467999996</v>
      </c>
      <c r="AE124" s="3">
        <f>1479+(288.9-273.3)+(0+(0-0))+0-140.3-0</f>
        <v>1354.3</v>
      </c>
    </row>
    <row r="125" spans="1:31" s="2" customFormat="1" x14ac:dyDescent="0.25">
      <c r="A125">
        <v>89</v>
      </c>
      <c r="B125">
        <v>5</v>
      </c>
      <c r="C125">
        <v>1</v>
      </c>
      <c r="D125">
        <v>7</v>
      </c>
      <c r="E125">
        <v>1</v>
      </c>
      <c r="F125" s="3">
        <f>1498.5+(301.6-349.3)+(-0.764235+(-0.153816--0.178143))+0-135.4--0.0690539999999863</f>
        <v>1314.7291459999999</v>
      </c>
      <c r="G125" s="3">
        <f>1513.7+(238.3-351.5)+(-4.631922+(-0.729198--1.07559))+0-133.7--0.409122000000015</f>
        <v>1262.9235919999999</v>
      </c>
      <c r="H125" s="3">
        <f>1518.7+(197.8-353.6)+(-3.872685+(-0.50439--0.90168))+0-133--0.339149999999981</f>
        <v>1226.7637550000002</v>
      </c>
      <c r="I125" s="3">
        <f>1519.5+(192.7-368.7)+(0.774945+(0.098277-0.188037))+0-135.1-0.0689009999999863</f>
        <v>1209.016284</v>
      </c>
      <c r="J125" s="3">
        <f>1520.7+(191.4-389.8)+(-0.775557+(-0.097614--0.198798))+0-134.6--0.0686459999999863</f>
        <v>1187.0942729999999</v>
      </c>
      <c r="K125" s="3">
        <f>1519.1+(193.6-421)+(-1.549482+(-0.197472--0.42942))+0-132.8--0.135456000000021</f>
        <v>1157.7179219999998</v>
      </c>
      <c r="L125" s="3">
        <f>1491.1+(197.3-458.6)+(-0.760461+(-0.100623--0.233886))+0-130.6--0.0666059999999867</f>
        <v>1098.6394080000002</v>
      </c>
      <c r="M125" s="3">
        <f>1507.5+(193.4-454.6)+(-0.768825+(-0.098634--0.231846))+0-134.4--0.0685439999999864</f>
        <v>1111.3329309999999</v>
      </c>
      <c r="N125" s="3">
        <f>1505.8+(223.6-446.7)+(0+(0-0))+0-136.2-0</f>
        <v>1146.5</v>
      </c>
      <c r="O125" s="3">
        <f>1494.3+(283.2-439.9)+(0.762093+(0.144432-0.224349))+0-138.3-0.070532999999986</f>
        <v>1199.9116429999999</v>
      </c>
      <c r="P125" s="3">
        <f>1473.1+(359.9-434.9)+(-1.502562+(-0.367098--0.443598))+0-135.8--0.138516000000022</f>
        <v>1261.0124539999999</v>
      </c>
      <c r="Q125" s="3">
        <f>1457.9+(337.3-341.5)+(0.743529+(0.172023-0.174165))+0-136-0.0693599999999862</f>
        <v>1318.3720270000001</v>
      </c>
      <c r="R125" s="3">
        <f>1451.2+(264.2-248.7)+(-1.480224+(-0.269484--0.253674))+0-134.1--0.136782000000021</f>
        <v>1331.2407480000002</v>
      </c>
      <c r="S125" s="3">
        <f>1439.7+(295.9-269.5)+(-0.734247+(-0.150909--0.137445))+0-133.6--0.0681359999999864</f>
        <v>1331.8204250000001</v>
      </c>
      <c r="T125" s="3">
        <f>1433.3+(326.5-286.9)+(-1.461966+(-0.33303--0.292638))+0-133--0.135660000000021</f>
        <v>1338.533302</v>
      </c>
      <c r="U125" s="3">
        <f>1423.2+(389.8-343.7)+(0+(0-0))+0-131.5-0</f>
        <v>1337.8000000000002</v>
      </c>
      <c r="V125" s="3">
        <f>1415.1+(344.3-293.7)+(0+(0-0))+0-134.1-0</f>
        <v>1331.6</v>
      </c>
      <c r="W125" s="3">
        <f>1403.8+(254.4-232.2)+(-2.863752+(-0.518976--0.473688))+0-134.5--0.274379999999994</f>
        <v>1288.8653400000001</v>
      </c>
      <c r="X125" s="3">
        <f>1403+(375.5-437.5)+(-1.43106+(-0.38301--0.44625))+0-135.4--0.138108000000022</f>
        <v>1204.3702880000001</v>
      </c>
      <c r="Y125" s="3">
        <f>1413.9+(453.6-557.1)+(0+(0-0))+0-136.9-0</f>
        <v>1173.5</v>
      </c>
      <c r="Z125" s="3">
        <f>1447.7+(307.4-301.6)+(-1.476654+(-0.313548--0.307632))+0-140.1--0.142902000000022</f>
        <v>1312.0603320000002</v>
      </c>
      <c r="AA125" s="3">
        <f>1484.6+(277.8-271.2)+(0+(0-0))+0-138.5-0</f>
        <v>1352.6999999999998</v>
      </c>
      <c r="AB125" s="3">
        <f>1465+(259.6-233)+(-1.4943+(-0.264792--0.23766))+0-138.6--0.141372000000022</f>
        <v>1351.61994</v>
      </c>
      <c r="AC125" s="3">
        <f>1442.1+(263.1-246.2)+(-0.735471+(-0.134181--0.125562))+0-129.5--0.0660449999999869</f>
        <v>1328.8219550000001</v>
      </c>
      <c r="AD125">
        <f t="shared" si="1"/>
        <v>30176.945764999997</v>
      </c>
      <c r="AE125" s="3">
        <f>1475+(266.7-264.2)+(0+(0-0))+0-129-0</f>
        <v>1348.5</v>
      </c>
    </row>
    <row r="126" spans="1:31" s="2" customFormat="1" x14ac:dyDescent="0.25">
      <c r="A126">
        <v>89</v>
      </c>
      <c r="B126">
        <v>5</v>
      </c>
      <c r="C126">
        <v>2</v>
      </c>
      <c r="D126">
        <v>1</v>
      </c>
      <c r="E126">
        <v>1</v>
      </c>
      <c r="F126" s="3">
        <f>1453.6+(230-290.3)+(-0.741336+(-0.1173--0.148053))+0-118--0.060179999999988</f>
        <v>1274.6495969999999</v>
      </c>
      <c r="G126" s="3">
        <f>1456.1+(214.3-336.9)+(0.742611+(0.109293-0.171819))+0-124.7-0.0635969999999874</f>
        <v>1209.4164879999998</v>
      </c>
      <c r="H126" s="3">
        <f>1460+(209.7-347.4)+(0.7446+(0.106947-0.177174))+0-131.2-0.0669119999999867</f>
        <v>1191.707461</v>
      </c>
      <c r="I126" s="3">
        <f>1463.4+(208.7-352.9)+(-1.492668+(-0.212874--0.359958))+0-134.3--0.136986000000021</f>
        <v>1183.6914020000002</v>
      </c>
      <c r="J126" s="3">
        <f>1464.7+(209.6-362.2)+(0+(0-0))+0-133.6-0</f>
        <v>1178.5000000000002</v>
      </c>
      <c r="K126" s="3">
        <f>1463.2+(235.9-410.2)+(-1.492464+(-0.240618--0.418404))+0-135--0.137700000000022</f>
        <v>1152.7230220000001</v>
      </c>
      <c r="L126" s="3">
        <f>1463.5+(282.2-490.6)+(0+(0-0))+0-134.3-0</f>
        <v>1120.8</v>
      </c>
      <c r="M126" s="3">
        <f>1467+(350.7-524.2)+(1.49634+(0.357714-0.534684))+0-138-0.140760000000022</f>
        <v>1156.6786099999999</v>
      </c>
      <c r="N126" s="3">
        <f>1455.8+(443-535.9)+(-1.484916+(-0.45186--0.546618))+0-137.3--0.140046000000022</f>
        <v>1224.3498880000002</v>
      </c>
      <c r="O126" s="3">
        <f>1456+(450.7-483.6)+(0+(0-0))+0-137.1-0</f>
        <v>1286</v>
      </c>
      <c r="P126" s="3">
        <f>1449.5+(450.4-422.1)+(0.739245+(0.229704-0.215271))+0-133.6-0.0681359999999864</f>
        <v>1344.885542</v>
      </c>
      <c r="Q126" s="3">
        <f>1438.9+(353.2-304.2)+(0+(0-0))+45-131.2-0</f>
        <v>1401.7</v>
      </c>
      <c r="R126" s="3">
        <f>1427.5+(301.9-213.3)+(0.728025+(0.153969-0.108783))+60-131.9-0.0672689999999866</f>
        <v>1444.9059419999999</v>
      </c>
      <c r="S126" s="3">
        <f>1409.7+(350.9-248.5)+(0.718947+(0.178959-0.126735))+60-135.7-0.0692069999999862</f>
        <v>1437.101964</v>
      </c>
      <c r="T126" s="3">
        <f>1392.4+(381.5-265.4)+(0.710124+(0.194565-0.135354))+60-141.5-0.0721649999999856</f>
        <v>1427.6971699999999</v>
      </c>
      <c r="U126" s="3">
        <f>1383.2+(365.7-246.4)+(0.705432+(0.186507-0.125664))+60-136.4-0.0695639999999862</f>
        <v>1426.796711</v>
      </c>
      <c r="V126" s="3">
        <f>1363.8+(315.4-184.6)+(-2.782152+(-0.643416--0.376584))+60-137.9--0.281315999999994</f>
        <v>1413.9323319999999</v>
      </c>
      <c r="W126" s="3">
        <f>1371+(315.2-230.6)+(-1.39842+(-0.321504--0.235212))+15-139.2--0.141984000000022</f>
        <v>1330.057272</v>
      </c>
      <c r="X126" s="3">
        <f>1396+(515.9-524.9)+(-2.84784+(-1.052436--1.070796))+0-135.1--0.275603999999994</f>
        <v>1249.3461239999999</v>
      </c>
      <c r="Y126" s="3">
        <f>1425.4+(557.5-590.6)+(-1.453908+(-0.56865--0.602412))+0-138.4--0.141168000000022</f>
        <v>1252.6210220000003</v>
      </c>
      <c r="Z126" s="3">
        <f>1466.3+(395.8-333.1)+(-1.495626+(-0.403716--0.339762))+0-141.2--0.144024000000022</f>
        <v>1386.3844439999998</v>
      </c>
      <c r="AA126" s="3">
        <f>1483.4+(332.1-287)+(-0.756534+(-0.169371--0.14637))+0-131.1--0.0668609999999867</f>
        <v>1396.6873260000002</v>
      </c>
      <c r="AB126" s="3">
        <f>1493.4+(298.8-273.9)+(0+(0-0))+0-124.9-0</f>
        <v>1393.4</v>
      </c>
      <c r="AC126" s="3">
        <f>1483.2+(283.2-265.7)+(-0.756432+(-0.144432--0.135507))+0-140.7--0.0717569999999857</f>
        <v>1359.3063999999999</v>
      </c>
      <c r="AD126">
        <f t="shared" si="1"/>
        <v>31243.338716999999</v>
      </c>
      <c r="AE126" s="3">
        <f>1477+(354.9-295.1)+(0+(0-0))+0-134.5-0</f>
        <v>1402.3</v>
      </c>
    </row>
    <row r="127" spans="1:31" s="2" customFormat="1" x14ac:dyDescent="0.25">
      <c r="A127">
        <v>89</v>
      </c>
      <c r="B127">
        <v>5</v>
      </c>
      <c r="C127">
        <v>3</v>
      </c>
      <c r="D127">
        <v>2</v>
      </c>
      <c r="E127">
        <v>1</v>
      </c>
      <c r="F127" s="3">
        <f>1487.1+(263.9-285.5)+(-2.275263+(-0.403767--0.436815))+0-140.6--0.215118000000008</f>
        <v>1322.8729030000002</v>
      </c>
      <c r="G127" s="3">
        <f>1490.5+(252.8-321.8)+(-3.04062+(-0.515712--0.656472))+0-137.5--0.280499999999994</f>
        <v>1281.3806400000001</v>
      </c>
      <c r="H127" s="3">
        <f>1498+(208.2-312.3)+(-1.52796+(-0.212364--0.318546))+0-135.8--0.138516000000022</f>
        <v>1256.8167380000002</v>
      </c>
      <c r="I127" s="3">
        <f>1499.2+(205.7-335.5)+(0+(0-0))+0-134.5-0</f>
        <v>1234.9000000000001</v>
      </c>
      <c r="J127" s="3">
        <f>1505.8+(206.7-357.6)+(0+(0-0))+0-132.8-0</f>
        <v>1222.0999999999999</v>
      </c>
      <c r="K127" s="3">
        <f>1513.5+(213.6-393.3)+(-2.315655+(-0.326808--0.601749))+0-131.8--0.201654000000008</f>
        <v>1200.16094</v>
      </c>
      <c r="L127" s="3">
        <f>1508.7+(325.3-517.2)+(0.769437+(0.165903-0.263772))+0-134.6-0.0686459999999863</f>
        <v>1182.8029220000001</v>
      </c>
      <c r="M127" s="3">
        <f>1503.9+(374.7-504)+(1.533978+(0.382194-0.51408))+0-124.8-0.12729600000002</f>
        <v>1251.0747960000001</v>
      </c>
      <c r="N127" s="3">
        <f>1500.9+(374.7-507)+(1.530918+(0.382194-0.51714))+0-124.8-0.12729600000002</f>
        <v>1245.0686760000001</v>
      </c>
      <c r="O127" s="3">
        <f>1490.6+(280.8-359.1)+(1.520412+(0.286416-0.366282))+0-118.4-0.120768000000019</f>
        <v>1295.2197779999999</v>
      </c>
      <c r="P127" s="3">
        <f>1476.7+(264.6-269.4)+(2.259351+(0.404838-0.412182))+0-120.1-0.183753000000007</f>
        <v>1353.8682540000002</v>
      </c>
      <c r="Q127" s="3">
        <f>1457.9+(323.9-249.6)+(0+(0-0))+0-123.8-0</f>
        <v>1408.4</v>
      </c>
      <c r="R127" s="3">
        <f>1463.1+(333.5-241)+(-1.492362+(-0.34017--0.24582))+0-120--0.122400000000019</f>
        <v>1434.1356879999998</v>
      </c>
      <c r="S127" s="3">
        <f>1453.7+(366.3-271.5)+(-0.741387+(-0.186813--0.138465))+0-120.4--0.0614039999999878</f>
        <v>1427.3716689999999</v>
      </c>
      <c r="T127" s="3">
        <f>1443.3+(378-291.8)+(0.736083+(0.19278-0.148818))+0-120.5-0.0614549999999878</f>
        <v>1409.7185899999999</v>
      </c>
      <c r="U127" s="3">
        <f>1428.1+(353.9-264.3)+(1.456662+(0.360978-0.269586))+0-118.5-0.120870000000019</f>
        <v>1400.6271839999999</v>
      </c>
      <c r="V127" s="3">
        <f>1410.4+(331.5-205.4)+(-0.719304+(-0.169065--0.104754))+0-122.1--0.0622709999999876</f>
        <v>1413.678656</v>
      </c>
      <c r="W127" s="3">
        <f>1389.6+(324.9-223.9)+(-3.54348+(-0.828495--0.570945))+0-121.9--0.310844999999982</f>
        <v>1365.2098149999997</v>
      </c>
      <c r="X127" s="3">
        <f>1376.8+(565.3-543.4)+(-3.51084+(-1.441515--1.38567))+0-118.7--0.302684999999983</f>
        <v>1276.7359999999996</v>
      </c>
      <c r="Y127" s="3">
        <f>1403+(535.5-585.4)+(-1.43106+(-0.54621--0.597108))+0-113.4--0.115668000000018</f>
        <v>1238.4355059999998</v>
      </c>
      <c r="Z127" s="3">
        <f>1451.8+(375.4-325.5)+(-2.221254+(-0.574362--0.498015))+0-115.5--0.176715000000007</f>
        <v>1384.0791139999999</v>
      </c>
      <c r="AA127" s="3">
        <f>1466.2+(334.8-279.2)+(-1.495524+(-0.341496--0.284784))+0-117.7--0.120054000000019</f>
        <v>1402.6678180000001</v>
      </c>
      <c r="AB127" s="3">
        <f>1470.4+(299.7-270.4)+(-0.749904+(-0.152847--0.137904))+0-114.9--0.0585989999999883</f>
        <v>1384.093752</v>
      </c>
      <c r="AC127" s="3">
        <f>1462.7+(292.9-275.4)+(0+(0-0))+0-117.6-0</f>
        <v>1362.6000000000001</v>
      </c>
      <c r="AD127">
        <f t="shared" si="1"/>
        <v>31754.019439000003</v>
      </c>
      <c r="AE127" s="3">
        <f>1459+(347.6-292.3)+(0+(0-0))+0-113.6-0</f>
        <v>1400.7</v>
      </c>
    </row>
    <row r="128" spans="1:31" s="2" customFormat="1" x14ac:dyDescent="0.25">
      <c r="A128">
        <v>89</v>
      </c>
      <c r="B128">
        <v>5</v>
      </c>
      <c r="C128">
        <v>4</v>
      </c>
      <c r="D128">
        <v>3</v>
      </c>
      <c r="E128">
        <v>1</v>
      </c>
      <c r="F128" s="3">
        <f>1454.4+(267.4-285.3)+(0.741744+(0.136374-0.145503))+0-120.1-0.0612509999999878</f>
        <v>1317.0713639999999</v>
      </c>
      <c r="G128" s="3">
        <f>1464.6+(256-324.9)+(0.746946+(0.13056-0.165699))+0-121.4-0.0619139999999877</f>
        <v>1274.9498929999997</v>
      </c>
      <c r="H128" s="3">
        <f>1478.4+(262.3-381.6)+(-0.753984+(-0.133773--0.194616))+0-122.1--0.0622709999999876</f>
        <v>1236.3691300000003</v>
      </c>
      <c r="I128" s="3">
        <f>1465.5+(260.9-388.1)+(-2.242215+(-0.399177--0.593793))+0-125.6--0.192168000000007</f>
        <v>1210.8445690000001</v>
      </c>
      <c r="J128" s="3">
        <f>1455.9+(267.7-389.8)+(-2.227527+(-0.409581--0.596394))+0-128.5--0.196605000000007</f>
        <v>1203.4558910000003</v>
      </c>
      <c r="K128" s="3">
        <f>1438.5+(275.9-430)+(-1.46727+(-0.281418--0.4386))+0-126.4--0.12892800000002</f>
        <v>1156.8188400000001</v>
      </c>
      <c r="L128" s="3">
        <f>1441.5+(321.5-520.1)+(-2.205495+(-0.491895--0.795753))+0-126.9--0.194157000000007</f>
        <v>1114.29252</v>
      </c>
      <c r="M128" s="3">
        <f>1460.8+(400.5-575.4)+(0+(0-0))+0-132.7-0</f>
        <v>1153.2</v>
      </c>
      <c r="N128" s="3">
        <f>1452+(478.9-572.1)+(0.74052+(0.244239-0.291771))+0-135.6-0.0691559999999862</f>
        <v>1223.823832</v>
      </c>
      <c r="O128" s="3">
        <f>1437.8+(505.5-518.9)+(0+(0-0))+0-134.7-0</f>
        <v>1289.7</v>
      </c>
      <c r="P128" s="3">
        <f>1424+(538-475)+(0+(0-0))+0-146-0</f>
        <v>1341</v>
      </c>
      <c r="Q128" s="3">
        <f>1431.5+(420.9-329.8)+(0+(0-0))+0-138.1-0</f>
        <v>1384.5</v>
      </c>
      <c r="R128" s="3">
        <f>1438+(352.3-305)+(0+(0-0))+0-136.3-0</f>
        <v>1349</v>
      </c>
      <c r="S128" s="3">
        <f>1451+(336.4-235.1)+(0+(0-0))+0-134.5-0</f>
        <v>1417.8</v>
      </c>
      <c r="T128" s="3">
        <f>1423.6+(359.3-233.8)+(0.726036+(0.183243-0.119238))+0-138.8-0.0707879999999859</f>
        <v>1411.0192529999999</v>
      </c>
      <c r="U128" s="3">
        <f>1423.6+(338-207.6)+(-0.726036+(-0.17238--0.105876))+0-140.8--0.0718079999999857</f>
        <v>1412.479268</v>
      </c>
      <c r="V128" s="3">
        <f>1421.6+(300.7-180.4)+(-1.450032+(-0.306714--0.184008))+0-142--0.144840000000023</f>
        <v>1398.4721019999997</v>
      </c>
      <c r="W128" s="3">
        <f>1406.2+(364.9-279.9)+(-1.434324+(-0.372198--0.285498))+0-143.9--0.146778000000023</f>
        <v>1345.9257540000001</v>
      </c>
      <c r="X128" s="3">
        <f>1386.6+(513.7-485.3)+(-2.828664+(-1.047948--0.990012))+0-140.3--0.286211999999994</f>
        <v>1272.099612</v>
      </c>
      <c r="Y128" s="3">
        <f>1371+(530.5-514.1)+(-0.69921+(-0.270555--0.262191))+0-137.5--0.070124999999986</f>
        <v>1249.262551</v>
      </c>
      <c r="Z128" s="3">
        <f>1421.7+(366-285.9)+(-0.725067+(-0.18666--0.145809))+0-142.9--0.0728789999999855</f>
        <v>1358.2069610000001</v>
      </c>
      <c r="AA128" s="3">
        <f>1472.5+(295.8-254.9)+(-1.50195+(-0.301716--0.259998))+0-146.2--0.149124000000023</f>
        <v>1365.805456</v>
      </c>
      <c r="AB128" s="3">
        <f>1472.3+(278.1-243.2)+(-0.750873+(-0.141831--0.124032))+0-142.1--0.0724709999999856</f>
        <v>1364.4037990000002</v>
      </c>
      <c r="AC128" s="3">
        <f>1458.7+(258.2-215.9)+(0+(0-0))+0-142.3-0</f>
        <v>1358.7</v>
      </c>
      <c r="AD128">
        <f t="shared" si="1"/>
        <v>31209.200795000001</v>
      </c>
      <c r="AE128" s="3">
        <f>1476+(302.2-255)+(0+(0-0))+0-144.2-0</f>
        <v>1379</v>
      </c>
    </row>
    <row r="129" spans="1:31" s="2" customFormat="1" x14ac:dyDescent="0.25">
      <c r="A129">
        <v>89</v>
      </c>
      <c r="B129">
        <v>5</v>
      </c>
      <c r="C129">
        <v>5</v>
      </c>
      <c r="D129">
        <v>4</v>
      </c>
      <c r="E129">
        <v>3</v>
      </c>
      <c r="F129" s="3">
        <f>1416.1+(287.7-224.8)+(-1.444422+(-0.293454--0.229296))+0-143.6--0.146472000000023</f>
        <v>1334.0378920000003</v>
      </c>
      <c r="G129" s="3">
        <f>1416.2+(249.3-246.3)+(-3.61131+(-0.635715--0.628065))+0-137.5--0.35062499999998</f>
        <v>1278.4316650000001</v>
      </c>
      <c r="H129" s="3">
        <f>1414.4+(244.3-278)+(-1.442688+(-0.249186--0.28356))+0-136.7--0.139434000000022</f>
        <v>1242.7311199999999</v>
      </c>
      <c r="I129" s="3">
        <f>1298.2+(268.6-220.6)+(0+(0-0))+0-137-0</f>
        <v>1209.2</v>
      </c>
      <c r="J129" s="3">
        <f>1301.6+(283-259.9)+(1.327632+(0.28866-0.265098))+0-134.5-0.137190000000021</f>
        <v>1191.414004</v>
      </c>
      <c r="K129" s="3">
        <f>1306.1+(209.7-221.7)+(-1.998333+(-0.320841--0.339201))+0-136.3--0.208539000000008</f>
        <v>1156.028566</v>
      </c>
      <c r="L129" s="3">
        <f>1319.6+(250-310.7)+(-2.018988+(-0.3825--0.475371))+0-134.4--0.205632000000008</f>
        <v>1122.7795149999997</v>
      </c>
      <c r="M129" s="3">
        <f>1312.1+(270.8-323.2)+(1.338342+(0.276216-0.329664))+0-139.1-0.141882000000022</f>
        <v>1121.7430119999997</v>
      </c>
      <c r="N129" s="3">
        <f>1306.7+(293.7-315)+(-1.332834+(-0.299574--0.3213))+0-140.6--0.143412000000022</f>
        <v>1143.6323040000002</v>
      </c>
      <c r="O129" s="3">
        <f>1274.2+(319.9-256.3)+(0.649842+(0.163149-0.130713))+0-137.7-0.070226999999986</f>
        <v>1200.712051</v>
      </c>
      <c r="P129" s="3">
        <f>1218.5+(349.5-166.1)+(1.864305+(0.534735-0.254133))+0-136.8-0.209304000000008</f>
        <v>1267.0356030000003</v>
      </c>
      <c r="Q129" s="3">
        <f>1222.4+(317.8-95.7)+(0.623424+(0.162078-0.048807))+0-134.6-0.0686459999999863</f>
        <v>1310.5680490000002</v>
      </c>
      <c r="R129" s="3">
        <f>1251.6+(380.3-175.5)+(0+(0-0))+0-123.6-0</f>
        <v>1332.8</v>
      </c>
      <c r="S129" s="3">
        <f>1360.5+(401.4-320.2)+(0.693855+(0.204714-0.163302))+0-118.2-0.060281999999988</f>
        <v>1324.1749850000001</v>
      </c>
      <c r="T129" s="3">
        <f>1437.7+(404-388.4)+(0.733227+(0.20604-0.198084))+0-119.9-0.0611489999999878</f>
        <v>1334.0800340000003</v>
      </c>
      <c r="U129" s="3">
        <f>1434.6+(392.3-380.5)+(-1.463292+(-0.400146--0.38811))+0-116.4--0.118728000000019</f>
        <v>1328.6433999999997</v>
      </c>
      <c r="V129" s="3">
        <f>1432.2+(352.3-374.9)+(-1.460844+(-0.359346--0.382398))+0-118.2--0.120564000000019</f>
        <v>1290.0827720000002</v>
      </c>
      <c r="W129" s="3">
        <f>1438.2+(292.7-349.4)+(-3.66741+(-0.746385--0.89097))+0-120.6--0.307529999999982</f>
        <v>1257.6847050000001</v>
      </c>
      <c r="X129" s="3">
        <f>1435.8+(329-445.4)+(-3.66129+(-0.83895--1.13577))+0-122.4--0.312119999999982</f>
        <v>1193.9476500000001</v>
      </c>
      <c r="Y129" s="3">
        <f>1446.2+(297.7-462.8)+(0+(0-0))+0-117.6-0</f>
        <v>1163.5</v>
      </c>
      <c r="Z129" s="3">
        <f>1474.5+(269.2-298)+(0.751995+(0.137292-0.15198))+0-131-0.0668099999999867</f>
        <v>1315.3704970000001</v>
      </c>
      <c r="AA129" s="3">
        <f>1497.7+(302.1-333.7)+(0+(0-0))+0-129.5-0</f>
        <v>1336.6000000000001</v>
      </c>
      <c r="AB129" s="3">
        <f>1509.2+(311-348.8)+(-0.769692+(-0.15861--0.177888))+0-139.1--0.0709409999999859</f>
        <v>1331.620527</v>
      </c>
      <c r="AC129" s="3">
        <f>1518.4+(330.1-391.4)+(0+(0-0))+0-139.9-0</f>
        <v>1317.2</v>
      </c>
      <c r="AD129">
        <f t="shared" ref="AD129:AD192" si="2">SUM(F129:AC129)</f>
        <v>30104.018350999999</v>
      </c>
      <c r="AE129" s="3">
        <f>1488+(305.4-328.1)+(0+(0-0))+0-132.8-0</f>
        <v>1332.5</v>
      </c>
    </row>
    <row r="130" spans="1:31" s="2" customFormat="1" x14ac:dyDescent="0.25">
      <c r="A130">
        <v>89</v>
      </c>
      <c r="B130">
        <v>5</v>
      </c>
      <c r="C130">
        <v>6</v>
      </c>
      <c r="D130">
        <v>5</v>
      </c>
      <c r="E130">
        <v>1</v>
      </c>
      <c r="F130" s="3">
        <f>1512.9+(324.3-418.1)+(0+(0-0))+0-140.4-0</f>
        <v>1278.7</v>
      </c>
      <c r="G130" s="3">
        <f>1533.7+(275.7-438.8)+(-1.564374+(-0.281214--0.447576))+0-134.8--0.137496000000022</f>
        <v>1234.5394839999999</v>
      </c>
      <c r="H130" s="3">
        <f>1545.2+(227.1-436.4)+(0+(0-0))+0-131.7-0</f>
        <v>1204.2</v>
      </c>
      <c r="I130" s="3">
        <f>1552.4+(199.7-433)+(0.791724+(0.101847-0.22083))+0-132.5-0.0675749999999866</f>
        <v>1187.2051660000002</v>
      </c>
      <c r="J130" s="3">
        <f>1558.6+(199.9-447.6)+(0+(0-0))+0-132.7-0</f>
        <v>1178.1999999999998</v>
      </c>
      <c r="K130" s="3">
        <f>1562.9+(203.8-498.8)+(0+(0-0))+0-133-0</f>
        <v>1134.9000000000001</v>
      </c>
      <c r="L130" s="3">
        <f>1566.5+(333.9-663.2)+(0+(0-0))+0-133.2-0</f>
        <v>1103.9999999999998</v>
      </c>
      <c r="M130" s="3">
        <f>1566.9+(349.9-644.4)+(1.598238+(0.356898-0.657288))+0-139.5-0.142290000000022</f>
        <v>1134.055558</v>
      </c>
      <c r="N130" s="3">
        <f>1554.4+(416.2-652.3)+(0.792744+(0.212262-0.332673))+0-140.1-0.0714509999999858</f>
        <v>1178.8008820000002</v>
      </c>
      <c r="O130" s="3">
        <f>1540.6+(455.1-638.2)+(0.785706+(0.232101-0.325482))+0-138.5-0.0706349999999859</f>
        <v>1219.6216899999999</v>
      </c>
      <c r="P130" s="3">
        <f>1529+(411.1-538.7)+(-0.77979+(-0.209661--0.274737))+0-130.1--0.0663509999999868</f>
        <v>1270.6516370000002</v>
      </c>
      <c r="Q130" s="3">
        <f>1513.8+(329.4-408.1)+(0.772038+(0.167994-0.208131))+50-124.3-0.0633929999999874</f>
        <v>1361.4685080000002</v>
      </c>
      <c r="R130" s="3">
        <f>1508.9+(315-379.4)+(0.769539+(0.16065-0.193494))+60-124.5-0.0634949999999874</f>
        <v>1380.6732000000002</v>
      </c>
      <c r="S130" s="3">
        <f>1489.8+(334.1-370.2)+(0.759798+(0.170391-0.188802))+60-136.4-0.0695639999999862</f>
        <v>1377.9718230000001</v>
      </c>
      <c r="T130" s="3">
        <f>1486.8+(346-377.6)+(1.516536+(0.35292-0.385152))+60-138.4-0.141168000000022</f>
        <v>1378.1431359999997</v>
      </c>
      <c r="U130" s="3">
        <f>1483.5+(337-361.5)+(0.756585+(0.17187-0.184365))+60-132.2-0.0674219999999866</f>
        <v>1387.4766679999998</v>
      </c>
      <c r="V130" s="3">
        <f>1487.3+(302.1-328.9)+(0+(0-0))+60-134.2-0</f>
        <v>1386.3</v>
      </c>
      <c r="W130" s="3">
        <f>1483.5+(304.8-372.7)+(-0.756585+(-0.155448--0.190077))+10-136.6--0.0696659999999861</f>
        <v>1288.34771</v>
      </c>
      <c r="X130" s="3">
        <f>1476.2+(496.9-634.3)+(-1.505724+(-0.506838--0.646986))+0-137.7--0.140454000000022</f>
        <v>1199.8748780000003</v>
      </c>
      <c r="Y130" s="3">
        <f>1485.8+(455.3-631.6)+(-0.757758+(-0.232203--0.322116))+0-133.5--0.0680849999999865</f>
        <v>1175.4002399999999</v>
      </c>
      <c r="Z130" s="3">
        <f>1515.4+(264.6-314.6)+(-0.772854+(-0.134946--0.160446))+0-137.5--0.070124999999986</f>
        <v>1327.222771</v>
      </c>
      <c r="AA130" s="3">
        <f>1532.9+(271.5-316.3)+(-2.345337+(-0.415395--0.483939))+0-138.2--0.211446000000008</f>
        <v>1347.8346530000001</v>
      </c>
      <c r="AB130" s="3">
        <f>1529.2+(280.1-346.7)+(-0.779892+(-0.142851--0.176817))+0-135.2--0.0689519999999863</f>
        <v>1326.7230260000001</v>
      </c>
      <c r="AC130" s="3">
        <f>1530.7+(309.4-410)+(0+(0-0))+0-141-0</f>
        <v>1289.0999999999999</v>
      </c>
      <c r="AD130">
        <f t="shared" si="2"/>
        <v>30351.411029999999</v>
      </c>
      <c r="AE130" s="3">
        <f>1518+(276-338)+(0+(0-0))+0-138-0</f>
        <v>1318</v>
      </c>
    </row>
    <row r="131" spans="1:31" s="2" customFormat="1" x14ac:dyDescent="0.25">
      <c r="A131">
        <v>89</v>
      </c>
      <c r="B131">
        <v>5</v>
      </c>
      <c r="C131">
        <v>7</v>
      </c>
      <c r="D131">
        <v>6</v>
      </c>
      <c r="E131">
        <v>1</v>
      </c>
      <c r="F131" s="3">
        <f>1528.4+(297.4-444.7)+(-0.779484+(-0.151674--0.226797))+0-140.1--0.0714509999999858</f>
        <v>1240.3670900000002</v>
      </c>
      <c r="G131" s="3">
        <f>1539.4+(257.5-459.3)+(-3.140376+(-0.5253--0.936972))+0-136.8--0.279071999999994</f>
        <v>1198.3503680000001</v>
      </c>
      <c r="H131" s="3">
        <f>1554.7+(219.3-464.3)+(-1.585794+(-0.223686--0.473586))+0-133.1--0.135762000000021</f>
        <v>1175.3998680000002</v>
      </c>
      <c r="I131" s="3">
        <f>1557+(214.6-481.3)+(0+(0-0))+0-135-0</f>
        <v>1155.3</v>
      </c>
      <c r="J131" s="3">
        <f>1562.1+(213.1-500.1)+(0+(0-0))+0-134-0</f>
        <v>1141.0999999999999</v>
      </c>
      <c r="K131" s="3">
        <f>1567.5+(200.6-509.5)+(-1.59885+(-0.204612--0.51969))+0-133.5--0.136170000000021</f>
        <v>1123.9523979999999</v>
      </c>
      <c r="L131" s="3">
        <f>1562.6+(196-537.2)+(-4.781556+(-0.59976--1.643832))+0-133.1--0.407286000000015</f>
        <v>1084.9698020000001</v>
      </c>
      <c r="M131" s="3">
        <f>1556.4+(200.9-512.5)+(0.793764+(0.102459-0.261375))+0-139.8-0.0712979999999858</f>
        <v>1105.5635500000001</v>
      </c>
      <c r="N131" s="3">
        <f>1545.2+(259.2-515.8)+(2.364156+(0.396576-0.789174))+0-143.1-0.218943000000008</f>
        <v>1147.2526150000001</v>
      </c>
      <c r="O131" s="3">
        <f>1529.7+(322.2-510.2)+(0.780147+(0.164322-0.260202))+0-149.9-0.0764489999999848</f>
        <v>1192.4078180000001</v>
      </c>
      <c r="P131" s="3">
        <f>1509.8+(292.3-399.1)+(-0.769998+(-0.149073--0.203541))+0-149.8--0.0763979999999848</f>
        <v>1252.560868</v>
      </c>
      <c r="Q131" s="3">
        <f>1496.8+(252.9-294.8)+(0.763368+(0.128979-0.150348))+0-146.1-0.0745109999999852</f>
        <v>1309.467488</v>
      </c>
      <c r="R131" s="3">
        <f>1488.7+(301.4-324.4)+(0+(0-0))+0-138.4-0</f>
        <v>1327.3</v>
      </c>
      <c r="S131" s="3">
        <f>1483.7+(345.9-368.7)+(-0.756687+(-0.176409--0.188037))+0-136.1--0.0694109999999862</f>
        <v>1324.124352</v>
      </c>
      <c r="T131" s="3">
        <f>1478.7+(375.6-386.9)+(0+(0-0))+0-140.4-0</f>
        <v>1327</v>
      </c>
      <c r="U131" s="3">
        <f>1472.1+(377.2-390.3)+(-0.750771+(-0.192372--0.199053))+0-137.4--0.0700739999999861</f>
        <v>1320.925984</v>
      </c>
      <c r="V131" s="3">
        <f>1460.3+(344.9-352.2)+(-2.234259+(-0.527697--0.538866))+0-140.5--0.214965000000008</f>
        <v>1310.4918750000002</v>
      </c>
      <c r="W131" s="3">
        <f>1454.5+(252.7-329.3)+(-1.48359+(-0.257754--0.335886))+0-143.1--0.145962000000023</f>
        <v>1233.5405040000003</v>
      </c>
      <c r="X131" s="3">
        <f>1475.2+(402.8-589.3)+(-3.76176+(-1.02714--1.502715))+0-141.6--0.361079999999979</f>
        <v>1144.1748950000001</v>
      </c>
      <c r="Y131" s="3">
        <f>1485.6+(355.3-562.3)+(-2.272968+(-0.543609--0.860319))+0-138.9--0.212517000000008</f>
        <v>1137.9562589999998</v>
      </c>
      <c r="Z131" s="3">
        <f>1515.8+(233.5-306)+(0+(0-0))+0-145.6-0</f>
        <v>1297.7</v>
      </c>
      <c r="AA131" s="3">
        <f>1527.8+(259.2-334.2)+(-1.558356+(-0.264384--0.340884))+0-146.5--0.149430000000023</f>
        <v>1304.9675739999998</v>
      </c>
      <c r="AB131" s="3">
        <f>1535.1+(285.5-382.4)+(0+(0-0))+0-145.7-0</f>
        <v>1292.4999999999998</v>
      </c>
      <c r="AC131" s="3">
        <f>1534.9+(297-415.6)+(-2.348397+(-0.45441--0.635868))+0-145.3--0.222309000000008</f>
        <v>1269.0553700000003</v>
      </c>
      <c r="AD131">
        <f t="shared" si="2"/>
        <v>29416.428678</v>
      </c>
      <c r="AE131" s="3">
        <f>1516+(246.3-325.8)+(0+(0-0))+0-143.8-0</f>
        <v>1292.7</v>
      </c>
    </row>
    <row r="132" spans="1:31" s="2" customFormat="1" x14ac:dyDescent="0.25">
      <c r="A132">
        <v>89</v>
      </c>
      <c r="B132">
        <v>5</v>
      </c>
      <c r="C132">
        <v>8</v>
      </c>
      <c r="D132">
        <v>7</v>
      </c>
      <c r="E132">
        <v>1</v>
      </c>
      <c r="F132" s="3">
        <f>1515+(304.7-435.3)+(-3.86325+(-0.776985--1.110015))+0-144.7--0.368984999999979</f>
        <v>1236.538765</v>
      </c>
      <c r="G132" s="3">
        <f>1509.4+(249.2-435.8)+(0.769794+(0.127092-0.222258))+0-129.2-0.0658919999999869</f>
        <v>1194.208736</v>
      </c>
      <c r="H132" s="3">
        <f>1461.3+(212.5-398.6)+(0+(0-0))+0-123.3-0</f>
        <v>1151.8999999999999</v>
      </c>
      <c r="I132" s="3">
        <f>1334.9+(236.5-321.7)+(-3.403995+(-0.603075--0.820335))+0-124.9--0.318494999999982</f>
        <v>1121.9317599999999</v>
      </c>
      <c r="J132" s="3">
        <f>1321+(230-302)+(-2.02113+(-0.3519--0.46206))+0-140.1--0.214353000000008</f>
        <v>1107.2033830000003</v>
      </c>
      <c r="K132" s="3">
        <f>1315+(221-309.5)+(-4.69455+(-0.78897--1.104915))+0-140.3--0.500871000000002</f>
        <v>1082.3222659999999</v>
      </c>
      <c r="L132" s="3">
        <f>1318.1+(266.8-413.3)+(-2.688924+(-0.544272--0.843132))+0-134.5--0.274379999999994</f>
        <v>1034.984316</v>
      </c>
      <c r="M132" s="3">
        <f>1340.9+(304.5-467.3)+(0.683859+(0.155295-0.238323))+0-140.3-0.0715529999999858</f>
        <v>1038.3292780000002</v>
      </c>
      <c r="N132" s="3">
        <f>1336.1+(327.6-455.6)+(0+(0-0))+0-147.2-0</f>
        <v>1060.8999999999999</v>
      </c>
      <c r="O132" s="3">
        <f>1338.9+(361.9-444.6)+(0+(0-0))+0-150.5-0</f>
        <v>1105.7</v>
      </c>
      <c r="P132" s="3">
        <f>1328.9+(361.3-377.4)+(0.677739+(0.184263-0.192474))+0-149.9-0.0764489999999848</f>
        <v>1163.4930790000001</v>
      </c>
      <c r="Q132" s="3">
        <f>1334+(290.9-271.1)+(0.68034+(0.148359-0.138261))+0-143.1-0.0729809999999855</f>
        <v>1211.3174570000001</v>
      </c>
      <c r="R132" s="3">
        <f>1407.3+(289.5-319.1)+(0+(0-0))+0-139.7-0</f>
        <v>1237.9999999999998</v>
      </c>
      <c r="S132" s="3">
        <f>1432.2+(299.4-357.7)+(-1.460844+(-0.305388--0.364854))+0-133.7--0.136374000000021</f>
        <v>1238.934996</v>
      </c>
      <c r="T132" s="3">
        <f>1426.3+(313.7-372.1)+(0.727413+(0.159987-0.189771))+0-128.6-0.0655859999999869</f>
        <v>1239.932043</v>
      </c>
      <c r="U132" s="3">
        <f>1381.5+(326.1-352.5)+(-2.113695+(-0.498933--0.539325))+0-123.4--0.188802000000007</f>
        <v>1229.8154989999998</v>
      </c>
      <c r="V132" s="3">
        <f>1389.6+(299.4-330.6)+(-0.708696+(-0.152694--0.168606))+0-128.4--0.065483999999987</f>
        <v>1229.3726999999997</v>
      </c>
      <c r="W132" s="3">
        <f>1398.7+(401.3-491)+(-0.713337+(-0.204663--0.25041))+65.9-131.5--0.0670649999999867</f>
        <v>1242.799475</v>
      </c>
      <c r="X132" s="3">
        <f>1464.7+(541.9-759.8)+(-3.734985+(-1.381845--1.93749))+0-131.9--0.336344999999981</f>
        <v>1112.0570050000001</v>
      </c>
      <c r="Y132" s="3">
        <f>1486.9+(461.5-717.4)+(-1.516638+(-0.47073--0.731748))+0-126.8--0.12933600000002</f>
        <v>1103.0737160000001</v>
      </c>
      <c r="Z132" s="3">
        <f>1503.1+(397.3-506.4)+(-2.299743+(-0.607869--0.774792))+38.5-138.1--0.211293000000008</f>
        <v>1292.4784730000001</v>
      </c>
      <c r="AA132" s="3">
        <f>1516.4+(295.4-390.5)+(-4.640184+(-0.903924--1.19493))+0-147.6--0.451656000000017</f>
        <v>1269.8024780000003</v>
      </c>
      <c r="AB132" s="3">
        <f>1505.8+(264.1-358.2)+(-1.535916+(-0.269382--0.365364))+0-147--0.149940000000023</f>
        <v>1263.4100060000001</v>
      </c>
      <c r="AC132" s="3">
        <f>1515+(234.2-367.6)+(-0.77265+(-0.119442--0.187476))+0-138.5--0.0706349999999859</f>
        <v>1242.466019</v>
      </c>
      <c r="AD132">
        <f t="shared" si="2"/>
        <v>28210.971449999997</v>
      </c>
      <c r="AE132" s="3">
        <f>1517+(258.3-334.8)+(0+(0-0))+0-136.4-0</f>
        <v>1304.0999999999999</v>
      </c>
    </row>
    <row r="133" spans="1:31" s="2" customFormat="1" x14ac:dyDescent="0.25">
      <c r="A133">
        <v>89</v>
      </c>
      <c r="B133">
        <v>5</v>
      </c>
      <c r="C133">
        <v>9</v>
      </c>
      <c r="D133">
        <v>1</v>
      </c>
      <c r="E133">
        <v>1</v>
      </c>
      <c r="F133" s="3">
        <f>1521.3+(220.3-413.1)+(-3.103452+(-0.449412--0.842724))+0-127.5--0.260099999999994</f>
        <v>1198.5499600000001</v>
      </c>
      <c r="G133" s="3">
        <f>1550.3+(231-493.3)+(-4.743918+(-0.70686--1.509498))+0-128.3--0.392598000000015</f>
        <v>1156.1513179999999</v>
      </c>
      <c r="H133" s="3">
        <f>1563.5+(257-545.2)+(-3.18954+(-0.52428--1.112208))+0-134.8--0.274991999999994</f>
        <v>1138.17338</v>
      </c>
      <c r="I133" s="3">
        <f>1578.1+(267.2-585.9)+(-1.609662+(-0.272544--0.597618))+0-141.7--0.144534000000023</f>
        <v>1116.5599459999999</v>
      </c>
      <c r="J133" s="3">
        <f>1568.1+(280.1-608.6)+(1.599462+(0.285702-0.620772))+0-138.2-0.140964000000022</f>
        <v>1102.523428</v>
      </c>
      <c r="K133" s="3">
        <f>1546.4+(304-637.7)+(0.788664+(0.15504-0.325227))+0-133.5-0.0680849999999865</f>
        <v>1079.7503920000001</v>
      </c>
      <c r="L133" s="3">
        <f>1547.4+(380.2-760.1)+(0+(0-0))+0-128.9-0</f>
        <v>1038.5999999999999</v>
      </c>
      <c r="M133" s="3">
        <f>1558+(438.3-792.5)+(0+(0-0))+0-133-0</f>
        <v>1070.8</v>
      </c>
      <c r="N133" s="3">
        <f>1540+(502.4-801.3)+(-1.5708+(-0.512448--0.817326))+0-131.1--0.133722000000021</f>
        <v>1108.8678</v>
      </c>
      <c r="O133" s="3">
        <f>1532.4+(495.5-745.8)+(-1.563048+(-0.50541--0.760716))+0-125.6--0.12811200000002</f>
        <v>1155.3203700000004</v>
      </c>
      <c r="P133" s="3">
        <f>1531.5+(449.5-654.1)+(2.343195+(0.687735-1.000773))+0-121-0.185130000000007</f>
        <v>1207.7450269999999</v>
      </c>
      <c r="Q133" s="3">
        <f>1540.1+(373.2-530.2)+(1.570902+(0.380664-0.540804))+0-129.4-0.131988000000021</f>
        <v>1254.9787739999997</v>
      </c>
      <c r="R133" s="3">
        <f>1539.4+(271.5-393.4)+(0+(0-0))+0-125.9-0</f>
        <v>1291.5999999999999</v>
      </c>
      <c r="S133" s="3">
        <f>1534.5+(297.4-383.9)+(-2.347785+(-0.455022--0.587367))+0-131.5--0.201195000000008</f>
        <v>1314.4857550000002</v>
      </c>
      <c r="T133" s="3">
        <f>1525.1+(319.6-393.5)+(-0.777801+(-0.162996--0.200685))+0-140.1--0.0714509999999858</f>
        <v>1310.431339</v>
      </c>
      <c r="U133" s="3">
        <f>1515.8+(318.4-387.1)+(-0.773058+(-0.162384--0.197421))+0-139.3--0.0710429999999859</f>
        <v>1307.133022</v>
      </c>
      <c r="V133" s="3">
        <f>1514.4+(301-368.6)+(-0.772344+(-0.15351--0.187986))+0-141.7--0.0722669999999856</f>
        <v>1304.4343990000002</v>
      </c>
      <c r="W133" s="3">
        <f>1511.9+(319.8-442.9)+(-1.542138+(-0.326196--0.451758))+0-140.9--0.143718000000022</f>
        <v>1246.627142</v>
      </c>
      <c r="X133" s="3">
        <f>1510.8+(517.6-711.1)+(-3.082032+(-1.055904--1.450644))+0-143.8--0.293351999999994</f>
        <v>1171.1060599999998</v>
      </c>
      <c r="Y133" s="3">
        <f>1501.9+(506.4-715.8)+(0+(0-0))+0-142.8-0</f>
        <v>1149.7</v>
      </c>
      <c r="Z133" s="3">
        <f>1512.3+(324.6-402.1)+(-0.771273+(-0.165546--0.205071))+0-149.6--0.0762959999999848</f>
        <v>1284.5445480000001</v>
      </c>
      <c r="AA133" s="3">
        <f>1522.5+(276.8-349.8)+(-2.329425+(-0.423504--0.535194))+0-147.6--0.225828000000009</f>
        <v>1299.9080930000002</v>
      </c>
      <c r="AB133" s="3">
        <f>1533.7+(268.3-369.9)+(-1.564374+(-0.273666--0.377298))+0-144.7--0.147594000000023</f>
        <v>1286.0868520000001</v>
      </c>
      <c r="AC133" s="3">
        <f>1542.1+(275-414)+(-1.572942+(-0.2805--0.42228))+0-146--0.148920000000023</f>
        <v>1255.8177579999999</v>
      </c>
      <c r="AD133">
        <f t="shared" si="2"/>
        <v>28849.895363000003</v>
      </c>
      <c r="AE133" s="3">
        <f>1517+(272.3-343.5)+(0+(0-0))+0-144.6-0</f>
        <v>1301.2</v>
      </c>
    </row>
    <row r="134" spans="1:31" s="2" customFormat="1" x14ac:dyDescent="0.25">
      <c r="A134">
        <v>89</v>
      </c>
      <c r="B134">
        <v>5</v>
      </c>
      <c r="C134">
        <v>10</v>
      </c>
      <c r="D134">
        <v>2</v>
      </c>
      <c r="E134">
        <v>1</v>
      </c>
      <c r="F134" s="3">
        <f>1559.8+(242.5-446.1)+(-3.181992+(-0.4947--0.910044))+0-147.1--0.300083999999994</f>
        <v>1206.6334359999998</v>
      </c>
      <c r="G134" s="3">
        <f>1574.6+(198.6-473.4)+(-4.01523+(-0.50643--1.20717))+0-143.6--0.366179999999979</f>
        <v>1153.2516900000001</v>
      </c>
      <c r="H134" s="3">
        <f>1577.7+(199.4-513.3)+(0.804627+(0.101694-0.261783))+0-140.9-0.0718589999999857</f>
        <v>1123.4726790000002</v>
      </c>
      <c r="I134" s="3">
        <f>1589.5+(211.2-559.3)+(-2.431935+(-0.323136--0.855729))+0-137.5--0.210375000000008</f>
        <v>1102.2110330000003</v>
      </c>
      <c r="J134" s="3">
        <f>1597.5+(221.1-588.3)+(-1.62945+(-0.225522--0.600066))+0-138.9--0.141678000000022</f>
        <v>1090.2867720000002</v>
      </c>
      <c r="K134" s="3">
        <f>1605.2+(284.7-679.6)+(-0.818652+(-0.145197--0.346596))+0-139.2--0.0709919999999859</f>
        <v>1070.553739</v>
      </c>
      <c r="L134" s="3">
        <f>1614.4+(336.9-782.9)+(-1.646688+(-0.343638--0.798558))+0-137.7--0.140454000000022</f>
        <v>1029.6486860000002</v>
      </c>
      <c r="M134" s="3">
        <f>1613.4+(390.9-805.8)+(0+(0-0))+0-137.6-0</f>
        <v>1060.9000000000001</v>
      </c>
      <c r="N134" s="3">
        <f>1601.8+(438.2-774.3)+(-1.633836+(-0.446964--0.789786))+0-136.2--0.138924000000022</f>
        <v>1128.3479100000002</v>
      </c>
      <c r="O134" s="3">
        <f>1583.2+(445.8-711.7)+(-1.614864+(-0.454716--0.725934))+0-139.2--0.141984000000022</f>
        <v>1176.898338</v>
      </c>
      <c r="P134" s="3">
        <f>1567.5+(421.9-620.3)+(-0.799425+(-0.215169--0.316353))+0-136.8--0.0697679999999861</f>
        <v>1231.671527</v>
      </c>
      <c r="Q134" s="3">
        <f>1553.2+(376.9-510.3)+(-1.584264+(-0.384438--0.520506))+0-141.5--0.144330000000023</f>
        <v>1276.996134</v>
      </c>
      <c r="R134" s="3">
        <f>1550+(292.3-385)+(-0.7905+(-0.149073--0.19635))+0-140.8--0.0718079999999857</f>
        <v>1315.828585</v>
      </c>
      <c r="S134" s="3">
        <f>1535.6+(350-407.3)+(-1.566312+(-0.357--0.415446))+0-136.5--0.139230000000022</f>
        <v>1340.431364</v>
      </c>
      <c r="T134" s="3">
        <f>1527.3+(359.4-418)+(-1.557846+(-0.366588--0.42636))+0-134.2--0.136884000000021</f>
        <v>1333.1388099999997</v>
      </c>
      <c r="U134" s="3">
        <f>1524+(369.4-439.2)+(-0.77724+(-0.188394--0.223992))+0-126.8--0.0646679999999871</f>
        <v>1326.7230260000001</v>
      </c>
      <c r="V134" s="3">
        <f>1521.9+(314.1-389)+(-2.328507+(-0.480573--0.59517))+0-134.5--0.205785000000008</f>
        <v>1310.4918750000002</v>
      </c>
      <c r="W134" s="3">
        <f>1519.2+(324.9-447)+(-3.099168+(-0.662796--0.91188))+0-148.9--0.303755999999994</f>
        <v>1245.6536719999999</v>
      </c>
      <c r="X134" s="3">
        <f>1501.9+(507.8-688)+(-4.595814+(-1.553868--2.10528))+0-148--0.452880000000017</f>
        <v>1170.1084780000001</v>
      </c>
      <c r="Y134" s="3">
        <f>1480.3+(513-705.3)+(-3.019812+(-1.04652--1.438812))+0-141.7--0.289067999999994</f>
        <v>1143.961548</v>
      </c>
      <c r="Z134" s="3">
        <f>1529.5+(291-415.6)+(0+(0-0))+0-147.2-0</f>
        <v>1257.7</v>
      </c>
      <c r="AA134" s="3">
        <f>1554.3+(298.6-413.2)+(-3.170772+(-0.609144--0.842928))+0-147.9--0.301715999999994</f>
        <v>1289.164728</v>
      </c>
      <c r="AB134" s="3">
        <f>1508.8+(333.9-427.8)+(-2.308464+(-0.510867--0.654534))+0-142.2--0.217566000000008</f>
        <v>1270.7527689999999</v>
      </c>
      <c r="AC134" s="3">
        <f>1506.4+(345.4-458.8)+(-2.304792+(-0.528462--0.701964))+0-147.5--0.225675000000009</f>
        <v>1243.5943849999999</v>
      </c>
      <c r="AD134">
        <f t="shared" si="2"/>
        <v>28898.421184000003</v>
      </c>
      <c r="AE134" s="3">
        <f>1542+(302.2-372.9)+(0+(0-0))+0-137.8-0</f>
        <v>1333.5</v>
      </c>
    </row>
    <row r="135" spans="1:31" s="2" customFormat="1" x14ac:dyDescent="0.25">
      <c r="A135">
        <v>89</v>
      </c>
      <c r="B135">
        <v>5</v>
      </c>
      <c r="C135">
        <v>11</v>
      </c>
      <c r="D135">
        <v>3</v>
      </c>
      <c r="E135">
        <v>1</v>
      </c>
      <c r="F135" s="3">
        <f>1511.3+(284.4-439.8)+(-3.853815+(-0.72522--1.12149))+0-149.3--0.380714999999978</f>
        <v>1203.5231699999999</v>
      </c>
      <c r="G135" s="3">
        <f>1343.2+(260.2-310.2)+(-2.740128+(-0.530808--0.632808))+0-144.2--0.294167999999994</f>
        <v>1146.6560399999998</v>
      </c>
      <c r="H135" s="3">
        <f>1284.8+(220.3-268.4)+(-1.965744+(-0.337059--0.410652))+0-141.8--0.216954000000008</f>
        <v>1093.2248030000001</v>
      </c>
      <c r="I135" s="3">
        <f>1328.6+(214.8-318.4)+(-2.032758+(-0.328644--0.487152))+0-142.4--0.217872000000008</f>
        <v>1080.9436219999998</v>
      </c>
      <c r="J135" s="3">
        <f>1361.9+(224.8-368.3)+(2.083707+(0.343944-0.563499))+0-143-0.218790000000008</f>
        <v>1077.0453620000003</v>
      </c>
      <c r="K135" s="3">
        <f>1401.1+(256.2-468.5)+(-2.143683+(-0.391986--0.716805))+0-142.6--0.218178000000008</f>
        <v>1044.599314</v>
      </c>
      <c r="L135" s="3">
        <f>1418.7+(298-576.8)+(-3.617685+(-0.7599--1.47084))+0-139.7--0.35623499999998</f>
        <v>997.64949000000001</v>
      </c>
      <c r="M135" s="3">
        <f>1550.3+(294.1-671.9)+(0+(0-0))+0-143.6-0</f>
        <v>1028.9000000000001</v>
      </c>
      <c r="N135" s="3">
        <f>1560.5+(349.1-694.5)+(0.795855+(0.178041-0.354195))+0-135.7-0.0692069999999862</f>
        <v>1079.9504939999999</v>
      </c>
      <c r="O135" s="3">
        <f>1548.8+(379.8-675.2)+(-1.579776+(-0.387396--0.688704))+0-126.8--0.12933600000002</f>
        <v>1125.4508679999999</v>
      </c>
      <c r="P135" s="3">
        <f>1540.4+(373.9-622.6)+(0+(0-0))+0-121.8-0</f>
        <v>1169.9000000000001</v>
      </c>
      <c r="Q135" s="3">
        <f>1520.7+(374.9-546.7)+(0+(0-0))+0-119.2-0</f>
        <v>1229.7</v>
      </c>
      <c r="R135" s="3">
        <f>1534.4+(268.9-425.8)+(-0.782544+(-0.137139--0.217158))+0-118.7--0.060536999999988</f>
        <v>1258.1580120000001</v>
      </c>
      <c r="S135" s="3">
        <f>1516.6+(237.2-364.7)+(0+(0-0))+0-123.1-0</f>
        <v>1266</v>
      </c>
      <c r="T135" s="3">
        <f>1508.5+(263.6-366.4)+(-1.53867+(-0.268872--0.373728))+0-127.3--0.12984600000002</f>
        <v>1277.0960320000002</v>
      </c>
      <c r="U135" s="3">
        <f>1500.3+(251.5-349)+(-0.765153+(-0.128265--0.17799))+0-125.4--0.0639539999999873</f>
        <v>1276.7485259999999</v>
      </c>
      <c r="V135" s="3">
        <f>1494.6+(230.9-345.9)+(-1.524492+(-0.235518--0.352818))+0-124.5--0.12699000000002</f>
        <v>1253.819798</v>
      </c>
      <c r="W135" s="3">
        <f>1485.9+(324.6-493.4)+(-5.304663+(-1.158822--1.761438))+0-125.5--0.448035000000002</f>
        <v>1187.345988</v>
      </c>
      <c r="X135" s="3">
        <f>1489.6+(437-674.4)+(-3.79848+(-1.11435--1.71972))+0-129.4--0.329969999999981</f>
        <v>1119.9368599999998</v>
      </c>
      <c r="Y135" s="3">
        <f>1505.1+(393.1-640)+(-1.535202+(-0.400962--0.6528))+0-135.5--0.138210000000022</f>
        <v>1121.554846</v>
      </c>
      <c r="Z135" s="3">
        <f>1502.2+(324.3-437.5)+(-1.532244+(-0.330786--0.44625))+0-137.7--0.140454000000022</f>
        <v>1250.023674</v>
      </c>
      <c r="AA135" s="3">
        <f>1510.9+(274.1-372.9)+(-3.082236+(-0.559164--0.760716))+0-139--0.283559999999994</f>
        <v>1270.5028760000002</v>
      </c>
      <c r="AB135" s="3">
        <f>1524.6+(345.1-465.8)+(-3.110184+(-0.704004--0.950232))+0-137.7--0.280907999999994</f>
        <v>1263.6169519999999</v>
      </c>
      <c r="AC135" s="3">
        <f>1521.6+(344.5-485.7)+(0+(0-0))+0-141.9-0</f>
        <v>1238.4999999999998</v>
      </c>
      <c r="AD135">
        <f t="shared" si="2"/>
        <v>28060.846727000004</v>
      </c>
      <c r="AE135" s="3">
        <f>1505+(273-378.6)+(0+(0-0))+0-140-0</f>
        <v>1259.4000000000001</v>
      </c>
    </row>
    <row r="136" spans="1:31" s="2" customFormat="1" x14ac:dyDescent="0.25">
      <c r="A136">
        <v>89</v>
      </c>
      <c r="B136">
        <v>5</v>
      </c>
      <c r="C136">
        <v>12</v>
      </c>
      <c r="D136">
        <v>4</v>
      </c>
      <c r="E136">
        <v>1</v>
      </c>
      <c r="F136" s="3">
        <f>1519.6+(307.7-492.3)+(-0.774996+(-0.156927--0.251073))+0-144.9--0.0738989999999853</f>
        <v>1189.4930489999999</v>
      </c>
      <c r="G136" s="3">
        <f>1531.7+(247.4-480.2)+(-1.562334+(-0.252348--0.489804))+0-142.9--0.145758000000023</f>
        <v>1154.8208800000002</v>
      </c>
      <c r="H136" s="3">
        <f>1530.1+(236.6-509.8)+(0.780351+(0.120666-0.259998))+0-142.3-0.0725729999999856</f>
        <v>1115.1684459999999</v>
      </c>
      <c r="I136" s="3">
        <f>1538.6+(242.4-545.1)+(0+(0-0))+0-137.6-0</f>
        <v>1098.3</v>
      </c>
      <c r="J136" s="3">
        <f>1540.4+(236.2-562.7)+(-0.785604+(-0.120462--0.286977))+0-133.3--0.0679829999999865</f>
        <v>1080.048894</v>
      </c>
      <c r="K136" s="3">
        <f>1545.9+(244.5-606.1)+(1.576818+(0.24939-0.618222))+0-137.3-0.140046000000022</f>
        <v>1048.0679400000001</v>
      </c>
      <c r="L136" s="3">
        <f>1561.2+(299.7-736)+(-2.388636+(-0.458541--1.12608))+0-136.7--0.209151000000008</f>
        <v>986.68805399999997</v>
      </c>
      <c r="M136" s="3">
        <f>1560.7+(348.1-746.4)+(-0.795957+(-0.177531--0.380664))+0-141.1--0.0719609999999857</f>
        <v>1020.779137</v>
      </c>
      <c r="N136" s="3">
        <f>1550.7+(381.8-697)+(0+(0-0))+0-133.8-0</f>
        <v>1101.7</v>
      </c>
      <c r="O136" s="3">
        <f>1534+(383.7-626.5)+(0.78234+(0.195687-0.319515))+0-129-0.0657899999999869</f>
        <v>1162.7927220000001</v>
      </c>
      <c r="P136" s="3">
        <f>1524.8+(400.5-578.9)+(-1.555296+(-0.40851--0.590478))+0-128.1--0.13066200000002</f>
        <v>1217.0573340000003</v>
      </c>
      <c r="Q136" s="3">
        <f>1514.8+(408.6-518.7)+(-0.772548+(-0.208386--0.264537))+0-126.6--0.0645659999999871</f>
        <v>1277.448169</v>
      </c>
      <c r="R136" s="3">
        <f>1529.3+(300-401.2)+(0+(0-0))+0-122.6-0</f>
        <v>1305.5</v>
      </c>
      <c r="S136" s="3">
        <f>1508.9+(252.7-323.1)+(0+(0-0))+0-124.5-0</f>
        <v>1314</v>
      </c>
      <c r="T136" s="3">
        <f>1502.3+(264.5-324.5)+(0.766173+(0.134895-0.165495))+0-135.2-0.0689519999999863</f>
        <v>1307.7666209999998</v>
      </c>
      <c r="U136" s="3">
        <f>1494.6+(250.6-300.8)+(0.762246+(0.127806-0.153408))+0-136.1-0.0694109999999862</f>
        <v>1308.9672330000001</v>
      </c>
      <c r="V136" s="3">
        <f>1496.2+(245.8-306.9)+(0.763062+(0.125358-0.156519))+0-141.2-0.0720119999999857</f>
        <v>1294.5598890000001</v>
      </c>
      <c r="W136" s="3">
        <f>1475.2+(344-440.1)+(0+(0-0))+0-138.5-0</f>
        <v>1240.5999999999999</v>
      </c>
      <c r="X136" s="3">
        <f>1466.9+(504.4-671.1)+(-0.748119+(-0.257244--0.342261))+0-140--0.0713999999999858</f>
        <v>1159.6082980000001</v>
      </c>
      <c r="Y136" s="3">
        <f>1479.8+(437.4-636.2)+(2.264094+(0.669222-0.973386))+0-135.7-0.207621000000008</f>
        <v>1147.0523089999999</v>
      </c>
      <c r="Z136" s="3">
        <f>1530.2+(360-473.7)+(0.780402+(0.1836-0.241587))+0-138-0.070379999999986</f>
        <v>1279.1520350000001</v>
      </c>
      <c r="AA136" s="3">
        <f>1539.2+(297.6-400.9)+(-2.354976+(-0.455328--0.613377))+0-142.1--0.217413000000008</f>
        <v>1291.8204860000003</v>
      </c>
      <c r="AB136" s="3">
        <f>1508.9+(296.2-392)+(-1.539078+(-0.302124--0.39984))+0-140.8--0.143616000000022</f>
        <v>1271.0022540000002</v>
      </c>
      <c r="AC136" s="3">
        <f>1487.4+(242.3-341.5)+(-3.79287+(-0.617865--0.870825))+0-143.7--0.366434999999979</f>
        <v>1241.3265249999999</v>
      </c>
      <c r="AD136">
        <f t="shared" si="2"/>
        <v>28613.720274999996</v>
      </c>
      <c r="AE136" s="3">
        <f>1528+(299.7-401.7)+(0+(0-0))+0-139.2-0</f>
        <v>1286.8</v>
      </c>
    </row>
    <row r="137" spans="1:31" s="2" customFormat="1" x14ac:dyDescent="0.25">
      <c r="A137">
        <v>89</v>
      </c>
      <c r="B137">
        <v>5</v>
      </c>
      <c r="C137">
        <v>13</v>
      </c>
      <c r="D137">
        <v>5</v>
      </c>
      <c r="E137">
        <v>1</v>
      </c>
      <c r="F137" s="3">
        <f>1507.1+(214.8-373.9)+(-1.537242+(-0.219096--0.381378))+0-141.5--0.144330000000023</f>
        <v>1205.26937</v>
      </c>
      <c r="G137" s="3">
        <f>1507+(214.7-434.2)+(-1.53714+(-0.218994--0.442884))+0-139--0.141780000000022</f>
        <v>1147.32853</v>
      </c>
      <c r="H137" s="3">
        <f>1509.9+(232.1-491.9)+(-0.770049+(-0.118371--0.250869))+0-137.8--0.070277999999986</f>
        <v>1111.7327270000001</v>
      </c>
      <c r="I137" s="3">
        <f>1511.3+(271.7-552.7)+(-3.083052+(-0.554268--1.127508))+0-137.7--0.280907999999994</f>
        <v>1090.3710959999999</v>
      </c>
      <c r="J137" s="3">
        <f>1508.4+(298-589.5)+(-3.84642+(-0.7599--1.503225))+0-138.9--0.35419499999998</f>
        <v>1075.2511</v>
      </c>
      <c r="K137" s="3">
        <f>1511+(306.5-627)+(-3.08244+(-0.62526--1.27908))+0-137.7--0.280907999999994</f>
        <v>1050.652288</v>
      </c>
      <c r="L137" s="3">
        <f>1509.7+(346.6-632.9)+(-3.079788+(-0.707064--1.291116))+0-144.3--0.294371999999994</f>
        <v>1076.8986360000001</v>
      </c>
      <c r="M137" s="3">
        <f>1519.2+(419.8-702.5)+(1.549584+(0.428196-0.71655))+0-145-0.147900000000023</f>
        <v>1092.6133300000001</v>
      </c>
      <c r="N137" s="3">
        <f>1508.7+(458.3-721.1)+(-0.769437+(-0.233733--0.367761))+0-146.5--0.0747149999999851</f>
        <v>1098.8393060000001</v>
      </c>
      <c r="O137" s="3">
        <f>1517.6+(455.3-679.1)+(-0.773976+(-0.232203--0.346341))+0-147.4--0.075173999999985</f>
        <v>1145.8153359999999</v>
      </c>
      <c r="P137" s="3">
        <f>1523.1+(447-592)+(3.883905+(1.13985-1.5096))+0-145-0.369749999999979</f>
        <v>1236.2444049999999</v>
      </c>
      <c r="Q137" s="3">
        <f>1504.5+(432.6-526.2)+(0+(0-0))+0-145.4-0</f>
        <v>1265.5</v>
      </c>
      <c r="R137" s="3">
        <f>1495.1+(310.4-373.8)+(1.525002+(0.316608-0.381276))+0-144.8-0.147696000000023</f>
        <v>1288.212638</v>
      </c>
      <c r="S137" s="3">
        <f>1480.7+(263.8-299)+(-1.510314+(-0.269076--0.30498))+0-144.1--0.146982000000023</f>
        <v>1300.072572</v>
      </c>
      <c r="T137" s="3">
        <f>1482.4+(248.8-302.3)+(0+(0-0))+0-145.5-0</f>
        <v>1283.4000000000001</v>
      </c>
      <c r="U137" s="3">
        <f>1468.1+(252.1-275.9)+(0+(0-0))+0-141.1-0</f>
        <v>1303.2</v>
      </c>
      <c r="V137" s="3">
        <f>1461.9+(245.3-258.6)+(-0.745569+(-0.125103--0.131886))+0-144.6--0.0737459999999853</f>
        <v>1303.3349600000004</v>
      </c>
      <c r="W137" s="3">
        <f>1465.2+(327.2-401.4)+(-1.494504+(-0.333744--0.409428))+0-146--0.148920000000023</f>
        <v>1243.7301</v>
      </c>
      <c r="X137" s="3">
        <f>1461.2+(513.5-660)+(-2.980848+(-1.04754--1.3464))+0-146.2--0.298247999999994</f>
        <v>1166.11626</v>
      </c>
      <c r="Y137" s="3">
        <f>1458.4+(531.1-690)+(-0.743784+(-0.270861--0.3519))+0-140.2--0.0715019999999858</f>
        <v>1158.7087569999999</v>
      </c>
      <c r="Z137" s="3">
        <f>1511.1+(365.3-447.1)+(-2.311983+(-0.558909--0.684063))+0-145--0.221850000000008</f>
        <v>1282.3350209999999</v>
      </c>
      <c r="AA137" s="3">
        <f>1533.1+(290.3-399.2)+(-2.345643+(-0.444159--0.610776))+0-137.5--0.210375000000008</f>
        <v>1284.7313489999999</v>
      </c>
      <c r="AB137" s="3">
        <f>1542.3+(244.5-373.3)+(0.786573+(0.124695-0.190383))+0-138.8-0.0707879999999859</f>
        <v>1275.350097</v>
      </c>
      <c r="AC137" s="3">
        <f>1566.1+(214.5-391.6)+(-2.396133+(-0.328185--0.599148))+0-144.1--0.220473000000008</f>
        <v>1242.9953030000001</v>
      </c>
      <c r="AD137">
        <f t="shared" si="2"/>
        <v>28728.703181000001</v>
      </c>
      <c r="AE137" s="3">
        <f>1526+(306.9-407.7)+(0+(0-0))+0-139.8-0</f>
        <v>1285.4000000000001</v>
      </c>
    </row>
    <row r="138" spans="1:31" s="2" customFormat="1" x14ac:dyDescent="0.25">
      <c r="A138">
        <v>89</v>
      </c>
      <c r="B138">
        <v>5</v>
      </c>
      <c r="C138">
        <v>14</v>
      </c>
      <c r="D138">
        <v>6</v>
      </c>
      <c r="E138">
        <v>1</v>
      </c>
      <c r="F138" s="3">
        <f>1570.5+(208.1-445.8)+(-0.800955+(-0.106131--0.227358))+0-141.7--0.0722669999999856</f>
        <v>1190.4925389999999</v>
      </c>
      <c r="G138" s="3">
        <f>1566.4+(219.5-497.4)+(-0.798864+(-0.111945--0.253674))+0-140.9--0.0718589999999857</f>
        <v>1147.0147239999999</v>
      </c>
      <c r="H138" s="3">
        <f>1583.1+(221.1-555.4)+(-1.614762+(-0.225522--0.566508))+0-142.7--0.145554000000023</f>
        <v>1104.9717779999999</v>
      </c>
      <c r="I138" s="3">
        <f>1582.1+(241.3-597.1)+(-1.613742+(-0.246126--0.609042))+0-143.2--0.146064000000023</f>
        <v>1081.995238</v>
      </c>
      <c r="J138" s="3">
        <f>1580.8+(227.1-592.2)+(-3.224832+(-0.463284--1.208088))+0-143.9--0.293555999999994</f>
        <v>1069.6135279999999</v>
      </c>
      <c r="K138" s="3">
        <f>1582.5+(255.3-641.4)+(-4.035375+(-0.651015--1.63557))+0-144.4--0.368219999999979</f>
        <v>1049.3174000000001</v>
      </c>
      <c r="L138" s="3">
        <f>1593.1+(367.5-800.8)+(-2.437443+(-0.562275--1.225224))+0-140.1--0.214353000000008</f>
        <v>1018.1398589999999</v>
      </c>
      <c r="M138" s="3">
        <f>1581.2+(363.2-750.4)+(-0.806412+(-0.185232--0.382704))+0-144.9--0.0738989999999853</f>
        <v>1048.5649589999998</v>
      </c>
      <c r="N138" s="3">
        <f>1606.5+(385.5-712.6)+(0.819315+(0.196605-0.363426))+0-149.8-0.0763979999999848</f>
        <v>1130.1760960000001</v>
      </c>
      <c r="O138" s="3">
        <f>1559.6+(419.2-704.2)+(-0.795396+(-0.213792--0.359142))+0-150.2--0.0766019999999848</f>
        <v>1123.826556</v>
      </c>
      <c r="P138" s="3">
        <f>1545+(483.2-678.1)+(0.78795+(0.246432-0.345831))+0-152.3-0.0776729999999846</f>
        <v>1198.4108779999999</v>
      </c>
      <c r="Q138" s="3">
        <f>1532.4+(458.2-583.4)+(-0.781524+(-0.233682--0.297534))+0-147.1--0.0750209999999851</f>
        <v>1259.457349</v>
      </c>
      <c r="R138" s="3">
        <f>1521.5+(319.1-412.6)+(0+(0-0))+0-145-0</f>
        <v>1283</v>
      </c>
      <c r="S138" s="3">
        <f>1507.8+(225.8-315.3)+(-2.306934+(-0.345474--0.482409))+0-144.7--0.221391000000008</f>
        <v>1271.651392</v>
      </c>
      <c r="T138" s="3">
        <f>1489.6+(228-293.6)+(0+(0-0))+0-144.6-0</f>
        <v>1279.4000000000001</v>
      </c>
      <c r="U138" s="3">
        <f>1482.7+(248.4-293.9)+(-3.780885+(-0.63342--0.749445))+0-141.4--0.36056999999998</f>
        <v>1292.4957099999999</v>
      </c>
      <c r="V138" s="3">
        <f>1473.5+(240-281.7)+(0.751485+(0.1224-0.143667))+0-145-0.0739499999999853</f>
        <v>1287.4562679999999</v>
      </c>
      <c r="W138" s="3">
        <f>1474.7+(343.4-455.9)+(-2.256291+(-0.525402--0.697527))+0-144.9--0.221697000000008</f>
        <v>1215.4375309999998</v>
      </c>
      <c r="X138" s="3">
        <f>1479.6+(511.8-701.5)+(-3.018384+(-1.044072--1.43106))+0-145.6--0.297023999999994</f>
        <v>1141.9656279999999</v>
      </c>
      <c r="Y138" s="3">
        <f>1480.7+(473.4-681.4)+(-0.755157+(-0.241434--0.347514))+0-141.8--0.0723179999999856</f>
        <v>1130.3232410000001</v>
      </c>
      <c r="Z138" s="3">
        <f>1509.4+(321.6-428.6)+(-2.309382+(-0.492048--0.655758))+0-148.9--0.227817000000009</f>
        <v>1251.5821449999999</v>
      </c>
      <c r="AA138" s="3">
        <f>1525.3+(277.9-394.6)+(-2.333709+(-0.425187--0.603738))+0-148.2--0.226746000000009</f>
        <v>1258.4715879999999</v>
      </c>
      <c r="AB138" s="3">
        <f>1502.7+(254.1-369)+(-3.065508+(-0.518364--0.75276))+0-141.9--0.289475999999994</f>
        <v>1243.3583639999997</v>
      </c>
      <c r="AC138" s="3">
        <f>1510.3+(219.5-354.9)+(-0.770253+(-0.111945--0.180999))+0-143.8--0.0733379999999854</f>
        <v>1230.472139</v>
      </c>
      <c r="AD138">
        <f t="shared" si="2"/>
        <v>28307.594910000003</v>
      </c>
      <c r="AE138" s="3">
        <f>1532+(293.9-398.2)+(0+(0-0))+0-152.2-0</f>
        <v>1275.5</v>
      </c>
    </row>
    <row r="139" spans="1:31" s="2" customFormat="1" x14ac:dyDescent="0.25">
      <c r="A139">
        <v>89</v>
      </c>
      <c r="B139">
        <v>5</v>
      </c>
      <c r="C139">
        <v>15</v>
      </c>
      <c r="D139">
        <v>7</v>
      </c>
      <c r="E139">
        <v>1</v>
      </c>
      <c r="F139" s="3">
        <f>1481.2+(219.7-364.6)+(-2.266236+(-0.336141--0.557838))+0-144.5--0.221085000000008</f>
        <v>1189.9765459999999</v>
      </c>
      <c r="G139" s="3">
        <f>1478+(247.5-429.6)+(-2.26134+(-0.378675--0.657288))+0-142.7--0.218331000000008</f>
        <v>1151.435604</v>
      </c>
      <c r="H139" s="3">
        <f>1487.9+(262.4-498)+(0+(0-0))+0-140.3-0</f>
        <v>1112.0000000000002</v>
      </c>
      <c r="I139" s="3">
        <f>1488.2+(230.2-492.5)+(-2.276946+(-0.352206--0.753525))+0-140.9--0.215577000000008</f>
        <v>1083.33995</v>
      </c>
      <c r="J139" s="3">
        <f>1495.4+(232.9-522.1)+(-0.762654+(-0.118779--0.266271))+0-143.1--0.0729809999999855</f>
        <v>1062.5578190000001</v>
      </c>
      <c r="K139" s="3">
        <f>1499+(240.7-556.1)+(-3.82245+(-0.613785--1.418055))+0-143.2--0.365159999999979</f>
        <v>1037.7469799999999</v>
      </c>
      <c r="L139" s="3">
        <f>1500.4+(326.5-694.5)+(-3.82602+(-0.832575--1.770975))+0-140.3--0.35776499999998</f>
        <v>989.57014500000014</v>
      </c>
      <c r="M139" s="3">
        <f>1512.8+(378.7-748.6)+(0+(0-0))+0-144.2-0</f>
        <v>998.69999999999982</v>
      </c>
      <c r="N139" s="3">
        <f>1504.3+(357-665.6)+(-3.068772+(-0.72828--1.357824))+0-149.3--0.304571999999994</f>
        <v>1044.2653439999999</v>
      </c>
      <c r="O139" s="3">
        <f>1511.4+(338.5-605.9)+(1.541628+(0.34527-0.618018))+0-150-0.153000000000024</f>
        <v>1095.1158800000001</v>
      </c>
      <c r="P139" s="3">
        <f>1501.8+(361.8-562.7)+(0+(0-0))+0-146.3-0</f>
        <v>1154.5999999999999</v>
      </c>
      <c r="Q139" s="3">
        <f>1495.2+(311.4-456.6)+(-0.762552+(-0.158814--0.232866))+0-145--0.0739499999999853</f>
        <v>1204.38545</v>
      </c>
      <c r="R139" s="3">
        <f>1480+(248-354.6)+(-2.2644+(-0.37944--0.542538))+0-141.8--0.216954000000008</f>
        <v>1229.7156520000001</v>
      </c>
      <c r="S139" s="3">
        <f>1452.5+(230.3-308.5)+(-0.740775+(-0.117453--0.157335))+0-141.1--0.0719609999999857</f>
        <v>1232.571068</v>
      </c>
      <c r="T139" s="3">
        <f>1432.6+(250.2-302.5)+(-2.191878+(-0.382806--0.462825))+0-141.8--0.216954000000008</f>
        <v>1236.6050949999999</v>
      </c>
      <c r="U139" s="3">
        <f>1436+(240.5-310.5)+(-0.73236+(-0.122655--0.158355))+0-139--0.0708899999999859</f>
        <v>1226.3742299999999</v>
      </c>
      <c r="V139" s="3">
        <f>1417.6+(211-308.5)+(-3.61488+(-0.53805--0.786675))+32-143.4--0.365669999999979</f>
        <v>1205.6994149999998</v>
      </c>
      <c r="W139" s="3">
        <f>1404.9+(292.5-438.3)+(-3.582495+(-0.745875--1.117665))+0-141.8--0.361589999999979</f>
        <v>1114.4508850000002</v>
      </c>
      <c r="X139" s="3">
        <f>1409.1+(452.7-604.5)+(-2.155923+(-0.692631--0.924885))+0-142.8--0.218484000000008</f>
        <v>1112.794815</v>
      </c>
      <c r="Y139" s="3">
        <f>1417.8+(362.1-510.3)+(0+(0-0))+0-138.1-0</f>
        <v>1131.5</v>
      </c>
      <c r="Z139" s="3">
        <f>1443.4+(284.9-313.1)+(0.736134+(0.145299-0.159681))+0-141-0.0719099999999857</f>
        <v>1274.8498420000001</v>
      </c>
      <c r="AA139" s="3">
        <f>1485.9+(305.9-354.6)+(-0.757809+(-0.156009--0.180846))+0-140.2--0.0715019999999858</f>
        <v>1296.33853</v>
      </c>
      <c r="AB139" s="3">
        <f>1491.3+(268.1-335.5)+(0+(0-0))+0-132.6-0</f>
        <v>1291.3000000000002</v>
      </c>
      <c r="AC139" s="3">
        <f>1477.8+(250-322)+(-2.261034+(-0.3825--0.49266))+0-134.9--0.206397000000008</f>
        <v>1268.9555229999999</v>
      </c>
      <c r="AD139">
        <f t="shared" si="2"/>
        <v>27744.848773000002</v>
      </c>
      <c r="AE139" s="3">
        <f>1469+(278.6-340.3)+(0+(0-0))+0-139.8-0</f>
        <v>1267.5</v>
      </c>
    </row>
    <row r="140" spans="1:31" s="2" customFormat="1" x14ac:dyDescent="0.25">
      <c r="A140">
        <v>89</v>
      </c>
      <c r="B140">
        <v>5</v>
      </c>
      <c r="C140">
        <v>16</v>
      </c>
      <c r="D140">
        <v>1</v>
      </c>
      <c r="E140">
        <v>1</v>
      </c>
      <c r="F140" s="3">
        <f>1471.2+(238.4-355.2)+(-0.750312+(-0.121584--0.181152))+0-131.1--0.0668609999999867</f>
        <v>1222.6761170000002</v>
      </c>
      <c r="G140" s="3">
        <f>1470.4+(234.9-398.4)+(-0.749904+(-0.119799--0.203184))+0-128.2--0.065381999999987</f>
        <v>1178.0988629999999</v>
      </c>
      <c r="H140" s="3">
        <f>1470.4+(233.9-437.6)+(-0.749904+(-0.119289--0.223176))+0-125.7--0.0641069999999872</f>
        <v>1140.4180899999999</v>
      </c>
      <c r="I140" s="3">
        <f>1477.9+(237.6-468.9)+(-1.507458+(-0.242352--0.478278))+0-129.7--0.132294000000021</f>
        <v>1115.7607620000001</v>
      </c>
      <c r="J140" s="3">
        <f>1482.3+(251.4-492)+(-2.267919+(-0.384642--0.75276))+0-131--0.200430000000008</f>
        <v>1109.0006290000001</v>
      </c>
      <c r="K140" s="3">
        <f>1487.4+(324.3-571.1)+(-2.275722+(-0.496179--0.873783))+0-129.6--0.198288000000007</f>
        <v>1109.3001700000002</v>
      </c>
      <c r="L140" s="3">
        <f>1506.1+(398.2-724)+(-3.840555+(-1.01541--1.8462))+0-127.5--0.325124999999982</f>
        <v>1050.11536</v>
      </c>
      <c r="M140" s="3">
        <f>1515.3+(450.2-752)+(0+(0-0))+0-130.2-0</f>
        <v>1083.3</v>
      </c>
      <c r="N140" s="3">
        <f>1509.8+(488.6-749.6)+(-0.769998+(-0.249186--0.382296))+0-129.8--0.0661979999999868</f>
        <v>1118.42931</v>
      </c>
      <c r="O140" s="3">
        <f>1508.7+(517-701.3)+(0+(0-0))+0-130.3-0</f>
        <v>1194.1000000000001</v>
      </c>
      <c r="P140" s="3">
        <f>1504.5+(474.1-601.7)+(0.767295+(0.241791-0.306867))+0-127.7-0.065126999999987</f>
        <v>1249.837092</v>
      </c>
      <c r="Q140" s="3">
        <f>1494.9+(382.6-461.1)+(-0.762399+(-0.195126--0.235161))+0-126.1--0.0643109999999872</f>
        <v>1289.6419470000003</v>
      </c>
      <c r="R140" s="3">
        <f>1513.5+(259.3-331.9)+(0.771885+(0.132243-0.169269))+0-123.2-0.0628319999999875</f>
        <v>1318.3720269999999</v>
      </c>
      <c r="S140" s="3">
        <f>1511.8+(259-322.6)+(-2.313054+(-0.39627--0.493578))+0-124.9--0.191097000000007</f>
        <v>1321.2753509999995</v>
      </c>
      <c r="T140" s="3">
        <f>1506.9+(266.2-333.8)+(0+(0-0))+0-130.7-0</f>
        <v>1308.6000000000001</v>
      </c>
      <c r="U140" s="3">
        <f>1466.8+(297.4-311.6)+(0+(0-0))+0-124.7-0</f>
        <v>1327.8999999999999</v>
      </c>
      <c r="V140" s="3">
        <f>1316.7+(301.7-171.4)+(-2.686068+(-0.615468--0.349656))+0-133.2--0.271727999999994</f>
        <v>1311.1198479999998</v>
      </c>
      <c r="W140" s="3">
        <f>1314+(321.3-229.5)+(-1.34028+(-0.327726--0.23409))+0-135.6--0.138312000000022</f>
        <v>1268.9043960000001</v>
      </c>
      <c r="X140" s="3">
        <f>1302.7+(516.9-495.7)+(-1.993131+(-0.790857--0.758421))+0-134.9--0.206397000000008</f>
        <v>1187.18083</v>
      </c>
      <c r="Y140" s="3">
        <f>1376.4+(477.7-535.4)+(0+(0-0))+0-132.2-0</f>
        <v>1186.5</v>
      </c>
      <c r="Z140" s="3">
        <f>1451.3+(299.3-305.2)+(0+(0-0))+0-134.3-0</f>
        <v>1311.1000000000001</v>
      </c>
      <c r="AA140" s="3">
        <f>1524.8+(238.1-307.2)+(0+(0-0))+0-134.8-0</f>
        <v>1320.9</v>
      </c>
      <c r="AB140" s="3">
        <f>1534.5+(230.6-321.5)+(1.56519+(0.235212-0.32793))+0-133.5-0.136170000000021</f>
        <v>1311.4363019999998</v>
      </c>
      <c r="AC140" s="3">
        <f>1549+(241.9-377.3)+(-0.78999+(-0.123369--0.192423))+0-136.2--0.0694619999999862</f>
        <v>1276.7485259999999</v>
      </c>
      <c r="AD140">
        <f t="shared" si="2"/>
        <v>29310.715619999999</v>
      </c>
      <c r="AE140" s="3">
        <f>1520+(238.5-306.8)+(0+(0-0))+0-149.6-0</f>
        <v>1302.1000000000001</v>
      </c>
    </row>
    <row r="141" spans="1:31" s="2" customFormat="1" x14ac:dyDescent="0.25">
      <c r="A141">
        <v>89</v>
      </c>
      <c r="B141">
        <v>5</v>
      </c>
      <c r="C141">
        <v>17</v>
      </c>
      <c r="D141">
        <v>2</v>
      </c>
      <c r="E141">
        <v>1</v>
      </c>
      <c r="F141" s="3">
        <f>1539.3+(272-455.8)+(-3.140172+(-0.55488--0.929832))+0-136.6--0.278663999999994</f>
        <v>1216.413444</v>
      </c>
      <c r="G141" s="3">
        <f>1522.6+(211.5-431.5)+(-0.776526+(-0.107865--0.220065))+0-132.6--0.0676259999999865</f>
        <v>1169.4032999999999</v>
      </c>
      <c r="H141" s="3">
        <f>1532.4+(210.2-478.1)+(0+(0-0))+0-128.5-0</f>
        <v>1136</v>
      </c>
      <c r="I141" s="3">
        <f>1531.5+(222.6-508.3)+(-2.343195+(-0.340578--0.777699))+0-130.5--0.199665000000008</f>
        <v>1113.5935910000001</v>
      </c>
      <c r="J141" s="3">
        <f>1534.2+(226.8-534.3)+(-1.564884+(-0.231336--0.544986))+0-132.2--0.134844000000021</f>
        <v>1093.3836099999999</v>
      </c>
      <c r="K141" s="3">
        <f>1540.3+(250.6-593.2)+(-1.571106+(-0.255612--0.605064))+0-132.2--0.134844000000021</f>
        <v>1064.4131899999998</v>
      </c>
      <c r="L141" s="3">
        <f>1547.4+(347.3-736.5)+(-3.156696+(-0.708492--1.50246))+0-131.6--0.268463999999994</f>
        <v>1024.5057360000001</v>
      </c>
      <c r="M141" s="3">
        <f>1558+(396.1-762.5)+(0+(0-0))+0-136.5-0</f>
        <v>1055.0999999999999</v>
      </c>
      <c r="N141" s="3">
        <f>1558.4+(435.2-753.9)+(-0.794784+(-0.221952--0.384489))+0-135.9--0.0693089999999862</f>
        <v>1103.2370619999999</v>
      </c>
      <c r="O141" s="3">
        <f>1543.6+(458.5-703.6)+(-2.361708+(-0.701505--1.076508))+0-137.8--0.210834000000008</f>
        <v>1158.924129</v>
      </c>
      <c r="P141" s="3">
        <f>1532.5+(401.7-580.8)+(0+(0-0))+0-136.4-0</f>
        <v>1217</v>
      </c>
      <c r="Q141" s="3">
        <f>1471.8+(367.2-429.2)+(0+(0-0))+0-133.5-0</f>
        <v>1276.3</v>
      </c>
      <c r="R141" s="3">
        <f>1519.8+(268.2-341.6)+(0.775098+(0.136782-0.174216))+0-134-0.0683399999999864</f>
        <v>1313.0693239999998</v>
      </c>
      <c r="S141" s="3">
        <f>1540.2+(243.2-332.5)+(-0.785502+(-0.124032--0.169575))+0-134.1--0.0683909999999864</f>
        <v>1316.1284320000002</v>
      </c>
      <c r="T141" s="3">
        <f>1524.1+(269.2-337.2)+(0.777291+(0.137292-0.171972))+0-137.3-0.0700229999999861</f>
        <v>1319.4725879999999</v>
      </c>
      <c r="U141" s="3">
        <f>1517.5+(264.1-335.2)+(-0.773925+(-0.134691--0.170952))+0-134.9--0.0687989999999863</f>
        <v>1310.8311349999999</v>
      </c>
      <c r="V141" s="3">
        <f>1518.6+(250.9-321.6)+(-0.774486+(-0.127959--0.164016))+0-138.5--0.0706349999999859</f>
        <v>1308.7322059999999</v>
      </c>
      <c r="W141" s="3">
        <f>1501.3+(323.9-429.5)+(-2.296989+(-0.495567--0.657135))+0-140--0.214200000000008</f>
        <v>1253.778779</v>
      </c>
      <c r="X141" s="3">
        <f>1504.2+(499.4-682.7)+(-3.83571+(-1.27347--1.740885))+0-137.8--0.35138999999998</f>
        <v>1180.0830950000002</v>
      </c>
      <c r="Y141" s="3">
        <f>1504.5+(487.1-682.9)+(-1.53459+(-0.496842--0.696558))+0-133.8--0.136476000000021</f>
        <v>1173.7016020000003</v>
      </c>
      <c r="Z141" s="3">
        <f>1527.1+(315-405.6)+(-0.778821+(-0.16065--0.206856))+0-134.3--0.0684929999999864</f>
        <v>1301.5358780000001</v>
      </c>
      <c r="AA141" s="3">
        <f>1540.5+(248.8-351.5)+(-2.356965+(-0.380664--0.537795))+0-134.1--0.205173000000008</f>
        <v>1301.7053390000001</v>
      </c>
      <c r="AB141" s="3">
        <f>1545.9+(233.2-358)+(0+(0-0))+0-131.8-0</f>
        <v>1289.3000000000002</v>
      </c>
      <c r="AC141" s="3">
        <f>1525.8+(239.1-366.1)+(-1.556316+(-0.243882--0.373422))+0-134.4--0.137088000000021</f>
        <v>1263.1103119999998</v>
      </c>
      <c r="AD141">
        <f t="shared" si="2"/>
        <v>28959.722751999998</v>
      </c>
      <c r="AE141" s="3">
        <f>1538+(260-338.5)+(0+(0-0))+0-133.5-0</f>
        <v>1326</v>
      </c>
    </row>
    <row r="142" spans="1:31" s="2" customFormat="1" x14ac:dyDescent="0.25">
      <c r="A142">
        <v>89</v>
      </c>
      <c r="B142">
        <v>5</v>
      </c>
      <c r="C142">
        <v>18</v>
      </c>
      <c r="D142">
        <v>3</v>
      </c>
      <c r="E142">
        <v>1</v>
      </c>
      <c r="F142" s="3">
        <f>1513.9+(214.6-373.7)+(-3.860445+(-0.54723--0.952935))+0-136.9--0.34909499999998</f>
        <v>1214.7943550000002</v>
      </c>
      <c r="G142" s="3">
        <f>1522.3+(208.6-426)+(-1.552746+(-0.212772--0.43452))+0-136.5--0.139230000000022</f>
        <v>1167.208232</v>
      </c>
      <c r="H142" s="3">
        <f>1528.8+(199-454.4)+(-0.779688+(-0.10149--0.231744))+0-134.8--0.0687479999999863</f>
        <v>1138.0193140000001</v>
      </c>
      <c r="I142" s="3">
        <f>1537.8+(205.4-507)+(0.784278+(0.104754-0.25857))+0-125.7-0.0641069999999872</f>
        <v>1111.0663549999999</v>
      </c>
      <c r="J142" s="3">
        <f>1548.4+(215.2-529.1)+(2.369052+(0.329256-0.809523))+0-131.3-0.200889000000008</f>
        <v>1104.8878960000002</v>
      </c>
      <c r="K142" s="3">
        <f>1546+(225.4-563.6)+(-0.78846+(-0.114954--0.287436))+0-127.4--0.0649739999999871</f>
        <v>1079.8489959999997</v>
      </c>
      <c r="L142" s="3">
        <f>1540.8+(274.6-661.2)+(-2.357424+(-0.420138--1.011636))+0-125.3--0.191709000000007</f>
        <v>1027.3257829999998</v>
      </c>
      <c r="M142" s="3">
        <f>1541.2+(326.2-692.4)+(0+(0-0))+0-129.5-0</f>
        <v>1045.5</v>
      </c>
      <c r="N142" s="3">
        <f>1536.1+(427.8-723.6)+(1.566822+(0.436356-0.738072))+0-124.3-0.12678600000002</f>
        <v>1117.13832</v>
      </c>
      <c r="O142" s="3">
        <f>1527.4+(487-718.8)+(-1.557948+(-0.49674--0.733176))+0-119.5--0.121890000000019</f>
        <v>1174.9003780000003</v>
      </c>
      <c r="P142" s="3">
        <f>1531.5+(465.8-639.8)+(2.343195+(0.712674-0.978894))+0-119.1-0.182223000000007</f>
        <v>1240.294752</v>
      </c>
      <c r="Q142" s="3">
        <f>1528.1+(376.2-484.6)+(0.779331+(0.191862-0.247146))+0-119-0.0606899999999879</f>
        <v>1301.3633569999997</v>
      </c>
      <c r="R142" s="3">
        <f>1506.8+(289.4-355.6)+(-1.536936+(-0.295188--0.362712))+0-116.8--0.119136000000019</f>
        <v>1322.4497240000001</v>
      </c>
      <c r="S142" s="3">
        <f>1466.4+(267.6-292.7)+(0.747864+(0.136476-0.149277))+0-116-0.0591599999999882</f>
        <v>1325.9759030000002</v>
      </c>
      <c r="T142" s="3">
        <f>1371.2+(300.7-242)+(0+(0-0))+0-118.1-0</f>
        <v>1311.8000000000002</v>
      </c>
      <c r="U142" s="3">
        <f>1363.9+(293.5-241.3)+(0+(0-0))+0-112.7-0</f>
        <v>1303.4000000000001</v>
      </c>
      <c r="V142" s="3">
        <f>1348.8+(288.9-215.5)+(-0.687888+(-0.147339--0.109905))+0-116.9--0.0596189999999881</f>
        <v>1304.6342969999996</v>
      </c>
      <c r="W142" s="3">
        <f>1339.8+(345.6-304.6)+(-1.366596+(-0.352512--0.310692))+0-120.7--0.123114000000019</f>
        <v>1258.8146979999999</v>
      </c>
      <c r="X142" s="3">
        <f>1416.5+(524.3-632.7)+(-3.612075+(-1.336965--1.613385))+0-120.3--0.306764999999983</f>
        <v>1184.7711099999999</v>
      </c>
      <c r="Y142" s="3">
        <f>1490.9+(488.6-684.4)+(-1.520718+(-0.498372--0.698088))+0-114.5--0.116790000000018</f>
        <v>1179.3957880000003</v>
      </c>
      <c r="Z142" s="3">
        <f>1522.3+(329.3-411.4)+(-0.776373+(-0.167943--0.209814))+0-118.7--0.060536999999988</f>
        <v>1320.826035</v>
      </c>
      <c r="AA142" s="3">
        <f>1529.2+(261.1-346)+(-3.119568+(-0.532644--0.70584))+0-119.9--0.244595999999995</f>
        <v>1321.698224</v>
      </c>
      <c r="AB142" s="3">
        <f>1534.6+(251.6-356.6)+(-1.565292+(-0.256632--0.363732))+0-119.7--0.122094000000019</f>
        <v>1308.5639019999999</v>
      </c>
      <c r="AC142" s="3">
        <f>1518.1+(238.4-354.1)+(-1.548462+(-0.243168--0.361182))+0-128.5--0.13107000000002</f>
        <v>1272.6006219999997</v>
      </c>
      <c r="AD142">
        <f t="shared" si="2"/>
        <v>29137.278041000005</v>
      </c>
      <c r="AE142" s="3">
        <f>1522+(266.7-345.9)+(0+(0-0))+0-116-0</f>
        <v>1326.8</v>
      </c>
    </row>
    <row r="143" spans="1:31" s="2" customFormat="1" x14ac:dyDescent="0.25">
      <c r="A143">
        <v>89</v>
      </c>
      <c r="B143">
        <v>5</v>
      </c>
      <c r="C143">
        <v>19</v>
      </c>
      <c r="D143">
        <v>4</v>
      </c>
      <c r="E143">
        <v>1</v>
      </c>
      <c r="F143" s="3">
        <f>1515.2+(218.7-368.2)+(-1.545504+(-0.223074--0.375564))+0-130.1--0.132702000000021</f>
        <v>1234.3396880000003</v>
      </c>
      <c r="G143" s="3">
        <f>1507.3+(213.7-398.1)+(-1.537446+(-0.217974--0.406062))+0-131--0.133620000000021</f>
        <v>1190.684262</v>
      </c>
      <c r="H143" s="3">
        <f>1506.8+(219.8-451.2)+(-3.073872+(-0.448392--0.920448))+0-127.5--0.260099999999994</f>
        <v>1145.558284</v>
      </c>
      <c r="I143" s="3">
        <f>1512.3+(214.8-473.5)+(0.771273+(0.109548-0.241485))+0-128.6-0.0655859999999869</f>
        <v>1125.57375</v>
      </c>
      <c r="J143" s="3">
        <f>1515+(225.5-500.6)+(3.0906+(0.46002-1.021224))+0-130.8-0.266831999999994</f>
        <v>1111.362564</v>
      </c>
      <c r="K143" s="3">
        <f>1516.5+(232.1-524.4)+(1.54683+(0.236742-0.534888))+0-131.3-0.133926000000021</f>
        <v>1094.014758</v>
      </c>
      <c r="L143" s="3">
        <f>1507.7+(247.9-589.5)+(-1.537854+(-0.252858--0.60129))+0-126.7--0.12923400000002</f>
        <v>1038.3398119999999</v>
      </c>
      <c r="M143" s="3">
        <f>1518.5+(310.3-641.5)+(1.54887+(0.316506-0.65433))+0-133.9-0.136578000000021</f>
        <v>1054.4744679999997</v>
      </c>
      <c r="N143" s="3">
        <f>1525.4+(311-589)+(2.333862+(0.47583-0.90117))+0-143-0.218790000000008</f>
        <v>1106.0897320000001</v>
      </c>
      <c r="O143" s="3">
        <f>1526.3+(339.2-574.3)+(3.113652+(0.691968-1.171572))+0-130.5-0.266219999999994</f>
        <v>1163.067828</v>
      </c>
      <c r="P143" s="3">
        <f>1512.4+(409.9-565.7)+(1.542648+(0.418098-0.577014))+0-127.8-0.13035600000002</f>
        <v>1230.0533759999998</v>
      </c>
      <c r="Q143" s="3">
        <f>1500.1+(404-493.1)+(0+(0-0))+0-132.4-0</f>
        <v>1278.5999999999999</v>
      </c>
      <c r="R143" s="3">
        <f>1492.2+(315.8-381.7)+(0.761022+(0.161058-0.194667))+0-130.5-0.0665549999999868</f>
        <v>1296.4608580000004</v>
      </c>
      <c r="S143" s="3">
        <f>1481.5+(264.7-319.8)+(0+(0-0))+0-133.4-0</f>
        <v>1293</v>
      </c>
      <c r="T143" s="3">
        <f>1479.2+(262.5-314.4)+(0+(0-0))+0-134.2-0</f>
        <v>1293.1000000000001</v>
      </c>
      <c r="U143" s="3">
        <f>1469.4+(261.3-296.3)+(0.749394+(0.133263-0.151113))+0-132.5-0.0675749999999866</f>
        <v>1302.563969</v>
      </c>
      <c r="V143" s="3">
        <f>1468.8+(258.3-293.1)+(1.498176+(0.263466-0.298962))+0-135.3-0.138006000000022</f>
        <v>1300.024674</v>
      </c>
      <c r="W143" s="3">
        <f>1457.7+(353.6-426.3)+(-2.973708+(-0.721344--0.869652))+0-129.9--0.264995999999994</f>
        <v>1252.5395959999998</v>
      </c>
      <c r="X143" s="3">
        <f>1453.1+(536.5-670.1)+(-3.705405+(-1.368075--1.708755))+0-129.6--0.330479999999981</f>
        <v>1186.8657550000003</v>
      </c>
      <c r="Y143" s="3">
        <f>1477+(474.1-633.3)+(1.50654+(0.483582-0.645966))+0-128.9-0.131478000000021</f>
        <v>1190.1126780000002</v>
      </c>
      <c r="Z143" s="3">
        <f>1507.3+(330-388.6)+(0+(0-0))+0-139.6-0</f>
        <v>1309.0999999999999</v>
      </c>
      <c r="AA143" s="3">
        <f>1516.5+(264.5-328.9)+(-1.54683+(-0.26979--0.335478))+0-139.6--0.142392000000022</f>
        <v>1311.1612499999999</v>
      </c>
      <c r="AB143" s="3">
        <f>1526+(251.5-339.2)+(-0.77826+(-0.128265--0.172992))+0-135.9--0.0693089999999862</f>
        <v>1301.7357759999998</v>
      </c>
      <c r="AC143" s="3">
        <f>1551.3+(238.5-370.2)+(-3.164652+(-0.48654--0.755208))+0-136.3--0.278051999999994</f>
        <v>1280.6820679999998</v>
      </c>
      <c r="AD143">
        <f t="shared" si="2"/>
        <v>29089.505146</v>
      </c>
      <c r="AE143" s="3">
        <f>1505+(268.9-327.7)+(0+(0-0))+0-138.8-0</f>
        <v>1307.4000000000001</v>
      </c>
    </row>
    <row r="144" spans="1:31" s="2" customFormat="1" x14ac:dyDescent="0.25">
      <c r="A144">
        <v>89</v>
      </c>
      <c r="B144">
        <v>5</v>
      </c>
      <c r="C144">
        <v>20</v>
      </c>
      <c r="D144">
        <v>5</v>
      </c>
      <c r="E144">
        <v>1</v>
      </c>
      <c r="F144" s="3">
        <f>1563.7+(217.3-414.2)+(-3.189948+(-0.443292--0.844968))+0-136.5--0.278459999999994</f>
        <v>1227.7901880000002</v>
      </c>
      <c r="G144" s="3">
        <f>1550.2+(210.5-441.8)+(-2.371806+(-0.322065--0.675954))+0-135.7--0.207621000000008</f>
        <v>1181.3897040000002</v>
      </c>
      <c r="H144" s="3">
        <f>1543.6+(212-480.1)+(-3.148944+(-0.43248--0.979404))+0-131.8--0.268871999999994</f>
        <v>1141.3668520000001</v>
      </c>
      <c r="I144" s="3">
        <f>1562.2+(220.5-529.8)+(-3.98361+(-0.562275--1.35099))+0-132--0.336599999999981</f>
        <v>1118.0417050000001</v>
      </c>
      <c r="J144" s="3">
        <f>1576.5+(233.5-567.4)+(-4.82409+(-0.71451--1.736244))+0-133.9--0.409734000000015</f>
        <v>1105.307378</v>
      </c>
      <c r="K144" s="3">
        <f>1579.3+(287-649.4)+(-3.221772+(-0.58548--1.324776))+0-134--0.273359999999994</f>
        <v>1080.6908840000001</v>
      </c>
      <c r="L144" s="3">
        <f>1587.3+(356.3-775.7)+(-4.857138+(-1.090278--2.373642))+0-132.4--0.405144000000015</f>
        <v>1032.3313699999999</v>
      </c>
      <c r="M144" s="3">
        <f>1587.3+(423.3-825.2)+(-2.428569+(-0.647649--1.262556))+0-137.6--0.210528000000008</f>
        <v>1046.196866</v>
      </c>
      <c r="N144" s="3">
        <f>1508.5+(474.3-763.7)+(0+(0-0))+0-135.4-0</f>
        <v>1083.6999999999998</v>
      </c>
      <c r="O144" s="3">
        <f>1505.6+(501.7-716.6)+(-0.767856+(-0.255867--0.365466))+0-137.1--0.0699209999999861</f>
        <v>1153.0116639999999</v>
      </c>
      <c r="P144" s="3">
        <f>1528.8+(476.8-633.6)+(2.339064+(0.729504-0.969408))+0-137.9-0.210987000000008</f>
        <v>1235.988173</v>
      </c>
      <c r="Q144" s="3">
        <f>1492.1+(433.6-498.7)+(-0.760971+(-0.221136--0.254337))+0-134.8--0.0687479999999863</f>
        <v>1291.540978</v>
      </c>
      <c r="R144" s="3">
        <f>1491+(279.9-341.8)+(0.76041+(0.142749-0.174318))+0-132.4-0.0675239999999866</f>
        <v>1297.3613169999999</v>
      </c>
      <c r="S144" s="3">
        <f>1516.1+(257.1-335.9)+(0+(0-0))+0-132.2-0</f>
        <v>1305.0999999999999</v>
      </c>
      <c r="T144" s="3">
        <f>1487.1+(274.3-330.2)+(0.758421+(0.139893-0.168402))+0-133.9-0.0682889999999864</f>
        <v>1297.9616229999997</v>
      </c>
      <c r="U144" s="3">
        <f>1506.6+(274.3-319)+(0+(0-0))+0-131.2-0</f>
        <v>1330.6999999999998</v>
      </c>
      <c r="V144" s="3">
        <f>1491.5+(253.7-287.7)+(-3.04266+(-0.517548--0.586908))+0-135.4--0.276215999999994</f>
        <v>1319.4029159999998</v>
      </c>
      <c r="W144" s="3">
        <f>1485+(331.7-404.1)+(-3.0294+(-0.676668--0.824364))+0-140.1--0.285803999999994</f>
        <v>1269.9041000000002</v>
      </c>
      <c r="X144" s="3">
        <f>1467.9+(514.6-635.1)+(-4.491774+(-1.574676--1.943406))+0-139--0.425340000000016</f>
        <v>1204.7022960000002</v>
      </c>
      <c r="Y144" s="3">
        <f>1468.2+(488-606.4)+(0.748782+(0.24888-0.309264))+0-136.4-0.0695639999999862</f>
        <v>1214.0188340000002</v>
      </c>
      <c r="Z144" s="3">
        <f>1501.1+(319-338.4)+(1.531122+(0.32538-0.345168))+0-144.2-0.147084000000023</f>
        <v>1338.8642499999999</v>
      </c>
      <c r="AA144" s="3">
        <f>1518.6+(261.3-287.3)+(-2.323458+(-0.399789--0.439569))+0-150.8--0.230724000000009</f>
        <v>1339.747046</v>
      </c>
      <c r="AB144" s="3">
        <f>1522+(247-286.2)+(0+(0-0))+0-147.2-0</f>
        <v>1335.6</v>
      </c>
      <c r="AC144" s="3">
        <f>1504.1+(236.3-317.7)+(-2.301273+(-0.361539--0.486081))+0-139.7--0.213741000000008</f>
        <v>1281.0370099999998</v>
      </c>
      <c r="AD144">
        <f t="shared" si="2"/>
        <v>29231.755153999995</v>
      </c>
      <c r="AE144" s="3">
        <f>1525+(271.3-295)+(0+(0-0))+0-149-0</f>
        <v>1352.3</v>
      </c>
    </row>
    <row r="145" spans="1:31" s="2" customFormat="1" x14ac:dyDescent="0.25">
      <c r="A145">
        <v>89</v>
      </c>
      <c r="B145">
        <v>5</v>
      </c>
      <c r="C145">
        <v>21</v>
      </c>
      <c r="D145">
        <v>6</v>
      </c>
      <c r="E145">
        <v>8</v>
      </c>
      <c r="F145" s="3">
        <f>1525.2+(224.5-353.7)+(-3.111408+(-0.45798--0.721548))+0-137.5--0.280499999999994</f>
        <v>1255.9326600000002</v>
      </c>
      <c r="G145" s="3">
        <f>1537.3+(223.7-438.8)+(-3.136092+(-0.456348--0.895152))+0-136.8--0.279071999999994</f>
        <v>1182.9817839999998</v>
      </c>
      <c r="H145" s="3">
        <f>1549.3+(233-492)+(0+(0-0))+0-134-0</f>
        <v>1156.3</v>
      </c>
      <c r="I145" s="3">
        <f>1387.2+(256.4-372.2)+(1.414944+(0.261528-0.379644))+0-135-0.137700000000022</f>
        <v>1137.5591280000001</v>
      </c>
      <c r="J145" s="3">
        <f>1387.8+(267.7-382.4)+(-2.123334+(-0.409581--0.585072))+0-136.2--0.208386000000008</f>
        <v>1135.160543</v>
      </c>
      <c r="K145" s="3">
        <f>1400.6+(284.9-454.8)+(-3.57153+(-0.726495--1.15974))+0-136.1--0.34705499999998</f>
        <v>1091.8087699999999</v>
      </c>
      <c r="L145" s="3">
        <f>1405.7+(259.8-480.8)+(-5.735256+(-1.059984--1.961664))+0-134.5--0.548759999999988</f>
        <v>1045.915184</v>
      </c>
      <c r="M145" s="3">
        <f>1406.1+(318.5-523.9)+(1.434222+(0.32487-0.534378))+0-135.7-0.138414000000022</f>
        <v>1066.0862999999997</v>
      </c>
      <c r="N145" s="3">
        <f>1393.5+(379.6-508.3)+(1.42137+(0.387192-0.518466))+0-141.3-0.144126000000023</f>
        <v>1124.64597</v>
      </c>
      <c r="O145" s="3">
        <f>1377.6+(448.1-500.7)+(2.810304+(0.914124-1.021428))+0-139-0.283559999999994</f>
        <v>1188.4194399999999</v>
      </c>
      <c r="P145" s="3">
        <f>1365.4+(391.7-364.1)+(1.392708+(0.399534-0.371382))+0-140.7-0.143514000000022</f>
        <v>1253.5773459999998</v>
      </c>
      <c r="Q145" s="3">
        <f>1355.8+(328.5-215.7)+(0+(0-0))+0-147.7-0</f>
        <v>1320.8999999999999</v>
      </c>
      <c r="R145" s="3">
        <f>1340.1+(356.3-212.5)+(1.366902+(0.363426-0.21675))+0-141.3-0.144126000000023</f>
        <v>1343.969452</v>
      </c>
      <c r="S145" s="3">
        <f>1328+(290.1-178.8)+(0+(0-0))+0-139.6-0</f>
        <v>1299.7</v>
      </c>
      <c r="T145" s="3">
        <f>1317.5+(296.7-202)+(0+(0-0))+0-140.1-0</f>
        <v>1272.1000000000001</v>
      </c>
      <c r="U145" s="3">
        <f>1310.3+(296.3-198.4)+(-0.668253+(-0.151113--0.101184))+0-141.7--0.0722669999999856</f>
        <v>1265.8540849999999</v>
      </c>
      <c r="V145" s="3">
        <f>1316+(281.2-184.9)+(-0.67116+(-0.143412--0.094299))+0-145--0.0739499999999853</f>
        <v>1266.653677</v>
      </c>
      <c r="W145" s="3">
        <f>1307.2+(246.4-196.1)+(-2.000016+(-0.376992--0.300033))+0-141.6--0.216648000000008</f>
        <v>1214.0396730000002</v>
      </c>
      <c r="X145" s="3">
        <f>1312.1+(377.4-408.3)+(-2.676684+(-0.769896--0.832932))+0-137.5--0.280499999999994</f>
        <v>1141.3668519999999</v>
      </c>
      <c r="Y145" s="3">
        <f>1314.4+(322.2-353.7)+(0.670344+(0.164322-0.180387))+0-136.7-0.0697169999999861</f>
        <v>1146.7845620000001</v>
      </c>
      <c r="Z145" s="3">
        <f>1331.1+(231.5-169.2)+(1.357722+(0.23613-0.172584))+0-135-0.137700000000022</f>
        <v>1259.6835679999999</v>
      </c>
      <c r="AA145" s="3">
        <f>1347.1+(228.2-171.8)+(-0.687021+(-0.116382--0.087618))+0-141.4--0.0721139999999857</f>
        <v>1261.4563289999999</v>
      </c>
      <c r="AB145" s="3">
        <f>1352.1+(227.4-185.2)+(-0.689571+(-0.115974--0.094452))+0-141.3--0.0720629999999857</f>
        <v>1252.3609700000002</v>
      </c>
      <c r="AC145" s="3">
        <f>1364.1+(233-233.8)+(0.695691+(0.11883-0.119238))+0-142.8-0.0728279999999855</f>
        <v>1221.1224549999999</v>
      </c>
      <c r="AD145">
        <f t="shared" si="2"/>
        <v>28904.378747999996</v>
      </c>
      <c r="AE145" s="3">
        <f>1340+(228.7-166.5)+(0+(0-0))+0-142.1-0</f>
        <v>1260.1000000000001</v>
      </c>
    </row>
    <row r="146" spans="1:31" s="2" customFormat="1" x14ac:dyDescent="0.25">
      <c r="A146">
        <v>89</v>
      </c>
      <c r="B146">
        <v>5</v>
      </c>
      <c r="C146">
        <v>22</v>
      </c>
      <c r="D146">
        <v>7</v>
      </c>
      <c r="E146">
        <v>1</v>
      </c>
      <c r="F146" s="3">
        <f>1363.8+(230.3-273.1)+(0.695538+(0.117453-0.139281))+0-143-0.0729299999999855</f>
        <v>1178.60078</v>
      </c>
      <c r="G146" s="3">
        <f>1377+(218.4-318.7)+(-1.40454+(-0.222768--0.325074))+0-140.3--0.143106000000022</f>
        <v>1135.2408720000001</v>
      </c>
      <c r="H146" s="3">
        <f>1381.7+(185.8-316.1)+(-0.704667+(-0.094758--0.161211))+0-140.4--0.0716039999999858</f>
        <v>1110.4333899999999</v>
      </c>
      <c r="I146" s="3">
        <f>1384.5+(184.9-335.2)+(0+(0-0))+0-137.5-0</f>
        <v>1096.7</v>
      </c>
      <c r="J146" s="3">
        <f>1388.3+(188.6-326.8)+(-0.708033+(-0.096186--0.166668))+0-139.8--0.0712979999999858</f>
        <v>1109.733747</v>
      </c>
      <c r="K146" s="3">
        <f>1394.5+(158.7-334)+(-1.42239+(-0.161874--0.34068))+0-139.5--0.142290000000022</f>
        <v>1078.598706</v>
      </c>
      <c r="L146" s="3">
        <f>1400.5+(144-383.6)+(-2.85702+(-0.29376--0.782544))+0-139.1--0.283763999999994</f>
        <v>1019.7155280000001</v>
      </c>
      <c r="M146" s="3">
        <f>1394.2+(190.8-432.5)+(-0.711042+(-0.097308--0.220575))+0-144.2--0.0735419999999854</f>
        <v>1007.785767</v>
      </c>
      <c r="N146" s="3">
        <f>1368.2+(180.1-372.2)+(-2.093346+(-0.275553--0.569466))+0-149.8--0.229194000000009</f>
        <v>1024.7297610000003</v>
      </c>
      <c r="O146" s="3">
        <f>1367.4+(177.8-324.8)+(0.697374+(0.090678-0.165648))+0-150.3-0.0766529999999848</f>
        <v>1070.645751</v>
      </c>
      <c r="P146" s="3">
        <f>1347.7+(234.8-318.8)+(-1.374654+(-0.239496--0.325176))+0-152.7--0.155754000000024</f>
        <v>1109.8667800000001</v>
      </c>
      <c r="Q146" s="3">
        <f>1324.9+(241.8-254)+(0+(0-0))+0-151.5-0</f>
        <v>1161.2</v>
      </c>
      <c r="R146" s="3">
        <f>1323.9+(274.4-251.7)+(0.675189+(0.139944-0.128367))+0-151.7-0.0773669999999846</f>
        <v>1195.509399</v>
      </c>
      <c r="S146" s="3">
        <f>1319.5+(304.9-253.6)+(0+(0-0))+0-155.7-0</f>
        <v>1215.0999999999999</v>
      </c>
      <c r="T146" s="3">
        <f>1309.4+(312.3-268.4)+(0.667794+(0.159273-0.136884))+0-147.1-0.0750209999999851</f>
        <v>1206.8151620000003</v>
      </c>
      <c r="U146" s="3">
        <f>1297.2+(323.1-266.8)+(0+(0-0))+0-141.5-0</f>
        <v>1212</v>
      </c>
      <c r="V146" s="3">
        <f>1300.8+(285.3-236.3)+(-1.990224+(-0.436509--0.361539))+0-146.8--0.224604000000008</f>
        <v>1201.15941</v>
      </c>
      <c r="W146" s="3">
        <f>1328.3+(235.2-255.4)+(-2.032299+(-0.359856--0.390762))+0-152.4--0.233172000000009</f>
        <v>1153.9317789999998</v>
      </c>
      <c r="X146" s="3">
        <f>1359.3+(335.7-447.7)+(-2.772972+(-0.684828--0.913308))+0-157.9--0.322115999999993</f>
        <v>1087.1776239999999</v>
      </c>
      <c r="Y146" s="3">
        <f>1447.7+(258.6-417.2)+(-1.476654+(-0.263772--0.425544))+0-154.6--0.157692000000025</f>
        <v>1133.3428100000003</v>
      </c>
      <c r="Z146" s="3">
        <f>1471.6+(239.4-319.6)+(-0.750516+(-0.122094--0.162996))+0-150.1--0.0765509999999848</f>
        <v>1240.6669369999997</v>
      </c>
      <c r="AA146" s="3">
        <f>1472.9+(264.4-327.4)+(-3.755895+(-0.67422--0.83487))+0-157.9--0.402644999999977</f>
        <v>1248.8073999999999</v>
      </c>
      <c r="AB146" s="3">
        <f>1489.7+(267.9-374.7)+(-1.519494+(-0.273258--0.382194))+0-152.7--0.155754000000024</f>
        <v>1228.9451960000001</v>
      </c>
      <c r="AC146" s="3">
        <f>1504.8+(262.2-414.2)+(0.767448+(0.133722-0.211242))+0-152-0.0775199999999846</f>
        <v>1201.4124079999999</v>
      </c>
      <c r="AD146">
        <f t="shared" si="2"/>
        <v>27428.119207000003</v>
      </c>
      <c r="AE146" s="3">
        <f>1472+(243.8-306.7)+(0+(0-0))+0-149.3-0</f>
        <v>1259.8</v>
      </c>
    </row>
    <row r="147" spans="1:31" s="2" customFormat="1" x14ac:dyDescent="0.25">
      <c r="A147">
        <v>89</v>
      </c>
      <c r="B147">
        <v>5</v>
      </c>
      <c r="C147">
        <v>23</v>
      </c>
      <c r="D147">
        <v>1</v>
      </c>
      <c r="E147">
        <v>1</v>
      </c>
      <c r="F147" s="3">
        <f>1500.3+(272.3-409.3)+(-3.060612+(-0.555492--0.834972))+0-152.7--0.311507999999993</f>
        <v>1208.1303759999998</v>
      </c>
      <c r="G147" s="3">
        <f>1511.1+(221-408.3)+(0.770661+(0.11271-0.208233))+0-153.9-0.0784889999999844</f>
        <v>1170.4966489999999</v>
      </c>
      <c r="H147" s="3">
        <f>1523+(213-434.9)+(-1.55346+(-0.21726--0.443598))+0-152.4--0.155448000000024</f>
        <v>1147.5283259999999</v>
      </c>
      <c r="I147" s="3">
        <f>1523.2+(210-448.4)+(-3.107328+(-0.4284--0.914736))+0-151.5--0.309059999999993</f>
        <v>1130.9880680000003</v>
      </c>
      <c r="J147" s="3">
        <f>1528.8+(209.2-442.7)+(-0.779688+(-0.106692--0.225777))+0-155--0.0790499999999843</f>
        <v>1139.718447</v>
      </c>
      <c r="K147" s="3">
        <f>1526.7+(261.4-502.2)+(-1.557234+(-0.266628--0.512244))+0-154.5--0.157590000000025</f>
        <v>1130.2459720000002</v>
      </c>
      <c r="L147" s="3">
        <f>1523.9+(265.4-592.9)+(-1.554378+(-0.270708--0.604758))+0-152.4--0.155448000000024</f>
        <v>1042.9351199999999</v>
      </c>
      <c r="M147" s="3">
        <f>1535.5+(348.6-649.1)+(-0.783105+(-0.177786--0.331041))+0-157.4--0.080273999999984</f>
        <v>1077.0504239999998</v>
      </c>
      <c r="N147" s="3">
        <f>1535.8+(344.6-557.2)+(0.783258+(0.175746-0.284172))+0-160.5-0.0818549999999837</f>
        <v>1163.2929769999998</v>
      </c>
      <c r="O147" s="3">
        <f>1531.7+(312.1-506.2)+(-2.343501+(-0.477513--0.774486))+0-155.3--0.237609000000009</f>
        <v>1180.4910810000001</v>
      </c>
      <c r="P147" s="3">
        <f>1534.5+(309.9-452.2)+(0.782595+(0.158049-0.230622))+0-152.9-0.0779789999999845</f>
        <v>1239.932043</v>
      </c>
      <c r="Q147" s="3">
        <f>1531.9+(261.6-354.3)+(2.343807+(0.400248-0.542079))+0-148.6-0.227358000000009</f>
        <v>1292.5746180000001</v>
      </c>
      <c r="R147" s="3">
        <f>1529.3+(203.6-318.2)+(0.779943+(0.103836-0.162282))+0-143.2-0.0730319999999855</f>
        <v>1272.148465</v>
      </c>
      <c r="S147" s="3">
        <f>1519.4+(231.7-338)+(0.774894+(0.118167-0.17238))+0-146.2-0.0745619999999852</f>
        <v>1267.5461190000001</v>
      </c>
      <c r="T147" s="3">
        <f>1508.4+(261.1-351.3)+(0.769284+(0.133161-0.179163))+0-145.9-0.0744089999999852</f>
        <v>1272.9488729999998</v>
      </c>
      <c r="U147" s="3">
        <f>1505.2+(248.2-338.6)+(-0.767652+(-0.126582--0.172686))+0-145--0.0739499999999853</f>
        <v>1269.1524019999999</v>
      </c>
      <c r="V147" s="3">
        <f>1460.9+(247.5-303.4)+(0+(0-0))+0-145.1-0</f>
        <v>1259.9000000000001</v>
      </c>
      <c r="W147" s="3">
        <f>1423+(239.4-340.6)+(-3.62865+(-0.61047--0.86853))+0-149--0.379949999999978</f>
        <v>1169.80936</v>
      </c>
      <c r="X147" s="3">
        <f>1425.6+(350.9-523.8)+(-1.454112+(-0.357918--0.534276))+0-151.8--0.154836000000024</f>
        <v>1099.7770819999998</v>
      </c>
      <c r="Y147" s="3">
        <f>1454.3+(289-417.2)+(-1.483386+(-0.29478--0.425544))+0-152.1--0.155142000000024</f>
        <v>1172.80252</v>
      </c>
      <c r="Z147" s="3">
        <f>1515.9+(205.6-285.7)+(-0.773109+(-0.104856--0.145707))+0-152--0.0775199999999846</f>
        <v>1283.1452620000002</v>
      </c>
      <c r="AA147" s="3">
        <f>1531.2+(189.9-285.6)+(-3.123648+(-0.387396--0.582624))+0-154.8--0.315791999999993</f>
        <v>1278.0873720000002</v>
      </c>
      <c r="AB147" s="3">
        <f>1538.2+(195.4-321.1)+(-1.568964+(-0.199308--0.327522))+0-151.5--0.154530000000024</f>
        <v>1259.71378</v>
      </c>
      <c r="AC147" s="3">
        <f>1537.7+(188.1-353.7)+(-1.568454+(-0.191862--0.360774))+0-151.4--0.154428000000024</f>
        <v>1219.454886</v>
      </c>
      <c r="AD147">
        <f t="shared" si="2"/>
        <v>28747.870222000005</v>
      </c>
      <c r="AE147" s="3">
        <f>1535+(204.9-285)+(0+(0-0))+0-156.4-0</f>
        <v>1298.5</v>
      </c>
    </row>
    <row r="148" spans="1:31" s="2" customFormat="1" x14ac:dyDescent="0.25">
      <c r="A148">
        <v>89</v>
      </c>
      <c r="B148">
        <v>5</v>
      </c>
      <c r="C148">
        <v>24</v>
      </c>
      <c r="D148">
        <v>2</v>
      </c>
      <c r="E148">
        <v>1</v>
      </c>
      <c r="F148" s="3">
        <f>1542.9+(210-400.6)+(-2.360637+(-0.3213--0.612918))+0-151--0.231030000000009</f>
        <v>1199.4620110000001</v>
      </c>
      <c r="G148" s="3">
        <f>1553.9+(192.9-441.1)+(-0.792489+(-0.098379--0.224961))+0-149.6--0.0762959999999848</f>
        <v>1155.510389</v>
      </c>
      <c r="H148" s="3">
        <f>1573.7+(194.1-477)+(0.802587+(0.098991-0.24327))+0-149.1-0.0760409999999849</f>
        <v>1142.2822670000003</v>
      </c>
      <c r="I148" s="3">
        <f>1578.8+(193-501.3)+(-3.220752+(-0.39372--1.022652))+0-142.8--0.291311999999994</f>
        <v>1125.399492</v>
      </c>
      <c r="J148" s="3">
        <f>1583.9+(169.7-502.3)+(0.807789+(0.086547-0.256173))+0-145.4-0.0741539999999853</f>
        <v>1106.4640090000003</v>
      </c>
      <c r="K148" s="3">
        <f>1593.2+(182.1-546.5)+(-2.437596+(-0.278613--0.836145))+0-147.3--0.225369000000009</f>
        <v>1079.8453050000003</v>
      </c>
      <c r="L148" s="3">
        <f>1593.1+(170.5-612.3)+(-3.249924+(-0.34782--1.249092))+0-145.4--0.296615999999994</f>
        <v>1003.847964</v>
      </c>
      <c r="M148" s="3">
        <f>1598.7+(218.6-667.4)+(-1.630674+(-0.222972--0.680748))+0-149.7--0.152694000000024</f>
        <v>999.17979600000001</v>
      </c>
      <c r="N148" s="3">
        <f>1558+(309.3-618.2)+(1.58916+(0.315486-0.630564))+0-152.3-0.155346000000024</f>
        <v>1097.9187359999999</v>
      </c>
      <c r="O148" s="3">
        <f>1570.9+(365.4-619)+(-3.204636+(-0.745416--1.26276))+0-149.5--0.304979999999993</f>
        <v>1165.417688</v>
      </c>
      <c r="P148" s="3">
        <f>1564+(369-544)+(2.39292+(0.56457-0.83232))+0-157-0.240210000000009</f>
        <v>1233.8849600000001</v>
      </c>
      <c r="Q148" s="3">
        <f>1517+(284.9-378.5)+(-1.54734+(-0.290598--0.38607))+0-150.9--0.153918000000024</f>
        <v>1271.2020499999999</v>
      </c>
      <c r="R148" s="3">
        <f>1548.3+(243.1-334.1)+(0+(0-0))+0-149.8-0</f>
        <v>1307.5</v>
      </c>
      <c r="S148" s="3">
        <f>1544.8+(274.9-355.1)+(-1.575696+(-0.280398--0.362202))+0-153.4--0.156468000000024</f>
        <v>1309.862576</v>
      </c>
      <c r="T148" s="3">
        <f>1534.9+(299.1-371.1)+(0.782799+(0.152541-0.189261))+0-150.9-0.0769589999999847</f>
        <v>1312.66912</v>
      </c>
      <c r="U148" s="3">
        <f>1512+(306.2-371.2)+(-0.77112+(-0.156162--0.189312))+0-133.6--0.0681359999999864</f>
        <v>1312.7301660000003</v>
      </c>
      <c r="V148" s="3">
        <f>1516+(277.5-352.7)+(-1.54632+(-0.28305--0.359754))+0-138--0.140760000000022</f>
        <v>1301.4711439999999</v>
      </c>
      <c r="W148" s="3">
        <f>1495.1+(272.6-380.8)+(0+(0-0))+0-138.4-0</f>
        <v>1248.4999999999998</v>
      </c>
      <c r="X148" s="3">
        <f>1499.5+(389.5-569.7)+(-1.52949+(-0.39729--0.581094))+0-143--0.145860000000023</f>
        <v>1175.1001740000002</v>
      </c>
      <c r="Y148" s="3">
        <f>1505.1+(326.9-458.5)+(0+(0-0))+0-155.3-0</f>
        <v>1218.2</v>
      </c>
      <c r="Z148" s="3">
        <f>1526.4+(236.1-283.6)+(-1.556928+(-0.240822--0.289272))+0-158.8--0.161976000000025</f>
        <v>1318.7534980000003</v>
      </c>
      <c r="AA148" s="3">
        <f>1540.8+(235-290.2)+(-1.571616+(-0.2397--0.296004))+0-162.4--0.165648000000026</f>
        <v>1321.8503359999997</v>
      </c>
      <c r="AB148" s="3">
        <f>1539.7+(255.3-333.4)+(-1.570494+(-0.260406--0.340068))+0-160.6--0.163812000000026</f>
        <v>1299.6729800000003</v>
      </c>
      <c r="AC148" s="3">
        <f>1552.3+(269.5-409.4)+(-1.583346+(-0.27489--0.417588))+0-158.6--0.161772000000025</f>
        <v>1252.5211240000001</v>
      </c>
      <c r="AD148">
        <f t="shared" si="2"/>
        <v>28959.245784999999</v>
      </c>
      <c r="AE148" s="3">
        <f>1546+(242.4-285.6)+(0+(0-0))+0-161.4-0</f>
        <v>1341.3999999999999</v>
      </c>
    </row>
    <row r="149" spans="1:31" s="2" customFormat="1" x14ac:dyDescent="0.25">
      <c r="A149">
        <v>89</v>
      </c>
      <c r="B149">
        <v>5</v>
      </c>
      <c r="C149">
        <v>25</v>
      </c>
      <c r="D149">
        <v>3</v>
      </c>
      <c r="E149">
        <v>1</v>
      </c>
      <c r="F149" s="3">
        <f>1548.6+(238.7-419.6)+(-5.528502+(-0.852159--1.497972))+0-160.5--0.572985000000002</f>
        <v>1202.8902959999998</v>
      </c>
      <c r="G149" s="3">
        <f>1547.6+(192.5-424.2)+(-3.94638+(-0.490875--1.08171))+0-157.4--0.401369999999977</f>
        <v>1155.5458249999999</v>
      </c>
      <c r="H149" s="3">
        <f>1549.2+(178.6-442.3)+(-0.790092+(-0.091086--0.225573))+0-156.5--0.0798149999999841</f>
        <v>1128.4242100000001</v>
      </c>
      <c r="I149" s="3">
        <f>1557.2+(178.4-466.9)+(0.794172+(0.090984-0.238119))+0-153.8-0.0784379999999844</f>
        <v>1115.468599</v>
      </c>
      <c r="J149" s="3">
        <f>1561.7+(186.5-464.6)+(0.796467+(0.095115-0.236946))+0-154-0.0785399999999844</f>
        <v>1130.1760959999999</v>
      </c>
      <c r="K149" s="3">
        <f>1571.6+(185.8-524.6)+(-3.206064+(-0.379032--1.070184))+0-154.3--0.314771999999993</f>
        <v>1076.2998599999999</v>
      </c>
      <c r="L149" s="3">
        <f>1584.9+(218.2-625.9)+(-3.233196+(-0.445128--1.276836))+0-154.7--0.315587999999993</f>
        <v>1020.4141000000001</v>
      </c>
      <c r="M149" s="3">
        <f>1580.1+(203.5-586.3)+(0+(0-0))+0-159-0</f>
        <v>1038.3</v>
      </c>
      <c r="N149" s="3">
        <f>1559.1+(216.2-519.9)+(0+(0-0))+0-159.2-0</f>
        <v>1096.1999999999998</v>
      </c>
      <c r="O149" s="3">
        <f>1544.6+(227.4-458.1)+(0+(0-0))+0-150.6-0</f>
        <v>1163.3</v>
      </c>
      <c r="P149" s="3">
        <f>1525.9+(224-383.9)+(2.334627+(0.34272-0.587367))+0-144.5-0.221085000000008</f>
        <v>1223.3688950000001</v>
      </c>
      <c r="Q149" s="3">
        <f>1479.8+(272.5-340.1)+(1.509396+(0.27795-0.346902))+0-150.9-0.153918000000024</f>
        <v>1262.5865259999998</v>
      </c>
      <c r="R149" s="3">
        <f>1519.8+(317.6-397)+(3.100392+(0.647904-0.80988))+0-155.7-0.317627999999993</f>
        <v>1287.320788</v>
      </c>
      <c r="S149" s="3">
        <f>1533.8+(359.3-438.5)+(-1.564476+(-0.366486--0.44727))+0-158.9--0.162078000000025</f>
        <v>1294.3783859999999</v>
      </c>
      <c r="T149" s="3">
        <f>1533.9+(349.6-432)+(1.564578+(0.356592-0.44064))+0-159.9-0.163098000000026</f>
        <v>1292.917432</v>
      </c>
      <c r="U149" s="3">
        <f>1526+(344.2-419.9)+(1.55652+(0.351084-0.428298))+0-153.1-0.156162000000024</f>
        <v>1298.523144</v>
      </c>
      <c r="V149" s="3">
        <f>1525.7+(311.8-389.1)+(-3.112428+(-0.636072--0.793764))+0-156--0.318239999999993</f>
        <v>1289.7635040000002</v>
      </c>
      <c r="W149" s="3">
        <f>1505.4+(226.8-337.6)+(-1.535508+(-0.231336--0.344352))+0-155.6--0.158712000000025</f>
        <v>1237.7362200000002</v>
      </c>
      <c r="X149" s="3">
        <f>1507.1+(284.7-473.7)+(-1.537242+(-0.290394--0.483174))+0-156.5--0.159630000000025</f>
        <v>1160.415168</v>
      </c>
      <c r="Y149" s="3">
        <f>1515.3+(239.5-382.9)+(0.772803+(0.122145-0.195279))+0-150.9-0.0769589999999847</f>
        <v>1221.6227100000001</v>
      </c>
      <c r="Z149" s="3">
        <f>1541.6+(256.1-314.6)+(-0.786216+(-0.130611--0.160446))+0-150.5--0.0767549999999847</f>
        <v>1331.920374</v>
      </c>
      <c r="AA149" s="3">
        <f>1546.4+(265.7-337.5)+(0+(0-0))+0-151.1-0</f>
        <v>1323.5000000000002</v>
      </c>
      <c r="AB149" s="3">
        <f>1558.6+(260.4-368.5)+(-1.589772+(-0.265608--0.37587))+0-152.3--0.155346000000024</f>
        <v>1296.8758360000002</v>
      </c>
      <c r="AC149" s="3">
        <f>1564.3+(251.8-408.3)+(-1.595586+(-0.256836--0.416466))+0-152.1--0.155142000000024</f>
        <v>1254.4191860000001</v>
      </c>
      <c r="AD149">
        <f t="shared" si="2"/>
        <v>28902.367154999993</v>
      </c>
      <c r="AE149" s="3">
        <f>1541+(268.5-322.3)+(0+(0-0))+0-153-0</f>
        <v>1334.2</v>
      </c>
    </row>
    <row r="150" spans="1:31" s="2" customFormat="1" x14ac:dyDescent="0.25">
      <c r="A150">
        <v>89</v>
      </c>
      <c r="B150">
        <v>5</v>
      </c>
      <c r="C150">
        <v>26</v>
      </c>
      <c r="D150">
        <v>4</v>
      </c>
      <c r="E150">
        <v>1</v>
      </c>
      <c r="F150" s="3">
        <f>1578.6+(225.3-443.6)+(-3.220344+(-0.459612--0.904944))+0-153.9--0.313955999999993</f>
        <v>1203.9389439999998</v>
      </c>
      <c r="G150" s="3">
        <f>1586.9+(186-459.7)+(-1.618638+(-0.18972--0.468894))+0-153.1--0.156162000000024</f>
        <v>1158.9166980000002</v>
      </c>
      <c r="H150" s="3">
        <f>1588.8+(175.1-484.9)+(-0.810288+(-0.089301--0.247299))+0-152.3--0.0776729999999846</f>
        <v>1126.1253830000001</v>
      </c>
      <c r="I150" s="3">
        <f>1597.9+(173-508)+(-3.259716+(-0.35292--1.03632))+0-148.9--0.303755999999994</f>
        <v>1111.7274400000001</v>
      </c>
      <c r="J150" s="3">
        <f>1599.3+(181-509.4)+(1.631286+(0.18462-0.519588))+0-147.2-0.150144000000023</f>
        <v>1124.846174</v>
      </c>
      <c r="K150" s="3">
        <f>1601.5+(200.8-569)+(-1.63353+(-0.204816--0.58038))+0-150.7--0.153714000000024</f>
        <v>1081.495748</v>
      </c>
      <c r="L150" s="3">
        <f>1608.2+(189.6-623.4)+(-3.280728+(-0.386784--1.271736))+0-148.7--0.303347999999994</f>
        <v>1023.607572</v>
      </c>
      <c r="M150" s="3">
        <f>1603.8+(163-579)+(0.817938+(0.08313-0.29529))+0-165.2-0.0842519999999832</f>
        <v>1023.121526</v>
      </c>
      <c r="N150" s="3">
        <f>1595.5+(181.6-529.5)+(0+(0-0))+0-158.6-0</f>
        <v>1089</v>
      </c>
      <c r="O150" s="3">
        <f>1568.1+(241.7-503.5)+(0+(0-0))+0-151.2-0</f>
        <v>1155.0999999999999</v>
      </c>
      <c r="P150" s="3">
        <f>1547+(242.4-413.3)+(1.57794+(0.247248-0.421566))+0-152.6-0.155652000000024</f>
        <v>1224.7479700000001</v>
      </c>
      <c r="Q150" s="3">
        <f>1533.2+(237.8-345.1)+(1.563864+(0.242556-0.352002))+0-154.4-0.157488000000025</f>
        <v>1272.79693</v>
      </c>
      <c r="R150" s="3">
        <f>1537.9+(273.2-365.8)+(0+(0-0))+0-153.3-0</f>
        <v>1292.0000000000002</v>
      </c>
      <c r="S150" s="3">
        <f>1529.4+(320.9-395.5)+(0+(0-0))+0-157.4-0</f>
        <v>1297.4000000000001</v>
      </c>
      <c r="T150" s="3">
        <f>1513.4+(343-406.9)+(0+(0-0))+0-159.6-0</f>
        <v>1289.9000000000001</v>
      </c>
      <c r="U150" s="3">
        <f>1510.9+(327.6-393.7)+(-0.770559+(-0.167076--0.200787))+0-155.1--0.0791009999999843</f>
        <v>1289.0422530000003</v>
      </c>
      <c r="V150" s="3">
        <f>1503.2+(278.8-327.3)+(-0.766632+(-0.142188--0.166923))+0-162.9--0.0830789999999835</f>
        <v>1291.1411819999998</v>
      </c>
      <c r="W150" s="3">
        <f>1487.7+(257.8-345.9)+(-3.034908+(-0.525912--0.705636))+0-161.8--0.330071999999993</f>
        <v>1235.2748880000001</v>
      </c>
      <c r="X150" s="3">
        <f>1495.6+(378.3-547.5)+(-2.288268+(-0.578799--0.837675))+0-157.7--0.241281000000009</f>
        <v>1166.911889</v>
      </c>
      <c r="Y150" s="3">
        <f>1511.3+(320.9-443.6)+(0.770763+(0.163659-0.226236))+0-157.8-0.080477999999984</f>
        <v>1231.4277079999999</v>
      </c>
      <c r="Z150" s="3">
        <f>1535+(233.6-284.5)+(-0.78285+(-0.119136--0.145095))+0-157.7--0.080426999999984</f>
        <v>1325.7235359999997</v>
      </c>
      <c r="AA150" s="3">
        <f>1545.1+(232.3-296.5)+(-2.364003+(-0.355419--0.453645))+0-154.9--0.236997000000009</f>
        <v>1323.9712199999997</v>
      </c>
      <c r="AB150" s="3">
        <f>1552.6+(226-317)+(0.791826+(0.11526-0.16167))+0-148.4-0.0756839999999849</f>
        <v>1313.8697319999999</v>
      </c>
      <c r="AC150" s="3">
        <f>1545.7+(257.1-368)+(0+(0-0))+0-160.5-0</f>
        <v>1274.3000000000002</v>
      </c>
      <c r="AD150">
        <f t="shared" si="2"/>
        <v>28926.386792999998</v>
      </c>
      <c r="AE150" s="3">
        <f>1530+(233.1-295.4)+(0+(0-0))+0-159.6-0</f>
        <v>1308.1000000000001</v>
      </c>
    </row>
    <row r="151" spans="1:31" s="2" customFormat="1" x14ac:dyDescent="0.25">
      <c r="A151">
        <v>89</v>
      </c>
      <c r="B151">
        <v>5</v>
      </c>
      <c r="C151">
        <v>27</v>
      </c>
      <c r="D151">
        <v>5</v>
      </c>
      <c r="E151">
        <v>1</v>
      </c>
      <c r="F151" s="3">
        <f>1541.7+(226.9-389.5)+(-2.358801+(-0.347157--0.595935))+0-162.8--0.249084000000009</f>
        <v>1214.4390610000003</v>
      </c>
      <c r="G151" s="3">
        <f>1549.8+(189.1-411.5)+(-0.790398+(-0.096441--0.209865))+0-157--0.0800699999999841</f>
        <v>1169.8030959999999</v>
      </c>
      <c r="H151" s="3">
        <f>1540.4+(187.7-436.2)+(-0.785604+(-0.095727--0.222462))+0-153.7--0.0783869999999844</f>
        <v>1137.619518</v>
      </c>
      <c r="I151" s="3">
        <f>1568.1+(186-478.5)+(0+(0-0))+0-145-0</f>
        <v>1130.5999999999999</v>
      </c>
      <c r="J151" s="3">
        <f>1570+(198.7-488.1)+(-2.4021+(-0.304011--0.746793))+0-140.7--0.215271000000008</f>
        <v>1138.155953</v>
      </c>
      <c r="K151" s="3">
        <f>1572.8+(212.5-546.6)+(-2.406384+(-0.325125--0.836298))+0-148.1--0.226593000000009</f>
        <v>1088.931382</v>
      </c>
      <c r="L151" s="3">
        <f>1573.5+(233.8-619.7)+(-1.60497+(-0.238476--0.632094))+0-146.4--0.149328000000023</f>
        <v>1040.1379759999998</v>
      </c>
      <c r="M151" s="3">
        <f>1577.2+(267-650.6)+(0.804372+(0.13617-0.331806))+0-153-0.0780299999999845</f>
        <v>1041.1307059999999</v>
      </c>
      <c r="N151" s="3">
        <f>1574.2+(294.6-617.9)+(-1.605684+(-0.300492--0.630258))+0-151.2--0.154224000000024</f>
        <v>1098.5783060000001</v>
      </c>
      <c r="O151" s="3">
        <f>1559.6+(284.7-527.8)+(0+(0-0))+0-146.1-0</f>
        <v>1170.4000000000001</v>
      </c>
      <c r="P151" s="3">
        <f>1537+(290.4-432.3)+(1.56774+(0.296208-0.440946))+0-141.7-0.144534000000023</f>
        <v>1254.6784679999998</v>
      </c>
      <c r="Q151" s="3">
        <f>1522.7+(259.2-379.2)+(0+(0-0))+0-139.9-0</f>
        <v>1262.8</v>
      </c>
      <c r="R151" s="3">
        <f>1506.2+(273.3-318.4)+(0.768162+(0.139383-0.162384))+0-147.5-0.075224999999985</f>
        <v>1314.2699360000001</v>
      </c>
      <c r="S151" s="3">
        <f>1510.7+(304.8-343.6)+(0+(0-0))+0-153.4-0</f>
        <v>1318.5</v>
      </c>
      <c r="T151" s="3">
        <f>1507.5+(312.4-364.8)+(0.768825+(0.159324-0.186048))+0-157.5-0.080324999999984</f>
        <v>1298.2617760000001</v>
      </c>
      <c r="U151" s="3">
        <f>1501.6+(325.5-369.2)+(0+(0-0))+0-151.8-0</f>
        <v>1306.0999999999999</v>
      </c>
      <c r="V151" s="3">
        <f>1488.5+(265.7-346.6)+(-0.759135+(-0.135507--0.176766))+0-154.8--0.0789479999999843</f>
        <v>1252.1610720000001</v>
      </c>
      <c r="W151" s="3">
        <f>1480.7+(236.8-324.3)+(-1.510314+(-0.241536--0.330786))+0-159.7--0.162894000000025</f>
        <v>1232.2418300000002</v>
      </c>
      <c r="X151" s="3">
        <f>1485.3+(330.5-481.4)+(-0.757503+(-0.168555--0.245514))+0-162.3--0.0827729999999835</f>
        <v>1171.5022290000002</v>
      </c>
      <c r="Y151" s="3">
        <f>1493.5+(285.7-393.5)+(0+(0-0))+0-159.5-0</f>
        <v>1226.2</v>
      </c>
      <c r="Z151" s="3">
        <f>1502.8+(242.6-265.7)+(0+(0-0))+0-156.8-0</f>
        <v>1322.9</v>
      </c>
      <c r="AA151" s="3">
        <f>1513.1+(259.3-288.3)+(-2.315043+(-0.396729--0.441099))+0-159.3--0.243729000000009</f>
        <v>1322.773056</v>
      </c>
      <c r="AB151" s="3">
        <f>1516.5+(258.8-312)+(-0.773415+(-0.131988--0.15912))+0-158.8--0.0809879999999839</f>
        <v>1303.834705</v>
      </c>
      <c r="AC151" s="3">
        <f>1519.8+(257.5-354.8)+(-1.550196+(-0.26265--0.361896))+0-161.6--0.164832000000026</f>
        <v>1259.6138820000001</v>
      </c>
      <c r="AD151">
        <f t="shared" si="2"/>
        <v>29075.632952000004</v>
      </c>
      <c r="AE151" s="3">
        <f>1505+(258.3-286.7)+(0+(0-0))+0-153.3-0</f>
        <v>1323.3</v>
      </c>
    </row>
    <row r="152" spans="1:31" s="2" customFormat="1" x14ac:dyDescent="0.25">
      <c r="A152">
        <v>89</v>
      </c>
      <c r="B152">
        <v>5</v>
      </c>
      <c r="C152">
        <v>28</v>
      </c>
      <c r="D152">
        <v>6</v>
      </c>
      <c r="E152">
        <v>1</v>
      </c>
      <c r="F152" s="3">
        <f>1538.1+(224.1-385.1)+(-1.568862+(-0.228582--0.392802))+0-160.6--0.163812000000026</f>
        <v>1215.25917</v>
      </c>
      <c r="G152" s="3">
        <f>1554.7+(185.9-412.8)+(-2.378691+(-0.284427--0.631584))+0-159.1--0.243423000000009</f>
        <v>1166.9118890000002</v>
      </c>
      <c r="H152" s="3">
        <f>1559+(169.5-441.8)+(0.79509+(0.086445-0.225318))+0-155.9-0.0795089999999842</f>
        <v>1131.376708</v>
      </c>
      <c r="I152" s="3">
        <f>1565.5+(168.2-467.9)+(0+(0-0))+0-157.7-0</f>
        <v>1108.0999999999999</v>
      </c>
      <c r="J152" s="3">
        <f>1568.2+(182.2-472.2)+(0+(0-0))+0-155.1-0</f>
        <v>1123.1000000000001</v>
      </c>
      <c r="K152" s="3">
        <f>1564.1+(187.8-511.1)+(-3.190764+(-0.383112--1.042644))+0-156.9--0.320075999999993</f>
        <v>1081.6888439999998</v>
      </c>
      <c r="L152" s="3">
        <f>1562.6+(166.2-552.4)+(-3.187704+(-0.339048--1.126896))+0-152.4--0.310895999999993</f>
        <v>1021.9110399999998</v>
      </c>
      <c r="M152" s="3">
        <f>1573.2+(167.8-553.6)+(-1.604664+(-0.171156--0.564672))+0-151.7--0.154734000000024</f>
        <v>1034.6435859999999</v>
      </c>
      <c r="N152" s="3">
        <f>1567.1+(205.2-516.8)+(-0.799221+(-0.104652--0.263568))+0-157--0.0800699999999841</f>
        <v>1097.9397650000001</v>
      </c>
      <c r="O152" s="3">
        <f>1557+(262.8-498.4)+(1.58814+(0.268056-0.508368))+0-158.2-0.161364000000025</f>
        <v>1164.3864639999999</v>
      </c>
      <c r="P152" s="3">
        <f>1529.1+(258-408.8)+(1.559682+(0.26316-0.416976))+0-152.6-0.155652000000024</f>
        <v>1226.9502140000002</v>
      </c>
      <c r="Q152" s="3">
        <f>1526.5+(243-341.4)+(0+(0-0))+0-146.9-0</f>
        <v>1281.1999999999998</v>
      </c>
      <c r="R152" s="3">
        <f>1523.3+(239.7-324.1)+(0+(0-0))+0-138.5-0</f>
        <v>1300.3999999999999</v>
      </c>
      <c r="S152" s="3">
        <f>1503.5+(285.1-350.6)+(-0.766785+(-0.145401--0.178806))+0-139.4--0.0710939999999859</f>
        <v>1297.9377139999999</v>
      </c>
      <c r="T152" s="3">
        <f>1497.4+(298.8-372.9)+(0.763674+(0.152388-0.190179))+0-137.8-0.070277999999986</f>
        <v>1286.1556050000004</v>
      </c>
      <c r="U152" s="3">
        <f>1489.8+(308.5-361.3)+(1.519596+(0.31467-0.368526))+0-136.4-0.139128000000022</f>
        <v>1301.926612</v>
      </c>
      <c r="V152" s="3">
        <f>1486.9+(279.7-322.4)+(-0.758319+(-0.142647--0.164424))+0-155.3--0.0792029999999843</f>
        <v>1288.242661</v>
      </c>
      <c r="W152" s="3">
        <f>1476.6+(231-295.5)+(-2.259198+(-0.35343--0.452115))+0-160.8--0.246024000000009</f>
        <v>1249.385511</v>
      </c>
      <c r="X152" s="3">
        <f>1458.3+(310.4-452.3)+(-2.231199+(-0.474912--0.692019))+0-161--0.246330000000009</f>
        <v>1153.6322379999999</v>
      </c>
      <c r="Y152" s="3">
        <f>1468.8+(255.5-354.4)+(-0.749088+(-0.130305--0.180744))+0-162.8--0.0830279999999835</f>
        <v>1206.4843790000002</v>
      </c>
      <c r="Z152" s="3">
        <f>1489+(230.8-250)+(0.75939+(0.117708-0.1275))+0-160.4-0.0818039999999837</f>
        <v>1310.067794</v>
      </c>
      <c r="AA152" s="3">
        <f>1500.9+(250.1-270.5)+(-2.296377+(-0.382653--0.413865))+0-166.3--0.25443900000001</f>
        <v>1312.1892740000001</v>
      </c>
      <c r="AB152" s="3">
        <f>1530.9+(254.4-322.8)+(-1.561518+(-0.259488--0.329256))+0-164.3--0.167586000000026</f>
        <v>1296.8758360000002</v>
      </c>
      <c r="AC152" s="3">
        <f>1557.6+(242.4-368.3)+(0+(0-0))+0-163.1-0</f>
        <v>1268.5999999999999</v>
      </c>
      <c r="AD152">
        <f t="shared" si="2"/>
        <v>28925.365303999999</v>
      </c>
      <c r="AE152" s="3">
        <f>1490+(277-301.1)+(0+(0-0))+0-156.5-0</f>
        <v>1309.4000000000001</v>
      </c>
    </row>
    <row r="153" spans="1:31" s="2" customFormat="1" x14ac:dyDescent="0.25">
      <c r="A153">
        <v>89</v>
      </c>
      <c r="B153">
        <v>5</v>
      </c>
      <c r="C153">
        <v>29</v>
      </c>
      <c r="D153">
        <v>7</v>
      </c>
      <c r="E153">
        <v>1</v>
      </c>
      <c r="F153" s="3">
        <f>1563.6+(202.4-361.5)+(-1.594872+(-0.206448--0.36873))+0-163.2--0.166464000000026</f>
        <v>1240.0338740000002</v>
      </c>
      <c r="G153" s="3">
        <f>1569.5+(195.5-407.4)+(1.60089+(0.19941-0.415548))+0-163.7-0.166974000000026</f>
        <v>1195.1177779999998</v>
      </c>
      <c r="H153" s="3">
        <f>1564.5+(212.4-468.3)+(-0.797895+(-0.108324--0.238833))+0-161.4--0.0823139999999836</f>
        <v>1146.6149279999997</v>
      </c>
      <c r="I153" s="3">
        <f>1576+(237.1-520.6)+(-4.0188+(-0.604605--1.32753))+0-161.7--0.412334999999977</f>
        <v>1127.9164599999999</v>
      </c>
      <c r="J153" s="3">
        <f>1586.9+(235.5-528.5)+(0.809319+(0.120105-0.269535))+0-159.7-0.0814469999999838</f>
        <v>1134.778442</v>
      </c>
      <c r="K153" s="3">
        <f>1591.8+(196.8-524.8)+(-5.682726+(-0.702576--1.873536))+0-161--0.574770000000002</f>
        <v>1098.8630039999998</v>
      </c>
      <c r="L153" s="3">
        <f>1545+(169.7-510.6)+(-3.1518+(-0.346188--1.041624))+0-158.4--0.323135999999993</f>
        <v>1043.5667719999999</v>
      </c>
      <c r="M153" s="3">
        <f>1506.5+(172.1-495.6)+(-0.768315+(-0.087771--0.252756))+0-163.8--0.0835379999999834</f>
        <v>1018.6802080000001</v>
      </c>
      <c r="N153" s="3">
        <f>1491.6+(206.9-495.8)+(-0.760716+(-0.105519--0.252858))+0-165.8--0.0845579999999832</f>
        <v>1036.371181</v>
      </c>
      <c r="O153" s="3">
        <f>1480+(253.2-475.2)+(0+(0-0))+0-164.1-0</f>
        <v>1093.9000000000001</v>
      </c>
      <c r="P153" s="3">
        <f>1529.1+(262.7-455.4)+(0.779841+(0.133977-0.232254))+0-167.2-0.085271999999983</f>
        <v>1169.7962919999998</v>
      </c>
      <c r="Q153" s="3">
        <f>1509.9+(268.6-391.3)+(-1.540098+(-0.273972--0.399126))+0-166.9--0.170238000000027</f>
        <v>1219.0552939999998</v>
      </c>
      <c r="R153" s="3">
        <f>1496.9+(234.4-310)+(-0.763419+(-0.119544--0.1581))+0-166.1--0.0847109999999831</f>
        <v>1254.5598480000003</v>
      </c>
      <c r="S153" s="3">
        <f>1497.8+(242-305.8)+(0+(0-0))+0-164.3-0</f>
        <v>1269.7</v>
      </c>
      <c r="T153" s="3">
        <f>1493.2+(271-327.9)+(0+(0-0))+0-166-0</f>
        <v>1270.3000000000002</v>
      </c>
      <c r="U153" s="3">
        <f>1483.6+(265.9-329.7)+(-0.756636+(-0.135609--0.168147))+0-157.5--0.080324999999984</f>
        <v>1261.6562269999999</v>
      </c>
      <c r="V153" s="3">
        <f>1450.7+(265-284.6)+(-2.219571+(-0.40545--0.435438))+0-165.1--0.25260300000001</f>
        <v>1264.0630199999998</v>
      </c>
      <c r="W153" s="3">
        <f>1428.7+(297.6-350.8)+(-0.728637+(-0.151776--0.178908))+0-165.2--0.0842519999999832</f>
        <v>1209.6827469999998</v>
      </c>
      <c r="X153" s="3">
        <f>1411.3+(440.1-544.9)+(-5.038341+(-1.571157--1.945293))+0-159.2--0.568344000000002</f>
        <v>1143.2041389999999</v>
      </c>
      <c r="Y153" s="3">
        <f>1428.5+(405-467.6)+(-0.728535+(-0.20655--0.238476))+0-156.6--0.0798659999999841</f>
        <v>1208.6832570000001</v>
      </c>
      <c r="Z153" s="3">
        <f>1473.4+(292.2-305.1)+(0+(0-0))+0-152.1-0</f>
        <v>1308.4000000000001</v>
      </c>
      <c r="AA153" s="3">
        <f>1484.2+(280.1-303.2)+(0+(0-0))+0-145.4-0</f>
        <v>1315.7</v>
      </c>
      <c r="AB153" s="3">
        <f>1504.7+(268.9-307.3)+(-1.534794+(-0.274278--0.313446))+0-162.1--0.165342000000026</f>
        <v>1302.8697160000002</v>
      </c>
      <c r="AC153" s="3">
        <f>1545+(247.4-353.8)+(-1.5759+(-0.252348--0.360876))+0-162.4--0.165648000000026</f>
        <v>1274.8982759999997</v>
      </c>
      <c r="AD153">
        <f t="shared" si="2"/>
        <v>28608.411463000004</v>
      </c>
      <c r="AE153" s="3">
        <f>1475+(286.7-307.1)+(0+(0-0))+0-144-0</f>
        <v>1310.5999999999999</v>
      </c>
    </row>
    <row r="154" spans="1:31" s="2" customFormat="1" x14ac:dyDescent="0.25">
      <c r="A154">
        <v>89</v>
      </c>
      <c r="B154">
        <v>5</v>
      </c>
      <c r="C154">
        <v>30</v>
      </c>
      <c r="D154">
        <v>1</v>
      </c>
      <c r="E154">
        <v>1</v>
      </c>
      <c r="F154" s="3">
        <f>1546+(222.4-372.3)+(-2.36538+(-0.340272--0.569619))+0-162.1--0.248013000000009</f>
        <v>1232.1119799999999</v>
      </c>
      <c r="G154" s="3">
        <f>1549.3+(203.4-399.1)+(-1.580286+(-0.207468--0.407082))+0-161--0.164220000000026</f>
        <v>1191.383548</v>
      </c>
      <c r="H154" s="3">
        <f>1556.4+(207.7-445.1)+(-2.381292+(-0.317781--0.681003))+0-160.6--0.245718000000009</f>
        <v>1156.6276479999999</v>
      </c>
      <c r="I154" s="3">
        <f>1558.5+(214.4-461.4)+(-0.794835+(-0.109344--0.235314))+0-160.6--0.0819059999999837</f>
        <v>1150.3130409999999</v>
      </c>
      <c r="J154" s="3">
        <f>1564.4+(198.5-458.9)+(-3.98922+(-0.506175--1.170195))+0-161.4--0.411569999999977</f>
        <v>1139.6863699999999</v>
      </c>
      <c r="K154" s="3">
        <f>1552+(216.1-521.9)+(-2.37456+(-0.330633--0.798507))+0-160.3--0.245259000000009</f>
        <v>1084.2385730000001</v>
      </c>
      <c r="L154" s="3">
        <f>1555.8+(226-544.6)+(-2.380374+(-0.34578--0.833238))+0-157.4--0.240822000000009</f>
        <v>1078.1479059999997</v>
      </c>
      <c r="M154" s="3">
        <f>1562.2+(260.7-582.8)+(3.186888+(0.531828-1.188912))+0-159.5-0.325379999999993</f>
        <v>1082.8044240000002</v>
      </c>
      <c r="N154" s="3">
        <f>1501.8+(310.5-517.8)+(1.531836+(0.31671-0.528156))+0-162.2-0.165444000000026</f>
        <v>1133.4549460000001</v>
      </c>
      <c r="O154" s="3">
        <f>1522.5+(416.7-586.3)+(0.776475+(0.212517-0.299013))+0-160.6-0.0819059999999837</f>
        <v>1192.9080730000003</v>
      </c>
      <c r="P154" s="3">
        <f>1525.8+(403.1-475.7)+(2.334474+(0.616743-0.727821))+0-169.5-0.25933500000001</f>
        <v>1285.6640610000002</v>
      </c>
      <c r="Q154" s="3">
        <f>1502+(321.8-354.4)+(3.06408+(0.656472-0.722976))+0-165.7-0.338027999999993</f>
        <v>1306.3595480000001</v>
      </c>
      <c r="R154" s="3">
        <f>1496.1+(257.5-247.1)+(1.526022+(0.26265-0.252042))+0-158.1-0.161262000000025</f>
        <v>1349.7753680000001</v>
      </c>
      <c r="S154" s="3">
        <f>1485.7+(308-286.6)+(-0.757707+(-0.15708--0.146166))+0-162.6--0.0829259999999835</f>
        <v>1343.8143050000001</v>
      </c>
      <c r="T154" s="3">
        <f>1470.5+(328.9-306.1)+(0.749955+(0.167739-0.156111))+0-168.1-0.0857309999999829</f>
        <v>1325.8758520000001</v>
      </c>
      <c r="U154" s="3">
        <f>1462.6+(305.9-274.5)+(0+(0-0))+0-158.4-0</f>
        <v>1335.6</v>
      </c>
      <c r="V154" s="3">
        <f>1461.3+(301-263.1)+(0+(0-0))+0-162.4-0</f>
        <v>1336.7999999999997</v>
      </c>
      <c r="W154" s="3">
        <f>1455.4+(320.9-318.6)+(0+(0-0))+0-164.1-0</f>
        <v>1293.6000000000001</v>
      </c>
      <c r="X154" s="3">
        <f>1445.8+(473.8-532.2)+(0+(0-0))+0-158-0</f>
        <v>1229.3999999999999</v>
      </c>
      <c r="Y154" s="3">
        <f>1439.7+(420.2-415.3)+(0.734247+(0.214302-0.211803))+0-166.3-0.0848129999999831</f>
        <v>1278.9519330000001</v>
      </c>
      <c r="Z154" s="3">
        <f>1468+(276.9-216.5)+(0+(0-0))+0-165.3-0</f>
        <v>1363.1000000000001</v>
      </c>
      <c r="AA154" s="3">
        <f>1482.3+(255.4-220.2)+(-1.511946+(-0.260508--0.224604))+0-160.4--0.163608000000026</f>
        <v>1355.7157580000001</v>
      </c>
      <c r="AB154" s="3">
        <f>1511.5+(247-268.5)+(0+(0-0))+0-152.2-0</f>
        <v>1337.8</v>
      </c>
      <c r="AC154" s="3">
        <f>1522.6+(237.2-311.9)+(-2.329578+(-0.362916--0.477207))+0-147.9--0.226287000000009</f>
        <v>1298.0109999999997</v>
      </c>
      <c r="AD154">
        <f t="shared" si="2"/>
        <v>29882.144333999997</v>
      </c>
      <c r="AE154" s="3">
        <f>1484+(267.8-205.4)+(0+(0-0))+0-158.6-0</f>
        <v>1387.8000000000002</v>
      </c>
    </row>
    <row r="155" spans="1:31" s="2" customFormat="1" x14ac:dyDescent="0.25">
      <c r="A155">
        <v>89</v>
      </c>
      <c r="B155">
        <v>5</v>
      </c>
      <c r="C155">
        <v>31</v>
      </c>
      <c r="D155">
        <v>2</v>
      </c>
      <c r="E155">
        <v>1</v>
      </c>
      <c r="F155" s="3">
        <f>1505.6+(224.2-339.8)+(-1.535712+(-0.228684--0.346596))+0-140--0.142800000000022</f>
        <v>1248.7250000000001</v>
      </c>
      <c r="G155" s="3">
        <f>1499.6+(223.4-371.2)+(-1.529592+(-0.227868--0.378624))+0-146.2--0.149124000000023</f>
        <v>1204.3702879999998</v>
      </c>
      <c r="H155" s="3">
        <f>1503.2+(223.6-393.8)+(0.766632+(0.114036-0.200838))+0-156.5-0.0798149999999841</f>
        <v>1177.100015</v>
      </c>
      <c r="I155" s="3">
        <f>1505.3+(231.5-413.8)+(-0.767703+(-0.118065--0.211038))+0-161.7--0.0824669999999836</f>
        <v>1160.707737</v>
      </c>
      <c r="J155" s="3">
        <f>1509.8+(254.2-433.3)+(-1.539996+(-0.259284--0.441966))+0-162--0.165240000000026</f>
        <v>1167.5079259999998</v>
      </c>
      <c r="K155" s="3">
        <f>1521.4+(268.9-500.7)+(-0.775914+(-0.137139--0.255357))+0-160--0.0815999999999838</f>
        <v>1129.0239040000001</v>
      </c>
      <c r="L155" s="3">
        <f>1532.7+(254.7-551.5)+(-4.690062+(-0.779382--1.68759))+0-160.5--0.491130000000019</f>
        <v>1072.1092760000001</v>
      </c>
      <c r="M155" s="3">
        <f>1550.3+(245.1-557.9)+(0+(0-0))+0-162.9-0</f>
        <v>1074.5999999999999</v>
      </c>
      <c r="N155" s="3">
        <f>1510+(293.6-509)+(0+(0-0))+0-165-0</f>
        <v>1129.5999999999999</v>
      </c>
      <c r="O155" s="3">
        <f>1488.8+(402.6-470)+(0+(0-0))+0-162-0</f>
        <v>1259.4000000000001</v>
      </c>
      <c r="P155" s="3">
        <f>1493.3+(411.9-494.6)+(1.523166+(0.420138-0.504492))+0-163.5-0.166770000000026</f>
        <v>1248.372042</v>
      </c>
      <c r="Q155" s="3">
        <f>1473.4+(370.2-359.8)+(-1.502868+(-0.377604--0.366996))+0-164--0.167280000000026</f>
        <v>1318.4538040000002</v>
      </c>
      <c r="R155" s="3">
        <f>1479+(275.6-214)+(1.50858+(0.281112-0.21828))+0-162.8-0.166056000000026</f>
        <v>1379.2053559999999</v>
      </c>
      <c r="S155" s="3">
        <f>1489.4+(320-259.5)+(-2.278782+(-0.4896--0.397035))+0-166.5--0.25474500000001</f>
        <v>1381.283398</v>
      </c>
      <c r="T155" s="3">
        <f>1482.4+(343.9-265.9)+(-0.756024+(-0.175389--0.135609))+0-186--0.0948599999999811</f>
        <v>1373.6990559999999</v>
      </c>
      <c r="U155" s="3">
        <f>1473.1+(318.7-254.2)+(0+(0-0))+0-164.6-0</f>
        <v>1373</v>
      </c>
      <c r="V155" s="3">
        <f>1467.7+(301-244.2)+(-1.497054+(-0.30702--0.249084))+0-168.2--0.171564000000027</f>
        <v>1354.9165739999999</v>
      </c>
      <c r="W155" s="3">
        <f>1458.2+(338.1-336)+(-2.231046+(-0.517293--0.51408))+0-160.5--0.245565000000009</f>
        <v>1297.8113060000001</v>
      </c>
      <c r="X155" s="3">
        <f>1458.3+(455.5-519.1)+(-1.487466+(-0.46461--0.529482))+0-164.5--0.167790000000026</f>
        <v>1228.9451959999999</v>
      </c>
      <c r="Y155" s="3">
        <f>1464.4+(368.9-372.9)+(-1.493688+(-0.376278--0.380358))+0-163.3--0.166566000000026</f>
        <v>1295.7769580000001</v>
      </c>
      <c r="Z155" s="3">
        <f>1493.9+(280.1-220.4)+(-0.761889+(-0.142851--0.112404))+0-160.5--0.0818549999999837</f>
        <v>1392.3895190000001</v>
      </c>
      <c r="AA155" s="3">
        <f>1480.2+(284.5-212.8)+(-2.264706+(-0.435285--0.325584))+0-163.8--0.25061400000001</f>
        <v>1385.9762070000002</v>
      </c>
      <c r="AB155" s="3">
        <f>1452.8+(288.5-209.2)+(0+(0-0))+0-165.8-0</f>
        <v>1366.3</v>
      </c>
      <c r="AC155" s="3">
        <f>1457.8+(290.4-255.5)+(-0.743478+(-0.148104--0.130305))+0-167.2--0.085271999999983</f>
        <v>1324.8239949999997</v>
      </c>
      <c r="AD155">
        <f t="shared" si="2"/>
        <v>30344.097556999997</v>
      </c>
      <c r="AE155" s="3">
        <f>1493+(273.8-218.4)+(0+(0-0))+0-160.4-0</f>
        <v>1388</v>
      </c>
    </row>
    <row r="156" spans="1:31" s="2" customFormat="1" x14ac:dyDescent="0.25">
      <c r="A156">
        <v>89</v>
      </c>
      <c r="B156">
        <v>6</v>
      </c>
      <c r="C156">
        <v>1</v>
      </c>
      <c r="D156">
        <v>3</v>
      </c>
      <c r="E156">
        <v>1</v>
      </c>
      <c r="F156" s="3">
        <f>1436+(269.5-279.4)+(0+(0-0))+0-166.2-0</f>
        <v>1259.8999999999999</v>
      </c>
      <c r="G156" s="3">
        <f>1454.8+(232.1-303.4)+(-2.967792+(-0.473484--0.618936))+0-163.1--0.332723999999993</f>
        <v>1217.9103840000002</v>
      </c>
      <c r="H156" s="3">
        <f>1470.6+(226.1-347.6)+(2.250018+(0.345933-0.531828))+0-162.1-0.248013000000009</f>
        <v>1188.8161100000002</v>
      </c>
      <c r="I156" s="3">
        <f>1460.2+(227.8-357.7)+(-1.489404+(-0.232356--0.364854))+0-159.8--0.162996000000025</f>
        <v>1169.3060900000003</v>
      </c>
      <c r="J156" s="3">
        <f>1462.8+(242.8-360.2)+(-0.746028+(-0.123828--0.183702))+0-162.5--0.0828749999999835</f>
        <v>1182.2967210000002</v>
      </c>
      <c r="K156" s="3">
        <f>1462.6+(242.9-401.8)+(-0.745926+(-0.123879--0.204918))+0-160--0.0815999999999838</f>
        <v>1143.1167129999999</v>
      </c>
      <c r="L156" s="3">
        <f>1471.4+(243.4-475.2)+(-1.500828+(-0.248268--0.484704))+0-149.2--0.152184000000024</f>
        <v>1089.2877920000001</v>
      </c>
      <c r="M156" s="3">
        <f>1497+(268.8-526.6)+(1.52694+(0.274176-0.537132))+0-144.7-0.147594000000023</f>
        <v>1095.6163899999999</v>
      </c>
      <c r="N156" s="3">
        <f>1495.1+(326.7-523.6)+(0.762501+(0.166617-0.267036))+0-140.5-0.0716549999999857</f>
        <v>1158.2904269999999</v>
      </c>
      <c r="O156" s="3">
        <f>1501.5+(427.4-562.6)+(0.765765+(0.217974-0.286926))+0-139.2-0.0709919999999859</f>
        <v>1227.725821</v>
      </c>
      <c r="P156" s="3">
        <f>1492.7+(410.7-479)+(0+(0-0))+0-135.4-0</f>
        <v>1289</v>
      </c>
      <c r="Q156" s="3">
        <f>1481.9+(285.4-350.7)+(0.755769+(0.145554-0.178857))+0-132.8-0.0677279999999865</f>
        <v>1284.4547380000001</v>
      </c>
      <c r="R156" s="3">
        <f>1488.8+(302.6-275.4)+(0.759288+(0.154326-0.140454))+0-129.6-0.0660959999999868</f>
        <v>1387.107064</v>
      </c>
      <c r="S156" s="3">
        <f>1469.3+(353-300.9)+(0+(0-0))+0-135.7-0</f>
        <v>1385.7</v>
      </c>
      <c r="T156" s="3">
        <f>1457.1+(364.2-326.3)+(0+(0-0))+0-135.6-0</f>
        <v>1359.4</v>
      </c>
      <c r="U156" s="3">
        <f>1462+(349.3-317.7)+(0.74562+(0.178143-0.162027))+0-132.4-0.0675239999999866</f>
        <v>1361.8942119999997</v>
      </c>
      <c r="V156" s="3">
        <f>1453.7+(322.8-276.2)+(0.741387+(0.164628-0.140862))+0-135.1-0.0689009999999863</f>
        <v>1365.8962520000002</v>
      </c>
      <c r="W156" s="3">
        <f>1428+(274.6-258.4)+(-0.72828+(-0.140046--0.131784))+0-137.5--0.070124999999986</f>
        <v>1306.0335829999999</v>
      </c>
      <c r="X156" s="3">
        <f>1434.4+(394.4-459.3)+(-2.194632+(-0.603432--0.702729))+0-135.4--0.207162000000008</f>
        <v>1232.2118269999999</v>
      </c>
      <c r="Y156" s="3">
        <f>1458.8+(350.1-356.4)+(-2.231964+(-0.535653--0.545292))+0-141.5--0.216495000000008</f>
        <v>1308.9941699999999</v>
      </c>
      <c r="Z156" s="3">
        <f>1491.9+(289.8-241.6)+(-0.760869+(-0.147798--0.123216))+0-144.4--0.0736439999999854</f>
        <v>1394.9881930000001</v>
      </c>
      <c r="AA156" s="3">
        <f>1497.2+(293.5-252.4)+(-1.527144+(-0.29937--0.257448))+0-144.1--0.146982000000023</f>
        <v>1392.777916</v>
      </c>
      <c r="AB156" s="3">
        <f>1526.3+(291.3-302.5)+(0+(0-0))+0-143.3-0</f>
        <v>1371.8</v>
      </c>
      <c r="AC156" s="3">
        <f>1514.5+(296.6-336)+(-1.54479+(-0.302532--0.34272))+0-145.4--0.148308000000023</f>
        <v>1328.3437059999999</v>
      </c>
      <c r="AD156">
        <f t="shared" si="2"/>
        <v>30500.868108999995</v>
      </c>
      <c r="AE156" s="3">
        <f>1491+(298.8-253.5)+(0+(0-0))+0-144.9-0</f>
        <v>1391.3999999999999</v>
      </c>
    </row>
    <row r="157" spans="1:31" s="2" customFormat="1" x14ac:dyDescent="0.25">
      <c r="A157">
        <v>89</v>
      </c>
      <c r="B157">
        <v>6</v>
      </c>
      <c r="C157">
        <v>2</v>
      </c>
      <c r="D157">
        <v>4</v>
      </c>
      <c r="E157">
        <v>1</v>
      </c>
      <c r="F157" s="3">
        <f>1448.7+(257.6-290.4)+(-0.738837+(-0.131376--0.148104))+0-143.5--0.0731849999999854</f>
        <v>1271.751076</v>
      </c>
      <c r="G157" s="3">
        <f>1380+(236.8-241.6)+(-2.1114+(-0.362304--0.369648))+0-141.6--0.216648000000008</f>
        <v>1231.7125920000003</v>
      </c>
      <c r="H157" s="3">
        <f>1360.1+(218.8-233.8)+(-0.693651+(-0.111588--0.119238))+0-138.2--0.070481999999986</f>
        <v>1206.2844809999999</v>
      </c>
      <c r="I157" s="3">
        <f>1363.5+(217.8-253.2)+(0.695385+(0.111078-0.129132))+0-137.7-0.070226999999986</f>
        <v>1191.007104</v>
      </c>
      <c r="J157" s="3">
        <f>1369.9+(232.9-262.1)+(0+(0-0))+0-138.2-0</f>
        <v>1202.5</v>
      </c>
      <c r="K157" s="3">
        <f>1379.6+(253.3-325.7)+(-3.51798+(-0.645915--0.830535))+0-140--0.35699999999998</f>
        <v>1164.2236399999997</v>
      </c>
      <c r="L157" s="3">
        <f>1378.1+(263.4-392)+(0+(0-0))+0-131.5-0</f>
        <v>1118</v>
      </c>
      <c r="M157" s="3">
        <f>1376.1+(312.5-416.9)+(-1.403622+(-0.31875--0.425238))+0-133.8--0.136476000000021</f>
        <v>1136.7393420000001</v>
      </c>
      <c r="N157" s="3">
        <f>1372.5+(368.5-412.5)+(0+(0-0))+0-133.4-0</f>
        <v>1195.0999999999999</v>
      </c>
      <c r="O157" s="3">
        <f>1357.9+(401.7-375.5)+(0.692529+(0.204867-0.191505))+0-135.6-0.0691559999999862</f>
        <v>1249.1367350000003</v>
      </c>
      <c r="P157" s="3">
        <f>1346.1+(372.5-265.9)+(0.686511+(0.189975-0.135609))+0-139.3-0.0710429999999859</f>
        <v>1314.0698339999999</v>
      </c>
      <c r="Q157" s="3">
        <f>1332+(334.6-157.6)+(0+(0-0))+0-141.1-0</f>
        <v>1367.9</v>
      </c>
      <c r="R157" s="3">
        <f>1341+(361-162.4)+(-0.68391+(-0.18411--0.082824))+0-140.2--0.0715019999999858</f>
        <v>1398.6863059999998</v>
      </c>
      <c r="S157" s="3">
        <f>1335.3+(414.3-221.6)+(-0.681003+(-0.211293--0.113016))+0-135.8--0.0692579999999862</f>
        <v>1391.4899780000001</v>
      </c>
      <c r="T157" s="3">
        <f>1325+(461-270.6)+(0.67575+(0.23511-0.138006))+0-136.1-0.0694109999999862</f>
        <v>1380.0034430000003</v>
      </c>
      <c r="U157" s="3">
        <f>1322.5+(451.8-255.9)+(-1.34895+(-0.460836--0.261018))+0-133.7--0.136374000000021</f>
        <v>1383.2876059999999</v>
      </c>
      <c r="V157" s="3">
        <f>1303.6+(396.6-194.4)+(0+(0-0))+0-133.6-0</f>
        <v>1372.2</v>
      </c>
      <c r="W157" s="3">
        <f>1300.9+(314.1-195)+(-2.653836+(-0.640764--0.3978))+0-134.3--0.273971999999994</f>
        <v>1283.077172</v>
      </c>
      <c r="X157" s="3">
        <f>1262.7+(413.4-291.6)+(1.287954+(0.421668-0.297432))+0-135.1-0.137802000000022</f>
        <v>1250.6743880000001</v>
      </c>
      <c r="Y157" s="3">
        <f>1280+(345.3-158.7)+(0.6528+(0.176103-0.080937))+0-133.5-0.0680849999999865</f>
        <v>1333.7798809999999</v>
      </c>
      <c r="Z157" s="3">
        <f>1307.5+(373.3-143.1)+(-1.33365+(-0.380766--0.145962))+0-140.4--0.143208000000022</f>
        <v>1395.8747539999999</v>
      </c>
      <c r="AA157" s="3">
        <f>1295.9+(358.7-130.7)+(-1.982727+(-0.548811--0.199971))+0-138.3--0.211599000000008</f>
        <v>1383.4800320000002</v>
      </c>
      <c r="AB157" s="3">
        <f>1269.6+(379.9-144.4)+(-1.942488+(-0.581247--0.220932))+0-135.6--0.207468000000008</f>
        <v>1367.404665</v>
      </c>
      <c r="AC157" s="3">
        <f>1235.2+(399.6-183.9)+(-1.259904+(-0.407592--0.187578))+0-134.9--0.137598000000022</f>
        <v>1314.65768</v>
      </c>
      <c r="AD157">
        <f t="shared" si="2"/>
        <v>30903.040709000004</v>
      </c>
      <c r="AE157" s="3">
        <f>1330+(362.8-147.1)+(0+(0-0))+0-153.1-0</f>
        <v>1392.6000000000001</v>
      </c>
    </row>
    <row r="158" spans="1:31" s="2" customFormat="1" x14ac:dyDescent="0.25">
      <c r="A158">
        <v>89</v>
      </c>
      <c r="B158">
        <v>6</v>
      </c>
      <c r="C158">
        <v>3</v>
      </c>
      <c r="D158">
        <v>5</v>
      </c>
      <c r="E158">
        <v>1</v>
      </c>
      <c r="F158" s="3">
        <f>1232+(356.8-176.8)+(-0.62832+(-0.181968--0.090168))+0-136.9--0.0698189999999861</f>
        <v>1274.449699</v>
      </c>
      <c r="G158" s="3">
        <f>1264.1+(310.6-170.3)+(-1.289382+(-0.316812--0.173706))+0-141.5--0.144330000000023</f>
        <v>1261.611842</v>
      </c>
      <c r="H158" s="3">
        <f>1240.3+(273.6-165.4)+(0+(0-0))+0-136.3-0</f>
        <v>1212.2</v>
      </c>
      <c r="I158" s="3">
        <f>1245+(250.2-167.2)+(-2.5398+(-0.510408--0.341088))+0-135.1--0.275603999999994</f>
        <v>1190.466484</v>
      </c>
      <c r="J158" s="3">
        <f>1290.6+(235.1-182.7)+(0+(0-0))+0-131.2-0</f>
        <v>1211.8</v>
      </c>
      <c r="K158" s="3">
        <f>1342.7+(245.8-270.3)+(-0.684777+(-0.125358--0.137853))+0-132.4--0.0675239999999866</f>
        <v>1185.195242</v>
      </c>
      <c r="L158" s="3">
        <f>1365.2+(269.1-380.9)+(-3.48126+(-0.686205--0.971295))+0-125.6--0.320279999999982</f>
        <v>1124.9241100000002</v>
      </c>
      <c r="M158" s="3">
        <f>1368.7+(232.8-348.7)+(-2.094111+(-0.356184--0.533511))+0-129--0.197370000000007</f>
        <v>1122.0805860000003</v>
      </c>
      <c r="N158" s="3">
        <f>1367.4+(298-337.9)+(0.697374+(0.15198-0.172329))+0-129.2-0.0658919999999869</f>
        <v>1198.9111329999998</v>
      </c>
      <c r="O158" s="3">
        <f>1342.2+(401.1-350.5)+(-0.684522+(-0.204561--0.178755))+0-136.4--0.0695639999999862</f>
        <v>1255.7592360000001</v>
      </c>
      <c r="P158" s="3">
        <f>1328.1+(329.9-206.2)+(0+(0-0))+0-130.7-0</f>
        <v>1321.1</v>
      </c>
      <c r="Q158" s="3">
        <f>1316.4+(308.2-119)+(0+(0-0))+0-133.6-0</f>
        <v>1372.0000000000002</v>
      </c>
      <c r="R158" s="3">
        <f>1298+(374-153)+(0+(0-0))+0-137-0</f>
        <v>1382</v>
      </c>
      <c r="S158" s="3">
        <f>1307.3+(410-211.7)+(-1.333446+(-0.4182--0.215934))+0-123.6--0.12607200000002</f>
        <v>1380.5903599999999</v>
      </c>
      <c r="T158" s="3">
        <f>1300.3+(399.6-235.3)+(0+(0-0))+0-121.4-0</f>
        <v>1343.1999999999998</v>
      </c>
      <c r="U158" s="3">
        <f>1299+(404.1-238.2)+(-0.66249+(-0.206091--0.121482))+0-119.3--0.0608429999999879</f>
        <v>1344.9137440000002</v>
      </c>
      <c r="V158" s="3">
        <f>1290.9+(350.9-210.5)+(0.658359+(0.178959-0.107355))+0-118.9-0.0606389999999879</f>
        <v>1313.0693240000001</v>
      </c>
      <c r="W158" s="3">
        <f>1294.2+(270-205.3)+(-0.660042+(-0.1377--0.104703))+0-121.6--0.0620159999999877</f>
        <v>1236.6689770000003</v>
      </c>
      <c r="X158" s="3">
        <f>1263+(386.7-330)+(-1.28826+(-0.394434--0.3366))+0-125.6--0.12811200000002</f>
        <v>1192.8820180000002</v>
      </c>
      <c r="Y158" s="3">
        <f>1275.6+(308.6-156.3)+(-0.650556+(-0.157386--0.079713))+0-134.4--0.0685439999999864</f>
        <v>1292.8403149999997</v>
      </c>
      <c r="Z158" s="3">
        <f>1324.8+(337.3-153.8)+(-2.026944+(-0.516069--0.235314))+0-135.3--0.207009000000008</f>
        <v>1370.89931</v>
      </c>
      <c r="AA158" s="3">
        <f>1337.9+(333.2-172.6)+(-0.682329+(-0.169932--0.088026))+0-141.5--0.0721649999999856</f>
        <v>1356.3079299999999</v>
      </c>
      <c r="AB158" s="3">
        <f>1308+(347.4-171.6)+(-2.00124+(-0.531522--0.262548))+0-139.9--0.214047000000008</f>
        <v>1341.8438329999999</v>
      </c>
      <c r="AC158" s="3">
        <f>1300.5+(396-269.1)+(-0.663255+(-0.20196--0.137241))+0-143.4--0.0731339999999855</f>
        <v>1283.3451600000001</v>
      </c>
      <c r="AD158">
        <f t="shared" si="2"/>
        <v>30569.059303000005</v>
      </c>
      <c r="AE158" s="3">
        <f>1341+(318.9-171.6)+(0+(0-0))+0-140.5-0</f>
        <v>1347.8</v>
      </c>
    </row>
    <row r="159" spans="1:31" s="2" customFormat="1" x14ac:dyDescent="0.25">
      <c r="A159">
        <v>89</v>
      </c>
      <c r="B159">
        <v>6</v>
      </c>
      <c r="C159">
        <v>4</v>
      </c>
      <c r="D159">
        <v>6</v>
      </c>
      <c r="E159">
        <v>1</v>
      </c>
      <c r="F159" s="3">
        <f>1293.1+(374.6-284.3)+(-2.637924+(-0.764184--0.579972))+0-141.1--0.287843999999994</f>
        <v>1239.7657079999999</v>
      </c>
      <c r="G159" s="3">
        <f>1295.6+(320.4-281.2)+(-3.964536+(-0.980424--0.860472))+0-136.8--0.418608000000016</f>
        <v>1194.33412</v>
      </c>
      <c r="H159" s="3">
        <f>1301.9+(284.3-279.2)+(-1.327938+(-0.289986--0.284784))+0-136--0.138720000000022</f>
        <v>1169.80558</v>
      </c>
      <c r="I159" s="3">
        <f>1314.2+(262.3-280.6)+(2.680968+(0.535092-0.572424))+0-135.4-0.276215999999994</f>
        <v>1162.86742</v>
      </c>
      <c r="J159" s="3">
        <f>1339.1+(238.7-267)+(0+(0-0))+0-135-0</f>
        <v>1175.8</v>
      </c>
      <c r="K159" s="3">
        <f>1351.4+(223.7-287.8)+(-3.44607+(-0.570435--0.73389))+0-134.9--0.34399499999998</f>
        <v>1149.46138</v>
      </c>
      <c r="L159" s="3">
        <f>1357.8+(229.7-366.8)+(-3.46239+(-0.585735--0.93534))+0-132.3--0.337364999999981</f>
        <v>1085.6245799999999</v>
      </c>
      <c r="M159" s="3">
        <f>1351.9+(245.2-368.1)+(0+(0-0))+0-134.5-0</f>
        <v>1094.5</v>
      </c>
      <c r="N159" s="3">
        <f>1338.6+(295.2-345.7)+(-0.682686+(-0.150552--0.176307))+0-139.1--0.0709409999999859</f>
        <v>1148.41401</v>
      </c>
      <c r="O159" s="3">
        <f>1332.1+(321.8-312.1)+(-0.679371+(-0.164118--0.159171))+0-139.3--0.0710429999999859</f>
        <v>1201.8867249999998</v>
      </c>
      <c r="P159" s="3">
        <f>1322.7+(322.5-270.3)+(-2.023731+(-0.493425--0.413559))+0-139.7--0.213741000000008</f>
        <v>1233.310144</v>
      </c>
      <c r="Q159" s="3">
        <f>1307.6+(291.9-179.1)+(0+(0-0))+0-138.7-0</f>
        <v>1281.6999999999998</v>
      </c>
      <c r="R159" s="3">
        <f>1319.2+(323-191.2)+(1.345584+(0.32946-0.195024))+0-135.2-0.137904000000022</f>
        <v>1317.142116</v>
      </c>
      <c r="S159" s="3">
        <f>1314.8+(381.5-242)+(0.670548+(0.194565-0.12342))+0-136.7-0.0697169999999861</f>
        <v>1318.2719759999998</v>
      </c>
      <c r="T159" s="3">
        <f>1309.3+(401.8-291.6)+(-1.335486+(-0.409836--0.297432))+0-137.5--0.140250000000022</f>
        <v>1280.69236</v>
      </c>
      <c r="U159" s="3">
        <f>1303.2+(425.3-311)+(-1.993896+(-0.650709--0.47583))+0-131.4--0.201042000000008</f>
        <v>1284.1322669999997</v>
      </c>
      <c r="V159" s="3">
        <f>1301.8+(367.3-252.2)+(-2.655672+(-0.749292--0.514488))+0-135.6--0.276623999999994</f>
        <v>1278.6861480000002</v>
      </c>
      <c r="W159" s="3">
        <f>1306.4+(281.9-219.9)+(-3.33132+(-0.718845--0.560745))+0-134.3--0.342464999999981</f>
        <v>1230.953045</v>
      </c>
      <c r="X159" s="3">
        <f>1318.8+(297.6-317.2)+(-1.345176+(-0.303552--0.323544))+0-135.8--0.138516000000022</f>
        <v>1162.213332</v>
      </c>
      <c r="Y159" s="3">
        <f>1317.1+(236.3-171)+(0.671721+(0.120513-0.08721))+0-134.7-0.0686969999999863</f>
        <v>1248.336327</v>
      </c>
      <c r="Z159" s="3">
        <f>1366.2+(321.8-236.1)+(-2.090286+(-0.492354--0.361233))+0-131.9--0.201807000000008</f>
        <v>1317.9803999999999</v>
      </c>
      <c r="AA159" s="3">
        <f>1375.9+(313.4-240.6)+(-3.508545+(-0.79917--0.61353))+0-134.6--0.34322999999998</f>
        <v>1310.749045</v>
      </c>
      <c r="AB159" s="3">
        <f>1361.7+(316.5-242.2)+(-0.694467+(-0.161415--0.123522))+0-135.5--0.0691049999999863</f>
        <v>1299.8367450000001</v>
      </c>
      <c r="AC159" s="3">
        <f>1361.2+(315.8-278.1)+(-2.776848+(-0.644232--0.567324))+0-136.3--0.278051999999994</f>
        <v>1260.024296</v>
      </c>
      <c r="AD159">
        <f t="shared" si="2"/>
        <v>29446.487724000002</v>
      </c>
      <c r="AE159" s="3">
        <f>1368+(328.5-241.9)+(0+(0-0))+0-134.1-0</f>
        <v>1320.5</v>
      </c>
    </row>
    <row r="160" spans="1:31" s="2" customFormat="1" x14ac:dyDescent="0.25">
      <c r="A160">
        <v>89</v>
      </c>
      <c r="B160">
        <v>6</v>
      </c>
      <c r="C160">
        <v>5</v>
      </c>
      <c r="D160">
        <v>7</v>
      </c>
      <c r="E160">
        <v>1</v>
      </c>
      <c r="F160" s="3">
        <f>1357+(285.2-276.4)+(-0.69207+(-0.145452--0.140964))+0-139--0.0708899999999859</f>
        <v>1226.1743319999998</v>
      </c>
      <c r="G160" s="3">
        <f>1361+(259.5-293)+(-0.69411+(-0.132345--0.14943))+0-139.1--0.0709409999999859</f>
        <v>1187.7939160000001</v>
      </c>
      <c r="H160" s="3">
        <f>1250+(273.8-227.4)+(-3.825+(-0.837828--0.695844))+0-137.6--0.421056000000016</f>
        <v>1155.2540720000002</v>
      </c>
      <c r="I160" s="3">
        <f>1181.1+(284.9-194.4)+(1.807083+(0.435897-0.297432))+0-137.2-0.209916000000008</f>
        <v>1136.1356319999998</v>
      </c>
      <c r="J160" s="3">
        <f>1184.9+(274.2-179.4)+(-2.417196+(-0.559368--0.365976))+0-144.5--0.294779999999994</f>
        <v>1132.884192</v>
      </c>
      <c r="K160" s="3">
        <f>1186.8+(257.4-197.6)+(-0.605268+(-0.131274--0.100776))+0-132.4--0.0675239999999866</f>
        <v>1113.6317579999998</v>
      </c>
      <c r="L160" s="3">
        <f>1188.2+(261.1-244.1)+(0+(0-0))+0-154.1-0</f>
        <v>1051.1000000000001</v>
      </c>
      <c r="M160" s="3">
        <f>1188.2+(285.9-281.7)+(0+(0-0))+0-158-0</f>
        <v>1034.4000000000001</v>
      </c>
      <c r="N160" s="3">
        <f>1176+(281.2-239.9)+(0+(0-0))+0-158.6-0</f>
        <v>1058.7</v>
      </c>
      <c r="O160" s="3">
        <f>1161.7+(314.7-212.2)+(-1.184934+(-0.320994--0.216444))+0-160.7--0.163914000000026</f>
        <v>1102.3744300000001</v>
      </c>
      <c r="P160" s="3">
        <f>1140.7+(321.7-141.7)+(-1.163514+(-0.328134--0.144534))+0-161--0.164220000000026</f>
        <v>1158.5171060000002</v>
      </c>
      <c r="Q160" s="3">
        <f>1142.1+(322.9-85.5)+(0+(0-0))+0-157.9-0</f>
        <v>1221.5999999999999</v>
      </c>
      <c r="R160" s="3">
        <f>1139.9+(395.1-101.4)+(-0.581349+(-0.201501--0.051714))+0-166.2--0.0847619999999831</f>
        <v>1266.7536259999999</v>
      </c>
      <c r="S160" s="3">
        <f>1141.3+(475.3-178.7)+(-1.164126+(-0.484806--0.182274))+0-170.5--0.173910000000027</f>
        <v>1266.107252</v>
      </c>
      <c r="T160" s="3">
        <f>1160.8+(481.4-222)+(-1.776024+(-0.736542--0.33966))+0-168.9--0.25841700000001</f>
        <v>1249.3855109999997</v>
      </c>
      <c r="U160" s="3">
        <f>1203.2+(454.2-229.7)+(-2.454528+(-0.926568--0.468588))+0-166.1--0.338843999999993</f>
        <v>1259.0263360000001</v>
      </c>
      <c r="V160" s="3">
        <f>1270.6+(348.2-206.8)+(-1.296012+(-0.355164--0.210936))+0-166.2--0.169524000000026</f>
        <v>1244.5292840000002</v>
      </c>
      <c r="W160" s="3">
        <f>1291.8+(278.8-218.9)+(1.317636+(0.284376-0.223278))+0-168.5-0.171870000000027</f>
        <v>1184.4068639999998</v>
      </c>
      <c r="X160" s="3">
        <f>1301.7+(330.4-331.7)+(0+(0-0))+0-171.2-0</f>
        <v>1129.2</v>
      </c>
      <c r="Y160" s="3">
        <f>1295.8+(254.5-151)+(0+(0-0))+0-168.8-0</f>
        <v>1230.5</v>
      </c>
      <c r="Z160" s="3">
        <f>1331.5+(341.2-201.7)+(-0.679065+(-0.174012--0.102867))+0-160.7--0.0819569999999837</f>
        <v>1309.6317469999999</v>
      </c>
      <c r="AA160" s="3">
        <f>1356.8+(357.8-236.8)+(-0.691968+(-0.182478--0.120768))+0-161.2--0.0822119999999836</f>
        <v>1315.9285339999999</v>
      </c>
      <c r="AB160" s="3">
        <f>1351.3+(363.7-257)+(-1.378326+(-0.370974--0.26214))+0-158.9--0.162078000000025</f>
        <v>1297.7749180000001</v>
      </c>
      <c r="AC160" s="3">
        <f>1344.2+(342.6-268.5)+(0+(0-0))+0-160.7-0</f>
        <v>1257.6000000000001</v>
      </c>
      <c r="AD160">
        <f t="shared" si="2"/>
        <v>28589.409509999994</v>
      </c>
      <c r="AE160" s="3">
        <f>1348+(353.8-226.9)+(0+(0-0))+0-150.2-0</f>
        <v>1324.7</v>
      </c>
    </row>
    <row r="161" spans="1:31" s="2" customFormat="1" x14ac:dyDescent="0.25">
      <c r="A161">
        <v>89</v>
      </c>
      <c r="B161">
        <v>6</v>
      </c>
      <c r="C161">
        <v>6</v>
      </c>
      <c r="D161">
        <v>1</v>
      </c>
      <c r="E161">
        <v>1</v>
      </c>
      <c r="F161" s="3">
        <f>1368.3+(299.2-304.5)+(-0.697833+(-0.152592--0.155295))+0-155.8--0.0794579999999842</f>
        <v>1206.5843279999999</v>
      </c>
      <c r="G161" s="3">
        <f>1375.7+(257.7-313)+(0+(0-0))+0-156.7-0</f>
        <v>1163.7</v>
      </c>
      <c r="H161" s="3">
        <f>1376.2+(211.9-292.8)+(-2.807448+(-0.432276--0.597312))+0-156.8--0.319871999999993</f>
        <v>1136.1774600000001</v>
      </c>
      <c r="I161" s="3">
        <f>1374.9+(192.1-285.5)+(0+(0-0))+0-153.7-0</f>
        <v>1127.8</v>
      </c>
      <c r="J161" s="3">
        <f>1379.5+(194.2-292.4)+(-1.40709+(-0.198084--0.298248))+0-153.4--0.156468000000024</f>
        <v>1126.749542</v>
      </c>
      <c r="K161" s="3">
        <f>1389.2+(213.8-353.1)+(-3.54246+(-0.54519--0.900405))+0-154--0.392699999999978</f>
        <v>1093.1054549999999</v>
      </c>
      <c r="L161" s="3">
        <f>1388.4+(257-427.8)+(-4.248504+(-0.78642--1.309068))+0-151.9--0.464814000000018</f>
        <v>1062.438958</v>
      </c>
      <c r="M161" s="3">
        <f>1389.6+(274.8-436.8)+(0.708696+(0.140148-0.222768))+0-155.9-0.0795089999999842</f>
        <v>1072.2465669999999</v>
      </c>
      <c r="N161" s="3">
        <f>1376.7+(291.5-394.1)+(0+(0-0))+0-157-0</f>
        <v>1117.0999999999999</v>
      </c>
      <c r="O161" s="3">
        <f>1350.6+(299.9-315.9)+(-0.688806+(-0.152949--0.161109))+0-151.1--0.0770609999999847</f>
        <v>1182.8964149999999</v>
      </c>
      <c r="P161" s="3">
        <f>1343.4+(299-242.2)+(1.370268+(0.30498-0.247044))+0-142.3-0.145146000000023</f>
        <v>1259.1830580000001</v>
      </c>
      <c r="Q161" s="3">
        <f>1282.8+(292.8-136)+(0.654228+(0.149328-0.06936))+0-139.8-0.0712979999999858</f>
        <v>1300.462898</v>
      </c>
      <c r="R161" s="3">
        <f>1317+(367.9-190.2)+(0.67167+(0.187629-0.097002))+0-147.7-0.075326999999985</f>
        <v>1347.68697</v>
      </c>
      <c r="S161" s="3">
        <f>1321.1+(453.3-279.3)+(0+(0-0))+0-142.1-0</f>
        <v>1353</v>
      </c>
      <c r="T161" s="3">
        <f>1318.4+(492.9-324.6)+(0+(0-0))+0-147.7-0</f>
        <v>1339</v>
      </c>
      <c r="U161" s="3">
        <f>1318.8+(454-309.3)+(-2.690352+(-0.92616--0.630972))+0-142.9--0.291515999999994</f>
        <v>1317.905976</v>
      </c>
      <c r="V161" s="3">
        <f>1310.7+(321.9-221.1)+(-3.342285+(-0.820845--0.563805))+0-145.6--0.371279999999979</f>
        <v>1262.6719550000003</v>
      </c>
      <c r="W161" s="3">
        <f>1314.2+(205.2-179.6)+(-2.680968+(-0.418608--0.366384))+0-148.6--0.303143999999993</f>
        <v>1188.7699520000001</v>
      </c>
      <c r="X161" s="3">
        <f>1310+(308-340.4)+(-2.0043+(-0.47124--0.520812))+0-148.8--0.227664000000009</f>
        <v>1127.072936</v>
      </c>
      <c r="Y161" s="3">
        <f>1308+(288.7-189.8)+(0.66708+(0.147237-0.096798))+0-147.6-0.075275999999985</f>
        <v>1259.9422430000002</v>
      </c>
      <c r="Z161" s="3">
        <f>1336.3+(351.2-208.4)+(-2.726052+(-0.716448--0.425136))+0-147.8--0.301511999999994</f>
        <v>1328.5841479999999</v>
      </c>
      <c r="AA161" s="3">
        <f>1345.9+(372.1-235.3)+(-4.118454+(-1.138626--0.720018))+0-149.2--0.456552000000017</f>
        <v>1329.41949</v>
      </c>
      <c r="AB161" s="3">
        <f>1326.3+(380.9-248.1)+(-1.352826+(-0.388518--0.253062))+0-147.7--0.150654000000024</f>
        <v>1310.0623719999999</v>
      </c>
      <c r="AC161" s="3">
        <f>1304.1+(359.3-248.4)+(-1.330182+(-0.366486--0.253368))+0-150.9--0.153918000000024</f>
        <v>1262.810618</v>
      </c>
      <c r="AD161">
        <f t="shared" si="2"/>
        <v>29275.371341000002</v>
      </c>
      <c r="AE161" s="3">
        <f>1343+(368.1-225.5)+(0+(0-0))+0-149.2-0</f>
        <v>1336.3999999999999</v>
      </c>
    </row>
    <row r="162" spans="1:31" s="2" customFormat="1" x14ac:dyDescent="0.25">
      <c r="A162">
        <v>89</v>
      </c>
      <c r="B162">
        <v>6</v>
      </c>
      <c r="C162">
        <v>7</v>
      </c>
      <c r="D162">
        <v>2</v>
      </c>
      <c r="E162">
        <v>1</v>
      </c>
      <c r="F162" s="3">
        <f>1288.4+(356.1-269.6)+(-1.314168+(-0.363222--0.274992))+0-151.3--0.154326000000024</f>
        <v>1222.3519280000003</v>
      </c>
      <c r="G162" s="3">
        <f>1284.8+(320.2-277.8)+(-2.620992+(-0.653208--0.566712))+0-151.4--0.308855999999993</f>
        <v>1173.4013679999998</v>
      </c>
      <c r="H162" s="3">
        <f>1285.9+(286.5-271.3)+(-3.279045+(-0.730575--0.691815))+0-151.5--0.386324999999978</f>
        <v>1146.6685200000002</v>
      </c>
      <c r="I162" s="3">
        <f>1303.3+(253.6-276.2)+(-1.329366+(-0.258672--0.281724))+0-148.4--0.151368000000024</f>
        <v>1131.1450540000001</v>
      </c>
      <c r="J162" s="3">
        <f>1325.6+(220-270)+(2.704224+(0.4488-0.5508))+0-144.7-0.295187999999994</f>
        <v>1133.2070359999998</v>
      </c>
      <c r="K162" s="3">
        <f>1323.8+(208.7-277.9)+(-2.025414+(-0.319311--0.425187))+0-143.3--0.219249000000008</f>
        <v>1109.5997109999998</v>
      </c>
      <c r="L162" s="3">
        <f>1319.2+(198.7-324.6)+(0+(0-0))+0-143.8-0</f>
        <v>1049.5</v>
      </c>
      <c r="M162" s="3">
        <f>1318.1+(203.2-324.1)+(0+(0-0))+0-145.2-0</f>
        <v>1051.9999999999998</v>
      </c>
      <c r="N162" s="3">
        <f>1324.6+(221.9-288.5)+(1.351092+(0.226338-0.29427))+0-145.7-0.148614000000023</f>
        <v>1113.434546</v>
      </c>
      <c r="O162" s="3">
        <f>1335.3+(274.2-284.1)+(-0.681003+(-0.139842--0.144891))+0-148.8--0.0758879999999849</f>
        <v>1175.9999339999999</v>
      </c>
      <c r="P162" s="3">
        <f>1325.6+(290.1-197)+(0+(0-0))+0-161.2-0</f>
        <v>1257.4999999999998</v>
      </c>
      <c r="Q162" s="3">
        <f>1315.6+(312.7-159.5)+(0.670956+(0.159477-0.081345))+0-150.2-0.0766019999999848</f>
        <v>1319.2724859999998</v>
      </c>
      <c r="R162" s="3">
        <f>1303.6+(396-180.5)+(-1.994508+(-0.60588--0.276165))+0-148--0.226440000000009</f>
        <v>1369.0022169999997</v>
      </c>
      <c r="S162" s="3">
        <f>1294.9+(406.8-206.2)+(-1.981197+(-0.622404--0.315486))+0-141.2--0.216036000000008</f>
        <v>1352.2279209999999</v>
      </c>
      <c r="T162" s="3">
        <f>1294.6+(429.9-215.4)+(-1.980738+(-0.657747--0.329562))+0-146.1--0.223533000000008</f>
        <v>1360.91461</v>
      </c>
      <c r="U162" s="3">
        <f>1267.4+(388.4-174.4)+(-1.292748+(-0.396168--0.177888))+0-143.7--0.146574000000023</f>
        <v>1336.3355460000002</v>
      </c>
      <c r="V162" s="3">
        <f>1277.7+(330.4-120.5)+(-5.213016+(-1.348032--0.49164))+0-152.4--0.621791999999987</f>
        <v>1329.7523839999997</v>
      </c>
      <c r="W162" s="3">
        <f>1276.3+(329.9-173)+(-2.603652+(-0.672996--0.35292))+0-154.9--0.315995999999993</f>
        <v>1275.6922679999998</v>
      </c>
      <c r="X162" s="3">
        <f>1274.2+(440-328.4)+(-1.299684+(-0.4488--0.334968))+0-153.9--0.156978000000025</f>
        <v>1230.643462</v>
      </c>
      <c r="Y162" s="3">
        <f>1297.3+(397.2-238.2)+(0.661623+(0.202572-0.121482))+0-147.8-0.075377999999985</f>
        <v>1309.1673350000001</v>
      </c>
      <c r="Z162" s="3">
        <f>1320.6+(329.4-141.9)+(-2.020518+(-0.503982--0.217107))+0-149.1--0.228123000000009</f>
        <v>1356.92073</v>
      </c>
      <c r="AA162" s="3">
        <f>1321.6+(355.5-160.5)+(-4.044096+(-1.08783--0.49113))+0-153.9--0.470934000000018</f>
        <v>1358.5301379999999</v>
      </c>
      <c r="AB162" s="3">
        <f>1313.2+(359.6-174.1)+(-2.009196+(-0.550188--0.266373))+0-145.6--0.222768000000008</f>
        <v>1351.0297570000002</v>
      </c>
      <c r="AC162" s="3">
        <f>1303.9+(345.8-201.2)+(-1.329978+(-0.352716--0.205224))+0-145.3--0.148206000000023</f>
        <v>1301.8707360000001</v>
      </c>
      <c r="AD162">
        <f t="shared" si="2"/>
        <v>29816.167686999994</v>
      </c>
      <c r="AE162" s="3">
        <f>1316+(353.9-159.3)+(0+(0-0))+0-149.6-0</f>
        <v>1361</v>
      </c>
    </row>
    <row r="163" spans="1:31" s="2" customFormat="1" x14ac:dyDescent="0.25">
      <c r="A163">
        <v>89</v>
      </c>
      <c r="B163">
        <v>6</v>
      </c>
      <c r="C163">
        <v>8</v>
      </c>
      <c r="D163">
        <v>3</v>
      </c>
      <c r="E163">
        <v>1</v>
      </c>
      <c r="F163" s="3">
        <f>1291.3+(324.1-186.8)+(-1.317126+(-0.330582--0.190536))+0-145.5--0.148410000000023</f>
        <v>1281.791238</v>
      </c>
      <c r="G163" s="3">
        <f>1298.9+(313.6-227.3)+(-0.662439+(-0.159936--0.115923))+0-144.9--0.0738989999999853</f>
        <v>1239.667447</v>
      </c>
      <c r="H163" s="3">
        <f>1302.4+(263.3-211.6)+(0+(0-0))+0-141.3-0</f>
        <v>1212.8000000000002</v>
      </c>
      <c r="I163" s="3">
        <f>1306.1+(268.3-242.1)+(-1.332222+(-0.273666--0.246942))+0-141.2--0.144024000000022</f>
        <v>1189.8850779999998</v>
      </c>
      <c r="J163" s="3">
        <f>1311+(284.7-260.3)+(0.66861+(0.145197-0.132753))+0-139.9-0.0713489999999858</f>
        <v>1196.1097049999998</v>
      </c>
      <c r="K163" s="3">
        <f>1314.5+(290.2-306.6)+(-2.68158+(-0.592008--0.625464))+0-140.7--0.287027999999994</f>
        <v>1155.0389039999998</v>
      </c>
      <c r="L163" s="3">
        <f>1305.4+(252.5-309.7)+(-3.994524+(-0.77265--0.947682))+0-142.4--0.435744000000016</f>
        <v>1102.416252</v>
      </c>
      <c r="M163" s="3">
        <f>1313.3+(257.7-341.3)+(1.339566+(0.262854-0.348126))+0-141.2-0.144024000000022</f>
        <v>1089.6102699999999</v>
      </c>
      <c r="N163" s="3">
        <f>1306.8+(287.8-328)+(0.666468+(0.146778-0.16728))+0-138.5-0.0706349999999859</f>
        <v>1128.6753309999999</v>
      </c>
      <c r="O163" s="3">
        <f>1297.2+(292-246.4)+(0+(0-0))+0-145.3-0</f>
        <v>1197.5</v>
      </c>
      <c r="P163" s="3">
        <f>1292.6+(391-270.7)+(2.636904+(0.79764-0.552228))+0-145.5-0.296819999999994</f>
        <v>1269.9854959999998</v>
      </c>
      <c r="Q163" s="3">
        <f>1304.2+(382.6-204)+(1.330284+(0.390252-0.20808))+0-154.5-0.157590000000025</f>
        <v>1329.6548660000001</v>
      </c>
      <c r="R163" s="3">
        <f>1303.6+(347.6-155.3)+(-0.664836+(-0.177276--0.079203))+0-149.8--0.0763979999999848</f>
        <v>1345.4134889999998</v>
      </c>
      <c r="S163" s="3">
        <f>1301.8+(393.8-189)+(0+(0-0))+0-152.9-0</f>
        <v>1353.6999999999998</v>
      </c>
      <c r="T163" s="3">
        <f>1306.1+(403.8-223.4)+(0.666111+(0.205938-0.113934))+0-155.4-0.0792539999999842</f>
        <v>1331.778861</v>
      </c>
      <c r="U163" s="3">
        <f>1302.8+(381.6-227.5)+(0.664428+(0.194616-0.116025))+0-152.6-0.0778259999999845</f>
        <v>1304.9651930000002</v>
      </c>
      <c r="V163" s="3">
        <f>1304.3+(333.8-200.3)+(-1.995579+(-0.510714--0.306459))+0-149.3--0.228429000000009</f>
        <v>1286.528595</v>
      </c>
      <c r="W163" s="3">
        <f>1314.6+(255.7-223.7)+(-2.011338+(-0.391221--0.342261))+0-152.7--0.233631000000009</f>
        <v>1192.0733329999998</v>
      </c>
      <c r="X163" s="3">
        <f>1310.3+(392-369.2)+(-0.668253+(-0.19992--0.188292))+0-153.4--0.0782339999999844</f>
        <v>1179.0983529999999</v>
      </c>
      <c r="Y163" s="3">
        <f>1314.8+(348.1-224.5)+(0.670548+(0.177531-0.114495))+0-159.2-0.0811919999999838</f>
        <v>1279.8523920000002</v>
      </c>
      <c r="Z163" s="3">
        <f>1348.4+(326-171.4)+(-0.687684+(-0.16626--0.087414))+0-159.3--0.0812429999999838</f>
        <v>1343.014713</v>
      </c>
      <c r="AA163" s="3">
        <f>1356.4+(342-198.1)+(0+(0-0))+0-156.3-0</f>
        <v>1344.0000000000002</v>
      </c>
      <c r="AB163" s="3">
        <f>1353.7+(352-226.4)+(-1.380774+(-0.35904--0.230928))+0-152.7--0.155754000000024</f>
        <v>1325.2468679999999</v>
      </c>
      <c r="AC163" s="3">
        <f>1349.3+(329-246.7)+(0+(0-0))+0-156.1-0</f>
        <v>1275.5</v>
      </c>
      <c r="AD163">
        <f t="shared" si="2"/>
        <v>29954.306384</v>
      </c>
      <c r="AE163" s="3">
        <f>1342+(340.1-206.3)+(0+(0-0))+0-160-0</f>
        <v>1315.8</v>
      </c>
    </row>
    <row r="164" spans="1:31" s="2" customFormat="1" x14ac:dyDescent="0.25">
      <c r="A164">
        <v>89</v>
      </c>
      <c r="B164">
        <v>6</v>
      </c>
      <c r="C164">
        <v>9</v>
      </c>
      <c r="D164">
        <v>4</v>
      </c>
      <c r="E164">
        <v>1</v>
      </c>
      <c r="F164" s="3">
        <f>1359.7+(271.4-242.5)+(-3.467235+(-0.69207--0.618375))+0-149.6--0.381479999999978</f>
        <v>1235.8405500000001</v>
      </c>
      <c r="G164" s="3">
        <f>1360.1+(226.2-244)+(-2.774604+(-0.461448--0.49776))+0-148--0.301919999999994</f>
        <v>1191.8636279999998</v>
      </c>
      <c r="H164" s="3">
        <f>1358.5+(216.6-263)+(-2.078505+(-0.331398--0.40239))+0-149.7--0.229041000000009</f>
        <v>1160.6215279999999</v>
      </c>
      <c r="I164" s="3">
        <f>1363+(193.6-262.1)+(-3.47565+(-0.49368--0.668355))+0-143.3--0.365414999999979</f>
        <v>1148.2644399999999</v>
      </c>
      <c r="J164" s="3">
        <f>1367.5+(195.8-265.3)+(0+(0-0))+0-145.8-0</f>
        <v>1152.2</v>
      </c>
      <c r="K164" s="3">
        <f>1359+(211-299.6)+(-3.46545+(-0.53805--0.76398))+0-146.2--0.372809999999979</f>
        <v>1121.33329</v>
      </c>
      <c r="L164" s="3">
        <f>1310.7+(223.9-323.2)+(-2.673828+(-0.456756--0.659328))+0-145.9--0.297635999999994</f>
        <v>1063.32638</v>
      </c>
      <c r="M164" s="3">
        <f>1314.1+(284.2-377.7)+(0+(0-0))+0-148.6-0</f>
        <v>1072</v>
      </c>
      <c r="N164" s="3">
        <f>1297.5+(379.2-397.9)+(0.661725+(0.193392-0.202929))+0-151.2-0.0771119999999847</f>
        <v>1128.175076</v>
      </c>
      <c r="O164" s="3">
        <f>1286.9+(411.7-358.5)+(0+(0-0))+0-148-0</f>
        <v>1192.1000000000001</v>
      </c>
      <c r="P164" s="3">
        <f>1274.8+(411.6-283.6)+(0.650148+(0.209916-0.144636))+0-148.7-0.0758369999999849</f>
        <v>1254.7395909999998</v>
      </c>
      <c r="Q164" s="3">
        <f>1257.1+(344.1-146)+(1.923363+(0.526473-0.22338))+0-152.7-0.233631000000009</f>
        <v>1304.4928249999998</v>
      </c>
      <c r="R164" s="3">
        <f>1248.7+(395.8-155.5)+(0.636837+(0.201858-0.079305))+0-152-0.0775199999999846</f>
        <v>1337.6818699999999</v>
      </c>
      <c r="S164" s="3">
        <f>1257.9+(464.5-248.4)+(0+(0-0))+0-148.4-0</f>
        <v>1325.6</v>
      </c>
      <c r="T164" s="3">
        <f>1272.2+(460.8-264.4)+(0.648822+(0.235008-0.134844))+0-139.9-0.0713489999999858</f>
        <v>1329.377637</v>
      </c>
      <c r="U164" s="3">
        <f>1276.4+(435.1-239.9)+(-3.25482+(-1.109505--0.611745))+0-155--0.395249999999978</f>
        <v>1313.2426700000001</v>
      </c>
      <c r="V164" s="3">
        <f>1265.1+(346.3-170.5)+(-1.290402+(-0.353226--0.17391))+0-155.9--0.159018000000025</f>
        <v>1283.6892999999998</v>
      </c>
      <c r="W164" s="3">
        <f>1259.3+(297.8-183.5)+(-1.284486+(-0.303756--0.18717))+0-155.3--0.158406000000025</f>
        <v>1217.0573339999999</v>
      </c>
      <c r="X164" s="3">
        <f>1254.3+(403.4-323.6)+(-1.279386+(-0.411468--0.330072))+0-156.9--0.160038000000025</f>
        <v>1175.9992559999998</v>
      </c>
      <c r="Y164" s="3">
        <f>1260.6+(342.1-178)+(-1.285812+(-0.348942--0.18156))+0-156.7--0.159834000000025</f>
        <v>1266.7066399999999</v>
      </c>
      <c r="Z164" s="3">
        <f>1288+(341.7-153.3)+(0+(0-0))+0-157.1-0</f>
        <v>1319.3000000000002</v>
      </c>
      <c r="AA164" s="3">
        <f>1293.6+(357.8-181.9)+(-2.638944+(-0.729912--0.371076))+0-164.1--0.334763999999993</f>
        <v>1302.7369840000001</v>
      </c>
      <c r="AB164" s="3">
        <f>1289.2+(367.9-215)+(0+(0-0))+0-163.6-0</f>
        <v>1278.5</v>
      </c>
      <c r="AC164" s="3">
        <f>1287.1+(344.2-228.1)+(-3.282105+(-0.87771--0.581655))+0-166.1--0.423554999999976</f>
        <v>1233.945395</v>
      </c>
      <c r="AD164">
        <f t="shared" si="2"/>
        <v>29408.794393999997</v>
      </c>
      <c r="AE164" s="3">
        <f>1286+(345.2-159.4)+(0+(0-0))+0-162.2-0</f>
        <v>1309.5999999999999</v>
      </c>
    </row>
    <row r="165" spans="1:31" s="2" customFormat="1" x14ac:dyDescent="0.25">
      <c r="A165">
        <v>89</v>
      </c>
      <c r="B165">
        <v>6</v>
      </c>
      <c r="C165">
        <v>10</v>
      </c>
      <c r="D165">
        <v>5</v>
      </c>
      <c r="E165">
        <v>5</v>
      </c>
      <c r="F165" s="3">
        <f>1262.3+(360.6-248.8)+(-1.931319+(-0.551718--0.380664))+0-166.7--0.25505100000001</f>
        <v>1205.552678</v>
      </c>
      <c r="G165" s="3">
        <f>1265.6+(387.1-307.7)+(-1.936368+(-0.592263--0.470781))+0-160.2--0.245106000000009</f>
        <v>1182.9872560000001</v>
      </c>
      <c r="H165" s="3">
        <f>1278.8+(336.8-304.5)+(-0.652188+(-0.171768--0.155295))+0-158.9--0.0810389999999839</f>
        <v>1151.6123779999998</v>
      </c>
      <c r="I165" s="3">
        <f>1283.5+(303.3-304.2)+(-1.30917+(-0.309366--0.310284))+0-157.2--0.160344000000025</f>
        <v>1124.2520919999999</v>
      </c>
      <c r="J165" s="3">
        <f>1282.9+(295.2-291.9)+(-2.617116+(-0.602208--0.595476))+0-154.6--0.315383999999993</f>
        <v>1129.2915360000002</v>
      </c>
      <c r="K165" s="3">
        <f>1287.7+(256-322.8)+(-3.283635+(-0.6528--0.82314))+0-144.9--0.369494999999979</f>
        <v>1073.2561999999998</v>
      </c>
      <c r="L165" s="3">
        <f>1290.1+(224.1-344.4)+(-3.289755+(-0.571455--0.87822))+0-157.2--0.400859999999977</f>
        <v>1010.0178699999999</v>
      </c>
      <c r="M165" s="3">
        <f>1279.4+(212.1-329.7)+(0+(0-0))+0-158.5-0</f>
        <v>1003.3000000000002</v>
      </c>
      <c r="N165" s="3">
        <f>1203.7+(297.6-304.5)+(-1.227774+(-0.303552--0.31059))+0-159.5--0.162690000000025</f>
        <v>1036.2419540000003</v>
      </c>
      <c r="O165" s="3">
        <f>1236.5+(328.3-307)+(-1.26123+(-0.334866--0.31314))+0-161.3--0.164526000000026</f>
        <v>1095.38157</v>
      </c>
      <c r="P165" s="3">
        <f>1218.9+(366.6-265.2)+(-0.621639+(-0.186966--0.135252))+0-163.6--0.0834359999999834</f>
        <v>1156.1100830000003</v>
      </c>
      <c r="Q165" s="3">
        <f>1216.7+(359.4-215.9)+(1.241034+(0.366588-0.220218))+0-158-0.161160000000025</f>
        <v>1203.426244</v>
      </c>
      <c r="R165" s="3">
        <f>1204.4+(405.2-225.4)+(-0.614244+(-0.206652--0.114954))+0-157.3--0.080222999999984</f>
        <v>1226.274281</v>
      </c>
      <c r="S165" s="3">
        <f>1194.5+(551.9-342.3)+(-0.609195+(-0.281469--0.174573))+0-159.9--0.0815489999999838</f>
        <v>1243.5654579999998</v>
      </c>
      <c r="T165" s="3">
        <f>1175+(586.9-369.2)+(0+(0-0))+0-161.1-0</f>
        <v>1231.6000000000001</v>
      </c>
      <c r="U165" s="3">
        <f>1165.5+(456.6-311.4)+(-2.37762+(-0.931464--0.635256))+0-155.8--0.317831999999993</f>
        <v>1152.5440040000001</v>
      </c>
      <c r="V165" s="3">
        <f>1186.9+(403.8-238.9)+(-0.605319+(-0.205938--0.121839))+0-157.2--0.080171999999984</f>
        <v>1193.9907540000002</v>
      </c>
      <c r="W165" s="3">
        <f>1188.4+(309.3-181.8)+(-1.212168+(-0.315486--0.185436))+0-156.6--0.159732000000025</f>
        <v>1158.1175140000003</v>
      </c>
      <c r="X165" s="3">
        <f>1181.8+(349-270.7)+(-1.205436+(-0.35598--0.276114))+0-152.6--0.155652000000024</f>
        <v>1106.3703499999999</v>
      </c>
      <c r="Y165" s="3">
        <f>1195.6+(488.8-292.2)+(0+(0-0))+0-150.1-0</f>
        <v>1242.0999999999999</v>
      </c>
      <c r="Z165" s="3">
        <f>1222.5+(564.7-324.2)+(-0.623475+(-0.287997--0.165342))+0-150.6--0.0768059999999847</f>
        <v>1311.7306760000001</v>
      </c>
      <c r="AA165" s="3">
        <f>1228.7+(490.8-256.2)+(-1.879911+(-0.750924--0.391986))+0-150.7--0.230571000000009</f>
        <v>1310.5917220000001</v>
      </c>
      <c r="AB165" s="3">
        <f>1237.2+(461.5-271.1)+(0.630972+(0.235365-0.138261))+0-148-0.075479999999985</f>
        <v>1280.252596</v>
      </c>
      <c r="AC165" s="3">
        <f>1252.7+(426-284.7)+(-0.638877+(-0.21726--0.145197))+0-146.8--0.0748679999999851</f>
        <v>1246.563928</v>
      </c>
      <c r="AD165">
        <f t="shared" si="2"/>
        <v>28075.131143999995</v>
      </c>
      <c r="AE165" s="3">
        <f>1218+(490.2-250)+(0+(0-0))+0-144.9-0</f>
        <v>1313.3</v>
      </c>
    </row>
    <row r="166" spans="1:31" s="2" customFormat="1" x14ac:dyDescent="0.25">
      <c r="A166">
        <v>89</v>
      </c>
      <c r="B166">
        <v>6</v>
      </c>
      <c r="C166">
        <v>11</v>
      </c>
      <c r="D166">
        <v>6</v>
      </c>
      <c r="E166">
        <v>6</v>
      </c>
      <c r="F166" s="3">
        <f>1244.5+(395.1-272.9)+(0+(0-0))+0-145-0</f>
        <v>1221.7</v>
      </c>
      <c r="G166" s="3">
        <f>1238.2+(357-263.2)+(-0.631482+(-0.18207--0.134232))+0-145.3--0.0741029999999853</f>
        <v>1186.094783</v>
      </c>
      <c r="H166" s="3">
        <f>1253.6+(305-260.1)+(0.639336+(0.15555-0.132651))+0-145.6-0.0742559999999852</f>
        <v>1153.4879790000002</v>
      </c>
      <c r="I166" s="3">
        <f>1255.4+(285-257.6)+(0+(0-0))+0-148.7-0</f>
        <v>1134.1000000000001</v>
      </c>
      <c r="J166" s="3">
        <f>1232.1+(277.1-220.5)+(0+(0-0))+0-147.9-0</f>
        <v>1140.7999999999997</v>
      </c>
      <c r="K166" s="3">
        <f>1227.7+(257.4-218.1)+(0+(0-0))+0-149.3-0</f>
        <v>1117.7</v>
      </c>
      <c r="L166" s="3">
        <f>1228+(243.2-251.3)+(-2.50512+(-0.496128--0.512652))+0-146.6--0.299063999999994</f>
        <v>1071.1104680000003</v>
      </c>
      <c r="M166" s="3">
        <f>1236.7+(231.5-234.7)+(0.630717+(0.118065-0.119697))+0-157.1-0.0801209999999841</f>
        <v>1076.9489640000002</v>
      </c>
      <c r="N166" s="3">
        <f>1228.5+(295.4-251.1)+(-0.626535+(-0.150654--0.128061))+0-160.8--0.0820079999999837</f>
        <v>1111.4328800000001</v>
      </c>
      <c r="O166" s="3">
        <f>1229.6+(298.8-197.4)+(1.254192+(0.304776-0.201348))+0-153.3-0.156366000000024</f>
        <v>1178.9012540000001</v>
      </c>
      <c r="P166" s="3">
        <f>1224.5+(329-150.2)+(1.24899+(0.33558-0.153204))+0-156.1-0.159222000000025</f>
        <v>1248.4721440000001</v>
      </c>
      <c r="Q166" s="3">
        <f>1204+(399.5-143.7)+(0.61404+(0.203745-0.073287))+0-155.8-0.0794579999999842</f>
        <v>1304.6650400000001</v>
      </c>
      <c r="R166" s="3">
        <f>1198.3+(465.7-194.3)+(0.611133+(0.237507-0.099093))+0-149.2-0.0760919999999849</f>
        <v>1321.1734549999996</v>
      </c>
      <c r="S166" s="3">
        <f>1185.7+(561.2-310.5)+(-0.604707+(-0.286212--0.158355))+0-151.4--0.0772139999999846</f>
        <v>1284.34465</v>
      </c>
      <c r="T166" s="3">
        <f>1186.3+(652.6-400.8)+(0.605013+(0.332826-0.204408))+0-150.7-0.0768569999999847</f>
        <v>1288.056574</v>
      </c>
      <c r="U166" s="3">
        <f>1182.6+(706.1-435.8)+(-0.603126+(-0.360111--0.222258))+0-149.5--0.0762449999999848</f>
        <v>1302.7352659999999</v>
      </c>
      <c r="V166" s="3">
        <f>1165.8+(637.7-372.5)+(-1.783674+(-0.975681--0.569925))+0-155.3--0.237609000000009</f>
        <v>1273.7481790000002</v>
      </c>
      <c r="W166" s="3">
        <f>1176.1+(414.3-219.9)+(0+(0-0))+0-157.3-0</f>
        <v>1213.2</v>
      </c>
      <c r="X166" s="3">
        <f>1202.3+(321.2-213)+(0.613173+(0.163812-0.10863))+0-161-0.0821099999999837</f>
        <v>1150.086245</v>
      </c>
      <c r="Y166" s="3">
        <f>1249.2+(380.2-220.5)+(1.274184+(0.387804-0.22491))+0-156.3-0.159426000000025</f>
        <v>1253.8776520000001</v>
      </c>
      <c r="Z166" s="3">
        <f>1271.1+(384.5-186.3)+(-0.648261+(-0.196095--0.095013))+0-151.7--0.0773669999999846</f>
        <v>1316.9280240000001</v>
      </c>
      <c r="AA166" s="3">
        <f>1288.3+(402.1-207.6)+(0.657033+(0.205071-0.105876))+0-162.7-0.0829769999999835</f>
        <v>1320.7732509999998</v>
      </c>
      <c r="AB166" s="3">
        <f>1297+(385.5-219)+(-1.32294+(-0.39321--0.22338))+0-160.5--0.163710000000026</f>
        <v>1301.67094</v>
      </c>
      <c r="AC166" s="3">
        <f>1295.8+(386-257.5)+(1.321716+(0.39372-0.26265))+0-160.7-0.163914000000026</f>
        <v>1264.888872</v>
      </c>
      <c r="AD166">
        <f t="shared" si="2"/>
        <v>29236.896619999992</v>
      </c>
      <c r="AE166" s="3">
        <f>1273+(382.9-195.3)+(0+(0-0))+0-147.4-0</f>
        <v>1313.1999999999998</v>
      </c>
    </row>
    <row r="167" spans="1:31" s="2" customFormat="1" x14ac:dyDescent="0.25">
      <c r="A167">
        <v>89</v>
      </c>
      <c r="B167">
        <v>6</v>
      </c>
      <c r="C167">
        <v>12</v>
      </c>
      <c r="D167">
        <v>7</v>
      </c>
      <c r="E167">
        <v>1</v>
      </c>
      <c r="F167" s="3">
        <f>1293.1+(383.4-261.8)+(0+(0-0))+0-163.4-0</f>
        <v>1251.2999999999997</v>
      </c>
      <c r="G167" s="3">
        <f>1280.2+(343.7-256.8)+(0.652902+(0.175287-0.130968))+0-160.3-0.0817529999999837</f>
        <v>1207.4154679999999</v>
      </c>
      <c r="H167" s="3">
        <f>1284.1+(283.3-242)+(0+(0-0))+0-159.1-0</f>
        <v>1166.3</v>
      </c>
      <c r="I167" s="3">
        <f>1287.9+(273.6-249.4)+(3.284145+(0.69768-0.63597))+0-159.2-0.405959999999977</f>
        <v>1155.8398950000001</v>
      </c>
      <c r="J167" s="3">
        <f>1299.2+(244.1-238)+(-1.325184+(-0.248982--0.24276))+0-157.1--0.160242000000025</f>
        <v>1147.028836</v>
      </c>
      <c r="K167" s="3">
        <f>1284.8+(262.8-277.8)+(-3.27624+(-0.67014--0.70839))+0-156.5--0.399074999999977</f>
        <v>1110.4610849999999</v>
      </c>
      <c r="L167" s="3">
        <f>1267.5+(285.9-342.3)+(-3.232125+(-0.729045--0.872865))+0-155.2--0.395759999999977</f>
        <v>1053.2074549999998</v>
      </c>
      <c r="M167" s="3">
        <f>1274.3+(262-332.8)+(-2.599572+(-0.53448--0.678912))+0-157--0.320279999999993</f>
        <v>1044.3651399999999</v>
      </c>
      <c r="N167" s="3">
        <f>1277.4+(274.2-309)+(0.651474+(0.139842-0.15759))+0-157.7-0.080426999999984</f>
        <v>1085.4532990000002</v>
      </c>
      <c r="O167" s="3">
        <f>1264+(296.4-269.8)+(0+(0-0))+0-159.9-0</f>
        <v>1130.6999999999998</v>
      </c>
      <c r="P167" s="3">
        <f>1247.7+(355.7-262.7)+(-0.636327+(-0.181407--0.133977))+0-158.2--0.0806819999999839</f>
        <v>1181.896925</v>
      </c>
      <c r="Q167" s="3">
        <f>1241.6+(409.8-266.4)+(-0.633216+(-0.208998--0.135864))+0-157--0.0800699999999841</f>
        <v>1227.37372</v>
      </c>
      <c r="R167" s="3">
        <f>1244.3+(442.3-274.5)+(-0.634593+(-0.225573--0.139995))+0-158.2--0.0806819999999839</f>
        <v>1253.260511</v>
      </c>
      <c r="S167" s="3">
        <f>1252.3+(446.8-278.9)+(-1.277346+(-0.455736--0.284478))+0-163.5--0.166770000000026</f>
        <v>1255.4181660000002</v>
      </c>
      <c r="T167" s="3">
        <f>1255.8+(483.9-316.7)+(0+(0-0))+0-159.5-0</f>
        <v>1263.5</v>
      </c>
      <c r="U167" s="3">
        <f>1257.7+(474.9-313.6)+(-1.924281+(-0.726597--0.479808))+0-155.3--0.237609000000009</f>
        <v>1261.766539</v>
      </c>
      <c r="V167" s="3">
        <f>1255.6+(418-256.8)+(-0.640356+(-0.21318--0.130968))+0-162.9--0.0830789999999835</f>
        <v>1253.260511</v>
      </c>
      <c r="W167" s="3">
        <f>1254+(331.9-235.8)+(-1.91862+(-0.507807--0.360774))+0-160.2--0.245106000000009</f>
        <v>1188.0794529999998</v>
      </c>
      <c r="X167" s="3">
        <f>1243.2+(451.7-406.3)+(-3.17016+(-1.151835--1.036065))+0-159.9--0.407744999999977</f>
        <v>1125.8218149999998</v>
      </c>
      <c r="Y167" s="3">
        <f>1252+(413.5-266.4)+(0+(0-0))+0-161.9-0</f>
        <v>1237.1999999999998</v>
      </c>
      <c r="Z167" s="3">
        <f>1273.5+(420.3-232.1)+(-1.29897+(-0.428706--0.236742))+0-157.8--0.160956000000025</f>
        <v>1302.5700220000001</v>
      </c>
      <c r="AA167" s="3">
        <f>1286.7+(380.5-201.6)+(-2.624868+(-0.77622--0.411264))+0-162--0.330479999999993</f>
        <v>1300.9406560000002</v>
      </c>
      <c r="AB167" s="3">
        <f>1290.5+(398-240.4)+(-0.658155+(-0.20298--0.122604))+0-160.8--0.0820079999999837</f>
        <v>1286.6434770000001</v>
      </c>
      <c r="AC167" s="3">
        <f>1304.9+(404.2-297.7)+(-0.665499+(-0.206142--0.151827))+0-162.6--0.0829259999999835</f>
        <v>1248.1631120000002</v>
      </c>
      <c r="AD167">
        <f t="shared" si="2"/>
        <v>28737.966085</v>
      </c>
      <c r="AE167" s="3">
        <f>1283+(387-201.2)+(0+(0-0))+0-159.5-0</f>
        <v>1309.3</v>
      </c>
    </row>
    <row r="168" spans="1:31" s="2" customFormat="1" x14ac:dyDescent="0.25">
      <c r="A168">
        <v>89</v>
      </c>
      <c r="B168">
        <v>6</v>
      </c>
      <c r="C168">
        <v>13</v>
      </c>
      <c r="D168">
        <v>1</v>
      </c>
      <c r="E168">
        <v>1</v>
      </c>
      <c r="F168" s="3">
        <f>1281.7+(409.8-322.9)+(-1.961001+(-0.626994--0.494037))+0-162.9--0.249237000000009</f>
        <v>1203.8552790000001</v>
      </c>
      <c r="G168" s="3">
        <f>1233.8+(329.6-255.6)+(-1.887714+(-0.504288--0.391068))+0-157--0.240210000000009</f>
        <v>1149.039276</v>
      </c>
      <c r="H168" s="3">
        <f>1239.6+(282.9-234.2)+(-1.264392+(-0.288558--0.238884))+0-161.4--0.164628000000026</f>
        <v>1125.7505619999999</v>
      </c>
      <c r="I168" s="3">
        <f>1269.8+(251.1-254.5)+(0.647598+(0.128061-0.129795))+0-159.2-0.0811919999999838</f>
        <v>1107.764672</v>
      </c>
      <c r="J168" s="3">
        <f>1270.9+(364.7-372.2)+(0.648159+(0.185997-0.189822))+0-153.4-0.0782339999999844</f>
        <v>1110.5661</v>
      </c>
      <c r="K168" s="3">
        <f>1272.4+(186.4-198.1)+(-3.24462+(-0.47532--0.505155))+0-152.6--0.389129999999978</f>
        <v>1105.2743450000003</v>
      </c>
      <c r="L168" s="3">
        <f>1280.1+(252.6-339.8)+(-4.569957+(-0.901782--1.213086))+0-150.2--0.536214000000002</f>
        <v>1038.9775609999997</v>
      </c>
      <c r="M168" s="3">
        <f>1278.3+(258-331.6)+(0+(0-0))+0-153.2-0</f>
        <v>1051.4999999999998</v>
      </c>
      <c r="N168" s="3">
        <f>1287.1+(342.7-371.3)+(0+(0-0))+0-153.4-0</f>
        <v>1105.0999999999999</v>
      </c>
      <c r="O168" s="3">
        <f>1310.4+(415.1-401.7)+(0.668304+(0.211701-0.204867))+0-146.6-0.0747659999999851</f>
        <v>1177.8003720000004</v>
      </c>
      <c r="P168" s="3">
        <f>1250.8+(529.1-397.9)+(1.913724+(0.809523-0.608787))+0-149.9-0.229347000000009</f>
        <v>1233.985113</v>
      </c>
      <c r="Q168" s="3">
        <f>1212.2+(679.9-455.6)+(2.472888+(1.386996-0.929424))+0-155.5-0.317219999999993</f>
        <v>1283.6132400000001</v>
      </c>
      <c r="R168" s="3">
        <f>1269+(809.7-610.4)+(0+(0-0))+0-163-0</f>
        <v>1305.3000000000002</v>
      </c>
      <c r="S168" s="3">
        <f>1269.4+(848.9-650.8)+(-1.942182+(-1.298817--0.995724))+0-165.6--0.25336800000001</f>
        <v>1299.908093</v>
      </c>
      <c r="T168" s="3">
        <f>1265.5+(833.4-655.9)+(0+(0-0))+0-163.7-0</f>
        <v>1279.3</v>
      </c>
      <c r="U168" s="3">
        <f>1261.4+(791.2-623.5)+(0+(0-0))+0-153.5-0</f>
        <v>1275.6000000000001</v>
      </c>
      <c r="V168" s="3">
        <f>1258.6+(776.8-608.9)+(-1.283772+(-0.792336--0.621078))+0-155.7--0.158814000000025</f>
        <v>1269.503784</v>
      </c>
      <c r="W168" s="3">
        <f>1255.3+(591.6-471.4)+(-1.920609+(-0.905148--0.721242))+0-158.5--0.242505000000009</f>
        <v>1215.1379899999999</v>
      </c>
      <c r="X168" s="3">
        <f>1256.1+(423.5-364.2)+(-3.843666+(-1.29591--1.114452))+0-161.8--0.495108000000019</f>
        <v>1150.069984</v>
      </c>
      <c r="Y168" s="3">
        <f>1265.9+(516.1-357.5)+(-2.582436+(-1.052844--0.7293))+0-158--0.322319999999993</f>
        <v>1263.91634</v>
      </c>
      <c r="Z168" s="3">
        <f>1320.2+(542.5-386.8)+(-2.693208+(-1.1067--0.789072))+0-156.1--0.318443999999993</f>
        <v>1317.1076080000003</v>
      </c>
      <c r="AA168" s="3">
        <f>1363.6+(531.6-432.4)+(-2.086308+(-0.813348--0.661572))+0-158.7--0.242811000000009</f>
        <v>1302.1047269999999</v>
      </c>
      <c r="AB168" s="3">
        <f>1365.3+(507.8-424.2)+(-1.392606+(-0.517956--0.432684))+0-159.6--0.162792000000025</f>
        <v>1287.9849140000003</v>
      </c>
      <c r="AC168" s="3">
        <f>1358.1+(508.6-462.4)+(-2.077893+(-0.778158--0.707472))+0-163.1--0.249543000000009</f>
        <v>1239.300964</v>
      </c>
      <c r="AD168">
        <f t="shared" si="2"/>
        <v>28898.460924000006</v>
      </c>
      <c r="AE168" s="3">
        <f>1361+(583.3-392.3)+(0+(0-0))+0-157.9-0</f>
        <v>1394.1</v>
      </c>
    </row>
    <row r="169" spans="1:31" s="2" customFormat="1" x14ac:dyDescent="0.25">
      <c r="A169">
        <v>89</v>
      </c>
      <c r="B169">
        <v>6</v>
      </c>
      <c r="C169">
        <v>14</v>
      </c>
      <c r="D169">
        <v>2</v>
      </c>
      <c r="E169">
        <v>1</v>
      </c>
      <c r="F169" s="3">
        <f>1332.9+(479-447.8)+(-0.679779+(-0.24429--0.228378))+0-163.7--0.0834869999999834</f>
        <v>1199.7877960000001</v>
      </c>
      <c r="G169" s="3">
        <f>1317.7+(374.9-377.4)+(-2.016081+(-0.573597--0.577422))+0-161.7--0.247401000000009</f>
        <v>1151.7351450000001</v>
      </c>
      <c r="H169" s="3">
        <f>1320+(363.2-402.5)+(0+(0-0))+0-158.8-0</f>
        <v>1121.9000000000001</v>
      </c>
      <c r="I169" s="3">
        <f>1324.5+(333.1-398.1)+(0+(0-0))+0-156.4-0</f>
        <v>1103.0999999999999</v>
      </c>
      <c r="J169" s="3">
        <f>1342.1+(286.6-367.5)+(2.737884+(0.584664-0.7497))+0-156.5-0.319259999999993</f>
        <v>1106.9535879999999</v>
      </c>
      <c r="K169" s="3">
        <f>1344.6+(231.9-332.5)+(-1.371492+(-0.236538--0.33915))+0-157.1--0.160242000000025</f>
        <v>1085.7913619999999</v>
      </c>
      <c r="L169" s="3">
        <f>1346.5+(198.3-345.9)+(-2.74686+(-0.404532--0.705636))+0-152.7--0.311507999999993</f>
        <v>1044.065752</v>
      </c>
      <c r="M169" s="3">
        <f>1378.9+(184.5-361.4)+(2.109717+(0.282285-0.552942))+0-157-0.240210000000009</f>
        <v>1046.5988500000001</v>
      </c>
      <c r="N169" s="3">
        <f>1370.1+(254.7-384.6)+(-0.698751+(-0.129897--0.196146))+0-147.8--0.075377999999985</f>
        <v>1091.8428759999999</v>
      </c>
      <c r="O169" s="3">
        <f>1364.5+(244.2-320.7)+(0+(0-0))+0-143.2-0</f>
        <v>1144.8</v>
      </c>
      <c r="P169" s="3">
        <f>1359.9+(261.8-279.9)+(2.080647+(0.400554-0.428247))+0-141.6-0.216648000000008</f>
        <v>1202.0363060000002</v>
      </c>
      <c r="Q169" s="3">
        <f>1346+(339.8-291.1)+(0.68646+(0.173298-0.148461))+0-138.8-0.0707879999999859</f>
        <v>1256.5405090000002</v>
      </c>
      <c r="R169" s="3">
        <f>1341.9+(431.7-368.1)+(0.684369+(0.220167-0.187731))+0-138.8-0.0707879999999859</f>
        <v>1267.3460170000001</v>
      </c>
      <c r="S169" s="3">
        <f>1331.6+(525.7-455.9)+(-0.679116+(-0.268107--0.232509))+0-137.6--0.070175999999986</f>
        <v>1263.1554620000002</v>
      </c>
      <c r="T169" s="3">
        <f>1321.3+(482.9-406.9)+(0.673863+(0.246279-0.207519))+0-124.6-0.0635459999999874</f>
        <v>1273.3490769999999</v>
      </c>
      <c r="U169" s="3">
        <f>1314.5+(441-342.7)+(-2.011185+(-0.67473--0.524331))+0-128.2--0.196146000000007</f>
        <v>1282.634562</v>
      </c>
      <c r="V169" s="3">
        <f>1311+(377-282.3)+(0+(0-0))+0-132.7-0</f>
        <v>1273</v>
      </c>
      <c r="W169" s="3">
        <f>1302.8+(293-242.9)+(-2.657712+(-0.59772--0.495516))+0-138.8--0.283151999999994</f>
        <v>1211.6232359999999</v>
      </c>
      <c r="X169" s="3">
        <f>1307.1+(320.7-335.4)+(-1.999863+(-0.490671--0.513162))+0-144.1--0.220473000000008</f>
        <v>1146.543101</v>
      </c>
      <c r="Y169" s="3">
        <f>1309+(372-276.1)+(-0.66759+(-0.18972--0.140811))+0-139.6--0.0711959999999858</f>
        <v>1264.6546969999999</v>
      </c>
      <c r="Z169" s="3">
        <f>1314.6+(393.6-246.6)+(-1.340892+(-0.401472--0.251532))+0-142.3--0.145146000000023</f>
        <v>1317.9543140000001</v>
      </c>
      <c r="AA169" s="3">
        <f>1328+(384.6-265.6)+(-1.35456+(-0.392292--0.270912))+0-145.4--0.148308000000023</f>
        <v>1300.2723679999999</v>
      </c>
      <c r="AB169" s="3">
        <f>1365+(354.3-291.5)+(-0.69615+(-0.180693--0.148665))+0-152.3--0.0776729999999846</f>
        <v>1274.8494949999999</v>
      </c>
      <c r="AC169" s="3">
        <f>1373.4+(331.3-332.1)+(-2.101302+(-0.506889--0.508113))+0-149.4--0.228582000000009</f>
        <v>1221.3285040000001</v>
      </c>
      <c r="AD169">
        <f t="shared" si="2"/>
        <v>28651.863016999996</v>
      </c>
      <c r="AE169" s="3">
        <f>1308+(412.2-246.4)+(0+(0-0))+0-144.4-0</f>
        <v>1329.3999999999999</v>
      </c>
    </row>
    <row r="170" spans="1:31" s="2" customFormat="1" x14ac:dyDescent="0.25">
      <c r="A170">
        <v>89</v>
      </c>
      <c r="B170">
        <v>6</v>
      </c>
      <c r="C170">
        <v>15</v>
      </c>
      <c r="D170">
        <v>3</v>
      </c>
      <c r="E170">
        <v>1</v>
      </c>
      <c r="F170" s="3">
        <f>1381.4+(334.1-388.5)+(-2.113542+(-0.511173--0.594405))+0-146.4--0.223992000000008</f>
        <v>1178.7936819999998</v>
      </c>
      <c r="G170" s="3">
        <f>1370.9+(291.8-375.7)+(-2.097477+(-0.446454--0.574821))+0-148.4--0.227052000000009</f>
        <v>1136.8579419999999</v>
      </c>
      <c r="H170" s="3">
        <f>1360.6+(267-364.3)+(-1.387812+(-0.27234--0.371586))+0-156.7--0.159834000000025</f>
        <v>1105.471268</v>
      </c>
      <c r="I170" s="3">
        <f>1361.1+(297.8-413.7)+(-2.082483+(-0.455634--0.632961))+0-157.3--0.240669000000009</f>
        <v>1086.2355129999999</v>
      </c>
      <c r="J170" s="3">
        <f>1367.9+(302.3-418.2)+(-1.395258+(-0.308346--0.426564))+0-159.4--0.162588000000025</f>
        <v>1091.4855479999999</v>
      </c>
      <c r="K170" s="3">
        <f>1389.6+(259.8-423.9)+(-2.834784+(-0.529992--0.864756))+0-162.2--0.330887999999993</f>
        <v>1061.130868</v>
      </c>
      <c r="L170" s="3">
        <f>1401.9+(186.1-404)+(-6.434721+(-0.854199--1.85436))+0-156.6--0.718794000000027</f>
        <v>1022.6842340000001</v>
      </c>
      <c r="M170" s="3">
        <f>1413.3+(185.2-407.1)+(-2.162349+(-0.283356--0.622863))+0-162.7--0.248931000000009</f>
        <v>1027.1260889999999</v>
      </c>
      <c r="N170" s="3">
        <f>1400.9+(263-413.3)+(-1.428918+(-0.26826--0.421566))+0-165.2--0.168504000000026</f>
        <v>1084.2928920000002</v>
      </c>
      <c r="O170" s="3">
        <f>1386+(306-379.7)+(-2.12058+(-0.46818--0.580941))+0-164--0.250920000000009</f>
        <v>1146.543101</v>
      </c>
      <c r="P170" s="3">
        <f>1375.8+(330.6-328.4)+(-2.806632+(-0.674424--0.669936))+0-165.1--0.336803999999993</f>
        <v>1210.425684</v>
      </c>
      <c r="Q170" s="3">
        <f>1360.6+(342.3-280)+(2.081718+(0.523719-0.4284))+0-164.9-0.25229700000001</f>
        <v>1259.9247399999997</v>
      </c>
      <c r="R170" s="3">
        <f>1362.3+(338.3-242.2)+(0+(0-0))+0-161.7-0</f>
        <v>1296.7</v>
      </c>
      <c r="S170" s="3">
        <f>1366.5+(402.3-295.7)+(0+(0-0))+0-164.3-0</f>
        <v>1308.8</v>
      </c>
      <c r="T170" s="3">
        <f>1359+(414.6-321.1)+(0.69309+(0.211446-0.163761))+0-165.5-0.0844049999999832</f>
        <v>1287.6563699999999</v>
      </c>
      <c r="U170" s="3">
        <f>1351.3+(406.4-308.9)+(-1.378326+(-0.414528--0.315078))+0-160.9--0.164118000000026</f>
        <v>1286.5863419999998</v>
      </c>
      <c r="V170" s="3">
        <f>1350.1+(337.8-242.6)+(-1.377102+(-0.344556--0.247452))+0-168.7--0.172074000000027</f>
        <v>1275.2978679999999</v>
      </c>
      <c r="W170" s="3">
        <f>1338.9+(297.5-247.6)+(-2.048517+(-0.455175--0.378828))+0-165--0.25245000000001</f>
        <v>1221.9275860000002</v>
      </c>
      <c r="X170" s="3">
        <f>1333.7+(348.2-357.1)+(-1.360374+(-0.355164--0.364242))+0-172.3--0.175746000000027</f>
        <v>1151.3244500000001</v>
      </c>
      <c r="Y170" s="3">
        <f>1344.5+(334.8-252.5)+(0.685695+(0.170748-0.128775))+0-170.1-0.0867509999999827</f>
        <v>1257.340917</v>
      </c>
      <c r="Z170" s="3">
        <f>1363.3+(364.2-242.8)+(-0.695283+(-0.185742--0.123828))+0-169.4--0.0863939999999828</f>
        <v>1314.6291969999997</v>
      </c>
      <c r="AA170" s="3">
        <f>1379.6+(289.6-198.9)+(-2.110788+(-0.443088--0.304317))+0-172.3--0.26361900000001</f>
        <v>1296.01406</v>
      </c>
      <c r="AB170" s="3">
        <f>1387.7+(270.6-208.7)+(0+(0-0))+0-171.2-0</f>
        <v>1278.4000000000001</v>
      </c>
      <c r="AC170" s="3">
        <f>1336.4+(293.1-223)+(-0.681564+(-0.149481--0.11373))+0-174.8--0.0891479999999823</f>
        <v>1231.071833</v>
      </c>
      <c r="AD170">
        <f t="shared" si="2"/>
        <v>28616.720184000005</v>
      </c>
      <c r="AE170" s="3">
        <f>1360+(359-249.9)+(0+(0-0))+0-167.6-0</f>
        <v>1301.5</v>
      </c>
    </row>
    <row r="171" spans="1:31" s="2" customFormat="1" x14ac:dyDescent="0.25">
      <c r="A171">
        <v>89</v>
      </c>
      <c r="B171">
        <v>6</v>
      </c>
      <c r="C171">
        <v>16</v>
      </c>
      <c r="D171">
        <v>4</v>
      </c>
      <c r="E171">
        <v>1</v>
      </c>
      <c r="F171" s="3">
        <f>1336.4+(292-262.6)+(-1.363128+(-0.29784--0.267852))+0-174.2--0.177684000000028</f>
        <v>1190.3845680000002</v>
      </c>
      <c r="G171" s="3">
        <f>1325.4+(305.6-318.2)+(-3.37977+(-0.77928--0.81141))+0-169.3--0.431714999999975</f>
        <v>1140.5840750000002</v>
      </c>
      <c r="H171" s="3">
        <f>1349.3+(299.8-380.1)+(0.688143+(0.152898-0.193851))+0-160.5-0.0818549999999837</f>
        <v>1109.065335</v>
      </c>
      <c r="I171" s="3">
        <f>1342.6+(285.8-390.6)+(-3.42363+(-0.72879--0.99603))+0-157.8--0.402389999999977</f>
        <v>1077.2459999999999</v>
      </c>
      <c r="J171" s="3">
        <f>1355.1+(269.6-382)+(0.691101+(0.137496-0.19482))+0-158.9-0.0810389999999839</f>
        <v>1084.3527379999998</v>
      </c>
      <c r="K171" s="3">
        <f>1345.5+(290.5-414.8)+(-3.431025+(-0.740775--1.05774))+0-158.5--0.404174999999977</f>
        <v>1059.9901149999998</v>
      </c>
      <c r="L171" s="3">
        <f>1334.7+(284.8-453.5)+(-3.403485+(-0.72624--1.156425))+0-158.9--0.405194999999977</f>
        <v>1004.5318949999998</v>
      </c>
      <c r="M171" s="3">
        <f>1356.5+(330.6-505.1)+(0+(0-0))+0-169.9-0</f>
        <v>1012.1</v>
      </c>
      <c r="N171" s="3">
        <f>1354.9+(376.8-492.5)+(0.690999+(0.192168-0.251175))+0-165.7-0.0845069999999832</f>
        <v>1074.0474850000001</v>
      </c>
      <c r="O171" s="3">
        <f>1350.5+(411.5-463.4)+(2.066265+(0.629595-0.709002))+0-160.7-0.245871000000009</f>
        <v>1139.6409869999998</v>
      </c>
      <c r="P171" s="3">
        <f>1339.6+(409-383.6)+(-0.683196+(-0.20859--0.195636))+0-162.6--0.0829259999999835</f>
        <v>1201.7867760000001</v>
      </c>
      <c r="Q171" s="3">
        <f>1328.5+(369.2-281)+(0.677535+(0.188292-0.14331))+0-165.7-0.0845069999999832</f>
        <v>1251.6380099999999</v>
      </c>
      <c r="R171" s="3">
        <f>1313.5+(319.8-175.6)+(0.669885+(0.163098-0.089556))+0-163.3-0.0832829999999834</f>
        <v>1295.0601440000003</v>
      </c>
      <c r="S171" s="3">
        <f>1282.8+(445.7-239.7)+(-1.308456+(-0.454614--0.244494))+0-163.8--0.167076000000026</f>
        <v>1323.6485</v>
      </c>
      <c r="T171" s="3">
        <f>1246+(549.9-333.7)+(0+(0-0))+0-162.1-0</f>
        <v>1300.1000000000001</v>
      </c>
      <c r="U171" s="3">
        <f>1293.2+(489.9-326.3)+(-0.659532+(-0.249849--0.166413))+0-154.4--0.0787439999999843</f>
        <v>1301.7357759999998</v>
      </c>
      <c r="V171" s="3">
        <f>1295.5+(416.5-244.9)+(-1.32141+(-0.42483--0.249798))+0-157.3--0.160446000000025</f>
        <v>1308.4640040000002</v>
      </c>
      <c r="W171" s="3">
        <f>1297.3+(297.3-202.9)+(-0.661623+(-0.151623--0.103479))+0-155.5--0.0793049999999842</f>
        <v>1235.569538</v>
      </c>
      <c r="X171" s="3">
        <f>1300.3+(421.7-389.5)+(0+(0-0))+0-156.7-0</f>
        <v>1175.8</v>
      </c>
      <c r="Y171" s="3">
        <f>1308.3+(419.9-290.9)+(-1.334466+(-0.428298--0.296718))+0-162.5--0.165750000000026</f>
        <v>1273.4997040000001</v>
      </c>
      <c r="Z171" s="3">
        <f>1323.4+(348.4-179.3)+(-2.024802+(-0.533052--0.274329))+0-161.6--0.247248000000009</f>
        <v>1328.8637229999999</v>
      </c>
      <c r="AA171" s="3">
        <f>1291.1+(378.1-182.2)+(-1.975383+(-0.578493--0.278766))+0-169.8--0.25979400000001</f>
        <v>1315.1846840000001</v>
      </c>
      <c r="AB171" s="3">
        <f>1300.5+(367.3-202.1)+(-0.663255+(-0.187323--0.103071))+0-169.8--0.0865979999999828</f>
        <v>1295.2390910000001</v>
      </c>
      <c r="AC171" s="3">
        <f>1314.2+(397-290.5)+(-1.340484+(-0.40494--0.29631))+0-174.1--0.177582000000028</f>
        <v>1245.3284680000002</v>
      </c>
      <c r="AD171">
        <f t="shared" si="2"/>
        <v>28743.861615999998</v>
      </c>
      <c r="AE171" s="3">
        <f>1314+(358.1-200.8)+(0+(0-0))+0-167.1-0</f>
        <v>1304.2</v>
      </c>
    </row>
    <row r="172" spans="1:31" s="2" customFormat="1" x14ac:dyDescent="0.25">
      <c r="A172">
        <v>89</v>
      </c>
      <c r="B172">
        <v>6</v>
      </c>
      <c r="C172">
        <v>17</v>
      </c>
      <c r="D172">
        <v>5</v>
      </c>
      <c r="E172">
        <v>1</v>
      </c>
      <c r="F172" s="3">
        <f>1350.5+(323.9-284.5)+(-0.688755+(-0.165189--0.145095))+0-173.4--0.0884339999999824</f>
        <v>1215.8795849999999</v>
      </c>
      <c r="G172" s="3">
        <f>1357.3+(283.7-295)+(-2.768892+(-0.578748--0.6018))+0-172.3--0.351491999999992</f>
        <v>1171.305652</v>
      </c>
      <c r="H172" s="3">
        <f>1359.5+(262.8-333.7)+(-2.080035+(-0.402084--0.510561))+0-163.6--0.250308000000009</f>
        <v>1123.2787499999999</v>
      </c>
      <c r="I172" s="3">
        <f>1359.1+(260.8-341.4)+(-2.079423+(-0.399024--0.522342))+0-162.2--0.248166000000009</f>
        <v>1114.5920610000001</v>
      </c>
      <c r="J172" s="3">
        <f>1360+(257.1-358.6)+(0.6936+(0.131121-0.182886))+0-159.2-0.0811919999999838</f>
        <v>1099.860643</v>
      </c>
      <c r="K172" s="3">
        <f>1359.6+(218.4-331.2)+(-2.080188+(-0.334152--0.506736))+0-156.8--0.239904000000009</f>
        <v>1088.3323</v>
      </c>
      <c r="L172" s="3">
        <f>1358.2+(202.4-372.5)+(-0.692682+(-0.103224--0.189975))+0-157.7--0.080426999999984</f>
        <v>1029.8744959999999</v>
      </c>
      <c r="M172" s="3">
        <f>1355.3+(249.2-417)+(-0.691203+(-0.127092--0.21267))+0-161.3--0.0822629999999836</f>
        <v>1025.6766380000001</v>
      </c>
      <c r="N172" s="3">
        <f>1348.9+(303.9-400.6)+(-2.063817+(-0.464967--0.612918))+0-164.1--0.251073000000009</f>
        <v>1086.435207</v>
      </c>
      <c r="O172" s="3">
        <f>1333+(338.5-359)+(-1.35966+(-0.34527--0.36618))+0-155.1--0.158202000000025</f>
        <v>1156.2194520000003</v>
      </c>
      <c r="P172" s="3">
        <f>1333.3+(377-335.6)+(-2.039949+(-0.57681--0.513468))+0-157.5--0.240975000000009</f>
        <v>1215.3376839999999</v>
      </c>
      <c r="Q172" s="3">
        <f>1329.8+(357.6-248.5)+(-0.678198+(-0.182376--0.126735))+0-155.8--0.0794579999999842</f>
        <v>1282.4456190000001</v>
      </c>
      <c r="R172" s="3">
        <f>1321.6+(384.2-227.2)+(-0.674016+(-0.195942--0.115872))+0-152.4--0.0777239999999845</f>
        <v>1325.5236379999999</v>
      </c>
      <c r="S172" s="3">
        <f>1316.3+(447.6-305.2)+(-1.342626+(-0.456552--0.311304))+0-149.3--0.152286000000024</f>
        <v>1308.0644120000002</v>
      </c>
      <c r="T172" s="3">
        <f>1319.8+(483.3-352)+(-0.673098+(-0.246483--0.17952))+0-148.6--0.0757859999999849</f>
        <v>1301.8357249999999</v>
      </c>
      <c r="U172" s="3">
        <f>1318+(486.4-341.4)+(0.67218+(0.248064-0.174114))+0-144.3-0.0735929999999854</f>
        <v>1319.372537</v>
      </c>
      <c r="V172" s="3">
        <f>1316.8+(390.2-248.9)+(-2.014704+(-0.597006--0.380817))+0-149.9--0.229347000000009</f>
        <v>1306.1984539999999</v>
      </c>
      <c r="W172" s="3">
        <f>1348.3+(288.6-207.6)+(-1.375266+(-0.294372--0.211752))+0-148.3--0.151266000000024</f>
        <v>1279.6933800000002</v>
      </c>
      <c r="X172" s="3">
        <f>1342.5+(414.1-388.9)+(-2.7387+(-0.844764--0.793356))+0-143.4--0.292535999999994</f>
        <v>1221.802428</v>
      </c>
      <c r="Y172" s="3">
        <f>1344+(399.1-278.4)+(-0.68544+(-0.203541--0.141984))+0-148.7--0.0758369999999849</f>
        <v>1315.3288400000001</v>
      </c>
      <c r="Z172" s="3">
        <f>1360.6+(351.9-208.7)+(-2.081718+(-0.538407--0.319311))+0-152--0.232560000000009</f>
        <v>1349.7317459999999</v>
      </c>
      <c r="AA172" s="3">
        <f>1363.3+(301-193)+(-1.390566+(-0.30702--0.19686))+0-154.8--0.157896000000025</f>
        <v>1315.15717</v>
      </c>
      <c r="AB172" s="3">
        <f>1368.8+(291.3-211.7)+(0.698088+(0.148563-0.107967))+0-158.5-0.0808349999999839</f>
        <v>1290.557849</v>
      </c>
      <c r="AC172" s="3">
        <f>1371.1+(291-261.2)+(-2.797044+(-0.59364--0.532848))+0-163.4--0.333335999999993</f>
        <v>1234.9754999999998</v>
      </c>
      <c r="AD172">
        <f t="shared" si="2"/>
        <v>29177.479766000004</v>
      </c>
      <c r="AE172" s="3">
        <f>1330+(366.6-193.3)+(0+(0-0))+0-151.5-0</f>
        <v>1351.8</v>
      </c>
    </row>
    <row r="173" spans="1:31" s="2" customFormat="1" x14ac:dyDescent="0.25">
      <c r="A173">
        <v>89</v>
      </c>
      <c r="B173">
        <v>6</v>
      </c>
      <c r="C173">
        <v>18</v>
      </c>
      <c r="D173">
        <v>6</v>
      </c>
      <c r="E173">
        <v>1</v>
      </c>
      <c r="F173" s="3">
        <f>1367.7+(305.6-323.7)+(0+(0-0))+0-166.9-0</f>
        <v>1182.7</v>
      </c>
      <c r="G173" s="3">
        <f>1378.7+(310.3-365.2)+(-1.406274+(-0.316506--0.372504))+0-164.7--0.167994000000026</f>
        <v>1157.9177180000004</v>
      </c>
      <c r="H173" s="3">
        <f>1380.8+(283.9-385.4)+(0+(0-0))+0-161.8-0</f>
        <v>1117.5</v>
      </c>
      <c r="I173" s="3">
        <f>1388.6+(245-380)+(-1.416372+(-0.2499--0.3876))+0-159.5--0.162690000000025</f>
        <v>1092.9840180000001</v>
      </c>
      <c r="J173" s="3">
        <f>1395.9+(233.4-384.9)+(0.711909+(0.119034-0.196299))+0-155.5-0.0793049999999842</f>
        <v>1089.4553390000001</v>
      </c>
      <c r="K173" s="3">
        <f>1398.3+(191.2-366.7)+(0+(0-0))+0-154.3-0</f>
        <v>1068.5</v>
      </c>
      <c r="L173" s="3">
        <f>1370+(176.5-357.7)+(-1.3974+(-0.18003--0.364854))+0-151.2--0.154224000000024</f>
        <v>1036.5416480000001</v>
      </c>
      <c r="M173" s="3">
        <f>1217.4+(193.4-214.7)+(0.620874+(0.098634-0.109497))+0-157.1-0.0801209999999841</f>
        <v>1039.5298900000003</v>
      </c>
      <c r="N173" s="3">
        <f>1216.4+(236.8-203.9)+(-0.620364+(-0.120768--0.103989))+0-161.9--0.0825689999999836</f>
        <v>1086.8454260000001</v>
      </c>
      <c r="O173" s="3">
        <f>1192.1+(355.3-242.8)+(0+(0-0))+0-158.9-0</f>
        <v>1145.6999999999998</v>
      </c>
      <c r="P173" s="3">
        <f>1178.7+(350.9-155.4)+(0.601137+(0.178959-0.079254))+0-161.9-0.0825689999999836</f>
        <v>1212.918273</v>
      </c>
      <c r="Q173" s="3">
        <f>1167.9+(434-181.2)+(0.595629+(0.22134-0.092412))+0-148-0.075479999999985</f>
        <v>1273.3490770000001</v>
      </c>
      <c r="R173" s="3">
        <f>1162.2+(583.5-300.2)+(-1.185444+(-0.59517--0.306204))+0-147.4--0.150348000000024</f>
        <v>1296.775938</v>
      </c>
      <c r="S173" s="3">
        <f>1152.8+(734.4-435.1)+(-2.351712+(-1.498176--0.887604))+0-159.4--0.325175999999993</f>
        <v>1290.0628919999999</v>
      </c>
      <c r="T173" s="3">
        <f>1158+(777.8-483.8)+(-1.18116+(-0.793356--0.493476))+0-160.6--0.163812000000026</f>
        <v>1290.0827720000002</v>
      </c>
      <c r="U173" s="3">
        <f>1144.1+(772.3-467.8)+(0+(0-0))+0-162.1-0</f>
        <v>1286.5</v>
      </c>
      <c r="V173" s="3">
        <f>1144.7+(697.2-401.5)+(-1.167594+(-0.711144--0.40953))+0-168.8--0.172176000000027</f>
        <v>1270.3029680000002</v>
      </c>
      <c r="W173" s="3">
        <f>1146+(433.3-195.6)+(-2.33784+(-0.883932--0.399024))+0-170.4--0.347615999999993</f>
        <v>1210.8248679999999</v>
      </c>
      <c r="X173" s="3">
        <f>1155+(317.1-157.1)+(1.1781+(0.323442-0.160242))+0-170.1-0.173502000000027</f>
        <v>1146.067798</v>
      </c>
      <c r="Y173" s="3">
        <f>1200.4+(418.6-187.6)+(0.612204+(0.213486-0.095676))+0-166.6-0.0849659999999831</f>
        <v>1265.4450480000003</v>
      </c>
      <c r="Z173" s="3">
        <f>1273.5+(457.3-260.6)+(-1.29897+(-0.466446--0.265812))+0-165.5--0.168810000000026</f>
        <v>1303.3692060000001</v>
      </c>
      <c r="AA173" s="3">
        <f>1281.5+(422.5-246.6)+(-1.30713+(-0.43095--0.251532))+0-168.5--0.171870000000027</f>
        <v>1287.5853220000001</v>
      </c>
      <c r="AB173" s="3">
        <f>1279.9+(399.4-252.1)+(-1.305498+(-0.407388--0.257142))+0-164.1--0.167382000000026</f>
        <v>1261.8116380000001</v>
      </c>
      <c r="AC173" s="3">
        <f>1221.3+(418.1-245.6)+(0+(0-0))+0-166.1-0</f>
        <v>1227.7</v>
      </c>
      <c r="AD173">
        <f t="shared" si="2"/>
        <v>28640.469839000001</v>
      </c>
      <c r="AE173" s="3">
        <f>1270+(466-276.8)+(0+(0-0))+0-162.4-0</f>
        <v>1296.8</v>
      </c>
    </row>
    <row r="174" spans="1:31" s="2" customFormat="1" x14ac:dyDescent="0.25">
      <c r="A174">
        <v>89</v>
      </c>
      <c r="B174">
        <v>6</v>
      </c>
      <c r="C174">
        <v>19</v>
      </c>
      <c r="D174">
        <v>7</v>
      </c>
      <c r="E174">
        <v>3</v>
      </c>
      <c r="F174" s="3">
        <f>1278.7+(339.7-264.7)+(-2.608548+(-0.692988--0.539988))+0-161.8--0.330071999999993</f>
        <v>1189.4685240000001</v>
      </c>
      <c r="G174" s="3">
        <f>1193.2+(320.2-218.7)+(-1.825596+(-0.489906--0.334611))+0-158.8--0.242964000000009</f>
        <v>1134.1620730000002</v>
      </c>
      <c r="H174" s="3">
        <f>1184.4+(310.4-238.4)+(-1.812132+(-0.474912--0.364752))+0-157.6--0.241128000000009</f>
        <v>1097.1188360000003</v>
      </c>
      <c r="I174" s="3">
        <f>1195.8+(259.7-240.4)+(-0.609858+(-0.132447--0.122604))+0-149--0.0759899999999849</f>
        <v>1065.5562889999999</v>
      </c>
      <c r="J174" s="3">
        <f>1188.5+(218-214.1)+(0+(0-0))+0-149.1-0</f>
        <v>1043.3000000000002</v>
      </c>
      <c r="K174" s="3">
        <f>1192.2+(193.3-191.3)+(0+(0-0))+0-151.9-0</f>
        <v>1042.3</v>
      </c>
      <c r="L174" s="3">
        <f>1177.4+(191.5-244.5)+(-4.203318+(-0.683655--0.872865))+0-155.1--0.553707000000002</f>
        <v>965.83959900000002</v>
      </c>
      <c r="M174" s="3">
        <f>1157.8+(196.1-242.4)+(-0.590478+(-0.100011--0.123624))+0-157.4--0.080273999999984</f>
        <v>953.61340900000005</v>
      </c>
      <c r="N174" s="3">
        <f>1152.1+(203.2-230.9)+(2.937855+(0.51816-0.588795))+0-160.9-0.410294999999977</f>
        <v>965.95692499999996</v>
      </c>
      <c r="O174" s="3">
        <f>1144.5+(223-186)+(-0.583695+(-0.11373--0.09486))+0-161--0.0821099999999837</f>
        <v>1019.979545</v>
      </c>
      <c r="P174" s="3">
        <f>1132.8+(314.1-191.7)+(-1.155456+(-0.320382--0.195534))+0-162.1--0.165342000000026</f>
        <v>1091.9850380000003</v>
      </c>
      <c r="Q174" s="3">
        <f>1115.9+(391.6-203.1)+(-0.569109+(-0.199716--0.103581))+0-157.9--0.080528999999984</f>
        <v>1145.915285</v>
      </c>
      <c r="R174" s="3">
        <f>1130.5+(457.4-288)+(-1.729665+(-0.699822--0.44064))+0-155.7--0.238221000000009</f>
        <v>1142.449374</v>
      </c>
      <c r="S174" s="3">
        <f>1128.1+(496.1-303.5)+(-1.150662+(-0.506022--0.30957))+0-157.5--0.160650000000025</f>
        <v>1162.0135359999999</v>
      </c>
      <c r="T174" s="3">
        <f>1123.1+(499.3-295.7)+(-1.145562+(-0.509286--0.301614))+0-161.9--0.165138000000026</f>
        <v>1163.6119039999999</v>
      </c>
      <c r="U174" s="3">
        <f>1118.1+(471.6-267.4)+(-0.570231+(-0.240516--0.136374))+0-156.5--0.0798149999999841</f>
        <v>1165.2054419999999</v>
      </c>
      <c r="V174" s="3">
        <f>1118.9+(393.4-204.2)+(-1.711917+(-0.601902--0.312426))+0-154.9--0.236997000000009</f>
        <v>1151.435604</v>
      </c>
      <c r="W174" s="3">
        <f>1168.8+(262.7-192.8)+(-3.576528+(-0.803862--0.589968))+0-150.8--0.461448000000017</f>
        <v>1084.5710259999998</v>
      </c>
      <c r="X174" s="3">
        <f>1166.9+(239.6-212.7)+(-1.190238+(-0.244392--0.216954))+0-149.3--0.152286000000024</f>
        <v>1043.4346100000002</v>
      </c>
      <c r="Y174" s="3">
        <f>1194.9+(297.6-177.1)+(-1.218798+(-0.303552--0.180642))+0-153.2--0.156264000000024</f>
        <v>1161.0145560000001</v>
      </c>
      <c r="Z174" s="3">
        <f>1284.8+(319.4-234.4)+(-2.620992+(-0.651576--0.478176))+0-157.4--0.321095999999993</f>
        <v>1209.9267039999997</v>
      </c>
      <c r="AA174" s="3">
        <f>1329.6+(309.2-277.2)+(-2.712384+(-0.630768--0.565488))+0-160--0.326399999999993</f>
        <v>1199.1487359999999</v>
      </c>
      <c r="AB174" s="3">
        <f>1332.2+(305-305.5)+(-0.679422+(-0.15555--0.155805))+0-155.8--0.0794579999999842</f>
        <v>1175.300291</v>
      </c>
      <c r="AC174" s="3">
        <f>1356+(271.2-319.2)+(-2.07468+(-0.414936--0.488376))+0-156.5--0.239445000000009</f>
        <v>1149.7382049999999</v>
      </c>
      <c r="AD174">
        <f t="shared" si="2"/>
        <v>26523.045511000004</v>
      </c>
      <c r="AE174" s="3">
        <f>1315+(312.7-276.6)+(0+(0-0))+0-154.8-0</f>
        <v>1196.3</v>
      </c>
    </row>
    <row r="175" spans="1:31" s="2" customFormat="1" x14ac:dyDescent="0.25">
      <c r="A175">
        <v>89</v>
      </c>
      <c r="B175">
        <v>6</v>
      </c>
      <c r="C175">
        <v>20</v>
      </c>
      <c r="D175">
        <v>1</v>
      </c>
      <c r="E175">
        <v>1</v>
      </c>
      <c r="F175" s="3">
        <f>1359.3+(219-304.1)+(-2.772972+(-0.44676--0.620364))+0-158.5--0.323339999999993</f>
        <v>1113.4239719999998</v>
      </c>
      <c r="G175" s="3">
        <f>1364.1+(194.6-325.3)+(-2.087073+(-0.297738--0.497709))+0-154.9--0.236997000000009</f>
        <v>1076.8498949999998</v>
      </c>
      <c r="H175" s="3">
        <f>1375.6+(182-369.1)+(-4.209336+(-0.55692--1.129446))+0-146--0.446760000000017</f>
        <v>1039.3099500000001</v>
      </c>
      <c r="I175" s="3">
        <f>1376.9+(177.4-386.1)+(-1.404438+(-0.180948--0.393822))+0-146.1--0.149022000000023</f>
        <v>1021.0574580000001</v>
      </c>
      <c r="J175" s="3">
        <f>1393.8+(169.4-419.6)+(-1.421676+(-0.172788--0.427992))+0-143--0.145860000000023</f>
        <v>999.57938799999977</v>
      </c>
      <c r="K175" s="3">
        <f>1397.9+(168.9-435.4)+(0+(0-0))+0-143.6-0</f>
        <v>987.80000000000007</v>
      </c>
      <c r="L175" s="3">
        <f>1403.8+(206.1-522.1)+(-5.011566+(-0.735777--1.863897))+0-142--0.506940000000002</f>
        <v>942.42349399999989</v>
      </c>
      <c r="M175" s="3">
        <f>1360.5+(226.3-495.8)+(-2.081565+(-0.346239--0.758574))+0-146.4--0.223992000000008</f>
        <v>943.15476200000001</v>
      </c>
      <c r="N175" s="3">
        <f>1363.1+(222.2-452.4)+(-2.085543+(-0.339966--0.692172))+0-148.8--0.227664000000009</f>
        <v>982.59432700000002</v>
      </c>
      <c r="O175" s="3">
        <f>1356.8+(230-408.2)+(-0.691968+(-0.1173--0.208182))+0-147.9--0.075428999999985</f>
        <v>1030.1743429999999</v>
      </c>
      <c r="P175" s="3">
        <f>1345+(245-374.8)+(-1.3719+(-0.2499--0.382296))+0-149.2--0.152184000000024</f>
        <v>1064.9126800000001</v>
      </c>
      <c r="Q175" s="3">
        <f>1327.4+(272.6-375.9)+(-0.676974+(-0.139026--0.191709))+0-145.2--0.0740519999999853</f>
        <v>1078.3497609999999</v>
      </c>
      <c r="R175" s="3">
        <f>1318.8+(286.8-267.7)+(-0.672588+(-0.146268--0.136527))+0-138.2--0.070481999999986</f>
        <v>1199.0881530000001</v>
      </c>
      <c r="S175" s="3">
        <f>1316.9+(322.4-294.2)+(-1.343238+(-0.328848--0.300084))+0-136.3--0.139026000000022</f>
        <v>1207.5670240000002</v>
      </c>
      <c r="T175" s="3">
        <f>1297.5+(374.1-309.5)+(0.661725+(0.190791-0.157845))+0-154.1-0.0785909999999844</f>
        <v>1208.61608</v>
      </c>
      <c r="U175" s="3">
        <f>1266.9+(373.6-287.1)+(-1.292238+(-0.381072--0.292842))+0-149.5--0.152490000000024</f>
        <v>1202.672022</v>
      </c>
      <c r="V175" s="3">
        <f>1259.2+(320.1-250.5)+(0+(0-0))+0-145.5-0</f>
        <v>1183.3000000000002</v>
      </c>
      <c r="W175" s="3">
        <f>1245.6+(230.6-203.9)+(-3.17628+(-0.58803--0.519945))+0-144.6--0.368729999999979</f>
        <v>1124.8243649999999</v>
      </c>
      <c r="X175" s="3">
        <f>1243.3+(281.8-312.5)+(-3.804498+(-0.862308--0.95625))+0-143.1--0.437886000000017</f>
        <v>1066.2273299999999</v>
      </c>
      <c r="Y175" s="3">
        <f>1268.6+(375.8-299.4)+(-0.646986+(-0.191658--0.152694))+0-143.1--0.0729809999999855</f>
        <v>1201.2870310000001</v>
      </c>
      <c r="Z175" s="3">
        <f>1286.3+(411.9-286.7)+(-1.312026+(-0.420138--0.292434))+0-145.8--0.148716000000023</f>
        <v>1264.4089859999999</v>
      </c>
      <c r="AA175" s="3">
        <f>1310.9+(396.1-308)+(-2.674236+(-0.808044--0.62832))+0-144.5--0.294779999999994</f>
        <v>1251.94082</v>
      </c>
      <c r="AB175" s="3">
        <f>1318.6+(355.8-313.9)+(-2.017458+(-0.544374--0.480267))+0-143.6--0.219708000000008</f>
        <v>1215.0381430000002</v>
      </c>
      <c r="AC175" s="3">
        <f>1319.7+(319.9-304.3)+(-3.365235+(-0.815745--0.775965))+0-157.1--0.400604999999977</f>
        <v>1175.19559</v>
      </c>
      <c r="AD175">
        <f t="shared" si="2"/>
        <v>26579.795574</v>
      </c>
      <c r="AE175" s="3">
        <f>1285+(421.2-295.9)+(0+(0-0))+0-141.4-0</f>
        <v>1268.8999999999999</v>
      </c>
    </row>
    <row r="176" spans="1:31" s="2" customFormat="1" x14ac:dyDescent="0.25">
      <c r="A176">
        <v>89</v>
      </c>
      <c r="B176">
        <v>6</v>
      </c>
      <c r="C176">
        <v>21</v>
      </c>
      <c r="D176">
        <v>2</v>
      </c>
      <c r="E176">
        <v>1</v>
      </c>
      <c r="F176" s="3">
        <f>1328.2+(260.4-329.3)+(-2.032146+(-0.398412--0.503829))+0-158.9--0.243117000000009</f>
        <v>1098.7163879999998</v>
      </c>
      <c r="G176" s="3">
        <f>1330+(209.5-321.1)+(-0.6783+(-0.106845--0.163761))+0-156.5--0.0798149999999841</f>
        <v>1061.3584310000001</v>
      </c>
      <c r="H176" s="3">
        <f>1334.1+(190.8-317.8)+(-1.360782+(-0.194616--0.324156))+0-156.6--0.159732000000025</f>
        <v>1049.42849</v>
      </c>
      <c r="I176" s="3">
        <f>1332.6+(181.9-311.5)+(-2.038878+(-0.278307--0.476595))+0-156.8--0.239904000000009</f>
        <v>1044.599314</v>
      </c>
      <c r="J176" s="3">
        <f>1337.7+(181-334.6)+(-2.046681+(-0.27693--0.511938))+0-155.6--0.238068000000009</f>
        <v>1026.9263950000002</v>
      </c>
      <c r="K176" s="3">
        <f>1337.3+(191.1-348.1)+(0+(0-0))+0-157.1-0</f>
        <v>1023.1999999999999</v>
      </c>
      <c r="L176" s="3">
        <f>1340.2+(310.7-459.6)+(-3.41751+(-0.792285--1.17198))+0-157.4--0.401369999999977</f>
        <v>1031.263555</v>
      </c>
      <c r="M176" s="3">
        <f>1350.1+(370.2-489.1)+(0+(0-0))+0-159.6-0</f>
        <v>1071.5999999999999</v>
      </c>
      <c r="N176" s="3">
        <f>1346.9+(409.2-459.4)+(0.686919+(0.208692-0.234294))+0-162.2-0.0827219999999835</f>
        <v>1135.0785950000002</v>
      </c>
      <c r="O176" s="3">
        <f>1358.2+(458.5-458.6)+(-2.078046+(-0.701505--0.701658))+0-161.8--0.247554000000009</f>
        <v>1194.4696610000001</v>
      </c>
      <c r="P176" s="3">
        <f>1357.1+(355.7-346.1)+(0+(0-0))+0-167.5-0</f>
        <v>1199.1999999999998</v>
      </c>
      <c r="Q176" s="3">
        <f>1336.6+(291.7-259)+(0+(0-0))+0-143.3-0</f>
        <v>1226</v>
      </c>
      <c r="R176" s="3">
        <f>1317.4+(327.7-235.2)+(-2.015622+(-0.501381--0.359856))+0-148.5--0.227205000000009</f>
        <v>1259.4700580000001</v>
      </c>
      <c r="S176" s="3">
        <f>1304.3+(405-292)+(-3.325965+(-1.03275--0.7446))+0-142.6--0.363629999999979</f>
        <v>1271.449515</v>
      </c>
      <c r="T176" s="3">
        <f>1306.5+(433.5-320.4)+(0+(0-0))+0-148.6-0</f>
        <v>1271</v>
      </c>
      <c r="U176" s="3">
        <f>1300+(404.5-297.2)+(1.326+(0.41259-0.303144))+0-146.1-0.149022000000023</f>
        <v>1262.4864239999999</v>
      </c>
      <c r="V176" s="3">
        <f>1291.1+(334.5-239.7)+(-2.633844+(-0.68238--0.488988))+0-148.9--0.303755999999994</f>
        <v>1234.4765199999997</v>
      </c>
      <c r="W176" s="3">
        <f>1284.5+(218.6-185.2)+(-2.62038+(-0.445944--0.377808))+0-148.4--0.302735999999994</f>
        <v>1167.1142200000002</v>
      </c>
      <c r="X176" s="3">
        <f>1290.1+(307.7-326.2)+(-0.657951+(-0.156927--0.166362))+0-146.2--0.0745619999999852</f>
        <v>1124.8260459999999</v>
      </c>
      <c r="Y176" s="3">
        <f>1303+(371.3-289.6)+(-0.66453+(-0.189363--0.147696))+0-145.2--0.0740519999999853</f>
        <v>1238.867855</v>
      </c>
      <c r="Z176" s="3">
        <f>1314.6+(345.6-223.7)+(-2.011338+(-0.528768--0.342261))+0-152--0.232560000000009</f>
        <v>1282.534715</v>
      </c>
      <c r="AA176" s="3">
        <f>1318.6+(352.2-244.3)+(-4.707402+(-1.257354--0.872151))+0-159.7--0.570129000000002</f>
        <v>1262.2775239999999</v>
      </c>
      <c r="AB176" s="3">
        <f>1330.5+(369.2-307.5)+(-0.678555+(-0.188292--0.156825))+0-160.3--0.0817529999999837</f>
        <v>1231.271731</v>
      </c>
      <c r="AC176" s="3">
        <f>1338.6+(349.8-342.9)+(-1.365372+(-0.356796--0.349758))+0-162.4--0.165648000000026</f>
        <v>1181.8932379999999</v>
      </c>
      <c r="AD176">
        <f t="shared" si="2"/>
        <v>27949.508675000001</v>
      </c>
      <c r="AE176" s="3">
        <f>1311+(338.3-221.5)+(0+(0-0))+0-147.7-0</f>
        <v>1280.0999999999999</v>
      </c>
    </row>
    <row r="177" spans="1:31" s="2" customFormat="1" x14ac:dyDescent="0.25">
      <c r="A177">
        <v>89</v>
      </c>
      <c r="B177">
        <v>6</v>
      </c>
      <c r="C177">
        <v>22</v>
      </c>
      <c r="D177">
        <v>3</v>
      </c>
      <c r="E177">
        <v>1</v>
      </c>
      <c r="F177" s="3">
        <f>1338.6+(297.4-331.3)+(-2.730744+(-0.606696--0.675852))+0-166.7--0.340067999999993</f>
        <v>1135.6784799999998</v>
      </c>
      <c r="G177" s="3">
        <f>1339.6+(247.2-343.1)+(-0.683196+(-0.126072--0.174981))+0-161--0.0821099999999837</f>
        <v>1082.1478229999998</v>
      </c>
      <c r="H177" s="3">
        <f>1342.1+(220.2-345.1)+(-1.368942+(-0.224604--0.352002))+0-159.2--0.162384000000025</f>
        <v>1056.9208399999998</v>
      </c>
      <c r="I177" s="3">
        <f>1346.4+(195.9-349.5)+(-2.059992+(-0.299727--0.534735))+0-153.6--0.235008000000009</f>
        <v>1037.6100240000003</v>
      </c>
      <c r="J177" s="3">
        <f>1341.7+(193.4-339.9)+(-1.368534+(-0.197268--0.346698))+0-156.3--0.159426000000025</f>
        <v>1037.840322</v>
      </c>
      <c r="K177" s="3">
        <f>1266.5+(239.1-315.2)+(2.58366+(0.487764-0.643008))+0-156.5-0.319259999999993</f>
        <v>1036.0091560000001</v>
      </c>
      <c r="L177" s="3">
        <f>1276.4+(211.5-321.8)+(-2.603856+(-0.43146--0.656472))+0-157.3--0.320891999999993</f>
        <v>1006.7420480000001</v>
      </c>
      <c r="M177" s="3">
        <f>1276.1+(261.4-374.2)+(1.952433+(0.399942-0.572526))+0-161.7-0.247401000000009</f>
        <v>1003.132448</v>
      </c>
      <c r="N177" s="3">
        <f>1272.8+(336.6-386.7)+(-0.649128+(-0.171666--0.197217))+0-160.4--0.0818039999999837</f>
        <v>1061.7582269999998</v>
      </c>
      <c r="O177" s="3">
        <f>1270.3+(338.5-361.1)+(0.647853+(0.172635-0.184161))+0-149.9-0.0764489999999848</f>
        <v>1098.3598779999998</v>
      </c>
      <c r="P177" s="3">
        <f>1259.7+(281.9-225.7)+(1.284894+(0.287538-0.230214))+0-158.3-0.161466000000025</f>
        <v>1158.7807520000001</v>
      </c>
      <c r="Q177" s="3">
        <f>1291.7+(278.9-200.5)+(-0.658767+(-0.142239--0.102255))+0-153.7--0.0783869999999844</f>
        <v>1215.779636</v>
      </c>
      <c r="R177" s="3">
        <f>1310.2+(396.2-292.5)+(0+(0-0))+0-161.5-0</f>
        <v>1252.4000000000001</v>
      </c>
      <c r="S177" s="3">
        <f>1304.3+(531.9-412.9)+(-1.330386+(-0.542538--0.421158))+0-160.9--0.164118000000026</f>
        <v>1261.1123519999999</v>
      </c>
      <c r="T177" s="3">
        <f>1287.6+(605.8-477.1)+(0+(0-0))+0-164.5-0</f>
        <v>1251.7999999999997</v>
      </c>
      <c r="U177" s="3">
        <f>1277.9+(592.1-461.7)+(0+(0-0))+0-157.9-0</f>
        <v>1250.4000000000001</v>
      </c>
      <c r="V177" s="3">
        <f>1275.2+(459.8-331.2)+(-3.25176+(-1.17249--0.84456))+0-162.2--0.413609999999976</f>
        <v>1238.4339200000002</v>
      </c>
      <c r="W177" s="3">
        <f>1279.5+(256.3-196.7)+(-3.91527+(-0.784278--0.601902))+0-165.4--0.506124000000019</f>
        <v>1170.1084779999999</v>
      </c>
      <c r="X177" s="3">
        <f>1291.3+(375.1-378.2)+(-1.975689+(-0.573903--0.578646))+0-163.3--0.249849000000009</f>
        <v>1123.1789030000002</v>
      </c>
      <c r="Y177" s="3">
        <f>1292.3+(431.6-329.9)+(-1.318146+(-0.440232--0.336498))+0-156.7--0.159834000000025</f>
        <v>1236.0379539999999</v>
      </c>
      <c r="Z177" s="3">
        <f>1319.3+(428.7-299.8)+(-2.018529+(-0.655911--0.458694))+0-158.2--0.242046000000009</f>
        <v>1288.0262999999998</v>
      </c>
      <c r="AA177" s="3">
        <f>1333.1+(438.9-345.9)+(-2.039643+(-0.671517--0.529227))+0-156.5--0.239445000000009</f>
        <v>1267.6575119999998</v>
      </c>
      <c r="AB177" s="3">
        <f>1327.9+(413.4-362.5)+(-2.708916+(-0.843336--0.7395))+0-155.5--0.317219999999993</f>
        <v>1220.804468</v>
      </c>
      <c r="AC177" s="3">
        <f>1325.6+(370.4-365.6)+(-1.352112+(-0.377808--0.372912))+0-153.9--0.156978000000025</f>
        <v>1175.2999699999998</v>
      </c>
      <c r="AD177">
        <f t="shared" si="2"/>
        <v>27666.019490999995</v>
      </c>
      <c r="AE177" s="3">
        <f>1324+(443.5-305.3)+(0+(0-0))+0-157-0</f>
        <v>1305.2</v>
      </c>
    </row>
    <row r="178" spans="1:31" s="2" customFormat="1" x14ac:dyDescent="0.25">
      <c r="A178">
        <v>89</v>
      </c>
      <c r="B178">
        <v>6</v>
      </c>
      <c r="C178">
        <v>23</v>
      </c>
      <c r="D178">
        <v>4</v>
      </c>
      <c r="E178">
        <v>1</v>
      </c>
      <c r="F178" s="3">
        <f>1307.9+(326.7-349.5)+(-2.001087+(-0.499851--0.534735))+0-153.5--0.234855000000009</f>
        <v>1129.8686520000001</v>
      </c>
      <c r="G178" s="3">
        <f>1302.3+(271.6-354.5)+(-1.992519+(-0.415548--0.542385))+0-150.5--0.230265000000009</f>
        <v>1067.2645829999999</v>
      </c>
      <c r="H178" s="3">
        <f>1306.1+(233.2-340.5)+(-0.666111+(-0.118932--0.173655))+0-147.1--0.0750209999999851</f>
        <v>1051.1636329999999</v>
      </c>
      <c r="I178" s="3">
        <f>1324.1+(209.5-333.3)+(-2.025873+(-0.320535--0.509949))+0-152.3--0.233019000000009</f>
        <v>1046.3965599999999</v>
      </c>
      <c r="J178" s="3">
        <f>1320.9+(172.9-304.3)+(-3.368295+(-0.440895--0.775965))+0-153.8--0.392189999999978</f>
        <v>1033.0589650000002</v>
      </c>
      <c r="K178" s="3">
        <f>1324.6+(166.9-306.6)+(-0.675546+(-0.085119--0.156366))+0-149.8--0.0763979999999848</f>
        <v>1034.5720989999998</v>
      </c>
      <c r="L178" s="3">
        <f>1354.4+(199.7-399.3)+(-2.762976+(-0.407388--0.814572))+0-147.1--0.300083999999994</f>
        <v>1005.6442920000001</v>
      </c>
      <c r="M178" s="3">
        <f>1356.3+(203.3-407.5)+(0+(0-0))+0-150.8-0</f>
        <v>1001.3</v>
      </c>
      <c r="N178" s="3">
        <f>1345.7+(205.9-340.4)+(-1.372614+(-0.210018--0.347208))+0-158.5--0.161670000000025</f>
        <v>1051.626246</v>
      </c>
      <c r="O178" s="3">
        <f>1329.6+(225.2-297.7)+(-2.034288+(-0.344556--0.455481))+0-159.5--0.244035000000009</f>
        <v>1095.9206719999997</v>
      </c>
      <c r="P178" s="3">
        <f>1313.2+(253.5-268.1)+(-0.669732+(-0.129285--0.136731))+0-153.2--0.0781319999999845</f>
        <v>1144.815846</v>
      </c>
      <c r="Q178" s="3">
        <f>1297.6+(276.9-219.8)+(-1.323552+(-0.282438--0.224196))+0-150.8--0.153816000000024</f>
        <v>1202.672022</v>
      </c>
      <c r="R178" s="3">
        <f>1281.4+(362.7-259.4)+(-3.26757+(-0.924885--0.66147))+0-154.6--0.394229999999978</f>
        <v>1226.9632449999999</v>
      </c>
      <c r="S178" s="3">
        <f>1274.2+(434.7-307.1)+(-2.599368+(-0.886788--0.626484))+0-157.9--0.322115999999993</f>
        <v>1241.3624439999999</v>
      </c>
      <c r="T178" s="3">
        <f>1284.7+(449-318)+(-0.655197+(-0.22899--0.16218))+0-158--0.080579999999984</f>
        <v>1257.058573</v>
      </c>
      <c r="U178" s="3">
        <f>1267.2+(465.2-332.8)+(-2.585088+(-0.949008--0.678912))+0-157.2--0.320687999999993</f>
        <v>1239.8655039999999</v>
      </c>
      <c r="V178" s="3">
        <f>1294.3+(343.1-260)+(-1.320186+(-0.349962--0.2652))+0-159.1--0.162282000000025</f>
        <v>1217.0573340000001</v>
      </c>
      <c r="W178" s="3">
        <f>1292.6+(212.4-187.6)+(-1.318452+(-0.216648--0.191352))+0-162.3--0.165546000000026</f>
        <v>1153.9217979999999</v>
      </c>
      <c r="X178" s="3">
        <f>1289.3+(273.5-296.3)+(-1.315086+(-0.27897--0.302226))+0-160.1--0.163302000000026</f>
        <v>1105.2714720000001</v>
      </c>
      <c r="Y178" s="3">
        <f>1301.9+(328.1-232.7)+(-1.991907+(-0.501993--0.356031))+0-154.1--0.235773000000009</f>
        <v>1241.2979040000005</v>
      </c>
      <c r="Z178" s="3">
        <f>1336.2+(423.4-324.8)+(-2.044386+(-0.647802--0.496944))+0-161.1--0.246483000000009</f>
        <v>1271.7512389999999</v>
      </c>
      <c r="AA178" s="3">
        <f>1339.5+(425.7-353.9)+(-3.415725+(-1.085535--0.902445))+0-164.6--0.419729999999976</f>
        <v>1243.5209150000001</v>
      </c>
      <c r="AB178" s="3">
        <f>1353+(390.4-384.8)+(-1.38006+(-0.398208--0.392496))+0-158.4--0.161568000000025</f>
        <v>1198.9757959999997</v>
      </c>
      <c r="AC178" s="3">
        <f>1360.1+(342.9-391.7)+(-1.387302+(-0.349758--0.399534))+0-163.3--0.166566000000026</f>
        <v>1146.8290400000001</v>
      </c>
      <c r="AD178">
        <f t="shared" si="2"/>
        <v>27408.178834000002</v>
      </c>
      <c r="AE178" s="3">
        <f>1344+(432.7-329.2)+(0+(0-0))+0-165-0</f>
        <v>1282.5</v>
      </c>
    </row>
    <row r="179" spans="1:31" s="2" customFormat="1" x14ac:dyDescent="0.25">
      <c r="A179">
        <v>89</v>
      </c>
      <c r="B179">
        <v>6</v>
      </c>
      <c r="C179">
        <v>24</v>
      </c>
      <c r="D179">
        <v>5</v>
      </c>
      <c r="E179">
        <v>1</v>
      </c>
      <c r="F179" s="3">
        <f>1362+(293.2-360.9)+(-1.38924+(-0.299064--0.368118))+0-163.3--0.166566000000026</f>
        <v>1129.8463800000002</v>
      </c>
      <c r="G179" s="3">
        <f>1362.1+(239.7-358)+(-0.694671+(-0.122247--0.18258))+0-160.3--0.0817529999999837</f>
        <v>1082.9474149999999</v>
      </c>
      <c r="H179" s="3">
        <f>1361.1+(274.8-420.7)+(2.082483+(0.420444-0.643671))+0-158.8-0.242964000000009</f>
        <v>1058.0162919999998</v>
      </c>
      <c r="I179" s="3">
        <f>1333.4+(245-402.3)+(0+(0-0))+0-159.7-0</f>
        <v>1016.4000000000001</v>
      </c>
      <c r="J179" s="3">
        <f>1337+(224.6-397.7)+(-1.36374+(-0.229092--0.405654))+0-161.1--0.164322000000026</f>
        <v>1001.7771440000001</v>
      </c>
      <c r="K179" s="3">
        <f>1342.1+(181.1-366.9)+(0+(0-0))+0-161-0</f>
        <v>995.3</v>
      </c>
      <c r="L179" s="3">
        <f>1363.3+(152.7-371.3)+(-2.085849+(-0.233631--0.568089))+0-159.4--0.243882000000009</f>
        <v>983.79249099999981</v>
      </c>
      <c r="M179" s="3">
        <f>1358.8+(184.4-388.3)+(-1.385976+(-0.188088--0.396066))+0-166.5--0.169830000000027</f>
        <v>987.39183200000002</v>
      </c>
      <c r="N179" s="3">
        <f>1352.2+(227.3-377.2)+(0.689622+(0.115923-0.192372))+0-162.9-0.0830789999999835</f>
        <v>1039.9300940000001</v>
      </c>
      <c r="O179" s="3">
        <f>1295.5+(284.5-330.4)+(-0.660705+(-0.145095--0.168504))+0-154.6--0.0788459999999843</f>
        <v>1094.4415499999998</v>
      </c>
      <c r="P179" s="3">
        <f>1243.6+(304.5-237.6)+(0+(0-0))+0-156.4-0</f>
        <v>1154.0999999999999</v>
      </c>
      <c r="Q179" s="3">
        <f>1281.4+(334-236.8)+(0.653514+(0.17034-0.120768))+0-149.1-0.0760409999999849</f>
        <v>1230.1270450000002</v>
      </c>
      <c r="R179" s="3">
        <f>1283+(410.2-284.8)+(-0.65433+(-0.209202--0.145248))+0-143.9--0.0733889999999854</f>
        <v>1263.8551049999999</v>
      </c>
      <c r="S179" s="3">
        <f>1266.5+(517.2-382.4)+(-0.645915+(-0.263772--0.195024))+0-143.3--0.0730829999999855</f>
        <v>1257.3584200000003</v>
      </c>
      <c r="T179" s="3">
        <f>1283.6+(584.8-443.8)+(-1.963908+(-0.894744--0.679014))+0-149.9--0.229347000000009</f>
        <v>1272.7497089999997</v>
      </c>
      <c r="U179" s="3">
        <f>1288.3+(547.9-405.9)+(1.314066+(0.558858-0.414018))+0-149.6-0.152592000000024</f>
        <v>1282.0063140000002</v>
      </c>
      <c r="V179" s="3">
        <f>1289.9+(416.8-302.8)+(0+(0-0))+0-153.4-0</f>
        <v>1250.5</v>
      </c>
      <c r="W179" s="3">
        <f>1291.8+(246.4-193.9)+(-2.635272+(-0.502656--0.395556))+0-152.5--0.311099999999993</f>
        <v>1189.3687279999999</v>
      </c>
      <c r="X179" s="3">
        <f>1296.4+(316.7-328)+(0.661164+(0.161517-0.16728))+0-144.2-0.0735419999999854</f>
        <v>1141.481859</v>
      </c>
      <c r="Y179" s="3">
        <f>1289.9+(364-238.9)+(-0.657849+(-0.18564--0.121839))+0-140.9--0.0718589999999857</f>
        <v>1273.4502089999999</v>
      </c>
      <c r="Z179" s="3">
        <f>1306.7+(419.1-279.6)+(-3.332085+(-1.068705--0.71298))+0-145.1--0.370004999999979</f>
        <v>1297.7821950000002</v>
      </c>
      <c r="AA179" s="3">
        <f>1316.5+(418.4-306.5)+(-3.357075+(-1.06692--0.781575))+0-157.3--0.401114999999977</f>
        <v>1267.8586950000001</v>
      </c>
      <c r="AB179" s="3">
        <f>1308.6+(411.8-321.6)+(-2.669544+(-0.840072--0.656064))+0-158.9--0.324155999999993</f>
        <v>1237.3706039999997</v>
      </c>
      <c r="AC179" s="3">
        <f>1321.8+(355.1-328.6)+(-0.674118+(-0.181101--0.167586))+0-160.7--0.0819569999999837</f>
        <v>1186.9943239999998</v>
      </c>
      <c r="AD179">
        <f t="shared" si="2"/>
        <v>27694.846404999993</v>
      </c>
      <c r="AE179" s="3">
        <f>1307+(425.3-295.4)+(0+(0-0))+0-144.2-0</f>
        <v>1292.7</v>
      </c>
    </row>
    <row r="180" spans="1:31" s="2" customFormat="1" x14ac:dyDescent="0.25">
      <c r="A180">
        <v>89</v>
      </c>
      <c r="B180">
        <v>6</v>
      </c>
      <c r="C180">
        <v>25</v>
      </c>
      <c r="D180">
        <v>6</v>
      </c>
      <c r="E180">
        <v>1</v>
      </c>
      <c r="F180" s="3">
        <f>1312.6+(387.9-384.3)+(-3.34713+(-0.989145--0.979965))+0-159.6--0.406979999999977</f>
        <v>1153.65067</v>
      </c>
      <c r="G180" s="3">
        <f>1305+(434.3-463.5)+(-2.6622+(-0.885972--0.94554))+0-162.3--0.331091999999993</f>
        <v>1111.2284599999998</v>
      </c>
      <c r="H180" s="3">
        <f>1309.4+(384.1-441)+(0.667794+(0.195891-0.22491))+0-163.8-0.0835379999999834</f>
        <v>1089.2552369999999</v>
      </c>
      <c r="I180" s="3">
        <f>1316.4+(344.5-424.3)+(-4.028184+(-1.05417--1.298358))+0-163.3--0.499698000000019</f>
        <v>1070.0157020000004</v>
      </c>
      <c r="J180" s="3">
        <f>1341.9+(290.8-417.9)+(0.684369+(0.148308-0.213129))+0-160.3-0.0817529999999837</f>
        <v>1055.0377950000002</v>
      </c>
      <c r="K180" s="3">
        <f>1342.8+(255-395)+(0+(0-0))+0-150.4-0</f>
        <v>1052.3999999999999</v>
      </c>
      <c r="L180" s="3">
        <f>1351.7+(170.7-348.2)+(-3.446835+(-0.435285--0.88791))+0-146.1--0.372554999999979</f>
        <v>1025.478345</v>
      </c>
      <c r="M180" s="3">
        <f>1354.1+(153.1-316.8)+(0.690591+(0.078081-0.161568))+0-161.2-0.0822119999999836</f>
        <v>1029.7248919999997</v>
      </c>
      <c r="N180" s="3">
        <f>1346.7+(216.8-328.7)+(-1.373634+(-0.221136--0.335274))+0-163.4--0.166668000000026</f>
        <v>1070.3071720000003</v>
      </c>
      <c r="O180" s="3">
        <f>1347.2+(268-331)+(-0.687072+(-0.13668--0.16881))+0-161.7--0.0824669999999836</f>
        <v>1121.9275250000001</v>
      </c>
      <c r="P180" s="3">
        <f>1338.1+(318.8-323)+(-2.047293+(-0.487764--0.49419))+0-164--0.250920000000009</f>
        <v>1168.1100529999999</v>
      </c>
      <c r="Q180" s="3">
        <f>1284.5+(418.2-314.5)+(-3.275475+(-1.06641--0.801975))+0-164.5--0.419474999999976</f>
        <v>1220.579565</v>
      </c>
      <c r="R180" s="3">
        <f>1265.8+(489.7-329.2)+(-7.101138+(-2.747217--1.846812))+0-160.4--0.899843999999995</f>
        <v>1258.7983009999998</v>
      </c>
      <c r="S180" s="3">
        <f>1305.4+(504.6-382.6)+(-1.331508+(-0.514692--0.390252))+0-162.5--0.165750000000026</f>
        <v>1263.6098020000002</v>
      </c>
      <c r="T180" s="3">
        <f>1292.1+(574.3-440.5)+(-1.317942+(-0.585786--0.44931))+0-160.5--0.163710000000026</f>
        <v>1264.1092919999999</v>
      </c>
      <c r="U180" s="3">
        <f>1286.5+(550.9-424.7)+(-0.656115+(-0.280959--0.216597))+0-156--0.0795599999999842</f>
        <v>1256.0590829999999</v>
      </c>
      <c r="V180" s="3">
        <f>1287.6+(467-371.8)+(-1.313352+(-0.47634--0.379236))+0-162--0.165240000000026</f>
        <v>1219.5547839999999</v>
      </c>
      <c r="W180" s="3">
        <f>1277.8+(293.5-249)+(-3.25839+(-0.748425--0.63495))+0-163.9--0.417944999999976</f>
        <v>1155.4460799999997</v>
      </c>
      <c r="X180" s="3">
        <f>1273.9+(219.3-207)+(-0.649689+(-0.111843--0.10557))+0-162.9--0.0830789999999835</f>
        <v>1122.7271169999999</v>
      </c>
      <c r="Y180" s="3">
        <f>1271+(439-296.1)+(0+(0-0))+0-165-0</f>
        <v>1248.9000000000001</v>
      </c>
      <c r="Z180" s="3">
        <f>1283.5+(517.7-370.5)+(-0.654585+(-0.264027--0.188955))+0-165.5--0.0844049999999832</f>
        <v>1264.554748</v>
      </c>
      <c r="AA180" s="3">
        <f>1285.4+(519.8-398)+(-1.966662+(-0.795294--0.60894))+0-166.1--0.25413300000001</f>
        <v>1239.2011170000001</v>
      </c>
      <c r="AB180" s="3">
        <f>1295+(504.7-425.4)+(-2.6418+(-1.029588--0.867816))+0-162.3--0.331091999999993</f>
        <v>1209.5275199999999</v>
      </c>
      <c r="AC180" s="3">
        <f>1301.8+(469.6-435.8)+(-1.991754+(-0.718488--0.666774))+0-162.9--0.249237000000009</f>
        <v>1170.9057689999997</v>
      </c>
      <c r="AD180">
        <f t="shared" si="2"/>
        <v>27841.109029000003</v>
      </c>
      <c r="AE180" s="3">
        <f>1281+(510.8-366)+(0+(0-0))+0-164-0</f>
        <v>1261.8</v>
      </c>
    </row>
    <row r="181" spans="1:31" s="2" customFormat="1" x14ac:dyDescent="0.25">
      <c r="A181">
        <v>89</v>
      </c>
      <c r="B181">
        <v>6</v>
      </c>
      <c r="C181">
        <v>26</v>
      </c>
      <c r="D181">
        <v>7</v>
      </c>
      <c r="E181">
        <v>1</v>
      </c>
      <c r="F181" s="3">
        <f>1314.7+(433.6-434.8)+(-2.681988+(-0.884544--0.886992))+0-160.4--0.327215999999993</f>
        <v>1150.7476759999997</v>
      </c>
      <c r="G181" s="3">
        <f>1324.4+(376.8-433.2)+(-3.37722+(-0.96084--1.10466))+0-158--0.402899999999977</f>
        <v>1107.1695</v>
      </c>
      <c r="H181" s="3">
        <f>1334.6+(348.1-451.2)+(0.680646+(0.177531-0.230112))+0-158.9-0.0810389999999839</f>
        <v>1073.1470260000001</v>
      </c>
      <c r="I181" s="3">
        <f>1341.1+(305.4-430.7)+(0.683961+(0.155754-0.219657))+0-156.6-0.0798659999999841</f>
        <v>1059.740192</v>
      </c>
      <c r="J181" s="3">
        <f>1341.4+(276.3-413.8)+(0+(0-0))+0-157.5-0</f>
        <v>1046.4000000000001</v>
      </c>
      <c r="K181" s="3">
        <f>1345.1+(236.3-393.1)+(0.686001+(0.120513-0.200481))+0-154-0.0785399999999844</f>
        <v>1034.827493</v>
      </c>
      <c r="L181" s="3">
        <f>1319+(182.3-350.3)+(-3.36345+(-0.464865--0.893265))+0-152.9--0.389894999999978</f>
        <v>995.554845</v>
      </c>
      <c r="M181" s="3">
        <f>1155.7+(234.1-257.3)+(-1.768221+(-0.358173--0.393669))+0-155.1--0.237303000000009</f>
        <v>975.9045779999999</v>
      </c>
      <c r="N181" s="3">
        <f>1146.9+(222.5-216.5)+(0+(0-0))+4-154.9-0</f>
        <v>1002.0000000000001</v>
      </c>
      <c r="O181" s="3">
        <f>1140+(250.4-215.2)+(-0.5814+(-0.127704--0.109752))+2.5-149.7--0.0763469999999848</f>
        <v>1027.476995</v>
      </c>
      <c r="P181" s="3">
        <f>1133.3+(365.5-272.5)+(-1.155966+(-0.37281--0.27795))+0-152.9--0.155958000000024</f>
        <v>1072.305132</v>
      </c>
      <c r="Q181" s="3">
        <f>1127.8+(467.9-316.6)+(-1.725534+(-0.715887--0.484398))+0-152.4--0.233172000000009</f>
        <v>1124.9761489999999</v>
      </c>
      <c r="R181" s="3">
        <f>1117.1+(607.2-409.4)+(0+(0-0))+0-155.6-0</f>
        <v>1159.3000000000002</v>
      </c>
      <c r="S181" s="3">
        <f>1097.7+(643.7-415.8)+(-1.119654+(-0.656574--0.424116))+0-154.8--0.157896000000025</f>
        <v>1169.6057840000001</v>
      </c>
      <c r="T181" s="3">
        <f>1085+(662.5-409.3)+(-2.2134+(-1.3515--0.834972))+0-162.3--0.331091999999993</f>
        <v>1173.501164</v>
      </c>
      <c r="U181" s="3">
        <f>1142.1+(610.9-414.4)+(-1.164942+(-0.623118--0.422688))+0-161.8--0.165036000000026</f>
        <v>1175.5996640000001</v>
      </c>
      <c r="V181" s="3">
        <f>1135.8+(480.6-302.9)+(-1.158516+(-0.490212--0.308958))+0-165.8--0.169116000000026</f>
        <v>1146.529346</v>
      </c>
      <c r="W181" s="3">
        <f>1146.5+(278.8-179.4)+(-0.584715+(-0.142188--0.091494))+0-165--0.0841499999999833</f>
        <v>1080.348741</v>
      </c>
      <c r="X181" s="3">
        <f>1168.2+(316.9-279.7)+(-1.787346+(-0.484857--0.427941))+0-165--0.25245000000001</f>
        <v>1038.808188</v>
      </c>
      <c r="Y181" s="3">
        <f>1288.6+(361.2-293.8)+(-1.971558+(-0.552636--0.449514))+0-160.5--0.245565000000009</f>
        <v>1193.670885</v>
      </c>
      <c r="Z181" s="3">
        <f>1309.2+(450.5-388.2)+(0+(0-0))+0-159.9-0</f>
        <v>1211.5999999999999</v>
      </c>
      <c r="AA181" s="3">
        <f>1329.1+(435.8-403)+(-4.744887+(-1.555806--1.43871))+0-165--0.589050000000002</f>
        <v>1192.6270669999999</v>
      </c>
      <c r="AB181" s="3">
        <f>1341.3+(408.7-422.3)+(-2.736252+(-0.833748--0.861492))+0-164.2--0.334967999999993</f>
        <v>1161.1264599999997</v>
      </c>
      <c r="AC181" s="3">
        <f>1305.2+(392.8-416.7)+(-1.331304+(-0.400656--0.425034))+0-164.3--0.167586000000026</f>
        <v>1115.8606600000003</v>
      </c>
      <c r="AD181">
        <f t="shared" si="2"/>
        <v>26488.827544999993</v>
      </c>
      <c r="AE181" s="3">
        <f>1315+(449.6-397.4)+(0+(0-0))+0-158.4-0</f>
        <v>1208.8</v>
      </c>
    </row>
    <row r="182" spans="1:31" s="2" customFormat="1" x14ac:dyDescent="0.25">
      <c r="A182">
        <v>89</v>
      </c>
      <c r="B182">
        <v>6</v>
      </c>
      <c r="C182">
        <v>27</v>
      </c>
      <c r="D182">
        <v>1</v>
      </c>
      <c r="E182">
        <v>1</v>
      </c>
      <c r="F182" s="3">
        <f>1302.6+(354.8-402.1)+(-1.992978+(-0.542844--0.615213))+0-162.5--0.248625000000009</f>
        <v>1091.1280159999999</v>
      </c>
      <c r="G182" s="3">
        <f>1305.4+(311-402.7)+(-2.663016+(-0.63444--0.821508))+0-150.9--0.307835999999993</f>
        <v>1060.6318879999999</v>
      </c>
      <c r="H182" s="3">
        <f>1304.4+(281.5-414)+(-2.660976+(-0.57426--0.84456))+0-142.5--0.290699999999994</f>
        <v>1027.3000240000001</v>
      </c>
      <c r="I182" s="3">
        <f>1313+(240.6-396.3)+(-0.66963+(-0.122706--0.202113))+0-141.5--0.0721649999999856</f>
        <v>1015.2819420000001</v>
      </c>
      <c r="J182" s="3">
        <f>1322.2+(205.9-384.2)+(0.674322+(0.105009-0.195942))+0-139.6-0.0711959999999858</f>
        <v>1004.812193</v>
      </c>
      <c r="K182" s="3">
        <f>1325+(182.1-366.6)+(0.67575+(0.092871-0.186966))+0-140.2-0.0715019999999858</f>
        <v>1000.8101529999999</v>
      </c>
      <c r="L182" s="3">
        <f>1324.3+(139.4-344.9)+(-3.376965+(-0.35547--0.879495))+0-139.7--0.35623499999998</f>
        <v>976.60329499999989</v>
      </c>
      <c r="M182" s="3">
        <f>1330.1+(148.7-341.5)+(-2.713404+(-0.303348--0.69666))+0-142.7--0.291107999999994</f>
        <v>992.57101599999999</v>
      </c>
      <c r="N182" s="3">
        <f>1338.8+(167.8-320.7)+(0+(0-0))+0-142.9-0</f>
        <v>1043</v>
      </c>
      <c r="O182" s="3">
        <f>1329.5+(220.4-341.3)+(0+(0-0))+0-140.6-0</f>
        <v>1068</v>
      </c>
      <c r="P182" s="3">
        <f>1318.2+(264.9-347.2)+(-0.672282+(-0.135099--0.177072))+0-137.5--0.070124999999986</f>
        <v>1097.8398160000002</v>
      </c>
      <c r="Q182" s="3">
        <f>1292.8+(279.6-297.4)+(-2.637312+(-0.570384--0.606696))+0-132.5--0.270299999999994</f>
        <v>1140.1692999999998</v>
      </c>
      <c r="R182" s="3">
        <f>1291+(380.2-334.6)+(-1.31682+(-0.387804--0.341292))+0-146.8--0.149736000000023</f>
        <v>1188.5864040000001</v>
      </c>
      <c r="S182" s="3">
        <f>1293.2+(400.7-351.3)+(-3.957192+(-1.226142--1.074978))+0-148--0.452880000000017</f>
        <v>1190.944524</v>
      </c>
      <c r="T182" s="3">
        <f>1292+(438.9-383.4)+(-1.31784+(-0.447678--0.391068))+0-153.9--0.156978000000025</f>
        <v>1192.3825279999999</v>
      </c>
      <c r="U182" s="3">
        <f>1286.1+(373-325.1)+(-1.967733+(-0.57069--0.497403))+0-147.3--0.225369000000009</f>
        <v>1184.8843490000002</v>
      </c>
      <c r="V182" s="3">
        <f>1282.7+(296.4-253.6)+(-1.308354+(-0.302328--0.258672))+0-152.2--0.155244000000024</f>
        <v>1172.1032339999999</v>
      </c>
      <c r="W182" s="3">
        <f>1283.3+(236.6-261.4)+(-2.617932+(-0.482664--0.533256))+0-150.4--0.306815999999993</f>
        <v>1105.8394759999999</v>
      </c>
      <c r="X182" s="3">
        <f>1290.1+(303-367.9)+(-1.973853+(-0.46359--0.562887))+0-147.8--0.226134000000009</f>
        <v>1075.7515779999999</v>
      </c>
      <c r="Y182" s="3">
        <f>1300.7+(309.5-265.9)+(-0.663357+(-0.157845--0.135609))+0-142.8--0.0728279999999855</f>
        <v>1200.8872350000004</v>
      </c>
      <c r="Z182" s="3">
        <f>1308.4+(264.1-216.7)+(-2.669136+(-0.538764--0.442068))+0-146.4--0.298655999999994</f>
        <v>1206.932824</v>
      </c>
      <c r="AA182" s="3">
        <f>1277.2+(266.9-205.4)+(0.651372+(0.136119-0.104754))+0-150-0.0764999999999848</f>
        <v>1189.3062370000002</v>
      </c>
      <c r="AB182" s="3">
        <f>1105.7+(355.8-157.4)+(-2.255628+(-0.725832--0.321096))+0-152.6--0.311303999999993</f>
        <v>1149.1509400000002</v>
      </c>
      <c r="AC182" s="3">
        <f>1088+(322.3-152.9)+(-2.21952+(-0.657492--0.311916))+0-156.2--0.318647999999993</f>
        <v>1098.9535519999999</v>
      </c>
      <c r="AD182">
        <f t="shared" si="2"/>
        <v>26473.870523999998</v>
      </c>
      <c r="AE182" s="3">
        <f>1300+(284.1-226.7)+(0+(0-0))+0-146.4-0</f>
        <v>1211</v>
      </c>
    </row>
    <row r="183" spans="1:31" s="2" customFormat="1" x14ac:dyDescent="0.25">
      <c r="A183">
        <v>89</v>
      </c>
      <c r="B183">
        <v>6</v>
      </c>
      <c r="C183">
        <v>28</v>
      </c>
      <c r="D183">
        <v>2</v>
      </c>
      <c r="E183">
        <v>1</v>
      </c>
      <c r="F183" s="3">
        <f>1099.4+(291.8-176.1)+(0+(0-0))+0-156.2-0</f>
        <v>1058.9000000000001</v>
      </c>
      <c r="G183" s="3">
        <f>1110.6+(260-191.8)+(-0.566406+(-0.1326--0.097818))+0-154.6--0.0788459999999843</f>
        <v>1023.6776579999998</v>
      </c>
      <c r="H183" s="3">
        <f>1108.2+(240-196.4)+(-0.565182+(-0.1224--0.100164))+0-152.6--0.0778259999999845</f>
        <v>998.69040799999982</v>
      </c>
      <c r="I183" s="3">
        <f>1110.8+(218.7-200.6)+(-1.133016+(-0.223074--0.204612))+0-149.9--0.152898000000024</f>
        <v>978.00141999999994</v>
      </c>
      <c r="J183" s="3">
        <f>1116.2+(223.2-230.2)+(-0.569262+(-0.113832--0.117402))+0-151.1--0.0770609999999847</f>
        <v>957.61136900000008</v>
      </c>
      <c r="K183" s="3">
        <f>1118.9+(194.5-206.8)+(-1.141278+(-0.19839--0.210936))+0-150.8--0.153816000000024</f>
        <v>954.82508400000029</v>
      </c>
      <c r="L183" s="3">
        <f>1116.7+(263.3-303.9)+(-2.847585+(-0.671415--0.774945))+0-149.3--0.380714999999978</f>
        <v>924.4366600000003</v>
      </c>
      <c r="M183" s="3">
        <f>1126.3+(320-358.8)+(0+(0-0))+0-152.6-0</f>
        <v>934.9</v>
      </c>
      <c r="N183" s="3">
        <f>1147.6+(396.4-405.6)+(-1.170552+(-0.404328--0.413712))+0-152--0.155040000000024</f>
        <v>985.39387199999976</v>
      </c>
      <c r="O183" s="3">
        <f>1149.1+(379.9-352.9)+(-2.930205+(-0.968745--0.899895))+0-154.8--0.394739999999978</f>
        <v>1018.6956849999999</v>
      </c>
      <c r="P183" s="3">
        <f>1135.1+(342.7-265)+(0+(0-0))+0-155.8-0</f>
        <v>1057</v>
      </c>
      <c r="Q183" s="3">
        <f>1123.3+(376.8-244.9)+(-1.718649+(-0.576504--0.374697))+0-156.2--0.238986000000009</f>
        <v>1097.31853</v>
      </c>
      <c r="R183" s="3">
        <f>1108.3+(304.3-134.2)+(-1.695699+(-0.465579--0.205326))+0-154--0.235620000000009</f>
        <v>1122.679668</v>
      </c>
      <c r="S183" s="3">
        <f>1103.6+(281.5-92.9)+(-2.251344+(-0.57426--0.189516))+0-152.8--0.311711999999993</f>
        <v>1137.0756239999998</v>
      </c>
      <c r="T183" s="3">
        <f>1093.6+(307.2-92.7)+(0.557736+(0.156672-0.047277))+0-158.2-0.0806819999999839</f>
        <v>1150.4864489999998</v>
      </c>
      <c r="U183" s="3">
        <f>1087.1+(306.2-79.9)+(-1.108842+(-0.312324--0.081498))+0-158.4--0.161568000000025</f>
        <v>1153.8218999999997</v>
      </c>
      <c r="V183" s="3">
        <f>1085.9+(282.2-72.3)+(-2.769045+(-0.71961--0.184365))+0-162.5--0.414374999999976</f>
        <v>1130.4100850000002</v>
      </c>
      <c r="W183" s="3">
        <f>1083.7+(357.4-199.8)+(-2.210748+(-0.729096--0.407592))+0-164.2--0.334967999999993</f>
        <v>1074.9027159999998</v>
      </c>
      <c r="X183" s="3">
        <f>1084.8+(401.3-258.1)+(0.553248+(0.204663-0.131631))+0-161.6-0.0824159999999836</f>
        <v>1066.9438640000001</v>
      </c>
      <c r="Y183" s="3">
        <f>1087.4+(385.3-135.1)+(-0.554574+(-0.196503--0.068901))+0-159.4--0.0812939999999838</f>
        <v>1177.5991180000001</v>
      </c>
      <c r="Z183" s="3">
        <f>1099.5+(397.1-152.3)+(-1.682235+(-0.607563--0.233019))+0-159.5--0.244035000000009</f>
        <v>1182.9872559999999</v>
      </c>
      <c r="AA183" s="3">
        <f>1117+(337.8-138)+(-2.27868+(-0.689112--0.28152))+0-160--0.326399999999993</f>
        <v>1154.440128</v>
      </c>
      <c r="AB183" s="3">
        <f>1127.7+(271.8-125.8)+(-3.450762+(-0.831708--0.384948))+0-157.8--0.482868000000018</f>
        <v>1112.4853460000002</v>
      </c>
      <c r="AC183" s="3">
        <f>1137.7+(215.9-126.6)+(-0.580227+(-0.110109--0.064566))+0-158.4--0.0807839999999839</f>
        <v>1068.0550139999998</v>
      </c>
      <c r="AD183">
        <f t="shared" si="2"/>
        <v>25521.337854000005</v>
      </c>
      <c r="AE183" s="3">
        <f>1101+(402.1-149.8)+(0+(0-0))+0-161.8-0</f>
        <v>1191.5</v>
      </c>
    </row>
    <row r="184" spans="1:31" s="2" customFormat="1" x14ac:dyDescent="0.25">
      <c r="A184">
        <v>89</v>
      </c>
      <c r="B184">
        <v>6</v>
      </c>
      <c r="C184">
        <v>29</v>
      </c>
      <c r="D184">
        <v>3</v>
      </c>
      <c r="E184">
        <v>1</v>
      </c>
      <c r="F184" s="3">
        <f>1140.6+(193.9-132.7)+(-2.326824+(-0.395556--0.270708))+0-162.9--0.332315999999993</f>
        <v>1036.7806439999999</v>
      </c>
      <c r="G184" s="3">
        <f>1141.3+(209.5-189.1)+(0+(0-0))+0-157.1-0</f>
        <v>1004.6</v>
      </c>
      <c r="H184" s="3">
        <f>1131.7+(207.3-197.2)+(-1.731501+(-0.317169--0.301716))+0-159.5--0.244035000000009</f>
        <v>980.79708100000028</v>
      </c>
      <c r="I184" s="3">
        <f>1118.4+(222.1-218.7)+(-1.140768+(-0.226542--0.223074))+0-157.1--0.160242000000025</f>
        <v>963.71600600000011</v>
      </c>
      <c r="J184" s="3">
        <f>1119.2+(248.6-267.6)+(0.570792+(0.126786-0.136476))+0-156.9-0.0800189999999841</f>
        <v>943.78108299999997</v>
      </c>
      <c r="K184" s="3">
        <f>1120.4+(293.8-325.9)+(0+(0-0))+0-154.5-0</f>
        <v>933.80000000000018</v>
      </c>
      <c r="L184" s="3">
        <f>1109.6+(399.4-442.5)+(-3.395376+(-1.222164--1.35405))+0-153--0.468180000000018</f>
        <v>910.70469000000003</v>
      </c>
      <c r="M184" s="3">
        <f>1127.4+(379.3-414.4)+(0+(0-0))+0-158.1-0</f>
        <v>934.20000000000016</v>
      </c>
      <c r="N184" s="3">
        <f>1124+(438-418.2)+(-0.57324+(-0.22338--0.213282))+0-156.6--0.0798659999999841</f>
        <v>986.69652800000006</v>
      </c>
      <c r="O184" s="3">
        <f>1099.7+(474.3-415.5)+(-0.560847+(-0.241893--0.211905))+0-155.7--0.0794069999999842</f>
        <v>1002.2885719999999</v>
      </c>
      <c r="P184" s="3">
        <f>1108.5+(458.4-350.9)+(0+(0-0))+0-149.4-0</f>
        <v>1066.5999999999999</v>
      </c>
      <c r="Q184" s="3">
        <f>1103.9+(429.2-271.1)+(-1.688967+(-0.656676--0.414783))+0-153.4--0.234702000000009</f>
        <v>1106.9038419999999</v>
      </c>
      <c r="R184" s="3">
        <f>1092.8+(355.1-163)+(-0.557328+(-0.181101--0.08313))+0-155.1--0.0791009999999843</f>
        <v>1129.2238020000002</v>
      </c>
      <c r="S184" s="3">
        <f>1076.1+(330.9-110.2)+(-3.841677+(-1.181313--0.393414))+0-159.9--0.570843000000002</f>
        <v>1132.8412669999998</v>
      </c>
      <c r="T184" s="3">
        <f>1075.5+(381-148)+(0.548505+(0.19431-0.07548))+0-161.5-0.0823649999999836</f>
        <v>1147.5849700000001</v>
      </c>
      <c r="U184" s="3">
        <f>1065.6+(399.2-155.9)+(-2.173824+(-0.814368--0.318036))+0-152.7--0.311507999999993</f>
        <v>1153.8413519999999</v>
      </c>
      <c r="V184" s="3">
        <f>1055.9+(345.5-111.8)+(-2.154036+(-0.70482--0.228072))+0-157.8--0.321911999999993</f>
        <v>1129.4911280000001</v>
      </c>
      <c r="W184" s="3">
        <f>1053.5+(429.7-247.8)+(-2.686425+(-1.095735--0.63189))+0-160.4--0.409019999999977</f>
        <v>1072.25875</v>
      </c>
      <c r="X184" s="3">
        <f>1060.3+(577.1-417.9)+(-0.540753+(-0.294321--0.213129))+0-157.1--0.0801209999999841</f>
        <v>1061.858176</v>
      </c>
      <c r="Y184" s="3">
        <f>1069.5+(540.5-276.6)+(0.545445+(0.275655-0.141066))+0-151.1-0.0770609999999847</f>
        <v>1182.9029730000002</v>
      </c>
      <c r="Z184" s="3">
        <f>1066.3+(430.4-147.5)+(-2.175252+(-0.878016--0.3009))+0-157.5--0.321299999999993</f>
        <v>1189.2689319999999</v>
      </c>
      <c r="AA184" s="3">
        <f>1074.9+(392.8-147.2)+(-3.289194+(-1.201968--0.450432))+0-157.5--0.481950000000018</f>
        <v>1159.4412200000002</v>
      </c>
      <c r="AB184" s="3">
        <f>1098.6+(374.7-179)+(-2.241144+(-0.764388--0.36516))+0-159--0.324359999999993</f>
        <v>1132.983988</v>
      </c>
      <c r="AC184" s="3">
        <f>1102.2+(337.2-187.9)+(-2.248488+(-0.687888--0.383316))+0-160.3--0.327011999999993</f>
        <v>1088.9739520000001</v>
      </c>
      <c r="AD184">
        <f t="shared" si="2"/>
        <v>25451.538956000004</v>
      </c>
      <c r="AE184" s="3">
        <f>1074+(423.3-142.6)+(0+(0-0))+0-155.9-0</f>
        <v>1198.8</v>
      </c>
    </row>
    <row r="185" spans="1:31" s="2" customFormat="1" x14ac:dyDescent="0.25">
      <c r="A185">
        <v>89</v>
      </c>
      <c r="B185">
        <v>6</v>
      </c>
      <c r="C185">
        <v>30</v>
      </c>
      <c r="D185">
        <v>4</v>
      </c>
      <c r="E185">
        <v>1</v>
      </c>
      <c r="F185" s="3">
        <f>1110.4+(273.7-172.2)+(-1.698912+(-0.418761--0.263466))+0-156.4--0.239292000000009</f>
        <v>1053.8850849999999</v>
      </c>
      <c r="G185" s="3">
        <f>1113+(224.7-156.8)+(-1.70289+(-0.343791--0.239904))+0-153.1--0.234243000000009</f>
        <v>1026.2274660000003</v>
      </c>
      <c r="H185" s="3">
        <f>1117+(176.2-145.5)+(0+(0-0))+0-152.5-0</f>
        <v>995.2</v>
      </c>
      <c r="I185" s="3">
        <f>1119.5+(175.6-176.3)+(-0.570945+(-0.089556--0.089913))+0-153.1--0.0780809999999845</f>
        <v>965.20749299999989</v>
      </c>
      <c r="J185" s="3">
        <f>1122.8+(188.7-201.9)+(-0.572628+(-0.096237--0.102969))+0-155.2--0.0791519999999842</f>
        <v>953.91325599999982</v>
      </c>
      <c r="K185" s="3">
        <f>1122+(226.4-254.1)+(0.57222+(0.115464-0.129591))+0-154.1-0.0785909999999844</f>
        <v>940.67950200000007</v>
      </c>
      <c r="L185" s="3">
        <f>1124.1+(370.8-414.9)+(-1.146582+(-0.378216--0.423198))+0-150.9--0.153918000000024</f>
        <v>928.15231800000004</v>
      </c>
      <c r="M185" s="3">
        <f>1120.8+(457-472.6)+(-1.143216+(-0.46614--0.482052))+0-156.4--0.159528000000025</f>
        <v>947.83222399999977</v>
      </c>
      <c r="N185" s="3">
        <f>1122.3+(459.2-431.2)+(0.572373+(0.234192-0.219912))+0-154.9-0.0789989999999843</f>
        <v>995.90765400000009</v>
      </c>
      <c r="O185" s="3">
        <f>1117.9+(479.7-418.6)+(-1.140258+(-0.489294--0.426972))+0-151.7--0.154734000000024</f>
        <v>1026.252154</v>
      </c>
      <c r="P185" s="3">
        <f>1110.3+(478.7-358.8)+(-0.566253+(-0.244137--0.182988))+0-153.6--0.0783359999999844</f>
        <v>1076.0509339999999</v>
      </c>
      <c r="Q185" s="3">
        <f>1102+(420.7-241.8)+(0+(0-0))+0-156.9-0</f>
        <v>1124</v>
      </c>
      <c r="R185" s="3">
        <f>1085.9+(334.6-135.9)+(0.553809+(0.170646-0.069309))+0-155.1-0.0791009999999843</f>
        <v>1130.0760450000002</v>
      </c>
      <c r="S185" s="3">
        <f>1081.5+(295.5-76.2)+(-2.757825+(-0.753525--0.19431))+0-157.5--0.401624999999977</f>
        <v>1140.384585</v>
      </c>
      <c r="T185" s="3">
        <f>1079.7+(347.3-122.1)+(1.101294+(0.354246-0.124542))+0-151.2-0.154224000000024</f>
        <v>1154.8767739999998</v>
      </c>
      <c r="U185" s="3">
        <f>1071.7+(350.8-115.2)+(-1.093134+(-0.357816--0.117504))+0-150.9--0.153918000000024</f>
        <v>1155.220472</v>
      </c>
      <c r="V185" s="3">
        <f>1062.1+(345.8-121.5)+(-2.166684+(-0.705432--0.24786))+0-154.2--0.314567999999993</f>
        <v>1129.8903119999998</v>
      </c>
      <c r="W185" s="3">
        <f>1067+(414.8-234.2)+(-1.08834+(-0.423096--0.238884))+0-159.5--0.162690000000025</f>
        <v>1086.9901380000001</v>
      </c>
      <c r="X185" s="3">
        <f>1066.6+(462.1-289)+(-1.087932+(-0.471342--0.29478))+0-157.4--0.160548000000025</f>
        <v>1081.1960539999998</v>
      </c>
      <c r="Y185" s="3">
        <f>1077.1+(481.5-200)+(0+(0-0))+0-154.5-0</f>
        <v>1204.0999999999999</v>
      </c>
      <c r="Z185" s="3">
        <f>1084.9+(474.2-189.7)+(-2.766495+(-1.20921--0.483735))+0-160--0.407999999999977</f>
        <v>1206.31603</v>
      </c>
      <c r="AA185" s="3">
        <f>1083.5+(411.5-146.9)+(-3.31551+(-1.25919--0.449514))+0-158.7--0.485622000000018</f>
        <v>1185.7604359999998</v>
      </c>
      <c r="AB185" s="3">
        <f>1091.7+(413.4-191.2)+(-1.113534+(-0.421668--0.195024))+0-156.5--0.159630000000025</f>
        <v>1156.2194520000003</v>
      </c>
      <c r="AC185" s="3">
        <f>1095.5+(368.6-192.7)+(-1.11741+(-0.375972--0.196554))+0-157.8--0.160956000000025</f>
        <v>1112.4641280000001</v>
      </c>
      <c r="AD185">
        <f t="shared" si="2"/>
        <v>25776.802512000002</v>
      </c>
      <c r="AE185" s="3">
        <f>1088+(477.6-193.4)+(0+(0-0))+0-157.6-0</f>
        <v>1214.6000000000001</v>
      </c>
    </row>
    <row r="186" spans="1:31" s="2" customFormat="1" x14ac:dyDescent="0.25">
      <c r="A186">
        <v>89</v>
      </c>
      <c r="B186">
        <v>6</v>
      </c>
      <c r="C186">
        <v>31</v>
      </c>
      <c r="D186">
        <v>5</v>
      </c>
      <c r="E186">
        <v>1</v>
      </c>
      <c r="F186" s="3">
        <f>1094+(230.5-149.6)+(-1.11588+(-0.23511--0.152592))+0-154.5--0.157590000000025</f>
        <v>1019.3591920000001</v>
      </c>
      <c r="G186" s="3">
        <f>1111.3+(202-165)+(-1.700289+(-0.30906--0.25245))+0-153--0.234090000000009</f>
        <v>993.77719100000002</v>
      </c>
      <c r="H186" s="3">
        <f>1115.3+(197-190.4)+(-1.706409+(-0.30141--0.291312))+0-149.9--0.229347000000009</f>
        <v>970.51283999999976</v>
      </c>
      <c r="I186" s="3">
        <f>1126.8+(210-235.8)+(1.149336+(0.2142-0.240516))+0-146.6-0.149532000000023</f>
        <v>955.37348799999995</v>
      </c>
      <c r="J186" s="3">
        <f>1127.1+(238.7-268.6)+(-0.574821+(-0.121737--0.136986))+0-145.2--0.0740519999999853</f>
        <v>951.51447999999982</v>
      </c>
      <c r="K186" s="3">
        <f>1129.2+(301.9-354.8)+(-1.151784+(-0.307938--0.361896))+0-149--0.151980000000024</f>
        <v>926.35415399999999</v>
      </c>
      <c r="L186" s="3">
        <f>1126.9+(342.8-389)+(-1.149438+(-0.349656--0.39678))+0-144.4--0.147288000000023</f>
        <v>935.34497400000009</v>
      </c>
      <c r="M186" s="3">
        <f>1132.6+(430.4-423.1)+(0+(0-0))+0-150.6-0</f>
        <v>989.29999999999984</v>
      </c>
      <c r="N186" s="3">
        <f>1130.8+(568.5-489.4)+(0.576708+(0.289935-0.249594))+0-157.9-0.080528999999984</f>
        <v>1052.5365199999999</v>
      </c>
      <c r="O186" s="3">
        <f>1119.8+(550-417.4)+(0+(0-0))+0-161.6-0</f>
        <v>1090.8000000000002</v>
      </c>
      <c r="P186" s="3">
        <f>1112+(531.9-341.8)+(1.13424+(0.542538-0.348636))+0-159.1-0.162282000000025</f>
        <v>1144.1658600000001</v>
      </c>
      <c r="Q186" s="3">
        <f>1103.1+(448.7-213.9)+(-0.562581+(-0.228837--0.109089))+0-160--0.0815999999999838</f>
        <v>1177.2992709999999</v>
      </c>
      <c r="R186" s="3">
        <f>1088.4+(447.5-178.7)+(-4.440672+(-1.8258--0.729096))+0-160--0.652799999999986</f>
        <v>1192.3154240000001</v>
      </c>
      <c r="S186" s="3">
        <f>1074.2+(511-212.9)+(-0.547842+(-0.26061--0.108579))+0-162.8--0.0830279999999835</f>
        <v>1208.8831550000002</v>
      </c>
      <c r="T186" s="3">
        <f>1071.7+(483.9-194.5)+(-0.546567+(-0.246789--0.099195))+0-169.9--0.0866489999999828</f>
        <v>1190.592488</v>
      </c>
      <c r="U186" s="3">
        <f>1075.6+(388-138)+(-1.645668+(-0.59364--0.21114))+0-160.4--0.245412000000009</f>
        <v>1163.4172439999998</v>
      </c>
      <c r="V186" s="3">
        <f>1072.9+(422.6-221.6)+(0+(0-0))+0-157.4-0</f>
        <v>1116.5</v>
      </c>
      <c r="W186" s="3">
        <f>1069.9+(583.5-392.4)+(-0.545649+(-0.297585--0.200124))+0-145.4--0.0741539999999853</f>
        <v>1115.0310439999998</v>
      </c>
      <c r="X186" s="3">
        <f>1070.5+(622.8-298.7)+(-0.545955+(-0.317628--0.152337))+0-147.1--0.0750209999999851</f>
        <v>1246.8637749999998</v>
      </c>
      <c r="Y186" s="3">
        <f>1077.3+(552.5-207.8)+(0.549423+(0.281775-0.105978))+0-141.4-0.0721139999999857</f>
        <v>1281.2531059999999</v>
      </c>
      <c r="Z186" s="3">
        <f>1087.4+(527.5-223.4)+(-1.109148+(-0.53805--0.227868))+0-144.4--0.147288000000023</f>
        <v>1245.8279580000001</v>
      </c>
      <c r="AA186" s="3">
        <f>1083+(491.2-219.5)+(-3.31398+(-1.503072--0.67167))+0-146.4--0.447984000000017</f>
        <v>1204.6026019999999</v>
      </c>
      <c r="AB186" s="3">
        <f>1086.7+(435.9-213.5)+(-2.216868+(-0.889236--0.43554))+0-146.2--0.298247999999994</f>
        <v>1160.5276839999999</v>
      </c>
      <c r="AC186" s="3">
        <f>972.6+(549.6-265.9)+(-1.984104+(-1.121184--0.542436))+0-151.3--0.308651999999993</f>
        <v>1102.7458000000001</v>
      </c>
      <c r="AD186">
        <f t="shared" si="2"/>
        <v>26434.898249999998</v>
      </c>
      <c r="AE186" s="3">
        <f>1072+(559.2-210.6)+(0+(0-0))+0-138.2-0</f>
        <v>1282.3999999999999</v>
      </c>
    </row>
    <row r="187" spans="1:31" s="2" customFormat="1" x14ac:dyDescent="0.25">
      <c r="A187">
        <v>89</v>
      </c>
      <c r="B187">
        <v>7</v>
      </c>
      <c r="C187">
        <v>1</v>
      </c>
      <c r="D187">
        <v>6</v>
      </c>
      <c r="E187">
        <v>1</v>
      </c>
      <c r="F187" s="3">
        <f>933.2+(532-236.2)+(-0.951864+(-0.54264--0.240924))+0-153.4--0.156468000000024</f>
        <v>1074.502888</v>
      </c>
      <c r="G187" s="3">
        <f>935.4+(460.2-201.5)+(-1.431162+(-0.704106--0.308295))+0-144.7--0.221391000000008</f>
        <v>1047.794418</v>
      </c>
      <c r="H187" s="3">
        <f>949.6+(413.9-211.2)+(-0.484296+(-0.211089--0.107712))+0-140.4--0.0716039999999858</f>
        <v>1011.383931</v>
      </c>
      <c r="I187" s="3">
        <f>947.9+(381.6-190.9)+(0.483429+(0.194616-0.097359))+0-142.5-0.0726749999999855</f>
        <v>996.60801099999992</v>
      </c>
      <c r="J187" s="3">
        <f>948+(352.6-169.7)+(-1.45044+(-0.539478--0.259641))+0-144.9--0.221697000000008</f>
        <v>984.49142000000029</v>
      </c>
      <c r="K187" s="3">
        <f>941.8+(273.2-123.4)+(-0.960636+(-0.278664--0.125868))+0-141.2--0.144024000000022</f>
        <v>949.43059199999982</v>
      </c>
      <c r="L187" s="3">
        <f>945.2+(298.2-173)+(0.482052+(0.152082-0.08823))+0-138-0.070379999999986</f>
        <v>932.87552400000015</v>
      </c>
      <c r="M187" s="3">
        <f>947.8+(357.3-173.1)+(0+(0-0))+0-144.8-0</f>
        <v>987.2</v>
      </c>
      <c r="N187" s="3">
        <f>943.5+(399.5-168.7)+(0.481185+(0.203745-0.086037))+0-142.8-0.0728279999999855</f>
        <v>1032.026065</v>
      </c>
      <c r="O187" s="3">
        <f>946.2+(510.5-226.3)+(-0.482562+(-0.260355--0.115413))+0-143.5--0.0731849999999854</f>
        <v>1086.345681</v>
      </c>
      <c r="P187" s="3">
        <f>945.3+(532.8-208.2)+(-0.482103+(-0.271728--0.106182))+0-137.3--0.0700229999999861</f>
        <v>1132.0223739999999</v>
      </c>
      <c r="Q187" s="3">
        <f>946+(549.1-183.4)+(-0.48246+(-0.280041--0.093534))+0-136.5--0.0696149999999861</f>
        <v>1174.6006479999999</v>
      </c>
      <c r="R187" s="3">
        <f>941.4+(620.3-241.8)+(-0.480114+(-0.316353--0.123318))+0-133.1--0.0678809999999865</f>
        <v>1186.1947319999999</v>
      </c>
      <c r="S187" s="3">
        <f>943.3+(753.6-373.9)+(-1.443249+(-1.153008--0.572067))+0-133.5--0.204255000000008</f>
        <v>1187.680065</v>
      </c>
      <c r="T187" s="3">
        <f>943.9+(771.1-392.3)+(-1.444167+(-1.179783--0.600219))+0-139.6--0.213588000000008</f>
        <v>1181.2898570000002</v>
      </c>
      <c r="U187" s="3">
        <f>945.9+(656.9-313)+(-2.894454+(-2.010114--0.95778))+0-136.1--0.416466000000016</f>
        <v>1150.1696780000002</v>
      </c>
      <c r="V187" s="3">
        <f>951.1+(412.7-130.7)+(-2.910366+(-1.262862--0.399942))+0-140.1--0.428706000000016</f>
        <v>1089.6554199999998</v>
      </c>
      <c r="W187" s="3">
        <f>950+(409.7-170)+(-0.969+(-0.417894--0.1734))+0-134.3--0.136986000000021</f>
        <v>1054.323492</v>
      </c>
      <c r="X187" s="3">
        <f>958.2+(599.4-231)+(0+(0-0))+0-134.1-0</f>
        <v>1192.5</v>
      </c>
      <c r="Y187" s="3">
        <f>968.5+(704.3-314)+(-1.97574+(-1.436772--0.64056))+0-146.2--0.298247999999994</f>
        <v>1210.1262959999999</v>
      </c>
      <c r="Z187" s="3">
        <f>972.2+(658.9-282.3)+(-2.47911+(-1.680195--0.719865))+0-161.4--0.411569999999977</f>
        <v>1184.3721299999997</v>
      </c>
      <c r="AA187" s="3">
        <f>975.9+(637.8-281.8)+(-1.990836+(-1.301112--0.574872))+0-161.3--0.329051999999993</f>
        <v>1168.211976</v>
      </c>
      <c r="AB187" s="3">
        <f>984.1+(649.5-341.7)+(0+(0-0))+0-161.7-0</f>
        <v>1130.2</v>
      </c>
      <c r="AC187" s="3">
        <f>987.2+(581.7-331.7)+(-1.006944+(-0.593334--0.338334))+0-159.2--0.162384000000025</f>
        <v>1076.9004399999999</v>
      </c>
      <c r="AD187">
        <f t="shared" si="2"/>
        <v>26220.905637999997</v>
      </c>
      <c r="AE187" s="3">
        <f>971+(725.2-324.4)+(0+(0-0))+0-147-0</f>
        <v>1224.8000000000002</v>
      </c>
    </row>
    <row r="188" spans="1:31" s="2" customFormat="1" x14ac:dyDescent="0.25">
      <c r="A188">
        <v>89</v>
      </c>
      <c r="B188">
        <v>7</v>
      </c>
      <c r="C188">
        <v>2</v>
      </c>
      <c r="D188">
        <v>7</v>
      </c>
      <c r="E188">
        <v>1</v>
      </c>
      <c r="F188" s="3">
        <f>991.4+(484.9-285.1)+(-2.022456+(-0.989196--0.581604))+0-151.1--0.308243999999993</f>
        <v>1037.978196</v>
      </c>
      <c r="G188" s="3">
        <f>998.4+(435.7-274.4)+(-2.036736+(-0.888828--0.559776))+0-154.8--0.315791999999993</f>
        <v>1002.850004</v>
      </c>
      <c r="H188" s="3">
        <f>1000.2+(402.1-269.9)+(-0.510102+(-0.205071--0.137649))+0-158.4--0.0807839999999839</f>
        <v>973.50326000000007</v>
      </c>
      <c r="I188" s="3">
        <f>1001.4+(342.5-236.6)+(-1.532142+(-0.524025--0.361998))+0-156.2--0.238986000000009</f>
        <v>949.64481699999976</v>
      </c>
      <c r="J188" s="3">
        <f>1001.8+(281.2-190.9)+(0.510918+(0.143412-0.097359))+0-154.1-0.0785909999999844</f>
        <v>938.4783799999999</v>
      </c>
      <c r="K188" s="3">
        <f>1009.1+(200.3-148.5)+(-3.087846+(-0.612918--0.45441))+0-153.2--0.468792000000018</f>
        <v>904.92243799999994</v>
      </c>
      <c r="L188" s="3">
        <f>1009.9+(182.8-136.7)+(-1.030098+(-0.186456--0.139434))+0-151.8--0.154836000000024</f>
        <v>903.27771600000017</v>
      </c>
      <c r="M188" s="3">
        <f>1003.9+(204.4-122.9)+(-1.535967+(-0.312732--0.188037))+0-156.7--0.239751000000009</f>
        <v>927.279089</v>
      </c>
      <c r="N188" s="3">
        <f>991.5+(255.7-114.2)+(-1.516995+(-0.391221--0.174726))+0-154.6--0.236538000000009</f>
        <v>976.9030479999999</v>
      </c>
      <c r="O188" s="3">
        <f>983.8+(296.5-104.3)+(-2.006952+(-0.60486--0.212772))+0-149.3--0.304571999999994</f>
        <v>1024.605532</v>
      </c>
      <c r="P188" s="3">
        <f>972.2+(349.4-110.4)+(-1.487466+(-0.534582--0.168912))+0-151.9--0.232407000000009</f>
        <v>1057.679271</v>
      </c>
      <c r="Q188" s="3">
        <f>960.8+(498.4-205.5)+(0.490008+(0.254184-0.104805))+0-156.4-0.0797639999999841</f>
        <v>1097.8596229999996</v>
      </c>
      <c r="R188" s="3">
        <f>924.3+(656.2-306.1)+(0+(0-0))+0-161-0</f>
        <v>1113.4000000000001</v>
      </c>
      <c r="S188" s="3">
        <f>906.1+(728.6-366.2)+(-0.924222+(-0.743172--0.373524))+0-162.2--0.165444000000026</f>
        <v>1105.171574</v>
      </c>
      <c r="T188" s="3">
        <f>911+(706.4-358.2)+(0.46461+(0.360264-0.182682))+0-156.1-0.0796109999999842</f>
        <v>1103.6625810000003</v>
      </c>
      <c r="U188" s="3">
        <f>908+(596-279)+(-0.92616+(-0.60792--0.28458))+0-149.2--0.152184000000024</f>
        <v>1074.7026840000001</v>
      </c>
      <c r="V188" s="3">
        <f>924+(381.1-118.5)+(-1.41372+(-0.583083--0.181305))+0-156.5--0.239445000000009</f>
        <v>1028.5239469999999</v>
      </c>
      <c r="W188" s="3">
        <f>950.7+(341.8-119.8)+(-2.424285+(-0.87159--0.30549))+0-160.3--0.408764999999977</f>
        <v>1009.81838</v>
      </c>
      <c r="X188" s="3">
        <f>1027.2+(472.5-185.3)+(-1.047744+(-0.48195--0.189006))+0-163.1--0.166362000000026</f>
        <v>1150.1256740000001</v>
      </c>
      <c r="Y188" s="3">
        <f>1056+(518.3-248.1)+(-1.07712+(-0.528666--0.253062))+0-153.3--0.156366000000024</f>
        <v>1171.7036419999997</v>
      </c>
      <c r="Z188" s="3">
        <f>1057.5+(547.8-298.3)+(-0.539325+(-0.279378--0.152133))+0-157.6--0.080375999999984</f>
        <v>1148.8138059999999</v>
      </c>
      <c r="AA188" s="3">
        <f>1085.5+(532.7-323)+(-0.553605+(-0.271677--0.16473))+0-158.9--0.0810389999999839</f>
        <v>1135.7204869999998</v>
      </c>
      <c r="AB188" s="3">
        <f>1149+(411.9-323.3)+(-2.92995+(-1.050345--0.824415))+0-159.9--0.407744999999977</f>
        <v>1074.9518649999998</v>
      </c>
      <c r="AC188" s="3">
        <f>1159.7+(337.7-320)+(-1.182894+(-0.344454--0.3264))+0-153.3--0.156366000000024</f>
        <v>1023.0554180000003</v>
      </c>
      <c r="AD188">
        <f t="shared" si="2"/>
        <v>24934.631431999995</v>
      </c>
      <c r="AE188" s="3">
        <f>1068+(521.4-243.9)+(0+(0-0))+0-151.4-0</f>
        <v>1194.0999999999999</v>
      </c>
    </row>
    <row r="189" spans="1:31" s="2" customFormat="1" x14ac:dyDescent="0.25">
      <c r="A189">
        <v>89</v>
      </c>
      <c r="B189">
        <v>7</v>
      </c>
      <c r="C189">
        <v>3</v>
      </c>
      <c r="D189">
        <v>1</v>
      </c>
      <c r="E189">
        <v>1</v>
      </c>
      <c r="F189" s="3">
        <f>1156.8+(281.2-309)+(-1.769904+(-0.430236--0.47277))+0-147.8--0.226134000000009</f>
        <v>979.69876399999998</v>
      </c>
      <c r="G189" s="3">
        <f>1154.4+(259.1-315.3)+(-2.354976+(-0.528564--0.643212))+0-148--0.301919999999994</f>
        <v>948.26159199999995</v>
      </c>
      <c r="H189" s="3">
        <f>1155.3+(251.2-339.9)+(-1.178406+(-0.256224--0.346698))+0-148.7--0.151674000000024</f>
        <v>916.96374200000002</v>
      </c>
      <c r="I189" s="3">
        <f>1156.4+(245.8-352.7)+(1.179528+(0.250716-0.359754))+0-148.9-0.151878000000024</f>
        <v>901.51861200000008</v>
      </c>
      <c r="J189" s="3">
        <f>1164.4+(217.8-341.1)+(-2.375376+(-0.444312--0.695844))+0-150.7--0.307427999999993</f>
        <v>888.58358400000009</v>
      </c>
      <c r="K189" s="3">
        <f>1178.9+(167.9-316.3)+(-1.803717+(-0.256887--0.483939))+0-153.4--0.234702000000009</f>
        <v>875.75803699999994</v>
      </c>
      <c r="L189" s="3">
        <f>1180.5+(164.1-316.9)+(-1.20411+(-0.167382--0.323238))+0-161.6--0.164832000000026</f>
        <v>865.21657800000003</v>
      </c>
      <c r="M189" s="3">
        <f>1181.2+(182.7-275.9)+(0.602412+(0.093177-0.140709))+0-170.3-0.0868529999999827</f>
        <v>918.16802699999994</v>
      </c>
      <c r="N189" s="3">
        <f>1175.4+(268.9-313.5)+(0+(0-0))+0-165.5-0</f>
        <v>965.30000000000018</v>
      </c>
      <c r="O189" s="3">
        <f>1165.5+(311.4-311.2)+(-0.594405+(-0.158814--0.158712))+0-161.1--0.0821609999999837</f>
        <v>1004.0876539999999</v>
      </c>
      <c r="P189" s="3">
        <f>1144.6+(347.1-265)+(-0.583746+(-0.177021--0.13515))+0-140.9--0.0718589999999857</f>
        <v>1085.2462419999997</v>
      </c>
      <c r="Q189" s="3">
        <f>1119.6+(382.5-215.4)+(0.570996+(0.195075-0.109854))+0-151.7-0.0773669999999846</f>
        <v>1135.5788499999996</v>
      </c>
      <c r="R189" s="3">
        <f>1112.4+(453.8-271)+(0+(0-0))+0-148.5-0</f>
        <v>1146.7</v>
      </c>
      <c r="S189" s="3">
        <f>1099.9+(585.2-372.5)+(0+(0-0))+0-154-0</f>
        <v>1158.6000000000001</v>
      </c>
      <c r="T189" s="3">
        <f>1092.9+(600-376.1)+(-1.114758+(-0.612--0.383622))+0-159.7--0.162894000000025</f>
        <v>1155.9197580000002</v>
      </c>
      <c r="U189" s="3">
        <f>1080.3+(481.5-276.2)+(-1.652859+(-0.736695--0.422586))+0-151.9--0.232407000000009</f>
        <v>1131.9654389999998</v>
      </c>
      <c r="V189" s="3">
        <f>1072.7+(307.7-142.2)+(-1.641231+(-0.470781--0.217566))+0-151.8--0.232254000000009</f>
        <v>1084.7378080000001</v>
      </c>
      <c r="W189" s="3">
        <f>1075.4+(400.7-244.4)+(0.548454+(0.204357-0.124644))+0-152.3-0.0776729999999846</f>
        <v>1079.9504940000002</v>
      </c>
      <c r="X189" s="3">
        <f>1095.4+(472-214)+(-2.234616+(-0.96288--0.43656))+0-154.7--0.315587999999993</f>
        <v>1196.2546520000001</v>
      </c>
      <c r="Y189" s="3">
        <f>1109.7+(544.2-272.6)+(0+(0-0))+0-157-0</f>
        <v>1224.3000000000002</v>
      </c>
      <c r="Z189" s="3">
        <f>1115.4+(503.9-254)+(1.137708+(0.513978-0.25908))+0-163.7-0.166974000000026</f>
        <v>1202.825632</v>
      </c>
      <c r="AA189" s="3">
        <f>1121+(474.8-263.7)+(-1.71513+(-0.726444--0.403461))+0-165--0.25245000000001</f>
        <v>1165.3143369999998</v>
      </c>
      <c r="AB189" s="3">
        <f>1122+(414.9-257)+(-2.8611+(-1.057995--0.65535))+0-164.3--0.418964999999976</f>
        <v>1112.7552200000002</v>
      </c>
      <c r="AC189" s="3">
        <f>1133+(329.7-244.2)+(-2.88915+(-0.840735--0.62271))+0-164.2--0.418709999999976</f>
        <v>1051.6115349999998</v>
      </c>
      <c r="AD189">
        <f t="shared" si="2"/>
        <v>25195.316556999998</v>
      </c>
      <c r="AE189" s="3">
        <f>1107+(540.8-269.9)+(0+(0-0))+0-155.1-0</f>
        <v>1222.8000000000002</v>
      </c>
    </row>
    <row r="190" spans="1:31" s="2" customFormat="1" x14ac:dyDescent="0.25">
      <c r="A190">
        <v>89</v>
      </c>
      <c r="B190">
        <v>7</v>
      </c>
      <c r="C190">
        <v>4</v>
      </c>
      <c r="D190">
        <v>2</v>
      </c>
      <c r="E190">
        <v>1</v>
      </c>
      <c r="F190" s="3">
        <f>1129.1+(248.9-223.2)+(-1.151682+(-0.253878--0.227664))+0-166--0.169320000000026</f>
        <v>987.79142400000001</v>
      </c>
      <c r="G190" s="3">
        <f>1149.5+(222.9-235.1)+(-2.931225+(-0.568395--0.599505))+0-159.9--0.407744999999977</f>
        <v>974.90763000000004</v>
      </c>
      <c r="H190" s="3">
        <f>995.9+(254.6-142.9)+(-1.523727+(-0.389538--0.218637))+0-157.9--0.241587000000009</f>
        <v>948.24695899999995</v>
      </c>
      <c r="I190" s="3">
        <f>965+(229-114.9)+(-0.49215+(-0.11679--0.058599))+0-158.8--0.0809879999999839</f>
        <v>919.830647</v>
      </c>
      <c r="J190" s="3">
        <f>964.9+(257.2-152.7)+(0+(0-0))+0-160.4-0</f>
        <v>909.00000000000011</v>
      </c>
      <c r="K190" s="3">
        <f>966.3+(293.7-215.9)+(0+(0-0))+0-159.4-0</f>
        <v>884.69999999999993</v>
      </c>
      <c r="L190" s="3">
        <f>968.4+(346.6-263.6)+(-0.493884+(-0.176766--0.134436))+0-157.7--0.080426999999984</f>
        <v>893.24421300000006</v>
      </c>
      <c r="M190" s="3">
        <f>961.3+(374-228.8)+(-0.980526+(-0.38148--0.233376))+0-159.6--0.162792000000025</f>
        <v>945.93416200000013</v>
      </c>
      <c r="N190" s="3">
        <f>937.1+(492.3-265.2)+(0+(0-0))+0-161.7-0</f>
        <v>1002.5</v>
      </c>
      <c r="O190" s="3">
        <f>914.8+(564.3-276.4)+(-0.466548+(-0.287793--0.140964))+0-160.7--0.0819569999999837</f>
        <v>1041.4685799999997</v>
      </c>
      <c r="P190" s="3">
        <f>982.8+(544.1-277.8)+(0+(0-0))+0-159.6-0</f>
        <v>1089.5</v>
      </c>
      <c r="Q190" s="3">
        <f>1005.7+(484.7-206.1)+(0.512907+(0.247197-0.105111))+0-160.3-0.0817529999999837</f>
        <v>1124.5732400000004</v>
      </c>
      <c r="R190" s="3">
        <f>1008.2+(538.7-218.9)+(-0.514182+(-0.274737--0.111639))+0-162.3--0.0827729999999835</f>
        <v>1165.105493</v>
      </c>
      <c r="S190" s="3">
        <f>1014.4+(652.7-319)+(0.517344+(0.332877-0.16269))+0-163.8-0.0835379999999834</f>
        <v>1184.9039929999999</v>
      </c>
      <c r="T190" s="3">
        <f>1019.9+(647.3-315.5)+(-0.520149+(-0.330123--0.160905))+0-164.9--0.0840989999999833</f>
        <v>1186.1947319999997</v>
      </c>
      <c r="U190" s="3">
        <f>1019.5+(516.6-227.1)+(-1.03989+(-0.526932--0.231642))+0-158.6--0.161772000000025</f>
        <v>1149.226592</v>
      </c>
      <c r="V190" s="3">
        <f>1021.3+(429.1-188)+(-1.562589+(-0.656523--0.28764))+0-163--0.249390000000009</f>
        <v>1097.7179180000001</v>
      </c>
      <c r="W190" s="3">
        <f>1029.1+(614.6-384.3)+(0+(0-0))+0-167-0</f>
        <v>1092.3999999999999</v>
      </c>
      <c r="X190" s="3">
        <f>1031.1+(559.4-231.6)+(-1.051722+(-0.570588--0.236232))+0-157.3--0.160446000000025</f>
        <v>1200.374368</v>
      </c>
      <c r="Y190" s="3">
        <f>1050.1+(482-157.3)+(-1.606653+(-0.73746--0.240669))+0-161.5--0.247095000000009</f>
        <v>1211.4436509999998</v>
      </c>
      <c r="Z190" s="3">
        <f>1056.7+(463.7-163.1)+(-1.077834+(-0.472974--0.166362))+0-157.6--0.160752000000025</f>
        <v>1198.4763060000002</v>
      </c>
      <c r="AA190" s="3">
        <f>1053.2+(411-139.8)+(0.537132+(0.20961-0.071298))+0-157.6-0.080375999999984</f>
        <v>1167.3950680000003</v>
      </c>
      <c r="AB190" s="3">
        <f>1060.3+(369.5-142.9)+(0+(0-0))+0-158.5-0</f>
        <v>1128.3999999999999</v>
      </c>
      <c r="AC190" s="3">
        <f>1065.4+(326-165.1)+(-1.086708+(-0.33252--0.168402))+0-165.3--0.168606000000026</f>
        <v>1059.9177800000002</v>
      </c>
      <c r="AD190">
        <f t="shared" si="2"/>
        <v>25563.252756000005</v>
      </c>
      <c r="AE190" s="3">
        <f>1046+(478.8-158.3)+(0+(0-0))+0-159.5-0</f>
        <v>1207</v>
      </c>
    </row>
    <row r="191" spans="1:31" s="2" customFormat="1" x14ac:dyDescent="0.25">
      <c r="A191">
        <v>89</v>
      </c>
      <c r="B191">
        <v>7</v>
      </c>
      <c r="C191">
        <v>5</v>
      </c>
      <c r="D191">
        <v>3</v>
      </c>
      <c r="E191">
        <v>1</v>
      </c>
      <c r="F191" s="3">
        <f>1051.5+(377.3-245.5)+(-1.608795+(-0.577269--0.375615))+0-166.3--0.25443900000001</f>
        <v>1015.44399</v>
      </c>
      <c r="G191" s="3">
        <f>968.3+(361-177.6)+(0+(0-0))+0-161.1-0</f>
        <v>990.6</v>
      </c>
      <c r="H191" s="3">
        <f>946.5+(305.4-129.6)+(-0.96543+(-0.311508--0.132192))+0-160.5--0.163710000000026</f>
        <v>960.81896400000005</v>
      </c>
      <c r="I191" s="3">
        <f>949.8+(268.1-104.6)+(0.484398+(0.136731-0.053346))+0-161.8-0.0825179999999836</f>
        <v>951.98526500000003</v>
      </c>
      <c r="J191" s="3">
        <f>951+(273.1-124.2)+(0.48501+(0.139281-0.063342))+0-157.3-0.080222999999984</f>
        <v>943.08072600000014</v>
      </c>
      <c r="K191" s="3">
        <f>945.4+(341-219.3)+(-3.375078+(-1.21737--0.782901))+0-152.3--0.543711000000002</f>
        <v>911.53416399999992</v>
      </c>
      <c r="L191" s="3">
        <f>952.8+(313.2-227.9)+(0.485928+(0.159732-0.116229))+0-130.6-0.0666059999999867</f>
        <v>907.96282499999984</v>
      </c>
      <c r="M191" s="3">
        <f>955.7+(345.6-205.6)+(0.974814+(0.352512-0.209712))+0-135.5-0.138210000000022</f>
        <v>961.17940399999998</v>
      </c>
      <c r="N191" s="3">
        <f>949+(478.4-273.3)+(0+(0-0))+0-139.2-0</f>
        <v>1014.8999999999999</v>
      </c>
      <c r="O191" s="3">
        <f>948.6+(561.9-320.3)+(0+(0-0))+0-133.2-0</f>
        <v>1057</v>
      </c>
      <c r="P191" s="3">
        <f>938.6+(562-264.8)+(0.957372+(0.57324-0.270096))+0-129.5-0.132090000000021</f>
        <v>1107.4284259999999</v>
      </c>
      <c r="Q191" s="3">
        <f>930.2+(505.6-151.4)+(1.423206+(0.773568-0.231642))+0-133.1-0.203643000000008</f>
        <v>1153.0614890000002</v>
      </c>
      <c r="R191" s="3">
        <f>916.7+(581.5-186.8)+(-0.935034+(-0.59313--0.190536))+0-134.6--0.137292000000021</f>
        <v>1175.5996640000003</v>
      </c>
      <c r="S191" s="3">
        <f>912.7+(658.3-247.8)+(-0.465477+(-0.335733--0.126378))+0-127.8--0.065177999999987</f>
        <v>1194.7903460000002</v>
      </c>
      <c r="T191" s="3">
        <f>913.1+(668.1-258.7)+(-0.931362+(-0.681462--0.263874))+0-129.8--0.132396000000021</f>
        <v>1191.483446</v>
      </c>
      <c r="U191" s="3">
        <f>905.7+(559.3-181.6)+(-1.847628+(-1.140972--0.370464))+0-119.4--0.243575999999995</f>
        <v>1161.62544</v>
      </c>
      <c r="V191" s="3">
        <f>907.4+(405.8-87)+(-2.31387+(-1.03479--0.22185))+0-126.6--0.322829999999982</f>
        <v>1096.7960200000002</v>
      </c>
      <c r="W191" s="3">
        <f>915.8+(479.8-165.1)+(-0.467058+(-0.244698--0.084201))+0-133.2--0.0679319999999865</f>
        <v>1096.7403769999999</v>
      </c>
      <c r="X191" s="3">
        <f>951.2+(557.4-138.8)+(0.485112+(0.284274-0.070788))+0-146.1-0.0745109999999852</f>
        <v>1224.324087</v>
      </c>
      <c r="Y191" s="3">
        <f>955.6+(629.9-189.2)+(-2.924136+(-1.927494--0.578952))+0-140.1--0.428706000000016</f>
        <v>1252.3560279999999</v>
      </c>
      <c r="Z191" s="3">
        <f>948.2+(652.8-229.7)+(-1.450746+(-0.998784--0.351441))+0-138.4--0.211752000000008</f>
        <v>1231.0136629999997</v>
      </c>
      <c r="AA191" s="3">
        <f>931+(661.3-237)+(-1.89924+(-1.349052--0.48348))+0-142.4--0.290495999999994</f>
        <v>1210.425684</v>
      </c>
      <c r="AB191" s="3">
        <f>923+(665.9-284.5)+(-1.88292+(-1.358436--0.58038))+0-141--0.287639999999994</f>
        <v>1161.0266640000002</v>
      </c>
      <c r="AC191" s="3">
        <f>926.6+(564.9-237.6)+(-2.36283+(-1.440495--0.60588))+0-145.9--0.372044999999979</f>
        <v>1105.1746000000001</v>
      </c>
      <c r="AD191">
        <f t="shared" si="2"/>
        <v>26076.351271999996</v>
      </c>
      <c r="AE191" s="3">
        <f>948+(585.3-144.1)+(0+(0-0))+0-134-0</f>
        <v>1255.1999999999998</v>
      </c>
    </row>
    <row r="192" spans="1:31" s="2" customFormat="1" x14ac:dyDescent="0.25">
      <c r="A192">
        <v>89</v>
      </c>
      <c r="B192">
        <v>7</v>
      </c>
      <c r="C192">
        <v>6</v>
      </c>
      <c r="D192">
        <v>4</v>
      </c>
      <c r="E192">
        <v>1</v>
      </c>
      <c r="F192" s="3">
        <f>933.2+(440.8-164.6)+(-1.903728+(-0.899232--0.335784))+0-148.5--0.302939999999993</f>
        <v>1058.735764</v>
      </c>
      <c r="G192" s="3">
        <f>940.5+(388.5-157.9)+(-1.438965+(-0.594405--0.241587))+0-150.5--0.230265000000009</f>
        <v>1019.038482</v>
      </c>
      <c r="H192" s="3">
        <f>939.3+(446.6-236)+(-0.958086+(-0.455532--0.24072))+0-153.3--0.156366000000024</f>
        <v>995.58346800000015</v>
      </c>
      <c r="I192" s="3">
        <f>941.5+(421.7-232.3)+(-0.96033+(-0.430134--0.236946))+0-152.7--0.155754000000024</f>
        <v>977.20223599999997</v>
      </c>
      <c r="J192" s="3">
        <f>952+(350.8-177.8)+(1.94208+(0.715632-0.362712))+0-156.9-0.320075999999993</f>
        <v>970.07492400000012</v>
      </c>
      <c r="K192" s="3">
        <f>942+(299.5-151.6)+(-1.92168+(-0.61098--0.309264))+0-153.1--0.312323999999993</f>
        <v>934.88892799999996</v>
      </c>
      <c r="L192" s="3">
        <f>956.5+(317-194.2)+(0.487815+(0.16167-0.099042))+0-154.1-0.0785909999999844</f>
        <v>925.67185200000006</v>
      </c>
      <c r="M192" s="3">
        <f>953.4+(388.3-216)+(-0.486234+(-0.198033--0.11016))+0-152--0.0775199999999846</f>
        <v>973.20341300000007</v>
      </c>
      <c r="N192" s="3">
        <f>954.9+(436-209.5)+(0+(0-0))+0-158.4-0</f>
        <v>1023.0000000000001</v>
      </c>
      <c r="O192" s="3">
        <f>940.7+(528.4-246)+(-1.919028+(-1.077936--0.50184))+0-163.2--0.332927999999993</f>
        <v>1057.7378039999999</v>
      </c>
      <c r="P192" s="3">
        <f>939.9+(536.3-188.1)+(-0.479349+(-0.273513--0.095931))+0-162.7--0.0829769999999835</f>
        <v>1124.8260459999999</v>
      </c>
      <c r="Q192" s="3">
        <f>937.2+(524-112.8)+(1.911888+(1.06896-0.230112))+0-164.9-0.336395999999993</f>
        <v>1185.91434</v>
      </c>
      <c r="R192" s="3">
        <f>923.9+(653.1-198.2)+(-0.942378+(-0.666162--0.202164))+0-162.2--0.165444000000026</f>
        <v>1215.359068</v>
      </c>
      <c r="S192" s="3">
        <f>914.3+(750.2-274.2)+(0.466293+(0.382602-0.139842))+0-165.4-0.0843539999999832</f>
        <v>1225.5246989999998</v>
      </c>
      <c r="T192" s="3">
        <f>903.8+(715.1-248.7)+(-1.843752+(-1.458804--0.507348))+0-169.5--0.345779999999993</f>
        <v>1198.2505720000001</v>
      </c>
      <c r="U192" s="3">
        <f>900.5+(510.2-139.7)+(-2.296275+(-1.30101--0.356235))+0-165.9--0.423044999999976</f>
        <v>1102.2819949999998</v>
      </c>
      <c r="V192" s="3">
        <f>901.3+(386.8-99.4)+(-2.298315+(-0.98634--0.25347))+0-165--0.420749999999976</f>
        <v>1021.0895649999998</v>
      </c>
      <c r="W192" s="3">
        <f>907.5+(485.3-186.3)+(-1.388475+(-0.742509--0.285039))+0-167--0.25551000000001</f>
        <v>1037.9095649999999</v>
      </c>
      <c r="X192" s="3">
        <f>910.7+(525.7-184)+(0+(0-0))+64-168.4-0</f>
        <v>1148</v>
      </c>
      <c r="Y192" s="3">
        <f>917+(633.9-248.7)+(-1.40301+(-0.969867--0.380511))+44.2-165.2--0.25275600000001</f>
        <v>1179.4603900000002</v>
      </c>
      <c r="Z192" s="3">
        <f>930.2+(713.9-309.5)+(-1.423206+(-1.092267--0.473535))+0-165--0.25245000000001</f>
        <v>1167.8105119999998</v>
      </c>
      <c r="AA192" s="3">
        <f>930.6+(713.5-317.7)+(-0.949212+(-0.72777--0.324054))+0-162.9--0.166158000000026</f>
        <v>1162.31323</v>
      </c>
      <c r="AB192" s="3">
        <f>926.4+(660.2-306)+(-0.944928+(-0.673404--0.31212))+0-162.1--0.165342000000026</f>
        <v>1117.3591300000001</v>
      </c>
      <c r="AC192" s="3">
        <f>930.9+(579.5-279.5)+(-0.949518+(-0.59109--0.28509))+0-164.8--0.168096000000026</f>
        <v>1065.0125780000003</v>
      </c>
      <c r="AD192">
        <f t="shared" si="2"/>
        <v>25886.248561</v>
      </c>
      <c r="AE192" s="3">
        <f>904+(585.1-218.3)+(0+(0-0))+90-167.6-0</f>
        <v>1193.2</v>
      </c>
    </row>
    <row r="193" spans="1:31" s="2" customFormat="1" x14ac:dyDescent="0.25">
      <c r="A193">
        <v>89</v>
      </c>
      <c r="B193">
        <v>7</v>
      </c>
      <c r="C193">
        <v>7</v>
      </c>
      <c r="D193">
        <v>5</v>
      </c>
      <c r="E193">
        <v>1</v>
      </c>
      <c r="F193" s="3">
        <f>924.3+(482.1-222.7)+(-2.828358+(-1.475226--0.681462))+0-164.7--0.503982000000019</f>
        <v>1015.8818600000001</v>
      </c>
      <c r="G193" s="3">
        <f>928.1+(403.2-170.9)+(-2.839986+(-1.233792--0.522954))+0-161.2--0.493272000000019</f>
        <v>996.14244800000017</v>
      </c>
      <c r="H193" s="3">
        <f>933.1+(355.6-150.8)+(0+(0-0))+0-161.3-0</f>
        <v>976.60000000000014</v>
      </c>
      <c r="I193" s="3">
        <f>933.5+(352-161.7)+(-0.95217+(-0.35904--0.164934))+0-159.8--0.162996000000025</f>
        <v>963.01672000000008</v>
      </c>
      <c r="J193" s="3">
        <f>942.9+(369.8-195.6)+(1.442637+(0.565794-0.299268))+0-158.7-0.242811000000009</f>
        <v>959.86635199999989</v>
      </c>
      <c r="K193" s="3">
        <f>943.6+(316.7-166.4)+(-1.443708+(-0.484551--0.254592))+0-160.7--0.245871000000009</f>
        <v>931.77220399999999</v>
      </c>
      <c r="L193" s="3">
        <f>951.1+(349.8-215.2)+(-0.970122+(-0.356796--0.219504))+0-158.8--0.161976000000025</f>
        <v>925.95456200000001</v>
      </c>
      <c r="M193" s="3">
        <f>952.3+(460.1-275.7)+(0+(0-0))+0-163.7-0</f>
        <v>973</v>
      </c>
      <c r="N193" s="3">
        <f>947+(532.5-288.7)+(0+(0-0))+0-166.1-0</f>
        <v>1024.7</v>
      </c>
      <c r="O193" s="3">
        <f>943.1+(560-285.3)+(-0.961962+(-0.5712--0.291006))+0-150.1--0.153102000000024</f>
        <v>1066.610946</v>
      </c>
      <c r="P193" s="3">
        <f>939+(600.8-247.8)+(-1.43667+(-0.919224--0.379134))+0-162.5--0.248625000000009</f>
        <v>1127.7718649999999</v>
      </c>
      <c r="Q193" s="3">
        <f>922.2+(591.7-185.4)+(-0.940644+(-0.603534--0.189108))+0-161.3--0.164526000000026</f>
        <v>1166.009456</v>
      </c>
      <c r="R193" s="3">
        <f>921.6+(667.4-236.7)+(-0.940032+(-0.680748--0.241434))+0-161.8--0.165036000000026</f>
        <v>1189.2856900000002</v>
      </c>
      <c r="S193" s="3">
        <f>915.3+(761-315.8)+(0+(0-0))+0-162.2-0</f>
        <v>1198.3</v>
      </c>
      <c r="T193" s="3">
        <f>913.2+(709.4-268.9)+(-0.931464+(-0.723588--0.274278))+0-164.1--0.167382000000026</f>
        <v>1188.3866080000003</v>
      </c>
      <c r="U193" s="3">
        <f>914.9+(591.2-205.7)+(-0.933198+(-0.603024--0.209814))+0-159.2--0.162384000000025</f>
        <v>1140.0359760000001</v>
      </c>
      <c r="V193" s="3">
        <f>913.5+(506.7-200)+(-1.86354+(-1.033668--0.408))+0-162.9--0.332315999999993</f>
        <v>1055.143108</v>
      </c>
      <c r="W193" s="3">
        <f>918.2+(595.5-281.6)+(0.468282+(0.303705-0.143616))+0-165.4-0.0843539999999832</f>
        <v>1067.2440169999998</v>
      </c>
      <c r="X193" s="3">
        <f>936.3+(602.6-186.6)+(0.477513+(0.307326-0.095166))+0-166-0.0846599999999832</f>
        <v>1186.9050130000001</v>
      </c>
      <c r="Y193" s="3">
        <f>939.6+(665.4-211.3)+(-1.916784+(-1.357416--0.431052))+0-167.9--0.342515999999993</f>
        <v>1223.299368</v>
      </c>
      <c r="Z193" s="3">
        <f>949+(824.2-397.3)+(-0.48399+(-0.420342--0.202623))+0-165.5--0.0844049999999832</f>
        <v>1209.7826960000002</v>
      </c>
      <c r="AA193" s="3">
        <f>946.6+(837.5-430.3)+(-1.448298+(-1.281375--0.658359))+0-168.6--0.25795800000001</f>
        <v>1183.3866439999999</v>
      </c>
      <c r="AB193" s="3">
        <f>946.5+(787.7-429.7)+(-1.93086+(-1.606908--0.876588))+0-159.4--0.325175999999993</f>
        <v>1142.7639959999999</v>
      </c>
      <c r="AC193" s="3">
        <f>943.1+(673-383.3)+(-1.923924+(-1.37292--0.781932))+0-148.7--0.303347999999994</f>
        <v>1081.8884359999997</v>
      </c>
      <c r="AD193">
        <f t="shared" ref="AD193:AD256" si="3">SUM(F193:AC193)</f>
        <v>25993.747965000002</v>
      </c>
      <c r="AE193" s="3">
        <f>947+(563.7-154)+(0+(0-0))+0-164.8-0</f>
        <v>1191.9000000000001</v>
      </c>
    </row>
    <row r="194" spans="1:31" s="2" customFormat="1" x14ac:dyDescent="0.25">
      <c r="A194">
        <v>89</v>
      </c>
      <c r="B194">
        <v>7</v>
      </c>
      <c r="C194">
        <v>8</v>
      </c>
      <c r="D194">
        <v>6</v>
      </c>
      <c r="E194">
        <v>1</v>
      </c>
      <c r="F194" s="3">
        <f>955.3+(568.9-334.6)+(-1.461609+(-0.870417--0.511938))+0-156.3--0.239139000000009</f>
        <v>1031.719051</v>
      </c>
      <c r="G194" s="3">
        <f>955.7+(470.5-261.7)+(-1.949628+(-0.95982--0.533868))+0-161.7--0.329867999999993</f>
        <v>1000.7542880000001</v>
      </c>
      <c r="H194" s="3">
        <f>958.7+(400.6-230.5)+(-0.977874+(-0.408612--0.23511))+0-154.5--0.157590000000025</f>
        <v>973.30621400000018</v>
      </c>
      <c r="I194" s="3">
        <f>960.1+(384-225.1)+(-0.489651+(-0.19584--0.114801))+0-160.7--0.0819569999999837</f>
        <v>957.81126699999993</v>
      </c>
      <c r="J194" s="3">
        <f>956.4+(335.8-179.9)+(-0.975528+(-0.342516--0.183498))+0-160.2--0.163404000000026</f>
        <v>951.12885799999992</v>
      </c>
      <c r="K194" s="3">
        <f>950.6+(271.6-148.3)+(-1.939224+(-0.554064--0.302532))+0-159.1--0.324563999999993</f>
        <v>912.93380800000011</v>
      </c>
      <c r="L194" s="3">
        <f>955.4+(345.9-236.2)+(0+(0-0))+0-160.7-0</f>
        <v>904.39999999999986</v>
      </c>
      <c r="M194" s="3">
        <f>959+(426.7-265.6)+(-0.48909+(-0.217617--0.135456))+0-162.6--0.0829259999999835</f>
        <v>957.01167499999974</v>
      </c>
      <c r="N194" s="3">
        <f>947.8+(488.2-258.3)+(-0.483378+(-0.248982--0.131733))+0-162.6--0.0829259999999835</f>
        <v>1014.5822989999997</v>
      </c>
      <c r="O194" s="3">
        <f>947.5+(552.1-271.1)+(-1.449675+(-0.844713--0.414783))+0-159.4--0.243882000000009</f>
        <v>1067.4642769999998</v>
      </c>
      <c r="P194" s="3">
        <f>934.4+(550-210.5)+(-0.476544+(-0.2805--0.107355))+0-162.9--0.0830789999999835</f>
        <v>1110.4333899999999</v>
      </c>
      <c r="Q194" s="3">
        <f>937.8+(508.9-130.5)+(-0.478278+(-0.259539--0.066555))+0-165--0.0841499999999833</f>
        <v>1150.6128879999997</v>
      </c>
      <c r="R194" s="3">
        <f>946+(589.6-195.8)+(0+(0-0))+0-158.2-0</f>
        <v>1181.5999999999999</v>
      </c>
      <c r="S194" s="3">
        <f>932.3+(655.5-246)+(-0.475473+(-0.334305--0.12546))+0-160.9--0.0820589999999837</f>
        <v>1180.2977409999999</v>
      </c>
      <c r="T194" s="3">
        <f>932.4+(630.5-235.4)+(-0.475524+(-0.321555--0.120054))+0-160.1--0.0816509999999838</f>
        <v>1166.8046260000001</v>
      </c>
      <c r="U194" s="3">
        <f>939.3+(467.9-123.1)+(-0.479043+(-0.238629--0.062781))+0-158.7--0.0809369999999839</f>
        <v>1124.8260459999999</v>
      </c>
      <c r="V194" s="3">
        <f>949.7+(377.6-91.2)+(-2.906082+(-1.155456--0.279072))+0-162.9--0.498474000000019</f>
        <v>1069.9160079999999</v>
      </c>
      <c r="W194" s="3">
        <f>957.7+(524.5-236.4)+(0.488427+(0.267495-0.120564))+0-159.3-0.0812429999999838</f>
        <v>1087.0541150000001</v>
      </c>
      <c r="X194" s="3">
        <f>961.7+(575.9-203.8)+(0+(0-0))+0-164.6-0</f>
        <v>1169.2</v>
      </c>
      <c r="Y194" s="3">
        <f>971.4+(547.8-172.7)+(-1.981656+(-1.117512--0.352308))+0-161.8--0.330071999999993</f>
        <v>1182.283212</v>
      </c>
      <c r="Z194" s="3">
        <f>975.3+(558-205.6)+(-1.989612+(-1.13832--0.419424))+0-163.7--0.333947999999993</f>
        <v>1161.6254399999998</v>
      </c>
      <c r="AA194" s="3">
        <f>980.7+(574.7-225.3)+(-1.000314+(-0.586194--0.229806))+0-165.9--0.169218000000026</f>
        <v>1163.012516</v>
      </c>
      <c r="AB194" s="3">
        <f>983.8+(546.4-237.9)+(-1.505214+(-0.835992--0.363987))+0-162.8--0.249084000000009</f>
        <v>1127.7718649999999</v>
      </c>
      <c r="AC194" s="3">
        <f>991+(453.9-209.9)+(-2.52705+(-1.157445--0.535245))+0-160.4--0.409019999999977</f>
        <v>1071.85977</v>
      </c>
      <c r="AD194">
        <f t="shared" si="3"/>
        <v>25718.409353999992</v>
      </c>
      <c r="AE194" s="3">
        <f>965+(548.6-164)+(0+(0-0))+0-164.6-0</f>
        <v>1185</v>
      </c>
    </row>
    <row r="195" spans="1:31" s="2" customFormat="1" x14ac:dyDescent="0.25">
      <c r="A195">
        <v>89</v>
      </c>
      <c r="B195">
        <v>7</v>
      </c>
      <c r="C195">
        <v>9</v>
      </c>
      <c r="D195">
        <v>7</v>
      </c>
      <c r="E195">
        <v>1</v>
      </c>
      <c r="F195" s="3">
        <f>967+(434.8-224.4)+(-0.49317+(-0.221748--0.114444))+0-161.9--0.0825689999999836</f>
        <v>1014.9820950000001</v>
      </c>
      <c r="G195" s="3">
        <f>968.1+(377-197.8)+(-2.468655+(-0.96135--0.50439))+0-162.1--0.413354999999976</f>
        <v>982.68773999999985</v>
      </c>
      <c r="H195" s="3">
        <f>972.4+(317.7-169.4)+(0+(0-0))+0-162.3-0</f>
        <v>958.40000000000009</v>
      </c>
      <c r="I195" s="3">
        <f>976.6+(281.7-155.9)+(-1.992264+(-0.574668--0.318036))+0-162.3--0.331091999999993</f>
        <v>938.18219600000009</v>
      </c>
      <c r="J195" s="3">
        <f>975.7+(268.3-154.1)+(-1.492821+(-0.410499--0.235773))+0-160.4--0.245412000000009</f>
        <v>928.07786500000009</v>
      </c>
      <c r="K195" s="3">
        <f>978.8+(290.8-223.6)+(-2.49594+(-0.74154--0.57018))+0-154--0.392699999999978</f>
        <v>889.72539999999992</v>
      </c>
      <c r="L195" s="3">
        <f>976.5+(200.6-145.5)+(-1.494045+(-0.306918--0.222615))+0-152.9--0.233937000000009</f>
        <v>877.3555889999999</v>
      </c>
      <c r="M195" s="3">
        <f>939.8+(236.9-104.2)+(-1.437894+(-0.362457--0.159426))+0-160.4--0.245412000000009</f>
        <v>910.70448700000009</v>
      </c>
      <c r="N195" s="3">
        <f>937.4+(261.9-83.1)+(-0.478074+(-0.133569--0.042381))+0-161.4--0.0823139999999836</f>
        <v>954.31305200000008</v>
      </c>
      <c r="O195" s="3">
        <f>931.7+(433.9-181)+(-0.950334+(-0.442578--0.18462))+0-161.7--0.164934000000026</f>
        <v>1021.8566419999999</v>
      </c>
      <c r="P195" s="3">
        <f>925.1+(503.8-201)+(-0.471801+(-0.256938--0.10251))+0-158.3--0.0807329999999839</f>
        <v>1069.0545040000002</v>
      </c>
      <c r="Q195" s="3">
        <f>918.1+(493.6-152.3)+(-0.936462+(-0.503472--0.155346))+0-154.4--0.157488000000025</f>
        <v>1103.8729000000001</v>
      </c>
      <c r="R195" s="3">
        <f>916.7+(553.2-177.2)+(-1.402551+(-0.846396--0.271116))+0-159.4--0.243882000000009</f>
        <v>1131.566051</v>
      </c>
      <c r="S195" s="3">
        <f>912.5+(630.4-241.4)+(-1.396125+(-0.964512--0.369342))+0-160.8--0.246024000000009</f>
        <v>1138.954729</v>
      </c>
      <c r="T195" s="3">
        <f>910.4+(619.1-237.1)+(-2.32152+(-1.578705--0.604605))+0-160--0.407999999999977</f>
        <v>1129.5123799999999</v>
      </c>
      <c r="U195" s="3">
        <f>894.9+(516.4-153.6)+(-1.369197+(-0.790092--0.235008))+0-153.8--0.235314000000009</f>
        <v>1102.2110329999998</v>
      </c>
      <c r="V195" s="3">
        <f>906.2+(376.6-94.2)+(-1.386486+(-0.576198--0.144126))+0-141.9--0.217107000000008</f>
        <v>1045.098549</v>
      </c>
      <c r="W195" s="3">
        <f>913+(417.1-144.2)+(0+(0-0))+0-144.5-0</f>
        <v>1041.4000000000001</v>
      </c>
      <c r="X195" s="3">
        <f>916.1+(591.2-206.3)+(-0.467211+(-0.301512--0.105213))+0-144.3--0.0735929999999854</f>
        <v>1156.110083</v>
      </c>
      <c r="Y195" s="3">
        <f>915.4+(697.3-269)+(-0.933708+(-0.711246--0.27438))+0-152.5--0.155550000000024</f>
        <v>1189.9849759999997</v>
      </c>
      <c r="Z195" s="3">
        <f>909+(728.2-312.9)+(-1.85436+(-1.485528--0.638316))+0-143.6--0.292943999999994</f>
        <v>1178.2913720000004</v>
      </c>
      <c r="AA195" s="3">
        <f>928.8+(715.9-332.7)+(-1.421064+(-1.095327--0.509031))+0-144.8--0.221544000000008</f>
        <v>1165.414184</v>
      </c>
      <c r="AB195" s="3">
        <f>932+(743.3-404.6)+(-2.3766+(-1.895415--1.03173))+0-140.9--0.35929499999998</f>
        <v>1126.9190099999996</v>
      </c>
      <c r="AC195" s="3">
        <f>933.1+(718.8-435.4)+(-2.379405+(-1.83294--1.11027))+0-140.6--0.35852999999998</f>
        <v>1073.1564550000001</v>
      </c>
      <c r="AD195">
        <f t="shared" si="3"/>
        <v>25127.831291999999</v>
      </c>
      <c r="AE195" s="3">
        <f>916+(657.1-243.9)+(0+(0-0))+0-142.4-0</f>
        <v>1186.8</v>
      </c>
    </row>
    <row r="196" spans="1:31" s="2" customFormat="1" x14ac:dyDescent="0.25">
      <c r="A196">
        <v>89</v>
      </c>
      <c r="B196">
        <v>7</v>
      </c>
      <c r="C196">
        <v>10</v>
      </c>
      <c r="D196">
        <v>1</v>
      </c>
      <c r="E196">
        <v>1</v>
      </c>
      <c r="F196" s="3">
        <f>933.1+(602.7-368.3)+(-2.855286+(-1.844262--1.126998))+0-139.6--0.427176000000016</f>
        <v>1024.7546259999999</v>
      </c>
      <c r="G196" s="3">
        <f>942.4+(512.6-318.8)+(-1.441872+(-0.784278--0.487764))+0-139.9--0.214047000000008</f>
        <v>994.77566100000013</v>
      </c>
      <c r="H196" s="3">
        <f>948.6+(440.2-275)+(-2.41893+(-1.12251--0.70125))+0-144.4--0.368219999999979</f>
        <v>966.92803000000004</v>
      </c>
      <c r="I196" s="3">
        <f>953.3+(411.1-273.5)+(-0.486183+(-0.209661--0.139485))+0-139.3--0.0710429999999859</f>
        <v>951.11468400000024</v>
      </c>
      <c r="J196" s="3">
        <f>971.5+(334.4-231.2)+(-0.99093+(-0.341088--0.235824))+0-128.4--0.13096800000002</f>
        <v>945.33477400000015</v>
      </c>
      <c r="K196" s="3">
        <f>989.2+(224-182.2)+(-2.017968+(-0.45696--0.371688))+0-114.5--0.233579999999995</f>
        <v>914.63034000000005</v>
      </c>
      <c r="L196" s="3">
        <f>1036.6+(261.3-280)+(0.528666+(0.133263-0.1428))+0-106.4-0.0542639999999892</f>
        <v>911.96486499999992</v>
      </c>
      <c r="M196" s="3">
        <f>1069.7+(385.4-378.6)+(-0.545547+(-0.196554--0.193086))+0-108.2--0.055181999999989</f>
        <v>967.80616699999985</v>
      </c>
      <c r="N196" s="3">
        <f>1060.2+(516.4-443.7)+(-0.540702+(-0.263364--0.226287))+0-109.7--0.0559469999999889</f>
        <v>1022.678168</v>
      </c>
      <c r="O196" s="3">
        <f>1113.9+(500.1-447.6)+(-0.568089+(-0.255051--0.228276))+0-103.9--0.0529889999999895</f>
        <v>1061.9581250000001</v>
      </c>
      <c r="P196" s="3">
        <f>1113.8+(490.3-387.6)+(0+(0-0))+0-98.9-0</f>
        <v>1117.5999999999999</v>
      </c>
      <c r="Q196" s="3">
        <f>1085+(513.6-335.5)+(0.55335+(0.261936-0.171105))+0-99.7-0.0508469999999899</f>
        <v>1163.9933339999998</v>
      </c>
      <c r="R196" s="3">
        <f>1100.8+(650.3-460.5)+(0+(0-0))+0-99.3-0</f>
        <v>1191.3</v>
      </c>
      <c r="S196" s="3">
        <f>1093.1+(682.9-464.5)+(0+(0-0))+0-99.8-0</f>
        <v>1211.7</v>
      </c>
      <c r="T196" s="3">
        <f>1086.7+(654.3-433.7)+(-2.216868+(-1.334772--0.884748))+0-99.9--0.203795999999996</f>
        <v>1204.9369039999999</v>
      </c>
      <c r="U196" s="3">
        <f>1087.2+(522.3-328.8)+(-3.326832+(-1.598238--1.006128))+0-99.6--0.304776000000011</f>
        <v>1177.4858340000001</v>
      </c>
      <c r="V196" s="3">
        <f>1080.3+(392.9-251.5)+(-2.754765+(-1.001895--0.641325))+0-100.3--0.255764999999985</f>
        <v>1118.5404299999998</v>
      </c>
      <c r="W196" s="3">
        <f>1100.9+(453.8-349.2)+(1.684377+(0.694314-0.534276))+0-101.9-0.155907000000006</f>
        <v>1105.2885079999999</v>
      </c>
      <c r="X196" s="3">
        <f>1082.2+(527.7-288.2)+(-0.551922+(-0.269127--0.146982))+0-99.4--0.0506939999999899</f>
        <v>1221.6766270000001</v>
      </c>
      <c r="Y196" s="3">
        <f>1097.8+(607.7-360)+(-2.79939+(-1.549635--0.918))+0-96.8--0.246839999999986</f>
        <v>1245.515815</v>
      </c>
      <c r="Z196" s="3">
        <f>1100.6+(611.2-389.5)+(-1.683918+(-0.935136--0.595935))+0-100--0.153000000000006</f>
        <v>1220.429881</v>
      </c>
      <c r="AA196" s="3">
        <f>1101.2+(605.4-392.2)+(-2.246448+(-1.235016--0.800088))+0-101.4--0.206855999999996</f>
        <v>1210.52548</v>
      </c>
      <c r="AB196" s="3">
        <f>1106.1+(517.5-363.3)+(-2.256444+(-1.0557--0.741132))+0-98.6--0.201143999999996</f>
        <v>1159.3301319999998</v>
      </c>
      <c r="AC196" s="3">
        <f>1115+(440.3-359.5)+(-3.4119+(-1.347318--1.10007))+0-96.1--0.294066000000011</f>
        <v>1096.334918</v>
      </c>
      <c r="AD196">
        <f t="shared" si="3"/>
        <v>26206.603303000004</v>
      </c>
      <c r="AE196" s="3">
        <f>1111+(596.6-350.8)+(0+(0-0))+0-92.5-0</f>
        <v>1264.3</v>
      </c>
    </row>
    <row r="197" spans="1:31" s="2" customFormat="1" x14ac:dyDescent="0.25">
      <c r="A197">
        <v>89</v>
      </c>
      <c r="B197">
        <v>7</v>
      </c>
      <c r="C197">
        <v>11</v>
      </c>
      <c r="D197">
        <v>2</v>
      </c>
      <c r="E197">
        <v>1</v>
      </c>
      <c r="F197" s="3">
        <f>1138.8+(386.4-353.3)+(-1.161576+(-0.394128--0.360366))+0-95.6--0.0975120000000152</f>
        <v>1075.202174</v>
      </c>
      <c r="G197" s="3">
        <f>1129.8+(340-350.1)+(-0.576198+(-0.1734--0.178551))+0-93.5--0.0476849999999905</f>
        <v>1025.6766379999999</v>
      </c>
      <c r="H197" s="3">
        <f>1123.6+(330.8-375.5)+(-2.86518+(-0.84354--0.957525))+0-86.8--0.221339999999987</f>
        <v>989.5701449999998</v>
      </c>
      <c r="I197" s="3">
        <f>1128.2+(329.3-386.3)+(-1.150764+(-0.335886--0.394026))+0-90.7--0.0925140000000145</f>
        <v>979.49989000000016</v>
      </c>
      <c r="J197" s="3">
        <f>1134.3+(292.5-354.2)+(0+(0-0))+0-98-0</f>
        <v>974.59999999999991</v>
      </c>
      <c r="K197" s="3">
        <f>1135.1+(217.4-314.7)+(-0.578901+(-0.110874--0.160497))+0-100.2--0.0511019999999898</f>
        <v>937.12182399999995</v>
      </c>
      <c r="L197" s="3">
        <f>1136+(216.3-334)+(0.57936+(0.110313-0.17034))+0-95.5-0.0487049999999903</f>
        <v>923.27062799999987</v>
      </c>
      <c r="M197" s="3">
        <f>1139.3+(351.4-427.4)+(-0.581043+(-0.179214--0.217974))+0-94.7--0.0482969999999904</f>
        <v>968.10601399999985</v>
      </c>
      <c r="N197" s="3">
        <f>1132+(478.1-477)+(0.57732+(0.243831-0.24327))+0-100.2-0.0511019999999898</f>
        <v>1033.4267789999999</v>
      </c>
      <c r="O197" s="3">
        <f>1118.4+(574.8-511.2)+(-1.140768+(-0.586296--0.521424))+0-101.8--0.103836000000016</f>
        <v>1079.0981960000001</v>
      </c>
      <c r="P197" s="3">
        <f>1117+(560.5-447.1)+(-1.13934+(-0.57171--0.456042))+0-94.4--0.0962880000000151</f>
        <v>1134.8412799999999</v>
      </c>
      <c r="Q197" s="3">
        <f>1101.4+(493-307.8)+(0.561714+(0.25143-0.156978))+0-92.8-0.0473279999999906</f>
        <v>1194.4088380000003</v>
      </c>
      <c r="R197" s="3">
        <f>1090.8+(602.7-388.1)+(-0.556308+(-0.307377--0.197931))+0-92.7--0.0472769999999906</f>
        <v>1212.0815229999998</v>
      </c>
      <c r="S197" s="3">
        <f>1106.4+(711.9-491.9)+(0.564264+(0.363069-0.250869))+0-93.2-0.0475319999999905</f>
        <v>1233.8289319999999</v>
      </c>
      <c r="T197" s="3">
        <f>1110.3+(690.7-485.7)+(-1.698759+(-1.056771--0.743121))+0-94.4--0.144432000000005</f>
        <v>1219.032023</v>
      </c>
      <c r="U197" s="3">
        <f>1103.1+(534-370.4)+(-2.812905+(-1.3617--0.94452))+0-91.1--0.232304999999987</f>
        <v>1172.60222</v>
      </c>
      <c r="V197" s="3">
        <f>1113.9+(386.9-277.2)+(-1.704267+(-0.591957--0.424116))+0-97.4--0.149022000000006</f>
        <v>1124.4769140000001</v>
      </c>
      <c r="W197" s="3">
        <f>1119.5+(450.7-347.4)+(-2.854725+(-1.149285--0.88587))+0-101.6--0.259079999999985</f>
        <v>1118.34094</v>
      </c>
      <c r="X197" s="3">
        <f>1144.6+(495-294.8)+(-1.167492+(-0.5049--0.300696))+0-103--0.105060000000016</f>
        <v>1240.5333640000001</v>
      </c>
      <c r="Y197" s="3">
        <f>1147.3+(526.2-310.7)+(-1.755369+(-0.805086--0.475371))+0-103.1--0.157743000000006</f>
        <v>1257.772659</v>
      </c>
      <c r="Z197" s="3">
        <f>1149.1+(527.7-344.3)+(-2.344164+(-1.076508--0.702372))+0-99.8--0.203591999999996</f>
        <v>1230.1852920000001</v>
      </c>
      <c r="AA197" s="3">
        <f>1150.7+(516.7-362.8)+(-2.347428+(-1.054068--0.740112))+0-97.8--0.199511999999996</f>
        <v>1204.3381280000001</v>
      </c>
      <c r="AB197" s="3">
        <f>1149.7+(488.6-386.1)+(-2.931735+(-1.24593--0.984555))+0-96.2--0.245309999999986</f>
        <v>1153.0522000000001</v>
      </c>
      <c r="AC197" s="3">
        <f>1153.1+(430.5-381.4)+(-1.764243+(-0.658665--0.583542))+0-93.7--0.143361000000005</f>
        <v>1106.8039949999998</v>
      </c>
      <c r="AD197">
        <f t="shared" si="3"/>
        <v>26587.870596000004</v>
      </c>
      <c r="AE197" s="3">
        <f>1150+(502-287.5)+(0+(0-0))+0-106-0</f>
        <v>1258.5</v>
      </c>
    </row>
    <row r="198" spans="1:31" s="2" customFormat="1" x14ac:dyDescent="0.25">
      <c r="A198">
        <v>89</v>
      </c>
      <c r="B198">
        <v>7</v>
      </c>
      <c r="C198">
        <v>12</v>
      </c>
      <c r="D198">
        <v>3</v>
      </c>
      <c r="E198">
        <v>5</v>
      </c>
      <c r="F198" s="3">
        <f>1150.5+(368.6-370.9)+(-1.17351+(-0.375972--0.378318))+0-92.7--0.0945540000000148</f>
        <v>1054.4233899999999</v>
      </c>
      <c r="G198" s="3">
        <f>1151+(343.5-378)+(-1.17402+(-0.35037--0.38556))+0-93.6--0.0954720000000149</f>
        <v>1021.8566419999999</v>
      </c>
      <c r="H198" s="3">
        <f>1152+(285.4-354.2)+(-2.9376+(-0.72777--0.90321))+0-90.5--0.230774999999987</f>
        <v>990.16861500000005</v>
      </c>
      <c r="I198" s="3">
        <f>1156.7+(285.4-374.8)+(1.179834+(0.291108-0.382296))+0-92.5-0.0943500000000148</f>
        <v>975.79429599999992</v>
      </c>
      <c r="J198" s="3">
        <f>1149.9+(278.9-372.6)+(-0.586449+(-0.142239--0.190026))+0-92.3--0.0470729999999906</f>
        <v>963.40841100000011</v>
      </c>
      <c r="K198" s="3">
        <f>1164.5+(181.8-323.2)+(-1.18779+(-0.185436--0.329664))+0-89.6--0.0913920000000143</f>
        <v>932.54783000000009</v>
      </c>
      <c r="L198" s="3">
        <f>1160.8+(190.5-366.9)+(-2.368032+(-0.38862--0.748476))+0-89.5--0.182579999999996</f>
        <v>893.07440399999996</v>
      </c>
      <c r="M198" s="3">
        <f>1155.2+(257.2-394.2)+(1.178304+(0.262344-0.402084))+0-92.7-0.0945540000000148</f>
        <v>926.44400999999993</v>
      </c>
      <c r="N198" s="3">
        <f>1146.9+(383.3-455.3)+(0+(0-0))+0-96.2-0</f>
        <v>978.7</v>
      </c>
      <c r="O198" s="3">
        <f>1135.4+(423.7-438.2)+(-1.737162+(-0.648261--0.670446))+0-94.9--0.145197000000005</f>
        <v>1024.43022</v>
      </c>
      <c r="P198" s="3">
        <f>1123.6+(442.9-376.5)+(0+(0-0))+0-98.1-0</f>
        <v>1091.9000000000001</v>
      </c>
      <c r="Q198" s="3">
        <f>1113.5+(440.8-301.5)+(0+(0-0))+0-97.8-0</f>
        <v>1155</v>
      </c>
      <c r="R198" s="3">
        <f>1096.5+(531.2-358.5)+(-1.11843+(-0.541824--0.36567))+0-100--0.102000000000016</f>
        <v>1168.0074160000001</v>
      </c>
      <c r="S198" s="3">
        <f>1107.7+(606.6-450.1)+(1.129854+(0.618732-0.459102))+0-92.8-0.0946560000000148</f>
        <v>1172.594828</v>
      </c>
      <c r="T198" s="3">
        <f>1106.6+(598.7-446.5)+(-1.693098+(-0.916011--0.683145))+0-92.9--0.142137000000005</f>
        <v>1164.1161729999999</v>
      </c>
      <c r="U198" s="3">
        <f>1109.2+(450.8-335.8)+(-3.394152+(-1.379448--1.027548))+0-95.7--0.292842000000011</f>
        <v>1125.0467900000001</v>
      </c>
      <c r="V198" s="3">
        <f>1120.3+(301-256.9)+(-2.856765+(-0.76755--0.655095))+0-97.8--0.249389999999986</f>
        <v>1063.8801700000001</v>
      </c>
      <c r="W198" s="3">
        <f>1120+(362.7-306.6)+(0+(0-0))+0-97.6-0</f>
        <v>1078.5</v>
      </c>
      <c r="X198" s="3">
        <f>1128+(549.3-358.2)+(-1.72584+(-0.840429--0.548046))+0-101.8--0.155754000000006</f>
        <v>1215.437531</v>
      </c>
      <c r="Y198" s="3">
        <f>1136.7+(642.2-447.7)+(-1.739151+(-0.982566--0.684981))+0-98.1--0.150093000000006</f>
        <v>1231.2133570000001</v>
      </c>
      <c r="Z198" s="3">
        <f>1138.7+(673.5-493.2)+(-1.742211+(-1.030455--0.754596))+0-100.1--0.153153000000006</f>
        <v>1217.035083</v>
      </c>
      <c r="AA198" s="3">
        <f>1144.4+(682.4-522.2)+(-2.91822+(-1.74012--1.33161))+0-97.3--0.248114999999986</f>
        <v>1204.2213850000001</v>
      </c>
      <c r="AB198" s="3">
        <f>1147+(608.4-494.1)+(-1.75491+(-0.930852--0.755973))+0-95.8--0.146574000000006</f>
        <v>1163.7167850000001</v>
      </c>
      <c r="AC198" s="3">
        <f>1124.9+(603.7-521.5)+(-1.721097+(-0.923661--0.797895))+0-95.7--0.146421000000006</f>
        <v>1109.699558</v>
      </c>
      <c r="AD198">
        <f t="shared" si="3"/>
        <v>25921.216894000001</v>
      </c>
      <c r="AE198" s="3">
        <f>1140+(643.6-448.9)+(0+(0-0))+0-99.7-0</f>
        <v>1235</v>
      </c>
    </row>
    <row r="199" spans="1:31" s="2" customFormat="1" x14ac:dyDescent="0.25">
      <c r="A199">
        <v>89</v>
      </c>
      <c r="B199">
        <v>7</v>
      </c>
      <c r="C199">
        <v>13</v>
      </c>
      <c r="D199">
        <v>4</v>
      </c>
      <c r="E199">
        <v>1</v>
      </c>
      <c r="F199" s="3">
        <f>1126.6+(522.1-501.2)+(0+(0-0))+0-96.9-0</f>
        <v>1050.5999999999999</v>
      </c>
      <c r="G199" s="3">
        <f>1133.4+(441.1-463.1)+(-0.578034+(-0.224961--0.236181))+0-93.5--0.0476849999999905</f>
        <v>1017.3808710000001</v>
      </c>
      <c r="H199" s="3">
        <f>1135.1+(389.1-439.1)+(0.578901+(0.198441-0.223941))+0-93.3-0.0475829999999905</f>
        <v>992.30581799999982</v>
      </c>
      <c r="I199" s="3">
        <f>1138+(342.5-414.3)+(2.32152+(0.6987-0.845172))+0-92.7-0.189107999999996</f>
        <v>975.48594000000003</v>
      </c>
      <c r="J199" s="3">
        <f>1127+(303.9-371)+(-1.72431+(-0.464967--0.56763))+0-95.1--0.145503000000005</f>
        <v>963.32385600000009</v>
      </c>
      <c r="K199" s="3">
        <f>1132+(234.2-336.3)+(-1.73196+(-0.358326--0.514539))+0-94.2--0.144126000000005</f>
        <v>934.26837899999998</v>
      </c>
      <c r="L199" s="3">
        <f>1135.8+(221.2-348.8)+(0+(0-0))+0-92.3-0</f>
        <v>915.9</v>
      </c>
      <c r="M199" s="3">
        <f>1135.8+(333.8-402.8)+(0.579258+(0.170238-0.205428))+0-97.1-0.0495209999999901</f>
        <v>970.19454699999983</v>
      </c>
      <c r="N199" s="3">
        <f>1130.8+(502.5-493.9)+(0+(0-0))+0-96.9-0</f>
        <v>1042.5</v>
      </c>
      <c r="O199" s="3">
        <f>1112.7+(504.8-450.5)+(-1.702431+(-0.772344--0.689265))+0-75.7--0.115821000000004</f>
        <v>1089.6303110000001</v>
      </c>
      <c r="P199" s="3">
        <f>1109.3+(476.6-361.5)+(0.565743+(0.243066-0.184365))+0-80.7-0.0411569999999918</f>
        <v>1144.2832870000002</v>
      </c>
      <c r="Q199" s="3">
        <f>1100.4+(496.6-315.9)+(0+(0-0))+0-82.4-0</f>
        <v>1198.7</v>
      </c>
      <c r="R199" s="3">
        <f>1095.9+(593.3-393)+(-0.558909+(-0.302583--0.20043))+0-85.3--0.0435029999999913</f>
        <v>1210.2824410000003</v>
      </c>
      <c r="S199" s="3">
        <f>1095.8+(687.8-475.9)+(1.676574+(1.052334-0.728127))+0-84.7-0.129591000000005</f>
        <v>1224.8711899999996</v>
      </c>
      <c r="T199" s="3">
        <f>1089.3+(651.4-442.7)+(-0.555543+(-0.332214--0.225777))+0-85.9--0.0438089999999913</f>
        <v>1211.4818289999998</v>
      </c>
      <c r="U199" s="3">
        <f>1085+(492-331.1)+(-2.2134+(-1.00368--0.675444))+0-81.2--0.165647999999996</f>
        <v>1162.324012</v>
      </c>
      <c r="V199" s="3">
        <f>1092.7+(332.5-224.5)+(-1.671831+(-0.508725--0.343485))+0-83.9--0.128367000000005</f>
        <v>1115.0912960000001</v>
      </c>
      <c r="W199" s="3">
        <f>1113.3+(402.7-299.7)+(-1.703349+(-0.616131--0.458541))+0-82.5--0.126225000000005</f>
        <v>1132.065286</v>
      </c>
      <c r="X199" s="3">
        <f>1141+(549.9-343.7)+(0.58191+(0.280449-0.175287))+0-84.1-0.0428909999999915</f>
        <v>1263.744181</v>
      </c>
      <c r="Y199" s="3">
        <f>1153.1+(665.6-454.9)+(-2.352324+(-1.357824--0.927996))+0-86.1--0.175643999999996</f>
        <v>1275.093492</v>
      </c>
      <c r="Z199" s="3">
        <f>1162.6+(652.4-475.8)+(0.592926+(0.332724-0.242658))+0-85.7-0.0437069999999913</f>
        <v>1254.1392849999997</v>
      </c>
      <c r="AA199" s="3">
        <f>1174.9+(614.9-477.9)+(-1.797597+(-0.940797--0.731187))+0-84.5--0.129285000000005</f>
        <v>1225.522078</v>
      </c>
      <c r="AB199" s="3">
        <f>1162.2+(560.3-472.1)+(-2.370888+(-1.143012--0.963084))+0-83.7--0.170747999999996</f>
        <v>1164.3199320000001</v>
      </c>
      <c r="AC199" s="3">
        <f>1159+(512-483.6)+(-1.18218+(-0.52224--0.493272))+0-84.9--0.0865980000000135</f>
        <v>1101.37545</v>
      </c>
      <c r="AD199">
        <f t="shared" si="3"/>
        <v>26634.883480999997</v>
      </c>
      <c r="AE199" s="3">
        <f>1139+(643.4-421.9)+(0+(0-0))+0-83.5-0</f>
        <v>1277</v>
      </c>
    </row>
    <row r="200" spans="1:31" s="2" customFormat="1" x14ac:dyDescent="0.25">
      <c r="A200">
        <v>89</v>
      </c>
      <c r="B200">
        <v>7</v>
      </c>
      <c r="C200">
        <v>14</v>
      </c>
      <c r="D200">
        <v>5</v>
      </c>
      <c r="E200">
        <v>1</v>
      </c>
      <c r="F200" s="3">
        <f>1172.1+(440.1-466.5)+(-1.195542+(-0.448902--0.47583))+0-83.9--0.0855780000000134</f>
        <v>1060.7169639999997</v>
      </c>
      <c r="G200" s="3">
        <f>1169.4+(482.8-549.9)+(-0.596394+(-0.246228--0.280449))+0-81.4--0.0415139999999917</f>
        <v>1020.3793410000002</v>
      </c>
      <c r="H200" s="3">
        <f>1164.4+(455.5-537.3)+(-1.781532+(-0.696915--0.822069))+0-81.5--0.124695000000005</f>
        <v>999.56831700000021</v>
      </c>
      <c r="I200" s="3">
        <f>1164.4+(402.3-492.1)+(-1.187688+(-0.410346--0.501942))+0-82.1--0.0837420000000131</f>
        <v>991.48765000000014</v>
      </c>
      <c r="J200" s="3">
        <f>1167.9+(358.1-460.9)+(-0.595629+(-0.182631--0.235059))+0-80.8--0.0412079999999918</f>
        <v>983.79800700000021</v>
      </c>
      <c r="K200" s="3">
        <f>1172.2+(246.5-377.5)+(-2.391288+(-0.50286--0.7701))+0-81.5--0.166259999999996</f>
        <v>957.74221200000011</v>
      </c>
      <c r="L200" s="3">
        <f>1169.9+(200.4-345.6)+(-0.596649+(-0.102204--0.176256))+0-84.6--0.0431459999999914</f>
        <v>939.6205490000001</v>
      </c>
      <c r="M200" s="3">
        <f>1140.1+(332.6-396.7)+(0.581451+(0.169626-0.202317))+0-85.4-0.0435539999999913</f>
        <v>991.10520599999995</v>
      </c>
      <c r="N200" s="3">
        <f>1131.3+(419.2-412.7)+(1.153926+(0.427584-0.420954))+0-84.3-0.0859860000000134</f>
        <v>1054.57457</v>
      </c>
      <c r="O200" s="3">
        <f>1128.6+(448.4-392.9)+(-0.575586+(-0.228684--0.200379))+0-83.3--0.0424829999999915</f>
        <v>1100.2385919999999</v>
      </c>
      <c r="P200" s="3">
        <f>1119.5+(482.3-373.2)+(-1.712835+(-0.737919--0.570996))+0-82.2--0.125766000000005</f>
        <v>1144.6460079999999</v>
      </c>
      <c r="Q200" s="3">
        <f>1112.9+(612.2-442.7)+(0+(0-0))+0-80.3-0</f>
        <v>1202.1000000000001</v>
      </c>
      <c r="R200" s="3">
        <f>1102.6+(811.4-611.3)+(0.562326+(0.413814-0.311763))+0-79.5-0.0405449999999919</f>
        <v>1223.8238319999998</v>
      </c>
      <c r="S200" s="3">
        <f>1114.9+(786.6-587.9)+(0.568599+(0.401166-0.299829))+0-82.5-0.0420749999999916</f>
        <v>1231.7278610000001</v>
      </c>
      <c r="T200" s="3">
        <f>1121.9+(699-522.2)+(-2.860845+(-1.78245--1.33161))+0-89--0.226949999999987</f>
        <v>1206.6152650000001</v>
      </c>
      <c r="U200" s="3">
        <f>1122.8+(543.4-425.3)+(-1.145256+(-0.554268--0.433806))+0-86--0.0877200000000137</f>
        <v>1153.7220019999997</v>
      </c>
      <c r="V200" s="3">
        <f>1130.6+(424.2-344.1)+(-2.306424+(-0.865368--0.701964))+0-87.4--0.178295999999996</f>
        <v>1121.0084679999998</v>
      </c>
      <c r="W200" s="3">
        <f>1134.5+(476.4-373)+(-0.578595+(-0.242964--0.19023))+0-92--0.0469199999999907</f>
        <v>1145.315591</v>
      </c>
      <c r="X200" s="3">
        <f>1139.5+(593-381.2)+(-1.16229+(-0.60486--0.388824))+0-92.5--0.0943500000000148</f>
        <v>1257.516024</v>
      </c>
      <c r="Y200" s="3">
        <f>1140.1+(682.5-465.4)+(-2.325804+(-1.3923--0.949416))+0-92.9--0.189515999999996</f>
        <v>1261.7208279999995</v>
      </c>
      <c r="Z200" s="3">
        <f>1125.8+(765.8-559.4)+(-1.148316+(-0.781116--0.570588))+0-94--0.095880000000015</f>
        <v>1236.9370359999998</v>
      </c>
      <c r="AA200" s="3">
        <f>1140.3+(759.5-574.6)+(-4.070871+(-2.711415--2.051322))+0-95.9--0.342363000000001</f>
        <v>1224.9113989999996</v>
      </c>
      <c r="AB200" s="3">
        <f>1139.4+(729.6-595.7)+(-1.162188+(-0.744192--0.607614))+0-93--0.0948600000000148</f>
        <v>1179.0960940000002</v>
      </c>
      <c r="AC200" s="3">
        <f>1103.3+(594.9-487.1)+(-2.250732+(-1.213596--0.993684))+0-93.4--0.190535999999996</f>
        <v>1115.4198919999999</v>
      </c>
      <c r="AD200">
        <f t="shared" si="3"/>
        <v>26803.791707999997</v>
      </c>
      <c r="AE200" s="3">
        <f>1133+(646.7-415.3)+(0+(0-0))+0-97.3-0</f>
        <v>1267.1000000000001</v>
      </c>
    </row>
    <row r="201" spans="1:31" s="2" customFormat="1" x14ac:dyDescent="0.25">
      <c r="A201">
        <v>89</v>
      </c>
      <c r="B201">
        <v>7</v>
      </c>
      <c r="C201">
        <v>15</v>
      </c>
      <c r="D201">
        <v>6</v>
      </c>
      <c r="E201">
        <v>1</v>
      </c>
      <c r="F201" s="3">
        <f>1127.7+(467-429.9)+(-1.725381+(-0.71451--0.657747))+0-89.5--0.136935000000005</f>
        <v>1073.6547910000002</v>
      </c>
      <c r="G201" s="3">
        <f>1129.9+(391.9-391)+(-0.576249+(-0.199869--0.19941))+0-91.7--0.0467669999999907</f>
        <v>1038.5700590000001</v>
      </c>
      <c r="H201" s="3">
        <f>1136.2+(355.9-387.1)+(-1.738386+(-0.544527--0.592263))+0-87--0.133110000000005</f>
        <v>1016.44246</v>
      </c>
      <c r="I201" s="3">
        <f>1144.8+(306.6-363.6)+(-2.91924+(-0.78183--0.92718))+0-85.2--0.217259999999988</f>
        <v>1000.04337</v>
      </c>
      <c r="J201" s="3">
        <f>1150.6+(327.3-397.6)+(-0.586806+(-0.166923--0.202776))+0-91.7--0.0467669999999907</f>
        <v>988.09581400000002</v>
      </c>
      <c r="K201" s="3">
        <f>1145.8+(250-341.1)+(-1.753074+(-0.3825--0.521883))+0-90.7--0.138771000000005</f>
        <v>962.52507999999978</v>
      </c>
      <c r="L201" s="3">
        <f>1068.8+(205.7-239.1)+(1.090176+(0.209814-0.243882))+0-88.6-0.0903720000000141</f>
        <v>947.76573599999983</v>
      </c>
      <c r="M201" s="3">
        <f>1082+(274.4-268.8)+(0.55182+(0.139944-0.137088))+0-92.6-0.0472259999999906</f>
        <v>995.50744999999984</v>
      </c>
      <c r="N201" s="3">
        <f>1117.6+(332.5-319.2)+(-0.569976+(-0.169575--0.162792))+0-94.9--0.0483989999999904</f>
        <v>1035.4716399999998</v>
      </c>
      <c r="O201" s="3">
        <f>1151.5+(390.3-363.6)+(0+(0-0))+0-92.6-0</f>
        <v>1085.6000000000001</v>
      </c>
      <c r="P201" s="3">
        <f>1150.7+(418-333.6)+(-0.586857+(-0.21318--0.170136))+0-93--0.0474299999999906</f>
        <v>1141.517529</v>
      </c>
      <c r="Q201" s="3">
        <f>1142.2+(500.6-357.4)+(-0.582522+(-0.255306--0.182274))+0-95--0.0484499999999904</f>
        <v>1189.7928960000002</v>
      </c>
      <c r="R201" s="3">
        <f>1137.7+(605.3-462.1)+(-1.740681+(-0.926109--0.707013))+0-95.7--0.146421000000006</f>
        <v>1183.3866439999999</v>
      </c>
      <c r="S201" s="3">
        <f>1132.5+(672.3-511.9)+(-1.15515+(-0.685746--0.522138))+0-94.8--0.0966960000000151</f>
        <v>1196.8779380000003</v>
      </c>
      <c r="T201" s="3">
        <f>1121.7+(622.4-466.3)+(-2.288268+(-1.269696--0.951252))+0-99.6--0.203183999999996</f>
        <v>1175.796472</v>
      </c>
      <c r="U201" s="3">
        <f>1122.8+(486.6-381.4)+(-4.008396+(-1.737162--1.361598))+0-98.6--0.352002000000001</f>
        <v>1125.3680420000003</v>
      </c>
      <c r="V201" s="3">
        <f>1129.6+(330.8-288.9)+(-1.152192+(-0.337416--0.294678))+0-100.9--0.102918000000016</f>
        <v>1069.5079879999998</v>
      </c>
      <c r="W201" s="3">
        <f>1128.5+(396.8-311.1)+(-1.15107+(-0.404736--0.317322))+0-102--0.104040000000016</f>
        <v>1111.065556</v>
      </c>
      <c r="X201" s="3">
        <f>1132.8+(605.9-406.5)+(-1.733184+(-0.927027--0.621945))+0-100.2--0.153306000000006</f>
        <v>1230.1150399999997</v>
      </c>
      <c r="Y201" s="3">
        <f>1148.2+(660.3-484.5)+(-1.756746+(-1.010259--0.741285))+0-94.9--0.145197000000005</f>
        <v>1227.2194769999999</v>
      </c>
      <c r="Z201" s="3">
        <f>1149.3+(624.1-468.9)+(0.586143+(0.318291-0.239139))+0-97.6-0.0497759999999901</f>
        <v>1207.515519</v>
      </c>
      <c r="AA201" s="3">
        <f>1158.1+(602.3-466.5)+(-2.362524+(-1.228692--0.95166))+0-98.5--0.200939999999996</f>
        <v>1192.9613839999997</v>
      </c>
      <c r="AB201" s="3">
        <f>1158.8+(565.4-474.3)+(-1.181976+(-0.576708--0.483786))+0-93.4--0.0952680000000149</f>
        <v>1155.3203699999999</v>
      </c>
      <c r="AC201" s="3">
        <f>1164.3+(580.2-539.3)+(-2.375172+(-1.183608--1.100172))+0-96.5--0.196859999999996</f>
        <v>1106.4382520000001</v>
      </c>
      <c r="AD201">
        <f t="shared" si="3"/>
        <v>26456.559507000005</v>
      </c>
      <c r="AE201" s="3">
        <f>1124+(626.3-419.2)+(0+(0-0))+0-95-0</f>
        <v>1236.0999999999999</v>
      </c>
    </row>
    <row r="202" spans="1:31" s="2" customFormat="1" x14ac:dyDescent="0.25">
      <c r="A202">
        <v>89</v>
      </c>
      <c r="B202">
        <v>7</v>
      </c>
      <c r="C202">
        <v>16</v>
      </c>
      <c r="D202">
        <v>7</v>
      </c>
      <c r="E202">
        <v>1</v>
      </c>
      <c r="F202" s="3">
        <f>1168.2+(470.2-483.1)+(-1.787346+(-0.719406--0.739143))+0-94.6--0.144738000000005</f>
        <v>1059.077129</v>
      </c>
      <c r="G202" s="3">
        <f>1154.2+(411.6-450.4)+(-0.588642+(-0.209916--0.229704))+0-92.5--0.0471749999999906</f>
        <v>1022.378321</v>
      </c>
      <c r="H202" s="3">
        <f>1141.8+(363.5-416.1)+(0+(0-0))+0-94.6-0</f>
        <v>994.5999999999998</v>
      </c>
      <c r="I202" s="3">
        <f>1143.2+(314.8-381.2)+(0.583032+(0.160548-0.194412))+0-97-0.0494699999999902</f>
        <v>980.29969800000015</v>
      </c>
      <c r="J202" s="3">
        <f>1146.9+(268.8-351)+(0+(0-0))+0-96-0</f>
        <v>968.7</v>
      </c>
      <c r="K202" s="3">
        <f>1141.2+(227-328.7)+(-2.91006+(-0.57885--0.838185))+0-93--0.237149999999987</f>
        <v>944.08642500000008</v>
      </c>
      <c r="L202" s="3">
        <f>1146.1+(185.7-321.2)+(-2.922555+(-0.473535--0.81906))+0-91.2--0.232559999999987</f>
        <v>917.05552999999986</v>
      </c>
      <c r="M202" s="3">
        <f>1161.6+(182.8-298.9)+(1.777248+(0.279684-0.457317))+0-98.5-0.150705000000006</f>
        <v>948.44891000000007</v>
      </c>
      <c r="N202" s="3">
        <f>1120.4+(233.4-271.8)+(-1.142808+(-0.238068--0.277236))+0-98.6--0.100572000000016</f>
        <v>982.39693199999999</v>
      </c>
      <c r="O202" s="3">
        <f>1138.4+(291.2-291.6)+(-1.161168+(-0.297024--0.297432))+0-95.8--0.0977160000000153</f>
        <v>1041.1369560000001</v>
      </c>
      <c r="P202" s="3">
        <f>1136.8+(383.7-327.9)+(-1.739304+(-0.587061--0.501687))+0-94--0.143820000000005</f>
        <v>1096.919142</v>
      </c>
      <c r="Q202" s="3">
        <f>1120.6+(516-409)+(-0.571506+(-0.26316--0.20859))+0-94.8--0.0483479999999904</f>
        <v>1132.222272</v>
      </c>
      <c r="R202" s="3">
        <f>1106.7+(643.4-511.9)+(-1.693251+(-0.984402--0.783207))+0-87.4--0.133722000000005</f>
        <v>1149.039276</v>
      </c>
      <c r="S202" s="3">
        <f>1107+(721.4-581.1)+(0+(0-0))+0-93.4-0</f>
        <v>1153.8999999999999</v>
      </c>
      <c r="T202" s="3">
        <f>1102.2+(707-578.2)+(-1.686366+(-1.08171--0.884646))+0-92.6--0.141678000000005</f>
        <v>1136.658248</v>
      </c>
      <c r="U202" s="3">
        <f>1099+(572.5-477)+(-2.24196+(-1.1679--0.97308))+0-93.9--0.191555999999996</f>
        <v>1098.3547759999999</v>
      </c>
      <c r="V202" s="3">
        <f>1102.2+(402.4-351.5)+(-2.248488+(-0.820896--0.71706))+0-94.2--0.192167999999996</f>
        <v>1056.7398439999999</v>
      </c>
      <c r="W202" s="3">
        <f>1114.2+(444.8-366.9)+(-2.84121+(-1.13424--0.935595))+0-97.1--0.247604999999986</f>
        <v>1092.2077500000003</v>
      </c>
      <c r="X202" s="3">
        <f>1150.1+(517.8-367.4)+(-2.346204+(-1.056312--0.749496))+0-95.6--0.195023999999996</f>
        <v>1202.4420040000002</v>
      </c>
      <c r="Y202" s="3">
        <f>1152.5+(584-431.9)+(-1.17555+(-0.59568--0.440538))+0-95.5--0.0974100000000152</f>
        <v>1207.866718</v>
      </c>
      <c r="Z202" s="3">
        <f>1154+(610.6-474.5)+(-1.76562+(-0.934218--0.725985))+0-95.7--0.146421000000006</f>
        <v>1192.5725679999998</v>
      </c>
      <c r="AA202" s="3">
        <f>1157.2+(639.9-519.2)+(-1.770516+(-0.979047--0.794376))+0-100.7--0.154071000000006</f>
        <v>1175.398884</v>
      </c>
      <c r="AB202" s="3">
        <f>1162.7+(634.4-568.1)+(-2.964885+(-1.61772--1.448655))+0-98.4--0.250919999999986</f>
        <v>1127.7169699999999</v>
      </c>
      <c r="AC202" s="3">
        <f>1162.1+(560.2-543.9)+(-1.185342+(-0.571404--0.554778))+0-104--0.106080000000017</f>
        <v>1073.304112</v>
      </c>
      <c r="AD202">
        <f t="shared" si="3"/>
        <v>25753.522465000002</v>
      </c>
      <c r="AE202" s="3">
        <f>1151+(573.7-419.3)+(0+(0-0))+0-96.9-0</f>
        <v>1208.5</v>
      </c>
    </row>
    <row r="203" spans="1:31" s="2" customFormat="1" x14ac:dyDescent="0.25">
      <c r="A203">
        <v>89</v>
      </c>
      <c r="B203">
        <v>7</v>
      </c>
      <c r="C203">
        <v>17</v>
      </c>
      <c r="D203">
        <v>1</v>
      </c>
      <c r="E203">
        <v>1</v>
      </c>
      <c r="F203" s="3">
        <f>1136+(454.4-490.6)+(-2.8968+(-1.15872--1.25103))+0-102.2--0.260609999999985</f>
        <v>995.05611999999985</v>
      </c>
      <c r="G203" s="3">
        <f>1175.6+(364.9-433)+(-2.99778+(-0.930495--1.10415))+0-99.6--0.253979999999986</f>
        <v>1005.3298549999998</v>
      </c>
      <c r="H203" s="3">
        <f>1174.3+(305.1-402.6)+(-0.598893+(-0.155601--0.205326))+0-99.6--0.0507959999999899</f>
        <v>976.70162799999991</v>
      </c>
      <c r="I203" s="3">
        <f>1177.3+(256-372.2)+(-2.401692+(-0.52224--0.759288))+0-100.4--0.204815999999996</f>
        <v>958.74017200000003</v>
      </c>
      <c r="J203" s="3">
        <f>1183.6+(218.6-358.1)+(-0.603636+(-0.111486--0.182631))+0-94.9--0.0483989999999904</f>
        <v>948.71590800000001</v>
      </c>
      <c r="K203" s="3">
        <f>1184.7+(183.2-336.4)+(0+(0-0))+0-98.8-0</f>
        <v>932.7</v>
      </c>
      <c r="L203" s="3">
        <f>1190.6+(196.1-367.9)+(0.607206+(0.100011-0.187629))+0-94.8-0.0483479999999904</f>
        <v>924.47123999999997</v>
      </c>
      <c r="M203" s="3">
        <f>1187+(275.8-353.5)+(-0.60537+(-0.140658--0.180285))+0-102.5--0.0522749999999896</f>
        <v>1006.2865319999999</v>
      </c>
      <c r="N203" s="3">
        <f>1175.6+(378.2-350.4)+(-0.599556+(-0.192882--0.178704))+0-102.4--0.0522239999999896</f>
        <v>1100.4384899999998</v>
      </c>
      <c r="O203" s="3">
        <f>1096.6+(431.7-292.2)+(-1.118532+(-0.440334--0.298044))+0-103.3--0.105366000000016</f>
        <v>1131.644544</v>
      </c>
      <c r="P203" s="3">
        <f>1070.3+(488.6-277.1)+(-0.545853+(-0.249186--0.141321))+0-100.7--0.0513569999999898</f>
        <v>1180.4976389999999</v>
      </c>
      <c r="Q203" s="3">
        <f>1080+(540.7-288.4)+(-1.1016+(-0.551514--0.294168))+0-99.8--0.101796000000016</f>
        <v>1231.2428500000001</v>
      </c>
      <c r="R203" s="3">
        <f>1107.2+(651-411.6)+(-0.564672+(-0.33201--0.209916))+0-99.8--0.0508979999999899</f>
        <v>1246.1641319999999</v>
      </c>
      <c r="S203" s="3">
        <f>1095.6+(768.1-501.8)+(-1.117512+(-0.783462--0.511836))+0-101.5--0.103530000000016</f>
        <v>1259.114392</v>
      </c>
      <c r="T203" s="3">
        <f>1082.4+(708.6-461.2)+(-1.104048+(-0.722772--0.470424))+0-107--0.109140000000017</f>
        <v>1221.5527440000003</v>
      </c>
      <c r="U203" s="3">
        <f>1088.8+(548.8-337.5)+(-2.221152+(-1.119552--0.6885))+0-104.4--0.212975999999995</f>
        <v>1193.2607719999999</v>
      </c>
      <c r="V203" s="3">
        <f>1086.8+(448.3-262.6)+(-3.325608+(-1.371798--0.803556))+0-109.5--0.335070000000013</f>
        <v>1159.4412200000002</v>
      </c>
      <c r="W203" s="3">
        <f>1090.7+(545.4-334.8)+(-1.112514+(-0.556308--0.341496))+0-110.9--0.113118000000018</f>
        <v>1189.1857919999998</v>
      </c>
      <c r="X203" s="3">
        <f>1118.5+(650.1-355.3)+(-1.711305+(-0.994653--0.543609))+0-113.3--0.173349000000007</f>
        <v>1298.011</v>
      </c>
      <c r="Y203" s="3">
        <f>1129.9+(742.5-461.2)+(-2.881245+(-1.893375--1.17606))+0-110.7--0.282284999999984</f>
        <v>1297.1837250000001</v>
      </c>
      <c r="Z203" s="3">
        <f>1139.8+(769.2-514.1)+(-1.743894+(-1.176876--0.786573))+0-120.4--0.184212000000007</f>
        <v>1272.550015</v>
      </c>
      <c r="AA203" s="3">
        <f>1147+(756.8-523.5)+(-2.92485+(-1.92984--1.334925))+0-127.8--0.325889999999981</f>
        <v>1249.3061250000001</v>
      </c>
      <c r="AB203" s="3">
        <f>1157+(675.5-506.3)+(-2.95035+(-1.722525--1.291065))+0-128.1--0.326654999999981</f>
        <v>1195.0448450000001</v>
      </c>
      <c r="AC203" s="3">
        <f>1166+(559.2-452)+(0+(0-0))+0-125.9-0</f>
        <v>1147.3</v>
      </c>
      <c r="AD203">
        <f t="shared" si="3"/>
        <v>27119.939739999998</v>
      </c>
      <c r="AE203" s="3">
        <f>1122+(719.3-436.3)+(0+(0-0))+0-97.9-0</f>
        <v>1307.0999999999999</v>
      </c>
    </row>
    <row r="204" spans="1:31" s="2" customFormat="1" x14ac:dyDescent="0.25">
      <c r="A204">
        <v>89</v>
      </c>
      <c r="B204">
        <v>7</v>
      </c>
      <c r="C204">
        <v>18</v>
      </c>
      <c r="D204">
        <v>2</v>
      </c>
      <c r="E204">
        <v>1</v>
      </c>
      <c r="F204" s="3">
        <f>1168.5+(487.9-422.3)+(0+(0-0))+0-127.7-0</f>
        <v>1106.3999999999999</v>
      </c>
      <c r="G204" s="3">
        <f>1170.5+(430.7-418.4)+(0+(0-0))+0-119.8-0</f>
        <v>1063</v>
      </c>
      <c r="H204" s="3">
        <f>1171.1+(475.4-477)+(0+(0-0))+0-123.4-0</f>
        <v>1046.0999999999999</v>
      </c>
      <c r="I204" s="3">
        <f>1171.8+(412.7-439.8)+(0+(0-0))+0-123.8-0</f>
        <v>1020.8999999999999</v>
      </c>
      <c r="J204" s="3">
        <f>1178.3+(355.3-387.5)+(0+(0-0))+0-134.1-0</f>
        <v>1011.9999999999999</v>
      </c>
      <c r="K204" s="3">
        <f>1182.5+(253.7-306.1)+(0+(0-0))+0-136.6-0</f>
        <v>993.49999999999989</v>
      </c>
      <c r="L204" s="3">
        <f>1167.6+(233-290.7)+(0+(0-0))+0-134.4-0</f>
        <v>975.49999999999989</v>
      </c>
      <c r="M204" s="3">
        <f>1149.4+(331.4-325.3)+(0+(0-0))+0-139-0</f>
        <v>1016.5</v>
      </c>
      <c r="N204" s="3">
        <f>1141.2+(408.2-339.7)+(0+(0-0))+0-133.1-0</f>
        <v>1076.6000000000001</v>
      </c>
      <c r="O204" s="3">
        <f>1117.1+(465.3-327.1)+(0+(0-0))+0-131-0</f>
        <v>1124.3</v>
      </c>
      <c r="P204" s="3">
        <f>974.8+(528.1-201)+(0+(0-0))+0-129.4-0</f>
        <v>1172.5</v>
      </c>
      <c r="Q204" s="3">
        <f>921.4+(674.7-246.2)+(0+(0-0))+0-132.5-0</f>
        <v>1217.4000000000001</v>
      </c>
      <c r="R204" s="3">
        <f>921.2+(834-389)+(-0.469812+(-0.42534--0.19839))+0-131--0.0668099999999867</f>
        <v>1234.570048</v>
      </c>
      <c r="S204" s="3">
        <f>980.8+(831-431.4)+(-1.000416+(-0.84762--0.440028))+0-132.5--0.135150000000021</f>
        <v>1246.627142</v>
      </c>
      <c r="T204" s="3">
        <f>1064+(729.7-429.7)+(-1.08528+(-0.744294--0.438294))+0-129.6--0.132192000000021</f>
        <v>1233.1409120000001</v>
      </c>
      <c r="U204" s="3">
        <f>1080+(564.7-317)+(-2.2032+(-1.151988--0.64668))+0-128.2--0.261527999999994</f>
        <v>1197.0530200000001</v>
      </c>
      <c r="V204" s="3">
        <f>1088.5+(397-204.6)+(-1.665405+(-0.60741--0.313038))+0-133.9--0.204867000000008</f>
        <v>1145.2450899999999</v>
      </c>
      <c r="W204" s="3">
        <f>1104.8+(454.9-264.6)+(0+(0-0))+0-133.6-0</f>
        <v>1161.5</v>
      </c>
      <c r="X204" s="3">
        <f>1123.5+(531.7-250.8)+(-0.572985+(-0.271167--0.127908))+0-128.5--0.065534999999987</f>
        <v>1275.2492910000001</v>
      </c>
      <c r="Y204" s="3">
        <f>1129.2+(593.6-309.2)+(-1.727676+(-0.908208--0.473076))+0-122.9--0.188037000000007</f>
        <v>1288.7252289999999</v>
      </c>
      <c r="Z204" s="3">
        <f>1140.6+(607.9-350.1)+(-3.490236+(-1.860174--1.071306))+0-138.6--0.424116000000016</f>
        <v>1255.9450119999999</v>
      </c>
      <c r="AA204" s="3">
        <f>1147.1+(594.3-368.4)+(-1.170042+(-0.606186--0.375768))+0-135--0.137700000000022</f>
        <v>1236.7372399999999</v>
      </c>
      <c r="AB204" s="3">
        <f>1142.3+(536.3-345.2)+(-3.495438+(-1.641078--1.056312))+0-144.1--0.440946000000017</f>
        <v>1185.6607419999998</v>
      </c>
      <c r="AC204" s="3">
        <f>1077.3+(476-283.6)+(-2.747115+(-1.2138--0.72318))+0-153.3--0.390914999999978</f>
        <v>1113.5531799999999</v>
      </c>
      <c r="AD204">
        <f t="shared" si="3"/>
        <v>27398.706905999996</v>
      </c>
      <c r="AE204" s="3">
        <f>1124+(567.4-277.8)+(0+(0-0))+0-129.1-0</f>
        <v>1284.5</v>
      </c>
    </row>
    <row r="205" spans="1:31" s="2" customFormat="1" x14ac:dyDescent="0.25">
      <c r="A205">
        <v>89</v>
      </c>
      <c r="B205">
        <v>7</v>
      </c>
      <c r="C205">
        <v>19</v>
      </c>
      <c r="D205">
        <v>3</v>
      </c>
      <c r="E205">
        <v>1</v>
      </c>
      <c r="F205" s="3">
        <f>1107.2+(381.9-262.1)+(0.564672+(0.194769-0.133671))+0-150.5-0.0767549999999847</f>
        <v>1077.0490150000001</v>
      </c>
      <c r="G205" s="3">
        <f>1143.2+(325.1-268.5)+(-2.332128+(-0.663204--0.54774))+0-149--0.303959999999994</f>
        <v>1048.6563680000002</v>
      </c>
      <c r="H205" s="3">
        <f>1153.9+(277.9-263.7)+(-2.353956+(-0.566916--0.537948))+0-143.6--0.292943999999994</f>
        <v>1022.4100200000001</v>
      </c>
      <c r="I205" s="3">
        <f>1155.9+(267.9-266.5)+(-1.179018+(-0.273258--0.27183))+0-143.9--0.146778000000023</f>
        <v>1012.3663320000002</v>
      </c>
      <c r="J205" s="3">
        <f>1160.9+(260.9-280.4)+(-1.184118+(-0.266118--0.286008))+0-141.8--0.144636000000023</f>
        <v>998.58040800000003</v>
      </c>
      <c r="K205" s="3">
        <f>1159.5+(229.4-272.1)+(0.591345+(0.116994-0.138771))+0-144.9-0.0738989999999853</f>
        <v>972.39566899999988</v>
      </c>
      <c r="L205" s="3">
        <f>1157.7+(248.8-307.4)+(-1.180854+(-0.253776--0.313548))+0-140.6--0.143412000000022</f>
        <v>957.52233000000024</v>
      </c>
      <c r="M205" s="3">
        <f>1155.5+(310.9-318.3)+(0.589305+(0.158559-0.162333))+0-148.3-0.075632999999985</f>
        <v>1000.3098979999999</v>
      </c>
      <c r="N205" s="3">
        <f>1148.3+(427.6-375.1)+(-0.585633+(-0.218076--0.191301))+0-149.7--0.0763469999999848</f>
        <v>1050.5639389999999</v>
      </c>
      <c r="O205" s="3">
        <f>1132.9+(435.6-333.1)+(0+(0-0))+0-146.7-0</f>
        <v>1088.7</v>
      </c>
      <c r="P205" s="3">
        <f>1122.5+(420.1-266.1)+(0+(0-0))+0-144.6-0</f>
        <v>1131.9000000000001</v>
      </c>
      <c r="Q205" s="3">
        <f>1119+(441.9-230.3)+(0+(0-0))+0-146.3-0</f>
        <v>1184.3</v>
      </c>
      <c r="R205" s="3">
        <f>1123.5+(520.6-295)+(-1.14597+(-0.531012--0.3009))+0-144.6--0.147492000000023</f>
        <v>1203.2714100000001</v>
      </c>
      <c r="S205" s="3">
        <f>1117.3+(588.5-348.2)+(0+(0-0))+0-144.6-0</f>
        <v>1213</v>
      </c>
      <c r="T205" s="3">
        <f>1116.2+(528-290.7)+(-1.138524+(-0.53856--0.296514))+0-148.8--0.151776000000024</f>
        <v>1203.4712059999999</v>
      </c>
      <c r="U205" s="3">
        <f>1115.4+(415.6-210.7)+(-2.275416+(-0.847824--0.429828))+0-147.1--0.300083999999994</f>
        <v>1170.8066720000002</v>
      </c>
      <c r="V205" s="3">
        <f>1090+(324.6-140.5)+(-2.2236+(-0.662184--0.28662))+0-151.2--0.308447999999993</f>
        <v>1120.6092839999999</v>
      </c>
      <c r="W205" s="3">
        <f>1095.4+(386-207.6)+(1.117308+(0.39372-0.211752))+0-153.6-0.156672000000024</f>
        <v>1121.3426040000002</v>
      </c>
      <c r="X205" s="3">
        <f>1108.6+(478.9-212.3)+(-1.696158+(-0.732717--0.324819))+0-154--0.235620000000009</f>
        <v>1219.3315639999998</v>
      </c>
      <c r="Y205" s="3">
        <f>1121.8+(526.1-266.1)+(-2.288472+(-1.073244--0.542844))+0-151.9--0.309875999999993</f>
        <v>1227.3910039999998</v>
      </c>
      <c r="Z205" s="3">
        <f>1115.1+(283.5-201.2)+(-1.706103+(-0.433755--0.307836))+129.3-153.5--0.234855000000009</f>
        <v>1171.6028329999997</v>
      </c>
      <c r="AA205" s="3">
        <f>1115.1+(211.8-198.9)+(-1.137402+(-0.216036--0.202878))+194-154.3--0.157386000000025</f>
        <v>1166.7068260000001</v>
      </c>
      <c r="AB205" s="3">
        <f>1118.1+(405.7-331.2)+(-1.140462+(-0.413814--0.337824))+55-151.8--0.154836000000024</f>
        <v>1094.738384</v>
      </c>
      <c r="AC205" s="3">
        <f>1122.7+(434.1-349.5)+(-0.572577+(-0.221391--0.178245))+0-152.5--0.0777749999999845</f>
        <v>1054.2620520000003</v>
      </c>
      <c r="AD205">
        <f t="shared" si="3"/>
        <v>26511.287818000004</v>
      </c>
      <c r="AE205" s="3">
        <f>1119+(497.9-236.1)+(0+(0-0))+0-167.9-0</f>
        <v>1212.8999999999999</v>
      </c>
    </row>
    <row r="206" spans="1:31" s="2" customFormat="1" x14ac:dyDescent="0.25">
      <c r="A206">
        <v>89</v>
      </c>
      <c r="B206">
        <v>7</v>
      </c>
      <c r="C206">
        <v>20</v>
      </c>
      <c r="D206">
        <v>4</v>
      </c>
      <c r="E206">
        <v>1</v>
      </c>
      <c r="F206" s="3">
        <f>1119.4+(367-328.3)+(-2.283576+(-0.74868--0.669732))+0-145.1--0.296003999999994</f>
        <v>1010.9334800000003</v>
      </c>
      <c r="G206" s="3">
        <f>1126.1+(311.6-314.7)+(-0.574311+(-0.158916--0.160497))+0-140.4--0.0716039999999858</f>
        <v>982.09887399999991</v>
      </c>
      <c r="H206" s="3">
        <f>1119.8+(282.7-297.8)+(-1.713294+(-0.432531--0.455634))+0-142--0.217260000000008</f>
        <v>961.22706899999991</v>
      </c>
      <c r="I206" s="3">
        <f>1117+(249.9-278.2)+(-1.70901+(-0.382347--0.425646))+0-141--0.215730000000008</f>
        <v>946.25001899999995</v>
      </c>
      <c r="J206" s="3">
        <f>1131.6+(239.9-291.7)+(-1.154232+(-0.244698--0.297534))+0-141.4--0.144228000000023</f>
        <v>937.44283199999995</v>
      </c>
      <c r="K206" s="3">
        <f>1131.7+(243.4-320.3)+(0+(0-0))+0-141.5-0</f>
        <v>913.3</v>
      </c>
      <c r="L206" s="3">
        <f>1133.2+(273.4-364.9)+(0+(0-0))+0-139.3-0</f>
        <v>902.40000000000009</v>
      </c>
      <c r="M206" s="3">
        <f>1130.9+(322.6-357.4)+(0.576759+(0.164526-0.182274))+0-139.8-0.0712979999999858</f>
        <v>956.78771300000028</v>
      </c>
      <c r="N206" s="3">
        <f>1110+(446-397)+(0+(0-0))+0-146-0</f>
        <v>1013</v>
      </c>
      <c r="O206" s="3">
        <f>1099+(470-375)+(0+(0-0))+0-136-0</f>
        <v>1058</v>
      </c>
      <c r="P206" s="3">
        <f>1094+(471-315)+(-2.7897+(-1.20105--0.80325))+0-143--0.364649999999979</f>
        <v>1104.17715</v>
      </c>
      <c r="Q206" s="3">
        <f>1097.1+(461.2-265.3)+(0+(0-0))+0-125.2-0</f>
        <v>1167.8</v>
      </c>
      <c r="R206" s="3">
        <f>1091.7+(481.6-278.7)+(0+(0-0))+0-122.8-0</f>
        <v>1171.8000000000002</v>
      </c>
      <c r="S206" s="3">
        <f>1025.2+(603.8-331.1)+(0+(0-0))+0-121.6-0</f>
        <v>1176.3000000000002</v>
      </c>
      <c r="T206" s="3">
        <f>1014.7+(592.2-315.1)+(-2.587485+(-1.51011--0.803505))+0-125.7--0.320534999999982</f>
        <v>1163.1264450000001</v>
      </c>
      <c r="U206" s="3">
        <f>1078.8+(417.7-244.8)+(-1.100376+(-0.426054--0.249696))+0-122.5--0.12495000000002</f>
        <v>1128.0482159999999</v>
      </c>
      <c r="V206" s="3">
        <f>1055.9+(365.2-199)+(-3.231054+(-1.117512--0.60894))+0-125.8--0.384948000000015</f>
        <v>1092.9453220000003</v>
      </c>
      <c r="W206" s="3">
        <f>1090.8+(528-312)+(-2.225232+(-1.07712--0.63648))+0-151--0.308039999999993</f>
        <v>1153.4421679999998</v>
      </c>
      <c r="X206" s="3">
        <f>1106.3+(518.9-244.6)+(-2.256852+(-1.058556--0.498984))+0-145.9--0.297635999999994</f>
        <v>1232.1812119999997</v>
      </c>
      <c r="Y206" s="3">
        <f>1122.9+(567.2-303.9)+(-1.718037+(-0.867816--0.464967))+0-145.5--0.222615000000008</f>
        <v>1238.8017290000003</v>
      </c>
      <c r="Z206" s="3">
        <f>1122.6+(582.4-341.2)+(-1.717578+(-0.891072--0.522036))+0-145.7--0.222921000000008</f>
        <v>1216.2363069999999</v>
      </c>
      <c r="AA206" s="3">
        <f>1119.4+(643.7-417.7)+(-3.425364+(-1.969722--1.278162))+0-144.4--0.441864000000017</f>
        <v>1197.3249400000002</v>
      </c>
      <c r="AB206" s="3">
        <f>1126.4+(573.8-404.2)+(-2.297856+(-1.170552--0.824568))+0-146.2--0.298247999999994</f>
        <v>1147.4544080000001</v>
      </c>
      <c r="AC206" s="3">
        <f>1127.6+(492.8-380.8)+(-2.87538+(-1.25664--0.97104))+0-146.1--0.372554999999979</f>
        <v>1090.7115749999998</v>
      </c>
      <c r="AD206">
        <f t="shared" si="3"/>
        <v>25961.789459</v>
      </c>
      <c r="AE206" s="3">
        <f>1118+(560.8-291.4)+(0+(0-0))+0-148.2-0</f>
        <v>1239.2</v>
      </c>
    </row>
    <row r="207" spans="1:31" s="2" customFormat="1" x14ac:dyDescent="0.25">
      <c r="A207">
        <v>89</v>
      </c>
      <c r="B207">
        <v>7</v>
      </c>
      <c r="C207">
        <v>21</v>
      </c>
      <c r="D207">
        <v>5</v>
      </c>
      <c r="E207">
        <v>1</v>
      </c>
      <c r="F207" s="3">
        <f>1135.8+(427-376)+(-0.579258+(-0.21777--0.19176))+0-143.7--0.0732869999999854</f>
        <v>1042.5680189999998</v>
      </c>
      <c r="G207" s="3">
        <f>1128+(387.7-366.7)+(-1.72584+(-0.593181--0.561051))+0-140.9--0.215577000000008</f>
        <v>1006.5576070000002</v>
      </c>
      <c r="H207" s="3">
        <f>1132.8+(341.3-351.8)+(-1.733184+(-0.522189--0.538254))+0-137.8--0.210834000000008</f>
        <v>982.99371500000007</v>
      </c>
      <c r="I207" s="3">
        <f>1133.2+(341.3-371.2)+(-1.733796+(-0.522189--0.567936))+0-137.5--0.210375000000008</f>
        <v>964.32232600000009</v>
      </c>
      <c r="J207" s="3">
        <f>1140.2+(329-362.3)+(0+(0-0))+0-146.3-0</f>
        <v>960.60000000000014</v>
      </c>
      <c r="K207" s="3">
        <f>1135.6+(250.9-314)+(-2.316624+(-0.511836--0.64056))+0-142.6--0.290903999999994</f>
        <v>928.00300400000003</v>
      </c>
      <c r="L207" s="3">
        <f>1120+(231.2-291.2)+(-1.7136+(-0.353736--0.445536))+0-136.4--0.208692000000008</f>
        <v>922.18689200000017</v>
      </c>
      <c r="M207" s="3">
        <f>1073.2+(277-251)+(1.094664+(0.28254-0.25602))+0-139.1-0.141882000000022</f>
        <v>961.0793020000001</v>
      </c>
      <c r="N207" s="3">
        <f>1068.8+(317.6-223.6)+(-1.090176+(-0.323952--0.228072))+0-144.1--0.146982000000023</f>
        <v>1017.6609259999999</v>
      </c>
      <c r="O207" s="3">
        <f>1057.3+(401-261.2)+(-1.617669+(-0.61353--0.399636))+0-145.1--0.222003000000008</f>
        <v>1050.3904400000001</v>
      </c>
      <c r="P207" s="3">
        <f>1042.3+(436.7-226.3)+(-1.594719+(-0.668151--0.346239))+0-148.3--0.226899000000009</f>
        <v>1102.7102679999998</v>
      </c>
      <c r="Q207" s="3">
        <f>1043.4+(439.2-184.8)+(0.532134+(0.223992-0.094248))+0-147.6-0.075275999999985</f>
        <v>1150.7866020000001</v>
      </c>
      <c r="R207" s="3">
        <f>1036.6+(512-238.3)+(-3.171996+(-1.56672--0.729198))+0-145.7--0.445842000000017</f>
        <v>1161.0363239999999</v>
      </c>
      <c r="S207" s="3">
        <f>1038.8+(585.3-304.4)+(-0.529788+(-0.298503--0.155244))+0-144.2--0.0735419999999854</f>
        <v>1174.9004949999999</v>
      </c>
      <c r="T207" s="3">
        <f>1040.4+(523.3-259.9)+(-1.061208+(-0.533766--0.265098))+0-157.9--0.161058000000025</f>
        <v>1144.731182</v>
      </c>
      <c r="U207" s="3">
        <f>1034.2+(409.5-182.2)+(-1.054884+(-0.41769--0.185844))+0-160.9--0.164118000000026</f>
        <v>1099.4773879999998</v>
      </c>
      <c r="V207" s="3">
        <f>1032.7+(395.7-211.7)+(-2.106708+(-0.807228--0.431868))+0-167.8--0.342311999999993</f>
        <v>1046.7602440000001</v>
      </c>
      <c r="W207" s="3">
        <f>1079+(432.3-245.9)+(-0.55029+(-0.220473--0.125409))+0-165.3--0.0843029999999832</f>
        <v>1099.5389490000002</v>
      </c>
      <c r="X207" s="3">
        <f>1131.8+(497.4-255.4)+(-2.308872+(-1.014696--0.521016))+0-165.2--0.337007999999993</f>
        <v>1206.1344559999998</v>
      </c>
      <c r="Y207" s="3">
        <f>1141+(541-307.6)+(-2.32764+(-1.10364--0.627504))+0-164.9--0.336395999999993</f>
        <v>1207.03262</v>
      </c>
      <c r="Z207" s="3">
        <f>1149.1+(533.8-336.7)+(-2.930205+(-1.36119--0.858585))+0-162.4--0.414119999999976</f>
        <v>1180.7813099999996</v>
      </c>
      <c r="AA207" s="3">
        <f>1156.9+(551-384.1)+(-1.770057+(-0.84303--0.587673))+0-166--0.25398000000001</f>
        <v>1156.0285660000002</v>
      </c>
      <c r="AB207" s="3">
        <f>1161.1+(527.7-391.6)+(-1.776483+(-0.807381--0.599148))+0-179--0.27387000000001</f>
        <v>1116.4891539999999</v>
      </c>
      <c r="AC207" s="3">
        <f>1166.8+(455.6-384.8)+(-2.97534+(-1.16178--0.98124))+0-173.3--0.441914999999975</f>
        <v>1061.5860349999998</v>
      </c>
      <c r="AD207">
        <f t="shared" si="3"/>
        <v>25744.355824000002</v>
      </c>
      <c r="AE207" s="3">
        <f>1127+(505.2-256.1)+(0+(0-0))+0-163.6-0</f>
        <v>1212.5</v>
      </c>
    </row>
    <row r="208" spans="1:31" s="2" customFormat="1" x14ac:dyDescent="0.25">
      <c r="A208">
        <v>89</v>
      </c>
      <c r="B208">
        <v>7</v>
      </c>
      <c r="C208">
        <v>22</v>
      </c>
      <c r="D208">
        <v>6</v>
      </c>
      <c r="E208">
        <v>1</v>
      </c>
      <c r="F208" s="3">
        <f>1171.3+(378.3-368.5)+(-4.181541+(-1.350531--1.315545))+0-168.6--0.601902000000002</f>
        <v>1008.8853749999998</v>
      </c>
      <c r="G208" s="3">
        <f>1031.1+(400-279.8)+(-1.051722+(-0.408--0.285396))+0-167.6--0.170952000000027</f>
        <v>982.69662599999992</v>
      </c>
      <c r="H208" s="3">
        <f>994.2+(369.8-237.6)+(-1.521126+(-0.565794--0.363528))+0-165.6--0.25336800000001</f>
        <v>959.32997599999999</v>
      </c>
      <c r="I208" s="3">
        <f>1002.4+(375.8-266.7)+(-1.022448+(-0.383316--0.272034))+0-162.1--0.165342000000026</f>
        <v>948.43161199999997</v>
      </c>
      <c r="J208" s="3">
        <f>999.7+(338.9-239)+(0.509847+(0.172839-0.12189))+0-159.5-0.0813449999999838</f>
        <v>940.57945099999995</v>
      </c>
      <c r="K208" s="3">
        <f>1003.1+(314.7-238.3)+(-1.534743+(-0.481491--0.364599))+0-163.4--0.250002000000009</f>
        <v>914.69836700000008</v>
      </c>
      <c r="L208" s="3">
        <f>998.4+(307-242.4)+(-1.018368+(-0.31314--0.247248))+0-159.5--0.162690000000025</f>
        <v>902.57842999999991</v>
      </c>
      <c r="M208" s="3">
        <f>986.9+(345.4-225.5)+(1.006638+(0.352308-0.23001))+0-161.2-0.164424000000026</f>
        <v>946.56451199999992</v>
      </c>
      <c r="N208" s="3">
        <f>974.5+(453.5-255.2)+(-0.496995+(-0.231285--0.130152))+0-171.3--0.0873629999999826</f>
        <v>1000.9892349999999</v>
      </c>
      <c r="O208" s="3">
        <f>966.1+(504.8-255.2)+(0.492711+(0.257448-0.130152))+0-166.6-0.0849659999999831</f>
        <v>1049.6350410000002</v>
      </c>
      <c r="P208" s="3">
        <f>954.5+(508.7-223.3)+(-0.97359+(-0.518874--0.227766))+0-160.1--0.163302000000026</f>
        <v>1078.6986040000002</v>
      </c>
      <c r="Q208" s="3">
        <f>947.5+(534.6-203.2)+(0.96645+(0.545292-0.207264))+0-153.2-0.156264000000024</f>
        <v>1126.8482140000001</v>
      </c>
      <c r="R208" s="3">
        <f>941.1+(559.7-200.6)+(-3.359727+(-1.998129--0.716142))+0-153.5--0.547995000000002</f>
        <v>1142.6062809999999</v>
      </c>
      <c r="S208" s="3">
        <f>938.2+(633.4-279.7)+(-2.870892+(-1.938204--0.855882))+0-153.7--0.470322000000018</f>
        <v>1134.7171080000003</v>
      </c>
      <c r="T208" s="3">
        <f>937.1+(741.1-395.1)+(-0.955842+(-0.755922--0.403002))+0-167.2--0.170544000000027</f>
        <v>1114.761782</v>
      </c>
      <c r="U208" s="3">
        <f>936.4+(603.9-296.2)+(-2.38782+(-1.539945--0.75531))+0-173.2--0.441659999999975</f>
        <v>1068.1692049999999</v>
      </c>
      <c r="V208" s="3">
        <f>939.6+(468.2-203)+(0.479196+(0.238782-0.10353))+0-177.1-0.090320999999982</f>
        <v>1028.2241270000002</v>
      </c>
      <c r="W208" s="3">
        <f>934.2+(530.4-205.8)+(-0.952884+(-0.541008--0.209916))+0-170.8--0.174216000000027</f>
        <v>1086.8902400000002</v>
      </c>
      <c r="X208" s="3">
        <f>964.9+(569-183)+(-0.984198+(-0.58038--0.18666))+0-172.8--0.176256000000028</f>
        <v>1176.8983380000002</v>
      </c>
      <c r="Y208" s="3">
        <f>978.2+(596.5-232.2)+(-1.995528+(-1.21686--0.473688))+0-170.2--0.347207999999993</f>
        <v>1169.9085079999998</v>
      </c>
      <c r="Z208" s="3">
        <f>993.2+(596.5-269.1)+(-1.013064+(-0.60843--0.274482))+0-174.7--0.178194000000028</f>
        <v>1144.731182</v>
      </c>
      <c r="AA208" s="3">
        <f>997.1+(619.2-306.3)+(-2.542605+(-1.57896--0.781065))+0-175.9--0.448544999999974</f>
        <v>1131.2080449999999</v>
      </c>
      <c r="AB208" s="3">
        <f>985.5+(612.3-332.6)+(-0.502605+(-0.312273--0.169626))+0-171.2--0.0873119999999826</f>
        <v>1093.4420599999996</v>
      </c>
      <c r="AC208" s="3">
        <f>967.7+(623.9-358.7)+(-2.961162+(-1.909134--1.097622))+0-178.5--0.546210000000021</f>
        <v>1051.173536</v>
      </c>
      <c r="AD208">
        <f t="shared" si="3"/>
        <v>25202.665854999996</v>
      </c>
      <c r="AE208" s="3">
        <f>962+(570.2-193.8)+(0+(0-0))+0-166.4-0</f>
        <v>1172</v>
      </c>
    </row>
    <row r="209" spans="1:31" s="2" customFormat="1" x14ac:dyDescent="0.25">
      <c r="A209">
        <v>89</v>
      </c>
      <c r="B209">
        <v>7</v>
      </c>
      <c r="C209">
        <v>23</v>
      </c>
      <c r="D209">
        <v>7</v>
      </c>
      <c r="E209">
        <v>1</v>
      </c>
      <c r="F209" s="3">
        <f>916.9+(602.6-336.9)+(-0.935238+(-0.614652--0.343638))+0-176.4--0.179928000000028</f>
        <v>1005.173676</v>
      </c>
      <c r="G209" s="3">
        <f>897.6+(542.5-292.8)+(-1.373328+(-0.830025--0.447984))+0-178.1--0.27249300000001</f>
        <v>967.71712400000001</v>
      </c>
      <c r="H209" s="3">
        <f>900.5+(468.1-248.3)+(0+(0-0))+0-178.4-0</f>
        <v>941.9</v>
      </c>
      <c r="I209" s="3">
        <f>917.9+(392.9-214)+(-0.468129+(-0.200379--0.10914))+0-171.4--0.0874139999999826</f>
        <v>924.92804599999999</v>
      </c>
      <c r="J209" s="3">
        <f>919.4+(321.2-158.4)+(0.468894+(0.163812-0.080784))+0-170.1-0.0867509999999827</f>
        <v>912.56517100000019</v>
      </c>
      <c r="K209" s="3">
        <f>925+(249.8-116.7)+(-1.41525+(-0.382194--0.178551))+0-166.8--0.25520400000001</f>
        <v>889.93631099999993</v>
      </c>
      <c r="L209" s="3">
        <f>922.8+(242.7-127.4)+(-1.411884+(-0.371331--0.194922))+0-167.7--0.25658100000001</f>
        <v>869.06828799999982</v>
      </c>
      <c r="M209" s="3">
        <f>911.2+(285.3-124.4)+(0+(0-0))+0-169.3-0</f>
        <v>902.80000000000018</v>
      </c>
      <c r="N209" s="3">
        <f>901.7+(332-127)+(0+(0-0))+0-168.1-0</f>
        <v>938.6</v>
      </c>
      <c r="O209" s="3">
        <f>893.1+(386.2-130.4)+(-2.277405+(-0.98481--0.33252))+0-171.4--0.437069999999975</f>
        <v>975.00737500000002</v>
      </c>
      <c r="P209" s="3">
        <f>882.5+(436.5-123.3)+(-1.8003+(-0.89046--0.251532))+0-171.9--0.350675999999992</f>
        <v>1021.7114480000001</v>
      </c>
      <c r="Q209" s="3">
        <f>875.2+(536.9-182.6)+(-0.892704+(-0.547638--0.186252))+0-173--0.176460000000028</f>
        <v>1055.4223700000002</v>
      </c>
      <c r="R209" s="3">
        <f>866.5+(639.3-270.4)+(-0.88383+(-0.652086--0.275808))+0-169.3--0.172686000000027</f>
        <v>1065.0125780000003</v>
      </c>
      <c r="S209" s="3">
        <f>860.6+(704.6-332.9)+(0+(0-0))+0-171.9-0</f>
        <v>1060.4000000000001</v>
      </c>
      <c r="T209" s="3">
        <f>857.5+(728.9-361.8)+(-0.437325+(-0.371739--0.184518))+0-178.9--0.0912389999999818</f>
        <v>1045.1666929999999</v>
      </c>
      <c r="U209" s="3">
        <f>855.4+(637.9-292.1)+(-1.745016+(-1.301316--0.595884))+0-178.6--0.364343999999992</f>
        <v>1020.5138959999997</v>
      </c>
      <c r="V209" s="3">
        <f>857.3+(532.5-209.8)+(-0.874446+(-0.54315--0.213996))+0-185.2--0.18890400000003</f>
        <v>993.78530399999988</v>
      </c>
      <c r="W209" s="3">
        <f>871.2+(643.9-269.8)+(-1.777248+(-1.313556--0.550392))+0-183.3--0.373931999999992</f>
        <v>1059.8335199999999</v>
      </c>
      <c r="X209" s="3">
        <f>886.6+(652.4-207.1)+(-0.904332+(-0.665448--0.211242))+0-179.6--0.183192000000029</f>
        <v>1151.1246540000002</v>
      </c>
      <c r="Y209" s="3">
        <f>883.6+(707.6-254)+(-1.802544+(-1.443504--0.51816))+0-177.3--0.361691999999992</f>
        <v>1157.5338040000001</v>
      </c>
      <c r="Z209" s="3">
        <f>887.6+(707.9-286.4)+(0+(0-0))+0-179.6-0</f>
        <v>1129.5</v>
      </c>
      <c r="AA209" s="3">
        <f>894.4+(712.1-309.3)+(-1.368432+(-1.089513--0.473229))+0-182.1--0.27861300000001</f>
        <v>1113.3938970000002</v>
      </c>
      <c r="AB209" s="3">
        <f>903.3+(646.8-309.6)+(0+(0-0))+0-184.2-0</f>
        <v>1056.3</v>
      </c>
      <c r="AC209" s="3">
        <f>907.5+(561.3-275.8)+(-2.77695+(-1.717578--0.843948))+0-192.4--0.588744000000022</f>
        <v>997.53816400000005</v>
      </c>
      <c r="AD209">
        <f t="shared" si="3"/>
        <v>24254.932319</v>
      </c>
      <c r="AE209" s="3">
        <f>949+(651.6-203.6)+(0+(0-0))+0-163.6-0</f>
        <v>1233.4000000000001</v>
      </c>
    </row>
    <row r="210" spans="1:31" s="2" customFormat="1" x14ac:dyDescent="0.25">
      <c r="A210">
        <v>89</v>
      </c>
      <c r="B210">
        <v>7</v>
      </c>
      <c r="C210">
        <v>24</v>
      </c>
      <c r="D210">
        <v>1</v>
      </c>
      <c r="E210">
        <v>1</v>
      </c>
      <c r="F210" s="3">
        <f>908.2+(504-265.3)+(-2.31591+(-1.2852--0.676515))+0-178.1--0.454154999999974</f>
        <v>966.32956000000013</v>
      </c>
      <c r="G210" s="3">
        <f>912.1+(516.3-311.6)+(-2.325855+(-1.316565--0.79458))+0-179.6--0.457979999999974</f>
        <v>934.81014000000005</v>
      </c>
      <c r="H210" s="3">
        <f>917.3+(483.9-312)+(-0.467823+(-0.246789--0.15912))+0-178.6--0.0910859999999819</f>
        <v>910.13559399999986</v>
      </c>
      <c r="I210" s="3">
        <f>920.6+(427.8-272.2)+(0.469506+(0.218178-0.138822))+0-173.5-0.0884849999999824</f>
        <v>903.16037700000015</v>
      </c>
      <c r="J210" s="3">
        <f>919.7+(386.3-235)+(-0.938094+(-0.394026--0.2397))+0-172.7--0.176154000000028</f>
        <v>897.383734</v>
      </c>
      <c r="K210" s="3">
        <f>921.3+(403.5-283.8)+(-0.469863+(-0.205785--0.144738))+0-174.9--0.0891989999999823</f>
        <v>865.65828900000008</v>
      </c>
      <c r="L210" s="3">
        <f>923+(457.5-343.7)+(0.47073+(0.233325-0.175287))+0-174.1-0.0887909999999823</f>
        <v>863.13997699999982</v>
      </c>
      <c r="M210" s="3">
        <f>919.7+(504-347.8)+(0.938094+(0.51408-0.354756))+0-167.4-0.170748000000027</f>
        <v>909.42667000000017</v>
      </c>
      <c r="N210" s="3">
        <f>909.9+(566.5-341.4)+(-0.464049+(-0.288915--0.174114))+0-164.5--0.0838949999999833</f>
        <v>970.00504499999988</v>
      </c>
      <c r="O210" s="3">
        <f>896.3+(562.3-289.6)+(0+(0-0))+0-161.4-0</f>
        <v>1007.6</v>
      </c>
      <c r="P210" s="3">
        <f>881.9+(586.3-254)+(0+(0-0))+0-160.9-0</f>
        <v>1053.2999999999997</v>
      </c>
      <c r="Q210" s="3">
        <f>881+(573.5-189.3)+(-0.89862+(-0.58497--0.193086))+0-158.5--0.161670000000025</f>
        <v>1105.5711659999999</v>
      </c>
      <c r="R210" s="3">
        <f>876.5+(652.6-257)+(-0.447015+(-0.332826--0.13107))+0-162.4--0.0828239999999835</f>
        <v>1109.134053</v>
      </c>
      <c r="S210" s="3">
        <f>873.1+(737.9-321.8)+(0.445281+(0.376329-0.164118))+0-168.8-0.0860879999999829</f>
        <v>1120.9714040000001</v>
      </c>
      <c r="T210" s="3">
        <f>873.4+(705.1-298.6)+(0+(0-0))+0-166.7-0</f>
        <v>1113.2</v>
      </c>
      <c r="U210" s="3">
        <f>868.1+(588.4-203.7)+(-0.885462+(-0.600168--0.207774))+0-158.5--0.161670000000025</f>
        <v>1093.183814</v>
      </c>
      <c r="V210" s="3">
        <f>867.1+(485.2-133.8)+(0.442221+(0.247452-0.068238))+0-164.5-0.0838949999999833</f>
        <v>1054.53754</v>
      </c>
      <c r="W210" s="3">
        <f>873.5+(530.7-126.2)+(-0.445485+(-0.270657--0.064362))+0-165.5--0.0844049999999832</f>
        <v>1111.9326250000001</v>
      </c>
      <c r="X210" s="3">
        <f>890.6+(606-139.2)+(-2.27103+(-1.5453--0.35496))+0-158.3--0.403664999999977</f>
        <v>1196.0422950000002</v>
      </c>
      <c r="Y210" s="3">
        <f>894.7+(649.8-192)+(0.456297+(0.331398-0.09792))+0-156.3-0.0797129999999841</f>
        <v>1196.810062</v>
      </c>
      <c r="Z210" s="3">
        <f>896.9+(659-227.4)+(0+(0-0))+0-155.5-0</f>
        <v>1173</v>
      </c>
      <c r="AA210" s="3">
        <f>902.5+(631.7-240.1)+(0+(0-0))+0-145.7-0</f>
        <v>1148.3999999999999</v>
      </c>
      <c r="AB210" s="3">
        <f>912+(567.5-241.8)+(-1.86048+(-1.1577--0.493272))+0-140.6--0.286823999999994</f>
        <v>1094.8619160000001</v>
      </c>
      <c r="AC210" s="3">
        <f>922.9+(487-230.3)+(-2.353395+(-1.24185--0.587265))+0-142.1--0.362354999999979</f>
        <v>1034.8543749999999</v>
      </c>
      <c r="AD210">
        <f t="shared" si="3"/>
        <v>24833.448636000001</v>
      </c>
      <c r="AE210" s="3">
        <f>888+(619.3-146.3)+(0+(0-0))+0-158.8-0</f>
        <v>1202.2</v>
      </c>
    </row>
    <row r="211" spans="1:31" s="2" customFormat="1" x14ac:dyDescent="0.25">
      <c r="A211">
        <v>89</v>
      </c>
      <c r="B211">
        <v>7</v>
      </c>
      <c r="C211">
        <v>25</v>
      </c>
      <c r="D211">
        <v>2</v>
      </c>
      <c r="E211">
        <v>1</v>
      </c>
      <c r="F211" s="3">
        <f>922.9+(366.8-170.1)+(-1.412037+(-0.561204--0.260253))+0-138.1--0.211293000000008</f>
        <v>979.99830499999985</v>
      </c>
      <c r="G211" s="3">
        <f>922.9+(355.3-204.7)+(-1.412037+(-0.543609--0.313191))+0-125.8--0.192474000000007</f>
        <v>946.25001900000018</v>
      </c>
      <c r="H211" s="3">
        <f>927.3+(325-199.5)+(-1.418769+(-0.49725--0.305235))+0-125.6--0.192168000000007</f>
        <v>925.781384</v>
      </c>
      <c r="I211" s="3">
        <f>930.9+(288.3-179.9)+(-0.474759+(-0.147033--0.091749))+0-125.1--0.0638009999999873</f>
        <v>913.73375799999997</v>
      </c>
      <c r="J211" s="3">
        <f>933.3+(263.7-166.3)+(0.475983+(0.134487-0.084813))+0-126.1-0.0643109999999872</f>
        <v>905.06134599999973</v>
      </c>
      <c r="K211" s="3">
        <f>938.3+(269.6-200.3)+(-0.478533+(-0.137496--0.102153))+0-126.3--0.0644129999999872</f>
        <v>880.85053699999992</v>
      </c>
      <c r="L211" s="3">
        <f>935.9+(231.3-173.5)+(-0.477309+(-0.117963--0.088485))+0-124.3--0.0633929999999874</f>
        <v>868.95660600000008</v>
      </c>
      <c r="M211" s="3">
        <f>927.3+(365.1-229.6)+(0.472923+(0.186201-0.117096))+0-134.6-0.0686459999999863</f>
        <v>928.67338200000006</v>
      </c>
      <c r="N211" s="3">
        <f>876.2+(452.6-222.9)+(1.340586+(0.692478-0.341037))+0-126.8-0.194004000000007</f>
        <v>980.59802300000013</v>
      </c>
      <c r="O211" s="3">
        <f>761.4+(515.9-136)+(0+(0-0))+0-125.2-0</f>
        <v>1016.0999999999999</v>
      </c>
      <c r="P211" s="3">
        <f>817.8+(493.6-125.3)+(-0.417078+(-0.251736--0.063903))+0-121.9--0.0621689999999876</f>
        <v>1063.657258</v>
      </c>
      <c r="Q211" s="3">
        <f>891.1+(495-150.1)+(-0.454461+(-0.25245--0.076551))+0-121.7--0.0620669999999877</f>
        <v>1113.7317069999999</v>
      </c>
      <c r="R211" s="3">
        <f>888.4+(616.3-253.4)+(0+(0-0))+0-118-0</f>
        <v>1133.3</v>
      </c>
      <c r="S211" s="3">
        <f>885.5+(708.2-329.2)+(-0.451605+(-0.361182--0.167892))+0-121.1--0.0617609999999877</f>
        <v>1142.8168660000001</v>
      </c>
      <c r="T211" s="3">
        <f>873+(692.1-322)+(0+(0-0))+0-123.8-0</f>
        <v>1119.3</v>
      </c>
      <c r="U211" s="3">
        <f>873+(560.2-221.2)+(-1.33569+(-0.857106--0.338436))+0-127.2--0.194616000000007</f>
        <v>1083.1402559999999</v>
      </c>
      <c r="V211" s="3">
        <f>875+(423.5-126.8)+(-0.8925+(-0.43197--0.129336))+0-132--0.134640000000021</f>
        <v>1038.639506</v>
      </c>
      <c r="W211" s="3">
        <f>880+(470.6-120.9)+(-0.4488+(-0.240006--0.061659))+0-131.3--0.0669629999999867</f>
        <v>1097.8398160000002</v>
      </c>
      <c r="X211" s="3">
        <f>884+(634-209.5)+(-1.35252+(-0.97002--0.320535))+0-129.1--0.197523000000007</f>
        <v>1177.5955180000001</v>
      </c>
      <c r="Y211" s="3">
        <f>888+(677.3-261.3)+(-1.81152+(-1.381692--0.533052))+0-129.4--0.263975999999994</f>
        <v>1172.203816</v>
      </c>
      <c r="Z211" s="3">
        <f>896+(619.1-236.9)+(-1.37088+(-0.947223--0.362457))+0-131.8--0.201654000000008</f>
        <v>1144.6460080000002</v>
      </c>
      <c r="AA211" s="3">
        <f>895+(610.6-243.3)+(-0.45645+(-0.311406--0.124083))+0-131.7--0.0671669999999866</f>
        <v>1130.0233939999998</v>
      </c>
      <c r="AB211" s="3">
        <f>896+(551.4-234.4)+(-1.37088+(-0.843642--0.358632))+0-128.7--0.196911000000007</f>
        <v>1082.6410209999999</v>
      </c>
      <c r="AC211" s="3">
        <f>908+(416.7-172.7)+(-0.46308+(-0.212517--0.088077))+0-130.4--0.0665039999999868</f>
        <v>1021.078984</v>
      </c>
      <c r="AD211">
        <f t="shared" si="3"/>
        <v>24866.61751</v>
      </c>
      <c r="AE211" s="3">
        <f>895+(672.4-239.3)+(0+(0-0))+0-126-0</f>
        <v>1202.0999999999999</v>
      </c>
    </row>
    <row r="212" spans="1:31" s="2" customFormat="1" x14ac:dyDescent="0.25">
      <c r="A212">
        <v>89</v>
      </c>
      <c r="B212">
        <v>7</v>
      </c>
      <c r="C212">
        <v>26</v>
      </c>
      <c r="D212">
        <v>3</v>
      </c>
      <c r="E212">
        <v>1</v>
      </c>
      <c r="F212" s="3">
        <f>924+(366.5-169.5)+(-1.88496+(-0.74766--0.34578))+0-130.6--0.266423999999994</f>
        <v>988.37958400000002</v>
      </c>
      <c r="G212" s="3">
        <f>927+(331.7-167.3)+(0.47277+(0.169167-0.085323))+0-131.2-0.0669119999999867</f>
        <v>960.68970200000012</v>
      </c>
      <c r="H212" s="3">
        <f>924+(302-165)+(-0.94248+(-0.30804--0.1683))+0-128.3--0.13086600000002</f>
        <v>931.74864600000001</v>
      </c>
      <c r="I212" s="3">
        <f>928+(295.6-171.5)+(-1.89312+(-0.603024--0.34986))+0-126.9--0.258875999999995</f>
        <v>923.312592</v>
      </c>
      <c r="J212" s="3">
        <f>932+(254.8-148)+(1.42596+(0.389844-0.22644))+0-126.1-0.192933000000007</f>
        <v>914.09643099999982</v>
      </c>
      <c r="K212" s="3">
        <f>935+(292.6-213.5)+(-1.43055+(-0.447678--0.326655))+0-127.1--0.194463000000007</f>
        <v>885.64289000000008</v>
      </c>
      <c r="L212" s="3">
        <f>918+(372.2-301.3)+(0.93636+(0.379644-0.307326))+0-124.5-0.12699000000002</f>
        <v>865.28168800000003</v>
      </c>
      <c r="M212" s="3">
        <f>909+(428.5-291.8)+(0.46359+(0.218535-0.148818))+0-130.9-0.0667589999999867</f>
        <v>915.26654800000006</v>
      </c>
      <c r="N212" s="3">
        <f>899+(485.6-279.5)+(0.91698+(0.495312-0.28509))+0-132.8-0.135456000000021</f>
        <v>973.29174599999988</v>
      </c>
      <c r="O212" s="3">
        <f>894+(538.9-299.8)+(0+(0-0))+0-132.2-0</f>
        <v>1000.8999999999999</v>
      </c>
      <c r="P212" s="3">
        <f>887+(523.9-246.7)+(0+(0-0))+0-117.2-0</f>
        <v>1047</v>
      </c>
      <c r="Q212" s="3">
        <f>883+(521.6-189.1)+(0+(0-0))+0-125.9-0</f>
        <v>1089.5999999999999</v>
      </c>
      <c r="R212" s="3">
        <f>877+(463.7-82.8)+(0.89454+(0.472974-0.084456))+0-127.3-0.12984600000002</f>
        <v>1131.7532120000001</v>
      </c>
      <c r="S212" s="3">
        <f>875+(538.6-159.6)+(0.44625+(0.274686-0.081396))+0-127.8-0.065177999999987</f>
        <v>1126.7743619999999</v>
      </c>
      <c r="T212" s="3">
        <f>876+(509.9-139.3)+(-1.34028+(-0.780147--0.213129))+0-132--0.201960000000008</f>
        <v>1112.8946619999999</v>
      </c>
      <c r="U212" s="3">
        <f>876+(437.9-109.8)+(-0.44676+(-0.223329--0.055998))+0-128.6--0.0655859999999869</f>
        <v>1074.951495</v>
      </c>
      <c r="V212" s="3">
        <f>878+(498.2-212.5)+(-0.89556+(-0.508164--0.21675))+0-126.8--0.12933600000002</f>
        <v>1035.8423620000001</v>
      </c>
      <c r="W212" s="3">
        <f>883+(565.1-209.5)+(0.45033+(0.288201-0.106845))+0-136.7-0.0697169999999861</f>
        <v>1102.4619689999997</v>
      </c>
      <c r="X212" s="3">
        <f>882+(566.1-140.2)+(-1.34946+(-0.866133--0.214506))+0-135.9--0.207927000000008</f>
        <v>1170.2068399999998</v>
      </c>
      <c r="Y212" s="3">
        <f>889+(569.6-149.4)+(0+(0-0))+0-132.2-0</f>
        <v>1177</v>
      </c>
      <c r="Z212" s="3">
        <f>905+(566-174.9)+(0+(0-0))+0-136-0</f>
        <v>1160.0999999999999</v>
      </c>
      <c r="AA212" s="3">
        <f>913+(545.5-175.8)+(-2.32815+(-1.391025--0.44829))+0-136.5--0.34807499999998</f>
        <v>1143.27719</v>
      </c>
      <c r="AB212" s="3">
        <f>917+(478-160.8)+(-0.93534+(-0.48756--0.164016))+0-131.6--0.134232000000021</f>
        <v>1101.4753480000002</v>
      </c>
      <c r="AC212" s="3">
        <f>919+(421-165.4)+(-2.81214+(-1.28826--0.506124))+0-131.4--0.402084000000015</f>
        <v>1040.0078079999998</v>
      </c>
      <c r="AD212">
        <f t="shared" si="3"/>
        <v>24871.955074999994</v>
      </c>
      <c r="AE212" s="3">
        <f>903+(585.1-155.1)+(0+(0-0))+0-129.4-0</f>
        <v>1203.5999999999999</v>
      </c>
    </row>
    <row r="213" spans="1:31" s="2" customFormat="1" x14ac:dyDescent="0.25">
      <c r="A213">
        <v>89</v>
      </c>
      <c r="B213">
        <v>7</v>
      </c>
      <c r="C213">
        <v>27</v>
      </c>
      <c r="D213">
        <v>4</v>
      </c>
      <c r="E213">
        <v>1</v>
      </c>
      <c r="F213" s="3">
        <f>920+(446.9-239)+(-0.9384+(-0.455838--0.24378))+0-133.9--0.136578000000021</f>
        <v>992.98612000000003</v>
      </c>
      <c r="G213" s="3">
        <f>923+(450.6-288)+(-0.47073+(-0.229806--0.14688))+0-125.4--0.0639539999999873</f>
        <v>959.71029799999985</v>
      </c>
      <c r="H213" s="3">
        <f>925+(402.9-266.3)+(-1.41525+(-0.616437--0.407439))+0-126.9--0.194157000000007</f>
        <v>933.26990899999987</v>
      </c>
      <c r="I213" s="3">
        <f>926+(383.7-260.6)+(-0.47226+(-0.195687--0.132906))+0-125.5--0.0640049999999873</f>
        <v>923.12896399999977</v>
      </c>
      <c r="J213" s="3">
        <f>930+(362.2-255.8)+(0.9486+(0.369444-0.260916))+0-126.2-0.12872400000002</f>
        <v>911.12840399999993</v>
      </c>
      <c r="K213" s="3">
        <f>933+(349.5-268.6)+(0.95166+(0.35649-0.273972))+0-127.2-0.12974400000002</f>
        <v>887.60443399999986</v>
      </c>
      <c r="L213" s="3">
        <f>936+(369-316.8)+(0+(0-0))+0-122.5-0</f>
        <v>865.7</v>
      </c>
      <c r="M213" s="3">
        <f>919+(439.4-317.2)+(0.93738+(0.448188-0.323544))+0-130.7-0.133314000000021</f>
        <v>911.42871000000002</v>
      </c>
      <c r="N213" s="3">
        <f>909+(528.7-330.2)+(0.46359+(0.269637-0.168402))+0-129.4-0.0659939999999869</f>
        <v>978.59883100000002</v>
      </c>
      <c r="O213" s="3">
        <f>898+(559.2-323)+(1.83192+(1.140768-0.65892))+0-116.6-0.237863999999995</f>
        <v>1019.6759040000001</v>
      </c>
      <c r="P213" s="3">
        <f>882+(582.4-280.9)+(-0.44982+(-0.297024--0.143259))+0-112.6--0.0574259999999886</f>
        <v>1070.3538410000001</v>
      </c>
      <c r="Q213" s="3">
        <f>875+(537.7-178.7)+(0.44625+(0.274227-0.091137))+0-120.3-0.0613529999999878</f>
        <v>1114.2679869999999</v>
      </c>
      <c r="R213" s="3">
        <f>865+(579.7-203.6)+(-2.20575+(-1.478235--0.51918))+0-124.2--0.316709999999982</f>
        <v>1114.051905</v>
      </c>
      <c r="S213" s="3">
        <f>882+(657.1-275.9)+(0+(0-0))+0-123.2-0</f>
        <v>1140</v>
      </c>
      <c r="T213" s="3">
        <f>846+(598-244.3)+(-0.43146+(-0.30498--0.124593))+0-123.7--0.0630869999999875</f>
        <v>1075.4512400000001</v>
      </c>
      <c r="U213" s="3">
        <f>882+(458.2-145.7)+(-1.34946+(-0.701046--0.222921))+0-115.3--0.176409000000007</f>
        <v>1077.548824</v>
      </c>
      <c r="V213" s="3">
        <f>884+(470.6-197)+(0+(0-0))+0-119.4-0</f>
        <v>1038.1999999999998</v>
      </c>
      <c r="W213" s="3">
        <f>894+(555.7-225.7)+(0.91188+(0.566814-0.230214))+0-124.1-0.12658200000002</f>
        <v>1101.021898</v>
      </c>
      <c r="X213" s="3">
        <f>912.4+(615.4-211)+(0+(0-0))+0-126.3-0</f>
        <v>1190.5</v>
      </c>
      <c r="Y213" s="3">
        <f>915.2+(669.8-261.4)+(-0.466752+(-0.341598--0.133314))+0-127.9--0.065228999999987</f>
        <v>1195.0901929999998</v>
      </c>
      <c r="Z213" s="3">
        <f>924.4+(646.7-280.4)+(-0.942888+(-0.659634--0.286008))+0-122.8--0.12525600000002</f>
        <v>1166.708742</v>
      </c>
      <c r="AA213" s="3">
        <f>931.2+(612.1-283.2)+(-0.949824+(-0.624342--0.288864))+0-116.3--0.118626000000019</f>
        <v>1142.6333240000001</v>
      </c>
      <c r="AB213" s="3">
        <f>925.7+(566.9-270.1)+(-1.888428+(-1.156476--0.551004))+0-126.2--0.257447999999995</f>
        <v>1094.0635480000001</v>
      </c>
      <c r="AC213" s="3">
        <f>938.4+(455.9-226.4)+(-1.435752+(-0.697527--0.346392))+0-130.9--0.200277000000008</f>
        <v>1035.4133899999997</v>
      </c>
      <c r="AD213">
        <f t="shared" si="3"/>
        <v>24938.536465999998</v>
      </c>
      <c r="AE213" s="3">
        <f>900+(638.6-223.2)+(0+(0-0))+0-123.9-0</f>
        <v>1191.5</v>
      </c>
    </row>
    <row r="214" spans="1:31" s="2" customFormat="1" x14ac:dyDescent="0.25">
      <c r="A214">
        <v>89</v>
      </c>
      <c r="B214">
        <v>7</v>
      </c>
      <c r="C214">
        <v>28</v>
      </c>
      <c r="D214">
        <v>5</v>
      </c>
      <c r="E214">
        <v>1</v>
      </c>
      <c r="F214" s="3">
        <f>935.3+(396.4-209.1)+(-2.862018+(-1.212984--0.639846))+0-130.5--0.399330000000015</f>
        <v>989.06417399999987</v>
      </c>
      <c r="G214" s="3">
        <f>934.1+(353.9-198.5)+(-0.952782+(-0.360978--0.20247))+0-129.6--0.132192000000021</f>
        <v>958.92090199999996</v>
      </c>
      <c r="H214" s="3">
        <f>941.9+(318.6-195)+(-1.441107+(-0.487458--0.29835))+0-127.5--0.195075000000007</f>
        <v>936.56486000000007</v>
      </c>
      <c r="I214" s="3">
        <f>941.2+(283.7-178.9)+(-0.960024+(-0.289374--0.182478))+0-126.8--0.12933600000002</f>
        <v>918.26241600000003</v>
      </c>
      <c r="J214" s="3">
        <f>935.4+(283.2-178)+(0.477054+(0.144432-0.09078))+0-126.9-0.0647189999999871</f>
        <v>914.16598699999997</v>
      </c>
      <c r="K214" s="3">
        <f>935.6+(258.4-178.6)+(-0.477156+(-0.131784--0.091086))+0-129.2--0.0658919999999869</f>
        <v>885.74803799999984</v>
      </c>
      <c r="L214" s="3">
        <f>921.1+(322.3-254.3)+(-2.348805+(-0.821865--0.648465))+0-127.1--0.324104999999982</f>
        <v>859.80190000000005</v>
      </c>
      <c r="M214" s="3">
        <f>920.9+(403.7-272.2)+(0.939318+(0.411774-0.277644))+0-131.3-0.133926000000021</f>
        <v>922.03952200000026</v>
      </c>
      <c r="N214" s="3">
        <f>904.1+(452.1-254.5)+(0.461091+(0.230571-0.129795))+0-127.5-0.0650249999999871</f>
        <v>974.69684199999995</v>
      </c>
      <c r="O214" s="3">
        <f>896.1+(523.2-273.9)+(0+(0-0))+0-119-0</f>
        <v>1026.4000000000001</v>
      </c>
      <c r="P214" s="3">
        <f>891.2+(542.2-265.9)+(1.363536+(0.829566-0.406827))+0-107-0.163710000000006</f>
        <v>1062.1225649999999</v>
      </c>
      <c r="Q214" s="3">
        <f>892.1+(515-205.8)+(-0.454971+(-0.26265--0.104958))+0-110.5--0.0563549999999888</f>
        <v>1090.2436919999998</v>
      </c>
      <c r="R214" s="3">
        <f>887.7+(537.6-198.8)+(-1.358181+(-0.822528--0.304164))+0-111.9--0.171207000000006</f>
        <v>1112.8946619999999</v>
      </c>
      <c r="S214" s="3">
        <f>887.2+(618.9-270.5)+(0+(0-0))+0-112.7-0</f>
        <v>1122.8999999999999</v>
      </c>
      <c r="T214" s="3">
        <f>888.9+(582-257.8)+(-0.453339+(-0.29682--0.131478))+0-105.2--0.0536519999999893</f>
        <v>1107.334971</v>
      </c>
      <c r="U214" s="3">
        <f>879.9+(452.8-161.8)+(-0.897498+(-0.461856--0.165036))+0-103--0.105060000000016</f>
        <v>1066.8107420000001</v>
      </c>
      <c r="V214" s="3">
        <f>888.9+(465.9-201.4)+(-0.453339+(-0.237609--0.102714))+0-117.5--0.0599249999999881</f>
        <v>1035.3716910000001</v>
      </c>
      <c r="W214" s="3">
        <f>888.3+(575.6-229)+(-1.359099+(-0.880668--0.35037))+0-132.8--0.203184000000008</f>
        <v>1100.4137870000002</v>
      </c>
      <c r="X214" s="3">
        <f>902.9+(602.6-199.2)+(-0.460479+(-0.307326--0.101592))+0-134.5--0.0685949999999864</f>
        <v>1171.2023819999999</v>
      </c>
      <c r="Y214" s="3">
        <f>909.6+(649.9-255.7)+(-0.927792+(-0.662898--0.260814))+0-132.4--0.135048000000021</f>
        <v>1170.2051719999999</v>
      </c>
      <c r="Z214" s="3">
        <f>918+(639.9-274.4)+(-1.40454+(-0.979047--0.419832))+0-136.5--0.208845000000008</f>
        <v>1145.2450900000001</v>
      </c>
      <c r="AA214" s="3">
        <f>929.7+(621-290.8)+(-0.474147+(-0.31671--0.148308))+0-137.8--0.070277999999986</f>
        <v>1121.5277290000001</v>
      </c>
      <c r="AB214" s="3">
        <f>927.1+(569.5-268.2)+(-3.782568+(-2.32356--1.094256))+0-137.2--0.559775999999988</f>
        <v>1086.7479040000001</v>
      </c>
      <c r="AC214" s="3">
        <f>928+(489-245)+(-1.41984+(-0.74817--0.37485))+0-137.5--0.210375000000008</f>
        <v>1032.9172150000002</v>
      </c>
      <c r="AD214">
        <f t="shared" si="3"/>
        <v>24811.602243000001</v>
      </c>
      <c r="AE214" s="3">
        <f>902+(612-204.3)+(0+(0-0))+0-129.3-0</f>
        <v>1180.4000000000001</v>
      </c>
    </row>
    <row r="215" spans="1:31" s="2" customFormat="1" x14ac:dyDescent="0.25">
      <c r="A215">
        <v>89</v>
      </c>
      <c r="B215">
        <v>7</v>
      </c>
      <c r="C215">
        <v>29</v>
      </c>
      <c r="D215">
        <v>6</v>
      </c>
      <c r="E215">
        <v>1</v>
      </c>
      <c r="F215" s="3">
        <f>916.4+(438.6-225.8)+(-1.869456+(-0.894744--0.460632))+0-136.6--0.278663999999994</f>
        <v>990.57509600000003</v>
      </c>
      <c r="G215" s="3">
        <f>915.6+(393.4-211.5)+(-1.400868+(-0.601902--0.323595))+0-134.1--0.205173000000008</f>
        <v>961.92599800000005</v>
      </c>
      <c r="H215" s="3">
        <f>914.5+(336.7-185.2)+(-0.93279+(-0.343434--0.188904))+0-133.9--0.136578000000021</f>
        <v>931.14925799999992</v>
      </c>
      <c r="I215" s="3">
        <f>917.2+(318.4-182.9)+(0+(0-0))+0-133.4-0</f>
        <v>919.30000000000007</v>
      </c>
      <c r="J215" s="3">
        <f>915.8+(316.5-191.8)+(0+(0-0))+0-133.8-0</f>
        <v>906.7</v>
      </c>
      <c r="K215" s="3">
        <f>920.4+(365.2-269.2)+(-1.877616+(-0.745008--0.549168))+0-131.8--0.268871999999994</f>
        <v>882.79541600000005</v>
      </c>
      <c r="L215" s="3">
        <f>900.6+(403.3-298.2)+(-0.459306+(-0.205683--0.152082))+0-132.6--0.0676259999999865</f>
        <v>872.654719</v>
      </c>
      <c r="M215" s="3">
        <f>906.1+(474.3-324.2)+(-0.462111+(-0.241893--0.165342))+0-132.8--0.0677279999999865</f>
        <v>922.92906600000015</v>
      </c>
      <c r="N215" s="3">
        <f>901+(593.4-380.8)+(-0.91902+(-0.605268--0.388416))+0-134.4--0.137088000000021</f>
        <v>978.20121599999993</v>
      </c>
      <c r="O215" s="3">
        <f>891.8+(595.9-335.7)+(0.454818+(0.303909-0.171207))+0-134.6-0.0686459999999863</f>
        <v>1017.9188740000001</v>
      </c>
      <c r="P215" s="3">
        <f>838.4+(570.9-225.5)+(0.427584+(0.291159-0.115005))+0-135-0.0688499999999863</f>
        <v>1049.3348880000001</v>
      </c>
      <c r="Q215" s="3">
        <f>861.1+(554.9-188.1)+(-0.439161+(-0.282999--0.095931))+0-136.4--0.0695639999999862</f>
        <v>1090.9433349999999</v>
      </c>
      <c r="R215" s="3">
        <f>872.4+(578.2-200.5)+(-2.22462+(-1.47441--0.511275))+0-135.4--0.34526999999998</f>
        <v>1111.8575149999999</v>
      </c>
      <c r="S215" s="3">
        <f>869.9+(587.5-213.2)+(0+(0-0))+0-138.8-0</f>
        <v>1105.4000000000001</v>
      </c>
      <c r="T215" s="3">
        <f>863.7+(566.7-201.3)+(0.440487+(0.289017-0.102663))+0-139.2-0.0709919999999859</f>
        <v>1090.4558490000002</v>
      </c>
      <c r="U215" s="3">
        <f>862.8+(452.1-122.6)+(-2.20014+(-1.152855--0.31263))+0-136.3--0.34756499999998</f>
        <v>1053.3072</v>
      </c>
      <c r="V215" s="3">
        <f>847+(495.1-199.9)+(-1.72788+(-1.010004--0.407796))+0-137.8--0.281111999999994</f>
        <v>1002.3510240000002</v>
      </c>
      <c r="W215" s="3">
        <f>850+(585.7-226.9)+(0.4335+(0.298707-0.115719))+0-139.5-0.0711449999999858</f>
        <v>1069.8453430000002</v>
      </c>
      <c r="X215" s="3">
        <f>864+(557.9-159.8)+(0.88128+(0.569058-0.162996))+0-138.6-0.141372000000022</f>
        <v>1124.64597</v>
      </c>
      <c r="Y215" s="3">
        <f>870+(561.9-178.2)+(-2.2185+(-1.432845--0.45441))+0-136.3--0.34756499999998</f>
        <v>1114.5506300000002</v>
      </c>
      <c r="Z215" s="3">
        <f>875+(556.6-196.9)+(-1.785+(-1.135464--0.401676))+0-137.2--0.279887999999994</f>
        <v>1095.2610999999999</v>
      </c>
      <c r="AA215" s="3">
        <f>884+(534.5-199.2)+(-0.90168+(-0.54519--0.203184))+0-139.3--0.142086000000022</f>
        <v>1078.8984</v>
      </c>
      <c r="AB215" s="3">
        <f>885+(521.5-215.5)+(-1.35405+(-0.797895--0.329715))+0-138.2--0.211446000000008</f>
        <v>1051.189216</v>
      </c>
      <c r="AC215" s="3">
        <f>888+(572.7-312)+(0+(0-0))+0-138.5-0</f>
        <v>1010.2</v>
      </c>
      <c r="AD215">
        <f t="shared" si="3"/>
        <v>24432.390113000005</v>
      </c>
      <c r="AE215" s="3">
        <f>874+(552.9-162.1)+(0+(0-0))+0-132-0</f>
        <v>1132.8</v>
      </c>
    </row>
    <row r="216" spans="1:31" s="2" customFormat="1" x14ac:dyDescent="0.25">
      <c r="A216">
        <v>89</v>
      </c>
      <c r="B216">
        <v>7</v>
      </c>
      <c r="C216">
        <v>30</v>
      </c>
      <c r="D216">
        <v>7</v>
      </c>
      <c r="E216">
        <v>1</v>
      </c>
      <c r="F216" s="3">
        <f>895+(491-282.9)+(0.45645+(0.25041-0.144279))+0-137.9-0.070328999999986</f>
        <v>965.69225199999983</v>
      </c>
      <c r="G216" s="3">
        <f>893+(435.3-262.2)+(-1.82172+(-0.888012--0.534888))+0-136.2--0.277847999999994</f>
        <v>928.00300399999992</v>
      </c>
      <c r="H216" s="3">
        <f>898+(401-259.3)+(-2.2899+(-1.02255--0.661215))+0-135.1--0.34450499999998</f>
        <v>902.29327000000001</v>
      </c>
      <c r="I216" s="3">
        <f>902+(355.5-231.9)+(-1.38006+(-0.543915--0.354807))+0-134.9--0.206397000000008</f>
        <v>889.33722899999998</v>
      </c>
      <c r="J216" s="3">
        <f>910+(328.6-220.5)+(0+(0-0))+0-136.4-0</f>
        <v>881.7</v>
      </c>
      <c r="K216" s="3">
        <f>917+(267.6-202.4)+(0+(0-0))+0-135.7-0</f>
        <v>846.5</v>
      </c>
      <c r="L216" s="3">
        <f>921+(230.6-192.7)+(-1.40913+(-0.352818--0.294831))+0-135.9--0.207927000000008</f>
        <v>821.74081000000001</v>
      </c>
      <c r="M216" s="3">
        <f>920+(272.8-195.4)+(0.4692+(0.139128-0.099654))+0-137.7-0.070226999999986</f>
        <v>860.13844700000004</v>
      </c>
      <c r="N216" s="3">
        <f>891+(395.1-257.7)+(0+(0-0))+0-138.4-0</f>
        <v>890.00000000000011</v>
      </c>
      <c r="O216" s="3">
        <f>878+(400.7-211)+(0+(0-0))+0-137.8-0</f>
        <v>929.90000000000009</v>
      </c>
      <c r="P216" s="3">
        <f>871+(436.6-192.1)+(-1.33263+(-0.667998--0.293913))+0-133.8--0.204714000000008</f>
        <v>980.19799899999998</v>
      </c>
      <c r="Q216" s="3">
        <f>884+(453.6-189.8)+(0+(0-0))+0-140.1-0</f>
        <v>1007.6999999999999</v>
      </c>
      <c r="R216" s="3">
        <f>887+(499.2-224)+(-0.45237+(-0.254592--0.11424))+0-137--0.0698699999999861</f>
        <v>1024.677148</v>
      </c>
      <c r="S216" s="3">
        <f>879+(452.5-164.6)+(-1.79316+(-0.9231--0.335784))+0-139--0.283559999999994</f>
        <v>1025.8030840000001</v>
      </c>
      <c r="T216" s="3">
        <f>876+(430.1-149.8)+(-1.34028+(-0.658053--0.229194))+0-142--0.217260000000008</f>
        <v>1012.748121</v>
      </c>
      <c r="U216" s="3">
        <f>875+(368.8-116.3)+(-2.23125+(-0.94044--0.296565))+0-136.5--0.34807499999998</f>
        <v>988.47294999999997</v>
      </c>
      <c r="V216" s="3">
        <f>873+(374.1-150.5)+(-0.89046+(-0.381582--0.15351))+0-140.7--0.143514000000022</f>
        <v>954.92498199999989</v>
      </c>
      <c r="W216" s="3">
        <f>873+(506.6-215.9)+(0.89046+(0.516732-0.220218))+0-142.5-0.145350000000023</f>
        <v>1022.241624</v>
      </c>
      <c r="X216" s="3">
        <f>882+(510.8-164.8)+(1.34946+(0.781524-0.252144))+0-144.7-0.221391000000008</f>
        <v>1084.957449</v>
      </c>
      <c r="Y216" s="3">
        <f>890+(508.6-159.3)+(0.4539+(0.259386-0.081243))+0-140.1-0.0714509999999858</f>
        <v>1099.7605920000001</v>
      </c>
      <c r="Z216" s="3">
        <f>891+(510.6-180)+(0.45441+(0.260406-0.0918))+0-142.3-0.0725729999999856</f>
        <v>1079.850443</v>
      </c>
      <c r="AA216" s="3">
        <f>897+(509.2-193.2)+(-0.91494+(-0.519384--0.197064))+0-144.1--0.146982000000023</f>
        <v>1067.809722</v>
      </c>
      <c r="AB216" s="3">
        <f>902+(449.2-180.7)+(-1.38006+(-0.687276--0.276471))+0-140.5--0.214965000000008</f>
        <v>1028.4241000000002</v>
      </c>
      <c r="AC216" s="3">
        <f>904+(386.6-171.6)+(-0.92208+(-0.394332--0.175032))+0-143.7--0.146574000000023</f>
        <v>974.30519399999991</v>
      </c>
      <c r="AD216">
        <f t="shared" si="3"/>
        <v>23267.17842</v>
      </c>
      <c r="AE216" s="3">
        <f>884+(507.2-159.8)+(0+(0-0))+0-143.8-0</f>
        <v>1087.6000000000001</v>
      </c>
    </row>
    <row r="217" spans="1:31" s="2" customFormat="1" x14ac:dyDescent="0.25">
      <c r="A217">
        <v>89</v>
      </c>
      <c r="B217">
        <v>8</v>
      </c>
      <c r="C217">
        <v>1</v>
      </c>
      <c r="D217">
        <v>1</v>
      </c>
      <c r="E217">
        <v>1</v>
      </c>
      <c r="F217" s="3">
        <f>912+(325.1-164.8)+(-0.93024+(-0.331602--0.168096))+0-141.4--0.144228000000023</f>
        <v>929.95048199999997</v>
      </c>
      <c r="G217" s="3">
        <f>913+(301.2-178.5)+(-1.39689+(-0.460836--0.273105))+0-138.7--0.212211000000008</f>
        <v>895.62759000000005</v>
      </c>
      <c r="H217" s="3">
        <f>914+(283.1-184.9)+(-1.39842+(-0.433143--0.282897))+0-137.6--0.210528000000008</f>
        <v>873.26186199999995</v>
      </c>
      <c r="I217" s="3">
        <f>921+(264.6-186.4)+(-1.40913+(-0.404838--0.285192))+0-138.9--0.212517000000008</f>
        <v>858.98374100000012</v>
      </c>
      <c r="J217" s="3">
        <f>879+(254.7-142.2)+(-1.79316+(-0.519588--0.290088))+0-139.1--0.283763999999994</f>
        <v>850.66110400000002</v>
      </c>
      <c r="K217" s="3">
        <f>873+(275.6-187.2)+(0+(0-0))+0-138.7-0</f>
        <v>822.7</v>
      </c>
      <c r="L217" s="3">
        <f>873+(326.5-241)+(-0.44523+(-0.166515--0.12291))+0-134.9--0.0687989999999863</f>
        <v>823.17996400000004</v>
      </c>
      <c r="M217" s="3">
        <f>902+(372.2-265.7)+(1.38006+(0.569466-0.406521))+0-137.3-0.210069000000008</f>
        <v>872.53293600000006</v>
      </c>
      <c r="N217" s="3">
        <f>917+(452.6-302)+(0+(0-0))+0-142.5-0</f>
        <v>925.09999999999991</v>
      </c>
      <c r="O217" s="3">
        <f>913+(509.7-324.3)+(-0.46563+(-0.259947--0.165393))+0-141.1--0.0719609999999857</f>
        <v>956.81177700000012</v>
      </c>
      <c r="P217" s="3">
        <f>904+(499.6-274.5)+(1.38312+(0.764388-0.419985))+0-137.7-0.210681000000008</f>
        <v>992.91684199999986</v>
      </c>
      <c r="Q217" s="3">
        <f>890+(471.5-197.6)+(0+(0-0))+0-139.6-0</f>
        <v>1024.3000000000002</v>
      </c>
      <c r="R217" s="3">
        <f>884+(441.3-137.1)+(-1.35252+(-0.675189--0.209763))+0-141--0.215730000000008</f>
        <v>1045.5977840000003</v>
      </c>
      <c r="S217" s="3">
        <f>860.8+(501.5-166.2)+(-2.634048+(-1.53459--0.508572))+0-144.6--0.442476000000017</f>
        <v>1048.28241</v>
      </c>
      <c r="T217" s="3">
        <f>808.7+(518.9-155)+(0+(0-0))+0-145-0</f>
        <v>1027.5999999999999</v>
      </c>
      <c r="U217" s="3">
        <f>811.8+(434.8-99.7)+(-0.828036+(-0.443496--0.101694))+0-138.3--0.141066000000022</f>
        <v>1007.5712280000001</v>
      </c>
      <c r="V217" s="3">
        <f>811.6+(489.4-176.9)+(-1.241748+(-0.748782--0.270657))+0-143.2--0.219096000000008</f>
        <v>979.39922299999989</v>
      </c>
      <c r="W217" s="3">
        <f>859.9+(561.4-217.4)+(0.438549+(0.286314-0.110874))+0-144.8-0.0738479999999853</f>
        <v>1059.6401410000001</v>
      </c>
      <c r="X217" s="3">
        <f>894.9+(510.1-153.2)+(-1.369197+(-0.780453--0.234396))+0-142.6--0.218178000000008</f>
        <v>1107.5029240000001</v>
      </c>
      <c r="Y217" s="3">
        <f>900+(526.8-177)+(-0.918+(-0.537336--0.18054))+0-140.7--0.143514000000022</f>
        <v>1107.9687180000001</v>
      </c>
      <c r="Z217" s="3">
        <f>864.4+(559-191.7)+(-1.322532+(-0.85527--0.293301))+0-152.4--0.233172000000009</f>
        <v>1077.6486709999999</v>
      </c>
      <c r="AA217" s="3">
        <f>853.8+(540.2-182.2)+(-0.870876+(-0.551004--0.185844))+0-156.2--0.159324000000025</f>
        <v>1054.5232879999999</v>
      </c>
      <c r="AB217" s="3">
        <f>864.7+(491.1-193.6)+(-2.204985+(-1.252305--0.49368))+0-156.9--0.400094999999977</f>
        <v>1002.736485</v>
      </c>
      <c r="AC217" s="3">
        <f>875.1+(421.2-188)+(-2.231505+(-1.07406--0.4794))+0-158.6--0.404429999999977</f>
        <v>947.27826499999992</v>
      </c>
      <c r="AD217">
        <f t="shared" si="3"/>
        <v>23291.775435000003</v>
      </c>
      <c r="AE217" s="3">
        <f>905+(511.9-144)+(0+(0-0))+0-138.4-0</f>
        <v>1134.5</v>
      </c>
    </row>
    <row r="218" spans="1:31" s="2" customFormat="1" x14ac:dyDescent="0.25">
      <c r="A218">
        <v>89</v>
      </c>
      <c r="B218">
        <v>8</v>
      </c>
      <c r="C218">
        <v>2</v>
      </c>
      <c r="D218">
        <v>2</v>
      </c>
      <c r="E218">
        <v>1</v>
      </c>
      <c r="F218" s="3">
        <f>893.8+(377.7-211.7)+(-1.823352+(-0.770508--0.431868))+0-157.8--0.321911999999993</f>
        <v>900.15991999999994</v>
      </c>
      <c r="G218" s="3">
        <f>903.4+(348.1-225.6)+(-0.460734+(-0.177531--0.115056))+0-159--0.0810899999999839</f>
        <v>866.45788100000016</v>
      </c>
      <c r="H218" s="3">
        <f>931.1+(296.1-219.3)+(-2.374305+(-0.755055--0.559215))+0-162.4--0.414119999999976</f>
        <v>843.34397500000011</v>
      </c>
      <c r="I218" s="3">
        <f>857.9+(334.8-186.8)+(2.187645+(0.85374-0.47634))+0-163.3-0.416414999999976</f>
        <v>844.74862999999993</v>
      </c>
      <c r="J218" s="3">
        <f>857.6+(307-160.7)+(0.874752+(0.31314-0.163914))+0-163.8-0.167076000000026</f>
        <v>840.95690200000001</v>
      </c>
      <c r="K218" s="3">
        <f>865.3+(287.2-164.2)+(-0.882606+(-0.292944--0.167484))+0-162.3--0.165546000000026</f>
        <v>825.15747999999996</v>
      </c>
      <c r="L218" s="3">
        <f>865.3+(365.9-250.5)+(-0.882606+(-0.373218--0.25551))+0-162--0.165240000000026</f>
        <v>817.86492599999997</v>
      </c>
      <c r="M218" s="3">
        <f>858.3+(355.5-172.5)+(0.875466+(0.36261-0.17595))+0-172.8-0.176256000000028</f>
        <v>869.38586999999995</v>
      </c>
      <c r="N218" s="3">
        <f>850.5+(418.7-176.2)+(-1.301265+(-0.640611--0.269586))+0-170.4--0.26071200000001</f>
        <v>921.18842200000006</v>
      </c>
      <c r="O218" s="3">
        <f>840.9+(432-159.2)+(-1.286577+(-0.66096--0.243576))+0-170.4--0.26071200000001</f>
        <v>941.85675100000014</v>
      </c>
      <c r="P218" s="3">
        <f>830.8+(438.3-124.7)+(-1.271124+(-0.670599--0.190791))+0-175.8--0.26897400000001</f>
        <v>967.11804200000017</v>
      </c>
      <c r="Q218" s="3">
        <f>823.3+(419.9-83.1)+(-2.099415+(-1.070745--0.211905))+0-167.5--0.427124999999976</f>
        <v>990.06886999999983</v>
      </c>
      <c r="R218" s="3">
        <f>817.9+(425.4-76.1)+(-2.085645+(-1.08477--0.194055))+0-162.2--0.413609999999976</f>
        <v>1002.4372499999996</v>
      </c>
      <c r="S218" s="3">
        <f>812.8+(462.4-90.6)+(-0.829056+(-0.471648--0.092412))+0-173--0.176460000000028</f>
        <v>1010.5681679999999</v>
      </c>
      <c r="T218" s="3">
        <f>806.5+(455.2-90.7)+(-1.64526+(-0.928608--0.185028))+0-170.8--0.348431999999993</f>
        <v>998.15959199999998</v>
      </c>
      <c r="U218" s="3">
        <f>809.5+(416.8-71.3)+(-1.65138+(-0.850272--0.145452))+0-168.1--0.342923999999993</f>
        <v>984.88672400000007</v>
      </c>
      <c r="V218" s="3">
        <f>813.9+(508.9-177.2)+(0.415089+(0.259539-0.090372))+0-172.9-0.0881789999999825</f>
        <v>973.19607700000006</v>
      </c>
      <c r="W218" s="3">
        <f>822.9+(630.3-249.8)+(0+(0-0))+0-154.3-0</f>
        <v>1049.0999999999999</v>
      </c>
      <c r="X218" s="3">
        <f>827.7+(560.1-156.4)+(-1.688508+(-1.142604--0.319056))+0-147.1--0.300083999999994</f>
        <v>1082.0880280000001</v>
      </c>
      <c r="Y218" s="3">
        <f>813.6+(537.1-126.3)+(-1.659744+(-1.095684--0.257652))+0-143.8--0.293351999999994</f>
        <v>1078.3955760000001</v>
      </c>
      <c r="Z218" s="3">
        <f>818.9+(516.8-119.1)+(-0.835278+(-0.527136--0.121482))+0-168.4--0.171768000000027</f>
        <v>1047.1308359999998</v>
      </c>
      <c r="AA218" s="3">
        <f>823.9+(487.1-109.6)+(-0.840378+(-0.496842--0.111792))+0-173.9--0.177378000000028</f>
        <v>1026.4519500000001</v>
      </c>
      <c r="AB218" s="3">
        <f>824.7+(461.2-137.3)+(-2.102985+(-1.17606--0.350115))+0-174.1--0.443954999999975</f>
        <v>972.01502499999981</v>
      </c>
      <c r="AC218" s="3">
        <f>831+(389-127)+(-2.11905+(-0.99195--0.32385))+0-177.9--0.453644999999974</f>
        <v>912.76649499999985</v>
      </c>
      <c r="AD218">
        <f t="shared" si="3"/>
        <v>22765.503389999998</v>
      </c>
      <c r="AE218" s="3">
        <f>837+(563.6-157.8)+(0+(0-0))+0-151-0</f>
        <v>1091.8</v>
      </c>
    </row>
    <row r="219" spans="1:31" s="2" customFormat="1" x14ac:dyDescent="0.25">
      <c r="A219">
        <v>89</v>
      </c>
      <c r="B219">
        <v>8</v>
      </c>
      <c r="C219">
        <v>3</v>
      </c>
      <c r="D219">
        <v>3</v>
      </c>
      <c r="E219">
        <v>1</v>
      </c>
      <c r="F219" s="3">
        <f>830.1+(372.1-149.9)+(-1.270053+(-0.569313--0.229347))+0-178.9--0.27371700000001</f>
        <v>872.06369800000004</v>
      </c>
      <c r="G219" s="3">
        <f>833.2+(346.2-157.3)+(-2.12466+(-0.88281--0.401115))+0-172.3--0.439364999999975</f>
        <v>847.63301000000001</v>
      </c>
      <c r="H219" s="3">
        <f>834+(317.4-149)+(-0.85068+(-0.323748--0.15198))+0-170.7--0.174114000000027</f>
        <v>830.85166599999991</v>
      </c>
      <c r="I219" s="3">
        <f>833.5+(307.7-156.5)+(0+(0-0))+0-167.9-0</f>
        <v>816.80000000000007</v>
      </c>
      <c r="J219" s="3">
        <f>840.4+(315-183.8)+(0.428604+(0.16065-0.093738))+0-164.7-0.0839969999999833</f>
        <v>807.31151899999986</v>
      </c>
      <c r="K219" s="3">
        <f>844.9+(365.2-244.2)+(-0.861798+(-0.372504--0.249084))+0-161.7--0.164934000000026</f>
        <v>803.37971600000003</v>
      </c>
      <c r="L219" s="3">
        <f>844.2+(442.6-319.4)+(-0.430542+(-0.225726--0.162894))+0-158.6--0.0808859999999839</f>
        <v>808.38751200000002</v>
      </c>
      <c r="M219" s="3">
        <f>843.1+(480.3-302.1)+(1.289943+(0.734859-0.462213))+0-164.7-0.25199100000001</f>
        <v>857.91059800000005</v>
      </c>
      <c r="N219" s="3">
        <f>845.3+(455-227.7)+(-0.431103+(-0.23205--0.116127))+0-160.3--0.0817529999999837</f>
        <v>911.83472699999993</v>
      </c>
      <c r="O219" s="3">
        <f>830.6+(488.4-228.1)+(-0.423606+(-0.249084--0.116331))+0-152.7--0.0778769999999845</f>
        <v>937.72151800000006</v>
      </c>
      <c r="P219" s="3">
        <f>822+(492.1-207.1)+(0+(0-0))+0-149.6-0</f>
        <v>957.4</v>
      </c>
      <c r="Q219" s="3">
        <f>740.7+(470.9-84.6)+(-0.755514+(-0.480318--0.086292))+0-141.9--0.144738000000023</f>
        <v>984.09519800000021</v>
      </c>
      <c r="R219" s="3">
        <f>708.9+(484.2-65.3)+(-2.169234+(-1.481652--0.199818))+0-130--0.397800000000015</f>
        <v>994.74673199999984</v>
      </c>
      <c r="S219" s="3">
        <f>782.3+(431.8-77.5)+(-1.595892+(-0.880872--0.1581))+0-134.1--0.273563999999994</f>
        <v>1000.4549</v>
      </c>
      <c r="T219" s="3">
        <f>801.9+(399.8-75.5)+(-1.226907+(-0.611694--0.115515))+0-143.5--0.219555000000008</f>
        <v>981.19646900000009</v>
      </c>
      <c r="U219" s="3">
        <f>805.6+(422.2-112)+(0.821712+(0.430644-0.11424))+0-141.6-0.144432000000023</f>
        <v>975.19368399999996</v>
      </c>
      <c r="V219" s="3">
        <f>809+(498.2-180.6)+(0+(0-0))+0-152.5-0</f>
        <v>974.09999999999991</v>
      </c>
      <c r="W219" s="3">
        <f>811.7+(560.2-165.6)+(0.413967+(0.285702-0.084456))+0-154.4-0.0787439999999843</f>
        <v>1052.4364690000002</v>
      </c>
      <c r="X219" s="3">
        <f>820.9+(545.6-125.8)+(-0.418659+(-0.278256--0.064158))+0-154.6--0.0788459999999843</f>
        <v>1085.5460889999999</v>
      </c>
      <c r="Y219" s="3">
        <f>832.7+(514.9-125.8)+(-1.698708+(-1.050396--0.256632))+0-154.7--0.315587999999993</f>
        <v>1064.9231159999999</v>
      </c>
      <c r="Z219" s="3">
        <f>844.2+(482.4-128.4)+(-0.861084+(-0.492048--0.130968))+0-153--0.156060000000024</f>
        <v>1044.133896</v>
      </c>
      <c r="AA219" s="3">
        <f>848.1+(455.4-118.7)+(-0.432531+(-0.232254--0.060537))+0-152.1--0.0775709999999846</f>
        <v>1032.173323</v>
      </c>
      <c r="AB219" s="3">
        <f>850.4+(426.1-130.8)+(-1.301112+(-0.651933--0.200124))+0-158.9--0.243117000000009</f>
        <v>985.29019600000004</v>
      </c>
      <c r="AC219" s="3">
        <f>857.9+(409-171.1)+(-2.187645+(-1.04295--0.436305))+0-164.8--0.420239999999976</f>
        <v>928.62594999999988</v>
      </c>
      <c r="AD219">
        <f t="shared" si="3"/>
        <v>22554.209986000005</v>
      </c>
      <c r="AE219" s="3">
        <f>815+(549.5-129.7)+(0+(0-0))+0-153.4-0</f>
        <v>1081.3999999999999</v>
      </c>
    </row>
    <row r="220" spans="1:31" s="2" customFormat="1" x14ac:dyDescent="0.25">
      <c r="A220">
        <v>89</v>
      </c>
      <c r="B220">
        <v>8</v>
      </c>
      <c r="C220">
        <v>4</v>
      </c>
      <c r="D220">
        <v>4</v>
      </c>
      <c r="E220">
        <v>1</v>
      </c>
      <c r="F220" s="3">
        <f>854.3+(394.2-201.7)+(-1.742772+(-0.804168--0.411468))+0-162.7--0.331907999999993</f>
        <v>882.29643599999997</v>
      </c>
      <c r="G220" s="3">
        <f>857.9+(354.3-196.8)+(0+(0-0))+0-160.4-0</f>
        <v>855</v>
      </c>
      <c r="H220" s="3">
        <f>862.9+(353.6-217.6)+(0.440079+(0.180336-0.110976))+0-161.9-0.0825689999999836</f>
        <v>837.42687000000001</v>
      </c>
      <c r="I220" s="3">
        <f>863.7+(367.3-242.5)+(0.880974+(0.374646-0.24735))+0-160.3-0.163506000000026</f>
        <v>829.0447640000001</v>
      </c>
      <c r="J220" s="3">
        <f>865+(408.4-289.2)+(-0.8823+(-0.416568--0.294984))+0-157.7--0.160854000000025</f>
        <v>825.65697</v>
      </c>
      <c r="K220" s="3">
        <f>870.5+(474-357.6)+(-0.88791+(-0.48348--0.364752))+0-158.4--0.161568000000025</f>
        <v>827.65493000000004</v>
      </c>
      <c r="L220" s="3">
        <f>871.1+(521.5-426.5)+(-1.332783+(-0.797895--0.652545))+0-157.4--0.240822000000009</f>
        <v>807.46268900000007</v>
      </c>
      <c r="M220" s="3">
        <f>864+(493.7-342.2)+(-0.44064+(-0.251787--0.174522))+0-163.3--0.0832829999999834</f>
        <v>851.76537799999983</v>
      </c>
      <c r="N220" s="3">
        <f>847.5+(475.5-251.4)+(0+(0-0))+0-165.6-0</f>
        <v>905.99999999999989</v>
      </c>
      <c r="O220" s="3">
        <f>851.5+(483.3-233.6)+(0.434265+(0.246483-0.119136))+0-161.2-0.0822119999999836</f>
        <v>940.47939999999994</v>
      </c>
      <c r="P220" s="3">
        <f>846.7+(451.8-169.1)+(0+(0-0))+0-163.4-0</f>
        <v>966.00000000000011</v>
      </c>
      <c r="Q220" s="3">
        <f>828.9+(400.4-84.1)+(-0.422739+(-0.204204--0.042891))+0-164.2--0.0837419999999833</f>
        <v>980.49968999999987</v>
      </c>
      <c r="R220" s="3">
        <f>817.1+(397.7-66)+(-1.250163+(-0.608481--0.10098))+0-160.1--0.244953000000009</f>
        <v>987.18728899999996</v>
      </c>
      <c r="S220" s="3">
        <f>805.6+(428.4-73.1)+(-1.643424+(-0.873936--0.149124))+0-161.4--0.329255999999993</f>
        <v>997.46102000000008</v>
      </c>
      <c r="T220" s="3">
        <f>797.9+(416.4-69.3)+(-2.034645+(-1.06182--0.176715))+0-159.4--0.406469999999977</f>
        <v>983.08672000000001</v>
      </c>
      <c r="U220" s="3">
        <f>801.3+(488.5-135.3)+(-1.634652+(-0.99654--0.276012))+0-160--0.326399999999993</f>
        <v>992.47122000000002</v>
      </c>
      <c r="V220" s="3">
        <f>806.7+(630-275.1)+(-0.411417+(-0.3213--0.140301))+0-163.2--0.0832319999999834</f>
        <v>997.89081599999986</v>
      </c>
      <c r="W220" s="3">
        <f>807.4+(641.4-220.5)+(0+(0-0))+0-160-0</f>
        <v>1068.3</v>
      </c>
      <c r="X220" s="3">
        <f>813.3+(612.3-167.9)+(-1.244349+(-0.936819--0.256887))+0-160.1--0.244953000000009</f>
        <v>1095.9206719999997</v>
      </c>
      <c r="Y220" s="3">
        <f>816+(576.8-148.1)+(-2.49696+(-1.765008--0.453186))+0-157.9--0.483174000000018</f>
        <v>1083.4743919999996</v>
      </c>
      <c r="Z220" s="3">
        <f>819.7+(541-140.2)+(-1.254141+(-0.82773--0.214506))+0-161.1--0.246483000000009</f>
        <v>1057.7791179999999</v>
      </c>
      <c r="AA220" s="3">
        <f>827.3+(505.1-122.4)+(0.421923+(0.257601-0.062424))+0-169.9-0.0866489999999828</f>
        <v>1040.6304509999998</v>
      </c>
      <c r="AB220" s="3">
        <f>826.4+(485.1-139.2)+(-0.842928+(-0.494802--0.141984))+0-166.5--0.169830000000027</f>
        <v>1004.7740839999999</v>
      </c>
      <c r="AC220" s="3">
        <f>805.1+(445.6-126.4)+(-1.642404+(-0.909024--0.257856))+0-170.1--0.347003999999993</f>
        <v>952.25343200000009</v>
      </c>
      <c r="AD220">
        <f t="shared" si="3"/>
        <v>22770.516340999999</v>
      </c>
      <c r="AE220" s="3">
        <f>813+(601.8-163.6)+(0+(0-0))+0-159.6-0</f>
        <v>1091.5999999999999</v>
      </c>
    </row>
    <row r="221" spans="1:31" s="2" customFormat="1" x14ac:dyDescent="0.25">
      <c r="A221">
        <v>89</v>
      </c>
      <c r="B221">
        <v>8</v>
      </c>
      <c r="C221">
        <v>5</v>
      </c>
      <c r="D221">
        <v>5</v>
      </c>
      <c r="E221">
        <v>1</v>
      </c>
      <c r="F221" s="3">
        <f>720.1+(474.1-126.9)+(-0.734502+(-0.483582--0.129438))+0-170.1--0.173502000000027</f>
        <v>896.28485600000022</v>
      </c>
      <c r="G221" s="3">
        <f>716.7+(432.4-111.6)+(-1.827585+(-1.10262--0.28458))+0-165.1--0.421004999999976</f>
        <v>870.17537999999979</v>
      </c>
      <c r="H221" s="3">
        <f>721.1+(394-97.9)+(-0.367761+(-0.20094--0.049929))+0-163.1--0.0831809999999834</f>
        <v>853.66440899999998</v>
      </c>
      <c r="I221" s="3">
        <f>674.3+(421.5-91.2)+(-0.343893+(-0.214965--0.046512))+0-164.3--0.0837929999999833</f>
        <v>839.87144699999999</v>
      </c>
      <c r="J221" s="3">
        <f>663.3+(417.9-86.3)+(1.691415+(1.065645-0.220065))+0-164.2-0.418709999999976</f>
        <v>832.81828499999995</v>
      </c>
      <c r="K221" s="3">
        <f>663.3+(443.3-115.5)+(0.338283+(0.226083-0.058905))+0-164.3-0.0837929999999833</f>
        <v>827.22166799999991</v>
      </c>
      <c r="L221" s="3">
        <f>663.3+(547-214.4)+(-1.014849+(-0.83691--0.328032))+0-161.4--0.246942000000009</f>
        <v>833.22321499999998</v>
      </c>
      <c r="M221" s="3">
        <f>666.2+(542.1-175.7)+(0.679524+(0.552942-0.179214))+0-162.9-0.166158000000026</f>
        <v>870.58709400000009</v>
      </c>
      <c r="N221" s="3">
        <f>663.6+(607.2-179.1)+(-1.015308+(-0.929016--0.274023))+0-164.7--0.25199100000001</f>
        <v>925.58168999999987</v>
      </c>
      <c r="O221" s="3">
        <f>661.1+(618.5-174.3)+(0+(0-0))+0-157.7-0</f>
        <v>947.59999999999991</v>
      </c>
      <c r="P221" s="3">
        <f>693.2+(548.7-115.3)+(0+(0-0))+0-163.5-0</f>
        <v>963.10000000000014</v>
      </c>
      <c r="Q221" s="3">
        <f>710.2+(528.1-86.3)+(-0.362202+(-0.269331--0.044013))+0-162--0.0826199999999836</f>
        <v>989.49509999999998</v>
      </c>
      <c r="R221" s="3">
        <f>705.1+(540.2-71)+(-1.798005+(-1.37751--0.18105))+0-161.9--0.412844999999977</f>
        <v>1009.8183800000002</v>
      </c>
      <c r="S221" s="3">
        <f>707.2+(552-77.9)+(-1.082016+(-0.84456--0.119187))+0-165.4--0.25306200000001</f>
        <v>1014.3456730000001</v>
      </c>
      <c r="T221" s="3">
        <f>708.5+(524.2-74.4)+(-1.084005+(-0.802026--0.113832))+0-170.4--0.26071200000001</f>
        <v>986.38851300000022</v>
      </c>
      <c r="U221" s="3">
        <f>707.9+(522.5-88.5)+(-1.805145+(-1.332375--0.225675))+0-163.8--0.417689999999976</f>
        <v>975.60584500000004</v>
      </c>
      <c r="V221" s="3">
        <f>707.8+(511.7-72.3)+(-1.80489+(-1.304835--0.184365))+0-173.5--0.442424999999975</f>
        <v>971.21706499999982</v>
      </c>
      <c r="W221" s="3">
        <f>720.1+(645.5-122.2)+(-0.734502+(-0.65841--0.124644))+0-176.9--0.180438000000028</f>
        <v>1065.4121700000001</v>
      </c>
      <c r="X221" s="3">
        <f>728+(662.7-123.1)+(-0.74256+(-0.675954--0.125562))+0-172.7--0.176154000000028</f>
        <v>1093.7832019999998</v>
      </c>
      <c r="Y221" s="3">
        <f>728.6+(655.5-125.2)+(-1.114758+(-1.002915--0.191556))+0-169.3--0.25902900000001</f>
        <v>1087.9329120000002</v>
      </c>
      <c r="Z221" s="3">
        <f>735+(620.5-115.4)+(-0.7497+(-0.63291--0.117708))+0-172--0.175440000000027</f>
        <v>1067.010538</v>
      </c>
      <c r="AA221" s="3">
        <f>735.5+(585.6-99.5)+(-1.875525+(-1.49328--0.253725))+0-170.4--0.434519999999975</f>
        <v>1048.5194399999998</v>
      </c>
      <c r="AB221" s="3">
        <f>735.7+(542.7-90.4)+(0.375207+(0.276777-0.046104))+0-172.6-0.0880259999999825</f>
        <v>1015.917854</v>
      </c>
      <c r="AC221" s="3">
        <f>718.6+(484.2-67.2)+(-1.83243+(-1.23471--0.17136))+0-175.8--0.448289999999975</f>
        <v>957.35250999999982</v>
      </c>
      <c r="AD221">
        <f t="shared" si="3"/>
        <v>22942.927245999999</v>
      </c>
      <c r="AE221" s="3">
        <f>725+(657.8-123.5)+(0+(0-0))+0-171.1-0</f>
        <v>1088.2</v>
      </c>
    </row>
    <row r="222" spans="1:31" s="2" customFormat="1" x14ac:dyDescent="0.25">
      <c r="A222">
        <v>89</v>
      </c>
      <c r="B222">
        <v>8</v>
      </c>
      <c r="C222">
        <v>6</v>
      </c>
      <c r="D222">
        <v>6</v>
      </c>
      <c r="E222">
        <v>1</v>
      </c>
      <c r="F222" s="3">
        <f>719.4+(469.2-93.5)+(-1.467576+(-0.957168--0.19074))+0-168.6--0.343943999999993</f>
        <v>924.60993999999994</v>
      </c>
      <c r="G222" s="3">
        <f>722.9+(550.3-203.7)+(0.368679+(0.280653-0.103887))+0-171-0.0872099999999826</f>
        <v>898.95823499999995</v>
      </c>
      <c r="H222" s="3">
        <f>722.3+(503.8-173.2)+(0.368373+(0.256938-0.088332))+0-172-0.0877199999999825</f>
        <v>881.34925900000007</v>
      </c>
      <c r="I222" s="3">
        <f>725.2+(472-157)+(-0.739704+(-0.48144--0.16014))+0-172--0.175440000000027</f>
        <v>867.31443600000011</v>
      </c>
      <c r="J222" s="3">
        <f>727.8+(449-140)+(-0.371178+(-0.22899--0.0714))+0-170.8--0.0871079999999827</f>
        <v>865.55834000000004</v>
      </c>
      <c r="K222" s="3">
        <f>726.9+(435.2-139.6)+(-0.741438+(-0.443904--0.142392))+0-169.5--0.172890000000027</f>
        <v>852.12994000000003</v>
      </c>
      <c r="L222" s="3">
        <f>725.4+(468.9-212)+(-0.739908+(-0.478278--0.21624))+0-167.4--0.170748000000027</f>
        <v>814.06880200000001</v>
      </c>
      <c r="M222" s="3">
        <f>727.5+(400.1-102.1)+(-0.371025+(-0.204051--0.052071))+0-174.2--0.0888419999999823</f>
        <v>850.86583699999994</v>
      </c>
      <c r="N222" s="3">
        <f>728.6+(433-75.1)+(1.114758+(0.66249-0.114903))+0-177.2-0.27111600000001</f>
        <v>910.69122899999991</v>
      </c>
      <c r="O222" s="3">
        <f>723.3+(454-65.7)+(0.737766+(0.46308-0.067014))+0-171.3-0.174726000000027</f>
        <v>941.25910599999986</v>
      </c>
      <c r="P222" s="3">
        <f>716.4+(510.1-98.6)+(-1.461456+(-1.040604--0.201144))+0-168--0.342719999999993</f>
        <v>957.94180400000016</v>
      </c>
      <c r="Q222" s="3">
        <f>716.4+(580.2-171.2)+(-0.730728+(-0.591804--0.174624))+0-156.2--0.159324000000025</f>
        <v>968.2114160000001</v>
      </c>
      <c r="R222" s="3">
        <f>707.4+(470.9-126.4)+(-2.886192+(-1.921272--0.515712))+0-151.7--0.618935999999987</f>
        <v>896.52718399999992</v>
      </c>
      <c r="S222" s="3">
        <f>715.5+(398.7-89)+(0+(0-0))+0-173.2-0</f>
        <v>852</v>
      </c>
      <c r="T222" s="3">
        <f>709.3+(333.5-61.7)+(0+(0-0))+0-176.4-0</f>
        <v>804.69999999999993</v>
      </c>
      <c r="U222" s="3">
        <f>708.5+(453.7-87.1)+(-1.084005+(-0.694161--0.133263))+0-169.7--0.25964100000001</f>
        <v>904.01473799999974</v>
      </c>
      <c r="V222" s="3">
        <f>709.9+(398.7-87.4)+(0+(0-0))+0-175.2-0</f>
        <v>846</v>
      </c>
      <c r="W222" s="3">
        <f>713+(506-103.2)+(-1.09089+(-0.77418--0.157896))+0-176.8--0.27050400000001</f>
        <v>937.56333000000006</v>
      </c>
      <c r="X222" s="3">
        <f>725.1+(564.4-158.3)+(-1.849005+(-1.43922--0.403665))+0-165.1--0.421004999999976</f>
        <v>963.63644499999998</v>
      </c>
      <c r="Y222" s="3">
        <f>740.9+(505.8-136.4)+(-3.022872+(-2.063664--0.556512))+0-160.5--0.654839999999986</f>
        <v>945.92481600000008</v>
      </c>
      <c r="Z222" s="3">
        <f>746.1+(485.8-146.3)+(-0.761022+(-0.495516--0.149226))+0-161.7--0.164934000000026</f>
        <v>922.95762199999979</v>
      </c>
      <c r="AA222" s="3">
        <f>749.7+(473.5-161.1)+(-1.529388+(-0.96594--0.328644))+0-159.7--0.325787999999993</f>
        <v>900.55910399999982</v>
      </c>
      <c r="AB222" s="3">
        <f>751.7+(446.2-158.3)+(-2.300202+(-1.365372--0.484398))+0-169.4--0.51836400000002</f>
        <v>867.5371879999999</v>
      </c>
      <c r="AC222" s="3">
        <f>750.7+(419.2-159.1)+(-0.382857+(-0.213792--0.081141))+0-173.5--0.0884849999999824</f>
        <v>836.87297700000011</v>
      </c>
      <c r="AD222">
        <f t="shared" si="3"/>
        <v>21411.251747999995</v>
      </c>
      <c r="AE222" s="3">
        <f>732+(512.6-120.8)+(0+(0-0))+0-180.4-0</f>
        <v>943.4</v>
      </c>
    </row>
    <row r="223" spans="1:31" s="2" customFormat="1" x14ac:dyDescent="0.25">
      <c r="A223">
        <v>89</v>
      </c>
      <c r="B223">
        <v>8</v>
      </c>
      <c r="C223">
        <v>7</v>
      </c>
      <c r="D223">
        <v>7</v>
      </c>
      <c r="E223">
        <v>1</v>
      </c>
      <c r="F223" s="3">
        <f>756.3+(406.1-192.4)+(-1.928565+(-1.035555--0.49062))+0-168.7--0.430184999999976</f>
        <v>799.25668500000006</v>
      </c>
      <c r="G223" s="3">
        <f>756.5+(358.8-171.5)+(-2.31489+(-1.097928--0.52479))+0-167.5--0.512550000000019</f>
        <v>773.92452200000002</v>
      </c>
      <c r="H223" s="3">
        <f>755.2+(281.8-121.9)+(-1.155456+(-0.431154--0.186507))+0-158.8--0.242964000000009</f>
        <v>755.14286100000004</v>
      </c>
      <c r="I223" s="3">
        <f>745.7+(257.1-101.3)+(-0.380307+(-0.131121--0.051663))+0-155.5--0.0793049999999842</f>
        <v>745.61954000000003</v>
      </c>
      <c r="J223" s="3">
        <f>701.4+(275.1-77)+(0+(0-0))+0-167.7-0</f>
        <v>731.8</v>
      </c>
      <c r="K223" s="3">
        <f>698.1+(262.5-79.1)+(-0.356031+(-0.133875--0.040341))+0-171.2--0.0873119999999826</f>
        <v>709.93774700000006</v>
      </c>
      <c r="L223" s="3">
        <f>698.7+(286.2-101.9)+(-0.356337+(-0.145962--0.051969))+0-168--0.085679999999983</f>
        <v>714.63535000000002</v>
      </c>
      <c r="M223" s="3">
        <f>695.9+(335.4-99.5)+(-0.354909+(-0.171054--0.050745))+0-175.5--0.0895049999999822</f>
        <v>755.91428699999994</v>
      </c>
      <c r="N223" s="3">
        <f>686.3+(393.6-104.2)+(-1.050039+(-0.602208--0.159426))+0-177.7--0.27188100000001</f>
        <v>796.77905999999996</v>
      </c>
      <c r="O223" s="3">
        <f>681.1+(453.7-123.9)+(-0.694722+(-0.462774--0.126378))+0-170.7--0.174114000000027</f>
        <v>839.34299599999997</v>
      </c>
      <c r="P223" s="3">
        <f>730.6+(425.3-128.9)+(-0.745212+(-0.433806--0.131478))+0-167.6--0.170952000000027</f>
        <v>858.52341200000001</v>
      </c>
      <c r="Q223" s="3">
        <f>727.4+(466-151.7)+(-0.741948+(-0.47532--0.154734))+0-156--0.159120000000025</f>
        <v>884.79658600000016</v>
      </c>
      <c r="R223" s="3">
        <f>719.3+(480.9-166.2)+(-0.733686+(-0.490518--0.169524))+0-148.9--0.151878000000024</f>
        <v>884.19719800000007</v>
      </c>
      <c r="S223" s="3">
        <f>718.1+(491.2-188.1)+(-0.732462+(-0.501024--0.191862))+0-157--0.160140000000025</f>
        <v>863.31851600000016</v>
      </c>
      <c r="T223" s="3">
        <f>718.2+(577.4-247.4)+(-1.465128+(-1.177896--0.504696))+0-175.3--0.357611999999992</f>
        <v>871.11928400000011</v>
      </c>
      <c r="U223" s="3">
        <f>714.4+(525.3-202.3)+(-0.364344+(-0.267903--0.103173))+0-168.3--0.0858329999999829</f>
        <v>868.65675899999985</v>
      </c>
      <c r="V223" s="3">
        <f>670+(501-126.6)+(0.3417+(0.25551-0.064566))+0-173.2-0.0883319999999824</f>
        <v>871.6443119999999</v>
      </c>
      <c r="W223" s="3">
        <f>695.2+(547.4-114.5)+(-0.354552+(-0.279174--0.058395))+0-174.8--0.0891479999999823</f>
        <v>952.81381699999997</v>
      </c>
      <c r="X223" s="3">
        <f>734+(526-105.2)+(-1.49736+(-1.07304--0.214608))+0-172.8--0.352511999999993</f>
        <v>979.99671999999998</v>
      </c>
      <c r="Y223" s="3">
        <f>732.5+(519.4-111.3)+(0.74715+(0.529788-0.113526))+0-168.5-0.171870000000027</f>
        <v>973.091542</v>
      </c>
      <c r="Z223" s="3">
        <f>741.2+(542.7-153.3)+(-1.134036+(-0.830331--0.234549))+0-172--0.26316000000001</f>
        <v>957.13334200000008</v>
      </c>
      <c r="AA223" s="3">
        <f>749.2+(522.7-160.5)+(-0.764184+(-0.533154--0.16371))+0-173.2--0.176664000000028</f>
        <v>937.24303600000007</v>
      </c>
      <c r="AB223" s="3">
        <f>749.6+(455.6-137.5)+(-0.764592+(-0.464712--0.14025))+0-172.8--0.176256000000028</f>
        <v>893.98720200000014</v>
      </c>
      <c r="AC223" s="3">
        <f>750.7+(396.8-136)+(-1.914285+(-1.01184--0.3468))+0-166.6--0.424829999999976</f>
        <v>842.74550499999987</v>
      </c>
      <c r="AD223">
        <f t="shared" si="3"/>
        <v>20261.620278999999</v>
      </c>
      <c r="AE223" s="3">
        <f>733+(531.8-107.6)+(0+(0-0))+0-175.5-0</f>
        <v>981.69999999999982</v>
      </c>
    </row>
    <row r="224" spans="1:31" s="2" customFormat="1" x14ac:dyDescent="0.25">
      <c r="A224">
        <v>89</v>
      </c>
      <c r="B224">
        <v>8</v>
      </c>
      <c r="C224">
        <v>8</v>
      </c>
      <c r="D224">
        <v>1</v>
      </c>
      <c r="E224">
        <v>1</v>
      </c>
      <c r="F224" s="3">
        <f>754+(333.5-115.7)+(-0.38454+(-0.170085--0.059007))+0-161.9--0.0825689999999836</f>
        <v>809.48695099999998</v>
      </c>
      <c r="G224" s="3">
        <f>754.5+(281.3-94.6)+(-0.384795+(-0.143463--0.048246))+0-157.5--0.080324999999984</f>
        <v>783.30031300000007</v>
      </c>
      <c r="H224" s="3">
        <f>758.1+(257.2-87.7)+(-1.159893+(-0.393516--0.134181))+0-162--0.247860000000009</f>
        <v>764.42863200000011</v>
      </c>
      <c r="I224" s="3">
        <f>756.2+(321.6-157.3)+(0.385662+(0.164016-0.080223))+0-164.6-0.0839459999999833</f>
        <v>756.28550900000005</v>
      </c>
      <c r="J224" s="3">
        <f>764.1+(304.9-140.1)+(-1.558764+(-0.621996--0.285804))+0-167.2--0.341087999999993</f>
        <v>760.14613199999997</v>
      </c>
      <c r="K224" s="3">
        <f>760.9+(289.3-117.6)+(0+(0-0))+0-164.5-0</f>
        <v>768.1</v>
      </c>
      <c r="L224" s="3">
        <f>754.2+(316.3-128.7)+(0+(0-0))+0-166-0</f>
        <v>775.80000000000007</v>
      </c>
      <c r="M224" s="3">
        <f>745.2+(406.1-166)+(-0.380052+(-0.207111--0.08466))+0-162.9--0.0830789999999835</f>
        <v>821.98057600000004</v>
      </c>
      <c r="N224" s="3">
        <f>732+(536.2-222.5)+(-1.11996+(-0.820386--0.340425))+0-161.6--0.247248000000009</f>
        <v>882.74732700000004</v>
      </c>
      <c r="O224" s="3">
        <f>728+(651.4-324.9)+(-0.74256+(-0.664428--0.331398))+0-165.7--0.169014000000026</f>
        <v>887.8934240000001</v>
      </c>
      <c r="P224" s="3">
        <f>722.4+(679.6-297.7)+(-1.473696+(-1.386384--0.607308))+0-171.6--0.350063999999992</f>
        <v>930.79729199999986</v>
      </c>
      <c r="Q224" s="3">
        <f>720.7+(656.7-259.1)+(-0.367557+(-0.334917--0.132141))+0-171.3--0.0873629999999826</f>
        <v>946.51703000000032</v>
      </c>
      <c r="R224" s="3">
        <f>709.9+(614.6-214.1)+(-0.724098+(-0.626892--0.218382))+0-165.5--0.168810000000026</f>
        <v>943.93620200000021</v>
      </c>
      <c r="S224" s="3">
        <f>712.5+(571.6-162.1)+(-1.4535+(-1.166064--0.330684))+0-169.7--0.346187999999993</f>
        <v>950.35730799999988</v>
      </c>
      <c r="T224" s="3">
        <f>711.4+(555.1-156.6)+(0+(0-0))+0-166.3-0</f>
        <v>943.60000000000014</v>
      </c>
      <c r="U224" s="3">
        <f>709.2+(589-198)+(-1.446768+(-1.20156--0.40392))+0-166.8--0.340271999999993</f>
        <v>931.4958640000001</v>
      </c>
      <c r="V224" s="3">
        <f>701.5+(661.5-263)+(-1.073295+(-1.012095--0.40239))+0-165.3--0.25290900000001</f>
        <v>933.2699090000001</v>
      </c>
      <c r="W224" s="3">
        <f>700.2+(691.4-194.5)+(0+(0-0))+0-169.6-0</f>
        <v>1027.5</v>
      </c>
      <c r="X224" s="3">
        <f>698.9+(655.5-143.6)+(-1.069317+(-1.002915--0.219708))+0-166--0.25398000000001</f>
        <v>1043.201456</v>
      </c>
      <c r="Y224" s="3">
        <f>702+(627.7-139.1)+(-1.7901+(-1.600635--0.354705))+0-164.1--0.418454999999976</f>
        <v>1023.8824249999999</v>
      </c>
      <c r="Z224" s="3">
        <f>716.1+(584.1-134.9)+(-1.460844+(-1.191564--0.275196))+0-166.5--0.339659999999993</f>
        <v>996.76244800000006</v>
      </c>
      <c r="AA224" s="3">
        <f>720.9+(538.3-113.6)+(-1.102977+(-0.823599--0.173808))+0-172--0.26316000000001</f>
        <v>972.11039199999982</v>
      </c>
      <c r="AB224" s="3">
        <f>723.5+(456.6-82.8)+(-1.844925+(-1.16433--0.21114))+0-170.2--0.434009999999975</f>
        <v>924.7358949999998</v>
      </c>
      <c r="AC224" s="3">
        <f>720.9+(387.7-66.7)+(-2.205954+(-1.186362--0.204102))+0-172.2--0.52693200000002</f>
        <v>867.03871800000002</v>
      </c>
      <c r="AD224">
        <f t="shared" si="3"/>
        <v>21445.373803000006</v>
      </c>
      <c r="AE224" s="3">
        <f>700+(645.8-146.3)+(0+(0-0))+0-168.8-0</f>
        <v>1030.7</v>
      </c>
    </row>
    <row r="225" spans="1:31" s="2" customFormat="1" x14ac:dyDescent="0.25">
      <c r="A225">
        <v>89</v>
      </c>
      <c r="B225">
        <v>8</v>
      </c>
      <c r="C225">
        <v>9</v>
      </c>
      <c r="D225">
        <v>2</v>
      </c>
      <c r="E225">
        <v>1</v>
      </c>
      <c r="F225" s="3">
        <f>725.4+(327.6-61.7)+(-1.109862+(-0.501228--0.094401))+0-170.4--0.26071200000001</f>
        <v>819.64402299999995</v>
      </c>
      <c r="G225" s="3">
        <f>728.9+(330.3-84.9)+(-0.743478+(-0.336906--0.086598))+0-169.5--0.172890000000027</f>
        <v>803.97910400000001</v>
      </c>
      <c r="H225" s="3">
        <f>730.4+(289.5-66.2)+(-1.490016+(-0.59058--0.135048))+0-166.6--0.339863999999993</f>
        <v>785.49431600000003</v>
      </c>
      <c r="I225" s="3">
        <f>732.3+(297.2-83.5)+(-1.120419+(-0.454716--0.127755))+0-166.5--0.25474500000001</f>
        <v>778.307365</v>
      </c>
      <c r="J225" s="3">
        <f>736+(315.5-112)+(0+(0-0))+0-160.8-0</f>
        <v>778.7</v>
      </c>
      <c r="K225" s="3">
        <f>744.1+(372.8-173.8)+(0+(0-0))+0-157.9-0</f>
        <v>785.2</v>
      </c>
      <c r="L225" s="3">
        <f>738.4+(438.8-227.5)+(-0.753168+(-0.447576--0.23205))+0-158.2--0.161364000000025</f>
        <v>790.69267000000013</v>
      </c>
      <c r="M225" s="3">
        <f>739.1+(540-276.3)+(0+(0-0))+0-165.1-0</f>
        <v>837.69999999999993</v>
      </c>
      <c r="N225" s="3">
        <f>728.7+(659.7-336.8)+(-0.743274+(-0.672894--0.343536))+0-164.2--0.167484000000026</f>
        <v>886.49485200000004</v>
      </c>
      <c r="O225" s="3">
        <f>728.7+(690-332)+(-0.371637+(-0.3519--0.16932))+0-165.5--0.0844049999999832</f>
        <v>920.73018799999988</v>
      </c>
      <c r="P225" s="3">
        <f>722+(676.3-292.3)+(-0.73644+(-0.689826--0.298146))+0-162.5--0.165750000000026</f>
        <v>942.53762999999992</v>
      </c>
      <c r="Q225" s="3">
        <f>712.8+(661-251.4)+(-1.454112+(-1.34844--0.512856))+0-164.4--0.335375999999993</f>
        <v>956.04568000000006</v>
      </c>
      <c r="R225" s="3">
        <f>708.2+(596.8-170.5)+(-0.361182+(-0.304368--0.086955))+0-164.9--0.0840989999999833</f>
        <v>969.10550400000011</v>
      </c>
      <c r="S225" s="3">
        <f>705.5+(556.6-133.6)+(-0.71961+(-0.567732--0.136272))+0-167.6--0.170952000000027</f>
        <v>959.91988200000014</v>
      </c>
      <c r="T225" s="3">
        <f>717.6+(557.6-161.1)+(-0.365976+(-0.284376--0.082161))+0-166.3--0.0848129999999831</f>
        <v>947.31662199999982</v>
      </c>
      <c r="U225" s="3">
        <f>759.4+(531-189.9)+(-1.93647+(-1.35405--0.484245))+0-162.5--0.414374999999976</f>
        <v>935.60810000000004</v>
      </c>
      <c r="V225" s="3">
        <f>809.9+(568.9-259.8)+(0+(0-0))+0-168.2-0</f>
        <v>950.8</v>
      </c>
      <c r="W225" s="3">
        <f>823.9+(625.5-226.3)+(-0.840378+(-0.63801--0.230826))+0-172.6--0.176052000000028</f>
        <v>1049.42849</v>
      </c>
      <c r="X225" s="3">
        <f>877.9+(574-216.2)+(-1.790916+(-1.17096--0.441048))+0-173.1--0.353123999999992</f>
        <v>1060.4322960000002</v>
      </c>
      <c r="Y225" s="3">
        <f>889.9+(538.4-211.6)+(-1.815396+(-1.098336--0.431664))+0-172.1--0.351083999999992</f>
        <v>1042.4690159999998</v>
      </c>
      <c r="Z225" s="3">
        <f>884.2+(504.1-200.1)+(-0.901884+(-0.514182--0.204102))+0-175.9--0.179418000000028</f>
        <v>1011.267454</v>
      </c>
      <c r="AA225" s="3">
        <f>892.5+(480-211.3)+(-1.365525+(-0.7344--0.323289))+0-177.4--0.27142200000001</f>
        <v>982.29478600000004</v>
      </c>
      <c r="AB225" s="3">
        <f>902.5+(409.1-197.7)+(-1.8411+(-0.834564--0.403308))+0-178.4--0.363935999999992</f>
        <v>933.59158000000014</v>
      </c>
      <c r="AC225" s="3">
        <f>904.1+(385.4-239.4)+(-1.844364+(-0.786216--0.488376))+0-174.7--0.356387999999992</f>
        <v>873.61418399999991</v>
      </c>
      <c r="AD225">
        <f t="shared" si="3"/>
        <v>21801.373741999996</v>
      </c>
      <c r="AE225" s="3">
        <f>870+(585.8-232.5)+(0+(0-0))+0-166.1-0</f>
        <v>1057.2</v>
      </c>
    </row>
    <row r="226" spans="1:31" s="2" customFormat="1" x14ac:dyDescent="0.25">
      <c r="A226">
        <v>89</v>
      </c>
      <c r="B226">
        <v>8</v>
      </c>
      <c r="C226">
        <v>10</v>
      </c>
      <c r="D226">
        <v>3</v>
      </c>
      <c r="E226">
        <v>1</v>
      </c>
      <c r="F226" s="3">
        <f>909.3+(380.6-281.6)+(-0.463743+(-0.194106--0.143616))+0-172.2--0.0878219999999825</f>
        <v>835.67358899999999</v>
      </c>
      <c r="G226" s="3">
        <f>868.9+(323.3-208.2)+(-2.215695+(-0.824415--0.53091))+0-169.9--0.433244999999975</f>
        <v>812.024045</v>
      </c>
      <c r="H226" s="3">
        <f>829.5+(307.9-163.9)+(-0.84609+(-0.314058--0.167178))+0-166--0.169320000000026</f>
        <v>806.67634999999996</v>
      </c>
      <c r="I226" s="3">
        <f>835.9+(310.6-201.1)+(0.852618+(0.316812-0.205122))+0-161.8-0.165036000000026</f>
        <v>784.399272</v>
      </c>
      <c r="J226" s="3">
        <f>849.5+(344.4-240)+(-1.73298+(-0.702576--0.4896))+0-164.9--0.336395999999993</f>
        <v>787.39044000000001</v>
      </c>
      <c r="K226" s="3">
        <f>864.8+(399.6-303.8)+(1.323144+(0.611388-0.464814))+0-166.6-0.25489800000001</f>
        <v>795.2148199999998</v>
      </c>
      <c r="L226" s="3">
        <f>863.4+(472.3-365.1)+(-1.321002+(-0.722619--0.558603))+0-167.1--0.25566300000001</f>
        <v>802.27064499999994</v>
      </c>
      <c r="M226" s="3">
        <f>854.1+(555.3-401.7)+(0+(0-0))+0-169-0</f>
        <v>838.7</v>
      </c>
      <c r="N226" s="3">
        <f>797.4+(629.4-363.7)+(-0.813348+(-0.641988--0.370974))+0-167--0.170340000000027</f>
        <v>895.18597799999986</v>
      </c>
      <c r="O226" s="3">
        <f>794.5+(676.5-366)+(-2.025975+(-1.725075--0.9333))+0-162.3--0.413864999999977</f>
        <v>940.2961150000001</v>
      </c>
      <c r="P226" s="3">
        <f>824.1+(649.7-363.3)+(-1.260873+(-0.994041--0.555849))+0-159.3--0.243729000000009</f>
        <v>949.74466400000006</v>
      </c>
      <c r="Q226" s="3">
        <f>840.8+(614.9-337.2)+(0+(0-0))+0-158.8-0</f>
        <v>959.7</v>
      </c>
      <c r="R226" s="3">
        <f>828.4+(559.7-272.3)+(-2.957388+(-1.998129--0.972111))+0-154.8--0.552636000000002</f>
        <v>957.56922999999995</v>
      </c>
      <c r="S226" s="3">
        <f>830+(454-171.5)+(0+(0-0))+0-155.3-0</f>
        <v>957.2</v>
      </c>
      <c r="T226" s="3">
        <f>876.5+(426.3-206.5)+(-1.341045+(-0.652239--0.315945))+0-152.4--0.233172000000009</f>
        <v>942.45583299999987</v>
      </c>
      <c r="U226" s="3">
        <f>883.9+(424.5-221.6)+(-2.704734+(-1.29897--0.678096))+0-154.2--0.471852000000018</f>
        <v>929.74624399999982</v>
      </c>
      <c r="V226" s="3">
        <f>887+(480.8-258.8)+(0+(0-0))+0-158.6-0</f>
        <v>950.4</v>
      </c>
      <c r="W226" s="3">
        <f>883.8+(606.7-272.8)+(0.450738+(0.309417-0.139128))+0-163.6-0.0834359999999834</f>
        <v>1054.6375910000002</v>
      </c>
      <c r="X226" s="3">
        <f>890.4+(611.6-254.7)+(-1.816416+(-1.247664--0.519588))+0-166.3--0.339251999999993</f>
        <v>1078.79476</v>
      </c>
      <c r="Y226" s="3">
        <f>900+(578.7-256.5)+(-2.295+(-1.475685--0.654075))+0-154.5--0.393974999999978</f>
        <v>1064.977365</v>
      </c>
      <c r="Z226" s="3">
        <f>904.2+(534.9-258.2)+(0+(0-0))+0-152.1-0</f>
        <v>1028.8000000000002</v>
      </c>
      <c r="AA226" s="3">
        <f>906.1+(500.2-254.6)+(-0.924222+(-0.510204--0.259692))+0-152.5--0.155550000000024</f>
        <v>998.18081600000016</v>
      </c>
      <c r="AB226" s="3">
        <f>910+(440.2-254.9)+(-2.3205+(-1.12251--0.649995))+0-147.7--0.376634999999979</f>
        <v>945.18361999999991</v>
      </c>
      <c r="AC226" s="3">
        <f>916.9+(365.7-246.5)+(-0.467619+(-0.186507--0.125715))+0-148.6--0.0757859999999849</f>
        <v>887.04737499999987</v>
      </c>
      <c r="AD226">
        <f t="shared" si="3"/>
        <v>22002.268751999996</v>
      </c>
      <c r="AE226" s="3">
        <f>885+(611.4-257.3)+(0+(0-0))+0-159.4-0</f>
        <v>1079.6999999999998</v>
      </c>
    </row>
    <row r="227" spans="1:31" s="2" customFormat="1" x14ac:dyDescent="0.25">
      <c r="A227">
        <v>89</v>
      </c>
      <c r="B227">
        <v>8</v>
      </c>
      <c r="C227">
        <v>11</v>
      </c>
      <c r="D227">
        <v>4</v>
      </c>
      <c r="E227">
        <v>1</v>
      </c>
      <c r="F227" s="3">
        <f>917.6+(365.7-285.3)+(0.467976+(0.186507-0.145503))+0-149.1-0.0760409999999849</f>
        <v>849.3329389999999</v>
      </c>
      <c r="G227" s="3">
        <f>885.3+(358.2-277.1)+(-1.354509+(-0.548046--0.423963))+0-146.1--0.223533000000008</f>
        <v>819.04494099999977</v>
      </c>
      <c r="H227" s="3">
        <f>857.8+(323.6-231.3)+(-1.312434+(-0.495108--0.353889))+0-140.9--0.215577000000008</f>
        <v>807.96192399999995</v>
      </c>
      <c r="I227" s="3">
        <f>860.8+(337.1-248)+(0.878016+(0.343842-0.25296))+0-143.1-0.145962000000023</f>
        <v>807.62293599999987</v>
      </c>
      <c r="J227" s="3">
        <f>864.5+(286.6-205)+(0.440895+(0.146166-0.10455))+0-143.8-0.0733379999999854</f>
        <v>802.70917300000008</v>
      </c>
      <c r="K227" s="3">
        <f>862.7+(394.6-312.4)+(0+(0-0))+0-136.5-0</f>
        <v>808.40000000000009</v>
      </c>
      <c r="L227" s="3">
        <f>864.1+(470.7-383.7)+(0.440691+(0.240057-0.195687))+0-134.4-0.0685439999999864</f>
        <v>817.11651700000004</v>
      </c>
      <c r="M227" s="3">
        <f>860.3+(515.6-375.6)+(-0.438753+(-0.262956--0.191556))+0-140.5--0.0716549999999857</f>
        <v>859.36150199999997</v>
      </c>
      <c r="N227" s="3">
        <f>846+(545.9-352.3)+(-1.29438+(-0.835227--0.539019))+0-140.2--0.214506000000008</f>
        <v>898.02391799999987</v>
      </c>
      <c r="O227" s="3">
        <f>915+(527.5-373.2)+(-0.9333+(-0.53805--0.380664))+0-139.7--0.142494000000022</f>
        <v>928.65180799999996</v>
      </c>
      <c r="P227" s="3">
        <f>942+(499.6-347.6)+(0+(0-0))+0-137.3-0</f>
        <v>956.7</v>
      </c>
      <c r="Q227" s="3">
        <f>836+(476.2-196.8)+(-1.70544+(-0.971448--0.401472))+0-135.6--0.276623999999994</f>
        <v>977.80120800000009</v>
      </c>
      <c r="R227" s="3">
        <f>800.7+(438.7-124.1)+(0.816714+(0.447474-0.126582))+0-138.7-0.141474000000022</f>
        <v>977.59613200000013</v>
      </c>
      <c r="S227" s="3">
        <f>897.2+(384.6-154.9)+(-1.830288+(-0.784584--0.315996))+0-144.2--0.294167999999994</f>
        <v>980.69529199999999</v>
      </c>
      <c r="T227" s="3">
        <f>924.6+(358.5-163.5)+(-0.943092+(-0.36567--0.16677))+0-149.8--0.152796000000024</f>
        <v>968.81080399999996</v>
      </c>
      <c r="U227" s="3">
        <f>931.9+(374.1-206.1)+(-2.376345+(-0.953955--0.525555))+0-146.9--0.374594999999979</f>
        <v>950.5698500000002</v>
      </c>
      <c r="V227" s="3">
        <f>946+(466.3-291.4)+(1.44738+(0.713439-0.445842))+0-148.6-0.227358000000009</f>
        <v>973.78761900000018</v>
      </c>
      <c r="W227" s="3">
        <f>954+(533.9-283.8)+(-1.45962+(-0.816867--0.434214))+0-151.1--0.231183000000009</f>
        <v>1051.3889100000001</v>
      </c>
      <c r="X227" s="3">
        <f>981+(524.2-260.1)+(-2.50155+(-1.33671--0.663255))+0-167--0.425849999999976</f>
        <v>1075.3508449999999</v>
      </c>
      <c r="Y227" s="3">
        <f>986.1+(510.6-282.2)+(-1.005822+(-0.520812--0.287844))+0-171.9--0.175338000000027</f>
        <v>1041.5365479999998</v>
      </c>
      <c r="Z227" s="3">
        <f>978.8+(482.4-245.1)+(-0.499188+(-0.246024--0.125001))+0-173.3--0.0883829999999824</f>
        <v>1042.268172</v>
      </c>
      <c r="AA227" s="3">
        <f>977.2+(451-251.5)+(-1.495116+(-0.69003--0.384795))+0-174.7--0.26729100000001</f>
        <v>1000.4669399999999</v>
      </c>
      <c r="AB227" s="3">
        <f>982.1+(419.1-280.4)+(-1.001742+(-0.427482--0.286008))+0-166.8--0.170136000000027</f>
        <v>953.02692000000036</v>
      </c>
      <c r="AC227" s="3">
        <f>987.2+(342.8-262.9)+(-1.006944+(-0.349656--0.268158))+0-167--0.170340000000027</f>
        <v>899.18189800000016</v>
      </c>
      <c r="AD227">
        <f t="shared" si="3"/>
        <v>22247.406795999999</v>
      </c>
      <c r="AE227" s="3">
        <f>971+(533.9-269)+(0+(0-0))+0-162.4-0</f>
        <v>1073.5</v>
      </c>
    </row>
    <row r="228" spans="1:31" s="2" customFormat="1" x14ac:dyDescent="0.25">
      <c r="A228">
        <v>89</v>
      </c>
      <c r="B228">
        <v>8</v>
      </c>
      <c r="C228">
        <v>12</v>
      </c>
      <c r="D228">
        <v>5</v>
      </c>
      <c r="E228">
        <v>1</v>
      </c>
      <c r="F228" s="3">
        <f>993+(323-299.1)+(-0.50643+(-0.16473--0.152541))+0-164.1--0.0836909999999833</f>
        <v>852.36507199999994</v>
      </c>
      <c r="G228" s="3">
        <f>990.9+(346.3-350.1)+(-2.526795+(-0.883065--0.892755))+0-158.5--0.404174999999977</f>
        <v>826.4870699999999</v>
      </c>
      <c r="H228" s="3">
        <f>999.8+(389.1-418.7)+(-1.019796+(-0.396882--0.427074))+0-162.9--0.166158000000026</f>
        <v>806.47655400000008</v>
      </c>
      <c r="I228" s="3">
        <f>1014.5+(303-363.8)+(0+(0-0))+0-162.1-0</f>
        <v>791.6</v>
      </c>
      <c r="J228" s="3">
        <f>1017.3+(251.2-316.8)+(-2.075292+(-0.512448--0.646272))+0-162--0.330479999999993</f>
        <v>788.08901199999991</v>
      </c>
      <c r="K228" s="3">
        <f>1017.8+(323.8-380.6)+(-1.038156+(-0.330276--0.388212))+0-161.1--0.164322000000026</f>
        <v>799.08410199999992</v>
      </c>
      <c r="L228" s="3">
        <f>1023.7+(394.5-442.7)+(1.044174+(0.40239-0.451554))+0-159.8-0.162996000000025</f>
        <v>816.53201399999989</v>
      </c>
      <c r="M228" s="3">
        <f>1029.9+(496.5-492.4)+(-0.525249+(-0.253215--0.251124))+0-163.8--0.0835379999999834</f>
        <v>869.75619799999993</v>
      </c>
      <c r="N228" s="3">
        <f>999.8+(594.6-506.3)+(-1.019796+(-0.606492--0.516426))+0-174.5--0.177990000000028</f>
        <v>912.66812799999991</v>
      </c>
      <c r="O228" s="3">
        <f>1005.1+(605.3-494.6)+(-0.512601+(-0.308703--0.252246))+0-171.4--0.0874139999999826</f>
        <v>943.9183559999999</v>
      </c>
      <c r="P228" s="3">
        <f>1004.4+(606.5-466.9)+(-2.048976+(-1.23726--0.952476))+0-168.1--0.342923999999993</f>
        <v>973.90916400000003</v>
      </c>
      <c r="Q228" s="3">
        <f>1002.3+(586-441.3)+(1.022346+(0.59772-0.450126))+0-159.6-0.162792000000025</f>
        <v>988.40714799999989</v>
      </c>
      <c r="R228" s="3">
        <f>987+(540-384.4)+(-1.00674+(-0.5508--0.392088))+0-157.9--0.161058000000025</f>
        <v>983.695606</v>
      </c>
      <c r="S228" s="3">
        <f>979.9+(496.8-339.8)+(0.999498+(0.506736-0.346596))+0-158.6-0.161772000000025</f>
        <v>979.29786600000011</v>
      </c>
      <c r="T228" s="3">
        <f>976.2+(525.2-370.2)+(0.995724+(0.535704-0.377604))+0-168-0.171360000000027</f>
        <v>964.18246399999998</v>
      </c>
      <c r="U228" s="3">
        <f>973.8+(579.9-446.5)+(0.993276+(0.591498-0.45543))+0-162.8-0.166056000000026</f>
        <v>945.36328799999978</v>
      </c>
      <c r="V228" s="3">
        <f>976.3+(646.4-501.1)+(0+(0-0))+0-165.9-0</f>
        <v>955.69999999999993</v>
      </c>
      <c r="W228" s="3">
        <f>985.8+(670.1-453.2)+(-1.005516+(-0.683502--0.462264))+0-165.4--0.168708000000026</f>
        <v>1036.2419539999999</v>
      </c>
      <c r="X228" s="3">
        <f>986+(636.7-433.1)+(-1.50858+(-0.974151--0.662643))+0-159.7--0.244341000000009</f>
        <v>1028.324253</v>
      </c>
      <c r="Y228" s="3">
        <f>994+(616.2-436.8)+(-2.5347+(-1.57131--1.11384))+0-161.2--0.411059999999977</f>
        <v>1009.6188900000001</v>
      </c>
      <c r="Z228" s="3">
        <f>997+(547-394)+(-2.54235+(-1.39485--1.0047))+0-176.7--0.450584999999974</f>
        <v>970.818085</v>
      </c>
      <c r="AA228" s="3">
        <f>995+(484-363)+(-3.0447+(-1.48104--1.11078))+0-179.4--0.548964000000021</f>
        <v>933.73400400000003</v>
      </c>
      <c r="AB228" s="3">
        <f>995+(435-358.6)+(-1.0149+(-0.4437--0.365772))+0-165.4--0.168708000000026</f>
        <v>905.0758800000001</v>
      </c>
      <c r="AC228" s="3">
        <f>998+(360.4-347.4)+(-1.52694+(-0.551412--0.531522))+0-165.1--0.25260300000001</f>
        <v>844.605773</v>
      </c>
      <c r="AD228">
        <f t="shared" si="3"/>
        <v>21925.950881000001</v>
      </c>
      <c r="AE228" s="3">
        <f>996+(636.7-441.6)+(0+(0-0))+0-161.6-0</f>
        <v>1029.5</v>
      </c>
    </row>
    <row r="229" spans="1:31" s="2" customFormat="1" x14ac:dyDescent="0.25">
      <c r="A229">
        <v>89</v>
      </c>
      <c r="B229">
        <v>8</v>
      </c>
      <c r="C229">
        <v>13</v>
      </c>
      <c r="D229">
        <v>6</v>
      </c>
      <c r="E229">
        <v>1</v>
      </c>
      <c r="F229" s="3">
        <f>1014.5+(291.3-307)+(-0.517395+(-0.148563--0.15657))+0-162.9--0.0830789999999835</f>
        <v>835.47369100000003</v>
      </c>
      <c r="G229" s="3">
        <f>1015.3+(284.4-332.7)+(-1.035606+(-0.290088--0.339354))+0-157.7--0.160854000000025</f>
        <v>808.474514</v>
      </c>
      <c r="H229" s="3">
        <f>1020.7+(278.5-355)+(-0.520557+(-0.142035--0.18105))+0-157--0.0800699999999841</f>
        <v>786.79852800000003</v>
      </c>
      <c r="I229" s="3">
        <f>1022.9+(248.5-331.7)+(0+(0-0))+0-160.8-0</f>
        <v>778.90000000000009</v>
      </c>
      <c r="J229" s="3">
        <f>1014.3+(245-325.8)+(2.069172+(0.4998-0.664632))+0-161.1-0.328643999999993</f>
        <v>773.97569600000008</v>
      </c>
      <c r="K229" s="3">
        <f>1008.4+(375.5-447)+(-0.514284+(-0.191505--0.22797))+0-155.6--0.0793559999999842</f>
        <v>780.90153699999996</v>
      </c>
      <c r="L229" s="3">
        <f>1005.7+(419.3-481.4)+(-2.051628+(-0.855372--0.982056))+0-151.4--0.308855999999993</f>
        <v>790.58391200000017</v>
      </c>
      <c r="M229" s="3">
        <f>1005.6+(443.6-466.6)+(-1.025712+(-0.452472--0.475932))+0-147.5--0.150450000000024</f>
        <v>834.248198</v>
      </c>
      <c r="N229" s="3">
        <f>1007.5+(459.5-434.7)+(-0.513825+(-0.234345--0.221697))+0-146.6--0.0747659999999851</f>
        <v>885.24829299999999</v>
      </c>
      <c r="O229" s="3">
        <f>999.4+(435.3-368.7)+(-1.529082+(-0.666009--0.564111))+0-147.1--0.225063000000008</f>
        <v>917.49408300000005</v>
      </c>
      <c r="P229" s="3">
        <f>994.1+(377.3-307.3)+(0+(0-0))+0-135.1-0</f>
        <v>928.99999999999989</v>
      </c>
      <c r="Q229" s="3">
        <f>981+(407.5-318.2)+(0+(0-0))+0-131.9-0</f>
        <v>938.4</v>
      </c>
      <c r="R229" s="3">
        <f>979+(364.3-267.1)+(-1.49787+(-0.557379--0.408663))+0-133.5--0.204255000000008</f>
        <v>941.25766899999996</v>
      </c>
      <c r="S229" s="3">
        <f>969+(359.4-236)+(-1.97676+(-0.733176--0.48144))+0-148.7--0.303347999999994</f>
        <v>941.77485200000012</v>
      </c>
      <c r="T229" s="3">
        <f>939.3+(368.1-218.6)+(0.479043+(0.187731-0.111486))+0-158.1-0.080630999999984</f>
        <v>931.17465699999991</v>
      </c>
      <c r="U229" s="3">
        <f>937.2+(359.8-235.1)+(-2.38986+(-0.91749--0.599505))+0-156.3--0.398564999999977</f>
        <v>903.29072000000019</v>
      </c>
      <c r="V229" s="3">
        <f>957.7+(376.1-261.9)+(-1.465281+(-0.575433--0.400707))+0-156.7--0.239751000000009</f>
        <v>913.79974400000003</v>
      </c>
      <c r="W229" s="3">
        <f>962.8+(460.4-260.1)+(-0.982056+(-0.469608--0.265302))+0-159.5--0.162690000000025</f>
        <v>1002.576328</v>
      </c>
      <c r="X229" s="3">
        <f>974.7+(464.5-267.3)+(-1.988388+(-0.94758--0.545292))+0-160.3--0.327011999999993</f>
        <v>1009.5363360000001</v>
      </c>
      <c r="Y229" s="3">
        <f>980.4+(463.1-297.9)+(-2.50002+(-1.180905--0.759645))+0-154.2--0.393209999999978</f>
        <v>988.87192999999979</v>
      </c>
      <c r="Z229" s="3">
        <f>983.3+(446.4-300.5)+(-1.504449+(-0.682992--0.459765))+0-162.5--0.248625000000009</f>
        <v>965.22094899999991</v>
      </c>
      <c r="AA229" s="3">
        <f>983.9+(438.3-319.3)+(-0.501789+(-0.223533--0.162843))+0-160.4--0.0818039999999837</f>
        <v>942.01932500000021</v>
      </c>
      <c r="AB229" s="3">
        <f>980.3+(384.2-292.2)+(-1.999812+(-0.783768--0.596088))+0-158.1--0.322523999999993</f>
        <v>912.33503199999996</v>
      </c>
      <c r="AC229" s="3">
        <f>979.5+(351.2-296.4)+(-2.497725+(-0.89556--0.75582))+0-158.4--0.403919999999977</f>
        <v>873.66645499999993</v>
      </c>
      <c r="AD229">
        <f t="shared" si="3"/>
        <v>21385.022449</v>
      </c>
      <c r="AE229" s="3">
        <f>982+(457.2-258.4)+(0+(0-0))+0-158.7-0</f>
        <v>1022.0999999999999</v>
      </c>
    </row>
    <row r="230" spans="1:31" s="2" customFormat="1" x14ac:dyDescent="0.25">
      <c r="A230">
        <v>89</v>
      </c>
      <c r="B230">
        <v>8</v>
      </c>
      <c r="C230">
        <v>14</v>
      </c>
      <c r="D230">
        <v>7</v>
      </c>
      <c r="E230">
        <v>1</v>
      </c>
      <c r="F230" s="3">
        <f>980+(216.7-206.4)+(-0.9996+(-0.221034--0.210528))+0-159.3--0.162486000000025</f>
        <v>830.15238000000011</v>
      </c>
      <c r="G230" s="3">
        <f>991.8+(155.8-190)+(-0.505818+(-0.079458--0.0969))+0-156.4--0.0797639999999841</f>
        <v>800.79138799999987</v>
      </c>
      <c r="H230" s="3">
        <f>986.9+(147.7-193.2)+(-0.503319+(-0.075327--0.098532))+0-155.3--0.0792029999999843</f>
        <v>785.69908899999996</v>
      </c>
      <c r="I230" s="3">
        <f>985.8+(143-201.5)+(-1.005516+(-0.14586--0.20553))+0-149.4--0.152388000000024</f>
        <v>777.10654199999999</v>
      </c>
      <c r="J230" s="3">
        <f>979.7+(134.8-188.9)+(-1.498941+(-0.206244--0.289017))+0-151.8--0.232254000000009</f>
        <v>772.616086</v>
      </c>
      <c r="K230" s="3">
        <f>989.9+(126.1-185.2)+(1.009698+(0.128622-0.188904))+0-150.9-0.153918000000024</f>
        <v>780.69549800000004</v>
      </c>
      <c r="L230" s="3">
        <f>980.9+(132.3-190.8)+(-2.501295+(-0.337365--0.48654))+0-151.5--0.386324999999978</f>
        <v>768.93420499999991</v>
      </c>
      <c r="M230" s="3">
        <f>994.1+(151.5-196.5)+(0+(0-0))+0-156.5-0</f>
        <v>792.6</v>
      </c>
      <c r="N230" s="3">
        <f>1004+(186.3-195.1)+(-0.51204+(-0.095013--0.099501))+0-159.1--0.0811409999999839</f>
        <v>835.67358899999999</v>
      </c>
      <c r="O230" s="3">
        <f>992+(224.3-189.1)+(0.50592+(0.114393-0.096441))+0-156.9-0.0800189999999841</f>
        <v>870.74385300000006</v>
      </c>
      <c r="P230" s="3">
        <f>1000+(209.3-165.8)+(-1.02+(-0.213486--0.169116))+0-160.1--0.163302000000026</f>
        <v>882.49893199999997</v>
      </c>
      <c r="Q230" s="3">
        <f>992+(218.6-142.7)+(-2.5296+(-0.55743--0.363885))+0-164.4--0.419219999999976</f>
        <v>901.19607500000018</v>
      </c>
      <c r="R230" s="3">
        <f>992.2+(212.1-148.3)+(-1.012044+(-0.216342--0.151266))+0-157.4--0.160548000000025</f>
        <v>897.68342800000016</v>
      </c>
      <c r="S230" s="3">
        <f>988+(214.8-158.4)+(-1.51164+(-0.328644--0.242352))+0-155.8--0.238374000000009</f>
        <v>887.24044200000026</v>
      </c>
      <c r="T230" s="3">
        <f>989.1+(217.2-170.7)+(-1.008882+(-0.221544--0.174114))+0-156.5--0.159630000000025</f>
        <v>878.20331799999997</v>
      </c>
      <c r="U230" s="3">
        <f>981.2+(182.3-138.9)+(-1.501236+(-0.278919--0.212517))+0-154.1--0.235773000000009</f>
        <v>869.16813500000012</v>
      </c>
      <c r="V230" s="3">
        <f>977.4+(264-201.3)+(-0.996948+(-0.26928--0.205326))+0-157.9--0.161058000000025</f>
        <v>881.30015600000002</v>
      </c>
      <c r="W230" s="3">
        <f>983.7+(341.9-200.7)+(-0.501687+(-0.174369--0.102357))+0-161.8--0.0825179999999836</f>
        <v>962.60881900000004</v>
      </c>
      <c r="X230" s="3">
        <f>1013.2+(333.6-213.1)+(-1.033464+(-0.340272--0.217362))+0-161.8--0.165036000000026</f>
        <v>970.90866200000016</v>
      </c>
      <c r="Y230" s="3">
        <f>1021.9+(300.4-213.6)+(-1.042338+(-0.306408--0.217872))+0-160.1--0.163302000000026</f>
        <v>947.63242800000012</v>
      </c>
      <c r="Z230" s="3">
        <f>1028.3+(289.2-227.5)+(-1.573299+(-0.442476--0.348075))+0-163.1--0.249543000000009</f>
        <v>925.48184300000003</v>
      </c>
      <c r="AA230" s="3">
        <f>1025.5+(287.1-244.7)+(-1.04601+(-0.292842--0.249594))+0-162.6--0.165852000000026</f>
        <v>904.37659400000007</v>
      </c>
      <c r="AB230" s="3">
        <f>1025.3+(296.6-300.6)+(-0.522903+(-0.151266--0.153306))+0-155.1--0.0791009999999843</f>
        <v>865.75823800000001</v>
      </c>
      <c r="AC230" s="3">
        <f>1025.3+(215.2-263)+(-2.614515+(-0.54876--0.67065))+0-151--0.385049999999978</f>
        <v>824.392425</v>
      </c>
      <c r="AD230">
        <f t="shared" si="3"/>
        <v>20613.462124999998</v>
      </c>
      <c r="AE230" s="3">
        <f>1015+(341-218.9)+(0+(0-0))+0-161.6-0</f>
        <v>975.49999999999989</v>
      </c>
    </row>
    <row r="231" spans="1:31" s="2" customFormat="1" x14ac:dyDescent="0.25">
      <c r="A231">
        <v>89</v>
      </c>
      <c r="B231">
        <v>8</v>
      </c>
      <c r="C231">
        <v>15</v>
      </c>
      <c r="D231">
        <v>1</v>
      </c>
      <c r="E231">
        <v>1</v>
      </c>
      <c r="F231" s="3">
        <f>1001.9+(187.2-245.4)+(-2.554845+(-0.47736--0.62577))+0-151.8--0.387089999999978</f>
        <v>789.88065499999993</v>
      </c>
      <c r="G231" s="3">
        <f>1004.6+(177.3-270.8)+(-4.098768+(-0.723384--1.104864))+0-147.3--0.600983999999987</f>
        <v>760.68369599999994</v>
      </c>
      <c r="H231" s="3">
        <f>1009.9+(157.6-264.2)+(-2.060196+(-0.321504--0.538968))+0-149--0.303959999999994</f>
        <v>752.76122799999996</v>
      </c>
      <c r="I231" s="3">
        <f>1012.7+(183.5-295.2)+(1.032954+(0.18717-0.301104))+0-148.6-0.151572000000024</f>
        <v>753.16744800000004</v>
      </c>
      <c r="J231" s="3">
        <f>1012.3+(207.9-318.7)+(-0.516273+(-0.106029--0.162537))+0-148.2--0.075581999999985</f>
        <v>752.91581700000006</v>
      </c>
      <c r="K231" s="3">
        <f>1011.6+(275.9-374.2)+(-1.547748+(-0.422127--0.572526))+0-148.8--0.227664000000009</f>
        <v>763.33031499999993</v>
      </c>
      <c r="L231" s="3">
        <f>1015.1+(433.3-505)+(0+(0-0))+0-144.3-0</f>
        <v>799.10000000000014</v>
      </c>
      <c r="M231" s="3">
        <f>1016.3+(528.5-545.7)+(-0.518313+(-0.269535--0.278307))+0-149.1--0.0760409999999849</f>
        <v>849.56649999999991</v>
      </c>
      <c r="N231" s="3">
        <f>1016+(556.7-533.9)+(0.51816+(0.283917-0.272289))+0-149.6-0.0762959999999848</f>
        <v>889.65349200000026</v>
      </c>
      <c r="O231" s="3">
        <f>1012.3+(559.5-501.8)+(1.032546+(0.57069-0.511836))+0-154.8-0.157896000000025</f>
        <v>916.13350400000002</v>
      </c>
      <c r="P231" s="3">
        <f>998.8+(561.8-469.6)+(0+(0-0))+0-158.7-0</f>
        <v>932.3</v>
      </c>
      <c r="Q231" s="3">
        <f>985.9+(550.6-438.1)+(-1.508427+(-0.842418--0.670293))+0-156--0.238680000000009</f>
        <v>940.9581280000001</v>
      </c>
      <c r="R231" s="3">
        <f>982+(520.1-419.9)+(-3.50574+(-1.856757--1.499043))+0-156.9--0.560133000000002</f>
        <v>921.99667899999997</v>
      </c>
      <c r="S231" s="3">
        <f>980.5+(488.2-392.1)+(-0.500055+(-0.248982--0.199971))+0-155.1--0.0791009999999843</f>
        <v>921.03003499999988</v>
      </c>
      <c r="T231" s="3">
        <f>969.3+(507.7-406.6)+(-1.977372+(-1.035708--0.829464))+0-155.2--0.316607999999993</f>
        <v>913.33299199999976</v>
      </c>
      <c r="U231" s="3">
        <f>967.9+(523.5-438.5)+(0+(0-0))+0-149.9-0</f>
        <v>903.00000000000011</v>
      </c>
      <c r="V231" s="3">
        <f>968.4+(590.4-478.9)+(-0.493884+(-0.301104--0.244239))+0-156.3--0.0797129999999841</f>
        <v>923.12896400000011</v>
      </c>
      <c r="W231" s="3">
        <f>975+(589-396.3)+(-0.49725+(-0.30039--0.202113))+0-160.2--0.0817019999999837</f>
        <v>1006.986175</v>
      </c>
      <c r="X231" s="3">
        <f>1001.2+(570.4-404.4)+(-2.55306+(-1.45452--1.03122))+0-159.1--0.405704999999977</f>
        <v>1005.5293450000001</v>
      </c>
      <c r="Y231" s="3">
        <f>1005.5+(550.5-413.1)+(-3.07683+(-1.68453--1.264086))+0-153.3--0.469098000000018</f>
        <v>986.57182400000011</v>
      </c>
      <c r="Z231" s="3">
        <f>1009.2+(513.8-405.6)+(-1.544076+(-0.786114--0.620568))+0-162.4--0.248472000000009</f>
        <v>953.53885000000002</v>
      </c>
      <c r="AA231" s="3">
        <f>1009.9+(506.2-419.9)+(-1.545147+(-0.774486--0.642447))+0-166--0.25398000000001</f>
        <v>928.77679400000011</v>
      </c>
      <c r="AB231" s="3">
        <f>1016.3+(489-466.8)+(-1.554939+(-0.74817--0.714204))+0-157.9--0.241587000000009</f>
        <v>879.25268199999994</v>
      </c>
      <c r="AC231" s="3">
        <f>1019.9+(502.1-526.6)+(-2.080596+(-1.024284--1.074264))+0-167--0.340679999999993</f>
        <v>826.71006399999999</v>
      </c>
      <c r="AD231">
        <f t="shared" si="3"/>
        <v>21070.305186999998</v>
      </c>
      <c r="AE231" s="3">
        <f>1004+(593.9-406.3)+(0+(0-0))+0-156.8-0</f>
        <v>1034.8</v>
      </c>
    </row>
    <row r="232" spans="1:31" s="2" customFormat="1" x14ac:dyDescent="0.25">
      <c r="A232">
        <v>89</v>
      </c>
      <c r="B232">
        <v>8</v>
      </c>
      <c r="C232">
        <v>16</v>
      </c>
      <c r="D232">
        <v>2</v>
      </c>
      <c r="E232">
        <v>1</v>
      </c>
      <c r="F232" s="3">
        <f>1024.6+(486.8-551.6)+(-1.045092+(-0.496536--0.562632))+0-166--0.169320000000026</f>
        <v>792.99032399999987</v>
      </c>
      <c r="G232" s="3">
        <f>1023.8+(403.4-491.5)+(-0.522138+(-0.205734--0.250665))+0-167.6--0.085475999999983</f>
        <v>767.70826899999986</v>
      </c>
      <c r="H232" s="3">
        <f>1021.3+(349.4-449.4)+(-1.562589+(-0.534582--0.687582))+0-167--0.25551000000001</f>
        <v>753.14592099999993</v>
      </c>
      <c r="I232" s="3">
        <f>1025.9+(339.3-450.3)+(-1.046418+(-0.346086--0.459306))+0-163--0.166260000000026</f>
        <v>751.13306200000022</v>
      </c>
      <c r="J232" s="3">
        <f>1004.2+(372.8-459.3)+(1.024284+(0.380256-0.468486))+0-162.7-0.165954000000026</f>
        <v>755.77009999999996</v>
      </c>
      <c r="K232" s="3">
        <f>975.5+(410.1-449.7)+(2.487525+(1.045755-1.146735))+0-167-0.425849999999976</f>
        <v>770.86069500000008</v>
      </c>
      <c r="L232" s="3">
        <f>979.2+(473.8-493.1)+(-1.498176+(-0.724914--0.754443))+0-164.6--0.25183800000001</f>
        <v>794.08319100000006</v>
      </c>
      <c r="M232" s="3">
        <f>988.1+(495.1-451.2)+(-2.519655+(-1.262505--1.15056))+0-170.5--0.434774999999975</f>
        <v>859.30317500000001</v>
      </c>
      <c r="N232" s="3">
        <f>991.7+(533-431.8)+(1.517301+(0.81549-0.660654))+0-171-0.26163000000001</f>
        <v>923.31050700000014</v>
      </c>
      <c r="O232" s="3">
        <f>988.7+(578.2-478)+(-1.512711+(-0.884646--0.73134))+0-170.1--0.26025300000001</f>
        <v>917.39423600000009</v>
      </c>
      <c r="P232" s="3">
        <f>987.4+(580.4-489.3)+(-0.503574+(-0.296004--0.249543))+0-150.3--0.0766529999999848</f>
        <v>927.72661800000003</v>
      </c>
      <c r="Q232" s="3">
        <f>978.7+(575.7-473.7)+(-0.499137+(-0.293607--0.241587))+0-147.2--0.0750719999999851</f>
        <v>933.02391499999987</v>
      </c>
      <c r="R232" s="3">
        <f>962.8+(563.5-454.8)+(-1.964112+(-1.14954--0.927792))+0-154.1--0.314363999999993</f>
        <v>915.52850399999988</v>
      </c>
      <c r="S232" s="3">
        <f>949.3+(559.8-432.6)+(0+(0-0))+0-163.7-0</f>
        <v>912.8</v>
      </c>
      <c r="T232" s="3">
        <f>954.6+(567.1-455.3)+(0.973692+(0.578442-0.464406))+0-164.2-0.167484000000026</f>
        <v>903.12024399999996</v>
      </c>
      <c r="U232" s="3">
        <f>960.9+(558.9-458.8)+(-0.980118+(-0.570078--0.467976))+0-162.5--0.165750000000026</f>
        <v>897.58353</v>
      </c>
      <c r="V232" s="3">
        <f>966.4+(599.7-471.3)+(-0.492864+(-0.305847--0.240363))+0-160.3--0.0817529999999837</f>
        <v>934.02340499999991</v>
      </c>
      <c r="W232" s="3">
        <f>970.3+(592.9-386.7)+(-0.494853+(-0.302379--0.197217))+0-163.6--0.0834359999999834</f>
        <v>1012.383421</v>
      </c>
      <c r="X232" s="3">
        <f>986+(571.4-378.7)+(-0.50286+(-0.291414--0.193137))+0-163.8--0.0835379999999834</f>
        <v>1014.382401</v>
      </c>
      <c r="Y232" s="3">
        <f>989.8+(564.1-402.5)+(-2.52399+(-1.438455--1.026375))+0-165.8--0.422789999999976</f>
        <v>983.08672000000013</v>
      </c>
      <c r="Z232" s="3">
        <f>989.5+(551.3-424.6)+(-2.523225+(-1.405815--1.08273))+0-170--0.433499999999975</f>
        <v>943.7871899999999</v>
      </c>
      <c r="AA232" s="3">
        <f>991.3+(538.8-440.5)+(-1.011126+(-0.549576--0.44931))+0-163.7--0.166974000000026</f>
        <v>924.95558199999982</v>
      </c>
      <c r="AB232" s="3">
        <f>1000.8+(500.9-459.8)+(-1.020816+(-0.510918--0.468996))+0-157.8--0.160956000000025</f>
        <v>883.19821799999988</v>
      </c>
      <c r="AC232" s="3">
        <f>996.7+(479.5-477)+(-2.541585+(-1.222725--1.21635))+0-162.7--0.414884999999976</f>
        <v>834.36692500000015</v>
      </c>
      <c r="AD232">
        <f t="shared" si="3"/>
        <v>21105.666152999995</v>
      </c>
      <c r="AE232" s="3">
        <f>976+(589.5-375.9)+(0+(0-0))+0-162-0</f>
        <v>1027.5999999999999</v>
      </c>
    </row>
    <row r="233" spans="1:31" s="2" customFormat="1" x14ac:dyDescent="0.25">
      <c r="A233">
        <v>89</v>
      </c>
      <c r="B233">
        <v>8</v>
      </c>
      <c r="C233">
        <v>17</v>
      </c>
      <c r="D233">
        <v>3</v>
      </c>
      <c r="E233">
        <v>1</v>
      </c>
      <c r="F233" s="3">
        <f>986+(454.7-483.5)+(-1.50858+(-0.695691--0.739755))+0-163.8--0.25061400000001</f>
        <v>792.18609800000013</v>
      </c>
      <c r="G233" s="3">
        <f>987.6+(401.9-453.2)+(-2.014704+(-0.819876--0.924528))+0-164.4--0.335375999999993</f>
        <v>770.32532400000002</v>
      </c>
      <c r="H233" s="3">
        <f>992.2+(393.1-467.2)+(-1.518066+(-0.601443--0.714816))+0-160--0.244800000000009</f>
        <v>756.94010700000024</v>
      </c>
      <c r="I233" s="3">
        <f>1000.5+(406.7-495.6)+(-0.510255+(-0.207417--0.252756))+0-159--0.0810899999999839</f>
        <v>752.21617399999991</v>
      </c>
      <c r="J233" s="3">
        <f>998.3+(419.2-510)+(-0.509133+(-0.213792--0.2601))+0-157.9--0.080528999999984</f>
        <v>749.21770400000003</v>
      </c>
      <c r="K233" s="3">
        <f>997.3+(432.7-520.6)+(0+(0-0))+0-154.2-0</f>
        <v>755.19999999999982</v>
      </c>
      <c r="L233" s="3">
        <f>997.1+(512.9-570.6)+(-1.017042+(-0.523158--0.582012))+0-151.7--0.154734000000024</f>
        <v>786.89654600000006</v>
      </c>
      <c r="M233" s="3">
        <f>989.3+(582.6-569.2)+(-1.513629+(-0.891378--0.870876))+0-157.2--0.240516000000009</f>
        <v>844.20638499999984</v>
      </c>
      <c r="N233" s="3">
        <f>941.1+(646.4-560.9)+(-0.959922+(-0.659328--0.572118))+0-149.6--0.152592000000024</f>
        <v>876.10545999999999</v>
      </c>
      <c r="O233" s="3">
        <f>829.1+(739.8-531.2)+(0+(0-0))+0-139.7-0</f>
        <v>897.99999999999977</v>
      </c>
      <c r="P233" s="3">
        <f>841.8+(699.6-493.3)+(0+(0-0))+0-134.7-0</f>
        <v>913.39999999999986</v>
      </c>
      <c r="Q233" s="3">
        <f>855+(670.5-462.3)+(-1.30815+(-1.025865--0.707319))+0-133.6--0.204408000000008</f>
        <v>928.17771200000004</v>
      </c>
      <c r="R233" s="3">
        <f>860.5+(608.9-419.2)+(-2.194275+(-1.552695--1.06896))+0-129.4--0.329969999999981</f>
        <v>918.45195999999999</v>
      </c>
      <c r="S233" s="3">
        <f>910.9+(547.5-414)+(0.464559+(0.279225-0.21114))+0-131.1-0.0668609999999867</f>
        <v>913.76578299999994</v>
      </c>
      <c r="T233" s="3">
        <f>1007.8+(516.2-476.8)+(-1.027956+(-0.526524--0.486336))+0-135.1--0.137802000000022</f>
        <v>911.16965800000003</v>
      </c>
      <c r="U233" s="3">
        <f>1058.7+(532.3-550.5)+(0+(0-0))+0-133.1-0</f>
        <v>907.4</v>
      </c>
      <c r="V233" s="3">
        <f>1088.3+(523.7-535.5)+(-0.555033+(-0.267087--0.273105))+0-142.9--0.0728789999999855</f>
        <v>933.12386399999991</v>
      </c>
      <c r="W233" s="3">
        <f>1106.7+(562.7-494.3)+(0+(0-0))+0-153.7-0</f>
        <v>1021.4000000000001</v>
      </c>
      <c r="X233" s="3">
        <f>1136.2+(555.6-518.2)+(-1.158924+(-0.566712--0.528564))+0-155.4--0.158508000000025</f>
        <v>1017.161436</v>
      </c>
      <c r="Y233" s="3">
        <f>1136+(525.5-513.3)+(-2.8968+(-1.340025--1.308915))+0-159.5--0.406724999999977</f>
        <v>986.17881499999987</v>
      </c>
      <c r="Z233" s="3">
        <f>1148.8+(515.8-558.7)+(-1.757664+(-0.789174--0.854811))+0-154--0.235620000000009</f>
        <v>950.44359299999985</v>
      </c>
      <c r="AA233" s="3">
        <f>1146.3+(536.5-592.4)+(-1.169226+(-0.54723--0.604248))+0-152.6--0.155652000000024</f>
        <v>936.84344400000009</v>
      </c>
      <c r="AB233" s="3">
        <f>1158.9+(527.6-635.9)+(-2.955195+(-1.34538--1.621545))+0-154.6--0.394229999999978</f>
        <v>893.7152000000001</v>
      </c>
      <c r="AC233" s="3">
        <f>1161.5+(591.8-739.6)+(-2.36946+(-1.207272--1.508784))+0-159.8--0.325991999999993</f>
        <v>852.15804400000002</v>
      </c>
      <c r="AD233">
        <f t="shared" si="3"/>
        <v>21064.683306999996</v>
      </c>
      <c r="AE233" s="3">
        <f>1131+(597.7-549.6)+(0+(0-0))+0-147.9-0</f>
        <v>1031.1999999999998</v>
      </c>
    </row>
    <row r="234" spans="1:31" s="2" customFormat="1" x14ac:dyDescent="0.25">
      <c r="A234">
        <v>89</v>
      </c>
      <c r="B234">
        <v>8</v>
      </c>
      <c r="C234">
        <v>18</v>
      </c>
      <c r="D234">
        <v>4</v>
      </c>
      <c r="E234">
        <v>1</v>
      </c>
      <c r="F234" s="3">
        <f>1153.9+(489.2-670.6)+(-2.353956+(-0.997968--1.368024))+0-165.9--0.338435999999993</f>
        <v>804.95453600000008</v>
      </c>
      <c r="G234" s="3">
        <f>1164.4+(455.8-676)+(0+(0-0))+0-165.4-0</f>
        <v>778.80000000000007</v>
      </c>
      <c r="H234" s="3">
        <f>1164.1+(446.3-681.1)+(-0.593691+(-0.227613--0.347361))+0-168.5--0.0859349999999829</f>
        <v>760.41199199999994</v>
      </c>
      <c r="I234" s="3">
        <f>1166.6+(458.5-699.8)+(1.189932+(0.46767-0.713796))+0-166.4-0.169728000000027</f>
        <v>759.67407799999989</v>
      </c>
      <c r="J234" s="3">
        <f>1168.8+(465.3-701.6)+(0.596088+(0.237303-0.357816))+0-166.5-0.0849149999999831</f>
        <v>766.39066000000003</v>
      </c>
      <c r="K234" s="3">
        <f>1171.6+(504.9-726)+(0+(0-0))+0-166.3-0</f>
        <v>784.19999999999982</v>
      </c>
      <c r="L234" s="3">
        <f>1165.2+(583.5-748.7)+(0.594252+(0.297585-0.381837))+0-163.7-0.0834869999999834</f>
        <v>836.72651299999995</v>
      </c>
      <c r="M234" s="3">
        <f>1174.6+(620.2-734.9)+(0+(0-0))+0-169.5-0</f>
        <v>890.40000000000009</v>
      </c>
      <c r="N234" s="3">
        <f>1084.7+(656.4-673.7)+(0.553197+(0.334764-0.343587))+0-168.6-0.0859859999999829</f>
        <v>899.2583880000002</v>
      </c>
      <c r="O234" s="3">
        <f>953.6+(793.8-663.7)+(-1.459008+(-1.214514--1.015461))+0-165.9--0.25382700000001</f>
        <v>916.39576599999975</v>
      </c>
      <c r="P234" s="3">
        <f>997.9+(677.2-587)+(0+(0-0))+0-159.5-0</f>
        <v>928.59999999999991</v>
      </c>
      <c r="Q234" s="3">
        <f>1040.1+(626.2-562.2)+(-2.652255+(-1.59681--1.43361))+0-160.1--0.408254999999977</f>
        <v>941.5927999999999</v>
      </c>
      <c r="R234" s="3">
        <f>1102.7+(582.6-595.6)+(0+(0-0))+0-157.7-0</f>
        <v>932</v>
      </c>
      <c r="S234" s="3">
        <f>1148+(435.7-498.8)+(0+(0-0))+0-165-0</f>
        <v>919.90000000000009</v>
      </c>
      <c r="T234" s="3">
        <f>1137.8+(448.1-508.4)+(0.580278+(0.228531-0.259284))+0-171.7-0.0875669999999826</f>
        <v>906.26195799999982</v>
      </c>
      <c r="U234" s="3">
        <f>1136.3+(485.3-547.6)+(0+(0-0))+0-169.1-0</f>
        <v>904.9</v>
      </c>
      <c r="V234" s="3">
        <f>1138.1+(591.5-619.3)+(1.160862+(0.60333-0.631686))+0-168.7-0.172074000000027</f>
        <v>942.56043199999976</v>
      </c>
      <c r="W234" s="3">
        <f>1138.2+(660-610.2)+(0.580482+(0.3366-0.311202))+0-167-0.0851699999999831</f>
        <v>1021.5207100000001</v>
      </c>
      <c r="X234" s="3">
        <f>1163.8+(661.5-641.5)+(-1.780614+(-1.012095--0.981495))+0-168.6--0.25795800000001</f>
        <v>1013.6467439999999</v>
      </c>
      <c r="Y234" s="3">
        <f>1175.3+(621.1-636)+(-2.997015+(-1.583805--1.6218))+0-175.9--0.448544999999974</f>
        <v>981.98952500000007</v>
      </c>
      <c r="Z234" s="3">
        <f>1168.1+(603.6-642.7)+(-0.595731+(-0.307836--0.327777))+0-180.3--0.0919529999999817</f>
        <v>948.21616299999994</v>
      </c>
      <c r="AA234" s="3">
        <f>1167.4+(605.8-655.3)+(-1.190748+(-0.617916--0.668406))+0-183.1--0.186762000000029</f>
        <v>933.84650400000021</v>
      </c>
      <c r="AB234" s="3">
        <f>1165.7+(538.6-647)+(-3.567042+(-1.648116--1.97982))+0-173.3--0.53029800000002</f>
        <v>881.29496000000029</v>
      </c>
      <c r="AC234" s="3">
        <f>1168.3+(458.7-623.1)+(-2.979165+(-1.169685--1.588905))+0-174.5--0.444974999999975</f>
        <v>827.28502999999989</v>
      </c>
      <c r="AD234">
        <f t="shared" si="3"/>
        <v>21280.826759</v>
      </c>
      <c r="AE234" s="3">
        <f>1159+(658.7-632.6)+(0+(0-0))+0-164.4-0</f>
        <v>1020.6999999999999</v>
      </c>
    </row>
    <row r="235" spans="1:31" s="2" customFormat="1" x14ac:dyDescent="0.25">
      <c r="A235">
        <v>89</v>
      </c>
      <c r="B235">
        <v>8</v>
      </c>
      <c r="C235">
        <v>19</v>
      </c>
      <c r="D235">
        <v>5</v>
      </c>
      <c r="E235">
        <v>1</v>
      </c>
      <c r="F235" s="3">
        <f>1161.2+(406.8-606.5)+(-1.776636+(-0.622404--0.927945))+0-175.1--0.26790300000001</f>
        <v>785.19680800000003</v>
      </c>
      <c r="G235" s="3">
        <f>1164+(371-600.9)+(-1.18728+(-0.37842--0.612918))+0-172.6--0.176052000000028</f>
        <v>760.72327000000007</v>
      </c>
      <c r="H235" s="3">
        <f>1162.3+(353.2-596.1)+(0+(0-0))+0-172.4-0</f>
        <v>746.99999999999989</v>
      </c>
      <c r="I235" s="3">
        <f>1170.8+(372.1-624)+(-2.388432+(-0.759084--1.27296))+0-171.7--0.350267999999992</f>
        <v>745.67571200000009</v>
      </c>
      <c r="J235" s="3">
        <f>1177.4+(410.3-665.3)+(3.00237+(1.046265-1.696515))+0-170.7-0.435284999999975</f>
        <v>753.61683500000004</v>
      </c>
      <c r="K235" s="3">
        <f>1176.6+(461.1-696.6)+(-1.800198+(-0.705483--1.065798))+0-167--0.25551000000001</f>
        <v>772.91562699999986</v>
      </c>
      <c r="L235" s="3">
        <f>1174.2+(500.3-708.9)+(-2.99421+(-1.275765--1.807695))+0-166.6--0.424829999999976</f>
        <v>796.96255000000008</v>
      </c>
      <c r="M235" s="3">
        <f>1179.6+(489.9-671.7)+(-0.601596+(-0.249849--0.342567))+0-168.4--0.0858839999999829</f>
        <v>828.97700599999985</v>
      </c>
      <c r="N235" s="3">
        <f>1176.7+(424.6-534.7)+(0+(0-0))+0-178.3-0</f>
        <v>888.3</v>
      </c>
      <c r="O235" s="3">
        <f>1110.5+(492.7-518.5)+(0+(0-0))+0-177.3-0</f>
        <v>907.40000000000009</v>
      </c>
      <c r="P235" s="3">
        <f>1145.5+(464.5-521.6)+(0.584205+(0.236895-0.266016))+0-169.2-0.0862919999999828</f>
        <v>919.66879200000017</v>
      </c>
      <c r="Q235" s="3">
        <f>1147.8+(477.5-523.8)+(-3.512268+(-1.46115--1.602828))+0-171.7--0.52540200000002</f>
        <v>926.95481199999995</v>
      </c>
      <c r="R235" s="3">
        <f>1142.1+(446.7-504.1)+(-1.164942+(-0.455634--0.514182))+0-162.3--0.165546000000026</f>
        <v>921.45915200000002</v>
      </c>
      <c r="S235" s="3">
        <f>1134.6+(414.3-470.3)+(0+(0-0))+0-165.1-0</f>
        <v>913.49999999999989</v>
      </c>
      <c r="T235" s="3">
        <f>1131.1+(396.5-452.1)+(-1.153722+(-0.40443--0.461142))+0-171--0.174420000000027</f>
        <v>903.5774100000001</v>
      </c>
      <c r="U235" s="3">
        <f>1127+(381.9-434.4)+(-1.72431+(-0.584307--0.664632))+0-172.3--0.26361900000001</f>
        <v>900.81963400000018</v>
      </c>
      <c r="V235" s="3">
        <f>1128.1+(477.9-497.1)+(0.575331+(0.243729-0.253521))+0-173.7-0.0885869999999824</f>
        <v>935.6769519999998</v>
      </c>
      <c r="W235" s="3">
        <f>1135.6+(616.8-566.7)+(0.579156+(0.314568-0.289017))+0-165.9-0.0846089999999832</f>
        <v>1020.3200979999998</v>
      </c>
      <c r="X235" s="3">
        <f>1154.8+(612.6-586.8)+(0+(0-0))+0-167.1-0</f>
        <v>1013.4999999999999</v>
      </c>
      <c r="Y235" s="3">
        <f>1174.2+(586.2-614.8)+(-3.593052+(-1.793772--1.881288))+0-164.7--0.503982000000019</f>
        <v>977.89844600000026</v>
      </c>
      <c r="Z235" s="3">
        <f>1175.8+(559.2-627.8)+(-1.199316+(-0.570384--0.640356))+0-165.3--0.168606000000026</f>
        <v>940.93926200000021</v>
      </c>
      <c r="AA235" s="3">
        <f>1174.5+(546.1-638.3)+(0.598995+(0.278511-0.325533))+0-167-0.0851699999999831</f>
        <v>915.76680300000032</v>
      </c>
      <c r="AB235" s="3">
        <f>1179.9+(506.7-638)+(-2.406996+(-1.033668--1.30152))+0-170.9--0.348635999999993</f>
        <v>875.90949200000011</v>
      </c>
      <c r="AC235" s="3">
        <f>1177.2+(397.5-575.5)+(-1.801116+(-0.608175--0.880515))+0-170.8--0.26132400000001</f>
        <v>827.13254800000004</v>
      </c>
      <c r="AD235">
        <f t="shared" si="3"/>
        <v>20979.891208999998</v>
      </c>
      <c r="AE235" s="3">
        <f>1144+(618-606)+(0+(0-0))+0-154-0</f>
        <v>1002</v>
      </c>
    </row>
    <row r="236" spans="1:31" s="2" customFormat="1" x14ac:dyDescent="0.25">
      <c r="A236">
        <v>89</v>
      </c>
      <c r="B236">
        <v>8</v>
      </c>
      <c r="C236">
        <v>20</v>
      </c>
      <c r="D236">
        <v>6</v>
      </c>
      <c r="E236">
        <v>1</v>
      </c>
      <c r="F236" s="3">
        <f>1174.9+(314.9-539.6)+(-1.198398+(-0.321198--0.550392))+0-171.5--0.174930000000027</f>
        <v>777.90572600000007</v>
      </c>
      <c r="G236" s="3">
        <f>1155.4+(313.7-546.6)+(-1.767762+(-0.479961--0.836298))+0-166.1--0.25413300000001</f>
        <v>755.24270799999999</v>
      </c>
      <c r="H236" s="3">
        <f>1114.7+(321.5-528.9)+(-1.705491+(-0.491895--0.809217))+0-165.7--0.25352100000001</f>
        <v>740.46535200000005</v>
      </c>
      <c r="I236" s="3">
        <f>1117.8+(324-538.5)+(0.570078+(0.16524-0.274635))+0-166.4-0.0848639999999831</f>
        <v>737.27581899999996</v>
      </c>
      <c r="J236" s="3">
        <f>1115.2+(325.1-538.1)+(1.706256+(0.497403-0.823293))+0-164.7-0.25199100000001</f>
        <v>738.62837500000012</v>
      </c>
      <c r="K236" s="3">
        <f>1037.2+(405.4-524.9)+(1.057944+(0.413508-0.535398))+0-163-0.166260000000026</f>
        <v>755.46979399999998</v>
      </c>
      <c r="L236" s="3">
        <f>820.3+(544.6-422.4)+(-0.418353+(-0.277746--0.215424))+0-155.9--0.0795089999999842</f>
        <v>786.19883400000003</v>
      </c>
      <c r="M236" s="3">
        <f>837.8+(568.5-412)+(1.281834+(0.869805-0.63036))+0-163.4-0.250002000000009</f>
        <v>832.17127700000003</v>
      </c>
      <c r="N236" s="3">
        <f>935.4+(524-415)+(1.431162+(0.80172-0.63495))+0-162.3-0.248319000000009</f>
        <v>883.449613</v>
      </c>
      <c r="O236" s="3">
        <f>962.3+(551.6-454.9)+(0.981546+(0.562632-0.463998))+0-159.7-0.162894000000025</f>
        <v>900.21728599999983</v>
      </c>
      <c r="P236" s="3">
        <f>964.3+(520.2-418.5)+(1.475379+(0.795906-0.640305))+0-158.9-0.243117000000009</f>
        <v>908.48786299999995</v>
      </c>
      <c r="Q236" s="3">
        <f>959.5+(509-400.6)+(-0.97869+(-0.51918--0.408612))+0-159.1--0.162282000000025</f>
        <v>907.8730240000001</v>
      </c>
      <c r="R236" s="3">
        <f>957.9+(478.2-374.3)+(-0.977058+(-0.487764--0.381786))+0-161.6--0.164832000000026</f>
        <v>899.28179599999999</v>
      </c>
      <c r="S236" s="3">
        <f>954+(433.7-332.6)+(-1.94616+(-0.884748--0.678504))+0-165.5--0.337619999999993</f>
        <v>887.78521599999999</v>
      </c>
      <c r="T236" s="3">
        <f>952.2+(426.1-332.8)+(-1.942488+(-0.869244--0.678912))+0-167--0.340679999999993</f>
        <v>876.70785999999998</v>
      </c>
      <c r="U236" s="3">
        <f>939.5+(424-322.9)+(-1.437435+(-0.64872--0.494037))+0-162.2--0.248166000000009</f>
        <v>877.05604799999981</v>
      </c>
      <c r="V236" s="3">
        <f>931.6+(495.9-351.5)+(0.950232+(0.505818-0.35853))+0-168.4-0.171768000000027</f>
        <v>908.52575200000001</v>
      </c>
      <c r="W236" s="3">
        <f>933.7+(556.3-329.7)+(-0.476187+(-0.283713--0.168147))+0-172.2--0.0878219999999825</f>
        <v>987.59606899999994</v>
      </c>
      <c r="X236" s="3">
        <f>945.9+(525.3-319.6)+(-2.412045+(-1.339515--0.81498))+0-171.3--0.436814999999975</f>
        <v>977.80023499999993</v>
      </c>
      <c r="Y236" s="3">
        <f>961.7+(524.8-363.7)+(-1.471401+(-0.802944--0.556461))+0-171.9--0.26300700000001</f>
        <v>949.44512300000008</v>
      </c>
      <c r="Z236" s="3">
        <f>969.3+(506-389.2)+(-0.494343+(-0.25806--0.198492))+0-175.5--0.0895049999999822</f>
        <v>910.13559399999997</v>
      </c>
      <c r="AA236" s="3">
        <f>972.2+(522.5-420.9)+(-1.487466+(-0.799425--0.643977))+0-177.1--0.27096300000001</f>
        <v>895.32804900000019</v>
      </c>
      <c r="AB236" s="3">
        <f>968.5+(458.7-397.9)+(-1.481805+(-0.701811--0.608787))+0-173.6--0.26560800000001</f>
        <v>854.39077900000007</v>
      </c>
      <c r="AC236" s="3">
        <f>968.3+(446.7-418.1)+(-1.975332+(-0.911268--0.852924))+0-174.5--0.355979999999992</f>
        <v>820.72230399999989</v>
      </c>
      <c r="AD236">
        <f t="shared" si="3"/>
        <v>20568.160496</v>
      </c>
      <c r="AE236" s="3">
        <f>931+(558.2-317.4)+(0+(0-0))+0-163.6-0</f>
        <v>1008.2000000000002</v>
      </c>
    </row>
    <row r="237" spans="1:31" s="2" customFormat="1" x14ac:dyDescent="0.25">
      <c r="A237">
        <v>89</v>
      </c>
      <c r="B237">
        <v>8</v>
      </c>
      <c r="C237">
        <v>21</v>
      </c>
      <c r="D237">
        <v>7</v>
      </c>
      <c r="E237">
        <v>1</v>
      </c>
      <c r="F237" s="3">
        <f>970.7+(398.5-391.6)+(-1.485171+(-0.609705--0.599148))+0-176.5--0.27004500000001</f>
        <v>799.87431700000002</v>
      </c>
      <c r="G237" s="3">
        <f>972.3+(337.2-365.1)+(-1.487619+(-0.515916--0.558603))+0-166--0.25398000000001</f>
        <v>777.20904799999983</v>
      </c>
      <c r="H237" s="3">
        <f>975.4+(352-397.1)+(-0.994908+(-0.35904--0.405042))+0-165.8--0.169116000000026</f>
        <v>763.72020999999995</v>
      </c>
      <c r="I237" s="3">
        <f>977.4+(343-395.1)+(-1.495422+(-0.52479--0.604503))+0-163.9--0.250767000000009</f>
        <v>760.23505799999998</v>
      </c>
      <c r="J237" s="3">
        <f>980.5+(334.1-388.3)+(-0.500055+(-0.170391--0.198033))+0-162.1--0.0826709999999835</f>
        <v>763.81025799999998</v>
      </c>
      <c r="K237" s="3">
        <f>980.5+(366.4-412.2)+(-0.500055+(-0.186864--0.210222))+0-159.5--0.0813449999999838</f>
        <v>774.80464800000004</v>
      </c>
      <c r="L237" s="3">
        <f>970.8+(369.1-417)+(-3.465756+(-1.317687--1.48869))+0-146--0.521220000000002</f>
        <v>774.12646699999993</v>
      </c>
      <c r="M237" s="3">
        <f>978.6+(338.7-358.3)+(0.499086+(0.172737-0.182733))+0-142.8-0.0728279999999855</f>
        <v>816.61626200000012</v>
      </c>
      <c r="N237" s="3">
        <f>974.4+(277.3-246.7)+(-1.490832+(-0.424269--0.377451))+0-138--0.211140000000008</f>
        <v>865.67349000000002</v>
      </c>
      <c r="O237" s="3">
        <f>962.3+(293.8-234.8)+(-0.981546+(-0.299676--0.239496))+0-135.4--0.138108000000022</f>
        <v>884.99638199999993</v>
      </c>
      <c r="P237" s="3">
        <f>956.7+(303-218.1)+(-0.487917+(-0.15453--0.111231))+0-132.4--0.0675239999999866</f>
        <v>908.73630800000001</v>
      </c>
      <c r="Q237" s="3">
        <f>939.7+(332.3-169.7)+(-0.479247+(-0.169473--0.086547))+0-131.4--0.0670139999999867</f>
        <v>970.40484100000015</v>
      </c>
      <c r="R237" s="3">
        <f>915.5+(301.7-152.6)+(-1.86762+(-0.615468--0.311304))+0-132--0.269279999999994</f>
        <v>930.697496</v>
      </c>
      <c r="S237" s="3">
        <f>927.1+(256.4-142.2)+(1.891284+(0.523056-0.290088))+0-133.4-0.272135999999994</f>
        <v>909.752116</v>
      </c>
      <c r="T237" s="3">
        <f>924.9+(240.9-127.2)+(-1.415097+(-0.368577--0.194616))+0-133.3--0.203949000000008</f>
        <v>903.9148909999999</v>
      </c>
      <c r="U237" s="3">
        <f>923.3+(247.1-128.1)+(-0.470883+(-0.126021--0.065331))+0-128.1--0.065330999999987</f>
        <v>913.73375799999997</v>
      </c>
      <c r="V237" s="3">
        <f>937.7+(312.4-177.6)+(-0.478227+(-0.159324--0.090576))+0-134.3--0.0684929999999864</f>
        <v>937.72151800000006</v>
      </c>
      <c r="W237" s="3">
        <f>976.6+(442.2-256.6)+(-1.494198+(-0.676566--0.392598))+0-143.3--0.219249000000008</f>
        <v>1017.341083</v>
      </c>
      <c r="X237" s="3">
        <f>981+(507.1-325.7)+(-3.50217+(-1.810347--1.162749))+0-147.8--0.527646000000002</f>
        <v>1010.9778780000001</v>
      </c>
      <c r="Y237" s="3">
        <f>987.4+(583.5-471.8)+(-1.510722+(-0.892755--0.721854))+0-145.5--0.222615000000008</f>
        <v>952.14099199999998</v>
      </c>
      <c r="Z237" s="3">
        <f>965.9+(550.6-449.1)+(-1.970436+(-1.123224--0.916164))+0-152.1--0.310283999999993</f>
        <v>913.43278800000007</v>
      </c>
      <c r="AA237" s="3">
        <f>970.8+(483.1-414.9)+(-0.990216+(-0.492762--0.423198))+0-150.1--0.153102000000024</f>
        <v>887.99332199999992</v>
      </c>
      <c r="AB237" s="3">
        <f>960.8+(457.4-406.1)+(-1.470024+(-0.699822--0.621333))+0-155.8--0.238374000000009</f>
        <v>854.98986100000002</v>
      </c>
      <c r="AC237" s="3">
        <f>997+(440.6-468.6)+(-1.52541+(-0.674118--0.716958))+0-160--0.244800000000009</f>
        <v>807.76223000000005</v>
      </c>
      <c r="AD237">
        <f t="shared" si="3"/>
        <v>20900.665221999996</v>
      </c>
      <c r="AE237" s="3">
        <f>992+(504.8-332.3)+(0+(0-0))+0-152.8-0</f>
        <v>1011.7</v>
      </c>
    </row>
    <row r="238" spans="1:31" s="2" customFormat="1" x14ac:dyDescent="0.25">
      <c r="A238">
        <v>89</v>
      </c>
      <c r="B238">
        <v>8</v>
      </c>
      <c r="C238">
        <v>22</v>
      </c>
      <c r="D238">
        <v>1</v>
      </c>
      <c r="E238">
        <v>1</v>
      </c>
      <c r="F238" s="3">
        <f>1004+(430.5-496.2)+(1.02408+(0.43911-0.506124))+0-163.1-0.166362000000026</f>
        <v>775.99070399999994</v>
      </c>
      <c r="G238" s="3">
        <f>974.5+(443.9-511.3)+(0+(0-0))+0-152.1-0</f>
        <v>754.99999999999989</v>
      </c>
      <c r="H238" s="3">
        <f>975.4+(460.9-546.9)+(0.497454+(0.235059-0.278919))+0-147.1-0.0750209999999851</f>
        <v>742.67857299999991</v>
      </c>
      <c r="I238" s="3">
        <f>979.5+(458.6-555.8)+(0.99909+(0.467772-0.566916))+0-139.8-0.142596000000022</f>
        <v>743.25734999999997</v>
      </c>
      <c r="J238" s="3">
        <f>983.3+(474.4-571.4)+(1.002966+(0.483888-0.582828))+0-138.4-0.141168000000022</f>
        <v>748.66285800000003</v>
      </c>
      <c r="K238" s="3">
        <f>983.5+(526.3-605.7)+(-0.501585+(-0.268413--0.308907))+0-130.9--0.0667589999999867</f>
        <v>772.80566799999986</v>
      </c>
      <c r="L238" s="3">
        <f>980.4+(569.6-603)+(-1.500012+(-0.871488--0.92259))+0-133.6--0.204408000000008</f>
        <v>812.15549800000008</v>
      </c>
      <c r="M238" s="3">
        <f>978+(625.6-605.7)+(-0.49878+(-0.319056--0.308907))+0-140.5--0.0716549999999857</f>
        <v>856.96272599999998</v>
      </c>
      <c r="N238" s="3">
        <f>995.5+(558-509.7)+(-1.01541+(-0.56916--0.519894))+0-142.1--0.144942000000023</f>
        <v>900.78026599999998</v>
      </c>
      <c r="O238" s="3">
        <f>991.3+(539-474)+(-1.516689+(-0.82467--0.72522))+0-137.8--0.210834000000008</f>
        <v>917.094695</v>
      </c>
      <c r="P238" s="3">
        <f>957.9+(557.9-449.4)+(0+(0-0))+0-136.5-0</f>
        <v>929.90000000000009</v>
      </c>
      <c r="Q238" s="3">
        <f>968.6+(563.9-459.9)+(-0.493986+(-0.287589--0.234549))+0-133.1--0.0678809999999865</f>
        <v>939.02085499999987</v>
      </c>
      <c r="R238" s="3">
        <f>961.9+(546.3-455.8)+(-1.962276+(-1.114452--0.929832))+0-131.6--0.268463999999994</f>
        <v>918.92156799999987</v>
      </c>
      <c r="S238" s="3">
        <f>963.9+(541.5-452)+(-0.983178+(-0.55233--0.46104))+0-134.4--0.137088000000021</f>
        <v>918.06262000000015</v>
      </c>
      <c r="T238" s="3">
        <f>963+(519.2-435.4)+(-0.49113+(-0.264792--0.222054))+0-134--0.0683399999999864</f>
        <v>912.33447200000023</v>
      </c>
      <c r="U238" s="3">
        <f>962.3+(582-504)+(0.490773+(0.29682-0.25704))+0-131.2-0.0669119999999867</f>
        <v>909.56364099999996</v>
      </c>
      <c r="V238" s="3">
        <f>970.6+(646.9-532.9)+(0.990012+(0.659838-0.543558))+0-134.4-0.137088000000021</f>
        <v>951.16920399999981</v>
      </c>
      <c r="W238" s="3">
        <f>980.5+(740.8-556)+(0+(0-0))+0-140-0</f>
        <v>1025.3</v>
      </c>
      <c r="X238" s="3">
        <f>982.1+(713.5-534.5)+(-0.500871+(-0.363885--0.272595))+0-142.3--0.0725729999999856</f>
        <v>1018.280412</v>
      </c>
      <c r="Y238" s="3">
        <f>983.9+(688.5-540.9)+(-2.007156+(-1.40454--1.103436))+0-137.6--0.280703999999994</f>
        <v>991.87244399999997</v>
      </c>
      <c r="Z238" s="3">
        <f>977.3+(640.8-522.4)+(-0.498423+(-0.326808--0.266424))+0-142.2--0.0725219999999856</f>
        <v>953.01371499999982</v>
      </c>
      <c r="AA238" s="3">
        <f>975+(645-549.8)+(-1.49175+(-0.98685--0.841194))+0-141.1--0.215883000000008</f>
        <v>927.67847699999993</v>
      </c>
      <c r="AB238" s="3">
        <f>981.5+(613.8-580.4)+(-2.502825+(-1.56519--1.48002))+0-135--0.34424999999998</f>
        <v>877.65625499999999</v>
      </c>
      <c r="AC238" s="3">
        <f>987.4+(516.8-539.1)+(-2.51787+(-1.31784--1.374705))+0-135.9--0.34654499999998</f>
        <v>827.08553999999992</v>
      </c>
      <c r="AD238">
        <f t="shared" si="3"/>
        <v>21125.247541000004</v>
      </c>
      <c r="AE238" s="3">
        <f>986+(731.4-534.8)+(0+(0-0))+0-143-0</f>
        <v>1039.5999999999999</v>
      </c>
    </row>
    <row r="239" spans="1:31" s="2" customFormat="1" x14ac:dyDescent="0.25">
      <c r="A239">
        <v>89</v>
      </c>
      <c r="B239">
        <v>8</v>
      </c>
      <c r="C239">
        <v>23</v>
      </c>
      <c r="D239">
        <v>2</v>
      </c>
      <c r="E239">
        <v>1</v>
      </c>
      <c r="F239" s="3">
        <f>990.1+(480.7-532.7)+(-2.019804+(-0.980628--1.086708))+0-138.4--0.282335999999994</f>
        <v>798.06861199999992</v>
      </c>
      <c r="G239" s="3">
        <f>993.3+(474.4-553.6)+(-2.532915+(-1.20972--1.41168))+0-134.6--0.34322999999998</f>
        <v>777.51227499999982</v>
      </c>
      <c r="H239" s="3">
        <f>994.3+(486.4-589.5)+(-0.507093+(-0.248064--0.300645))+0-131.3--0.0669629999999867</f>
        <v>759.51245099999983</v>
      </c>
      <c r="I239" s="3">
        <f>984.5+(496.5-594.8)+(-1.00419+(-0.50643--0.606696))+0-128.7--0.131274000000021</f>
        <v>756.72735000000011</v>
      </c>
      <c r="J239" s="3">
        <f>995.5+(504.3-607.3)+(-1.01541+(-0.514386--0.619446))+0-129.4--0.131988000000021</f>
        <v>762.32163800000001</v>
      </c>
      <c r="K239" s="3">
        <f>1000.8+(550.8-636.4)+(1.531224+(0.842724-0.973692))+0-127.7-0.195381000000007</f>
        <v>788.7048749999999</v>
      </c>
      <c r="L239" s="3">
        <f>989.4+(590.1-639.5)+(0+(0-0))+0-125.5-0</f>
        <v>814.5</v>
      </c>
      <c r="M239" s="3">
        <f>993+(595.7-596.8)+(0.50643+(0.303807-0.304368))+0-133.2-0.0679319999999865</f>
        <v>859.13793700000008</v>
      </c>
      <c r="N239" s="3">
        <f>985.8+(601-562.9)+(-2.011032+(-1.22604--1.148316))+0-130--0.265199999999994</f>
        <v>892.07644400000004</v>
      </c>
      <c r="O239" s="3">
        <f>981.2+(601.6-566)+(0+(0-0))+0-130.1-0</f>
        <v>886.7</v>
      </c>
      <c r="P239" s="3">
        <f>986.8+(572.7-522.5)+(-0.503268+(-0.292077--0.266475))+0-131.8--0.0672179999999866</f>
        <v>904.73834799999997</v>
      </c>
      <c r="Q239" s="3">
        <f>979.7+(483.9-421.1)+(-1.498941+(-0.740367--0.644283))+0-127.6--0.195228000000007</f>
        <v>913.50020299999994</v>
      </c>
      <c r="R239" s="3">
        <f>973.2+(404.7-350)+(-1.985328+(-0.825588--0.714))+0-128.8--0.262751999999994</f>
        <v>897.26583600000015</v>
      </c>
      <c r="S239" s="3">
        <f>971.1+(381.1-325)+(-0.990522+(-0.388722--0.3315))+0-132.6--0.135252000000021</f>
        <v>893.68750800000009</v>
      </c>
      <c r="T239" s="3">
        <f>963.2+(419.6-355.2)+(-0.491232+(-0.213996--0.181152))+0-136--0.0693599999999862</f>
        <v>891.14528400000017</v>
      </c>
      <c r="U239" s="3">
        <f>962.3+(436.2-376.7)+(-0.981546+(-0.444924--0.384234))+0-125.7--0.12821400000002</f>
        <v>895.18597799999998</v>
      </c>
      <c r="V239" s="3">
        <f>970.9+(568.6-471.5)+(0+(0-0))+0-131.9-0</f>
        <v>936.1</v>
      </c>
      <c r="W239" s="3">
        <f>991.5+(582.1-423.8)+(1.516995+(0.890613-0.648414))+0-130.8-0.200124000000008</f>
        <v>1020.55907</v>
      </c>
      <c r="X239" s="3">
        <f>999.7+(554.3-412.5)+(-2.039388+(-1.130772--0.8415))+0-134.5--0.274379999999994</f>
        <v>1004.9457200000001</v>
      </c>
      <c r="Y239" s="3">
        <f>1005.2+(555.2-440)+(-2.56326+(-1.41576--1.122))+0-135.3--0.34501499999998</f>
        <v>982.58799500000021</v>
      </c>
      <c r="Z239" s="3">
        <f>1005.3+(541.8-460)+(-1.025406+(-0.552636--0.4692))+0-141--0.143820000000022</f>
        <v>945.13497799999982</v>
      </c>
      <c r="AA239" s="3">
        <f>1012.5+(522.1-483.4)+(-1.549125+(-0.798813--0.739602))+0-142.1--0.217413000000008</f>
        <v>907.70907699999998</v>
      </c>
      <c r="AB239" s="3">
        <f>1012.2+(522.8-534.6)+(-2.064888+(-1.066512--1.090584))+0-142.8--0.291311999999994</f>
        <v>855.85049599999991</v>
      </c>
      <c r="AC239" s="3">
        <f>1012.6+(420.3-496.2)+(-2.58213+(-1.071765--1.26531))+0-141.8--0.361589999999979</f>
        <v>792.87300499999992</v>
      </c>
      <c r="AD239">
        <f t="shared" si="3"/>
        <v>20936.54508</v>
      </c>
      <c r="AE239" s="3">
        <f>1000+(562.7-403.7)+(0+(0-0))+0-130-0</f>
        <v>1029</v>
      </c>
    </row>
    <row r="240" spans="1:31" s="2" customFormat="1" x14ac:dyDescent="0.25">
      <c r="A240">
        <v>89</v>
      </c>
      <c r="B240">
        <v>8</v>
      </c>
      <c r="C240">
        <v>24</v>
      </c>
      <c r="D240">
        <v>3</v>
      </c>
      <c r="E240">
        <v>1</v>
      </c>
      <c r="F240" s="3">
        <f>1007.9+(403.7-513.9)+(-2.570145+(-1.029435--1.310445))+0-137.7--0.35113499999998</f>
        <v>758.06200000000001</v>
      </c>
      <c r="G240" s="3">
        <f>1008.7+(405-536.3)+(-2.057748+(-0.8262--1.094052))+0-136.2--0.277847999999994</f>
        <v>739.687952</v>
      </c>
      <c r="H240" s="3">
        <f>1000.2+(437.9-575.5)+(-1.530306+(-0.669987--0.880515))+0-133--0.203490000000008</f>
        <v>728.48371199999997</v>
      </c>
      <c r="I240" s="3">
        <f>1001.3+(458.6-597.8)+(0+(0-0))+0-136-0</f>
        <v>726.1</v>
      </c>
      <c r="J240" s="3">
        <f>1002.2+(480.2-611)+(-0.511122+(-0.244902--0.31161))+0-136.6--0.0696659999999861</f>
        <v>734.425252</v>
      </c>
      <c r="K240" s="3">
        <f>1006.6+(520-633.6)+(1.540098+(0.7956-0.969408))+0-135.5-0.207315000000008</f>
        <v>758.65897500000005</v>
      </c>
      <c r="L240" s="3">
        <f>997.5+(544.2-626.8)+(-0.508725+(-0.277542--0.319668))+0-131.7--0.0671669999999866</f>
        <v>782.80056800000023</v>
      </c>
      <c r="M240" s="3">
        <f>995.5+(596.1-622.5)+(-1.01541+(-0.608022--0.63495))+0-136--0.138720000000022</f>
        <v>832.25023800000008</v>
      </c>
      <c r="N240" s="3">
        <f>993.4+(593.6-568.1)+(-0.506634+(-0.302736--0.289731))+0-138.7--0.0707369999999859</f>
        <v>879.75109799999996</v>
      </c>
      <c r="O240" s="3">
        <f>991.7+(535.8-501.7)+(-0.505767+(-0.273258--0.255867))+0-134.6--0.0686459999999863</f>
        <v>890.74548799999991</v>
      </c>
      <c r="P240" s="3">
        <f>986.1+(528.9-493.7)+(-1.005822+(-0.539478--0.503574))+0-126.4--0.12892800000002</f>
        <v>893.98720199999991</v>
      </c>
      <c r="Q240" s="3">
        <f>975.1+(509.9-461.3)+(-1.989204+(-1.040196--0.941052))+0-132.4--0.270095999999994</f>
        <v>889.48174800000004</v>
      </c>
      <c r="R240" s="3">
        <f>976.3+(477.9-440.3)+(-2.489565+(-1.218645--1.122765))+0-134.1--0.341954999999981</f>
        <v>877.55650999999978</v>
      </c>
      <c r="S240" s="3">
        <f>978.1+(427-387.9)+(-0.498831+(-0.21777--0.197829))+0-137.7--0.070226999999986</f>
        <v>879.05145500000003</v>
      </c>
      <c r="T240" s="3">
        <f>973.1+(450.2-407.6)+(-0.992562+(-0.459204--0.415752))+0-135.1--0.137802000000022</f>
        <v>879.70178800000008</v>
      </c>
      <c r="U240" s="3">
        <f>974.8+(469.2-431.8)+(-0.497148+(-0.239292--0.220218))+0-132.8--0.0677279999999865</f>
        <v>878.95150599999988</v>
      </c>
      <c r="V240" s="3">
        <f>967.8+(546.2-473.1)+(0+(0-0))+0-137.9-0</f>
        <v>903.00000000000011</v>
      </c>
      <c r="W240" s="3">
        <f>980.1+(595.8-436.3)+(-1.499553+(-0.911574--0.667539))+0-140.7--0.215271000000008</f>
        <v>997.37168299999985</v>
      </c>
      <c r="X240" s="3">
        <f>1000.8+(562.5-436.1)+(-2.55204+(-1.434375--1.112055))+0-138.3--0.35266499999998</f>
        <v>986.37830499999984</v>
      </c>
      <c r="Y240" s="3">
        <f>1005+(562.1-468.9)+(-3.0753+(-1.720026--1.434834))+0-135.1--0.413406000000016</f>
        <v>960.15291400000001</v>
      </c>
      <c r="Z240" s="3">
        <f>1001.5+(585.5-524.7)+(-1.532295+(-0.895815--0.802791))+0-137.4--0.210222000000008</f>
        <v>923.48490300000003</v>
      </c>
      <c r="AA240" s="3">
        <f>1003.5+(623.4-588.6)+(-2.558925+(-1.58967--1.50093))+0-137.6--0.35087999999998</f>
        <v>898.40321499999993</v>
      </c>
      <c r="AB240" s="3">
        <f>1015.3+(628.6-655.6)+(-2.071212+(-1.282344--1.337424))+0-129.5--0.264179999999994</f>
        <v>857.04804799999999</v>
      </c>
      <c r="AC240" s="3">
        <f>1020.3+(521-600.3)+(-2.601765+(-1.32855--1.530765))+0-136--0.34679999999998</f>
        <v>802.94725000000005</v>
      </c>
      <c r="AD240">
        <f t="shared" si="3"/>
        <v>20458.481810000001</v>
      </c>
      <c r="AE240" s="3">
        <f>994+(585.1-437.9)+(0+(0-0))+0-140.6-0</f>
        <v>1000.6</v>
      </c>
    </row>
    <row r="241" spans="1:31" s="2" customFormat="1" x14ac:dyDescent="0.25">
      <c r="A241">
        <v>89</v>
      </c>
      <c r="B241">
        <v>8</v>
      </c>
      <c r="C241">
        <v>25</v>
      </c>
      <c r="D241">
        <v>4</v>
      </c>
      <c r="E241">
        <v>1</v>
      </c>
      <c r="F241" s="3">
        <f>1009.2+(420.1-538.7)+(-2.57346+(-1.071255--1.373685))+0-133.8--0.341189999999981</f>
        <v>754.87016000000006</v>
      </c>
      <c r="G241" s="3">
        <f>1003.7+(405.8-549.3)+(-0.511887+(-0.206958--0.280143))+0-129.5--0.0660449999999869</f>
        <v>730.32734300000004</v>
      </c>
      <c r="H241" s="3">
        <f>975.9+(429.3-553.3)+(-2.488545+(-1.094715--1.410915))+0-134.2--0.34220999999998</f>
        <v>715.86986500000012</v>
      </c>
      <c r="I241" s="3">
        <f>983.5+(461.8-597.2)+(1.00317+(0.471036-0.609144))+0-134.2-0.136884000000021</f>
        <v>714.62817799999993</v>
      </c>
      <c r="J241" s="3">
        <f>984.1+(470.7-596.8)+(0+(0-0))+0-137.8-0</f>
        <v>720.2</v>
      </c>
      <c r="K241" s="3">
        <f>986.1+(498.8-606.7)+(-0.502911+(-0.254388--0.309417))+0-135.9--0.0693089999999862</f>
        <v>741.92142699999999</v>
      </c>
      <c r="L241" s="3">
        <f>985.7+(504.9-589.6)+(0.502707+(0.257499-0.300696))+0-134.3-0.0684929999999864</f>
        <v>767.09101699999997</v>
      </c>
      <c r="M241" s="3">
        <f>991+(542.8-592.1)+(0.50541+(0.276828-0.301971))+0-138.5-0.0706349999999859</f>
        <v>803.60963199999992</v>
      </c>
      <c r="N241" s="3">
        <f>990.3+(563.4-568.5)+(1.515159+(0.862002-0.869805))+0-138.2-0.211446000000008</f>
        <v>848.29590999999982</v>
      </c>
      <c r="O241" s="3">
        <f>993+(550.8-543.3)+(-1.51929+(-0.842724--0.831249))+0-137.5--0.210375000000008</f>
        <v>861.67961000000003</v>
      </c>
      <c r="P241" s="3">
        <f>983.1+(544-523.3)+(0+(0-0))+0-136.3-0</f>
        <v>867.5</v>
      </c>
      <c r="Q241" s="3">
        <f>974.5+(526.4-488.7)+(-1.490985+(-0.805392--0.747711))+0-136.2--0.208386000000008</f>
        <v>874.65972000000011</v>
      </c>
      <c r="R241" s="3">
        <f>980.2+(483.8-456.2)+(-1.999608+(-0.986952--0.930648))+0-138.7--0.282947999999994</f>
        <v>867.32703600000013</v>
      </c>
      <c r="S241" s="3">
        <f>978.5+(454.2-422.1)+(-0.499035+(-0.231642--0.215271))+0-148.8--0.0758879999999849</f>
        <v>861.36048199999993</v>
      </c>
      <c r="T241" s="3">
        <f>977.7+(417.6-381.4)+(-1.495881+(-0.638928--0.583542))+0-158.2--0.242046000000009</f>
        <v>854.39077899999995</v>
      </c>
      <c r="U241" s="3">
        <f>971.1+(420.1-381.1)+(-2.476305+(-1.071255--0.971805))+0-157.8--0.402389999999977</f>
        <v>850.12663500000008</v>
      </c>
      <c r="V241" s="3">
        <f>972.1+(468.5-395.5)+(-1.983084+(-0.95574--0.80682))+0-161--0.328439999999993</f>
        <v>882.29643599999986</v>
      </c>
      <c r="W241" s="3">
        <f>976.3+(526.2-375.3)+(0+(0-0))+0-162.9-0</f>
        <v>964.30000000000007</v>
      </c>
      <c r="X241" s="3">
        <f>986.8+(512.8-381.9)+(-2.013072+(-1.046112--0.779076))+0-164.7--0.335987999999993</f>
        <v>951.05587999999989</v>
      </c>
      <c r="Y241" s="3">
        <f>992.7+(511.6-423.9)+(-3.037662+(-1.565496--1.297134))+0-161--0.492660000000019</f>
        <v>916.58663600000011</v>
      </c>
      <c r="Z241" s="3">
        <f>989.4+(515.7-457.1)+(-1.009188+(-0.526014--0.466242))+0-170.2--0.173604000000027</f>
        <v>876.90464399999996</v>
      </c>
      <c r="AA241" s="3">
        <f>1001.6+(519.4-500.6)+(-1.532448+(-0.794682--0.765918))+0-162.4--0.248472000000009</f>
        <v>856.68726000000004</v>
      </c>
      <c r="AB241" s="3">
        <f>1003.4+(499.1-523.1)+(-2.55867+(-1.272705--1.333905))+0-152.5--0.388874999999978</f>
        <v>824.79140499999994</v>
      </c>
      <c r="AC241" s="3">
        <f>992+(527.8-589.2)+(0+(0-0))+0-153.4-0</f>
        <v>777.19999999999993</v>
      </c>
      <c r="AD241">
        <f t="shared" si="3"/>
        <v>19883.680054999997</v>
      </c>
      <c r="AE241" s="3">
        <f>989+(527.7-372.1)+(0+(0-0))+0-159.2-0</f>
        <v>985.39999999999986</v>
      </c>
    </row>
    <row r="242" spans="1:31" s="2" customFormat="1" x14ac:dyDescent="0.25">
      <c r="A242">
        <v>89</v>
      </c>
      <c r="B242">
        <v>8</v>
      </c>
      <c r="C242">
        <v>26</v>
      </c>
      <c r="D242">
        <v>5</v>
      </c>
      <c r="E242">
        <v>3</v>
      </c>
      <c r="F242" s="3">
        <f>995.9+(534.3-638)+(-2.031636+(-1.089972--1.30152))+0-150.2--0.306407999999993</f>
        <v>740.48631999999986</v>
      </c>
      <c r="G242" s="3">
        <f>974+(541.8-648.6)+(0+(0-0))+0-149.2-0</f>
        <v>718</v>
      </c>
      <c r="H242" s="3">
        <f>955.1+(580.9-677.7)+(-2.435505+(-1.481295--1.728135))+0-149.5--0.381224999999978</f>
        <v>706.99255999999991</v>
      </c>
      <c r="I242" s="3">
        <f>959.1+(564.2-667.3)+(-1.956564+(-1.150968--1.361292))+0-158.4--0.323135999999993</f>
        <v>696.17689600000017</v>
      </c>
      <c r="J242" s="3">
        <f>968.7+(510.8-618.4)+(1.482111+(0.781524-0.946152))+0-165.6-0.25336800000001</f>
        <v>696.56411500000013</v>
      </c>
      <c r="K242" s="3">
        <f>965.3+(505.9-586.4)+(-0.492303+(-0.258009--0.299064))+0-162.7--0.0829769999999835</f>
        <v>721.73172900000009</v>
      </c>
      <c r="L242" s="3">
        <f>959.7+(498.2-551.7)+(0.489447+(0.254082-0.281367))+0-161.9-0.0825689999999836</f>
        <v>744.67959300000007</v>
      </c>
      <c r="M242" s="3">
        <f>964.5+(482.7-470.2)+(-0.98379+(-0.492354--0.479604))+0-165.6--0.168912000000026</f>
        <v>810.57237199999997</v>
      </c>
      <c r="N242" s="3">
        <f>968.5+(488-506.5)+(0+(0-0))+0-165.7-0</f>
        <v>784.3</v>
      </c>
      <c r="O242" s="3">
        <f>957.9+(452-444.9)+(-1.954116+(-0.92208--0.907596))+0-163.2--0.332927999999993</f>
        <v>800.16432800000007</v>
      </c>
      <c r="P242" s="3">
        <f>953.2+(430.6-419.9)+(-1.458396+(-0.658818--0.642447))+0-159.1--0.243423000000009</f>
        <v>803.56865600000003</v>
      </c>
      <c r="Q242" s="3">
        <f>940.7+(432.3-410.7)+(-1.919028+(-0.881892--0.837828))+0-160.9--0.328235999999993</f>
        <v>799.76514400000008</v>
      </c>
      <c r="R242" s="3">
        <f>936.1+(423.4-406.1)+(-0.954822+(-0.431868--0.414222))+0-162.2--0.165444000000026</f>
        <v>790.39297599999986</v>
      </c>
      <c r="S242" s="3">
        <f>935.3+(398-376.1)+(-0.954006+(-0.40596--0.383622))+0-169.2--0.172584000000027</f>
        <v>787.19623999999988</v>
      </c>
      <c r="T242" s="3">
        <f>934.7+(394.9-386.8)+(-0.476697+(-0.201399--0.197268))+0-167.5--0.085424999999983</f>
        <v>774.90459699999997</v>
      </c>
      <c r="U242" s="3">
        <f>927.3+(392.6-378.5)+(-0.472923+(-0.200226--0.193035))+0-157.2--0.080171999999984</f>
        <v>783.80005800000004</v>
      </c>
      <c r="V242" s="3">
        <f>944.2+(403.9-368.4)+(-1.926168+(-0.823956--0.751536))+0-163.2--0.332927999999993</f>
        <v>814.83434000000011</v>
      </c>
      <c r="W242" s="3">
        <f>988.8+(444.6-382.1)+(-1.512864+(-0.680238--0.584613))+0-159.6--0.244188000000009</f>
        <v>890.33569899999998</v>
      </c>
      <c r="X242" s="3">
        <f>1001.9+(456.1-420.4)+(-2.554845+(-1.163055--1.07202))+0-156.2--0.398309999999977</f>
        <v>879.15242999999975</v>
      </c>
      <c r="Y242" s="3">
        <f>1005+(417.3-406.8)+(-1.0251+(-0.425646--0.414936))+0-155.3--0.158406000000025</f>
        <v>859.32259599999998</v>
      </c>
      <c r="Z242" s="3">
        <f>1009.5+(417.6-429.4)+(-1.02969+(-0.425952--0.437988))+0-160.9--0.164118000000026</f>
        <v>835.94646400000011</v>
      </c>
      <c r="AA242" s="3">
        <f>1019.4+(427.7-456)+(-2.079576+(-0.872508--0.93024))+0-162.2--0.330887999999993</f>
        <v>827.20904399999995</v>
      </c>
      <c r="AB242" s="3">
        <f>1019.8+(424-484.3)+(-2.60049+(-1.0812--1.234965))+0-158.1--0.403154999999977</f>
        <v>799.35642999999993</v>
      </c>
      <c r="AC242" s="3">
        <f>1002.3+(402.5-496.1)+(-2.044692+(-0.8211--1.012044))+0-156.8--0.319871999999993</f>
        <v>750.3661239999999</v>
      </c>
      <c r="AD242">
        <f t="shared" si="3"/>
        <v>18815.818710999996</v>
      </c>
      <c r="AE242" s="3">
        <f>1003+(474.9-427.9)+(0+(0-0))+0-153.1-0</f>
        <v>896.9</v>
      </c>
    </row>
    <row r="243" spans="1:31" s="2" customFormat="1" x14ac:dyDescent="0.25">
      <c r="A243">
        <v>89</v>
      </c>
      <c r="B243">
        <v>8</v>
      </c>
      <c r="C243">
        <v>27</v>
      </c>
      <c r="D243">
        <v>6</v>
      </c>
      <c r="E243">
        <v>6</v>
      </c>
      <c r="F243" s="3">
        <f>842.1+(444.2-409.4)+(-2.147355+(-1.13271--1.04397))+0-157.5--0.401624999999977</f>
        <v>717.56553000000008</v>
      </c>
      <c r="G243" s="3">
        <f>850.2+(457.6-449)+(-1.734408+(-0.933504--0.91596))+0-153.9--0.313955999999993</f>
        <v>703.46200400000009</v>
      </c>
      <c r="H243" s="3">
        <f>851+(464.6-466.8)+(-1.73604+(-0.947784--0.952272))+0-155.7--0.317627999999993</f>
        <v>691.68607599999996</v>
      </c>
      <c r="I243" s="3">
        <f>853.2+(425.3-437.9)+(0.870264+(0.433806-0.446658))+0-151.8-0.154836000000024</f>
        <v>689.50257599999998</v>
      </c>
      <c r="J243" s="3">
        <f>853.5+(424.7-433.7)+(-1.305855+(-0.649791--0.663561))+0-153.1--0.234243000000009</f>
        <v>690.34215799999993</v>
      </c>
      <c r="K243" s="3">
        <f>857.4+(444.4-434.2)+(-0.437274+(-0.226644--0.221442))+0-160.1--0.0816509999999838</f>
        <v>707.1391749999998</v>
      </c>
      <c r="L243" s="3">
        <f>852.5+(468.2-429.2)+(-2.60865+(-1.432692--1.313352))+0-158--0.483480000000018</f>
        <v>731.25549000000001</v>
      </c>
      <c r="M243" s="3">
        <f>853+(481-383.3)+(0+(0-0))+0-161.6-0</f>
        <v>789.1</v>
      </c>
      <c r="N243" s="3">
        <f>846.2+(512.9-358.2)+(-0.863124+(-0.523158--0.365364))+0-160.6--0.163812000000026</f>
        <v>839.44289400000002</v>
      </c>
      <c r="O243" s="3">
        <f>830+(517-320.2)+(0.8466+(0.52734-0.326604))+0-155.2-0.158304000000025</f>
        <v>872.48903199999995</v>
      </c>
      <c r="P243" s="3">
        <f>797.5+(505.8-273.8)+(-1.6269+(-1.031832--0.558552))+0-157.7--0.321707999999993</f>
        <v>870.02152799999999</v>
      </c>
      <c r="Q243" s="3">
        <f>743.4+(512.6-210.1)+(-1.516536+(-1.045704--0.428604))+0-159--0.324359999999993</f>
        <v>885.09072400000002</v>
      </c>
      <c r="R243" s="3">
        <f>715.9+(507.8-190.5)+(-1.095327+(-0.776934--0.291465))+0-162.5--0.248625000000009</f>
        <v>869.36782900000014</v>
      </c>
      <c r="S243" s="3">
        <f>725.2+(500-205.6)+(-1.109556+(-0.765--0.314568))+0-161.6--0.247248000000009</f>
        <v>856.68726000000004</v>
      </c>
      <c r="T243" s="3">
        <f>732.2+(479.3-206.5)+(0.373422+(0.244443-0.105315))+0-162.1-0.0826709999999835</f>
        <v>843.32987900000001</v>
      </c>
      <c r="U243" s="3">
        <f>786+(442.2-233.1)+(0.40086+(0.225522-0.118881))+0-158.2-0.0806819999999839</f>
        <v>837.32681900000011</v>
      </c>
      <c r="V243" s="3">
        <f>798.8+(458.8-217.2)+(0+(0-0))+0-160.2-0</f>
        <v>880.2</v>
      </c>
      <c r="W243" s="3">
        <f>808.3+(509.2-190.7)+(0+(0-0))+0-157.5-0</f>
        <v>969.3</v>
      </c>
      <c r="X243" s="3">
        <f>818.6+(505.2-224.5)+(-1.252458+(-0.772956--0.343485))+0-149.3--0.228429000000009</f>
        <v>948.54649999999992</v>
      </c>
      <c r="Y243" s="3">
        <f>827.6+(506.1-265.4)+(-0.844152+(-0.516222--0.270708))+0-146.1--0.149022000000023</f>
        <v>921.25935600000014</v>
      </c>
      <c r="Z243" s="3">
        <f>828+(507.6-302.5)+(-0.42228+(-0.258876--0.154275))+0-148--0.075479999999985</f>
        <v>884.64859899999988</v>
      </c>
      <c r="AA243" s="3">
        <f>830.9+(514.9-330.2)+(-0.423759+(-0.262599--0.168402))+0-149.1--0.0760409999999849</f>
        <v>866.05808499999989</v>
      </c>
      <c r="AB243" s="3">
        <f>832.9+(519.6-356.6)+(-1.274337+(-0.794988--0.545598))+0-159.6--0.244188000000009</f>
        <v>835.02046099999995</v>
      </c>
      <c r="AC243" s="3">
        <f>839.5+(495.4-378.5)+(-0.85629+(-0.505308--0.38607))+0-163--0.166260000000026</f>
        <v>792.590732</v>
      </c>
      <c r="AD243">
        <f t="shared" si="3"/>
        <v>19691.432707</v>
      </c>
      <c r="AE243" s="3">
        <f>813+(500.3-205.3)+(0+(0-0))+0-154.9-0</f>
        <v>953.1</v>
      </c>
    </row>
    <row r="244" spans="1:31" s="2" customFormat="1" x14ac:dyDescent="0.25">
      <c r="A244">
        <v>89</v>
      </c>
      <c r="B244">
        <v>8</v>
      </c>
      <c r="C244">
        <v>28</v>
      </c>
      <c r="D244">
        <v>7</v>
      </c>
      <c r="E244">
        <v>1</v>
      </c>
      <c r="F244" s="3">
        <f>846.8+(502.8-424.5)+(-1.727472+(-1.025712--0.86598))+0-161.8--0.330071999999993</f>
        <v>761.74286799999982</v>
      </c>
      <c r="G244" s="3">
        <f>847.6+(432.5-389.1)+(-2.16138+(-1.102875--0.992205))+0-156.7--0.399584999999977</f>
        <v>732.42753499999992</v>
      </c>
      <c r="H244" s="3">
        <f>847.2+(416.2-392.6)+(-2.16036+(-1.06131--1.00113))+0-149.2--0.380459999999978</f>
        <v>719.75991999999985</v>
      </c>
      <c r="I244" s="3">
        <f>849.8+(418.9-398.8)+(-0.433398+(-0.213639--0.203388))+0-157.8--0.080477999999984</f>
        <v>711.73682899999983</v>
      </c>
      <c r="J244" s="3">
        <f>848.7+(436.2-410.8)+(0.865674+(0.444924-0.419016))+0-161.3-0.164526000000026</f>
        <v>713.5270559999999</v>
      </c>
      <c r="K244" s="3">
        <f>847.2+(440.5-401.9)+(-0.432072+(-0.224655--0.204969))+0-161--0.0821099999999837</f>
        <v>724.43035199999997</v>
      </c>
      <c r="L244" s="3">
        <f>846.9+(438.9-388)+(-1.727676+(-0.895356--0.79152))+0-159.5--0.325379999999993</f>
        <v>736.79386799999997</v>
      </c>
      <c r="M244" s="3">
        <f>847.1+(440.1-348.9)+(1.296063+(0.673353-0.533817))+0-163.5-0.250155000000009</f>
        <v>775.98544400000003</v>
      </c>
      <c r="N244" s="3">
        <f>822.9+(406.8-259.3)+(0+(0-0))+0-157.5-0</f>
        <v>812.9</v>
      </c>
      <c r="O244" s="3">
        <f>816.9+(369.5-196.7)+(-0.416619+(-0.188445--0.100317))+0-148.1--0.075530999999985</f>
        <v>841.17078400000003</v>
      </c>
      <c r="P244" s="3">
        <f>808.2+(439.1-238.8)+(0.412182+(0.223941-0.121788))+0-147.2-0.0750719999999851</f>
        <v>861.73926300000005</v>
      </c>
      <c r="Q244" s="3">
        <f>798.8+(442.2-226.7)+(0.407388+(0.225522-0.115617))+0-149.4-0.0761939999999848</f>
        <v>865.34109899999999</v>
      </c>
      <c r="R244" s="3">
        <f>788.3+(450.5-216.6)+(-2.010165+(-1.148775--0.55233))+0-163.4--0.416669999999976</f>
        <v>856.61005999999986</v>
      </c>
      <c r="S244" s="3">
        <f>785.6+(418.1-192.2)+(-1.201968+(-0.639693--0.294066))+0-165.1--0.25260300000001</f>
        <v>845.105008</v>
      </c>
      <c r="T244" s="3">
        <f>786.3+(395.1-174.7)+(0.401013+(0.201501-0.089097))+0-161.3-0.0822629999999836</f>
        <v>845.83115399999997</v>
      </c>
      <c r="U244" s="3">
        <f>784.7+(393.2-172.5)+(-1.600788+(-0.802128--0.3519))+0-157.7--0.321707999999993</f>
        <v>845.9706920000001</v>
      </c>
      <c r="V244" s="3">
        <f>794.6+(452.9-202.8)+(0.405246+(0.230979-0.103428))+0-163.7-0.0834869999999834</f>
        <v>881.44931000000008</v>
      </c>
      <c r="W244" s="3">
        <f>814.1+(499-200.5)+(0+(0-0))+0-157-0</f>
        <v>955.59999999999991</v>
      </c>
      <c r="X244" s="3">
        <f>820.4+(521-242.9)+(-1.673616+(-1.06284--0.495516))+0-156--0.318239999999993</f>
        <v>940.57730000000004</v>
      </c>
      <c r="Y244" s="3">
        <f>821.2+(531.8-281.6)+(-0.837624+(-0.542436--0.287232))+0-154.6--0.157692000000025</f>
        <v>915.86486400000001</v>
      </c>
      <c r="Z244" s="3">
        <f>852.3+(508-320)+(-0.869346+(-0.51816--0.3264))+0-155.5--0.158610000000025</f>
        <v>883.89750399999991</v>
      </c>
      <c r="AA244" s="3">
        <f>868.5+(515.9-359.4)+(-0.442935+(-0.263109--0.183294))+0-157.3--0.080222999999984</f>
        <v>867.25747299999989</v>
      </c>
      <c r="AB244" s="3">
        <f>883.9+(502.6-409)+(-1.352367+(-0.768978--0.62577))+0-153.5--0.234855000000009</f>
        <v>822.73928000000001</v>
      </c>
      <c r="AC244" s="3">
        <f>886.7+(485-436.4)+(0+(0-0))+0-156.5-0</f>
        <v>778.80000000000007</v>
      </c>
      <c r="AD244">
        <f t="shared" si="3"/>
        <v>19697.257663</v>
      </c>
      <c r="AE244" s="3">
        <f>817+(529.4-258.7)+(0+(0-0))+0-154-0</f>
        <v>933.7</v>
      </c>
    </row>
    <row r="245" spans="1:31" s="2" customFormat="1" x14ac:dyDescent="0.25">
      <c r="A245">
        <v>89</v>
      </c>
      <c r="B245">
        <v>8</v>
      </c>
      <c r="C245">
        <v>29</v>
      </c>
      <c r="D245">
        <v>1</v>
      </c>
      <c r="E245">
        <v>1</v>
      </c>
      <c r="F245" s="3">
        <f>879.2+(470.8-445)+(-1.793568+(-0.960432--0.9078))+0-157.5--0.321299999999993</f>
        <v>745.9751</v>
      </c>
      <c r="G245" s="3">
        <f>880.3+(465.5-470.6)+(-1.346859+(-0.712215--0.720018))+0-155.2--0.237456000000009</f>
        <v>718.89840000000004</v>
      </c>
      <c r="H245" s="3">
        <f>881.6+(417.5-435.5)+(-1.348848+(-0.638775--0.666315))+0-155.1--0.237303000000009</f>
        <v>707.41599499999995</v>
      </c>
      <c r="I245" s="3">
        <f>888.4+(403.6-436.8)+(1.359252+(0.617508-0.668304))+0-155.3-0.237609000000009</f>
        <v>700.97084700000005</v>
      </c>
      <c r="J245" s="3">
        <f>886.6+(405.4-432.4)+(-1.356498+(-0.620262--0.661572))+0-150.1--0.229653000000009</f>
        <v>708.41446499999995</v>
      </c>
      <c r="K245" s="3">
        <f>891.3+(417.4-433.5)+(-0.454563+(-0.212874--0.221085))+0-141.9--0.0723689999999856</f>
        <v>732.92601699999989</v>
      </c>
      <c r="L245" s="3">
        <f>890.6+(441.5-408.3)+(-1.816824+(-0.90066--0.832932))+0-139.6--0.284783999999994</f>
        <v>782.60023199999989</v>
      </c>
      <c r="M245" s="3">
        <f>888.3+(475-390.5)+(1.359099+(0.72675-0.597465))+0-141.8-0.216954000000008</f>
        <v>832.27143000000001</v>
      </c>
      <c r="N245" s="3">
        <f>880.3+(553.5-417.7)+(0.448953+(0.282285-0.213027))+0-140.9-0.0718589999999857</f>
        <v>875.64635199999987</v>
      </c>
      <c r="O245" s="3">
        <f>876.2+(680.5-510.9)+(-0.893724+(-0.69411--0.521118))+0-137.9--0.140658000000022</f>
        <v>906.97394200000019</v>
      </c>
      <c r="P245" s="3">
        <f>861.3+(676.1-485.9)+(0+(0-0))+0-138-0</f>
        <v>913.5</v>
      </c>
      <c r="Q245" s="3">
        <f>875+(636.6-467.5)+(0+(0-0))+0-131-0</f>
        <v>913.09999999999991</v>
      </c>
      <c r="R245" s="3">
        <f>861+(589.8-435.5)+(-1.75644+(-1.203192--0.88842))+0-130.2--0.265607999999994</f>
        <v>883.29439600000012</v>
      </c>
      <c r="S245" s="3">
        <f>865.6+(536.4-398.1)+(1.324368+(0.820692-0.609093))+0-129.5-0.198135000000007</f>
        <v>875.73783200000003</v>
      </c>
      <c r="T245" s="3">
        <f>886.4+(533.1-399.3)+(0+(0-0))+0-147-0</f>
        <v>873.2</v>
      </c>
      <c r="U245" s="3">
        <f>929.8+(520.8-425.7)+(-0.948396+(-0.531216--0.434214))+0-151.7--0.154734000000024</f>
        <v>872.30933599999992</v>
      </c>
      <c r="V245" s="3">
        <f>949.7+(520.3-397.1)+(0.484347+(0.265353-0.202521))+0-151.4-0.0772139999999846</f>
        <v>921.969965</v>
      </c>
      <c r="W245" s="3">
        <f>1033.5+(541.9-417.7)+(-1.05417+(-0.552738--0.426054))+0-152.6--0.155652000000024</f>
        <v>1004.0747980000001</v>
      </c>
      <c r="X245" s="3">
        <f>1100.6+(590.9-531.9)+(-1.683918+(-0.904077--0.813807))+0-154.6--0.236538000000009</f>
        <v>1003.4623499999998</v>
      </c>
      <c r="Y245" s="3">
        <f>1105.8+(535.3-520)+(-0.563958+(-0.273003--0.2652))+0-150.8--0.0769079999999847</f>
        <v>969.80514700000003</v>
      </c>
      <c r="Z245" s="3">
        <f>1123.6+(522.2-567.9)+(-0.573036+(-0.266322--0.289629))+0-148.9--0.0759389999999849</f>
        <v>928.52620999999999</v>
      </c>
      <c r="AA245" s="3">
        <f>1157+(451.7-545)+(-1.18014+(-0.460734--0.5559))+0-151--0.154020000000024</f>
        <v>911.769046</v>
      </c>
      <c r="AB245" s="3">
        <f>1171.1+(369.8-528.1)+(-0.597261+(-0.188598--0.269331))+0-153.8--0.0784379999999844</f>
        <v>858.5619099999999</v>
      </c>
      <c r="AC245" s="3">
        <f>1176.2+(313.7-529.6)+(-2.399448+(-0.639948--1.080384))+0-155--0.316199999999993</f>
        <v>803.65718799999991</v>
      </c>
      <c r="AD245">
        <f t="shared" si="3"/>
        <v>20445.060958000002</v>
      </c>
      <c r="AE245" s="3">
        <f>1090+(534.3-445.2)+(0+(0-0))+0-154-0</f>
        <v>1025.0999999999999</v>
      </c>
    </row>
    <row r="246" spans="1:31" s="2" customFormat="1" x14ac:dyDescent="0.25">
      <c r="A246">
        <v>89</v>
      </c>
      <c r="B246">
        <v>8</v>
      </c>
      <c r="C246">
        <v>30</v>
      </c>
      <c r="D246">
        <v>2</v>
      </c>
      <c r="E246">
        <v>1</v>
      </c>
      <c r="F246" s="3">
        <f>1184.9+(277.6-538.7)+(-0.604299+(-0.141576--0.274737))+0-154.7--0.0788969999999843</f>
        <v>768.70775900000001</v>
      </c>
      <c r="G246" s="3">
        <f>1187.9+(277.9-565.6)+(-1.817487+(-0.425187--0.865368))+0-150.8--0.230724000000009</f>
        <v>748.25341800000001</v>
      </c>
      <c r="H246" s="3">
        <f>1186.7+(281.2-582)+(-0.605217+(-0.143412--0.29682))+0-149.8--0.0763979999999848</f>
        <v>735.72458900000004</v>
      </c>
      <c r="I246" s="3">
        <f>1192.3+(276.9-592.9)+(-0.608073+(-0.141219--0.302379))+0-149.2--0.0760919999999849</f>
        <v>726.72917899999993</v>
      </c>
      <c r="J246" s="3">
        <f>1186.6+(277.8-577.9)+(2.420664+(0.566712-1.178916))+0-149.3-0.304571999999994</f>
        <v>738.70388800000001</v>
      </c>
      <c r="K246" s="3">
        <f>1189.1+(305.9-588.6)+(0.606441+(0.156009-0.300186))+0-147.3-0.0751229999999851</f>
        <v>759.48714099999995</v>
      </c>
      <c r="L246" s="3">
        <f>1192.1+(406.8-647.1)+(0+(0-0))+0-145.5-0</f>
        <v>806.3</v>
      </c>
      <c r="M246" s="3">
        <f>1197+(397.8-581.2)+(-1.83141+(-0.608634--0.889236))+0-152.1--0.232713000000009</f>
        <v>860.18190499999992</v>
      </c>
      <c r="N246" s="3">
        <f>1182.8+(386.9-517.5)+(1.206456+(0.394638-0.52785))+0-157-0.160140000000025</f>
        <v>896.11310399999968</v>
      </c>
      <c r="O246" s="3">
        <f>1176+(391.9-497.9)+(-1.79928+(-0.599607--0.761787))+0-156.5--0.239445000000009</f>
        <v>912.10234500000013</v>
      </c>
      <c r="P246" s="3">
        <f>1136.1+(400.3-465.9)+(0.579411+(0.204153-0.237609))+0-150.6-0.0768059999999847</f>
        <v>920.36914899999999</v>
      </c>
      <c r="Q246" s="3">
        <f>1049.4+(447.4-428.5)+(-1.070388+(-0.456348--0.43707))+0-149.4--0.152388000000024</f>
        <v>917.9627220000001</v>
      </c>
      <c r="R246" s="3">
        <f>1138.8+(383.6-471.1)+(-2.90394+(-0.97818--1.201305))+0-146.3--0.373064999999979</f>
        <v>902.69225000000006</v>
      </c>
      <c r="S246" s="3">
        <f>1115.7+(368.6-441.4)+(-0.569007+(-0.187986--0.225114))+0-146.5--0.0747149999999851</f>
        <v>895.94283600000017</v>
      </c>
      <c r="T246" s="3">
        <f>1113.3+(333.1-407.5)+(-1.703349+(-0.509643--0.623475))+0-146.1--0.223533000000008</f>
        <v>891.43401600000016</v>
      </c>
      <c r="U246" s="3">
        <f>1181.2+(351.3-493.8)+(0.602412+(0.179163-0.251838))+0-145.3-0.0741029999999853</f>
        <v>893.85563400000012</v>
      </c>
      <c r="V246" s="3">
        <f>1233.8+(388.7-535.9)+(-0.629238+(-0.198237--0.273309))+0-148.8--0.0758879999999849</f>
        <v>937.32172200000002</v>
      </c>
      <c r="W246" s="3">
        <f>1292.6+(403.1-527.7)+(0+(0-0))+0-149-0</f>
        <v>1019</v>
      </c>
      <c r="X246" s="3">
        <f>1302.4+(383.5-537.2)+(-2.656896+(-0.78234--1.095888))+0-146.4--0.298655999999994</f>
        <v>1000.2553079999999</v>
      </c>
      <c r="Y246" s="3">
        <f>1312.9+(375.1-565.3)+(-2.678316+(-0.765204--1.153212))+0-146.2--0.298247999999994</f>
        <v>974.50794000000008</v>
      </c>
      <c r="Z246" s="3">
        <f>1324.5+(348.5-593.4)+(-3.377475+(-0.888675--1.51317))+0-144.9--0.369494999999979</f>
        <v>932.31651499999998</v>
      </c>
      <c r="AA246" s="3">
        <f>1247.8+(389.9-582.4)+(-1.909134+(-0.596547--0.891072))+0-150.7--0.230571000000009</f>
        <v>903.21596199999999</v>
      </c>
      <c r="AB246" s="3">
        <f>1131.2+(384.4-518.2)+(-1.730736+(-0.588132--0.792846))+0-149.8--0.229194000000009</f>
        <v>846.3031719999999</v>
      </c>
      <c r="AC246" s="3">
        <f>1125.6+(362.2-532.7)+(-1.722168+(-0.554166--0.815031))+0-150.4--0.230112000000009</f>
        <v>803.46880899999985</v>
      </c>
      <c r="AD246">
        <f t="shared" si="3"/>
        <v>20790.949362999996</v>
      </c>
      <c r="AE246" s="3">
        <f>1292+(392.3-530.7)+(0+(0-0))+0-151-0</f>
        <v>1002.5999999999999</v>
      </c>
    </row>
    <row r="247" spans="1:31" s="2" customFormat="1" x14ac:dyDescent="0.25">
      <c r="A247">
        <v>89</v>
      </c>
      <c r="B247">
        <v>9</v>
      </c>
      <c r="C247">
        <v>1</v>
      </c>
      <c r="D247">
        <v>3</v>
      </c>
      <c r="E247">
        <v>1</v>
      </c>
      <c r="F247" s="3">
        <f>1075.2+(373.2-520.4)+(-2.74176+(-0.95166--1.32702))+0-153.1--0.390404999999978</f>
        <v>772.92400499999997</v>
      </c>
      <c r="G247" s="3">
        <f>1004+(415.4-521.1)+(-0.51204+(-0.211854--0.265761))+0-150.6--0.0768059999999847</f>
        <v>747.31867299999999</v>
      </c>
      <c r="H247" s="3">
        <f>947.8+(434.8-496.7)+(-1.450134+(-0.665244--0.759951))+0-152.1--0.232713000000009</f>
        <v>732.67728599999998</v>
      </c>
      <c r="I247" s="3">
        <f>949.7+(476-548.2)+(-0.484347+(-0.24276--0.279582))+0-152.2--0.0776219999999846</f>
        <v>724.93009699999993</v>
      </c>
      <c r="J247" s="3">
        <f>956+(481.1-554.6)+(0.48756+(0.245361-0.282846))+0-148-0.075479999999985</f>
        <v>734.874595</v>
      </c>
      <c r="K247" s="3">
        <f>953.9+(440.5-492.1)+(-1.459467+(-0.673965--0.752913))+0-148.2--0.226746000000009</f>
        <v>752.94622699999991</v>
      </c>
      <c r="L247" s="3">
        <f>977.7+(502.4-536.4)+(0+(0-0))+0-147.1-0</f>
        <v>796.6</v>
      </c>
      <c r="M247" s="3">
        <f>999.3+(513.3-520.5)+(-0.509643+(-0.261783--0.265455))+0-152.2--0.0776219999999846</f>
        <v>839.47165099999984</v>
      </c>
      <c r="N247" s="3">
        <f>1026.6+(509.4-495.3)+(-2.094264+(-1.039176--1.010412))+0-152.6--0.311303999999993</f>
        <v>886.28827599999977</v>
      </c>
      <c r="O247" s="3">
        <f>1203.1+(415.5-567)+(-1.840743+(-0.635715--0.86751))+0-150.9--0.230877000000009</f>
        <v>899.32192899999984</v>
      </c>
      <c r="P247" s="3">
        <f>1246.1+(374.8-552.9)+(-1.271022+(-0.382296--0.563958))+0-156.8--0.159936000000025</f>
        <v>910.27057600000012</v>
      </c>
      <c r="Q247" s="3">
        <f>1235.9+(368.7-542.5)+(-1.260618+(-0.376074--0.55335))+0-158.3--0.161466000000025</f>
        <v>902.8781240000003</v>
      </c>
      <c r="R247" s="3">
        <f>1212.2+(365-521.9)+(-0.618222+(-0.18615--0.266169))+0-156.2--0.0796619999999841</f>
        <v>898.64145900000005</v>
      </c>
      <c r="S247" s="3">
        <f>1144+(374.2-470.4)+(-1.75032+(-0.572526--0.719712))+0-158.5--0.242505000000009</f>
        <v>887.93937100000005</v>
      </c>
      <c r="T247" s="3">
        <f>1067.1+(404.2-432.4)+(0+(0-0))+0-155.1-0</f>
        <v>883.79999999999984</v>
      </c>
      <c r="U247" s="3">
        <f>1078.5+(406.7-440.1)+(0.550035+(0.207417-0.224451))+0-154.3-0.0786929999999844</f>
        <v>891.25430800000004</v>
      </c>
      <c r="V247" s="3">
        <f>1082.2+(431.9-418.6)+(0+(0-0))+0-160.9-0</f>
        <v>934.6</v>
      </c>
      <c r="W247" s="3">
        <f>1094.7+(425.6-338.4)+(-0.558297+(-0.217056--0.172584))+0-163.5--0.0833849999999834</f>
        <v>1017.880616</v>
      </c>
      <c r="X247" s="3">
        <f>1113+(402.1-350.2)+(-2.83815+(-1.025355--0.89301))+0-163.9--0.417944999999976</f>
        <v>998.44745000000012</v>
      </c>
      <c r="Y247" s="3">
        <f>1120.3+(406.8-387.7)+(-0.571353+(-0.207468--0.197727))+0-160.9--0.0820589999999837</f>
        <v>978.00096500000018</v>
      </c>
      <c r="Z247" s="3">
        <f>1131.6+(401.9-434.5)+(-1.731348+(-0.614907--0.664785))+0-162.2--0.248166000000009</f>
        <v>935.36669599999993</v>
      </c>
      <c r="AA247" s="3">
        <f>1132.6+(406.1-470.4)+(-2.310504+(-0.828444--0.959616))+0-163--0.332519999999993</f>
        <v>903.45318800000007</v>
      </c>
      <c r="AB247" s="3">
        <f>1138.7+(394.5-517.4)+(-2.322948+(-0.80478--1.055496))+0-159.7--0.325787999999993</f>
        <v>854.35355600000014</v>
      </c>
      <c r="AC247" s="3">
        <f>1143.7+(384.8-564.1)+(-4.083009+(-1.373736--2.013837))+0-158.2--0.564774000000002</f>
        <v>803.32186600000011</v>
      </c>
      <c r="AD247">
        <f t="shared" si="3"/>
        <v>20687.560914000002</v>
      </c>
      <c r="AE247" s="3">
        <f>1112+(423.7-332.9)+(0+(0-0))+0-163.2-0</f>
        <v>1039.5999999999999</v>
      </c>
    </row>
    <row r="248" spans="1:31" s="2" customFormat="1" x14ac:dyDescent="0.25">
      <c r="A248">
        <v>89</v>
      </c>
      <c r="B248">
        <v>9</v>
      </c>
      <c r="C248">
        <v>2</v>
      </c>
      <c r="D248">
        <v>4</v>
      </c>
      <c r="E248">
        <v>1</v>
      </c>
      <c r="F248" s="3">
        <f>1147.2+(406.2-624.9)+(-1.755216+(-0.621486--0.956097))+0-157.7--0.241281000000009</f>
        <v>769.62067599999989</v>
      </c>
      <c r="G248" s="3">
        <f>1151.5+(381.3-626.8)+(-1.17453+(-0.388926--0.639336))+0-156.5--0.159630000000025</f>
        <v>748.73550999999998</v>
      </c>
      <c r="H248" s="3">
        <f>1150.5+(392.6-647.8)+(-1.760265+(-0.600678--0.991134))+0-156.9--0.240057000000009</f>
        <v>737.27024800000004</v>
      </c>
      <c r="I248" s="3">
        <f>1151.7+(405-664.5)+(-1.762101+(-0.61965--1.016685))+0-158.3--0.242199000000009</f>
        <v>732.77713300000005</v>
      </c>
      <c r="J248" s="3">
        <f>1152.4+(406.3-664.5)+(0+(0-0))+0-158.2-0</f>
        <v>736</v>
      </c>
      <c r="K248" s="3">
        <f>1153.9+(410.7-642.8)+(-2.353956+(-0.837828--1.311312))+0-158.2--0.322727999999993</f>
        <v>762.04225600000007</v>
      </c>
      <c r="L248" s="3">
        <f>1142+(403.5-577)+(-0.58242+(-0.205785--0.29427))+0-159.6--0.0813959999999838</f>
        <v>808.48746099999994</v>
      </c>
      <c r="M248" s="3">
        <f>1152.7+(448.1-584.8)+(-0.587877+(-0.228531--0.298248))+0-161.5--0.0823649999999836</f>
        <v>854.06420500000013</v>
      </c>
      <c r="N248" s="3">
        <f>1137.9+(451.1-542.8)+(0.580329+(0.230061-0.276828))+0-160.9-0.0820589999999837</f>
        <v>885.75150300000041</v>
      </c>
      <c r="O248" s="3">
        <f>1124.2+(433.8-501.1)+(-1.720026+(-0.663714--0.766683))+0-150.5--0.230265000000009</f>
        <v>905.01320800000019</v>
      </c>
      <c r="P248" s="3">
        <f>1112.2+(415.8-470.3)+(0.567222+(0.212058-0.239853))+0-151.7-0.0773669999999846</f>
        <v>906.46205999999995</v>
      </c>
      <c r="Q248" s="3">
        <f>1102.4+(401-439.5)+(-2.248896+(-0.81804--0.89658))+0-154.5--0.315179999999993</f>
        <v>907.54482399999995</v>
      </c>
      <c r="R248" s="3">
        <f>1089.1+(357.3-391.4)+(-0.555441+(-0.182223--0.199614))+0-157.3--0.080222999999984</f>
        <v>897.24217299999987</v>
      </c>
      <c r="S248" s="3">
        <f>1083+(364.1-393.6)+(1.10466+(0.371382-0.401472))+0-155-0.158100000000025</f>
        <v>899.41647</v>
      </c>
      <c r="T248" s="3">
        <f>1082.2+(228.2-289.6)+(1.103844+(0.232764-0.295392))+0-137.7-0.140454000000022</f>
        <v>884.00076200000001</v>
      </c>
      <c r="U248" s="3">
        <f>1078.6+(249.8-305.2)+(0.550086+(0.127398-0.155652))+0-141.3-0.0720629999999857</f>
        <v>882.34976900000004</v>
      </c>
      <c r="V248" s="3">
        <f>1087.4+(319.2-326.9)+(-1.109148+(-0.325584--0.333438))+0-147.6--0.150552000000024</f>
        <v>931.14925800000003</v>
      </c>
      <c r="W248" s="3">
        <f>1089+(333.7-258)+(0.55539+(0.170187-0.13158))+0-146.4-0.0746639999999851</f>
        <v>1018.819333</v>
      </c>
      <c r="X248" s="3">
        <f>1104.7+(341-286.6)+(-1.690191+(-0.52173--0.438498))+0-150.2--0.229806000000009</f>
        <v>1007.3563829999998</v>
      </c>
      <c r="Y248" s="3">
        <f>1112.6+(338.7-321.6)+(-1.702278+(-0.518211--0.492048))+0-147.1--0.225063000000008</f>
        <v>981.0966219999998</v>
      </c>
      <c r="Z248" s="3">
        <f>1118.8+(350.1-375.7)+(-1.141176+(-0.357102--0.383214))+0-158--0.161160000000025</f>
        <v>934.24609599999997</v>
      </c>
      <c r="AA248" s="3">
        <f>1125.8+(352.3-430.7)+(-1.722474+(-0.539019--0.658971))+0-162.7--0.248931000000009</f>
        <v>883.34640900000011</v>
      </c>
      <c r="AB248" s="3">
        <f>1133.2+(359.3-491)+(-2.311728+(-0.732972--1.00164))+0-161.2--0.328847999999993</f>
        <v>838.58578799999998</v>
      </c>
      <c r="AC248" s="3">
        <f>1132.8+(317.2-497.4)+(-1.155456+(-0.323544--0.507348))+0-164.5--0.167790000000026</f>
        <v>787.29613800000004</v>
      </c>
      <c r="AD248">
        <f t="shared" si="3"/>
        <v>20698.674285000005</v>
      </c>
      <c r="AE248" s="3">
        <f>1098+(348.1-286.3)+(0+(0-0))+0-151-0</f>
        <v>1008.8</v>
      </c>
    </row>
    <row r="249" spans="1:31" s="2" customFormat="1" x14ac:dyDescent="0.25">
      <c r="A249">
        <v>89</v>
      </c>
      <c r="B249">
        <v>9</v>
      </c>
      <c r="C249">
        <v>3</v>
      </c>
      <c r="D249">
        <v>5</v>
      </c>
      <c r="E249">
        <v>1</v>
      </c>
      <c r="F249" s="3">
        <f>1025.5+(334.6-445.4)+(-2.09202+(-0.682584--0.908616))+0-137.1--0.279683999999994</f>
        <v>776.01369599999998</v>
      </c>
      <c r="G249" s="3">
        <f>1021.3+(343.2-471.9)+(-1.562589+(-0.525096--0.722007))+0-137.8--0.210834000000008</f>
        <v>753.64515599999982</v>
      </c>
      <c r="H249" s="3">
        <f>1020+(341.4-482.4)+(-2.601+(-0.87057--1.23012))+0-137.4--0.35036999999998</f>
        <v>739.70892000000003</v>
      </c>
      <c r="I249" s="3">
        <f>1023.4+(325.3-466.6)+(-0.521934+(-0.165903--0.237966))+0-138.3--0.070532999999986</f>
        <v>743.42066199999988</v>
      </c>
      <c r="J249" s="3">
        <f>1022.8+(288.6-430.2)+(0+(0-0))+0-138.3-0</f>
        <v>742.90000000000009</v>
      </c>
      <c r="K249" s="3">
        <f>1026.7+(277.3-402.2)+(-1.570851+(-0.424269--0.615366))+0-137.8--0.210834000000008</f>
        <v>762.83107999999993</v>
      </c>
      <c r="L249" s="3">
        <f>1026.8+(298.4-379.3)+(-1.571004+(-0.456552--0.580329))+0-155.6--0.238068000000009</f>
        <v>789.09084099999984</v>
      </c>
      <c r="M249" s="3">
        <f>1022.6+(294.1-322.4)+(-1.564578+(-0.449973--0.493272))+0-145--0.221850000000008</f>
        <v>848.00057100000004</v>
      </c>
      <c r="N249" s="3">
        <f>1011.8+(296.6-279.6)+(-1.032036+(-0.302532--0.285192))+0-134.3--0.136986000000021</f>
        <v>893.58761000000004</v>
      </c>
      <c r="O249" s="3">
        <f>1003.2+(308.1-276)+(0+(0-0))+0-122.4-0</f>
        <v>912.9000000000002</v>
      </c>
      <c r="P249" s="3">
        <f>993.9+(322.9-284)+(-1.013778+(-0.329358--0.28968))+0-117.9--0.120258000000019</f>
        <v>913.96680199999992</v>
      </c>
      <c r="Q249" s="3">
        <f>987.5+(311.1-261.8)+(-1.00725+(-0.317322--0.267036))+0-119.4--0.121788000000019</f>
        <v>916.46425199999999</v>
      </c>
      <c r="R249" s="3">
        <f>981.5+(280.6-258.7)+(-0.500565+(-0.143106--0.131937))+0-119.1--0.0607409999999879</f>
        <v>883.84900700000003</v>
      </c>
      <c r="S249" s="3">
        <f>972.1+(269.7-244.6)+(-0.991542+(-0.275094--0.249492))+0-121.3--0.123726000000019</f>
        <v>875.00658200000009</v>
      </c>
      <c r="T249" s="3">
        <f>970.5+(264.9-218.5)+(-0.98991+(-0.270198--0.22287))+0-125--0.12750000000002</f>
        <v>890.99026200000003</v>
      </c>
      <c r="U249" s="3">
        <f>969.6+(277.4-234.8)+(0.494496+(0.141474-0.119748))+0-125.6-0.0640559999999873</f>
        <v>887.05216600000006</v>
      </c>
      <c r="V249" s="3">
        <f>979+(305-237.6)+(0+(0-0))+0-121.2-0</f>
        <v>925.2</v>
      </c>
      <c r="W249" s="3">
        <f>985.2+(399.5-240.9)+(0+(0-0))+0-136-0</f>
        <v>1007.8</v>
      </c>
      <c r="X249" s="3">
        <f>1001.3+(387.8-253.7)+(-1.531989+(-0.593334--0.388161))+0-145.8--0.223074000000008</f>
        <v>988.08591200000023</v>
      </c>
      <c r="Y249" s="3">
        <f>1011.5+(383.6-284.5)+(-2.06346+(-0.782544--0.58038))+0-158.4--0.323135999999993</f>
        <v>950.25751200000002</v>
      </c>
      <c r="Z249" s="3">
        <f>1021.2+(376.3-312.1)+(-3.124872+(-1.151478--0.955026))+0-162.3--0.496638000000019</f>
        <v>920.27531400000021</v>
      </c>
      <c r="AA249" s="3">
        <f>1017.9+(326.9-293.8)+(-2.076516+(-0.666876--0.599352))+0-163.3--0.333131999999993</f>
        <v>885.88909200000012</v>
      </c>
      <c r="AB249" s="3">
        <f>1019.6+(328.5-335.7)+(-1.039992+(-0.33507--0.342414))+0-162--0.165240000000026</f>
        <v>849.53259200000014</v>
      </c>
      <c r="AC249" s="3">
        <f>996+(359.4-407.3)+(-2.03184+(-0.733176--0.830892))+0-161.4--0.329255999999993</f>
        <v>785.09513199999992</v>
      </c>
      <c r="AD249">
        <f t="shared" si="3"/>
        <v>20641.563160999998</v>
      </c>
      <c r="AE249" s="3">
        <f>982+(401.2-244.6)+(0+(0-0))+0-143.8-0</f>
        <v>994.8</v>
      </c>
    </row>
    <row r="250" spans="1:31" s="2" customFormat="1" x14ac:dyDescent="0.25">
      <c r="A250">
        <v>89</v>
      </c>
      <c r="B250">
        <v>9</v>
      </c>
      <c r="C250">
        <v>4</v>
      </c>
      <c r="D250">
        <v>6</v>
      </c>
      <c r="E250">
        <v>3</v>
      </c>
      <c r="F250" s="3">
        <f>856+(441.9-389.4)+(0+(0-0))+0-165-0</f>
        <v>743.5</v>
      </c>
      <c r="G250" s="3">
        <f>818+(409.9-348.6)+(0+(0-0))+0-160.1-0</f>
        <v>719.19999999999993</v>
      </c>
      <c r="H250" s="3">
        <f>827.8+(397.1-351.9)+(0+(0-0))+0-159.8-0</f>
        <v>713.2</v>
      </c>
      <c r="I250" s="3">
        <f>825.5+(379.4-333)+(0+(0-0))+0-164-0</f>
        <v>707.9</v>
      </c>
      <c r="J250" s="3">
        <f>828.9+(389.9-345.4)+(-0.422739+(-0.198849--0.176154))+0-164--0.0836399999999834</f>
        <v>709.03820599999995</v>
      </c>
      <c r="K250" s="3">
        <f>826.6+(410.5-349.1)+(1.264698+(0.628065-0.534123))+0-161.7-0.247401000000009</f>
        <v>727.41123900000014</v>
      </c>
      <c r="L250" s="3">
        <f>663.8+(459.9-223.9)+(0+(0-0))+0-160.3-0</f>
        <v>739.5</v>
      </c>
      <c r="M250" s="3">
        <f>627.8+(470.3-169.7)+(-0.640356+(-0.479706--0.173094))+0-162.5--0.165750000000026</f>
        <v>765.11878200000001</v>
      </c>
      <c r="N250" s="3">
        <f>621+(511.3-163.1)+(-0.63342+(-0.521526--0.166362))+0-165.2--0.168504000000026</f>
        <v>803.17992000000004</v>
      </c>
      <c r="O250" s="3">
        <f>605.4+(559.6-170.5)+(-0.926262+(-0.856188--0.260865))+0-164.2--0.25122600000001</f>
        <v>829.02964099999997</v>
      </c>
      <c r="P250" s="3">
        <f>606.1+(562.2-168.4)+(-0.618222+(-0.573444--0.171768))+0-164--0.167280000000026</f>
        <v>835.04738200000008</v>
      </c>
      <c r="Q250" s="3">
        <f>664.8+(504.5-166.7)+(-0.678096+(-0.51459--0.170034))+0-162.3--0.165546000000026</f>
        <v>839.44289399999991</v>
      </c>
      <c r="R250" s="3">
        <f>745.4+(406.1-167.8)+(-1.90077+(-1.035555--0.42789))+0-156.5--0.399074999999977</f>
        <v>825.09064000000001</v>
      </c>
      <c r="S250" s="3">
        <f>778.3+(371.3-169.1)+(0.793866+(0.378726-0.172482))+0-161-0.164220000000026</f>
        <v>820.33588999999995</v>
      </c>
      <c r="T250" s="3">
        <f>778.7+(377.1-173.1)+(-1.985685+(-0.961605--0.441405))+0-161.9--0.412844999999977</f>
        <v>818.70695999999998</v>
      </c>
      <c r="U250" s="3">
        <f>776.9+(369.5-178.3)+(0+(0-0))+0-161.5-0</f>
        <v>806.59999999999991</v>
      </c>
      <c r="V250" s="3">
        <f>781.5+(427.5-197.8)+(-1.195695+(-0.654075--0.302634))+0-159.8--0.244494000000009</f>
        <v>850.09735799999999</v>
      </c>
      <c r="W250" s="3">
        <f>785.7+(554.5-239.3)+(0.400707+(0.282795-0.122043))+0-165.3-0.0843029999999832</f>
        <v>936.07715600000017</v>
      </c>
      <c r="X250" s="3">
        <f>796.4+(510.9-228.8)+(0+(0-0))+0-159.7-0</f>
        <v>918.8</v>
      </c>
      <c r="Y250" s="3">
        <f>804.5+(459.8-216.6)+(-2.051475+(-1.17249--0.55233))+0-154--0.392699999999978</f>
        <v>891.42106500000011</v>
      </c>
      <c r="Z250" s="3">
        <f>793.3+(429.1-201.9)+(-0.404583+(-0.218841--0.102969))+0-160.4--0.0818039999999837</f>
        <v>859.66134900000009</v>
      </c>
      <c r="AA250" s="3">
        <f>778.4+(430.3-201.5)+(-0.396984+(-0.219453--0.102765))+0-162.6--0.0829259999999835</f>
        <v>844.16925399999991</v>
      </c>
      <c r="AB250" s="3">
        <f>780.9+(428.2-232.2)+(-0.796518+(-0.436764--0.236844))+0-160--0.163200000000026</f>
        <v>816.06676200000004</v>
      </c>
      <c r="AC250" s="3">
        <f>787.4+(430.9-281.6)+(-1.606296+(-0.879036--0.574464))+0-159--0.324359999999993</f>
        <v>776.11349199999984</v>
      </c>
      <c r="AD250">
        <f t="shared" si="3"/>
        <v>19294.707989999999</v>
      </c>
      <c r="AE250" s="3">
        <f>790+(541.3-233.5)+(0+(0-0))+0-166.3-0</f>
        <v>931.5</v>
      </c>
    </row>
    <row r="251" spans="1:31" s="2" customFormat="1" x14ac:dyDescent="0.25">
      <c r="A251">
        <v>89</v>
      </c>
      <c r="B251">
        <v>9</v>
      </c>
      <c r="C251">
        <v>5</v>
      </c>
      <c r="D251">
        <v>7</v>
      </c>
      <c r="E251">
        <v>1</v>
      </c>
      <c r="F251" s="3">
        <f>791.7+(412.5-305.4)+(-1.211301+(-0.631125--0.467262))+0-158.8--0.242964000000009</f>
        <v>738.86779999999999</v>
      </c>
      <c r="G251" s="3">
        <f>797.4+(351.1-298.3)+(-1.220022+(-0.537183--0.456399))+0-141.7--0.216801000000008</f>
        <v>707.41599500000007</v>
      </c>
      <c r="H251" s="3">
        <f>796.4+(348.6-287.2)+(-1.218492+(-0.533358--0.439416))+0-156--0.238680000000009</f>
        <v>700.72624599999995</v>
      </c>
      <c r="I251" s="3">
        <f>788.9+(373.1-312.2)+(-0.804678+(-0.380562--0.318444))+0-156.9--0.160038000000025</f>
        <v>692.19324199999994</v>
      </c>
      <c r="J251" s="3">
        <f>781.1+(402.4-334)+(0.796722+(0.410448-0.34068))+0-156.8-0.159936000000025</f>
        <v>693.40655399999991</v>
      </c>
      <c r="K251" s="3">
        <f>779.5+(409.8-332.2)+(0.397545+(0.208998-0.169422))+0-155.7-0.0794069999999842</f>
        <v>701.75771400000008</v>
      </c>
      <c r="L251" s="3">
        <f>778.6+(422.6-325.1)+(-1.588344+(-0.862104--0.663204))+0-151.4--0.308855999999993</f>
        <v>723.22161200000005</v>
      </c>
      <c r="M251" s="3">
        <f>780.3+(433.2-284.8)+(-0.795906+(-0.441864--0.290496))+0-153.1--0.156162000000024</f>
        <v>774.80888799999991</v>
      </c>
      <c r="N251" s="3">
        <f>781.2+(450.2-268.8)+(0.398412+(0.229602-0.137088))+0-147.5-0.075224999999985</f>
        <v>815.51570100000004</v>
      </c>
      <c r="O251" s="3">
        <f>770.1+(467.4-250.4)+(0+(0-0))+0-147.4-0</f>
        <v>839.7</v>
      </c>
      <c r="P251" s="3">
        <f>761.7+(464.3-222.8)+(-0.388467+(-0.236793--0.113628))+0-149.6--0.0762959999999848</f>
        <v>853.16466400000002</v>
      </c>
      <c r="Q251" s="3">
        <f>762.3+(442.6-197)+(-3.110184+(-1.805808--0.80376))+0-150.1--0.612407999999987</f>
        <v>854.30017599999996</v>
      </c>
      <c r="R251" s="3">
        <f>799.7+(435.1-247.3)+(-1.223541+(-0.665703--0.378369))+0-148--0.226440000000009</f>
        <v>838.21556499999997</v>
      </c>
      <c r="S251" s="3">
        <f>817.8+(433.4-280.5)+(-0.834156+(-0.442068--0.28611))+0-147.1--0.150042000000023</f>
        <v>822.75992799999995</v>
      </c>
      <c r="T251" s="3">
        <f>796.9+(444.3-277.9)+(-0.406419+(-0.226593--0.141729))+0-145.6--0.0742559999999852</f>
        <v>817.28297299999997</v>
      </c>
      <c r="U251" s="3">
        <f>854.8+(401.3-293.3)+(-0.871896+(-0.409326--0.299166))+0-146.6--0.149532000000023</f>
        <v>815.3674759999999</v>
      </c>
      <c r="V251" s="3">
        <f>961.5+(405.7-361.4)+(0+(0-0))+0-149.5-0</f>
        <v>856.3</v>
      </c>
      <c r="W251" s="3">
        <f>1037.9+(419-348.7)+(-0.529329+(-0.21369--0.177837))+0-153.3--0.0781829999999845</f>
        <v>954.41300100000001</v>
      </c>
      <c r="X251" s="3">
        <f>1107.4+(390.5-390.6)+(-0.564774+(-0.199155--0.199206))+0-149.4--0.0761939999999848</f>
        <v>957.41147100000023</v>
      </c>
      <c r="Y251" s="3">
        <f>999.7+(434.3-358.8)+(-1.529541+(-0.664479--0.548964))+0-147.1--0.225063000000008</f>
        <v>926.68000699999993</v>
      </c>
      <c r="Z251" s="3">
        <f>992+(431-383)+(-1.01184+(-0.43962--0.39066))+0-149.5--0.152490000000024</f>
        <v>889.59169000000009</v>
      </c>
      <c r="AA251" s="3">
        <f>995.4+(442.5-422.8)+(-2.030616+(-0.9027--0.862512))+0-149.2--0.304367999999993</f>
        <v>864.13356399999986</v>
      </c>
      <c r="AB251" s="3">
        <f>999.3+(455.3-496.5)+(-1.528929+(-0.696609--0.759645))+0-141.3--0.216189000000008</f>
        <v>815.55029599999989</v>
      </c>
      <c r="AC251" s="3">
        <f>1006.4+(445.2-538.8)+(-3.079584+(-1.362312--1.648728))+0-138.7--0.424422000000016</f>
        <v>771.73125400000004</v>
      </c>
      <c r="AD251">
        <f t="shared" si="3"/>
        <v>19424.515817</v>
      </c>
      <c r="AE251" s="3">
        <f>1117+(384.1-390.2)+(0+(0-0))+0-148.4-0</f>
        <v>962.50000000000011</v>
      </c>
    </row>
    <row r="252" spans="1:31" s="2" customFormat="1" x14ac:dyDescent="0.25">
      <c r="A252">
        <v>89</v>
      </c>
      <c r="B252">
        <v>9</v>
      </c>
      <c r="C252">
        <v>6</v>
      </c>
      <c r="D252">
        <v>1</v>
      </c>
      <c r="E252">
        <v>1</v>
      </c>
      <c r="F252" s="3">
        <f>997.6+(398.1-510.3)+(0+(0-0))+0-143.5-0</f>
        <v>741.90000000000009</v>
      </c>
      <c r="G252" s="3">
        <f>1001.1+(400-537)+(0+(0-0))+0-140.2-0</f>
        <v>723.90000000000009</v>
      </c>
      <c r="H252" s="3">
        <f>999.3+(408.8-555.6)+(0.509643+(0.208488-0.283356))+0-140.9-0.0718589999999857</f>
        <v>711.96291599999995</v>
      </c>
      <c r="I252" s="3">
        <f>953+(423.6-521.4)+(0.97206+(0.432072-0.531828))+0-149.1-0.152082000000024</f>
        <v>706.82022199999994</v>
      </c>
      <c r="J252" s="3">
        <f>945.6+(425.4-515.3)+(0+(0-0))+0-147.8-0</f>
        <v>707.90000000000009</v>
      </c>
      <c r="K252" s="3">
        <f>944.3+(431.9-497.4)+(-0.963186+(-0.440538--0.507348))+0-152.3--0.155346000000024</f>
        <v>725.75896999999986</v>
      </c>
      <c r="L252" s="3">
        <f>947.7+(449.1-467.4)+(-2.416635+(-1.145205--1.19187))+0-149.2--0.380459999999978</f>
        <v>778.21049000000005</v>
      </c>
      <c r="M252" s="3">
        <f>960.4+(441.3-421.7)+(0.489804+(0.225063-0.215067))+0-155.4-0.0792539999999842</f>
        <v>825.02054600000008</v>
      </c>
      <c r="N252" s="3">
        <f>1001.5+(445.4-429.8)+(0+(0-0))+0-154.5-0</f>
        <v>862.59999999999991</v>
      </c>
      <c r="O252" s="3">
        <f>990+(496-442.7)+(1.5147+(0.75888-0.677331))+0-148.4-0.227052000000009</f>
        <v>896.26919699999996</v>
      </c>
      <c r="P252" s="3">
        <f>992.6+(508-452.3)+(0+(0-0))+0-141.9-0</f>
        <v>906.4</v>
      </c>
      <c r="Q252" s="3">
        <f>903.7+(528.5-380.9)+(-0.460887+(-0.269535--0.194259))+0-144.2--0.0735419999999854</f>
        <v>906.63737900000012</v>
      </c>
      <c r="R252" s="3">
        <f>907+(526.1-417.9)+(-0.46257+(-0.268311--0.213129))+0-142--0.0724199999999856</f>
        <v>872.75466800000004</v>
      </c>
      <c r="S252" s="3">
        <f>970.8+(488.2-454.8)+(-0.495108+(-0.248982--0.231948))+0-133.5--0.0680849999999865</f>
        <v>870.25594299999989</v>
      </c>
      <c r="T252" s="3">
        <f>969.5+(476.6-447.9)+(-0.98889+(-0.486132--0.456858))+0-135--0.137700000000022</f>
        <v>862.31953600000008</v>
      </c>
      <c r="U252" s="3">
        <f>971.1+(500.2-468.4)+(-0.495261+(-0.255102--0.238884))+0-134.8--0.0687479999999863</f>
        <v>867.65726900000016</v>
      </c>
      <c r="V252" s="3">
        <f>978.5+(509-438.2)+(-0.99807+(-0.51918--0.446964))+0-137.1--0.139842000000022</f>
        <v>911.26955600000008</v>
      </c>
      <c r="W252" s="3">
        <f>996.2+(556.1-404.2)+(1.016124+(0.567222-0.412284))+0-140.6-0.143412000000022</f>
        <v>1008.52765</v>
      </c>
      <c r="X252" s="3">
        <f>1012.5+(538.4-416)+(-1.03275+(-0.549168--0.42432))+0-143.1--0.145962000000023</f>
        <v>990.78836400000012</v>
      </c>
      <c r="Y252" s="3">
        <f>1012.2+(540-444.4)+(-2.064888+(-1.1016--0.906576))+0-141--0.287639999999994</f>
        <v>964.82772800000021</v>
      </c>
      <c r="Z252" s="3">
        <f>1008.1+(503.1-446.1)+(-2.570655+(-1.282905--1.137555))+0-138.9--0.35419499999998</f>
        <v>923.83818999999994</v>
      </c>
      <c r="AA252" s="3">
        <f>1005.9+(507.5-480.3)+(0.513009+(0.258825-0.244953))+0-151.3-0.0771629999999847</f>
        <v>882.24971799999992</v>
      </c>
      <c r="AB252" s="3">
        <f>1008.8+(481-502.5)+(-2.057952+(-0.98124--1.0251))+0-150.7--0.307427999999993</f>
        <v>834.89333599999998</v>
      </c>
      <c r="AC252" s="3">
        <f>1000+(456.4-535.5)+(-1.53+(-0.698292--0.819315))+0-150.2--0.229806000000009</f>
        <v>769.52082900000005</v>
      </c>
      <c r="AD252">
        <f t="shared" si="3"/>
        <v>20252.282507</v>
      </c>
      <c r="AE252" s="3">
        <f>1004+(542.2-388.7)+(0+(0-0))+0-146.8-0</f>
        <v>1010.7</v>
      </c>
    </row>
    <row r="253" spans="1:31" s="2" customFormat="1" x14ac:dyDescent="0.25">
      <c r="A253">
        <v>89</v>
      </c>
      <c r="B253">
        <v>9</v>
      </c>
      <c r="C253">
        <v>7</v>
      </c>
      <c r="D253">
        <v>2</v>
      </c>
      <c r="E253">
        <v>1</v>
      </c>
      <c r="F253" s="3">
        <f>1017.6+(426.9-540.7)+(-0.518976+(-0.217719--0.275757))+0-147.1--0.0750209999999851</f>
        <v>756.31408299999987</v>
      </c>
      <c r="G253" s="3">
        <f>1021.6+(448.2-586.1)+(-2.60508+(-1.14291--1.494555))+0-147.2--0.375359999999979</f>
        <v>734.62192500000015</v>
      </c>
      <c r="H253" s="3">
        <f>1027.6+(443.9-608.6)+(-0.524076+(-0.226389--0.310386))+0-146.7--0.0748169999999851</f>
        <v>715.83473799999979</v>
      </c>
      <c r="I253" s="3">
        <f>1022.2+(447.9-612.7)+(-0.521322+(-0.228429--0.312477))+0-145.6--0.0742559999999852</f>
        <v>711.43698199999994</v>
      </c>
      <c r="J253" s="3">
        <f>1019.8+(460-616)+(-1.040196+(-0.4692--0.62832))+0-147.8--0.150756000000024</f>
        <v>715.26967999999988</v>
      </c>
      <c r="K253" s="3">
        <f>1020.9+(433-572.7)+(0+(0-0))+0-146.8-0</f>
        <v>734.39999999999986</v>
      </c>
      <c r="L253" s="3">
        <f>1023.5+(415.5-513)+(-2.08794+(-0.84762--1.04652))+0-144.9--0.295595999999994</f>
        <v>779.50655600000005</v>
      </c>
      <c r="M253" s="3">
        <f>1019.3+(418.3-463.9)+(-0.519843+(-0.213333--0.236589))+0-148.2--0.075581999999985</f>
        <v>825.07899500000008</v>
      </c>
      <c r="N253" s="3">
        <f>993+(454-432)+(0+(0-0))+0-157-0</f>
        <v>858</v>
      </c>
      <c r="O253" s="3">
        <f>974+(466-438)+(0.49674+(0.23766-0.22338))+0-160-0.0815999999999838</f>
        <v>842.42942000000005</v>
      </c>
      <c r="P253" s="3">
        <f>985.6+(486-436)+(1.005312+(0.49572-0.44472))+0-159-0.162180000000025</f>
        <v>877.49413199999981</v>
      </c>
      <c r="Q253" s="3">
        <f>978.8+(485.8-443.3)+(0+(0-0))+0-139.7-0</f>
        <v>881.59999999999991</v>
      </c>
      <c r="R253" s="3">
        <f>979+(497.1-469.6)+(-2.49645+(-1.267605--1.19748))+0-136.7--0.34858499999998</f>
        <v>867.58201000000008</v>
      </c>
      <c r="S253" s="3">
        <f>976.8+(419-403.7)+(-1.494504+(-0.64107--0.617661))+0-135.5--0.207315000000008</f>
        <v>855.28940199999988</v>
      </c>
      <c r="T253" s="3">
        <f>978.3+(389.1-380.5)+(0.498933+(0.198441-0.194055))+0-135.5-0.0691049999999863</f>
        <v>851.83421399999997</v>
      </c>
      <c r="U253" s="3">
        <f>968.8+(407.1-390)+(0.988176+(0.415242-0.3978))+0-133.1-0.135762000000021</f>
        <v>853.66985599999998</v>
      </c>
      <c r="V253" s="3">
        <f>978.5+(478.8-417.5)+(-0.499035+(-0.244188--0.212925))+0-134.4--0.0685439999999864</f>
        <v>904.93824600000005</v>
      </c>
      <c r="W253" s="3">
        <f>1057.2+(507.4-424.5)+(0.539172+(0.258774-0.216495))+0-140.8-0.0718079999999857</f>
        <v>999.80964299999994</v>
      </c>
      <c r="X253" s="3">
        <f>1111.2+(480.1-460.4)+(-3.966984+(-1.713957--1.643628))+0-139.5--0.498015000000002</f>
        <v>987.86070200000006</v>
      </c>
      <c r="Y253" s="3">
        <f>1050.5+(540.9-485.3)+(-2.14302+(-1.103436--0.990012))+0-141.2--0.288047999999994</f>
        <v>962.93160399999977</v>
      </c>
      <c r="Z253" s="3">
        <f>1012.6+(598.6-534.5)+(-0.516426+(-0.305286--0.272595))+0-145.5--0.0742049999999852</f>
        <v>930.72508800000003</v>
      </c>
      <c r="AA253" s="3">
        <f>1011.8+(616.3-586.2)+(-1.548054+(-0.942939--0.896886))+0-141.3--0.216189000000008</f>
        <v>899.222082</v>
      </c>
      <c r="AB253" s="3">
        <f>1015.6+(580.6-596.1)+(-1.035912+(-0.592212--0.608022))+0-139.5--0.142290000000022</f>
        <v>859.72218800000007</v>
      </c>
      <c r="AC253" s="3">
        <f>1019.5+(595-673.9)+(-2.07978+(-1.2138--1.374756))+0-138.8--0.283151999999994</f>
        <v>800.16432800000007</v>
      </c>
      <c r="AD253">
        <f t="shared" si="3"/>
        <v>20205.735874000002</v>
      </c>
      <c r="AE253" s="3">
        <f>1104+(486.7-448.7)+(0+(0-0))+0-140.4-0</f>
        <v>1001.6</v>
      </c>
    </row>
    <row r="254" spans="1:31" s="2" customFormat="1" x14ac:dyDescent="0.25">
      <c r="A254">
        <v>89</v>
      </c>
      <c r="B254">
        <v>9</v>
      </c>
      <c r="C254">
        <v>8</v>
      </c>
      <c r="D254">
        <v>3</v>
      </c>
      <c r="E254">
        <v>1</v>
      </c>
      <c r="F254" s="3">
        <f>1018.8+(613.6-735.3)+(-2.078352+(-1.251744--1.500012))+0-140.8--0.287231999999994</f>
        <v>754.75714800000003</v>
      </c>
      <c r="G254" s="3">
        <f>1019.7+(622.3-765.9)+(-0.520047+(-0.317373--0.390609))+0-139.6--0.0711959999999858</f>
        <v>736.12438499999996</v>
      </c>
      <c r="H254" s="3">
        <f>1017.5+(587.6-741.4)+(0.518925+(0.299676-0.378114))+0-140.2-0.0715019999999858</f>
        <v>723.86898500000007</v>
      </c>
      <c r="I254" s="3">
        <f>1023+(584.8-734.6)+(-1.04346+(-0.596496--0.749292))+0-144--0.146880000000023</f>
        <v>728.45621599999993</v>
      </c>
      <c r="J254" s="3">
        <f>1022+(573.7-722.9)+(0.52122+(0.292587-0.368679))+0-143.2-0.0730319999999855</f>
        <v>729.97209599999996</v>
      </c>
      <c r="K254" s="3">
        <f>1021.5+(560.7-694.1)+(0.520965+(0.285957-0.353991))+0-141.6-0.0722159999999856</f>
        <v>746.88071500000001</v>
      </c>
      <c r="L254" s="3">
        <f>1016.9+(582.4-680.5)+(0+(0-0))+0-141.1-0</f>
        <v>777.69999999999993</v>
      </c>
      <c r="M254" s="3">
        <f>1019.6+(576.7-634.3)+(-2.59998+(-1.470585--1.617465))+0-143.6--0.366179999999979</f>
        <v>816.31308000000013</v>
      </c>
      <c r="N254" s="3">
        <f>1005.2+(583.3-593.7)+(1.537956+(0.892449-0.908361))+0-142.3-0.217719000000008</f>
        <v>853.80432500000006</v>
      </c>
      <c r="O254" s="3">
        <f>1000.1+(567.5-575.3)+(-1.530153+(-0.868275--0.880209))+0-127.7--0.195381000000007</f>
        <v>863.27716199999998</v>
      </c>
      <c r="P254" s="3">
        <f>985.8+(629.7-618.1)+(0.502758+(0.321147-0.315231))+0-123.8-0.0631379999999874</f>
        <v>874.04553600000008</v>
      </c>
      <c r="Q254" s="3">
        <f>971.6+(660.4-637.9)+(-2.47758+(-1.68402--1.626645))+0-122.8--0.313139999999982</f>
        <v>869.07818500000008</v>
      </c>
      <c r="R254" s="3">
        <f>922.5+(624.4-610.7)+(-0.94095+(-0.636888--0.622914))+0-124--0.12648000000002</f>
        <v>811.37155599999994</v>
      </c>
      <c r="S254" s="3">
        <f>966.5+(556.4-538.4)+(0+(0-0))+0-123.2-0</f>
        <v>861.3</v>
      </c>
      <c r="T254" s="3">
        <f>1005.2+(582.3-553.6)+(0+(0-0))+0-122.2-0</f>
        <v>911.7</v>
      </c>
      <c r="U254" s="3">
        <f>977.7+(543.8-581.7)+(0.498627+(0.277338-0.296667))+0-122.6-0.0625259999999876</f>
        <v>817.61677199999997</v>
      </c>
      <c r="V254" s="3">
        <f>1068.7+(605.8-636.3)+(1.635111+(0.926874-0.973539))+0-125.9-0.192627000000007</f>
        <v>913.69581900000003</v>
      </c>
      <c r="W254" s="3">
        <f>1127.9+(646.8-591.5)+(1.725687+(0.989604-0.904995))+0-128.1-0.195993000000007</f>
        <v>1056.7143030000002</v>
      </c>
      <c r="X254" s="3">
        <f>1096.5+(593.9-575.6)+(-2.23686+(-1.211556--1.174224))+0-129--0.263159999999994</f>
        <v>983.78896799999984</v>
      </c>
      <c r="Y254" s="3">
        <f>1012.7+(643.6-562.8)+(-1.549431+(-0.984708--0.861084))+0-128.4--0.196452000000007</f>
        <v>963.62339700000007</v>
      </c>
      <c r="Z254" s="3">
        <f>1031.1+(650.3-576.6)+(-1.577583+(-0.994959--0.882198))+0-130.4--0.199512000000008</f>
        <v>972.90916799999968</v>
      </c>
      <c r="AA254" s="3">
        <f>986.1+(654.8-617.8)+(-1.005822+(-0.667896--0.630156))+0-131.5--0.134130000000021</f>
        <v>890.6905680000001</v>
      </c>
      <c r="AB254" s="3">
        <f>938.9+(632-645.8)+(0+(0-0))+0-127.4-0</f>
        <v>797.7</v>
      </c>
      <c r="AC254" s="3">
        <f>1033.8+(570.2-625.2)+(-2.63619+(-1.45401--1.59426))+0-127.7--0.325634999999981</f>
        <v>848.92969499999992</v>
      </c>
      <c r="AD254">
        <f t="shared" si="3"/>
        <v>20304.318079000001</v>
      </c>
      <c r="AE254" s="3">
        <f>1102+(606.9-572.7)+(0+(0-0))+0-129.8-0</f>
        <v>1006.3999999999999</v>
      </c>
    </row>
    <row r="255" spans="1:31" s="2" customFormat="1" x14ac:dyDescent="0.25">
      <c r="A255">
        <v>89</v>
      </c>
      <c r="B255">
        <v>9</v>
      </c>
      <c r="C255">
        <v>9</v>
      </c>
      <c r="D255">
        <v>4</v>
      </c>
      <c r="E255">
        <v>1</v>
      </c>
      <c r="F255" s="3">
        <f>1000+(511.3-618.2)+(-2.04+(-1.043052--1.261128))+0-127.6--0.260303999999994</f>
        <v>763.93837999999994</v>
      </c>
      <c r="G255" s="3">
        <f>1001.3+(429.3-564)+(-1.021326+(-0.437886--0.57528))+0-126.9--0.12943800000002</f>
        <v>738.94550600000002</v>
      </c>
      <c r="H255" s="3">
        <f>1000.1+(432.3-580)+(-1.530153+(-0.661419--0.8874))+0-125.6--0.192168000000007</f>
        <v>725.68799600000011</v>
      </c>
      <c r="I255" s="3">
        <f>1002.8+(424.8-582.6)+(-1.022856+(-0.433296--0.594252))+0-125.9--0.12841800000002</f>
        <v>718.36651800000004</v>
      </c>
      <c r="J255" s="3">
        <f>999.4+(445.2-597)+(-1.019388+(-0.454104--0.60894))+0-124.3--0.12678600000002</f>
        <v>722.56223399999999</v>
      </c>
      <c r="K255" s="3">
        <f>997.8+(476.5-599.4)+(0+(0-0))+0-124.7-0</f>
        <v>750.19999999999993</v>
      </c>
      <c r="L255" s="3">
        <f>1003.3+(488.2-570.4)+(-1.023366+(-0.497964--0.581808))+0-121.7--0.124134000000019</f>
        <v>798.58461199999988</v>
      </c>
      <c r="M255" s="3">
        <f>985.8+(501.8-544.5)+(-0.502758+(-0.255918--0.277695))+0-124.1--0.0632909999999874</f>
        <v>818.58230999999978</v>
      </c>
      <c r="N255" s="3">
        <f>1033+(485.6-501.4)+(0.52683+(0.247656-0.255714))+0-119.3-0.0608429999999879</f>
        <v>898.35792900000013</v>
      </c>
      <c r="O255" s="3">
        <f>996.8+(493.6-494.9)+(0+(0-0))+0-115.3-0</f>
        <v>880.2</v>
      </c>
      <c r="P255" s="3">
        <f>1007+(474.3-469.4)+(-0.51357+(-0.241893--0.239394))+0-104.2--0.0531419999999894</f>
        <v>907.23707300000001</v>
      </c>
      <c r="Q255" s="3">
        <f>983.4+(486.5-479.1)+(-1.003068+(-0.49623--0.488682))+0-101.8--0.103836000000016</f>
        <v>888.09321999999997</v>
      </c>
      <c r="R255" s="3">
        <f>977.8+(515.9-518.5)+(-0.498678+(-0.263109--0.264435))+0-101.2--0.0516119999999897</f>
        <v>873.55425999999989</v>
      </c>
      <c r="S255" s="3">
        <f>965.9+(520.9-517.8)+(0+(0-0))+0-103.7-0</f>
        <v>865.3</v>
      </c>
      <c r="T255" s="3">
        <f>964+(539.3-535.5)+(-1.47492+(-0.825129--0.819315))+0-108.3--0.165699000000006</f>
        <v>858.18496500000003</v>
      </c>
      <c r="U255" s="3">
        <f>960.8+(522.5-508.7)+(-1.470024+(-0.799425--0.778311))+0-106.4--0.162792000000006</f>
        <v>866.87165399999992</v>
      </c>
      <c r="V255" s="3">
        <f>1013.4+(513.7-501.5)+(-1.550502+(-0.785961--0.767295))+0-116.3--0.177939000000007</f>
        <v>907.908771</v>
      </c>
      <c r="W255" s="3">
        <f>1086.5+(493.4-449.7)+(-1.10823+(-0.503268--0.458694))+0-125--0.12750000000002</f>
        <v>1004.174696</v>
      </c>
      <c r="X255" s="3">
        <f>1099.5+(476.7-459.9)+(-2.24298+(-0.972468--0.938196))+0-130.3--0.265811999999994</f>
        <v>983.98855999999989</v>
      </c>
      <c r="Y255" s="3">
        <f>1099.8+(455.6-467.2)+(-2.243592+(-0.929424--0.953088))+0-130.5--0.266219999999994</f>
        <v>955.74629200000004</v>
      </c>
      <c r="Z255" s="3">
        <f>1051.5+(462.4-459.8)+(-1.07253+(-0.471648--0.468996))+0-131.2--0.133824000000021</f>
        <v>921.95864199999983</v>
      </c>
      <c r="AA255" s="3">
        <f>1050.3+(469.4-505.1)+(-1.606959+(-0.718182--0.772803))+0-128.9--0.197217000000007</f>
        <v>884.34487899999999</v>
      </c>
      <c r="AB255" s="3">
        <f>1002.3+(479.9-521.2)+(-1.533519+(-0.734247--0.797436))+0-124.8--0.190944000000007</f>
        <v>834.920614</v>
      </c>
      <c r="AC255" s="3">
        <f>867+(551.2-514.2)+(-2.21085+(-1.40556--1.31121))+0-124.9--0.318494999999982</f>
        <v>777.11329499999999</v>
      </c>
      <c r="AD255">
        <f t="shared" si="3"/>
        <v>20344.822405999999</v>
      </c>
      <c r="AE255" s="3">
        <f>1094+(492.7-451.6)+(0+(0-0))+0-128-0</f>
        <v>1007.0999999999999</v>
      </c>
    </row>
    <row r="256" spans="1:31" s="2" customFormat="1" x14ac:dyDescent="0.25">
      <c r="A256">
        <v>89</v>
      </c>
      <c r="B256">
        <v>9</v>
      </c>
      <c r="C256">
        <v>10</v>
      </c>
      <c r="D256">
        <v>5</v>
      </c>
      <c r="E256">
        <v>1</v>
      </c>
      <c r="F256" s="3">
        <f>829.6+(499.6-463.5)+(-2.11548+(-1.27398--1.181925))+0-123.9--0.315944999999982</f>
        <v>739.90841</v>
      </c>
      <c r="G256" s="3">
        <f>824.1+(487.6-468.7)+(0+(0-0))+0-121.6-0</f>
        <v>721.4</v>
      </c>
      <c r="H256" s="3">
        <f>826.2+(472.8-469)+(-0.421362+(-0.241128--0.23919))+0-119.8--0.0610979999999878</f>
        <v>709.83779800000002</v>
      </c>
      <c r="I256" s="3">
        <f>832.5+(482.5-487.6)+(-0.424575+(-0.246075--0.248676))+0-121.4--0.0619139999999877</f>
        <v>705.63994000000002</v>
      </c>
      <c r="J256" s="3">
        <f>831.6+(499.2-495.4)+(0.848232+(0.509184-0.505308))+0-121.6-0.124032000000019</f>
        <v>714.52807600000006</v>
      </c>
      <c r="K256" s="3">
        <f>834.2+(490.6-467.7)+(-0.850884+(-0.500412--0.477054))+0-120.1--0.122502000000019</f>
        <v>736.24826000000019</v>
      </c>
      <c r="L256" s="3">
        <f>832.2+(462.7-408.5)+(-0.424422+(-0.235977--0.208335))+0-119.4--0.0608939999999879</f>
        <v>766.60883000000013</v>
      </c>
      <c r="M256" s="3">
        <f>831+(519.2-416.1)+(0+(0-0))+0-123-0</f>
        <v>811.1</v>
      </c>
      <c r="N256" s="3">
        <f>825.1+(570-408.4)+(-0.420801+(-0.2907--0.208284))+0-125.1--0.0638009999999873</f>
        <v>861.16058400000009</v>
      </c>
      <c r="O256" s="3">
        <f>843.5+(511-372.1)+(-1.72074+(-1.04244--0.759084))+0-111.2--0.226847999999995</f>
        <v>869.42275199999995</v>
      </c>
      <c r="P256" s="3">
        <f>911.9+(468.8-373.5)+(0.465069+(0.239088-0.190485))+0-116.5-0.0594149999999882</f>
        <v>891.15425700000014</v>
      </c>
      <c r="Q256" s="3">
        <f>964.4+(441.2-415.9)+(-0.491844+(-0.225012--0.212109))+0-114.2--0.0582419999999884</f>
        <v>875.053495</v>
      </c>
      <c r="R256" s="3">
        <f>1028+(425-447.8)+(-2.6214+(-1.08375--1.14189))+0-124--0.316199999999982</f>
        <v>878.95294000000001</v>
      </c>
      <c r="S256" s="3">
        <f>1027.4+(438.8-493.6)+(0+(0-0))+0-121.5-0</f>
        <v>851.10000000000014</v>
      </c>
      <c r="T256" s="3">
        <f>1024.6+(496-550.3)+(0+(0-0))+0-126.2-0</f>
        <v>844.09999999999991</v>
      </c>
      <c r="U256" s="3">
        <f>1021.9+(480.7-538.8)+(-0.521169+(-0.245157--0.274788))+0-106.9--0.0545189999999892</f>
        <v>856.46298100000001</v>
      </c>
      <c r="V256" s="3">
        <f>1027.8+(480.2-497)+(1.048356+(0.489804-0.50694))+0-111.3-0.113526000000018</f>
        <v>900.61769400000003</v>
      </c>
      <c r="W256" s="3">
        <f>1048.5+(493.2-426.4)+(0+(0-0))+0-113.9-0</f>
        <v>1001.4</v>
      </c>
      <c r="X256" s="3">
        <f>1060.3+(453.2-412)+(-2.163012+(-0.924528--0.84048))+0-115.1--0.234803999999995</f>
        <v>984.387744</v>
      </c>
      <c r="Y256" s="3">
        <f>1067.8+(462.8-456.8)+(-1.633734+(-0.708084--0.698904))+0-113.5--0.173655000000007</f>
        <v>958.83074099999999</v>
      </c>
      <c r="Z256" s="3">
        <f>998.5+(500.8-449.5)+(-0.509235+(-0.255408--0.229245))+0-125.6--0.0640559999999873</f>
        <v>923.72865799999988</v>
      </c>
      <c r="AA256" s="3">
        <f>949.3+(469.2-398.1)+(0+(0-0))+0-134.7-0</f>
        <v>885.69999999999982</v>
      </c>
      <c r="AB256" s="3">
        <f>948.1+(469.1-446.8)+(-1.934124+(-0.956964--0.911472))+0-131.2--0.267647999999994</f>
        <v>837.4880320000002</v>
      </c>
      <c r="AC256" s="3">
        <f>881.3+(474.4-433.7)+(-1.348389+(-0.725832--0.663561))+0-133.4--0.204102000000008</f>
        <v>787.39344200000005</v>
      </c>
      <c r="AD256">
        <f t="shared" si="3"/>
        <v>20112.224634000006</v>
      </c>
      <c r="AE256" s="3">
        <f>1047+(468.7-401.1)+(0+(0-0))+0-104-0</f>
        <v>1010.5999999999999</v>
      </c>
    </row>
    <row r="257" spans="1:31" s="2" customFormat="1" x14ac:dyDescent="0.25">
      <c r="A257">
        <v>89</v>
      </c>
      <c r="B257">
        <v>9</v>
      </c>
      <c r="C257">
        <v>11</v>
      </c>
      <c r="D257">
        <v>6</v>
      </c>
      <c r="E257">
        <v>1</v>
      </c>
      <c r="F257" s="3">
        <f>608+(586.5-330.9)+(-0.62016+(-0.59823--0.337518))+0-132.1--0.134742000000021</f>
        <v>730.75387000000012</v>
      </c>
      <c r="G257" s="3">
        <f>546+(647.1-351.2)+(0.55692+(0.660042-0.358224))+0-130.8-0.133416000000021</f>
        <v>711.82532200000003</v>
      </c>
      <c r="H257" s="3">
        <f>543+(639.9-357.3)+(0.83079+(0.979047-0.546669))+0-127.3-0.194769000000007</f>
        <v>699.36839899999995</v>
      </c>
      <c r="I257" s="3">
        <f>551+(630.8-356.8)+(-0.28101+(-0.321708--0.181968))+0-129.4--0.0659939999999869</f>
        <v>695.24524399999996</v>
      </c>
      <c r="J257" s="3">
        <f>553+(615.4-341.9)+(0.28203+(0.313854-0.174369))+0-126.1-0.0643109999999872</f>
        <v>700.757204</v>
      </c>
      <c r="K257" s="3">
        <f>551+(627.7-329.4)+(0+(0-0))+0-127-0</f>
        <v>722.30000000000007</v>
      </c>
      <c r="L257" s="3">
        <f>551+(670.8-330)+(-0.56202+(-0.684216--0.3366))+0-125.2--0.12770400000002</f>
        <v>765.81806799999993</v>
      </c>
      <c r="M257" s="3">
        <f>554+(689.1-294.4)+(0.28254+(0.351441-0.150144))+0-129.1-0.0658409999999869</f>
        <v>820.01799600000004</v>
      </c>
      <c r="N257" s="3">
        <f>557+(684.9-256.6)+(0+(0-0))+0-128.4-0</f>
        <v>856.9</v>
      </c>
      <c r="O257" s="3">
        <f>568+(611.6-171.6)+(-1.15872+(-1.247664--0.350064))+0-126.4--0.257855999999994</f>
        <v>879.80153599999994</v>
      </c>
      <c r="P257" s="3">
        <f>665+(566.7-216.5)+(-1.01745+(-0.867051--0.331245))+0-121--0.185130000000007</f>
        <v>892.83187399999997</v>
      </c>
      <c r="Q257" s="3">
        <f>690+(558-236.9)+(-0.3519+(-0.28458--0.120819))+0-122.9--0.0626789999999875</f>
        <v>887.74701800000003</v>
      </c>
      <c r="R257" s="3">
        <f>685+(529.7-223.8)+(-1.3974+(-1.080588--0.456552))+0-123.5--0.251939999999995</f>
        <v>865.63050400000009</v>
      </c>
      <c r="S257" s="3">
        <f>679+(529.2-231.9)+(-0.69258+(-0.539784--0.236538))+0-126.7--0.12923400000002</f>
        <v>848.73340800000005</v>
      </c>
      <c r="T257" s="3">
        <f>676+(537-254.4)+(-0.68952+(-0.54774--0.259488))+0-127.4--0.12994800000002</f>
        <v>830.3521760000001</v>
      </c>
      <c r="U257" s="3">
        <f>718+(504.4-253.6)+(-0.36618+(-0.257244--0.129336))+0-125.8--0.0641579999999872</f>
        <v>842.57006999999999</v>
      </c>
      <c r="V257" s="3">
        <f>771+(520.3-274.9)+(-1.96605+(-1.326765--0.700995))+0-128.3--0.327164999999981</f>
        <v>885.83534500000007</v>
      </c>
      <c r="W257" s="3">
        <f>804+(558.7-252.8)+(0+(0-0))+0-130-0</f>
        <v>979.90000000000009</v>
      </c>
      <c r="X257" s="3">
        <f>825+(539.4-269.7)+(-2.94525+(-1.925658--0.962829))+0-132.3--0.472311000000002</f>
        <v>958.96423200000004</v>
      </c>
      <c r="Y257" s="3">
        <f>683+(565.8-189.4)+(-1.04499+(-0.865674--0.289782))+0-131.1--0.200583000000008</f>
        <v>926.87970100000018</v>
      </c>
      <c r="Z257" s="3">
        <f>563+(620.7-156.5)+(-0.86139+(-0.949671--0.239445))+0-132.4--0.202572000000008</f>
        <v>893.43095600000015</v>
      </c>
      <c r="AA257" s="3">
        <f>604+(604.5-214.4)+(-1.5402+(-1.541475--0.54672))+0-132.4--0.337619999999981</f>
        <v>859.50266500000009</v>
      </c>
      <c r="AB257" s="3">
        <f>632+(568.2-249.5)+(0+(0-0))+0-131.6-0</f>
        <v>819.1</v>
      </c>
      <c r="AC257" s="3">
        <f>647+(578.5-313.6)+(-0.98991+(-0.885105--0.479808))+0-129.4--0.197982000000007</f>
        <v>781.302775</v>
      </c>
      <c r="AD257">
        <f t="shared" ref="AD257:AD320" si="4">SUM(F257:AC257)</f>
        <v>19855.568362999998</v>
      </c>
      <c r="AE257" s="3">
        <f>840+(543.2-248.2)+(0+(0-0))+0-130.8-0</f>
        <v>1004.2</v>
      </c>
    </row>
    <row r="258" spans="1:31" s="2" customFormat="1" x14ac:dyDescent="0.25">
      <c r="A258">
        <v>89</v>
      </c>
      <c r="B258">
        <v>9</v>
      </c>
      <c r="C258">
        <v>12</v>
      </c>
      <c r="D258">
        <v>7</v>
      </c>
      <c r="E258">
        <v>1</v>
      </c>
      <c r="F258" s="3">
        <f>688+(569-374.1)+(-2.10528+(-1.74114--1.144746))+0-129.1--0.395046000000015</f>
        <v>751.49337199999991</v>
      </c>
      <c r="G258" s="3">
        <f>691+(572.2-406.9)+(0+(0-0))+0-126.6-0</f>
        <v>729.7</v>
      </c>
      <c r="H258" s="3">
        <f>692+(582.8-429.4)+(-0.35292+(-0.297228--0.218994))+0-127--0.0647699999999871</f>
        <v>718.03361599999994</v>
      </c>
      <c r="I258" s="3">
        <f>693+(568.8-427.4)+(0.35343+(0.290088-0.217974))+0-127.7-0.065126999999987</f>
        <v>707.06041699999992</v>
      </c>
      <c r="J258" s="3">
        <f>695+(578.5-431.5)+(0+(0-0))+0-133-0</f>
        <v>709</v>
      </c>
      <c r="K258" s="3">
        <f>698+(582.3-425.2)+(1.06794+(0.890919-0.650556))+0-134.1-0.205173000000008</f>
        <v>722.10312999999985</v>
      </c>
      <c r="L258" s="3">
        <f>703+(577.9-400.6)+(-0.71706+(-0.589458--0.408612))+0-132.3--0.134946000000021</f>
        <v>747.23703999999987</v>
      </c>
      <c r="M258" s="3">
        <f>702+(571.7-343.2)+(-1.7901+(-1.457835--0.87516))+0-135.1--0.34450499999998</f>
        <v>793.37172999999996</v>
      </c>
      <c r="N258" s="3">
        <f>705+(534.8-263.9)+(0.35955+(0.272748-0.134589))+0-134.6-0.0686459999999863</f>
        <v>841.729063</v>
      </c>
      <c r="O258" s="3">
        <f>683+(496.7-180)+(0.34833+(0.253317-0.0918))+0-135-0.0688499999999863</f>
        <v>865.14099700000008</v>
      </c>
      <c r="P258" s="3">
        <f>676+(450.2-122.5)+(-1.37904+(-0.918408--0.2499))+0-132.1--0.269483999999994</f>
        <v>869.82193600000005</v>
      </c>
      <c r="Q258" s="3">
        <f>672+(460.2-130.5)+(-0.34272+(-0.234702--0.066555))+0-128.8--0.0656879999999869</f>
        <v>872.45482100000015</v>
      </c>
      <c r="R258" s="3">
        <f>661+(460.1-133.6)+(-1.01133+(-0.703953--0.204408))+0-133.7--0.204561000000008</f>
        <v>852.49368600000003</v>
      </c>
      <c r="S258" s="3">
        <f>622+(454.2-100.4)+(-0.95166+(-0.694926--0.153612))+0-136.1--0.208233000000008</f>
        <v>838.41525899999999</v>
      </c>
      <c r="T258" s="3">
        <f>592+(458.8-80.2)+(0.30192+(0.233988-0.040902))+0-141.2-0.0720119999999857</f>
        <v>829.82299399999999</v>
      </c>
      <c r="U258" s="3">
        <f>638+(440.3-102.2)+(-0.65076+(-0.449106--0.104244))+0-139.5--0.142290000000022</f>
        <v>835.746668</v>
      </c>
      <c r="V258" s="3">
        <f>702+(430.4-121.4)+(-0.71604+(-0.439008--0.123828))+0-142.1--0.144942000000023</f>
        <v>868.01372200000003</v>
      </c>
      <c r="W258" s="3">
        <f>777+(474.5-166.6)+(0+(0-0))+0-144.2-0</f>
        <v>940.7</v>
      </c>
      <c r="X258" s="3">
        <f>817+(446.6-195.8)+(-0.83334+(-0.455532--0.199716))+0-143.2--0.146064000000023</f>
        <v>923.65690799999993</v>
      </c>
      <c r="Y258" s="3">
        <f>786+(486-229.7)+(-0.40086+(-0.24786--0.117147))+0-140.7--0.0717569999999857</f>
        <v>901.14018399999986</v>
      </c>
      <c r="Z258" s="3">
        <f>660+(568.4-212.9)+(-0.6732+(-0.579768--0.217158))+0-144.1--0.146982000000023</f>
        <v>870.51117199999999</v>
      </c>
      <c r="AA258" s="3">
        <f>650+(573.1-224.9)+(-0.663+(-0.584562--0.229398))+0-146--0.148920000000023</f>
        <v>851.33075600000006</v>
      </c>
      <c r="AB258" s="3">
        <f>643+(534.6-224.2)+(0+(0-0))+0-143.8-0</f>
        <v>809.60000000000014</v>
      </c>
      <c r="AC258" s="3">
        <f>656+(495.1-245)+(-1.6728+(-1.262505--0.62475))+0-143.6--0.366179999999979</f>
        <v>760.55562499999996</v>
      </c>
      <c r="AD258">
        <f t="shared" si="4"/>
        <v>19609.133095999994</v>
      </c>
      <c r="AE258" s="3">
        <f>832+(464.4-201.5)+(0+(0-0))+0-144.8-0</f>
        <v>950.10000000000014</v>
      </c>
    </row>
    <row r="259" spans="1:31" s="2" customFormat="1" x14ac:dyDescent="0.25">
      <c r="A259">
        <v>89</v>
      </c>
      <c r="B259">
        <v>9</v>
      </c>
      <c r="C259">
        <v>13</v>
      </c>
      <c r="D259">
        <v>1</v>
      </c>
      <c r="E259">
        <v>1</v>
      </c>
      <c r="F259" s="3">
        <f>649.3+(457.2-251)+(-1.986858+(-1.399032--0.76806))+0-136.8--0.418608000000016</f>
        <v>716.50077799999997</v>
      </c>
      <c r="G259" s="3">
        <f>673.9+(450.3-292.6)+(-1.374756+(-0.918612--0.596904))+0-135--0.275399999999994</f>
        <v>695.17893599999991</v>
      </c>
      <c r="H259" s="3">
        <f>698.3+(443-323.6)+(-1.424532+(-0.90372--0.660144))+0-134.9--0.275195999999994</f>
        <v>681.40708799999993</v>
      </c>
      <c r="I259" s="3">
        <f>737.5+(427.8-348.1)+(-0.75225+(-0.436356--0.355062))+0-139--0.141780000000022</f>
        <v>677.50823600000012</v>
      </c>
      <c r="J259" s="3">
        <f>757.9+(449.7-373.4)+(0+(0-0))+0-140.9-0</f>
        <v>693.30000000000007</v>
      </c>
      <c r="K259" s="3">
        <f>771.2+(421.4-336.2)+(0.393312+(0.214914-0.171462))+0-140.8-0.0718079999999857</f>
        <v>715.96495600000014</v>
      </c>
      <c r="L259" s="3">
        <f>781.1+(486.5-353.1)+(-1.593444+(-0.99246--0.720324))+0-139.7--0.284987999999994</f>
        <v>773.21940800000004</v>
      </c>
      <c r="M259" s="3">
        <f>781.2+(495.4-307.9)+(-0.796824+(-0.505308--0.314058))+0-150.2--0.153204000000024</f>
        <v>817.6651300000002</v>
      </c>
      <c r="N259" s="3">
        <f>774.3+(546.4-298.9)+(0+(0-0))+0-159.6-0</f>
        <v>862.19999999999993</v>
      </c>
      <c r="O259" s="3">
        <f>733.7+(584.2-288.6)+(1.122561+(0.893826-0.441558))+0-153.3-0.234549000000009</f>
        <v>877.34028000000012</v>
      </c>
      <c r="P259" s="3">
        <f>717.2+(562.1-253.5)+(-1.097316+(-0.860013--0.387855))+0-151.2--0.231336000000009</f>
        <v>873.26186200000029</v>
      </c>
      <c r="Q259" s="3">
        <f>759.7+(541.2-275)+(0+(0-0))+0-156.3-0</f>
        <v>869.60000000000014</v>
      </c>
      <c r="R259" s="3">
        <f>749.4+(495.5-230.6)+(-2.293164+(-1.51623--0.705636))+0-156.3--0.478278000000018</f>
        <v>855.37452000000008</v>
      </c>
      <c r="S259" s="3">
        <f>737.4+(498.6-226.9)+(-1.128222+(-0.762858--0.347157))+0-159.5--0.244035000000009</f>
        <v>848.30011200000013</v>
      </c>
      <c r="T259" s="3">
        <f>740.7+(488.4-234.4)+(0+(0-0))+0-156.9-0</f>
        <v>837.80000000000007</v>
      </c>
      <c r="U259" s="3">
        <f>748+(481.2-224.8)+(0+(0-0))+0-155.8-0</f>
        <v>848.59999999999991</v>
      </c>
      <c r="V259" s="3">
        <f>801.6+(421-171.2)+(-0.408816+(-0.21471--0.087312))+0-160.6--0.0819059999999837</f>
        <v>890.3456920000001</v>
      </c>
      <c r="W259" s="3">
        <f>866.5+(433.3-169.9)+(1.325745+(0.662949-0.259947))+0-162.5-0.248625000000009</f>
        <v>968.88012200000014</v>
      </c>
      <c r="X259" s="3">
        <f>890.4+(447.5-219.4)+(-1.816416+(-0.9129--0.447576))+0-161.3--0.329051999999993</f>
        <v>955.24731200000019</v>
      </c>
      <c r="Y259" s="3">
        <f>899.3+(461.3-269.6)+(-2.293215+(-1.176315--0.68748))+0-162.3--0.413864999999977</f>
        <v>926.33181500000001</v>
      </c>
      <c r="Z259" s="3">
        <f>899.9+(457.1-305.7)+(0+(0-0))+0-161-0</f>
        <v>890.3</v>
      </c>
      <c r="AA259" s="3">
        <f>856.6+(476-303.7)+(-2.18433+(-1.2138--0.774435))+0-165.1--0.421004999999976</f>
        <v>861.59730999999999</v>
      </c>
      <c r="AB259" s="3">
        <f>843.2+(461.5-329.2)+(-0.860064+(-0.47073--0.335784))+0-162.3--0.165546000000026</f>
        <v>812.37053600000002</v>
      </c>
      <c r="AC259" s="3">
        <f>849+(457-366.3)+(-2.16495+(-1.16535--0.934065))+0-165.7--0.422534999999976</f>
        <v>772.02629999999999</v>
      </c>
      <c r="AD259">
        <f t="shared" si="4"/>
        <v>19720.320393000002</v>
      </c>
      <c r="AE259" s="3">
        <f>880+(442.9-196.8)+(0+(0-0))+0-164-0</f>
        <v>962.09999999999991</v>
      </c>
    </row>
    <row r="260" spans="1:31" s="2" customFormat="1" x14ac:dyDescent="0.25">
      <c r="A260">
        <v>89</v>
      </c>
      <c r="B260">
        <v>9</v>
      </c>
      <c r="C260">
        <v>14</v>
      </c>
      <c r="D260">
        <v>2</v>
      </c>
      <c r="E260">
        <v>1</v>
      </c>
      <c r="F260" s="3">
        <f>868.2+(429.9-384.9)+(-1.771128+(-0.876996--0.785196))+0-164.8--0.336191999999993</f>
        <v>746.87326400000006</v>
      </c>
      <c r="G260" s="3">
        <f>870.8+(448.4-432.3)+(0+(0-0))+0-163.7-0</f>
        <v>723.19999999999982</v>
      </c>
      <c r="H260" s="3">
        <f>864.2+(446.8-436.8)+(-0.440742+(-0.227868--0.222768))+0-159.5--0.0813449999999838</f>
        <v>714.33550300000002</v>
      </c>
      <c r="I260" s="3">
        <f>866.2+(441.5-438)+(0+(0-0))+0-159.2-0</f>
        <v>710.5</v>
      </c>
      <c r="J260" s="3">
        <f>869.5+(432.6-429.1)+(-0.88689+(-0.441252--0.437682))+0-157.8--0.160956000000025</f>
        <v>714.47049600000003</v>
      </c>
      <c r="K260" s="3">
        <f>870.8+(444.3-417.9)+(0+(0-0))+0-160.9-0</f>
        <v>736.30000000000007</v>
      </c>
      <c r="L260" s="3">
        <f>864+(428.4-360.8)+(-0.88128+(-0.436968--0.368016))+0-157.8--0.160956000000025</f>
        <v>773.01072399999987</v>
      </c>
      <c r="M260" s="3">
        <f>864.4+(486.2-364)+(-0.881688+(-0.495924--0.37128))+0-162.7--0.165954000000026</f>
        <v>823.05962199999999</v>
      </c>
      <c r="N260" s="3">
        <f>860.7+(505.1-327.3)+(0.438957+(0.257601-0.166923))+0-163.8-0.0835379999999834</f>
        <v>875.14609700000017</v>
      </c>
      <c r="O260" s="3">
        <f>815.1+(562.3-315.9)+(0.415701+(0.286773-0.161109))+0-160.7-0.0819569999999837</f>
        <v>901.25940800000001</v>
      </c>
      <c r="P260" s="3">
        <f>747.9+(584.9-271.7)+(-0.381429+(-0.298299--0.138567))+0-160.3--0.0817529999999837</f>
        <v>900.34059199999979</v>
      </c>
      <c r="Q260" s="3">
        <f>756.5+(568.3-259.1)+(-1.157445+(-0.869499--0.396423))+0-160.5--0.245565000000009</f>
        <v>903.81504399999983</v>
      </c>
      <c r="R260" s="3">
        <f>760.6+(547.2-236.7)+(-1.163718+(-0.837216--0.362151))+0-156.2--0.238986000000009</f>
        <v>913.50020299999994</v>
      </c>
      <c r="S260" s="3">
        <f>755.1+(543.9-239.9)+(-0.385101+(-0.277389--0.122349))+0-156--0.0795599999999842</f>
        <v>902.63941899999998</v>
      </c>
      <c r="T260" s="3">
        <f>754.5+(514.5-219)+(-0.384795+(-0.262395--0.11169))+0-155.5--0.0793049999999842</f>
        <v>894.04380500000002</v>
      </c>
      <c r="U260" s="3">
        <f>750.3+(514.8-213.6)+(0+(0-0))+0-155.5-0</f>
        <v>896</v>
      </c>
      <c r="V260" s="3">
        <f>751.9+(544-199.6)+(-1.917345+(-1.3872--0.50898))+0-153--0.390149999999978</f>
        <v>940.89458500000001</v>
      </c>
      <c r="W260" s="3">
        <f>763.4+(618.6-209.5)+(0+(0-0))+0-154.3-0</f>
        <v>1018.2</v>
      </c>
      <c r="X260" s="3">
        <f>774.3+(708.3-315.2)+(-1.974465+(-1.806165--0.80376))+0-155.7--0.397034999999977</f>
        <v>1009.1201649999998</v>
      </c>
      <c r="Y260" s="3">
        <f>775.3+(613.7-245.2)+(-0.790806+(-0.625974--0.250104))+0-153.4--0.156468000000024</f>
        <v>989.38979199999994</v>
      </c>
      <c r="Z260" s="3">
        <f>780.8+(617.3-293.3)+(-1.99104+(-1.574115--0.747915))+0-157.8--0.402389999999977</f>
        <v>944.58514999999989</v>
      </c>
      <c r="AA260" s="3">
        <f>780.1+(643.7-342.2)+(-0.795702+(-0.656574--0.349044))+0-157.4--0.160548000000025</f>
        <v>923.25731600000029</v>
      </c>
      <c r="AB260" s="3">
        <f>785.1+(644.1-394.3)+(-2.002005+(-1.642455--1.005465))+0-154.6--0.394229999999978</f>
        <v>878.05523500000004</v>
      </c>
      <c r="AC260" s="3">
        <f>787.4+(660-460.5)+(-0.803148+(-0.6732--0.46971))+0-156.1--0.159222000000025</f>
        <v>829.952584</v>
      </c>
      <c r="AD260">
        <f t="shared" si="4"/>
        <v>20661.949003999995</v>
      </c>
      <c r="AE260" s="3">
        <f>761+(603.1-213.1)+(0+(0-0))+0-157-0</f>
        <v>994</v>
      </c>
    </row>
    <row r="261" spans="1:31" s="2" customFormat="1" x14ac:dyDescent="0.25">
      <c r="A261">
        <v>89</v>
      </c>
      <c r="B261">
        <v>9</v>
      </c>
      <c r="C261">
        <v>15</v>
      </c>
      <c r="D261">
        <v>3</v>
      </c>
      <c r="E261">
        <v>1</v>
      </c>
      <c r="F261" s="3">
        <f>733.4+(679.9-492.6)+(-1.122102+(-1.040247--0.753678))+0-157.7--0.241281000000009</f>
        <v>761.83260999999982</v>
      </c>
      <c r="G261" s="3">
        <f>761.8+(583.8-454.9)+(-0.777036+(-0.595476--0.463998))+0-156.2--0.159324000000025</f>
        <v>733.75081</v>
      </c>
      <c r="H261" s="3">
        <f>774.7+(510-400.2)+(-1.185291+(-0.7803--0.612306))+0-153.5--0.234855000000009</f>
        <v>729.88157000000001</v>
      </c>
      <c r="I261" s="3">
        <f>781.9+(532.8-443.2)+(-1.196307+(-0.815184--0.678096))+0-153.1--0.234243000000009</f>
        <v>717.30084799999997</v>
      </c>
      <c r="J261" s="3">
        <f>783.6+(555.7-461.4)+(-0.399636+(-0.283407--0.235314))+0-152.6--0.0778259999999845</f>
        <v>724.93009700000005</v>
      </c>
      <c r="K261" s="3">
        <f>782.7+(561.9-447)+(0+(0-0))+0-151.4-0</f>
        <v>746.2</v>
      </c>
      <c r="L261" s="3">
        <f>769.5+(580.6-409)+(-0.392445+(-0.296106--0.20859))+0-151.3--0.0771629999999847</f>
        <v>789.39720199999999</v>
      </c>
      <c r="M261" s="3">
        <f>770.2+(577-365.5)+(0+(0-0))+0-151.1-0</f>
        <v>830.6</v>
      </c>
      <c r="N261" s="3">
        <f>767+(592.2-344.9)+(0+(0-0))+0-149.1-0</f>
        <v>865.2</v>
      </c>
      <c r="O261" s="3">
        <f>752.1+(618.4-344.8)+(1.150713+(0.946152-0.527544))+0-151.2-0.231336000000009</f>
        <v>875.83798499999989</v>
      </c>
      <c r="P261" s="3">
        <f>747+(640.9-359.2)+(-0.76194+(-0.653718--0.366384))+0-149.5--0.152490000000024</f>
        <v>878.30321600000013</v>
      </c>
      <c r="Q261" s="3">
        <f>761.9+(609.8-347.6)+(-1.165707+(-0.932994--0.531828))+0-141.5--0.216495000000008</f>
        <v>881.24962199999993</v>
      </c>
      <c r="R261" s="3">
        <f>800.1+(572.9-368.8)+(-2.856357+(-2.045253--1.316616))+0-131.1--0.468027000000002</f>
        <v>869.98303299999998</v>
      </c>
      <c r="S261" s="3">
        <f>759.1+(577-341.9)+(-0.387141+(-0.29427--0.174369))+0-125.6--0.0640559999999873</f>
        <v>868.157014</v>
      </c>
      <c r="T261" s="3">
        <f>772.3+(596.4-378.3)+(-1.181619+(-0.912492--0.578799))+0-131.4--0.201042000000008</f>
        <v>857.68572999999992</v>
      </c>
      <c r="U261" s="3">
        <f>777.3+(621.2-410.3)+(-1.189269+(-0.950436--0.627759))+0-130.9--0.200277000000008</f>
        <v>855.98833100000013</v>
      </c>
      <c r="V261" s="3">
        <f>790.8+(594.9-333.5)+(-1.209924+(-0.910197--0.510255))+0-152.2--0.232866000000009</f>
        <v>898.62299999999982</v>
      </c>
      <c r="W261" s="3">
        <f>800.9+(591.9-243.1)+(0.408459+(0.301869-0.123981))+0-160.9-0.0820589999999837</f>
        <v>989.30428799999981</v>
      </c>
      <c r="X261" s="3">
        <f>811.7+(585.6-252.2)+(-0.827934+(-0.597312--0.257244))+0-164--0.167280000000026</f>
        <v>980.09927800000025</v>
      </c>
      <c r="Y261" s="3">
        <f>820.1+(581.1-284)+(-2.927757+(-2.074527--1.01388))+0-165.3--0.590121000000002</f>
        <v>948.5017170000001</v>
      </c>
      <c r="Z261" s="3">
        <f>825.3+(586.7-329.1)+(-1.262709+(-0.897651--0.503523))+0-159.2--0.243576000000009</f>
        <v>922.28673900000001</v>
      </c>
      <c r="AA261" s="3">
        <f>817.9+(601.1-364.9)+(-1.251387+(-0.919683--0.558297))+0-166--0.25398000000001</f>
        <v>886.7412069999998</v>
      </c>
      <c r="AB261" s="3">
        <f>813.2+(602.3-413.6)+(-1.658928+(-1.228692--0.843744))+0-165.9--0.338435999999993</f>
        <v>834.29456000000005</v>
      </c>
      <c r="AC261" s="3">
        <f>825+(597.1-472)+(-2.5245+(-1.827126--1.44432))+0-167.5--0.512550000000019</f>
        <v>780.20524400000011</v>
      </c>
      <c r="AD261">
        <f t="shared" si="4"/>
        <v>20226.354100999997</v>
      </c>
      <c r="AE261" s="3">
        <f>814+(580.2-229.1)+(0+(0-0))+0-155.4-0</f>
        <v>1009.6999999999999</v>
      </c>
    </row>
    <row r="262" spans="1:31" s="2" customFormat="1" x14ac:dyDescent="0.25">
      <c r="A262">
        <v>89</v>
      </c>
      <c r="B262">
        <v>9</v>
      </c>
      <c r="C262">
        <v>16</v>
      </c>
      <c r="D262">
        <v>4</v>
      </c>
      <c r="E262">
        <v>1</v>
      </c>
      <c r="F262" s="3">
        <f>884.3+(518.7-477.2)+(-1.352979+(-0.793611--0.730116))+0-165.8--0.25367400000001</f>
        <v>758.83719999999994</v>
      </c>
      <c r="G262" s="3">
        <f>846+(512.8-456.2)+(-0.86292+(-0.523056--0.465324))+0-156.6--0.159732000000025</f>
        <v>745.23907999999994</v>
      </c>
      <c r="H262" s="3">
        <f>768.3+(537.1-405.1)+(0+(0-0))+0-161.4-0</f>
        <v>738.9</v>
      </c>
      <c r="I262" s="3">
        <f>754.4+(549.3-408)+(-0.769488+(-0.560286--0.41616))+0-164.5--0.167790000000026</f>
        <v>730.45417599999996</v>
      </c>
      <c r="J262" s="3">
        <f>756+(560.1-417)+(-0.77112+(-0.571302--0.42534))+0-162.3--0.165546000000026</f>
        <v>736.04846400000008</v>
      </c>
      <c r="K262" s="3">
        <f>762+(556.4-391.8)+(-0.38862+(-0.283764--0.199818))+0-163.2--0.0832319999999834</f>
        <v>763.0106659999999</v>
      </c>
      <c r="L262" s="3">
        <f>752.2+(529.4-338.1)+(-1.150866+(-0.809982--0.517293))+0-161.9--0.247707000000009</f>
        <v>780.40415200000007</v>
      </c>
      <c r="M262" s="3">
        <f>740.3+(541.9-303.3)+(0+(0-0))+0-161-0</f>
        <v>817.89999999999986</v>
      </c>
      <c r="N262" s="3">
        <f>725.7+(560.1-276.8)+(-1.110321+(-0.856953--0.423504))+0-147.7--0.225981000000009</f>
        <v>859.98221100000001</v>
      </c>
      <c r="O262" s="3">
        <f>627.7+(635.4-225.4)+(0.960381+(0.972162-0.344862))+0-154-0.235620000000009</f>
        <v>885.05206099999998</v>
      </c>
      <c r="P262" s="3">
        <f>615.2+(657.8-237.3)+(-0.941256+(-1.006434--0.363069))+0-153.4--0.234702000000009</f>
        <v>880.95008100000007</v>
      </c>
      <c r="Q262" s="3">
        <f>657.1+(609.2-245.9)+(-0.670242+(-0.621384--0.250818))+0-153.8--0.156876000000025</f>
        <v>865.71606800000018</v>
      </c>
      <c r="R262" s="3">
        <f>675.1+(616.6-284.9)+(-0.688602+(-0.628932--0.290598))+0-151.6--0.154632000000024</f>
        <v>854.32769600000006</v>
      </c>
      <c r="S262" s="3">
        <f>648.4+(587.5-230)+(-0.330684+(-0.299625--0.1173))+0-150.8--0.0769079999999847</f>
        <v>854.6638989999999</v>
      </c>
      <c r="T262" s="3">
        <f>623.8+(573.6-205.1)+(0.318138+(0.292536-0.104601))+0-144.2-0.0735419999999854</f>
        <v>848.53253099999995</v>
      </c>
      <c r="U262" s="3">
        <f>630.5+(621.1-258.4)+(0.321555+(0.316761-0.131784))+0-146-0.0744599999999852</f>
        <v>847.63207200000011</v>
      </c>
      <c r="V262" s="3">
        <f>643.8+(649.6-246.1)+(-1.64169+(-1.65648--0.627555))+0-156.3--0.398564999999977</f>
        <v>888.72794999999996</v>
      </c>
      <c r="W262" s="3">
        <f>744.1+(575.9-184.6)+(0+(0-0))+0-159.1-0</f>
        <v>976.30000000000007</v>
      </c>
      <c r="X262" s="3">
        <f>790.6+(443.5-116.7)+(-2.419236+(-1.35711--0.357102))+0-156--0.477360000000018</f>
        <v>958.45811600000013</v>
      </c>
      <c r="Y262" s="3">
        <f>792.5+(453.6-164.7)+(-1.6167+(-0.925344--0.335988))+0-148.7--0.303347999999994</f>
        <v>930.79729200000008</v>
      </c>
      <c r="Z262" s="3">
        <f>790.9+(509.9-253)+(-1.210077+(-0.780147--0.38709))+0-155.7--0.238221000000009</f>
        <v>890.73508699999991</v>
      </c>
      <c r="AA262" s="3">
        <f>789.5+(503.2-265.5)+(-1.207935+(-0.769896--0.406215))+0-161.8--0.247554000000009</f>
        <v>864.07593800000018</v>
      </c>
      <c r="AB262" s="3">
        <f>784.5+(521-322.3)+(-1.60038+(-1.06284--0.657492))+0-167--0.340679999999993</f>
        <v>814.53495200000009</v>
      </c>
      <c r="AC262" s="3">
        <f>716.9+(577.2-359.8)+(-1.828095+(-1.47186--0.91749))+0-171--0.436049999999975</f>
        <v>761.35358499999995</v>
      </c>
      <c r="AD262">
        <f t="shared" si="4"/>
        <v>20052.633277000004</v>
      </c>
      <c r="AE262" s="3">
        <f>792+(477-117.8)+(0+(0-0))+0-172.5-0</f>
        <v>978.7</v>
      </c>
    </row>
    <row r="263" spans="1:31" s="2" customFormat="1" x14ac:dyDescent="0.25">
      <c r="A263">
        <v>89</v>
      </c>
      <c r="B263">
        <v>9</v>
      </c>
      <c r="C263">
        <v>17</v>
      </c>
      <c r="D263">
        <v>5</v>
      </c>
      <c r="E263">
        <v>1</v>
      </c>
      <c r="F263" s="3">
        <f>732.3+(556.5-388)+(-2.240838+(-1.70289--1.18728))+0-172.9--0.52907400000002</f>
        <v>725.67262600000004</v>
      </c>
      <c r="G263" s="3">
        <f>789+(518.6-422.1)+(-1.60956+(-1.057944--0.861084))+0-169--0.344759999999993</f>
        <v>715.03833999999995</v>
      </c>
      <c r="H263" s="3">
        <f>762.8+(490.2-385.4)+(-1.94514+(-1.25001--0.98277))+0-166.9--0.425594999999976</f>
        <v>698.91321499999981</v>
      </c>
      <c r="I263" s="3">
        <f>761.6+(482.6-373.3)+(0+(0-0))+0-167.5-0</f>
        <v>703.40000000000009</v>
      </c>
      <c r="J263" s="3">
        <f>765.3+(481.1-367.7)+(0.390303+(0.245361-0.187527))+0-166.7-0.0850169999999831</f>
        <v>712.36312000000009</v>
      </c>
      <c r="K263" s="3">
        <f>767.6+(487-338.4)+(-0.782952+(-0.49674--0.345168))+0-168.5--0.171870000000027</f>
        <v>746.93734600000005</v>
      </c>
      <c r="L263" s="3">
        <f>757.7+(467-278.3)+(0+(0-0))+0-161.9-0</f>
        <v>784.50000000000011</v>
      </c>
      <c r="M263" s="3">
        <f>756.5+(468-234.7)+(-0.77163+(-0.47736--0.239394))+0-170.2--0.173604000000027</f>
        <v>818.7640080000001</v>
      </c>
      <c r="N263" s="3">
        <f>751.6+(445.3-175.6)+(-1.149948+(-0.681309--0.268668))+0-162.4--0.248472000000009</f>
        <v>857.58588300000008</v>
      </c>
      <c r="O263" s="3">
        <f>764.8+(500.6-228.8)+(-0.780096+(-0.510612--0.233376))+0-159.8--0.162996000000025</f>
        <v>875.90566399999989</v>
      </c>
      <c r="P263" s="3">
        <f>807.2+(469.9-240.2)+(-1.235016+(-0.718947--0.367506))+0-147.8--0.226134000000009</f>
        <v>887.73967700000003</v>
      </c>
      <c r="Q263" s="3">
        <f>805.2+(470.7-224.6)+(-1.231956+(-0.720171--0.343638))+0-157--0.240210000000009</f>
        <v>892.93172100000004</v>
      </c>
      <c r="R263" s="3">
        <f>820.4+(436.7-208.8)+(-2.09202+(-1.113585--0.53244))+0-159.5--0.406724999999977</f>
        <v>886.53355999999997</v>
      </c>
      <c r="S263" s="3">
        <f>875.2+(387.5-227.3)+(-0.892704+(-0.39525--0.231846))+0-164.7--0.167994000000026</f>
        <v>869.81188600000007</v>
      </c>
      <c r="T263" s="3">
        <f>925.3+(346.6-240.1)+(-0.943806+(-0.353532--0.244902))+0-166.8--0.170136000000027</f>
        <v>864.11770000000013</v>
      </c>
      <c r="U263" s="3">
        <f>931.3+(346.1-255.7)+(-0.949926+(-0.353022--0.260814))+0-162.9--0.166158000000026</f>
        <v>857.92402400000003</v>
      </c>
      <c r="V263" s="3">
        <f>962.1+(402.3-289)+(-1.962684+(-0.820692--0.58956))+0-167.7--0.342107999999993</f>
        <v>905.84829200000001</v>
      </c>
      <c r="W263" s="3">
        <f>1022.9+(454.4-309.7)+(-0.521679+(-0.231744--0.157947))+0-173.9--0.0886889999999824</f>
        <v>993.1932129999999</v>
      </c>
      <c r="X263" s="3">
        <f>1096.8+(409.1-351.4)+(-1.678104+(-0.625923--0.537642))+0-169.8--0.25979400000001</f>
        <v>983.1934090000002</v>
      </c>
      <c r="Y263" s="3">
        <f>1103.2+(384.6-365.1)+(-2.250528+(-0.784584--0.744804))+0-172.4--0.351695999999992</f>
        <v>948.36138799999992</v>
      </c>
      <c r="Z263" s="3">
        <f>1058.1+(351.9-325.4)+(0.539631+(0.179469-0.165954))+0-175.2-0.0893519999999822</f>
        <v>909.86379399999987</v>
      </c>
      <c r="AA263" s="3">
        <f>938.5+(411.6-277.3)+(-0.95727+(-0.419832--0.282846))+0-180.1--0.183702000000029</f>
        <v>891.78944599999988</v>
      </c>
      <c r="AB263" s="3">
        <f>915.1+(437.2-321.9)+(-2.333505+(-1.11486--0.820845))+0-177.5--0.452624999999974</f>
        <v>850.7251050000001</v>
      </c>
      <c r="AC263" s="3">
        <f>848.5+(449.8-332.1)+(-0.86547+(-0.458796--0.338742))+0-173.2--0.176664000000028</f>
        <v>792.19114000000013</v>
      </c>
      <c r="AD263">
        <f t="shared" si="4"/>
        <v>20173.304557000003</v>
      </c>
      <c r="AE263" s="3">
        <f>1047+(441-311.2)+(0+(0-0))+0-168.2-0</f>
        <v>1008.5999999999999</v>
      </c>
    </row>
    <row r="264" spans="1:31" s="2" customFormat="1" x14ac:dyDescent="0.25">
      <c r="A264">
        <v>89</v>
      </c>
      <c r="B264">
        <v>9</v>
      </c>
      <c r="C264">
        <v>18</v>
      </c>
      <c r="D264">
        <v>6</v>
      </c>
      <c r="E264">
        <v>1</v>
      </c>
      <c r="F264" s="3">
        <f>735.6+(477.4-295.5)+(0.375156+(0.243474-0.150705))+0-175.1-0.0893009999999822</f>
        <v>742.77862400000004</v>
      </c>
      <c r="G264" s="3">
        <f>739.9+(499.5-353.3)+(-0.377349+(-0.254745--0.180183))+0-175.7--0.0896069999999822</f>
        <v>710.03769599999998</v>
      </c>
      <c r="H264" s="3">
        <f>736.9+(514-378.3)+(-0.375819+(-0.26214--0.192933))+0-175.1--0.0893009999999822</f>
        <v>697.14427499999988</v>
      </c>
      <c r="I264" s="3">
        <f>743.7+(529.1-403)+(0+(0-0))+0-173.2-0</f>
        <v>696.60000000000014</v>
      </c>
      <c r="J264" s="3">
        <f>746.4+(509-394.3)+(1.141992+(0.77877-0.603279))+0-160.8-0.246024000000009</f>
        <v>701.37145899999996</v>
      </c>
      <c r="K264" s="3">
        <f>743.4+(550.6-395.1)+(0.379134+(0.280806-0.201501))+0-173.2-0.0883319999999824</f>
        <v>726.07010700000001</v>
      </c>
      <c r="L264" s="3">
        <f>745.1+(539.6-332.5)+(-1.520004+(-1.100784--0.6783))+0-172.2--0.351287999999992</f>
        <v>778.40880000000004</v>
      </c>
      <c r="M264" s="3">
        <f>753.5+(529.5-288.8)+(-0.76857+(-0.54009--0.294576))+0-168.6--0.171972000000027</f>
        <v>824.75788799999998</v>
      </c>
      <c r="N264" s="3">
        <f>762.6+(494.3-220.3)+(1.555704+(1.008372-0.449412))+0-155.1-0.316403999999993</f>
        <v>883.2982599999998</v>
      </c>
      <c r="O264" s="3">
        <f>737.6+(474.9-173.7)+(-0.376176+(-0.242199--0.088587))+0-150--0.0764999999999848</f>
        <v>888.34671199999991</v>
      </c>
      <c r="P264" s="3">
        <f>733.5+(466.9-157.4)+(0.374085+(0.238119-0.080274))+0-147-0.0749699999999851</f>
        <v>896.45696000000009</v>
      </c>
      <c r="Q264" s="3">
        <f>736.8+(411.8-117.7)+(-0.375768+(-0.210018--0.060027))+0-144--0.0734399999999854</f>
        <v>886.44768099999999</v>
      </c>
      <c r="R264" s="3">
        <f>732.5+(389.8-91.4)+(-1.867875+(-0.99399--0.23307))+0-155.6--0.396779999999977</f>
        <v>873.06798499999991</v>
      </c>
      <c r="S264" s="3">
        <f>734.5+(368.3-86.5)+(-0.74919+(-0.375666--0.08823))+0-165.4--0.168708000000026</f>
        <v>850.03208200000006</v>
      </c>
      <c r="T264" s="3">
        <f>775.5+(332.4-90.5)+(-0.395505+(-0.169524--0.046155))+0-169.2--0.0862919999999828</f>
        <v>847.76741799999991</v>
      </c>
      <c r="U264" s="3">
        <f>820.1+(331.3-152.1)+(-0.836502+(-0.337926--0.155142))+0-161--0.164220000000026</f>
        <v>837.4449340000001</v>
      </c>
      <c r="V264" s="3">
        <f>849.9+(392.5-187.3)+(0+(0-0))+0-168.8-0</f>
        <v>886.3</v>
      </c>
      <c r="W264" s="3">
        <f>871.9+(385.9-128.4)+(0.444669+(0.196809-0.065484))+0-157.5-0.080324999999984</f>
        <v>972.39566900000011</v>
      </c>
      <c r="X264" s="3">
        <f>880.4+(378.7-140.9)+(0+(0-0))+0-155.5-0</f>
        <v>962.7</v>
      </c>
      <c r="Y264" s="3">
        <f>873.1+(382.5-186.9)+(-1.335843+(-0.585225--0.285957))+0-154.4--0.236232000000009</f>
        <v>912.90112099999999</v>
      </c>
      <c r="Z264" s="3">
        <f>863+(368.6-212.6)+(-0.88026+(-0.375972--0.216852))+0-156.4--0.159528000000025</f>
        <v>861.72014799999999</v>
      </c>
      <c r="AA264" s="3">
        <f>760.1+(387.4-142.5)+(0.387651+(0.197574-0.072675))+0-155-0.0790499999999843</f>
        <v>850.43350000000009</v>
      </c>
      <c r="AB264" s="3">
        <f>752.5+(397.3-172.1)+(-1.918875+(-1.013115--0.438855))+0-148.1--0.377654999999978</f>
        <v>827.48451999999997</v>
      </c>
      <c r="AC264" s="3">
        <f>755.1+(412.2-230.9)+(-3.080808+(-1.681776--0.942072))+0-151.9--0.619751999999987</f>
        <v>781.29923999999994</v>
      </c>
      <c r="AD264">
        <f t="shared" si="4"/>
        <v>19895.265078999997</v>
      </c>
      <c r="AE264" s="3">
        <f>879+(392.9-130.6)+(0+(0-0))+0-153-0</f>
        <v>988.3</v>
      </c>
    </row>
    <row r="265" spans="1:31" s="2" customFormat="1" x14ac:dyDescent="0.25">
      <c r="A265">
        <v>89</v>
      </c>
      <c r="B265">
        <v>9</v>
      </c>
      <c r="C265">
        <v>19</v>
      </c>
      <c r="D265">
        <v>7</v>
      </c>
      <c r="E265">
        <v>1</v>
      </c>
      <c r="F265" s="3">
        <f>763.6+(421.5-278.9)+(0+(0-0))+0-157.9-0</f>
        <v>748.30000000000007</v>
      </c>
      <c r="G265" s="3">
        <f>769.6+(434-319)+(-1.177488+(-0.66402--0.48807))+0-161.5--0.247095000000009</f>
        <v>721.9936570000001</v>
      </c>
      <c r="H265" s="3">
        <f>770.2+(458-357.4)+(-0.785604+(-0.46716--0.364548))+0-165.5--0.168810000000026</f>
        <v>704.58059400000002</v>
      </c>
      <c r="I265" s="3">
        <f>770+(450.5-357.4)+(0.3927+(0.229755-0.182274))+0-164.1-0.0836909999999833</f>
        <v>699.35649000000012</v>
      </c>
      <c r="J265" s="3">
        <f>771.7+(444.4-348.3)+(-1.967835+(-1.13322--0.888165))+0-163.4--0.416669999999976</f>
        <v>702.60377999999992</v>
      </c>
      <c r="K265" s="3">
        <f>769.5+(437.7-338.8)+(0.392445+(0.223227-0.172788))+0-162.6-0.0829259999999835</f>
        <v>706.15995800000007</v>
      </c>
      <c r="L265" s="3">
        <f>760.2+(397.1-290.4)+(-0.775404+(-0.405042--0.296208))+0-160.9--0.164118000000026</f>
        <v>705.27988000000016</v>
      </c>
      <c r="M265" s="3">
        <f>754+(414.3-248.5)+(-1.15362+(-0.633879--0.380205))+0-162.9--0.249237000000009</f>
        <v>755.74194299999999</v>
      </c>
      <c r="N265" s="3">
        <f>752.6+(413.7-192.6)+(-0.767652+(-0.421974--0.196452))+0-165.8--0.169116000000026</f>
        <v>807.07594200000017</v>
      </c>
      <c r="O265" s="3">
        <f>742.2+(396.9-128.3)+(-1.135566+(-0.607257--0.196299))+0-162.9--0.249237000000009</f>
        <v>846.60271299999999</v>
      </c>
      <c r="P265" s="3">
        <f>734+(399-107.9)+(-1.49736+(-0.81396--0.220116))+0-159.8--0.325991999999993</f>
        <v>863.53478799999993</v>
      </c>
      <c r="Q265" s="3">
        <f>730.4+(411.4-111.1)+(-0.745008+(-0.419628--0.113322))+0-159.7--0.162894000000025</f>
        <v>870.11157999999978</v>
      </c>
      <c r="R265" s="3">
        <f>723.9+(395.5-109.8)+(-1.107567+(-0.605115--0.167994))+0-161.5--0.247095000000009</f>
        <v>846.80240700000002</v>
      </c>
      <c r="S265" s="3">
        <f>718.2+(390.4-116.2)+(-1.465128+(-0.796416--0.237048))+0-164.5--0.335579999999993</f>
        <v>826.21108400000003</v>
      </c>
      <c r="T265" s="3">
        <f>715.6+(372.4-99.8)+(-0.729912+(-0.379848--0.101796))+4-167.3--0.170646000000027</f>
        <v>824.062682</v>
      </c>
      <c r="U265" s="3">
        <f>747.3+(383-143.4)+(0+(0-0))+0-164-0</f>
        <v>822.9</v>
      </c>
      <c r="V265" s="3">
        <f>815.8+(388.6-199.2)+(-2.08029+(-0.99093--0.50796))+0-163.6--0.417179999999976</f>
        <v>839.45392000000004</v>
      </c>
      <c r="W265" s="3">
        <f>847+(401.9-138.6)+(0.43197+(0.204969-0.070686))+0-173.2-0.0883319999999824</f>
        <v>937.57792099999983</v>
      </c>
      <c r="X265" s="3">
        <f>854+(390.9-137.3)+(-0.43554+(-0.199359--0.070023))+0-171.8--0.0876179999999826</f>
        <v>935.32274200000006</v>
      </c>
      <c r="Y265" s="3">
        <f>849.8+(385-152.7)+(-1.300194+(-0.58905--0.233631))+0-169.9--0.25994700000001</f>
        <v>910.80433400000004</v>
      </c>
      <c r="Z265" s="3">
        <f>746.7+(465.5-171.7)+(-0.380817+(-0.237405--0.087567))+0-170.9--0.0871589999999827</f>
        <v>869.15650399999993</v>
      </c>
      <c r="AA265" s="3">
        <f>734.3+(502.2-225.5)+(0+(0-0))+0-171-0</f>
        <v>840</v>
      </c>
      <c r="AB265" s="3">
        <f>734.1+(504-256.9)+(-0.748782+(-0.51408--0.262038))+0-162.9--0.166158000000026</f>
        <v>817.4653340000001</v>
      </c>
      <c r="AC265" s="3">
        <f>737.7+(493-283.6)+(-2.257362+(-1.50858--0.867816))+0-162.8--0.498168000000019</f>
        <v>781.90004199999987</v>
      </c>
      <c r="AD265">
        <f t="shared" si="4"/>
        <v>19382.998295000001</v>
      </c>
      <c r="AE265" s="3">
        <f>862+(394.7-130.8)+(0+(0-0))+0-158.1-0</f>
        <v>967.80000000000007</v>
      </c>
    </row>
    <row r="266" spans="1:31" s="2" customFormat="1" x14ac:dyDescent="0.25">
      <c r="A266">
        <v>89</v>
      </c>
      <c r="B266">
        <v>9</v>
      </c>
      <c r="C266">
        <v>20</v>
      </c>
      <c r="D266">
        <v>1</v>
      </c>
      <c r="E266">
        <v>1</v>
      </c>
      <c r="F266" s="3">
        <f>739.5+(492.7-328.3)+(-1.131435+(-0.753831--0.502299))+0-161.1--0.246483000000009</f>
        <v>741.66351599999996</v>
      </c>
      <c r="G266" s="3">
        <f>733.4+(515.3-371.5)+(1.122102+(0.788409-0.568395))+0-158.7-0.242811000000009</f>
        <v>719.59930500000007</v>
      </c>
      <c r="H266" s="3">
        <f>739.2+(506.6-391.5)+(-0.753984+(-0.516732--0.39933))+0-154.3--0.157386000000025</f>
        <v>699.28599999999994</v>
      </c>
      <c r="I266" s="3">
        <f>737.6+(489.3-388)+(0+(0-0))+0-152.8-0</f>
        <v>686.10000000000014</v>
      </c>
      <c r="J266" s="3">
        <f>745.4+(461.9-365.7)+(-0.380154+(-0.235569--0.186507))+0-153.2--0.0781319999999845</f>
        <v>688.04891599999985</v>
      </c>
      <c r="K266" s="3">
        <f>746.8+(483.4-372.3)+(1.90434+(1.23267-0.949365))+0-153.5-0.391424999999978</f>
        <v>706.19621999999981</v>
      </c>
      <c r="L266" s="3">
        <f>746.7+(511.9-335.1)+(-0.380817+(-0.261069--0.170901))+0-149.4--0.0761939999999848</f>
        <v>773.70520899999997</v>
      </c>
      <c r="M266" s="3">
        <f>741.5+(565.7-322.9)+(-0.378165+(-0.288507--0.164679))+0-150.6--0.0768059999999847</f>
        <v>833.27481300000011</v>
      </c>
      <c r="N266" s="3">
        <f>732.4+(566.5-277.3)+(0+(0-0))+0-149.1-0</f>
        <v>872.49999999999989</v>
      </c>
      <c r="O266" s="3">
        <f>727.8+(579.1-267.5)+(-0.742356+(-0.590682--0.27285))+0-150.7--0.153714000000024</f>
        <v>887.79352600000016</v>
      </c>
      <c r="P266" s="3">
        <f>719.3+(586.7-257.7)+(0.366843+(0.299217-0.131427))+0-152.9-0.0779789999999845</f>
        <v>895.85665399999993</v>
      </c>
      <c r="Q266" s="3">
        <f>719.5+(586.5-264.1)+(-1.834725+(-1.495575--0.673455))+0-146.7--0.374084999999979</f>
        <v>892.91723999999999</v>
      </c>
      <c r="R266" s="3">
        <f>700.5+(570.9-263.2)+(-1.42902+(-1.164636--0.536928))+0-140.4--0.286415999999994</f>
        <v>866.02968800000008</v>
      </c>
      <c r="S266" s="3">
        <f>760.1+(515.1-273)+(-1.550604+(-1.050804--0.55692))+0-146.1--0.298043999999994</f>
        <v>854.35355600000003</v>
      </c>
      <c r="T266" s="3">
        <f>740.2+(509.4-261)+(1.510008+(1.039176-0.53244))+0-145.5-0.296819999999994</f>
        <v>844.81992400000001</v>
      </c>
      <c r="U266" s="3">
        <f>705.6+(545.9-254.6)+(-1.79928+(-1.392045--0.64923))+0-143.4--0.365669999999979</f>
        <v>851.32357500000001</v>
      </c>
      <c r="V266" s="3">
        <f>709.6+(583.7-240.7)+(-1.085688+(-0.893061--0.368271))+0-149.9--0.229347000000009</f>
        <v>901.31886900000006</v>
      </c>
      <c r="W266" s="3">
        <f>813+(551.2-227.6)+(-1.24389+(-0.843336--0.348228))+0-154.3--0.236079000000009</f>
        <v>980.79708099999993</v>
      </c>
      <c r="X266" s="3">
        <f>858.2+(520.8-249.6)+(-1.750728+(-1.062432--0.509184))+0-161.9--0.330275999999993</f>
        <v>965.52630000000022</v>
      </c>
      <c r="Y266" s="3">
        <f>859.8+(503.8-268.9)+(-1.315494+(-0.770814--0.411417))+0-167.9--0.25688700000001</f>
        <v>925.38199600000019</v>
      </c>
      <c r="Z266" s="3">
        <f>798.1+(499.6-234)+(-1.628124+(-1.019184--0.47736))+0-172.8--0.352511999999993</f>
        <v>889.08256400000016</v>
      </c>
      <c r="AA266" s="3">
        <f>819.6+(490.5-266.7)+(-1.253988+(-0.750465--0.408051))+0-178.6--0.27325800000001</f>
        <v>863.47685600000023</v>
      </c>
      <c r="AB266" s="3">
        <f>835.5+(472-318.4)+(-1.70442+(-0.96288--0.649536))+0-167--0.340679999999993</f>
        <v>820.42291599999999</v>
      </c>
      <c r="AC266" s="3">
        <f>907.3+(420.2-396.8)+(-1.388169+(-0.642906--0.607104))+0-163.3--0.249849000000009</f>
        <v>766.22587799999997</v>
      </c>
      <c r="AD266">
        <f t="shared" si="4"/>
        <v>19925.700602000004</v>
      </c>
      <c r="AE266" s="3">
        <f>855+(545-253.9)+(0+(0-0))+0-147.5-0</f>
        <v>998.59999999999991</v>
      </c>
    </row>
    <row r="267" spans="1:31" s="2" customFormat="1" x14ac:dyDescent="0.25">
      <c r="A267">
        <v>89</v>
      </c>
      <c r="B267">
        <v>9</v>
      </c>
      <c r="C267">
        <v>21</v>
      </c>
      <c r="D267">
        <v>2</v>
      </c>
      <c r="E267">
        <v>1</v>
      </c>
      <c r="F267" s="3">
        <f>886.6+(382.2-385)+(-2.26083+(-0.97461--0.98175))+0-167.4--0.426869999999976</f>
        <v>714.57317999999998</v>
      </c>
      <c r="G267" s="3">
        <f>908.1+(396.9-437.2)+(-0.463131+(-0.202419--0.222972))+0-167.2--0.085271999999983</f>
        <v>700.24269400000003</v>
      </c>
      <c r="H267" s="3">
        <f>915.2+(418.3-469.2)+(-1.867008+(-0.853332--0.957168))+0-164--0.334559999999993</f>
        <v>698.87138800000002</v>
      </c>
      <c r="I267" s="3">
        <f>918.7+(420-481.4)+(1.405611+(0.6426-0.736542))+0-163.2-0.249696000000009</f>
        <v>695.1619730000001</v>
      </c>
      <c r="J267" s="3">
        <f>912.9+(432.8-482.4)+(2.327895+(1.10364-1.23012))+0-164-0.418199999999976</f>
        <v>701.083215</v>
      </c>
      <c r="K267" s="3">
        <f>919.1+(471.2-500.1)+(1.406223+(0.720936-0.765153))+0-163.4-0.250002000000009</f>
        <v>727.91200400000002</v>
      </c>
      <c r="L267" s="3">
        <f>916.4+(437.2-414.9)+(-0.467364+(-0.222972--0.211599))+0-161--0.0821099999999837</f>
        <v>777.30337299999997</v>
      </c>
      <c r="M267" s="3">
        <f>916.7+(451.6-374)+(-0.467517+(-0.230316--0.19074))+0-168.3--0.0858329999999829</f>
        <v>825.57874000000004</v>
      </c>
      <c r="N267" s="3">
        <f>915.8+(435.6-319.6)+(0+(0-0))+0-166.9-0</f>
        <v>864.9</v>
      </c>
      <c r="O267" s="3">
        <f>903.4+(372.9-251.9)+(-1.382202+(-0.570537--0.385407))+0-163.7--0.250461000000009</f>
        <v>859.38312899999994</v>
      </c>
      <c r="P267" s="3">
        <f>902.8+(377.7-253.7)+(-0.460428+(-0.192627--0.129387))+0-166.3--0.0848129999999831</f>
        <v>860.0611449999999</v>
      </c>
      <c r="Q267" s="3">
        <f>921.9+(352.5-242.4)+(-1.410507+(-0.539325--0.370872))+0-162.4--0.248472000000009</f>
        <v>868.26951199999996</v>
      </c>
      <c r="R267" s="3">
        <f>916.3+(342.4-245.1)+(-3.738504+(-1.396992--1.000008))+0-157.8--0.643823999999986</f>
        <v>852.30833599999983</v>
      </c>
      <c r="S267" s="3">
        <f>782.6+(399.9-181)+(-0.399126+(-0.203949--0.09231))+0-152.3--0.0776729999999846</f>
        <v>848.76690800000006</v>
      </c>
      <c r="T267" s="3">
        <f>775.4+(424.5-204.1)+(-1.186362+(-0.649485--0.312273))+0-157.9--0.241587000000009</f>
        <v>836.61801299999991</v>
      </c>
      <c r="U267" s="3">
        <f>775+(454.9-232.1)+(1.18575+(0.695997-0.355113))+0-159.3-0.243729000000009</f>
        <v>839.7829049999998</v>
      </c>
      <c r="V267" s="3">
        <f>770.9+(468.7-195.9)+(-1.965795+(-1.195185--0.499545))+0-165.1--0.421004999999976</f>
        <v>876.35956999999974</v>
      </c>
      <c r="W267" s="3">
        <f>829.8+(472-172.7)+(0.423198+(0.24072-0.088077))+0-167.8-0.085577999999983</f>
        <v>961.7902630000001</v>
      </c>
      <c r="X267" s="3">
        <f>934.8+(411.3-236.2)+(-1.430244+(-0.629289--0.361386))+0-159.6--0.244188000000009</f>
        <v>948.84604100000001</v>
      </c>
      <c r="Y267" s="3">
        <f>936.2+(375.7-239.4)+(-1.432386+(-0.574821--0.366282))+0-158.9--0.243117000000009</f>
        <v>912.20219200000008</v>
      </c>
      <c r="Z267" s="3">
        <f>936+(343.9-233.6)+(-0.95472+(-0.350778--0.238272))+0-173.1--0.176562000000028</f>
        <v>872.30933600000003</v>
      </c>
      <c r="AA267" s="3">
        <f>938.5+(329.1-231)+(0+(0-0))+0-178.4-0</f>
        <v>858.19999999999993</v>
      </c>
      <c r="AB267" s="3">
        <f>933.7+(270.1-251.8)+(-1.428561+(-0.413253--0.385254))+0-176.7--0.27035100000001</f>
        <v>774.11379100000011</v>
      </c>
      <c r="AC267" s="3">
        <f>937.8+(264.4-300.3)+(-0.956556+(-0.269688--0.306306))+0-178.3--0.181866000000028</f>
        <v>722.86192799999992</v>
      </c>
      <c r="AD267">
        <f t="shared" si="4"/>
        <v>19597.499636</v>
      </c>
      <c r="AE267" s="3">
        <f>856+(453-164.6)+(0+(0-0))+0-167.1-0</f>
        <v>977.30000000000007</v>
      </c>
    </row>
    <row r="268" spans="1:31" s="2" customFormat="1" x14ac:dyDescent="0.25">
      <c r="A268">
        <v>89</v>
      </c>
      <c r="B268">
        <v>9</v>
      </c>
      <c r="C268">
        <v>22</v>
      </c>
      <c r="D268">
        <v>3</v>
      </c>
      <c r="E268">
        <v>1</v>
      </c>
      <c r="F268" s="3">
        <f>936.8+(292.3-323.9)+(-2.866608+(-0.894438--0.991134))+0-180.5--0.552330000000021</f>
        <v>722.48241800000005</v>
      </c>
      <c r="G268" s="3">
        <f>942.6+(266.5-332.3)+(-3.365082+(-0.951405--1.186311))+0-176.9--0.631533000000003</f>
        <v>697.40135699999996</v>
      </c>
      <c r="H268" s="3">
        <f>947.3+(213.1-298.2)+(-1.449369+(-0.326043--0.456246))+0-175--0.26775000000001</f>
        <v>686.14858399999991</v>
      </c>
      <c r="I268" s="3">
        <f>951.8+(224.7-321.6)+(0+(0-0))+0-173.7-0</f>
        <v>681.19999999999982</v>
      </c>
      <c r="J268" s="3">
        <f>945.5+(227.4-317.4)+(-0.482205+(-0.115974--0.161874))+0-171.7--0.0875669999999826</f>
        <v>683.45126200000004</v>
      </c>
      <c r="K268" s="3">
        <f>949.6+(292.1-363.1)+(0.968592+(0.297942-0.370362))+0-170.9-0.174318000000027</f>
        <v>708.42185400000005</v>
      </c>
      <c r="L268" s="3">
        <f>947.2+(280.9-298.8)+(-0.966144+(-0.286518--0.304776))+0-167.2--0.170544000000027</f>
        <v>761.32265800000005</v>
      </c>
      <c r="M268" s="3">
        <f>944.9+(251.2-233.4)+(0.481899+(0.128112-0.119034))+0-162.1-0.0826709999999835</f>
        <v>801.00830599999995</v>
      </c>
      <c r="N268" s="3">
        <f>933.7+(369.3-310.9)+(-0.952374+(-0.376686--0.317118))+0-154.6--0.157692000000025</f>
        <v>836.64575000000013</v>
      </c>
      <c r="O268" s="3">
        <f>912.8+(371.9-294.1)+(0+(0-0))+0-151.7-0</f>
        <v>838.89999999999986</v>
      </c>
      <c r="P268" s="3">
        <f>900.4+(433.9-342.4)+(0+(0-0))+0-147.4-0</f>
        <v>844.5</v>
      </c>
      <c r="Q268" s="3">
        <f>895.3+(394.9-303.7)+(0+(0-0))+0-145.9-0</f>
        <v>840.6</v>
      </c>
      <c r="R268" s="3">
        <f>873.7+(391.3-307.6)+(0+(0-0))+0-144.7-0</f>
        <v>812.7</v>
      </c>
      <c r="S268" s="3">
        <f>875+(368.2-286.3)+(0+(0-0))+0-149-0</f>
        <v>807.9</v>
      </c>
      <c r="T268" s="3">
        <f>867.6+(352.2-269.1)+(0+(0-0))+0-157.2-0</f>
        <v>793.5</v>
      </c>
      <c r="U268" s="3">
        <f>863.4+(359.7-267.6)+(0+(0-0))+0-149.9-0</f>
        <v>805.6</v>
      </c>
      <c r="V268" s="3">
        <f>873.1+(368.4-237.3)+(0+(0-0))+0-157-0</f>
        <v>847.2</v>
      </c>
      <c r="W268" s="3">
        <f>879.2+(378.4-164.3)+(0+(0-0))+0-156.9-0</f>
        <v>936.4</v>
      </c>
      <c r="X268" s="3">
        <f>896.2+(337.8-157.4)+(0+(0-0))+0-159.5-0</f>
        <v>917.10000000000014</v>
      </c>
      <c r="Y268" s="3">
        <f>901.9+(331.4-202.3)+(0+(0-0))+0-154-0</f>
        <v>877</v>
      </c>
      <c r="Z268" s="3">
        <f>902.7+(318.1-222.7)+(0+(0-0))+0-159.4-0</f>
        <v>838.70000000000016</v>
      </c>
      <c r="AA268" s="3">
        <f>907.2+(262.3-178.2)+(0+(0-0))+0-160.2-0</f>
        <v>831.10000000000014</v>
      </c>
      <c r="AB268" s="3">
        <f>913.9+(232.5-186.4)+(0+(0-0))+0-162.4-0</f>
        <v>797.6</v>
      </c>
      <c r="AC268" s="3">
        <f>914.4+(226.8-216.9)+(0+(0-0))+0-175.1-0</f>
        <v>749.19999999999993</v>
      </c>
      <c r="AD268">
        <f t="shared" si="4"/>
        <v>19116.082188999997</v>
      </c>
      <c r="AE268" s="3">
        <f>907+(355.6-146.7)+(0+(0-0))+0-160.8-0</f>
        <v>955.10000000000014</v>
      </c>
    </row>
    <row r="269" spans="1:31" s="2" customFormat="1" x14ac:dyDescent="0.25">
      <c r="A269">
        <v>89</v>
      </c>
      <c r="B269">
        <v>9</v>
      </c>
      <c r="C269">
        <v>23</v>
      </c>
      <c r="D269">
        <v>4</v>
      </c>
      <c r="E269">
        <v>1</v>
      </c>
      <c r="F269" s="3">
        <f>920.9+(243.4-269.4)+(0+(0-0))+0-179.7-0</f>
        <v>715.2</v>
      </c>
      <c r="G269" s="3">
        <f>919.8+(264.8-318.2)+(0+(0-0))+0-176.5-0</f>
        <v>689.9</v>
      </c>
      <c r="H269" s="3">
        <f>924.7+(286.6-356.7)+(0+(0-0))+0-174.1-0</f>
        <v>680.50000000000011</v>
      </c>
      <c r="I269" s="3">
        <f>942.1+(229.3-333.5)+(0+(0-0))+0-171.2-0</f>
        <v>666.7</v>
      </c>
      <c r="J269" s="3">
        <f>940.7+(209.5-311.7)+(0+(0-0))+0-170.3-0</f>
        <v>668.2</v>
      </c>
      <c r="K269" s="3">
        <f>939.6+(233.5-305.1)+(0+(0-0))+0-166-0</f>
        <v>702</v>
      </c>
      <c r="L269" s="3">
        <f>940+(261-289.5)+(0+(0-0))+0-165.3-0</f>
        <v>746.2</v>
      </c>
      <c r="M269" s="3">
        <f>932.9+(297.6-268.6)+(0+(0-0))+0-168.9-0</f>
        <v>793</v>
      </c>
      <c r="N269" s="3">
        <f>919.2+(254.2-171.1)+(0+(0-0))+0-168.4-0</f>
        <v>833.90000000000009</v>
      </c>
      <c r="O269" s="3">
        <f>913.5+(242.3-144.8)+(0+(0-0))+0-156.6-0</f>
        <v>854.4</v>
      </c>
      <c r="P269" s="3">
        <f>897+(254.8-143.8)+(0+(0-0))+0-151.9-0</f>
        <v>856.1</v>
      </c>
      <c r="Q269" s="3">
        <f>894+(266-165)+(0+(0-0))+0-155.4-0</f>
        <v>839.6</v>
      </c>
      <c r="R269" s="3">
        <f>900.2+(291.9-202.1)+(-2.29551+(-0.744345--0.515355))+0-158.6--0.404429999999977</f>
        <v>829.27992999999992</v>
      </c>
      <c r="S269" s="3">
        <f>893.3+(316-223.3)+(-0.455583+(-0.16116--0.113883))+0-161.2--0.0822119999999836</f>
        <v>824.37935199999993</v>
      </c>
      <c r="T269" s="3">
        <f>891.2+(268.1-187.6)+(-1.363536+(-0.410193--0.287028))+0-163.6--0.250308000000009</f>
        <v>806.863607</v>
      </c>
      <c r="U269" s="3">
        <f>897.1+(269.2-189.5)+(-2.287605+(-0.68646--0.483225))+0-168.3--0.429164999999976</f>
        <v>806.43832499999985</v>
      </c>
      <c r="V269" s="3">
        <f>909+(289.9-185.1)+(-2.31795+(-0.739245--0.472005))+0-175.1--0.446504999999975</f>
        <v>836.56131499999992</v>
      </c>
      <c r="W269" s="3">
        <f>929.3+(306.9-159.9)+(-0.947886+(-0.313038--0.163098))+0-176.5--0.180030000000028</f>
        <v>898.882204</v>
      </c>
      <c r="X269" s="3">
        <f>955.2+(278.1-179.8)+(-2.43576+(-0.709155--0.45849))+0-174.4--0.444719999999975</f>
        <v>876.85829499999988</v>
      </c>
      <c r="Y269" s="3">
        <f>957.9+(270.6-217.8)+(-0.488529+(-0.138006--0.111078))+0-174.1--0.0887909999999823</f>
        <v>836.17333400000007</v>
      </c>
      <c r="Z269" s="3">
        <f>966.6+(295.4-285.1)+(-1.971864+(-0.602616--0.581604))+0-175.7--0.358427999999992</f>
        <v>799.56555200000003</v>
      </c>
      <c r="AA269" s="3">
        <f>963.5+(355.2-347)+(0+(0-0))+0-176-0</f>
        <v>795.7</v>
      </c>
      <c r="AB269" s="3">
        <f>970.8+(364-377.9)+(-1.980432+(-0.74256--0.770916))+0-174.3--0.355571999999992</f>
        <v>781.00349599999981</v>
      </c>
      <c r="AC269" s="3">
        <f>977.2+(361.8-423.6)+(-0.498372+(-0.184518--0.216036))+0-176.2--0.0898619999999821</f>
        <v>738.82300799999996</v>
      </c>
      <c r="AD269">
        <f t="shared" si="4"/>
        <v>18876.228417999999</v>
      </c>
      <c r="AE269" s="3">
        <f>942+(294.6-158.4)+(0+(0-0))+0-179.2-0</f>
        <v>899</v>
      </c>
    </row>
    <row r="270" spans="1:31" s="2" customFormat="1" x14ac:dyDescent="0.25">
      <c r="A270">
        <v>89</v>
      </c>
      <c r="B270">
        <v>9</v>
      </c>
      <c r="C270">
        <v>24</v>
      </c>
      <c r="D270">
        <v>5</v>
      </c>
      <c r="E270">
        <v>5</v>
      </c>
      <c r="F270" s="3">
        <f>924.6+(374.6-431)+(-0.943092+(-0.382092--0.43962))+0-172.5--0.175950000000028</f>
        <v>694.99038600000006</v>
      </c>
      <c r="G270" s="3">
        <f>808.9+(353.1-322.5)+(0.825078+(0.360162-0.32895))+0-169.9-0.173298000000027</f>
        <v>670.28299199999992</v>
      </c>
      <c r="H270" s="3">
        <f>774.8+(374.5-325.1)+(0+(0-0))+0-169.4-0</f>
        <v>654.79999999999995</v>
      </c>
      <c r="I270" s="3">
        <f>780.7+(305.6-285.6)+(0.398157+(0.155856-0.145656))+0-163.7-0.0834869999999834</f>
        <v>637.32487000000003</v>
      </c>
      <c r="J270" s="3">
        <f>777.4+(277.9-262.5)+(0.396474+(0.141729-0.133875))+0-163.8-0.0835379999999834</f>
        <v>629.32078999999987</v>
      </c>
      <c r="K270" s="3">
        <f>779+(328.5-301.2)+(-0.39729+(-0.167535--0.153612))+0-163--0.0831299999999835</f>
        <v>642.97191699999996</v>
      </c>
      <c r="L270" s="3">
        <f>766+(296.3-251.8)+(-0.39066+(-0.151113--0.128418))+0-160.1--0.0816509999999838</f>
        <v>650.06829599999992</v>
      </c>
      <c r="M270" s="3">
        <f>767.7+(305.6-212.7)+(-0.783054+(-0.311712--0.216954))+0-164.6--0.167892000000026</f>
        <v>695.29008000000022</v>
      </c>
      <c r="N270" s="3">
        <f>762+(382.7-252)+(0.77724+(0.390354-0.25704))+0-165.1-0.168402000000026</f>
        <v>728.34215200000006</v>
      </c>
      <c r="O270" s="3">
        <f>757.7+(293.6-168.9)+(0.386427+(0.149736-0.086139))+0-162-0.0826199999999836</f>
        <v>720.76740400000006</v>
      </c>
      <c r="P270" s="3">
        <f>757.7+(287.5-160.9)+(-1.545708+(-0.5865--0.328236))+0-165.4--0.337415999999993</f>
        <v>717.43344400000001</v>
      </c>
      <c r="Q270" s="3">
        <f>741+(296.9-160.4)+(-1.88955+(-0.757095--0.40902))+0-169--0.430949999999975</f>
        <v>706.69332499999996</v>
      </c>
      <c r="R270" s="3">
        <f>728.3+(295.5-156.6)+(-0.742866+(-0.30141--0.159732))+0-170.1--0.173502000000027</f>
        <v>696.38895799999989</v>
      </c>
      <c r="S270" s="3">
        <f>750.6+(285.4-157)+(-1.148418+(-0.436662--0.24021))+0-170.6--0.26101800000001</f>
        <v>707.316148</v>
      </c>
      <c r="T270" s="3">
        <f>756+(300.9-178.1)+(-1.54224+(-0.613836--0.363324))+0-172.8--0.352511999999993</f>
        <v>704.55975999999998</v>
      </c>
      <c r="U270" s="3">
        <f>740.6+(284.3-166.6)+(-1.133118+(-0.434979--0.254898))+0-166.2--0.25428600000001</f>
        <v>691.04108699999995</v>
      </c>
      <c r="V270" s="3">
        <f>745+(321.1-194.6)+(0.7599+(0.327522-0.198492))+0-156.8-0.159936000000025</f>
        <v>715.42899399999988</v>
      </c>
      <c r="W270" s="3">
        <f>761.1+(384.4-191.4)+(-0.388161+(-0.196044--0.097614))+0-152.9--0.0779789999999845</f>
        <v>800.7913880000001</v>
      </c>
      <c r="X270" s="3">
        <f>783.5+(339.8-187.5)+(-2.39751+(-1.039788--0.57375))+0-153.6--0.470016000000018</f>
        <v>779.80646799999988</v>
      </c>
      <c r="Y270" s="3">
        <f>785.3+(324.5-218.2)+(-1.602012+(-0.66198--0.445128))+0-148.2--0.302327999999993</f>
        <v>741.883464</v>
      </c>
      <c r="Z270" s="3">
        <f>787.5+(310.2-232.8)+(0.401625+(0.158202-0.118728))+0-150.7-0.0768569999999847</f>
        <v>714.56424199999992</v>
      </c>
      <c r="AA270" s="3">
        <f>788.4+(352.2-278.8)+(-0.402084+(-0.179622--0.142188))+0-151.8--0.0774179999999846</f>
        <v>709.63789999999983</v>
      </c>
      <c r="AB270" s="3">
        <f>802.8+(354.7-318.6)+(-0.818856+(-0.361794--0.324972))+0-147.4--0.150348000000024</f>
        <v>690.79466999999988</v>
      </c>
      <c r="AC270" s="3">
        <f>807.3+(354.5-355.3)+(-1.235169+(-0.542385--0.543609))+0-146.5--0.224145000000008</f>
        <v>658.99020000000007</v>
      </c>
      <c r="AD270">
        <f t="shared" si="4"/>
        <v>16759.488935000001</v>
      </c>
      <c r="AE270" s="3">
        <f>782+(363.6-174.1)+(0+(0-0))+0-153.2-0</f>
        <v>818.3</v>
      </c>
    </row>
    <row r="271" spans="1:31" s="2" customFormat="1" x14ac:dyDescent="0.25">
      <c r="A271">
        <v>89</v>
      </c>
      <c r="B271">
        <v>9</v>
      </c>
      <c r="C271">
        <v>25</v>
      </c>
      <c r="D271">
        <v>6</v>
      </c>
      <c r="E271">
        <v>5</v>
      </c>
      <c r="F271" s="3">
        <f>788+(309.4-348.6)+(-1.60752+(-0.631176--0.711144))+0-136.4--0.278255999999994</f>
        <v>611.15070399999991</v>
      </c>
      <c r="G271" s="3">
        <f>758.5+(231.1-271.9)+(-1.160505+(-0.353583--0.416007))+0-133.1--0.203643000000008</f>
        <v>583.7055620000001</v>
      </c>
      <c r="H271" s="3">
        <f>748.6+(235.4-274.6)+(-0.763572+(-0.240108--0.280092))+0-138--0.140760000000022</f>
        <v>570.81717200000003</v>
      </c>
      <c r="I271" s="3">
        <f>672.3+(250.6-220.2)+(-1.714365+(-0.63903--0.56151))+0-136.7--0.34858499999998</f>
        <v>564.55669999999986</v>
      </c>
      <c r="J271" s="3">
        <f>624.7+(255-180.5)+(-0.637194+(-0.2601--0.18411))+0-137.1--0.139842000000022</f>
        <v>561.52665800000011</v>
      </c>
      <c r="K271" s="3">
        <f>625.5+(293.6-209.6)+(0+(0-0))+0-136.2-0</f>
        <v>573.29999999999995</v>
      </c>
      <c r="L271" s="3">
        <f>629.4+(298.8-211.1)+(-1.283976+(-0.609552--0.430644))+0-135.8--0.277031999999994</f>
        <v>580.11414799999989</v>
      </c>
      <c r="M271" s="3">
        <f>653.6+(241.7-162.8)+(-0.666672+(-0.246534--0.166056))+0-138.1--0.140862000000022</f>
        <v>593.79371199999991</v>
      </c>
      <c r="N271" s="3">
        <f>672+(272.9-195.7)+(-0.34272+(-0.139179--0.099807))+0-140.1--0.0714509999999858</f>
        <v>608.7893590000001</v>
      </c>
      <c r="O271" s="3">
        <f>654.6+(219.9-161.7)+(0.667692+(0.224298-0.164934))+0-136.1-0.138822000000022</f>
        <v>577.28823399999999</v>
      </c>
      <c r="P271" s="3">
        <f>656.1+(169.2-147.8)+(-2.342277+(-0.604044--0.527646))+0-137.3--0.490161000000002</f>
        <v>538.27148599999998</v>
      </c>
      <c r="Q271" s="3">
        <f>646.1+(170.2-156.5)+(-0.659022+(-0.173604--0.15963))+0-136.2--0.138924000000022</f>
        <v>523.06592799999987</v>
      </c>
      <c r="R271" s="3">
        <f>627.5+(189.2-171.1)+(0.320025+(0.096492-0.087261))+0-132.2-0.0674219999999866</f>
        <v>513.66183400000011</v>
      </c>
      <c r="S271" s="3">
        <f>648.1+(190.5-178.2)+(-0.661062+(-0.19431--0.181764))+0-132.4--0.135048000000021</f>
        <v>527.46144000000015</v>
      </c>
      <c r="T271" s="3">
        <f>741.4+(189.4-231.8)+(-1.89057+(-0.48297--0.59109))+0-136.1--0.34705499999998</f>
        <v>561.46460499999989</v>
      </c>
      <c r="U271" s="3">
        <f>747.4+(194.5-230.7)+(0+(0-0))+0-131.9-0</f>
        <v>579.30000000000007</v>
      </c>
      <c r="V271" s="3">
        <f>740.2+(285.8-271)+(-1.132506+(-0.437274--0.41463))+0-134.4--0.205632000000008</f>
        <v>619.65048200000001</v>
      </c>
      <c r="W271" s="3">
        <f>757.9+(391.8-293)+(-1.932645+(-0.99909--0.74715))+0-135.2--0.34475999999998</f>
        <v>719.66017499999998</v>
      </c>
      <c r="X271" s="3">
        <f>763+(401.5-317.7)+(-0.77826+(-0.40953--0.324054))+0-132.4--0.135048000000021</f>
        <v>713.67131199999994</v>
      </c>
      <c r="Y271" s="3">
        <f>771.3+(365.9-309.7)+(0+(0-0))+0-133.3-0</f>
        <v>694.2</v>
      </c>
      <c r="Z271" s="3">
        <f>765.2+(335.1-293.3)+(-1.170756+(-0.512703--0.448749))+0-133.3--0.203949000000008</f>
        <v>672.66923900000006</v>
      </c>
      <c r="AA271" s="3">
        <f>769.1+(347.7-302.4)+(0.392241+(0.177327-0.154224))+0-136.2-0.0694619999999862</f>
        <v>678.54588200000012</v>
      </c>
      <c r="AB271" s="3">
        <f>775.5+(354.5-332.1)+(-0.79101+(-0.36159--0.338742))+0-131.7--0.134334000000021</f>
        <v>665.52047600000003</v>
      </c>
      <c r="AC271" s="3">
        <f>775.5+(366.9-376.4)+(-0.79101+(-0.374238--0.383928))+0-136.1--0.138822000000022</f>
        <v>629.25750199999993</v>
      </c>
      <c r="AD271">
        <f t="shared" si="4"/>
        <v>14461.442610000002</v>
      </c>
      <c r="AE271" s="3">
        <f>775+(395.3-312)+(0+(0-0))+0-128.8-0</f>
        <v>729.5</v>
      </c>
    </row>
    <row r="272" spans="1:31" s="2" customFormat="1" x14ac:dyDescent="0.25">
      <c r="A272">
        <v>89</v>
      </c>
      <c r="B272">
        <v>9</v>
      </c>
      <c r="C272">
        <v>26</v>
      </c>
      <c r="D272">
        <v>7</v>
      </c>
      <c r="E272">
        <v>1</v>
      </c>
      <c r="F272" s="3">
        <f>788+(375.8-421.3)+(-1.20564+(-0.574974--0.644589))+0-132.1--0.202113000000008</f>
        <v>609.46608800000001</v>
      </c>
      <c r="G272" s="3">
        <f>688.7+(375-343.6)+(0+(0-0))+0-128.6-0</f>
        <v>591.5</v>
      </c>
      <c r="H272" s="3">
        <f>648.9+(309.5-252.8)+(-2.316573+(-1.104915--0.902496))+0-129.2--0.461244000000002</f>
        <v>574.3422519999998</v>
      </c>
      <c r="I272" s="3">
        <f>650.2+(239-180.1)+(0+(0-0))+0-130.8-0</f>
        <v>578.29999999999995</v>
      </c>
      <c r="J272" s="3">
        <f>657.6+(236.7-178.9)+(0+(0-0))+0-134.2-0</f>
        <v>581.20000000000005</v>
      </c>
      <c r="K272" s="3">
        <f>654.1+(299.8-219.6)+(1.000773+(0.458694-0.335988))+0-134.2-0.205326000000008</f>
        <v>601.01815299999998</v>
      </c>
      <c r="L272" s="3">
        <f>652.6+(352.7-243.3)+(-0.998478+(-0.539631--0.372249))+0-133--0.203490000000008</f>
        <v>628.03763000000004</v>
      </c>
      <c r="M272" s="3">
        <f>658.5+(456.4-296)+(-1.007505+(-0.698292--0.45288))+0-133.3--0.203949000000008</f>
        <v>684.55103199999985</v>
      </c>
      <c r="N272" s="3">
        <f>752.7+(482.1-350.8)+(0+(0-0))+0-140-0</f>
        <v>744</v>
      </c>
      <c r="O272" s="3">
        <f>782.2+(430.3-302.1)+(0.398922+(0.219453-0.154071))+0-139.4-0.0710939999999859</f>
        <v>771.39321000000007</v>
      </c>
      <c r="P272" s="3">
        <f>773.8+(417.8-267.1)+(-1.97319+(-1.06539--0.681105))+0-139.7--0.35623499999998</f>
        <v>782.7987599999999</v>
      </c>
      <c r="Q272" s="3">
        <f>764.2+(433.6-271.5)+(-0.779484+(-0.442272--0.27693))+0-140.4--0.143208000000022</f>
        <v>785.09838200000013</v>
      </c>
      <c r="R272" s="3">
        <f>754.7+(462.9-297.7)+(-0.384897+(-0.236079--0.151827))+0-136.6--0.0696659999999861</f>
        <v>782.90051700000004</v>
      </c>
      <c r="S272" s="3">
        <f>756.3+(451-296)+(-1.157139+(-0.69003--0.45288))+0-137.8--0.210834000000008</f>
        <v>772.31654499999991</v>
      </c>
      <c r="T272" s="3">
        <f>755.7+(439.2-287.5)+(-1.156221+(-0.671976--0.439875))+0-135.9--0.207927000000008</f>
        <v>770.31960500000014</v>
      </c>
      <c r="U272" s="3">
        <f>756.4+(439-293.6)+(-1.157292+(-0.67167--0.449208))+0-134.3--0.205479000000008</f>
        <v>766.32572499999992</v>
      </c>
      <c r="V272" s="3">
        <f>764.8+(482.1-302.9)+(-1.170144+(-0.737613--0.463437))+0-137.9--0.210987000000008</f>
        <v>804.86666700000012</v>
      </c>
      <c r="W272" s="3">
        <f>768.3+(523.8-250.8)+(-0.391833+(-0.267138--0.127908))+0-141.4--0.0721139999999857</f>
        <v>899.44105100000002</v>
      </c>
      <c r="X272" s="3">
        <f>785.4+(508-268.7)+(-1.602216+(-1.03632--0.548148))+0-137.8--0.281111999999994</f>
        <v>885.09072400000002</v>
      </c>
      <c r="Y272" s="3">
        <f>790.7+(485.8-279.6)+(-1.209771+(-0.743274--0.427788))+0-139.5--0.213435000000008</f>
        <v>856.08817800000008</v>
      </c>
      <c r="Z272" s="3">
        <f>797.3+(483.4-319.7)+(-1.626492+(-0.986136--0.652188))+0-141.6--0.288863999999994</f>
        <v>817.72842400000002</v>
      </c>
      <c r="AA272" s="3">
        <f>803.1+(445.7-306.2)+(-0.819162+(-0.454614--0.312324))+0-141.2--0.144024000000022</f>
        <v>800.58257200000014</v>
      </c>
      <c r="AB272" s="3">
        <f>804.3+(438.4-348.5)+(-2.050965+(-1.11792--0.888675))+0-138.3--0.35266499999998</f>
        <v>753.97245499999997</v>
      </c>
      <c r="AC272" s="3">
        <f>799.4+(455.8-421)+(-1.223082+(-0.697374--0.64413))+0-134.6--0.205938000000008</f>
        <v>698.52961200000004</v>
      </c>
      <c r="AD272">
        <f t="shared" si="4"/>
        <v>17539.867581999999</v>
      </c>
      <c r="AE272" s="3">
        <f>780+(525.4-261.2)+(0+(0-0))+0-138.2-0</f>
        <v>906</v>
      </c>
    </row>
    <row r="273" spans="1:31" s="2" customFormat="1" x14ac:dyDescent="0.25">
      <c r="A273">
        <v>89</v>
      </c>
      <c r="B273">
        <v>9</v>
      </c>
      <c r="C273">
        <v>27</v>
      </c>
      <c r="D273">
        <v>1</v>
      </c>
      <c r="E273">
        <v>1</v>
      </c>
      <c r="F273" s="3">
        <f>784.5+(463.8-460.2)+(-1.200285+(-0.709614--0.704106))+0-129.6--0.198288000000007</f>
        <v>657.49249500000008</v>
      </c>
      <c r="G273" s="3">
        <f>764.7+(396-383.7)+(-1.949985+(-1.0098--0.978435))+0-136.5--0.34807499999998</f>
        <v>638.86672499999997</v>
      </c>
      <c r="H273" s="3">
        <f>744.1+(364.5-336.6)+(-0.758982+(-0.37179--0.343332))+0-135.5--0.138210000000022</f>
        <v>635.85077000000013</v>
      </c>
      <c r="I273" s="3">
        <f>745.2+(373-349.4)+(-0.760104+(-0.38046--0.356388))+0-136.9--0.139638000000022</f>
        <v>631.25546200000008</v>
      </c>
      <c r="J273" s="3">
        <f>746.5+(373.5-350.3)+(0+(0-0))+0-136.4-0</f>
        <v>633.30000000000007</v>
      </c>
      <c r="K273" s="3">
        <f>742.6+(356.9-314.1)+(-0.757452+(-0.364038--0.320382))+0-133--0.135660000000021</f>
        <v>651.73455200000001</v>
      </c>
      <c r="L273" s="3">
        <f>743.1+(359.6-262.6)+(0+(0-0))+0-129.9-0</f>
        <v>710.2</v>
      </c>
      <c r="M273" s="3">
        <f>755.7+(414.1-265.9)+(0+(0-0))+0-134.7-0</f>
        <v>769.2</v>
      </c>
      <c r="N273" s="3">
        <f>755.1+(438.2-235.6)+(0+(0-0))+0-138.6-0</f>
        <v>819.1</v>
      </c>
      <c r="O273" s="3">
        <f>755.5+(433-207.4)+(0+(0-0))+0-137.9-0</f>
        <v>843.2</v>
      </c>
      <c r="P273" s="3">
        <f>797+(413.6-220.9)+(0+(0-0))+0-134.1-0</f>
        <v>855.6</v>
      </c>
      <c r="Q273" s="3">
        <f>812.2+(390.1-213.4)+(0+(0-0))+0-134.1-0</f>
        <v>854.80000000000007</v>
      </c>
      <c r="R273" s="3">
        <f>879.4+(353-269)+(-0.448494+(-0.18003--0.13719))+0-132.8--0.0677279999999865</f>
        <v>830.17639399999985</v>
      </c>
      <c r="S273" s="3">
        <f>960.8+(331.5-337.8)+(-0.490008+(-0.169065--0.172278))+0-130.7--0.0666569999999867</f>
        <v>823.37986199999989</v>
      </c>
      <c r="T273" s="3">
        <f>1042.4+(318.2-411.7)+(0+(0-0))+0-132.7-0</f>
        <v>816.2</v>
      </c>
      <c r="U273" s="3">
        <f>1129.5+(320.8-494)+(1.728135+(0.490824-0.75582))+0-130.5-0.199665000000008</f>
        <v>827.06347399999993</v>
      </c>
      <c r="V273" s="3">
        <f>1143.6+(362.6-500.9)+(1.166472+(0.369852-0.510918))+0-136-0.138720000000022</f>
        <v>870.1866859999999</v>
      </c>
      <c r="W273" s="3">
        <f>1215.2+(362-471.8)+(0+(0-0))+0-137.1-0</f>
        <v>968.30000000000007</v>
      </c>
      <c r="X273" s="3">
        <f>1226.6+(335.5-467)+(-0.625566+(-0.171105--0.23817))+0-136--0.0693599999999862</f>
        <v>958.61085899999989</v>
      </c>
      <c r="Y273" s="3">
        <f>1137.2+(353.2-431.4)+(-2.89986+(-0.90066--1.10007))+0-134.4--0.342719999999981</f>
        <v>922.24226999999996</v>
      </c>
      <c r="Z273" s="3">
        <f>1106.7+(348.2-443.8)+(0.564417+(0.177582-0.226338))+0-135-0.0688499999999863</f>
        <v>876.54681100000005</v>
      </c>
      <c r="AA273" s="3">
        <f>1112.7+(323.1-457.7)+(-0.567477+(-0.164781--0.233427))+0-134.2--0.0684419999999864</f>
        <v>843.46961100000021</v>
      </c>
      <c r="AB273" s="3">
        <f>1119.6+(288.7-474.5)+(-1.141992+(-0.294474--0.48399))+0-133.7--0.136374000000021</f>
        <v>799.28389800000002</v>
      </c>
      <c r="AC273" s="3">
        <f>1120.1+(301.3-540.9)+(-0.571251+(-0.153663--0.275859))+0-134.5--0.0685949999999864</f>
        <v>745.61953999999992</v>
      </c>
      <c r="AD273">
        <f t="shared" si="4"/>
        <v>18981.679409</v>
      </c>
      <c r="AE273" s="3">
        <f>1232+(352.1-480.8)+(0+(0-0))+0-135.8-0</f>
        <v>967.5</v>
      </c>
    </row>
    <row r="274" spans="1:31" s="2" customFormat="1" x14ac:dyDescent="0.25">
      <c r="A274">
        <v>89</v>
      </c>
      <c r="B274">
        <v>9</v>
      </c>
      <c r="C274">
        <v>28</v>
      </c>
      <c r="D274">
        <v>2</v>
      </c>
      <c r="E274">
        <v>1</v>
      </c>
      <c r="F274" s="3">
        <f>1122.2+(317.8-605.5)+(0+(0-0))+0-133.1-0</f>
        <v>701.4</v>
      </c>
      <c r="G274" s="3">
        <f>1124.6+(320.8-640.1)+(-1.720638+(-0.490824--0.979353))+0-131.6--0.201348000000008</f>
        <v>672.66923899999995</v>
      </c>
      <c r="H274" s="3">
        <f>1125.2+(304-625.1)+(-1.721556+(-0.46512--0.956403))+0-129.7--0.198441000000007</f>
        <v>673.36816799999997</v>
      </c>
      <c r="I274" s="3">
        <f>1130.7+(301.1-624.3)+(0+(0-0))+0-130.2-0</f>
        <v>677.30000000000018</v>
      </c>
      <c r="J274" s="3">
        <f>1125.1+(302.5-619.5)+(0+(0-0))+0-128.9-0</f>
        <v>679.19999999999993</v>
      </c>
      <c r="K274" s="3">
        <f>1125.2+(306.7-610.2)+(-1.721556+(-0.469251--0.933606))+0-128.8--0.197064000000007</f>
        <v>691.83986299999992</v>
      </c>
      <c r="L274" s="3">
        <f>1131.2+(341.7-599.6)+(0+(0-0))+0-126.7-0</f>
        <v>746.59999999999991</v>
      </c>
      <c r="M274" s="3">
        <f>1126.2+(346.9-534.9)+(0+(0-0))+0-132.2-0</f>
        <v>806</v>
      </c>
      <c r="N274" s="3">
        <f>1123.4+(357-507.1)+(-0.572934+(-0.18207--0.258621))+0-128.8--0.0656879999999869</f>
        <v>844.0693050000001</v>
      </c>
      <c r="O274" s="3">
        <f>1118.4+(363.9-507.4)+(0+(0-0))+0-128.9-0</f>
        <v>846.00000000000011</v>
      </c>
      <c r="P274" s="3">
        <f>1105.2+(359.9-471.6)+(0+(0-0))+0-124.2-0</f>
        <v>869.3</v>
      </c>
      <c r="Q274" s="3">
        <f>1089.2+(393.4-477.7)+(-2.221968+(-0.802536--0.974508))+0-126.1--0.257243999999994</f>
        <v>877.00724800000012</v>
      </c>
      <c r="R274" s="3">
        <f>1075.9+(358.2-464.8)+(-1.646127+(-0.548046--0.711144))+0-124.1--0.189873000000007</f>
        <v>843.90684400000009</v>
      </c>
      <c r="S274" s="3">
        <f>1081.3+(307.4-422.7)+(-1.102926+(-0.313548--0.431154))+0-132.1--0.134742000000021</f>
        <v>833.04942200000005</v>
      </c>
      <c r="T274" s="3">
        <f>1093+(292-418.5)+(-1.11486+(-0.29784--0.42687))+0-135.8--0.138516000000022</f>
        <v>829.85268599999995</v>
      </c>
      <c r="U274" s="3">
        <f>1097.8+(308.7-440.4)+(-1.119756+(-0.314874--0.449208))+0-134.1--0.136782000000021</f>
        <v>831.15135999999995</v>
      </c>
      <c r="V274" s="3">
        <f>1102.3+(325.6-412.4)+(0+(0-0))+0-138.2-0</f>
        <v>877.3</v>
      </c>
      <c r="W274" s="3">
        <f>1122.3+(435-460.1)+(-0.572373+(-0.22185--0.234651))+0-140.5--0.0716549999999857</f>
        <v>956.21208299999989</v>
      </c>
      <c r="X274" s="3">
        <f>1129.2+(410.4-458.9)+(-1.727676+(-0.627912--0.702117))+0-138.7--0.212211000000008</f>
        <v>940.55873999999994</v>
      </c>
      <c r="Y274" s="3">
        <f>1132.9+(379.5-466.5)+(-1.733337+(-0.580635--0.713745))+0-135.6--0.207468000000008</f>
        <v>908.90724100000023</v>
      </c>
      <c r="Z274" s="3">
        <f>1137.8+(348.8-481.7)+(-0.580278+(-0.177888--0.245667))+0-138.1--0.070430999999986</f>
        <v>866.35793199999989</v>
      </c>
      <c r="AA274" s="3">
        <f>1139.4+(334.4-487.1)+(-1.743282+(-0.511632--0.745263))+0-138.7--0.212211000000008</f>
        <v>846.70256000000018</v>
      </c>
      <c r="AB274" s="3">
        <f>1143.5+(322.5-522.6)+(-1.749555+(-0.493425--0.799578))+0-135.3--0.207009000000008</f>
        <v>806.863607</v>
      </c>
      <c r="AC274" s="3">
        <f>1150.2+(338.5-598.6)+(-1.173204+(-0.34527--0.610572))+0-136.5--0.139230000000022</f>
        <v>752.83132799999998</v>
      </c>
      <c r="AD274">
        <f t="shared" si="4"/>
        <v>19378.447626000001</v>
      </c>
      <c r="AE274" s="3">
        <f>1118+(425.5-442.9)+(0+(0-0))+0-138.8-0</f>
        <v>961.8</v>
      </c>
    </row>
    <row r="275" spans="1:31" s="2" customFormat="1" x14ac:dyDescent="0.25">
      <c r="A275">
        <v>89</v>
      </c>
      <c r="B275">
        <v>9</v>
      </c>
      <c r="C275">
        <v>29</v>
      </c>
      <c r="D275">
        <v>3</v>
      </c>
      <c r="E275">
        <v>1</v>
      </c>
      <c r="F275" s="3">
        <f>1149.7+(357.9-647)+(-2.931735+(-0.912645--1.64985))+0-138.2--0.35240999999998</f>
        <v>720.55788000000007</v>
      </c>
      <c r="G275" s="3">
        <f>1151.4+(360.7-680.1)+(0.587214+(0.183957-0.346851))+0-133.5-0.0680849999999865</f>
        <v>698.85623499999997</v>
      </c>
      <c r="H275" s="3">
        <f>1154.3+(336.9-672.2)+(-1.177386+(-0.343638--0.685644))+0-132.7--0.135354000000021</f>
        <v>685.59997399999997</v>
      </c>
      <c r="I275" s="3">
        <f>1158.7+(335.3-679.6)+(-0.590937+(-0.171003--0.346596))+0-131.6--0.0671159999999866</f>
        <v>682.45177200000001</v>
      </c>
      <c r="J275" s="3">
        <f>1154.8+(332-670.4)+(1.177896+(0.33864-0.683808))+0-130.2-0.132804000000021</f>
        <v>686.89992399999994</v>
      </c>
      <c r="K275" s="3">
        <f>1166.2+(316.9-653.9)+(-2.379048+(-0.646476--1.333956))+0-129.5--0.264179999999994</f>
        <v>698.27261200000009</v>
      </c>
      <c r="L275" s="3">
        <f>1162.7+(291-572.3)+(-1.185954+(-0.29682--0.583746))+0-130.4--0.133008000000021</f>
        <v>750.23398000000009</v>
      </c>
      <c r="M275" s="3">
        <f>1156+(323.3-550.5)+(-0.58956+(-0.164883--0.280755))+0-133.1--0.0678809999999865</f>
        <v>795.29419299999984</v>
      </c>
      <c r="N275" s="3">
        <f>1156.8+(353.2-550.1)+(-1.769904+(-0.540396--0.841653))+0-135.8--0.207774000000008</f>
        <v>822.83912699999973</v>
      </c>
      <c r="O275" s="3">
        <f>1158.5+(356.8-548.4)+(-1.18167+(-0.363936--0.559368))+0-131.7--0.134334000000021</f>
        <v>834.34809600000006</v>
      </c>
      <c r="P275" s="3">
        <f>1139.5+(359.9-521.5)+(-1.743435+(-0.550647--0.797895))+0-129--0.197370000000007</f>
        <v>847.60118299999999</v>
      </c>
      <c r="Q275" s="3">
        <f>1125.8+(352.3-502.4)+(-1.722474+(-0.539019--0.768672))+0-125.2--0.191556000000007</f>
        <v>849.19873499999994</v>
      </c>
      <c r="R275" s="3">
        <f>1113.2+(382.8-542.2)+(-1.135464+(-0.390456--0.553044))+0-124.1--0.12658200000002</f>
        <v>828.85370599999987</v>
      </c>
      <c r="S275" s="3">
        <f>1100.4+(400.8-549.1)+(-2.244816+(-0.817632--1.120164))+0-126--0.257039999999995</f>
        <v>824.41475600000012</v>
      </c>
      <c r="T275" s="3">
        <f>1096.2+(360.5-516.7)+(-1.677186+(-0.551565--0.790551))+0-125.3--0.191709000000007</f>
        <v>813.45350900000005</v>
      </c>
      <c r="U275" s="3">
        <f>1097.6+(325.7-489.8)+(-1.679328+(-0.498321--0.749394))+0-123.5--0.188955000000007</f>
        <v>808.76069999999982</v>
      </c>
      <c r="V275" s="3">
        <f>1103.6+(328.5-456.5)+(-1.688508+(-0.502605--0.698445))+0-132.1--0.202113000000008</f>
        <v>842.20944499999996</v>
      </c>
      <c r="W275" s="3">
        <f>1115.5+(403.2-428.3)+(0.568905+(0.205632-0.218433))+0-134.9-0.0687989999999863</f>
        <v>955.98730500000011</v>
      </c>
      <c r="X275" s="3">
        <f>1122.7+(472.3-510.4)+(-3.435462+(-1.445238--1.561824))+0-138.1--0.422586000000016</f>
        <v>943.60371000000009</v>
      </c>
      <c r="Y275" s="3">
        <f>1129.2+(456.9-535.5)+(-1.151784+(-0.466038--0.54621))+0-137.9--0.140658000000022</f>
        <v>911.769046</v>
      </c>
      <c r="Z275" s="3">
        <f>1139.6+(440-568.1)+(-1.162392+(-0.4488--0.579462))+0-138.8--0.141576000000022</f>
        <v>871.80984599999988</v>
      </c>
      <c r="AA275" s="3">
        <f>1144.8+(452.1-603.1)+(-2.335392+(-0.922284--1.230324))+0-138.6--0.282743999999994</f>
        <v>853.45539199999996</v>
      </c>
      <c r="AB275" s="3">
        <f>1143.6+(473.1-669.6)+(-2.332944+(-0.965124--1.365984))+0-139.8--0.285191999999994</f>
        <v>805.65310799999986</v>
      </c>
      <c r="AC275" s="3">
        <f>1144.6+(477.7-725.4)+(-1.751238+(-0.730881--1.109862))+0-139.7--0.213741000000008</f>
        <v>756.04148399999985</v>
      </c>
      <c r="AD275">
        <f t="shared" si="4"/>
        <v>19288.165718</v>
      </c>
      <c r="AE275" s="3">
        <f>1105+(431.2-453)+(0+(0-0))+0-132.8-0</f>
        <v>950.40000000000009</v>
      </c>
    </row>
    <row r="276" spans="1:31" s="2" customFormat="1" x14ac:dyDescent="0.25">
      <c r="A276">
        <v>89</v>
      </c>
      <c r="B276">
        <v>9</v>
      </c>
      <c r="C276">
        <v>30</v>
      </c>
      <c r="D276">
        <v>4</v>
      </c>
      <c r="E276">
        <v>1</v>
      </c>
      <c r="F276" s="3">
        <f>1038.2+(476.4-662.7)+(-1.058964+(-0.485928--0.675954))+0-139.9--0.142698000000022</f>
        <v>711.27376000000004</v>
      </c>
      <c r="G276" s="3">
        <f>996.2+(413.5-587.6)+(1.016124+(0.42177-0.599352))+0-134.6-0.137292000000021</f>
        <v>688.20124999999996</v>
      </c>
      <c r="H276" s="3">
        <f>991.9+(409.3-592.5)+(-1.011738+(-0.417486--0.60435))+0-132.5--0.135150000000021</f>
        <v>675.51027600000009</v>
      </c>
      <c r="I276" s="3">
        <f>993.5+(412-605.4)+(-2.533425+(-1.0506--1.54377))+0-131.5--0.335324999999981</f>
        <v>666.89507000000003</v>
      </c>
      <c r="J276" s="3">
        <f>1000.4+(413-611.3)+(-1.020408+(-0.42126--0.623526))+0-131.8--0.134436000000021</f>
        <v>669.61629400000015</v>
      </c>
      <c r="K276" s="3">
        <f>1000.8+(413.2-593.7)+(-0.510408+(-0.210732--0.302787))+0-130.5--0.0665549999999868</f>
        <v>689.44820199999992</v>
      </c>
      <c r="L276" s="3">
        <f>1003.1+(422.7-562.4)+(-2.046324+(-0.862308--1.147296))+0-128.5--0.262139999999994</f>
        <v>733.40080400000011</v>
      </c>
      <c r="M276" s="3">
        <f>1034.7+(418.4-546.3)+(-2.110788+(-0.853536--1.114452))+0-133.6--0.272543999999994</f>
        <v>771.62267200000008</v>
      </c>
      <c r="N276" s="3">
        <f>1071.6+(462.3-577.3)+(-0.546516+(-0.235773--0.294423))+0-135.7--0.0692069999999862</f>
        <v>820.48134099999993</v>
      </c>
      <c r="O276" s="3">
        <f>1170.3+(419.8-596)+(-2.984265+(-1.07049--1.5198))+0-129.7--0.330734999999981</f>
        <v>862.19578000000001</v>
      </c>
      <c r="P276" s="3">
        <f>1224.6+(380.6-616.1)+(-0.624546+(-0.194106--0.314211))+0-122.4--0.0624239999999876</f>
        <v>866.25798299999985</v>
      </c>
      <c r="Q276" s="3">
        <f>1212.9+(438.4-646)+(-1.855737+(-0.670752--0.98838))+0-130.6--0.199818000000008</f>
        <v>873.36170900000013</v>
      </c>
      <c r="R276" s="3">
        <f>951.6+(491.2-491)+(-1.941264+(-1.002048--1.00164))+0-127.1--0.259283999999994</f>
        <v>823.01761199999987</v>
      </c>
      <c r="S276" s="3">
        <f>872.2+(471.4-403.9)+(-0.444822+(-0.240414--0.205989))+0-129.7--0.0661469999999868</f>
        <v>809.58690000000001</v>
      </c>
      <c r="T276" s="3">
        <f>975.6+(413.6-447.6)+(-1.990224+(-0.843744--0.913104))+0-131.5--0.268259999999994</f>
        <v>808.44739599999991</v>
      </c>
      <c r="U276" s="3">
        <f>982.6+(393.5-430.7)+(-1.503378+(-0.602055--0.658971))+0-128.3--0.196299000000007</f>
        <v>815.84983699999998</v>
      </c>
      <c r="V276" s="3">
        <f>1042.2+(438.2-479.1)+(0+(0-0))+0-130.9-0</f>
        <v>870.4</v>
      </c>
      <c r="W276" s="3">
        <f>1226+(402.1-555.4)+(1.25052+(0.410142-0.566508))+0-137.4-0.140148000000022</f>
        <v>936.25400599999989</v>
      </c>
      <c r="X276" s="3">
        <f>1273.6+(367.8-583.6)+(-3.897216+(-1.125468--1.785816))+0-136.2--0.416772000000016</f>
        <v>918.77990399999999</v>
      </c>
      <c r="Y276" s="3">
        <f>1264.8+(354.8-593.8)+(-4.515336+(-1.266636--2.119866))+0-134.4--0.479808000000002</f>
        <v>888.21770200000003</v>
      </c>
      <c r="Z276" s="3">
        <f>1243.5+(358-625)+(-3.170925+(-0.9129--1.59375))+0-133.1--0.339404999999981</f>
        <v>841.24932999999987</v>
      </c>
      <c r="AA276" s="3">
        <f>1223.4+(365.1-624.4)+(0.623934+(0.186201-0.318444))+0-135.7-0.0692069999999862</f>
        <v>828.82248400000003</v>
      </c>
      <c r="AB276" s="3">
        <f>1225+(355-647.7)+(-1.87425+(-0.54315--0.990981))+0-135.9--0.207927000000008</f>
        <v>795.18150800000001</v>
      </c>
      <c r="AC276" s="3">
        <f>1236.5+(371.5-703.1)+(-2.52246+(-0.75786--1.434324))+0-150.1--0.306203999999993</f>
        <v>753.26020799999992</v>
      </c>
      <c r="AD276">
        <f t="shared" si="4"/>
        <v>19117.332028000001</v>
      </c>
      <c r="AE276" s="3">
        <f>1274+(376.9-581.3)+(0+(0-0))+0-129-0</f>
        <v>940.59999999999991</v>
      </c>
    </row>
    <row r="277" spans="1:31" s="2" customFormat="1" x14ac:dyDescent="0.25">
      <c r="A277">
        <v>89</v>
      </c>
      <c r="B277">
        <v>10</v>
      </c>
      <c r="C277">
        <v>1</v>
      </c>
      <c r="D277">
        <v>5</v>
      </c>
      <c r="E277">
        <v>1</v>
      </c>
      <c r="F277" s="3">
        <f>1213.6+(289.9-677.9)+(0.618936+(0.147849-0.345729))+0-148.6-0.0757859999999849</f>
        <v>677.34526999999991</v>
      </c>
      <c r="G277" s="3">
        <f>1247.2+(272.1-682.3)+(-1.908216+(-0.416313--1.043919))+0-146.3--0.223839000000008</f>
        <v>689.64322900000002</v>
      </c>
      <c r="H277" s="3">
        <f>1246.5+(263.7-689)+(-1.27143+(-0.268974--0.70278))+0-144.9--0.147798000000023</f>
        <v>675.61017400000014</v>
      </c>
      <c r="I277" s="3">
        <f>1251+(272.4-708.1)+(-0.63801+(-0.138924--0.361131))+0-144.5--0.0736949999999853</f>
        <v>670.4578919999999</v>
      </c>
      <c r="J277" s="3">
        <f>1253.9+(271.3-703.4)+(-0.639489+(-0.138363--0.358734))+0-147.2--0.0750719999999851</f>
        <v>674.25595400000009</v>
      </c>
      <c r="K277" s="3">
        <f>1263.6+(250.9-674.8)+(0+(0-0))+0-147.2-0</f>
        <v>692.5</v>
      </c>
      <c r="L277" s="3">
        <f>1259.6+(267.3-639.1)+(-3.21198+(-0.681615--1.629705))+0-144.3--0.367964999999979</f>
        <v>741.60407500000008</v>
      </c>
      <c r="M277" s="3">
        <f>1234.7+(338.3-629)+(-0.629697+(-0.172533--0.32079))+0-148.7--0.0758369999999849</f>
        <v>794.89439699999991</v>
      </c>
      <c r="N277" s="3">
        <f>1230.4+(338.4-591.4)+(0.627504+(0.172584-0.301614))+0-148.2-0.075581999999985</f>
        <v>829.62289200000009</v>
      </c>
      <c r="O277" s="3">
        <f>1231.5+(335-579.7)+(0.628065+(0.17085-0.295647))+0-151.7-0.0773669999999846</f>
        <v>835.52590100000009</v>
      </c>
      <c r="P277" s="3">
        <f>1232.8+(333.3-573.6)+(-1.886184+(-0.509949--0.877608))+0-157.1--0.240363000000009</f>
        <v>834.12183800000003</v>
      </c>
      <c r="Q277" s="3">
        <f>1223.8+(320.8-563.5)+(-1.248276+(-0.327216--0.57477))+0-144.9--0.147798000000023</f>
        <v>835.34707600000002</v>
      </c>
      <c r="R277" s="3">
        <f>1218.4+(311.3-565)+(-1.242768+(-0.317526--0.5763))+0-144.9--0.147798000000023</f>
        <v>818.96380399999998</v>
      </c>
      <c r="S277" s="3">
        <f>1211.3+(299.4-542.8)+(-1.235526+(-0.305388--0.553656))+0-153--0.156060000000024</f>
        <v>814.06880200000001</v>
      </c>
      <c r="T277" s="3">
        <f>1204.4+(297.5-538.3)+(3.07122+(0.758625-1.372665))+0-153.7-0.391934999999978</f>
        <v>811.96524500000021</v>
      </c>
      <c r="U277" s="3">
        <f>1201.7+(323.4-567.1)+(0.612867+(0.164934-0.289221))+0-150.5-0.0767549999999847</f>
        <v>807.91182500000002</v>
      </c>
      <c r="V277" s="3">
        <f>1208.1+(410.4-623.8)+(-1.848393+(-0.627912--0.954414))+0-155.7--0.238221000000009</f>
        <v>837.71632999999986</v>
      </c>
      <c r="W277" s="3">
        <f>1223.7+(435-593.7)+(-0.624087+(-0.22185--0.302787))+0-159.7--0.0814469999999838</f>
        <v>904.83829700000001</v>
      </c>
      <c r="X277" s="3">
        <f>1236.6+(380.6-566.3)+(-2.522664+(-0.776424--1.155252))+0-156.7--0.319667999999993</f>
        <v>892.37583200000006</v>
      </c>
      <c r="Y277" s="3">
        <f>1243.7+(301.6-523.1)+(-3.171435+(-0.76908--1.333905))+0-157.1--0.400604999999977</f>
        <v>862.8939949999999</v>
      </c>
      <c r="Z277" s="3">
        <f>1239.5+(261.9-505.8)+(-1.896435+(-0.400707--0.773874))+0-158.8--0.242964000000009</f>
        <v>835.51969599999984</v>
      </c>
      <c r="AA277" s="3">
        <f>1239.1+(267.1-527.5)+(0+(0-0))+0-159.8-0</f>
        <v>818.89999999999986</v>
      </c>
      <c r="AB277" s="3">
        <f>1234.9+(276.2-576.2)+(-3.148995+(-0.70431--1.46931))+0-160.1--0.408254999999977</f>
        <v>772.82425999999998</v>
      </c>
      <c r="AC277" s="3">
        <f>1240.5+(305-658)+(-1.897965+(-0.46665--1.00674))+0-162.7--0.248931000000009</f>
        <v>723.691056</v>
      </c>
      <c r="AD277">
        <f t="shared" si="4"/>
        <v>18852.597839999999</v>
      </c>
      <c r="AE277" s="3">
        <f>1223+(412.9-566.4)+(0+(0-0))+0-156.2-0</f>
        <v>913.3</v>
      </c>
    </row>
    <row r="278" spans="1:31" s="2" customFormat="1" x14ac:dyDescent="0.25">
      <c r="A278">
        <v>89</v>
      </c>
      <c r="B278">
        <v>10</v>
      </c>
      <c r="C278">
        <v>2</v>
      </c>
      <c r="D278">
        <v>6</v>
      </c>
      <c r="E278">
        <v>1</v>
      </c>
      <c r="F278" s="3">
        <f>1225.1+(304.4-676)+(-3.124005+(-0.77622--1.7238))+0-164--0.418199999999976</f>
        <v>687.74177499999985</v>
      </c>
      <c r="G278" s="3">
        <f>1224.5+(304.6-701.9)+(0+(0-0))+0-162.7-0</f>
        <v>664.5</v>
      </c>
      <c r="H278" s="3">
        <f>1165.8+(314.8-661.4)+(-2.97279+(-0.80274--1.68657))+0-160.8--0.410039999999977</f>
        <v>656.72108000000003</v>
      </c>
      <c r="I278" s="3">
        <f>994.3+(358.5-548.6)+(0.507093+(0.182835-0.279786))+0-160.1-0.0816509999999838</f>
        <v>644.42849099999989</v>
      </c>
      <c r="J278" s="3">
        <f>1000.8+(362-550.9)+(1.531224+(0.55386-0.842877))+0-159.2-0.243576000000009</f>
        <v>653.69863100000009</v>
      </c>
      <c r="K278" s="3">
        <f>1001.7+(407.4-575.9)+(2.043468+(0.831096-1.174836))+0-155.4-0.317015999999993</f>
        <v>679.18271200000015</v>
      </c>
      <c r="L278" s="3">
        <f>1004.4+(415.8-537.8)+(2.56122+(1.06029-1.37139))+0-156.1-0.398054999999977</f>
        <v>728.15206500000011</v>
      </c>
      <c r="M278" s="3">
        <f>998+(415.2-487.5)+(-0.50898+(-0.211752--0.248625))+0-153.9--0.0784889999999844</f>
        <v>771.40638200000001</v>
      </c>
      <c r="N278" s="3">
        <f>997.4+(389.7-427.2)+(-1.017348+(-0.397494--0.435744))+0-150.5--0.153510000000024</f>
        <v>808.57441199999994</v>
      </c>
      <c r="O278" s="3">
        <f>995.1+(366.3-395)+(-0.507501+(-0.186813--0.20145))+0-144.4--0.0736439999999854</f>
        <v>821.58078</v>
      </c>
      <c r="P278" s="3">
        <f>993.6+(345.6-370.1)+(1.013472+(0.352512-0.377502))+0-144.9-0.147798000000023</f>
        <v>825.04068400000006</v>
      </c>
      <c r="Q278" s="3">
        <f>978.9+(337.7-350)+(-0.499239+(-0.172227--0.1785))+0-140.8--0.0718079999999857</f>
        <v>825.37884199999996</v>
      </c>
      <c r="R278" s="3">
        <f>971.7+(318.8-350.5)+(-1.486701+(-0.487764--0.536265))+0-135.6--0.207468000000008</f>
        <v>803.16926799999999</v>
      </c>
      <c r="S278" s="3">
        <f>970.2+(297.6-330.1)+(-0.989604+(-0.303552--0.336702))+0-141.5--0.144330000000023</f>
        <v>795.38787600000001</v>
      </c>
      <c r="T278" s="3">
        <f>953.2+(299.6-336.9)+(-0.486132+(-0.152796--0.171819))+0-143.4--0.0731339999999855</f>
        <v>772.10602500000005</v>
      </c>
      <c r="U278" s="3">
        <f>953.5+(286.6-322.6)+(0.97257+(0.292332-0.329052))+0-149.3-0.152286000000024</f>
        <v>768.98356399999989</v>
      </c>
      <c r="V278" s="3">
        <f>950.6+(330.5-320.6)+(-1.454418+(-0.505665--0.490518))+0-161.5--0.247095000000009</f>
        <v>797.77753000000007</v>
      </c>
      <c r="W278" s="3">
        <f>961.8+(419.3-325.7)+(-1.471554+(-0.641529--0.498321))+0-164.4--0.25153200000001</f>
        <v>889.63677000000018</v>
      </c>
      <c r="X278" s="3">
        <f>975.2+(418.5-365.8)+(-0.994704+(-0.42687--0.373116))+0-158.2--0.161364000000025</f>
        <v>868.81290600000011</v>
      </c>
      <c r="Y278" s="3">
        <f>980.6+(412.4-402.5)+(-0.500106+(-0.210324--0.205275))+0-154.7--0.0788969999999843</f>
        <v>835.37374200000011</v>
      </c>
      <c r="Z278" s="3">
        <f>987.3+(362.3-393.8)+(-0.503523+(-0.184773--0.200838))+0-161--0.0821099999999837</f>
        <v>794.39465199999995</v>
      </c>
      <c r="AA278" s="3">
        <f>989.8+(335.5-395.3)+(-3.028788+(-1.02663--1.209618))+0-161.1--0.492966000000019</f>
        <v>766.54716599999995</v>
      </c>
      <c r="AB278" s="3">
        <f>991.3+(313.2-419.9)+(-1.516689+(-0.479196--0.642447))+0-152.1--0.232713000000009</f>
        <v>731.37927499999989</v>
      </c>
      <c r="AC278" s="3">
        <f>991.4+(320.1-460.5)+(-1.516842+(-0.489753--0.704565))+0-155.7--0.238221000000009</f>
        <v>694.23619100000008</v>
      </c>
      <c r="AD278">
        <f t="shared" si="4"/>
        <v>18284.210819</v>
      </c>
      <c r="AE278" s="3">
        <f>988+(422.1-342)+(0+(0-0))+0-161.4-0</f>
        <v>906.69999999999993</v>
      </c>
    </row>
    <row r="279" spans="1:31" s="2" customFormat="1" x14ac:dyDescent="0.25">
      <c r="A279">
        <v>89</v>
      </c>
      <c r="B279">
        <v>10</v>
      </c>
      <c r="C279">
        <v>3</v>
      </c>
      <c r="D279">
        <v>7</v>
      </c>
      <c r="E279">
        <v>1</v>
      </c>
      <c r="F279" s="3">
        <f>989.9+(357.1-523.7)+(0+(0-0))+0-161.3-0</f>
        <v>662</v>
      </c>
      <c r="G279" s="3">
        <f>984.1+(346.7-525.6)+(-2.509455+(-0.884085--1.34028))+0-157.8--0.402389999999977</f>
        <v>645.74912999999992</v>
      </c>
      <c r="H279" s="3">
        <f>923.3+(357.8-494.7)+(0.941766+(0.364956-0.504594))+0-156.9-0.160038000000025</f>
        <v>630.14209000000005</v>
      </c>
      <c r="I279" s="3">
        <f>911.7+(350.1-481.6)+(0+(0-0))+0-158.4-0</f>
        <v>621.80000000000007</v>
      </c>
      <c r="J279" s="3">
        <f>913.5+(357.8-487.6)+(0+(0-0))+0-159.5-0</f>
        <v>624.20000000000005</v>
      </c>
      <c r="K279" s="3">
        <f>913.3+(368.6-477.8)+(-0.465783+(-0.187986--0.243678))+0-167.9--0.085628999999983</f>
        <v>635.87553799999989</v>
      </c>
      <c r="L279" s="3">
        <f>913.9+(343.8-430.6)+(-0.466089+(-0.175338--0.219606))+0-165.7--0.0845069999999832</f>
        <v>661.06268599999999</v>
      </c>
      <c r="M279" s="3">
        <f>909.9+(356.1-396.3)+(-2.320245+(-0.908055--1.010565))+0-168.1--0.428654999999976</f>
        <v>699.81092000000001</v>
      </c>
      <c r="N279" s="3">
        <f>927.2+(343.9-366.6)+(0.945744+(0.350778-0.373932))+0-170.3-0.173706000000027</f>
        <v>734.94888399999991</v>
      </c>
      <c r="O279" s="3">
        <f>927.6+(317.4-334)+(0.473076+(0.161874-0.17034))+0-159-0.0810899999999839</f>
        <v>752.38351999999998</v>
      </c>
      <c r="P279" s="3">
        <f>912.6+(301-284)+(-2.792556+(-0.92106--0.86904))+0-156.9--0.480114000000018</f>
        <v>770.33553800000016</v>
      </c>
      <c r="Q279" s="3">
        <f>917.7+(303-284.6)+(-0.936054+(-0.30906--0.290292))+0-155.4--0.158508000000025</f>
        <v>779.90368599999999</v>
      </c>
      <c r="R279" s="3">
        <f>915+(320.9-309.9)+(-0.9333+(-0.327318--0.316098))+0-157.7--0.160854000000025</f>
        <v>767.51633399999992</v>
      </c>
      <c r="S279" s="3">
        <f>898+(314.1-292.2)+(-1.83192+(-0.640764--0.596088))+0-163.9--0.334355999999993</f>
        <v>754.45776000000012</v>
      </c>
      <c r="T279" s="3">
        <f>913.9+(300.6-295)+(-2.330445+(-0.76653--0.75225))+0-167.8--0.427889999999976</f>
        <v>749.78316499999983</v>
      </c>
      <c r="U279" s="3">
        <f>906.6+(303.1-294.5)+(0+(0-0))+0-167.3-0</f>
        <v>747.90000000000009</v>
      </c>
      <c r="V279" s="3">
        <f>899.8+(336.2-287)+(-0.458898+(-0.171462--0.14637))+0-170.3--0.0868529999999827</f>
        <v>778.30286300000012</v>
      </c>
      <c r="W279" s="3">
        <f>937.9+(364.7-262.7)+(-0.478329+(-0.185997--0.133977))+0-170.5--0.0869549999999827</f>
        <v>868.95660600000019</v>
      </c>
      <c r="X279" s="3">
        <f>957+(325.3-266.5)+(-2.44035+(-0.829515--0.679575))+0-170.8--0.435539999999975</f>
        <v>842.84524999999985</v>
      </c>
      <c r="Y279" s="3">
        <f>945.2+(359.5-315.3)+(0.482052+(0.183345-0.160803))+0-168.4-0.0858839999999829</f>
        <v>821.41871000000015</v>
      </c>
      <c r="Z279" s="3">
        <f>942.8+(397.5-379.8)+(0.480828+(0.202725-0.193698))+0-170.8-0.0871079999999827</f>
        <v>790.10274700000014</v>
      </c>
      <c r="AA279" s="3">
        <f>927.9+(405.2-392.6)+(0+(0-0))+0-172-0</f>
        <v>768.5</v>
      </c>
      <c r="AB279" s="3">
        <f>933.3+(405.3-436.3)+(-1.427949+(-0.620109--0.667539))+0-171.7--0.26270100000001</f>
        <v>729.48218199999985</v>
      </c>
      <c r="AC279" s="3">
        <f>878.9+(435-450.6)+(-0.896478+(-0.4437--0.459612))+0-170.9--0.174318000000027</f>
        <v>691.6937519999999</v>
      </c>
      <c r="AD279">
        <f t="shared" si="4"/>
        <v>17529.171361000001</v>
      </c>
      <c r="AE279" s="3">
        <f>966+(356.3-257.4)+(0+(0-0))+0-171-0</f>
        <v>893.90000000000009</v>
      </c>
    </row>
    <row r="280" spans="1:31" s="2" customFormat="1" x14ac:dyDescent="0.25">
      <c r="A280">
        <v>89</v>
      </c>
      <c r="B280">
        <v>10</v>
      </c>
      <c r="C280">
        <v>4</v>
      </c>
      <c r="D280">
        <v>1</v>
      </c>
      <c r="E280">
        <v>1</v>
      </c>
      <c r="F280" s="3">
        <f>748.9+(476.6-387.9)+(-1.527756+(-0.972264--0.791316))+0-171.4--0.349655999999993</f>
        <v>664.84095200000002</v>
      </c>
      <c r="G280" s="3">
        <f>752.6+(440-382.2)+(0+(0-0))+0-169.2-0</f>
        <v>641.20000000000005</v>
      </c>
      <c r="H280" s="3">
        <f>742.4+(418.5-359.2)+(-1.135872+(-0.640305--0.549576))+0-168.7--0.25811100000001</f>
        <v>632.03151000000014</v>
      </c>
      <c r="I280" s="3">
        <f>752.4+(398.6-353.1)+(1.151172+(0.609858-0.540243))+0-169.1-0.25872300000001</f>
        <v>629.7620639999999</v>
      </c>
      <c r="J280" s="3">
        <f>754.2+(404.4-360.6)+(-0.384642+(-0.206244--0.183906))+0-169.6--0.0864959999999828</f>
        <v>628.07951600000001</v>
      </c>
      <c r="K280" s="3">
        <f>764.9+(408-351.3)+(1.560396+(0.83232-0.716652))+0-169.6-0.345983999999993</f>
        <v>653.33007999999984</v>
      </c>
      <c r="L280" s="3">
        <f>638.9+(514.3-279.2)+(0.325839+(0.262293-0.142392))+0-165.2-0.0842519999999832</f>
        <v>709.16148800000008</v>
      </c>
      <c r="M280" s="3">
        <f>627.1+(505.1-215.8)+(-0.959463+(-0.772803--0.330174))+0-163.6--0.250308000000009</f>
        <v>751.64821600000005</v>
      </c>
      <c r="N280" s="3">
        <f>658.2+(489.6-208.1)+(-1.007046+(-0.749088--0.318393))+0-159.9--0.244647000000009</f>
        <v>778.60690600000009</v>
      </c>
      <c r="O280" s="3">
        <f>680.2+(528.4-257.9)+(0.346902+(0.269484-0.131529))+0-159.3-0.0812429999999838</f>
        <v>791.80361400000004</v>
      </c>
      <c r="P280" s="3">
        <f>679.4+(515.6-234.1)+(-1.039482+(-0.788868--0.358173))+0-159.6--0.244188000000009</f>
        <v>800.07401099999993</v>
      </c>
      <c r="Q280" s="3">
        <f>676.9+(520.1-235.6)+(-1.380876+(-1.061004--0.480624))+0-157.3--0.320891999999993</f>
        <v>802.45963599999982</v>
      </c>
      <c r="R280" s="3">
        <f>663.4+(494.3-217.3)+(-2.030004+(-1.512558--0.664938))+0-157.1--0.480726000000018</f>
        <v>780.90310199999999</v>
      </c>
      <c r="S280" s="3">
        <f>659.1+(477.6-199.7)+(-1.008423+(-0.730728--0.305541))+0-157.6--0.241128000000009</f>
        <v>778.20751799999994</v>
      </c>
      <c r="T280" s="3">
        <f>656.9+(465-197.8)+(-1.340076+(-0.9486--0.403512))+0-154.2--0.314567999999993</f>
        <v>768.32940399999984</v>
      </c>
      <c r="U280" s="3">
        <f>658.8+(494.2-228.5)+(0+(0-0))+0-154.5-0</f>
        <v>770</v>
      </c>
      <c r="V280" s="3">
        <f>681.7+(537.1-248.1)+(-2.086002+(-1.643526--0.759186))+0-160.5--0.491130000000019</f>
        <v>807.72078800000008</v>
      </c>
      <c r="W280" s="3">
        <f>772.2+(578.8-299)+(-0.787644+(-0.590376--0.30498))+0-154.3--0.157386000000025</f>
        <v>896.78434600000003</v>
      </c>
      <c r="X280" s="3">
        <f>846.4+(500.1-304.9)+(-1.726656+(-1.020204--0.621996))+0-160.1--0.326603999999993</f>
        <v>879.70173999999997</v>
      </c>
      <c r="Y280" s="3">
        <f>851+(456-300.8)+(-0.43401+(-0.23256--0.153408))+0-155.5--0.0793049999999842</f>
        <v>850.26614300000006</v>
      </c>
      <c r="Z280" s="3">
        <f>855.4+(428.6-315.1)+(-1.308762+(-0.655758--0.482103))+0-158.5--0.242505000000009</f>
        <v>809.16008799999997</v>
      </c>
      <c r="AA280" s="3">
        <f>844.9+(443.1-331.9)+(-1.723596+(-0.903924--0.677076))+0-162.5--0.331499999999993</f>
        <v>791.98105600000008</v>
      </c>
      <c r="AB280" s="3">
        <f>841.2+(434.8-364.8)+(-1.287036+(-0.665244--0.558144))+0-164.1--0.251073000000009</f>
        <v>745.95693700000004</v>
      </c>
      <c r="AC280" s="3">
        <f>850.7+(437.3-413.7)+(-0.867714+(-0.446046--0.421974))+0-168.7--0.172074000000027</f>
        <v>704.88028800000006</v>
      </c>
      <c r="AD280">
        <f t="shared" si="4"/>
        <v>18066.889403000001</v>
      </c>
      <c r="AE280" s="3">
        <f>855+(545.1-329.5)+(0+(0-0))+0-161.4-0</f>
        <v>909.19999999999993</v>
      </c>
    </row>
    <row r="281" spans="1:31" s="2" customFormat="1" x14ac:dyDescent="0.25">
      <c r="A281">
        <v>89</v>
      </c>
      <c r="B281">
        <v>10</v>
      </c>
      <c r="C281">
        <v>5</v>
      </c>
      <c r="D281">
        <v>2</v>
      </c>
      <c r="E281">
        <v>1</v>
      </c>
      <c r="F281" s="3">
        <f>841.8+(447.1-455.7)+(-0.429318+(-0.228021--0.232407))+0-164.6--0.0839459999999833</f>
        <v>668.25901399999998</v>
      </c>
      <c r="G281" s="3">
        <f>826.1+(444.8-456.2)+(-0.421311+(-0.226848--0.232662))+0-164.8--0.0840479999999833</f>
        <v>649.56855100000007</v>
      </c>
      <c r="H281" s="3">
        <f>833.4+(453.3-481.9)+(-1.275102+(-0.693549--0.737307))+0-165.6--0.25336800000001</f>
        <v>638.22202399999992</v>
      </c>
      <c r="I281" s="3">
        <f>844.5+(457.1-503.4)+(-0.86139+(-0.466242--0.513468))+0-164.4--0.167688000000026</f>
        <v>633.15352400000006</v>
      </c>
      <c r="J281" s="3">
        <f>847.3+(463.7-509.5)+(1.296369+(0.709461-0.779535))+0-164.1-0.251073000000009</f>
        <v>638.37522200000001</v>
      </c>
      <c r="K281" s="3">
        <f>846.9+(461-491)+(0.863838+(0.47022-0.50082))+0-165.5-0.168810000000026</f>
        <v>652.06442800000002</v>
      </c>
      <c r="L281" s="3">
        <f>843.5+(464.8-448.3)+(-0.430185+(-0.237048--0.228633))+0-163.7--0.0834869999999834</f>
        <v>695.94488699999999</v>
      </c>
      <c r="M281" s="3">
        <f>847.9+(483.6-410.1)+(-0.864858+(-0.493272--0.418302))+0-169.3--0.172686000000027</f>
        <v>751.33285799999987</v>
      </c>
      <c r="N281" s="3">
        <f>847.2+(491.4-385.5)+(-2.16036+(-1.25307--0.983025))+0-168.5--0.429674999999976</f>
        <v>782.59927000000005</v>
      </c>
      <c r="O281" s="3">
        <f>850.8+(501.9-397.6)+(-1.301724+(-0.767907--0.608328))+0-166.9--0.25535700000001</f>
        <v>786.99405399999989</v>
      </c>
      <c r="P281" s="3">
        <f>845.7+(489.9-379)+(0.431307+(0.249849-0.19329))+0-163.8-0.0835379999999834</f>
        <v>793.20432800000015</v>
      </c>
      <c r="Q281" s="3">
        <f>835.9+(491.8-366.4)+(-1.278927+(-0.752454--0.560592))+0-164.4--0.25153200000001</f>
        <v>795.68074300000001</v>
      </c>
      <c r="R281" s="3">
        <f>832.5+(474.1-356.4)+(-1.273725+(-0.725373--0.545292))+0-164.8--0.25214400000001</f>
        <v>784.19833800000015</v>
      </c>
      <c r="S281" s="3">
        <f>838.1+(440.4-331)+(1.282293+(0.673812-0.50643))+0-166.8-0.25520400000001</f>
        <v>781.89447099999984</v>
      </c>
      <c r="T281" s="3">
        <f>833.8+(446.5-332.8)+(-1.700952+(-0.91086--0.678912))+0-165.2--0.337007999999993</f>
        <v>780.70410799999991</v>
      </c>
      <c r="U281" s="3">
        <f>836.3+(438.4-336.5)+(0+(0-0))+0-156.9-0</f>
        <v>781.3</v>
      </c>
      <c r="V281" s="3">
        <f>846.6+(536.7-393.9)+(-0.863532+(-0.547434--0.401778))+0-159.3--0.162486000000025</f>
        <v>829.2532980000002</v>
      </c>
      <c r="W281" s="3">
        <f>856+(563.9-350.8)+(-0.87312+(-0.575178--0.357816))+0-162.8--0.166056000000026</f>
        <v>905.37557399999992</v>
      </c>
      <c r="X281" s="3">
        <f>863.7+(523.2-333.7)+(-2.642922+(-1.600992--1.021122))+0-162.4--0.496944000000019</f>
        <v>888.07415200000003</v>
      </c>
      <c r="Y281" s="3">
        <f>862.4+(471.2-315.2)+(0.439824+(0.240312-0.160752))+0-158.2-0.0806819999999839</f>
        <v>860.63870199999997</v>
      </c>
      <c r="Z281" s="3">
        <f>853.2+(454.9-324.5)+(-1.305396+(-0.695997--0.496485))+0-160.8--0.246024000000009</f>
        <v>821.5411160000001</v>
      </c>
      <c r="AA281" s="3">
        <f>858.9+(447.9-347.6)+(-1.752156+(-0.913716--0.709104))+0-166.3--0.339251999999993</f>
        <v>791.28248399999984</v>
      </c>
      <c r="AB281" s="3">
        <f>856.5+(467.2-409.6)+(-0.436815+(-0.238272--0.208896))+0-169.7--0.0865469999999828</f>
        <v>744.02035599999988</v>
      </c>
      <c r="AC281" s="3">
        <f>857.3+(465-454.3)+(-3.935007+(-2.13435--2.085237))+0-171.7--0.78810300000003</f>
        <v>693.10398300000008</v>
      </c>
      <c r="AD281">
        <f t="shared" si="4"/>
        <v>18146.785485</v>
      </c>
      <c r="AE281" s="3">
        <f>867+(555.9-347.5)+(0+(0-0))+0-163-0</f>
        <v>912.40000000000009</v>
      </c>
    </row>
    <row r="282" spans="1:31" s="2" customFormat="1" x14ac:dyDescent="0.25">
      <c r="A282">
        <v>89</v>
      </c>
      <c r="B282">
        <v>10</v>
      </c>
      <c r="C282">
        <v>6</v>
      </c>
      <c r="D282">
        <v>3</v>
      </c>
      <c r="E282">
        <v>1</v>
      </c>
      <c r="F282" s="3">
        <f>856.1+(392.8-412.9)+(-1.746444+(-0.801312--0.842316))+0-169--0.344759999999993</f>
        <v>665.63932</v>
      </c>
      <c r="G282" s="3">
        <f>859.8+(309.7-362.7)+(-0.438498+(-0.157947--0.184977))+0-161.2--0.0822119999999836</f>
        <v>645.27074399999992</v>
      </c>
      <c r="H282" s="3">
        <f>859.3+(264.5-329.7)+(-0.876486+(-0.26979--0.336294))+0-159.9--0.163098000000026</f>
        <v>633.55311599999993</v>
      </c>
      <c r="I282" s="3">
        <f>863.3+(239.4-314.9)+(0.440283+(0.122094-0.160599))+0-159.6-0.0813959999999838</f>
        <v>628.52038199999993</v>
      </c>
      <c r="J282" s="3">
        <f>863.9+(226.6-307.4)+(-1.321767+(-0.346698--0.470322))+0-149.7--0.229041000000009</f>
        <v>632.43089800000007</v>
      </c>
      <c r="K282" s="3">
        <f>867.3+(218-282)+(1.326969+(0.33354-0.43146))+0-145.7-0.222921000000008</f>
        <v>658.6061279999999</v>
      </c>
      <c r="L282" s="3">
        <f>867.8+(251.1-264)+(-0.442578+(-0.128061--0.13464))+0-143.1--0.0729809999999855</f>
        <v>711.43698199999994</v>
      </c>
      <c r="M282" s="3">
        <f>870.6+(282.1-249.3)+(0.888012+(0.287742-0.254286))+0-148.2-0.151164000000024</f>
        <v>755.97030400000006</v>
      </c>
      <c r="N282" s="3">
        <f>869+(261.9-187.5)+(0+(0-0))+0-148-0</f>
        <v>795.4</v>
      </c>
      <c r="O282" s="3">
        <f>866+(222-135.9)+(-1.32498+(-0.33966--0.207927))+0-134.2--0.205326000000008</f>
        <v>816.64861300000007</v>
      </c>
      <c r="P282" s="3">
        <f>855.7+(219.8-127.3)+(-1.309221+(-0.336294--0.194769))+0-130.2--0.199206000000008</f>
        <v>816.74846000000002</v>
      </c>
      <c r="Q282" s="3">
        <f>848.8+(324.9-219.8)+(-0.432888+(-0.165699--0.112098))+0-126.1--0.0643109999999872</f>
        <v>827.37782199999981</v>
      </c>
      <c r="R282" s="3">
        <f>846.1+(276-197.7)+(-1.294533+(-0.42228--0.302481))+0-123.3--0.188649000000007</f>
        <v>799.87431700000025</v>
      </c>
      <c r="S282" s="3">
        <f>886.2+(265.8-237.1)+(-1.355886+(-0.406674--0.362763))+0-126.6--0.193698000000007</f>
        <v>787.09390100000007</v>
      </c>
      <c r="T282" s="3">
        <f>949.5+(252.2-296.4)+(-0.484245+(-0.128622--0.151164))+0-126.1--0.0643109999999872</f>
        <v>778.80260799999996</v>
      </c>
      <c r="U282" s="3">
        <f>961.5+(262.8-319.1)+(1.471095+(0.402084-0.488223))+0-123.7-0.189261000000007</f>
        <v>782.695695</v>
      </c>
      <c r="V282" s="3">
        <f>985.5+(259.3-288.6)+(-2.01042+(-0.528972--0.588744))+0-132.3--0.269891999999994</f>
        <v>822.21924400000012</v>
      </c>
      <c r="W282" s="3">
        <f>1065.1+(242-278.9)+(-1.629603+(-0.37026--0.426717))+0-134.9--0.206397000000008</f>
        <v>891.93325099999993</v>
      </c>
      <c r="X282" s="3">
        <f>1030.8+(243.5-264)+(-0.525708+(-0.124185--0.13464))+0-130.6--0.0666059999999867</f>
        <v>879.25135299999988</v>
      </c>
      <c r="Y282" s="3">
        <f>950.9+(255.4-235.7)+(-0.484959+(-0.130254--0.120207))+0-127.3--0.0649229999999871</f>
        <v>842.8699170000001</v>
      </c>
      <c r="Z282" s="3">
        <f>952.8+(234.7-249.6)+(-0.971856+(-0.239394--0.254592))+0-131.3--0.133926000000021</f>
        <v>805.77726800000005</v>
      </c>
      <c r="AA282" s="3">
        <f>960.3+(239.2-276.4)+(-0.489753+(-0.121992--0.140964))+0-132.9--0.0677789999999865</f>
        <v>789.79699799999992</v>
      </c>
      <c r="AB282" s="3">
        <f>964.7+(231.5-312.7)+(-0.983994+(-0.23613--0.318954))+0-133.1--0.135762000000021</f>
        <v>749.634592</v>
      </c>
      <c r="AC282" s="3">
        <f>974.1+(207.2-349.3)+(-0.993582+(-0.211344--0.356286))+0-133.4--0.136068000000021</f>
        <v>697.887428</v>
      </c>
      <c r="AD282">
        <f t="shared" si="4"/>
        <v>18215.439340999998</v>
      </c>
      <c r="AE282" s="3">
        <f>953+(241.3-281.9)+(0+(0-0))+0-130.2-0</f>
        <v>782.2</v>
      </c>
    </row>
    <row r="283" spans="1:31" s="2" customFormat="1" x14ac:dyDescent="0.25">
      <c r="A283">
        <v>89</v>
      </c>
      <c r="B283">
        <v>10</v>
      </c>
      <c r="C283">
        <v>7</v>
      </c>
      <c r="D283">
        <v>4</v>
      </c>
      <c r="E283">
        <v>1</v>
      </c>
      <c r="F283" s="3">
        <f>978.4+(200.1-381.4)+(-2.49492+(-0.510255--0.97257))+0-133.9--0.341444999999981</f>
        <v>661.50884000000008</v>
      </c>
      <c r="G283" s="3">
        <f>968.4+(227.4-437.8)+(0+(0-0))+0-128-0</f>
        <v>630</v>
      </c>
      <c r="H283" s="3">
        <f>974.4+(230.7-452.7)+(-0.993888+(-0.235314--0.461754))+0-128.6--0.13117200000002</f>
        <v>623.163724</v>
      </c>
      <c r="I283" s="3">
        <f>979.5+(233.3-455.8)+(0+(0-0))+0-128.1-0</f>
        <v>628.9</v>
      </c>
      <c r="J283" s="3">
        <f>974.4+(235.3-450.9)+(0.496944+(0.120003-0.229959))+0-128.1-0.065330999999987</f>
        <v>631.02165699999989</v>
      </c>
      <c r="K283" s="3">
        <f>979.6+(207.1-405.7)+(0+(0-0))+0-129.3-0</f>
        <v>651.70000000000005</v>
      </c>
      <c r="L283" s="3">
        <f>975.8+(183.6-337.7)+(-0.995316+(-0.187272--0.344454))+0-120.6--0.123012000000019</f>
        <v>700.38487799999996</v>
      </c>
      <c r="M283" s="3">
        <f>986.1+(213.8-331.2)+(-0.502911+(-0.109038--0.168912))+0-121.1--0.0617609999999877</f>
        <v>747.21872399999995</v>
      </c>
      <c r="N283" s="3">
        <f>957.4+(203.9-272.5)+(3.417918+(0.727923-0.972825))+0-115.7-0.413049000000002</f>
        <v>775.85996699999987</v>
      </c>
      <c r="O283" s="3">
        <f>940.9+(236.2-267.9)+(0+(0-0))+0-114.4-0</f>
        <v>794.80000000000007</v>
      </c>
      <c r="P283" s="3">
        <f>992.6+(249-326.2)+(-1.012452+(-0.25398--0.332724))+0-114--0.116280000000018</f>
        <v>800.58257200000014</v>
      </c>
      <c r="Q283" s="3">
        <f>992.1+(271.9-351.1)+(-1.011942+(-0.277338--0.358122))+0-112.3--0.114546000000018</f>
        <v>799.78338800000006</v>
      </c>
      <c r="R283" s="3">
        <f>990+(276.1-362.7)+(-1.5147+(-0.422433--0.554931))+0-111.6--0.170748000000006</f>
        <v>790.58854600000006</v>
      </c>
      <c r="S283" s="3">
        <f>984.6+(324.8-401)+(-2.008584+(-0.662592--0.81804))+0-114.9--0.234395999999995</f>
        <v>791.88126000000011</v>
      </c>
      <c r="T283" s="3">
        <f>944.5+(361.8-403.2)+(1.445085+(0.553554-0.616896))+0-128.7-0.196911000000007</f>
        <v>775.58483200000001</v>
      </c>
      <c r="U283" s="3">
        <f>951.9+(358.2-407.5)+(-1.941876+(-0.730728--0.8313))+0-122--0.248879999999995</f>
        <v>779.00757599999986</v>
      </c>
      <c r="V283" s="3">
        <f>976.3+(349-378.6)+(-0.995826+(-0.35598--0.386172))+0-126--0.12852000000002</f>
        <v>819.86288599999989</v>
      </c>
      <c r="W283" s="3">
        <f>976.5+(365.6-311.9)+(-0.498015+(-0.186456--0.159069))+0-128.7--0.0656369999999869</f>
        <v>901.04023500000005</v>
      </c>
      <c r="X283" s="3">
        <f>982.6+(352.8-309.6)+(-1.503378+(-0.539784--0.473688))+0-130.2--0.199206000000008</f>
        <v>894.22973200000001</v>
      </c>
      <c r="Y283" s="3">
        <f>984+(356.3-342.7)+(-2.5092+(-0.908565--0.873885))+0-131.6--0.335579999999981</f>
        <v>863.79169999999999</v>
      </c>
      <c r="Z283" s="3">
        <f>982.6+(361.8-369.1)+(0+(0-0))+0-145.5-0</f>
        <v>829.8</v>
      </c>
      <c r="AA283" s="3">
        <f>981.3+(385.3-408.9)+(-1.501389+(-0.589509--0.625617))+0-150.9--0.230877000000009</f>
        <v>805.56559600000003</v>
      </c>
      <c r="AB283" s="3">
        <f>982.5+(327-397.9)+(-1.503225+(-0.50031--0.608787))+0-152.5--0.233325000000009</f>
        <v>757.93857700000001</v>
      </c>
      <c r="AC283" s="3">
        <f>989.4+(306.3-432.4)+(-3.027564+(-0.937278--1.323144))+0-153.6--0.470016000000018</f>
        <v>707.5283179999999</v>
      </c>
      <c r="AD283">
        <f t="shared" si="4"/>
        <v>18161.743008000001</v>
      </c>
      <c r="AE283" s="3">
        <f>1000+(348.3-286)+(0+(0-0))+0-130.2-0</f>
        <v>932.09999999999991</v>
      </c>
    </row>
    <row r="284" spans="1:31" s="2" customFormat="1" x14ac:dyDescent="0.25">
      <c r="A284">
        <v>89</v>
      </c>
      <c r="B284">
        <v>10</v>
      </c>
      <c r="C284">
        <v>8</v>
      </c>
      <c r="D284">
        <v>5</v>
      </c>
      <c r="E284">
        <v>1</v>
      </c>
      <c r="F284" s="3">
        <f>1005.2+(321.6-492.7)+(0+(0-0))+0-152.3-0</f>
        <v>681.80000000000018</v>
      </c>
      <c r="G284" s="3">
        <f>1005.7+(344.7-532.8)+(-1.025814+(-0.351594--0.543456))+0-158--0.161160000000025</f>
        <v>658.92720800000018</v>
      </c>
      <c r="H284" s="3">
        <f>999.3+(344.5-532.1)+(-1.019286+(-0.35139--0.542742))+0-166.9--0.170238000000027</f>
        <v>644.14230399999997</v>
      </c>
      <c r="I284" s="3">
        <f>998+(349.3-540.6)+(-1.01796+(-0.356286--0.551412))+0-165.4--0.168708000000026</f>
        <v>640.64587400000016</v>
      </c>
      <c r="J284" s="3">
        <f>999.4+(309.6-503.7)+(-0.509694+(-0.157896--0.256887))+0-162.3--0.0827729999999835</f>
        <v>642.67206999999996</v>
      </c>
      <c r="K284" s="3">
        <f>999.9+(331.3-506.3)+(-1.019898+(-0.337926--0.516426))+0-165.2--0.168504000000026</f>
        <v>659.027106</v>
      </c>
      <c r="L284" s="3">
        <f>999.5+(330.1-458.4)+(-0.509745+(-0.168351--0.233784))+0-168.5--0.0859349999999829</f>
        <v>702.34162300000003</v>
      </c>
      <c r="M284" s="3">
        <f>996.7+(338.4-415.3)+(-1.016634+(-0.345168--0.423606))+0-172--0.175440000000027</f>
        <v>747.03724399999999</v>
      </c>
      <c r="N284" s="3">
        <f>995.3+(340.2-370.8)+(0+(0-0))+0-173.7-0</f>
        <v>791</v>
      </c>
      <c r="O284" s="3">
        <f>966.5+(366.7-357.3)+(0.98583+(0.374034-0.364446))+0-167-0.170340000000027</f>
        <v>809.72507799999994</v>
      </c>
      <c r="P284" s="3">
        <f>868.5+(403.8-286)+(-0.442935+(-0.205938--0.14586))+0-163.6--0.0834359999999834</f>
        <v>822.28042299999993</v>
      </c>
      <c r="Q284" s="3">
        <f>848.1+(349.8-213.4)+(0+(0-0))+0-162.3-0</f>
        <v>822.2</v>
      </c>
      <c r="R284" s="3">
        <f>823.1+(316-174.6)+(-1.259343+(-0.48348--0.267138))+0-162.3--0.248319000000009</f>
        <v>800.97263399999997</v>
      </c>
      <c r="S284" s="3">
        <f>790.2+(371.3-196.7)+(0+(0-0))+0-168.6-0</f>
        <v>796.2</v>
      </c>
      <c r="T284" s="3">
        <f>714.8+(397.3-147.2)+(0+(0-0))+0-170.1-0</f>
        <v>794.8</v>
      </c>
      <c r="U284" s="3">
        <f>762.1+(399.6-200)+(0+(0-0))+0-168.2-0</f>
        <v>793.5</v>
      </c>
      <c r="V284" s="3">
        <f>826.6+(394.8-236.4)+(-1.686264+(-0.805392--0.482256))+0-163--0.332519999999993</f>
        <v>820.32312000000002</v>
      </c>
      <c r="W284" s="3">
        <f>949.4+(342.9-218.3)+(0+(0-0))+0-163.9-0</f>
        <v>910.1</v>
      </c>
      <c r="X284" s="3">
        <f>963.4+(340.4-249.4)+(-2.45667+(-0.86802--0.63597))+0-156.4--0.398819999999977</f>
        <v>895.71009999999978</v>
      </c>
      <c r="Y284" s="3">
        <f>964.4+(320.1-268.7)+(-3.934752+(-1.306008--1.096296))+0-150.6--0.614447999999987</f>
        <v>861.669984</v>
      </c>
      <c r="Z284" s="3">
        <f>964.3+(296.8-282.5)+(0+(0-0))+0-152.7-0</f>
        <v>825.89999999999986</v>
      </c>
      <c r="AA284" s="3">
        <f>970.7+(323.5-335.5)+(-0.990114+(-0.32997--0.34221))+0-154.4--0.157488000000025</f>
        <v>803.47961400000008</v>
      </c>
      <c r="AB284" s="3">
        <f>972.4+(308.3-359.2)+(-0.991848+(-0.314466--0.366384))+0-158.9--0.162078000000025</f>
        <v>761.82214800000008</v>
      </c>
      <c r="AC284" s="3">
        <f>970.3+(292.7-385.8)+(-2.474265+(-0.746385--0.98379))+0-163.8--0.417689999999976</f>
        <v>711.58082999999988</v>
      </c>
      <c r="AD284">
        <f t="shared" si="4"/>
        <v>18397.857359999998</v>
      </c>
      <c r="AE284" s="3">
        <f>973+(352-235)+(0+(0-0))+0-162.2-0</f>
        <v>927.8</v>
      </c>
    </row>
    <row r="285" spans="1:31" s="2" customFormat="1" x14ac:dyDescent="0.25">
      <c r="A285">
        <v>89</v>
      </c>
      <c r="B285">
        <v>10</v>
      </c>
      <c r="C285">
        <v>9</v>
      </c>
      <c r="D285">
        <v>6</v>
      </c>
      <c r="E285">
        <v>1</v>
      </c>
      <c r="F285" s="3">
        <f>970.8+(275.2-406.4)+(-1.485324+(-0.421056--0.621792))+0-163.3--0.249849000000009</f>
        <v>675.26526100000001</v>
      </c>
      <c r="G285" s="3">
        <f>971.3+(275.2-437.7)+(0.495363+(0.140352-0.223227))+0-151.9-0.0774689999999846</f>
        <v>657.23501900000008</v>
      </c>
      <c r="H285" s="3">
        <f>971+(283.2-452.2)+(-1.98084+(-0.577728--0.922488))+0-155--0.316199999999993</f>
        <v>645.68011999999999</v>
      </c>
      <c r="I285" s="3">
        <f>978.8+(299.3-479.5)+(-0.998376+(-0.305286--0.48909))+0-156.6--0.159732000000025</f>
        <v>641.34515999999996</v>
      </c>
      <c r="J285" s="3">
        <f>984.6+(305.3-488.1)+(-1.506438+(-0.467109--0.746793))+0-158--0.241740000000009</f>
        <v>642.81498599999998</v>
      </c>
      <c r="K285" s="3">
        <f>959.8+(345-516.8)+(0+(0-0))+0-153-0</f>
        <v>635</v>
      </c>
      <c r="L285" s="3">
        <f>988.3+(397.8-512.2)+(-1.512099+(-0.608634--0.783666))+0-150.2--0.229806000000009</f>
        <v>722.59273899999994</v>
      </c>
      <c r="M285" s="3">
        <f>930+(418.1-452.1)+(0.9486+(0.426462-0.461142))+0-155.3-0.158406000000025</f>
        <v>741.45551399999999</v>
      </c>
      <c r="N285" s="3">
        <f>794+(477-317.7)+(0.40494+(0.24327-0.162027))+0-151.9-0.0774689999999846</f>
        <v>801.80871400000001</v>
      </c>
      <c r="O285" s="3">
        <f>769.4+(430-229.9)+(-1.96197+(-1.0965--0.586245))+0-147.2--0.375359999999979</f>
        <v>820.20313499999997</v>
      </c>
      <c r="P285" s="3">
        <f>770.2+(421.8-215.8)+(0+(0-0))+0-141.5-0</f>
        <v>834.7</v>
      </c>
      <c r="Q285" s="3">
        <f>771+(422.4-211.6)+(-0.78642+(-0.430848--0.215832))+0-145.2--0.148104000000023</f>
        <v>835.74666799999989</v>
      </c>
      <c r="R285" s="3">
        <f>768.8+(397.8-199.2)+(-1.568352+(-0.811512--0.406368))+0-151.6--0.309263999999993</f>
        <v>814.13576799999998</v>
      </c>
      <c r="S285" s="3">
        <f>771.2+(371.7-193)+(-1.179936+(-0.568701--0.29529))+0-151.4--0.231642000000009</f>
        <v>797.27829500000007</v>
      </c>
      <c r="T285" s="3">
        <f>765.7+(368.3-184.5)+(-0.390507+(-0.187833--0.094095))+0-153--0.0780299999999845</f>
        <v>796.09378500000003</v>
      </c>
      <c r="U285" s="3">
        <f>766.9+(396.4-218.2)+(-0.391119+(-0.202164--0.111282))+0-147.4--0.075173999999985</f>
        <v>797.29317299999991</v>
      </c>
      <c r="V285" s="3">
        <f>758.1+(460.7-243.2)+(-1.546524+(-0.939828--0.496128))+0-153.8--0.313751999999993</f>
        <v>820.12352800000008</v>
      </c>
      <c r="W285" s="3">
        <f>759.5+(555.3-255.1)+(-1.162035+(-0.849609--0.390303))+0-154.1--0.235773000000009</f>
        <v>904.21443199999976</v>
      </c>
      <c r="X285" s="3">
        <f>768.8+(528.1-253)+(-2.352528+(-1.615986--0.77418))+0-153--0.468180000000018</f>
        <v>888.17384600000014</v>
      </c>
      <c r="Y285" s="3">
        <f>776+(463.3-230.6)+(0+(0-0))+0-152.9-0</f>
        <v>855.80000000000007</v>
      </c>
      <c r="Z285" s="3">
        <f>798.6+(397.4-215.4)+(-1.221858+(-0.608022--0.329562))+0-158.2--0.242046000000009</f>
        <v>821.14172799999994</v>
      </c>
      <c r="AA285" s="3">
        <f>783.3+(377.6-208.2)+(-0.399483+(-0.192576--0.106182))+0-162.1--0.0826709999999835</f>
        <v>790.19679400000007</v>
      </c>
      <c r="AB285" s="3">
        <f>776.9+(339-204.2)+(-1.584876+(-0.69156--0.416568))+0-160.1--0.326603999999993</f>
        <v>750.06673599999999</v>
      </c>
      <c r="AC285" s="3">
        <f>783.3+(287.6-186.5)+(-2.396898+(-0.880056--0.57069))+0-161--0.492660000000019</f>
        <v>721.18639599999995</v>
      </c>
      <c r="AD285">
        <f t="shared" si="4"/>
        <v>18409.551797</v>
      </c>
      <c r="AE285" s="3">
        <f>770+(533.1-260.7)+(0+(0-0))+0-149.8-0</f>
        <v>892.60000000000014</v>
      </c>
    </row>
    <row r="286" spans="1:31" s="2" customFormat="1" x14ac:dyDescent="0.25">
      <c r="A286">
        <v>89</v>
      </c>
      <c r="B286">
        <v>10</v>
      </c>
      <c r="C286">
        <v>10</v>
      </c>
      <c r="D286">
        <v>7</v>
      </c>
      <c r="E286">
        <v>1</v>
      </c>
      <c r="F286" s="3">
        <f>786.2+(281.9-218)+(0+(0-0))+0-157.2-0</f>
        <v>692.90000000000009</v>
      </c>
      <c r="G286" s="3">
        <f>787.5+(262.5-227.1)+(-0.80325+(-0.26775--0.231642))+0-155.1--0.158202000000025</f>
        <v>667.11884400000008</v>
      </c>
      <c r="H286" s="3">
        <f>784.8+(240-212.5)+(0+(0-0))+0-154.4-0</f>
        <v>657.9</v>
      </c>
      <c r="I286" s="3">
        <f>782.7+(236.9-209.9)+(-1.197531+(-0.362457--0.321147))+0-153.5--0.234855000000009</f>
        <v>655.1960140000001</v>
      </c>
      <c r="J286" s="3">
        <f>787+(259.9-235.1)+(-0.80274+(-0.265098--0.239802))+0-154.7--0.157794000000025</f>
        <v>656.42975800000011</v>
      </c>
      <c r="K286" s="3">
        <f>782.9+(345.1-287.6)+(0.399279+(0.176001-0.146676))+0-155.2-0.0791519999999842</f>
        <v>685.54945199999997</v>
      </c>
      <c r="L286" s="3">
        <f>786.7+(373.1-317)+(0+(0-0))+0-152.3-0</f>
        <v>690.5</v>
      </c>
      <c r="M286" s="3">
        <f>774.2+(377.2-271.8)+(-0.789684+(-0.384744--0.277236))+0-156.8--0.159936000000025</f>
        <v>722.06274400000007</v>
      </c>
      <c r="N286" s="3">
        <f>751.3+(415.2-249.7)+(-1.149489+(-0.635256--0.382041))+0-166.7--0.25505100000001</f>
        <v>748.95234700000003</v>
      </c>
      <c r="O286" s="3">
        <f>757.7+(449.2-265.2)+(-0.386427+(-0.229092--0.135252))+0-163--0.0831299999999835</f>
        <v>778.302863</v>
      </c>
      <c r="P286" s="3">
        <f>751.9+(461.7-251)+(-1.917345+(-1.177335--0.64005))+0-159.6--0.406979999999977</f>
        <v>800.95234999999991</v>
      </c>
      <c r="Q286" s="3">
        <f>742.9+(491.4-253.7)+(0.378879+(0.250614-0.129387))+0-167.3-0.085322999999983</f>
        <v>813.7147829999999</v>
      </c>
      <c r="R286" s="3">
        <f>732.4+(480.4-241.3)+(-0.747048+(-0.490008--0.246126))+0-159.4--0.162588000000025</f>
        <v>811.271658</v>
      </c>
      <c r="S286" s="3">
        <f>728.1+(438.8-194.5)+(-2.227986+(-1.342728--0.59517))+0-161.7--0.494802000000019</f>
        <v>808.2192580000002</v>
      </c>
      <c r="T286" s="3">
        <f>722.8+(395.2-164.8)+(0.737256+(0.403104-0.168096))+0-158.7-0.161874000000025</f>
        <v>795.31038999999998</v>
      </c>
      <c r="U286" s="3">
        <f>718.2+(383.5-160.7)+(-0.366282+(-0.195585--0.081957))+0-160.4--0.0818039999999837</f>
        <v>780.20189400000004</v>
      </c>
      <c r="V286" s="3">
        <f>716.4+(450.2-196.1)+(-0.365364+(-0.229602--0.100011))+0-164.4--0.0838439999999833</f>
        <v>805.68888900000002</v>
      </c>
      <c r="W286" s="3">
        <f>721.8+(645.9-322.4)+(0.368118+(0.329409-0.164424))+0-155.1-0.0791009999999843</f>
        <v>890.65400199999988</v>
      </c>
      <c r="X286" s="3">
        <f>722.3+(653.2-333.6)+(-1.105119+(-0.999396--0.510408))+0-155.3--0.237609000000009</f>
        <v>885.24350200000026</v>
      </c>
      <c r="Y286" s="3">
        <f>722+(618.8-320.9)+(-0.36822+(-0.315588--0.163659))+0-160.5--0.0818549999999837</f>
        <v>858.96170600000005</v>
      </c>
      <c r="Z286" s="3">
        <f>725.3+(568.3-291.6)+(0.369903+(0.289833-0.148716))+0-174.8-0.0891479999999823</f>
        <v>827.62187199999994</v>
      </c>
      <c r="AA286" s="3">
        <f>736.2+(485.6-232.9)+(-1.126386+(-0.742968--0.356337))+0-171.2--0.26193600000001</f>
        <v>816.44891900000005</v>
      </c>
      <c r="AB286" s="3">
        <f>742.4+(390.4-186.6)+(-1.89312+(-0.99552--0.47583))+0-166.4--0.424319999999976</f>
        <v>777.81150999999988</v>
      </c>
      <c r="AC286" s="3">
        <f>754.4+(304.1-158.4)+(-0.384744+(-0.155091--0.080784))+0-166.8--0.0850679999999831</f>
        <v>732.92601699999989</v>
      </c>
      <c r="AD286">
        <f t="shared" si="4"/>
        <v>18359.938772000001</v>
      </c>
      <c r="AE286" s="3">
        <f>729+(678.8-342.9)+(0+(0-0))+0-144.8-0</f>
        <v>920.10000000000014</v>
      </c>
    </row>
    <row r="287" spans="1:31" s="2" customFormat="1" x14ac:dyDescent="0.25">
      <c r="A287">
        <v>89</v>
      </c>
      <c r="B287">
        <v>10</v>
      </c>
      <c r="C287">
        <v>11</v>
      </c>
      <c r="D287">
        <v>1</v>
      </c>
      <c r="E287">
        <v>1</v>
      </c>
      <c r="F287" s="3">
        <f>747.1+(291.7-179.7)+(-1.905105+(-0.743835--0.458235))+0-166.5--0.424574999999976</f>
        <v>690.83387000000005</v>
      </c>
      <c r="G287" s="3">
        <f>748.1+(264-178.9)+(-1.907655+(-0.6732--0.456195))+0-162.9--0.415394999999976</f>
        <v>668.59073500000011</v>
      </c>
      <c r="H287" s="3">
        <f>745+(268-193.6)+(-1.5198+(-0.54672--0.394944))+0-163.2--0.332927999999993</f>
        <v>654.86135200000012</v>
      </c>
      <c r="I287" s="3">
        <f>747.6+(267.3-196.8)+(-0.762552+(-0.272646--0.200736))+0-164.1--0.167382000000026</f>
        <v>653.33291999999994</v>
      </c>
      <c r="J287" s="3">
        <f>712.3+(290.7-184.9)+(0+(0-0))+0-161.9-0</f>
        <v>656.19999999999993</v>
      </c>
      <c r="K287" s="3">
        <f>693.5+(327.9-189.9)+(1.061055+(0.501687-0.290547))+0-162.5-0.248625000000009</f>
        <v>670.02356999999995</v>
      </c>
      <c r="L287" s="3">
        <f>691.4+(417-220.9)+(-0.705228+(-0.42534--0.225318))+0-153.1--0.156162000000024</f>
        <v>733.65091199999995</v>
      </c>
      <c r="M287" s="3">
        <f>711.2+(434.2-205.6)+(0.362712+(0.221442-0.104856))+0-156.8-0.0799679999999841</f>
        <v>783.39932999999996</v>
      </c>
      <c r="N287" s="3">
        <f>770.5+(384.6-180.8)+(-0.78591+(-0.392292--0.184416))+0-153.2--0.156264000000024</f>
        <v>820.26247799999999</v>
      </c>
      <c r="O287" s="3">
        <f>816.2+(367.8-209.2)+(0+(0-0))+0-141.1-0</f>
        <v>833.7</v>
      </c>
      <c r="P287" s="3">
        <f>883.7+(360.5-256.6)+(0.450687+(0.183855-0.130866))+0-139.5-0.0711449999999858</f>
        <v>848.53253100000006</v>
      </c>
      <c r="Q287" s="3">
        <f>910.6+(343.5-266.7)+(-1.857624+(-0.70074--0.544068))+0-144.1--0.293963999999994</f>
        <v>841.57966800000008</v>
      </c>
      <c r="R287" s="3">
        <f>938.8+(319.1-281.6)+(-1.436364+(-0.488223--0.430848))+0-150.8--0.230724000000009</f>
        <v>824.236985</v>
      </c>
      <c r="S287" s="3">
        <f>935.8+(297.6-265.2)+(-0.954516+(-0.303552--0.270504))+0-157.3--0.160446000000025</f>
        <v>810.07288200000005</v>
      </c>
      <c r="T287" s="3">
        <f>935+(356-327.4)+(-1.43055+(-0.54468--0.500922))+0-160--0.244800000000009</f>
        <v>802.37049200000013</v>
      </c>
      <c r="U287" s="3">
        <f>938.7+(294.5-273.8)+(0.957474+(0.30039-0.279276))+0-158-0.161160000000025</f>
        <v>802.21742800000004</v>
      </c>
      <c r="V287" s="3">
        <f>917.6+(324.8-256.9)+(0+(0-0))+0-162.1-0</f>
        <v>823.4</v>
      </c>
      <c r="W287" s="3">
        <f>1026.3+(344.4-298.4)+(-2.617065+(-0.87822--0.76092))+0-155--0.395249999999978</f>
        <v>914.96088499999996</v>
      </c>
      <c r="X287" s="3">
        <f>1040.8+(362.5-333.6)+(-2.65404+(-0.924375--0.85068))+0-159.3--0.406214999999977</f>
        <v>908.0784799999999</v>
      </c>
      <c r="Y287" s="3">
        <f>1043.2+(300.6-313.3)+(-1.064064+(-0.306612--0.319566))+0-146.3--0.149226000000023</f>
        <v>883.29811599999994</v>
      </c>
      <c r="Z287" s="3">
        <f>1046.1+(254.1-287.7)+(-1.067022+(-0.259182--0.293454))+0-157.9--0.161058000000025</f>
        <v>853.72830799999997</v>
      </c>
      <c r="AA287" s="3">
        <f>1057.4+(212.4-280.2)+(-1.617822+(-0.324972--0.428706))+0-161.8--0.247554000000009</f>
        <v>826.53346600000009</v>
      </c>
      <c r="AB287" s="3">
        <f>1057+(177.9-291.4)+(-0.53907+(-0.090729--0.148614))+0-161.2--0.0822119999999836</f>
        <v>781.90102700000011</v>
      </c>
      <c r="AC287" s="3">
        <f>998.1+(206.8-312.7)+(-2.545155+(-0.52734--0.797385))+0-162.8--0.415139999999976</f>
        <v>727.54003</v>
      </c>
      <c r="AD287">
        <f t="shared" si="4"/>
        <v>18813.305465000001</v>
      </c>
      <c r="AE287" s="3">
        <f>1046+(358-312.5)+(0+(0-0))+0-155.1-0</f>
        <v>936.4</v>
      </c>
    </row>
    <row r="288" spans="1:31" s="2" customFormat="1" x14ac:dyDescent="0.25">
      <c r="A288">
        <v>89</v>
      </c>
      <c r="B288">
        <v>10</v>
      </c>
      <c r="C288">
        <v>12</v>
      </c>
      <c r="D288">
        <v>2</v>
      </c>
      <c r="E288">
        <v>1</v>
      </c>
      <c r="F288" s="3">
        <f>876.2+(241.2-271.9)+(-1.340586+(-0.369036--0.416007))+0-159--0.243270000000009</f>
        <v>685.44965500000001</v>
      </c>
      <c r="G288" s="3">
        <f>875.1+(222.9-267.8)+(0+(0-0))+0-155.5-0</f>
        <v>674.7</v>
      </c>
      <c r="H288" s="3">
        <f>878.7+(205.7-274.5)+(-2.240685+(-0.524535--0.699975))+0-147.6--0.376379999999979</f>
        <v>660.61113499999999</v>
      </c>
      <c r="I288" s="3">
        <f>818+(218.8-228.2)+(1.25154+(0.334764-0.349146))+0-145.4-0.222462000000008</f>
        <v>664.214696</v>
      </c>
      <c r="J288" s="3">
        <f>815.1+(245.4-234.6)+(-1.662804+(-0.500616--0.478584))+0-157.3--0.320891999999993</f>
        <v>667.23605599999996</v>
      </c>
      <c r="K288" s="3">
        <f>816.2+(295.8-263.8)+(-0.416262+(-0.150858--0.134538))+0-156.4--0.0797639999999841</f>
        <v>691.447182</v>
      </c>
      <c r="L288" s="3">
        <f>814.7+(399.6-324.9)+(-0.830994+(-0.407592--0.331398))+0-153.2--0.156264000000024</f>
        <v>735.44907600000022</v>
      </c>
      <c r="M288" s="3">
        <f>814.7+(392.1-264.6)+(-0.415497+(-0.199971--0.134946))+0-157.4--0.080273999999984</f>
        <v>784.39975200000015</v>
      </c>
      <c r="N288" s="3">
        <f>838.8+(270.4-139.5)+(-0.427788+(-0.137904--0.071145))+0-154.2--0.0786419999999843</f>
        <v>815.08409499999993</v>
      </c>
      <c r="O288" s="3">
        <f>863.9+(247.8-137.2)+(-1.321767+(-0.379134--0.209916))+0-157.7--0.241281000000009</f>
        <v>815.550296</v>
      </c>
      <c r="P288" s="3">
        <f>853+(253.9-122.1)+(1.30509+(0.388467-0.186813))+0-161.2-0.246636000000009</f>
        <v>824.86010799999997</v>
      </c>
      <c r="Q288" s="3">
        <f>844.4+(255.5-119.8)+(-2.15322+(-0.651525--0.30549))+0-160.1--0.408254999999977</f>
        <v>817.90899999999988</v>
      </c>
      <c r="R288" s="3">
        <f>840+(240.7-112.9)+(-2.142+(-0.613785--0.287895))+0-154.1--0.392954999999978</f>
        <v>811.62506499999995</v>
      </c>
      <c r="S288" s="3">
        <f>839.4+(236.3-152)+(0+(0-0))+0-155.2-0</f>
        <v>768.5</v>
      </c>
      <c r="T288" s="3">
        <f>833.2+(239.1-159.8)+(-0.424932+(-0.121941--0.081498))+0-160--0.0815999999999838</f>
        <v>752.11622499999999</v>
      </c>
      <c r="U288" s="3">
        <f>796.8+(246-150.5)+(-2.03184+(-0.6273--0.383775))+0-143.6--0.366179999999979</f>
        <v>746.79081499999995</v>
      </c>
      <c r="V288" s="3">
        <f>838.8+(265.2-167.1)+(-2.13894+(-0.67626--0.426105))+0-153.1--0.390404999999978</f>
        <v>781.80130999999994</v>
      </c>
      <c r="W288" s="3">
        <f>841.3+(391.9-207.1)+(-2.145315+(-0.999345--0.528105))+0-158.4--0.403919999999977</f>
        <v>865.48736499999995</v>
      </c>
      <c r="X288" s="3">
        <f>854+(379.3-210)+(-2.61324+(-1.160658--0.6426))+0-157.6--0.482256000000018</f>
        <v>863.05095799999992</v>
      </c>
      <c r="Y288" s="3">
        <f>855.6+(331.9-197.2)+(-2.18178+(-0.846345--0.50286))+0-155.1--0.395504999999977</f>
        <v>833.0702399999999</v>
      </c>
      <c r="Z288" s="3">
        <f>857.3+(332.8-226.9)+(-1.311669+(-0.509184--0.347157))+0-159.8--0.244494000000009</f>
        <v>802.17079799999988</v>
      </c>
      <c r="AA288" s="3">
        <f>865.3+(275.5-193.4)+(0+(0-0))+0-163.2-0</f>
        <v>784.2</v>
      </c>
      <c r="AB288" s="3">
        <f>869+(243.3-213.2)+(-1.32957+(-0.372249--0.326196))+0-158.5--0.242505000000009</f>
        <v>739.46688200000006</v>
      </c>
      <c r="AC288" s="3">
        <f>870.1+(201.3-228)+(-1.775004+(-0.410652--0.46512))+0-155.1--0.316403999999993</f>
        <v>686.89586800000006</v>
      </c>
      <c r="AD288">
        <f t="shared" si="4"/>
        <v>18272.086576999998</v>
      </c>
      <c r="AE288" s="3">
        <f>864+(397.2-168.1)+(0+(0-0))+0-159.1-0</f>
        <v>933.99999999999989</v>
      </c>
    </row>
    <row r="289" spans="1:31" s="2" customFormat="1" x14ac:dyDescent="0.25">
      <c r="A289">
        <v>89</v>
      </c>
      <c r="B289">
        <v>10</v>
      </c>
      <c r="C289">
        <v>13</v>
      </c>
      <c r="D289">
        <v>3</v>
      </c>
      <c r="E289">
        <v>1</v>
      </c>
      <c r="F289" s="3">
        <f>869.5+(159.7-201.9)+(-1.77378+(-0.325788--0.411876))+0-143.6--0.292943999999994</f>
        <v>682.305252</v>
      </c>
      <c r="G289" s="3">
        <f>881+(141-209.3)+(-0.89862+(-0.14382--0.213486))+0-152.7--0.155754000000024</f>
        <v>659.32680000000016</v>
      </c>
      <c r="H289" s="3">
        <f>878.7+(142.4-222.5)+(-0.896274+(-0.145248--0.22695))+0-154.4--0.157488000000025</f>
        <v>643.5429160000001</v>
      </c>
      <c r="I289" s="3">
        <f>880.9+(142.5-224.5)+(-1.347777+(-0.218025--0.343485))+0-153.6--0.235008000000009</f>
        <v>644.31269099999997</v>
      </c>
      <c r="J289" s="3">
        <f>879.5+(131.2-203.2)+(1.345635+(0.200736-0.310896))+0-150.2-0.229806000000009</f>
        <v>658.30566899999985</v>
      </c>
      <c r="K289" s="3">
        <f>880.9+(165.1-218.6)+(0+(0-0))+0-147.3-0</f>
        <v>680.09999999999991</v>
      </c>
      <c r="L289" s="3">
        <f>883.9+(164.1-229.6)+(0+(0-0))+0-147.3-0</f>
        <v>671.09999999999991</v>
      </c>
      <c r="M289" s="3">
        <f>881+(247.4-246.9)+(-0.89862+(-0.252348--0.251838))+0-144.9--0.147798000000023</f>
        <v>735.84866800000009</v>
      </c>
      <c r="N289" s="3">
        <f>880.1+(254.5-189.8)+(-0.448851+(-0.129795--0.096798))+0-153.5--0.0782849999999844</f>
        <v>790.89643699999988</v>
      </c>
      <c r="O289" s="3">
        <f>869.3+(296.6-228.7)+(-0.886686+(-0.302532--0.233274))+0-147.4--0.150348000000024</f>
        <v>788.99440400000003</v>
      </c>
      <c r="P289" s="3">
        <f>862.5+(365-236)+(-1.7595+(-0.7446--0.48144))+0-161--0.328439999999993</f>
        <v>828.80578000000003</v>
      </c>
      <c r="Q289" s="3">
        <f>853.4+(371.6-266.5)+(-1.305702+(-0.568548--0.407745))+0-164.5--0.251685000000009</f>
        <v>792.78517999999997</v>
      </c>
      <c r="R289" s="3">
        <f>847+(380.5-244.1)+(-1.72788+(-0.77622--0.497964))+0-155.6--0.317423999999993</f>
        <v>826.11128799999994</v>
      </c>
      <c r="S289" s="3">
        <f>855.4+(351.4-254)+(-0.872508+(-0.358428--0.25908))+0-158.6--0.161772000000025</f>
        <v>793.38991599999997</v>
      </c>
      <c r="T289" s="3">
        <f>885.2+(320.8-272.7)+(-0.451452+(-0.163608--0.139077))+0-154--0.0785399999999844</f>
        <v>778.902557</v>
      </c>
      <c r="U289" s="3">
        <f>897.9+(286.6-257.6)+(-0.915858+(-0.292332--0.262752))+0-146.5--0.149430000000023</f>
        <v>779.60399200000006</v>
      </c>
      <c r="V289" s="3">
        <f>936.6+(284.1-272.7)+(-2.38833+(-0.724455--0.695385))+0-169.1--0.431204999999975</f>
        <v>776.91380499999991</v>
      </c>
      <c r="W289" s="3">
        <f>1045.9+(269.7-263.5)+(-2.667045+(-0.687735--0.671925))+0-158.3--0.403664999999977</f>
        <v>891.5208100000001</v>
      </c>
      <c r="X289" s="3">
        <f>1058.7+(277.7-285.8)+(-2.159748+(-0.566508--0.583032))+0-161.6--0.329663999999993</f>
        <v>887.18643999999995</v>
      </c>
      <c r="Y289" s="3">
        <f>1064.9+(248.4-289.4)+(-1.086198+(-0.253368--0.295188))+0-157.6--0.160752000000025</f>
        <v>865.41637400000002</v>
      </c>
      <c r="Z289" s="3">
        <f>1068.2+(259.1-330.7)+(-1.089564+(-0.264282--0.337314))+0-165--0.168300000000026</f>
        <v>830.7517680000002</v>
      </c>
      <c r="AA289" s="3">
        <f>1075.4+(241.5-349.7)+(0.548454+(0.123165-0.178347))+0-163.2-0.0832319999999834</f>
        <v>804.41004000000021</v>
      </c>
      <c r="AB289" s="3">
        <f>1061.9+(208.9-344.7)+(-1.624707+(-0.319617--0.527391))+0-163.2--0.249696000000009</f>
        <v>761.73276300000009</v>
      </c>
      <c r="AC289" s="3">
        <f>986+(229.3-346.9)+(-2.5143+(-0.584715--0.884595))+0-160.5--0.409274999999977</f>
        <v>706.09485500000005</v>
      </c>
      <c r="AD289">
        <f t="shared" si="4"/>
        <v>18278.358404999999</v>
      </c>
      <c r="AE289" s="3">
        <f>1073+(293.2-279)+(0+(0-0))+0-160.3-0</f>
        <v>926.90000000000009</v>
      </c>
    </row>
    <row r="290" spans="1:31" s="2" customFormat="1" x14ac:dyDescent="0.25">
      <c r="A290">
        <v>89</v>
      </c>
      <c r="B290">
        <v>10</v>
      </c>
      <c r="C290">
        <v>14</v>
      </c>
      <c r="D290">
        <v>4</v>
      </c>
      <c r="E290">
        <v>1</v>
      </c>
      <c r="F290" s="3">
        <f>986.3+(235.9-381.6)+(-2.012052+(-0.481236--0.778464))+0-162.3--0.331091999999993</f>
        <v>676.91626799999983</v>
      </c>
      <c r="G290" s="3">
        <f>1026.5+(242.1-451.8)+(-1.04703+(-0.246942--0.460836))+0-159.7--0.162894000000025</f>
        <v>656.42975799999999</v>
      </c>
      <c r="H290" s="3">
        <f>993+(251.1-435.4)+(0+(0-0))+0-162.3-0</f>
        <v>646.40000000000009</v>
      </c>
      <c r="I290" s="3">
        <f>960.7+(233.5-393.8)+(-0.979914+(-0.23817--0.401676))+0-160.9--0.164118000000026</f>
        <v>638.84771000000012</v>
      </c>
      <c r="J290" s="3">
        <f>962.4+(224.4-387.8)+(1.963296+(0.457776-0.791112))+0-161.8-0.330071999999993</f>
        <v>638.49988800000006</v>
      </c>
      <c r="K290" s="3">
        <f>969.3+(207.1-351)+(0.494343+(0.105621-0.17901))+0-162.1-0.0826709999999835</f>
        <v>663.638283</v>
      </c>
      <c r="L290" s="3">
        <f>1017.2+(188.4-328.8)+(-1.037544+(-0.192168--0.335376))+0-159.9--0.163098000000026</f>
        <v>716.16876200000013</v>
      </c>
      <c r="M290" s="3">
        <f>1027+(200.6-311.4)+(-1.57131+(-0.306918--0.476442))+0-158.7--0.242811000000009</f>
        <v>756.34102500000006</v>
      </c>
      <c r="N290" s="3">
        <f>887.8+(228.2-157.1)+(-0.905556+(-0.232764--0.160242))+0-161.9--0.165138000000026</f>
        <v>796.18706000000009</v>
      </c>
      <c r="O290" s="3">
        <f>890.8+(287-203.8)+(-0.908616+(-0.29274--0.207876))+0-169.7--0.173094000000027</f>
        <v>803.47961400000008</v>
      </c>
      <c r="P290" s="3">
        <f>974.5+(286-282.1)+(-0.496995+(-0.14586--0.143871))+0-168.1--0.0857309999999829</f>
        <v>809.88674700000001</v>
      </c>
      <c r="Q290" s="3">
        <f>1018.7+(296.1-331.2)+(-2.078148+(-0.604044--0.675648))+0-166.3--0.339251999999993</f>
        <v>815.63270800000009</v>
      </c>
      <c r="R290" s="3">
        <f>1012.2+(288.7-325.1)+(-1.032444+(-0.294474--0.331602))+0-161.9--0.165138000000026</f>
        <v>813.06982200000004</v>
      </c>
      <c r="S290" s="3">
        <f>993+(288.9-309.4)+(-1.01286+(-0.294678--0.315588))+0-159.4--0.162588000000025</f>
        <v>812.27063800000008</v>
      </c>
      <c r="T290" s="3">
        <f>981.5+(285.1-318.6)+(-0.500565+(-0.145401--0.162486))+0-145.9--0.0744089999999852</f>
        <v>801.69092899999998</v>
      </c>
      <c r="U290" s="3">
        <f>972.6+(257.7-303)+(0+(0-0))+0-141.6-0</f>
        <v>785.69999999999993</v>
      </c>
      <c r="V290" s="3">
        <f>964.7+(302.2-304.1)+(-1.967988+(-0.616488--0.620364))+0-145.6--0.297023999999994</f>
        <v>815.5329119999999</v>
      </c>
      <c r="W290" s="3">
        <f>1017.2+(402.3-353.7)+(0+(0-0))+0-156.3-0</f>
        <v>909.50000000000023</v>
      </c>
      <c r="X290" s="3">
        <f>1037.9+(382.4-361.4)+(-1.058658+(-0.390048--0.368628))+0-152.5--0.155550000000024</f>
        <v>905.4754720000002</v>
      </c>
      <c r="Y290" s="3">
        <f>1036.1+(355.8-363.9)+(-0.528411+(-0.181458--0.185589))+0-151.1--0.0770609999999847</f>
        <v>876.45278099999985</v>
      </c>
      <c r="Z290" s="3">
        <f>1044.7+(328.6-376.6)+(-2.663985+(-0.83793--0.96033))+0-154.9--0.394994999999978</f>
        <v>839.65341000000001</v>
      </c>
      <c r="AA290" s="3">
        <f>1044.2+(342.3-412.8)+(0+(0-0))+0-158.1-0</f>
        <v>815.6</v>
      </c>
      <c r="AB290" s="3">
        <f>1048.7+(317.9-432)+(-0.534837+(-0.162129--0.22032))+0-164.2--0.0837419999999833</f>
        <v>770.00709600000005</v>
      </c>
      <c r="AC290" s="3">
        <f>1051.5+(276.3-441.6)+(-1.608795+(-0.422739--0.675648))+0-162.3--0.248319000000009</f>
        <v>722.79243300000007</v>
      </c>
      <c r="AD290">
        <f t="shared" si="4"/>
        <v>18486.173316000004</v>
      </c>
      <c r="AE290" s="3">
        <f>1049+(404.3-371.2)+(0+(0-0))+0-155.4-0</f>
        <v>926.69999999999993</v>
      </c>
    </row>
    <row r="291" spans="1:31" s="2" customFormat="1" x14ac:dyDescent="0.25">
      <c r="A291">
        <v>89</v>
      </c>
      <c r="B291">
        <v>10</v>
      </c>
      <c r="C291">
        <v>15</v>
      </c>
      <c r="D291">
        <v>5</v>
      </c>
      <c r="E291">
        <v>1</v>
      </c>
      <c r="F291" s="3">
        <f>1054.5+(284.9-481)+(-2.15118+(-0.581196--0.98124))+0-168.9--0.344555999999993</f>
        <v>688.09342000000004</v>
      </c>
      <c r="G291" s="3">
        <f>1053.6+(248-466.9)+(-1.074672+(-0.25296--0.476238))+0-168.7--0.172074000000027</f>
        <v>665.32068000000004</v>
      </c>
      <c r="H291" s="3">
        <f>1019.4+(237.5-433.3)+(-0.519894+(-0.121125--0.220983))+0-169.4--0.0863939999999828</f>
        <v>653.86635799999988</v>
      </c>
      <c r="I291" s="3">
        <f>933.5+(255.4-362.2)+(-0.476085+(-0.130254--0.184722))+0-168.8--0.0860879999999829</f>
        <v>657.56447100000014</v>
      </c>
      <c r="J291" s="3">
        <f>977.6+(288.1-434.9)+(-0.498576+(-0.146931--0.221799))+0-166.1--0.0847109999999831</f>
        <v>664.36100299999998</v>
      </c>
      <c r="K291" s="3">
        <f>1001.4+(303.2-453.3)+(-1.021428+(-0.309264--0.462366))+0-161.5--0.164730000000026</f>
        <v>689.09640400000001</v>
      </c>
      <c r="L291" s="3">
        <f>1001.1+(308.1-409.6)+(-1.021122+(-0.314262--0.417792))+1.8-166.6--0.169932000000027</f>
        <v>734.05233999999996</v>
      </c>
      <c r="M291" s="3">
        <f>999.9+(332-368)+(-1.019898+(-0.33864--0.37536))+7-171.3--0.174726000000027</f>
        <v>798.79154800000003</v>
      </c>
      <c r="N291" s="3">
        <f>1014.6+(319.9-332.2)+(-2.069784+(-0.652596--0.677688))+1.3-173.3--0.353531999999992</f>
        <v>828.60883999999976</v>
      </c>
      <c r="O291" s="3">
        <f>1045.4+(314-344.5)+(-0.533154+(-0.16014--0.175695))+0-172.5--0.0879749999999825</f>
        <v>841.9703760000001</v>
      </c>
      <c r="P291" s="3">
        <f>1025.3+(307.3-325.1)+(-0.522903+(-0.156723--0.165801))+0-172.9--0.0881789999999825</f>
        <v>834.17435399999999</v>
      </c>
      <c r="Q291" s="3">
        <f>1007+(318.1-310.7)+(-0.51357+(-0.162231--0.158457))+0-169--0.0861899999999829</f>
        <v>844.9688460000001</v>
      </c>
      <c r="R291" s="3">
        <f>1003.2+(301-306.8)+(-1.023264+(-0.30702--0.312936))+0-165.5--0.168810000000026</f>
        <v>831.05146200000013</v>
      </c>
      <c r="S291" s="3">
        <f>1006+(293.3-308.8)+(-1.53918+(-0.448749--0.472464))+0-166.5--0.25474500000001</f>
        <v>822.73928000000001</v>
      </c>
      <c r="T291" s="3">
        <f>998.7+(278.3-298.5)+(-1.018674+(-0.283866--0.30447))+0-166.2--0.169524000000026</f>
        <v>811.47145400000011</v>
      </c>
      <c r="U291" s="3">
        <f>976.6+(283.6-288.4)+(2.49033+(0.72318-0.73542))+0-160-0.407999999999977</f>
        <v>813.87009</v>
      </c>
      <c r="V291" s="3">
        <f>987.7+(294.4-279.9)+(-1.511181+(-0.450432--0.428247))+0-159.1--0.243423000000009</f>
        <v>841.81005700000003</v>
      </c>
      <c r="W291" s="3">
        <f>998.1+(351.2-265.2)+(0.509031+(0.179112-0.135252))+0-170.6-0.0870059999999827</f>
        <v>913.96588499999996</v>
      </c>
      <c r="X291" s="3">
        <f>970.6+(377.2-273.9)+(-1.980024+(-0.769488--0.558756))+0-164.8--0.336191999999993</f>
        <v>907.24543600000015</v>
      </c>
      <c r="Y291" s="3">
        <f>1068.2+(320-332.2)+(-1.634346+(-0.4896--0.508266))+0-171.1--0.26178300000001</f>
        <v>883.5461029999999</v>
      </c>
      <c r="Z291" s="3">
        <f>1077.4+(325-377.9)+(-0.549474+(-0.16575--0.192729))+0-172.5--0.0879749999999825</f>
        <v>851.56547999999998</v>
      </c>
      <c r="AA291" s="3">
        <f>1081.7+(343.7-425.6)+(-1.655001+(-0.525861--0.651168))+0-168.9--0.25841700000001</f>
        <v>829.62872300000004</v>
      </c>
      <c r="AB291" s="3">
        <f>1090.1+(335.7-464.5)+(-2.779755+(-0.856035--1.184475))+0-168.6--0.429929999999976</f>
        <v>790.67861499999992</v>
      </c>
      <c r="AC291" s="3">
        <f>1092.7+(268.5-454.2)+(-2.786385+(-0.684675--1.15821))+0-172.4--0.439619999999975</f>
        <v>732.72676999999999</v>
      </c>
      <c r="AD291">
        <f t="shared" si="4"/>
        <v>18931.167995000007</v>
      </c>
      <c r="AE291" s="3">
        <f>941+(383.8-215.9)+(0+(0-0))+0-164.6-0</f>
        <v>944.30000000000007</v>
      </c>
    </row>
    <row r="292" spans="1:31" s="2" customFormat="1" x14ac:dyDescent="0.25">
      <c r="A292">
        <v>89</v>
      </c>
      <c r="B292">
        <v>10</v>
      </c>
      <c r="C292">
        <v>16</v>
      </c>
      <c r="D292">
        <v>6</v>
      </c>
      <c r="E292">
        <v>1</v>
      </c>
      <c r="F292" s="3">
        <f>1093.4+(294.7-518.6)+(-1.115268+(-0.300594--0.528972))+0-172.8--0.176256000000028</f>
        <v>695.98936600000013</v>
      </c>
      <c r="G292" s="3">
        <f>1098+(274-524.8)+(-1.67994+(-0.41922--0.802944))+0-170.9--0.26147700000001</f>
        <v>675.26526100000012</v>
      </c>
      <c r="H292" s="3">
        <f>1093.9+(255.3-508.1)+(-2.231556+(-0.520812--1.036524))+0-171.2--0.349247999999993</f>
        <v>668.53340400000025</v>
      </c>
      <c r="I292" s="3">
        <f>1127.2+(255.2-549)+(-1.724616+(-0.390456--0.83997))+0-169.8--0.25979400000001</f>
        <v>662.58469200000013</v>
      </c>
      <c r="J292" s="3">
        <f>1135.2+(246.8-547.7)+(-0.578952+(-0.125868--0.279327))+0-170.7--0.0870569999999827</f>
        <v>663.26156399999991</v>
      </c>
      <c r="K292" s="3">
        <f>1139.6+(220.6-514)+(0+(0-0))+0-167.8-0</f>
        <v>678.39999999999986</v>
      </c>
      <c r="L292" s="3">
        <f>1150.6+(202.7-471.1)+(-0.586806+(-0.103377--0.240261))+0-157.7--0.080426999999984</f>
        <v>724.13050499999974</v>
      </c>
      <c r="M292" s="3">
        <f>1154.2+(227.6-434.7)+(0+(0-0))+0-162.1-0</f>
        <v>785</v>
      </c>
      <c r="N292" s="3">
        <f>1119.3+(261.8-389.6)+(-0.570843+(-0.133518--0.198696))+0-171.8--0.0876179999999826</f>
        <v>819.28195299999993</v>
      </c>
      <c r="O292" s="3">
        <f>1114.1+(286-390)+(-1.136382+(-0.29172--0.3978))+0-172.2--0.175644000000027</f>
        <v>837.04534200000001</v>
      </c>
      <c r="P292" s="3">
        <f>1124.6+(305.6-431)+(0+(0-0))+0-163.6-0</f>
        <v>835.59999999999991</v>
      </c>
      <c r="Q292" s="3">
        <f>1117.7+(244-365.5)+(-1.140054+(-0.24888--0.37281))+0-157.9--0.161058000000025</f>
        <v>837.4449340000001</v>
      </c>
      <c r="R292" s="3">
        <f>1105.9+(229.3-354.7)+(-3.384054+(-0.701658--1.085382))+0-163.5--0.500310000000019</f>
        <v>814.49998000000016</v>
      </c>
      <c r="S292" s="3">
        <f>1103.8+(219-364.4)+(-1.688814+(-0.33507--0.557532))+0-168.1--0.25719300000001</f>
        <v>789.09084099999995</v>
      </c>
      <c r="T292" s="3">
        <f>1099.2+(218-372.3)+(-1.121184+(-0.22236--0.379746))+0-164.6--0.167892000000026</f>
        <v>779.50409400000012</v>
      </c>
      <c r="U292" s="3">
        <f>1095.5+(223.8-376.4)+(0+(0-0))+0-159.2-0</f>
        <v>783.7</v>
      </c>
      <c r="V292" s="3">
        <f>1131.2+(228.6-387.6)+(-1.153824+(-0.233172--0.395352))+0-157.6--0.160752000000025</f>
        <v>813.76910800000007</v>
      </c>
      <c r="W292" s="3">
        <f>1210+(256.7-410.2)+(0+(0-0))+0-153.9-0</f>
        <v>902.6</v>
      </c>
      <c r="X292" s="3">
        <f>1257.3+(227.3-430.6)+(-3.206115+(-0.579615--1.09803))+0-155.8--0.397289999999977</f>
        <v>895.90959000000009</v>
      </c>
      <c r="Y292" s="3">
        <f>1262.1+(192.9-428.9)+(-1.931013+(-0.295137--0.656217))+0-150.3--0.229959000000009</f>
        <v>874.46002599999997</v>
      </c>
      <c r="Z292" s="3">
        <f>1267.5+(172-443.4)+(-0.646425+(-0.08772--0.226134))+0-153.2--0.0781319999999845</f>
        <v>842.47012099999995</v>
      </c>
      <c r="AA292" s="3">
        <f>1276.8+(161.2-459.2)+(-1.302336+(-0.164424--0.468384))+0-154.7--0.157794000000025</f>
        <v>823.25941799999998</v>
      </c>
      <c r="AB292" s="3">
        <f>1285.3+(161.9-499.3)+(-0.655503+(-0.082569--0.254643))+0-163.4--0.0833339999999834</f>
        <v>784.09990500000004</v>
      </c>
      <c r="AC292" s="3">
        <f>1286.5+(154.8-536.1)+(-1.968345+(-0.236844--0.820233))+0-159.7--0.244341000000009</f>
        <v>744.35938500000009</v>
      </c>
      <c r="AD292">
        <f t="shared" si="4"/>
        <v>18730.259489</v>
      </c>
      <c r="AE292" s="3">
        <f>1249+(240.4-397.7)+(0+(0-0))+0-147-0</f>
        <v>944.7</v>
      </c>
    </row>
    <row r="293" spans="1:31" s="2" customFormat="1" x14ac:dyDescent="0.25">
      <c r="A293">
        <v>89</v>
      </c>
      <c r="B293">
        <v>10</v>
      </c>
      <c r="C293">
        <v>17</v>
      </c>
      <c r="D293">
        <v>7</v>
      </c>
      <c r="E293">
        <v>1</v>
      </c>
      <c r="F293" s="3">
        <f>1272.6+(164.5-563.8)+(-0.649026+(-0.083895--0.287538))+0-168--0.085679999999983</f>
        <v>704.94029699999999</v>
      </c>
      <c r="G293" s="3">
        <f>1299.2+(174.6-623.8)+(-1.987776+(-0.267138--0.954414))+0-167.9--0.25688700000001</f>
        <v>681.05638700000009</v>
      </c>
      <c r="H293" s="3">
        <f>1290.9+(168.3-630.1)+(0+(0-0))+0-165.5-0</f>
        <v>663.60000000000014</v>
      </c>
      <c r="I293" s="3">
        <f>1280.9+(171.5-622)+(0.653259+(0.087465-0.31722))+0-167.9-0.085628999999983</f>
        <v>662.83787500000017</v>
      </c>
      <c r="J293" s="3">
        <f>1275.4+(163.7-612.3)+(-1.300908+(-0.166974--0.624546))+0-168.6--0.171972000000027</f>
        <v>657.52863600000012</v>
      </c>
      <c r="K293" s="3">
        <f>1268.9+(148.5-569.9)+(0.647139+(0.075735-0.290649))+0-167.6-0.085475999999983</f>
        <v>680.24674900000014</v>
      </c>
      <c r="L293" s="3">
        <f>1263.3+(165.9-548.5)+(-3.221415+(-0.423045--1.398675))+0-163.6--0.417179999999976</f>
        <v>715.27139499999998</v>
      </c>
      <c r="M293" s="3">
        <f>1266.9+(179.7-521.8)+(0+(0-0))+0-164.5-0</f>
        <v>760.30000000000018</v>
      </c>
      <c r="N293" s="3">
        <f>1273.5+(177.8-478.4)+(0+(0-0))+0-174.8-0</f>
        <v>798.10000000000014</v>
      </c>
      <c r="O293" s="3">
        <f>1287.6+(177.5-474.4)+(2.626704+(0.3621-0.967776))+0-167.4-0.341495999999993</f>
        <v>824.97953199999995</v>
      </c>
      <c r="P293" s="3">
        <f>1293.8+(169.5-458.2)+(-1.979514+(-0.259335--0.701046))+0-170.1--0.26025300000001</f>
        <v>833.72244999999987</v>
      </c>
      <c r="Q293" s="3">
        <f>1292.1+(175.3-459.7)+(-0.658971+(-0.089403--0.234447))+0-169.2--0.0862919999999828</f>
        <v>838.07236499999999</v>
      </c>
      <c r="R293" s="3">
        <f>1310.1+(182.5-491.3)+(-2.004453+(-0.279225--0.751689))+0-166--0.25398000000001</f>
        <v>834.02199099999996</v>
      </c>
      <c r="S293" s="3">
        <f>1311.6+(172.9-502.9)+(-1.337832+(-0.176358--0.512958))+0-163.2--0.166464000000026</f>
        <v>817.56523200000004</v>
      </c>
      <c r="T293" s="3">
        <f>1310.9+(176.9-509.3)+(1.337118+(0.180438-0.519486))+0-165.9-0.169218000000026</f>
        <v>813.42885200000012</v>
      </c>
      <c r="U293" s="3">
        <f>1308.4+(180.1-509.3)+(0+(0-0))+0-165.4-0</f>
        <v>813.80000000000007</v>
      </c>
      <c r="V293" s="3">
        <f>1307.3+(192.3-490.8)+(-4.000338+(-0.588438--1.501848))+0-171.6--0.52509600000002</f>
        <v>834.63816800000006</v>
      </c>
      <c r="W293" s="3">
        <f>1313.9+(220.1-436.3)+(-0.670089+(-0.112251--0.222513))+0-171.5--0.0874649999999826</f>
        <v>925.72763799999996</v>
      </c>
      <c r="X293" s="3">
        <f>1319.4+(276.5-515.3)+(-2.018682+(-0.423045--0.788409))+0-164.7--0.25199100000001</f>
        <v>914.49867300000017</v>
      </c>
      <c r="Y293" s="3">
        <f>1322.5+(312-587.1)+(0+(0-0))+0-156.2-0</f>
        <v>891.2</v>
      </c>
      <c r="Z293" s="3">
        <f>1335.7+(324.6-630.5)+(-2.724828+(-0.662184--1.28622))+0-167.5--0.341699999999993</f>
        <v>860.54090800000017</v>
      </c>
      <c r="AA293" s="3">
        <f>1332.3+(337.7-658.5)+(-0.679473+(-0.172227--0.335835))+0-172.8--0.0881279999999825</f>
        <v>838.27226299999995</v>
      </c>
      <c r="AB293" s="3">
        <f>1246.7+(362.3-638.2)+(-0.635817+(-0.184773--0.325482))+0-171--0.0872099999999826</f>
        <v>799.39210200000002</v>
      </c>
      <c r="AC293" s="3">
        <f>1156.5+(393.1-633.4)+(-1.769445+(-0.601443--0.969102))+0-162.1--0.248013000000009</f>
        <v>752.94622700000002</v>
      </c>
      <c r="AD293">
        <f t="shared" si="4"/>
        <v>18916.687740000005</v>
      </c>
      <c r="AE293" s="3">
        <f>1315+(268.8-496.2)+(0+(0-0))+0-170.4-0</f>
        <v>917.19999999999993</v>
      </c>
    </row>
    <row r="294" spans="1:31" s="2" customFormat="1" x14ac:dyDescent="0.25">
      <c r="A294">
        <v>89</v>
      </c>
      <c r="B294">
        <v>10</v>
      </c>
      <c r="C294">
        <v>18</v>
      </c>
      <c r="D294">
        <v>1</v>
      </c>
      <c r="E294">
        <v>1</v>
      </c>
      <c r="F294" s="3">
        <f>1145.2+(411.8-681.6)+(-2.92026+(-1.05009--1.73808))+0-162.7--0.414884999999976</f>
        <v>710.8826150000001</v>
      </c>
      <c r="G294" s="3">
        <f>1188.9+(393.7-727.4)+(-1.212678+(-0.401574--0.741948))+0-167.1--0.170442000000027</f>
        <v>687.39813800000002</v>
      </c>
      <c r="H294" s="3">
        <f>1311.6+(344.6-828.2)+(-3.34458+(-0.87873--2.11191))+0-166.1--0.423554999999976</f>
        <v>660.21215499999983</v>
      </c>
      <c r="I294" s="3">
        <f>1279.8+(356.9-801.7)+(-1.305396+(-0.364038--0.817734))+0-165.3--0.168606000000026</f>
        <v>669.01690599999995</v>
      </c>
      <c r="J294" s="3">
        <f>1273.4+(386-822.4)+(-0.649434+(-0.19686--0.419424))+0-162.8--0.0830279999999835</f>
        <v>673.85615800000005</v>
      </c>
      <c r="K294" s="3">
        <f>1274.2+(331.6-751.7)+(-1.299684+(-0.338232--0.766734))+0-166.1--0.169422000000026</f>
        <v>687.29824000000008</v>
      </c>
      <c r="L294" s="3">
        <f>1272.2+(326.7-695.6)+(-0.648822+(-0.166617--0.354756))+0-166.3--0.0848129999999831</f>
        <v>736.62412999999992</v>
      </c>
      <c r="M294" s="3">
        <f>1273.8+(316.2-629.3)+(0.649638+(0.161262-0.320943))+0-171.8-0.0876179999999826</f>
        <v>789.30233900000007</v>
      </c>
      <c r="N294" s="3">
        <f>1290.4+(315.8-609.5)+(0+(0-0))+0-169-0</f>
        <v>827.7</v>
      </c>
      <c r="O294" s="3">
        <f>1315+(310.4-614.6)+(-0.67065+(-0.158304--0.313446))+0-164.3--0.0837929999999833</f>
        <v>846.06828500000006</v>
      </c>
      <c r="P294" s="3">
        <f>1291.3+(308-575.6)+(-1.317126+(-0.31416--0.587112))+0-164.7--0.167994000000026</f>
        <v>858.12381999999991</v>
      </c>
      <c r="Q294" s="3">
        <f>1282.6+(313-567.8)+(-0.654126+(-0.15963--0.289578))+0-166.3--0.0848129999999831</f>
        <v>861.06063500000005</v>
      </c>
      <c r="R294" s="3">
        <f>1277.8+(307.1-584.5)+(-0.651678+(-0.156621--0.298095))+0-161.7--0.0824669999999836</f>
        <v>838.27226299999984</v>
      </c>
      <c r="S294" s="3">
        <f>1276+(297.3-584)+(-1.30152+(-0.303246--0.59568))+0-156.8--0.159936000000025</f>
        <v>831.65084999999999</v>
      </c>
      <c r="T294" s="3">
        <f>1281.6+(298.6-598.7)+(-1.307232+(-0.304572--0.610674))+0-158.2--0.161364000000025</f>
        <v>822.4602339999999</v>
      </c>
      <c r="U294" s="3">
        <f>1282.5+(296.9-605.9)+(0+(0-0))+0-152.4-0</f>
        <v>821.1</v>
      </c>
      <c r="V294" s="3">
        <f>1289.3+(296.1-591.3)+(0+(0-0))+0-148.8-0</f>
        <v>845.3</v>
      </c>
      <c r="W294" s="3">
        <f>1313.1+(333.3-564.9)+(1.339362+(0.339966-0.576198))+0-154.6-0.157692000000025</f>
        <v>927.84543799999994</v>
      </c>
      <c r="X294" s="3">
        <f>1320+(323.8-557.2)+(-2.0196+(-0.495414--0.852516))+0-161--0.246330000000009</f>
        <v>924.18383200000005</v>
      </c>
      <c r="Y294" s="3">
        <f>1322.4+(333.1-602.2)+(-2.697696+(-0.679524--1.228488))+0-162--0.330479999999993</f>
        <v>889.48174800000004</v>
      </c>
      <c r="Z294" s="3">
        <f>1322.2+(352.8-654.3)+(-1.348644+(-0.359856--0.667386))+0-163.5--0.166770000000026</f>
        <v>856.32565600000009</v>
      </c>
      <c r="AA294" s="3">
        <f>1322.1+(367.8-689.5)+(-1.348542+(-0.375156--0.70329))+0-168.1--0.171462000000027</f>
        <v>831.45105399999989</v>
      </c>
      <c r="AB294" s="3">
        <f>1325.8+(372.8-741.6)+(-0.676158+(-0.190128--0.378216))+0-170.3--0.0868529999999827</f>
        <v>786.29878299999996</v>
      </c>
      <c r="AC294" s="3">
        <f>1206.2+(398-691.6)+(-2.460648+(-0.81192--1.410864))+0-164.4--0.335375999999993</f>
        <v>746.67367200000001</v>
      </c>
      <c r="AD294">
        <f t="shared" si="4"/>
        <v>19128.586951000001</v>
      </c>
      <c r="AE294" s="3">
        <f>1331+(331-545.3)+(0+(0-0))+0-157.8-0</f>
        <v>958.90000000000009</v>
      </c>
    </row>
    <row r="295" spans="1:31" s="2" customFormat="1" x14ac:dyDescent="0.25">
      <c r="A295">
        <v>89</v>
      </c>
      <c r="B295">
        <v>10</v>
      </c>
      <c r="C295">
        <v>19</v>
      </c>
      <c r="D295">
        <v>2</v>
      </c>
      <c r="E295">
        <v>1</v>
      </c>
      <c r="F295" s="3">
        <f>1201.8+(375.7-692.4)+(-1.838754+(-0.574821--1.059372))+0-170.2--0.26040600000001</f>
        <v>713.80620299999998</v>
      </c>
      <c r="G295" s="3">
        <f>1202.4+(390.1-729.3)+(-3.679344+(-1.193706--2.231658))+0-169.6--0.51897600000002</f>
        <v>691.47758400000021</v>
      </c>
      <c r="H295" s="3">
        <f>1116.5+(395.8-663.6)+(0.569415+(0.201858-0.338436))+0-167.3-0.085322999999983</f>
        <v>681.74751399999991</v>
      </c>
      <c r="I295" s="3">
        <f>1115.6+(400-669)+(-1.706868+(-0.612--1.02357))+0-167.1--0.25566300000001</f>
        <v>678.46036499999991</v>
      </c>
      <c r="J295" s="3">
        <f>1112.1+(385.5-647.2)+(1.134342+(0.39321-0.660144))+0-165.3-0.168606000000026</f>
        <v>685.79880199999968</v>
      </c>
      <c r="K295" s="3">
        <f>1114.4+(375.5-618.2)+(-1.136688+(-0.38301--0.630564))+0-163.4--0.166668000000026</f>
        <v>707.57753400000013</v>
      </c>
      <c r="L295" s="3">
        <f>1113.6+(338.8-546)+(-2.271744+(-0.691152--1.11384))+0-159.7--0.325787999999993</f>
        <v>745.17673199999979</v>
      </c>
      <c r="M295" s="3">
        <f>1182.7+(369.7-570.5)+(-1.809531+(-0.565641--0.872865))+0-159.8--0.244494000000009</f>
        <v>820.84218700000019</v>
      </c>
      <c r="N295" s="3">
        <f>1177.1+(395.5-558.9)+(0.600321+(0.201705-0.285039))+0-156.3-0.0797129999999841</f>
        <v>857.83727399999987</v>
      </c>
      <c r="O295" s="3">
        <f>1138+(423.5-537.1)+(-0.58038+(-0.215985--0.273921))+0-159.6--0.0813959999999838</f>
        <v>864.35895200000004</v>
      </c>
      <c r="P295" s="3">
        <f>1110.4+(443.3-530)+(0+(0-0))+0-166.2-0</f>
        <v>857.5</v>
      </c>
      <c r="Q295" s="3">
        <f>1107.7+(412.6-504.1)+(0+(0-0))+0-151.7-0</f>
        <v>864.5</v>
      </c>
      <c r="R295" s="3">
        <f>1100.7+(415.5-506.5)+(-2.245428+(-0.84762--1.03326))+0-155.1--0.316403999999993</f>
        <v>852.85661600000003</v>
      </c>
      <c r="S295" s="3">
        <f>1122.6+(398.1-517.3)+(-1.145052+(-0.406062--0.527646))+0-165.7--0.169014000000026</f>
        <v>836.84554600000001</v>
      </c>
      <c r="T295" s="3">
        <f>1192.1+(367.4-572.2)+(-2.431884+(-0.749496--1.167288))+0-168.1--0.342923999999993</f>
        <v>817.52883199999985</v>
      </c>
      <c r="U295" s="3">
        <f>1286.5+(398.4-696.2)+(0+(0-0))+0-163.3-0</f>
        <v>825.39999999999986</v>
      </c>
      <c r="V295" s="3">
        <f>1291.2+(367.9-631.3)+(0+(0-0))+0-166.8-0</f>
        <v>861.00000000000023</v>
      </c>
      <c r="W295" s="3">
        <f>1296.5+(382.1-568.7)+(0+(0-0))+0-174.2-0</f>
        <v>935.7</v>
      </c>
      <c r="X295" s="3">
        <f>1303.9+(349-544.9)+(-1.994967+(-0.53397--0.833697))+0-171.5--0.26239500000001</f>
        <v>935.06715499999996</v>
      </c>
      <c r="Y295" s="3">
        <f>1305.3+(333.3-559)+(-1.997109+(-0.509949--0.85527))+0-169.4--0.25918200000001</f>
        <v>908.80739400000004</v>
      </c>
      <c r="Z295" s="3">
        <f>1298.8+(335.2-583.4)+(-1.324776+(-0.341904--0.595068))+0-172--0.175440000000027</f>
        <v>877.70382799999993</v>
      </c>
      <c r="AA295" s="3">
        <f>1307.1+(357.3-638.8)+(-1.333242+(-0.364446--0.651576))+0-172.4--0.175848000000027</f>
        <v>852.32973599999991</v>
      </c>
      <c r="AB295" s="3">
        <f>1312.3+(345.8-668.2)+(-2.677092+(-0.705432--1.363128))+0-170.7--0.348227999999993</f>
        <v>817.52883199999985</v>
      </c>
      <c r="AC295" s="3">
        <f>1302.6+(337.5-703.7)+(-0.664326+(-0.172125--0.358887))+0-167.8--0.085577999999983</f>
        <v>768.20801399999982</v>
      </c>
      <c r="AD295">
        <f t="shared" si="4"/>
        <v>19458.059099999999</v>
      </c>
      <c r="AE295" s="3">
        <f>1311+(358-531.1)+(0+(0-0))+0-166.2-0</f>
        <v>971.7</v>
      </c>
    </row>
    <row r="296" spans="1:31" s="2" customFormat="1" x14ac:dyDescent="0.25">
      <c r="A296">
        <v>89</v>
      </c>
      <c r="B296">
        <v>10</v>
      </c>
      <c r="C296">
        <v>20</v>
      </c>
      <c r="D296">
        <v>3</v>
      </c>
      <c r="E296">
        <v>1</v>
      </c>
      <c r="F296" s="3">
        <f>1261.7+(355.6-725.8)+(-1.930401+(-0.544068--1.110474))+0-167.5--0.25627500000001</f>
        <v>722.89228000000003</v>
      </c>
      <c r="G296" s="3">
        <f>1215.6+(366.3-717.8)+(-1.859868+(-0.560439--1.098234))+0-164.5--0.251685000000009</f>
        <v>698.52961199999982</v>
      </c>
      <c r="H296" s="3">
        <f>1217.2+(352.3-724.7)+(1.862316+(0.539019-1.108791))+0-164.4-0.25153200000001</f>
        <v>681.441012</v>
      </c>
      <c r="I296" s="3">
        <f>1170.8+(347.1-682.2)+(-1.194216+(-0.354042--0.695844))+0-164.6--0.167892000000026</f>
        <v>670.41547800000001</v>
      </c>
      <c r="J296" s="3">
        <f>1145.2+(312.8-620.9)+(-1.168104+(-0.319056--0.633318))+0-161.5--0.164730000000026</f>
        <v>674.91088800000023</v>
      </c>
      <c r="K296" s="3">
        <f>1147.4+(282.2-576.1)+(0+(0-0))+0-160.9-0</f>
        <v>692.6</v>
      </c>
      <c r="L296" s="3">
        <f>1144.3+(272.4-517.4)+(-0.583593+(-0.138924--0.263874))+0-160.1--0.0816509999999838</f>
        <v>738.82300799999985</v>
      </c>
      <c r="M296" s="3">
        <f>1147.7+(376.5-555.1)+(1.170654+(0.38403-0.566202))+0-161.2-0.164424000000026</f>
        <v>808.72405800000001</v>
      </c>
      <c r="N296" s="3">
        <f>1142.9+(430.8-567.9)+(0+(0-0))+0-164.9-0</f>
        <v>840.9000000000002</v>
      </c>
      <c r="O296" s="3">
        <f>1148.9+(420.3-558.6)+(0+(0-0))+0-166.7-0</f>
        <v>843.90000000000009</v>
      </c>
      <c r="P296" s="3">
        <f>1156+(393.8-541.9)+(-1.17912+(-0.401676--0.552738))+0-169.3--0.172686000000027</f>
        <v>837.74462800000003</v>
      </c>
      <c r="Q296" s="3">
        <f>1154.8+(388.6-532.9)+(-0.588948+(-0.198186--0.271779))+0-170.8--0.0871079999999827</f>
        <v>839.27175299999999</v>
      </c>
      <c r="R296" s="3">
        <f>1164.1+(355.9-526.2)+(-4.155837+(-1.270563--1.878534))+0-170.9--0.610113000000002</f>
        <v>819.96224699999982</v>
      </c>
      <c r="S296" s="3">
        <f>1173.2+(327.6-526.9)+(-0.598332+(-0.167076--0.268719))+0-160.6--0.0819059999999837</f>
        <v>812.88521700000013</v>
      </c>
      <c r="T296" s="3">
        <f>1175.4+(312.3-524.2)+(0+(0-0))+0-162.4-0</f>
        <v>801.1</v>
      </c>
      <c r="U296" s="3">
        <f>1207.3+(270.6-516.3)+(0+(0-0))+0-158.1-0</f>
        <v>803.5</v>
      </c>
      <c r="V296" s="3">
        <f>1233.1+(269.2-504.3)+(-3.144405+(-0.68646--1.285965))+0-161.6--0.412079999999977</f>
        <v>834.26717999999983</v>
      </c>
      <c r="W296" s="3">
        <f>1277.4+(318.3-507.7)+(0+(0-0))+0-164.3-0</f>
        <v>923.7</v>
      </c>
      <c r="X296" s="3">
        <f>1295.5+(299.9-504)+(-2.64282+(-0.611796--1.02816))+0-155.1--0.316403999999993</f>
        <v>934.389948</v>
      </c>
      <c r="Y296" s="3">
        <f>1297.8+(309-545.7)+(-1.985634+(-0.47277--0.834921))+0-156.9--0.240057000000009</f>
        <v>902.81657399999983</v>
      </c>
      <c r="Z296" s="3">
        <f>1305.3+(314.2-595.7)+(-0.665703+(-0.160242--0.303807))+0-162.7--0.0829769999999835</f>
        <v>860.6608389999999</v>
      </c>
      <c r="AA296" s="3">
        <f>1303.3+(317.3-621.3)+(1.329366+(0.323646-0.633726))+0-161.6-0.164832000000026</f>
        <v>838.55445399999985</v>
      </c>
      <c r="AB296" s="3">
        <f>1304.9+(323.8-664)+(-1.330998+(-0.330276--0.67728))+0-161.8--0.165036000000026</f>
        <v>802.08104199999991</v>
      </c>
      <c r="AC296" s="3">
        <f>1300.9+(320.5-706.2)+(-1.326918+(-0.32691--0.720324))+0-161.6--0.164832000000026</f>
        <v>752.8313280000001</v>
      </c>
      <c r="AD296">
        <f t="shared" si="4"/>
        <v>19136.901546000005</v>
      </c>
      <c r="AE296" s="3">
        <f>1313+(317-511)+(0+(0-0))+0-153-0</f>
        <v>966</v>
      </c>
    </row>
    <row r="297" spans="1:31" s="2" customFormat="1" x14ac:dyDescent="0.25">
      <c r="A297">
        <v>89</v>
      </c>
      <c r="B297">
        <v>10</v>
      </c>
      <c r="C297">
        <v>21</v>
      </c>
      <c r="D297">
        <v>4</v>
      </c>
      <c r="E297">
        <v>1</v>
      </c>
      <c r="F297" s="3">
        <f>1305.4+(216.7-635.7)+(-1.331508+(-0.221034--0.648414))+0-165.9--0.169218000000026</f>
        <v>719.7650900000001</v>
      </c>
      <c r="G297" s="3">
        <f>1306.2+(259.9-706.6)+(-1.332324+(-0.265098--0.720732))+0-162.3--0.165546000000026</f>
        <v>696.48885600000006</v>
      </c>
      <c r="H297" s="3">
        <f>1247.5+(265.9-677.6)+(0.636225+(0.135609-0.345576))+0-158.6-0.0808859999999839</f>
        <v>677.54537199999993</v>
      </c>
      <c r="I297" s="3">
        <f>1186.8+(272.3-615.8)+(0.605268+(0.138873-0.314058))+0-160.8-0.0820079999999837</f>
        <v>682.84807499999999</v>
      </c>
      <c r="J297" s="3">
        <f>1178.6+(283.9-617.4)+(1.202172+(0.289578-0.629748))+0-159.5-0.162690000000025</f>
        <v>686.29931199999987</v>
      </c>
      <c r="K297" s="3">
        <f>1156+(281.5-580.1)+(-0.58956+(-0.143565--0.295851))+0-156.1--0.0796109999999842</f>
        <v>700.94233699999995</v>
      </c>
      <c r="L297" s="3">
        <f>1152+(250.5-499.6)+(-3.52512+(-0.76653--1.528776))+0-150.1--0.459306000000017</f>
        <v>750.49643199999991</v>
      </c>
      <c r="M297" s="3">
        <f>1253.9+(232.5-522.6)+(0+(0-0))+0-147.2-0</f>
        <v>816.60000000000014</v>
      </c>
      <c r="N297" s="3">
        <f>1316.2+(269.7-573.1)+(-1.342524+(-0.275094--0.584562))+0-148.9--0.151878000000024</f>
        <v>863.018822</v>
      </c>
      <c r="O297" s="3">
        <f>1334.4+(241.4-563.5)+(-0.680544+(-0.123114--0.287385))+0-143.3--0.0730829999999855</f>
        <v>868.55681000000004</v>
      </c>
      <c r="P297" s="3">
        <f>1355+(212.7-558.2)+(0.69105+(0.108477-0.284682))+0-142-0.0724199999999856</f>
        <v>867.94242500000007</v>
      </c>
      <c r="Q297" s="3">
        <f>1358.3+(196.1-503)+(-2.078199+(-0.300033--0.76959))+0-141.1--0.215883000000008</f>
        <v>908.90724100000011</v>
      </c>
      <c r="R297" s="3">
        <f>1312.9+(193.9-483.4)+(-3.347895+(-0.494445--1.23267))+0-144.2--0.367709999999979</f>
        <v>876.95803999999998</v>
      </c>
      <c r="S297" s="3">
        <f>1297.4+(182.3-458.5)+(0+(0-0))+0-147.5-0</f>
        <v>873.7</v>
      </c>
      <c r="T297" s="3">
        <f>1287.7+(193.4-470.6)+(0.656727+(0.098634-0.240006))+0-145.6-0.0742559999999852</f>
        <v>865.34109899999999</v>
      </c>
      <c r="U297" s="3">
        <f>1282.7+(215.4-498.5)+(0+(0-0))+0-142-0</f>
        <v>857.6</v>
      </c>
      <c r="V297" s="3">
        <f>1096.1+(333-415)+(-0.559011+(-0.16983--0.21165))+0-147.9--0.075428999999985</f>
        <v>865.75823799999989</v>
      </c>
      <c r="W297" s="3">
        <f>1135.9+(354.6-384.8)+(0.579309+(0.180846-0.196248))+0-148.6-0.0757859999999849</f>
        <v>957.588121</v>
      </c>
      <c r="X297" s="3">
        <f>1293.2+(268.8-451.6)+(-1.978596+(-0.411264--0.690948))+0-146.1--0.223533000000008</f>
        <v>962.82462099999998</v>
      </c>
      <c r="Y297" s="3">
        <f>1301+(261.6-490.7)+(-2.65404+(-0.533664--1.001028))+0-139--0.283559999999994</f>
        <v>930.99688400000002</v>
      </c>
      <c r="Z297" s="3">
        <f>1309.2+(247.5-514.5)+(-2.670768+(-0.5049--1.04958))+0-145.8--0.297431999999994</f>
        <v>894.57134400000007</v>
      </c>
      <c r="AA297" s="3">
        <f>1307.6+(253.6-536.7)+(-2.667504+(-0.517344--1.094868))+0-153.1--0.312323999999993</f>
        <v>869.622344</v>
      </c>
      <c r="AB297" s="3">
        <f>1315+(247.7-570.5)+(-2.01195+(-0.378981--0.872865))+0-157.9--0.241587000000009</f>
        <v>833.02352100000007</v>
      </c>
      <c r="AC297" s="3">
        <f>1322.7+(250.4-622.1)+(-4.722039+(-0.893928--2.220897))+0-159.6--0.569772000000002</f>
        <v>788.574702</v>
      </c>
      <c r="AD297">
        <f t="shared" si="4"/>
        <v>19815.969686</v>
      </c>
      <c r="AE297" s="3">
        <f>1294+(274.3-428.6)+(0+(0-0))+0-151.2-0</f>
        <v>988.5</v>
      </c>
    </row>
    <row r="298" spans="1:31" s="2" customFormat="1" x14ac:dyDescent="0.25">
      <c r="A298">
        <v>89</v>
      </c>
      <c r="B298">
        <v>10</v>
      </c>
      <c r="C298">
        <v>22</v>
      </c>
      <c r="D298">
        <v>5</v>
      </c>
      <c r="E298">
        <v>1</v>
      </c>
      <c r="F298" s="3">
        <f>1343.8+(232.9-654.7)+(1.370676+(0.237558-0.667794))+0-161.1-0.164322000000026</f>
        <v>761.67611799999986</v>
      </c>
      <c r="G298" s="3">
        <f>1314.9+(243.2-658.1)+(0+(0-0))+0-160.4-0</f>
        <v>739.6</v>
      </c>
      <c r="H298" s="3">
        <f>1280.8+(247.4-646.5)+(0+(0-0))+0-156.8-0</f>
        <v>724.89999999999986</v>
      </c>
      <c r="I298" s="3">
        <f>1277.8+(245-640.3)+(0+(0-0))+0-156.6-0</f>
        <v>725.9</v>
      </c>
      <c r="J298" s="3">
        <f>1278.1+(241.7-634.5)+(3.259155+(0.616335-1.617975))+0-158.3-0.403664999999977</f>
        <v>728.85385000000008</v>
      </c>
      <c r="K298" s="3">
        <f>1276.4+(227.9-596.5)+(0+(0-0))+0-157.2-0</f>
        <v>750.60000000000014</v>
      </c>
      <c r="L298" s="3">
        <f>1297.5+(212.5-571.5)+(-0.661725+(-0.108375--0.291465))+0-154.7--0.0788969999999843</f>
        <v>783.400262</v>
      </c>
      <c r="M298" s="3">
        <f>1337.1+(248.8-589.5)+(0.681921+(0.126888-0.300645))+0-159.9-0.0815489999999838</f>
        <v>836.92661499999986</v>
      </c>
      <c r="N298" s="3">
        <f>1336.2+(288.6-593)+(2.725848+(0.588744-1.20972))+0-161.3-0.329051999999993</f>
        <v>872.27582000000007</v>
      </c>
      <c r="O298" s="3">
        <f>1189+(352.7-500.8)+(1.21278+(0.359754-0.510816))+0-158.6-0.161772000000025</f>
        <v>883.19994599999995</v>
      </c>
      <c r="P298" s="3">
        <f>1134+(368.6-454.5)+(2.31336+(0.751944-0.92718))+0-153.4-0.312935999999993</f>
        <v>896.52518799999996</v>
      </c>
      <c r="Q298" s="3">
        <f>1128.4+(377.8-444.7)+(0+(0-0))+0-155.1-0</f>
        <v>906.4</v>
      </c>
      <c r="R298" s="3">
        <f>1112.2+(365.5-448)+(-1.701666+(-0.559215--0.68544))+0-158.1--0.241893000000009</f>
        <v>870.26645200000007</v>
      </c>
      <c r="S298" s="3">
        <f>1096+(334.8-461.1)+(-2.23584+(-0.682992--0.940644))+0-161.3--0.329051999999993</f>
        <v>806.75086400000009</v>
      </c>
      <c r="T298" s="3">
        <f>1103.4+(309.5-474.2)+(0+(0-0))+0-162.8-0</f>
        <v>775.90000000000009</v>
      </c>
      <c r="U298" s="3">
        <f>1183.2+(250.6-502.6)+(-1.206864+(-0.255612--0.512652))+0-152.9--0.155958000000024</f>
        <v>777.50613400000009</v>
      </c>
      <c r="V298" s="3">
        <f>1278.2+(265.6-531.7)+(-3.911292+(-0.812736--1.627002))+0-160.6--0.491436000000019</f>
        <v>848.89440999999999</v>
      </c>
      <c r="W298" s="3">
        <f>1320+(283.8-464.2)+(-0.6732+(-0.144738--0.236742))+0-163.5--0.0833849999999834</f>
        <v>975.60218899999984</v>
      </c>
      <c r="X298" s="3">
        <f>1323.7+(324.1-464.1)+(-2.025261+(-0.495873--0.710073))+0-159.8--0.244494000000009</f>
        <v>1022.333433</v>
      </c>
      <c r="Y298" s="3">
        <f>1329.8+(282.4-481.6)+(-1.356396+(-0.288048--0.491232))+0-156--0.159120000000025</f>
        <v>973.605908</v>
      </c>
      <c r="Z298" s="3">
        <f>1345.8+(258.9-527.4)+(-0.686358+(-0.132039--0.268974))+0-160.1--0.0816509999999838</f>
        <v>916.73222799999996</v>
      </c>
      <c r="AA298" s="3">
        <f>1312.5+(235.5-540.8)+(-0.669375+(-0.120105--0.275808))+0-161.8--0.0825179999999836</f>
        <v>844.96884599999998</v>
      </c>
      <c r="AB298" s="3">
        <f>1234+(237.1-587.4)+(-0.62934+(-0.120921--0.299574))+0-160.6--0.0819059999999837</f>
        <v>722.73121900000001</v>
      </c>
      <c r="AC298" s="3">
        <f>1228.2+(244.2-633.7)+(-1.252764+(-0.249084--0.646374))+0-163.5--0.166770000000026</f>
        <v>674.51129600000013</v>
      </c>
      <c r="AD298">
        <f t="shared" si="4"/>
        <v>19820.060777999999</v>
      </c>
      <c r="AE298" s="3">
        <f>1324+(288.3-446.9)+(0+(0-0))+0-164-0</f>
        <v>1001.4000000000001</v>
      </c>
    </row>
    <row r="299" spans="1:31" s="2" customFormat="1" x14ac:dyDescent="0.25">
      <c r="A299">
        <v>89</v>
      </c>
      <c r="B299">
        <v>10</v>
      </c>
      <c r="C299">
        <v>23</v>
      </c>
      <c r="D299">
        <v>6</v>
      </c>
      <c r="E299">
        <v>1</v>
      </c>
      <c r="F299" s="3">
        <f>1208.5+(262.5-587)+(-1.849005+(-0.401625--0.89811))+0-160.5--0.245565000000009</f>
        <v>722.39304500000003</v>
      </c>
      <c r="G299" s="3">
        <f>963.4+(369.5-469.1)+(0+(0-0))+0-151.4-0</f>
        <v>712.4</v>
      </c>
      <c r="H299" s="3">
        <f>944.6+(386.1-481.4)+(0.481746+(0.196911-0.245514))+0-154.7-0.0788969999999843</f>
        <v>694.95424600000013</v>
      </c>
      <c r="I299" s="3">
        <f>977.2+(362.1-469.4)+(0.498372+(0.184671-0.239394))+0-156-0.0795599999999842</f>
        <v>714.26408900000013</v>
      </c>
      <c r="J299" s="3">
        <f>977.7+(355.2-453.9)+(0.997254+(0.362304-0.462978))+0-157-0.160140000000025</f>
        <v>722.7364399999999</v>
      </c>
      <c r="K299" s="3">
        <f>970.2+(369.8-440.4)+(0.989604+(0.377196-0.449208))+0-155.3-0.158406000000025</f>
        <v>745.05918600000018</v>
      </c>
      <c r="L299" s="3">
        <f>953.3+(334.9-354.8)+(0+(0-0))+0-173.8-0</f>
        <v>759.59999999999991</v>
      </c>
      <c r="M299" s="3">
        <f>957+(404.5-367.4)+(-0.48807+(-0.206295--0.187374))+0-178.7--0.0911369999999819</f>
        <v>814.98414600000012</v>
      </c>
      <c r="N299" s="3">
        <f>954.3+(440.4-342.5)+(-0.973386+(-0.449208--0.34935))+0-183.2--0.186864000000029</f>
        <v>868.11361999999986</v>
      </c>
      <c r="O299" s="3">
        <f>949.6+(452.8-342.8)+(0.484296+(0.230928-0.174828))+0-160.8-0.0820079999999837</f>
        <v>899.25838800000008</v>
      </c>
      <c r="P299" s="3">
        <f>951.8+(477.4-364.3)+(0.970836+(0.486948-0.371586))+0-165.7-0.169014000000026</f>
        <v>900.11718399999972</v>
      </c>
      <c r="Q299" s="3">
        <f>949.5+(478.9-361.3)+(-0.484245+(-0.244239--0.184263))+0-165.1--0.0842009999999832</f>
        <v>901.53997999999979</v>
      </c>
      <c r="R299" s="3">
        <f>951+(453-356.7)+(-0.48501+(-0.23103--0.181917))+0-162.6--0.0829259999999835</f>
        <v>884.24880299999995</v>
      </c>
      <c r="S299" s="3">
        <f>936.5+(429.8-353.4)+(0+(0-0))+0-168.5-0</f>
        <v>844.40000000000009</v>
      </c>
      <c r="T299" s="3">
        <f>948+(409.2-337)+(-1.93392+(-0.834768--0.68748))+0-170.1--0.347003999999993</f>
        <v>848.36579600000005</v>
      </c>
      <c r="U299" s="3">
        <f>948.1+(408.8-345.1)+(0+(0-0))+0-164.7-0</f>
        <v>847.09999999999991</v>
      </c>
      <c r="V299" s="3">
        <f>951.4+(373-277.9)+(-0.485214+(-0.19023--0.141729))+0-169.4--0.0863939999999828</f>
        <v>876.65267899999992</v>
      </c>
      <c r="W299" s="3">
        <f>959.2+(406-256.2)+(0+(0-0))+0-168.1-0</f>
        <v>940.9</v>
      </c>
      <c r="X299" s="3">
        <f>967.1+(395.1-252)+(-0.986442+(-0.403002--0.25704))+0-170.3--0.173706000000027</f>
        <v>938.94130200000018</v>
      </c>
      <c r="Y299" s="3">
        <f>966.4+(416.3-301.9)+(-0.985728+(-0.424626--0.307938))+0-172.5--0.175950000000028</f>
        <v>907.37353400000006</v>
      </c>
      <c r="Z299" s="3">
        <f>967.4+(398-327.2)+(-0.986748+(-0.40596--0.333744))+0-171.4--0.174828000000027</f>
        <v>865.91586400000006</v>
      </c>
      <c r="AA299" s="3">
        <f>965.2+(385-337.1)+(0.984504+(0.3927-0.343842))+0-169.6-0.172992000000027</f>
        <v>844.36036999999999</v>
      </c>
      <c r="AB299" s="3">
        <f>963.2+(377.3-358.7)+(-0.982464+(-0.384846--0.365874))+0-166.1--0.169422000000026</f>
        <v>814.86798600000009</v>
      </c>
      <c r="AC299" s="3">
        <f>967.9+(362.6-386.5)+(-1.480887+(-0.554778--0.591345))+0-169.7--0.25964100000001</f>
        <v>773.11532100000011</v>
      </c>
      <c r="AD299">
        <f t="shared" si="4"/>
        <v>19841.661979</v>
      </c>
      <c r="AE299" s="3">
        <f>977+(394.6-240.4)+(0+(0-0))+0-168-0</f>
        <v>963.2</v>
      </c>
    </row>
    <row r="300" spans="1:31" s="2" customFormat="1" x14ac:dyDescent="0.25">
      <c r="A300">
        <v>89</v>
      </c>
      <c r="B300">
        <v>10</v>
      </c>
      <c r="C300">
        <v>24</v>
      </c>
      <c r="D300">
        <v>7</v>
      </c>
      <c r="E300">
        <v>1</v>
      </c>
      <c r="F300" s="3">
        <f>982.7+(324.5-378.8)+(0+(0-0))+0-169.8-0</f>
        <v>758.60000000000014</v>
      </c>
      <c r="G300" s="3">
        <f>978.2+(365.2-445.6)+(-1.496646+(-0.558756--0.681768))+0-165.1--0.25260300000001</f>
        <v>731.57896899999992</v>
      </c>
      <c r="H300" s="3">
        <f>982.3+(276.5-375.9)+(-0.500973+(-0.141015--0.191709))+0-165.4--0.0843539999999832</f>
        <v>717.13407499999994</v>
      </c>
      <c r="I300" s="3">
        <f>986.1+(290.4-396.2)+(0.502911+(0.148104-0.202062))+0-168.7-0.0860369999999829</f>
        <v>711.96291599999995</v>
      </c>
      <c r="J300" s="3">
        <f>986.9+(308.4-409.5)+(0.503319+(0.157284-0.208845))+0-169.7-0.0865469999999828</f>
        <v>716.46521100000007</v>
      </c>
      <c r="K300" s="3">
        <f>987.5+(320.5-403.8)+(2.0145+(0.65382-0.823752))+0-173.8-0.354551999999992</f>
        <v>731.89001600000006</v>
      </c>
      <c r="L300" s="3">
        <f>974.5+(305.4-363.3)+(-1.490985+(-0.467262--0.555849))+0-184.2--0.281826000000011</f>
        <v>731.27942799999994</v>
      </c>
      <c r="M300" s="3">
        <f>977.7+(346.3-368.9)+(-1.994508+(-0.706452--0.752556))+0-190--0.387599999999992</f>
        <v>763.53919600000017</v>
      </c>
      <c r="N300" s="3">
        <f>970.1+(410.2-371.6)+(1.484253+(0.627606-0.568548))+0-188.7-0.288711000000011</f>
        <v>821.2546000000001</v>
      </c>
      <c r="O300" s="3">
        <f>968.7+(369.5-297.6)+(-0.988074+(-0.37689--0.303552))+0-189.4--0.19318800000003</f>
        <v>850.33177599999999</v>
      </c>
      <c r="P300" s="3">
        <f>958.5+(371.9-271.3)+(-0.97767+(-0.379338--0.276726))+0-186.2--0.18992400000003</f>
        <v>872.00964199999999</v>
      </c>
      <c r="Q300" s="3">
        <f>959.4+(386.2-280.2)+(-1.467882+(-0.590886--0.428706))+0-187.1--0.286263000000011</f>
        <v>876.95620100000008</v>
      </c>
      <c r="R300" s="3">
        <f>944+(390.8-281.2)+(-1.92576+(-0.797232--0.573648))+0-183.5--0.374339999999992</f>
        <v>868.32499599999994</v>
      </c>
      <c r="S300" s="3">
        <f>939.6+(408.1-304.7)+(-1.437588+(-0.624393--0.466191))+0-185.7--0.284121000000011</f>
        <v>855.9883309999999</v>
      </c>
      <c r="T300" s="3">
        <f>936.3+(410.5-319.3)+(-0.477513+(-0.209355--0.162843))+0-186.3--0.0950129999999811</f>
        <v>840.7709880000001</v>
      </c>
      <c r="U300" s="3">
        <f>934.8+(404.3-320.8)+(-2.38374+(-1.030965--0.81804))+0-181.6--0.463079999999974</f>
        <v>834.56641499999989</v>
      </c>
      <c r="V300" s="3">
        <f>942+(425.4-319.2)+(-2.4021+(-1.08477--0.81396))+0-185.4--0.472769999999973</f>
        <v>860.59986000000004</v>
      </c>
      <c r="W300" s="3">
        <f>946.9+(518.5-335.8)+(-1.448757+(-0.793305--0.513774))+0-192.4--0.294372000000011</f>
        <v>935.76608399999998</v>
      </c>
      <c r="X300" s="3">
        <f>947.1+(459.8-272.5)+(-0.483021+(-0.234498--0.138975))+0-191.4--0.0976139999999806</f>
        <v>942.51907000000017</v>
      </c>
      <c r="Y300" s="3">
        <f>950.4+(417.4-261.4)+(-1.454112+(-0.638622--0.399942))+0-186.5--0.285345000000011</f>
        <v>918.49255300000004</v>
      </c>
      <c r="Z300" s="3">
        <f>953.2+(362.7-244.8)+(0.486132+(0.184977-0.124848))+0-185.6-0.0946559999999812</f>
        <v>885.95160499999986</v>
      </c>
      <c r="AA300" s="3">
        <f>956+(343.4-244)+(-0.48756+(-0.175134--0.12444))+0-186.4--0.0950639999999811</f>
        <v>868.55681000000004</v>
      </c>
      <c r="AB300" s="3">
        <f>952+(317.4-275.3)+(-1.45656+(-0.485622--0.421209))+0-180--0.27540000000001</f>
        <v>812.85442699999987</v>
      </c>
      <c r="AC300" s="3">
        <f>983.4+(301.4-340.6)+(1.003068+(0.307428-0.347412))+0-180.1-0.183702000000029</f>
        <v>764.87938199999985</v>
      </c>
      <c r="AD300">
        <f t="shared" si="4"/>
        <v>19672.272551000002</v>
      </c>
      <c r="AE300" s="3">
        <f>968+(484.4-272.3)+(0+(0-0))+0-176.5-0</f>
        <v>1003.5999999999999</v>
      </c>
    </row>
    <row r="301" spans="1:31" s="2" customFormat="1" x14ac:dyDescent="0.25">
      <c r="A301">
        <v>89</v>
      </c>
      <c r="B301">
        <v>10</v>
      </c>
      <c r="C301">
        <v>25</v>
      </c>
      <c r="D301">
        <v>1</v>
      </c>
      <c r="E301">
        <v>1</v>
      </c>
      <c r="F301" s="3">
        <f>965.5+(306.3-362.8)+(-1.477215+(-0.468639--0.555084))+0-176.7--0.27035100000001</f>
        <v>731.17958099999998</v>
      </c>
      <c r="G301" s="3">
        <f>855.1+(321-296.8)+(0+(0-0))+0-169.8-0</f>
        <v>709.5</v>
      </c>
      <c r="H301" s="3">
        <f>871.7+(335.3-339.5)+(-0.889134+(-0.342006--0.34629))+0-170.2--0.173604000000027</f>
        <v>696.58875400000011</v>
      </c>
      <c r="I301" s="3">
        <f>885.5+(329.3-359.5)+(0.90321+(0.335886-0.36669))+0-163.8-0.167076000000026</f>
        <v>692.20532999999989</v>
      </c>
      <c r="J301" s="3">
        <f>881.5+(293-320.7)+(0.89913+(0.29886-0.327114))+0-156.1-0.159222000000025</f>
        <v>698.41165399999988</v>
      </c>
      <c r="K301" s="3">
        <f>881.5+(288.8-292.2)+(-0.89913+(-0.294576--0.298044))+0-157.4--0.160548000000025</f>
        <v>719.96488600000009</v>
      </c>
      <c r="L301" s="3">
        <f>886.7+(330.6-272.8)+(-1.356651+(-0.505818--0.417384))+0-157.4--0.240822000000009</f>
        <v>785.89573700000005</v>
      </c>
      <c r="M301" s="3">
        <f>886.8+(378.5-260.5)+(-0.452268+(-0.193035--0.132855))+0-161.2--0.0822119999999836</f>
        <v>843.16976399999999</v>
      </c>
      <c r="N301" s="3">
        <f>879.8+(428.1-257.7)+(0.448698+(0.218331-0.131427))+0-162.2-0.0827219999999835</f>
        <v>888.45287999999994</v>
      </c>
      <c r="O301" s="3">
        <f>939.5+(432.6-307.7)+(0.479145+(0.220626-0.156927))+0-158.9-0.0810389999999839</f>
        <v>905.96180500000014</v>
      </c>
      <c r="P301" s="3">
        <f>941.2+(447.2-318.2)+(0+(0-0))+0-158-0</f>
        <v>912.2</v>
      </c>
      <c r="Q301" s="3">
        <f>934+(428.8-281.3)+(0+(0-0))+0-164.4-0</f>
        <v>917.1</v>
      </c>
      <c r="R301" s="3">
        <f>953.9+(406.5-276.5)+(-0.486489+(-0.207315--0.141015))+0-171.3--0.0873629999999826</f>
        <v>912.13457400000004</v>
      </c>
      <c r="S301" s="3">
        <f>977.8+(374.3-260.1)+(0+(0-0))+0-176.9-0</f>
        <v>915.1</v>
      </c>
      <c r="T301" s="3">
        <f>1009.3+(355.5-294.3)+(0.514743+(0.181305-0.150093))+0-178.1-0.0908309999999819</f>
        <v>892.85512400000005</v>
      </c>
      <c r="U301" s="3">
        <f>1061.2+(316.4-305.5)+(0.541212+(0.161364-0.155805))+0-172.5-0.0879749999999825</f>
        <v>900.05879599999992</v>
      </c>
      <c r="V301" s="3">
        <f>1116.9+(345-355.1)+(-0.569619+(-0.17595--0.181101))+0-177.6--0.090575999999982</f>
        <v>928.72610800000007</v>
      </c>
      <c r="W301" s="3">
        <f>1128.4+(432.1-397.8)+(0.575484+(0.220371-0.202878))+0-180.8-0.0922079999999817</f>
        <v>982.40076900000008</v>
      </c>
      <c r="X301" s="3">
        <f>1131.6+(425.8-409)+(-2.308464+(-0.868632--0.83436))+0-177.8--0.362711999999992</f>
        <v>968.61997599999984</v>
      </c>
      <c r="Y301" s="3">
        <f>1133.2+(441.9-463.4)+(-0.577932+(-0.225369--0.236334))+0-176.6--0.0900659999999821</f>
        <v>934.62309900000002</v>
      </c>
      <c r="Z301" s="3">
        <f>1129.3+(391.7-449.8)+(-2.879715+(-0.998835--1.14699))+0-175.9--0.448544999999974</f>
        <v>893.01698499999986</v>
      </c>
      <c r="AA301" s="3">
        <f>1123.2+(305.7-402.7)+(-1.718496+(-0.467721--0.616131))+0-174.6--0.26713800000001</f>
        <v>850.29705200000012</v>
      </c>
      <c r="AB301" s="3">
        <f>1119.8+(233.7-416.4)+(-1.142196+(-0.238374--0.424728))+0-122.9--0.12535800000002</f>
        <v>813.36951599999998</v>
      </c>
      <c r="AC301" s="3">
        <f>1042.7+(241-388.5)+(-2.658885+(-0.61455--0.990675))+0-128.1--0.326654999999981</f>
        <v>765.14389499999993</v>
      </c>
      <c r="AD301">
        <f t="shared" si="4"/>
        <v>20256.976285000001</v>
      </c>
      <c r="AE301" s="3">
        <f>1139+(445.9-399)+(0+(0-0))+0-155-0</f>
        <v>1030.9000000000001</v>
      </c>
    </row>
    <row r="302" spans="1:31" s="2" customFormat="1" x14ac:dyDescent="0.25">
      <c r="A302">
        <v>89</v>
      </c>
      <c r="B302">
        <v>10</v>
      </c>
      <c r="C302">
        <v>26</v>
      </c>
      <c r="D302">
        <v>2</v>
      </c>
      <c r="E302">
        <v>1</v>
      </c>
      <c r="F302" s="3">
        <f>929+(298.8-347.1)+(-0.47379+(-0.152388--0.177021))+0-146.7--0.0748169999999851</f>
        <v>733.62565999999993</v>
      </c>
      <c r="G302" s="3">
        <f>908.6+(290.2-330.4)+(-0.926772+(-0.296004--0.337008))+0-159.6--0.162792000000025</f>
        <v>708.07702400000016</v>
      </c>
      <c r="H302" s="3">
        <f>918.9+(303.9-366.7)+(-1.405917+(-0.464967--0.561051))+0-156.8--0.239904000000009</f>
        <v>698.23007099999995</v>
      </c>
      <c r="I302" s="3">
        <f>914.2+(326.8-380.9)+(-0.932484+(-0.333336--0.388518))+0-165--0.168300000000026</f>
        <v>694.3909980000002</v>
      </c>
      <c r="J302" s="3">
        <f>920.6+(358-415)+(-2.34753+(-0.9129--1.05825))+0-168.4--0.429419999999976</f>
        <v>693.42723999999998</v>
      </c>
      <c r="K302" s="3">
        <f>919+(348.9-386.4)+(0.93738+(0.355878-0.394128))+0-167.3-0.170646000000027</f>
        <v>714.92848400000003</v>
      </c>
      <c r="L302" s="3">
        <f>923.2+(359.4-325.2)+(-2.824992+(-1.099764--0.995112))+0-169.6--0.51897600000002</f>
        <v>785.38933200000008</v>
      </c>
      <c r="M302" s="3">
        <f>916.4+(421.3-305.8)+(-0.467364+(-0.214863--0.155958))+0-177.7--0.090626999999982</f>
        <v>853.76435800000002</v>
      </c>
      <c r="N302" s="3">
        <f>914.9+(469.8-307.7)+(-1.866396+(-0.958392--0.627708))+0-181.4--0.370055999999992</f>
        <v>893.77297600000009</v>
      </c>
      <c r="O302" s="3">
        <f>919.8+(459.4-287.2)+(0+(0-0))+0-182.2-0</f>
        <v>909.8</v>
      </c>
      <c r="P302" s="3">
        <f>916.3+(464-282.3)+(-0.934626+(-0.47328--0.287946))+0-181.2--0.184824000000029</f>
        <v>915.86486400000001</v>
      </c>
      <c r="Q302" s="3">
        <f>912.2+(498.3-311.6)+(-0.930444+(-0.508266--0.317832))+0-182.2--0.185844000000029</f>
        <v>915.76496600000007</v>
      </c>
      <c r="R302" s="3">
        <f>912.3+(492.6-313.7)+(0+(0-0))+0-179-0</f>
        <v>912.2</v>
      </c>
      <c r="S302" s="3">
        <f>911+(474.2-305.3)+(-0.46461+(-0.241842--0.155703))+0-184.9--0.0942989999999812</f>
        <v>894.5435500000001</v>
      </c>
      <c r="T302" s="3">
        <f>956+(457.9-348.7)+(-0.97512+(-0.467058--0.355674))+0-182.7--0.186354000000029</f>
        <v>881.59984999999995</v>
      </c>
      <c r="U302" s="3">
        <f>972.2+(432.3-342)+(-0.991644+(-0.440946--0.34884))+0-182.8--0.186456000000029</f>
        <v>878.80270600000006</v>
      </c>
      <c r="V302" s="3">
        <f>999.8+(420.6-327.5)+(-2.039592+(-0.858024--0.6681))+0-185.2--0.377807999999992</f>
        <v>905.8482919999999</v>
      </c>
      <c r="W302" s="3">
        <f>1086.3+(445.4-388.9)+(0+(0-0))+0-176.5-0</f>
        <v>966.3</v>
      </c>
      <c r="X302" s="3">
        <f>1104.8+(394.9-372.6)+(-0.563448+(-0.201399--0.190026))+0-181.9--0.0927689999999815</f>
        <v>944.71794799999998</v>
      </c>
      <c r="Y302" s="3">
        <f>1103+(373.5-385.6)+(-2.81265+(-0.952425--0.98328))+0-182.2--0.464609999999974</f>
        <v>906.38281499999994</v>
      </c>
      <c r="Z302" s="3">
        <f>1104+(335.8-395.5)+(-1.68912+(-0.513774--0.605115))+0-186--0.284580000000011</f>
        <v>856.98680100000001</v>
      </c>
      <c r="AA302" s="3">
        <f>1105+(294.7-383.9)+(-2.2542+(-0.601188--0.783156))+0-191.8--0.391271999999992</f>
        <v>822.31903999999997</v>
      </c>
      <c r="AB302" s="3">
        <f>1105+(252.1-387.9)+(0+(0-0))+0-187.9-0</f>
        <v>781.30000000000007</v>
      </c>
      <c r="AC302" s="3">
        <f>1102+(207.5-381.2)+(-3.93414+(-0.740775--1.360884))+0-185.5--0.662235000000003</f>
        <v>740.14820399999996</v>
      </c>
      <c r="AD302">
        <f t="shared" si="4"/>
        <v>20008.185179</v>
      </c>
      <c r="AE302" s="3">
        <f>1120+(430.9-397.8)+(0+(0-0))+0-183.7-0</f>
        <v>969.39999999999986</v>
      </c>
    </row>
    <row r="303" spans="1:31" s="2" customFormat="1" x14ac:dyDescent="0.25">
      <c r="A303">
        <v>89</v>
      </c>
      <c r="B303">
        <v>10</v>
      </c>
      <c r="C303">
        <v>27</v>
      </c>
      <c r="D303">
        <v>3</v>
      </c>
      <c r="E303">
        <v>1</v>
      </c>
      <c r="F303" s="3">
        <f>1102.4+(187.3-399.1)+(-1.124448+(-0.191046--0.407082))+0-179.5--0.183090000000029</f>
        <v>710.37467800000013</v>
      </c>
      <c r="G303" s="3">
        <f>1106.7+(187.3-422.4)+(-2.822085+(-0.477615--1.07712))+0-183.8--0.468689999999973</f>
        <v>686.04611</v>
      </c>
      <c r="H303" s="3">
        <f>1111.6+(200.8-452.3)+(1.133832+(0.204816-0.461346))+0-185-0.18870000000003</f>
        <v>675.78860199999986</v>
      </c>
      <c r="I303" s="3">
        <f>1109.8+(200.3-460.3)+(0+(0-0))+0-182.3-0</f>
        <v>667.5</v>
      </c>
      <c r="J303" s="3">
        <f>1109.7+(188.2-466.4)+(0.565947+(0.095982-0.237864))+0-182.2-0.0929219999999815</f>
        <v>649.63114300000018</v>
      </c>
      <c r="K303" s="3">
        <f>1114.9+(216.6-491.4)+(-2.842995+(-0.55233--1.25307))+0-181.7--0.463334999999974</f>
        <v>656.72108000000014</v>
      </c>
      <c r="L303" s="3">
        <f>1112.4+(206.3-340)+(0+(0-0))+0-182-0</f>
        <v>796.7</v>
      </c>
      <c r="M303" s="3">
        <f>1128.3+(239.5-348.2)+(-1.726299+(-0.366435--0.532746))+0-185.7--0.284121000000011</f>
        <v>832.62413299999992</v>
      </c>
      <c r="N303" s="3">
        <f>1129.7+(235.5-324.9)+(-1.728441+(-0.360315--0.497097))+0-180.6--0.27631800000001</f>
        <v>858.38465900000028</v>
      </c>
      <c r="O303" s="3">
        <f>1129.8+(264-292.5)+(0.576198+(0.13464-0.149175))+0-167.1-0.085220999999983</f>
        <v>934.67644199999995</v>
      </c>
      <c r="P303" s="3">
        <f>1124.2+(305.2-341.5)+(-2.86671+(-0.77826--0.870825))+0-167.9--0.428144999999976</f>
        <v>917.654</v>
      </c>
      <c r="Q303" s="3">
        <f>1112.7+(302.4-345.2)+(0.567477+(0.154224-0.176052))+0-152.1-0.0775709999999846</f>
        <v>918.26807799999995</v>
      </c>
      <c r="R303" s="3">
        <f>1107.9+(263.9-357.1)+(-2.825145+(-0.672945--0.910605))+0-155.3--0.396014999999977</f>
        <v>857.20853</v>
      </c>
      <c r="S303" s="3">
        <f>1102.6+(267.3-356.1)+(0+(0-0))+0-162.4-0</f>
        <v>851.4</v>
      </c>
      <c r="T303" s="3">
        <f>1097.9+(228.5-323.2)+(-1.679787+(-0.349605--0.494496))+0-162.6--0.248778000000009</f>
        <v>839.31388200000004</v>
      </c>
      <c r="U303" s="3">
        <f>1097.9+(201.4-304.2)+(-1.119858+(-0.205428--0.310284))+0-158.5--0.161670000000025</f>
        <v>835.74666800000023</v>
      </c>
      <c r="V303" s="3">
        <f>1103.1+(226.1-310.1)+(-0.562581+(-0.115311--0.158151))+0-160.6--0.0819059999999837</f>
        <v>858.06216499999994</v>
      </c>
      <c r="W303" s="3">
        <f>1161.4+(294.8-347.8)+(-0.592314+(-0.150348--0.177378))+0-167.1--0.085220999999983</f>
        <v>940.81993699999998</v>
      </c>
      <c r="X303" s="3">
        <f>1218.5+(300.9-397.9)+(-1.864305+(-0.460377--0.608787))+0-172.9--0.26453700000001</f>
        <v>947.148642</v>
      </c>
      <c r="Y303" s="3">
        <f>1223.1+(276.6-409.2)+(-1.871343+(-0.423198--0.626076))+0-174--0.26622000000001</f>
        <v>915.09775500000001</v>
      </c>
      <c r="Z303" s="3">
        <f>1156.2+(299.7-391)+(0+(0-0))+0-180.4-0</f>
        <v>884.50000000000011</v>
      </c>
      <c r="AA303" s="3">
        <f>1115.9+(322.4-401.9)+(0.569109+(0.164424-0.204969))+0-178.9-0.0912389999999818</f>
        <v>857.9373250000001</v>
      </c>
      <c r="AB303" s="3">
        <f>1109.4+(317.9-436.7)+(-1.131588+(-0.324258--0.445434))+0-175.6--0.179112000000028</f>
        <v>814.16870000000017</v>
      </c>
      <c r="AC303" s="3">
        <f>1119.6+(323.8-494.3)+(-1.141992+(-0.330276--0.504186))+0-177.1--0.180642000000028</f>
        <v>771.21255999999994</v>
      </c>
      <c r="AD303">
        <f t="shared" si="4"/>
        <v>19676.985089000002</v>
      </c>
      <c r="AE303" s="3">
        <f>1238+(308.8-400.2)+(0+(0-0))+0-168.6-0</f>
        <v>977.99999999999989</v>
      </c>
    </row>
    <row r="304" spans="1:31" s="2" customFormat="1" x14ac:dyDescent="0.25">
      <c r="A304">
        <v>89</v>
      </c>
      <c r="B304">
        <v>10</v>
      </c>
      <c r="C304">
        <v>28</v>
      </c>
      <c r="D304">
        <v>4</v>
      </c>
      <c r="E304">
        <v>1</v>
      </c>
      <c r="F304" s="3">
        <f>1119.9+(324.6-534.1)+(-3.426894+(-0.993276--1.634346))+0-173.4--0.53060400000002</f>
        <v>734.74478000000011</v>
      </c>
      <c r="G304" s="3">
        <f>1052.8+(367.3-537.5)+(-0.536928+(-0.187323--0.274125))+0-165.1--0.0842009999999832</f>
        <v>717.13407499999994</v>
      </c>
      <c r="H304" s="3">
        <f>1039.6+(336.3-512.4)+(-0.530196+(-0.171513--0.261324))+0-163.5--0.0833849999999834</f>
        <v>699.64300000000003</v>
      </c>
      <c r="I304" s="3">
        <f>1041.7+(316.5-495.6)+(-1.593801+(-0.484245--0.758268))+0-167.6--0.25642800000001</f>
        <v>693.93664999999999</v>
      </c>
      <c r="J304" s="3">
        <f>1042.9+(311.2-488.5)+(0+(0-0))+0-169.4-0</f>
        <v>696.20000000000016</v>
      </c>
      <c r="K304" s="3">
        <f>1035.4+(354.5-501.5)+(0+(0-0))+0-169.2-0</f>
        <v>719.2</v>
      </c>
      <c r="L304" s="3">
        <f>1039.4+(362.9-459.1)+(-2.65047+(-0.925395--1.170705))+0-163.7--0.417434999999976</f>
        <v>777.51227499999993</v>
      </c>
      <c r="M304" s="3">
        <f>1077.4+(343.5-422)+(1.098948+(0.35037-0.43044))+0-169-0.172380000000027</f>
        <v>830.74649800000009</v>
      </c>
      <c r="N304" s="3">
        <f>1113.9+(370.9-437.2)+(0.568089+(0.189159-0.222972))+0-175.9-0.0897089999999822</f>
        <v>872.14456700000028</v>
      </c>
      <c r="O304" s="3">
        <f>1093+(432-468)+(-1.67229+(-0.66096--0.71604))+0-173.3--0.26514900000001</f>
        <v>882.34793900000022</v>
      </c>
      <c r="P304" s="3">
        <f>1137.1+(499.1-553.2)+(-0.579921+(-0.254541--0.282132))+0-169.7--0.0865469999999828</f>
        <v>912.83421699999997</v>
      </c>
      <c r="Q304" s="3">
        <f>1134.5+(515.5-564.1)+(-1.15719+(-0.52581--0.575382))+0-169.2--0.172584000000027</f>
        <v>915.76496600000007</v>
      </c>
      <c r="R304" s="3">
        <f>1147.6+(491-553.2)+(-2.341104+(-1.00164--1.128528))+0-164--0.334559999999993</f>
        <v>919.5203439999998</v>
      </c>
      <c r="S304" s="3">
        <f>1134.5+(463.7-527.7)+(0+(0-0))+0-162.5-0</f>
        <v>908</v>
      </c>
      <c r="T304" s="3">
        <f>1130.9+(379.8-451.6)+(0+(0-0))+0-166.1-0</f>
        <v>893.00000000000011</v>
      </c>
      <c r="U304" s="3">
        <f>1136+(382.9-474.5)+(-1.15872+(-0.390558--0.48399))+0-153.4--0.156468000000024</f>
        <v>890.09118000000012</v>
      </c>
      <c r="V304" s="3">
        <f>1244.1+(344.4-513.5)+(-3.806946+(-1.053864--1.57131))+0-154.1--0.471546000000018</f>
        <v>918.08204599999988</v>
      </c>
      <c r="W304" s="3">
        <f>1302.8+(423.9-574.8)+(-1.328856+(-0.432378--0.586296))+0-146--0.148920000000023</f>
        <v>1004.873982</v>
      </c>
      <c r="X304" s="3">
        <f>1292.6+(444-592)+(-1.977678+(-0.67932--0.90576))+0-143.4--0.219402000000008</f>
        <v>999.66816399999993</v>
      </c>
      <c r="Y304" s="3">
        <f>1216.6+(459.5-575.4)+(-1.240932+(-0.46869--0.586908))+0-139.9--0.142698000000022</f>
        <v>959.81998399999975</v>
      </c>
      <c r="Z304" s="3">
        <f>1217.2+(412.4-564)+(-1.862316+(-0.630972--0.86292))+0-145.8--0.223074000000008</f>
        <v>918.39270599999986</v>
      </c>
      <c r="AA304" s="3">
        <f>1213.1+(428.6-629.2)+(-0.618681+(-0.218586--0.320892))+0-141.9--0.0723689999999856</f>
        <v>870.15599399999985</v>
      </c>
      <c r="AB304" s="3">
        <f>1205.3+(429.7-669)+(-0.614703+(-0.219147--0.34119))+0-145.3--0.0741029999999853</f>
        <v>820.28144299999997</v>
      </c>
      <c r="AC304" s="3">
        <f>1204.1+(383.3-664.9)+(-1.842273+(-0.586449--1.017297))+0-156.1--0.238833000000009</f>
        <v>765.22740799999997</v>
      </c>
      <c r="AD304">
        <f t="shared" si="4"/>
        <v>20319.322218000001</v>
      </c>
      <c r="AE304" s="3">
        <f>1295+(464-609.2)+(0+(0-0))+0-148.4-0</f>
        <v>1001.4</v>
      </c>
    </row>
    <row r="305" spans="1:31" s="2" customFormat="1" x14ac:dyDescent="0.25">
      <c r="A305">
        <v>89</v>
      </c>
      <c r="B305">
        <v>10</v>
      </c>
      <c r="C305">
        <v>29</v>
      </c>
      <c r="D305">
        <v>5</v>
      </c>
      <c r="E305">
        <v>1</v>
      </c>
      <c r="F305" s="3">
        <f>1205.9+(336.2-655.9)+(-3.075045+(-0.85731--1.672545))+0-158.8--0.404939999999977</f>
        <v>725.54513000000009</v>
      </c>
      <c r="G305" s="3">
        <f>1219.7+(313.4-679)+(1.866141+(0.479502-1.03887))+0-148.1-0.226593000000009</f>
        <v>707.08018000000004</v>
      </c>
      <c r="H305" s="3">
        <f>1213.8+(297.9-678.2)+(-1.857114+(-0.455787--1.037646))+0-163.9--0.250767000000009</f>
        <v>668.57551199999989</v>
      </c>
      <c r="I305" s="3">
        <f>1225.1+(296.7-690.2)+(0.624801+(0.151317-0.352002))+0-148.9-0.0759389999999849</f>
        <v>683.04817700000001</v>
      </c>
      <c r="J305" s="3">
        <f>1224.1+(321.6-697.2)+(-3.121455+(-0.82008--1.77786))+0-171--0.436049999999975</f>
        <v>675.7723749999999</v>
      </c>
      <c r="K305" s="3">
        <f>1226.8+(341.3-708.8)+(0.625668+(0.174063-0.361488))+0-170-0.0866999999999827</f>
        <v>689.65154300000006</v>
      </c>
      <c r="L305" s="3">
        <f>1228.7+(340.6-664.9)+(0.626637+(0.173706-0.339099))+0-172-0.0877199999999825</f>
        <v>732.77352400000007</v>
      </c>
      <c r="M305" s="3">
        <f>1228+(354.7-651)+(0+(0-0))+0-171.6-0</f>
        <v>760.1</v>
      </c>
      <c r="N305" s="3">
        <f>1281.4+(409.8-731.8)+(1.960542+(0.626994-1.119654))+0-167.1-0.25566300000001</f>
        <v>793.51221900000007</v>
      </c>
      <c r="O305" s="3">
        <f>1291+(361.5-687)+(0+(0-0))+0-171.6-0</f>
        <v>793.9</v>
      </c>
      <c r="P305" s="3">
        <f>1290.9+(351.8-666.9)+(-2.633436+(-0.717672--1.360476))+0-171.8--0.350471999999993</f>
        <v>802.35984000000019</v>
      </c>
      <c r="Q305" s="3">
        <f>1293.3+(407-726)+(-0.659583+(-0.20757--0.37026))+0-172.7--0.0880769999999825</f>
        <v>801.19118399999991</v>
      </c>
      <c r="R305" s="3">
        <f>1288.4+(367.3-690.4)+(-1.971252+(-0.561969--1.056312))+0-174.3--0.26667900000001</f>
        <v>789.7897700000002</v>
      </c>
      <c r="S305" s="3">
        <f>1289.3+(307.4-646.2)+(-1.315086+(-0.313548--0.659124))+0-172.8--0.176256000000028</f>
        <v>776.906746</v>
      </c>
      <c r="T305" s="3">
        <f>1247.3+(290.5-599.3)+(0+(0-0))+0-175.7-0</f>
        <v>762.8</v>
      </c>
      <c r="U305" s="3">
        <f>1206.7+(253.7-526.6)+(0+(0-0))+0-170.4-0</f>
        <v>763.4</v>
      </c>
      <c r="V305" s="3">
        <f>1218.3+(297.9-554.4)+(0+(0-0))+0-172.1-0</f>
        <v>789.69999999999993</v>
      </c>
      <c r="W305" s="3">
        <f>1267.1+(402.9-611)+(-2.584884+(-0.821916--1.24644))+0-174.1--0.355163999999992</f>
        <v>883.09480399999984</v>
      </c>
      <c r="X305" s="3">
        <f>1314+(427.6-694.1)+(-1.34028+(-0.436152--0.707982))+0-161.3--0.164526000000026</f>
        <v>885.29607600000008</v>
      </c>
      <c r="Y305" s="3">
        <f>1312+(422.9-716.9)+(-3.3456+(-1.078395--1.828095))+0-160.8--0.410039999999977</f>
        <v>855.01414</v>
      </c>
      <c r="Z305" s="3">
        <f>1276.9+(426.9-723)+(0+(0-0))+0-162-0</f>
        <v>818.80000000000007</v>
      </c>
      <c r="AA305" s="3">
        <f>1067.3+(503.1-614.7)+(1.088646+(0.513162-0.626994))+0-162.3-0.165546000000026</f>
        <v>794.20926799999995</v>
      </c>
      <c r="AB305" s="3">
        <f>849.7+(592.8-541.5)+(0.866694+(0.604656-0.55233))+0-157.7-0.160854000000025</f>
        <v>744.05816600000003</v>
      </c>
      <c r="AC305" s="3">
        <f>749+(556.2-447.6)+(-1.52796+(-1.134648--0.913104))+0-156.6--0.319463999999993</f>
        <v>699.56996000000004</v>
      </c>
      <c r="AD305">
        <f t="shared" si="4"/>
        <v>18396.148613999998</v>
      </c>
      <c r="AE305" s="3">
        <f>1300+(437.8-689.2)+(0+(0-0))+0-150-0</f>
        <v>898.59999999999991</v>
      </c>
    </row>
    <row r="306" spans="1:31" s="2" customFormat="1" x14ac:dyDescent="0.25">
      <c r="A306">
        <v>89</v>
      </c>
      <c r="B306">
        <v>10</v>
      </c>
      <c r="C306">
        <v>30</v>
      </c>
      <c r="D306">
        <v>6</v>
      </c>
      <c r="E306">
        <v>1</v>
      </c>
      <c r="F306" s="3">
        <f>764+(496.4-428)+(-0.77928+(-0.506328--0.43656))+0-158.8--0.161976000000025</f>
        <v>672.91292799999985</v>
      </c>
      <c r="G306" s="3">
        <f>759.4+(532.9-478.9)+(0+(0-0))+0-158.2-0</f>
        <v>655.20000000000005</v>
      </c>
      <c r="H306" s="3">
        <f>759.1+(553-503.9)+(0+(0-0))+0-160.5-0</f>
        <v>647.70000000000005</v>
      </c>
      <c r="I306" s="3">
        <f>758.3+(507.6-471.3)+(-0.386733+(-0.258876--0.240363))+0-157.7--0.080426999999984</f>
        <v>636.57518099999982</v>
      </c>
      <c r="J306" s="3">
        <f>759.9+(469.5-448.3)+(-0.775098+(-0.47889--0.457266))+0-156.6--0.159732000000025</f>
        <v>623.86300999999992</v>
      </c>
      <c r="K306" s="3">
        <f>763.8+(480.8-451.5)+(1.558152+(0.980832-0.92106))+0-156-0.318239999999993</f>
        <v>638.39968399999998</v>
      </c>
      <c r="L306" s="3">
        <f>752.2+(492.9-430.8)+(0.383622+(0.251379-0.219708))+0-157-0.0800699999999841</f>
        <v>657.635223</v>
      </c>
      <c r="M306" s="3">
        <f>747.1+(518.2-398.8)+(-1.143063+(-0.792846--0.610164))+0-160--0.244800000000009</f>
        <v>705.41905500000007</v>
      </c>
      <c r="N306" s="3">
        <f>741.2+(547.9-385.9)+(0+(0-0))+0-163.7-0</f>
        <v>739.5</v>
      </c>
      <c r="O306" s="3">
        <f>739.1+(544.6-353.2)+(1.507764+(1.110984-0.720528))+0-163.8-0.334151999999993</f>
        <v>768.26406800000007</v>
      </c>
      <c r="P306" s="3">
        <f>731.6+(553.3-338.9)+(0.373116+(0.282183-0.172839))+0-165.1-0.0842009999999832</f>
        <v>781.29825899999992</v>
      </c>
      <c r="Q306" s="3">
        <f>728+(576.5-352)+(-1.48512+(-1.17606--0.71808))+0-162--0.330479999999993</f>
        <v>788.88738000000001</v>
      </c>
      <c r="R306" s="3">
        <f>724.1+(523.2-313.5)+(0.738582+(0.533664-0.31977))+0-162.8-0.166056000000026</f>
        <v>771.78642000000013</v>
      </c>
      <c r="S306" s="3">
        <f>724.3+(498.1-299.7)+(-0.738786+(-0.508062--0.305694))+0-167.8--0.171156000000027</f>
        <v>754.13000199999999</v>
      </c>
      <c r="T306" s="3">
        <f>720+(459.7-266.8)+(-0.3672+(-0.234447--0.136068))+0-164.7--0.0839969999999833</f>
        <v>747.81841799999984</v>
      </c>
      <c r="U306" s="3">
        <f>725.6+(468.5-301)+(-0.370056+(-0.238935--0.15351))+0-159.6--0.0813959999999838</f>
        <v>733.12591500000008</v>
      </c>
      <c r="V306" s="3">
        <f>729.7+(474.2-288.2)+(0.372147+(0.241842-0.146982))+0-162.6-0.0829259999999835</f>
        <v>753.48408100000006</v>
      </c>
      <c r="W306" s="3">
        <f>728.2+(519.6-223.2)+(-0.371382+(-0.264996--0.113832))+0-158.8--0.0809879999999839</f>
        <v>865.3584420000002</v>
      </c>
      <c r="X306" s="3">
        <f>730.5+(541.7-243.1)+(-1.49022+(-1.105068--0.495924))+0-159.3--0.324971999999993</f>
        <v>868.02560800000003</v>
      </c>
      <c r="Y306" s="3">
        <f>737.9+(518.4-242.4)+(-1.128987+(-0.793152--0.370872))+0-157.4--0.240822000000009</f>
        <v>855.18955499999993</v>
      </c>
      <c r="Z306" s="3">
        <f>737.2+(517.8-270.7)+(-1.87986+(-1.32039--0.690285))+0-159.4--0.406469999999977</f>
        <v>822.79650500000002</v>
      </c>
      <c r="AA306" s="3">
        <f>737.6+(510.9-295.3)+(0.752352+(0.521118-0.301206))+0-158.4-0.161568000000025</f>
        <v>795.61069600000008</v>
      </c>
      <c r="AB306" s="3">
        <f>737.7+(499.9-325.8)+(1.128681+(0.764847-0.498474))+0-157.7-0.241281000000009</f>
        <v>755.25377300000002</v>
      </c>
      <c r="AC306" s="3">
        <f>742.8+(491.6-360.2)+(-1.136484+(-0.752148--0.551106))+0-161--0.246330000000009</f>
        <v>712.10880400000008</v>
      </c>
      <c r="AD306">
        <f t="shared" si="4"/>
        <v>17750.343006999999</v>
      </c>
      <c r="AE306" s="3">
        <f>732+(564.7-299.7)+(0+(0-0))+0-150.2-0</f>
        <v>846.8</v>
      </c>
    </row>
    <row r="307" spans="1:31" s="2" customFormat="1" x14ac:dyDescent="0.25">
      <c r="A307">
        <v>89</v>
      </c>
      <c r="B307">
        <v>11</v>
      </c>
      <c r="C307">
        <v>1</v>
      </c>
      <c r="D307">
        <v>7</v>
      </c>
      <c r="E307">
        <v>1</v>
      </c>
      <c r="F307" s="3">
        <f>745.4+(481.7-377)+(-1.90077+(-1.228335--0.96135))+0-159.8--0.407489999999977</f>
        <v>688.53973499999972</v>
      </c>
      <c r="G307" s="3">
        <f>749.7+(412.3-344.8)+(-0.764694+(-0.420546--0.351696))+0-157.3--0.160446000000025</f>
        <v>659.226902</v>
      </c>
      <c r="H307" s="3">
        <f>752.3+(391.8-338.6)+(-2.302038+(-1.198908--1.036116))+0-156.4--0.478584000000018</f>
        <v>647.11375400000009</v>
      </c>
      <c r="I307" s="3">
        <f>754.2+(405.6-362)+(0+(0-0))+0-157.6-0</f>
        <v>640.20000000000005</v>
      </c>
      <c r="J307" s="3">
        <f>752.1+(442.7-395.7)+(-0.383571+(-0.225777--0.201807))+0-159.1--0.0811409999999839</f>
        <v>639.67359999999996</v>
      </c>
      <c r="K307" s="3">
        <f>751.1+(407.9-346.9)+(0+(0-0))+0-158.4-0</f>
        <v>653.70000000000005</v>
      </c>
      <c r="L307" s="3">
        <f>755.6+(425.8-357.7)+(-3.85356+(-2.17158--1.82427))+0-156.4--0.797640000000011</f>
        <v>663.89677000000006</v>
      </c>
      <c r="M307" s="3">
        <f>728.3+(428.2-282.8)+(0.742866+(0.436764-0.288456))+0-158.9-0.162078000000025</f>
        <v>715.52909599999987</v>
      </c>
      <c r="N307" s="3">
        <f>731.5+(454.3-248.8)+(-1.865325+(-1.158465--0.63444))+0-158.7--0.404684999999977</f>
        <v>776.315335</v>
      </c>
      <c r="O307" s="3">
        <f>731.5+(469.6-242.3)+(-0.373065+(-0.239496--0.123573))+0-158.6--0.0808859999999839</f>
        <v>799.79189799999995</v>
      </c>
      <c r="P307" s="3">
        <f>735+(502.2-267.8)+(-1.4994+(-1.024488--0.546312))+0-150.4--0.306815999999993</f>
        <v>817.32924000000003</v>
      </c>
      <c r="Q307" s="3">
        <f>719.6+(542.4-299)+(-1.100988+(-0.829872--0.45747))+0-150.9--0.230877000000009</f>
        <v>810.85748699999999</v>
      </c>
      <c r="R307" s="3">
        <f>712.8+(527.6-305.9)+(0.363528+(0.269076-0.156009))+0-152.6-0.0778259999999845</f>
        <v>782.29876899999999</v>
      </c>
      <c r="S307" s="3">
        <f>706.7+(475.2-226.7)+(-1.441668+(-0.969408--0.462468))+0-159.3--0.324971999999993</f>
        <v>794.27636399999994</v>
      </c>
      <c r="T307" s="3">
        <f>707.2+(405.4-179)+(-0.360672+(-0.206754--0.09129))+0-162.3--0.0827729999999835</f>
        <v>770.90663699999993</v>
      </c>
      <c r="U307" s="3">
        <f>712+(390.7-178.8)+(-1.08936+(-0.597771--0.273564))+0-158.6--0.242658000000009</f>
        <v>764.12909100000002</v>
      </c>
      <c r="V307" s="3">
        <f>724.5+(414.4-201.2)+(-1.47798+(-0.845376--0.410448))+0-158.7--0.323747999999993</f>
        <v>777.41084000000001</v>
      </c>
      <c r="W307" s="3">
        <f>732.6+(477.2-192.5)+(0.373626+(0.243372-0.098175))+0-158.9-0.0810389999999839</f>
        <v>858.83778399999994</v>
      </c>
      <c r="X307" s="3">
        <f>732.1+(506-194.8)+(-1.120113+(-0.77418--0.298044))+0-155.9--0.238527000000009</f>
        <v>886.04227800000001</v>
      </c>
      <c r="Y307" s="3">
        <f>739.1+(471.4-199.9)+(-0.376941+(-0.240414--0.101949))+0-146.6--0.0747659999999851</f>
        <v>863.55935999999997</v>
      </c>
      <c r="Z307" s="3">
        <f>744.3+(470.6-247.1)+(-1.518372+(-0.960024--0.504084))+0-142.3--0.290291999999994</f>
        <v>823.81597999999997</v>
      </c>
      <c r="AA307" s="3">
        <f>743.5+(483.7-259.7)+(1.137555+(0.740061-0.397341))+0-159.5-0.244035000000009</f>
        <v>809.23623999999995</v>
      </c>
      <c r="AB307" s="3">
        <f>748.3+(431.5-285)+(-1.526532+(-0.88026--0.5814))+0-161.7--0.329867999999993</f>
        <v>731.60447599999998</v>
      </c>
      <c r="AC307" s="3">
        <f>749.6+(471.6-334.5)+(-0.764592+(-0.481032--0.34119))+0-161.4--0.164628000000026</f>
        <v>724.56019400000002</v>
      </c>
      <c r="AD307">
        <f t="shared" si="4"/>
        <v>18098.85183</v>
      </c>
      <c r="AE307" s="3">
        <f>742+(555.5-210.2)+(0+(0-0))+0-154.6-0</f>
        <v>932.69999999999993</v>
      </c>
    </row>
    <row r="308" spans="1:31" s="2" customFormat="1" x14ac:dyDescent="0.25">
      <c r="A308">
        <v>89</v>
      </c>
      <c r="B308">
        <v>11</v>
      </c>
      <c r="C308">
        <v>2</v>
      </c>
      <c r="D308">
        <v>1</v>
      </c>
      <c r="E308">
        <v>1</v>
      </c>
      <c r="F308" s="3">
        <f>747.2+(430.7-331.9)+(-2.667504+(-1.537599--1.184883))+0-159.3--0.568701000000002</f>
        <v>684.24848099999997</v>
      </c>
      <c r="G308" s="3">
        <f>748.8+(425.6-346.6)+(-1.527552+(-0.868224--0.707064))+0-154.1--0.314363999999993</f>
        <v>672.32565199999988</v>
      </c>
      <c r="H308" s="3">
        <f>755.5+(357.5-303.7)+(0.385305+(0.182325-0.154887))+0-153.8-0.0784379999999844</f>
        <v>655.83430499999986</v>
      </c>
      <c r="I308" s="3">
        <f>742.5+(309.1-247.2)+(0+(0-0))+0-155-0</f>
        <v>649.40000000000009</v>
      </c>
      <c r="J308" s="3">
        <f>711.9+(354.4-261.6)+(-1.089207+(-0.542232--0.400248))+0-154.4--0.236232000000009</f>
        <v>649.30504099999996</v>
      </c>
      <c r="K308" s="3">
        <f>711.7+(360.8-251)+(0.362967+(0.184008-0.12801))+0-155-0.0790499999999843</f>
        <v>666.83991500000002</v>
      </c>
      <c r="L308" s="3">
        <f>717.8+(360.1-201.6)+(0.366078+(0.183651-0.102816))+0-153.6-0.0783359999999844</f>
        <v>723.06857699999989</v>
      </c>
      <c r="M308" s="3">
        <f>730.6+(360.2-188.6)+(-0.745212+(-0.367404--0.192372))+0-157.5--0.160650000000025</f>
        <v>743.94040600000005</v>
      </c>
      <c r="N308" s="3">
        <f>803.8+(391.6-236)+(-0.819876+(-0.399432--0.24072))+0-158.4--0.161568000000025</f>
        <v>800.18298000000004</v>
      </c>
      <c r="O308" s="3">
        <f>817.1+(469.3-325.6)+(-0.416721+(-0.239343--0.166056))+0-156.3--0.0797129999999841</f>
        <v>804.08970499999998</v>
      </c>
      <c r="P308" s="3">
        <f>853.2+(515.7-419.2)+(-1.740528+(-1.052028--0.855168))+0-152.7--0.311507999999993</f>
        <v>795.37411999999995</v>
      </c>
      <c r="Q308" s="3">
        <f>876.8+(523.5-428.8)+(-1.341504+(-0.800955--0.656064))+0-150.8--0.230724000000009</f>
        <v>819.44432899999993</v>
      </c>
      <c r="R308" s="3">
        <f>910.4+(451.7-389.3)+(-2.32152+(-1.151835--0.992715))+0-153.2--0.390659999999978</f>
        <v>817.51001999999994</v>
      </c>
      <c r="S308" s="3">
        <f>912.1+(369.6-315.2)+(0.930342+(0.376992-0.321504))+0-156.7-0.159834000000025</f>
        <v>810.62599599999999</v>
      </c>
      <c r="T308" s="3">
        <f>916.4+(372.5-338.8)+(-0.467364+(-0.189975--0.172788))+0-145.2--0.0740519999999853</f>
        <v>804.48950099999979</v>
      </c>
      <c r="U308" s="3">
        <f>923.3+(323.7-309)+(0.470883+(0.165087-0.15759))+0-137-0.0698699999999861</f>
        <v>801.40850999999998</v>
      </c>
      <c r="V308" s="3">
        <f>924.1+(356.2-326.8)+(0+(0-0))+0-140.9-0</f>
        <v>812.6</v>
      </c>
      <c r="W308" s="3">
        <f>928.1+(386.7-276.3)+(1.419993+(0.591651-0.422739))+0-150.2-0.229806000000009</f>
        <v>889.65909899999997</v>
      </c>
      <c r="X308" s="3">
        <f>937.7+(394.6-261.2)+(-1.434681+(-0.603738--0.399636))+0-152.6--0.233478000000009</f>
        <v>917.094695</v>
      </c>
      <c r="Y308" s="3">
        <f>943+(372.5-270.2)+(-1.44279+(-0.569925--0.413406))+0-150.8--0.230724000000009</f>
        <v>893.13141500000006</v>
      </c>
      <c r="Z308" s="3">
        <f>943.8+(338.6-272.7)+(-1.925352+(-0.690744--0.556308))+0-153.4--0.312935999999993</f>
        <v>854.55314800000008</v>
      </c>
      <c r="AA308" s="3">
        <f>953.3+(360.8-318)+(-0.486183+(-0.184008--0.16218))+0-156.1--0.0796109999999842</f>
        <v>839.57159999999988</v>
      </c>
      <c r="AB308" s="3">
        <f>944.8+(383.8-365.3)+(-1.927392+(-0.782952--0.745212))+0-156.1--0.318443999999993</f>
        <v>805.55331199999989</v>
      </c>
      <c r="AC308" s="3">
        <f>944.8+(417-439.6)+(-3.854784+(-1.70136--1.793568))+0-158.4--0.646271999999986</f>
        <v>760.68369599999994</v>
      </c>
      <c r="AD308">
        <f t="shared" si="4"/>
        <v>18670.934503</v>
      </c>
      <c r="AE308" s="3">
        <f>927+(403.4-252.3)+(0+(0-0))+0-152.6-0</f>
        <v>925.49999999999989</v>
      </c>
    </row>
    <row r="309" spans="1:31" s="2" customFormat="1" x14ac:dyDescent="0.25">
      <c r="A309">
        <v>89</v>
      </c>
      <c r="B309">
        <v>11</v>
      </c>
      <c r="C309">
        <v>3</v>
      </c>
      <c r="D309">
        <v>2</v>
      </c>
      <c r="E309">
        <v>1</v>
      </c>
      <c r="F309" s="3">
        <f>948+(413.3-475.5)+(-1.45044+(-0.632349--0.727515))+0-160--0.244800000000009</f>
        <v>724.689526</v>
      </c>
      <c r="G309" s="3">
        <f>962+(390.8-492.4)+(-1.96248+(-0.797232--1.004496))+0-157--0.320279999999993</f>
        <v>701.9650640000001</v>
      </c>
      <c r="H309" s="3">
        <f>959.8+(361.8-470.5)+(-2.44749+(-0.92259--1.199775))+0-155.5--0.396524999999977</f>
        <v>693.82621999999992</v>
      </c>
      <c r="I309" s="3">
        <f>960.7+(364.3-481.8)+(0.489957+(0.185793-0.245718))+0-156.4-0.0797639999999841</f>
        <v>687.1502680000001</v>
      </c>
      <c r="J309" s="3">
        <f>967+(353.2-477)+(0.98634+(0.360264-0.48654))+0-156.1-0.159222000000025</f>
        <v>687.80084199999999</v>
      </c>
      <c r="K309" s="3">
        <f>959.8+(344.8-442.1)+(0+(0-0))+0-155.4-0</f>
        <v>707.1</v>
      </c>
      <c r="L309" s="3">
        <f>967.3+(369.4-426.7)+(-1.973292+(-0.753576--0.870468))+0-151.4--0.308855999999993</f>
        <v>757.05245600000001</v>
      </c>
      <c r="M309" s="3">
        <f>962.2+(399.9-408.2)+(-0.981444+(-0.407898--0.416364))+0-157.6--0.160752000000025</f>
        <v>795.48777400000006</v>
      </c>
      <c r="N309" s="3">
        <f>958.2+(470.4-437.7)+(0+(0-0))+0-154.5-0</f>
        <v>836.40000000000009</v>
      </c>
      <c r="O309" s="3">
        <f>956.3+(532.7-495.2)+(-0.487713+(-0.271677--0.252552))+0-150.2--0.0766019999999848</f>
        <v>843.16976399999987</v>
      </c>
      <c r="P309" s="3">
        <f>951.6+(532.5-488.6)+(-0.485316+(-0.271575--0.249186))+0-144.9--0.0738989999999853</f>
        <v>850.16619400000002</v>
      </c>
      <c r="Q309" s="3">
        <f>948.2+(528.6-477.6)+(-0.967164+(-0.539172--0.487152))+0-144.9--0.147798000000023</f>
        <v>853.42861400000015</v>
      </c>
      <c r="R309" s="3">
        <f>947.2+(492.7-459.9)+(-0.483072+(-0.251277--0.234549))+0-141.1--0.0719609999999857</f>
        <v>838.47216099999991</v>
      </c>
      <c r="S309" s="3">
        <f>941.7+(436.8-414.5)+(-0.480267+(-0.222768--0.211395))+0-136.9--0.0698189999999861</f>
        <v>826.678179</v>
      </c>
      <c r="T309" s="3">
        <f>940.7+(469.5-456.7)+(-2.398785+(-1.197225--1.164585))+0-131.5--0.335324999999981</f>
        <v>819.90390000000002</v>
      </c>
      <c r="U309" s="3">
        <f>941.2+(487.4-482.6)+(0.480012+(0.248574-0.246126))+0-134.3-0.0684929999999864</f>
        <v>812.113967</v>
      </c>
      <c r="V309" s="3">
        <f>941.4+(508.6-486.4)+(-1.440342+(-0.778158--0.744192))+0-138.1--0.211293000000008</f>
        <v>824.236985</v>
      </c>
      <c r="W309" s="3">
        <f>945.1+(524.3-417.2)+(-0.964002+(-0.534786--0.425544))+0-143.9--0.146778000000023</f>
        <v>907.37353400000018</v>
      </c>
      <c r="X309" s="3">
        <f>947.8+(549.8-414.9)+(-1.933512+(-1.121592--0.846396))+0-146--0.297839999999994</f>
        <v>934.78913199999988</v>
      </c>
      <c r="Y309" s="3">
        <f>954.8+(541.9-443.4)+(-1.947792+(-1.105476--0.904536))+0-140.8--0.287231999999994</f>
        <v>910.63849999999991</v>
      </c>
      <c r="Z309" s="3">
        <f>953.3+(515.5-454.2)+(-0.486183+(-0.262905--0.231642))+0-142.6--0.0727259999999855</f>
        <v>871.55527999999993</v>
      </c>
      <c r="AA309" s="3">
        <f>952.1+(502-460.7)+(-0.485571+(-0.25602--0.234957))+0-143.9--0.0733889999999854</f>
        <v>849.06675500000017</v>
      </c>
      <c r="AB309" s="3">
        <f>948+(466.5-445.7)+(0+(0-0))+0-149.9-0</f>
        <v>818.9</v>
      </c>
      <c r="AC309" s="3">
        <f>947.3+(421.8-452.7)+(-2.415615+(-1.07559--1.154385))+0-150.5--0.383774999999978</f>
        <v>763.946955</v>
      </c>
      <c r="AD309">
        <f t="shared" si="4"/>
        <v>19315.912069999998</v>
      </c>
      <c r="AE309" s="3">
        <f>941+(567.5-430)+(0+(0-0))+0-146-0</f>
        <v>932.5</v>
      </c>
    </row>
    <row r="310" spans="1:31" s="2" customFormat="1" x14ac:dyDescent="0.25">
      <c r="A310">
        <v>89</v>
      </c>
      <c r="B310">
        <v>11</v>
      </c>
      <c r="C310">
        <v>4</v>
      </c>
      <c r="D310">
        <v>3</v>
      </c>
      <c r="E310">
        <v>1</v>
      </c>
      <c r="F310" s="3">
        <f>948.1+(372.3-439.9)+(-0.967062+(-0.379746--0.448698))+0-155.1--0.158202000000025</f>
        <v>724.66009200000008</v>
      </c>
      <c r="G310" s="3">
        <f>946.8+(392-479.7)+(-0.482868+(-0.19992--0.244647))+0-146.9--0.0749189999999851</f>
        <v>711.83677799999998</v>
      </c>
      <c r="H310" s="3">
        <f>950.8+(384-495.9)+(-0.969816+(-0.39168--0.505818))+0-144.2--0.147084000000023</f>
        <v>693.99140599999998</v>
      </c>
      <c r="I310" s="3">
        <f>948.7+(378.4-493.1)+(0.967674+(0.385968-0.502962))+0-149.4-0.152388000000024</f>
        <v>685.29829200000006</v>
      </c>
      <c r="J310" s="3">
        <f>953+(373.9-493.2)+(0.97206+(0.381378-0.503064))+0-146.9-0.149838000000023</f>
        <v>687.50053600000001</v>
      </c>
      <c r="K310" s="3">
        <f>958.9+(392-508.6)+(1.956156+(0.79968-1.037544))+0-147.1-0.300083999999994</f>
        <v>696.61820799999998</v>
      </c>
      <c r="L310" s="3">
        <f>957.7+(394.6-451.4)+(-1.465281+(-0.603738--0.690642))+0-149.3--0.228429000000009</f>
        <v>750.45005200000014</v>
      </c>
      <c r="M310" s="3">
        <f>966.7+(380.8-397.3)+(-2.465085+(-0.97104--1.013115))+0-150.4--0.383519999999978</f>
        <v>797.76051000000007</v>
      </c>
      <c r="N310" s="3">
        <f>941+(426-360)+(0+(0-0))+0-150.5-0</f>
        <v>856.5</v>
      </c>
      <c r="O310" s="3">
        <f>964.5+(495-479.9)+(0+(0-0))+0-154.2-0</f>
        <v>825.40000000000009</v>
      </c>
      <c r="P310" s="3">
        <f>954.6+(508.1-466.5)+(-1.947384+(-1.036524--0.95166))+0-152.9--0.311915999999993</f>
        <v>841.57966800000008</v>
      </c>
      <c r="Q310" s="3">
        <f>951.4+(515.5-464.2)+(-2.42607+(-1.314525--1.18371))+0-153--0.390149999999978</f>
        <v>847.53326500000003</v>
      </c>
      <c r="R310" s="3">
        <f>942.5+(506-460.4)+(-1.9227+(-1.03224--0.939216))+0-151.8--0.309671999999993</f>
        <v>834.59394800000007</v>
      </c>
      <c r="S310" s="3">
        <f>934.8+(483.2-437.7)+(-0.476748+(-0.246432--0.223227))+0-152.8--0.0779279999999845</f>
        <v>827.07797499999992</v>
      </c>
      <c r="T310" s="3">
        <f>936.7+(424.4-393.1)+(0+(0-0))+0-156.9-0</f>
        <v>811.1</v>
      </c>
      <c r="U310" s="3">
        <f>937.9+(414.4-392.2)+(1.434987+(0.634032-0.600066))+0-152.4-0.233172000000009</f>
        <v>808.93578100000002</v>
      </c>
      <c r="V310" s="3">
        <f>942.5+(446.3-402.4)+(0+(0-0))+0-155-0</f>
        <v>831.40000000000009</v>
      </c>
      <c r="W310" s="3">
        <f>943.8+(503-384.5)+(0+(0-0))+0-153-0</f>
        <v>909.3</v>
      </c>
      <c r="X310" s="3">
        <f>955.2+(489.9-361)+(-1.461456+(-0.749547--0.55233))+0-151.4--0.231642000000009</f>
        <v>931.27296899999999</v>
      </c>
      <c r="Y310" s="3">
        <f>950.3+(469.3-368.4)+(-1.453959+(-0.718029--0.563652))+0-149.5--0.228735000000009</f>
        <v>900.32039900000007</v>
      </c>
      <c r="Z310" s="3">
        <f>955.5+(435.1-373.6)+(-1.461915+(-0.665703--0.571608))+0-158.1--0.241893000000009</f>
        <v>857.58588299999997</v>
      </c>
      <c r="AA310" s="3">
        <f>956.5+(458.2-405.6)+(-0.487815+(-0.233682--0.206856))+0-159--0.0810899999999839</f>
        <v>849.66644899999994</v>
      </c>
      <c r="AB310" s="3">
        <f>962+(442.7-430.5)+(-0.98124+(-0.451554--0.43911))+0-158.5--0.161670000000025</f>
        <v>814.86798600000009</v>
      </c>
      <c r="AC310" s="3">
        <f>962.8+(444.3-476)+(0+(0-0))+0-158.9-0</f>
        <v>772.19999999999993</v>
      </c>
      <c r="AD310">
        <f t="shared" si="4"/>
        <v>19267.450197000002</v>
      </c>
      <c r="AE310" s="3">
        <f>953+(496.7-368.7)+(0+(0-0))+0-151.4-0</f>
        <v>929.6</v>
      </c>
    </row>
    <row r="311" spans="1:31" s="2" customFormat="1" x14ac:dyDescent="0.25">
      <c r="A311">
        <v>89</v>
      </c>
      <c r="B311">
        <v>11</v>
      </c>
      <c r="C311">
        <v>5</v>
      </c>
      <c r="D311">
        <v>4</v>
      </c>
      <c r="E311">
        <v>5</v>
      </c>
      <c r="F311" s="3">
        <f>964.5+(416.6-493.6)+(-0.491895+(-0.212466--0.251736))+0-155.2--0.0791519999999842</f>
        <v>731.92652700000008</v>
      </c>
      <c r="G311" s="3">
        <f>972.5+(420.7-530.5)+(-1.487925+(-0.643671--0.811665))+0-150--0.229500000000009</f>
        <v>711.60956900000008</v>
      </c>
      <c r="H311" s="3">
        <f>971.2+(415.8-545.2)+(0.990624+(0.424116-0.556104))+0-147.2-0.150144000000023</f>
        <v>695.308492</v>
      </c>
      <c r="I311" s="3">
        <f>966.3+(404.9-533.3)+(-0.492813+(-0.206499--0.271983))+0-149.3--0.0761429999999849</f>
        <v>688.24881400000004</v>
      </c>
      <c r="J311" s="3">
        <f>970.3+(368.3-496.5)+(-0.494853+(-0.187833--0.253215))+0-154.9--0.0789989999999843</f>
        <v>686.84952799999985</v>
      </c>
      <c r="K311" s="3">
        <f>973.8+(337.2-461.1)+(0.496638+(0.171972-0.235161))+0-155.5-0.0793049999999842</f>
        <v>694.75414399999988</v>
      </c>
      <c r="L311" s="3">
        <f>965.1+(366.2-460.4)+(-2.953206+(-1.120572--1.408824))+0-156.1--0.477666000000018</f>
        <v>712.6127120000001</v>
      </c>
      <c r="M311" s="3">
        <f>972.5+(292.3-373)+(-2.479875+(-0.745365--0.95115))+0-158.5--0.404174999999977</f>
        <v>731.43008499999996</v>
      </c>
      <c r="N311" s="3">
        <f>972.3+(328-367.9)+(-0.991746+(-0.33456--0.375258))+0-159.9--0.163098000000026</f>
        <v>771.71204999999998</v>
      </c>
      <c r="O311" s="3">
        <f>959.9+(359.9-370.9)+(-1.958196+(-0.734196--0.756636))+0-155.4--0.317015999999993</f>
        <v>791.88126</v>
      </c>
      <c r="P311" s="3">
        <f>939.6+(391.3-391.5)+(-1.437588+(-0.598689--0.598995))+0-151.9--0.232407000000009</f>
        <v>786.2951250000001</v>
      </c>
      <c r="Q311" s="3">
        <f>930.3+(408.5-407)+(-2.372265+(-1.041675--1.03785))+0-143.4--0.365669999999979</f>
        <v>786.38958000000002</v>
      </c>
      <c r="R311" s="3">
        <f>923.9+(395.8-404)+(-2.827134+(-1.211148--1.23624))+0-142.3--0.435438000000016</f>
        <v>771.03339600000004</v>
      </c>
      <c r="S311" s="3">
        <f>916+(413.8-410.4)+(-0.93432+(-0.422076--0.418608))+0-147--0.149940000000023</f>
        <v>771.61215200000015</v>
      </c>
      <c r="T311" s="3">
        <f>909.3+(370.4-376.9)+(-2.318715+(-0.94452--0.961095))+0-140.1--0.35725499999998</f>
        <v>760.75511499999993</v>
      </c>
      <c r="U311" s="3">
        <f>912.3+(341.3-356.4)+(0.930546+(0.348126-0.363528))+0-146-0.148920000000023</f>
        <v>751.96622400000012</v>
      </c>
      <c r="V311" s="3">
        <f>912.3+(376.4-366.5)+(0.930546+(0.383928-0.37383))+0-158.5-0.161670000000025</f>
        <v>764.47897399999988</v>
      </c>
      <c r="W311" s="3">
        <f>923.7+(381.2-306.6)+(0+(0-0))+0-162.6-0</f>
        <v>835.69999999999993</v>
      </c>
      <c r="X311" s="3">
        <f>927.8+(410.2-298.3)+(-0.473178+(-0.209202--0.152133))+0-161.8--0.0825179999999836</f>
        <v>877.45227099999988</v>
      </c>
      <c r="Y311" s="3">
        <f>933.7+(411.9-328.2)+(-1.904748+(-0.840276--0.669528))+0-159.7--0.325787999999993</f>
        <v>855.9502920000001</v>
      </c>
      <c r="Z311" s="3">
        <f>938.8+(379.6-326)+(0+(0-0))+0-162.3-0</f>
        <v>830.09999999999991</v>
      </c>
      <c r="AA311" s="3">
        <f>936.7+(373.7-339)+(0+(0-0))+0-160.6-0</f>
        <v>810.80000000000007</v>
      </c>
      <c r="AB311" s="3">
        <f>940.4+(360.2-365.8)+(-2.877624+(-1.102212--1.119348))+0-161.1--0.492966000000019</f>
        <v>771.33247799999992</v>
      </c>
      <c r="AC311" s="3">
        <f>938.8+(319.3-364.7)+(-0.957576+(-0.325686--0.371994))+0-159.8--0.162996000000025</f>
        <v>732.85172800000009</v>
      </c>
      <c r="AD311">
        <f t="shared" si="4"/>
        <v>18323.050516000003</v>
      </c>
      <c r="AE311" s="3">
        <f>937+(391.5-290.6)+(0+(0-0))+0-161.1-0</f>
        <v>876.80000000000007</v>
      </c>
    </row>
    <row r="312" spans="1:31" s="2" customFormat="1" x14ac:dyDescent="0.25">
      <c r="A312">
        <v>89</v>
      </c>
      <c r="B312">
        <v>11</v>
      </c>
      <c r="C312">
        <v>6</v>
      </c>
      <c r="D312">
        <v>5</v>
      </c>
      <c r="E312">
        <v>1</v>
      </c>
      <c r="F312" s="3">
        <f>942.3+(324.2-406.2)+(-1.441719+(-0.496026--0.621486))+0-157.4--0.240822000000009</f>
        <v>701.82456300000001</v>
      </c>
      <c r="G312" s="3">
        <f>942.9+(308.6-403.9)+(-0.480879+(-0.157386--0.205989))+0-160.7--0.0819569999999837</f>
        <v>686.54968100000008</v>
      </c>
      <c r="H312" s="3">
        <f>939.5+(274.1-380.3)+(0.479145+(0.139791-0.193953))+0-158-0.080579999999984</f>
        <v>675.64440300000001</v>
      </c>
      <c r="I312" s="3">
        <f>943.2+(254.8-366.3)+(0+(0-0))+0-158.2-0</f>
        <v>673.5</v>
      </c>
      <c r="J312" s="3">
        <f>935.9+(264.7-367.4)+(1.909236+(0.539988-0.749496))+0-158-0.322319999999993</f>
        <v>676.5774080000001</v>
      </c>
      <c r="K312" s="3">
        <f>936.1+(290.4-360.4)+(0.477411+(0.148104-0.183804))+0-159.9-0.0815489999999838</f>
        <v>706.5601620000001</v>
      </c>
      <c r="L312" s="3">
        <f>932.7+(331.2-337.5)+(-0.951354+(-0.337824--0.34425))+0-160.4--0.163608000000026</f>
        <v>765.21868000000018</v>
      </c>
      <c r="M312" s="3">
        <f>909.9+(358.4-288.4)+(0.928098+(0.365568-0.294168))+0-162.4-0.165648000000026</f>
        <v>818.33384999999998</v>
      </c>
      <c r="N312" s="3">
        <f>918.7+(453.7-371.1)+(-0.468537+(-0.231387--0.189261))+0-158.6--0.0808859999999839</f>
        <v>842.27022299999987</v>
      </c>
      <c r="O312" s="3">
        <f>913.8+(497.7-400)+(-0.932076+(-0.507654--0.408))+0-151.7--0.154734000000024</f>
        <v>858.92300400000011</v>
      </c>
      <c r="P312" s="3">
        <f>911.5+(487.9-389.7)+(0.92973+(0.497658-0.397494))+0-148.9-0.151878000000024</f>
        <v>861.67801600000007</v>
      </c>
      <c r="Q312" s="3">
        <f>905.3+(479.1-379.8)+(0.461703+(0.244341-0.193698))+0-147-0.0749699999999851</f>
        <v>858.03737599999988</v>
      </c>
      <c r="R312" s="3">
        <f>891+(485.6-387.6)+(-2.27205+(-1.23828--0.98838))+0-147.7--0.376634999999979</f>
        <v>839.15468500000009</v>
      </c>
      <c r="S312" s="3">
        <f>884.1+(483.7-385)+(0+(0-0))+0-152.4-0</f>
        <v>830.4</v>
      </c>
      <c r="T312" s="3">
        <f>881.2+(487.3-387.2)+(0+(0-0))+0-158.3-0</f>
        <v>823</v>
      </c>
      <c r="U312" s="3">
        <f>882.7+(425.4-325.9)+(-0.450177+(-0.216954--0.166209))+0-154.2--0.0786419999999843</f>
        <v>827.57772</v>
      </c>
      <c r="V312" s="3">
        <f>891+(442.1-309.6)+(-1.81764+(-0.901884--0.631584))+0-159.9--0.326195999999993</f>
        <v>861.838256</v>
      </c>
      <c r="W312" s="3">
        <f>901.1+(487.6-304.4)+(-1.838244+(-0.994704--0.620976))+0-161.9--0.330275999999993</f>
        <v>920.51830400000017</v>
      </c>
      <c r="X312" s="3">
        <f>911.8+(464-284.8)+(0.465018+(0.23664-0.145248))+0-159.8-0.0814979999999838</f>
        <v>931.67491199999995</v>
      </c>
      <c r="Y312" s="3">
        <f>912.1+(481.2-335.1)+(0.465171+(0.245412-0.170901))+0-155.9-0.0795089999999842</f>
        <v>902.76017300000012</v>
      </c>
      <c r="Z312" s="3">
        <f>918.8+(454-360.4)+(-2.34294+(-1.1577--0.91902))+0-146.4--0.373319999999979</f>
        <v>863.79169999999999</v>
      </c>
      <c r="AA312" s="3">
        <f>912.2+(447.7-366)+(0+(0-0))+0-153.2-0</f>
        <v>840.7</v>
      </c>
      <c r="AB312" s="3">
        <f>925.1+(391.8-368.8)+(-2.359005+(-0.99909--0.94044))+0-154.4--0.393719999999978</f>
        <v>791.67606500000011</v>
      </c>
      <c r="AC312" s="3">
        <f>928.6+(342-365.9)+(-2.841516+(-1.04652--1.119654))+0-155.6--0.476136000000018</f>
        <v>746.80775400000005</v>
      </c>
      <c r="AD312">
        <f t="shared" si="4"/>
        <v>19305.016935000003</v>
      </c>
      <c r="AE312" s="3">
        <f>921+(474.8-300.9)+(0+(0-0))+0-164.2-0</f>
        <v>930.7</v>
      </c>
    </row>
    <row r="313" spans="1:31" s="2" customFormat="1" x14ac:dyDescent="0.25">
      <c r="A313">
        <v>89</v>
      </c>
      <c r="B313">
        <v>11</v>
      </c>
      <c r="C313">
        <v>7</v>
      </c>
      <c r="D313">
        <v>6</v>
      </c>
      <c r="E313">
        <v>1</v>
      </c>
      <c r="F313" s="3">
        <f>896.8+(282.6-313.5)+(-1.372104+(-0.432378--0.479655))+0-159.4--0.243882000000009</f>
        <v>705.41905499999996</v>
      </c>
      <c r="G313" s="3">
        <f>881.5+(251.4-295.3)+(1.79826+(0.512856-0.602412))+0-158.4-0.323135999999993</f>
        <v>680.58556800000008</v>
      </c>
      <c r="H313" s="3">
        <f>884.3+(193.4-246.7)+(1.352979+(0.295902-0.377451))+0-158.4-0.242352000000009</f>
        <v>673.62907800000005</v>
      </c>
      <c r="I313" s="3">
        <f>888.9+(181-237.8)+(0.453339+(0.09231-0.121278))+0-158.8-0.0809879999999839</f>
        <v>673.64338299999986</v>
      </c>
      <c r="J313" s="3">
        <f>885.7+(196.9-241.1)+(0+(0-0))+0-157.9-0</f>
        <v>683.6</v>
      </c>
      <c r="K313" s="3">
        <f>887.6+(261.6-273.8)+(0+(0-0))+0-159.3-0</f>
        <v>716.10000000000014</v>
      </c>
      <c r="L313" s="3">
        <f>885.5+(339.7-298.8)+(0.90321+(0.346494-0.304776))+0-157.6-0.160752000000025</f>
        <v>769.58417599999996</v>
      </c>
      <c r="M313" s="3">
        <f>887.5+(358.2-256.8)+(-0.452625+(-0.182682--0.130968))+0-159.8--0.0814979999999838</f>
        <v>828.67715900000007</v>
      </c>
      <c r="N313" s="3">
        <f>882.8+(385.5-242.2)+(-0.900456+(-0.39321--0.247044))+0-159.1--0.162282000000025</f>
        <v>866.11565999999982</v>
      </c>
      <c r="O313" s="3">
        <f>909.2+(381.2-250.2)+(-1.854768+(-0.777648--0.510408))+0-160.3--0.327011999999993</f>
        <v>878.10500400000001</v>
      </c>
      <c r="P313" s="3">
        <f>919.6+(357.2-241.5)+(-0.468996+(-0.182172--0.123165))+0-154.5--0.0787949999999843</f>
        <v>880.35079200000007</v>
      </c>
      <c r="Q313" s="3">
        <f>917.8+(428.3-321.7)+(0+(0-0))+0-146.8-0</f>
        <v>877.60000000000014</v>
      </c>
      <c r="R313" s="3">
        <f>917.2+(431.9-346.9)+(-1.871088+(-0.881076--0.707676))+0-148.6--0.303143999999993</f>
        <v>851.858656</v>
      </c>
      <c r="S313" s="3">
        <f>909+(458.8-382.3)+(-3.24513+(-1.637916--1.364811))+0-152.7--0.545139000000002</f>
        <v>829.8269039999999</v>
      </c>
      <c r="T313" s="3">
        <f>910.6+(421-365.5)+(-2.32203+(-1.07355--0.932025))+0-154.3--0.393464999999978</f>
        <v>809.7299099999999</v>
      </c>
      <c r="U313" s="3">
        <f>911.3+(421.9-385.4)+(-0.929526+(-0.430338--0.393108))+0-149.3--0.152286000000024</f>
        <v>797.68552999999997</v>
      </c>
      <c r="V313" s="3">
        <f>916.8+(393.3-349.5)+(-1.870272+(-0.802332--0.71298))+0-152.3--0.310691999999993</f>
        <v>806.6510679999999</v>
      </c>
      <c r="W313" s="3">
        <f>922.1+(378.3-262.1)+(0.470271+(0.192933-0.133671))+0-157.6-0.080375999999984</f>
        <v>881.14915699999983</v>
      </c>
      <c r="X313" s="3">
        <f>919.4+(374.6-245.4)+(-2.34447+(-0.95523--0.62577))+0-155.4--0.396269999999977</f>
        <v>890.92233999999996</v>
      </c>
      <c r="Y313" s="3">
        <f>924+(362.8-273.3)+(-1.41372+(-0.555084--0.418149))+0-150.4--0.230112000000009</f>
        <v>861.77945699999998</v>
      </c>
      <c r="Z313" s="3">
        <f>922.2+(332.2-258.6)+(-0.470322+(-0.169422--0.131886))+0-153.4--0.0782339999999844</f>
        <v>841.97037599999987</v>
      </c>
      <c r="AA313" s="3">
        <f>924.2+(328.2-284.7)+(-0.942684+(-0.334764--0.290394))+0-155.7--0.158814000000025</f>
        <v>811.17176000000006</v>
      </c>
      <c r="AB313" s="3">
        <f>920.7+(302.5-298.9)+(-1.878228+(-0.6171--0.609756))+0-147.4--0.300695999999994</f>
        <v>775.31512400000008</v>
      </c>
      <c r="AC313" s="3">
        <f>921.5+(286-307.9)+(0+(0-0))+0-149.7-0</f>
        <v>749.90000000000009</v>
      </c>
      <c r="AD313">
        <f t="shared" si="4"/>
        <v>19141.370157000001</v>
      </c>
      <c r="AE313" s="3">
        <f>932+(379.3-244.5)+(0+(0-0))+0-152.8-0</f>
        <v>914</v>
      </c>
    </row>
    <row r="314" spans="1:31" s="2" customFormat="1" x14ac:dyDescent="0.25">
      <c r="A314">
        <v>89</v>
      </c>
      <c r="B314">
        <v>11</v>
      </c>
      <c r="C314">
        <v>8</v>
      </c>
      <c r="D314">
        <v>7</v>
      </c>
      <c r="E314">
        <v>1</v>
      </c>
      <c r="F314" s="3">
        <f>919.3+(287.8-338)+(-2.344215+(-0.73389--0.8619))+0-154.5--0.393974999999978</f>
        <v>712.77776999999992</v>
      </c>
      <c r="G314" s="3">
        <f>920.5+(297-370.8)+(-1.408365+(-0.45441--0.567324))+0-155--0.237150000000009</f>
        <v>690.64169900000013</v>
      </c>
      <c r="H314" s="3">
        <f>918.4+(272.9-371.3)+(-0.468384+(-0.139179--0.189363))+0-144.4--0.0736439999999854</f>
        <v>675.25544400000001</v>
      </c>
      <c r="I314" s="3">
        <f>918.7+(286.7-379.8)+(-0.468537+(-0.146217--0.193698))+0-149.4--0.0761939999999848</f>
        <v>675.85513800000001</v>
      </c>
      <c r="J314" s="3">
        <f>930.6+(314.6-405.6)+(0.474606+(0.160446-0.206856))+0-152.3-0.0776729999999846</f>
        <v>687.65052300000002</v>
      </c>
      <c r="K314" s="3">
        <f>937.6+(315.8-401.1)+(-1.434528+(-0.483174--0.613683))+0-152.1--0.232713000000009</f>
        <v>699.12869399999988</v>
      </c>
      <c r="L314" s="3">
        <f>940.6+(332.9-398.4)+(-0.959412+(-0.339558--0.406368))+0-148.1--0.151062000000024</f>
        <v>726.25846000000001</v>
      </c>
      <c r="M314" s="3">
        <f>941.2+(317.5-344.4)+(0+(0-0))+0-148-0</f>
        <v>766.30000000000007</v>
      </c>
      <c r="N314" s="3">
        <f>934.8+(357.3-337.3)+(-0.953496+(-0.364446--0.344046))+0-151.3--0.154326000000024</f>
        <v>802.68043</v>
      </c>
      <c r="O314" s="3">
        <f>932.6+(384.7-339.9)+(1.426878+(0.588591-0.520047))+0-147.6-0.225828000000009</f>
        <v>831.06959400000005</v>
      </c>
      <c r="P314" s="3">
        <f>931.5+(389.5-332.7)+(-1.425195+(-0.595935--0.509031))+0-139.7--0.213741000000008</f>
        <v>847.3016419999999</v>
      </c>
      <c r="Q314" s="3">
        <f>923.1+(369.2-306.1)+(-0.941562+(-0.376584--0.312222))+0-139.5--0.142290000000022</f>
        <v>845.836366</v>
      </c>
      <c r="R314" s="3">
        <f>902.2+(374-301.5)+(-4.141098+(-1.71666--1.383885))+0-138.6--0.636174000000024</f>
        <v>832.26230099999998</v>
      </c>
      <c r="S314" s="3">
        <f>915.5+(343.8-297.7)+(0+(0-0))+0-146.6-0</f>
        <v>815</v>
      </c>
      <c r="T314" s="3">
        <f>921.2+(332.2-284.7)+(-0.469812+(-0.169422--0.145197))+0-161.3--0.0822629999999836</f>
        <v>806.98822599999994</v>
      </c>
      <c r="U314" s="3">
        <f>916.7+(325.3-267.4)+(-0.467517+(-0.165903--0.136374))+0-162--0.0826199999999836</f>
        <v>812.1855740000002</v>
      </c>
      <c r="V314" s="3">
        <f>915.2+(342.9-263.9)+(-1.400256+(-0.524637--0.403767))+0-166.3--0.25443900000001</f>
        <v>826.63331300000004</v>
      </c>
      <c r="W314" s="3">
        <f>931.2+(393.2-265.8)+(-1.899648+(-0.802128--0.542232))+0-168.3--0.343331999999993</f>
        <v>888.48378799999989</v>
      </c>
      <c r="X314" s="3">
        <f>943.3+(385.9-247.1)+(-1.924332+(-0.787236--0.504084))+0-165.9--0.338435999999993</f>
        <v>914.33095199999991</v>
      </c>
      <c r="Y314" s="3">
        <f>941.9+(358.1-247.2)+(-1.441107+(-0.547893--0.378216))+0-158.5--0.242505000000009</f>
        <v>892.93172100000004</v>
      </c>
      <c r="Z314" s="3">
        <f>938.5+(330.4-247.2)+(-0.95727+(-0.337008--0.252144))+0-160.6--0.163812000000026</f>
        <v>860.221678</v>
      </c>
      <c r="AA314" s="3">
        <f>942.4+(328.1-272.3)+(-0.480624+(-0.167331--0.138873))+0-163--0.0831299999999835</f>
        <v>834.77404799999999</v>
      </c>
      <c r="AB314" s="3">
        <f>948.2+(354.2-337)+(-0.967164+(-0.361284--0.34374))+0-165.2--0.168504000000026</f>
        <v>799.38379600000007</v>
      </c>
      <c r="AC314" s="3">
        <f>953+(343.4-378)+(-3.40221+(-1.225938--1.34946))+0-166.6--0.594762000000002</f>
        <v>749.11607399999991</v>
      </c>
      <c r="AD314">
        <f t="shared" si="4"/>
        <v>18993.067231000005</v>
      </c>
      <c r="AE314" s="3">
        <f>949+(383.7-252.5)+(0+(0-0))+0-165.8-0</f>
        <v>914.40000000000009</v>
      </c>
    </row>
    <row r="315" spans="1:31" s="2" customFormat="1" x14ac:dyDescent="0.25">
      <c r="A315">
        <v>89</v>
      </c>
      <c r="B315">
        <v>11</v>
      </c>
      <c r="C315">
        <v>9</v>
      </c>
      <c r="D315">
        <v>1</v>
      </c>
      <c r="E315">
        <v>1</v>
      </c>
      <c r="F315" s="3">
        <f>953.5+(349.1-432.8)+(0+(0-0))+0-170.6-0</f>
        <v>699.19999999999993</v>
      </c>
      <c r="G315" s="3">
        <f>953.4+(359.2-464.3)+(-3.403638+(-1.282344--1.657551))+0-167.5--0.597975000000002</f>
        <v>678.36954400000002</v>
      </c>
      <c r="H315" s="3">
        <f>954+(320.4-437.1)+(-0.48654+(-0.163404--0.222921))+0-165.6--0.0844559999999832</f>
        <v>671.3574329999999</v>
      </c>
      <c r="I315" s="3">
        <f>901.8+(293.1-358.7)+(-1.379754+(-0.448443--0.548811))+0-166.9--0.25535700000001</f>
        <v>668.27597100000003</v>
      </c>
      <c r="J315" s="3">
        <f>894.6+(288.2-346.2)+(0+(0-0))+0-165.7-0</f>
        <v>670.90000000000009</v>
      </c>
      <c r="K315" s="3">
        <f>896.3+(309.4-346.5)+(0+(0-0))+0-165.2-0</f>
        <v>694</v>
      </c>
      <c r="L315" s="3">
        <f>897.7+(363.1-338.3)+(0+(0-0))+0-174.4-0</f>
        <v>748.1</v>
      </c>
      <c r="M315" s="3">
        <f>901+(375.5-292.2)+(-2.29755+(-0.957525--0.74511))+0-181.3--0.462314999999974</f>
        <v>800.95235000000002</v>
      </c>
      <c r="N315" s="3">
        <f>893.4+(389.5-279.8)+(0.455634+(0.198645-0.142698))+0-175.4-0.0894539999999822</f>
        <v>828.12212699999998</v>
      </c>
      <c r="O315" s="3">
        <f>916.2+(441.2-371.1)+(-0.467262+(-0.225012--0.189261))+0-163.8--0.0835379999999834</f>
        <v>822.08052499999997</v>
      </c>
      <c r="P315" s="3">
        <f>937.4+(507.1-437.4)+(-0.956148+(-0.517242--0.446148))+0-163.1--0.166362000000026</f>
        <v>843.13912000000005</v>
      </c>
      <c r="Q315" s="3">
        <f>937.4+(542.3-464.3)+(-2.39037+(-1.382865--1.183965))+0-147.3--0.375614999999979</f>
        <v>865.88634499999966</v>
      </c>
      <c r="R315" s="3">
        <f>923.1+(555.7-480)+(0+(0-0))+0-150.3-0</f>
        <v>848.5</v>
      </c>
      <c r="S315" s="3">
        <f>919.7+(550-475.6)+(-1.876188+(-1.122--0.970224))+0-158.7--0.323747999999993</f>
        <v>833.695784</v>
      </c>
      <c r="T315" s="3">
        <f>907.5+(546-472.6)+(1.388475+(0.83538-0.723078))+0-158.6-0.242658000000009</f>
        <v>823.55811899999992</v>
      </c>
      <c r="U315" s="3">
        <f>906.9+(551-477)+(-1.387557+(-0.84303--0.72981))+0-152.7--0.233631000000009</f>
        <v>826.93285400000013</v>
      </c>
      <c r="V315" s="3">
        <f>902.3+(551.1-458.7)+(1.380519+(0.843183-0.701811))+0-156.2-0.238986000000009</f>
        <v>839.78290500000014</v>
      </c>
      <c r="W315" s="3">
        <f>918.9+(551.3-398.4)+(-1.405917+(-0.843489--0.609552))+0-164.3--0.25137900000001</f>
        <v>906.11152500000003</v>
      </c>
      <c r="X315" s="3">
        <f>937.8+(490-325.9)+(-2.869668+(-1.4994--0.997254))+0-165.2--0.505512000000019</f>
        <v>933.83369800000003</v>
      </c>
      <c r="Y315" s="3">
        <f>939.9+(487.8-352.7)+(-3.355443+(-1.741446--1.259139))+0-165.3--0.590121000000002</f>
        <v>906.45237100000008</v>
      </c>
      <c r="Z315" s="3">
        <f>940.5+(465.7-372.7)+(0.479655+(0.237507-0.190077))+0-163.6-0.0834359999999834</f>
        <v>870.34364899999991</v>
      </c>
      <c r="AA315" s="3">
        <f>941.3+(486.8-413.8)+(-0.480063+(-0.248268--0.211038))+0-165.2--0.0842519999999832</f>
        <v>848.66695900000002</v>
      </c>
      <c r="AB315" s="3">
        <f>942.3+(529.2-507.6)+(-0.480573+(-0.269892--0.258876))+0-163.7--0.0834869999999834</f>
        <v>799.79189800000006</v>
      </c>
      <c r="AC315" s="3">
        <f>940.3+(505.5-521.2)+(-0.479553+(-0.257805--0.265812))+0-166.5--0.0849149999999831</f>
        <v>757.71336899999994</v>
      </c>
      <c r="AD315">
        <f t="shared" si="4"/>
        <v>19185.766545999995</v>
      </c>
      <c r="AE315" s="3">
        <f>947+(488.3-320.6)+(0+(0-0))+0-169.8-0</f>
        <v>944.90000000000009</v>
      </c>
    </row>
    <row r="316" spans="1:31" s="2" customFormat="1" x14ac:dyDescent="0.25">
      <c r="A316">
        <v>89</v>
      </c>
      <c r="B316">
        <v>11</v>
      </c>
      <c r="C316">
        <v>10</v>
      </c>
      <c r="D316">
        <v>2</v>
      </c>
      <c r="E316">
        <v>1</v>
      </c>
      <c r="F316" s="3">
        <f>920+(422.9-456.8)+(0.4692+(0.215679-0.232968))+0-164.4-0.0838439999999833</f>
        <v>722.06806699999993</v>
      </c>
      <c r="G316" s="3">
        <f>923.2+(435.1-492)+(0+(0-0))+0-165.8-0</f>
        <v>700.5</v>
      </c>
      <c r="H316" s="3">
        <f>922+(413.8-484.5)+(-1.41066+(-0.633114--0.741285))+0-165.4--0.25306200000001</f>
        <v>684.85057299999994</v>
      </c>
      <c r="I316" s="3">
        <f>923.4+(386.4-466.6)+(-2.35467+(-0.98532--1.18983))+0-164.5--0.419474999999976</f>
        <v>676.96931499999982</v>
      </c>
      <c r="J316" s="3">
        <f>925.7+(392.7-471.3)+(0.944214+(0.400554-0.480726))+0-163.4-0.166668000000026</f>
        <v>684.39737400000001</v>
      </c>
      <c r="K316" s="3">
        <f>931.7+(398.4-475.3)+(-1.900668+(-0.812736--0.969612))+0-159.5--0.325379999999993</f>
        <v>693.88158799999997</v>
      </c>
      <c r="L316" s="3">
        <f>936.7+(396.7-431.8)+(1.910868+(0.809268-0.880872))+0-152.9-0.311915999999993</f>
        <v>750.22734800000001</v>
      </c>
      <c r="M316" s="3">
        <f>929.9+(426.7-405.3)+(0.474249+(0.217617-0.206703))+0-152.8-0.0779279999999845</f>
        <v>798.90723500000013</v>
      </c>
      <c r="N316" s="3">
        <f>918.1+(538.4-461.3)+(-2.341155+(-1.37292--1.176315))+0-148.9--0.379694999999978</f>
        <v>844.14193499999999</v>
      </c>
      <c r="O316" s="3">
        <f>913.3+(600.4-511.9)+(0.465783+(0.306204-0.261069))+0-147.1-0.0750209999999851</f>
        <v>855.13589699999989</v>
      </c>
      <c r="P316" s="3">
        <f>918.7+(642.8-553.9)+(-0.937074+(-0.655656--0.564978))+0-146.1--0.149022000000023</f>
        <v>860.6212700000001</v>
      </c>
      <c r="Q316" s="3">
        <f>911.4+(654.7-566.7)+(0+(0-0))+0-142.9-0</f>
        <v>856.5</v>
      </c>
      <c r="R316" s="3">
        <f>906.5+(665.6-586.9)+(-1.386945+(-1.018368--0.897957))+0-144.2--0.220626000000008</f>
        <v>839.71327000000019</v>
      </c>
      <c r="S316" s="3">
        <f>905.6+(669.9-602.8)+(-0.923712+(-0.683298--0.614856))+0-147.7--0.150654000000024</f>
        <v>824.1585</v>
      </c>
      <c r="T316" s="3">
        <f>902.4+(656.2-584.4)+(-0.920448+(-0.669324--0.596088))+0-148.4--0.151368000000024</f>
        <v>824.95768400000009</v>
      </c>
      <c r="U316" s="3">
        <f>901.8+(639.5-569)+(0.459918+(0.326145-0.29019))+0-143.4-0.0731339999999855</f>
        <v>829.32273899999996</v>
      </c>
      <c r="V316" s="3">
        <f>914.1+(660.5-568.9)+(-0.932382+(-0.67371--0.580278))+0-149--0.151980000000024</f>
        <v>855.82616600000006</v>
      </c>
      <c r="W316" s="3">
        <f>915.3+(684.2-525.9)+(0+(0-0))+0-151-0</f>
        <v>922.59999999999991</v>
      </c>
      <c r="X316" s="3">
        <f>921.2+(655.8-483.3)+(-0.939624+(-0.668916--0.492966))+0-147.4--0.150348000000024</f>
        <v>945.33477400000015</v>
      </c>
      <c r="Y316" s="3">
        <f>919.3+(628.1-477.4)+(-1.406529+(-0.960993--0.730422))+0-146.8--0.224604000000008</f>
        <v>921.78750400000013</v>
      </c>
      <c r="Z316" s="3">
        <f>920.9+(580-468.1)+(-1.878636+(-1.1832--0.954924))+0-151--0.308039999999993</f>
        <v>880.00112799999999</v>
      </c>
      <c r="AA316" s="3">
        <f>923+(568.1-489.5)+(-0.47073+(-0.289731--0.249645))+0-151.8--0.0774179999999846</f>
        <v>849.36660199999994</v>
      </c>
      <c r="AB316" s="3">
        <f>922.7+(564.2-519.5)+(-1.882308+(-1.150968--1.05978))+0-153.2--0.312527999999993</f>
        <v>812.53903200000025</v>
      </c>
      <c r="AC316" s="3">
        <f>927.8+(495.7-504.8)+(-0.946356+(-0.505614--0.514896))+0-161.4--0.164628000000026</f>
        <v>756.5275539999999</v>
      </c>
      <c r="AD316">
        <f t="shared" si="4"/>
        <v>19390.335555000001</v>
      </c>
      <c r="AE316" s="3">
        <f>934+(660.7-472.1)+(0+(0-0))+0-143-0</f>
        <v>979.59999999999991</v>
      </c>
    </row>
    <row r="317" spans="1:31" s="2" customFormat="1" x14ac:dyDescent="0.25">
      <c r="A317">
        <v>89</v>
      </c>
      <c r="B317">
        <v>11</v>
      </c>
      <c r="C317">
        <v>11</v>
      </c>
      <c r="D317">
        <v>3</v>
      </c>
      <c r="E317">
        <v>1</v>
      </c>
      <c r="F317" s="3">
        <f>885.5+(470.8-471.7)+(-2.258025+(-1.20054--1.202835))+0-159.2--0.405959999999977</f>
        <v>723.55022999999994</v>
      </c>
      <c r="G317" s="3">
        <f>867.6+(444.7-458.7)+(-1.769904+(-0.907188--0.935748))+0-166.1--0.338843999999993</f>
        <v>686.09749999999997</v>
      </c>
      <c r="H317" s="3">
        <f>873.7+(424.7-460.8)+(-1.782348+(-0.866388--0.940032))+0-158.1--0.322523999999993</f>
        <v>678.11382000000003</v>
      </c>
      <c r="I317" s="3">
        <f>875.6+(427.3-474.1)+(-2.23278+(-1.089615--1.208955))+0-159.5--0.406724999999977</f>
        <v>667.59328499999992</v>
      </c>
      <c r="J317" s="3">
        <f>873.7+(426.2-472.4)+(1.782348+(0.869448-0.963696))+0-148.4-0.302735999999994</f>
        <v>680.485364</v>
      </c>
      <c r="K317" s="3">
        <f>872.2+(433.7-463.1)+(2.22411+(1.105935-1.180905))+0-147.9-0.377144999999979</f>
        <v>696.67199500000004</v>
      </c>
      <c r="L317" s="3">
        <f>874.5+(435.7-408.3)+(1.337985+(0.666621-0.624699))+0-151.7-0.232101000000009</f>
        <v>751.34780599999999</v>
      </c>
      <c r="M317" s="3">
        <f>880.4+(484.8-402.7)+(1.347012+(0.741744-0.616131))+0-156.5-0.239445000000009</f>
        <v>807.23317999999995</v>
      </c>
      <c r="N317" s="3">
        <f>887.3+(585.8-484.3)+(0.905046+(0.597516-0.493986))+0-157.7-0.160854000000025</f>
        <v>831.94772199999989</v>
      </c>
      <c r="O317" s="3">
        <f>891.6+(593.7-501.8)+(-1.818864+(-1.211148--1.023672))+0-151.2--0.308447999999993</f>
        <v>830.60210800000004</v>
      </c>
      <c r="P317" s="3">
        <f>904.3+(596-519.7)+(1.383579+(0.91188-0.795141))+0-146.7-0.224451000000008</f>
        <v>835.17586699999993</v>
      </c>
      <c r="Q317" s="3">
        <f>922.6+(579.7-517.1)+(-1.411578+(-0.886941--0.791163))+0-149.3--0.228429000000009</f>
        <v>834.62107300000002</v>
      </c>
      <c r="R317" s="3">
        <f>922.4+(573-530.4)+(-3.292968+(-2.04561--1.893528))+0-152--0.542640000000002</f>
        <v>810.09758999999997</v>
      </c>
      <c r="S317" s="3">
        <f>922.8+(502.7-482.6)+(-0.470628+(-0.256377--0.246126))+0-154.6--0.0788459999999843</f>
        <v>787.89796699999988</v>
      </c>
      <c r="T317" s="3">
        <f>927.9+(465.9-462.7)+(-1.419687+(-0.712827--0.707931))+0-169.8--0.25979400000001</f>
        <v>760.13521100000003</v>
      </c>
      <c r="U317" s="3">
        <f>940.6+(469.4-471.8)+(-1.439118+(-0.718182--0.721854))+0-165.3--0.25290900000001</f>
        <v>771.71746300000018</v>
      </c>
      <c r="V317" s="3">
        <f>940.5+(450.5-437.1)+(-2.87793+(-1.37853--1.337526))+0-172.7--0.52846200000002</f>
        <v>778.809528</v>
      </c>
      <c r="W317" s="3">
        <f>945.5+(485.4-425.6)+(-3.375435+(-1.732878--1.519392))+0-173.5--0.619395000000002</f>
        <v>828.83047399999998</v>
      </c>
      <c r="X317" s="3">
        <f>956.4+(461.5-402.7)+(-2.926584+(-1.41219--1.232262))+0-177.3--0.542538000000021</f>
        <v>835.33602600000006</v>
      </c>
      <c r="Y317" s="3">
        <f>955.6+(439.5-419.6)+(0.974712+(0.44829-0.427992))+0-175.2-0.178704000000028</f>
        <v>801.11630600000001</v>
      </c>
      <c r="Z317" s="3">
        <f>956.3+(447.4-463.2)+(-0.975426+(-0.456348--0.472464))+0-177.9--0.181458000000028</f>
        <v>761.82214800000008</v>
      </c>
      <c r="AA317" s="3">
        <f>956.9+(448.6-496.8)+(-1.952076+(-0.915144--1.013472))+0-177.3--0.361691999999992</f>
        <v>729.90794400000004</v>
      </c>
      <c r="AB317" s="3">
        <f>954.8+(425.8-518.5)+(-2.921688+(-1.302948--1.58661))+0-176.4--0.53978400000002</f>
        <v>683.60175800000002</v>
      </c>
      <c r="AC317" s="3">
        <f>959.2+(424.6-556.8)+(-3.913536+(-1.732368--2.271744))+0-180.4--0.736031999999984</f>
        <v>643.9618720000002</v>
      </c>
      <c r="AD317">
        <f t="shared" si="4"/>
        <v>18216.674236999999</v>
      </c>
      <c r="AE317" s="3">
        <f>966+(467.6-398.6)+(0+(0-0))+0-156.6-0</f>
        <v>878.4</v>
      </c>
    </row>
    <row r="318" spans="1:31" s="2" customFormat="1" x14ac:dyDescent="0.25">
      <c r="A318">
        <v>89</v>
      </c>
      <c r="B318">
        <v>11</v>
      </c>
      <c r="C318">
        <v>12</v>
      </c>
      <c r="D318">
        <v>4</v>
      </c>
      <c r="E318">
        <v>1</v>
      </c>
      <c r="F318" s="3">
        <f>953.4+(435.4-601.6)+(-0.972468+(-0.444108--0.613632))+0-170.7--0.174114000000027</f>
        <v>615.87117000000001</v>
      </c>
      <c r="G318" s="3">
        <f>946.9+(406.7-582.6)+(-2.897514+(-1.244502--1.782756))+0-175.4--0.53672400000002</f>
        <v>593.77746400000012</v>
      </c>
      <c r="H318" s="3">
        <f>945.1+(358.1-538.9)+(-1.446003+(-0.547893--0.824517))+0-178.5--0.27310500000001</f>
        <v>584.90372600000001</v>
      </c>
      <c r="I318" s="3">
        <f>950.1+(367.6-557.9)+(0+(0-0))+0-170.2-0</f>
        <v>589.60000000000014</v>
      </c>
      <c r="J318" s="3">
        <f>951.1+(367.1-555.8)+(-2.425305+(-0.936105--1.41729))+0-172.9--0.440894999999975</f>
        <v>587.99677500000007</v>
      </c>
      <c r="K318" s="3">
        <f>946.6+(375.2-547.2)+(-1.931064+(-0.765408--1.116288))+0-169.2--0.345167999999993</f>
        <v>604.16498399999989</v>
      </c>
      <c r="L318" s="3">
        <f>869+(419.1-470.7)+(-2.21595+(-1.068705--1.200285))+0-169.3--0.431714999999975</f>
        <v>646.44734500000004</v>
      </c>
      <c r="M318" s="3">
        <f>833.7+(435-413.3)+(1.275561+(0.66555-0.632349))+0-170-0.26010000000001</f>
        <v>686.44866200000013</v>
      </c>
      <c r="N318" s="3">
        <f>917.6+(459-485.7)+(-0.467976+(-0.23409--0.247707))+0-169.9--0.0866489999999828</f>
        <v>720.63229000000013</v>
      </c>
      <c r="O318" s="3">
        <f>936+(451.3-484.7)+(0.47736+(0.230163-0.247197))+0-169-0.0861899999999829</f>
        <v>733.97413600000004</v>
      </c>
      <c r="P318" s="3">
        <f>927.4+(474.8-486.9)+(-1.418922+(-0.726444--0.744957))+0-169.3--0.25902900000001</f>
        <v>744.85861999999997</v>
      </c>
      <c r="Q318" s="3">
        <f>931.8+(462.7-483)+(-1.900872+(-0.943908--0.98532))+0-169.6--0.345983999999993</f>
        <v>740.38652400000001</v>
      </c>
      <c r="R318" s="3">
        <f>932.8+(443.6-468.3)+(-1.427184+(-0.678708--0.716499))+0-167.6--0.25642800000001</f>
        <v>739.36703499999987</v>
      </c>
      <c r="S318" s="3">
        <f>938.3+(429.7-468)+(-0.478533+(-0.219147--0.23868))+0-170.8--0.0871079999999827</f>
        <v>728.82810799999993</v>
      </c>
      <c r="T318" s="3">
        <f>907.8+(438-460)+(0.462978+(0.22338-0.2346))+0-168-0.085679999999983</f>
        <v>718.16607799999997</v>
      </c>
      <c r="U318" s="3">
        <f>895.3+(451.3-464.1)+(-1.369809+(-0.690489--0.710073))+0-167.4--0.25612200000001</f>
        <v>714.005897</v>
      </c>
      <c r="V318" s="3">
        <f>938.1+(412.5-479.3)+(0+(0-0))+0-162.2-0</f>
        <v>709.09999999999991</v>
      </c>
      <c r="W318" s="3">
        <f>962.4+(376.8-429.6)+(-0.981648+(-0.384336--0.438192))+0-168.6--0.171972000000027</f>
        <v>740.24417999999991</v>
      </c>
      <c r="X318" s="3">
        <f>964+(348.4-391.3)+(-2.94984+(-1.066104--1.197378))+0-163.6--0.500616000000019</f>
        <v>755.18204999999989</v>
      </c>
      <c r="Y318" s="3">
        <f>967.8+(329.2-402.9)+(-1.480734+(-0.503676--0.616437))+0-168.7--0.25811100000001</f>
        <v>724.29013799999996</v>
      </c>
      <c r="Z318" s="3">
        <f>973.2+(351.7-477.2)+(-0.992664+(-0.358734--0.486744))+0-169--0.172380000000027</f>
        <v>678.00772600000005</v>
      </c>
      <c r="AA318" s="3">
        <f>973.7+(381.5-519.6)+(-0.993174+(-0.38913--0.529992))+0-165--0.168300000000026</f>
        <v>669.91598800000008</v>
      </c>
      <c r="AB318" s="3">
        <f>976+(396.8-572.9)+(-1.49328+(-0.607104--0.876537))+0-165--0.25245000000001</f>
        <v>633.92860300000007</v>
      </c>
      <c r="AC318" s="3">
        <f>965.2+(405-637.1)+(-0.984504+(-0.4131--0.649842))+0-165--0.168300000000026</f>
        <v>567.5205380000001</v>
      </c>
      <c r="AD318">
        <f t="shared" si="4"/>
        <v>16227.618037</v>
      </c>
      <c r="AE318" s="3">
        <f>958+(361.2-384.2)+(0+(0-0))+0-152.9-0</f>
        <v>782.1</v>
      </c>
    </row>
    <row r="319" spans="1:31" s="2" customFormat="1" x14ac:dyDescent="0.25">
      <c r="A319">
        <v>89</v>
      </c>
      <c r="B319">
        <v>11</v>
      </c>
      <c r="C319">
        <v>13</v>
      </c>
      <c r="D319">
        <v>5</v>
      </c>
      <c r="E319">
        <v>5</v>
      </c>
      <c r="F319" s="3">
        <f>863.1+(471.4-616.6)+(-1.320543+(-0.721242--0.943398))+0-156--0.238680000000009</f>
        <v>561.04029300000002</v>
      </c>
      <c r="G319" s="3">
        <f>788.5+(507.5-649.5)+(0.402135+(0.258825-0.331245))+0-147.3-0.0751229999999851</f>
        <v>499.45459199999999</v>
      </c>
      <c r="H319" s="3">
        <f>792.6+(555.1-734.3)+(-0.808452+(-0.566202--0.748986))+0-152.5--0.155550000000024</f>
        <v>460.42988200000008</v>
      </c>
      <c r="I319" s="3">
        <f>798.3+(542.8-714.8)+(0.814266+(0.553656-0.729096))+0-149.7-0.152694000000024</f>
        <v>477.08613199999996</v>
      </c>
      <c r="J319" s="3">
        <f>798.1+(523.9-721.9)+(0.814062+(0.534378-0.736338))+0-149.1-0.152082000000024</f>
        <v>451.46002000000004</v>
      </c>
      <c r="K319" s="3">
        <f>798.2+(581.1-775.2)+(1.221246+(0.889083-1.186056))+0-149.1-0.228123000000009</f>
        <v>455.69614999999999</v>
      </c>
      <c r="L319" s="3">
        <f>780.9+(537.6-740.4)+(0+(0-0))+0-147.4-0</f>
        <v>430.70000000000005</v>
      </c>
      <c r="M319" s="3">
        <f>779.8+(433.8-631.4)+(-1.98849+(-1.10619--1.61007))+0-151.6--0.386579999999978</f>
        <v>429.50197000000003</v>
      </c>
      <c r="N319" s="3">
        <f>775.2+(465.9-629.2)+(-0.395352+(-0.237609--0.320892))+0-151.3--0.0771629999999847</f>
        <v>460.365094</v>
      </c>
      <c r="O319" s="3">
        <f>772.2+(491.5-626)+(1.181466+(0.751995-0.95778))+0-153.2-0.234396000000009</f>
        <v>485.24128500000006</v>
      </c>
      <c r="P319" s="3">
        <f>768.8+(480.6-606.9)+(-2.352528+(-1.470636--1.857114))+0-150.6--0.460836000000017</f>
        <v>490.39478600000001</v>
      </c>
      <c r="Q319" s="3">
        <f>763.4+(410.6-536.5)+(-1.168002+(-0.628218--0.820845))+0-148.8--0.227664000000009</f>
        <v>487.95228900000001</v>
      </c>
      <c r="R319" s="3">
        <f>757+(392-527)+(0+(0-0))+0-142.5-0</f>
        <v>479.5</v>
      </c>
      <c r="S319" s="3">
        <f>763.6+(401.3-555.1)+(-0.778872+(-0.409326--0.566202))+0-132.1--0.134742000000021</f>
        <v>477.21274599999998</v>
      </c>
      <c r="T319" s="3">
        <f>762+(452.3-598.9)+(-1.16586+(-0.692019--0.916317))+0-135.4--0.207162000000008</f>
        <v>479.26560000000012</v>
      </c>
      <c r="U319" s="3">
        <f>762.9+(422.3-551.1)+(-1.556316+(-0.861492--1.124244))+0-147.1--0.300083999999994</f>
        <v>486.00651999999991</v>
      </c>
      <c r="V319" s="3">
        <f>758.8+(489.3-582.5)+(0+(0-0))+0-155-0</f>
        <v>510.59999999999991</v>
      </c>
      <c r="W319" s="3">
        <f>759.8+(489-505.1)+(0+(0-0))+0-155.1-0</f>
        <v>588.59999999999991</v>
      </c>
      <c r="X319" s="3">
        <f>768.2+(568-536.3)+(-1.567128+(-1.15872--1.094052))+0-157.8--0.321911999999993</f>
        <v>640.79011600000001</v>
      </c>
      <c r="Y319" s="3">
        <f>777.1+(591.2-584.1)+(-0.792642+(-0.603024--0.595782))+0-152.6--0.155652000000024</f>
        <v>630.95576800000003</v>
      </c>
      <c r="Z319" s="3">
        <f>777.6+(571.7-589.5)+(0+(0-0))+0-150.6-0</f>
        <v>609.20000000000005</v>
      </c>
      <c r="AA319" s="3">
        <f>771.1+(560.3-579.5)+(0.393261+(0.285753-0.295545))+0-156.1-0.0796109999999842</f>
        <v>596.10385799999995</v>
      </c>
      <c r="AB319" s="3">
        <f>771.5+(545.2-590.2)+(-0.393465+(-0.278052--0.301002))+0-158.9--0.0810389999999839</f>
        <v>567.3105240000001</v>
      </c>
      <c r="AC319" s="3">
        <f>772.6+(472.4-550.8)+(-2.364156+(-1.445544--1.685448))+0-161.6--0.494496000000019</f>
        <v>530.97024400000009</v>
      </c>
      <c r="AD319">
        <f t="shared" si="4"/>
        <v>12285.837869000001</v>
      </c>
      <c r="AE319" s="3">
        <f>783+(571.2-539.5)+(0+(0-0))+0-158.2-0</f>
        <v>656.5</v>
      </c>
    </row>
    <row r="320" spans="1:31" s="2" customFormat="1" x14ac:dyDescent="0.25">
      <c r="A320">
        <v>89</v>
      </c>
      <c r="B320">
        <v>11</v>
      </c>
      <c r="C320">
        <v>14</v>
      </c>
      <c r="D320">
        <v>6</v>
      </c>
      <c r="E320">
        <v>6</v>
      </c>
      <c r="F320" s="3">
        <f>763.9+(441.8-545.1)+(-0.389589+(-0.225318--0.278001))+0-157.1--0.0801209999999841</f>
        <v>503.24321499999985</v>
      </c>
      <c r="G320" s="3">
        <f>765.3+(398.2-537.2)+(0+(0-0))+0-167.4-0</f>
        <v>458.9</v>
      </c>
      <c r="H320" s="3">
        <f>764.5+(372.7-517.9)+(-2.33937+(-1.140462--1.584774))+0-159.9--0.489294000000018</f>
        <v>457.99423600000006</v>
      </c>
      <c r="I320" s="3">
        <f>773.9+(375.2-535)+(1.578756+(0.765408-1.0914))+0-159.8-0.325991999999993</f>
        <v>455.22677199999987</v>
      </c>
      <c r="J320" s="3">
        <f>772+(375.9-537.5)+(0.39372+(0.191709-0.274125))+0-160.5-0.0818549999999837</f>
        <v>450.12944899999997</v>
      </c>
      <c r="K320" s="3">
        <f>770.6+(388-538.5)+(1.572024+(0.79152-1.09854))+0-172-0.350879999999992</f>
        <v>449.01412399999998</v>
      </c>
      <c r="L320" s="3">
        <f>771.3+(384.4-522.3)+(0.393363+(0.196044-0.266373))+0-171.2-0.0873119999999826</f>
        <v>462.435722</v>
      </c>
      <c r="M320" s="3">
        <f>769.5+(414.6-505.4)+(-0.392445+(-0.211446--0.257754))+0-173.4--0.0884339999999824</f>
        <v>505.04229700000008</v>
      </c>
      <c r="N320" s="3">
        <f>765.5+(483.9-534.1)+(-0.390405+(-0.246789--0.272391))+0-171.7--0.0875669999999826</f>
        <v>543.32276400000001</v>
      </c>
      <c r="O320" s="3">
        <f>766.9+(521.5-575.5)+(0.782238+(0.53193-0.58701))+0-168-0.171360000000027</f>
        <v>545.45579799999996</v>
      </c>
      <c r="P320" s="3">
        <f>767.2+(554.6-595.4)+(-0.391272+(-0.282846--0.303654))+0-158.6--0.0808859999999839</f>
        <v>567.51042200000006</v>
      </c>
      <c r="Q320" s="3">
        <f>751.9+(551.2-576.2)+(0+(0-0))+0-169.8-0</f>
        <v>557.09999999999991</v>
      </c>
      <c r="R320" s="3">
        <f>757.7+(550.9-600.6)+(-1.159281+(-0.842877--0.918918))+0-165.4--0.25306200000001</f>
        <v>541.76982199999998</v>
      </c>
      <c r="S320" s="3">
        <f>753.5+(531-601.5)+(-1.921425+(-1.35405--1.533825))+0-161.4--0.411569999999977</f>
        <v>520.26991999999996</v>
      </c>
      <c r="T320" s="3">
        <f>751+(507.2-575.4)+(-1.14903+(-0.776016--0.880362))+0-161.8--0.247554000000009</f>
        <v>520.20287000000008</v>
      </c>
      <c r="U320" s="3">
        <f>747.4+(476.2-532.4)+(-3.430566+(-2.185758--2.443716))+0-164.2--0.753678000000028</f>
        <v>524.58107000000018</v>
      </c>
      <c r="V320" s="3">
        <f>756.6+(451.4-502.9)+(-0.771732+(-0.460428--0.512958))+0-165.7--0.169014000000026</f>
        <v>538.84981200000016</v>
      </c>
      <c r="W320" s="3">
        <f>768.1+(475.5-458.3)+(0.391731+(0.242505-0.233733))+0-165.9-0.0846089999999832</f>
        <v>619.71589399999993</v>
      </c>
      <c r="X320" s="3">
        <f>857.4+(490.2-502.2)+(-1.311822+(-0.750006--0.768366))+0-164.1--0.251073000000009</f>
        <v>680.257611</v>
      </c>
      <c r="Y320" s="3">
        <f>868.7+(483.3-529.5)+(-2.215185+(-1.232415--1.350225))+0-158.1--0.403154999999977</f>
        <v>662.70577999999989</v>
      </c>
      <c r="Z320" s="3">
        <f>779.5+(466.5-448.6)+(-1.192635+(-0.713745--0.686358))+0-160.6--0.245718000000009</f>
        <v>635.82569599999999</v>
      </c>
      <c r="AA320" s="3">
        <f>779.2+(490.6-491.5)+(-1.192176+(-0.750618--0.751995))+0-156.8--0.239904000000009</f>
        <v>620.54910500000005</v>
      </c>
      <c r="AB320" s="3">
        <f>781.4+(502.9-538.1)+(-0.398514+(-0.256479--0.274431))+0-155.7--0.0794069999999842</f>
        <v>590.19884499999989</v>
      </c>
      <c r="AC320" s="3">
        <f>785.4+(474.1-549.8)+(-0.801108+(-0.483582--0.560796))+0-157.1--0.160242000000025</f>
        <v>552.03634800000009</v>
      </c>
      <c r="AD320">
        <f t="shared" si="4"/>
        <v>12962.337572000002</v>
      </c>
      <c r="AE320" s="3">
        <f>909+(456.5-509.6)+(0+(0-0))+0-168.4-0</f>
        <v>687.5</v>
      </c>
    </row>
    <row r="321" spans="1:31" s="2" customFormat="1" x14ac:dyDescent="0.25">
      <c r="A321">
        <v>89</v>
      </c>
      <c r="B321">
        <v>11</v>
      </c>
      <c r="C321">
        <v>15</v>
      </c>
      <c r="D321">
        <v>7</v>
      </c>
      <c r="E321">
        <v>5</v>
      </c>
      <c r="F321" s="3">
        <f>797.9+(403-512.8)+(-0.406929+(-0.20553--0.261528))+0-153.9--0.0784889999999844</f>
        <v>533.92755800000009</v>
      </c>
      <c r="G321" s="3">
        <f>804.2+(386.5-527.2)+(-0.410142+(-0.197115--0.268872))+0-151.4--0.0772139999999846</f>
        <v>511.83882899999998</v>
      </c>
      <c r="H321" s="3">
        <f>805.2+(380.1-533.9)+(-1.642608+(-0.775404--1.089156))+0-154.1--0.314363999999993</f>
        <v>496.28550800000011</v>
      </c>
      <c r="I321" s="3">
        <f>805+(356.7-514.7)+(-1.6422+(-0.727668--1.049988))+0-154.5--0.315179999999993</f>
        <v>491.49529999999999</v>
      </c>
      <c r="J321" s="3">
        <f>765.6+(368.8-486.2)+(0+(0-0))+0-155.5-0</f>
        <v>492.70000000000005</v>
      </c>
      <c r="K321" s="3">
        <f>764.6+(381.8-490.7)+(1.94973+(0.97359-1.251285))+0-154.7-0.394484999999978</f>
        <v>502.27755000000013</v>
      </c>
      <c r="L321" s="3">
        <f>748.1+(424.2-521.4)+(-0.763062+(-0.432684--0.531828))+0-152.1--0.155142000000024</f>
        <v>498.29122400000011</v>
      </c>
      <c r="M321" s="3">
        <f>747.4+(359-428.9)+(-0.381174+(-0.18309--0.218739))+0-156.7--0.0799169999999841</f>
        <v>520.53439200000003</v>
      </c>
      <c r="N321" s="3">
        <f>774+(370.2-444.8)+(-0.39474+(-0.188802--0.226848))+0-150.2--0.0766019999999848</f>
        <v>548.91990799999996</v>
      </c>
      <c r="O321" s="3">
        <f>770.5+(439.5-482)+(-0.78591+(-0.44829--0.49164))+0-145.6--0.148512000000023</f>
        <v>581.80595199999993</v>
      </c>
      <c r="P321" s="3">
        <f>793.1+(502.1-534)+(-2.831367+(-1.792497--1.90638))+0-155.3--0.554421000000002</f>
        <v>603.73693700000013</v>
      </c>
      <c r="Q321" s="3">
        <f>797.5+(522.6-546.2)+(0+(0-0))+0-156.9-0</f>
        <v>617</v>
      </c>
      <c r="R321" s="3">
        <f>788.9+(523.4-542.7)+(0+(0-0))+0-161.9-0</f>
        <v>607.69999999999993</v>
      </c>
      <c r="S321" s="3">
        <f>780.8+(466.5-490.2)+(-0.398208+(-0.237915--0.250002))+0-162.4--0.0828239999999835</f>
        <v>594.39670299999989</v>
      </c>
      <c r="T321" s="3">
        <f>776.8+(481.6-507.6)+(-0.792336+(-0.491232--0.517752))+0-158.7--0.161874000000025</f>
        <v>591.49605800000006</v>
      </c>
      <c r="U321" s="3">
        <f>794.2+(477.8-526)+(-0.810084+(-0.487356--0.53652))+0-155.5--0.158610000000025</f>
        <v>589.89769000000001</v>
      </c>
      <c r="V321" s="3">
        <f>859.6+(496.2-597.5)+(-0.438396+(-0.253062--0.304725))+0-156.9--0.0800189999999841</f>
        <v>601.09328599999992</v>
      </c>
      <c r="W321" s="3">
        <f>889+(494.5-547.3)+(-0.90678+(-0.50439--0.558246))+0-161.1--0.164322000000026</f>
        <v>674.41139799999996</v>
      </c>
      <c r="X321" s="3">
        <f>892.8+(459.5-466.7)+(-0.910656+(-0.46869--0.476034))+0-160.5--0.163710000000026</f>
        <v>724.36039799999992</v>
      </c>
      <c r="Y321" s="3">
        <f>899.3+(437.5-460.6)+(-0.458643+(-0.223125--0.234906))+0-160.5--0.0818549999999837</f>
        <v>715.33499299999994</v>
      </c>
      <c r="Z321" s="3">
        <f>903.7+(445.6-489.5)+(-1.382661+(-0.681768--0.748935))+0-163.2--0.249696000000009</f>
        <v>695.53420200000016</v>
      </c>
      <c r="AA321" s="3">
        <f>901.4+(452.6-521.6)+(0+(0-0))+0-166.3-0</f>
        <v>666.09999999999991</v>
      </c>
      <c r="AB321" s="3">
        <f>897.5+(451.8-548)+(-2.288625+(-1.15209--1.3974))+0-164--0.418199999999976</f>
        <v>635.6748849999999</v>
      </c>
      <c r="AC321" s="3">
        <f>844.1+(473.4-563.2)+(-2.152455+(-1.20717--1.43616))+0-160.6--0.409529999999977</f>
        <v>592.18606499999999</v>
      </c>
      <c r="AD321">
        <f t="shared" ref="AD321:AD365" si="5">SUM(F321:AC321)</f>
        <v>14086.998836000002</v>
      </c>
      <c r="AE321" s="3">
        <f>910+(452.3-465.2)+(0+(0-0))+0-157-0</f>
        <v>740.1</v>
      </c>
    </row>
    <row r="322" spans="1:31" s="2" customFormat="1" x14ac:dyDescent="0.25">
      <c r="A322">
        <v>89</v>
      </c>
      <c r="B322">
        <v>11</v>
      </c>
      <c r="C322">
        <v>16</v>
      </c>
      <c r="D322">
        <v>1</v>
      </c>
      <c r="E322">
        <v>1</v>
      </c>
      <c r="F322" s="3">
        <f>698+(546.8-523.9)+(-0.35598+(-0.278868--0.267189))+0-159.7--0.0814469999999838</f>
        <v>560.91378800000007</v>
      </c>
      <c r="G322" s="3">
        <f>651.9+(529.3-492.6)+(0.997407+(0.809829-0.753678))+0-156.9-0.240057000000009</f>
        <v>532.51350099999991</v>
      </c>
      <c r="H322" s="3">
        <f>662.8+(530-503.3)+(-1.352112+(-1.0812--1.026732))+0-157.4--0.321095999999993</f>
        <v>531.01451600000007</v>
      </c>
      <c r="I322" s="3">
        <f>659.6+(538.9-514.6)+(-1.009188+(-0.824517--0.787338))+0-151.5--0.231795000000009</f>
        <v>531.58542799999998</v>
      </c>
      <c r="J322" s="3">
        <f>678.8+(508-495.7)+(-1.038564+(-0.77724--0.758421))+0-153.6--0.235008000000009</f>
        <v>536.67762499999992</v>
      </c>
      <c r="K322" s="3">
        <f>690.7+(502.8-482.7)+(0+(0-0))+0-157.1-0</f>
        <v>553.70000000000005</v>
      </c>
      <c r="L322" s="3">
        <f>759.4+(468.9-484.5)+(0.387294+(0.239139-0.247095))+0-156.8-0.0799679999999841</f>
        <v>587.29936999999995</v>
      </c>
      <c r="M322" s="3">
        <f>828.5+(473.7-503.6)+(-0.422535+(-0.241587--0.256836))+0-163.3--0.0832829999999834</f>
        <v>634.97599699999978</v>
      </c>
      <c r="N322" s="3">
        <f>825.7+(526.4-518.3)+(0.842214+(0.536928-0.528666))+0-168.1-0.171462000000027</f>
        <v>666.37901399999998</v>
      </c>
      <c r="O322" s="3">
        <f>807.7+(590.1-547.4)+(0.823854+(0.601902-0.558348))+0-172.7-0.176154000000028</f>
        <v>678.39125400000012</v>
      </c>
      <c r="P322" s="3">
        <f>803.2+(622.3-558.9)+(1.638528+(1.269492-1.140156))+0-169.8-0.346391999999993</f>
        <v>698.22147200000006</v>
      </c>
      <c r="Q322" s="3">
        <f>763.6+(679.6-571.5)+(-1.94718+(-1.73298--1.457325))+0-166.8--0.425339999999976</f>
        <v>703.10250500000006</v>
      </c>
      <c r="R322" s="3">
        <f>791.5+(611.8-552.8)+(-1.210995+(-0.936054--0.845784))+0-168.2--0.25734600000001</f>
        <v>681.25608100000011</v>
      </c>
      <c r="S322" s="3">
        <f>880+(530.1-566.9)+(-1.7952+(-1.081404--1.156476))+0-169.5--0.345779999999993</f>
        <v>672.32565199999999</v>
      </c>
      <c r="T322" s="3">
        <f>916.1+(540.7-619.1)+(-0.934422+(-0.551514--0.631482))+0-172.7--0.176154000000028</f>
        <v>664.32169999999996</v>
      </c>
      <c r="U322" s="3">
        <f>923+(523.7-626.3)+(1.41219+(0.801261-0.958239))+0-169.2-0.25887600000001</f>
        <v>652.19633600000009</v>
      </c>
      <c r="V322" s="3">
        <f>939.7+(506.2-589.1)+(-1.437741+(-0.774486--0.901323))+0-172.2--0.26346600000001</f>
        <v>683.55256199999997</v>
      </c>
      <c r="W322" s="3">
        <f>944.3+(594.6-603.3)+(0+(0-0))+0-175.3-0</f>
        <v>760.3</v>
      </c>
      <c r="X322" s="3">
        <f>949.3+(632.9-610.1)+(-1.452429+(-0.968337--0.933453))+0-171.6--0.26254800000001</f>
        <v>799.27523499999995</v>
      </c>
      <c r="Y322" s="3">
        <f>951.3+(535.1-548)+(-0.485163+(-0.272901--0.27948))+0-166.8--0.0850679999999831</f>
        <v>771.20648399999993</v>
      </c>
      <c r="Z322" s="3">
        <f>958.6+(484.8-537)+(-1.955544+(-0.988992--1.09548))+0-173.7--0.354347999999992</f>
        <v>731.20529199999999</v>
      </c>
      <c r="AA322" s="3">
        <f>960.6+(466.9-558.5)+(-0.489906+(-0.238119--0.284835))+0-171.5--0.0874649999999826</f>
        <v>697.14427499999999</v>
      </c>
      <c r="AB322" s="3">
        <f>924.6+(392.2-489.4)+(-2.35773+(-1.00011--1.24797))+0-168.6--0.429929999999976</f>
        <v>657.12006000000008</v>
      </c>
      <c r="AC322" s="3">
        <f>918.3+(349.4-473.4)+(-1.873332+(-0.712776--0.965736))+0-170.8--0.348431999999993</f>
        <v>622.22805999999991</v>
      </c>
      <c r="AD322">
        <f t="shared" si="5"/>
        <v>15606.906207</v>
      </c>
      <c r="AE322" s="3">
        <f>960+(634.7-615.8)+(0+(0-0))+0-162.2-0</f>
        <v>816.7</v>
      </c>
    </row>
    <row r="323" spans="1:31" s="2" customFormat="1" x14ac:dyDescent="0.25">
      <c r="A323">
        <v>89</v>
      </c>
      <c r="B323">
        <v>11</v>
      </c>
      <c r="C323">
        <v>17</v>
      </c>
      <c r="D323">
        <v>2</v>
      </c>
      <c r="E323">
        <v>1</v>
      </c>
      <c r="F323" s="3">
        <f>933.9+(375.7-536.8)+(-0.952578+(-0.383214--0.547536))+0-189.8--0.19359600000003</f>
        <v>582.40534000000002</v>
      </c>
      <c r="G323" s="3">
        <f>935.9+(361.1-556)+(-0.954618+(-0.368322--0.56712))+0-176.9--0.180438000000028</f>
        <v>563.52461800000003</v>
      </c>
      <c r="H323" s="3">
        <f>944.2+(361.7-574)+(-0.481542+(-0.184467--0.29274))+0-178.6--0.0910859999999819</f>
        <v>553.01781700000004</v>
      </c>
      <c r="I323" s="3">
        <f>948.7+(369.8-595.2)+(2.419185+(0.94299-1.51776))+0-176.3-0.449564999999974</f>
        <v>548.39485000000002</v>
      </c>
      <c r="J323" s="3">
        <f>948.2+(358.9-585.6)+(-1.450746+(-0.549117--0.895968))+0-173--0.26469000000001</f>
        <v>547.66079500000001</v>
      </c>
      <c r="K323" s="3">
        <f>947.5+(349-573.3)+(0+(0-0))+0-162-0</f>
        <v>561.20000000000005</v>
      </c>
      <c r="L323" s="3">
        <f>934.5+(333.9-526.2)+(-0.95319+(-0.340578--0.536724))+0-151.9--0.154938000000024</f>
        <v>589.69789400000002</v>
      </c>
      <c r="M323" s="3">
        <f>942+(348-517.1)+(-0.96084+(-0.35496--0.527442))+0-134.7--0.137394000000021</f>
        <v>637.549036</v>
      </c>
      <c r="N323" s="3">
        <f>959.5+(406-555.7)+(-0.489345+(-0.20706--0.283407))+0-140.5--0.0716549999999857</f>
        <v>668.9586569999999</v>
      </c>
      <c r="O323" s="3">
        <f>967.5+(456.6-588.1)+(0.493425+(0.232866-0.299931))+0-148.8-0.0758879999999849</f>
        <v>687.55047200000001</v>
      </c>
      <c r="P323" s="3">
        <f>956.5+(473.3-580.2)+(-1.95126+(-0.965532--1.183608))+0-152.2--0.310487999999993</f>
        <v>695.97730399999989</v>
      </c>
      <c r="Q323" s="3">
        <f>954.1+(487.9-579.8)+(-1.946364+(-0.995316--1.182792))+0-153.4--0.312935999999993</f>
        <v>707.35404800000015</v>
      </c>
      <c r="R323" s="3">
        <f>952.2+(451.4-563)+(-1.942488+(-0.920856--1.14852))+0-158.2--0.322727999999993</f>
        <v>681.00790399999994</v>
      </c>
      <c r="S323" s="3">
        <f>951.2+(439.4-556.4)+(-1.455336+(-0.672282--0.851292))+0-146.6--0.224298000000008</f>
        <v>686.54797199999996</v>
      </c>
      <c r="T323" s="3">
        <f>940.8+(431.2-553)+(-0.959616+(-0.439824--0.56406))+0-148.4--0.151368000000024</f>
        <v>669.91598800000008</v>
      </c>
      <c r="U323" s="3">
        <f>935.5+(425.6-548.2)+(-2.86263+(-1.302336--1.677492))+0-142.1--0.434826000000016</f>
        <v>668.74735199999998</v>
      </c>
      <c r="V323" s="3">
        <f>943.3+(395.6-508.5)+(0+(0-0))+0-147.1-0</f>
        <v>683.3</v>
      </c>
      <c r="W323" s="3">
        <f>953.3+(491.4-543.8)+(-1.458549+(-0.751842--0.832014))+0-148.6--0.227358000000009</f>
        <v>751.14898099999994</v>
      </c>
      <c r="X323" s="3">
        <f>963+(620.3-623.4)+(0+(0-0))+0-148-0</f>
        <v>811.9</v>
      </c>
      <c r="Y323" s="3">
        <f>961.9+(617.9-642.3)+(-3.433983+(-2.205903--2.293011))+0-148.1--0.528717000000002</f>
        <v>786.58184200000005</v>
      </c>
      <c r="Z323" s="3">
        <f>965.7+(573.3-639)+(-0.492507+(-0.292383--0.32589))+0-148.8--0.0758879999999849</f>
        <v>750.81688799999995</v>
      </c>
      <c r="AA323" s="3">
        <f>971.9+(558.6-657.1)+(-2.478345+(-1.42443--1.675605))+0-149.6--0.381479999999978</f>
        <v>721.95430999999996</v>
      </c>
      <c r="AB323" s="3">
        <f>970+(473.3-613.5)+(-0.9894+(-0.482766--0.62577))+0-149--0.151980000000024</f>
        <v>680.10558399999991</v>
      </c>
      <c r="AC323" s="3">
        <f>974.2+(386-576.1)+(-1.987368+(-0.78744--1.175244))+0-149.6--0.305183999999993</f>
        <v>633.20561999999995</v>
      </c>
      <c r="AD323">
        <f t="shared" si="5"/>
        <v>15868.523271999999</v>
      </c>
      <c r="AE323" s="3">
        <f>980+(637.3-645.6)+(0+(0-0))+0-147-0</f>
        <v>824.69999999999993</v>
      </c>
    </row>
    <row r="324" spans="1:31" s="2" customFormat="1" x14ac:dyDescent="0.25">
      <c r="A324">
        <v>89</v>
      </c>
      <c r="B324">
        <v>11</v>
      </c>
      <c r="C324">
        <v>18</v>
      </c>
      <c r="D324">
        <v>3</v>
      </c>
      <c r="E324">
        <v>1</v>
      </c>
      <c r="F324" s="3">
        <f>971.2+(362.3-588)+(-1.981248+(-0.739092--1.19952))+0-148.8--0.303551999999994</f>
        <v>595.48273200000006</v>
      </c>
      <c r="G324" s="3">
        <f>967.7+(380.1-631.5)+(-0.493527+(-0.193851--0.322065))+0-148--0.075479999999985</f>
        <v>568.01016700000002</v>
      </c>
      <c r="H324" s="3">
        <f>976.2+(382.4-649.3)+(0.497862+(0.195024-0.331143))+0-139.3-0.0710429999999859</f>
        <v>570.29070000000013</v>
      </c>
      <c r="I324" s="3">
        <f>977+(343-611.7)+(-2.49135+(-0.87465--1.559835))+0-140.4--0.35801999999998</f>
        <v>566.45185500000002</v>
      </c>
      <c r="J324" s="3">
        <f>975.6+(255.8-522.8)+(-0.995112+(-0.260916--0.533256))+0-143.9--0.146778000000023</f>
        <v>564.12400600000024</v>
      </c>
      <c r="K324" s="3">
        <f>975.1+(244.8-497.7)+(-0.497301+(-0.124848--0.253827))+0-140.2--0.0715019999999858</f>
        <v>581.70317999999997</v>
      </c>
      <c r="L324" s="3">
        <f>972.4+(244.6-457.8)+(-2.975544+(-0.748476--1.400868))+0-142.8--0.436968000000017</f>
        <v>614.51381599999991</v>
      </c>
      <c r="M324" s="3">
        <f>961.1+(311.6-471.4)+(0+(0-0))+0-147.9-0</f>
        <v>653.40000000000009</v>
      </c>
      <c r="N324" s="3">
        <f>946.2+(431.4-539.3)+(1.447686+(0.660042-0.825129))+0-151.6-0.231948000000009</f>
        <v>687.75065100000006</v>
      </c>
      <c r="O324" s="3">
        <f>936.8+(513.8-596.1)+(0+(0-0))+0-147.7-0</f>
        <v>706.8</v>
      </c>
      <c r="P324" s="3">
        <f>935.5+(510.8-575.6)+(0+(0-0))+0-147.3-0</f>
        <v>723.40000000000009</v>
      </c>
      <c r="Q324" s="3">
        <f>932.9+(549.7-606)+(0+(0-0))+0-149.2-0</f>
        <v>727.40000000000009</v>
      </c>
      <c r="R324" s="3">
        <f>931.9+(591.4-666.7)+(-2.376345+(-1.50807--1.700085))+0-137.2--0.34985999999998</f>
        <v>717.56552999999985</v>
      </c>
      <c r="S324" s="3">
        <f>746.2+(632-527)+(-0.761124+(-0.64464--0.53754))+0-138.5--0.141270000000022</f>
        <v>711.97304600000007</v>
      </c>
      <c r="T324" s="3">
        <f>761.1+(591.6-533.5)+(-0.388161+(-0.301716--0.272085))+0-133.4--0.0680339999999865</f>
        <v>685.45024200000012</v>
      </c>
      <c r="U324" s="3">
        <f>837.8+(542.3-555.9)+(-0.854556+(-0.553146--0.567018))+0-139.9--0.142698000000022</f>
        <v>683.60201399999994</v>
      </c>
      <c r="V324" s="3">
        <f>852.5+(602.2-617.2)+(0.434775+(0.307122-0.314772))+0-141.8-0.0723179999999856</f>
        <v>696.05480699999998</v>
      </c>
      <c r="W324" s="3">
        <f>910.3+(655.1-658.2)+(-0.464253+(-0.334101--0.335682))+0-142.5--0.0726749999999855</f>
        <v>764.31000299999994</v>
      </c>
      <c r="X324" s="3">
        <f>927+(640.4-601.9)+(-1.89108+(-1.306416--1.227876))+0-137.5--0.280499999999994</f>
        <v>826.31088</v>
      </c>
      <c r="Y324" s="3">
        <f>938.3+(624.6-614.7)+(-1.914132+(-1.274184--1.253988))+0-135.3--0.276011999999994</f>
        <v>811.24168399999985</v>
      </c>
      <c r="Z324" s="3">
        <f>941.6+(609.7-648.1)+(-1.440648+(-0.932841--0.991593))+0-123.3--0.188649000000007</f>
        <v>778.70675300000016</v>
      </c>
      <c r="AA324" s="3">
        <f>940.9+(559.8-641.6)+(-2.399295+(-1.42749--1.63608))+0-122.1--0.311354999999982</f>
        <v>735.12064999999984</v>
      </c>
      <c r="AB324" s="3">
        <f>942.8+(485.8-614.1)+(-1.923312+(-0.991032--1.252764))+0-117.9--0.240515999999995</f>
        <v>695.17893600000002</v>
      </c>
      <c r="AC324" s="3">
        <f>945+(445.3-608.9)+(-4.33755+(-2.043927--2.794851))+0-122.4--0.561816000000021</f>
        <v>655.97519000000011</v>
      </c>
      <c r="AD324">
        <f t="shared" si="5"/>
        <v>16320.816842000004</v>
      </c>
      <c r="AE324" s="3">
        <f>945+(634.3-601.1)+(0+(0-0))+0-135.8-0</f>
        <v>842.39999999999986</v>
      </c>
    </row>
    <row r="325" spans="1:31" s="2" customFormat="1" x14ac:dyDescent="0.25">
      <c r="A325">
        <v>89</v>
      </c>
      <c r="B325">
        <v>11</v>
      </c>
      <c r="C325">
        <v>19</v>
      </c>
      <c r="D325">
        <v>4</v>
      </c>
      <c r="E325">
        <v>1</v>
      </c>
      <c r="F325" s="3">
        <f>945+(441.4-634.4)+(1.9278+(0.900456-1.294176))+0-121-0.246839999999995</f>
        <v>632.28724</v>
      </c>
      <c r="G325" s="3">
        <f>950.7+(430.5-664.3)+(0.969714+(0.43911-0.677586))+0-116-0.118320000000018</f>
        <v>601.51291800000001</v>
      </c>
      <c r="H325" s="3">
        <f>952+(420.3-664.9)+(-0.97104+(-0.428706--0.678198))+0-117.3--0.119646000000019</f>
        <v>589.49809800000014</v>
      </c>
      <c r="I325" s="3">
        <f>952.1+(411.9-654.2)+(-2.427855+(-1.050345--1.66821))+0-119.7--0.305234999999983</f>
        <v>588.59524499999998</v>
      </c>
      <c r="J325" s="3">
        <f>951.1+(400-636.1)+(0.485061+(0.204-0.324411))+0-116.2-0.0592619999999882</f>
        <v>599.10538799999995</v>
      </c>
      <c r="K325" s="3">
        <f>956.6+(370.8-586.4)+(1.951464+(0.756432-1.196256))+0-122.4-0.249695999999995</f>
        <v>619.86194400000011</v>
      </c>
      <c r="L325" s="3">
        <f>959.4+(372.3-554.6)+(-1.957176+(-0.759492--1.131384))+0-119.5--0.243779999999995</f>
        <v>656.25849599999992</v>
      </c>
      <c r="M325" s="3">
        <f>958.2+(388.3-529.6)+(-0.488682+(-0.198033--0.270096))+0-123--0.0627299999999875</f>
        <v>693.54611100000011</v>
      </c>
      <c r="N325" s="3">
        <f>941.8+(536.5-612.7)+(0.960636+(0.54723-0.624954))+0-125.6-0.12811200000002</f>
        <v>740.75479999999993</v>
      </c>
      <c r="O325" s="3">
        <f>936.2+(548.8-625.8)+(0.477462+(0.279888-0.319158))+0-113.6-0.0579359999999885</f>
        <v>745.98025599999994</v>
      </c>
      <c r="P325" s="3">
        <f>938.6+(510.2-584.3)+(-1.914744+(-1.040808--1.191972))+0-113.1--0.230723999999995</f>
        <v>749.86714399999994</v>
      </c>
      <c r="Q325" s="3">
        <f>941+(446.6-576.9)+(-1.91964+(-0.911064--1.176876))+0-115.6--0.235823999999995</f>
        <v>693.68199600000003</v>
      </c>
      <c r="R325" s="3">
        <f>953.8+(461.9-570)+(-1.459314+(-0.706707--0.8721))+0-114.1--0.174573000000007</f>
        <v>730.48065199999996</v>
      </c>
      <c r="S325" s="3">
        <f>975.6+(416.2-510)+(0+(0-0))+0-131-0</f>
        <v>750.8</v>
      </c>
      <c r="T325" s="3">
        <f>937.3+(436.9-522)+(0+(0-0))+0-133-0</f>
        <v>719.19999999999993</v>
      </c>
      <c r="U325" s="3">
        <f>947+(428.1-540.2)+(-0.96594+(-0.436662--0.551004))+0-113.7--0.115974000000018</f>
        <v>720.46437600000002</v>
      </c>
      <c r="V325" s="3">
        <f>952+(423.6-511.5)+(-1.45656+(-0.648108--0.782595))+0-116.3--0.177939000000007</f>
        <v>746.65586600000006</v>
      </c>
      <c r="W325" s="3">
        <f>955+(426.1-460.8)+(0.48705+(0.217311-0.235008))+0-118-0.060179999999988</f>
        <v>802.70917299999996</v>
      </c>
      <c r="X325" s="3">
        <f>957.6+(482.5-482.1)+(-0.976752+(-0.49215--0.491742))+0-119.8--0.122196000000019</f>
        <v>837.34503600000005</v>
      </c>
      <c r="Y325" s="3">
        <f>963+(487.6-516.4)+(-1.47339+(-0.746028--0.790092))+0-133.2--0.203796000000008</f>
        <v>799.77447000000006</v>
      </c>
      <c r="Z325" s="3">
        <f>976.8+(503.3-583.2)+(-2.49084+(-1.283415--1.48716))+0-139.1--0.35470499999998</f>
        <v>755.86760999999979</v>
      </c>
      <c r="AA325" s="3">
        <f>977+(530.5-633.6)+(0+(0-0))+0-140.5-0</f>
        <v>733.4</v>
      </c>
      <c r="AB325" s="3">
        <f>941.8+(541.7-652.7)+(-0.480318+(-0.276267--0.332877))+0-123.4--0.0629339999999875</f>
        <v>707.03922599999999</v>
      </c>
      <c r="AC325" s="3">
        <f>945.1+(482.2-647.9)+(-2.892006+(-1.475532--1.982574))+0-123.1--0.376686000000014</f>
        <v>654.29172200000016</v>
      </c>
      <c r="AD325">
        <f t="shared" si="5"/>
        <v>16868.977767</v>
      </c>
      <c r="AE325" s="3">
        <f>964+(478.5-489.1)+(0+(0-0))+0-112.6-0</f>
        <v>840.8</v>
      </c>
    </row>
    <row r="326" spans="1:31" s="2" customFormat="1" x14ac:dyDescent="0.25">
      <c r="A326">
        <v>89</v>
      </c>
      <c r="B326">
        <v>11</v>
      </c>
      <c r="C326">
        <v>20</v>
      </c>
      <c r="D326">
        <v>5</v>
      </c>
      <c r="E326">
        <v>1</v>
      </c>
      <c r="F326" s="3">
        <f>938.4+(467.5-660.7)+(-0.957168+(-0.47685--0.673914))+0-131.5--0.134130000000021</f>
        <v>613.074026</v>
      </c>
      <c r="G326" s="3">
        <f>938.1+(464-684.4)+(-2.870586+(-1.41984--2.094264))+0-133.6--0.408816000000015</f>
        <v>582.31265400000007</v>
      </c>
      <c r="H326" s="3">
        <f>931.9+(429.4-658.2)+(0.475269+(0.218994-0.335682))+0-132.7-0.0676769999999865</f>
        <v>570.69090399999982</v>
      </c>
      <c r="I326" s="3">
        <f>930+(426.1-644.3)+(-2.3715+(-1.086555--1.642965))+0-136.4--0.34781999999998</f>
        <v>573.93272999999999</v>
      </c>
      <c r="J326" s="3">
        <f>933.2+(456.7-674.9)+(-0.475932+(-0.232917--0.344199))+0-135.4--0.0690539999999863</f>
        <v>579.30440399999998</v>
      </c>
      <c r="K326" s="3">
        <f>934+(471.5-686.5)+(-0.47634+(-0.240465--0.350115))+0-136.4--0.0695639999999862</f>
        <v>582.30287400000009</v>
      </c>
      <c r="L326" s="3">
        <f>933.6+(459.1-645.7)+(-0.476136+(-0.234141--0.329307))+0-127.9--0.065228999999987</f>
        <v>618.78425899999991</v>
      </c>
      <c r="M326" s="3">
        <f>940.3+(482.4-650.4)+(1.438659+(0.738072-0.995112))+0-132.8-0.203184000000008</f>
        <v>640.47843499999999</v>
      </c>
      <c r="N326" s="3">
        <f>944.9+(502.1-654.6)+(0.963798+(0.512142-0.667692))+0-132.4-0.135048000000021</f>
        <v>660.67320000000007</v>
      </c>
      <c r="O326" s="3">
        <f>981.4+(513.6-687)+(-0.500514+(-0.261936--0.35037))+0-136.2--0.0694619999999862</f>
        <v>671.45738200000005</v>
      </c>
      <c r="P326" s="3">
        <f>982.3+(538.4-700.7)+(-1.001946+(-0.549168--0.714714))+0-134--0.136680000000021</f>
        <v>685.30027999999993</v>
      </c>
      <c r="Q326" s="3">
        <f>982.5+(556.7-729.5)+(-2.0043+(-1.135668--1.48818))+0-130.5--0.266219999999994</f>
        <v>677.81443200000001</v>
      </c>
      <c r="R326" s="3">
        <f>983.7+(489-702.7)+(-3.010122+(-1.49634--2.150262))+0-128.6--0.393516000000015</f>
        <v>639.43731600000001</v>
      </c>
      <c r="S326" s="3">
        <f>984.9+(444.9-676.4)+(-0.502299+(-0.226899--0.344964))+0-128.9--0.0657389999999869</f>
        <v>624.18150500000002</v>
      </c>
      <c r="T326" s="3">
        <f>966.3+(440.2-677.9)+(0+(0-0))+0-126.9-0</f>
        <v>601.69999999999993</v>
      </c>
      <c r="U326" s="3">
        <f>798.5+(503.4-579.3)+(-1.62894+(-1.026936--1.181772))+0-119--0.242759999999995</f>
        <v>602.36865599999999</v>
      </c>
      <c r="V326" s="3">
        <f>895.2+(446.1-601.6)+(-2.739312+(-1.365066--1.840896))+0-119.6--0.365976000000014</f>
        <v>618.20249400000012</v>
      </c>
      <c r="W326" s="3">
        <f>989.9+(421.5-628.2)+(-1.009698+(-0.42993--0.640764))+0-121.6--0.124032000000019</f>
        <v>660.92516799999999</v>
      </c>
      <c r="X326" s="3">
        <f>1002.2+(464.4-644.6)+(-3.577854+(-1.657908--2.301222))+0-121.2--0.432684000000002</f>
        <v>698.29814399999998</v>
      </c>
      <c r="Y326" s="3">
        <f>1003.4+(418.6-621.3)+(-1.535202+(-0.640458--0.950589))+0-127.7--0.195381000000007</f>
        <v>671.97031000000004</v>
      </c>
      <c r="Z326" s="3">
        <f>1003.8+(371.6-612.4)+(-3.071628+(-1.137096--1.873944))+0-133.6--0.408816000000015</f>
        <v>627.47403599999996</v>
      </c>
      <c r="AA326" s="3">
        <f>1000.1+(360.1-624.6)+(-1.530153+(-0.550953--0.955638))+0-131.9--0.201807000000008</f>
        <v>602.77633900000012</v>
      </c>
      <c r="AB326" s="3">
        <f>942.5+(400.4-640.6)+(-2.403375+(-1.02102--1.63353))+0-128.2--0.326909999999981</f>
        <v>572.63604499999997</v>
      </c>
      <c r="AC326" s="3">
        <f>913.2+(457.7-711.2)+(-0.465732+(-0.233427--0.362712))+0-126--0.0642599999999872</f>
        <v>533.42781300000001</v>
      </c>
      <c r="AD326">
        <f t="shared" si="5"/>
        <v>14909.523406</v>
      </c>
      <c r="AE326" s="3">
        <f>1020+(464.3-646.7)+(0+(0-0))+0-98.4-0</f>
        <v>739.19999999999993</v>
      </c>
    </row>
    <row r="327" spans="1:31" s="2" customFormat="1" x14ac:dyDescent="0.25">
      <c r="A327">
        <v>89</v>
      </c>
      <c r="B327">
        <v>11</v>
      </c>
      <c r="C327">
        <v>21</v>
      </c>
      <c r="D327">
        <v>6</v>
      </c>
      <c r="E327">
        <v>1</v>
      </c>
      <c r="F327" s="3">
        <f>906.3+(479.6-733.4)+(-2.773278+(-1.467576--2.244204))+0-123.4--0.377604000000014</f>
        <v>527.480954</v>
      </c>
      <c r="G327" s="3">
        <f>905.6+(521.9-781.4)+(0.923712+(0.532338-0.797028))+0-137.2-0.139944000000022</f>
        <v>509.41907800000007</v>
      </c>
      <c r="H327" s="3">
        <f>907.4+(452-732.2)+(-0.925548+(-0.46104--0.746844))+0-137.8--0.140556000000022</f>
        <v>488.90081199999997</v>
      </c>
      <c r="I327" s="3">
        <f>909+(441.2-730.6)+(1.85436+(0.900048-1.490424))+0-138-0.281519999999994</f>
        <v>482.58246399999996</v>
      </c>
      <c r="J327" s="3">
        <f>908.4+(430.8-716.8)+(2.31642+(1.09854-1.82784))+0-141-0.35954999999998</f>
        <v>482.62757000000016</v>
      </c>
      <c r="K327" s="3">
        <f>933.3+(416.4-713.7)+(-0.951966+(-0.424728--0.727974))+0-141.2--0.144024000000022</f>
        <v>494.29530399999987</v>
      </c>
      <c r="L327" s="3">
        <f>940.5+(391.3-669.5)+(-2.398275+(-0.997815--1.707225))+0-138.9--0.35419499999998</f>
        <v>522.06533000000002</v>
      </c>
      <c r="M327" s="3">
        <f>947.5+(452.1-690.9)+(-0.96645+(-0.461142--0.704718))+0-140.2--0.143004000000022</f>
        <v>567.92012999999997</v>
      </c>
      <c r="N327" s="3">
        <f>970.8+(516.2-734.8)+(-0.990216+(-0.526524--0.749496))+0-144.7--0.147594000000023</f>
        <v>606.88035000000013</v>
      </c>
      <c r="O327" s="3">
        <f>976+(544.4-754.2)+(0+(0-0))+0-140.6-0</f>
        <v>625.59999999999991</v>
      </c>
      <c r="P327" s="3">
        <f>971.6+(579.9-771.5)+(-1.982064+(-1.182996--1.57386))+0-144.1--0.293963999999994</f>
        <v>634.60276399999998</v>
      </c>
      <c r="Q327" s="3">
        <f>955.1+(613-773.5)+(-3.409707+(-2.18841--2.761395))+0-149.1--0.532287000000002</f>
        <v>643.19556499999999</v>
      </c>
      <c r="R327" s="3">
        <f>960.1+(580.4-770.4)+(-0.979302+(-0.592008--0.785808))+0-142.9--0.145758000000023</f>
        <v>626.56025600000009</v>
      </c>
      <c r="S327" s="3">
        <f>941.9+(576.9-750.3)+(0.480369+(0.294219-0.382653))+0-152.7-0.0778769999999845</f>
        <v>616.11405800000011</v>
      </c>
      <c r="T327" s="3">
        <f>942.3+(542.3-719.5)+(-0.480573+(-0.276573--0.366945))+0-164.2--0.0837419999999833</f>
        <v>600.59354099999996</v>
      </c>
      <c r="U327" s="3">
        <f>943+(506.2-696)+(-2.88558+(-1.548972--2.12976))+0-155.8--0.476748000000018</f>
        <v>595.571956</v>
      </c>
      <c r="V327" s="3">
        <f>951.1+(514.8-681.4)+(2.425305+(1.31274-1.73757))+0-166.4-0.424319999999976</f>
        <v>619.67615500000011</v>
      </c>
      <c r="W327" s="3">
        <f>952.3+(540.6-642.2)+(-0.485673+(-0.275706--0.327522))+0-180--0.0917999999999817</f>
        <v>670.35794299999998</v>
      </c>
      <c r="X327" s="3">
        <f>958.3+(551.7-626.4)+(-1.466199+(-0.844101--0.958392))+0-170.9--0.26147700000001</f>
        <v>711.60956900000008</v>
      </c>
      <c r="Y327" s="3">
        <f>959.2+(549.7-647.7)+(-0.978384+(-0.560694--0.660654))+0-164.9--0.168198000000026</f>
        <v>695.58977400000015</v>
      </c>
      <c r="Z327" s="3">
        <f>963.4+(518.3-663.5)+(-3.930672+(-2.114664--2.70708))+0-158.7--0.647495999999986</f>
        <v>656.80923999999993</v>
      </c>
      <c r="AA327" s="3">
        <f>963.1+(531.1-700.7)+(-0.491181+(-0.270861--0.357357))+0-157.3--0.080222999999984</f>
        <v>635.87553800000001</v>
      </c>
      <c r="AB327" s="3">
        <f>944.4+(512-696.1)+(-2.40822+(-1.3056--1.775055))+0-167.5--0.427124999999976</f>
        <v>591.2883599999999</v>
      </c>
      <c r="AC327" s="3">
        <f>928.9+(413.4-622)+(0+(0-0))+0-162.7-0</f>
        <v>557.59999999999991</v>
      </c>
      <c r="AD327">
        <f t="shared" si="5"/>
        <v>14163.216710999999</v>
      </c>
      <c r="AE327" s="3">
        <f>967+(559.8-650.7)+(0+(0-0))+0-155-0</f>
        <v>721.09999999999991</v>
      </c>
    </row>
    <row r="328" spans="1:31" s="2" customFormat="1" x14ac:dyDescent="0.25">
      <c r="A328">
        <v>89</v>
      </c>
      <c r="B328">
        <v>11</v>
      </c>
      <c r="C328">
        <v>22</v>
      </c>
      <c r="D328">
        <v>7</v>
      </c>
      <c r="E328">
        <v>2</v>
      </c>
      <c r="F328" s="3">
        <f>932+(477.9-716.2)+(-0.47532+(-0.243729--0.365262))+0-161.8--0.0825179999999836</f>
        <v>531.62873099999979</v>
      </c>
      <c r="G328" s="3">
        <f>936.1+(505.3-768.4)+(-0.477411+(-0.257703--0.391884))+0-163.9--0.0835889999999834</f>
        <v>508.84035900000003</v>
      </c>
      <c r="H328" s="3">
        <f>931.3+(467-744.1)+(0+(0-0))+0-163.4-0</f>
        <v>490.79999999999995</v>
      </c>
      <c r="I328" s="3">
        <f>935.6+(459.2-746.7)+(-1.431468+(-0.702576--1.142451))+0-163.2--0.249696000000009</f>
        <v>484.15810299999998</v>
      </c>
      <c r="J328" s="3">
        <f>936.8+(430-722.1)+(-1.911072+(-0.8772--1.473084))+0-163--0.332519999999993</f>
        <v>480.71733199999989</v>
      </c>
      <c r="K328" s="3">
        <f>937.4+(406.4-693.9)+(0.478074+(0.207264-0.353889))+0-164.6-0.0839459999999833</f>
        <v>485.54750300000001</v>
      </c>
      <c r="L328" s="3">
        <f>934.7+(377.4-658.5)+(-3.336879+(-1.347318--2.350845))+0-160.8--0.574056000000002</f>
        <v>491.04070400000001</v>
      </c>
      <c r="M328" s="3">
        <f>905.1+(406.7-627.2)+(0+(0-0))+0-161.8-0</f>
        <v>522.79999999999995</v>
      </c>
      <c r="N328" s="3">
        <f>900.4+(407.9-587.3)+(1.377612+(0.624087-0.898569))+0-157.6-0.241128000000009</f>
        <v>564.26200199999994</v>
      </c>
      <c r="O328" s="3">
        <f>924.4+(448.1-625.9)+(0.942888+(0.457062-0.638418))+0-151.2-0.154224000000024</f>
        <v>596.00730800000008</v>
      </c>
      <c r="P328" s="3">
        <f>924.9+(484.6-644.5)+(0.471699+(0.247146-0.328695))+0-150.2-0.0766019999999848</f>
        <v>615.11354799999992</v>
      </c>
      <c r="Q328" s="3">
        <f>933.9+(486.2-638)+(0.476289+(0.247962-0.32538))+0-161.3-0.0822629999999836</f>
        <v>621.11660799999981</v>
      </c>
      <c r="R328" s="3">
        <f>968.6+(492.2-680.3)+(-1.481958+(-0.753066--1.040859))+0-167.6--0.25642800000001</f>
        <v>611.96226300000001</v>
      </c>
      <c r="S328" s="3">
        <f>1034.8+(443.2-716.8)+(-3.166488+(-1.356192--2.193408))+0-162.8--0.498168000000019</f>
        <v>596.56889600000011</v>
      </c>
      <c r="T328" s="3">
        <f>993+(410.6-645.2)+(-2.02572+(-0.837624--1.316208))+0-166.5--0.339659999999993</f>
        <v>590.69252399999993</v>
      </c>
      <c r="U328" s="3">
        <f>1005.9+(439.7-679.4)+(-0.513009+(-0.224247--0.346494))+0-164--0.0836399999999834</f>
        <v>601.892878</v>
      </c>
      <c r="V328" s="3">
        <f>1044.7+(459.1-701.8)+(-0.532797+(-0.234141--0.357918))+0-165.1--0.0842009999999832</f>
        <v>636.57518100000004</v>
      </c>
      <c r="W328" s="3">
        <f>1081.4+(449-673.3)+(-1.654542+(-0.68697--1.030149))+0-169--0.25857000000001</f>
        <v>687.04720700000007</v>
      </c>
      <c r="X328" s="3">
        <f>1084.3+(474.6-669.3)+(-1.105986+(-0.484092--0.682686))+0-160.7--0.163914000000026</f>
        <v>728.156522</v>
      </c>
      <c r="Y328" s="3">
        <f>1084+(491.3-705.9)+(-1.10568+(-0.501126--0.720018))+0-160.8--0.164016000000026</f>
        <v>707.87722800000017</v>
      </c>
      <c r="Z328" s="3">
        <f>1087.5+(493.2-737.2)+(-1.663875+(-0.754596--1.127916))+0-164.8--0.25214400000001</f>
        <v>677.66158900000005</v>
      </c>
      <c r="AA328" s="3">
        <f>1027.1+(515.4-724.8)+(1.571463+(0.788562-1.108944))+0-166.8-0.25520400000001</f>
        <v>651.89587699999993</v>
      </c>
      <c r="AB328" s="3">
        <f>928.2+(554.5-702.4)+(-1.420146+(-0.848385--1.074672))+0-165.7--0.25352100000001</f>
        <v>613.65966200000014</v>
      </c>
      <c r="AC328" s="3">
        <f>935.3+(521.2-709.9)+(-2.385015+(-1.32906--1.810245))+0-169--0.430949999999975</f>
        <v>576.12711999999999</v>
      </c>
      <c r="AD328">
        <f t="shared" si="5"/>
        <v>14072.149144999996</v>
      </c>
      <c r="AE328" s="3">
        <f>1104+(478.2-698.4)+(0+(0-0))+0-149.7-0</f>
        <v>734.09999999999991</v>
      </c>
    </row>
    <row r="329" spans="1:31" s="2" customFormat="1" x14ac:dyDescent="0.25">
      <c r="A329">
        <v>89</v>
      </c>
      <c r="B329">
        <v>11</v>
      </c>
      <c r="C329">
        <v>23</v>
      </c>
      <c r="D329">
        <v>1</v>
      </c>
      <c r="E329">
        <v>1</v>
      </c>
      <c r="F329" s="3">
        <f>960.2+(502.9-723.8)+(-2.938212+(-1.538874--2.214828))+0-182.1--0.557226000000021</f>
        <v>555.49496800000009</v>
      </c>
      <c r="G329" s="3">
        <f>964.2+(534.6-781.4)+(-1.966968+(-1.090584--1.594056))+0-174.5--0.355979999999992</f>
        <v>541.79248400000017</v>
      </c>
      <c r="H329" s="3">
        <f>960.2+(544.6-790.6)+(-1.958808+(-1.110984--1.612824))+0-181.6--0.370463999999992</f>
        <v>531.51349600000003</v>
      </c>
      <c r="I329" s="3">
        <f>967.9+(514-776.6)+(0+(0-0))+0-183.5-0</f>
        <v>521.79999999999995</v>
      </c>
      <c r="J329" s="3">
        <f>965.8+(499.9-765.5)+(1.477674+(0.764847-1.171215))+0-177.3-0.27126900000001</f>
        <v>523.70003699999995</v>
      </c>
      <c r="K329" s="3">
        <f>965.8+(508.3-763.3)+(2.955348+(1.555398-2.335698))+0-178.1-0.544986000000021</f>
        <v>534.33006199999988</v>
      </c>
      <c r="L329" s="3">
        <f>950.7+(494.1-724.6)+(-3.393999+(-1.763937--2.586822))+0-179.5--0.640815000000003</f>
        <v>538.76970100000005</v>
      </c>
      <c r="M329" s="3">
        <f>934.8+(521.6-705.4)+(0.953496+(0.532032-0.719508))+0-180.7-0.184314000000029</f>
        <v>570.88170599999989</v>
      </c>
      <c r="N329" s="3">
        <f>956.7+(514.2-679.1)+(-2.439585+(-1.31121--1.731705))+0-186.5--0.475574999999973</f>
        <v>603.756485</v>
      </c>
      <c r="O329" s="3">
        <f>983.4+(465.5-650.2)+(1.504602+(0.712215-0.994806))+0-180-0.27540000000001</f>
        <v>619.64661099999989</v>
      </c>
      <c r="P329" s="3">
        <f>976.9+(573.9-741.9)+(0.498219+(0.292689-0.378369))+0-167.1-0.085220999999983</f>
        <v>642.12731800000006</v>
      </c>
      <c r="Q329" s="3">
        <f>975.9+(568.6-730.8)+(-0.995418+(-0.579972--0.745416))+0-170.8--0.174216000000027</f>
        <v>642.2442420000001</v>
      </c>
      <c r="R329" s="3">
        <f>984+(568.8-726.9)+(-2.5092+(-1.45044--1.853595))+0-177.2--0.451859999999974</f>
        <v>647.04581500000006</v>
      </c>
      <c r="S329" s="3">
        <f>1018.9+(514-702)+(-1.039278+(-0.52428--0.71604))+0-179.7--0.183294000000029</f>
        <v>650.53577600000006</v>
      </c>
      <c r="T329" s="3">
        <f>1073.9+(450.1-698.7)+(0+(0-0))+0-183.1-0</f>
        <v>642.20000000000005</v>
      </c>
      <c r="U329" s="3">
        <f>1088.6+(434.2-695.4)+(-1.665558+(-0.664326--1.063962))+0-179--0.27387000000001</f>
        <v>647.40794799999981</v>
      </c>
      <c r="V329" s="3">
        <f>1104.9+(420.1-678.8)+(-2.253996+(-0.857004--1.384752))+0-182.9--0.373115999999992</f>
        <v>661.94686800000011</v>
      </c>
      <c r="W329" s="3">
        <f>1158.6+(460-700)+(-0.590886+(-0.2346--0.357))+0-179.4--0.0914939999999818</f>
        <v>738.82300799999996</v>
      </c>
      <c r="X329" s="3">
        <f>1175.7+(531.4-732.4)+(-1.199214+(-0.542028--0.747048))+0-183.7--0.187374000000029</f>
        <v>790.1931800000001</v>
      </c>
      <c r="Y329" s="3">
        <f>1185.5+(574.1-778.3)+(-0.604605+(-0.292791--0.396933))+0-179.1--0.0913409999999818</f>
        <v>801.79087800000002</v>
      </c>
      <c r="Z329" s="3">
        <f>1162.8+(595.4-781)+(-2.372112+(-1.214616--1.59324))+0-176.1--0.359243999999992</f>
        <v>799.46575599999994</v>
      </c>
      <c r="AA329" s="3">
        <f>1154+(572.3-758.3)+(0.58854+(0.291873-0.386733))+0-178.3-0.0909329999999819</f>
        <v>790.10274700000014</v>
      </c>
      <c r="AB329" s="3">
        <f>1115.7+(523-690.8)+(-2.276028+(-1.06692--1.409232))+0-175.9--0.358835999999992</f>
        <v>770.42512000000011</v>
      </c>
      <c r="AC329" s="3">
        <f>1133.6+(391.6-734.2)+(-2.89068+(-0.99858--1.87221))+0-175.9--0.448544999999974</f>
        <v>613.53149499999984</v>
      </c>
      <c r="AD329">
        <f t="shared" si="5"/>
        <v>15379.525701</v>
      </c>
      <c r="AE329" s="3">
        <f>1202+(555.8-737)+(0+(0-0))+0-170-0</f>
        <v>850.8</v>
      </c>
    </row>
    <row r="330" spans="1:31" s="2" customFormat="1" x14ac:dyDescent="0.25">
      <c r="A330">
        <v>89</v>
      </c>
      <c r="B330">
        <v>11</v>
      </c>
      <c r="C330">
        <v>24</v>
      </c>
      <c r="D330">
        <v>2</v>
      </c>
      <c r="E330">
        <v>1</v>
      </c>
      <c r="F330" s="3">
        <f>1170.4+(367.6-809.9)+(-1.193808+(-0.374952--0.826098))+0-175.9--0.179418000000028</f>
        <v>551.63675600000022</v>
      </c>
      <c r="G330" s="3">
        <f>1160.5+(379.3-840.9)+(-2.959275+(-0.967215--2.144295))+0-175.9--0.448544999999974</f>
        <v>521.66635000000008</v>
      </c>
      <c r="H330" s="3">
        <f>1152.2+(344.8-796.8)+(0+(0-0))+0-175.3-0</f>
        <v>524.90000000000009</v>
      </c>
      <c r="I330" s="3">
        <f>1150+(346.4-804.7)+(-1.7595+(-0.529992--1.231191))+0-173.1--0.26484300000001</f>
        <v>517.80654199999992</v>
      </c>
      <c r="J330" s="3">
        <f>1140.8+(342.2-792.2)+(2.327232+(0.698088-1.616088))+0-171.6-0.350063999999992</f>
        <v>520.25916799999993</v>
      </c>
      <c r="K330" s="3">
        <f>1147.6+(347.3-796.6)+(0+(0-0))+0-170.6-0</f>
        <v>527.69999999999993</v>
      </c>
      <c r="L330" s="3">
        <f>1125.8+(309.7-718.6)+(0.574158+(0.157947-0.366486))+0-171.7-0.0875669999999826</f>
        <v>545.47805199999993</v>
      </c>
      <c r="M330" s="3">
        <f>1140.5+(320.6-701.2)+(0+(0-0))+0-176.8-0</f>
        <v>583.09999999999991</v>
      </c>
      <c r="N330" s="3">
        <f>1136+(300.6-638.1)+(0+(0-0))+0-178.8-0</f>
        <v>619.70000000000005</v>
      </c>
      <c r="O330" s="3">
        <f>1132.1+(318.5-650.3)+(-0.577371+(-0.162435--0.331653))+0-177.5--0.090524999999982</f>
        <v>622.48237199999994</v>
      </c>
      <c r="P330" s="3">
        <f>1128.7+(373.3-707.7)+(-1.726911+(-0.571149--1.082781))+0-171.6--0.26254800000001</f>
        <v>621.74726899999996</v>
      </c>
      <c r="Q330" s="3">
        <f>1122+(388.4-704.5)+(-1.71666+(-0.594252--1.077885))+0-175.5--0.26851500000001</f>
        <v>629.43548799999996</v>
      </c>
      <c r="R330" s="3">
        <f>1120.5+(391.8-711.1)+(-3.42873+(-1.198908--2.175966))+0-177.2--0.54223200000002</f>
        <v>622.0905600000001</v>
      </c>
      <c r="S330" s="3">
        <f>1108.3+(378.6-705.1)+(0.565233+(0.193086-0.359601))+0-173.7-0.0885869999999824</f>
        <v>608.41013100000009</v>
      </c>
      <c r="T330" s="3">
        <f>1105.7+(363.7-689.6)+(-3.383442+(-1.112922--2.110176))+0-170.6--0.52203600000002</f>
        <v>607.33584800000006</v>
      </c>
      <c r="U330" s="3">
        <f>1099.2+(380.5-696.8)+(-0.560592+(-0.194055--0.355368))+0-169--0.0861899999999829</f>
        <v>613.5869110000001</v>
      </c>
      <c r="V330" s="3">
        <f>1101.3+(334.3-636)+(-2.246652+(-0.681972--1.29744))+0-172.4--0.351695999999992</f>
        <v>625.92051199999992</v>
      </c>
      <c r="W330" s="3">
        <f>1099.6+(343.2-608.6)+(0.560796+(0.175032-0.310386))+0-174.9-0.0891989999999823</f>
        <v>659.63624299999981</v>
      </c>
      <c r="X330" s="3">
        <f>1105.5+(420.8-623.2)+(0+(0-0))+0-180.4-0</f>
        <v>722.69999999999993</v>
      </c>
      <c r="Y330" s="3">
        <f>1108.4+(434.7-652.6)+(-3.391704+(-1.330182--1.996956))+0-179.8--0.550188000000021</f>
        <v>708.52525800000001</v>
      </c>
      <c r="Z330" s="3">
        <f>1108.8+(410-658.6)+(-1.696464+(-0.6273--1.007658))+0-177--0.27081000000001</f>
        <v>682.15470399999992</v>
      </c>
      <c r="AA330" s="3">
        <f>1120+(421.7-691.8)+(-2.2848+(-0.860268--1.411272))+0-183.7--0.374747999999992</f>
        <v>664.84095200000002</v>
      </c>
      <c r="AB330" s="3">
        <f>1125+(340.2-650.7)+(-1.1475+(-0.347004--0.663714))+0-182.9--0.186558000000029</f>
        <v>630.95576800000003</v>
      </c>
      <c r="AC330" s="3">
        <f>1131.8+(264.1-631)+(-3.463308+(-0.808146--1.93086))+0-180.8--0.553248000000021</f>
        <v>582.31265399999995</v>
      </c>
      <c r="AD330">
        <f t="shared" si="5"/>
        <v>14514.381538</v>
      </c>
      <c r="AE330" s="3">
        <f>1118+(441.8-664.7)+(0+(0-0))+0-160-0</f>
        <v>735.09999999999991</v>
      </c>
    </row>
    <row r="331" spans="1:31" s="2" customFormat="1" x14ac:dyDescent="0.25">
      <c r="A331">
        <v>89</v>
      </c>
      <c r="B331">
        <v>11</v>
      </c>
      <c r="C331">
        <v>25</v>
      </c>
      <c r="D331">
        <v>3</v>
      </c>
      <c r="E331">
        <v>1</v>
      </c>
      <c r="F331" s="3">
        <f>1107.8+(262.3-638.4)+(-3.389868+(-0.802638--1.953504))+0-178.7--0.546822000000021</f>
        <v>551.30781999999999</v>
      </c>
      <c r="G331" s="3">
        <f>1089.6+(280.5-667.2)+(0.555696+(0.143055-0.340272))+0-178.6-0.0910859999999819</f>
        <v>524.56739299999981</v>
      </c>
      <c r="H331" s="3">
        <f>1087.4+(293.6-638.2)+(-0.554574+(-0.149736--0.325482))+0-175.1--0.0893009999999822</f>
        <v>567.41047300000002</v>
      </c>
      <c r="I331" s="3">
        <f>1089.7+(303.6-658)+(0+(0-0))+0-176.9-0</f>
        <v>558.40000000000009</v>
      </c>
      <c r="J331" s="3">
        <f>1092.2+(300.3-651.5)+(-0.557022+(-0.153153--0.332265))+0-177--0.090269999999982</f>
        <v>563.71235999999999</v>
      </c>
      <c r="K331" s="3">
        <f>1094+(270.8-616.8)+(0+(0-0))+0-175.9-0</f>
        <v>572.1</v>
      </c>
      <c r="L331" s="3">
        <f>1096.9+(276.2-576.5)+(-0.559419+(-0.140862--0.294015))+0-173.7--0.0885869999999824</f>
        <v>622.58232100000009</v>
      </c>
      <c r="M331" s="3">
        <f>1096.2+(351.5-600.6)+(-0.559062+(-0.179265--0.306306))+0-176.4--0.0899639999999821</f>
        <v>670.35794300000009</v>
      </c>
      <c r="N331" s="3">
        <f>1086.1+(377.7-584.8)+(0.553911+(0.192627-0.298248))+0-181.4-0.0925139999999816</f>
        <v>697.95577600000013</v>
      </c>
      <c r="O331" s="3">
        <f>1093.6+(385.9-582.7)+(-2.230944+(-0.787236--1.188708))+0-183.7--0.374747999999992</f>
        <v>711.64527599999974</v>
      </c>
      <c r="P331" s="3">
        <f>1099.9+(368.1-577)+(-1.121898+(-0.375462--0.58854))+0-179--0.182580000000029</f>
        <v>711.27376000000015</v>
      </c>
      <c r="Q331" s="3">
        <f>1102.1+(353.5-568.6)+(1.124142+(0.36057-0.579972))+0-174.6-0.178092000000028</f>
        <v>713.12664799999982</v>
      </c>
      <c r="R331" s="3">
        <f>1097.4+(369.8-593.3)+(-2.79837+(-0.94299--1.512915))+0-172.8--0.440639999999975</f>
        <v>699.3121950000002</v>
      </c>
      <c r="S331" s="3">
        <f>1102.9+(341.1-578.7)+(-1.124958+(-0.347922--0.590274))+0-171.4--0.174828000000027</f>
        <v>693.19222200000013</v>
      </c>
      <c r="T331" s="3">
        <f>1099.9+(381.2-615.6)+(-0.560949+(-0.194412--0.313956))+0-178.5--0.0910349999999819</f>
        <v>686.64963</v>
      </c>
      <c r="U331" s="3">
        <f>1105.1+(342.2-580)+(0.563601+(0.174522-0.2958))+0-172.4-0.0879239999999825</f>
        <v>695.25439900000003</v>
      </c>
      <c r="V331" s="3">
        <f>1107.6+(386.4-602.8)+(0+(0-0))+0-172.5-0</f>
        <v>718.69999999999993</v>
      </c>
      <c r="W331" s="3">
        <f>1106.5+(490.4-624)+(-1.692945+(-0.750312--0.95472))+0-175.1--0.26790300000001</f>
        <v>796.57936600000005</v>
      </c>
      <c r="X331" s="3">
        <f>1122.2+(579.2-653.6)+(-1.716966+(-0.886176--1.000008))+0-177.7--0.27188100000001</f>
        <v>868.76874700000019</v>
      </c>
      <c r="Y331" s="3">
        <f>1125.7+(570.2-674.9)+(-1.722321+(-0.872406--1.032597))+0-175.4--0.26836200000001</f>
        <v>844.30623200000014</v>
      </c>
      <c r="Z331" s="3">
        <f>1133.8+(524-678.4)+(-2.312952+(-1.06896--1.383936))+0-179.1--0.365363999999992</f>
        <v>798.66738799999996</v>
      </c>
      <c r="AA331" s="3">
        <f>1134.3+(499.5-688.3)+(-2.313972+(-1.01898--1.404132))+0-179.3--0.365771999999992</f>
        <v>764.63695199999995</v>
      </c>
      <c r="AB331" s="3">
        <f>1130.7+(391.7-628.4)+(-0.576657+(-0.199767--0.320484))+0-173.5--0.0884849999999824</f>
        <v>720.13254499999994</v>
      </c>
      <c r="AC331" s="3">
        <f>1138+(386.3-685.8)+(-5.22342+(-1.773117--3.147822))+0-177.8--0.816102000000031</f>
        <v>657.66738699999996</v>
      </c>
      <c r="AD331">
        <f t="shared" si="5"/>
        <v>16408.306833000002</v>
      </c>
      <c r="AE331" s="3">
        <f>1137+(561.7-674)+(0+(0-0))+0-157-0</f>
        <v>867.7</v>
      </c>
    </row>
    <row r="332" spans="1:31" s="2" customFormat="1" x14ac:dyDescent="0.25">
      <c r="A332">
        <v>89</v>
      </c>
      <c r="B332">
        <v>11</v>
      </c>
      <c r="C332">
        <v>26</v>
      </c>
      <c r="D332">
        <v>4</v>
      </c>
      <c r="E332">
        <v>1</v>
      </c>
      <c r="F332" s="3">
        <f>1136.5+(394.3-725.4)+(-1.738845+(-0.603279--1.109862))+0-178.1--0.27249300000001</f>
        <v>626.34023100000013</v>
      </c>
      <c r="G332" s="3">
        <f>1139.2+(385.4-743.5)+(-1.742976+(-0.589662--1.137555))+0-176--0.26928000000001</f>
        <v>604.17419700000005</v>
      </c>
      <c r="H332" s="3">
        <f>1137.5+(394.9-756.5)+(0.580125+(0.201399-0.385815))+0-171.8-0.0876179999999826</f>
        <v>604.40809100000001</v>
      </c>
      <c r="I332" s="3">
        <f>1143.4+(392.6-764.3)+(-1.749402+(-0.600678--1.169379))+0-174.7--0.26729100000001</f>
        <v>596.08659000000023</v>
      </c>
      <c r="J332" s="3">
        <f>1138.3+(379.4-752.3)+(0.580533+(0.193494-0.383673))+0-173-0.0882299999999824</f>
        <v>592.70212400000003</v>
      </c>
      <c r="K332" s="3">
        <f>1150.7+(372.7-735.7)+(-0.586857+(-0.190077--0.375207))+0-172.4--0.0879239999999825</f>
        <v>614.98619699999995</v>
      </c>
      <c r="L332" s="3">
        <f>1150.2+(368-692.9)+(-1.173204+(-0.37536--0.706758))+0-172--0.175440000000027</f>
        <v>652.63363400000003</v>
      </c>
      <c r="M332" s="3">
        <f>1149.8+(387-683.6)+(-0.586398+(-0.19737--0.348636))+0-161.2--0.0822119999999836</f>
        <v>691.64707999999996</v>
      </c>
      <c r="N332" s="3">
        <f>1115.1+(408.4-636.2)+(2.274804+(0.833136-1.297848))+0-158-0.322319999999993</f>
        <v>730.7877719999999</v>
      </c>
      <c r="O332" s="3">
        <f>1126.9+(377.4-623.8)+(-1.149438+(-0.384948--0.636276))+0-149.8--0.152796000000024</f>
        <v>729.95468600000027</v>
      </c>
      <c r="P332" s="3">
        <f>1119.9+(367.2-599.1)+(-0.571149+(-0.187272--0.305541))+0-144.6--0.0737459999999853</f>
        <v>743.02086599999996</v>
      </c>
      <c r="Q332" s="3">
        <f>1114.7+(374.1-597.2)+(-2.273988+(-0.763164--1.218288))+0-145.3--0.296411999999994</f>
        <v>744.77754800000014</v>
      </c>
      <c r="R332" s="3">
        <f>1111.7+(327.5-551.9)+(-3.401802+(-1.00215--1.688814))+0-150.9--0.461754000000017</f>
        <v>734.14661600000011</v>
      </c>
      <c r="S332" s="3">
        <f>1108.1+(308.7-523.8)+(-1.130262+(-0.314874--0.534276))+0-154.2--0.157284000000025</f>
        <v>738.046424</v>
      </c>
      <c r="T332" s="3">
        <f>1100.5+(314.9-534.3)+(0+(0-0))+0-151.5-0</f>
        <v>729.6</v>
      </c>
      <c r="U332" s="3">
        <f>1100.9+(325.1-539.1)+(-1.122918+(-0.331602--0.549882))+0-151.5--0.154530000000024</f>
        <v>734.64989200000014</v>
      </c>
      <c r="V332" s="3">
        <f>1096+(379.5-571.5)+(0+(0-0))+0-153.6-0</f>
        <v>750.4</v>
      </c>
      <c r="W332" s="3">
        <f>1107+(422.3-561.6)+(0+(0-0))+0-161.3-0</f>
        <v>806.40000000000009</v>
      </c>
      <c r="X332" s="3">
        <f>1112.1+(388.1-483.5)+(-1.134342+(-0.395862--0.49317))+0-169--0.172380000000027</f>
        <v>846.83534599999996</v>
      </c>
      <c r="Y332" s="3">
        <f>1115.1+(392.2-517.3)+(-3.412206+(-1.200132--1.582938))+0-164.6--0.503676000000019</f>
        <v>822.87427600000001</v>
      </c>
      <c r="Z332" s="3">
        <f>1119.3+(388.6-553.2)+(-2.854215+(-0.99093--1.41066))+0-164.5--0.419474999999976</f>
        <v>788.18498999999986</v>
      </c>
      <c r="AA332" s="3">
        <f>1119.4+(367.4-572.1)+(-2.283576+(-0.749496--1.167084))+0-167.6--0.341903999999993</f>
        <v>745.57591600000001</v>
      </c>
      <c r="AB332" s="3">
        <f>1116.3+(327.1-546.1)+(-1.138626+(-0.333642--0.557022))+0-171.7--0.175134000000027</f>
        <v>724.85988799999996</v>
      </c>
      <c r="AC332" s="3">
        <f>1100.9+(313.5-547.7)+(-2.807295+(-0.799425--1.396635))+0-180.8--0.461039999999974</f>
        <v>684.15095499999995</v>
      </c>
      <c r="AD332">
        <f t="shared" si="5"/>
        <v>17037.243319000001</v>
      </c>
      <c r="AE332" s="3">
        <f>1128+(376.3-490.1)+(0+(0-0))+0-155.2-0</f>
        <v>859</v>
      </c>
    </row>
    <row r="333" spans="1:31" s="2" customFormat="1" x14ac:dyDescent="0.25">
      <c r="A333">
        <v>89</v>
      </c>
      <c r="B333">
        <v>11</v>
      </c>
      <c r="C333">
        <v>27</v>
      </c>
      <c r="D333">
        <v>5</v>
      </c>
      <c r="E333">
        <v>3</v>
      </c>
      <c r="F333" s="3">
        <f>986+(343.9-517.3)+(-2.5143+(-0.876945--1.319115))+0-176.5--0.450074999999974</f>
        <v>634.47794499999998</v>
      </c>
      <c r="G333" s="3">
        <f>896+(379.7-482.2)+(-1.37088+(-0.580941--0.737766))+0-179.1--0.27402300000001</f>
        <v>613.459968</v>
      </c>
      <c r="H333" s="3">
        <f>906.7+(380.3-506.5)+(-2.774502+(-1.163718--1.54989))+0-178.7--0.546822000000021</f>
        <v>599.95849199999998</v>
      </c>
      <c r="I333" s="3">
        <f>899+(393.4-522.3)+(0.45849+(0.200634-0.266373))+0-178-0.0907799999999819</f>
        <v>592.401971</v>
      </c>
      <c r="J333" s="3">
        <f>907.5+(369.6-505.8)+(1.8513+(0.753984-1.031832))+0-179-0.365159999999992</f>
        <v>593.50829199999998</v>
      </c>
      <c r="K333" s="3">
        <f>905.1+(379.2-504.4)+(2.769606+(1.160352-1.543464))+0-175.3-0.53641800000002</f>
        <v>606.45007599999997</v>
      </c>
      <c r="L333" s="3">
        <f>908.2+(398.1-439.9)+(-2.31591+(-1.015155--1.121745))+0-178.1--0.454154999999974</f>
        <v>686.54483500000003</v>
      </c>
      <c r="M333" s="3">
        <f>915.5+(424.5-426.6)+(0.93381+(0.43299-0.435132))+0-179.1-0.182682000000029</f>
        <v>735.0489859999999</v>
      </c>
      <c r="N333" s="3">
        <f>915.8+(409.7-377.9)+(1.401174+(0.626841-0.578187))+0-178.3-0.27279900000001</f>
        <v>770.47702900000002</v>
      </c>
      <c r="O333" s="3">
        <f>909.3+(496.2-430.1)+(1.391229+(0.759186-0.658053))+0-179.7-0.27494100000001</f>
        <v>796.91742099999976</v>
      </c>
      <c r="P333" s="3">
        <f>894.9+(497.5-405)+(-1.825596+(-1.0149--0.8262))+0-175.6--0.358223999999992</f>
        <v>810.14392799999996</v>
      </c>
      <c r="Q333" s="3">
        <f>877.9+(484.3-365.4)+(-1.790916+(-0.987972--0.745416))+0-180--0.367199999999992</f>
        <v>815.13372800000002</v>
      </c>
      <c r="R333" s="3">
        <f>877.7+(411.3-342.7)+(-2.238135+(-1.048815--0.873885))+0-177.8--0.453389999999974</f>
        <v>766.54032500000005</v>
      </c>
      <c r="S333" s="3">
        <f>897.2+(385.2-338.3)+(-1.372716+(-0.589356--0.517599))+0-182.4--0.279072000000011</f>
        <v>760.53459900000007</v>
      </c>
      <c r="T333" s="3">
        <f>895.5+(399.4-362)+(-0.456705+(-0.203694--0.18462))+0-179.1--0.0913409999999818</f>
        <v>753.41556199999991</v>
      </c>
      <c r="U333" s="3">
        <f>904.6+(384.2-358.1)+(-2.30673+(-0.97971--0.913155))+0-171.8--0.438089999999975</f>
        <v>756.96480499999996</v>
      </c>
      <c r="V333" s="3">
        <f>918+(371.4-342.1)+(0+(0-0))+0-179.8-0</f>
        <v>767.5</v>
      </c>
      <c r="W333" s="3">
        <f>943+(395.4-363)+(-1.92372+(-0.806616--0.74052))+0-181.8--0.370871999999992</f>
        <v>791.98105599999985</v>
      </c>
      <c r="X333" s="3">
        <f>977.8+(410.8-345.9)+(-4.488102+(-1.885572--1.587681))+0-181.3--0.832167000000032</f>
        <v>857.44617400000016</v>
      </c>
      <c r="Y333" s="3">
        <f>1003.6+(471.3-475.3)+(-0.511836+(-0.240363--0.242403))+0-176.2--0.0898619999999821</f>
        <v>822.98006599999997</v>
      </c>
      <c r="Z333" s="3">
        <f>1040.3+(435-500.5)+(-4.774977+(-1.99665--2.297295))+0-180.6--0.828954000000031</f>
        <v>790.55462199999999</v>
      </c>
      <c r="AA333" s="3">
        <f>1034.1+(429.6-513.5)+(-0.527391+(-0.219096--0.261885))+0-184.1--0.0938909999999813</f>
        <v>765.7092889999999</v>
      </c>
      <c r="AB333" s="3">
        <f>996.5+(417.8-497.3)+(-2.541075+(-1.06539--1.268115))+0-182.1--0.464354999999974</f>
        <v>733.02600499999994</v>
      </c>
      <c r="AC333" s="3">
        <f>976.5+(384-483.7)+(-2.490075+(-0.9792--1.233435))+0-184.7--0.470984999999973</f>
        <v>690.33514499999978</v>
      </c>
      <c r="AD333">
        <f t="shared" si="5"/>
        <v>17511.510319000005</v>
      </c>
      <c r="AE333" s="3">
        <f>984+(437.7-432.8)+(0+(0-0))+0-161.2-0</f>
        <v>827.7</v>
      </c>
    </row>
    <row r="334" spans="1:31" s="2" customFormat="1" x14ac:dyDescent="0.25">
      <c r="A334">
        <v>89</v>
      </c>
      <c r="B334">
        <v>11</v>
      </c>
      <c r="C334">
        <v>28</v>
      </c>
      <c r="D334">
        <v>6</v>
      </c>
      <c r="E334">
        <v>6</v>
      </c>
      <c r="F334" s="3">
        <f>939.3+(357.2-446.8)+(-0.479043+(-0.182172--0.227868))+0-178.2--0.0908819999999819</f>
        <v>671.15753499999983</v>
      </c>
      <c r="G334" s="3">
        <f>950.1+(368.3-491)+(0+(0-0))+0-165.8-0</f>
        <v>661.60000000000014</v>
      </c>
      <c r="H334" s="3">
        <f>954.2+(376.4-531.9)+(-1.946568+(-0.767856--1.085076))+0-166.3--0.339251999999993</f>
        <v>631.10990399999991</v>
      </c>
      <c r="I334" s="3">
        <f>952.1+(385.2-549.7)+(2.427855+(0.98226-1.401735))+0-164.3-0.418964999999976</f>
        <v>624.88941499999999</v>
      </c>
      <c r="J334" s="3">
        <f>948.8+(410.8-559.8)+(-0.967776+(-0.419016--0.570996))+0-165.7--0.169014000000026</f>
        <v>633.45321800000011</v>
      </c>
      <c r="K334" s="3">
        <f>951.4+(425.7-556.5)+(0.485214+(0.217107-0.283815))+0-172.7-0.0880769999999825</f>
        <v>648.23042899999984</v>
      </c>
      <c r="L334" s="3">
        <f>949+(409.5-501.3)+(-1.45197+(-0.626535--0.766989))+0-163.1--0.249543000000009</f>
        <v>693.03802700000006</v>
      </c>
      <c r="M334" s="3">
        <f>954.5+(372-419.2)+(0+(0-0))+0-158.3-0</f>
        <v>749</v>
      </c>
      <c r="N334" s="3">
        <f>956.9+(390.5-396.1)+(0.488019+(0.199155-0.202011))+0-159.9-0.0815489999999838</f>
        <v>791.80361400000004</v>
      </c>
      <c r="O334" s="3">
        <f>960.6+(453.2-422)+(1.469718+(0.693396-0.64566))+0-156.2-0.238986000000009</f>
        <v>836.878468</v>
      </c>
      <c r="P334" s="3">
        <f>962.8+(468.4-442.2)+(-2.45514+(-1.19442--1.12761))+0-144.6--0.368729999999979</f>
        <v>842.24678000000006</v>
      </c>
      <c r="Q334" s="3">
        <f>977.2+(474-463.4)+(-2.49186+(-1.2087--1.18167))+0-146.2--0.372809999999979</f>
        <v>839.45392000000004</v>
      </c>
      <c r="R334" s="3">
        <f>974+(419-430.6)+(-3.47718+(-1.49583--1.537242))+0-143.1--0.510867000000002</f>
        <v>816.37509899999986</v>
      </c>
      <c r="S334" s="3">
        <f>970.1+(386.3-420.1)+(-0.494751+(-0.197013--0.214251))+0-144.5--0.0736949999999853</f>
        <v>791.39618199999984</v>
      </c>
      <c r="T334" s="3">
        <f>973.1+(400.9-445.9)+(-1.488843+(-0.613377--0.682227))+0-152.9--0.233937000000009</f>
        <v>774.01394400000004</v>
      </c>
      <c r="U334" s="3">
        <f>971.4+(422-500.6)+(-2.47707+(-1.0761--1.27653))+0-144.1--0.367454999999979</f>
        <v>746.79081499999984</v>
      </c>
      <c r="V334" s="3">
        <f>969.2+(437.3-489.5)+(0+(0-0))+0-148.8-0</f>
        <v>768.2</v>
      </c>
      <c r="W334" s="3">
        <f>972.5+(419.1-453.6)+(-0.99195+(-0.427482--0.462672))+0-148.1--0.151062000000024</f>
        <v>789.09430199999997</v>
      </c>
      <c r="X334" s="3">
        <f>978.4+(406.7-412.4)+(-1.995936+(-0.829668--0.841296))+0-152.4--0.310895999999993</f>
        <v>818.62658799999997</v>
      </c>
      <c r="Y334" s="3">
        <f>981.8+(394.1-432.9)+(-1.502154+(-0.602973--0.662337))+0-148.5--0.227205000000009</f>
        <v>793.28441500000008</v>
      </c>
      <c r="Z334" s="3">
        <f>984.2+(377.8-447.6)+(-0.501942+(-0.192678--0.228276))+0-150.8--0.0769079999999847</f>
        <v>763.21056399999998</v>
      </c>
      <c r="AA334" s="3">
        <f>980.2+(373-458.5)+(-1.499706+(-0.57069--0.701505))+0-152.4--0.233172000000009</f>
        <v>741.16428100000007</v>
      </c>
      <c r="AB334" s="3">
        <f>984.6+(359.4-492)+(-3.012876+(-1.099764--1.50552))+0-152.1--0.465426000000018</f>
        <v>697.75830599999995</v>
      </c>
      <c r="AC334" s="3">
        <f>987.5+(369.8-511.1)+(-2.518125+(-0.94299--1.303305))+0-161.2--0.411059999999977</f>
        <v>683.25325000000009</v>
      </c>
      <c r="AD334">
        <f t="shared" si="5"/>
        <v>17806.029056000003</v>
      </c>
      <c r="AE334" s="3">
        <f>974+(411-408.3)+(0+(0-0))+0-135.6-0</f>
        <v>841.1</v>
      </c>
    </row>
    <row r="335" spans="1:31" s="2" customFormat="1" x14ac:dyDescent="0.25">
      <c r="A335">
        <v>89</v>
      </c>
      <c r="B335">
        <v>11</v>
      </c>
      <c r="C335">
        <v>29</v>
      </c>
      <c r="D335">
        <v>7</v>
      </c>
      <c r="E335">
        <v>1</v>
      </c>
      <c r="F335" s="3">
        <f>861.3+(378.1-426.8)+(-2.196315+(-0.964155--1.08834))+0-161.9--0.412844999999977</f>
        <v>649.04071499999986</v>
      </c>
      <c r="G335" s="3">
        <f>781.4+(391.5-387.5)+(-1.594056+(-0.79866--0.7905))+0-173.5--0.353939999999992</f>
        <v>610.65172399999994</v>
      </c>
      <c r="H335" s="3">
        <f>776.4+(374.7-393.4)+(-1.187892+(-0.573291--0.601902))+0-174.5--0.26698500000001</f>
        <v>582.30770400000006</v>
      </c>
      <c r="I335" s="3">
        <f>775.6+(378.7-394)+(-1.582224+(-0.772548--0.80376))+0-178.6--0.364343999999992</f>
        <v>580.51333199999988</v>
      </c>
      <c r="J335" s="3">
        <f>775.7+(378.4-385)+(0.395607+(0.192984-0.19635))+0-175.3-0.0894029999999822</f>
        <v>594.10283800000002</v>
      </c>
      <c r="K335" s="3">
        <f>780.8+(354.2-340.3)+(0.398208+(0.180642-0.173553))+0-174.9-0.0891989999999823</f>
        <v>620.11609799999997</v>
      </c>
      <c r="L335" s="3">
        <f>780.2+(367.5-327.4)+(-1.98951+(-0.937125--0.83487))+0-171--0.436049999999975</f>
        <v>647.64428500000008</v>
      </c>
      <c r="M335" s="3">
        <f>777.9+(383.4-305.3)+(-1.190187+(-0.586602--0.467109))+0-174--0.26622000000001</f>
        <v>680.95654000000002</v>
      </c>
      <c r="N335" s="3">
        <f>776.5+(393.5-268.7)+(-1.188045+(-0.602055--0.411111))+0-169.4--0.25918200000001</f>
        <v>730.78019299999994</v>
      </c>
      <c r="O335" s="3">
        <f>773.9+(384.5-264)+(0.394689+(0.196095-0.13464))+0-174.6-0.0890459999999823</f>
        <v>720.16709800000001</v>
      </c>
      <c r="P335" s="3">
        <f>772.1+(412.6-258.2)+(-0.393771+(-0.210426--0.131682))+0-175.9--0.0897089999999822</f>
        <v>750.21719399999995</v>
      </c>
      <c r="Q335" s="3">
        <f>771.8+(399.8-244.9)+(-1.574472+(-0.815592--0.499596))+0-175.8--0.358631999999992</f>
        <v>749.36816399999975</v>
      </c>
      <c r="R335" s="3">
        <f>773.9+(362.7-222.5)+(-1.578756+(-0.739908--0.4539))+0-162.3--0.331091999999993</f>
        <v>750.26632799999982</v>
      </c>
      <c r="S335" s="3">
        <f>769.7+(363.6-221.7)+(-1.962735+(-0.92718--0.565335))+0-166.4--0.424319999999976</f>
        <v>743.29974000000016</v>
      </c>
      <c r="T335" s="3">
        <f>748.3+(385.4-228)+(-1.144899+(-0.589662--0.34884))+0-170.5--0.26086500000001</f>
        <v>734.07514399999991</v>
      </c>
      <c r="U335" s="3">
        <f>742.6+(384.1-225.4)+(-1.514904+(-0.783564--0.459816))+0-165--0.336599999999993</f>
        <v>734.79794800000002</v>
      </c>
      <c r="V335" s="3">
        <f>748.2+(372.6-217)+(-0.763164+(-0.380052--0.22134))+0-165.2--0.168504000000026</f>
        <v>737.84662800000001</v>
      </c>
      <c r="W335" s="3">
        <f>762.3+(376.4-184.2)+(-1.166319+(-0.575892--0.281826))+0-163.3--0.249849000000009</f>
        <v>789.989464</v>
      </c>
      <c r="X335" s="3">
        <f>768+(435.9-163.6)+(-1.56672+(-0.889236--0.333744))+0-164.1--0.334763999999993</f>
        <v>874.41255199999989</v>
      </c>
      <c r="Y335" s="3">
        <f>777.3+(447.7-204.3)+(-1.982115+(-1.141635--0.520965))+0-163.2--0.416159999999976</f>
        <v>855.31337499999995</v>
      </c>
      <c r="Z335" s="3">
        <f>779.8+(444.5-226)+(-0.795396+(-0.45339--0.23052))+0-165.7--0.169014000000026</f>
        <v>831.75074799999993</v>
      </c>
      <c r="AA335" s="3">
        <f>783.1+(472.5-284.7)+(0.399381+(0.240975-0.145197))+0-168.1-0.0857309999999829</f>
        <v>803.209428</v>
      </c>
      <c r="AB335" s="3">
        <f>838.9+(433.6-337.2)+(-1.711356+(-0.884544--0.687888))+0-169.6--0.345983999999993</f>
        <v>764.13797199999999</v>
      </c>
      <c r="AC335" s="3">
        <f>835.7+(433.9-376.7)+(-2.131035+(-1.106445--0.960585))+0-169.2--0.431459999999975</f>
        <v>721.85456500000009</v>
      </c>
      <c r="AD335">
        <f t="shared" si="5"/>
        <v>17256.819777000001</v>
      </c>
      <c r="AE335" s="3">
        <f>761+(465.5-192.5)+(0+(0-0))+0-165.8-0</f>
        <v>868.2</v>
      </c>
    </row>
    <row r="336" spans="1:31" s="2" customFormat="1" x14ac:dyDescent="0.25">
      <c r="A336">
        <v>89</v>
      </c>
      <c r="B336">
        <v>11</v>
      </c>
      <c r="C336">
        <v>30</v>
      </c>
      <c r="D336">
        <v>1</v>
      </c>
      <c r="E336">
        <v>1</v>
      </c>
      <c r="F336" s="3">
        <f>853.8+(430.9-446.1)+(-1.306314+(-0.659277--0.682533))+0-170.4--0.26071200000001</f>
        <v>667.17765399999996</v>
      </c>
      <c r="G336" s="3">
        <f>936.2+(376.7-506)+(-2.38731+(-0.960585--1.2903))+0-161.6--0.412079999999977</f>
        <v>643.65448500000002</v>
      </c>
      <c r="H336" s="3">
        <f>947.3+(356.5-514)+(0.483123+(0.181815-0.26214))+0-161.4-0.0823139999999836</f>
        <v>628.72048399999994</v>
      </c>
      <c r="I336" s="3">
        <f>933.4+(359.3-509.6)+(-0.476034+(-0.183243--0.259896))+0-156.4--0.0797639999999841</f>
        <v>626.38038299999994</v>
      </c>
      <c r="J336" s="3">
        <f>936+(365.9-507.4)+(1.90944+(0.746436-1.035096))+0-160.6-0.327623999999993</f>
        <v>635.19315599999993</v>
      </c>
      <c r="K336" s="3">
        <f>939.5+(362.5-493.7)+(0.95829+(0.36975-0.503574))+0-160.5-0.163710000000026</f>
        <v>648.46075599999995</v>
      </c>
      <c r="L336" s="3">
        <f>962.7+(370.7-475.1)+(0+(0-0))+0-157.2-0</f>
        <v>701.09999999999991</v>
      </c>
      <c r="M336" s="3">
        <f>961.2+(424.9-466.2)+(0+(0-0))+0-169.7-0</f>
        <v>750.2</v>
      </c>
      <c r="N336" s="3">
        <f>962.5+(456.6-467)+(1.9635+(0.931464-0.95268))+0-168.5-0.343739999999993</f>
        <v>785.19854399999997</v>
      </c>
      <c r="O336" s="3">
        <f>969+(543-549.3)+(-0.49419+(-0.27693--0.280143))+0-165.9--0.0846089999999832</f>
        <v>796.39363200000003</v>
      </c>
      <c r="P336" s="3">
        <f>1010.8+(459.8-507.7)+(-1.546524+(-0.703494--0.776781))+0-163.7--0.250461000000009</f>
        <v>797.97722399999986</v>
      </c>
      <c r="Q336" s="3">
        <f>1044.5+(471.4-527.4)+(-0.532695+(-0.240414--0.268974))+0-169--0.0861899999999829</f>
        <v>819.08205499999997</v>
      </c>
      <c r="R336" s="3">
        <f>1082.9+(449.8-564.2)+(-0.552279+(-0.229398--0.287742))+0-164.2--0.0837419999999833</f>
        <v>803.88980700000002</v>
      </c>
      <c r="S336" s="3">
        <f>1151.3+(385.1-590.6)+(-2.935815+(-0.982005--1.50603))+0-161.3--0.411314999999977</f>
        <v>782.49952499999984</v>
      </c>
      <c r="T336" s="3">
        <f>1147.6+(349.7-564.4)+(-0.585276+(-0.178347--0.287844))+0-161.4--0.0823139999999836</f>
        <v>771.10653499999989</v>
      </c>
      <c r="U336" s="3">
        <f>1146.6+(334.7-549.7)+(-1.754298+(-0.512091--0.841041))+0-156.9--0.240057000000009</f>
        <v>773.51470899999993</v>
      </c>
      <c r="V336" s="3">
        <f>1143.8+(336.6-537.2)+(-2.333352+(-0.686664--1.095888))+0-162.6--0.331703999999993</f>
        <v>779.00757599999986</v>
      </c>
      <c r="W336" s="3">
        <f>1153.2+(350.6-517.2)+(-2.352528+(-0.715224--1.055088))+0-162.9--0.332315999999993</f>
        <v>822.01965200000006</v>
      </c>
      <c r="X336" s="3">
        <f>1157+(423.8-519.3)+(-1.77021+(-0.648414--0.794529))+0-163.6--0.250308000000009</f>
        <v>896.5262130000001</v>
      </c>
      <c r="Y336" s="3">
        <f>1168.2+(438.2-560.2)+(-2.97891+(-1.11741--1.42851))+0-160.2--0.408509999999977</f>
        <v>883.74070000000006</v>
      </c>
      <c r="Z336" s="3">
        <f>1168.2+(411.6-567.2)+(-1.787346+(-0.629748--0.867816))+0-162.6--0.248778000000009</f>
        <v>848.69950000000006</v>
      </c>
      <c r="AA336" s="3">
        <f>1170+(378-564.2)+(-1.7901+(-0.57834--0.863226))+0-165.5--0.25321500000001</f>
        <v>817.04800099999989</v>
      </c>
      <c r="AB336" s="3">
        <f>1171+(343.1-575.8)+(-2.98605+(-0.874905--1.46829))+0-164.2--0.418709999999976</f>
        <v>772.12604500000009</v>
      </c>
      <c r="AC336" s="3">
        <f>1176.3+(303.2-577.7)+(-2.999565+(-0.77316--1.473135))+0-165.1--0.421004999999976</f>
        <v>734.82141499999989</v>
      </c>
      <c r="AD336">
        <f t="shared" si="5"/>
        <v>18184.538050999996</v>
      </c>
      <c r="AE336" s="3">
        <f>1169+(463.7-569.2)+(0+(0-0))+0-160.8-0</f>
        <v>902.7</v>
      </c>
    </row>
    <row r="337" spans="1:31" s="2" customFormat="1" x14ac:dyDescent="0.25">
      <c r="A337">
        <v>89</v>
      </c>
      <c r="B337">
        <v>12</v>
      </c>
      <c r="C337">
        <v>1</v>
      </c>
      <c r="D337">
        <v>2</v>
      </c>
      <c r="E337">
        <v>1</v>
      </c>
      <c r="F337" s="3">
        <f>1178.6+(346.5-637.1)+(-4.207602+(-1.237005--2.274447))+0-163.2--0.582624000000002</f>
        <v>722.21246399999984</v>
      </c>
      <c r="G337" s="3">
        <f>1190+(361.3-688.3)+(0+(0-0))+0-160.2-0</f>
        <v>702.8</v>
      </c>
      <c r="H337" s="3">
        <f>1187.6+(360.3-701)+(-2.422704+(-0.735012--1.43004))+0-157--0.320279999999993</f>
        <v>688.49260399999991</v>
      </c>
      <c r="I337" s="3">
        <f>1186.9+(357.1-700.6)+(3.026595+(0.910605-1.78653))+0-159.2-0.405959999999977</f>
        <v>685.9447100000001</v>
      </c>
      <c r="J337" s="3">
        <f>1187.8+(364.3-698)+(0+(0-0))+0-161-0</f>
        <v>693.09999999999991</v>
      </c>
      <c r="K337" s="3">
        <f>1184.5+(361.6-679.6)+(1.20819+(0.368832-0.693192))+0-158.6-0.161772000000025</f>
        <v>708.62205799999992</v>
      </c>
      <c r="L337" s="3">
        <f>1187.7+(356.7-653.4)+(1.211454+(0.363834-0.666468))+0-158.1-0.161262000000025</f>
        <v>733.64755799999989</v>
      </c>
      <c r="M337" s="3">
        <f>1188.7+(356.5-606.1)+(1.212474+(0.36363-0.618222))+0-163-0.166260000000026</f>
        <v>776.89162199999998</v>
      </c>
      <c r="N337" s="3">
        <f>1169+(413-598)+(1.78857+(0.63189-0.91494))+0-161.3-0.246789000000009</f>
        <v>823.95873099999994</v>
      </c>
      <c r="O337" s="3">
        <f>1156+(453.5-632.5)+(-1.17912+(-0.46257--0.64515))+0-143.5--0.146370000000023</f>
        <v>832.64983000000007</v>
      </c>
      <c r="P337" s="3">
        <f>1142.4+(459-612)+(-1.747872+(-0.70227--0.93636))+0-140--0.214200000000008</f>
        <v>848.1004180000001</v>
      </c>
      <c r="Q337" s="3">
        <f>1138.4+(421.2-608.3)+(-4.064088+(-1.503684--2.171631))+0-118.4--0.422688000000002</f>
        <v>829.92654700000026</v>
      </c>
      <c r="R337" s="3">
        <f>1120.8+(376-541.8)+(-2.286432+(-0.76704--1.105272))+0-107.5--0.219299999999995</f>
        <v>845.77109999999993</v>
      </c>
      <c r="S337" s="3">
        <f>1143.7+(326.9-519.3)+(-2.333148+(-0.666876--1.059372))+0-107.9--0.220115999999995</f>
        <v>841.67946400000005</v>
      </c>
      <c r="T337" s="3">
        <f>1135.3+(316.6-508.6)+(-0.579003+(-0.161466--0.259386))+0-106.8--0.0544679999999892</f>
        <v>836.07338500000003</v>
      </c>
      <c r="U337" s="3">
        <f>1126.7+(346.4-515.5)+(1.723851+(0.529992-0.788715))+0-116.1-0.177633000000007</f>
        <v>842.78749500000004</v>
      </c>
      <c r="V337" s="3">
        <f>1131.5+(365.7-527)+(0+(0-0))+0-128.1-0</f>
        <v>842.1</v>
      </c>
      <c r="W337" s="3">
        <f>1150.3+(413.3-546.9)+(0+(0-0))+0-140.5-0</f>
        <v>876.2</v>
      </c>
      <c r="X337" s="3">
        <f>1162.7+(411-487.5)+(-1.778931+(-0.62883--0.745875))+0-145.7--0.222921000000008</f>
        <v>939.06103499999995</v>
      </c>
      <c r="Y337" s="3">
        <f>1163.3+(408.3-508.6)+(-2.373132+(-0.832932--1.037544))+0-141.5--0.288659999999994</f>
        <v>919.62014000000011</v>
      </c>
      <c r="Z337" s="3">
        <f>1166.7+(393.2-524.8)+(-1.190034+(-0.401064--0.535296))+0-145.3--0.148206000000023</f>
        <v>888.89240400000017</v>
      </c>
      <c r="AA337" s="3">
        <f>1100.5+(424.1-505.8)+(0.561255+(0.216291-0.257958))+0-146.5-0.0747149999999851</f>
        <v>872.74487299999998</v>
      </c>
      <c r="AB337" s="3">
        <f>1030.5+(457.9-512.8)+(-2.627775+(-1.167645--1.30764))+0-145.9--0.372044999999979</f>
        <v>827.58426499999996</v>
      </c>
      <c r="AC337" s="3">
        <f>1034.1+(448.1-552.8)+(0.527391+(0.228531-0.281928))+0-146.9-0.0749189999999851</f>
        <v>782.89907499999993</v>
      </c>
      <c r="AD337">
        <f t="shared" si="5"/>
        <v>19361.759778000007</v>
      </c>
      <c r="AE337" s="3">
        <f>1166+(421.5-490.5)+(0+(0-0))+0-151.6-0</f>
        <v>945.4</v>
      </c>
    </row>
    <row r="338" spans="1:31" s="2" customFormat="1" x14ac:dyDescent="0.25">
      <c r="A338">
        <v>89</v>
      </c>
      <c r="B338">
        <v>12</v>
      </c>
      <c r="C338">
        <v>2</v>
      </c>
      <c r="D338">
        <v>3</v>
      </c>
      <c r="E338">
        <v>1</v>
      </c>
      <c r="F338" s="3">
        <f>1027.3+(426.6-575.8)+(-2.095692+(-0.870264--1.174632))+0-149--0.303959999999994</f>
        <v>727.61263599999995</v>
      </c>
      <c r="G338" s="3">
        <f>1033.4+(433-594.2)+(-2.108136+(-0.88332--1.212168))+0-152.2--0.310487999999993</f>
        <v>718.53120000000001</v>
      </c>
      <c r="H338" s="3">
        <f>1030.1+(431.9-606.9)+(0.525351+(0.220269-0.309519))+0-151-0.0770099999999847</f>
        <v>704.45909099999994</v>
      </c>
      <c r="I338" s="3">
        <f>1026.1+(442.4-622.1)+(2.093244+(0.902496-1.269084))+0-151.7-0.309467999999993</f>
        <v>696.11718799999983</v>
      </c>
      <c r="J338" s="3">
        <f>1027.4+(446.3-621.7)+(-0.523974+(-0.227613--0.317067))+0-152.6--0.0778259999999845</f>
        <v>699.04330599999992</v>
      </c>
      <c r="K338" s="3">
        <f>1027.4+(456-618.5)+(0+(0-0))+0-148.5-0</f>
        <v>716.40000000000009</v>
      </c>
      <c r="L338" s="3">
        <f>1023.3+(448.4-612.8)+(-2.087532+(-0.914736--1.250112))+0-147.5--0.300899999999994</f>
        <v>709.94874399999992</v>
      </c>
      <c r="M338" s="3">
        <f>1026+(432.9-560.7)+(-1.56978+(-0.662337--0.857871))+0-150.1--0.229653000000009</f>
        <v>746.95540699999992</v>
      </c>
      <c r="N338" s="3">
        <f>1018.5+(429.5-512.4)+(1.558305+(0.657135-0.783972))+0-152.5-0.233325000000009</f>
        <v>784.29814299999998</v>
      </c>
      <c r="O338" s="3">
        <f>1015+(482.5-525.9)+(0.51765+(0.246075-0.268209))+0-151.9-0.0774689999999846</f>
        <v>820.11804700000005</v>
      </c>
      <c r="P338" s="3">
        <f>1016.1+(503.7-523.6)+(-1.036422+(-0.513774--0.534072))+0-157.8--0.160956000000025</f>
        <v>837.54483200000016</v>
      </c>
      <c r="Q338" s="3">
        <f>1018.3+(502.8-520.5)+(-1.038666+(-0.512856--0.53091))+0-155.9--0.159018000000025</f>
        <v>843.83840599999996</v>
      </c>
      <c r="R338" s="3">
        <f>1015.8+(491-481.6)+(-3.108348+(-1.50246--1.473696))+0-152--0.465120000000018</f>
        <v>870.52800799999989</v>
      </c>
      <c r="S338" s="3">
        <f>1014.2+(454.7-459.8)+(-1.034484+(-0.463794--0.468996))+0-155.2--0.158304000000025</f>
        <v>853.02902200000017</v>
      </c>
      <c r="T338" s="3">
        <f>1012.3+(422-432.9)+(1.032546+(0.43044-0.441558))+0-155.7-0.158814000000025</f>
        <v>846.56261400000005</v>
      </c>
      <c r="U338" s="3">
        <f>1014.6+(379.5-419.5)+(-2.069784+(-0.77418--0.85578))+0-153.3--0.312731999999993</f>
        <v>819.62454799999989</v>
      </c>
      <c r="V338" s="3">
        <f>1017+(369.4-404.9)+(1.03734+(0.376788-0.412998))+0-156.3-0.159426000000025</f>
        <v>826.04170399999987</v>
      </c>
      <c r="W338" s="3">
        <f>1013+(472.6-412.4)+(-1.03326+(-0.482052--0.420648))+0-159.7--0.162894000000025</f>
        <v>912.56823000000009</v>
      </c>
      <c r="X338" s="3">
        <f>978.3+(507.4-413.9)+(-0.498933+(-0.258774--0.211089))+0-160.4--0.0818039999999837</f>
        <v>910.93518599999993</v>
      </c>
      <c r="Y338" s="3">
        <f>1010.8+(500.2-462.9)+(-1.031016+(-0.510204--0.472158))+0-161.2--0.164424000000026</f>
        <v>885.99536199999989</v>
      </c>
      <c r="Z338" s="3">
        <f>1009.6+(492.1-485.9)+(-0.514896+(-0.250971--0.247809))+0-160.5--0.0818549999999837</f>
        <v>854.86379700000009</v>
      </c>
      <c r="AA338" s="3">
        <f>1024.9+(487.1-508.3)+(-0.522699+(-0.248421--0.259233))+0-159.6--0.0813959999999838</f>
        <v>843.66950900000006</v>
      </c>
      <c r="AB338" s="3">
        <f>1078.7+(443.9-554.6)+(-2.200548+(-0.905556--1.131384))+0-160.6--0.327623999999993</f>
        <v>805.75290399999994</v>
      </c>
      <c r="AC338" s="3">
        <f>1106.3+(337.9-520.9)+(0+(0-0))+0-161.6-0</f>
        <v>761.69999999999993</v>
      </c>
      <c r="AD338">
        <f t="shared" si="5"/>
        <v>19196.137884000003</v>
      </c>
      <c r="AE338" s="3">
        <f>1014+(499.5-470.9)+(0+(0-0))+0-162-0</f>
        <v>880.59999999999991</v>
      </c>
    </row>
    <row r="339" spans="1:31" s="2" customFormat="1" x14ac:dyDescent="0.25">
      <c r="A339">
        <v>89</v>
      </c>
      <c r="B339">
        <v>12</v>
      </c>
      <c r="C339">
        <v>3</v>
      </c>
      <c r="D339">
        <v>4</v>
      </c>
      <c r="E339">
        <v>1</v>
      </c>
      <c r="F339" s="3">
        <f>1162.5+(327-598.8)+(-1.18575+(-0.33354--0.610776))+0-160.2--0.163404000000026</f>
        <v>729.75489000000005</v>
      </c>
      <c r="G339" s="3">
        <f>1153.6+(336.7-622.6)+(0+(0-0))+0-157.7-0</f>
        <v>709.99999999999977</v>
      </c>
      <c r="H339" s="3">
        <f>1145.2+(313-605.7)+(0+(0-0))+0-158.9-0</f>
        <v>693.6</v>
      </c>
      <c r="I339" s="3">
        <f>1146.3+(312.3-613.3)+(-1.753839+(-0.477819--0.938349))+0-158.6--0.242658000000009</f>
        <v>685.64934899999992</v>
      </c>
      <c r="J339" s="3">
        <f>1149.1+(306.7-612)+(-2.344164+(-0.625668--1.24848))+0-157.5--0.321299999999993</f>
        <v>684.89994799999988</v>
      </c>
      <c r="K339" s="3">
        <f>1154.4+(291.1-590.1)+(1.177488+(0.296922-0.601902))+0-160.8-0.164016000000026</f>
        <v>695.308492</v>
      </c>
      <c r="L339" s="3">
        <f>1157.8+(268.7-526.6)+(-1.180956+(-0.274074--0.537132))+0-155.7--0.158814000000025</f>
        <v>743.4409159999999</v>
      </c>
      <c r="M339" s="3">
        <f>1154.6+(352.9-545.8)+(-1.766538+(-0.539937--0.835074))+0-161--0.246330000000009</f>
        <v>799.47492899999997</v>
      </c>
      <c r="N339" s="3">
        <f>1151.7+(388-535.4)+(0+(0-0))+0-163.8-0</f>
        <v>840.5</v>
      </c>
      <c r="O339" s="3">
        <f>1177.6+(468.8-618.7)+(-1.201152+(-0.478176--0.631074))+0-158.7--0.161874000000025</f>
        <v>868.11361999999974</v>
      </c>
      <c r="P339" s="3">
        <f>1168.2+(453.8-582.2)+(-2.97891+(-1.15719--1.48461))+0-156.2--0.398309999999977</f>
        <v>881.34681999999987</v>
      </c>
      <c r="Q339" s="3">
        <f>1159.6+(462.8-584.4)+(-1.182792+(-0.472056--0.596088))+0-160.2--0.163404000000026</f>
        <v>876.90464400000008</v>
      </c>
      <c r="R339" s="3">
        <f>1158.5+(486.7-625.3)+(-2.954175+(-1.241085--1.594515))+0-155.5--0.396524999999977</f>
        <v>862.19578000000013</v>
      </c>
      <c r="S339" s="3">
        <f>1155+(461.8-608.2)+(0+(0-0))+0-157.3-0</f>
        <v>851.3</v>
      </c>
      <c r="T339" s="3">
        <f>1145.9+(461-603.6)+(0.584409+(0.23511-0.307836))+0-155.2-0.0791519999999842</f>
        <v>848.53253100000006</v>
      </c>
      <c r="U339" s="3">
        <f>1139.5+(462.8-615.4)+(0+(0-0))+0-145.8-0</f>
        <v>841.10000000000014</v>
      </c>
      <c r="V339" s="3">
        <f>1141.8+(448-614.3)+(0+(0-0))+0-134.6-0</f>
        <v>840.9</v>
      </c>
      <c r="W339" s="3">
        <f>1143.1+(423.5-533.7)+(-0.582981+(-0.215985--0.272187))+0-153.6--0.0783359999999844</f>
        <v>878.85155699999984</v>
      </c>
      <c r="X339" s="3">
        <f>1156.4+(457.5-511.7)+(-0.589764+(-0.233325--0.260967))+0-154.3--0.0786929999999844</f>
        <v>947.41657099999998</v>
      </c>
      <c r="Y339" s="3">
        <f>1166.6+(448-527.7)+(-1.784898+(-0.68544--0.807381))+0-156.2--0.238986000000009</f>
        <v>929.27602899999977</v>
      </c>
      <c r="Z339" s="3">
        <f>1172.1+(435.7-546.4)+(-1.195542+(-0.444414--0.557328))+0-163.2--0.166464000000026</f>
        <v>897.28383599999972</v>
      </c>
      <c r="AA339" s="3">
        <f>1171.7+(387.3-520)+(-3.585402+(-1.185138--1.5912))+0-165--0.504900000000019</f>
        <v>871.32556000000011</v>
      </c>
      <c r="AB339" s="3">
        <f>1172.1+(390.1-568.1)+(-2.391084+(-0.795804--1.158924))+0-163.6--0.333743999999993</f>
        <v>828.80577999999991</v>
      </c>
      <c r="AC339" s="3">
        <f>1178.1+(362.8-595.7)+(-3.604986+(-1.110168--1.822842))+0-164.5--0.503370000000019</f>
        <v>778.31105799999989</v>
      </c>
      <c r="AD339">
        <f t="shared" si="5"/>
        <v>19584.292309999997</v>
      </c>
      <c r="AE339" s="3">
        <f>1171+(454.2-544.5)+(0+(0-0))+0-152.6-0</f>
        <v>928.1</v>
      </c>
    </row>
    <row r="340" spans="1:31" s="2" customFormat="1" x14ac:dyDescent="0.25">
      <c r="A340">
        <v>89</v>
      </c>
      <c r="B340">
        <v>12</v>
      </c>
      <c r="C340">
        <v>4</v>
      </c>
      <c r="D340">
        <v>5</v>
      </c>
      <c r="E340">
        <v>1</v>
      </c>
      <c r="F340" s="3">
        <f>1167.2+(360.9-618.4)+(1.190544+(0.368118-0.630768))+0-165-0.168300000000026</f>
        <v>745.45959400000004</v>
      </c>
      <c r="G340" s="3">
        <f>1179.3+(364.3-641.3)+(-2.405772+(-0.743172--1.308252))+0-162.9--0.332315999999993</f>
        <v>737.89162399999998</v>
      </c>
      <c r="H340" s="3">
        <f>1182.1+(356.6-651.4)+(0.602871+(0.181866-0.332214))+0-163.6-0.0834359999999834</f>
        <v>724.06908699999997</v>
      </c>
      <c r="I340" s="3">
        <f>1179.1+(359.9-660.6)+(-2.405364+(-0.734196--1.347624))+0-163.3--0.333131999999993</f>
        <v>713.64119599999981</v>
      </c>
      <c r="J340" s="3">
        <f>1186.4+(360.8-659)+(-1.815192+(-0.552024--1.00827))+0-166.3--0.25443900000001</f>
        <v>720.79549300000008</v>
      </c>
      <c r="K340" s="3">
        <f>1182.7+(388.1-653)+(0.603177+(0.197931-0.33303))+0-168.2-0.0857819999999829</f>
        <v>749.98229600000002</v>
      </c>
      <c r="L340" s="3">
        <f>1184.6+(331.5-581.4)+(-2.416584+(-0.67626--1.186056))+0-167.2--0.341087999999993</f>
        <v>765.93430000000001</v>
      </c>
      <c r="M340" s="3">
        <f>1181.8+(375.1-565.8)+(-1.205436+(-0.382602--0.577116))+0-173.7--0.177174000000028</f>
        <v>816.56625199999996</v>
      </c>
      <c r="N340" s="3">
        <f>1179+(390.7-551)+(0+(0-0))+0-167.7-0</f>
        <v>851</v>
      </c>
      <c r="O340" s="3">
        <f>1177+(406.2-559)+(-0.60027+(-0.207162--0.28509))+0-172.6--0.0880259999999825</f>
        <v>851.16568400000006</v>
      </c>
      <c r="P340" s="3">
        <f>1168.4+(398.5-545.2)+(-0.595884+(-0.203235--0.278052))+0-171.1--0.0872609999999826</f>
        <v>850.16619400000002</v>
      </c>
      <c r="Q340" s="3">
        <f>1165.1+(406.1-540.4)+(-0.594201+(-0.207111--0.275604))+0-163.6--0.0834359999999834</f>
        <v>866.75772800000004</v>
      </c>
      <c r="R340" s="3">
        <f>1175.4+(393.4-528.4)+(-2.99727+(-1.00317--1.34742))+0-163.9--0.417944999999976</f>
        <v>874.26492500000018</v>
      </c>
      <c r="S340" s="3">
        <f>1167.7+(375.3-512.9)+(-0.595527+(-0.191403--0.261579))+0-167--0.0851699999999831</f>
        <v>862.65981900000008</v>
      </c>
      <c r="T340" s="3">
        <f>1159.8+(353.1-497.9)+(-2.95749+(-0.900405--1.269645))+0-159.8--0.407489999999977</f>
        <v>853.01923999999997</v>
      </c>
      <c r="U340" s="3">
        <f>1162.6+(326.1-482.7)+(-1.778778+(-0.498933--0.738531))+0-151.4--0.231642000000009</f>
        <v>853.292462</v>
      </c>
      <c r="V340" s="3">
        <f>1161.7+(306.9-457.2)+(-5.332203+(-1.408671--2.098548))+0-148.8--0.682992000000026</f>
        <v>858.64066600000001</v>
      </c>
      <c r="W340" s="3">
        <f>1163.5+(269.3-410.9)+(0+(0-0))+0-157.6-0</f>
        <v>864.30000000000007</v>
      </c>
      <c r="X340" s="3">
        <f>1175.3+(313.8-392.5)+(-2.397612+(-0.640152--0.8007))+0-158.1--0.322523999999993</f>
        <v>936.58546000000001</v>
      </c>
      <c r="Y340" s="3">
        <f>1176.7+(314.9-417)+(0+(0-0))+0-155.8-0</f>
        <v>918.8</v>
      </c>
      <c r="Z340" s="3">
        <f>1165.6+(353.8-459)+(0+(0-0))+0-162.1-0</f>
        <v>898.29999999999984</v>
      </c>
      <c r="AA340" s="3">
        <f>1137.9+(359.3-451)+(-1.160658+(-0.366486--0.46002))+0-172.4--0.175848000000027</f>
        <v>872.90872400000012</v>
      </c>
      <c r="AB340" s="3">
        <f>1137.6+(312.5-438)+(-2.320704+(-0.6375--0.89352))+0-172.9--0.352715999999992</f>
        <v>837.48803199999986</v>
      </c>
      <c r="AC340" s="3">
        <f>1145.3+(296.6-473.9)+(-4.672824+(-1.210128--1.933512))+0-173.3--0.707063999999985</f>
        <v>791.4576239999999</v>
      </c>
      <c r="AD340">
        <f t="shared" si="5"/>
        <v>19815.146399999998</v>
      </c>
      <c r="AE340" s="3">
        <f>1166+(332.6-404.1)+(0+(0-0))+0-156.2-0</f>
        <v>938.3</v>
      </c>
    </row>
    <row r="341" spans="1:31" s="2" customFormat="1" x14ac:dyDescent="0.25">
      <c r="A341">
        <v>89</v>
      </c>
      <c r="B341">
        <v>12</v>
      </c>
      <c r="C341">
        <v>5</v>
      </c>
      <c r="D341">
        <v>6</v>
      </c>
      <c r="E341">
        <v>1</v>
      </c>
      <c r="F341" s="3">
        <f>1146.1+(316.8-527.8)+(-1.753533+(-0.484704--0.807534))+0-174.3--0.26667900000001</f>
        <v>759.63597599999991</v>
      </c>
      <c r="G341" s="3">
        <f>1138.1+(345.2-578.4)+(1.160862+(0.352104-0.589968))+0-171.5-0.174930000000027</f>
        <v>734.14806799999985</v>
      </c>
      <c r="H341" s="3">
        <f>1138.3+(354.2-596.9)+(-3.483198+(-1.083852--1.826514))+0-168.5--0.515610000000019</f>
        <v>724.87507399999993</v>
      </c>
      <c r="I341" s="3">
        <f>1141.7+(365.1-618)+(1.164534+(0.372402-0.63036))+0-168.7-0.172074000000027</f>
        <v>720.83450199999993</v>
      </c>
      <c r="J341" s="3">
        <f>1148.2+(361.7-618)+(0.585582+(0.184467-0.31518))+0-171.6-0.0875159999999826</f>
        <v>720.66735300000016</v>
      </c>
      <c r="K341" s="3">
        <f>1149.6+(385-629.4)+(3.517776+(1.1781-1.925964))+0-168.8-0.51652800000002</f>
        <v>738.65338399999985</v>
      </c>
      <c r="L341" s="3">
        <f>1128.3+(394.7-585.5)+(0+(0-0))+0-166.5-0</f>
        <v>771</v>
      </c>
      <c r="M341" s="3">
        <f>1155.9+(424.1-576)+(1.768527+(0.648873-0.88128))+0-169.9-0.25994700000001</f>
        <v>835.37617300000011</v>
      </c>
      <c r="N341" s="3">
        <f>1167.8+(479.7-619.6)+(0+(0-0))+0-172.6-0</f>
        <v>855.29999999999984</v>
      </c>
      <c r="O341" s="3">
        <f>1166.5+(532-642.6)+(0+(0-0))+0-174.7-0</f>
        <v>881.2</v>
      </c>
      <c r="P341" s="3">
        <f>1162.2+(535.3-615.4)+(0+(0-0))+0-173.2-0</f>
        <v>908.89999999999986</v>
      </c>
      <c r="Q341" s="3">
        <f>1153+(546.3-615.9)+(0.58803+(0.278613-0.314109))+0-171.2-0.0873119999999826</f>
        <v>912.66522199999997</v>
      </c>
      <c r="R341" s="3">
        <f>1144.7+(513.6-598)+(-1.167594+(-0.523872--0.60996))+0-163.9--0.167178000000026</f>
        <v>895.48567200000025</v>
      </c>
      <c r="S341" s="3">
        <f>1133.4+(504.3-597.2)+(-1.156068+(-0.514386--0.609144))+0-157.4--0.160548000000025</f>
        <v>882.19923800000004</v>
      </c>
      <c r="T341" s="3">
        <f>1125.4+(481-578.5)+(-0.573954+(-0.24531--0.295035))+0-158.3--0.0807329999999839</f>
        <v>869.15650400000004</v>
      </c>
      <c r="U341" s="3">
        <f>1129.9+(447.2-561)+(-1.152498+(-0.456144--0.57222))+0-156--0.159120000000025</f>
        <v>859.22269800000015</v>
      </c>
      <c r="V341" s="3">
        <f>1133.9+(421.1-541.6)+(-4.048023+(-1.503327--1.933512))+0-154--0.549780000000002</f>
        <v>856.33194200000014</v>
      </c>
      <c r="W341" s="3">
        <f>1136+(440.7-539.8)+(-0.57936+(-0.224757--0.275298))+0-153.9--0.0784889999999844</f>
        <v>882.54966999999999</v>
      </c>
      <c r="X341" s="3">
        <f>1151.3+(486.6-548.4)+(-1.761489+(-0.744498--0.839052))+0-149.4--0.228582000000009</f>
        <v>938.66164700000002</v>
      </c>
      <c r="Y341" s="3">
        <f>1161.9+(477.2-559.3)+(-1.185138+(-0.486744--0.570486))+0-155.8--0.158916000000025</f>
        <v>923.05752000000018</v>
      </c>
      <c r="Z341" s="3">
        <f>1171.5+(424.6-535.8)+(-1.792395+(-0.649638--0.819774))+0-167.9--0.25688700000001</f>
        <v>891.03462800000023</v>
      </c>
      <c r="AA341" s="3">
        <f>1168.7+(427.2-544.5)+(0+(0-0))+0-176.2-0</f>
        <v>875.2</v>
      </c>
      <c r="AB341" s="3">
        <f>1165.9+(402.9-553.1)+(-2.378436+(-0.821916--1.128324))+0-177.5--0.362099999999992</f>
        <v>836.49007199999994</v>
      </c>
      <c r="AC341" s="3">
        <f>1038.2+(456.8-515.5)+(-2.64741+(-1.16484--1.314525))+0-176.5--0.450074999999974</f>
        <v>800.95235000000002</v>
      </c>
      <c r="AD341">
        <f t="shared" si="5"/>
        <v>20073.597693000003</v>
      </c>
      <c r="AE341" s="3">
        <f>1157+(509.6-571.8)+(0+(0-0))+0-148.8-0</f>
        <v>946.00000000000023</v>
      </c>
    </row>
    <row r="342" spans="1:31" s="2" customFormat="1" x14ac:dyDescent="0.25">
      <c r="A342">
        <v>89</v>
      </c>
      <c r="B342">
        <v>12</v>
      </c>
      <c r="C342">
        <v>6</v>
      </c>
      <c r="D342">
        <v>7</v>
      </c>
      <c r="E342">
        <v>1</v>
      </c>
      <c r="F342" s="3">
        <f>987+(432.2-485)+(-1.00674+(-0.440844--0.4947))+0-170.5--0.173910000000027</f>
        <v>762.92102599999998</v>
      </c>
      <c r="G342" s="3">
        <f>990.9+(414.8-490.5)+(-0.505359+(-0.211548--0.250155))+0-165.4--0.0843539999999832</f>
        <v>749.41760199999999</v>
      </c>
      <c r="H342" s="3">
        <f>994.5+(430.6-521.8)+(0+(0-0))+0-166-0</f>
        <v>737.30000000000007</v>
      </c>
      <c r="I342" s="3">
        <f>1000.4+(413.7-521.2)+(1.530612+(0.632961-0.797436))+0-169.8-0.25979400000001</f>
        <v>724.20634299999983</v>
      </c>
      <c r="J342" s="3">
        <f>1006.1+(421.5-531.5)+(-2.565555+(-1.074825--1.355325))+0-171.7--0.437834999999975</f>
        <v>722.55277999999998</v>
      </c>
      <c r="K342" s="3">
        <f>1003.9+(411.8-511.3)+(1.535967+(0.630054-0.782289))+0-170.9-0.26147700000001</f>
        <v>734.622255</v>
      </c>
      <c r="L342" s="3">
        <f>1002.6+(418-500.2)+(-1.022652+(-0.42636--0.510204))+0-167.5--0.170850000000027</f>
        <v>752.13204200000007</v>
      </c>
      <c r="M342" s="3">
        <f>994+(435.1-459.8)+(0.50694+(0.221901-0.234498))+0-162.5-0.0828749999999835</f>
        <v>807.21146799999997</v>
      </c>
      <c r="N342" s="3">
        <f>1000.6+(417.8-421.1)+(-1.020612+(-0.426156--0.429522))+0-159--0.162180000000025</f>
        <v>837.44493399999999</v>
      </c>
      <c r="O342" s="3">
        <f>1009.2+(415-401.2)+(0.514692+(0.21165-0.204612))+0-159.2-0.0811919999999838</f>
        <v>864.24053800000013</v>
      </c>
      <c r="P342" s="3">
        <f>995.4+(487.3-429.6)+(1.015308+(0.497046-0.438192))+0-173.9-0.177378000000028</f>
        <v>880.09678399999984</v>
      </c>
      <c r="Q342" s="3">
        <f>993.7+(516.7-442.5)+(-2.027148+(-1.054068--0.9027))+0-172.5--0.351899999999993</f>
        <v>893.57338400000015</v>
      </c>
      <c r="R342" s="3">
        <f>984.8+(519.4-453.8)+(-0.502248+(-0.264894--0.231438))+0-168.9--0.0861389999999829</f>
        <v>881.05043499999999</v>
      </c>
      <c r="S342" s="3">
        <f>966.3+(515.9-433.7)+(-2.956878+(-1.578654--1.327122))+0-171.4--0.52448400000002</f>
        <v>874.41607400000009</v>
      </c>
      <c r="T342" s="3">
        <f>974.6+(449.7-400.4)+(-0.994092+(-0.458694--0.408408))+0-168.7--0.172074000000027</f>
        <v>854.32769600000006</v>
      </c>
      <c r="U342" s="3">
        <f>972.1+(385.3-351.6)+(-2.974626+(-1.179018--1.075896))+0-161.7--0.494802000000019</f>
        <v>841.51705400000003</v>
      </c>
      <c r="V342" s="3">
        <f>970.5+(391.7-348.7)+(-0.98991+(-0.399534--0.355674))+0-168.5--0.171870000000027</f>
        <v>844.13810000000001</v>
      </c>
      <c r="W342" s="3">
        <f>966.5+(446.9-369.2)+(-0.492915+(-0.227919--0.188292))+0-171.9--0.0876689999999826</f>
        <v>871.85512700000015</v>
      </c>
      <c r="X342" s="3">
        <f>980.7+(518.7-387.6)+(-1.500471+(-0.793611--0.593028))+0-175.2--0.26805600000001</f>
        <v>935.16700200000002</v>
      </c>
      <c r="Y342" s="3">
        <f>985.8+(533.3-423.6)+(0.502758+(0.271983-0.216036))+0-174.6-0.0890459999999823</f>
        <v>921.36965899999996</v>
      </c>
      <c r="Z342" s="3">
        <f>987.9+(536.7-452.8)+(-1.511487+(-0.821151--0.692784))+0-176.3--0.26973900000001</f>
        <v>894.12988499999994</v>
      </c>
      <c r="AA342" s="3">
        <f>984.6+(538.6-470.2)+(0.502146+(0.274686-0.239802))+0-176-0.0897599999999821</f>
        <v>877.44727</v>
      </c>
      <c r="AB342" s="3">
        <f>986.1+(537.1-506.7)+(-1.005822+(-0.547842--0.516834))+0-175.6--0.179112000000028</f>
        <v>840.042282</v>
      </c>
      <c r="AC342" s="3">
        <f>992.4+(531.5-556.9)+(-2.024496+(-1.08426--1.136076))+0-173.8--0.354551999999992</f>
        <v>791.58187199999998</v>
      </c>
      <c r="AD342">
        <f t="shared" si="5"/>
        <v>19892.761611999995</v>
      </c>
      <c r="AE342" s="3">
        <f>981+(546.3-434.5)+(0+(0-0))+0-175.3-0</f>
        <v>917.5</v>
      </c>
    </row>
    <row r="343" spans="1:31" s="2" customFormat="1" x14ac:dyDescent="0.25">
      <c r="A343">
        <v>89</v>
      </c>
      <c r="B343">
        <v>12</v>
      </c>
      <c r="C343">
        <v>7</v>
      </c>
      <c r="D343">
        <v>1</v>
      </c>
      <c r="E343">
        <v>1</v>
      </c>
      <c r="F343" s="3">
        <f>999.1+(423.5-535)+(-1.019082+(-0.43197--0.5457))+0-176.1--0.179622000000028</f>
        <v>710.77427</v>
      </c>
      <c r="G343" s="3">
        <f>1012.2+(390.6-545.9)+(-1.032444+(-0.398412--0.556818))+0-172.9--0.176358000000028</f>
        <v>683.30232000000012</v>
      </c>
      <c r="H343" s="3">
        <f>1022.9+(343.5-535.7)+(2.086716+(0.70074-1.092828))+0-171.8-0.350471999999993</f>
        <v>660.24415599999986</v>
      </c>
      <c r="I343" s="3">
        <f>1031.2+(377.5-541.6)+(-1.051824+(-0.38505--0.552432))+0-166.7--0.170034000000027</f>
        <v>699.68559200000004</v>
      </c>
      <c r="J343" s="3">
        <f>1027.7+(365-549.7)+(3.144762+(1.1169-1.682082))+0-173.2-0.52999200000002</f>
        <v>671.84958800000004</v>
      </c>
      <c r="K343" s="3">
        <f>1031.5+(445.9-572.2)+(0.526065+(0.227409-0.291822))+0-172.8-0.0881279999999825</f>
        <v>732.77352399999984</v>
      </c>
      <c r="L343" s="3">
        <f>1019+(485.5-570.1)+(1.55907+(0.742815-0.872253))+0-163.6-0.250308000000009</f>
        <v>771.97932399999991</v>
      </c>
      <c r="M343" s="3">
        <f>1017+(547.4-572.4)+(2.59335+(1.39587-1.45962))+0-165.7-0.422534999999976</f>
        <v>828.4070650000001</v>
      </c>
      <c r="N343" s="3">
        <f>1001.6+(624.1-599.2)+(0.510816+(0.318291-0.305592))+0-169.7-0.0865469999999828</f>
        <v>857.23696800000005</v>
      </c>
      <c r="O343" s="3">
        <f>997.2+(614-585.4)+(0.508572+(0.31314-0.298554))+0-160.7-0.0819569999999837</f>
        <v>865.54120100000011</v>
      </c>
      <c r="P343" s="3">
        <f>992.3+(591.5-572.5)+(1.518219+(0.904995-0.875925))+0-157.2-0.240516000000009</f>
        <v>855.40677300000004</v>
      </c>
      <c r="Q343" s="3">
        <f>978.9+(595.6-555.7)+(-0.499239+(-0.303756--0.283407))+0-154.6--0.0788459999999843</f>
        <v>863.75925799999993</v>
      </c>
      <c r="R343" s="3">
        <f>961.3+(595.2-542)+(-0.490263+(-0.303552--0.27642))+0-166.9--0.0851189999999831</f>
        <v>847.16772400000002</v>
      </c>
      <c r="S343" s="3">
        <f>976.9+(581.2-544)+(-1.494657+(-0.889236--0.83232))+0-170.2--0.26040600000001</f>
        <v>842.60883300000012</v>
      </c>
      <c r="T343" s="3">
        <f>967.8+(596.8-572.4)+(0+(0-0))+0-164.2-0</f>
        <v>828</v>
      </c>
      <c r="U343" s="3">
        <f>972.5+(532.2-513.8)+(-0.99195+(-0.542844--0.524076))+0-155.4--0.158508000000025</f>
        <v>834.6477900000001</v>
      </c>
      <c r="V343" s="3">
        <f>968.6+(541.2-524.3)+(0+(0-0))+0-136.1-0</f>
        <v>849.40000000000009</v>
      </c>
      <c r="W343" s="3">
        <f>968.1+(584.5-529.3)+(-1.974924+(-1.19238--1.079772))+0-133.6--0.272543999999994</f>
        <v>887.88501200000007</v>
      </c>
      <c r="X343" s="3">
        <f>972.6+(668.7-554.4)+(-2.48013+(-1.705185--1.41372))+0-147.8--0.376889999999979</f>
        <v>936.70529500000021</v>
      </c>
      <c r="Y343" s="3">
        <f>976.7+(663.1-569)+(-1.494351+(-1.014543--0.87057))+0-148.8--0.227664000000009</f>
        <v>920.58934000000022</v>
      </c>
      <c r="Z343" s="3">
        <f>977.7+(664.9-596)+(-0.498627+(-0.339099--0.30396))+0-157.4--0.080273999999984</f>
        <v>888.74650799999995</v>
      </c>
      <c r="AA343" s="3">
        <f>977.7+(620.1-569.9)+(-0.997254+(-0.632502--0.581298))+0-168.6--0.171972000000027</f>
        <v>858.42351400000007</v>
      </c>
      <c r="AB343" s="3">
        <f>992.5+(600.4-597.2)+(-2.530875+(-1.53102--1.52286))+0-173.4--0.442169999999975</f>
        <v>820.20313499999986</v>
      </c>
      <c r="AC343" s="3">
        <f>998+(566-605.4)+(-2.03592+(-1.15464--1.235016))+0-173.7--0.354347999999992</f>
        <v>783.2988039999999</v>
      </c>
      <c r="AD343">
        <f t="shared" si="5"/>
        <v>19498.635994</v>
      </c>
      <c r="AE343" s="3">
        <f>979+(718.7-569.6)+(0+(0-0))+0-147.8-0</f>
        <v>980.3</v>
      </c>
    </row>
    <row r="344" spans="1:31" s="2" customFormat="1" x14ac:dyDescent="0.25">
      <c r="A344">
        <v>89</v>
      </c>
      <c r="B344">
        <v>12</v>
      </c>
      <c r="C344">
        <v>8</v>
      </c>
      <c r="D344">
        <v>2</v>
      </c>
      <c r="E344">
        <v>1</v>
      </c>
      <c r="F344" s="3">
        <f>996+(503-579.5)+(-0.50796+(-0.25653--0.295545))+0-176--0.0897599999999821</f>
        <v>743.12081499999999</v>
      </c>
      <c r="G344" s="3">
        <f>987.3+(464.3-562.2)+(0+(0-0))+0-174.6-0</f>
        <v>714.79999999999984</v>
      </c>
      <c r="H344" s="3">
        <f>990.7+(412.4-528.7)+(-1.515771+(-0.630972--0.808911))+0-174.8--0.26744400000001</f>
        <v>698.52961199999993</v>
      </c>
      <c r="I344" s="3">
        <f>994.4+(419.4-557.8)+(-1.521432+(-0.641682--0.853434))+0-182.1--0.27861300000001</f>
        <v>672.86893300000008</v>
      </c>
      <c r="J344" s="3">
        <f>986.7+(433.3-567.2)+(-0.503217+(-0.220983--0.289272))+0-163.9--0.0835889999999834</f>
        <v>688.54866099999992</v>
      </c>
      <c r="K344" s="3">
        <f>987.3+(473.4-582.4)+(0.503523+(0.241434-0.297024))+0-168.5-0.0859349999999829</f>
        <v>710.16199800000004</v>
      </c>
      <c r="L344" s="3">
        <f>985.3+(509.5-558.1)+(-1.005006+(-0.51969--0.569262))+0-166.2--0.169524000000026</f>
        <v>769.71409000000006</v>
      </c>
      <c r="M344" s="3">
        <f>989.4+(541.8-535.7)+(-0.504594+(-0.276318--0.273207))+0-169.7--0.0865469999999828</f>
        <v>825.37884199999996</v>
      </c>
      <c r="N344" s="3">
        <f>984.2+(592.4-549.7)+(-1.003884+(-0.604248--0.560694))+0-168.6--0.171972000000027</f>
        <v>857.42453399999999</v>
      </c>
      <c r="O344" s="3">
        <f>975.7+(618.6-554.4)+(0.995214+(0.630972-0.565488))+0-165.6-0.168912000000026</f>
        <v>875.19178600000009</v>
      </c>
      <c r="P344" s="3">
        <f>794.1+(671-432)+(-1.619964+(-1.36884--0.88128))+0-164--0.334559999999993</f>
        <v>867.32703599999991</v>
      </c>
      <c r="Q344" s="3">
        <f>791+(714.7-457.5)+(-1.21023+(-1.093491--0.699975))+0-163.1--0.249543000000009</f>
        <v>883.74579700000004</v>
      </c>
      <c r="R344" s="3">
        <f>823.5+(707.6-499.2)+(-2.51991+(-2.165256--1.527552))+0-160.8--0.492048000000019</f>
        <v>868.43443400000024</v>
      </c>
      <c r="S344" s="3">
        <f>900.8+(624.7-503.2)+(-1.378224+(-0.955791--0.769896))+0-160.1--0.244953000000009</f>
        <v>860.88083399999994</v>
      </c>
      <c r="T344" s="3">
        <f>957+(604.1-566.3)+(-1.46421+(-0.924273--0.866439))+0-156--0.238680000000009</f>
        <v>837.51663600000006</v>
      </c>
      <c r="U344" s="3">
        <f>964.7+(570.4-540.9)+(-0.983994+(-0.581808--0.551718))+0-155.8--0.158916000000025</f>
        <v>837.54483199999993</v>
      </c>
      <c r="V344" s="3">
        <f>988.8+(544.6-525.5)+(-3.025728+(-1.666476--1.60803))+0-172.4--0.52754400000002</f>
        <v>832.94337000000007</v>
      </c>
      <c r="W344" s="3">
        <f>988.8+(549.7-515.9)+(-1.512864+(-0.841041--0.789327))+0-174.4--0.26683200000001</f>
        <v>846.90225400000008</v>
      </c>
      <c r="X344" s="3">
        <f>990.4+(575.8-499.1)+(-1.010208+(-0.587316--0.509082))+0-177--0.180540000000028</f>
        <v>889.19209799999999</v>
      </c>
      <c r="Y344" s="3">
        <f>999.9+(587.7-542.2)+(-3.059694+(-1.798362--1.659132))+0-175--0.53550000000002</f>
        <v>867.73657600000013</v>
      </c>
      <c r="Z344" s="3">
        <f>991.4+(568.2-550.3)+(-1.011228+(-0.579564--0.561306))+0-173--0.176460000000028</f>
        <v>835.44697400000007</v>
      </c>
      <c r="AA344" s="3">
        <f>980.4+(573-567.8)+(-1.500012+(-0.87669--0.868734))+0-179--0.27387000000001</f>
        <v>805.36590200000001</v>
      </c>
      <c r="AB344" s="3">
        <f>989.4+(535.8-574.4)+(-2.52297+(-1.36629--1.46472))+0-175.8--0.448289999999975</f>
        <v>773.02374999999995</v>
      </c>
      <c r="AC344" s="3">
        <f>987.6+(468.6-549)+(-2.51838+(-1.19493--1.39995))+0-174.1--0.443954999999975</f>
        <v>731.23059499999999</v>
      </c>
      <c r="AD344">
        <f t="shared" si="5"/>
        <v>19293.030359000004</v>
      </c>
      <c r="AE344" s="3">
        <f>980+(595.6-505.6)+(0+(0-0))+0-163.1-0</f>
        <v>906.9</v>
      </c>
    </row>
    <row r="345" spans="1:31" s="2" customFormat="1" x14ac:dyDescent="0.25">
      <c r="A345">
        <v>89</v>
      </c>
      <c r="B345">
        <v>12</v>
      </c>
      <c r="C345">
        <v>9</v>
      </c>
      <c r="D345">
        <v>3</v>
      </c>
      <c r="E345">
        <v>1</v>
      </c>
      <c r="F345" s="3">
        <f>981.8+(414.4-527.7)+(0+(0-0))+0-175.5-0</f>
        <v>692.99999999999989</v>
      </c>
      <c r="G345" s="3">
        <f>984.4+(346.8-494.2)+(0+(0-0))+0-170.8-0</f>
        <v>666.2</v>
      </c>
      <c r="H345" s="3">
        <f>986+(296.1-457.4)+(0+(0-0))+0-171.3-0</f>
        <v>653.40000000000009</v>
      </c>
      <c r="I345" s="3">
        <f>985.1+(282.7-458.5)+(0+(0-0))+0-170.5-0</f>
        <v>638.79999999999995</v>
      </c>
      <c r="J345" s="3">
        <f>987.6+(287-465.7)+(0+(0-0))+0-162.8-0</f>
        <v>646.10000000000014</v>
      </c>
      <c r="K345" s="3">
        <f>985.6+(323-477.4)+(0+(0-0))+0-163.9-0</f>
        <v>667.30000000000007</v>
      </c>
      <c r="L345" s="3">
        <f>969.1+(338.3-429.1)+(0+(0-0))+0-162.5-0</f>
        <v>715.8</v>
      </c>
      <c r="M345" s="3">
        <f>957.3+(392.4-428.7)+(0+(0-0))+0-167.2-0</f>
        <v>753.8</v>
      </c>
      <c r="N345" s="3">
        <f>954+(461.3-438.4)+(0+(0-0))+0-170.9-0</f>
        <v>806.00000000000011</v>
      </c>
      <c r="O345" s="3">
        <f>939+(500.3-452)+(0+(0-0))+0-166.9-0</f>
        <v>820.4</v>
      </c>
      <c r="P345" s="3">
        <f>917.3+(500.7-417.1)+(-0.935646+(-0.510714--0.425442))+0-167.6--0.170952000000027</f>
        <v>832.45003399999985</v>
      </c>
      <c r="Q345" s="3">
        <f>933.4+(501.1-433.3)+(-1.428102+(-0.766683--0.662949))+0-164--0.250920000000009</f>
        <v>835.91908400000011</v>
      </c>
      <c r="R345" s="3">
        <f>931.2+(488.2-434.4)+(-1.899648+(-0.995928--0.886176))+0-162.7--0.331907999999993</f>
        <v>820.62250800000004</v>
      </c>
      <c r="S345" s="3">
        <f>926.3+(479.1-425.4)+(-1.889652+(-0.977364--0.867816))+0-165.3--0.337211999999993</f>
        <v>813.03801200000009</v>
      </c>
      <c r="T345" s="3">
        <f>925.2+(444.6-405.9)+(-0.471852+(-0.226746--0.207009))+0-166--0.0846599999999832</f>
        <v>797.4930710000001</v>
      </c>
      <c r="U345" s="3">
        <f>934.1+(484.7-468.3)+(0+(0-0))+0-165.2-0</f>
        <v>785.3</v>
      </c>
      <c r="V345" s="3">
        <f>944.8+(489.1-477.1)+(-2.891088+(-1.496646--1.459926))+0-169.8--0.51958800000002</f>
        <v>784.59177999999986</v>
      </c>
      <c r="W345" s="3">
        <f>957.2+(487.9-457.2)+(-2.44086+(-1.244145--1.16586))+0-173.2--0.441659999999975</f>
        <v>812.62251500000002</v>
      </c>
      <c r="X345" s="3">
        <f>971.2+(531.5-467.4)+(-1.981248+(-1.08426--0.953496))+0-171.4--0.349655999999993</f>
        <v>862.13764400000014</v>
      </c>
      <c r="Y345" s="3">
        <f>969.1+(536.8-486.8)+(-1.482723+(-0.821304--0.744804))+0-173--0.26469000000001</f>
        <v>844.80546699999991</v>
      </c>
      <c r="Z345" s="3">
        <f>978.7+(523.2-506.8)+(-2.994822+(-1.600992--1.550808))+0-174.9--0.53519400000002</f>
        <v>817.69018800000026</v>
      </c>
      <c r="AA345" s="3">
        <f>973.8+(470.7-484.5)+(-0.496638+(-0.240057--0.247095))+0-175.4--0.0894539999999822</f>
        <v>784.19985399999996</v>
      </c>
      <c r="AB345" s="3">
        <f>975.9+(435.6-496.6)+(-1.990836+(-0.888624--1.013064))+0-178.3--0.363731999999992</f>
        <v>735.09733600000004</v>
      </c>
      <c r="AC345" s="3">
        <f>978.1+(434.8-546)+(-3.491817+(-1.552236--1.94922))+0-181.5--0.647955000000003</f>
        <v>682.95312200000012</v>
      </c>
      <c r="AD345">
        <f t="shared" si="5"/>
        <v>18269.720614999998</v>
      </c>
      <c r="AE345" s="3">
        <f>968+(574.1-489.4)+(0+(0-0))+0-134.5-0</f>
        <v>918.2</v>
      </c>
    </row>
    <row r="346" spans="1:31" s="2" customFormat="1" x14ac:dyDescent="0.25">
      <c r="A346">
        <v>89</v>
      </c>
      <c r="B346">
        <v>12</v>
      </c>
      <c r="C346">
        <v>10</v>
      </c>
      <c r="D346">
        <v>4</v>
      </c>
      <c r="E346">
        <v>1</v>
      </c>
      <c r="F346" s="3">
        <f>968.3+(447.5-573.7)+(-1.975332+(-0.9129--1.170348))+0-182.5--0.372299999999992</f>
        <v>658.25441599999988</v>
      </c>
      <c r="G346" s="3">
        <f>961.2+(446.9-600.2)+(-1.470636+(-0.683757--0.918306))+0-182.7--0.279531000000011</f>
        <v>624.24344400000007</v>
      </c>
      <c r="H346" s="3">
        <f>957.7+(441-604.1)+(-1.953708+(-0.89964--1.232364))+0-184--0.375359999999992</f>
        <v>609.354376</v>
      </c>
      <c r="I346" s="3">
        <f>959.5+(418.8-586.3)+(-2.446725+(-1.06794--1.495065))+0-186.3--0.475064999999973</f>
        <v>604.15546499999994</v>
      </c>
      <c r="J346" s="3">
        <f>958.7+(423.9-587.2)+(0+(0-0))+0-185.1-0</f>
        <v>610.29999999999995</v>
      </c>
      <c r="K346" s="3">
        <f>955.3+(438.2-586.7)+(-1.461609+(-0.670446--0.897651))+0-184.8--0.282744000000011</f>
        <v>621.04833999999994</v>
      </c>
      <c r="L346" s="3">
        <f>935.3+(411.5-513.5)+(-1.431009+(-0.629595--0.785655))+0-177--0.27081000000001</f>
        <v>655.29586099999995</v>
      </c>
      <c r="M346" s="3">
        <f>956.5+(477.3-538.8)+(0+(0-0))+0-187.7-0</f>
        <v>707.3</v>
      </c>
      <c r="N346" s="3">
        <f>965.7+(595.9-607.7)+(0.492507+(0.303909-0.309927))+0-189.8-0.0967979999999807</f>
        <v>764.48969099999999</v>
      </c>
      <c r="O346" s="3">
        <f>956.8+(608.5-600.3)+(-0.487968+(-0.310335--0.306153))+0-193.3--0.0985829999999804</f>
        <v>771.30643299999997</v>
      </c>
      <c r="P346" s="3">
        <f>956.3+(596.9-579.6)+(0+(0-0))+0-191.6-0</f>
        <v>781.99999999999989</v>
      </c>
      <c r="Q346" s="3">
        <f>966.9+(574.1-579.5)+(-0.986238+(-0.585582--0.59109))+0-191--0.19482000000003</f>
        <v>769.71409000000006</v>
      </c>
      <c r="R346" s="3">
        <f>965.6+(545.9-566)+(-2.46228+(-1.392045--1.4433))+0-191.2--0.487559999999972</f>
        <v>752.37653499999999</v>
      </c>
      <c r="S346" s="3">
        <f>963.6+(523-556.4)+(0.491436+(0.26673-0.283764))+0-187.1-0.095420999999981</f>
        <v>743.47898100000009</v>
      </c>
      <c r="T346" s="3">
        <f>964.2+(497.7-540.2)+(-0.983484+(-0.507654--0.551004))+0-192.3--0.196146000000031</f>
        <v>728.65601200000015</v>
      </c>
      <c r="U346" s="3">
        <f>960.7+(513-557.1)+(0+(0-0))+0-188.1-0</f>
        <v>728.5</v>
      </c>
      <c r="V346" s="3">
        <f>959.2+(562.2-583.7)+(-0.978384+(-0.573444--0.595374))+0-193.3--0.197166000000031</f>
        <v>743.64071200000001</v>
      </c>
      <c r="W346" s="3">
        <f>966.2+(564.1-568.2)+(-0.985524+(-0.575382--0.579564))+0-191.1--0.19492200000003</f>
        <v>770.21357999999998</v>
      </c>
      <c r="X346" s="3">
        <f>977.1+(563.8-515.2)+(-1.494963+(-0.862614--0.788256))+0-192.4--0.294372000000011</f>
        <v>832.02505099999996</v>
      </c>
      <c r="Y346" s="3">
        <f>982.8+(561.3-536.7)+(-1.503684+(-0.858789--0.821151))+0-195.9--0.299727000000011</f>
        <v>810.25840499999981</v>
      </c>
      <c r="Z346" s="3">
        <f>983+(546.4-554)+(-1.00266+(-0.557328--0.56508))+0-194.7--0.198594000000031</f>
        <v>779.90368599999999</v>
      </c>
      <c r="AA346" s="3">
        <f>980.5+(541.8-577.8)+(-2.00022+(-1.105272--1.178712))+0-194.5--0.396779999999992</f>
        <v>748.47</v>
      </c>
      <c r="AB346" s="3">
        <f>984.5+(515-597.8)+(-3.01257+(-1.5759--1.829268))+0-188.3--0.576198000000022</f>
        <v>711.21699600000011</v>
      </c>
      <c r="AC346" s="3">
        <f>980.9+(467.4-594.6)+(-1.000518+(-0.476748--0.606492))+0-193.7--0.197574000000031</f>
        <v>659.32680000000005</v>
      </c>
      <c r="AD346">
        <f t="shared" si="5"/>
        <v>17185.528874</v>
      </c>
      <c r="AE346" s="3">
        <f>991+(580.8-516.9)+(0+(0-0))+0-171.4-0</f>
        <v>883.50000000000011</v>
      </c>
    </row>
    <row r="347" spans="1:31" s="2" customFormat="1" x14ac:dyDescent="0.25">
      <c r="A347">
        <v>89</v>
      </c>
      <c r="B347">
        <v>12</v>
      </c>
      <c r="C347">
        <v>11</v>
      </c>
      <c r="D347">
        <v>5</v>
      </c>
      <c r="E347">
        <v>1</v>
      </c>
      <c r="F347" s="3">
        <f>971.6+(467.1-630.6)+(-1.982064+(-0.952884--1.286424))+0-193--0.393719999999992</f>
        <v>613.8451960000001</v>
      </c>
      <c r="G347" s="3">
        <f>980.1+(410.5-604)+(-1.999404+(-0.83742--1.23216))+0-189.4--0.386375999999992</f>
        <v>595.98171200000013</v>
      </c>
      <c r="H347" s="3">
        <f>972.9+(379.5-584.4)+(-0.992358+(-0.38709--0.596088))+0-183.3--0.186966000000029</f>
        <v>584.1036059999999</v>
      </c>
      <c r="I347" s="3">
        <f>985.4+(368.4-579)+(-1.005108+(-0.375768--0.59058))+0-186.3--0.19002600000003</f>
        <v>587.89972999999986</v>
      </c>
      <c r="J347" s="3">
        <f>987.6+(373.2-581.1)+(1.511028+(0.570996-0.889083))+0-187.7-0.287181000000011</f>
        <v>592.90575999999999</v>
      </c>
      <c r="K347" s="3">
        <f>988.4+(383.2-575.7)+(-1.008168+(-0.390864--0.587214))+0-190.1--0.19390200000003</f>
        <v>605.1820839999998</v>
      </c>
      <c r="L347" s="3">
        <f>997.8+(373.9-536.7)+(0+(0-0))+0-191.4-0</f>
        <v>643.59999999999991</v>
      </c>
      <c r="M347" s="3">
        <f>996.9+(426.5-534.6)+(0.508419+(0.217515-0.272646))+0-191.4-0.0976139999999806</f>
        <v>697.755674</v>
      </c>
      <c r="N347" s="3">
        <f>991.3+(543.3-620.2)+(-0.505563+(-0.277083--0.316302))+0-191.7--0.0977669999999806</f>
        <v>722.33142299999986</v>
      </c>
      <c r="O347" s="3">
        <f>988.2+(612.9-661.2)+(1.007964+(0.625158-0.674424))+0-190.1-0.19390200000003</f>
        <v>750.564796</v>
      </c>
      <c r="P347" s="3">
        <f>808.9+(694.8-551.6)+(-0.412539+(-0.354348--0.281316))+0-190.5--0.0971549999999807</f>
        <v>761.21158399999979</v>
      </c>
      <c r="Q347" s="3">
        <f>808.4+(694.3-544)+(-0.824568+(-0.708186--0.55488))+0-190.6--0.19441200000003</f>
        <v>767.31653799999992</v>
      </c>
      <c r="R347" s="3">
        <f>862+(675.2-587)+(-0.87924+(-0.688704--0.59874))+0-185.9--0.18961800000003</f>
        <v>763.52041400000007</v>
      </c>
      <c r="S347" s="3">
        <f>947.2+(569.9-576.1)+(-0.483072+(-0.290649--0.293811))+0-192.6--0.0982259999999805</f>
        <v>748.01831599999991</v>
      </c>
      <c r="T347" s="3">
        <f>952.9+(515.8-549.2)+(-0.971958+(-0.526116--0.560184))+0-179.6--0.183192000000029</f>
        <v>739.1453019999999</v>
      </c>
      <c r="U347" s="3">
        <f>949.3+(498.9-542.5)+(0.968286+(0.508878-0.55335))+0-168.8-0.172176000000027</f>
        <v>737.65163799999982</v>
      </c>
      <c r="V347" s="3">
        <f>955.5+(523.5-566.9)+(-1.94922+(-1.06794--1.156476))+0-169.3--0.345371999999993</f>
        <v>741.28468799999996</v>
      </c>
      <c r="W347" s="3">
        <f>955.6+(531-557.1)+(-1.949424+(-1.08324--1.136484))+0-169.8--0.346391999999993</f>
        <v>758.15021200000012</v>
      </c>
      <c r="X347" s="3">
        <f>962.4+(550.5-505.6)+(-1.963296+(-1.12302--1.031424))+0-174.5--0.355979999999992</f>
        <v>831.101088</v>
      </c>
      <c r="Y347" s="3">
        <f>961.5+(539.5-516.4)+(-2.451825+(-1.375725--1.31682))+0-171.4--0.437069999999975</f>
        <v>811.12634000000003</v>
      </c>
      <c r="Z347" s="3">
        <f>965.1+(533-544.5)+(-2.953206+(-1.63098--1.66617))+0-171.5--0.52479000000002</f>
        <v>779.70677400000011</v>
      </c>
      <c r="AA347" s="3">
        <f>973.5+(538.3-562.8)+(-0.496485+(-0.274533--0.287028))+0-179--0.0912899999999818</f>
        <v>769.60730000000001</v>
      </c>
      <c r="AB347" s="3">
        <f>979.6+(533.4-610.8)+(-1.998384+(-1.088136--1.246032))+0-179.7--0.366587999999992</f>
        <v>721.02609999999993</v>
      </c>
      <c r="AC347" s="3">
        <f>987.3+(546.7-669.1)+(-2.517615+(-1.394085--1.706205))+0-180.1--0.459254999999974</f>
        <v>683.0537599999999</v>
      </c>
      <c r="AD347">
        <f t="shared" si="5"/>
        <v>17006.090034999994</v>
      </c>
      <c r="AE347" s="3">
        <f>962+(573.2-503.9)+(0+(0-0))+0-159.1-0</f>
        <v>872.20000000000016</v>
      </c>
    </row>
    <row r="348" spans="1:31" s="2" customFormat="1" x14ac:dyDescent="0.25">
      <c r="A348">
        <v>89</v>
      </c>
      <c r="B348">
        <v>12</v>
      </c>
      <c r="C348">
        <v>12</v>
      </c>
      <c r="D348">
        <v>6</v>
      </c>
      <c r="E348">
        <v>1</v>
      </c>
      <c r="F348" s="3">
        <f>994.6+(559.5-713.5)+(-2.53623+(-1.426725--1.819425))+0-179.7--0.458234999999974</f>
        <v>659.21470499999998</v>
      </c>
      <c r="G348" s="3">
        <f>996.8+(478.3-654.5)+(-1.525104+(-0.731799--1.001385))+0-182.5--0.279225000000011</f>
        <v>637.12370699999985</v>
      </c>
      <c r="H348" s="3">
        <f>1011.9+(427.1-637.6)+(-0.516069+(-0.217821--0.325176))+0-178.6--0.0910859999999819</f>
        <v>622.48237199999994</v>
      </c>
      <c r="I348" s="3">
        <f>1026.9+(403.6-641.3)+(-2.618595+(-1.02918--1.635315))+0-178.4--0.454919999999974</f>
        <v>609.24246000000016</v>
      </c>
      <c r="J348" s="3">
        <f>1030.7+(403.6-641.3)+(2.628285+(1.02918-1.635315))+0-175.3-0.447014999999975</f>
        <v>619.27513500000009</v>
      </c>
      <c r="K348" s="3">
        <f>1025.8+(409.4-621.9)+(1.046316+(0.417588-0.634338))+0-179.5-0.183090000000029</f>
        <v>634.44647599999996</v>
      </c>
      <c r="L348" s="3">
        <f>937.7+(465-568.4)+(-0.478227+(-0.23715--0.289884))+0-179.8--0.0916979999999818</f>
        <v>654.16620499999999</v>
      </c>
      <c r="M348" s="3">
        <f>938.4+(550.3-600.4)+(0.478584+(0.280653-0.306204))+0-181.6-0.0926159999999816</f>
        <v>707.06041699999992</v>
      </c>
      <c r="N348" s="3">
        <f>968.2+(633.8-668.1)+(0.987564+(0.646476-0.681462))+0-181.9-0.185538000000029</f>
        <v>752.76703999999995</v>
      </c>
      <c r="O348" s="3">
        <f>992+(627.5-670.7)+(0+(0-0))+0-177.9-0</f>
        <v>770.9</v>
      </c>
      <c r="P348" s="3">
        <f>997.9+(667.4-701)+(1.017858+(0.680748-0.71502))+0-181.2-0.184824000000029</f>
        <v>783.89876199999992</v>
      </c>
      <c r="Q348" s="3">
        <f>993+(640.8-664.8)+(0.50643+(0.326808-0.339048))+0-179.4-0.0914939999999818</f>
        <v>790.00269600000001</v>
      </c>
      <c r="R348" s="3">
        <f>978.1+(679.4-703.1)+(-0.997662+(-0.692988--0.717162))+0-178.8--0.182376000000029</f>
        <v>774.80888800000002</v>
      </c>
      <c r="S348" s="3">
        <f>976.7+(598.4-637.1)+(-2.988702+(-1.831104--1.949526))+0-178--0.544680000000021</f>
        <v>757.67439999999999</v>
      </c>
      <c r="T348" s="3">
        <f>990+(591.2-646.6)+(-2.0196+(-1.206048--1.319064))+0-185--0.377399999999992</f>
        <v>748.07081600000004</v>
      </c>
      <c r="U348" s="3">
        <f>967.5+(587.5-637.1)+(0+(0-0))+0-179.8-0</f>
        <v>738.09999999999991</v>
      </c>
      <c r="V348" s="3">
        <f>977.3+(578.6-633)+(-0.996846+(-0.590172--0.64566))+0-180.3--0.183906000000029</f>
        <v>741.84254799999985</v>
      </c>
      <c r="W348" s="3">
        <f>986.2+(603.9-655.6)+(0.502962+(0.307989-0.334356))+0-174.5-0.0889949999999823</f>
        <v>760.38760000000002</v>
      </c>
      <c r="X348" s="3">
        <f>992.9+(609.8-590.1)+(-0.506379+(-0.310998--0.300951))+0-179--0.0912899999999818</f>
        <v>833.17486399999984</v>
      </c>
      <c r="Y348" s="3">
        <f>992.6+(618.3-607.8)+(-3.037356+(-1.891998--1.859868))+0-178.4--0.545904000000021</f>
        <v>822.17641800000013</v>
      </c>
      <c r="Z348" s="3">
        <f>1010+(619.2-646.1)+(-1.0302+(-0.631584--0.659022))+0-170.9--0.174318000000027</f>
        <v>811.37155600000006</v>
      </c>
      <c r="AA348" s="3">
        <f>1013.8+(535-586.9)+(-1.551114+(-0.81855--0.897957))+0-174--0.26622000000001</f>
        <v>786.69451299999992</v>
      </c>
      <c r="AB348" s="3">
        <f>1012.2+(543.1-627.4)+(-2.58111+(-1.384905--1.59987))+0-170.7--0.435284999999975</f>
        <v>755.26914000000011</v>
      </c>
      <c r="AC348" s="3">
        <f>1011.9+(555.6-677.5)+(-2.580345+(-1.41678--1.727625))+0-169.6--0.432479999999975</f>
        <v>718.56297999999992</v>
      </c>
      <c r="AD348">
        <f t="shared" si="5"/>
        <v>17488.713698</v>
      </c>
      <c r="AE348" s="3">
        <f>997+(643.3-588)+(0+(0-0))+0-166.8-0</f>
        <v>885.5</v>
      </c>
    </row>
    <row r="349" spans="1:31" s="2" customFormat="1" x14ac:dyDescent="0.25">
      <c r="A349">
        <v>89</v>
      </c>
      <c r="B349">
        <v>12</v>
      </c>
      <c r="C349">
        <v>13</v>
      </c>
      <c r="D349">
        <v>7</v>
      </c>
      <c r="E349">
        <v>1</v>
      </c>
      <c r="F349" s="3">
        <f>1027+(544.8-696.4)+(-2.61885+(-1.38924--1.77582))+0-170.1--0.433754999999975</f>
        <v>703.501485</v>
      </c>
      <c r="G349" s="3">
        <f>1031.7+(480.8-667.7)+(-1.578501+(-0.735624--1.021581))+0-167.8--0.25673400000001</f>
        <v>675.96418999999992</v>
      </c>
      <c r="H349" s="3">
        <f>1028.7+(485.9-686.8)+(-2.098548+(-0.991236--1.401072))+0-165.7--0.338027999999993</f>
        <v>660.74931600000002</v>
      </c>
      <c r="I349" s="3">
        <f>1028.5+(421.1-646.1)+(1.573605+(0.644283-0.988533))+7.7-163.5-0.250155000000009</f>
        <v>648.67920000000004</v>
      </c>
      <c r="J349" s="3">
        <f>1033.8+(420.9-637.4)+(0.527238+(0.214659-0.325074))+0-166.9-0.0851189999999831</f>
        <v>650.73170400000004</v>
      </c>
      <c r="K349" s="3">
        <f>1022.2+(425.1-612.3)+(1.042644+(0.433602-0.624546))+0-169.4-0.172788000000027</f>
        <v>666.2789120000001</v>
      </c>
      <c r="L349" s="3">
        <f>1025+(395.4-569.1)+(-2.091+(-0.806616--1.160964))+0-168.6--0.343943999999993</f>
        <v>681.30729199999985</v>
      </c>
      <c r="M349" s="3">
        <f>1026.9+(401.9-531.7)+(0.523719+(0.204969-0.271167))+0-169.4-0.0863939999999828</f>
        <v>728.07112700000016</v>
      </c>
      <c r="N349" s="3">
        <f>1020.7+(415.2-494.1)+(0+(0-0))+0-172-0</f>
        <v>769.8</v>
      </c>
      <c r="O349" s="3">
        <f>1021.8+(448.4-490.8)+(0+(0-0))+0-178-0</f>
        <v>801.39999999999986</v>
      </c>
      <c r="P349" s="3">
        <f>1010.5+(514.1-526.8)+(0.515355+(0.262191-0.268668))+0-175.5-0.0895049999999822</f>
        <v>822.71937300000002</v>
      </c>
      <c r="Q349" s="3">
        <f>993.6+(558.1-547.9)+(0+(0-0))+0-178.9-0</f>
        <v>824.90000000000009</v>
      </c>
      <c r="R349" s="3">
        <f>1004.1+(580-611.5)+(0+(0-0))+0-173.7-0</f>
        <v>798.90000000000009</v>
      </c>
      <c r="S349" s="3">
        <f>997.3+(573.1-618.9)+(0+(0-0))+0-172.7-0</f>
        <v>778.8</v>
      </c>
      <c r="T349" s="3">
        <f>986.8+(520.8-579)+(0+(0-0))+0-162.4-0</f>
        <v>766.19999999999993</v>
      </c>
      <c r="U349" s="3">
        <f>983.4+(510.2-566)+(0+(0-0))+0-161.6-0</f>
        <v>765.99999999999989</v>
      </c>
      <c r="V349" s="3">
        <f>985.7+(510.5-554.9)+(0+(0-0))+0-166.2-0</f>
        <v>775.10000000000014</v>
      </c>
      <c r="W349" s="3">
        <f>987.4+(540.8-555.5)+(0+(0-0))+0-171.2-0</f>
        <v>801.5</v>
      </c>
      <c r="X349" s="3">
        <f>995.5+(531.5-478.4)+(0+(0-0))+0-167.6-0</f>
        <v>880.99999999999989</v>
      </c>
      <c r="Y349" s="3">
        <f>998.1+(513.5-474.6)+(0+(0-0))+0-169.4-0</f>
        <v>867.6</v>
      </c>
      <c r="Z349" s="3">
        <f>1006.7+(499.1-492)+(0+(0-0))+0-170.5-0</f>
        <v>843.30000000000007</v>
      </c>
      <c r="AA349" s="3">
        <f>1013.7+(541.9-566.9)+(0+(0-0))+0-170-0</f>
        <v>818.7</v>
      </c>
      <c r="AB349" s="3">
        <f>1018.4+(507.7-580.1)+(0+(0-0))+0-168.7-0</f>
        <v>777.3</v>
      </c>
      <c r="AC349" s="3">
        <f>1017.1+(541.9-661.9)+(0+(0-0))+0-162.4-0</f>
        <v>734.7</v>
      </c>
      <c r="AD349">
        <f t="shared" si="5"/>
        <v>18243.202599</v>
      </c>
      <c r="AE349" s="3">
        <f>1002+(562.9-484.8)+(0+(0-0))+0-71-0</f>
        <v>1009.0999999999999</v>
      </c>
    </row>
    <row r="350" spans="1:31" s="2" customFormat="1" x14ac:dyDescent="0.25">
      <c r="A350">
        <v>89</v>
      </c>
      <c r="B350">
        <v>12</v>
      </c>
      <c r="C350">
        <v>14</v>
      </c>
      <c r="D350">
        <v>1</v>
      </c>
      <c r="E350">
        <v>1</v>
      </c>
      <c r="F350" s="3">
        <f>1021.7+(492.5-661.7)+(-1.563201+(-0.753525--1.012401))+0-157.7--0.241281000000009</f>
        <v>693.73695600000008</v>
      </c>
      <c r="G350" s="3">
        <f>1010.7+(385.3-568)+(1.546371+(0.589509-0.86904))+0-159.8-0.244494000000009</f>
        <v>669.22234600000002</v>
      </c>
      <c r="H350" s="3">
        <f>994+(393.2-572.8)+(0+(0-0))+0-159.4-0</f>
        <v>655.00000000000011</v>
      </c>
      <c r="I350" s="3">
        <f>1003+(354.7-549.6)+(2.55765+(0.904485-1.40148))+0-158.1-0.403154999999977</f>
        <v>651.65749999999991</v>
      </c>
      <c r="J350" s="3">
        <f>1000.5+(367.1-563)+(3.06153+(1.123326-1.72278))+0-147.7-0.451962000000017</f>
        <v>658.91011400000014</v>
      </c>
      <c r="K350" s="3">
        <f>1012.7+(356-539.3)+(0+(0-0))+0-147.2-0</f>
        <v>682.2</v>
      </c>
      <c r="L350" s="3">
        <f>1010.1+(347.9-482.4)+(0+(0-0))+0-145.4-0</f>
        <v>730.2</v>
      </c>
      <c r="M350" s="3">
        <f>1007.3+(329.3-416.3)+(0+(0-0))+0-147.8-0</f>
        <v>772.5</v>
      </c>
      <c r="N350" s="3">
        <f>996.2+(377.4-415.9)+(0+(0-0))+0-151.1-0</f>
        <v>806.6</v>
      </c>
      <c r="O350" s="3">
        <f>1000.5+(474.2-505.9)+(0+(0-0))+0-143.8-0</f>
        <v>825</v>
      </c>
      <c r="P350" s="3">
        <f>994.5+(522.5-545.4)+(0+(0-0))+0-140.4-0</f>
        <v>831.2</v>
      </c>
      <c r="Q350" s="3">
        <f>985.7+(555.6-557.7)+(0+(0-0))+0-151.4-0</f>
        <v>832.2</v>
      </c>
      <c r="R350" s="3">
        <f>980.4+(589.1-591.6)+(0+(0-0))+0-162.8-0</f>
        <v>815.09999999999991</v>
      </c>
      <c r="S350" s="3">
        <f>990.1+(551.3-583.9)+(0+(0-0))+0-146.3-0</f>
        <v>811.2</v>
      </c>
      <c r="T350" s="3">
        <f>1014.5+(516.6-583.8)+(0+(0-0))+0-148.7-0</f>
        <v>798.60000000000014</v>
      </c>
      <c r="U350" s="3">
        <f>1013.3+(494-553.9)+(0+(0-0))+0-148.7-0</f>
        <v>804.7</v>
      </c>
      <c r="V350" s="3">
        <f>1028.2+(425.9-494)+(0+(0-0))+0-157.1-0</f>
        <v>803</v>
      </c>
      <c r="W350" s="3">
        <f>1075.1+(415.3-515.5)+(0+(0-0))+0-157.9-0</f>
        <v>816.99999999999989</v>
      </c>
      <c r="X350" s="3">
        <f>1143.4+(414.4-509.6)+(0+(0-0))+0-157-0</f>
        <v>891.2</v>
      </c>
      <c r="Y350" s="3">
        <f>1168.7+(413.5-547.4)+(0+(0-0))+0-155.5-0</f>
        <v>879.30000000000018</v>
      </c>
      <c r="Z350" s="3">
        <f>1152.4+(298.9-451.9)+(0+(0-0))+0-149.6-0</f>
        <v>849.80000000000007</v>
      </c>
      <c r="AA350" s="3">
        <f>1152.4+(262.7-441.7)+(0+(0-0))+0-148.4-0</f>
        <v>825.00000000000011</v>
      </c>
      <c r="AB350" s="3">
        <f>1155.6+(293.7-521.6)+(0+(0-0))+0-145.9-0</f>
        <v>781.79999999999984</v>
      </c>
      <c r="AC350" s="3">
        <f>1155.2+(289.6-564.3)+(0+(0-0))+0-144.9-0</f>
        <v>735.60000000000014</v>
      </c>
      <c r="AD350">
        <f t="shared" si="5"/>
        <v>18620.726916</v>
      </c>
      <c r="AE350" s="3">
        <f>1170+(456.5-543.5)+(0+(0-0))+0-159.8-0</f>
        <v>923.2</v>
      </c>
    </row>
    <row r="351" spans="1:31" s="2" customFormat="1" x14ac:dyDescent="0.25">
      <c r="A351">
        <v>89</v>
      </c>
      <c r="B351">
        <v>12</v>
      </c>
      <c r="C351">
        <v>15</v>
      </c>
      <c r="D351">
        <v>2</v>
      </c>
      <c r="E351">
        <v>1</v>
      </c>
      <c r="F351" s="3">
        <f>1173.2+(307.1-635)+(0+(0-0))+0-140.2-0</f>
        <v>705.10000000000014</v>
      </c>
      <c r="G351" s="3">
        <f>1184.1+(313.3-670.6)+(0+(0-0))+0-143.9-0</f>
        <v>682.9</v>
      </c>
      <c r="H351" s="3">
        <f>1195.3+(349.7-733)+(0+(0-0))+0-142.7-0</f>
        <v>669.3</v>
      </c>
      <c r="I351" s="3">
        <f>1197.8+(372.7-750.5)+(0+(0-0))+0-140.9-0</f>
        <v>679.1</v>
      </c>
      <c r="J351" s="3">
        <f>1200.7+(367.7-739.5)+(0+(0-0))+0-138.9-0</f>
        <v>690.00000000000011</v>
      </c>
      <c r="K351" s="3">
        <f>1197+(369.1-715.3)+(0+(0-0))+0-138.8-0</f>
        <v>712</v>
      </c>
      <c r="L351" s="3">
        <f>1189.8+(366-683.2)+(0+(0-0))+0-138.5-0</f>
        <v>734.09999999999991</v>
      </c>
      <c r="M351" s="3">
        <f>1192.8+(380.2-653.6)+(0+(0-0))+0-139.9-0</f>
        <v>779.49999999999989</v>
      </c>
      <c r="N351" s="3">
        <f>1184.8+(394.6-633.4)+(0+(0-0))+0-128.5-0</f>
        <v>817.5</v>
      </c>
      <c r="O351" s="3">
        <f>1185.4+(386.3-623.2)+(0+(0-0))+0-114.4-0</f>
        <v>834.1</v>
      </c>
      <c r="P351" s="3">
        <f>1181.6+(405.5-635.5)+(0+(0-0))+0-107.8-0</f>
        <v>843.8</v>
      </c>
      <c r="Q351" s="3">
        <f>1191.4+(385.5-620.2)+(0+(0-0))+0-110.5-0</f>
        <v>846.2</v>
      </c>
      <c r="R351" s="3">
        <f>1220.5+(337.8-622)+(-2.48982+(-0.689112--1.26888))+0-106.5--0.217259999999995</f>
        <v>828.10720800000001</v>
      </c>
      <c r="S351" s="3">
        <f>1249.4+(237.1-551.1)+(-0.637194+(-0.120921--0.281061))+0-112.5--0.0573749999999886</f>
        <v>822.48032100000012</v>
      </c>
      <c r="T351" s="3">
        <f>1291+(239.2-588.9)+(-1.97523+(-0.365976--0.901017))+0-117.5--0.179775000000007</f>
        <v>822.53958599999999</v>
      </c>
      <c r="U351" s="3">
        <f>1176.4+(257.4-490.1)+(-1.199928+(-0.262548--0.499902))+0-121.9--0.124338000000019</f>
        <v>820.96176400000002</v>
      </c>
      <c r="V351" s="3">
        <f>1178.2+(284.1-507.1)+(-1.201764+(-0.289782--0.517242))+0-127.6--0.13015200000002</f>
        <v>826.75584800000013</v>
      </c>
      <c r="W351" s="3">
        <f>1184+(353.7-563.7)+(-3.62304+(-1.082322--1.724922))+0-129.6--0.396576000000015</f>
        <v>841.81613599999991</v>
      </c>
      <c r="X351" s="3">
        <f>1177.8+(393-515.2)+(-1.201356+(-0.40086--0.525504))+0-137.4--0.140148000000022</f>
        <v>917.26343599999996</v>
      </c>
      <c r="Y351" s="3">
        <f>1186.2+(372.7-521.8)+(-3.02481+(-0.950385--1.33059))+0-135.8--0.34628999999998</f>
        <v>899.00168500000018</v>
      </c>
      <c r="Z351" s="3">
        <f>1197+(377.5-567.9)+(-3.05235+(-0.962625--1.448145))+0-138.4--0.35291999999998</f>
        <v>865.98608999999999</v>
      </c>
      <c r="AA351" s="3">
        <f>1202.4+(404.3-626.2)+(-1.839672+(-0.618579--0.958086))+0-139.7--0.213741000000008</f>
        <v>839.51357600000006</v>
      </c>
      <c r="AB351" s="3">
        <f>1204.6+(394.8-663.8)+(-0.614346+(-0.201348--0.338538))+0-137.9--0.070328999999986</f>
        <v>797.29317299999991</v>
      </c>
      <c r="AC351" s="3">
        <f>1205.5+(342.8-657.4)+(-3.074025+(-0.87414--1.67637))+0-138--0.35189999999998</f>
        <v>750.98010500000009</v>
      </c>
      <c r="AD351">
        <f t="shared" si="5"/>
        <v>19026.298927999997</v>
      </c>
      <c r="AE351" s="3">
        <f>1192+(405.1-510.1)+(0+(0-0))+0-137-0</f>
        <v>950</v>
      </c>
    </row>
    <row r="352" spans="1:31" s="2" customFormat="1" x14ac:dyDescent="0.25">
      <c r="A352">
        <v>89</v>
      </c>
      <c r="B352">
        <v>12</v>
      </c>
      <c r="C352">
        <v>16</v>
      </c>
      <c r="D352">
        <v>3</v>
      </c>
      <c r="E352">
        <v>1</v>
      </c>
      <c r="F352" s="3">
        <f>1195.6+(309.9-637.4)+(-1.829268+(-0.474147--0.975222))+0-141.3--0.216189000000008</f>
        <v>725.68799599999988</v>
      </c>
      <c r="G352" s="3">
        <f>1201.1+(330-684.4)+(-2.450244+(-0.6732--1.396176))+0-146.9--0.299675999999994</f>
        <v>698.37240799999995</v>
      </c>
      <c r="H352" s="3">
        <f>1195.6+(279.3-637.6)+(0.609756+(0.142443-0.325176))+0-152-0.0775199999999846</f>
        <v>685.64950299999998</v>
      </c>
      <c r="I352" s="3">
        <f>1202.6+(249.2-617.8)+(0.613326+(0.127092-0.315078))+0-142.5-0.0726749999999855</f>
        <v>691.852665</v>
      </c>
      <c r="J352" s="3">
        <f>1211.9+(249.5-622)+(-1.236138+(-0.25449--0.63444))+0-144.6--0.147492000000023</f>
        <v>694.09130400000015</v>
      </c>
      <c r="K352" s="3">
        <f>1189.5+(285.4-615.8)+(3.033225+(0.72777-1.57029))+0-145.7-0.371534999999979</f>
        <v>715.21917000000008</v>
      </c>
      <c r="L352" s="3">
        <f>1135.9+(297.5-542)+(0+(0-0))+0-147-0</f>
        <v>744.40000000000009</v>
      </c>
      <c r="M352" s="3">
        <f>1149+(332.9-528.4)+(0+(0-0))+0-152.4-0</f>
        <v>801.1</v>
      </c>
      <c r="N352" s="3">
        <f>1154.1+(401.8-556)+(0+(0-0))+0-153.5-0</f>
        <v>846.39999999999986</v>
      </c>
      <c r="O352" s="3">
        <f>1153.5+(409.1-560.2)+(0+(0-0))+0-147.9-0</f>
        <v>854.5</v>
      </c>
      <c r="P352" s="3">
        <f>1184.6+(437.6-613.8)+(0+(0-0))+0-147.6-0</f>
        <v>860.8</v>
      </c>
      <c r="Q352" s="3">
        <f>1218.7+(455.7-661.2)+(0+(0-0))+0-145.9-0</f>
        <v>867.30000000000007</v>
      </c>
      <c r="R352" s="3">
        <f>1279.8+(410.6-696)+(0+(0-0))+0-140.1-0</f>
        <v>854.3</v>
      </c>
      <c r="S352" s="3">
        <f>1202.7+(361.4-580.2)+(-0.613377+(-0.184314--0.295902))+0-138.7--0.0707369999999859</f>
        <v>844.76894799999991</v>
      </c>
      <c r="T352" s="3">
        <f>1160.5+(327.4-506.5)+(-1.18371+(-0.333948--0.51663))+0-138.6--0.141372000000022</f>
        <v>841.94034399999998</v>
      </c>
      <c r="U352" s="3">
        <f>1155.2+(311.1-492)+(1.767456+(0.475983-0.75276))+0-134.8-0.206244000000008</f>
        <v>840.78443500000003</v>
      </c>
      <c r="V352" s="3">
        <f>1157.8+(305.5-491.8)+(-2.361912+(-0.62322--1.003272))+0-133.4--0.272135999999994</f>
        <v>836.39027600000009</v>
      </c>
      <c r="W352" s="3">
        <f>1170.8+(340.7-524.4)+(-3.582648+(-1.042542--1.604664))+0-133.3--0.407898000000015</f>
        <v>851.18737199999998</v>
      </c>
      <c r="X352" s="3">
        <f>1180.5+(396-514.8)+(-1.20411+(-0.40392--0.525096))+0-134.3--0.136986000000021</f>
        <v>926.45405200000005</v>
      </c>
      <c r="Y352" s="3">
        <f>1189.3+(399.6-541.1)+(-1.819629+(-0.611388--0.827883))+0-136.9--0.209457000000008</f>
        <v>909.50632300000007</v>
      </c>
      <c r="Z352" s="3">
        <f>1194.2+(395.4-570.4)+(-4.263294+(-1.411578--2.036328))+0-141.7--0.505869000000002</f>
        <v>874.36732500000005</v>
      </c>
      <c r="AA352" s="3">
        <f>1195.6+(439.6-626)+(-2.439024+(-0.896784--1.27704))+0-146.1--0.298043999999994</f>
        <v>861.33927599999993</v>
      </c>
      <c r="AB352" s="3">
        <f>1204.8+(434-671.2)+(-1.843344+(-0.66402--1.026936))+0-148.3--0.226899000000009</f>
        <v>818.04647099999988</v>
      </c>
      <c r="AC352" s="3">
        <f>1165.5+(426.6-669)+(-2.972025+(-1.08783--1.70595))+0-147.7--0.376634999999979</f>
        <v>773.42272999999989</v>
      </c>
      <c r="AD352">
        <f t="shared" si="5"/>
        <v>19417.880597999996</v>
      </c>
      <c r="AE352" s="3">
        <f>1191+(425.1-527.4)+(0+(0-0))+0-139.8-0</f>
        <v>948.90000000000009</v>
      </c>
    </row>
    <row r="353" spans="1:31" s="2" customFormat="1" x14ac:dyDescent="0.25">
      <c r="A353">
        <v>89</v>
      </c>
      <c r="B353">
        <v>12</v>
      </c>
      <c r="C353">
        <v>17</v>
      </c>
      <c r="D353">
        <v>4</v>
      </c>
      <c r="E353">
        <v>1</v>
      </c>
      <c r="F353" s="3">
        <f>1166.5+(407.7-680.2)+(-2.974575+(-1.039635--1.73451))+0-152.3--0.388364999999978</f>
        <v>739.80866500000002</v>
      </c>
      <c r="G353" s="3">
        <f>1169.9+(392-700.4)+(-3.579894+(-1.19952--2.143224))+0-149.5--0.457470000000017</f>
        <v>709.82128000000012</v>
      </c>
      <c r="H353" s="3">
        <f>1172+(341.2-671.1)+(-1.19544+(-0.348024--0.684522))+0-145--0.147900000000023</f>
        <v>696.388958</v>
      </c>
      <c r="I353" s="3">
        <f>1171+(330.9-664)+(0.59721+(0.168759-0.33864))+0-141.5-0.0721649999999856</f>
        <v>696.75516399999992</v>
      </c>
      <c r="J353" s="3">
        <f>1175.6+(304.6-640.4)+(-0.599556+(-0.155346--0.326604))+0-140.8--0.0718079999999857</f>
        <v>698.64350999999999</v>
      </c>
      <c r="K353" s="3">
        <f>1166.2+(306.9-611.7)+(1.189524+(0.313038-0.623934))+0-141.5-0.144330000000023</f>
        <v>720.63429800000006</v>
      </c>
      <c r="L353" s="3">
        <f>1175.9+(294.4-585.2)+(-1.199418+(-0.300288--0.596904))+0-139.2--0.141984000000022</f>
        <v>745.13918200000001</v>
      </c>
      <c r="M353" s="3">
        <f>1165.9+(372.9-585.1)+(-0.594609+(-0.190179--0.298401))+0-142.3--0.0725729999999856</f>
        <v>810.98618599999998</v>
      </c>
      <c r="N353" s="3">
        <f>1145.2+(452.7-605.5)+(-0.584052+(-0.230877--0.308805))+0-138.5--0.0706349999999859</f>
        <v>853.46451100000013</v>
      </c>
      <c r="O353" s="3">
        <f>1158.4+(465.9-612.6)+(-1.181568+(-0.475218--0.624852))+0-151.4--0.154428000000024</f>
        <v>859.42249400000014</v>
      </c>
      <c r="P353" s="3">
        <f>1169.3+(500.1-657.3)+(-1.789029+(-0.765153--1.005669))+0-150.3--0.229959000000009</f>
        <v>860.48144600000001</v>
      </c>
      <c r="Q353" s="3">
        <f>1164.2+(497.9-645)+(-0.593742+(-0.253929--0.32895))+0-150.6--0.0768059999999847</f>
        <v>866.05808500000001</v>
      </c>
      <c r="R353" s="3">
        <f>1155.3+(477.3-638.2)+(-1.178406+(-0.486846--0.650964))+0-139.2--0.141984000000022</f>
        <v>854.32769599999995</v>
      </c>
      <c r="S353" s="3">
        <f>1145.4+(432-579.6)+(-1.168308+(-0.44064--0.591192))+0-145.5--0.148410000000023</f>
        <v>851.43065400000012</v>
      </c>
      <c r="T353" s="3">
        <f>1141.6+(418.2-568.1)+(-1.164432+(-0.426564--0.579462))+0-152.1--0.155142000000024</f>
        <v>838.74360799999988</v>
      </c>
      <c r="U353" s="3">
        <f>1142.7+(426.5-583.2)+(-0.582777+(-0.217515--0.297432))+0-149.4--0.0761939999999848</f>
        <v>836.17333399999995</v>
      </c>
      <c r="V353" s="3">
        <f>1144.6+(407.9-553)+(0+(0-0))+0-154.8-0</f>
        <v>844.69999999999982</v>
      </c>
      <c r="W353" s="3">
        <f>1152.4+(457.4-587)+(-2.93862+(-1.16637--1.49685))+0-162.7--0.414884999999976</f>
        <v>857.90674500000011</v>
      </c>
      <c r="X353" s="3">
        <f>1153.7+(462.6-522.9)+(-0.588387+(-0.235926--0.266679))+0-165.6--0.0844559999999832</f>
        <v>927.32682199999999</v>
      </c>
      <c r="Y353" s="3">
        <f>1155.6+(461.4-536.9)+(-2.357424+(-0.941256--1.095276))+0-164.4--0.335375999999993</f>
        <v>913.83197199999984</v>
      </c>
      <c r="Z353" s="3">
        <f>1170+(453.4-573.3)+(1.7901+(0.693702-0.877149))+0-165.1-0.25260300000001</f>
        <v>886.35404999999992</v>
      </c>
      <c r="AA353" s="3">
        <f>1169.7+(465.2-607.1)+(0.596547+(0.237252-0.309621))+0-161.8-0.0825179999999836</f>
        <v>866.44165999999996</v>
      </c>
      <c r="AB353" s="3">
        <f>1174.8+(449.6-635.9)+(-2.396592+(-0.917184--1.297236))+0-159.1--0.324563999999993</f>
        <v>827.70802400000002</v>
      </c>
      <c r="AC353" s="3">
        <f>1179.3+(455.3-698.8)+(-2.405772+(-0.928812--1.425552))+0-158.3--0.322931999999993</f>
        <v>775.91390000000001</v>
      </c>
      <c r="AD353">
        <f t="shared" si="5"/>
        <v>19538.462243999998</v>
      </c>
      <c r="AE353" s="3">
        <f>1172+(483.4-515)+(0+(0-0))+0-164.7-0</f>
        <v>975.7</v>
      </c>
    </row>
    <row r="354" spans="1:31" s="2" customFormat="1" x14ac:dyDescent="0.25">
      <c r="A354">
        <v>89</v>
      </c>
      <c r="B354">
        <v>12</v>
      </c>
      <c r="C354">
        <v>18</v>
      </c>
      <c r="D354">
        <v>5</v>
      </c>
      <c r="E354">
        <v>1</v>
      </c>
      <c r="F354" s="3">
        <f>1187.3+(418.3-708.2)+(-1.816569+(-0.639999--1.083546))+0-160.5--0.245565000000009</f>
        <v>735.77254299999993</v>
      </c>
      <c r="G354" s="3">
        <f>1183.6+(370.4-684.6)+(-3.01818+(-0.94452--1.74573))+0-155.5--0.396524999999977</f>
        <v>712.07955499999991</v>
      </c>
      <c r="H354" s="3">
        <f>1185.5+(339.2-669.2)+(-0.604605+(-0.172992--0.341292))+0-155.2--0.0791519999999842</f>
        <v>699.94284700000003</v>
      </c>
      <c r="I354" s="3">
        <f>1188.7+(328.7-664.9)+(-2.424948+(-0.670548--1.356396))+0-156.1--0.318443999999993</f>
        <v>694.97934399999997</v>
      </c>
      <c r="J354" s="3">
        <f>1197.5+(334-675.6)+(-1.22145+(-0.34068--0.689112))+0-151.3--0.154326000000024</f>
        <v>703.88130799999988</v>
      </c>
      <c r="K354" s="3">
        <f>1199.5+(334-665.7)+(-1.22349+(-0.34068--0.679014))+0-135.6--0.138312000000022</f>
        <v>731.45315599999992</v>
      </c>
      <c r="L354" s="3">
        <f>1199.2+(310.9-610.4)+(0+(0-0))+0-131-0</f>
        <v>768.7</v>
      </c>
      <c r="M354" s="3">
        <f>1195.9+(311.2-540.8)+(-0.609909+(-0.158712--0.275808))+0-141.3--0.0720629999999857</f>
        <v>824.57925000000012</v>
      </c>
      <c r="N354" s="3">
        <f>1185.5+(347.4-528)+(1.20921+(0.354348-0.53856))+0-138.7-0.141474000000022</f>
        <v>867.0835239999999</v>
      </c>
      <c r="O354" s="3">
        <f>1170.8+(364.6-530.7)+(-0.597108+(-0.185946--0.270657))+0-123.2--0.0628319999999875</f>
        <v>881.05043499999988</v>
      </c>
      <c r="P354" s="3">
        <f>1179.7+(390.8-559.5)+(-1.804941+(-0.597924--0.856035))+0-122.5--0.187425000000007</f>
        <v>887.14059499999996</v>
      </c>
      <c r="Q354" s="3">
        <f>1167.1+(460.4-605)+(-1.785663+(-0.704412--0.92565))+0-127.2--0.194616000000007</f>
        <v>893.93019099999981</v>
      </c>
      <c r="R354" s="3">
        <f>1173+(421.1-570.6)+(-2.99115+(-1.073805--1.45503))+0-134.3--0.342464999999981</f>
        <v>886.93254000000002</v>
      </c>
      <c r="S354" s="3">
        <f>1153.6+(386.1-513.4)+(-2.353344+(-0.787644--1.047336))+0-146.1--0.298043999999994</f>
        <v>878.40439199999992</v>
      </c>
      <c r="T354" s="3">
        <f>1146.8+(360.1-483.6)+(-1.169736+(-0.367302--0.493272))+0-148.3--0.151266000000024</f>
        <v>874.10750000000007</v>
      </c>
      <c r="U354" s="3">
        <f>1147.8+(361.4-511.1)+(-2.341512+(-0.737256--1.042644))+0-145.8--0.297431999999994</f>
        <v>850.56130799999994</v>
      </c>
      <c r="V354" s="3">
        <f>1162.4+(365.6-499.2)+(0.592824+(0.186456-0.254592))+0-154.4-0.0787439999999843</f>
        <v>874.84594400000015</v>
      </c>
      <c r="W354" s="3">
        <f>1168.3+(375.6-494.4)+(-2.383332+(-0.766224--1.008576))+0-160.4--0.327215999999993</f>
        <v>887.28623600000014</v>
      </c>
      <c r="X354" s="3">
        <f>1178.8+(417.2-487.7)+(-1.202376+(-0.425544--0.497454))+0-161.8--0.165036000000026</f>
        <v>945.53456999999992</v>
      </c>
      <c r="Y354" s="3">
        <f>1192.8+(434-536.9)+(-3.04164+(-1.1067--1.369095))+0-156.9--0.400094999999977</f>
        <v>930.62085000000013</v>
      </c>
      <c r="Z354" s="3">
        <f>1176.4+(396-509.7)+(0+(0-0))+0-159.4-0</f>
        <v>903.30000000000007</v>
      </c>
      <c r="AA354" s="3">
        <f>1179.5+(397.1-519.8)+(-1.20309+(-0.405042--0.530196))+0-162.3--0.165546000000026</f>
        <v>893.58761000000038</v>
      </c>
      <c r="AB354" s="3">
        <f>1180.5+(386.3-544.7)+(-3.010275+(-0.985065--1.388985))+0-163.5--0.416924999999976</f>
        <v>856.41056999999989</v>
      </c>
      <c r="AC354" s="3">
        <f>968.2+(420.2-415.8)+(-0.987564+(-0.428604--0.424116))+0-172.4--0.175848000000027</f>
        <v>799.38379600000007</v>
      </c>
      <c r="AD354">
        <f t="shared" si="5"/>
        <v>19981.568063999999</v>
      </c>
      <c r="AE354" s="3">
        <f>1181+(430.1-514.8)+(0+(0-0))+0-156.6-0</f>
        <v>939.70000000000016</v>
      </c>
    </row>
    <row r="355" spans="1:31" s="2" customFormat="1" x14ac:dyDescent="0.25">
      <c r="A355">
        <v>89</v>
      </c>
      <c r="B355">
        <v>12</v>
      </c>
      <c r="C355">
        <v>19</v>
      </c>
      <c r="D355">
        <v>6</v>
      </c>
      <c r="E355">
        <v>1</v>
      </c>
      <c r="F355" s="3">
        <f>807+(437.3-327.8)+(0+(0-0))+0-171.4-0</f>
        <v>745.1</v>
      </c>
      <c r="G355" s="3">
        <f>808.1+(440.6-349.6)+(0+(0-0))+0-166.1-0</f>
        <v>733</v>
      </c>
      <c r="H355" s="3">
        <f>812.9+(444.7-385.2)+(0+(0-0))+0-161.7-0</f>
        <v>710.7</v>
      </c>
      <c r="I355" s="3">
        <f>817.3+(446.9-392.8)+(0+(0-0))+0-163.3-0</f>
        <v>708.09999999999991</v>
      </c>
      <c r="J355" s="3">
        <f>815+(440.6-381.9)+(0+(0-0))+0-165.3-0</f>
        <v>708.40000000000009</v>
      </c>
      <c r="K355" s="3">
        <f>815.8+(441.5-363.4)+(0+(0-0))+0-160.5-0</f>
        <v>733.4</v>
      </c>
      <c r="L355" s="3">
        <f>815.3+(479.9-361.9)+(0+(0-0))+0-154-0</f>
        <v>779.3</v>
      </c>
      <c r="M355" s="3">
        <f>810.9+(499.4-326.6)+(0+(0-0))+0-158.7-0</f>
        <v>825</v>
      </c>
      <c r="N355" s="3">
        <f>792.3+(506.7-281.7)+(0+(0-0))+0-155.8-0</f>
        <v>861.5</v>
      </c>
      <c r="O355" s="3">
        <f>783.3+(502.3-243.1)+(0+(0-0))+0-157.5-0</f>
        <v>885</v>
      </c>
      <c r="P355" s="3">
        <f>791.1+(502.3-236.4)+(0+(0-0))+0-161.2-0</f>
        <v>895.8</v>
      </c>
      <c r="Q355" s="3">
        <f>788.2+(498.9-223.1)+(0+(0-0))+0-160.7-0</f>
        <v>903.3</v>
      </c>
      <c r="R355" s="3">
        <f>796.9+(491.6-216.3)+(-2.032095+(-1.25358--0.551565))+0-156.1--0.398054999999977</f>
        <v>913.76394499999992</v>
      </c>
      <c r="S355" s="3">
        <f>790+(493.5-207.4)+(1.2087+(0.755055-0.317322))+0-163-0.249390000000009</f>
        <v>914.49704299999974</v>
      </c>
      <c r="T355" s="3">
        <f>793.2+(492.4-214.9)+(-1.213596+(-0.753372--0.328797))+0-158.1--0.241893000000009</f>
        <v>911.20372199999997</v>
      </c>
      <c r="U355" s="3">
        <f>790.8+(488.3-211)+(-1.209924+(-0.747099--0.32283))+0-152.6--0.233478000000009</f>
        <v>914.09928499999978</v>
      </c>
      <c r="V355" s="3">
        <f>795.7+(470.3-199.8)+(-1.217421+(-0.719559--0.305694))+0-179--0.27387000000001</f>
        <v>885.84258399999999</v>
      </c>
      <c r="W355" s="3">
        <f>802.1+(502.6-228.7)+(0+(0-0))+0-187-0</f>
        <v>889</v>
      </c>
      <c r="X355" s="3">
        <f>879.6+(537.9-299.9)+(-0.897192+(-0.548658--0.305898))+0-184.6--0.188292000000029</f>
        <v>932.04833999999994</v>
      </c>
      <c r="Y355" s="3">
        <f>928.6+(540.3-371.9)+(-3.315102+(-1.928871--1.327683))+0-167--0.596190000000002</f>
        <v>926.67990000000009</v>
      </c>
      <c r="Z355" s="3">
        <f>933.1+(531.7-393.4)+(-1.903524+(-1.084668--0.802536))+0-170.3--0.347411999999993</f>
        <v>899.26175599999999</v>
      </c>
      <c r="AA355" s="3">
        <f>936.9+(545.4-414.7)+(-1.911276+(-1.112616--0.845988))+0-176.1--0.359243999999992</f>
        <v>889.68133999999998</v>
      </c>
      <c r="AB355" s="3">
        <f>938.1+(549.8-451.6)+(-2.392155+(-1.40199--1.15158))+0-174.9--0.445994999999975</f>
        <v>859.2034299999998</v>
      </c>
      <c r="AC355" s="3">
        <f>933.5+(468.2-411.1)+(-1.90434+(-0.955128--0.838644))+0-176--0.359039999999992</f>
        <v>812.9382159999999</v>
      </c>
      <c r="AD355">
        <f t="shared" si="5"/>
        <v>20236.819560999997</v>
      </c>
      <c r="AE355" s="3">
        <f>925+(562.4-372.1)+(0+(0-0))+0-158-0</f>
        <v>957.3</v>
      </c>
    </row>
    <row r="356" spans="1:31" s="2" customFormat="1" x14ac:dyDescent="0.25">
      <c r="A356">
        <v>89</v>
      </c>
      <c r="B356">
        <v>12</v>
      </c>
      <c r="C356">
        <v>20</v>
      </c>
      <c r="D356">
        <v>7</v>
      </c>
      <c r="E356">
        <v>1</v>
      </c>
      <c r="F356" s="3">
        <f>922.5+(402.8-381.5)+(0+(0-0))+0-175.5-0</f>
        <v>768.3</v>
      </c>
      <c r="G356" s="3">
        <f>926.9+(417.6-431.9)+(0+(0-0))+0-169.9-0</f>
        <v>742.7</v>
      </c>
      <c r="H356" s="3">
        <f>925.7+(407-433.2)+(0+(0-0))+0-168.9-0</f>
        <v>730.6</v>
      </c>
      <c r="I356" s="3">
        <f>930.2+(405.9-445.1)+(0+(0-0))+0-168.2-0</f>
        <v>722.8</v>
      </c>
      <c r="J356" s="3">
        <f>926.2+(413.1-450.9)+(0+(0-0))+0-169-0</f>
        <v>719.40000000000009</v>
      </c>
      <c r="K356" s="3">
        <f>925.7+(410.9-436.4)+(0+(0-0))+0-170.3-0</f>
        <v>729.90000000000009</v>
      </c>
      <c r="L356" s="3">
        <f>935.8+(412.5-419.1)+(0+(0-0))+0-181.2-0</f>
        <v>748</v>
      </c>
      <c r="M356" s="3">
        <f>923.5+(417.1-368.1)+(0+(0-0))+0-186.2-0</f>
        <v>786.3</v>
      </c>
      <c r="N356" s="3">
        <f>879.9+(430-297)+(0+(0-0))+0-189.8-0</f>
        <v>823.09999999999991</v>
      </c>
      <c r="O356" s="3">
        <f>869.2+(433.9-274.9)+(0+(0-0))+0-188.5-0</f>
        <v>839.7</v>
      </c>
      <c r="P356" s="3">
        <f>859.4+(449.6-261.7)+(0+(0-0))+0-188.5-0</f>
        <v>858.8</v>
      </c>
      <c r="Q356" s="3">
        <f>799.7+(451.8-205.1)+(0+(0-0))+0-179.7-0</f>
        <v>866.7</v>
      </c>
      <c r="R356" s="3">
        <f>806.9+(449.2-208)+(-2.057595+(-1.14546--0.5304))+0-177.8--0.453389999999974</f>
        <v>868.08073499999989</v>
      </c>
      <c r="S356" s="3">
        <f>805.7+(403.1-169.4)+(-1.643628+(-0.822324--0.345576))+0-175.3--0.357611999999992</f>
        <v>862.33723600000008</v>
      </c>
      <c r="T356" s="3">
        <f>806.7+(413.9-176.2)+(-0.822834+(-0.422178--0.179724))+0-176.6--0.180132000000028</f>
        <v>866.91484400000013</v>
      </c>
      <c r="U356" s="3">
        <f>797.7+(410.1-169.9)+(-1.627308+(-0.836604--0.346596))+0-172.9--0.352715999999992</f>
        <v>863.23540000000003</v>
      </c>
      <c r="V356" s="3">
        <f>805.6+(424.7-186.4)+(0.821712+(0.433194-0.190128))+0-173.2-0.176664000000028</f>
        <v>871.5881139999999</v>
      </c>
      <c r="W356" s="3">
        <f>810.4+(424.2-176.4)+(-0.826608+(-0.432684--0.179928))+0-177.4--0.180948000000028</f>
        <v>879.90158400000018</v>
      </c>
      <c r="X356" s="3">
        <f>820.4+(465.3-185)+(0+(0-0))+0-168.5-0</f>
        <v>932.2</v>
      </c>
      <c r="Y356" s="3">
        <f>826.5+(481.9-218.5)+(-2.52909+(-1.474614--0.66861))+0-163.3--0.499698000000019</f>
        <v>923.76460400000008</v>
      </c>
      <c r="Z356" s="3">
        <f>822+(483.3-245.1)+(-0.83844+(-0.492966--0.250002))+0-164.8--0.168096000000026</f>
        <v>894.48669200000006</v>
      </c>
      <c r="AA356" s="3">
        <f>799.7+(492.4-259)+(-0.407847+(-0.251124--0.13209))+0-162.9--0.0830789999999835</f>
        <v>869.75619799999993</v>
      </c>
      <c r="AB356" s="3">
        <f>774.3+(521.6-291.7)+(-0.789786+(-0.532032--0.297534))+0-162.1--0.165342000000026</f>
        <v>841.24105800000007</v>
      </c>
      <c r="AC356" s="3">
        <f>766.4+(541.5-359.5)+(-1.563456+(-1.10466--0.73338))+0-162.2--0.330887999999993</f>
        <v>784.59615199999985</v>
      </c>
      <c r="AD356">
        <f t="shared" si="5"/>
        <v>19794.402616999996</v>
      </c>
      <c r="AE356" s="3">
        <f>822+(508.6-222.3)+(0+(0-0))+0-153.4-0</f>
        <v>954.9</v>
      </c>
    </row>
    <row r="357" spans="1:31" s="2" customFormat="1" x14ac:dyDescent="0.25">
      <c r="A357">
        <v>89</v>
      </c>
      <c r="B357">
        <v>12</v>
      </c>
      <c r="C357">
        <v>21</v>
      </c>
      <c r="D357">
        <v>1</v>
      </c>
      <c r="E357">
        <v>1</v>
      </c>
      <c r="F357" s="3">
        <f>756.7+(527.6-380)+(-1.929585+(-1.34538--0.969))+0-163.1--0.415904999999976</f>
        <v>739.30993999999998</v>
      </c>
      <c r="G357" s="3">
        <f>751+(481.5-356.9)+(-0.76602+(-0.49113--0.364038))+0-159.3--0.162486000000025</f>
        <v>715.56937400000004</v>
      </c>
      <c r="H357" s="3">
        <f>750.9+(492.3-380.2)+(-1.148877+(-0.753219--0.581706))+0-158.4--0.242352000000009</f>
        <v>703.52196200000003</v>
      </c>
      <c r="I357" s="3">
        <f>749.1+(495.3-393.2)+(1.146123+(0.757809-0.601596))+0-158.9-0.243117000000009</f>
        <v>693.35921900000005</v>
      </c>
      <c r="J357" s="3">
        <f>753.3+(501-390.6)+(-0.384183+(-0.25551--0.199206))+0-161.2--0.0822119999999836</f>
        <v>702.14172499999995</v>
      </c>
      <c r="K357" s="3">
        <f>751.8+(513.3-383.6)+(0+(0-0))+0-158.1-0</f>
        <v>723.39999999999986</v>
      </c>
      <c r="L357" s="3">
        <f>754.5+(537.3-360.7)+(-0.384795+(-0.274023--0.183957))+0-157.4--0.080273999999984</f>
        <v>773.30541299999993</v>
      </c>
      <c r="M357" s="3">
        <f>750.9+(549-308.7)+(0+(0-0))+0-163.1-0</f>
        <v>828.1</v>
      </c>
      <c r="N357" s="3">
        <f>742.8+(543.4-257.2)+(0+(0-0))+0-165.8-0</f>
        <v>863.2</v>
      </c>
      <c r="O357" s="3">
        <f>755.2+(558.3-269.4)+(0+(0-0))+0-154.7-0</f>
        <v>889.39999999999986</v>
      </c>
      <c r="P357" s="3">
        <f>777.7+(612-337.2)+(0.793254+(0.62424-0.343944))+0-150.9-0.153918000000024</f>
        <v>902.51963200000012</v>
      </c>
      <c r="Q357" s="3">
        <f>728.2+(603.6-270.3)+(-0.742764+(-0.615672--0.275706))+0-153.2--0.156264000000024</f>
        <v>907.37353399999995</v>
      </c>
      <c r="R357" s="3">
        <f>727.1+(589.3-270.9)+(-1.854105+(-1.502715--0.690795))+0-151.5--0.386324999999978</f>
        <v>891.72029999999995</v>
      </c>
      <c r="S357" s="3">
        <f>751+(548.4-256.9)+(-1.53204+(-1.118736--0.524076))+0-152--0.310079999999993</f>
        <v>888.68337999999994</v>
      </c>
      <c r="T357" s="3">
        <f>816.7+(497.3-283.5)+(0+(0-0))+0-153.6-0</f>
        <v>876.9</v>
      </c>
      <c r="U357" s="3">
        <f>912.1+(485.7-354.7)+(-0.465171+(-0.247707--0.180897))+0-154.4--0.0787439999999843</f>
        <v>888.24676299999987</v>
      </c>
      <c r="V357" s="3">
        <f>927.4+(485.9-353.4)+(0.472974+(0.247809-0.180234))+0-158.9-0.0810389999999839</f>
        <v>901.45951000000014</v>
      </c>
      <c r="W357" s="3">
        <f>1046+(439.5-421.8)+(-0.53346+(-0.224145--0.215118))+0-156.5--0.0798149999999841</f>
        <v>906.73732800000005</v>
      </c>
      <c r="X357" s="3">
        <f>1086.4+(390.2-369.4)+(-1.108128+(-0.398004--0.376788))+0-154.6--0.157692000000025</f>
        <v>951.62834800000007</v>
      </c>
      <c r="Y357" s="3">
        <f>1060.7+(410.9-388.4)+(-0.540957+(-0.209559--0.198084))+0-148.7--0.0758369999999849</f>
        <v>934.02340500000003</v>
      </c>
      <c r="Z357" s="3">
        <f>979.2+(381.9-289.2)+(-0.998784+(-0.389538--0.294984))+0-156.5--0.159630000000025</f>
        <v>914.46629200000018</v>
      </c>
      <c r="AA357" s="3">
        <f>973.8+(392.9-311)+(-1.489914+(-0.601137--0.47583))+0-163.9--0.250767000000009</f>
        <v>890.43554599999982</v>
      </c>
      <c r="AB357" s="3">
        <f>975.2+(372.1-329.1)+(-3.481464+(-1.328397--1.174887))+0-162--0.578340000000002</f>
        <v>853.14336600000001</v>
      </c>
      <c r="AC357" s="3">
        <f>982.3+(330.2-347.3)+(-2.003892+(-0.673608--0.708492))+0-159.5--0.325379999999993</f>
        <v>804.0563719999999</v>
      </c>
      <c r="AD357">
        <f t="shared" si="5"/>
        <v>20142.701409000001</v>
      </c>
      <c r="AE357" s="3">
        <f>1090+(458.2-406.2)+(0+(0-0))+0-152.8-0</f>
        <v>989.2</v>
      </c>
    </row>
    <row r="358" spans="1:31" s="2" customFormat="1" x14ac:dyDescent="0.25">
      <c r="A358">
        <v>89</v>
      </c>
      <c r="B358">
        <v>12</v>
      </c>
      <c r="C358">
        <v>22</v>
      </c>
      <c r="D358">
        <v>2</v>
      </c>
      <c r="E358">
        <v>1</v>
      </c>
      <c r="F358" s="3">
        <f>987.7+(348-415.9)+(-2.518635+(-0.8874--1.060545))+0-154--0.392699999999978</f>
        <v>763.84721000000002</v>
      </c>
      <c r="G358" s="3">
        <f>998.6+(327.1-428.1)+(-3.055716+(-1.000926--1.309986))+0-155.6--0.476136000000018</f>
        <v>739.72947999999997</v>
      </c>
      <c r="H358" s="3">
        <f>999.9+(340-461)+(-2.039796+(-0.6936--0.94044))+0-150.5--0.307019999999993</f>
        <v>726.91406399999994</v>
      </c>
      <c r="I358" s="3">
        <f>999.4+(348.3-477.2)+(1.529082+(0.532899-0.730116))+0-151.2-0.231336000000009</f>
        <v>720.40052900000001</v>
      </c>
      <c r="J358" s="3">
        <f>1004+(352.4-480.6)+(-1.53612+(-0.539172--0.735318))+0-151.9--0.232407000000009</f>
        <v>722.79243299999996</v>
      </c>
      <c r="K358" s="3">
        <f>1004.5+(357.1-469.8)+(2.04918+(0.728484-0.958392))+0-153.3-0.312731999999993</f>
        <v>740.00653999999997</v>
      </c>
      <c r="L358" s="3">
        <f>1000.3+(333.5-406.2)+(-3.060918+(-1.02051--1.242972))+0-150.8--0.461448000000017</f>
        <v>774.42299200000002</v>
      </c>
      <c r="M358" s="3">
        <f>993.5+(364.3-406.1)+(1.01337+(0.371586-0.414222))+0-146.4-0.149328000000023</f>
        <v>806.12140600000009</v>
      </c>
      <c r="N358" s="3">
        <f>983.3+(417.6-409.5)+(1.002966+(0.425952-0.41769))+0-146.9-0.149838000000023</f>
        <v>845.36138999999991</v>
      </c>
      <c r="O358" s="3">
        <f>973.9+(454.1-412.1)+(0.496689+(0.231591-0.210171))+0-144.9-0.0738989999999853</f>
        <v>871.44421</v>
      </c>
      <c r="P358" s="3">
        <f>963+(516.4-428.8)+(0.49113+(0.263364-0.218688))+0-148.2-0.075581999999985</f>
        <v>902.86022400000002</v>
      </c>
      <c r="Q358" s="3">
        <f>950.1+(549-434.9)+(-1.453653+(-0.83997--0.665397))+0-154.1--0.235773000000009</f>
        <v>908.70754699999998</v>
      </c>
      <c r="R358" s="3">
        <f>937.9+(546.9-428.8)+(0+(0-0))+0-157.9-0</f>
        <v>898.1</v>
      </c>
      <c r="S358" s="3">
        <f>931.2+(523.5-409)+(0.474912+(0.266985-0.20859))+0-159.3-0.0812429999999838</f>
        <v>886.85206400000004</v>
      </c>
      <c r="T358" s="3">
        <f>925.2+(517.8-398.8)+(-0.943704+(-0.528156--0.406776))+0-161--0.164220000000026</f>
        <v>882.29913599999998</v>
      </c>
      <c r="U358" s="3">
        <f>909+(496-369.2)+(0+(0-0))+0-152.6-0</f>
        <v>883.19999999999993</v>
      </c>
      <c r="V358" s="3">
        <f>913.9+(501.6-369.4)+(-2.330445+(-1.27908--0.94197))+0-153.8--0.392189999999978</f>
        <v>890.02463499999999</v>
      </c>
      <c r="W358" s="3">
        <f>954.3+(493.7-389.5)+(0+(0-0))+0-154.7-0</f>
        <v>903.8</v>
      </c>
      <c r="X358" s="3">
        <f>1014.2+(489.7-385.1)+(-0.517242+(-0.249747--0.196401))+0-149.5--0.0762449999999848</f>
        <v>968.80565699999988</v>
      </c>
      <c r="Y358" s="3">
        <f>1063.3+(493.6-442.4)+(-1.626849+(-0.755208--0.676872))+0-168.2--0.25734600000001</f>
        <v>944.85216099999991</v>
      </c>
      <c r="Z358" s="3">
        <f>1020.5+(535.8-467.2)+(-1.04091+(-0.546516--0.476544))+0-171.3--0.174726000000027</f>
        <v>916.86384400000009</v>
      </c>
      <c r="AA358" s="3">
        <f>1026+(525.2-486.1)+(-1.56978+(-0.803556--0.743733))+0-172--0.26316000000001</f>
        <v>891.73355699999979</v>
      </c>
      <c r="AB358" s="3">
        <f>1036.4+(509.7-520)+(-1.057128+(-0.519894--0.5304))+0-168.8--0.172176000000027</f>
        <v>856.42555400000015</v>
      </c>
      <c r="AC358" s="3">
        <f>1001.4+(512.4-539)+(-1.532142+(-0.783972--0.82467))+0-170.2--0.26040600000001</f>
        <v>803.3689619999999</v>
      </c>
      <c r="AD358">
        <f t="shared" si="5"/>
        <v>20248.933594999999</v>
      </c>
      <c r="AE358" s="3">
        <f>1044+(497.4-383.5)+(0+(0-0))+0-155-0</f>
        <v>1002.9000000000001</v>
      </c>
    </row>
    <row r="359" spans="1:31" s="2" customFormat="1" x14ac:dyDescent="0.25">
      <c r="A359">
        <v>89</v>
      </c>
      <c r="B359">
        <v>12</v>
      </c>
      <c r="C359">
        <v>23</v>
      </c>
      <c r="D359">
        <v>3</v>
      </c>
      <c r="E359">
        <v>1</v>
      </c>
      <c r="F359" s="3">
        <f>885.2+(528-474.7)+(-4.51452+(-2.6928--2.42097))+0-171.8--0.876180000000013</f>
        <v>762.78982999999994</v>
      </c>
      <c r="G359" s="3">
        <f>890.1+(441.3-422.7)+(-2.723706+(-1.350378--1.293462))+0-171.1--0.52356600000002</f>
        <v>735.3429440000001</v>
      </c>
      <c r="H359" s="3">
        <f>888.8+(457.4-457.2)+(-1.359864+(-0.699822--0.699516))+0-169.2--0.25887600000001</f>
        <v>718.69870600000002</v>
      </c>
      <c r="I359" s="3">
        <f>902.6+(458.2-475.9)+(-1.380978+(-0.701046--0.728127))+0-170.5--0.26086500000001</f>
        <v>713.3069680000001</v>
      </c>
      <c r="J359" s="3">
        <f>916.9+(457.7-485)+(0.935238+(0.466854-0.4947))+0-168.3-0.171666000000027</f>
        <v>722.03572599999973</v>
      </c>
      <c r="K359" s="3">
        <f>955.4+(437.1-481.3)+(-0.487254+(-0.222921--0.245463))+0-167.9--0.085628999999983</f>
        <v>742.92091700000003</v>
      </c>
      <c r="L359" s="3">
        <f>963.7+(428-444.5)+(-0.491487+(-0.21828--0.226695))+0-168.6--0.0859859999999829</f>
        <v>778.20291399999996</v>
      </c>
      <c r="M359" s="3">
        <f>958.5+(439.1-386.4)+(1.95534+(0.895764-0.788256))+0-171.5-0.349859999999993</f>
        <v>841.41298800000004</v>
      </c>
      <c r="N359" s="3">
        <f>945.4+(467.6-356.6)+(0+(0-0))+0-169.7-0</f>
        <v>886.7</v>
      </c>
      <c r="O359" s="3">
        <f>940.4+(508.7-379.4)+(-1.918416+(-1.037748--0.773976))+0-165.1--0.336803999999993</f>
        <v>902.75461600000006</v>
      </c>
      <c r="P359" s="3">
        <f>930.3+(534.2-390.7)+(-1.897812+(-1.089768--0.797028))+0-144.7--0.295187999999994</f>
        <v>927.20463599999982</v>
      </c>
      <c r="Q359" s="3">
        <f>929.4+(586.3-433.9)+(-1.421982+(-0.897039--0.663867))+0-151.1--0.231183000000009</f>
        <v>929.27602899999988</v>
      </c>
      <c r="R359" s="3">
        <f>923+(473.1-325.9)+(-1.88292+(-0.965124--0.664836))+0-150.7--0.307427999999993</f>
        <v>917.62422000000004</v>
      </c>
      <c r="S359" s="3">
        <f>919.9+(398.5-256.4)+(0.938298+(0.40647-0.261528))+0-149.4-0.152388000000024</f>
        <v>913.53085199999998</v>
      </c>
      <c r="T359" s="3">
        <f>895+(404.9-232.4)+(-0.9129+(-0.412998--0.237048))+0-148.5--0.151470000000024</f>
        <v>918.06261999999992</v>
      </c>
      <c r="U359" s="3">
        <f>565.7+(629-152.2)+(0+(0-0))+0-147.4-0</f>
        <v>895.1</v>
      </c>
      <c r="V359" s="3">
        <f>536.2+(709.7-182.6)+(-1.093848+(-1.447788--0.372504))+0-148.8--0.303551999999994</f>
        <v>912.6344200000002</v>
      </c>
      <c r="W359" s="3">
        <f>699.8+(581.2-215)+(-0.356898+(-0.296412--0.10965))+0-149.3--0.0761429999999849</f>
        <v>916.232483</v>
      </c>
      <c r="X359" s="3">
        <f>819.7+(544.5-230.6)+(-0.418047+(-0.277695--0.117606))+0-150.6--0.0768059999999847</f>
        <v>982.49866999999983</v>
      </c>
      <c r="Y359" s="3">
        <f>921+(491.1-290.4)+(-2.81826+(-1.502766--0.888624))+0-148.3--0.453798000000017</f>
        <v>970.42139600000019</v>
      </c>
      <c r="Z359" s="3">
        <f>922.9+(562.6-382)+(-1.412037+(-0.860778--0.58446))+0-150.4--0.230112000000009</f>
        <v>951.64175699999998</v>
      </c>
      <c r="AA359" s="3">
        <f>926.8+(571.2-404.1)+(-1.418004+(-0.873936--0.618273))+0-157.7--0.241281000000009</f>
        <v>934.76761399999998</v>
      </c>
      <c r="AB359" s="3">
        <f>931+(535.5-412.6)+(-1.89924+(-1.09242--0.841704))+0-160.2--0.326807999999993</f>
        <v>891.8768520000001</v>
      </c>
      <c r="AC359" s="3">
        <f>968.6+(478.3-442.5)+(-2.46993+(-1.219665--1.128375))+0-159.5--0.406724999999977</f>
        <v>842.74550499999998</v>
      </c>
      <c r="AD359">
        <f t="shared" si="5"/>
        <v>20707.782663000002</v>
      </c>
      <c r="AE359" s="3">
        <f>894+(516.3-288.9)+(0+(0-0))+0-151.1-0</f>
        <v>970.30000000000007</v>
      </c>
    </row>
    <row r="360" spans="1:31" s="2" customFormat="1" x14ac:dyDescent="0.25">
      <c r="A360">
        <v>89</v>
      </c>
      <c r="B360">
        <v>12</v>
      </c>
      <c r="C360">
        <v>24</v>
      </c>
      <c r="D360">
        <v>4</v>
      </c>
      <c r="E360">
        <v>1</v>
      </c>
      <c r="F360" s="3">
        <f>985.2+(414.2-446.5)+(-3.014712+(-1.267452--1.36629))+0-154.3--0.472158000000018</f>
        <v>796.15628400000014</v>
      </c>
      <c r="G360" s="3">
        <f>990+(345.4-409.9)+(-2.5245+(-0.88077--1.045245))+0-155.6--0.396779999999977</f>
        <v>767.93675499999995</v>
      </c>
      <c r="H360" s="3">
        <f>988+(244.6-325.2)+(0+(0-0))+0-156.3-0</f>
        <v>751.09999999999991</v>
      </c>
      <c r="I360" s="3">
        <f>992.6+(237.8-328.5)+(-3.037356+(-0.727668--1.00521))+0-155.3--0.475218000000018</f>
        <v>744.31540400000017</v>
      </c>
      <c r="J360" s="3">
        <f>994.8+(228.5-316.8)+(1.522044+(0.349605-0.484704))+0-155.7-0.238221000000009</f>
        <v>751.94872399999997</v>
      </c>
      <c r="K360" s="3">
        <f>994.5+(246.8-321.7)+(-2.535975+(-0.62934--0.820335))+0-156.5--0.399074999999977</f>
        <v>761.15409499999998</v>
      </c>
      <c r="L360" s="3">
        <f>1003.5+(285.3-336.7)+(-1.535355+(-0.436509--0.515151))+0-151.4--0.231642000000009</f>
        <v>799.47492899999997</v>
      </c>
      <c r="M360" s="3">
        <f>1022.5+(329.4-342.7)+(-1.04295+(-0.335988--0.349554))+0-149.8--0.152796000000024</f>
        <v>858.52341200000001</v>
      </c>
      <c r="N360" s="3">
        <f>1011+(447.4-413.4)+(0+(0-0))+0-147.5-0</f>
        <v>897.5</v>
      </c>
      <c r="O360" s="3">
        <f>1003+(476.2-406.6)+(-1.02306+(-0.485724--0.414732))+0-152.7--0.155754000000024</f>
        <v>918.96170199999995</v>
      </c>
      <c r="P360" s="3">
        <f>1005.2+(443.9-361.5)+(-0.512652+(-0.226389--0.184365))+0-149.4--0.0761939999999848</f>
        <v>937.72151799999995</v>
      </c>
      <c r="Q360" s="3">
        <f>980.9+(511.1-398)+(-1.500777+(-0.781983--0.60894))+0-146.3--0.223839000000008</f>
        <v>946.25001900000007</v>
      </c>
      <c r="R360" s="3">
        <f>961.1+(476-355.4)+(-0.980322+(-0.48552--0.362508))+0-144--0.146880000000023</f>
        <v>936.74354600000015</v>
      </c>
      <c r="S360" s="3">
        <f>978+(449.8-346.2)+(-0.49878+(-0.229398--0.176562))+0-148.2--0.075581999999985</f>
        <v>932.92396599999984</v>
      </c>
      <c r="T360" s="3">
        <f>995.1+(425.1-351.2)+(-0.507501+(-0.216801--0.179112))+0-146.9--0.0749189999999851</f>
        <v>921.629729</v>
      </c>
      <c r="U360" s="3">
        <f>1035.4+(356.7-331.6)+(-1.584162+(-0.545751--0.507348))+0-144.8--0.221544000000008</f>
        <v>914.29897900000014</v>
      </c>
      <c r="V360" s="3">
        <f>1075.3+(333.4-333)+(-4.387224+(-1.360272--1.35864))+0-151.3--0.617303999999987</f>
        <v>920.62844799999982</v>
      </c>
      <c r="W360" s="3">
        <f>1144.5+(319.4-389)+(0.583695+(0.162894-0.19839))+0-158.8-0.0809879999999839</f>
        <v>916.56721100000027</v>
      </c>
      <c r="X360" s="3">
        <f>1172.2+(351.5-383.8)+(0.597822+(0.179265-0.195738))+0-156.5-0.0798149999999841</f>
        <v>983.9015340000002</v>
      </c>
      <c r="Y360" s="3">
        <f>1184.3+(411.8-462.7)+(-2.415972+(-0.840072--0.943908))+0-151.8--0.309671999999993</f>
        <v>979.5975360000001</v>
      </c>
      <c r="Z360" s="3">
        <f>1193.9+(427.4-511.2)+(-1.217778+(-0.435948--0.521424))+0-151.1--0.154122000000024</f>
        <v>958.02182000000016</v>
      </c>
      <c r="AA360" s="3">
        <f>1193.9+(434.1-533.4)+(-1.217778+(-0.442782--0.544068))+0-154.6--0.157692000000025</f>
        <v>939.0412</v>
      </c>
      <c r="AB360" s="3">
        <f>1200.8+(402.6-539.4)+(-0.612408+(-0.205326--0.275094))+0-154--0.0785399999999844</f>
        <v>909.53590000000008</v>
      </c>
      <c r="AC360" s="3">
        <f>1185.5+(344.9-504.2)+(-0.604605+(-0.175899--0.257142))+0-155.7--0.0794069999999842</f>
        <v>870.05604500000004</v>
      </c>
      <c r="AD360">
        <f t="shared" si="5"/>
        <v>21113.988755999999</v>
      </c>
      <c r="AE360" s="3">
        <f>1196+(425.6-446.5)+(0+(0-0))+0-149.6-0</f>
        <v>1025.5</v>
      </c>
    </row>
    <row r="361" spans="1:31" s="2" customFormat="1" x14ac:dyDescent="0.25">
      <c r="A361">
        <v>89</v>
      </c>
      <c r="B361">
        <v>12</v>
      </c>
      <c r="C361">
        <v>25</v>
      </c>
      <c r="D361">
        <v>5</v>
      </c>
      <c r="E361">
        <v>1</v>
      </c>
      <c r="F361" s="3">
        <f>1073.9+(387.2-484)+(-0.547689+(-0.197472--0.24684))+0-154.1--0.0785909999999844</f>
        <v>822.58027000000004</v>
      </c>
      <c r="G361" s="3">
        <f>1010.6+(330.5-393.7)+(-1.030812+(-0.33711--0.401574))+0-152.9--0.155958000000024</f>
        <v>793.68961000000013</v>
      </c>
      <c r="H361" s="3">
        <f>1047.6+(283.9-405)+(-2.137104+(-0.579156--0.8262))+0-152.9--0.311915999999993</f>
        <v>772.02185599999996</v>
      </c>
      <c r="I361" s="3">
        <f>1174+(225.2-484)+(1.19748+(0.229704-0.49368))+0-153.6-0.156672000000024</f>
        <v>762.37683199999992</v>
      </c>
      <c r="J361" s="3">
        <f>1131.6+(235.7-466.4)+(0+(0-0))+0-150.1-0</f>
        <v>750.79999999999984</v>
      </c>
      <c r="K361" s="3">
        <f>1149+(221.7-447.6)+(1.17198+(0.226134-0.456552))+0-147.1-0.150042000000023</f>
        <v>776.79151999999988</v>
      </c>
      <c r="L361" s="3">
        <f>1186.3+(235-473.8)+(-3.025065+(-0.59925--1.20819))+0-145--0.369749999999979</f>
        <v>800.45362499999999</v>
      </c>
      <c r="M361" s="3">
        <f>1218.7+(326.5-551.1)+(1.243074+(0.33303-0.562122))+0-144.4-0.147288000000023</f>
        <v>850.5666940000001</v>
      </c>
      <c r="N361" s="3">
        <f>1212.1+(373.9-568.4)+(0.618171+(0.190689-0.289884))+0-131.9-0.0672689999999866</f>
        <v>886.15170699999987</v>
      </c>
      <c r="O361" s="3">
        <f>1190+(382.6-559.2)+(-1.2138+(-0.390252--0.570384))+0-121.9--0.124338000000019</f>
        <v>890.59066999999993</v>
      </c>
      <c r="P361" s="3">
        <f>1121+(406.7-512.5)+(1.14342+(0.414834-0.52275))+0-107-0.109140000000017</f>
        <v>909.12636399999997</v>
      </c>
      <c r="Q361" s="3">
        <f>1043.3+(476.6-482.1)+(1.596249+(0.729198-0.737613))+0-108.4-0.165852000000006</f>
        <v>930.82198199999993</v>
      </c>
      <c r="R361" s="3">
        <f>1028.2+(429.9-423.7)+(-1.573146+(-0.657747--0.648261))+0-103.8--0.158814000000006</f>
        <v>929.17618200000004</v>
      </c>
      <c r="S361" s="3">
        <f>1061.7+(410.8-424.1)+(-0.541467+(-0.209508--0.216291))+0-111.7--0.0569669999999887</f>
        <v>936.22228300000006</v>
      </c>
      <c r="T361" s="3">
        <f>1137.1+(397.1-490.1)+(-1.739763+(-0.607563--0.749853))+0-111.5--0.170595000000006</f>
        <v>931.17312199999992</v>
      </c>
      <c r="U361" s="3">
        <f>1153.7+(392.5-495)+(-2.353548+(-0.8007--1.0098))+0-108.1--0.220523999999995</f>
        <v>941.17607599999997</v>
      </c>
      <c r="V361" s="3">
        <f>1138+(350.2-481.3)+(-1.16076+(-0.357204--0.490926))+0-111.9--0.114138000000018</f>
        <v>894.08710000000008</v>
      </c>
      <c r="W361" s="3">
        <f>1144+(276.4-475.9)+(-3.50064+(-0.845784--1.456254))+0-121.1--0.370566000000014</f>
        <v>820.88039600000002</v>
      </c>
      <c r="X361" s="3">
        <f>1172.5+(283.2-429.2)+(0.597975+(0.144432-0.218892))+0-128.8-0.0656879999999869</f>
        <v>898.15782700000011</v>
      </c>
      <c r="Y361" s="3">
        <f>1183.7+(283.4-455.2)+(-3.018435+(-0.72267--1.16076))+0-122--0.311099999999982</f>
        <v>887.63075500000014</v>
      </c>
      <c r="Z361" s="3">
        <f>1187.9+(303.3-499.3)+(-1.211658+(-0.309366--0.509286))+0-131.8--0.134436000000021</f>
        <v>859.22269800000004</v>
      </c>
      <c r="AA361" s="3">
        <f>1156.4+(328-504.6)+(-2.94882+(-0.8364--1.28673))+0-140.7--0.35878499999998</f>
        <v>836.9602950000002</v>
      </c>
      <c r="AB361" s="3">
        <f>1137.3+(302.5-491.6)+(-2.900115+(-0.771375--1.25358))+0-147--0.374849999999979</f>
        <v>799.15693999999985</v>
      </c>
      <c r="AC361" s="3">
        <f>1141+(262.3-485.1)+(-2.32764+(-0.535092--0.989604))+0-152.9--0.311915999999993</f>
        <v>763.73878800000011</v>
      </c>
      <c r="AD361">
        <f t="shared" si="5"/>
        <v>20443.553592000004</v>
      </c>
      <c r="AE361" s="3">
        <f>1199+(291.3-456.4)+(0+(0-0))+0-125.2-0</f>
        <v>908.7</v>
      </c>
    </row>
    <row r="362" spans="1:31" s="2" customFormat="1" x14ac:dyDescent="0.25">
      <c r="A362">
        <v>89</v>
      </c>
      <c r="B362">
        <v>12</v>
      </c>
      <c r="C362">
        <v>26</v>
      </c>
      <c r="D362">
        <v>6</v>
      </c>
      <c r="E362">
        <v>1</v>
      </c>
      <c r="F362" s="3">
        <f>1119.4+(248.9-480.2)+(-1.712682+(-0.380817--0.734706))+0-152.3--0.233019000000009</f>
        <v>734.67422600000009</v>
      </c>
      <c r="G362" s="3">
        <f>1115.2+(214.3-461.7)+(-1.137504+(-0.218586--0.470934))+0-152.7--0.155754000000024</f>
        <v>714.37059800000009</v>
      </c>
      <c r="H362" s="3">
        <f>1118+(168.4-430.4)+(-1.71054+(-0.257652--0.658512))+0-154.4--0.236232000000009</f>
        <v>700.52655200000004</v>
      </c>
      <c r="I362" s="3">
        <f>1117.9+(142.7-411.3)+(0.570129+(0.072777-0.209763))+0-154.1-0.0785909999999844</f>
        <v>695.55455200000006</v>
      </c>
      <c r="J362" s="3">
        <f>1125.6+(146.2-418.8)+(-1.722168+(-0.223686--0.640764))+0-155.2--0.237456000000009</f>
        <v>696.73236599999996</v>
      </c>
      <c r="K362" s="3">
        <f>1124.5+(239.5-509.8)+(-0.573495+(-0.122145--0.259998))+0-155.8--0.0794579999999842</f>
        <v>698.04381599999988</v>
      </c>
      <c r="L362" s="3">
        <f>1125.3+(267.1-524.4)+(-2.295612+(-0.544884--1.069776))+0-151.5--0.309059999999993</f>
        <v>715.03834000000006</v>
      </c>
      <c r="M362" s="3">
        <f>1123.1+(309.5-522.5)+(0.572781+(0.157845-0.266475))+0-153.7-0.0783869999999844</f>
        <v>756.78576399999997</v>
      </c>
      <c r="N362" s="3">
        <f>1116.3+(314-475.2)+(0.569313+(0.16014-0.242352))+0-156.7-0.0799169999999841</f>
        <v>798.80718400000001</v>
      </c>
      <c r="O362" s="3">
        <f>1105.1+(288.1-421)+(-1.690803+(-0.440793--0.64413))+0-149.5--0.228735000000009</f>
        <v>821.44126899999992</v>
      </c>
      <c r="P362" s="3">
        <f>1084.7+(325.5-427.4)+(-1.659591+(-0.498015--0.653922))+0-146.6--0.224298000000008</f>
        <v>834.920614</v>
      </c>
      <c r="Q362" s="3">
        <f>1082.1+(323.2-408.3)+(-0.551871+(-0.164832--0.208233))+0-140.2--0.0715019999999858</f>
        <v>856.36303199999998</v>
      </c>
      <c r="R362" s="3">
        <f>1065.6+(334.1-410.2)+(-1.630368+(-0.511173--0.627606))+0-139.6--0.213588000000008</f>
        <v>848.59965299999999</v>
      </c>
      <c r="S362" s="3">
        <f>1056.7+(329-411.6)+(0+(0-0))+0-155.2-0</f>
        <v>818.90000000000009</v>
      </c>
      <c r="T362" s="3">
        <f>1002.5+(363.5-374.1)+(-1.533825+(-0.556155--0.572373))+0-159.4--0.243882000000009</f>
        <v>831.22627499999999</v>
      </c>
      <c r="U362" s="3">
        <f>987.5+(370.3-359.7)+(-3.525375+(-1.321971--1.284129))+0-160.2--0.571914000000002</f>
        <v>834.90869699999996</v>
      </c>
      <c r="V362" s="3">
        <f>1035.3+(330.9-367)+(-1.056006+(-0.337518--0.37434))+0-162.6--0.165852000000026</f>
        <v>835.74666799999989</v>
      </c>
      <c r="W362" s="3">
        <f>1059.4+(318.9-381)+(-2.161176+(-0.650556--0.77724))+0-168.1--0.342923999999993</f>
        <v>827.50843200000008</v>
      </c>
      <c r="X362" s="3">
        <f>1073.6+(346.5-378.5)+(0+(0-0))+0-165.4-0</f>
        <v>876.19999999999993</v>
      </c>
      <c r="Y362" s="3">
        <f>1132.1+(307-406.5)+(-2.309484+(-0.62628--0.82926))+0-155.7--0.317627999999993</f>
        <v>875.11112399999979</v>
      </c>
      <c r="Z362" s="3">
        <f>1152.9+(255.2-395.4)+(-1.763937+(-0.390456--0.604962))+0-158.5--0.242505000000009</f>
        <v>852.89307400000007</v>
      </c>
      <c r="AA362" s="3">
        <f>1160.3+(307.7-478.6)+(-0.591753+(-0.156927--0.244086))+0-163.9--0.0835889999999834</f>
        <v>825.07899499999985</v>
      </c>
      <c r="AB362" s="3">
        <f>1152.1+(319.5-517.6)+(1.762713+(0.488835-0.791928))+0-161.7-0.247401000000009</f>
        <v>793.51221899999985</v>
      </c>
      <c r="AC362" s="3">
        <f>1158.9+(304.1-534)+(-2.955195+(-0.775455--1.3617))+0-164.5--0.419474999999976</f>
        <v>762.55052499999999</v>
      </c>
      <c r="AD362">
        <f t="shared" si="5"/>
        <v>19005.493974999998</v>
      </c>
      <c r="AE362" s="3">
        <f>1086+(339.2-357.7)+(0+(0-0))+0-162.4-0</f>
        <v>905.1</v>
      </c>
    </row>
    <row r="363" spans="1:31" s="2" customFormat="1" x14ac:dyDescent="0.25">
      <c r="A363">
        <v>89</v>
      </c>
      <c r="B363">
        <v>12</v>
      </c>
      <c r="C363">
        <v>27</v>
      </c>
      <c r="D363">
        <v>7</v>
      </c>
      <c r="E363">
        <v>1</v>
      </c>
      <c r="F363" s="3">
        <f>1156+(293.1-556)+(-2.35824+(-0.597924--1.13424))+0-164.7--0.335987999999993</f>
        <v>726.91406400000005</v>
      </c>
      <c r="G363" s="3">
        <f>1159.1+(246.9-531.2)+(-1.773423+(-0.377757--0.812736))+0-161.3--0.246789000000009</f>
        <v>712.40834499999983</v>
      </c>
      <c r="H363" s="3">
        <f>1150.5+(223.5-510.8)+(-0.586755+(-0.113985--0.260508))+0-159.3--0.0812429999999838</f>
        <v>703.54101099999991</v>
      </c>
      <c r="I363" s="3">
        <f>1157.5+(191.8-492.4)+(-1.770975+(-0.293454--0.753372))+0-158.8--0.242964000000009</f>
        <v>697.03190700000005</v>
      </c>
      <c r="J363" s="3">
        <f>1147.3+(193.9-486.8)+(0.585123+(0.098889-0.248268))+0-156.9-0.0800189999999841</f>
        <v>697.85572500000001</v>
      </c>
      <c r="K363" s="3">
        <f>1141.1+(198.9-483.9)+(-1.745883+(-0.304317--0.740367))+0-154.5--0.236385000000009</f>
        <v>700.52655199999992</v>
      </c>
      <c r="L363" s="3">
        <f>1130.5+(181.8-447.8)+(-1.15311+(-0.185436--0.456756))+0-150.3--0.153306000000024</f>
        <v>713.47151599999995</v>
      </c>
      <c r="M363" s="3">
        <f>1126.3+(180.6-393.4)+(0+(0-0))+0-158-0</f>
        <v>755.5</v>
      </c>
      <c r="N363" s="3">
        <f>1114.6+(210.7-377.5)+(0.568446+(0.107457-0.192525))+0-163.8-0.0835379999999834</f>
        <v>784.39983999999993</v>
      </c>
      <c r="O363" s="3">
        <f>1132.3+(202.6-367)+(-0.577473+(-0.103326--0.18717))+0-152.8--0.0779279999999845</f>
        <v>814.68429899999978</v>
      </c>
      <c r="P363" s="3">
        <f>1143.6+(229.5-400.8)+(-2.332944+(-0.46818--0.817632))+0-157.4--0.321095999999993</f>
        <v>813.23760400000003</v>
      </c>
      <c r="Q363" s="3">
        <f>1171.3+(237.6-412.1)+(-2.389452+(-0.484704--0.840684))+0-164--0.334559999999993</f>
        <v>831.101088</v>
      </c>
      <c r="R363" s="3">
        <f>1233.8+(219.5-444.6)+(-0.629238+(-0.111945--0.226746))+0-158.3--0.0807329999999839</f>
        <v>849.96629599999983</v>
      </c>
      <c r="S363" s="3">
        <f>1291.2+(198.8-493.1)+(0.658512+(0.101388-0.251481))+0-152.4-0.0777239999999845</f>
        <v>844.93069500000013</v>
      </c>
      <c r="T363" s="3">
        <f>1284.7+(190.7-480.9)+(-3.275985+(-0.486285--1.226295))+0-158.7--0.404684999999977</f>
        <v>833.66870999999992</v>
      </c>
      <c r="U363" s="3">
        <f>1291.2+(157.4-460.2)+(-3.29256+(-0.40137--1.17351))+0-155.3--0.396014999999977</f>
        <v>830.975595</v>
      </c>
      <c r="V363" s="3">
        <f>1305.4+(135.5-445.1)+(-1.997262+(-0.207315--0.681003))+0-159.7--0.244341000000009</f>
        <v>834.82076700000005</v>
      </c>
      <c r="W363" s="3">
        <f>1308+(138.2-439.9)+(-1.33416+(-0.140964--0.448698))+0-158--0.161160000000025</f>
        <v>847.43473399999993</v>
      </c>
      <c r="X363" s="3">
        <f>1320.8+(209.9-467.9)+(0+(0-0))+0-157.7-0</f>
        <v>905.09999999999991</v>
      </c>
      <c r="Y363" s="3">
        <f>1330.2+(213.1-488.8)+(-2.035206+(-0.326043--0.747864))+0-156.4--0.239292000000009</f>
        <v>896.72590699999989</v>
      </c>
      <c r="Z363" s="3">
        <f>1342.5+(180.1-497.9)+(-1.36935+(-0.183702--0.507858))+0-156.4--0.159528000000025</f>
        <v>867.41433400000005</v>
      </c>
      <c r="AA363" s="3">
        <f>1352.9+(138.6-484.9)+(-1.379958+(-0.141372--0.494598))+0-161.4--0.164628000000026</f>
        <v>844.33789600000011</v>
      </c>
      <c r="AB363" s="3">
        <f>1357.5+(131.6-500.7)+(-2.7693+(-0.268464--1.021428))+0-158.9--0.324155999999993</f>
        <v>827.80781999999999</v>
      </c>
      <c r="AC363" s="3">
        <f>1369.8+(89.8-505.4)+(-2.794392+(-0.183192--1.031016))+0-153.4--0.312935999999993</f>
        <v>799.16636800000015</v>
      </c>
      <c r="AD363">
        <f t="shared" si="5"/>
        <v>19133.021072999996</v>
      </c>
      <c r="AE363" s="3">
        <f>1324+(210.2-484)+(0+(0-0))+0-156.1-0</f>
        <v>894.1</v>
      </c>
    </row>
    <row r="364" spans="1:31" s="2" customFormat="1" x14ac:dyDescent="0.25">
      <c r="A364">
        <v>89</v>
      </c>
      <c r="B364">
        <v>12</v>
      </c>
      <c r="C364">
        <v>28</v>
      </c>
      <c r="D364">
        <v>1</v>
      </c>
      <c r="E364">
        <v>6</v>
      </c>
      <c r="F364" s="3">
        <f>1344.9+(151.8-511)+(-2.743596+(-0.309672--1.04244))+0-161.5--0.329459999999993</f>
        <v>822.51863200000014</v>
      </c>
      <c r="G364" s="3">
        <f>1335.2+(146.5-554.3)+(-3.40476+(-0.373575--1.413465))+0-140.6--0.35852999999998</f>
        <v>784.79366000000005</v>
      </c>
      <c r="H364" s="3">
        <f>1341.6+(119.3-517.4)+(0.684216+(0.060843-0.263874))+0-150.9-0.0769589999999847</f>
        <v>793.00422600000002</v>
      </c>
      <c r="I364" s="3">
        <f>1342.4+(109.5-510.9)+(-3.42312+(-0.279225--1.302795))+0-156.4--0.398819999999977</f>
        <v>782.59927000000016</v>
      </c>
      <c r="J364" s="3">
        <f>1346.5+(109.3-520.5)+(1.37343+(0.111486-0.53091))+0-156.3-0.159426000000025</f>
        <v>779.79457999999988</v>
      </c>
      <c r="K364" s="3">
        <f>1347.5+(110.6-521.5)+(0+(0-0))+0-156.4-0</f>
        <v>780.2</v>
      </c>
      <c r="L364" s="3">
        <f>1354.5+(132.2-523.8)+(-2.072385+(-0.202266--0.801414))+0-156.6--0.239598000000009</f>
        <v>805.06636100000003</v>
      </c>
      <c r="M364" s="3">
        <f>1341.1+(180.7-508.4)+(-0.683961+(-0.092157--0.259284))+0-157--0.0800699999999841</f>
        <v>855.96323599999982</v>
      </c>
      <c r="N364" s="3">
        <f>1372.5+(212-542.5)+(-0.699975+(-0.10812--0.276675))+0-158.3--0.0807329999999839</f>
        <v>883.24931300000003</v>
      </c>
      <c r="O364" s="3">
        <f>1361.2+(217.6-541.1)+(-2.082636+(-0.332928--0.827883))+0-153.4--0.234702000000009</f>
        <v>882.94702100000006</v>
      </c>
      <c r="P364" s="3">
        <f>1348.2+(213.3-491.4)+(-0.687582+(-0.108783--0.250614))+0-151.9--0.0774689999999846</f>
        <v>917.731718</v>
      </c>
      <c r="Q364" s="3">
        <f>1341.9+(192.7-466.5)+(-2.737476+(-0.393108--0.95166))+0-147.9--0.301715999999994</f>
        <v>918.32279200000005</v>
      </c>
      <c r="R364" s="3">
        <f>1328.6+(232.5-469)+(-1.355172+(-0.23715--0.47838))+0-141.2--0.144024000000022</f>
        <v>949.93008199999997</v>
      </c>
      <c r="S364" s="3">
        <f>1319.7+(276.3-449.2)+(0+(0-0))+0-147-0</f>
        <v>999.80000000000018</v>
      </c>
      <c r="T364" s="3">
        <f>1301.8+(262.5-418.5)+(0.663918+(0.133875-0.213435))+0-159.7-0.0814469999999838</f>
        <v>986.60291099999995</v>
      </c>
      <c r="U364" s="3">
        <f>1311.4+(243.9-410.8)+(-0.668814+(-0.124389--0.209508))+0-158.3--0.0807329999999839</f>
        <v>985.69703800000002</v>
      </c>
      <c r="V364" s="3">
        <f>1315.6+(212.4-404.8)+(-3.35478+(-0.54162--1.03224))+0-161.5--0.411824999999977</f>
        <v>959.24766499999976</v>
      </c>
      <c r="W364" s="3">
        <f>1313.8+(176.3-436)+(-2.680152+(-0.359652--0.88944))+0-161.9--0.330275999999993</f>
        <v>890.37991199999988</v>
      </c>
      <c r="X364" s="3">
        <f>1317.1+(185.2-386.7)+(-0.671721+(-0.094452--0.197217))+0-160.8--0.0820079999999837</f>
        <v>954.31305199999986</v>
      </c>
      <c r="Y364" s="3">
        <f>1326.8+(196.7-409.3)+(-1.353336+(-0.200634--0.417486))+0-160.7--0.163914000000026</f>
        <v>952.52742999999964</v>
      </c>
      <c r="Z364" s="3">
        <f>1343.6+(185.8-424.8)+(-0.685236+(-0.094758--0.216648))+0-161.7--0.0824669999999836</f>
        <v>942.4191209999999</v>
      </c>
      <c r="AA364" s="3">
        <f>1350.6+(180.2-421.9)+(-2.066418+(-0.275706--0.645507))+0-165.2--0.25275600000001</f>
        <v>942.25613899999973</v>
      </c>
      <c r="AB364" s="3">
        <f>1354.1+(175.2-449.4)+(-2.071773+(-0.268056--0.687582))+0-164.1--0.251073000000009</f>
        <v>914.39882599999987</v>
      </c>
      <c r="AC364" s="3">
        <f>1363.8+(156.6-471.4)+(-2.086614+(-0.239598--0.721242))+0-167--0.25551000000001</f>
        <v>880.65053999999986</v>
      </c>
      <c r="AD364">
        <f t="shared" si="5"/>
        <v>21364.413525</v>
      </c>
      <c r="AE364" s="3">
        <f>1320+(193.8-412.5)+(0+(0-0))+0-161.8-0</f>
        <v>939.5</v>
      </c>
    </row>
    <row r="365" spans="1:31" s="2" customFormat="1" x14ac:dyDescent="0.25">
      <c r="A365">
        <v>89</v>
      </c>
      <c r="B365">
        <v>12</v>
      </c>
      <c r="C365">
        <v>29</v>
      </c>
      <c r="D365">
        <v>2</v>
      </c>
      <c r="E365">
        <v>2</v>
      </c>
      <c r="F365" s="3">
        <f>1392+(153.6-517.3)+(-2.12976+(-0.235008--0.791469))+0-166.8--0.25520400000001</f>
        <v>860.18190500000037</v>
      </c>
      <c r="G365" s="3">
        <f>1381.9+(139.1-530.7)+(-2.114307+(-0.212823--0.811971))+0-162.8--0.249084000000009</f>
        <v>826.233925</v>
      </c>
      <c r="H365" s="3">
        <f>1384.3+(137.2-546.6)+(-2.823972+(-0.279888--1.115064))+0-161.3--0.329051999999993</f>
        <v>811.94025599999986</v>
      </c>
      <c r="I365" s="3">
        <f>1352.4+(137.8-532.7)+(0.689724+(0.070278-0.271677))+0-153.7-0.0783869999999844</f>
        <v>804.20993799999997</v>
      </c>
      <c r="J365" s="3">
        <f>1353.5+(145.4-540.3)+(2.070855+(0.222462-0.826659))+0-153.6-0.235008000000009</f>
        <v>806.23165000000006</v>
      </c>
      <c r="K365" s="3">
        <f>1353.6+(146.3-542.8)+(-1.380672+(-0.149226--0.553656))+0-160.2--0.163404000000026</f>
        <v>796.08716199999992</v>
      </c>
      <c r="L365" s="3">
        <f>1354.9+(151.2-543.6)+(-2.072997+(-0.231336--0.831708))+0-159.5--0.244035000000009</f>
        <v>801.77141000000006</v>
      </c>
      <c r="M365" s="3">
        <f>1374.1+(160.1-520.9)+(2.803164+(0.326604-1.062636))+0-162.4-0.331295999999993</f>
        <v>852.63583600000004</v>
      </c>
      <c r="N365" s="3">
        <f>1360.7+(192.3-502.5)+(0+(0-0))+0-158.7-0</f>
        <v>891.8</v>
      </c>
      <c r="O365" s="3">
        <f>1352.3+(208.8-487.9)+(-1.379346+(-0.212976--0.497658))+0-156--0.159120000000025</f>
        <v>916.26445600000011</v>
      </c>
      <c r="P365" s="3">
        <f>1344.3+(211.4-488.4)+(-2.742372+(-0.431256--0.996336))+0-154.2--0.314567999999993</f>
        <v>911.23727599999984</v>
      </c>
      <c r="Q365" s="3">
        <f>1335.5+(211.8-478.8)+(-2.043315+(-0.324054--0.732564))+0-154--0.235620000000009</f>
        <v>913.10081500000013</v>
      </c>
      <c r="R365" s="3">
        <f>1319.1+(209.5-462.7)+(-2.018223+(-0.320535--0.707931))+0-147.6--0.225828000000009</f>
        <v>916.89500099999987</v>
      </c>
      <c r="S365" s="3">
        <f>1314.8+(211.3-455.7)+(-3.35274+(-0.538815--1.162035))+0-150--0.382499999999978</f>
        <v>918.05297999999993</v>
      </c>
      <c r="T365" s="3">
        <f>1307.5+(216.6-458.1)+(-2.6673+(-0.441864--0.934524))+0-154--0.314159999999993</f>
        <v>910.13952000000006</v>
      </c>
      <c r="U365" s="3">
        <f>1306.5+(214.3-459.8)+(-1.998945+(-0.327879--0.703494))+0-155.1--0.237303000000009</f>
        <v>904.51397300000008</v>
      </c>
      <c r="V365" s="3">
        <f>1312.6+(209.9-455.3)+(0.669426+(0.107049-0.232203))+0-158.1-0.080630999999984</f>
        <v>909.56364099999985</v>
      </c>
      <c r="W365" s="3">
        <f>1323.2+(214-459.4)+(0+(0-0))+0-157.1-0</f>
        <v>920.70000000000016</v>
      </c>
      <c r="X365" s="3">
        <f>1337.3+(244.2-451.8)+(0.682023+(0.124542-0.230418))+0-158.5-0.0808349999999839</f>
        <v>971.69531199999983</v>
      </c>
      <c r="Y365" s="3">
        <f>1350.9+(223.4-455.9)+(-3.444795+(-0.56967--1.162545))+0-156.4--0.398819999999977</f>
        <v>959.54690000000005</v>
      </c>
      <c r="Z365" s="3">
        <f>1347.3+(215.1-467.3)+(-2.061369+(-0.329103--0.714969))+0-155.2--0.237456000000009</f>
        <v>938.46195299999999</v>
      </c>
      <c r="AA365" s="3">
        <f>1347.6+(207.3-464.5)+(-1.374552+(-0.211446--0.47379))+0-154--0.157080000000025</f>
        <v>935.44487199999992</v>
      </c>
      <c r="AB365" s="3">
        <f>1341.6+(191-470.1)+(-0.684216+(-0.09741--0.239751))+0-152.6--0.0778259999999845</f>
        <v>909.43595100000005</v>
      </c>
      <c r="AC365" s="3">
        <f>1313.1+(179.3-468.7)+(-2.678724+(-0.365772--0.956148))+0-152.2--0.310487999999993</f>
        <v>869.72213999999997</v>
      </c>
      <c r="AD365">
        <f t="shared" si="5"/>
        <v>21255.86687200001</v>
      </c>
      <c r="AE365" s="3">
        <f>1350+(225.4-446)+(0+(0-0))+0-147-0</f>
        <v>982.40000000000009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89</v>
      </c>
      <c r="B1">
        <v>1</v>
      </c>
      <c r="C1">
        <v>1</v>
      </c>
      <c r="D1">
        <v>2</v>
      </c>
      <c r="E1">
        <v>2</v>
      </c>
      <c r="F1" s="3">
        <f>1040+(228.5-287.6)+(0+(0-0))+0-234.2-0</f>
        <v>746.7</v>
      </c>
      <c r="G1" s="3">
        <f>997.7+(217.4-260)+(0+(0-0))+0-235.8-0</f>
        <v>719.3</v>
      </c>
      <c r="H1" s="3">
        <f>998.8+(186.3-247.7)+(0+(0-0))+0-237.3-0</f>
        <v>700.09999999999991</v>
      </c>
      <c r="I1" s="3">
        <f>999.8+(162.2-250.1)+(-0.509898+(-0.082722--0.127551))+0-235.2--0.119951999999976</f>
        <v>676.35488299999997</v>
      </c>
      <c r="J1" s="3">
        <f>999.3+(155.3-270)+(-2.548215+(-0.396015--0.6885))+0-234.6--0.598229999999966</f>
        <v>648.34249999999986</v>
      </c>
      <c r="K1" s="3">
        <f>998.3+(137.1-291)+(-0.509133+(-0.069921--0.14841))+0-233.8--0.119237999999976</f>
        <v>610.28859399999988</v>
      </c>
      <c r="L1" s="3">
        <f>963.8+(119.1-283.3)+(-2.45769+(-0.303705--0.722415))+0-233.9--0.596444999999966</f>
        <v>564.25746499999991</v>
      </c>
      <c r="M1" s="3">
        <f>910.4+(126.7-243.2)+(1.392912+(0.193851-0.372096))+0-232.6-0.355878000000013</f>
        <v>562.15878899999996</v>
      </c>
      <c r="N1" s="3">
        <f>909.6+(130.9-237.4)+(0+(0-0))+0-232.7-0</f>
        <v>570.40000000000009</v>
      </c>
      <c r="O1" s="3">
        <f>981.7+(108.6-265.9)+(-2.002668+(-0.221544--0.542436))+0-234.3--0.47797199999999</f>
        <v>588.89619600000003</v>
      </c>
      <c r="P1" s="3">
        <f>974.5+(130.2-261.3)+(-2.484975+(-0.33201--0.666315))+0-234.7--0.598484999999966</f>
        <v>607.14781500000004</v>
      </c>
      <c r="Q1" s="3">
        <f>968.3+(164.9-266.3)+(-0.987666+(-0.168198--0.271626))+0-234.6--0.239292000000037</f>
        <v>631.65505400000006</v>
      </c>
      <c r="R1" s="3">
        <f>964.2+(223.4-270.9)+(-0.983484+(-0.227868--0.276318))+0-233.7--0.238374000000037</f>
        <v>682.30334000000016</v>
      </c>
      <c r="S1" s="3">
        <f>964.3+(260.1-267.5)+(0+(0-0))+0-233.3-0</f>
        <v>723.59999999999991</v>
      </c>
      <c r="T1" s="3">
        <f>964.5+(273.4-259.4)+(-1.475685+(-0.418302--0.396882))+0-233.3--0.356949000000014</f>
        <v>744.05984399999988</v>
      </c>
      <c r="U1" s="3">
        <f>966.6+(249.5-254.7)+(-1.478898+(-0.381735--0.389691))+0-233.8--0.357714000000014</f>
        <v>726.48677199999997</v>
      </c>
      <c r="V1" s="3">
        <f>968.2+(194.4-257.7)+(-1.481346+(-0.297432--0.394281))+0-233.5--0.357255000000013</f>
        <v>670.37275800000009</v>
      </c>
      <c r="W1" s="3">
        <f>973.4+(151.1-266.4)+(-0.992868+(-0.154122--0.271728))+0-233.3--0.237966000000037</f>
        <v>624.16270399999996</v>
      </c>
      <c r="X1" s="3">
        <f>979.2+(210.5-288.8)+(-0.499392+(-0.107355--0.147288))+0-233.9--0.119288999999976</f>
        <v>666.65983000000006</v>
      </c>
      <c r="Y1" s="3">
        <f>983.7+(258-301)+(0+(0-0))+0-233.5-0</f>
        <v>707.2</v>
      </c>
      <c r="Z1" s="3">
        <f>987.5+(249.7-281.7)+(-0.503625+(-0.127347--0.143667))+0-234.8--0.119747999999976</f>
        <v>720.3324429999999</v>
      </c>
      <c r="AA1" s="3">
        <f>989.3+(243.2-261.9)+(-2.522715+(-0.62016--0.667845))+0-233.7--0.595934999999966</f>
        <v>735.02090499999997</v>
      </c>
      <c r="AB1" s="3">
        <f>991.7+(266.5-242.1)+(-1.011534+(-0.27183--0.246942))+0-234.2--0.238884000000037</f>
        <v>781.10246199999995</v>
      </c>
      <c r="AC1" s="3">
        <f>992+(273.2-236.4)+(-3.54144+(-0.975324--0.843948))+0-232.8--0.831096000000003</f>
        <v>793.15827999999999</v>
      </c>
      <c r="AD1">
        <f t="shared" ref="AD1:AD64" si="0">SUM(F1:AC1)</f>
        <v>16200.060633999999</v>
      </c>
      <c r="AE1" s="3">
        <f>988+(253-302)+(0+(0-0))+0-234-0</f>
        <v>705</v>
      </c>
    </row>
    <row r="2" spans="1:31" s="2" customFormat="1" x14ac:dyDescent="0.25">
      <c r="A2">
        <v>89</v>
      </c>
      <c r="B2">
        <v>1</v>
      </c>
      <c r="C2">
        <v>2</v>
      </c>
      <c r="D2">
        <v>3</v>
      </c>
      <c r="E2">
        <v>2</v>
      </c>
      <c r="F2" s="3">
        <f>(G2+AC1)/2</f>
        <v>787.57953999999995</v>
      </c>
      <c r="G2" s="3">
        <f>996+(242-221)+(-2.5398+(-0.6171--0.56355))+0-233--0.594149999999966</f>
        <v>782.00080000000003</v>
      </c>
      <c r="H2" s="3">
        <f>993.2+(224-214)+(-3.039192+(-0.68544--0.65484))+0-234--0.716040000000027</f>
        <v>766.84624800000006</v>
      </c>
      <c r="I2" s="3">
        <f>947.8+(190.1-218.5)+(-0.966756+(-0.193902--0.22287))+0-177.4--0.180948000000028</f>
        <v>741.2431600000001</v>
      </c>
      <c r="J2" s="3">
        <f>911.2+(255.1-220.1)+(0+(0-0))+0-233.5-0</f>
        <v>712.7</v>
      </c>
      <c r="K2" s="3">
        <f>912.2+(228.2-223.5)+(0.930444+(0.232764-0.22797))+0-233.9-0.238578000000037</f>
        <v>683.69666000000007</v>
      </c>
      <c r="L2" s="3">
        <f>910.5+(199.9-229.2)+(0.464355+(0.101949-0.116892))+0-234.1-0.119390999999976</f>
        <v>647.43002100000012</v>
      </c>
      <c r="M2" s="3">
        <f>878.1+(180.8-234.2)+(-2.239155+(-0.46104--0.59721))+0-233.4--0.595169999999966</f>
        <v>589.79218500000002</v>
      </c>
      <c r="N2" s="3">
        <f>823.9+(229.5-232.2)+(-0.840378+(-0.23409--0.236844))+0-233.9--0.238578000000037</f>
        <v>586.70095400000014</v>
      </c>
      <c r="O2" s="3">
        <f>823.7+(240.3-231.3)+(-0.840174+(-0.245106--0.235926))+0-234.8--0.239496000000037</f>
        <v>597.29014200000017</v>
      </c>
      <c r="P2" s="3">
        <f>838.2+(240.5-216.9)+(-0.854964+(-0.24531--0.221238))+0-235.5--0.240210000000038</f>
        <v>625.66117400000007</v>
      </c>
      <c r="Q2" s="3">
        <f>900+(223.8-254.1)+(-1.377+(-0.342414--0.388773))+0-235.7--0.360621000000014</f>
        <v>633.02998000000002</v>
      </c>
      <c r="R2" s="3">
        <f>900.2+(265.2-264.6)+(0+(0-0))+0-234.5-0</f>
        <v>666.3</v>
      </c>
      <c r="S2" s="3">
        <f>894.9+(316.4-262)+(-2.281995+(-0.80682--0.6681))+0-234.1--0.596954999999966</f>
        <v>713.37623999999994</v>
      </c>
      <c r="T2" s="3">
        <f>893+(369.3-262.3)+(-0.45543+(-0.188343--0.133773))+0-235.1--0.119900999999976</f>
        <v>764.50990100000001</v>
      </c>
      <c r="U2" s="3">
        <f>892.3+(378.6-266)+(-0.455073+(-0.193086--0.13566))+0-235.1--0.119900999999976</f>
        <v>769.40740199999993</v>
      </c>
      <c r="V2" s="3">
        <f>890.7+(341.6-264)+(-1.362771+(-0.522648--0.40392))+0-234.9--0.359397000000014</f>
        <v>732.27789800000016</v>
      </c>
      <c r="W2" s="3">
        <f>893.8+(268.1-250.5)+(-0.911676+(-0.273462--0.25551))+0-234--0.238680000000037</f>
        <v>676.70905200000004</v>
      </c>
      <c r="X2" s="3">
        <f>900.3+(222.3-250.4)+(0+(0-0))+0-234.5-0</f>
        <v>637.69999999999993</v>
      </c>
      <c r="Y2" s="3">
        <f>911.7+(297.6-286.7)+(-0.464967+(-0.151776--0.146217))+0-234.9--0.119798999999976</f>
        <v>687.34927300000015</v>
      </c>
      <c r="Z2" s="3">
        <f>981.5+(311.8-334.8)+(-2.00226+(-0.636072--0.682992))+0-234.7--0.47878799999999</f>
        <v>722.32344799999998</v>
      </c>
      <c r="AA2" s="3">
        <f>985.2+(261.9-292.1)+(-1.004904+(-0.267138--0.297942))+0-234.9--0.239598000000037</f>
        <v>719.365498</v>
      </c>
      <c r="AB2" s="3">
        <f>988.3+(291.1-290.8)+(-1.512099+(-0.445383--0.444924))+0-233.8--0.357714000000014</f>
        <v>753.64515599999982</v>
      </c>
      <c r="AC2" s="3">
        <f>991.4+(317.8-281.8)+(-1.516842+(-0.486234--0.431154))+0-234.3--0.358479000000014</f>
        <v>791.88655700000004</v>
      </c>
      <c r="AD2">
        <f t="shared" si="0"/>
        <v>16788.821289</v>
      </c>
      <c r="AE2" s="3">
        <f>985+(310-337)+(0+(0-0))+0-234-0</f>
        <v>724</v>
      </c>
    </row>
    <row r="3" spans="1:31" s="2" customFormat="1" x14ac:dyDescent="0.25">
      <c r="A3">
        <v>89</v>
      </c>
      <c r="B3">
        <v>1</v>
      </c>
      <c r="C3">
        <v>3</v>
      </c>
      <c r="D3">
        <v>4</v>
      </c>
      <c r="E3">
        <v>2</v>
      </c>
      <c r="F3" s="3">
        <f>991.3+(289.9-257.4)+(-2.022252+(-0.591396--0.525096))+0-233.6--0.47654399999999</f>
        <v>788.58799199999987</v>
      </c>
      <c r="G3" s="3">
        <f>991.5+(269.4-246.7)+(-1.516995+(-0.412182--0.377451))+0-234.4--0.358632000000014</f>
        <v>778.60690600000009</v>
      </c>
      <c r="H3" s="3">
        <f>993.1+(263.7-255.3)+(-3.038886+(-0.806922--0.781218))+0-234.9--0.718794000000027</f>
        <v>764.25420400000007</v>
      </c>
      <c r="I3" s="3">
        <f>993.6+(229.1-247.8)+(-1.013472+(-0.233682--0.252756))+0-235--0.239700000000037</f>
        <v>739.14530200000002</v>
      </c>
      <c r="J3" s="3">
        <f>993.8+(198.2-248.4)+(-1.520514+(-0.303246--0.380052))+0-234.4--0.358632000000014</f>
        <v>708.11492399999997</v>
      </c>
      <c r="K3" s="3">
        <f>993.2+(175.9-253.9)+(-0.506532+(-0.089709--0.129489))+0-234.1--0.119390999999976</f>
        <v>680.75263899999993</v>
      </c>
      <c r="L3" s="3">
        <f>995.3+(156.8-268.3)+(-2.030412+(-0.319872--0.547332))+0-233.9--0.47715599999999</f>
        <v>648.57420400000001</v>
      </c>
      <c r="M3" s="3">
        <f>996.5+(138.6-303.5)+(-1.524645+(-0.212058--0.464355))+0-232.9--0.356337000000013</f>
        <v>597.78398900000013</v>
      </c>
      <c r="N3" s="3">
        <f>993.2+(176-339.2)+(0.506532+(0.08976-0.172992))+0-233.8-0.119237999999976</f>
        <v>596.50406199999998</v>
      </c>
      <c r="O3" s="3">
        <f>991+(202.2-342.6)+(0+(0-0))+0-235.6-0</f>
        <v>614.99999999999989</v>
      </c>
      <c r="P3" s="3">
        <f>986.3+(223.5-342.7)+(0.503013+(0.113985-0.174777))+0-235.8-0.120257999999976</f>
        <v>631.62196300000005</v>
      </c>
      <c r="Q3" s="3">
        <f>979.2+(239-337.9)+(-0.499392+(-0.12189--0.172329))+0-235.8--0.120257999999976</f>
        <v>644.17130500000007</v>
      </c>
      <c r="R3" s="3">
        <f>967.7+(292.3-332.4)+(-0.987054+(-0.298146--0.339048))+0-236.5--0.241230000000038</f>
        <v>690.39507800000024</v>
      </c>
      <c r="S3" s="3">
        <f>966.9+(411.1-416)+(-0.493119+(-0.209661--0.21216))+0-234.6--0.119645999999976</f>
        <v>727.02902599999993</v>
      </c>
      <c r="T3" s="3">
        <f>965.4+(341.3-313.5)+(0+(0-0))+0-234.7-0</f>
        <v>758.5</v>
      </c>
      <c r="U3" s="3">
        <f>962.4+(303.3-266.3)+(-1.472472+(-0.464049--0.407439))+0-235--0.359550000000014</f>
        <v>763.23046799999997</v>
      </c>
      <c r="V3" s="3">
        <f>960.9+(259.9-236.6)+(-0.980118+(-0.265098--0.241332))+0-236--0.240720000000038</f>
        <v>747.43683599999997</v>
      </c>
      <c r="W3" s="3">
        <f>965.6+(229.1-259.4)+(-0.984912+(-0.233682--0.264588))+0-235--0.239700000000037</f>
        <v>699.5856940000001</v>
      </c>
      <c r="X3" s="3">
        <f>970.6+(213.5-288)+(0+(0-0))+0-235.9-0</f>
        <v>660.2</v>
      </c>
      <c r="Y3" s="3">
        <f>969.3+(256.5-295.8)+(0+(0-0))+0-236.5-0</f>
        <v>693.5</v>
      </c>
      <c r="Z3" s="3">
        <f>978.6+(322.2-335.2)+(-1.996344+(-0.657288--0.683808))+0-236.3--0.48205199999999</f>
        <v>727.81222799999989</v>
      </c>
      <c r="AA3" s="3">
        <f>989.4+(325.1-319.3)+(0+(0-0))+0-235.5-0</f>
        <v>759.7</v>
      </c>
      <c r="AB3" s="3">
        <f>987.5+(311.3-291.9)+(-0.503625+(-0.158763--0.148869))+0-236.1--0.120410999999976</f>
        <v>770.40689200000008</v>
      </c>
      <c r="AC3" s="3">
        <f>988+(322.9-273.1)+(-1.00776+(-0.329358--0.278562))+0-235.3--0.240006000000038</f>
        <v>801.68145000000004</v>
      </c>
      <c r="AD3">
        <f t="shared" si="0"/>
        <v>16992.595162000005</v>
      </c>
      <c r="AE3" s="3">
        <f>979+(318-338)+(0+(0-0))+0-236-0</f>
        <v>723</v>
      </c>
    </row>
    <row r="4" spans="1:31" s="2" customFormat="1" x14ac:dyDescent="0.25">
      <c r="A4">
        <v>89</v>
      </c>
      <c r="B4">
        <v>1</v>
      </c>
      <c r="C4">
        <v>4</v>
      </c>
      <c r="D4">
        <v>5</v>
      </c>
      <c r="E4">
        <v>2</v>
      </c>
      <c r="F4" s="3">
        <f>989.3+(311.3-261.4)+(-1.009086+(-0.317526--0.266628))+0-235.8--0.240516000000038</f>
        <v>802.58053200000018</v>
      </c>
      <c r="G4" s="3">
        <f>992+(285.5-246.5)+(-2.02368+(-0.58242--0.50286))+0-234.8--0.47899199999999</f>
        <v>794.57575200000008</v>
      </c>
      <c r="H4" s="3">
        <f>993.8+(244.3-223.6)+(-1.520514+(-0.373779--0.342108))+0-235.3--0.360009000000014</f>
        <v>778.00782400000003</v>
      </c>
      <c r="I4" s="3">
        <f>994.7+(214.6-221.4)+(1.014594+(0.218892-0.225828))+0-235.9-0.240618000000038</f>
        <v>752.76704000000007</v>
      </c>
      <c r="J4" s="3">
        <f>995.8+(208.2-253.9)+(-0.507858+(-0.106182--0.129489))+0-235--0.119849999999976</f>
        <v>714.73529899999983</v>
      </c>
      <c r="K4" s="3">
        <f>996.8+(188.6-263.7)+(0.508368+(0.096186-0.134487))+0-234.1-0.119390999999976</f>
        <v>687.95067599999993</v>
      </c>
      <c r="L4" s="3">
        <f>997.1+(165.7-277.4)+(-0.508521+(-0.084507--0.141474))+0-234.9--0.119798999999976</f>
        <v>650.16824500000007</v>
      </c>
      <c r="M4" s="3">
        <f>996.7+(148.6-310.5)+(-1.016634+(-0.151572--0.31671))+0-233.9--0.238578000000037</f>
        <v>600.28708200000017</v>
      </c>
      <c r="N4" s="3">
        <f>988.7+(160.8-309.9)+(0+(0-0))+0-234-0</f>
        <v>605.60000000000014</v>
      </c>
      <c r="O4" s="3">
        <f>980.4+(185.4-301.5)+(0.500004+(0.094554-0.153765))+0-234.5-0.119594999999976</f>
        <v>630.12119799999994</v>
      </c>
      <c r="P4" s="3">
        <f>972.1+(222.7-309.2)+(-1.983084+(-0.454308--0.630768))+0-234.8--0.47899199999999</f>
        <v>649.47236799999985</v>
      </c>
      <c r="Q4" s="3">
        <f>965.4+(222.2-288.4)+(-0.984708+(-0.226644--0.294168))+0-234.4--0.239088000000037</f>
        <v>664.12190400000009</v>
      </c>
      <c r="R4" s="3">
        <f>958.1+(232-278.1)+(0+(0-0))+0-234.6-0</f>
        <v>677.4</v>
      </c>
      <c r="S4" s="3">
        <f>955.6+(289.5-277.5)+(0.487356+(0.147645-0.141525))+0-235.7-0.120206999999976</f>
        <v>732.27326900000003</v>
      </c>
      <c r="T4" s="3">
        <f>950.3+(332.7-273.2)+(-0.969306+(-0.339354--0.278664))+0-234.7--0.239394000000037</f>
        <v>774.30939799999999</v>
      </c>
      <c r="U4" s="3">
        <f>950.3+(340.1-267.9)+(-1.453959+(-0.520353--0.409887))+0-234--0.358020000000014</f>
        <v>787.29359499999998</v>
      </c>
      <c r="V4" s="3">
        <f>951.2+(314.2-269)+(0+(0-0))+0-234.2-0</f>
        <v>762.2</v>
      </c>
      <c r="W4" s="3">
        <f>953+(262.3-276.2)+(-0.48603+(-0.133773--0.140862))+0-235.1--0.119900999999976</f>
        <v>703.64096000000006</v>
      </c>
      <c r="X4" s="3">
        <f>957.3+(240.4-299.8)+(-0.488223+(-0.122604--0.152898))+0-236.1--0.120410999999976</f>
        <v>661.46248199999991</v>
      </c>
      <c r="Y4" s="3">
        <f>966.3+(293-314.9)+(-0.492813+(-0.14943--0.160599))+0-236.7--0.120716999999976</f>
        <v>707.3390730000001</v>
      </c>
      <c r="Z4" s="3">
        <f>972.5+(326.1-309.2)+(-1.9839+(-0.665244--0.630768))+0-234.6--0.47858399999999</f>
        <v>753.26020800000003</v>
      </c>
      <c r="AA4" s="3">
        <f>979.6+(334.4-299)+(-0.999192+(-0.341088--0.30498))+0-234.9--0.239598000000037</f>
        <v>779.30429800000002</v>
      </c>
      <c r="AB4" s="3">
        <f>983.5+(342.8-284.2)+(0+(0-0))+0-234.3-0</f>
        <v>807.8</v>
      </c>
      <c r="AC4" s="3">
        <f>982.6+(354.2-269.8)+(-1.002252+(-0.361284--0.275196))+0-234--0.238680000000037</f>
        <v>832.15034000000003</v>
      </c>
      <c r="AD4">
        <f t="shared" si="0"/>
        <v>17308.821542999995</v>
      </c>
      <c r="AE4" s="3">
        <f>977+(321-309)+(0+(0-0))+0-234-0</f>
        <v>755</v>
      </c>
    </row>
    <row r="5" spans="1:31" s="2" customFormat="1" x14ac:dyDescent="0.25">
      <c r="A5">
        <v>89</v>
      </c>
      <c r="B5">
        <v>1</v>
      </c>
      <c r="C5">
        <v>5</v>
      </c>
      <c r="D5">
        <v>6</v>
      </c>
      <c r="E5">
        <v>6</v>
      </c>
      <c r="F5" s="3">
        <f>989.3+(338.1-239)+(-2.522715+(-0.862155--0.60945))+0-233.7--0.595934999999966</f>
        <v>852.52051500000005</v>
      </c>
      <c r="G5" s="3">
        <f>989.1+(313.7-220)+(-1.513323+(-0.479961--0.3366))+0-234.1--0.358173000000014</f>
        <v>847.40148899999986</v>
      </c>
      <c r="H5" s="3">
        <f>990.9+(264.1-200.8)+(-1.010718+(-0.269382--0.204816))+0-236--0.240720000000038</f>
        <v>817.36543600000005</v>
      </c>
      <c r="I5" s="3">
        <f>992.3+(227.2-193.7)+(-0.506073+(-0.115872--0.098787))+0-235.2--0.119951999999976</f>
        <v>790.19679399999995</v>
      </c>
      <c r="J5" s="3">
        <f>991.5+(198.4-198.3)+(-0.505665+(-0.101184--0.101133))+0-234.1--0.119390999999976</f>
        <v>757.11367499999994</v>
      </c>
      <c r="K5" s="3">
        <f>989.5+(171.7-209.4)+(-0.504645+(-0.087567--0.106794))+0-233.9--0.119288999999976</f>
        <v>717.53387099999998</v>
      </c>
      <c r="L5" s="3">
        <f>994.3+(141.9-224.5)+(-2.028372+(-0.289476--0.45798))+0-233.8--0.47695199999999</f>
        <v>676.51708399999984</v>
      </c>
      <c r="M5" s="3">
        <f>992.5+(125.9-259)+(0.506175+(0.064209-0.13209))+0-232.9-0.118778999999976</f>
        <v>626.81951500000002</v>
      </c>
      <c r="N5" s="3">
        <f>986.7+(147.7-281.9)+(0.503217+(0.075327-0.143769))+0-233.4-0.119033999999976</f>
        <v>619.41574100000003</v>
      </c>
      <c r="O5" s="3">
        <f>979.6+(177.1-294.6)+(0.499596+(0.090321-0.150246))+0-235.2-0.119951999999976</f>
        <v>627.21971899999994</v>
      </c>
      <c r="P5" s="3">
        <f>974.6+(216.6-300.3)+(0+(0-0))+0-234.7-0</f>
        <v>656.2</v>
      </c>
      <c r="Q5" s="3">
        <f>970.7+(240.2-302.6)+(0.990114+(0.245004-0.308652))+0-234.3-0.238986000000037</f>
        <v>674.68747999999982</v>
      </c>
      <c r="R5" s="3">
        <f>974.4+(291-311)+(-0.496944+(-0.14841--0.15861))+0-233.7--0.119186999999976</f>
        <v>720.33244300000001</v>
      </c>
      <c r="S5" s="3">
        <f>962.4+(341.8-303.9)+(-0.981648+(-0.348636--0.309978))+0-232.4--0.237048000000037</f>
        <v>767.11674200000004</v>
      </c>
      <c r="T5" s="3">
        <f>957.6+(389.2-291.5)+(0.488376+(0.198492-0.148665))+0-232.4-0.118523999999976</f>
        <v>823.31967900000006</v>
      </c>
      <c r="U5" s="3">
        <f>955.7+(363.7-264.5)+(-0.974814+(-0.370974--0.26979))+0-232.9--0.237558000000037</f>
        <v>821.16156000000012</v>
      </c>
      <c r="V5" s="3">
        <f>957+(313.3-259.6)+(0+(0-0))+0-233-0</f>
        <v>777.7</v>
      </c>
      <c r="W5" s="3">
        <f>961.7+(249.1-262.2)+(-1.471401+(-0.381123--0.401166))+0-233.8--0.357714000000014</f>
        <v>713.70635599999991</v>
      </c>
      <c r="X5" s="3">
        <f>967.1+(224.3-292.5)+(-1.972884+(-0.457572--0.5967))+0-233.8--0.47695199999999</f>
        <v>663.74319600000013</v>
      </c>
      <c r="Y5" s="3">
        <f>977.8+(286.6-325.1)+(-0.997356+(-0.292332--0.331602))+0-234.2--0.238884000000037</f>
        <v>704.38079800000003</v>
      </c>
      <c r="Z5" s="3">
        <f>978.7+(333.8-333.7)+(-1.497411+(-0.510714--0.510561))+0-234.5--0.358785000000014</f>
        <v>743.16122100000007</v>
      </c>
      <c r="AA5" s="3">
        <f>982.7+(345.7-320.5)+(0+(0-0))+0-234.3-0</f>
        <v>773.60000000000014</v>
      </c>
      <c r="AB5" s="3">
        <f>979.2+(355.5-295.4)+(-0.499392+(-0.181305--0.150654))+0-233.5--0.119084999999976</f>
        <v>805.38904200000013</v>
      </c>
      <c r="AC5" s="3">
        <f>983.7+(361.7-267.6)+(-1.003374+(-0.368934--0.272952))+0-232.8--0.237456000000037</f>
        <v>844.13810000000012</v>
      </c>
      <c r="AD5">
        <f t="shared" si="0"/>
        <v>17820.740456</v>
      </c>
      <c r="AE5" s="3">
        <f>979+(333-337)+(0+(0-0))+0-234-0</f>
        <v>741</v>
      </c>
    </row>
    <row r="6" spans="1:31" s="2" customFormat="1" x14ac:dyDescent="0.25">
      <c r="A6">
        <v>89</v>
      </c>
      <c r="B6">
        <v>1</v>
      </c>
      <c r="C6">
        <v>6</v>
      </c>
      <c r="D6">
        <v>7</v>
      </c>
      <c r="E6">
        <v>1</v>
      </c>
      <c r="F6" s="3">
        <f>986.6+(344-242.9)+(-0.503166+(-0.17544--0.123879))+0-233.7--0.119186999999976</f>
        <v>853.56446000000005</v>
      </c>
      <c r="G6" s="3">
        <f>988.1+(314.1-221)+(-1.007862+(-0.320382--0.22542))+0-233.9--0.238578000000037</f>
        <v>846.43575400000009</v>
      </c>
      <c r="H6" s="3">
        <f>993.5+(277.2-209.3)+(-1.520055+(-0.424116--0.320229))+0-233.8--0.357714000000014</f>
        <v>826.33377200000018</v>
      </c>
      <c r="I6" s="3">
        <f>996.1+(208.3-219.1)+(0+(0-0))+0-234-0</f>
        <v>751.30000000000007</v>
      </c>
      <c r="J6" s="3">
        <f>998.1+(193-203.1)+(-1.527093+(-0.29529--0.310743))+0-233.7--0.357561000000014</f>
        <v>753.14592100000004</v>
      </c>
      <c r="K6" s="3">
        <f>995.4+(186.2-223.4)+(0+(0-0))+0-234.2-0</f>
        <v>724</v>
      </c>
      <c r="L6" s="3">
        <f>992.1+(185.1-263.6)+(1.517913+(0.283203-0.403308))+0-233.6-0.357408000000013</f>
        <v>681.04040000000009</v>
      </c>
      <c r="M6" s="3">
        <f>987.3+(182.4-322.1)+(-3.021138+(-0.558144--0.985626))+0-232.9--0.712674000000027</f>
        <v>612.81901799999991</v>
      </c>
      <c r="N6" s="3">
        <f>985.6+(210.3-339.8)+(1.005312+(0.214506-0.346596))+0-233.2-0.237864000000037</f>
        <v>623.53535799999997</v>
      </c>
      <c r="O6" s="3">
        <f>985.1+(247.8-354.2)+(0+(0-0))+0-235.1-0</f>
        <v>643.6</v>
      </c>
      <c r="P6" s="3">
        <f>979.4+(255.2-329.6)+(0+(0-0))+0-234.2-0</f>
        <v>670.8</v>
      </c>
      <c r="Q6" s="3">
        <f>969.1+(272.6-320.2)+(0.988482+(0.278052-0.326604))+0-234.2-0.238884000000037</f>
        <v>688.00104599999997</v>
      </c>
      <c r="R6" s="3">
        <f>961.5+(303.6-322.5)+(0+(0-0))+0-233.6-0</f>
        <v>709</v>
      </c>
      <c r="S6" s="3">
        <f>954.6+(354.8-317.5)+(-1.460538+(-0.542844--0.485775))+0-233.1--0.356643000000013</f>
        <v>757.63903600000003</v>
      </c>
      <c r="T6" s="3">
        <f>950.2+(377.4-291)+(-1.453806+(-0.577422--0.44523))+0-232.6--0.355878000000013</f>
        <v>802.76987999999983</v>
      </c>
      <c r="U6" s="3">
        <f>950.2+(363.5-271.4)+(-1.453806+(-0.556155--0.415242))+0-232--0.354960000000013</f>
        <v>809.06024100000025</v>
      </c>
      <c r="V6" s="3">
        <f>950.6+(321-269.7)+(-1.454418+(-0.49113--0.412641))+0-232.5--0.355725000000013</f>
        <v>768.22281800000007</v>
      </c>
      <c r="W6" s="3">
        <f>953.4+(255.1-273.6)+(0+(0-0))+0-233.8-0</f>
        <v>701.09999999999991</v>
      </c>
      <c r="X6" s="3">
        <f>957.6+(265.2-337.9)+(-1.465128+(-0.405756--0.516987))+0-233.8--0.357714000000014</f>
        <v>650.10381700000016</v>
      </c>
      <c r="Y6" s="3">
        <f>975.1+(355.6-389.5)+(-1.491903+(-0.544068--0.595935))+0-234--0.358020000000014</f>
        <v>706.11798400000009</v>
      </c>
      <c r="Z6" s="3">
        <f>969.7+(445-424.7)+(-1.978188+(-0.9078--0.866388))+0-234.1--0.47756399999999</f>
        <v>754.35796400000004</v>
      </c>
      <c r="AA6" s="3">
        <f>973.3+(465.4-416.2)+(-0.992766+(-0.474708--0.424524))+0-233.4--0.238068000000037</f>
        <v>788.295118</v>
      </c>
      <c r="AB6" s="3">
        <f>975.4+(457.9-364.8)+(-0.497454+(-0.233529--0.186048))+0-233.4--0.119033999999976</f>
        <v>834.67409900000007</v>
      </c>
      <c r="AC6" s="3">
        <f>980.4+(438.4-321.2)+(0+(0-0))+0-232.7-0</f>
        <v>864.89999999999986</v>
      </c>
      <c r="AD6">
        <f t="shared" si="0"/>
        <v>17820.816686000006</v>
      </c>
      <c r="AE6" s="3">
        <f>963+(410-393)+(0+(0-0))+0-233-0</f>
        <v>747</v>
      </c>
    </row>
    <row r="7" spans="1:31" s="2" customFormat="1" x14ac:dyDescent="0.25">
      <c r="A7">
        <v>89</v>
      </c>
      <c r="B7">
        <v>1</v>
      </c>
      <c r="C7">
        <v>7</v>
      </c>
      <c r="D7">
        <v>1</v>
      </c>
      <c r="E7">
        <v>1</v>
      </c>
      <c r="F7" s="3">
        <f>985.5+(376.8-265.1)+(-0.502605+(-0.192168--0.135201))+0-233--0.118829999999976</f>
        <v>863.75925800000016</v>
      </c>
      <c r="G7" s="3">
        <f>988.8+(316.5-220.1)+(-1.512864+(-0.484245--0.336753))+0-234.3--0.358479000000014</f>
        <v>849.59812299999999</v>
      </c>
      <c r="H7" s="3">
        <f>988.3+(275.3-205.9)+(0+(0-0))+0-235-0</f>
        <v>822.7</v>
      </c>
      <c r="I7" s="3">
        <f>988+(232.1-203.8)+(-2.01552+(-0.473484--0.415752))+0-233.7--0.47674799999999</f>
        <v>781.00349600000004</v>
      </c>
      <c r="J7" s="3">
        <f>992.8+(206.3-206.7)+(0.506328+(0.105213-0.105417))+0-234.1-0.119390999999976</f>
        <v>758.686733</v>
      </c>
      <c r="K7" s="3">
        <f>993.7+(177.3-213)+(-0.506787+(-0.090423--0.10863))+0-235.1--0.119900999999976</f>
        <v>722.53132100000005</v>
      </c>
      <c r="L7" s="3">
        <f>995.6+(146.5-236.5)+(-1.015512+(-0.14943--0.24123))+0-233.9--0.238578000000037</f>
        <v>671.0148660000001</v>
      </c>
      <c r="M7" s="3">
        <f>989+(136.4-278.2)+(-2.01756+(-0.278256--0.567528))+0-233.1--0.47552399999999</f>
        <v>612.84723599999995</v>
      </c>
      <c r="N7" s="3">
        <f>984+(167.8-290.4)+(1.00368+(0.171156-0.296208))+0-234.4-0.239088000000037</f>
        <v>627.63954000000012</v>
      </c>
      <c r="O7" s="3">
        <f>974.2+(259.9-350.9)+(-0.496842+(-0.132549--0.178959))+0-234--0.119339999999976</f>
        <v>648.86890800000003</v>
      </c>
      <c r="P7" s="3">
        <f>973.8+(290.5-348.7)+(0+(0-0))+0-234.6-0</f>
        <v>680.99999999999989</v>
      </c>
      <c r="Q7" s="3">
        <f>973.5+(320.4-342.1)+(-0.99297+(-0.326808--0.348942))+0-234.2--0.238884000000037</f>
        <v>716.86804799999993</v>
      </c>
      <c r="R7" s="3">
        <f>951.1+(366.7-339.5)+(-0.485061+(-0.187017--0.173145))+0-233.4--0.119033999999976</f>
        <v>744.52010099999995</v>
      </c>
      <c r="S7" s="3">
        <f>947.3+(382.2-302.9)+(-1.449369+(-0.584766--0.463437))+0-232.9--0.356337000000013</f>
        <v>792.48563899999999</v>
      </c>
      <c r="T7" s="3">
        <f>947.8+(409.1-284.9)+(-1.933512+(-0.834564--0.581196))+0-233.9--0.47715599999999</f>
        <v>836.39027600000009</v>
      </c>
      <c r="U7" s="3">
        <f>944.1+(407.6-275.7)+(-0.962982+(-0.415752--0.281214))+0-235.6--0.240312000000038</f>
        <v>839.54279199999996</v>
      </c>
      <c r="V7" s="3">
        <f>944.7+(353.8-276)+(-2.408985+(-0.90219--0.7038))+0-235.9--0.601544999999966</f>
        <v>784.59416999999996</v>
      </c>
      <c r="W7" s="3">
        <f>950.1+(286.9-286.5)+(0+(0-0))+0-235.8-0</f>
        <v>714.7</v>
      </c>
      <c r="X7" s="3">
        <f>954.6+(290.8-335.8)+(-1.460538+(-0.444924--0.513774))+0-234.9--0.359397000000014</f>
        <v>673.66770900000006</v>
      </c>
      <c r="Y7" s="3">
        <f>954.3+(364.8-366.1)+(0+(0-0))+0-234.1-0</f>
        <v>718.9</v>
      </c>
      <c r="Z7" s="3">
        <f>965.8+(453-404.5)+(-0.985116+(-0.46206--0.41259))+0-232.2--0.236844000000037</f>
        <v>781.30225799999994</v>
      </c>
      <c r="AA7" s="3">
        <f>972.4+(452.8-368.5)+(-0.991848+(-0.461856--0.37587))+0-233.4--0.238068000000037</f>
        <v>822.46023400000013</v>
      </c>
      <c r="AB7" s="3">
        <f>972.4+(421.2-298.3)+(-0.495924+(-0.214812--0.152133))+0-232.7--0.118676999999976</f>
        <v>862.1600739999999</v>
      </c>
      <c r="AC7" s="3">
        <f>976.1+(433.5-268.5)+(-0.497811+(-0.221085--0.136935))+0-231.7--0.118166999999976</f>
        <v>908.93620599999974</v>
      </c>
      <c r="AD7">
        <f t="shared" si="0"/>
        <v>18236.176987999999</v>
      </c>
      <c r="AE7" s="3">
        <f>969+(454-412)+(0+(0-0))+0-232-0</f>
        <v>779</v>
      </c>
    </row>
    <row r="8" spans="1:31" s="2" customFormat="1" x14ac:dyDescent="0.25">
      <c r="A8">
        <v>89</v>
      </c>
      <c r="B8">
        <v>1</v>
      </c>
      <c r="C8">
        <v>8</v>
      </c>
      <c r="D8">
        <v>2</v>
      </c>
      <c r="E8">
        <v>1</v>
      </c>
      <c r="F8" s="3">
        <f>979+(426.9-247.9)+(-1.99716+(-0.870876--0.505716))+0-232--0.47327999999999</f>
        <v>924.11096000000009</v>
      </c>
      <c r="G8" s="3">
        <f>978.3+(412.7-224.2)+(-1.496799+(-0.631431--0.343026))+0-234.2--0.358326000000014</f>
        <v>931.17312199999992</v>
      </c>
      <c r="H8" s="3">
        <f>979.5+(378.6-211)+(-1.99818+(-0.772344--0.43044))+0-234.6--0.47858399999999</f>
        <v>910.63849999999991</v>
      </c>
      <c r="I8" s="3">
        <f>980.6+(333.9-205.9)+(-1.000212+(-0.340578--0.210018))+0-233.4--0.238068000000037</f>
        <v>874.30729599999995</v>
      </c>
      <c r="J8" s="3">
        <f>979.3+(294.8-198.5)+(0+(0-0))+0-234.1-0</f>
        <v>841.49999999999989</v>
      </c>
      <c r="K8" s="3">
        <f>982.6+(253.4-199.4)+(0.501126+(0.129234-0.101694))+0-234.8-0.119747999999976</f>
        <v>802.20891799999993</v>
      </c>
      <c r="L8" s="3">
        <f>984.2+(200.3-214.5)+(1.003884+(0.204306-0.21879))+0-233.6-0.238272000000037</f>
        <v>737.15112799999997</v>
      </c>
      <c r="M8" s="3">
        <f>985.8+(179.3-260.3)+(-0.502758+(-0.091443--0.132753))+0-233.1--0.118880999999976</f>
        <v>671.3574329999999</v>
      </c>
      <c r="N8" s="3">
        <f>976.3+(203.3-274.3)+(-0.497913+(-0.103683--0.139893))+0-233.1--0.118880999999976</f>
        <v>671.85717799999998</v>
      </c>
      <c r="O8" s="3">
        <f>974+(264.7-311)+(-0.99348+(-0.269994--0.31722))+0-233.5--0.238170000000037</f>
        <v>693.49191600000017</v>
      </c>
      <c r="P8" s="3">
        <f>971.1+(303.1-334.9)+(0+(0-0))+0-233.3-0</f>
        <v>706</v>
      </c>
      <c r="Q8" s="3">
        <f>965.4+(338.5-350.7)+(-0.984708+(-0.34527--0.357714))+0-237--0.241740000000038</f>
        <v>715.4694760000001</v>
      </c>
      <c r="R8" s="3">
        <f>966.4+(314.2-341.2)+(-1.478592+(-0.480726--0.522036))+0-237.7--0.363681000000014</f>
        <v>700.62639899999999</v>
      </c>
      <c r="S8" s="3">
        <f>965.6+(320.6-295.4)+(0+(0-0))+0-235.5-0</f>
        <v>755.30000000000007</v>
      </c>
      <c r="T8" s="3">
        <f>968.4+(336.6-289.2)+(-1.975536+(-0.686664--0.589968))+0-236.4--0.48225599999999</f>
        <v>777.810024</v>
      </c>
      <c r="U8" s="3">
        <f>971.9+(316.8-276.1)+(-1.487007+(-0.484704--0.422433))+0-234--0.358020000000014</f>
        <v>777.40874199999996</v>
      </c>
      <c r="V8" s="3">
        <f>971.7+(278-271.7)+(-0.495567+(-0.14178--0.138567))+0-235.9--0.120308999999976</f>
        <v>741.72152900000003</v>
      </c>
      <c r="W8" s="3">
        <f>967.3+(256.4-280.6)+(-1.479969+(-0.392292--0.429318))+0-235.9--0.360927000000014</f>
        <v>706.11798399999998</v>
      </c>
      <c r="X8" s="3">
        <f>965.5+(257.5-311.7)+(-0.492405+(-0.131325--0.158967))+0-237.4--0.121073999999976</f>
        <v>673.55631100000005</v>
      </c>
      <c r="Y8" s="3">
        <f>968.4+(365.5-375.1)+(-0.987768+(-0.37281--0.382602))+0-235--0.239700000000037</f>
        <v>723.06172400000003</v>
      </c>
      <c r="Z8" s="3">
        <f>977.4+(475.5-432.6)+(-1.993896+(-0.97002--0.882504))+0-235--0.47939999999999</f>
        <v>783.6979879999999</v>
      </c>
      <c r="AA8" s="3">
        <f>983+(489.7-411.1)+(-0.50133+(-0.249747--0.209661))+0-234--0.119339999999976</f>
        <v>827.17792399999985</v>
      </c>
      <c r="AB8" s="3">
        <f>986.2+(463.6-355.7)+(-1.508886+(-0.709308--0.544221))+0-231--0.353430000000013</f>
        <v>861.77945700000021</v>
      </c>
      <c r="AC8" s="3">
        <f>989.3+(463.3-317.5)+(0.504543+(0.236283-0.161925))+0-235-0.119849999999976</f>
        <v>900.55905100000007</v>
      </c>
      <c r="AD8">
        <f t="shared" si="0"/>
        <v>18708.083060000001</v>
      </c>
      <c r="AE8" s="3">
        <f>975+(459-426)+(0+(0-0))+0-240-0</f>
        <v>768</v>
      </c>
    </row>
    <row r="9" spans="1:31" s="2" customFormat="1" x14ac:dyDescent="0.25">
      <c r="A9">
        <v>89</v>
      </c>
      <c r="B9">
        <v>1</v>
      </c>
      <c r="C9">
        <v>9</v>
      </c>
      <c r="D9">
        <v>3</v>
      </c>
      <c r="E9">
        <v>1</v>
      </c>
      <c r="F9" s="3">
        <f>991.2+(449.6-294.3)+(-2.52756+(-1.14648--0.750465))+0-236--0.601799999999966</f>
        <v>908.17822499999988</v>
      </c>
      <c r="G9" s="3">
        <f>991.9+(434.8-287.1)+(-2.529345+(-1.10874--0.732105))+0-236--0.601799999999966</f>
        <v>901.29581999999982</v>
      </c>
      <c r="H9" s="3">
        <f>992.4+(403.9-288.6)+(0+(0-0))+0-238-0</f>
        <v>869.69999999999982</v>
      </c>
      <c r="I9" s="3">
        <f>991.3+(362.7-290.7)+(-1.011126+(-0.369954--0.296514))+0-235--0.239700000000037</f>
        <v>827.45513400000004</v>
      </c>
      <c r="J9" s="3">
        <f>997.4+(329.7-297)+(-2.54337+(-0.840735--0.75735))+0-236--0.601799999999966</f>
        <v>792.07504499999982</v>
      </c>
      <c r="K9" s="3">
        <f>1001.6+(248-262.9)+(-1.021632+(-0.25296--0.268158))+0-236--0.240720000000038</f>
        <v>749.93428600000004</v>
      </c>
      <c r="L9" s="3">
        <f>1002.6+(251.1-324.2)+(0+(0-0))+0-235-0</f>
        <v>694.5</v>
      </c>
      <c r="M9" s="3">
        <f>1001.9+(267-401.1)+(-0.510969+(-0.13617--0.204561))+0-233--0.118829999999976</f>
        <v>634.47625199999993</v>
      </c>
      <c r="N9" s="3">
        <f>995.8+(282-397.3)+(-1.015716+(-0.28764--0.405246))+0-236--0.240720000000038</f>
        <v>643.84261000000004</v>
      </c>
      <c r="O9" s="3">
        <f>988.1+(325-411.2)+(-0.503931+(-0.16575--0.209712))+0-236--0.120359999999976</f>
        <v>665.5603910000001</v>
      </c>
      <c r="P9" s="3">
        <f>979.8+(393.7-446.7)+(0+(0-0))+0-235-0</f>
        <v>691.8</v>
      </c>
      <c r="Q9" s="3">
        <f>974.7+(412-434.4)+(0+(0-0))+0-236-0</f>
        <v>716.30000000000007</v>
      </c>
      <c r="R9" s="3">
        <f>971.3+(447.2-421.2)+(0+(0-0))+0-236-0</f>
        <v>761.3</v>
      </c>
      <c r="S9" s="3">
        <f>966.5+(454.4-366.5)+(-1.97166+(-0.926976--0.74766))+0-236--0.48143999999999</f>
        <v>816.73046400000021</v>
      </c>
      <c r="T9" s="3">
        <f>962.6+(449.6-316.1)+(-1.472778+(-0.687888--0.483633))+0-236--0.361080000000014</f>
        <v>858.78404699999999</v>
      </c>
      <c r="U9" s="3">
        <f>960.5+(434.7-294.7)+(-0.489855+(-0.221697--0.150297))+0-236--0.120359999999976</f>
        <v>864.05910499999993</v>
      </c>
      <c r="V9" s="3">
        <f>962.9+(412.4-314.9)+(-1.964316+(-0.841296--0.642396))+0-236--0.48143999999999</f>
        <v>822.71822400000019</v>
      </c>
      <c r="W9" s="3">
        <f>969.8+(408.1-396.7)+(0.494598+(0.208131-0.202317))+0-236-0.120359999999976</f>
        <v>745.58005200000002</v>
      </c>
      <c r="X9" s="3">
        <f>976.7+(394-458.6)+(-1.992468+(-0.80376--0.935544))+0-236--0.48143999999999</f>
        <v>674.72075600000005</v>
      </c>
      <c r="Y9" s="3">
        <f>980.7+(419.7-465.7)+(0.500157+(0.214047-0.237507))+0-236-0.120359999999976</f>
        <v>699.05633699999998</v>
      </c>
      <c r="Z9" s="3">
        <f>988.3+(460-465.8)+(-2.016132+(-0.9384--0.950232))+0-236--0.48143999999999</f>
        <v>744.97714000000008</v>
      </c>
      <c r="AA9" s="3">
        <f>993.8+(461.7-442.7)+(-0.506838+(-0.235467--0.225777))+0-236--0.120359999999976</f>
        <v>776.40383199999997</v>
      </c>
      <c r="AB9" s="3">
        <f>995.4+(434.9-376.2)+(-1.015308+(-0.443598--0.383724))+0-236--0.240720000000038</f>
        <v>817.26553799999988</v>
      </c>
      <c r="AC9" s="3">
        <f>999.8+(441-339.4)+(-1.529694+(-0.67473--0.519282))+0-236--0.361080000000014</f>
        <v>864.07593800000006</v>
      </c>
      <c r="AD9">
        <f t="shared" si="0"/>
        <v>18540.789195999998</v>
      </c>
      <c r="AE9" s="3">
        <f>983+(443-457.8)+(0+(0-0))+0-234-0</f>
        <v>734.2</v>
      </c>
    </row>
    <row r="10" spans="1:31" s="2" customFormat="1" x14ac:dyDescent="0.25">
      <c r="A10">
        <v>89</v>
      </c>
      <c r="B10">
        <v>1</v>
      </c>
      <c r="C10">
        <v>10</v>
      </c>
      <c r="D10">
        <v>4</v>
      </c>
      <c r="E10">
        <v>1</v>
      </c>
      <c r="F10" s="3">
        <f>1002.8+(437.9-318)+(-2.045712+(-0.893316--0.64872))+0-236--0.48143999999999</f>
        <v>884.89113199999974</v>
      </c>
      <c r="G10" s="3">
        <f>1004.3+(415.6-303.5)+(-2.560965+(-1.05978--0.773925))+0-236--0.601799999999966</f>
        <v>878.15498000000002</v>
      </c>
      <c r="H10" s="3">
        <f>1005.9+(374.8-299.2)+(-2.052036+(-0.764592--0.610368))+0-238--0.48551999999999</f>
        <v>841.77926000000002</v>
      </c>
      <c r="I10" s="3">
        <f>1005.2+(324.2-287.7)+(-1.025304+(-0.330684--0.293454))+0-237--0.241740000000038</f>
        <v>803.87920600000018</v>
      </c>
      <c r="J10" s="3">
        <f>1005.2+(280.4-282.7)+(0+(0-0))+0-236-0</f>
        <v>766.90000000000009</v>
      </c>
      <c r="K10" s="3">
        <f>1006.9+(275.9-311.7)+(-1.027038+(-0.281418--0.317934))+0-235--0.239700000000037</f>
        <v>735.34917799999994</v>
      </c>
      <c r="L10" s="3">
        <f>1007.1+(249-344.2)+(-1.027242+(-0.25398--0.351084))+0-236--0.240720000000038</f>
        <v>675.21058200000004</v>
      </c>
      <c r="M10" s="3">
        <f>1005.1+(220.3-370.9)+(-1.025202+(-0.224706--0.378318))+0-233--0.237660000000037</f>
        <v>620.86607000000004</v>
      </c>
      <c r="N10" s="3">
        <f>999.2+(265-400.2)+(1.019184+(0.2703-0.408204))+0-235-0.239700000000037</f>
        <v>629.64157999999986</v>
      </c>
      <c r="O10" s="3">
        <f>993+(319.8-426.4)+(0.50643+(0.163098-0.217464))+0-236-0.120359999999976</f>
        <v>650.73170400000004</v>
      </c>
      <c r="P10" s="3">
        <f>983.3+(340.6-418.1)+(-0.501483+(-0.173706--0.213231))+0-235--0.119849999999976</f>
        <v>670.4578919999999</v>
      </c>
      <c r="Q10" s="3">
        <f>981+(353.7-407.6)+(0.50031+(0.180387-0.207876))+0-238-0.121379999999976</f>
        <v>689.45144099999993</v>
      </c>
      <c r="R10" s="3">
        <f>975.4+(342.2-388.2)+(-0.994908+(-0.349044--0.395964))+0-238--0.242760000000038</f>
        <v>690.69477200000006</v>
      </c>
      <c r="S10" s="3">
        <f>968.1+(365.2-342)+(-1.974924+(-0.745008--0.69768))+0-237--0.48347999999999</f>
        <v>752.76122799999996</v>
      </c>
      <c r="T10" s="3">
        <f>965+(379-311.8)+(0.9843+(0.38658-0.318036))+0-237-0.241740000000038</f>
        <v>796.01110400000005</v>
      </c>
      <c r="U10" s="3">
        <f>963.6+(382.3-304.4)+(0+(0-0))+0-237-0</f>
        <v>804.5</v>
      </c>
      <c r="V10" s="3">
        <f>963.5+(367.2-325.5)+(-0.98277+(-0.374544--0.33201))+0-237--0.241740000000038</f>
        <v>767.41643600000009</v>
      </c>
      <c r="W10" s="3">
        <f>968.5+(319.1-348.9)+(-0.493935+(-0.162741--0.177939))+0-237--0.120869999999976</f>
        <v>701.34213299999999</v>
      </c>
      <c r="X10" s="3">
        <f>969.8+(294.2-384.3)+(-0.989196+(-0.300084--0.391986))+0-237--0.241740000000038</f>
        <v>642.04444599999999</v>
      </c>
      <c r="Y10" s="3">
        <f>978.8+(365-499.3)+(-1.497564+(-0.55845--0.763929))+0-173--0.26469000000001</f>
        <v>670.47260499999993</v>
      </c>
      <c r="Z10" s="3">
        <f>985.1+(421-457.3)+(-1.004802+(-0.42942--0.466446))+0-236--0.240720000000038</f>
        <v>712.07294400000001</v>
      </c>
      <c r="AA10" s="3">
        <f>989.4+(337.6-400.1)+(-2.018376+(-0.688704--0.816204))+0-181--0.369239999999992</f>
        <v>744.37836399999992</v>
      </c>
      <c r="AB10" s="3">
        <f>997.1+(328.1-309.8)+(-2.034084+(-0.669324--0.631992))+0-229--0.46715999999999</f>
        <v>784.79574400000013</v>
      </c>
      <c r="AC10" s="3">
        <f>996.8+(340.4-279.5)+(-1.525104+(-0.520812--0.427635))+0-236--0.361080000000014</f>
        <v>820.44279899999981</v>
      </c>
      <c r="AD10">
        <f t="shared" si="0"/>
        <v>17734.245599999998</v>
      </c>
      <c r="AE10" s="3">
        <f>984+(473.1-460.6)+(0+(0-0))+0-235-0</f>
        <v>761.5</v>
      </c>
    </row>
    <row r="11" spans="1:31" s="2" customFormat="1" x14ac:dyDescent="0.25">
      <c r="A11">
        <v>89</v>
      </c>
      <c r="B11">
        <v>1</v>
      </c>
      <c r="C11">
        <v>11</v>
      </c>
      <c r="D11">
        <v>5</v>
      </c>
      <c r="E11">
        <v>1</v>
      </c>
      <c r="F11" s="3">
        <f>997.5+(365.6-263.8)+(-2.543625+(-0.93228--0.67269))+0-231--0.589049999999966</f>
        <v>866.08583499999997</v>
      </c>
      <c r="G11" s="3">
        <f>998.1+(348-249.4)+(-1.527093+(-0.53244--0.381582))+0-234--0.358020000000014</f>
        <v>861.38006900000016</v>
      </c>
      <c r="H11" s="3">
        <f>1000.4+(347.4-259.7)+(-2.040816+(-0.708696--0.529788))+0-236--0.48143999999999</f>
        <v>850.36171599999989</v>
      </c>
      <c r="I11" s="3">
        <f>999.6+(335.9-275.4)+(-2.039184+(-0.685236--0.561816))+0-235--0.47939999999999</f>
        <v>823.41679599999975</v>
      </c>
      <c r="J11" s="3">
        <f>999.3+(306.7-283.4)+(-1.528929+(-0.469251--0.433602))+0-233--0.356490000000013</f>
        <v>788.39191199999993</v>
      </c>
      <c r="K11" s="3">
        <f>1000.3+(283.1-302.5)+(0+(0-0))+0-232-0</f>
        <v>748.9</v>
      </c>
      <c r="L11" s="3">
        <f>1001.6+(258.4-338)+(-1.532448+(-0.395352--0.51714))+0-230--0.351900000000013</f>
        <v>690.94123999999999</v>
      </c>
      <c r="M11" s="3">
        <f>1002.9+(248.3-386.2)+(0+(0-0))+0-230-0</f>
        <v>635</v>
      </c>
      <c r="N11" s="3">
        <f>998.2+(260.9-383.6)+(-0.509082+(-0.133059--0.195636))+0-236--0.120359999999976</f>
        <v>639.173855</v>
      </c>
      <c r="O11" s="3">
        <f>993.2+(319.2-415.3)+(-0.506532+(-0.162792--0.211803))+0-239--0.121889999999976</f>
        <v>657.76436899999999</v>
      </c>
      <c r="P11" s="3">
        <f>1090.3+(347.4-523.8)+(-3.336318+(-1.063044--1.602828))+0-239--0.731340000000028</f>
        <v>672.83480600000007</v>
      </c>
      <c r="Q11" s="3">
        <f>1131.8+(345.5-537.4)+(0+(0-0))+0-240-0</f>
        <v>699.9</v>
      </c>
      <c r="R11" s="3">
        <f>1118.4+(380-517.5)+(-1.140768+(-0.3876--0.52785))+0-242--0.246840000000039</f>
        <v>738.14632200000005</v>
      </c>
      <c r="S11" s="3">
        <f>1118.9+(403.8-469)+(0+(0-0))+0-239-0</f>
        <v>814.7</v>
      </c>
      <c r="T11" s="3">
        <f>1116.7+(417.8-443.1)+(-0.569517+(-0.213078--0.225981))+0-234--0.119339999999976</f>
        <v>856.96272599999998</v>
      </c>
      <c r="U11" s="3">
        <f>1114+(415.6-436.9)+(-2.27256+(-0.847824--0.891276))+0-237--0.48347999999999</f>
        <v>853.95437200000003</v>
      </c>
      <c r="V11" s="3">
        <f>1043.3+(413.3-414.7)+(-1.064166+(-0.421566--0.422994))+0-236--0.240720000000038</f>
        <v>805.07798200000002</v>
      </c>
      <c r="W11" s="3">
        <f>1041.6+(352.6-434.2)+(-1.593648+(-0.539478--0.664326))+0-238--0.364140000000014</f>
        <v>720.89534000000003</v>
      </c>
      <c r="X11" s="3">
        <f>1047.2+(295-435.4)+(-1.068144+(-0.3009--0.444108))+0-235--0.239700000000037</f>
        <v>671.11476400000015</v>
      </c>
      <c r="Y11" s="3">
        <f>1052.4+(353.6-463)+(-0.536724+(-0.180336--0.23613))+0-234.7--0.119696999999976</f>
        <v>707.93876700000021</v>
      </c>
      <c r="Z11" s="3">
        <f>1100.8+(460.1-557.7)+(-1.684224+(-0.703953--0.853281))+0-236.6--0.361998000000014</f>
        <v>765.42710199999988</v>
      </c>
      <c r="AA11" s="3">
        <f>1107.2+(446.1-515.4)+(-1.694016+(-0.682533--0.788562))+0-236.8--0.362304000000014</f>
        <v>799.87431700000002</v>
      </c>
      <c r="AB11" s="3">
        <f>1103.1+(448.5-480.4)+(-1.687743+(-0.686205--0.735012))+0-235.5--0.360315000000014</f>
        <v>834.42137899999977</v>
      </c>
      <c r="AC11" s="3">
        <f>1104.8+(432.9-418.8)+(-1.690344+(-0.662337--0.640764))+0-236.7--0.362151000000014</f>
        <v>880.85023399999977</v>
      </c>
      <c r="AD11">
        <f t="shared" si="0"/>
        <v>18383.513903000003</v>
      </c>
      <c r="AE11" s="3">
        <f>1105+(447.1-564)+(0+(0-0))+0-237.2-0</f>
        <v>750.90000000000009</v>
      </c>
    </row>
    <row r="12" spans="1:31" s="2" customFormat="1" x14ac:dyDescent="0.25">
      <c r="A12">
        <v>89</v>
      </c>
      <c r="B12">
        <v>1</v>
      </c>
      <c r="C12">
        <v>12</v>
      </c>
      <c r="D12">
        <v>6</v>
      </c>
      <c r="E12">
        <v>2</v>
      </c>
      <c r="F12" s="3">
        <f>1117.9+(400-380.3)+(-2.280516+(-0.816--0.775812))+0-235--0.47939999999999</f>
        <v>900.7586960000001</v>
      </c>
      <c r="G12" s="3">
        <f>1106.9+(377.5-354)+(-0.564519+(-0.192525--0.18054))+0-235.5--0.120104999999976</f>
        <v>894.44360099999994</v>
      </c>
      <c r="H12" s="3">
        <f>1111.8+(370.6-375)+(-1.701054+(-0.567018--0.57375))+0-235.5--0.360315000000014</f>
        <v>870.56599300000005</v>
      </c>
      <c r="I12" s="3">
        <f>1112+(349-389.4)+(-2.26848+(-0.71196--0.794376))+0-237--0.48347999999999</f>
        <v>832.89741599999991</v>
      </c>
      <c r="J12" s="3">
        <f>1112.5+(320.2-398.4)+(-1.13475+(-0.326604--0.406368))+0-235--0.239700000000037</f>
        <v>798.48471399999994</v>
      </c>
      <c r="K12" s="3">
        <f>1114+(279.8-399.5)+(0+(0-0))+0-235.4-0</f>
        <v>758.9</v>
      </c>
      <c r="L12" s="3">
        <f>1115.2+(236.8-424.9)+(-2.84376+(-0.60384--1.083495))+0-234.8--0.598739999999966</f>
        <v>690.53463500000009</v>
      </c>
      <c r="M12" s="3">
        <f>1083.3+(221.5-438.8)+(1.104966+(0.22593-0.447576))+0-232.2-0.236844000000037</f>
        <v>634.44647600000008</v>
      </c>
      <c r="N12" s="3">
        <f>1060.6+(248.5-438.3)+(0.540906+(0.126735-0.223533))+0-234.7-0.119696999999976</f>
        <v>636.42441100000008</v>
      </c>
      <c r="O12" s="3">
        <f>1055.3+(272.5-449.8)+(0+(0-0))+0-234.9-0</f>
        <v>643.1</v>
      </c>
      <c r="P12" s="3">
        <f>1051.1+(305.5-461)+(-0.536061+(-0.155805--0.23511))+0-235.8--0.120257999999976</f>
        <v>659.46350199999983</v>
      </c>
      <c r="Q12" s="3">
        <f>1042+(349.9-480.1)+(0+(0-0))+0-234.8-0</f>
        <v>677</v>
      </c>
      <c r="R12" s="3">
        <f>1034.3+(394.1-478.5)+(-1.054986+(-0.401982--0.48807))+0-237.1--0.241842000000038</f>
        <v>712.07294400000001</v>
      </c>
      <c r="S12" s="3">
        <f>1033.3+(373.2-402.9)+(-2.107932+(-0.761328--0.821916))+0-235.8--0.48103199999999</f>
        <v>766.23368799999992</v>
      </c>
      <c r="T12" s="3">
        <f>1033.9+(374.5-355.4)+(1.581867+(0.572985-0.543762))+0-235.3-0.360009000000014</f>
        <v>818.95108100000016</v>
      </c>
      <c r="U12" s="3">
        <f>1032.8+(358.1-336)+(-1.580184+(-0.547893--0.51408))+0-234.3--0.358479000000014</f>
        <v>819.3444820000002</v>
      </c>
      <c r="V12" s="3">
        <f>1029.5+(305.3-331.9)+(-1.05009+(-0.311406--0.338538))+0-233--0.237660000000037</f>
        <v>769.11470200000008</v>
      </c>
      <c r="W12" s="3">
        <f>1032.5+(277.6-388.9)+(-1.579725+(-0.424728--0.595017))+0-235.6--0.360468000000014</f>
        <v>684.55103199999996</v>
      </c>
      <c r="X12" s="3">
        <f>1035.4+(254.5-419.1)+(-2.112216+(-0.51918--0.854964))+0-236.2--0.48184799999999</f>
        <v>633.30541600000004</v>
      </c>
      <c r="Y12" s="3">
        <f>1038.9+(303.8-438.9)+(0+(0-0))+0-237-0</f>
        <v>666.80000000000018</v>
      </c>
      <c r="Z12" s="3">
        <f>1045.7+(432.1-526.4)+(-2.133228+(-0.881484--1.073856))+0-235.7--0.48082799999999</f>
        <v>714.23997200000008</v>
      </c>
      <c r="AA12" s="3">
        <f>1055.2+(410.7-475)+(-0.538152+(-0.209457--0.24225))+0-235.2--0.119951999999976</f>
        <v>755.31459300000006</v>
      </c>
      <c r="AB12" s="3">
        <f>1056.2+(411.1-441.7)+(-1.077324+(-0.419322--0.450534))+0-232.6--0.237252000000037</f>
        <v>792.19114000000013</v>
      </c>
      <c r="AC12" s="3">
        <f>1057.8+(422.5-417.3)+(-2.157912+(-0.8619--0.851292))+0-231.4--0.47205599999999</f>
        <v>829.90353600000003</v>
      </c>
      <c r="AD12">
        <f t="shared" si="0"/>
        <v>17959.042030000001</v>
      </c>
      <c r="AE12" s="3">
        <f>1045+(419.9-529.5)+(0+(0-0))+0-234.8-0</f>
        <v>700.59999999999991</v>
      </c>
    </row>
    <row r="13" spans="1:31" s="2" customFormat="1" x14ac:dyDescent="0.25">
      <c r="A13">
        <v>89</v>
      </c>
      <c r="B13">
        <v>1</v>
      </c>
      <c r="C13">
        <v>13</v>
      </c>
      <c r="D13">
        <v>7</v>
      </c>
      <c r="E13">
        <v>2</v>
      </c>
      <c r="F13" s="3">
        <f>1061.8+(415.5-387.3)+(-1.083036+(-0.42381--0.395046))+0-231.4--0.236028000000037</f>
        <v>857.72422800000015</v>
      </c>
      <c r="G13" s="3">
        <f>1062.8+(407.3-391.8)+(-1.084056+(-0.415446--0.399636))+0-232--0.236640000000037</f>
        <v>845.43677400000001</v>
      </c>
      <c r="H13" s="3">
        <f>1063.7+(384.5-391.6)+(-1.084974+(-0.39219--0.399432))+0-234.3--0.238986000000037</f>
        <v>821.46125400000005</v>
      </c>
      <c r="I13" s="3">
        <f>1064.6+(348-380)+(-1.628838+(-0.53244--0.5814))+0-231.7--0.354501000000013</f>
        <v>799.67462299999988</v>
      </c>
      <c r="J13" s="3">
        <f>1066.9+(330.2-403.2)+(-1.088238+(-0.336804--0.411264))+0-232.3--0.236946000000037</f>
        <v>760.82316800000012</v>
      </c>
      <c r="K13" s="3">
        <f>1067.1+(317.6-428)+(0.544221+(0.161976-0.21828))+0-232-0.118319999999976</f>
        <v>725.06959700000004</v>
      </c>
      <c r="L13" s="3">
        <f>1066.1+(266.2-451.2)+(-1.631133+(-0.407286--0.690336))+0-230.9--0.353277000000013</f>
        <v>649.20519400000001</v>
      </c>
      <c r="M13" s="3">
        <f>1070.2+(185.6-425.5)+(0+(0-0))+0-232.1-0</f>
        <v>598.20000000000005</v>
      </c>
      <c r="N13" s="3">
        <f>1068.9+(212.9-462.6)+(1.090278+(0.217158-0.471852))+0-232.3-0.236946000000037</f>
        <v>587.49863800000003</v>
      </c>
      <c r="O13" s="3">
        <f>1062.9+(254.5-518.5)+(-0.542079+(-0.129795--0.264435))+0-232.3--0.118472999999976</f>
        <v>566.31103400000006</v>
      </c>
      <c r="P13" s="3">
        <f>1055.7+(257.7-515.3)+(-0.538407+(-0.131427--0.262803))+0-231.9--0.118268999999976</f>
        <v>565.91123800000014</v>
      </c>
      <c r="Q13" s="3">
        <f>1051.4+(260.9-506.2)+(-1.072428+(-0.266118--0.516324))+0-232--0.236640000000037</f>
        <v>573.51441800000021</v>
      </c>
      <c r="R13" s="3">
        <f>1048.1+(273-501.7)+(-1.069062+(-0.27846--0.511734))+0-232.3--0.236946000000037</f>
        <v>586.5011579999998</v>
      </c>
      <c r="S13" s="3">
        <f>1043.4+(256-454)+(-0.532134+(-0.13056--0.23154))+0-231.8--0.118217999999976</f>
        <v>613.28706399999999</v>
      </c>
      <c r="T13" s="3">
        <f>1042.8+(239.5-416.1)+(0+(0-0))+0-231-0</f>
        <v>635.19999999999993</v>
      </c>
      <c r="U13" s="3">
        <f>1045.2+(207-384.3)+(0+(0-0))+0-230.9-0</f>
        <v>637.00000000000011</v>
      </c>
      <c r="V13" s="3">
        <f>1046.8+(203.4-395.7)+(0+(0-0))+0-230.4-0</f>
        <v>624.1</v>
      </c>
      <c r="W13" s="3">
        <f>1048.4+(176.9-406.8)+(-1.604052+(-0.270657--0.622404))+0-231.4--0.354042000000013</f>
        <v>586.20173700000021</v>
      </c>
      <c r="X13" s="3">
        <f>1062.2+(179.1-443.6)+(-1.083444+(-0.182682--0.452472))+0-231.7--0.236334000000037</f>
        <v>565.42268000000001</v>
      </c>
      <c r="Y13" s="3">
        <f>1055.1+(239.9-453.5)+(-1.076202+(-0.244698--0.46257))+0-231.6--0.236232000000037</f>
        <v>609.27790199999993</v>
      </c>
      <c r="Z13" s="3">
        <f>1056.2+(379.1-526.9)+(-2.69331+(-0.966705--1.343595))+0-231.7--0.590834999999966</f>
        <v>674.97441500000014</v>
      </c>
      <c r="AA13" s="3">
        <f>1060.1+(439.6-529.2)+(-1.621953+(-0.672588--0.809676))+0-231.4--0.354042000000013</f>
        <v>737.96917699999995</v>
      </c>
      <c r="AB13" s="3">
        <f>1062.6+(441.1-465.5)+(-1.083852+(-0.449922--0.47481))+0-232.2--0.236844000000037</f>
        <v>805.17787999999973</v>
      </c>
      <c r="AC13" s="3">
        <f>1065.5+(401.6-394)+(-1.630215+(-0.614448--0.60282))+0-230.9--0.353277000000013</f>
        <v>840.91143399999987</v>
      </c>
      <c r="AD13">
        <f t="shared" si="0"/>
        <v>16266.853613000001</v>
      </c>
      <c r="AE13" s="3">
        <f>1057+(423-533.3)+(0+(0-0))+0-231.2-0</f>
        <v>715.5</v>
      </c>
    </row>
    <row r="14" spans="1:31" s="2" customFormat="1" x14ac:dyDescent="0.25">
      <c r="A14">
        <v>89</v>
      </c>
      <c r="B14">
        <v>1</v>
      </c>
      <c r="C14">
        <v>14</v>
      </c>
      <c r="D14">
        <v>1</v>
      </c>
      <c r="E14">
        <v>1</v>
      </c>
      <c r="F14" s="3">
        <f>1067.1+(370.1-343.3)+(-1.088442+(-0.377502--0.350166))+0-231.3--0.235926000000037</f>
        <v>861.72014799999988</v>
      </c>
      <c r="G14" s="3">
        <f>1071.1+(345.1-338.7)+(-2.185044+(-0.704004--0.690948))+0-231.3--0.47185199999999</f>
        <v>844.47375199999999</v>
      </c>
      <c r="H14" s="3">
        <f>1070.2+(271.6-291.4)+(-0.545802+(-0.138516--0.148614))+0-232--0.118319999999976</f>
        <v>817.98261600000012</v>
      </c>
      <c r="I14" s="3">
        <f>1071+(236-287.2)+(-0.54621+(-0.12036--0.146472))+0-231.9--0.118268999999976</f>
        <v>787.49817099999996</v>
      </c>
      <c r="J14" s="3">
        <f>1070.4+(225.4-308.4)+(0.545904+(0.114954-0.157284))+0-231.7-0.118166999999976</f>
        <v>756.08540700000015</v>
      </c>
      <c r="K14" s="3">
        <f>1069.7+(210.7-332.9)+(1.091094+(0.214914-0.339558))+0-231.3-0.235926000000037</f>
        <v>716.93052399999988</v>
      </c>
      <c r="L14" s="3">
        <f>1068.7+(190.7-378.1)+(-2.180148+(-0.389028--0.771324))+0-230.8--0.47083199999999</f>
        <v>649.17297999999982</v>
      </c>
      <c r="M14" s="3">
        <f>1070.2+(205.9-445.5)+(0.545802+(0.105009-0.227205))+0-229.7-0.117146999999977</f>
        <v>601.206459</v>
      </c>
      <c r="N14" s="3">
        <f>1063.7+(288.3-510.8)+(0+(0-0))+0-230.9-0</f>
        <v>610.30000000000007</v>
      </c>
      <c r="O14" s="3">
        <f>1061.4+(352.6-554.9)+(-0.541314+(-0.179826--0.282999))+0-232.3--0.118472999999976</f>
        <v>626.48033200000009</v>
      </c>
      <c r="P14" s="3">
        <f>1056.9+(417.4-575.1)+(0+(0-0))+0-234.5-0</f>
        <v>664.7</v>
      </c>
      <c r="Q14" s="3">
        <f>1050.1+(435.2-554.9)+(0+(0-0))+0-234.6-0</f>
        <v>695.79999999999984</v>
      </c>
      <c r="R14" s="3">
        <f>1046.2+(459.2-521.3)+(0+(0-0))+0-233-0</f>
        <v>751.10000000000014</v>
      </c>
      <c r="S14" s="3">
        <f>1039.6+(473.2-455.7)+(-2.120784+(-0.965328--0.929628))+0-233.1--0.47552399999999</f>
        <v>822.31903999999975</v>
      </c>
      <c r="T14" s="3">
        <f>1034.8+(465.6-403.9)+(0.527748+(0.237456-0.205989))+0-232.8-0.118727999999976</f>
        <v>864.14048700000001</v>
      </c>
      <c r="U14" s="3">
        <f>1032.3+(459.6-399.6)+(1.052946+(0.468792-0.407592))+0-232.7-0.237354000000037</f>
        <v>860.47679199999982</v>
      </c>
      <c r="V14" s="3">
        <f>1031.5+(438.8-432.9)+(-0.526065+(-0.223788--0.220779))+0-232.8--0.118727999999976</f>
        <v>804.18965400000013</v>
      </c>
      <c r="W14" s="3">
        <f>1036+(372.5-428)+(-1.58508+(-0.569925--0.65484))+0-233.2--0.356796000000013</f>
        <v>746.15663100000006</v>
      </c>
      <c r="X14" s="3">
        <f>1041+(314.6-428)+(-3.18546+(-0.962676--1.30968))+0-233.1--0.713286000000027</f>
        <v>692.37483000000009</v>
      </c>
      <c r="Y14" s="3">
        <f>1048+(368.4-459.9)+(0.53448+(0.187884-0.234549))+0-235.3-0.120002999999976</f>
        <v>721.567812</v>
      </c>
      <c r="Z14" s="3">
        <f>1048+(473.4-462.3)+(-1.06896+(-0.482868--0.471546))+0-234.7--0.239394000000037</f>
        <v>823.55911200000003</v>
      </c>
      <c r="AA14" s="3">
        <f>1053+(475.2-460.2)+(-2.14812+(-0.969408--0.938808))+0-234.9--0.47919599999999</f>
        <v>831.40047599999991</v>
      </c>
      <c r="AB14" s="3">
        <f>1054+(482.3-430.3)+(-2.15016+(-0.983892--0.877812))+0-234.6--0.47858399999999</f>
        <v>869.622344</v>
      </c>
      <c r="AC14" s="3">
        <f>1054+(474.6-398.3)+(-1.07508+(-0.484092--0.406266))+0-233.4--0.238068000000037</f>
        <v>895.98516199999995</v>
      </c>
      <c r="AD14">
        <f t="shared" si="0"/>
        <v>18315.242729000001</v>
      </c>
      <c r="AE14" s="3">
        <f>1050+(416-513.3)+(0+(0-0))+0-233-0</f>
        <v>719.7</v>
      </c>
    </row>
    <row r="15" spans="1:31" s="2" customFormat="1" x14ac:dyDescent="0.25">
      <c r="A15">
        <v>89</v>
      </c>
      <c r="B15">
        <v>1</v>
      </c>
      <c r="C15">
        <v>15</v>
      </c>
      <c r="D15">
        <v>2</v>
      </c>
      <c r="E15">
        <v>1</v>
      </c>
      <c r="F15" s="3">
        <f>1061+(450.6-380)+(-3.24666+(-1.378836--1.1628))+0-235.2--0.719712000000027</f>
        <v>893.65701599999989</v>
      </c>
      <c r="G15" s="3">
        <f>1060+(401.6-354.3)+(-1.0812+(-0.409632--0.361386))+0-236.3--0.241026000000038</f>
        <v>870.11158000000012</v>
      </c>
      <c r="H15" s="3">
        <f>1062+(349.5-339)+(-0.54162+(-0.178245--0.17289))+0-236.8--0.120767999999976</f>
        <v>835.27379300000007</v>
      </c>
      <c r="I15" s="3">
        <f>1062+(280.8-320.5)+(-2.16648+(-0.572832--0.65382))+0-236.4--0.48225599999999</f>
        <v>784.29676399999994</v>
      </c>
      <c r="J15" s="3">
        <f>1064+(224.5-312.3)+(-1.08528+(-0.22899--0.318546))+0-236.5--0.241230000000038</f>
        <v>738.94550600000014</v>
      </c>
      <c r="K15" s="3">
        <f>1064+(214.1-315.7)+(-1.62792+(-0.327573--0.483021))+0-237.1--0.362763000000014</f>
        <v>724.19029099999989</v>
      </c>
      <c r="L15" s="3">
        <f>1064+(201.8-415.1)+(-0.54264+(-0.102918--0.211701))+0-236.7--0.120716999999976</f>
        <v>613.68686000000002</v>
      </c>
      <c r="M15" s="3">
        <f>1064+(252-462.7)+(-2.17056+(-0.51408--0.943908))+0-232.7--0.47470799999999</f>
        <v>619.33397599999989</v>
      </c>
      <c r="N15" s="3">
        <f>1064.5+(314.4-512.8)+(0+(0-0))+0-233.5-0</f>
        <v>632.6</v>
      </c>
      <c r="O15" s="3">
        <f>1051.1+(369.1-524.3)+(0+(0-0))+0-234.8-0</f>
        <v>661.09999999999991</v>
      </c>
      <c r="P15" s="3">
        <f>1045.1+(409.4-484.5)+(-0.533001+(-0.208794--0.247095))+0-234.8--0.119747999999976</f>
        <v>734.82504799999981</v>
      </c>
      <c r="Q15" s="3">
        <f>1093.8+(402.8-496.7)+(-1.115676+(-0.410856--0.506634))+0-235.6--0.240312000000038</f>
        <v>763.52041399999996</v>
      </c>
      <c r="R15" s="3">
        <f>1100.9+(414.8-475.7)+(-2.245836+(-0.846192--0.970428))+0-236.6--0.48266399999999</f>
        <v>801.76106400000003</v>
      </c>
      <c r="S15" s="3">
        <f>1092.6+(430.5-412.8)+(-1.114452+(-0.43911--0.421056))+0-236.6--0.241332000000038</f>
        <v>872.80882600000007</v>
      </c>
      <c r="T15" s="3">
        <f>1090.3+(443.3-382.4)+(-1.668159+(-0.678249--0.585072))+0-236.3--0.361539000000014</f>
        <v>913.50020300000006</v>
      </c>
      <c r="U15" s="3">
        <f>1090.6+(430.1-364.9)+(0+(0-0))+0-236.3-0</f>
        <v>919.5</v>
      </c>
      <c r="V15" s="3">
        <f>1095.2+(407-401.9)+(-1.675656+(-0.62271--0.614907))+0-236--0.361080000000014</f>
        <v>862.97762100000011</v>
      </c>
      <c r="W15" s="3">
        <f>1099.7+(375.9-458.8)+(0.560847+(0.191709-0.233988))+0-235.7-0.120206999999976</f>
        <v>781.49836099999993</v>
      </c>
      <c r="X15" s="3">
        <f>1099.7+(368.9-512.5)+(-2.804235+(-0.940695--1.306875))+0-236.4--0.602819999999966</f>
        <v>717.86476500000003</v>
      </c>
      <c r="Y15" s="3">
        <f>1090.5+(414.8-510.8)+(1.11231+(0.423096-0.521016))+0-236.3-0.241026000000038</f>
        <v>758.97336400000006</v>
      </c>
      <c r="Z15" s="3">
        <f>1059.1+(452.9-436.9)+(-1.080282+(-0.461958--0.445638))+0-236.8--0.241536000000038</f>
        <v>837.44493399999988</v>
      </c>
      <c r="AA15" s="3">
        <f>1067.3+(460.6-399.5)+(-2.721615+(-1.17453--1.018725))+0-237.2--0.604859999999966</f>
        <v>888.92743999999993</v>
      </c>
      <c r="AB15" s="3">
        <f>1076.5+(457.6-351.7)+(-1.09803+(-0.466752--0.358734))+0-233.3--0.237966000000037</f>
        <v>948.13191800000016</v>
      </c>
      <c r="AC15" s="3">
        <f>1076.1+(461.6-306.5)+(-1.646433+(-0.706248--0.468945))+0-235.3--0.360009000000014</f>
        <v>994.37627299999986</v>
      </c>
      <c r="AD15">
        <f t="shared" si="0"/>
        <v>19169.306016999995</v>
      </c>
      <c r="AE15" s="3">
        <f>1051+(447-434)+(0+(0-0))+0-239-0</f>
        <v>825</v>
      </c>
    </row>
    <row r="16" spans="1:31" s="2" customFormat="1" x14ac:dyDescent="0.25">
      <c r="A16">
        <v>89</v>
      </c>
      <c r="B16">
        <v>1</v>
      </c>
      <c r="C16">
        <v>16</v>
      </c>
      <c r="D16">
        <v>3</v>
      </c>
      <c r="E16">
        <v>1</v>
      </c>
      <c r="F16" s="3">
        <f>1072.6+(441.9-301.1)+(-2.188104+(-0.901476--0.614244))+0-236.2--0.48184799999999</f>
        <v>975.20651199999986</v>
      </c>
      <c r="G16" s="3">
        <f>1081+(431.4-335.4)+(0+(0-0))+0-235.8-0</f>
        <v>941.2</v>
      </c>
      <c r="H16" s="3">
        <f>1081.1+(398.5-337.9)+(-1.102722+(-0.40647--0.344658))+0-236.7--0.241434000000038</f>
        <v>904.0768999999998</v>
      </c>
      <c r="I16" s="3">
        <f>1081.4+(315.7-299.1)+(-2.206056+(-0.644028--0.610164))+0-235--0.47939999999999</f>
        <v>861.23947999999996</v>
      </c>
      <c r="J16" s="3">
        <f>1081.6+(266.2-284.4)+(0.551616+(0.135762-0.145044))+0-235.6-0.120155999999976</f>
        <v>828.22217799999987</v>
      </c>
      <c r="K16" s="3">
        <f>1080.6+(248.5-313)+(0+(0-0))+0-235.3-0</f>
        <v>780.8</v>
      </c>
      <c r="L16" s="3">
        <f>1080.5+(234.5-385.4)+(-0.551055+(-0.119595--0.196554))+0-234.6--0.119645999999976</f>
        <v>694.64554999999996</v>
      </c>
      <c r="M16" s="3">
        <f>1074.9+(255-470.6)+(-0.548199+(-0.13005--0.240006))+0-232.4--0.118523999999976</f>
        <v>626.58028100000001</v>
      </c>
      <c r="N16" s="3">
        <f>1065.5+(345.7-532.5)+(0.543405+(0.176307-0.271575))+0-233.1-0.118880999999976</f>
        <v>645.92925600000001</v>
      </c>
      <c r="O16" s="3">
        <f>1060.8+(365.8-528)+(0.541008+(0.186558-0.26928))+0-237.6-0.121175999999976</f>
        <v>661.33710999999994</v>
      </c>
      <c r="P16" s="3">
        <f>1051.4+(383.8-494.9)+(0.536214+(0.195738-0.252399))+0-238.1-0.121430999999976</f>
        <v>702.55812200000014</v>
      </c>
      <c r="Q16" s="3">
        <f>1048.9+(413.6-464.5)+(-0.534939+(-0.210936--0.236895))+0-238.3--0.121532999999976</f>
        <v>759.31255300000021</v>
      </c>
      <c r="R16" s="3">
        <f>1046.2+(447.4-416.9)+(0+(0-0))+0-235.8-0</f>
        <v>840.90000000000009</v>
      </c>
      <c r="S16" s="3">
        <f>1045+(459.2-339.7)+(-2.1318+(-0.936768--0.692988))+0-236.9--0.48327599999999</f>
        <v>925.70769600000017</v>
      </c>
      <c r="T16" s="3">
        <f>1042.3+(468.6-301.9)+(-0.531573+(-0.238986--0.153969))+0-237--0.120869999999976</f>
        <v>971.50427999999988</v>
      </c>
      <c r="U16" s="3">
        <f>1041.9+(468.3-312.9)+(-1.062738+(-0.477666--0.319158))+0-237--0.241740000000038</f>
        <v>959.32049400000017</v>
      </c>
      <c r="V16" s="3">
        <f>1044.6+(448.4-361.2)+(-0.532746+(-0.228684--0.184212))+0-235.5--0.120104999999976</f>
        <v>895.84288700000002</v>
      </c>
      <c r="W16" s="3">
        <f>1130.5+(411.5-430.3)+(-1.15311+(-0.41973--0.438906))+0-237.2--0.241944000000038</f>
        <v>873.60801000000004</v>
      </c>
      <c r="X16" s="3">
        <f>1048.8+(392.4-488.2)+(-2.67444+(-1.00062--1.24491))+0-237.2--0.604859999999966</f>
        <v>713.97470999999996</v>
      </c>
      <c r="Y16" s="3">
        <f>1069.5+(429.9-503.9)+(-0.545445+(-0.219249--0.256989))+0-236.3--0.120512999999976</f>
        <v>758.81280800000002</v>
      </c>
      <c r="Z16" s="3">
        <f>1085.4+(466-470.4)+(-1.660662+(-0.71298--0.719712))+0-236.3--0.361539000000014</f>
        <v>843.40760900000009</v>
      </c>
      <c r="AA16" s="3">
        <f>1088.8+(468-415.6)+(-2.221152+(-0.95472--0.847824))+0-237.9--0.48531599999999</f>
        <v>901.45726799999977</v>
      </c>
      <c r="AB16" s="3">
        <f>1096.4+(473-358.6)+(-1.118328+(-0.48246--0.365772))+0-236.3--0.241026000000038</f>
        <v>973.50601000000017</v>
      </c>
      <c r="AC16" s="3">
        <f>1097.7+(438-296.9)+(-2.239308+(-0.89352--0.605676))+0-238.8--0.48715199999999</f>
        <v>997.96000000000038</v>
      </c>
      <c r="AD16">
        <f t="shared" si="0"/>
        <v>20037.109713999998</v>
      </c>
      <c r="AE16" s="3">
        <f>1084+(470.1-472.5)+(0+(0-0))+0-238.4-0</f>
        <v>843.19999999999993</v>
      </c>
    </row>
    <row r="17" spans="1:31" s="2" customFormat="1" x14ac:dyDescent="0.25">
      <c r="A17">
        <v>89</v>
      </c>
      <c r="B17">
        <v>1</v>
      </c>
      <c r="C17">
        <v>17</v>
      </c>
      <c r="D17">
        <v>4</v>
      </c>
      <c r="E17">
        <v>1</v>
      </c>
      <c r="F17" s="3">
        <f>1095+(439.6-271.8)+(-1.67535+(-0.672588--0.415854))+0-237.9--0.363987000000014</f>
        <v>1023.331903</v>
      </c>
      <c r="G17" s="3">
        <f>1096.7+(407-266.6)+(-2.796585+(-1.03785--0.67983))+0-237.8--0.606389999999966</f>
        <v>996.75178499999993</v>
      </c>
      <c r="H17" s="3">
        <f>1100.6+(367.1-259.5)+(-1.683918+(-0.561663--0.397035))+0-236.6--0.361998000000014</f>
        <v>970.11345199999982</v>
      </c>
      <c r="I17" s="3">
        <f>1106.7+(317.6-261.4)+(-2.822085+(-0.80988--0.66657))+0-234.8--0.598739999999966</f>
        <v>925.73334500000021</v>
      </c>
      <c r="J17" s="3">
        <f>1117+(264.2-253.9)+(0+(0-0))+0-234.2-0</f>
        <v>893.09999999999991</v>
      </c>
      <c r="K17" s="3">
        <f>1119.2+(245.9-285.9)+(1.141584+(0.250818-0.291618))+0-234.6-0.239292000000037</f>
        <v>845.46149199999991</v>
      </c>
      <c r="L17" s="3">
        <f>1109.6+(236.5-379.2)+(0+(0-0))+0-233.7-0</f>
        <v>733.19999999999982</v>
      </c>
      <c r="M17" s="3">
        <f>1114.2+(250-465)+(-2.272968+(-0.51--0.9486))+0-234--0.47735999999999</f>
        <v>663.84299199999998</v>
      </c>
      <c r="N17" s="3">
        <f>1107.9+(305-499.2)+(0+(0-0))+0-234.8-0</f>
        <v>678.90000000000009</v>
      </c>
      <c r="O17" s="3">
        <f>1100.6+(349.9-505.2)+(1.683918+(0.535347-0.772956))+0-238.6-0.365058000000014</f>
        <v>707.781251</v>
      </c>
      <c r="P17" s="3">
        <f>1093.9+(377.1-487.1)+(0.557889+(0.192321-0.248421))+0-237.8-0.121277999999976</f>
        <v>746.48051100000009</v>
      </c>
      <c r="Q17" s="3">
        <f>1086.2+(392.9-455.7)+(-1.661886+(-0.601137--0.697221))+0-239.4--0.366282000000014</f>
        <v>782.80048000000022</v>
      </c>
      <c r="R17" s="3">
        <f>1081.3+(412.3-405)+(-0.551463+(-0.210273--0.20655))+0-238.1--0.121430999999976</f>
        <v>850.06624499999987</v>
      </c>
      <c r="S17" s="3">
        <f>1080.3+(430.9-348.8)+(-1.101906+(-0.439518--0.355776))+0-238.5--0.243270000000038</f>
        <v>922.95762200000001</v>
      </c>
      <c r="T17" s="3">
        <f>1079+(435.3-315.3)+(-0.55029+(-0.222003--0.160803))+0-239.4--0.122093999999976</f>
        <v>959.11060399999997</v>
      </c>
      <c r="U17" s="3">
        <f>1078+(425.3-317.7)+(1.09956+(0.433806-0.324054))+0-238.2-0.242964000000038</f>
        <v>948.36634799999979</v>
      </c>
      <c r="V17" s="3">
        <f>1079.1+(414.9-372.6)+(1.100682+(0.423198-0.380052))+0-239.2-0.243984000000038</f>
        <v>883.09984399999973</v>
      </c>
      <c r="W17" s="3">
        <f>1080.6+(386-440.2)+(-1.653318+(-0.59058--0.673506))+0-241.4--0.369342000000014</f>
        <v>783.79894999999976</v>
      </c>
      <c r="X17" s="3">
        <f>1085.6+(372.6-506)+(-1.107312+(-0.380052--0.51612))+0-241.8--0.246636000000039</f>
        <v>709.6753920000001</v>
      </c>
      <c r="Y17" s="3">
        <f>1090.6+(419.1-528.2)+(-1.112412+(-0.427482--0.538764))+0-235--0.239700000000037</f>
        <v>745.73856999999998</v>
      </c>
      <c r="Z17" s="3">
        <f>1096.5+(449.9-485)+(-1.11843+(-0.458898--0.4947))+0-235.3--0.240006000000038</f>
        <v>825.25737800000002</v>
      </c>
      <c r="AA17" s="3">
        <f>1097.6+(460.8-441.1)+(-1.119552+(-0.470016--0.449922))+0-234.1--0.238782000000037</f>
        <v>882.29913599999986</v>
      </c>
      <c r="AB17" s="3">
        <f>1101+(454.5-375.3)+(0+(0-0))+0-235.1-0</f>
        <v>945.1</v>
      </c>
      <c r="AC17" s="3">
        <f>1105.1+(453.9-311.4)+(-0.563601+(-0.231489--0.158814))+0-237.6--0.121175999999976</f>
        <v>1009.4848999999999</v>
      </c>
      <c r="AD17">
        <f t="shared" si="0"/>
        <v>20432.4522</v>
      </c>
      <c r="AE17" s="3">
        <f>1096+(448.1-483.7)+(0+(0-0))+0-233.6-0</f>
        <v>826.80000000000007</v>
      </c>
    </row>
    <row r="18" spans="1:31" s="2" customFormat="1" x14ac:dyDescent="0.25">
      <c r="A18">
        <v>89</v>
      </c>
      <c r="B18">
        <v>1</v>
      </c>
      <c r="C18">
        <v>18</v>
      </c>
      <c r="D18">
        <v>5</v>
      </c>
      <c r="E18">
        <v>1</v>
      </c>
      <c r="F18" s="3">
        <f>1108.2+(432.4-294.2)+(-1.695546+(-0.661572--0.450126))+0-236.3--0.361539000000014</f>
        <v>1008.5545470000002</v>
      </c>
      <c r="G18" s="3">
        <f>1109.5+(373-275.4)+(0.565845+(0.19023-0.140454))+0-237.5-0.121124999999976</f>
        <v>970.09449599999982</v>
      </c>
      <c r="H18" s="3">
        <f>1111.1+(332.2-267)+(-0.566661+(-0.169422--0.13617))+0-236.3--0.120512999999976</f>
        <v>939.52059999999994</v>
      </c>
      <c r="I18" s="3">
        <f>1110.3+(309-283.1)+(-0.566253+(-0.15759--0.144381))+0-238--0.121379999999976</f>
        <v>897.74191799999983</v>
      </c>
      <c r="J18" s="3">
        <f>1111.1+(273.6-293.4)+(-3.399966+(-0.837216--0.897804))+0-234.8--0.718488000000027</f>
        <v>853.87911000000008</v>
      </c>
      <c r="K18" s="3">
        <f>1111.6+(227.1-291.3)+(0+(0-0))+0-234.8-0</f>
        <v>812.59999999999991</v>
      </c>
      <c r="L18" s="3">
        <f>1112.5+(201.6-367)+(-1.13475+(-0.205632--0.37434))+0-235.4--0.240108000000038</f>
        <v>710.97406600000011</v>
      </c>
      <c r="M18" s="3">
        <f>1109.2+(211-466.1)+(-0.565692+(-0.10761--0.237711))+0-234.4--0.119543999999976</f>
        <v>619.38395300000002</v>
      </c>
      <c r="N18" s="3">
        <f>1106.2+(312.5-511)+(0.564162+(0.159375-0.26061))+0-235.9-0.120308999999976</f>
        <v>672.14261800000008</v>
      </c>
      <c r="O18" s="3">
        <f>1093.9+(376.4-535.2)+(0+(0-0))+0-233.8-0</f>
        <v>701.3</v>
      </c>
      <c r="P18" s="3">
        <f>1088.5+(390.1-508.5)+(0+(0-0))+0-235.8-0</f>
        <v>734.3</v>
      </c>
      <c r="Q18" s="3">
        <f>1083.3+(414.6-489.2)+(-1.104966+(-0.422892--0.498984))+0-235.6--0.240312000000038</f>
        <v>772.31143800000007</v>
      </c>
      <c r="R18" s="3">
        <f>1075.7+(441.7-438.1)+(-1.645821+(-0.675801--0.670293))+0-236.7--0.362151000000014</f>
        <v>841.31082199999992</v>
      </c>
      <c r="S18" s="3">
        <f>1067+(461.7-365.5)+(-1.63251+(-0.706401--0.559215))+0-235.9--0.360927000000014</f>
        <v>925.88123100000007</v>
      </c>
      <c r="T18" s="3">
        <f>1064.7+(472.2-321.4)+(-1.628991+(-0.722466--0.491742))+0-234.8--0.359244000000014</f>
        <v>979.19952899999998</v>
      </c>
      <c r="U18" s="3">
        <f>1063.5+(461.3-315.9)+(-1.627155+(-0.705789--0.483327))+0-236.3--0.361539000000014</f>
        <v>971.11192200000005</v>
      </c>
      <c r="V18" s="3">
        <f>1064.3+(402-327.8)+(-0.542793+(-0.20502--0.167178))+0-236.2--0.120461999999976</f>
        <v>901.8398269999999</v>
      </c>
      <c r="W18" s="3">
        <f>1083.1+(347.3-386.9)+(-2.761905+(-0.885615--0.986595))+0-236.8--0.603839999999966</f>
        <v>804.64291500000013</v>
      </c>
      <c r="X18" s="3">
        <f>1090.2+(338.5-471.2)+(-1.668006+(-0.517905--0.720936))+0-234.1--0.358173000000014</f>
        <v>722.29319799999996</v>
      </c>
      <c r="Y18" s="3">
        <f>1096.8+(397.2-512.6)+(-1.118736+(-0.405144--0.522852))+0-235.8--0.240516000000038</f>
        <v>744.83948799999985</v>
      </c>
      <c r="Z18" s="3">
        <f>1100.2+(451.5-488.6)+(-3.927714+(-1.611855--1.744302))+0-236.6--0.844662000000003</f>
        <v>823.54939499999989</v>
      </c>
      <c r="AA18" s="3">
        <f>1104.7+(452.1-435.8)+(-1.690191+(-0.691713--0.666774))+0-236.3--0.361539000000014</f>
        <v>883.34640899999999</v>
      </c>
      <c r="AB18" s="3">
        <f>1078+(483.2-368.2)+(-1.64934+(-0.739296--0.563346))+0-235.7--0.360621000000014</f>
        <v>955.835331</v>
      </c>
      <c r="AC18" s="3">
        <f>862.2+(656.8-281.1)+(0.439722+(0.334968-0.143361))+0-236.9-0.120818999999976</f>
        <v>1001.5105100000002</v>
      </c>
      <c r="AD18">
        <f t="shared" si="0"/>
        <v>20248.163322999997</v>
      </c>
      <c r="AE18" s="3">
        <f>1099+(453.1-483.3)+(0+(0-0))+0-240.8-0</f>
        <v>828</v>
      </c>
    </row>
    <row r="19" spans="1:31" s="2" customFormat="1" x14ac:dyDescent="0.25">
      <c r="A19">
        <v>89</v>
      </c>
      <c r="B19">
        <v>1</v>
      </c>
      <c r="C19">
        <v>19</v>
      </c>
      <c r="D19">
        <v>6</v>
      </c>
      <c r="E19">
        <v>1</v>
      </c>
      <c r="F19" s="3">
        <f>881.9+(574.3-219.7)+(-1.799076+(-1.171572--0.448188))+0-234.8--0.47899199999999</f>
        <v>999.65653200000008</v>
      </c>
      <c r="G19" s="3">
        <f>890.5+(548.3-215.2)+(-1.362465+(-0.838899--0.329256))+0-235.9--0.360927000000014</f>
        <v>986.18881899999997</v>
      </c>
      <c r="H19" s="3">
        <f>890.6+(544-243.4)+(-0.908412+(-0.55488--0.248268))+0-236.7--0.241434000000038</f>
        <v>953.52640999999994</v>
      </c>
      <c r="I19" s="3">
        <f>890.6+(513.1-262.2)+(-1.362618+(-0.785043--0.401166))+0-235.5--0.360315000000014</f>
        <v>904.61381999999992</v>
      </c>
      <c r="J19" s="3">
        <f>893.1+(455.7-255)+(0+(0-0))+0-235.1-0</f>
        <v>858.69999999999993</v>
      </c>
      <c r="K19" s="3">
        <f>893.9+(404.4-261.2)+(0.455889+(0.206244-0.133212))+0-236.1-0.120410999999976</f>
        <v>801.40850999999998</v>
      </c>
      <c r="L19" s="3">
        <f>894.5+(341.7-292.6)+(-0.91239+(-0.348534--0.298452))+0-236.3--0.241026000000038</f>
        <v>706.57855399999983</v>
      </c>
      <c r="M19" s="3">
        <f>896+(320-360.6)+(-0.45696+(-0.1632--0.183906))+0-234.1--0.119390999999976</f>
        <v>620.98313699999994</v>
      </c>
      <c r="N19" s="3">
        <f>889.4+(443.4-429.4)+(-0.453594+(-0.226134--0.218994))+0-235.5--0.120104999999976</f>
        <v>667.55937099999994</v>
      </c>
      <c r="O19" s="3">
        <f>881.5+(460.5-420)+(1.348695+(0.704565-0.6426))+0-235.4-0.360162000000014</f>
        <v>687.65049799999997</v>
      </c>
      <c r="P19" s="3">
        <f>876.5+(470.1-383.3)+(0.89403+(0.479502-0.390966))+0-239.3-0.244086000000038</f>
        <v>724.73847999999987</v>
      </c>
      <c r="Q19" s="3">
        <f>869.6+(494.3-365.7)+(0.443496+(0.252093-0.186507))+0-237.6-0.121175999999976</f>
        <v>760.98790600000007</v>
      </c>
      <c r="R19" s="3">
        <f>861.4+(524.3-324.6)+(0+(0-0))+0-236.2-0</f>
        <v>824.89999999999986</v>
      </c>
      <c r="S19" s="3">
        <f>862.5+(591.7-308.5)+(-1.7595+(-1.207068--0.62934))+0-235.8--0.48103199999999</f>
        <v>908.04380400000002</v>
      </c>
      <c r="T19" s="3">
        <f>849.9+(700.5-304.1)+(1.300347+(1.071765-0.465273))+0-237-0.362610000000014</f>
        <v>1010.8442289999999</v>
      </c>
      <c r="U19" s="3">
        <f>849.2+(606.4-287.9)+(-0.433092+(-0.309264--0.146829))+0-240.8--0.122807999999976</f>
        <v>926.42728100000011</v>
      </c>
      <c r="V19" s="3">
        <f>852.8+(575.8-294.9)+(-0.434928+(-0.293658--0.150399))+0-239--0.121889999999976</f>
        <v>894.24370299999975</v>
      </c>
      <c r="W19" s="3">
        <f>858.5+(438.2-283.4)+(-0.87567+(-0.446964--0.289068))+0-238.5--0.243270000000038</f>
        <v>774.00970400000006</v>
      </c>
      <c r="X19" s="3">
        <f>860.7+(328-262.8)+(-0.438957+(-0.16728--0.134028))+0-237.6--0.121175999999976</f>
        <v>687.94896700000004</v>
      </c>
      <c r="Y19" s="3">
        <f>863.5+(430.9-324.7)+(0.88077+(0.439518-0.331194))+0-238.7-0.243474000000038</f>
        <v>731.74562000000003</v>
      </c>
      <c r="Z19" s="3">
        <f>865.3+(532.7-347.2)+(0.441303+(0.271677-0.177072))+0-239-0.121889999999976</f>
        <v>812.21401800000001</v>
      </c>
      <c r="AA19" s="3">
        <f>872.7+(558.7-330.9)+(0+(0-0))+0-238.5-0</f>
        <v>862</v>
      </c>
      <c r="AB19" s="3">
        <f>876.5+(592.5-311.5)+(-1.341045+(-0.906525--0.476595))+0-237.9--0.363987000000014</f>
        <v>918.19301200000018</v>
      </c>
      <c r="AC19" s="3">
        <f>878.8+(615.1-280.2)+(0+(0-0))+0-237.8-0</f>
        <v>975.90000000000009</v>
      </c>
      <c r="AD19">
        <f t="shared" si="0"/>
        <v>19999.062375000001</v>
      </c>
      <c r="AE19" s="3">
        <f>868+(521.9-344.2)+(0+(0-0))+0-239-0</f>
        <v>806.7</v>
      </c>
    </row>
    <row r="20" spans="1:31" s="2" customFormat="1" x14ac:dyDescent="0.25">
      <c r="A20">
        <v>89</v>
      </c>
      <c r="B20">
        <v>1</v>
      </c>
      <c r="C20">
        <v>20</v>
      </c>
      <c r="D20">
        <v>7</v>
      </c>
      <c r="E20">
        <v>1</v>
      </c>
      <c r="F20" s="3">
        <f>884.5+(598.5-258)+(-0.90219+(-0.61047--0.26316))+0-237.2--0.241944000000038</f>
        <v>986.79244400000005</v>
      </c>
      <c r="G20" s="3">
        <f>886.4+(577.7-251.9)+(-1.808256+(-1.178508--0.513876))+0-239.5--0.48857999999999</f>
        <v>970.71569199999999</v>
      </c>
      <c r="H20" s="3">
        <f>889.2+(562.6-256.9)+(-0.906984+(-0.573852--0.262038))+0-239.6--0.244392000000038</f>
        <v>954.32559400000002</v>
      </c>
      <c r="I20" s="3">
        <f>890.2+(542.5-267.8)+(-0.454002+(-0.276675--0.136578))+0-238.8--0.121787999999976</f>
        <v>925.62768900000015</v>
      </c>
      <c r="J20" s="3">
        <f>893.7+(515.7-276)+(-0.911574+(-0.526014--0.28152))+0-239.8--0.244596000000038</f>
        <v>892.68852800000013</v>
      </c>
      <c r="K20" s="3">
        <f>892.6+(457-270.9)+(-0.455226+(-0.23307--0.138159))+0-237.6--0.121175999999976</f>
        <v>840.67103900000006</v>
      </c>
      <c r="L20" s="3">
        <f>889.8+(351.1-264.3)+(-1.815192+(-0.716244--0.539172))+0-235--0.47939999999999</f>
        <v>740.08713599999987</v>
      </c>
      <c r="M20" s="3">
        <f>887.2+(268.3-280.3)+(0+(0-0))+0-235.6-0</f>
        <v>639.6</v>
      </c>
      <c r="N20" s="3">
        <f>879.8+(341.8-316.5)+(-0.897396+(-0.348636--0.32283))+0-234.2--0.238884000000037</f>
        <v>670.2156819999999</v>
      </c>
      <c r="O20" s="3">
        <f>864.9+(422.2-365.5)+(1.323297+(0.645966-0.559215))+0-234.9-0.359397000000014</f>
        <v>687.75065099999983</v>
      </c>
      <c r="P20" s="3">
        <f>859.6+(468.5-372)+(0.876792+(0.47787-0.37944))+0-234.5-0.239190000000037</f>
        <v>722.33603200000005</v>
      </c>
      <c r="Q20" s="3">
        <f>906.5+(468.7-396.1)+(0.462315+(0.239037-0.202011))+0-234.7-0.119696999999976</f>
        <v>744.77964399999985</v>
      </c>
      <c r="R20" s="3">
        <f>983.9+(486.5-420.1)+(0+(0-0))+0-233.8-0</f>
        <v>816.5</v>
      </c>
      <c r="S20" s="3">
        <f>990.4+(528-393.3)+(-0.505104+(-0.26928--0.200583))+0-233.4--0.119033999999976</f>
        <v>891.24523299999987</v>
      </c>
      <c r="T20" s="3">
        <f>1077.5+(499.5-391.8)+(-1.09905+(-0.50949--0.399636))+0-233.4--0.238068000000037</f>
        <v>950.82916399999999</v>
      </c>
      <c r="U20" s="3">
        <f>1106.7+(457.3-381.8)+(0.564417+(0.233223-0.194718))+0-233.1-0.118880999999976</f>
        <v>949.58404100000007</v>
      </c>
      <c r="V20" s="3">
        <f>1109.6+(410.9-408.7)+(-2.263584+(-0.838236--0.833748))+0-233.3--0.47593199999999</f>
        <v>876.70785999999987</v>
      </c>
      <c r="W20" s="3">
        <f>1119.6+(396.2-510.8)+(-1.141992+(-0.404124--0.521016))+0-234.1--0.238782000000037</f>
        <v>770.11368199999993</v>
      </c>
      <c r="X20" s="3">
        <f>1109.4+(373.2-545.8)+(-3.394764+(-1.141992--1.670148))+0-234.8--0.718488000000027</f>
        <v>699.85188000000016</v>
      </c>
      <c r="Y20" s="3">
        <f>1127.4+(408.7-551.3)+(0+(0-0))+0-234.6-0</f>
        <v>750.20000000000016</v>
      </c>
      <c r="Z20" s="3">
        <f>1137.6+(447.2-494.4)+(-0.580176+(-0.228072--0.252144))+0-233.8--0.119237999999976</f>
        <v>856.1631339999999</v>
      </c>
      <c r="AA20" s="3">
        <f>1146.4+(471.7-439.1)+(-1.753992+(-0.721701--0.671823))+0-234.8--0.359244000000014</f>
        <v>942.75537400000007</v>
      </c>
      <c r="AB20" s="3">
        <f>1140.6+(492.4-369.7)+(-1.745118+(-0.753372--0.565641))+0-233.6--0.357408000000013</f>
        <v>1028.1245590000001</v>
      </c>
      <c r="AC20" s="3">
        <f>1121+(519.3-310.4)+(-2.28684+(-1.059372--0.633216))+0-233.3--0.47593199999999</f>
        <v>1094.3629360000002</v>
      </c>
      <c r="AD20">
        <f t="shared" si="0"/>
        <v>20402.027994</v>
      </c>
      <c r="AE20" s="3">
        <f>1140+(404.1-499.1)+(0+(0-0))+0-233-0</f>
        <v>812</v>
      </c>
    </row>
    <row r="21" spans="1:31" s="2" customFormat="1" x14ac:dyDescent="0.25">
      <c r="A21">
        <v>89</v>
      </c>
      <c r="B21">
        <v>1</v>
      </c>
      <c r="C21">
        <v>21</v>
      </c>
      <c r="D21">
        <v>1</v>
      </c>
      <c r="E21">
        <v>1</v>
      </c>
      <c r="F21" s="3">
        <f>1130+(511.5-299.5)+(-2.8815+(-1.304325--0.763725))+0-234.9--0.598994999999966</f>
        <v>1104.276895</v>
      </c>
      <c r="G21" s="3">
        <f>1128+(475.9-285.2)+(-2.8764+(-1.213545--0.72726))+0-235.2--0.599759999999966</f>
        <v>1080.737075</v>
      </c>
      <c r="H21" s="3">
        <f>1126.6+(423.2-267.4)+(-3.447396+(-1.294992--0.818244))+0-237.5--0.726750000000027</f>
        <v>1041.7026059999998</v>
      </c>
      <c r="I21" s="3">
        <f>1126.1+(370.6-260.5)+(-0.574311+(-0.189006--0.132855))+0-235.5--0.120104999999976</f>
        <v>1000.1896429999997</v>
      </c>
      <c r="J21" s="3">
        <f>1126.8+(328.6-251.7)+(-1.724004+(-0.502758--0.385101))+0-235.5--0.360315000000014</f>
        <v>966.71865400000013</v>
      </c>
      <c r="K21" s="3">
        <f>1129.7+(265.7-255.6)+(-1.152294+(-0.271014--0.260712))+0-234.9--0.239598000000037</f>
        <v>903.97700200000008</v>
      </c>
      <c r="L21" s="3">
        <f>1130.2+(208.1-322.4)+(-3.458412+(-0.636786--0.986544))+0-234.9--0.718794000000027</f>
        <v>778.61014000000011</v>
      </c>
      <c r="M21" s="3">
        <f>1125.1+(200-391.2)+(0.573801+(0.102-0.199512))+0-234-0.119339999999976</f>
        <v>700.25694899999985</v>
      </c>
      <c r="N21" s="3">
        <f>1120.3+(286.7-443.6)+(0+(0-0))+0-238.2-0</f>
        <v>725.19999999999982</v>
      </c>
      <c r="O21" s="3">
        <f>1109.8+(318.5-478.2)+(-1.131996+(-0.32487--0.487764))+0-237.7--0.242454000000038</f>
        <v>711.67335199999991</v>
      </c>
      <c r="P21" s="3">
        <f>1099.4+(396.3-495.8)+(0.560694+(0.202113-0.252858))+0-237.8-0.121277999999976</f>
        <v>762.48867100000018</v>
      </c>
      <c r="Q21" s="3">
        <f>1095.1+(416.9-457.1)+(0.558501+(0.212619-0.233121))+0-237.8-0.121277999999976</f>
        <v>817.51672099999985</v>
      </c>
      <c r="R21" s="3">
        <f>1090.1+(475.2-419.9)+(-1.111902+(-0.484704--0.428298))+0-235.9--0.240618000000038</f>
        <v>908.5723099999999</v>
      </c>
      <c r="S21" s="3">
        <f>1092.2+(494.7-356.5)+(-2.78511+(-1.261485--0.909075))+0-236.7--0.603584999999966</f>
        <v>991.166065</v>
      </c>
      <c r="T21" s="3">
        <f>1093+(489.9-335.8)+(0.55743+(0.249849-0.171258))+0-237-0.120869999999976</f>
        <v>1010.615151</v>
      </c>
      <c r="U21" s="3">
        <f>1094.4+(474.3-329.6)+(-2.232576+(-0.967572--0.672384))+0-237.8--0.48511199999999</f>
        <v>999.25734800000021</v>
      </c>
      <c r="V21" s="3">
        <f>1096.6+(388.6-345.4)+(0+(0-0))+0-236.3-0</f>
        <v>903.5</v>
      </c>
      <c r="W21" s="3">
        <f>1096.7+(382.6-371.6)+(-2.237268+(-0.780504--0.758064))+0-235.7--0.48082799999999</f>
        <v>870.22111999999993</v>
      </c>
      <c r="X21" s="3">
        <f>1105.4+(302.6-432.9)+(-1.127508+(-0.308652--0.441558))+0-235.2--0.239904000000038</f>
        <v>739.14530200000013</v>
      </c>
      <c r="Y21" s="3">
        <f>1106.8+(351.9-442.8)+(-2.257872+(-0.717876--0.903312))+0-237.2--0.48388799999999</f>
        <v>777.11145199999987</v>
      </c>
      <c r="Z21" s="3">
        <f>1107.9+(456.6-444.2)+(-1.695087+(-0.698598--0.679626))+0-237.5--0.363375000000014</f>
        <v>881.44931600000029</v>
      </c>
      <c r="AA21" s="3">
        <f>1122.9+(468.8-377.4)+(-1.718037+(-0.717264--0.577422))+0-236.3--0.361539000000014</f>
        <v>976.50366000000031</v>
      </c>
      <c r="AB21" s="3">
        <f>1125.8+(485.6-329.9)+(-1.722474+(-0.742968--0.504747))+0-235.7--0.360621000000014</f>
        <v>1044.199926</v>
      </c>
      <c r="AC21" s="3">
        <f>1125.2+(502.6-281.1)+(-2.295408+(-1.025304--0.573444))+0-232.8--0.47491199999999</f>
        <v>1111.6276439999999</v>
      </c>
      <c r="AD21">
        <f t="shared" si="0"/>
        <v>21806.717002000005</v>
      </c>
      <c r="AE21" s="3">
        <f>1116+(458-440.1)+(0+(0-0))+0-238-0</f>
        <v>895.90000000000009</v>
      </c>
    </row>
    <row r="22" spans="1:31" s="2" customFormat="1" x14ac:dyDescent="0.25">
      <c r="A22">
        <v>89</v>
      </c>
      <c r="B22">
        <v>1</v>
      </c>
      <c r="C22">
        <v>22</v>
      </c>
      <c r="D22">
        <v>2</v>
      </c>
      <c r="E22">
        <v>1</v>
      </c>
      <c r="F22" s="3">
        <f>1127.6+(479-254.7)+(-1.150152+(-0.48858--0.259794))+0-234.9--0.239598000000037</f>
        <v>1115.8606599999998</v>
      </c>
      <c r="G22" s="3">
        <f>1130.9+(444-242.1)+(-2.883795+(-1.1322--0.617355))+0-236--0.601799999999966</f>
        <v>1094.0031600000002</v>
      </c>
      <c r="H22" s="3">
        <f>1132.4+(397-238.4)+(-1.732572+(-0.60741--0.364752))+0-237--0.362610000000014</f>
        <v>1052.3873799999999</v>
      </c>
      <c r="I22" s="3">
        <f>1132+(333-236.1)+(-1.73196+(-0.50949--0.361233))+0-235--0.359550000000014</f>
        <v>992.3793330000002</v>
      </c>
      <c r="J22" s="3">
        <f>1137.4+(248-216.5)+(-2.90037+(-0.6324--0.552075))+0-236--0.601799999999966</f>
        <v>930.52110500000003</v>
      </c>
      <c r="K22" s="3">
        <f>1141.2+(227-230)+(1.164024+(0.23154-0.2346))+0-236-0.240720000000038</f>
        <v>903.12024399999996</v>
      </c>
      <c r="L22" s="3">
        <f>1143.7+(150-321.6)+(-2.916435+(-0.3825--0.82008))+0-236--0.601799999999966</f>
        <v>734.22294499999998</v>
      </c>
      <c r="M22" s="3">
        <f>1142.2+(240-402.9)+(-0.582522+(-0.1224--0.205479))+0-233--0.118829999999976</f>
        <v>745.91938700000003</v>
      </c>
      <c r="N22" s="3">
        <f>1133.4+(339-470.7)+(0.578034+(0.17289-0.240057))+0-235.3-0.120002999999976</f>
        <v>766.79086400000006</v>
      </c>
      <c r="O22" s="3">
        <f>1134.3+(359-515.5)+(-0.578493+(-0.18309--0.262905))+0-235.7--0.120206999999976</f>
        <v>741.72152899999992</v>
      </c>
      <c r="P22" s="3">
        <f>1119.1+(348.8-458.8)+(-0.570741+(-0.177888--0.233988))+0-236.8--0.120767999999976</f>
        <v>771.90612699999997</v>
      </c>
      <c r="Q22" s="3">
        <f>1107.7+(360.3-408)+(0.564927+(0.183753-0.20808))+0-239.1-0.121940999999976</f>
        <v>821.31865900000003</v>
      </c>
      <c r="R22" s="3">
        <f>1097.3+(447.8-385.2)+(-1.678869+(-0.685134--0.589356))+0-239.1--0.365823000000014</f>
        <v>919.39117600000009</v>
      </c>
      <c r="S22" s="3">
        <f>1095.5+(488.6-321.9)+(-1.676115+(-0.747558--0.492507))+0-237.2--0.362916000000014</f>
        <v>1023.43175</v>
      </c>
      <c r="T22" s="3">
        <f>1095.9+(519.1-306.6)+(0+(0-0))+0-238-0</f>
        <v>1070.4000000000001</v>
      </c>
      <c r="U22" s="3">
        <f>1094.2+(509.1-296.9)+(0+(0-0))+0-237.7-0</f>
        <v>1068.7</v>
      </c>
      <c r="V22" s="3">
        <f>1093.5+(433.6-307.5)+(-0.557685+(-0.221136--0.156825))+0-237.9--0.121328999999976</f>
        <v>981.1993329999998</v>
      </c>
      <c r="W22" s="3">
        <f>1097+(386-392.1)+(-3.35682+(-1.18116--1.199826))+0-238--0.728280000000027</f>
        <v>850.2901260000001</v>
      </c>
      <c r="X22" s="3">
        <f>1109.9+(304-423.3)+(-0.566049+(-0.15504--0.215883))+0-237.6--0.121175999999976</f>
        <v>752.61597000000006</v>
      </c>
      <c r="Y22" s="3">
        <f>1121+(378-490.2)+(-1.14342+(-0.38556--0.500004))+0-235.8--0.240516000000038</f>
        <v>772.21154000000001</v>
      </c>
      <c r="Z22" s="3">
        <f>1126.5+(458-456.6)+(-3.44709+(-1.40148--1.397196))+0-237.8--0.727668000000028</f>
        <v>887.37629400000014</v>
      </c>
      <c r="AA22" s="3">
        <f>1132.1+(474.2-406.5)+(-2.309484+(-0.967368--0.82926))+0-238.6--0.48674399999999</f>
        <v>959.23915199999999</v>
      </c>
      <c r="AB22" s="3">
        <f>984.2+(591-305.2)+(0+(0-0))+0-237.9-0</f>
        <v>1032.0999999999999</v>
      </c>
      <c r="AC22" s="3">
        <f>889+(699.6-259.8)+(-0.45339+(-0.356796--0.132498))+0-236.5--0.120614999999976</f>
        <v>1091.742927</v>
      </c>
      <c r="AD22">
        <f t="shared" si="0"/>
        <v>22078.849661</v>
      </c>
      <c r="AE22" s="3">
        <f>1124+(446-434.4)+(0+(0-0))+0-238-0</f>
        <v>897.59999999999991</v>
      </c>
    </row>
    <row r="23" spans="1:31" s="2" customFormat="1" x14ac:dyDescent="0.25">
      <c r="A23">
        <v>89</v>
      </c>
      <c r="B23">
        <v>1</v>
      </c>
      <c r="C23">
        <v>23</v>
      </c>
      <c r="D23">
        <v>3</v>
      </c>
      <c r="E23">
        <v>1</v>
      </c>
      <c r="F23" s="3">
        <f>893.3+(650.5-230.4)+(-1.366749+(-0.995265--0.352512))+0-235.6--0.360468000000014</f>
        <v>1076.1509660000002</v>
      </c>
      <c r="G23" s="3">
        <f>894.6+(595.9-205.1)+(0+(0-0))+0-236.2-0</f>
        <v>1049.2</v>
      </c>
      <c r="H23" s="3">
        <f>892.8+(536.3-188)+(-0.910656+(-0.547026--0.19176))+0-238.8--0.243576000000038</f>
        <v>1001.277654</v>
      </c>
      <c r="I23" s="3">
        <f>892.3+(480.9-180.8)+(-0.455073+(-0.245259--0.092208))+0-237.9--0.121328999999976</f>
        <v>954.01320499999974</v>
      </c>
      <c r="J23" s="3">
        <f>891.6+(425.3-167.7)+(-1.818864+(-0.867612--0.342108))+0-237.3--0.48409199999999</f>
        <v>910.03972400000009</v>
      </c>
      <c r="K23" s="3">
        <f>893.7+(365.7-166.7)+(-0.455787+(-0.186507--0.085017))+0-237--0.120869999999976</f>
        <v>855.2635929999999</v>
      </c>
      <c r="L23" s="3">
        <f>896.6+(270.5-191.8)+(-0.457266+(-0.137955--0.097818))+0-236.7--0.120716999999976</f>
        <v>738.22331400000007</v>
      </c>
      <c r="M23" s="3">
        <f>926+(270.8-264)+(-0.94452+(-0.276216--0.26928))+0-235--0.239700000000037</f>
        <v>697.08824400000003</v>
      </c>
      <c r="N23" s="3">
        <f>919.3+(359.5-349.1)+(-1.875372+(-0.73338--0.712164))+0-235.7--0.48082799999999</f>
        <v>692.58423999999991</v>
      </c>
      <c r="O23" s="3">
        <f>954+(408-361)+(-1.45962+(-0.62424--0.55233))+0-233.5--0.357255000000013</f>
        <v>766.32572500000003</v>
      </c>
      <c r="P23" s="3">
        <f>944+(455-367.2)+(-1.44432+(-0.69615--0.561816))+0-238--0.364140000000014</f>
        <v>792.58548600000006</v>
      </c>
      <c r="Q23" s="3">
        <f>929+(474.8-330.1)+(-0.94758+(-0.484296--0.336702))+0-237.8--0.242556000000038</f>
        <v>835.04738200000008</v>
      </c>
      <c r="R23" s="3">
        <f>881+(565.6-325.7)+(0+(0-0))+0-238.6-0</f>
        <v>882.30000000000007</v>
      </c>
      <c r="S23" s="3">
        <f>876+(657.1-315.3)+(-0.44676+(-0.335121--0.160803))+0-237.8--0.121277999999976</f>
        <v>979.50020000000006</v>
      </c>
      <c r="T23" s="3">
        <f>874+(687.1-293.8)+(-0.89148+(-0.700842--0.299676))+0-236.5--0.241230000000038</f>
        <v>1029.7485839999999</v>
      </c>
      <c r="U23" s="3">
        <f>874+(674.8-271.2)+(-0.89148+(-0.688296--0.276624))+0-236.1--0.240822000000038</f>
        <v>1040.43767</v>
      </c>
      <c r="V23" s="3">
        <f>875+(561.3-260.2)+(-0.8925+(-0.572526--0.265404))+0-231.2--0.235824000000037</f>
        <v>943.93620199999987</v>
      </c>
      <c r="W23" s="3">
        <f>880+(423.2-242.4)+(-0.4488+(-0.215832--0.123624))+0-233.5--0.119084999999976</f>
        <v>826.87807699999996</v>
      </c>
      <c r="X23" s="3">
        <f>886+(392.7-300.4)+(-0.45186+(-0.200277--0.153204))+0-235.1--0.119900999999976</f>
        <v>742.82096799999999</v>
      </c>
      <c r="Y23" s="3">
        <f>897+(439.2-316.7)+(0+(0-0))+0-234.2-0</f>
        <v>785.3</v>
      </c>
      <c r="Z23" s="3">
        <f>902+(544.2-317.8)+(-0.92004+(-0.555084--0.324156))+0-234.8--0.239496000000037</f>
        <v>892.68852800000025</v>
      </c>
      <c r="AA23" s="3">
        <f>905+(584-305.8)+(-0.9231+(-0.59568--0.311916))+0-234.1--0.238782000000037</f>
        <v>948.13191800000004</v>
      </c>
      <c r="AB23" s="3">
        <f>914+(627-281)+(-1.86456+(-1.27908--0.57324))+0-236--0.48143999999999</f>
        <v>1021.91104</v>
      </c>
      <c r="AC23" s="3">
        <f>916+(669.5-246)+(-0.93432+(-0.68289--0.25092))+0-235.1--0.239802000000037</f>
        <v>1103.2735120000002</v>
      </c>
      <c r="AD23">
        <f t="shared" si="0"/>
        <v>21564.726231999997</v>
      </c>
      <c r="AE23" s="3">
        <f>901+(545.9-317.9)+(0+(0-0))+0-236-0</f>
        <v>893</v>
      </c>
    </row>
    <row r="24" spans="1:31" s="2" customFormat="1" x14ac:dyDescent="0.25">
      <c r="A24">
        <v>89</v>
      </c>
      <c r="B24">
        <v>1</v>
      </c>
      <c r="C24">
        <v>24</v>
      </c>
      <c r="D24">
        <v>4</v>
      </c>
      <c r="E24">
        <v>1</v>
      </c>
      <c r="F24" s="3">
        <f>919+(650.6-231.8)+(-1.40607+(-0.995418--0.354654))+0-234.1--0.358173000000014</f>
        <v>1102.0113390000001</v>
      </c>
      <c r="G24" s="3">
        <f>921+(620.9-244.8)+(-1.40913+(-0.949977--0.374544))+0-234.3--0.358479000000014</f>
        <v>1061.173916</v>
      </c>
      <c r="H24" s="3">
        <f>923+(561.7-233.9)+(0.47073+(0.286467-0.119289))+0-232.6-0.118625999999976</f>
        <v>1018.7192820000001</v>
      </c>
      <c r="I24" s="3">
        <f>924+(513.1-225.5)+(-1.41372+(-0.785043--0.345015))+0-234--0.358020000000014</f>
        <v>976.10427199999992</v>
      </c>
      <c r="J24" s="3">
        <f>923+(486.9-238.9)+(-2.35365+(-1.241595--0.609195))+0-235--0.599249999999966</f>
        <v>933.61320000000001</v>
      </c>
      <c r="K24" s="3">
        <f>922+(415.4-235.1)+(-1.41066+(-0.635562--0.359703))+0-235.4--0.360162000000014</f>
        <v>865.57364299999995</v>
      </c>
      <c r="L24" s="3">
        <f>923+(304.3-251.4)+(-0.47073+(-0.155193--0.128214))+0-232.7--0.118676999999976</f>
        <v>742.82096799999999</v>
      </c>
      <c r="M24" s="3">
        <f>920+(372.9-360.4)+(0+(0-0))+0-232.2-0</f>
        <v>700.3</v>
      </c>
      <c r="N24" s="3">
        <f>918+(437.1-405.7)+(0+(0-0))+0-234.2-0</f>
        <v>715.2</v>
      </c>
      <c r="O24" s="3">
        <f>913+(454.2-404.6)+(-0.46563+(-0.231642--0.206346))+0-228.4--0.116483999999977</f>
        <v>733.825558</v>
      </c>
      <c r="P24" s="3">
        <f>903+(484.1-382.5)+(0+(0-0))+0-239.2-0</f>
        <v>765.40000000000009</v>
      </c>
      <c r="Q24" s="3">
        <f>897+(512-365.6)+(0+(0-0))+0-240.2-0</f>
        <v>803.2</v>
      </c>
      <c r="R24" s="3">
        <f>894+(573.2-350.5)+(-1.36782+(-0.876996--0.536265))+0-237.3--0.363069000000014</f>
        <v>878.05451800000014</v>
      </c>
      <c r="S24" s="3">
        <f>893+(645.7-333.2)+(-0.91086+(-0.658614--0.339864))+0-237--0.241740000000038</f>
        <v>967.51212999999996</v>
      </c>
      <c r="T24" s="3">
        <f>893+(686.3-312.2)+(-0.45543+(-0.350013--0.159222))+0-237.4--0.121073999999976</f>
        <v>1029.1748529999998</v>
      </c>
      <c r="U24" s="3">
        <f>891+(659.9-293.9)+(0.45441+(0.336549-0.149889))+0-236.5-0.120614999999976</f>
        <v>1021.020455</v>
      </c>
      <c r="V24" s="3">
        <f>945.7+(510.2-287.8)+(-0.482307+(-0.260202--0.146778))+0-238.3--0.121532999999976</f>
        <v>929.32580200000007</v>
      </c>
      <c r="W24" s="3">
        <f>991.2+(395.4-324.1)+(-1.516536+(-0.604962--0.495873))+0-237--0.362610000000014</f>
        <v>824.23698500000012</v>
      </c>
      <c r="X24" s="3">
        <f>993.3+(331.9-331.6)+(-2.532915+(-0.846345--0.84558))+0-238.1--0.607154999999965</f>
        <v>753.5734749999998</v>
      </c>
      <c r="Y24" s="3">
        <f>997.4+(391.1-337.6)+(-1.017348+(-0.398922--0.344352))+0-235.4--0.240108000000038</f>
        <v>814.6681900000001</v>
      </c>
      <c r="Z24" s="3">
        <f>1000.6+(543.7-391.5)+(-2.041224+(-1.109148--0.79866))+0-235.8--0.48103199999999</f>
        <v>915.12932000000035</v>
      </c>
      <c r="AA24" s="3">
        <f>1009.1+(561.1-343.8)+(-2.573205+(-1.430805--0.87669))+0-237--0.604349999999966</f>
        <v>986.87702999999999</v>
      </c>
      <c r="AB24" s="3">
        <f>980.5+(616.8-299.7)+(-2.00022+(-1.258272--0.611388))+0-238.2--0.48592799999999</f>
        <v>1057.238824</v>
      </c>
      <c r="AC24" s="3">
        <f>1029.4+(604.5-262.4)+(-2.099976+(-1.23318--0.535296))+0-235.7--0.48082799999999</f>
        <v>1133.482968</v>
      </c>
      <c r="AD24">
        <f t="shared" si="0"/>
        <v>21728.236728</v>
      </c>
      <c r="AE24" s="3">
        <f>1006+(551-387)+(0+(0-0))+0-238-0</f>
        <v>932</v>
      </c>
    </row>
    <row r="25" spans="1:31" s="2" customFormat="1" x14ac:dyDescent="0.25">
      <c r="A25">
        <v>89</v>
      </c>
      <c r="B25">
        <v>1</v>
      </c>
      <c r="C25">
        <v>25</v>
      </c>
      <c r="D25">
        <v>5</v>
      </c>
      <c r="E25">
        <v>1</v>
      </c>
      <c r="F25" s="3">
        <f>1061.7+(563.3-252.2)+(-1.624401+(-0.861849--0.385866))+0-236.4--0.361692000000014</f>
        <v>1134.6613079999997</v>
      </c>
      <c r="G25" s="3">
        <f>1056.4+(527.9-247.1)+(-1.616292+(-0.807687--0.378063))+0-237.5--0.363375000000014</f>
        <v>1098.0174589999999</v>
      </c>
      <c r="H25" s="3">
        <f>1058.2+(486.2-230.9)+(-1.079364+(-0.495924--0.235518))+0-237--0.241740000000038</f>
        <v>1075.4019699999999</v>
      </c>
      <c r="I25" s="3">
        <f>1060.5+(435.3-224.5)+(-1.08171+(-0.444006--0.22899))+0-235.7--0.240414000000038</f>
        <v>1034.543688</v>
      </c>
      <c r="J25" s="3">
        <f>1061.8+(385.9-225.3)+(-1.083036+(-0.393618--0.229806))+0-235.8--0.240516000000038</f>
        <v>985.59366799999998</v>
      </c>
      <c r="K25" s="3">
        <f>1062.7+(322.4-228.2)+(0.541977+(0.164424-0.116382))+0-236.5-0.120614999999976</f>
        <v>920.86940400000015</v>
      </c>
      <c r="L25" s="3">
        <f>1067.8+(259.2-302.3)+(-0.544578+(-0.132192--0.154173))+0-236.4--0.120563999999976</f>
        <v>787.89796699999988</v>
      </c>
      <c r="M25" s="3">
        <f>1065.3+(306.6-417)+(0.543303+(0.156366-0.21267))+0-236.2-0.120461999999976</f>
        <v>719.06653700000004</v>
      </c>
      <c r="N25" s="3">
        <f>1060.9+(396.9-485.6)+(0+(0-0))+0-235.6-0</f>
        <v>736.6</v>
      </c>
      <c r="O25" s="3">
        <f>1055.5+(441.5-494.9)+(-0.538305+(-0.225165--0.252399))+0-236.3--0.120512999999976</f>
        <v>765.40944200000001</v>
      </c>
      <c r="P25" s="3">
        <f>1047.1+(475-487.1)+(1.068042+(0.4845-0.496842))+0-237.7-0.242454000000038</f>
        <v>798.11324599999978</v>
      </c>
      <c r="Q25" s="3">
        <f>1043.2+(518.8-503)+(-1.596096+(-0.793764--0.76959))+0-235.4--0.360162000000014</f>
        <v>822.33989200000019</v>
      </c>
      <c r="R25" s="3">
        <f>1046.3+(535.1-455.4)+(0.533613+(0.272901-0.232254))+0-234.4-0.119543999999976</f>
        <v>892.0547160000001</v>
      </c>
      <c r="S25" s="3">
        <f>1073.9+(542.5-391.4)+(-0.547689+(-0.276675--0.199614))+0-234.3--0.119492999999976</f>
        <v>990.19474300000002</v>
      </c>
      <c r="T25" s="3">
        <f>1091+(534.5-373.3)+(0.55641+(0.272595-0.190383))+0-236.3-0.120512999999976</f>
        <v>1016.4181090000001</v>
      </c>
      <c r="U25" s="3">
        <f>1090.6+(475.3-362.1)+(-1.668618+(-0.727209--0.554013))+0-236.1--0.361233000000014</f>
        <v>966.21941899999979</v>
      </c>
      <c r="V25" s="3">
        <f>1087.4+(404.7-379.9)+(0+(0-0))+0-235.1-0</f>
        <v>877.1</v>
      </c>
      <c r="W25" s="3">
        <f>1087.4+(329.8-385.9)+(-1.663722+(-0.504594--0.590427))+0-239.6--0.366588000000014</f>
        <v>790.48869900000022</v>
      </c>
      <c r="X25" s="3">
        <f>1094.3+(299.9-413.4)+(-3.348558+(-0.917694--1.265004))+0-241--0.737460000000028</f>
        <v>737.53621199999998</v>
      </c>
      <c r="Y25" s="3">
        <f>1111.1+(378.5-460.6)+(-1.133322+(-0.38607--0.469812))+0-239.2--0.243984000000038</f>
        <v>788.99440399999992</v>
      </c>
      <c r="Z25" s="3">
        <f>1156.9+(516-535)+(-2.360076+(-1.05264--1.0914))+0-240.2--0.49000799999999</f>
        <v>895.86869200000001</v>
      </c>
      <c r="AA25" s="3">
        <f>1169.3+(490.4-440.7)+(-1.789029+(-0.750312--0.674271))+0-240--0.367200000000014</f>
        <v>977.50212999999997</v>
      </c>
      <c r="AB25" s="3">
        <f>1163.9+(495.5-373.5)+(-2.374356+(-1.01082--0.76194))+0-239.1--0.48776399999999</f>
        <v>1044.6645280000002</v>
      </c>
      <c r="AC25" s="3">
        <f>1141.7+(511.9-323.2)+(0+(0-0))+0-238-0</f>
        <v>1092.4000000000001</v>
      </c>
      <c r="AD25">
        <f t="shared" si="0"/>
        <v>21947.956233000001</v>
      </c>
      <c r="AE25" s="3">
        <f>1168+(512-509)+(0+(0-0))+0-241-0</f>
        <v>930</v>
      </c>
    </row>
    <row r="26" spans="1:31" s="2" customFormat="1" x14ac:dyDescent="0.25">
      <c r="A26">
        <v>89</v>
      </c>
      <c r="B26">
        <v>1</v>
      </c>
      <c r="C26">
        <v>26</v>
      </c>
      <c r="D26">
        <v>6</v>
      </c>
      <c r="E26">
        <v>1</v>
      </c>
      <c r="F26" s="3">
        <f>1146.7+(480.3-296.8)+(-1.754451+(-0.734859--0.454104))+0-236.9--0.362457000000014</f>
        <v>1091.6272509999999</v>
      </c>
      <c r="G26" s="3">
        <f>1149.9+(451.5-302.5)+(-0.586449+(-0.230265--0.154275))+0-237.3--0.121022999999976</f>
        <v>1061.0585840000001</v>
      </c>
      <c r="H26" s="3">
        <f>1149.6+(456-332.9)+(0+(0-0))+0-238.2-0</f>
        <v>1034.4999999999998</v>
      </c>
      <c r="I26" s="3">
        <f>1150.6+(425-335.1)+(-2.347224+(-0.867--0.683604))+0-238.4--0.48633599999999</f>
        <v>1000.055716</v>
      </c>
      <c r="J26" s="3">
        <f>1151.2+(370.5-332.4)+(-1.761336+(-0.566865--0.508572))+0-239.6--0.366588000000014</f>
        <v>948.24695900000006</v>
      </c>
      <c r="K26" s="3">
        <f>1151.3+(341.9-360.7)+(0+(0-0))+0-236.9-0</f>
        <v>895.6</v>
      </c>
      <c r="L26" s="3">
        <f>1154+(281.6-446.1)+(-3.53124+(-0.861696--1.365066))+0-235.8--0.721548000000027</f>
        <v>751.39367799999991</v>
      </c>
      <c r="M26" s="3">
        <f>1147.7+(306.4-516.2)+(0.585327+(0.156264-0.263262))+0-236-0.120359999999976</f>
        <v>702.257969</v>
      </c>
      <c r="N26" s="3">
        <f>1145.5+(383.3-567.8)+(0+(0-0))+0-236.5-0</f>
        <v>724.5</v>
      </c>
      <c r="O26" s="3">
        <f>1139.9+(429.9-575.6)+(1.162698+(0.438498-0.587112))+0-239.6-0.244392000000038</f>
        <v>755.36969199999999</v>
      </c>
      <c r="P26" s="3">
        <f>1128.5+(451.1-574.7)+(-1.726605+(-0.690183--0.879291))+0-237.7--0.363681000000014</f>
        <v>766.02618400000006</v>
      </c>
      <c r="Q26" s="3">
        <f>1117.8+(470-527.9)+(-1.710234+(-0.7191--0.807687))+0-238.8--0.365364000000014</f>
        <v>819.8437170000002</v>
      </c>
      <c r="R26" s="3">
        <f>1100.3+(518.4-472.6)+(0+(0-0))+0-238.8-0</f>
        <v>907.3</v>
      </c>
      <c r="S26" s="3">
        <f>1090.1+(536.1-384.4)+(-1.667853+(-0.820233--0.588132))+0-236.9--0.362457000000014</f>
        <v>1003.3625030000001</v>
      </c>
      <c r="T26" s="3">
        <f>1106.4+(549.3-349.9)+(-0.564264+(-0.280143--0.178449))+0-237.9--0.121328999999976</f>
        <v>1067.3553710000001</v>
      </c>
      <c r="U26" s="3">
        <f>1104+(538.9-346.9)+(-0.56304+(-0.274839--0.176919))+0-237.3--0.121022999999976</f>
        <v>1058.160063</v>
      </c>
      <c r="V26" s="3">
        <f>1106.6+(456.9-361.3)+(-1.693098+(-0.699057--0.552789))+0-237.7--0.363681000000014</f>
        <v>963.02431499999989</v>
      </c>
      <c r="W26" s="3">
        <f>1110.7+(400.7-427.7)+(-1.699371+(-0.613071--0.654381))+0-237.4--0.363222000000014</f>
        <v>845.00516100000004</v>
      </c>
      <c r="X26" s="3">
        <f>1117.3+(347-481.9)+(-1.709469+(-0.53091--0.737307))+0-237--0.362610000000014</f>
        <v>744.25953800000002</v>
      </c>
      <c r="Y26" s="3">
        <f>1118.6+(367.4-453.3)+(0.570486+(0.187374-0.231183))+0-236.2-0.120461999999976</f>
        <v>796.90621499999986</v>
      </c>
      <c r="Z26" s="3">
        <f>1125+(518.6-505.1)+(-1.1475+(-0.528972--0.515202))+0-237.7--0.242454000000038</f>
        <v>899.88118399999996</v>
      </c>
      <c r="AA26" s="3">
        <f>1126.3+(532.6-458.6)+(-0.574413+(-0.271626--0.233886))+0-234.8--0.119747999999976</f>
        <v>965.00759499999992</v>
      </c>
      <c r="AB26" s="3">
        <f>1132.7+(542.2-396.5)+(-1.155354+(-0.553044--0.40443))+0-235.3--0.240006000000038</f>
        <v>1042.0360380000002</v>
      </c>
      <c r="AC26" s="3">
        <f>1133.9+(536.9-347.7)+(-3.469734+(-1.642914--1.063962))+0-236.7--0.724302000000027</f>
        <v>1083.0756160000001</v>
      </c>
      <c r="AD26">
        <f t="shared" si="0"/>
        <v>21925.853348999997</v>
      </c>
      <c r="AE26" s="3">
        <f>1125+(493-487.5)+(0+(0-0))+0-246.2-0</f>
        <v>884.3</v>
      </c>
    </row>
    <row r="27" spans="1:31" s="2" customFormat="1" x14ac:dyDescent="0.25">
      <c r="A27">
        <v>89</v>
      </c>
      <c r="B27">
        <v>1</v>
      </c>
      <c r="C27">
        <v>27</v>
      </c>
      <c r="D27">
        <v>7</v>
      </c>
      <c r="E27">
        <v>1</v>
      </c>
      <c r="F27" s="3">
        <f>1134.9+(547.8-325)+(-1.157598+(-0.558756--0.3315))+0-236.5--0.241230000000038</f>
        <v>1120.0563760000002</v>
      </c>
      <c r="G27" s="3">
        <f>1131.2+(528.6-316.9)+(-2.88456+(-1.34793--0.808095))+0-237.1--0.604604999999966</f>
        <v>1102.9802100000002</v>
      </c>
      <c r="H27" s="3">
        <f>1136.4+(514.2-320.5)+(-2.89782+(-1.31121--0.817275))+0-239.1--0.609704999999965</f>
        <v>1088.2179500000002</v>
      </c>
      <c r="I27" s="3">
        <f>1138.3+(498.1-343.3)+(-1.161066+(-0.508062--0.350166))+0-238.1--0.242862000000038</f>
        <v>1053.9239</v>
      </c>
      <c r="J27" s="3">
        <f>1142.3+(484.5-373.2)+(0+(0-0))+0-238-0</f>
        <v>1015.5999999999999</v>
      </c>
      <c r="K27" s="3">
        <f>1145+(419-385.3)+(-2.3358+(-0.85476--0.786012))+0-235.3--0.48001199999999</f>
        <v>941.4754640000001</v>
      </c>
      <c r="L27" s="3">
        <f>1143.2+(292.3-392.5)+(-4.081224+(-1.043511--1.401225))+0-234.3--0.836451000000003</f>
        <v>805.81294100000002</v>
      </c>
      <c r="M27" s="3">
        <f>1143+(256.3-434.4)+(-2.33172+(-0.522852--0.886176))+0-232.7--0.47470799999999</f>
        <v>730.70631200000003</v>
      </c>
      <c r="N27" s="3">
        <f>1133.4+(290.7-448.7)+(0+(0-0))+0-233.7-0</f>
        <v>741.7</v>
      </c>
      <c r="O27" s="3">
        <f>1119.5+(382.1-512.1)+(1.14189+(0.389742-0.522342))+0-234.4-0.239088000000037</f>
        <v>755.87020199999995</v>
      </c>
      <c r="P27" s="3">
        <f>1112.2+(405.7-506.3)+(0+(0-0))+0-235.1-0</f>
        <v>776.5</v>
      </c>
      <c r="Q27" s="3">
        <f>1109.7+(453.7-497.5)+(-1.131894+(-0.462774--0.50745))+0-234.7--0.239394000000037</f>
        <v>830.35217600000021</v>
      </c>
      <c r="R27" s="3">
        <f>1102.1+(497.1-455.7)+(-1.124142+(-0.507042--0.464814))+0-234.7--0.239394000000037</f>
        <v>907.8730240000001</v>
      </c>
      <c r="S27" s="3">
        <f>1093.4+(535.4-397.4)+(0+(0-0))+0-234.4-0</f>
        <v>997.00000000000011</v>
      </c>
      <c r="T27" s="3">
        <f>1094.8+(576.9-368.4)+(-2.233392+(-1.176876--0.751536))+0-234.9--0.47919599999999</f>
        <v>1066.2204639999998</v>
      </c>
      <c r="U27" s="3">
        <f>1098.7+(540.1-335.2)+(-3.922359+(-1.928157--1.196664))+0-233.7--0.834309000000003</f>
        <v>1066.0804570000003</v>
      </c>
      <c r="V27" s="3">
        <f>1101.2+(434.6-324.3)+(-3.369672+(-1.329876--0.992358))+0-234.3--0.716958000000027</f>
        <v>974.20976799999994</v>
      </c>
      <c r="W27" s="3">
        <f>1109.8+(337.6-373.2)+(-0.565998+(-0.172176--0.190332))+0-235--0.119849999999976</f>
        <v>838.77200800000003</v>
      </c>
      <c r="X27" s="3">
        <f>1114.6+(314.2-449.1)+(-2.84223+(-0.80121--1.145205))+0-236.3--0.602564999999966</f>
        <v>741.50432999999975</v>
      </c>
      <c r="Y27" s="3">
        <f>1114.7+(379.9-481.2)+(-1.136994+(-0.387498--0.490824))+0-235.9--0.240618000000038</f>
        <v>776.70695000000012</v>
      </c>
      <c r="Z27" s="3">
        <f>1128.8+(503.1-495.1)+(-1.151376+(-0.513162--0.505002))+0-235.7--0.240414000000038</f>
        <v>900.18087800000001</v>
      </c>
      <c r="AA27" s="3">
        <f>1132+(535.4-440.2)+(0+(0-0))+0-235.3-0</f>
        <v>991.90000000000009</v>
      </c>
      <c r="AB27" s="3">
        <f>1130.7+(559.2-365.1)+(-1.729971+(-0.855576--0.558603))+0-234.5--0.358785000000014</f>
        <v>1088.6318410000003</v>
      </c>
      <c r="AC27" s="3">
        <f>1138.3+(596.8-321.8)+(-1.741599+(-0.913104--0.492354))+0-234.3--0.358479000000014</f>
        <v>1177.19613</v>
      </c>
      <c r="AD27">
        <f t="shared" si="0"/>
        <v>22489.471381000007</v>
      </c>
      <c r="AE27" s="3">
        <f>1125+(522.1-462.6)+(0+(0-0))+0-234.3-0</f>
        <v>950.2</v>
      </c>
    </row>
    <row r="28" spans="1:31" s="2" customFormat="1" x14ac:dyDescent="0.25">
      <c r="A28">
        <v>89</v>
      </c>
      <c r="B28">
        <v>1</v>
      </c>
      <c r="C28">
        <v>28</v>
      </c>
      <c r="D28">
        <v>1</v>
      </c>
      <c r="E28">
        <v>1</v>
      </c>
      <c r="F28" s="3">
        <f>1138+(570.6-302.9)+(-2.9019+(-1.45503--0.772395))+0-234.3--0.597464999999966</f>
        <v>1168.4129300000002</v>
      </c>
      <c r="G28" s="3">
        <f>1137.2+(538.8-293.9)+(-3.479832+(-1.648728--0.899334))+0-234.7--0.718182000000027</f>
        <v>1143.888956</v>
      </c>
      <c r="H28" s="3">
        <f>1142.2+(498.8-282.6)+(-2.330088+(-1.017552--0.576504))+0-235.4--0.48021599999999</f>
        <v>1120.7090799999999</v>
      </c>
      <c r="I28" s="3">
        <f>1138.7+(446.6-268.3)+(-1.161474+(-0.455532--0.273666))+0-235.4--0.240108000000038</f>
        <v>1080.496768</v>
      </c>
      <c r="J28" s="3">
        <f>1137.8+(410.4-266.8)+(-1.740834+(-0.627912--0.408204))+0-234.5--0.358785000000014</f>
        <v>1045.298243</v>
      </c>
      <c r="K28" s="3">
        <f>1140.7+(329.4-256.6)+(-1.163514+(-0.335988--0.261732))+0-234.8--0.239496000000037</f>
        <v>977.70172600000012</v>
      </c>
      <c r="L28" s="3">
        <f>1143.2+(278.8-357.8)+(-0.583032+(-0.142188--0.182478))+0-234.4--0.119543999999976</f>
        <v>829.376802</v>
      </c>
      <c r="M28" s="3">
        <f>1134.8+(306.1-457.3)+(0.578748+(0.156111-0.233223))+0-233.5-0.119084999999976</f>
        <v>750.48255099999994</v>
      </c>
      <c r="N28" s="3">
        <f>1135.8+(402.4-540.4)+(-0.579258+(-0.205224--0.275604))+0-233.4--0.119033999999976</f>
        <v>764.01015599999994</v>
      </c>
      <c r="O28" s="3">
        <f>1133.4+(429.5-542.3)+(0+(0-0))+0-234.4-0</f>
        <v>786.20000000000016</v>
      </c>
      <c r="P28" s="3">
        <f>1119.5+(452.7-517.7)+(-1.712835+(-0.692631--0.792081))+0-236.2--0.361386000000014</f>
        <v>817.04800099999989</v>
      </c>
      <c r="Q28" s="3">
        <f>1116.6+(492.9-494.4)+(-1.708398+(-0.754137--0.756432))+0-234.6--0.358938000000014</f>
        <v>879.15283499999987</v>
      </c>
      <c r="R28" s="3">
        <f>1106.2+(545.9-434.2)+(-1.692486+(-0.835227--0.664326))+0-235.3--0.360009000000014</f>
        <v>981.09662200000002</v>
      </c>
      <c r="S28" s="3">
        <f>1100.2+(588.4-359)+(-2.80551+(-1.50042--0.91545))+0-234.7--0.598484999999966</f>
        <v>1092.1080049999998</v>
      </c>
      <c r="T28" s="3">
        <f>1105+(621.4-332.8)+(-1.69065+(-0.950742--0.509184))+0-234.7--0.359091000000014</f>
        <v>1157.1268829999999</v>
      </c>
      <c r="U28" s="3">
        <f>1110.4+(588.5-314.2)+(-0.566304+(-0.300135--0.160242))+0-235.8--0.120257999999976</f>
        <v>1148.314061</v>
      </c>
      <c r="V28" s="3">
        <f>1108.7+(506.1-324.4)+(-1.130874+(-0.516222--0.330888))+0-234--0.238680000000037</f>
        <v>1055.3224720000001</v>
      </c>
      <c r="W28" s="3">
        <f>1079+(446.6-375.1)+(-0.55029+(-0.227766--0.191301))+0-234--0.119339999999976</f>
        <v>916.03258499999993</v>
      </c>
      <c r="X28" s="3">
        <f>1029.4+(408.3-412.2)+(-1.574982+(-0.624699--0.630666))+0-235--0.359550000000014</f>
        <v>789.29053499999998</v>
      </c>
      <c r="Y28" s="3">
        <f>985.8+(471.4-396.2)+(-0.502758+(-0.240414--0.202062))+0-236.5--0.120614999999976</f>
        <v>824.07950500000004</v>
      </c>
      <c r="Z28" s="3">
        <f>983.7+(549.2-349.7)+(-2.006748+(-1.120368--0.713388))+0-235.7--0.48082799999999</f>
        <v>945.56709999999998</v>
      </c>
      <c r="AA28" s="3">
        <f>985.1+(618-323.9)+(-1.507203+(-0.94554--0.495567))+0-235--0.359550000000014</f>
        <v>1042.6023740000003</v>
      </c>
      <c r="AB28" s="3">
        <f>988+(685.2-306.1)+(-1.00776+(-0.698904--0.312222))+0-235.5--0.240210000000038</f>
        <v>1130.4457679999998</v>
      </c>
      <c r="AC28" s="3">
        <f>991.7+(725.4-283.2)+(-1.011534+(-0.739908--0.288864))+0-234.9--0.239598000000037</f>
        <v>1197.7770200000002</v>
      </c>
      <c r="AD28">
        <f t="shared" si="0"/>
        <v>23642.540978000008</v>
      </c>
      <c r="AE28" s="3">
        <f>985+(492.8-343.3)+(0+(0-0))+0-238.5-0</f>
        <v>896</v>
      </c>
    </row>
    <row r="29" spans="1:31" s="2" customFormat="1" x14ac:dyDescent="0.25">
      <c r="A29">
        <v>89</v>
      </c>
      <c r="B29">
        <v>1</v>
      </c>
      <c r="C29">
        <v>29</v>
      </c>
      <c r="D29">
        <v>2</v>
      </c>
      <c r="E29">
        <v>1</v>
      </c>
      <c r="F29" s="3">
        <f>989+(685.4-262.3)+(-1.51317+(-1.048662--0.401319))+0-234.9--0.359397000000014</f>
        <v>1175.3988839999997</v>
      </c>
      <c r="G29" s="3">
        <f>1061+(567.8-255.3)+(-2.16444+(-1.158312--0.520812))+0-236.1--0.48164399999999</f>
        <v>1135.079704</v>
      </c>
      <c r="H29" s="3">
        <f>1135.8+(464.6-245.5)+(-0.579258+(-0.236946--0.125205))+0-235.6--0.120155999999976</f>
        <v>1118.7291570000002</v>
      </c>
      <c r="I29" s="3">
        <f>1139.1+(407.6-240.4)+(-0.580941+(-0.207876--0.122604))+0-235.6--0.120155999999976</f>
        <v>1070.153943</v>
      </c>
      <c r="J29" s="3">
        <f>1138.2+(357-235.7)+(-1.160964+(-0.36414--0.240414))+0-235.7--0.240414000000038</f>
        <v>1022.755724</v>
      </c>
      <c r="K29" s="3">
        <f>1139.7+(281.6-235.9)+(-2.906235+(-0.71808--0.601545))+0-235.2--0.599759999999966</f>
        <v>947.77698999999996</v>
      </c>
      <c r="L29" s="3">
        <f>1140.9+(211.3-315.2)+(-0.581859+(-0.107763--0.160752))+0-235.8--0.120257999999976</f>
        <v>800.79138799999987</v>
      </c>
      <c r="M29" s="3">
        <f>1135.7+(251.7-422.3)+(-1.158414+(-0.256734--0.430746))+0-234.4--0.239088000000037</f>
        <v>729.95468600000004</v>
      </c>
      <c r="N29" s="3">
        <f>1133.1+(311.8-460.2)+(-1.733643+(-0.477054--0.704106))+0-238.4--0.364752000000014</f>
        <v>745.15816100000006</v>
      </c>
      <c r="O29" s="3">
        <f>1129.7+(337.4-469.2)+(0+(0-0))+0-239.4-0</f>
        <v>758.50000000000011</v>
      </c>
      <c r="P29" s="3">
        <f>1130.8+(371.7-452.6)+(0+(0-0))+0-240.5-0</f>
        <v>809.39999999999986</v>
      </c>
      <c r="Q29" s="3">
        <f>1124+(431.7-446.6)+(-1.14648+(-0.440334--0.455532))+0-239.1--0.243882000000038</f>
        <v>869.11259999999982</v>
      </c>
      <c r="R29" s="3">
        <f>1147.6+(466.1-386.4)+(-1.755828+(-0.713133--0.591192))+0-240.8--0.368424000000014</f>
        <v>984.99065500000006</v>
      </c>
      <c r="S29" s="3">
        <f>1147.6+(520.8-329.3)+(-0.585276+(-0.265608--0.167943))+0-240.7--0.122756999999976</f>
        <v>1097.8398159999997</v>
      </c>
      <c r="T29" s="3">
        <f>1104.1+(615.9-329.1)+(0.563091+(0.314109-0.167841))+0-239.5-0.122144999999976</f>
        <v>1151.9872139999998</v>
      </c>
      <c r="U29" s="3">
        <f>1105.7+(594.6-318.3)+(-2.255628+(-1.212984--0.649332))+0-239.4--0.48837599999999</f>
        <v>1140.269096</v>
      </c>
      <c r="V29" s="3">
        <f>1105+(482.8-312.3)+(-0.56355+(-0.246228--0.159273))+0-239--0.121889999999976</f>
        <v>1035.9713849999998</v>
      </c>
      <c r="W29" s="3">
        <f>1104.2+(397.1-363.3)+(-1.689426+(-0.607563--0.555849))+0-239--0.365670000000014</f>
        <v>897.62452999999994</v>
      </c>
      <c r="X29" s="3">
        <f>1138+(279.9-368.9)+(-1.74114+(-0.428247--0.564417))+0-239.5--0.366435000000014</f>
        <v>808.26146499999993</v>
      </c>
      <c r="Y29" s="3">
        <f>1142+(335.2-436.8)+(-1.16484+(-0.341904--0.445536))+0-239.5--0.244290000000038</f>
        <v>800.0830820000001</v>
      </c>
      <c r="Z29" s="3">
        <f>1153+(492.1-464)+(-2.35212+(-1.003884--0.94656))+0-239.3--0.48817199999999</f>
        <v>939.87872800000002</v>
      </c>
      <c r="AA29" s="3">
        <f>1158+(510.7-400.6)+(-2.9529+(-1.302285--1.02153))+0-238.7--0.608684999999965</f>
        <v>1026.7750299999998</v>
      </c>
      <c r="AB29" s="3">
        <f>1143+(495.5-320.9)+(-0.58293+(-0.252705--0.163659))+0-221.3--0.112862999999978</f>
        <v>1095.7408869999999</v>
      </c>
      <c r="AC29" s="3">
        <f>1128.9+(556.7-304.6)+(-1.151478+(-0.567834--0.310692))+0-225.5--0.230010000000036</f>
        <v>1154.3213900000001</v>
      </c>
      <c r="AD29">
        <f t="shared" si="0"/>
        <v>23316.554515000003</v>
      </c>
      <c r="AE29" s="3">
        <f>1145+(464.1-450.8)+(0+(0-0))+0-239.7-0</f>
        <v>918.59999999999991</v>
      </c>
    </row>
    <row r="30" spans="1:31" s="2" customFormat="1" x14ac:dyDescent="0.25">
      <c r="A30">
        <v>89</v>
      </c>
      <c r="B30">
        <v>1</v>
      </c>
      <c r="C30">
        <v>30</v>
      </c>
      <c r="D30">
        <v>3</v>
      </c>
      <c r="E30">
        <v>1</v>
      </c>
      <c r="F30" s="3">
        <f>996.1+(651.3-257.7)+(-1.524033+(-0.996489--0.394281))+0-239.7--0.366741000000014</f>
        <v>1148.2405000000001</v>
      </c>
      <c r="G30" s="3">
        <f>988.4+(607.7-237.4)+(-2.016336+(-1.239708--0.484296))+0-240.8--0.49123199999999</f>
        <v>1115.6194840000003</v>
      </c>
      <c r="H30" s="3">
        <f>990.6+(539.3-245.4)+(0+(0-0))+0-239.9-0</f>
        <v>1044.5999999999999</v>
      </c>
      <c r="I30" s="3">
        <f>991.4+(497.6-234)+(-2.022456+(-1.015104--0.47736))+0-244--0.497759999999989</f>
        <v>1008.9375600000001</v>
      </c>
      <c r="J30" s="3">
        <f>990.9+(444.4-219.6)+(-1.010718+(-0.453288--0.223992))+0-240.4--0.245208000000038</f>
        <v>974.30519400000014</v>
      </c>
      <c r="K30" s="3">
        <f>987.4+(379.4-214.9)+(-1.510722+(-0.580482--0.328797))+0-242--0.370260000000014</f>
        <v>908.50785299999995</v>
      </c>
      <c r="L30" s="3">
        <f>991.4+(278.3-256.9)+(-1.011228+(-0.283866--0.262038))+0-243.7--0.248574000000039</f>
        <v>768.315518</v>
      </c>
      <c r="M30" s="3">
        <f>992.5+(316.9-364.3)+(-0.506175+(-0.161619--0.185793))+0-236.2--0.120461999999976</f>
        <v>708.53846099999998</v>
      </c>
      <c r="N30" s="3">
        <f>990+(334-369)+(0+(0-0))+0-239-0</f>
        <v>716</v>
      </c>
      <c r="O30" s="3">
        <f>975.9+(339.6-410.6)+(0.497709+(0.173196-0.209406))+0-170.7-0.0870569999999827</f>
        <v>734.57444200000009</v>
      </c>
      <c r="P30" s="3">
        <f>975.8+(389.8-343.7)+(0+(0-0))+0-245.2-0</f>
        <v>776.7</v>
      </c>
      <c r="Q30" s="3">
        <f>974.7+(412.4-303.9)+(-0.497097+(-0.210324--0.154989))+0-244.9--0.124898999999975</f>
        <v>837.87246700000014</v>
      </c>
      <c r="R30" s="3">
        <f>968.1+(476.9-280.3)+(0.987462+(0.486438-0.285906))+0-235.6-0.240312000000038</f>
        <v>930.0476819999999</v>
      </c>
      <c r="S30" s="3">
        <f>995.6+(572.3-283.4)+(0.507756+(0.291873-0.144534))+0-237-0.120869999999976</f>
        <v>1048.0342250000001</v>
      </c>
      <c r="T30" s="3">
        <f>1001.6+(620.6-271)+(-0.510816+(-0.316506--0.13821))+0-242.4--0.123623999999975</f>
        <v>1108.234512</v>
      </c>
      <c r="U30" s="3">
        <f>996.7+(603.2-250)+(-2.541585+(-1.53816--0.6375))+0-243.6--0.621179999999965</f>
        <v>1103.4789350000001</v>
      </c>
      <c r="V30" s="3">
        <f>996.9+(510.5-250)+(-1.016838+(-0.52071--0.255))+0-246.8--0.251736000000039</f>
        <v>1009.5691880000003</v>
      </c>
      <c r="W30" s="3">
        <f>1002.3+(425.3-302.1)+(-2.555865+(-1.084515--0.770355))+0-243.9--0.621944999999965</f>
        <v>879.35192000000006</v>
      </c>
      <c r="X30" s="3">
        <f>1009.1+(355.3-345.5)+(-2.573205+(-0.906015--0.881025))+0-243.1--0.619904999999965</f>
        <v>773.82171000000005</v>
      </c>
      <c r="Y30" s="3">
        <f>1011.2+(362.4-313)+(-1.547136+(-0.554472--0.47889))+0-242.9--0.371637000000014</f>
        <v>816.44891899999982</v>
      </c>
      <c r="Z30" s="3">
        <f>1017+(486.4-326)+(-2.07468+(-0.992256--0.66504))+0-242.3--0.494291999999989</f>
        <v>933.19239600000003</v>
      </c>
      <c r="AA30" s="3">
        <f>1017.9+(513.9-287.4)+(-3.114774+(-1.572534--0.879444))+0-238.3--0.729198000000028</f>
        <v>1003.021334</v>
      </c>
      <c r="AB30" s="3">
        <f>1000.8+(593.8-261.4)+(-2.55204+(-1.51419--0.66657))+0-232.1--0.591854999999966</f>
        <v>1098.2921949999998</v>
      </c>
      <c r="AC30" s="3">
        <f>990.1+(641.7-225.5)+(-3.029706+(-1.963602--0.69003))+0-243.5--0.745110000000028</f>
        <v>1159.2418320000002</v>
      </c>
      <c r="AD30">
        <f t="shared" si="0"/>
        <v>22604.946326999998</v>
      </c>
      <c r="AE30" s="3">
        <f>1017+(451-310.7)+(0+(0-0))+0-243.9-0</f>
        <v>913.4</v>
      </c>
    </row>
    <row r="31" spans="1:31" s="2" customFormat="1" x14ac:dyDescent="0.25">
      <c r="A31">
        <v>89</v>
      </c>
      <c r="B31">
        <v>1</v>
      </c>
      <c r="C31">
        <v>31</v>
      </c>
      <c r="D31">
        <v>4</v>
      </c>
      <c r="E31">
        <v>1</v>
      </c>
      <c r="F31" s="3">
        <f>994+(608-200.6)+(-3.04164+(-1.86048--0.613836))+0-241.6--0.739296000000028</f>
        <v>1156.2510120000002</v>
      </c>
      <c r="G31" s="3">
        <f>993+(578.4-211.5)+(-3.03858+(-1.769904--0.64719))+0-242.8--0.742968000000028</f>
        <v>1113.6816740000002</v>
      </c>
      <c r="H31" s="3">
        <f>999.8+(536.2-195.9)+(-0.509898+(-0.273462--0.099909))+0-245.9--0.125408999999975</f>
        <v>1093.6419579999997</v>
      </c>
      <c r="I31" s="3">
        <f>996.5+(484.1-193.8)+(-1.01643+(-0.493782--0.197676))+0-241.6--0.246432000000039</f>
        <v>1044.1338960000003</v>
      </c>
      <c r="J31" s="3">
        <f>1000.4+(423.9-183)+(0+(0-0))+0-242.7-0</f>
        <v>998.59999999999991</v>
      </c>
      <c r="K31" s="3">
        <f>999.3+(335.8-166.1)+(-0.509643+(-0.171258--0.084711))+0-242.8--0.123827999999975</f>
        <v>925.72763800000007</v>
      </c>
      <c r="L31" s="3">
        <f>999.9+(239-214.8)+(-1.019898+(-0.24378--0.219096))+0-241.5--0.246330000000039</f>
        <v>781.80174799999998</v>
      </c>
      <c r="M31" s="3">
        <f>995.1+(283.8-312.6)+(-1.015002+(-0.289476--0.318852))+0-240.2--0.245004000000038</f>
        <v>725.35937799999999</v>
      </c>
      <c r="N31" s="3">
        <f>993.1+(332.2-345.7)+(-1.519443+(-0.508266--0.528921))+0-241--0.368730000000014</f>
        <v>737.46994200000006</v>
      </c>
      <c r="O31" s="3">
        <f>989.4+(338-339.8)+(-1.513782+(-0.51714--0.519894))+0-181--0.27693000000001</f>
        <v>805.36590199999989</v>
      </c>
      <c r="P31" s="3">
        <f>977.3+(383.9-331.1)+(0+(0-0))+0-238.5-0</f>
        <v>791.59999999999991</v>
      </c>
      <c r="Q31" s="3">
        <f>971.1+(432.4-319.3)+(0.495261+(0.220524-0.162843))+0-239.9-0.122348999999976</f>
        <v>844.73059300000011</v>
      </c>
      <c r="R31" s="3">
        <f>969.8+(476.1-333.6)+(-0.494598+(-0.242811--0.170136))+0-172.7--0.0880769999999825</f>
        <v>939.12080400000002</v>
      </c>
      <c r="S31" s="3">
        <f>965.1+(616.2-272.9)+(-0.492201+(-0.314262--0.139179))+0-238.8--0.121787999999976</f>
        <v>1069.054504</v>
      </c>
      <c r="T31" s="3">
        <f>960.4+(655-260.3)+(0+(0-0))+0-214-0</f>
        <v>1141.0999999999999</v>
      </c>
      <c r="U31" s="3">
        <f>966.1+(620.6-230.8)+(-1.478133+(-0.949518--0.353124))+0-237.5--0.363375000000014</f>
        <v>1116.688848</v>
      </c>
      <c r="V31" s="3">
        <f>1006.6+(496.1-237.4)+(-1.540098+(-0.759033--0.363222))+0-239.7--0.366741000000014</f>
        <v>1024.0308320000001</v>
      </c>
      <c r="W31" s="3">
        <f>1015.7+(361.2-236.2)+(-2.590035+(-0.92106--0.60231))+0-238.8--0.608939999999965</f>
        <v>899.60015499999997</v>
      </c>
      <c r="X31" s="3">
        <f>995.3+(249.1-218)+(-2.030412+(-0.508164--0.44472))+0-238.6--0.48674399999999</f>
        <v>786.19288799999993</v>
      </c>
      <c r="Y31" s="3">
        <f>975.5+(298.2-238.4)+(-0.99501+(-0.304164--0.243168))+0-238--0.242760000000038</f>
        <v>796.48675400000002</v>
      </c>
      <c r="Z31" s="3">
        <f>977.5+(441.5-257.2)+(-1.495575+(-0.675495--0.393516))+0-239.9--0.367047000000014</f>
        <v>920.48949300000004</v>
      </c>
      <c r="AA31" s="3">
        <f>979+(509.3-251.1)+(-0.49929+(-0.259743--0.128061))+0-237.5--0.121124999999976</f>
        <v>999.19015300000012</v>
      </c>
      <c r="AB31" s="3">
        <f>982.4+(571.3-232.7)+(-2.50512+(-1.456815--0.593385))+0-236.8--0.603839999999966</f>
        <v>1081.4352900000001</v>
      </c>
      <c r="AC31" s="3">
        <f>985.8+(607-195.7)+(-2.011032+(-1.23828--0.399228))+0-236.2--0.48184799999999</f>
        <v>1158.5317639999998</v>
      </c>
      <c r="AD31">
        <f t="shared" si="0"/>
        <v>22950.285226000004</v>
      </c>
      <c r="AE31" s="3">
        <f>972+(446-260.6)+(0+(0-0))+0-236.1-0</f>
        <v>921.30000000000007</v>
      </c>
    </row>
    <row r="32" spans="1:31" s="2" customFormat="1" x14ac:dyDescent="0.25">
      <c r="A32">
        <v>89</v>
      </c>
      <c r="B32">
        <v>2</v>
      </c>
      <c r="C32">
        <v>1</v>
      </c>
      <c r="D32">
        <v>5</v>
      </c>
      <c r="E32">
        <v>1</v>
      </c>
      <c r="F32" s="3">
        <f>988.7+(606.5-181)+(-1.008474+(-0.61863--0.18462))+0-235.8--0.240516000000038</f>
        <v>1177.1980320000002</v>
      </c>
      <c r="G32" s="3">
        <f>991.7+(554.2-169.8)+(-2.528835+(-1.41321--0.43299))+0-237.9--0.606644999999965</f>
        <v>1135.2975900000001</v>
      </c>
      <c r="H32" s="3">
        <f>993.2+(504.9-151.4)+(0+(0-0))+0-236.8-0</f>
        <v>1109.9000000000001</v>
      </c>
      <c r="I32" s="3">
        <f>994+(443.3-133.6)+(-1.52082+(-0.678249--0.204408))+0-236.5--0.361845000000014</f>
        <v>1065.567184</v>
      </c>
      <c r="J32" s="3">
        <f>995.5+(400.9-137.5)+(-1.523115+(-0.613377--0.210375))+0-237.8--0.363834000000014</f>
        <v>1019.5377170000002</v>
      </c>
      <c r="K32" s="3">
        <f>996.8+(323.3-140.5)+(-2.033472+(-0.659532--0.28662))+0-234.7--0.47878799999999</f>
        <v>942.97240399999998</v>
      </c>
      <c r="L32" s="3">
        <f>998.8+(220.3-174.5)+(-1.528164+(-0.337059--0.266985))+0-233.4--0.357102000000014</f>
        <v>809.95886399999995</v>
      </c>
      <c r="M32" s="3">
        <f>998.2+(259.1-270.5)+(0+(0-0))+0-232.6-0</f>
        <v>754.2</v>
      </c>
      <c r="N32" s="3">
        <f>991.4+(308.7-294.2)+(1.011228+(0.314874-0.300084))+0-234.8-0.239496000000037</f>
        <v>771.8865219999999</v>
      </c>
      <c r="O32" s="3">
        <f>983.3+(312-333.4)+(2.005932+(0.63648-0.680136))+0-185.8-0.379031999999992</f>
        <v>777.68324399999995</v>
      </c>
      <c r="P32" s="3">
        <f>974.1+(362.8-280.7)+(-0.496791+(-0.185028--0.143157))+0-240.9--0.122858999999976</f>
        <v>814.88419700000009</v>
      </c>
      <c r="Q32" s="3">
        <f>966.1+(389.7-244)+(1.478133+(0.596241-0.37332))+0-239.9-0.367047000000014</f>
        <v>873.23400700000002</v>
      </c>
      <c r="R32" s="3">
        <f>961.3+(452-201.7)+(0.490263+(0.23052-0.102867))+0-237.3-0.121022999999976</f>
        <v>974.79689299999995</v>
      </c>
      <c r="S32" s="3">
        <f>956+(569-223.7)+(-1.95024+(-1.16076--0.456348))+0-216.2--0.441047999999991</f>
        <v>1082.8863959999999</v>
      </c>
      <c r="T32" s="3">
        <f>957.3+(684-237.3)+(-0.488223+(-0.34884--0.121023))+0-237.8--0.121277999999976</f>
        <v>1165.6052380000001</v>
      </c>
      <c r="U32" s="3">
        <f>957.7+(664.6-228.2)+(-0.488427+(-0.338946--0.116382))+0-237--0.120869999999976</f>
        <v>1156.5098790000002</v>
      </c>
      <c r="V32" s="3">
        <f>957.6+(560.8-222.5)+(-2.44188+(-1.43004--0.567375))+0-237.5--0.605624999999966</f>
        <v>1055.70108</v>
      </c>
      <c r="W32" s="3">
        <f>959.6+(400.7-217.3)+(-1.468188+(-0.613071--0.332469))+0-238.9--0.365517000000014</f>
        <v>902.71672699999999</v>
      </c>
      <c r="X32" s="3">
        <f>968.2+(317.5-235.3)+(-2.962692+(-0.97155--0.720018))+0-238.3--0.729198000000028</f>
        <v>809.61497400000007</v>
      </c>
      <c r="Y32" s="3">
        <f>972.2+(359.2-235.5)+(-0.495822+(-0.183192--0.120105))+0-238.3--0.121532999999976</f>
        <v>857.16262400000005</v>
      </c>
      <c r="Z32" s="3">
        <f>975.9+(510.3-279.4)+(-1.990836+(-1.041012--0.569976))+0-238.8--0.48715199999999</f>
        <v>966.02527999999995</v>
      </c>
      <c r="AA32" s="3">
        <f>979.2+(584-274.2)+(-2.996352+(-1.78704--0.839052))+0-238.1--0.728586000000027</f>
        <v>1047.684246</v>
      </c>
      <c r="AB32" s="3">
        <f>975.5+(639.9-247.8)+(-1.492515+(-0.979047--0.379134))+0-237--0.362610000000014</f>
        <v>1128.8701819999999</v>
      </c>
      <c r="AC32" s="3">
        <f>990.4+(654.8-219.8)+(-1.010208+(-0.667896--0.224196))+0-236.1--0.240822000000038</f>
        <v>1188.086914</v>
      </c>
      <c r="AD32">
        <f t="shared" si="0"/>
        <v>23587.980194</v>
      </c>
      <c r="AE32" s="3">
        <f>973+(503.6-281.2)+(0+(0-0))+0-236.1-0</f>
        <v>959.30000000000007</v>
      </c>
    </row>
    <row r="33" spans="1:31" s="2" customFormat="1" x14ac:dyDescent="0.25">
      <c r="A33">
        <v>89</v>
      </c>
      <c r="B33">
        <v>2</v>
      </c>
      <c r="C33">
        <v>2</v>
      </c>
      <c r="D33">
        <v>6</v>
      </c>
      <c r="E33">
        <v>1</v>
      </c>
      <c r="F33" s="3">
        <f>997.1+(628.2-205.9)+(-1.017042+(-0.640764--0.210018))+0-235.4--0.240108000000038</f>
        <v>1182.79232</v>
      </c>
      <c r="G33" s="3">
        <f>1004.3+(587.4-200.1)+(0+(0-0))+0-235.7-0</f>
        <v>1155.8999999999999</v>
      </c>
      <c r="H33" s="3">
        <f>1009.7+(525.3-187.3)+(-1.544841+(-0.803709--0.286569))+0-234.6--0.358938000000014</f>
        <v>1111.3969570000002</v>
      </c>
      <c r="I33" s="3">
        <f>1011.8+(469.1-176.3)+(-2.58009+(-1.196205--0.449565))+0-236.1--0.602054999999966</f>
        <v>1065.7753250000001</v>
      </c>
      <c r="J33" s="3">
        <f>1012.8+(411.6-163.1)+(0.516528+(0.209916-0.083181))+0-235.7-0.120206999999976</f>
        <v>1026.1230559999999</v>
      </c>
      <c r="K33" s="3">
        <f>1012.6+(339.6-160.9)+(0+(0-0))+0-235.1-0</f>
        <v>956.19999999999993</v>
      </c>
      <c r="L33" s="3">
        <f>1013.2+(229.1-182.1)+(-1.550196+(-0.350523--0.278613))+0-235.2--0.359856000000014</f>
        <v>823.73775000000001</v>
      </c>
      <c r="M33" s="3">
        <f>1003.7+(282.9-297.1)+(-0.511887+(-0.144279--0.151521))+0-234.7--0.119696999999976</f>
        <v>754.41505199999995</v>
      </c>
      <c r="N33" s="3">
        <f>998.2+(354.5-353.1)+(0+(0-0))+0-236.9-0</f>
        <v>762.7</v>
      </c>
      <c r="O33" s="3">
        <f>989+(404.2-354.7)+(-1.00878+(-0.412284--0.361794))+0-237.1--0.241842000000038</f>
        <v>800.58257200000003</v>
      </c>
      <c r="P33" s="3">
        <f>1001.4+(402.8-437.5)+(-1.021428+(-0.410856--0.44625))+0-125.8--0.12831600000002</f>
        <v>840.04228200000011</v>
      </c>
      <c r="Q33" s="3">
        <f>987.9+(466.3-322.4)+(-0.503829+(-0.237813--0.164424))+0-245.5--0.125204999999975</f>
        <v>885.84798699999999</v>
      </c>
      <c r="R33" s="3">
        <f>1075.6+(471.5-317.4)+(-0.548556+(-0.240465--0.161874))+0-240.1--0.122450999999976</f>
        <v>989.09530399999983</v>
      </c>
      <c r="S33" s="3">
        <f>1093.5+(587-343)+(-0.557685+(-0.29937--0.17493))+0-234.3--0.119492999999976</f>
        <v>1102.6373679999999</v>
      </c>
      <c r="T33" s="3">
        <f>1088.7+(659.7-339.8)+(-0.555237+(-0.336447--0.173298))+0-239.3--0.122042999999976</f>
        <v>1168.7036570000002</v>
      </c>
      <c r="U33" s="3">
        <f>1086.2+(606.1-295.8)+(-0.553962+(-0.309111--0.150858))+0-239.2--0.121991999999976</f>
        <v>1156.7097769999998</v>
      </c>
      <c r="V33" s="3">
        <f>1037.1+(490.8-237.2)+(-2.115684+(-1.001232--0.483888))+0-236.6--0.48266399999999</f>
        <v>1051.9496359999998</v>
      </c>
      <c r="W33" s="3">
        <f>989+(416.7-259.5)+(-3.02634+(-1.275102--0.79407))+0-240.4--0.735624000000028</f>
        <v>903.02825200000007</v>
      </c>
      <c r="X33" s="3">
        <f>984+(346.2-298.2)+(-1.00368+(-0.353124--0.304164))+0-237.9--0.242658000000038</f>
        <v>793.29001799999992</v>
      </c>
      <c r="Y33" s="3">
        <f>971.6+(400.9-319.1)+(-0.495516+(-0.204459--0.162741))+0-235.7--0.120206999999976</f>
        <v>817.28297300000008</v>
      </c>
      <c r="Z33" s="3">
        <f>980.2+(494.6-301.5)+(-0.999804+(-0.504492--0.30753))+0-236.9--0.241638000000038</f>
        <v>935.44487200000026</v>
      </c>
      <c r="AA33" s="3">
        <f>984.4+(541.4-278.2)+(-0.502044+(-0.276114--0.141882))+0-239.1--0.121940999999976</f>
        <v>1007.9856649999999</v>
      </c>
      <c r="AB33" s="3">
        <f>983.4+(607.7-259.4)+(0.501534+(0.309927-0.132294))+0-238.5-0.121634999999976</f>
        <v>1093.7575320000001</v>
      </c>
      <c r="AC33" s="3">
        <f>985.2+(635.6-228.7)+(0+(0-0))+0-237.5-0</f>
        <v>1154.6000000000001</v>
      </c>
      <c r="AD33">
        <f t="shared" si="0"/>
        <v>23539.998355</v>
      </c>
      <c r="AE33" s="3">
        <f>976+(483-291.5)+(0+(0-0))+0-242.1-0</f>
        <v>925.4</v>
      </c>
    </row>
    <row r="34" spans="1:31" s="2" customFormat="1" x14ac:dyDescent="0.25">
      <c r="A34">
        <v>89</v>
      </c>
      <c r="B34">
        <v>2</v>
      </c>
      <c r="C34">
        <v>3</v>
      </c>
      <c r="D34">
        <v>7</v>
      </c>
      <c r="E34">
        <v>1</v>
      </c>
      <c r="F34" s="3">
        <f>988.7+(635.4-210)+(0.504237+(0.324054-0.1071))+0-238-0.121379999999976</f>
        <v>1176.699811</v>
      </c>
      <c r="G34" s="3">
        <f>987.8+(616.8-202)+(-0.503778+(-0.314568--0.10302))+0-236.3--0.120512999999976</f>
        <v>1165.705187</v>
      </c>
      <c r="H34" s="3">
        <f>993.6+(572.4-196)+(-0.506736+(-0.291924--0.09996))+0-237.4--0.121073999999976</f>
        <v>1132.0223739999999</v>
      </c>
      <c r="I34" s="3">
        <f>995.1+(516.1-180)+(0+(0-0))+0-236-0</f>
        <v>1095.2</v>
      </c>
      <c r="J34" s="3">
        <f>998.6+(464.3-160)+(-2.037144+(-0.947172--0.3264))+0-237.6--0.48470399999999</f>
        <v>1063.126788</v>
      </c>
      <c r="K34" s="3">
        <f>1003.6+(388-172.4)+(-1.535508+(-0.59364--0.263772))+0-234.6--0.358938000000014</f>
        <v>983.09356200000002</v>
      </c>
      <c r="L34" s="3">
        <f>1002+(271.9-211.1)+(-3.06612+(-0.832014--0.645966))+0-233.4--0.714204000000027</f>
        <v>826.86203599999999</v>
      </c>
      <c r="M34" s="3">
        <f>1003.6+(269.7-278.9)+(-1.535508+(-0.412641--0.426717))+0-233.3--0.356949000000014</f>
        <v>759.93551700000012</v>
      </c>
      <c r="N34" s="3">
        <f>988.9+(312.7-307.6)+(-0.504339+(-0.159477--0.156876))+0-234.1--0.119390999999976</f>
        <v>759.51245099999994</v>
      </c>
      <c r="O34" s="3">
        <f>983.1+(359.9-341.8)+(1.002762+(0.367098-0.348636))+0-234.7-0.239394000000037</f>
        <v>767.28183000000001</v>
      </c>
      <c r="P34" s="3">
        <f>975.4+(413.1-367.8)+(-1.492362+(-0.632043--0.562734))+0-232.7--0.356031000000013</f>
        <v>786.7943600000001</v>
      </c>
      <c r="Q34" s="3">
        <f>975.4+(443-340.9)+(-0.994908+(-0.45186--0.347718))+0-234.2--0.238884000000037</f>
        <v>842.43983399999991</v>
      </c>
      <c r="R34" s="3">
        <f>987.8+(472.7-307.2)+(-1.007556+(-0.482154--0.313344))+0-235.1--0.239802000000037</f>
        <v>917.26343600000007</v>
      </c>
      <c r="S34" s="3">
        <f>996.5+(549.7-296)+(0.508215+(0.280347-0.15096))+0-233.6-0.119135999999976</f>
        <v>1017.118466</v>
      </c>
      <c r="T34" s="3">
        <f>1025.6+(588.3-284.6)+(-2.61528+(-1.500165--0.72573))+0-234.2--0.597209999999966</f>
        <v>1092.3074949999996</v>
      </c>
      <c r="U34" s="3">
        <f>994.7+(605-266.7)+(-2.029188+(-1.2342--0.544068))+0-232.6--0.47450399999999</f>
        <v>1098.1551840000002</v>
      </c>
      <c r="V34" s="3">
        <f>1031.5+(486.3-271.6)+(-1.05213+(-0.496026--0.277032))+0-232.4--0.237048000000037</f>
        <v>1012.765924</v>
      </c>
      <c r="W34" s="3">
        <f>1000.9+(354.1-261.4)+(-2.552295+(-0.902955--0.66657))+0-232.5--0.592874999999966</f>
        <v>858.90419499999973</v>
      </c>
      <c r="X34" s="3">
        <f>970.4+(285.6-266.6)+(-0.494904+(-0.145656--0.135966))+0-232.6--0.118625999999976</f>
        <v>756.41403199999991</v>
      </c>
      <c r="Y34" s="3">
        <f>977.6+(368.9-326.5)+(-1.994304+(-0.752556--0.66606))+0-232.7--0.47470799999999</f>
        <v>785.69390799999996</v>
      </c>
      <c r="Z34" s="3">
        <f>980.9+(464.3-308.6)+(-2.501295+(-1.183965--0.78693))+0-232.6--0.593129999999966</f>
        <v>901.69479999999987</v>
      </c>
      <c r="AA34" s="3">
        <f>983.9+(526.3-292.4)+(-1.003578+(-0.536826--0.298248))+0-232.5--0.237150000000037</f>
        <v>984.29499399999997</v>
      </c>
      <c r="AB34" s="3">
        <f>986.5+(582.9-255.1)+(-1.00623+(-0.594558--0.260202))+0-233.3--0.237966000000037</f>
        <v>1079.8973800000001</v>
      </c>
      <c r="AC34" s="3">
        <f>986.1+(636.7-215.6)+(-1.005822+(-0.649434--0.219912))+0-233.4--0.238068000000037</f>
        <v>1172.6027240000001</v>
      </c>
      <c r="AD34">
        <f t="shared" si="0"/>
        <v>23035.786287999999</v>
      </c>
      <c r="AE34" s="3">
        <f>1019+(465.7-303.1)+(0+(0-0))+0-231.9-0</f>
        <v>949.69999999999993</v>
      </c>
    </row>
    <row r="35" spans="1:31" s="2" customFormat="1" x14ac:dyDescent="0.25">
      <c r="A35">
        <v>89</v>
      </c>
      <c r="B35">
        <v>2</v>
      </c>
      <c r="C35">
        <v>4</v>
      </c>
      <c r="D35">
        <v>1</v>
      </c>
      <c r="E35">
        <v>1</v>
      </c>
      <c r="F35" s="3">
        <f>1001.5+(659-205.5)+(-2.04306+(-1.34436--0.41922))+0-231.6--0.47246399999999</f>
        <v>1220.904264</v>
      </c>
      <c r="G35" s="3">
        <f>1003+(628.5-209.4)+(0.51153+(0.320535-0.106794))+0-232.7-0.118676999999976</f>
        <v>1190.006594</v>
      </c>
      <c r="H35" s="3">
        <f>1003.1+(596.6-205.7)+(0+(0-0))+0-232.5-0</f>
        <v>1161.5</v>
      </c>
      <c r="I35" s="3">
        <f>1005.9+(550-203.6)+(-2.052036+(-1.122--0.415344))+0-232.2--0.47368799999999</f>
        <v>1117.8149959999998</v>
      </c>
      <c r="J35" s="3">
        <f>1003.7+(505-198.9)+(0.511887+(0.25755-0.101439))+0-234.6-0.119645999999976</f>
        <v>1075.7483520000003</v>
      </c>
      <c r="K35" s="3">
        <f>1004.6+(419.1-198.5)+(0+(0-0))+0-233-0</f>
        <v>992.2</v>
      </c>
      <c r="L35" s="3">
        <f>1005.8+(340.9-283.3)+(-2.56479+(-0.869295--0.722415))+0-231.3--0.589814999999966</f>
        <v>829.97814499999993</v>
      </c>
      <c r="M35" s="3">
        <f>999.8+(353.9-353.4)+(-0.509898+(-0.180489--0.180234))+0-232.1--0.118370999999976</f>
        <v>767.80821800000001</v>
      </c>
      <c r="N35" s="3">
        <f>994.5+(407.5-366.5)+(1.01439+(0.41565-0.37383))+0-235.7-0.240414000000038</f>
        <v>800.61579599999993</v>
      </c>
      <c r="O35" s="3">
        <f>994.2+(456.2-407.7)+(-1.521126+(-0.697986--0.623781))+0-235.6--0.360468000000014</f>
        <v>805.865137</v>
      </c>
      <c r="P35" s="3">
        <f>986.2+(463.5-412.7)+(-1.005924+(-0.47277--0.420954))+0-179--0.182580000000029</f>
        <v>857.12484000000006</v>
      </c>
      <c r="Q35" s="3">
        <f>978.7+(526-406.7)+(0.499137+(0.26826-0.207417))+0-226.3-0.115412999999977</f>
        <v>872.14456700000005</v>
      </c>
      <c r="R35" s="3">
        <f>975.6+(604.4-320.8)+(-0.995112+(-0.616488--0.327216))+0-239.8--0.244596000000038</f>
        <v>1018.360212</v>
      </c>
      <c r="S35" s="3">
        <f>974.8+(733-316.5)+(-1.988592+(-1.49532--0.64566))+0-240.1--0.48980399999999</f>
        <v>1148.8515520000001</v>
      </c>
      <c r="T35" s="3">
        <f>973.5+(766.7-265.9)+(-0.99297+(-0.782034--0.271218))+0-239.8--0.244596000000038</f>
        <v>1233.2408100000002</v>
      </c>
      <c r="U35" s="3">
        <f>1011.6+(697.2-253.1)+(-1.547748+(-1.066716--0.387243))+0-237.9--0.363987000000014</f>
        <v>1215.9367659999998</v>
      </c>
      <c r="V35" s="3">
        <f>980.4+(587.5-230.7)+(-0.500004+(-0.299625--0.117657))+0-236.3--0.120512999999976</f>
        <v>1100.3385410000001</v>
      </c>
      <c r="W35" s="3">
        <f>977.2+(407.5-223.1)+(-1.993488+(-0.8313--0.455124))+0-237.3--0.48409199999999</f>
        <v>922.41442800000016</v>
      </c>
      <c r="X35" s="3">
        <f>983.7+(298.2-221.5)+(-1.505061+(-0.456246--0.338895))+0-237.2--0.362916000000014</f>
        <v>821.94050400000015</v>
      </c>
      <c r="Y35" s="3">
        <f>986.7+(373.1-255.7)+(-2.012868+(-0.761124--0.521628))+0-236.4--0.48225599999999</f>
        <v>865.92989200000022</v>
      </c>
      <c r="Z35" s="3">
        <f>988.4+(540.9-286.5)+(-1.512252+(-0.827577--0.438345))+0-237.5--0.363375000000014</f>
        <v>1003.761891</v>
      </c>
      <c r="AA35" s="3">
        <f>988.4+(651.7-281.6)+(-1.512252+(-0.997101--0.430848))+0-237.9--0.363987000000014</f>
        <v>1118.8854819999999</v>
      </c>
      <c r="AB35" s="3">
        <f>990.8+(726.2-259.1)+(-2.52654+(-1.85181--0.660705))+0-237.2--0.604859999999966</f>
        <v>1217.587215</v>
      </c>
      <c r="AC35" s="3">
        <f>992+(765.5-228)+(-2.5296+(-1.952025--0.5814))+0-237.6--0.605879999999966</f>
        <v>1288.6056550000001</v>
      </c>
      <c r="AD35">
        <f t="shared" si="0"/>
        <v>24647.563857000001</v>
      </c>
      <c r="AE35" s="3">
        <f>1000+(575-295.5)+(0+(0-0))+0-242.7-0</f>
        <v>1036.8</v>
      </c>
    </row>
    <row r="36" spans="1:31" s="2" customFormat="1" x14ac:dyDescent="0.25">
      <c r="A36">
        <v>89</v>
      </c>
      <c r="B36">
        <v>2</v>
      </c>
      <c r="C36">
        <v>5</v>
      </c>
      <c r="D36">
        <v>2</v>
      </c>
      <c r="E36">
        <v>1</v>
      </c>
      <c r="F36" s="3">
        <f>992+(732.7-206.7)+(-1.01184+(-0.747354--0.210834))+0-237.1--0.241842000000038</f>
        <v>1279.5934820000002</v>
      </c>
      <c r="G36" s="3">
        <f>995.8+(693.4-202.3)+(-1.523574+(-1.060902--0.309519))+0-237.8--0.363834000000014</f>
        <v>1247.1888769999998</v>
      </c>
      <c r="H36" s="3">
        <f>995.7+(662.5-192.4)+(-1.523421+(-1.013625--0.294372))+0-237.4--0.363222000000014</f>
        <v>1226.520548</v>
      </c>
      <c r="I36" s="3">
        <f>996.7+(619.7-182.6)+(-1.524951+(-0.948141--0.279378))+0-238.9--0.365517000000014</f>
        <v>1193.071803</v>
      </c>
      <c r="J36" s="3">
        <f>999.2+(563-170.9)+(1.528776+(0.86139-0.261477))+0-238.2-0.364446000000014</f>
        <v>1154.864243</v>
      </c>
      <c r="K36" s="3">
        <f>999.9+(474.4-172.5)+(-2.549745+(-1.20972--0.439875))+0-238.2--0.607409999999965</f>
        <v>1060.8878199999999</v>
      </c>
      <c r="L36" s="3">
        <f>1001.9+(282-178.2)+(-2.554845+(-0.7191--0.45441))+0-235.7--0.601034999999966</f>
        <v>867.78149999999982</v>
      </c>
      <c r="M36" s="3">
        <f>1000.8+(264.1-224.7)+(-1.020816+(-0.269382--0.229194))+0-234.7--0.239394000000037</f>
        <v>804.67839000000015</v>
      </c>
      <c r="N36" s="3">
        <f>992.4+(352.8-253.4)+(1.012248+(0.359856-0.258468))+0-237.7-0.242454000000038</f>
        <v>854.97118199999989</v>
      </c>
      <c r="O36" s="3">
        <f>987.7+(418.5-349.4)+(-0.503727+(-0.213435--0.178194))+0-236.9--0.120818999999976</f>
        <v>819.48185100000012</v>
      </c>
      <c r="P36" s="3">
        <f>983.2+(420.1-314)+(-1.504296+(-0.642753--0.48042))+0-237.3--0.363069000000014</f>
        <v>850.69644000000017</v>
      </c>
      <c r="Q36" s="3">
        <f>977.5+(451.5-298.7)+(-1.495575+(-0.690795--0.457011))+0-234.7--0.359091000000014</f>
        <v>894.22973200000001</v>
      </c>
      <c r="R36" s="3">
        <f>981.2+(496.5-277.8)+(0+(0-0))+0-237.2-0</f>
        <v>962.7</v>
      </c>
      <c r="S36" s="3">
        <f>977+(594-261)+(-1.99308+(-1.21176--0.53244))+0-235.2--0.47980799999999</f>
        <v>1072.6074080000001</v>
      </c>
      <c r="T36" s="3">
        <f>969.4+(658.8-248.3)+(0+(0-0))+0-235.7-0</f>
        <v>1144.1999999999998</v>
      </c>
      <c r="U36" s="3">
        <f>972.5+(618.2-226.7)+(-1.9839+(-1.261128--0.462468))+0-237.1--0.48368399999999</f>
        <v>1124.601124</v>
      </c>
      <c r="V36" s="3">
        <f>968.7+(510.3-201.2)+(-0.988074+(-0.520506--0.205224))+0-236.3--0.241026000000038</f>
        <v>1040.4376700000005</v>
      </c>
      <c r="W36" s="3">
        <f>972.1+(354.9-189.9)+(-2.478855+(-0.904995--0.484245))+0-237.4--0.605369999999966</f>
        <v>897.40576499999986</v>
      </c>
      <c r="X36" s="3">
        <f>982.6+(269.6-215)+(-3.006756+(-0.824976--0.6579))+0-235.7--0.721242000000027</f>
        <v>799.04741000000013</v>
      </c>
      <c r="Y36" s="3">
        <f>987.8+(342.1-258.8)+(-0.503778+(-0.174471--0.131988))+0-234.3--0.119492999999976</f>
        <v>836.37323199999992</v>
      </c>
      <c r="Z36" s="3">
        <f>991+(506.2-285.4)+(-3.03246+(-1.548972--0.873324))+0-233.3--0.713898000000027</f>
        <v>975.50578999999993</v>
      </c>
      <c r="AA36" s="3">
        <f>998.7+(566.3-267.2)+(-4.074696+(-2.310504--1.090176))+0-232.5--0.94859999999998</f>
        <v>1060.9535759999999</v>
      </c>
      <c r="AB36" s="3">
        <f>1000.6+(639.8-241.6)+(-3.572142+(-2.284086--0.862512))+0-233.5--0.833595000000003</f>
        <v>1161.1398790000001</v>
      </c>
      <c r="AC36" s="3">
        <f>1001.7+(684.1-215.7)+(-2.043468+(-1.395564--0.440028))+0-235.2--0.47980799999999</f>
        <v>1232.3808040000001</v>
      </c>
      <c r="AD36">
        <f t="shared" si="0"/>
        <v>24561.318525999995</v>
      </c>
      <c r="AE36" s="3">
        <f>987+(536.6-282.3)+(0+(0-0))+0-232.5-0</f>
        <v>1008.8</v>
      </c>
    </row>
    <row r="37" spans="1:31" s="2" customFormat="1" x14ac:dyDescent="0.25">
      <c r="A37">
        <v>89</v>
      </c>
      <c r="B37">
        <v>2</v>
      </c>
      <c r="C37">
        <v>6</v>
      </c>
      <c r="D37">
        <v>3</v>
      </c>
      <c r="E37">
        <v>1</v>
      </c>
      <c r="F37" s="3">
        <f>1000.8+(675.2-192.4)+(-2.55204+(-1.72176--0.49062))+0-235.3--0.600014999999966</f>
        <v>1245.116835</v>
      </c>
      <c r="G37" s="3">
        <f>1005.5+(623.7-187.1)+(-2.05122+(-1.272348--0.381684))+0-233.7--0.47674799999999</f>
        <v>1205.9348639999998</v>
      </c>
      <c r="H37" s="3">
        <f>1003.2+(593.1-184)+(-3.581424+(-2.117367--0.65688))+0-235.7--0.841449000000003</f>
        <v>1172.3995380000001</v>
      </c>
      <c r="I37" s="3">
        <f>1005.9+(545.1-186.3)+(-1.026018+(-0.556002--0.190026))+0-235.8--0.240516000000038</f>
        <v>1127.7485220000001</v>
      </c>
      <c r="J37" s="3">
        <f>1007.8+(484.6-182.2)+(-2.055912+(-0.988584--0.371688))+0-236.1--0.48164399999999</f>
        <v>1071.9088360000001</v>
      </c>
      <c r="K37" s="3">
        <f>1012.2+(392.7-180.3)+(0.516222+(0.200277-0.091953))+0-235.2-0.119951999999976</f>
        <v>989.90459399999986</v>
      </c>
      <c r="L37" s="3">
        <f>1014.4+(235.2-192.7)+(-3.104064+(-0.719712--0.589662))+0-232.8--0.712368000000027</f>
        <v>821.57825400000013</v>
      </c>
      <c r="M37" s="3">
        <f>1015.4+(294-304.7)+(-0.517854+(-0.14994--0.155397))+0-232.6--0.118625999999976</f>
        <v>771.70622900000001</v>
      </c>
      <c r="N37" s="3">
        <f>1010.1+(380.1-379.8)+(-1.030302+(-0.387702--0.387396))+0-231.2--0.235824000000037</f>
        <v>778.40521600000011</v>
      </c>
      <c r="O37" s="3">
        <f>1006.6+(429.4-380.5)+(-2.053464+(-0.875976--0.77622))+0-233.4--0.47613599999999</f>
        <v>820.4229160000001</v>
      </c>
      <c r="P37" s="3">
        <f>998.4+(460.3-393.4)+(0+(0-0))+0-234.7-0</f>
        <v>830.59999999999991</v>
      </c>
      <c r="Q37" s="3">
        <f>996.8+(456.6-329.1)+(-1.016736+(-0.465732--0.335682))+0-234.8--0.239496000000037</f>
        <v>888.59271000000001</v>
      </c>
      <c r="R37" s="3">
        <f>990.4+(477.9-288.1)+(-1.010208+(-0.487458--0.293862))+0-235.5--0.240210000000038</f>
        <v>943.73640599999987</v>
      </c>
      <c r="S37" s="3">
        <f>987.5+(617.1-268.8)+(-1.510875+(-0.944163--0.411264))+0-232.8--0.356184000000013</f>
        <v>1101.31241</v>
      </c>
      <c r="T37" s="3">
        <f>983.5+(685.7-262)+(-2.00634+(-1.398828--0.53448))+0-233--0.47531999999999</f>
        <v>1171.8046320000001</v>
      </c>
      <c r="U37" s="3">
        <f>983.4+(669.8-247.4)+(-1.504602+(-1.024794--0.378522))+0-232.3--0.355419000000013</f>
        <v>1171.7045450000001</v>
      </c>
      <c r="V37" s="3">
        <f>985+(559-242.9)+(-1.50705+(-0.85527--0.371637))+0-232.7--0.356031000000013</f>
        <v>1066.7653479999999</v>
      </c>
      <c r="W37" s="3">
        <f>988.2+(345-229.7)+(-1.007964+(-0.3519--0.234294))+0-234.9--0.239598000000037</f>
        <v>867.7140280000001</v>
      </c>
      <c r="X37" s="3">
        <f>994.7+(218.1-218.8)+(-2.029188+(-0.444924--0.446352))+0-238.5--0.48653999999999</f>
        <v>753.95878000000005</v>
      </c>
      <c r="Y37" s="3">
        <f>995.6+(247.8-243.3)+(-1.015512+(-0.252756--0.248166))+0-238.3--0.243066000000038</f>
        <v>761.022964</v>
      </c>
      <c r="Z37" s="3">
        <f>998.5+(412.5-288.4)+(-1.527705+(-0.631125--0.441252))+0-237.5--0.363375000000014</f>
        <v>883.74579699999992</v>
      </c>
      <c r="AA37" s="3">
        <f>1003.1+(475.1-274.7)+(0+(0-0))+0-237.3-0</f>
        <v>966.2</v>
      </c>
      <c r="AB37" s="3">
        <f>959.9+(592.2-229.7)+(-1.468647+(-0.906066--0.351441))+0-238.2--0.364446000000014</f>
        <v>1082.5411740000002</v>
      </c>
      <c r="AC37" s="3">
        <f>924.5+(682-189.3)+(-0.94299+(-0.69564--0.193086))+0-236.3--0.241026000000038</f>
        <v>1179.6954820000003</v>
      </c>
      <c r="AD37">
        <f t="shared" si="0"/>
        <v>23674.520080000002</v>
      </c>
      <c r="AE37" s="3">
        <f>1001+(492-291.6)+(0+(0-0))+0-237.3-0</f>
        <v>964.10000000000014</v>
      </c>
    </row>
    <row r="38" spans="1:31" s="2" customFormat="1" x14ac:dyDescent="0.25">
      <c r="A38">
        <v>89</v>
      </c>
      <c r="B38">
        <v>2</v>
      </c>
      <c r="C38">
        <v>7</v>
      </c>
      <c r="D38">
        <v>4</v>
      </c>
      <c r="E38">
        <v>1</v>
      </c>
      <c r="F38" s="3">
        <f>857.3+(721.1-156.2)+(-1.748892+(-1.471044--0.318648))+0-237.6--0.48470399999999</f>
        <v>1182.1834160000001</v>
      </c>
      <c r="G38" s="3">
        <f>858.3+(673.5-149.4)+(-3.064131+(-2.404395--0.533358))+0-235.9--0.842163000000003</f>
        <v>1142.4069950000001</v>
      </c>
      <c r="H38" s="3">
        <f>857.7+(609.4-122.4)+(-1.312281+(-0.932382--0.187272))+0-235.7--0.360621000000014</f>
        <v>1107.30323</v>
      </c>
      <c r="I38" s="3">
        <f>860.2+(554.7-125.2)+(-0.877404+(-0.565794--0.127704))+0-236.5--0.241230000000038</f>
        <v>1052.1257360000002</v>
      </c>
      <c r="J38" s="3">
        <f>858.3+(506-125.6)+(-2.626398+(-1.54836--0.384336))+0-235.1--0.719406000000027</f>
        <v>1000.5289839999998</v>
      </c>
      <c r="K38" s="3">
        <f>859.8+(422.8-117.7)+(-0.876996+(-0.431256--0.120054))+0-234.8--0.239496000000037</f>
        <v>929.15129800000011</v>
      </c>
      <c r="L38" s="3">
        <f>861.3+(264.4-118.4)+(-2.635578+(-0.809064--0.362304))+0-231.7--0.709002000000027</f>
        <v>773.22666400000003</v>
      </c>
      <c r="M38" s="3">
        <f>860.7+(243.4-138.7)+(-1.316871+(-0.372402--0.212211))+0-232.7--0.356031000000013</f>
        <v>731.57896900000014</v>
      </c>
      <c r="N38" s="3">
        <f>855.9+(361.1-225.6)+(-0.436509+(-0.184161--0.115056))+0-234.8--0.119747999999976</f>
        <v>756.21413399999994</v>
      </c>
      <c r="O38" s="3">
        <f>853.2+(452.1-302)+(-1.305396+(-0.691713--0.46206))+0-235.9--0.360927000000014</f>
        <v>766.22587800000019</v>
      </c>
      <c r="P38" s="3">
        <f>848.7+(467.3-275.2)+(-1.298511+(-0.714969--0.421056))+0-234.4--0.358632000000014</f>
        <v>805.16620800000032</v>
      </c>
      <c r="Q38" s="3">
        <f>844.7+(496.3-249.7)+(0+(0-0))+0-235.3-0</f>
        <v>856.00000000000023</v>
      </c>
      <c r="R38" s="3">
        <f>840.7+(602.2-247.3)+(-1.286271+(-0.921366--0.378369))+0-235.8--0.360774000000014</f>
        <v>958.33150600000022</v>
      </c>
      <c r="S38" s="3">
        <f>838.4+(726.1-245.6)+(0+(0-0))+0-234.9-0</f>
        <v>1084</v>
      </c>
      <c r="T38" s="3">
        <f>835.7+(777.1-228.2)+(-0.852414+(-0.792642--0.232764))+0-236.7--0.241434000000038</f>
        <v>1146.7291420000001</v>
      </c>
      <c r="U38" s="3">
        <f>834.1+(766.8-219)+(-1.701564+(-1.564272--0.44676))+0-237.1--0.48368399999999</f>
        <v>1142.4646080000002</v>
      </c>
      <c r="V38" s="3">
        <f>832.7+(642.7-203.3)+(-1.274031+(-0.983331--0.311049))+0-236.2--0.361386000000014</f>
        <v>1034.3150730000002</v>
      </c>
      <c r="W38" s="3">
        <f>846.9+(485.2-213.4)+(-1.727676+(-0.989808--0.435336))+0-234--0.47735999999999</f>
        <v>882.89521199999979</v>
      </c>
      <c r="X38" s="3">
        <f>923.5+(298.8-194.4)+(-1.412955+(-0.457164--0.297432))+0-234--0.358020000000014</f>
        <v>792.68533300000001</v>
      </c>
      <c r="Y38" s="3">
        <f>933.9+(341.2-222.3)+(-1.905156+(-0.696048--0.453492))+0-234.5--0.47837999999999</f>
        <v>816.63066800000001</v>
      </c>
      <c r="Z38" s="3">
        <f>920.1+(517.4-255.8)+(-0.938502+(-0.527748--0.260916))+0-233.6--0.238272000000037</f>
        <v>947.13293800000008</v>
      </c>
      <c r="AA38" s="3">
        <f>924.9+(601.9-263.6)+(-1.886796+(-1.227876--0.537744))+0-233.8--0.47695199999999</f>
        <v>1027.3000239999999</v>
      </c>
      <c r="AB38" s="3">
        <f>902.2+(688.8-236.4)+(-0.920244+(-0.702576--0.241128))+0-235.4--0.240108000000038</f>
        <v>1118.0584159999999</v>
      </c>
      <c r="AC38" s="3">
        <f>852.1+(769.7-188.3)+(-0.869142+(-0.785094--0.192066))+0-234.5--0.239190000000037</f>
        <v>1197.77702</v>
      </c>
      <c r="AD38">
        <f t="shared" si="0"/>
        <v>23250.431452000004</v>
      </c>
      <c r="AE38" s="3">
        <f>972+(564.4-270.9)+(0+(0-0))+0-232.5-0</f>
        <v>1033</v>
      </c>
    </row>
    <row r="39" spans="1:31" s="2" customFormat="1" x14ac:dyDescent="0.25">
      <c r="A39">
        <v>89</v>
      </c>
      <c r="B39">
        <v>2</v>
      </c>
      <c r="C39">
        <v>8</v>
      </c>
      <c r="D39">
        <v>5</v>
      </c>
      <c r="E39">
        <v>1</v>
      </c>
      <c r="F39" s="3">
        <f>852+(706.9-203.6)+(-0.43452+(-0.360519--0.103836))+0-236.6--0.120665999999976</f>
        <v>1118.129463</v>
      </c>
      <c r="G39" s="3">
        <f>853.7+(673.3-148.6)+(-0.435387+(-0.343383--0.075786))+0-237.8--0.121277999999976</f>
        <v>1140.0182940000002</v>
      </c>
      <c r="H39" s="3">
        <f>852.1+(674.3-149.9)+(-0.869142+(-0.687786--0.152898))+0-236.6--0.241332000000038</f>
        <v>1138.7373020000002</v>
      </c>
      <c r="I39" s="3">
        <f>854.1+(613.3-143.5)+(0+(0-0))+0-237.7-0</f>
        <v>1086.2</v>
      </c>
      <c r="J39" s="3">
        <f>854.2+(575.4-162.7)+(-0.871284+(-0.586908--0.165954))+0-238.3--0.243066000000038</f>
        <v>1027.5508280000001</v>
      </c>
      <c r="K39" s="3">
        <f>857.3+(499.2-168)+(-2.186115+(-1.27296--0.4284))+0-236.5--0.603074999999966</f>
        <v>949.57240000000002</v>
      </c>
      <c r="L39" s="3">
        <f>857.9+(272.3-126.8)+(-1.312587+(-0.416619--0.194004))+0-233.7--0.357561000000014</f>
        <v>768.52235900000005</v>
      </c>
      <c r="M39" s="3">
        <f>858.2+(249.3-147.8)+(0+(0-0))+0-231.5-0</f>
        <v>728.2</v>
      </c>
      <c r="N39" s="3">
        <f>853.7+(357.5-227.3)+(-0.870774+(-0.36465--0.231846))+0-233.6--0.238272000000037</f>
        <v>749.53469400000017</v>
      </c>
      <c r="O39" s="3">
        <f>845.3+(435.7-292.3)+(-0.431103+(-0.222207--0.149073))+0-238--0.121379999999976</f>
        <v>750.31714299999987</v>
      </c>
      <c r="P39" s="3">
        <f>865.7+(482.2-297.9)+(-1.324521+(-0.737766--0.455787))+0-237.2--0.362916000000014</f>
        <v>811.5564159999999</v>
      </c>
      <c r="Q39" s="3">
        <f>976.5+(485.7-357.2)+(-1.494045+(-0.743121--0.546516))+0-237.9--0.363987000000014</f>
        <v>865.77333700000008</v>
      </c>
      <c r="R39" s="3">
        <f>982+(582.9-346.1)+(-1.50246+(-0.891837--0.529533))+0-237.2--0.362916000000014</f>
        <v>980.09815200000003</v>
      </c>
      <c r="S39" s="3">
        <f>974.4+(738.4-350.7)+(-1.987776+(-1.506336--0.715428))+0-237.6--0.48470399999999</f>
        <v>1122.2060199999999</v>
      </c>
      <c r="T39" s="3">
        <f>972.7+(804.9-348)+(-0.496077+(-0.410499--0.17748))+0-236.8--0.120767999999976</f>
        <v>1192.1916719999999</v>
      </c>
      <c r="U39" s="3">
        <f>983.9+(774.1-338.3)+(-0.501789+(-0.394791--0.172533))+0-236.5--0.120614999999976</f>
        <v>1182.5965680000002</v>
      </c>
      <c r="V39" s="3">
        <f>1084.2+(585.3-347)+(-2.76471+(-1.492515--0.88485))+0-237.2--0.604859999999966</f>
        <v>1082.532485</v>
      </c>
      <c r="W39" s="3">
        <f>1118.5+(401-350.4)+(-2.28174+(-0.81804--0.714816))+0-235.9--0.48123599999999</f>
        <v>931.29627199999982</v>
      </c>
      <c r="X39" s="3">
        <f>1128.4+(281.7-357.7)+(-2.301936+(-0.574668--0.729708))+0-233.7--0.47674799999999</f>
        <v>817.02985200000012</v>
      </c>
      <c r="Y39" s="3">
        <f>1126.2+(323-403.6)+(-1.723086+(-0.49419--0.617508))+0-237.4--0.363222000000014</f>
        <v>806.96345399999996</v>
      </c>
      <c r="Z39" s="3">
        <f>1068+(482.5-367.7)+(-1.63404+(-0.738225--0.562581))+0-237.2--0.362916000000014</f>
        <v>944.15323199999989</v>
      </c>
      <c r="AA39" s="3">
        <f>1071.2+(547-348.9)+(-1.092624+(-0.55794--0.355878))+0-235.6--0.240312000000038</f>
        <v>1032.6456260000004</v>
      </c>
      <c r="AB39" s="3">
        <f>1007.4+(674.2-323)+(-2.055096+(-1.375368--0.65892))+0-234.9--0.47919599999999</f>
        <v>1121.4076519999999</v>
      </c>
      <c r="AC39" s="3">
        <f>998.2+(758.2-312.1)+(-2.036328+(-1.546728--0.636684))+0-236.8--0.48307199999999</f>
        <v>1205.0367000000001</v>
      </c>
      <c r="AD39">
        <f t="shared" si="0"/>
        <v>23552.269921000003</v>
      </c>
      <c r="AE39" s="3">
        <f>1068+(557.9-301.5)+(0+(0-0))+0-234.3-0</f>
        <v>1090.1000000000001</v>
      </c>
    </row>
    <row r="40" spans="1:31" s="2" customFormat="1" x14ac:dyDescent="0.25">
      <c r="A40">
        <v>89</v>
      </c>
      <c r="B40">
        <v>2</v>
      </c>
      <c r="C40">
        <v>9</v>
      </c>
      <c r="D40">
        <v>6</v>
      </c>
      <c r="E40">
        <v>1</v>
      </c>
      <c r="F40" s="3">
        <f>997.8+(763.7-324.5)+(-0.508878+(-0.389487--0.165495))+0-235--0.119849999999976</f>
        <v>1201.38698</v>
      </c>
      <c r="G40" s="3">
        <f>1001.4+(719.7-307.2)+(-1.532142+(-1.101141--0.470016))+0-236.2--0.361386000000014</f>
        <v>1175.8981190000002</v>
      </c>
      <c r="H40" s="3">
        <f>996.4+(646.8-267.8)+(1.524492+(0.989604-0.409734))+0-237.6-0.363528000000014</f>
        <v>1139.5408339999999</v>
      </c>
      <c r="I40" s="3">
        <f>996.7+(600.6-268.7)+(-1.524951+(-0.918918--0.411111))+0-235.8--0.360774000000014</f>
        <v>1091.1280160000001</v>
      </c>
      <c r="J40" s="3">
        <f>997.8+(529.7-255.2)+(0.508878+(0.270147-0.130152))+0-235.1-0.119900999999976</f>
        <v>1037.7289720000001</v>
      </c>
      <c r="K40" s="3">
        <f>998.9+(465.4-239.4)+(-1.528317+(-0.712062--0.366282))+0-234.5--0.358785000000014</f>
        <v>988.88468799999998</v>
      </c>
      <c r="L40" s="3">
        <f>767.4+(444.5-192.3)+(-1.565496+(-0.90678--0.392292))+0-232.5--0.47429999999999</f>
        <v>785.49431599999991</v>
      </c>
      <c r="M40" s="3">
        <f>752+(430.3-216.7)+(-1.15056+(-0.658359--0.331551))+0-232.5--0.355725000000013</f>
        <v>731.97835700000007</v>
      </c>
      <c r="N40" s="3">
        <f>838+(407.8-250.8)+(0+(0-0))+0-234-0</f>
        <v>761</v>
      </c>
      <c r="O40" s="3">
        <f>997.8+(391.7-371.3)+(-0.508878+(-0.199767--0.189363))+0-235.5--0.120104999999976</f>
        <v>782.30082299999992</v>
      </c>
      <c r="P40" s="3">
        <f>995.3+(465.9-401.8)+(-1.015206+(-0.475218--0.409836))+0-237.4--0.242148000000038</f>
        <v>821.16155999999989</v>
      </c>
      <c r="Q40" s="3">
        <f>980.8+(538.9-412.6)+(0+(0-0))+0-236-0</f>
        <v>871.09999999999991</v>
      </c>
      <c r="R40" s="3">
        <f>974.9+(666.1-352)+(-1.491597+(-1.019133--0.53856))+0-237.1--0.362763000000014</f>
        <v>1050.2905930000002</v>
      </c>
      <c r="S40" s="3">
        <f>969.7+(839.7-335.8)+(-0.989094+(-0.856494--0.342516))+0-236.5--0.241230000000038</f>
        <v>1235.8381580000002</v>
      </c>
      <c r="T40" s="3">
        <f>963.5+(950-341.9)+(-0.491385+(-0.4845--0.174369))+0-234.9--0.119798999999976</f>
        <v>1336.0182829999999</v>
      </c>
      <c r="U40" s="3">
        <f>965.6+(926.3-332.8)+(-1.477368+(-1.417239--0.509184))+0-234.4--0.358632000000014</f>
        <v>1322.6732089999998</v>
      </c>
      <c r="V40" s="3">
        <f>958.3+(645.1-328.9)+(-0.977466+(-0.658002--0.335478))+0-235.1--0.239802000000037</f>
        <v>1038.3398120000002</v>
      </c>
      <c r="W40" s="3">
        <f>990.9+(403.9-284)+(-3.537513+(-1.441923--1.01388))+0-236--0.842520000000003</f>
        <v>871.67696399999988</v>
      </c>
      <c r="X40" s="3">
        <f>1008.8+(254.6-251.5)+(0+(0-0))+0-235.9-0</f>
        <v>776</v>
      </c>
      <c r="Y40" s="3">
        <f>1010.9+(314.6-294.6)+(-1.031118+(-0.320892--0.300492))+0-236.5--0.241230000000038</f>
        <v>793.58971200000019</v>
      </c>
      <c r="Z40" s="3">
        <f>1174.9+(392-395.4)+(-2.995995+(-0.9996--1.00827))+0-234.5--0.597974999999966</f>
        <v>934.61064999999996</v>
      </c>
      <c r="AA40" s="3">
        <f>1281.4+(395.1-413)+(-1.307028+(-0.403002--0.42126))+0-236.6--0.241332000000038</f>
        <v>1025.852562</v>
      </c>
      <c r="AB40" s="3">
        <f>1287.5+(411.8-355.1)+(-2.6265+(-0.840072--0.724404))+0-235.7--0.48082799999999</f>
        <v>1106.23866</v>
      </c>
      <c r="AC40" s="3">
        <f>1291.7+(447.7-325.5)+(-0.658767+(-0.228327--0.166005))+0-236.2--0.120461999999976</f>
        <v>1177.0993730000002</v>
      </c>
      <c r="AD40">
        <f t="shared" si="0"/>
        <v>24055.830641</v>
      </c>
      <c r="AE40" s="3">
        <f>1277+(436.9-359.9)+(0+(0-0))+0-237.3-0</f>
        <v>1116.7</v>
      </c>
    </row>
    <row r="41" spans="1:31" s="2" customFormat="1" x14ac:dyDescent="0.25">
      <c r="A41">
        <v>89</v>
      </c>
      <c r="B41">
        <v>2</v>
      </c>
      <c r="C41">
        <v>10</v>
      </c>
      <c r="D41">
        <v>7</v>
      </c>
      <c r="E41">
        <v>1</v>
      </c>
      <c r="F41" s="3">
        <f>1158.6+(635.2-295.8)+(0+(0-0))+0-234.9-0</f>
        <v>1263.0999999999999</v>
      </c>
      <c r="G41" s="3">
        <f>1131.6+(654.5-299.8)+(0+(0-0))+0-234.9-0</f>
        <v>1251.3999999999999</v>
      </c>
      <c r="H41" s="3">
        <f>1126.7+(608.7-288.1)+(1.149234+(0.620874-0.293862))+0-237.2-0.241944000000038</f>
        <v>1211.334302</v>
      </c>
      <c r="I41" s="3">
        <f>1128+(561.7-276.4)+(-0.57528+(-0.286467--0.140964))+0-238.6--0.121685999999976</f>
        <v>1174.1009030000002</v>
      </c>
      <c r="J41" s="3">
        <f>1127+(499.5-261.8)+(1.14954+(0.50949-0.267036))+0-236.9-0.241638000000038</f>
        <v>1128.9503560000001</v>
      </c>
      <c r="K41" s="3">
        <f>1128.5+(424.3-258.6)+(-2.877675+(-1.081965--0.65943))+0-235.2--0.599759999999966</f>
        <v>1056.29955</v>
      </c>
      <c r="L41" s="3">
        <f>1130.7+(235-224.9)+(-2.883285+(-0.59925--0.573495))+0-233.9--0.596444999999966</f>
        <v>904.58740499999999</v>
      </c>
      <c r="M41" s="3">
        <f>1130.8+(206.7-264.4)+(-1.153416+(-0.210834--0.269688))+0-233.2--0.237864000000037</f>
        <v>839.04330199999993</v>
      </c>
      <c r="N41" s="3">
        <f>1096.1+(233.6-271.5)+(0.559011+(0.119136-0.138465))+0-232.7-0.118676999999976</f>
        <v>825.92100499999992</v>
      </c>
      <c r="O41" s="3">
        <f>1033.3+(290.8-258.9)+(-0.526983+(-0.148308--0.132039))+0-233.5--0.119084999999976</f>
        <v>831.27583300000003</v>
      </c>
      <c r="P41" s="3">
        <f>895.8+(446.7-265.1)+(-0.913716+(-0.455634--0.270402))+0-234.3--0.238986000000037</f>
        <v>842.24003799999991</v>
      </c>
      <c r="Q41" s="3">
        <f>906.3+(543.5-310.7)+(-1.386639+(-0.831555--0.475371))+0-235.7--0.360621000000014</f>
        <v>902.01779799999986</v>
      </c>
      <c r="R41" s="3">
        <f>962.1+(610.2-339.2)+(0.490671+(0.311202-0.172992))+0-235.3-0.120002999999976</f>
        <v>998.30887800000028</v>
      </c>
      <c r="S41" s="3">
        <f>958.7+(731.6-333.4)+(-0.977874+(-0.746232--0.340068))+0-233--0.237660000000037</f>
        <v>1122.7536220000002</v>
      </c>
      <c r="T41" s="3">
        <f>973.3+(801-329.8)+(1.489149+(1.22553-0.504594))+0-233.4-0.357102000000014</f>
        <v>1212.9529829999999</v>
      </c>
      <c r="U41" s="3">
        <f>972.9+(809.2-326)+(-1.488537+(-1.238076--0.49878))+0-233.6--0.357408000000013</f>
        <v>1220.6295750000002</v>
      </c>
      <c r="V41" s="3">
        <f>964.4+(656-276.9)+(-1.475532+(-1.00368--0.423657))+0-233--0.356490000000013</f>
        <v>1108.8009350000002</v>
      </c>
      <c r="W41" s="3">
        <f>958.8+(443.8-226.5)+(-2.44494+(-1.13169--0.577575))+0-233.6--0.595679999999966</f>
        <v>940.0966249999999</v>
      </c>
      <c r="X41" s="3">
        <f>969.9+(291.7-231.7)+(-2.473245+(-0.743835--0.590835))+0-232.8--0.593639999999966</f>
        <v>795.06739500000015</v>
      </c>
      <c r="Y41" s="3">
        <f>971.3+(342.5-275.9)+(-0.495363+(-0.174675--0.140709))+0-233.1--0.118880999999976</f>
        <v>804.38955200000009</v>
      </c>
      <c r="Z41" s="3">
        <f>973.3+(538.5-310.4)+(-1.985532+(-1.09854--0.633216))+0-232.3--0.47389199999999</f>
        <v>967.12303600000018</v>
      </c>
      <c r="AA41" s="3">
        <f>974.6+(669.6-313.5)+(-0.994092+(-0.682992--0.31977))+0-232.7--0.237354000000037</f>
        <v>1096.88004</v>
      </c>
      <c r="AB41" s="3">
        <f>975.4+(753.9-296.9)+(-2.984724+(-2.306934--0.908514))+0-232.9--0.712674000000027</f>
        <v>1195.8295300000002</v>
      </c>
      <c r="AC41" s="3">
        <f>975.1+(801.5-254.5)+(-0.994602+(-0.81753--0.25959))+0-232.7--0.237354000000037</f>
        <v>1288.0848120000001</v>
      </c>
      <c r="AD41">
        <f t="shared" si="0"/>
        <v>24981.187474999999</v>
      </c>
      <c r="AE41" s="3">
        <f>974+(626-320.2)+(0+(0-0))+0-231.9-0</f>
        <v>1047.8999999999999</v>
      </c>
    </row>
    <row r="42" spans="1:31" s="2" customFormat="1" x14ac:dyDescent="0.25">
      <c r="A42">
        <v>89</v>
      </c>
      <c r="B42">
        <v>2</v>
      </c>
      <c r="C42">
        <v>11</v>
      </c>
      <c r="D42">
        <v>1</v>
      </c>
      <c r="E42">
        <v>1</v>
      </c>
      <c r="F42" s="3">
        <f>976.5+(798.3-228.5)+(-1.99206+(-1.628532--0.46614))+0-232.5--0.47429999999999</f>
        <v>1311.119848</v>
      </c>
      <c r="G42" s="3">
        <f>978.5+(758.3-224.4)+(-2.495175+(-1.933665--0.57222))+0-232.4--0.592619999999966</f>
        <v>1276.7359999999999</v>
      </c>
      <c r="H42" s="3">
        <f>980.2+(703.7-208.8)+(-0.999804+(-0.717774--0.212976))+0-233--0.237660000000037</f>
        <v>1240.8330580000002</v>
      </c>
      <c r="I42" s="3">
        <f>980.6+(656.7-197.3)+(-2.000424+(-1.339668--0.402492))+0-232.8--0.47491199999999</f>
        <v>1204.737312</v>
      </c>
      <c r="J42" s="3">
        <f>982+(600.5-188.7)+(0+(0-0))+0-233.6-0</f>
        <v>1160.2</v>
      </c>
      <c r="K42" s="3">
        <f>982.1+(490.4-180.2)+(-0.500871+(-0.250104--0.091902))+0-234--0.119339999999976</f>
        <v>1057.7602669999999</v>
      </c>
      <c r="L42" s="3">
        <f>984.6+(305-177)+(-2.008584+(-0.6222--0.36108))+0-233.4--0.47613599999999</f>
        <v>877.40643199999988</v>
      </c>
      <c r="M42" s="3">
        <f>983+(355.1-275.3)+(-1.00266+(-0.362202--0.280806))+0-232.7--0.237354000000037</f>
        <v>829.25329799999997</v>
      </c>
      <c r="N42" s="3">
        <f>1048.3+(407.7-377.7)+(-1.069266+(-0.415854--0.385254))+0-233.6--0.238272000000037</f>
        <v>843.83840599999996</v>
      </c>
      <c r="O42" s="3">
        <f>1124.6+(428.7-436.1)+(-1.720638+(-0.655911--0.667233))+0-238--0.364140000000014</f>
        <v>877.85482399999989</v>
      </c>
      <c r="P42" s="3">
        <f>1122.2+(452.7-423.4)+(-1.144644+(-0.461754--0.431868))+0-237.1--0.241842000000038</f>
        <v>913.46731199999999</v>
      </c>
      <c r="Q42" s="3">
        <f>1068.1+(484.4-423.7)+(-0.544731+(-0.247044--0.216087))+0-157.6--0.080375999999984</f>
        <v>970.70468800000003</v>
      </c>
      <c r="R42" s="3">
        <f>972.9+(688.4-316.6)+(-2.480895+(-1.75542--0.80733))+0-241.4--0.615569999999965</f>
        <v>1100.4865849999996</v>
      </c>
      <c r="S42" s="3">
        <f>1135.6+(669.2-326.5)+(-1.158312+(-0.682584--0.33303))+0-238.4--0.243168000000038</f>
        <v>1238.6353019999999</v>
      </c>
      <c r="T42" s="3">
        <f>1263.5+(578.2-326.8)+(-0.644385+(-0.294882--0.166668))+0-212.5--0.108374999999978</f>
        <v>1301.7357760000002</v>
      </c>
      <c r="U42" s="3">
        <f>1262.7+(558.8-309.5)+(-3.219885+(-1.42494--0.789225))+0-237.7--0.606134999999965</f>
        <v>1271.0505349999999</v>
      </c>
      <c r="V42" s="3">
        <f>1266.2+(386.6-296.5)+(-3.22881+(-0.98583--0.756075))+0-236.1--0.602054999999966</f>
        <v>1117.3434900000004</v>
      </c>
      <c r="W42" s="3">
        <f>1273.6+(254-349.5)+(-1.948608+(-0.38862--0.534735))+0-237.5--0.363375000000014</f>
        <v>939.16088200000002</v>
      </c>
      <c r="X42" s="3">
        <f>1279.8+(243.9-448.9)+(-1.958094+(-0.373167--0.686817))+0-237.5--0.363375000000014</f>
        <v>836.01893099999995</v>
      </c>
      <c r="Y42" s="3">
        <f>1290.5+(282.3-428.9)+(-0.658155+(-0.143973--0.218739))+0-238.1--0.121430999999976</f>
        <v>905.3380420000002</v>
      </c>
      <c r="Z42" s="3">
        <f>1293.7+(461.3-426.2)+(-2.639148+(-0.941052--0.869448))+0-238.2--0.48592799999999</f>
        <v>1088.3751760000002</v>
      </c>
      <c r="AA42" s="3">
        <f>1295.7+(505-367.9)+(-1.321614+(-0.5151--0.375258))+0-237.5--0.242250000000038</f>
        <v>1194.0807940000002</v>
      </c>
      <c r="AB42" s="3">
        <f>1292.7+(563.9-339.6)+(-1.318554+(-0.575178--0.346392))+0-237.3--0.242046000000038</f>
        <v>1278.394706</v>
      </c>
      <c r="AC42" s="3">
        <f>1289.5+(590.6-309)+(-1.972935+(-0.903618--0.47277))+0-237--0.362610000000014</f>
        <v>1332.0588269999998</v>
      </c>
      <c r="AD42">
        <f t="shared" si="0"/>
        <v>26166.590490999999</v>
      </c>
      <c r="AE42" s="3">
        <f>1292+(481.1-409.7)+(0+(0-0))+0-244.5-0</f>
        <v>1118.9000000000001</v>
      </c>
    </row>
    <row r="43" spans="1:31" s="2" customFormat="1" x14ac:dyDescent="0.25">
      <c r="A43">
        <v>89</v>
      </c>
      <c r="B43">
        <v>2</v>
      </c>
      <c r="C43">
        <v>12</v>
      </c>
      <c r="D43">
        <v>2</v>
      </c>
      <c r="E43">
        <v>1</v>
      </c>
      <c r="F43" s="3">
        <f>1172.5+(678.1-276.8)+(0+(0-0))+0-235.9-0</f>
        <v>1337.8999999999999</v>
      </c>
      <c r="G43" s="3">
        <f>1135.8+(676.6-271.3)+(-0.579258+(-0.345066--0.138363))+0-237.1--0.120920999999976</f>
        <v>1303.3349599999999</v>
      </c>
      <c r="H43" s="3">
        <f>1134.4+(617.5-251.3)+(0+(0-0))+0-236.9-0</f>
        <v>1263.7</v>
      </c>
      <c r="I43" s="3">
        <f>1138.9+(564.6-235.8)+(-1.161678+(-0.575892--0.240516))+0-238.9--0.243678000000038</f>
        <v>1227.5466240000001</v>
      </c>
      <c r="J43" s="3">
        <f>1138.7+(510.6-224.5)+(-0.580737+(-0.260406--0.114495))+0-236.9--0.120818999999976</f>
        <v>1187.294171</v>
      </c>
      <c r="K43" s="3">
        <f>1138.5+(408.6-207.7)+(-2.903175+(-1.04193--0.529635))+0-237.3--0.605114999999966</f>
        <v>1099.2896450000003</v>
      </c>
      <c r="L43" s="3">
        <f>1140.5+(230.4-204)+(-1.16331+(-0.235008--0.20808))+0-237.8--0.242556000000038</f>
        <v>928.15231800000026</v>
      </c>
      <c r="M43" s="3">
        <f>1136+(273.6-294.7)+(0+(0-0))+0-237-0</f>
        <v>877.90000000000009</v>
      </c>
      <c r="N43" s="3">
        <f>1133.9+(328.9-332.5)+(-0.578289+(-0.167739--0.169575))+0-238.6--0.121685999999976</f>
        <v>891.24523300000021</v>
      </c>
      <c r="O43" s="3">
        <f>1127.7+(358-338.9)+(0+(0-0))+0-238.7-0</f>
        <v>908.10000000000014</v>
      </c>
      <c r="P43" s="3">
        <f>1123+(372.9-305.9)+(1.14546+(0.380358-0.312018))+0-239.4-0.244188000000038</f>
        <v>951.56961200000001</v>
      </c>
      <c r="Q43" s="3">
        <f>1121.2+(468.9-334.5)+(-0.571812+(-0.239139--0.170595))+0-240.2--0.122501999999976</f>
        <v>1014.8821459999997</v>
      </c>
      <c r="R43" s="3">
        <f>1117.2+(533.7-323.6)+(-1.709316+(-0.816561--0.495108))+0-168.2--0.25734600000001</f>
        <v>1157.3265770000003</v>
      </c>
      <c r="S43" s="3">
        <f>1111.7+(736.3-296.2)+(-2.267868+(-1.502052--0.604248))+0-241.7--0.493067999999989</f>
        <v>1307.4273959999998</v>
      </c>
      <c r="T43" s="3">
        <f>1109.3+(775.4-275.4)+(0.565743+(0.395454-0.140454))+0-239.4-0.122093999999976</f>
        <v>1370.5986489999998</v>
      </c>
      <c r="U43" s="3">
        <f>1105.1+(736-258.6)+(-1.690803+(-1.12608--0.395658))+0-236.8--0.362304000000014</f>
        <v>1343.641079</v>
      </c>
      <c r="V43" s="3">
        <f>1205.9+(496.7-268.7)+(-3.690054+(-1.519902--0.822222))+0-239.2--0.731952000000028</f>
        <v>1191.0442180000002</v>
      </c>
      <c r="W43" s="3">
        <f>1242+(281-280.9)+(-0.63342+(-0.14331--0.143259))+0-239.2--0.121991999999976</f>
        <v>1002.3885209999997</v>
      </c>
      <c r="X43" s="3">
        <f>1247.1+(232.9-337.7)+(-1.908063+(-0.356337--0.516681))+0-239.4--0.366282000000014</f>
        <v>901.51856300000009</v>
      </c>
      <c r="Y43" s="3">
        <f>1258.8+(287.3-352.3)+(-1.283976+(-0.293046--0.359346))+0-237.8--0.242556000000038</f>
        <v>955.02488000000005</v>
      </c>
      <c r="Z43" s="3">
        <f>1262.2+(487.1-368.3)+(-4.506054+(-1.738947--1.314831))+0-238.5--0.851445000000003</f>
        <v>1138.4212749999999</v>
      </c>
      <c r="AA43" s="3">
        <f>1261.1+(583.3-358.6)+(-2.572644+(-1.189932--0.731544))+0-237.8--0.48511199999999</f>
        <v>1245.4540799999997</v>
      </c>
      <c r="AB43" s="3">
        <f>1262+(654.3-345.9)+(-3.2181+(-1.668465--0.882045))+0-237--0.604349999999966</f>
        <v>1329.9998300000002</v>
      </c>
      <c r="AC43" s="3">
        <f>1260.5+(676.7-313)+(-3.214275+(-1.725585--0.79815))+0-237.4--0.605369999999966</f>
        <v>1383.2636599999998</v>
      </c>
      <c r="AD43">
        <f t="shared" si="0"/>
        <v>27317.023437000003</v>
      </c>
      <c r="AE43" s="3">
        <f>1260+(475.9-381.8)+(0+(0-0))+0-238.5-0</f>
        <v>1115.5999999999999</v>
      </c>
    </row>
    <row r="44" spans="1:31" s="2" customFormat="1" x14ac:dyDescent="0.25">
      <c r="A44">
        <v>89</v>
      </c>
      <c r="B44">
        <v>2</v>
      </c>
      <c r="C44">
        <v>13</v>
      </c>
      <c r="D44">
        <v>3</v>
      </c>
      <c r="E44">
        <v>1</v>
      </c>
      <c r="F44" s="3">
        <f>1266.9+(633.6-290.3)+(-3.876714+(-1.938816--0.888318))+0-236.1--0.722466000000027</f>
        <v>1369.895254</v>
      </c>
      <c r="G44" s="3">
        <f>1268.2+(588.4-285.2)+(-4.527474+(-2.100588--1.018164))+0-237.2--0.846804000000003</f>
        <v>1329.4369060000001</v>
      </c>
      <c r="H44" s="3">
        <f>1268.7+(520.4-258.3)+(-0.647037+(-0.265404--0.131733))+0-238.3--0.121532999999976</f>
        <v>1291.840825</v>
      </c>
      <c r="I44" s="3">
        <f>1271.1+(455.3-223.3)+(-0.648261+(-0.232203--0.113883))+0-237.8--0.121277999999976</f>
        <v>1264.6546969999999</v>
      </c>
      <c r="J44" s="3">
        <f>1277+(385.2-221.6)+(-1.30254+(-0.392904--0.226032))+0-236.9--0.241638000000038</f>
        <v>1202.4722259999999</v>
      </c>
      <c r="K44" s="3">
        <f>1278.8+(297.7-214.7)+(-3.26094+(-0.759135--0.547485))+0-237.9--0.606644999999965</f>
        <v>1121.0340549999999</v>
      </c>
      <c r="L44" s="3">
        <f>1279.4+(191.4-305.9)+(-3.914964+(-0.585684--0.936054))+0-236.9--0.724914000000027</f>
        <v>925.16032000000018</v>
      </c>
      <c r="M44" s="3">
        <f>1273.4+(239-431.8)+(0.649434+(0.12189-0.220218))+0-236.8-0.120767999999976</f>
        <v>844.23033800000007</v>
      </c>
      <c r="N44" s="3">
        <f>1230.3+(329-458)+(0+(0-0))+0-237.7-0</f>
        <v>863.59999999999991</v>
      </c>
      <c r="O44" s="3">
        <f>1210.1+(388.8-487.6)+(-1.851453+(-0.594864--0.746028))+0-239.5--0.366435000000014</f>
        <v>870.46614599999987</v>
      </c>
      <c r="P44" s="3">
        <f>1177.5+(440.3-465.2)+(0+(0-0))+0-239.8-0</f>
        <v>912.8</v>
      </c>
      <c r="Q44" s="3">
        <f>1159+(454.3-422.1)+(-2.36436+(-0.926772--0.861084))+0-239.6--0.48878399999999</f>
        <v>949.65873600000009</v>
      </c>
      <c r="R44" s="3">
        <f>1149.6+(453.4-344.1)+(-0.586296+(-0.231234--0.175491))+0-238.8--0.121787999999976</f>
        <v>1019.5797489999998</v>
      </c>
      <c r="S44" s="3">
        <f>1153.1+(453.3-311.8)+(-2.352324+(-0.924732--0.636072))+0-239.5--0.48857999999999</f>
        <v>1052.947596</v>
      </c>
      <c r="T44" s="3">
        <f>1155.1+(435.2-302.1)+(-2.356404+(-0.887808--0.616284))+0-238.5--0.48653999999999</f>
        <v>1047.5586119999996</v>
      </c>
      <c r="U44" s="3">
        <f>1159+(394.2-254.9)+(-1.77327+(-0.603126--0.389997))+0-237.3--0.363069000000014</f>
        <v>1059.3766700000001</v>
      </c>
      <c r="V44" s="3">
        <f>1159.3+(302.3-235.4)+(-1.773729+(-0.462519--0.360162))+0-237.3--0.363069000000014</f>
        <v>987.3869830000001</v>
      </c>
      <c r="W44" s="3">
        <f>1157.6+(255.7-302.4)+(0+(0-0))+0-238.1-0</f>
        <v>872.79999999999984</v>
      </c>
      <c r="X44" s="3">
        <f>1159.9+(247.6-351.8)+(-2.366196+(-0.505104--0.717672))+0-238--0.48551999999999</f>
        <v>816.03189199999997</v>
      </c>
      <c r="Y44" s="3">
        <f>1160.2+(299-342.8)+(0.591702+(0.15249-0.174828))+0-238.6-0.121685999999976</f>
        <v>878.24767800000006</v>
      </c>
      <c r="Z44" s="3">
        <f>1203.7+(350-280.5)+(-3.069435+(-0.8925--0.715275))+0-238.9--0.609194999999965</f>
        <v>1031.6625349999999</v>
      </c>
      <c r="AA44" s="3">
        <f>1249.4+(408.1-253.3)+(-3.18597+(-1.040655--0.645915))+0-238.6--0.608429999999965</f>
        <v>1162.6277200000002</v>
      </c>
      <c r="AB44" s="3">
        <f>1250+(425-196.4)+(-0.6375+(-0.21675--0.100164))+0-239.2--0.121991999999976</f>
        <v>1238.7679059999998</v>
      </c>
      <c r="AC44" s="3">
        <f>1258.3+(447.4-173.6)+(-0.641733+(-0.228174--0.088536))+0-235.8--0.120257999999976</f>
        <v>1295.6388869999998</v>
      </c>
      <c r="AD44">
        <f t="shared" si="0"/>
        <v>25407.875731</v>
      </c>
      <c r="AE44" s="3">
        <f>1242+(344.6-297.7)+(0+(0-0))+0-245.1-0</f>
        <v>1043.8000000000002</v>
      </c>
    </row>
    <row r="45" spans="1:31" s="2" customFormat="1" x14ac:dyDescent="0.25">
      <c r="A45">
        <v>89</v>
      </c>
      <c r="B45">
        <v>2</v>
      </c>
      <c r="C45">
        <v>14</v>
      </c>
      <c r="D45">
        <v>4</v>
      </c>
      <c r="E45">
        <v>1</v>
      </c>
      <c r="F45" s="3">
        <f>1261.5+(411.3-155.6)+(-2.57346+(-0.839052--0.317424))+0-236.6--0.48266399999999</f>
        <v>1277.987576</v>
      </c>
      <c r="G45" s="3">
        <f>1269.1+(403.2-198.9)+(-2.588964+(-0.822528--0.405756))+0-239.3--0.48817199999999</f>
        <v>1231.5824359999999</v>
      </c>
      <c r="H45" s="3">
        <f>1267.1+(362.9-193.2)+(-1.938663+(-0.555237--0.295596))+0-239.2--0.365976000000014</f>
        <v>1195.7676719999999</v>
      </c>
      <c r="I45" s="3">
        <f>1274.5+(331.4-204.7)+(0.649995+(0.169014-0.104397))+0-239.1-0.121940999999976</f>
        <v>1162.6926710000002</v>
      </c>
      <c r="J45" s="3">
        <f>1273.9+(300.2-213.9)+(2.598756+(0.612408-0.436356))+0-239-0.48755999999999</f>
        <v>1123.4872479999999</v>
      </c>
      <c r="K45" s="3">
        <f>1279.7+(251.9-244.2)+(-0.652647+(-0.128469--0.124542))+0-240.5--0.122654999999976</f>
        <v>1046.3660809999999</v>
      </c>
      <c r="L45" s="3">
        <f>1278+(192.9-353.6)+(-3.2589+(-0.491895--0.90168))+0-239.5--0.610724999999965</f>
        <v>875.56160999999997</v>
      </c>
      <c r="M45" s="3">
        <f>1276.3+(174.5-405.1)+(0+(0-0))+0-239.4-0</f>
        <v>806.29999999999984</v>
      </c>
      <c r="N45" s="3">
        <f>1272.3+(202.2-411)+(-1.297746+(-0.206244--0.41922))+0-237.7--0.242454000000038</f>
        <v>824.95768400000009</v>
      </c>
      <c r="O45" s="3">
        <f>1271.3+(218.8-434.5)+(1.296726+(0.223176-0.44319))+0-239.4-0.244188000000038</f>
        <v>817.03252399999997</v>
      </c>
      <c r="P45" s="3">
        <f>1270+(271.9-485.4)+(-1.9431+(-0.416007--0.742662))+0-239.2--0.365976000000014</f>
        <v>816.04953099999989</v>
      </c>
      <c r="Q45" s="3">
        <f>1261.3+(288.9-473.3)+(-1.286526+(-0.294678--0.482766))+0-240.6--0.245412000000038</f>
        <v>835.44697399999984</v>
      </c>
      <c r="R45" s="3">
        <f>1256.5+(333.6-432.3)+(-2.56326+(-0.680544--0.881892))+0-241.1--0.491843999999989</f>
        <v>914.82993199999987</v>
      </c>
      <c r="S45" s="3">
        <f>1254.7+(350.2-321.1)+(0+(0-0))+0-241.6-0</f>
        <v>1042.2</v>
      </c>
      <c r="T45" s="3">
        <f>1248.4+(414.4-265.3)+(1.273368+(0.422688-0.270606))+0-239-0.243780000000038</f>
        <v>1159.6816699999999</v>
      </c>
      <c r="U45" s="3">
        <f>1242.5+(411.3-245.1)+(-0.633675+(-0.209763--0.125001))+0-237.8--0.121277999999976</f>
        <v>1170.3028410000002</v>
      </c>
      <c r="V45" s="3">
        <f>1249+(339-259.4)+(-1.27398+(-0.34578--0.264588))+0-238.1--0.242862000000038</f>
        <v>1089.38769</v>
      </c>
      <c r="W45" s="3">
        <f>1253+(289.1-360.2)+(-2.55612+(-0.589764--0.734808))+0-239.4--0.48837599999999</f>
        <v>940.57730000000004</v>
      </c>
      <c r="X45" s="3">
        <f>1259+(303.5-497)+(-3.21045+(-0.773925--1.26735))+0-239.2--0.609959999999965</f>
        <v>824.19293500000003</v>
      </c>
      <c r="Y45" s="3">
        <f>1261+(269.4-471.6)+(-1.28622+(-0.274788--0.481032))+0-238.9--0.243678000000038</f>
        <v>819.06370200000003</v>
      </c>
      <c r="Z45" s="3">
        <f>1270+(373-432.2)+(-2.5908+(-0.76092--0.881688))+0-238.6--0.48674399999999</f>
        <v>970.21671200000003</v>
      </c>
      <c r="AA45" s="3">
        <f>1277+(379.5-336)+(-1.30254+(-0.38709--0.34272))+0-239.7--0.244494000000038</f>
        <v>1079.697584</v>
      </c>
      <c r="AB45" s="3">
        <f>1282+(444.2-297.1)+(-1.96146+(-0.679626--0.454563))+0-238.7--0.365211000000014</f>
        <v>1188.5786879999998</v>
      </c>
      <c r="AC45" s="3">
        <f>1288+(418.9-219.7)+(-1.31376+(-0.427278--0.224094))+0-239.6--0.244392000000038</f>
        <v>1246.3274480000002</v>
      </c>
      <c r="AD45">
        <f t="shared" si="0"/>
        <v>24458.288509000009</v>
      </c>
      <c r="AE45" s="3">
        <f>1272+(449-428)+(0+(0-0))+0-246-0</f>
        <v>1047</v>
      </c>
    </row>
    <row r="46" spans="1:31" s="2" customFormat="1" x14ac:dyDescent="0.25">
      <c r="A46">
        <v>89</v>
      </c>
      <c r="B46">
        <v>2</v>
      </c>
      <c r="C46">
        <v>15</v>
      </c>
      <c r="D46">
        <v>5</v>
      </c>
      <c r="E46">
        <v>1</v>
      </c>
      <c r="F46" s="3">
        <f>1282+(424.5-222.4)+(-0.65382+(-0.216495--0.113424))+0-238.9--0.121838999999976</f>
        <v>1244.5649479999997</v>
      </c>
      <c r="G46" s="3">
        <f>1287+(442.5-274.7)+(-1.96911+(-0.677025--0.420291))+0-240.4--0.367812000000014</f>
        <v>1212.5419679999998</v>
      </c>
      <c r="H46" s="3">
        <f>1287+(406.3-271)+(-1.31274+(-0.414426--0.27642))+0-239--0.243780000000038</f>
        <v>1182.093034</v>
      </c>
      <c r="I46" s="3">
        <f>1291+(371-268.3)+(-2.63364+(-0.75684--0.547332))+0-239.6--0.48878399999999</f>
        <v>1151.7456360000001</v>
      </c>
      <c r="J46" s="3">
        <f>1287+(310.8-244.7)+(0.65637+(0.158508-0.124797))+0-238.8-0.121787999999976</f>
        <v>1114.868293</v>
      </c>
      <c r="K46" s="3">
        <f>1286+(220.9-229.8)+(0.65586+(0.112659-0.117198))+0-238.8-0.121787999999976</f>
        <v>1038.8295330000001</v>
      </c>
      <c r="L46" s="3">
        <f>1249+(182.2-333.7)+(-2.54796+(-0.371688--0.680748))+0-237.5--0.48449999999999</f>
        <v>858.24559999999997</v>
      </c>
      <c r="M46" s="3">
        <f>1211+(184.4-338.2)+(0+(0-0))+0-236.3-0</f>
        <v>820.90000000000009</v>
      </c>
      <c r="N46" s="3">
        <f>1189+(251.3-387.7)+(-0.60639+(-0.128163--0.197727))+0-236.2--0.120461999999976</f>
        <v>815.98363599999982</v>
      </c>
      <c r="O46" s="3">
        <f>1192+(322.6-446.8)+(0+(0-0))+0-236.8-0</f>
        <v>831</v>
      </c>
      <c r="P46" s="3">
        <f>1260+(323.6-483.6)+(-1.2852+(-0.330072--0.493272))+0-237.2--0.241944000000038</f>
        <v>861.91994399999987</v>
      </c>
      <c r="Q46" s="3">
        <f>1240+(390.2-484.4)+(-1.2648+(-0.398004--0.494088))+0-238.4--0.243168000000038</f>
        <v>906.47445200000016</v>
      </c>
      <c r="R46" s="3">
        <f>1247+(444.4-415.1)+(-1.27194+(-0.453288--0.423402))+0-237--0.241740000000038</f>
        <v>1038.239914</v>
      </c>
      <c r="S46" s="3">
        <f>1251+(464.3-325.4)+(0.63801+(0.236793-0.165954))+0-237.3-0.121022999999976</f>
        <v>1153.1878260000003</v>
      </c>
      <c r="T46" s="3">
        <f>1248+(518.4-302.4)+(1.90944+(0.793152-0.462672))+0-236.7-0.362151000000014</f>
        <v>1229.1777689999999</v>
      </c>
      <c r="U46" s="3">
        <f>1246+(497.2-285.8)+(-1.27092+(-0.507144--0.291516))+0-236.4--0.241128000000038</f>
        <v>1219.75458</v>
      </c>
      <c r="V46" s="3">
        <f>1248+(411.3-301.1)+(-1.90944+(-0.629289--0.460683))+0-237.6--0.363528000000014</f>
        <v>1118.8854820000001</v>
      </c>
      <c r="W46" s="3">
        <f>1258+(330.1-393.9)+(-1.92474+(-0.505053--0.602667))+0-237.6--0.363528000000014</f>
        <v>955.13640200000009</v>
      </c>
      <c r="X46" s="3">
        <f>1263+(288.5-483.9)+(-3.22065+(-0.735675--1.233945))+0-236.9--0.604094999999966</f>
        <v>828.58171499999992</v>
      </c>
      <c r="Y46" s="3">
        <f>1274+(286.5-485.8)+(-1.29948+(-0.29223--0.495516))+0-237--0.241740000000038</f>
        <v>836.84554600000013</v>
      </c>
      <c r="Z46" s="3">
        <f>1280+(417.6-480.1)+(-0.6528+(-0.212976--0.244851))+0-237.5--0.121124999999976</f>
        <v>979.50020000000006</v>
      </c>
      <c r="AA46" s="3">
        <f>1284+(455-422.9)+(-3.2742+(-1.16025--1.078395))+0-237.6--0.605879999999966</f>
        <v>1075.7498250000001</v>
      </c>
      <c r="AB46" s="3">
        <f>1285+(464.9-348.2)+(-1.3107+(-0.474198--0.355164))+0-236.2--0.240924000000038</f>
        <v>1164.3111899999999</v>
      </c>
      <c r="AC46" s="3">
        <f>1288+(443.5-270.7)+(-1.97064+(-0.678555--0.414171))+0-236--0.361080000000014</f>
        <v>1222.9260559999998</v>
      </c>
      <c r="AD46">
        <f t="shared" si="0"/>
        <v>24861.463548999996</v>
      </c>
      <c r="AE46" s="3">
        <f>1282+(436-464.7)+(0+(0-0))+0-236.7-0</f>
        <v>1016.5999999999999</v>
      </c>
    </row>
    <row r="47" spans="1:31" s="2" customFormat="1" x14ac:dyDescent="0.25">
      <c r="A47">
        <v>89</v>
      </c>
      <c r="B47">
        <v>2</v>
      </c>
      <c r="C47">
        <v>16</v>
      </c>
      <c r="D47">
        <v>6</v>
      </c>
      <c r="E47">
        <v>1</v>
      </c>
      <c r="F47" s="3">
        <f>1292+(418.5-248.4)+(0+(0-0))+0-237.1-0</f>
        <v>1225</v>
      </c>
      <c r="G47" s="3">
        <f>1293+(400.4-247.5)+(0+(0-0))+0-236.8-0</f>
        <v>1209.1000000000001</v>
      </c>
      <c r="H47" s="3">
        <f>1293+(356.6-239.2)+(0+(0-0))+0-238.1-0</f>
        <v>1172.3000000000002</v>
      </c>
      <c r="I47" s="3">
        <f>1293+(338.6-261.7)+(0+(0-0))+0-237.9-0</f>
        <v>1132</v>
      </c>
      <c r="J47" s="3">
        <f>1290+(270.4-236.8)+(0+(0-0))+0-236.8-0</f>
        <v>1086.8</v>
      </c>
      <c r="K47" s="3">
        <f>1291+(219.2-284.4)+(0+(0-0))+0-236.5-0</f>
        <v>989.3</v>
      </c>
      <c r="L47" s="3">
        <f>1297+(144.4-381.5)+(0+(0-0))+0-236.9-0</f>
        <v>823.00000000000011</v>
      </c>
      <c r="M47" s="3">
        <f>1290+(205.3-476.9)+(0+(0-0))+0-235.6-0</f>
        <v>782.80000000000007</v>
      </c>
      <c r="N47" s="3">
        <f>1283+(247.1-496.7)+(0+(0-0))+0-238.7-0</f>
        <v>794.7</v>
      </c>
      <c r="O47" s="3">
        <f>1277+(326.7-563.2)+(0+(0-0))+0-239.4-0</f>
        <v>801.1</v>
      </c>
      <c r="P47" s="3">
        <f>1270+(351.3-558.1)+(0+(0-0))+0-238.9-0</f>
        <v>824.30000000000007</v>
      </c>
      <c r="Q47" s="3">
        <f>1261+(374.5-515.8)+(0+(0-0))+0-238.5-0</f>
        <v>881.2</v>
      </c>
      <c r="R47" s="3">
        <f>1248+(443.1-466.5)+(0.63648+(0.225981-0.237915))+0-238.4-0.121583999999976</f>
        <v>986.70296199999996</v>
      </c>
      <c r="S47" s="3">
        <f>1248+(461.2-356.9)+(0+(0-0))+0-238.5-0</f>
        <v>1113.8</v>
      </c>
      <c r="T47" s="3">
        <f>1245+(482.3-317.1)+(-1.2699+(-0.491946--0.323442))+0-238.9--0.243678000000038</f>
        <v>1170.105274</v>
      </c>
      <c r="U47" s="3">
        <f>1259+(457.8-309.2)+(-1.92627+(-0.700434--0.473076))+0-237.8--0.363834000000014</f>
        <v>1168.0102059999999</v>
      </c>
      <c r="V47" s="3">
        <f>1261+(394.2-341.5)+(-3.21555+(-1.00521--0.870825))+0-238.3--0.607664999999965</f>
        <v>1072.6577300000001</v>
      </c>
      <c r="W47" s="3">
        <f>1253+(238.6-342.7)+(-1.91709+(-0.365058--0.524331))+0-240.2--0.367506000000014</f>
        <v>907.30968900000016</v>
      </c>
      <c r="X47" s="3">
        <f>1253+(206.3-424.5)+(-1.27806+(-0.210426--0.43299))+0-238.9--0.243678000000038</f>
        <v>795.08818200000007</v>
      </c>
      <c r="Y47" s="3">
        <f>1260+(267.2-491.7)+(-1.2852+(-0.272544--0.501534))+0-239.2--0.243984000000038</f>
        <v>795.48777400000006</v>
      </c>
      <c r="Z47" s="3">
        <f>1265+(372.3-478)+(-1.93545+(-0.569619--0.73134))+0-240.1--0.367353000000014</f>
        <v>917.79362399999991</v>
      </c>
      <c r="AA47" s="3">
        <f>1278+(386.3-420.8)+(-2.60712+(-0.788052--0.858432))+0-239.5--0.48857999999999</f>
        <v>1001.9518399999999</v>
      </c>
      <c r="AB47" s="3">
        <f>1283+(391-338.7)+(0.65433+(0.19941-0.172737))+0-237.7-0.121226999999976</f>
        <v>1098.159776</v>
      </c>
      <c r="AC47" s="3">
        <f>1287+(402.4-290.1)+(-1.31274+(-0.410448--0.295902))+0-237.5--0.242250000000038</f>
        <v>1160.6149639999999</v>
      </c>
      <c r="AD47">
        <f t="shared" si="0"/>
        <v>23909.282021000006</v>
      </c>
      <c r="AE47" s="3">
        <f>1269+(403-485.6)+(0+(0-0))+0-239.1-0</f>
        <v>947.30000000000007</v>
      </c>
    </row>
    <row r="48" spans="1:31" s="2" customFormat="1" x14ac:dyDescent="0.25">
      <c r="A48">
        <v>89</v>
      </c>
      <c r="B48">
        <v>2</v>
      </c>
      <c r="C48">
        <v>17</v>
      </c>
      <c r="D48">
        <v>7</v>
      </c>
      <c r="E48">
        <v>1</v>
      </c>
      <c r="F48" s="3">
        <f>1301+(399.1-259.6)+(-1.32702+(-0.407082--0.264792))+0-236.2--0.240924000000038</f>
        <v>1203.071614</v>
      </c>
      <c r="G48" s="3">
        <f>1306+(366-247.7)+(-1.99818+(-0.55998--0.378981))+0-236.5--0.361845000000014</f>
        <v>1185.9826659999999</v>
      </c>
      <c r="H48" s="3">
        <f>1308+(303.3-215.3)+(-2.66832+(-0.618732--0.439212))+0-236.4--0.48225599999999</f>
        <v>1157.234416</v>
      </c>
      <c r="I48" s="3">
        <f>1308+(237.6-192.8)+(-0.66708+(-0.121176--0.098328))+0-236.2--0.120461999999976</f>
        <v>1116.030534</v>
      </c>
      <c r="J48" s="3">
        <f>1308+(201-197.7)+(-2.00124+(-0.30753--0.302481))+0-236.5--0.361845000000014</f>
        <v>1073.1555559999999</v>
      </c>
      <c r="K48" s="3">
        <f>1307+(168.4-238.1)+(0+(0-0))+0-236.7-0</f>
        <v>1000.5999999999999</v>
      </c>
      <c r="L48" s="3">
        <f>1183+(173.5-257)+(-2.41332+(-0.35394--0.52428))+0-234.1--0.47756399999999</f>
        <v>863.63458400000002</v>
      </c>
      <c r="M48" s="3">
        <f>1057+(200.3-221.4)+(-1.07814+(-0.204306--0.225828))+0-234--0.238680000000037</f>
        <v>801.08206200000006</v>
      </c>
      <c r="N48" s="3">
        <f>972+(270.6-220.7)+(-1.48716+(-0.414018--0.337671))+0-232.6--0.355878000000013</f>
        <v>788.09237100000007</v>
      </c>
      <c r="O48" s="3">
        <f>926+(340.6-250.6)+(0+(0-0))+0-235.2-0</f>
        <v>780.8</v>
      </c>
      <c r="P48" s="3">
        <f>924+(396.5-288.2)+(-0.47124+(-0.202215--0.146982))+0-234.7--0.119696999999976</f>
        <v>797.19322399999999</v>
      </c>
      <c r="Q48" s="3">
        <f>925+(422.1-279.3)+(0+(0-0))+0-235.6-0</f>
        <v>832.19999999999993</v>
      </c>
      <c r="R48" s="3">
        <f>925+(528.3-308.2)+(0+(0-0))+0-235.8-0</f>
        <v>909.3</v>
      </c>
      <c r="S48" s="3">
        <f>925+(638.8-309.9)+(0+(0-0))+0-234.5-0</f>
        <v>1019.4000000000001</v>
      </c>
      <c r="T48" s="3">
        <f>925+(708.5-298.9)+(0+(0-0))+0-234.3-0</f>
        <v>1100.3</v>
      </c>
      <c r="U48" s="3">
        <f>925+(703.5-276.6)+(0+(0-0))+0-235.3-0</f>
        <v>1116.6000000000001</v>
      </c>
      <c r="V48" s="3">
        <f>925+(585.6-248.5)+(-2.35875+(-1.49328--0.633675))+0-235--0.599249999999966</f>
        <v>1024.4808949999999</v>
      </c>
      <c r="W48" s="3">
        <f>925+(401.6-241.1)+(-1.41525+(-0.614448--0.368883))+0-235.9--0.360927000000014</f>
        <v>848.30011200000013</v>
      </c>
      <c r="X48" s="3">
        <f>925+(280.1-223.9)+(-0.9435+(-0.285702--0.228378))+0-236.5--0.241230000000038</f>
        <v>743.94040600000017</v>
      </c>
      <c r="Y48" s="3">
        <f>1052+(252.4-320)+(-1.07304+(-0.257448--0.3264))+0-236.2--0.240924000000038</f>
        <v>747.43683599999997</v>
      </c>
      <c r="Z48" s="3">
        <f>1272+(297.9-446.7)+(-3.2436+(-0.759645--1.139085))+0-235.8--0.601289999999966</f>
        <v>885.13712999999996</v>
      </c>
      <c r="AA48" s="3">
        <f>1356+(333.7-442.6)+(-1.38312+(-0.340374--0.451452))+0-237.1--0.241842000000038</f>
        <v>1008.9697999999999</v>
      </c>
      <c r="AB48" s="3">
        <f>1372+(348.4-370.3)+(-2.09916+(-0.533052--0.566559))+0-236.1--0.361233000000014</f>
        <v>1112.29558</v>
      </c>
      <c r="AC48" s="3">
        <f>1380+(335.1-287.8)+(-0.7038+(-0.170901--0.146778))+0-235.9--0.120308999999976</f>
        <v>1190.7923859999999</v>
      </c>
      <c r="AD48">
        <f t="shared" si="0"/>
        <v>23306.030171999999</v>
      </c>
      <c r="AE48" s="3">
        <f>1332+(334.1-458.9)+(0+(0-0))+0-234.9-0</f>
        <v>972.30000000000007</v>
      </c>
    </row>
    <row r="49" spans="1:31" s="2" customFormat="1" x14ac:dyDescent="0.25">
      <c r="A49">
        <v>89</v>
      </c>
      <c r="B49">
        <v>2</v>
      </c>
      <c r="C49">
        <v>18</v>
      </c>
      <c r="D49">
        <v>1</v>
      </c>
      <c r="E49">
        <v>1</v>
      </c>
      <c r="F49" s="3">
        <f>1387+(306.8-256.6)+(-2.12211+(-0.469404--0.392598))+0-235.7--0.360621000000014</f>
        <v>1199.661705</v>
      </c>
      <c r="G49" s="3">
        <f>1386+(283.5-254.4)+(-0.70686+(-0.144585--0.129744))+0-235.7--0.120206999999976</f>
        <v>1178.7985059999999</v>
      </c>
      <c r="H49" s="3">
        <f>1391+(261.3-271.2)+(-1.41882+(-0.266526--0.276624))+0-236.6--0.241332000000038</f>
        <v>1143.3326100000002</v>
      </c>
      <c r="I49" s="3">
        <f>1391+(247.6-297.8)+(-0.70941+(-0.126276--0.151878))+0-236.5--0.120614999999976</f>
        <v>1103.736807</v>
      </c>
      <c r="J49" s="3">
        <f>1391+(248-349.2)+(0.70941+(0.12648-0.178092))+0-236.2-0.120461999999976</f>
        <v>1054.1373359999998</v>
      </c>
      <c r="K49" s="3">
        <f>1396+(212.5-402.9)+(-1.42392+(-0.21675--0.410958))+0-235.6--0.240312000000038</f>
        <v>969.01059999999984</v>
      </c>
      <c r="L49" s="3">
        <f>1394+(129.3-474.9)+(-0.71094+(-0.065943--0.242199))+0-234.3--0.119492999999976</f>
        <v>813.68480900000009</v>
      </c>
      <c r="M49" s="3">
        <f>1391+(163.5-534.8)+(0+(0-0))+0-233.5-0</f>
        <v>786.2</v>
      </c>
      <c r="N49" s="3">
        <f>1386+(235.6-587.2)+(-2.12058+(-0.360468--0.898416))+0-237.3--0.363069000000014</f>
        <v>795.88043700000003</v>
      </c>
      <c r="O49" s="3">
        <f>1380+(241.8-570.3)+(0+(0-0))+0-236.1-0</f>
        <v>815.4</v>
      </c>
      <c r="P49" s="3">
        <f>1364+(271.6-555.1)+(-1.39128+(-0.277032--0.566202))+0-236.7--0.241434000000038</f>
        <v>842.93932399999994</v>
      </c>
      <c r="Q49" s="3">
        <f>1351+(304.7-525.7)+(-1.37802+(-0.310794--0.536214))+0-237--0.241740000000038</f>
        <v>892.08914000000016</v>
      </c>
      <c r="R49" s="3">
        <f>1347+(348.7-441.3)+(-0.68697+(-0.177837--0.225063))+0-237.1--0.120920999999976</f>
        <v>1016.781177</v>
      </c>
      <c r="S49" s="3">
        <f>1377+(356-337.7)+(-2.10681+(-0.54468--0.516681))+0-236.8--0.362304000000014</f>
        <v>1156.7274950000001</v>
      </c>
      <c r="T49" s="3">
        <f>1376+(368-283.1)+(-2.10528+(-0.56304--0.433143))+0-237--0.362610000000014</f>
        <v>1222.027433</v>
      </c>
      <c r="U49" s="3">
        <f>1377+(354-265.2)+(-2.80908+(-0.72216--0.541008))+0-236.6--0.48266399999999</f>
        <v>1226.6924319999998</v>
      </c>
      <c r="V49" s="3">
        <f>1396+(286.8-302.6)+(-1.42392+(-0.292536--0.308652))+0-236.2--0.240924000000038</f>
        <v>1142.83312</v>
      </c>
      <c r="W49" s="3">
        <f>1405+(256.4-452.7)+(-4.2993+(-0.784584--1.385262))+0-236.8--0.724608000000027</f>
        <v>968.92598600000019</v>
      </c>
      <c r="X49" s="3">
        <f>1417+(176.3-507.4)+(-5.05869+(-0.629391--1.811418))+0-236.3--0.843591000000003</f>
        <v>846.56692800000008</v>
      </c>
      <c r="Y49" s="3">
        <f>1426+(140.5-476.9)+(-2.90904+(-0.28662--0.972876))+0-237.3--0.48409199999999</f>
        <v>850.56130799999994</v>
      </c>
      <c r="Z49" s="3">
        <f>1424+(267.7-459.8)+(-1.45248+(-0.273054--0.468996))+0-236.5--0.241230000000038</f>
        <v>994.38469200000009</v>
      </c>
      <c r="AA49" s="3">
        <f>1426+(321.1-424.6)+(-2.18178+(-0.491283--0.649638))+0-237.2--0.362916000000014</f>
        <v>1083.6394909999999</v>
      </c>
      <c r="AB49" s="3">
        <f>1433+(330.1-344.3)+(-2.92332+(-0.673404--0.702372))+0-235.6--0.48062399999999</f>
        <v>1180.7862720000001</v>
      </c>
      <c r="AC49" s="3">
        <f>1440+(322.3-278.8)+(-1.4688+(-0.328746--0.284376))+0-236.2--0.240924000000038</f>
        <v>1246.027754</v>
      </c>
      <c r="AD49">
        <f t="shared" si="0"/>
        <v>24530.825361999996</v>
      </c>
      <c r="AE49" s="3">
        <f>1427+(316.1-469.1)+(0+(0-0))+0-232.5-0</f>
        <v>1041.5</v>
      </c>
    </row>
    <row r="50" spans="1:31" s="2" customFormat="1" x14ac:dyDescent="0.25">
      <c r="A50">
        <v>89</v>
      </c>
      <c r="B50">
        <v>2</v>
      </c>
      <c r="C50">
        <v>19</v>
      </c>
      <c r="D50">
        <v>2</v>
      </c>
      <c r="E50">
        <v>1</v>
      </c>
      <c r="F50" s="3">
        <f>1433+(299-264.5)+(-1.46166+(-0.30498--0.26979))+0-235.8--0.240516000000038</f>
        <v>1230.4436660000001</v>
      </c>
      <c r="G50" s="3">
        <f>1444+(275.4-261.9)+(-0.73644+(-0.140454--0.133569))+0-237.9--0.121328999999976</f>
        <v>1218.9780040000001</v>
      </c>
      <c r="H50" s="3">
        <f>1380+(253.6-223.8)+(0+(0-0))+0-237.7-0</f>
        <v>1172.0999999999999</v>
      </c>
      <c r="I50" s="3">
        <f>1364+(238.7-233)+(-0.69564+(-0.121737--0.11883))+0-238.4--0.121583999999976</f>
        <v>1130.723037</v>
      </c>
      <c r="J50" s="3">
        <f>1368+(214.8-248.4)+(-1.39536+(-0.219096--0.253368))+0-238.6--0.243372000000038</f>
        <v>1094.6822840000002</v>
      </c>
      <c r="K50" s="3">
        <f>1365+(150.7-277.3)+(-3.48075+(-0.384285--0.707115))+0-237.9--0.606644999999965</f>
        <v>997.94872499999997</v>
      </c>
      <c r="L50" s="3">
        <f>1367+(112.2-392.5)+(-3.48585+(-0.28611--1.000875))+0-237--0.604349999999966</f>
        <v>847.53326499999991</v>
      </c>
      <c r="M50" s="3">
        <f>1364+(191.1-516.3)+(-1.39128+(-0.194922--0.526626))+0-235.6--0.240312000000038</f>
        <v>802.38073600000007</v>
      </c>
      <c r="N50" s="3">
        <f>1391+(246.5-594.3)+(-2.12823+(-0.377145--0.909279))+0-236.3--0.361539000000014</f>
        <v>805.6654430000001</v>
      </c>
      <c r="O50" s="3">
        <f>1426+(212.7-576.8)+(-0.72726+(-0.108477--0.294168))+0-236.4--0.120563999999976</f>
        <v>825.07899500000008</v>
      </c>
      <c r="P50" s="3">
        <f>1415+(237.4-554.8)+(0+(0-0))+0-237.7-0</f>
        <v>859.89999999999986</v>
      </c>
      <c r="Q50" s="3">
        <f>1405+(288.2-533.7)+(-0.71655+(-0.146982--0.272187))+0-238.4--0.121583999999976</f>
        <v>920.63023899999996</v>
      </c>
      <c r="R50" s="3">
        <f>1394+(350.7-452.3)+(-1.42188+(-0.357714--0.461346))+0-238.7--0.243474000000038</f>
        <v>1052.6252260000001</v>
      </c>
      <c r="S50" s="3">
        <f>1393+(369.8-324.3)+(-2.13129+(-0.565794--0.496179))+0-238.4--0.364752000000014</f>
        <v>1198.2638469999999</v>
      </c>
      <c r="T50" s="3">
        <f>1389+(401.4-289.1)+(-1.41678+(-0.409428--0.294882))+0-237.9--0.242658000000038</f>
        <v>1262.1113319999999</v>
      </c>
      <c r="U50" s="3">
        <f>1387+(389.7-274.4)+(-3.53685+(-0.993735--0.69972))+0-236.3--0.602564999999966</f>
        <v>1262.7717</v>
      </c>
      <c r="V50" s="3">
        <f>1386+(309.7-303.5)+(-1.41372+(-0.315894--0.30957))+0-236.8--0.241536000000038</f>
        <v>1154.2214920000001</v>
      </c>
      <c r="W50" s="3">
        <f>1384+(225.1-405.2)+(-4.23504+(-0.688806--1.239912))+0-237.9--0.727974000000028</f>
        <v>963.04404000000022</v>
      </c>
      <c r="X50" s="3">
        <f>1393+(113.2-414.2)+(-2.84172+(-0.230928--0.844968))+0-240.9--0.491435999999989</f>
        <v>849.36375600000008</v>
      </c>
      <c r="Y50" s="3">
        <f>1412+(141.7-448.8)+(0+(0-0))+0-239.7-0</f>
        <v>865.2</v>
      </c>
      <c r="Z50" s="3">
        <f>1414+(299.2-457)+(-2.88456+(-0.610368--0.93228))+0-241.1--0.491843999999989</f>
        <v>1013.029196</v>
      </c>
      <c r="AA50" s="3">
        <f>1421+(350.2-408.3)+(-3.62355+(-0.89301--1.041165))+0-239.7--0.611234999999965</f>
        <v>1120.33584</v>
      </c>
      <c r="AB50" s="3">
        <f>1426+(351.7-318.3)+(-2.18178+(-0.538101--0.486999))+0-237.4--0.363222000000014</f>
        <v>1220.1303399999999</v>
      </c>
      <c r="AC50" s="3">
        <f>1432+(338.7-243.1)+(-3.6516+(-0.863685--0.619905))+0-239.5--0.610724999999965</f>
        <v>1284.815345</v>
      </c>
      <c r="AD50">
        <f t="shared" si="0"/>
        <v>25151.976508</v>
      </c>
      <c r="AE50" s="3">
        <f>1417+(330-399.3)+(0+(0-0))+0-242.1-0</f>
        <v>1105.6000000000001</v>
      </c>
    </row>
    <row r="51" spans="1:31" s="2" customFormat="1" x14ac:dyDescent="0.25">
      <c r="A51">
        <v>89</v>
      </c>
      <c r="B51">
        <v>2</v>
      </c>
      <c r="C51">
        <v>20</v>
      </c>
      <c r="D51">
        <v>3</v>
      </c>
      <c r="E51">
        <v>1</v>
      </c>
      <c r="F51" s="3">
        <f>1411+(332.6-227.4)+(-6.47649+(-1.526634--1.043766))+0-241--1.10619000000004</f>
        <v>1269.3468319999999</v>
      </c>
      <c r="G51" s="3">
        <f>1293+(385-200)+(-5.93487+(-1.76715--0.918))+0-241.8--1.10986200000004</f>
        <v>1230.525842</v>
      </c>
      <c r="H51" s="3">
        <f>1284+(331.2-176.1)+(0.65484+(0.168912-0.089811))+0-240.4-0.122603999999976</f>
        <v>1199.3113369999999</v>
      </c>
      <c r="I51" s="3">
        <f>1295+(260.2-159.4)+(-4.62315+(-0.928914--0.569058))+0-242.4--0.865368000000003</f>
        <v>1149.2823619999999</v>
      </c>
      <c r="J51" s="3">
        <f>1296+(197.2-149.8)+(-0.66096+(-0.100572--0.076398))+0-241.5--0.123164999999976</f>
        <v>1101.338031</v>
      </c>
      <c r="K51" s="3">
        <f>1295+(166.6-199.1)+(-3.30225+(-0.42483--0.507705))+0-240.2--0.612509999999965</f>
        <v>1019.693135</v>
      </c>
      <c r="L51" s="3">
        <f>1293+(120.8-322.8)+(-1.97829+(-0.184824--0.493884))+0-238.3--0.364599000000014</f>
        <v>851.39536900000007</v>
      </c>
      <c r="M51" s="3">
        <f>1285+(129.4-364.8)+(1.3107+(0.131988-0.372096))+0-240.4-0.245208000000038</f>
        <v>810.02538399999992</v>
      </c>
      <c r="N51" s="3">
        <f>1277+(218.1-433.6)+(1.30254+(0.222462-0.442272))+0-239.6-0.244392000000038</f>
        <v>822.738338</v>
      </c>
      <c r="O51" s="3">
        <f>1270+(277.4-477.4)+(-1.9431+(-0.424422--0.730422))+0-240.2--0.367506000000014</f>
        <v>828.53040600000008</v>
      </c>
      <c r="P51" s="3">
        <f>1268+(308.2-448)+(-1.29336+(-0.314364--0.45696))+0-239.9--0.244698000000038</f>
        <v>887.39393400000017</v>
      </c>
      <c r="Q51" s="3">
        <f>1222+(335.3-390.3)+(-0.62322+(-0.171003--0.199053))+0-240.3--0.122552999999976</f>
        <v>926.22738299999992</v>
      </c>
      <c r="R51" s="3">
        <f>1251+(375.9-309.5)+(-1.91403+(-0.575127--0.473535))+0-237.2--0.362916000000014</f>
        <v>1078.5472940000002</v>
      </c>
      <c r="S51" s="3">
        <f>1232+(479.7-297.2)+(-1.25664+(-0.489294--0.303144))+0-237.4--0.242148000000038</f>
        <v>1175.8993579999999</v>
      </c>
      <c r="T51" s="3">
        <f>1230+(552.9-276.5)+(-1.2546+(-0.563958--0.28203))+0-237.1--0.241842000000038</f>
        <v>1268.0053140000002</v>
      </c>
      <c r="U51" s="3">
        <f>1230+(537-262.8)+(0+(0-0))+0-237.4-0</f>
        <v>1266.8</v>
      </c>
      <c r="V51" s="3">
        <f>1232+(441.5-272.7)+(-3.1416+(-1.125825--0.695385))+0-237.5--0.605624999999966</f>
        <v>1160.3335849999999</v>
      </c>
      <c r="W51" s="3">
        <f>1234+(308.8-305.1)+(-3.1467+(-0.78744--0.778005))+0-237.3--0.605114999999966</f>
        <v>997.8489800000001</v>
      </c>
      <c r="X51" s="3">
        <f>1240+(209.2-339.8)+(-3.7944+(-0.640152--1.039788))+0-237.5--0.726750000000027</f>
        <v>869.23198600000023</v>
      </c>
      <c r="Y51" s="3">
        <f>1240+(198-348.6)+(-0.6324+(-0.10098--0.177786))+0-239--0.121889999999976</f>
        <v>849.96629600000017</v>
      </c>
      <c r="Z51" s="3">
        <f>1257+(296.8-317.5)+(-2.56428+(-0.605472--0.6477))+0-237.5--0.48449999999999</f>
        <v>996.76244799999995</v>
      </c>
      <c r="AA51" s="3">
        <f>1273+(367.2-293.8)+(-3.89538+(-1.123632--0.899028))+0-237.3--0.726138000000027</f>
        <v>1105.7061540000002</v>
      </c>
      <c r="AB51" s="3">
        <f>1281+(432.1-260.1)+(-2.61324+(-0.881484--0.530604))+0-237.9--0.48531599999999</f>
        <v>1212.6211959999998</v>
      </c>
      <c r="AC51" s="3">
        <f>1284+(453.2-225.9)+(-1.96452+(-0.693396--0.345627))+0-237.6--0.363528000000014</f>
        <v>1271.7512390000002</v>
      </c>
      <c r="AD51">
        <f t="shared" si="0"/>
        <v>25349.282202999999</v>
      </c>
      <c r="AE51" s="3">
        <f>1255+(352.1-301.3)+(0+(0-0))+0-236.7-0</f>
        <v>1069.0999999999999</v>
      </c>
    </row>
    <row r="52" spans="1:31" s="2" customFormat="1" x14ac:dyDescent="0.25">
      <c r="A52">
        <v>89</v>
      </c>
      <c r="B52">
        <v>2</v>
      </c>
      <c r="C52">
        <v>21</v>
      </c>
      <c r="D52">
        <v>4</v>
      </c>
      <c r="E52">
        <v>1</v>
      </c>
      <c r="F52" s="3">
        <f>1273+(451.5-219.7)+(-0.64923+(-0.230265--0.112047))+0-236.1--0.120410999999976</f>
        <v>1268.0529629999999</v>
      </c>
      <c r="G52" s="3">
        <f>1284+(412.3-221.1)+(-1.30968+(-0.420546--0.225522))+0-237.3--0.242046000000038</f>
        <v>1236.6373420000002</v>
      </c>
      <c r="H52" s="3">
        <f>1283+(355-212.2)+(-3.27165+(-0.90525--0.54111))+0-236.7--0.603584999999966</f>
        <v>1186.0677949999999</v>
      </c>
      <c r="I52" s="3">
        <f>1205+(346.1-181.1)+(-1.2291+(-0.353022--0.184722))+0-237--0.241740000000038</f>
        <v>1131.8443399999999</v>
      </c>
      <c r="J52" s="3">
        <f>1209+(294.6-165.6)+(0+(0-0))+0-236.3-0</f>
        <v>1101.7</v>
      </c>
      <c r="K52" s="3">
        <f>1210+(188.8-152.4)+(-2.4684+(-0.385152--0.310896))+0-236.3--0.48205199999999</f>
        <v>1008.039396</v>
      </c>
      <c r="L52" s="3">
        <f>1205+(123.8-228.2)+(-1.84365+(-0.189414--0.349146))+0-236--0.361080000000014</f>
        <v>863.27716199999998</v>
      </c>
      <c r="M52" s="3">
        <f>1275+(177.8-378.9)+(0+(0-0))+0-236-0</f>
        <v>837.90000000000009</v>
      </c>
      <c r="N52" s="3">
        <f>1270+(224.2-417.2)+(1.2954+(0.228684-0.425544))+0-236.6-0.241332000000038</f>
        <v>841.25720799999988</v>
      </c>
      <c r="O52" s="3">
        <f>1264+(242.8-404.6)+(-0.64464+(-0.123828--0.206346))+0-236.8--0.120767999999976</f>
        <v>864.95864600000004</v>
      </c>
      <c r="P52" s="3">
        <f>1250+(305.9-410.8)+(1.275+(0.312018-0.419016))+0-237.1-0.241842000000038</f>
        <v>908.92615999999975</v>
      </c>
      <c r="Q52" s="3">
        <f>1242+(343.3-366)+(1.26684+(0.350166-0.37332))+0-237.8-0.242556000000038</f>
        <v>982.50112999999999</v>
      </c>
      <c r="R52" s="3">
        <f>1271+(413.5-319.2)+(-1.94463+(-0.632655--0.488376))+0-237.1--0.362763000000014</f>
        <v>1126.4738540000001</v>
      </c>
      <c r="S52" s="3">
        <f>1359+(485.8-326.1)+(-0.69309+(-0.247758--0.166311))+0-236.9--0.120818999999976</f>
        <v>1281.1462819999999</v>
      </c>
      <c r="T52" s="3">
        <f>1367+(541.1-313.2)+(-2.09151+(-0.827883--0.479196))+0-237.9--0.363987000000014</f>
        <v>1354.9237900000001</v>
      </c>
      <c r="U52" s="3">
        <f>1373+(513.3-304.1)+(-2.80092+(-1.047132--0.620364))+0-237.3--0.48409199999999</f>
        <v>1342.1564039999998</v>
      </c>
      <c r="V52" s="3">
        <f>1375+(391.4-295.4)+(-2.805+(-0.798456--0.602616))+0-236.7--0.48286799999999</f>
        <v>1231.7820280000001</v>
      </c>
      <c r="W52" s="3">
        <f>1375+(285.4-364.8)+(-4.2075+(-0.873324--1.116288))+0-236.9--0.724914000000027</f>
        <v>1055.460378</v>
      </c>
      <c r="X52" s="3">
        <f>1448+(142.3-443.4)+(-2.95392+(-0.290292--0.904536))+0-236.7--0.48286799999999</f>
        <v>908.34319199999993</v>
      </c>
      <c r="Y52" s="3">
        <f>1495+(138.1-488.8)+(-1.5249+(-0.140862--0.498576))+0-237.7--0.242454000000038</f>
        <v>905.67526800000007</v>
      </c>
      <c r="Z52" s="3">
        <f>1497+(246.3-439.2)+(-0.76347+(-0.125613--0.223992))+0-237.1--0.120920999999976</f>
        <v>1066.4558299999999</v>
      </c>
      <c r="AA52" s="3">
        <f>1501+(301.6-391.7)+(-2.29653+(-0.461448--0.599301))+0-236.7--0.362151000000014</f>
        <v>1172.4034740000002</v>
      </c>
      <c r="AB52" s="3">
        <f>1506+(302.4-302.9)+(-2.30418+(-0.462672--0.463437))+0-237--0.362610000000014</f>
        <v>1266.5591949999998</v>
      </c>
      <c r="AC52" s="3">
        <f>1511+(314.4-252.1)+(-3.08244+(-0.641376--0.514284))+0-237.5--0.48449999999999</f>
        <v>1333.0749679999999</v>
      </c>
      <c r="AD52">
        <f t="shared" si="0"/>
        <v>26275.616804999998</v>
      </c>
      <c r="AE52" s="3">
        <f>1496+(317.9-412.2)+(0+(0-0))+0-236.7-0</f>
        <v>1165</v>
      </c>
    </row>
    <row r="53" spans="1:31" s="2" customFormat="1" x14ac:dyDescent="0.25">
      <c r="A53">
        <v>89</v>
      </c>
      <c r="B53">
        <v>2</v>
      </c>
      <c r="C53">
        <v>22</v>
      </c>
      <c r="D53">
        <v>5</v>
      </c>
      <c r="E53">
        <v>1</v>
      </c>
      <c r="F53" s="3">
        <f>1506+(288.3-240.6)+(-0.76806+(-0.147033--0.122706))+0-236.2--0.120461999999976</f>
        <v>1316.8280750000001</v>
      </c>
      <c r="G53" s="3">
        <f>1513+(275.6-253.1)+(-3.08652+(-0.562224--0.516324))+0-236.5--0.48245999999999</f>
        <v>1296.35004</v>
      </c>
      <c r="H53" s="3">
        <f>1515+(250.7-258.2)+(-3.86325+(-0.639285--0.65841))+0-236.6--0.603329999999966</f>
        <v>1267.6592049999999</v>
      </c>
      <c r="I53" s="3">
        <f>1507+(227.3-274.8)+(-2.30571+(-0.347769--0.420444))+0-237.5--0.363375000000014</f>
        <v>1220.1303399999999</v>
      </c>
      <c r="J53" s="3">
        <f>1523+(211.2-305.4)+(-1.55346+(-0.215424--0.311508))+0-236.5--0.241230000000038</f>
        <v>1191.083854</v>
      </c>
      <c r="K53" s="3">
        <f>1523+(180.1-379.5)+(-0.77673+(-0.091851--0.193545))+0-236.8--0.120767999999976</f>
        <v>1086.2457319999999</v>
      </c>
      <c r="L53" s="3">
        <f>1525+(88.7-474.8)+(-3.111+(-0.180948--0.968592))+0-235.2--0.47980799999999</f>
        <v>901.85645199999988</v>
      </c>
      <c r="M53" s="3">
        <f>1519+(89.6-520)+(-2.32407+(-0.137088--0.7956))+0-235.9--0.360927000000014</f>
        <v>851.39536900000007</v>
      </c>
      <c r="N53" s="3">
        <f>1518+(158.2-485.2)+(0+(0-0))+0-236.2-0</f>
        <v>954.8</v>
      </c>
      <c r="O53" s="3">
        <f>1500+(178.5-614.2)+(-1.53+(-0.18207--0.626484))+0-161.3--0.164526000000026</f>
        <v>902.0789400000001</v>
      </c>
      <c r="P53" s="3">
        <f>1490+(227.5-539.1)+(-1.5198+(-0.23205--0.549882))+0-239.4--0.244188000000038</f>
        <v>938.04222000000004</v>
      </c>
      <c r="Q53" s="3">
        <f>1482+(249.3-488.1)+(0+(0-0))+0-237.9-0</f>
        <v>1005.3000000000001</v>
      </c>
      <c r="R53" s="3">
        <f>1466+(254-374.8)+(-1.49532+(-0.25908--0.382296))+0-238.4--0.243168000000038</f>
        <v>1105.6710639999999</v>
      </c>
      <c r="S53" s="3">
        <f>1461+(333.6-332.2)+(-1.49022+(-0.340272--0.338844))+0-239.2--0.243984000000038</f>
        <v>1221.9523360000001</v>
      </c>
      <c r="T53" s="3">
        <f>1457+(368.5-299.9)+(-0.74307+(-0.187935--0.152949))+0-239.5--0.122144999999976</f>
        <v>1285.4440889999998</v>
      </c>
      <c r="U53" s="3">
        <f>1460+(363.2-294.3)+(-2.2338+(-0.555696--0.450279))+0-238.9--0.365517000000014</f>
        <v>1288.0263</v>
      </c>
      <c r="V53" s="3">
        <f>1461+(278-297.2)+(-0.74511+(-0.14178--0.151572))+0-238.5--0.121634999999976</f>
        <v>1202.6863169999999</v>
      </c>
      <c r="W53" s="3">
        <f>1465+(246-391.2)+(-4.4829+(-0.75276--1.197072))+0-238.8--0.730728000000028</f>
        <v>1077.6921400000001</v>
      </c>
      <c r="X53" s="3">
        <f>1475+(244-473.3)+(-3.009+(-0.49776--0.965532))+0-237--0.48347999999999</f>
        <v>1006.642252</v>
      </c>
      <c r="Y53" s="3">
        <f>1484+(249-500.2)+(-2.27052+(-0.38097--0.765306))+0-237.6--0.363528000000014</f>
        <v>993.67734399999995</v>
      </c>
      <c r="Z53" s="3">
        <f>1497+(256-414)+(-3.05388+(-0.52224--0.84456))+0-237.8--0.48511199999999</f>
        <v>1098.9535520000002</v>
      </c>
      <c r="AA53" s="3">
        <f>1496+(258-353.4)+(-3.05184+(-0.52632--0.720936))+0-238--0.48551999999999</f>
        <v>1160.2282959999998</v>
      </c>
      <c r="AB53" s="3">
        <f>1508+(267.6-294.5)+(-1.53816+(-0.272952--0.30039))+0-237.7--0.242454000000038</f>
        <v>1242.1317319999998</v>
      </c>
      <c r="AC53" s="3">
        <f>1510+(300-252.5)+(-3.8505+(-0.765--0.643875))+0-237--0.604349999999966</f>
        <v>1317.1327250000002</v>
      </c>
      <c r="AD53">
        <f t="shared" si="0"/>
        <v>26932.008374000001</v>
      </c>
      <c r="AE53" s="3">
        <f>1494+(257-368.3)+(0+(0-0))+0-237.3-0</f>
        <v>1145.4000000000001</v>
      </c>
    </row>
    <row r="54" spans="1:31" s="2" customFormat="1" x14ac:dyDescent="0.25">
      <c r="A54">
        <v>89</v>
      </c>
      <c r="B54">
        <v>2</v>
      </c>
      <c r="C54">
        <v>23</v>
      </c>
      <c r="D54">
        <v>6</v>
      </c>
      <c r="E54">
        <v>1</v>
      </c>
      <c r="F54" s="3">
        <f>1283+(439.2-212.7)+(-5.23464+(-1.791936--0.867816))+0-237.1--0.967367999999979</f>
        <v>1267.2086080000001</v>
      </c>
      <c r="G54" s="3">
        <f>1221+(453.7-207.6)+(-3.11355+(-1.156935--0.52938))+0-237.3--0.605114999999966</f>
        <v>1226.66401</v>
      </c>
      <c r="H54" s="3">
        <f>1231+(427.8-203.7)+(-0.62781+(-0.218178--0.103887))+0-237.1--0.120920999999976</f>
        <v>1217.3788199999999</v>
      </c>
      <c r="I54" s="3">
        <f>1230+(419.3-189.1)+(-3.1365+(-1.069215--0.482205))+0-237--0.604349999999966</f>
        <v>1220.0808400000001</v>
      </c>
      <c r="J54" s="3">
        <f>1192+(440.7-172.7)+(0+(0-0))+0-237.9-0</f>
        <v>1222.0999999999999</v>
      </c>
      <c r="K54" s="3">
        <f>1220+(349.8-158)+(-3.111+(-0.89199--0.4029))+0-237.2--0.604859999999966</f>
        <v>1171.6047699999999</v>
      </c>
      <c r="L54" s="3">
        <f>1243+(246.6-189.9)+(-1.26786+(-0.251532--0.193698))+0-235.7--0.240414000000038</f>
        <v>1062.91472</v>
      </c>
      <c r="M54" s="3">
        <f>1239+(253-329.6)+(0+(0-0))+0-235.8-0</f>
        <v>926.60000000000014</v>
      </c>
      <c r="N54" s="3">
        <f>1220+(259-381.5)+(-0.6222+(-0.13209--0.194565))+0-236--0.120359999999976</f>
        <v>861.06063499999993</v>
      </c>
      <c r="O54" s="3">
        <f>1235+(255-343)+(0+(0-0))+0-237.3-0</f>
        <v>909.7</v>
      </c>
      <c r="P54" s="3">
        <f>1262+(263-366.5)+(-1.28724+(-0.26826--0.37383))+0-239.5--0.244290000000038</f>
        <v>918.06262000000015</v>
      </c>
      <c r="Q54" s="3">
        <f>1113.4+(336.1-295.1)+(0+(0-0))+0-237.7-0</f>
        <v>916.7</v>
      </c>
      <c r="R54" s="3">
        <f>1062.3+(489.5-301.4)+(-2.167092+(-0.99858--0.614856))+0-238.1--0.48572399999999</f>
        <v>1010.2349080000001</v>
      </c>
      <c r="S54" s="3">
        <f>1128+(570.8-290.6)+(-0.57528+(-0.291108--0.148206))+0-237.6--0.121175999999976</f>
        <v>1170.0029939999997</v>
      </c>
      <c r="T54" s="3">
        <f>1283.5+(544.6-285.8)+(-1.963755+(-0.833238--0.437274))+0-237.6--0.363528000000014</f>
        <v>1302.7038090000001</v>
      </c>
      <c r="U54" s="3">
        <f>1286.8+(480.9-285.2)+(-1.312536+(-0.490518--0.290904))+0-238--0.242760000000038</f>
        <v>1243.2306100000001</v>
      </c>
      <c r="V54" s="3">
        <f>1291.8+(379.6-268.3)+(-3.29409+(-0.96798--0.684165))+0-238.1--0.607154999999965</f>
        <v>1162.0292499999998</v>
      </c>
      <c r="W54" s="3">
        <f>1296.7+(254-276.5)+(-1.983951+(-0.38862--0.423045))+0-237.7--0.363681000000014</f>
        <v>1034.9141549999999</v>
      </c>
      <c r="X54" s="3">
        <f>1300.8+(254-359.7)+(-2.653632+(-0.51816--0.733788))+0-238.1--0.48572399999999</f>
        <v>955.0477199999998</v>
      </c>
      <c r="Y54" s="3">
        <f>1315.9+(262-382.7)+(-2.684436+(-0.53448--0.780708))+0-238.2--0.48592799999999</f>
        <v>955.04771999999991</v>
      </c>
      <c r="Z54" s="3">
        <f>1329.9+(266-376.1)+(-2.712996+(-0.54264--0.767244))+0-238.3--0.48613199999999</f>
        <v>979.49774000000025</v>
      </c>
      <c r="AA54" s="3">
        <f>1343.3+(270-318.4)+(-2.740332+(-0.5508--0.649536))+0-238.3--0.48613199999999</f>
        <v>1054.4445360000002</v>
      </c>
      <c r="AB54" s="3">
        <f>1465.8+(268.6-299.8)+(-3.73779+(-0.68493--0.76449))+0-237.9--0.606644999999965</f>
        <v>1193.6484149999999</v>
      </c>
      <c r="AC54" s="3">
        <f>1497.7+(275.4-275.2)+(-2.291481+(-0.421362--0.421056))+0-237.7--0.363681000000014</f>
        <v>1258.271894</v>
      </c>
      <c r="AD54">
        <f t="shared" si="0"/>
        <v>26239.148773999998</v>
      </c>
      <c r="AE54" s="3">
        <f>1326+(315-355.3)+(0+(0-0))+0-238-0</f>
        <v>1047.7</v>
      </c>
    </row>
    <row r="55" spans="1:31" s="2" customFormat="1" x14ac:dyDescent="0.25">
      <c r="A55">
        <v>89</v>
      </c>
      <c r="B55">
        <v>2</v>
      </c>
      <c r="C55">
        <v>24</v>
      </c>
      <c r="D55">
        <v>7</v>
      </c>
      <c r="E55">
        <v>1</v>
      </c>
      <c r="F55" s="3">
        <f>1495.4+(286.7-274.8)+(-0.762654+(-0.146217--0.140148))+0-237.3--0.121022999999976</f>
        <v>1269.3523000000002</v>
      </c>
      <c r="G55" s="3">
        <f>1495.9+(271.2-276.1)+(-2.288727+(-0.414936--0.422433))+0-237.3--0.363069000000014</f>
        <v>1251.781839</v>
      </c>
      <c r="H55" s="3">
        <f>1472.2+(271.3-256.4)+(0+(0-0))+0-237.2-0</f>
        <v>1249.9000000000001</v>
      </c>
      <c r="I55" s="3">
        <f>1419.5+(290.5-233.7)+(-1.44789+(-0.29631--0.238374))+0-237.9--0.242658000000038</f>
        <v>1237.1368319999999</v>
      </c>
      <c r="J55" s="3">
        <f>1418.7+(274.3-223.4)+(-0.723537+(-0.139893--0.113934))+0-237.6--0.121175999999976</f>
        <v>1231.3716800000002</v>
      </c>
      <c r="K55" s="3">
        <f>1418.3+(247.1-197.9)+(-8.679996+(-1.512252--1.211148))+0-238.3--1.45839599999997</f>
        <v>1221.6772960000001</v>
      </c>
      <c r="L55" s="3">
        <f>1332.9+(243.4-248.3)+(-5.438232+(-0.993072--1.013064))+0-238.1--0.971447999999979</f>
        <v>1085.4532080000001</v>
      </c>
      <c r="M55" s="3">
        <f>1256.2+(243-243.5)+(-0.640662+(-0.12393--0.124185))+0-236.2--0.120461999999976</f>
        <v>1018.9800549999999</v>
      </c>
      <c r="N55" s="3">
        <f>1312.9+(210.8-321.6)+(-1.339158+(-0.215016--0.328032))+0-237--0.241740000000038</f>
        <v>964.1155980000002</v>
      </c>
      <c r="O55" s="3">
        <f>1317+(158.9-340.6)+(-2.01501+(-0.243117--0.521118))+0-236.4--0.361692000000014</f>
        <v>897.5246830000001</v>
      </c>
      <c r="P55" s="3">
        <f>1388.7+(245.8-467.6)+(-0.708237+(-0.125358--0.238476))+0-237.2--0.120971999999976</f>
        <v>929.22585299999992</v>
      </c>
      <c r="Q55" s="3">
        <f>1412.6+(265.5-429.8)+(-2.881704+(-0.54162--0.876792))+0-239.1--0.48776399999999</f>
        <v>1007.1412319999998</v>
      </c>
      <c r="R55" s="3">
        <f>1413.5+(322.1-362.1)+(-1.44177+(-0.328542--0.369342))+0-238.8--0.243576000000038</f>
        <v>1133.5426060000002</v>
      </c>
      <c r="S55" s="3">
        <f>1476.3+(362-337.3)+(-3.011652+(-0.73848--0.688092))+0-238.2--0.48592799999999</f>
        <v>1260.223888</v>
      </c>
      <c r="T55" s="3">
        <f>1571.1+(351.2-325.3)+(0+(0-0))+0-237.6-0</f>
        <v>1359.4</v>
      </c>
      <c r="U55" s="3">
        <f>1566.8+(380.1-328.9)+(-1.598136+(-0.387702--0.335478))+0-237--0.241740000000038</f>
        <v>1379.5913799999998</v>
      </c>
      <c r="V55" s="3">
        <f>1566.5+(326.1-352)+(-3.994575+(-0.831555--0.8976))+0-236.9--0.604094999999966</f>
        <v>1300.3755649999998</v>
      </c>
      <c r="W55" s="3">
        <f>1564+(238.7-448.2)+(-4.78584+(-0.730422--1.371492))+0-237.3--0.726138000000027</f>
        <v>1113.7813679999999</v>
      </c>
      <c r="X55" s="3">
        <f>1575.9+(118.7-527.9)+(-1.607418+(-0.121074--0.538458))+0-238--0.242760000000038</f>
        <v>927.75272600000017</v>
      </c>
      <c r="Y55" s="3">
        <f>1615.2+(131.2-606.8)+(-3.295008+(-0.267648--1.237872))+0-238--0.48551999999999</f>
        <v>899.76073600000018</v>
      </c>
      <c r="Z55" s="3">
        <f>1685.7+(276.1-630.5)+(-1.719414+(-0.281622--0.64311))+0-237.4--0.242148000000038</f>
        <v>1092.7842220000002</v>
      </c>
      <c r="AA55" s="3">
        <f>1717.2+(304.9-556)+(-2.627316+(-0.466497--0.85068))+0-237.4--0.363222000000014</f>
        <v>1226.8200889999998</v>
      </c>
      <c r="AB55" s="3">
        <f>1732.7+(294.5-459.5)+(-4.418385+(-0.750975--1.171725))+0-237--0.604349999999966</f>
        <v>1327.3067150000002</v>
      </c>
      <c r="AC55" s="3">
        <f>1739.4+(261.2-360.1)+(-0.887094+(-0.133212--0.183651))+0-237.9--0.121328999999976</f>
        <v>1401.8846739999999</v>
      </c>
      <c r="AD55">
        <f t="shared" si="0"/>
        <v>27786.884545000001</v>
      </c>
      <c r="AE55" s="3">
        <f>1711+(306.1-615.7)+(0+(0-0))+0-238-0</f>
        <v>1163.4000000000001</v>
      </c>
    </row>
    <row r="56" spans="1:31" s="2" customFormat="1" x14ac:dyDescent="0.25">
      <c r="A56">
        <v>89</v>
      </c>
      <c r="B56">
        <v>2</v>
      </c>
      <c r="C56">
        <v>25</v>
      </c>
      <c r="D56">
        <v>1</v>
      </c>
      <c r="E56">
        <v>1</v>
      </c>
      <c r="F56" s="3">
        <f>1589.7+(347.5-292)+(-0.810747+(-0.177225--0.14892))+0-236.2--0.120461999999976</f>
        <v>1408.2814100000001</v>
      </c>
      <c r="G56" s="3">
        <f>1489.5+(397.4-276.3)+(-0.759645+(-0.202674--0.140913))+0-236.9--0.120818999999976</f>
        <v>1372.9994129999998</v>
      </c>
      <c r="H56" s="3">
        <f>1492.2+(348.8-262.8)+(0.761022+(0.177888-0.134028))+0-236.6-0.120665999999976</f>
        <v>1342.284216</v>
      </c>
      <c r="I56" s="3">
        <f>1492.4+(311.9-255)+(-3.044496+(-0.636276--0.5202))+0-237.4--0.48429599999999</f>
        <v>1309.2237240000002</v>
      </c>
      <c r="J56" s="3">
        <f>1494.8+(289.9-275.4)+(2.287044+(0.443547-0.421362))+0-238-0.364140000000014</f>
        <v>1273.245089</v>
      </c>
      <c r="K56" s="3">
        <f>1499.5+(247.3-334.2)+(-1.52949+(-0.252246--0.340884))+0-238--0.242760000000038</f>
        <v>1173.401908</v>
      </c>
      <c r="L56" s="3">
        <f>1500.9+(155.2-432.9)+(0.765459+(0.079152-0.220779))+0-236.6-0.120665999999976</f>
        <v>987.10316599999999</v>
      </c>
      <c r="M56" s="3">
        <f>1492.6+(160.3-482.5)+(-1.522452+(-0.163506--0.49215))+0-237.1--0.241842000000038</f>
        <v>932.34803399999987</v>
      </c>
      <c r="N56" s="3">
        <f>1477.8+(287.4-575.5)+(-0.753678+(-0.146574--0.293505))+0-237.1--0.120920999999976</f>
        <v>952.11417399999971</v>
      </c>
      <c r="O56" s="3">
        <f>1474+(307.6-568.5)+(-1.50348+(-0.313752--0.57987))+0-238.3--0.243066000000038</f>
        <v>973.80570399999988</v>
      </c>
      <c r="P56" s="3">
        <f>1479.2+(321.5-532.9)+(-1.508784+(-0.32793--0.543558))+0-239.3--0.244086000000038</f>
        <v>1027.4509300000002</v>
      </c>
      <c r="Q56" s="3">
        <f>1466.8+(362.5-452.4)+(0+(0-0))+0-240.5-0</f>
        <v>1136.4000000000001</v>
      </c>
      <c r="R56" s="3">
        <f>1452.3+(388.1-331.7)+(-2.222019+(-0.593793--0.507501))+0-239.1--0.365823000000014</f>
        <v>1267.6575120000002</v>
      </c>
      <c r="S56" s="3">
        <f>1447.2+(486.1-297.4)+(-2.214216+(-0.743733--0.455022))+0-240.1--0.367353000000014</f>
        <v>1393.6644260000003</v>
      </c>
      <c r="T56" s="3">
        <f>1437.6+(538.2-284.6)+(-2.932704+(-1.097928--0.580584))+0-240.7--0.491027999999989</f>
        <v>1447.5409799999998</v>
      </c>
      <c r="U56" s="3">
        <f>1424+(526.4-270)+(0+(0-0))+0-239.4-0</f>
        <v>1441</v>
      </c>
      <c r="V56" s="3">
        <f>1436.9+(435.5-269.2)+(-0.732819+(-0.222105--0.137292))+0-238.8--0.121787999999976</f>
        <v>1363.704156</v>
      </c>
      <c r="W56" s="3">
        <f>1449.6+(356.1-334.9)+(-4.435776+(-1.089666--1.024794))+0-239.4--0.732564000000028</f>
        <v>1227.631916</v>
      </c>
      <c r="X56" s="3">
        <f>1485.3+(349.1-430.6)+(-1.515006+(-0.356082--0.439212))+0-238.2--0.242964000000038</f>
        <v>1164.4110879999998</v>
      </c>
      <c r="Y56" s="3">
        <f>1512.2+(355.1-431.7)+(-3.084888+(-0.724404--0.880668))+0-237.8--0.48511199999999</f>
        <v>1195.3564880000004</v>
      </c>
      <c r="Z56" s="3">
        <f>1528.2+(367.1-364.6)+(-2.338146+(-0.561663--0.557838))+0-238.9--0.365517000000014</f>
        <v>1289.8235459999999</v>
      </c>
      <c r="AA56" s="3">
        <f>1529.1+(370.1-363.7)+(-2.339523+(-0.566253--0.556461))+0-238.5--0.364905000000014</f>
        <v>1295.01559</v>
      </c>
      <c r="AB56" s="3">
        <f>1527.1+(385.3-306.1)+(-2.336463+(-0.589509--0.468333))+0-238.4--0.364752000000014</f>
        <v>1365.8071129999998</v>
      </c>
      <c r="AC56" s="3">
        <f>1529.9+(420.1-273)+(-1.560498+(-0.428502--0.27846))+0-236.3--0.241026000000038</f>
        <v>1439.2304860000002</v>
      </c>
      <c r="AD56">
        <f t="shared" si="0"/>
        <v>29779.501069000002</v>
      </c>
      <c r="AE56" s="3">
        <f>1526+(362.1-378.1)+(0+(0-0))+0-242.7-0</f>
        <v>1267.3</v>
      </c>
    </row>
    <row r="57" spans="1:31" s="2" customFormat="1" x14ac:dyDescent="0.25">
      <c r="A57">
        <v>89</v>
      </c>
      <c r="B57">
        <v>2</v>
      </c>
      <c r="C57">
        <v>26</v>
      </c>
      <c r="D57">
        <v>2</v>
      </c>
      <c r="E57">
        <v>1</v>
      </c>
      <c r="F57" s="3">
        <f>1532.7+(407-247.9)+(-2.345031+(-0.62271--0.379287))+0-237.1--0.362763000000014</f>
        <v>1452.4743090000002</v>
      </c>
      <c r="G57" s="3">
        <f>1532.9+(394.6-251.8)+(-2.345337+(-0.603738--0.385254))+0-238.7--0.365211000000014</f>
        <v>1434.8013900000001</v>
      </c>
      <c r="H57" s="3">
        <f>1530+(391.1-245.9)+(-3.9015+(-0.997305--0.627045))+0-238.7--0.608684999999965</f>
        <v>1432.8369249999998</v>
      </c>
      <c r="I57" s="3">
        <f>1527.9+(400.9-258.9)+(-2.337687+(-0.613377--0.396117))+0-239--0.365670000000014</f>
        <v>1428.7107229999999</v>
      </c>
      <c r="J57" s="3">
        <f>1530.2+(406.1-260.1)+(-3.121608+(-0.828444--0.530604))+0-239--0.48755999999999</f>
        <v>1434.268112</v>
      </c>
      <c r="K57" s="3">
        <f>1537.7+(366.4-245.9)+(-2.352681+(-0.560592--0.376227))+0-238.2--0.364446000000014</f>
        <v>1417.8274000000001</v>
      </c>
      <c r="L57" s="3">
        <f>1537.4+(344.1-412.3)+(-2.352222+(-0.526473--0.630819))+0-236.1--0.361233000000014</f>
        <v>1231.2133570000003</v>
      </c>
      <c r="M57" s="3">
        <f>1537.7+(355.1-462.2)+(-0.784227+(-0.181101--0.235722))+0-236.1--0.120410999999976</f>
        <v>1193.890805</v>
      </c>
      <c r="N57" s="3">
        <f>1532+(358.1-493.6)+(-2.34396+(-0.547893--0.755208))+0-236.4--0.361692000000014</f>
        <v>1158.3250469999998</v>
      </c>
      <c r="O57" s="3">
        <f>1539.8+(359.1-509.1)+(-2.355894+(-0.549423--0.778923))+0-237.7--0.363681000000014</f>
        <v>1150.3372870000001</v>
      </c>
      <c r="P57" s="3">
        <f>1559.3+(359.1-534.7)+(-1.590486+(-0.366282--0.545394))+0-239--0.243780000000038</f>
        <v>1143.5324059999998</v>
      </c>
      <c r="Q57" s="3">
        <f>1557.5+(361.1-461.2)+(0+(0-0))+0-237.2-0</f>
        <v>1220.2</v>
      </c>
      <c r="R57" s="3">
        <f>1549.5+(378.1-363.8)+(-2.370735+(-0.578493--0.556614))+0-238.1--0.364293000000014</f>
        <v>1323.671679</v>
      </c>
      <c r="S57" s="3">
        <f>1536.3+(422.4-316.1)+(0+(0-0))+0-239-0</f>
        <v>1403.6</v>
      </c>
      <c r="T57" s="3">
        <f>1535.6+(410.6-334.9)+(0+(0-0))+0-240-0</f>
        <v>1371.3</v>
      </c>
      <c r="U57" s="3">
        <f>1539.1+(346.3-319.9)+(-2.354823+(-0.529839--0.489447))+0-240--0.367200000000014</f>
        <v>1323.4719849999999</v>
      </c>
      <c r="V57" s="3">
        <f>1534.2+(306-346.5)+(-3.91221+(-0.7803--0.883575))+0-240--0.611999999999965</f>
        <v>1250.5030649999999</v>
      </c>
      <c r="W57" s="3">
        <f>1539.6+(282.7-470.4)+(-3.92598+(-0.720885--1.19952))+0-238--0.606899999999965</f>
        <v>1111.0595549999998</v>
      </c>
      <c r="X57" s="3">
        <f>1549.6+(115.8-494.3)+(-3.95148+(-0.29529--1.260465))+0-239.6--0.610979999999965</f>
        <v>929.12467499999991</v>
      </c>
      <c r="Y57" s="3">
        <f>1522+(158.4-522.4)+(-2.32866+(-0.242352--0.799272))+0-240--0.367200000000014</f>
        <v>916.59546000000012</v>
      </c>
      <c r="Z57" s="3">
        <f>1511.4+(267.8-448.8)+(-3.083256+(-0.546312--0.915552))+0-239.8--0.48919199999999</f>
        <v>1088.3751760000002</v>
      </c>
      <c r="AA57" s="3">
        <f>1517.9+(330.3-395.5)+(-3.096516+(-0.673812--0.80682))+0-240.5--0.49061999999999</f>
        <v>1209.727112</v>
      </c>
      <c r="AB57" s="3">
        <f>1519.4+(344.2-306.5)+(0+(0-0))+0-238.7-0</f>
        <v>1318.4</v>
      </c>
      <c r="AC57" s="3">
        <f>1521.7+(348.3-237.9)+(0+(0-0))+0-238.7-0</f>
        <v>1393.4</v>
      </c>
      <c r="AD57">
        <f t="shared" si="0"/>
        <v>30337.646468000006</v>
      </c>
      <c r="AE57" s="3">
        <f>1517+(333-388.7)+(0+(0-0))+0-248-0</f>
        <v>1213.3</v>
      </c>
    </row>
    <row r="58" spans="1:31" s="2" customFormat="1" x14ac:dyDescent="0.25">
      <c r="A58">
        <v>89</v>
      </c>
      <c r="B58">
        <v>2</v>
      </c>
      <c r="C58">
        <v>27</v>
      </c>
      <c r="D58">
        <v>3</v>
      </c>
      <c r="E58">
        <v>5</v>
      </c>
      <c r="F58" s="3">
        <f>1520.7+(358.5-210.6)+(-0.775557+(-0.182835--0.107406))+0-238.1--0.121430999999976</f>
        <v>1429.7704450000003</v>
      </c>
      <c r="G58" s="3">
        <f>1558.9+(349.6-245)+(-0.795039+(-0.178296--0.12495))+0-238.7--0.121736999999976</f>
        <v>1424.0733519999999</v>
      </c>
      <c r="H58" s="3">
        <f>1599.7+(308-269)+(-0.815847+(-0.15708--0.13719))+0-239.8--0.122297999999976</f>
        <v>1398.186561</v>
      </c>
      <c r="I58" s="3">
        <f>1599.3+(277.4-276.1)+(-3.262572+(-0.565896--0.563244))+0-239.3--0.48817199999999</f>
        <v>1358.522948</v>
      </c>
      <c r="J58" s="3">
        <f>1595.7+(213.9-257.8)+(0+(0-0))+0-238.7-0</f>
        <v>1313.1</v>
      </c>
      <c r="K58" s="3">
        <f>1600.2+(73.5-229.9)+(-4.08051+(-0.187425--0.586245))+0-238.9--0.609194999999965</f>
        <v>1201.827505</v>
      </c>
      <c r="L58" s="3">
        <f>1558.3+(53.6-329.6)+(-0.794733+(-0.027336--0.168096))+0-238.3--0.121532999999976</f>
        <v>1043.46756</v>
      </c>
      <c r="M58" s="3">
        <f>1395.6+(106.9-283.3)+(1.423512+(0.109038-0.288966))+0-237.2-0.241944000000038</f>
        <v>983.00163999999984</v>
      </c>
      <c r="N58" s="3">
        <f>1393.1+(191.6-396.2)+(-2.131443+(-0.293148--0.606186))+0-237.2--0.362916000000014</f>
        <v>949.84451100000001</v>
      </c>
      <c r="O58" s="3">
        <f>1383.7+(243.8-449.4)+(0+(0-0))+0-237-0</f>
        <v>941.10000000000014</v>
      </c>
      <c r="P58" s="3">
        <f>1099+(326.1-247.9)+(-2.24196+(-0.665244--0.505716))+0-237.9--0.48531599999999</f>
        <v>937.38382800000011</v>
      </c>
      <c r="Q58" s="3">
        <f>1127.2+(383.3-268.2)+(-2.299488+(-0.781932--0.547128))+0-238.2--0.48592799999999</f>
        <v>1002.051636</v>
      </c>
      <c r="R58" s="3">
        <f>1164.3+(453-294.8)+(-2.375172+(-0.92412--0.601392))+0-237.4--0.48429599999999</f>
        <v>1082.8863960000001</v>
      </c>
      <c r="S58" s="3">
        <f>1170.4+(593.5-276.6)+(0+(0-0))+0-237.6-0</f>
        <v>1249.7000000000003</v>
      </c>
      <c r="T58" s="3">
        <f>1242.8+(599.5-262.1)+(-1.901484+(-0.917235--0.401013))+0-237.1--0.362763000000014</f>
        <v>1341.045057</v>
      </c>
      <c r="U58" s="3">
        <f>1280.3+(555-257.1)+(-1.305906+(-0.5661--0.262242))+0-237.8--0.242556000000038</f>
        <v>1339.032792</v>
      </c>
      <c r="V58" s="3">
        <f>1279.7+(440.1-249.4)+(-1.957941+(-0.673353--0.381582))+0-237.6--0.363528000000014</f>
        <v>1230.9138160000002</v>
      </c>
      <c r="W58" s="3">
        <f>1283.5+(273.6-295.6)+(-1.30917+(-0.279072--0.301512))+0-237.5--0.242250000000038</f>
        <v>1022.95552</v>
      </c>
      <c r="X58" s="3">
        <f>1291.4+(151.8-323.2)+(-2.634456+(-0.309672--0.659328))+0-239.5--0.48857999999999</f>
        <v>878.70378000000005</v>
      </c>
      <c r="Y58" s="3">
        <f>1299.4+(222.8-406.3)+(0+(0-0))+0-240.5-0</f>
        <v>875.40000000000009</v>
      </c>
      <c r="Z58" s="3">
        <f>1342.7+(383-408.7)+(-0.684777+(-0.19533--0.208437))+0-238.7--0.121736999999976</f>
        <v>1077.7500669999999</v>
      </c>
      <c r="AA58" s="3">
        <f>1417.3+(394.6-366.1)+(-2.891292+(-0.804984--0.746844))+0-239--0.48755999999999</f>
        <v>1204.3381280000001</v>
      </c>
      <c r="AB58" s="3">
        <f>1421.5+(418.1-301.6)+(-1.44993+(-0.426462--0.307632))+0-239.3--0.244086000000038</f>
        <v>1297.3753259999999</v>
      </c>
      <c r="AC58" s="3">
        <f>1424.8+(467.1-286.3)+(-0.726648+(-0.238221--0.146013))+0-239.2--0.121991999999976</f>
        <v>1365.7031359999996</v>
      </c>
      <c r="AD58">
        <f t="shared" si="0"/>
        <v>27948.134004000007</v>
      </c>
      <c r="AE58" s="3">
        <f>1412+(399.9-348.7)+(0+(0-0))+0-237.9-0</f>
        <v>1225.3</v>
      </c>
    </row>
    <row r="59" spans="1:31" s="2" customFormat="1" x14ac:dyDescent="0.25">
      <c r="A59">
        <v>89</v>
      </c>
      <c r="B59">
        <v>2</v>
      </c>
      <c r="C59">
        <v>28</v>
      </c>
      <c r="D59">
        <v>4</v>
      </c>
      <c r="E59">
        <v>1</v>
      </c>
      <c r="F59" s="3">
        <f>1429.2+(458.8-271.6)+(0+(0-0))+0-239.8-0</f>
        <v>1376.6000000000001</v>
      </c>
      <c r="G59" s="3">
        <f>1433.4+(413.7-265)+(-2.193102+(-0.632961--0.40545))+0-240.2--0.367506000000014</f>
        <v>1339.8468930000001</v>
      </c>
      <c r="H59" s="3">
        <f>1437.2+(362.3-246.3)+(0.732972+(0.184773-0.125613))+0-242-0.123419999999975</f>
        <v>1311.8687120000002</v>
      </c>
      <c r="I59" s="3">
        <f>1442+(314.7-240)+(-1.47084+(-0.320994--0.2448))+0-241--0.245820000000038</f>
        <v>1274.3987860000002</v>
      </c>
      <c r="J59" s="3">
        <f>1447.9+(287.2-260.3)+(0.738429+(0.146472-0.132753))+0-240.9-0.122858999999976</f>
        <v>1234.5292890000001</v>
      </c>
      <c r="K59" s="3">
        <f>1470+(207.3-295.8)+(-2.9988+(-0.422892--0.603432))+0-238.6--0.48674399999999</f>
        <v>1140.5684840000001</v>
      </c>
      <c r="L59" s="3">
        <f>1555.9+(80.7-435.2)+(-3.174036+(-0.164628--0.887808))+0-238.3--0.48613199999999</f>
        <v>961.1352760000002</v>
      </c>
      <c r="M59" s="3">
        <f>1617.8+(149.2-623.3)+(-1.650156+(-0.152184--0.635766))+0-239.7--0.244494000000038</f>
        <v>903.07791999999995</v>
      </c>
      <c r="N59" s="3">
        <f>1617.8+(245.1-704.9)+(-2.475234+(-0.375003--1.078497))+0-238.7--0.365211000000014</f>
        <v>917.89347100000009</v>
      </c>
      <c r="O59" s="3">
        <f>1599.1+(252.8-679.3)+(0.815541+(0.128928-0.346443))+0-238.9-0.121838999999976</f>
        <v>934.1761869999998</v>
      </c>
      <c r="P59" s="3">
        <f>1585.8+(228-649.2)+(-0.808758+(-0.11628--0.331092))+0-239.7--0.122246999999976</f>
        <v>924.42830099999992</v>
      </c>
      <c r="Q59" s="3">
        <f>1579.5+(262.7-548.9)+(0+(0-0))+0-240.8-0</f>
        <v>1052.5</v>
      </c>
      <c r="R59" s="3">
        <f>1574.4+(328.1-448.8)+(-2.408832+(-0.501993--0.686664))+0-240.2--0.367506000000014</f>
        <v>1211.643345</v>
      </c>
      <c r="S59" s="3">
        <f>1565.9+(371.7-346.6)+(-1.597218+(-0.379134--0.353532))+0-240.4--0.245208000000038</f>
        <v>1349.2223879999999</v>
      </c>
      <c r="T59" s="3">
        <f>1562.8+(425.7-297.3)+(0.797028+(0.217107-0.151623))+0-240.7-0.122756999999976</f>
        <v>1451.2397549999998</v>
      </c>
      <c r="U59" s="3">
        <f>1567.2+(378.9-276.4)+(-0.799272+(-0.193239--0.140964))+0-240.4--0.122603999999976</f>
        <v>1428.5710569999999</v>
      </c>
      <c r="V59" s="3">
        <f>1563.2+(262.8-266)+(-2.391696+(-0.402084--0.40698))+0-239.6--0.366588000000014</f>
        <v>1318.3797880000002</v>
      </c>
      <c r="W59" s="3">
        <f>1575.8+(158-371.2)+(-4.821948+(-0.48348--1.135872))+0-239.3--0.732258000000028</f>
        <v>1119.8627019999999</v>
      </c>
      <c r="X59" s="3">
        <f>1573+(102-484.4)+(-4.01115+(-0.2601--1.23522))+0-239.2--0.609959999999965</f>
        <v>948.97392999999988</v>
      </c>
      <c r="Y59" s="3">
        <f>1594+(131.7-555)+(-1.62588+(-0.134334--0.5661))+0-239.5--0.244290000000038</f>
        <v>930.25017600000024</v>
      </c>
      <c r="Z59" s="3">
        <f>1609.2+(224.9-463)+(-1.641384+(-0.229398--0.47226))+0-239.7--0.244494000000038</f>
        <v>1130.2459720000002</v>
      </c>
      <c r="AA59" s="3">
        <f>1615.3+(240.5-343.5)+(-4.119015+(-0.613275--0.875925))+0-240--0.611999999999965</f>
        <v>1269.0556349999997</v>
      </c>
      <c r="AB59" s="3">
        <f>1619.2+(277.1-302.5)+(-2.477376+(-0.423963--0.462825))+0-239--0.365670000000014</f>
        <v>1352.7271560000002</v>
      </c>
      <c r="AC59" s="3">
        <f>1622.4+(304.4-274.1)+(-1.654848+(-0.310488--0.279582))+0-238.5--0.243270000000038</f>
        <v>1412.7575159999999</v>
      </c>
      <c r="AD59">
        <f t="shared" si="0"/>
        <v>28293.952739000004</v>
      </c>
      <c r="AE59" s="3">
        <f>1604+(223-369.8)+(0+(0-0))+0-239.1-0</f>
        <v>1218.1000000000001</v>
      </c>
    </row>
    <row r="60" spans="1:31" s="2" customFormat="1" x14ac:dyDescent="0.25">
      <c r="A60">
        <v>89</v>
      </c>
      <c r="B60">
        <v>2</v>
      </c>
      <c r="C60">
        <v>29</v>
      </c>
      <c r="D60">
        <v>5</v>
      </c>
      <c r="E60">
        <v>1</v>
      </c>
      <c r="F60" s="3">
        <f>1626+(290.6-254.5)+(-2.48778+(-0.444618--0.389385))+0-239.1--0.365823000000014</f>
        <v>1420.8228100000001</v>
      </c>
      <c r="G60" s="3">
        <f>1628.6+(235.2-240.3)+(0.830586+(0.119952-0.122553))+0-240.2-0.122501999999976</f>
        <v>1384.0054829999999</v>
      </c>
      <c r="H60" s="3">
        <f>1629.8+(179-218.7)+(-2.493594+(-0.27387--0.334611))+0-242.1--0.370413000000014</f>
        <v>1345.9375600000001</v>
      </c>
      <c r="I60" s="3">
        <f>1632.6+(149.6-223.3)+(-2.497878+(-0.228888--0.341649))+0-242--0.370260000000014</f>
        <v>1314.8851429999997</v>
      </c>
      <c r="J60" s="3">
        <f>1631.9+(147.5-262)+(0.832269+(0.075225-0.13362))+0-241.1-0.122960999999976</f>
        <v>1276.9509130000001</v>
      </c>
      <c r="K60" s="3">
        <f>1633+(98.1-330.1)+(-4.16415+(-0.250155--0.841755))+0-240.7--0.613784999999965</f>
        <v>1157.3412349999999</v>
      </c>
      <c r="L60" s="3">
        <f>1634+(26.9-424.5)+(0+(0-0))+0-242.1-0</f>
        <v>994.30000000000007</v>
      </c>
      <c r="M60" s="3">
        <f>1628.9+(71.4-511.5)+(-2.492217+(-0.109242--0.782595))+0-240.2--0.367506000000014</f>
        <v>947.14864200000011</v>
      </c>
      <c r="N60" s="3">
        <f>1625.6+(139.5-570.2)+(-1.658112+(-0.14229--0.581604))+0-241.5--0.246330000000039</f>
        <v>952.42753199999981</v>
      </c>
      <c r="O60" s="3">
        <f>1636+(116.3-541.9)+(-0.83436+(-0.059313--0.276369))+0-240.7--0.122756999999976</f>
        <v>969.20545299999992</v>
      </c>
      <c r="P60" s="3">
        <f>1630.8+(128-521.2)+(-1.663416+(-0.13056--0.531624))+0-240.1--0.244902000000038</f>
        <v>996.48254999999995</v>
      </c>
      <c r="Q60" s="3">
        <f>1619.8+(168.7-456.3)+(-1.652196+(-0.172074--0.465426))+0-241.2--0.246024000000038</f>
        <v>1089.8871799999997</v>
      </c>
      <c r="R60" s="3">
        <f>1613+(200.6-339.3)+(0+(0-0))+0-242.5-0</f>
        <v>1231.8</v>
      </c>
      <c r="S60" s="3">
        <f>1611.9+(329.5-309)+(-3.288276+(-0.67218--0.63036))+0-240.6--0.490823999999989</f>
        <v>1388.9607280000002</v>
      </c>
      <c r="T60" s="3">
        <f>1598+(393.5-295)+(0+(0-0))+0-240.4-0</f>
        <v>1456.1</v>
      </c>
      <c r="U60" s="3">
        <f>1588+(395.7-256)+(-2.42964+(-0.605421--0.39168))+0-240.9--0.368577000000014</f>
        <v>1484.5251959999998</v>
      </c>
      <c r="V60" s="3">
        <f>1601.6+(293-276.5)+(-3.267264+(-0.59772--0.56406))+0-240.1--0.48980399999999</f>
        <v>1375.1888800000002</v>
      </c>
      <c r="W60" s="3">
        <f>1605.3+(133-339.4)+(-3.274812+(-0.27132--0.692376))+0-239.7--0.488987999999989</f>
        <v>1156.8352320000001</v>
      </c>
      <c r="X60" s="3">
        <f>1612.4+(83.9-481.6)+(-4.11162+(-0.213945--1.22808))+0-239.8--0.611489999999965</f>
        <v>972.41400500000009</v>
      </c>
      <c r="Y60" s="3">
        <f>1635.5+(102.1-567.7)+(-1.66821+(-0.104142--0.579054))+0-239.9--0.244698000000038</f>
        <v>929.05140000000029</v>
      </c>
      <c r="Z60" s="3">
        <f>1664.7+(170.9-435.3)+(-0.848997+(-0.087159--0.222003))+0-239.6--0.122195999999976</f>
        <v>1160.1080430000004</v>
      </c>
      <c r="AA60" s="3">
        <f>1673.4+(193-363.9)+(-2.560302+(-0.29529--0.556767))+0-238.6--0.365058000000014</f>
        <v>1261.9662330000001</v>
      </c>
      <c r="AB60" s="3">
        <f>1682.4+(201.8-276.4)+(-4.29012+(-0.51459--0.70482))+0-238.3--0.607664999999965</f>
        <v>1366.0077750000003</v>
      </c>
      <c r="AC60" s="3">
        <f>1655.1+(251.3-258)+(-3.376404+(-0.512652--0.52632))+0-237.9--0.48531599999999</f>
        <v>1407.6225799999997</v>
      </c>
      <c r="AD60">
        <f t="shared" si="0"/>
        <v>29039.974573</v>
      </c>
      <c r="AE60" s="3">
        <f>1670+(191-375.5)+(0+(0-0))+0-238.5-0</f>
        <v>1247</v>
      </c>
    </row>
    <row r="61" spans="1:31" s="2" customFormat="1" x14ac:dyDescent="0.25">
      <c r="A61">
        <v>89</v>
      </c>
      <c r="B61">
        <v>2</v>
      </c>
      <c r="C61">
        <v>30</v>
      </c>
      <c r="D61">
        <v>6</v>
      </c>
      <c r="E61">
        <v>1</v>
      </c>
      <c r="F61" s="3">
        <f>1658.9+(256.1-233.5)+(-6.768312+(-1.044888--0.95268))+0-238.9--0.974711999999979</f>
        <v>1436.7141919999999</v>
      </c>
      <c r="G61" s="3">
        <f>1659.4+(249.1-225.7)+(-2.538882+(-0.381123--0.345321))+0-238.7--0.365211000000014</f>
        <v>1441.8905270000002</v>
      </c>
      <c r="H61" s="3">
        <f>1664.1+(182.5-232.8)+(-1.697382+(-0.18615--0.237456))+0-240.3--0.245106000000038</f>
        <v>1372.0990300000001</v>
      </c>
      <c r="I61" s="3">
        <f>1665.6+(140.3-230.4)+(-3.397824+(-0.286212--0.470016))+0-241.2--0.492047999999989</f>
        <v>1331.5780280000001</v>
      </c>
      <c r="J61" s="3">
        <f>1667+(158.4-286.9)+(1.70034+(0.161568-0.292638))+0-240.9-0.245718000000038</f>
        <v>1298.9235519999997</v>
      </c>
      <c r="K61" s="3">
        <f>1670.1+(75.7-317.4)+(-4.258755+(-0.193035--0.80937))+0-239--0.609449999999965</f>
        <v>1186.3670299999999</v>
      </c>
      <c r="L61" s="3">
        <f>1675.8+(0-430.1)+(-3.418632+(0--0.877404))+0-240.1--0.48980399999999</f>
        <v>1003.5485759999997</v>
      </c>
      <c r="M61" s="3">
        <f>1582.2+(0-377.2)+(1.613844+(0-0.384744))+0-239.3-0.244086000000038</f>
        <v>966.68501400000002</v>
      </c>
      <c r="N61" s="3">
        <f>1409.2+(10.5-208.2)+(-1.437384+(-0.01071--0.212364))+0-239.6--0.244392000000038</f>
        <v>970.90866199999994</v>
      </c>
      <c r="O61" s="3">
        <f>1397.9+(54.7-239.2)+(-0.712929+(-0.027897--0.121992))+0-240.4--0.122603999999976</f>
        <v>972.50377000000003</v>
      </c>
      <c r="P61" s="3">
        <f>1392.5+(123.7-254.3)+(0+(0-0))+0-240.4-0</f>
        <v>1021.5000000000001</v>
      </c>
      <c r="Q61" s="3">
        <f>1392.8+(252-277.5)+(1.420656+(0.25704-0.28305))+0-240.3-0.245106000000038</f>
        <v>1128.1495399999999</v>
      </c>
      <c r="R61" s="3">
        <f>1381.8+(454.4-273.3)+(-2.818872+(-0.926976--0.557532))+0-240.3--0.49021199999999</f>
        <v>1319.9018959999999</v>
      </c>
      <c r="S61" s="3">
        <f>1370.1+(572.4-268.2)+(-2.096253+(-0.875772--0.410346))+0-242.3--0.370719000000014</f>
        <v>1429.8090400000001</v>
      </c>
      <c r="T61" s="3">
        <f>1365+(651.2-252.5)+(-1.3923+(-0.664224--0.25755))+0-241--0.245820000000038</f>
        <v>1521.1468460000001</v>
      </c>
      <c r="U61" s="3">
        <f>1360.5+(654.5-253.7)+(-0.693855+(-0.333795--0.129387))+0-239.2--0.121991999999976</f>
        <v>1521.3237289999997</v>
      </c>
      <c r="V61" s="3">
        <f>1365.2+(520.2-221.3)+(-2.088756+(-0.795906--0.338589))+0-240.1--0.367353000000014</f>
        <v>1421.8212800000003</v>
      </c>
      <c r="W61" s="3">
        <f>1371.5+(254.5-193.2)+(-2.79786+(-0.51918--0.394128))+0-239--0.48755999999999</f>
        <v>1191.364648</v>
      </c>
      <c r="X61" s="3">
        <f>1376.7+(45.8-175.9)+(-4.212702+(-0.140148--0.538254))+0-239.2--0.731952000000028</f>
        <v>1004.3173559999999</v>
      </c>
      <c r="Y61" s="3">
        <f>1386.4+(13.1-207.6)+(-2.121192+(-0.020043--0.317628))+0-239.8--0.366894000000014</f>
        <v>950.6432870000001</v>
      </c>
      <c r="Z61" s="3">
        <f>1395.6+(218.1-248.1)+(-0.711756+(-0.111231--0.126531))+0-239.8--0.122297999999976</f>
        <v>1125.2258420000001</v>
      </c>
      <c r="AA61" s="3">
        <f>1415.5+(310.1-240.6)+(-1.44381+(-0.316302--0.245412))+0-239.6--0.244392000000038</f>
        <v>1244.1296920000002</v>
      </c>
      <c r="AB61" s="3">
        <f>1421.9+(402.5-240.3)+(-2.175507+(-0.615825--0.367659))+0-240.4--0.367812000000014</f>
        <v>1341.644139</v>
      </c>
      <c r="AC61" s="3">
        <f>1430+(463.1-228.4)+(-0.7293+(-0.236181--0.116484))+0-239.9--0.122348999999976</f>
        <v>1424.0733519999999</v>
      </c>
      <c r="AD61">
        <f t="shared" si="0"/>
        <v>29626.269027999995</v>
      </c>
      <c r="AE61" s="3">
        <f>1410+(305.7-260.9)+(0+(0-0))+0-239.7-0</f>
        <v>1215.0999999999999</v>
      </c>
    </row>
    <row r="62" spans="1:31" s="2" customFormat="1" x14ac:dyDescent="0.25">
      <c r="A62">
        <v>89</v>
      </c>
      <c r="B62">
        <v>2</v>
      </c>
      <c r="C62">
        <v>31</v>
      </c>
      <c r="D62">
        <v>7</v>
      </c>
      <c r="E62">
        <v>1</v>
      </c>
      <c r="F62" s="3">
        <f>1417.3+(495-236)+(-0.722823+(-0.25245--0.12036))+0-239.1--0.121940999999976</f>
        <v>1436.467028</v>
      </c>
      <c r="G62" s="3">
        <f>1496.7+(395.7-247)+(0.763317+(0.201807-0.12597))+0-239.1-0.121940999999976</f>
        <v>1407.0172130000003</v>
      </c>
      <c r="H62" s="3">
        <f>1602+(288.9-266.7)+(-3.26808+(-0.589356--0.544068))+0-240--0.48959999999999</f>
        <v>1381.3762319999998</v>
      </c>
      <c r="I62" s="3">
        <f>1649.1+(202.7-266.4)+(1.682082+(0.206754-0.271728))+0-238.9-0.243678000000038</f>
        <v>1347.8734299999996</v>
      </c>
      <c r="J62" s="3">
        <f>1649.2+(154.5-264.7)+(-0.841092+(-0.078795--0.134997))+0-239.6--0.122195999999976</f>
        <v>1298.7373060000002</v>
      </c>
      <c r="K62" s="3">
        <f>1652.1+(35.2-243.3)+(-3.370284+(-0.071808--0.496332))+0-238.7--0.48694799999999</f>
        <v>1202.8411879999999</v>
      </c>
      <c r="L62" s="3">
        <f>1662.6+(0-370)+(-3.391704+(0--0.7548))+0-237.9--0.48531599999999</f>
        <v>1052.5484119999999</v>
      </c>
      <c r="M62" s="3">
        <f>1651.9+(0-429.8)+(-1.684938+(0--0.438396))+0-237.5--0.242250000000038</f>
        <v>983.59570800000006</v>
      </c>
      <c r="N62" s="3">
        <f>1617.9+(0-418.4)+(-1.650258+(0--0.426768))+0-237.5--0.242250000000038</f>
        <v>961.01875999999993</v>
      </c>
      <c r="O62" s="3">
        <f>1606.1+(0-410.3)+(-3.276444+(0--0.837012))+0-239--0.48755999999999</f>
        <v>954.84812800000009</v>
      </c>
      <c r="P62" s="3">
        <f>1593.4+(7.4-367.3)+(-1.625268+(-0.007548--0.374646))+0-239.1--0.243882000000038</f>
        <v>993.3857119999999</v>
      </c>
      <c r="Q62" s="3">
        <f>1574.6+(113.8-370.1)+(-1.606092+(-0.116076--0.377502))+0-240.5--0.245310000000038</f>
        <v>1076.700644</v>
      </c>
      <c r="R62" s="3">
        <f>1575+(218.9-353.1)+(-3.213+(-0.446556--0.720324))+0-239.9--0.48939599999999</f>
        <v>1198.4501639999999</v>
      </c>
      <c r="S62" s="3">
        <f>1559.6+(340.9-316.7)+(-0.795396+(-0.173859--0.161517))+0-239--0.121889999999976</f>
        <v>1344.1141519999999</v>
      </c>
      <c r="T62" s="3">
        <f>1554.2+(410.9-279.5)+(-1.585284+(-0.419118--0.28509))+0-240.2--0.245004000000038</f>
        <v>1443.925692</v>
      </c>
      <c r="U62" s="3">
        <f>1553+(413.4-278.7)+(-4.75218+(-1.265004--0.852822))+0-239.4--0.732564000000028</f>
        <v>1443.8682020000001</v>
      </c>
      <c r="V62" s="3">
        <f>1559.4+(302.8-272.8)+(-3.181176+(-0.617712--0.556512))+0-240.4--0.49041599999999</f>
        <v>1346.2480400000002</v>
      </c>
      <c r="W62" s="3">
        <f>1574.5+(77.9-251.9)+(-2.408985+(-0.119187--0.385407))+0-240.3--0.367659000000014</f>
        <v>1158.424894</v>
      </c>
      <c r="X62" s="3">
        <f>1573.3+(12.4-359.8)+(-5.616681+(-0.044268--1.284486))+0-241--0.860370000000003</f>
        <v>981.38390699999979</v>
      </c>
      <c r="Y62" s="3">
        <f>1500.8+(64.3-403.7)+(-1.530816+(-0.065586--0.411774))+0-242.9--0.247758000000039</f>
        <v>917.56313000000023</v>
      </c>
      <c r="Z62" s="3">
        <f>1614.9+(75.5-348)+(-2.470797+(-0.115515--0.53244))+0-241--0.368730000000014</f>
        <v>1099.714858</v>
      </c>
      <c r="AA62" s="3">
        <f>1626.3+(174.6-316.2)+(-2.488239+(-0.267138--0.483786))+0-240.3--0.367659000000014</f>
        <v>1242.4960680000002</v>
      </c>
      <c r="AB62" s="3">
        <f>1634.6+(252.5-300.2)+(-3.334584+(-0.5151--0.612408))+0-239.8--0.48919199999999</f>
        <v>1344.3519159999998</v>
      </c>
      <c r="AC62" s="3">
        <f>1639.2+(306.8-275.4)+(-2.507976+(-0.469404--0.421362))+0-240.9--0.368577000000014</f>
        <v>1427.512559</v>
      </c>
      <c r="AD62">
        <f t="shared" si="0"/>
        <v>29044.463342999996</v>
      </c>
      <c r="AE62" s="3">
        <f>1622+(156.1-314.7)+(0+(0-0))+0-239.7-0</f>
        <v>1223.7</v>
      </c>
    </row>
    <row r="63" spans="1:31" s="2" customFormat="1" x14ac:dyDescent="0.25">
      <c r="A63">
        <v>89</v>
      </c>
      <c r="B63">
        <v>3</v>
      </c>
      <c r="C63">
        <v>1</v>
      </c>
      <c r="D63">
        <v>1</v>
      </c>
      <c r="E63">
        <v>1</v>
      </c>
      <c r="F63" s="3">
        <f>1645.1+(315.1-257.3)+(-1.678002+(-0.321402--0.262446))+0-239.1--0.243882000000038</f>
        <v>1462.306924</v>
      </c>
      <c r="G63" s="3">
        <f>1646.3+(286.1-254.8)+(2.518839+(0.437733-0.389844))+0-239.2-0.365976000000014</f>
        <v>1440.6007519999998</v>
      </c>
      <c r="H63" s="3">
        <f>1650.1+(240.6-239.3)+(-4.207755+(-0.61353--0.610215))+0-239--0.609449999999965</f>
        <v>1408.7983799999997</v>
      </c>
      <c r="I63" s="3">
        <f>1650.2+(199.1-231.8)+(-0.841602+(-0.101541--0.118218))+0-239.2--0.121991999999976</f>
        <v>1377.5970669999999</v>
      </c>
      <c r="J63" s="3">
        <f>1650.7+(186.4-265)+(0.841857+(0.095064-0.13515))+0-239.1-0.121940999999976</f>
        <v>1333.6798300000003</v>
      </c>
      <c r="K63" s="3">
        <f>1652.3+(94.9-281.3)+(-4.213365+(-0.241995--0.717315))+0-238.9--0.609194999999965</f>
        <v>1223.8711499999997</v>
      </c>
      <c r="L63" s="3">
        <f>1645.3+(19.1-443.2)+(0+(0-0))+0-239-0</f>
        <v>982.2</v>
      </c>
      <c r="M63" s="3">
        <f>1628+(81.7-468.4)+(0.83028+(0.041667-0.238884))+0-239.4-0.122093999999976</f>
        <v>1002.410969</v>
      </c>
      <c r="N63" s="3">
        <f>1615.7+(92.9-459.2)+(0+(0-0))+0-242.5-0</f>
        <v>1006.9000000000001</v>
      </c>
      <c r="O63" s="3">
        <f>1598.7+(99.8-403.6)+(-1.630674+(-0.101796--0.411672))+0-245.3--0.250206000000039</f>
        <v>1048.5294080000001</v>
      </c>
      <c r="P63" s="3">
        <f>1604+(106.3-403.6)+(-4.0902+(-0.271065--1.02918))+0-245.3--0.625514999999964</f>
        <v>1058.69343</v>
      </c>
      <c r="Q63" s="3">
        <f>1587+(104.8-403.6)+(-0.80937+(-0.053448--0.205836))+0-245.3--0.125102999999975</f>
        <v>1042.3681210000002</v>
      </c>
      <c r="R63" s="3">
        <f>1589.5+(218.8-389.8)+(-1.62129+(-0.223176--0.397596))+0-278.2--0.283764000000044</f>
        <v>1139.136894</v>
      </c>
      <c r="S63" s="3">
        <f>1570.3+(462.2-327.5)+(-2.402559+(-0.707166--0.501075))+0-246--0.376380000000014</f>
        <v>1456.76773</v>
      </c>
      <c r="T63" s="3">
        <f>1563.7+(493.5-291)+(0.797487+(0.251685-0.14841))+0-245.5-0.125204999999975</f>
        <v>1521.475557</v>
      </c>
      <c r="U63" s="3">
        <f>1563.7+(481.4-273.1)+(-3.987435+(-1.22757--0.696405))+0-242.8--0.619139999999965</f>
        <v>1525.30054</v>
      </c>
      <c r="V63" s="3">
        <f>1568+(373.3-271.4)+(-1.59936+(-0.380766--0.276828))+0-245.2--0.250104000000039</f>
        <v>1423.2468060000001</v>
      </c>
      <c r="W63" s="3">
        <f>1570.2+(169.7-280.7)+(-4.00401+(-0.432735--0.715785))+0-246.9--0.629594999999964</f>
        <v>1209.2086349999997</v>
      </c>
      <c r="X63" s="3">
        <f>1587.7+(53.8-370.3)+(-3.238908+(-0.109752--0.755412))+0-244.4--0.498575999999989</f>
        <v>1024.705328</v>
      </c>
      <c r="Y63" s="3">
        <f>1594.5+(98.2-434.4)+(-3.25278+(-0.200328--0.886176))+0-246.4--0.502655999999989</f>
        <v>1009.835724</v>
      </c>
      <c r="Z63" s="3">
        <f>1607.5+(230.2-340.9)+(-4.099125+(-0.58701--0.869295))+0-250.8--0.639539999999964</f>
        <v>1242.8226999999999</v>
      </c>
      <c r="AA63" s="3">
        <f>1612.6+(291-287.9)+(-5.756982+(-1.03887--1.027803))+0-248.9--0.888573000000004</f>
        <v>1361.9205239999997</v>
      </c>
      <c r="AB63" s="3">
        <f>1623.2+(353.4-282)+(-3.311328+(-0.720936--0.57528))+0-248.1--0.506123999999989</f>
        <v>1443.5491400000001</v>
      </c>
      <c r="AC63" s="3">
        <f>1630.3+(386.1-267.7)+(-1.662906+(-0.393822--0.273054))+0-248.5--0.25347000000004</f>
        <v>1498.6697960000001</v>
      </c>
      <c r="AD63">
        <f t="shared" si="0"/>
        <v>30244.595405</v>
      </c>
      <c r="AE63" s="3">
        <f>1601+(288-291.7)+(0+(0-0))+0-244.9-0</f>
        <v>1352.3999999999999</v>
      </c>
    </row>
    <row r="64" spans="1:31" s="2" customFormat="1" x14ac:dyDescent="0.25">
      <c r="A64">
        <v>89</v>
      </c>
      <c r="B64">
        <v>3</v>
      </c>
      <c r="C64">
        <v>2</v>
      </c>
      <c r="D64">
        <v>2</v>
      </c>
      <c r="E64">
        <v>1</v>
      </c>
      <c r="F64" s="3">
        <f>1635.1+(369-265.5)+(-1.667802+(-0.37638--0.27081))+0-248.4--0.25336800000004</f>
        <v>1488.6799959999998</v>
      </c>
      <c r="G64" s="3">
        <f>1637.5+(334.4-256)+(-4.175625+(-0.85272--0.6528))+0-247.7--0.631634999999964</f>
        <v>1464.4560899999999</v>
      </c>
      <c r="H64" s="3">
        <f>1637.1+(287-238.9)+(-2.504763+(-0.43911--0.365517))+0-247.8--0.379134000000014</f>
        <v>1435.2007779999999</v>
      </c>
      <c r="I64" s="3">
        <f>1639.8+(242.3-227.7)+(-2.508894+(-0.370719--0.348381))+0-247.4--0.378522000000014</f>
        <v>1404.8472899999999</v>
      </c>
      <c r="J64" s="3">
        <f>1641.5+(205.4-225.4)+(-1.67433+(-0.209508--0.229908))+0-246.2--0.251124000000039</f>
        <v>1373.8971940000001</v>
      </c>
      <c r="K64" s="3">
        <f>1644.2+(134.6-262.3)+(-2.515626+(-0.205938--0.401319))+0-248.1--0.379593000000014</f>
        <v>1266.4593480000001</v>
      </c>
      <c r="L64" s="3">
        <f>1645.8+(27.1-336.1)+(-0.839358+(-0.013821--0.171411))+0-247--0.125969999999975</f>
        <v>1089.2442020000001</v>
      </c>
      <c r="M64" s="3">
        <f>1642.6+(43.1-393.7)+(-0.837726+(-0.021981--0.200787))+0-247.5--0.126224999999975</f>
        <v>1043.9673049999999</v>
      </c>
      <c r="N64" s="3">
        <f>1634.6+(103.1-451.5)+(-0.833646+(-0.052581--0.230265))+0-245.1--0.125000999999975</f>
        <v>1040.5690389999997</v>
      </c>
      <c r="O64" s="3">
        <f>1620.1+(142.6-464.4)+(-1.652502+(-0.145452--0.473688))+0-245.5--0.250410000000039</f>
        <v>1051.726144</v>
      </c>
      <c r="P64" s="3">
        <f>1606.6+(181.5-450)+(-4.916196+(-0.55539--1.377))+0-246.9--0.755514000000029</f>
        <v>1087.8609279999998</v>
      </c>
      <c r="Q64" s="3">
        <f>1592.4+(223.7-371.3)+(-0.812124+(-0.114087--0.189363))+0-247.3--0.126122999999975</f>
        <v>1196.8892750000002</v>
      </c>
      <c r="R64" s="3">
        <f>1579.4+(327.9-351.2)+(-1.610988+(-0.334458--0.358224))+0-247--0.251940000000039</f>
        <v>1307.7647180000001</v>
      </c>
      <c r="S64" s="3">
        <f>1574.1+(476.2-292.6)+(-4.013955+(-1.21431--0.74613))+0-246.2--0.627809999999964</f>
        <v>1507.6456749999998</v>
      </c>
      <c r="T64" s="3">
        <f>1562.1+(519.7-279.1)+(0+(0-0))+0-246.3-0</f>
        <v>1556.3999999999999</v>
      </c>
      <c r="U64" s="3">
        <f>1557.2+(505.7-272.9)+(-2.382516+(-0.773721--0.417537))+0-246.2--0.376686000000014</f>
        <v>1541.4379859999999</v>
      </c>
      <c r="V64" s="3">
        <f>1552.2+(412.7-268.4)+(-3.166488+(-0.841908--0.547536))+0-245.7--0.501227999999989</f>
        <v>1447.8403680000001</v>
      </c>
      <c r="W64" s="3">
        <f>1557.1+(197.8-250.1)+(-4.764726+(-0.605268--0.765306))+0-245.1--0.750006000000028</f>
        <v>1255.8453180000001</v>
      </c>
      <c r="X64" s="3">
        <f>1565.5+(142.8-401.1)+(-3.992025+(-0.36414--1.022805))+0-245.9--0.627044999999964</f>
        <v>1058.5936849999998</v>
      </c>
      <c r="Y64" s="3">
        <f>1591.5+(138.8-483.2)+(-0.811665+(-0.070788--0.246432))+0-245.9--0.125408999999975</f>
        <v>1000.6893879999999</v>
      </c>
      <c r="Z64" s="3">
        <f>1638.3+(190.7-359.6)+(-0.835533+(-0.097257--0.183396))+0-244.4--0.124643999999975</f>
        <v>1224.3752499999998</v>
      </c>
      <c r="AA64" s="3">
        <f>1650.2+(211.3-263.8)+(-2.524806+(-0.323289--0.403614))+0-245.8--0.376074000000014</f>
        <v>1349.8315930000001</v>
      </c>
      <c r="AB64" s="3">
        <f>1657.7+(282.6-264.1)+(-4.227135+(-0.72063--0.673455))+0-244.9--0.624494999999965</f>
        <v>1427.650185</v>
      </c>
      <c r="AC64" s="3">
        <f>1649.9+(350.8-263.7)+(-1.682898+(-0.357816--0.268974))+0-245.8--0.250716000000039</f>
        <v>1489.6789760000001</v>
      </c>
      <c r="AD64">
        <f t="shared" si="0"/>
        <v>31111.550730999999</v>
      </c>
      <c r="AE64" s="3">
        <f>1638+(220.7-291.5)+(0+(0-0))+0-244.3-0</f>
        <v>1322.9</v>
      </c>
    </row>
    <row r="65" spans="1:31" s="2" customFormat="1" x14ac:dyDescent="0.25">
      <c r="A65">
        <v>89</v>
      </c>
      <c r="B65">
        <v>3</v>
      </c>
      <c r="C65">
        <v>3</v>
      </c>
      <c r="D65">
        <v>3</v>
      </c>
      <c r="E65">
        <v>1</v>
      </c>
      <c r="F65" s="3">
        <f>1641.8+(355.5-268.6)+(-2.511954+(-0.543915--0.410958))+0-244.9--0.374697000000014</f>
        <v>1481.5297859999996</v>
      </c>
      <c r="G65" s="3">
        <f>1659+(310.5-269.1)+(-0.84609+(-0.158355--0.137241))+0-243.3--0.124082999999975</f>
        <v>1456.3568790000002</v>
      </c>
      <c r="H65" s="3">
        <f>1663.4+(264.6-255.6)+(-0.848334+(-0.134946--0.130356))+0-243.7--0.124286999999975</f>
        <v>1427.9713629999999</v>
      </c>
      <c r="I65" s="3">
        <f>1668.2+(217.9-248.3)+(-1.701564+(-0.222258--0.253266))+0-243.3--0.248166000000039</f>
        <v>1393.07761</v>
      </c>
      <c r="J65" s="3">
        <f>1674.4+(188.9-255.9)+(-4.26972+(-0.481695--0.652545))+0-243.9--0.621944999999965</f>
        <v>1360.0230749999998</v>
      </c>
      <c r="K65" s="3">
        <f>1672.1+(82.5-252.8)+(-2.558313+(-0.126225--0.386784))+0-244.9--0.374697000000014</f>
        <v>1254.9769429999999</v>
      </c>
      <c r="L65" s="3">
        <f>1684.6+(4.7-390.8)+(-0.859146+(-0.002397--0.199308))+0-243.8--0.124337999999975</f>
        <v>1054.1621030000001</v>
      </c>
      <c r="M65" s="3">
        <f>1675.7+(30.8-463.6)+(0+(0-0))+0-243.1-0</f>
        <v>999.80000000000007</v>
      </c>
      <c r="N65" s="3">
        <f>1663.9+(71-469.5)+(-0.848589+(-0.03621--0.239445))+0-245.9--0.125408999999975</f>
        <v>1018.9800550000001</v>
      </c>
      <c r="O65" s="3">
        <f>1646+(100.7-452)+(-0.83946+(-0.051357--0.23052))+0-244.6--0.124745999999975</f>
        <v>1049.5644490000002</v>
      </c>
      <c r="P65" s="3">
        <f>1632.5+(145.6-433)+(-0.832575+(-0.074256--0.22083))+0-245.2--0.125051999999975</f>
        <v>1099.3390509999997</v>
      </c>
      <c r="Q65" s="3">
        <f>1619.4+(184.3-348.7)+(-1.651788+(-0.187986--0.355674))+0-246.4--0.251328000000039</f>
        <v>1207.3672280000001</v>
      </c>
      <c r="R65" s="3">
        <f>1606.4+(319.2-314.6)+(-1.638528+(-0.325584--0.320892))+0-244.5--0.249390000000039</f>
        <v>1365.10617</v>
      </c>
      <c r="S65" s="3">
        <f>1602.3+(456.8-296.3)+(-1.634346+(-0.465936--0.302226))+0-244.8--0.249696000000039</f>
        <v>1516.45164</v>
      </c>
      <c r="T65" s="3">
        <f>1595.5+(506.5-281.9)+(0+(0-0))+0-244.8-0</f>
        <v>1575.3</v>
      </c>
      <c r="U65" s="3">
        <f>1593.8+(479.9-277.6)+(-1.625676+(-0.489498--0.283152))+0-244.9--0.249798000000039</f>
        <v>1549.6177759999998</v>
      </c>
      <c r="V65" s="3">
        <f>1590.4+(374.6-275.4)+(-4.866624+(-1.146276--0.842724))+0-244.5--0.748170000000028</f>
        <v>1440.6779940000001</v>
      </c>
      <c r="W65" s="3">
        <f>1588.1+(182.6-275.5)+(-3.239724+(-0.372504--0.56202))+0-244.1--0.497963999999989</f>
        <v>1248.5477559999997</v>
      </c>
      <c r="X65" s="3">
        <f>1600.4+(113-408.5)+(-4.897224+(-0.34578--1.25001))+0-243.9--0.746334000000028</f>
        <v>1057.75334</v>
      </c>
      <c r="Y65" s="3">
        <f>1611.6+(141.3-482.6)+(-4.10958+(-0.360315--1.23063))+0-244.4--0.623219999999965</f>
        <v>1023.283955</v>
      </c>
      <c r="Z65" s="3">
        <f>1628.3+(236.2-386.4)+(-2.491299+(-0.361386--0.591192))+0-243.9--0.373167000000014</f>
        <v>1232.3116739999998</v>
      </c>
      <c r="AA65" s="3">
        <f>1647.9+(276.5-308.3)+(-5.883003+(-0.987105--1.100631))+0-244.1--0.871437000000003</f>
        <v>1367.1019600000002</v>
      </c>
      <c r="AB65" s="3">
        <f>1655.2+(326-288.1)+(-3.376608+(-0.66504--0.587724))+0-244.2--0.498167999999989</f>
        <v>1445.944244</v>
      </c>
      <c r="AC65" s="3">
        <f>1658+(353.3-272.1)+(-4.2279+(-0.900915--0.693855))+0-244.1--0.622454999999965</f>
        <v>1491.287495</v>
      </c>
      <c r="AD65">
        <f t="shared" ref="AD65:AD128" si="1">SUM(F65:AC65)</f>
        <v>31116.532545999995</v>
      </c>
      <c r="AE65" s="3">
        <f>1628+(251.9-328.1)+(0+(0-0))+0-243.7-0</f>
        <v>1308.0999999999999</v>
      </c>
    </row>
    <row r="66" spans="1:31" s="2" customFormat="1" x14ac:dyDescent="0.25">
      <c r="A66">
        <v>89</v>
      </c>
      <c r="B66">
        <v>3</v>
      </c>
      <c r="C66">
        <v>4</v>
      </c>
      <c r="D66">
        <v>4</v>
      </c>
      <c r="E66">
        <v>1</v>
      </c>
      <c r="F66" s="3">
        <f>1657.5+(352.8-292.7)+(-2.535975+(-0.539784--0.447831))+0-244.3--0.373779000000014</f>
        <v>1471.0458509999999</v>
      </c>
      <c r="G66" s="3">
        <f>1660+(314.6-284.6)+(-2.5398+(-0.481338--0.435438))+0-244.7--0.374391000000014</f>
        <v>1443.0886909999999</v>
      </c>
      <c r="H66" s="3">
        <f>1666.1+(263.9-294.3)+(-1.699422+(-0.269178--0.300186))+0-244.9--0.249798000000039</f>
        <v>1389.3813839999998</v>
      </c>
      <c r="I66" s="3">
        <f>1673.3+(214.8-286.5)+(-5.120298+(-0.657288--0.87669))+0-244.8--0.749088000000028</f>
        <v>1352.6481919999999</v>
      </c>
      <c r="J66" s="3">
        <f>1670.4+(202.1-309.9)+(-1.703808+(-0.206142--0.316098))+0-245.6--0.250512000000039</f>
        <v>1315.6566600000003</v>
      </c>
      <c r="K66" s="3">
        <f>1673.6+(142-351.8)+(-4.26768+(-0.3621--0.89709))+0-244.9--0.624494999999965</f>
        <v>1215.7918049999998</v>
      </c>
      <c r="L66" s="3">
        <f>1637.4+(83.8-442.9)+(-4.17537+(-0.21369--1.129395))+0-244.9--0.624494999999965</f>
        <v>1030.7648300000001</v>
      </c>
      <c r="M66" s="3">
        <f>1589.1+(132.5-511.5)+(-3.241764+(-0.2703--1.04346))+0-247.3--0.504491999999989</f>
        <v>960.83588800000007</v>
      </c>
      <c r="N66" s="3">
        <f>1574.5+(151.8-481)+(-1.60599+(-0.154836--0.49062))+0-245.5--0.250410000000039</f>
        <v>998.78020400000003</v>
      </c>
      <c r="O66" s="3">
        <f>1610.2+(168.2-506.1)+(-2.463606+(-0.257346--0.774333))+0-246.2--0.376686000000014</f>
        <v>1024.5300669999999</v>
      </c>
      <c r="P66" s="3">
        <f>1620.1+(201.1-498)+(-0.826251+(-0.102561--0.25398))+0-246.7--0.125816999999975</f>
        <v>1075.9509849999997</v>
      </c>
      <c r="Q66" s="3">
        <f>1620.1+(206.5-473)+(-0.826251+(-0.105315--0.24123))+0-249--0.126989999999975</f>
        <v>1104.036654</v>
      </c>
      <c r="R66" s="3">
        <f>1601.1+(323.6-341.3)+(-1.633122+(-0.330072--0.348126))+0-259.2--0.264384000000041</f>
        <v>1322.8493159999998</v>
      </c>
      <c r="S66" s="3">
        <f>1594.5+(514.3-357.5)+(-1.62639+(-0.524586--0.36465))+0-249.5--0.25449000000004</f>
        <v>1500.2681640000001</v>
      </c>
      <c r="T66" s="3">
        <f>1592.8+(554.2-329.6)+(-2.436984+(-0.847926--0.504288))+0-249.4--0.381582000000014</f>
        <v>1565.60096</v>
      </c>
      <c r="U66" s="3">
        <f>1592.4+(524.1-304.4)+(0.812124+(0.267291-0.155244))+0-248-0.126479999999975</f>
        <v>1564.8976910000001</v>
      </c>
      <c r="V66" s="3">
        <f>1593.6+(396.8-278.5)+(0.812736+(0.202368-0.142035))+0-250.4-0.127703999999975</f>
        <v>1462.2453649999998</v>
      </c>
      <c r="W66" s="3">
        <f>1599+(205.8-320.8)+(-3.26196+(-0.419832--0.654432))+0-248.9--0.507755999999989</f>
        <v>1232.5803959999998</v>
      </c>
      <c r="X66" s="3">
        <f>1604.9+(159.9-462.4)+(-4.910994+(-0.489294--1.414944))+0-247.8--0.758268000000029</f>
        <v>1051.3729240000002</v>
      </c>
      <c r="Y66" s="3">
        <f>1621.5+(113.8-486.7)+(-4.134825+(-0.29019--1.241085))+0-246.2--0.627809999999964</f>
        <v>999.8438799999999</v>
      </c>
      <c r="Z66" s="3">
        <f>1635+(262-407.3)+(-5.0031+(-0.80172--1.246338))+0-249.1--0.762246000000029</f>
        <v>1236.8037640000002</v>
      </c>
      <c r="AA66" s="3">
        <f>1644.1+(298.7-309.5)+(-6.707928+(-1.218696--1.26276))+0-248.2--1.01265599999998</f>
        <v>1379.4487919999997</v>
      </c>
      <c r="AB66" s="3">
        <f>1652.6+(363-306.5)+(-0.842826+(-0.18513--0.156315))+0-249.3--0.127142999999975</f>
        <v>1459.0555019999999</v>
      </c>
      <c r="AC66" s="3">
        <f>1659.3+(410.7-295.7)+(-4.231215+(-1.047285--0.754035))+0-247.8--0.631889999999964</f>
        <v>1522.6074249999999</v>
      </c>
      <c r="AD66">
        <f t="shared" si="1"/>
        <v>30680.085389999997</v>
      </c>
      <c r="AE66" s="3">
        <f>1644+(287.7-334.4)+(0+(0-0))+0-248.5-0</f>
        <v>1348.8</v>
      </c>
    </row>
    <row r="67" spans="1:31" s="2" customFormat="1" x14ac:dyDescent="0.25">
      <c r="A67">
        <v>89</v>
      </c>
      <c r="B67">
        <v>3</v>
      </c>
      <c r="C67">
        <v>5</v>
      </c>
      <c r="D67">
        <v>5</v>
      </c>
      <c r="E67">
        <v>1</v>
      </c>
      <c r="F67" s="3">
        <f>1659.7+(405.6-306.6)+(-3.385788+(-0.827424--0.625464))+0-248--0.505919999999989</f>
        <v>1507.6181720000002</v>
      </c>
      <c r="G67" s="3">
        <f>1659.4+(372-301.1)+(0.846294+(0.18972-0.153561))+0-249.7-0.127346999999975</f>
        <v>1481.3551060000002</v>
      </c>
      <c r="H67" s="3">
        <f>1665.6+(328.7-305.8)+(-4.24728+(-0.838185--0.77979))+0-246.9--0.629594999999964</f>
        <v>1437.9239199999997</v>
      </c>
      <c r="I67" s="3">
        <f>1665.8+(306.4-317.9)+(-2.548674+(-0.468792--0.486387))+0-248.1--0.379593000000014</f>
        <v>1404.0485140000001</v>
      </c>
      <c r="J67" s="3">
        <f>1667.2+(278.1-312.7)+(-0.850272+(-0.141831--0.159477))+0-249--0.126989999999975</f>
        <v>1382.8943640000002</v>
      </c>
      <c r="K67" s="3">
        <f>1673.1+(171-311.3)+(-5.119686+(-0.52326--0.952578))+0-245.2--0.750312000000028</f>
        <v>1283.659944</v>
      </c>
      <c r="L67" s="3">
        <f>1674.8+(100.9-427.9)+(-3.416592+(-0.205836--0.872916))+0-244.3--0.498371999999989</f>
        <v>1101.2488599999999</v>
      </c>
      <c r="M67" s="3">
        <f>1673.9+(8.3-390.7)+(-1.707378+(-0.008466--0.398514))+0-243.5--0.248370000000039</f>
        <v>1046.9310399999999</v>
      </c>
      <c r="N67" s="3">
        <f>1653.9+(14-391.8)+(0.843489+(0.00714-0.199818))+0-244.5-0.124694999999975</f>
        <v>1032.1261160000001</v>
      </c>
      <c r="O67" s="3">
        <f>1652.7+(12.8-389.4)+(-3.371508+(-0.026112--0.794376))+0-244.8--0.499391999999989</f>
        <v>1029.1961480000002</v>
      </c>
      <c r="P67" s="3">
        <f>1639.8+(18.5-323.2)+(0+(0-0))+0-244.2-0</f>
        <v>1090.8999999999999</v>
      </c>
      <c r="Q67" s="3">
        <f>1630.8+(138-334.6)+(-0.831708+(-0.07038--0.170646))+0-246.3--0.125612999999975</f>
        <v>1187.2941709999998</v>
      </c>
      <c r="R67" s="3">
        <f>1618.9+(332-319.8)+(-0.825639+(-0.16932--0.163098))+0-248.3--0.126632999999975</f>
        <v>1382.0947720000004</v>
      </c>
      <c r="S67" s="3">
        <f>1610.7+(474.8-307.3)+(-0.821457+(-0.242148--0.156723))+0-245.7--0.125306999999975</f>
        <v>1531.718425</v>
      </c>
      <c r="T67" s="3">
        <f>1605.5+(503.1-266.4)+(-1.63761+(-0.513162--0.271728))+0-246.8--0.251736000000039</f>
        <v>1593.772692</v>
      </c>
      <c r="U67" s="3">
        <f>1603.6+(496.3-274.3)+(-0.817836+(-0.253113--0.139893))+0-247.4--0.126173999999975</f>
        <v>1577.3951179999999</v>
      </c>
      <c r="V67" s="3">
        <f>1602.2+(402.1-288.7)+(-2.451366+(-0.615213--0.441711))+0-245.2--0.375156000000014</f>
        <v>1468.150288</v>
      </c>
      <c r="W67" s="3">
        <f>1603.4+(203.9-279.4)+(-5.724138+(-0.727923--0.997458))+0-247.7--0.884289000000003</f>
        <v>1275.6296860000002</v>
      </c>
      <c r="X67" s="3">
        <f>1608.6+(106-394.7)+(-5.742702+(-0.37842--1.409079))+0-247.9--0.885003000000004</f>
        <v>1068.1729599999999</v>
      </c>
      <c r="Y67" s="3">
        <f>1616+(118.8-466.5)+(-3.29664+(-0.242352--0.95166))+0-248--0.505919999999989</f>
        <v>1018.2185879999998</v>
      </c>
      <c r="Z67" s="3">
        <f>1647.3+(196.4-346.2)+(-1.680246+(-0.200328--0.353124))+0-245.6--0.250512000000039</f>
        <v>1250.6230620000001</v>
      </c>
      <c r="AA67" s="3">
        <f>1655.1+(271-291.2)+(-5.064606+(-0.82926--0.891072))+0-245.6--0.751536000000028</f>
        <v>1385.0487419999999</v>
      </c>
      <c r="AB67" s="3">
        <f>1403.3+(568-246.7)+(0.715683+(0.28968-0.125817))+0-248.4-0.126683999999975</f>
        <v>1476.9528619999996</v>
      </c>
      <c r="AC67" s="3">
        <f>1187.9+(765.1-198.3)+(-0.605829+(-0.390201--0.101133))+0-249.3--0.127142999999975</f>
        <v>1504.6322460000001</v>
      </c>
      <c r="AD67">
        <f t="shared" si="1"/>
        <v>31517.605795999996</v>
      </c>
      <c r="AE67" s="3">
        <f>1649+(288-295.6)+(0+(0-0))+0-243.7-0</f>
        <v>1397.7</v>
      </c>
    </row>
    <row r="68" spans="1:31" s="2" customFormat="1" x14ac:dyDescent="0.25">
      <c r="A68">
        <v>89</v>
      </c>
      <c r="B68">
        <v>3</v>
      </c>
      <c r="C68">
        <v>6</v>
      </c>
      <c r="D68">
        <v>6</v>
      </c>
      <c r="E68">
        <v>1</v>
      </c>
      <c r="F68" s="3">
        <f>1195.6+(735.7-175.9)+(-2.439024+(-1.500828--0.358836))+0-249.6--0.509183999999989</f>
        <v>1502.7281680000001</v>
      </c>
      <c r="G68" s="3">
        <f>1300.7+(609.8-181.5)+(-0.663357+(-0.310998--0.092565))+0-248--0.126479999999975</f>
        <v>1480.24469</v>
      </c>
      <c r="H68" s="3">
        <f>1335.7+(539-178.3)+(-1.362414+(-0.54978--0.181866))+0-250.5--0.25551000000004</f>
        <v>1444.4251819999999</v>
      </c>
      <c r="I68" s="3">
        <f>1435.8+(398.8-176.3)+(-4.393548+(-1.220328--0.539478))+0-248.7--0.761022000000029</f>
        <v>1405.2866240000001</v>
      </c>
      <c r="J68" s="3">
        <f>1439+(329-158.2)+(-2.20167+(-0.50337--0.242046))+0-246.7--0.377451000000014</f>
        <v>1361.014457</v>
      </c>
      <c r="K68" s="3">
        <f>1444.2+(192.6-128.5)+(-5.892336+(-0.785808--0.52428))+0-244.6--0.997967999999979</f>
        <v>1258.5441039999998</v>
      </c>
      <c r="L68" s="3">
        <f>1434.6+(97.7-199.5)+(-1.463292+(-0.099654--0.20349))+0-244.2--0.249084000000039</f>
        <v>1087.489628</v>
      </c>
      <c r="M68" s="3">
        <f>1428.9+(118.7-265.9)+(0+(0-0))+0-243.6-0</f>
        <v>1038.1000000000001</v>
      </c>
      <c r="N68" s="3">
        <f>1418+(139.5-278)+(1.44636+(0.14229-0.28356))+0-245.4-0.250308000000039</f>
        <v>1035.1547819999998</v>
      </c>
      <c r="O68" s="3">
        <f>1409.1+(193-326.6)+(-1.437282+(-0.19686--0.333132))+0-247.1--0.252042000000039</f>
        <v>1027.3510320000003</v>
      </c>
      <c r="P68" s="3">
        <f>1396.4+(229.4-306.3)+(-0.712164+(-0.116994--0.156213))+0-247.2--0.126071999999975</f>
        <v>1071.7531269999999</v>
      </c>
      <c r="Q68" s="3">
        <f>1382.4+(320.8-283.6)+(0+(0-0))+0-247.4-0</f>
        <v>1172.2</v>
      </c>
      <c r="R68" s="3">
        <f>1367.9+(490.9-279.4)+(-2.092887+(-0.751077--0.427482))+0-243.4--0.372402000000014</f>
        <v>1333.9559199999999</v>
      </c>
      <c r="S68" s="3">
        <f>1351.3+(600.2-239.2)+(-1.378326+(-0.612204--0.243984))+0-242.8--0.247656000000039</f>
        <v>1468.0011099999999</v>
      </c>
      <c r="T68" s="3">
        <f>1342.8+(690.7-253.2)+(-1.369656+(-0.704514--0.258264))+0-242.4--0.247248000000039</f>
        <v>1536.3313419999999</v>
      </c>
      <c r="U68" s="3">
        <f>1347.6+(685.5-250.5)+(-1.374552+(-0.69921--0.25551))+0-243.3--0.248166000000039</f>
        <v>1537.729914</v>
      </c>
      <c r="V68" s="3">
        <f>1351.5+(570.6-238.6)+(-0.689265+(-0.291006--0.121686))+0-242.5--0.123674999999975</f>
        <v>1440.2650900000001</v>
      </c>
      <c r="W68" s="3">
        <f>1352.3+(337.5-223.6)+(-3.448365+(-0.860625--0.57018))+0-245.1--0.625004999999964</f>
        <v>1217.986195</v>
      </c>
      <c r="X68" s="3">
        <f>1361.2+(142.6-227.1)+(-3.47106+(-0.36363--0.579105))+0-243.9--0.621944999999965</f>
        <v>1030.1663599999997</v>
      </c>
      <c r="Y68" s="3">
        <f>1374+(120.4-282.3)+(-1.40148+(-0.122808--0.287946))+0-245.5--0.250410000000039</f>
        <v>965.61406799999997</v>
      </c>
      <c r="Z68" s="3">
        <f>1393.8+(261.1-250.5)+(-2.132514+(-0.399483--0.383265))+0-244--0.373320000000014</f>
        <v>1158.6245879999999</v>
      </c>
      <c r="AA68" s="3">
        <f>1402+(368.6-239.2)+(-2.14506+(-0.563958--0.365976))+0-245.2--0.375156000000014</f>
        <v>1284.2321140000001</v>
      </c>
      <c r="AB68" s="3">
        <f>1407.1+(426.7-228.9)+(-2.870484+(-0.870468--0.466956))+0-243.5--0.496739999999989</f>
        <v>1358.622744</v>
      </c>
      <c r="AC68" s="3">
        <f>1414.5+(466.6-219.5)+(-2.88558+(-0.951864--0.44778))+0-243--0.495719999999989</f>
        <v>1415.7060559999998</v>
      </c>
      <c r="AD68">
        <f t="shared" si="1"/>
        <v>30631.527295</v>
      </c>
      <c r="AE68" s="3">
        <f>1396+(357.8-241.4)+(0+(0-0))+0-243.1-0</f>
        <v>1269.3000000000002</v>
      </c>
    </row>
    <row r="69" spans="1:31" s="2" customFormat="1" x14ac:dyDescent="0.25">
      <c r="A69">
        <v>89</v>
      </c>
      <c r="B69">
        <v>3</v>
      </c>
      <c r="C69">
        <v>7</v>
      </c>
      <c r="D69">
        <v>7</v>
      </c>
      <c r="E69">
        <v>1</v>
      </c>
      <c r="F69" s="3">
        <f>1414+(468.1-198.9)+(2.88456+(0.954924-0.405756))+0-245.1-0.500003999999989</f>
        <v>1441.0337240000001</v>
      </c>
      <c r="G69" s="3">
        <f>1416.6+(478.9-223.8)+(1.444932+(0.488478-0.228276))+0-243.7-0.248574000000039</f>
        <v>1429.4565599999999</v>
      </c>
      <c r="H69" s="3">
        <f>1418.6+(447.3-226.7)+(1.446972+(0.456246-0.231234))+0-243.9-0.248778000000039</f>
        <v>1396.7232059999997</v>
      </c>
      <c r="I69" s="3">
        <f>1418+(409.7-220)+(0+(0-0))+0-243.4-0</f>
        <v>1364.3</v>
      </c>
      <c r="J69" s="3">
        <f>1420.1+(391.8-246.6)+(1.448502+(0.399636-0.251532))+0-244.5-0.249390000000039</f>
        <v>1322.1472160000001</v>
      </c>
      <c r="K69" s="3">
        <f>1426.3+(307.5-269.7)+(-2.182239+(-0.470475--0.412641))+0-242.4--0.370872000000014</f>
        <v>1219.8307989999998</v>
      </c>
      <c r="L69" s="3">
        <f>1423.5+(200.5-287.5)+(-2.177955+(-0.306765--0.439875))+0-241.9--0.370107000000014</f>
        <v>1092.925262</v>
      </c>
      <c r="M69" s="3">
        <f>1419.1+(212.3-342.2)+(-1.447482+(-0.216546--0.349044))+0-243.9--0.248778000000039</f>
        <v>1044.2337939999998</v>
      </c>
      <c r="N69" s="3">
        <f>1410.4+(223.2-375.6)+(-2.157912+(-0.341496--0.574668))+0-242.5--0.371025000000014</f>
        <v>1013.9462850000001</v>
      </c>
      <c r="O69" s="3">
        <f>1392.3+(210.3-350.3)+(-2.130219+(-0.321759--0.535959))+0-243.8--0.373014000000014</f>
        <v>1006.956995</v>
      </c>
      <c r="P69" s="3">
        <f>1376.3+(226.7-316.7)+(0+(0-0))+0-243.7-0</f>
        <v>1042.5999999999999</v>
      </c>
      <c r="Q69" s="3">
        <f>1360.6+(284.2-273.2)+(-0.693906+(-0.144942--0.139332))+0-244--0.124439999999975</f>
        <v>1127.0249240000001</v>
      </c>
      <c r="R69" s="3">
        <f>1347.4+(430.6-268.8)+(0+(0-0))+0-244.3-0</f>
        <v>1264.9000000000001</v>
      </c>
      <c r="S69" s="3">
        <f>1339.8+(552-255.3)+(-0.683298+(-0.28152--0.130203))+0-243.4--0.124133999999975</f>
        <v>1392.3895189999998</v>
      </c>
      <c r="T69" s="3">
        <f>1333+(644.1-255.9)+(0+(0-0))+0-243.2-0</f>
        <v>1478</v>
      </c>
      <c r="U69" s="3">
        <f>1328.5+(650.4-241.4)+(0.677535+(0.331704-0.123114))+0-243.8-0.124337999999975</f>
        <v>1494.461787</v>
      </c>
      <c r="V69" s="3">
        <f>1329.4+(571.8-240.2)+(-4.067964+(-1.749708--0.735012))+0-244.3--0.747558000000028</f>
        <v>1412.364898</v>
      </c>
      <c r="W69" s="3">
        <f>1331.5+(385.1-239.9)+(-4.07439+(-1.178406--0.734094))+0-244.7--0.748782000000028</f>
        <v>1228.23008</v>
      </c>
      <c r="X69" s="3">
        <f>1341.7+(176.6-243.9)+(-2.737068+(-0.360264--0.497556))+0-244.6--0.498983999999989</f>
        <v>1027.6992080000002</v>
      </c>
      <c r="Y69" s="3">
        <f>1368.8+(166.3-325.4)+(-2.094264+(-0.254439--0.497862))+0-245.3--0.375309000000014</f>
        <v>962.92446800000016</v>
      </c>
      <c r="Z69" s="3">
        <f>1387.7+(313.3-285.4)+(-2.123181+(-0.479349--0.436662))+0-244.8--0.374544000000014</f>
        <v>1169.0086760000002</v>
      </c>
      <c r="AA69" s="3">
        <f>1395+(450-285.7)+(-1.4229+(-0.459--0.291414))+0-245.3--0.250206000000039</f>
        <v>1312.6597199999999</v>
      </c>
      <c r="AB69" s="3">
        <f>1402.3+(517-268.4)+(-1.430346+(-0.52734--0.273768))+0-245.7--0.250614000000039</f>
        <v>1403.7666960000001</v>
      </c>
      <c r="AC69" s="3">
        <f>1409.6+(554.2-246.1)+(-2.875584+(-1.130568--0.502044))+0-244.1--0.497963999999989</f>
        <v>1470.5938559999997</v>
      </c>
      <c r="AD69">
        <f t="shared" si="1"/>
        <v>30118.177673000002</v>
      </c>
      <c r="AE69" s="3">
        <f>1396+(501.1-273.6)+(0+(0-0))+0-248.5-0</f>
        <v>1375</v>
      </c>
    </row>
    <row r="70" spans="1:31" s="2" customFormat="1" x14ac:dyDescent="0.25">
      <c r="A70">
        <v>89</v>
      </c>
      <c r="B70">
        <v>3</v>
      </c>
      <c r="C70">
        <v>8</v>
      </c>
      <c r="D70">
        <v>1</v>
      </c>
      <c r="E70">
        <v>1</v>
      </c>
      <c r="F70" s="3">
        <f>1416.4+(556.4-235.5)+(-2.167092+(-0.851292--0.360315))+0-245.2--0.375156000000014</f>
        <v>1489.8170870000001</v>
      </c>
      <c r="G70" s="3">
        <f>1419.5+(517.5-215.1)+(-5.067615+(-1.847475--0.767907))+0-244.7--0.873579000000003</f>
        <v>1471.9263960000001</v>
      </c>
      <c r="H70" s="3">
        <f>1421.7+(464.6-197.3)+(-2.900268+(-0.947784--0.402492))+0-245--0.499799999999989</f>
        <v>1441.0542400000002</v>
      </c>
      <c r="I70" s="3">
        <f>1424.7+(419.4-190.7)+(-0.726597+(-0.213894--0.097257))+0-244.2--0.124541999999975</f>
        <v>1408.4813080000001</v>
      </c>
      <c r="J70" s="3">
        <f>1427.2+(373.4-184.1)+(0+(0-0))+0-244.8-0</f>
        <v>1371.7</v>
      </c>
      <c r="K70" s="3">
        <f>1427.1+(275.1-194)+(-3.639105+(-0.701505--0.4947))+0-245--0.624749999999965</f>
        <v>1259.9788399999998</v>
      </c>
      <c r="L70" s="3">
        <f>1424.7+(175.1-257.5)+(-0.726597+(-0.089301--0.131325))+0-245--0.124949999999975</f>
        <v>1096.7403769999999</v>
      </c>
      <c r="M70" s="3">
        <f>1424+(163.6-282.8)+(0+(0-0))+0-244.2-0</f>
        <v>1060.5999999999999</v>
      </c>
      <c r="N70" s="3">
        <f>1414.6+(171.9-276.2)+(-2.164338+(-0.263007--0.422586))+0-245--0.374850000000014</f>
        <v>1063.670091</v>
      </c>
      <c r="O70" s="3">
        <f>1475.7+(187.7-341.8)+(-0.752607+(-0.095727--0.174318))+0-244.8--0.124847999999975</f>
        <v>1076.2508319999999</v>
      </c>
      <c r="P70" s="3">
        <f>1588.1+(205.1-408.8)+(0+(0-0))+0-245.5-0</f>
        <v>1138.8999999999999</v>
      </c>
      <c r="Q70" s="3">
        <f>1594.1+(274.8-385.3)+(-0.812991+(-0.140148--0.196503))+0-246.3--0.125612999999975</f>
        <v>1236.6689769999998</v>
      </c>
      <c r="R70" s="3">
        <f>1610.3+(363.9-313)+(0+(0-0))+0-245-0</f>
        <v>1416.1999999999998</v>
      </c>
      <c r="S70" s="3">
        <f>1603.4+(497.6-306.5)+(0.817734+(0.253776-0.156315))+0-246.6-0.125765999999975</f>
        <v>1548.6894290000002</v>
      </c>
      <c r="T70" s="3">
        <f>1636.7+(518.3-299.5)+(0+(0-0))+0-249-0</f>
        <v>1606.5</v>
      </c>
      <c r="U70" s="3">
        <f>1684+(467.1-294.1)+(-0.85884+(-0.238221--0.149991))+0-250.2--0.127601999999975</f>
        <v>1605.980532</v>
      </c>
      <c r="V70" s="3">
        <f>1619.2+(418.8-262.5)+(-2.477376+(-0.640764--0.401625))+0-247.1--0.378063000000014</f>
        <v>1526.0615480000001</v>
      </c>
      <c r="W70" s="3">
        <f>1587.5+(252.4-266)+(-5.667375+(-0.901068--0.94962))+0-248.2--0.886074000000003</f>
        <v>1320.967251</v>
      </c>
      <c r="X70" s="3">
        <f>1589.8+(164-391.4)+(-4.05399+(-0.4182--0.99807))+0-248.7--0.634184999999964</f>
        <v>1110.8600649999998</v>
      </c>
      <c r="Y70" s="3">
        <f>1600.9+(175.5-484.4)+(-0.816459+(-0.089505--0.247044))+0-249--0.126989999999975</f>
        <v>1042.4680699999999</v>
      </c>
      <c r="Z70" s="3">
        <f>1719.2+(220.5-425.7)+(-0.876792+(-0.112455--0.217107))+0-249--0.126989999999975</f>
        <v>1264.3548499999999</v>
      </c>
      <c r="AA70" s="3">
        <f>1726.9+(240.1-307)+(-1.761438+(-0.244902--0.31314))+0-247.9--0.25285800000004</f>
        <v>1410.659658</v>
      </c>
      <c r="AB70" s="3">
        <f>1745.2+(269.8-297.8)+(-4.45026+(-0.68799--0.75939))+0-247.5--0.631124999999964</f>
        <v>1465.9522649999999</v>
      </c>
      <c r="AC70" s="3">
        <f>1848.6+(226.8-310.3)+(-3.771144+(-0.462672--0.633012))+0-247.9--0.505715999999989</f>
        <v>1514.1049119999998</v>
      </c>
      <c r="AD70">
        <f t="shared" si="1"/>
        <v>31948.586728000002</v>
      </c>
      <c r="AE70" s="3">
        <f>1724+(234-314)+(0+(0-0))+0-245.5-0</f>
        <v>1398.5</v>
      </c>
    </row>
    <row r="71" spans="1:31" s="2" customFormat="1" x14ac:dyDescent="0.25">
      <c r="A71">
        <v>89</v>
      </c>
      <c r="B71">
        <v>3</v>
      </c>
      <c r="C71">
        <v>9</v>
      </c>
      <c r="D71">
        <v>2</v>
      </c>
      <c r="E71">
        <v>1</v>
      </c>
      <c r="F71" s="3">
        <f>1905.2+(182.8-316)+(-2.914956+(-0.279684--0.48348))+0-249.4--0.381582000000014</f>
        <v>1520.2704219999998</v>
      </c>
      <c r="G71" s="3">
        <f>1908.5+(165.9-316.3)+(-1.94667+(-0.169218--0.322626))+0-249.7--0.25469400000004</f>
        <v>1506.8614319999999</v>
      </c>
      <c r="H71" s="3">
        <f>1911+(137-324.8)+(-0.97461+(-0.06987--0.165648))+0-248.2--0.126581999999975</f>
        <v>1474.2477499999998</v>
      </c>
      <c r="I71" s="3">
        <f>1907.8+(82.3-304.2)+(-3.891912+(-0.167892--0.620568))+0-248.7--0.507347999999989</f>
        <v>1434.2681120000002</v>
      </c>
      <c r="J71" s="3">
        <f>1909.3+(49.6-310.5)+(-0.973743+(-0.025296--0.158355))+0-248.9--0.126938999999975</f>
        <v>1398.786255</v>
      </c>
      <c r="K71" s="3">
        <f>1912.8+(24.6-383)+(-2.926584+(-0.037638--0.58599))+0-249.4--0.381582000000014</f>
        <v>1303.00335</v>
      </c>
      <c r="L71" s="3">
        <f>1912.1+(16.5-552)+(-3.900684+(-0.03366--1.12608))+0-249.5--0.508979999999989</f>
        <v>1124.800716</v>
      </c>
      <c r="M71" s="3">
        <f>1900.4+(25.2-597)+(0+(0-0))+0-249.1-0</f>
        <v>1079.5000000000002</v>
      </c>
      <c r="N71" s="3">
        <f>1883.8+(18.2-570)+(0.960738+(0.009282-0.2907))+0-248.6-0.126785999999975</f>
        <v>1083.952534</v>
      </c>
      <c r="O71" s="3">
        <f>1879.2+(45.2-572.4)+(-0.958392+(-0.023052--0.291924))+0-249.5--0.127244999999975</f>
        <v>1101.937725</v>
      </c>
      <c r="P71" s="3">
        <f>1871.1+(119.9-605.9)+(0.954261+(0.061149-0.309009))+0-247.7-0.126326999999975</f>
        <v>1137.9800739999998</v>
      </c>
      <c r="Q71" s="3">
        <f>1854.2+(189.9-554.3)+(0+(0-0))+0-246.8-0</f>
        <v>1243.0000000000002</v>
      </c>
      <c r="R71" s="3">
        <f>1847.7+(237.6-412.3)+(-1.884654+(-0.242352--0.420546))+0-246--0.250920000000039</f>
        <v>1425.5444599999998</v>
      </c>
      <c r="S71" s="3">
        <f>1849.7+(295.8-337.2)+(-1.886694+(-0.301716--0.343944))+0-246.4--0.251328000000039</f>
        <v>1560.3068620000001</v>
      </c>
      <c r="T71" s="3">
        <f>1848.2+(328.2-316.9)+(0+(0-0))+0-246.2-0</f>
        <v>1613.3</v>
      </c>
      <c r="U71" s="3">
        <f>1845.3+(339.1-314.6)+(0.941103+(0.172941-0.160446))+0-247-0.125969999999975</f>
        <v>1623.627628</v>
      </c>
      <c r="V71" s="3">
        <f>1786.9+(298-304.8)+(-2.733957+(-0.45594--0.466344))+0-246.2--0.376686000000014</f>
        <v>1531.5531330000001</v>
      </c>
      <c r="W71" s="3">
        <f>1778.1+(208.4-414)+(-2.720493+(-0.318852--0.63342))+0-246.3--0.376839000000014</f>
        <v>1324.170914</v>
      </c>
      <c r="X71" s="3">
        <f>1788.1+(133.9-561.7)+(-7.295448+(-0.546312--2.291736))+0-246.3--1.00490399999998</f>
        <v>1109.4548799999998</v>
      </c>
      <c r="Y71" s="3">
        <f>1801.2+(63.4-574.8)+(-0.918612+(-0.032334--0.293148))+0-246.4--0.125663999999975</f>
        <v>1042.867866</v>
      </c>
      <c r="Z71" s="3">
        <f>1871.4+(158.8-524.2)+(0+(0-0))+0-246.2-0</f>
        <v>1259.8</v>
      </c>
      <c r="AA71" s="3">
        <f>1894.2+(214.4-455.4)+(-2.898126+(-0.328032--0.696762))+0-245.8--0.376074000000014</f>
        <v>1405.2466780000002</v>
      </c>
      <c r="AB71" s="3">
        <f>1898.3+(209.2-374.7)+(-2.904399+(-0.320076--0.573291))+0-244.9--0.374697000000014</f>
        <v>1485.6235129999998</v>
      </c>
      <c r="AC71" s="3">
        <f>1901.9+(193.3-318.9)+(-4.849845+(-0.492915--0.813195))+0-243.5--0.620924999999965</f>
        <v>1528.8913600000001</v>
      </c>
      <c r="AD71">
        <f t="shared" si="1"/>
        <v>32318.995663999998</v>
      </c>
      <c r="AE71" s="3">
        <f>1890+(198.1-486.8)+(0+(0-0))+0-245-0</f>
        <v>1356.3</v>
      </c>
    </row>
    <row r="72" spans="1:31" s="2" customFormat="1" x14ac:dyDescent="0.25">
      <c r="A72">
        <v>89</v>
      </c>
      <c r="B72">
        <v>3</v>
      </c>
      <c r="C72">
        <v>10</v>
      </c>
      <c r="D72">
        <v>3</v>
      </c>
      <c r="E72">
        <v>1</v>
      </c>
      <c r="F72" s="3">
        <f>1907.2+(174.1-291.4)+(-0.972672+(-0.088791--0.148614))+0-243.2--0.124031999999975</f>
        <v>1545.9111829999999</v>
      </c>
      <c r="G72" s="3">
        <f>1907.6+(160.9-298.3)+(-1.945752+(-0.164118--0.304266))+0-244.3--0.249186000000039</f>
        <v>1524.343582</v>
      </c>
      <c r="H72" s="3">
        <f>1908+(145.9-316.1)+(0+(0-0))+0-244.4-0</f>
        <v>1493.3999999999999</v>
      </c>
      <c r="I72" s="3">
        <f>1908.5+(123.9-328.5)+(-2.920005+(-0.189567--0.502605))+0-243.8--0.373014000000014</f>
        <v>1457.8660470000002</v>
      </c>
      <c r="J72" s="3">
        <f>1910.3+(99.8-347.1)+(-2.922759+(-0.152694--0.531063))+0-243.8--0.373014000000014</f>
        <v>1417.028624</v>
      </c>
      <c r="K72" s="3">
        <f>1911.8+(40.3-389.4)+(-1.950036+(-0.041106--0.397188))+0-243.6--0.248472000000039</f>
        <v>1317.7545180000002</v>
      </c>
      <c r="L72" s="3">
        <f>1913.8+(0-550.5)+(0+(0-0))+0-242.9-0</f>
        <v>1120.3999999999999</v>
      </c>
      <c r="M72" s="3">
        <f>1911.9+(12.3-618.4)+(0.975069+(0.006273-0.315384))+0-243.2-0.124031999999975</f>
        <v>1063.1419260000002</v>
      </c>
      <c r="N72" s="3">
        <f>1823.9+(80.4-581.6)+(1.860378+(0.082008-0.593232))+0-243.3-0.248166000000039</f>
        <v>1080.500988</v>
      </c>
      <c r="O72" s="3">
        <f>1782.5+(100.3-545.8)+(0+(0-0))+0-243.9-0</f>
        <v>1093.0999999999999</v>
      </c>
      <c r="P72" s="3">
        <f>1773.2+(123.5-524.3)+(0.904332+(0.062985-0.267393))+0-246.1-0.125510999999975</f>
        <v>1126.8744130000002</v>
      </c>
      <c r="Q72" s="3">
        <f>1773+(174.4-457.3)+(0.90423+(0.088944-0.233223))+0-245.1-0.125000999999975</f>
        <v>1245.6349500000001</v>
      </c>
      <c r="R72" s="3">
        <f>1772+(236.7-348.8)+(-1.80744+(-0.241434--0.355776))+0-244.8--0.249696000000039</f>
        <v>1413.6565980000003</v>
      </c>
      <c r="S72" s="3">
        <f>1752.8+(354.3-317.6)+(-1.787856+(-0.361386--0.323952))+0-244.9--0.249798000000039</f>
        <v>1543.024508</v>
      </c>
      <c r="T72" s="3">
        <f>1750+(411.9-305.1)+(-0.8925+(-0.210069--0.155601))+0-244.3--0.124592999999975</f>
        <v>1611.677625</v>
      </c>
      <c r="U72" s="3">
        <f>1747.3+(415.4-300.3)+(-1.782246+(-0.423708--0.306306))+0-246--0.250920000000039</f>
        <v>1614.7512719999997</v>
      </c>
      <c r="V72" s="3">
        <f>1746.5+(315.4-299.9)+(-3.56286+(-0.643416--0.611796))+0-247.3--0.504491999999989</f>
        <v>1511.6100120000001</v>
      </c>
      <c r="W72" s="3">
        <f>1745.7+(173.9-378.3)+(-5.341842+(-0.532134--1.157598))+0-248--0.758880000000029</f>
        <v>1289.342502</v>
      </c>
      <c r="X72" s="3">
        <f>1792.3+(46.7-515.7)+(-4.570365+(-0.119085--1.315035))+0-248.3--0.633164999999964</f>
        <v>1072.25875</v>
      </c>
      <c r="Y72" s="3">
        <f>1724.5+(77.8-527.5)+(-1.75899+(-0.079356--0.53805))+0-247.6--0.252552000000039</f>
        <v>1026.1522560000003</v>
      </c>
      <c r="Z72" s="3">
        <f>1760.4+(187.7-455.4)+(-1.795608+(-0.191454--0.464508))+0-248.4--0.25336800000004</f>
        <v>1243.0308140000002</v>
      </c>
      <c r="AA72" s="3">
        <f>1792.1+(221.4-370.1)+(-0.913971+(-0.112914--0.188751))+0-247.8--0.126377999999975</f>
        <v>1394.8882439999998</v>
      </c>
      <c r="AB72" s="3">
        <f>1799.6+(231.9-310.2)+(-1.835592+(-0.236538--0.316404))+0-247.7--0.252654000000039</f>
        <v>1472.0969279999999</v>
      </c>
      <c r="AC72" s="3">
        <f>1811.1+(247.2-287.1)+(-2.770983+(-0.378216--0.439263))+0-246.3--0.376839000000014</f>
        <v>1522.5669029999999</v>
      </c>
      <c r="AD72">
        <f t="shared" si="1"/>
        <v>32201.012643000002</v>
      </c>
      <c r="AE72" s="3">
        <f>1794+(198-357.4)+(0+(0-0))+0-247.3-0</f>
        <v>1387.3</v>
      </c>
    </row>
    <row r="73" spans="1:31" s="2" customFormat="1" x14ac:dyDescent="0.25">
      <c r="A73">
        <v>89</v>
      </c>
      <c r="B73">
        <v>3</v>
      </c>
      <c r="C73">
        <v>11</v>
      </c>
      <c r="D73">
        <v>4</v>
      </c>
      <c r="E73">
        <v>1</v>
      </c>
      <c r="F73" s="3">
        <f>1839.7+(207.6-289.8)+(-4.691235+(-0.52938--0.73899))+0-243.2--0.620159999999965</f>
        <v>1510.438535</v>
      </c>
      <c r="G73" s="3">
        <f>1845.8+(180.7-284.3)+(-2.824074+(-0.276471--0.434979))+0-243.8--0.373014000000014</f>
        <v>1496.107448</v>
      </c>
      <c r="H73" s="3">
        <f>1850.3+(129.1-273)+(-2.830959+(-0.197523--0.41769))+0-244.4--0.373932000000014</f>
        <v>1459.7631399999998</v>
      </c>
      <c r="I73" s="3">
        <f>1849.5+(131.9-321.5)+(0+(0-0))+0-243.5-0</f>
        <v>1416.4</v>
      </c>
      <c r="J73" s="3">
        <f>1852+(94.7-314.9)+(0.94452+(0.048297-0.160599))+0-246.2-0.125561999999975</f>
        <v>1386.306656</v>
      </c>
      <c r="K73" s="3">
        <f>1852.9+(38.6-348.7)+(-5.669874+(-0.118116--1.067022))+0-246.3--0.753678000000028</f>
        <v>1292.5327100000002</v>
      </c>
      <c r="L73" s="3">
        <f>1852.5+(0-491.2)+(-0.944775+(0--0.250512))+0-245.6--0.125255999999975</f>
        <v>1115.130993</v>
      </c>
      <c r="M73" s="3">
        <f>1830.6+(52.5-571.1)+(-3.734424+(-0.1071--1.165044))+0-244.6--0.498983999999989</f>
        <v>1065.2225040000001</v>
      </c>
      <c r="N73" s="3">
        <f>1798.1+(61.8-542.3)+(0.917031+(0.031518-0.276573))+0-246.2-0.125561999999975</f>
        <v>1071.946414</v>
      </c>
      <c r="O73" s="3">
        <f>1734.9+(117.1-525.7)+(0.884799+(0.059721-0.268107))+0-248.2-0.126581999999975</f>
        <v>1078.6498310000002</v>
      </c>
      <c r="P73" s="3">
        <f>1735.6+(154.3-516.4)+(-1.770312+(-0.157386--0.526728))+0-246.7--0.251634000000039</f>
        <v>1125.650664</v>
      </c>
      <c r="Q73" s="3">
        <f>1726.1+(190.5-440.4)+(-0.880311+(-0.097155--0.224604))+0-247.5--0.126224999999975</f>
        <v>1228.0733629999997</v>
      </c>
      <c r="R73" s="3">
        <f>1720.5+(269.5-350.8)+(0.877455+(0.137445-0.178908))+0-246.8-0.125867999999975</f>
        <v>1393.110124</v>
      </c>
      <c r="S73" s="3">
        <f>1716.8+(398.3-319.9)+(-0.875568+(-0.203133--0.163149))+0-246.5--0.125714999999975</f>
        <v>1547.910163</v>
      </c>
      <c r="T73" s="3">
        <f>1746.9+(412.4-301.1)+(1.781838+(0.420648-0.307122))+0-246.6-0.251532000000039</f>
        <v>1613.2438320000001</v>
      </c>
      <c r="U73" s="3">
        <f>1766.1+(377.5-293.3)+(-2.702133+(-0.577575--0.448749))+0-248.3--0.379899000000014</f>
        <v>1599.5489400000001</v>
      </c>
      <c r="V73" s="3">
        <f>1848.7+(223.2-311.2)+(-1.885674+(-0.227664--0.317424))+0-247.1--0.252042000000039</f>
        <v>1512.0561280000002</v>
      </c>
      <c r="W73" s="3">
        <f>1857.3+(143.2-441.5)+(-4.736115+(-0.36516--1.125825))+0-247.4--0.630869999999964</f>
        <v>1308.25542</v>
      </c>
      <c r="X73" s="3">
        <f>1865.7+(44.5-558.7)+(-4.757535+(-0.113475--1.424685))+0-246--0.627299999999964</f>
        <v>1102.680975</v>
      </c>
      <c r="Y73" s="3">
        <f>1878+(29.7-593.6)+(-0.95778+(-0.015147--0.302736))+0-248.2--0.126581999999975</f>
        <v>1065.3563909999998</v>
      </c>
      <c r="Z73" s="3">
        <f>1888.3+(171-494.4)+(-1.926066+(-0.17442--0.504288))+0-247.3--0.252246000000039</f>
        <v>1316.2560480000002</v>
      </c>
      <c r="AA73" s="3">
        <f>1891.2+(217.9-395.4)+(-0.964512+(-0.111129--0.201654))+0-247.9--0.126428999999975</f>
        <v>1465.0524419999999</v>
      </c>
      <c r="AB73" s="3">
        <f>1894.6+(225.2-345)+(-0.966246+(-0.114852--0.17595))+0-246--0.125459999999975</f>
        <v>1528.0203119999999</v>
      </c>
      <c r="AC73" s="3">
        <f>1900.3+(231.7-316.2)+(-3.876612+(-0.472668--0.645048))+0-246.4--0.502655999999989</f>
        <v>1566.1984239999997</v>
      </c>
      <c r="AD73">
        <f t="shared" si="1"/>
        <v>32263.911457000002</v>
      </c>
      <c r="AE73" s="3">
        <f>1885+(189-402.7)+(0+(0-0))+0-247.3-0</f>
        <v>1424</v>
      </c>
    </row>
    <row r="74" spans="1:31" s="2" customFormat="1" x14ac:dyDescent="0.25">
      <c r="A74">
        <v>89</v>
      </c>
      <c r="B74">
        <v>3</v>
      </c>
      <c r="C74">
        <v>12</v>
      </c>
      <c r="D74">
        <v>5</v>
      </c>
      <c r="E74">
        <v>1</v>
      </c>
      <c r="F74" s="3">
        <f>1902.1+(228.1-310.6)+(-0.970071+(-0.116331--0.158406))+0-246--0.125459999999975</f>
        <v>1572.797464</v>
      </c>
      <c r="G74" s="3">
        <f>1916+(200.5-302.7)+(-1.95432+(-0.20451--0.308754))+0-245.7--0.250614000000039</f>
        <v>1566.500538</v>
      </c>
      <c r="H74" s="3">
        <f>1903.8+(185.9-309.6)+(-0.970938+(-0.094809--0.157896))+0-245.4--0.125153999999975</f>
        <v>1533.9173029999999</v>
      </c>
      <c r="I74" s="3">
        <f>1905.5+(163.2-319.5)+(-3.88722+(-0.332928--0.65178))+0-244.8--0.499391999999989</f>
        <v>1501.3310240000001</v>
      </c>
      <c r="J74" s="3">
        <f>1904.7+(147.7-338.7)+(0.971397+(0.075327-0.172737))+0-244.5-0.124694999999975</f>
        <v>1469.949292</v>
      </c>
      <c r="K74" s="3">
        <f>1902.2+(106.8-398.6)+(-3.880488+(-0.217872--0.813144))+0-244.6--0.498983999999989</f>
        <v>1363.0137680000003</v>
      </c>
      <c r="L74" s="3">
        <f>1901.7+(0-471)+(-3.879468+(0--0.96084))+0-243.4--0.496535999999989</f>
        <v>1184.8779079999999</v>
      </c>
      <c r="M74" s="3">
        <f>1897.5+(20.3-547.9)+(0.967725+(0.010353-0.279429))+0-244.1-0.124490999999975</f>
        <v>1126.3741580000001</v>
      </c>
      <c r="N74" s="3">
        <f>1890.5+(35.3-555.7)+(-2.892465+(-0.054009--0.850221))+0-245.1--0.375003000000014</f>
        <v>1123.2787500000002</v>
      </c>
      <c r="O74" s="3">
        <f>1882.3+(67.3-574.1)+(-1.919946+(-0.068646--0.585582))+0-246.6--0.251532000000039</f>
        <v>1127.7485220000001</v>
      </c>
      <c r="P74" s="3">
        <f>1876.1+(137.8-597.3)+(0+(0-0))+0-247.8-0</f>
        <v>1168.8</v>
      </c>
      <c r="Q74" s="3">
        <f>1869.3+(153.6-604.8)+(0.953343+(0.078336-0.308448))+0-247.2-0.126071999999975</f>
        <v>1171.4971589999998</v>
      </c>
      <c r="R74" s="3">
        <f>1864.2+(230.8-429.6)+(1.901484+(0.235416-0.438192))+0-248.3-0.25326600000004</f>
        <v>1418.5454420000001</v>
      </c>
      <c r="S74" s="3">
        <f>1860.2+(284-366.4)+(-0.948702+(-0.14484--0.186864))+0-248.7--0.126836999999975</f>
        <v>1528.3201590000001</v>
      </c>
      <c r="T74" s="3">
        <f>1862.2+(296-332.3)+(-2.849166+(-0.45288--0.508419))+0-248.3--0.379899000000014</f>
        <v>1575.1862720000001</v>
      </c>
      <c r="U74" s="3">
        <f>1855.3+(267.8-310.3)+(0+(0-0))+0-247-0</f>
        <v>1565.8</v>
      </c>
      <c r="V74" s="3">
        <f>1849.3+(185.6-351)+(-0.943143+(-0.094656--0.17901))+0-247.4--0.126173999999975</f>
        <v>1435.7673849999999</v>
      </c>
      <c r="W74" s="3">
        <f>1855.6+(126.4-479.2)+(-1.892712+(-0.128928--0.488784))+0-246.8--0.251736000000039</f>
        <v>1254.7188799999999</v>
      </c>
      <c r="X74" s="3">
        <f>1867.2+(37.9-608.3)+(-2.856816+(-0.057987--0.930699))+0-248.2--0.379746000000014</f>
        <v>1046.9956420000003</v>
      </c>
      <c r="Y74" s="3">
        <f>1880.5+(28.5-623.5)+(0+(0-0))+0-247.7-0</f>
        <v>1037.8</v>
      </c>
      <c r="Z74" s="3">
        <f>1773.5+(176.3-426)+(0+(0-0))+0-247.6-0</f>
        <v>1276.2</v>
      </c>
      <c r="AA74" s="3">
        <f>1641.1+(264.2-262.1)+(-1.673922+(-0.269484--0.267342))+0-247.3--0.252246000000039</f>
        <v>1394.4761819999999</v>
      </c>
      <c r="AB74" s="3">
        <f>1639+(311.7-254.3)+(-1.67178+(-0.317934--0.259386))+0-245.4--0.250308000000039</f>
        <v>1449.51998</v>
      </c>
      <c r="AC74" s="3">
        <f>1619.3+(371.2-243.5)+(-2.477529+(-0.567936--0.372555))+0-246.9--0.377757000000014</f>
        <v>1497.8048469999999</v>
      </c>
      <c r="AD74">
        <f t="shared" si="1"/>
        <v>32391.220674999997</v>
      </c>
      <c r="AE74" s="3">
        <f>1639+(267.7-262.8)+(0+(0-0))+0-244.3-0</f>
        <v>1399.6000000000001</v>
      </c>
    </row>
    <row r="75" spans="1:31" s="2" customFormat="1" x14ac:dyDescent="0.25">
      <c r="A75">
        <v>89</v>
      </c>
      <c r="B75">
        <v>3</v>
      </c>
      <c r="C75">
        <v>13</v>
      </c>
      <c r="D75">
        <v>6</v>
      </c>
      <c r="E75">
        <v>1</v>
      </c>
      <c r="F75" s="3">
        <f>1451.2+(551.5-231.4)+(0+(0-0))+0-247.5-0</f>
        <v>1523.8000000000002</v>
      </c>
      <c r="G75" s="3">
        <f>1406.4+(572.2-217.9)+(-0.717264+(-0.291822--0.111129))+0-248.1--0.126530999999975</f>
        <v>1511.8285740000003</v>
      </c>
      <c r="H75" s="3">
        <f>1405.2+(532-208.7)+(-1.433304+(-0.54264--0.212874))+0-247.7--0.252654000000039</f>
        <v>1479.2895840000001</v>
      </c>
      <c r="I75" s="3">
        <f>1441.3+(466.9-208)+(-1.470126+(-0.476238--0.21216))+0-249.6--0.25459200000004</f>
        <v>1449.1203879999998</v>
      </c>
      <c r="J75" s="3">
        <f>1591.3+(301.6-214.6)+(-1.623126+(-0.307632--0.218892))+0-247.4--0.252348000000039</f>
        <v>1429.4404819999997</v>
      </c>
      <c r="K75" s="3">
        <f>1647.1+(133.9-201.5)+(-1.680042+(-0.136578--0.20553))+0-246.2--0.251124000000039</f>
        <v>1331.940034</v>
      </c>
      <c r="L75" s="3">
        <f>1638.6+(48.7-289.9)+(-0.835686+(-0.024837--0.147849))+0-246.4--0.125663999999975</f>
        <v>1150.4129899999996</v>
      </c>
      <c r="M75" s="3">
        <f>1641.8+(57.7-352.4)+(0+(0-0))+0-244.5-0</f>
        <v>1102.5999999999999</v>
      </c>
      <c r="N75" s="3">
        <f>1638.4+(76.8-358.7)+(1.671168+(0.078336-0.365874))+0-245.8-0.250716000000039</f>
        <v>1111.8329140000001</v>
      </c>
      <c r="O75" s="3">
        <f>1624.8+(124.4-404.2)+(-0.828648+(-0.063444--0.206142))+0-248.4--0.126683999999975</f>
        <v>1096.0407339999999</v>
      </c>
      <c r="P75" s="3">
        <f>1615.1+(164.1-395.5)+(0+(0-0))+0-246.7-0</f>
        <v>1136.9999999999998</v>
      </c>
      <c r="Q75" s="3">
        <f>1612.1+(225.4-347.8)+(1.644342+(0.229908-0.354756))+0-246-0.250920000000039</f>
        <v>1244.9685739999998</v>
      </c>
      <c r="R75" s="3">
        <f>1604.7+(358.3-302.1)+(0+(0-0))+0-245.8-0</f>
        <v>1415.1000000000001</v>
      </c>
      <c r="S75" s="3">
        <f>1596.8+(474-292.5)+(-1.628736+(-0.48348--0.29835))+0-244.6--0.249492000000039</f>
        <v>1532.1356260000002</v>
      </c>
      <c r="T75" s="3">
        <f>1593.9+(513.6-288.3)+(-1.625778+(-0.523872--0.294066))+0-244.8--0.249696000000039</f>
        <v>1572.7941120000003</v>
      </c>
      <c r="U75" s="3">
        <f>1596+(487.7-272.4)+(-0.81396+(-0.248727--0.138924))+0-243.8--0.124337999999975</f>
        <v>1566.7005750000001</v>
      </c>
      <c r="V75" s="3">
        <f>1597.7+(385.2-267.2)+(-4.074135+(-0.98226--0.68136))+0-243.7--0.621434999999965</f>
        <v>1468.2464</v>
      </c>
      <c r="W75" s="3">
        <f>1441.8+(276.7-218.5)+(-3.67659+(-0.705585--0.557175))+0-244.2--0.622709999999965</f>
        <v>1252.5977099999998</v>
      </c>
      <c r="X75" s="3">
        <f>1440.2+(143.3-278)+(-2.938008+(-0.292332--0.56712))+0-243.7--0.497147999999989</f>
        <v>1059.633928</v>
      </c>
      <c r="Y75" s="3">
        <f>1482.9+(107.4-350.4)+(0+(0-0))+0-244.7-0</f>
        <v>995.2</v>
      </c>
      <c r="Z75" s="3">
        <f>1610.1+(209.1-343.2)+(-2.463453+(-0.319923--0.525096))+0-243.8--0.373014000000014</f>
        <v>1230.314734</v>
      </c>
      <c r="AA75" s="3">
        <f>1622+(267.2-281.8)+(-2.48166+(-0.408816--0.431154))+0-244--0.373320000000014</f>
        <v>1361.3139980000001</v>
      </c>
      <c r="AB75" s="3">
        <f>1623.3+(314.1-271)+(-0.827883+(-0.160191--0.13821))+0-242.5--0.123674999999975</f>
        <v>1423.1738110000001</v>
      </c>
      <c r="AC75" s="3">
        <f>1627.3+(350.4-252.1)+(-2.489769+(-0.536112--0.385713))+0-241.7--0.369801000000014</f>
        <v>1481.629633</v>
      </c>
      <c r="AD75">
        <f t="shared" si="1"/>
        <v>31927.114800999996</v>
      </c>
      <c r="AE75" s="3">
        <f>1618+(251-285)+(0+(0-0))+0-242-0</f>
        <v>1342</v>
      </c>
    </row>
    <row r="76" spans="1:31" s="2" customFormat="1" x14ac:dyDescent="0.25">
      <c r="A76">
        <v>89</v>
      </c>
      <c r="B76">
        <v>3</v>
      </c>
      <c r="C76">
        <v>14</v>
      </c>
      <c r="D76">
        <v>7</v>
      </c>
      <c r="E76">
        <v>4</v>
      </c>
      <c r="F76" s="3">
        <f>1628+(342-242.8)+(0+(0-0))+0-242.6-0</f>
        <v>1484.6000000000001</v>
      </c>
      <c r="G76" s="3">
        <f>1626.1+(326.9-245.7)+(-0.829311+(-0.166719--0.125307))+0-243.1--0.123980999999975</f>
        <v>1463.453258</v>
      </c>
      <c r="H76" s="3">
        <f>1630.6+(304.4-235.6)+(1.663212+(0.310488-0.240312))+0-244.1-0.248982000000039</f>
        <v>1456.784406</v>
      </c>
      <c r="I76" s="3">
        <f>1614+(286-237.9)+(-1.64628+(-0.29172--0.242658))+0-243.8--0.248676000000039</f>
        <v>1416.8533339999999</v>
      </c>
      <c r="J76" s="3">
        <f>1616.6+(245.1-226.7)+(0+(0-0))+0-243.9-0</f>
        <v>1391.1</v>
      </c>
      <c r="K76" s="3">
        <f>1618+(175.6-235.7)+(0+(0-0))+0-244.9-0</f>
        <v>1313</v>
      </c>
      <c r="L76" s="3">
        <f>1619.5+(117.8-318.2)+(0+(0-0))+0-244.2-0</f>
        <v>1174.8999999999999</v>
      </c>
      <c r="M76" s="3">
        <f>1614.9+(106.3-372.6)+(-2.470797+(-0.162639--0.570078))+0-242.2--0.370566000000014</f>
        <v>1104.707208</v>
      </c>
      <c r="N76" s="3">
        <f>1604+(100.5-399)+(-1.63608+(-0.10251--0.40698))+0-242.4--0.247248000000039</f>
        <v>1062.0156380000001</v>
      </c>
      <c r="O76" s="3">
        <f>1596.5+(134.8-453.6)+(-0.814215+(-0.068748--0.231336))+0-243.4--0.124133999999975</f>
        <v>1033.7725069999999</v>
      </c>
      <c r="P76" s="3">
        <f>1587.7+(172-461.9)+(0.809727+(0.08772-0.235569))+0-245.3-0.125102999999975</f>
        <v>1053.036775</v>
      </c>
      <c r="Q76" s="3">
        <f>1582.7+(196.3-378.3)+(0+(0-0))+0-245.5-0</f>
        <v>1155.2</v>
      </c>
      <c r="R76" s="3">
        <f>1582.7+(239.6-269)+(-1.614354+(-0.244392--0.27438))+0-244.9--0.249798000000039</f>
        <v>1307.0654319999999</v>
      </c>
      <c r="S76" s="3">
        <f>1568.5+(299.7-219.2)+(-1.59987+(-0.305694--0.223584))+0-244.1--0.248982000000039</f>
        <v>1403.4670020000001</v>
      </c>
      <c r="T76" s="3">
        <f>1572+(352.8-201.6)+(-1.60344+(-0.359856--0.205632))+0-243.1--0.247962000000039</f>
        <v>1478.5902980000003</v>
      </c>
      <c r="U76" s="3">
        <f>1578.4+(351.5-197)+(-1.609968+(-0.35853--0.20094))+0-243.7--0.248574000000039</f>
        <v>1487.681016</v>
      </c>
      <c r="V76" s="3">
        <f>1573.8+(255.1-200)+(-1.605276+(-0.260202--0.204))+0-243.2--0.248064000000039</f>
        <v>1384.2865859999999</v>
      </c>
      <c r="W76" s="3">
        <f>1579.6+(182.7-292.1)+(-2.416788+(-0.279531--0.446913))+0-244.1--0.373473000000014</f>
        <v>1224.2240670000001</v>
      </c>
      <c r="X76" s="3">
        <f>1596.4+(93.5-427.4)+(-1.628328+(-0.09537--0.435948))+0-243.5--0.248370000000039</f>
        <v>1017.9606200000001</v>
      </c>
      <c r="Y76" s="3">
        <f>1607.6+(54.7-461.7)+(-0.819876+(-0.027897--0.235467))+0-244.3--0.124592999999975</f>
        <v>955.81228699999997</v>
      </c>
      <c r="Z76" s="3">
        <f>1604.7+(185.4-379.1)+(-0.818397+(-0.094554--0.193341))+0-242.9--0.123878999999975</f>
        <v>1167.5042689999998</v>
      </c>
      <c r="AA76" s="3">
        <f>1618.6+(236.6-272.2)+(-0.825486+(-0.120666--0.138822))+0-243.6--0.124235999999975</f>
        <v>1338.7169059999999</v>
      </c>
      <c r="AB76" s="3">
        <f>1622.8+(275-234.2)+(-2.482884+(-0.42075--0.358326))+0-243.6--0.372708000000014</f>
        <v>1417.8274000000001</v>
      </c>
      <c r="AC76" s="3">
        <f>1623.8+(314.1-204.9)+(-1.656276+(-0.320382--0.208998))+0-241.8--0.246636000000039</f>
        <v>1489.6789760000001</v>
      </c>
      <c r="AD76">
        <f t="shared" si="1"/>
        <v>30782.237985000003</v>
      </c>
      <c r="AE76" s="3">
        <f>1619+(243-256.5)+(0+(0-0))+0-252.7-0</f>
        <v>1352.8</v>
      </c>
    </row>
    <row r="77" spans="1:31" s="2" customFormat="1" x14ac:dyDescent="0.25">
      <c r="A77">
        <v>89</v>
      </c>
      <c r="B77">
        <v>3</v>
      </c>
      <c r="C77">
        <v>15</v>
      </c>
      <c r="D77">
        <v>1</v>
      </c>
      <c r="E77">
        <v>4</v>
      </c>
      <c r="F77" s="3">
        <f>1664.1+(275.7-219.2)+(-2.546073+(-0.421821--0.335376))+0-242.3--0.370719000000014</f>
        <v>1476.0382010000001</v>
      </c>
      <c r="G77" s="3">
        <f>1719.8+(198.7-201.6)+(0+(0-0))+0-243.1-0</f>
        <v>1473.8</v>
      </c>
      <c r="H77" s="3">
        <f>1728.8+(164.5-198)+(1.763376+(0.16779-0.20196))+0-244.3-0.249186000000039</f>
        <v>1452.48002</v>
      </c>
      <c r="I77" s="3">
        <f>1735.4+(158.2-234.9)+(-1.770108+(-0.161364--0.239598))+0-244.1--0.248982000000039</f>
        <v>1413.1571080000001</v>
      </c>
      <c r="J77" s="3">
        <f>1735.9+(151.2-252.2)+(0+(0-0))+0-244.5-0</f>
        <v>1390.4</v>
      </c>
      <c r="K77" s="3">
        <f>1736.4+(124.2-317.4)+(-3.542256+(-0.253368--0.647496))+0-243.6--0.496943999999989</f>
        <v>1296.9488160000001</v>
      </c>
      <c r="L77" s="3">
        <f>1760.3+(37.9-403.9)+(-1.795506+(-0.038658--0.411978))+0-243.2--0.248064000000039</f>
        <v>1149.925878</v>
      </c>
      <c r="M77" s="3">
        <f>1847.3+(0-507.4)+(0+(0-0))+0-245-0</f>
        <v>1094.9000000000001</v>
      </c>
      <c r="N77" s="3">
        <f>1899.9+(0-594.1)+(0.968949+(0-0.302991))+0-242.9-0.123878999999975</f>
        <v>1063.4420790000001</v>
      </c>
      <c r="O77" s="3">
        <f>1892.2+(47-645.4)+(0.965022+(0.02397-0.329154))+0-243.3-0.124082999999975</f>
        <v>1051.0357550000003</v>
      </c>
      <c r="P77" s="3">
        <f>1879.7+(104.9-656.8)+(2.875941+(0.160497-1.004904))+0-244.2-0.373626000000014</f>
        <v>1085.257908</v>
      </c>
      <c r="Q77" s="3">
        <f>1862.2+(140.7-582.1)+(1.899444+(0.143514-0.593742))+0-243.3-0.248166000000039</f>
        <v>1178.7010499999999</v>
      </c>
      <c r="R77" s="3">
        <f>1859.4+(169.3-437.1)+(0+(0-0))+0-242.3-0</f>
        <v>1349.3000000000002</v>
      </c>
      <c r="S77" s="3">
        <f>1852.9+(199.6-308.4)+(-0.944979+(-0.101796--0.157284))+0-242.2--0.123521999999975</f>
        <v>1501.134031</v>
      </c>
      <c r="T77" s="3">
        <f>1852.1+(236.2-282.2)+(0+(0-0))+0-242.3-0</f>
        <v>1563.8</v>
      </c>
      <c r="U77" s="3">
        <f>1864.5+(239.7-300.3)+(-1.90179+(-0.244494--0.306306))+0-242.6--0.247452000000039</f>
        <v>1559.7074740000003</v>
      </c>
      <c r="V77" s="3">
        <f>1858.5+(191.3-412.8)+(-0.947835+(-0.097563--0.210528))+0-137.3--0.0700229999999861</f>
        <v>1498.9351530000001</v>
      </c>
      <c r="W77" s="3">
        <f>1845.2+(169.8-476.5)+(-4.70526+(-0.43299--1.215075))+0-243--0.619649999999965</f>
        <v>1292.196475</v>
      </c>
      <c r="X77" s="3">
        <f>1852.2+(94.2-615)+(-2.833866+(-0.144126--0.94095))+0-246--0.376380000000014</f>
        <v>1083.7393380000001</v>
      </c>
      <c r="Y77" s="3">
        <f>1864.1+(6.1-606.8)+(-5.704146+(-0.018666--1.856808))+0-247.2--0.756432000000029</f>
        <v>1013.0904280000001</v>
      </c>
      <c r="Z77" s="3">
        <f>1869.4+(106.8-483.3)+(-0.953394+(-0.054468--0.246483))+0-245.7--0.125306999999975</f>
        <v>1246.563928</v>
      </c>
      <c r="AA77" s="3">
        <f>1884+(144.5-362)+(-4.8042+(-0.368475--0.9231))+0-246.3--0.628064999999964</f>
        <v>1416.5784899999999</v>
      </c>
      <c r="AB77" s="3">
        <f>1899.7+(149-295.5)+(-1.937694+(-0.15198--0.30141))+0-245.9--0.250818000000039</f>
        <v>1505.7625539999999</v>
      </c>
      <c r="AC77" s="3">
        <f>1904.5+(129.6-236)+(-3.88518+(-0.264384--0.48144))+0-244.5--0.498779999999989</f>
        <v>1550.4306559999998</v>
      </c>
      <c r="AD77">
        <f t="shared" si="1"/>
        <v>31707.325342</v>
      </c>
      <c r="AE77" s="3">
        <f>1878+(141-395.4)+(0+(0-0))+0-246.7-0</f>
        <v>1376.8999999999999</v>
      </c>
    </row>
    <row r="78" spans="1:31" s="2" customFormat="1" x14ac:dyDescent="0.25">
      <c r="A78">
        <v>89</v>
      </c>
      <c r="B78">
        <v>3</v>
      </c>
      <c r="C78">
        <v>16</v>
      </c>
      <c r="D78">
        <v>2</v>
      </c>
      <c r="E78">
        <v>1</v>
      </c>
      <c r="F78" s="3">
        <f>1917.3+(117.1-245.4)+(-4.889115+(-0.298605--0.62577))+0-245.2--0.625259999999964</f>
        <v>1539.86331</v>
      </c>
      <c r="G78" s="3">
        <f>1911+(113.7-272.1)+(-2.92383+(-0.173961--0.416313))+0-246.6--0.377298000000014</f>
        <v>1503.6958200000001</v>
      </c>
      <c r="H78" s="3">
        <f>1909.9+(79.3-268.7)+(0.974049+(0.040443-0.137037))+0-245.7-0.125306999999975</f>
        <v>1475.552148</v>
      </c>
      <c r="I78" s="3">
        <f>1913.9+(62.9-280.3)+(-4.880445+(-0.160395--0.714765))+0-245.3--0.625514999999964</f>
        <v>1447.49944</v>
      </c>
      <c r="J78" s="3">
        <f>1916.2+(30.1-283.3)+(0+(0-0))+0-245.5-0</f>
        <v>1417.5</v>
      </c>
      <c r="K78" s="3">
        <f>1913.9+(0-358.1)+(-4.880445+(0--0.913155))+0-244.8--0.624239999999964</f>
        <v>1307.6569500000001</v>
      </c>
      <c r="L78" s="3">
        <f>1912.1+(0-512.9)+(0.975171+(0-0.261579))+0-243-0.123929999999975</f>
        <v>1156.7896619999999</v>
      </c>
      <c r="M78" s="3">
        <f>1909.6+(0-582.8)+(-0.973896+(0--0.297228))+0-243.3--0.124082999999975</f>
        <v>1082.9474149999999</v>
      </c>
      <c r="N78" s="3">
        <f>1896.1+(0-565.1)+(0+(0-0))+0-244-0</f>
        <v>1087</v>
      </c>
      <c r="O78" s="3">
        <f>1889.5+(0-535.5)+(0.963645+(0-0.273105))+0-244.1-0.124490999999975</f>
        <v>1110.4660490000001</v>
      </c>
      <c r="P78" s="3">
        <f>1880.6+(43.3-531.3)+(0+(0-0))+0-245-0</f>
        <v>1147.5999999999999</v>
      </c>
      <c r="Q78" s="3">
        <f>1867.7+(89.1-468.4)+(0.952527+(0.045441-0.238884))+0-246-0.125459999999975</f>
        <v>1243.0336240000001</v>
      </c>
      <c r="R78" s="3">
        <f>1874.5+(157.8-345.4)+(-0.955995+(-0.080478--0.176154))+0-245.4--0.125153999999975</f>
        <v>1440.7648350000002</v>
      </c>
      <c r="S78" s="3">
        <f>1875.8+(210.5-263.9)+(-1.913316+(-0.21471--0.269178))+0-244.6--0.249492000000039</f>
        <v>1576.1906440000002</v>
      </c>
      <c r="T78" s="3">
        <f>1880.2+(239.8-247)+(-1.917804+(-0.244596--0.25194))+0-243--0.247860000000039</f>
        <v>1628.3373999999999</v>
      </c>
      <c r="U78" s="3">
        <f>1887+(229.3-242.8)+(-1.92474+(-0.233886--0.247656))+0-244.1--0.248982000000039</f>
        <v>1627.7380120000003</v>
      </c>
      <c r="V78" s="3">
        <f>1881.6+(154.4-250.9)+(-3.838464+(-0.314976--0.511836))+0-244.3--0.498371999999989</f>
        <v>1537.6567680000001</v>
      </c>
      <c r="W78" s="3">
        <f>1873.1+(62.7-356.3)+(-4.776405+(-0.159885--0.908565))+0-244.1--0.622454999999965</f>
        <v>1331.9947300000001</v>
      </c>
      <c r="X78" s="3">
        <f>1875.2+(0-506.7)+(-5.738112+(0--1.550502))+0-244.4--0.747864000000028</f>
        <v>1120.6602539999999</v>
      </c>
      <c r="Y78" s="3">
        <f>1878.6+(0-572.5)+(-3.832344+(0--1.1679))+0-245.2--0.500207999999989</f>
        <v>1058.7357639999998</v>
      </c>
      <c r="Z78" s="3">
        <f>1899.4+(0-378.3)+(0+(0-0))+0-243.4-0</f>
        <v>1277.7</v>
      </c>
      <c r="AA78" s="3">
        <f>1901.8+(29.6-250.5)+(-4.84959+(-0.07548--0.638775))+0-244.7--0.623984999999964</f>
        <v>1432.5376899999997</v>
      </c>
      <c r="AB78" s="3">
        <f>1900.4+(79.2-222.1)+(-3.876816+(-0.161568--0.453084))+0-244.1--0.497963999999989</f>
        <v>1510.312664</v>
      </c>
      <c r="AC78" s="3">
        <f>1896.4+(128.9-218.7)+(-5.802984+(-0.394434--0.669222))+0-244--0.746640000000028</f>
        <v>1557.8184440000002</v>
      </c>
      <c r="AD78">
        <f t="shared" si="1"/>
        <v>32620.051623000003</v>
      </c>
      <c r="AE78" s="3">
        <f>1898+(52.8-257.9)+(0+(0-0))+0-243.7-0</f>
        <v>1449.2</v>
      </c>
    </row>
    <row r="79" spans="1:31" s="2" customFormat="1" x14ac:dyDescent="0.25">
      <c r="A79">
        <v>89</v>
      </c>
      <c r="B79">
        <v>3</v>
      </c>
      <c r="C79">
        <v>17</v>
      </c>
      <c r="D79">
        <v>3</v>
      </c>
      <c r="E79">
        <v>1</v>
      </c>
      <c r="F79" s="3">
        <f>1897.4+(109.4-229.9)+(0+(0-0))+0-243.9-0</f>
        <v>1533</v>
      </c>
      <c r="G79" s="3">
        <f>1890.5+(62.8-209)+(-1.92831+(-0.064056--0.21318))+0-245.4--0.250308000000039</f>
        <v>1497.371122</v>
      </c>
      <c r="H79" s="3">
        <f>1891.5+(22.1-192.7)+(0+(0-0))+0-244.8-0</f>
        <v>1476.1000000000001</v>
      </c>
      <c r="I79" s="3">
        <f>1894.6+(0-200.7)+(-2.898738+(0--0.307071))+0-244.6--0.374238000000014</f>
        <v>1447.0825710000001</v>
      </c>
      <c r="J79" s="3">
        <f>1719.5+(88.2-166.9)+(-0.876945+(-0.044982--0.085119))+0-245.6--0.125255999999975</f>
        <v>1394.4884480000001</v>
      </c>
      <c r="K79" s="3">
        <f>1735.4+(26.7-213.3)+(-3.540216+(-0.054468--0.435132))+0-243--0.495719999999989</f>
        <v>1303.136168</v>
      </c>
      <c r="L79" s="3">
        <f>1894.1+(0-565.5)+(-1.931982+(0--0.57681))+0-242.7--0.247554000000039</f>
        <v>1084.7923819999999</v>
      </c>
      <c r="M79" s="3">
        <f>1904.8+(0-631.2)+(0+(0-0))+0-242.2-0</f>
        <v>1031.3999999999999</v>
      </c>
      <c r="N79" s="3">
        <f>1886.6+(0-632.1)+(-0.962166+(0--0.322371))+0-242.4--0.123623999999975</f>
        <v>1011.5838289999999</v>
      </c>
      <c r="O79" s="3">
        <f>1870.2+(2.2-618)+(-1.907604+(-0.002244--0.63036))+0-243.8--0.248676000000039</f>
        <v>1009.5691880000003</v>
      </c>
      <c r="P79" s="3">
        <f>1860.2+(75.3-659.1)+(-0.948702+(-0.038403--0.336141))+0-242.7--0.123776999999975</f>
        <v>1033.1728130000001</v>
      </c>
      <c r="Q79" s="3">
        <f>1853.9+(110-574.7)+(0+(0-0))+0-243.4-0</f>
        <v>1145.8</v>
      </c>
      <c r="R79" s="3">
        <f>1849.1+(156.1-352.5)+(-1.886082+(-0.159222--0.35955))+0-241.7--0.246534000000039</f>
        <v>1409.5607799999998</v>
      </c>
      <c r="S79" s="3">
        <f>1842.6+(242.4-293.2)+(-2.819178+(-0.370872--0.448596))+0-242.6--0.371178000000014</f>
        <v>1546.8297240000002</v>
      </c>
      <c r="T79" s="3">
        <f>1837.7+(310-287.8)+(-1.874454+(-0.3162--0.293556))+0-242.7--0.247554000000039</f>
        <v>1615.5504560000002</v>
      </c>
      <c r="U79" s="3">
        <f>1836.4+(326.3-291.3)+(-0.936564+(-0.166413--0.148563))+0-242.8--0.123827999999975</f>
        <v>1627.7694140000001</v>
      </c>
      <c r="V79" s="3">
        <f>1825.2+(239.1-289.8)+(-1.861704+(-0.243882--0.295596))+0-242.1--0.246942000000039</f>
        <v>1530.8369520000001</v>
      </c>
      <c r="W79" s="3">
        <f>1823.1+(137.3-389.9)+(-3.719124+(-0.280092--0.795396))+0-242.9--0.495515999999989</f>
        <v>1324.8916959999999</v>
      </c>
      <c r="X79" s="3">
        <f>1832.4+(8.7-484.6)+(-3.738096+(-0.017748--0.988584))+0-242.6--0.494903999999989</f>
        <v>1111.6276439999999</v>
      </c>
      <c r="Y79" s="3">
        <f>1861.6+(0-555.2)+(-2.848248+(0--0.849456))+0-244.1--0.373473000000014</f>
        <v>1060.674681</v>
      </c>
      <c r="Z79" s="3">
        <f>1864.6+(79.5-427.6)+(-2.852838+(-0.121635--0.654228))+0-242.2--0.370566000000014</f>
        <v>1272.3503210000001</v>
      </c>
      <c r="AA79" s="3">
        <f>1880.9+(131.5-329.6)+(-1.918518+(-0.13413--0.336192))+0-242.5--0.247350000000039</f>
        <v>1438.8308940000002</v>
      </c>
      <c r="AB79" s="3">
        <f>1892.4+(133.5-270.2)+(-2.895372+(-0.204255--0.413406))+0-241.7--0.369801000000014</f>
        <v>1511.6835800000001</v>
      </c>
      <c r="AC79" s="3">
        <f>1893.6+(154.2-238.5)+(-2.897208+(-0.235926--0.364905))+0-241.3--0.369189000000014</f>
        <v>1565.60096</v>
      </c>
      <c r="AD79">
        <f t="shared" si="1"/>
        <v>31983.703622999998</v>
      </c>
      <c r="AE79" s="3">
        <f>1879+(147.9-322.9)+(0+(0-0))+0-242.5-0</f>
        <v>1461.5</v>
      </c>
    </row>
    <row r="80" spans="1:31" s="2" customFormat="1" x14ac:dyDescent="0.25">
      <c r="A80">
        <v>89</v>
      </c>
      <c r="B80">
        <v>3</v>
      </c>
      <c r="C80">
        <v>18</v>
      </c>
      <c r="D80">
        <v>4</v>
      </c>
      <c r="E80">
        <v>1</v>
      </c>
      <c r="F80" s="3">
        <f>1893.8+(153.1-251.2)+(-2.897514+(-0.234243--0.384336))+0-242.2--0.370566000000014</f>
        <v>1551.123145</v>
      </c>
      <c r="G80" s="3">
        <f>1897+(118.3-246.4)+(-4.83735+(-0.301665--0.62832))+0-243.4--0.620669999999965</f>
        <v>1521.6099750000001</v>
      </c>
      <c r="H80" s="3">
        <f>1901.5+(69.7-231.9)+(0+(0-0))+0-245.8-0</f>
        <v>1493.5</v>
      </c>
      <c r="I80" s="3">
        <f>1902.8+(29.5-216.4)+(-3.881712+(-0.06018--0.441456))+0-246--0.501839999999989</f>
        <v>1466.9014039999997</v>
      </c>
      <c r="J80" s="3">
        <f>1906.6+(16.5-237)+(-0.972366+(-0.008415--0.12087))+0-245--0.124949999999975</f>
        <v>1440.3650389999998</v>
      </c>
      <c r="K80" s="3">
        <f>1906.4+(0-331.4)+(-5.833584+(0--1.014084))+0-244.6--0.748476000000028</f>
        <v>1326.328976</v>
      </c>
      <c r="L80" s="3">
        <f>1911.4+(0-519.6)+(-1.949628+(0--0.529992))+0-242.5--0.247350000000039</f>
        <v>1148.1277140000002</v>
      </c>
      <c r="M80" s="3">
        <f>1860.6+(18.7-544.4)+(0+(0-0))+0-242-0</f>
        <v>1092.9000000000001</v>
      </c>
      <c r="N80" s="3">
        <f>1745.9+(51.8-441.6)+(-1.780818+(-0.052836--0.450432))+0-243.2--0.248064000000039</f>
        <v>1111.7648420000003</v>
      </c>
      <c r="O80" s="3">
        <f>1734+(65.1-427.2)+(2.65302+(0.099603-0.653616))+0-243-0.371790000000014</f>
        <v>1130.6272170000002</v>
      </c>
      <c r="P80" s="3">
        <f>1798.5+(110.6-490.2)+(-1.83447+(-0.112812--0.500004))+0-243.1--0.247962000000039</f>
        <v>1174.6006840000002</v>
      </c>
      <c r="Q80" s="3">
        <f>1876.2+(136.7-475.9)+(1.913724+(0.139434-0.485418))+0-243.9-0.248778000000039</f>
        <v>1294.4189619999997</v>
      </c>
      <c r="R80" s="3">
        <f>1871.7+(195.5-369.2)+(-2.863701+(-0.299115--0.564876))+0-244.5--0.374085000000014</f>
        <v>1451.2761449999998</v>
      </c>
      <c r="S80" s="3">
        <f>1871.2+(272.4-325.7)+(-1.908624+(-0.277848--0.332214))+0-243.8--0.248676000000039</f>
        <v>1572.494418</v>
      </c>
      <c r="T80" s="3">
        <f>1865.3+(318.6-313.7)+(0.951303+(0.162486-0.159987))+0-244.2-0.124541999999975</f>
        <v>1626.82926</v>
      </c>
      <c r="U80" s="3">
        <f>1864.8+(309.7-308.2)+(0+(0-0))+0-243.7-0</f>
        <v>1622.6</v>
      </c>
      <c r="V80" s="3">
        <f>1865+(212.1-320.5)+(0+(0-0))+0-243.6-0</f>
        <v>1513</v>
      </c>
      <c r="W80" s="3">
        <f>1856.3+(127.9-431.9)+(-3.786852+(-0.260916--0.881076))+0-244--0.497759999999989</f>
        <v>1305.6310679999999</v>
      </c>
      <c r="X80" s="3">
        <f>1876.4+(36.8-563)+(-3.827856+(-0.075072--1.14852))+0-243.6--0.496943999999989</f>
        <v>1104.3425360000001</v>
      </c>
      <c r="Y80" s="3">
        <f>1891.1+(0-578.9)+(-7.715688+(0--2.361912))+0-244--0.995519999999979</f>
        <v>1063.8417439999998</v>
      </c>
      <c r="Z80" s="3">
        <f>1912.2+(95.3-430.1)+(-3.900888+(-0.194412--0.877404))+0-243--0.495719999999989</f>
        <v>1331.6778239999999</v>
      </c>
      <c r="AA80" s="3">
        <f>1916.4+(164.4-354.6)+(-1.954728+(-0.167688--0.361692))+0-243.5--0.248370000000039</f>
        <v>1481.1876460000001</v>
      </c>
      <c r="AB80" s="3">
        <f>1915.6+(172.4-316.5)+(-2.930868+(-0.263772--0.484245))+0-243.3--0.372249000000014</f>
        <v>1525.861854</v>
      </c>
      <c r="AC80" s="3">
        <f>1910.5+(176.3-274.5)+(-3.89742+(-0.359652--0.55998))+0-242.6--0.494903999999989</f>
        <v>1566.4978119999998</v>
      </c>
      <c r="AD80">
        <f t="shared" si="1"/>
        <v>32917.508264999989</v>
      </c>
      <c r="AE80" s="3">
        <f>1914+(177-349.3)+(0+(0-0))+0-246.1-0</f>
        <v>1495.6000000000001</v>
      </c>
    </row>
    <row r="81" spans="1:31" s="2" customFormat="1" x14ac:dyDescent="0.25">
      <c r="A81">
        <v>89</v>
      </c>
      <c r="B81">
        <v>3</v>
      </c>
      <c r="C81">
        <v>19</v>
      </c>
      <c r="D81">
        <v>5</v>
      </c>
      <c r="E81">
        <v>1</v>
      </c>
      <c r="F81" s="3">
        <f>1904.1+(166.1-256.9)+(-2.913273+(-0.254133--0.393057))+0-243.2--0.372096000000014</f>
        <v>1567.6977469999999</v>
      </c>
      <c r="G81" s="3">
        <f>1906.5+(123.5-250.6)+(-3.88926+(-0.25194--0.511224))+0-243.6--0.496943999999989</f>
        <v>1532.6669680000002</v>
      </c>
      <c r="H81" s="3">
        <f>1908.8+(68.3-240.2)+(-1.946976+(-0.069666--0.245004))+0-243.1--0.247962000000039</f>
        <v>1492.2763240000004</v>
      </c>
      <c r="I81" s="3">
        <f>1909.6+(32.7-229.9)+(-4.86948+(-0.083385--0.586245))+0-244.9--0.624494999999965</f>
        <v>1463.7578749999998</v>
      </c>
      <c r="J81" s="3">
        <f>1911.3+(13-222)+(1.949526+(0.01326-0.22644))+0-244.8-0.249696000000039</f>
        <v>1458.9866499999998</v>
      </c>
      <c r="K81" s="3">
        <f>1917.5+(0-298.5)+(-4.889625+(0--0.761175))+0-244.6--0.623729999999964</f>
        <v>1370.8952800000002</v>
      </c>
      <c r="L81" s="3">
        <f>1917.8+(0-472.5)+(-0.978078+(0--0.240975))+0-243.1--0.123980999999975</f>
        <v>1201.5868780000001</v>
      </c>
      <c r="M81" s="3">
        <f>1920+(21.3-549.8)+(1.9584+(0.021726-0.560796))+0-242.9-0.247758000000039</f>
        <v>1149.7715719999999</v>
      </c>
      <c r="N81" s="3">
        <f>1909.4+(38.2-576.4)+(0+(0-0))+0-243.1-0</f>
        <v>1128.1000000000004</v>
      </c>
      <c r="O81" s="3">
        <f>1904.7+(43.1-573.9)+(0+(0-0))+0-243.5-0</f>
        <v>1130.4000000000001</v>
      </c>
      <c r="P81" s="3">
        <f>1897.9+(59.3-538.1)+(-1.935858+(-0.060486--0.548862))+0-245.1--0.250002000000039</f>
        <v>1172.8025200000002</v>
      </c>
      <c r="Q81" s="3">
        <f>1888.3+(95.3-461.6)+(1.926066+(0.097206-0.470832))+0-243.8-0.248676000000039</f>
        <v>1279.503764</v>
      </c>
      <c r="R81" s="3">
        <f>1894.7+(151.6-351.6)+(-2.898891+(-0.231948--0.537948))+0-243--0.371790000000014</f>
        <v>1449.478899</v>
      </c>
      <c r="S81" s="3">
        <f>1886.5+(239.7-320.9)+(-0.962115+(-0.122247--0.163659))+0-243.4--0.124133999999975</f>
        <v>1561.1034309999998</v>
      </c>
      <c r="T81" s="3">
        <f>1882+(283.5-312.3)+(-0.95982+(-0.144585--0.159273))+0-243.7--0.124286999999975</f>
        <v>1608.6791549999998</v>
      </c>
      <c r="U81" s="3">
        <f>1880.1+(290.8-298.6)+(-1.917702+(-0.296616--0.304572))+0-244.9--0.249798000000039</f>
        <v>1625.7400519999999</v>
      </c>
      <c r="V81" s="3">
        <f>1869.5+(186.6-283.6)+(-2.860335+(-0.285498--0.433908))+0-244.8--0.374544000000014</f>
        <v>1525.362619</v>
      </c>
      <c r="W81" s="3">
        <f>1864.4+(97-396.9)+(-2.852532+(-0.14841--0.607257))+0-245.6--0.375768000000014</f>
        <v>1316.8820830000002</v>
      </c>
      <c r="X81" s="3">
        <f>1872+(31-550.5)+(-4.7736+(-0.07905--1.403775))+0-245.9--0.627044999999964</f>
        <v>1103.7781699999998</v>
      </c>
      <c r="Y81" s="3">
        <f>1888.9+(0-581.4)+(-4.816695+(0--1.48257))+0-246--0.627299999999964</f>
        <v>1058.7931749999998</v>
      </c>
      <c r="Z81" s="3">
        <f>1891.2+(101.7-444.5)+(-1.929024+(-0.103734--0.45339))+0-246.1--0.251022000000039</f>
        <v>1300.9716540000004</v>
      </c>
      <c r="AA81" s="3">
        <f>1904.9+(148.7-350.1)+(-2.914497+(-0.227511--0.535653))+0-246--0.376380000000014</f>
        <v>1455.270025</v>
      </c>
      <c r="AB81" s="3">
        <f>1906.9+(160-301.1)+(-4.862595+(-0.408--0.767805))+0-246--0.627299999999964</f>
        <v>1515.9245100000001</v>
      </c>
      <c r="AC81" s="3">
        <f>1901.1+(188.6-298.9)+(0+(0-0))+0-243.8-0</f>
        <v>1547</v>
      </c>
      <c r="AD81">
        <f t="shared" si="1"/>
        <v>33017.429351000006</v>
      </c>
      <c r="AE81" s="3">
        <f>1909+(150.9-352)+(0+(0-0))+0-245.5-0</f>
        <v>1462.4</v>
      </c>
    </row>
    <row r="82" spans="1:31" s="2" customFormat="1" x14ac:dyDescent="0.25">
      <c r="A82">
        <v>89</v>
      </c>
      <c r="B82">
        <v>3</v>
      </c>
      <c r="C82">
        <v>20</v>
      </c>
      <c r="D82">
        <v>6</v>
      </c>
      <c r="E82">
        <v>1</v>
      </c>
      <c r="F82" s="3">
        <f>1900.7+(184.6-286.4)+(-1.938714+(-0.188292--0.292128))+0-243.7--0.248574000000039</f>
        <v>1553.6136960000001</v>
      </c>
      <c r="G82" s="3">
        <f>1810.5+(219.1-265.8)+(2.770065+(0.335223-0.406674))+0-244.3-0.373779000000014</f>
        <v>1521.8248349999999</v>
      </c>
      <c r="H82" s="3">
        <f>1720.2+(279.6-251.1)+(0+(0-0))+0-245-0</f>
        <v>1503.7</v>
      </c>
      <c r="I82" s="3">
        <f>1678.5+(271.8-235.4)+(0.856035+(0.138618-0.120054))+0-244.3-0.124592999999975</f>
        <v>1471.3500060000001</v>
      </c>
      <c r="J82" s="3">
        <f>1679.9+(236.6-231.2)+(-1.713498+(-0.241332--0.235824))+0-244.8--0.249696000000039</f>
        <v>1439.0306900000003</v>
      </c>
      <c r="K82" s="3">
        <f>1683.9+(119.8-224.8)+(-2.576367+(-0.183294--0.343944))+0-244--0.373320000000014</f>
        <v>1332.8576029999999</v>
      </c>
      <c r="L82" s="3">
        <f>1689+(7.1-266.6)+(-0.86139+(-0.003621--0.135966))+0-242.9--0.123878999999975</f>
        <v>1185.9948339999999</v>
      </c>
      <c r="M82" s="3">
        <f>1690.8+(7.5-320.3)+(0.862308+(0.003825-0.163353))+0-243.1-0.123980999999975</f>
        <v>1135.4787990000002</v>
      </c>
      <c r="N82" s="3">
        <f>1681.9+(0-293.6)+(1.715538+(0-0.299472))+0-243.9-0.248778000000039</f>
        <v>1145.567288</v>
      </c>
      <c r="O82" s="3">
        <f>1664.5+(48.3-334.8)+(3.39558+(0.098532-0.682992))+0-244.2-0.498167999999989</f>
        <v>1136.112952</v>
      </c>
      <c r="P82" s="3">
        <f>1659.6+(79.5-312.1)+(1.692792+(0.08109-0.318342))+0-244.7-0.249594000000039</f>
        <v>1183.5059459999998</v>
      </c>
      <c r="Q82" s="3">
        <f>1649.4+(151.2-281.6)+(1.682388+(0.154224-0.287232))+0-244.4-0.249288000000039</f>
        <v>1275.9000919999999</v>
      </c>
      <c r="R82" s="3">
        <f>1637.9+(303.4-279.4)+(0.835329+(0.154734-0.142494))+0-243.1-0.123980999999975</f>
        <v>1419.5235880000002</v>
      </c>
      <c r="S82" s="3">
        <f>1633.8+(454.5-289.9)+(0+(0-0))+0-244.3-0</f>
        <v>1554.1000000000001</v>
      </c>
      <c r="T82" s="3">
        <f>1627.4+(509.6-291.2)+(0+(0-0))+0-244.8-0</f>
        <v>1601.0000000000002</v>
      </c>
      <c r="U82" s="3">
        <f>1627.4+(487.4-274.9)+(-0.829974+(-0.248574--0.140199))+0-245.4--0.125153999999975</f>
        <v>1593.686805</v>
      </c>
      <c r="V82" s="3">
        <f>1618.4+(358.5-235.4)+(-1.650768+(-0.36567--0.240108))+0-245.3--0.250206000000039</f>
        <v>1494.6738760000001</v>
      </c>
      <c r="W82" s="3">
        <f>1624.8+(121.8-207.8)+(-2.485944+(-0.186354--0.317934))+0-246.8--0.377604000000014</f>
        <v>1290.02324</v>
      </c>
      <c r="X82" s="3">
        <f>1635.4+(24.6-332.6)+(-4.17027+(-0.06273--0.84813))+0-246--0.627299999999964</f>
        <v>1078.6424299999999</v>
      </c>
      <c r="Y82" s="3">
        <f>1654.7+(3.2-382.3)+(-2.531691+(-0.004896--0.584919))+0-245--0.374850000000014</f>
        <v>1029.0231819999999</v>
      </c>
      <c r="Z82" s="3">
        <f>1676.3+(130.3-287.8)+(-0.854913+(-0.066453--0.146778))+0-243.8--0.124337999999975</f>
        <v>1274.3497500000001</v>
      </c>
      <c r="AA82" s="3">
        <f>1679.5+(234.9-269.6)+(-1.71309+(-0.239598--0.274992))+0-243.6--0.248472000000039</f>
        <v>1399.7707760000001</v>
      </c>
      <c r="AB82" s="3">
        <f>1668.5+(295.3-271)+(-1.70187+(-0.301206--0.27642))+0-244.5--0.249390000000039</f>
        <v>1446.8227339999999</v>
      </c>
      <c r="AC82" s="3">
        <f>1673.4+(336.3-267.3)+(-0.853434+(-0.171513--0.136323))+0-242.4--0.123623999999975</f>
        <v>1499.2350000000001</v>
      </c>
      <c r="AD82">
        <f t="shared" si="1"/>
        <v>32565.788122000002</v>
      </c>
      <c r="AE82" s="3">
        <f>1676+(261.2-258)+(0+(0-0))+0-243.7-0</f>
        <v>1435.5</v>
      </c>
    </row>
    <row r="83" spans="1:31" s="2" customFormat="1" x14ac:dyDescent="0.25">
      <c r="A83">
        <v>89</v>
      </c>
      <c r="B83">
        <v>3</v>
      </c>
      <c r="C83">
        <v>21</v>
      </c>
      <c r="D83">
        <v>7</v>
      </c>
      <c r="E83">
        <v>1</v>
      </c>
      <c r="F83" s="3">
        <f>1672.6+(333.8-250.7)+(0+(0-0))+0-242.4-0</f>
        <v>1513.2999999999997</v>
      </c>
      <c r="G83" s="3">
        <f>1671+(334.9-254.6)+(-2.55663+(-0.512397--0.389538))+0-242.2--0.370566000000014</f>
        <v>1506.7910769999999</v>
      </c>
      <c r="H83" s="3">
        <f>1663.3+(306.3-252.5)+(0+(0-0))+0-243-0</f>
        <v>1474.1</v>
      </c>
      <c r="I83" s="3">
        <f>1667.4+(269.7-239.8)+(0+(0-0))+0-244-0</f>
        <v>1453.3000000000002</v>
      </c>
      <c r="J83" s="3">
        <f>1670.8+(229.5-231.5)+(1.704216+(0.23409-0.23613))+0-242.6-0.247452000000039</f>
        <v>1427.654724</v>
      </c>
      <c r="K83" s="3">
        <f>1679.5+(126-232.1)+(-3.42618+(-0.25704--0.473484))+0-241.1--0.491843999999989</f>
        <v>1329.5821080000001</v>
      </c>
      <c r="L83" s="3">
        <f>1678.6+(45.8-282.8)+(0+(0-0))+0-240.9-0</f>
        <v>1200.6999999999998</v>
      </c>
      <c r="M83" s="3">
        <f>1669.9+(36.3-338.4)+(-2.554947+(-0.055539--0.517752))+0-240.8--0.368424000000014</f>
        <v>1125.2756900000002</v>
      </c>
      <c r="N83" s="3">
        <f>1665.8+(64.3-393.5)+(0+(0-0))+0-242.9-0</f>
        <v>1093.6999999999998</v>
      </c>
      <c r="O83" s="3">
        <f>1659.9+(101.5-423.7)+(0+(0-0))+0-243.5-0</f>
        <v>1094.2</v>
      </c>
      <c r="P83" s="3">
        <f>1647.3+(132.8-412.5)+(-0.840123+(-0.067728--0.210375))+0-244.4--0.124643999999975</f>
        <v>1122.6271679999998</v>
      </c>
      <c r="Q83" s="3">
        <f>1637.5+(179.9-359.9)+(2.505375+(0.275247-0.550647))+0-243.4-0.372402000000014</f>
        <v>1215.9575729999999</v>
      </c>
      <c r="R83" s="3">
        <f>1405.6+(447.7-256.9)+(0+(0-0))+0-243.1-0</f>
        <v>1353.3</v>
      </c>
      <c r="S83" s="3">
        <f>1371.6+(577.6-243.9)+(0+(0-0))+0-242-0</f>
        <v>1463.3</v>
      </c>
      <c r="T83" s="3">
        <f>1367.4+(622-213.6)+(-1.394748+(-0.63444--0.217872))+0-241.7--0.246534000000039</f>
        <v>1532.5352180000002</v>
      </c>
      <c r="U83" s="3">
        <f>1354.8+(609.6-190.5)+(0+(0-0))+0-241.6-0</f>
        <v>1532.3000000000002</v>
      </c>
      <c r="V83" s="3">
        <f>1365.6+(536.1-192.1)+(0+(0-0))+0-242.2-0</f>
        <v>1467.3999999999999</v>
      </c>
      <c r="W83" s="3">
        <f>1368.8+(328.6-187.3)+(0.698088+(0.167586-0.095523))+0-242.6-0.123725999999975</f>
        <v>1268.1464249999999</v>
      </c>
      <c r="X83" s="3">
        <f>1381.5+(111.7-167.8)+(-0.704565+(-0.056967--0.085578))+0-243.2--0.124031999999975</f>
        <v>1081.6480779999999</v>
      </c>
      <c r="Y83" s="3">
        <f>1393.9+(100.9-210.5)+(0+(0-0))+0-244.9-0</f>
        <v>1039.4000000000001</v>
      </c>
      <c r="Z83" s="3">
        <f>1397+(330-229.6)+(-0.71247+(-0.1683--0.117096))+0-243.7--0.124286999999975</f>
        <v>1253.0606129999999</v>
      </c>
      <c r="AA83" s="3">
        <f>1404+(490.7-241.5)+(0.71604+(0.250257-0.123165))+0-243.7-0.124286999999975</f>
        <v>1410.2188450000001</v>
      </c>
      <c r="AB83" s="3">
        <f>1402.4+(559.2-234.8)+(-1.430448+(-0.570384--0.239496))+0-243.6--0.248472000000039</f>
        <v>1481.6871360000002</v>
      </c>
      <c r="AC83" s="3">
        <f>1550.2+(468.1-236.2)+(-2.371806+(-0.716193--0.361386))+0-243.2--0.372096000000014</f>
        <v>1536.5454830000001</v>
      </c>
      <c r="AD83">
        <f t="shared" si="1"/>
        <v>31976.730137999999</v>
      </c>
      <c r="AE83" s="3">
        <f>1387+(530.9-242.7)+(0+(0-0))+0-248.5-0</f>
        <v>1426.7</v>
      </c>
    </row>
    <row r="84" spans="1:31" s="2" customFormat="1" x14ac:dyDescent="0.25">
      <c r="A84">
        <v>89</v>
      </c>
      <c r="B84">
        <v>3</v>
      </c>
      <c r="C84">
        <v>22</v>
      </c>
      <c r="D84">
        <v>1</v>
      </c>
      <c r="E84">
        <v>1</v>
      </c>
      <c r="F84" s="3">
        <f>1663.6+(376.7-254.7)+(-1.696872+(-0.384234--0.259794))+0-242.8--0.247656000000039</f>
        <v>1541.2263439999999</v>
      </c>
      <c r="G84" s="3">
        <f>1668.6+(345.6-247.9)+(-2.552958+(-0.528768--0.379287))+0-247.8--0.379134000000014</f>
        <v>1516.1766950000001</v>
      </c>
      <c r="H84" s="3">
        <f>1667.3+(324.3-258.6)+(-0.850323+(-0.165393--0.131886))+0-245.1--0.125000999999975</f>
        <v>1487.141171</v>
      </c>
      <c r="I84" s="3">
        <f>1659.8+(304.5-260.6)+(-1.692996+(-0.31059--0.265812))+0-244.8--0.249696000000039</f>
        <v>1457.411922</v>
      </c>
      <c r="J84" s="3">
        <f>1664.1+(260.7-247.7)+(-4.243455+(-0.664785--0.631635))+0-244--0.622199999999965</f>
        <v>1429.4455949999999</v>
      </c>
      <c r="K84" s="3">
        <f>1638.4+(168.4-225.8)+(-3.342336+(-0.343536--0.460632))+0-243.2--0.496127999999989</f>
        <v>1335.070888</v>
      </c>
      <c r="L84" s="3">
        <f>1659.6+(40.8-272.8)+(-2.539188+(-0.062424--0.417384))+0-242.1--0.370413000000014</f>
        <v>1183.686185</v>
      </c>
      <c r="M84" s="3">
        <f>1660.1+(55.2-347.7)+(0+(0-0))+0-241.6-0</f>
        <v>1126</v>
      </c>
      <c r="N84" s="3">
        <f>1650.3+(118.8-416.2)+(0+(0-0))+0-242.7-0</f>
        <v>1110.2</v>
      </c>
      <c r="O84" s="3">
        <f>1638.6+(139-398.5)+(0.835686+(0.07089-0.203235))+0-244.3-0.124592999999975</f>
        <v>1135.3787479999999</v>
      </c>
      <c r="P84" s="3">
        <f>1677.8+(167.6-408.2)+(1.711356+(0.170952-0.416364))+0-246.1-0.251022000000039</f>
        <v>1192.314922</v>
      </c>
      <c r="Q84" s="3">
        <f>1800.5+(189.5-437.7)+(-0.918255+(-0.096645--0.223227))+0-246.9--0.125918999999975</f>
        <v>1304.734246</v>
      </c>
      <c r="R84" s="3">
        <f>1824.8+(245.9-358)+(2.791944+(0.376227-0.54774))+0-244.7-0.374391000000014</f>
        <v>1470.24604</v>
      </c>
      <c r="S84" s="3">
        <f>1831.4+(324.7-310.2)+(-0.934014+(-0.165597--0.158202))+0-244.3--0.124592999999975</f>
        <v>1600.7831840000001</v>
      </c>
      <c r="T84" s="3">
        <f>1851.7+(350.1-291.6)+(2.833101+(0.535653-0.446148))+0-243.1-0.371943000000014</f>
        <v>1669.6506630000001</v>
      </c>
      <c r="U84" s="3">
        <f>1856.6+(338.4-288.5)+(0+(0-0))+0-243.6-0</f>
        <v>1662.9</v>
      </c>
      <c r="V84" s="3">
        <f>1833.1+(273.6-273.6)+(0.934881+(0.139536-0.139536))+0-243.5-0.124184999999975</f>
        <v>1590.4106959999999</v>
      </c>
      <c r="W84" s="3">
        <f>1836.6+(183.6-345.8)+(-0.936666+(-0.093636--0.176358))+0-243.5--0.124184999999975</f>
        <v>1430.1702409999998</v>
      </c>
      <c r="X84" s="3">
        <f>1848+(107.4-510.6)+(-1.88496+(-0.109548--0.520812))+0-244.1--0.248982000000039</f>
        <v>1199.4752860000001</v>
      </c>
      <c r="Y84" s="3">
        <f>1870.7+(74.8-582.6)+(-0.954057+(-0.038148--0.297126))+0-244--0.124439999999975</f>
        <v>1118.3293610000001</v>
      </c>
      <c r="Z84" s="3">
        <f>1885+(175.4-460.5)+(-1.9227+(-0.178908--0.46971))+0-243.8--0.248676000000039</f>
        <v>1354.716778</v>
      </c>
      <c r="AA84" s="3">
        <f>1901.6+(199.9-357.7)+(-0.969816+(-0.101949--0.182427))+0-243.1--0.123980999999975</f>
        <v>1499.9346430000001</v>
      </c>
      <c r="AB84" s="3">
        <f>1898+(221.4-326.4)+(-0.96798+(-0.112914--0.166464))+0-242.5--0.123674999999975</f>
        <v>1549.709245</v>
      </c>
      <c r="AC84" s="3">
        <f>1887.8+(250.1-311)+(-0.962778+(-0.127551--0.15861))+0-242.3--0.123572999999975</f>
        <v>1583.7918540000001</v>
      </c>
      <c r="AD84">
        <f t="shared" si="1"/>
        <v>33548.904707000002</v>
      </c>
      <c r="AE84" s="3">
        <f>1889+(214.9-347.6)+(0+(0-0))+0-242.5-0</f>
        <v>1513.8</v>
      </c>
    </row>
    <row r="85" spans="1:31" s="2" customFormat="1" x14ac:dyDescent="0.25">
      <c r="A85">
        <v>89</v>
      </c>
      <c r="B85">
        <v>3</v>
      </c>
      <c r="C85">
        <v>23</v>
      </c>
      <c r="D85">
        <v>2</v>
      </c>
      <c r="E85">
        <v>1</v>
      </c>
      <c r="F85" s="3">
        <f>1895.6+(281.5-332.8)+(-0.966756+(-0.143565--0.169728))+0-242.1--0.123470999999975</f>
        <v>1601.3828779999999</v>
      </c>
      <c r="G85" s="3">
        <f>1893.2+(186.5-279.3)+(-3.862128+(-0.38046--0.569772))+0-243.1--0.495923999999989</f>
        <v>1554.1231080000002</v>
      </c>
      <c r="H85" s="3">
        <f>1894.6+(152.8-270.1)+(-2.898738+(-0.233784--0.413253))+0-243.3--0.372249000000014</f>
        <v>1531.6529800000001</v>
      </c>
      <c r="I85" s="3">
        <f>1893.1+(123.6-264.2)+(0+(0-0))+0-242.2-0</f>
        <v>1510.3</v>
      </c>
      <c r="J85" s="3">
        <f>1893.6+(97.1-263.3)+(0.965736+(0.049521-0.134283))+0-242.3-0.123572999999975</f>
        <v>1485.8574009999998</v>
      </c>
      <c r="K85" s="3">
        <f>1899.2+(42.7-303.4)+(-3.874368+(-0.087108--0.618936))+0-242.4--0.494495999999989</f>
        <v>1393.2519559999998</v>
      </c>
      <c r="L85" s="3">
        <f>1898.6+(0-434.7)+(2.904858+(0-0.665091))+0-241.7-0.369801000000014</f>
        <v>1224.0699659999998</v>
      </c>
      <c r="M85" s="3">
        <f>1892.1+(0-471.1)+(0.964971+(0-0.240261))+0-241.5-0.123164999999976</f>
        <v>1180.101545</v>
      </c>
      <c r="N85" s="3">
        <f>1872.5+(70-508.3)+(-2.864925+(-0.1071--0.777699))+0-243.4--0.372402000000014</f>
        <v>1188.9780759999999</v>
      </c>
      <c r="O85" s="3">
        <f>1854.1+(112.4-512.6)+(-1.891182+(-0.114648--0.522852))+0-245.3--0.250206000000039</f>
        <v>1207.3672279999998</v>
      </c>
      <c r="P85" s="3">
        <f>1833.2+(147.7-480.4)+(-0.934932+(-0.075327--0.245004))+0-244.5--0.124694999999975</f>
        <v>1255.3594399999999</v>
      </c>
      <c r="Q85" s="3">
        <f>1824.7+(208.1-402.6)+(0+(0-0))+0-246.9-0</f>
        <v>1383.3</v>
      </c>
      <c r="R85" s="3">
        <f>1810.8+(337.1-354.6)+(-1.847016+(-0.343842--0.361692))+0-244.6--0.249492000000039</f>
        <v>1547.1203260000002</v>
      </c>
      <c r="S85" s="3">
        <f>1801.1+(446.4-328.1)+(-2.755683+(-0.682992--0.501993))+0-244.9--0.374697000000014</f>
        <v>1671.9380149999997</v>
      </c>
      <c r="T85" s="3">
        <f>1785.4+(468.2-301)+(-0.910554+(-0.238782--0.15351))+0-244.4--0.124643999999975</f>
        <v>1707.328818</v>
      </c>
      <c r="U85" s="3">
        <f>1780.1+(470.2-298.1)+(0.907851+(0.239802-0.152031))+0-245-0.124949999999975</f>
        <v>1708.0706719999998</v>
      </c>
      <c r="V85" s="3">
        <f>1781+(412.1-299.1)+(-0.90831+(-0.210171--0.152541))+0-245.2--0.125051999999975</f>
        <v>1647.9591119999998</v>
      </c>
      <c r="W85" s="3">
        <f>1782.2+(230.7-313)+(-0.908922+(-0.117657--0.15963))+0-243.7--0.124286999999975</f>
        <v>1455.4573379999999</v>
      </c>
      <c r="X85" s="3">
        <f>1782.9+(128.6-422.3)+(-2.727837+(-0.196758--0.646119))+0-244.7--0.374391000000014</f>
        <v>1242.5959150000001</v>
      </c>
      <c r="Y85" s="3">
        <f>1806.4+(71.1-469)+(-1.842528+(-0.072522--0.47838))+0-244.6--0.249492000000039</f>
        <v>1162.7128220000002</v>
      </c>
      <c r="Z85" s="3">
        <f>1855.2+(156.4-360)+(-0.946152+(-0.079764--0.1836))+0-244.3--0.124592999999975</f>
        <v>1406.5822770000002</v>
      </c>
      <c r="AA85" s="3">
        <f>1888.2+(205.5-297.6)+(0+(0-0))+0-244.5-0</f>
        <v>1551.6</v>
      </c>
      <c r="AB85" s="3">
        <f>1901.1+(248.2-284.2)+(-0.969561+(-0.126582--0.144942))+0-244.3--0.124592999999975</f>
        <v>1619.9733919999999</v>
      </c>
      <c r="AC85" s="3">
        <f>1881.6+(287.1-261.1)+(-2.878848+(-0.439263--0.399483))+0-243.5--0.372555000000014</f>
        <v>1661.5539269999999</v>
      </c>
      <c r="AD85">
        <f t="shared" si="1"/>
        <v>34898.637192000002</v>
      </c>
      <c r="AE85" s="3">
        <f>1886+(211.4-291.7)+(0+(0-0))+0-243.7-0</f>
        <v>1562</v>
      </c>
    </row>
    <row r="86" spans="1:31" s="2" customFormat="1" x14ac:dyDescent="0.25">
      <c r="A86">
        <v>89</v>
      </c>
      <c r="B86">
        <v>3</v>
      </c>
      <c r="C86">
        <v>24</v>
      </c>
      <c r="D86">
        <v>3</v>
      </c>
      <c r="E86">
        <v>1</v>
      </c>
      <c r="F86" s="3">
        <f>1885.7+(276.2-277.2)+(-1.923414+(-0.281724--0.282744))+0-242.8--0.247656000000039</f>
        <v>1640.2252620000002</v>
      </c>
      <c r="G86" s="3">
        <f>1890+(207.7-272.7)+(0+(0-0))+0-244.6-0</f>
        <v>1580.4</v>
      </c>
      <c r="H86" s="3">
        <f>1890.3+(188-260.9)+(-1.928106+(-0.19176--0.266118))+0-245.4--0.250308000000039</f>
        <v>1570.3965600000001</v>
      </c>
      <c r="I86" s="3">
        <f>1887.5+(146.4-244.8)+(1.92525+(0.149328-0.249696))+0-244.6-0.249492000000039</f>
        <v>1546.0753899999997</v>
      </c>
      <c r="J86" s="3">
        <f>1887.4+(69.5-248.5)+(-0.962574+(-0.035445--0.126735))+0-244--0.124439999999975</f>
        <v>1463.6531560000001</v>
      </c>
      <c r="K86" s="3">
        <f>1891.1+(10.3-264.1)+(-1.928922+(-0.010506--0.269382))+0-243.6--0.248472000000039</f>
        <v>1392.2784260000001</v>
      </c>
      <c r="L86" s="3">
        <f>1891.6+(0-435.2)+(0.964716+(0-0.221952))+0-241.8-0.123317999999975</f>
        <v>1215.2194460000001</v>
      </c>
      <c r="M86" s="3">
        <f>1890.8+(0-429.1)+(0.964308+(0-0.218841))+0-242.4-0.123623999999975</f>
        <v>1219.9218429999996</v>
      </c>
      <c r="N86" s="3">
        <f>1888.6+(37.6-460.4)+(-1.926372+(-0.038352--0.469608))+0-243.1--0.247962000000039</f>
        <v>1221.4528460000001</v>
      </c>
      <c r="O86" s="3">
        <f>1889.9+(67.5-457)+(0+(0-0))+0-244.3-0</f>
        <v>1256.1000000000001</v>
      </c>
      <c r="P86" s="3">
        <f>1892.5+(124.4-436.4)+(1.93035+(0.126888-0.445128))+0-245.9-0.250818000000039</f>
        <v>1335.961292</v>
      </c>
      <c r="Q86" s="3">
        <f>1891.9+(160.3-330.1)+(0.964869+(0.081753-0.168351))+0-244.6-0.124745999999975</f>
        <v>1478.2535250000003</v>
      </c>
      <c r="R86" s="3">
        <f>1810.2+(254.1-296.1)+(0.923202+(0.129591-0.151011))+0-242.5-0.123674999999975</f>
        <v>1526.4781069999999</v>
      </c>
      <c r="S86" s="3">
        <f>1789+(400.1-281.9)+(-1.82478+(-0.408102--0.287538))+0-243--0.247860000000039</f>
        <v>1662.502516</v>
      </c>
      <c r="T86" s="3">
        <f>1780.6+(434.2-258)+(1.816212+(0.442884-0.26316))+0-243.9-0.248778000000039</f>
        <v>1714.6471579999998</v>
      </c>
      <c r="U86" s="3">
        <f>1772+(418.1-264.7)+(3.61488+(0.852924-0.539988))+0-243.3-0.496331999999989</f>
        <v>1685.5314840000001</v>
      </c>
      <c r="V86" s="3">
        <f>1765.2+(340.4-271)+(-0.900252+(-0.173604--0.13821))+0-242.6--0.123725999999975</f>
        <v>1591.1880800000001</v>
      </c>
      <c r="W86" s="3">
        <f>1764.9+(195.3-271.3)+(-1.800198+(-0.199206--0.276726))+0-244.1--0.248982000000039</f>
        <v>1443.3263040000002</v>
      </c>
      <c r="X86" s="3">
        <f>1767.4+(104.3-390.5)+(-3.605496+(-0.212772--0.79662))+0-243.3--0.496331999999989</f>
        <v>1235.3746840000001</v>
      </c>
      <c r="Y86" s="3">
        <f>1805.7+(62.7-468.8)+(0+(0-0))+0-243.2-0</f>
        <v>1156.3999999999999</v>
      </c>
      <c r="Z86" s="3">
        <f>1865+(141.7-362.2)+(0.95115+(0.072267-0.184722))+0-242.4-0.123623999999975</f>
        <v>1402.8150709999998</v>
      </c>
      <c r="AA86" s="3">
        <f>1877.7+(207.5-300.9)+(-0.957627+(-0.105825--0.153459))+0-242.7--0.123776999999975</f>
        <v>1540.8137840000002</v>
      </c>
      <c r="AB86" s="3">
        <f>1872.5+(269.3-297.7)+(-2.864925+(-0.412029--0.455481))+0-242.2--0.370566000000014</f>
        <v>1599.4490929999999</v>
      </c>
      <c r="AC86" s="3">
        <f>1853.2+(327.7-285.5)+(-1.890264+(-0.334254--0.29121))+0-241.9--0.246738000000039</f>
        <v>1651.8134300000002</v>
      </c>
      <c r="AD86">
        <f t="shared" si="1"/>
        <v>35130.277457000004</v>
      </c>
      <c r="AE86" s="3">
        <f>1881+(214.6-273.9)+(0+(0-0))+0-241.9-0</f>
        <v>1579.8</v>
      </c>
    </row>
    <row r="87" spans="1:31" s="2" customFormat="1" x14ac:dyDescent="0.25">
      <c r="A87">
        <v>89</v>
      </c>
      <c r="B87">
        <v>3</v>
      </c>
      <c r="C87">
        <v>25</v>
      </c>
      <c r="D87">
        <v>4</v>
      </c>
      <c r="E87">
        <v>1</v>
      </c>
      <c r="F87" s="3">
        <f>1852.7+(333.3-288.7)+(-2.834631+(-0.509949--0.441711))+0-242.5--0.371025000000014</f>
        <v>1652.2681560000001</v>
      </c>
      <c r="G87" s="3">
        <f>1861.5+(276.1-268.3)+(0+(0-0))+0-244.2-0</f>
        <v>1625.1</v>
      </c>
      <c r="H87" s="3">
        <f>1861+(257.2-282)+(-1.89822+(-0.262344--0.28764))+0-244.1--0.248982000000039</f>
        <v>1590.4760580000002</v>
      </c>
      <c r="I87" s="3">
        <f>1858.5+(210.1-267.9)+(-0.947835+(-0.107151--0.136629))+0-243.2--0.124031999999975</f>
        <v>1556.7056749999999</v>
      </c>
      <c r="J87" s="3">
        <f>1858+(184.1-273.7)+(-1.89516+(-0.187782--0.279174))+0-243.9--0.248778000000039</f>
        <v>1522.9450100000001</v>
      </c>
      <c r="K87" s="3">
        <f>1861.9+(94.3-290.4)+(-4.747845+(-0.240465--0.74052))+0-242.8--0.619139999999965</f>
        <v>1419.3713500000003</v>
      </c>
      <c r="L87" s="3">
        <f>1863+(3.7-374.2)+(-4.75065+(-0.009435--0.95421))+0-241.9--0.616844999999965</f>
        <v>1247.4109699999999</v>
      </c>
      <c r="M87" s="3">
        <f>1860.9+(20.6-449.4)+(1.898118+(0.021012-0.458388))+0-241.4-0.246228000000038</f>
        <v>1191.9145140000001</v>
      </c>
      <c r="N87" s="3">
        <f>1842.3+(68.8-481.4)+(0.939573+(0.035088-0.245514))+0-241.6-0.123215999999975</f>
        <v>1188.7059310000002</v>
      </c>
      <c r="O87" s="3">
        <f>1829+(74.3-451.1)+(0.93279+(0.037893-0.230061))+0-241.8-0.123317999999975</f>
        <v>1211.0173040000002</v>
      </c>
      <c r="P87" s="3">
        <f>1820.4+(112.2-423.1)+(-0.928404+(-0.057222--0.215781))+0-243--0.123929999999975</f>
        <v>1265.8540849999999</v>
      </c>
      <c r="Q87" s="3">
        <f>1811.9+(160.1-349.5)+(0+(0-0))+0-243.7-0</f>
        <v>1378.8</v>
      </c>
      <c r="R87" s="3">
        <f>1819.4+(240.8-281)+(-1.855788+(-0.245616--0.28662))+0-242.7--0.247554000000039</f>
        <v>1534.9327700000001</v>
      </c>
      <c r="S87" s="3">
        <f>1788.6+(390-272.9)+(-1.824372+(-0.3978--0.278358))+0-242.5--0.247350000000039</f>
        <v>1661.5035359999999</v>
      </c>
      <c r="T87" s="3">
        <f>1780.6+(436.7-273.4)+(0+(0-0))+0-241.9-0</f>
        <v>1701.9999999999998</v>
      </c>
      <c r="U87" s="3">
        <f>1783.8+(425.9-256)+(1.819476+(0.434418-0.26112))+0-242.6-0.247452000000039</f>
        <v>1712.8453219999999</v>
      </c>
      <c r="V87" s="3">
        <f>1783.5+(357.9-252.2)+(-1.81917+(-0.365058--0.257244))+0-242.6--0.247452000000039</f>
        <v>1644.9204680000003</v>
      </c>
      <c r="W87" s="3">
        <f>1783.4+(192.8-269.1)+(-2.728602+(-0.294984--0.411723))+0-242.6--0.371178000000014</f>
        <v>1462.2593150000002</v>
      </c>
      <c r="X87" s="3">
        <f>1788+(87.6-397.9)+(-2.73564+(-0.134028--0.608787))+0-243.4--0.372402000000014</f>
        <v>1232.411521</v>
      </c>
      <c r="Y87" s="3">
        <f>1842+(39.7-508.7)+(-1.87884+(-0.040494--0.518874))+0-245.7--0.250614000000039</f>
        <v>1126.1501539999999</v>
      </c>
      <c r="Z87" s="3">
        <f>1872.3+(119.8-398)+(-0.954873+(-0.061098--0.20298))+0-244.4--0.124643999999975</f>
        <v>1349.0116529999998</v>
      </c>
      <c r="AA87" s="3">
        <f>1879.5+(178.6-297.2)+(-2.875635+(-0.273258--0.454716))+0-244.1--0.373473000000014</f>
        <v>1514.4792960000002</v>
      </c>
      <c r="AB87" s="3">
        <f>1873.3+(245.8-293.3)+(-2.866149+(-0.376074--0.448749))+0-245.2--0.375156000000014</f>
        <v>1578.1816819999999</v>
      </c>
      <c r="AC87" s="3">
        <f>1867.8+(299-280.8)+(-1.905156+(-0.30498--0.286416))+0-244.8--0.249696000000039</f>
        <v>1639.5259760000001</v>
      </c>
      <c r="AD87">
        <f t="shared" si="1"/>
        <v>35008.790746000006</v>
      </c>
      <c r="AE87" s="3">
        <f>1886+(210.3-292.8)+(0+(0-0))+0-244.9-0</f>
        <v>1558.6</v>
      </c>
    </row>
    <row r="88" spans="1:31" s="2" customFormat="1" x14ac:dyDescent="0.25">
      <c r="A88">
        <v>89</v>
      </c>
      <c r="B88">
        <v>3</v>
      </c>
      <c r="C88">
        <v>26</v>
      </c>
      <c r="D88">
        <v>5</v>
      </c>
      <c r="E88">
        <v>1</v>
      </c>
      <c r="F88" s="3">
        <f>1893+(290.2-247.3)+(-1.93086+(-0.296004--0.252246))+0-243.7--0.248574000000039</f>
        <v>1690.473956</v>
      </c>
      <c r="G88" s="3">
        <f>1894+(236.7-232.4)+(-0.96594+(-0.120717--0.118524))+0-245.5--0.125204999999975</f>
        <v>1651.9570719999999</v>
      </c>
      <c r="H88" s="3">
        <f>1871.1+(177.1-211.6)+(-1.908522+(-0.180642--0.215832))+0-244.4--0.249288000000039</f>
        <v>1590.5759559999999</v>
      </c>
      <c r="I88" s="3">
        <f>1870.3+(135.7-199.7)+(-2.861559+(-0.207621--0.305541))+0-243.6--0.372708000000014</f>
        <v>1560.3090690000001</v>
      </c>
      <c r="J88" s="3">
        <f>1867.7+(98.5-196.1)+(-0.952527+(-0.050235--0.100011))+0-244.8--0.124847999999975</f>
        <v>1524.522097</v>
      </c>
      <c r="K88" s="3">
        <f>1880.5+(28.4-235)+(-4.795275+(-0.07242--0.59925))+0-244.4--0.623219999999965</f>
        <v>1425.854775</v>
      </c>
      <c r="L88" s="3">
        <f>1880.3+(0-380.4)+(-0.958953+(0--0.194004))+0-243.6--0.124235999999975</f>
        <v>1255.6592870000002</v>
      </c>
      <c r="M88" s="3">
        <f>1877.1+(0-427.8)+(-0.957321+(0--0.218178))+0-243.7--0.124286999999975</f>
        <v>1204.9851439999998</v>
      </c>
      <c r="N88" s="3">
        <f>1858.2+(11.8-446)+(-1.895364+(-0.012036--0.45492))+0-241.5--0.246330000000039</f>
        <v>1181.29385</v>
      </c>
      <c r="O88" s="3">
        <f>1842.2+(65.9-452.1)+(-0.939522+(-0.033609--0.230571))+0-242.3--0.123572999999975</f>
        <v>1213.0810130000002</v>
      </c>
      <c r="P88" s="3">
        <f>1831.9+(99.5-436.5)+(0+(0-0))+0-243.2-0</f>
        <v>1251.7</v>
      </c>
      <c r="Q88" s="3">
        <f>1830.7+(124.4-425.6)+(-1.867314+(-0.126888--0.434112))+0-179.7--0.183294000000029</f>
        <v>1348.4232039999999</v>
      </c>
      <c r="R88" s="3">
        <f>1821.9+(208.6-282.9)+(0+(0-0))+0-243.9-0</f>
        <v>1503.7</v>
      </c>
      <c r="S88" s="3">
        <f>1817.7+(323.2-276.8)+(0+(0-0))+0-243.5-0</f>
        <v>1620.6</v>
      </c>
      <c r="T88" s="3">
        <f>1835.7+(360.4-276.9)+(0+(0-0))+0-242.8-0</f>
        <v>1676.4</v>
      </c>
      <c r="U88" s="3">
        <f>1838.1+(355.3-260.5)+(-0.937431+(-0.181203--0.132855))+0-242.5--0.123674999999975</f>
        <v>1689.5378959999998</v>
      </c>
      <c r="V88" s="3">
        <f>1834.7+(296.5-253.8)+(1.871394+(0.30243-0.258876))+0-243.2-0.248064000000039</f>
        <v>1635.866884</v>
      </c>
      <c r="W88" s="3">
        <f>1844.1+(160-290.8)+(-4.702455+(-0.408--0.74154))+0-244.6--0.623729999999964</f>
        <v>1464.9548150000001</v>
      </c>
      <c r="X88" s="3">
        <f>1845.2+(74.6-435.6)+(-4.70526+(-0.19023--1.11078))+0-244.9--0.624494999999965</f>
        <v>1236.1397850000001</v>
      </c>
      <c r="Y88" s="3">
        <f>1857.3+(6.9-459.4)+(-1.894446+(-0.007038--0.468588))+0-244.7--0.249594000000039</f>
        <v>1158.916698</v>
      </c>
      <c r="Z88" s="3">
        <f>1869.1+(133-359.6)+(0+(0-0))+0-244.2-0</f>
        <v>1398.3</v>
      </c>
      <c r="AA88" s="3">
        <f>1880+(200.6-288.6)+(-2.8764+(-0.306918--0.441558))+0-244.3--0.373779000000014</f>
        <v>1545.3320189999999</v>
      </c>
      <c r="AB88" s="3">
        <f>1885.7+(231.5-265.6)+(-0.961707+(-0.118065--0.135456))+0-244.7--0.124796999999975</f>
        <v>1606.0804809999997</v>
      </c>
      <c r="AC88" s="3">
        <f>1888.6+(265.2-255.9)+(-0.963186+(-0.135252--0.130509))+0-244.3--0.124592999999975</f>
        <v>1652.756664</v>
      </c>
      <c r="AD88">
        <f t="shared" si="1"/>
        <v>35087.420665000005</v>
      </c>
      <c r="AE88" s="3">
        <f>1877+(195.6-287)+(0+(0-0))+0-243.1-0</f>
        <v>1542.5</v>
      </c>
    </row>
    <row r="89" spans="1:31" s="2" customFormat="1" x14ac:dyDescent="0.25">
      <c r="A89">
        <v>89</v>
      </c>
      <c r="B89">
        <v>3</v>
      </c>
      <c r="C89">
        <v>27</v>
      </c>
      <c r="D89">
        <v>6</v>
      </c>
      <c r="E89">
        <v>1</v>
      </c>
      <c r="F89" s="3">
        <f>1887.7+(258.6-259.2)+(-1.925454+(-0.263772--0.264384))+0-244.2--0.249084000000039</f>
        <v>1641.2242420000002</v>
      </c>
      <c r="G89" s="3">
        <f>1887.3+(228.3-258.8)+(0+(0-0))+0-245-0</f>
        <v>1611.8</v>
      </c>
      <c r="H89" s="3">
        <f>1888.1+(225.8-307.3)+(-2.888793+(-0.345474--0.470169))+0-244.8--0.374544000000014</f>
        <v>1559.4104459999999</v>
      </c>
      <c r="I89" s="3">
        <f>1888+(179-296.2)+(-1.92576+(-0.18258--0.302124))+0-245.2--0.250104000000039</f>
        <v>1524.0438879999999</v>
      </c>
      <c r="J89" s="3">
        <f>1889.6+(135.9-287.9)+(-1.927392+(-0.138618--0.293658))+0-244.7--0.249594000000039</f>
        <v>1491.377242</v>
      </c>
      <c r="K89" s="3">
        <f>1886.5+(88.4-345.7)+(-4.810575+(-0.22542--0.881535))+0-243.6--0.621179999999965</f>
        <v>1382.06672</v>
      </c>
      <c r="L89" s="3">
        <f>1890+(0-433.9)+(-4.8195+(0--1.106445))+0-243.5--0.620924999999965</f>
        <v>1209.5078699999999</v>
      </c>
      <c r="M89" s="3">
        <f>1882.6+(16.3-491.8)+(2.880378+(0.024939-0.752454))+0-242.4-0.370872000000014</f>
        <v>1166.4819909999999</v>
      </c>
      <c r="N89" s="3">
        <f>1871.9+(54.2-515.5)+(0+(0-0))+0-243.1-0</f>
        <v>1167.5000000000002</v>
      </c>
      <c r="O89" s="3">
        <f>1857.3+(69.8-491.8)+(2.841669+(0.106794-0.752454))+0-244.4-0.373932000000014</f>
        <v>1192.7220769999999</v>
      </c>
      <c r="P89" s="3">
        <f>1847.5+(101.9-475.1)+(0+(0-0))+0-244.1-0</f>
        <v>1230.2</v>
      </c>
      <c r="Q89" s="3">
        <f>1841.2+(144.3-389.1)+(1.878024+(0.147186-0.396882))+0-244.7-0.249594000000039</f>
        <v>1353.0787339999999</v>
      </c>
      <c r="R89" s="3">
        <f>1850.4+(204.7-288.6)+(0+(0-0))+0-244.2-0</f>
        <v>1522.3</v>
      </c>
      <c r="S89" s="3">
        <f>1852.4+(320.1-268.6)+(0+(0-0))+0-243.7-0</f>
        <v>1660.2</v>
      </c>
      <c r="T89" s="3">
        <f>1855.7+(361.2-256.6)+(0+(0-0))+0-243.3-0</f>
        <v>1717</v>
      </c>
      <c r="U89" s="3">
        <f>1853.9+(356.8-262.8)+(-1.890978+(-0.363936--0.268056))+0-243.1--0.247962000000039</f>
        <v>1703.0611040000003</v>
      </c>
      <c r="V89" s="3">
        <f>1841.2+(299-266.9)+(0+(0-0))+0-242.7-0</f>
        <v>1630.6000000000001</v>
      </c>
      <c r="W89" s="3">
        <f>1844.1+(149.7-297.8)+(-4.702455+(-0.381735--0.75939))+0-242.9--0.619394999999965</f>
        <v>1449.3945949999998</v>
      </c>
      <c r="X89" s="3">
        <f>1851.7+(53.5-447.5)+(-3.777468+(-0.10914--0.9129))+0-244.3--0.498371999999989</f>
        <v>1210.9246640000001</v>
      </c>
      <c r="Y89" s="3">
        <f>1861.9+(5.5-483.2)+(-0.949569+(-0.002805--0.246432))+0-243.5--0.124184999999975</f>
        <v>1140.1182429999999</v>
      </c>
      <c r="Z89" s="3">
        <f>1869.9+(119.4-372)+(-0.953649+(-0.060894--0.18972))+0-244--0.124439999999975</f>
        <v>1372.5996170000003</v>
      </c>
      <c r="AA89" s="3">
        <f>1876.6+(184.2-310.9)+(-4.78533+(-0.46971--0.792795))+0-242.6--0.618629999999965</f>
        <v>1503.456385</v>
      </c>
      <c r="AB89" s="3">
        <f>1877.7+(206.5-274.3)+(-0.957627+(-0.105315--0.139893))+0-243.5--0.124184999999975</f>
        <v>1565.601136</v>
      </c>
      <c r="AC89" s="3">
        <f>1882+(248.7-255.9)+(-3.83928+(-0.507348--0.522036))+0-243.4--0.496535999999989</f>
        <v>1628.0719439999998</v>
      </c>
      <c r="AD89">
        <f t="shared" si="1"/>
        <v>34632.740898000004</v>
      </c>
      <c r="AE89" s="3">
        <f>1873+(178-311.2)+(0+(0-0))+0-242.5-0</f>
        <v>1497.3</v>
      </c>
    </row>
    <row r="90" spans="1:31" s="2" customFormat="1" x14ac:dyDescent="0.25">
      <c r="A90">
        <v>89</v>
      </c>
      <c r="B90">
        <v>3</v>
      </c>
      <c r="C90">
        <v>28</v>
      </c>
      <c r="D90">
        <v>7</v>
      </c>
      <c r="E90">
        <v>1</v>
      </c>
      <c r="F90" s="3">
        <f>1888.7+(280.5-295.5)+(-2.889711+(-0.429165--0.452115))+0-243.1--0.371943000000014</f>
        <v>1628.1051820000002</v>
      </c>
      <c r="G90" s="3">
        <f>1876.9+(287.1-306.2)+(-1.914438+(-0.292842--0.312324))+0-244.7--0.249594000000039</f>
        <v>1611.4546380000002</v>
      </c>
      <c r="H90" s="3">
        <f>1773.5+(341.4-281.4)+(-2.713455+(-0.522342--0.430542))+0-245.4--0.375462000000014</f>
        <v>1585.6702069999999</v>
      </c>
      <c r="I90" s="3">
        <f>1751.1+(315.9-265.2)+(-2.679183+(-0.483327--0.405756))+0-244.1--0.373473000000014</f>
        <v>1555.3167190000001</v>
      </c>
      <c r="J90" s="3">
        <f>1751.5+(279-256.9)+(-2.679795+(-0.42687--0.393057))+0-244.2--0.373626000000014</f>
        <v>1527.0600179999999</v>
      </c>
      <c r="K90" s="3">
        <f>1753.5+(194.3-261.4)+(-2.682855+(-0.297279--0.399942))+0-243.2--0.372096000000014</f>
        <v>1440.9919040000002</v>
      </c>
      <c r="L90" s="3">
        <f>1793.4+(48.5-287.5)+(0+(0-0))+0-243.4-0</f>
        <v>1311</v>
      </c>
      <c r="M90" s="3">
        <f>1787.7+(22.9-318.1)+(0+(0-0))+0-242.8-0</f>
        <v>1249.7</v>
      </c>
      <c r="N90" s="3">
        <f>1794.9+(30.7-370.7)+(-3.661596+(-0.062628--0.756228))+0-244.1--0.497963999999989</f>
        <v>1208.329968</v>
      </c>
      <c r="O90" s="3">
        <f>1799.3+(59-437.4)+(-2.752929+(-0.09027--0.669222))+0-243.4--0.372402000000014</f>
        <v>1175.698425</v>
      </c>
      <c r="P90" s="3">
        <f>1839.5+(92.7-476.3)+(0+(0-0))+0-244.3-0</f>
        <v>1211.6000000000001</v>
      </c>
      <c r="Q90" s="3">
        <f>1837.2+(132.6-424.4)+(0+(0-0))+0-243.6-0</f>
        <v>1301.8000000000002</v>
      </c>
      <c r="R90" s="3">
        <f>1828.2+(197.4-345.9)+(-0.932382+(-0.100674--0.176409))+0-243.6--0.124235999999975</f>
        <v>1435.367589</v>
      </c>
      <c r="S90" s="3">
        <f>1841.8+(288.8-332.7)+(-0.939318+(-0.147288--0.169677))+0-244.1--0.124490999999975</f>
        <v>1553.0075620000002</v>
      </c>
      <c r="T90" s="3">
        <f>1847.8+(359-324.8)+(-0.942378+(-0.18309--0.165648))+0-243.7--0.124286999999975</f>
        <v>1637.4644669999998</v>
      </c>
      <c r="U90" s="3">
        <f>1843.9+(348.9-310.7)+(-1.880778+(-0.355878--0.316914))+0-243.6--0.248472000000039</f>
        <v>1636.8287300000002</v>
      </c>
      <c r="V90" s="3">
        <f>1843+(260.4-274.3)+(-0.93993+(-0.132804--0.139893))+0-242.6--0.123725999999975</f>
        <v>1585.690885</v>
      </c>
      <c r="W90" s="3">
        <f>1851.1+(111.2-315.1)+(-2.832183+(-0.170136--0.482103))+0-242.8--0.371484000000014</f>
        <v>1402.251268</v>
      </c>
      <c r="X90" s="3">
        <f>1855.3+(31.4-472.6)+(-4.731015+(-0.08007--1.20513))+0-242.1--0.617354999999965</f>
        <v>1169.0113999999999</v>
      </c>
      <c r="Y90" s="3">
        <f>1859.5+(0-517.9)+(-1.89669+(0--0.528258))+0-242.9--0.247758000000039</f>
        <v>1097.5793259999998</v>
      </c>
      <c r="Z90" s="3">
        <f>1863.9+(107.8-397.9)+(-0.950589+(-0.054978--0.202929))+0-243--0.123929999999975</f>
        <v>1330.1212920000003</v>
      </c>
      <c r="AA90" s="3">
        <f>1793+(213.4-279.3)+(-2.74329+(-0.326502--0.427329))+0-243--0.371790000000014</f>
        <v>1481.8293269999999</v>
      </c>
      <c r="AB90" s="3">
        <f>1641.8+(380.4-239.7)+(-1.674636+(-0.388008--0.244494))+0-242.4--0.247248000000039</f>
        <v>1538.529098</v>
      </c>
      <c r="AC90" s="3">
        <f>1644.1+(453.6-237.8)+(-3.353964+(-0.925344--0.485112))+0-242.1--0.493883999999989</f>
        <v>1614.4996879999999</v>
      </c>
      <c r="AD90">
        <f t="shared" si="1"/>
        <v>34288.907693000001</v>
      </c>
      <c r="AE90" s="3">
        <f>1860+(159-314)+(0+(0-0))+0-242.5-0</f>
        <v>1462.5</v>
      </c>
    </row>
    <row r="91" spans="1:31" s="2" customFormat="1" x14ac:dyDescent="0.25">
      <c r="A91">
        <v>89</v>
      </c>
      <c r="B91">
        <v>3</v>
      </c>
      <c r="C91">
        <v>29</v>
      </c>
      <c r="D91">
        <v>1</v>
      </c>
      <c r="E91">
        <v>1</v>
      </c>
      <c r="F91" s="3">
        <f>1640.5+(479.5-229.2)+(-1.67331+(-0.48909--0.233784))+0-242.7--0.247554000000039</f>
        <v>1646.418938</v>
      </c>
      <c r="G91" s="3">
        <f>1641.4+(446.2-222.1)+(-3.348456+(-0.910248--0.453084))+0-244.5--0.498779999999989</f>
        <v>1617.6931599999998</v>
      </c>
      <c r="H91" s="3">
        <f>1641.3+(407.7-203.4)+(-2.511189+(-0.623781--0.311202))+0-244--0.373320000000014</f>
        <v>1599.1495519999999</v>
      </c>
      <c r="I91" s="3">
        <f>1646.1+(380.6-202.4)+(-5.037066+(-1.164636--0.619344))+0-245.1--0.750006000000028</f>
        <v>1574.3676479999999</v>
      </c>
      <c r="J91" s="3">
        <f>1643.7+(348.9-208.1)+(0+(0-0))+0-244.7-0</f>
        <v>1539.8</v>
      </c>
      <c r="K91" s="3">
        <f>1651.5+(227.6-200.2)+(-0.842265+(-0.116076--0.102102))+0-244.4--0.124643999999975</f>
        <v>1433.768405</v>
      </c>
      <c r="L91" s="3">
        <f>1652.1+(92.3-219.3)+(-0.842571+(-0.047073--0.111843))+0-243--0.123929999999975</f>
        <v>1281.4461289999999</v>
      </c>
      <c r="M91" s="3">
        <f>1645.1+(76.2-251.1)+(-1.678002+(-0.077724--0.256122))+0-242.7--0.247554000000039</f>
        <v>1226.2479499999997</v>
      </c>
      <c r="N91" s="3">
        <f>1632.2+(128-309.2)+(0.832422+(0.06528-0.157692))+0-243.7-0.124286999999975</f>
        <v>1207.9157230000001</v>
      </c>
      <c r="O91" s="3">
        <f>1624.5+(163.7-328.3)+(0.828495+(0.083487-0.167433))+0-244.7-0.124796999999975</f>
        <v>1215.8197520000001</v>
      </c>
      <c r="P91" s="3">
        <f>1621+(196.2-297.3)+(-1.65342+(-0.200124--0.303246))+0-245.4--0.250308000000039</f>
        <v>1273.20001</v>
      </c>
      <c r="Q91" s="3">
        <f>1623.1+(286.7-266.7)+(1.655562+(0.292434-0.272034))+0-247-0.251940000000039</f>
        <v>1397.5240219999998</v>
      </c>
      <c r="R91" s="3">
        <f>1759.3+(338.1-307.3)+(-1.794486+(-0.344862--0.313446))+0-246.3--0.251226000000039</f>
        <v>1542.225324</v>
      </c>
      <c r="S91" s="3">
        <f>1801.5+(432.1-300.8)+(0+(0-0))+0-245.2-0</f>
        <v>1687.6</v>
      </c>
      <c r="T91" s="3">
        <f>1807.6+(454.6-301.5)+(-0.921876+(-0.231846--0.153765))+0-244.5--0.124694999999975</f>
        <v>1715.3247379999998</v>
      </c>
      <c r="U91" s="3">
        <f>1764.7+(471.1-281.1)+(-1.799994+(-0.480522--0.286722))+0-244.7--0.249594000000039</f>
        <v>1708.2558000000001</v>
      </c>
      <c r="V91" s="3">
        <f>1553+(563.2-235)+(0.79203+(0.287232-0.11985))+0-244.7-0.124796999999975</f>
        <v>1637.334615</v>
      </c>
      <c r="W91" s="3">
        <f>1301.6+(563.9-154.8)+(-2.655264+(-1.150356--0.315792))+0-245.3--0.500411999999989</f>
        <v>1462.410584</v>
      </c>
      <c r="X91" s="3">
        <f>1309.7+(310.1-152.3)+(-4.007682+(-0.948906--0.466038))+0-246.1--0.753066000000028</f>
        <v>1217.6625160000001</v>
      </c>
      <c r="Y91" s="3">
        <f>1329.1+(220-163)+(-0.677841+(-0.1122--0.08313))+0-245.2--0.125051999999975</f>
        <v>1140.3181409999997</v>
      </c>
      <c r="Z91" s="3">
        <f>1392.9+(452-218.1)+(0+(0-0))+0-245-0</f>
        <v>1381.8000000000002</v>
      </c>
      <c r="AA91" s="3">
        <f>1511.1+(516.7-232.9)+(0+(0-0))+0-245.5-0</f>
        <v>1549.4</v>
      </c>
      <c r="AB91" s="3">
        <f>1501.8+(579.1-223.5)+(-2.297754+(-0.886023--0.341955))+0-244.2--0.373626000000014</f>
        <v>1610.731804</v>
      </c>
      <c r="AC91" s="3">
        <f>1412.7+(675.7-194.2)+(-1.440954+(-0.689214--0.198084))+0-243.5--0.248370000000039</f>
        <v>1649.016286</v>
      </c>
      <c r="AD91">
        <f t="shared" si="1"/>
        <v>35315.431096999993</v>
      </c>
      <c r="AE91" s="3">
        <f>1521+(519.2-233.8)+(0+(0-0))+0-246.7-0</f>
        <v>1559.7</v>
      </c>
    </row>
    <row r="92" spans="1:31" s="2" customFormat="1" x14ac:dyDescent="0.25">
      <c r="A92">
        <v>89</v>
      </c>
      <c r="B92">
        <v>3</v>
      </c>
      <c r="C92">
        <v>30</v>
      </c>
      <c r="D92">
        <v>2</v>
      </c>
      <c r="E92">
        <v>1</v>
      </c>
      <c r="F92" s="3">
        <f>1403.2+(665.9-177.9)+(-2.862528+(-1.358436--0.362916))+0-243.1--0.495923999999989</f>
        <v>1644.7378760000001</v>
      </c>
      <c r="G92" s="3">
        <f>1386.9+(658.8-180.9)+(-0.707319+(-0.335988--0.092259))+0-244.3--0.124592999999975</f>
        <v>1619.6735450000003</v>
      </c>
      <c r="H92" s="3">
        <f>1388.4+(616-171.9)+(0.708084+(0.31416-0.087669))+0-243.5-0.124184999999975</f>
        <v>1589.8103900000001</v>
      </c>
      <c r="I92" s="3">
        <f>1422.8+(541.7-167.7)+(-2.176884+(-0.828801--0.256581))+0-243.3--0.372249000000014</f>
        <v>1551.123145</v>
      </c>
      <c r="J92" s="3">
        <f>1454.2+(473.5-164.2)+(-2.224926+(-0.724455--0.251226))+0-243.5--0.372555000000014</f>
        <v>1517.6743999999999</v>
      </c>
      <c r="K92" s="3">
        <f>1459.1+(355.3-152.3)+(-2.976564+(-0.724812--0.310692))+0-244.5--0.498779999999989</f>
        <v>1414.7080959999998</v>
      </c>
      <c r="L92" s="3">
        <f>1454.9+(167.4-152.1)+(0.741999+(0.085374-0.077571))+0-243.1-0.123980999999975</f>
        <v>1227.7258210000002</v>
      </c>
      <c r="M92" s="3">
        <f>1453.1+(152.1-190.5)+(0+(0-0))+0-241.9-0</f>
        <v>1172.7999999999997</v>
      </c>
      <c r="N92" s="3">
        <f>1406.8+(199.6-193.4)+(1.434936+(0.203592-0.197268))+0-243-0.247860000000039</f>
        <v>1171.1934000000001</v>
      </c>
      <c r="O92" s="3">
        <f>1333.2+(295.6-199.9)+(1.359864+(0.301512-0.203898))+0-245-0.249900000000039</f>
        <v>1185.1075780000001</v>
      </c>
      <c r="P92" s="3">
        <f>1325.6+(399.2-226.8)+(0.676056+(0.203592-0.115668))+0-245.6-0.125255999999975</f>
        <v>1253.038724</v>
      </c>
      <c r="Q92" s="3">
        <f>1312.6+(542-244.9)+(0.669426+(0.27642-0.124899))+0-245.1-0.125000999999975</f>
        <v>1365.295946</v>
      </c>
      <c r="R92" s="3">
        <f>1317+(706.6-236.7)+(0.67167+(0.360366-0.120717))+0-245-0.124949999999975</f>
        <v>1542.6863690000002</v>
      </c>
      <c r="S92" s="3">
        <f>1321+(812.4-191.6)+(0+(0-0))+0-244.8-0</f>
        <v>1697</v>
      </c>
      <c r="T92" s="3">
        <f>1321.4+(845.7-182.2)+(0.673914+(0.431307-0.092922))+0-244.1-0.124490999999975</f>
        <v>1741.6878080000001</v>
      </c>
      <c r="U92" s="3">
        <f>1369.2+(811.8-190.2)+(-1.396584+(-0.828036--0.194004))+0-244.2--0.249084000000039</f>
        <v>1744.8184679999999</v>
      </c>
      <c r="V92" s="3">
        <f>1367.9+(715.7-180.5)+(-1.395258+(-0.730014--0.18411))+0-245.3--0.250206000000039</f>
        <v>1656.109044</v>
      </c>
      <c r="W92" s="3">
        <f>1372.9+(497.1-161.8)+(-1.400358+(-0.507042--0.165036))+0-245--0.249900000000039</f>
        <v>1461.7075360000001</v>
      </c>
      <c r="X92" s="3">
        <f>1382+(261.1-155)+(-2.11446+(-0.399483--0.23715))+0-245.6--0.375768000000014</f>
        <v>1240.5989750000001</v>
      </c>
      <c r="Y92" s="3">
        <f>1394.5+(200-186.9)+(-0.711195+(-0.102--0.095319))+0-247.5--0.126224999999975</f>
        <v>1159.508349</v>
      </c>
      <c r="Z92" s="3">
        <f>1388.8+(476.3-239.2)+(0+(0-0))+0-247.2-0</f>
        <v>1378.7</v>
      </c>
      <c r="AA92" s="3">
        <f>1382.6+(631.4-224.6)+(-1.410252+(-0.644028--0.229092))+0-248.6--0.25357200000004</f>
        <v>1539.228384</v>
      </c>
      <c r="AB92" s="3">
        <f>1380.2+(673.1-202.1)+(-0.703902+(-0.343281--0.103071))+0-248.6--0.126785999999975</f>
        <v>1601.7826740000003</v>
      </c>
      <c r="AC92" s="3">
        <f>1374.5+(725.8-196.4)+(0+(0-0))+0-247.2-0</f>
        <v>1656.7</v>
      </c>
      <c r="AD92">
        <f t="shared" si="1"/>
        <v>35133.416528000002</v>
      </c>
      <c r="AE92" s="3">
        <f>1389+(662.4-235.4)+(0+(0-0))+0-247.3-0</f>
        <v>1568.7</v>
      </c>
    </row>
    <row r="93" spans="1:31" s="2" customFormat="1" x14ac:dyDescent="0.25">
      <c r="A93">
        <v>89</v>
      </c>
      <c r="B93">
        <v>3</v>
      </c>
      <c r="C93">
        <v>31</v>
      </c>
      <c r="D93">
        <v>3</v>
      </c>
      <c r="E93">
        <v>1</v>
      </c>
      <c r="F93" s="3">
        <f>1369.7+(730-195.3)+(-0.698547+(-0.3723--0.099603))+0-248.3--0.126632999999975</f>
        <v>1655.2553890000002</v>
      </c>
      <c r="G93" s="3">
        <f>1369.6+(690.4-180.3)+(0.698496+(0.352104-0.091953))+0-247.4-0.126173999999975</f>
        <v>1633.1324729999997</v>
      </c>
      <c r="H93" s="3">
        <f>1372.3+(655.2-179)+(0.699873+(0.334152-0.09129))+0-247.1-0.126020999999975</f>
        <v>1602.2167140000001</v>
      </c>
      <c r="I93" s="3">
        <f>1364.4+(671-216.6)+(1.391688+(0.68442-0.220932))+0-246.8-0.251736000000039</f>
        <v>1573.6034400000003</v>
      </c>
      <c r="J93" s="3">
        <f>1324.3+(683.2-211.6)+(2.701572+(1.393728-0.431664))+0-247.2-0.504287999999989</f>
        <v>1551.859348</v>
      </c>
      <c r="K93" s="3">
        <f>1139.7+(722.6-166.9)+(0+(0-0))+0-246.5-0</f>
        <v>1448.9</v>
      </c>
      <c r="L93" s="3">
        <f>1120.7+(542.8-141.9)+(-0.571557+(-0.276828--0.072369))+0-246.5--0.125714999999975</f>
        <v>1274.4496989999998</v>
      </c>
      <c r="M93" s="3">
        <f>1118.4+(504-155.6)+(0+(0-0))+0-246.3-0</f>
        <v>1220.5000000000002</v>
      </c>
      <c r="N93" s="3">
        <f>1116.8+(541.5-198.1)+(1.139136+(0.55233-0.202062))+0-247.5-0.252450000000039</f>
        <v>1213.9369539999998</v>
      </c>
      <c r="O93" s="3">
        <f>1116.1+(579.5-226.9)+(1.138422+(0.59109-0.231438))+0-248.5-0.25347000000004</f>
        <v>1221.4446039999998</v>
      </c>
      <c r="P93" s="3">
        <f>1132.8+(670.7-251.8)+(0+(0-0))+0-248.4-0</f>
        <v>1303.3</v>
      </c>
      <c r="Q93" s="3">
        <f>1132.2+(816.8-264)+(0+(0-0))+0-248-0</f>
        <v>1437</v>
      </c>
      <c r="R93" s="3">
        <f>1124.9+(971-246.8)+(0.573699+(0.49521-0.125868))+19.2-248.3-0.126632999999975</f>
        <v>1620.8164080000001</v>
      </c>
      <c r="S93" s="3">
        <f>1120.5+(1064-230.5)+(0+(0-0))+20-251.8-0</f>
        <v>1722.2</v>
      </c>
      <c r="T93" s="3">
        <f>1117+(1080.8-222.8)+(0.56967+(0.551208-0.113628))+20-250.2-0.127601999999975</f>
        <v>1745.679648</v>
      </c>
      <c r="U93" s="3">
        <f>1102.4+(1059.6-182.6)+(-0.562224+(-0.540396--0.093126))+20-250.2--0.127601999999975</f>
        <v>1748.3181080000002</v>
      </c>
      <c r="V93" s="3">
        <f>1102+(1011-193.8)+(1.12404+(1.03122-0.197676))+20-249.3-0.25428600000004</f>
        <v>1691.603298</v>
      </c>
      <c r="W93" s="3">
        <f>1101.5+(771.7-147.5)+(0.561765+(0.393567-0.075225))+1.7-248.3-0.126632999999975</f>
        <v>1479.853474</v>
      </c>
      <c r="X93" s="3">
        <f>1090+(452.7-75)+(0+(0-0))+0-248.3-0</f>
        <v>1219.4000000000001</v>
      </c>
      <c r="Y93" s="3">
        <f>1090.4+(450.9-139.8)+(1.112208+(0.459918-0.142596))+0-246.9-0.251838000000039</f>
        <v>1155.7776919999999</v>
      </c>
      <c r="Z93" s="3">
        <f>1095.8+(762.6-204.8)+(0+(0-0))+0-248.8-0</f>
        <v>1404.8</v>
      </c>
      <c r="AA93" s="3">
        <f>1101.3+(926.7-204.1)+(-0.561663+(-0.472617--0.104091))+0-249.4--0.127193999999975</f>
        <v>1573.697005</v>
      </c>
      <c r="AB93" s="3">
        <f>1094.3+(971.8-191.5)+(0+(0-0))+0-247.9-0</f>
        <v>1626.6999999999998</v>
      </c>
      <c r="AC93" s="3">
        <f>1344+(773.3-219)+(-2.05632+(-1.183149--0.33507))+0-246.8--0.377604000000014</f>
        <v>1648.973205</v>
      </c>
      <c r="AD93">
        <f t="shared" si="1"/>
        <v>35773.417458999997</v>
      </c>
      <c r="AE93" s="3">
        <f>1100+(913.4-225.6)+(0+(0-0))+0-247.9-0</f>
        <v>1539.8999999999999</v>
      </c>
    </row>
    <row r="94" spans="1:31" s="2" customFormat="1" x14ac:dyDescent="0.25">
      <c r="A94">
        <v>89</v>
      </c>
      <c r="B94">
        <v>4</v>
      </c>
      <c r="C94">
        <v>1</v>
      </c>
      <c r="D94">
        <v>4</v>
      </c>
      <c r="E94">
        <v>1</v>
      </c>
      <c r="F94" s="3">
        <f>1538.6+(596.4-242)+(-3.92343+(-1.52082--0.6171))+0-246.6--0.628829999999964</f>
        <v>1642.2016799999999</v>
      </c>
      <c r="G94" s="3">
        <f>1537+(565.4-231.1)+(-2.35161+(-0.865062--0.353583))+0-249.9--0.382347000000014</f>
        <v>1618.9192579999999</v>
      </c>
      <c r="H94" s="3">
        <f>1541+(527.2-228)+(-3.14364+(-1.075488--0.46512))+0-251.3--0.512651999999989</f>
        <v>1585.6586439999999</v>
      </c>
      <c r="I94" s="3">
        <f>1540.6+(488.8-217.6)+(-2.357118+(-0.747864--0.332928))+0-250.1--0.382653000000014</f>
        <v>1559.3105990000001</v>
      </c>
      <c r="J94" s="3">
        <f>1543.5+(448-210.5)+(-0.787185+(-0.22848--0.107355))+0-249.9--0.127448999999975</f>
        <v>1530.319139</v>
      </c>
      <c r="K94" s="3">
        <f>1569.1+(319.8-193.4)+(-3.200964+(-0.652392--0.394536))+0-250.9--0.511835999999989</f>
        <v>1441.6530159999998</v>
      </c>
      <c r="L94" s="3">
        <f>1573.1+(156.3-191.7)+(0.802281+(0.079713-0.097767))+0-248.7-0.126836999999975</f>
        <v>1289.6573899999999</v>
      </c>
      <c r="M94" s="3">
        <f>1572.9+(106.2-204.7)+(1.604358+(0.108324-0.208794))+0-247-0.251940000000039</f>
        <v>1228.6519479999999</v>
      </c>
      <c r="N94" s="3">
        <f>1568.2+(140.2-236.3)+(-0.799782+(-0.071502--0.120513))+0-244.9--0.124898999999975</f>
        <v>1226.5741279999997</v>
      </c>
      <c r="O94" s="3">
        <f>1557.2+(190.7-264.7)+(1.588344+(0.194514-0.269994))+0-250.7-0.25571400000004</f>
        <v>1233.7571499999999</v>
      </c>
      <c r="P94" s="3">
        <f>1555.5+(273.2-281.4)+(0.793305+(0.139332-0.143514))+0-249.1-0.127040999999975</f>
        <v>1298.8620820000001</v>
      </c>
      <c r="Q94" s="3">
        <f>1549.6+(415-291.8)+(0+(0-0))+0-246.6-0</f>
        <v>1426.2</v>
      </c>
      <c r="R94" s="3">
        <f>1584.8+(552.1-285)+(-0.808248+(-0.281571--0.14535))+0-247.8--0.126377999999975</f>
        <v>1603.281909</v>
      </c>
      <c r="S94" s="3">
        <f>1763.1+(516.2-305.5)+(-1.798362+(-0.526524--0.31161))+0-247.8--0.25275600000004</f>
        <v>1724.2394800000002</v>
      </c>
      <c r="T94" s="3">
        <f>1785.3+(524.8-289.9)+(0.910503+(0.267648-0.147849))+0-246.2-0.125561999999975</f>
        <v>1774.9047399999997</v>
      </c>
      <c r="U94" s="3">
        <f>1784.2+(491.2-266.5)+(2.729826+(0.751536-0.407745))+0-245-0.374850000000014</f>
        <v>1766.5987670000002</v>
      </c>
      <c r="V94" s="3">
        <f>1787.9+(410.3-268.6)+(-1.823658+(-0.418506--0.273972))+0-244.4--0.249288000000039</f>
        <v>1683.481096</v>
      </c>
      <c r="W94" s="3">
        <f>1789.6+(229.6-271.3)+(-1.825392+(-0.234192--0.276726))+0-244.6--0.249492000000039</f>
        <v>1501.7666340000001</v>
      </c>
      <c r="X94" s="3">
        <f>1801+(113.9-392.2)+(-2.75553+(-0.174267--0.600066))+0-244.3--0.373779000000014</f>
        <v>1276.4440480000001</v>
      </c>
      <c r="Y94" s="3">
        <f>1812.8+(69.9-428)+(0.924528+(0.035649-0.21828))+0-245-0.124949999999975</f>
        <v>1210.316947</v>
      </c>
      <c r="Z94" s="3">
        <f>1820.9+(205.8-332.1)+(-2.785977+(-0.314874--0.508113))+0-246--0.376380000000014</f>
        <v>1446.383642</v>
      </c>
      <c r="AA94" s="3">
        <f>1824.2+(328.3-306.5)+(-0.930342+(-0.167433--0.156315))+0-246.3--0.125612999999975</f>
        <v>1598.884153</v>
      </c>
      <c r="AB94" s="3">
        <f>1814.9+(367.5-289.5)+(0+(0-0))+0-247.3-0</f>
        <v>1645.6000000000001</v>
      </c>
      <c r="AC94" s="3">
        <f>1798.9+(419.9-279)+(-0.917439+(-0.214149--0.14229))+0-247--0.125969999999975</f>
        <v>1691.9366720000003</v>
      </c>
      <c r="AD94">
        <f t="shared" si="1"/>
        <v>36005.603122</v>
      </c>
      <c r="AE94" s="3">
        <f>1822+(321.6-308.5)+(0+(0-0))+0-245.5-0</f>
        <v>1589.6</v>
      </c>
    </row>
    <row r="95" spans="1:31" s="2" customFormat="1" x14ac:dyDescent="0.25">
      <c r="A95">
        <v>89</v>
      </c>
      <c r="B95">
        <v>4</v>
      </c>
      <c r="C95">
        <v>2</v>
      </c>
      <c r="D95">
        <v>5</v>
      </c>
      <c r="E95">
        <v>1</v>
      </c>
      <c r="F95" s="3">
        <f>1776.9+(411.5-276.1)+(0+(0-0))+0-245.3-0</f>
        <v>1667.0000000000002</v>
      </c>
      <c r="G95" s="3">
        <f>1794.1+(365.7-270)+(-1.829982+(-0.373014--0.2754))+0-247.8--0.25275600000004</f>
        <v>1640.3251600000001</v>
      </c>
      <c r="H95" s="3">
        <f>1792.1+(335.9-266.9)+(0+(0-0))+0-247.9-0</f>
        <v>1613.1999999999998</v>
      </c>
      <c r="I95" s="3">
        <f>1789.6+(299.6-259.9)+(-1.825392+(-0.305592--0.265098))+0-246.9--0.251838000000039</f>
        <v>1580.785952</v>
      </c>
      <c r="J95" s="3">
        <f>1786.6+(262.6-249.7)+(-0.911166+(-0.133926--0.127347))+0-245.8--0.125357999999975</f>
        <v>1552.9076130000001</v>
      </c>
      <c r="K95" s="3">
        <f>1789.8+(157-230)+(-1.825596+(-0.16014--0.2346))+0-245.6--0.250512000000039</f>
        <v>1469.699376</v>
      </c>
      <c r="L95" s="3">
        <f>1792.2+(17.1-245)+(-0.914022+(-0.008721--0.12495))+0-243--0.123929999999975</f>
        <v>1320.626137</v>
      </c>
      <c r="M95" s="3">
        <f>1790.3+(22.6-314.1)+(-0.913053+(-0.011526--0.160191))+0-243.1--0.123980999999975</f>
        <v>1255.0595929999999</v>
      </c>
      <c r="N95" s="3">
        <f>1785.8+(81-383.8)+(0+(0-0))+0-244.2-0</f>
        <v>1238.8</v>
      </c>
      <c r="O95" s="3">
        <f>1780+(130.7-412.6)+(-2.7234+(-0.199971--0.631278))+0-246.8--0.377604000000014</f>
        <v>1249.385511</v>
      </c>
      <c r="P95" s="3">
        <f>1774.2+(157.6-390.2)+(0.904842+(0.080376-0.199002))+0-249.6-0.127295999999975</f>
        <v>1292.6589200000003</v>
      </c>
      <c r="Q95" s="3">
        <f>1769.4+(218.6-340.4)+(-0.902394+(-0.111486--0.173604))+0-249.6--0.127295999999975</f>
        <v>1397.2870200000002</v>
      </c>
      <c r="R95" s="3">
        <f>1758+(380.1-321.1)+(0.89658+(0.193851-0.163761))+0-249.1-0.127040999999975</f>
        <v>1568.6996290000002</v>
      </c>
      <c r="S95" s="3">
        <f>1728.5+(497.4-290)+(-0.881535+(-0.253674--0.1479))+0-250.6--0.127805999999975</f>
        <v>1684.4404970000001</v>
      </c>
      <c r="T95" s="3">
        <f>1638.5+(620.6-275.5)+(1.67127+(0.633012-0.28101))+0-248.7-0.25367400000004</f>
        <v>1736.6695979999997</v>
      </c>
      <c r="U95" s="3">
        <f>1748.2+(519.5-289.9)+(0.891582+(0.264945-0.147849))+0-249.4-0.127193999999975</f>
        <v>1729.2814840000001</v>
      </c>
      <c r="V95" s="3">
        <f>1770.2+(422.3-298.2)+(0+(0-0))+0-248.3-0</f>
        <v>1646.0000000000002</v>
      </c>
      <c r="W95" s="3">
        <f>1771.3+(222.1-276.2)+(-0.903363+(-0.113271--0.140862))+0-247.9--0.126428999999975</f>
        <v>1468.5506569999998</v>
      </c>
      <c r="X95" s="3">
        <f>1780.7+(116.3-404.3)+(-2.724471+(-0.177939--0.618579))+0-247.9--0.379287000000014</f>
        <v>1242.895456</v>
      </c>
      <c r="Y95" s="3">
        <f>1787.8+(105.1-498.4)+(-1.823556+(-0.107202--0.508368))+0-249--0.25398000000004</f>
        <v>1144.33159</v>
      </c>
      <c r="Z95" s="3">
        <f>1799.9+(200-373.2)+(0+(0-0))+0-247.6-0</f>
        <v>1379.1000000000001</v>
      </c>
      <c r="AA95" s="3">
        <f>1810.6+(281-309.8)+(-2.770218+(-0.42993--0.473994))+0-248.2--0.379746000000014</f>
        <v>1531.253592</v>
      </c>
      <c r="AB95" s="3">
        <f>1814.9+(328.6-295.2)+(-1.851198+(-0.335172--0.301104))+0-247.3--0.252246000000039</f>
        <v>1599.3669800000002</v>
      </c>
      <c r="AC95" s="3">
        <f>1719.4+(432.6-256.6)+(-0.876894+(-0.220626--0.130866))+0-248.2--0.126581999999975</f>
        <v>1646.3599279999999</v>
      </c>
      <c r="AD95">
        <f t="shared" si="1"/>
        <v>35654.684692999996</v>
      </c>
      <c r="AE95" s="3">
        <f>1797+(284.6-319.9)+(0+(0-0))+0-244.9-0</f>
        <v>1516.8</v>
      </c>
    </row>
    <row r="96" spans="1:31" s="2" customFormat="1" x14ac:dyDescent="0.25">
      <c r="A96">
        <v>89</v>
      </c>
      <c r="B96">
        <v>4</v>
      </c>
      <c r="C96">
        <v>3</v>
      </c>
      <c r="D96">
        <v>6</v>
      </c>
      <c r="E96">
        <v>1</v>
      </c>
      <c r="F96" s="3">
        <f>1627.9+(494.6-253.5)+(-3.320916+(-1.008984--0.51714))+0-247.9--0.505715999999989</f>
        <v>1617.7929559999998</v>
      </c>
      <c r="G96" s="3">
        <f>1628.7+(449.1-235.9)+(-4.153185+(-1.145205--0.601545))+0-247.2--0.630359999999964</f>
        <v>1590.633515</v>
      </c>
      <c r="H96" s="3">
        <f>1629.4+(400.6-220.8)+(-0.830994+(-0.204306--0.112608))+0-247.1--0.126020999999975</f>
        <v>1561.3033290000001</v>
      </c>
      <c r="I96" s="3">
        <f>1632+(354.2-208.7)+(-1.66464+(-0.361284--0.212874))+0-250.4--0.25540800000004</f>
        <v>1525.5423579999999</v>
      </c>
      <c r="J96" s="3">
        <f>1629.8+(314.8-196.4)+(-0.831198+(-0.160548--0.100164))+0-252.8--0.128927999999974</f>
        <v>1494.6373460000002</v>
      </c>
      <c r="K96" s="3">
        <f>1631.8+(225.1-187.9)+(-2.496654+(-0.344403--0.287487))+0-251.5--0.384795000000015</f>
        <v>1415.3312249999999</v>
      </c>
      <c r="L96" s="3">
        <f>1635.5+(116.5-240.4)+(0+(0-0))+0-249.4-0</f>
        <v>1262.1999999999998</v>
      </c>
      <c r="M96" s="3">
        <f>1632.3+(82.4-252.2)+(-0.832473+(-0.042024--0.128622))+0-250--0.127499999999975</f>
        <v>1211.881625</v>
      </c>
      <c r="N96" s="3">
        <f>1626.5+(114.5-282.7)+(0+(0-0))+0-252.1-0</f>
        <v>1206.2</v>
      </c>
      <c r="O96" s="3">
        <f>1621.2+(126.8-298.6)+(0.826812+(0.064668-0.152286))+0-250.5-0.127754999999975</f>
        <v>1199.5114390000001</v>
      </c>
      <c r="P96" s="3">
        <f>1611.7+(185.4-310.3)+(1.643934+(0.189108-0.316506))+0-251.2-0.25622400000004</f>
        <v>1236.860312</v>
      </c>
      <c r="Q96" s="3">
        <f>1605.2+(281.4-300.4)+(2.455956+(0.430542-0.459612))+0-255.4-0.390762000000015</f>
        <v>1332.8361239999999</v>
      </c>
      <c r="R96" s="3">
        <f>1605.7+(423.7-302.3)+(0.818907+(0.216087-0.154173))+0-250.3-0.127652999999975</f>
        <v>1477.5531679999999</v>
      </c>
      <c r="S96" s="3">
        <f>1596.4+(553.7-305.1)+(1.628328+(0.564774-0.311202))+0-248.3-0.25326600000004</f>
        <v>1598.3286340000002</v>
      </c>
      <c r="T96" s="3">
        <f>1591.1+(613.6-309)+(-2.434383+(-0.938808--0.47277))+0-248.4--0.380052000000014</f>
        <v>1644.7796309999997</v>
      </c>
      <c r="U96" s="3">
        <f>1590.5+(606.5-297.7)+(-0.811155+(-0.309315--0.151827))+0-245.1--0.125000999999975</f>
        <v>1653.356358</v>
      </c>
      <c r="V96" s="3">
        <f>1587.4+(517.1-285.7)+(-3.238296+(-1.054884--0.582828))+0-244.9--0.499595999999989</f>
        <v>1570.6892439999999</v>
      </c>
      <c r="W96" s="3">
        <f>1589.8+(310-270)+(-3.243192+(-0.6324--0.5508))+0-247.1--0.504083999999989</f>
        <v>1379.8792920000001</v>
      </c>
      <c r="X96" s="3">
        <f>1590.9+(133.6-299.2)+(-2.434077+(-0.204408--0.457776))+0-246.5--0.377145000000014</f>
        <v>1176.9964360000001</v>
      </c>
      <c r="Y96" s="3">
        <f>1594.2+(119.1-384)+(-0.813042+(-0.060741--0.19584))+0-248.8--0.126887999999975</f>
        <v>1079.9489450000003</v>
      </c>
      <c r="Z96" s="3">
        <f>1601+(254.8-313.9)+(-0.81651+(-0.129948--0.160089))+0-249.5--0.127244999999975</f>
        <v>1291.7408760000001</v>
      </c>
      <c r="AA96" s="3">
        <f>1613+(348.8-279.7)+(-3.29052+(-0.711552--0.570588))+0-245.9--0.501635999999989</f>
        <v>1433.2701519999998</v>
      </c>
      <c r="AB96" s="3">
        <f>1621.7+(397.4-271.6)+(-0.827067+(-0.202674--0.138516))+0-249--0.126989999999975</f>
        <v>1497.7357649999999</v>
      </c>
      <c r="AC96" s="3">
        <f>1627.1+(426.9-255.7)+(0.829821+(0.217719-0.130407))+0-247.9-0.126428999999975</f>
        <v>1551.1907039999999</v>
      </c>
      <c r="AD96">
        <f t="shared" si="1"/>
        <v>34010.199434000009</v>
      </c>
      <c r="AE96" s="3">
        <f>1616+(359.4-280.1)+(0+(0-0))+0-244.3-0</f>
        <v>1451</v>
      </c>
    </row>
    <row r="97" spans="1:31" s="2" customFormat="1" x14ac:dyDescent="0.25">
      <c r="A97">
        <v>89</v>
      </c>
      <c r="B97">
        <v>4</v>
      </c>
      <c r="C97">
        <v>4</v>
      </c>
      <c r="D97">
        <v>7</v>
      </c>
      <c r="E97">
        <v>1</v>
      </c>
      <c r="F97" s="3">
        <f>1629.4+(438.2-247.5)+(0.830994+(0.223482-0.126225))+0-247.6-0.126275999999975</f>
        <v>1573.3019750000003</v>
      </c>
      <c r="G97" s="3">
        <f>1628.6+(402.4-232.1)+(-0.830586+(-0.205224--0.118371))+0-245.4--0.125153999999975</f>
        <v>1552.7077149999998</v>
      </c>
      <c r="H97" s="3">
        <f>1629.5+(362.5-216.4)+(-1.66209+(-0.36975--0.220728))+0-245.1--0.250002000000039</f>
        <v>1528.9388899999999</v>
      </c>
      <c r="I97" s="3">
        <f>1629.4+(323.6-203.9)+(0.830994+(0.165036-0.103989))+0-245.5-0.125204999999975</f>
        <v>1504.3668360000001</v>
      </c>
      <c r="J97" s="3">
        <f>1627.7+(308.5-210.6)+(-1.660254+(-0.31467--0.214812))+0-244.8--0.249696000000039</f>
        <v>1479.2895840000003</v>
      </c>
      <c r="K97" s="3">
        <f>1614.8+(254.5-217.3)+(-2.470644+(-0.389385--0.332469))+0-243.9--0.373167000000014</f>
        <v>1405.9456069999999</v>
      </c>
      <c r="L97" s="3">
        <f>1618.1+(118.4-220.9)+(-1.650462+(-0.120768--0.225318))+0-244.7--0.249594000000039</f>
        <v>1269.6036819999999</v>
      </c>
      <c r="M97" s="3">
        <f>1616.2+(75.4-247.7)+(-3.297048+(-0.153816--0.505308))+0-244.4--0.498575999999989</f>
        <v>1197.0530200000001</v>
      </c>
      <c r="N97" s="3">
        <f>1613.7+(80.6-287.8)+(-0.822987+(-0.041106--0.146778))+0-243.5--0.124184999999975</f>
        <v>1162.4068699999998</v>
      </c>
      <c r="O97" s="3">
        <f>1609.7+(101-328.9)+(0.820947+(0.05151-0.167739))+0-244.1-0.124490999999975</f>
        <v>1138.2802270000002</v>
      </c>
      <c r="P97" s="3">
        <f>1604.1+(147.5-345.8)+(-4.090455+(-0.376125--0.88179))+0-244.6--0.623729999999964</f>
        <v>1158.23894</v>
      </c>
      <c r="Q97" s="3">
        <f>1598.2+(187-302.7)+(0.815082+(0.09537-0.154377))+0-244.3-0.124592999999975</f>
        <v>1238.8314820000001</v>
      </c>
      <c r="R97" s="3">
        <f>1592.1+(305.8-280)+(-0.811971+(-0.155958--0.1428))+0-243.6--0.124235999999975</f>
        <v>1373.5991069999998</v>
      </c>
      <c r="S97" s="3">
        <f>1586.2+(413.9-277)+(0+(0-0))+0-243.4-0</f>
        <v>1479.6999999999998</v>
      </c>
      <c r="T97" s="3">
        <f>1581.7+(470.4-273.5)+(-2.420001+(-0.719712--0.418455))+0-242.9--0.371637000000014</f>
        <v>1533.3503789999997</v>
      </c>
      <c r="U97" s="3">
        <f>1578.7+(480.9-260.2)+(2.415411+(0.735777-0.398106))+0-243-0.371790000000014</f>
        <v>1558.7812920000001</v>
      </c>
      <c r="V97" s="3">
        <f>1573.4+(438.5-264.9)+(-1.604868+(-0.44727--0.270198))+0-243.3--0.248166000000039</f>
        <v>1502.1662260000001</v>
      </c>
      <c r="W97" s="3">
        <f>1574+(249.4-253.1)+(-3.21096+(-0.508776--0.516324))+0-245.1--0.500003999999989</f>
        <v>1322.496592</v>
      </c>
      <c r="X97" s="3">
        <f>1575.7+(67.9-277.8)+(-0.803607+(-0.034629--0.141678))+0-245.1--0.125000999999975</f>
        <v>1120.1284429999998</v>
      </c>
      <c r="Y97" s="3">
        <f>1583+(32-316.3)+(-1.61466+(-0.03264--0.322626))+0-244.8--0.249696000000039</f>
        <v>1052.8250220000002</v>
      </c>
      <c r="Z97" s="3">
        <f>1601.3+(165.3-278.2)+(-1.633326+(-0.168606--0.283764))+0-245.4--0.250308000000039</f>
        <v>1241.7321400000001</v>
      </c>
      <c r="AA97" s="3">
        <f>1605.9+(292.4-282.4)+(-2.457027+(-0.447372--0.432072))+0-245.1--0.375003000000014</f>
        <v>1368.7026760000003</v>
      </c>
      <c r="AB97" s="3">
        <f>1607.1+(364.2-277.1)+(-1.639242+(-0.371484--0.282642))+0-244.7--0.249594000000039</f>
        <v>1448.0215099999998</v>
      </c>
      <c r="AC97" s="3">
        <f>1616.6+(432.9-282.1)+(-1.648932+(-0.441558--0.287742))+0-244.4--0.249288000000039</f>
        <v>1521.4465399999997</v>
      </c>
      <c r="AD97">
        <f t="shared" si="1"/>
        <v>32731.914755000002</v>
      </c>
      <c r="AE97" s="3">
        <f>1633+(315.7-286.2)+(0+(0-0))+0-244.3-0</f>
        <v>1418.2</v>
      </c>
    </row>
    <row r="98" spans="1:31" s="2" customFormat="1" x14ac:dyDescent="0.25">
      <c r="A98">
        <v>89</v>
      </c>
      <c r="B98">
        <v>4</v>
      </c>
      <c r="C98">
        <v>5</v>
      </c>
      <c r="D98">
        <v>1</v>
      </c>
      <c r="E98">
        <v>3</v>
      </c>
      <c r="F98" s="3">
        <f>1728.2+(357.9-306.8)+(-2.644146+(-0.547587--0.469404))+0-245--0.374850000000014</f>
        <v>1531.9525209999999</v>
      </c>
      <c r="G98" s="3">
        <f>1820.3+(271.6-321.6)+(-3.713412+(-0.554064--0.656064))+0-245.7--0.501227999999989</f>
        <v>1521.489816</v>
      </c>
      <c r="H98" s="3">
        <f>1861.4+(216-329.5)+(-0.949314+(-0.11016--0.168045))+0-245.3--0.125102999999975</f>
        <v>1501.8336740000002</v>
      </c>
      <c r="I98" s="3">
        <f>1860.5+(176.1-310)+(-2.846565+(-0.269433--0.4743))+0-246.6--0.377298000000014</f>
        <v>1477.7356000000002</v>
      </c>
      <c r="J98" s="3">
        <f>1860+(139.6-298.9)+(-1.8972+(-0.142392--0.304878))+0-244.8--0.249696000000039</f>
        <v>1454.4149820000002</v>
      </c>
      <c r="K98" s="3">
        <f>1860.7+(88.1-316.1)+(-6.642699+(-0.314517--1.128477))+0-245.2--0.875364000000003</f>
        <v>1382.5466249999999</v>
      </c>
      <c r="L98" s="3">
        <f>1872.2+(27.4-388)+(-1.909644+(-0.027948--0.39576))+0-243.6--0.248472000000039</f>
        <v>1266.7066399999999</v>
      </c>
      <c r="M98" s="3">
        <f>1872.3+(61.7-488.1)+(-3.819492+(-0.125868--0.995724))+0-245.7--0.501227999999989</f>
        <v>1197.7515919999998</v>
      </c>
      <c r="N98" s="3">
        <f>1868.2+(21.7-485)+(-1.905564+(-0.022134--0.4947))+0-245.4--0.250308000000039</f>
        <v>1158.3173100000001</v>
      </c>
      <c r="O98" s="3">
        <f>1858.2+(35.8-495.9)+(-1.895364+(-0.036516--0.505818))+0-248.1--0.25306200000004</f>
        <v>1148.8270000000002</v>
      </c>
      <c r="P98" s="3">
        <f>1854.3+(96.3-528.9)+(-2.837079+(-0.147339--0.809217))+0-246.9--0.377757000000014</f>
        <v>1173.0025559999999</v>
      </c>
      <c r="Q98" s="3">
        <f>1848.6+(179.3-525.2)+(-1.885572+(-0.182886--0.535704))+0-248.5--0.25347000000004</f>
        <v>1252.9207159999999</v>
      </c>
      <c r="R98" s="3">
        <f>1837.9+(217.1-420.4)+(-1.874658+(-0.221442--0.428808))+0-246.7--0.251634000000039</f>
        <v>1386.484342</v>
      </c>
      <c r="S98" s="3">
        <f>1834.1+(277.5-342.2)+(-2.806173+(-0.424575--0.523566))+0-247.5--0.378675000000014</f>
        <v>1519.5714929999997</v>
      </c>
      <c r="T98" s="3">
        <f>1831.1+(343-346.5)+(0+(0-0))+0-246.6-0</f>
        <v>1581</v>
      </c>
      <c r="U98" s="3">
        <f>1823.9+(359.6-345.9)+(-0.930189+(-0.183396--0.176409))+0-247.2--0.126071999999975</f>
        <v>1589.5888960000002</v>
      </c>
      <c r="V98" s="3">
        <f>1812.9+(286.5-330.1)+(-4.622895+(-0.730575--0.841755))+0-245.8--0.626789999999964</f>
        <v>1519.6150750000002</v>
      </c>
      <c r="W98" s="3">
        <f>1809.8+(182.8-401.8)+(-2.768994+(-0.279684--0.614754))+0-244.2--0.373626000000014</f>
        <v>1344.539702</v>
      </c>
      <c r="X98" s="3">
        <f>1813.4+(56.9-491.5)+(-2.774502+(-0.087057--0.751995))+0-244.6--0.374238000000014</f>
        <v>1132.4646740000003</v>
      </c>
      <c r="Y98" s="3">
        <f>1826.1+(28.5-541)+(0+(0-0))+0-246-0</f>
        <v>1067.5999999999999</v>
      </c>
      <c r="Z98" s="3">
        <f>1838.8+(125-417.3)+(0+(0-0))+0-246.9-0</f>
        <v>1299.5999999999999</v>
      </c>
      <c r="AA98" s="3">
        <f>1850.1+(215.9-363.9)+(-1.887102+(-0.220218--0.371178))+0-248--0.25296000000004</f>
        <v>1452.616818</v>
      </c>
      <c r="AB98" s="3">
        <f>1854+(246.8-338.6)+(0+(0-0))+0-247-0</f>
        <v>1515.2</v>
      </c>
      <c r="AC98" s="3">
        <f>1856.5+(274.4-318.8)+(1.89363+(0.279888-0.325176))+0-247.9-0.25285800000004</f>
        <v>1565.7954839999998</v>
      </c>
      <c r="AD98">
        <f t="shared" si="1"/>
        <v>33041.575515999997</v>
      </c>
      <c r="AE98" s="3">
        <f>1862+(231-358.2)+(0+(0-0))+0-252.1-0</f>
        <v>1482.7</v>
      </c>
    </row>
    <row r="99" spans="1:31" s="2" customFormat="1" x14ac:dyDescent="0.25">
      <c r="A99">
        <v>89</v>
      </c>
      <c r="B99">
        <v>4</v>
      </c>
      <c r="C99">
        <v>6</v>
      </c>
      <c r="D99">
        <v>2</v>
      </c>
      <c r="E99">
        <v>1</v>
      </c>
      <c r="F99" s="3">
        <f>1856.6+(286.8-319)+(0+(0-0))+0-248.2-0</f>
        <v>1576.1999999999998</v>
      </c>
      <c r="G99" s="3">
        <f>1857.3+(293.3-338.2)+(-2.841669+(-0.448749--0.517446))+0-247.4--0.378522000000014</f>
        <v>1562.60555</v>
      </c>
      <c r="H99" s="3">
        <f>1856.7+(255.6-327.7)+(-4.734585+(-0.65178--0.835635))+0-248.6--0.633929999999964</f>
        <v>1532.0832000000003</v>
      </c>
      <c r="I99" s="3">
        <f>1860+(216.4-321.1)+(-4.743+(-0.55182--0.818805))+0-248.2--0.632909999999964</f>
        <v>1503.256895</v>
      </c>
      <c r="J99" s="3">
        <f>1862.5+(176.7-320.6)+(-0.949875+(-0.090117--0.163506))+0-247.5--0.126224999999975</f>
        <v>1470.3497389999998</v>
      </c>
      <c r="K99" s="3">
        <f>1867.4+(81.7-299.8)+(-3.809496+(-0.166668--0.611592))+0-247.9--0.505715999999989</f>
        <v>1398.541144</v>
      </c>
      <c r="L99" s="3">
        <f>1868+(0-347)+(-0.95268+(0--0.17697))+0-246.8--0.125867999999975</f>
        <v>1273.5501580000002</v>
      </c>
      <c r="M99" s="3">
        <f>1866.9+(1-429.1)+(0.952119+(0.00051-0.218841))+0-246.8-0.125867999999975</f>
        <v>1192.6079200000001</v>
      </c>
      <c r="N99" s="3">
        <f>1864.3+(5-440.4)+(-1.901586+(-0.0051--0.449208))+0-246--0.250920000000039</f>
        <v>1181.693442</v>
      </c>
      <c r="O99" s="3">
        <f>1853.2+(64.1-492.2)+(0.945132+(0.032691-0.251022))+0-247.8-0.126377999999975</f>
        <v>1177.900423</v>
      </c>
      <c r="P99" s="3">
        <f>1842.3+(118.9-490.4)+(0+(0-0))+0-248.8-0</f>
        <v>1222</v>
      </c>
      <c r="Q99" s="3">
        <f>1825.6+(181.3-437.5)+(1.862112+(0.184926-0.44625))+0-246.9-0.251838000000039</f>
        <v>1323.8489499999996</v>
      </c>
      <c r="R99" s="3">
        <f>1814.7+(244.7-332.8)+(0+(0-0))+0-247.4-0</f>
        <v>1479.1999999999998</v>
      </c>
      <c r="S99" s="3">
        <f>1818.9+(368.3-318.5)+(-0.927639+(-0.187833--0.162435))+0-246.9--0.125918999999975</f>
        <v>1620.972882</v>
      </c>
      <c r="T99" s="3">
        <f>1809.7+(423.3-317.7)+(0+(0-0))+0-248.1-0</f>
        <v>1667.2000000000003</v>
      </c>
      <c r="U99" s="3">
        <f>1805.8+(418.6-305)+(-1.841916+(-0.426972--0.3111))+0-246.5--0.251430000000039</f>
        <v>1671.1936420000002</v>
      </c>
      <c r="V99" s="3">
        <f>1799.4+(352.6-311.1)+(0+(0-0))+0-247.7-0</f>
        <v>1593.2</v>
      </c>
      <c r="W99" s="3">
        <f>1799+(205-336.4)+(-1.83498+(-0.2091--0.343128))+0-248.3--0.25326600000004</f>
        <v>1417.852314</v>
      </c>
      <c r="X99" s="3">
        <f>1808.1+(123.3-486.9)+(-3.688524+(-0.251532--0.993276))+0-247--0.503879999999989</f>
        <v>1195.0571</v>
      </c>
      <c r="Y99" s="3">
        <f>1823.7+(96.3-562.3)+(-0.930087+(-0.049113--0.286773))+0-245.5--0.125204999999975</f>
        <v>1111.6327780000001</v>
      </c>
      <c r="Z99" s="3">
        <f>1834.9+(185.6-440.3)+(-0.935799+(-0.094656--0.224553))+0-245.6--0.125255999999975</f>
        <v>1333.9193540000001</v>
      </c>
      <c r="AA99" s="3">
        <f>1845.4+(212.6-322.2)+(0+(0-0))+0-245.5-0</f>
        <v>1490.3000000000002</v>
      </c>
      <c r="AB99" s="3">
        <f>1848.5+(240.2-297.8)+(-0.942735+(-0.122502--0.151878))+0-246--0.125459999999975</f>
        <v>1544.1121010000002</v>
      </c>
      <c r="AC99" s="3">
        <f>1852.4+(280.8-282.4)+(-0.944724+(-0.143208--0.144024))+0-244.8--0.124847999999975</f>
        <v>1605.1809400000002</v>
      </c>
      <c r="AD99">
        <f t="shared" si="1"/>
        <v>34144.458531999997</v>
      </c>
      <c r="AE99" s="3">
        <f>1839+(219.7-319.6)+(0+(0-0))+0-242.5-0</f>
        <v>1496.6</v>
      </c>
    </row>
    <row r="100" spans="1:31" s="2" customFormat="1" x14ac:dyDescent="0.25">
      <c r="A100">
        <v>89</v>
      </c>
      <c r="B100">
        <v>4</v>
      </c>
      <c r="C100">
        <v>7</v>
      </c>
      <c r="D100">
        <v>3</v>
      </c>
      <c r="E100">
        <v>1</v>
      </c>
      <c r="F100" s="3">
        <f>1854.5+(279.1-299.2)+(-1.89159+(-0.284682--0.305184))+0-246--0.250920000000039</f>
        <v>1586.7798319999999</v>
      </c>
      <c r="G100" s="3">
        <f>1857.6+(226.8-296.7)+(-0.947376+(-0.115668--0.151317))+0-244.2--0.124541999999975</f>
        <v>1542.7128149999999</v>
      </c>
      <c r="H100" s="3">
        <f>1863.7+(194.2-292.1)+(-2.851461+(-0.297126--0.446913))+0-245.1--0.375003000000014</f>
        <v>1518.3733290000002</v>
      </c>
      <c r="I100" s="3">
        <f>1865.4+(152.7-287)+(-1.902708+(-0.155754--0.29274))+0-245.4--0.250308000000039</f>
        <v>1484.1845860000001</v>
      </c>
      <c r="J100" s="3">
        <f>1868.2+(123.2-282.7)+(-4.76391+(-0.31416--0.720885))+0-245.6--0.626279999999964</f>
        <v>1459.369095</v>
      </c>
      <c r="K100" s="3">
        <f>1869.8+(88.2-326.5)+(-3.814392+(-0.179928--0.66606))+0-245.4--0.500615999999989</f>
        <v>1383.2723559999999</v>
      </c>
      <c r="L100" s="3">
        <f>1873.1+(42.3-435.3)+(-3.821124+(-0.086292--0.888012))+0-243.7--0.497147999999989</f>
        <v>1233.8777439999999</v>
      </c>
      <c r="M100" s="3">
        <f>1865.3+(40.4-475.9)+(-0.951303+(-0.020604--0.242709))+0-245--0.124949999999975</f>
        <v>1184.1957519999999</v>
      </c>
      <c r="N100" s="3">
        <f>1853.6+(82.5-508.8)+(0+(0-0))+0-246-0</f>
        <v>1181.3</v>
      </c>
      <c r="O100" s="3">
        <f>1835.7+(106.6-514.9)+(-1.872414+(-0.108732--0.525198))+0-244.8--0.249696000000039</f>
        <v>1181.3937480000002</v>
      </c>
      <c r="P100" s="3">
        <f>1826.3+(143.5-507)+(-2.794239+(-0.219555--0.77571))+0-245.8--0.376074000000014</f>
        <v>1215.1379899999999</v>
      </c>
      <c r="Q100" s="3">
        <f>1815.6+(190.7-429.6)+(-0.925956+(-0.097257--0.219096))+0-246.3--0.125612999999975</f>
        <v>1329.7214959999999</v>
      </c>
      <c r="R100" s="3">
        <f>1806.5+(283.3-344.8)+(0+(0-0))+0-244.7-0</f>
        <v>1500.3</v>
      </c>
      <c r="S100" s="3">
        <f>1796.7+(416.5-323.2)+(0+(0-0))+0-244.2-0</f>
        <v>1645.8</v>
      </c>
      <c r="T100" s="3">
        <f>1786.3+(467.7-311.4)+(-1.822026+(-0.477054--0.317628))+0-245--0.249900000000039</f>
        <v>1695.8684479999999</v>
      </c>
      <c r="U100" s="3">
        <f>1789.6+(466.4-314)+(2.738088+(0.713592-0.48042))+0-243.6-0.372708000000014</f>
        <v>1700.998552</v>
      </c>
      <c r="V100" s="3">
        <f>1796.6+(383.8-318.5)+(0.916266+(0.195738-0.162435))+0-243.2-0.124031999999975</f>
        <v>1619.525537</v>
      </c>
      <c r="W100" s="3">
        <f>1805.1+(210.5-318.8)+(-1.841202+(-0.21471--0.325176))+0-243.6--0.248472000000039</f>
        <v>1451.7177360000001</v>
      </c>
      <c r="X100" s="3">
        <f>1809.3+(128.2-446.2)+(-4.613715+(-0.32691--1.13781))+0-244.3--0.622964999999965</f>
        <v>1243.82015</v>
      </c>
      <c r="Y100" s="3">
        <f>1818.2+(93.4-519.6)+(-1.854564+(-0.095268--0.529992))+0-245--0.249900000000039</f>
        <v>1145.83006</v>
      </c>
      <c r="Z100" s="3">
        <f>1825.7+(185.5-389.6)+(-0.931107+(-0.094605--0.198696))+0-243.8--0.124337999999975</f>
        <v>1377.0973220000001</v>
      </c>
      <c r="AA100" s="3">
        <f>1833.5+(255.8-316.7)+(-2.805255+(-0.391374--0.484551))+0-243.8--0.373014000000014</f>
        <v>1526.4609359999999</v>
      </c>
      <c r="AB100" s="3">
        <f>1839.1+(287-304.3)+(-3.751764+(-0.58548--0.620772))+0-243.2--0.496127999999989</f>
        <v>1575.3796559999998</v>
      </c>
      <c r="AC100" s="3">
        <f>1844.2+(327.4-283)+(-3.762168+(-0.667896--0.57732))+0-243--0.495719999999989</f>
        <v>1642.2429759999998</v>
      </c>
      <c r="AD100">
        <f t="shared" si="1"/>
        <v>34425.360116000003</v>
      </c>
      <c r="AE100" s="3">
        <f>1831+(257.5-313.9)+(0+(0-0))+0-244.3-0</f>
        <v>1530.3</v>
      </c>
    </row>
    <row r="101" spans="1:31" s="2" customFormat="1" x14ac:dyDescent="0.25">
      <c r="A101">
        <v>89</v>
      </c>
      <c r="B101">
        <v>4</v>
      </c>
      <c r="C101">
        <v>8</v>
      </c>
      <c r="D101">
        <v>4</v>
      </c>
      <c r="E101">
        <v>1</v>
      </c>
      <c r="F101" s="3">
        <f>1850.1+(313.1-290.3)+(-4.717755+(-0.798405--0.740265))+0-243.7--0.621434999999965</f>
        <v>1625.0455399999998</v>
      </c>
      <c r="G101" s="3">
        <f>1848.7+(261.2-278.1)+(-0.942837+(-0.133212--0.141831))+0-246.2--0.125561999999975</f>
        <v>1584.7913439999998</v>
      </c>
      <c r="H101" s="3">
        <f>1854.5+(238.4-281.7)+(-1.89159+(-0.243168--0.287334))+0-247.6--0.252552000000039</f>
        <v>1562.0051280000002</v>
      </c>
      <c r="I101" s="3">
        <f>1856.1+(204-277.8)+(-4.733055+(-0.5202--0.70839))+0-248.1--0.632654999999964</f>
        <v>1530.2877899999999</v>
      </c>
      <c r="J101" s="3">
        <f>1860.4+(158.3-266.8)+(-3.795216+(-0.322932--0.544272))+0-245--0.499799999999989</f>
        <v>1503.8259240000002</v>
      </c>
      <c r="K101" s="3">
        <f>1862.3+(91.1-276.4)+(-4.748865+(-0.232305--0.70482))+0-245.6--0.626279999999964</f>
        <v>1427.7499299999999</v>
      </c>
      <c r="L101" s="3">
        <f>1861.1+(36.7-384.3)+(-2.847483+(-0.056151--0.587979))+0-245--0.374850000000014</f>
        <v>1266.5591949999998</v>
      </c>
      <c r="M101" s="3">
        <f>1857.4+(81.8-495.6)+(0+(0-0))+0-244.5-0</f>
        <v>1199.1000000000001</v>
      </c>
      <c r="N101" s="3">
        <f>1847.9+(101.2-516.8)+(-2.827287+(-0.154836--0.790704))+0-244.2--0.373626000000014</f>
        <v>1186.2822070000002</v>
      </c>
      <c r="O101" s="3">
        <f>1835.1+(79.7-483.1)+(0.935901+(0.040647-0.246381))+0-244.6-0.124745999999975</f>
        <v>1187.7054209999999</v>
      </c>
      <c r="P101" s="3">
        <f>1822.6+(146-458.7)+(0.929526+(0.07446-0.233937))+0-245-0.124949999999975</f>
        <v>1265.5450989999999</v>
      </c>
      <c r="Q101" s="3">
        <f>1812.3+(222.3-394.5)+(1.848546+(0.226746-0.40239))+0-245.4-0.250308000000039</f>
        <v>1396.1225939999997</v>
      </c>
      <c r="R101" s="3">
        <f>1808.4+(335.4-339)+(0.922284+(0.171054-0.17289))+0-243.2-0.124031999999975</f>
        <v>1562.3964160000003</v>
      </c>
      <c r="S101" s="3">
        <f>1806.9+(337.7-244)+(-0.921519+(-0.172227--0.12444))+0-243.6--0.124235999999975</f>
        <v>1656.1549300000001</v>
      </c>
      <c r="T101" s="3">
        <f>1795.2+(367.8-217.1)+(1.831104+(0.375156-0.221442))+0-244.3-0.249186000000039</f>
        <v>1703.335632</v>
      </c>
      <c r="U101" s="3">
        <f>1794+(456-287.6)+(-1.82988+(-0.46512--0.293352))+0-244.3--0.249186000000039</f>
        <v>1716.3475380000002</v>
      </c>
      <c r="V101" s="3">
        <f>1792.8+(411.5-308.4)+(0+(0-0))+0-243.6-0</f>
        <v>1652.3000000000002</v>
      </c>
      <c r="W101" s="3">
        <f>1808.9+(243.8-321.1)+(-3.690156+(-0.497352--0.655044))+0-244.3--0.498371999999989</f>
        <v>1484.2659080000003</v>
      </c>
      <c r="X101" s="3">
        <f>1818.4+(122.1-434.8)+(-3.709536+(-0.249084--0.886992))+0-245.2--0.500207999999989</f>
        <v>1257.92858</v>
      </c>
      <c r="Y101" s="3">
        <f>1827.7+(80.1-510.9)+(-0.932127+(-0.040851--0.260559))+0-246.1--0.125510999999975</f>
        <v>1150.2130920000002</v>
      </c>
      <c r="Z101" s="3">
        <f>1833.4+(196.6-409.8)+(0.935034+(0.100266-0.208998))+0-244.8-0.124847999999975</f>
        <v>1376.1014540000001</v>
      </c>
      <c r="AA101" s="3">
        <f>1835.6+(264.7-326.8)+(-1.872312+(-0.269994--0.333336))+0-244.7--0.249594000000039</f>
        <v>1527.240624</v>
      </c>
      <c r="AB101" s="3">
        <f>1835.9+(310.3-318.7)+(0.936309+(0.158253-0.162537))+0-244.4-0.124643999999975</f>
        <v>1583.907381</v>
      </c>
      <c r="AC101" s="3">
        <f>1835+(351.6-307)+(-0.93585+(-0.179316--0.15657))+0-243.2--0.124031999999975</f>
        <v>1635.5654359999999</v>
      </c>
      <c r="AD101">
        <f t="shared" si="1"/>
        <v>35040.777162999999</v>
      </c>
      <c r="AE101" s="3">
        <f>1832+(284.4-322.2)+(0+(0-0))+0-244.3-0</f>
        <v>1549.9</v>
      </c>
    </row>
    <row r="102" spans="1:31" s="2" customFormat="1" x14ac:dyDescent="0.25">
      <c r="A102">
        <v>89</v>
      </c>
      <c r="B102">
        <v>4</v>
      </c>
      <c r="C102">
        <v>9</v>
      </c>
      <c r="D102">
        <v>5</v>
      </c>
      <c r="E102">
        <v>1</v>
      </c>
      <c r="F102" s="3">
        <f>1849+(338.2-309.4)+(-5.65794+(-1.034892--0.946764))+0-242--0.740520000000028</f>
        <v>1630.7944520000001</v>
      </c>
      <c r="G102" s="3">
        <f>1848.8+(295.9-289.3)+(0.942888+(0.150909-0.147543))+0-242.6-0.123725999999975</f>
        <v>1613.6225279999999</v>
      </c>
      <c r="H102" s="3">
        <f>1848.2+(250.7-275.7)+(-3.770328+(-0.511428--0.562428))+0-243.4--0.496535999999989</f>
        <v>1576.5772079999999</v>
      </c>
      <c r="I102" s="3">
        <f>1852.2+(204.3-265.2)+(-1.889244+(-0.208386--0.270504))+0-244.3--0.249186000000039</f>
        <v>1545.4220600000003</v>
      </c>
      <c r="J102" s="3">
        <f>1847.9+(167.1-257)+(-0.942429+(-0.085221--0.13107))+0-243.3--0.124082999999975</f>
        <v>1513.9275029999999</v>
      </c>
      <c r="K102" s="3">
        <f>1849.3+(93.6-251.7)+(-3.772572+(-0.190944--0.513468))+0-242.9--0.495515999999989</f>
        <v>1445.345468</v>
      </c>
      <c r="L102" s="3">
        <f>1860.3+(52.2-354.3)+(0+(0-0))+0-241.4-0</f>
        <v>1316.7999999999997</v>
      </c>
      <c r="M102" s="3">
        <f>1856.8+(48.5-412.4)+(0.946968+(0.024735-0.210324))+0-242.1-0.123470999999975</f>
        <v>1251.4379080000003</v>
      </c>
      <c r="N102" s="3">
        <f>1837.6+(81.3-451)+(-1.874352+(-0.082926--0.46002))+0-242.6--0.247452000000039</f>
        <v>1224.0501939999999</v>
      </c>
      <c r="O102" s="3">
        <f>1821.7+(109.2-471.6)+(1.858134+(0.111384-0.481032))+0-244.8-0.249696000000039</f>
        <v>1215.7387899999999</v>
      </c>
      <c r="P102" s="3">
        <f>1790.8+(154-435.5)+(0+(0-0))+0-244.6-0</f>
        <v>1264.7</v>
      </c>
      <c r="Q102" s="3">
        <f>1779.1+(210.3-357.1)+(1.814682+(0.214506-0.364242))+0-245.5-0.250410000000039</f>
        <v>1388.214536</v>
      </c>
      <c r="R102" s="3">
        <f>1766.1+(353.9-308.8)+(-0.900711+(-0.180489--0.157488))+30-245.6--0.125255999999975</f>
        <v>1594.8015439999999</v>
      </c>
      <c r="S102" s="3">
        <f>1756.9+(508.3-323)+(1.792038+(0.518466-0.32946))+30-253.1-0.25816200000004</f>
        <v>1720.8228820000002</v>
      </c>
      <c r="T102" s="3">
        <f>1755.3+(534.5-305.2)+(0.895203+(0.272595-0.155652))+12.5-244.6-0.124745999999975</f>
        <v>1753.3874000000001</v>
      </c>
      <c r="U102" s="3">
        <f>1753.3+(539.1-300.9)+(0.894183+(0.274941-0.153459))+0-245.7-0.125306999999975</f>
        <v>1746.6903579999998</v>
      </c>
      <c r="V102" s="3">
        <f>1759.8+(447.2-299.7)+(-2.692494+(-0.684216--0.458541))+0-244--0.373320000000014</f>
        <v>1660.7551509999998</v>
      </c>
      <c r="W102" s="3">
        <f>1771.3+(249.5-281.5)+(-3.613452+(-0.50898--0.57426))+0-244.6--0.498983999999989</f>
        <v>1491.6508120000001</v>
      </c>
      <c r="X102" s="3">
        <f>1773.1+(126.4-382.2)+(-3.617124+(-0.257856--0.779688))+0-244.7--0.499187999999989</f>
        <v>1270.0038959999999</v>
      </c>
      <c r="Y102" s="3">
        <f>1784.9+(71.8-423.4)+(-3.641196+(-0.146472--0.863736))+0-246.1--0.502043999999989</f>
        <v>1184.7781120000004</v>
      </c>
      <c r="Z102" s="3">
        <f>1811.5+(210.2-328.6)+(0.923865+(0.107202-0.167586))+0-245.4-0.125153999999975</f>
        <v>1448.4383269999998</v>
      </c>
      <c r="AA102" s="3">
        <f>1820.5+(315-300.4)+(0+(0-0))+0-244.5-0</f>
        <v>1590.6</v>
      </c>
      <c r="AB102" s="3">
        <f>1821.9+(351.5-293.1)+(-0.929169+(-0.179265--0.149481))+0-245--0.124949999999975</f>
        <v>1634.465997</v>
      </c>
      <c r="AC102" s="3">
        <f>1811.8+(388.9-288.2)+(-0.924018+(-0.198339--0.146982))+0-243.9--0.124388999999975</f>
        <v>1667.749014</v>
      </c>
      <c r="AD102">
        <f t="shared" si="1"/>
        <v>35750.774140000001</v>
      </c>
      <c r="AE102" s="3">
        <f>1816+(304.1-307.4)+(0+(0-0))+0-248.5-0</f>
        <v>1564.2</v>
      </c>
    </row>
    <row r="103" spans="1:31" s="2" customFormat="1" x14ac:dyDescent="0.25">
      <c r="A103">
        <v>89</v>
      </c>
      <c r="B103">
        <v>4</v>
      </c>
      <c r="C103">
        <v>10</v>
      </c>
      <c r="D103">
        <v>6</v>
      </c>
      <c r="E103">
        <v>1</v>
      </c>
      <c r="F103" s="3">
        <f>1812.6+(374.2-306.5)+(-2.773278+(-0.572526--0.468945))+0-243.8--0.373014000000014</f>
        <v>1633.996155</v>
      </c>
      <c r="G103" s="3">
        <f>1813+(327.4-284.2)+(-0.92463+(-0.166974--0.144942))+0-244--0.124439999999975</f>
        <v>1611.377778</v>
      </c>
      <c r="H103" s="3">
        <f>1817.5+(288.5-270.4)+(-2.780775+(-0.441405--0.413712))+0-243.7--0.372861000000014</f>
        <v>1589.464393</v>
      </c>
      <c r="I103" s="3">
        <f>1818+(248.4-255.3)+(0+(0-0))+0-243.7-0</f>
        <v>1567.3999999999999</v>
      </c>
      <c r="J103" s="3">
        <f>1818.2+(209.6-243.9)+(1.854564+(0.213792-0.248778))+0-243.9-0.248778000000039</f>
        <v>1541.5708</v>
      </c>
      <c r="K103" s="3">
        <f>1818.8+(115.9-215.7)+(-3.710352+(-0.236436--0.440028))+0-243.3--0.496331999999989</f>
        <v>1472.689572</v>
      </c>
      <c r="L103" s="3">
        <f>1818.9+(31-266.5)+(-1.855278+(-0.03162--0.27183))+0-242.9--0.247758000000039</f>
        <v>1339.1326899999999</v>
      </c>
      <c r="M103" s="3">
        <f>1817.4+(26.4-326.1)+(2.780622+(0.040392-0.498933))+0-241.6-0.369648000000014</f>
        <v>1278.0524330000001</v>
      </c>
      <c r="N103" s="3">
        <f>1813+(94.3-394.8)+(-0.92463+(-0.048093--0.201348))+0-242.9--0.123878999999975</f>
        <v>1268.9525039999999</v>
      </c>
      <c r="O103" s="3">
        <f>1804+(137.9-425.9)+(0+(0-0))+0-243.3-0</f>
        <v>1272.7</v>
      </c>
      <c r="P103" s="3">
        <f>1789+(183.5-409.6)+(4.56195+(0.467925-1.04448))+0-244.9-0.624494999999965</f>
        <v>1321.3608999999999</v>
      </c>
      <c r="Q103" s="3">
        <f>1791+(235.7-330.5)+(0.91341+(0.120207-0.168555))+0-244.7-0.124796999999975</f>
        <v>1452.2402650000001</v>
      </c>
      <c r="R103" s="3">
        <f>1781+(374-308.9)+(0.90831+(0.19074-0.157539))+0-245.8-0.125357999999975</f>
        <v>1601.1161529999999</v>
      </c>
      <c r="S103" s="3">
        <f>1770+(487-306.9)+(0+(0-0))+0-246.2-0</f>
        <v>1703.8999999999999</v>
      </c>
      <c r="T103" s="3">
        <f>1767+(542.7-307.1)+(0+(0-0))+0-245.2-0</f>
        <v>1757.3999999999999</v>
      </c>
      <c r="U103" s="3">
        <f>1773+(524.4-301.3)+(-2.71269+(-0.802332--0.460989))+0-244.7--0.374391000000014</f>
        <v>1748.720358</v>
      </c>
      <c r="V103" s="3">
        <f>1768.9+(380.2-247.8)+(0+(0-0))+0-243.2-0</f>
        <v>1658.1000000000001</v>
      </c>
      <c r="W103" s="3">
        <f>1763.2+(247.1-253)+(-4.49616+(-0.630105--0.64515))+0-244--0.622199999999965</f>
        <v>1509.4410849999999</v>
      </c>
      <c r="X103" s="3">
        <f>1567+(178-234.8)+(-3.19668+(-0.36312--0.478992))+0-245.1--0.500003999999989</f>
        <v>1262.5191960000002</v>
      </c>
      <c r="Y103" s="3">
        <f>1579.3+(146.5-320)+(-3.221772+(-0.29886--0.6528))+0-244--0.497759999999989</f>
        <v>1159.429928</v>
      </c>
      <c r="Z103" s="3">
        <f>1588.2+(316.4-263.9)+(-0.809982+(-0.161364--0.134589))+0-244.4--0.124643999999975</f>
        <v>1395.5878869999999</v>
      </c>
      <c r="AA103" s="3">
        <f>1601.1+(446.1-270.1)+(-1.633122+(-0.455022--0.275502))+0-243.9--0.248778000000039</f>
        <v>1531.6361359999999</v>
      </c>
      <c r="AB103" s="3">
        <f>1611+(487.9-275.6)+(-1.64322+(-0.497658--0.281112))+0-243.8--0.248676000000039</f>
        <v>1577.8889099999999</v>
      </c>
      <c r="AC103" s="3">
        <f>1603.6+(533.4-278.1)+(-0.817836+(-0.272034--0.141831))+0-243.7--0.124286999999975</f>
        <v>1614.3762479999996</v>
      </c>
      <c r="AD103">
        <f t="shared" si="1"/>
        <v>35869.053391000001</v>
      </c>
      <c r="AE103" s="3">
        <f>1605+(460.7-267.6)+(0+(0-0))+0-243.1-0</f>
        <v>1555</v>
      </c>
    </row>
    <row r="104" spans="1:31" s="2" customFormat="1" x14ac:dyDescent="0.25">
      <c r="A104">
        <v>89</v>
      </c>
      <c r="B104">
        <v>4</v>
      </c>
      <c r="C104">
        <v>11</v>
      </c>
      <c r="D104">
        <v>7</v>
      </c>
      <c r="E104">
        <v>1</v>
      </c>
      <c r="F104" s="3">
        <f>1600.7+(528-245.6)+(0+(0-0))+0-243.5-0</f>
        <v>1639.6</v>
      </c>
      <c r="G104" s="3">
        <f>1603.7+(499.3-226.7)+(-1.635774+(-0.509286--0.231234))+0-244.4--0.249288000000039</f>
        <v>1630.2354620000001</v>
      </c>
      <c r="H104" s="3">
        <f>1606.7+(457.5-216.2)+(0+(0-0))+0-245-0</f>
        <v>1603</v>
      </c>
      <c r="I104" s="3">
        <f>1607.4+(420.5-207.1)+(-3.279096+(-0.85782--0.422484))+0-245.4--0.500615999999989</f>
        <v>1572.1861840000001</v>
      </c>
      <c r="J104" s="3">
        <f>1606.1+(383.3-194)+(-1.638222+(-0.390966--0.19788))+0-245.1--0.250002000000039</f>
        <v>1548.7186939999999</v>
      </c>
      <c r="K104" s="3">
        <f>1608.7+(304.3-180.9)+(-4.102185+(-0.775965--0.461295))+0-244.6--0.623729999999964</f>
        <v>1483.7068750000003</v>
      </c>
      <c r="L104" s="3">
        <f>1611.4+(201.4-209.2)+(-1.643628+(-0.205428--0.213384))+0-243.6--0.248472000000039</f>
        <v>1358.6128000000001</v>
      </c>
      <c r="M104" s="3">
        <f>1609.1+(153-220.4)+(0+(0-0))+0-242.9-0</f>
        <v>1298.7999999999997</v>
      </c>
      <c r="N104" s="3">
        <f>1601.7+(139-240)+(0+(0-0))+0-244.2-0</f>
        <v>1256.5</v>
      </c>
      <c r="O104" s="3">
        <f>1594.5+(148.3-263.5)+(-1.62639+(-0.151266--0.26877))+0-244.9--0.249798000000039</f>
        <v>1233.1409119999998</v>
      </c>
      <c r="P104" s="3">
        <f>1590.7+(213.4-295.4)+(0+(0-0))+0-246.7-0</f>
        <v>1262</v>
      </c>
      <c r="Q104" s="3">
        <f>1584.4+(329.2-295)+(-0.808044+(-0.167892--0.15045))+0-246.5--0.125714999999975</f>
        <v>1371.4002290000001</v>
      </c>
      <c r="R104" s="3">
        <f>1580.3+(438.4-300.8)+(-0.805953+(-0.223584--0.153408))+0-244.9--0.124898999999975</f>
        <v>1472.2487699999997</v>
      </c>
      <c r="S104" s="3">
        <f>1574.5+(519-284.8)+(1.60599+(0.52938-0.290496))+0-245.5-0.250410000000039</f>
        <v>1564.7944639999998</v>
      </c>
      <c r="T104" s="3">
        <f>1572.8+(579.1-287.7)+(-0.802128+(-0.295341--0.146727))+0-244.9--0.124898999999975</f>
        <v>1618.4741569999999</v>
      </c>
      <c r="U104" s="3">
        <f>1572.4+(577.3-280.5)+(-0.801924+(-0.294423--0.143055))+0-244.1--0.124490999999975</f>
        <v>1624.2711990000003</v>
      </c>
      <c r="V104" s="3">
        <f>1566.9+(534-285.1)+(0.799119+(0.27234-0.145401))+0-244.5-0.124694999999975</f>
        <v>1572.1013630000002</v>
      </c>
      <c r="W104" s="3">
        <f>1567.4+(371.9-279.1)+(-3.197496+(-0.758676--0.569364))+0-245.3--0.500411999999989</f>
        <v>1412.0136040000002</v>
      </c>
      <c r="X104" s="3">
        <f>1575.3+(180.2-298.8)+(-0.803403+(-0.091902--0.152388))+0-244.9--0.124898999999975</f>
        <v>1211.1819819999996</v>
      </c>
      <c r="Y104" s="3">
        <f>1592.7+(126.3-345.9)+(-2.436831+(-0.193239--0.529227))+0-244.7--0.374391000000014</f>
        <v>1126.6735480000002</v>
      </c>
      <c r="Z104" s="3">
        <f>1600.3+(283-295.3)+(0+(0-0))+0-244.8-0</f>
        <v>1343.2</v>
      </c>
      <c r="AA104" s="3">
        <f>1608.1+(427.6-309.2)+(-0.820131+(-0.218076--0.157692))+0-243.7--0.124286999999975</f>
        <v>1482.0437719999998</v>
      </c>
      <c r="AB104" s="3">
        <f>1610.5+(496.9-300.8)+(-1.64271+(-0.506838--0.306816))+0-243.2--0.248064000000039</f>
        <v>1561.8053319999999</v>
      </c>
      <c r="AC104" s="3">
        <f>1609.2+(533.5-289.4)+(0.820692+(0.272085-0.147594))+0-243-0.123929999999975</f>
        <v>1611.1212530000003</v>
      </c>
      <c r="AD104">
        <f t="shared" si="1"/>
        <v>34857.830599999994</v>
      </c>
      <c r="AE104" s="3">
        <f>1599+(464.1-299.4)+(0+(0-0))+0-242.5-0</f>
        <v>1521.2</v>
      </c>
    </row>
    <row r="105" spans="1:31" s="2" customFormat="1" x14ac:dyDescent="0.25">
      <c r="A105">
        <v>89</v>
      </c>
      <c r="B105">
        <v>4</v>
      </c>
      <c r="C105">
        <v>12</v>
      </c>
      <c r="D105">
        <v>1</v>
      </c>
      <c r="E105">
        <v>1</v>
      </c>
      <c r="F105" s="3">
        <f>1609.9+(532-279.6)+(1.642098+(0.54264-0.285192))+0-245.1-0.250002000000039</f>
        <v>1618.8495440000004</v>
      </c>
      <c r="G105" s="3">
        <f>1606+(511.3-266.3)+(-0.81906+(-0.260763--0.135813))+0-245--0.124949999999975</f>
        <v>1605.18094</v>
      </c>
      <c r="H105" s="3">
        <f>1422.9+(616.4-226.3)+(-0.725679+(-0.314364--0.115413))+0-244.9--0.124898999999975</f>
        <v>1567.3002689999998</v>
      </c>
      <c r="I105" s="3">
        <f>1426.8+(577.2-209.7)+(0+(0-0))+0-244.8-0</f>
        <v>1549.5</v>
      </c>
      <c r="J105" s="3">
        <f>1537.4+(473.5-233.3)+(-2.352222+(-0.724455--0.356949))+0-245.3--0.375309000000014</f>
        <v>1529.9555810000002</v>
      </c>
      <c r="K105" s="3">
        <f>1555+(403.8-254.3)+(-3.96525+(-1.02969--0.648465))+0-244.1--0.622454999999965</f>
        <v>1456.67598</v>
      </c>
      <c r="L105" s="3">
        <f>1584.4+(244-247.5)+(0+(0-0))+0-242.2-0</f>
        <v>1338.7</v>
      </c>
      <c r="M105" s="3">
        <f>1623.3+(170.8-264.5)+(1.655766+(0.174216-0.26979))+0-243-0.247860000000039</f>
        <v>1287.9123319999999</v>
      </c>
      <c r="N105" s="3">
        <f>1617.5+(210.8-320)+(0.824925+(0.107508-0.1632))+0-245.2-0.125051999999975</f>
        <v>1263.744181</v>
      </c>
      <c r="O105" s="3">
        <f>1611.4+(216.1-341.6)+(2.465442+(0.330633-0.522648))+0-247.4-0.378522000000014</f>
        <v>1240.3949050000001</v>
      </c>
      <c r="P105" s="3">
        <f>1613.2+(254.7-349)+(3.290928+(0.519588-0.71196))+0-247.4-0.504695999999989</f>
        <v>1274.0938599999999</v>
      </c>
      <c r="Q105" s="3">
        <f>1612.2+(326.9-336.6)+(-0.822222+(-0.166719--0.171666))+0-248.1--0.126530999999975</f>
        <v>1353.7092559999999</v>
      </c>
      <c r="R105" s="3">
        <f>1623.2+(481.4-332.1)+(0+(0-0))+0-247.5-0</f>
        <v>1525</v>
      </c>
      <c r="S105" s="3">
        <f>1618.6+(609.5-327.9)+(0+(0-0))+0-248.2-0</f>
        <v>1651.9999999999998</v>
      </c>
      <c r="T105" s="3">
        <f>1710.7+(565.9-340.9)+(0.872457+(0.288609-0.173859))+0-248.7-0.126836999999975</f>
        <v>1687.8603699999999</v>
      </c>
      <c r="U105" s="3">
        <f>1816.8+(455.3-341.4)+(0.926568+(0.232203-0.174114))+0-249.4-0.127193999999975</f>
        <v>1682.157463</v>
      </c>
      <c r="V105" s="3">
        <f>1816.9+(382.7-332.2)+(1.853238+(0.390354-0.338844))+0-247.6-0.252552000000039</f>
        <v>1621.452196</v>
      </c>
      <c r="W105" s="3">
        <f>1817+(249.1-361.2)+(0+(0-0))+0-249.8-0</f>
        <v>1455.1000000000001</v>
      </c>
      <c r="X105" s="3">
        <f>1820.5+(161.4-480.1)+(-1.85691+(-0.164628--0.489702))+0-249.7--0.25469400000004</f>
        <v>1250.8228579999998</v>
      </c>
      <c r="Y105" s="3">
        <f>1829.9+(112.1-520.6)+(0+(0-0))+0-249.2-0</f>
        <v>1172.2</v>
      </c>
      <c r="Z105" s="3">
        <f>1835.4+(230.3-404.5)+(-0.936054+(-0.117453--0.206295))+0-250.7--0.127856999999975</f>
        <v>1409.780645</v>
      </c>
      <c r="AA105" s="3">
        <f>1838.4+(299.3-338.6)+(-1.875168+(-0.305286--0.345372))+0-251.4--0.25642800000004</f>
        <v>1546.1213460000001</v>
      </c>
      <c r="AB105" s="3">
        <f>1841.6+(333.3-325.5)+(0+(0-0))+0-247.9-0</f>
        <v>1601.4999999999998</v>
      </c>
      <c r="AC105" s="3">
        <f>1844.8+(358.1-312)+(-0.940848+(-0.182631--0.15912))+0-249--0.126989999999975</f>
        <v>1641.062631</v>
      </c>
      <c r="AD105">
        <f t="shared" si="1"/>
        <v>35331.07435699999</v>
      </c>
      <c r="AE105" s="3">
        <f>1832+(302.5-337.3)+(0+(0-0))+0-252.1-0</f>
        <v>1545.1000000000001</v>
      </c>
    </row>
    <row r="106" spans="1:31" s="2" customFormat="1" x14ac:dyDescent="0.25">
      <c r="A106">
        <v>89</v>
      </c>
      <c r="B106">
        <v>4</v>
      </c>
      <c r="C106">
        <v>13</v>
      </c>
      <c r="D106">
        <v>2</v>
      </c>
      <c r="E106">
        <v>1</v>
      </c>
      <c r="F106" s="3">
        <f>1843+(358-303.9)+(-1.87986+(-0.36516--0.309978))+0-249.9--0.25489800000004</f>
        <v>1645.5198559999999</v>
      </c>
      <c r="G106" s="3">
        <f>1830.6+(315.9-288.2)+(-1.867212+(-0.322218--0.293964))+0-249--0.25398000000004</f>
        <v>1607.658514</v>
      </c>
      <c r="H106" s="3">
        <f>1844+(278.3-277.2)+(0+(0-0))+0-248.9-0</f>
        <v>1596.1999999999998</v>
      </c>
      <c r="I106" s="3">
        <f>1844.9+(234.7-264.9)+(0+(0-0))+0-249.4-0</f>
        <v>1565.3</v>
      </c>
      <c r="J106" s="3">
        <f>1846.7+(205.5-264.6)+(2.825451+(0.314415-0.404838))+0-246.6-0.377298000000014</f>
        <v>1543.3577299999999</v>
      </c>
      <c r="K106" s="3">
        <f>1848.7+(136.3-266.9)+(-0.942837+(-0.069513--0.136119))+0-248.9--0.126938999999975</f>
        <v>1468.4507080000001</v>
      </c>
      <c r="L106" s="3">
        <f>1850.4+(51.2-332)+(0+(0-0))+0-246.1-0</f>
        <v>1323.5000000000002</v>
      </c>
      <c r="M106" s="3">
        <f>1845.8+(87.2-421)+(-2.824074+(-0.133416--0.64413))+0-247.2--0.378216000000014</f>
        <v>1262.8648559999999</v>
      </c>
      <c r="N106" s="3">
        <f>1834.2+(124.9-479.7)+(-1.870884+(-0.127398--0.489294))+0-248.8--0.25377600000004</f>
        <v>1229.3447880000001</v>
      </c>
      <c r="O106" s="3">
        <f>1827.7+(142.8-496.2)+(-2.796381+(-0.218484--0.759186))+0-249.8--0.382194000000014</f>
        <v>1222.6265150000002</v>
      </c>
      <c r="P106" s="3">
        <f>1820.9+(194.8-490.2)+(-0.928659+(-0.099348--0.250002))+0-249.8--0.127397999999975</f>
        <v>1275.0493930000002</v>
      </c>
      <c r="Q106" s="3">
        <f>1817.5+(245.3-433.9)+(-0.926925+(-0.125103--0.221289))+0-250.6--0.127805999999975</f>
        <v>1377.5970670000002</v>
      </c>
      <c r="R106" s="3">
        <f>1820.9+(320.7-338.2)+(1.857318+(0.327114-0.344964))+0-249.1-0.25408200000004</f>
        <v>1555.8853859999999</v>
      </c>
      <c r="S106" s="3">
        <f>1815.1+(457.9-330.6)+(0.925701+(0.233529-0.168606))+0-250.3-0.127652999999975</f>
        <v>1692.9629709999999</v>
      </c>
      <c r="T106" s="3">
        <f>1802.5+(473.2-302.9)+(0.919275+(0.241332-0.154479))+0-249.6-0.127295999999975</f>
        <v>1724.0788320000001</v>
      </c>
      <c r="U106" s="3">
        <f>1801.7+(476.8-312.1)+(0.918867+(0.243168-0.159171))+0-248-0.126479999999975</f>
        <v>1719.2763840000002</v>
      </c>
      <c r="V106" s="3">
        <f>1809.8+(355-308.5)+(-0.922998+(-0.18105--0.157335))+0-247.3--0.126122999999975</f>
        <v>1608.17941</v>
      </c>
      <c r="W106" s="3">
        <f>1818.5+(239.5-372.2)+(-2.782305+(-0.366435--0.569466))+0-249.1--0.381123000000014</f>
        <v>1434.5018490000002</v>
      </c>
      <c r="X106" s="3">
        <f>1829.3+(158-497.3)+(-1.865886+(-0.16116--0.507246))+0-250.1--0.25510200000004</f>
        <v>1238.6353020000001</v>
      </c>
      <c r="Y106" s="3">
        <f>1834.7+(117.7-556.1)+(-0.935697+(-0.060027--0.283611))+0-245.6--0.125255999999975</f>
        <v>1150.113143</v>
      </c>
      <c r="Z106" s="3">
        <f>1842.9+(214.4-415.3)+(1.879758+(0.218688-0.423606))+0-247.3-0.252246000000039</f>
        <v>1396.1225939999999</v>
      </c>
      <c r="AA106" s="3">
        <f>1844.3+(283.5-337.8)+(0+(0-0))+0-249.1-0</f>
        <v>1540.9</v>
      </c>
      <c r="AB106" s="3">
        <f>1844.6+(326.4-326.4)+(-0.940746+(-0.166464--0.166464))+0-249.8--0.127397999999975</f>
        <v>1593.986652</v>
      </c>
      <c r="AC106" s="3">
        <f>1848+(356-313.3)+(0.94248+(0.18156-0.159783))+0-247.8-0.126377999999975</f>
        <v>1643.7378790000002</v>
      </c>
      <c r="AD106">
        <f t="shared" si="1"/>
        <v>35415.849828999999</v>
      </c>
      <c r="AE106" s="3">
        <f>1839+(287.4-346.9)+(0+(0-0))+0-244.3-0</f>
        <v>1535.2</v>
      </c>
    </row>
    <row r="107" spans="1:31" s="2" customFormat="1" x14ac:dyDescent="0.25">
      <c r="A107">
        <v>89</v>
      </c>
      <c r="B107">
        <v>4</v>
      </c>
      <c r="C107">
        <v>14</v>
      </c>
      <c r="D107">
        <v>3</v>
      </c>
      <c r="E107">
        <v>1</v>
      </c>
      <c r="F107" s="3">
        <f>1841.4+(347.9-325.2)+(0.939114+(0.177429-0.165852))+0-247-0.125969999999975</f>
        <v>1617.9247210000001</v>
      </c>
      <c r="G107" s="3">
        <f>1836.8+(299.3-312.3)+(-0.936768+(-0.152643--0.159273))+0-247.1--0.126020999999975</f>
        <v>1575.8958830000001</v>
      </c>
      <c r="H107" s="3">
        <f>1839.6+(254.2-297.5)+(-1.876392+(-0.259284--0.30345))+0-249.4--0.25438800000004</f>
        <v>1545.3221619999999</v>
      </c>
      <c r="I107" s="3">
        <f>1846.3+(214.4-289)+(-0.941613+(-0.109344--0.14739))+0-248.8--0.126887999999975</f>
        <v>1522.123321</v>
      </c>
      <c r="J107" s="3">
        <f>1849.2+(193-289.4)+(-1.886184+(-0.19686--0.295188))+0-248.1--0.25306200000004</f>
        <v>1503.1652060000004</v>
      </c>
      <c r="K107" s="3">
        <f>1851.1+(145.4-310)+(-4.720305+(-0.37077--0.7905))+0-248.4--0.633419999999964</f>
        <v>1434.4328449999998</v>
      </c>
      <c r="L107" s="3">
        <f>1855.2+(65.9-385.6)+(-3.784608+(-0.134436--0.786624))+0-246.3--0.502451999999989</f>
        <v>1286.5700320000001</v>
      </c>
      <c r="M107" s="3">
        <f>1846.9+(96.9-469.1)+(0+(0-0))+0-245.5-0</f>
        <v>1229.2</v>
      </c>
      <c r="N107" s="3">
        <f>1837.1+(121.7-483.4)+(0+(0-0))+0-246.4-0</f>
        <v>1228.9999999999998</v>
      </c>
      <c r="O107" s="3">
        <f>1824+(156-495.5)+(0.93024+(0.07956-0.252705))+0-246.8-0.125867999999975</f>
        <v>1238.3312269999999</v>
      </c>
      <c r="P107" s="3">
        <f>1829.3+(188.3-466.5)+(0.932943+(0.096033-0.237915))+0-247.5-0.126224999999975</f>
        <v>1304.2648359999998</v>
      </c>
      <c r="Q107" s="3">
        <f>1816.9+(242.9-400.7)+(1.853238+(0.247758-0.408714))+0-247.2-0.252144000000039</f>
        <v>1413.340138</v>
      </c>
      <c r="R107" s="3">
        <f>1803+(355.8-330.9)+(2.75859+(0.544374-0.506277))+0-246.9-0.377757000000014</f>
        <v>1583.41893</v>
      </c>
      <c r="S107" s="3">
        <f>1798.2+(469.2-320.6)+(1.834164+(0.478584-0.327012))+0-247.8-0.25275600000004</f>
        <v>1700.73298</v>
      </c>
      <c r="T107" s="3">
        <f>1795+(512.5-310.2)+(2.74635+(0.784125-0.474606))+0-247.9-0.379287000000014</f>
        <v>1752.0765819999999</v>
      </c>
      <c r="U107" s="3">
        <f>1795.7+(507.8-303.7)+(2.747421+(0.776934-0.464661))+0-247-0.377910000000014</f>
        <v>1755.4817840000003</v>
      </c>
      <c r="V107" s="3">
        <f>1789.2+(439.3-295.8)+(0+(0-0))+0-247.8-0</f>
        <v>1684.9</v>
      </c>
      <c r="W107" s="3">
        <f>1792.5+(249.7-303.9)+(-1.82835+(-0.254694--0.309978))+0-247.7--0.252654000000039</f>
        <v>1489.0795880000001</v>
      </c>
      <c r="X107" s="3">
        <f>1786.1+(183.5-462.4)+(-1.821822+(-0.18717--0.471648))+0-248.2--0.25316400000004</f>
        <v>1257.7158199999997</v>
      </c>
      <c r="Y107" s="3">
        <f>1794.1+(121.2-501.6)+(-0.914991+(-0.061812--0.255816))+0-247.5--0.126224999999975</f>
        <v>1165.6052379999999</v>
      </c>
      <c r="Z107" s="3">
        <f>1825.4+(248.1-393.5)+(1.861908+(0.253062-0.40137))+0-249.2-0.25418400000004</f>
        <v>1432.2594159999999</v>
      </c>
      <c r="AA107" s="3">
        <f>1831.2+(357.3-352.5)+(-0.933912+(-0.182223--0.179775))+0-248--0.126479999999975</f>
        <v>1587.19012</v>
      </c>
      <c r="AB107" s="3">
        <f>1829.9+(380.6-325)+(0+(0-0))+0-248.6-0</f>
        <v>1636.9</v>
      </c>
      <c r="AC107" s="3">
        <f>1814.6+(419.7-318)+(-1.850892+(-0.428094--0.32436))+0-246.8--0.251736000000039</f>
        <v>1667.79711</v>
      </c>
      <c r="AD107">
        <f t="shared" si="1"/>
        <v>35612.727939000004</v>
      </c>
      <c r="AE107" s="3">
        <f>1833+(377.4-367.2)+(0+(0-0))+0-247.3-0</f>
        <v>1595.9</v>
      </c>
    </row>
    <row r="108" spans="1:31" s="2" customFormat="1" x14ac:dyDescent="0.25">
      <c r="A108">
        <v>89</v>
      </c>
      <c r="B108">
        <v>4</v>
      </c>
      <c r="C108">
        <v>15</v>
      </c>
      <c r="D108">
        <v>4</v>
      </c>
      <c r="E108">
        <v>1</v>
      </c>
      <c r="F108" s="3">
        <f>1819.1+(399.2-323.1)+(-3.710964+(-0.814368--0.659124))+0-248.3--0.506531999999989</f>
        <v>1643.5403239999998</v>
      </c>
      <c r="G108" s="3">
        <f>1821.4+(351.8-307.7)+(2.786742+(0.538254-0.470781))+0-248.4-0.380052000000014</f>
        <v>1619.574163</v>
      </c>
      <c r="H108" s="3">
        <f>1822.2+(311.2-291.1)+(0+(0-0))+0-248.1-0</f>
        <v>1594.2</v>
      </c>
      <c r="I108" s="3">
        <f>1823.2+(275-280.3)+(-0.929832+(-0.14025--0.142953))+0-249.3--0.127142999999975</f>
        <v>1567.8000140000001</v>
      </c>
      <c r="J108" s="3">
        <f>1825.9+(240.2-272.3)+(-3.724836+(-0.490008--0.555492))+0-245.3--0.500411999999989</f>
        <v>1545.3410600000004</v>
      </c>
      <c r="K108" s="3">
        <f>1829.8+(145.2-254.2)+(-2.799594+(-0.222156--0.388926))+0-245.5--0.375615000000014</f>
        <v>1473.0427909999999</v>
      </c>
      <c r="L108" s="3">
        <f>1832.6+(71.1-307.9)+(-1.869252+(-0.072522--0.314058))+0-244.2--0.249084000000039</f>
        <v>1350.221368</v>
      </c>
      <c r="M108" s="3">
        <f>1831+(66.6-367.3)+(0+(0-0))+0-244.2-0</f>
        <v>1286.0999999999999</v>
      </c>
      <c r="N108" s="3">
        <f>1822.5+(100.4-431)+(0.929475+(0.051204-0.21981))+0-245-0.124949999999975</f>
        <v>1247.5359190000001</v>
      </c>
      <c r="O108" s="3">
        <f>1810.3+(141-465.3)+(3.693012+(0.28764-0.949212))+0-247.1-0.504083999999989</f>
        <v>1241.4273560000001</v>
      </c>
      <c r="P108" s="3">
        <f>1800.9+(170.4-430.4)+(1.836918+(0.173808-0.439008))+0-248.8-0.25377600000004</f>
        <v>1293.417942</v>
      </c>
      <c r="Q108" s="3">
        <f>1807.9+(219.8-368.9)+(0.922029+(0.112098-0.188139))+0-249.1-0.127040999999975</f>
        <v>1410.4189470000003</v>
      </c>
      <c r="R108" s="3">
        <f>1798.3+(350.5-316.4)+(0.917133+(0.178755-0.161364))+0-248.3-0.126632999999975</f>
        <v>1584.9078910000001</v>
      </c>
      <c r="S108" s="3">
        <f>1792.3+(474.8-340.4)+(0.914073+(0.242148-0.173604))+0-247.6-0.126275999999975</f>
        <v>1679.9563410000001</v>
      </c>
      <c r="T108" s="3">
        <f>1790+(519.8-339.6)+(1.8258+(0.530196-0.346392))+0-246.7-0.251634000000039</f>
        <v>1725.2579699999999</v>
      </c>
      <c r="U108" s="3">
        <f>1792+(492.7-329.3)+(2.74176+(0.753831-0.503829))+0-248.3-0.379899000000014</f>
        <v>1709.7118630000002</v>
      </c>
      <c r="V108" s="3">
        <f>1793+(408.2-309.9)+(1.82886+(0.416364-0.316098))+0-248.2-0.25316400000004</f>
        <v>1644.7759619999999</v>
      </c>
      <c r="W108" s="3">
        <f>1794+(225.9-316.2)+(0.91494+(0.115209-0.161262))+0-247.8-0.126377999999975</f>
        <v>1456.6425090000002</v>
      </c>
      <c r="X108" s="3">
        <f>1798+(115.8-436.1)+(-0.91698+(-0.059058--0.222411))+0-247.4--0.126173999999975</f>
        <v>1229.6725469999999</v>
      </c>
      <c r="Y108" s="3">
        <f>1815.2+(66.2-491.8)+(0+(0-0))+0-246.2-0</f>
        <v>1143.3999999999999</v>
      </c>
      <c r="Z108" s="3">
        <f>1824.5+(179.3-358.9)+(1.86099+(0.182886-0.366078))+0-250-0.25500000000004</f>
        <v>1396.3227979999999</v>
      </c>
      <c r="AA108" s="3">
        <f>1827.4+(293.5-320.2)+(0+(0-0))+0-249.8-0</f>
        <v>1550.9</v>
      </c>
      <c r="AB108" s="3">
        <f>1827.9+(343.1-313.2)+(0.932229+(0.174981-0.159732))+0-249.6-0.127295999999975</f>
        <v>1609.0201820000004</v>
      </c>
      <c r="AC108" s="3">
        <f>1812+(385-310.8)+(-2.77236+(-0.58905--0.475524))+0-247.2--0.378216000000014</f>
        <v>1636.49233</v>
      </c>
      <c r="AD108">
        <f t="shared" si="1"/>
        <v>35639.680277000007</v>
      </c>
      <c r="AE108" s="3">
        <f>1829+(309.3-319.1)+(0+(0-0))+0-249.1-0</f>
        <v>1570.1000000000001</v>
      </c>
    </row>
    <row r="109" spans="1:31" s="2" customFormat="1" x14ac:dyDescent="0.25">
      <c r="A109">
        <v>89</v>
      </c>
      <c r="B109">
        <v>4</v>
      </c>
      <c r="C109">
        <v>16</v>
      </c>
      <c r="D109">
        <v>5</v>
      </c>
      <c r="E109">
        <v>1</v>
      </c>
      <c r="F109" s="3">
        <f>1812.3+(380.4-303.1)+(-1.848546+(-0.388008--0.309162))+0-248.5--0.25347000000004</f>
        <v>1639.426078</v>
      </c>
      <c r="G109" s="3">
        <f>1814.5+(326.8-320)+(-0.925395+(-0.166668--0.1632))+0-248.9--0.126938999999975</f>
        <v>1571.5980759999998</v>
      </c>
      <c r="H109" s="3">
        <f>1815.9+(281.7-304)+(0+(0-0))+0-248.7-0</f>
        <v>1544.9</v>
      </c>
      <c r="I109" s="3">
        <f>1819.2+(248.2-305)+(-0.927792+(-0.126582--0.15555))+0-249.2--0.127091999999975</f>
        <v>1512.4282679999999</v>
      </c>
      <c r="J109" s="3">
        <f>1822.3+(207.2-292.5)+(0+(0-0))+0-248.6-0</f>
        <v>1488.4</v>
      </c>
      <c r="K109" s="3">
        <f>1827.1+(138.5-279.7)+(-4.659105+(-0.353175--0.713235))+0-248.2--0.632909999999964</f>
        <v>1434.0338649999999</v>
      </c>
      <c r="L109" s="3">
        <f>1829.4+(39.6-311.7)+(-1.865988+(-0.040392--0.317934))+0-246.7--0.251634000000039</f>
        <v>1309.2631880000001</v>
      </c>
      <c r="M109" s="3">
        <f>1825.8+(29-337.3)+(0.931158+(0.01479-0.172023))+0-249.7-0.127346999999975</f>
        <v>1268.446578</v>
      </c>
      <c r="N109" s="3">
        <f>1818.4+(84.2-418.3)+(0.927384+(0.042942-0.213333))+0-247.6-0.126275999999975</f>
        <v>1237.3307170000003</v>
      </c>
      <c r="O109" s="3">
        <f>1809.4+(115.8-452.1)+(0.922794+(0.059058-0.230571))+0-248.2-0.126581999999975</f>
        <v>1225.5246990000003</v>
      </c>
      <c r="P109" s="3">
        <f>1806.3+(152.4-433)+(1.842426+(0.155448-0.44166))+0-248.4-0.25336800000004</f>
        <v>1278.6028459999995</v>
      </c>
      <c r="Q109" s="3">
        <f>1817+(201.7-350.5)+(0+(0-0))+0-249.2-0</f>
        <v>1419</v>
      </c>
      <c r="R109" s="3">
        <f>1809.1+(308.9-307.5)+(2.767923+(0.472617-0.470475))+0-249.7-0.382041000000014</f>
        <v>1563.1880239999998</v>
      </c>
      <c r="S109" s="3">
        <f>1801.6+(405-309)+(0.918816+(0.20655-0.15759))+0-247.9-0.126428999999975</f>
        <v>1650.5413469999999</v>
      </c>
      <c r="T109" s="3">
        <f>1800.1+(434.7-310.4)+(0+(0-0))+0-248-0</f>
        <v>1676.3999999999999</v>
      </c>
      <c r="U109" s="3">
        <f>1798+(407.8-287.3)+(-1.83396+(-0.415956--0.293046))+0-247.7--0.252654000000039</f>
        <v>1669.0957840000001</v>
      </c>
      <c r="V109" s="3">
        <f>1794.4+(343.3-271.6)+(-0.915144+(-0.175083--0.138516))+0-247.9--0.126428999999975</f>
        <v>1617.374718</v>
      </c>
      <c r="W109" s="3">
        <f>1802.7+(202.9-286.4)+(1.838754+(0.206958-0.292128))+0-247.2-0.252144000000039</f>
        <v>1473.50144</v>
      </c>
      <c r="X109" s="3">
        <f>1809.1+(100.2-417.9)+(-0.922641+(-0.051102--0.213129))+0-248.2--0.126581999999975</f>
        <v>1242.5659679999997</v>
      </c>
      <c r="Y109" s="3">
        <f>1816.8+(40.9-451.5)+(0+(0-0))+0-247-0</f>
        <v>1159.1999999999998</v>
      </c>
      <c r="Z109" s="3">
        <f>1816.4+(175.5-327)+(0.926364+(0.089505-0.16677))+0-248.5-0.126734999999975</f>
        <v>1417.1223640000001</v>
      </c>
      <c r="AA109" s="3">
        <f>1821.9+(278.4-289)+(0+(0-0))+0-249-0</f>
        <v>1562.3000000000002</v>
      </c>
      <c r="AB109" s="3">
        <f>1827.8+(332.5-283.6)+(0.932178+(0.169575-0.144636))+0-249.9-0.127448999999975</f>
        <v>1627.6296679999996</v>
      </c>
      <c r="AC109" s="3">
        <f>1645+(530.6-265)+(0+(0-0))+0-247.1-0</f>
        <v>1663.5</v>
      </c>
      <c r="AD109">
        <f t="shared" si="1"/>
        <v>35251.373627999994</v>
      </c>
      <c r="AE109" s="3">
        <f>1826+(294.3-303.2)+(0+(0-0))+0-250.9-0</f>
        <v>1566.1999999999998</v>
      </c>
    </row>
    <row r="110" spans="1:31" s="2" customFormat="1" x14ac:dyDescent="0.25">
      <c r="A110">
        <v>89</v>
      </c>
      <c r="B110">
        <v>4</v>
      </c>
      <c r="C110">
        <v>17</v>
      </c>
      <c r="D110">
        <v>6</v>
      </c>
      <c r="E110">
        <v>1</v>
      </c>
      <c r="F110" s="3">
        <f>1643.7+(530.7-276.4)+(0.838287+(0.270657-0.140964))+0-244.4-0.124643999999975</f>
        <v>1654.4433359999998</v>
      </c>
      <c r="G110" s="3">
        <f>1645.6+(473.8-257.3)+(0+(0-0))+0-246.2-0</f>
        <v>1615.8999999999999</v>
      </c>
      <c r="H110" s="3">
        <f>1647.4+(430.7-241.4)+(0.840174+(0.219657-0.123114))+0-247.4-0.126173999999975</f>
        <v>1590.110543</v>
      </c>
      <c r="I110" s="3">
        <f>1648.7+(378.7-228.4)+(1.681674+(0.386274-0.232968))+0-248.2-0.25316400000004</f>
        <v>1552.3818160000001</v>
      </c>
      <c r="J110" s="3">
        <f>1652.4+(350.3-225.6)+(0.842724+(0.178653-0.115056))+0-248.4-0.126683999999975</f>
        <v>1529.4796369999999</v>
      </c>
      <c r="K110" s="3">
        <f>1654.4+(259.6-207)+(0+(0-0))+0-248-0</f>
        <v>1459</v>
      </c>
      <c r="L110" s="3">
        <f>1652.8+(118.5-207.2)+(-2.528784+(-0.181305--0.317016))+0-244.3--0.373779000000014</f>
        <v>1317.780706</v>
      </c>
      <c r="M110" s="3">
        <f>1650.3+(83.4-225.1)+(-2.524959+(-0.127602--0.344403))+0-246.6--0.377298000000014</f>
        <v>1260.0691400000001</v>
      </c>
      <c r="N110" s="3">
        <f>1643.7+(112.2-264.7)+(-3.353148+(-0.228888--0.539988))+0-246.1--0.502043999999989</f>
        <v>1242.5599960000002</v>
      </c>
      <c r="O110" s="3">
        <f>1636.4+(144.1-299.6)+(-0.834564+(-0.073491--0.152796))+0-247.9--0.126428999999975</f>
        <v>1232.3711699999999</v>
      </c>
      <c r="P110" s="3">
        <f>1641.9+(180.4-291.9)+(0.837369+(0.092004-0.148869))+0-246.5-0.125714999999975</f>
        <v>1284.5547890000003</v>
      </c>
      <c r="Q110" s="3">
        <f>1637.9+(279.2-285.4)+(1.670658+(0.284784-0.291108))+0-246.5-0.251430000000039</f>
        <v>1386.6129040000001</v>
      </c>
      <c r="R110" s="3">
        <f>1629.6+(437.5-259.1)+(1.662192+(0.44625-0.264282))+0-247.8-0.25275600000004</f>
        <v>1561.7914040000001</v>
      </c>
      <c r="S110" s="3">
        <f>1620+(542-264.1)+(0+(0-0))+0-248.6-0</f>
        <v>1649.3000000000002</v>
      </c>
      <c r="T110" s="3">
        <f>1616+(589.2-264.3)+(0.82416+(0.300492-0.134793))+0-246.6-0.125765999999975</f>
        <v>1695.1640930000003</v>
      </c>
      <c r="U110" s="3">
        <f>1615+(591-265.9)+(0.82365+(0.30141-0.135609))+0-246.5-0.125714999999975</f>
        <v>1694.4637359999999</v>
      </c>
      <c r="V110" s="3">
        <f>1616+(527.9-263.5)+(0+(0-0))+0-247.3-0</f>
        <v>1633.1000000000001</v>
      </c>
      <c r="W110" s="3">
        <f>1620+(315.8-247.9)+(-0.8262+(-0.161058--0.126429))+0-247.5--0.126224999999975</f>
        <v>1439.6653960000001</v>
      </c>
      <c r="X110" s="3">
        <f>1635+(152.3-298.8)+(-2.50155+(-0.233019--0.457164))+0-247.7--0.378981000000014</f>
        <v>1238.901576</v>
      </c>
      <c r="Y110" s="3">
        <f>1643.7+(93.4-342.7)+(-0.838287+(-0.047634--0.174777))+0-246.7--0.125816999999975</f>
        <v>1147.1146729999998</v>
      </c>
      <c r="Z110" s="3">
        <f>1654.7+(225.5-253.9)+(0+(0-0))+0-247.5-0</f>
        <v>1378.8</v>
      </c>
      <c r="AA110" s="3">
        <f>1655.9+(361.2-250.8)+(-3.378036+(-0.736848--0.511632))+0-247.6--0.505103999999989</f>
        <v>1515.6018520000002</v>
      </c>
      <c r="AB110" s="3">
        <f>1654.4+(400-244)+(-0.843744+(-0.204--0.12444))+0-247.1--0.126020999999975</f>
        <v>1562.5027170000003</v>
      </c>
      <c r="AC110" s="3">
        <f>1655.2+(441-231)+(0.844152+(0.22491-0.11781))+0-246.4-0.125663999999975</f>
        <v>1619.6255880000001</v>
      </c>
      <c r="AD110">
        <f t="shared" si="1"/>
        <v>35261.295072000001</v>
      </c>
      <c r="AE110" s="3">
        <f>1633+(373.9-260.2)+(0+(0-0))+0-247.3-0</f>
        <v>1499.4</v>
      </c>
    </row>
    <row r="111" spans="1:31" s="2" customFormat="1" x14ac:dyDescent="0.25">
      <c r="A111">
        <v>89</v>
      </c>
      <c r="B111">
        <v>4</v>
      </c>
      <c r="C111">
        <v>18</v>
      </c>
      <c r="D111">
        <v>7</v>
      </c>
      <c r="E111">
        <v>1</v>
      </c>
      <c r="F111" s="3">
        <f>1621.1+(450.3-222.2)+(0+(0-0))+0-245.4-0</f>
        <v>1603.7999999999997</v>
      </c>
      <c r="G111" s="3">
        <f>1636.8+(438.6-222)+(-0.834768+(-0.223686--0.11322))+0-249.2--0.127091999999975</f>
        <v>1603.381858</v>
      </c>
      <c r="H111" s="3">
        <f>1623.4+(404.2-210.5)+(0.827934+(0.206142-0.107355))+0-250.9-0.127958999999975</f>
        <v>1566.9987620000002</v>
      </c>
      <c r="I111" s="3">
        <f>1639.7+(363.6-200)+(0.836247+(0.185436-0.102))+0-248.7-0.126836999999975</f>
        <v>1555.3928460000002</v>
      </c>
      <c r="J111" s="3">
        <f>1610.4+(348.5-189.5)+(0.821304+(0.177735-0.096645))+0-245.9-0.125408999999975</f>
        <v>1524.276985</v>
      </c>
      <c r="K111" s="3">
        <f>1610.3+(264.2-174.1)+(-2.463759+(-0.404226--0.266373))+0-245.1--0.375003000000014</f>
        <v>1453.0733910000001</v>
      </c>
      <c r="L111" s="3">
        <f>1624.4+(136.3-181.4)+(0+(0-0))+0-243.3-0</f>
        <v>1336.0000000000002</v>
      </c>
      <c r="M111" s="3">
        <f>1616.2+(100.4-190.7)+(0+(0-0))+0-242.9-0</f>
        <v>1283</v>
      </c>
      <c r="N111" s="3">
        <f>1602.6+(108.2-230.4)+(-1.634652+(-0.110364--0.235008))+0-243.1--0.247962000000039</f>
        <v>1236.0379540000001</v>
      </c>
      <c r="O111" s="3">
        <f>1604.3+(111.2-246.6)+(0+(0-0))+0-243.9-0</f>
        <v>1225</v>
      </c>
      <c r="P111" s="3">
        <f>1605.9+(142.6-239.7)+(1.638018+(0.145452-0.244494))+0-244.6-0.249492000000039</f>
        <v>1265.4894840000002</v>
      </c>
      <c r="Q111" s="3">
        <f>1614.9+(227.1-238.2)+(0+(0-0))+0-245.6-0</f>
        <v>1358.2000000000003</v>
      </c>
      <c r="R111" s="3">
        <f>1610.8+(347.5-266.3)+(0.821508+(0.177225-0.135813))+0-243.4-0.124133999999975</f>
        <v>1449.338786</v>
      </c>
      <c r="S111" s="3">
        <f>1619.4+(445.2-279.5)+(1.651788+(0.454104-0.28509))+0-243.4-0.248268000000039</f>
        <v>1543.272534</v>
      </c>
      <c r="T111" s="3">
        <f>1616.7+(487.7-276.8)+(0.824517+(0.248727-0.141168))+0-244.9-0.124898999999975</f>
        <v>1583.507177</v>
      </c>
      <c r="U111" s="3">
        <f>1465+(643.6-272.1)+(-1.4943+(-0.656472--0.277542))+0-243.2--0.248064000000039</f>
        <v>1591.6748340000001</v>
      </c>
      <c r="V111" s="3">
        <f>1373.6+(678.7-247.8)+(-0.700536+(-0.346137--0.126378))+0-243.2--0.124031999999975</f>
        <v>1560.503737</v>
      </c>
      <c r="W111" s="3">
        <f>1377.3+(518.1-230.9)+(-0.702423+(-0.264231--0.117759))+0-244--0.124439999999975</f>
        <v>1419.775545</v>
      </c>
      <c r="X111" s="3">
        <f>1392.3+(262.2-208.3)+(-1.420146+(-0.267444--0.212466))+0-244.8--0.249696000000039</f>
        <v>1200.1745719999999</v>
      </c>
      <c r="Y111" s="3">
        <f>1397.8+(115-292.2)+(-2.138634+(-0.17595--0.447066))+0-246.3--0.376839000000014</f>
        <v>972.80932099999995</v>
      </c>
      <c r="Z111" s="3">
        <f>1426.6+(296.7-280.1)+(0.727566+(0.151317-0.142851))+0-246.7-0.125816999999975</f>
        <v>1197.1102149999999</v>
      </c>
      <c r="AA111" s="3">
        <f>1439.2+(451.1-281.5)+(-0.733992+(-0.230061--0.143565))+0-246.6--0.125765999999975</f>
        <v>1361.5052780000001</v>
      </c>
      <c r="AB111" s="3">
        <f>1438+(507.1-278.3)+(0+(0-0))+0-246-0</f>
        <v>1420.8</v>
      </c>
      <c r="AC111" s="3">
        <f>1437+(558.1-276.9)+(0.73287+(0.284631-0.141219))+0-244.3-0.124592999999975</f>
        <v>1474.651689</v>
      </c>
      <c r="AD111">
        <f t="shared" si="1"/>
        <v>33785.774967999998</v>
      </c>
      <c r="AE111" s="3">
        <f>1613+(461.3-280.5)+(0+(0-0))+0-244.3-0</f>
        <v>1549.5</v>
      </c>
    </row>
    <row r="112" spans="1:31" s="2" customFormat="1" x14ac:dyDescent="0.25">
      <c r="A112">
        <v>89</v>
      </c>
      <c r="B112">
        <v>4</v>
      </c>
      <c r="C112">
        <v>19</v>
      </c>
      <c r="D112">
        <v>1</v>
      </c>
      <c r="E112">
        <v>3</v>
      </c>
      <c r="F112" s="3">
        <f>1503.3+(567.4-248.8)+(-3.066732+(-1.157496--0.507552))+0-243.1--0.495923999999989</f>
        <v>1575.579248</v>
      </c>
      <c r="G112" s="3">
        <f>1503+(548.6-242)+(-2.29959+(-0.839358--0.37026))+0-243.3--0.372249000000014</f>
        <v>1563.9035609999999</v>
      </c>
      <c r="H112" s="3">
        <f>1502+(513-230.2)+(-1.53204+(-0.52326--0.234804))+0-244.4--0.249288000000039</f>
        <v>1538.8287919999998</v>
      </c>
      <c r="I112" s="3">
        <f>1507.2+(472.3-220.1)+(-1.537344+(-0.481746--0.224502))+0-244.5--0.249390000000039</f>
        <v>1513.3548020000001</v>
      </c>
      <c r="J112" s="3">
        <f>1508.3+(448.1-211.8)+(-1.538466+(-0.457062--0.216036))+0-244--0.248880000000039</f>
        <v>1499.0693880000001</v>
      </c>
      <c r="K112" s="3">
        <f>1512.6+(353.9-187.3)+(0+(0-0))+0-244-0</f>
        <v>1435.1999999999998</v>
      </c>
      <c r="L112" s="3">
        <f>1522.9+(215.7-181.6)+(0+(0-0))+0-242.8-0</f>
        <v>1314.2</v>
      </c>
      <c r="M112" s="3">
        <f>1518.7+(172.8-196.9)+(-2.323611+(-0.264384--0.301257))+0-242.6--0.371178000000014</f>
        <v>1250.0844400000003</v>
      </c>
      <c r="N112" s="3">
        <f>1512.3+(160.8-206.2)+(-0.771273+(-0.082008--0.105162))+0-245.4--0.125153999999975</f>
        <v>1220.877035</v>
      </c>
      <c r="O112" s="3">
        <f>1507.1+(174.3-232.8)+(1.537242+(0.177786-0.237456))+0-248.7-0.25367400000004</f>
        <v>1201.1238979999998</v>
      </c>
      <c r="P112" s="3">
        <f>1501.4+(232-266.5)+(1.531428+(0.23664-0.27183))+0-247.4-0.252348000000039</f>
        <v>1220.74389</v>
      </c>
      <c r="Q112" s="3">
        <f>1495.7+(347.8-277.5)+(1.525614+(0.354756-0.28305))+0-248.2-0.25316400000004</f>
        <v>1319.1441560000001</v>
      </c>
      <c r="R112" s="3">
        <f>1494.1+(496.2-282.3)+(0+(0-0))+0-246.8-0</f>
        <v>1461.2</v>
      </c>
      <c r="S112" s="3">
        <f>1481+(586.1-270.1)+(0+(0-0))+0-240.6-0</f>
        <v>1556.4</v>
      </c>
      <c r="T112" s="3">
        <f>1479.9+(632.2-279.5)+(0.754749+(0.322422-0.142545))+15.5-240.2-0.122501999999976</f>
        <v>1608.7121240000001</v>
      </c>
      <c r="U112" s="3">
        <f>1477.8+(600.8-250.8)+(0+(0-0))+31-231.8-0</f>
        <v>1627</v>
      </c>
      <c r="V112" s="3">
        <f>1473+(538.8-244.4)+(0+(0-0))+31-230.5-0</f>
        <v>1567.9</v>
      </c>
      <c r="W112" s="3">
        <f>1472.5+(360.8-236.6)+(-1.50195+(-0.368016--0.241332))+31-233.1--0.237762000000037</f>
        <v>1393.2091280000002</v>
      </c>
      <c r="X112" s="3">
        <f>1479.8+(166.1-254.4)+(0+(0-0))+31-233.2-0</f>
        <v>1189.3</v>
      </c>
      <c r="Y112" s="3">
        <f>1486.6+(139.7-315.3)+(0.758166+(0.071247-0.160803))+0-231.2-0.117911999999977</f>
        <v>1080.350698</v>
      </c>
      <c r="Z112" s="3">
        <f>1506.8+(335.8-269.3)+(0+(0-0))+0-239.9-0</f>
        <v>1333.3999999999999</v>
      </c>
      <c r="AA112" s="3">
        <f>1513.3+(490.2-273.5)+(-0.771783+(-0.250002--0.139485))+0-240.5--0.122654999999976</f>
        <v>1488.7403549999999</v>
      </c>
      <c r="AB112" s="3">
        <f>1517.2+(533.1-274.2)+(0+(0-0))+0-245.5-0</f>
        <v>1530.6000000000001</v>
      </c>
      <c r="AC112" s="3">
        <f>1518.4+(592.7-282.8)+(0+(0-0))+0-242.7-0</f>
        <v>1585.6000000000001</v>
      </c>
      <c r="AD112">
        <f t="shared" si="1"/>
        <v>34074.521515</v>
      </c>
      <c r="AE112" s="3">
        <f>1520+(518.6-292.1)+(0+(0-0))+0-244.3-0</f>
        <v>1502.2</v>
      </c>
    </row>
    <row r="113" spans="1:31" s="2" customFormat="1" x14ac:dyDescent="0.25">
      <c r="A113">
        <v>89</v>
      </c>
      <c r="B113">
        <v>4</v>
      </c>
      <c r="C113">
        <v>20</v>
      </c>
      <c r="D113">
        <v>2</v>
      </c>
      <c r="E113">
        <v>1</v>
      </c>
      <c r="F113" s="3">
        <f>1521.7+(598.8-289)+(0+(0-0))+0-246.7-0</f>
        <v>1584.8</v>
      </c>
      <c r="G113" s="3">
        <f>1519.6+(549.8-270)+(-2.324988+(-0.841194--0.4131))+0-247.9--0.379287000000014</f>
        <v>1549.1262049999998</v>
      </c>
      <c r="H113" s="3">
        <f>1521.2+(513.6-260)+(-1.551624+(-0.523872--0.2652))+0-247.3--0.252246000000039</f>
        <v>1525.9419500000001</v>
      </c>
      <c r="I113" s="3">
        <f>1520.2+(474.2-249.4)+(-2.325906+(-0.725526--0.381582))+0-246.8--0.377604000000014</f>
        <v>1495.9077540000001</v>
      </c>
      <c r="J113" s="3">
        <f>1520+(440.8-241.2)+(0+(0-0))+0-246.5-0</f>
        <v>1473.1</v>
      </c>
      <c r="K113" s="3">
        <f>1524+(364.3-224.4)+(0+(0-0))+0-248.1-0</f>
        <v>1415.8000000000002</v>
      </c>
      <c r="L113" s="3">
        <f>1526.7+(198.9-207.9)+(-1.557234+(-0.202878--0.212058))+0-246.5--0.251430000000039</f>
        <v>1269.903376</v>
      </c>
      <c r="M113" s="3">
        <f>1524.7+(157.8-219.5)+(-0.777597+(-0.080478--0.111945))+0-247.3--0.126122999999975</f>
        <v>1215.0799930000001</v>
      </c>
      <c r="N113" s="3">
        <f>1519.1+(169.6-237.2)+(0.774741+(0.086496-0.120972))+0-246.6-0.125765999999975</f>
        <v>1205.5144990000001</v>
      </c>
      <c r="O113" s="3">
        <f>1557.5+(175.9-277.9)+(0.794325+(0.089709-0.141729))+0-246.7-0.125816999999975</f>
        <v>1209.4164880000001</v>
      </c>
      <c r="P113" s="3">
        <f>1579+(223.2-284.8)+(1.61058+(0.227664-0.290496))+0-248.2-0.25316400000004</f>
        <v>1270.494584</v>
      </c>
      <c r="Q113" s="3">
        <f>1575.4+(298.5-279.7)+(1.606908+(0.30447-0.285294))+16-239.9-0.244698000000038</f>
        <v>1371.681386</v>
      </c>
      <c r="R113" s="3">
        <f>1572.3+(454.2-280.5)+(0.801873+(0.231642-0.143055))+48-236.1-0.120410999999976</f>
        <v>1558.6700490000003</v>
      </c>
      <c r="S113" s="3">
        <f>1566.2+(582.4-287.5)+(0.798762+(0.297024-0.146625))+48-234.9-0.119798999999976</f>
        <v>1675.0293619999998</v>
      </c>
      <c r="T113" s="3">
        <f>1560.6+(620.9-289.9)+(0.795906+(0.316659-0.147849))+48-233.4-0.119033999999976</f>
        <v>1707.0456819999997</v>
      </c>
      <c r="U113" s="3">
        <f>1552.8+(622.1-280.7)+(1.583856+(0.634542-0.286314))+48-234.4-0.239088000000037</f>
        <v>1709.4929959999999</v>
      </c>
      <c r="V113" s="3">
        <f>1552.6+(561.1-274.6)+(0+(0-0))+48-233.3-0</f>
        <v>1653.8</v>
      </c>
      <c r="W113" s="3">
        <f>1557.5+(370.6-254)+(-3.1773+(-0.756024--0.51816))+48-235--0.47939999999999</f>
        <v>1484.1642359999998</v>
      </c>
      <c r="X113" s="3">
        <f>1563.4+(169.9-269.7)+(0+(0-0))+16-235.8-0</f>
        <v>1243.8000000000002</v>
      </c>
      <c r="Y113" s="3">
        <f>1603.6+(130.7-346.9)+(-0.817836+(-0.066657--0.176919))+0-245.3--0.125102999999975</f>
        <v>1141.517529</v>
      </c>
      <c r="Z113" s="3">
        <f>1622+(318.3-295.6)+(0.82722+(0.162333-0.150756))+0-245.3-0.125102999999975</f>
        <v>1400.1136940000001</v>
      </c>
      <c r="AA113" s="3">
        <f>1503+(565.2-283)+(-1.53306+(-0.576504--0.28866))+0-245.1--0.250002000000039</f>
        <v>1538.5290980000002</v>
      </c>
      <c r="AB113" s="3">
        <f>1506.1+(610.4-285)+(-0.768111+(-0.311304--0.14535))+0-245.9--0.125408999999975</f>
        <v>1584.791344</v>
      </c>
      <c r="AC113" s="3">
        <f>1522.8+(653.9-290.9)+(-0.776628+(-0.333489--0.148359))+0-245.4--0.125153999999975</f>
        <v>1639.563396</v>
      </c>
      <c r="AD113">
        <f t="shared" si="1"/>
        <v>34923.283621000002</v>
      </c>
      <c r="AE113" s="3">
        <f>1500+(547.5-323.3)+(0+(0-0))+0-244.9-0</f>
        <v>1479.3</v>
      </c>
    </row>
    <row r="114" spans="1:31" s="2" customFormat="1" x14ac:dyDescent="0.25">
      <c r="A114">
        <v>89</v>
      </c>
      <c r="B114">
        <v>4</v>
      </c>
      <c r="C114">
        <v>21</v>
      </c>
      <c r="D114">
        <v>3</v>
      </c>
      <c r="E114">
        <v>1</v>
      </c>
      <c r="F114" s="3">
        <f>1639.4+(546.3-297.8)+(-1.672188+(-0.557226--0.303756))+0-247.4--0.252348000000039</f>
        <v>1638.8266899999999</v>
      </c>
      <c r="G114" s="3">
        <f>1823.3+(354.6-305.9)+(-0.929883+(-0.180846--0.156009))+0-249.3--0.127142999999975</f>
        <v>1621.872423</v>
      </c>
      <c r="H114" s="3">
        <f>1844.6+(275.5-288.2)+(-3.762984+(-0.56202--0.587928))+0-249.1--0.508163999999989</f>
        <v>1579.5710880000001</v>
      </c>
      <c r="I114" s="3">
        <f>1844.9+(223.9-268.8)+(1.881798+(0.228378-0.274176))+0-247.7-0.252654000000039</f>
        <v>1553.8833459999998</v>
      </c>
      <c r="J114" s="3">
        <f>1843.1+(204.5-266.1)+(-1.879962+(-0.20859--0.271422))+0-249.9--0.25489800000004</f>
        <v>1530.0377680000001</v>
      </c>
      <c r="K114" s="3">
        <f>1847.3+(152-274.9)+(-1.884246+(-0.15504--0.280398))+0-247.3--0.252246000000039</f>
        <v>1475.5933580000001</v>
      </c>
      <c r="L114" s="3">
        <f>1853.7+(82.4-335.2)+(0+(0-0))+0-246.8-0</f>
        <v>1354.1000000000001</v>
      </c>
      <c r="M114" s="3">
        <f>1848+(88.1-407.8)+(0+(0-0))+0-245.5-0</f>
        <v>1282.8</v>
      </c>
      <c r="N114" s="3">
        <f>1839.5+(96.7-432.2)+(0+(0-0))+6.3-246.3-0</f>
        <v>1264</v>
      </c>
      <c r="O114" s="3">
        <f>1831.5+(79.6-560.3)+(0+(0-0))+47.3-245.3-0</f>
        <v>1152.8000000000002</v>
      </c>
      <c r="P114" s="3">
        <f>1821.1+(150.6-449.9)+(0+(0-0))+0-243.4-0</f>
        <v>1278.3999999999999</v>
      </c>
      <c r="Q114" s="3">
        <f>1825.6+(196.5-358.2)+(3.724224+(0.40086-0.730728))+0-242.6-0.494903999999989</f>
        <v>1424.1994520000001</v>
      </c>
      <c r="R114" s="3">
        <f>1823+(277.4-300.4)+(-1.85946+(-0.282948--0.306408))+26.7-241.2--0.246024000000038</f>
        <v>1583.910024</v>
      </c>
      <c r="S114" s="3">
        <f>1818+(385.6-301.8)+(0.92718+(0.196656-0.153918))+40-241.3-0.123062999999976</f>
        <v>1701.346855</v>
      </c>
      <c r="T114" s="3">
        <f>1811.9+(428.7-301.7)+(0.924069+(0.218637-0.153867))+40-241.3-0.123062999999976</f>
        <v>1738.4657760000002</v>
      </c>
      <c r="U114" s="3">
        <f>1804.3+(411-289)+(1.840386+(0.41922-0.29478))+40-241.2-0.246024000000038</f>
        <v>1726.8188019999998</v>
      </c>
      <c r="V114" s="3">
        <f>1781.6+(368.8-284.1)+(-0.908616+(-0.188088--0.144891))+40-241--0.122909999999976</f>
        <v>1664.4710970000001</v>
      </c>
      <c r="W114" s="3">
        <f>1781.7+(204-285.3)+(-2.726001+(-0.31212--0.436509))+40-241.7--0.369801000000014</f>
        <v>1496.4681890000002</v>
      </c>
      <c r="X114" s="3">
        <f>1789+(107-403.2)+(-2.73717+(-0.16371--0.616896))+0-242.8--0.371484000000014</f>
        <v>1248.0875000000001</v>
      </c>
      <c r="Y114" s="3">
        <f>1798.9+(91.6-466.2)+(-0.917439+(-0.046716--0.237762))+0-242.2--0.123521999999975</f>
        <v>1181.4971290000001</v>
      </c>
      <c r="Z114" s="3">
        <f>1807.2+(195.1-331.4)+(0.921672+(0.099501-0.169014))+0-242.2-0.123521999999975</f>
        <v>1429.4286370000002</v>
      </c>
      <c r="AA114" s="3">
        <f>1811.1+(321-315.2)+(-0.923661+(-0.16371--0.160752))+0-242.3--0.123572999999975</f>
        <v>1573.7969539999999</v>
      </c>
      <c r="AB114" s="3">
        <f>1817.5+(345.4-301.4)+(-0.926925+(-0.176154--0.153714))+0-242.1--0.123470999999975</f>
        <v>1618.574106</v>
      </c>
      <c r="AC114" s="3">
        <f>1820.6+(378.3-294.2)+(0+(0-0))+0-245.7-0</f>
        <v>1658.9999999999998</v>
      </c>
      <c r="AD114">
        <f t="shared" si="1"/>
        <v>35777.949194000001</v>
      </c>
      <c r="AE114" s="3">
        <f>1801+(342.5-314.6)+(0+(0-0))+0-241.9-0</f>
        <v>1587</v>
      </c>
    </row>
    <row r="115" spans="1:31" s="2" customFormat="1" x14ac:dyDescent="0.25">
      <c r="A115">
        <v>89</v>
      </c>
      <c r="B115">
        <v>4</v>
      </c>
      <c r="C115">
        <v>22</v>
      </c>
      <c r="D115">
        <v>4</v>
      </c>
      <c r="E115">
        <v>1</v>
      </c>
      <c r="F115" s="3">
        <f>1827.8+(369.1-281.2)+(0+(0-0))+0-248.5-0</f>
        <v>1667.2</v>
      </c>
      <c r="G115" s="3">
        <f>1810.8+(344.7-280)+(-1.847016+(-0.351594--0.2856))+0-248--0.25296000000004</f>
        <v>1625.83995</v>
      </c>
      <c r="H115" s="3">
        <f>1813.1+(299.3-272.3)+(0.924681+(0.152643-0.138873))+0-249.3-0.127142999999975</f>
        <v>1591.611308</v>
      </c>
      <c r="I115" s="3">
        <f>1815.1+(267.2-262.1)+(0+(0-0))+0-250.6-0</f>
        <v>1569.6</v>
      </c>
      <c r="J115" s="3">
        <f>1816.3+(244.4-253.4)+(2.778939+(0.373932-0.387702))+0-249.4-0.381582000000014</f>
        <v>1560.2835869999999</v>
      </c>
      <c r="K115" s="3">
        <f>1815.7+(179-247.7)+(0+(0-0))+0-249.1-0</f>
        <v>1497.9</v>
      </c>
      <c r="L115" s="3">
        <f>1812.9+(81-280.4)+(-0.924579+(-0.04131--0.143004))+0-245.8--0.125357999999975</f>
        <v>1367.002473</v>
      </c>
      <c r="M115" s="3">
        <f>1813.4+(76.3-340.4)+(0+(0-0))+0-246.6-0</f>
        <v>1302.7000000000003</v>
      </c>
      <c r="N115" s="3">
        <f>1814.3+(91.4-375.3)+(3.701172+(0.186456-0.765612))+0-247.4-0.504695999999989</f>
        <v>1285.6173200000001</v>
      </c>
      <c r="O115" s="3">
        <f>1807.5+(109.5-391.3)+(0+(0-0))+0-240-0</f>
        <v>1285.7</v>
      </c>
      <c r="P115" s="3">
        <f>1798.4+(144.9-377.2)+(2.751552+(0.221697-0.577116))+0-239.3-0.366129000000014</f>
        <v>1328.8300040000001</v>
      </c>
      <c r="Q115" s="3">
        <f>1806.6+(213.1-323.2)+(0.921366+(0.108681-0.164832))+0-244.5-0.124694999999975</f>
        <v>1452.7405200000001</v>
      </c>
      <c r="R115" s="3">
        <f>1801.5+(326.5-287.7)+(-1.83753+(-0.33303--0.293454))+28.7-226.8--0.231336000000036</f>
        <v>1640.5542300000002</v>
      </c>
      <c r="S115" s="3">
        <f>1794.1+(442.6-277.6)+(0+(0-0))+43-241-0</f>
        <v>1761.1</v>
      </c>
      <c r="T115" s="3">
        <f>1785.7+(484-271.1)+(2.732121+(0.74052-0.414783))+43-242.6-0.371178000000014</f>
        <v>1801.6866799999998</v>
      </c>
      <c r="U115" s="3">
        <f>1783.2+(478.8-264.4)+(-0.909432+(-0.244188--0.134844))+43-243.9--0.124388999999975</f>
        <v>1795.8056130000002</v>
      </c>
      <c r="V115" s="3">
        <f>1783.6+(403.7-257.6)+(-0.909636+(-0.205887--0.131376))+43-239.9--0.122348999999976</f>
        <v>1731.9382019999998</v>
      </c>
      <c r="W115" s="3">
        <f>1790.4+(205.1-258.6)+(-5.478624+(-0.627606--0.791316))+43-232.6--0.711756000000027</f>
        <v>1542.6968420000001</v>
      </c>
      <c r="X115" s="3">
        <f>1796+(113.6-384.1)+(-3.66384+(-0.231744--0.783564))+0-243.2--0.496127999999989</f>
        <v>1279.6841079999999</v>
      </c>
      <c r="Y115" s="3">
        <f>1801.6+(74.7-423)+(-2.756448+(-0.114291--0.64719))+0-242.3--0.370719000000014</f>
        <v>1209.14717</v>
      </c>
      <c r="Z115" s="3">
        <f>1809.7+(196.1-302.1)+(0.922947+(0.100011-0.154071))+0-242.6-0.123725999999975</f>
        <v>1461.8451610000002</v>
      </c>
      <c r="AA115" s="3">
        <f>1814.7+(320.6-281.4)+(-3.701988+(-0.654024--0.574056))+0-242.2--0.494087999999989</f>
        <v>1608.4121319999999</v>
      </c>
      <c r="AB115" s="3">
        <f>1819.8+(351.6-276.6)+(-3.712392+(-0.717264--0.564264))+0-242.6--0.494903999999989</f>
        <v>1648.829512</v>
      </c>
      <c r="AC115" s="3">
        <f>1807.1+(369-263.5)+(1.843242+(0.37638-0.26877))+0-245.6-0.250512000000039</f>
        <v>1668.7003399999999</v>
      </c>
      <c r="AD115">
        <f t="shared" si="1"/>
        <v>36685.425152000003</v>
      </c>
      <c r="AE115" s="3">
        <f>1817+(331-288)+(0+(0-0))+0-237-0</f>
        <v>1623</v>
      </c>
    </row>
    <row r="116" spans="1:31" s="2" customFormat="1" x14ac:dyDescent="0.25">
      <c r="A116">
        <v>89</v>
      </c>
      <c r="B116">
        <v>4</v>
      </c>
      <c r="C116">
        <v>23</v>
      </c>
      <c r="D116">
        <v>5</v>
      </c>
      <c r="E116">
        <v>1</v>
      </c>
      <c r="F116" s="3">
        <f>1805.2+(367-281.3)+(-1.841304+(-0.37434--0.286926))+0-248.3--0.25326600000004</f>
        <v>1640.9245480000002</v>
      </c>
      <c r="G116" s="3">
        <f>1737.1+(387-261.7)+(-0.885921+(-0.19737--0.133467))+0-247.7--0.126326999999975</f>
        <v>1613.8765029999997</v>
      </c>
      <c r="H116" s="3">
        <f>1735.2+(351.5-247.5)+(-1.769904+(-0.35853--0.25245))+0-248.4--0.25336800000004</f>
        <v>1589.1773840000001</v>
      </c>
      <c r="I116" s="3">
        <f>1734+(314.7-234.8)+(-1.76868+(-0.320994--0.239496))+0-248.1--0.25306200000004</f>
        <v>1564.2028840000003</v>
      </c>
      <c r="J116" s="3">
        <f>1736.3+(282.9-227.7)+(2.656539+(0.432837-0.348381))+0-249.1-0.381123000000014</f>
        <v>1544.7598720000001</v>
      </c>
      <c r="K116" s="3">
        <f>1762.9+(190.4-207.2)+(-1.798158+(-0.194208--0.211344))+0-247--0.251940000000039</f>
        <v>1497.5709180000003</v>
      </c>
      <c r="L116" s="3">
        <f>1780.3+(79.3-244.9)+(-0.907953+(-0.040443--0.124899))+0-246.5--0.125714999999975</f>
        <v>1367.5022179999996</v>
      </c>
      <c r="M116" s="3">
        <f>1777.9+(50.7-265)+(2.720187+(0.077571-0.40545))+0-248.2-0.379746000000014</f>
        <v>1317.412562</v>
      </c>
      <c r="N116" s="3">
        <f>1772.8+(122.5-356.2)+(-0.904128+(-0.062475--0.181662))+0-248.1--0.126530999999975</f>
        <v>1290.34159</v>
      </c>
      <c r="O116" s="3">
        <f>1770.7+(137.6-370)+(1.806114+(0.140352-0.3774))+0-248-0.25296000000004</f>
        <v>1291.6161059999999</v>
      </c>
      <c r="P116" s="3">
        <f>1779.2+(165.8-370.4)+(0.907392+(0.084558-0.188904))+20.8-246.7-0.125816999999975</f>
        <v>1349.3772290000002</v>
      </c>
      <c r="Q116" s="3">
        <f>1801.1+(169-374)+(-0.918561+(-0.08619--0.19074))+50-248--0.126479999999975</f>
        <v>1397.4124689999999</v>
      </c>
      <c r="R116" s="3">
        <f>1801.2+(294.4-252.7)+(-1.837224+(-0.300288--0.257754))+90-244.5--0.249390000000039</f>
        <v>1686.769632</v>
      </c>
      <c r="S116" s="3">
        <f>1799.5+(364.5-262)+(0+(0-0))+90-243.3-0</f>
        <v>1748.7</v>
      </c>
      <c r="T116" s="3">
        <f>1795.8+(393.3-250)+(0.915858+(0.200583-0.1275))+90-242.6-0.123725999999975</f>
        <v>1787.365215</v>
      </c>
      <c r="U116" s="3">
        <f>1793.7+(350-251)+(-0.914787+(-0.1785--0.12801))+90-242.6--0.123725999999975</f>
        <v>1739.2584490000002</v>
      </c>
      <c r="V116" s="3">
        <f>1796.3+(304-253)+(-1.832226+(-0.31008--0.25806))+90-241.7--0.246534000000039</f>
        <v>1693.9622879999999</v>
      </c>
      <c r="W116" s="3">
        <f>1799+(150.4-229.5)+(2.75247+(0.230112-0.351135))+90-241.6-0.369648000000014</f>
        <v>1570.5617990000001</v>
      </c>
      <c r="X116" s="3">
        <f>1808.5+(69.6-379.9)+(-1.84467+(-0.070992--0.387498))+30-243.2--0.248064000000039</f>
        <v>1283.7199000000001</v>
      </c>
      <c r="Y116" s="3">
        <f>1815.3+(71-454.6)+(0.925803+(0.03621-0.231846))+0-241.9-0.123368999999975</f>
        <v>1190.4067979999998</v>
      </c>
      <c r="Z116" s="3">
        <f>1817.3+(182-300.1)+(1.853646+(0.18564-0.306102))+0-244-0.248880000000039</f>
        <v>1456.6843039999997</v>
      </c>
      <c r="AA116" s="3">
        <f>1823.6+(245.1-240.4)+(-2.790108+(-0.375003--0.367812))+0-242.7--0.371331000000014</f>
        <v>1583.1740319999999</v>
      </c>
      <c r="AB116" s="3">
        <f>1826+(283.6-237.6)+(-0.93126+(-0.144636--0.121176))+0-242.8--0.123827999999975</f>
        <v>1628.3691080000001</v>
      </c>
      <c r="AC116" s="3">
        <f>1823.5+(336.2-241.3)+(-0.929985+(-0.171462--0.123063))+0-243.5--0.124184999999975</f>
        <v>1674.045801</v>
      </c>
      <c r="AD116">
        <f t="shared" si="1"/>
        <v>36507.191608999994</v>
      </c>
      <c r="AE116" s="3">
        <f>1820+(258-257.4)+(0+(0-0))+0-241.9-0</f>
        <v>1578.6999999999998</v>
      </c>
    </row>
    <row r="117" spans="1:31" s="2" customFormat="1" x14ac:dyDescent="0.25">
      <c r="A117">
        <v>89</v>
      </c>
      <c r="B117">
        <v>4</v>
      </c>
      <c r="C117">
        <v>24</v>
      </c>
      <c r="D117">
        <v>6</v>
      </c>
      <c r="E117">
        <v>1</v>
      </c>
      <c r="F117" s="3">
        <f>1626.3+(480.7-222.4)+(-0.829413+(-0.245157--0.113424))+0-248.8--0.126887999999975</f>
        <v>1634.9657419999999</v>
      </c>
      <c r="G117" s="3">
        <f>1576.7+(475.3-204.6)+(-0.804117+(-0.242403--0.104346))+0-247.9--0.126428999999975</f>
        <v>1598.6842549999999</v>
      </c>
      <c r="H117" s="3">
        <f>1562.1+(455.8-197)+(3.186684+(0.929832-0.40188))+0-248-0.505919999999989</f>
        <v>1576.1087159999997</v>
      </c>
      <c r="I117" s="3">
        <f>1573.3+(425.2-199.2)+(-1.604766+(-0.433704--0.203184))+0-244.2--0.249084000000039</f>
        <v>1553.513798</v>
      </c>
      <c r="J117" s="3">
        <f>1581.6+(393.7-194.1)+(-0.806616+(-0.200787--0.098991))+0-243.4--0.124133999999975</f>
        <v>1537.0157219999996</v>
      </c>
      <c r="K117" s="3">
        <f>1580.2+(323.8-183.5)+(-1.611804+(-0.330276--0.18717))+0-244.3--0.249186000000039</f>
        <v>1474.6942759999999</v>
      </c>
      <c r="L117" s="3">
        <f>1582.9+(175.6-166)+(-1.614558+(-0.179112--0.16932))+0-245.6--0.250512000000039</f>
        <v>1345.5261620000001</v>
      </c>
      <c r="M117" s="3">
        <f>1583.7+(131.5-193.4)+(-0.807687+(-0.067065--0.098634))+0-245.3--0.125102999999975</f>
        <v>1275.8489850000001</v>
      </c>
      <c r="N117" s="3">
        <f>1579+(168.7-246.1)+(0.80529+(0.086037-0.125511))+0-243.8-0.124337999999975</f>
        <v>1258.441478</v>
      </c>
      <c r="O117" s="3">
        <f>1570.9+(186.2-252.6)+(4.005795+(0.47481-0.64413))+0-243.9-0.621944999999965</f>
        <v>1263.8145300000001</v>
      </c>
      <c r="P117" s="3">
        <f>1583.6+(197.6-235.4)+(0.807636+(0.100776-0.120054))+37.5-239.8-0.122297999999976</f>
        <v>1344.16606</v>
      </c>
      <c r="Q117" s="3">
        <f>1581.8+(266.9-214.9)+(0.806718+(0.136119-0.109599))+60-237-0.120869999999976</f>
        <v>1457.5123679999999</v>
      </c>
      <c r="R117" s="3">
        <f>1580.1+(413.9-199.5)+(-0.805851+(-0.211089--0.101745))+60-236.2--0.120461999999976</f>
        <v>1617.505267</v>
      </c>
      <c r="S117" s="3">
        <f>1575.9+(516.4-198.7)+(-1.607418+(-0.526728--0.202674))+60-236.8--0.241536000000038</f>
        <v>1715.1100640000002</v>
      </c>
      <c r="T117" s="3">
        <f>1572.7+(557.5-208)+(-0.802077+(-0.284325--0.10608))+60-236.3--0.120512999999976</f>
        <v>1745.0401910000003</v>
      </c>
      <c r="U117" s="3">
        <f>1570.4+(560.3-203.7)+(-0.800904+(-0.285753--0.103887))+60-236.3--0.120512999999976</f>
        <v>1749.837743</v>
      </c>
      <c r="V117" s="3">
        <f>1568+(493.2-196.7)+(0+(0-0))+40-235.2-0</f>
        <v>1669.3</v>
      </c>
      <c r="W117" s="3">
        <f>1556.2+(330.8-196.9)+(-1.587324+(-0.337416--0.200838))+0-236.5--0.241230000000038</f>
        <v>1452.1173280000003</v>
      </c>
      <c r="X117" s="3">
        <f>1561.4+(152.7-235.5)+(-3.98157+(-0.389385--0.600525))+0-241.7--0.616334999999965</f>
        <v>1233.745905</v>
      </c>
      <c r="Y117" s="3">
        <f>1567+(144.8-331.4)+(-0.79917+(-0.073848--0.169014))+0-240.1--0.122450999999976</f>
        <v>1139.7184470000002</v>
      </c>
      <c r="Z117" s="3">
        <f>1577.1+(276.1-231.5)+(-1.608642+(-0.281622--0.23613))+0-240.6--0.245412000000038</f>
        <v>1379.6912779999998</v>
      </c>
      <c r="AA117" s="3">
        <f>1591.1+(399.3-226)+(-2.434383+(-0.610929--0.34578))+0-239.9--0.367047000000014</f>
        <v>1522.1675149999996</v>
      </c>
      <c r="AB117" s="3">
        <f>1591.4+(431-220.3)+(-0.811614+(-0.21981--0.112353))+0-237.6--0.121175999999976</f>
        <v>1563.7021050000001</v>
      </c>
      <c r="AC117" s="3">
        <f>1594.8+(491.4-228.8)+(-2.440044+(-0.751842--0.350064))+0-239--0.365670000000014</f>
        <v>1615.9238479999997</v>
      </c>
      <c r="AD117">
        <f t="shared" si="1"/>
        <v>35724.151782999994</v>
      </c>
      <c r="AE117" s="3">
        <f>1589+(409.8-236.9)+(0+(0-0))+0-239-0</f>
        <v>1522.9</v>
      </c>
    </row>
    <row r="118" spans="1:31" s="2" customFormat="1" x14ac:dyDescent="0.25">
      <c r="A118">
        <v>89</v>
      </c>
      <c r="B118">
        <v>4</v>
      </c>
      <c r="C118">
        <v>25</v>
      </c>
      <c r="D118">
        <v>7</v>
      </c>
      <c r="E118">
        <v>1</v>
      </c>
      <c r="F118" s="3">
        <f>1582.4+(504.7-240.8)+(2.421072+(0.772191-0.368424))+0-241.5-0.369495000000014</f>
        <v>1607.2553440000004</v>
      </c>
      <c r="G118" s="3">
        <f>1584.2+(479.8-226.1)+(-0.807942+(-0.244698--0.115311))+0-243.9--0.124388999999975</f>
        <v>1593.18706</v>
      </c>
      <c r="H118" s="3">
        <f>1584.6+(447.8-212.4)+(0.808146+(0.228378-0.108324))+0-241.1-0.122960999999976</f>
        <v>1579.7052390000001</v>
      </c>
      <c r="I118" s="3">
        <f>1584.2+(414.5-205.9)+(0.807942+(0.211395-0.105009))+0-242.7-0.123776999999975</f>
        <v>1550.890551</v>
      </c>
      <c r="J118" s="3">
        <f>1584.2+(390.2-199.3)+(-2.423826+(-0.597006--0.304929))+0-242.1--0.370413000000014</f>
        <v>1530.6545100000001</v>
      </c>
      <c r="K118" s="3">
        <f>1571.7+(344.6-187.9)+(-4.809402+(-1.054476--0.574974))+0-244.5--0.748170000000028</f>
        <v>1479.3592660000002</v>
      </c>
      <c r="L118" s="3">
        <f>1567.9+(209.7-173.1)+(-3.998145+(-0.534735--0.441405))+0-242.2--0.617609999999965</f>
        <v>1358.826135</v>
      </c>
      <c r="M118" s="3">
        <f>1569.6+(139.3-182.3)+(0+(0-0))+0-237.9-0</f>
        <v>1288.6999999999998</v>
      </c>
      <c r="N118" s="3">
        <f>1568.2+(104.8-182.2)+(-1.599564+(-0.106896--0.185844))+0-238--0.242760000000038</f>
        <v>1251.522144</v>
      </c>
      <c r="O118" s="3">
        <f>1562.7+(145-229.9)+(-1.593954+(-0.1479--0.234498))+0-237.5--0.242250000000038</f>
        <v>1239.0348939999999</v>
      </c>
      <c r="P118" s="3">
        <f>1553.2+(198.6-252.2)+(-0.792132+(-0.101286--0.128622))+0-239--0.121889999999976</f>
        <v>1259.9570940000001</v>
      </c>
      <c r="Q118" s="3">
        <f>1587+(256-250.6)+(-1.61874+(-0.26112--0.255612))+0-237.7--0.242454000000038</f>
        <v>1353.3182059999999</v>
      </c>
      <c r="R118" s="3">
        <f>1695.9+(267.4-268.1)+(-0.864909+(-0.136374--0.136731))+30-238--0.121379999999976</f>
        <v>1486.4568280000001</v>
      </c>
      <c r="S118" s="3">
        <f>1819.4+(236.1-288.9)+(-0.927894+(-0.120411--0.147339))+30-237.4--0.121073999999976</f>
        <v>1558.420108</v>
      </c>
      <c r="T118" s="3">
        <f>1832+(261.3-284.1)+(1.86864+(0.266526-0.289782))+30-235.8-0.240516000000038</f>
        <v>1605.004868</v>
      </c>
      <c r="U118" s="3">
        <f>1830.9+(270.7-276.3)+(-1.867518+(-0.276114--0.281826))+17.5-235.9--0.240618000000038</f>
        <v>1605.2788120000002</v>
      </c>
      <c r="V118" s="3">
        <f>1828.7+(245-280.6)+(1.865274+(0.2499-0.286212))+0-235.4-0.240108000000038</f>
        <v>1559.2888539999999</v>
      </c>
      <c r="W118" s="3">
        <f>1833.1+(152-319.3)+(-1.869762+(-0.15504--0.325686))+0-237.7--0.242454000000038</f>
        <v>1426.6433379999999</v>
      </c>
      <c r="X118" s="3">
        <f>1844+(40.6-432.2)+(-6.58308+(-0.144942--1.542954))+0-237.8--0.848946000000003</f>
        <v>1210.2638780000002</v>
      </c>
      <c r="Y118" s="3">
        <f>1848.3+(0-487.8)+(1.885266+(0-0.497556))+0-237.7-0.242454000000038</f>
        <v>1123.945256</v>
      </c>
      <c r="Z118" s="3">
        <f>1854.6+(130.7-369.4)+(-2.837538+(-0.199971--0.565182))+0-236.5--0.361845000000014</f>
        <v>1377.2895179999998</v>
      </c>
      <c r="AA118" s="3">
        <f>1851.6+(242.1-336.1)+(-1.888632+(-0.246942--0.342822))+0-236.7--0.241434000000038</f>
        <v>1519.3486819999998</v>
      </c>
      <c r="AB118" s="3">
        <f>1852.7+(259.5-323)+(0+(0-0))+0-236.7-0</f>
        <v>1552.5</v>
      </c>
      <c r="AC118" s="3">
        <f>1856.7+(295.3-307.4)+(-1.893834+(-0.301206--0.313548))+0-234.9--0.239598000000037</f>
        <v>1608.0581060000002</v>
      </c>
      <c r="AD118">
        <f t="shared" si="1"/>
        <v>34724.90869099999</v>
      </c>
      <c r="AE118" s="3">
        <f>1857+(262.6-330)+(0+(0-0))+0-235-0</f>
        <v>1554.6</v>
      </c>
    </row>
    <row r="119" spans="1:31" s="2" customFormat="1" x14ac:dyDescent="0.25">
      <c r="A119">
        <v>89</v>
      </c>
      <c r="B119">
        <v>4</v>
      </c>
      <c r="C119">
        <v>26</v>
      </c>
      <c r="D119">
        <v>1</v>
      </c>
      <c r="E119">
        <v>1</v>
      </c>
      <c r="F119" s="3">
        <f>1846.1+(288.7-276.5)+(-2.824533+(-0.441711--0.423045))+0-235.2--0.359856000000014</f>
        <v>1620.616657</v>
      </c>
      <c r="G119" s="3">
        <f>1845.9+(262.2-257.6)+(-2.824227+(-0.401166--0.394128))+0-236.2--0.361386000000014</f>
        <v>1611.830121</v>
      </c>
      <c r="H119" s="3">
        <f>1848.8+(221.5-248)+(-0.942888+(-0.112965--0.12648))+0-235--0.119849999999976</f>
        <v>1586.4904770000001</v>
      </c>
      <c r="I119" s="3">
        <f>1851.2+(187.1-237.4)+(-5.664672+(-0.572526--0.726444))+0-235.7--0.721242000000027</f>
        <v>1560.4104880000002</v>
      </c>
      <c r="J119" s="3">
        <f>1853.1+(167.1-233.3)+(-1.890162+(-0.170442--0.237966))+0-235.4--0.240108000000038</f>
        <v>1549.9174699999996</v>
      </c>
      <c r="K119" s="3">
        <f>1855.3+(133.3-258.7)+(-3.784812+(-0.271932--0.527748))+0-234.8--0.47899199999999</f>
        <v>1492.0499960000002</v>
      </c>
      <c r="L119" s="3">
        <f>1859.4+(30.7-298)+(-4.74147+(-0.078285--0.7599))+0-237.3--0.605114999999966</f>
        <v>1351.3452600000003</v>
      </c>
      <c r="M119" s="3">
        <f>1857.9+(28.2-349)+(0.947529+(0.014382-0.17799))+0-237.5-0.121124999999976</f>
        <v>1300.2627960000002</v>
      </c>
      <c r="N119" s="3">
        <f>1854.3+(103.8-433)+(0+(0-0))+0-238.1-0</f>
        <v>1287</v>
      </c>
      <c r="O119" s="3">
        <f>1847.2+(143.9-451.6)+(0.942072+(0.073389-0.230316))+0-240.4-0.122603999999976</f>
        <v>1299.7625410000001</v>
      </c>
      <c r="P119" s="3">
        <f>1830.4+(172.8-416.7)+(0.933504+(0.088128-0.212517))+0-240.6-0.122705999999976</f>
        <v>1346.5864090000002</v>
      </c>
      <c r="Q119" s="3">
        <f>1836+(217.7-342.5)+(0+(0-0))+60-236.1-0</f>
        <v>1535.1000000000001</v>
      </c>
      <c r="R119" s="3">
        <f>1816.7+(317.8-291.8)+(0+(0-0))+60-234.9-0</f>
        <v>1667.8</v>
      </c>
      <c r="S119" s="3">
        <f>1812.8+(417.9-294.5)+(0+(0-0))+60-235.4-0</f>
        <v>1760.7999999999997</v>
      </c>
      <c r="T119" s="3">
        <f>1798.6+(436.7-271.2)+(0.917286+(0.222717-0.138312))+60-234-0.119339999999976</f>
        <v>1790.9823509999999</v>
      </c>
      <c r="U119" s="3">
        <f>1772.6+(441.5-267.8)+(1.808052+(0.45033-0.273156))+60-232.7-0.237354000000037</f>
        <v>1775.3478719999998</v>
      </c>
      <c r="V119" s="3">
        <f>1771.6+(379.1-265)+(-0.903516+(-0.193341--0.13515))+40-231.9--0.118268999999976</f>
        <v>1692.9565619999998</v>
      </c>
      <c r="W119" s="3">
        <f>1786.5+(222.9-294.9)+(0+(0-0))+0-231.7-0</f>
        <v>1482.8</v>
      </c>
      <c r="X119" s="3">
        <f>1818.6+(152.1-443.5)+(-2.782458+(-0.232713--0.678555))+0-232.5--0.355725000000013</f>
        <v>1292.7191089999999</v>
      </c>
      <c r="Y119" s="3">
        <f>1823.2+(140.5-515.4)+(0+(0-0))+0-232.2-0</f>
        <v>1216.1000000000001</v>
      </c>
      <c r="Z119" s="3">
        <f>1826.6+(240.6-348.8)+(0+(0-0))+0-232.2-0</f>
        <v>1486.1999999999998</v>
      </c>
      <c r="AA119" s="3">
        <f>1834.4+(308.7-294.7)+(-2.806632+(-0.472311--0.450891))+0-232.8--0.356184000000013</f>
        <v>1613.1281320000001</v>
      </c>
      <c r="AB119" s="3">
        <f>1837.2+(337.9-291.2)+(-3.747888+(-0.689316--0.594048))+0-232.5--0.47429999999999</f>
        <v>1648.0311440000003</v>
      </c>
      <c r="AC119" s="3">
        <f>1827.2+(362.7-285.6)+(-3.727488+(-0.739908--0.582624))+0-235.1--0.47960399999999</f>
        <v>1665.7948319999998</v>
      </c>
      <c r="AD119">
        <f t="shared" si="1"/>
        <v>36634.032216999993</v>
      </c>
      <c r="AE119" s="3">
        <f>1831+(314.6-307)+(0+(0-0))+0-240.1-0</f>
        <v>1598.5</v>
      </c>
    </row>
    <row r="120" spans="1:31" s="2" customFormat="1" x14ac:dyDescent="0.25">
      <c r="A120">
        <v>89</v>
      </c>
      <c r="B120">
        <v>4</v>
      </c>
      <c r="C120">
        <v>27</v>
      </c>
      <c r="D120">
        <v>2</v>
      </c>
      <c r="E120">
        <v>1</v>
      </c>
      <c r="F120" s="3">
        <f>1832.2+(353.4-298.9)+(-3.737688+(-0.720936--0.609756))+0-238--0.48551999999999</f>
        <v>1645.336652</v>
      </c>
      <c r="G120" s="3">
        <f>1837.4+(312.4-289.7)+(-0.937074+(-0.159324--0.147747))+0-237.3--0.121022999999976</f>
        <v>1621.9723720000002</v>
      </c>
      <c r="H120" s="3">
        <f>1840.9+(280-284.5)+(0+(0-0))+0-238.7-0</f>
        <v>1597.7</v>
      </c>
      <c r="I120" s="3">
        <f>1842.5+(252.7-280.8)+(-2.819025+(-0.386631--0.429624))+0-238.2--0.364446000000014</f>
        <v>1573.7884140000001</v>
      </c>
      <c r="J120" s="3">
        <f>1840.9+(233.3-275.2)+(-1.877718+(-0.237966--0.280704))+0-236.3--0.241026000000038</f>
        <v>1561.1060460000001</v>
      </c>
      <c r="K120" s="3">
        <f>1840.3+(184.2-268.7)+(-4.692765+(-0.46971--0.685185))+0-236.5--0.603074999999966</f>
        <v>1515.4257849999999</v>
      </c>
      <c r="L120" s="3">
        <f>1841.2+(65.1-292.3)+(-3.756048+(-0.132804--0.596292))+0-233.6--0.47654399999999</f>
        <v>1377.5839840000001</v>
      </c>
      <c r="M120" s="3">
        <f>1841.9+(56.1-353.8)+(-0.939369+(-0.028611--0.180438))+0-233.9--0.119288999999976</f>
        <v>1309.6317469999999</v>
      </c>
      <c r="N120" s="3">
        <f>1834.9+(100.1-426.7)+(-1.871598+(-0.102102--0.435234))+0-233.4--0.238068000000037</f>
        <v>1273.5996020000002</v>
      </c>
      <c r="O120" s="3">
        <f>1829.7+(156-473.3)+(0.933147+(0.07956-0.241383))+0-233.1-0.118880999999976</f>
        <v>1279.9524430000004</v>
      </c>
      <c r="P120" s="3">
        <f>1836.6+(202-446)+(0.936666+(0.10302-0.22746))+20-233.1-0.118880999999976</f>
        <v>1380.1933450000001</v>
      </c>
      <c r="Q120" s="3">
        <f>1834.5+(249-360.5)+(1.87119+(0.25398-0.36771))+60-233.5-0.238170000000037</f>
        <v>1551.01929</v>
      </c>
      <c r="R120" s="3">
        <f>1831.9+(309.2-313.6)+(0.934269+(0.157692-0.159936))+60-230.6-0.117605999999977</f>
        <v>1657.7144190000001</v>
      </c>
      <c r="S120" s="3">
        <f>1828.1+(408.6-305.4)+(0.932331+(0.208386-0.155754))+60-231-0.117809999999977</f>
        <v>1761.1671530000001</v>
      </c>
      <c r="T120" s="3">
        <f>1823.6+(405-298)+(1.860072+(0.4131-0.30396))+60-230.1-0.234702000000037</f>
        <v>1762.23451</v>
      </c>
      <c r="U120" s="3">
        <f>1822+(406.5-304.1)+(1.85844+(0.41463-0.310182))+60-229.4-0.233988000000037</f>
        <v>1756.7289000000001</v>
      </c>
      <c r="V120" s="3">
        <f>1820.7+(333.3-310.6)+(0.928557+(0.169983-0.158406))+60-228.7-0.116636999999977</f>
        <v>1675.5234969999999</v>
      </c>
      <c r="W120" s="3">
        <f>1828.1+(194.1-354.8)+(0+(0-0))+10-228.2-0</f>
        <v>1449.1999999999998</v>
      </c>
      <c r="X120" s="3">
        <f>1838.1+(125.6-485.8)+(-2.812293+(-0.192168--0.743274))+0-228.5--0.349605000000013</f>
        <v>1247.4884179999999</v>
      </c>
      <c r="Y120" s="3">
        <f>1845.2+(109-550)+(-0.941052+(-0.05559--0.2805))+0-228.7--0.116636999999977</f>
        <v>1174.9004950000001</v>
      </c>
      <c r="Z120" s="3">
        <f>1848.9+(218.2-392)+(0.942939+(0.111282-0.19992))+0-227.9-0.116228999999977</f>
        <v>1447.9380720000001</v>
      </c>
      <c r="AA120" s="3">
        <f>1847.7+(277-323.7)+(0+(0-0))+0-227.6-0</f>
        <v>1573.4</v>
      </c>
      <c r="AB120" s="3">
        <f>1846.5+(307.2-298.5)+(-3.76686+(-0.626688--0.60894))+0-228.1--0.46532399999999</f>
        <v>1623.7807160000002</v>
      </c>
      <c r="AC120" s="3">
        <f>1847+(355.9-320.4)+(-1.88394+(-0.363018--0.326808))+0-232.6--0.237252000000037</f>
        <v>1648.2171020000003</v>
      </c>
      <c r="AD120">
        <f t="shared" si="1"/>
        <v>36465.602961999997</v>
      </c>
      <c r="AE120" s="3">
        <f>1846+(273.6-323.1)+(0+(0-0))+0-227-0</f>
        <v>1569.5</v>
      </c>
    </row>
    <row r="121" spans="1:31" s="2" customFormat="1" x14ac:dyDescent="0.25">
      <c r="A121">
        <v>89</v>
      </c>
      <c r="B121">
        <v>4</v>
      </c>
      <c r="C121">
        <v>28</v>
      </c>
      <c r="D121">
        <v>3</v>
      </c>
      <c r="E121">
        <v>1</v>
      </c>
      <c r="F121" s="3">
        <f>1837.1+(343.1-307)+(-2.810763+(-0.524943--0.46971))+0-232--0.354960000000013</f>
        <v>1638.6889639999999</v>
      </c>
      <c r="G121" s="3">
        <f>1839+(300.3-293.2)+(-1.87578+(-0.306306--0.299064))+0-232.6--0.237252000000037</f>
        <v>1611.8542300000001</v>
      </c>
      <c r="H121" s="3">
        <f>1843+(257-283.8)+(-3.75972+(-0.52428--0.578952))+0-233.2--0.47572799999999</f>
        <v>1579.7706799999999</v>
      </c>
      <c r="I121" s="3">
        <f>1847.4+(210.1-271.2)+(-2.826522+(-0.321453--0.414936))+0-234.5--0.358785000000014</f>
        <v>1549.4257460000003</v>
      </c>
      <c r="J121" s="3">
        <f>1849.5+(166-265.9)+(-1.88649+(-0.16932--0.271218))+0-232.8--0.237456000000037</f>
        <v>1515.252864</v>
      </c>
      <c r="K121" s="3">
        <f>1851.2+(106.5-251.7)+(-3.776448+(-0.21726--0.513468))+0-235--0.47939999999999</f>
        <v>1467.9991599999998</v>
      </c>
      <c r="L121" s="3">
        <f>1853.2+(43.1-400)+(-3.780528+(-0.087924--0.816))+0-231.4--0.47205599999999</f>
        <v>1262.3196040000003</v>
      </c>
      <c r="M121" s="3">
        <f>1847+(53.1-478.9)+(-2.82591+(-0.081243--0.732717))+0-231.7--0.354501000000013</f>
        <v>1187.680065</v>
      </c>
      <c r="N121" s="3">
        <f>1839.1+(56.9-506.5)+(0.937941+(0.029019-0.258315))+0-228.5-0.116534999999977</f>
        <v>1161.59211</v>
      </c>
      <c r="O121" s="3">
        <f>1810.1+(97.3-522.9)+(0.923151+(0.049623-0.266679))+0-228.6-0.116585999999977</f>
        <v>1156.4895090000002</v>
      </c>
      <c r="P121" s="3">
        <f>1809.6+(156.2-545.8)+(0+(0-0))+0-227.9-0</f>
        <v>1192.0999999999999</v>
      </c>
      <c r="Q121" s="3">
        <f>1817.1+(251.9-547.2)+(0.926721+(0.128469-0.279072))+0-228-0.116279999999977</f>
        <v>1294.4598379999998</v>
      </c>
      <c r="R121" s="3">
        <f>1807.5+(266.4-503.4)+(-0.921825+(-0.135864--0.256734))+0-228--0.116279999999977</f>
        <v>1341.815325</v>
      </c>
      <c r="S121" s="3">
        <f>1808.2+(403.5-445.8)+(-0.922182+(-0.205785--0.227358))+0-228.2--0.116381999999977</f>
        <v>1536.9157729999999</v>
      </c>
      <c r="T121" s="3">
        <f>1805.4+(430.4-434.2)+(1.841508+(0.439008-0.442884))+0-226-0.230520000000036</f>
        <v>1577.2071120000001</v>
      </c>
      <c r="U121" s="3">
        <f>1791.3+(421.6-421.9)+(0.913563+(0.215016-0.215169))+0-225.9-0.115208999999977</f>
        <v>1565.898201</v>
      </c>
      <c r="V121" s="3">
        <f>1785.1+(369.9-424.1)+(-1.820802+(-0.377298--0.432582))+0-225.4--0.229908000000036</f>
        <v>1503.9643899999999</v>
      </c>
      <c r="W121" s="3">
        <f>1791.4+(251.4-467.8)+(-3.654456+(-0.512856--0.954312))+0-226.8--0.46267199999999</f>
        <v>1345.449672</v>
      </c>
      <c r="X121" s="3">
        <f>1783.1+(172.4-594.6)+(-3.637524+(-0.351696--1.212984))+0-226.5--0.46205999999999</f>
        <v>1132.085824</v>
      </c>
      <c r="Y121" s="3">
        <f>1785.7+(135.9-629.7)+(0+(0-0))+0-229.1-0</f>
        <v>1062.8000000000002</v>
      </c>
      <c r="Z121" s="3">
        <f>1803.9+(240.9-493.6)+(0.919989+(0.122859-0.251736))+0-225.7-0.115106999999977</f>
        <v>1326.176005</v>
      </c>
      <c r="AA121" s="3">
        <f>1811.3+(297.5-427)+(-1.847526+(-0.30345--0.43554))+0-225.8--0.230316000000036</f>
        <v>1454.5148800000002</v>
      </c>
      <c r="AB121" s="3">
        <f>1815.1+(312.6-410.3)+(-0.925701+(-0.159426--0.209253))+0-225.2--0.114851999999977</f>
        <v>1491.4389779999997</v>
      </c>
      <c r="AC121" s="3">
        <f>1818.8+(353.2-420.5)+(0+(0-0))+0-227.3-0</f>
        <v>1524.2</v>
      </c>
      <c r="AD121">
        <f t="shared" si="1"/>
        <v>33480.09893</v>
      </c>
      <c r="AE121" s="3">
        <f>1807+(305.7-415.6)+(0+(0-0))+0-224.1-0</f>
        <v>1473</v>
      </c>
    </row>
    <row r="122" spans="1:31" s="2" customFormat="1" x14ac:dyDescent="0.25">
      <c r="A122">
        <v>89</v>
      </c>
      <c r="B122">
        <v>4</v>
      </c>
      <c r="C122">
        <v>29</v>
      </c>
      <c r="D122">
        <v>4</v>
      </c>
      <c r="E122">
        <v>1</v>
      </c>
      <c r="F122" s="3">
        <f>1812.9+(351.8-301)+(-3.698316+(-0.717672--0.61404))+0-230.1--0.46940399999999</f>
        <v>1630.267456</v>
      </c>
      <c r="G122" s="3">
        <f>1815.5+(308-285.7)+(-5.55543+(-0.94248--0.874242))+0-227--0.694620000000026</f>
        <v>1605.870952</v>
      </c>
      <c r="H122" s="3">
        <f>1815.2+(268-274.5)+(-2.777256+(-0.41004--0.419985))+0-227.5--0.348075000000013</f>
        <v>1578.7807640000001</v>
      </c>
      <c r="I122" s="3">
        <f>1814.9+(239.8-266.8)+(-2.776797+(-0.366894--0.408204))+0-228--0.348840000000013</f>
        <v>1557.5133530000003</v>
      </c>
      <c r="J122" s="3">
        <f>1819.5+(219.5-270.7)+(1.85589+(0.22389-0.276114))+0-227.2-0.231744000000036</f>
        <v>1542.671922</v>
      </c>
      <c r="K122" s="3">
        <f>1821.4+(179.3-270.5)+(-1.857828+(-0.182886--0.27591))+0-229.4--0.233988000000037</f>
        <v>1499.269184</v>
      </c>
      <c r="L122" s="3">
        <f>1819.9+(77.7-312.9)+(-5.568894+(-0.237762--0.957474))+0-225.4--0.689724000000026</f>
        <v>1355.1405420000001</v>
      </c>
      <c r="M122" s="3">
        <f>1802.1+(67.2-360.7)+(0.919071+(0.034272-0.183957))+0-224.2-0.114341999999977</f>
        <v>1285.0550439999997</v>
      </c>
      <c r="N122" s="3">
        <f>1798.6+(103.9-419.1)+(0.917286+(0.052989-0.213741))+0-226.5-0.115514999999977</f>
        <v>1257.541019</v>
      </c>
      <c r="O122" s="3">
        <f>1815.8+(143.1-468.8)+(1.852116+(0.145962-0.478176))+0-227.1-0.231642000000036</f>
        <v>1264.28826</v>
      </c>
      <c r="P122" s="3">
        <f>1818.6+(201.2-480.6)+(1.854972+(0.205224-0.490212))+0-228.4-0.232968000000036</f>
        <v>1312.1370159999997</v>
      </c>
      <c r="Q122" s="3">
        <f>1808.1+(243.8-405.5)+(0.922131+(0.124338-0.206805))+0-226-0.115259999999977</f>
        <v>1421.1244039999999</v>
      </c>
      <c r="R122" s="3">
        <f>1802.7+(307.9-317.8)+(2.758131+(0.471087-0.486234))+0-224.6-0.343638000000013</f>
        <v>1570.599346</v>
      </c>
      <c r="S122" s="3">
        <f>1793.8+(428.2-309.6)+(0.914838+(0.218382-0.157896))+0-224.1-0.114290999999977</f>
        <v>1689.1610330000001</v>
      </c>
      <c r="T122" s="3">
        <f>1795.1+(471.1-318.8)+(3.662004+(0.961044-0.650352))+0-224.9-0.45879599999999</f>
        <v>1726.0138999999999</v>
      </c>
      <c r="U122" s="3">
        <f>1793+(439.8-307.1)+(0.91443+(0.224298-0.156621))+0-223.8-0.114137999999977</f>
        <v>1702.7679690000002</v>
      </c>
      <c r="V122" s="3">
        <f>1782.4+(381.2-297.8)+(-0.909024+(-0.194412--0.151878))+0-224.7--0.114596999999977</f>
        <v>1640.2630390000002</v>
      </c>
      <c r="W122" s="3">
        <f>1785.6+(227.8-317)+(-2.731968+(-0.348534--0.48501))+0-225.1--0.344403000000013</f>
        <v>1469.0489110000001</v>
      </c>
      <c r="X122" s="3">
        <f>1786.9+(167.6-464.1)+(-2.733957+(-0.256428--0.710073))+0-225.4--0.344862000000013</f>
        <v>1263.0645499999998</v>
      </c>
      <c r="Y122" s="3">
        <f>1783.5+(120.6-502.8)+(-2.728755+(-0.184518--0.769284))+0-226.3--0.346239000000013</f>
        <v>1173.20225</v>
      </c>
      <c r="Z122" s="3">
        <f>1795.9+(253.5-372.7)+(0+(0-0))+0-224.8-0</f>
        <v>1451.9</v>
      </c>
      <c r="AA122" s="3">
        <f>1810.5+(303.5-301.9)+(-0.923355+(-0.154785--0.153969))+0-225.1--0.114800999999977</f>
        <v>1586.1906300000001</v>
      </c>
      <c r="AB122" s="3">
        <f>1807.8+(343-299.4)+(-1.843956+(-0.34986--0.305388))+0-226.1--0.230622000000036</f>
        <v>1623.6421940000002</v>
      </c>
      <c r="AC122" s="3">
        <f>1806.4+(378.1-303.2)+(1.842528+(0.385662-0.309264))+0-223.8-0.228276000000036</f>
        <v>1659.1906500000002</v>
      </c>
      <c r="AD122">
        <f t="shared" si="1"/>
        <v>35864.704387999998</v>
      </c>
      <c r="AE122" s="3">
        <f>1807+(310.4-303.8)+(0+(0-0))+0-230-0</f>
        <v>1583.6</v>
      </c>
    </row>
    <row r="123" spans="1:31" s="2" customFormat="1" x14ac:dyDescent="0.25">
      <c r="A123">
        <v>89</v>
      </c>
      <c r="B123">
        <v>4</v>
      </c>
      <c r="C123">
        <v>30</v>
      </c>
      <c r="D123">
        <v>5</v>
      </c>
      <c r="E123">
        <v>1</v>
      </c>
      <c r="F123" s="3">
        <f>1800.6+(351.6-403.1)+(0+(0-0))+0-226-0</f>
        <v>1523.1</v>
      </c>
      <c r="G123" s="3">
        <f>1802.2+(301.3-385.6)+(-0.919122+(-0.153663--0.196656))+0-227--0.115769999999977</f>
        <v>1490.139641</v>
      </c>
      <c r="H123" s="3">
        <f>1811.1+(250-364.9)+(0.923661+(0.1275-0.186099))+0-227.1-0.115820999999977</f>
        <v>1469.8492410000001</v>
      </c>
      <c r="I123" s="3">
        <f>1813.9+(231.8-365.9)+(-0.925089+(-0.118218--0.186609))+0-226.3--0.115412999999977</f>
        <v>1452.7587150000002</v>
      </c>
      <c r="J123" s="3">
        <f>1814.1+(219.7-366.3)+(-1.850382+(-0.224094--0.373626))+0-226.1--0.230622000000036</f>
        <v>1439.9297720000002</v>
      </c>
      <c r="K123" s="3">
        <f>1816.3+(165.8-354)+(-0.926313+(-0.084558--0.18054))+0-225.4--0.114953999999977</f>
        <v>1401.9846229999998</v>
      </c>
      <c r="L123" s="3">
        <f>1813.6+(78.9-383.7)+(-0.924936+(-0.040239--0.195687))+0-223.6--0.114035999999977</f>
        <v>1284.5445480000001</v>
      </c>
      <c r="M123" s="3">
        <f>1797+(82.3-453.3)+(-0.91647+(-0.041973--0.231183))+0-224.3--0.114392999999977</f>
        <v>1201.0871330000002</v>
      </c>
      <c r="N123" s="3">
        <f>1812.5+(88.9-506.3)+(-0.924375+(-0.045339--0.258213))+0-224.6--0.114545999999977</f>
        <v>1169.903045</v>
      </c>
      <c r="O123" s="3">
        <f>1805.3+(111.2-530.1)+(0+(0-0))+0-226.1-0</f>
        <v>1160.3</v>
      </c>
      <c r="P123" s="3">
        <f>1795.3+(209.5-581.9)+(-0.915603+(-0.106845--0.296769))+0-226.6--0.115565999999977</f>
        <v>1195.6898870000002</v>
      </c>
      <c r="Q123" s="3">
        <f>1785.1+(264.4-522.8)+(0.910401+(0.134844-0.266628))+0-224.8-0.114647999999977</f>
        <v>1302.5639689999998</v>
      </c>
      <c r="R123" s="3">
        <f>1776.8+(349.2-462.2)+(-0.906168+(-0.178092--0.235722))+5-225--0.114749999999977</f>
        <v>1443.066212</v>
      </c>
      <c r="S123" s="3">
        <f>1773.5+(453.8-463.2)+(-0.904485+(-0.231438--0.236232))+30-222.1--0.113270999999977</f>
        <v>1571.2135799999999</v>
      </c>
      <c r="T123" s="3">
        <f>1774.7+(498.5-472.3)+(2.715291+(0.762705-0.722619))+30-234.7-0.359091000000014</f>
        <v>1598.596286</v>
      </c>
      <c r="U123" s="3">
        <f>1786.5+(460.5-462.2)+(0+(0-0))+30-222.8-0</f>
        <v>1592</v>
      </c>
      <c r="V123" s="3">
        <f>1780.6+(391.5-448.2)+(-0.908106+(-0.199665--0.228582))+30-223.5--0.113984999999977</f>
        <v>1529.6347959999998</v>
      </c>
      <c r="W123" s="3">
        <f>1765.6+(250.9-453.6)+(-2.701368+(-0.383877--0.694008))+20-223.1--0.341343000000013</f>
        <v>1357.750106</v>
      </c>
      <c r="X123" s="3">
        <f>1786+(175.3-591.3)+(-2.73258+(-0.268209--0.904689))+0-223--0.341190000000013</f>
        <v>1145.2450900000001</v>
      </c>
      <c r="Y123" s="3">
        <f>1809.2+(102.3-607.3)+(0.922692+(0.052173-0.309723))+0-223.4-0.113933999999977</f>
        <v>1081.351208</v>
      </c>
      <c r="Z123" s="3">
        <f>1835.6+(239.4-512.2)+(1.872312+(0.244188-0.522444))+0-222.8-0.227256000000036</f>
        <v>1341.3667999999996</v>
      </c>
      <c r="AA123" s="3">
        <f>1842.5+(292.4-457.7)+(-0.939675+(-0.149124--0.233427))+0-223.8--0.114137999999977</f>
        <v>1452.658766</v>
      </c>
      <c r="AB123" s="3">
        <f>1834.5+(320.8-447.9)+(-0.935595+(-0.163608--0.228429))+0-223.1--0.113780999999977</f>
        <v>1483.5430070000002</v>
      </c>
      <c r="AC123" s="3">
        <f>1823.4+(363-446.7)+(-1.859868+(-0.37026--0.455634))+0-224--0.228480000000036</f>
        <v>1514.153986</v>
      </c>
      <c r="AD123">
        <f t="shared" si="1"/>
        <v>33202.430411000001</v>
      </c>
      <c r="AE123" s="3">
        <f>1843+(216.6-356.1)+(0+(0-0))+0-223-0</f>
        <v>1480.5</v>
      </c>
    </row>
    <row r="124" spans="1:31" s="2" customFormat="1" x14ac:dyDescent="0.25">
      <c r="A124">
        <v>89</v>
      </c>
      <c r="B124">
        <v>4</v>
      </c>
      <c r="C124">
        <v>31</v>
      </c>
      <c r="D124">
        <v>6</v>
      </c>
      <c r="E124">
        <v>1</v>
      </c>
      <c r="F124" s="3">
        <f>1597+(507.8-267.3)+(-1.62894+(-0.517956--0.272646))+0-225.2--0.229704000000036</f>
        <v>1610.655454</v>
      </c>
      <c r="G124" s="3">
        <f>1579.8+(464.6-236.2)+(1.611396+(0.473892-0.240924))+0-225.4-0.229908000000036</f>
        <v>1584.414456</v>
      </c>
      <c r="H124" s="3">
        <f>1582.4+(424.8-226)+(-3.228096+(-0.866592--0.46104))+0-226--0.46103999999999</f>
        <v>1552.027392</v>
      </c>
      <c r="I124" s="3">
        <f>1582.7+(393.8-221.5)+(-4.035885+(-1.00419--0.564825))+0-225.8--0.575789999999967</f>
        <v>1525.30054</v>
      </c>
      <c r="J124" s="3">
        <f>1582.5+(366.5-214.8)+(0.807075+(0.186915-0.109548))+0-226.9-0.115718999999977</f>
        <v>1508.0687230000001</v>
      </c>
      <c r="K124" s="3">
        <f>1588.2+(290.1-199.2)+(-4.04991+(-0.739755--0.50796))+0-224.4--0.572219999999967</f>
        <v>1450.990515</v>
      </c>
      <c r="L124" s="3">
        <f>1590.1+(186.1-237.9)+(-1.621902+(-0.189822--0.242658))+0-223.5--0.227970000000036</f>
        <v>1313.4589040000001</v>
      </c>
      <c r="M124" s="3">
        <f>1588.1+(114.2-223.2)+(-0.809931+(-0.058242--0.113832))+0-226.2--0.115361999999977</f>
        <v>1252.2610209999998</v>
      </c>
      <c r="N124" s="3">
        <f>1581.7+(184.5-313.5)+(0.806667+(0.094095-0.159885))+0-227.4-0.115973999999977</f>
        <v>1225.9249029999999</v>
      </c>
      <c r="O124" s="3">
        <f>1575.6+(216-334)+(0+(0-0))+0-228.3-0</f>
        <v>1229.3</v>
      </c>
      <c r="P124" s="3">
        <f>1579.5+(238.9-306.9)+(0+(0-0))+0-226.9-0</f>
        <v>1284.5999999999999</v>
      </c>
      <c r="Q124" s="3">
        <f>1582.1+(290-255.9)+(0+(0-0))+0-225.2-0</f>
        <v>1390.9999999999998</v>
      </c>
      <c r="R124" s="3">
        <f>1577.2+(438.2-254.2)+(0.804372+(0.223482-0.129642))+0-224-0.114239999999977</f>
        <v>1537.9839720000002</v>
      </c>
      <c r="S124" s="3">
        <f>1569.6+(548.1-251.9)+(0.800496+(0.279531-0.128469))+0-222.4-0.113423999999977</f>
        <v>1644.2381339999999</v>
      </c>
      <c r="T124" s="3">
        <f>1563.3+(592.9-264.7)+(1.594566+(0.604758-0.269994))+0-222.5-0.226950000000035</f>
        <v>1670.7023799999999</v>
      </c>
      <c r="U124" s="3">
        <f>1561.6+(579-254)+(0+(0-0))+0-222.8-0</f>
        <v>1663.8</v>
      </c>
      <c r="V124" s="3">
        <f>1561.5+(508.3-248.9)+(0+(0-0))+0-222.6-0</f>
        <v>1598.3000000000002</v>
      </c>
      <c r="W124" s="3">
        <f>1557.7+(302.6-212.9)+(-1.588854+(-0.308652--0.217158))+0-223--0.227460000000036</f>
        <v>1422.9471120000001</v>
      </c>
      <c r="X124" s="3">
        <f>1551.9+(177.5-292.1)+(-4.748814+(-0.54315--0.893826))+0-224.2--0.686052000000026</f>
        <v>1209.3879140000001</v>
      </c>
      <c r="Y124" s="3">
        <f>1572.3+(98.7-303)+(-0.801873+(-0.050337--0.15453))+0-224--0.114239999999977</f>
        <v>1143.4165599999999</v>
      </c>
      <c r="Z124" s="3">
        <f>1589.4+(271.6-245.9)+(-3.242376+(-0.554064--0.501636))+0-222.6--0.45410399999999</f>
        <v>1389.6593</v>
      </c>
      <c r="AA124" s="3">
        <f>1592.7+(394.1-246.5)+(-3.249108+(-0.803964--0.50286))+0-222.6--0.45410399999999</f>
        <v>1514.6038920000001</v>
      </c>
      <c r="AB124" s="3">
        <f>1591.8+(431.3-245.2)+(0+(0-0))+0-222.7-0</f>
        <v>1555.2</v>
      </c>
      <c r="AC124" s="3">
        <f>1590.8+(482.1-249.2)+(-1.622616+(-0.491742--0.254184))+0-225.4--0.229908000000036</f>
        <v>1596.6697340000001</v>
      </c>
      <c r="AD124">
        <f t="shared" si="1"/>
        <v>34874.910905999997</v>
      </c>
      <c r="AE124" s="3">
        <f>1587+(388.9-234.7)+(0+(0-0))+0-223.5-0</f>
        <v>1517.7</v>
      </c>
    </row>
    <row r="125" spans="1:31" s="2" customFormat="1" x14ac:dyDescent="0.25">
      <c r="A125">
        <v>89</v>
      </c>
      <c r="B125">
        <v>5</v>
      </c>
      <c r="C125">
        <v>1</v>
      </c>
      <c r="D125">
        <v>7</v>
      </c>
      <c r="E125">
        <v>1</v>
      </c>
      <c r="F125" s="3">
        <f>1573.3+(485.1-247.5)+(-0.802383+(-0.247401--0.126225))+0-228.2--0.116381999999977</f>
        <v>1581.8928229999999</v>
      </c>
      <c r="G125" s="3">
        <f>1542.9+(450.2-233.3)+(-4.721274+(-1.377612--0.713898))+0-228.3--0.698598000000026</f>
        <v>1526.8136100000002</v>
      </c>
      <c r="H125" s="3">
        <f>1571.7+(413.5-215.9)+(-4.007835+(-1.054425--0.550545))+0-227.6--0.580379999999967</f>
        <v>1537.7686649999998</v>
      </c>
      <c r="I125" s="3">
        <f>1577.8+(365.8-206.3)+(0.804678+(0.186558-0.105213))+0-227.6-0.116075999999977</f>
        <v>1510.469947</v>
      </c>
      <c r="J125" s="3">
        <f>1581.1+(336.3-177.6)+(-0.806361+(-0.171513--0.090576))+0-228.3--0.116432999999977</f>
        <v>1510.7291349999998</v>
      </c>
      <c r="K125" s="3">
        <f>1585.2+(286.7-199.7)+(-1.616904+(-0.292434--0.203694))+0-226.1--0.230622000000036</f>
        <v>1444.6249780000003</v>
      </c>
      <c r="L125" s="3">
        <f>1587.2+(145.4-181.8)+(-0.809472+(-0.074154--0.092718))+0-225.1--0.114800999999977</f>
        <v>1325.023893</v>
      </c>
      <c r="M125" s="3">
        <f>1588.2+(119.1-228.5)+(-0.809982+(-0.060741--0.116535))+0-220.5--0.112454999999978</f>
        <v>1257.6582669999998</v>
      </c>
      <c r="N125" s="3">
        <f>1585.6+(110.4-257.6)+(0+(0-0))+0-221.2-0</f>
        <v>1217.1999999999998</v>
      </c>
      <c r="O125" s="3">
        <f>1581.9+(166.3-319.2)+(0.806769+(0.084813-0.162792))+0-221.6-0.113015999999978</f>
        <v>1208.015774</v>
      </c>
      <c r="P125" s="3">
        <f>1576.7+(249.1-362.9)+(-1.608234+(-0.254082--0.370158))+0-222.5--0.226950000000035</f>
        <v>1239.1347920000001</v>
      </c>
      <c r="Q125" s="3">
        <f>1586.6+(297.3-342.1)+(0.809166+(0.151623-0.174471))+0-223.3-0.113882999999977</f>
        <v>1319.172435</v>
      </c>
      <c r="R125" s="3">
        <f>1579.6+(361.3-277.1)+(-1.611192+(-0.368526--0.282642))+0-222.2--0.226644000000035</f>
        <v>1440.1295680000001</v>
      </c>
      <c r="S125" s="3">
        <f>1572.2+(438.8-266.5)+(-0.801822+(-0.223788--0.135915))+0-221.4--0.112913999999978</f>
        <v>1522.3232189999999</v>
      </c>
      <c r="T125" s="3">
        <f>1566.7+(490.7-268.8)+(-1.598034+(-0.500514--0.274176))+0-221.6--0.226032000000035</f>
        <v>1565.40166</v>
      </c>
      <c r="U125" s="3">
        <f>1558.8+(535.5-295.2)+(0+(0-0))+0-220.9-0</f>
        <v>1578.1999999999998</v>
      </c>
      <c r="V125" s="3">
        <f>1545.5+(464.6-282.6)+(0+(0-0))+0-220.9-0</f>
        <v>1506.6</v>
      </c>
      <c r="W125" s="3">
        <f>1549.1+(285.9-272.2)+(-3.160164+(-0.583236--0.555288))+0-221.8--0.45247199999999</f>
        <v>1338.2643599999999</v>
      </c>
      <c r="X125" s="3">
        <f>1576.7+(137.1-345.9)+(-1.608234+(-0.139842--0.352818))+0-222.8--0.227256000000036</f>
        <v>1143.9319980000002</v>
      </c>
      <c r="Y125" s="3">
        <f>1697.8+(19.8-404)+(0+(0-0))+0-223.5-0</f>
        <v>1090.0999999999999</v>
      </c>
      <c r="Z125" s="3">
        <f>1730.1+(154.1-312.2)+(-1.764702+(-0.157182--0.318444))+0-222.2--0.226644000000035</f>
        <v>1348.4232039999999</v>
      </c>
      <c r="AA125" s="3">
        <f>1697.5+(251.8-273.3)+(0+(0-0))+0-222.9-0</f>
        <v>1453.1</v>
      </c>
      <c r="AB125" s="3">
        <f>1691.8+(291.2-264.6)+(-1.725636+(-0.297024--0.269892))+0-221.9--0.226338000000035</f>
        <v>1494.9735699999997</v>
      </c>
      <c r="AC125" s="3">
        <f>1684+(334.4-261.1)+(-0.85884+(-0.170544--0.133161))+0-221.7--0.113066999999978</f>
        <v>1534.8168439999999</v>
      </c>
      <c r="AD125">
        <f t="shared" si="1"/>
        <v>33694.768741999993</v>
      </c>
      <c r="AE125" s="3">
        <f>1722+(270.6-263.3)+(0+(0-0))+0-228.8-0</f>
        <v>1500.5</v>
      </c>
    </row>
    <row r="126" spans="1:31" s="2" customFormat="1" x14ac:dyDescent="0.25">
      <c r="A126">
        <v>89</v>
      </c>
      <c r="B126">
        <v>5</v>
      </c>
      <c r="C126">
        <v>2</v>
      </c>
      <c r="D126">
        <v>1</v>
      </c>
      <c r="E126">
        <v>1</v>
      </c>
      <c r="F126" s="3">
        <f>1685.5+(341.4-255.9)+(-0.859605+(-0.174114--0.130509))+0-221.2--0.112811999999978</f>
        <v>1549.0096020000001</v>
      </c>
      <c r="G126" s="3">
        <f>1685.3+(311.6-235.7)+(0.859503+(0.158916-0.120207))+0-222.3-0.113372999999977</f>
        <v>1539.6848390000002</v>
      </c>
      <c r="H126" s="3">
        <f>1685.4+(269.2-222)+(0.859554+(0.137292-0.11322))+0-223-0.113729999999977</f>
        <v>1510.3698960000002</v>
      </c>
      <c r="I126" s="3">
        <f>1685.1+(244.5-216.2)+(-1.718802+(-0.24939--0.220524))+0-223.7--0.228174000000036</f>
        <v>1488.1805059999999</v>
      </c>
      <c r="J126" s="3">
        <f>1690.2+(215.6-208.1)+(0+(0-0))+0-222.8-0</f>
        <v>1474.9</v>
      </c>
      <c r="K126" s="3">
        <f>1692.1+(172.5-206.9)+(-1.725942+(-0.17595--0.211038))+0-222--0.226440000000035</f>
        <v>1434.235586</v>
      </c>
      <c r="L126" s="3">
        <f>1694.6+(72.9-238.3)+(0+(0-0))+0-223.7-0</f>
        <v>1305.4999999999998</v>
      </c>
      <c r="M126" s="3">
        <f>1689.2+(88.6-319)+(1.722984+(0.090372-0.32538))+0-228.9-0.233478000000037</f>
        <v>1231.1544979999996</v>
      </c>
      <c r="N126" s="3">
        <f>1687.5+(139.7-397.7)+(-1.72125+(-0.142494--0.405654))+0-227.6--0.232152000000036</f>
        <v>1200.674062</v>
      </c>
      <c r="O126" s="3">
        <f>1686+(152.7-419)+(0+(0-0))+0-229-0</f>
        <v>1190.7</v>
      </c>
      <c r="P126" s="3">
        <f>1672.9+(196.9-423.7)+(0.853179+(0.100419-0.216087))+0-228-0.116279999999977</f>
        <v>1218.7212310000002</v>
      </c>
      <c r="Q126" s="3">
        <f>1580.4+(252.3-304.2)+(0+(0-0))+30-225.2-0</f>
        <v>1333.3</v>
      </c>
      <c r="R126" s="3">
        <f>1616.8+(306.9-276.7)+(0.824568+(0.156519-0.141117))+40-223-0.113729999999977</f>
        <v>1464.72624</v>
      </c>
      <c r="S126" s="3">
        <f>1708.3+(366.8-286.3)+(0.871233+(0.187068-0.146013))+40-222.2-0.113321999999977</f>
        <v>1607.398966</v>
      </c>
      <c r="T126" s="3">
        <f>1746+(408.5-294.8)+(0.89046+(0.208335-0.150348))+40-222-0.113219999999977</f>
        <v>1678.5352270000001</v>
      </c>
      <c r="U126" s="3">
        <f>1733+(414.2-283.1)+(0.88383+(0.211242-0.144381))+40-221.5-0.112964999999978</f>
        <v>1683.4377259999999</v>
      </c>
      <c r="V126" s="3">
        <f>1696.7+(344.2-258.8)+(-3.461268+(-0.702168--0.527952))+40-222.1--0.45308399999999</f>
        <v>1596.8176000000001</v>
      </c>
      <c r="W126" s="3">
        <f>1684.2+(215.6-289.7)+(-1.717884+(-0.219912--0.295494))+10-222.4--0.226848000000035</f>
        <v>1396.2845460000001</v>
      </c>
      <c r="X126" s="3">
        <f>1725.8+(116.5-447.7)+(-3.520632+(-0.23766--0.913308))+0-222--0.45287999999999</f>
        <v>1170.2078959999999</v>
      </c>
      <c r="Y126" s="3">
        <f>1843.4+(38.2-547.6)+(-1.880268+(-0.038964--0.558552))+0-222.8--0.227256000000036</f>
        <v>1110.0665760000002</v>
      </c>
      <c r="Z126" s="3">
        <f>1863.3+(170.7-437.5)+(-1.900566+(-0.174114--0.44625))+0-223.3--0.227766000000036</f>
        <v>1371.799336</v>
      </c>
      <c r="AA126" s="3">
        <f>1877.8+(213.6-349.5)+(-0.957678+(-0.108936--0.178245))+0-223--0.113729999999977</f>
        <v>1518.1253609999999</v>
      </c>
      <c r="AB126" s="3">
        <f>1881.5+(221.3-315.8)+(0+(0-0))+0-222.1-0</f>
        <v>1564.9</v>
      </c>
      <c r="AC126" s="3">
        <f>1879.5+(244-303.2)+(-0.958545+(-0.12444--0.154632))+0-224.8--0.114647999999977</f>
        <v>1594.686295</v>
      </c>
      <c r="AD126">
        <f t="shared" si="1"/>
        <v>34233.415989000001</v>
      </c>
      <c r="AE126" s="3">
        <f>1875+(214-370.9)+(0+(0-0))+0-222.3-0</f>
        <v>1495.8</v>
      </c>
    </row>
    <row r="127" spans="1:31" s="2" customFormat="1" x14ac:dyDescent="0.25">
      <c r="A127">
        <v>89</v>
      </c>
      <c r="B127">
        <v>5</v>
      </c>
      <c r="C127">
        <v>3</v>
      </c>
      <c r="D127">
        <v>2</v>
      </c>
      <c r="E127">
        <v>1</v>
      </c>
      <c r="F127" s="3">
        <f>1867.9+(233.5-286.9)+(-2.857887+(-0.357255--0.438957))+0-228.2--0.349146000000013</f>
        <v>1583.872961</v>
      </c>
      <c r="G127" s="3">
        <f>1847.7+(222.9-274.8)+(-3.769308+(-0.454716--0.560592))+0-227.9--0.46491599999999</f>
        <v>1564.7014839999997</v>
      </c>
      <c r="H127" s="3">
        <f>1720.6+(264.4-223.6)+(-1.755012+(-0.269688--0.228072))+0-226.3--0.230826000000036</f>
        <v>1533.5341979999998</v>
      </c>
      <c r="I127" s="3">
        <f>1719.4+(230.3-208.6)+(0+(0-0))+0-225.2-0</f>
        <v>1515.9</v>
      </c>
      <c r="J127" s="3">
        <f>1721.3+(205.8-203.9)+(0+(0-0))+0-227.4-0</f>
        <v>1495.8</v>
      </c>
      <c r="K127" s="3">
        <f>1728.8+(150-201.8)+(-2.645064+(-0.2295--0.308754))+0-230.2--0.352206000000013</f>
        <v>1444.5863959999999</v>
      </c>
      <c r="L127" s="3">
        <f>1798.3+(50-384.7)+(0.917133+(0.0255-0.196197))+0-223.9-0.114188999999977</f>
        <v>1240.3322469999998</v>
      </c>
      <c r="M127" s="3">
        <f>1737.9+(113.6-416.7)+(1.772658+(0.115872-0.425034))+0-224.8-0.229296000000036</f>
        <v>1211.2342000000003</v>
      </c>
      <c r="N127" s="3">
        <f>1737.9+(113.6-409.7)+(1.772658+(0.115872-0.417894))+0-224.8-0.229296000000036</f>
        <v>1218.2413400000003</v>
      </c>
      <c r="O127" s="3">
        <f>1526.4+(207.4-279.9)+(1.556928+(0.211548-0.285498))+0-227.2-0.231744000000036</f>
        <v>1227.9512340000001</v>
      </c>
      <c r="P127" s="3">
        <f>1287.1+(327-217.8)+(1.969263+(0.50031-0.333234))+0-224-0.342720000000013</f>
        <v>1174.0936189999998</v>
      </c>
      <c r="Q127" s="3">
        <f>1368.4+(408.1-218.6)+(0+(0-0))+0-223.5-0</f>
        <v>1334.4</v>
      </c>
      <c r="R127" s="3">
        <f>1554+(401.3-259.4)+(-1.58508+(-0.409326--0.264588))+0-223.8--0.228276000000036</f>
        <v>1470.5984580000002</v>
      </c>
      <c r="S127" s="3">
        <f>1703.2+(408.8-286.8)+(-0.868632+(-0.208488--0.146268))+0-222.8--0.113627999999977</f>
        <v>1601.5827760000002</v>
      </c>
      <c r="T127" s="3">
        <f>1698.1+(450.1-281)+(0.866031+(0.229551-0.14331))+0-223-0.113729999999977</f>
        <v>1645.0385419999998</v>
      </c>
      <c r="U127" s="3">
        <f>1698.6+(430.8-270.9)+(1.732572+(0.439416-0.276318))+0-225.1-0.229602000000036</f>
        <v>1635.0660680000001</v>
      </c>
      <c r="V127" s="3">
        <f>1679.9+(372.6-252.5)+(-0.856749+(-0.190026--0.128775))+0-222.1--0.113270999999977</f>
        <v>1577.0952710000001</v>
      </c>
      <c r="W127" s="3">
        <f>1710.3+(214-283.9)+(-4.361265+(-0.5457--0.723945))+0-222.7--0.567884999999968</f>
        <v>1414.084865</v>
      </c>
      <c r="X127" s="3">
        <f>1824+(78.6-482.4)+(-4.6512+(-0.20043--1.23012))+0-222.4--0.567119999999968</f>
        <v>1194.7456099999999</v>
      </c>
      <c r="Y127" s="3">
        <f>1832.6+(4.2-489.5)+(-1.869252+(-0.004284--0.49929))+0-222.4--0.226848000000035</f>
        <v>1123.7526019999998</v>
      </c>
      <c r="Z127" s="3">
        <f>1859.8+(156.8-387.4)+(-2.845494+(-0.239904--0.592722))+0-222.3--0.340119000000013</f>
        <v>1404.747443</v>
      </c>
      <c r="AA127" s="3">
        <f>1866.4+(233.7-339.8)+(-1.903728+(-0.238374--0.346596))+0-223.3--0.227766000000036</f>
        <v>1535.4322600000003</v>
      </c>
      <c r="AB127" s="3">
        <f>1869.1+(244.6-311.8)+(-0.953241+(-0.124746--0.159018))+0-223.3--0.113882999999977</f>
        <v>1577.7949139999998</v>
      </c>
      <c r="AC127" s="3">
        <f>1855+(264.5-303.8)+(0+(0-0))+0-224.5-0</f>
        <v>1591.2</v>
      </c>
      <c r="AD127">
        <f t="shared" si="1"/>
        <v>34315.786487999998</v>
      </c>
      <c r="AE127" s="3">
        <f>1863+(237-348)+(0+(0-0))+0-222.3-0</f>
        <v>1529.7</v>
      </c>
    </row>
    <row r="128" spans="1:31" s="2" customFormat="1" x14ac:dyDescent="0.25">
      <c r="A128">
        <v>89</v>
      </c>
      <c r="B128">
        <v>5</v>
      </c>
      <c r="C128">
        <v>4</v>
      </c>
      <c r="D128">
        <v>3</v>
      </c>
      <c r="E128">
        <v>1</v>
      </c>
      <c r="F128" s="3">
        <f>1856.6+(249.2-288.4)+(0.946866+(0.127092-0.147084))+0-225.9-0.115208999999977</f>
        <v>1592.3116649999997</v>
      </c>
      <c r="G128" s="3">
        <f>1856.8+(220.5-277)+(0.946968+(0.112455-0.14127))+0-224.3-0.114392999999977</f>
        <v>1576.80376</v>
      </c>
      <c r="H128" s="3">
        <f>1856.4+(208.4-282.9)+(-0.946764+(-0.106284--0.144279))+0-224.7--0.114596999999977</f>
        <v>1556.4058280000002</v>
      </c>
      <c r="I128" s="3">
        <f>1855.5+(202.7-296.2)+(-2.838915+(-0.310131--0.453186))+0-225.2--0.344556000000013</f>
        <v>1534.4486959999999</v>
      </c>
      <c r="J128" s="3">
        <f>1854.3+(178.8-294)+(-2.837079+(-0.273564--0.44982))+0-226.3--0.346239000000013</f>
        <v>1510.485416</v>
      </c>
      <c r="K128" s="3">
        <f>1855.1+(115.9-292.9)+(-1.892202+(-0.118218--0.298758))+0-225.9--0.230418000000036</f>
        <v>1450.718756</v>
      </c>
      <c r="L128" s="3">
        <f>1858.4+(48.7-378.7)+(-2.843352+(-0.074511--0.579411))+0-224.5--0.343485000000013</f>
        <v>1301.9050330000002</v>
      </c>
      <c r="M128" s="3">
        <f>1858.2+(49.4-459.6)+(0+(0-0))+0-219.3-0</f>
        <v>1228.7</v>
      </c>
      <c r="N128" s="3">
        <f>1854+(103.4-523.9)+(0.94554+(0.052734-0.267189))+0-217-0.110669999999978</f>
        <v>1217.1204149999999</v>
      </c>
      <c r="O128" s="3">
        <f>1848+(138.8-531.5)+(0+(0-0))+0-218.2-0</f>
        <v>1237.0999999999999</v>
      </c>
      <c r="P128" s="3">
        <f>1832.6+(189-539)+(0+(0-0))+0-220-0</f>
        <v>1262.5999999999999</v>
      </c>
      <c r="Q128" s="3">
        <f>1829.5+(205.4-422.6)+(0+(0-0))+0-223.3-0</f>
        <v>1389</v>
      </c>
      <c r="R128" s="3">
        <f>1835.6+(241.7-459.2)+(0+(0-0))+0-220.7-0</f>
        <v>1397.3999999999999</v>
      </c>
      <c r="S128" s="3">
        <f>1830.7+(321.4-408.2)+(0+(0-0))+0-221.4-0</f>
        <v>1522.5</v>
      </c>
      <c r="T128" s="3">
        <f>1822.2+(361.1-409.5)+(0.929322+(0.184161-0.208845))+0-222-0.113219999999977</f>
        <v>1552.5914180000002</v>
      </c>
      <c r="U128" s="3">
        <f>1814.9+(354.7-402.2)+(-0.925599+(-0.180897--0.205122))+0-222.3--0.113372999999977</f>
        <v>1544.311999</v>
      </c>
      <c r="V128" s="3">
        <f>1805.6+(271.3-382.2)+(-1.841712+(-0.276726--0.389844))+0-221.6--0.226032000000035</f>
        <v>1471.597438</v>
      </c>
      <c r="W128" s="3">
        <f>1805.7+(186.4-463.1)+(-1.841814+(-0.190128--0.472362))+0-223.2--0.227664000000036</f>
        <v>1304.4680839999999</v>
      </c>
      <c r="X128" s="3">
        <f>1807.7+(120.3-552.3)+(-3.687708+(-0.245412--1.126692))+0-223.5--0.45593999999999</f>
        <v>1149.849512</v>
      </c>
      <c r="Y128" s="3">
        <f>1811.1+(103.3-606.5)+(-0.923661+(-0.052683--0.309315))+0-223.3--0.113882999999977</f>
        <v>1084.0468539999999</v>
      </c>
      <c r="Z128" s="3">
        <f>1834.4+(211.7-489.6)+(-0.935544+(-0.107967--0.249696))+0-222.2--0.113321999999977</f>
        <v>1333.6195069999999</v>
      </c>
      <c r="AA128" s="3">
        <f>1839.4+(230.4-410.1)+(-1.876188+(-0.235008--0.418302))+0-222.7--0.227154000000035</f>
        <v>1435.5342599999999</v>
      </c>
      <c r="AB128" s="3">
        <f>1847.2+(231.7-390.8)+(-0.942072+(-0.118167--0.199308))+0-222.8--0.113627999999977</f>
        <v>1464.5526970000001</v>
      </c>
      <c r="AC128" s="3">
        <f>1852.8+(242.2-369.7)+(0+(0-0))+0-223.9-0</f>
        <v>1501.3999999999999</v>
      </c>
      <c r="AD128">
        <f t="shared" si="1"/>
        <v>33619.471338000003</v>
      </c>
      <c r="AE128" s="3">
        <f>1846+(228-318.2)+(0+(0-0))+0-222.3-0</f>
        <v>1533.5</v>
      </c>
    </row>
    <row r="129" spans="1:31" s="2" customFormat="1" x14ac:dyDescent="0.25">
      <c r="A129">
        <v>89</v>
      </c>
      <c r="B129">
        <v>5</v>
      </c>
      <c r="C129">
        <v>5</v>
      </c>
      <c r="D129">
        <v>4</v>
      </c>
      <c r="E129">
        <v>3</v>
      </c>
      <c r="F129" s="3">
        <f>1842.4+(262.5-280.7)+(-1.879248+(-0.26775--0.286314))+0-226.6--0.231132000000036</f>
        <v>1595.9704480000003</v>
      </c>
      <c r="G129" s="3">
        <f>1844.5+(244.2-274.6)+(-4.703475+(-0.62271--0.70023))+0-226.5--0.577574999999967</f>
        <v>1583.55162</v>
      </c>
      <c r="H129" s="3">
        <f>1843+(221.4-269.1)+(-1.87986+(-0.225828--0.274482))+0-228.3--0.232866000000036</f>
        <v>1565.40166</v>
      </c>
      <c r="I129" s="3">
        <f>1843+(219.9-287.8)+(0+(0-0))+0-224.7-0</f>
        <v>1550.3999999999999</v>
      </c>
      <c r="J129" s="3">
        <f>1810.4+(226.2-281.9)+(1.846608+(0.230724-0.287538))+0-224.7-0.229194000000036</f>
        <v>1531.5606</v>
      </c>
      <c r="K129" s="3">
        <f>1632.6+(269.1-201.5)+(-2.497878+(-0.411723--0.308295))+0-223.2--0.341496000000013</f>
        <v>1474.7401899999998</v>
      </c>
      <c r="L129" s="3">
        <f>1586.6+(198.3-204.4)+(-2.427498+(-0.303399--0.312732))+0-224.1--0.342873000000013</f>
        <v>1354.3247080000001</v>
      </c>
      <c r="M129" s="3">
        <f>1586.2+(134.4-211.1)+(1.617924+(0.137088-0.215322))+0-224-0.228480000000036</f>
        <v>1286.8112100000001</v>
      </c>
      <c r="N129" s="3">
        <f>1586.8+(126.9-222.1)+(-1.618536+(-0.129438--0.226542))+0-225.5--0.230010000000036</f>
        <v>1264.8085779999999</v>
      </c>
      <c r="O129" s="3">
        <f>1581.7+(143.2-252.4)+(0.806667+(0.073032-0.128724))+0-223.7-0.114086999999977</f>
        <v>1249.436888</v>
      </c>
      <c r="P129" s="3">
        <f>1572.4+(222-300.1)+(2.405772+(0.33966-0.459153))+0-222.9-0.341037000000013</f>
        <v>1273.3452420000001</v>
      </c>
      <c r="Q129" s="3">
        <f>1567+(271.4-253.7)+(0.79917+(0.138414-0.129387))+0-222.6-0.113525999999977</f>
        <v>1362.7946710000003</v>
      </c>
      <c r="R129" s="3">
        <f>1570.8+(401-226.2)+(0+(0-0))+0-222.8-0</f>
        <v>1522.8</v>
      </c>
      <c r="S129" s="3">
        <f>1558.3+(510.7-223)+(0.794733+(0.260457-0.11373))+0-221.4-0.112913999999978</f>
        <v>1625.4285459999999</v>
      </c>
      <c r="T129" s="3">
        <f>1546.3+(554.1-217.9)+(0.788613+(0.282591-0.111129))+0-223.9-0.114188999999977</f>
        <v>1659.445886</v>
      </c>
      <c r="U129" s="3">
        <f>1539.5+(542.6-199.8)+(-1.57029+(-0.553452--0.203796))+0-221.2--0.225624000000035</f>
        <v>1659.4056779999999</v>
      </c>
      <c r="V129" s="3">
        <f>1540.2+(466.3-184.3)+(-1.571004+(-0.475626--0.187986))+0-221.6--0.226032000000035</f>
        <v>1598.9673880000003</v>
      </c>
      <c r="W129" s="3">
        <f>1536.4+(309.1-185.6)+(-3.91782+(-0.788205--0.47328))+0-222--0.566099999999968</f>
        <v>1434.2333550000001</v>
      </c>
      <c r="X129" s="3">
        <f>1540.9+(161.3-242.1)+(-3.929295+(-0.411315--0.617355))+0-223.1--0.568904999999968</f>
        <v>1233.84565</v>
      </c>
      <c r="Y129" s="3">
        <f>1539+(108-240.3)+(0+(0-0))+0-222.9-0</f>
        <v>1183.8</v>
      </c>
      <c r="Z129" s="3">
        <f>1569.5+(314.3-222.6)+(0.800445+(0.160293-0.113526))+0-222-0.113219999999977</f>
        <v>1439.933992</v>
      </c>
      <c r="AA129" s="3">
        <f>1664.3+(348.1-233.2)+(0+(0-0))+0-221.4-0</f>
        <v>1557.8</v>
      </c>
      <c r="AB129" s="3">
        <f>1685.3+(361.8-230.5)+(-0.859503+(-0.184518--0.117555))+0-221.6--0.113015999999978</f>
        <v>1594.1865500000001</v>
      </c>
      <c r="AC129" s="3">
        <f>1664.6+(390-226.1)+(0+(0-0))+0-223.2-0</f>
        <v>1605.3</v>
      </c>
      <c r="AD129">
        <f t="shared" ref="AD129:AD192" si="2">SUM(F129:AC129)</f>
        <v>35208.292860000001</v>
      </c>
      <c r="AE129" s="3">
        <f>1665+(332.3-255.1)+(0+(0-0))+0-221.1-0</f>
        <v>1521.1000000000001</v>
      </c>
    </row>
    <row r="130" spans="1:31" s="2" customFormat="1" x14ac:dyDescent="0.25">
      <c r="A130">
        <v>89</v>
      </c>
      <c r="B130">
        <v>5</v>
      </c>
      <c r="C130">
        <v>6</v>
      </c>
      <c r="D130">
        <v>5</v>
      </c>
      <c r="E130">
        <v>1</v>
      </c>
      <c r="F130" s="3">
        <f>1663+(392-245.2)+(0+(0-0))+0-227.9-0</f>
        <v>1581.8999999999999</v>
      </c>
      <c r="G130" s="3">
        <f>1664.4+(364.1-227.4)+(-1.697688+(-0.371382--0.231948))+0-229.6--0.234192000000037</f>
        <v>1569.8970700000004</v>
      </c>
      <c r="H130" s="3">
        <f>1669+(322.9-217.3)+(0+(0-0))+0-229-0</f>
        <v>1545.6</v>
      </c>
      <c r="I130" s="3">
        <f>1676.2+(289.1-208.1)+(0.854862+(0.147441-0.106131))+0-226.5-0.115514999999977</f>
        <v>1531.4806570000001</v>
      </c>
      <c r="J130" s="3">
        <f>1675.1+(262.8-199.6)+(0+(0-0))+0-227.1-0</f>
        <v>1511.2</v>
      </c>
      <c r="K130" s="3">
        <f>1750.2+(159.5-206.5)+(0+(0-0))+0-227.2-0</f>
        <v>1476</v>
      </c>
      <c r="L130" s="3">
        <f>1812.8+(86.6-314)+(0+(0-0))+0-225.3-0</f>
        <v>1360.1</v>
      </c>
      <c r="M130" s="3">
        <f>1813.7+(79.7-369.8)+(1.849974+(0.081294-0.377196))+0-223.8-0.228276000000036</f>
        <v>1301.1257959999998</v>
      </c>
      <c r="N130" s="3">
        <f>1808+(117.9-431.3)+(0.92208+(0.060129-0.219963))+0-228-0.116279999999977</f>
        <v>1267.245966</v>
      </c>
      <c r="O130" s="3">
        <f>1801.2+(161.3-467.8)+(0.918612+(0.082263-0.238578))+0-226.8-0.115667999999977</f>
        <v>1268.5466290000002</v>
      </c>
      <c r="P130" s="3">
        <f>1807.4+(173.4-420.4)+(-0.921774+(-0.088434--0.214404))+0-226.7--0.115616999999977</f>
        <v>1333.0198129999999</v>
      </c>
      <c r="Q130" s="3">
        <f>1802+(208.8-346)+(0.91902+(0.106488-0.17646))+33.3-224.5-0.114494999999977</f>
        <v>1474.3345529999999</v>
      </c>
      <c r="R130" s="3">
        <f>1790.3+(283.5-292.8)+(0.913053+(0.144585-0.149328))+40-221.6-0.113015999999978</f>
        <v>1600.1952940000001</v>
      </c>
      <c r="S130" s="3">
        <f>1773.2+(362.4-267.3)+(0.904332+(0.184824-0.136323))+40-222.1-0.113270999999977</f>
        <v>1687.0395620000002</v>
      </c>
      <c r="T130" s="3">
        <f>1766.8+(403.1-257.8)+(1.802136+(0.411162-0.262956))+40-222.7-0.227154000000035</f>
        <v>1731.123188</v>
      </c>
      <c r="U130" s="3">
        <f>1765.3+(377.4-247.4)+(0.900303+(0.192474-0.126174))+40-222-0.113219999999977</f>
        <v>1714.1533830000001</v>
      </c>
      <c r="V130" s="3">
        <f>1766.7+(302-219.7)+(0+(0-0))+40-221.4-0</f>
        <v>1667.6</v>
      </c>
      <c r="W130" s="3">
        <f>1768.8+(187.9-281.6)+(-0.902088+(-0.095829--0.143616))+6.7-222.1--0.113270999999977</f>
        <v>1458.9589699999999</v>
      </c>
      <c r="X130" s="3">
        <f>1780.1+(128.2-457.4)+(-1.815702+(-0.130764--0.466548))+0-222.3--0.226746000000035</f>
        <v>1227.346828</v>
      </c>
      <c r="Y130" s="3">
        <f>1783.9+(83.7-466.3)+(-0.909789+(-0.042687--0.237813))+0-222.2--0.113321999999977</f>
        <v>1178.4986590000001</v>
      </c>
      <c r="Z130" s="3">
        <f>1789.7+(125-269.4)+(-0.912747+(-0.06375--0.137394))+0-222.6--0.113525999999977</f>
        <v>1421.9744230000001</v>
      </c>
      <c r="AA130" s="3">
        <f>1790.3+(196.5-257)+(-2.739159+(-0.300645--0.39321))+0-222.4--0.340272000000013</f>
        <v>1505.0936779999997</v>
      </c>
      <c r="AB130" s="3">
        <f>1788.6+(265.8-248.6)+(-0.912186+(-0.135558--0.126786))+0-222.4--0.113423999999977</f>
        <v>1582.5924659999998</v>
      </c>
      <c r="AC130" s="3">
        <f>1732.6+(350.5-230.3)+(0+(0-0))+0-226.2-0</f>
        <v>1626.6</v>
      </c>
      <c r="AD130">
        <f t="shared" si="2"/>
        <v>35621.626935000008</v>
      </c>
      <c r="AE130" s="3">
        <f>1790+(253-246)+(0+(0-0))+0-229-0</f>
        <v>1568</v>
      </c>
    </row>
    <row r="131" spans="1:31" s="2" customFormat="1" x14ac:dyDescent="0.25">
      <c r="A131">
        <v>89</v>
      </c>
      <c r="B131">
        <v>5</v>
      </c>
      <c r="C131">
        <v>7</v>
      </c>
      <c r="D131">
        <v>6</v>
      </c>
      <c r="E131">
        <v>1</v>
      </c>
      <c r="F131" s="3">
        <f>1590.1+(454.2-191.6)+(-0.810951+(-0.231642--0.097716))+0-226.7--0.115616999999977</f>
        <v>1625.1707399999998</v>
      </c>
      <c r="G131" s="3">
        <f>1575.9+(445.6-179.6)+(-3.214836+(-0.909024--0.366384))+0-227.2--0.46348799999999</f>
        <v>1611.4060120000001</v>
      </c>
      <c r="H131" s="3">
        <f>1578.8+(398.3-169.6)+(-1.610376+(-0.406266--0.172992))+0-227.3--0.231846000000036</f>
        <v>1578.5881960000002</v>
      </c>
      <c r="I131" s="3">
        <f>1576.9+(362.3-157.3)+(0+(0-0))+0-225.7-0</f>
        <v>1556.2</v>
      </c>
      <c r="J131" s="3">
        <f>1574.7+(335.9-148.2)+(0+(0-0))+0-224-0</f>
        <v>1538.4</v>
      </c>
      <c r="K131" s="3">
        <f>1577.3+(290.9-148)+(-1.608846+(-0.296718--0.15096))+0-225.9--0.230418000000036</f>
        <v>1492.7758139999999</v>
      </c>
      <c r="L131" s="3">
        <f>1581+(184.6-178.4)+(-4.83786+(-0.564876--0.545904))+0-225.4--0.689724000000026</f>
        <v>1357.6328920000001</v>
      </c>
      <c r="M131" s="3">
        <f>1578.3+(152.7-213.4)+(0.804933+(0.077877-0.108834))+0-225.1-0.114800999999977</f>
        <v>1293.159175</v>
      </c>
      <c r="N131" s="3">
        <f>1568.7+(163.9-252)+(2.400111+(0.250767-0.38556))+0-223.9-0.342567000000013</f>
        <v>1258.6227510000001</v>
      </c>
      <c r="O131" s="3">
        <f>1556.9+(175-263.6)+(0.794019+(0.08925-0.134436))+0-226.3-0.115412999999977</f>
        <v>1242.6334200000003</v>
      </c>
      <c r="P131" s="3">
        <f>1548.2+(188-231.6)+(-0.789582+(-0.09588--0.118116))+0-223.6--0.114035999999977</f>
        <v>1280.3466900000001</v>
      </c>
      <c r="Q131" s="3">
        <f>1539.9+(259-199.4)+(0.785349+(0.13209-0.101694))+0-223.2-0.113831999999977</f>
        <v>1377.0019130000001</v>
      </c>
      <c r="R131" s="3">
        <f>1549.4+(409.6-202.2)+(0+(0-0))+0-222-0</f>
        <v>1534.8000000000002</v>
      </c>
      <c r="S131" s="3">
        <f>1547.4+(515.4-203.8)+(-0.789174+(-0.262854--0.103938))+0-220.8--0.112607999999978</f>
        <v>1637.3645179999999</v>
      </c>
      <c r="T131" s="3">
        <f>1546.4+(546.7-202.9)+(0+(0-0))+0-220.8-0</f>
        <v>1669.4000000000003</v>
      </c>
      <c r="U131" s="3">
        <f>1548.7+(534.3-199.2)+(-0.789837+(-0.272493--0.101592))+0-220.5--0.112454999999978</f>
        <v>1662.4517169999999</v>
      </c>
      <c r="V131" s="3">
        <f>1544.5+(422.9-198.7)+(-2.363085+(-0.647037--0.304011))+0-221.3--0.338589000000013</f>
        <v>1545.0324780000001</v>
      </c>
      <c r="W131" s="3">
        <f>1544.7+(209.2-190)+(-1.575594+(-0.213384--0.1938))+0-221.6--0.226032000000035</f>
        <v>1340.9308540000002</v>
      </c>
      <c r="X131" s="3">
        <f>1560.7+(125.9-316.9)+(-3.979785+(-0.321045--0.808095))+0-221.6--0.565079999999968</f>
        <v>1145.1723450000002</v>
      </c>
      <c r="Y131" s="3">
        <f>1561.7+(81.1-306.9)+(-2.389401+(-0.124083--0.469557))+0-221.6--0.339048000000013</f>
        <v>1112.5951210000003</v>
      </c>
      <c r="Z131" s="3">
        <f>1559.7+(229.9-200.8)+(0+(0-0))+0-221.8-0</f>
        <v>1367</v>
      </c>
      <c r="AA131" s="3">
        <f>1564.7+(349.7-209.5)+(-1.595994+(-0.356694--0.21369))+0-221--0.225420000000035</f>
        <v>1482.386422</v>
      </c>
      <c r="AB131" s="3">
        <f>1572.8+(389.2-219.8)+(0+(0-0))+0-221.6-0</f>
        <v>1520.6</v>
      </c>
      <c r="AC131" s="3">
        <f>1579.9+(419.9-214.9)+(-2.417247+(-0.642447--0.328797))+0-223.8--0.342414000000013</f>
        <v>1558.7115170000002</v>
      </c>
      <c r="AD131">
        <f t="shared" si="2"/>
        <v>34788.382575000003</v>
      </c>
      <c r="AE131" s="3">
        <f>1552+(334.4-216)+(0+(0-0))+0-220.5-0</f>
        <v>1449.9</v>
      </c>
    </row>
    <row r="132" spans="1:31" s="2" customFormat="1" x14ac:dyDescent="0.25">
      <c r="A132">
        <v>89</v>
      </c>
      <c r="B132">
        <v>5</v>
      </c>
      <c r="C132">
        <v>8</v>
      </c>
      <c r="D132">
        <v>7</v>
      </c>
      <c r="E132">
        <v>1</v>
      </c>
      <c r="F132" s="3">
        <f>1588.3+(427.8-218.5)+(-4.050165+(-1.09089--0.557175))+0-223.9--0.570944999999968</f>
        <v>1569.6870649999998</v>
      </c>
      <c r="G132" s="3">
        <f>1587.5+(398.1-200.3)+(0.809625+(0.203031-0.102153))+0-224.8-0.114647999999977</f>
        <v>1561.2958550000001</v>
      </c>
      <c r="H132" s="3">
        <f>1587.9+(352.6-178.5)+(0+(0-0))+0-225.7-0</f>
        <v>1536.3</v>
      </c>
      <c r="I132" s="3">
        <f>1587.2+(323.8-171.7)+(-4.04736+(-0.82569--0.437835))+0-224.2--0.571709999999967</f>
        <v>1511.2364950000001</v>
      </c>
      <c r="J132" s="3">
        <f>1590.8+(295.6-174.2)+(-2.433924+(-0.452268--0.266526))+0-223.7--0.342261000000013</f>
        <v>1486.222595</v>
      </c>
      <c r="K132" s="3">
        <f>1594+(248-180.4)+(-5.69058+(-0.88536--0.644028))+0-221.5--0.790755000000003</f>
        <v>1434.9588429999999</v>
      </c>
      <c r="L132" s="3">
        <f>1595.8+(151.2-199.3)+(-3.255432+(-0.308448--0.406572))+0-220.8--0.45043199999999</f>
        <v>1324.1931239999999</v>
      </c>
      <c r="M132" s="3">
        <f>1593.2+(121.8-230.1)+(0.812532+(0.062118-0.117351))+0-219.4-0.111893999999978</f>
        <v>1266.1454050000002</v>
      </c>
      <c r="N132" s="3">
        <f>1580.5+(118.7-247.4)+(0+(0-0))+0-220.1-0</f>
        <v>1231.7</v>
      </c>
      <c r="O132" s="3">
        <f>1561.9+(118.4-271.5)+(0+(0-0))+0-221.2-0</f>
        <v>1187.6000000000001</v>
      </c>
      <c r="P132" s="3">
        <f>1548+(172-281.4)+(0.78948+(0.08772-0.143514))+0-222.2-0.113321999999977</f>
        <v>1217.020364</v>
      </c>
      <c r="Q132" s="3">
        <f>1550+(213.7-226.8)+(0.7905+(0.108987-0.115668))+0-222-0.113219999999977</f>
        <v>1315.5705990000001</v>
      </c>
      <c r="R132" s="3">
        <f>1558.6+(307.1-195.2)+(0+(0-0))+0-220.8-0</f>
        <v>1449.7</v>
      </c>
      <c r="S132" s="3">
        <f>1562.1+(392-193.3)+(-1.593342+(-0.39984--0.197166))+0-220.3--0.224706000000035</f>
        <v>1538.92869</v>
      </c>
      <c r="T132" s="3">
        <f>1563.3+(429.5-195.2)+(0.797283+(0.219045-0.099552))+0-218.7-0.111536999999978</f>
        <v>1579.7052389999999</v>
      </c>
      <c r="U132" s="3">
        <f>1566.1+(392.5-203.8)+(-2.396133+(-0.600525--0.311814))+0-219.9--0.336447000000013</f>
        <v>1532.5516029999997</v>
      </c>
      <c r="V132" s="3">
        <f>1651.1+(274.1-211.4)+(-0.842061+(-0.139791--0.107814))+0-221--0.112709999999978</f>
        <v>1492.0386719999999</v>
      </c>
      <c r="W132" s="3">
        <f>1741.5+(113.4-369.4)+(-0.888165+(-0.057834--0.188394))+0-221--0.112709999999978</f>
        <v>1263.8551049999999</v>
      </c>
      <c r="X132" s="3">
        <f>1822+(29.6-500.6)+(-4.6461+(-0.07548--1.27653))+0-222.5--0.567374999999968</f>
        <v>1125.6223249999998</v>
      </c>
      <c r="Y132" s="3">
        <f>1825.8+(38.1-536.2)+(-1.862316+(-0.038862--0.546924))+0-222.6--0.227052000000035</f>
        <v>1103.9727979999998</v>
      </c>
      <c r="Z132" s="3">
        <f>1840.8+(111.7-419.9)+(-2.816424+(-0.170901--0.642447))+0-223.4--0.341802000000013</f>
        <v>1307.1969239999996</v>
      </c>
      <c r="AA132" s="3">
        <f>1841.6+(141.3-300)+(-5.635296+(-0.432378--0.918))+0-222.3--0.680238000000026</f>
        <v>1456.1305639999998</v>
      </c>
      <c r="AB132" s="3">
        <f>1840.6+(182-268.4)+(-1.877412+(-0.18564--0.273768))+0-222.5--0.226950000000035</f>
        <v>1530.1376659999999</v>
      </c>
      <c r="AC132" s="3">
        <f>1840.4+(201.4-238.2)+(-0.938604+(-0.102714--0.121482))+0-221.9--0.113168999999977</f>
        <v>1580.893333</v>
      </c>
      <c r="AD132">
        <f t="shared" si="2"/>
        <v>33602.663263999995</v>
      </c>
      <c r="AE132" s="3">
        <f>1845+(159.9-274.3)+(0+(0-0))+0-224.6-0</f>
        <v>1506</v>
      </c>
    </row>
    <row r="133" spans="1:31" s="2" customFormat="1" x14ac:dyDescent="0.25">
      <c r="A133">
        <v>89</v>
      </c>
      <c r="B133">
        <v>5</v>
      </c>
      <c r="C133">
        <v>9</v>
      </c>
      <c r="D133">
        <v>1</v>
      </c>
      <c r="E133">
        <v>1</v>
      </c>
      <c r="F133" s="3">
        <f>1854.3+(199-250.4)+(-3.782772+(-0.40596--0.510816))+0-221.8--0.45247199999999</f>
        <v>1577.8745559999998</v>
      </c>
      <c r="G133" s="3">
        <f>1857.2+(179.5-252.9)+(-5.683032+(-0.54927--0.773874))+0-223.3--0.683298000000026</f>
        <v>1555.72487</v>
      </c>
      <c r="H133" s="3">
        <f>1857.6+(193.8-294.1)+(-3.789504+(-0.395352--0.599964))+0-222.5--0.45389999999999</f>
        <v>1531.6690079999998</v>
      </c>
      <c r="I133" s="3">
        <f>1858.8+(180.9-304.8)+(-1.895976+(-0.184518--0.310896))+0-222.3--0.226746000000035</f>
        <v>1511.0571479999999</v>
      </c>
      <c r="J133" s="3">
        <f>1864.5+(169.8-327.2)+(1.90179+(0.173196-0.333744))+0-220.7-0.225114000000035</f>
        <v>1487.9161279999998</v>
      </c>
      <c r="K133" s="3">
        <f>1858+(153.3-358.4)+(0.94758+(0.078183-0.182784))+0-221.3-0.112862999999978</f>
        <v>1432.3301160000001</v>
      </c>
      <c r="L133" s="3">
        <f>1854.9+(103.1-436.2)+(0+(0-0))+0-222.6-0</f>
        <v>1299.2000000000003</v>
      </c>
      <c r="M133" s="3">
        <f>1857.7+(100.1-494.4)+(0+(0-0))+0-225.5-0</f>
        <v>1237.9000000000001</v>
      </c>
      <c r="N133" s="3">
        <f>1846.6+(89.4-488.3)+(-1.883532+(-0.091188--0.498066))+0-223.8--0.228276000000036</f>
        <v>1222.6516219999999</v>
      </c>
      <c r="O133" s="3">
        <f>1829.8+(75.3-441.6)+(-1.866396+(-0.076806--0.450432))+0-225.7--0.230214000000036</f>
        <v>1236.5374439999998</v>
      </c>
      <c r="P133" s="3">
        <f>1822.6+(97-416.5)+(2.788578+(0.14841-0.637245))+0-224.7-0.343791000000013</f>
        <v>1280.3559519999999</v>
      </c>
      <c r="Q133" s="3">
        <f>1821.1+(153.1-368)+(1.857522+(0.156162-0.37536))+0-223.5-0.227970000000036</f>
        <v>1384.1103539999997</v>
      </c>
      <c r="R133" s="3">
        <f>1819.8+(180.8-259.4)+(0+(0-0))+0-200-0</f>
        <v>1541.2</v>
      </c>
      <c r="S133" s="3">
        <f>1815.4+(301-238.5)+(-2.777562+(-0.46053--0.364905))+0-220.8--0.337824000000013</f>
        <v>1654.5646370000002</v>
      </c>
      <c r="T133" s="3">
        <f>1810+(339.1-241.8)+(-0.9231+(-0.172941--0.123318))+0-221.3--0.112862999999978</f>
        <v>1685.14014</v>
      </c>
      <c r="U133" s="3">
        <f>1807.8+(328-238.3)+(-0.921978+(-0.16728--0.121533))+0-220.2--0.112301999999978</f>
        <v>1676.444577</v>
      </c>
      <c r="V133" s="3">
        <f>1801.3+(262-235.6)+(-0.918663+(-0.13362--0.120156))+0-220.3--0.112352999999978</f>
        <v>1606.580226</v>
      </c>
      <c r="W133" s="3">
        <f>1802.3+(154.8-305.3)+(-1.838346+(-0.157896--0.311406))+0-221--0.225420000000035</f>
        <v>1429.340584</v>
      </c>
      <c r="X133" s="3">
        <f>1812.7+(93.2-461.9)+(-3.697908+(-0.190128--0.942276))+0-221.2--0.45124799999999</f>
        <v>1220.305488</v>
      </c>
      <c r="Y133" s="3">
        <f>1837.5+(33-508.2)+(0+(0-0))+0-221.6-0</f>
        <v>1140.7</v>
      </c>
      <c r="Z133" s="3">
        <f>1837.7+(116.9-333.8)+(-0.937227+(-0.059619--0.170238))+0-221.7--0.113066999999978</f>
        <v>1398.3864589999998</v>
      </c>
      <c r="AA133" s="3">
        <f>1844.4+(197.2-282)+(-2.821932+(-0.301716--0.43146))+0-221.1--0.338283000000013</f>
        <v>1536.1460950000003</v>
      </c>
      <c r="AB133" s="3">
        <f>1836+(190.9-255.2)+(-1.87272+(-0.194718--0.260304))+0-221.6--0.226032000000035</f>
        <v>1548.5188980000003</v>
      </c>
      <c r="AC133" s="3">
        <f>1834.5+(212.5-240)+(-1.87119+(-0.21675--0.2448))+0-223.8--0.228276000000036</f>
        <v>1581.5851360000001</v>
      </c>
      <c r="AD133">
        <f t="shared" si="2"/>
        <v>34776.239438000004</v>
      </c>
      <c r="AE133" s="3">
        <f>1841+(198.9-290)+(0+(0-0))+0-221.1-0</f>
        <v>1528.8000000000002</v>
      </c>
    </row>
    <row r="134" spans="1:31" s="2" customFormat="1" x14ac:dyDescent="0.25">
      <c r="A134">
        <v>89</v>
      </c>
      <c r="B134">
        <v>5</v>
      </c>
      <c r="C134">
        <v>10</v>
      </c>
      <c r="D134">
        <v>2</v>
      </c>
      <c r="E134">
        <v>1</v>
      </c>
      <c r="F134" s="3">
        <f>1842.9+(179.5-225.5)+(-3.759516+(-0.36618--0.46002))+0-224--0.45695999999999</f>
        <v>1569.691284</v>
      </c>
      <c r="G134" s="3">
        <f>1852+(132.2-223.7)+(-4.7226+(-0.33711--0.570435))+0-223.5--0.569924999999968</f>
        <v>1533.0806500000001</v>
      </c>
      <c r="H134" s="3">
        <f>1854.3+(90.6-213)+(0.945693+(0.046206-0.10863))+0-223.4-0.113933999999977</f>
        <v>1509.2693349999997</v>
      </c>
      <c r="I134" s="3">
        <f>1848.3+(71-220.3)+(-2.827899+(-0.10863--0.337059))+0-225.3--0.344709000000013</f>
        <v>1471.4452389999999</v>
      </c>
      <c r="J134" s="3">
        <f>1865.1+(68.6-260.7)+(-1.902402+(-0.069972--0.265914))+0-224.5--0.228990000000036</f>
        <v>1447.02253</v>
      </c>
      <c r="K134" s="3">
        <f>1870.4+(63.1-336.7)+(-0.953904+(-0.032181--0.171717))+0-204--0.104039999999979</f>
        <v>1392.0896720000001</v>
      </c>
      <c r="L134" s="3">
        <f>1863.7+(25.6-428.6)+(-1.900974+(-0.026112--0.437172))+0-221.9--0.226338000000035</f>
        <v>1237.5364239999999</v>
      </c>
      <c r="M134" s="3">
        <f>1858.4+(25-482.2)+(0+(0-0))+0-222.3-0</f>
        <v>1178.9000000000001</v>
      </c>
      <c r="N134" s="3">
        <f>1842.7+(54.6-499.2)+(-1.879554+(-0.055692--0.509184))+0-222.1--0.226542000000035</f>
        <v>1174.8004800000003</v>
      </c>
      <c r="O134" s="3">
        <f>1815.6+(85.4-497.2)+(-1.851912+(-0.087108--0.507144))+0-223.9--0.228378000000036</f>
        <v>1178.6965019999998</v>
      </c>
      <c r="P134" s="3">
        <f>1805.5+(100.5-467.4)+(-0.920805+(-0.051255--0.238374))+0-222.4--0.113423999999977</f>
        <v>1215.5797379999997</v>
      </c>
      <c r="Q134" s="3">
        <f>1813.3+(160.9-407.6)+(-1.849566+(-0.164118--0.415752))+0-222--0.226440000000035</f>
        <v>1343.2285080000001</v>
      </c>
      <c r="R134" s="3">
        <f>1820.7+(202.6-297.3)+(-0.928557+(-0.103326--0.151623))+0-220.4--0.112403999999978</f>
        <v>1504.832144</v>
      </c>
      <c r="S134" s="3">
        <f>1820.5+(318-286)+(-1.85691+(-0.32436--0.29172))+0-219.5--0.223890000000035</f>
        <v>1631.3343399999999</v>
      </c>
      <c r="T134" s="3">
        <f>1813.7+(368.2-282)+(-1.849974+(-0.375564--0.28764))+0-221--0.225420000000035</f>
        <v>1677.1875220000002</v>
      </c>
      <c r="U134" s="3">
        <f>1817.3+(350.3-277)+(-0.926823+(-0.178653--0.14127))+0-218.7--0.111536999999978</f>
        <v>1671.0473309999998</v>
      </c>
      <c r="V134" s="3">
        <f>1818.5+(270.7-270)+(-2.782305+(-0.414171--0.4131))+0-219--0.335070000000013</f>
        <v>1597.751694</v>
      </c>
      <c r="W134" s="3">
        <f>1820.3+(167-337.1)+(-3.713412+(-0.34068--0.687684))+0-219--0.44675999999999</f>
        <v>1428.2803519999998</v>
      </c>
      <c r="X134" s="3">
        <f>1819.4+(123.3-519.4)+(-5.567364+(-0.377298--1.589364))+0-219--0.670140000000025</f>
        <v>1200.6148420000002</v>
      </c>
      <c r="Y134" s="3">
        <f>1828.1+(57.9-528.2)+(-3.729324+(-0.118116--1.077528))+0-218.8--0.44635199999999</f>
        <v>1136.6764399999997</v>
      </c>
      <c r="Z134" s="3">
        <f>1827+(58-315.8)+(0+(0-0))+0-218-0</f>
        <v>1351.2</v>
      </c>
      <c r="AA134" s="3">
        <f>1849+(118.8-240.1)+(-3.77196+(-0.242352--0.489804))+0-218.5--0.44573999999999</f>
        <v>1506.121232</v>
      </c>
      <c r="AB134" s="3">
        <f>1860.4+(155.5-236.3)+(-2.846412+(-0.237915--0.361539))+0-219.5--0.335835000000013</f>
        <v>1557.7130470000002</v>
      </c>
      <c r="AC134" s="3">
        <f>1845.7+(202.4-234.2)+(-2.823921+(-0.309672--0.358326))+0-222.2--0.339966000000013</f>
        <v>1589.2646990000001</v>
      </c>
      <c r="AD134">
        <f t="shared" si="2"/>
        <v>34103.364005000003</v>
      </c>
      <c r="AE134" s="3">
        <f>1833+(94.6-297)+(0+(0-0))+0-218.1-0</f>
        <v>1412.5</v>
      </c>
    </row>
    <row r="135" spans="1:31" s="2" customFormat="1" x14ac:dyDescent="0.25">
      <c r="A135">
        <v>89</v>
      </c>
      <c r="B135">
        <v>5</v>
      </c>
      <c r="C135">
        <v>11</v>
      </c>
      <c r="D135">
        <v>3</v>
      </c>
      <c r="E135">
        <v>1</v>
      </c>
      <c r="F135" s="3">
        <f>1847.8+(192.9-218.8)+(-4.71189+(-0.491895--0.55794))+0-223.4--0.569669999999968</f>
        <v>1594.4238249999996</v>
      </c>
      <c r="G135" s="3">
        <f>1847.8+(160.2-208.6)+(-3.769512+(-0.326808--0.425544))+0-223.8--0.45655199999999</f>
        <v>1572.3857760000001</v>
      </c>
      <c r="H135" s="3">
        <f>1845.2+(131-193.7)+(-2.823156+(-0.20043--0.296361))+0-224.9--0.344097000000013</f>
        <v>1555.2168719999997</v>
      </c>
      <c r="I135" s="3">
        <f>1845.1+(106.7-203.8)+(-2.823003+(-0.163251--0.311814))+0-224.5--0.343485000000013</f>
        <v>1521.1690450000001</v>
      </c>
      <c r="J135" s="3">
        <f>1845.5+(49.2-203.4)+(2.823615+(0.075276-0.311202))+0-225.4-0.344862000000013</f>
        <v>1468.1428269999999</v>
      </c>
      <c r="K135" s="3">
        <f>1845.2+(0-207.1)+(-2.823156+(0--0.316863))+0-226.2--0.346086000000013</f>
        <v>1409.7397930000002</v>
      </c>
      <c r="L135" s="3">
        <f>1854.6+(0-353.8)+(-4.72923+(0--0.90219))+0-223.6--0.570179999999967</f>
        <v>1273.9431400000001</v>
      </c>
      <c r="M135" s="3">
        <f>1848.2+(0-412.3)+(0+(0-0))+0-220.1-0</f>
        <v>1215.8000000000002</v>
      </c>
      <c r="N135" s="3">
        <f>1826.1+(0-388.5)+(0.931311+(0-0.198135))+0-222.4-0.113423999999977</f>
        <v>1215.8197519999999</v>
      </c>
      <c r="O135" s="3">
        <f>1814.1+(0-378.3)+(-1.850382+(0--0.385866))+0-221.7--0.226134000000035</f>
        <v>1212.8616179999999</v>
      </c>
      <c r="P135" s="3">
        <f>1804.6+(0-340.1)+(0+(0-0))+0-222.9-0</f>
        <v>1241.5999999999999</v>
      </c>
      <c r="Q135" s="3">
        <f>1800.1+(69.4-338.3)+(0+(0-0))+0-219.6-0</f>
        <v>1311.6</v>
      </c>
      <c r="R135" s="3">
        <f>1791.8+(128.7-253.5)+(-0.913818+(-0.065637--0.129285))+0-221--0.112709999999978</f>
        <v>1445.2625399999999</v>
      </c>
      <c r="S135" s="3">
        <f>1786.9+(241.9-234.1)+(0+(0-0))+0-219.7-0</f>
        <v>1575</v>
      </c>
      <c r="T135" s="3">
        <f>1782.8+(312.9-237)+(-1.818456+(-0.319158--0.24174))+0-217.6--0.221952000000035</f>
        <v>1639.426078</v>
      </c>
      <c r="U135" s="3">
        <f>1780.6+(301.8-229.4)+(-0.908106+(-0.153918--0.116994))+0-217.9--0.111128999999978</f>
        <v>1634.2660989999997</v>
      </c>
      <c r="V135" s="3">
        <f>1788.5+(207.6-215)+(-1.82427+(-0.211752--0.2193))+0-217.7--0.222054000000035</f>
        <v>1561.8053319999999</v>
      </c>
      <c r="W135" s="3">
        <f>1798.6+(84.5-295.4)+(-6.421002+(-0.301665--1.054578))+0-217.9--0.777903000000003</f>
        <v>1364.9098139999996</v>
      </c>
      <c r="X135" s="3">
        <f>1807.2+(0-434.9)+(-4.60836+(0--1.108995))+0-218.7--0.557684999999968</f>
        <v>1150.6583200000002</v>
      </c>
      <c r="Y135" s="3">
        <f>1811.9+(0-490.4)+(-1.848138+(0--0.500208))+0-218.6--0.222972000000035</f>
        <v>1101.7750420000002</v>
      </c>
      <c r="Z135" s="3">
        <f>1820.1+(75.5-349.6)+(-1.856502+(-0.07701--0.356592))+0-219.1--0.223482000000035</f>
        <v>1325.5465620000002</v>
      </c>
      <c r="AA135" s="3">
        <f>1828.3+(132-276.8)+(-3.729732+(-0.26928--0.564672))+0-218.9--0.44655599999999</f>
        <v>1461.612216</v>
      </c>
      <c r="AB135" s="3">
        <f>1832.2+(197.5-299.5)+(-3.737688+(-0.4029--0.61098))+0-218.6--0.44594399999999</f>
        <v>1508.5163360000001</v>
      </c>
      <c r="AC135" s="3">
        <f>1840.8+(229.2-288.8)+(0+(0-0))+0-220.9-0</f>
        <v>1560.2999999999997</v>
      </c>
      <c r="AD135">
        <f t="shared" si="2"/>
        <v>33921.780986999998</v>
      </c>
      <c r="AE135" s="3">
        <f>1821+(123.9-279)+(0+(0-0))+0-221.1-0</f>
        <v>1444.8000000000002</v>
      </c>
    </row>
    <row r="136" spans="1:31" s="2" customFormat="1" x14ac:dyDescent="0.25">
      <c r="A136">
        <v>89</v>
      </c>
      <c r="B136">
        <v>5</v>
      </c>
      <c r="C136">
        <v>12</v>
      </c>
      <c r="D136">
        <v>4</v>
      </c>
      <c r="E136">
        <v>1</v>
      </c>
      <c r="F136" s="3">
        <f>1841.3+(223.2-289.5)+(-0.939063+(-0.113832--0.147645))+0-222.5--0.113474999999977</f>
        <v>1551.7082249999999</v>
      </c>
      <c r="G136" s="3">
        <f>1840.6+(180.8-273.4)+(-1.877412+(-0.184416--0.278868))+0-224.7--0.229194000000036</f>
        <v>1521.746234</v>
      </c>
      <c r="H136" s="3">
        <f>1837.8+(145.9-264.6)+(0.937278+(0.074409-0.134946))+0-223.5-0.113984999999977</f>
        <v>1496.362756</v>
      </c>
      <c r="I136" s="3">
        <f>1839.5+(116.9-270.4)+(0+(0-0))+0-222.9-0</f>
        <v>1463.1</v>
      </c>
      <c r="J136" s="3">
        <f>1843.3+(80.8-264.2)+(-0.940083+(-0.041208--0.134742))+0-224.2--0.114341999999977</f>
        <v>1434.967793</v>
      </c>
      <c r="K136" s="3">
        <f>1847.6+(20-274.2)+(1.884552+(0.0204-0.279684))+0-223.6-0.228072000000036</f>
        <v>1371.1971959999998</v>
      </c>
      <c r="L136" s="3">
        <f>1858.3+(0-388)+(-2.843199+(0--0.59364))+0-222.4--0.340272000000013</f>
        <v>1245.9907129999997</v>
      </c>
      <c r="M136" s="3">
        <f>1851.4+(0-444.9)+(-0.944214+(0--0.226899))+0-220.1--0.112250999999978</f>
        <v>1185.794936</v>
      </c>
      <c r="N136" s="3">
        <f>1828.1+(0-440.9)+(0+(0-0))+0-220.5-0</f>
        <v>1166.6999999999998</v>
      </c>
      <c r="O136" s="3">
        <f>1809.8+(0-421.8)+(0.922998+(0-0.215118))+0-220.2-0.112301999999978</f>
        <v>1168.3955779999999</v>
      </c>
      <c r="P136" s="3">
        <f>1800+(44.7-417.4)+(-1.836+(-0.045594--0.425748))+0-221.8--0.226236000000035</f>
        <v>1204.2703899999999</v>
      </c>
      <c r="Q136" s="3">
        <f>1796.1+(114.8-413.1)+(-0.916011+(-0.058548--0.210681))+0-221.1--0.112760999999978</f>
        <v>1276.0488830000002</v>
      </c>
      <c r="R136" s="3">
        <f>1791.5+(165.5-321)+(0+(0-0))+0-221.2-0</f>
        <v>1414.8</v>
      </c>
      <c r="S136" s="3">
        <f>1785.9+(258.1-279.7)+(0+(0-0))+0-219.8-0</f>
        <v>1544.5000000000002</v>
      </c>
      <c r="T136" s="3">
        <f>1782.1+(322.5-279.6)+(0.908871+(0.164475-0.142596))+0-219.3-0.111842999999978</f>
        <v>1606.5189070000001</v>
      </c>
      <c r="U136" s="3">
        <f>1780.3+(315.9-272.5)+(0.907953+(0.161109-0.138975))+0-218.9-0.111638999999978</f>
        <v>1605.6184479999997</v>
      </c>
      <c r="V136" s="3">
        <f>1779.4+(235-256.2)+(0.907494+(0.11985-0.130662))+0-219.1-0.111740999999978</f>
        <v>1539.8849410000003</v>
      </c>
      <c r="W136" s="3">
        <f>1784.3+(136-323)+(0+(0-0))+0-219-0</f>
        <v>1378.3</v>
      </c>
      <c r="X136" s="3">
        <f>1793.4+(27-472.3)+(-0.914634+(-0.01377--0.240873))+0-219.3--0.111842999999978</f>
        <v>1128.2243120000001</v>
      </c>
      <c r="Y136" s="3">
        <f>1802.3+(0-507.1)+(2.757519+(0-0.775863))+0-220.7-0.337671000000013</f>
        <v>1076.1439849999997</v>
      </c>
      <c r="Z136" s="3">
        <f>1815.9+(108.6-380.4)+(0.926109+(0.055386-0.194004))+0-220.6-0.112505999999978</f>
        <v>1324.1749850000003</v>
      </c>
      <c r="AA136" s="3">
        <f>1825.4+(171.9-313.6)+(-2.792862+(-0.263007--0.479808))+0-219.6--0.335988000000013</f>
        <v>1461.8599270000002</v>
      </c>
      <c r="AB136" s="3">
        <f>1834.6+(163.4-322.4)+(-1.871292+(-0.166668--0.328848))+0-170.6--0.174012000000027</f>
        <v>1503.4648999999999</v>
      </c>
      <c r="AC136" s="3">
        <f>1835.6+(202-265.3)+(-4.68078+(-0.5151--0.676515))+0-224.8--0.573239999999967</f>
        <v>1543.5538749999998</v>
      </c>
      <c r="AD136">
        <f t="shared" si="2"/>
        <v>33213.326983999999</v>
      </c>
      <c r="AE136" s="3">
        <f>1816+(174-314.7)+(0+(0-0))+0-219.3-0</f>
        <v>1456</v>
      </c>
    </row>
    <row r="137" spans="1:31" s="2" customFormat="1" x14ac:dyDescent="0.25">
      <c r="A137">
        <v>89</v>
      </c>
      <c r="B137">
        <v>5</v>
      </c>
      <c r="C137">
        <v>13</v>
      </c>
      <c r="D137">
        <v>5</v>
      </c>
      <c r="E137">
        <v>1</v>
      </c>
      <c r="F137" s="3">
        <f>1839.9+(179.2-241.8)+(-1.876698+(-0.182784--0.246636))+0-224.2--0.228684000000036</f>
        <v>1551.515838</v>
      </c>
      <c r="G137" s="3">
        <f>1836.1+(158-237.1)+(-1.872822+(-0.16116--0.241842))+0-226.8--0.231336000000036</f>
        <v>1528.6391960000001</v>
      </c>
      <c r="H137" s="3">
        <f>1836+(135.4-245.2)+(-0.93636+(-0.069054--0.125052))+0-224.8--0.114647999999977</f>
        <v>1500.634286</v>
      </c>
      <c r="I137" s="3">
        <f>1848.1+(118.1-272.7)+(-3.770124+(-0.240924--0.556308))+0-224.1--0.45716399999999</f>
        <v>1466.4024240000001</v>
      </c>
      <c r="J137" s="3">
        <f>1849.3+(106.7-292.6)+(-4.715715+(-0.272085--0.74613))+0-222.5--0.567374999999968</f>
        <v>1437.2257049999996</v>
      </c>
      <c r="K137" s="3">
        <f>1846.3+(87-327.4)+(-3.766452+(-0.17748--0.667896))+0-220.6--0.45002399999999</f>
        <v>1382.4739880000002</v>
      </c>
      <c r="L137" s="3">
        <f>1847.1+(0-440.6)+(-3.768084+(0--0.898824))+0-219.9--0.44859599999999</f>
        <v>1184.1793359999999</v>
      </c>
      <c r="M137" s="3">
        <f>1835.8+(5.7-415)+(1.872516+(0.005814-0.4233))+0-220-0.224400000000035</f>
        <v>1207.73063</v>
      </c>
      <c r="N137" s="3">
        <f>1821.8+(17.9-438.6)+(-0.929118+(-0.009129--0.223686))+0-220.2--0.112301999999978</f>
        <v>1180.2977409999999</v>
      </c>
      <c r="O137" s="3">
        <f>1805.3+(31.7-427.7)+(-0.920703+(-0.016167--0.218127))+0-222.7--0.113576999999977</f>
        <v>1185.9948340000001</v>
      </c>
      <c r="P137" s="3">
        <f>1793.3+(67-425)+(4.572915+(0.17085-1.08375))+0-222-0.566099999999968</f>
        <v>1216.3939149999999</v>
      </c>
      <c r="Q137" s="3">
        <f>1790+(120.8-412.6)+(0+(0-0))+0-222.1-0</f>
        <v>1276.1000000000001</v>
      </c>
      <c r="R137" s="3">
        <f>1785.5+(178.9-324.3)+(1.82121+(0.182478-0.330786))+0-220.3-0.224706000000035</f>
        <v>1421.248196</v>
      </c>
      <c r="S137" s="3">
        <f>1782.9+(212-291.8)+(-1.818558+(-0.21624--0.297636))+0-149.4--0.152388000000024</f>
        <v>1552.1152260000001</v>
      </c>
      <c r="T137" s="3">
        <f>1780.4+(319.3-268.4)+(0+(0-0))+0-210.2-0</f>
        <v>1621.1000000000001</v>
      </c>
      <c r="U137" s="3">
        <f>1778.7+(331.6-261.4)+(0+(0-0))+0-220-0</f>
        <v>1628.9</v>
      </c>
      <c r="V137" s="3">
        <f>1777.7+(255.5-247.3)+(-0.906627+(-0.130305--0.126123))+0-218.5--0.111434999999978</f>
        <v>1566.6006260000001</v>
      </c>
      <c r="W137" s="3">
        <f>1782.8+(145.6-298.6)+(-1.818456+(-0.148512--0.304572))+0-218.7--0.223074000000035</f>
        <v>1409.660678</v>
      </c>
      <c r="X137" s="3">
        <f>1789.3+(53-438.6)+(-3.650172+(-0.10812--0.894744))+0-219.4--0.44757599999999</f>
        <v>1181.8840279999997</v>
      </c>
      <c r="Y137" s="3">
        <f>1800.8+(30.8-515.2)+(-0.918408+(-0.015708--0.262752))+0-219.4--0.111893999999978</f>
        <v>1096.4405299999996</v>
      </c>
      <c r="Z137" s="3">
        <f>1809.8+(132.5-390.7)+(-2.768994+(-0.202725--0.597771))+0-219.4--0.335682000000013</f>
        <v>1330.1617339999998</v>
      </c>
      <c r="AA137" s="3">
        <f>1813.6+(176.3-307.3)+(-2.774808+(-0.269739--0.470169))+0-218.8--0.334764000000013</f>
        <v>1461.5603859999999</v>
      </c>
      <c r="AB137" s="3">
        <f>1814.3+(190.7-264.5)+(0.925293+(0.097257-0.134895))+0-220.3-0.112352999999978</f>
        <v>1520.9753020000001</v>
      </c>
      <c r="AC137" s="3">
        <f>1832.2+(199.3-234.6)+(-2.803266+(-0.304929--0.358938))+0-223--0.341190000000013</f>
        <v>1571.4919330000002</v>
      </c>
      <c r="AD137">
        <f t="shared" si="2"/>
        <v>33479.726532000001</v>
      </c>
      <c r="AE137" s="3">
        <f>1813+(174-323.9)+(0+(0-0))+0-218.7-0</f>
        <v>1444.3999999999999</v>
      </c>
    </row>
    <row r="138" spans="1:31" s="2" customFormat="1" x14ac:dyDescent="0.25">
      <c r="A138">
        <v>89</v>
      </c>
      <c r="B138">
        <v>5</v>
      </c>
      <c r="C138">
        <v>14</v>
      </c>
      <c r="D138">
        <v>6</v>
      </c>
      <c r="E138">
        <v>1</v>
      </c>
      <c r="F138" s="3">
        <f>1841.8+(174.9-222)+(-0.939318+(-0.089199--0.11322))+0-224.2--0.114341999999977</f>
        <v>1569.6990450000001</v>
      </c>
      <c r="G138" s="3">
        <f>1840.2+(153.5-220.4)+(-0.938502+(-0.078285--0.112404))+0-224.5--0.114494999999977</f>
        <v>1548.0101119999999</v>
      </c>
      <c r="H138" s="3">
        <f>1839.2+(110.1-207.4)+(-1.875984+(-0.112302--0.211548))+0-224.3--0.228786000000036</f>
        <v>1516.0520480000002</v>
      </c>
      <c r="I138" s="3">
        <f>1842.4+(87.2-216.4)+(-1.879248+(-0.088944--0.220728))+0-223.8--0.228276000000036</f>
        <v>1487.8808120000001</v>
      </c>
      <c r="J138" s="3">
        <f>1845.6+(31.5-196.6)+(-3.765024+(-0.06426--0.401064))+0-224.5--0.45797999999999</f>
        <v>1453.0297599999999</v>
      </c>
      <c r="K138" s="3">
        <f>1850.3+(0-230.7)+(-4.718265+(0--0.588285))+0.4-224.1--0.571454999999968</f>
        <v>1392.3414750000002</v>
      </c>
      <c r="L138" s="3">
        <f>1864.9+(0-388.9)+(-2.853297+(0--0.595017))+0.4-221.8--0.339354000000013</f>
        <v>1252.6810740000001</v>
      </c>
      <c r="M138" s="3">
        <f>1860.5+(0-474.3)+(-0.948855+(0--0.241893))+0-220.9--0.112658999999978</f>
        <v>1164.7056969999999</v>
      </c>
      <c r="N138" s="3">
        <f>1845.2+(0-469.2)+(0.941052+(0-0.239292))+0-222.4-0.113423999999977</f>
        <v>1154.1883359999999</v>
      </c>
      <c r="O138" s="3">
        <f>1828.2+(24.2-466.7)+(-0.932382+(-0.012342--0.238017))+0-222.4--0.113423999999977</f>
        <v>1162.7067169999998</v>
      </c>
      <c r="P138" s="3">
        <f>1812.2+(73.4-474.7)+(0.924222+(0.037434-0.242097))+0-221.1-0.112760999999978</f>
        <v>1190.406798</v>
      </c>
      <c r="Q138" s="3">
        <f>1798.7+(101.7-415.2)+(-0.917337+(-0.051867--0.211752))+0-221.2--0.112811999999978</f>
        <v>1263.35536</v>
      </c>
      <c r="R138" s="3">
        <f>1787.2+(151.2-308.2)+(0+(0-0))+0-218.7-0</f>
        <v>1411.5</v>
      </c>
      <c r="S138" s="3">
        <f>1780.4+(228.8-240.3)+(-2.724012+(-0.350064--0.367659))+0-218.6--0.334458000000013</f>
        <v>1547.9280410000001</v>
      </c>
      <c r="T138" s="3">
        <f>1774.6+(296-243.8)+(0+(0-0))+0-218.4-0</f>
        <v>1608.3999999999999</v>
      </c>
      <c r="U138" s="3">
        <f>1777.3+(292.5-242.7)+(-4.532115+(-0.745875--0.618885))+0-219.1--0.558704999999968</f>
        <v>1603.8996</v>
      </c>
      <c r="V138" s="3">
        <f>1779.9+(231.4-228.7)+(0.907749+(0.118014-0.116637))+0-219.2-0.111791999999978</f>
        <v>1564.1973340000002</v>
      </c>
      <c r="W138" s="3">
        <f>1788.1+(121.1-306)+(-2.735793+(-0.185283--0.46818))+0-219.8--0.336294000000013</f>
        <v>1381.2833979999998</v>
      </c>
      <c r="X138" s="3">
        <f>1795.7+(32.6-433.5)+(-3.663228+(-0.066504--0.88434))+0-220.8--0.45043199999999</f>
        <v>1171.6050400000004</v>
      </c>
      <c r="Y138" s="3">
        <f>1804.2+(0-463.7)+(-0.920142+(0--0.236487))+0-220.3--0.112352999999978</f>
        <v>1119.628698</v>
      </c>
      <c r="Z138" s="3">
        <f>1811+(117.7-347.2)+(-2.77083+(-0.180081--0.531216))+0-220.4--0.337212000000013</f>
        <v>1359.0175169999998</v>
      </c>
      <c r="AA138" s="3">
        <f>1817.8+(159.9-295.9)+(-2.781234+(-0.244647--0.452727))+0-219.3--0.335529000000013</f>
        <v>1460.262375</v>
      </c>
      <c r="AB138" s="3">
        <f>1833+(168.2-274.1)+(-3.73932+(-0.343128--0.559164))+0-219.1--0.44696399999999</f>
        <v>1504.9236799999999</v>
      </c>
      <c r="AC138" s="3">
        <f>1833.3+(183.5-241)+(-0.934983+(-0.093585--0.12291))+0-223.6--0.114035999999977</f>
        <v>1551.4083780000001</v>
      </c>
      <c r="AD138">
        <f t="shared" si="2"/>
        <v>33439.111295000002</v>
      </c>
      <c r="AE138" s="3">
        <f>1824+(155.1-356.9)+(0+(0-0))+0-217.5-0</f>
        <v>1404.7</v>
      </c>
    </row>
    <row r="139" spans="1:31" s="2" customFormat="1" x14ac:dyDescent="0.25">
      <c r="A139">
        <v>89</v>
      </c>
      <c r="B139">
        <v>5</v>
      </c>
      <c r="C139">
        <v>15</v>
      </c>
      <c r="D139">
        <v>7</v>
      </c>
      <c r="E139">
        <v>1</v>
      </c>
      <c r="F139" s="3">
        <f>1831.3+(186.6-232.3)+(-2.801889+(-0.285498--0.355419))+0-225--0.344250000000013</f>
        <v>1558.212282</v>
      </c>
      <c r="G139" s="3">
        <f>1832+(178.7-247.9)+(-2.80296+(-0.273411--0.379287))+0-222.4--0.340272000000013</f>
        <v>1538.0431879999999</v>
      </c>
      <c r="H139" s="3">
        <f>1785.3+(204-241.4)+(0+(0-0))+0-223.8-0</f>
        <v>1524.1</v>
      </c>
      <c r="I139" s="3">
        <f>1693.3+(207.2-189.7)+(-2.590749+(-0.317016--0.290241))+0-223.3--0.341649000000013</f>
        <v>1485.224125</v>
      </c>
      <c r="J139" s="3">
        <f>1700.3+(162.4-181.8)+(-0.867153+(-0.082824--0.092718))+0-220.9--0.112658999999978</f>
        <v>1459.2553999999996</v>
      </c>
      <c r="K139" s="3">
        <f>1713.3+(84.5-168.2)+(-4.368915+(-0.215475--0.42891))+0-221.7--0.565334999999968</f>
        <v>1404.309855</v>
      </c>
      <c r="L139" s="3">
        <f>1716.4+(42-266.9)+(-4.37682+(-0.1071--0.680595))+0-220.7--0.562784999999968</f>
        <v>1267.5594599999999</v>
      </c>
      <c r="M139" s="3">
        <f>1710.8+(46-336.8)+(0+(0-0))+0-219.5-0</f>
        <v>1200.5</v>
      </c>
      <c r="N139" s="3">
        <f>1693.2+(42-343.4)+(-3.454128+(-0.08568--0.700536))+0-218.7--0.44614799999999</f>
        <v>1170.7068760000002</v>
      </c>
      <c r="O139" s="3">
        <f>1671.4+(50.4-340.8)+(1.704828+(0.051408-0.347616))+0-219.7-0.224094000000035</f>
        <v>1162.484526</v>
      </c>
      <c r="P139" s="3">
        <f>1665.6+(96.9-377.2)+(0+(0-0))+0-219.4-0</f>
        <v>1165.8999999999999</v>
      </c>
      <c r="Q139" s="3">
        <f>1658.1+(138.5-333.6)+(-0.845631+(-0.070635--0.170136))+0-219.4--0.111893999999978</f>
        <v>1242.9657639999998</v>
      </c>
      <c r="R139" s="3">
        <f>1651.2+(197.1-249.2)+(-2.526336+(-0.301563--0.381276))+0-219.2--0.335376000000013</f>
        <v>1377.788753</v>
      </c>
      <c r="S139" s="3">
        <f>1647.3+(268.9-213.4)+(-0.840123+(-0.137139--0.108834))+0-218.4--0.111383999999978</f>
        <v>1483.6429559999999</v>
      </c>
      <c r="T139" s="3">
        <f>1646.4+(331.6-213.4)+(-2.518992+(-0.507348--0.326502))+0-218.8--0.334764000000013</f>
        <v>1543.4349260000001</v>
      </c>
      <c r="U139" s="3">
        <f>1646.8+(339.5-192.9)+(-0.839868+(-0.173145--0.098379))+0-218.7--0.111536999999978</f>
        <v>1573.8969029999998</v>
      </c>
      <c r="V139" s="3">
        <f>1645.6+(261.8-150.8)+(-4.19628+(-0.66759--0.38454))+0-218.3--0.556664999999968</f>
        <v>1534.3773350000001</v>
      </c>
      <c r="W139" s="3">
        <f>1652.3+(141.1-177.5)+(-4.213365+(-0.359805--0.452625))+0-219.3--0.559214999999968</f>
        <v>1393.0386699999999</v>
      </c>
      <c r="X139" s="3">
        <f>1660.5+(62.4-324.4)+(-2.540565+(-0.095472--0.496332))+0-219.1--0.335223000000013</f>
        <v>1177.5955180000001</v>
      </c>
      <c r="Y139" s="3">
        <f>1670.4+(36-365.2)+(0+(0-0))+0-218.8-0</f>
        <v>1122.4000000000001</v>
      </c>
      <c r="Z139" s="3">
        <f>1699+(171.9-273.6)+(0.86649+(0.087669-0.139536))+0-219.2-0.111791999999978</f>
        <v>1378.802831</v>
      </c>
      <c r="AA139" s="3">
        <f>1838.4+(178-294.6)+(-0.937584+(-0.09078--0.150246))+0-218.7--0.111536999999978</f>
        <v>1502.333419</v>
      </c>
      <c r="AB139" s="3">
        <f>1843.4+(195.6-257.3)+(0+(0-0))+0-218.7-0</f>
        <v>1563</v>
      </c>
      <c r="AC139" s="3">
        <f>1842+(233.5-239.9)+(-2.81826+(-0.357255--0.367047))+0-218.5--0.334305000000013</f>
        <v>1614.625837</v>
      </c>
      <c r="AD139">
        <f t="shared" si="2"/>
        <v>33444.198624000011</v>
      </c>
      <c r="AE139" s="3">
        <f>1824+(183.1-285.8)+(0+(0-0))+0-218.1-0</f>
        <v>1503.2</v>
      </c>
    </row>
    <row r="140" spans="1:31" s="2" customFormat="1" x14ac:dyDescent="0.25">
      <c r="A140">
        <v>89</v>
      </c>
      <c r="B140">
        <v>5</v>
      </c>
      <c r="C140">
        <v>16</v>
      </c>
      <c r="D140">
        <v>1</v>
      </c>
      <c r="E140">
        <v>1</v>
      </c>
      <c r="F140" s="3">
        <f>1838.8+(231.7-222.3)+(-0.937788+(-0.118167--0.113373))+0-219.8--0.112097999999978</f>
        <v>1627.569516</v>
      </c>
      <c r="G140" s="3">
        <f>1837.8+(193.2-206)+(-0.937278+(-0.098532--0.10506))+0-220.8--0.112607999999978</f>
        <v>1603.381858</v>
      </c>
      <c r="H140" s="3">
        <f>1838.6+(161.7-198.8)+(-0.937686+(-0.082467--0.101388))+0-220.1--0.112250999999978</f>
        <v>1580.5934860000002</v>
      </c>
      <c r="I140" s="3">
        <f>1844.2+(140.9-213.7)+(-1.881084+(-0.143718--0.217974))+0-220.6--0.225012000000035</f>
        <v>1549.2181840000003</v>
      </c>
      <c r="J140" s="3">
        <f>1845.7+(101.5-219.8)+(-2.823921+(-0.155295--0.336294))+0-220.1--0.336753000000013</f>
        <v>1504.9938310000002</v>
      </c>
      <c r="K140" s="3">
        <f>1846.1+(84.4-268.4)+(-2.824533+(-0.129132--0.410652))+0-219.9--0.336447000000013</f>
        <v>1439.9934339999998</v>
      </c>
      <c r="L140" s="3">
        <f>1854.5+(45-339.4)+(-4.728975+(-0.11475--0.86547))+0-220.4--0.562019999999968</f>
        <v>1336.2837649999999</v>
      </c>
      <c r="M140" s="3">
        <f>1852.4+(43-412.1)+(0+(0-0))+0-221.9-0</f>
        <v>1261.4000000000001</v>
      </c>
      <c r="N140" s="3">
        <f>1838+(59-408.9)+(-0.93738+(-0.03009--0.208539))+0-224.3--0.114392999999977</f>
        <v>1263.1554619999999</v>
      </c>
      <c r="O140" s="3">
        <f>1819.5+(84.9-418.5)+(0+(0-0))+0-225.8-0</f>
        <v>1260.1000000000001</v>
      </c>
      <c r="P140" s="3">
        <f>1806.4+(108.8-400)+(0.921264+(0.055488-0.204))+0-227.4-0.115973999999977</f>
        <v>1288.456778</v>
      </c>
      <c r="Q140" s="3">
        <f>1807.3+(140.4-330.4)+(-0.921723+(-0.071604--0.168504))+0-224.5--0.114494999999977</f>
        <v>1392.0896720000001</v>
      </c>
      <c r="R140" s="3">
        <f>1809.6+(200.8-228)+(0.922896+(0.102408-0.11628))+0-223.3-0.113882999999977</f>
        <v>1559.895141</v>
      </c>
      <c r="S140" s="3">
        <f>1809.5+(323.2-224.8)+(-2.768535+(-0.494496--0.343944))+0-220.7--0.337671000000013</f>
        <v>1684.6185840000001</v>
      </c>
      <c r="T140" s="3">
        <f>1801.7+(380.4-219.4)+(0+(0-0))+0-220.5-0</f>
        <v>1742.2</v>
      </c>
      <c r="U140" s="3">
        <f>1785.8+(383.3-216.6)+(0+(0-0))+0-219.7-0</f>
        <v>1732.8</v>
      </c>
      <c r="V140" s="3">
        <f>1782.6+(310.1-214.7)+(-3.636504+(-0.632604--0.437988))+0-219.7--0.44818799999999</f>
        <v>1654.917068</v>
      </c>
      <c r="W140" s="3">
        <f>1804.1+(161.7-254.3)+(-1.840182+(-0.164934--0.259386))+0-219.7--0.224094000000035</f>
        <v>1490.2783639999998</v>
      </c>
      <c r="X140" s="3">
        <f>1814.8+(82-421.9)+(-2.776644+(-0.12546--0.645507))+0-220.9--0.337977000000013</f>
        <v>1252.0813799999999</v>
      </c>
      <c r="Y140" s="3">
        <f>1828+(48.3-436.2)+(0+(0-0))+0-220.3-0</f>
        <v>1219.8</v>
      </c>
      <c r="Z140" s="3">
        <f>1838.8+(161.3-297.2)+(0+(0-0))+0-219.8-0</f>
        <v>1483.1000000000001</v>
      </c>
      <c r="AA140" s="3">
        <f>1850.3+(192.8-232.7)+(0+(0-0))+0-219.2-0</f>
        <v>1591.2</v>
      </c>
      <c r="AB140" s="3">
        <f>1854+(220.5-225.3)+(1.89108+(0.22491-0.229806))+0-219.9-0.224298000000035</f>
        <v>1630.9618859999998</v>
      </c>
      <c r="AC140" s="3">
        <f>1854.3+(266.2-227.4)+(-0.945693+(-0.135762--0.115974))+0-222.3--0.113372999999977</f>
        <v>1669.9478919999999</v>
      </c>
      <c r="AD140">
        <f t="shared" si="2"/>
        <v>35819.036300999993</v>
      </c>
      <c r="AE140" s="3">
        <f>1852+(194.5-252.2)+(0+(0-0))+0-220.5-0</f>
        <v>1573.8</v>
      </c>
    </row>
    <row r="141" spans="1:31" s="2" customFormat="1" x14ac:dyDescent="0.25">
      <c r="A141">
        <v>89</v>
      </c>
      <c r="B141">
        <v>5</v>
      </c>
      <c r="C141">
        <v>17</v>
      </c>
      <c r="D141">
        <v>2</v>
      </c>
      <c r="E141">
        <v>1</v>
      </c>
      <c r="F141" s="3">
        <f>1838.4+(121.9-310.3)+(-3.750336+(-0.248676--0.633012))+48-221.3--0.45145199999999</f>
        <v>1473.7854520000001</v>
      </c>
      <c r="G141" s="3">
        <f>1837.1+(174.1-227.4)+(-0.936921+(-0.088791--0.115974))+0-223.4--0.113933999999977</f>
        <v>1559.6041959999998</v>
      </c>
      <c r="H141" s="3">
        <f>1837.7+(162.4-216.6)+(0+(0-0))+0-225.4-0</f>
        <v>1558.1</v>
      </c>
      <c r="I141" s="3">
        <f>1841.6+(130.3-225.5)+(-2.817648+(-0.199359--0.345015))+0-224.4--0.343332000000013</f>
        <v>1519.6713399999996</v>
      </c>
      <c r="J141" s="3">
        <f>1845.7+(104.8-219)+(-1.882614+(-0.106896--0.22338))+0-224.7--0.229194000000036</f>
        <v>1505.263064</v>
      </c>
      <c r="K141" s="3">
        <f>1847.3+(71.1-224.2)+(-1.884246+(-0.072522--0.228684))+0-223.3--0.227766000000036</f>
        <v>1469.399682</v>
      </c>
      <c r="L141" s="3">
        <f>1848.3+(0-285.4)+(-3.770532+(0--0.582216))+0-222.9--0.45471599999999</f>
        <v>1337.2664</v>
      </c>
      <c r="M141" s="3">
        <f>1852+(0-360.4)+(0+(0-0))+0-222.9-0</f>
        <v>1268.6999999999998</v>
      </c>
      <c r="N141" s="3">
        <f>1839.5+(0-363.6)+(-0.938145+(0--0.185436))+0-224.7--0.114596999999977</f>
        <v>1250.561888</v>
      </c>
      <c r="O141" s="3">
        <f>1828.4+(44.7-399)+(-2.797452+(-0.068391--0.61047))+0-223.8--0.342414000000013</f>
        <v>1248.3870410000002</v>
      </c>
      <c r="P141" s="3">
        <f>1816.8+(78.2-381.7)+(0+(0-0))+0-222.9-0</f>
        <v>1290.3999999999999</v>
      </c>
      <c r="Q141" s="3">
        <f>1809.2+(137.3-330.2)+(0+(0-0))+0-222.6-0</f>
        <v>1393.7000000000003</v>
      </c>
      <c r="R141" s="3">
        <f>1824.8+(186.9-230.8)+(0.930648+(0.095319-0.117708))+0-219.3-0.111842999999978</f>
        <v>1562.396416</v>
      </c>
      <c r="S141" s="3">
        <f>1818.3+(265.5-220.5)+(-0.927333+(-0.135405--0.112455))+0-173.5--0.0884849999999824</f>
        <v>1688.938202</v>
      </c>
      <c r="T141" s="3">
        <f>1814.2+(353.5-220)+(0.925242+(0.180285-0.1122))+0-220-0.112199999999978</f>
        <v>1728.5811269999999</v>
      </c>
      <c r="U141" s="3">
        <f>1813.4+(333.2-210.7)+(-0.924834+(-0.169932--0.107457))+0-221--0.112709999999978</f>
        <v>1714.0254009999999</v>
      </c>
      <c r="V141" s="3">
        <f>1799+(261.1-200.4)+(-0.91749+(-0.133161--0.102204))+0-220.2--0.112301999999978</f>
        <v>1638.663855</v>
      </c>
      <c r="W141" s="3">
        <f>1790.7+(129.4-223.5)+(-2.739771+(-0.197982--0.341955))+0-220.9--0.337977000000013</f>
        <v>1473.4421789999999</v>
      </c>
      <c r="X141" s="3">
        <f>1799.5+(46.7-371.1)+(-4.588725+(-0.119085--0.946305))+0-221.3--0.564314999999968</f>
        <v>1250.6028100000001</v>
      </c>
      <c r="Y141" s="3">
        <f>1817.9+(5-414.1)+(-1.854258+(-0.0051--0.422382))+0-221.7--0.226134000000035</f>
        <v>1185.8891580000002</v>
      </c>
      <c r="Z141" s="3">
        <f>1842.6+(137.5-303.3)+(-0.939726+(-0.070125--0.154683))+0-221.4--0.112913999999978</f>
        <v>1454.6577459999999</v>
      </c>
      <c r="AA141" s="3">
        <f>1857.5+(170.8-245.8)+(-2.841975+(-0.261324--0.376074))+0-221--0.338130000000013</f>
        <v>1559.110905</v>
      </c>
      <c r="AB141" s="3">
        <f>1863.9+(203.3-233.2)+(0+(0-0))+0-223.4-0</f>
        <v>1610.6</v>
      </c>
      <c r="AC141" s="3">
        <f>1853.1+(245.3-233.1)+(-1.890162+(-0.250206--0.237762))+0-226.4--0.230928000000036</f>
        <v>1637.2283219999997</v>
      </c>
      <c r="AD141">
        <f t="shared" si="2"/>
        <v>35378.97518400001</v>
      </c>
      <c r="AE141" s="3">
        <f>1852+(163-266.3)+(0+(0-0))+0-220.5-0</f>
        <v>1528.2</v>
      </c>
    </row>
    <row r="142" spans="1:31" s="2" customFormat="1" x14ac:dyDescent="0.25">
      <c r="A142">
        <v>89</v>
      </c>
      <c r="B142">
        <v>5</v>
      </c>
      <c r="C142">
        <v>18</v>
      </c>
      <c r="D142">
        <v>3</v>
      </c>
      <c r="E142">
        <v>1</v>
      </c>
      <c r="F142" s="3">
        <f>1849.6+(223.2-239.6)+(-4.71648+(-0.56916--0.61098))+0-225--0.573749999999967</f>
        <v>1604.0990899999999</v>
      </c>
      <c r="G142" s="3">
        <f>1846.4+(185-219.3)+(-1.883328+(-0.1887--0.223686))+0-226.7--0.231234000000036</f>
        <v>1583.7828920000002</v>
      </c>
      <c r="H142" s="3">
        <f>1844.7+(163.6-223.5)+(-0.940797+(-0.083436--0.113985))+0-225.2--0.114851999999977</f>
        <v>1558.8046039999999</v>
      </c>
      <c r="I142" s="3">
        <f>1842.7+(142.2-235.4)+(0.939777+(0.072522-0.120054))+0-224.2-0.114341999999977</f>
        <v>1526.0779029999999</v>
      </c>
      <c r="J142" s="3">
        <f>1839.6+(127.2-244.2)+(2.814588+(0.194616-0.373626))+0-223.5-0.341955000000013</f>
        <v>1501.3936229999997</v>
      </c>
      <c r="K142" s="3">
        <f>1850.3+(78.7-253.4)+(-0.943653+(-0.040137--0.129234))+0-224.1--0.114290999999977</f>
        <v>1450.7597349999999</v>
      </c>
      <c r="L142" s="3">
        <f>1857+(0-323.3)+(-2.84121+(0--0.494649))+0-222.1--0.339813000000013</f>
        <v>1309.5932520000001</v>
      </c>
      <c r="M142" s="3">
        <f>1857.6+(0-397)+(0+(0-0))+0-222.5-0</f>
        <v>1238.0999999999999</v>
      </c>
      <c r="N142" s="3">
        <f>1845.6+(12.2-406.8)+(1.882512+(0.012444-0.414936))+0-225.2-0.229704000000036</f>
        <v>1227.0503159999998</v>
      </c>
      <c r="O142" s="3">
        <f>1842.9+(40.4-425.9)+(-1.879758+(-0.041208--0.434418))+0-226.2--0.230724000000036</f>
        <v>1229.944176</v>
      </c>
      <c r="P142" s="3">
        <f>1830.1+(80.4-415.3)+(2.800053+(0.123012-0.635409))+0-225.3-0.344709000000013</f>
        <v>1271.8429469999999</v>
      </c>
      <c r="Q142" s="3">
        <f>1822.6+(120.7-347.6)+(0.929526+(0.061557-0.177276))+0-223.1-0.113780999999977</f>
        <v>1373.3000259999999</v>
      </c>
      <c r="R142" s="3">
        <f>1834.5+(174-239.4)+(-1.87119+(-0.17748--0.244188))+0-221.9--0.226338000000035</f>
        <v>1545.6218559999998</v>
      </c>
      <c r="S142" s="3">
        <f>1828+(285.7-228.2)+(0.93228+(0.145707-0.116382))+0-221.2-0.112811999999978</f>
        <v>1665.1487929999998</v>
      </c>
      <c r="T142" s="3">
        <f>1822.6+(339.5-227.2)+(0+(0-0))+0-220.9-0</f>
        <v>1713.9999999999998</v>
      </c>
      <c r="U142" s="3">
        <f>1818.3+(326.2-219.3)+(0+(0-0))+0-220.6-0</f>
        <v>1704.6</v>
      </c>
      <c r="V142" s="3">
        <f>1812.4+(257.7-213.7)+(-0.924324+(-0.131427--0.108987))+0-220.9--0.112658999999978</f>
        <v>1634.6658949999999</v>
      </c>
      <c r="W142" s="3">
        <f>1806.1+(141.6-261.5)+(-1.842222+(-0.144432--0.26673))+0-222.6--0.227052000000035</f>
        <v>1462.1071279999999</v>
      </c>
      <c r="X142" s="3">
        <f>1803.8+(56.9-413.6)+(-4.59969+(-0.145095--1.05468))+0-221.4--0.564569999999968</f>
        <v>1222.5744649999999</v>
      </c>
      <c r="Y142" s="3">
        <f>1813.2+(4.9-435.2)+(-1.849464+(-0.004998--0.443904))+0-221.8--0.226236000000035</f>
        <v>1159.9156780000001</v>
      </c>
      <c r="Z142" s="3">
        <f>1842.6+(128.2-315.9)+(-0.939726+(-0.065382--0.161109))+0-221.4--0.112913999999978</f>
        <v>1432.7689149999999</v>
      </c>
      <c r="AA142" s="3">
        <f>1855.5+(171.5-259.3)+(-3.78522+(-0.34986--0.528972))+0-221.3--0.45145199999999</f>
        <v>1543.2453440000002</v>
      </c>
      <c r="AB142" s="3">
        <f>1860.9+(203.6-253.6)+(-1.898118+(-0.207672--0.258672))+0-222.6--0.227052000000035</f>
        <v>1586.6799340000002</v>
      </c>
      <c r="AC142" s="3">
        <f>1861.1+(230.5-244.4)+(-1.898322+(-0.23511--0.249288))+0-226.9--0.231438000000036</f>
        <v>1618.6472939999996</v>
      </c>
      <c r="AD142">
        <f t="shared" si="2"/>
        <v>35164.723866</v>
      </c>
      <c r="AE142" s="3">
        <f>1853+(173-279.7)+(0+(0-0))+0-221.1-0</f>
        <v>1525.2</v>
      </c>
    </row>
    <row r="143" spans="1:31" s="2" customFormat="1" x14ac:dyDescent="0.25">
      <c r="A143">
        <v>89</v>
      </c>
      <c r="B143">
        <v>5</v>
      </c>
      <c r="C143">
        <v>19</v>
      </c>
      <c r="D143">
        <v>4</v>
      </c>
      <c r="E143">
        <v>1</v>
      </c>
      <c r="F143" s="3">
        <f>1851.5+(216.8-247.7)+(-1.88853+(-0.221136--0.252654))+0-227.1--0.231642000000036</f>
        <v>1591.87463</v>
      </c>
      <c r="G143" s="3">
        <f>1852.8+(183.4-237.2)+(-1.889856+(-0.187068--0.241944))+0-228.6--0.233172000000036</f>
        <v>1568.798192</v>
      </c>
      <c r="H143" s="3">
        <f>1853.6+(154.2-240.1)+(-3.781344+(-0.314568--0.489804))+0-227.1--0.46328399999999</f>
        <v>1537.4571759999999</v>
      </c>
      <c r="I143" s="3">
        <f>1854+(126.5-240)+(0.94554+(0.064515-0.1224))+0-226.1-0.115310999999977</f>
        <v>1515.1723440000001</v>
      </c>
      <c r="J143" s="3">
        <f>1850.9+(117.5-252.5)+(3.775836+(0.2397-0.5151))+0-226.8-0.46267199999999</f>
        <v>1492.1377640000003</v>
      </c>
      <c r="K143" s="3">
        <f>1845.6+(93.4-261.1)+(1.882512+(0.095268-0.266322))+0-227.4-0.231948000000036</f>
        <v>1451.9795099999997</v>
      </c>
      <c r="L143" s="3">
        <f>1854.1+(0-308.3)+(-1.891182+(0--0.314466))+0-224.7--0.229194000000036</f>
        <v>1319.7524779999999</v>
      </c>
      <c r="M143" s="3">
        <f>1857.7+(0-386.9)+(1.894854+(0-0.394638))+0-224.3-0.228786000000036</f>
        <v>1247.77143</v>
      </c>
      <c r="N143" s="3">
        <f>1852.9+(3-385)+(2.834937+(0.00459-0.58905))+0-227-0.347310000000013</f>
        <v>1245.803167</v>
      </c>
      <c r="O143" s="3">
        <f>1841.7+(5.9-399.4)+(3.757068+(0.012036-0.814776))+0-225.2-0.45940799999999</f>
        <v>1225.4949200000001</v>
      </c>
      <c r="P143" s="3">
        <f>1848.7+(78.5-436)+(1.885674+(0.08007-0.44472))+0-223.3-0.227766000000036</f>
        <v>1269.193258</v>
      </c>
      <c r="Q143" s="3">
        <f>1852.3+(115.8-373.2)+(0+(0-0))+0-222.2-0</f>
        <v>1372.7</v>
      </c>
      <c r="R143" s="3">
        <f>1848.4+(157.9-250.3)+(0.942684+(0.080529-0.127653))+0-222.9-0.113678999999977</f>
        <v>1533.8818809999998</v>
      </c>
      <c r="S143" s="3">
        <f>1837.5+(270.3-216.7)+(0+(0-0))+0-222.9-0</f>
        <v>1668.1999999999998</v>
      </c>
      <c r="T143" s="3">
        <f>1829.3+(309-210.3)+(0+(0-0))+0-223-0</f>
        <v>1705</v>
      </c>
      <c r="U143" s="3">
        <f>1825.8+(296.8-202.4)+(0.931158+(0.151368-0.103224))+0-221.7-0.113066999999978</f>
        <v>1699.366235</v>
      </c>
      <c r="V143" s="3">
        <f>1823.1+(229-203.2)+(1.859562+(0.23358-0.207264))+0-221.9-0.226338000000035</f>
        <v>1628.6595399999999</v>
      </c>
      <c r="W143" s="3">
        <f>1824.1+(125.2-270)+(-3.721164+(-0.255408--0.5508))+0-222.9--0.45471599999999</f>
        <v>1453.4289439999998</v>
      </c>
      <c r="X143" s="3">
        <f>1835.7+(45.2-431.8)+(-4.681035+(-0.11526--1.10109))+0-223.3--0.569414999999968</f>
        <v>1222.6742099999999</v>
      </c>
      <c r="Y143" s="3">
        <f>1851.4+(52.7-486.7)+(1.888428+(0.053754-0.496434))+0-222.5-0.226950000000035</f>
        <v>1196.1187980000002</v>
      </c>
      <c r="Z143" s="3">
        <f>1861.2+(149.7-332)+(0+(0-0))+0-222.8-0</f>
        <v>1456.1000000000001</v>
      </c>
      <c r="AA143" s="3">
        <f>1869.4+(181.2-262.3)+(-1.906788+(-0.184824--0.267546))+0-222.7--0.227154000000035</f>
        <v>1564.0030880000002</v>
      </c>
      <c r="AB143" s="3">
        <f>1873.3+(207.6-251.5)+(-0.955383+(-0.105876--0.128265))+0-222.8--0.113627999999977</f>
        <v>1605.780634</v>
      </c>
      <c r="AC143" s="3">
        <f>1876.8+(226.2-242.5)+(-3.828672+(-0.461448--0.4947))+0-224--0.45695999999999</f>
        <v>1633.1615400000001</v>
      </c>
      <c r="AD143">
        <f t="shared" si="2"/>
        <v>35204.509739000008</v>
      </c>
      <c r="AE143" s="3">
        <f>1864+(175-284.7)+(0+(0-0))+0-221.7-0</f>
        <v>1532.6</v>
      </c>
    </row>
    <row r="144" spans="1:31" s="2" customFormat="1" x14ac:dyDescent="0.25">
      <c r="A144">
        <v>89</v>
      </c>
      <c r="B144">
        <v>5</v>
      </c>
      <c r="C144">
        <v>20</v>
      </c>
      <c r="D144">
        <v>5</v>
      </c>
      <c r="E144">
        <v>1</v>
      </c>
      <c r="F144" s="3">
        <f>1863.8+(212.5-239.8)+(-3.802152+(-0.4335--0.489192))+0-224.7--0.45838799999999</f>
        <v>1608.5119279999999</v>
      </c>
      <c r="G144" s="3">
        <f>1862.2+(171.2-224.9)+(-2.849166+(-0.261936--0.344097))+0-225--0.344250000000013</f>
        <v>1581.0772450000002</v>
      </c>
      <c r="H144" s="3">
        <f>1861.6+(140.5-215.6)+(-3.797664+(-0.28662--0.439824))+0-225.3--0.45961199999999</f>
        <v>1558.0151519999999</v>
      </c>
      <c r="I144" s="3">
        <f>1863.6+(111.6-217.9)+(-4.75218+(-0.28458--0.555645))+0-223.9--0.570944999999968</f>
        <v>1529.4898299999998</v>
      </c>
      <c r="J144" s="3">
        <f>1868+(95-224.8)+(-5.71608+(-0.2907--0.687888))+0-225.8--0.690948000000026</f>
        <v>1507.772056</v>
      </c>
      <c r="K144" s="3">
        <f>1870.5+(80-258.6)+(-3.81582+(-0.1632--0.527544))+0-225.8--0.46063199999999</f>
        <v>1463.1091560000002</v>
      </c>
      <c r="L144" s="3">
        <f>1875.3+(0-320.6)+(-5.738418+(0--0.981036))+0-224.1--0.685746000000026</f>
        <v>1326.528364</v>
      </c>
      <c r="M144" s="3">
        <f>1871.2+(0-404.1)+(-2.862936+(0--0.618273))+0-223.2--0.341496000000013</f>
        <v>1241.9968329999999</v>
      </c>
      <c r="N144" s="3">
        <f>1856.1+(22.7-421.7)+(0+(0-0))+0-223.7-0</f>
        <v>1233.3999999999999</v>
      </c>
      <c r="O144" s="3">
        <f>1841.2+(67.3-445.7)+(-0.939012+(-0.034323--0.227307))+0-223.1--0.113780999999977</f>
        <v>1239.0677530000003</v>
      </c>
      <c r="P144" s="3">
        <f>1837.5+(80.5-423.2)+(2.811375+(0.123165-0.647496))+0-222.7-0.340731000000013</f>
        <v>1274.0463129999998</v>
      </c>
      <c r="Q144" s="3">
        <f>1842.4+(112.1-355.2)+(-0.939624+(-0.057171--0.181152))+0-223.7--0.114086999999977</f>
        <v>1374.8984440000002</v>
      </c>
      <c r="R144" s="3">
        <f>1836.5+(179.1-251.8)+(0.936615+(0.091341-0.128418))+0-222.9-0.113678999999977</f>
        <v>1541.6858589999997</v>
      </c>
      <c r="S144" s="3">
        <f>1833.3+(267.8-242.7)+(0+(0-0))+0-222.9-0</f>
        <v>1635.5</v>
      </c>
      <c r="T144" s="3">
        <f>1826.5+(353.6-243.2)+(0.931515+(0.180336-0.124032))+0-223.5-0.113984999999977</f>
        <v>1714.2738340000001</v>
      </c>
      <c r="U144" s="3">
        <f>1822.1+(349.2-248.4)+(0+(0-0))+0-222.3-0</f>
        <v>1700.6</v>
      </c>
      <c r="V144" s="3">
        <f>1822.4+(265.9-239.9)+(-3.717696+(-0.542436--0.489396))+0-222.4--0.45369599999999</f>
        <v>1622.6829600000001</v>
      </c>
      <c r="W144" s="3">
        <f>1826.1+(139.7-294)+(-3.725244+(-0.284988--0.59976))+0-222.1--0.45308399999999</f>
        <v>1446.742612</v>
      </c>
      <c r="X144" s="3">
        <f>1836.7+(67.8-444.7)+(-5.620302+(-0.207468--1.360782))+0-222.5--0.680850000000026</f>
        <v>1233.5138620000002</v>
      </c>
      <c r="Y144" s="3">
        <f>1836.4+(58.6-462)+(0.936564+(0.029886-0.23562))+0-223.8-0.114137999999977</f>
        <v>1209.8166920000001</v>
      </c>
      <c r="Z144" s="3">
        <f>1842.8+(171.4-318)+(1.879656+(0.174828-0.32436))+0-222.7-0.227154000000035</f>
        <v>1475.00297</v>
      </c>
      <c r="AA144" s="3">
        <f>1845.6+(206.5-277.4)+(-2.823768+(-0.315945--0.424422))+0-222--0.339660000000013</f>
        <v>1550.3243689999999</v>
      </c>
      <c r="AB144" s="3">
        <f>1848.6+(227.1-266)+(0+(0-0))+0-222.5-0</f>
        <v>1587.1999999999998</v>
      </c>
      <c r="AC144" s="3">
        <f>1850.4+(248.4-256.3)+(-2.831112+(-0.380052--0.392139))+0-224.4--0.343332000000013</f>
        <v>1615.6243069999998</v>
      </c>
      <c r="AD144">
        <f t="shared" si="2"/>
        <v>35270.880538999998</v>
      </c>
      <c r="AE144" s="3">
        <f>1858+(201.1-286.8)+(0+(0-0))+0-221.7-0</f>
        <v>1550.6</v>
      </c>
    </row>
    <row r="145" spans="1:31" s="2" customFormat="1" x14ac:dyDescent="0.25">
      <c r="A145">
        <v>89</v>
      </c>
      <c r="B145">
        <v>5</v>
      </c>
      <c r="C145">
        <v>21</v>
      </c>
      <c r="D145">
        <v>6</v>
      </c>
      <c r="E145">
        <v>8</v>
      </c>
      <c r="F145" s="3">
        <f>1844.7+(228-247.6)+(-3.763188+(-0.46512--0.505104))+0-224--0.45695999999999</f>
        <v>1597.8337560000002</v>
      </c>
      <c r="G145" s="3">
        <f>1850.3+(180.7-232.3)+(-3.774612+(-0.368628--0.473892))+0-224.9--0.45879599999999</f>
        <v>1570.5894479999997</v>
      </c>
      <c r="H145" s="3">
        <f>1850.4+(151.9-230.3)+(0+(0-0))+0-224.7-0</f>
        <v>1547.3</v>
      </c>
      <c r="I145" s="3">
        <f>1847.7+(162.9-254.4)+(1.884654+(0.166158-0.259488))+0-224.1-0.228582000000036</f>
        <v>1533.6627420000002</v>
      </c>
      <c r="J145" s="3">
        <f>1844.5+(134.2-251.3)+(-2.822085+(-0.205326--0.384489))+0-224.7--0.343791000000013</f>
        <v>1500.4008690000001</v>
      </c>
      <c r="K145" s="3">
        <f>1841.4+(69.8-239.5)+(-4.69557+(-0.17799--0.610725))+0-224.6--0.572729999999967</f>
        <v>1443.409895</v>
      </c>
      <c r="L145" s="3">
        <f>1844.6+(8.1-277.7)+(-7.525968+(-0.033048--1.133016))+0-224.1--0.91432799999998</f>
        <v>1345.3883280000002</v>
      </c>
      <c r="M145" s="3">
        <f>1841.9+(4.7-336.6)+(1.878738+(0.004794-0.343332))+0-224.5-0.228990000000036</f>
        <v>1286.8112099999998</v>
      </c>
      <c r="N145" s="3">
        <f>1822.7+(0-332.4)+(1.859154+(0-0.339048))+0-225.2-0.229704000000036</f>
        <v>1266.390402</v>
      </c>
      <c r="O145" s="3">
        <f>1813.7+(64.3-386.8)+(3.699948+(0.131172-0.789072))+0-225.3-0.45961199999999</f>
        <v>1268.4824360000002</v>
      </c>
      <c r="P145" s="3">
        <f>1804.1+(76-358.7)+(1.840182+(0.07752-0.365874))+0-220.5-0.224910000000035</f>
        <v>1302.2269179999996</v>
      </c>
      <c r="Q145" s="3">
        <f>1812.4+(90.3-298.6)+(0+(0-0))+0-219.2-0</f>
        <v>1384.9</v>
      </c>
      <c r="R145" s="3">
        <f>1812.9+(214.3-253.9)+(1.849158+(0.218586-0.258978))+0-222-0.226440000000035</f>
        <v>1552.8823260000001</v>
      </c>
      <c r="S145" s="3">
        <f>1813.1+(324-206.4)+(0+(0-0))+0-220.8-0</f>
        <v>1709.8999999999999</v>
      </c>
      <c r="T145" s="3">
        <f>1808.3+(388.8-194.3)+(0+(0-0))+0-220-0</f>
        <v>1782.8</v>
      </c>
      <c r="U145" s="3">
        <f>1800.2+(386.3-188.7)+(-0.918102+(-0.197013--0.096237))+0-221--0.112709999999978</f>
        <v>1775.893832</v>
      </c>
      <c r="V145" s="3">
        <f>1794.2+(309-183.6)+(-0.915042+(-0.15759--0.093636))+0-220.4--0.112403999999978</f>
        <v>1698.333408</v>
      </c>
      <c r="W145" s="3">
        <f>1793.7+(175.4-205.3)+(-2.744361+(-0.268362--0.314109))+0-221.9--0.339507000000013</f>
        <v>1539.5408929999999</v>
      </c>
      <c r="X145" s="3">
        <f>1812.4+(96.9-329.7)+(-3.697296+(-0.197676--0.672588))+0-220.7--0.45022799999999</f>
        <v>1356.1278440000001</v>
      </c>
      <c r="Y145" s="3">
        <f>1814.1+(121.2-342.1)+(0.925191+(0.061812-0.174471))+0-221.4-0.112913999999978</f>
        <v>1372.4996179999996</v>
      </c>
      <c r="Z145" s="3">
        <f>1839.2+(208.7-208.3)+(1.875984+(0.212874-0.212466))+0-221.1-0.225522000000035</f>
        <v>1620.1508699999999</v>
      </c>
      <c r="AA145" s="3">
        <f>1850.2+(230.5-200.9)+(-0.943602+(-0.117555--0.102459))+0-221.2--0.112811999999978</f>
        <v>1657.7541140000001</v>
      </c>
      <c r="AB145" s="3">
        <f>1837.5+(245.4-189.4)+(-0.937125+(-0.125154--0.096594))+0-222.4--0.113423999999977</f>
        <v>1670.2477389999999</v>
      </c>
      <c r="AC145" s="3">
        <f>1838.3+(267.9-188.8)+(0.937533+(0.136629-0.096288))+0-226.6-0.115565999999977</f>
        <v>1691.6623079999999</v>
      </c>
      <c r="AD145">
        <f t="shared" si="2"/>
        <v>36475.188955999998</v>
      </c>
      <c r="AE145" s="3">
        <f>1843+(233.7-219.2)+(0+(0-0))+0-220.5-0</f>
        <v>1637</v>
      </c>
    </row>
    <row r="146" spans="1:31" s="2" customFormat="1" x14ac:dyDescent="0.25">
      <c r="A146">
        <v>89</v>
      </c>
      <c r="B146">
        <v>5</v>
      </c>
      <c r="C146">
        <v>22</v>
      </c>
      <c r="D146">
        <v>7</v>
      </c>
      <c r="E146">
        <v>1</v>
      </c>
      <c r="F146" s="3">
        <f>1836.6+(266.1-216.1)+(0.936666+(0.135711-0.110211))+0-225.8-0.115157999999977</f>
        <v>1661.6470079999999</v>
      </c>
      <c r="G146" s="3">
        <f>1835+(250.4-224.1)+(-1.8717+(-0.255408--0.228582))+0-225.2--0.229704000000036</f>
        <v>1634.431178</v>
      </c>
      <c r="H146" s="3">
        <f>1837+(223.5-212.8)+(-0.93687+(-0.113985--0.108528))+0-225.6--0.115055999999977</f>
        <v>1621.272729</v>
      </c>
      <c r="I146" s="3">
        <f>1837.2+(206.9-210.9)+(0+(0-0))+0-223.4-0</f>
        <v>1609.8</v>
      </c>
      <c r="J146" s="3">
        <f>1839.8+(185.2-213.6)+(-0.938298+(-0.094452--0.108936))+0-222.3--0.113372999999977</f>
        <v>1588.2895589999998</v>
      </c>
      <c r="K146" s="3">
        <f>1720.9+(201.9-172.3)+(-1.755318+(-0.205938--0.175746))+0-221.9--0.226338000000035</f>
        <v>1527.0408279999999</v>
      </c>
      <c r="L146" s="3">
        <f>1695.1+(99.7-158.3)+(-3.458004+(-0.203388--0.322932))+0-221.4--0.45165599999999</f>
        <v>1412.2131959999999</v>
      </c>
      <c r="M146" s="3">
        <f>1691.9+(89.8-192.8)+(-0.862869+(-0.045798--0.098328))+0-220.2--0.112301999999978</f>
        <v>1368.0019629999999</v>
      </c>
      <c r="N146" s="3">
        <f>1683.3+(65.7-191.1)+(-2.575449+(-0.100521--0.292383))+0-220.7--0.337671000000013</f>
        <v>1335.1540839999998</v>
      </c>
      <c r="O146" s="3">
        <f>1674.9+(62.3-194.5)+(0.854199+(0.031773-0.099195))+0-220.9-0.112658999999978</f>
        <v>1322.4741180000001</v>
      </c>
      <c r="P146" s="3">
        <f>1786.3+(40.6-248.3)+(-1.822026+(-0.041412--0.253266))+0-221.6--0.226032000000035</f>
        <v>1355.6158600000001</v>
      </c>
      <c r="Q146" s="3">
        <f>1802.9+(91-246.2)+(0+(0-0))+0-203.7-0</f>
        <v>1444</v>
      </c>
      <c r="R146" s="3">
        <f>1795.3+(203.5-240.8)+(0.915603+(0.103785-0.122808))+0-217.1-0.110720999999978</f>
        <v>1541.6858590000002</v>
      </c>
      <c r="S146" s="3">
        <f>1789.9+(308.9-241.2)+(0+(0-0))+0-222.4-0</f>
        <v>1635.2</v>
      </c>
      <c r="T146" s="3">
        <f>1788.8+(360-225.9)+(0.912288+(0.1836-0.115209))+0-220.5-0.112454999999978</f>
        <v>1703.2682239999999</v>
      </c>
      <c r="U146" s="3">
        <f>1792.2+(365.6-229.6)+(0+(0-0))+0-220.8-0</f>
        <v>1707.4</v>
      </c>
      <c r="V146" s="3">
        <f>1798.6+(280.7-225.2)+(-2.751858+(-0.429471--0.344556))+0-219.7--0.336141000000013</f>
        <v>1631.8993679999999</v>
      </c>
      <c r="W146" s="3">
        <f>1797.7+(137.2-249.6)+(-2.750481+(-0.209916--0.381888))+0-220.5--0.337365000000013</f>
        <v>1462.5588560000001</v>
      </c>
      <c r="X146" s="3">
        <f>1805.1+(35.3-337.6)+(-3.682404+(-0.072012--0.688704))+0-220.6--0.45002399999999</f>
        <v>1279.584312</v>
      </c>
      <c r="Y146" s="3">
        <f>1813.4+(15.9-279.6)+(-1.849668+(-0.016218--0.285192))+0-221--0.225420000000035</f>
        <v>1327.344726</v>
      </c>
      <c r="Z146" s="3">
        <f>1821+(197.5-234)+(-0.92871+(-0.100725--0.11934))+0-220.3--0.112352999999978</f>
        <v>1563.4022580000001</v>
      </c>
      <c r="AA146" s="3">
        <f>1834.9+(239.9-245.3)+(-4.678995+(-0.611745--0.625515))+0-219.8--0.560489999999968</f>
        <v>1605.5952650000002</v>
      </c>
      <c r="AB146" s="3">
        <f>1840.1+(258.3-241.7)+(-1.876902+(-0.263466--0.246534))+0-220.5--0.224910000000035</f>
        <v>1634.531076</v>
      </c>
      <c r="AC146" s="3">
        <f>1841.1+(285-233.1)+(0.938961+(0.14535-0.118881))+0-220.4-0.112403999999978</f>
        <v>1673.4530259999999</v>
      </c>
      <c r="AD146">
        <f t="shared" si="2"/>
        <v>36645.863493000004</v>
      </c>
      <c r="AE146" s="3">
        <f>1825+(226.2-247.9)+(0+(0-0))+0-222.9-0</f>
        <v>1580.3999999999999</v>
      </c>
    </row>
    <row r="147" spans="1:31" s="2" customFormat="1" x14ac:dyDescent="0.25">
      <c r="A147">
        <v>89</v>
      </c>
      <c r="B147">
        <v>5</v>
      </c>
      <c r="C147">
        <v>23</v>
      </c>
      <c r="D147">
        <v>1</v>
      </c>
      <c r="E147">
        <v>1</v>
      </c>
      <c r="F147" s="3">
        <f>1844.7+(263.8-261)+(-3.763188+(-0.538152--0.53244))+0-220.7--0.45022799999999</f>
        <v>1623.4813279999998</v>
      </c>
      <c r="G147" s="3">
        <f>1848.5+(227.7-250)+(0.942735+(0.116127-0.1275))+0-221.6-0.113015999999978</f>
        <v>1605.4183460000002</v>
      </c>
      <c r="H147" s="3">
        <f>1848.5+(194.3-242)+(-1.88547+(-0.198186--0.24684))+0-221.1--0.225522000000035</f>
        <v>1578.088706</v>
      </c>
      <c r="I147" s="3">
        <f>1852.2+(172.6-238)+(-3.778488+(-0.352104--0.48552))+0-222.2--0.45328799999999</f>
        <v>1561.4082159999998</v>
      </c>
      <c r="J147" s="3">
        <f>1855.5+(153.9-234)+(-0.946305+(-0.078489--0.11934))+0-223--0.113729999999977</f>
        <v>1551.6082760000002</v>
      </c>
      <c r="K147" s="3">
        <f>1858.3+(128.8-300.6)+(-1.895466+(-0.131376--0.306612))+0-221.4--0.225828000000035</f>
        <v>1463.6055980000001</v>
      </c>
      <c r="L147" s="3">
        <f>1857+(58.4-304.3)+(-1.89414+(-0.059568--0.310386))+0-221.2--0.225624000000035</f>
        <v>1388.4823019999999</v>
      </c>
      <c r="M147" s="3">
        <f>1855.2+(58.9-389.5)+(-0.946152+(-0.030039--0.198645))+0-221.4--0.112913999999978</f>
        <v>1302.5353679999998</v>
      </c>
      <c r="N147" s="3">
        <f>1843.5+(24.1-374.2)+(0.940185+(0.012291-0.190842))+0-223.1-0.113780999999977</f>
        <v>1270.9478530000001</v>
      </c>
      <c r="O147" s="3">
        <f>1832.7+(6.7-301.5)+(-2.804031+(-0.010251--0.461295))+0-223.3--0.341649000000013</f>
        <v>1312.5886620000001</v>
      </c>
      <c r="P147" s="3">
        <f>1838.1+(36.6-289.2)+(0.937431+(0.018666-0.147492))+0-223.4-0.113933999999977</f>
        <v>1362.7946709999999</v>
      </c>
      <c r="Q147" s="3">
        <f>1827.8+(98.1-258.7)+(2.796534+(0.150093-0.395811))+0-225-0.344250000000013</f>
        <v>1444.4065659999999</v>
      </c>
      <c r="R147" s="3">
        <f>1825.5+(251.6-213)+(0.931005+(0.128316-0.10863))+0-222.7-0.113576999999977</f>
        <v>1642.2371139999998</v>
      </c>
      <c r="S147" s="3">
        <f>1816.4+(358.9-206.4)+(0.926364+(0.183039-0.105264))+0-221.1-0.112760999999978</f>
        <v>1748.691378</v>
      </c>
      <c r="T147" s="3">
        <f>1823.8+(385.4-188)+(0.930138+(0.196554-0.09588))+0-220.9-0.112658999999978</f>
        <v>1801.2181529999998</v>
      </c>
      <c r="U147" s="3">
        <f>1821.6+(315.7-181.4)+(-0.929016+(-0.161007--0.092514))+0-164.7--0.0839969999999833</f>
        <v>1790.2864879999997</v>
      </c>
      <c r="V147" s="3">
        <f>1818.9+(281.5-177)+(0+(0-0))+0-221.4-0</f>
        <v>1702</v>
      </c>
      <c r="W147" s="3">
        <f>1821.9+(124.1-195.4)+(-4.645845+(-0.316455--0.49827))+0-221--0.563549999999968</f>
        <v>1525.6995200000001</v>
      </c>
      <c r="X147" s="3">
        <f>1824.2+(35.2-290.3)+(-1.860684+(-0.035904--0.296106))+0-221.8--0.226236000000035</f>
        <v>1345.9257539999999</v>
      </c>
      <c r="Y147" s="3">
        <f>1832.1+(70.2-268.3)+(-1.868742+(-0.071604--0.273666))+0-223--0.227460000000036</f>
        <v>1409.56078</v>
      </c>
      <c r="Z147" s="3">
        <f>1840+(179.4-174.1)+(-0.9384+(-0.091494--0.088791))+0-223.7--0.114086999999977</f>
        <v>1620.7729839999997</v>
      </c>
      <c r="AA147" s="3">
        <f>1848.6+(221.6-174.7)+(-3.771144+(-0.452064--0.356388))+0-223.6--0.45614399999999</f>
        <v>1668.4893240000001</v>
      </c>
      <c r="AB147" s="3">
        <f>1851+(254.1-182.7)+(-1.88802+(-0.259182--0.186354))+0-222.1--0.226542000000035</f>
        <v>1698.5656940000003</v>
      </c>
      <c r="AC147" s="3">
        <f>1846.6+(272.2-176.5)+(-1.883532+(-0.277644--0.18003))+0-224.2--0.228684000000036</f>
        <v>1716.3475379999998</v>
      </c>
      <c r="AD147">
        <f t="shared" si="2"/>
        <v>37135.160619000002</v>
      </c>
      <c r="AE147" s="3">
        <f>1856+(221.9-197)+(0+(0-0))+0-229-0</f>
        <v>1651.9</v>
      </c>
    </row>
    <row r="148" spans="1:31" s="2" customFormat="1" x14ac:dyDescent="0.25">
      <c r="A148">
        <v>89</v>
      </c>
      <c r="B148">
        <v>5</v>
      </c>
      <c r="C148">
        <v>24</v>
      </c>
      <c r="D148">
        <v>2</v>
      </c>
      <c r="E148">
        <v>1</v>
      </c>
      <c r="F148" s="3">
        <f>1834.2+(271.6-240)+(-2.806326+(-0.415548--0.3672))+0-223.9--0.342567000000013</f>
        <v>1639.3878930000001</v>
      </c>
      <c r="G148" s="3">
        <f>1814.9+(240.6-221)+(-0.925599+(-0.122706--0.11271))+0-225.1--0.114800999999977</f>
        <v>1608.5792060000001</v>
      </c>
      <c r="H148" s="3">
        <f>1807.9+(213.3-212.6)+(0.922029+(0.108783-0.108426))+0-226-0.115259999999977</f>
        <v>1583.4071260000001</v>
      </c>
      <c r="I148" s="3">
        <f>1816.5+(187-213.9)+(-3.70566+(-0.38148--0.436356))+0-228--0.46511999999999</f>
        <v>1558.414336</v>
      </c>
      <c r="J148" s="3">
        <f>1811.2+(179.6-198.7)+(0.923712+(0.091596-0.101337))+0-227.2-0.115871999999977</f>
        <v>1565.698099</v>
      </c>
      <c r="K148" s="3">
        <f>1815.5+(100.7-205.3)+(-2.777715+(-0.154071--0.314109))+0-224--0.342720000000013</f>
        <v>1484.6250430000002</v>
      </c>
      <c r="L148" s="3">
        <f>1819.9+(8.2-198.2)+(-3.712596+(-0.016728--0.404328))+0-223.5--0.45593999999999</f>
        <v>1403.5309440000001</v>
      </c>
      <c r="M148" s="3">
        <f>1820+(12.6-255.1)+(-1.8564+(-0.012852--0.260202))+0-221.7--0.226134000000035</f>
        <v>1354.4170839999999</v>
      </c>
      <c r="N148" s="3">
        <f>1805+(31.3-298.6)+(1.8411+(0.031926-0.304572))+0-221.9-0.226338000000035</f>
        <v>1317.142116</v>
      </c>
      <c r="O148" s="3">
        <f>1788+(78.4-320)+(-3.64752+(-0.159936--0.6528))+0-224.9--0.45879599999999</f>
        <v>1318.80414</v>
      </c>
      <c r="P148" s="3">
        <f>1788.8+(107-322.8)+(2.736864+(0.16371-0.493884))+0-231.8-0.354654000000013</f>
        <v>1343.2520360000001</v>
      </c>
      <c r="Q148" s="3">
        <f>1783.7+(142.3-245)+(-1.819374+(-0.145146--0.2499))+0-222.5--0.226950000000035</f>
        <v>1457.01233</v>
      </c>
      <c r="R148" s="3">
        <f>1785.3+(247-242.7)+(0+(0-0))+0-221.1-0</f>
        <v>1568.5</v>
      </c>
      <c r="S148" s="3">
        <f>1783+(362.8-238.9)+(-1.81866+(-0.370056--0.243678))+0-221.3--0.225726000000035</f>
        <v>1683.8806880000002</v>
      </c>
      <c r="T148" s="3">
        <f>1778.4+(402.6-232.4)+(0.906984+(0.205326-0.118524))+0-221.4-0.112913999999978</f>
        <v>1728.080872</v>
      </c>
      <c r="U148" s="3">
        <f>1771.9+(405.5-230.7)+(-0.903669+(-0.206805--0.117657))+0-220.9--0.112658999999978</f>
        <v>1724.9198419999998</v>
      </c>
      <c r="V148" s="3">
        <f>1771.6+(323.8-231.4)+(-1.807032+(-0.330276--0.236028))+0-221.1--0.225522000000035</f>
        <v>1641.224242</v>
      </c>
      <c r="W148" s="3">
        <f>1769.4+(131.4-227.7)+(0+(0-0))+0-221.4-0</f>
        <v>1451.7</v>
      </c>
      <c r="X148" s="3">
        <f>1779.7+(41.5-340.5)+(-1.815294+(-0.04233--0.34731))+0-221.5--0.225930000000035</f>
        <v>1257.915616</v>
      </c>
      <c r="Y148" s="3">
        <f>1794.7+(60.1-320)+(0+(0-0))+0-222-0</f>
        <v>1312.8000000000002</v>
      </c>
      <c r="Z148" s="3">
        <f>1807.2+(192.5-248.5)+(-1.843344+(-0.19635--0.25347))+0-221.9--0.226338000000035</f>
        <v>1527.7401139999999</v>
      </c>
      <c r="AA148" s="3">
        <f>1798.7+(240.3-240)+(-1.834674+(-0.245106--0.2448))+0-221.9--0.226338000000035</f>
        <v>1575.4913579999998</v>
      </c>
      <c r="AB148" s="3">
        <f>1755.2+(308.2-240)+(-1.790304+(-0.314364--0.2448))+0-221.2--0.225624000000035</f>
        <v>1600.565756</v>
      </c>
      <c r="AC148" s="3">
        <f>1632.5+(435.1-217.4)+(-1.66515+(-0.443802--0.221748))+0-223.8--0.228276000000036</f>
        <v>1624.741072</v>
      </c>
      <c r="AD148">
        <f t="shared" si="2"/>
        <v>36331.829913000001</v>
      </c>
      <c r="AE148" s="3">
        <f>1813+(233.8-244.5)+(0+(0-0))+0-227.6-0</f>
        <v>1574.7</v>
      </c>
    </row>
    <row r="149" spans="1:31" s="2" customFormat="1" x14ac:dyDescent="0.25">
      <c r="A149">
        <v>89</v>
      </c>
      <c r="B149">
        <v>5</v>
      </c>
      <c r="C149">
        <v>25</v>
      </c>
      <c r="D149">
        <v>3</v>
      </c>
      <c r="E149">
        <v>1</v>
      </c>
      <c r="F149" s="3">
        <f>1595.9+(425.5-175.2)+(-5.697363+(-1.519035--0.625464))+0-224.3--0.800751000000003</f>
        <v>1616.109817</v>
      </c>
      <c r="G149" s="3">
        <f>1589.8+(388.4-156.5)+(-4.05399+(-0.99042--0.399075))+0-224.6--0.572729999999967</f>
        <v>1593.0273949999998</v>
      </c>
      <c r="H149" s="3">
        <f>1597+(340.9-141.9)+(-0.81447+(-0.173859--0.072369))+0-225.7--0.115106999999977</f>
        <v>1569.499147</v>
      </c>
      <c r="I149" s="3">
        <f>1598.8+(302.7-138.7)+(0.815388+(0.154377-0.070737))+0-225.5-0.115004999999977</f>
        <v>1538.0840230000001</v>
      </c>
      <c r="J149" s="3">
        <f>1595.9+(264.1-131.6)+(0.813909+(0.134691-0.067116))+0-225.4-0.114953999999977</f>
        <v>1503.7665300000001</v>
      </c>
      <c r="K149" s="3">
        <f>1466.3+(303.3-98.9)+(-2.991252+(-0.618732--0.201756))+0-224.8--0.45859199999999</f>
        <v>1442.950364</v>
      </c>
      <c r="L149" s="3">
        <f>1428.6+(215.1-86)+(-2.914344+(-0.438804--0.17544))+0-224.1--0.45716399999999</f>
        <v>1330.8794559999999</v>
      </c>
      <c r="M149" s="3">
        <f>1410.4+(162.3-88.7)+(0+(0-0))+0-221.9-0</f>
        <v>1262.0999999999999</v>
      </c>
      <c r="N149" s="3">
        <f>1391.1+(206.4-99.5)+(0+(0-0))+0-223.7-0</f>
        <v>1274.3</v>
      </c>
      <c r="O149" s="3">
        <f>1383.9+(239.5-132.7)+(0+(0-0))+0-221.2-0</f>
        <v>1269.5</v>
      </c>
      <c r="P149" s="3">
        <f>1381.4+(292.9-155.1)+(2.113542+(0.448137-0.237303))+0-221.6-0.339048000000013</f>
        <v>1299.5853280000001</v>
      </c>
      <c r="Q149" s="3">
        <f>1390.3+(406.5-172.6)+(1.418106+(0.41463-0.176052))+0-222.1-0.226542000000035</f>
        <v>1403.5301420000001</v>
      </c>
      <c r="R149" s="3">
        <f>1377.2+(544.1-193.2)+(2.809488+(1.109964-0.394128))+0-221.3-0.45145199999999</f>
        <v>1509.8738720000001</v>
      </c>
      <c r="S149" s="3">
        <f>1377+(662.8-197.4)+(-1.40454+(-0.676056--0.201348))+0-222.6--0.227052000000035</f>
        <v>1618.1478040000002</v>
      </c>
      <c r="T149" s="3">
        <f>1435.2+(690.7-198.3)+(1.463904+(0.704514-0.202266))+0-223.5-0.227970000000036</f>
        <v>1705.838182</v>
      </c>
      <c r="U149" s="3">
        <f>1498.8+(636.4-203.8)+(1.528776+(0.649128-0.207876))+0-221.2-0.225624000000035</f>
        <v>1711.9444039999998</v>
      </c>
      <c r="V149" s="3">
        <f>1536.4+(517.6-203.2)+(-3.134256+(-1.055904--0.414528))+0-220.5--0.44981999999999</f>
        <v>1626.9741880000001</v>
      </c>
      <c r="W149" s="3">
        <f>1526.9+(302.9-181.9)+(-1.557438+(-0.308958--0.185538))+0-220.4--0.224808000000035</f>
        <v>1426.04395</v>
      </c>
      <c r="X149" s="3">
        <f>1536.1+(123.3-202.6)+(-1.566822+(-0.125766--0.206652))+0-220.4--0.224808000000035</f>
        <v>1235.1388719999998</v>
      </c>
      <c r="Y149" s="3">
        <f>1564.2+(162-215.3)+(0.797742+(0.08262-0.109803))+0-221.2-0.112811999999978</f>
        <v>1290.357747</v>
      </c>
      <c r="Z149" s="3">
        <f>1530.1+(399.1-203.5)+(-0.780351+(-0.203541--0.103785))+0-221.7--0.113066999999978</f>
        <v>1503.2329599999998</v>
      </c>
      <c r="AA149" s="3">
        <f>1534.7+(438.5-209.3)+(0+(0-0))+0-221.2-0</f>
        <v>1542.7</v>
      </c>
      <c r="AB149" s="3">
        <f>1535.7+(452.5-204.8)+(-1.566414+(-0.46155--0.208896))+0-221.1--0.225522000000035</f>
        <v>1560.7064540000001</v>
      </c>
      <c r="AC149" s="3">
        <f>1538.6+(483.6-201.9)+(-1.569372+(-0.493272--0.205938))+0-223.1--0.227562000000036</f>
        <v>1595.570856</v>
      </c>
      <c r="AD149">
        <f t="shared" si="2"/>
        <v>35429.861491000003</v>
      </c>
      <c r="AE149" s="3">
        <f>1528+(436.3-208.3)+(0+(0-0))+0-219.9-0</f>
        <v>1536.1</v>
      </c>
    </row>
    <row r="150" spans="1:31" s="2" customFormat="1" x14ac:dyDescent="0.25">
      <c r="A150">
        <v>89</v>
      </c>
      <c r="B150">
        <v>5</v>
      </c>
      <c r="C150">
        <v>26</v>
      </c>
      <c r="D150">
        <v>4</v>
      </c>
      <c r="E150">
        <v>1</v>
      </c>
      <c r="F150" s="3">
        <f>1521+(478.6-181.9)+(-3.10284+(-0.976344--0.371076))+0-224--0.45695999999999</f>
        <v>1590.448852</v>
      </c>
      <c r="G150" s="3">
        <f>1516.7+(442.4-165.4)+(-1.547034+(-0.451248--0.168708))+0-223.7--0.228174000000036</f>
        <v>1568.3986</v>
      </c>
      <c r="H150" s="3">
        <f>1524.7+(396.3-153.8)+(-0.777597+(-0.202113--0.078438))+0-224.3--0.114392999999977</f>
        <v>1542.1131210000001</v>
      </c>
      <c r="I150" s="3">
        <f>1528.9+(361.3-148.5)+(-3.118956+(-0.737052--0.30294))+0-224.5--0.45797999999999</f>
        <v>1514.104912</v>
      </c>
      <c r="J150" s="3">
        <f>1526.4+(321.9-136.1)+(1.556928+(0.328338-0.138822))+0-224.8-0.229296000000036</f>
        <v>1488.9171480000002</v>
      </c>
      <c r="K150" s="3">
        <f>1535.1+(234.8-112.1)+(-1.565802+(-0.239496--0.114342))+0-224.5--0.228990000000036</f>
        <v>1431.8380340000001</v>
      </c>
      <c r="L150" s="3">
        <f>1543.5+(120.8-127.5)+(-3.14874+(-0.246432--0.2601))+0-222.8--0.45451199999999</f>
        <v>1311.31944</v>
      </c>
      <c r="M150" s="3">
        <f>1534.4+(114-177)+(0.782544+(0.05814-0.09027))+0-223-0.113729999999977</f>
        <v>1249.0366840000002</v>
      </c>
      <c r="N150" s="3">
        <f>1517.9+(134.4-189.2)+(0+(0-0))+0-223.5-0</f>
        <v>1239.6000000000001</v>
      </c>
      <c r="O150" s="3">
        <f>1502.1+(149.3-160.3)+(0+(0-0))+0-224-0</f>
        <v>1267.0999999999999</v>
      </c>
      <c r="P150" s="3">
        <f>1486.9+(216.9-180.2)+(1.516638+(0.221238-0.183804))+0-224.4-0.228888000000036</f>
        <v>1300.5251839999999</v>
      </c>
      <c r="Q150" s="3">
        <f>1498.5+(322.1-197.9)+(1.52847+(0.328542-0.201858))+0-223.2-0.227664000000036</f>
        <v>1400.92749</v>
      </c>
      <c r="R150" s="3">
        <f>1501.5+(450.8-189.5)+(0+(0-0))+0-221.6-0</f>
        <v>1541.2</v>
      </c>
      <c r="S150" s="3">
        <f>1494.1+(591.2-195.6)+(0+(0-0))+0-221.3-0</f>
        <v>1668.3999999999999</v>
      </c>
      <c r="T150" s="3">
        <f>1485.2+(640.8-189.2)+(0+(0-0))+0-218.1-0</f>
        <v>1718.7</v>
      </c>
      <c r="U150" s="3">
        <f>1506+(613.7-186.6)+(-0.76806+(-0.312987--0.095166))+0-221.1--0.112760999999978</f>
        <v>1711.12688</v>
      </c>
      <c r="V150" s="3">
        <f>1677.6+(378.4-202.9)+(-0.855576+(-0.192984--0.103479))+0-220.8--0.112607999999978</f>
        <v>1631.4675269999998</v>
      </c>
      <c r="W150" s="3">
        <f>1707.5+(162.9-201.5)+(-3.4833+(-0.332316--0.41106))+0-221--0.45083999999999</f>
        <v>1444.9462840000001</v>
      </c>
      <c r="X150" s="3">
        <f>1705.2+(92.6-311.5)+(-2.608956+(-0.141678--0.476595))+0-221.5--0.338895000000013</f>
        <v>1262.8648560000001</v>
      </c>
      <c r="Y150" s="3">
        <f>1711.7+(132.2-325.2)+(0.872967+(0.067422-0.165852))+0-222-0.113219999999977</f>
        <v>1297.3613170000001</v>
      </c>
      <c r="Z150" s="3">
        <f>1733.8+(220.6-213.2)+(-0.884238+(-0.112506--0.108732))+0-221.9--0.113168999999977</f>
        <v>1518.525157</v>
      </c>
      <c r="AA150" s="3">
        <f>1742.1+(261.4-216.7)+(-2.665413+(-0.399942--0.331551))+0-221.2--0.338436000000013</f>
        <v>1563.2046319999999</v>
      </c>
      <c r="AB150" s="3">
        <f>1729.4+(285.3-215.7)+(0.881994+(0.145503-0.110007))+0-223.8-0.114137999999977</f>
        <v>1576.0033520000002</v>
      </c>
      <c r="AC150" s="3">
        <f>1603.8+(423.6-197.7)+(0+(0-0))+0-224.5-0</f>
        <v>1605.2</v>
      </c>
      <c r="AD150">
        <f t="shared" si="2"/>
        <v>35443.329470000004</v>
      </c>
      <c r="AE150" s="3">
        <f>1753+(254.5-233.6)+(0+(0-0))+0-221.1-0</f>
        <v>1552.8000000000002</v>
      </c>
    </row>
    <row r="151" spans="1:31" s="2" customFormat="1" x14ac:dyDescent="0.25">
      <c r="A151">
        <v>89</v>
      </c>
      <c r="B151">
        <v>5</v>
      </c>
      <c r="C151">
        <v>27</v>
      </c>
      <c r="D151">
        <v>5</v>
      </c>
      <c r="E151">
        <v>1</v>
      </c>
      <c r="F151" s="3">
        <f>1589.1+(421-172.8)+(-2.431323+(-0.64413--0.264384))+0-227.3--0.347769000000013</f>
        <v>1607.5366999999999</v>
      </c>
      <c r="G151" s="3">
        <f>1583.3+(381.6-154.1)+(-0.807483+(-0.194616--0.078591))+0-226.2--0.115361999999977</f>
        <v>1583.7918539999998</v>
      </c>
      <c r="H151" s="3">
        <f>1590.9+(336.6-144.5)+(-0.811359+(-0.171666--0.073695))+0-226.2--0.115361999999977</f>
        <v>1556.006032</v>
      </c>
      <c r="I151" s="3">
        <f>1594.4+(306.6-140)+(0+(0-0))+0-224.4-0</f>
        <v>1536.6</v>
      </c>
      <c r="J151" s="3">
        <f>1586.7+(250.6-133.6)+(-2.427651+(-0.383418--0.204408))+0-224.1--0.342873000000013</f>
        <v>1477.3362120000002</v>
      </c>
      <c r="K151" s="3">
        <f>1604.6+(171.2-112)+(-2.455038+(-0.261936--0.17136))+0-223.5--0.341955000000013</f>
        <v>1438.0963410000002</v>
      </c>
      <c r="L151" s="3">
        <f>1605.5+(45.9-134.6)+(-1.63761+(-0.046818--0.137292))+0-223.4--0.227868000000036</f>
        <v>1292.0807319999999</v>
      </c>
      <c r="M151" s="3">
        <f>1597.8+(14.3-178.3)+(0.814878+(0.007293-0.090933))+0-221.9-0.113168999999977</f>
        <v>1212.518069</v>
      </c>
      <c r="N151" s="3">
        <f>1579.6+(73.4-214.5)+(-1.611192+(-0.074868--0.21879))+0-222.9--0.227358000000036</f>
        <v>1214.3600879999999</v>
      </c>
      <c r="O151" s="3">
        <f>1559.9+(110.6-211.1)+(0+(0-0))+0-223-0</f>
        <v>1236.4000000000001</v>
      </c>
      <c r="P151" s="3">
        <f>1553+(161.3-214.6)+(1.58406+(0.164526-0.218892))+0-223-0.227460000000036</f>
        <v>1278.002234</v>
      </c>
      <c r="Q151" s="3">
        <f>1542.4+(272.1-202.9)+(0+(0-0))+0-222.6-0</f>
        <v>1389.0000000000002</v>
      </c>
      <c r="R151" s="3">
        <f>1546.4+(379.1-201.8)+(0.788664+(0.193341-0.102918))+0-222-0.113219999999977</f>
        <v>1502.4658670000001</v>
      </c>
      <c r="S151" s="3">
        <f>1542.6+(504-199.2)+(0+(0-0))+0-221.4-0</f>
        <v>1625.9999999999998</v>
      </c>
      <c r="T151" s="3">
        <f>1537.6+(575.1-190.2)+(0.784176+(0.293301-0.097002))+0-221.6-0.113015999999978</f>
        <v>1701.7674590000001</v>
      </c>
      <c r="U151" s="3">
        <f>1545.3+(562.2-191.2)+(0+(0-0))+0-221.6-0</f>
        <v>1694.7</v>
      </c>
      <c r="V151" s="3">
        <f>1544+(452.8-160.9)+(-0.78744+(-0.230928--0.082059))+0-222.1--0.113270999999977</f>
        <v>1612.9769620000002</v>
      </c>
      <c r="W151" s="3">
        <f>1545.9+(259.4-163.6)+(-1.576818+(-0.264588--0.166872))+0-222.5--0.226950000000035</f>
        <v>1417.752416</v>
      </c>
      <c r="X151" s="3">
        <f>1554.7+(120.5-219.1)+(-0.792897+(-0.061455--0.111741))+0-222.3--0.113372999999977</f>
        <v>1233.1707620000002</v>
      </c>
      <c r="Y151" s="3">
        <f>1541.7+(155.7-234.2)+(0+(0-0))+0-223.2-0</f>
        <v>1240</v>
      </c>
      <c r="Z151" s="3">
        <f>1571.7+(336.2-204.8)+(0+(0-0))+0-222.2-0</f>
        <v>1480.8999999999999</v>
      </c>
      <c r="AA151" s="3">
        <f>1598.3+(376.5-210.4)+(-2.445399+(-0.576045--0.321912))+0-222.6--0.340578000000013</f>
        <v>1539.4410459999999</v>
      </c>
      <c r="AB151" s="3">
        <f>1598+(395.4-205.6)+(-0.81498+(-0.201654--0.104856))+0-222.1--0.113270999999977</f>
        <v>1564.9014930000001</v>
      </c>
      <c r="AC151" s="3">
        <f>1584.9+(419.1-201.3)+(-1.616598+(-0.427482--0.205326))+0-224.2--0.228684000000036</f>
        <v>1576.8899299999998</v>
      </c>
      <c r="AD151">
        <f t="shared" si="2"/>
        <v>35012.694196999997</v>
      </c>
      <c r="AE151" s="3">
        <f>1596+(373.7-218.6)+(0+(0-0))+0-233.6-0</f>
        <v>1517.5</v>
      </c>
    </row>
    <row r="152" spans="1:31" s="2" customFormat="1" x14ac:dyDescent="0.25">
      <c r="A152">
        <v>89</v>
      </c>
      <c r="B152">
        <v>5</v>
      </c>
      <c r="C152">
        <v>28</v>
      </c>
      <c r="D152">
        <v>6</v>
      </c>
      <c r="E152">
        <v>1</v>
      </c>
      <c r="F152" s="3">
        <f>1582.8+(405.9-187.3)+(-1.614456+(-0.414018--0.191046))+0-228.3--0.232866000000036</f>
        <v>1571.4954379999999</v>
      </c>
      <c r="G152" s="3">
        <f>1590.2+(372.3-172.7)+(-2.433006+(-0.569619--0.264231))+0-225.1--0.344403000000013</f>
        <v>1562.3060090000004</v>
      </c>
      <c r="H152" s="3">
        <f>1595.1+(346.6-175.4)+(0.813501+(0.176766-0.089454))+0-225.2-0.114851999999977</f>
        <v>1541.885961</v>
      </c>
      <c r="I152" s="3">
        <f>1595.8+(317.2-172.4)+(0+(0-0))+0-224.8-0</f>
        <v>1515.8</v>
      </c>
      <c r="J152" s="3">
        <f>1599.4+(280-168.7)+(0+(0-0))+0-224.8-0</f>
        <v>1485.9</v>
      </c>
      <c r="K152" s="3">
        <f>1602.2+(222.1-157.2)+(-3.268488+(-0.453084--0.320688))+0-225--0.45899999999999</f>
        <v>1439.1581160000003</v>
      </c>
      <c r="L152" s="3">
        <f>1604.4+(115-173.3)+(-3.272976+(-0.2346--0.353532))+0-224.5--0.45797999999999</f>
        <v>1318.9039359999999</v>
      </c>
      <c r="M152" s="3">
        <f>1602.4+(85.2-214.9)+(-1.634448+(-0.086904--0.219198))+0-226--0.230520000000036</f>
        <v>1245.4283660000001</v>
      </c>
      <c r="N152" s="3">
        <f>1594.1+(95.1-213)+(-0.812991+(-0.048501--0.10863))+0-226.1--0.115310999999977</f>
        <v>1249.4624489999999</v>
      </c>
      <c r="O152" s="3">
        <f>1583.9+(140.9-222.8)+(1.615578+(0.143718-0.227256))+0-225.2-0.229704000000036</f>
        <v>1278.1023359999999</v>
      </c>
      <c r="P152" s="3">
        <f>1573.3+(184.7-229.8)+(1.604766+(0.188394-0.234396))+0-224-0.228480000000036</f>
        <v>1305.5302839999999</v>
      </c>
      <c r="Q152" s="3">
        <f>1580.8+(251.7-220.2)+(0+(0-0))+0-223.3-0</f>
        <v>1389</v>
      </c>
      <c r="R152" s="3">
        <f>1571.2+(390.5-200.3)+(0+(0-0))+0-221.3-0</f>
        <v>1540.1000000000001</v>
      </c>
      <c r="S152" s="3">
        <f>1572.4+(504.2-202)+(-0.801924+(-0.257142--0.10302))+0-222.5--0.113474999999977</f>
        <v>1651.257429</v>
      </c>
      <c r="T152" s="3">
        <f>1568.6+(550.7-188)+(0.799986+(0.280857-0.09588))+0-220.9-0.112658999999978</f>
        <v>1711.2723040000001</v>
      </c>
      <c r="U152" s="3">
        <f>1565.5+(553.5-201)+(1.59681+(0.56457-0.20502))+0-221-0.225420000000035</f>
        <v>1698.7309399999999</v>
      </c>
      <c r="V152" s="3">
        <f>1567.3+(474.5-192.1)+(-0.799323+(-0.241995--0.097971))+0-220.7--0.112556999999978</f>
        <v>1628.1692099999998</v>
      </c>
      <c r="W152" s="3">
        <f>1572.3+(268.6-180.9)+(-2.405619+(-0.410958--0.276777))+0-221.9--0.339507000000013</f>
        <v>1435.8997069999998</v>
      </c>
      <c r="X152" s="3">
        <f>1585.4+(128.7-227.8)+(-2.425662+(-0.196911--0.348534))+0-221.9--0.339507000000013</f>
        <v>1262.4654680000001</v>
      </c>
      <c r="Y152" s="3">
        <f>1593.8+(172.4-232)+(-0.812838+(-0.087924--0.11832))+0-221.9--0.113168999999977</f>
        <v>1311.630727</v>
      </c>
      <c r="Z152" s="3">
        <f>1729.5+(232-230.8)+(0.882045+(0.11832-0.117708))+0-222.1-0.113270999999977</f>
        <v>1509.3693860000003</v>
      </c>
      <c r="AA152" s="3">
        <f>1699.6+(308.2-232.4)+(-2.600388+(-0.471546--0.355572))+0-221.2--0.338436000000013</f>
        <v>1551.8220739999999</v>
      </c>
      <c r="AB152" s="3">
        <f>1609.3+(395.9-214.7)+(-1.641486+(-0.403818--0.218994))+0-221.8--0.226236000000035</f>
        <v>1567.0999260000001</v>
      </c>
      <c r="AC152" s="3">
        <f>1596.4+(428.9-205.9)+(0+(0-0))+0-223.2-0</f>
        <v>1596.2</v>
      </c>
      <c r="AD152">
        <f t="shared" si="2"/>
        <v>35366.990065999998</v>
      </c>
      <c r="AE152" s="3">
        <f>1850+(190.9-297)+(0+(0-0))+0-219.9-0</f>
        <v>1524</v>
      </c>
    </row>
    <row r="153" spans="1:31" s="2" customFormat="1" x14ac:dyDescent="0.25">
      <c r="A153">
        <v>89</v>
      </c>
      <c r="B153">
        <v>5</v>
      </c>
      <c r="C153">
        <v>29</v>
      </c>
      <c r="D153">
        <v>7</v>
      </c>
      <c r="E153">
        <v>1</v>
      </c>
      <c r="F153" s="3">
        <f>1658.2+(369.5-222.7)+(-1.691364+(-0.37689--0.227154))+0-223.3--0.227766000000036</f>
        <v>1580.0866659999999</v>
      </c>
      <c r="G153" s="3">
        <f>1816.4+(208.3-218.6)+(1.852728+(0.212466-0.222972))+0-224.5-0.228990000000036</f>
        <v>1583.2132320000001</v>
      </c>
      <c r="H153" s="3">
        <f>1825.6+(201.3-241.4)+(-0.931056+(-0.102663--0.123114))+0-223.8--0.114137999999977</f>
        <v>1560.9035329999999</v>
      </c>
      <c r="I153" s="3">
        <f>1830+(195.6-266.1)+(-4.6665+(-0.49878--0.678555))+0-225.7--0.575534999999967</f>
        <v>1529.8888099999999</v>
      </c>
      <c r="J153" s="3">
        <f>1832.3+(162.3-264.5)+(0.934473+(0.082773-0.134895))+0-222.8-0.113627999999977</f>
        <v>1508.0687229999999</v>
      </c>
      <c r="K153" s="3">
        <f>1724.6+(187-224.8)+(-6.156822+(-0.66759--0.802536))+0-224--0.799680000000003</f>
        <v>1457.577804</v>
      </c>
      <c r="L153" s="3">
        <f>1691.7+(102.2-199.9)+(-3.451068+(-0.208488--0.407796))+0-223.7--0.45634799999999</f>
        <v>1367.5045879999998</v>
      </c>
      <c r="M153" s="3">
        <f>1691.6+(41.6-214.7)+(-0.862716+(-0.021216--0.109497))+0-221.6--0.113015999999978</f>
        <v>1296.2385810000001</v>
      </c>
      <c r="N153" s="3">
        <f>1690.8+(58-242.4)+(-0.862308+(-0.02958--0.123624))+0-221.5--0.112964999999978</f>
        <v>1284.2447009999998</v>
      </c>
      <c r="O153" s="3">
        <f>1687.9+(86-283.6)+(0+(0-0))+0-221.3-0</f>
        <v>1269.0000000000002</v>
      </c>
      <c r="P153" s="3">
        <f>1683.2+(99.9-284.7)+(0.858432+(0.050949-0.145197))+0-222.6-0.113525999999977</f>
        <v>1276.4506580000002</v>
      </c>
      <c r="Q153" s="3">
        <f>1681+(135.2-261.8)+(-1.71462+(-0.137904--0.267036))+0-223.7--0.228174000000036</f>
        <v>1329.3426860000002</v>
      </c>
      <c r="R153" s="3">
        <f>1688.5+(209.7-231.4)+(-0.861135+(-0.106947--0.118014))+0-222.3--0.113372999999977</f>
        <v>1443.7633049999999</v>
      </c>
      <c r="S153" s="3">
        <f>1684+(307.5-230.3)+(0+(0-0))+0-222.3-0</f>
        <v>1538.9</v>
      </c>
      <c r="T153" s="3">
        <f>1672.7+(383.2-217.3)+(0+(0-0))+0-222.7-0</f>
        <v>1615.8999999999999</v>
      </c>
      <c r="U153" s="3">
        <f>1670.1+(388.9-215.4)+(-0.851751+(-0.198339--0.109854))+0-222--0.113219999999977</f>
        <v>1620.772984</v>
      </c>
      <c r="V153" s="3">
        <f>1675.6+(316.7-217.2)+(-2.563668+(-0.484551--0.332316))+0-222.3--0.340119000000013</f>
        <v>1550.4242159999999</v>
      </c>
      <c r="W153" s="3">
        <f>1741.4+(139.9-275.4)+(-0.888114+(-0.071349--0.140454))+0-222.9--0.113678999999977</f>
        <v>1382.29467</v>
      </c>
      <c r="X153" s="3">
        <f>1761.9+(77.1-426)+(-6.289983+(-0.275247--1.52082))+0-224.5--0.801465000000003</f>
        <v>1184.257055</v>
      </c>
      <c r="Y153" s="3">
        <f>1766.3+(127.7-408.8)+(-0.900813+(-0.065127--0.208488))+0-222.9--0.113678999999977</f>
        <v>1261.6562269999997</v>
      </c>
      <c r="Z153" s="3">
        <f>1775+(198.6-292.2)+(0+(0-0))+0-223.8-0</f>
        <v>1457.6000000000001</v>
      </c>
      <c r="AA153" s="3">
        <f>1780.8+(225.6-280.1)+(0+(0-0))+0-222.1-0</f>
        <v>1504.2</v>
      </c>
      <c r="AB153" s="3">
        <f>1780.9+(240.5-268.9)+(-1.816518+(-0.24531--0.274278))+0-222.3--0.226746000000035</f>
        <v>1528.6391960000001</v>
      </c>
      <c r="AC153" s="3">
        <f>1775.2+(253.7-248.4)+(-1.810704+(-0.258774--0.253368))+0-222.6--0.227052000000035</f>
        <v>1556.3109420000001</v>
      </c>
      <c r="AD153">
        <f t="shared" si="2"/>
        <v>34687.238576999996</v>
      </c>
      <c r="AE153" s="3">
        <f>1769+(221.8-306.7)+(0+(0-0))+0-221.7-0</f>
        <v>1462.3999999999999</v>
      </c>
    </row>
    <row r="154" spans="1:31" s="2" customFormat="1" x14ac:dyDescent="0.25">
      <c r="A154">
        <v>89</v>
      </c>
      <c r="B154">
        <v>5</v>
      </c>
      <c r="C154">
        <v>30</v>
      </c>
      <c r="D154">
        <v>1</v>
      </c>
      <c r="E154">
        <v>1</v>
      </c>
      <c r="F154" s="3">
        <f>1765.9+(261.5-227.4)+(-2.701827+(-0.400095--0.347922))+0-222.8--0.340884000000013</f>
        <v>1574.7868840000001</v>
      </c>
      <c r="G154" s="3">
        <f>1764.1+(231.6-210.4)+(-1.799382+(-0.236232--0.214608))+0-221.8--0.226236000000035</f>
        <v>1561.9052300000001</v>
      </c>
      <c r="H154" s="3">
        <f>1763.3+(217.3-211.7)+(-2.697849+(-0.332469--0.323901))+0-222.4--0.340272000000013</f>
        <v>1544.1338549999998</v>
      </c>
      <c r="I154" s="3">
        <f>1766.2+(193.2-218.4)+(-0.900762+(-0.098532--0.111384))+0-222.1--0.113270999999977</f>
        <v>1518.1253610000001</v>
      </c>
      <c r="J154" s="3">
        <f>1770.2+(178.3-206.1)+(-4.51401+(-0.454665--0.525555))+0-223.4--0.569669999999968</f>
        <v>1515.12655</v>
      </c>
      <c r="K154" s="3">
        <f>1773.5+(159.8-228.2)+(-2.713455+(-0.244494--0.349146))+0-222.3--0.340119000000013</f>
        <v>1480.5313159999998</v>
      </c>
      <c r="L154" s="3">
        <f>1777.4+(36.6-239.2)+(-2.719422+(-0.055998--0.365976))+0-226.5--0.346545000000013</f>
        <v>1346.2371010000004</v>
      </c>
      <c r="M154" s="3">
        <f>1774.5+(12.2-277.4)+(3.61998+(0.024888-0.565896))+0-227.5-0.46409999999999</f>
        <v>1284.4148720000001</v>
      </c>
      <c r="N154" s="3">
        <f>1772.3+(50.6-318.9)+(1.807746+(0.051612-0.325278))+0-229.1-0.233682000000037</f>
        <v>1276.200398</v>
      </c>
      <c r="O154" s="3">
        <f>1784.6+(119-411.5)+(0.910146+(0.06069-0.209865))+0-212.1-0.108170999999978</f>
        <v>1280.6527999999998</v>
      </c>
      <c r="P154" s="3">
        <f>1717+(148.7-395.9)+(2.62701+(0.227511-0.605727))+0-224-0.342720000000013</f>
        <v>1247.7060739999999</v>
      </c>
      <c r="Q154" s="3">
        <f>1714.6+(177.4-320.6)+(3.497784+(0.361896-0.654024))+0-224.6-0.45818399999999</f>
        <v>1349.547472</v>
      </c>
      <c r="R154" s="3">
        <f>1710.1+(245.1-262.5)+(1.744302+(0.250002-0.26775))+0-222.3-0.226746000000035</f>
        <v>1471.8998079999999</v>
      </c>
      <c r="S154" s="3">
        <f>1698.4+(375.2-250.1)+(-0.866184+(-0.191352--0.127551))+0-222.3--0.113372999999977</f>
        <v>1600.383388</v>
      </c>
      <c r="T154" s="3">
        <f>1683.4+(436.4-233.9)+(0.858534+(0.222564-0.119289))+0-222.1-0.113270999999977</f>
        <v>1664.6485380000001</v>
      </c>
      <c r="U154" s="3">
        <f>1728.1+(325.7-253.1)+(0+(0-0))+0-146.9-0</f>
        <v>1653.7999999999997</v>
      </c>
      <c r="V154" s="3">
        <f>1687.1+(340-233.8)+(0+(0-0))+0-222.9-0</f>
        <v>1570.3999999999999</v>
      </c>
      <c r="W154" s="3">
        <f>1747.2+(154.1-282)+(0+(0-0))+0-221.4-0</f>
        <v>1397.8999999999999</v>
      </c>
      <c r="X154" s="3">
        <f>1752.9+(95.5-416.7)+(0+(0-0))+0-221.3-0</f>
        <v>1210.4000000000001</v>
      </c>
      <c r="Y154" s="3">
        <f>1765.6+(133-397.1)+(0.900456+(0.06783-0.202521))+0-221.8-0.113117999999978</f>
        <v>1280.3526470000002</v>
      </c>
      <c r="Z154" s="3">
        <f>1786.6+(199.3-264.7)+(0+(0-0))+0-222-0</f>
        <v>1499.1999999999998</v>
      </c>
      <c r="AA154" s="3">
        <f>1790.2+(218-251.4)+(-1.826004+(-0.22236--0.256428))+0-221.4--0.225828000000035</f>
        <v>1533.8338919999999</v>
      </c>
      <c r="AB154" s="3">
        <f>1792.8+(227.8-247)+(0+(0-0))+0-221-0</f>
        <v>1552.6</v>
      </c>
      <c r="AC154" s="3">
        <f>1791.6+(243.6-239.2)+(-2.741148+(-0.372708--0.365976))+0-223.9--0.342567000000013</f>
        <v>1569.6946869999999</v>
      </c>
      <c r="AD154">
        <f t="shared" si="2"/>
        <v>34984.480873000008</v>
      </c>
      <c r="AE154" s="3">
        <f>1793+(218.7-276)+(0+(0-0))+0-222.9-0</f>
        <v>1512.8</v>
      </c>
    </row>
    <row r="155" spans="1:31" s="2" customFormat="1" x14ac:dyDescent="0.25">
      <c r="A155">
        <v>89</v>
      </c>
      <c r="B155">
        <v>5</v>
      </c>
      <c r="C155">
        <v>31</v>
      </c>
      <c r="D155">
        <v>2</v>
      </c>
      <c r="E155">
        <v>1</v>
      </c>
      <c r="F155" s="3">
        <f>1780.8+(234.5-241.8)+(-1.816416+(-0.23919--0.246636))+0-224.6--0.229092000000036</f>
        <v>1547.3201220000001</v>
      </c>
      <c r="G155" s="3">
        <f>1777.7+(217.1-231.2)+(-1.813254+(-0.221442--0.235824))+0-225.2--0.229704000000036</f>
        <v>1536.8308320000001</v>
      </c>
      <c r="H155" s="3">
        <f>1776.5+(195.4-223.7)+(0.906015+(0.099654-0.114087))+0-224.2-0.114341999999977</f>
        <v>1524.7772399999999</v>
      </c>
      <c r="I155" s="3">
        <f>1777.9+(180.5-229.5)+(-0.906729+(-0.092055--0.117045))+0-225--0.114749999999977</f>
        <v>1503.1330110000001</v>
      </c>
      <c r="J155" s="3">
        <f>1779.7+(155.8-237.5)+(-1.815294+(-0.158916--0.24225))+0-225--0.229500000000036</f>
        <v>1471.4975400000001</v>
      </c>
      <c r="K155" s="3">
        <f>1783.2+(114.9-230.6)+(-0.909432+(-0.058599--0.117606))+0-224.2--0.114341999999977</f>
        <v>1442.5639169999999</v>
      </c>
      <c r="L155" s="3">
        <f>1753.1+(14.6-220)+(-5.364486+(-0.044676--0.6732))+0-224.3--0.686358000000026</f>
        <v>1319.3503959999998</v>
      </c>
      <c r="M155" s="3">
        <f>1753.5+(27.9-301.8)+(0+(0-0))+0-222.6-0</f>
        <v>1257</v>
      </c>
      <c r="N155" s="3">
        <f>1783+(59-333.6)+(0+(0-0))+0-222-0</f>
        <v>1286.4000000000001</v>
      </c>
      <c r="O155" s="3">
        <f>1780+(86-369.6)+(0+(0-0))+0-221-0</f>
        <v>1275.4000000000001</v>
      </c>
      <c r="P155" s="3">
        <f>1761.9+(118.4-401)+(1.797138+(0.120768-0.40902))+0-221.6-0.226032000000035</f>
        <v>1258.9828540000003</v>
      </c>
      <c r="Q155" s="3">
        <f>1791.2+(144.1-361.6)+(-1.827024+(-0.146982--0.368832))+0-220.6--0.225012000000035</f>
        <v>1351.7198380000002</v>
      </c>
      <c r="R155" s="3">
        <f>1770.1+(199-267.6)+(1.805502+(0.20298-0.272952))+0-221.5-0.225930000000035</f>
        <v>1481.5095999999999</v>
      </c>
      <c r="S155" s="3">
        <f>1716.7+(362.3-256.8)+(-2.626551+(-0.554319--0.392904))+0-220.7--0.337671000000013</f>
        <v>1599.0497049999999</v>
      </c>
      <c r="T155" s="3">
        <f>1720.8+(407.3-257.7)+(-0.877608+(-0.207723--0.131427))+0-220.7--0.112556999999978</f>
        <v>1648.858653</v>
      </c>
      <c r="U155" s="3">
        <f>1781.3+(342.3-263.1)+(0+(0-0))+0-220.2-0</f>
        <v>1640.3</v>
      </c>
      <c r="V155" s="3">
        <f>1768.1+(265.5-259.2)+(-1.803462+(-0.27081--0.264384))+0-220--0.224400000000035</f>
        <v>1552.8145119999999</v>
      </c>
      <c r="W155" s="3">
        <f>1764.9+(150.9-328.5)+(-2.700297+(-0.230877--0.502605))+0-220.2--0.336906000000013</f>
        <v>1365.0083370000002</v>
      </c>
      <c r="X155" s="3">
        <f>1721+(101.9-416.9)+(-1.75542+(-0.103938--0.425238))+0-221.5--0.225930000000035</f>
        <v>1183.2918100000002</v>
      </c>
      <c r="Y155" s="3">
        <f>1722.8+(145-372.3)+(-1.757256+(-0.1479--0.379746))+0-221--0.225420000000035</f>
        <v>1273.20001</v>
      </c>
      <c r="Z155" s="3">
        <f>1753.8+(219.8-270.3)+(-0.894438+(-0.112098--0.137853))+0-220.8--0.112607999999978</f>
        <v>1481.743925</v>
      </c>
      <c r="AA155" s="3">
        <f>1769+(243.5-270.9)+(-2.70657+(-0.372555--0.414477))+0-220.7--0.337671000000013</f>
        <v>1518.5730229999999</v>
      </c>
      <c r="AB155" s="3">
        <f>1778.5+(241.7-273.3)+(0+(0-0))+0-219.9-0</f>
        <v>1527</v>
      </c>
      <c r="AC155" s="3">
        <f>1781.2+(260.4-272.5)+(-0.908412+(-0.132804--0.138975))+0-222--0.113219999999977</f>
        <v>1546.3109789999999</v>
      </c>
      <c r="AD155">
        <f t="shared" si="2"/>
        <v>34592.636304</v>
      </c>
      <c r="AE155" s="3">
        <f>1763+(244.4-270.3)+(0+(0-0))+0-227.6-0</f>
        <v>1509.5</v>
      </c>
    </row>
    <row r="156" spans="1:31" s="2" customFormat="1" x14ac:dyDescent="0.25">
      <c r="A156">
        <v>89</v>
      </c>
      <c r="B156">
        <v>6</v>
      </c>
      <c r="C156">
        <v>1</v>
      </c>
      <c r="D156">
        <v>3</v>
      </c>
      <c r="E156">
        <v>1</v>
      </c>
      <c r="F156" s="3">
        <f>1781.7+(257-262.7)+(0+(0-0))+0-223.2-0</f>
        <v>1552.8</v>
      </c>
      <c r="G156" s="3">
        <f>1781.7+(228.6-248)+(-3.634668+(-0.466344--0.50592))+0-223.2--0.45532799999999</f>
        <v>1535.9602359999999</v>
      </c>
      <c r="H156" s="3">
        <f>1766.9+(209.4-229.3)+(2.703357+(0.320382-0.350829))+0-224.6-0.343638000000013</f>
        <v>1524.729272</v>
      </c>
      <c r="I156" s="3">
        <f>1767.9+(195.5-229.4)+(-1.803258+(-0.19941--0.233988))+0-223.3--0.227766000000036</f>
        <v>1509.1590860000001</v>
      </c>
      <c r="J156" s="3">
        <f>1769.7+(176.4-236.2)+(-0.902547+(-0.089964--0.120462))+0-224.3--0.114392999999977</f>
        <v>1484.8423440000001</v>
      </c>
      <c r="K156" s="3">
        <f>1771.7+(142.8-246.3)+(-0.903567+(-0.072828--0.125613))+0-225.2--0.114851999999977</f>
        <v>1442.2640699999999</v>
      </c>
      <c r="L156" s="3">
        <f>1774.4+(52.7-273.7)+(-1.809888+(-0.053754--0.279174))+0-224.8--0.229296000000036</f>
        <v>1327.2448280000001</v>
      </c>
      <c r="M156" s="3">
        <f>1767.6+(41.4-311.4)+(1.802952+(0.042228-0.317628))+0-222.3-0.226746000000035</f>
        <v>1276.6008059999999</v>
      </c>
      <c r="N156" s="3">
        <f>1759.9+(71.2-353.1)+(0.897549+(0.036312-0.180081))+0-223-0.113729999999977</f>
        <v>1255.64005</v>
      </c>
      <c r="O156" s="3">
        <f>1760.3+(93.7-384.1)+(0.897753+(0.047787-0.195891))+0-226.4-0.115463999999977</f>
        <v>1244.1341849999999</v>
      </c>
      <c r="P156" s="3">
        <f>1759.9+(111-385.5)+(0+(0-0))+0-225.3-0</f>
        <v>1260.1000000000001</v>
      </c>
      <c r="Q156" s="3">
        <f>1768.5+(145.4-311.9)+(0.901935+(0.074154-0.159069))+0-225.4-0.114953999999977</f>
        <v>1377.302066</v>
      </c>
      <c r="R156" s="3">
        <f>1766.6+(240.9-275.6)+(0.900966+(0.122859-0.140556))+0-222.8-0.113627999999977</f>
        <v>1509.8696409999998</v>
      </c>
      <c r="S156" s="3">
        <f>1760+(364.7-264.6)+(0+(0-0))+0-221.8-0</f>
        <v>1638.3</v>
      </c>
      <c r="T156" s="3">
        <f>1763.2+(414.3-251.4)+(0+(0-0))+0-224.1-0</f>
        <v>1702.0000000000002</v>
      </c>
      <c r="U156" s="3">
        <f>1758.2+(405.8-246)+(0.896682+(0.206958-0.12546))+0-221.7-0.113066999999978</f>
        <v>1697.165113</v>
      </c>
      <c r="V156" s="3">
        <f>1754.1+(323.3-249.1)+(0.894591+(0.164883-0.127041))+0-221.7-0.113066999999978</f>
        <v>1607.4193659999999</v>
      </c>
      <c r="W156" s="3">
        <f>1763.1+(157-266.4)+(-0.899181+(-0.08007--0.135864))+0-221.3--0.112862999999978</f>
        <v>1431.669476</v>
      </c>
      <c r="X156" s="3">
        <f>1773.6+(101.7-382.7)+(-2.713608+(-0.155601--0.585531))+0-222.6--0.340578000000013</f>
        <v>1268.0569</v>
      </c>
      <c r="Y156" s="3">
        <f>1779.8+(142.7-357.5)+(-2.723094+(-0.218331--0.546975))+0-223.3--0.341649000000013</f>
        <v>1339.647199</v>
      </c>
      <c r="Z156" s="3">
        <f>1784.5+(225.6-248.7)+(-0.910095+(-0.115056--0.126837))+0-225.4--0.114953999999977</f>
        <v>1535.2166399999999</v>
      </c>
      <c r="AA156" s="3">
        <f>1788.5+(256.9-243.4)+(-1.82427+(-0.262038--0.248268))+0-222.7--0.227154000000035</f>
        <v>1577.6891139999998</v>
      </c>
      <c r="AB156" s="3">
        <f>1784.3+(270-240)+(0+(0-0))+0-222.8-0</f>
        <v>1591.5</v>
      </c>
      <c r="AC156" s="3">
        <f>1782.4+(303.2-241)+(-1.818048+(-0.309264--0.24582))+0-225--0.229500000000036</f>
        <v>1617.9480080000003</v>
      </c>
      <c r="AD156">
        <f t="shared" si="2"/>
        <v>35307.258399999999</v>
      </c>
      <c r="AE156" s="3">
        <f>1777+(248.8-263.3)+(0+(0-0))+0-224.7-0</f>
        <v>1537.8</v>
      </c>
    </row>
    <row r="157" spans="1:31" s="2" customFormat="1" x14ac:dyDescent="0.25">
      <c r="A157">
        <v>89</v>
      </c>
      <c r="B157">
        <v>6</v>
      </c>
      <c r="C157">
        <v>2</v>
      </c>
      <c r="D157">
        <v>4</v>
      </c>
      <c r="E157">
        <v>1</v>
      </c>
      <c r="F157" s="3">
        <f>1783.1+(290-248.2)+(-0.909381+(-0.1479--0.126582))+0-226.3--0.115412999999977</f>
        <v>1597.7847139999999</v>
      </c>
      <c r="G157" s="3">
        <f>1780.5+(268.6-243.2)+(-2.724165+(-0.410958--0.372096))+0-225--0.344250000000013</f>
        <v>1578.4812230000002</v>
      </c>
      <c r="H157" s="3">
        <f>1767.7+(249.7-231.7)+(-0.901527+(-0.127347--0.118167))+0-225.3--0.114902999999977</f>
        <v>1559.604196</v>
      </c>
      <c r="I157" s="3">
        <f>1766.6+(222.4-225.6)+(0.900966+(0.113424-0.115056))+0-225-0.114749999999977</f>
        <v>1539.1845839999999</v>
      </c>
      <c r="J157" s="3">
        <f>1768.2+(200.1-227.9)+(0+(0-0))+0-225.4-0</f>
        <v>1515</v>
      </c>
      <c r="K157" s="3">
        <f>1770.5+(159.1-232.6)+(-4.514775+(-0.405705--0.59313))+0-225.4--0.574769999999967</f>
        <v>1467.8474199999998</v>
      </c>
      <c r="L157" s="3">
        <f>1771.9+(87.7-254.2)+(0+(0-0))+0-223-0</f>
        <v>1382.4</v>
      </c>
      <c r="M157" s="3">
        <f>1774.6+(90.7-327.3)+(-1.810092+(-0.092514--0.333846))+0-223.8--0.228276000000036</f>
        <v>1312.859516</v>
      </c>
      <c r="N157" s="3">
        <f>1771.9+(134.7-382.2)+(0+(0-0))+0-225.5-0</f>
        <v>1298.9000000000001</v>
      </c>
      <c r="O157" s="3">
        <f>1767.6+(133.3-382.3)+(0.901476+(0.067983-0.194973))+0-226-0.115259999999977</f>
        <v>1293.2592259999999</v>
      </c>
      <c r="P157" s="3">
        <f>1756.9+(153.7-356.3)+(0.896019+(0.078387-0.181713))+0-227.3-0.115922999999977</f>
        <v>1327.6767700000003</v>
      </c>
      <c r="Q157" s="3">
        <f>1760.5+(183.1-309.2)+(0+(0-0))+0-224.5-0</f>
        <v>1409.9</v>
      </c>
      <c r="R157" s="3">
        <f>1752.4+(280.5-252.5)+(-0.893724+(-0.143055--0.128775))+0-224--0.114239999999977</f>
        <v>1555.6062360000001</v>
      </c>
      <c r="S157" s="3">
        <f>1742.9+(393.9-240)+(-0.888879+(-0.200889--0.1224))+0-222.9--0.113678999999977</f>
        <v>1673.0463110000001</v>
      </c>
      <c r="T157" s="3">
        <f>1744.1+(441-225)+(0.889491+(0.22491-0.11475))+0-221.9-0.113168999999977</f>
        <v>1739.0864819999999</v>
      </c>
      <c r="U157" s="3">
        <f>1746+(429.5-227.5)+(-1.78092+(-0.43809--0.23205))+0-222.1--0.226542000000035</f>
        <v>1724.1395820000002</v>
      </c>
      <c r="V157" s="3">
        <f>1735.9+(345.6-250.1)+(0+(0-0))+0-222.7-0</f>
        <v>1608.7</v>
      </c>
      <c r="W157" s="3">
        <f>1734.4+(149.3-278.9)+(-3.538176+(-0.304572--0.568956))+0-222.4--0.45369599999999</f>
        <v>1379.5799040000002</v>
      </c>
      <c r="X157" s="3">
        <f>1734.8+(137.1-386.5)+(1.769496+(0.139842-0.39423))+0-223.7-0.228174000000036</f>
        <v>1262.9869339999998</v>
      </c>
      <c r="Y157" s="3">
        <f>1745+(189.9-319.6)+(0.88995+(0.096849-0.162996))+0-223.6-0.114035999999977</f>
        <v>1392.4097670000001</v>
      </c>
      <c r="Z157" s="3">
        <f>1769.7+(306-275.2)+(-1.805094+(-0.31212--0.280704))+0-221.6--0.226032000000035</f>
        <v>1577.289522</v>
      </c>
      <c r="AA157" s="3">
        <f>1778.6+(323.1-272.3)+(-2.721258+(-0.494343--0.416619))+0-222.3--0.340119000000013</f>
        <v>1604.6411369999998</v>
      </c>
      <c r="AB157" s="3">
        <f>1781.5+(342.8-268.9)+(-2.725695+(-0.524484--0.411417))+0-223.5--0.341955000000013</f>
        <v>1629.4031930000001</v>
      </c>
      <c r="AC157" s="3">
        <f>1779.7+(375.7-262.6)+(-1.815294+(-0.383214--0.267852))+0-225.6--0.230112000000036</f>
        <v>1665.499456</v>
      </c>
      <c r="AD157">
        <f t="shared" si="2"/>
        <v>36095.286172999993</v>
      </c>
      <c r="AE157" s="3">
        <f>1783+(325.2-296.3)+(0+(0-0))+0-221.7-0</f>
        <v>1590.2</v>
      </c>
    </row>
    <row r="158" spans="1:31" s="2" customFormat="1" x14ac:dyDescent="0.25">
      <c r="A158">
        <v>89</v>
      </c>
      <c r="B158">
        <v>6</v>
      </c>
      <c r="C158">
        <v>3</v>
      </c>
      <c r="D158">
        <v>5</v>
      </c>
      <c r="E158">
        <v>1</v>
      </c>
      <c r="F158" s="3">
        <f>1767.4+(367.4-251.9)+(-0.901374+(-0.187374--0.128469))+0-225.9--0.115208999999977</f>
        <v>1656.1549300000001</v>
      </c>
      <c r="G158" s="3">
        <f>1764.3+(338.4-243.2)+(-1.799586+(-0.345168--0.248064))+0-225.5--0.230010000000036</f>
        <v>1632.33332</v>
      </c>
      <c r="H158" s="3">
        <f>1762.4+(306.6-234.8)+(0+(0-0))+0-224.2-0</f>
        <v>1610</v>
      </c>
      <c r="I158" s="3">
        <f>1764.6+(287.7-229.6)+(-3.599784+(-0.586908--0.468384))+0-224.2--0.45736799999999</f>
        <v>1595.2390599999999</v>
      </c>
      <c r="J158" s="3">
        <f>1764.7+(263.2-225.4)+(0+(0-0))+0-227.7-0</f>
        <v>1574.8</v>
      </c>
      <c r="K158" s="3">
        <f>1768.1+(207.5-224.2)+(-0.901731+(-0.105825--0.114342))+0-225.7--0.115106999999977</f>
        <v>1524.921893</v>
      </c>
      <c r="L158" s="3">
        <f>1768.7+(84.8-215.1)+(-4.510185+(-0.21624--0.548505))+0-226--0.576299999999967</f>
        <v>1408.79838</v>
      </c>
      <c r="M158" s="3">
        <f>1771.1+(13.1-213.2)+(-2.709783+(-0.020043--0.326196))+0-224.5--0.343485000000013</f>
        <v>1344.4398550000001</v>
      </c>
      <c r="N158" s="3">
        <f>1772.7+(25.9-231.9)+(0.904077+(0.013209-0.118269))+0-226-0.115259999999977</f>
        <v>1341.3837570000001</v>
      </c>
      <c r="O158" s="3">
        <f>1766.6+(171.6-362.4)+(-0.900966+(-0.087516--0.184824))+0-226.5--0.115514999999977</f>
        <v>1348.6118569999999</v>
      </c>
      <c r="P158" s="3">
        <f>1738.2+(200.4-293.6)+(0+(0-0))+0-226.8-0</f>
        <v>1418.2</v>
      </c>
      <c r="Q158" s="3">
        <f>1716.3+(248.6-245.3)+(0+(0-0))+0-227.6-0</f>
        <v>1492</v>
      </c>
      <c r="R158" s="3">
        <f>1753+(352-261.2)+(0+(0-0))+0-227-0</f>
        <v>1616.8</v>
      </c>
      <c r="S158" s="3">
        <f>1763.1+(438.3-255.1)+(-1.798362+(-0.447066--0.260202))+0-224.2--0.228684000000036</f>
        <v>1720.3434579999998</v>
      </c>
      <c r="T158" s="3">
        <f>1758+(464.8-237.7)+(0+(0-0))+0-226-0</f>
        <v>1759.1</v>
      </c>
      <c r="U158" s="3">
        <f>1750.3+(451.9-237)+(-0.892653+(-0.230469--0.12087))+0-227.4--0.115973999999977</f>
        <v>1736.9137219999998</v>
      </c>
      <c r="V158" s="3">
        <f>1734.2+(383.4-246.8)+(0.884442+(0.195534-0.125868))+0-226.3-0.115412999999977</f>
        <v>1645.3386949999999</v>
      </c>
      <c r="W158" s="3">
        <f>1723.8+(200.8-252.8)+(-0.879138+(-0.102408--0.128928))+0-227.5--0.116024999999977</f>
        <v>1443.5634070000001</v>
      </c>
      <c r="X158" s="3">
        <f>1726.9+(159.3-364.6)+(-1.761438+(-0.162486--0.371892))+0-225.2--0.229704000000036</f>
        <v>1295.0776720000001</v>
      </c>
      <c r="Y158" s="3">
        <f>1740.6+(211.5-289.5)+(-0.887706+(-0.107865--0.147645))+0-227.5--0.116024999999977</f>
        <v>1434.368099</v>
      </c>
      <c r="Z158" s="3">
        <f>1760.4+(309.7-229.5)+(-2.693412+(-0.473841--0.351135))+0-228--0.348840000000013</f>
        <v>1610.1327220000003</v>
      </c>
      <c r="AA158" s="3">
        <f>1770.2+(317.6-229.8)+(-0.902802+(-0.161976--0.117198))+0-227--0.115769999999977</f>
        <v>1630.1681899999999</v>
      </c>
      <c r="AB158" s="3">
        <f>1773.4+(336.5-241)+(-2.713302+(-0.514845--0.36873))+0-224.6--0.343638000000013</f>
        <v>1641.7842210000003</v>
      </c>
      <c r="AC158" s="3">
        <f>1585.2+(515.1-207.3)+(-0.808452+(-0.262701--0.105723))+0-226.8--0.115667999999977</f>
        <v>1665.350238</v>
      </c>
      <c r="AD158">
        <f t="shared" si="2"/>
        <v>37145.823475999998</v>
      </c>
      <c r="AE158" s="3">
        <f>1774+(305.5-243.5)+(0+(0-0))+0-226.4-0</f>
        <v>1609.6</v>
      </c>
    </row>
    <row r="159" spans="1:31" s="2" customFormat="1" x14ac:dyDescent="0.25">
      <c r="A159">
        <v>89</v>
      </c>
      <c r="B159">
        <v>6</v>
      </c>
      <c r="C159">
        <v>4</v>
      </c>
      <c r="D159">
        <v>6</v>
      </c>
      <c r="E159">
        <v>1</v>
      </c>
      <c r="F159" s="3">
        <f>1497.5+(563.8-178.5)+(-3.0549+(-1.150152--0.36414))+0-225--0.45899999999999</f>
        <v>1654.4180880000001</v>
      </c>
      <c r="G159" s="3">
        <f>1495.1+(542.5-164.5)+(-4.575006+(-1.66005--0.50337))+0-225.6--0.690336000000026</f>
        <v>1642.45865</v>
      </c>
      <c r="H159" s="3">
        <f>1492.6+(510-151)+(-1.522452+(-0.5202--0.15402))+0-227--0.231540000000036</f>
        <v>1622.942908</v>
      </c>
      <c r="I159" s="3">
        <f>1494+(482.1-151.4)+(3.04776+(0.983484-0.308856))+0-227.2-0.46348799999999</f>
        <v>1600.7588999999998</v>
      </c>
      <c r="J159" s="3">
        <f>1494.7+(446.3-146.3)+(0+(0-0))+0-228.6-0</f>
        <v>1566.1000000000001</v>
      </c>
      <c r="K159" s="3">
        <f>1495.9+(362.9-133.2)+(-3.814545+(-0.925395--0.33966))+0-225.6--0.575279999999967</f>
        <v>1496.1750000000002</v>
      </c>
      <c r="L159" s="3">
        <f>1496.8+(252.5-123.2)+(-3.81684+(-0.643875--0.31416))+0-224.3--0.571964999999968</f>
        <v>1398.2254099999998</v>
      </c>
      <c r="M159" s="3">
        <f>1497.4+(193.3-130.2)+(0+(0-0))+0-223.8-0</f>
        <v>1336.7</v>
      </c>
      <c r="N159" s="3">
        <f>1498.5+(205.9-193.7)+(-0.764235+(-0.105009--0.098787))+0-225.6--0.115055999999977</f>
        <v>1284.4445989999999</v>
      </c>
      <c r="O159" s="3">
        <f>1499.5+(205.4-237.5)+(-0.764745+(-0.104754--0.121125))+0-225.3--0.114902999999977</f>
        <v>1241.466529</v>
      </c>
      <c r="P159" s="3">
        <f>1520.7+(198-260)+(-2.326671+(-0.30294--0.3978))+0-226.5--0.346545000000013</f>
        <v>1230.314734</v>
      </c>
      <c r="Q159" s="3">
        <f>1513.3+(234.8-216.9)+(0+(0-0))+0-226.4-0</f>
        <v>1304.8</v>
      </c>
      <c r="R159" s="3">
        <f>1506.6+(351.2-188.6)+(1.536732+(0.358224-0.192372))+0-224.6-0.229092000000036</f>
        <v>1446.0734919999998</v>
      </c>
      <c r="S159" s="3">
        <f>1498.3+(499.7-207.7)+(0.764133+(0.254847-0.105927))+0-223.6-0.114035999999977</f>
        <v>1567.4990170000001</v>
      </c>
      <c r="T159" s="3">
        <f>1493.2+(564.8-183.3)+(-1.523064+(-0.576096--0.186966))+0-223.2--0.227664000000036</f>
        <v>1649.81547</v>
      </c>
      <c r="U159" s="3">
        <f>1490.7+(584.8-185.2)+(-2.280771+(-0.894744--0.283356))+0-222.1--0.339813000000013</f>
        <v>1665.6476540000001</v>
      </c>
      <c r="V159" s="3">
        <f>1478.1+(514.4-197.3)+(-3.015324+(-1.049376--0.402492))+0-222.4--0.45369599999999</f>
        <v>1569.5914879999998</v>
      </c>
      <c r="W159" s="3">
        <f>1462.4+(299.3-167.9)+(-3.72912+(-0.763215--0.428145))+0-222.9--0.568394999999968</f>
        <v>1367.404205</v>
      </c>
      <c r="X159" s="3">
        <f>1485.8+(159.7-212.2)+(-1.515516+(-0.162894--0.216444))+0-222.6--0.227052000000035</f>
        <v>1209.4650859999999</v>
      </c>
      <c r="Y159" s="3">
        <f>1481.1+(249-188.3)+(0.755361+(0.12699-0.096033))+0-224.3-0.114392999999977</f>
        <v>1318.1719249999999</v>
      </c>
      <c r="Z159" s="3">
        <f>1496.3+(441.5-215.6)+(-2.289339+(-0.675495--0.329868))+0-223.7--0.342261000000013</f>
        <v>1496.2072949999999</v>
      </c>
      <c r="AA159" s="3">
        <f>1512.9+(439.8-208.6)+(-3.857895+(-1.12149--0.53193))+0-225.1--0.574004999999967</f>
        <v>1515.1265500000002</v>
      </c>
      <c r="AB159" s="3">
        <f>1515.3+(430.9-210.6)+(-0.772803+(-0.219759--0.107406))+0-223.4--0.113933999999977</f>
        <v>1511.4287779999997</v>
      </c>
      <c r="AC159" s="3">
        <f>1515.3+(471.8-202.6)+(-3.091212+(-0.962472--0.413304))+0-224.8--0.45859199999999</f>
        <v>1556.5182119999999</v>
      </c>
      <c r="AD159">
        <f t="shared" si="2"/>
        <v>35251.753990000005</v>
      </c>
      <c r="AE159" s="3">
        <f>1499+(453.5-231.9)+(0+(0-0))+0-222.9-0</f>
        <v>1497.6999999999998</v>
      </c>
    </row>
    <row r="160" spans="1:31" s="2" customFormat="1" x14ac:dyDescent="0.25">
      <c r="A160">
        <v>89</v>
      </c>
      <c r="B160">
        <v>6</v>
      </c>
      <c r="C160">
        <v>5</v>
      </c>
      <c r="D160">
        <v>7</v>
      </c>
      <c r="E160">
        <v>1</v>
      </c>
      <c r="F160" s="3">
        <f>1515.5+(471.8-183.9)+(-0.772905+(-0.240618--0.093789))+0-227.9--0.116228999999977</f>
        <v>1574.6964949999999</v>
      </c>
      <c r="G160" s="3">
        <f>1517.4+(450.8-167.3)+(-0.773874+(-0.229908--0.085323))+0-228.7--0.116636999999977</f>
        <v>1571.3981780000001</v>
      </c>
      <c r="H160" s="3">
        <f>1518.4+(428.2-165.3)+(-4.646304+(-1.310292--0.505818))+0-227.8--0.697068000000026</f>
        <v>1548.7462900000003</v>
      </c>
      <c r="I160" s="3">
        <f>1515.6+(407.4-165.2)+(2.318868+(0.623322-0.252756))+0-231-0.353430000000013</f>
        <v>1529.1360039999997</v>
      </c>
      <c r="J160" s="3">
        <f>1505.7+(385.2-160.3)+(-3.071628+(-0.785808--0.327012))+0-229.1--0.46736399999999</f>
        <v>1498.43694</v>
      </c>
      <c r="K160" s="3">
        <f>1499.4+(341.9-152)+(-0.764694+(-0.174369--0.07752))+0-227.2--0.115871999999977</f>
        <v>1461.3543290000002</v>
      </c>
      <c r="L160" s="3">
        <f>1507.8+(246.7-152.4)+(0+(0-0))+0-227.5-0</f>
        <v>1374.6</v>
      </c>
      <c r="M160" s="3">
        <f>1522.9+(152.9-156.5)+(0+(0-0))+0-225.1-0</f>
        <v>1294.2000000000003</v>
      </c>
      <c r="N160" s="3">
        <f>1519.2+(140.1-179)+(0+(0-0))+0-222.4-0</f>
        <v>1257.8999999999999</v>
      </c>
      <c r="O160" s="3">
        <f>1517.9+(157.5-211.5)+(-1.548258+(-0.16065--0.21573))+0-223.9--0.228378000000036</f>
        <v>1238.7352000000001</v>
      </c>
      <c r="P160" s="3">
        <f>1515.4+(187.9-238.5)+(-1.545708+(-0.191658--0.24327))+0-222.9--0.227358000000036</f>
        <v>1240.6332620000003</v>
      </c>
      <c r="Q160" s="3">
        <f>1512.1+(230.7-243)+(0+(0-0))+0-222.3-0</f>
        <v>1277.5</v>
      </c>
      <c r="R160" s="3">
        <f>1523.1+(322.8-237.2)+(-0.776781+(-0.164628--0.120972))+0-223.9--0.114188999999977</f>
        <v>1384.0937519999995</v>
      </c>
      <c r="S160" s="3">
        <f>1518.3+(421.4-263.7)+(-1.548666+(-0.429828--0.268974))+0-222.7--0.227154000000035</f>
        <v>1451.8176339999998</v>
      </c>
      <c r="T160" s="3">
        <f>1518.6+(482.4-246.2)+(-2.323458+(-0.738072--0.376686))+0-222.3--0.340119000000013</f>
        <v>1530.1552749999998</v>
      </c>
      <c r="U160" s="3">
        <f>1514.8+(478.7-240.3)+(-3.090192+(-0.976548--0.490212))+0-222.5--0.45389999999999</f>
        <v>1527.5773719999997</v>
      </c>
      <c r="V160" s="3">
        <f>1511.3+(381-224.7)+(-1.541526+(-0.38862--0.229194))+0-221.4--0.225828000000035</f>
        <v>1444.724876</v>
      </c>
      <c r="W160" s="3">
        <f>1502.9+(199.2-232.1)+(1.532958+(0.203184-0.236742))+0-222.4-0.226848000000035</f>
        <v>1248.8725519999998</v>
      </c>
      <c r="X160" s="3">
        <f>1497.1+(131.3-300.6)+(0+(0-0))+0-221.9-0</f>
        <v>1105.8999999999999</v>
      </c>
      <c r="Y160" s="3">
        <f>1499+(221.1-283.2)+(0+(0-0))+0-222.2-0</f>
        <v>1214.7</v>
      </c>
      <c r="Z160" s="3">
        <f>1502.9+(384.4-270.7)+(-0.766479+(-0.196044--0.138057))+0-222.4--0.113423999999977</f>
        <v>1393.4889579999999</v>
      </c>
      <c r="AA160" s="3">
        <f>1507.2+(419.4-268.2)+(-0.768672+(-0.213894--0.136782))+0-222.8--0.113627999999977</f>
        <v>1434.8678440000001</v>
      </c>
      <c r="AB160" s="3">
        <f>1510+(445.3-267.2)+(-1.5402+(-0.454206--0.272544))+0-222.8--0.227256000000036</f>
        <v>1463.805394</v>
      </c>
      <c r="AC160" s="3">
        <f>1516.1+(455.5-254.2)+(0+(0-0))+0-222.7-0</f>
        <v>1494.6999999999998</v>
      </c>
      <c r="AD160">
        <f t="shared" si="2"/>
        <v>33562.040355000005</v>
      </c>
      <c r="AE160" s="3">
        <f>1503+(406.4-249.4)+(0+(0-0))+0-222.3-0</f>
        <v>1437.7</v>
      </c>
    </row>
    <row r="161" spans="1:31" s="2" customFormat="1" x14ac:dyDescent="0.25">
      <c r="A161">
        <v>89</v>
      </c>
      <c r="B161">
        <v>6</v>
      </c>
      <c r="C161">
        <v>6</v>
      </c>
      <c r="D161">
        <v>1</v>
      </c>
      <c r="E161">
        <v>1</v>
      </c>
      <c r="F161" s="3">
        <f>1526.2+(432.4-191.1)+(-0.778362+(-0.220524--0.097461))+0-223--0.113729999999977</f>
        <v>1543.712305</v>
      </c>
      <c r="G161" s="3">
        <f>1526.7+(408.1-177.7)+(0+(0-0))+0-224.1-0</f>
        <v>1533.0000000000002</v>
      </c>
      <c r="H161" s="3">
        <f>1525.7+(386.8-166.2)+(-3.112428+(-0.789072--0.339048))+0-223.6--0.45614399999999</f>
        <v>1519.5936920000004</v>
      </c>
      <c r="I161" s="3">
        <f>1524.5+(359.3-163.5)+(0+(0-0))+0-224.1-0</f>
        <v>1496.2</v>
      </c>
      <c r="J161" s="3">
        <f>1522.5+(313.4-154.2)+(-1.55295+(-0.319668--0.157284))+9.5-223--0.227460000000036</f>
        <v>1466.7121260000001</v>
      </c>
      <c r="K161" s="3">
        <f>1521.7+(246.2-144)+(-3.880335+(-0.62781--0.3672))+13.5-223.5--0.569924999999968</f>
        <v>1410.32898</v>
      </c>
      <c r="L161" s="3">
        <f>1521+(192.6-151.4)+(-4.65426+(-0.589356--0.463284))+0-223.6--0.684216000000026</f>
        <v>1334.5038840000002</v>
      </c>
      <c r="M161" s="3">
        <f>1520.1+(156.2-167.1)+(0.775251+(0.079662-0.085221))+0-226.3-0.115412999999977</f>
        <v>1283.554279</v>
      </c>
      <c r="N161" s="3">
        <f>1520.9+(170.6-209.4)+(0+(0-0))+0-229-0</f>
        <v>1253.1000000000001</v>
      </c>
      <c r="O161" s="3">
        <f>1517.4+(202.7-235.7)+(-0.773874+(-0.103377--0.120207))+0-228.5--0.116534999999977</f>
        <v>1255.259491</v>
      </c>
      <c r="P161" s="3">
        <f>1511.6+(217.8-230.9)+(1.541832+(0.222156-0.235518))+0-228.5-0.233070000000036</f>
        <v>1271.2954</v>
      </c>
      <c r="Q161" s="3">
        <f>1506.3+(276.1-222.9)+(0.768213+(0.140811-0.113679))+0-229.4-0.116993999999977</f>
        <v>1330.7783509999999</v>
      </c>
      <c r="R161" s="3">
        <f>1509.3+(415.6-253.2)+(0.769743+(0.211956-0.129132))+0-227.9-0.116228999999977</f>
        <v>1444.5363379999999</v>
      </c>
      <c r="S161" s="3">
        <f>1503.8+(554-244.4)+(0+(0-0))+0-226.8-0</f>
        <v>1586.6000000000001</v>
      </c>
      <c r="T161" s="3">
        <f>1506+(604.1-239.5)+(0+(0-0))+0-227.5-0</f>
        <v>1643.1</v>
      </c>
      <c r="U161" s="3">
        <f>1503.6+(585.4-223.7)+(-3.067344+(-1.194216--0.456348))+0-229.1--0.46736399999999</f>
        <v>1632.8621520000002</v>
      </c>
      <c r="V161" s="3">
        <f>1502.2+(465.4-198.9)+(-3.83061+(-1.18677--0.507195))+0-228.4--0.582419999999967</f>
        <v>1536.3722349999998</v>
      </c>
      <c r="W161" s="3">
        <f>1503.5+(233.6-165.8)+(-3.06714+(-0.476544--0.338232))+0-226.7--0.46246799999999</f>
        <v>1341.8570159999999</v>
      </c>
      <c r="X161" s="3">
        <f>1507.8+(173.4-266.5)+(-2.306934+(-0.265302--0.407745))+0-227.5--0.348075000000013</f>
        <v>1185.3835840000002</v>
      </c>
      <c r="Y161" s="3">
        <f>1508.5+(262.3-245)+(0.769335+(0.133773-0.12495))+0-228.2-0.116381999999977</f>
        <v>1298.2617760000001</v>
      </c>
      <c r="Z161" s="3">
        <f>1512.1+(414.8-233.6)+(-3.084684+(-0.846192--0.476544))+0-228.4--0.46593599999999</f>
        <v>1461.9116039999999</v>
      </c>
      <c r="AA161" s="3">
        <f>1514.5+(458.6-235.8)+(-4.63437+(-1.403316--0.721548))+0-229.1--0.701046000000026</f>
        <v>1503.5849080000003</v>
      </c>
      <c r="AB161" s="3">
        <f>1519.9+(479.4-234.5)+(-1.550298+(-0.488988--0.23919))+0-229--0.233580000000037</f>
        <v>1534.2334840000003</v>
      </c>
      <c r="AC161" s="3">
        <f>1512.5+(453.5-235.7)+(-1.54275+(-0.46257--0.240414))+0-226.4--0.230928000000036</f>
        <v>1502.3660219999997</v>
      </c>
      <c r="AD161">
        <f t="shared" si="2"/>
        <v>34369.107627000005</v>
      </c>
      <c r="AE161" s="3">
        <f>1510+(452.6-233.4)+(0+(0-0))+0-232.4-0</f>
        <v>1496.8</v>
      </c>
    </row>
    <row r="162" spans="1:31" s="2" customFormat="1" x14ac:dyDescent="0.25">
      <c r="A162">
        <v>89</v>
      </c>
      <c r="B162">
        <v>6</v>
      </c>
      <c r="C162">
        <v>7</v>
      </c>
      <c r="D162">
        <v>2</v>
      </c>
      <c r="E162">
        <v>1</v>
      </c>
      <c r="F162" s="3">
        <f>1509.5+(470.5-217.4)+(-1.53969+(-0.47991--0.221748))+0-227.4--0.231948000000036</f>
        <v>1533.634096</v>
      </c>
      <c r="G162" s="3">
        <f>1510.2+(470-199.4)+(-3.080808+(-0.9588--0.406776))+0-230--0.46919999999999</f>
        <v>1547.6363680000002</v>
      </c>
      <c r="H162" s="3">
        <f>1509.4+(444.5-186.4)+(-3.84897+(-1.133475--0.47532))+0-229.2--0.584459999999967</f>
        <v>1534.3773349999999</v>
      </c>
      <c r="I162" s="3">
        <f>1510.2+(416.7-183.3)+(-1.540404+(-0.425034--0.186966))+0-226.9--0.231438000000036</f>
        <v>1515.1529659999999</v>
      </c>
      <c r="J162" s="3">
        <f>1512.6+(339-166)+(3.085704+(0.69156-0.33864))+0-227.6-0.46430399999999</f>
        <v>1460.9743199999998</v>
      </c>
      <c r="K162" s="3">
        <f>1512.4+(324.3-158.3)+(-2.313972+(-0.496179--0.242199))+0-230.4--0.352512000000013</f>
        <v>1445.7845599999998</v>
      </c>
      <c r="L162" s="3">
        <f>1512.5+(206.3-136.7)+(0+(0-0))+0-227.1-0</f>
        <v>1355</v>
      </c>
      <c r="M162" s="3">
        <f>1507.8+(152.9-137.8)+(0+(0-0))+0-224.8-0</f>
        <v>1298.0999999999999</v>
      </c>
      <c r="N162" s="3">
        <f>1507.2+(183.5-172.4)+(1.537344+(0.18717-0.175848))+0-225.5-0.230010000000036</f>
        <v>1294.1186559999999</v>
      </c>
      <c r="O162" s="3">
        <f>1512+(225.8-216.6)+(-0.77112+(-0.115158--0.110466))+0-229--0.116789999999977</f>
        <v>1291.540978</v>
      </c>
      <c r="P162" s="3">
        <f>1514+(260.2-205)+(0+(0-0))+0-229-0</f>
        <v>1340.2</v>
      </c>
      <c r="Q162" s="3">
        <f>1505.7+(325.9-214.3)+(0.767907+(0.166209-0.109293))+0-227.8-0.116177999999977</f>
        <v>1390.2086449999999</v>
      </c>
      <c r="R162" s="3">
        <f>1559.5+(422-238.9)+(-2.386035+(-0.64566--0.365517))+0-226--0.345780000000013</f>
        <v>1514.2796020000001</v>
      </c>
      <c r="S162" s="3">
        <f>1688+(435.3-244.2)+(-2.58264+(-0.666009--0.373626))+0-224.2--0.343026000000013</f>
        <v>1652.3680029999998</v>
      </c>
      <c r="T162" s="3">
        <f>1720+(437.9-251.1)+(-2.6316+(-0.669987--0.384183))+0-224.5--0.343485000000013</f>
        <v>1679.726081</v>
      </c>
      <c r="U162" s="3">
        <f>1752.7+(401.1-240.3)+(-1.787754+(-0.409122--0.245106))+0-224.1--0.228582000000036</f>
        <v>1687.6768120000002</v>
      </c>
      <c r="V162" s="3">
        <f>1749.4+(308.9-230.9)+(-7.137552+(-1.260312--0.942072))+0-223.8--0.91310399999998</f>
        <v>1597.0573120000001</v>
      </c>
      <c r="W162" s="3">
        <f>1749.9+(192.2-294.9)+(-3.569796+(-0.392088--0.601596))+0-223.7--0.45634799999999</f>
        <v>1420.5960599999999</v>
      </c>
      <c r="X162" s="3">
        <f>1755.6+(159.4-434.1)+(-1.790712+(-0.162588--0.442782))+0-223.9--0.228378000000036</f>
        <v>1255.7178599999997</v>
      </c>
      <c r="Y162" s="3">
        <f>1753.8+(215.7-362.5)+(0.894438+(0.110007-0.184875))+0-224.6-0.114545999999977</f>
        <v>1383.1050240000002</v>
      </c>
      <c r="Z162" s="3">
        <f>1747.2+(278.7-253.9)+(-2.673216+(-0.426411--0.388467))+0-223.6--0.342108000000013</f>
        <v>1546.0309480000001</v>
      </c>
      <c r="AA162" s="3">
        <f>1746.4+(308.3-258.5)+(-5.343984+(-0.943398--0.79101))+0-223.7--0.684522000000026</f>
        <v>1567.68815</v>
      </c>
      <c r="AB162" s="3">
        <f>1731.3+(310.6-262.9)+(-2.648889+(-0.475218--0.402237))+0-223.9--0.342567000000013</f>
        <v>1552.7206969999997</v>
      </c>
      <c r="AC162" s="3">
        <f>1736.6+(318.3-261.7)+(-1.771332+(-0.324666--0.266934))+0-223.6--0.228072000000036</f>
        <v>1567.999008</v>
      </c>
      <c r="AD162">
        <f t="shared" si="2"/>
        <v>35431.693480999995</v>
      </c>
      <c r="AE162" s="3">
        <f>1747+(302.4-277.1)+(0+(0-0))+0-225.2-0</f>
        <v>1547.1</v>
      </c>
    </row>
    <row r="163" spans="1:31" s="2" customFormat="1" x14ac:dyDescent="0.25">
      <c r="A163">
        <v>89</v>
      </c>
      <c r="B163">
        <v>6</v>
      </c>
      <c r="C163">
        <v>8</v>
      </c>
      <c r="D163">
        <v>3</v>
      </c>
      <c r="E163">
        <v>1</v>
      </c>
      <c r="F163" s="3">
        <f>1746.8+(304.5-255.6)+(-1.781736+(-0.31059--0.260712))+0-223.4--0.227868000000036</f>
        <v>1570.696254</v>
      </c>
      <c r="G163" s="3">
        <f>1648.7+(378.4-225.8)+(-0.840837+(-0.192984--0.115158))+0-223.7--0.114086999999977</f>
        <v>1576.7954239999999</v>
      </c>
      <c r="H163" s="3">
        <f>1677.9+(327.4-219.6)+(0+(0-0))+0-224.6-0</f>
        <v>1561.1000000000001</v>
      </c>
      <c r="I163" s="3">
        <f>1747.8+(271.6-230.7)+(-1.782756+(-0.277032--0.235314))+0-224.4--0.228888000000036</f>
        <v>1562.704414</v>
      </c>
      <c r="J163" s="3">
        <f>1749.3+(273.9-251.8)+(0.892143+(0.139689-0.128418))+0-223.2-0.113831999999977</f>
        <v>1548.9895819999999</v>
      </c>
      <c r="K163" s="3">
        <f>1749.1+(248-264.9)+(-3.568164+(-0.50592--0.540396))+0-223.8--0.45655199999999</f>
        <v>1505.322864</v>
      </c>
      <c r="L163" s="3">
        <f>1751.9+(151.9-255.5)+(-5.360814+(-0.464814--0.78183))+0-223.2--0.682992000000026</f>
        <v>1420.7391940000002</v>
      </c>
      <c r="M163" s="3">
        <f>1757.1+(109.2-289)+(1.792242+(0.111384-0.29478))+0-224.6-0.229092000000036</f>
        <v>1354.0797540000001</v>
      </c>
      <c r="N163" s="3">
        <f>1753.9+(135.6-318.7)+(0.894489+(0.069156-0.162537))+0-223.3-0.113882999999977</f>
        <v>1348.1872250000004</v>
      </c>
      <c r="O163" s="3">
        <f>1750.1+(148-313.9)+(0+(0-0))+0-223.6-0</f>
        <v>1360.6</v>
      </c>
      <c r="P163" s="3">
        <f>1750+(210.6-346.4)+(3.57+(0.429624-0.706656))+0-224.7-0.45838799999999</f>
        <v>1392.33458</v>
      </c>
      <c r="Q163" s="3">
        <f>1754.3+(256.1-315.7)+(1.789386+(0.261222-0.322014))+0-225.2-0.229704000000036</f>
        <v>1470.9988899999998</v>
      </c>
      <c r="R163" s="3">
        <f>1748.3+(301.1-261.9)+(-0.891633+(-0.153561--0.133569))+0-225.5--0.115004999999977</f>
        <v>1561.2033799999999</v>
      </c>
      <c r="S163" s="3">
        <f>1744.6+(399.1-250.4)+(0+(0-0))+0-224-0</f>
        <v>1669.3</v>
      </c>
      <c r="T163" s="3">
        <f>1738.6+(445.3-241.7)+(0.886686+(0.227103-0.123267))+0-225.2-0.114851999999977</f>
        <v>1717.8756699999999</v>
      </c>
      <c r="U163" s="3">
        <f>1730.5+(448.7-230.4)+(0.882555+(0.228837-0.117504))+0-225.7-0.115106999999977</f>
        <v>1723.9787809999998</v>
      </c>
      <c r="V163" s="3">
        <f>1728.9+(371.3-232.4)+(-2.645217+(-0.568089--0.355572))+0-224.6--0.343638000000013</f>
        <v>1640.6859040000004</v>
      </c>
      <c r="W163" s="3">
        <f>1728.8+(201.8-233.6)+(-2.645064+(-0.308754--0.357408))+0-225.9--0.345627000000013</f>
        <v>1468.8492169999997</v>
      </c>
      <c r="X163" s="3">
        <f>1729.7+(164.5-358.4)+(-0.882147+(-0.083895--0.182784))+0-225.7--0.115106999999977</f>
        <v>1309.4318490000003</v>
      </c>
      <c r="Y163" s="3">
        <f>1736.7+(219.7-317.7)+(0.885717+(0.112047-0.162027))+0-225.1-0.114800999999977</f>
        <v>1414.3209360000003</v>
      </c>
      <c r="Z163" s="3">
        <f>1741+(302.9-245.3)+(-0.88791+(-0.154479--0.125103))+0-225--0.114749999999977</f>
        <v>1572.7974639999998</v>
      </c>
      <c r="AA163" s="3">
        <f>1738.6+(330.3-248.1)+(0+(0-0))+0-230.2-0</f>
        <v>1590.6</v>
      </c>
      <c r="AB163" s="3">
        <f>1741+(350-252.8)+(-1.77582+(-0.357--0.257856))+0-228.1--0.232662000000036</f>
        <v>1608.4576980000002</v>
      </c>
      <c r="AC163" s="3">
        <f>1747+(369.7-238.4)+(0+(0-0))+0-228.7-0</f>
        <v>1649.6</v>
      </c>
      <c r="AD163">
        <f t="shared" si="2"/>
        <v>36599.649079999996</v>
      </c>
      <c r="AE163" s="3">
        <f>1737+(330.6-261.3)+(0+(0-0))+0-233.6-0</f>
        <v>1572.7</v>
      </c>
    </row>
    <row r="164" spans="1:31" s="2" customFormat="1" x14ac:dyDescent="0.25">
      <c r="A164">
        <v>89</v>
      </c>
      <c r="B164">
        <v>6</v>
      </c>
      <c r="C164">
        <v>9</v>
      </c>
      <c r="D164">
        <v>4</v>
      </c>
      <c r="E164">
        <v>1</v>
      </c>
      <c r="F164" s="3">
        <f>1751.2+(355.5-217.3)+(-4.46556+(-0.906525--0.554115))+0-228.5--0.582674999999967</f>
        <v>1656.6647049999999</v>
      </c>
      <c r="G164" s="3">
        <f>1749.2+(327-204.2)+(-3.568368+(-0.66708--0.416568))+0-232.1--0.47348399999999</f>
        <v>1636.5546040000002</v>
      </c>
      <c r="H164" s="3">
        <f>1737.8+(295.8-194.3)+(-2.658834+(-0.452574--0.297279))+0-231.6--0.354348000000013</f>
        <v>1605.240219</v>
      </c>
      <c r="I164" s="3">
        <f>1742.6+(263.3-198.2)+(-4.44363+(-0.671415--0.50541))+0-228.7--0.583184999999967</f>
        <v>1574.9735499999997</v>
      </c>
      <c r="J164" s="3">
        <f>1745.2+(227.2-190.6)+(0+(0-0))+0-227.3-0</f>
        <v>1554.5</v>
      </c>
      <c r="K164" s="3">
        <f>1745.4+(179.4-190.1)+(-4.45077+(-0.45747--0.484755))+0-227--0.578849999999967</f>
        <v>1503.8553649999999</v>
      </c>
      <c r="L164" s="3">
        <f>1708.4+(109.6-176.4)+(-3.485136+(-0.223584--0.359856))+0-227--0.46307999999999</f>
        <v>1411.7142160000001</v>
      </c>
      <c r="M164" s="3">
        <f>1697.1+(103.4-232)+(0+(0-0))+0-225-0</f>
        <v>1343.5</v>
      </c>
      <c r="N164" s="3">
        <f>1693+(177.3-312)+(0.86343+(0.090423-0.15912))+0-227-0.115769999999977</f>
        <v>1331.978963</v>
      </c>
      <c r="O164" s="3">
        <f>1681+(215-326.3)+(0+(0-0))+0-226-0</f>
        <v>1343.7</v>
      </c>
      <c r="P164" s="3">
        <f>1676+(247.2-303)+(0.85476+(0.126072-0.15453))+0-227-0.115769999999977</f>
        <v>1393.9105320000001</v>
      </c>
      <c r="Q164" s="3">
        <f>1673.7+(267.8-242.8)+(2.560761+(0.409734-0.371484))+0-229-0.350370000000013</f>
        <v>1471.948641</v>
      </c>
      <c r="R164" s="3">
        <f>1662.6+(379-260.2)+(0.847926+(0.19329-0.132702))+0-229-0.116789999999977</f>
        <v>1553.1917239999998</v>
      </c>
      <c r="S164" s="3">
        <f>1651.7+(499.6-251.9)+(0+(0-0))+0-230-0</f>
        <v>1669.4</v>
      </c>
      <c r="T164" s="3">
        <f>1656.9+(533.5-253.3)+(0.845019+(0.272085-0.129183))+0-228-0.116279999999977</f>
        <v>1709.9716410000001</v>
      </c>
      <c r="U164" s="3">
        <f>1654.3+(526.6-242.8)+(-4.218465+(-1.34283--0.61914))+0-227--0.578849999999967</f>
        <v>1706.7366949999998</v>
      </c>
      <c r="V164" s="3">
        <f>1653.6+(410.6-221.6)+(-1.686672+(-0.418812--0.226032))+0-224--0.228480000000036</f>
        <v>1616.949028</v>
      </c>
      <c r="W164" s="3">
        <f>1648.9+(249.8-241.2)+(-1.681878+(-0.254796--0.246024))+0-227--0.231540000000036</f>
        <v>1429.04089</v>
      </c>
      <c r="X164" s="3">
        <f>1641.7+(189.2-347.1)+(-1.674534+(-0.192984--0.354042))+0-226--0.230520000000036</f>
        <v>1256.5170439999999</v>
      </c>
      <c r="Y164" s="3">
        <f>1637.1+(242.7-287.4)+(-1.669842+(-0.247554--0.293148))+0-226--0.230520000000036</f>
        <v>1365.0062719999999</v>
      </c>
      <c r="Z164" s="3">
        <f>1664.2+(334.5-249.9)+(0+(0-0))+0-228-0</f>
        <v>1520.8</v>
      </c>
      <c r="AA164" s="3">
        <f>1664.7+(357.6-252.7)+(-3.395988+(-0.729504--0.515508))+0-228--0.46511999999999</f>
        <v>1538.4551360000003</v>
      </c>
      <c r="AB164" s="3">
        <f>1661.5+(356.5-262.8)+(0+(0-0))+0-228-0</f>
        <v>1527.2</v>
      </c>
      <c r="AC164" s="3">
        <f>1669.5+(351.9-260.6)+(-4.257225+(-0.897345--0.66453))+0-226--0.576299999999967</f>
        <v>1530.88626</v>
      </c>
      <c r="AD164">
        <f t="shared" si="2"/>
        <v>36252.695484999997</v>
      </c>
      <c r="AE164" s="3">
        <f>1657+(346.8-244.3)+(0+(0-0))+0-234-0</f>
        <v>1525.5</v>
      </c>
    </row>
    <row r="165" spans="1:31" s="2" customFormat="1" x14ac:dyDescent="0.25">
      <c r="A165">
        <v>89</v>
      </c>
      <c r="B165">
        <v>6</v>
      </c>
      <c r="C165">
        <v>10</v>
      </c>
      <c r="D165">
        <v>5</v>
      </c>
      <c r="E165">
        <v>5</v>
      </c>
      <c r="F165" s="3">
        <f>1613.7+(412.4-245.2)+(-2.468961+(-0.630972--0.375156))+0-227--0.347310000000013</f>
        <v>1551.5225330000003</v>
      </c>
      <c r="G165" s="3">
        <f>1466.4+(531.8-221.1)+(-2.243592+(-0.813654--0.338283))+0-226--0.345780000000013</f>
        <v>1548.726817</v>
      </c>
      <c r="H165" s="3">
        <f>1487+(499-209.6)+(-0.75837+(-0.25449--0.106896))+0-227--0.115769999999977</f>
        <v>1548.6098059999999</v>
      </c>
      <c r="I165" s="3">
        <f>1488.5+(478.2-196)+(-1.51827+(-0.487764--0.19992))+0-228--0.232560000000036</f>
        <v>1541.1264460000002</v>
      </c>
      <c r="J165" s="3">
        <f>1487+(464.7-185.6)+(-3.03348+(-0.947988--0.378624))+0-224--0.45695999999999</f>
        <v>1538.9541159999999</v>
      </c>
      <c r="K165" s="3">
        <f>1357.7+(500.3-145)+(-3.462135+(-1.275765--0.36975))+0-224--0.571199999999968</f>
        <v>1485.2030499999998</v>
      </c>
      <c r="L165" s="3">
        <f>1346.9+(416.1-122.4)+(-3.434595+(-1.061055--0.31212))+0-223--0.568649999999968</f>
        <v>1413.9851200000001</v>
      </c>
      <c r="M165" s="3">
        <f>1346.3+(386-157.9)+(0+(0-0))+0-222-0</f>
        <v>1352.3999999999999</v>
      </c>
      <c r="N165" s="3">
        <f>1337.9+(409.1-196.2)+(-1.364658+(-0.417282--0.200124))+0-222--0.226440000000035</f>
        <v>1327.4446240000004</v>
      </c>
      <c r="O165" s="3">
        <f>1330.9+(428.1-227.9)+(-1.357518+(-0.436662--0.232458))+0-223--0.227460000000036</f>
        <v>1306.7657380000003</v>
      </c>
      <c r="P165" s="3">
        <f>1345.4+(444.3-244.6)+(-0.686154+(-0.226593--0.124746))+0-223--0.113729999999977</f>
        <v>1321.4257290000003</v>
      </c>
      <c r="Q165" s="3">
        <f>1444.7+(397.6-258.2)+(1.473594+(0.405552-0.263364))+0-224-0.228480000000036</f>
        <v>1361.4873020000002</v>
      </c>
      <c r="R165" s="3">
        <f>1458.4+(473.2-269.5)+(-0.743784+(-0.241332--0.137445))+0-224--0.114239999999977</f>
        <v>1437.366569</v>
      </c>
      <c r="S165" s="3">
        <f>1456.4+(614.7-283.5)+(-0.742764+(-0.313497--0.144585))+0-224--0.114239999999977</f>
        <v>1562.8025640000001</v>
      </c>
      <c r="T165" s="3">
        <f>1454.4+(654.6-269.1)+(0+(0-0))+0-224-0</f>
        <v>1615.9</v>
      </c>
      <c r="U165" s="3">
        <f>1453+(597.3-221.5)+(-2.96412+(-1.218492--0.45186))+0-223--0.45491999999999</f>
        <v>1602.5241679999999</v>
      </c>
      <c r="V165" s="3">
        <f>1450.8+(538.4-231.9)+(-0.739908+(-0.274584--0.118269))+0-225--0.114749999999977</f>
        <v>1531.5185269999999</v>
      </c>
      <c r="W165" s="3">
        <f>1445.3+(364.2-243.6)+(-1.474206+(-0.371484--0.248472))+0-224--0.228480000000036</f>
        <v>1340.5312619999997</v>
      </c>
      <c r="X165" s="3">
        <f>1448.2+(263-295.8)+(-1.477164+(-0.26826--0.301716))+0-225--0.229500000000036</f>
        <v>1189.1857920000002</v>
      </c>
      <c r="Y165" s="3">
        <f>1460.7+(396.7-321.3)+(0+(0-0))+0-225-0</f>
        <v>1311.1</v>
      </c>
      <c r="Z165" s="3">
        <f>1460.6+(546-310.1)+(-0.744906+(-0.27846--0.158151))+0-224--0.114239999999977</f>
        <v>1471.7490249999998</v>
      </c>
      <c r="AA165" s="3">
        <f>1460.1+(538.5-273.9)+(-2.233953+(-0.823905--0.419067))+0-225--0.344250000000013</f>
        <v>1497.4054589999998</v>
      </c>
      <c r="AB165" s="3">
        <f>1461+(541.8-265.2)+(0.74511+(0.276318-0.135252))+0-224-0.114239999999977</f>
        <v>1514.371936</v>
      </c>
      <c r="AC165" s="3">
        <f>1465.4+(557.3-252.3)+(-0.747354+(-0.284223--0.128673))+0-224--0.114239999999977</f>
        <v>1545.6113359999999</v>
      </c>
      <c r="AD165">
        <f t="shared" si="2"/>
        <v>34917.71791900001</v>
      </c>
      <c r="AE165" s="3">
        <f>1459+(529.5-277.3)+(0+(0-0))+0-223-0</f>
        <v>1488.2</v>
      </c>
    </row>
    <row r="166" spans="1:31" s="2" customFormat="1" x14ac:dyDescent="0.25">
      <c r="A166">
        <v>89</v>
      </c>
      <c r="B166">
        <v>6</v>
      </c>
      <c r="C166">
        <v>11</v>
      </c>
      <c r="D166">
        <v>6</v>
      </c>
      <c r="E166">
        <v>6</v>
      </c>
      <c r="F166" s="3">
        <f>1463.4+(562.8-239.3)+(0+(0-0))+0-223-0</f>
        <v>1563.9</v>
      </c>
      <c r="G166" s="3">
        <f>1466.9+(539.9-222.8)+(-0.748119+(-0.275349--0.113628))+0-224--0.114239999999977</f>
        <v>1559.2043999999999</v>
      </c>
      <c r="H166" s="3">
        <f>1481.7+(493.6-210.7)+(0.755667+(0.251736-0.107457))+0-224-0.114239999999977</f>
        <v>1541.3857060000003</v>
      </c>
      <c r="I166" s="3">
        <f>1482.7+(471.6-203.5)+(0+(0-0))+0-224-0</f>
        <v>1526.8000000000002</v>
      </c>
      <c r="J166" s="3">
        <f>1490.5+(425.5-198.9)+(0+(0-0))+0-223-0</f>
        <v>1494.1</v>
      </c>
      <c r="K166" s="3">
        <f>1498.3+(370.9-199)+(0+(0-0))+0-224-0</f>
        <v>1446.1999999999998</v>
      </c>
      <c r="L166" s="3">
        <f>1500.6+(315.5-229.3)+(-3.061224+(-0.64362--0.467772))+0-224--0.45695999999999</f>
        <v>1360.019888</v>
      </c>
      <c r="M166" s="3">
        <f>1494.2+(239.9-216.3)+(0.762042+(0.122349-0.110313))+0-223-0.113729999999977</f>
        <v>1295.4603479999998</v>
      </c>
      <c r="N166" s="3">
        <f>1484.9+(257.9-233.1)+(-0.757299+(-0.131529--0.118881))+0-224--0.114239999999977</f>
        <v>1285.0442929999999</v>
      </c>
      <c r="O166" s="3">
        <f>1477.6+(263.8-223.5)+(1.507152+(0.269076-0.22797))+0-226-0.230520000000036</f>
        <v>1293.2177379999998</v>
      </c>
      <c r="P166" s="3">
        <f>1469.2+(304.9-246.3)+(1.498584+(0.310998-0.251226))+0-228-0.232560000000036</f>
        <v>1301.1257959999998</v>
      </c>
      <c r="Q166" s="3">
        <f>1462.5+(391.1-251)+(0.745875+(0.199461-0.12801))+0-228-0.116279999999977</f>
        <v>1375.301046</v>
      </c>
      <c r="R166" s="3">
        <f>1450.8+(510.5-226.6)+(0.739908+(0.260355-0.115566))+0-227-0.115769999999977</f>
        <v>1508.4689269999999</v>
      </c>
      <c r="S166" s="3">
        <f>1441.1+(651-211.9)+(-0.734961+(-0.33201--0.108069))+0-228--0.116279999999977</f>
        <v>1651.3573779999997</v>
      </c>
      <c r="T166" s="3">
        <f>1448.9+(710.9-227.4)+(0.738939+(0.362559-0.115974))+0-228-0.116279999999977</f>
        <v>1705.2692440000001</v>
      </c>
      <c r="U166" s="3">
        <f>1452.7+(720.7-249.7)+(-0.740877+(-0.367557--0.127347))+0-228--0.116279999999977</f>
        <v>1694.8351930000001</v>
      </c>
      <c r="V166" s="3">
        <f>1451.2+(642.1-248.8)+(-2.220336+(-0.982413--0.380664))+0-228--0.348840000000013</f>
        <v>1614.0267550000001</v>
      </c>
      <c r="W166" s="3">
        <f>1454.4+(449.4-245.6)+(0+(0-0))+0-227-0</f>
        <v>1431.2</v>
      </c>
      <c r="X166" s="3">
        <f>1464.9+(299.6-254.6)+(0.747099+(0.152796-0.129846))+0-227-0.115769999999977</f>
        <v>1283.5542790000002</v>
      </c>
      <c r="Y166" s="3">
        <f>1552.5+(335.7-269.9)+(1.58355+(0.342414-0.275298))+0-227-0.231540000000036</f>
        <v>1392.719126</v>
      </c>
      <c r="Z166" s="3">
        <f>1716.9+(332.5-272.6)+(-0.875619+(-0.169575--0.139026))+0-228--0.116279999999977</f>
        <v>1548.0101120000002</v>
      </c>
      <c r="AA166" s="3">
        <f>1731.5+(347.9-280.1)+(0.883065+(0.177429-0.142851))+0-228-0.116279999999977</f>
        <v>1572.101363</v>
      </c>
      <c r="AB166" s="3">
        <f>1719.1+(350.1-273.9)+(-1.753482+(-0.357102--0.279378))+0-228--0.232560000000036</f>
        <v>1565.701354</v>
      </c>
      <c r="AC166" s="3">
        <f>1711.2+(355-280.3)+(1.745424+(0.3621-0.285906))+0-227-0.231540000000036</f>
        <v>1560.490078</v>
      </c>
      <c r="AD166">
        <f t="shared" si="2"/>
        <v>35569.493024000003</v>
      </c>
      <c r="AE166" s="3">
        <f>1730+(316.6-301.1)+(0+(0-0))+0-221-0</f>
        <v>1524.5</v>
      </c>
    </row>
    <row r="167" spans="1:31" s="2" customFormat="1" x14ac:dyDescent="0.25">
      <c r="A167">
        <v>89</v>
      </c>
      <c r="B167">
        <v>6</v>
      </c>
      <c r="C167">
        <v>12</v>
      </c>
      <c r="D167">
        <v>7</v>
      </c>
      <c r="E167">
        <v>1</v>
      </c>
      <c r="F167" s="3">
        <f>1710.8+(358.9-277.1)+(0+(0-0))+0-227-0</f>
        <v>1565.6</v>
      </c>
      <c r="G167" s="3">
        <f>1711.6+(346.5-268.8)+(0.872916+(0.176715-0.137088))+0-228-0.116279999999977</f>
        <v>1562.0962629999999</v>
      </c>
      <c r="H167" s="3">
        <f>1718.7+(322.4-249.3)+(0+(0-0))+0-229-0</f>
        <v>1562.8</v>
      </c>
      <c r="I167" s="3">
        <f>1721.3+(308.6-242)+(4.389315+(0.78693-0.6171))+0-229-0.583949999999967</f>
        <v>1562.8751950000001</v>
      </c>
      <c r="J167" s="3">
        <f>1725.7+(294.1-231.4)+(-1.760214+(-0.299982--0.236028))+0-230--0.234600000000037</f>
        <v>1556.810432</v>
      </c>
      <c r="K167" s="3">
        <f>1738.3+(258.5-246)+(-4.432665+(-0.659175--0.6273))+0-228--0.581399999999967</f>
        <v>1518.91686</v>
      </c>
      <c r="L167" s="3">
        <f>1741.5+(208-287.6)+(-4.440825+(-0.5304--0.73338))+0-225--0.573749999999967</f>
        <v>1433.235905</v>
      </c>
      <c r="M167" s="3">
        <f>1738.7+(132.7-271)+(-3.546948+(-0.270708--0.55284))+0-223--0.45491999999999</f>
        <v>1374.5901039999999</v>
      </c>
      <c r="N167" s="3">
        <f>1728+(140.8-280.7)+(0.88128+(0.071808-0.143157))+0-223-0.113729999999977</f>
        <v>1365.7962009999999</v>
      </c>
      <c r="O167" s="3">
        <f>1715.7+(165.6-304.1)+(0+(0-0))+0-224-0</f>
        <v>1353.2</v>
      </c>
      <c r="P167" s="3">
        <f>1711.3+(216.7-339.8)+(-0.872763+(-0.110517--0.173298))+0-224--0.114239999999977</f>
        <v>1363.5042579999997</v>
      </c>
      <c r="Q167" s="3">
        <f>1708.5+(282.4-350.9)+(-0.871335+(-0.144024--0.178959))+0-223--0.113729999999977</f>
        <v>1416.2773300000001</v>
      </c>
      <c r="R167" s="3">
        <f>1703.5+(349.3-328.6)+(-0.868785+(-0.178143--0.167586))+0-223--0.113729999999977</f>
        <v>1500.4343880000001</v>
      </c>
      <c r="S167" s="3">
        <f>1698.6+(414.6-299.2)+(-1.732572+(-0.422892--0.305184))+0-223--0.227460000000036</f>
        <v>1589.37718</v>
      </c>
      <c r="T167" s="3">
        <f>1694.2+(492.4-286)+(0+(0-0))+0-223-0</f>
        <v>1677.6</v>
      </c>
      <c r="U167" s="3">
        <f>1691+(500.8-280.9)+(-2.58723+(-0.766224--0.429777))+0-223--0.341190000000013</f>
        <v>1685.3175130000002</v>
      </c>
      <c r="V167" s="3">
        <f>1682.6+(425.3-276.5)+(-0.858126+(-0.216903--0.141015))+0-225--0.114749999999977</f>
        <v>1605.5807359999999</v>
      </c>
      <c r="W167" s="3">
        <f>1685.8+(271.7-293.7)+(-2.579274+(-0.415701--0.449361))+0-226--0.345780000000013</f>
        <v>1435.6001660000002</v>
      </c>
      <c r="X167" s="3">
        <f>1707.3+(215.4-426.2)+(-4.353615+(-0.54927--1.08681))+0-224--0.571199999999968</f>
        <v>1269.2551249999999</v>
      </c>
      <c r="Y167" s="3">
        <f>1721.3+(266.7-349.3)+(0+(0-0))+0-226-0</f>
        <v>1412.6999999999998</v>
      </c>
      <c r="Z167" s="3">
        <f>1736.3+(359.8-294.4)+(-1.771026+(-0.366996--0.300288))+0-225--0.229500000000036</f>
        <v>1575.0917660000002</v>
      </c>
      <c r="AA167" s="3">
        <f>1741.1+(359-271)+(-3.551844+(-0.73236--0.55284))+0-225--0.45899999999999</f>
        <v>1600.827636</v>
      </c>
      <c r="AB167" s="3">
        <f>1740.7+(389.5-274.9)+(-0.887757+(-0.198645--0.140199))+0-225--0.114749999999977</f>
        <v>1629.4685470000002</v>
      </c>
      <c r="AC167" s="3">
        <f>1722.8+(424.6-276.5)+(-0.878628+(-0.216546--0.141015))+0-224--0.114239999999977</f>
        <v>1646.0600810000001</v>
      </c>
      <c r="AD167">
        <f t="shared" si="2"/>
        <v>36263.015685999999</v>
      </c>
      <c r="AE167" s="3">
        <f>1744+(350.4-287.9)+(0+(0-0))+0-224-0</f>
        <v>1582.5</v>
      </c>
    </row>
    <row r="168" spans="1:31" s="2" customFormat="1" x14ac:dyDescent="0.25">
      <c r="A168">
        <v>89</v>
      </c>
      <c r="B168">
        <v>6</v>
      </c>
      <c r="C168">
        <v>13</v>
      </c>
      <c r="D168">
        <v>1</v>
      </c>
      <c r="E168">
        <v>1</v>
      </c>
      <c r="F168" s="3">
        <f>1691.8+(426-283)+(-2.588454+(-0.65178--0.43299))+0-224--0.342720000000013</f>
        <v>1608.335476</v>
      </c>
      <c r="G168" s="3">
        <f>1693+(264.6-297.3)+(-2.59029+(-0.404838--0.454869))+130-226--0.345780000000013</f>
        <v>1562.105521</v>
      </c>
      <c r="H168" s="3">
        <f>1695.4+(312-241.9)+(-1.729308+(-0.31824--0.246738))+30-227--0.231540000000036</f>
        <v>1566.93073</v>
      </c>
      <c r="I168" s="3">
        <f>1638.6+(254-254.1)+(0.835686+(0.12954-0.129591))+106.5-227-0.115769999999977</f>
        <v>1518.719865</v>
      </c>
      <c r="J168" s="3">
        <f>1077.7+(616.1-193.8)+(0.549627+(0.314211-0.098838))+300-224-0.114239999999977</f>
        <v>1576.6507600000002</v>
      </c>
      <c r="K168" s="3">
        <f>728.3+(327.3-145.9)+(-1.857165+(-0.834615--0.372045))+398.3-0-0</f>
        <v>1305.680265</v>
      </c>
      <c r="L168" s="3">
        <f>759.9+(362.7-165.1)+(-2.712843+(-1.294839--0.589407))+260-0-0</f>
        <v>1214.081725</v>
      </c>
      <c r="M168" s="3">
        <f>779.8+(423.4-140.2)+(0+(0-0))+260-30-0</f>
        <v>1293</v>
      </c>
      <c r="N168" s="3">
        <f>764.9+(744.1-120)+(0+(0-0))+150-169-0</f>
        <v>1370</v>
      </c>
      <c r="O168" s="3">
        <f>761.7+(846.2-132.9)+(0.388467+(0.431562-0.067779))+80-199-0.10148999999998</f>
        <v>1356.65076</v>
      </c>
      <c r="P168" s="3">
        <f>844+(843.1-169.3)+(1.29132+(1.289943-0.259029))+0-186-0.284580000000011</f>
        <v>1333.8376539999999</v>
      </c>
      <c r="Q168" s="3">
        <f>984.4+(880.5-205.6)+(2.008176+(1.79622-0.419424))+0-209-0.426359999999991</f>
        <v>1453.2586120000001</v>
      </c>
      <c r="R168" s="3">
        <f>947+(1046.9-189.3)+(0+(0-0))+0-215-0</f>
        <v>1589.6000000000001</v>
      </c>
      <c r="S168" s="3">
        <f>967.5+(1100.1-177.4)+(-1.480275+(-1.683153--0.271422))+0-203--0.310590000000012</f>
        <v>1684.6185839999998</v>
      </c>
      <c r="T168" s="3">
        <f>1005.6+(1106.4-167)+(0+(0-0))+0-209-0</f>
        <v>1736</v>
      </c>
      <c r="U168" s="3">
        <f>1006.4+(1069.9-166.1)+(0+(0-0))+0-214-0</f>
        <v>1696.2</v>
      </c>
      <c r="V168" s="3">
        <f>1011.1+(1026-176.7)+(-1.031322+(-1.04652--0.180234))+0-216--0.220320000000034</f>
        <v>1642.7227120000002</v>
      </c>
      <c r="W168" s="3">
        <f>1018.2+(843.3-178.9)+(-1.557846+(-1.290249--0.273717))+0-215--0.328950000000012</f>
        <v>1465.354572</v>
      </c>
      <c r="X168" s="3">
        <f>1082.7+(623.9-206.3)+(-3.313062+(-1.909134--0.631278))+0-214--0.654840000000025</f>
        <v>1282.3639219999998</v>
      </c>
      <c r="Y168" s="3">
        <f>1248.5+(606.7-230.7)+(-2.54694+(-1.237668--0.470628))+0-217--0.442679999999991</f>
        <v>1404.6287</v>
      </c>
      <c r="Z168" s="3">
        <f>1282.5+(709.9-208.5)+(-2.6163+(-1.448196--0.42534))+0-219--0.44675999999999</f>
        <v>1561.7076040000002</v>
      </c>
      <c r="AA168" s="3">
        <f>1290.5+(747.3-205.5)+(-1.974465+(-1.143369--0.314415))+0-227--0.347310000000013</f>
        <v>1602.843891</v>
      </c>
      <c r="AB168" s="3">
        <f>1293.6+(752.3-201.9)+(-1.319472+(-0.767346--0.205938))+0-228--0.232560000000036</f>
        <v>1614.3516800000002</v>
      </c>
      <c r="AC168" s="3">
        <f>1295.3+(774.7-201.9)+(-1.981809+(-1.185291--0.308907))+0-228--0.348840000000013</f>
        <v>1637.590647</v>
      </c>
      <c r="AD168">
        <f t="shared" si="2"/>
        <v>36077.233679999998</v>
      </c>
      <c r="AE168" s="3">
        <f>1301+(713.2-220.9)+(0+(0-0))+0-218-0</f>
        <v>1575.3000000000002</v>
      </c>
    </row>
    <row r="169" spans="1:31" s="2" customFormat="1" x14ac:dyDescent="0.25">
      <c r="A169">
        <v>89</v>
      </c>
      <c r="B169">
        <v>6</v>
      </c>
      <c r="C169">
        <v>14</v>
      </c>
      <c r="D169">
        <v>2</v>
      </c>
      <c r="E169">
        <v>1</v>
      </c>
      <c r="F169" s="3">
        <f>1280.9+(777.6-184.9)+(-0.653259+(-0.396576--0.094299))+0-231--0.117809999999977</f>
        <v>1641.7622740000002</v>
      </c>
      <c r="G169" s="3">
        <f>1340.5+(682.8-175)+(-2.050965+(-1.044684--0.26775))+0-231--0.353430000000013</f>
        <v>1614.8255310000002</v>
      </c>
      <c r="H169" s="3">
        <f>1380.3+(641.4-190.6)+(0+(0-0))+0-236-0</f>
        <v>1595.1</v>
      </c>
      <c r="I169" s="3">
        <f>1388.2+(602.2-190)+(0+(0-0))+0-232-0</f>
        <v>1568.4</v>
      </c>
      <c r="J169" s="3">
        <f>1378.3+(550.8-184.2)+(2.811732+(1.123632-0.375768))+0-229-0.46715999999999</f>
        <v>1518.992436</v>
      </c>
      <c r="K169" s="3">
        <f>1385.7+(494.2-174.6)+(-1.413414+(-0.504084--0.178092))+0-228--0.232560000000036</f>
        <v>1475.7931540000004</v>
      </c>
      <c r="L169" s="3">
        <f>1385.2+(391.9-168.7)+(-2.825808+(-0.799476--0.344148))+0-226--0.46103999999999</f>
        <v>1379.5799039999999</v>
      </c>
      <c r="M169" s="3">
        <f>1382+(332.5-182.4)+(2.11446+(0.508725-0.279072))+0-226-0.345780000000013</f>
        <v>1308.0983329999999</v>
      </c>
      <c r="N169" s="3">
        <f>1370.7+(351.5-199.9)+(-0.699057+(-0.179265--0.101949))+0-225--0.114749999999977</f>
        <v>1296.638377</v>
      </c>
      <c r="O169" s="3">
        <f>1364+(358.7-183.7)+(0+(0-0))+0-223-0</f>
        <v>1316</v>
      </c>
      <c r="P169" s="3">
        <f>1357.5+(411.1-202.3)+(2.076975+(0.628983-0.309519))+0-224-0.342720000000013</f>
        <v>1344.353719</v>
      </c>
      <c r="Q169" s="3">
        <f>1358.4+(516.8-213.1)+(0.692784+(0.263568-0.108681))+0-222-0.113219999999977</f>
        <v>1440.8344509999999</v>
      </c>
      <c r="R169" s="3">
        <f>1356.1+(649.6-215.2)+(0.691611+(0.331296-0.109752))+0-221-0.112709999999978</f>
        <v>1570.3004450000001</v>
      </c>
      <c r="S169" s="3">
        <f>1487+(750.1-212.2)+(-0.75837+(-0.382551--0.108222))+0-221--0.112709999999978</f>
        <v>1802.9800109999999</v>
      </c>
      <c r="T169" s="3">
        <f>1426+(732.9-191.6)+(0.72726+(0.373779-0.097716))+0-220-0.112199999999978</f>
        <v>1748.1911229999998</v>
      </c>
      <c r="U169" s="3">
        <f>1517+(654.3-200.3)+(-2.32101+(-1.001079--0.306459))+0-220--0.336600000000013</f>
        <v>1748.32097</v>
      </c>
      <c r="V169" s="3">
        <f>1519+(573-209.2)+(0+(0-0))+0-220-0</f>
        <v>1662.8</v>
      </c>
      <c r="W169" s="3">
        <f>1523+(393.4-225.4)+(-3.10692+(-0.802536--0.459816))+0-220--0.44879999999999</f>
        <v>1467.9991599999998</v>
      </c>
      <c r="X169" s="3">
        <f>1523+(275-283.3)+(-2.33019+(-0.42075--0.433449))+0-220--0.336600000000013</f>
        <v>1292.7191090000001</v>
      </c>
      <c r="Y169" s="3">
        <f>1511.8+(337.7-282.2)+(-0.771018+(-0.172227--0.143922))+0-221--0.112709999999978</f>
        <v>1345.6133869999999</v>
      </c>
      <c r="Z169" s="3">
        <f>1529.5+(456.8-250.9)+(-1.56009+(-0.465936--0.255918))+0-221--0.225420000000035</f>
        <v>1512.8553120000001</v>
      </c>
      <c r="AA169" s="3">
        <f>1539.4+(481.5-241.4)+(-1.570188+(-0.49113--0.246228))+0-219--0.223380000000035</f>
        <v>1558.9082900000001</v>
      </c>
      <c r="AB169" s="3">
        <f>1555+(474.6-236.6)+(-0.79305+(-0.242046--0.120666))+0-219--0.111689999999978</f>
        <v>1573.1972599999999</v>
      </c>
      <c r="AC169" s="3">
        <f>1546.1+(489.2-231.4)+(-2.365533+(-0.748476--0.354042))+0-220--0.336600000000013</f>
        <v>1581.476633</v>
      </c>
      <c r="AD169">
        <f t="shared" si="2"/>
        <v>36365.739879000001</v>
      </c>
      <c r="AE169" s="3">
        <f>1532+(455.6-267.7)+(0+(0-0))+0-219-0</f>
        <v>1500.9</v>
      </c>
    </row>
    <row r="170" spans="1:31" s="2" customFormat="1" x14ac:dyDescent="0.25">
      <c r="A170">
        <v>89</v>
      </c>
      <c r="B170">
        <v>6</v>
      </c>
      <c r="C170">
        <v>15</v>
      </c>
      <c r="D170">
        <v>3</v>
      </c>
      <c r="E170">
        <v>1</v>
      </c>
      <c r="F170" s="3">
        <f>1544.1+(509.5-234.2)+(-2.362473+(-0.779535--0.358326))+0-223--0.341190000000013</f>
        <v>1593.957508</v>
      </c>
      <c r="G170" s="3">
        <f>1540.3+(488.3-218.1)+(-2.356659+(-0.747099--0.333693))+0-224--0.342720000000013</f>
        <v>1584.0726550000002</v>
      </c>
      <c r="H170" s="3">
        <f>1549.4+(441.9-209.9)+(-1.580388+(-0.450738--0.214098))+0-223--0.227460000000036</f>
        <v>1556.8104320000002</v>
      </c>
      <c r="I170" s="3">
        <f>1556.7+(422.9-232)+(-2.381751+(-0.647037--0.35496))+0-223--0.341190000000013</f>
        <v>1522.267362</v>
      </c>
      <c r="J170" s="3">
        <f>1562.5+(390.5-232.6)+(-1.59375+(-0.39831--0.237252))+0-222--0.226440000000035</f>
        <v>1496.8716320000003</v>
      </c>
      <c r="K170" s="3">
        <f>1577.4+(314.9-217.9)+(-3.217896+(-0.642396--0.444516))+0-222--0.45287999999999</f>
        <v>1449.4371040000001</v>
      </c>
      <c r="L170" s="3">
        <f>1575.5+(207.1-204)+(-7.231545+(-0.950589--0.93636))+0-222--1.01898000000004</f>
        <v>1350.373206</v>
      </c>
      <c r="M170" s="3">
        <f>1566+(155.5-206.7)+(-2.39598+(-0.237915--0.316251))+0-222--0.339660000000013</f>
        <v>1290.8220160000001</v>
      </c>
      <c r="N170" s="3">
        <f>1557.4+(216.6-247.8)+(-1.588548+(-0.220932--0.252756))+0-221--0.225420000000035</f>
        <v>1303.868696</v>
      </c>
      <c r="O170" s="3">
        <f>1569.7+(241.9-267.1)+(-2.401641+(-0.370107--0.408663))+0-223--0.341190000000013</f>
        <v>1319.4781050000001</v>
      </c>
      <c r="P170" s="3">
        <f>1560.1+(291.9-274.8)+(-3.182604+(-0.595476--0.560592))+0-224--0.45695999999999</f>
        <v>1350.4394719999998</v>
      </c>
      <c r="Q170" s="3">
        <f>1643.6+(296.3-290.1)+(2.514708+(0.453339-0.443853))+0-219-0.335070000000013</f>
        <v>1432.9891239999999</v>
      </c>
      <c r="R170" s="3">
        <f>1721+(321.8-283.3)+(0+(0-0))+0-219-0</f>
        <v>1540.5</v>
      </c>
      <c r="S170" s="3">
        <f>1721.7+(441.8-273.3)+(0+(0-0))+0-217-0</f>
        <v>1673.2</v>
      </c>
      <c r="T170" s="3">
        <f>1722.9+(493-264.9)+(0.878679+(0.25143-0.135099))+0-220-0.112199999999978</f>
        <v>1731.8828100000001</v>
      </c>
      <c r="U170" s="3">
        <f>1718.1+(480.7-264.9)+(-1.752462+(-0.490314--0.270198))+0-219--0.223380000000035</f>
        <v>1713.1508019999999</v>
      </c>
      <c r="V170" s="3">
        <f>1713.7+(383.5-257.9)+(-1.747974+(-0.39117--0.263058))+0-221--0.225420000000035</f>
        <v>1616.6493340000002</v>
      </c>
      <c r="W170" s="3">
        <f>1711.1+(249.6-297.5)+(-2.617983+(-0.381888--0.455175))+0-221--0.338130000000013</f>
        <v>1439.993434</v>
      </c>
      <c r="X170" s="3">
        <f>1715.9+(145.5-365)+(-1.750218+(-0.14841--0.3723))+0-221--0.225420000000035</f>
        <v>1274.0990920000002</v>
      </c>
      <c r="Y170" s="3">
        <f>1731.8+(237.9-342.4)+(0.883218+(0.121329-0.174624))+0-220-0.112199999999978</f>
        <v>1408.0177229999999</v>
      </c>
      <c r="Z170" s="3">
        <f>1740.3+(307-290.7)+(-0.887553+(-0.15657--0.148257))+0-221--0.112709999999978</f>
        <v>1534.8168439999997</v>
      </c>
      <c r="AA170" s="3">
        <f>1750.8+(289.3-258.3)+(-2.678724+(-0.442629--0.395199))+0-222--0.339660000000013</f>
        <v>1557.4135060000001</v>
      </c>
      <c r="AB170" s="3">
        <f>1755.7+(292.1-248.1)+(0+(0-0))+0-221-0</f>
        <v>1578.7</v>
      </c>
      <c r="AC170" s="3">
        <f>1743.6+(308.9-246.6)+(-0.889236+(-0.157539--0.125766))+0-221--0.112709999999978</f>
        <v>1584.0917009999998</v>
      </c>
      <c r="AD170">
        <f t="shared" si="2"/>
        <v>35903.902558000002</v>
      </c>
      <c r="AE170" s="3">
        <f>1739+(304.5-301.5)+(0+(0-0))+0-220-0</f>
        <v>1522</v>
      </c>
    </row>
    <row r="171" spans="1:31" s="2" customFormat="1" x14ac:dyDescent="0.25">
      <c r="A171">
        <v>89</v>
      </c>
      <c r="B171">
        <v>6</v>
      </c>
      <c r="C171">
        <v>16</v>
      </c>
      <c r="D171">
        <v>4</v>
      </c>
      <c r="E171">
        <v>1</v>
      </c>
      <c r="F171" s="3">
        <f>1745.1+(316.2-267.9)+(-1.780002+(-0.322524--0.273258))+0-221--0.225420000000035</f>
        <v>1570.7961519999999</v>
      </c>
      <c r="G171" s="3">
        <f>1748.2+(233.5-327.4)+(-4.45791+(-0.595425--0.83487))+168-211--0.538049999999969</f>
        <v>1607.6195850000001</v>
      </c>
      <c r="H171" s="3">
        <f>1739.4+(228.5-330.1)+(0.887094+(0.116535-0.168351))+0-198-0.10097999999998</f>
        <v>1440.5342980000003</v>
      </c>
      <c r="I171" s="3">
        <f>1748.4+(229.1-323.6)+(-4.45842+(-0.584205--0.82518))+0-209--0.53294999999997</f>
        <v>1441.2155050000001</v>
      </c>
      <c r="J171" s="3">
        <f>1750.4+(195.2-314.6)+(0.892704+(0.099552-0.160446))+0-217-0.110669999999978</f>
        <v>1414.7211399999999</v>
      </c>
      <c r="K171" s="3">
        <f>1756.4+(159.8-338.5)+(-4.47882+(-0.40749--0.863175))+0-221--0.563549999999968</f>
        <v>1353.2404150000002</v>
      </c>
      <c r="L171" s="3">
        <f>1761.7+(58.9-333.5)+(-4.492335+(-0.150195--0.850425))+0-220--0.560999999999968</f>
        <v>1263.8688949999998</v>
      </c>
      <c r="M171" s="3">
        <f>1758+(41.8-390)+(0+(0-0))+0-218-0</f>
        <v>1191.8</v>
      </c>
      <c r="N171" s="3">
        <f>1734.9+(139.6-425.2)+(0.884799+(0.071196-0.216852))+0-219-0.111689999999978</f>
        <v>1230.9274530000002</v>
      </c>
      <c r="O171" s="3">
        <f>1724.3+(182.6-443)+(2.638179+(0.279378-0.67779))+0-221-0.338130000000013</f>
        <v>1244.801637</v>
      </c>
      <c r="P171" s="3">
        <f>1717.2+(205.7-433.2)+(-0.875772+(-0.104907--0.220932))+0-221--0.112709999999978</f>
        <v>1268.0529629999999</v>
      </c>
      <c r="Q171" s="3">
        <f>1709.7+(236.3-374.5)+(0.871947+(0.120513-0.190995))+0-220-0.112199999999978</f>
        <v>1352.189265</v>
      </c>
      <c r="R171" s="3">
        <f>1703+(287.2-302.2)+(0.86853+(0.146472-0.154122))+0-223-0.113729999999977</f>
        <v>1465.7471499999999</v>
      </c>
      <c r="S171" s="3">
        <f>1552.2+(533-262)+(-1.583244+(-0.54366--0.26724))+0-223--0.227460000000036</f>
        <v>1598.567796</v>
      </c>
      <c r="T171" s="3">
        <f>1445.1+(675.9-238)+(0+(0-0))+0-223-0</f>
        <v>1660</v>
      </c>
      <c r="U171" s="3">
        <f>1437.4+(669.1-223.3)+(-0.733074+(-0.341241--0.113883))+0-222--0.113219999999977</f>
        <v>1660.3527879999999</v>
      </c>
      <c r="V171" s="3">
        <f>1583+(498.2-277.1)+(-1.61466+(-0.508164--0.282642))+0-221--0.225420000000035</f>
        <v>1581.485238</v>
      </c>
      <c r="W171" s="3">
        <f>1649.2+(338-295.9)+(-0.841092+(-0.17238--0.150909))+0-221--0.112709999999978</f>
        <v>1469.5501470000002</v>
      </c>
      <c r="X171" s="3">
        <f>1660.6+(303-416.6)+(0+(0-0))+0-222-0</f>
        <v>1325</v>
      </c>
      <c r="Y171" s="3">
        <f>1670.5+(286.8-368.9)+(-1.70391+(-0.292536--0.376278))+0-222--0.226440000000035</f>
        <v>1365.0062720000003</v>
      </c>
      <c r="Z171" s="3">
        <f>1690.8+(315.1-291.7)+(-2.586924+(-0.482103--0.446301))+0-222--0.339660000000013</f>
        <v>1489.9169340000001</v>
      </c>
      <c r="AA171" s="3">
        <f>1711.1+(319.4-290.6)+(-2.617983+(-0.488682--0.444618))+0-221--0.338130000000013</f>
        <v>1516.5760829999999</v>
      </c>
      <c r="AB171" s="3">
        <f>1697.1+(328.6-284.8)+(-0.865521+(-0.167586--0.145248))+0-222--0.113219999999977</f>
        <v>1518.1253609999999</v>
      </c>
      <c r="AC171" s="3">
        <f>1699.8+(379.5-299.6)+(-1.733796+(-0.38709--0.305592))+0-220--0.224400000000035</f>
        <v>1558.1091059999999</v>
      </c>
      <c r="AD171">
        <f t="shared" si="2"/>
        <v>34588.204182999994</v>
      </c>
      <c r="AE171" s="3">
        <f>1681+(308.7-293.1)+(0+(0-0))+0-221-0</f>
        <v>1475.6</v>
      </c>
    </row>
    <row r="172" spans="1:31" s="2" customFormat="1" x14ac:dyDescent="0.25">
      <c r="A172">
        <v>89</v>
      </c>
      <c r="B172">
        <v>6</v>
      </c>
      <c r="C172">
        <v>17</v>
      </c>
      <c r="D172">
        <v>5</v>
      </c>
      <c r="E172">
        <v>1</v>
      </c>
      <c r="F172" s="3">
        <f>1699.3+(381.5-256.3)+(-0.866643+(-0.194565--0.130713))+0-221--0.112709999999978</f>
        <v>1602.6822149999998</v>
      </c>
      <c r="G172" s="3">
        <f>1701+(362.7-248.1)+(-3.47004+(-0.739908--0.506124))+0-221--0.45083999999999</f>
        <v>1591.3470159999999</v>
      </c>
      <c r="H172" s="3">
        <f>1700.1+(341.6-244.5)+(-2.601153+(-0.522648--0.374085))+0-221--0.338130000000013</f>
        <v>1573.7884139999999</v>
      </c>
      <c r="I172" s="3">
        <f>1699+(308.4-230.3)+(-2.59947+(-0.471852--0.352359))+0-220--0.336600000000013</f>
        <v>1554.717637</v>
      </c>
      <c r="J172" s="3">
        <f>1691.5+(266.7-213.7)+(0.862665+(0.136017-0.108987))+0-220-0.112199999999978</f>
        <v>1525.277495</v>
      </c>
      <c r="K172" s="3">
        <f>1696.5+(197.3-203.8)+(-2.595645+(-0.301869--0.311814))+0-219--0.335070000000013</f>
        <v>1468.74937</v>
      </c>
      <c r="L172" s="3">
        <f>1703.2+(120.8-234.2)+(-0.868632+(-0.061608--0.119442))+0-219--0.111689999999978</f>
        <v>1370.1008919999999</v>
      </c>
      <c r="M172" s="3">
        <f>1708.3+(83-286.2)+(-0.871233+(-0.04233--0.145962))+0-217--0.110669999999978</f>
        <v>1287.4430689999999</v>
      </c>
      <c r="N172" s="3">
        <f>1697.6+(150-343.9)+(-2.597328+(-0.2295--0.526167))+0-218--0.333540000000013</f>
        <v>1283.7328789999999</v>
      </c>
      <c r="O172" s="3">
        <f>1678.2+(195-356.3)+(-1.711764+(-0.1989--0.363426))+0-217--0.221340000000035</f>
        <v>1298.574102</v>
      </c>
      <c r="P172" s="3">
        <f>1668+(248-360.6)+(-2.55204+(-0.37944--0.551718))+0-220--0.336600000000013</f>
        <v>1333.3568380000002</v>
      </c>
      <c r="Q172" s="3">
        <f>1666.5+(274.9-323.2)+(-0.849915+(-0.140199--0.164832))+0-220--0.112199999999978</f>
        <v>1397.4869180000001</v>
      </c>
      <c r="R172" s="3">
        <f>1675.2+(354-291.7)+(-0.854352+(-0.18054--0.148767))+0-220--0.112199999999978</f>
        <v>1516.726075</v>
      </c>
      <c r="S172" s="3">
        <f>1666.6+(479.1-280.3)+(-1.699932+(-0.488682--0.285906))+0-220--0.224400000000035</f>
        <v>1643.7216919999998</v>
      </c>
      <c r="T172" s="3">
        <f>1662.6+(538.1-280.8)+(-0.847926+(-0.274431--0.143208))+0-219--0.111689999999978</f>
        <v>1700.0325409999998</v>
      </c>
      <c r="U172" s="3">
        <f>1667.7+(539.3-280.4)+(0.850527+(0.275043-0.143004))+0-218-0.111179999999978</f>
        <v>1709.4713859999999</v>
      </c>
      <c r="V172" s="3">
        <f>1697.6+(420.4-270.3)+(-2.597328+(-0.643212--0.413559))+0-219--0.335070000000013</f>
        <v>1626.208089</v>
      </c>
      <c r="W172" s="3">
        <f>1702.5+(246-289.7)+(-1.73655+(-0.25092--0.295494))+0-218--0.222360000000035</f>
        <v>1439.3303839999999</v>
      </c>
      <c r="X172" s="3">
        <f>1711.7+(203.3-429.7)+(-3.491868+(-0.414732--0.876588))+0-219--0.44675999999999</f>
        <v>1263.7167480000003</v>
      </c>
      <c r="Y172" s="3">
        <f>1731.5+(259.4-369.2)+(-0.883065+(-0.132294--0.188292))+0-218--0.111179999999978</f>
        <v>1402.984113</v>
      </c>
      <c r="Z172" s="3">
        <f>1753.7+(305.3-289.1)+(-2.683161+(-0.467109--0.442323))+0-218--0.333540000000013</f>
        <v>1549.5255930000001</v>
      </c>
      <c r="AA172" s="3">
        <f>1755.3+(298.9-266.4)+(-1.790406+(-0.304878--0.271728))+0-218--0.222360000000035</f>
        <v>1568.1988039999999</v>
      </c>
      <c r="AB172" s="3">
        <f>1750.1+(302.1-258.5)+(0.892551+(0.154071-0.131835))+0-218-0.111179999999978</f>
        <v>1576.5036069999999</v>
      </c>
      <c r="AC172" s="3">
        <f>1692+(369-240)+(-3.45168+(-0.75276--0.4896))+0-219--0.44675999999999</f>
        <v>1598.7319199999999</v>
      </c>
      <c r="AD172">
        <f t="shared" si="2"/>
        <v>35882.407796999993</v>
      </c>
      <c r="AE172" s="3">
        <f>1751+(310.6-300.3)+(0+(0-0))+0-225-0</f>
        <v>1536.3</v>
      </c>
    </row>
    <row r="173" spans="1:31" s="2" customFormat="1" x14ac:dyDescent="0.25">
      <c r="A173">
        <v>89</v>
      </c>
      <c r="B173">
        <v>6</v>
      </c>
      <c r="C173">
        <v>18</v>
      </c>
      <c r="D173">
        <v>6</v>
      </c>
      <c r="E173">
        <v>1</v>
      </c>
      <c r="F173" s="3">
        <f>1504.4+(508.3-217.5)+(0+(0-0))+0-219-0</f>
        <v>1576.2</v>
      </c>
      <c r="G173" s="3">
        <f>1497.1+(519.7-229.3)+(-1.527042+(-0.530094--0.233886))+0-220--0.224400000000035</f>
        <v>1565.9011500000001</v>
      </c>
      <c r="H173" s="3">
        <f>1496+(490.2-232.4)+(0+(0-0))+0-220-0</f>
        <v>1533.8</v>
      </c>
      <c r="I173" s="3">
        <f>1497.2+(449.4-223.1)+(-1.527144+(-0.458388--0.227562))+0-222--0.226440000000035</f>
        <v>1499.9684700000003</v>
      </c>
      <c r="J173" s="3">
        <f>1498.9+(399.4-213.9)+(0.764439+(0.203694-0.109089))+0-218-0.111179999999978</f>
        <v>1467.1478640000003</v>
      </c>
      <c r="K173" s="3">
        <f>1494.8+(338.5-201.1)+(0+(0-0))+0-222-0</f>
        <v>1410.2</v>
      </c>
      <c r="L173" s="3">
        <f>1504.6+(223.9-175.3)+(-1.534692+(-0.228378--0.178806))+0-218--0.222360000000035</f>
        <v>1333.8380959999997</v>
      </c>
      <c r="M173" s="3">
        <f>1501.6+(170.7-192.5)+(0.765816+(0.087057-0.098175))+0-219-0.111689999999978</f>
        <v>1261.443008</v>
      </c>
      <c r="N173" s="3">
        <f>1483.9+(223.3-223.4)+(-0.756789+(-0.113883--0.113934))+0-219--0.111689999999978</f>
        <v>1264.1549520000001</v>
      </c>
      <c r="O173" s="3">
        <f>1462.2+(304.8-277.5)+(0+(0-0))+0-214-0</f>
        <v>1275.5</v>
      </c>
      <c r="P173" s="3">
        <f>1445.9+(342.3-263.5)+(0.737409+(0.174573-0.134385))+0-225-0.114749999999977</f>
        <v>1300.3628470000001</v>
      </c>
      <c r="Q173" s="3">
        <f>1441.2+(418.5-272.9)+(0.735012+(0.213435-0.139179))+0-227-0.115769999999977</f>
        <v>1360.4934980000003</v>
      </c>
      <c r="R173" s="3">
        <f>1447.9+(549.7-294.1)+(-1.476858+(-0.560694--0.299982))+0-225--0.229500000000036</f>
        <v>1476.9919300000001</v>
      </c>
      <c r="S173" s="3">
        <f>1440.1+(685.8-295.7)+(-2.937804+(-1.399032--0.603228))+0-227--0.46307999999999</f>
        <v>1599.9294719999998</v>
      </c>
      <c r="T173" s="3">
        <f>1435.9+(733.5-289.1)+(-1.464618+(-0.74817--0.294882))+0-223--0.227460000000036</f>
        <v>1655.6095540000003</v>
      </c>
      <c r="U173" s="3">
        <f>1437.3+(719.7-287.1)+(0+(0-0))+0-219-0</f>
        <v>1650.9</v>
      </c>
      <c r="V173" s="3">
        <f>1428.8+(643.5-284.6)+(-1.457376+(-0.65637--0.290292))+0-220--0.224400000000035</f>
        <v>1566.1009459999998</v>
      </c>
      <c r="W173" s="3">
        <f>1423.3+(419.6-258.4)+(-2.903532+(-0.855984--0.527136))+0-220--0.44879999999999</f>
        <v>1361.71642</v>
      </c>
      <c r="X173" s="3">
        <f>1435.9+(266.7-270.9)+(1.464618+(0.272034-0.276318))+0-220-0.224400000000035</f>
        <v>1212.9359340000001</v>
      </c>
      <c r="Y173" s="3">
        <f>1456+(365.2-274.6)+(0.74256+(0.186252-0.140046))+0-220-0.112199999999978</f>
        <v>1327.2765659999998</v>
      </c>
      <c r="Z173" s="3">
        <f>1486.8+(462.4-274.1)+(-1.516536+(-0.471648--0.279582))+0-222--0.226440000000035</f>
        <v>1451.6178380000001</v>
      </c>
      <c r="AA173" s="3">
        <f>1505+(463.3-262.2)+(-1.5351+(-0.472566--0.267444))+0-221--0.225420000000035</f>
        <v>1483.585198</v>
      </c>
      <c r="AB173" s="3">
        <f>1509.8+(473.5-253.7)+(-1.539996+(-0.48297--0.258774))+0-220--0.224400000000035</f>
        <v>1508.0602079999999</v>
      </c>
      <c r="AC173" s="3">
        <f>1515.8+(486.4-247.7)+(0+(0-0))+0-217-0</f>
        <v>1537.5</v>
      </c>
      <c r="AD173">
        <f t="shared" si="2"/>
        <v>34681.233951000009</v>
      </c>
      <c r="AE173" s="3">
        <f>1484+(468.5-275)+(0+(0-0))+0-222-0</f>
        <v>1455.5</v>
      </c>
    </row>
    <row r="174" spans="1:31" s="2" customFormat="1" x14ac:dyDescent="0.25">
      <c r="A174">
        <v>89</v>
      </c>
      <c r="B174">
        <v>6</v>
      </c>
      <c r="C174">
        <v>19</v>
      </c>
      <c r="D174">
        <v>7</v>
      </c>
      <c r="E174">
        <v>3</v>
      </c>
      <c r="F174" s="3">
        <f>1503.5+(483.5-232.6)+(-3.06714+(-0.98634--0.474504))+0-217--0.442679999999991</f>
        <v>1534.263704</v>
      </c>
      <c r="G174" s="3">
        <f>1498.4+(452.4-219.6)+(-2.292552+(-0.692172--0.335988))+0-218--0.333540000000013</f>
        <v>1510.884804</v>
      </c>
      <c r="H174" s="3">
        <f>1498.4+(444.4-225.5)+(-2.292552+(-0.679932--0.345015))+0-220--0.336600000000013</f>
        <v>1495.0091310000003</v>
      </c>
      <c r="I174" s="3">
        <f>1500.9+(405.9-218.2)+(-0.765459+(-0.207009--0.111282))+0-222--0.113219999999977</f>
        <v>1465.852034</v>
      </c>
      <c r="J174" s="3">
        <f>1501+(347.9-206.6)+(0+(0-0))+0-219-0</f>
        <v>1423.3</v>
      </c>
      <c r="K174" s="3">
        <f>1505+(282.1-199.2)+(0+(0-0))+0-218-0</f>
        <v>1369.9</v>
      </c>
      <c r="L174" s="3">
        <f>1503.1+(131.4-190.4)+(-5.366067+(-0.469098--0.679728))+0-216--0.771120000000003</f>
        <v>1223.7156830000001</v>
      </c>
      <c r="M174" s="3">
        <f>1439.6+(106.3-246.1)+(-0.734196+(-0.054213--0.125511))+0-215--0.109649999999978</f>
        <v>1084.2467519999998</v>
      </c>
      <c r="N174" s="3">
        <f>1417.2+(120.8-236.2)+(3.61386+(0.30804-0.60231))+0-216-0.550799999999969</f>
        <v>1088.56879</v>
      </c>
      <c r="O174" s="3">
        <f>1411.4+(156.7-233.3)+(-0.719814+(-0.079917--0.118983))+0-217--0.110669999999978</f>
        <v>1117.2299220000002</v>
      </c>
      <c r="P174" s="3">
        <f>1406.3+(211.8-265)+(-1.434426+(-0.216036--0.2703))+0-218--0.222360000000035</f>
        <v>1133.942198</v>
      </c>
      <c r="Q174" s="3">
        <f>1432.9+(286.6-294.5)+(-0.730779+(-0.146166--0.150195))+0-218--0.111179999999978</f>
        <v>1206.3844299999998</v>
      </c>
      <c r="R174" s="3">
        <f>1438.1+(402.2-311.4)+(-2.200293+(-0.615366--0.476442))+0-216--0.330480000000012</f>
        <v>1310.891263</v>
      </c>
      <c r="S174" s="3">
        <f>1445.4+(477.1-318.6)+(-1.474308+(-0.486642--0.324972))+0-216--0.220320000000034</f>
        <v>1386.4843420000002</v>
      </c>
      <c r="T174" s="3">
        <f>1435.6+(516.3-302.6)+(-1.464312+(-0.526626--0.308652))+0-216--0.220320000000034</f>
        <v>1431.8380339999999</v>
      </c>
      <c r="U174" s="3">
        <f>1433+(513.7-289.5)+(-0.73083+(-0.261987--0.147645))+0-218--0.111179999999978</f>
        <v>1438.4660079999999</v>
      </c>
      <c r="V174" s="3">
        <f>1433.2+(432.2-272.3)+(-2.192796+(-0.661266--0.416619))+0-216--0.330480000000012</f>
        <v>1374.993037</v>
      </c>
      <c r="W174" s="3">
        <f>1429.9+(263-253.9)+(-4.375494+(-0.80478--0.776934))+0-217--0.664020000000025</f>
        <v>1218.2606799999999</v>
      </c>
      <c r="X174" s="3">
        <f>1436.8+(111.6-263)+(-1.465536+(-0.113832--0.26826))+0-218--0.222360000000035</f>
        <v>1066.3112519999997</v>
      </c>
      <c r="Y174" s="3">
        <f>1450.7+(176.7-280.2)+(-1.479714+(-0.180234--0.285804))+0-218--0.222360000000035</f>
        <v>1128.0482160000001</v>
      </c>
      <c r="Z174" s="3">
        <f>1465.8+(295.8-279.2)+(-2.990232+(-0.603432--0.569568))+0-218--0.44471999999999</f>
        <v>1261.820624</v>
      </c>
      <c r="AA174" s="3">
        <f>1473.6+(342.8-269.9)+(-3.006144+(-0.699312--0.550596))+0-218--0.44471999999999</f>
        <v>1325.7898599999999</v>
      </c>
      <c r="AB174" s="3">
        <f>1483.4+(366.8-262.9)+(-0.756534+(-0.187068--0.134079))+0-218--0.111179999999978</f>
        <v>1368.6016570000002</v>
      </c>
      <c r="AC174" s="3">
        <f>1492.8+(389.2-246.3)+(-2.283984+(-0.595476--0.376839))+0-217--0.332010000000013</f>
        <v>1416.5293889999998</v>
      </c>
      <c r="AD174">
        <f t="shared" si="2"/>
        <v>31381.33181</v>
      </c>
      <c r="AE174" s="3">
        <f>1463+(314.7-279.8)+(0+(0-0))+0-219-0</f>
        <v>1278.9000000000001</v>
      </c>
    </row>
    <row r="175" spans="1:31" s="2" customFormat="1" x14ac:dyDescent="0.25">
      <c r="A175">
        <v>89</v>
      </c>
      <c r="B175">
        <v>6</v>
      </c>
      <c r="C175">
        <v>20</v>
      </c>
      <c r="D175">
        <v>1</v>
      </c>
      <c r="E175">
        <v>1</v>
      </c>
      <c r="F175" s="3">
        <f>1496.9+(382.3-235.4)+(-3.053676+(-0.779892--0.480216))+0-217--0.442679999999991</f>
        <v>1423.889328</v>
      </c>
      <c r="G175" s="3">
        <f>1501.5+(338-217.6)+(-2.297295+(-0.51714--0.332928))+0-216--0.330480000000012</f>
        <v>1403.7489730000002</v>
      </c>
      <c r="H175" s="3">
        <f>1503.4+(296.1-200)+(-4.600404+(-0.906066--0.612))+0-218--0.667080000000025</f>
        <v>1377.27261</v>
      </c>
      <c r="I175" s="3">
        <f>1500.1+(247.2-188)+(-1.530102+(-0.252144--0.19176))+0-217--0.221340000000035</f>
        <v>1340.930854</v>
      </c>
      <c r="J175" s="3">
        <f>1500.4+(189.3-170.9)+(-1.530408+(-0.193086--0.174318))+0-217--0.221340000000035</f>
        <v>1300.4721640000002</v>
      </c>
      <c r="K175" s="3">
        <f>1507.9+(140.5-168.2)+(0+(0-0))+0-216-0</f>
        <v>1264.2</v>
      </c>
      <c r="L175" s="3">
        <f>1519.9+(35.9-174)+(-5.426043+(-0.128163--0.62118))+0-216--0.771120000000003</f>
        <v>1161.6380940000004</v>
      </c>
      <c r="M175" s="3">
        <f>1516.1+(38.4-254.9)+(-2.319633+(-0.058752--0.389997))+0-216--0.330480000000012</f>
        <v>1081.942092</v>
      </c>
      <c r="N175" s="3">
        <f>1495.6+(58.5-256)+(-2.288268+(-0.089505--0.39168))+0-216--0.330480000000012</f>
        <v>1080.444387</v>
      </c>
      <c r="O175" s="3">
        <f>1472+(91.9-250.3)+(-0.75072+(-0.046869--0.127653))+0-217--0.110669999999978</f>
        <v>1096.0407339999999</v>
      </c>
      <c r="P175" s="3">
        <f>1460.9+(135.8-258)+(-1.490118+(-0.138516--0.26316))+0-219--0.223380000000035</f>
        <v>1118.5579060000002</v>
      </c>
      <c r="Q175" s="3">
        <f>1453+(204.5-268)+(-0.74103+(-0.104295--0.13668))+0-218--0.111179999999978</f>
        <v>1170.9025349999999</v>
      </c>
      <c r="R175" s="3">
        <f>1447.1+(289.7-259.8)+(-0.738021+(-0.147747--0.132498))+0-220--0.112199999999978</f>
        <v>1256.3589300000001</v>
      </c>
      <c r="S175" s="3">
        <f>1442.7+(433.1-267.5)+(-1.471554+(-0.441762--0.27285))+0-219--0.223380000000035</f>
        <v>1387.8829140000003</v>
      </c>
      <c r="T175" s="3">
        <f>1437.5+(501.7-267.8)+(0.733125+(0.255867-0.136578))+0-219-0.111689999999978</f>
        <v>1453.1407240000001</v>
      </c>
      <c r="U175" s="3">
        <f>1438.9+(508.9-261.2)+(-1.467678+(-0.519078--0.266424))+0-219--0.223380000000035</f>
        <v>1466.1030480000002</v>
      </c>
      <c r="V175" s="3">
        <f>1432.1+(439.5-246.6)+(0+(0-0))+0-218-0</f>
        <v>1407</v>
      </c>
      <c r="W175" s="3">
        <f>1433.5+(241-224.5)+(-3.655425+(-0.61455--0.572475))+0-221--0.563549999999968</f>
        <v>1225.8660500000001</v>
      </c>
      <c r="X175" s="3">
        <f>1438.7+(129.4-294.9)+(-4.402422+(-0.395964--0.902394))+0-221--0.676260000000026</f>
        <v>1048.980268</v>
      </c>
      <c r="Y175" s="3">
        <f>1446.6+(232.3-328.8)+(-0.737766+(-0.118473--0.167688))+0-222--0.113219999999977</f>
        <v>1127.5246689999999</v>
      </c>
      <c r="Z175" s="3">
        <f>1458.2+(338.6-306.9)+(-1.487364+(-0.345372--0.313038))+0-221--0.225420000000035</f>
        <v>1267.605722</v>
      </c>
      <c r="AA175" s="3">
        <f>1481.4+(378.7-295.1)+(-3.022056+(-0.772548--0.602004))+0-222--0.45287999999999</f>
        <v>1340.26028</v>
      </c>
      <c r="AB175" s="3">
        <f>1489.7+(397.7-282.9)+(-2.279241+(-0.608481--0.432837))+0-220--0.336600000000013</f>
        <v>1382.381715</v>
      </c>
      <c r="AC175" s="3">
        <f>1493.3+(413.2-264.9)+(-3.807915+(-1.05366--0.675495))+0-218--0.555899999999968</f>
        <v>1419.96982</v>
      </c>
      <c r="AD175">
        <f t="shared" si="2"/>
        <v>30603.113816999998</v>
      </c>
      <c r="AE175" s="3">
        <f>1462+(330-321.2)+(0+(0-0))+0-221-0</f>
        <v>1249.8</v>
      </c>
    </row>
    <row r="176" spans="1:31" s="2" customFormat="1" x14ac:dyDescent="0.25">
      <c r="A176">
        <v>89</v>
      </c>
      <c r="B176">
        <v>6</v>
      </c>
      <c r="C176">
        <v>21</v>
      </c>
      <c r="D176">
        <v>2</v>
      </c>
      <c r="E176">
        <v>1</v>
      </c>
      <c r="F176" s="3">
        <f>1496.9+(440.6-225.8)+(-2.290257+(-0.674118--0.345474))+0-219--0.335070000000013</f>
        <v>1490.4161690000001</v>
      </c>
      <c r="G176" s="3">
        <f>1496.2+(407-206.1)+(-0.763062+(-0.20757--0.105111))+0-220--0.112199999999978</f>
        <v>1476.3466790000002</v>
      </c>
      <c r="H176" s="3">
        <f>1497.7+(352.6-183.4)+(-1.527654+(-0.359652--0.187068))+0-221--0.225420000000035</f>
        <v>1444.4251820000002</v>
      </c>
      <c r="I176" s="3">
        <f>1502+(289.7-172.7)+(-2.29806+(-0.443241--0.264231))+0-220--0.336600000000013</f>
        <v>1396.8595300000002</v>
      </c>
      <c r="J176" s="3">
        <f>1504.6+(234.4-160.6)+(-2.302038+(-0.358632--0.245718))+0-219--0.335070000000013</f>
        <v>1357.3201179999999</v>
      </c>
      <c r="K176" s="3">
        <f>1508.3+(197.4-185.8)+(0+(0-0))+0-221-0</f>
        <v>1298.8999999999999</v>
      </c>
      <c r="L176" s="3">
        <f>1519.5+(136.4-278.4)+(-3.874725+(-0.34782--0.70992))+0-219--0.558449999999968</f>
        <v>1155.5458249999999</v>
      </c>
      <c r="M176" s="3">
        <f>1519.9+(100.9-336.9)+(0+(0-0))+0-217-0</f>
        <v>1066.9000000000001</v>
      </c>
      <c r="N176" s="3">
        <f>1483.6+(160.1-377.4)+(0.756636+(0.081651-0.192474))+0-213-0.108629999999978</f>
        <v>1053.8371830000001</v>
      </c>
      <c r="O176" s="3">
        <f>1464.4+(199.3-433.9)+(-2.240532+(-0.304929--0.663867))+0-187--0.286110000000011</f>
        <v>1041.2045160000002</v>
      </c>
      <c r="P176" s="3">
        <f>1448.4+(224.5-346.1)+(0+(0-0))+0-222-0</f>
        <v>1104.8000000000002</v>
      </c>
      <c r="Q176" s="3">
        <f>1435.7+(253.6-265.6)+(0+(0-0))+0-222-0</f>
        <v>1201.7</v>
      </c>
      <c r="R176" s="3">
        <f>1454.8+(363.3-264.4)+(-2.225844+(-0.555849--0.404532))+0-223.6--0.342108000000013</f>
        <v>1328.0649470000003</v>
      </c>
      <c r="S176" s="3">
        <f>1456.6+(507-266.1)+(-3.71433+(-1.29285--0.678555))+0-221.6--0.565079999999968</f>
        <v>1472.1364550000001</v>
      </c>
      <c r="T176" s="3">
        <f>1450.6+(580.2-261.6)+(0+(0-0))+0-221-0</f>
        <v>1548.1999999999998</v>
      </c>
      <c r="U176" s="3">
        <f>1450.9+(562.1-250.7)+(1.479918+(0.573342-0.255714))+0-218.5-0.222870000000035</f>
        <v>1545.3746760000001</v>
      </c>
      <c r="V176" s="3">
        <f>1455.2+(466.5-231.9)+(-2.968608+(-0.95166--0.473076))+0-218.5--0.44573999999999</f>
        <v>1468.2985479999998</v>
      </c>
      <c r="W176" s="3">
        <f>1462.7+(259.8-224.3)+(-2.983908+(-0.529992--0.457572))+0-219.4--0.44757599999999</f>
        <v>1276.1912480000001</v>
      </c>
      <c r="X176" s="3">
        <f>1472.7+(168.1-315)+(-0.751077+(-0.085731--0.16065))+0-221--0.112709999999978</f>
        <v>1104.2365519999998</v>
      </c>
      <c r="Y176" s="3">
        <f>1480+(244.5-328.1)+(-0.7548+(-0.124695--0.167331))+0-221.9--0.113168999999977</f>
        <v>1173.9010049999999</v>
      </c>
      <c r="Z176" s="3">
        <f>1493.4+(308.5-285.6)+(-2.284902+(-0.472005--0.436968))+0-221.9--0.339507000000013</f>
        <v>1292.419568</v>
      </c>
      <c r="AA176" s="3">
        <f>1500.8+(340.6-274.3)+(-5.357856+(-1.215942--0.979251))+0-221.9--0.792183000000003</f>
        <v>1340.3976359999999</v>
      </c>
      <c r="AB176" s="3">
        <f>1491.1+(404.4-273)+(-0.760461+(-0.206244--0.13923))+0-221.9--0.113168999999977</f>
        <v>1399.8856939999998</v>
      </c>
      <c r="AC176" s="3">
        <f>1489.2+(448.4-258.4)+(-1.518984+(-0.457368--0.263568))+0-221.9--0.226338000000035</f>
        <v>1455.8135539999998</v>
      </c>
      <c r="AD176">
        <f t="shared" si="2"/>
        <v>31493.175084999999</v>
      </c>
      <c r="AE176" s="3">
        <f>1494+(298.6-280.3)+(0+(0-0))+0-220-0</f>
        <v>1292.3</v>
      </c>
    </row>
    <row r="177" spans="1:31" s="2" customFormat="1" x14ac:dyDescent="0.25">
      <c r="A177">
        <v>89</v>
      </c>
      <c r="B177">
        <v>6</v>
      </c>
      <c r="C177">
        <v>22</v>
      </c>
      <c r="D177">
        <v>3</v>
      </c>
      <c r="E177">
        <v>1</v>
      </c>
      <c r="F177" s="3">
        <f>1491+(437.1-241.9)+(-3.04164+(-0.891684--0.493476))+0-220--0.44879999999999</f>
        <v>1463.208952</v>
      </c>
      <c r="G177" s="3">
        <f>1491+(414-234.4)+(-0.76041+(-0.21114--0.119544))+0-220--0.112199999999978</f>
        <v>1449.8601939999999</v>
      </c>
      <c r="H177" s="3">
        <f>1499.2+(366.5-226.8)+(-1.529184+(-0.37383--0.231336))+0-221--0.225420000000035</f>
        <v>1416.4537420000001</v>
      </c>
      <c r="I177" s="3">
        <f>1503.3+(318.1-218.7)+(-2.300049+(-0.486693--0.334611))+0-220--0.336600000000013</f>
        <v>1380.5844690000001</v>
      </c>
      <c r="J177" s="3">
        <f>1525.4+(248.5-214.6)+(-1.555908+(-0.25347--0.218892))+0-219--0.223380000000035</f>
        <v>1338.9328940000003</v>
      </c>
      <c r="K177" s="3">
        <f>1526.2+(221.4-235.7)+(3.113448+(0.451656-0.480828))+0-220-0.44879999999999</f>
        <v>1294.5354760000002</v>
      </c>
      <c r="L177" s="3">
        <f>1521.5+(117.2-237.6)+(-3.10386+(-0.239088--0.484704))+0-219--0.44675999999999</f>
        <v>1179.6885159999999</v>
      </c>
      <c r="M177" s="3">
        <f>1519.3+(101.3-303.9)+(2.324529+(0.154989-0.464967))+0-218-0.333540000000013</f>
        <v>1100.3810109999999</v>
      </c>
      <c r="N177" s="3">
        <f>1504.9+(171.8-358.2)+(-0.767499+(-0.087618--0.182682))+0-221--0.112709999999978</f>
        <v>1096.9402749999999</v>
      </c>
      <c r="O177" s="3">
        <f>1483.5+(189.3-341.8)+(0.756585+(0.096543-0.174318))+0-221-0.112709999999978</f>
        <v>1110.5661000000002</v>
      </c>
      <c r="P177" s="3">
        <f>1473.8+(184.1-297.6)+(1.503276+(0.187782-0.303552))+0-220-0.224400000000035</f>
        <v>1141.4631059999999</v>
      </c>
      <c r="Q177" s="3">
        <f>1449.9+(244.4-275.6)+(-0.739449+(-0.124644--0.140556))+0-221--0.112709999999978</f>
        <v>1197.0891729999998</v>
      </c>
      <c r="R177" s="3">
        <f>1363.2+(449.6-260)+(0+(0-0))+0-219.7-0</f>
        <v>1333.1000000000001</v>
      </c>
      <c r="S177" s="3">
        <f>1360.1+(601.4-257)+(-1.387302+(-0.613428--0.26214))+0-220.7--0.225114000000035</f>
        <v>1482.2865240000001</v>
      </c>
      <c r="T177" s="3">
        <f>1357.5+(688.6-252.4)+(0+(0-0))+0-218.6-0</f>
        <v>1575.1000000000001</v>
      </c>
      <c r="U177" s="3">
        <f>1356.3+(685.8-244)+(0+(0-0))+0-219-0</f>
        <v>1579.1</v>
      </c>
      <c r="V177" s="3">
        <f>1363.4+(567-236.4)+(-3.47667+(-1.44585--0.60282))+0-219.7--0.560234999999968</f>
        <v>1470.5405349999999</v>
      </c>
      <c r="W177" s="3">
        <f>1378.3+(321.5-216.7)+(-4.217598+(-0.98379--0.663102))+0-220.2--0.673812000000025</f>
        <v>1259.0355259999999</v>
      </c>
      <c r="X177" s="3">
        <f>1451.1+(225.8-353.3)+(-2.220183+(-0.345474--0.540549))+0-220.5--0.337365000000013</f>
        <v>1101.412257</v>
      </c>
      <c r="Y177" s="3">
        <f>1451.9+(298.4-339.4)+(-1.480938+(-0.304368--0.346188))+0-221.6--0.226032000000035</f>
        <v>1188.0869140000002</v>
      </c>
      <c r="Z177" s="3">
        <f>1463.9+(376.9-301.5)+(-2.239767+(-0.576657--0.461295))+0-222.1--0.339813000000013</f>
        <v>1315.1846840000003</v>
      </c>
      <c r="AA177" s="3">
        <f>1469+(435.8-294.3)+(-2.24757+(-0.666774--0.450279))+0-218.4--0.334152000000013</f>
        <v>1389.9700869999999</v>
      </c>
      <c r="AB177" s="3">
        <f>1475.9+(458.2-277.9)+(-3.010836+(-0.934728--0.566916))+0-218.6--0.44594399999999</f>
        <v>1434.6672960000001</v>
      </c>
      <c r="AC177" s="3">
        <f>1497.2+(470.3-254.7)+(-1.527144+(-0.479706--0.259794))+0-217.6--0.221952000000035</f>
        <v>1493.6748960000004</v>
      </c>
      <c r="AD177">
        <f t="shared" si="2"/>
        <v>31791.862626999995</v>
      </c>
      <c r="AE177" s="3">
        <f>1473+(389.3-313.9)+(0+(0-0))+0-227.2-0</f>
        <v>1321.2</v>
      </c>
    </row>
    <row r="178" spans="1:31" s="2" customFormat="1" x14ac:dyDescent="0.25">
      <c r="A178">
        <v>89</v>
      </c>
      <c r="B178">
        <v>6</v>
      </c>
      <c r="C178">
        <v>23</v>
      </c>
      <c r="D178">
        <v>4</v>
      </c>
      <c r="E178">
        <v>1</v>
      </c>
      <c r="F178" s="3">
        <f>1500.2+(457.3-252.3)+(-2.295306+(-0.699669--0.386019))+0-217.1--0.332163000000013</f>
        <v>1485.8232070000001</v>
      </c>
      <c r="G178" s="3">
        <f>1471.8+(452-231.9)+(-2.251854+(-0.69156--0.354807))+0-219.1--0.335223000000013</f>
        <v>1470.5466160000001</v>
      </c>
      <c r="H178" s="3">
        <f>1448.8+(431.3-207.4)+(-0.738888+(-0.219963--0.105774))+0-217.1--0.110720999999978</f>
        <v>1454.8576440000002</v>
      </c>
      <c r="I178" s="3">
        <f>1402.7+(424.8-191.3)+(-2.146131+(-0.649944--0.292689))+0-220--0.336600000000013</f>
        <v>1414.033214</v>
      </c>
      <c r="J178" s="3">
        <f>1390.6+(380.8-176.2)+(-3.54603+(-0.97104--0.44931))+0-221.1--0.563804999999968</f>
        <v>1370.596045</v>
      </c>
      <c r="K178" s="3">
        <f>1388.9+(306.4-162.1)+(-0.708339+(-0.156264--0.082671))+0-220.9--0.112658999999978</f>
        <v>1311.6307269999998</v>
      </c>
      <c r="L178" s="3">
        <f>1398.4+(146.6-140.3)+(-2.852736+(-0.299064--0.286212))+0-221.7--0.45226799999999</f>
        <v>1180.5866800000001</v>
      </c>
      <c r="M178" s="3">
        <f>1392.2+(96.3-182.4)+(0+(0-0))+0-218.6-0</f>
        <v>1087.5000000000002</v>
      </c>
      <c r="N178" s="3">
        <f>1367+(138.8-202.4)+(-1.39434+(-0.141576--0.206448))+0-218.1--0.222462000000035</f>
        <v>1084.1929940000002</v>
      </c>
      <c r="O178" s="3">
        <f>1367.7+(177.9-220.9)+(-2.092581+(-0.272187--0.337977))+0-219.9--0.336447000000013</f>
        <v>1103.1096559999999</v>
      </c>
      <c r="P178" s="3">
        <f>1364.2+(240.2-249.9)+(-0.695742+(-0.122502--0.127449))+0-220.7--0.112556999999978</f>
        <v>1133.2217619999999</v>
      </c>
      <c r="Q178" s="3">
        <f>1357.3+(313-244.4)+(-1.384446+(-0.31926--0.249288))+0-221.1--0.225522000000035</f>
        <v>1203.5711039999999</v>
      </c>
      <c r="R178" s="3">
        <f>1355.2+(465.5-239.8)+(-3.45576+(-1.187025--0.61149))+0-219.8--0.560489999999968</f>
        <v>1357.6291950000002</v>
      </c>
      <c r="S178" s="3">
        <f>1366+(598-225.4)+(-2.78664+(-1.21992--0.459816))+0-219.4--0.44757599999999</f>
        <v>1516.1008319999999</v>
      </c>
      <c r="T178" s="3">
        <f>1364.9+(611-220)+(-0.696099+(-0.31161--0.1122))+0-220--0.112199999999978</f>
        <v>1535.1166910000002</v>
      </c>
      <c r="U178" s="3">
        <f>1366.6+(637.7-208.1)+(-2.787864+(-1.300908--0.424524))+0-220.5--0.44981999999999</f>
        <v>1572.4855719999998</v>
      </c>
      <c r="V178" s="3">
        <f>1369.5+(517.2-199.8)+(-1.39689+(-0.527544--0.203796))+0-217.8--0.222156000000035</f>
        <v>1467.6015180000002</v>
      </c>
      <c r="W178" s="3">
        <f>1379+(297.4-192.2)+(-1.40658+(-0.303348--0.196044))+0-219.4--0.223788000000035</f>
        <v>1263.509904</v>
      </c>
      <c r="X178" s="3">
        <f>1374.7+(210.6-260.2)+(-1.402194+(-0.214812--0.265404))+0-220.2--0.224604000000035</f>
        <v>1103.7730020000001</v>
      </c>
      <c r="Y178" s="3">
        <f>1372.9+(316.1-247.1)+(-2.100537+(-0.483633--0.378063))+0-218.7--0.334611000000013</f>
        <v>1221.3285040000001</v>
      </c>
      <c r="Z178" s="3">
        <f>1368.9+(492.5-258.5)+(-2.094417+(-0.753525--0.395505))+0-221.2--0.338436000000013</f>
        <v>1379.5859990000001</v>
      </c>
      <c r="AA178" s="3">
        <f>1372.9+(541.1-246.1)+(-3.500895+(-1.379805--0.627555))+0-218.7--0.557684999999968</f>
        <v>1445.5045400000001</v>
      </c>
      <c r="AB178" s="3">
        <f>1376.9+(563.9-227.5)+(-1.404438+(-0.575178--0.23205))+0-220.1--0.224502000000035</f>
        <v>1491.6769360000003</v>
      </c>
      <c r="AC178" s="3">
        <f>1393.8+(562.8-199.6)+(-1.421676+(-0.574056--0.203592))+0-220.7--0.225114000000035</f>
        <v>1534.732974</v>
      </c>
      <c r="AD178">
        <f t="shared" si="2"/>
        <v>32188.715316000005</v>
      </c>
      <c r="AE178" s="3">
        <f>1372+(492.5-263)+(0+(0-0))+0-220-0</f>
        <v>1381.5</v>
      </c>
    </row>
    <row r="179" spans="1:31" s="2" customFormat="1" x14ac:dyDescent="0.25">
      <c r="A179">
        <v>89</v>
      </c>
      <c r="B179">
        <v>6</v>
      </c>
      <c r="C179">
        <v>24</v>
      </c>
      <c r="D179">
        <v>5</v>
      </c>
      <c r="E179">
        <v>1</v>
      </c>
      <c r="F179" s="3">
        <f>1399.7+(531.2-181.5)+(-1.427694+(-0.541824--0.18513))+0-218.4--0.222768000000035</f>
        <v>1529.4383800000001</v>
      </c>
      <c r="G179" s="3">
        <f>1382.5+(501.8-164.1)+(-0.705075+(-0.255918--0.083691))+0-218.8--0.111587999999978</f>
        <v>1500.634286</v>
      </c>
      <c r="H179" s="3">
        <f>1395.4+(493.5-193.6)+(2.134962+(0.755055-0.296208))+0-219.5-0.335835000000013</f>
        <v>1478.0579740000001</v>
      </c>
      <c r="I179" s="3">
        <f>1401.4+(457.1-187.9)+(0+(0-0))+0-222.1-0</f>
        <v>1448.5000000000002</v>
      </c>
      <c r="J179" s="3">
        <f>1394.4+(405.9-172.1)+(-1.422288+(-0.414018--0.175542))+0-219.6--0.223992000000035</f>
        <v>1407.1632280000001</v>
      </c>
      <c r="K179" s="3">
        <f>1411.4+(332.7-167.1)+(0+(0-0))+0-220.2-0</f>
        <v>1356.8</v>
      </c>
      <c r="L179" s="3">
        <f>1394.5+(219.4-161.9)+(-2.133585+(-0.335682--0.247707))+0-219.7--0.336141000000013</f>
        <v>1230.414581</v>
      </c>
      <c r="M179" s="3">
        <f>1384.6+(166.2-202.5)+(-1.412292+(-0.169524--0.20655))+0-216.2--0.220524000000034</f>
        <v>1130.945258</v>
      </c>
      <c r="N179" s="3">
        <f>1374+(211.1-233.3)+(0.70074+(0.107661-0.118983))+0-216.6-0.110465999999978</f>
        <v>1135.7789519999999</v>
      </c>
      <c r="O179" s="3">
        <f>1370.9+(244.7-255.8)+(-0.699159+(-0.124797--0.130458))+0-217.4--0.110873999999978</f>
        <v>1141.817376</v>
      </c>
      <c r="P179" s="3">
        <f>1360.8+(263.1-235.8)+(0+(0-0))+0-219.4-0</f>
        <v>1168.6999999999998</v>
      </c>
      <c r="Q179" s="3">
        <f>1351.3+(338.2-244.2)+(0.689163+(0.172482-0.124542))+0-220.9-0.112658999999978</f>
        <v>1225.0244439999999</v>
      </c>
      <c r="R179" s="3">
        <f>1345+(475.2-262.1)+(-0.68595+(-0.242352--0.133671))+0-219.9--0.112148999999978</f>
        <v>1337.5175179999999</v>
      </c>
      <c r="S179" s="3">
        <f>1341.1+(627-262.6)+(-0.683961+(-0.31977--0.133926))+0-219.8--0.112097999999978</f>
        <v>1484.9422930000001</v>
      </c>
      <c r="T179" s="3">
        <f>1334.5+(702.6-253)+(-2.041785+(-1.074978--0.38709))+0-219.6--0.335988000000013</f>
        <v>1562.106315</v>
      </c>
      <c r="U179" s="3">
        <f>1330.4+(685.6-244.2)+(1.357008+(0.699312-0.249084))+0-219.2-0.223584000000035</f>
        <v>1554.1836520000002</v>
      </c>
      <c r="V179" s="3">
        <f>1331+(578.7-230.6)+(0+(0-0))+0-219.3-0</f>
        <v>1459.8</v>
      </c>
      <c r="W179" s="3">
        <f>1338.9+(347.3-214.9)+(-2.731356+(-0.708492--0.438396))+0-221.3--0.45145199999999</f>
        <v>1247.4500000000003</v>
      </c>
      <c r="X179" s="3">
        <f>1362.9+(249.5-282.7)+(0.695079+(0.127245-0.144177))+0-219.3-0.111842999999978</f>
        <v>1110.9663040000003</v>
      </c>
      <c r="Y179" s="3">
        <f>1380.7+(340.4-272.4)+(-0.704157+(-0.173604--0.138924))+0-218.3--0.111332999999978</f>
        <v>1229.772496</v>
      </c>
      <c r="Z179" s="3">
        <f>1385.9+(476.7-272.9)+(-3.534045+(-1.215585--0.695895))+0-218.7--0.557684999999968</f>
        <v>1367.50395</v>
      </c>
      <c r="AA179" s="3">
        <f>1386.5+(531.3-257.8)+(-3.535575+(-1.354815--0.65739))+0-219.6--0.559979999999968</f>
        <v>1436.7269800000001</v>
      </c>
      <c r="AB179" s="3">
        <f>1383.5+(554.9-244.5)+(-2.82234+(-1.131996--0.49878))+0-220.9--0.45063599999999</f>
        <v>1469.9950800000001</v>
      </c>
      <c r="AC179" s="3">
        <f>1393.2+(564.7-219.9)+(-0.710532+(-0.287997--0.112149))+0-221.4--0.112913999999978</f>
        <v>1515.826534</v>
      </c>
      <c r="AD179">
        <f t="shared" si="2"/>
        <v>32530.065601000002</v>
      </c>
      <c r="AE179" s="3">
        <f>1390+(489.1-276)+(0+(0-0))+0-217-0</f>
        <v>1386.1</v>
      </c>
    </row>
    <row r="180" spans="1:31" s="2" customFormat="1" x14ac:dyDescent="0.25">
      <c r="A180">
        <v>89</v>
      </c>
      <c r="B180">
        <v>6</v>
      </c>
      <c r="C180">
        <v>25</v>
      </c>
      <c r="D180">
        <v>6</v>
      </c>
      <c r="E180">
        <v>1</v>
      </c>
      <c r="F180" s="3">
        <f>1317.4+(593.1-222.5)+(-3.35937+(-1.512405--0.567375))+0-220.6--0.562529999999968</f>
        <v>1463.65813</v>
      </c>
      <c r="G180" s="3">
        <f>1253.1+(687.6-231.5)+(-2.556324+(-1.402704--0.47226))+0-222.1--0.45308399999999</f>
        <v>1484.0663159999999</v>
      </c>
      <c r="H180" s="3">
        <f>1255.5+(640.6-217.5)+(0.640305+(0.326706-0.110925))+0-221-0.112709999999978</f>
        <v>1458.343376</v>
      </c>
      <c r="I180" s="3">
        <f>1254.4+(596.1-206.7)+(-3.838464+(-1.824066--0.632502))+0-218.8--0.669528000000025</f>
        <v>1420.6395000000005</v>
      </c>
      <c r="J180" s="3">
        <f>1257+(555.3-189.6)+(0.64107+(0.283203-0.096696))+0-219.9-0.112148999999978</f>
        <v>1403.5154279999997</v>
      </c>
      <c r="K180" s="3">
        <f>1253.8+(506-179)+(0+(0-0))+0-218.9-0</f>
        <v>1361.8999999999999</v>
      </c>
      <c r="L180" s="3">
        <f>1257.4+(342.2-164)+(-3.20637+(-0.87261--0.4182))+0-220.5--0.562274999999968</f>
        <v>1212.0014950000002</v>
      </c>
      <c r="M180" s="3">
        <f>1265.9+(292.3-162)+(0.645609+(0.149073-0.08262))+0-217.7-0.111026999999978</f>
        <v>1179.1010350000001</v>
      </c>
      <c r="N180" s="3">
        <f>1267.7+(277.2-185.7)+(-1.293054+(-0.282744--0.189414))+0-219.3--0.223686000000035</f>
        <v>1138.7373020000002</v>
      </c>
      <c r="O180" s="3">
        <f>1265.3+(316.4-212)+(-0.645303+(-0.161364--0.10812))+0-219--0.111689999999978</f>
        <v>1150.1131429999998</v>
      </c>
      <c r="P180" s="3">
        <f>1247.4+(373-235.4)+(-1.908522+(-0.57069--0.360162))+0-221.4--0.338742000000013</f>
        <v>1161.8196919999998</v>
      </c>
      <c r="Q180" s="3">
        <f>1242.6+(516.1-266.5)+(-3.16863+(-1.316055--0.679575))+0-219.1--0.558704999999968</f>
        <v>1269.8535949999998</v>
      </c>
      <c r="R180" s="3">
        <f>1239.9+(602.7-277.7)+(-6.955839+(-3.381147--1.557897))+0-219.8--1.23307799999999</f>
        <v>1337.553989</v>
      </c>
      <c r="S180" s="3">
        <f>1250.7+(703.7-254.8)+(-1.275714+(-0.717774--0.259896))+0-219.8--0.224196000000035</f>
        <v>1478.2906040000003</v>
      </c>
      <c r="T180" s="3">
        <f>1233.6+(786.9-242.6)+(-1.258272+(-0.802638--0.247452))+0-221.2--0.225624000000035</f>
        <v>1555.1121659999997</v>
      </c>
      <c r="U180" s="3">
        <f>1222.4+(781.6-233)+(-0.623424+(-0.398616--0.11883))+0-219.9--0.112148999999978</f>
        <v>1550.308939</v>
      </c>
      <c r="V180" s="3">
        <f>1230.1+(664-222.2)+(-1.254702+(-0.67728--0.226644))+0-219.6--0.223992000000035</f>
        <v>1450.8186539999999</v>
      </c>
      <c r="W180" s="3">
        <f>1243.6+(438.2-225.7)+(-3.17118+(-1.11741--0.575535))+0-221.1--0.563804999999968</f>
        <v>1231.8507500000001</v>
      </c>
      <c r="X180" s="3">
        <f>1230.8+(290.8-224.7)+(-0.627708+(-0.148308--0.114597))+0-221.2--0.112811999999978</f>
        <v>1075.1513930000001</v>
      </c>
      <c r="Y180" s="3">
        <f>1227+(474.2-258.9)+(0+(0-0))+0-220.4-0</f>
        <v>1221.8999999999999</v>
      </c>
      <c r="Z180" s="3">
        <f>1244.7+(621.8-279.9)+(-0.634797+(-0.317118--0.142749))+0-221.9--0.113168999999977</f>
        <v>1364.0040029999998</v>
      </c>
      <c r="AA180" s="3">
        <f>1249+(659.6-273.2)+(-1.91097+(-1.009188--0.417996))+0-220.7--0.337671000000013</f>
        <v>1412.535509</v>
      </c>
      <c r="AB180" s="3">
        <f>1238.5+(693.7-260.8)+(-2.52654+(-1.415148--0.532032))+0-219.9--0.44859599999999</f>
        <v>1448.5389399999999</v>
      </c>
      <c r="AC180" s="3">
        <f>1230+(718.1-238.5)+(-1.8819+(-1.098693--0.364905))+0-220.4--0.337212000000013</f>
        <v>1486.9215239999996</v>
      </c>
      <c r="AD180">
        <f t="shared" si="2"/>
        <v>32316.735483</v>
      </c>
      <c r="AE180" s="3">
        <f>1235+(601.4-278.4)+(0+(0-0))+0-232.5-0</f>
        <v>1325.5</v>
      </c>
    </row>
    <row r="181" spans="1:31" s="2" customFormat="1" x14ac:dyDescent="0.25">
      <c r="A181">
        <v>89</v>
      </c>
      <c r="B181">
        <v>6</v>
      </c>
      <c r="C181">
        <v>26</v>
      </c>
      <c r="D181">
        <v>7</v>
      </c>
      <c r="E181">
        <v>1</v>
      </c>
      <c r="F181" s="3">
        <f>1232+(676.4-239.4)+(-2.51328+(-1.379856--0.488376))+0-217.5--0.44369999999999</f>
        <v>1448.5389400000001</v>
      </c>
      <c r="G181" s="3">
        <f>1243.8+(660.7-220.6)+(-3.17169+(-1.684785--0.56253))+0-212.5--0.541874999999969</f>
        <v>1467.6479300000001</v>
      </c>
      <c r="H181" s="3">
        <f>1255.7+(629.1-219.2)+(0.640407+(0.320841-0.111792))+0-220-0.112199999999978</f>
        <v>1446.337256</v>
      </c>
      <c r="I181" s="3">
        <f>1260.9+(601.2-207.6)+(0.643059+(0.306612-0.105876))+0-225.2-0.114851999999977</f>
        <v>1430.028943</v>
      </c>
      <c r="J181" s="3">
        <f>1254.7+(544.7-198.9)+(0+(0-0))+0-222.1-0</f>
        <v>1378.4</v>
      </c>
      <c r="K181" s="3">
        <f>1257+(502.9-191.2)+(0.64107+(0.256479-0.097512))+0-221.4-0.112913999999978</f>
        <v>1347.9871229999999</v>
      </c>
      <c r="L181" s="3">
        <f>1258.1+(368.5-179.5)+(-3.208155+(-0.939675--0.457725))+0-218.7--0.557684999999968</f>
        <v>1225.26758</v>
      </c>
      <c r="M181" s="3">
        <f>1261.4+(305-194.6)+(-1.929942+(-0.46665--0.297738))+0-218.9--0.334917000000013</f>
        <v>1151.1360629999999</v>
      </c>
      <c r="N181" s="3">
        <f>1251.1+(271.7-183.3)+(0+(0-0))+0-217.3-0</f>
        <v>1122.2</v>
      </c>
      <c r="O181" s="3">
        <f>1246+(282.8-199.2)+(-0.63546+(-0.144228--0.101592))+0-218.2--0.111281999999978</f>
        <v>1110.8331859999998</v>
      </c>
      <c r="P181" s="3">
        <f>1254.5+(332.6-229.2)+(-1.27959+(-0.339252--0.233784))+0-218.4--0.222768000000035</f>
        <v>1138.33771</v>
      </c>
      <c r="Q181" s="3">
        <f>1283.5+(392.8-253.5)+(-1.963755+(-0.600984--0.387855))+0-218.8--0.334764000000013</f>
        <v>1202.15788</v>
      </c>
      <c r="R181" s="3">
        <f>1303.2+(508.3-269.1)+(0+(0-0))+0-218.1-0</f>
        <v>1324.3000000000002</v>
      </c>
      <c r="S181" s="3">
        <f>1289.4+(618.7-264.5)+(-1.315188+(-0.631074--0.26979))+0-218.7--0.223074000000035</f>
        <v>1423.446602</v>
      </c>
      <c r="T181" s="3">
        <f>1283.2+(702.5-262.7)+(-2.617728+(-1.4331--0.535908))+0-218.1--0.44492399999999</f>
        <v>1501.8300039999999</v>
      </c>
      <c r="U181" s="3">
        <f>1273.2+(707.7-244.1)+(-1.298664+(-0.721854--0.248982))+0-217.7--0.222054000000035</f>
        <v>1517.5505180000002</v>
      </c>
      <c r="V181" s="3">
        <f>1270+(593.9-229.2)+(-1.2954+(-0.605778--0.233784))+0-218.3--0.222666000000035</f>
        <v>1414.9552720000002</v>
      </c>
      <c r="W181" s="3">
        <f>1279.1+(364.3-219.1)+(-0.652341+(-0.185793--0.111741))+0-218.3--0.111332999999978</f>
        <v>1205.3849400000001</v>
      </c>
      <c r="X181" s="3">
        <f>1286.3+(276-286)+(-1.968039+(-0.42228--0.43758))+0-219.7--0.336141000000013</f>
        <v>1054.9834019999998</v>
      </c>
      <c r="Y181" s="3">
        <f>1294.4+(402.1-276.4)+(-1.980432+(-0.615213--0.422892))+0-219.9--0.336447000000013</f>
        <v>1198.3636939999999</v>
      </c>
      <c r="Z181" s="3">
        <f>1298.5+(557.6-280.4)+(0+(0-0))+0-219.6-0</f>
        <v>1356.1000000000001</v>
      </c>
      <c r="AA181" s="3">
        <f>1305+(603.8-262.6)+(-4.65885+(-2.155566--0.937482))+0-220--0.785400000000003</f>
        <v>1421.1084659999999</v>
      </c>
      <c r="AB181" s="3">
        <f>1313.9+(624.3-247.9)+(-2.680356+(-1.273572--0.505716))+0-220--0.44879999999999</f>
        <v>1467.3005880000001</v>
      </c>
      <c r="AC181" s="3">
        <f>1315.7+(645.5-232.6)+(-1.342014+(-0.65841--0.237252))+0-219--0.223380000000035</f>
        <v>1508.0602080000001</v>
      </c>
      <c r="AD181">
        <f t="shared" si="2"/>
        <v>31862.256304999999</v>
      </c>
      <c r="AE181" s="3">
        <f>1300+(552.7-278.2)+(0+(0-0))+0-219.4-0</f>
        <v>1355.1</v>
      </c>
    </row>
    <row r="182" spans="1:31" s="2" customFormat="1" x14ac:dyDescent="0.25">
      <c r="A182">
        <v>89</v>
      </c>
      <c r="B182">
        <v>6</v>
      </c>
      <c r="C182">
        <v>27</v>
      </c>
      <c r="D182">
        <v>1</v>
      </c>
      <c r="E182">
        <v>1</v>
      </c>
      <c r="F182" s="3">
        <f>1323.2+(612.8-225.3)+(-2.024496+(-0.937584--0.344709))+0-219--0.335070000000013</f>
        <v>1489.4176990000001</v>
      </c>
      <c r="G182" s="3">
        <f>1316.1+(586.5-214.5)+(-2.684844+(-1.19646--0.43758))+0-220--0.44879999999999</f>
        <v>1465.1050759999998</v>
      </c>
      <c r="H182" s="3">
        <f>1313.1+(528.7-209.1)+(-2.678724+(-1.078548--0.426564))+0-220--0.44879999999999</f>
        <v>1409.8180919999998</v>
      </c>
      <c r="I182" s="3">
        <f>1321.3+(507.3-197.7)+(-0.673863+(-0.258723--0.100827))+0-220--0.112199999999978</f>
        <v>1410.1804410000002</v>
      </c>
      <c r="J182" s="3">
        <f>1314.3+(478.3-190.4)+(0.670293+(0.243933-0.097104))+0-219-0.111689999999978</f>
        <v>1383.9054319999998</v>
      </c>
      <c r="K182" s="3">
        <f>1320.6+(377.7-183.2)+(0.673506+(0.192627-0.093432))+0-219-0.111689999999978</f>
        <v>1296.7610110000001</v>
      </c>
      <c r="L182" s="3">
        <f>1333.1+(236.6-167.5)+(-3.399405+(-0.60333--0.427125))+0-222--0.566099999999968</f>
        <v>1177.1904899999997</v>
      </c>
      <c r="M182" s="3">
        <f>1315.9+(216.8-171)+(-2.684436+(-0.442272--0.34884))+0-222--0.45287999999999</f>
        <v>1137.3750120000002</v>
      </c>
      <c r="N182" s="3">
        <f>1301.3+(260.4-191.8)+(0+(0-0))+0-222-0</f>
        <v>1147.8999999999999</v>
      </c>
      <c r="O182" s="3">
        <f>1283.9+(289.5-226.5)+(0+(0-0))+0-185-0</f>
        <v>1161.9000000000001</v>
      </c>
      <c r="P182" s="3">
        <f>1281.3+(318.2-237)+(-0.653463+(-0.162282--0.12087))+0-222--0.113219999999977</f>
        <v>1139.918345</v>
      </c>
      <c r="Q182" s="3">
        <f>1264.3+(389.2-242.4)+(-2.579172+(-0.793968--0.494496))+0-221--0.45083999999999</f>
        <v>1187.672196</v>
      </c>
      <c r="R182" s="3">
        <f>1255.3+(533.3-259)+(-1.280406+(-0.543966--0.26418))+0-221--0.225420000000035</f>
        <v>1307.265228</v>
      </c>
      <c r="S182" s="3">
        <f>1259.5+(643.9-229)+(-3.85407+(-1.970334--0.70074))+0-221.7--0.678402000000026</f>
        <v>1448.2547380000001</v>
      </c>
      <c r="T182" s="3">
        <f>1274.3+(696.9-213.4)+(-1.299786+(-0.710838--0.217668))+0-222.7--0.227154000000035</f>
        <v>1533.5341979999998</v>
      </c>
      <c r="U182" s="3">
        <f>1358.6+(619.4-210.7)+(-2.078658+(-0.947682--0.322371))+0-221.5--0.338895000000013</f>
        <v>1543.4349260000001</v>
      </c>
      <c r="V182" s="3">
        <f>1390.3+(484.7-213.3)+(-1.418106+(-0.494394--0.217566))+0-223.2--0.227664000000036</f>
        <v>1437.0327299999997</v>
      </c>
      <c r="W182" s="3">
        <f>1480.6+(242.9-273.8)+(-3.020424+(-0.495516--0.558552))+0-221.8--0.45247199999999</f>
        <v>1225.3950839999998</v>
      </c>
      <c r="X182" s="3">
        <f>1502+(132.9-328.3)+(-2.29806+(-0.203337--0.502299))+0-220.6--0.337518000000013</f>
        <v>1084.33842</v>
      </c>
      <c r="Y182" s="3">
        <f>1514.8+(273.1-345.1)+(-0.772548+(-0.139281--0.176001))+0-224.4--0.114443999999977</f>
        <v>1217.7786159999998</v>
      </c>
      <c r="Z182" s="3">
        <f>1526.4+(338-286.8)+(-3.113856+(-0.68952--0.585072))+0-223.9--0.45675599999999</f>
        <v>1350.9384520000001</v>
      </c>
      <c r="AA182" s="3">
        <f>1536.6+(348.4-251.8)+(0.783666+(0.177684-0.128418))+0-224.5-0.114494999999977</f>
        <v>1409.4184369999998</v>
      </c>
      <c r="AB182" s="3">
        <f>1532+(380.8-234.3)+(-3.12528+(-0.776832--0.477972))+0-222.3--0.45349199999999</f>
        <v>1453.2293520000001</v>
      </c>
      <c r="AC182" s="3">
        <f>1534.9+(382.5-206.9)+(-3.131196+(-0.7803--0.422076))+0-222.3--0.45349199999999</f>
        <v>1485.164072</v>
      </c>
      <c r="AD182">
        <f t="shared" si="2"/>
        <v>31902.928046999994</v>
      </c>
      <c r="AE182" s="3">
        <f>1528+(320.1-293)+(0+(0-0))+0-223.6-0</f>
        <v>1331.5</v>
      </c>
    </row>
    <row r="183" spans="1:31" s="2" customFormat="1" x14ac:dyDescent="0.25">
      <c r="A183">
        <v>89</v>
      </c>
      <c r="B183">
        <v>6</v>
      </c>
      <c r="C183">
        <v>28</v>
      </c>
      <c r="D183">
        <v>2</v>
      </c>
      <c r="E183">
        <v>1</v>
      </c>
      <c r="F183" s="3">
        <f>1541.2+(353.1-173.7)+(0+(0-0))+0-220.5-0</f>
        <v>1500.1000000000001</v>
      </c>
      <c r="G183" s="3">
        <f>1542.7+(307.3-152.6)+(-0.786777+(-0.156723--0.077826))+0-220--0.112199999999978</f>
        <v>1476.6465260000002</v>
      </c>
      <c r="H183" s="3">
        <f>1546.7+(289.5-161.2)+(-0.788817+(-0.147645--0.082212))+0-221.2--0.112811999999978</f>
        <v>1453.0585619999999</v>
      </c>
      <c r="I183" s="3">
        <f>1547+(259.9-174.4)+(-1.57794+(-0.265098--0.177888))+0-222.8--0.227256000000036</f>
        <v>1408.2621060000001</v>
      </c>
      <c r="J183" s="3">
        <f>1546.5+(224-178.5)+(-0.788715+(-0.11424--0.091035))+0-222--0.113219999999977</f>
        <v>1369.3012999999999</v>
      </c>
      <c r="K183" s="3">
        <f>1551.5+(170.1-184.6)+(-1.58253+(-0.173502--0.188292))+0-220.9--0.225318000000035</f>
        <v>1314.757578</v>
      </c>
      <c r="L183" s="3">
        <f>1554.2+(132.5-267.9)+(-3.96321+(-0.337875--0.683145))+0-222.8--0.568139999999968</f>
        <v>1192.9502</v>
      </c>
      <c r="M183" s="3">
        <f>1551.6+(83.2-319.2)+(0+(0-0))+0-219.4-0</f>
        <v>1096.1999999999998</v>
      </c>
      <c r="N183" s="3">
        <f>1541.4+(156.1-406.5)+(-1.572228+(-0.159222--0.41463))+0-221--0.225420000000035</f>
        <v>1068.9086</v>
      </c>
      <c r="O183" s="3">
        <f>1532+(86.5-333.3)+(-3.9066+(-0.220575--0.849915))+0-223.3--0.569414999999968</f>
        <v>1059.192155</v>
      </c>
      <c r="P183" s="3">
        <f>1534.5+(82.7-309.5)+(0+(0-0))+0-222.9-0</f>
        <v>1084.8</v>
      </c>
      <c r="Q183" s="3">
        <f>1538.4+(178.7-353.9)+(-2.353752+(-0.273411--0.541467))+0-223.4--0.341802000000013</f>
        <v>1138.0561059999998</v>
      </c>
      <c r="R183" s="3">
        <f>1516.4+(261.4-305.7)+(-2.320092+(-0.399942--0.467721))+0-223.7--0.342261000000013</f>
        <v>1246.4899480000001</v>
      </c>
      <c r="S183" s="3">
        <f>1501.2+(342.7-233.9)+(-3.062448+(-0.699108--0.477156))+0-223.7--0.45634799999999</f>
        <v>1383.4719479999999</v>
      </c>
      <c r="T183" s="3">
        <f>1497.8+(410.1-219.7)+(0.763878+(0.209151-0.112047))+0-221.5-0.112964999999978</f>
        <v>1467.4480169999999</v>
      </c>
      <c r="U183" s="3">
        <f>1496.1+(409.9-217.3)+(-1.526022+(-0.418098--0.221646))+0-221.6--0.226032000000035</f>
        <v>1465.603558</v>
      </c>
      <c r="V183" s="3">
        <f>1493.7+(325.6-222.7)+(-3.808935+(-0.83028--0.567885))+0-222.9--0.568394999999968</f>
        <v>1370.1970650000001</v>
      </c>
      <c r="W183" s="3">
        <f>1505.3+(214.9-329.4)+(-3.070812+(-0.438396--0.671976))+0-223.8--0.45655199999999</f>
        <v>1164.61932</v>
      </c>
      <c r="X183" s="3">
        <f>1527.3+(106.3-383)+(0.778923+(0.054213-0.19533))+0-224.5-0.114494999999977</f>
        <v>1026.6233109999998</v>
      </c>
      <c r="Y183" s="3">
        <f>1539.3+(214.5-382.5)+(-0.785043+(-0.109395--0.195075))+0-221.5--0.112964999999978</f>
        <v>1149.213602</v>
      </c>
      <c r="Z183" s="3">
        <f>1544.3+(313.6-361.5)+(-2.362779+(-0.479808--0.553095))+0-221.1--0.338283000000013</f>
        <v>1273.3487910000001</v>
      </c>
      <c r="AA183" s="3">
        <f>1550.8+(319.4-305.8)+(-3.163632+(-0.651576--0.623832))+0-221.4--0.45165599999999</f>
        <v>1340.2602799999997</v>
      </c>
      <c r="AB183" s="3">
        <f>1553.4+(310.2-243.2)+(-4.753404+(-0.949212--0.744192))+0-221.7--0.678402000000026</f>
        <v>1394.4199780000001</v>
      </c>
      <c r="AC183" s="3">
        <f>1556.2+(312-196.9)+(-0.793662+(-0.15912--0.100419))+0-219.7--0.112046999999978</f>
        <v>1450.859684</v>
      </c>
      <c r="AD183">
        <f t="shared" si="2"/>
        <v>30894.788634999997</v>
      </c>
      <c r="AE183" s="3">
        <f>1539+(299.1-366.1)+(0+(0-0))+0-223-0</f>
        <v>1249</v>
      </c>
    </row>
    <row r="184" spans="1:31" s="2" customFormat="1" x14ac:dyDescent="0.25">
      <c r="A184">
        <v>89</v>
      </c>
      <c r="B184">
        <v>6</v>
      </c>
      <c r="C184">
        <v>29</v>
      </c>
      <c r="D184">
        <v>3</v>
      </c>
      <c r="E184">
        <v>1</v>
      </c>
      <c r="F184" s="3">
        <f>1554.5+(299-184.7)+(-3.17118+(-0.60996--0.376788))+0-220.5--0.44981999999999</f>
        <v>1445.345468</v>
      </c>
      <c r="G184" s="3">
        <f>1552+(281.6-175.2)+(0+(0-0))+0-221.9-0</f>
        <v>1436.5</v>
      </c>
      <c r="H184" s="3">
        <f>1542.5+(243.5-154.3)+(-2.360025+(-0.372555--0.236079))+0-222.6--0.340578000000013</f>
        <v>1406.9440770000001</v>
      </c>
      <c r="I184" s="3">
        <f>1540.3+(206.4-147.1)+(-1.571106+(-0.210528--0.150042))+0-221.4--0.225828000000035</f>
        <v>1376.794236</v>
      </c>
      <c r="J184" s="3">
        <f>1553.1+(179.4-167.4)+(0.792081+(0.091494-0.085374))+0-219.7-0.112046999999978</f>
        <v>1346.0861539999999</v>
      </c>
      <c r="K184" s="3">
        <f>1564.2+(168.3-202.5)+(0+(0-0))+0-222.9-0</f>
        <v>1307.0999999999999</v>
      </c>
      <c r="L184" s="3">
        <f>1568.2+(113.8-279.9)+(-4.798692+(-0.348228--0.856494))+0-220.9--0.675954000000026</f>
        <v>1177.5855280000001</v>
      </c>
      <c r="M184" s="3">
        <f>1557+(92.2-345.3)+(0+(0-0))+0-219.4-0</f>
        <v>1084.5</v>
      </c>
      <c r="N184" s="3">
        <f>1549.4+(169.4-438.2)+(-0.790194+(-0.086394--0.223482))+0-220.9--0.112658999999978</f>
        <v>1059.159553</v>
      </c>
      <c r="O184" s="3">
        <f>1556.1+(199.1-474.3)+(-0.793611+(-0.101541--0.241893))+0-223.1--0.113780999999977</f>
        <v>1057.260522</v>
      </c>
      <c r="P184" s="3">
        <f>1552.1+(236-467.2)+(0+(0-0))+0-224-0</f>
        <v>1096.8999999999999</v>
      </c>
      <c r="Q184" s="3">
        <f>1541.1+(279.2-442.1)+(-2.357883+(-0.427176--0.676413))+0-224.8--0.343944000000013</f>
        <v>1151.6352979999999</v>
      </c>
      <c r="R184" s="3">
        <f>1534.5+(314.2-373.1)+(-0.782595+(-0.160242--0.190281))+0-223.7--0.114086999999977</f>
        <v>1251.2615309999999</v>
      </c>
      <c r="S184" s="3">
        <f>1532.2+(361.8-292.1)+(-5.469954+(-1.291626--1.042797))+0-225.4--0.804678000000003</f>
        <v>1371.5858949999999</v>
      </c>
      <c r="T184" s="3">
        <f>1492.3+(437.8-259.5)+(0.761073+(0.223278-0.132345))+0-223.5-0.113984999999977</f>
        <v>1447.838021</v>
      </c>
      <c r="U184" s="3">
        <f>1482.1+(424.8-262.6)+(-3.023484+(-0.866592--0.535704))+0-226.1--0.46124399999999</f>
        <v>1415.3068720000001</v>
      </c>
      <c r="V184" s="3">
        <f>1514.5+(318.1-269.9)+(-3.08958+(-0.648924--0.550596))+0-225.6--0.46022399999999</f>
        <v>1334.372316</v>
      </c>
      <c r="W184" s="3">
        <f>1491.6+(260.9-405.2)+(-3.80358+(-0.665295--1.03326))+0-221.6--0.565079999999968</f>
        <v>1122.829465</v>
      </c>
      <c r="X184" s="3">
        <f>1502.3+(244.1-529.7)+(-0.766173+(-0.124491--0.270147))+0-222.1--0.113270999999977</f>
        <v>994.09275399999967</v>
      </c>
      <c r="Y184" s="3">
        <f>1507.8+(295.7-465.1)+(0.768978+(0.150807-0.237201))+0-222.7-0.113576999999977</f>
        <v>1116.2690069999996</v>
      </c>
      <c r="Z184" s="3">
        <f>1517.3+(314.9-368.9)+(-3.095292+(-0.642396--0.752556))+0-222.6--0.45410399999999</f>
        <v>1238.1689719999999</v>
      </c>
      <c r="AA184" s="3">
        <f>1528.5+(325.2-325.1)+(-4.67721+(-0.995112--0.994806))+0-222.5--0.680850000000026</f>
        <v>1302.1033339999999</v>
      </c>
      <c r="AB184" s="3">
        <f>1540.2+(298.7-265.6)+(-3.142008+(-0.609348--0.541824))+0-222.1--0.45308399999999</f>
        <v>1348.443552</v>
      </c>
      <c r="AC184" s="3">
        <f>1553.6+(317.8-246.6)+(-3.169344+(-0.648312--0.503064))+0-224.2--0.45736799999999</f>
        <v>1397.742776</v>
      </c>
      <c r="AD184">
        <f t="shared" si="2"/>
        <v>30285.825330999996</v>
      </c>
      <c r="AE184" s="3">
        <f>1519+(326-350.9)+(0+(0-0))+0-220.6-0</f>
        <v>1273.5</v>
      </c>
    </row>
    <row r="185" spans="1:31" s="2" customFormat="1" x14ac:dyDescent="0.25">
      <c r="A185">
        <v>89</v>
      </c>
      <c r="B185">
        <v>6</v>
      </c>
      <c r="C185">
        <v>30</v>
      </c>
      <c r="D185">
        <v>4</v>
      </c>
      <c r="E185">
        <v>1</v>
      </c>
      <c r="F185" s="3">
        <f>1557.3+(297.5-217.8)+(-2.382669+(-0.455175--0.333234))+0-222.6--0.340578000000013</f>
        <v>1412.2359680000002</v>
      </c>
      <c r="G185" s="3">
        <f>1563.2+(249.5-205)+(-2.391696+(-0.381735--0.31365))+0-222.9--0.341037000000013</f>
        <v>1382.6812559999998</v>
      </c>
      <c r="H185" s="3">
        <f>1562.5+(208.3-194.5)+(0+(0-0))+0-220.6-0</f>
        <v>1355.7</v>
      </c>
      <c r="I185" s="3">
        <f>1560.8+(175.4-188.9)+(-0.796008+(-0.089454--0.096339))+0-221.5--0.112964999999978</f>
        <v>1325.123842</v>
      </c>
      <c r="J185" s="3">
        <f>1552+(140.1-189)+(-0.79152+(-0.071451--0.09639))+0-223--0.113729999999977</f>
        <v>1279.4471489999999</v>
      </c>
      <c r="K185" s="3">
        <f>1555+(112-203)+(0.79305+(0.05712-0.10353))+0-222.3-0.113372999999977</f>
        <v>1242.3332670000002</v>
      </c>
      <c r="L185" s="3">
        <f>1570.9+(88.4-321.9)+(-1.602318+(-0.090168--0.328338))+0-220.4--0.224808000000035</f>
        <v>1115.8606600000001</v>
      </c>
      <c r="M185" s="3">
        <f>1568.5+(89.8-414.6)+(-1.59987+(-0.091596--0.422892))+0-219--0.223380000000035</f>
        <v>1023.6548060000001</v>
      </c>
      <c r="N185" s="3">
        <f>1552.4+(124.9-441.2)+(0.791724+(0.063699-0.225012))+0-219.4-0.111893999999978</f>
        <v>1017.2185170000002</v>
      </c>
      <c r="O185" s="3">
        <f>1557.7+(191.9-485.8)+(-1.588854+(-0.195738--0.495516))+0-221.6--0.226032000000035</f>
        <v>1041.1369560000003</v>
      </c>
      <c r="P185" s="3">
        <f>1521.9+(252.2-484.4)+(-0.776169+(-0.128622--0.247044))+0-222--0.113219999999977</f>
        <v>1067.155473</v>
      </c>
      <c r="Q185" s="3">
        <f>1452.9+(322-430.7)+(0+(0-0))+0-221-0</f>
        <v>1123.2</v>
      </c>
      <c r="R185" s="3">
        <f>1434.3+(355.2-326.1)+(0.731493+(0.181152-0.166311))+0-221.7-0.113066999999978</f>
        <v>1242.3332669999998</v>
      </c>
      <c r="S185" s="3">
        <f>1439.8+(398.6-236.2)+(-3.67149+(-1.01643--0.60231))+0-224.5--0.572474999999967</f>
        <v>1374.1868649999999</v>
      </c>
      <c r="T185" s="3">
        <f>1441.1+(454.9-214.5)+(1.469922+(0.463998-0.21879))+0-224.1-0.228582000000036</f>
        <v>1458.8865480000002</v>
      </c>
      <c r="U185" s="3">
        <f>1511.6+(393.8-225)+(-1.541832+(-0.401676--0.2295))+0-219.7--0.224094000000035</f>
        <v>1459.2100859999998</v>
      </c>
      <c r="V185" s="3">
        <f>1524.4+(325.8-261.8)+(-3.109776+(-0.664632--0.534072))+0-220.3--0.44941199999999</f>
        <v>1365.309076</v>
      </c>
      <c r="W185" s="3">
        <f>1527.2+(252.7-396.6)+(-1.557744+(-0.257754--0.404532))+0-221.3--0.225726000000035</f>
        <v>1160.8147600000002</v>
      </c>
      <c r="X185" s="3">
        <f>1529.1+(212.3-485.1)+(-1.559682+(-0.216546--0.494802))+0-221.9--0.226338000000035</f>
        <v>1033.3449119999998</v>
      </c>
      <c r="Y185" s="3">
        <f>1534.9+(285.5-428.4)+(0+(0-0))+0-223.3-0</f>
        <v>1168.7</v>
      </c>
      <c r="Z185" s="3">
        <f>1543.5+(334.9-365.7)+(-3.935925+(-0.853995--0.932535))+0-221.9--0.565844999999968</f>
        <v>1287.50846</v>
      </c>
      <c r="AA185" s="3">
        <f>1542.9+(350.3-307.2)+(-4.721274+(-1.071918--0.940032))+0-223--0.682380000000026</f>
        <v>1358.8292200000001</v>
      </c>
      <c r="AB185" s="3">
        <f>1555.4+(355.7-282.3)+(-1.586508+(-0.362814--0.287946))+0-221.2--0.225624000000035</f>
        <v>1406.164248</v>
      </c>
      <c r="AC185" s="3">
        <f>1553.7+(362.9-250.1)+(-1.584774+(-0.370158--0.255102))+0-221--0.225420000000035</f>
        <v>1444.02559</v>
      </c>
      <c r="AD185">
        <f t="shared" si="2"/>
        <v>30145.060926000006</v>
      </c>
      <c r="AE185" s="3">
        <f>1546+(317.1-384)+(0+(0-0))+0-221.8-0</f>
        <v>1257.3</v>
      </c>
    </row>
    <row r="186" spans="1:31" s="2" customFormat="1" x14ac:dyDescent="0.25">
      <c r="A186">
        <v>89</v>
      </c>
      <c r="B186">
        <v>6</v>
      </c>
      <c r="C186">
        <v>31</v>
      </c>
      <c r="D186">
        <v>5</v>
      </c>
      <c r="E186">
        <v>1</v>
      </c>
      <c r="F186" s="3">
        <f>1569.3+(288.7-214.5)+(-1.600686+(-0.294474--0.21879))+0-222--0.226440000000035</f>
        <v>1420.0500700000002</v>
      </c>
      <c r="G186" s="3">
        <f>1561.6+(265-218)+(-2.389248+(-0.40545--0.33354))+0-222--0.339660000000013</f>
        <v>1384.4785019999999</v>
      </c>
      <c r="H186" s="3">
        <f>1557.8+(251.2-223)+(-2.383434+(-0.384336--0.34119))+0-222.7--0.340731000000013</f>
        <v>1361.2141509999999</v>
      </c>
      <c r="I186" s="3">
        <f>1572+(225.4-242.7)+(1.60344+(0.229908-0.247554))+0-223.2-0.227664000000036</f>
        <v>1332.8581300000001</v>
      </c>
      <c r="J186" s="3">
        <f>1553.1+(213.7-269.1)+(-0.792081+(-0.108987--0.137241))+0-222.7--0.113576999999977</f>
        <v>1274.3497499999999</v>
      </c>
      <c r="K186" s="3">
        <f>1570.8+(129.7-316.6)+(-1.602216+(-0.132294--0.322932))+0-223.1--0.227562000000036</f>
        <v>1159.615984</v>
      </c>
      <c r="L186" s="3">
        <f>1563.4+(69.2-349.5)+(-1.594668+(-0.070584--0.35649))+0-221.6--0.226032000000035</f>
        <v>1060.4172700000004</v>
      </c>
      <c r="M186" s="3">
        <f>1547.6+(126.4-399.1)+(0+(0-0))+0-220.9-0</f>
        <v>1053.9999999999998</v>
      </c>
      <c r="N186" s="3">
        <f>1563.9+(212.7-495)+(0.797589+(0.108477-0.25245))+0-220.1-0.112250999999978</f>
        <v>1062.0413650000003</v>
      </c>
      <c r="O186" s="3">
        <f>1521.7+(261.2-463.8)+(0+(0-0))+0-223.3-0</f>
        <v>1095.8</v>
      </c>
      <c r="P186" s="3">
        <f>1543.1+(271.5-438.6)+(1.573962+(0.27693-0.447372))+0-224.8-0.229296000000036</f>
        <v>1152.3742240000001</v>
      </c>
      <c r="Q186" s="3">
        <f>1542.3+(293.3-353.3)+(-0.786573+(-0.149583--0.180183))+0-226.9--0.115718999999977</f>
        <v>1254.7597459999997</v>
      </c>
      <c r="R186" s="3">
        <f>1537.8+(381.8-272.5)+(-6.274224+(-1.557744--1.1118))+0-224.2--0.91473599999998</f>
        <v>1417.0945679999998</v>
      </c>
      <c r="S186" s="3">
        <f>1531.3+(471.3-262.1)+(-0.780963+(-0.240363--0.133671))+0-223.8--0.114137999999977</f>
        <v>1515.926483</v>
      </c>
      <c r="T186" s="3">
        <f>1526.6+(462.6-248.9)+(-0.778566+(-0.235926--0.126939))+0-225.5--0.115004999999977</f>
        <v>1514.0274519999998</v>
      </c>
      <c r="U186" s="3">
        <f>1522.7+(359-241.7)+(-2.329731+(-0.54927--0.369801))+0-222.1--0.339813000000013</f>
        <v>1415.7306130000002</v>
      </c>
      <c r="V186" s="3">
        <f>1519.6+(270.9-348.7)+(0+(0-0))+0-223.5-0</f>
        <v>1218.3</v>
      </c>
      <c r="W186" s="3">
        <f>1527.4+(263.2-485.9)+(-0.778974+(-0.134232--0.247809))+0-223.2--0.113831999999977</f>
        <v>1080.948435</v>
      </c>
      <c r="X186" s="3">
        <f>1542+(351.7-442.4)+(-0.78642+(-0.179367--0.225624))+0-221.9--0.113168999999977</f>
        <v>1228.7730059999999</v>
      </c>
      <c r="Y186" s="3">
        <f>1547.4+(377.6-357.2)+(0.789174+(0.192576-0.182172))+0-222.6-0.113525999999977</f>
        <v>1345.8860520000005</v>
      </c>
      <c r="Z186" s="3">
        <f>1540.9+(411.7-317)+(-1.571718+(-0.419934--0.32334))+0-223--0.227460000000036</f>
        <v>1411.1591480000002</v>
      </c>
      <c r="AA186" s="3">
        <f>1559+(425.9-285.3)+(-4.77054+(-1.303254--0.873018))+0-223.4--0.683604000000026</f>
        <v>1471.682828</v>
      </c>
      <c r="AB186" s="3">
        <f>1572.8+(415.6-260.8)+(-3.208512+(-0.847824--0.532032))+0-219.5--0.44777999999999</f>
        <v>1505.0234759999998</v>
      </c>
      <c r="AC186" s="3">
        <f>1462.7+(533.6-254)+(-2.983908+(-1.088544--0.51816))+0-220.2--0.44920799999999</f>
        <v>1518.9949160000001</v>
      </c>
      <c r="AD186">
        <f t="shared" si="2"/>
        <v>31255.506168999993</v>
      </c>
      <c r="AE186" s="3">
        <f>1550+(374-391.6)+(0+(0-0))+0-223-0</f>
        <v>1309.4000000000001</v>
      </c>
    </row>
    <row r="187" spans="1:31" s="2" customFormat="1" x14ac:dyDescent="0.25">
      <c r="A187">
        <v>89</v>
      </c>
      <c r="B187">
        <v>7</v>
      </c>
      <c r="C187">
        <v>1</v>
      </c>
      <c r="D187">
        <v>6</v>
      </c>
      <c r="E187">
        <v>1</v>
      </c>
      <c r="F187" s="3">
        <f>1439.4+(500.7-267)+(-1.468188+(-0.510714--0.27234))+0-224.1--0.228582000000036</f>
        <v>1447.5220200000001</v>
      </c>
      <c r="G187" s="3">
        <f>1384.9+(502.4-231.4)+(-2.118897+(-0.768672--0.354042))+0-224.3--0.343179000000013</f>
        <v>1429.4096520000001</v>
      </c>
      <c r="H187" s="3">
        <f>1332+(490.2-206.3)+(-0.67932+(-0.250002--0.105213))+0-224.9--0.114698999999977</f>
        <v>1390.2905900000001</v>
      </c>
      <c r="I187" s="3">
        <f>1332.3+(441.9-197.5)+(0.679473+(0.225369-0.100725))+0-221.4-0.112913999999978</f>
        <v>1355.9912029999996</v>
      </c>
      <c r="J187" s="3">
        <f>1329+(389.8-193.8)+(-2.03337+(-0.596394--0.296514))+0-222.6--0.340578000000013</f>
        <v>1300.4073280000002</v>
      </c>
      <c r="K187" s="3">
        <f>1336.8+(246.9-183.2)+(-1.363536+(-0.251838--0.186864))+0-224.2--0.228684000000036</f>
        <v>1175.1001739999999</v>
      </c>
      <c r="L187" s="3">
        <f>1341.3+(194-228.4)+(0.684063+(0.09894-0.116484))+0-222.7-0.113576999999977</f>
        <v>1084.7529419999998</v>
      </c>
      <c r="M187" s="3">
        <f>1332.6+(233.2-270.6)+(0+(0-0))+0-222.4-0</f>
        <v>1072.7999999999997</v>
      </c>
      <c r="N187" s="3">
        <f>1319.9+(281.7-281.7)+(0.673149+(0.143667-0.143667))+0-223.6-0.114035999999977</f>
        <v>1096.8591130000002</v>
      </c>
      <c r="O187" s="3">
        <f>1318.9+(345.9-327.3)+(-0.672639+(-0.176409--0.166923))+0-220.8--0.112607999999978</f>
        <v>1116.1304829999999</v>
      </c>
      <c r="P187" s="3">
        <f>1317.1+(410.2-321.1)+(-0.671721+(-0.209202--0.163761))+0-223.6--0.114035999999977</f>
        <v>1181.9968739999999</v>
      </c>
      <c r="Q187" s="3">
        <f>1311.3+(496.4-289.8)+(-0.668763+(-0.253164--0.147798))+0-224.4--0.114443999999977</f>
        <v>1292.8403149999999</v>
      </c>
      <c r="R187" s="3">
        <f>1301+(626.4-259.4)+(-0.66351+(-0.319464--0.132294))+0-222--0.113219999999977</f>
        <v>1445.2625399999999</v>
      </c>
      <c r="S187" s="3">
        <f>1198.5+(799.7-232.6)+(-1.833705+(-1.223541--0.355878))+0-223.2--0.341496000000013</f>
        <v>1540.0401279999999</v>
      </c>
      <c r="T187" s="3">
        <f>1159.8+(833.4-218.2)+(-1.774494+(-1.275102--0.333846))+0-223--0.341190000000013</f>
        <v>1549.62544</v>
      </c>
      <c r="U187" s="3">
        <f>1161.7+(720.6-201.9)+(-3.554802+(-2.205036--0.617814))+0-222.3--0.680238000000026</f>
        <v>1453.6382140000001</v>
      </c>
      <c r="V187" s="3">
        <f>1190+(461.9-198.6)+(-3.6414+(-1.413414--0.607716))+0-220.5--0.674730000000025</f>
        <v>1229.0276319999998</v>
      </c>
      <c r="W187" s="3">
        <f>1285.8+(323-276.6)+(-1.311516+(-0.32946--0.282132))+0-224.6--0.229092000000036</f>
        <v>1106.4702479999999</v>
      </c>
      <c r="X187" s="3">
        <f>1158.6+(550.8-241.4)+(0+(0-0))+0-221.1-0</f>
        <v>1246.9000000000001</v>
      </c>
      <c r="Y187" s="3">
        <f>1202.4+(648.7-265.5)+(-2.452896+(-1.323348--0.54162))+0-224.1--0.45716399999999</f>
        <v>1358.7225400000002</v>
      </c>
      <c r="Z187" s="3">
        <f>1296+(604.9-270.9)+(-3.3048+(-1.542495--0.690795))+0-224.1--0.571454999999968</f>
        <v>1402.3149550000001</v>
      </c>
      <c r="AA187" s="3">
        <f>1300.9+(620.1-255.2)+(-2.653836+(-1.265004--0.520608))+0-224.7--0.45838799999999</f>
        <v>1438.1601560000001</v>
      </c>
      <c r="AB187" s="3">
        <f>1309.2+(649.8-258.4)+(0+(0-0))+0-225.4-0</f>
        <v>1475.1999999999998</v>
      </c>
      <c r="AC187" s="3">
        <f>1321.5+(632-242)+(-1.34793+(-0.64464--0.24684))+0-224.5--0.228990000000036</f>
        <v>1485.48326</v>
      </c>
      <c r="AD187">
        <f t="shared" si="2"/>
        <v>31674.945807000007</v>
      </c>
      <c r="AE187" s="3">
        <f>1153+(621.6-248)+(0+(0-0))+0-223-0</f>
        <v>1303.5999999999999</v>
      </c>
    </row>
    <row r="188" spans="1:31" s="2" customFormat="1" x14ac:dyDescent="0.25">
      <c r="A188">
        <v>89</v>
      </c>
      <c r="B188">
        <v>7</v>
      </c>
      <c r="C188">
        <v>2</v>
      </c>
      <c r="D188">
        <v>7</v>
      </c>
      <c r="E188">
        <v>1</v>
      </c>
      <c r="F188" s="3">
        <f>1318.3+(593-234.4)+(-2.689332+(-1.20972--0.478176))+0-223.8--0.45655199999999</f>
        <v>1450.1356760000003</v>
      </c>
      <c r="G188" s="3">
        <f>1318.1+(513.4-215.5)+(-2.688924+(-1.047336--0.43962))+0-226.7--0.46246799999999</f>
        <v>1386.4658279999999</v>
      </c>
      <c r="H188" s="3">
        <f>1314.4+(499.9-194.8)+(-0.670344+(-0.254949--0.099348))+0-224.4--0.114443999999977</f>
        <v>1394.3884989999999</v>
      </c>
      <c r="I188" s="3">
        <f>1316.7+(464-196.2)+(-2.014551+(-0.70992--0.300186))+0-224.7--0.343791000000013</f>
        <v>1357.7195059999999</v>
      </c>
      <c r="J188" s="3">
        <f>1321.6+(420.6-202.2)+(0.674016+(0.214506-0.103122))+0-224.4-0.114443999999977</f>
        <v>1316.2709559999998</v>
      </c>
      <c r="K188" s="3">
        <f>1321.5+(260.7-196.4)+(-4.04379+(-0.797742--0.600984))+0-224.1--0.685746000000026</f>
        <v>1158.1451980000002</v>
      </c>
      <c r="L188" s="3">
        <f>1319.9+(192-196.6)+(-1.346298+(-0.19584--0.200532))+0-220.5--0.224910000000035</f>
        <v>1093.6833040000004</v>
      </c>
      <c r="M188" s="3">
        <f>1320.5+(216-250.1)+(-2.020365+(-0.33048--0.382653))+0-219.6--0.335988000000013</f>
        <v>1065.1677960000002</v>
      </c>
      <c r="N188" s="3">
        <f>1323.9+(213.1-254.9)+(-2.025567+(-0.326043--0.389997))+0-219--0.335070000000013</f>
        <v>1061.4734570000003</v>
      </c>
      <c r="O188" s="3">
        <f>1311.9+(245.7-303.2)+(-2.676276+(-0.501228--0.618528))+0-205.5--0.419219999999991</f>
        <v>1046.7602440000001</v>
      </c>
      <c r="P188" s="3">
        <f>1298.4+(373-306.4)+(-1.986552+(-0.57069--0.468792))+0-203.3--0.311049000000012</f>
        <v>1159.922599</v>
      </c>
      <c r="Q188" s="3">
        <f>1284.9+(487.4-302.1)+(0.655299+(0.248574-0.154071))+0-223.4-0.113933999999977</f>
        <v>1247.435868</v>
      </c>
      <c r="R188" s="3">
        <f>1282.1+(604.6-311.4)+(0+(0-0))+0-222-0</f>
        <v>1353.3</v>
      </c>
      <c r="S188" s="3">
        <f>1285.4+(676.2-299.8)+(-1.311108+(-0.689724--0.305796))+0-222.5--0.226950000000035</f>
        <v>1437.8319140000001</v>
      </c>
      <c r="T188" s="3">
        <f>1269.9+(679.8-288.7)+(0.647649+(0.346698-0.147237))+0-222.3-0.113372999999977</f>
        <v>1439.4337370000001</v>
      </c>
      <c r="U188" s="3">
        <f>1259.1+(595.8-280)+(-1.284282+(-0.607716--0.2856))+0-222.9--0.227358000000036</f>
        <v>1350.62096</v>
      </c>
      <c r="V188" s="3">
        <f>1259.1+(407.2-291.2)+(-1.926423+(-0.623016--0.445536))+0-223.4--0.341802000000013</f>
        <v>1149.9378989999998</v>
      </c>
      <c r="W188" s="3">
        <f>1273.4+(291-324.9)+(-3.24717+(-0.74205--0.828495))+0-223--0.568649999999968</f>
        <v>1013.907925</v>
      </c>
      <c r="X188" s="3">
        <f>1290.4+(403.8-330.1)+(-1.316208+(-0.411876--0.336702))+0-225.3--0.229806000000036</f>
        <v>1137.6384240000002</v>
      </c>
      <c r="Y188" s="3">
        <f>1293.8+(516.5-326.7)+(-1.319676+(-0.52683--0.333234))+0-224.5--0.228990000000036</f>
        <v>1257.8157180000001</v>
      </c>
      <c r="Z188" s="3">
        <f>1301.3+(575.7-310.7)+(-0.663663+(-0.293607--0.158457))+0-225.1--0.114800999999977</f>
        <v>1340.5159879999999</v>
      </c>
      <c r="AA188" s="3">
        <f>1312+(612.7-288.8)+(-0.66912+(-0.312477--0.147288))+0-224--0.114239999999977</f>
        <v>1411.1799309999999</v>
      </c>
      <c r="AB188" s="3">
        <f>1313+(628.6-255.6)+(-3.34815+(-1.60293--0.65178))+0-223.4--0.569669999999968</f>
        <v>1458.8703699999999</v>
      </c>
      <c r="AC188" s="3">
        <f>1312.4+(613.9-223.9)+(-1.338648+(-0.626178--0.228378))+0-222.2--0.226644000000035</f>
        <v>1478.690196</v>
      </c>
      <c r="AD188">
        <f t="shared" si="2"/>
        <v>30567.311992999999</v>
      </c>
      <c r="AE188" s="3">
        <f>1290+(501.8-328.4)+(0+(0-0))+0-223.6-0</f>
        <v>1239.8000000000002</v>
      </c>
    </row>
    <row r="189" spans="1:31" s="2" customFormat="1" x14ac:dyDescent="0.25">
      <c r="A189">
        <v>89</v>
      </c>
      <c r="B189">
        <v>7</v>
      </c>
      <c r="C189">
        <v>3</v>
      </c>
      <c r="D189">
        <v>1</v>
      </c>
      <c r="E189">
        <v>1</v>
      </c>
      <c r="F189" s="3">
        <f>1314.1+(541.8-195.5)+(-2.010573+(-0.828954--0.299115))+0-221.7--0.339201000000013</f>
        <v>1436.4987889999998</v>
      </c>
      <c r="G189" s="3">
        <f>1317.4+(437.3-181.8)+(-2.687496+(-0.892092--0.370872))+0-223.4--0.45573599999999</f>
        <v>1346.7470199999998</v>
      </c>
      <c r="H189" s="3">
        <f>1318+(395.5-151.8)+(-1.34436+(-0.40341--0.154836))+0-222.7--0.227154000000035</f>
        <v>1337.6342199999999</v>
      </c>
      <c r="I189" s="3">
        <f>1315.9+(343.3-142.7)+(1.342218+(0.350166-0.145554))+0-222-0.226440000000035</f>
        <v>1295.8203899999999</v>
      </c>
      <c r="J189" s="3">
        <f>1323.1+(290.4-141.6)+(-2.699124+(-0.592416--0.288864))+0-222.9--0.45471599999999</f>
        <v>1246.4520399999997</v>
      </c>
      <c r="K189" s="3">
        <f>1323.9+(161.6-169.2)+(-2.025567+(-0.247248--0.258876))+0-221.6--0.339048000000013</f>
        <v>1093.0251090000004</v>
      </c>
      <c r="L189" s="3">
        <f>1317.7+(116.9-201.6)+(-1.344054+(-0.119238--0.205632))+0-222.6--0.227052000000035</f>
        <v>1009.3693920000001</v>
      </c>
      <c r="M189" s="3">
        <f>1315.3+(134-192.2)+(0.670803+(0.06834-0.098022))+0-224.7-0.114596999999977</f>
        <v>1032.926524</v>
      </c>
      <c r="N189" s="3">
        <f>1302.1+(260-251.9)+(0+(0-0))+0-222-0</f>
        <v>1088.1999999999998</v>
      </c>
      <c r="O189" s="3">
        <f>1296.7+(296-274.5)+(-0.661317+(-0.15096--0.139995))+0-225.1--0.114800999999977</f>
        <v>1092.5425190000001</v>
      </c>
      <c r="P189" s="3">
        <f>1290.6+(329-269.4)+(-0.658206+(-0.16779--0.137394))+0-222.9--0.113678999999977</f>
        <v>1126.7250769999998</v>
      </c>
      <c r="Q189" s="3">
        <f>1286.6+(392.6-256.6)+(0.656166+(0.200226-0.130866))+0-223-0.113729999999977</f>
        <v>1200.2117959999998</v>
      </c>
      <c r="R189" s="3">
        <f>1285.3+(532.8-239.5)+(0+(0-0))+0-223.1-0</f>
        <v>1355.5</v>
      </c>
      <c r="S189" s="3">
        <f>1281.3+(646.5-239.9)+(0+(0-0))+0-221.4-0</f>
        <v>1466.5</v>
      </c>
      <c r="T189" s="3">
        <f>1275.8+(662.9-228.3)+(-1.301316+(-0.676158--0.232866))+0-221.3--0.225726000000035</f>
        <v>1487.5811180000001</v>
      </c>
      <c r="U189" s="3">
        <f>1270.5+(580.2-216.3)+(-1.943865+(-0.887706--0.330939))+0-219.6--0.335988000000013</f>
        <v>1412.6353560000002</v>
      </c>
      <c r="V189" s="3">
        <f>1269+(376.4-219.6)+(-1.94157+(-0.575892--0.335988))+0-218.6--0.334458000000013</f>
        <v>1205.3529840000001</v>
      </c>
      <c r="W189" s="3">
        <f>1276.9+(334-331.9)+(0.651219+(0.17034-0.169269))+0-218.6-0.111485999999978</f>
        <v>1060.9408040000001</v>
      </c>
      <c r="X189" s="3">
        <f>1283.7+(403.8-297.7)+(-2.618748+(-0.823752--0.607308))+0-219.7--0.44818799999999</f>
        <v>1167.7129960000002</v>
      </c>
      <c r="Y189" s="3">
        <f>1309.5+(488.4-300.1)+(0+(0-0))+0-219.2-0</f>
        <v>1278.5999999999999</v>
      </c>
      <c r="Z189" s="3">
        <f>1441.6+(442.2-311)+(1.470432+(0.451044-0.31722))+0-220.6-0.225012000000035</f>
        <v>1353.579244</v>
      </c>
      <c r="AA189" s="3">
        <f>1456.9+(471.4-287)+(-2.229057+(-0.721242--0.43911))+0-220--0.336600000000013</f>
        <v>1419.1254110000002</v>
      </c>
      <c r="AB189" s="3">
        <f>1468.1+(480-255.5)+(-3.743655+(-1.224--0.651525))+0-219.8--0.560489999999968</f>
        <v>1469.0443600000001</v>
      </c>
      <c r="AC189" s="3">
        <f>1480.8+(440.7-225.1)+(-3.77604+(-1.123785--0.574005))+0-219--0.558449999999968</f>
        <v>1473.6326299999998</v>
      </c>
      <c r="AD189">
        <f t="shared" si="2"/>
        <v>30456.357779000005</v>
      </c>
      <c r="AE189" s="3">
        <f>1287+(477.5-296)+(0+(0-0))+0-224.8-0</f>
        <v>1243.7</v>
      </c>
    </row>
    <row r="190" spans="1:31" s="2" customFormat="1" x14ac:dyDescent="0.25">
      <c r="A190">
        <v>89</v>
      </c>
      <c r="B190">
        <v>7</v>
      </c>
      <c r="C190">
        <v>4</v>
      </c>
      <c r="D190">
        <v>2</v>
      </c>
      <c r="E190">
        <v>1</v>
      </c>
      <c r="F190" s="3">
        <f>1477.3+(365.5-217.4)+(-1.506846+(-0.37281--0.221748))+0-219.2--0.223584000000035</f>
        <v>1404.765676</v>
      </c>
      <c r="G190" s="3">
        <f>1469.3+(346.8-215.2)+(-3.746715+(-0.88434--0.54876))+0-219.9--0.560744999999968</f>
        <v>1377.4784500000001</v>
      </c>
      <c r="H190" s="3">
        <f>1473.3+(287.8-214.5)+(-2.254149+(-0.440334--0.328185))+0-221.2--0.338436000000013</f>
        <v>1323.3721379999999</v>
      </c>
      <c r="I190" s="3">
        <f>1474.3+(231.8-206.2)+(-0.751893+(-0.118218--0.105162))+0-221.1--0.112760999999978</f>
        <v>1278.1478120000004</v>
      </c>
      <c r="J190" s="3">
        <f>1477.4+(194-226.7)+(0+(0-0))+0-221.3-0</f>
        <v>1223.4000000000001</v>
      </c>
      <c r="K190" s="3">
        <f>1482.9+(86-287.2)+(0+(0-0))+0-221.5-0</f>
        <v>1060.2</v>
      </c>
      <c r="L190" s="3">
        <f>1475.5+(69-331.3)+(-0.752505+(-0.03519--0.168963))+0-221--0.112709999999978</f>
        <v>991.69397800000013</v>
      </c>
      <c r="M190" s="3">
        <f>1466.9+(153-364.2)+(-1.496238+(-0.15606--0.371484))+0-220.3--0.224706000000035</f>
        <v>1034.3438920000001</v>
      </c>
      <c r="N190" s="3">
        <f>1446.3+(285-419.6)+(0+(0-0))+0-220.2-0</f>
        <v>1091.4999999999998</v>
      </c>
      <c r="O190" s="3">
        <f>1439+(293-464.7)+(-0.73389+(-0.14943--0.236997))+0-219.7--0.112046999999978</f>
        <v>1047.065724</v>
      </c>
      <c r="P190" s="3">
        <f>1437+(320-433.4)+(0+(0-0))+0-219-0</f>
        <v>1104.5999999999999</v>
      </c>
      <c r="Q190" s="3">
        <f>1430.9+(367-369.2)+(0.729759+(0.18717-0.188292))+0-219.5-0.111944999999978</f>
        <v>1209.8166920000001</v>
      </c>
      <c r="R190" s="3">
        <f>1423.1+(456.8-315.7)+(-0.725781+(-0.232968--0.161007))+0-219.2--0.111791999999978</f>
        <v>1344.3140499999997</v>
      </c>
      <c r="S190" s="3">
        <f>1425.6+(552.9-321.2)+(0.727056+(0.281979-0.163812))+0-219-0.111689999999978</f>
        <v>1439.033533</v>
      </c>
      <c r="T190" s="3">
        <f>1429.5+(551.2-307.6)+(-0.729045+(-0.281112--0.156876))+0-217.5--0.110924999999978</f>
        <v>1454.8576439999999</v>
      </c>
      <c r="U190" s="3">
        <f>1421.3+(417.3-286.5)+(-1.449726+(-0.425646--0.29223))+0-218.2--0.222564000000035</f>
        <v>1332.5394220000001</v>
      </c>
      <c r="V190" s="3">
        <f>1425.5+(292-339.7)+(-2.181015+(-0.44676--0.519741))+0-217.1--0.332163000000013</f>
        <v>1158.924129</v>
      </c>
      <c r="W190" s="3">
        <f>1436.6+(346-483.8)+(0+(0-0))+0-216.7-0</f>
        <v>1082.0999999999999</v>
      </c>
      <c r="X190" s="3">
        <f>1439.4+(356-409.3)+(-1.468188+(-0.36312--0.417486))+0-218.5--0.222870000000035</f>
        <v>1166.4090480000002</v>
      </c>
      <c r="Y190" s="3">
        <f>1452.4+(378-322.4)+(-2.222172+(-0.57834--0.493272))+0-217.4--0.332622000000013</f>
        <v>1288.6253819999997</v>
      </c>
      <c r="Z190" s="3">
        <f>1461.1+(325-339.6)+(-1.490322+(-0.3315--0.346392))+0-127.7--0.13025400000002</f>
        <v>1317.4548239999999</v>
      </c>
      <c r="AA190" s="3">
        <f>1470.7+(388.6-271.5)+(0.750057+(0.198186-0.138465))+0-178.9-0.0912389999999818</f>
        <v>1409.6185390000001</v>
      </c>
      <c r="AB190" s="3">
        <f>1477.2+(403.2-235.5)+(0+(0-0))+0-216.3-0</f>
        <v>1428.6000000000001</v>
      </c>
      <c r="AC190" s="3">
        <f>1478.7+(421.7-221.8)+(-1.508274+(-0.430134--0.226236))+0-220.2--0.224604000000035</f>
        <v>1456.9124319999999</v>
      </c>
      <c r="AD190">
        <f t="shared" si="2"/>
        <v>30025.773365000001</v>
      </c>
      <c r="AE190" s="3">
        <f>1451+(380-336.1)+(0+(0-0))+0-217-0</f>
        <v>1277.9000000000001</v>
      </c>
    </row>
    <row r="191" spans="1:31" s="2" customFormat="1" x14ac:dyDescent="0.25">
      <c r="A191">
        <v>89</v>
      </c>
      <c r="B191">
        <v>7</v>
      </c>
      <c r="C191">
        <v>5</v>
      </c>
      <c r="D191">
        <v>3</v>
      </c>
      <c r="E191">
        <v>1</v>
      </c>
      <c r="F191" s="3">
        <f>1479.4+(430.6-248.2)+(-2.263482+(-0.658818--0.379746))+0-219--0.335070000000013</f>
        <v>1440.5925160000002</v>
      </c>
      <c r="G191" s="3">
        <f>1479.8+(383.7-230.5)+(0+(0-0))+0-223.3-0</f>
        <v>1409.7</v>
      </c>
      <c r="H191" s="3">
        <f>1482.9+(294.8-226.5)+(-1.512558+(-0.300696--0.23103))+0-178.5--0.182070000000028</f>
        <v>1371.2998460000001</v>
      </c>
      <c r="I191" s="3">
        <f>1487.6+(248-221.8)+(0.758676+(0.12648-0.113118))+0-175.7-0.0896069999999822</f>
        <v>1338.7824310000001</v>
      </c>
      <c r="J191" s="3">
        <f>1481.9+(243.7-219.9)+(0.755769+(0.124287-0.112149))+0-221.9-0.113168999999977</f>
        <v>1284.4547379999999</v>
      </c>
      <c r="K191" s="3">
        <f>1483.9+(202-306.3)+(-5.297523+(-0.72114--1.093491))+0-221.6--0.791112000000003</f>
        <v>1153.8659400000004</v>
      </c>
      <c r="L191" s="3">
        <f>1477.2+(109-336.3)+(0.753372+(0.05559-0.171513))+0-222.8-0.113627999999977</f>
        <v>1027.6238210000001</v>
      </c>
      <c r="M191" s="3">
        <f>1475.5+(135-376.3)+(1.50501+(0.1377-0.383826))+0-221.4-0.225828000000035</f>
        <v>1013.8330560000002</v>
      </c>
      <c r="N191" s="3">
        <f>1465.2+(212-415)+(0+(0-0))+0-223.2-0</f>
        <v>1039</v>
      </c>
      <c r="O191" s="3">
        <f>1458+(298-461.2)+(0+(0-0))+0-222.2-0</f>
        <v>1072.5999999999999</v>
      </c>
      <c r="P191" s="3">
        <f>1456.6+(331-442.4)+(1.485732+(0.33762-0.451248))+0-222.1-0.226542000000035</f>
        <v>1124.2455619999998</v>
      </c>
      <c r="Q191" s="3">
        <f>1439.6+(368.3-369.5)+(2.202588+(0.563499-0.565335))+0-222.6-0.340578000000013</f>
        <v>1217.6601739999999</v>
      </c>
      <c r="R191" s="3">
        <f>1393.1+(485.6-284.4)+(-1.420962+(-0.495312--0.290088))+0-221.2--0.225624000000035</f>
        <v>1371.6994379999999</v>
      </c>
      <c r="S191" s="3">
        <f>1404+(578.5-271.5)+(-0.71604+(-0.295035--0.138465))+0-210.8--0.107507999999979</f>
        <v>1499.4348980000002</v>
      </c>
      <c r="T191" s="3">
        <f>1371.3+(627.1-253.2)+(-1.398726+(-0.639642--0.258264))+0-222.7--0.227154000000035</f>
        <v>1520.94705</v>
      </c>
      <c r="U191" s="3">
        <f>1366.2+(520.9-237.8)+(-2.787048+(-1.062636--0.485112))+0-222.6--0.45410399999999</f>
        <v>1423.789532</v>
      </c>
      <c r="V191" s="3">
        <f>1372.8+(333-308.3)+(-3.50064+(-0.84915--0.786165))+0-220.8--0.563039999999968</f>
        <v>1173.699415</v>
      </c>
      <c r="W191" s="3">
        <f>1384.9+(320-411.5)+(-0.706299+(-0.1632--0.209865))+0-220.6--0.112505999999978</f>
        <v>1072.252872</v>
      </c>
      <c r="X191" s="3">
        <f>1392.2+(374.9-312.8)+(0.710022+(0.191199-0.159528))+0-221.2-0.112811999999978</f>
        <v>1233.7288809999998</v>
      </c>
      <c r="Y191" s="3">
        <f>1391.3+(454.4-287.3)+(-4.257378+(-1.390464--0.879138))+0-222.7--0.681462000000026</f>
        <v>1331.6127579999998</v>
      </c>
      <c r="Z191" s="3">
        <f>1397.4+(516.8-279.8)+(-2.138022+(-0.790704--0.428094))+0-221.2--0.338436000000013</f>
        <v>1411.0378040000001</v>
      </c>
      <c r="AA191" s="3">
        <f>1418.6+(541-265.3)+(-2.893944+(-1.10364--0.541212))+0-221--0.45083999999999</f>
        <v>1470.2944679999998</v>
      </c>
      <c r="AB191" s="3">
        <f>1414.5+(571.3-265.7)+(-2.88558+(-1.165452--0.542028))+0-219.6--0.44798399999999</f>
        <v>1497.4389799999999</v>
      </c>
      <c r="AC191" s="3">
        <f>1410+(555.6-237.6)+(-3.5955+(-1.41678--0.60588))+0-220.2--0.561509999999968</f>
        <v>1503.9551099999999</v>
      </c>
      <c r="AD191">
        <f t="shared" si="2"/>
        <v>31003.549289999995</v>
      </c>
      <c r="AE191" s="3">
        <f>1385+(405.2-269.2)+(0+(0-0))+0-220.6-0</f>
        <v>1300.4000000000001</v>
      </c>
    </row>
    <row r="192" spans="1:31" s="2" customFormat="1" x14ac:dyDescent="0.25">
      <c r="A192">
        <v>89</v>
      </c>
      <c r="B192">
        <v>7</v>
      </c>
      <c r="C192">
        <v>6</v>
      </c>
      <c r="D192">
        <v>4</v>
      </c>
      <c r="E192">
        <v>1</v>
      </c>
      <c r="F192" s="3">
        <f>1411.7+(498.6-215.9)+(-2.879868+(-1.017144--0.440436))+0-219.6--0.44798399999999</f>
        <v>1471.791408</v>
      </c>
      <c r="G192" s="3">
        <f>1413.3+(451.4-203.9)+(-2.162349+(-0.690642--0.311967))+0-220.2--0.336906000000013</f>
        <v>1438.3958819999998</v>
      </c>
      <c r="H192" s="3">
        <f>1415+(443.4-229.3)+(-1.4433+(-0.452268--0.233886))+0-220.8--0.225216000000035</f>
        <v>1406.8635340000001</v>
      </c>
      <c r="I192" s="3">
        <f>1414.2+(402.4-225.9)+(-1.442484+(-0.410448--0.230418))+0-220.6--0.225012000000035</f>
        <v>1368.7024980000003</v>
      </c>
      <c r="J192" s="3">
        <f>1411.2+(340.9-213.7)+(2.878848+(0.695436-0.435948))+0-219.7-0.44818799999999</f>
        <v>1321.390148</v>
      </c>
      <c r="K192" s="3">
        <f>1413.4+(241.8-226.5)+(-2.883336+(-0.493272--0.46206))+0-219.5--0.44777999999999</f>
        <v>1206.733232</v>
      </c>
      <c r="L192" s="3">
        <f>1412+(172-293.4)+(0.72012+(0.08772-0.149634))+0-219.8-0.112097999999978</f>
        <v>1071.346108</v>
      </c>
      <c r="M192" s="3">
        <f>1411.9+(182-338.5)+(-0.720069+(-0.09282--0.172635))+0-219.5--0.111944999999978</f>
        <v>1035.3716910000001</v>
      </c>
      <c r="N192" s="3">
        <f>1409.2+(253-360.4)+(0+(0-0))+0-219.3-0</f>
        <v>1082.5000000000002</v>
      </c>
      <c r="O192" s="3">
        <f>1399.2+(323-402.2)+(-2.854368+(-0.65892--0.820488))+0-219.8--0.44839199999999</f>
        <v>1097.955592</v>
      </c>
      <c r="P192" s="3">
        <f>1398.5+(366.1-374.1)+(-0.713235+(-0.186711--0.190791))+0-221.8--0.113117999999978</f>
        <v>1168.103963</v>
      </c>
      <c r="Q192" s="3">
        <f>1387.9+(414.4-307.3)+(2.831316+(0.845376-0.626892))+0-221.2-0.45124799999999</f>
        <v>1276.3985519999999</v>
      </c>
      <c r="R192" s="3">
        <f>1385+(506.5-298.5)+(-1.4127+(-0.51663--0.30447))+0-221--0.225420000000035</f>
        <v>1370.6005600000001</v>
      </c>
      <c r="S192" s="3">
        <f>1384.6+(613.7-285.5)+(0.706146+(0.312987-0.145605))+0-220.4-0.112403999999978</f>
        <v>1493.161124</v>
      </c>
      <c r="T192" s="3">
        <f>1385.3+(603.7-272)+(-2.826012+(-1.231548--0.55488))+0-222--0.45287999999999</f>
        <v>1491.9502</v>
      </c>
      <c r="U192" s="3">
        <f>1381.4+(463.1-227)+(-3.52257+(-1.180905--0.57885))+0-221.5--0.564824999999968</f>
        <v>1392.4402</v>
      </c>
      <c r="V192" s="3">
        <f>1372.1+(312-268.1)+(-3.498855+(-0.7956--0.683655))+0-221--0.563549999999968</f>
        <v>1191.9527500000002</v>
      </c>
      <c r="W192" s="3">
        <f>1371.7+(292-365.6)+(-2.098701+(-0.44676--0.559368))+0-221.4--0.338742000000013</f>
        <v>1075.0526489999997</v>
      </c>
      <c r="X192" s="3">
        <f>1375.3+(373-291.8)+(0+(0-0))+0-220.6-0</f>
        <v>1235.9000000000001</v>
      </c>
      <c r="Y192" s="3">
        <f>1376.2+(450.4-277.4)+(-2.105586+(-0.689112--0.424422))+0-221.5--0.338895000000013</f>
        <v>1325.668619</v>
      </c>
      <c r="Z192" s="3">
        <f>1385+(524.7-299.4)+(-2.11905+(-0.802791--0.458082))+0-221.9--0.339507000000013</f>
        <v>1386.275748</v>
      </c>
      <c r="AA192" s="3">
        <f>1379.3+(554-284.4)+(-1.406886+(-0.56508--0.290088))+0-221.1--0.225522000000035</f>
        <v>1426.343644</v>
      </c>
      <c r="AB192" s="3">
        <f>1382.3+(569.7-262.6)+(-1.409946+(-0.581094--0.267852))+0-219.9--0.224298000000035</f>
        <v>1468.0011100000002</v>
      </c>
      <c r="AC192" s="3">
        <f>1383.3+(560.1-249.7)+(-1.410966+(-0.571302--0.254694))+0-219--0.223380000000035</f>
        <v>1473.1958060000002</v>
      </c>
      <c r="AD192">
        <f t="shared" si="2"/>
        <v>31276.095018000007</v>
      </c>
      <c r="AE192" s="3">
        <f>1375+(425-264.5)+(0+(0-0))+0-220-0</f>
        <v>1315.5</v>
      </c>
    </row>
    <row r="193" spans="1:31" s="2" customFormat="1" x14ac:dyDescent="0.25">
      <c r="A193">
        <v>89</v>
      </c>
      <c r="B193">
        <v>7</v>
      </c>
      <c r="C193">
        <v>7</v>
      </c>
      <c r="D193">
        <v>5</v>
      </c>
      <c r="E193">
        <v>1</v>
      </c>
      <c r="F193" s="3">
        <f>1409+(533.2-224.8)+(-4.31154+(-1.631592--0.687888))+0-219.3--0.671058000000025</f>
        <v>1493.5158140000003</v>
      </c>
      <c r="G193" s="3">
        <f>1409+(489.5-208.3)+(-4.31154+(-1.49787--0.637398))+0-220.2--0.673812000000025</f>
        <v>1465.5018</v>
      </c>
      <c r="H193" s="3">
        <f>1409+(435.9-198.9)+(0+(0-0))+0-220.4-0</f>
        <v>1425.6</v>
      </c>
      <c r="I193" s="3">
        <f>1411+(399.8-201)+(-1.43922+(-0.407796--0.20502))+0-220.9--0.225318000000035</f>
        <v>1387.4833219999998</v>
      </c>
      <c r="J193" s="3">
        <f>1413+(359.1-208.6)+(2.16189+(0.549423-0.319158))+0-221.4-0.338742000000013</f>
        <v>1344.153413</v>
      </c>
      <c r="K193" s="3">
        <f>1413+(257.5-215.8)+(-2.16189+(-0.393975--0.330174))+0-219.1--0.335223000000013</f>
        <v>1233.7095320000001</v>
      </c>
      <c r="L193" s="3">
        <f>1404+(171-267.2)+(-1.43208+(-0.17442--0.272544))+0-219.1--0.223482000000035</f>
        <v>1087.5895260000002</v>
      </c>
      <c r="M193" s="3">
        <f>1399.2+(216.8-337.8)+(0+(0-0))+0-219.1-0</f>
        <v>1059.1000000000001</v>
      </c>
      <c r="N193" s="3">
        <f>1397.6+(299.3-386.8)+(0+(0-0))+0-220.5-0</f>
        <v>1089.5999999999999</v>
      </c>
      <c r="O193" s="3">
        <f>1393.6+(337.5-415.5)+(-1.421472+(-0.34425--0.42381))+0-222.4--0.226848000000035</f>
        <v>1092.0849359999997</v>
      </c>
      <c r="P193" s="3">
        <f>1387.3+(399.7-405.4)+(-2.122569+(-0.611541--0.620262))+0-220.3--0.337059000000013</f>
        <v>1159.5232109999999</v>
      </c>
      <c r="Q193" s="3">
        <f>1378.7+(440.1-341.3)+(-1.406274+(-0.448902--0.348126))+0-220.6--0.225012000000035</f>
        <v>1255.6179620000003</v>
      </c>
      <c r="R193" s="3">
        <f>1374.9+(537.2-303.4)+(-1.402398+(-0.547944--0.309468))+0-220.4--0.224808000000035</f>
        <v>1386.8839340000002</v>
      </c>
      <c r="S193" s="3">
        <f>1372.3+(626.3-293.1)+(0+(0-0))+0-221.1-0</f>
        <v>1484.4</v>
      </c>
      <c r="T193" s="3">
        <f>1372.6+(603-280.6)+(-1.400052+(-0.61506--0.286212))+0-221.2--0.225624000000035</f>
        <v>1472.2967239999998</v>
      </c>
      <c r="U193" s="3">
        <f>1374.7+(499.5-280.2)+(-1.402194+(-0.50949--0.285804))+0-220.8--0.225216000000035</f>
        <v>1371.799336</v>
      </c>
      <c r="V193" s="3">
        <f>1378.4+(372.8-361.6)+(-2.811936+(-0.760512--0.737664))+0-220.5--0.44981999999999</f>
        <v>1166.7150360000003</v>
      </c>
      <c r="W193" s="3">
        <f>1379.6+(350-441.6)+(0.703596+(0.1785-0.225216))+0-221.1-0.112760999999978</f>
        <v>1067.444119</v>
      </c>
      <c r="X193" s="3">
        <f>1387.2+(433.3-376.3)+(0.707472+(0.220983-0.191913))+0-221.2-0.112811999999978</f>
        <v>1223.62373</v>
      </c>
      <c r="Y193" s="3">
        <f>1387.1+(492.2-321.6)+(-2.829684+(-1.004088--0.656064))+0-220.8--0.45043199999999</f>
        <v>1334.172724</v>
      </c>
      <c r="Z193" s="3">
        <f>1377.5+(596.8-355.7)+(-0.702525+(-0.304368--0.181407))+0-221.2--0.112811999999978</f>
        <v>1396.687326</v>
      </c>
      <c r="AA193" s="3">
        <f>1389+(634.8-346.5)+(-2.12517+(-0.971244--0.530145))+0-221.5--0.338895000000013</f>
        <v>1453.5726260000001</v>
      </c>
      <c r="AB193" s="3">
        <f>1384.9+(647.6-321.5)+(-2.825196+(-1.321104--0.65586))+0-221.2--0.45124799999999</f>
        <v>1486.760808</v>
      </c>
      <c r="AC193" s="3">
        <f>1385.8+(620.2-290.7)+(-2.827032+(-1.265208--0.593028))+0-222--0.45287999999999</f>
        <v>1490.2536680000001</v>
      </c>
      <c r="AD193">
        <f t="shared" ref="AD193:AD256" si="3">SUM(F193:AC193)</f>
        <v>31428.089547000003</v>
      </c>
      <c r="AE193" s="3">
        <f>1383+(443-320.4)+(0+(0-0))+0-220-0</f>
        <v>1285.5999999999999</v>
      </c>
    </row>
    <row r="194" spans="1:31" s="2" customFormat="1" x14ac:dyDescent="0.25">
      <c r="A194">
        <v>89</v>
      </c>
      <c r="B194">
        <v>7</v>
      </c>
      <c r="C194">
        <v>8</v>
      </c>
      <c r="D194">
        <v>6</v>
      </c>
      <c r="E194">
        <v>1</v>
      </c>
      <c r="F194" s="3">
        <f>1385+(573.3-273.5)+(-2.11905+(-0.877149--0.418455))+0-221.4--0.338742000000013</f>
        <v>1461.1609979999998</v>
      </c>
      <c r="G194" s="3">
        <f>1386.2+(507.8-254)+(-2.827848+(-1.035912--0.51816))+0-223.8--0.45655199999999</f>
        <v>1413.310952</v>
      </c>
      <c r="H194" s="3">
        <f>1388.7+(450.3-235.6)+(-1.416474+(-0.459306--0.240312))+0-224.5--0.228990000000036</f>
        <v>1377.4935220000002</v>
      </c>
      <c r="I194" s="3">
        <f>1395.9+(389.3-220.4)+(-0.711909+(-0.198543--0.112404))+0-225.4--0.114953999999977</f>
        <v>1338.7169059999999</v>
      </c>
      <c r="J194" s="3">
        <f>1397.9+(329.1-216.9)+(-1.425858+(-0.335682--0.221238))+0-225.4--0.229908000000036</f>
        <v>1283.389606</v>
      </c>
      <c r="K194" s="3">
        <f>1399.3+(222.7-230.6)+(-2.854572+(-0.454308--0.470424))+0-224.6--0.45818399999999</f>
        <v>1164.4197280000001</v>
      </c>
      <c r="L194" s="3">
        <f>1402+(180-317.8)+(0+(0-0))+0-224.3-0</f>
        <v>1039.9000000000001</v>
      </c>
      <c r="M194" s="3">
        <f>1395.2+(214-362.6)+(-0.711552+(-0.10914--0.184926))+0-227.8--0.116177999999977</f>
        <v>1018.2804119999998</v>
      </c>
      <c r="N194" s="3">
        <f>1386.2+(263-381.9)+(-0.706962+(-0.13413--0.194769))+0-227.5--0.116024999999977</f>
        <v>1039.2697020000003</v>
      </c>
      <c r="O194" s="3">
        <f>1383.9+(317-430.1)+(-2.117367+(-0.48501--0.658053))+0-230.1--0.352053000000013</f>
        <v>1039.1077290000003</v>
      </c>
      <c r="P194" s="3">
        <f>1373.9+(322-431.6)+(-0.700689+(-0.16422--0.220116))+0-178.9--0.0912389999999818</f>
        <v>1084.8464460000002</v>
      </c>
      <c r="Q194" s="3">
        <f>1368.9+(371.1-331.4)+(-0.698139+(-0.189261--0.169014))+0-231.5--0.118064999999977</f>
        <v>1176.499679</v>
      </c>
      <c r="R194" s="3">
        <f>1358.2+(472.6-299.7)+(0+(0-0))+0-231.3-0</f>
        <v>1299.8000000000002</v>
      </c>
      <c r="S194" s="3">
        <f>1351.1+(558-302.5)+(-0.689061+(-0.28458--0.154275))+0-230.6--0.117605999999977</f>
        <v>1375.2982400000001</v>
      </c>
      <c r="T194" s="3">
        <f>1350.8+(541.4-283.1)+(-0.688908+(-0.276114--0.144381))+0-231--0.117809999999977</f>
        <v>1377.3971689999998</v>
      </c>
      <c r="U194" s="3">
        <f>1349.5+(418.4-245.8)+(-0.688245+(-0.213384--0.125358))+0-229.1--0.116840999999977</f>
        <v>1292.3405700000001</v>
      </c>
      <c r="V194" s="3">
        <f>1354.5+(285.7-299.8)+(-4.14477+(-0.874242--0.917388))+0-229.8--0.703188000000027</f>
        <v>1107.2015640000002</v>
      </c>
      <c r="W194" s="3">
        <f>1361.3+(279.2-404.4)+(0.694263+(0.142392-0.206244))+0-229.5-0.117044999999977</f>
        <v>1007.113366</v>
      </c>
      <c r="X194" s="3">
        <f>1363.2+(399.6-389)+(0+(0-0))+0-229.4-0</f>
        <v>1144.4000000000001</v>
      </c>
      <c r="Y194" s="3">
        <f>1366.1+(429.6-321.4)+(-2.786844+(-0.876384--0.655656))+0-230.2--0.46960799999999</f>
        <v>1241.5620359999998</v>
      </c>
      <c r="Z194" s="3">
        <f>1367+(466.2-302.8)+(-2.78868+(-0.951048--0.617712))+0-230.3--0.46981199999999</f>
        <v>1297.4477960000002</v>
      </c>
      <c r="AA194" s="3">
        <f>1370.4+(476.1-293.9)+(-1.397808+(-0.485622--0.299778))+0-229.9--0.234498000000037</f>
        <v>1321.350846</v>
      </c>
      <c r="AB194" s="3">
        <f>1370+(493.1-277.5)+(-2.0961+(-0.754443--0.424575))+0-229.9--0.351747000000013</f>
        <v>1353.6257789999997</v>
      </c>
      <c r="AC194" s="3">
        <f>1360.9+(485.4-246.9)+(-3.470295+(-1.23777--0.629595))+0-231.1--0.589304999999966</f>
        <v>1364.8108350000002</v>
      </c>
      <c r="AD194">
        <f t="shared" si="3"/>
        <v>29618.743880999999</v>
      </c>
      <c r="AE194" s="3">
        <f>1360+(402-342.1)+(0+(0-0))+0-229-0</f>
        <v>1190.9000000000001</v>
      </c>
    </row>
    <row r="195" spans="1:31" s="2" customFormat="1" x14ac:dyDescent="0.25">
      <c r="A195">
        <v>89</v>
      </c>
      <c r="B195">
        <v>7</v>
      </c>
      <c r="C195">
        <v>9</v>
      </c>
      <c r="D195">
        <v>7</v>
      </c>
      <c r="E195">
        <v>1</v>
      </c>
      <c r="F195" s="3">
        <f>1232.9+(552.9-221.1)+(-0.628779+(-0.281979--0.112761))+0-229.1--0.116840999999977</f>
        <v>1334.9188440000003</v>
      </c>
      <c r="G195" s="3">
        <f>1232.6+(507.5-204.4)+(-3.14313+(-1.294125--0.52122))+0-229.5--0.585224999999967</f>
        <v>1302.8691899999999</v>
      </c>
      <c r="H195" s="3">
        <f>1255.4+(440-190.3)+(0+(0-0))+0-230.9-0</f>
        <v>1274.2</v>
      </c>
      <c r="I195" s="3">
        <f>1280.9+(371.6-179.3)+(-2.613036+(-0.758064--0.365772))+0-229.8--0.46879199999999</f>
        <v>1240.863464</v>
      </c>
      <c r="J195" s="3">
        <f>1279.3+(322.8-177.5)+(-1.957329+(-0.493884--0.271575))+0-231.5--0.354195000000013</f>
        <v>1191.274557</v>
      </c>
      <c r="K195" s="3">
        <f>1281.3+(257-201.9)+(-3.267315+(-0.65535--0.514845))+0-229.7--0.585734999999967</f>
        <v>1103.8779149999998</v>
      </c>
      <c r="L195" s="3">
        <f>1283.6+(163.1-206.4)+(-1.963908+(-0.249543--0.315792))+0-228.8--0.350064000000013</f>
        <v>1009.952405</v>
      </c>
      <c r="M195" s="3">
        <f>1259.4+(170.9-209.7)+(-1.926882+(-0.261477--0.320841))+0-229.2--0.350676000000013</f>
        <v>989.88315800000009</v>
      </c>
      <c r="N195" s="3">
        <f>1266+(168-223.4)+(-0.64566+(-0.08568--0.113934))+0-228.3--0.116432999999977</f>
        <v>981.79902699999991</v>
      </c>
      <c r="O195" s="3">
        <f>1259.7+(274-320.5)+(-1.284894+(-0.27948--0.32691))+0-228.7--0.233274000000036</f>
        <v>983.49581000000001</v>
      </c>
      <c r="P195" s="3">
        <f>1251.3+(342-347.9)+(-0.638163+(-0.17442--0.177429))+0-229.9--0.117248999999977</f>
        <v>1014.9820950000001</v>
      </c>
      <c r="Q195" s="3">
        <f>1241.5+(391-307.4)+(-1.26633+(-0.39882--0.313548))+0-230.8--0.235416000000037</f>
        <v>1093.183814</v>
      </c>
      <c r="R195" s="3">
        <f>1229.6+(485.2-279)+(-1.881288+(-0.742356--0.42687))+0-229.9--0.351747000000013</f>
        <v>1204.0549729999998</v>
      </c>
      <c r="S195" s="3">
        <f>1229.3+(580.9-263.8)+(-1.880829+(-0.888777--0.403614))+0-228.7--0.349911000000013</f>
        <v>1315.6839189999998</v>
      </c>
      <c r="T195" s="3">
        <f>1231.8+(583.3-251.1)+(-3.14109+(-1.487415--0.640305))+0-229.4--0.584969999999967</f>
        <v>1331.1967699999998</v>
      </c>
      <c r="U195" s="3">
        <f>1223+(503.9-233.9)+(-1.87119+(-0.770967--0.357867))+0-227.7--0.348381000000013</f>
        <v>1263.3640909999999</v>
      </c>
      <c r="V195" s="3">
        <f>1225.5+(333.5-232.6)+(-1.875015+(-0.510255--0.355878))+0-227--0.347310000000013</f>
        <v>1097.7179180000003</v>
      </c>
      <c r="W195" s="3">
        <f>1234.4+(278.4-298.6)+(0+(0-0))+0-228.4-0</f>
        <v>985.80000000000007</v>
      </c>
      <c r="X195" s="3">
        <f>1249.3+(436-326.6)+(-0.637143+(-0.22236--0.166566))+0-229.3--0.116942999999977</f>
        <v>1128.8240059999998</v>
      </c>
      <c r="Y195" s="3">
        <f>1249.5+(529.2-318.3)+(-1.27449+(-0.539784--0.324666))+0-228.8--0.233376000000036</f>
        <v>1230.3437680000002</v>
      </c>
      <c r="Z195" s="3">
        <f>1246.9+(593-304.8)+(-2.543676+(-1.20972--0.621792))+0-228.6--0.46634399999999</f>
        <v>1303.8347400000002</v>
      </c>
      <c r="AA195" s="3">
        <f>1245.1+(635.7-287.7)+(-1.905003+(-0.972621--0.440181))+0-229.4--0.350982000000013</f>
        <v>1361.6135389999997</v>
      </c>
      <c r="AB195" s="3">
        <f>1237.8+(687.3-279.9)+(-3.15639+(-1.752615--0.713745))+0-230.2--0.587009999999967</f>
        <v>1411.3917499999998</v>
      </c>
      <c r="AC195" s="3">
        <f>1237.3+(691.5-277.6)+(-3.155115+(-1.763325--0.70788))+0-227.9--0.581144999999967</f>
        <v>1419.6705849999996</v>
      </c>
      <c r="AD195">
        <f t="shared" si="3"/>
        <v>28574.796337999989</v>
      </c>
      <c r="AE195" s="3">
        <f>1245+(499.7-316.8)+(0+(0-0))+0-228.4-0</f>
        <v>1199.5</v>
      </c>
    </row>
    <row r="196" spans="1:31" s="2" customFormat="1" x14ac:dyDescent="0.25">
      <c r="A196">
        <v>89</v>
      </c>
      <c r="B196">
        <v>7</v>
      </c>
      <c r="C196">
        <v>10</v>
      </c>
      <c r="D196">
        <v>1</v>
      </c>
      <c r="E196">
        <v>1</v>
      </c>
      <c r="F196" s="3">
        <f>1242.9+(616.1-264.5)+(-3.803274+(-1.885266--0.80937))+0-228.6--0.699516000000026</f>
        <v>1361.7203460000003</v>
      </c>
      <c r="G196" s="3">
        <f>1246.5+(562.6-253)+(-1.907145+(-0.860778--0.38709))+0-229.8--0.351594000000013</f>
        <v>1324.270761</v>
      </c>
      <c r="H196" s="3">
        <f>1249.8+(508.5-239.6)+(-3.18699+(-1.296675--0.61098))+0-230.5--0.587774999999967</f>
        <v>1284.9150899999997</v>
      </c>
      <c r="I196" s="3">
        <f>1249.8+(449.9-223.6)+(-0.637398+(-0.229449--0.114036))+0-229.5--0.117044999999977</f>
        <v>1245.9642339999998</v>
      </c>
      <c r="J196" s="3">
        <f>1251.2+(381.8-208.6)+(-1.276224+(-0.389436--0.212772))+0-229.1--0.233682000000037</f>
        <v>1194.0807940000002</v>
      </c>
      <c r="K196" s="3">
        <f>1258.5+(235.8-198.9)+(-2.56734+(-0.481032--0.405756))+0-228.7--0.46654799999999</f>
        <v>1064.5239320000001</v>
      </c>
      <c r="L196" s="3">
        <f>1265.8+(162-246.1)+(0.645558+(0.08262-0.125511))+0-228.7-0.116636999999977</f>
        <v>953.48603000000014</v>
      </c>
      <c r="M196" s="3">
        <f>1249.6+(236-301.2)+(-0.637296+(-0.12036--0.153612))+0-228.8--0.116687999999977</f>
        <v>955.11264399999993</v>
      </c>
      <c r="N196" s="3">
        <f>1235.8+(335-367.7)+(-0.630258+(-0.17085--0.187527))+0-229.6--0.117095999999977</f>
        <v>973.00351499999977</v>
      </c>
      <c r="O196" s="3">
        <f>1229.7+(359-354.9)+(-0.627147+(-0.18309--0.180999))+0-230.2--0.117401999999977</f>
        <v>1003.0881640000001</v>
      </c>
      <c r="P196" s="3">
        <f>1220.3+(398-327.5)+(0+(0-0))+0-231.9-0</f>
        <v>1058.8999999999999</v>
      </c>
      <c r="Q196" s="3">
        <f>1208.1+(484-311.2)+(0.616131+(0.24684-0.158712))+0-229.4-0.116993999999977</f>
        <v>1152.0872649999999</v>
      </c>
      <c r="R196" s="3">
        <f>1198.1+(683-322.9)+(0+(0-0))+0-229.6-0</f>
        <v>1328.6</v>
      </c>
      <c r="S196" s="3">
        <f>1190.5+(763.4-278.6)+(0+(0-0))+0-230.1-0</f>
        <v>1445.2</v>
      </c>
      <c r="T196" s="3">
        <f>1192.7+(755.2-258.5)+(-2.433108+(-1.540608--0.52734))+0-229.3--0.46777199999999</f>
        <v>1457.121396</v>
      </c>
      <c r="U196" s="3">
        <f>1200.6+(648.7-248)+(-3.673836+(-1.985022--0.75888))+0-229.4--0.701964000000027</f>
        <v>1367.701986</v>
      </c>
      <c r="V196" s="3">
        <f>1216.6+(436.6-242.2)+(-3.10233+(-1.11333--0.61761))+0-229.4--0.584969999999967</f>
        <v>1178.5869199999997</v>
      </c>
      <c r="W196" s="3">
        <f>1226.2+(376.8-309.1)+(1.876086+(0.576504-0.472923))+0-230.3-0.352359000000013</f>
        <v>1065.2273080000002</v>
      </c>
      <c r="X196" s="3">
        <f>1230.8+(485.9-305.2)+(-0.627708+(-0.247809--0.155652))+0-230.7--0.117656999999977</f>
        <v>1180.1977919999999</v>
      </c>
      <c r="Y196" s="3">
        <f>1229.7+(591-307)+(-3.135735+(-1.50705--0.78285))+0-230.3--0.587264999999967</f>
        <v>1280.12733</v>
      </c>
      <c r="Z196" s="3">
        <f>1239.7+(634.3-296.3)+(-1.896741+(-0.970479--0.453339))+0-229.8--0.351594000000013</f>
        <v>1345.8377130000001</v>
      </c>
      <c r="AA196" s="3">
        <f>1238.5+(668.1-278.9)+(-2.52654+(-1.362924--0.568956))+0-230.7--0.47062799999999</f>
        <v>1394.15012</v>
      </c>
      <c r="AB196" s="3">
        <f>1242.1+(663.4-248.5)+(-2.533884+(-1.353336--0.50694))+0-230.5--0.47021999999999</f>
        <v>1423.5899399999998</v>
      </c>
      <c r="AC196" s="3">
        <f>1243.2+(649.1-231)+(-3.804192+(-1.986246--0.70686))+0-230--0.703800000000027</f>
        <v>1426.9202220000002</v>
      </c>
      <c r="AD196">
        <f t="shared" si="3"/>
        <v>29464.413502000003</v>
      </c>
      <c r="AE196" s="3">
        <f>1222+(559.5-307.9)+(0+(0-0))+0-230.7-0</f>
        <v>1242.8999999999999</v>
      </c>
    </row>
    <row r="197" spans="1:31" s="2" customFormat="1" x14ac:dyDescent="0.25">
      <c r="A197">
        <v>89</v>
      </c>
      <c r="B197">
        <v>7</v>
      </c>
      <c r="C197">
        <v>11</v>
      </c>
      <c r="D197">
        <v>2</v>
      </c>
      <c r="E197">
        <v>1</v>
      </c>
      <c r="F197" s="3">
        <f>1246.8+(582.7-232)+(-1.271736+(-0.594354--0.23664))+0-230--0.234600000000037</f>
        <v>1366.1051500000001</v>
      </c>
      <c r="G197" s="3">
        <f>1245.2+(528.5-222)+(-0.635052+(-0.269535--0.11322))+0-232--0.118319999999976</f>
        <v>1319.026953</v>
      </c>
      <c r="H197" s="3">
        <f>1250+(490.1-222)+(-3.1875+(-1.249755--0.5661))+0-231--0.589049999999966</f>
        <v>1283.8178949999999</v>
      </c>
      <c r="I197" s="3">
        <f>1254.6+(452.5-224.3)+(-1.279692+(-0.46155--0.228786))+0-231--0.235620000000037</f>
        <v>1250.523164</v>
      </c>
      <c r="J197" s="3">
        <f>1255.7+(393.8-213.1)+(0+(0-0))+0-229-0</f>
        <v>1207.4000000000001</v>
      </c>
      <c r="K197" s="3">
        <f>1260.2+(249.6-204.2)+(-0.642702+(-0.127296--0.104142))+0-229--0.116789999999977</f>
        <v>1076.0509340000001</v>
      </c>
      <c r="L197" s="3">
        <f>1258.3+(151-234.3)+(0.641733+(0.07701-0.119493))+0-229-0.116789999999977</f>
        <v>946.48246000000006</v>
      </c>
      <c r="M197" s="3">
        <f>1246.2+(237-301.1)+(-0.635562+(-0.12087--0.153561))+0-231--0.117809999999977</f>
        <v>950.61493899999982</v>
      </c>
      <c r="N197" s="3">
        <f>1255.7+(300-354.8)+(0.640407+(0.153-0.180948))+0-230-0.117299999999977</f>
        <v>971.39515900000004</v>
      </c>
      <c r="O197" s="3">
        <f>1241.4+(385-392.5)+(-1.266228+(-0.3927--0.40035))+0-231--0.235620000000037</f>
        <v>1001.8770420000002</v>
      </c>
      <c r="P197" s="3">
        <f>1233.5+(388-386.4)+(-1.25817+(-0.39576--0.394128))+0-172--0.175440000000027</f>
        <v>1062.0156379999999</v>
      </c>
      <c r="Q197" s="3">
        <f>1212.5+(464.7-290.8)+(0.618375+(0.236997-0.148308))+0-230-0.117299999999977</f>
        <v>1156.9897640000002</v>
      </c>
      <c r="R197" s="3">
        <f>1206.1+(658.4-302.5)+(-0.615111+(-0.335784--0.154275))+0-234--0.119339999999976</f>
        <v>1327.3227199999999</v>
      </c>
      <c r="S197" s="3">
        <f>1200.2+(773.6-298)+(0.612102+(0.394536-0.15198))+0-235-0.119849999999976</f>
        <v>1441.5348080000001</v>
      </c>
      <c r="T197" s="3">
        <f>1199.8+(781.4-278.4)+(-1.835694+(-1.195542--0.425952))+0-234--0.358020000000014</f>
        <v>1466.5527360000001</v>
      </c>
      <c r="U197" s="3">
        <f>1208.4+(664.5-255.4)+(-3.08142+(-1.694475--0.65127))+0-233--0.594149999999966</f>
        <v>1380.969525</v>
      </c>
      <c r="V197" s="3">
        <f>1215.3+(439.9-241.3)+(-1.859409+(-0.673047--0.369189))+0-232--0.354960000000013</f>
        <v>1180.0916930000001</v>
      </c>
      <c r="W197" s="3">
        <f>1227.8+(376.8-316.5)+(-3.13089+(-0.96084--0.807075))+0-234--0.596699999999966</f>
        <v>1051.412045</v>
      </c>
      <c r="X197" s="3">
        <f>1247.6+(474.6-300)+(-1.272552+(-0.484092--0.306))+0-235--0.239700000000037</f>
        <v>1185.9890559999999</v>
      </c>
      <c r="Y197" s="3">
        <f>1257.6+(562.9-289.7)+(-1.924128+(-0.861237--0.443241))+0-234--0.358020000000014</f>
        <v>1294.8158960000001</v>
      </c>
      <c r="Z197" s="3">
        <f>1265.7+(609.7-277.5)+(-2.582028+(-1.243788--0.5661))+0-234--0.47735999999999</f>
        <v>1361.1176440000002</v>
      </c>
      <c r="AA197" s="3">
        <f>1270.5+(635.3-262.1)+(-2.59182+(-1.296012--0.534684))+0-237--0.48347999999999</f>
        <v>1403.830332</v>
      </c>
      <c r="AB197" s="3">
        <f>1263+(660.6-252.1)+(-3.22065+(-1.68453--0.642855))+0-237--0.604349999999966</f>
        <v>1430.8420250000001</v>
      </c>
      <c r="AC197" s="3">
        <f>1255+(644.2-235.6)+(-1.92015+(-0.985626--0.360468))+0-235--0.359550000000014</f>
        <v>1426.4142420000001</v>
      </c>
      <c r="AD197">
        <f t="shared" si="3"/>
        <v>29543.19182</v>
      </c>
      <c r="AE197" s="3">
        <f>1255+(508.5-290.5)+(0+(0-0))+0-232-0</f>
        <v>1241</v>
      </c>
    </row>
    <row r="198" spans="1:31" s="2" customFormat="1" x14ac:dyDescent="0.25">
      <c r="A198">
        <v>89</v>
      </c>
      <c r="B198">
        <v>7</v>
      </c>
      <c r="C198">
        <v>12</v>
      </c>
      <c r="D198">
        <v>3</v>
      </c>
      <c r="E198">
        <v>5</v>
      </c>
      <c r="F198" s="3">
        <f>1253.1+(592.3-226.7)+(-1.278162+(-0.604146--0.231234))+0-235--0.239700000000037</f>
        <v>1382.2886259999998</v>
      </c>
      <c r="G198" s="3">
        <f>1255.5+(552.9-224.9)+(-1.28061+(-0.563958--0.229398))+0-235--0.239700000000037</f>
        <v>1347.12453</v>
      </c>
      <c r="H198" s="3">
        <f>1244.4+(509-205.6)+(-3.17322+(-1.29795--0.52428))+0-232--0.591599999999966</f>
        <v>1312.4447100000002</v>
      </c>
      <c r="I198" s="3">
        <f>1161.7+(524.9-190.4)+(1.184934+(0.535398-0.194208))+0-233-0.237660000000037</f>
        <v>1264.488464</v>
      </c>
      <c r="J198" s="3">
        <f>1172+(451.2-183.2)+(-0.59772+(-0.230112--0.093432))+0-232--0.118319999999976</f>
        <v>1207.38392</v>
      </c>
      <c r="K198" s="3">
        <f>1171.5+(306.5-149.4)+(-1.19493+(-0.31263--0.152388))+0-231--0.235620000000037</f>
        <v>1096.4804479999998</v>
      </c>
      <c r="L198" s="3">
        <f>1253.8+(189-215.5)+(-2.557752+(-0.38556--0.43962))+0-233--0.47531999999999</f>
        <v>992.27162799999996</v>
      </c>
      <c r="M198" s="3">
        <f>1265.4+(214-269.1)+(1.290708+(0.21828-0.274482))+0-230-0.234600000000037</f>
        <v>981.29990600000019</v>
      </c>
      <c r="N198" s="3">
        <f>1255.7+(256-310.8)+(0+(0-0))+0-231-0</f>
        <v>969.90000000000009</v>
      </c>
      <c r="O198" s="3">
        <f>1254.2+(274-328.5)+(-1.918926+(-0.41922--0.502605))+0-231--0.353430000000013</f>
        <v>967.21788900000013</v>
      </c>
      <c r="P198" s="3">
        <f>1235.5+(328-312.5)+(0+(0-0))+0-230-0</f>
        <v>1021</v>
      </c>
      <c r="Q198" s="3">
        <f>1221.4+(421.9-285)+(0+(0-0))+0-230-0</f>
        <v>1128.3000000000002</v>
      </c>
      <c r="R198" s="3">
        <f>1209+(609.7-291.1)+(-1.23318+(-0.621894--0.296922))+0-231--0.235620000000037</f>
        <v>1295.2774679999998</v>
      </c>
      <c r="S198" s="3">
        <f>1209+(721.3-281.8)+(1.23318+(0.735726-0.287436))+0-230-0.234600000000037</f>
        <v>1419.94687</v>
      </c>
      <c r="T198" s="3">
        <f>1206+(722.9-259.9)+(-1.84518+(-1.106037--0.397647))+0-230--0.351900000000013</f>
        <v>1436.7983300000001</v>
      </c>
      <c r="U198" s="3">
        <f>1211.8+(603-241.4)+(-3.708108+(-1.84518--0.738684))+0-230--0.703800000000027</f>
        <v>1339.2891960000002</v>
      </c>
      <c r="V198" s="3">
        <f>1218.4+(368-217.3)+(-3.10692+(-0.9384--0.554115))+0-230--0.586499999999967</f>
        <v>1136.195295</v>
      </c>
      <c r="W198" s="3">
        <f>1226.1+(303.2-265)+(0+(0-0))+0-230-0</f>
        <v>1034.3</v>
      </c>
      <c r="X198" s="3">
        <f>1231.9+(511.4-315.6)+(-1.884807+(-0.782442--0.482868))+0-231--0.353430000000013</f>
        <v>1194.8690490000001</v>
      </c>
      <c r="Y198" s="3">
        <f>1238+(628.7-323.3)+(-1.89414+(-0.961911--0.494649))+0-232--0.354960000000013</f>
        <v>1309.3935580000002</v>
      </c>
      <c r="Z198" s="3">
        <f>1237.9+(698.1-320.3)+(-1.893987+(-1.068093--0.490059))+0-231--0.353430000000013</f>
        <v>1382.5814090000001</v>
      </c>
      <c r="AA198" s="3">
        <f>1242.9+(736.2-301.2)+(-3.169395+(-1.87731--0.76806))+0-231--0.589049999999966</f>
        <v>1443.210405</v>
      </c>
      <c r="AB198" s="3">
        <f>1248.4+(734.9-277.4)+(-1.910052+(-1.124397--0.424422))+0-231--0.353430000000013</f>
        <v>1472.6434030000003</v>
      </c>
      <c r="AC198" s="3">
        <f>1249.3+(739-283.9)+(-1.911429+(-1.13067--0.434367))+0-232--0.354960000000013</f>
        <v>1470.1472280000003</v>
      </c>
      <c r="AD198">
        <f t="shared" si="3"/>
        <v>29604.852332000009</v>
      </c>
      <c r="AE198" s="3">
        <f>1238+(632.9-326.6)+(0+(0-0))+0-230-0</f>
        <v>1314.3</v>
      </c>
    </row>
    <row r="199" spans="1:31" s="2" customFormat="1" x14ac:dyDescent="0.25">
      <c r="A199">
        <v>89</v>
      </c>
      <c r="B199">
        <v>7</v>
      </c>
      <c r="C199">
        <v>13</v>
      </c>
      <c r="D199">
        <v>4</v>
      </c>
      <c r="E199">
        <v>1</v>
      </c>
      <c r="F199" s="3">
        <f>1248.6+(690.8-269.6)+(0+(0-0))+0-231-0</f>
        <v>1438.7999999999997</v>
      </c>
      <c r="G199" s="3">
        <f>1242.3+(640.8-256.1)+(-0.633573+(-0.326808--0.130611))+0-232--0.118319999999976</f>
        <v>1394.28855</v>
      </c>
      <c r="H199" s="3">
        <f>1241.5+(584.9-235.7)+(0.633165+(0.298299-0.120207))+0-233-0.118829999999976</f>
        <v>1358.3924270000002</v>
      </c>
      <c r="I199" s="3">
        <f>1240+(532.9-222.6)+(2.5296+(1.087116-0.454104))+0-232-0.47327999999999</f>
        <v>1320.9893320000001</v>
      </c>
      <c r="J199" s="3">
        <f>1247.5+(467.4-210.5)+(-1.908675+(-0.715122--0.322065))+0-230--0.351900000000013</f>
        <v>1272.4501680000003</v>
      </c>
      <c r="K199" s="3">
        <f>1256.9+(314.5-192.1)+(-1.923057+(-0.481185--0.293913))+0-231--0.353430000000013</f>
        <v>1146.5431010000002</v>
      </c>
      <c r="L199" s="3">
        <f>1261.5+(191.3-196.6)+(0+(0-0))+0-235-0</f>
        <v>1021.2</v>
      </c>
      <c r="M199" s="3">
        <f>1257.4+(238.6-242)+(0.641274+(0.121686-0.12342))+0-230-0.117299999999977</f>
        <v>1024.52224</v>
      </c>
      <c r="N199" s="3">
        <f>1253.4+(342-323)+(0+(0-0))+0-232-0</f>
        <v>1040.4000000000001</v>
      </c>
      <c r="O199" s="3">
        <f>1247.1+(367.4-321.4)+(-1.908063+(-0.562122--0.491742))+0-231--0.353430000000013</f>
        <v>1060.4749870000001</v>
      </c>
      <c r="P199" s="3">
        <f>1238.2+(408.9-285.6)+(0.631482+(0.208539-0.145656))+0-232.2-0.118421999999976</f>
        <v>1129.875943</v>
      </c>
      <c r="Q199" s="3">
        <f>1231.4+(528-288.1)+(0+(0-0))+0-230.6-0</f>
        <v>1240.7000000000003</v>
      </c>
      <c r="R199" s="3">
        <f>1210.2+(704.4-268.7)+(-0.617202+(-0.359244--0.137037))+0-230.4--0.117503999999977</f>
        <v>1414.7780950000001</v>
      </c>
      <c r="S199" s="3">
        <f>1198.3+(812.1-256.9)+(1.833399+(1.242513-0.393057))+0-229.7-0.351441000000013</f>
        <v>1526.1314139999999</v>
      </c>
      <c r="T199" s="3">
        <f>1202.7+(797.2-240.1)+(-0.613377+(-0.406572--0.122451))+0-229.8--0.117197999999977</f>
        <v>1529.2197000000001</v>
      </c>
      <c r="U199" s="3">
        <f>1198.6+(681.8-215.4)+(-2.445144+(-1.390872--0.439416))+0-230.2--0.46960799999999</f>
        <v>1431.8730079999998</v>
      </c>
      <c r="V199" s="3">
        <f>1204.6+(448.9-205.4)+(-1.843038+(-0.686817--0.314262))+0-229.1--0.350523000000013</f>
        <v>1217.1349300000002</v>
      </c>
      <c r="W199" s="3">
        <f>1204.1+(395.1-260.8)+(-1.842273+(-0.604503--0.399024))+0-229.1--0.350523000000013</f>
        <v>1107.6027710000001</v>
      </c>
      <c r="X199" s="3">
        <f>1206.4+(594.7-284.8)+(0.615264+(0.303297-0.145248))+0-229.5-0.117044999999977</f>
        <v>1287.4562680000001</v>
      </c>
      <c r="Y199" s="3">
        <f>1219.9+(708.2-294.8)+(-2.488596+(-1.444728--0.601392))+0-228.8--0.46675199999999</f>
        <v>1401.6348200000002</v>
      </c>
      <c r="Z199" s="3">
        <f>1232.3+(741.9-286.8)+(0.628473+(0.378369-0.146268))+0-228.8-0.116687999999977</f>
        <v>1459.3438859999999</v>
      </c>
      <c r="AA199" s="3">
        <f>1232.2+(764.5-271.3)+(-1.885266+(-1.169685--0.415089))+0-229.3--0.350829000000013</f>
        <v>1493.8109670000001</v>
      </c>
      <c r="AB199" s="3">
        <f>1236.1+(770.4-254.2)+(-2.521644+(-1.571616--0.518568))+0-228.1--0.46532399999999</f>
        <v>1521.0906320000001</v>
      </c>
      <c r="AC199" s="3">
        <f>1188.2+(786.5-228.7)+(-1.211964+(-0.80223--0.233274))+0-228--0.232560000000036</f>
        <v>1516.4516400000002</v>
      </c>
      <c r="AD199">
        <f t="shared" si="3"/>
        <v>31355.164879000004</v>
      </c>
      <c r="AE199" s="3">
        <f>1213+(665.5-295.7)+(0+(0-0))+0-229-0</f>
        <v>1353.8</v>
      </c>
    </row>
    <row r="200" spans="1:31" s="2" customFormat="1" x14ac:dyDescent="0.25">
      <c r="A200">
        <v>89</v>
      </c>
      <c r="B200">
        <v>7</v>
      </c>
      <c r="C200">
        <v>14</v>
      </c>
      <c r="D200">
        <v>5</v>
      </c>
      <c r="E200">
        <v>1</v>
      </c>
      <c r="F200" s="3">
        <f>1168.5+(746.9-211.4)+(-1.19187+(-0.761838--0.215628))+0-228--0.232560000000036</f>
        <v>1474.4944800000001</v>
      </c>
      <c r="G200" s="3">
        <f>1092.4+(798.9-214.3)+(-0.557124+(-0.407439--0.109293))+0-230.4--0.117503999999977</f>
        <v>1445.8622339999999</v>
      </c>
      <c r="H200" s="3">
        <f>1058.2+(768.2-192.3)+(-1.619046+(-1.175346--0.294219))+0-231.8--0.354654000000013</f>
        <v>1400.1544810000003</v>
      </c>
      <c r="I200" s="3">
        <f>1061.7+(697.8-180.7)+(-1.082934+(-0.711756--0.184314))+0-230.3--0.234906000000037</f>
        <v>1347.12453</v>
      </c>
      <c r="J200" s="3">
        <f>1064.2+(641-172)+(-0.542742+(-0.32691--0.08772))+0-230.8--0.117707999999977</f>
        <v>1301.735776</v>
      </c>
      <c r="K200" s="3">
        <f>1067.3+(484.4-159.7)+(-2.177292+(-0.988176--0.325788))+0-229.8--0.46879199999999</f>
        <v>1159.8291119999999</v>
      </c>
      <c r="L200" s="3">
        <f>1069.7+(336.9-160.5)+(-0.545547+(-0.171819--0.081855))+0-229--0.116789999999977</f>
        <v>1016.5812789999999</v>
      </c>
      <c r="M200" s="3">
        <f>1067.7+(362.6-195.6)+(0.544527+(0.184926-0.099756))+0-229.2-0.116891999999977</f>
        <v>1006.0128050000001</v>
      </c>
      <c r="N200" s="3">
        <f>1062.8+(431.9-224.6)+(1.084056+(0.440538-0.229092))+0-230-0.234600000000037</f>
        <v>1041.1609019999999</v>
      </c>
      <c r="O200" s="3">
        <f>1057.3+(501.8-247.3)+(-0.539223+(-0.255918--0.126123))+0-229.9--0.117248999999977</f>
        <v>1081.3482309999997</v>
      </c>
      <c r="P200" s="3">
        <f>1050.7+(584.6-268.6)+(-1.607571+(-0.894438--0.410958))+0-229.1--0.350523000000013</f>
        <v>1135.8594720000001</v>
      </c>
      <c r="Q200" s="3">
        <f>1043+(741.4-286.1)+(0+(0-0))+0-230-0</f>
        <v>1268.3</v>
      </c>
      <c r="R200" s="3">
        <f>1034.7+(887.4-292.5)+(0.527697+(0.452574-0.149175))+0-229.8-0.117197999999977</f>
        <v>1400.5138979999999</v>
      </c>
      <c r="S200" s="3">
        <f>1030.2+(941.6-233)+(0.525402+(0.480216-0.11883))+0-230.7-0.117656999999977</f>
        <v>1508.8691310000002</v>
      </c>
      <c r="T200" s="3">
        <f>1027.5+(914.1-202.3)+(-2.620125+(-2.330955--0.515865))+0-229.7--0.585734999999967</f>
        <v>1505.7505199999998</v>
      </c>
      <c r="U200" s="3">
        <f>1032.4+(782.3-189.9)+(-1.053048+(-0.797946--0.193698))+0-229.5--0.234090000000037</f>
        <v>1393.876794</v>
      </c>
      <c r="V200" s="3">
        <f>1039.7+(580.2-213.1)+(-2.120988+(-1.183608--0.434724))+0-228.6--0.46634399999999</f>
        <v>1175.7964720000002</v>
      </c>
      <c r="W200" s="3">
        <f>1049+(504.5-267.2)+(-0.53499+(-0.257295--0.136272))+0-229.8--0.117197999999977</f>
        <v>1055.9611849999999</v>
      </c>
      <c r="X200" s="3">
        <f>1053.6+(676.3-265.4)+(-1.074672+(-0.689826--0.270708))+0-229.5--0.234090000000037</f>
        <v>1233.7402999999999</v>
      </c>
      <c r="Y200" s="3">
        <f>1056.6+(778.2-263.4)+(-2.155464+(-1.587528--0.537336))+0-229.9--0.46899599999999</f>
        <v>1338.76334</v>
      </c>
      <c r="Z200" s="3">
        <f>1056.8+(856.7-284.7)+(-1.077936+(-0.873834--0.290394))+0-229.8--0.234396000000037</f>
        <v>1397.57302</v>
      </c>
      <c r="AA200" s="3">
        <f>1061.6+(893.6-270)+(-3.789912+(-3.190152--0.9639))+0-229.6--0.819672000000003</f>
        <v>1450.4035080000001</v>
      </c>
      <c r="AB200" s="3">
        <f>1060.7+(904.7-254.8)+(-1.081914+(-0.922794--0.259896))+0-229.4--0.233988000000037</f>
        <v>1479.6891760000001</v>
      </c>
      <c r="AC200" s="3">
        <f>1063.6+(853.7-202.3)+(-2.169744+(-1.741548--0.412692))+0-229.7--0.46858799999999</f>
        <v>1482.269988</v>
      </c>
      <c r="AD200">
        <f t="shared" si="3"/>
        <v>31101.670634000002</v>
      </c>
      <c r="AE200" s="3">
        <f>1068+(739.5-275.4)+(0+(0-0))+0-229-0</f>
        <v>1303.0999999999999</v>
      </c>
    </row>
    <row r="201" spans="1:31" s="2" customFormat="1" x14ac:dyDescent="0.25">
      <c r="A201">
        <v>89</v>
      </c>
      <c r="B201">
        <v>7</v>
      </c>
      <c r="C201">
        <v>15</v>
      </c>
      <c r="D201">
        <v>6</v>
      </c>
      <c r="E201">
        <v>1</v>
      </c>
      <c r="F201" s="3">
        <f>1059.8+(786.6-185.8)+(-1.621494+(-1.203498--0.284274))+0-229.8--0.351594000000013</f>
        <v>1428.610876</v>
      </c>
      <c r="G201" s="3">
        <f>1057.1+(739-160.4)+(-0.539121+(-0.37689--0.081804))+0-230.9--0.117758999999977</f>
        <v>1404.0835519999996</v>
      </c>
      <c r="H201" s="3">
        <f>1058.7+(683.8-163.8)+(-1.619811+(-1.046214--0.250614))+0-230.9--0.353277000000013</f>
        <v>1345.7378659999999</v>
      </c>
      <c r="I201" s="3">
        <f>1059.5+(621.5-154.6)+(-2.701725+(-1.584825--0.39423))+0-230.5--0.587774999999967</f>
        <v>1292.5954550000001</v>
      </c>
      <c r="J201" s="3">
        <f>1060.4+(569.5-175.7)+(-0.540804+(-0.290445--0.089607))+0-231.5--0.118064999999977</f>
        <v>1222.076423</v>
      </c>
      <c r="K201" s="3">
        <f>1062.8+(449.4-170.6)+(-1.626084+(-0.687582--0.261018))+0-231.5--0.354195000000013</f>
        <v>1108.4015469999999</v>
      </c>
      <c r="L201" s="3">
        <f>1064.5+(320.8-180.1)+(1.08579+(0.327216-0.183702))+0-230.2-0.234804000000037</f>
        <v>975.9944999999999</v>
      </c>
      <c r="M201" s="3">
        <f>1064.4+(342.6-196.7)+(0.542844+(0.174726-0.100317))+0-229.2-0.116891999999977</f>
        <v>981.60036100000002</v>
      </c>
      <c r="N201" s="3">
        <f>1059.5+(420.9-217.3)+(-0.540345+(-0.214659--0.110823))+0-229.1--0.116840999999977</f>
        <v>1033.4726600000001</v>
      </c>
      <c r="O201" s="3">
        <f>1050.6+(481.2-236.9)+(0+(0-0))+0-229.7-0</f>
        <v>1065.1999999999998</v>
      </c>
      <c r="P201" s="3">
        <f>1043.2+(541.3-238.5)+(-0.532032+(-0.276063--0.121635))+0-230.3--0.117452999999977</f>
        <v>1115.1309930000002</v>
      </c>
      <c r="Q201" s="3">
        <f>1033.5+(664.1-258.4)+(-0.527085+(-0.338691--0.131784))+0-230.3--0.117452999999977</f>
        <v>1208.2834610000002</v>
      </c>
      <c r="R201" s="3">
        <f>1029.5+(829.5-250.9)+(-1.575135+(-1.269135--0.383877))+0-229.2--0.350676000000013</f>
        <v>1376.7902829999998</v>
      </c>
      <c r="S201" s="3">
        <f>1027+(895.8-236.9)+(-1.04754+(-0.913716--0.241638))+0-229.9--0.234498000000037</f>
        <v>1454.5148799999999</v>
      </c>
      <c r="T201" s="3">
        <f>1026.9+(877.3-207.5)+(-2.094876+(-1.789692--0.4233))+0-230--0.46919999999999</f>
        <v>1463.707932</v>
      </c>
      <c r="U201" s="3">
        <f>1033.2+(757.9-200.1)+(-3.688524+(-2.705703--0.714357))+0-228.9--0.817173000000003</f>
        <v>1357.2373029999999</v>
      </c>
      <c r="V201" s="3">
        <f>1037.6+(522.3-197.4)+(-1.058352+(-0.532746--0.201348))+0-229.2--0.233784000000037</f>
        <v>1132.1440339999999</v>
      </c>
      <c r="W201" s="3">
        <f>1044+(473.8-234.7)+(-1.06488+(-0.483276--0.239394))+0-230.1--0.234702000000037</f>
        <v>1051.9259400000001</v>
      </c>
      <c r="X201" s="3">
        <f>1047.9+(679.2-288.2)+(-1.603287+(-1.039176--0.440946))+0-231--0.353430000000013</f>
        <v>1206.0519130000002</v>
      </c>
      <c r="Y201" s="3">
        <f>1051.3+(772.5-290.8)+(-1.608489+(-1.181925--0.444924))+0-229.8--0.351594000000013</f>
        <v>1301.2061040000001</v>
      </c>
      <c r="Z201" s="3">
        <f>1052.6+(798.9-266.4)+(0.536826+(0.407439-0.135864))+0-229.8-0.117197999999977</f>
        <v>1355.991203</v>
      </c>
      <c r="AA201" s="3">
        <f>1056.2+(813.4-242)+(-2.154648+(-1.659336--0.49368))+0-231.5--0.47225999999999</f>
        <v>1393.2519559999998</v>
      </c>
      <c r="AB201" s="3">
        <f>1058.8+(815.6-226.4)+(-1.079976+(-0.831912--0.230928))+0-228.5--0.233070000000036</f>
        <v>1418.0521100000001</v>
      </c>
      <c r="AC201" s="3">
        <f>1049.1+(834-235.3)+(-2.140164+(-1.70136--0.480012))+0-228.6--0.46634399999999</f>
        <v>1416.304832</v>
      </c>
      <c r="AD201">
        <f t="shared" si="3"/>
        <v>30108.36618400001</v>
      </c>
      <c r="AE201" s="3">
        <f>1045+(691.2-288.8)+(0+(0-0))+0-229-0</f>
        <v>1218.4000000000001</v>
      </c>
    </row>
    <row r="202" spans="1:31" s="2" customFormat="1" x14ac:dyDescent="0.25">
      <c r="A202">
        <v>89</v>
      </c>
      <c r="B202">
        <v>7</v>
      </c>
      <c r="C202">
        <v>16</v>
      </c>
      <c r="D202">
        <v>7</v>
      </c>
      <c r="E202">
        <v>1</v>
      </c>
      <c r="F202" s="3">
        <f>1059.4+(761.4-214)+(-1.620882+(-1.164942--0.32742))+0-228.9--0.350217000000013</f>
        <v>1375.791813</v>
      </c>
      <c r="G202" s="3">
        <f>1060.7+(708.5-195.5)+(-0.540957+(-0.361335--0.099705))+0-229.6--0.117095999999977</f>
        <v>1343.4145090000002</v>
      </c>
      <c r="H202" s="3">
        <f>1062+(651.4-178.7)+(0+(0-0))+0-231.5-0</f>
        <v>1303.2</v>
      </c>
      <c r="I202" s="3">
        <f>1066.6+(594.9-170.5)+(0.543966+(0.303399-0.086955))+0-231.4-0.118013999999977</f>
        <v>1260.2423960000001</v>
      </c>
      <c r="J202" s="3">
        <f>1068+(541-161.1)+(0+(0-0))+0-232.7-0</f>
        <v>1215.2</v>
      </c>
      <c r="K202" s="3">
        <f>1070+(412.9-149.1)+(-2.7285+(-1.052895--0.380205))+0-231--0.589049999999966</f>
        <v>1099.98786</v>
      </c>
      <c r="L202" s="3">
        <f>1071.6+(304-158.6)+(-2.73258+(-0.7752--0.40443))+0-229.3--0.584714999999967</f>
        <v>985.18136499999991</v>
      </c>
      <c r="M202" s="3">
        <f>1066+(299.4-163)+(1.63098+(0.458082-0.24939))+0-228.7-0.349911000000013</f>
        <v>975.18976100000009</v>
      </c>
      <c r="N202" s="3">
        <f>1058.9+(320.2-180.3)+(-1.080078+(-0.326604--0.183906))+0-230--0.234600000000037</f>
        <v>967.81182400000012</v>
      </c>
      <c r="O202" s="3">
        <f>1042.7+(393.3-210.8)+(-1.063554+(-0.401166--0.215016))+0-230.1--0.234702000000037</f>
        <v>994.08499800000004</v>
      </c>
      <c r="P202" s="3">
        <f>1017.5+(485.5-235.4)+(-1.556775+(-0.742815--0.360162))+0-229.5--0.351135000000013</f>
        <v>1036.5117070000001</v>
      </c>
      <c r="Q202" s="3">
        <f>1001.3+(627.9-263.7)+(-0.510663+(-0.320229--0.134487))+0-231--0.117809999999977</f>
        <v>1133.921405</v>
      </c>
      <c r="R202" s="3">
        <f>995+(762.8-254.1)+(-1.52235+(-1.167084--0.388773))+0-230.1--0.352053000000013</f>
        <v>1271.651392</v>
      </c>
      <c r="S202" s="3">
        <f>988.8+(865.6-241.1)+(0+(0-0))+0-230.5-0</f>
        <v>1382.8</v>
      </c>
      <c r="T202" s="3">
        <f>986.9+(868.5-228.2)+(-1.509957+(-1.328805--0.349146))+0-231.3--0.353889000000013</f>
        <v>1393.7642729999998</v>
      </c>
      <c r="U202" s="3">
        <f>992+(747-214.8)+(-2.02368+(-1.52388--0.438192))+0-230.6--0.47042399999999</f>
        <v>1290.9610560000003</v>
      </c>
      <c r="V202" s="3">
        <f>997.1+(521.2-203.7)+(-2.034084+(-1.063248--0.415548))+0-230--0.46919999999999</f>
        <v>1082.387416</v>
      </c>
      <c r="W202" s="3">
        <f>1004.9+(473-244.6)+(-2.562495+(-1.20615--0.62373))+0-230.6--0.588029999999967</f>
        <v>1000.1431149999999</v>
      </c>
      <c r="X202" s="3">
        <f>1016.5+(618.8-250.5)+(-2.07366+(-1.262352--0.51102))+0-230.5--0.47021999999999</f>
        <v>1151.9452279999998</v>
      </c>
      <c r="Y202" s="3">
        <f>1023.5+(726-247.8)+(-1.04397+(-0.74052--0.252756))+0-231.3--0.235926000000037</f>
        <v>1269.1041920000002</v>
      </c>
      <c r="Z202" s="3">
        <f>1029.5+(787-236.1)+(-1.575135+(-1.20411--0.361233))+0-230.4--0.352512000000013</f>
        <v>1347.9344999999998</v>
      </c>
      <c r="AA202" s="3">
        <f>1034.8+(820.6-215.4)+(-1.583244+(-1.255518--0.329562))+0-229.5--0.351135000000013</f>
        <v>1408.3419350000001</v>
      </c>
      <c r="AB202" s="3">
        <f>1037.9+(861.2-200.7)+(-2.646645+(-2.19606--0.511785))+0-229.1--0.584204999999967</f>
        <v>1465.553285</v>
      </c>
      <c r="AC202" s="3">
        <f>1041+(840.1-178.2)+(-1.06182+(-0.856902--0.181764))+0-229.4--0.233988000000037</f>
        <v>1471.99703</v>
      </c>
      <c r="AD202">
        <f t="shared" si="3"/>
        <v>29227.121059999998</v>
      </c>
      <c r="AE202" s="3">
        <f>1018+(705.2-266.7)+(0+(0-0))+0-236.1-0</f>
        <v>1220.4000000000001</v>
      </c>
    </row>
    <row r="203" spans="1:31" s="2" customFormat="1" x14ac:dyDescent="0.25">
      <c r="A203">
        <v>89</v>
      </c>
      <c r="B203">
        <v>7</v>
      </c>
      <c r="C203">
        <v>17</v>
      </c>
      <c r="D203">
        <v>1</v>
      </c>
      <c r="E203">
        <v>1</v>
      </c>
      <c r="F203" s="3">
        <f>1041.5+(785.3-176.4)+(-2.655825+(-2.002515--0.44982))+0-228--0.581399999999967</f>
        <v>1418.7728800000002</v>
      </c>
      <c r="G203" s="3">
        <f>1054+(719.9-162.1)+(-2.6877+(-1.835745--0.413355))+0-230.3--0.587264999999967</f>
        <v>1377.977175</v>
      </c>
      <c r="H203" s="3">
        <f>1057.5+(670.5-149.5)+(-0.539325+(-0.341955--0.076245))+0-230.8--0.117707999999977</f>
        <v>1347.0126729999999</v>
      </c>
      <c r="I203" s="3">
        <f>1057.5+(622.2-145.8)+(-2.1573+(-1.269288--0.297432))+0-230.1--0.46940399999999</f>
        <v>1301.1402480000002</v>
      </c>
      <c r="J203" s="3">
        <f>1058+(560-136.8)+(-0.53958+(-0.2856--0.069768))+0-229.1--0.116840999999977</f>
        <v>1251.4614290000002</v>
      </c>
      <c r="K203" s="3">
        <f>1058.9+(443.4-152.2)+(0+(0-0))+0-229.7-0</f>
        <v>1120.4000000000001</v>
      </c>
      <c r="L203" s="3">
        <f>1059.7+(319.4-171.2)+(0.540447+(0.162894-0.087312))+0-229.9-0.117248999999977</f>
        <v>978.49878000000012</v>
      </c>
      <c r="M203" s="3">
        <f>1055.3+(325.9-181.9)+(-0.538203+(-0.166209--0.092769))+0-230.9--0.117758999999977</f>
        <v>967.906116</v>
      </c>
      <c r="N203" s="3">
        <f>1047.8+(399.5-217.7)+(-0.534378+(-0.203745--0.111027))+0-232--0.118319999999976</f>
        <v>997.0912239999999</v>
      </c>
      <c r="O203" s="3">
        <f>1040.1+(470.2-242.4)+(-1.060902+(-0.479604--0.247248))+0-233.4--0.238068000000037</f>
        <v>1033.44481</v>
      </c>
      <c r="P203" s="3">
        <f>1031.1+(541-244.2)+(-0.525861+(-0.27591--0.124542))+0-234--0.119339999999976</f>
        <v>1093.3421109999999</v>
      </c>
      <c r="Q203" s="3">
        <f>1021.2+(658.7-243.9)+(-1.041624+(-0.671874--0.248778))+0-234.2--0.238884000000037</f>
        <v>1200.5741640000001</v>
      </c>
      <c r="R203" s="3">
        <f>1015.1+(778.4-246.8)+(-0.517701+(-0.396984--0.125868))+0-169.3--0.0863429999999828</f>
        <v>1376.6975259999997</v>
      </c>
      <c r="S203" s="3">
        <f>1008.3+(907.7-227.9)+(-1.028466+(-0.925854--0.232458))+0-195.9--0.199818000000031</f>
        <v>1490.6779559999998</v>
      </c>
      <c r="T203" s="3">
        <f>1006.3+(915-189.3)+(-1.026426+(-0.9333--0.193086))+0-235.3--0.240006000000038</f>
        <v>1495.173366</v>
      </c>
      <c r="U203" s="3">
        <f>1011.7+(778.6-163.3)+(-2.063868+(-1.588344--0.333132))+0-236.9--0.48327599999999</f>
        <v>1387.2641959999999</v>
      </c>
      <c r="V203" s="3">
        <f>1021+(581.8-199.2)+(-3.12426+(-1.780308--0.609552))+0-235.3--0.720018000000027</f>
        <v>1164.7250019999999</v>
      </c>
      <c r="W203" s="3">
        <f>1023.3+(546.4-261.5)+(-1.043766+(-0.557328--0.26673))+0-235--0.239700000000037</f>
        <v>1072.1053359999999</v>
      </c>
      <c r="X203" s="3">
        <f>1027.2+(676.3-265.5)+(-1.571616+(-1.034739--0.406215))+0-235.3--0.360009000000014</f>
        <v>1200.8598690000001</v>
      </c>
      <c r="Y203" s="3">
        <f>1033.2+(770.1-271.1)+(-2.63466+(-1.963755--0.691305))+0-234.5--0.597974999999966</f>
        <v>1294.3908649999998</v>
      </c>
      <c r="Z203" s="3">
        <f>1038.6+(821.3-255.8)+(-1.589058+(-1.256589--0.391374))+0-235.8--0.360774000000014</f>
        <v>1366.2065009999999</v>
      </c>
      <c r="AA203" s="3">
        <f>1044.6+(852-235.4)+(-2.66373+(-2.1726--0.60027))+0-236.4--0.602819999999966</f>
        <v>1421.1667599999998</v>
      </c>
      <c r="AB203" s="3">
        <f>1046.8+(855.3-206)+(-2.66934+(-2.181015--0.5253))+0-234.3--0.597464999999966</f>
        <v>1458.07241</v>
      </c>
      <c r="AC203" s="3">
        <f>1047.8+(823.2-174.5)+(0+(0-0))+0-231.9-0</f>
        <v>1464.6</v>
      </c>
      <c r="AD203">
        <f t="shared" si="3"/>
        <v>30279.561397000001</v>
      </c>
      <c r="AE203" s="3">
        <f>1029+(744.7-274.4)+(0+(0-0))+0-233.1-0</f>
        <v>1266.2000000000003</v>
      </c>
    </row>
    <row r="204" spans="1:31" s="2" customFormat="1" x14ac:dyDescent="0.25">
      <c r="A204">
        <v>89</v>
      </c>
      <c r="B204">
        <v>7</v>
      </c>
      <c r="C204">
        <v>18</v>
      </c>
      <c r="D204">
        <v>2</v>
      </c>
      <c r="E204">
        <v>1</v>
      </c>
      <c r="F204" s="3">
        <f>1048+(805.1-168.5)+(0+(0-0))+0-232.9-0</f>
        <v>1451.6999999999998</v>
      </c>
      <c r="G204" s="3">
        <f>1048.5+(753.5-156.9)+(0+(0-0))+0-234.1-0</f>
        <v>1411</v>
      </c>
      <c r="H204" s="3">
        <f>1048.8+(723.7-167)+(0+(0-0))+0-238.2-0</f>
        <v>1367.3</v>
      </c>
      <c r="I204" s="3">
        <f>1050.3+(661.7-155.3)+(0+(0-0))+0-233.4-0</f>
        <v>1323.3</v>
      </c>
      <c r="J204" s="3">
        <f>1053.8+(588.2-150)+(0+(0-0))+0-233.7-0</f>
        <v>1258.3</v>
      </c>
      <c r="K204" s="3">
        <f>1057.4+(449.7-142.7)+(0+(0-0))+0-233.9-0</f>
        <v>1130.5</v>
      </c>
      <c r="L204" s="3">
        <f>1058.4+(307.8-148.6)+(0+(0-0))+0-233.5-0</f>
        <v>984.10000000000014</v>
      </c>
      <c r="M204" s="3">
        <f>1052.8+(362.4-204.2)+(0+(0-0))+0-233-0</f>
        <v>978</v>
      </c>
      <c r="N204" s="3">
        <f>1038.1+(432.9-234.7)+(0+(0-0))+0-232.1-0</f>
        <v>1004.1999999999999</v>
      </c>
      <c r="O204" s="3">
        <f>1026.3+(481.1-245.7)+(0+(0-0))+0-232.8-0</f>
        <v>1028.9000000000001</v>
      </c>
      <c r="P204" s="3">
        <f>1020.7+(556.3-261.1)+(0+(0-0))+0-234-0</f>
        <v>1081.9000000000001</v>
      </c>
      <c r="Q204" s="3">
        <f>1015+(691.2-264.4)+(0+(0-0))+0-236.9-0</f>
        <v>1204.9000000000001</v>
      </c>
      <c r="R204" s="3">
        <f>1029.3+(816.2-267)+(-0.524943+(-0.416262--0.13617))+0-235.6--0.120155999999976</f>
        <v>1342.215121</v>
      </c>
      <c r="S204" s="3">
        <f>1144.5+(815.7-271.8)+(-1.16739+(-0.832014--0.277236))+0-234--0.238680000000037</f>
        <v>1452.916512</v>
      </c>
      <c r="T204" s="3">
        <f>1144+(801.2-252.4)+(-1.16688+(-0.817224--0.257448))+0-233.5--0.238170000000037</f>
        <v>1457.8115140000002</v>
      </c>
      <c r="U204" s="3">
        <f>1147.8+(680-232.6)+(-2.341512+(-1.3872--0.474504))+0-234.9--0.47919599999999</f>
        <v>1357.5249879999997</v>
      </c>
      <c r="V204" s="3">
        <f>1158.6+(446.7-233.1)+(-1.772658+(-0.683451--0.356643))+0-233.1--0.356643000000013</f>
        <v>1137.3571770000001</v>
      </c>
      <c r="W204" s="3">
        <f>1166.2+(415.5-277.3)+(0+(0-0))+0-233.5-0</f>
        <v>1070.9000000000001</v>
      </c>
      <c r="X204" s="3">
        <f>1174.9+(552.7-273.7)+(-0.599199+(-0.281877--0.139587))+0-234.1--0.119390999999976</f>
        <v>1219.1779020000001</v>
      </c>
      <c r="Y204" s="3">
        <f>1176.1+(649-276.5)+(-1.799433+(-0.99297--0.423045))+0-232.9--0.356337000000013</f>
        <v>1313.6869789999998</v>
      </c>
      <c r="Z204" s="3">
        <f>1180+(694.9-265.1)+(-3.6108+(-2.126394--0.811206))+0-233.5--0.714510000000027</f>
        <v>1372.088522</v>
      </c>
      <c r="AA204" s="3">
        <f>1185.5+(716.7-242.1)+(-1.20921+(-0.731034--0.246942))+0-233.5--0.238170000000037</f>
        <v>1425.1448680000001</v>
      </c>
      <c r="AB204" s="3">
        <f>1188.6+(687.5-214.4)+(-3.637116+(-2.10375--0.656064))+0-233.1--0.713286000000027</f>
        <v>1424.2284839999998</v>
      </c>
      <c r="AC204" s="3">
        <f>1191.3+(655.5-182.5)+(-3.037815+(-1.671525--0.465375))+0-232.7--0.593384999999966</f>
        <v>1427.9494199999999</v>
      </c>
      <c r="AD204">
        <f t="shared" si="3"/>
        <v>30225.101487</v>
      </c>
      <c r="AE204" s="3">
        <f>1176+(610-280.6)+(0+(0-0))+0-230.7-0</f>
        <v>1274.7</v>
      </c>
    </row>
    <row r="205" spans="1:31" s="2" customFormat="1" x14ac:dyDescent="0.25">
      <c r="A205">
        <v>89</v>
      </c>
      <c r="B205">
        <v>7</v>
      </c>
      <c r="C205">
        <v>19</v>
      </c>
      <c r="D205">
        <v>3</v>
      </c>
      <c r="E205">
        <v>1</v>
      </c>
      <c r="F205" s="3">
        <f>1192+(612.1-158.8)+(0.60792+(0.312171-0.080988))+0-232.6-0.118625999999976</f>
        <v>1413.4204770000001</v>
      </c>
      <c r="G205" s="3">
        <f>1192.2+(561.1-148)+(-2.432088+(-1.144644--0.30192))+0-233.3--0.47593199999999</f>
        <v>1369.2011200000002</v>
      </c>
      <c r="H205" s="3">
        <f>1194.5+(506.5-138.6)+(-2.43678+(-1.03326--0.282744))+0-232.6--0.47450399999999</f>
        <v>1327.0872080000001</v>
      </c>
      <c r="I205" s="3">
        <f>1198.5+(448-134.6)+(-1.22247+(-0.45696--0.137292))+0-233.8--0.238476000000037</f>
        <v>1276.7963380000001</v>
      </c>
      <c r="J205" s="3">
        <f>1198.5+(343.8-138.7)+(-1.22247+(-0.350676--0.141474))+0-175.4--0.178908000000028</f>
        <v>1226.947236</v>
      </c>
      <c r="K205" s="3">
        <f>1202.9+(253.8-129.3)+(0.613479+(0.129438-0.065943))+0-230.8-0.117707999999977</f>
        <v>1097.1592660000001</v>
      </c>
      <c r="L205" s="3">
        <f>1200.4+(188.5-178.6)+(-1.224408+(-0.19227--0.182172))+0-232.9--0.237558000000037</f>
        <v>976.40305200000023</v>
      </c>
      <c r="M205" s="3">
        <f>1193.6+(229.5-214.4)+(0.608736+(0.117045-0.109344))+0-231.1-0.117860999999977</f>
        <v>978.09857599999975</v>
      </c>
      <c r="N205" s="3">
        <f>1183.8+(330.9-275.8)+(-0.603738+(-0.168759--0.140658))+0-234.6--0.119645999999976</f>
        <v>1003.7878069999999</v>
      </c>
      <c r="O205" s="3">
        <f>1188.1+(349.7-280.8)+(0+(0-0))+0-234.3-0</f>
        <v>1022.7</v>
      </c>
      <c r="P205" s="3">
        <f>1200.3+(374.5-259.3)+(0+(0-0))+0-236.1-0</f>
        <v>1079.4000000000001</v>
      </c>
      <c r="Q205" s="3">
        <f>1191.3+(479.9-252.9)+(0+(0-0))+0-237.1-0</f>
        <v>1181.2</v>
      </c>
      <c r="R205" s="3">
        <f>1197.5+(649.2-243.2)+(-1.22145+(-0.662184--0.248064))+0-233.6--0.238272000000037</f>
        <v>1368.5027020000002</v>
      </c>
      <c r="S205" s="3">
        <f>1194.6+(725.9-225.3)+(0+(0-0))+0-233.8-0</f>
        <v>1461.3999999999999</v>
      </c>
      <c r="T205" s="3">
        <f>1193.6+(703.5-191.1)+(-1.217472+(-0.71757--0.194922))+0-233.8--0.238476000000037</f>
        <v>1470.6983560000001</v>
      </c>
      <c r="U205" s="3">
        <f>1196.6+(581.5-176.7)+(-2.441064+(-1.18626--0.360468))+0-234.4--0.47817599999999</f>
        <v>1364.2113199999999</v>
      </c>
      <c r="V205" s="3">
        <f>1199.8+(384.4-189)+(-2.447592+(-0.784176--0.38556))+0-235.2--0.47980799999999</f>
        <v>1157.6335999999999</v>
      </c>
      <c r="W205" s="3">
        <f>1200.6+(360.4-244.5)+(1.224612+(0.367608-0.24939))+0-233.9-0.238578000000037</f>
        <v>1083.704252</v>
      </c>
      <c r="X205" s="3">
        <f>1204.8+(504.8-251.1)+(-1.843344+(-0.772344--0.384183))+0-231.9--0.354807000000013</f>
        <v>1224.7233019999999</v>
      </c>
      <c r="Y205" s="3">
        <f>1210.7+(598.9-246.8)+(-2.469828+(-1.221756--0.503472))+0-234--0.47735999999999</f>
        <v>1326.089248</v>
      </c>
      <c r="Z205" s="3">
        <f>1220+(457.6-111.7)+(-1.8666+(-0.700128--0.170901))+38-235.5--0.360315000000014</f>
        <v>1366.3644879999999</v>
      </c>
      <c r="AA205" s="3">
        <f>1221.4+(463.7-54.9)+(-1.245828+(-0.472974--0.055998))+44.7-234.2--0.238884000000037</f>
        <v>1439.2760800000001</v>
      </c>
      <c r="AB205" s="3">
        <f>1224.9+(637.2-186.8)+(-1.249398+(-0.649944--0.190536))+0-233.3--0.237966000000037</f>
        <v>1440.5291600000003</v>
      </c>
      <c r="AC205" s="3">
        <f>1229.6+(679.2-204.2)+(-0.627096+(-0.346392--0.104142))+0-233.5--0.119084999999976</f>
        <v>1470.349739</v>
      </c>
      <c r="AD205">
        <f t="shared" si="3"/>
        <v>30125.683327000002</v>
      </c>
      <c r="AE205" s="3">
        <f>1205+(541.3-255.5)+(0+(0-0))+0-231.3-0</f>
        <v>1259.5</v>
      </c>
    </row>
    <row r="206" spans="1:31" s="2" customFormat="1" x14ac:dyDescent="0.25">
      <c r="A206">
        <v>89</v>
      </c>
      <c r="B206">
        <v>7</v>
      </c>
      <c r="C206">
        <v>20</v>
      </c>
      <c r="D206">
        <v>4</v>
      </c>
      <c r="E206">
        <v>1</v>
      </c>
      <c r="F206" s="3">
        <f>1235.5+(603.3-182)+(-2.52042+(-1.230732--0.37128))+0-231--0.47123999999999</f>
        <v>1422.8913680000001</v>
      </c>
      <c r="G206" s="3">
        <f>1239.4+(541.4-178.8)+(-0.632094+(-0.276114--0.091188))+0-232.1--0.118370999999976</f>
        <v>1369.2013510000002</v>
      </c>
      <c r="H206" s="3">
        <f>1241.7+(507.8-178.1)+(-1.899801+(-0.776934--0.272493))+0-234.4--0.358632000000014</f>
        <v>1334.9543899999999</v>
      </c>
      <c r="I206" s="3">
        <f>1240.2+(456.9-167.2)+(-1.897506+(-0.699057--0.255816))+0-234.2--0.358326000000014</f>
        <v>1293.7175790000001</v>
      </c>
      <c r="J206" s="3">
        <f>1239.9+(392.8-153.9)+(-1.264698+(-0.400656--0.156978))+0-233.3--0.237966000000037</f>
        <v>1244.2295900000004</v>
      </c>
      <c r="K206" s="3">
        <f>1242.1+(273.7-155.7)+(0+(0-0))+0-234.3-0</f>
        <v>1125.8</v>
      </c>
      <c r="L206" s="3">
        <f>1242+(191.7-196.9)+(0+(0-0))+0-234.1-0</f>
        <v>1002.6999999999999</v>
      </c>
      <c r="M206" s="3">
        <f>1237.4+(233.9-231.9)+(0.631074+(0.119289-0.118269))+0-233.4-0.119033999999976</f>
        <v>1006.5130600000002</v>
      </c>
      <c r="N206" s="3">
        <f>1227+(342-297)+(0+(0-0))+0-234-0</f>
        <v>1038</v>
      </c>
      <c r="O206" s="3">
        <f>1215+(378-301)+(0+(0-0))+0-232-0</f>
        <v>1060</v>
      </c>
      <c r="P206" s="3">
        <f>1208+(387-301)+(-3.0804+(-0.98685--0.76755))+0-196--0.499799999999972</f>
        <v>1095.2001</v>
      </c>
      <c r="Q206" s="3">
        <f>1197.8+(474.1-253.2)+(0+(0-0))+0-214.7-0</f>
        <v>1204</v>
      </c>
      <c r="R206" s="3">
        <f>1192.4+(664.1-223.2)+(0+(0-0))+0-235-0</f>
        <v>1398.3000000000002</v>
      </c>
      <c r="S206" s="3">
        <f>1190.4+(717.4-219)+(0+(0-0))+0-237.5-0</f>
        <v>1451.3000000000002</v>
      </c>
      <c r="T206" s="3">
        <f>1186.8+(711-210.2)+(-3.02634+(-1.81305--0.53601))+0-237.1--0.604604999999966</f>
        <v>1446.8012249999999</v>
      </c>
      <c r="U206" s="3">
        <f>1190.5+(582.3-193.5)+(-1.21431+(-0.593946--0.19737))+0-238.5--0.243270000000038</f>
        <v>1339.432384</v>
      </c>
      <c r="V206" s="3">
        <f>1195.1+(382.2-216.3)+(-3.657006+(-1.169532--0.661878))+0-237.8--0.727668000000028</f>
        <v>1119.7630080000001</v>
      </c>
      <c r="W206" s="3">
        <f>1205.7+(384-348)+(-2.459628+(-0.78336--0.70992))+0-184--0.375359999999992</f>
        <v>1055.5422920000001</v>
      </c>
      <c r="X206" s="3">
        <f>1214.1+(506.5-274.6)+(-2.476764+(-1.03326--0.560184))+0-236.3--0.48205199999999</f>
        <v>1207.2322120000001</v>
      </c>
      <c r="Y206" s="3">
        <f>1218.2+(607.8-272.1)+(-1.863846+(-0.929934--0.416313))+0-233.8--0.357714000000014</f>
        <v>1318.0802470000001</v>
      </c>
      <c r="Z206" s="3">
        <f>1221.3+(655.8-298.6)+(-1.868589+(-1.003374--0.456858))+0-232.8--0.356184000000013</f>
        <v>1343.641079</v>
      </c>
      <c r="AA206" s="3">
        <f>1222.2+(724.2-290.9)+(-3.739932+(-2.216052--0.890154))+0-232.6--0.711756000000027</f>
        <v>1418.545926</v>
      </c>
      <c r="AB206" s="3">
        <f>1222.6+(718.7-255.7)+(-2.494104+(-1.466148--0.521628))+0-231.8--0.47287199999999</f>
        <v>1450.8342480000001</v>
      </c>
      <c r="AC206" s="3">
        <f>1225.1+(687.5-234.2)+(-3.124005+(-1.753125--0.59721))+0-230.8--0.588539999999967</f>
        <v>1443.9086199999999</v>
      </c>
      <c r="AD206">
        <f t="shared" si="3"/>
        <v>30190.588678999997</v>
      </c>
      <c r="AE206" s="3">
        <f>1221+(573.4-284.2)+(0+(0-0))+0-233.1-0</f>
        <v>1277.1000000000001</v>
      </c>
    </row>
    <row r="207" spans="1:31" s="2" customFormat="1" x14ac:dyDescent="0.25">
      <c r="A207">
        <v>89</v>
      </c>
      <c r="B207">
        <v>7</v>
      </c>
      <c r="C207">
        <v>21</v>
      </c>
      <c r="D207">
        <v>5</v>
      </c>
      <c r="E207">
        <v>1</v>
      </c>
      <c r="F207" s="3">
        <f>1228.5+(638.5-211.9)+(-0.626535+(-0.325635--0.108069))+0-231.1--0.117860999999977</f>
        <v>1423.27376</v>
      </c>
      <c r="G207" s="3">
        <f>1230+(588.1-196.6)+(-1.8819+(-0.899793--0.300798))+0-231.9--0.354807000000013</f>
        <v>1387.4739119999999</v>
      </c>
      <c r="H207" s="3">
        <f>1228.7+(542.6-174.8)+(-1.879911+(-0.830178--0.267444))+0-232.3--0.355419000000013</f>
        <v>1362.1127739999999</v>
      </c>
      <c r="I207" s="3">
        <f>1230.4+(524.7-189.8)+(-1.882512+(-0.802791--0.290394))+0-233.3--0.356949000000014</f>
        <v>1329.9620400000001</v>
      </c>
      <c r="J207" s="3">
        <f>1230.2+(484.9-198.2)+(0+(0-0))+0-231.8-0</f>
        <v>1285.1000000000001</v>
      </c>
      <c r="K207" s="3">
        <f>1232.2+(342.7-182.2)+(-2.513688+(-0.699108--0.371688))+0-231.6--0.47246399999999</f>
        <v>1158.731356</v>
      </c>
      <c r="L207" s="3">
        <f>1232.7+(199.1-176.3)+(-1.886031+(-0.304623--0.269739))+0-231.6--0.354348000000013</f>
        <v>1022.333433</v>
      </c>
      <c r="M207" s="3">
        <f>1231+(219.1-199.1)+(1.25562+(0.223482-0.203082))+0-231-0.235620000000037</f>
        <v>1021.0404</v>
      </c>
      <c r="N207" s="3">
        <f>1227+(258.4-224.2)+(-1.25154+(-0.263568--0.228684))+0-231.1--0.235722000000037</f>
        <v>1029.0492980000004</v>
      </c>
      <c r="O207" s="3">
        <f>1218+(291.1-253.5)+(-1.86354+(-0.445383--0.387855))+0-232.8--0.356184000000013</f>
        <v>1021.2351159999998</v>
      </c>
      <c r="P207" s="3">
        <f>1211.4+(359-244.9)+(-1.853442+(-0.54927--0.374697))+0-233.2--0.356796000000013</f>
        <v>1090.6287809999999</v>
      </c>
      <c r="Q207" s="3">
        <f>1206.7+(422.9-231.3)+(0.615417+(0.215679-0.117963))+0-232.5-0.118574999999976</f>
        <v>1166.394558</v>
      </c>
      <c r="R207" s="3">
        <f>1205.2+(564.1-230.2)+(-3.687912+(-1.726146--0.704412))+0-232.2--0.710532000000027</f>
        <v>1302.9008860000001</v>
      </c>
      <c r="S207" s="3">
        <f>1205.7+(652.6-226.8)+(-0.614907+(-0.332826--0.115668))+0-231.5--0.118064999999977</f>
        <v>1399.2859999999998</v>
      </c>
      <c r="T207" s="3">
        <f>1211.1+(602-213.9)+(-1.235322+(-0.61404--0.218178))+0-232.2--0.236844000000037</f>
        <v>1365.6056599999997</v>
      </c>
      <c r="U207" s="3">
        <f>1211.5+(457.5-202)+(-1.23573+(-0.46665--0.20604))+0-231.7--0.236334000000037</f>
        <v>1234.039994</v>
      </c>
      <c r="V207" s="3">
        <f>1215.7+(304.3-240.2)+(-2.480028+(-0.620772--0.490008))+0-231--0.47123999999999</f>
        <v>1046.6604480000003</v>
      </c>
      <c r="W207" s="3">
        <f>1219.1+(324.8-279.2)+(-0.621741+(-0.165648--0.142392))+0-232.4--0.118523999999976</f>
        <v>1031.7735269999996</v>
      </c>
      <c r="X207" s="3">
        <f>1220.8+(465.1-262.5)+(-2.490432+(-0.948804--0.5355))+0-231.5--0.47225999999999</f>
        <v>1189.4685240000001</v>
      </c>
      <c r="Y207" s="3">
        <f>1223.7+(564.4-256.5)+(-2.496348+(-1.151376--0.52326))+0-231.9--0.47307599999999</f>
        <v>1297.0486119999998</v>
      </c>
      <c r="Z207" s="3">
        <f>1226+(604.5-244.7)+(-3.1263+(-1.541475--0.623985))+0-231.2--0.589559999999966</f>
        <v>1351.1457699999999</v>
      </c>
      <c r="AA207" s="3">
        <f>1228.3+(659.7-233.7)+(-1.879299+(-1.009341--0.357561))+0-232.3--0.355419000000013</f>
        <v>1419.8243399999999</v>
      </c>
      <c r="AB207" s="3">
        <f>1228.8+(668-219.6)+(-1.880064+(-1.02204--0.335988))+0-232.9--0.356337000000013</f>
        <v>1442.0902209999997</v>
      </c>
      <c r="AC207" s="3">
        <f>1230.3+(636-192)+(-3.137265+(-1.6218--0.4896))+0-231.1--0.589304999999966</f>
        <v>1439.5198399999999</v>
      </c>
      <c r="AD207">
        <f t="shared" si="3"/>
        <v>29816.699249999994</v>
      </c>
      <c r="AE207" s="3">
        <f>1222+(477.1-278.1)+(0+(0-0))+0-230.7-0</f>
        <v>1190.3</v>
      </c>
    </row>
    <row r="208" spans="1:31" s="2" customFormat="1" x14ac:dyDescent="0.25">
      <c r="A208">
        <v>89</v>
      </c>
      <c r="B208">
        <v>7</v>
      </c>
      <c r="C208">
        <v>22</v>
      </c>
      <c r="D208">
        <v>6</v>
      </c>
      <c r="E208">
        <v>1</v>
      </c>
      <c r="F208" s="3">
        <f>1232.7+(590-188.2)+(-4.400739+(-2.1063--0.671874))+0-231.2--0.825384000000003</f>
        <v>1398.290219</v>
      </c>
      <c r="G208" s="3">
        <f>1233.5+(546.3-178)+(-1.25817+(-0.557226--0.18156))+0-231.7--0.236334000000037</f>
        <v>1368.7024979999999</v>
      </c>
      <c r="H208" s="3">
        <f>1234.8+(493.8-167.2)+(-1.889244+(-0.755514--0.255816))+0-232.6--0.355878000000013</f>
        <v>1326.7669360000002</v>
      </c>
      <c r="I208" s="3">
        <f>1236.9+(480.9-199)+(-1.261638+(-0.490518--0.20298))+0-232.8--0.237456000000037</f>
        <v>1284.6882800000003</v>
      </c>
      <c r="J208" s="3">
        <f>1238.8+(424.4-195)+(0.631788+(0.216444-0.09945))+0-232.2-0.118421999999976</f>
        <v>1236.6303599999997</v>
      </c>
      <c r="K208" s="3">
        <f>1240.6+(297.8-190.2)+(-1.898118+(-0.455634--0.291006))+0-232.4--0.355572000000013</f>
        <v>1114.0928259999996</v>
      </c>
      <c r="L208" s="3">
        <f>1127.8+(264.5-184.8)+(-1.150356+(-0.26979--0.188496))+0-229.7--0.234294000000037</f>
        <v>976.8026440000001</v>
      </c>
      <c r="M208" s="3">
        <f>1103.7+(299.1-199.4)+(1.125774+(0.305082-0.203388))+0-230-0.234600000000037</f>
        <v>974.39286800000013</v>
      </c>
      <c r="N208" s="3">
        <f>1104.6+(302.8-201.4)+(-0.563346+(-0.154428--0.102714))+0-229.8--0.117197999999977</f>
        <v>975.70213799999999</v>
      </c>
      <c r="O208" s="3">
        <f>1106.5+(309.8-187.1)+(0.564315+(0.157998-0.095421))+0-230.3-0.117452999999977</f>
        <v>999.40943900000013</v>
      </c>
      <c r="P208" s="3">
        <f>1103+(413.6-251.8)+(-1.12506+(-0.421872--0.256836))+0-231.4--0.236028000000037</f>
        <v>1032.3459319999999</v>
      </c>
      <c r="Q208" s="3">
        <f>1100+(478.2-246.2)+(1.122+(0.487764-0.251124))+0-231.5-0.236130000000037</f>
        <v>1101.6225099999999</v>
      </c>
      <c r="R208" s="3">
        <f>1098.8+(627.5-253.2)+(-3.922716+(-2.240175--0.903924))+0-232.1--0.828597000000003</f>
        <v>1236.56963</v>
      </c>
      <c r="S208" s="3">
        <f>1097.3+(691.7-301.1)+(-3.357738+(-2.116602--0.921366))+0-231.2--0.707472000000027</f>
        <v>1252.8544980000001</v>
      </c>
      <c r="T208" s="3">
        <f>1093.5+(760.4-312.4)+(-1.11537+(-0.775608--0.318648))+0-231.3--0.235926000000037</f>
        <v>1308.8635960000001</v>
      </c>
      <c r="U208" s="3">
        <f>1092+(640.5-276.8)+(-2.7846+(-1.633275--0.70584))+0-231.1--0.589304999999966</f>
        <v>1221.4772700000001</v>
      </c>
      <c r="V208" s="3">
        <f>1090.5+(440.7-266.6)+(0.556155+(0.224757-0.135966))+0-231.5-0.118064999999977</f>
        <v>1033.6268809999999</v>
      </c>
      <c r="W208" s="3">
        <f>1092.8+(444.4-261.2)+(-1.114656+(-0.453288--0.266424))+0-232.2--0.236844000000037</f>
        <v>1042.735324</v>
      </c>
      <c r="X208" s="3">
        <f>1095.9+(494.4-257.9)+(-1.117818+(-0.504288--0.263058))+0-231.6--0.236232000000037</f>
        <v>1099.6771840000001</v>
      </c>
      <c r="Y208" s="3">
        <f>1097.9+(562.2-263.5)+(-2.239716+(-1.146888--0.53754))+0-232.8--0.47491199999999</f>
        <v>1161.4258480000001</v>
      </c>
      <c r="Z208" s="3">
        <f>1099.7+(603-254.1)+(-1.121694+(-0.61506--0.259182))+0-232.8--0.237456000000037</f>
        <v>1214.559884</v>
      </c>
      <c r="AA208" s="3">
        <f>1106.3+(615.2-225)+(-2.821065+(-1.56876--0.57375))+0-232.7--0.593384999999966</f>
        <v>1260.5773099999999</v>
      </c>
      <c r="AB208" s="3">
        <f>1107.8+(631.4-198.3)+(-0.564978+(-0.322014--0.101133))+0-232.6--0.118625999999976</f>
        <v>1307.6327669999998</v>
      </c>
      <c r="AC208" s="3">
        <f>1108.8+(630.1-187.9)+(-3.392928+(-1.928106--0.574974))+0-231.1--0.707166000000027</f>
        <v>1315.8611060000001</v>
      </c>
      <c r="AD208">
        <f t="shared" si="3"/>
        <v>28245.307948000001</v>
      </c>
      <c r="AE208" s="3">
        <f>1088+(508.9-255.9)+(0+(0-0))+0-231.9-0</f>
        <v>1109.0999999999999</v>
      </c>
    </row>
    <row r="209" spans="1:31" s="2" customFormat="1" x14ac:dyDescent="0.25">
      <c r="A209">
        <v>89</v>
      </c>
      <c r="B209">
        <v>7</v>
      </c>
      <c r="C209">
        <v>23</v>
      </c>
      <c r="D209">
        <v>7</v>
      </c>
      <c r="E209">
        <v>1</v>
      </c>
      <c r="F209" s="3">
        <f>1096.7+(625.9-166.5)+(-1.118634+(-0.638418--0.16983))+0-230.9--0.235518000000037</f>
        <v>1323.8482959999997</v>
      </c>
      <c r="G209" s="3">
        <f>1099.6+(556.8-153.4)+(-1.682388+(-0.851904--0.234702))+0-231.9--0.354807000000013</f>
        <v>1269.1552169999998</v>
      </c>
      <c r="H209" s="3">
        <f>1100.4+(506.3-140.6)+(0+(0-0))+0-233.1-0</f>
        <v>1233.0000000000002</v>
      </c>
      <c r="I209" s="3">
        <f>1099.9+(459.6-131.5)+(-0.560949+(-0.234396--0.067065))+0-231.1--0.117860999999977</f>
        <v>1196.289581</v>
      </c>
      <c r="J209" s="3">
        <f>1101.1+(406.5-125)+(0.561561+(0.207315-0.06375))+0-232.3-0.118472999999976</f>
        <v>1150.886653</v>
      </c>
      <c r="K209" s="3">
        <f>1103.2+(279.4-121.9)+(-1.687896+(-0.427482--0.186507))+0-230.8--0.353124000000013</f>
        <v>1028.324253</v>
      </c>
      <c r="L209" s="3">
        <f>1103.1+(252.7-172.3)+(-1.687743+(-0.386631--0.263619))+0-230.6--0.352818000000013</f>
        <v>951.44206299999996</v>
      </c>
      <c r="M209" s="3">
        <f>1098+(254.7-210.7)+(0+(0-0))+0-230.6-0</f>
        <v>911.4</v>
      </c>
      <c r="N209" s="3">
        <f>1090.2+(282.3-239.5)+(0+(0-0))+0-230.5-0</f>
        <v>902.5</v>
      </c>
      <c r="O209" s="3">
        <f>1093.7+(280.6-234.6)+(-2.788935+(-0.71553--0.59823))+0-230.2--0.587009999999967</f>
        <v>907.18077500000004</v>
      </c>
      <c r="P209" s="3">
        <f>1087.1+(321.4-230)+(-2.217684+(-0.655656--0.4692))+0-230.1--0.46940399999999</f>
        <v>946.46526399999982</v>
      </c>
      <c r="Q209" s="3">
        <f>1082.2+(390.1-255.2)+(-1.103844+(-0.397902--0.260304))+0-230.2--0.234804000000037</f>
        <v>985.89336200000014</v>
      </c>
      <c r="R209" s="3">
        <f>1065.5+(511-249)+(-1.08681+(-0.52122--0.25398))+0-231.6--0.236232000000037</f>
        <v>1094.7821820000001</v>
      </c>
      <c r="S209" s="3">
        <f>1076.9+(595.7-242.8)+(0+(0-0))+0-230.2-0</f>
        <v>1199.6000000000001</v>
      </c>
      <c r="T209" s="3">
        <f>1068+(614.4-238.8)+(-0.54468+(-0.313344--0.121788))+0-231.3--0.117962999999977</f>
        <v>1211.6817269999999</v>
      </c>
      <c r="U209" s="3">
        <f>1080.3+(501.8-217.6)+(-2.203812+(-1.023672--0.443904))+0-230.7--0.47062799999999</f>
        <v>1131.487048</v>
      </c>
      <c r="V209" s="3">
        <f>1081.2+(355.1-203.5)+(-1.102824+(-0.362202--0.20757))+0-229.6--0.234192000000037</f>
        <v>1002.1767360000001</v>
      </c>
      <c r="W209" s="3">
        <f>1084.9+(374.6-266.7)+(-2.213196+(-0.764184--0.544068))+0-231.3--0.47185199999999</f>
        <v>959.53854000000035</v>
      </c>
      <c r="X209" s="3">
        <f>1088.5+(464.8-314.6)+(-1.11027+(-0.474096--0.320892))+0-231.6--0.236232000000037</f>
        <v>1006.072758</v>
      </c>
      <c r="Y209" s="3">
        <f>1090.3+(550.3-291.6)+(-2.224212+(-1.122612--0.594864))+0-232.2--0.47368799999999</f>
        <v>1114.5217279999999</v>
      </c>
      <c r="Z209" s="3">
        <f>1095.3+(600.1-296.6)+(0+(0-0))+0-231.6-0</f>
        <v>1167.2</v>
      </c>
      <c r="AA209" s="3">
        <f>1102.6+(638-278.7)+(-1.686978+(-0.97614--0.426411))+0-231.5--0.354195000000013</f>
        <v>1228.517488</v>
      </c>
      <c r="AB209" s="3">
        <f>1103.5+(643.1-245.5)+(0+(0-0))+0-231.1-0</f>
        <v>1270</v>
      </c>
      <c r="AC209" s="3">
        <f>1106.6+(616.5-213.8)+(-3.386196+(-1.88649--0.654228))+0-231.3--0.707778000000027</f>
        <v>1274.08932</v>
      </c>
      <c r="AD209">
        <f t="shared" si="3"/>
        <v>26466.052991000004</v>
      </c>
      <c r="AE209" s="3">
        <f>1086+(484.7-293.3)+(0+(0-0))+0-238.5-0</f>
        <v>1038.9000000000001</v>
      </c>
    </row>
    <row r="210" spans="1:31" s="2" customFormat="1" x14ac:dyDescent="0.25">
      <c r="A210">
        <v>89</v>
      </c>
      <c r="B210">
        <v>7</v>
      </c>
      <c r="C210">
        <v>24</v>
      </c>
      <c r="D210">
        <v>1</v>
      </c>
      <c r="E210">
        <v>1</v>
      </c>
      <c r="F210" s="3">
        <f>1107.4+(591-215.9)+(-2.82387+(-1.50705--0.550545))+0-231.5--0.590324999999966</f>
        <v>1247.8099499999998</v>
      </c>
      <c r="G210" s="3">
        <f>1108.9+(593.6-283.5)+(-2.827695+(-1.51368--0.722925))+0-232.3--0.592364999999966</f>
        <v>1183.6739150000001</v>
      </c>
      <c r="H210" s="3">
        <f>1119.9+(539.2-220.7)+(-0.571149+(-0.274992--0.112557))+0-232.6--0.118625999999976</f>
        <v>1205.1850420000001</v>
      </c>
      <c r="I210" s="3">
        <f>1119.9+(485.8-223.2)+(0.571149+(0.247758-0.113832))+0-232-0.118319999999976</f>
        <v>1151.086755</v>
      </c>
      <c r="J210" s="3">
        <f>1150.2+(402.4-234.4)+(-1.173204+(-0.410448--0.239088))+0-233.6--0.238272000000037</f>
        <v>1083.4937080000002</v>
      </c>
      <c r="K210" s="3">
        <f>1241.5+(267.4-294.4)+(-0.633165+(-0.136374--0.150144))+0-231.8--0.118217999999976</f>
        <v>982.19882300000006</v>
      </c>
      <c r="L210" s="3">
        <f>1135.4+(285.4-344.4)+(0.579054+(0.145554-0.175644))+0-231.1-0.117860999999977</f>
        <v>845.73110300000019</v>
      </c>
      <c r="M210" s="3">
        <f>1086.1+(336.4-351.3)+(1.107822+(0.343128-0.358326))+0-233.3-0.237966000000037</f>
        <v>838.75465799999972</v>
      </c>
      <c r="N210" s="3">
        <f>979+(433.2-313)+(-0.49929+(-0.220932--0.15963))+0-231.4--0.118013999999977</f>
        <v>867.35742200000004</v>
      </c>
      <c r="O210" s="3">
        <f>969.2+(450.2-271)+(0+(0-0))+0-232.3-0</f>
        <v>916.10000000000014</v>
      </c>
      <c r="P210" s="3">
        <f>947.8+(484.6-263.8)+(0+(0-0))+0-234-0</f>
        <v>934.59999999999991</v>
      </c>
      <c r="Q210" s="3">
        <f>938+(542.1-250.1)+(-0.95676+(-0.552942--0.255102))+0-233.7--0.238374000000037</f>
        <v>995.28377399999999</v>
      </c>
      <c r="R210" s="3">
        <f>930.3+(684.1-262.4)+(-0.474453+(-0.348891--0.133824))+0-235.8--0.120257999999976</f>
        <v>1115.6307380000001</v>
      </c>
      <c r="S210" s="3">
        <f>925.2+(769-240.4)+(0.471852+(0.39219-0.122604))+0-233.7-0.119186999999976</f>
        <v>1220.7222510000001</v>
      </c>
      <c r="T210" s="3">
        <f>924.6+(769.1-220.9)+(0+(0-0))+0-232.6-0</f>
        <v>1240.2000000000003</v>
      </c>
      <c r="U210" s="3">
        <f>924.6+(659.9-207)+(-0.943092+(-0.673098--0.21114))+0-233--0.237660000000037</f>
        <v>1143.3326099999999</v>
      </c>
      <c r="V210" s="3">
        <f>929+(477.5-201)+(0.47379+(0.243525-0.10251))+0-232.8-0.118727999999976</f>
        <v>973.19607699999995</v>
      </c>
      <c r="W210" s="3">
        <f>940.8+(457.5-244.3)+(-0.479808+(-0.233325--0.124593))+0-233.7--0.119186999999976</f>
        <v>919.830647</v>
      </c>
      <c r="X210" s="3">
        <f>945.2+(556.3-247.4)+(-2.41026+(-1.418565--0.63087))+0-233.6--0.595679999999966</f>
        <v>1017.8977249999998</v>
      </c>
      <c r="Y210" s="3">
        <f>947.4+(619.9-237.5)+(0.483174+(0.316149-0.121125))+0-233.5-0.119084999999976</f>
        <v>1096.859113</v>
      </c>
      <c r="Z210" s="3">
        <f>948.6+(666.7-223.8)+(0+(0-0))+0-232.5-0</f>
        <v>1159</v>
      </c>
      <c r="AA210" s="3">
        <f>957.1+(682.9-207.1)+(0+(0-0))+0-232.4-0</f>
        <v>1200.5</v>
      </c>
      <c r="AB210" s="3">
        <f>963.7+(682.4-187.6)+(-1.965948+(-1.392096--0.382704))+0-230.3--0.46981199999999</f>
        <v>1225.6944720000001</v>
      </c>
      <c r="AC210" s="3">
        <f>966.6+(654.3-170.9)+(-2.46483+(-1.668465--0.435795))+0-226.1--0.576554999999967</f>
        <v>1220.779055</v>
      </c>
      <c r="AD210">
        <f t="shared" si="3"/>
        <v>25784.917837999998</v>
      </c>
      <c r="AE210" s="3">
        <f>945+(578.6-238.6)+(0+(0-0))+0-230.7-0</f>
        <v>1054.3</v>
      </c>
    </row>
    <row r="211" spans="1:31" s="2" customFormat="1" x14ac:dyDescent="0.25">
      <c r="A211">
        <v>89</v>
      </c>
      <c r="B211">
        <v>7</v>
      </c>
      <c r="C211">
        <v>25</v>
      </c>
      <c r="D211">
        <v>2</v>
      </c>
      <c r="E211">
        <v>1</v>
      </c>
      <c r="F211" s="3">
        <f>969.2+(483.6-163.1)+(-1.482876+(-0.739908--0.249543))+0-74.3--0.113679000000004</f>
        <v>1213.5404380000002</v>
      </c>
      <c r="G211" s="3">
        <f>973.8+(537.7-133.3)+(-1.489914+(-0.822681--0.203949))+0-201.6--0.308448000000012</f>
        <v>1174.7998020000002</v>
      </c>
      <c r="H211" s="3">
        <f>972.5+(510.4-112)+(-1.487925+(-0.780912--0.17136))+0-231.3--0.353889000000013</f>
        <v>1137.8564120000001</v>
      </c>
      <c r="I211" s="3">
        <f>975.4+(454.7-106.8)+(-0.497454+(-0.231897--0.054468))+0-233.6--0.119135999999976</f>
        <v>1089.1442530000002</v>
      </c>
      <c r="J211" s="3">
        <f>978.2+(401.8-107.2)+(0.498882+(0.204918-0.054672))+0-231.6-0.118115999999977</f>
        <v>1041.7310120000004</v>
      </c>
      <c r="K211" s="3">
        <f>974.8+(300.3-113.2)+(-0.497148+(-0.153153--0.057732))+0-229.4--0.116993999999977</f>
        <v>932.02442500000018</v>
      </c>
      <c r="L211" s="3">
        <f>974.1+(230.8-147.7)+(-0.496791+(-0.117708--0.075327))+0-227.3--0.115922999999977</f>
        <v>829.47675100000004</v>
      </c>
      <c r="M211" s="3">
        <f>962.6+(312.8-206)+(0.490926+(0.159528-0.10506))+0-228.1-0.116330999999977</f>
        <v>841.72906300000011</v>
      </c>
      <c r="N211" s="3">
        <f>947.6+(386.7-233.1)+(1.449828+(0.591651-0.356643))+0-229.3-0.350829000000013</f>
        <v>873.23400700000002</v>
      </c>
      <c r="O211" s="3">
        <f>936.6+(433.7-264.8)+(0+(0-0))+0-229.3-0</f>
        <v>876.2</v>
      </c>
      <c r="P211" s="3">
        <f>924.1+(449.6-242.8)+(-0.471291+(-0.229296--0.123828))+0-228.5--0.116534999999977</f>
        <v>901.93977600000005</v>
      </c>
      <c r="Q211" s="3">
        <f>914.3+(535.5-239.3)+(-0.466293+(-0.273105--0.122043))+0-229.1--0.116840999999977</f>
        <v>980.89948599999991</v>
      </c>
      <c r="R211" s="3">
        <f>906.6+(679.5-241.3)+(0+(0-0))+0-228.9-0</f>
        <v>1115.8999999999999</v>
      </c>
      <c r="S211" s="3">
        <f>901.2+(772.1-236.1)+(-0.459612+(-0.393771--0.120411))+0-226.3--0.115412999999977</f>
        <v>1210.2824410000001</v>
      </c>
      <c r="T211" s="3">
        <f>890+(772.6-215.4)+(0+(0-0))+0-223.6-0</f>
        <v>1223.6000000000001</v>
      </c>
      <c r="U211" s="3">
        <f>904.7+(651.8-205.8)+(-1.384191+(-0.997254--0.314874))+0-223.1--0.341343000000013</f>
        <v>1125.8747720000001</v>
      </c>
      <c r="V211" s="3">
        <f>922.4+(464.6-200)+(-0.940848+(-0.473892--0.204))+0-225.5--0.230010000000036</f>
        <v>960.51927000000001</v>
      </c>
      <c r="W211" s="3">
        <f>937.6+(453.8-228.6)+(-0.478176+(-0.231438--0.116586))+0-233.5--0.119084999999976</f>
        <v>928.82605699999988</v>
      </c>
      <c r="X211" s="3">
        <f>947.1+(566.3-251.7)+(-1.449063+(-0.866439--0.385101))+0-230.7--0.352971000000013</f>
        <v>1029.42257</v>
      </c>
      <c r="Y211" s="3">
        <f>980+(606.2-253.9)+(-1.9992+(-1.236648--0.517956))+0-231--0.47123999999999</f>
        <v>1099.0533480000004</v>
      </c>
      <c r="Z211" s="3">
        <f>1072+(581.6-248.2)+(-1.64016+(-0.889848--0.379746))+0-231.1--0.353583000000013</f>
        <v>1172.5033210000001</v>
      </c>
      <c r="AA211" s="3">
        <f>1084.7+(604.6-228.6)+(-0.553197+(-0.308346--0.116586))+0-230.6--0.117605999999977</f>
        <v>1229.472649</v>
      </c>
      <c r="AB211" s="3">
        <f>1099.5+(608.3-206.4)+(-1.682235+(-0.930699--0.315792))+0-231.2--0.353736000000013</f>
        <v>1268.2565940000002</v>
      </c>
      <c r="AC211" s="3">
        <f>1199.9+(508.2-197.9)+(-0.611949+(-0.259182--0.100929))+0-230.1--0.117350999999977</f>
        <v>1279.4471490000001</v>
      </c>
      <c r="AD211">
        <f t="shared" si="3"/>
        <v>25535.733595999998</v>
      </c>
      <c r="AE211" s="3">
        <f>949+(600.3-256.7)+(0+(0-0))+0-231.2-0</f>
        <v>1061.3999999999999</v>
      </c>
    </row>
    <row r="212" spans="1:31" s="2" customFormat="1" x14ac:dyDescent="0.25">
      <c r="A212">
        <v>89</v>
      </c>
      <c r="B212">
        <v>7</v>
      </c>
      <c r="C212">
        <v>26</v>
      </c>
      <c r="D212">
        <v>3</v>
      </c>
      <c r="E212">
        <v>1</v>
      </c>
      <c r="F212" s="3">
        <f>1252.5+(442.2-201.6)+(-2.5551+(-0.902088--0.411264))+0-231.6--0.47246399999999</f>
        <v>1258.9265399999999</v>
      </c>
      <c r="G212" s="3">
        <f>1253.8+(377.4-191.1)+(0.639438+(0.192474-0.097461))+0-232.6-0.118625999999976</f>
        <v>1208.1158250000001</v>
      </c>
      <c r="H212" s="3">
        <f>1258.5+(332.3-199.7)+(-1.28367+(-0.338946--0.203694))+0-232.6--0.237252000000037</f>
        <v>1157.3183300000001</v>
      </c>
      <c r="I212" s="3">
        <f>1258.8+(308.9-199.8)+(-2.567952+(-0.630156--0.407592))+0-232.9--0.47511599999999</f>
        <v>1132.6845999999998</v>
      </c>
      <c r="J212" s="3">
        <f>1259.4+(249.2-188.3)+(1.926882+(0.381276-0.288099))+0-232.1-0.355113000000013</f>
        <v>1089.8649460000001</v>
      </c>
      <c r="K212" s="3">
        <f>1262.3+(188.9-233.1)+(-1.931319+(-0.289017--0.356643))+0-229--0.350370000000013</f>
        <v>987.5866769999999</v>
      </c>
      <c r="L212" s="3">
        <f>1256.9+(162.3-332.4)+(1.282038+(0.165546-0.339048))+0-227.6-0.232152000000036</f>
        <v>860.07638400000008</v>
      </c>
      <c r="M212" s="3">
        <f>1249.8+(224.4-387.2)+(0.637398+(0.114444-0.197472))+0-227.3-0.115922999999977</f>
        <v>860.13844700000016</v>
      </c>
      <c r="N212" s="3">
        <f>1242.5+(258.6-385.6)+(1.26735+(0.263772-0.393312))+0-227-0.231540000000036</f>
        <v>889.40626999999995</v>
      </c>
      <c r="O212" s="3">
        <f>1235.5+(288.9-386.2)+(0+(0-0))+0-196.2-0</f>
        <v>942</v>
      </c>
      <c r="P212" s="3">
        <f>1233+(328.6-355.2)+(0+(0-0))+0-233.2-0</f>
        <v>973.2</v>
      </c>
      <c r="Q212" s="3">
        <f>1221.9+(393.7-325.3)+(0+(0-0))+0-232.2-0</f>
        <v>1058.1000000000001</v>
      </c>
      <c r="R212" s="3">
        <f>1214.9+(425.8-247.1)+(1.239198+(0.434316-0.252042))+0-230.3-0.234906000000037</f>
        <v>1164.486566</v>
      </c>
      <c r="S212" s="3">
        <f>1210.6+(512.6-238.2)+(0.617406+(0.261426-0.121482))+0-230.2-0.117401999999977</f>
        <v>1255.439948</v>
      </c>
      <c r="T212" s="3">
        <f>1207.7+(518-226.6)+(-1.847781+(-0.79254--0.346698))+0-232.4--0.355572000000013</f>
        <v>1264.7619489999997</v>
      </c>
      <c r="U212" s="3">
        <f>1213.7+(427-232.7)+(-0.618987+(-0.21777--0.118677))+0-230.4--0.117503999999977</f>
        <v>1176.9994239999999</v>
      </c>
      <c r="V212" s="3">
        <f>1221.2+(351.2-321.4)+(-1.245624+(-0.358224--0.327828))+0-229.4--0.233988000000037</f>
        <v>1020.5579680000001</v>
      </c>
      <c r="W212" s="3">
        <f>1223.9+(361-365.7)+(0.624189+(0.18411-0.186507))+0-230.9-0.117758999999977</f>
        <v>988.804033</v>
      </c>
      <c r="X212" s="3">
        <f>1232.3+(421.5-326.9)+(-1.885419+(-0.644895--0.500157))+0-230.5--0.352665000000013</f>
        <v>1094.7225080000003</v>
      </c>
      <c r="Y212" s="3">
        <f>1242.8+(458.1-283.5)+(0+(0-0))+0-230.5-0</f>
        <v>1186.9000000000001</v>
      </c>
      <c r="Z212" s="3">
        <f>1248+(507.2-257.7)+(0+(0-0))+0-231.4-0</f>
        <v>1266.0999999999999</v>
      </c>
      <c r="AA212" s="3">
        <f>1252.8+(527.1-232.6)+(-3.19464+(-1.344105--0.59313))+0-230.3--0.587264999999967</f>
        <v>1313.6416499999998</v>
      </c>
      <c r="AB212" s="3">
        <f>1255.3+(536.4-204.2)+(-1.280406+(-0.547128--0.208284))+0-230.4--0.235008000000037</f>
        <v>1355.7157580000001</v>
      </c>
      <c r="AC212" s="3">
        <f>1256.9+(525.7-186.5)+(-3.846114+(-1.608642--0.57069))+0-229.1--0.701046000000026</f>
        <v>1362.8169800000003</v>
      </c>
      <c r="AD212">
        <f t="shared" si="3"/>
        <v>26868.364803</v>
      </c>
      <c r="AE212" s="3">
        <f>1240+(429-333.5)+(0+(0-0))+0-228.8-0</f>
        <v>1106.7</v>
      </c>
    </row>
    <row r="213" spans="1:31" s="2" customFormat="1" x14ac:dyDescent="0.25">
      <c r="A213">
        <v>89</v>
      </c>
      <c r="B213">
        <v>7</v>
      </c>
      <c r="C213">
        <v>27</v>
      </c>
      <c r="D213">
        <v>4</v>
      </c>
      <c r="E213">
        <v>1</v>
      </c>
      <c r="F213" s="3">
        <f>1253.7+(528.9-248.9)+(-1.278774+(-0.539478--0.253878))+0-228.7--0.233274000000036</f>
        <v>1303.6688999999999</v>
      </c>
      <c r="G213" s="3">
        <f>1253.2+(512.7-248.1)+(-0.639132+(-0.261477--0.126531))+0-228.7--0.116636999999977</f>
        <v>1288.4425590000003</v>
      </c>
      <c r="H213" s="3">
        <f>1254.3+(455.9-229.5)+(-1.919079+(-0.697527--0.351135))+0-229.3--0.350829000000013</f>
        <v>1249.4853579999999</v>
      </c>
      <c r="I213" s="3">
        <f>1256.2+(397.6-220.3)+(-0.640662+(-0.202776--0.112353))+0-230.1--0.117350999999977</f>
        <v>1202.7862660000001</v>
      </c>
      <c r="J213" s="3">
        <f>1256.9+(332-235.9)+(1.282038+(0.33864-0.240618))+0-229.4-0.233988000000037</f>
        <v>1124.7460719999999</v>
      </c>
      <c r="K213" s="3">
        <f>1260.4+(258.6-251.4)+(1.285608+(0.263772-0.256428))+0-229-0.233580000000037</f>
        <v>1039.6593720000001</v>
      </c>
      <c r="L213" s="3">
        <f>1262.2+(209.3-308.1)+(0+(0-0))+0-228.6-0</f>
        <v>934.80000000000007</v>
      </c>
      <c r="M213" s="3">
        <f>1254.2+(253.3-347.9)+(1.279284+(0.258366-0.354858))+0-229-0.233580000000037</f>
        <v>931.54921200000013</v>
      </c>
      <c r="N213" s="3">
        <f>1246.4+(314.8-365.9)+(0.635664+(0.160548-0.186609))+0-229.5-0.117044999999977</f>
        <v>966.29255800000033</v>
      </c>
      <c r="O213" s="3">
        <f>1235.7+(359.9-377.8)+(2.520828+(0.734196-0.770712))+0-231.3-0.47185199999999</f>
        <v>988.51246000000003</v>
      </c>
      <c r="P213" s="3">
        <f>1228.5+(417-356.4)+(-0.626535+(-0.21267--0.181764))+0-231.3--0.117962999999977</f>
        <v>1057.2605219999998</v>
      </c>
      <c r="Q213" s="3">
        <f>1218.2+(442.1-299.9)+(0.621282+(0.225471-0.152949))+0-230.4-0.117503999999977</f>
        <v>1130.5762999999999</v>
      </c>
      <c r="R213" s="3">
        <f>1225.1+(531.5-264.8)+(-3.124005+(-1.355325--0.67524))+0-229.7--0.585734999999967</f>
        <v>1258.8816449999997</v>
      </c>
      <c r="S213" s="3">
        <f>1220.3+(618.3-258.7)+(0+(0-0))+0-229.2-0</f>
        <v>1350.6999999999998</v>
      </c>
      <c r="T213" s="3">
        <f>1222.5+(589.2-234)+(-0.623475+(-0.300492--0.11934))+0-229.9--0.117248999999977</f>
        <v>1347.1126219999999</v>
      </c>
      <c r="U213" s="3">
        <f>1222.9+(480-218.7)+(-1.871037+(-0.7344--0.334611))+0-229.1--0.350523000000013</f>
        <v>1253.1796970000003</v>
      </c>
      <c r="V213" s="3">
        <f>1226.3+(384.5-291.9)+(0+(0-0))+0-228.7-0</f>
        <v>1090.2</v>
      </c>
      <c r="W213" s="3">
        <f>1230.3+(405.4-346.8)+(1.254906+(0.413508-0.353736))+0-230-0.234600000000037</f>
        <v>1059.9800779999998</v>
      </c>
      <c r="X213" s="3">
        <f>1241.2+(480.3-300.6)+(0+(0-0))+0-229.4-0</f>
        <v>1191.5</v>
      </c>
      <c r="Y213" s="3">
        <f>1245.7+(551.1-298.7)+(-0.635307+(-0.281061--0.152337))+0-230.4--0.117503999999977</f>
        <v>1267.0534730000002</v>
      </c>
      <c r="Z213" s="3">
        <f>1246.8+(582.5-282.2)+(-1.271736+(-0.59415--0.287844))+0-229.2--0.233784000000037</f>
        <v>1316.5557419999998</v>
      </c>
      <c r="AA213" s="3">
        <f>1249.5+(594-264.2)+(-1.27449+(-0.60588--0.269484))+0-231.6--0.236232000000037</f>
        <v>1346.3253460000001</v>
      </c>
      <c r="AB213" s="3">
        <f>1253.3+(603.4-234.2)+(-2.556732+(-1.230936--0.477768))+0-230--0.46919999999999</f>
        <v>1389.6593</v>
      </c>
      <c r="AC213" s="3">
        <f>1256+(563.3-198.1)+(-1.92168+(-0.861849--0.303093))+0-228.9--0.350217000000013</f>
        <v>1390.1697809999996</v>
      </c>
      <c r="AD213">
        <f t="shared" si="3"/>
        <v>28479.097263000007</v>
      </c>
      <c r="AE213" s="3">
        <f>1239+(500.5-296.3)+(0+(0-0))+0-226.4-0</f>
        <v>1216.8</v>
      </c>
    </row>
    <row r="214" spans="1:31" s="2" customFormat="1" x14ac:dyDescent="0.25">
      <c r="A214">
        <v>89</v>
      </c>
      <c r="B214">
        <v>7</v>
      </c>
      <c r="C214">
        <v>28</v>
      </c>
      <c r="D214">
        <v>5</v>
      </c>
      <c r="E214">
        <v>1</v>
      </c>
      <c r="F214" s="3">
        <f>1242.3+(530.9-180.8)+(-3.801438+(-1.624554--0.553248))+0-229.5--0.702270000000026</f>
        <v>1358.7295259999999</v>
      </c>
      <c r="G214" s="3">
        <f>1222.2+(482-165.2)+(-1.246644+(-0.49164--0.168504))+0-229.9--0.234498000000037</f>
        <v>1307.7647179999999</v>
      </c>
      <c r="H214" s="3">
        <f>1222+(436.5-154.5)+(-1.86966+(-0.667845--0.236385))+0-230.1--0.352053000000013</f>
        <v>1271.9509330000001</v>
      </c>
      <c r="I214" s="3">
        <f>1224.5+(381.1-149.8)+(-1.24899+(-0.388722--0.152796))+0-231.9--0.236538000000037</f>
        <v>1222.6516219999999</v>
      </c>
      <c r="J214" s="3">
        <f>1228.2+(330.8-166.4)+(0.626382+(0.168708-0.084864))+0-230.9-0.117758999999977</f>
        <v>1162.292467</v>
      </c>
      <c r="K214" s="3">
        <f>1228.5+(224.9-177.4)+(-0.626535+(-0.114699--0.090474))+0-230.6--0.117605999999977</f>
        <v>1044.8668460000001</v>
      </c>
      <c r="L214" s="3">
        <f>1194.4+(213.9-268.6)+(-3.04572+(-0.545445--0.68493))+12.3-229.4--0.584969999999967</f>
        <v>920.2787350000001</v>
      </c>
      <c r="M214" s="3">
        <f>1171.1+(247.5-253.1)+(1.194522+(0.25245-0.258162))+0-229.7-0.234294000000037</f>
        <v>936.75451599999997</v>
      </c>
      <c r="N214" s="3">
        <f>1225.5+(196.3-223.7)+(0.625005+(0.100113-0.114087))+0-229.5-0.117044999999977</f>
        <v>969.09398599999986</v>
      </c>
      <c r="O214" s="3">
        <f>1214.9+(286.1-301)+(0+(0-0))+0-230-0</f>
        <v>970</v>
      </c>
      <c r="P214" s="3">
        <f>1205.9+(346.6-337.2)+(1.845027+(0.530298-0.515916))+0-232.1-0.355113000000013</f>
        <v>984.70429600000011</v>
      </c>
      <c r="Q214" s="3">
        <f>1193.5+(411.8-275.8)+(-0.608685+(-0.210018--0.140658))+0-231.8--0.118217999999976</f>
        <v>1097.140173</v>
      </c>
      <c r="R214" s="3">
        <f>1198+(558.7-247)+(-1.83294+(-0.854811--0.37791))+0-231--0.353430000000013</f>
        <v>1276.7435890000002</v>
      </c>
      <c r="S214" s="3">
        <f>1198.3+(642.6-238.4)+(0+(0-0))+0-230.6-0</f>
        <v>1371.9</v>
      </c>
      <c r="T214" s="3">
        <f>1202.2+(628.1-225.9)+(-0.613122+(-0.320331--0.115209))+0-232.2--0.118421999999976</f>
        <v>1371.500178</v>
      </c>
      <c r="U214" s="3">
        <f>1205.8+(485.5-220.9)+(-1.229916+(-0.49521--0.225318))+0-232.4--0.237048000000037</f>
        <v>1236.7372399999999</v>
      </c>
      <c r="V214" s="3">
        <f>1212+(387.8-271.9)+(-0.61812+(-0.197778--0.138669))+0-231.4--0.118013999999977</f>
        <v>1095.940785</v>
      </c>
      <c r="W214" s="3">
        <f>1216.2+(446.1-323.9)+(-1.860786+(-0.682533--0.495567))+0-230.7--0.352971000000013</f>
        <v>1106.0052190000001</v>
      </c>
      <c r="X214" s="3">
        <f>1222.6+(505.8-266.3)+(-0.623526+(-0.257958--0.135813))+0-229.8--0.117197999999977</f>
        <v>1231.671527</v>
      </c>
      <c r="Y214" s="3">
        <f>1231.6+(572.7-260.4)+(-1.256232+(-0.584154--0.265608))+0-231--0.235620000000037</f>
        <v>1311.5608420000001</v>
      </c>
      <c r="Z214" s="3">
        <f>1235.7+(612-245.4)+(-1.890621+(-0.93636--0.375462))+0-232.7--0.356031000000013</f>
        <v>1367.5045120000002</v>
      </c>
      <c r="AA214" s="3">
        <f>1239+(644-254.1)+(-0.63189+(-0.32844--0.129591))+0-230.1--0.117350999999977</f>
        <v>1398.0866120000001</v>
      </c>
      <c r="AB214" s="3">
        <f>1242.7+(642.8-237.7)+(-5.070216+(-2.622624--0.969816))+0-229.6--0.93676799999998</f>
        <v>1412.4137440000002</v>
      </c>
      <c r="AC214" s="3">
        <f>1212.8+(635.1-213.5)+(-1.855584+(-0.971703--0.326655))+0-229.7--0.351441000000013</f>
        <v>1402.5508090000001</v>
      </c>
      <c r="AD214">
        <f t="shared" si="3"/>
        <v>28828.842874999991</v>
      </c>
      <c r="AE214" s="3">
        <f>1229+(505.6-288.6)+(0+(0-0))+0-229-0</f>
        <v>1217</v>
      </c>
    </row>
    <row r="215" spans="1:31" s="2" customFormat="1" x14ac:dyDescent="0.25">
      <c r="A215">
        <v>89</v>
      </c>
      <c r="B215">
        <v>7</v>
      </c>
      <c r="C215">
        <v>29</v>
      </c>
      <c r="D215">
        <v>6</v>
      </c>
      <c r="E215">
        <v>1</v>
      </c>
      <c r="F215" s="3">
        <f>1234.3+(550.2-203)+(-2.517972+(-1.122408--0.41412))+0-229.3--0.46777199999999</f>
        <v>1349.4415120000001</v>
      </c>
      <c r="G215" s="3">
        <f>1242.7+(493.8-189.6)+(-1.901331+(-0.755514--0.290088))+0-231.1--0.353583000000013</f>
        <v>1313.7868260000002</v>
      </c>
      <c r="H215" s="3">
        <f>1247+(433-175.5)+(-1.27194+(-0.44166--0.17901))+0-230.2--0.234804000000037</f>
        <v>1273.0002139999999</v>
      </c>
      <c r="I215" s="3">
        <f>1249.9+(381.5-168.5)+(0+(0-0))+0-230.9-0</f>
        <v>1232</v>
      </c>
      <c r="J215" s="3">
        <f>1253.4+(334-172.5)+(0+(0-0))+0-229.4-0</f>
        <v>1185.5</v>
      </c>
      <c r="K215" s="3">
        <f>1257.7+(295.1-240.8)+(-2.565708+(-0.602004--0.491232))+0-232.1--0.47348399999999</f>
        <v>1077.6970040000001</v>
      </c>
      <c r="L215" s="3">
        <f>1262.3+(217.3-305.7)+(-0.643773+(-0.110823--0.155907))+0-230.6--0.117605999999977</f>
        <v>942.81891700000017</v>
      </c>
      <c r="M215" s="3">
        <f>1256.6+(247.1-345)+(-0.640866+(-0.126021--0.17595))+0-223.7--0.114086999999977</f>
        <v>934.52314999999976</v>
      </c>
      <c r="N215" s="3">
        <f>1244.2+(337.8-390.5)+(-1.269084+(-0.344556--0.39831))+0-225.2--0.229704000000036</f>
        <v>965.31437400000004</v>
      </c>
      <c r="O215" s="3">
        <f>1231.1+(334.6-394)+(0.627861+(0.170646-0.20094))+0-184.4-0.0940439999999813</f>
        <v>987.80352299999993</v>
      </c>
      <c r="P215" s="3">
        <f>1216+(407.5-351.5)+(0.62016+(0.207825-0.179265))+0-229.4-0.116993999999977</f>
        <v>1043.1317259999998</v>
      </c>
      <c r="Q215" s="3">
        <f>1203+(458.1-306.8)+(-0.61353+(-0.233631--0.156468))+0-228.9--0.116738999999977</f>
        <v>1124.8260459999999</v>
      </c>
      <c r="R215" s="3">
        <f>1196.4+(556.9-263.6)+(-3.05082+(-1.420095--0.67218))+0-230--0.586499999999967</f>
        <v>1256.4877649999999</v>
      </c>
      <c r="S215" s="3">
        <f>1192.7+(581.7-229.7)+(0+(0-0))+0-228.2-0</f>
        <v>1316.5</v>
      </c>
      <c r="T215" s="3">
        <f>1190.3+(569.7-221.1)+(0.607053+(0.290547-0.112761))+0-228.1-0.116330999999977</f>
        <v>1311.4685080000002</v>
      </c>
      <c r="U215" s="3">
        <f>1193.5+(458.2-211.7)+(-3.043425+(-1.16841--0.539835))+0-226.9--0.578594999999967</f>
        <v>1210.0065949999998</v>
      </c>
      <c r="V215" s="3">
        <f>1196.5+(357.8-290.2)+(-2.44086+(-0.729912--0.592008))+0-226.9--0.46287599999999</f>
        <v>1035.0841119999998</v>
      </c>
      <c r="W215" s="3">
        <f>1201.6+(377.6-343.2)+(0.612816+(0.192576-0.175032))+0-232.8-0.118727999999976</f>
        <v>1003.7116320000001</v>
      </c>
      <c r="X215" s="3">
        <f>1206.3+(443.5-293.4)+(1.230426+(0.45237-0.299268))+0-234.7-0.239394000000037</f>
        <v>1122.8441340000002</v>
      </c>
      <c r="Y215" s="3">
        <f>1203.1+(478.8-265.9)+(-3.067905+(-1.22094--0.678045))+0-233.4--0.595169999999966</f>
        <v>1179.58437</v>
      </c>
      <c r="Z215" s="3">
        <f>1215.9+(500.6-256.8)+(-2.480436+(-1.021224--0.523872))+0-233.1--0.47552399999999</f>
        <v>1224.0977360000002</v>
      </c>
      <c r="AA215" s="3">
        <f>1212.5+(513.8-233.6)+(-1.23675+(-0.524076--0.238272))+0-234.7--0.239394000000037</f>
        <v>1256.7168399999998</v>
      </c>
      <c r="AB215" s="3">
        <f>1153.4+(568.6-199.7)+(-1.764702+(-0.869958--0.305541))+0-232.6--0.355878000000013</f>
        <v>1287.7267590000004</v>
      </c>
      <c r="AC215" s="3">
        <f>919.3+(754.1-138.6)+(0+(0-0))+0-232.6-0</f>
        <v>1302.2</v>
      </c>
      <c r="AD215">
        <f t="shared" si="3"/>
        <v>27936.271743000001</v>
      </c>
      <c r="AE215" s="3">
        <f>1209+(449-288.6)+(0+(0-0))+0-231.8-0</f>
        <v>1137.6000000000001</v>
      </c>
    </row>
    <row r="216" spans="1:31" s="2" customFormat="1" x14ac:dyDescent="0.25">
      <c r="A216">
        <v>89</v>
      </c>
      <c r="B216">
        <v>7</v>
      </c>
      <c r="C216">
        <v>30</v>
      </c>
      <c r="D216">
        <v>7</v>
      </c>
      <c r="E216">
        <v>1</v>
      </c>
      <c r="F216" s="3">
        <f>908.3+(714.3-122.5)+(0.463233+(0.364293-0.062475))+0-232.1-0.118370999999976</f>
        <v>1268.6466800000001</v>
      </c>
      <c r="G216" s="3">
        <f>913.2+(673-107.5)+(-1.862928+(-1.37292--0.2193))+0-233.3--0.47593199999999</f>
        <v>1242.8593840000001</v>
      </c>
      <c r="H216" s="3">
        <f>904.6+(646.2-95.7)+(-2.30673+(-1.64781--0.244035))+0-233.6--0.595679999999966</f>
        <v>1218.3851749999999</v>
      </c>
      <c r="I216" s="3">
        <f>949.6+(551-99.7)+(-1.452888+(-0.84303--0.152541))+0-232.1--0.355113000000013</f>
        <v>1167.0117360000002</v>
      </c>
      <c r="J216" s="3">
        <f>957+(490.3-97.7)+(0+(0-0))+0-232.6-0</f>
        <v>1117</v>
      </c>
      <c r="K216" s="3">
        <f>956.8+(390-90.3)+(0+(0-0))+0-233.2-0</f>
        <v>1023.3</v>
      </c>
      <c r="L216" s="3">
        <f>965.1+(297.9-113.1)+(-1.476603+(-0.455787--0.173043))+0-232--0.354960000000013</f>
        <v>916.49561300000016</v>
      </c>
      <c r="M216" s="3">
        <f>1054.9+(239.7-171)+(0.537999+(0.122247-0.08721))+0-231.9-0.118268999999976</f>
        <v>892.15476700000022</v>
      </c>
      <c r="N216" s="3">
        <f>1088.9+(208.6-294.4)+(0+(0-0))+0-111.9-0</f>
        <v>891.20000000000016</v>
      </c>
      <c r="O216" s="3">
        <f>1072.5+(267.9-248.2)+(0+(0-0))+0-189.3-0</f>
        <v>902.90000000000009</v>
      </c>
      <c r="P216" s="3">
        <f>1061+(360.9-235.7)+(-1.62333+(-0.552177--0.360621))+0-237.2--0.362916000000014</f>
        <v>947.54803000000015</v>
      </c>
      <c r="Q216" s="3">
        <f>1057.2+(424.8-220.6)+(0+(0-0))+0-236.8-0</f>
        <v>1024.6000000000001</v>
      </c>
      <c r="R216" s="3">
        <f>1100+(499.8-227.3)+(-0.561+(-0.254898--0.115923))+0-239--0.121889999999976</f>
        <v>1132.9219149999999</v>
      </c>
      <c r="S216" s="3">
        <f>1196.9+(472.2-214.2)+(-2.441676+(-0.963288--0.436968))+0-238--0.48551999999999</f>
        <v>1214.417524</v>
      </c>
      <c r="T216" s="3">
        <f>1197.3+(462.5-200.4)+(-1.831869+(-0.707625--0.306612))+0-235.6--0.360468000000014</f>
        <v>1221.9275860000002</v>
      </c>
      <c r="U216" s="3">
        <f>1198.7+(370.7-189.1)+(-3.056685+(-0.945285--0.482205))+0-233.9--0.596444999999966</f>
        <v>1143.4766799999998</v>
      </c>
      <c r="V216" s="3">
        <f>1205.7+(264.5-236.7)+(-1.229814+(-0.26979--0.241434))+0-234.2--0.238884000000037</f>
        <v>998.28071399999988</v>
      </c>
      <c r="W216" s="3">
        <f>1215.3+(323-316.9)+(1.239606+(0.32946-0.323238))+0-234.7-0.239394000000037</f>
        <v>987.70643400000006</v>
      </c>
      <c r="X216" s="3">
        <f>1224.6+(392.9-276.5)+(1.873638+(0.601137-0.423045))+0-234.3-0.358479000000014</f>
        <v>1108.393251</v>
      </c>
      <c r="Y216" s="3">
        <f>1232.8+(431.1-251.6)+(0.628728+(0.219861-0.128316))+0-233.3-0.118982999999976</f>
        <v>1179.6012899999998</v>
      </c>
      <c r="Z216" s="3">
        <f>1236.9+(475.9-240.4)+(0.630819+(0.242709-0.122604))+0-232.9-0.118778999999976</f>
        <v>1240.132145</v>
      </c>
      <c r="AA216" s="3">
        <f>1240.5+(503.7-222.1)+(-1.26531+(-0.513774--0.226542))+0-233.4--0.238068000000037</f>
        <v>1287.385526</v>
      </c>
      <c r="AB216" s="3">
        <f>1244.7+(509.7-191.3)+(-1.904391+(-0.779841--0.292689))+0-232.4--0.355572000000013</f>
        <v>1328.6640289999998</v>
      </c>
      <c r="AC216" s="3">
        <f>1249.5+(480.4-167.9)+(-1.27449+(-0.490008--0.171258))+0-232.6--0.237252000000037</f>
        <v>1328.0440120000003</v>
      </c>
      <c r="AD216">
        <f t="shared" si="3"/>
        <v>26783.052491000002</v>
      </c>
      <c r="AE216" s="3">
        <f>1221+(396.8-259)+(0+(0-0))+0-233.6-0</f>
        <v>1125.2</v>
      </c>
    </row>
    <row r="217" spans="1:31" s="2" customFormat="1" x14ac:dyDescent="0.25">
      <c r="A217">
        <v>89</v>
      </c>
      <c r="B217">
        <v>8</v>
      </c>
      <c r="C217">
        <v>1</v>
      </c>
      <c r="D217">
        <v>1</v>
      </c>
      <c r="E217">
        <v>1</v>
      </c>
      <c r="F217" s="3">
        <f>1246+(429.4-149.8)+(-1.27092+(-0.437988--0.152796))+0-232.4--0.237048000000037</f>
        <v>1291.8809359999998</v>
      </c>
      <c r="G217" s="3">
        <f>1246+(389-154)+(-1.90638+(-0.59517--0.23562))+0-232.7--0.356031000000013</f>
        <v>1246.390101</v>
      </c>
      <c r="H217" s="3">
        <f>1247+(364.4-158.3)+(-1.90791+(-0.557532--0.242199))+0-232.8--0.356184000000013</f>
        <v>1218.432941</v>
      </c>
      <c r="I217" s="3">
        <f>1252.6+(309.7-159.5)+(-1.916478+(-0.473841--0.244035))+0-232.6--0.355878000000013</f>
        <v>1168.4095940000002</v>
      </c>
      <c r="J217" s="3">
        <f>1255.5+(250.6-176.5)+(-2.56122+(-0.511224--0.36006))+0-232.7--0.47470799999999</f>
        <v>1094.6623239999999</v>
      </c>
      <c r="K217" s="3">
        <f>1257+(185.8-214.2)+(0+(0-0))+0-231.6-0</f>
        <v>996.99999999999989</v>
      </c>
      <c r="L217" s="3">
        <f>1258.6+(123.7-280.7)+(-0.641886+(-0.063087--0.143157))+0-231.7--0.118166999999976</f>
        <v>869.45635099999993</v>
      </c>
      <c r="M217" s="3">
        <f>1251+(149.3-292.1)+(1.91403+(0.228429-0.446913))+0-230.5-0.352665000000013</f>
        <v>879.04288099999997</v>
      </c>
      <c r="N217" s="3">
        <f>1238.8+(229-304.1)+(0+(0-0))+0-232-0</f>
        <v>931.69999999999982</v>
      </c>
      <c r="O217" s="3">
        <f>1231.9+(292.5-331)+(-0.628269+(-0.149175--0.16881))+0-231.6--0.118115999999977</f>
        <v>961.30948200000012</v>
      </c>
      <c r="P217" s="3">
        <f>1217.7+(320.4-304.2)+(1.863081+(0.490212-0.465426))+0-232.1-0.355113000000013</f>
        <v>1003.332754</v>
      </c>
      <c r="Q217" s="3">
        <f>1204+(354-251.3)+(0+(0-0))+0-232.6-0</f>
        <v>1074.1000000000001</v>
      </c>
      <c r="R217" s="3">
        <f>1194.3+(422-212.4)+(-1.827279+(-0.64566--0.324972))+0-231.5--0.354195000000013</f>
        <v>1170.6062279999999</v>
      </c>
      <c r="S217" s="3">
        <f>1191.6+(499.5-206.9)+(-3.646296+(-1.52847--0.633114))+0-230.4--0.705024000000027</f>
        <v>1249.9633719999997</v>
      </c>
      <c r="T217" s="3">
        <f>1185.8+(502.6-202.3)+(0+(0-0))+0-230.3-0</f>
        <v>1255.8</v>
      </c>
      <c r="U217" s="3">
        <f>1180+(417.5-196.2)+(-1.2036+(-0.42585--0.200124))+0-232.4--0.237048000000037</f>
        <v>1167.7077219999999</v>
      </c>
      <c r="V217" s="3">
        <f>1187.2+(331.2-283.5)+(-1.816416+(-0.506736--0.433755))+0-230.8--0.353124000000013</f>
        <v>1002.5637270000002</v>
      </c>
      <c r="W217" s="3">
        <f>1200.5+(350.3-349.2)+(0.612255+(0.178653-0.178092))+0-231-0.117809999999977</f>
        <v>971.09500600000001</v>
      </c>
      <c r="X217" s="3">
        <f>1206.6+(393.5-268.6)+(-1.846098+(-0.602055--0.410958))+0-230.9--0.353277000000013</f>
        <v>1098.9160819999997</v>
      </c>
      <c r="Y217" s="3">
        <f>1148.9+(478.1-229.7)+(-1.171878+(-0.487662--0.234294))+0-232.9--0.237558000000037</f>
        <v>1163.2123120000001</v>
      </c>
      <c r="Z217" s="3">
        <f>1145.5+(518.8-230.1)+(-1.752615+(-0.793764--0.352053))+0-232.1--0.355113000000013</f>
        <v>1200.2607869999999</v>
      </c>
      <c r="AA217" s="3">
        <f>1148.9+(541.9-195.6)+(-1.171878+(-0.552738--0.199512))+0-230.4--0.235008000000037</f>
        <v>1263.509904</v>
      </c>
      <c r="AB217" s="3">
        <f>1137.4+(566-166.4)+(-2.90037+(-1.4433--0.42432))+0-231.1--0.589304999999966</f>
        <v>1302.5699550000002</v>
      </c>
      <c r="AC217" s="3">
        <f>1139.4+(543-147.3)+(-2.90547+(-1.38465--0.375615))+0-230.8--0.588539999999967</f>
        <v>1300.9740350000002</v>
      </c>
      <c r="AD217">
        <f t="shared" si="3"/>
        <v>26882.896493999993</v>
      </c>
      <c r="AE217" s="3">
        <f>1217+(382.1-263.1)+(0+(0-0))+0-230-0</f>
        <v>1106</v>
      </c>
    </row>
    <row r="218" spans="1:31" s="2" customFormat="1" x14ac:dyDescent="0.25">
      <c r="A218">
        <v>89</v>
      </c>
      <c r="B218">
        <v>8</v>
      </c>
      <c r="C218">
        <v>2</v>
      </c>
      <c r="D218">
        <v>2</v>
      </c>
      <c r="E218">
        <v>1</v>
      </c>
      <c r="F218" s="3">
        <f>1149.5+(472.8-133.8)+(-2.34498+(-0.964512--0.272952))+0-231.6--0.47246399999999</f>
        <v>1254.335924</v>
      </c>
      <c r="G218" s="3">
        <f>1152.8+(428-139)+(-0.587928+(-0.21828--0.07089))+0-232--0.118319999999976</f>
        <v>1209.183002</v>
      </c>
      <c r="H218" s="3">
        <f>1167.3+(373-135.5)+(-2.976615+(-0.95115--0.345525))+0-232.7--0.593384999999966</f>
        <v>1169.1111449999999</v>
      </c>
      <c r="I218" s="3">
        <f>1166.9+(350.7-154)+(2.975595+(0.894285-0.3927))+0-232.9-0.593894999999966</f>
        <v>1133.5832850000002</v>
      </c>
      <c r="J218" s="3">
        <f>1165.9+(300.9-158.8)+(1.189218+(0.306918-0.161976))+0-231.7-0.236334000000037</f>
        <v>1077.3978260000001</v>
      </c>
      <c r="K218" s="3">
        <f>1170.6+(212.1-177.9)+(-1.194012+(-0.216342--0.181458))+0-231.9--0.236538000000037</f>
        <v>971.9076419999999</v>
      </c>
      <c r="L218" s="3">
        <f>1164+(179.1-252.6)+(-1.18728+(-0.182682--0.257652))+0-231.3--0.235926000000037</f>
        <v>858.32361600000013</v>
      </c>
      <c r="M218" s="3">
        <f>1157.8+(252.5-329.1)+(1.180956+(0.25755-0.335682))+0-231.5-0.236130000000037</f>
        <v>850.56669399999987</v>
      </c>
      <c r="N218" s="3">
        <f>1140.9+(391.3-413.6)+(-1.745577+(-0.598689--0.632808))+0-231.1--0.353583000000013</f>
        <v>886.14212500000008</v>
      </c>
      <c r="O218" s="3">
        <f>1127.7+(442-432)+(-1.725381+(-0.67626--0.66096))+0-231.6--0.354348000000013</f>
        <v>904.71366699999999</v>
      </c>
      <c r="P218" s="3">
        <f>1119.9+(477-419.9)+(-1.713447+(-0.72981--0.642447))+0-234.5--0.358785000000014</f>
        <v>941.05797500000006</v>
      </c>
      <c r="Q218" s="3">
        <f>1114.5+(502.6-375.9)+(-2.841975+(-1.28163--0.958545))+0-235--0.599249999999966</f>
        <v>1003.63419</v>
      </c>
      <c r="R218" s="3">
        <f>1106.5+(524.7-289.1)+(-2.821575+(-1.337985--0.737205))+0-238.2--0.607409999999965</f>
        <v>1101.085055</v>
      </c>
      <c r="S218" s="3">
        <f>1104.1+(554.9-231.8)+(-1.126182+(-0.565998--0.236436))+0-238.9--0.243678000000038</f>
        <v>1187.0879339999997</v>
      </c>
      <c r="T218" s="3">
        <f>1106.3+(531.9-228.7)+(-2.256852+(-1.085076--0.466548))+0-237.3--0.48409199999999</f>
        <v>1169.808712</v>
      </c>
      <c r="U218" s="3">
        <f>1110.9+(392.9-201.2)+(-2.266236+(-0.801516--0.410448))+0-236.4--0.48225599999999</f>
        <v>1064.024952</v>
      </c>
      <c r="V218" s="3">
        <f>1117+(318.7-275.6)+(0.56967+(0.162537-0.140556))+0-235.3-0.120002999999976</f>
        <v>925.27164799999991</v>
      </c>
      <c r="W218" s="3">
        <f>1127.3+(323.9-401.3)+(0+(0-0))+0-105-0</f>
        <v>944.89999999999986</v>
      </c>
      <c r="X218" s="3">
        <f>1135.1+(413-269.1)+(-2.315604+(-0.84252--0.548964))+0-238.8--0.48715199999999</f>
        <v>1038.077992</v>
      </c>
      <c r="Y218" s="3">
        <f>1138.2+(429.7-232.5)+(-2.321928+(-0.876588--0.4743))+0-235.7--0.48082799999999</f>
        <v>1097.456612</v>
      </c>
      <c r="Z218" s="3">
        <f>1146.1+(441.6-207.1)+(-1.169022+(-0.450432--0.211242))+0-234.9--0.239598000000037</f>
        <v>1144.5313859999999</v>
      </c>
      <c r="AA218" s="3">
        <f>1154.5+(448.5-188.4)+(-1.17759+(-0.45747--0.192168))+0-236.2--0.240924000000038</f>
        <v>1177.1980319999998</v>
      </c>
      <c r="AB218" s="3">
        <f>1231.6+(410-180.9)+(-3.14058+(-1.0455--0.461295))+0-235.3--0.600014999999966</f>
        <v>1222.2752299999997</v>
      </c>
      <c r="AC218" s="3">
        <f>1244+(355.8-145.5)+(-3.1722+(-0.90729--0.371025))+0-234.8--0.598739999999966</f>
        <v>1216.390275</v>
      </c>
      <c r="AD218">
        <f t="shared" si="3"/>
        <v>25548.064919000004</v>
      </c>
      <c r="AE218" s="3">
        <f>1140+(411-264.2)+(0+(0-0))+0-249.1-0</f>
        <v>1037.7</v>
      </c>
    </row>
    <row r="219" spans="1:31" s="2" customFormat="1" x14ac:dyDescent="0.25">
      <c r="A219">
        <v>89</v>
      </c>
      <c r="B219">
        <v>8</v>
      </c>
      <c r="C219">
        <v>3</v>
      </c>
      <c r="D219">
        <v>3</v>
      </c>
      <c r="E219">
        <v>1</v>
      </c>
      <c r="F219" s="3">
        <f>1242.3+(305.5-143.8)+(-1.900719+(-0.467415--0.220014))+0-234.7--0.359091000000014</f>
        <v>1167.5109709999999</v>
      </c>
      <c r="G219" s="3">
        <f>1241.5+(316.9-155.5)+(-3.165825+(-0.808095--0.396525))+0-236--0.601799999999966</f>
        <v>1163.924405</v>
      </c>
      <c r="H219" s="3">
        <f>1240.3+(279.8-160.1)+(-1.265106+(-0.285396--0.163302))+0-235.4--0.240108000000038</f>
        <v>1123.452908</v>
      </c>
      <c r="I219" s="3">
        <f>1245.9+(232.4-164.5)+(0+(0-0))+0-235.2-0</f>
        <v>1078.6000000000001</v>
      </c>
      <c r="J219" s="3">
        <f>1254.1+(200-190.5)+(0.639591+(0.102-0.097155))+0-234.9-0.119798999999976</f>
        <v>1029.2246369999998</v>
      </c>
      <c r="K219" s="3">
        <f>1254.5+(172.1-251.1)+(-1.27959+(-0.175542--0.256122))+0-234.1--0.238782000000037</f>
        <v>940.43977199999995</v>
      </c>
      <c r="L219" s="3">
        <f>1260.8+(141.8-338.9)+(-0.643008+(-0.072318--0.172839))+0-233.1--0.118880999999976</f>
        <v>830.17639400000007</v>
      </c>
      <c r="M219" s="3">
        <f>1251.2+(204.6-386.7)+(1.914336+(0.313038-0.591651))+0-235.3-0.360009000000014</f>
        <v>835.07571400000029</v>
      </c>
      <c r="N219" s="3">
        <f>1233.6+(269-421.4)+(-0.629136+(-0.13719--0.214914))+0-233.7--0.119186999999976</f>
        <v>847.06777499999976</v>
      </c>
      <c r="O219" s="3">
        <f>1223.8+(371.2-462.1)+(-0.624138+(-0.189312--0.235671))+0-234.3--0.119492999999976</f>
        <v>898.14171399999987</v>
      </c>
      <c r="P219" s="3">
        <f>1216.3+(369.4-472.6)+(0+(0-0))+0-235-0</f>
        <v>878.09999999999991</v>
      </c>
      <c r="Q219" s="3">
        <f>1209.4+(414.9-435.2)+(-1.233588+(-0.423198--0.443904))+0-236.4--0.241128000000038</f>
        <v>951.72824600000013</v>
      </c>
      <c r="R219" s="3">
        <f>1207.7+(490.8-351.9)+(-3.695562+(-1.501848--1.076814))+0-235.9--0.721854000000027</f>
        <v>1107.3012580000002</v>
      </c>
      <c r="S219" s="3">
        <f>1207.7+(483.8-273.8)+(-2.463708+(-0.986952--0.558552))+0-233.8--0.47695199999999</f>
        <v>1181.4848440000001</v>
      </c>
      <c r="T219" s="3">
        <f>1208.6+(433.8-249.4)+(-1.849158+(-0.663714--0.381582))+0-205.9--0.315027000000012</f>
        <v>1185.283737</v>
      </c>
      <c r="U219" s="3">
        <f>1209.4+(344.8-225.4)+(1.233588+(0.351696-0.229908))+0-235.5-0.240210000000038</f>
        <v>1094.4151660000002</v>
      </c>
      <c r="V219" s="3">
        <f>1210.1+(289.9-309.3)+(0+(0-0))+0-235.4-0</f>
        <v>955.29999999999984</v>
      </c>
      <c r="W219" s="3">
        <f>1218.3+(324.3-339.5)+(0.621333+(0.165393-0.173145))+0-235.9-0.120308999999976</f>
        <v>967.69327199999998</v>
      </c>
      <c r="X219" s="3">
        <f>1226.5+(361.3-296.2)+(-0.625515+(-0.184263--0.151062))+0-234.7--0.119696999999976</f>
        <v>1056.360981</v>
      </c>
      <c r="Y219" s="3">
        <f>1233.9+(374-258.8)+(-2.517156+(-0.76296--0.527952))+0-235--0.47939999999999</f>
        <v>1111.8272360000001</v>
      </c>
      <c r="Z219" s="3">
        <f>1237.4+(379.3-236.1)+(-1.262148+(-0.386886--0.240822))+0-214.6--0.218892000000034</f>
        <v>1164.8106800000003</v>
      </c>
      <c r="AA219" s="3">
        <f>1242.9+(398.9-203.4)+(-0.633879+(-0.203439--0.103734))+0-233.3--0.118982999999976</f>
        <v>1204.4853990000001</v>
      </c>
      <c r="AB219" s="3">
        <f>1244+(401.9-175.1)+(-1.90332+(-0.614907--0.267903))+0-232.7--0.356031000000013</f>
        <v>1236.2057069999998</v>
      </c>
      <c r="AC219" s="3">
        <f>1245.3+(387.7-160.9)+(-3.175515+(-0.988635--0.410295))+0-232.6--0.593129999999966</f>
        <v>1236.339275</v>
      </c>
      <c r="AD219">
        <f t="shared" si="3"/>
        <v>25244.950091000002</v>
      </c>
      <c r="AE219" s="3">
        <f>1224+(349.9-300.7)+(0+(0-0))+0-237.1-0</f>
        <v>1036.1000000000001</v>
      </c>
    </row>
    <row r="220" spans="1:31" s="2" customFormat="1" x14ac:dyDescent="0.25">
      <c r="A220">
        <v>89</v>
      </c>
      <c r="B220">
        <v>8</v>
      </c>
      <c r="C220">
        <v>4</v>
      </c>
      <c r="D220">
        <v>4</v>
      </c>
      <c r="E220">
        <v>1</v>
      </c>
      <c r="F220" s="3">
        <f>1249.5+(386.1-166.7)+(-2.54898+(-0.787644--0.340068))+0-232--0.47327999999999</f>
        <v>1234.376724</v>
      </c>
      <c r="G220" s="3">
        <f>1252.4+(308.6-157.3)+(0+(0-0))+0-232.9-0</f>
        <v>1170.8</v>
      </c>
      <c r="H220" s="3">
        <f>1253.1+(278.5-166.7)+(0.639081+(0.142035-0.085017))+0-234.6-0.119645999999976</f>
        <v>1130.8764530000001</v>
      </c>
      <c r="I220" s="3">
        <f>1253.5+(255-192.7)+(1.27857+(0.2601-0.196554))+0-234.9-0.239598000000037</f>
        <v>1082.0025179999998</v>
      </c>
      <c r="J220" s="3">
        <f>1260.7+(243.1-248)+(-1.285914+(-0.247962--0.25296))+0-233.5--0.238170000000037</f>
        <v>1021.2572540000001</v>
      </c>
      <c r="K220" s="3">
        <f>1261.3+(215-318.8)+(-1.286526+(-0.2193--0.325176))+0-233.2--0.237864000000037</f>
        <v>923.357214</v>
      </c>
      <c r="L220" s="3">
        <f>1261.3+(167.4-386.9)+(-1.929789+(-0.256122--0.591957))+0-232--0.354960000000013</f>
        <v>808.56100600000002</v>
      </c>
      <c r="M220" s="3">
        <f>1252.2+(191.4-400.9)+(-0.638622+(-0.097614--0.204459))+0-231.3--0.117962999999977</f>
        <v>810.9861860000002</v>
      </c>
      <c r="N220" s="3">
        <f>1239.5+(272.4-446.3)+(0+(0-0))+0-227-0</f>
        <v>838.59999999999991</v>
      </c>
      <c r="O220" s="3">
        <f>1226.1+(327-452.5)+(0.625311+(0.16677-0.230775))+0-234.3-0.119492999999976</f>
        <v>866.74181300000009</v>
      </c>
      <c r="P220" s="3">
        <f>1215.6+(352.9-424.1)+(0+(0-0))+0-240.7-0</f>
        <v>903.69999999999982</v>
      </c>
      <c r="Q220" s="3">
        <f>1210.1+(380.9-382.3)+(-0.617151+(-0.194259--0.194973))+0-242.2--0.123521999999975</f>
        <v>966.00708499999985</v>
      </c>
      <c r="R220" s="3">
        <f>1213.5+(410.2-321.1)+(-1.856655+(-0.627606--0.491283))+0-221.8--0.339354000000013</f>
        <v>1079.1463759999999</v>
      </c>
      <c r="S220" s="3">
        <f>1216.1+(461.1-272)+(-2.480844+(-0.940644--0.55488))+0-241.7--0.493067999999989</f>
        <v>1161.1264599999997</v>
      </c>
      <c r="T220" s="3">
        <f>1217.6+(454.1-274.3)+(-3.10488+(-1.157955--0.699465))+0-242.4--0.618119999999965</f>
        <v>1152.0547499999996</v>
      </c>
      <c r="U220" s="3">
        <f>1215.9+(354-270.7)+(-2.480436+(-0.72216--0.552228))+0-242.7--0.495107999999989</f>
        <v>1054.34474</v>
      </c>
      <c r="V220" s="3">
        <f>1214.6+(332.5-381.8)+(-0.619446+(-0.169575--0.194718))+0-242.2--0.123521999999975</f>
        <v>922.62921899999981</v>
      </c>
      <c r="W220" s="3">
        <f>1221.1+(346.5-384)+(0+(0-0))+0-243.2-0</f>
        <v>940.39999999999986</v>
      </c>
      <c r="X220" s="3">
        <f>1228.5+(377.7-342.1)+(-1.879605+(-0.577881--0.523413))+0-241.9--0.370107000000014</f>
        <v>1020.636034</v>
      </c>
      <c r="Y220" s="3">
        <f>1234.8+(397.6-294.8)+(-3.778488+(-1.216656--0.902088))+0-241.5--0.738990000000028</f>
        <v>1092.745934</v>
      </c>
      <c r="Z220" s="3">
        <f>1235.9+(400.9-261.8)+(-1.890927+(-0.613377--0.400554))+0-242.7--0.371331000000014</f>
        <v>1130.567581</v>
      </c>
      <c r="AA220" s="3">
        <f>1243.7+(404.6-229.5)+(0.634287+(0.206346-0.117045))+0-240.5-0.122654999999976</f>
        <v>1178.9009330000004</v>
      </c>
      <c r="AB220" s="3">
        <f>1248.3+(386.8-196.5)+(-1.273266+(-0.394536--0.20043))+0-241.5--0.246330000000039</f>
        <v>1195.8789579999998</v>
      </c>
      <c r="AC220" s="3">
        <f>1252.5+(365.9-181.7)+(-2.5551+(-0.746436--0.370668))+0-240.3--0.49021199999999</f>
        <v>1193.9593440000001</v>
      </c>
      <c r="AD220">
        <f t="shared" si="3"/>
        <v>24879.656582</v>
      </c>
      <c r="AE220" s="3">
        <f>1227+(376.9-327.7)+(0+(0-0))+0-241.9-0</f>
        <v>1034.3</v>
      </c>
    </row>
    <row r="221" spans="1:31" s="2" customFormat="1" x14ac:dyDescent="0.25">
      <c r="A221">
        <v>89</v>
      </c>
      <c r="B221">
        <v>8</v>
      </c>
      <c r="C221">
        <v>5</v>
      </c>
      <c r="D221">
        <v>5</v>
      </c>
      <c r="E221">
        <v>1</v>
      </c>
      <c r="F221" s="3">
        <f>1272.7+(375.3-197.1)+(-1.298154+(-0.382806--0.201042))+0-239.4--0.244188000000038</f>
        <v>1210.2642700000001</v>
      </c>
      <c r="G221" s="3">
        <f>1272.4+(315.9-189)+(-3.24462+(-0.805545--0.48195))+0-240.5--0.613274999999965</f>
        <v>1155.8450600000001</v>
      </c>
      <c r="H221" s="3">
        <f>1272.1+(277.5-175.8)+(-0.648771+(-0.141525--0.089658))+0-241.2--0.123011999999976</f>
        <v>1132.0223739999999</v>
      </c>
      <c r="I221" s="3">
        <f>1273.3+(269.8-198.1)+(-0.649383+(-0.137598--0.101031))+0-241.6--0.123215999999975</f>
        <v>1102.837266</v>
      </c>
      <c r="J221" s="3">
        <f>1274.5+(231.6-223)+(3.249975+(0.59058-0.56865))+0-241.3-0.615314999999965</f>
        <v>1044.45659</v>
      </c>
      <c r="K221" s="3">
        <f>1272.1+(202.1-278.5)+(0.648771+(0.103071-0.142035))+0-239.3-0.122042999999976</f>
        <v>956.88776399999995</v>
      </c>
      <c r="L221" s="3">
        <f>1219.5+(200.9-376.6)+(-1.865835+(-0.307377--0.576198))+0-240.7--0.368271000000014</f>
        <v>801.87125700000001</v>
      </c>
      <c r="M221" s="3">
        <f>1215.1+(279-435.6)+(1.239402+(0.28458-0.444312))+0-240.3-0.245106000000038</f>
        <v>819.03456400000005</v>
      </c>
      <c r="N221" s="3">
        <f>1211.6+(426.4-588)+(-1.853748+(-0.652392--0.89964))+0-227.3--0.347769000000013</f>
        <v>821.44126899999992</v>
      </c>
      <c r="O221" s="3">
        <f>1206.1+(419.1-602.8)+(0+(0-0))+0-183-0</f>
        <v>839.4</v>
      </c>
      <c r="P221" s="3">
        <f>1199.1+(462.5-535.9)+(0+(0-0))+0-239.8-0</f>
        <v>885.89999999999986</v>
      </c>
      <c r="Q221" s="3">
        <f>1192.9+(489.2-490.1)+(-0.608379+(-0.249492--0.249951))+0-241.7--0.123266999999975</f>
        <v>949.81534699999997</v>
      </c>
      <c r="R221" s="3">
        <f>1222.1+(481.4-392.5)+(-3.116355+(-1.22757--1.000875))+0-241.9--0.616844999999965</f>
        <v>1066.373795</v>
      </c>
      <c r="S221" s="3">
        <f>1217.7+(380.8-223.5)+(-1.863081+(-0.582624--0.341955))+0-241.9--0.370107000000014</f>
        <v>1131.3663569999999</v>
      </c>
      <c r="T221" s="3">
        <f>1218.6+(364.7-210)+(-1.864458+(-0.557991--0.3213))+0-241--0.368730000000014</f>
        <v>1130.5675809999998</v>
      </c>
      <c r="U221" s="3">
        <f>1220.6+(263.3-193)+(-3.11253+(-0.671415--0.49215))+0-241.5--0.615824999999965</f>
        <v>1046.7240299999996</v>
      </c>
      <c r="V221" s="3">
        <f>1222.1+(237.4-279.6)+(-3.116355+(-0.60537--0.71298))+0-242.4--0.618119999999965</f>
        <v>935.10937499999977</v>
      </c>
      <c r="W221" s="3">
        <f>1223.2+(323.9-376.7)+(-1.247664+(-0.330378--0.384234))+0-233.5--0.238170000000037</f>
        <v>935.94436200000018</v>
      </c>
      <c r="X221" s="3">
        <f>1226.1+(364.7-338.5)+(-1.250622+(-0.371994--0.34527))+0-229.1--0.233682000000037</f>
        <v>1022.1563359999999</v>
      </c>
      <c r="Y221" s="3">
        <f>1229.7+(382.4-290.2)+(-1.881441+(-0.585072--0.444006))+0-243.4--0.372402000000014</f>
        <v>1076.8498950000001</v>
      </c>
      <c r="Z221" s="3">
        <f>1232.7+(391.9-251.7)+(-1.257354+(-0.399738--0.256734))+0-245.3--0.250206000000039</f>
        <v>1126.449848</v>
      </c>
      <c r="AA221" s="3">
        <f>1235+(402.8-226.9)+(-3.14925+(-1.02714--0.578595))+0-244.6--0.623729999999964</f>
        <v>1163.3259350000003</v>
      </c>
      <c r="AB221" s="3">
        <f>1235.3+(407.2-194.2)+(0.630003+(0.207672-0.099042))+0-244.7-0.124796999999975</f>
        <v>1204.2138359999999</v>
      </c>
      <c r="AC221" s="3">
        <f>1239.8+(380.8-190.2)+(-3.16149+(-0.97104--0.48501))+0-244.6--0.623729999999964</f>
        <v>1182.7762100000002</v>
      </c>
      <c r="AD221">
        <f t="shared" si="3"/>
        <v>24741.63332099999</v>
      </c>
      <c r="AE221" s="3">
        <f>1226+(370-331.2)+(0+(0-0))+0-246.1-0</f>
        <v>1018.6999999999999</v>
      </c>
    </row>
    <row r="222" spans="1:31" s="2" customFormat="1" x14ac:dyDescent="0.25">
      <c r="A222">
        <v>89</v>
      </c>
      <c r="B222">
        <v>8</v>
      </c>
      <c r="C222">
        <v>6</v>
      </c>
      <c r="D222">
        <v>6</v>
      </c>
      <c r="E222">
        <v>1</v>
      </c>
      <c r="F222" s="3">
        <f>1134.5+(380.9-183.5)+(-2.31438+(-0.777036--0.37434))+0-243.5--0.496739999999989</f>
        <v>1086.1796640000002</v>
      </c>
      <c r="G222" s="3">
        <f>1029.4+(493.8-211.9)+(0.524994+(0.251838-0.108069))+0-244.6-0.124745999999975</f>
        <v>1067.2440170000002</v>
      </c>
      <c r="H222" s="3">
        <f>1033.3+(443.2-210.6)+(0.526983+(0.226032-0.107406))+0-245.3-0.125102999999975</f>
        <v>1021.1205059999999</v>
      </c>
      <c r="I222" s="3">
        <f>1038.7+(386.4-200.7)+(-1.059474+(-0.394128--0.204714))+0-243.8--0.248676000000039</f>
        <v>979.5997880000001</v>
      </c>
      <c r="J222" s="3">
        <f>1044.3+(334.1-201)+(-0.532593+(-0.170391--0.10251))+0-243.7--0.124286999999975</f>
        <v>933.22381299999995</v>
      </c>
      <c r="K222" s="3">
        <f>1049.1+(270.1-204.4)+(-1.070082+(-0.275502--0.208488))+0-243.2--0.248064000000039</f>
        <v>870.71096799999998</v>
      </c>
      <c r="L222" s="3">
        <f>1044.7+(230-265.9)+(-1.065594+(-0.2346--0.271218))+0-229.2--0.233784000000037</f>
        <v>778.80480800000009</v>
      </c>
      <c r="M222" s="3">
        <f>1034.2+(323.3-340.9)+(-0.527442+(-0.164883--0.173859))+0-238.3--0.121532999999976</f>
        <v>777.90306700000019</v>
      </c>
      <c r="N222" s="3">
        <f>1025.8+(404.4-385.2)+(1.569474+(0.618732-0.589356))+0-238.8-0.365364000000014</f>
        <v>807.43348600000013</v>
      </c>
      <c r="O222" s="3">
        <f>1016.4+(466.6-423.5)+(1.036728+(0.475932-0.43197))+0-240.4-0.245208000000038</f>
        <v>819.93548199999998</v>
      </c>
      <c r="P222" s="3">
        <f>1017.2+(476.1-400.8)+(-2.075088+(-0.971244--0.817632))+0-239.5--0.48857999999999</f>
        <v>851.25988000000007</v>
      </c>
      <c r="Q222" s="3">
        <f>1011.5+(377.3-262.3)+(-1.03173+(-0.384846--0.267546))+0-239.4--0.244188000000038</f>
        <v>886.19515799999999</v>
      </c>
      <c r="R222" s="3">
        <f>1011.2+(369.6-187.5)+(-4.125696+(-1.507968--0.765))+0-238.5--0.973079999999979</f>
        <v>950.90441600000008</v>
      </c>
      <c r="S222" s="3">
        <f>1008.9+(355.1-139.6)+(0+(0-0))+0-237.8-0</f>
        <v>986.60000000000014</v>
      </c>
      <c r="T222" s="3">
        <f>1009.1+(313-108.9)+(0+(0-0))+0-236.5-0</f>
        <v>976.7</v>
      </c>
      <c r="U222" s="3">
        <f>1015.2+(262.8-228.9)+(-1.553256+(-0.402084--0.350217))+0-239.5--0.366435000000014</f>
        <v>808.36131200000011</v>
      </c>
      <c r="V222" s="3">
        <f>1024.9+(220.5-217.5)+(0+(0-0))+0-240.1-0</f>
        <v>787.80000000000007</v>
      </c>
      <c r="W222" s="3">
        <f>1030+(284.9-269.3)+(-1.5759+(-0.435897--0.412029))+0-237.6--0.363528000000014</f>
        <v>806.76375999999982</v>
      </c>
      <c r="X222" s="3">
        <f>1018.8+(339.1-313.9)+(-2.59794+(-0.864705--0.800445))+0-220.8--0.563039999999968</f>
        <v>821.10084000000006</v>
      </c>
      <c r="Y222" s="3">
        <f>907.4+(363.5-237.5)+(-3.702192+(-1.48308--0.969))+0-241.9--0.986951999999979</f>
        <v>788.2706800000002</v>
      </c>
      <c r="Z222" s="3">
        <f>913.7+(345.4-235.8)+(-0.931974+(-0.352308--0.240516))+0-240.4--0.245208000000038</f>
        <v>782.10144200000002</v>
      </c>
      <c r="AA222" s="3">
        <f>1003.3+(321.2-243.1)+(-2.046732+(-0.655248--0.495924))+0-241.7--0.493067999999989</f>
        <v>837.98701199999982</v>
      </c>
      <c r="AB222" s="3">
        <f>1052.2+(306.5-213.6)+(-3.219732+(-0.93789--0.653616))+0-240.7--0.736542000000028</f>
        <v>901.63253600000019</v>
      </c>
      <c r="AC222" s="3">
        <f>1049.9+(301.6-190.7)+(-0.535449+(-0.153816--0.097257))+0-240.1--0.122450999999976</f>
        <v>920.23044300000004</v>
      </c>
      <c r="AD222">
        <f t="shared" si="3"/>
        <v>21248.063078000006</v>
      </c>
      <c r="AE222" s="3">
        <f>905+(359.9-230.3)+(0+(0-0))+0-232.4-0</f>
        <v>802.19999999999993</v>
      </c>
    </row>
    <row r="223" spans="1:31" s="2" customFormat="1" x14ac:dyDescent="0.25">
      <c r="A223">
        <v>89</v>
      </c>
      <c r="B223">
        <v>8</v>
      </c>
      <c r="C223">
        <v>7</v>
      </c>
      <c r="D223">
        <v>7</v>
      </c>
      <c r="E223">
        <v>1</v>
      </c>
      <c r="F223" s="3">
        <f>1049.7+(289.9-208.3)+(-2.676735+(-0.739245--0.531165))+0-239.7--0.611234999999965</f>
        <v>889.32641999999998</v>
      </c>
      <c r="G223" s="3">
        <f>1051.3+(253.9-174.2)+(-3.216978+(-0.776934--0.533052))+0-242.1--0.740826000000028</f>
        <v>886.17996600000015</v>
      </c>
      <c r="H223" s="3">
        <f>1050.9+(209.7-147.4)+(-1.607877+(-0.320841--0.225522))+0-242--0.370260000000014</f>
        <v>869.86706400000014</v>
      </c>
      <c r="I223" s="3">
        <f>1049.5+(179.2-145.1)+(-0.535245+(-0.091392--0.074001))+0-241.1--0.122960999999976</f>
        <v>842.07032500000003</v>
      </c>
      <c r="J223" s="3">
        <f>1046.7+(177-158.6)+(0+(0-0))+0-242.5-0</f>
        <v>822.60000000000014</v>
      </c>
      <c r="K223" s="3">
        <f>1057.3+(172.1-202)+(-0.539223+(-0.087771--0.10302))+0-241.8--0.123317999999975</f>
        <v>785.19934399999988</v>
      </c>
      <c r="L223" s="3">
        <f>1058.3+(142.4-266.6)+(-0.539733+(-0.072624--0.135966))+0-226.8--0.115667999999977</f>
        <v>706.93927699999983</v>
      </c>
      <c r="M223" s="3">
        <f>1048.6+(180.6-292.7)+(-0.534786+(-0.092106--0.149277))+0-236.7--0.120716999999976</f>
        <v>699.44310199999995</v>
      </c>
      <c r="N223" s="3">
        <f>1037.1+(217.6-300.3)+(-1.586763+(-0.332928--0.459459))+0-234.6--0.358938000000014</f>
        <v>718.69870599999979</v>
      </c>
      <c r="O223" s="3">
        <f>1025.2+(249.8-307.3)+(-1.045704+(-0.254796--0.313446))+0-236.4--0.241128000000038</f>
        <v>730.55407400000013</v>
      </c>
      <c r="P223" s="3">
        <f>1026.6+(256.7-286.6)+(-1.047132+(-0.261834--0.292332))+0-235.8--0.240516000000038</f>
        <v>760.12388199999987</v>
      </c>
      <c r="Q223" s="3">
        <f>1023.8+(271.8-271.6)+(-1.044276+(-0.277236--0.277032))+0-236.1--0.240822000000038</f>
        <v>787.09634200000005</v>
      </c>
      <c r="R223" s="3">
        <f>1023.1+(301.8-249.7)+(-1.043562+(-0.307836--0.254694))+0-235.3--0.240006000000038</f>
        <v>839.04330200000004</v>
      </c>
      <c r="S223" s="3">
        <f>1019.7+(297.6-204.6)+(-1.040094+(-0.303552--0.208692))+0-236.6--0.241332000000038</f>
        <v>875.20637799999997</v>
      </c>
      <c r="T223" s="3">
        <f>1017.9+(335.6-219.1)+(-2.076516+(-0.684624--0.446964))+0-237.1--0.48368399999999</f>
        <v>895.46950800000002</v>
      </c>
      <c r="U223" s="3">
        <f>1021.3+(296.2-233.4)+(-0.520863+(-0.151062--0.119034))+0-235.5--0.120104999999976</f>
        <v>848.16721399999983</v>
      </c>
      <c r="V223" s="3">
        <f>1023.6+(231.3-250.5)+(0.522036+(0.117963-0.127755))+0-235.2-0.119951999999976</f>
        <v>769.59229200000004</v>
      </c>
      <c r="W223" s="3">
        <f>1028.8+(288-277.1)+(-0.524688+(-0.14688--0.141321))+0-237--0.120869999999976</f>
        <v>802.29062299999987</v>
      </c>
      <c r="X223" s="3">
        <f>1099.3+(310-303.4)+(-2.242572+(-0.6324--0.618936))+0-228.2--0.46552799999999</f>
        <v>875.909492</v>
      </c>
      <c r="Y223" s="3">
        <f>1082.6+(307-231.9)+(1.104252+(0.31314-0.236538))+0-240.2-0.245004000000038</f>
        <v>918.43584999999973</v>
      </c>
      <c r="Z223" s="3">
        <f>1038.2+(341.4-179.5)+(-1.588446+(-0.522342--0.274635))+0-240.4--0.367812000000014</f>
        <v>958.23165899999992</v>
      </c>
      <c r="AA223" s="3">
        <f>1042.6+(370.1-166.5)+(-1.063452+(-0.377502--0.16983))+0-240.4--0.245208000000038</f>
        <v>1004.7740839999998</v>
      </c>
      <c r="AB223" s="3">
        <f>1046.6+(387.6-148)+(-1.067532+(-0.395352--0.15096))+0-240.3--0.245106000000038</f>
        <v>1044.8331819999999</v>
      </c>
      <c r="AC223" s="3">
        <f>1044.7+(366.1-125.6)+(-2.663985+(-0.933555--0.32028))+0-239.6--0.610979999999965</f>
        <v>1042.93372</v>
      </c>
      <c r="AD223">
        <f t="shared" si="3"/>
        <v>20372.985806000001</v>
      </c>
      <c r="AE223" s="3">
        <f>1105+(300-303.8)+(0+(0-0))+0-236.1-0</f>
        <v>865.1</v>
      </c>
    </row>
    <row r="224" spans="1:31" s="2" customFormat="1" x14ac:dyDescent="0.25">
      <c r="A224">
        <v>89</v>
      </c>
      <c r="B224">
        <v>8</v>
      </c>
      <c r="C224">
        <v>8</v>
      </c>
      <c r="D224">
        <v>1</v>
      </c>
      <c r="E224">
        <v>1</v>
      </c>
      <c r="F224" s="3">
        <f>1047.8+(335.8-108.4)+(-0.534378+(-0.171258--0.055284))+0-241--0.122909999999976</f>
        <v>1033.672558</v>
      </c>
      <c r="G224" s="3">
        <f>1050.2+(276.6-104.8)+(-0.535602+(-0.141066--0.053448))+0-240.3--0.122552999999976</f>
        <v>981.19933300000002</v>
      </c>
      <c r="H224" s="3">
        <f>1045.4+(245.8-97.9)+(-1.599462+(-0.376074--0.149787))+0-240--0.367200000000014</f>
        <v>951.84145100000012</v>
      </c>
      <c r="I224" s="3">
        <f>1037.4+(256-136.7)+(0.529074+(0.13056-0.069717))+0-239.9-0.122348999999976</f>
        <v>917.2675680000001</v>
      </c>
      <c r="J224" s="3">
        <f>1045.6+(218.9-150.5)+(-2.133024+(-0.446556--0.30702))+0-239.8--0.48919199999999</f>
        <v>872.41663199999994</v>
      </c>
      <c r="K224" s="3">
        <f>1044.1+(173.1-169.9)+(0+(0-0))+0-240-0</f>
        <v>807.3</v>
      </c>
      <c r="L224" s="3">
        <f>1045.5+(174-214.4)+(0+(0-0))+0-225.7-0</f>
        <v>779.40000000000009</v>
      </c>
      <c r="M224" s="3">
        <f>1052.6+(251-257.6)+(-0.536826+(-0.12801--0.131376))+0-236.6--0.120665999999976</f>
        <v>808.9872059999999</v>
      </c>
      <c r="N224" s="3">
        <f>1135.8+(264-378.6)+(-1.737774+(-0.40392--0.579258))+0-210.1--0.321453000000012</f>
        <v>809.85901699999988</v>
      </c>
      <c r="O224" s="3">
        <f>1217.8+(262.9-426.1)+(-1.242156+(-0.268158--0.434622))+0-224.2--0.228684000000036</f>
        <v>829.55299200000002</v>
      </c>
      <c r="P224" s="3">
        <f>1210.5+(298.7-407.7)+(-2.46942+(-0.609348--0.831708))+0-242.5--0.494699999999989</f>
        <v>857.24764000000005</v>
      </c>
      <c r="Q224" s="3">
        <f>1212.1+(301.2-387.5)+(-0.618171+(-0.153612--0.197625))+0-240.9--0.122858999999976</f>
        <v>884.44870100000003</v>
      </c>
      <c r="R224" s="3">
        <f>1216.4+(305-345.9)+(-1.240728+(-0.3111--0.352818))+0-239.2--0.243984000000038</f>
        <v>935.34497399999998</v>
      </c>
      <c r="S224" s="3">
        <f>1215.9+(318.2-307)+(-2.480436+(-0.649128--0.62628))+0-242.1--0.493883999999989</f>
        <v>982.9906000000002</v>
      </c>
      <c r="T224" s="3">
        <f>1214.2+(318.2-304.5)+(0+(0-0))+0-242.1-0</f>
        <v>985.80000000000007</v>
      </c>
      <c r="U224" s="3">
        <f>1214.8+(295.8-340.7)+(-2.478192+(-0.603432--0.695028))+0-240.1--0.48980399999999</f>
        <v>927.90320799999995</v>
      </c>
      <c r="V224" s="3">
        <f>1217.5+(271.2-417)+(-1.862775+(-0.414936--0.63801))+0-240.7--0.368271000000014</f>
        <v>829.72856999999999</v>
      </c>
      <c r="W224" s="3">
        <f>1226.6+(292.4-428.9)+(0+(0-0))+0-241.5-0</f>
        <v>848.59999999999991</v>
      </c>
      <c r="X224" s="3">
        <f>1232.7+(308.7-387.3)+(-1.886031+(-0.472311--0.592569))+0-239.8--0.366894000000014</f>
        <v>912.90112099999988</v>
      </c>
      <c r="Y224" s="3">
        <f>1236.7+(317-353.9)+(-3.153585+(-0.80835--0.902445))+0-237.8--0.606389999999966</f>
        <v>959.54690000000005</v>
      </c>
      <c r="Z224" s="3">
        <f>1236.5+(320.2-311.7)+(-2.52246+(-0.653208--0.635868))+0-236.8--0.48307199999999</f>
        <v>1006.143272</v>
      </c>
      <c r="AA224" s="3">
        <f>1238.5+(304.3-274.4)+(-1.894905+(-0.465579--0.419832))+0-237.7--0.363681000000014</f>
        <v>1029.1230290000001</v>
      </c>
      <c r="AB224" s="3">
        <f>1239.1+(303.9-218.5)+(-3.159705+(-0.774945--0.557175))+0-238.1--0.607154999999965</f>
        <v>1083.62968</v>
      </c>
      <c r="AC224" s="3">
        <f>1241.9+(252.8-178.3)+(-3.800214+(-0.773568--0.545598))+0-238.6--0.730116000000028</f>
        <v>1074.5019320000001</v>
      </c>
      <c r="AD224">
        <f t="shared" si="3"/>
        <v>22109.406384000002</v>
      </c>
      <c r="AE224" s="3">
        <f>1232+(312.1-371.4)+(0+(0-0))+0-236.7-0</f>
        <v>936</v>
      </c>
    </row>
    <row r="225" spans="1:31" s="2" customFormat="1" x14ac:dyDescent="0.25">
      <c r="A225">
        <v>89</v>
      </c>
      <c r="B225">
        <v>8</v>
      </c>
      <c r="C225">
        <v>9</v>
      </c>
      <c r="D225">
        <v>2</v>
      </c>
      <c r="E225">
        <v>1</v>
      </c>
      <c r="F225" s="3">
        <f>1245.1+(217.1-154.7)+(-1.905003+(-0.332163--0.236691))+0-239.8--0.366894000000014</f>
        <v>1066.066419</v>
      </c>
      <c r="G225" s="3">
        <f>1245.3+(185.9-171.8)+(-1.270206+(-0.189618--0.175236))+0-238.5--0.243270000000038</f>
        <v>1019.8586819999999</v>
      </c>
      <c r="H225" s="3">
        <f>1248.4+(160.5-164.1)+(-2.546736+(-0.32742--0.334764))+0-239--0.48755999999999</f>
        <v>1003.7481680000003</v>
      </c>
      <c r="I225" s="3">
        <f>1249.4+(129.4-182.6)+(-1.911582+(-0.197982--0.279378))+0-240.8--0.368424000000014</f>
        <v>953.93823800000018</v>
      </c>
      <c r="J225" s="3">
        <f>1253.2+(117.4-207.6)+(0+(0-0))+0-238.9-0</f>
        <v>924.1</v>
      </c>
      <c r="K225" s="3">
        <f>1251.8+(102.8-270.7)+(0+(0-0))+0-238.7-0</f>
        <v>845.2</v>
      </c>
      <c r="L225" s="3">
        <f>1252.7+(90.7-347.8)+(-1.277754+(-0.092514--0.354756))+0-239.5--0.244290000000038</f>
        <v>755.32877800000017</v>
      </c>
      <c r="M225" s="3">
        <f>1243.3+(139.4-392.1)+(0+(0-0))+0-237.4-0</f>
        <v>753.19999999999993</v>
      </c>
      <c r="N225" s="3">
        <f>1237.5+(230.9-438.1)+(-1.26225+(-0.235518--0.446862))+0-239.4--0.244188000000038</f>
        <v>790.09328200000004</v>
      </c>
      <c r="O225" s="3">
        <f>1229.7+(258.8-444.5)+(-0.627147+(-0.131988--0.226695))+0-238.9--0.121838999999976</f>
        <v>804.68939900000009</v>
      </c>
      <c r="P225" s="3">
        <f>1221.8+(286.4-417.4)+(-1.246236+(-0.292128--0.425748))+0-242.3--0.247146000000039</f>
        <v>847.63453000000015</v>
      </c>
      <c r="Q225" s="3">
        <f>1215.1+(313.8-388.6)+(-2.478804+(-0.640152--0.792744))+0-239.6--0.48878399999999</f>
        <v>898.862572</v>
      </c>
      <c r="R225" s="3">
        <f>1203.2+(345.1-321.4)+(-0.613632+(-0.176001--0.163914))+0-240.1--0.122450999999976</f>
        <v>986.29673200000013</v>
      </c>
      <c r="S225" s="3">
        <f>1207.6+(349.5-281.9)+(-1.231752+(-0.35649--0.287538))+0-239.8--0.244596000000038</f>
        <v>1034.3438919999999</v>
      </c>
      <c r="T225" s="3">
        <f>1208.9+(349.7-287.8)+(-0.616539+(-0.178347--0.146778))+0-240--0.122399999999976</f>
        <v>1030.2742920000001</v>
      </c>
      <c r="U225" s="3">
        <f>1215.6+(294.8-295.1)+(-3.09978+(-0.75174--0.752505))+0-239.4--0.610469999999965</f>
        <v>973.41145499999993</v>
      </c>
      <c r="V225" s="3">
        <f>1217.7+(257-359.7)+(0+(0-0))+0-239-0</f>
        <v>876</v>
      </c>
      <c r="W225" s="3">
        <f>1225.1+(290.2-375.7)+(-1.249602+(-0.296004--0.383214))+0-239.7--0.244494000000038</f>
        <v>898.98210199999994</v>
      </c>
      <c r="X225" s="3">
        <f>1229.8+(304.4-338.4)+(-2.508792+(-0.620976--0.690336))+0-238.8--0.48715199999999</f>
        <v>955.04772000000014</v>
      </c>
      <c r="Y225" s="3">
        <f>1233.1+(311.5-307.6)+(-2.515524+(-0.63546--0.627504))+0-239.4--0.48837599999999</f>
        <v>995.56489599999998</v>
      </c>
      <c r="Z225" s="3">
        <f>1235.5+(313.4-273)+(-1.26021+(-0.319668--0.27846))+0-240--0.244800000000038</f>
        <v>1034.843382</v>
      </c>
      <c r="AA225" s="3">
        <f>1238.7+(308.6-259.3)+(-1.895211+(-0.472158--0.396729))+0-223.1--0.341343000000013</f>
        <v>1063.2707030000001</v>
      </c>
      <c r="AB225" s="3">
        <f>1241.2+(316.6-199.4)+(-2.532048+(-0.645864--0.406776))+0-236.3--0.48205199999999</f>
        <v>1119.8109160000001</v>
      </c>
      <c r="AC225" s="3">
        <f>1244+(303.3-186.2)+(-2.53776+(-0.618732--0.379848))+0-239.8--0.48919199999999</f>
        <v>1119.0125479999999</v>
      </c>
      <c r="AD225">
        <f t="shared" si="3"/>
        <v>22749.578705999997</v>
      </c>
      <c r="AE225" s="3">
        <f>1228+(293.9-344.8)+(0+(0-0))+0-237.3-0</f>
        <v>939.8</v>
      </c>
    </row>
    <row r="226" spans="1:31" s="2" customFormat="1" x14ac:dyDescent="0.25">
      <c r="A226">
        <v>89</v>
      </c>
      <c r="B226">
        <v>8</v>
      </c>
      <c r="C226">
        <v>10</v>
      </c>
      <c r="D226">
        <v>3</v>
      </c>
      <c r="E226">
        <v>1</v>
      </c>
      <c r="F226" s="3">
        <f>1243.1+(245.6-212.7)+(-0.633981+(-0.125256--0.108477))+0-241.8--0.123317999999975</f>
        <v>1033.672558</v>
      </c>
      <c r="G226" s="3">
        <f>1243.8+(210.6-189.3)+(-3.17169+(-0.53703--0.482715))+0-241.9--0.616844999999965</f>
        <v>1020.59084</v>
      </c>
      <c r="H226" s="3">
        <f>1246.1+(197-188.7)+(-1.271022+(-0.20094--0.192474))+0-242.1--0.246942000000039</f>
        <v>1011.2674539999999</v>
      </c>
      <c r="I226" s="3">
        <f>1246+(174.5-199.4)+(1.27092+(0.17799-0.203388))+0-239.2-0.243984000000038</f>
        <v>982.90153799999973</v>
      </c>
      <c r="J226" s="3">
        <f>1246.5+(166.4-229.8)+(-2.54286+(-0.339456--0.468792))+0-241.8--0.493271999999989</f>
        <v>939.37974799999984</v>
      </c>
      <c r="K226" s="3">
        <f>1247+(140.4-292)+(1.90791+(0.214812-0.44676))+0-241.3-0.369189000000014</f>
        <v>855.40677300000016</v>
      </c>
      <c r="L226" s="3">
        <f>1251.9+(117.6-334.1)+(-1.915407+(-0.179928--0.511173))+0-232.8--0.356184000000013</f>
        <v>801.37202200000002</v>
      </c>
      <c r="M226" s="3">
        <f>1248+(155.2-372.7)+(0+(0-0))+0-229.8-0</f>
        <v>800.7</v>
      </c>
      <c r="N226" s="3">
        <f>1241.2+(221.8-391)+(-1.266024+(-0.226236--0.39882))+0-238.9--0.243678000000038</f>
        <v>832.25023799999997</v>
      </c>
      <c r="O226" s="3">
        <f>1234+(257.5-413.8)+(-3.1467+(-0.656625--1.05519))+0-239--0.609449999999965</f>
        <v>836.56131499999992</v>
      </c>
      <c r="P226" s="3">
        <f>1222.4+(271.8-392.8)+(-1.870272+(-0.415854--0.600984))+0-241.7--0.369801000000014</f>
        <v>858.38465900000006</v>
      </c>
      <c r="Q226" s="3">
        <f>1215.3+(302.2-351.6)+(0+(0-0))+0-241.7-0</f>
        <v>924.19999999999982</v>
      </c>
      <c r="R226" s="3">
        <f>1207+(324-296.3)+(-4.30899+(-1.15668--1.057791))+0-239.8--0.856086000000003</f>
        <v>991.348207</v>
      </c>
      <c r="S226" s="3">
        <f>1198.5+(315.3-222.9)+(0+(0-0))+0-239.2-0</f>
        <v>1051.7</v>
      </c>
      <c r="T226" s="3">
        <f>1200+(294.6-219.6)+(-1.836+(-0.450738--0.335988))+0-237.3--0.363069000000014</f>
        <v>1036.1123190000001</v>
      </c>
      <c r="U226" s="3">
        <f>1199.7+(259.2-251.9)+(-3.671082+(-0.793152--0.770814))+0-238.2--0.728892000000028</f>
        <v>965.83547199999987</v>
      </c>
      <c r="V226" s="3">
        <f>1202.9+(222.8-320.5)+(0+(0-0))+0-236.9-0</f>
        <v>868.30000000000007</v>
      </c>
      <c r="W226" s="3">
        <f>1217.6+(280.3-375.7)+(0.620976+(0.142953-0.191607))+0-236.5-0.120614999999976</f>
        <v>886.15170699999987</v>
      </c>
      <c r="X226" s="3">
        <f>1226.3+(321.9-362.6)+(-2.501652+(-0.656676--0.739704))+0-236.8--0.48307199999999</f>
        <v>946.86444800000004</v>
      </c>
      <c r="Y226" s="3">
        <f>1231.3+(328.3-329.5)+(-3.139815+(-0.837165--0.840225))+0-239.1--0.609704999999965</f>
        <v>988.47294999999986</v>
      </c>
      <c r="Z226" s="3">
        <f>1234.8+(327.3-289.9)+(0+(0-0))+0-239.9-0</f>
        <v>1032.3</v>
      </c>
      <c r="AA226" s="3">
        <f>1238.2+(323.5-266.5)+(-1.262964+(-0.32997--0.27183))+0-238.3--0.243066000000038</f>
        <v>1055.821962</v>
      </c>
      <c r="AB226" s="3">
        <f>1237.4+(316.6-221.4)+(-3.15537+(-0.80733--0.56457))+0-239.7--0.611234999999965</f>
        <v>1090.1131049999999</v>
      </c>
      <c r="AC226" s="3">
        <f>1210.7+(295-175.8)+(-0.617457+(-0.15045--0.089658))+0-240.4--0.122603999999976</f>
        <v>1088.9443549999999</v>
      </c>
      <c r="AD226">
        <f t="shared" si="3"/>
        <v>22898.651669999996</v>
      </c>
      <c r="AE226" s="3">
        <f>1226+(315.9-354.8)+(0+(0-0))+0-237.3-0</f>
        <v>949.8</v>
      </c>
    </row>
    <row r="227" spans="1:31" s="2" customFormat="1" x14ac:dyDescent="0.25">
      <c r="A227">
        <v>89</v>
      </c>
      <c r="B227">
        <v>8</v>
      </c>
      <c r="C227">
        <v>11</v>
      </c>
      <c r="D227">
        <v>4</v>
      </c>
      <c r="E227">
        <v>1</v>
      </c>
      <c r="F227" s="3">
        <f>1209.4+(281.7-188.6)+(0.616794+(0.143667-0.096186))+0-242-0.123419999999975</f>
        <v>1061.0408550000002</v>
      </c>
      <c r="G227" s="3">
        <f>1207.9+(232.8-189.4)+(-1.848087+(-0.356184--0.289782))+0-240.6--0.368118000000014</f>
        <v>1009.1536290000001</v>
      </c>
      <c r="H227" s="3">
        <f>1141.9+(221.5-152.7)+(-1.747107+(-0.338895--0.233631))+0-241.2--0.369036000000014</f>
        <v>968.0166650000001</v>
      </c>
      <c r="I227" s="3">
        <f>1135.8+(210.1-179.9)+(1.158516+(0.214302-0.183498))+0-243.6-0.248472000000039</f>
        <v>923.34084799999994</v>
      </c>
      <c r="J227" s="3">
        <f>1161.5+(150.7-178)+(0.592365+(0.076857-0.09078))+0-243.7-0.124286999999975</f>
        <v>890.95415500000001</v>
      </c>
      <c r="K227" s="3">
        <f>1163.5+(161.8-264.8)+(0+(0-0))+0-242.1-0</f>
        <v>818.4</v>
      </c>
      <c r="L227" s="3">
        <f>1158.4+(153.5-347.2)+(0.590784+(0.078285-0.177072))+0-238.7-0.121736999999976</f>
        <v>726.37026000000014</v>
      </c>
      <c r="M227" s="3">
        <f>1150+(183.9-361.5)+(-0.5865+(-0.093789--0.184365))+0-236.6--0.120665999999976</f>
        <v>735.42474200000004</v>
      </c>
      <c r="N227" s="3">
        <f>1129.4+(224.6-351.1)+(-1.727982+(-0.343638--0.537183))+0-238.7--0.365211000000014</f>
        <v>763.03077400000006</v>
      </c>
      <c r="O227" s="3">
        <f>1130.7+(246.1-341.6)+(-1.153314+(-0.251022--0.348432))+0-239.3--0.244086000000038</f>
        <v>795.08818200000007</v>
      </c>
      <c r="P227" s="3">
        <f>1124+(262-319.3)+(0+(0-0))+0-240.3-0</f>
        <v>826.40000000000009</v>
      </c>
      <c r="Q227" s="3">
        <f>1111.6+(285-284.5)+(-2.267664+(-0.5814--0.58038))+0-239.2--0.48796799999999</f>
        <v>871.11928399999999</v>
      </c>
      <c r="R227" s="3">
        <f>1103.8+(316.4-231.9)+(1.125876+(0.322728-0.236538))+0-240.5-0.245310000000038</f>
        <v>948.76675599999999</v>
      </c>
      <c r="S227" s="3">
        <f>1104.4+(338.1-202.4)+(-2.252976+(-0.689724--0.412896))+0-240.4--0.49041599999999</f>
        <v>997.66061200000013</v>
      </c>
      <c r="T227" s="3">
        <f>1104.3+(318.6-194.8)+(-1.126386+(-0.324972--0.198696))+0-239.3--0.244086000000038</f>
        <v>987.79142399999989</v>
      </c>
      <c r="U227" s="3">
        <f>1110.8+(274-218.6)+(-2.83254+(-0.6987--0.55743))+0-238.9--0.609194999999965</f>
        <v>924.93538500000011</v>
      </c>
      <c r="V227" s="3">
        <f>1113.1+(262.3-286.3)+(1.703043+(0.401319-0.438039))+0-237-0.362610000000014</f>
        <v>853.40371299999981</v>
      </c>
      <c r="W227" s="3">
        <f>1122.6+(307.6-310.1)+(-1.717578+(-0.470628--0.474453))+0-240.2--0.367506000000014</f>
        <v>878.55375299999992</v>
      </c>
      <c r="X227" s="3">
        <f>1129.3+(328.4-290.3)+(-2.879715+(-0.83742--0.740265))+0-239.8--0.611489999999965</f>
        <v>925.23461999999995</v>
      </c>
      <c r="Y227" s="3">
        <f>1130+(339.8-269.8)+(-1.1526+(-0.346596--0.275196))+0-239.7--0.244494000000038</f>
        <v>959.32049400000005</v>
      </c>
      <c r="Z227" s="3">
        <f>1131.5+(339.2-243.6)+(-0.577065+(-0.172992--0.124236))+0-240.8--0.122807999999976</f>
        <v>985.79698699999983</v>
      </c>
      <c r="AA227" s="3">
        <f>1126.4+(340.6-222)+(-1.723392+(-0.521118--0.33966))+0-241.3--0.369189000000014</f>
        <v>1002.1643390000002</v>
      </c>
      <c r="AB227" s="3">
        <f>1105.7+(348.6-192.1)+(-1.127814+(-0.355572--0.195942))+0-237.6--0.242352000000038</f>
        <v>1023.554908</v>
      </c>
      <c r="AC227" s="3">
        <f>1112+(298.9-148.8)+(-1.13424+(-0.304878--0.151776))+0-239--0.243780000000038</f>
        <v>1022.0564379999998</v>
      </c>
      <c r="AD227">
        <f t="shared" si="3"/>
        <v>21897.578822999996</v>
      </c>
      <c r="AE227" s="3">
        <f>1130+(317.1-306.6)+(0+(0-0))+0-236.7-0</f>
        <v>903.8</v>
      </c>
    </row>
    <row r="228" spans="1:31" s="2" customFormat="1" x14ac:dyDescent="0.25">
      <c r="A228">
        <v>89</v>
      </c>
      <c r="B228">
        <v>8</v>
      </c>
      <c r="C228">
        <v>12</v>
      </c>
      <c r="D228">
        <v>5</v>
      </c>
      <c r="E228">
        <v>1</v>
      </c>
      <c r="F228" s="3">
        <f>1127.3+(260-145.4)+(-0.574923+(-0.1326--0.074154))+0-240.1--0.122450999999976</f>
        <v>1001.2890819999999</v>
      </c>
      <c r="G228" s="3">
        <f>1128.1+(256.9-164)+(-2.876655+(-0.655095--0.4182))+0-239.6--0.610979999999965</f>
        <v>978.89742999999987</v>
      </c>
      <c r="H228" s="3">
        <f>1128+(251.6-192.4)+(-1.15056+(-0.256632--0.196248))+0-239.2--0.243984000000038</f>
        <v>947.03304000000014</v>
      </c>
      <c r="I228" s="3">
        <f>1128.7+(180.3-162.4)+(0+(0-0))+0-237.6-0</f>
        <v>909.00000000000011</v>
      </c>
      <c r="J228" s="3">
        <f>1128+(143.6-154.6)+(-2.30112+(-0.292944--0.315384))+0-240--0.48959999999999</f>
        <v>875.2109200000001</v>
      </c>
      <c r="K228" s="3">
        <f>1127.3+(134.7-214.6)+(-1.149846+(-0.137394--0.218892))+0-239.9--0.244698000000038</f>
        <v>806.67634999999996</v>
      </c>
      <c r="L228" s="3">
        <f>1133.7+(128.4-286.8)+(1.156374+(0.130968-0.292536))+0-240.7-0.245514000000038</f>
        <v>735.34929199999999</v>
      </c>
      <c r="M228" s="3">
        <f>1126.9+(187.4-341.7)+(-0.574719+(-0.095574--0.174267))+0-236.8--0.120767999999976</f>
        <v>735.42474200000015</v>
      </c>
      <c r="N228" s="3">
        <f>1103.8+(268.6-365.2)+(-1.125876+(-0.273972--0.372504))+0-236.1--0.240822000000038</f>
        <v>770.31347800000015</v>
      </c>
      <c r="O228" s="3">
        <f>1097.4+(316.9-357.4)+(-0.559674+(-0.161619--0.182274))+0-236.2--0.120461999999976</f>
        <v>820.28144299999997</v>
      </c>
      <c r="P228" s="3">
        <f>1095.4+(334.9-354.3)+(-2.234616+(-0.683196--0.722772))+0-236.2--0.48184799999999</f>
        <v>838.08680799999991</v>
      </c>
      <c r="Q228" s="3">
        <f>1085.9+(338.1-320.4)+(1.107618+(0.344862-0.326808))+0-235.9-0.240618000000038</f>
        <v>868.58505400000001</v>
      </c>
      <c r="R228" s="3">
        <f>1084.6+(339.4-266.2)+(-1.106292+(-0.346188--0.271524))+0-236.8--0.241536000000038</f>
        <v>920.06058000000007</v>
      </c>
      <c r="S228" s="3">
        <f>1082.7+(345-232.4)+(1.104354+(0.3519-0.237048))+0-238.1-0.242862000000038</f>
        <v>958.17634399999986</v>
      </c>
      <c r="T228" s="3">
        <f>1098.3+(351.8-254.8)+(1.120266+(0.358836-0.259896))+0-238.9-0.243678000000038</f>
        <v>957.37552799999992</v>
      </c>
      <c r="U228" s="3">
        <f>1098+(314.7-308.8)+(1.11996+(0.320994-0.314976))+0-237.9-0.242658000000038</f>
        <v>866.88332000000014</v>
      </c>
      <c r="V228" s="3">
        <f>1102.2+(311-378.8)+(0+(0-0))+0-236.8-0</f>
        <v>797.60000000000014</v>
      </c>
      <c r="W228" s="3">
        <f>1108.9+(353.7-382.3)+(-1.131078+(-0.360774--0.389946))+0-236.4--0.241128000000038</f>
        <v>843.03922200000011</v>
      </c>
      <c r="X228" s="3">
        <f>1109+(372.3-347.2)+(-1.69677+(-0.569619--0.531216))+0-239.4--0.366282000000014</f>
        <v>893.33110899999997</v>
      </c>
      <c r="Y228" s="3">
        <f>1113+(368.1-327.8)+(-2.83815+(-0.938655--0.83589))+0-242.3--0.617864999999965</f>
        <v>908.67695000000003</v>
      </c>
      <c r="Z228" s="3">
        <f>1118+(347-291)+(-2.8509+(-0.88485--0.74205))+0-240--0.611999999999965</f>
        <v>931.61829999999998</v>
      </c>
      <c r="AA228" s="3">
        <f>1120+(332-255)+(-3.4272+(-1.01592--0.7803))+0-240--0.734400000000028</f>
        <v>954.07158000000004</v>
      </c>
      <c r="AB228" s="3">
        <f>1126+(324.5-208.9)+(-1.14852+(-0.33099--0.213078))+0-237.1--0.241842000000038</f>
        <v>1003.47541</v>
      </c>
      <c r="AC228" s="3">
        <f>950+(377.6-122.1)+(-1.4535+(-0.577728--0.186813))+0-238.9--0.365517000000014</f>
        <v>965.12110200000006</v>
      </c>
      <c r="AD228">
        <f t="shared" si="3"/>
        <v>21285.577083999997</v>
      </c>
      <c r="AE228" s="3">
        <f>1109+(339-379)+(0+(0-0))+0-240.9-0</f>
        <v>828.1</v>
      </c>
    </row>
    <row r="229" spans="1:31" s="2" customFormat="1" x14ac:dyDescent="0.25">
      <c r="A229">
        <v>89</v>
      </c>
      <c r="B229">
        <v>8</v>
      </c>
      <c r="C229">
        <v>13</v>
      </c>
      <c r="D229">
        <v>6</v>
      </c>
      <c r="E229">
        <v>1</v>
      </c>
      <c r="F229" s="3">
        <f>956.4+(356.4-105.1)+(-0.487764+(-0.181764--0.053601))+0-238.3--0.121532999999976</f>
        <v>968.90560600000003</v>
      </c>
      <c r="G229" s="3">
        <f>958.4+(271.7-99.2)+(-0.977568+(-0.277134--0.101184))+0-238.2--0.242964000000038</f>
        <v>891.789446</v>
      </c>
      <c r="H229" s="3">
        <f>958.6+(257.2-93.8)+(-0.488886+(-0.131172--0.047838))+0-239.7--0.122246999999976</f>
        <v>881.85002699999995</v>
      </c>
      <c r="I229" s="3">
        <f>959.6+(218.7-90.2)+(0+(0-0))+0-239.5-0</f>
        <v>848.59999999999991</v>
      </c>
      <c r="J229" s="3">
        <f>959.4+(200.2-108.2)+(1.957176+(0.408408-0.220728))+0-241.9-0.493475999999989</f>
        <v>811.15137999999979</v>
      </c>
      <c r="K229" s="3">
        <f>962.7+(217.9-198.6)+(-0.490977+(-0.111129--0.101286))+0-238.4--0.121583999999976</f>
        <v>743.22076400000003</v>
      </c>
      <c r="L229" s="3">
        <f>965.1+(210.7-250.4)+(-1.968804+(-0.429828--0.510816))+0-237.7--0.48490799999999</f>
        <v>686.29709199999991</v>
      </c>
      <c r="M229" s="3">
        <f>952.8+(236.8-255.4)+(-0.971856+(-0.241536--0.260508))+0-237.7--0.242454000000038</f>
        <v>695.78957000000003</v>
      </c>
      <c r="N229" s="3">
        <f>944.9+(273.6-249.5)+(-0.481899+(-0.139536--0.127245))+0-239.4--0.122093999999976</f>
        <v>729.22790399999997</v>
      </c>
      <c r="O229" s="3">
        <f>941.1+(279.6-231.8)+(-1.439883+(-0.427788--0.354654))+0-239.6--0.366588000000014</f>
        <v>748.15357100000006</v>
      </c>
      <c r="P229" s="3">
        <f>930.8+(298.2-199.6)+(0+(0-0))+0-241.1-0</f>
        <v>788.29999999999984</v>
      </c>
      <c r="Q229" s="3">
        <f>923.8+(343-205.4)+(0+(0-0))+0-239.3-0</f>
        <v>822.09999999999991</v>
      </c>
      <c r="R229" s="3">
        <f>920.6+(366.6-177.5)+(-1.408518+(-0.560898--0.271575))+0-239.6--0.366588000000014</f>
        <v>868.76874700000008</v>
      </c>
      <c r="S229" s="3">
        <f>917.1+(392.1-171.8)+(-1.870884+(-0.799884--0.350472))+0-239.1--0.48776399999999</f>
        <v>896.46746799999994</v>
      </c>
      <c r="T229" s="3">
        <f>914.3+(384.2-166)+(0.466293+(0.195942-0.08466))+0-238.8-0.121787999999976</f>
        <v>894.15578700000015</v>
      </c>
      <c r="U229" s="3">
        <f>919.6+(334.2-166.9)+(-2.34498+(-0.85221--0.425595))+0-237.9--0.606644999999965</f>
        <v>846.83505000000014</v>
      </c>
      <c r="V229" s="3">
        <f>921.9+(309.1-204.9)+(-1.410507+(-0.472923--0.313497))+0-238.8--0.365364000000014</f>
        <v>786.09543099999996</v>
      </c>
      <c r="W229" s="3">
        <f>929.5+(356.1-229.7)+(-0.94809+(-0.363222--0.234294))+0-237.1--0.241842000000038</f>
        <v>817.96482400000014</v>
      </c>
      <c r="X229" s="3">
        <f>935.7+(373.3-218.7)+(-1.908828+(-0.761532--0.446148))+0-238.3--0.48613199999999</f>
        <v>850.26192000000015</v>
      </c>
      <c r="Y229" s="3">
        <f>938.9+(379.5-209.2)+(-2.394195+(-0.967725--0.53346))+0-237.7--0.606134999999965</f>
        <v>869.27767500000004</v>
      </c>
      <c r="Z229" s="3">
        <f>935.5+(379.4-195.5)+(-1.431315+(-0.580482--0.299115))+0-238.8--0.365364000000014</f>
        <v>879.25268200000005</v>
      </c>
      <c r="AA229" s="3">
        <f>943.1+(384-184.1)+(-0.480981+(-0.19584--0.093891))+0-239.3--0.122042999999976</f>
        <v>903.23911299999997</v>
      </c>
      <c r="AB229" s="3">
        <f>954.8+(368.4-146.2)+(-1.947792+(-0.751536--0.298248))+0-238.6--0.48674399999999</f>
        <v>936.48566399999993</v>
      </c>
      <c r="AC229" s="3">
        <f>939.5+(354.8-129.3)+(-2.395725+(-0.90474--0.329715))+0-239.5--0.610724999999965</f>
        <v>923.13997500000005</v>
      </c>
      <c r="AD229">
        <f t="shared" si="3"/>
        <v>20087.329696000001</v>
      </c>
      <c r="AE229" s="3">
        <f>935+(369.9-216.1)+(0+(0-0))+0-237.9-0</f>
        <v>850.9</v>
      </c>
    </row>
    <row r="230" spans="1:31" s="2" customFormat="1" x14ac:dyDescent="0.25">
      <c r="A230">
        <v>89</v>
      </c>
      <c r="B230">
        <v>8</v>
      </c>
      <c r="C230">
        <v>14</v>
      </c>
      <c r="D230">
        <v>7</v>
      </c>
      <c r="E230">
        <v>1</v>
      </c>
      <c r="F230" s="3">
        <f>957.2+(324.5-102.3)+(-0.976344+(-0.33099--0.104346))+0-242.1--0.246942000000039</f>
        <v>936.34395400000005</v>
      </c>
      <c r="G230" s="3">
        <f>955.6+(273.5-90.7)+(-0.487356+(-0.139485--0.046257))+0-241.3--0.123062999999976</f>
        <v>896.64247900000009</v>
      </c>
      <c r="H230" s="3">
        <f>955+(244-88.1)+(-0.48705+(-0.12444--0.044931))+0-239.6--0.122195999999976</f>
        <v>870.855637</v>
      </c>
      <c r="I230" s="3">
        <f>957+(208.7-91.3)+(-0.97614+(-0.212874--0.093126))+0-239.9--0.244698000000038</f>
        <v>833.64881000000014</v>
      </c>
      <c r="J230" s="3">
        <f>960.5+(177.4-91.1)+(-1.469565+(-0.271422--0.139383))+0-238.9--0.365517000000014</f>
        <v>806.66391300000009</v>
      </c>
      <c r="K230" s="3">
        <f>965.2+(141.4-109.6)+(0.984504+(0.144228-0.111792))+0-240.1-0.244902000000038</f>
        <v>757.67203799999993</v>
      </c>
      <c r="L230" s="3">
        <f>961.3+(101.6-145.5)+(-2.451315+(-0.25908--0.371025))+0-239--0.609449999999965</f>
        <v>676.67007999999987</v>
      </c>
      <c r="M230" s="3">
        <f>955.4+(130.3-171.3)+(0+(0-0))+0-235.1-0</f>
        <v>679.3</v>
      </c>
      <c r="N230" s="3">
        <f>941.2+(164.6-197.4)+(-0.480012+(-0.083946--0.100674))+0-235.2--0.119951999999976</f>
        <v>672.85666800000013</v>
      </c>
      <c r="O230" s="3">
        <f>928.7+(198.6-218.9)+(0.473637+(0.101286-0.111639))+0-234.9-0.119798999999976</f>
        <v>673.84348500000021</v>
      </c>
      <c r="P230" s="3">
        <f>919.4+(219.1-193.1)+(-0.937788+(-0.223482--0.196962))+0-236.6--0.241332000000038</f>
        <v>708.07702400000005</v>
      </c>
      <c r="Q230" s="3">
        <f>917.5+(237.3-187.1)+(-2.339625+(-0.605115--0.477105))+0-236.9--0.604094999999966</f>
        <v>728.93646000000001</v>
      </c>
      <c r="R230" s="3">
        <f>959.7+(239.7-189.2)+(-0.978894+(-0.244494--0.192984))+0-237.2--0.241944000000038</f>
        <v>772.21154000000013</v>
      </c>
      <c r="S230" s="3">
        <f>968.8+(245.3-169.6)+(-1.482264+(-0.375309--0.259488))+0-237.3--0.363069000000014</f>
        <v>805.96498399999996</v>
      </c>
      <c r="T230" s="3">
        <f>920.1+(277.4-155.3)+(-0.938502+(-0.282948--0.158406))+0-236.7--0.241434000000038</f>
        <v>804.67839000000004</v>
      </c>
      <c r="U230" s="3">
        <f>1025.3+(171.5-178.8)+(-1.568709+(-0.262395--0.273564))+0-236.2--0.361386000000014</f>
        <v>780.60384599999998</v>
      </c>
      <c r="V230" s="3">
        <f>1100.7+(145.2-278.2)+(-1.122714+(-0.148104--0.283764))+0-236.1--0.240822000000038</f>
        <v>730.85376800000017</v>
      </c>
      <c r="W230" s="3">
        <f>1179.4+(171.6-343.2)+(-0.601494+(-0.087516--0.175032))+0-237.2--0.120971999999976</f>
        <v>770.20699400000012</v>
      </c>
      <c r="X230" s="3">
        <f>1189.9+(186.8-330.2)+(-1.213698+(-0.190536--0.336804))+0-237.7--0.242454000000038</f>
        <v>807.97502399999996</v>
      </c>
      <c r="Y230" s="3">
        <f>1192.1+(176.6-310)+(-1.215942+(-0.180132--0.3162))+0-237--0.241740000000038</f>
        <v>820.86186599999985</v>
      </c>
      <c r="Z230" s="3">
        <f>1199.5+(175.6-296.9)+(-1.835235+(-0.268668--0.454257))+0-235.9--0.360927000000014</f>
        <v>841.01128100000005</v>
      </c>
      <c r="AA230" s="3">
        <f>1206+(175.7-287.5)+(-1.23012+(-0.179214--0.29325))+0-236.9--0.241638000000038</f>
        <v>856.42555400000015</v>
      </c>
      <c r="AB230" s="3">
        <f>1216.1+(156.2-304.4)+(-0.620211+(-0.079662--0.155244))+0-153.4--0.0782339999999844</f>
        <v>914.03360499999985</v>
      </c>
      <c r="AC230" s="3">
        <f>1210.5+(145.4-202.8)+(-3.086775+(-0.37077--0.51714))+0-236.2--0.602309999999966</f>
        <v>914.5619049999998</v>
      </c>
      <c r="AD230">
        <f t="shared" si="3"/>
        <v>19060.899305000003</v>
      </c>
      <c r="AE230" s="3">
        <f>1196+(179.9-332.2)+(0+(0-0))+0-237.9-0</f>
        <v>805.80000000000007</v>
      </c>
    </row>
    <row r="231" spans="1:31" s="2" customFormat="1" x14ac:dyDescent="0.25">
      <c r="A231">
        <v>89</v>
      </c>
      <c r="B231">
        <v>8</v>
      </c>
      <c r="C231">
        <v>15</v>
      </c>
      <c r="D231">
        <v>1</v>
      </c>
      <c r="E231">
        <v>1</v>
      </c>
      <c r="F231" s="3">
        <f>1196.9+(111.9-169)+(-3.052095+(-0.285345--0.43095))+0-237--0.604349999999966</f>
        <v>900.49786000000006</v>
      </c>
      <c r="G231" s="3">
        <f>1197.1+(79-165.9)+(-4.884168+(-0.32232--0.676872))+0-237.2--0.967775999999979</f>
        <v>869.4381599999997</v>
      </c>
      <c r="H231" s="3">
        <f>1203.8+(55.8-165.7)+(-2.455752+(-0.113832--0.338028))+0-238.8--0.48715199999999</f>
        <v>853.35559599999999</v>
      </c>
      <c r="I231" s="3">
        <f>1212.6+(41-206.6)+(1.236852+(0.04182-0.210732))+0-238.2-0.242964000000038</f>
        <v>809.62497599999983</v>
      </c>
      <c r="J231" s="3">
        <f>1212.7+(34-237)+(-0.618477+(-0.01734--0.12087))+0-238.7--0.121736999999976</f>
        <v>770.60679000000005</v>
      </c>
      <c r="K231" s="3">
        <f>1218.2+(26.7-290.7)+(-1.863846+(-0.040851--0.444771))+0-237.4--0.363222000000014</f>
        <v>715.70329600000014</v>
      </c>
      <c r="L231" s="3">
        <f>1214.8+(57.7-389.8)+(0+(0-0))+0-237.1-0</f>
        <v>645.59999999999991</v>
      </c>
      <c r="M231" s="3">
        <f>1213.7+(93.1-419.5)+(-0.618987+(-0.047481--0.213945))+0-239.2--0.121991999999976</f>
        <v>647.76946899999996</v>
      </c>
      <c r="N231" s="3">
        <f>1197.6+(133.3-418.6)+(0.610776+(0.067983-0.213486))+0-239.4-0.122093999999976</f>
        <v>673.24317900000005</v>
      </c>
      <c r="O231" s="3">
        <f>1183.8+(160.6-412.1)+(1.207476+(0.163812-0.420342))+0-241.6-0.246432000000039</f>
        <v>691.40451399999995</v>
      </c>
      <c r="P231" s="3">
        <f>1180.2+(167.8-408.5)+(0+(0-0))+0-240.8-0</f>
        <v>698.7</v>
      </c>
      <c r="Q231" s="3">
        <f>1177.2+(178.9-389.7)+(-1.801116+(-0.273717--0.596241))+0-240.1--0.367353000000014</f>
        <v>725.188761</v>
      </c>
      <c r="R231" s="3">
        <f>1176.5+(193.8-358)+(-4.200105+(-0.691866--1.27806))+0-239.9--0.856443000000003</f>
        <v>769.64253199999996</v>
      </c>
      <c r="S231" s="3">
        <f>1168.5+(196.6-327.4)+(-0.595935+(-0.100266--0.166974))+0-239.4--0.122093999999976</f>
        <v>797.89286700000002</v>
      </c>
      <c r="T231" s="3">
        <f>1161.9+(210.5-323.9)+(-2.370276+(-0.42942--0.660756))+0-238.2--0.48592799999999</f>
        <v>808.64698799999985</v>
      </c>
      <c r="U231" s="3">
        <f>1163.1+(194.4-344.7)+(0+(0-0))+0-237.1-0</f>
        <v>775.69999999999993</v>
      </c>
      <c r="V231" s="3">
        <f>1167.8+(194.6-394.2)+(-0.595578+(-0.099246--0.201042))+0-238.2--0.121481999999976</f>
        <v>729.6277</v>
      </c>
      <c r="W231" s="3">
        <f>1175.2+(216.8-392.6)+(-0.599352+(-0.110568--0.200226))+0-239.9--0.122348999999976</f>
        <v>759.11265500000013</v>
      </c>
      <c r="X231" s="3">
        <f>1179.8+(216.9-376.2)+(-3.00849+(-0.553095--0.95931))+0-238.2--0.607409999999965</f>
        <v>780.30513499999995</v>
      </c>
      <c r="Y231" s="3">
        <f>1184.5+(205.9-367.3)+(-3.62457+(-0.630054--1.123938))+0-238.1--0.728586000000027</f>
        <v>782.5979000000001</v>
      </c>
      <c r="Z231" s="3">
        <f>1189.6+(197.3-346.1)+(-1.820088+(-0.301869--0.529533))+0-239.2--0.365976000000014</f>
        <v>800.37355200000002</v>
      </c>
      <c r="AA231" s="3">
        <f>1192.7+(204-335.9)+(-1.824831+(-0.31212--0.513927))+0-238.2--0.364446000000014</f>
        <v>821.34142200000019</v>
      </c>
      <c r="AB231" s="3">
        <f>1200.7+(193.9-319.6)+(-1.837071+(-0.296667--0.488988))+0-237.8--0.363834000000014</f>
        <v>835.91908400000011</v>
      </c>
      <c r="AC231" s="3">
        <f>1204.1+(187.8-313.2)+(-2.456364+(-0.383112--0.638928))+0-237.6--0.48470399999999</f>
        <v>839.38415599999973</v>
      </c>
      <c r="AD231">
        <f t="shared" si="3"/>
        <v>18501.676592000003</v>
      </c>
      <c r="AE231" s="3">
        <f>1178+(225.1-387.8)+(0+(0-0))+0-239.7-0</f>
        <v>775.59999999999991</v>
      </c>
    </row>
    <row r="232" spans="1:31" s="2" customFormat="1" x14ac:dyDescent="0.25">
      <c r="A232">
        <v>89</v>
      </c>
      <c r="B232">
        <v>8</v>
      </c>
      <c r="C232">
        <v>16</v>
      </c>
      <c r="D232">
        <v>2</v>
      </c>
      <c r="E232">
        <v>1</v>
      </c>
      <c r="F232" s="3">
        <f>1206+(195.3-311.1)+(-1.23012+(-0.199206--0.317322))+0-237.6--0.242352000000038</f>
        <v>851.73034799999994</v>
      </c>
      <c r="G232" s="3">
        <f>1212.2+(141.1-282.8)+(-0.618222+(-0.071961--0.144228))+0-237.7--0.121226999999976</f>
        <v>832.37527199999988</v>
      </c>
      <c r="H232" s="3">
        <f>1216.1+(87.3-262.5)+(-1.860633+(-0.133569--0.401625))+0-238.8--0.365364000000014</f>
        <v>800.87278700000002</v>
      </c>
      <c r="I232" s="3">
        <f>1208+(72.4-259.4)+(-1.23216+(-0.073848--0.264588))+0-238.1--0.242862000000038</f>
        <v>782.10144200000002</v>
      </c>
      <c r="J232" s="3">
        <f>1205.4+(65-286.9)+(1.229508+(0.0663-0.292638))+0-237.9-0.242658000000038</f>
        <v>746.36051200000009</v>
      </c>
      <c r="K232" s="3">
        <f>1206.9+(58.9-331.9)+(3.077595+(0.150195-0.846345))+0-237-0.604349999999966</f>
        <v>698.67709500000012</v>
      </c>
      <c r="L232" s="3">
        <f>1214.7+(49.5-386.9)+(-1.858491+(-0.075735--0.591957))+0-235.5--0.360315000000014</f>
        <v>640.81804600000009</v>
      </c>
      <c r="M232" s="3">
        <f>1208.6+(60.9-401.6)+(-3.08193+(-0.155295--1.02408))+0-236.4--0.602819999999966</f>
        <v>629.88967499999978</v>
      </c>
      <c r="N232" s="3">
        <f>1176.9+(93.2-381)+(1.800657+(0.142596-0.58293))+0-237.3-0.363069000000014</f>
        <v>652.79725400000007</v>
      </c>
      <c r="O232" s="3">
        <f>1167.7+(177.4-404.2)+(-1.786581+(-0.271422--0.618426))+0-238.2--0.364446000000014</f>
        <v>701.62486900000022</v>
      </c>
      <c r="P232" s="3">
        <f>1163.5+(186.5-397.4)+(-0.593385+(-0.095115--0.202674))+0-237.7--0.121226999999976</f>
        <v>714.53540099999998</v>
      </c>
      <c r="Q232" s="3">
        <f>1165.9+(192-384.5)+(-0.594609+(-0.09792--0.196095))+0-237.9--0.121328999999976</f>
        <v>735.12489500000004</v>
      </c>
      <c r="R232" s="3">
        <f>1165.4+(206.1-359.1)+(-2.377416+(-0.420444--0.732564))+0-239.6--0.48878399999999</f>
        <v>771.22348800000009</v>
      </c>
      <c r="S232" s="3">
        <f>1160.6+(221.9-347.3)+(0+(0-0))+0-238.6-0</f>
        <v>796.5999999999998</v>
      </c>
      <c r="T232" s="3">
        <f>1160.7+(222.1-352.9)+(1.183914+(0.226542-0.359958))+0-234.7-0.239394000000037</f>
        <v>796.01110400000005</v>
      </c>
      <c r="U232" s="3">
        <f>1157.6+(210.7-359.2)+(-1.180752+(-0.214914--0.366384))+0-233.5--0.238170000000037</f>
        <v>774.80888800000002</v>
      </c>
      <c r="V232" s="3">
        <f>1162.3+(202.7-396.4)+(-0.592773+(-0.103377--0.202164))+0-233.2--0.118931999999976</f>
        <v>735.02494599999989</v>
      </c>
      <c r="W232" s="3">
        <f>1164.2+(228-385.9)+(-0.593742+(-0.11628--0.196809))+0-234.7--0.119696999999976</f>
        <v>771.20648400000016</v>
      </c>
      <c r="X232" s="3">
        <f>1171.9+(230.9-371.7)+(-0.597669+(-0.117759--0.189567))+0-237.5--0.121124999999976</f>
        <v>793.19526400000007</v>
      </c>
      <c r="Y232" s="3">
        <f>1175.6+(225.8-362.1)+(-2.99778+(-0.57579--0.923355))+0-238.3--0.607664999999965</f>
        <v>798.95745000000011</v>
      </c>
      <c r="Z232" s="3">
        <f>1187.4+(225.6-353.4)+(-3.02787+(-0.57528--0.90117))+0-239--0.609449999999965</f>
        <v>818.50747000000001</v>
      </c>
      <c r="AA232" s="3">
        <f>1191.8+(220.4-343.6)+(-1.215636+(-0.224808--0.350472))+0-237.2--0.241944000000038</f>
        <v>830.55197199999986</v>
      </c>
      <c r="AB232" s="3">
        <f>1196.2+(214.4-311.4)+(-1.220124+(-0.218688--0.317628))+0-237.4--0.242148000000038</f>
        <v>860.92096400000003</v>
      </c>
      <c r="AC232" s="3">
        <f>1206.3+(200.1-300.6)+(-3.076065+(-0.510255--0.76653))+0-236.9--0.604094999999966</f>
        <v>866.68430499999988</v>
      </c>
      <c r="AD232">
        <f t="shared" si="3"/>
        <v>18400.599931000001</v>
      </c>
      <c r="AE232" s="3">
        <f>1169+(224-379.5)+(0+(0-0))+0-234.3-0</f>
        <v>779.2</v>
      </c>
    </row>
    <row r="233" spans="1:31" s="2" customFormat="1" x14ac:dyDescent="0.25">
      <c r="A233">
        <v>89</v>
      </c>
      <c r="B233">
        <v>8</v>
      </c>
      <c r="C233">
        <v>17</v>
      </c>
      <c r="D233">
        <v>3</v>
      </c>
      <c r="E233">
        <v>1</v>
      </c>
      <c r="F233" s="3">
        <f>1204.7+(175-287.2)+(-1.843191+(-0.26775--0.439416))+0-236.6--0.361998000000014</f>
        <v>854.59047299999997</v>
      </c>
      <c r="G233" s="3">
        <f>1210.6+(124.3-267.3)+(-2.469624+(-0.253572--0.545292))+0-235.6--0.48062399999999</f>
        <v>830.30272000000002</v>
      </c>
      <c r="H233" s="3">
        <f>1217.4+(99.3-285.8)+(-1.862622+(-0.151929--0.437274))+0-235--0.359550000000014</f>
        <v>794.68227300000001</v>
      </c>
      <c r="I233" s="3">
        <f>1206.9+(89.5-304.4)+(-0.615519+(-0.045645--0.155244))+0-234.4--0.119543999999976</f>
        <v>757.21362400000021</v>
      </c>
      <c r="J233" s="3">
        <f>1211.2+(77.1-324.4)+(-0.617712+(-0.039321--0.165444))+0-234.3--0.119492999999976</f>
        <v>729.22790400000008</v>
      </c>
      <c r="K233" s="3">
        <f>1209.8+(61.3-356.5)+(0+(0-0))+0-235.3-0</f>
        <v>679.3</v>
      </c>
      <c r="L233" s="3">
        <f>1217.3+(63.8-425.4)+(-1.241646+(-0.065076--0.433908))+0-236--0.240720000000038</f>
        <v>619.06790600000011</v>
      </c>
      <c r="M233" s="3">
        <f>1216.9+(90.4-441.6)+(-1.861857+(-0.138312--0.675648))+0-235.9--0.360927000000014</f>
        <v>628.83640600000012</v>
      </c>
      <c r="N233" s="3">
        <f>1199.2+(142.8-468.6)+(-1.223184+(-0.145656--0.477972))+0-236.1--0.240822000000038</f>
        <v>636.64995400000021</v>
      </c>
      <c r="O233" s="3">
        <f>1184.1+(212.2-497.3)+(0+(0-0))+0-238.3-0</f>
        <v>660.69999999999982</v>
      </c>
      <c r="P233" s="3">
        <f>1175.6+(228.8-461.1)+(0+(0-0))+0-236.6-0</f>
        <v>706.69999999999993</v>
      </c>
      <c r="Q233" s="3">
        <f>1168.4+(237.2-432.9)+(-1.787652+(-0.362916--0.662337))+0-236.6--0.361998000000014</f>
        <v>734.97376699999995</v>
      </c>
      <c r="R233" s="3">
        <f>1166.2+(249.6-392.7)+(-2.97381+(-0.63648--1.001385))+0-236--0.601799999999966</f>
        <v>785.09289499999988</v>
      </c>
      <c r="S233" s="3">
        <f>1165.7+(236.1-349.5)+(0.594507+(0.120411-0.178245))+0-236-0.120359999999976</f>
        <v>816.71631300000001</v>
      </c>
      <c r="T233" s="3">
        <f>1162.9+(224.6-341.9)+(-1.186158+(-0.229092--0.348738))+0-235--0.239700000000037</f>
        <v>809.77318800000012</v>
      </c>
      <c r="U233" s="3">
        <f>1173.5+(208.1-364)+(0+(0-0))+0-234-0</f>
        <v>783.6</v>
      </c>
      <c r="V233" s="3">
        <f>1178.8+(174.1-362.8)+(-0.601188+(-0.088791--0.185028))+0-235--0.119849999999976</f>
        <v>754.71489899999983</v>
      </c>
      <c r="W233" s="3">
        <f>1187.1+(225.6-373.3)+(0+(0-0))+0-238-0</f>
        <v>801.39999999999986</v>
      </c>
      <c r="X233" s="3">
        <f>1191.4+(232.4-370.5)+(-1.215228+(-0.237048--0.37791))+0-238--0.242760000000038</f>
        <v>814.46839400000022</v>
      </c>
      <c r="Y233" s="3">
        <f>1193.8+(223.9-362)+(-3.04419+(-0.570945--0.9231))+0-240--0.611999999999965</f>
        <v>813.61996499999998</v>
      </c>
      <c r="Z233" s="3">
        <f>1201+(214.2-356.6)+(-1.83753+(-0.327726--0.545598))+0-240--0.367200000000014</f>
        <v>817.34754199999986</v>
      </c>
      <c r="AA233" s="3">
        <f>1212.6+(201.8-369)+(-1.236852+(-0.205836--0.37638))+0-240--0.244800000000038</f>
        <v>804.57849199999998</v>
      </c>
      <c r="AB233" s="3">
        <f>1215.4+(203.1-347.8)+(-3.09927+(-0.517905--0.88689))+0-241--0.614549999999965</f>
        <v>827.58426499999996</v>
      </c>
      <c r="AC233" s="3">
        <f>1217.2+(155.6-438.7)+(-2.483088+(-0.317424--0.894948))+0-95--0.193799999999996</f>
        <v>837.38823600000001</v>
      </c>
      <c r="AD233">
        <f t="shared" si="3"/>
        <v>18298.529216000003</v>
      </c>
      <c r="AE233" s="3">
        <f>1189+(227.9-390.7)+(0+(0-0))+0-238-0</f>
        <v>788.2</v>
      </c>
    </row>
    <row r="234" spans="1:31" s="2" customFormat="1" x14ac:dyDescent="0.25">
      <c r="A234">
        <v>89</v>
      </c>
      <c r="B234">
        <v>8</v>
      </c>
      <c r="C234">
        <v>18</v>
      </c>
      <c r="D234">
        <v>4</v>
      </c>
      <c r="E234">
        <v>1</v>
      </c>
      <c r="F234" s="3">
        <f>1218.1+(152.9-326.8)+(-2.484924+(-0.311916--0.666672))+0-237--0.48347999999999</f>
        <v>805.55331199999989</v>
      </c>
      <c r="G234" s="3">
        <f>1218.8+(115.3-314.5)+(0+(0-0))+0-243-0</f>
        <v>776.59999999999991</v>
      </c>
      <c r="H234" s="3">
        <f>1221.4+(95.1-320)+(-0.622914+(-0.048501--0.1632))+0-244--0.124439999999975</f>
        <v>752.1162250000001</v>
      </c>
      <c r="I234" s="3">
        <f>1224.3+(82.2-334.6)+(1.248786+(0.083844-0.341292))+0-243-0.247860000000039</f>
        <v>729.64347799999985</v>
      </c>
      <c r="J234" s="3">
        <f>1229.2+(79.4-365.4)+(0.626892+(0.040494-0.186354))+0-246-0.125459999999975</f>
        <v>697.5555720000001</v>
      </c>
      <c r="K234" s="3">
        <f>1231+(75.5-397.1)+(0+(0-0))+0-245-0</f>
        <v>664.4</v>
      </c>
      <c r="L234" s="3">
        <f>1229.1+(87.9-454.1)+(0.626841+(0.044829-0.231591))+0-241-0.122909999999976</f>
        <v>622.2171689999999</v>
      </c>
      <c r="M234" s="3">
        <f>1217.9+(138-501.2)+(0+(0-0))+0-242-0</f>
        <v>612.70000000000005</v>
      </c>
      <c r="N234" s="3">
        <f>1206.6+(173.7-486)+(0.615366+(0.088587-0.24786))+0-242-0.123419999999975</f>
        <v>652.63267299999995</v>
      </c>
      <c r="O234" s="3">
        <f>1192.1+(250.8-536.5)+(-1.823913+(-0.383724--0.820845))+0-243--0.371790000000014</f>
        <v>662.38499799999988</v>
      </c>
      <c r="P234" s="3">
        <f>1183.5+(192.3-433.8)+(0+(0-0))+0-243-0</f>
        <v>699</v>
      </c>
      <c r="Q234" s="3">
        <f>1181.3+(199.4-388.8)+(-3.012315+(-0.50847--0.99144))+0-246--0.627299999999964</f>
        <v>743.99795499999993</v>
      </c>
      <c r="R234" s="3">
        <f>1170.9+(221.4-349.2)+(0+(0-0))+0-246-0</f>
        <v>797.10000000000014</v>
      </c>
      <c r="S234" s="3">
        <f>1133.8+(190.8-262.3)+(0+(0-0))+0-243-0</f>
        <v>819.3</v>
      </c>
      <c r="T234" s="3">
        <f>1139.3+(168.2-274.2)+(0.581043+(0.085782-0.139842))+0-241-0.122909999999976</f>
        <v>792.70407299999999</v>
      </c>
      <c r="U234" s="3">
        <f>1136.7+(177.7-310.3)+(0+(0-0))+0-239-0</f>
        <v>765.1</v>
      </c>
      <c r="V234" s="3">
        <f>1144.4+(211-380.4)+(1.167288+(0.21522-0.388008))+0-240-0.244800000000038</f>
        <v>735.74970000000008</v>
      </c>
      <c r="W234" s="3">
        <f>1152.4+(262.4-413.9)+(0.587724+(0.133824-0.211089))+0-241-0.122909999999976</f>
        <v>760.28754900000013</v>
      </c>
      <c r="X234" s="3">
        <f>1157.5+(273.6-407.9)+(-1.770975+(-0.418608--0.624087))+0-243--0.371790000000014</f>
        <v>779.00629400000003</v>
      </c>
      <c r="Y234" s="3">
        <f>1150.9+(265-388.5)+(-2.934795+(-0.67575--0.990675))+0-244--0.622199999999965</f>
        <v>781.40233000000012</v>
      </c>
      <c r="Z234" s="3">
        <f>1156.3+(255.3-381.8)+(-0.589713+(-0.130203--0.194718))+0-244--0.124439999999975</f>
        <v>785.39924199999984</v>
      </c>
      <c r="AA234" s="3">
        <f>1169.4+(251.4-383.4)+(-1.192788+(-0.256428--0.391068))+0-245--0.249900000000039</f>
        <v>791.59175200000004</v>
      </c>
      <c r="AB234" s="3">
        <f>1179.8+(217.2-340.3)+(-3.610188+(-0.664632--1.041318))+0-243--0.743580000000028</f>
        <v>811.21007799999984</v>
      </c>
      <c r="AC234" s="3">
        <f>1185.5+(174.1-295)+(-3.023025+(-0.443955--0.75225))+0-243--0.619649999999965</f>
        <v>819.50491999999997</v>
      </c>
      <c r="AD234">
        <f t="shared" si="3"/>
        <v>17857.157320000002</v>
      </c>
      <c r="AE234" s="3">
        <f>1159+(251-409.9)+(0+(0-0))+0-248-0</f>
        <v>752.1</v>
      </c>
    </row>
    <row r="235" spans="1:31" s="2" customFormat="1" x14ac:dyDescent="0.25">
      <c r="A235">
        <v>89</v>
      </c>
      <c r="B235">
        <v>8</v>
      </c>
      <c r="C235">
        <v>19</v>
      </c>
      <c r="D235">
        <v>5</v>
      </c>
      <c r="E235">
        <v>1</v>
      </c>
      <c r="F235" s="3">
        <f>1184.6+(130.2-283.5)+(-1.812438+(-0.199206--0.433755))+0-243--0.371790000000014</f>
        <v>787.09390100000007</v>
      </c>
      <c r="G235" s="3">
        <f>1185.9+(104.3-283.4)+(-1.209618+(-0.106386--0.289068))+0-245--0.249900000000039</f>
        <v>761.02296400000023</v>
      </c>
      <c r="H235" s="3">
        <f>1191.9+(0-283.5)+(0+(0-0))+0-245-0</f>
        <v>663.40000000000009</v>
      </c>
      <c r="I235" s="3">
        <f>1190.4+(0-305.2)+(-2.428416+(0--0.622608))+0-242--0.493679999999989</f>
        <v>641.88787200000013</v>
      </c>
      <c r="J235" s="3">
        <f>1189.5+(0-327.6)+(3.033225+(0-0.83538))+0-243-0.619649999999965</f>
        <v>620.47819500000003</v>
      </c>
      <c r="K235" s="3">
        <f>1197.4+(0-373.6)+(-1.832022+(0--0.571608))+0-242--0.370260000000014</f>
        <v>580.90984600000013</v>
      </c>
      <c r="L235" s="3">
        <f>1196+(69.1-407.1)+(-3.0498+(-0.176205--1.038105))+0-241--0.614549999999965</f>
        <v>615.42665</v>
      </c>
      <c r="M235" s="3">
        <f>1183.5+(77.1-404.2)+(-0.603585+(-0.039321--0.206142))+0-238--0.121379999999976</f>
        <v>618.08461599999987</v>
      </c>
      <c r="N235" s="3">
        <f>1174.1+(77-357.5)+(0+(0-0))+0-240-0</f>
        <v>653.59999999999991</v>
      </c>
      <c r="O235" s="3">
        <f>1178.1+(122-369)+(0+(0-0))+0-243-0</f>
        <v>688.09999999999991</v>
      </c>
      <c r="P235" s="3">
        <f>1181.2+(143.7-353.2)+(0.602412+(0.073287-0.180132))+0-242.1-0.123470999999975</f>
        <v>729.97209600000008</v>
      </c>
      <c r="Q235" s="3">
        <f>1178.5+(174.6-347.4)+(-3.60621+(-0.534276--1.063044))+0-243.3--0.744498000000028</f>
        <v>760.06705600000009</v>
      </c>
      <c r="R235" s="3">
        <f>1165.8+(135.2-311.3)+(-1.189116+(-0.137904--0.317526))+0-240.3--0.245106000000038</f>
        <v>748.63561200000004</v>
      </c>
      <c r="S235" s="3">
        <f>1176.3+(128-289.8)+(0+(0-0))+0-239.1-0</f>
        <v>775.4</v>
      </c>
      <c r="T235" s="3">
        <f>1170+(147.5-284.7)+(-1.1934+(-0.15045--0.290394))+0-238.8--0.243576000000038</f>
        <v>793.19011999999998</v>
      </c>
      <c r="U235" s="3">
        <f>1161.4+(129.3-294.4)+(-1.776942+(-0.197829--0.450432))+0-237.7--0.363681000000014</f>
        <v>757.43934200000012</v>
      </c>
      <c r="V235" s="3">
        <f>1174.6+(166-364.6)+(0.599046+(0.08466-0.185946))+0-236.9-0.120818999999976</f>
        <v>739.4769409999999</v>
      </c>
      <c r="W235" s="3">
        <f>1183.5+(217.7-406.9)+(0.603585+(0.111027-0.207519))+0-239-0.121889999999976</f>
        <v>755.685203</v>
      </c>
      <c r="X235" s="3">
        <f>1192.7+(215-407)+(0+(0-0))+0-241.2-0</f>
        <v>759.5</v>
      </c>
      <c r="Y235" s="3">
        <f>1197.5+(208.9-396.6)+(-3.66435+(-0.639234--1.213596))+0-241.3--0.738378000000028</f>
        <v>766.14839000000006</v>
      </c>
      <c r="Z235" s="3">
        <f>1193.3+(194.8-386.1)+(-1.217166+(-0.198696--0.393822))+0-241.6--0.246432000000039</f>
        <v>759.62439200000006</v>
      </c>
      <c r="AA235" s="3">
        <f>1196.9+(191.4-371.1)+(0.610419+(0.097614-0.189261))+0-240.2-0.122501999999976</f>
        <v>777.39627000000019</v>
      </c>
      <c r="AB235" s="3">
        <f>1178+(206.6-332.4)+(-2.40312+(-0.421464--0.678096))+0-239.9--0.48939599999999</f>
        <v>810.64290799999992</v>
      </c>
      <c r="AC235" s="3">
        <f>1034.3+(236.8-221.6)+(-1.582479+(-0.362304--0.339048))+0-241.3--0.369189000000014</f>
        <v>806.96345399999996</v>
      </c>
      <c r="AD235">
        <f t="shared" si="3"/>
        <v>17370.145828000004</v>
      </c>
      <c r="AE235" s="3">
        <f>1189+(229-407)+(0+(0-0))+0-241.4-0</f>
        <v>769.6</v>
      </c>
    </row>
    <row r="236" spans="1:31" s="2" customFormat="1" x14ac:dyDescent="0.25">
      <c r="A236">
        <v>89</v>
      </c>
      <c r="B236">
        <v>8</v>
      </c>
      <c r="C236">
        <v>20</v>
      </c>
      <c r="D236">
        <v>6</v>
      </c>
      <c r="E236">
        <v>1</v>
      </c>
      <c r="F236" s="3">
        <f>1068.1+(162.9-186.6)+(-1.089462+(-0.166158--0.190332))+0-239.5--0.244290000000038</f>
        <v>804.07900199999995</v>
      </c>
      <c r="G236" s="3">
        <f>1067.8+(142.9-194.5)+(-1.633734+(-0.218637--0.297585))+0-240.1--0.367353000000014</f>
        <v>774.91256699999985</v>
      </c>
      <c r="H236" s="3">
        <f>1074.3+(123.7-206.8)+(-1.643679+(-0.189261--0.316404))+0-238.8--0.365364000000014</f>
        <v>751.248828</v>
      </c>
      <c r="I236" s="3">
        <f>1077.1+(113.2-222.6)+(0.549321+(0.057732-0.113526))+0-238.6-0.121685999999976</f>
        <v>729.47184099999993</v>
      </c>
      <c r="J236" s="3">
        <f>1075.9+(97.4-239.2)+(1.646127+(0.149022-0.365976))+0-238.1-0.364293000000014</f>
        <v>697.06488000000013</v>
      </c>
      <c r="K236" s="3">
        <f>1080.4+(108.5-290.1)+(1.102008+(0.11067-0.295902))+0-237.5-0.242250000000038</f>
        <v>661.97452600000008</v>
      </c>
      <c r="L236" s="3">
        <f>1082.5+(133.2-372)+(-0.552075+(-0.067932--0.18972))+0-237.1--0.120920999999976</f>
        <v>606.29063399999995</v>
      </c>
      <c r="M236" s="3">
        <f>1068.8+(160.6-377.8)+(1.635264+(0.245718-0.578034))+0-237-0.362610000000014</f>
        <v>615.54033799999991</v>
      </c>
      <c r="N236" s="3">
        <f>1052.9+(168.6-339.8)+(1.610937+(0.257958-0.519894))+0-237.4-0.363222000000014</f>
        <v>645.28577900000005</v>
      </c>
      <c r="O236" s="3">
        <f>1039.5+(237.5-367)+(1.06029+(0.24225-0.37434))+0-239.6-0.244392000000038</f>
        <v>671.08380799999986</v>
      </c>
      <c r="P236" s="3">
        <f>1031.4+(228.3-325.5)+(1.578042+(0.349299-0.498015))+0-239.6-0.366588000000014</f>
        <v>695.66273799999999</v>
      </c>
      <c r="Q236" s="3">
        <f>1025.6+(239.8-306.3)+(-1.046112+(-0.244596--0.312426))+0-240.1--0.244902000000038</f>
        <v>718.26661999999988</v>
      </c>
      <c r="R236" s="3">
        <f>1018.6+(239.8-278.6)+(-1.038972+(-0.244596--0.284172))+0-240.6--0.245412000000038</f>
        <v>738.44601599999987</v>
      </c>
      <c r="S236" s="3">
        <f>1018.7+(227.2-251.6)+(-2.078148+(-0.463488--0.513264))+0-241.2--0.492047999999989</f>
        <v>751.5636760000001</v>
      </c>
      <c r="T236" s="3">
        <f>1015.9+(225.2-246.9)+(-2.072436+(-0.459408--0.503676))+0-240--0.48959999999999</f>
        <v>752.66143199999988</v>
      </c>
      <c r="U236" s="3">
        <f>1017.2+(197.3-247.8)+(-1.556316+(-0.301869--0.379134))+0-239.5--0.366435000000014</f>
        <v>726.08738400000004</v>
      </c>
      <c r="V236" s="3">
        <f>1020.9+(190.2-294.8)+(1.041318+(0.194004-0.300696))+0-240.1-0.244902000000038</f>
        <v>676.88972399999989</v>
      </c>
      <c r="W236" s="3">
        <f>1032.7+(236.4-318.8)+(-0.526677+(-0.120564--0.162588))+0-242.5--0.123674999999975</f>
        <v>707.43902200000002</v>
      </c>
      <c r="X236" s="3">
        <f>1039+(237.2-308.8)+(-2.64945+(-0.60486--0.78744))+0-241.9--0.616844999999965</f>
        <v>723.64997500000004</v>
      </c>
      <c r="Y236" s="3">
        <f>1042.4+(232.5-310.9)+(-1.594872+(-0.355725--0.475677))+0-241.5--0.369495000000014</f>
        <v>721.39457500000015</v>
      </c>
      <c r="Z236" s="3">
        <f>1047.9+(221.8-308.6)+(-0.534429+(-0.113118--0.157386))+0-241.7--0.123266999999975</f>
        <v>719.03310600000009</v>
      </c>
      <c r="AA236" s="3">
        <f>1059.4+(222.8-316.1)+(-1.620882+(-0.340884--0.483633))+0-241--0.368730000000014</f>
        <v>723.99059700000021</v>
      </c>
      <c r="AB236" s="3">
        <f>1062.2+(204.7-275.5)+(-1.625166+(-0.313191--0.421515))+0-242.7--0.371331000000014</f>
        <v>747.5544890000001</v>
      </c>
      <c r="AC236" s="3">
        <f>1064.2+(195.8-266.8)+(-2.170968+(-0.399432--0.544272))+0-241.3--0.492251999999989</f>
        <v>750.36612400000013</v>
      </c>
      <c r="AD236">
        <f t="shared" si="3"/>
        <v>17109.957681</v>
      </c>
      <c r="AE236" s="3">
        <f>1041+(248.9-321)+(0+(0-0))+0-241.4-0</f>
        <v>727.5</v>
      </c>
    </row>
    <row r="237" spans="1:31" s="2" customFormat="1" x14ac:dyDescent="0.25">
      <c r="A237">
        <v>89</v>
      </c>
      <c r="B237">
        <v>8</v>
      </c>
      <c r="C237">
        <v>21</v>
      </c>
      <c r="D237">
        <v>7</v>
      </c>
      <c r="E237">
        <v>1</v>
      </c>
      <c r="F237" s="3">
        <f>1066.5+(171.2-236.1)+(-1.631745+(-0.261936--0.361233))+0-242.1--0.370413000000014</f>
        <v>758.33796499999994</v>
      </c>
      <c r="G237" s="3">
        <f>1066.1+(128.8-205.2)+(-1.631133+(-0.197064--0.313956))+0-242.8--0.371484000000014</f>
        <v>745.75724300000002</v>
      </c>
      <c r="H237" s="3">
        <f>1069.3+(124.8-220.4)+(-1.090686+(-0.127296--0.224808))+0-243.8--0.248676000000039</f>
        <v>729.15550199999996</v>
      </c>
      <c r="I237" s="3">
        <f>1075.4+(97.6-248.8)+(-1.645362+(-0.149328--0.380664))+0-244--0.373320000000014</f>
        <v>679.15929400000005</v>
      </c>
      <c r="J237" s="3">
        <f>1070.6+(94.2-238.5)+(-0.546006+(-0.048042--0.121635))+0-243.8--0.124337999999975</f>
        <v>682.15192500000001</v>
      </c>
      <c r="K237" s="3">
        <f>1078.3+(89.5-271.8)+(-0.549933+(-0.045645--0.138618))+0-242.3--0.123572999999975</f>
        <v>653.36661300000003</v>
      </c>
      <c r="L237" s="3">
        <f>1081.3+(69.4-299.3)+(-3.860241+(-0.247758--1.068501))+0-240.3--0.857871000000003</f>
        <v>608.91837300000009</v>
      </c>
      <c r="M237" s="3">
        <f>1035.8+(95.9-267.9)+(0.528258+(0.048909-0.136629))+0-238.8-0.121787999999976</f>
        <v>625.31874999999991</v>
      </c>
      <c r="N237" s="3">
        <f>883.9+(191.4-191.6)+(-1.352367+(-0.292842--0.293148))+0-238.4--0.364752000000014</f>
        <v>644.31269100000009</v>
      </c>
      <c r="O237" s="3">
        <f>739.7+(336.2-145.1)+(-0.754494+(-0.342924--0.148002))+0-240.1--0.244902000000038</f>
        <v>689.99548600000003</v>
      </c>
      <c r="P237" s="3">
        <f>739.7+(308.2-131.2)+(-0.377247+(-0.157182--0.066912))+0-240.9--0.122858999999976</f>
        <v>675.45534199999997</v>
      </c>
      <c r="Q237" s="3">
        <f>752.6+(319.5-136.6)+(-0.383826+(-0.162945--0.069666))+0-239.5--0.122144999999976</f>
        <v>695.64503999999988</v>
      </c>
      <c r="R237" s="3">
        <f>754.5+(290.5-116.5)+(-1.53918+(-0.59262--0.23766))+0-238.3--0.48613199999999</f>
        <v>688.79199199999994</v>
      </c>
      <c r="S237" s="3">
        <f>735+(301.3-94.8)+(1.4994+(0.614652-0.193392))+0-238.6-0.48674399999999</f>
        <v>704.33391599999993</v>
      </c>
      <c r="T237" s="3">
        <f>756.4+(267.5-92.5)+(-1.157292+(-0.409275--0.141525))+0-238.4--0.364752000000014</f>
        <v>691.9397100000001</v>
      </c>
      <c r="U237" s="3">
        <f>767.6+(235.6-95.6)+(-0.391476+(-0.120156--0.048756))+0-237.5--0.121124999999976</f>
        <v>669.75824899999998</v>
      </c>
      <c r="V237" s="3">
        <f>774+(220.3-122.7)+(-0.39474+(-0.112353--0.062577))+0-238.2--0.121481999999976</f>
        <v>633.07696600000008</v>
      </c>
      <c r="W237" s="3">
        <f>939.7+(223.9-241.5)+(-1.437741+(-0.342567--0.369495))+0-239--0.365670000000014</f>
        <v>682.05485700000008</v>
      </c>
      <c r="X237" s="3">
        <f>1077.3+(198.7-339.7)+(-3.845961+(-0.709359--1.212729))+0-239.6--0.855372000000003</f>
        <v>694.21278099999995</v>
      </c>
      <c r="Y237" s="3">
        <f>1225+(147.6-434.6)+(-1.87425+(-0.225828--0.664938))+0-240.8--0.368424000000014</f>
        <v>696.133284</v>
      </c>
      <c r="Z237" s="3">
        <f>1219.5+(150.6-435.9)+(-2.48778+(-0.307224--0.889236))+0-239.5--0.48857999999999</f>
        <v>693.28281200000004</v>
      </c>
      <c r="AA237" s="3">
        <f>1251.8+(104.2-416.1)+(-1.276836+(-0.106284--0.424422))+0-240--0.244800000000038</f>
        <v>699.18610199999989</v>
      </c>
      <c r="AB237" s="3">
        <f>1248+(102.1-382.6)+(-1.90944+(-0.156213--0.585378))+0-239--0.365670000000014</f>
        <v>727.38539500000002</v>
      </c>
      <c r="AC237" s="3">
        <f>1260.1+(84-379.3)+(-1.927953+(-0.12852--0.580329))+0-239.9--0.367047000000014</f>
        <v>723.79090300000007</v>
      </c>
      <c r="AD237">
        <f t="shared" si="3"/>
        <v>16491.521191</v>
      </c>
      <c r="AE237" s="3">
        <f>1051+(209-324)+(0+(0-0))+0-238.4-0</f>
        <v>697.6</v>
      </c>
    </row>
    <row r="238" spans="1:31" s="2" customFormat="1" x14ac:dyDescent="0.25">
      <c r="A238">
        <v>89</v>
      </c>
      <c r="B238">
        <v>8</v>
      </c>
      <c r="C238">
        <v>22</v>
      </c>
      <c r="D238">
        <v>1</v>
      </c>
      <c r="E238">
        <v>1</v>
      </c>
      <c r="F238" s="3">
        <f>1268+(66.6-390.5)+(1.29336+(0.067932-0.39831))+0-238.9-0.243678000000038</f>
        <v>705.91930400000001</v>
      </c>
      <c r="G238" s="3">
        <f>1253.9+(61.8-396.4)+(0+(0-0))+0-239.3-0</f>
        <v>680.00000000000023</v>
      </c>
      <c r="H238" s="3">
        <f>1246.8+(58.3-412.1)+(0.635868+(0.029733-0.210171))+0-239.4-0.122093999999976</f>
        <v>653.93333600000005</v>
      </c>
      <c r="I238" s="3">
        <f>1253.7+(38.7-415.1)+(1.278774+(0.039474-0.423402))+0-240.4-0.245208000000038</f>
        <v>637.54963799999996</v>
      </c>
      <c r="J238" s="3">
        <f>1256.4+(34.1-433.5)+(1.281528+(0.034782-0.44217))+0-239.4-0.244188000000038</f>
        <v>618.22995200000014</v>
      </c>
      <c r="K238" s="3">
        <f>1255.8+(39.7-456.4)+(-0.640458+(-0.020247--0.232764))+0-238.6--0.121685999999976</f>
        <v>600.19374499999981</v>
      </c>
      <c r="L238" s="3">
        <f>1262.6+(56.6-493.2)+(-1.931778+(-0.086598--0.754596))+0-240.7--0.368271000000014</f>
        <v>584.40449100000001</v>
      </c>
      <c r="M238" s="3">
        <f>1250+(90.9-511.9)+(-0.6375+(-0.046359--0.261069))+0-240.1--0.122450999999976</f>
        <v>588.59966099999997</v>
      </c>
      <c r="N238" s="3">
        <f>1237.7+(108.1-490.9)+(-1.262454+(-0.110262--0.500718))+0-244.3--0.249186000000039</f>
        <v>609.97718800000007</v>
      </c>
      <c r="O238" s="3">
        <f>1217.4+(116.7-471.2)+(-1.862622+(-0.178551--0.720936))+0-222.5--0.340425000000013</f>
        <v>639.42018800000005</v>
      </c>
      <c r="P238" s="3">
        <f>1224.5+(138.4-445.6)+(0+(0-0))+0-243.1-0</f>
        <v>674.19999999999993</v>
      </c>
      <c r="Q238" s="3">
        <f>1234.6+(159.5-436.3)+(-0.629646+(-0.081345--0.222513))+0-244--0.124439999999975</f>
        <v>713.4359619999999</v>
      </c>
      <c r="R238" s="3">
        <f>1204.7+(145.2-418.4)+(-2.457588+(-0.296208--0.853536))+0-244--0.497759999999989</f>
        <v>686.09749999999997</v>
      </c>
      <c r="S238" s="3">
        <f>1199.7+(154.5-407.1)+(-1.223694+(-0.15759--0.415242))+0-245.3--0.250206000000039</f>
        <v>701.08416399999999</v>
      </c>
      <c r="T238" s="3">
        <f>1199.9+(143.1-394.8)+(-0.611949+(-0.072981--0.201348))+0-243.5--0.124184999999975</f>
        <v>704.3406030000001</v>
      </c>
      <c r="U238" s="3">
        <f>1202.5+(151.2-428)+(0.613275+(0.077112-0.21828))+0-244.2-0.124541999999975</f>
        <v>681.84756500000003</v>
      </c>
      <c r="V238" s="3">
        <f>1213.3+(141.6-475.8)+(1.237566+(0.144432-0.485316))+0-241.7-0.246534000000039</f>
        <v>638.05014799999992</v>
      </c>
      <c r="W238" s="3">
        <f>1226+(204-492.8)+(0+(0-0))+0-244-0</f>
        <v>693.2</v>
      </c>
      <c r="X238" s="3">
        <f>1227.9+(199.3-480.7)+(-0.626229+(-0.101643--0.245157))+0-248.5--0.126734999999975</f>
        <v>697.64402000000007</v>
      </c>
      <c r="Y238" s="3">
        <f>1223.6+(191.1-473.1)+(-2.496144+(-0.389844--0.965124))+0-242--0.493679999999989</f>
        <v>698.1728159999999</v>
      </c>
      <c r="Z238" s="3">
        <f>1228.8+(164-465.3)+(-0.626688+(-0.08364--0.237303))+0-239.5--0.122144999999976</f>
        <v>687.64911999999993</v>
      </c>
      <c r="AA238" s="3">
        <f>1230+(169.6-467.1)+(-1.8819+(-0.259488--0.714663))+0-239.9--0.367047000000014</f>
        <v>691.54032200000006</v>
      </c>
      <c r="AB238" s="3">
        <f>1231.2+(153.1-453.9)+(-3.13956+(-0.390405--1.157445))+0-239--0.609449999999965</f>
        <v>689.63693000000001</v>
      </c>
      <c r="AC238" s="3">
        <f>1231.9+(108.4-374.5)+(-3.141345+(-0.27642--0.954975))+0-240--0.611999999999965</f>
        <v>723.94920999999999</v>
      </c>
      <c r="AD238">
        <f t="shared" si="3"/>
        <v>15999.075863000004</v>
      </c>
      <c r="AE238" s="3">
        <f>1229+(208-488.4)+(0+(0-0))+0-245.1-0</f>
        <v>703.5</v>
      </c>
    </row>
    <row r="239" spans="1:31" s="2" customFormat="1" x14ac:dyDescent="0.25">
      <c r="A239">
        <v>89</v>
      </c>
      <c r="B239">
        <v>8</v>
      </c>
      <c r="C239">
        <v>23</v>
      </c>
      <c r="D239">
        <v>2</v>
      </c>
      <c r="E239">
        <v>1</v>
      </c>
      <c r="F239" s="3">
        <f>1215+(74.2-393.9)+(-2.4786+(-0.151368--0.803556))+0-243.4--0.496535999999989</f>
        <v>650.57012399999996</v>
      </c>
      <c r="G239" s="3">
        <f>1215.4+(57.7-400.9)+(-3.09927+(-0.147135--1.022295))+0-243.8--0.621689999999965</f>
        <v>626.79757999999993</v>
      </c>
      <c r="H239" s="3">
        <f>1211.2+(44.1-417.4)+(-0.617712+(-0.022491--0.212874))+0-243.2--0.124031999999975</f>
        <v>594.39670300000012</v>
      </c>
      <c r="I239" s="3">
        <f>1215.8+(36-433.5)+(-1.240116+(-0.03672--0.44217))+0-243.3--0.248166000000039</f>
        <v>574.41350000000011</v>
      </c>
      <c r="J239" s="3">
        <f>1208.1+(32.9-442.9)+(-1.232262+(-0.033558--0.451758))+0-242.1--0.246942000000039</f>
        <v>555.43287999999984</v>
      </c>
      <c r="K239" s="3">
        <f>1215.1+(40.8-477.3)+(1.859103+(0.062424-0.730269))+0-243.4-0.372402000000014</f>
        <v>536.01885599999991</v>
      </c>
      <c r="L239" s="3">
        <f>1247.5+(45.8-505.7)+(0+(0-0))+0-242.5-0</f>
        <v>545.1</v>
      </c>
      <c r="M239" s="3">
        <f>1256.6+(50.2-514.3)+(0.640866+(0.025602-0.262293))+0-242.3-0.123572999999975</f>
        <v>550.48060199999998</v>
      </c>
      <c r="N239" s="3">
        <f>1231.3+(82-505.4)+(-2.511852+(-0.16728--1.031016))+0-243.5--0.496739999999989</f>
        <v>563.24862400000006</v>
      </c>
      <c r="O239" s="3">
        <f>1208.1+(126-516.9)+(0+(0-0))+0-224.4-0</f>
        <v>592.79999999999995</v>
      </c>
      <c r="P239" s="3">
        <f>1197.3+(137.6-464.8)+(-0.610623+(-0.070176--0.237048))+0-241.6--0.123215999999975</f>
        <v>628.17946499999982</v>
      </c>
      <c r="Q239" s="3">
        <f>1162.4+(129.9-386.9)+(-1.778472+(-0.198747--0.591957))+0-249.8--0.382194000000014</f>
        <v>654.59693200000015</v>
      </c>
      <c r="R239" s="3">
        <f>1085+(118.7-282.5)+(-2.2134+(-0.242148--0.5763))+0-250.3--0.510611999999989</f>
        <v>669.53136400000017</v>
      </c>
      <c r="S239" s="3">
        <f>1086.9+(110.6-254.3)+(-1.108638+(-0.112812--0.259386))+0-251.3--0.25632600000004</f>
        <v>691.19426200000009</v>
      </c>
      <c r="T239" s="3">
        <f>1172.5+(82.3-316.1)+(-0.597975+(-0.041973--0.161211))+0-250.9--0.127958999999975</f>
        <v>687.44922199999996</v>
      </c>
      <c r="U239" s="3">
        <f>1192.9+(69.3-347.4)+(-1.216758+(-0.070686--0.354348))+0-249.2--0.25418400000004</f>
        <v>664.92108800000017</v>
      </c>
      <c r="V239" s="3">
        <f>1202.8+(108.3-432.1)+(0+(0-0))+0-249.3-0</f>
        <v>629.70000000000005</v>
      </c>
      <c r="W239" s="3">
        <f>1209.5+(138-426.3)+(1.850535+(0.21114-0.652239))+0-246-0.376380000000014</f>
        <v>676.23305600000003</v>
      </c>
      <c r="X239" s="3">
        <f>1212.1+(132.5-416.3)+(-2.472684+(-0.2703--0.849252))+0-247.3--0.504491999999989</f>
        <v>679.61076000000003</v>
      </c>
      <c r="Y239" s="3">
        <f>1223.1+(120.1-424.8)+(-3.118905+(-0.306255--1.08324))+0-246.9--0.629594999999964</f>
        <v>669.78767499999992</v>
      </c>
      <c r="Z239" s="3">
        <f>1233.3+(111.7-426.9)+(-1.257966+(-0.113934--0.435438))+0-246.6--0.251532000000039</f>
        <v>670.81506999999988</v>
      </c>
      <c r="AA239" s="3">
        <f>1233.5+(100.9-425.8)+(-1.887255+(-0.154377--0.651474))+0-246--0.376380000000014</f>
        <v>661.58622200000002</v>
      </c>
      <c r="AB239" s="3">
        <f>1245.8+(100.2-425.8)+(-2.541432+(-0.204408--0.868632))+0-246--0.501839999999989</f>
        <v>672.82463199999995</v>
      </c>
      <c r="AC239" s="3">
        <f>1248.7+(52.5-375.5)+(-3.184185+(-0.133875--0.957525))+0-244.2--0.622709999999965</f>
        <v>679.76217499999996</v>
      </c>
      <c r="AD239">
        <f t="shared" si="3"/>
        <v>15125.450792000001</v>
      </c>
      <c r="AE239" s="3">
        <f>1213+(137-418.9)+(0+(0-0))+0-247.3-0</f>
        <v>683.8</v>
      </c>
    </row>
    <row r="240" spans="1:31" s="2" customFormat="1" x14ac:dyDescent="0.25">
      <c r="A240">
        <v>89</v>
      </c>
      <c r="B240">
        <v>8</v>
      </c>
      <c r="C240">
        <v>24</v>
      </c>
      <c r="D240">
        <v>3</v>
      </c>
      <c r="E240">
        <v>1</v>
      </c>
      <c r="F240" s="3">
        <f>1249.1+(10.3-363.9)+(-3.185205+(-0.026265--0.927945))+0-244--0.622199999999965</f>
        <v>649.83867499999997</v>
      </c>
      <c r="G240" s="3">
        <f>1235.8+(8.5-363.4)+(-2.521032+(-0.01734--0.741336))+0-246.1--0.502043999999989</f>
        <v>633.50500799999986</v>
      </c>
      <c r="H240" s="3">
        <f>1239.2+(3.6-380.3)+(-1.895976+(-0.005508--0.581859))+0-246.1--0.376533000000014</f>
        <v>615.456908</v>
      </c>
      <c r="I240" s="3">
        <f>1250.4+(2.1-402.6)+(0+(0-0))+0-245.2-0</f>
        <v>604.70000000000005</v>
      </c>
      <c r="J240" s="3">
        <f>1257.6+(2.3-423.8)+(-0.641376+(-0.001173--0.216138))+0-245.5--0.125204999999975</f>
        <v>590.29879399999982</v>
      </c>
      <c r="K240" s="3">
        <f>1257.2+(12.7-449.9)+(1.923516+(0.019431-0.688347))+0-245.1-0.375003000000014</f>
        <v>575.77959699999997</v>
      </c>
      <c r="L240" s="3">
        <f>1260.5+(10.6-475.9)+(-0.642855+(-0.005406--0.242709))+0-243.2--0.124031999999975</f>
        <v>551.71848</v>
      </c>
      <c r="M240" s="3">
        <f>1256.8+(40.6-493.3)+(-1.281936+(-0.041412--0.503166))+0-245.7--0.250614000000039</f>
        <v>557.83043199999997</v>
      </c>
      <c r="N240" s="3">
        <f>1237.9+(69.1-472)+(-0.631329+(-0.035241--0.24072))+0-246.6--0.125765999999975</f>
        <v>588.09991600000012</v>
      </c>
      <c r="O240" s="3">
        <f>1217.7+(74.9-436.1)+(-0.621027+(-0.038199--0.222411))+0-247--0.125969999999975</f>
        <v>609.18915499999991</v>
      </c>
      <c r="P240" s="3">
        <f>1209.2+(98.8-428.2)+(-1.233384+(-0.100776--0.436764))+0-247.4--0.252348000000039</f>
        <v>631.75495200000012</v>
      </c>
      <c r="Q240" s="3">
        <f>1215.5+(94-427.6)+(-2.47962+(-0.19176--0.872304))+0-248.2--0.506327999999989</f>
        <v>632.40725199999997</v>
      </c>
      <c r="R240" s="3">
        <f>1222.4+(87-414.5)+(-3.11712+(-0.22185--1.056975))+0-247.7--0.631634999999964</f>
        <v>645.54963999999995</v>
      </c>
      <c r="S240" s="3">
        <f>1230.2+(87-384.3)+(-0.627402+(-0.04437--0.195993))+0-249.3--0.127142999999975</f>
        <v>683.25136399999997</v>
      </c>
      <c r="T240" s="3">
        <f>1244+(68-382)+(-1.26888+(-0.06936--0.38964))+0-249.4--0.25438800000004</f>
        <v>679.90578800000003</v>
      </c>
      <c r="U240" s="3">
        <f>1245+(72-392.1)+(-0.63495+(-0.03672--0.199971))+0-249.8--0.127397999999975</f>
        <v>674.75569899999994</v>
      </c>
      <c r="V240" s="3">
        <f>1249.1+(93-435.2)+(0+(0-0))+0-248.7-0</f>
        <v>658.19999999999982</v>
      </c>
      <c r="W240" s="3">
        <f>1256.6+(144.5-443.5)+(-1.922598+(-0.221085--0.678555))+0-250.4--0.383112000000015</f>
        <v>706.11798399999986</v>
      </c>
      <c r="X240" s="3">
        <f>1261.9+(133.9-433.8)+(-3.217845+(-0.341445--1.10619))+0-249.3--0.635714999999964</f>
        <v>710.8826150000001</v>
      </c>
      <c r="Y240" s="3">
        <f>1270.5+(113.8-455.4)+(-3.88773+(-0.348228--1.393524))+0-248.9--0.761634000000029</f>
        <v>677.91920000000016</v>
      </c>
      <c r="Z240" s="3">
        <f>1270.7+(129-481.9)+(-1.944171+(-0.19737--0.737307))+0-247.5--0.378675000000014</f>
        <v>669.27444100000014</v>
      </c>
      <c r="AA240" s="3">
        <f>1273.2+(140.7-488.6)+(-3.24666+(-0.358785--1.24593))+0-247.3--0.630614999999964</f>
        <v>676.27109999999982</v>
      </c>
      <c r="AB240" s="3">
        <f>1278.5+(125.7-493.9)+(-2.60814+(-0.256428--1.007556))+0-246.2--0.502247999999989</f>
        <v>662.74523599999998</v>
      </c>
      <c r="AC240" s="3">
        <f>1285.5+(112-458.9)+(-3.278025+(-0.2856--1.170195))+0-247.1--0.630104999999964</f>
        <v>689.73667499999999</v>
      </c>
      <c r="AD240">
        <f t="shared" si="3"/>
        <v>15375.188911000001</v>
      </c>
      <c r="AE240" s="3">
        <f>1257+(124-440.3)+(0+(0-0))+0-251.6-0</f>
        <v>689.1</v>
      </c>
    </row>
    <row r="241" spans="1:31" s="2" customFormat="1" x14ac:dyDescent="0.25">
      <c r="A241">
        <v>89</v>
      </c>
      <c r="B241">
        <v>8</v>
      </c>
      <c r="C241">
        <v>25</v>
      </c>
      <c r="D241">
        <v>4</v>
      </c>
      <c r="E241">
        <v>1</v>
      </c>
      <c r="F241" s="3">
        <f>1284.7+(13-440.8)+(-3.275985+(-0.03315--1.12404))+0-247.2--0.630359999999964</f>
        <v>608.14526499999999</v>
      </c>
      <c r="G241" s="3">
        <f>1286.4+(0-457.5)+(-0.656064+(0--0.233325))+0-248--0.126479999999975</f>
        <v>580.60374100000013</v>
      </c>
      <c r="H241" s="3">
        <f>1291.6+(0-477.5)+(-3.29358+(0--1.217625))+0-248--0.632399999999964</f>
        <v>564.65644499999985</v>
      </c>
      <c r="I241" s="3">
        <f>1300+(0-500.1)+(1.326+(0-0.510102))+0-249.6-0.25459200000004</f>
        <v>550.8613059999999</v>
      </c>
      <c r="J241" s="3">
        <f>1303.2+(0-517)+(0+(0-0))+0-248.6-0</f>
        <v>537.6</v>
      </c>
      <c r="K241" s="3">
        <f>1315.8+(0-535.8)+(-0.671058+(0--0.273258))+0-247.2--0.126071999999975</f>
        <v>532.52827200000002</v>
      </c>
      <c r="L241" s="3">
        <f>1316.9+(0-547.9)+(0.671619+(0-0.279429))+0-245.9-0.125408999999975</f>
        <v>523.36678100000017</v>
      </c>
      <c r="M241" s="3">
        <f>1311.7+(24-553.9)+(0.668967+(0.01224-0.282489))+0-246.8-0.125867999999975</f>
        <v>535.27285000000018</v>
      </c>
      <c r="N241" s="3">
        <f>1285.2+(58-524.8)+(1.966356+(0.08874-0.802944))+0-249.8-0.382194000000014</f>
        <v>569.46995800000013</v>
      </c>
      <c r="O241" s="3">
        <f>1267.6+(59-574.5)+(-1.939428+(-0.09027--0.878985))+0-249.6--0.381888000000014</f>
        <v>501.73117499999989</v>
      </c>
      <c r="P241" s="3">
        <f>1252+(75-552.3)+(0+(0-0))+0-250.8-0</f>
        <v>523.90000000000009</v>
      </c>
      <c r="Q241" s="3">
        <f>1248+(99-504.4)+(-1.90944+(-0.15147--0.771732))+0-250--0.382500000000014</f>
        <v>591.69332200000008</v>
      </c>
      <c r="R241" s="3">
        <f>1244+(84-469.8)+(-2.53776+(-0.17136--0.958392))+0-250.7--0.511427999999989</f>
        <v>606.26070000000004</v>
      </c>
      <c r="S241" s="3">
        <f>1241+(67-443.4)+(-0.63291+(-0.03417--0.226134))+0-249.8--0.127397999999975</f>
        <v>614.48645199999999</v>
      </c>
      <c r="T241" s="3">
        <f>1246.1+(58-428.1)+(-1.906533+(-0.08874--0.654993))+0-249.8--0.382194000000014</f>
        <v>625.24191399999995</v>
      </c>
      <c r="U241" s="3">
        <f>1245.7+(53-437.4)+(-3.176535+(-0.13515--1.11537))+0-250.1--0.637754999999964</f>
        <v>609.64143999999999</v>
      </c>
      <c r="V241" s="3">
        <f>1249.4+(63-466)+(-2.548776+(-0.12852--0.95064))+0-248.7--0.507347999999989</f>
        <v>596.48069199999998</v>
      </c>
      <c r="W241" s="3">
        <f>1259.4+(116-478.7)+(0+(0-0))+0-250.3-0</f>
        <v>646.40000000000009</v>
      </c>
      <c r="X241" s="3">
        <f>1267.5+(109-481.1)+(-2.5857+(-0.22236--0.981444))+0-250.3--0.510611999999989</f>
        <v>643.78399600000012</v>
      </c>
      <c r="Y241" s="3">
        <f>1275.4+(101-503)+(-3.902724+(-0.30906--1.53918))+0-247.3--0.756738000000029</f>
        <v>624.18413400000009</v>
      </c>
      <c r="Z241" s="3">
        <f>1282.6+(83-479.9)+(-1.308252+(-0.08466--0.489498))+0-248.7--0.25367400000004</f>
        <v>636.35025999999993</v>
      </c>
      <c r="AA241" s="3">
        <f>1284.3+(66-501.5)+(-1.964979+(-0.10098--0.767295))+0-247.5--0.378675000000014</f>
        <v>600.38001099999997</v>
      </c>
      <c r="AB241" s="3">
        <f>1289.7+(49-501.5)+(-3.288735+(-0.12495--1.278825))+0-248--0.632399999999964</f>
        <v>587.69754</v>
      </c>
      <c r="AC241" s="3">
        <f>1220.9+(73-458.4)+(0+(0-0))+0-247-0</f>
        <v>588.50000000000011</v>
      </c>
      <c r="AD241">
        <f t="shared" si="3"/>
        <v>13999.236253999996</v>
      </c>
      <c r="AE241" s="3">
        <f>1261+(108-498)+(0+(0-0))+0-252.8-0</f>
        <v>618.20000000000005</v>
      </c>
    </row>
    <row r="242" spans="1:31" s="2" customFormat="1" x14ac:dyDescent="0.25">
      <c r="A242">
        <v>89</v>
      </c>
      <c r="B242">
        <v>8</v>
      </c>
      <c r="C242">
        <v>26</v>
      </c>
      <c r="D242">
        <v>5</v>
      </c>
      <c r="E242">
        <v>3</v>
      </c>
      <c r="F242" s="3">
        <f>1209.9+(52-481)+(-2.468196+(-0.10608--0.98124))+0-246.8--0.503471999999989</f>
        <v>533.01043600000014</v>
      </c>
      <c r="G242" s="3">
        <f>1211.7+(55-481.8)+(0+(0-0))+0-247.1-0</f>
        <v>537.80000000000007</v>
      </c>
      <c r="H242" s="3">
        <f>1215+(61-516.1)+(-3.09825+(-0.15555--1.316055))+0-248.9--0.634694999999964</f>
        <v>509.69695000000002</v>
      </c>
      <c r="I242" s="3">
        <f>1209.5+(47-505.4)+(-2.46738+(-0.09588--1.031016))+0-248.7--0.507347999999989</f>
        <v>501.37510400000002</v>
      </c>
      <c r="J242" s="3">
        <f>1150.1+(22-457.2)+(1.759653+(0.03366-0.699516))+0-248.2-0.379746000000014</f>
        <v>467.41405099999986</v>
      </c>
      <c r="K242" s="3">
        <f>1149.7+(31-445)+(-0.586347+(-0.01581--0.22695))+0-246.6--0.125765999999975</f>
        <v>488.85055899999998</v>
      </c>
      <c r="L242" s="3">
        <f>1155+(44.2-449.4)+(0.58905+(0.022542-0.229194))+0-244.5-0.124694999999975</f>
        <v>505.55770299999995</v>
      </c>
      <c r="M242" s="3">
        <f>1144.2+(28.2-398.8)+(-1.167084+(-0.028764--0.406776))+0-244.6--0.249492000000039</f>
        <v>528.46042</v>
      </c>
      <c r="N242" s="3">
        <f>1133.1+(28.2-384.6)+(0+(0-0))+0-243.8-0</f>
        <v>532.89999999999986</v>
      </c>
      <c r="O242" s="3">
        <f>1124.7+(23.2-363.3)+(-2.294388+(-0.047328--0.741132))+0-244.3--0.498371999999989</f>
        <v>539.19778799999995</v>
      </c>
      <c r="P242" s="3">
        <f>1113.4+(23.2-348.6)+(-1.703502+(-0.035496--0.533358))+0-245.8--0.376074000000014</f>
        <v>541.37043399999993</v>
      </c>
      <c r="Q242" s="3">
        <f>1106.8+(29.2-338.4)+(-2.257872+(-0.059568--0.690336))+0-244.8--0.499391999999989</f>
        <v>551.67228799999975</v>
      </c>
      <c r="R242" s="3">
        <f>1103.8+(27.2-343.4)+(-1.125876+(-0.027744--0.350268))+0-247.6--0.252552000000039</f>
        <v>539.44919999999991</v>
      </c>
      <c r="S242" s="3">
        <f>1104+(20-333.9)+(-1.12608+(-0.0204--0.340578))+0-248.5--0.25347000000004</f>
        <v>541.04756800000007</v>
      </c>
      <c r="T242" s="3">
        <f>1103.1+(43-369.6)+(-0.562581+(-0.02193--0.188496))+0-245.8--0.125357999999975</f>
        <v>530.42934299999979</v>
      </c>
      <c r="U242" s="3">
        <f>1102.3+(45-368.8)+(-0.562173+(-0.02295--0.188088))+0-246.3--0.125612999999975</f>
        <v>531.92857800000002</v>
      </c>
      <c r="V242" s="3">
        <f>1110.5+(46-383.4)+(-2.26542+(-0.09384--0.782136))+0-246.2--0.502247999999989</f>
        <v>525.82512399999996</v>
      </c>
      <c r="W242" s="3">
        <f>1121.7+(104-421.5)+(-1.716201+(-0.15912--0.644895))+0-250.8--0.383724000000015</f>
        <v>552.55329800000004</v>
      </c>
      <c r="X242" s="3">
        <f>1125.9+(113-429.4)+(-2.871045+(-0.28815--1.09497))+0-246.4--0.628319999999964</f>
        <v>561.66409500000009</v>
      </c>
      <c r="Y242" s="3">
        <f>1128.6+(78-408.7)+(-1.151172+(-0.07956--0.416874))+0-246--0.250920000000039</f>
        <v>551.33706199999995</v>
      </c>
      <c r="Z242" s="3">
        <f>1129.8+(69-397.1)+(-1.152396+(-0.07038--0.405042))+0-245.2--0.250104000000039</f>
        <v>555.93237000000011</v>
      </c>
      <c r="AA242" s="3">
        <f>1131.3+(66-406.1)+(-2.307852+(-0.13464--0.828444))+0-244.7--0.499187999999989</f>
        <v>545.38513999999986</v>
      </c>
      <c r="AB242" s="3">
        <f>1146.7+(53-417)+(-2.924085+(-0.13515--1.06335))+0-244.4--0.623219999999965</f>
        <v>536.92733499999997</v>
      </c>
      <c r="AC242" s="3">
        <f>1145.8+(41-418.2)+(-2.337432+(-0.08364--0.853128))+0-245.5--0.500819999999989</f>
        <v>522.03287599999987</v>
      </c>
      <c r="AD242">
        <f t="shared" si="3"/>
        <v>12731.817722000002</v>
      </c>
      <c r="AE242" s="3">
        <f>1120+(120-415.7)+(0+(0-0))+0-245.6-0</f>
        <v>578.69999999999993</v>
      </c>
    </row>
    <row r="243" spans="1:31" s="2" customFormat="1" x14ac:dyDescent="0.25">
      <c r="A243">
        <v>89</v>
      </c>
      <c r="B243">
        <v>8</v>
      </c>
      <c r="C243">
        <v>27</v>
      </c>
      <c r="D243">
        <v>6</v>
      </c>
      <c r="E243">
        <v>6</v>
      </c>
      <c r="F243" s="3">
        <f>1143+(48-436.1)+(-2.91465+(-0.1224--1.112055))+0-243.8--0.621689999999965</f>
        <v>509.79669499999994</v>
      </c>
      <c r="G243" s="3">
        <f>1143.6+(31-434.1)+(-2.332944+(-0.06324--0.885564))+0-245--0.499799999999989</f>
        <v>494.48917999999986</v>
      </c>
      <c r="H243" s="3">
        <f>1144.3+(30-440.9)+(-2.334372+(-0.0612--0.899436))+0-246--0.501839999999989</f>
        <v>486.40570400000001</v>
      </c>
      <c r="I243" s="3">
        <f>1059.6+(39-372.2)+(1.080792+(0.03978-0.379644))+0-246.6-0.251532000000039</f>
        <v>480.28939599999984</v>
      </c>
      <c r="J243" s="3">
        <f>1062+(35-387.2)+(-1.62486+(-0.05355--0.592416))+0-238.9--0.365517000000014</f>
        <v>470.17952299999996</v>
      </c>
      <c r="K243" s="3">
        <f>1063.9+(47-385.7)+(-0.542589+(-0.02397--0.196707))+0-245--0.124949999999975</f>
        <v>479.95509799999996</v>
      </c>
      <c r="L243" s="3">
        <f>1064.2+(51-392.3)+(-3.256452+(-0.15606--1.200438))+0-244.9--0.749394000000028</f>
        <v>476.53732000000014</v>
      </c>
      <c r="M243" s="3">
        <f>1061+(70-395.4)+(0+(0-0))+0-244.5-0</f>
        <v>491.1</v>
      </c>
      <c r="N243" s="3">
        <f>1127.4+(67-425.2)+(-1.149948+(-0.06834--0.433704))+0-244.7--0.249594000000039</f>
        <v>523.96501000000001</v>
      </c>
      <c r="O243" s="3">
        <f>1133.3+(81-421.6)+(1.155966+(0.08262-0.430032))+0-245.8-0.250716000000039</f>
        <v>547.45783799999981</v>
      </c>
      <c r="P243" s="3">
        <f>1126.5+(109-425)+(-2.29806+(-0.22236--0.867))+0-248.6--0.507143999999989</f>
        <v>560.75372400000003</v>
      </c>
      <c r="Q243" s="3">
        <f>1116.2+(116-416.3)+(-2.277048+(-0.23664--0.849252))+0-248.4--0.506735999999989</f>
        <v>566.34230000000002</v>
      </c>
      <c r="R243" s="3">
        <f>1109.5+(110-402.7)+(-1.697535+(-0.1683--0.616131))+0-249.6--0.381888000000014</f>
        <v>566.33218399999998</v>
      </c>
      <c r="S243" s="3">
        <f>1106.9+(122-396.6)+(-1.693557+(-0.18666--0.606798))+0-249.4--0.381582000000014</f>
        <v>582.00816300000008</v>
      </c>
      <c r="T243" s="3">
        <f>1102+(112-390.6)+(0.56202+(0.05712-0.199206))+0-249.4-0.127193999999975</f>
        <v>574.29273999999998</v>
      </c>
      <c r="U243" s="3">
        <f>1098+(100-376.3)+(0.55998+(0.051-0.191913))+0-250.4-0.127703999999975</f>
        <v>571.59136300000011</v>
      </c>
      <c r="V243" s="3">
        <f>1103.1+(117-386.1)+(0+(0-0))+0-252.7-0</f>
        <v>581.29999999999995</v>
      </c>
      <c r="W243" s="3">
        <f>1115+(177-411.7)+(0+(0-0))+0-251.7-0</f>
        <v>628.59999999999991</v>
      </c>
      <c r="X243" s="3">
        <f>1128.7+(176-430.8)+(-1.726911+(-0.26928--0.659124))+0-249.9--0.382347000000014</f>
        <v>623.04528000000005</v>
      </c>
      <c r="Y243" s="3">
        <f>1129.5+(162-445.5)+(-1.15209+(-0.16524--0.45441))+0-248.1--0.25306200000004</f>
        <v>597.29014199999995</v>
      </c>
      <c r="Z243" s="3">
        <f>1133.1+(148-456.5)+(-0.577881+(-0.07548--0.232815))+0-248.3--0.126632999999975</f>
        <v>576.00608699999987</v>
      </c>
      <c r="AA243" s="3">
        <f>1140.9+(143-467.7)+(-0.581859+(-0.07293--0.238527))+9.9-247.2--0.126071999999975</f>
        <v>578.60981000000015</v>
      </c>
      <c r="AB243" s="3">
        <f>1135.7+(131-468.7)+(-1.737621+(-0.20043--0.717111))+14.9-247.1--0.378063000000014</f>
        <v>564.95712299999991</v>
      </c>
      <c r="AC243" s="3">
        <f>1135+(112-454.9)+(-1.1577+(-0.11424--0.463998))+0-248.5--0.25347000000004</f>
        <v>543.04552799999999</v>
      </c>
      <c r="AD243">
        <f t="shared" si="3"/>
        <v>13074.350208</v>
      </c>
      <c r="AE243" s="3">
        <f>1123+(162-425.5)+(0+(0-0))+0-248.6-0</f>
        <v>610.9</v>
      </c>
    </row>
    <row r="244" spans="1:31" s="2" customFormat="1" x14ac:dyDescent="0.25">
      <c r="A244">
        <v>89</v>
      </c>
      <c r="B244">
        <v>8</v>
      </c>
      <c r="C244">
        <v>28</v>
      </c>
      <c r="D244">
        <v>7</v>
      </c>
      <c r="E244">
        <v>1</v>
      </c>
      <c r="F244" s="3">
        <f>1142.8+(80-468.9)+(-2.331312+(-0.1632--0.956556))+0-249--0.507959999999989</f>
        <v>503.87000399999994</v>
      </c>
      <c r="G244" s="3">
        <f>1148.1+(35-446.3)+(-2.927655+(-0.08925--1.138065))+0-249.1--0.635204999999964</f>
        <v>486.45636499999995</v>
      </c>
      <c r="H244" s="3">
        <f>1148.3+(16-427.3)+(-2.928165+(-0.0408--1.089615))+0-250.2--0.638009999999964</f>
        <v>485.55865999999992</v>
      </c>
      <c r="I244" s="3">
        <f>1149.9+(10-439.6)+(-0.586449+(-0.0051--0.224196))+0-248.5--0.126734999999975</f>
        <v>471.55938200000008</v>
      </c>
      <c r="J244" s="3">
        <f>1157.9+(9-461.6)+(1.181058+(0.00918-0.470832))+0-247.9-0.25285800000004</f>
        <v>457.86654800000008</v>
      </c>
      <c r="K244" s="3">
        <f>1157.8+(17-446.3)+(-0.590478+(-0.00867--0.227613))+0-249.1--0.127040999999975</f>
        <v>479.15550599999995</v>
      </c>
      <c r="L244" s="3">
        <f>1153.1+(20-456.8)+(-2.352324+(-0.0408--0.931872))+0-245.1--0.500003999999989</f>
        <v>470.23875199999998</v>
      </c>
      <c r="M244" s="3">
        <f>1140.8+(37-445.8)+(1.745424+(0.05661-0.682074))+0-243.9-0.373167000000014</f>
        <v>488.84679299999999</v>
      </c>
      <c r="N244" s="3">
        <f>1101.9+(56-401.6)+(0+(0-0))+0-246-0</f>
        <v>510.30000000000007</v>
      </c>
      <c r="O244" s="3">
        <f>999.1+(101-309.6)+(-0.509541+(-0.05151--0.157896))+0-249.6--0.127295999999975</f>
        <v>540.62414100000001</v>
      </c>
      <c r="P244" s="3">
        <f>1089.1+(110-392)+(0.555441+(0.0561-0.19992))+0-250.3-0.127652999999975</f>
        <v>557.08396799999991</v>
      </c>
      <c r="Q244" s="3">
        <f>1108+(119-403.1)+(0.56508+(0.06069-0.205581))+0-252.1-0.128570999999974</f>
        <v>572.09161800000004</v>
      </c>
      <c r="R244" s="3">
        <f>1104.1+(144-411.2)+(-2.815455+(-0.3672--1.04856))+0-250.1--0.637754999999964</f>
        <v>585.30365999999981</v>
      </c>
      <c r="S244" s="3">
        <f>1100.3+(117-399.3)+(-1.683459+(-0.17901--0.610929))+0-250.3--0.382959000000014</f>
        <v>566.8314190000001</v>
      </c>
      <c r="T244" s="3">
        <f>1098.3+(113-389.2)+(0.560133+(0.05763-0.198492))+0-249.5-0.127244999999975</f>
        <v>572.89202599999987</v>
      </c>
      <c r="U244" s="3">
        <f>1102.6+(102-380.5)+(-2.249304+(-0.20808--0.77622))+0-248.5--0.506939999999989</f>
        <v>574.42577599999993</v>
      </c>
      <c r="V244" s="3">
        <f>1106.4+(114-370)+(0.564264+(0.05814-0.1887))+0-249.3-0.127142999999975</f>
        <v>601.40656100000024</v>
      </c>
      <c r="W244" s="3">
        <f>1115.7+(169-408.2)+(0+(0-0))+0-249.2-0</f>
        <v>627.29999999999995</v>
      </c>
      <c r="X244" s="3">
        <f>1118.1+(172-424.1)+(-2.280924+(-0.35088--0.865164))+0-249.6--0.509183999999989</f>
        <v>615.14254399999982</v>
      </c>
      <c r="Y244" s="3">
        <f>1120.3+(166-436.9)+(-1.142706+(-0.16932--0.445638))+0-249--0.25398000000004</f>
        <v>599.78759200000002</v>
      </c>
      <c r="Z244" s="3">
        <f>1128.1+(145-447.9)+(-1.150662+(-0.1479--0.456858))+0-248.6--0.25357200000004</f>
        <v>576.01186799999994</v>
      </c>
      <c r="AA244" s="3">
        <f>1138.7+(134-468.2)+(-0.580737+(-0.06834--0.238782))+0-246--0.125459999999975</f>
        <v>558.21516499999996</v>
      </c>
      <c r="AB244" s="3">
        <f>1138.3+(113-462.6)+(-1.741599+(-0.17289--0.707778))+0-245.8--0.376074000000014</f>
        <v>542.06936299999984</v>
      </c>
      <c r="AC244" s="3">
        <f>1144.9+(75-455.1)+(0+(0-0))+0-245.2-0</f>
        <v>519.60000000000014</v>
      </c>
      <c r="AD244">
        <f t="shared" si="3"/>
        <v>12962.637710999999</v>
      </c>
      <c r="AE244" s="3">
        <f>1119+(153-430.2)+(0+(0-0))+0-249.2-0</f>
        <v>592.59999999999991</v>
      </c>
    </row>
    <row r="245" spans="1:31" s="2" customFormat="1" x14ac:dyDescent="0.25">
      <c r="A245">
        <v>89</v>
      </c>
      <c r="B245">
        <v>8</v>
      </c>
      <c r="C245">
        <v>29</v>
      </c>
      <c r="D245">
        <v>1</v>
      </c>
      <c r="E245">
        <v>1</v>
      </c>
      <c r="F245" s="3">
        <f>1145.2+(47-452.8)+(-2.336208+(-0.09588--0.923712))+0-245.3--0.500411999999989</f>
        <v>493.09203600000006</v>
      </c>
      <c r="G245" s="3">
        <f>1142.2+(25-450.5)+(-1.747566+(-0.03825--0.689265))+0-246.2--0.376686000000014</f>
        <v>469.78013500000009</v>
      </c>
      <c r="H245" s="3">
        <f>1146.4+(0-432.8)+(-1.753992+(0--0.662184))+0-247.5--0.378675000000014</f>
        <v>465.38686700000011</v>
      </c>
      <c r="I245" s="3">
        <f>1142+(0-435.5)+(1.74726+(0-0.666315))+0-246.1-0.376533000000014</f>
        <v>461.10441200000002</v>
      </c>
      <c r="J245" s="3">
        <f>1144.4+(0-437.1)+(-1.750932+(0--0.668763))+0-247--0.377910000000014</f>
        <v>459.59574100000003</v>
      </c>
      <c r="K245" s="3">
        <f>1139.7+(10-431.6)+(-0.581247+(-0.0051--0.220116))+0-246.6--0.125765999999975</f>
        <v>471.25953500000003</v>
      </c>
      <c r="L245" s="3">
        <f>1127.1+(48-441.5)+(-2.299284+(-0.09792--0.90066))+0-247.9--0.505715999999989</f>
        <v>484.70917199999997</v>
      </c>
      <c r="M245" s="3">
        <f>1119.1+(64-444.6)+(1.712223+(0.09792-0.680238))+0-248.1-0.379593000000014</f>
        <v>491.15031199999987</v>
      </c>
      <c r="N245" s="3">
        <f>1110.6+(105-459.4)+(0.566406+(0.05355-0.234294))+0-248.8-0.126887999999975</f>
        <v>507.65877399999999</v>
      </c>
      <c r="O245" s="3">
        <f>1097.3+(201-532.4)+(-1.119246+(-0.20502--0.543048))+0-248.8--0.25377600000004</f>
        <v>516.57255800000007</v>
      </c>
      <c r="P245" s="3">
        <f>1082.4+(234-521.4)+(0+(0-0))+0-249.2-0</f>
        <v>545.80000000000018</v>
      </c>
      <c r="Q245" s="3">
        <f>1073.1+(226-492.5)+(0+(0-0))+0-249.9-0</f>
        <v>556.69999999999993</v>
      </c>
      <c r="R245" s="3">
        <f>1073.7+(185-453.4)+(-2.190348+(-0.3774--0.924936))+0-249.9--0.509795999999989</f>
        <v>554.26698399999998</v>
      </c>
      <c r="S245" s="3">
        <f>1068.7+(161-417.9)+(1.635111+(0.24633-0.639387))+0-249.5-0.381735000000014</f>
        <v>563.16031900000007</v>
      </c>
      <c r="T245" s="3">
        <f>1066.9+(145-416.2)+(0+(0-0))+0-248.3-0</f>
        <v>547.40000000000009</v>
      </c>
      <c r="U245" s="3">
        <f>1066.9+(109-433.9)+(-1.088238+(-0.11118--0.442578))+0-249.2--0.25418400000004</f>
        <v>492.29734400000018</v>
      </c>
      <c r="V245" s="3">
        <f>1071.5+(146-425.3)+(0.546465+(0.07446-0.216903))+0-250-0.127499999999975</f>
        <v>542.47652200000016</v>
      </c>
      <c r="W245" s="3">
        <f>1081.3+(231.7-414)+(-1.102926+(-0.236334--0.42228))+0-250.5--0.25551000000004</f>
        <v>647.83853000000011</v>
      </c>
      <c r="X245" s="3">
        <f>1083.1+(229.4-480.9)+(-1.657143+(-0.350982--0.735777))+0-249.3--0.381429000000014</f>
        <v>581.40908100000001</v>
      </c>
      <c r="Y245" s="3">
        <f>1093.6+(193.9-464.2)+(-0.557736+(-0.098889--0.236742))+0-248--0.126479999999975</f>
        <v>575.00659699999994</v>
      </c>
      <c r="Z245" s="3">
        <f>1088+(181.2-445.8)+(-0.55488+(-0.092412--0.227358))+0-248.4--0.126683999999975</f>
        <v>574.70674999999994</v>
      </c>
      <c r="AA245" s="3">
        <f>959.3+(194.6-360.3)+(-0.978486+(-0.198492--0.367506))+0-247.6--0.252552000000039</f>
        <v>545.4430799999999</v>
      </c>
      <c r="AB245" s="3">
        <f>970.3+(148-330.1)+(-0.494853+(-0.07548--0.168351))+0-249.3--0.127142999999975</f>
        <v>538.62516099999993</v>
      </c>
      <c r="AC245" s="3">
        <f>990.2+(105.1-329.4)+(-2.020008+(-0.214404--0.671976))+0-248.4--0.506735999999989</f>
        <v>516.4443</v>
      </c>
      <c r="AD245">
        <f t="shared" si="3"/>
        <v>12601.884209999998</v>
      </c>
      <c r="AE245" s="3">
        <f>1081+(235.9-469.2)+(0+(0-0))+0-249.1-0</f>
        <v>598.6</v>
      </c>
    </row>
    <row r="246" spans="1:31" s="2" customFormat="1" x14ac:dyDescent="0.25">
      <c r="A246">
        <v>89</v>
      </c>
      <c r="B246">
        <v>8</v>
      </c>
      <c r="C246">
        <v>30</v>
      </c>
      <c r="D246">
        <v>2</v>
      </c>
      <c r="E246">
        <v>1</v>
      </c>
      <c r="F246" s="3">
        <f>995.1+(73.1-321.3)+(-0.507501+(-0.037281--0.163863))+0-247.8--0.126377999999975</f>
        <v>498.84545900000001</v>
      </c>
      <c r="G246" s="3">
        <f>992.5+(48-310.2)+(-1.518525+(-0.07344--0.474606))+0-248.2--0.379746000000014</f>
        <v>481.36238700000001</v>
      </c>
      <c r="H246" s="3">
        <f>996.2+(34.6-303.4)+(-0.508062+(-0.017646--0.154734))+0-249--0.126989999999975</f>
        <v>478.15601600000002</v>
      </c>
      <c r="I246" s="3">
        <f>997.6+(23.1-298.8)+(-0.508776+(-0.011781--0.152388))+0-249.9--0.127448999999975</f>
        <v>471.7592800000001</v>
      </c>
      <c r="J246" s="3">
        <f>994.1+(29.3-303.4)+(2.027964+(0.059772-0.618936))+0-249.7-0.509387999999989</f>
        <v>471.259412</v>
      </c>
      <c r="K246" s="3">
        <f>1023.8+(49.1-338.1)+(0.522138+(0.025041-0.172431))+0-249.1-0.127040999999975</f>
        <v>485.94770699999992</v>
      </c>
      <c r="L246" s="3">
        <f>1106.6+(106.1-426.7)+(0+(0-0))+0-248.1-0</f>
        <v>537.89999999999986</v>
      </c>
      <c r="M246" s="3">
        <f>1118.5+(82.1-441.8)+(-1.711305+(-0.125613--0.675954))+0-248.2--0.379746000000014</f>
        <v>509.81878199999994</v>
      </c>
      <c r="N246" s="3">
        <f>1146+(90.7-429.2)+(1.16892+(0.092514-0.437784))+0-247.6-0.252552000000039</f>
        <v>560.47109799999998</v>
      </c>
      <c r="O246" s="3">
        <f>1131+(115.9-420.5)+(-1.73043+(-0.177327--0.643365))+0-248--0.379440000000014</f>
        <v>577.51504799999998</v>
      </c>
      <c r="P246" s="3">
        <f>1124+(130.2-405.5)+(0.57324+(0.066402-0.206805))+0-248-0.126479999999975</f>
        <v>601.00635699999998</v>
      </c>
      <c r="Q246" s="3">
        <f>1120+(161-412.8)+(-1.1424+(-0.16422--0.421056))+0-249.6--0.25459200000004</f>
        <v>617.96902799999998</v>
      </c>
      <c r="R246" s="3">
        <f>1091.3+(130.5-389.1)+(-2.782815+(-0.332775--0.992205))+0-247.6--0.631379999999964</f>
        <v>583.60799499999985</v>
      </c>
      <c r="S246" s="3">
        <f>1092.2+(131.9-388.9)+(-0.557022+(-0.067269--0.198339))+0-248.1--0.126530999999975</f>
        <v>586.80057899999997</v>
      </c>
      <c r="T246" s="3">
        <f>1092.5+(114.2-373.6)+(-1.671525+(-0.174726--0.571608))+0-248.7--0.380511000000014</f>
        <v>583.50586799999996</v>
      </c>
      <c r="U246" s="3">
        <f>1093.2+(122.5-390.9)+(0.557532+(0.062475-0.199359))+0-248.7-0.126836999999975</f>
        <v>576.39381100000014</v>
      </c>
      <c r="V246" s="3">
        <f>1095.4+(136.9-406.1)+(-0.558654+(-0.069819--0.207111))+0-248.7--0.126836999999975</f>
        <v>577.20547499999998</v>
      </c>
      <c r="W246" s="3">
        <f>1104+(198.6-415.5)+(0+(0-0))+0-248.2-0</f>
        <v>638.90000000000009</v>
      </c>
      <c r="X246" s="3">
        <f>1108.6+(204.3-427.5)+(-2.261544+(-0.416772--0.8721))+0-249.5--0.508979999999989</f>
        <v>634.60276399999987</v>
      </c>
      <c r="Y246" s="3">
        <f>1111.1+(178.5-430.2)+(-2.266644+(-0.36414--0.877608))+0-252--0.514079999999989</f>
        <v>606.16090399999985</v>
      </c>
      <c r="Z246" s="3">
        <f>1118.1+(128.4-400.8)+(-2.851155+(-0.32742--1.02204))+0-250.8--0.639539999999964</f>
        <v>593.38300500000003</v>
      </c>
      <c r="AA246" s="3">
        <f>1122.5+(130.1-437.9)+(-1.717425+(-0.199053--0.669987))+0-248.5--0.380205000000014</f>
        <v>565.3337140000001</v>
      </c>
      <c r="AB246" s="3">
        <f>1124.7+(92.4-416.5)+(-1.720791+(-0.141372--0.637245))+0-248.1--0.379593000000014</f>
        <v>551.654675</v>
      </c>
      <c r="AC246" s="3">
        <f>1130.9+(49.3-403.7)+(-1.730277+(-0.075429--0.617661))+0-247.9--0.379287000000014</f>
        <v>527.79124200000012</v>
      </c>
      <c r="AD246">
        <f t="shared" si="3"/>
        <v>13317.350606</v>
      </c>
      <c r="AE246" s="3">
        <f>1109+(182-427.1)+(0+(0-0))+0-249.1-0</f>
        <v>614.79999999999995</v>
      </c>
    </row>
    <row r="247" spans="1:31" s="2" customFormat="1" x14ac:dyDescent="0.25">
      <c r="A247">
        <v>89</v>
      </c>
      <c r="B247">
        <v>9</v>
      </c>
      <c r="C247">
        <v>1</v>
      </c>
      <c r="D247">
        <v>3</v>
      </c>
      <c r="E247">
        <v>1</v>
      </c>
      <c r="F247" s="3">
        <f>1136.5+(11.8-425.4)+(-2.898075+(-0.03009--1.08477))+0-249.4--0.635969999999964</f>
        <v>472.29257500000011</v>
      </c>
      <c r="G247" s="3">
        <f>1138.8+(5.9-462.7)+(-0.580788+(-0.003009--0.235977))+0-250.4--0.127703999999975</f>
        <v>431.37988400000006</v>
      </c>
      <c r="H247" s="3">
        <f>1133.4+(9.1-482.1)+(-1.734102+(-0.013923--0.737613))+0-249.4--0.381582000000014</f>
        <v>410.37117000000018</v>
      </c>
      <c r="I247" s="3">
        <f>1136.2+(0-536.5)+(-0.579462+(0--0.273615))+0-195.5--0.0997049999999802</f>
        <v>403.99385800000005</v>
      </c>
      <c r="J247" s="3">
        <f>1146.8+(0-541.2)+(0.584868+(0-0.276012))+0-190.5-0.0971549999999807</f>
        <v>415.31170099999991</v>
      </c>
      <c r="K247" s="3">
        <f>1139.4+(35.2-497.1)+(-1.743282+(-0.053856--0.760563))+0-250.5--0.383265000000014</f>
        <v>426.34669000000002</v>
      </c>
      <c r="L247" s="3">
        <f>1155.7+(55.2-528.6)+(0+(0-0))+0-251.4-0</f>
        <v>430.9</v>
      </c>
      <c r="M247" s="3">
        <f>1146.4+(67.7-514.5)+(-0.584664+(-0.034527--0.262395))+0-250--0.127499999999975</f>
        <v>449.3707040000001</v>
      </c>
      <c r="N247" s="3">
        <f>1136.7+(84.4-519.2)+(-2.318868+(-0.172176--1.059168))+0-248.9--0.507755999999989</f>
        <v>452.07587999999998</v>
      </c>
      <c r="O247" s="3">
        <f>1127.1+(69-474.5)+(-1.724463+(-0.10557--0.725985))+0-251.3--0.384489000000015</f>
        <v>469.58044099999989</v>
      </c>
      <c r="P247" s="3">
        <f>1076.2+(96.5-429.9)+(-1.097724+(-0.09843--0.438498))+0-250.8--0.25581600000004</f>
        <v>491.4981600000001</v>
      </c>
      <c r="Q247" s="3">
        <f>1074.5+(108.5-418)+(-1.09599+(-0.11067--0.42636))+0-250.5--0.25551000000004</f>
        <v>513.97521000000006</v>
      </c>
      <c r="R247" s="3">
        <f>1065.9+(132.4-408.5)+(-0.543609+(-0.067524--0.208335))+0-251.7--0.128366999999974</f>
        <v>537.82556900000009</v>
      </c>
      <c r="S247" s="3">
        <f>1061.9+(137.7-406.3)+(-1.624707+(-0.210681--0.621639))+0-251.9--0.385407000000015</f>
        <v>540.57165800000007</v>
      </c>
      <c r="T247" s="3">
        <f>1060.5+(140.4-414)+(0+(0-0))+0-252-0</f>
        <v>534.9</v>
      </c>
      <c r="U247" s="3">
        <f>1060.2+(145.8-415.6)+(0.540702+(0.074358-0.211956))+0-253.6-0.129335999999974</f>
        <v>537.07376800000009</v>
      </c>
      <c r="V247" s="3">
        <f>1064.8+(161.5-423.1)+(0+(0-0))+0-253.4-0</f>
        <v>549.79999999999995</v>
      </c>
      <c r="W247" s="3">
        <f>1075.8+(205.6-408.7)+(-0.548658+(-0.104856--0.208437))+0-255.6--0.130355999999974</f>
        <v>616.78527899999995</v>
      </c>
      <c r="X247" s="3">
        <f>1076.2+(198.8-411)+(-2.74431+(-0.50694--1.04805))+0-252.9--0.644894999999963</f>
        <v>609.541695</v>
      </c>
      <c r="Y247" s="3">
        <f>1085.9+(172.7-422.7)+(-0.553809+(-0.088077--0.215577))+0-251--0.128009999999975</f>
        <v>584.60170100000016</v>
      </c>
      <c r="Z247" s="3">
        <f>1089.9+(153.3-429.4)+(-1.667547+(-0.234549--0.656982))+0-251--0.384030000000015</f>
        <v>561.93891600000029</v>
      </c>
      <c r="AA247" s="3">
        <f>1097.1+(137.3-442.8)+(-2.238084+(-0.280092--0.903312))+0-252.8--0.515711999999989</f>
        <v>537.70084799999984</v>
      </c>
      <c r="AB247" s="3">
        <f>1100.3+(107.1-441.4)+(-2.244612+(-0.218484--0.900456))+0-252.8--0.515711999999989</f>
        <v>512.15307199999995</v>
      </c>
      <c r="AC247" s="3">
        <f>1104+(53.5-418.4)+(-3.94128+(-0.190995--1.493688))+0-252.2--0.900354000000004</f>
        <v>485.161767</v>
      </c>
      <c r="AD247">
        <f t="shared" si="3"/>
        <v>11975.150545999999</v>
      </c>
      <c r="AE247" s="3">
        <f>1076+(193.1-405.6)+(0+(0-0))+0-253.2-0</f>
        <v>610.29999999999995</v>
      </c>
    </row>
    <row r="248" spans="1:31" s="2" customFormat="1" x14ac:dyDescent="0.25">
      <c r="A248">
        <v>89</v>
      </c>
      <c r="B248">
        <v>9</v>
      </c>
      <c r="C248">
        <v>2</v>
      </c>
      <c r="D248">
        <v>4</v>
      </c>
      <c r="E248">
        <v>1</v>
      </c>
      <c r="F248" s="3">
        <f>1108.4+(32.8-437.5)+(-1.695852+(-0.050184--0.669375))+0-252.6--0.386478000000015</f>
        <v>450.40981700000009</v>
      </c>
      <c r="G248" s="3">
        <f>1111.9+(26.6-436.4)+(-1.134138+(-0.027132--0.445128))+0-250.1--0.25510200000004</f>
        <v>451.53896000000015</v>
      </c>
      <c r="H248" s="3">
        <f>1112.7+(2.4-449.7)+(-1.702431+(-0.003672--0.688041))+0-250.3--0.382959000000014</f>
        <v>414.46489700000012</v>
      </c>
      <c r="I248" s="3">
        <f>1109.3+(5.6-461.7)+(-1.697229+(-0.008568--0.706401))+0-253.2--0.387396000000015</f>
        <v>399.38800000000003</v>
      </c>
      <c r="J248" s="3">
        <f>1114.9+(9.6-469.1)+(0+(0-0))+0-252-0</f>
        <v>403.40000000000009</v>
      </c>
      <c r="K248" s="3">
        <f>1127.3+(31.7-478.4)+(-2.299692+(-0.064668--0.975936))+0-251.7--0.513467999999989</f>
        <v>428.02504399999992</v>
      </c>
      <c r="L248" s="3">
        <f>1117.9+(41.2-450)+(-0.570129+(-0.021012--0.2295))+0-253.4--0.129233999999974</f>
        <v>455.46759300000019</v>
      </c>
      <c r="M248" s="3">
        <f>1117.4+(82.9-509.7)+(-0.569874+(-0.042279--0.259947))+0-249.4--0.127193999999975</f>
        <v>440.97498800000011</v>
      </c>
      <c r="N248" s="3">
        <f>1101.7+(135-520.4)+(0.561867+(0.06885-0.265404))+0-250.2-0.127601999999975</f>
        <v>466.33771100000013</v>
      </c>
      <c r="O248" s="3">
        <f>1086.3+(146.1-496.5)+(-1.662039+(-0.223533--0.759645))+0-249--0.380970000000014</f>
        <v>486.15504299999992</v>
      </c>
      <c r="P248" s="3">
        <f>1077.5+(149.9-475.4)+(0.549525+(0.076449-0.242454))+0-251.2-0.128111999999975</f>
        <v>501.055408</v>
      </c>
      <c r="Q248" s="3">
        <f>1073.1+(146.8-456.2)+(-2.189124+(-0.299472--0.930648))+0-247.5--0.504899999999989</f>
        <v>515.14695199999994</v>
      </c>
      <c r="R248" s="3">
        <f>1069+(109.5-403.5)+(-0.54519+(-0.055845--0.205785))+0-249.2--0.127091999999975</f>
        <v>525.53184199999987</v>
      </c>
      <c r="S248" s="3">
        <f>1064.1+(117.7-411.1)+(1.085382+(0.120054-0.419322))+0-250.6-0.25561200000004</f>
        <v>520.63050199999975</v>
      </c>
      <c r="T248" s="3">
        <f>858.2+(157.3-261.1)+(0.875364+(0.160446-0.266322))+0-253.5-0.25857000000004</f>
        <v>501.41091800000009</v>
      </c>
      <c r="U248" s="3">
        <f>826.7+(176.4-269.9)+(0.421617+(0.089964-0.137649))+0-251.6-0.128315999999974</f>
        <v>481.84561600000001</v>
      </c>
      <c r="V248" s="3">
        <f>834.4+(167.2-263.2)+(-0.851088+(-0.170544--0.268464))+0-249.9--0.25489800000004</f>
        <v>488.00173000000007</v>
      </c>
      <c r="W248" s="3">
        <f>843.4+(228.3-277.8)+(0.430134+(0.116433-0.141678))+0-249.9-0.127448999999975</f>
        <v>544.27744000000007</v>
      </c>
      <c r="X248" s="3">
        <f>845.9+(246.2-307.5)+(-1.294227+(-0.376686--0.470475))+0-253.5--0.387855000000015</f>
        <v>530.287417</v>
      </c>
      <c r="Y248" s="3">
        <f>864+(233.4-325.4)+(-1.32192+(-0.357102--0.497862))+0-257.3--0.393669000000015</f>
        <v>513.912509</v>
      </c>
      <c r="Z248" s="3">
        <f>876.1+(221.1-343.6)+(-0.893622+(-0.225522--0.350472))+0-255.2--0.260304000000041</f>
        <v>497.89163200000002</v>
      </c>
      <c r="AA248" s="3">
        <f>880.4+(205.2-356)+(-1.347012+(-0.313956--0.54468))+0-254.9--0.389997000000015</f>
        <v>473.97370899999987</v>
      </c>
      <c r="AB248" s="3">
        <f>883.8+(191.8-364.3)+(-1.802952+(-0.391272--0.743172))+0-255.8--0.521831999999989</f>
        <v>454.5707799999999</v>
      </c>
      <c r="AC248" s="3">
        <f>885.7+(121-324.4)+(-0.903414+(-0.12342--0.330888))+0-253.5--0.25857000000004</f>
        <v>428.36262400000004</v>
      </c>
      <c r="AD248">
        <f t="shared" si="3"/>
        <v>11373.061132000001</v>
      </c>
      <c r="AE248" s="3">
        <f>861+(249.1-307.4)+(0+(0-0))+0-250.4-0</f>
        <v>552.30000000000007</v>
      </c>
    </row>
    <row r="249" spans="1:31" s="2" customFormat="1" x14ac:dyDescent="0.25">
      <c r="A249">
        <v>89</v>
      </c>
      <c r="B249">
        <v>9</v>
      </c>
      <c r="C249">
        <v>3</v>
      </c>
      <c r="D249">
        <v>5</v>
      </c>
      <c r="E249">
        <v>1</v>
      </c>
      <c r="F249" s="3">
        <f>885.3+(100.9-323.1)+(-1.806012+(-0.205836--0.659124))+0-253.8--0.517751999999989</f>
        <v>408.4650279999999</v>
      </c>
      <c r="G249" s="3">
        <f>888.6+(100.7-344.6)+(-1.359558+(-0.154071--0.527238))+0-252.8--0.386784000000015</f>
        <v>391.30039300000004</v>
      </c>
      <c r="H249" s="3">
        <f>889.6+(87.2-339.2)+(-2.26848+(-0.22236--0.86496))+0-256.1--0.653054999999963</f>
        <v>380.52717499999989</v>
      </c>
      <c r="I249" s="3">
        <f>894.3+(59.7-322.4)+(-0.456093+(-0.030447--0.164424))+0-253.8--0.129437999999974</f>
        <v>377.60732199999984</v>
      </c>
      <c r="J249" s="3">
        <f>890+(36.9-298.2)+(0+(0-0))+0-253.6-0</f>
        <v>375.1</v>
      </c>
      <c r="K249" s="3">
        <f>893.1+(51.1-282.7)+(-1.366443+(-0.078183--0.432531))+0-254.9--0.389997000000015</f>
        <v>405.97790199999997</v>
      </c>
      <c r="L249" s="3">
        <f>911.3+(71.2-284.6)+(-1.394289+(-0.108936--0.435438))+0-255--0.390150000000015</f>
        <v>442.22236299999992</v>
      </c>
      <c r="M249" s="3">
        <f>906+(90.5-279.5)+(-1.38618+(-0.138465--0.427635))+0-253--0.387090000000015</f>
        <v>463.29008000000005</v>
      </c>
      <c r="N249" s="3">
        <f>891.9+(144.1-323.4)+(-0.909738+(-0.146982--0.329868))+0-252.5--0.25755000000004</f>
        <v>459.63069800000005</v>
      </c>
      <c r="O249" s="3">
        <f>881.6+(187.8-344.3)+(0+(0-0))+0-251.7-0</f>
        <v>473.40000000000003</v>
      </c>
      <c r="P249" s="3">
        <f>880.4+(221.7-363.7)+(-0.898008+(-0.226134--0.370974))+0-250.6--0.25561200000004</f>
        <v>487.30244400000004</v>
      </c>
      <c r="Q249" s="3">
        <f>875.9+(228.6-344.1)+(-0.893418+(-0.233172--0.350982))+0-250.3--0.25530600000004</f>
        <v>509.57969799999995</v>
      </c>
      <c r="R249" s="3">
        <f>871.7+(235.5-307.9)+(-0.444567+(-0.120105--0.157029))+0-252.6--0.128825999999974</f>
        <v>546.42118300000004</v>
      </c>
      <c r="S249" s="3">
        <f>869.2+(237.5-306.8)+(-0.886584+(-0.24225--0.312936))+0-253--0.25806000000004</f>
        <v>546.34216200000014</v>
      </c>
      <c r="T249" s="3">
        <f>867.1+(234.4-307.6)+(-0.884442+(-0.239088--0.313752))+0-253--0.25806000000004</f>
        <v>540.34828199999993</v>
      </c>
      <c r="U249" s="3">
        <f>868+(184.7-257.7)+(0.44268+(0.094197-0.131427))+0-255-0.130049999999974</f>
        <v>540.27539999999999</v>
      </c>
      <c r="V249" s="3">
        <f>871.5+(194.8-265.1)+(0+(0-0))+0-252.6-0</f>
        <v>548.6</v>
      </c>
      <c r="W249" s="3">
        <f>877.6+(284.3-309.2)+(0+(0-0))+0-253.1-0</f>
        <v>599.6</v>
      </c>
      <c r="X249" s="3">
        <f>881.2+(288.7-324.5)+(-1.348236+(-0.441711--0.496485))+0-253.8--0.388314000000015</f>
        <v>590.69485200000008</v>
      </c>
      <c r="Y249" s="3">
        <f>881.4+(270-335.9)+(-1.798056+(-0.5508--0.685236))+0-251.4--0.512855999999989</f>
        <v>562.94923599999993</v>
      </c>
      <c r="Z249" s="3">
        <f>890.7+(191-332.8)+(-2.725542+(-0.58446--1.018368))+0-251--0.768060000000029</f>
        <v>496.37642600000009</v>
      </c>
      <c r="AA249" s="3">
        <f>895.2+(182.8-307.5)+(-1.826208+(-0.372912--0.6273))+0-251.2--0.512447999999989</f>
        <v>518.24062800000002</v>
      </c>
      <c r="AB249" s="3">
        <f>896.5+(163.3-310.9)+(-0.91443+(-0.166566--0.317118))+0-250.5--0.25551000000004</f>
        <v>497.89163200000013</v>
      </c>
      <c r="AC249" s="3">
        <f>899.6+(158.6-337.5)+(-1.835184+(-0.323544--0.6885))+0-250.1--0.510203999999989</f>
        <v>469.63997599999999</v>
      </c>
      <c r="AD249">
        <f t="shared" si="3"/>
        <v>11631.782880000002</v>
      </c>
      <c r="AE249" s="3">
        <f>876+(269.9-317.2)+(0+(0-0))+0-257.6-0</f>
        <v>571.1</v>
      </c>
    </row>
    <row r="250" spans="1:31" s="2" customFormat="1" x14ac:dyDescent="0.25">
      <c r="A250">
        <v>89</v>
      </c>
      <c r="B250">
        <v>9</v>
      </c>
      <c r="C250">
        <v>4</v>
      </c>
      <c r="D250">
        <v>6</v>
      </c>
      <c r="E250">
        <v>3</v>
      </c>
      <c r="F250" s="3">
        <f>899.4+(148.2-365.2)+(0+(0-0))+0-250.9-0</f>
        <v>431.5</v>
      </c>
      <c r="G250" s="3">
        <f>899.6+(108.2-343.5)+(0+(0-0))+0-250.7-0</f>
        <v>413.59999999999997</v>
      </c>
      <c r="H250" s="3">
        <f>903.6+(89.8-348)+(0+(0-0))+0-248.5-0</f>
        <v>396.90000000000009</v>
      </c>
      <c r="I250" s="3">
        <f>905+(79.9-345.1)+(0+(0-0))+0-249.4-0</f>
        <v>390.4</v>
      </c>
      <c r="J250" s="3">
        <f>905.2+(85.3-345.9)+(-0.461652+(-0.043503--0.176409))+0-249.6--0.127295999999975</f>
        <v>394.79855000000009</v>
      </c>
      <c r="K250" s="3">
        <f>908+(95.7-342)+(1.38924+(0.146421-0.52326))+0-250.1-0.382653000000014</f>
        <v>412.22974799999997</v>
      </c>
      <c r="L250" s="3">
        <f>906.8+(114.1-355)+(0+(0-0))+0-248.9-0</f>
        <v>417</v>
      </c>
      <c r="M250" s="3">
        <f>902.3+(130.5-355)+(-0.920346+(-0.13311--0.3621))+0-247.7--0.252654000000039</f>
        <v>429.66129799999999</v>
      </c>
      <c r="N250" s="3">
        <f>905.9+(160.2-351.2)+(-0.924018+(-0.163404--0.358224))+0-248.4--0.25336800000004</f>
        <v>466.02417000000003</v>
      </c>
      <c r="O250" s="3">
        <f>899.1+(212.2-371.6)+(-1.375623+(-0.324666--0.568548))+0-249.2--0.381276000000014</f>
        <v>489.74953500000004</v>
      </c>
      <c r="P250" s="3">
        <f>892.2+(218.8-356.6)+(-0.910044+(-0.223176--0.363732))+0-251.8--0.25683600000004</f>
        <v>502.08734800000008</v>
      </c>
      <c r="Q250" s="3">
        <f>885.7+(213.9-323.8)+(-0.903414+(-0.218178--0.330276))+0-249.9--0.25489800000004</f>
        <v>525.36358200000006</v>
      </c>
      <c r="R250" s="3">
        <f>877.6+(206.1-296.9)+(-2.23788+(-0.525555--0.757095))+0-249.6--0.636479999999964</f>
        <v>535.83014000000003</v>
      </c>
      <c r="S250" s="3">
        <f>873.8+(198.5-293.8)+(0.891276+(0.20247-0.299676))+0-249.5-0.25449000000004</f>
        <v>529.53958</v>
      </c>
      <c r="T250" s="3">
        <f>873+(215.8-308)+(-2.22615+(-0.55029--0.7854))+0-250.4--0.638519999999964</f>
        <v>529.04747999999995</v>
      </c>
      <c r="U250" s="3">
        <f>873.4+(221.6-315.7)+(0+(0-0))+0-250.3-0</f>
        <v>529</v>
      </c>
      <c r="V250" s="3">
        <f>880.7+(225.1-336.2)+(-1.347471+(-0.344403--0.514386))+0-249.4--0.381582000000014</f>
        <v>519.40409399999999</v>
      </c>
      <c r="W250" s="3">
        <f>891.3+(268.8-326.7)+(0.454563+(0.137088-0.166617))+0-251.5-0.128264999999974</f>
        <v>582.19676900000002</v>
      </c>
      <c r="X250" s="3">
        <f>897+(263.9-328.7)+(0+(0-0))+0-251.2-0</f>
        <v>581</v>
      </c>
      <c r="Y250" s="3">
        <f>899.1+(249.4-331.4)+(-2.292705+(-0.63597--0.84507))+0-250.6--0.639029999999964</f>
        <v>565.0554249999999</v>
      </c>
      <c r="Z250" s="3">
        <f>902.8+(239.7-342.6)+(-0.460428+(-0.122247--0.174726))+0-250.5--0.127754999999975</f>
        <v>549.11980599999981</v>
      </c>
      <c r="AA250" s="3">
        <f>908.4+(230.1-360.3)+(-0.463284+(-0.117351--0.183753))+0-249.2--0.127091999999975</f>
        <v>528.73020999999994</v>
      </c>
      <c r="AB250" s="3">
        <f>911.7+(213.8-356.1)+(-0.929934+(-0.218076--0.363222))+0-249.9--0.25489800000004</f>
        <v>518.97011000000009</v>
      </c>
      <c r="AC250" s="3">
        <f>911.5+(201.2-363.9)+(-1.85946+(-0.410448--0.742356))+0-248.3--0.506531999999989</f>
        <v>499.47897999999992</v>
      </c>
      <c r="AD250">
        <f t="shared" si="3"/>
        <v>11736.686825000001</v>
      </c>
      <c r="AE250" s="3">
        <f>887+(248-336.9)+(0+(0-0))+0-250.4-0</f>
        <v>547.70000000000005</v>
      </c>
    </row>
    <row r="251" spans="1:31" s="2" customFormat="1" x14ac:dyDescent="0.25">
      <c r="A251">
        <v>89</v>
      </c>
      <c r="B251">
        <v>9</v>
      </c>
      <c r="C251">
        <v>5</v>
      </c>
      <c r="D251">
        <v>7</v>
      </c>
      <c r="E251">
        <v>1</v>
      </c>
      <c r="F251" s="3">
        <f>915.7+(139.8-355.3)+(-1.401021+(-0.213894--0.543609))+0-251.5--0.384795000000015</f>
        <v>448.01348899999999</v>
      </c>
      <c r="G251" s="3">
        <f>979+(87.8-341.1)+(-1.49787+(-0.134334--0.521883))+0-252.6--0.386478000000015</f>
        <v>472.37615700000003</v>
      </c>
      <c r="H251" s="3">
        <f>967.7+(83.8-320.8)+(-1.480581+(-0.128214--0.490824))+0-251.7--0.385101000000015</f>
        <v>478.26713000000007</v>
      </c>
      <c r="I251" s="3">
        <f>1021.8+(60.9-356.4)+(-1.042236+(-0.062118--0.363528))+0-251.1--0.25612200000004</f>
        <v>474.71529600000002</v>
      </c>
      <c r="J251" s="3">
        <f>1052.6+(70.3-395.8)+(1.073652+(0.071706-0.403716))+0-252.9-0.25795800000004</f>
        <v>474.68368399999986</v>
      </c>
      <c r="K251" s="3">
        <f>1053.6+(85.7-388.6)+(0.537336+(0.043707-0.198186))+0-253.1-0.129080999999974</f>
        <v>497.85377599999975</v>
      </c>
      <c r="L251" s="3">
        <f>1020.8+(93.3-425.1)+(-2.082432+(-0.190332--0.867204))+0-250--0.509999999999989</f>
        <v>438.10443999999995</v>
      </c>
      <c r="M251" s="3">
        <f>1010.7+(114.3-403)+(-1.030914+(-0.116586--0.41106))+0-249.2--0.25418400000004</f>
        <v>472.31774400000006</v>
      </c>
      <c r="N251" s="3">
        <f>1005.4+(147.4-398.3)+(0.512754+(0.075174-0.203133))+0-250.9-0.127958999999975</f>
        <v>503.8568360000001</v>
      </c>
      <c r="O251" s="3">
        <f>982+(179.2-414.8)+(0+(0-0))+0-250.6-0</f>
        <v>495.79999999999995</v>
      </c>
      <c r="P251" s="3">
        <f>966.3+(180-387.1)+(-0.492813+(-0.0918--0.197421))+0-251.7--0.128366999999974</f>
        <v>507.24117499999988</v>
      </c>
      <c r="Q251" s="3">
        <f>950.9+(181-349.2)+(-3.879672+(-0.73848--1.424736))+0-251.7--1.02693599999998</f>
        <v>528.83352000000014</v>
      </c>
      <c r="R251" s="3">
        <f>1003.2+(200-387)+(-1.534896+(-0.306--0.59211))+0-250.8--0.383724000000015</f>
        <v>564.53493800000001</v>
      </c>
      <c r="S251" s="3">
        <f>1089.3+(200-431.1)+(-1.111086+(-0.204--0.439722))+0-250.7--0.25571400000004</f>
        <v>606.88035000000002</v>
      </c>
      <c r="T251" s="3">
        <f>1056.2+(198-430.9)+(-0.538662+(-0.10098--0.219759))+0-251.2--0.128111999999975</f>
        <v>571.8082290000001</v>
      </c>
      <c r="U251" s="3">
        <f>1056.2+(199-416.1)+(-1.077324+(-0.20298--0.424422))+0-250.8--0.25581600000004</f>
        <v>587.69993400000021</v>
      </c>
      <c r="V251" s="3">
        <f>1069.9+(207-436.1)+(0+(0-0))+0-252-0</f>
        <v>588.80000000000007</v>
      </c>
      <c r="W251" s="3">
        <f>1077.8+(202-429.5)+(-0.549678+(-0.10302--0.219045))+0-251.1--0.128060999999975</f>
        <v>598.89440799999988</v>
      </c>
      <c r="X251" s="3">
        <f>1087+(190.5-436)+(-0.55437+(-0.097155--0.22236))+0-252.9--0.128978999999974</f>
        <v>588.29981399999997</v>
      </c>
      <c r="Y251" s="3">
        <f>1094.1+(183.9-441.5)+(-1.673973+(-0.281367--0.675495))+0-251.4--0.384642000000015</f>
        <v>584.20479699999987</v>
      </c>
      <c r="Z251" s="3">
        <f>1094.5+(183.9-444.1)+(-1.11639+(-0.187578--0.452982))+0-250.6--0.25561200000004</f>
        <v>583.10462599999994</v>
      </c>
      <c r="AA251" s="3">
        <f>1099.9+(184.9-458.9)+(-2.243796+(-0.377196--0.936156))+0-250.9--0.511835999999989</f>
        <v>573.82700000000011</v>
      </c>
      <c r="AB251" s="3">
        <f>1097+(181.9-473.3)+(-1.67841+(-0.278307--0.724149))+0-251.7--0.385101000000015</f>
        <v>553.05253299999993</v>
      </c>
      <c r="AC251" s="3">
        <f>1099.9+(181.9-473)+(-3.365694+(-0.556614--1.44738))+0-249.6--0.763776000000029</f>
        <v>557.48884800000008</v>
      </c>
      <c r="AD251">
        <f t="shared" si="3"/>
        <v>12750.658724000003</v>
      </c>
      <c r="AE251" s="3">
        <f>1082+(162-419.9)+(0+(0-0))+0-252.8-0</f>
        <v>571.29999999999995</v>
      </c>
    </row>
    <row r="252" spans="1:31" s="2" customFormat="1" x14ac:dyDescent="0.25">
      <c r="A252">
        <v>89</v>
      </c>
      <c r="B252">
        <v>9</v>
      </c>
      <c r="C252">
        <v>6</v>
      </c>
      <c r="D252">
        <v>1</v>
      </c>
      <c r="E252">
        <v>1</v>
      </c>
      <c r="F252" s="3">
        <f>1107.4+(159.9-452)+(0+(0-0))+0-249.3-0</f>
        <v>566</v>
      </c>
      <c r="G252" s="3">
        <f>1104.4+(160.9-448.9)+(0+(0-0))+0-250.4-0</f>
        <v>566.00000000000011</v>
      </c>
      <c r="H252" s="3">
        <f>1110+(161.9-457.7)+(0.5661+(0.082569-0.233427))+0-252.6-0.128825999999974</f>
        <v>561.88641600000005</v>
      </c>
      <c r="I252" s="3">
        <f>1114.8+(160.9-471.5)+(1.137096+(0.164118-0.48093))+0-252-0.25704000000004</f>
        <v>552.76324399999987</v>
      </c>
      <c r="J252" s="3">
        <f>1119.6+(159.9-476.3)+(0+(0-0))+0-251-0</f>
        <v>552.19999999999993</v>
      </c>
      <c r="K252" s="3">
        <f>1117.6+(159.9-474.9)+(-1.139952+(-0.163098--0.484398))+0-250.2--0.25520400000004</f>
        <v>551.83655199999998</v>
      </c>
      <c r="L252" s="3">
        <f>1126.8+(159.9-497.1)+(-2.87334+(-0.407745--1.267605))+0-249.9--0.637244999999964</f>
        <v>538.32376499999998</v>
      </c>
      <c r="M252" s="3">
        <f>1120.5+(159.9-494)+(0.571455+(0.081549-0.25194))+0-251.6-0.128315999999974</f>
        <v>535.07274800000005</v>
      </c>
      <c r="N252" s="3">
        <f>1106.7+(165.9-480.4)+(0+(0-0))+0-254.8-0</f>
        <v>537.40000000000009</v>
      </c>
      <c r="O252" s="3">
        <f>1090.2+(164.9-491.1)+(1.668006+(0.252297-0.751383))+0-254.6-0.389538000000015</f>
        <v>510.17938199999992</v>
      </c>
      <c r="P252" s="3">
        <f>1108.3+(164.9-492.5)+(0+(0-0))+0-254.9-0</f>
        <v>525.79999999999995</v>
      </c>
      <c r="Q252" s="3">
        <f>1103.5+(150.9-481.6)+(-0.562785+(-0.076959--0.245616))+0-255.6--0.130355999999974</f>
        <v>516.93622799999991</v>
      </c>
      <c r="R252" s="3">
        <f>1110.8+(168-481.5)+(-0.566508+(-0.08568--0.245565))+0-254.9--0.129998999999974</f>
        <v>542.12337600000001</v>
      </c>
      <c r="S252" s="3">
        <f>1105.7+(166.7-468.6)+(-0.563907+(-0.085017--0.238986))+0-254.7--0.129896999999974</f>
        <v>548.81995899999993</v>
      </c>
      <c r="T252" s="3">
        <f>1105.5+(156.3-469.4)+(-1.12761+(-0.159426--0.478788))+0-255.1--0.260202000000041</f>
        <v>536.75195400000007</v>
      </c>
      <c r="U252" s="3">
        <f>1106.2+(160.3-490.1)+(-0.564162+(-0.081753--0.249951))+0-255.1--0.130100999999974</f>
        <v>521.03413699999999</v>
      </c>
      <c r="V252" s="3">
        <f>1106.5+(182.9-486.8)+(-1.12863+(-0.186558--0.496536))+0-256.1--0.261222000000041</f>
        <v>545.94257000000005</v>
      </c>
      <c r="W252" s="3">
        <f>1111.4+(221.9-477.5)+(1.133628+(0.226338-0.48705))+0-256.4-0.261528000000041</f>
        <v>600.01138800000012</v>
      </c>
      <c r="X252" s="3">
        <f>1135.6+(208-487.4)+(-1.158312+(-0.21216--0.497148))+0-256.2--0.261324000000041</f>
        <v>599.38799999999992</v>
      </c>
      <c r="Y252" s="3">
        <f>1139.4+(191.5-494.5)+(-2.324376+(-0.39066--1.00878))+0-255--0.520199999999989</f>
        <v>580.21394400000008</v>
      </c>
      <c r="Z252" s="3">
        <f>1137+(170.7-467)+(-2.89935+(-0.435285--1.19085))+0-257.5--0.656624999999963</f>
        <v>581.71284000000003</v>
      </c>
      <c r="AA252" s="3">
        <f>1126.9+(152-487.5)+(0.574719+(0.07752-0.248625))+0-256.6-0.130865999999974</f>
        <v>535.07274800000005</v>
      </c>
      <c r="AB252" s="3">
        <f>1135.4+(111.8-478.1)+(-2.316216+(-0.228072--0.975324))+0-255.2--0.520607999999989</f>
        <v>512.85164400000008</v>
      </c>
      <c r="AC252" s="3">
        <f>1140.2+(69.7-460.8)+(-1.744506+(-0.106641--0.705024))+0-254.3--0.389079000000015</f>
        <v>494.04295600000006</v>
      </c>
      <c r="AD252">
        <f t="shared" si="3"/>
        <v>13112.363851</v>
      </c>
      <c r="AE252" s="3">
        <f>1134+(196.9-474)+(0+(0-0))+0-255.2-0</f>
        <v>601.70000000000005</v>
      </c>
    </row>
    <row r="253" spans="1:31" s="2" customFormat="1" x14ac:dyDescent="0.25">
      <c r="A253">
        <v>89</v>
      </c>
      <c r="B253">
        <v>9</v>
      </c>
      <c r="C253">
        <v>7</v>
      </c>
      <c r="D253">
        <v>2</v>
      </c>
      <c r="E253">
        <v>1</v>
      </c>
      <c r="F253" s="3">
        <f>1139.1+(39-467.6)+(-0.580941+(-0.01989--0.238476))+0-255.1--0.130100999999974</f>
        <v>455.16774599999985</v>
      </c>
      <c r="G253" s="3">
        <f>1144.5+(42.5-489.3)+(-2.918475+(-0.108375--1.247715))+0-255.2--0.650759999999963</f>
        <v>441.37162500000005</v>
      </c>
      <c r="H253" s="3">
        <f>1151.3+(39.9-510.1)+(-0.587163+(-0.020349--0.260151))+0-257.3--0.131222999999974</f>
        <v>423.5838619999999</v>
      </c>
      <c r="I253" s="3">
        <f>1150.8+(27.9-508.9)+(-0.586908+(-0.014229--0.259539))+0-257.4--0.131273999999974</f>
        <v>412.18967599999996</v>
      </c>
      <c r="J253" s="3">
        <f>1152.8+(32.4-507.5)+(-1.175856+(-0.033048--0.51765))+0-259.4--0.264588000000041</f>
        <v>417.87333400000006</v>
      </c>
      <c r="K253" s="3">
        <f>1155.6+(37.8-490.9)+(0+(0-0))+0-255-0</f>
        <v>447.5</v>
      </c>
      <c r="L253" s="3">
        <f>1155.4+(56.6-490.2)+(-2.357016+(-0.115464--1.000008))+0-253.7--0.517547999999989</f>
        <v>467.14507600000013</v>
      </c>
      <c r="M253" s="3">
        <f>1146.9+(68.9-479.6)+(-0.584919+(-0.035139--0.244596))+0-256.9--0.131018999999974</f>
        <v>479.05555700000008</v>
      </c>
      <c r="N253" s="3">
        <f>1138+(84-485)+(0+(0-0))+0-255-0</f>
        <v>482</v>
      </c>
      <c r="O253" s="3">
        <f>1126+(124-499)+(0.57426+(0.06324-0.25449))+0-255-0.130049999999974</f>
        <v>496.25296000000003</v>
      </c>
      <c r="P253" s="3">
        <f>1112.2+(141-492)+(1.134444+(0.14382-0.50184))+0-256-0.261120000000041</f>
        <v>505.715304</v>
      </c>
      <c r="Q253" s="3">
        <f>1103.1+(149.4-484.9)+(0+(0-0))+0-253.2-0</f>
        <v>514.39999999999986</v>
      </c>
      <c r="R253" s="3">
        <f>1101+(132-492.2)+(-2.80755+(-0.3366--1.25511))+0-194.8--0.496739999999972</f>
        <v>544.60769999999991</v>
      </c>
      <c r="S253" s="3">
        <f>1098.9+(135.1-433.4)+(-1.681317+(-0.206703--0.663102))+0-257.5--0.393975000000015</f>
        <v>542.2690570000002</v>
      </c>
      <c r="T253" s="3">
        <f>1096.1+(111.3-412.1)+(0.559011+(0.056763-0.210171))+0-257.8-0.131477999999974</f>
        <v>537.77412499999991</v>
      </c>
      <c r="U253" s="3">
        <f>1093.2+(116-414.7)+(1.115064+(0.11832-0.422994))+0-257.7-0.262854000000041</f>
        <v>537.34753599999999</v>
      </c>
      <c r="V253" s="3">
        <f>1102.9+(149.5-440.2)+(-0.562479+(-0.076245--0.224502))+0-257.8--0.131477999999974</f>
        <v>554.117256</v>
      </c>
      <c r="W253" s="3">
        <f>1137.1+(175.5-432.3)+(0.579921+(0.089505-0.220473))+0-258.4-0.131783999999974</f>
        <v>622.21716900000001</v>
      </c>
      <c r="X253" s="3">
        <f>1117.4+(173-419.8)+(-3.989118+(-0.61761--1.498686))+0-258.1--0.921417000000004</f>
        <v>610.31337500000018</v>
      </c>
      <c r="Y253" s="3">
        <f>1198.8+(146.6-494.1)+(-2.445552+(-0.299064--1.007964))+0-259.1--0.528563999999989</f>
        <v>590.99191199999984</v>
      </c>
      <c r="Z253" s="3">
        <f>1265.4+(120.6-558.6)+(-0.645354+(-0.061506--0.284886))+0-258.6--0.131885999999974</f>
        <v>568.5099120000001</v>
      </c>
      <c r="AA253" s="3">
        <f>1291.3+(100-593.4)+(-1.975689+(-0.153--0.907902))+0-260--0.397800000000015</f>
        <v>537.07701299999997</v>
      </c>
      <c r="AB253" s="3">
        <f>1287.8+(91.4-606.1)+(-1.313556+(-0.093228--0.618222))+0-255--0.260100000000041</f>
        <v>517.57153800000003</v>
      </c>
      <c r="AC253" s="3">
        <f>1290.6+(77.9-619.6)+(-2.632824+(-0.158916--1.263984))+0-260.1--0.530603999999989</f>
        <v>487.80284799999987</v>
      </c>
      <c r="AD253">
        <f t="shared" si="3"/>
        <v>12192.854580999998</v>
      </c>
      <c r="AE253" s="3">
        <f>1111+(185-441.7)+(0+(0-0))+0-260.6-0</f>
        <v>593.69999999999993</v>
      </c>
    </row>
    <row r="254" spans="1:31" s="2" customFormat="1" x14ac:dyDescent="0.25">
      <c r="A254">
        <v>89</v>
      </c>
      <c r="B254">
        <v>9</v>
      </c>
      <c r="C254">
        <v>8</v>
      </c>
      <c r="D254">
        <v>3</v>
      </c>
      <c r="E254">
        <v>1</v>
      </c>
      <c r="F254" s="3">
        <f>1288.6+(70.1-653.6)+(-2.628744+(-0.143004--1.333344))+0-261.5--0.533459999999989</f>
        <v>442.69505599999991</v>
      </c>
      <c r="G254" s="3">
        <f>1288.9+(54.2-654.7)+(-0.657339+(-0.027642--0.333897))+0-258.8--0.131987999999974</f>
        <v>429.38090400000004</v>
      </c>
      <c r="H254" s="3">
        <f>1297.9+(26.8-649.1)+(0.661929+(0.013668-0.331041))+0-259.5-0.132344999999974</f>
        <v>416.31221100000005</v>
      </c>
      <c r="I254" s="3">
        <f>1301+(20.3-649)+(-1.32702+(-0.020706--0.66198))+0-259.4--0.264588000000041</f>
        <v>412.47884200000004</v>
      </c>
      <c r="J254" s="3">
        <f>1304.3+(9.3-631.9)+(0.665193+(0.004743-0.322269))+0-259.4-0.132293999999974</f>
        <v>422.51537299999995</v>
      </c>
      <c r="K254" s="3">
        <f>1298.5+(24.1-615.6)+(0.662235+(0.012291-0.313956))+0-263-0.134129999999973</f>
        <v>444.22644000000008</v>
      </c>
      <c r="L254" s="3">
        <f>1298+(60.3-634.6)+(0+(0-0))+0-261-0</f>
        <v>462.69999999999993</v>
      </c>
      <c r="M254" s="3">
        <f>1296.3+(65.8-639.1)+(-3.305565+(-0.16779--1.629705))+0-256.8--0.654839999999963</f>
        <v>465.01118999999983</v>
      </c>
      <c r="N254" s="3">
        <f>1274.8+(84.8-626.1)+(1.950444+(0.129744-0.957933))+0-257.6-0.394128000000015</f>
        <v>476.62812699999984</v>
      </c>
      <c r="O254" s="3">
        <f>1264.9+(100.9-606.6)+(-1.935297+(-0.154377--0.928098))+0-258.6--0.395658000000015</f>
        <v>499.83408200000008</v>
      </c>
      <c r="P254" s="3">
        <f>1254.7+(126-611)+(0.639897+(0.06426-0.31161))+0-256.9-0.131018999999974</f>
        <v>513.06152800000018</v>
      </c>
      <c r="Q254" s="3">
        <f>1248.5+(138.5-600.3)+(-3.183675+(-0.353175--1.530765))+0-255.9--0.652544999999963</f>
        <v>529.44646</v>
      </c>
      <c r="R254" s="3">
        <f>1240.5+(132.2-589.6)+(-1.26531+(-0.134844--0.601392))+0-255.6--0.260712000000041</f>
        <v>526.96194999999989</v>
      </c>
      <c r="S254" s="3">
        <f>1236.2+(107.2-542.8)+(0+(0-0))+0-255.2-0</f>
        <v>545.40000000000009</v>
      </c>
      <c r="T254" s="3">
        <f>1237.4+(110.1-553.8)+(0+(0-0))+0-257.9-0</f>
        <v>535.80000000000018</v>
      </c>
      <c r="U254" s="3">
        <f>1236.4+(91.9-535.4)+(0.630564+(0.046869-0.273054))+0-260.4-0.132803999999974</f>
        <v>532.7715750000001</v>
      </c>
      <c r="V254" s="3">
        <f>1244.7+(145-545.8)+(1.904391+(0.22185-0.835074))+0-258.1-0.394893000000015</f>
        <v>586.69627400000002</v>
      </c>
      <c r="W254" s="3">
        <f>1258.5+(143-558.8)+(1.925505+(0.21879-0.854964))+0-259.4-0.396882000000015</f>
        <v>584.19244900000001</v>
      </c>
      <c r="X254" s="3">
        <f>1263.7+(124-545.9)+(-2.577948+(-0.25296--1.113636))+0-259.2--0.528767999999989</f>
        <v>581.41149600000006</v>
      </c>
      <c r="Y254" s="3">
        <f>1280+(122-574.3)+(-1.9584+(-0.18666--0.878679))+0-258.9--0.396117000000015</f>
        <v>567.92973600000005</v>
      </c>
      <c r="Z254" s="3">
        <f>1304.5+(96-589.9)+(-1.995885+(-0.14688--0.902547))+0-258.5--0.395505000000015</f>
        <v>551.25528700000007</v>
      </c>
      <c r="AA254" s="3">
        <f>1279.8+(81-607)+(-1.305396+(-0.08262--0.61914))+0-257.9--0.263058000000041</f>
        <v>495.39418200000006</v>
      </c>
      <c r="AB254" s="3">
        <f>1284.8+(83-633.3)+(0+(0-0))+0-257.9-0</f>
        <v>476.6</v>
      </c>
      <c r="AC254" s="3">
        <f>1233+(103-586)+(-3.14415+(-0.26265--1.4943))+0-254.8--0.649739999999963</f>
        <v>493.93723999999992</v>
      </c>
      <c r="AD254">
        <f t="shared" si="3"/>
        <v>11992.640402000001</v>
      </c>
      <c r="AE254" s="3">
        <f>1259+(144-550.1)+(0+(0-0))+0-259.4-0</f>
        <v>593.5</v>
      </c>
    </row>
    <row r="255" spans="1:31" s="2" customFormat="1" x14ac:dyDescent="0.25">
      <c r="A255">
        <v>89</v>
      </c>
      <c r="B255">
        <v>9</v>
      </c>
      <c r="C255">
        <v>9</v>
      </c>
      <c r="D255">
        <v>4</v>
      </c>
      <c r="E255">
        <v>1</v>
      </c>
      <c r="F255" s="3">
        <f>1140.6+(62-528.7)+(-2.326824+(-0.12648--1.078548))+0-255.3--0.520811999999989</f>
        <v>417.74605599999978</v>
      </c>
      <c r="G255" s="3">
        <f>1138.7+(22-457.8)+(-1.161474+(-0.02244--0.466956))+0-258.1--0.263262000000041</f>
        <v>444.34630400000015</v>
      </c>
      <c r="H255" s="3">
        <f>1142.3+(18-473.1)+(-1.747719+(-0.02754--0.723843))+0-257.3--0.393669000000015</f>
        <v>429.24225299999989</v>
      </c>
      <c r="I255" s="3">
        <f>1136.2+(22-477.1)+(-1.158924+(-0.02244--0.486642))+0-256.2--0.261324000000041</f>
        <v>424.46660200000014</v>
      </c>
      <c r="J255" s="3">
        <f>1140.8+(41-484.5)+(-1.163616+(-0.04182--0.49419))+0-259--0.264180000000041</f>
        <v>437.85293400000006</v>
      </c>
      <c r="K255" s="3">
        <f>1146+(79-500)+(0+(0-0))+0-255.9-0</f>
        <v>469.1</v>
      </c>
      <c r="L255" s="3">
        <f>1143.4+(101-519.7)+(-1.166268+(-0.10302--0.530094))+0-255.5--0.260610000000041</f>
        <v>468.72141600000009</v>
      </c>
      <c r="M255" s="3">
        <f>1139.7+(115-511.1)+(-0.581247+(-0.05865--0.260661))+0-256.2--0.130661999999974</f>
        <v>487.15142600000001</v>
      </c>
      <c r="N255" s="3">
        <f>1127.4+(147-518.6)+(0.574974+(0.07497-0.264486))+0-260-0.132599999999974</f>
        <v>496.05285800000007</v>
      </c>
      <c r="O255" s="3">
        <f>1118.8+(156-512.8)+(0+(0-0))+0-259-0</f>
        <v>503</v>
      </c>
      <c r="P255" s="3">
        <f>1110.7+(160-492.1)+(-0.566457+(-0.0816--0.250971))+0-258.7--0.131936999999974</f>
        <v>519.63485100000014</v>
      </c>
      <c r="Q255" s="3">
        <f>1132.7+(143-502.9)+(-1.155354+(-0.14586--0.512958))+0-256.5--0.261630000000041</f>
        <v>515.7733740000001</v>
      </c>
      <c r="R255" s="3">
        <f>1185.8+(149-523)+(-0.604758+(-0.07599--0.26673))+0-255.8--0.130457999999974</f>
        <v>555.71643999999981</v>
      </c>
      <c r="S255" s="3">
        <f>1189.4+(158-529)+(0+(0-0))+0-256.5-0</f>
        <v>561.90000000000009</v>
      </c>
      <c r="T255" s="3">
        <f>1188.1+(137-574.7)+(-1.817793+(-0.20961--0.879291))+0-194.8--0.298044000000011</f>
        <v>554.74993199999983</v>
      </c>
      <c r="U255" s="3">
        <f>1187.3+(157-528.9)+(-1.816569+(-0.24021--0.809217))+0-262.8--0.402084000000015</f>
        <v>551.75452199999995</v>
      </c>
      <c r="V255" s="3">
        <f>1185.1+(165-523.7)+(-1.813203+(-0.25245--0.801261))+0-267.2--0.408816000000015</f>
        <v>558.34442399999978</v>
      </c>
      <c r="W255" s="3">
        <f>1193.5+(199-498.4)+(-1.21737+(-0.20298--0.508368))+0-267.7--0.273054000000043</f>
        <v>625.76107200000001</v>
      </c>
      <c r="X255" s="3">
        <f>1200.6+(185-500.3)+(-2.449224+(-0.3774--1.020612))+0-262.2--0.534887999999988</f>
        <v>621.82887599999992</v>
      </c>
      <c r="Y255" s="3">
        <f>1195+(163-499.4)+(-2.4378+(-0.33252--1.018776))+0-260.3--0.531011999999989</f>
        <v>597.07946800000002</v>
      </c>
      <c r="Z255" s="3">
        <f>1189.4+(154-508.3)+(-1.213188+(-0.15708--0.518466))+0-261.5--0.266730000000042</f>
        <v>573.01492800000017</v>
      </c>
      <c r="AA255" s="3">
        <f>1202.2+(136-526.2)+(-1.839366+(-0.20808--0.805086))+0-261.2--0.399636000000015</f>
        <v>549.95727599999998</v>
      </c>
      <c r="AB255" s="3">
        <f>1200.5+(122-528.7)+(-1.836765+(-0.18666--0.808911))+0-261.1--0.399483000000015</f>
        <v>531.88496899999996</v>
      </c>
      <c r="AC255" s="3">
        <f>1206.9+(124-558)+(-3.077595+(-0.3162--1.4229))+0-259.1--0.660704999999962</f>
        <v>512.48981000000003</v>
      </c>
      <c r="AD255">
        <f t="shared" si="3"/>
        <v>12407.569790999998</v>
      </c>
      <c r="AE255" s="3">
        <f>1199+(173-497.9)+(0+(0-0))+0-265.3-0</f>
        <v>608.79999999999995</v>
      </c>
    </row>
    <row r="256" spans="1:31" s="2" customFormat="1" x14ac:dyDescent="0.25">
      <c r="A256">
        <v>89</v>
      </c>
      <c r="B256">
        <v>9</v>
      </c>
      <c r="C256">
        <v>10</v>
      </c>
      <c r="D256">
        <v>5</v>
      </c>
      <c r="E256">
        <v>1</v>
      </c>
      <c r="F256" s="3">
        <f>1210.5+(43-552)+(-3.086775+(-0.10965--1.4076))+0-264.2--0.673709999999962</f>
        <v>436.18488500000001</v>
      </c>
      <c r="G256" s="3">
        <f>1212.5+(31-537.8)+(0+(0-0))+0-262.4-0</f>
        <v>443.30000000000007</v>
      </c>
      <c r="H256" s="3">
        <f>1213.2+(8-538.5)+(-0.618732+(-0.00408--0.274635))+0-263--0.134129999999973</f>
        <v>419.48595300000005</v>
      </c>
      <c r="I256" s="3">
        <f>1224.7+(16-546.4)+(-0.624597+(-0.00816--0.278664))+0-262--0.133619999999973</f>
        <v>432.07952699999998</v>
      </c>
      <c r="J256" s="3">
        <f>1228.5+(26-547.6)+(1.25307+(0.02652-0.558552))+0-262-0.267240000000042</f>
        <v>445.35379799999998</v>
      </c>
      <c r="K256" s="3">
        <f>1227.3+(43-539.5)+(-1.251846+(-0.04386--0.55029))+0-260.8--0.266016000000042</f>
        <v>469.5206</v>
      </c>
      <c r="L256" s="3">
        <f>1220.9+(47-522.5)+(-0.622659+(-0.02397--0.266475))+0-260--0.132599999999974</f>
        <v>485.15244600000011</v>
      </c>
      <c r="M256" s="3">
        <f>1214+(107-560.5)+(0+(0-0))+0-259.8-0</f>
        <v>500.7</v>
      </c>
      <c r="N256" s="3">
        <f>1208.5+(122-574.3)+(-0.616335+(-0.06222--0.292893))+0-261.5--0.133364999999973</f>
        <v>494.44770299999999</v>
      </c>
      <c r="O256" s="3">
        <f>1206.6+(104-546.9)+(-2.461464+(-0.21216--1.115676))+0-261.2--0.532847999999989</f>
        <v>501.47489999999993</v>
      </c>
      <c r="P256" s="3">
        <f>1194.3+(96-517.3)+(0.609093+(0.04896-0.263823))+0-261.6-0.133415999999973</f>
        <v>511.66081400000002</v>
      </c>
      <c r="Q256" s="3">
        <f>1193.9+(91-503.9)+(-0.608889+(-0.04641--0.256989))+0-262.9--0.134078999999973</f>
        <v>517.83576900000003</v>
      </c>
      <c r="R256" s="3">
        <f>1221.1+(90-506.2)+(-3.113805+(-0.2295--1.29081))+0-263--0.670649999999962</f>
        <v>540.51815499999975</v>
      </c>
      <c r="S256" s="3">
        <f>1226.5+(90-483.8)+(0+(0-0))+0-265-0</f>
        <v>567.70000000000005</v>
      </c>
      <c r="T256" s="3">
        <f>1239.4+(109-540.4)+(0+(0-0))+0-261-0</f>
        <v>547.00000000000011</v>
      </c>
      <c r="U256" s="3">
        <f>1232.2+(111-553)+(-0.628422+(-0.05661--0.28203))+0-261.1--0.133160999999974</f>
        <v>528.83015899999998</v>
      </c>
      <c r="V256" s="3">
        <f>1238.3+(129-548)+(1.263066+(0.13158-0.55896))+0-261-0.266220000000042</f>
        <v>558.86946599999987</v>
      </c>
      <c r="W256" s="3">
        <f>1249.3+(148-508.2)+(0+(0-0))+0-260.8-0</f>
        <v>628.29999999999995</v>
      </c>
      <c r="X256" s="3">
        <f>1251.9+(124-496)+(-2.553876+(-0.25296--1.01184))+0-261.4--0.533255999999989</f>
        <v>617.23826000000008</v>
      </c>
      <c r="Y256" s="3">
        <f>1257.4+(111-505.6)+(-1.923822+(-0.16983--0.773568))+0-263--0.402390000000015</f>
        <v>598.88230600000009</v>
      </c>
      <c r="Z256" s="3">
        <f>1268.8+(105-535.6)+(-0.647088+(-0.05355--0.273156))+0-261--0.133109999999974</f>
        <v>576.90562799999987</v>
      </c>
      <c r="AA256" s="3">
        <f>1272.3+(70-532.1)+(0+(0-0))+0-260-0</f>
        <v>550.19999999999993</v>
      </c>
      <c r="AB256" s="3">
        <f>1272.2+(48-534.7)+(-2.595288+(-0.09792--1.090788))+0-259--0.528359999999989</f>
        <v>525.42593999999997</v>
      </c>
      <c r="AC256" s="3">
        <f>1265.5+(49-534.6)+(-1.936215+(-0.07497--0.817938))+0-260--0.397800000000015</f>
        <v>519.1045529999999</v>
      </c>
      <c r="AD256">
        <f t="shared" si="3"/>
        <v>12416.170861999997</v>
      </c>
      <c r="AE256" s="3">
        <f>1246+(110-497)+(0+(0-0))+0-268.3-0</f>
        <v>590.70000000000005</v>
      </c>
    </row>
    <row r="257" spans="1:31" s="2" customFormat="1" x14ac:dyDescent="0.25">
      <c r="A257">
        <v>89</v>
      </c>
      <c r="B257">
        <v>9</v>
      </c>
      <c r="C257">
        <v>11</v>
      </c>
      <c r="D257">
        <v>6</v>
      </c>
      <c r="E257">
        <v>1</v>
      </c>
      <c r="F257" s="3">
        <f>1269+(96-569.7)+(-1.29438+(-0.09792--0.581094))+0-260--0.265200000000041</f>
        <v>534.75399400000003</v>
      </c>
      <c r="G257" s="3">
        <f>1266.7+(97-591.4)+(1.292034+(0.09894-0.603228))+0-260-0.265200000000041</f>
        <v>512.82254599999999</v>
      </c>
      <c r="H257" s="3">
        <f>1271+(78-590.9)+(1.94463+(0.11934-0.904077))+0-262-0.400860000000015</f>
        <v>496.85903300000001</v>
      </c>
      <c r="I257" s="3">
        <f>1269.1+(69-588.8)+(-0.647241+(-0.03519--0.300288))+0-261--0.133109999999974</f>
        <v>488.0509669999999</v>
      </c>
      <c r="J257" s="3">
        <f>1234.1+(74-563.1)+(0.629391+(0.03774-0.287181))+0-260-0.132599999999974</f>
        <v>485.24734999999993</v>
      </c>
      <c r="K257" s="3">
        <f>1236.2+(91-567.5)+(0+(0-0))+0-259-0</f>
        <v>500.70000000000005</v>
      </c>
      <c r="L257" s="3">
        <f>1235.7+(97-617.6)+(-1.260414+(-0.09894--0.629952))+0-258--0.263160000000041</f>
        <v>456.633758</v>
      </c>
      <c r="M257" s="3">
        <f>1221.5+(110-610.7)+(0.622965+(0.0561-0.311457))+0-257-0.131069999999974</f>
        <v>464.03653800000001</v>
      </c>
      <c r="N257" s="3">
        <f>1171.2+(150-585.1)+(0+(0-0))+0-256-0</f>
        <v>480.1</v>
      </c>
      <c r="O257" s="3">
        <f>1151+(119-528.6)+(-2.34804+(-0.24276--1.078344))+0-261--0.532439999999989</f>
        <v>479.41998399999994</v>
      </c>
      <c r="P257" s="3">
        <f>1141.4+(80.2-478.4)+(-1.746342+(-0.122706--0.731952))+0-262--0.400860000000015</f>
        <v>480.46376400000003</v>
      </c>
      <c r="Q257" s="3">
        <f>1131.6+(86.2-455)+(-0.577116+(-0.043962--0.23205))+0-265--0.135149999999973</f>
        <v>497.54612199999985</v>
      </c>
      <c r="R257" s="3">
        <f>1125.1+(72.2-398)+(-2.295204+(-0.147288--0.81192))+0-261--0.532439999999989</f>
        <v>537.20186799999988</v>
      </c>
      <c r="S257" s="3">
        <f>1151.4+(52.2-413.9)+(-1.174428+(-0.053244--0.422178))+0-260--0.265200000000041</f>
        <v>529.15970600000014</v>
      </c>
      <c r="T257" s="3">
        <f>1215.4+(25.2-439.2)+(-1.239708+(-0.025704--0.447984))+0-264--0.269280000000042</f>
        <v>536.85185200000024</v>
      </c>
      <c r="U257" s="3">
        <f>1234.3+(20.2-445.9)+(-0.629493+(-0.010302--0.227409))+0-264--0.134639999999973</f>
        <v>544.32225399999993</v>
      </c>
      <c r="V257" s="3">
        <f>1230.8+(80.2-457.8)+(-3.13854+(-0.20451--1.16739))+0-260--0.662999999999962</f>
        <v>591.68733999999995</v>
      </c>
      <c r="W257" s="3">
        <f>1257+(103.2-475.3)+(0+(0-0))+0-261-0</f>
        <v>623.9</v>
      </c>
      <c r="X257" s="3">
        <f>1259.8+(94.2-478.7)+(-4.497486+(-0.336294--1.708959))+0-262--0.935340000000004</f>
        <v>611.11051899999995</v>
      </c>
      <c r="Y257" s="3">
        <f>1249.5+(89.2-486.6)+(-1.911735+(-0.136476--0.744498))+0-264--0.403920000000015</f>
        <v>587.20020699999986</v>
      </c>
      <c r="Z257" s="3">
        <f>1258.2+(72.2-519.5)+(-1.925046+(-0.110466--0.794835))+0-263--0.402390000000015</f>
        <v>547.06171300000005</v>
      </c>
      <c r="AA257" s="3">
        <f>1283.6+(30.2-535.5)+(-3.27318+(-0.07701--1.365525))+0-263--0.670649999999962</f>
        <v>513.98598499999991</v>
      </c>
      <c r="AB257" s="3">
        <f>1265.2+(3.2-524.2)+(0+(0-0))+0-265-0</f>
        <v>479.20000000000005</v>
      </c>
      <c r="AC257" s="3">
        <f>1268.7+(3.2-565.1)+(-1.941111+(-0.004896--0.864603))+0-261--0.399330000000015</f>
        <v>445.11792600000007</v>
      </c>
      <c r="AD257">
        <f t="shared" ref="AD257:AD320" si="4">SUM(F257:AC257)</f>
        <v>12423.433426000001</v>
      </c>
      <c r="AE257" s="3">
        <f>1254+(96.2-524.2)+(0+(0-0))+0-257-0</f>
        <v>569</v>
      </c>
    </row>
    <row r="258" spans="1:31" s="2" customFormat="1" x14ac:dyDescent="0.25">
      <c r="A258">
        <v>89</v>
      </c>
      <c r="B258">
        <v>9</v>
      </c>
      <c r="C258">
        <v>12</v>
      </c>
      <c r="D258">
        <v>7</v>
      </c>
      <c r="E258">
        <v>1</v>
      </c>
      <c r="F258" s="3">
        <f>1263.1+(15.2-589.4)+(-3.865086+(-0.046512--1.803564))+0-260--0.79560000000003</f>
        <v>427.58756600000004</v>
      </c>
      <c r="G258" s="3">
        <f>1265.2+(8.2-603.4)+(0+(0-0))+0-262-0</f>
        <v>408.00000000000011</v>
      </c>
      <c r="H258" s="3">
        <f>1268.8+(3.2-623.8)+(-0.647088+(-0.001632--0.318138))+0-265--0.135149999999973</f>
        <v>383.00456799999995</v>
      </c>
      <c r="I258" s="3">
        <f>1268.4+(3.2-610.2)+(0.646884+(0.001632-0.311202))+0-262-0.133619999999973</f>
        <v>399.60369400000013</v>
      </c>
      <c r="J258" s="3">
        <f>1268.7+(3.2-619.1)+(0+(0-0))+0-261-0</f>
        <v>391.80000000000007</v>
      </c>
      <c r="K258" s="3">
        <f>1270.7+(3.2-597.7)+(1.944171+(0.004896-0.914481))+0-258-0.394740000000015</f>
        <v>418.83984600000002</v>
      </c>
      <c r="L258" s="3">
        <f>1270.5+(3.2-592.7)+(-1.29591+(-0.003264--0.604554))+0-258--0.263160000000041</f>
        <v>422.56854000000004</v>
      </c>
      <c r="M258" s="3">
        <f>1266+(3.2-574.9)+(-3.2283+(-0.00816--1.465995))+0-257--0.655349999999963</f>
        <v>436.18488500000007</v>
      </c>
      <c r="N258" s="3">
        <f>1253.9+(3.2-526.9)+(0.639489+(0.001632-0.268719))+0-256-0.130559999999974</f>
        <v>474.44184200000018</v>
      </c>
      <c r="O258" s="3">
        <f>1187.2+(32.2-454.2)+(0.605472+(0.016422-0.231642))+0-260-0.132599999999974</f>
        <v>505.45765200000011</v>
      </c>
      <c r="P258" s="3">
        <f>1039.2+(96.2-359.4)+(-2.119968+(-0.196248--0.733176))+0-258--0.526319999999989</f>
        <v>516.94327999999996</v>
      </c>
      <c r="Q258" s="3">
        <f>1027.7+(119.2-362)+(-0.524127+(-0.060792--0.18462))+0-259--0.132089999999974</f>
        <v>525.63179100000002</v>
      </c>
      <c r="R258" s="3">
        <f>1030.3+(116.2-366.9)+(-1.576359+(-0.177786--0.561357))+0-260--0.397800000000015</f>
        <v>518.80501199999992</v>
      </c>
      <c r="S258" s="3">
        <f>1025.6+(91.2-357.6)+(-1.569168+(-0.139536--0.547128))+0-259--0.396270000000015</f>
        <v>499.43469399999987</v>
      </c>
      <c r="T258" s="3">
        <f>1023.8+(95.2-356.6)+(0.522138+(0.048552-0.181866))+0-258-0.131579999999974</f>
        <v>504.65724399999988</v>
      </c>
      <c r="U258" s="3">
        <f>1026.7+(60.2-342.4)+(-1.047234+(-0.061404--0.349248))+0-258--0.263160000000041</f>
        <v>486.00376999999997</v>
      </c>
      <c r="V258" s="3">
        <f>1029.5+(102.2-355.3)+(-1.05009+(-0.104244--0.362406))+0-258--0.263160000000041</f>
        <v>517.87123200000008</v>
      </c>
      <c r="W258" s="3">
        <f>1038.9+(177-409.4)+(0+(0-0))+0-259-0</f>
        <v>547.50000000000011</v>
      </c>
      <c r="X258" s="3">
        <f>1049.8+(159-421.2)+(-1.070796+(-0.16218--0.429624))+0-259--0.264180000000041</f>
        <v>528.0608279999999</v>
      </c>
      <c r="Y258" s="3">
        <f>1054+(193-458.8)+(-0.53754+(-0.09843--0.233988))+0-259--0.132089999999974</f>
        <v>528.93010800000002</v>
      </c>
      <c r="Z258" s="3">
        <f>1055.1+(189-478.3)+(-1.076202+(-0.19278--0.487866))+0-260--0.265200000000041</f>
        <v>505.28408400000001</v>
      </c>
      <c r="AA258" s="3">
        <f>1064.9+(162-494.6)+(-1.086198+(-0.16524--0.504492))+0-261--0.266220000000042</f>
        <v>470.81927400000012</v>
      </c>
      <c r="AB258" s="3">
        <f>1067.1+(134-476.9)+(0+(0-0))+0-259-0</f>
        <v>465.19999999999993</v>
      </c>
      <c r="AC258" s="3">
        <f>1069.2+(77-463.3)+(-2.72646+(-0.19635--1.181415))+0-258--0.657899999999963</f>
        <v>423.81650500000006</v>
      </c>
      <c r="AD258">
        <f t="shared" si="4"/>
        <v>11306.446415000004</v>
      </c>
      <c r="AE258" s="3">
        <f>1049+(177-417.1)+(0+(0-0))+0-258-0</f>
        <v>550.9</v>
      </c>
    </row>
    <row r="259" spans="1:31" s="2" customFormat="1" x14ac:dyDescent="0.25">
      <c r="A259">
        <v>89</v>
      </c>
      <c r="B259">
        <v>9</v>
      </c>
      <c r="C259">
        <v>13</v>
      </c>
      <c r="D259">
        <v>1</v>
      </c>
      <c r="E259">
        <v>1</v>
      </c>
      <c r="F259" s="3">
        <f>1071.5+(60-441.4)+(-3.27879+(-0.1836--1.350684))+0-258--0.78948000000003</f>
        <v>430.77777400000002</v>
      </c>
      <c r="G259" s="3">
        <f>1069.5+(39-442.6)+(-2.18178+(-0.07956--0.902904))+0-258--0.526319999999989</f>
        <v>407.06788399999999</v>
      </c>
      <c r="H259" s="3">
        <f>1077.3+(32-442.1)+(-2.197692+(-0.06528--0.901884))+0-259--0.528359999999989</f>
        <v>407.3672719999999</v>
      </c>
      <c r="I259" s="3">
        <f>1072.2+(28-441.7)+(-1.093644+(-0.02856--0.450534))+0-259--0.264180000000041</f>
        <v>399.09251000000012</v>
      </c>
      <c r="J259" s="3">
        <f>1076.6+(45-451)+(0+(0-0))+0-259-0</f>
        <v>411.59999999999991</v>
      </c>
      <c r="K259" s="3">
        <f>1073.9+(61-432.9)+(0.547689+(0.03111-0.220779))+0-260-0.132599999999974</f>
        <v>442.22542000000016</v>
      </c>
      <c r="L259" s="3">
        <f>1070.8+(101-421.6)+(-2.184432+(-0.20604--0.860064))+0-260--0.530399999999989</f>
        <v>489.19999199999995</v>
      </c>
      <c r="M259" s="3">
        <f>1076.9+(122-435)+(-1.098438+(-0.12444--0.4437))+0-260--0.265200000000041</f>
        <v>503.38602200000014</v>
      </c>
      <c r="N259" s="3">
        <f>1057.4+(178-485.9)+(0+(0-0))+0-261-0</f>
        <v>488.50000000000011</v>
      </c>
      <c r="O259" s="3">
        <f>1050.2+(203-498.2)+(1.606806+(0.31059-0.762246))+0-261-0.399330000000015</f>
        <v>494.75582000000003</v>
      </c>
      <c r="P259" s="3">
        <f>1044.1+(219-474)+(-1.597473+(-0.33507--0.72522))+0-263--0.402390000000015</f>
        <v>525.2950669999999</v>
      </c>
      <c r="Q259" s="3">
        <f>1038+(179-453.2)+(0+(0-0))+0-263-0</f>
        <v>500.79999999999995</v>
      </c>
      <c r="R259" s="3">
        <f>990.1+(213-400.6)+(-3.029706+(-0.65178--1.225836))+0-264--0.807840000000031</f>
        <v>536.85219000000006</v>
      </c>
      <c r="S259" s="3">
        <f>1008.1+(213-413.7)+(-1.542393+(-0.32589--0.632961))+0-264--0.403920000000015</f>
        <v>542.56859800000007</v>
      </c>
      <c r="T259" s="3">
        <f>1001.2+(205-412.6)+(0+(0-0))+0-265-0</f>
        <v>528.6</v>
      </c>
      <c r="U259" s="3">
        <f>1034.3+(183-421)+(0+(0-0))+0-262-0</f>
        <v>534.29999999999995</v>
      </c>
      <c r="V259" s="3">
        <f>1041.1+(148-379.7)+(-0.530961+(-0.07548--0.193647))+0-263--0.134129999999973</f>
        <v>546.12133599999993</v>
      </c>
      <c r="W259" s="3">
        <f>1050.1+(214-388)+(1.606653+(0.32742-0.59364))+0-263-0.402390000000015</f>
        <v>614.0380429999999</v>
      </c>
      <c r="X259" s="3">
        <f>1058.8+(223-410.8)+(-2.159952+(-0.45492--0.838032))+0-264--0.538559999999988</f>
        <v>605.76171999999997</v>
      </c>
      <c r="Y259" s="3">
        <f>1057.7+(211-411.2)+(-2.697135+(-0.53805--1.04856))+0-264--0.673199999999962</f>
        <v>591.9865749999999</v>
      </c>
      <c r="Z259" s="3">
        <f>1063.5+(188-421.4)+(0+(0-0))+0-263-0</f>
        <v>567.1</v>
      </c>
      <c r="AA259" s="3">
        <f>1066.5+(181-444.1)+(-2.719575+(-0.46155--1.132455))+0-264--0.673199999999962</f>
        <v>538.02452999999991</v>
      </c>
      <c r="AB259" s="3">
        <f>1117.7+(122-468.3)+(-1.140054+(-0.12444--0.477666))+0-261--0.266220000000042</f>
        <v>509.87939200000011</v>
      </c>
      <c r="AC259" s="3">
        <f>1181+(52-487.9)+(-3.01155+(-0.1326--1.244145))+0-261--0.665549999999962</f>
        <v>482.865545</v>
      </c>
      <c r="AD259">
        <f t="shared" si="4"/>
        <v>12098.165690000003</v>
      </c>
      <c r="AE259" s="3">
        <f>1053+(170-425.3)+(0+(0-0))+0-262-0</f>
        <v>535.70000000000005</v>
      </c>
    </row>
    <row r="260" spans="1:31" s="2" customFormat="1" x14ac:dyDescent="0.25">
      <c r="A260">
        <v>89</v>
      </c>
      <c r="B260">
        <v>9</v>
      </c>
      <c r="C260">
        <v>14</v>
      </c>
      <c r="D260">
        <v>2</v>
      </c>
      <c r="E260">
        <v>1</v>
      </c>
      <c r="F260" s="3">
        <f>1165.4+(7-455.7)+(-2.377416+(-0.01428--0.929628))+0-262--0.534479999999989</f>
        <v>453.77241199999997</v>
      </c>
      <c r="G260" s="3">
        <f>1176.5+(0-477)+(0+(0-0))+0-260-0</f>
        <v>439.5</v>
      </c>
      <c r="H260" s="3">
        <f>1177.7+(0-491.9)+(-0.600627+(0--0.250869))+0-261--0.133109999999974</f>
        <v>424.5833520000001</v>
      </c>
      <c r="I260" s="3">
        <f>1176.4+(0-485.5)+(0+(0-0))+0-260-0</f>
        <v>430.90000000000009</v>
      </c>
      <c r="J260" s="3">
        <f>1160.8+(11-471)+(-1.184016+(-0.01122--0.48042))+0-261--0.266220000000042</f>
        <v>439.35140399999995</v>
      </c>
      <c r="K260" s="3">
        <f>1171.7+(29-475)+(0+(0-0))+0-260-0</f>
        <v>465.70000000000005</v>
      </c>
      <c r="L260" s="3">
        <f>1176+(53-458.4)+(-1.19952+(-0.05406--0.467568))+0-260--0.265200000000041</f>
        <v>510.07918800000004</v>
      </c>
      <c r="M260" s="3">
        <f>1173.8+(103-498.3)+(-1.197276+(-0.10506--0.508266))+0-259--0.264180000000041</f>
        <v>518.97010999999998</v>
      </c>
      <c r="N260" s="3">
        <f>1159.8+(151-526.8)+(0.591498+(0.07701-0.268668))+0-260-0.132599999999974</f>
        <v>524.26724000000002</v>
      </c>
      <c r="O260" s="3">
        <f>1182.4+(194-573.7)+(0.603024+(0.09894-0.292587))+0-262-0.133619999999973</f>
        <v>540.97575700000004</v>
      </c>
      <c r="P260" s="3">
        <f>1182.9+(161-631.9)+(-0.603279+(-0.08211--0.322269))+0-264--0.134639999999973</f>
        <v>447.77152000000012</v>
      </c>
      <c r="Q260" s="3">
        <f>1176.2+(194-583.9)+(-1.799586+(-0.29682--0.893367))+0-265--0.405450000000015</f>
        <v>520.50241100000005</v>
      </c>
      <c r="R260" s="3">
        <f>1171+(156-567.1)+(-1.79163+(-0.23868--0.867663))+0-265--0.405450000000015</f>
        <v>494.14280300000001</v>
      </c>
      <c r="S260" s="3">
        <f>1168.1+(159-561.5)+(-0.595731+(-0.08109--0.286365))+0-265--0.135149999999973</f>
        <v>500.34469399999989</v>
      </c>
      <c r="T260" s="3">
        <f>1169.8+(130-536.5)+(-0.596598+(-0.0663--0.273615))+0-265--0.135149999999973</f>
        <v>498.04586699999993</v>
      </c>
      <c r="U260" s="3">
        <f>1170.1+(124-538.7)+(0+(0-0))+0-265-0</f>
        <v>490.39999999999986</v>
      </c>
      <c r="V260" s="3">
        <f>1174.9+(177-575.9)+(-2.995995+(-0.45135--1.468545))+0-265--0.675749999999962</f>
        <v>509.69695000000007</v>
      </c>
      <c r="W260" s="3">
        <f>1200.7+(180-609.1)+(0+(0-0))+0-184-0</f>
        <v>587.6</v>
      </c>
      <c r="X260" s="3">
        <f>1230+(96-705.7)+(-3.1365+(-0.2448--1.799535))+0-33--0.0841499999999952</f>
        <v>585.80238499999996</v>
      </c>
      <c r="Y260" s="3">
        <f>1243.3+(142-560)+(-1.268166+(-0.14484--0.5712))+0-265--0.270300000000042</f>
        <v>559.72849399999996</v>
      </c>
      <c r="Z260" s="3">
        <f>1247+(128-561.7)+(-3.17985+(-0.3264--1.432335))+0-265--0.675749999999962</f>
        <v>546.90183499999989</v>
      </c>
      <c r="AA260" s="3">
        <f>1250.1+(114-579.6)+(-1.275102+(-0.11628--0.591192))+0-265--0.270300000000042</f>
        <v>518.97010999999986</v>
      </c>
      <c r="AB260" s="3">
        <f>1258.6+(92-589.7)+(-3.20943+(-0.2346--1.503735))+0-265--0.675749999999962</f>
        <v>494.63545499999981</v>
      </c>
      <c r="AC260" s="3">
        <f>1265.7+(75-602.5)+(-1.291014+(-0.0765--0.61455))+0-265--0.270300000000042</f>
        <v>472.71733600000005</v>
      </c>
      <c r="AD260">
        <f t="shared" si="4"/>
        <v>11975.359323000001</v>
      </c>
      <c r="AE260" s="3">
        <f>1221+(136-540.9)+(0+(0-0))+0-260-0</f>
        <v>556.1</v>
      </c>
    </row>
    <row r="261" spans="1:31" s="2" customFormat="1" x14ac:dyDescent="0.25">
      <c r="A261">
        <v>89</v>
      </c>
      <c r="B261">
        <v>9</v>
      </c>
      <c r="C261">
        <v>15</v>
      </c>
      <c r="D261">
        <v>3</v>
      </c>
      <c r="E261">
        <v>1</v>
      </c>
      <c r="F261" s="3">
        <f>1270.3+(73-618.1)+(-1.943559+(-0.11169--0.945693))+0-268--0.410040000000016</f>
        <v>456.50048399999997</v>
      </c>
      <c r="G261" s="3">
        <f>1261.1+(0-596.2)+(-1.286322+(0--0.608124))+0-269--0.274380000000043</f>
        <v>395.49618199999998</v>
      </c>
      <c r="H261" s="3">
        <f>1264.6+(0-555.8)+(-1.934838+(0--0.850374))+0-272--0.416160000000016</f>
        <v>436.13169599999992</v>
      </c>
      <c r="I261" s="3">
        <f>1272.7+(32-572.1)+(-1.947231+(-0.04896--0.875313))+0-270--0.413100000000016</f>
        <v>461.89222200000012</v>
      </c>
      <c r="J261" s="3">
        <f>1275.6+(30-594.4)+(-0.650556+(-0.0153--0.303144))+0-268--0.136679999999973</f>
        <v>442.9739679999999</v>
      </c>
      <c r="K261" s="3">
        <f>1272.6+(61-580.3)+(0+(0-0))+0-272-0</f>
        <v>481.29999999999995</v>
      </c>
      <c r="L261" s="3">
        <f>1277.6+(72-580.1)+(-0.651576+(-0.03672--0.295851))+0-271--0.138209999999973</f>
        <v>498.24576499999989</v>
      </c>
      <c r="M261" s="3">
        <f>1278.6+(71-582.2)+(0+(0-0))+0-273-0</f>
        <v>494.39999999999986</v>
      </c>
      <c r="N261" s="3">
        <f>1308.6+(84-615.6)+(0+(0-0))+0-266-0</f>
        <v>510.99999999999989</v>
      </c>
      <c r="O261" s="3">
        <f>1317.3+(138-664.4)+(2.015469+(0.21114-1.016532))+0-271-0.414630000000016</f>
        <v>520.69544699999994</v>
      </c>
      <c r="P261" s="3">
        <f>1337.6+(140-676.2)+(-1.364352+(-0.1428--0.689724))+0-269--0.274380000000043</f>
        <v>531.85695199999998</v>
      </c>
      <c r="Q261" s="3">
        <f>1333.5+(113-648.2)+(-2.040255+(-0.17289--0.991746))+0-266--0.406980000000015</f>
        <v>531.48558099999991</v>
      </c>
      <c r="R261" s="3">
        <f>1329.1+(108-612)+(-4.744887+(-0.38556--2.18484))+0-265--0.946050000000004</f>
        <v>558.10044299999993</v>
      </c>
      <c r="S261" s="3">
        <f>1324.8+(103-617.6)+(-0.675648+(-0.05253--0.314976))+0-270--0.137699999999973</f>
        <v>539.92449799999997</v>
      </c>
      <c r="T261" s="3">
        <f>1321.9+(184-683.1)+(-2.022507+(-0.28152--1.045143))+0-268--0.410040000000016</f>
        <v>553.95115600000008</v>
      </c>
      <c r="U261" s="3">
        <f>1321.9+(91-662.1)+(-2.022507+(-0.13923--1.013013))+0-267--0.408510000000015</f>
        <v>483.05978600000009</v>
      </c>
      <c r="V261" s="3">
        <f>1330.7+(158-637.6)+(-2.035971+(-0.24174--0.975528))+0-266--0.406980000000015</f>
        <v>584.20479699999999</v>
      </c>
      <c r="W261" s="3">
        <f>1344.8+(130-613)+(0.685848+(0.0663-0.31263))+0-268-0.136679999999973</f>
        <v>594.10283800000002</v>
      </c>
      <c r="X261" s="3">
        <f>1346+(118-600.4)+(-1.37292+(-0.12036--0.612408))+0-267--0.272340000000043</f>
        <v>595.99146800000017</v>
      </c>
      <c r="Y261" s="3">
        <f>1348.6+(91-606.9)+(-4.814502+(-0.32487--2.166633))+0-267--0.953190000000004</f>
        <v>563.68045099999983</v>
      </c>
      <c r="Z261" s="3">
        <f>1358.2+(81-615.8)+(-2.078046+(-0.12393--0.942174))+0-268--0.410040000000016</f>
        <v>554.55023800000004</v>
      </c>
      <c r="AA261" s="3">
        <f>1369.6+(72-634.9)+(-2.095488+(-0.11016--0.971397))+0-269--0.411570000000016</f>
        <v>536.87731899999994</v>
      </c>
      <c r="AB261" s="3">
        <f>1363.8+(64-635)+(-2.782152+(-0.13056--1.2954))+0-269--0.548759999999988</f>
        <v>522.731448</v>
      </c>
      <c r="AC261" s="3">
        <f>1321.1+(70-618)+(-4.042566+(-0.2142--1.89108))+0-266--0.813960000000031</f>
        <v>505.54827399999994</v>
      </c>
      <c r="AD261">
        <f t="shared" si="4"/>
        <v>12354.701013000002</v>
      </c>
      <c r="AE261" s="3">
        <f>1344+(131-594.6)+(0+(0-0))+0-272-0</f>
        <v>608.4</v>
      </c>
    </row>
    <row r="262" spans="1:31" s="2" customFormat="1" x14ac:dyDescent="0.25">
      <c r="A262">
        <v>89</v>
      </c>
      <c r="B262">
        <v>9</v>
      </c>
      <c r="C262">
        <v>16</v>
      </c>
      <c r="D262">
        <v>4</v>
      </c>
      <c r="E262">
        <v>1</v>
      </c>
      <c r="F262" s="3">
        <f>1219.4+(92-542.9)+(-1.865682+(-0.14076--0.830637))+0-270--0.413100000000016</f>
        <v>497.73729500000019</v>
      </c>
      <c r="G262" s="3">
        <f>1171.3+(55-522.4)+(-1.194726+(-0.0561--0.532848))+0-271--0.276420000000043</f>
        <v>432.45844199999999</v>
      </c>
      <c r="H262" s="3">
        <f>1177.4+(67-525.2)+(0+(0-0))+0-270-0</f>
        <v>449.20000000000005</v>
      </c>
      <c r="I262" s="3">
        <f>1182.5+(53-537.8)+(-1.20615+(-0.05406--0.548556))+0-267--0.272340000000043</f>
        <v>430.26068600000013</v>
      </c>
      <c r="J262" s="3">
        <f>1185.2+(65-550.8)+(-1.208904+(-0.0663--0.561816))+0-264--0.269280000000042</f>
        <v>434.95589200000012</v>
      </c>
      <c r="K262" s="3">
        <f>1193.4+(82-538.8)+(-0.608634+(-0.04182--0.274788))+0-266--0.135659999999973</f>
        <v>470.35999400000009</v>
      </c>
      <c r="L262" s="3">
        <f>1191.2+(84-537.5)+(-1.822536+(-0.12852--0.822375))+0-264--0.403920000000015</f>
        <v>472.97523900000004</v>
      </c>
      <c r="M262" s="3">
        <f>1189.4+(82-533.3)+(0+(0-0))+0-264-0</f>
        <v>474.10000000000014</v>
      </c>
      <c r="N262" s="3">
        <f>1152.2+(141-521.3)+(-1.762866+(-0.21573--0.797589))+0-265--0.405450000000015</f>
        <v>506.1244430000001</v>
      </c>
      <c r="O262" s="3">
        <f>1165.6+(274-614.3)+(1.783368+(0.41922-0.939879))+0-267-0.408510000000015</f>
        <v>559.15419899999995</v>
      </c>
      <c r="P262" s="3">
        <f>1156.6+(271-642.6)+(-1.769598+(-0.41463--0.983178))+0-269--0.411570000000016</f>
        <v>515.21051999999986</v>
      </c>
      <c r="Q262" s="3">
        <f>1145.1+(250-605.1)+(-1.168002+(-0.255--0.617202))+0-267--0.272340000000043</f>
        <v>522.46654000000001</v>
      </c>
      <c r="R262" s="3">
        <f>1145.6+(248-597.1)+(-1.168512+(-0.25296--0.609042))+0-266--0.271320000000042</f>
        <v>529.95889</v>
      </c>
      <c r="S262" s="3">
        <f>1144.4+(231-587.1)+(-0.583644+(-0.11781--0.299421))+0-264--0.134639999999973</f>
        <v>524.0326070000001</v>
      </c>
      <c r="T262" s="3">
        <f>1139+(252-578.7)+(0.58089+(0.12852-0.295137))+0-265-0.135149999999973</f>
        <v>547.57912299999998</v>
      </c>
      <c r="U262" s="3">
        <f>1137.8+(260-614.4)+(0.580278+(0.1326-0.313344))+0-263-0.134129999999973</f>
        <v>520.66540399999997</v>
      </c>
      <c r="V262" s="3">
        <f>1144+(291-621.8)+(-2.9172+(-0.74205--1.58559))+0-263--0.670649999999962</f>
        <v>548.79698999999994</v>
      </c>
      <c r="W262" s="3">
        <f>1137.9+(339-538.8)+(0+(0-0))+0-269-0</f>
        <v>669.10000000000014</v>
      </c>
      <c r="X262" s="3">
        <f>913.6+(241-362.2)+(-2.795616+(-0.73746--1.108332))+0-269--0.823140000000031</f>
        <v>521.79839600000014</v>
      </c>
      <c r="Y262" s="3">
        <f>972+(211-352.3)+(-1.98288+(-0.43044--0.718692))+0-266--0.542639999999988</f>
        <v>563.54801200000009</v>
      </c>
      <c r="Z262" s="3">
        <f>1048.2+(190-420.4)+(-1.603746+(-0.2907--0.643212))+0-269--0.411570000000016</f>
        <v>547.9603360000001</v>
      </c>
      <c r="AA262" s="3">
        <f>1076.7+(170-451.1)+(-1.647351+(-0.2601--0.690183))+0-270--0.413100000000016</f>
        <v>524.79583200000002</v>
      </c>
      <c r="AB262" s="3">
        <f>1078.1+(163-455.6)+(-2.199324+(-0.33252--0.929424))+0-269--0.548759999999988</f>
        <v>515.44633999999985</v>
      </c>
      <c r="AC262" s="3">
        <f>1079.6+(147-494.8)+(-2.75298+(-0.37485--1.26174))+0-266--0.678299999999961</f>
        <v>464.61220999999995</v>
      </c>
      <c r="AD262">
        <f t="shared" si="4"/>
        <v>12243.29739</v>
      </c>
      <c r="AE262" s="3">
        <f>895+(344-381.6)+(0+(0-0))+0-264-0</f>
        <v>593.4</v>
      </c>
    </row>
    <row r="263" spans="1:31" s="2" customFormat="1" x14ac:dyDescent="0.25">
      <c r="A263">
        <v>89</v>
      </c>
      <c r="B263">
        <v>9</v>
      </c>
      <c r="C263">
        <v>17</v>
      </c>
      <c r="D263">
        <v>5</v>
      </c>
      <c r="E263">
        <v>1</v>
      </c>
      <c r="F263" s="3">
        <f>1083.1+(147-512.6)+(-3.314286+(-0.44982--1.568556))+0-267--0.817020000000031</f>
        <v>449.12146999999987</v>
      </c>
      <c r="G263" s="3">
        <f>1091.5+(93-484.8)+(-2.22666+(-0.18972--0.988992))+0-269--0.548759999999988</f>
        <v>429.82137200000011</v>
      </c>
      <c r="H263" s="3">
        <f>1088.6+(77-468.7)+(-2.77593+(-0.19635--1.195185))+0-272--0.693599999999961</f>
        <v>423.81650499999978</v>
      </c>
      <c r="I263" s="3">
        <f>1088.1+(62-467.2)+(0+(0-0))+0-269-0</f>
        <v>413.89999999999986</v>
      </c>
      <c r="J263" s="3">
        <f>1086.7+(81-464.4)+(0.554217+(0.04131-0.236844))+0-269-0.137189999999973</f>
        <v>434.52149300000013</v>
      </c>
      <c r="K263" s="3">
        <f>1093.6+(97-454.8)+(-1.115472+(-0.09894--0.463896))+0-267--0.272340000000043</f>
        <v>468.32182400000005</v>
      </c>
      <c r="L263" s="3">
        <f>1098.3+(104-444.4)+(0+(0-0))+0-267-0</f>
        <v>490.9</v>
      </c>
      <c r="M263" s="3">
        <f>1095+(121-458.7)+(-1.1169+(-0.12342--0.467874))+0-267--0.272340000000043</f>
        <v>489.79989400000005</v>
      </c>
      <c r="N263" s="3">
        <f>1076.9+(133-438.3)+(-1.647657+(-0.20349--0.670599))+0-265--0.405450000000015</f>
        <v>505.82490200000012</v>
      </c>
      <c r="O263" s="3">
        <f>1068.2+(184.7-461.5)+(-1.089564+(-0.188394--0.47073))+0-266--0.271320000000042</f>
        <v>524.86409200000014</v>
      </c>
      <c r="P263" s="3">
        <f>1052.1+(190.5-436.1)+(-1.609713+(-0.291465--0.667233))+0-265--0.405450000000015</f>
        <v>540.67150499999991</v>
      </c>
      <c r="Q263" s="3">
        <f>1047.7+(190-424.9)+(-1.602981+(-0.2907--0.650097))+0-266--0.406980000000015</f>
        <v>545.96339599999999</v>
      </c>
      <c r="R263" s="3">
        <f>1044.2+(162-418.8)+(-2.66271+(-0.4131--1.06794))+0-267--0.680849999999961</f>
        <v>519.07298000000003</v>
      </c>
      <c r="S263" s="3">
        <f>1047.8+(121-402.4)+(-1.068756+(-0.12342--0.410448))+0-265--0.270300000000042</f>
        <v>500.88857199999995</v>
      </c>
      <c r="T263" s="3">
        <f>1043.7+(118-383)+(-1.064574+(-0.12036--0.39066))+0-266--0.271320000000042</f>
        <v>512.17704600000013</v>
      </c>
      <c r="U263" s="3">
        <f>1044.4+(119-372.1)+(-1.065288+(-0.12138--0.379542))+0-265--0.270300000000042</f>
        <v>525.76317400000005</v>
      </c>
      <c r="V263" s="3">
        <f>1046.1+(167-367.7)+(-2.134044+(-0.34068--0.750108))+0-269--0.548759999999988</f>
        <v>575.22414399999991</v>
      </c>
      <c r="W263" s="3">
        <f>1057.8+(182-391.4)+(-0.539478+(-0.09282--0.199614))+0-269--0.137189999999973</f>
        <v>579.1045059999999</v>
      </c>
      <c r="X263" s="3">
        <f>1061.3+(187-400.6)+(-1.623789+(-0.28611--0.612918))+0-272--0.416160000000016</f>
        <v>574.81917899999996</v>
      </c>
      <c r="Y263" s="3">
        <f>1061.7+(134-399.2)+(-2.165868+(-0.27336--0.814368))+0-270--0.550799999999988</f>
        <v>525.42593999999997</v>
      </c>
      <c r="Z263" s="3">
        <f>1064.6+(104-368.3)+(0.542946+(0.05304-0.187833))+0-273-0.139229999999972</f>
        <v>527.56892299999993</v>
      </c>
      <c r="AA263" s="3">
        <f>1108.8+(81-427)+(-1.130976+(-0.08262--0.43554))+0-269--0.274380000000043</f>
        <v>493.29632400000003</v>
      </c>
      <c r="AB263" s="3">
        <f>1194.8+(71.4-477.7)+(-3.04674+(-0.18207--1.218135))+0-272--0.693599999999961</f>
        <v>515.18292499999995</v>
      </c>
      <c r="AC263" s="3">
        <f>1187.8+(42.9-485.5)+(-1.211556+(-0.043758--0.49521))+0-270--0.275400000000043</f>
        <v>474.71529600000002</v>
      </c>
      <c r="AD263">
        <f t="shared" si="4"/>
        <v>12040.765461999999</v>
      </c>
      <c r="AE263" s="3">
        <f>1050+(204-384.5)+(0+(0-0))+0-269-0</f>
        <v>600.5</v>
      </c>
    </row>
    <row r="264" spans="1:31" s="2" customFormat="1" x14ac:dyDescent="0.25">
      <c r="A264">
        <v>89</v>
      </c>
      <c r="B264">
        <v>9</v>
      </c>
      <c r="C264">
        <v>18</v>
      </c>
      <c r="D264">
        <v>6</v>
      </c>
      <c r="E264">
        <v>1</v>
      </c>
      <c r="F264" s="3">
        <f>1171.6+(43-500.6)+(0.597516+(0.02193-0.255306))+0-270-0.137699999999973</f>
        <v>444.22643999999991</v>
      </c>
      <c r="G264" s="3">
        <f>1174.4+(13.6-498.1)+(-0.598944+(-0.006936--0.254031))+0-269--0.137189999999973</f>
        <v>420.68534100000005</v>
      </c>
      <c r="H264" s="3">
        <f>1183.9+(10.1-506.4)+(-0.603789+(-0.005151--0.258264))+0-270--0.137699999999973</f>
        <v>417.38702400000011</v>
      </c>
      <c r="I264" s="3">
        <f>1183.2+(11.3-512.2)+(0+(0-0))+0-268-0</f>
        <v>414.29999999999995</v>
      </c>
      <c r="J264" s="3">
        <f>1187.6+(14.2-509.8)+(1.817028+(0.021726-0.779994))+0-270-0.413100000000016</f>
        <v>422.64565999999985</v>
      </c>
      <c r="K264" s="3">
        <f>1185.7+(53.4-524.4)+(0.604707+(0.027234-0.267444))+0-270-0.137699999999973</f>
        <v>444.92679700000008</v>
      </c>
      <c r="L264" s="3">
        <f>1180.4+(61.6-506.4)+(-2.408016+(-0.125664--1.033056))+0-275--0.560999999999988</f>
        <v>459.6603760000001</v>
      </c>
      <c r="M264" s="3">
        <f>1181.7+(57.7-499.7)+(-1.205334+(-0.058854--0.509694))+1-270--0.275400000000043</f>
        <v>470.22090600000007</v>
      </c>
      <c r="N264" s="3">
        <f>1170.2+(12.9-440.5)+(2.387208+(0.026316-0.89862))+7.5-272-0.554879999999988</f>
        <v>479.06002400000006</v>
      </c>
      <c r="O264" s="3">
        <f>1160.1+(37.6-440.1)+(-0.591651+(-0.019176--0.224451))+0-273--0.139229999999972</f>
        <v>484.35285399999987</v>
      </c>
      <c r="P264" s="3">
        <f>1151.6+(47.6-426.4)+(0.587316+(0.024276-0.217464))+0-273-0.139229999999972</f>
        <v>500.05489799999998</v>
      </c>
      <c r="Q264" s="3">
        <f>1149.6+(39.4-388.7)+(-0.586296+(-0.020094--0.198237))+0-275--0.140249999999972</f>
        <v>525.03209699999991</v>
      </c>
      <c r="R264" s="3">
        <f>1146+(26.9-381.8)+(-2.9223+(-0.068595--0.97359))+0-275--0.70124999999996</f>
        <v>514.7839449999999</v>
      </c>
      <c r="S264" s="3">
        <f>1142.8+(11.2-362.5)+(-1.165656+(-0.011424--0.36975))+0-271--0.276420000000043</f>
        <v>519.96909000000005</v>
      </c>
      <c r="T264" s="3">
        <f>1141.9+(3.2-347.1)+(-0.582369+(-0.001632--0.177021))+0-274--0.139739999999972</f>
        <v>523.73275999999998</v>
      </c>
      <c r="U264" s="3">
        <f>1140.4+(3.2-347.8)+(-1.163208+(-0.003264--0.354756))+0-274--0.279480000000044</f>
        <v>521.26776400000006</v>
      </c>
      <c r="V264" s="3">
        <f>1142.6+(40.8-386)+(0+(0-0))+0-273-0</f>
        <v>524.39999999999986</v>
      </c>
      <c r="W264" s="3">
        <f>1152+(76-359.9)+(0.58752+(0.03876-0.183549))+0-276-0.140759999999972</f>
        <v>592.401971</v>
      </c>
      <c r="X264" s="3">
        <f>1152.2+(69.2-356.2)+(0+(0-0))+0-276-0</f>
        <v>589.20000000000005</v>
      </c>
      <c r="Y264" s="3">
        <f>1156.3+(51.2-366.6)+(-1.769139+(-0.078336--0.560898))+0-274--0.419220000000016</f>
        <v>566.03264299999989</v>
      </c>
      <c r="Z264" s="3">
        <f>1162.8+(32.1-371.9)+(-1.186056+(-0.032742--0.379338))+0-275--0.280500000000044</f>
        <v>547.44104000000004</v>
      </c>
      <c r="AA264" s="3">
        <f>1172.5+(27.9-404)+(0.597975+(0.014229-0.20604))+0-277-0.141269999999972</f>
        <v>519.664894</v>
      </c>
      <c r="AB264" s="3">
        <f>1177.4+(12.1-411.7)+(-3.00237+(-0.030855--1.049835))+0-275--0.70124999999996</f>
        <v>501.51786000000016</v>
      </c>
      <c r="AC264" s="3">
        <f>1179.1+(3.2-428.2)+(-4.810728+(-0.013056--1.747056))+0-274--1.11791999999998</f>
        <v>478.14119199999988</v>
      </c>
      <c r="AD264">
        <f t="shared" si="4"/>
        <v>11881.105576</v>
      </c>
      <c r="AE264" s="3">
        <f>1153+(79.1-363.5)+(0+(0-0))+0-275-0</f>
        <v>593.6</v>
      </c>
    </row>
    <row r="265" spans="1:31" s="2" customFormat="1" x14ac:dyDescent="0.25">
      <c r="A265">
        <v>89</v>
      </c>
      <c r="B265">
        <v>9</v>
      </c>
      <c r="C265">
        <v>19</v>
      </c>
      <c r="D265">
        <v>7</v>
      </c>
      <c r="E265">
        <v>1</v>
      </c>
      <c r="F265" s="3">
        <f>1184.5+(0-456.5)+(0+(0-0))+0-277-0</f>
        <v>451</v>
      </c>
      <c r="G265" s="3">
        <f>1185.7+(0-484.9)+(-1.814121+(0--0.741897))+0-275--0.420750000000016</f>
        <v>425.14852600000006</v>
      </c>
      <c r="H265" s="3">
        <f>1186.6+(0-502.8)+(-1.210332+(0--0.512856))+0-275--0.280500000000044</f>
        <v>408.38302399999992</v>
      </c>
      <c r="I265" s="3">
        <f>1187.3+(0-497.4)+(0.605523+(0-0.253674))+0-274-0.139739999999972</f>
        <v>416.11210900000003</v>
      </c>
      <c r="J265" s="3">
        <f>1192.2+(0-504.2)+(-3.04011+(0--1.28571))+0-273--0.69614999999996</f>
        <v>413.9417499999999</v>
      </c>
      <c r="K265" s="3">
        <f>1188.9+(0-477.8)+(0.606339+(0-0.243678))+0-274-0.139739999999972</f>
        <v>437.32292100000018</v>
      </c>
      <c r="L265" s="3">
        <f>1187.4+(0-466.5)+(-1.211148+(0--0.47583))+0-271--0.276420000000043</f>
        <v>449.44110200000011</v>
      </c>
      <c r="M265" s="3">
        <f>1182+(0-452.3)+(-1.80846+(0--0.692019))+0-272--0.416160000000016</f>
        <v>456.99971900000003</v>
      </c>
      <c r="N265" s="3">
        <f>1170.5+(18.1-437.7)+(-1.19391+(-0.018462--0.446454))+0-275--0.280500000000044</f>
        <v>475.41458200000005</v>
      </c>
      <c r="O265" s="3">
        <f>1167.5+(42.3-431.5)+(-1.786275+(-0.064719--0.660195))+0-273--0.417690000000016</f>
        <v>504.52689099999998</v>
      </c>
      <c r="P265" s="3">
        <f>1161.7+(50.6-411.7)+(-2.369868+(-0.103224--0.839868))+0-273--0.556919999999988</f>
        <v>526.52369600000009</v>
      </c>
      <c r="Q265" s="3">
        <f>1156+(62.5-399.7)+(-1.17912+(-0.06375--0.407694))+0-274--0.279480000000044</f>
        <v>544.24430399999994</v>
      </c>
      <c r="R265" s="3">
        <f>1151.6+(56.6-400.1)+(-1.761948+(-0.086598--0.612153))+0-272--0.416160000000016</f>
        <v>535.27976699999988</v>
      </c>
      <c r="S265" s="3">
        <f>1149.6+(45.4-413.7)+(-2.345184+(-0.092616--0.843948))+0-272--0.554879999999988</f>
        <v>508.26102799999995</v>
      </c>
      <c r="T265" s="3">
        <f>1147.9+(52.7-419.7)+(-1.170858+(-0.053754--0.428094))+0-273--0.278460000000044</f>
        <v>507.38194200000015</v>
      </c>
      <c r="U265" s="3">
        <f>1142.6+(53.9-425.3)+(0+(0-0))+0-273-0</f>
        <v>498.19999999999982</v>
      </c>
      <c r="V265" s="3">
        <f>1153.5+(76.3-441.7)+(-2.941425+(-0.194565--1.126335))+0-273--0.69614999999996</f>
        <v>513.78649500000006</v>
      </c>
      <c r="W265" s="3">
        <f>1159.5+(119.3-408.4)+(0.591345+(0.060843-0.208284))+0-276-0.140759999999972</f>
        <v>594.70314400000007</v>
      </c>
      <c r="X265" s="3">
        <f>1164.6+(109-413.2)+(-0.593946+(-0.05559--0.210732))+0-275--0.140249999999972</f>
        <v>585.10144599999978</v>
      </c>
      <c r="Y265" s="3">
        <f>1180.5+(96-438.1)+(-1.806165+(-0.14688--0.670293))+0-274--0.419220000000016</f>
        <v>563.53646800000001</v>
      </c>
      <c r="Z265" s="3">
        <f>1301.4+(50.5-561)+(-0.663714+(-0.025755--0.28611))+0-278--0.141779999999972</f>
        <v>512.63842099999999</v>
      </c>
      <c r="AA265" s="3">
        <f>1318.4+(57.3-578.9)+(0+(0-0))+0-276-0</f>
        <v>520.80000000000007</v>
      </c>
      <c r="AB265" s="3">
        <f>1325.7+(45-568.3)+(-1.352214+(-0.0459--0.579666))+0-275--0.280500000000044</f>
        <v>526.86205200000018</v>
      </c>
      <c r="AC265" s="3">
        <f>1242.7+(44.7-525.5)+(-3.802662+(-0.136782--1.60803))+0-276--0.844560000000032</f>
        <v>484.41314600000015</v>
      </c>
      <c r="AD265">
        <f t="shared" si="4"/>
        <v>11860.022533000001</v>
      </c>
      <c r="AE265" s="3">
        <f>1162+(127.1-411.7)+(0+(0-0))+0-275-0</f>
        <v>602.4</v>
      </c>
    </row>
    <row r="266" spans="1:31" s="2" customFormat="1" x14ac:dyDescent="0.25">
      <c r="A266">
        <v>89</v>
      </c>
      <c r="B266">
        <v>9</v>
      </c>
      <c r="C266">
        <v>20</v>
      </c>
      <c r="D266">
        <v>1</v>
      </c>
      <c r="E266">
        <v>1</v>
      </c>
      <c r="F266" s="3">
        <f>1177.7+(56.7-496.8)+(-1.801881+(-0.086751--0.760104))+0-273--0.417690000000016</f>
        <v>463.88916200000006</v>
      </c>
      <c r="G266" s="3">
        <f>1179.6+(42.2-504.5)+(1.804788+(0.064566-0.771885))+0-278-0.425340000000016</f>
        <v>439.972129</v>
      </c>
      <c r="H266" s="3">
        <f>1185.5+(31-508.3)+(-1.20921+(-0.03162--0.518466))+0-277--0.282540000000044</f>
        <v>430.76017600000011</v>
      </c>
      <c r="I266" s="3">
        <f>1185+(26.9-490.6)+(0+(0-0))+0-278-0</f>
        <v>443.29999999999995</v>
      </c>
      <c r="J266" s="3">
        <f>1185.4+(10.2-481.4)+(-0.604554+(-0.005202--0.245514))+0-275--0.140249999999972</f>
        <v>438.97600800000004</v>
      </c>
      <c r="K266" s="3">
        <f>1185.9+(46.2-484.4)+(3.024045+(0.11781-1.23522))+0-276-0.70379999999996</f>
        <v>472.90283500000015</v>
      </c>
      <c r="L266" s="3">
        <f>1187.1+(85.8-457.7)+(-0.605421+(-0.043758--0.233427))+0-275--0.140249999999972</f>
        <v>539.92449799999986</v>
      </c>
      <c r="M266" s="3">
        <f>1180.7+(90.8-477.1)+(-0.602157+(-0.046308--0.243321))+0-273--0.139229999999972</f>
        <v>521.13408600000014</v>
      </c>
      <c r="N266" s="3">
        <f>1173.5+(95.4-493.4)+(0+(0-0))+0-274-0</f>
        <v>501.5</v>
      </c>
      <c r="O266" s="3">
        <f>1170.6+(101.8-480.9)+(-1.194012+(-0.103836--0.490518))+0-275--0.280500000000044</f>
        <v>515.9731700000001</v>
      </c>
      <c r="P266" s="3">
        <f>1165.2+(109.9-461.7)+(0.594252+(0.056049-0.235467))+0-276-0.140759999999972</f>
        <v>537.67407400000013</v>
      </c>
      <c r="Q266" s="3">
        <f>1157.2+(118.9-452.3)+(-2.95086+(-0.303195--1.153365))+0-276--0.70379999999996</f>
        <v>546.40311000000008</v>
      </c>
      <c r="R266" s="3">
        <f>1150.6+(132.1-437.8)+(-2.347224+(-0.269484--0.893112))+0-277--0.565079999999988</f>
        <v>566.74148399999979</v>
      </c>
      <c r="S266" s="3">
        <f>1147.4+(116.9-417.8)+(-2.340696+(-0.238476--0.852312))+0-278--0.567119999999988</f>
        <v>567.34026000000006</v>
      </c>
      <c r="T266" s="3">
        <f>1146.6+(109.4-422.1)+(2.339064+(0.223176-0.861084))+0-276-0.563039999999988</f>
        <v>559.03811599999983</v>
      </c>
      <c r="U266" s="3">
        <f>1151.6+(118.5-438.1)+(-2.93658+(-0.302175--1.117155))+0-275--0.70124999999996</f>
        <v>555.5796499999999</v>
      </c>
      <c r="V266" s="3">
        <f>1153.8+(139.7-457.8)+(-1.765314+(-0.213741--0.700434))+0-276--0.422280000000016</f>
        <v>558.84365899999989</v>
      </c>
      <c r="W266" s="3">
        <f>1159.8+(182.8-413)+(-1.774494+(-0.279684--0.63189))+0-277--0.423810000000016</f>
        <v>651.60152199999993</v>
      </c>
      <c r="X266" s="3">
        <f>1160.8+(164.2-403.9)+(-2.368032+(-0.334968--0.823956))+0-277--0.565079999999988</f>
        <v>642.78603599999985</v>
      </c>
      <c r="Y266" s="3">
        <f>1161.3+(138-422.6)+(-1.776789+(-0.21114--0.646578))+0-276--0.422280000000016</f>
        <v>599.7809289999999</v>
      </c>
      <c r="Z266" s="3">
        <f>1163.4+(126.8-429.6)+(-2.373336+(-0.258672--0.876384))+0-277--0.565079999999988</f>
        <v>582.40945600000009</v>
      </c>
      <c r="AA266" s="3">
        <f>1164.8+(101.6-413.9)+(-1.782144+(-0.155448--0.633267))+0-275--0.420750000000016</f>
        <v>576.61642500000005</v>
      </c>
      <c r="AB266" s="3">
        <f>1167.6+(74.4-410.4)+(-2.381904+(-0.151776--0.837216))+0-277--0.565079999999988</f>
        <v>553.46861599999988</v>
      </c>
      <c r="AC266" s="3">
        <f>1111.6+(61.7-367.2)+(-1.700748+(-0.094401--0.561816))+0-276--0.422280000000016</f>
        <v>529.28894699999989</v>
      </c>
      <c r="AD266">
        <f t="shared" si="4"/>
        <v>12795.904348</v>
      </c>
      <c r="AE266" s="3">
        <f>1159+(141.9-411.9)+(0+(0-0))+0-277-0</f>
        <v>612</v>
      </c>
    </row>
    <row r="267" spans="1:31" s="2" customFormat="1" x14ac:dyDescent="0.25">
      <c r="A267">
        <v>89</v>
      </c>
      <c r="B267">
        <v>9</v>
      </c>
      <c r="C267">
        <v>21</v>
      </c>
      <c r="D267">
        <v>2</v>
      </c>
      <c r="E267">
        <v>1</v>
      </c>
      <c r="F267" s="3">
        <f>1072+(24.3-339.9)+(-2.7336+(-0.061965--0.866745))+0-277--0.70634999999996</f>
        <v>478.1775300000001</v>
      </c>
      <c r="G267" s="3">
        <f>1079.2+(13-358.5)+(-0.550392+(-0.00663--0.182835))+0-277--0.141269999999972</f>
        <v>456.467083</v>
      </c>
      <c r="H267" s="3">
        <f>1081+(13.1-365.9)+(-2.20524+(-0.026724--0.746436))+0-279--0.569159999999988</f>
        <v>448.28363200000001</v>
      </c>
      <c r="I267" s="3">
        <f>1078.3+(13.7-374.9)+(1.649799+(0.020961-0.573597))+0-277-0.423810000000016</f>
        <v>440.77335299999993</v>
      </c>
      <c r="J267" s="3">
        <f>1080.3+(16.6-378.2)+(2.754765+(0.04233-0.96441))+0-277-0.70634999999996</f>
        <v>442.82633500000003</v>
      </c>
      <c r="K267" s="3">
        <f>1081.9+(51.7-387.1)+(1.655307+(0.079101-0.592263))+0-277.4-0.424422000000016</f>
        <v>469.81772300000006</v>
      </c>
      <c r="L267" s="3">
        <f>1085.3+(58.5-355.8)+(-0.553503+(-0.029835--0.181458))+0-275.7--0.140606999999972</f>
        <v>512.03872699999999</v>
      </c>
      <c r="M267" s="3">
        <f>1086.6+(75-367.8)+(-0.554166+(-0.03825--0.187578))+0-274--0.139739999999972</f>
        <v>519.53490199999987</v>
      </c>
      <c r="N267" s="3">
        <f>1009.9+(140.1-334)+(0+(0-0))+0-276.4-0</f>
        <v>539.6</v>
      </c>
      <c r="O267" s="3">
        <f>810.1+(233-230.9)+(-1.239453+(-0.35649--0.353277))+0-272.5--0.416925000000016</f>
        <v>538.87425900000005</v>
      </c>
      <c r="P267" s="3">
        <f>803.3+(238.6-228.1)+(-0.409683+(-0.121686--0.116331))+0-276--0.140759999999972</f>
        <v>537.52572199999997</v>
      </c>
      <c r="Q267" s="3">
        <f>795.4+(242.7-216.2)+(-1.216962+(-0.371331--0.330786))+0-277.6--0.424728000000016</f>
        <v>543.46722099999988</v>
      </c>
      <c r="R267" s="3">
        <f>839.3+(200.3-221.9)+(-3.424344+(-0.817224--0.905352))+0-275.1--1.12240799999998</f>
        <v>540.38619199999982</v>
      </c>
      <c r="S267" s="3">
        <f>908.4+(191-268.2)+(-0.463284+(-0.09741--0.136782))+0-277.6--0.141575999999972</f>
        <v>553.31766400000004</v>
      </c>
      <c r="T267" s="3">
        <f>967.1+(161.4-302.4)+(-1.479663+(-0.246942--0.462672))+0-281.8--0.431154000000016</f>
        <v>543.467221</v>
      </c>
      <c r="U267" s="3">
        <f>1061.3+(125.3-346.8)+(1.623789+(0.191709-0.530604))+0-279.8-0.428094000000016</f>
        <v>560.85679999999991</v>
      </c>
      <c r="V267" s="3">
        <f>1059.7+(146.6-354.3)+(-2.702235+(-0.37383--0.903465))+0-279.3--0.71221499999996</f>
        <v>571.23961499999996</v>
      </c>
      <c r="W267" s="3">
        <f>1062.6+(209.7-340.9)+(0.541926+(0.106947-0.173859))+0-277.9-0.141728999999972</f>
        <v>653.83328499999993</v>
      </c>
      <c r="X267" s="3">
        <f>1065.9+(179.6-331.7)+(-1.630827+(-0.274788--0.507501))+0-279--0.426870000000016</f>
        <v>633.82875600000011</v>
      </c>
      <c r="Y267" s="3">
        <f>1074.1+(143.9-331.3)+(-1.643373+(-0.220167--0.506889))+0-279.4--0.427482000000016</f>
        <v>606.37083099999995</v>
      </c>
      <c r="Z267" s="3">
        <f>1077.9+(120.5-324.5)+(-1.099458+(-0.12291--0.33099))+0-281.7--0.287334000000045</f>
        <v>591.59595600000011</v>
      </c>
      <c r="AA267" s="3">
        <f>1075.7+(116.1-342.5)+(0+(0-0))+0-283.3-0</f>
        <v>566</v>
      </c>
      <c r="AB267" s="3">
        <f>957.6+(119.8-273.4)+(-1.465128+(-0.183294--0.418302))+0-280.8--0.429624000000016</f>
        <v>522.39950399999987</v>
      </c>
      <c r="AC267" s="3">
        <f>871.7+(126.2-236)+(-0.889134+(-0.128724--0.24072))+0-281.3--0.286926000000045</f>
        <v>480.10978800000009</v>
      </c>
      <c r="AD267">
        <f t="shared" si="4"/>
        <v>12750.792099000002</v>
      </c>
      <c r="AE267" s="3">
        <f>1064+(171.1-344.4)+(0+(0-0))+0-278.3-0</f>
        <v>612.40000000000009</v>
      </c>
    </row>
    <row r="268" spans="1:31" s="2" customFormat="1" x14ac:dyDescent="0.25">
      <c r="A268">
        <v>89</v>
      </c>
      <c r="B268">
        <v>9</v>
      </c>
      <c r="C268">
        <v>22</v>
      </c>
      <c r="D268">
        <v>3</v>
      </c>
      <c r="E268">
        <v>1</v>
      </c>
      <c r="F268" s="3">
        <f>906.4+(97.8-259.5)+(-2.773584+(-0.299268--0.79407))+0-279.5--0.855270000000032</f>
        <v>463.77648800000009</v>
      </c>
      <c r="G268" s="3">
        <f>908.1+(69-252.9)+(-3.241917+(-0.24633--0.902853))+0-279.4--0.997458000000004</f>
        <v>443.21206400000011</v>
      </c>
      <c r="H268" s="3">
        <f>912.9+(45.5-240.6)+(-1.396737+(-0.069615--0.368118))+0-281.2--0.430236000000016</f>
        <v>435.93200199999995</v>
      </c>
      <c r="I268" s="3">
        <f>920.6+(43.1-250.9)+(0+(0-0))+0-279.4-0</f>
        <v>433.4</v>
      </c>
      <c r="J268" s="3">
        <f>911+(47.8-236.9)+(-0.46461+(-0.024378--0.120819))+0-279.1--0.142340999999972</f>
        <v>442.57417199999998</v>
      </c>
      <c r="K268" s="3">
        <f>923+(77.6-258.7)+(0.94146+(0.079152-0.263874))+0-278.4-0.283968000000044</f>
        <v>463.97277000000003</v>
      </c>
      <c r="L268" s="3">
        <f>917.4+(122.5-248.8)+(-0.935748+(-0.12495--0.253776))+0-279.5--0.285090000000045</f>
        <v>511.07816799999995</v>
      </c>
      <c r="M268" s="3">
        <f>918.6+(128.1-255.7)+(0.468486+(0.065331-0.130407))+0-280.2-0.142901999999972</f>
        <v>511.06050800000003</v>
      </c>
      <c r="N268" s="3">
        <f>906.2+(144.8-355.2)+(-0.924324+(-0.147696--0.362304))+0-186.9--0.19063800000003</f>
        <v>508.38092200000017</v>
      </c>
      <c r="O268" s="3">
        <f>892+(164.8-339.5)+(0+(0-0))+0-189-0</f>
        <v>528.29999999999995</v>
      </c>
      <c r="P268" s="3">
        <f>888+(141.9-417.5)+(0+(0-0))+108.3-92.9-0</f>
        <v>627.79999999999995</v>
      </c>
      <c r="Q268" s="3">
        <f>880+(200.7-295)+(0+(0-0))+0-263.8-0</f>
        <v>521.90000000000009</v>
      </c>
      <c r="R268" s="3">
        <f>880+(184.8-279.4)+(0+(0-0))+0-275.6-0</f>
        <v>509.80000000000007</v>
      </c>
      <c r="S268" s="3">
        <f>880+(191.2-263.1)+(0+(0-0))+0-280.3-0</f>
        <v>527.79999999999995</v>
      </c>
      <c r="T268" s="3">
        <f>880+(188.8-257.5)+(0+(0-0))+0-279.7-0</f>
        <v>531.59999999999991</v>
      </c>
      <c r="U268" s="3">
        <f>880.1+(182.7-253.1)+(0+(0-0))+0-283.3-0</f>
        <v>526.40000000000009</v>
      </c>
      <c r="V268" s="3">
        <f>890+(181.6-257.3)+(0+(0-0))+0-281.3-0</f>
        <v>533</v>
      </c>
      <c r="W268" s="3">
        <f>896.2+(230.7-235)+(0+(0-0))+0-284.2-0</f>
        <v>607.70000000000005</v>
      </c>
      <c r="X268" s="3">
        <f>899.3+(211.9-227)+(0+(0-0))+0-286.9-0</f>
        <v>597.29999999999995</v>
      </c>
      <c r="Y268" s="3">
        <f>905.4+(192.8-236.2)+(0+(0-0))+0-288.2-0</f>
        <v>573.79999999999995</v>
      </c>
      <c r="Z268" s="3">
        <f>907.7+(168.4-236.5)+(0+(0-0))+0-286.7-0</f>
        <v>552.90000000000009</v>
      </c>
      <c r="AA268" s="3">
        <f>910.6+(139-233)+(0+(0-0))+0-287-0</f>
        <v>529.6</v>
      </c>
      <c r="AB268" s="3">
        <f>910.3+(123.4-229.6)+(0+(0-0))+0-288.4-0</f>
        <v>515.69999999999993</v>
      </c>
      <c r="AC268" s="3">
        <f>909.8+(109.9-243.5)+(0+(0-0))+0-284.5-0</f>
        <v>491.69999999999993</v>
      </c>
      <c r="AD268">
        <f t="shared" si="4"/>
        <v>12388.687094000003</v>
      </c>
      <c r="AE268" s="3">
        <f>899+(217.1-225.4)+(0+(0-0))+0-283.8-0</f>
        <v>606.90000000000009</v>
      </c>
    </row>
    <row r="269" spans="1:31" s="2" customFormat="1" x14ac:dyDescent="0.25">
      <c r="A269">
        <v>89</v>
      </c>
      <c r="B269">
        <v>9</v>
      </c>
      <c r="C269">
        <v>23</v>
      </c>
      <c r="D269">
        <v>4</v>
      </c>
      <c r="E269">
        <v>1</v>
      </c>
      <c r="F269" s="3">
        <f>912.2+(108.9-256.6)+(0+(0-0))+0-282.8-0</f>
        <v>481.7</v>
      </c>
      <c r="G269" s="3">
        <f>912.2+(93.3-271.4)+(0+(0-0))+0-282.3-0</f>
        <v>451.80000000000013</v>
      </c>
      <c r="H269" s="3">
        <f>916.4+(29.6-305)+(0+(0-0))+0-190.8-0</f>
        <v>450.2</v>
      </c>
      <c r="I269" s="3">
        <f>914.3+(44.6-240.7)+(0+(0-0))+0-261.2-0</f>
        <v>456.99999999999994</v>
      </c>
      <c r="J269" s="3">
        <f>916.2+(42.5-229.2)+(0+(0-0))+0-287.3-0</f>
        <v>442.2</v>
      </c>
      <c r="K269" s="3">
        <f>915.9+(71.3-245.4)+(0+(0-0))+0-281.5-0</f>
        <v>460.29999999999995</v>
      </c>
      <c r="L269" s="3">
        <f>916.6+(129.6-267.6)+(0+(0-0))+0-278.4-0</f>
        <v>500.20000000000005</v>
      </c>
      <c r="M269" s="3">
        <f>914.3+(156.4-290.2)+(0+(0-0))+0-278.4-0</f>
        <v>502.1</v>
      </c>
      <c r="N269" s="3">
        <f>905.3+(140.4-254.3)+(0+(0-0))+0-281.1-0</f>
        <v>510.29999999999995</v>
      </c>
      <c r="O269" s="3">
        <f>894.5+(146.1-236.8)+(0+(0-0))+0-279.6-0</f>
        <v>524.19999999999993</v>
      </c>
      <c r="P269" s="3">
        <f>864.3+(155.1-196.2)+(0+(0-0))+0-279.7-0</f>
        <v>543.5</v>
      </c>
      <c r="Q269" s="3">
        <f>850.6+(178.2-199.8)+(0+(0-0))+0-277.7-0</f>
        <v>551.29999999999995</v>
      </c>
      <c r="R269" s="3">
        <f>883.3+(162.5-220.8)+(-2.252415+(-0.414375--0.56304))+0-277.3--0.70711499999996</f>
        <v>546.30336499999999</v>
      </c>
      <c r="S269" s="3">
        <f>952.6+(147.7-263.8)+(-0.485826+(-0.075327--0.134538))+0-277.6--0.141575999999972</f>
        <v>558.61496099999999</v>
      </c>
      <c r="T269" s="3">
        <f>964.4+(137.2-262.9)+(-1.475532+(-0.209916--0.402237))+0-283.1--0.433143000000016</f>
        <v>554.74993199999994</v>
      </c>
      <c r="U269" s="3">
        <f>969.9+(142.4-285.7)+(-2.473245+(-0.36312--0.728535))+0-279.4--0.712469999999959</f>
        <v>545.80463999999995</v>
      </c>
      <c r="V269" s="3">
        <f>973.6+(152.3-277.7)+(-2.48268+(-0.388365--0.708135))+0-279.7--0.713234999999959</f>
        <v>567.05032499999993</v>
      </c>
      <c r="W269" s="3">
        <f>982.9+(165.3-249.9)+(-1.002558+(-0.168606--0.254898))+0-283.6--0.289272000000045</f>
        <v>614.07300600000008</v>
      </c>
      <c r="X269" s="3">
        <f>989.2+(143.6-242.5)+(-2.52246+(-0.36618--0.618375))+0-279.6--0.71297999999996</f>
        <v>609.14271500000007</v>
      </c>
      <c r="Y269" s="3">
        <f>999.7+(124.5-283.8)+(-0.509847+(-0.063495--0.144738))+0-277.4--0.141473999999972</f>
        <v>562.71287000000018</v>
      </c>
      <c r="Z269" s="3">
        <f>1084.2+(91.4-344.2)+(-2.211768+(-0.186456--0.702168))+0-279.2--0.569567999999988</f>
        <v>551.07351200000005</v>
      </c>
      <c r="AA269" s="3">
        <f>1164.8+(61-405.1)+(0+(0-0))+0-276.2-0</f>
        <v>544.5</v>
      </c>
      <c r="AB269" s="3">
        <f>1170.7+(42.9-415.8)+(-2.388228+(-0.087516--0.848232))+0-276.4--0.563855999999988</f>
        <v>520.33634399999994</v>
      </c>
      <c r="AC269" s="3">
        <f>1160.6+(26.5-412.5)+(-0.591906+(-0.013515--0.210375))+0-274--0.139739999999972</f>
        <v>500.34469399999989</v>
      </c>
      <c r="AD269">
        <f t="shared" si="4"/>
        <v>12549.506363999999</v>
      </c>
      <c r="AE269" s="3">
        <f>981+(147.9-242)+(0+(0-0))+0-292.1-0</f>
        <v>594.79999999999995</v>
      </c>
    </row>
    <row r="270" spans="1:31" s="2" customFormat="1" x14ac:dyDescent="0.25">
      <c r="A270">
        <v>89</v>
      </c>
      <c r="B270">
        <v>9</v>
      </c>
      <c r="C270">
        <v>24</v>
      </c>
      <c r="D270">
        <v>5</v>
      </c>
      <c r="E270">
        <v>5</v>
      </c>
      <c r="F270" s="3">
        <f>1150.7+(8-415.3)+(-1.173714+(-0.00816--0.423606))+0-274--0.279480000000044</f>
        <v>468.92121200000008</v>
      </c>
      <c r="G270" s="3">
        <f>1150.7+(6-409.9)+(1.173714+(0.00612-0.418098))+0-275-0.280500000000044</f>
        <v>472.28123600000009</v>
      </c>
      <c r="H270" s="3">
        <f>1159.7+(4-427.3)+(0+(0-0))+0-277.1-0</f>
        <v>459.30000000000007</v>
      </c>
      <c r="I270" s="3">
        <f>1079.6+(0-355.2)+(0.550596+(0-0.181152))+0-276.9-0.141218999999972</f>
        <v>447.72822499999995</v>
      </c>
      <c r="J270" s="3">
        <f>1058.4+(0-312.5)+(0.539784+(0-0.159375))+0-276-0.140759999999972</f>
        <v>470.13964900000008</v>
      </c>
      <c r="K270" s="3">
        <f>1055.7+(17.9-336)+(-0.538407+(-0.009129--0.17136))+0-275.1--0.140300999999972</f>
        <v>462.26412499999998</v>
      </c>
      <c r="L270" s="3">
        <f>933.9+(67.1-288.5)+(-0.476289+(-0.034221--0.147135))+0-276.2--0.140861999999972</f>
        <v>436.07748699999996</v>
      </c>
      <c r="M270" s="3">
        <f>784.4+(145.4-216.7)+(-0.800088+(-0.148308--0.221034))+0-275.8--0.281316000000044</f>
        <v>436.8539540000001</v>
      </c>
      <c r="N270" s="3">
        <f>830.4+(161.8-251)+(0.847008+(0.165036-0.25602))+0-273.1-0.278562000000044</f>
        <v>468.57746200000003</v>
      </c>
      <c r="O270" s="3">
        <f>1019.7+(40.4-284.1)+(0.520047+(0.020604-0.144891))+0-276.7-0.141116999999972</f>
        <v>499.55464300000006</v>
      </c>
      <c r="P270" s="3">
        <f>1071+(23-296.2)+(-2.18484+(-0.04692--0.604248))+0-279.3--0.569771999999988</f>
        <v>517.44225999999992</v>
      </c>
      <c r="Q270" s="3">
        <f>1072+(20-292.8)+(-2.7336+(-0.051--0.74664))+0-279.3--0.71221499999996</f>
        <v>518.57425499999999</v>
      </c>
      <c r="R270" s="3">
        <f>1071.5+(20.2-293.5)+(-1.09293+(-0.020604--0.29937))+0-283.2--0.288864000000045</f>
        <v>514.4747000000001</v>
      </c>
      <c r="S270" s="3">
        <f>1075.6+(13.8-304.9)+(-1.645668+(-0.021114--0.466497))+0-277.5--0.424575000000016</f>
        <v>506.22429</v>
      </c>
      <c r="T270" s="3">
        <f>1075.7+(0-332.3)+(-2.194428+(0--0.677892))+0-230.8--0.47083199999999</f>
        <v>511.55429600000008</v>
      </c>
      <c r="U270" s="3">
        <f>1076.8+(11.8-301.8)+(-1.647504+(-0.018054--0.461754))+0-278.7--0.426411000000016</f>
        <v>507.322607</v>
      </c>
      <c r="V270" s="3">
        <f>1079.1+(23.9-315.5)+(1.100682+(0.024378-0.32181))+0-279.1-0.284682000000045</f>
        <v>508.91856799999988</v>
      </c>
      <c r="W270" s="3">
        <f>1119.9+(35.4-300.6)+(-0.571149+(-0.018054--0.153306))+0-278.8--0.142187999999972</f>
        <v>575.60629099999994</v>
      </c>
      <c r="X270" s="3">
        <f>1171.9+(25.2-360.2)+(-3.586014+(-0.077112--1.102212))+0-281--0.859860000000032</f>
        <v>554.19894600000009</v>
      </c>
      <c r="Y270" s="3">
        <f>1173.7+(6.6-365.1)+(-2.394348+(-0.013464--0.744804))+0-279.6--0.570383999999988</f>
        <v>534.50737600000002</v>
      </c>
      <c r="Z270" s="3">
        <f>1178.5+(0-385.4)+(0.601035+(0-0.196554))+0-277-0.141269999999972</f>
        <v>516.36321100000009</v>
      </c>
      <c r="AA270" s="3">
        <f>1179+(0-445)+(-0.60129+(0--0.22695))+0-276.9--0.141218999999972</f>
        <v>456.86687900000004</v>
      </c>
      <c r="AB270" s="3">
        <f>1183.2+(0-449.2)+(-1.206864+(0--0.458184))+0-278--0.283560000000044</f>
        <v>455.53487999999999</v>
      </c>
      <c r="AC270" s="3">
        <f>1180+(2-432.6)+(-1.8054+(-0.00306--0.661878))+0-277.1--0.423963000000016</f>
        <v>471.577381</v>
      </c>
      <c r="AD270">
        <f t="shared" si="4"/>
        <v>11770.863932999999</v>
      </c>
      <c r="AE270" s="3">
        <f>1175+(23.1-333.7)+(0+(0-0))+0-279-0</f>
        <v>585.40000000000009</v>
      </c>
    </row>
    <row r="271" spans="1:31" s="2" customFormat="1" x14ac:dyDescent="0.25">
      <c r="A271">
        <v>89</v>
      </c>
      <c r="B271">
        <v>9</v>
      </c>
      <c r="C271">
        <v>25</v>
      </c>
      <c r="D271">
        <v>6</v>
      </c>
      <c r="E271">
        <v>5</v>
      </c>
      <c r="F271" s="3">
        <f>1125.4+(0-374.6)+(-2.295816+(0--0.764184))+0-276.8--0.564671999999988</f>
        <v>473.03304000000009</v>
      </c>
      <c r="G271" s="3">
        <f>1038.6+(0-304.4)+(-1.589058+(0--0.465732))+0-279.2--0.427176000000016</f>
        <v>454.30384999999995</v>
      </c>
      <c r="H271" s="3">
        <f>1043.8+(0-314.6)+(-1.064676+(0--0.320892))+0-278.5--0.284070000000044</f>
        <v>450.24028599999997</v>
      </c>
      <c r="I271" s="3">
        <f>1045.2+(0-324.7)+(-2.66526+(0--0.827985))+0-278.3--0.70966499999996</f>
        <v>441.07238999999998</v>
      </c>
      <c r="J271" s="3">
        <f>1043.7+(0-317.6)+(-1.064574+(0--0.323952))+0-282.3--0.287946000000045</f>
        <v>443.34732400000001</v>
      </c>
      <c r="K271" s="3">
        <f>1047.2+(13.8-327.2)+(0+(0-0))+0-278.9-0</f>
        <v>454.90000000000009</v>
      </c>
      <c r="L271" s="3">
        <f>1048.8+(16-335.9)+(-2.139552+(-0.03264--0.685236))+0-278.9--0.568955999999988</f>
        <v>449.08200000000005</v>
      </c>
      <c r="M271" s="3">
        <f>929.6+(19-229.8)+(-0.948192+(-0.01938--0.234396))+0-277.5--0.283050000000044</f>
        <v>440.84987400000006</v>
      </c>
      <c r="N271" s="3">
        <f>836.8+(76.8-192.1)+(-0.426768+(-0.039168--0.097971))+0-276--0.140759999999972</f>
        <v>445.27279499999997</v>
      </c>
      <c r="O271" s="3">
        <f>834.6+(56.5-165.5)+(0.851292+(0.05763-0.16881))+0-277.2-0.282744000000044</f>
        <v>448.85736799999995</v>
      </c>
      <c r="P271" s="3">
        <f>834+(30.3-150.4)+(-2.97738+(-0.108171--0.536928))+0-276.9--0.988533000000004</f>
        <v>435.43991</v>
      </c>
      <c r="Q271" s="3">
        <f>799.8+(50.4-144.3)+(-0.815796+(-0.051408--0.147186))+0-277.4--0.282948000000044</f>
        <v>428.06293000000005</v>
      </c>
      <c r="R271" s="3">
        <f>782.6+(70.8-151.7)+(0.399126+(0.036108-0.077367))+0-275.6-0.140555999999972</f>
        <v>426.31731100000013</v>
      </c>
      <c r="S271" s="3">
        <f>807+(65.3-155.6)+(-0.82314+(-0.066606--0.158712))+0-275.2--0.280704000000044</f>
        <v>441.04967000000011</v>
      </c>
      <c r="T271" s="3">
        <f>830.2+(58.4-159.8)+(-2.11701+(-0.14892--0.40749))+0-274.9--0.70099499999996</f>
        <v>452.7425550000001</v>
      </c>
      <c r="U271" s="3">
        <f>831.8+(41.1-177.1)+(0+(0-0))+0-234.2-0</f>
        <v>461.59999999999997</v>
      </c>
      <c r="V271" s="3">
        <f>855.2+(89.5-250.6)+(-1.308456+(-0.136935--0.383418))+0-277.9--0.425187000000016</f>
        <v>415.56321400000007</v>
      </c>
      <c r="W271" s="3">
        <f>1107.9+(9-311.1)+(-2.825145+(-0.02295--0.793305))+0-280.2--0.714509999999959</f>
        <v>524.2597199999999</v>
      </c>
      <c r="X271" s="3">
        <f>1166.7+(0-359)+(-1.190034+(0--0.36618))+0-277.2--0.282744000000044</f>
        <v>529.95889000000011</v>
      </c>
      <c r="Y271" s="3">
        <f>1167.9+(0-369.9)+(0+(0-0))+0-278.1-0</f>
        <v>519.90000000000009</v>
      </c>
      <c r="Z271" s="3">
        <f>1171.3+(0-384.4)+(-1.792089+(0--0.588132))+0-279.4--0.427482000000016</f>
        <v>506.72352500000005</v>
      </c>
      <c r="AA271" s="3">
        <f>1173.2+(18-415.7)+(0.598332+(0.00918-0.212007))+0-276.9-0.141218999999972</f>
        <v>498.854286</v>
      </c>
      <c r="AB271" s="3">
        <f>1176+(18.5-426.9)+(-1.19952+(-0.01887--0.435438))+0-277--0.282540000000044</f>
        <v>490.09958800000004</v>
      </c>
      <c r="AC271" s="3">
        <f>1188.3+(3.9-439.5)+(-1.212066+(-0.003978--0.44829))+0-277.2--0.282744000000044</f>
        <v>475.01499000000001</v>
      </c>
      <c r="AD271">
        <f t="shared" si="4"/>
        <v>11106.545515999998</v>
      </c>
      <c r="AE271" s="3">
        <f>1165+(0-360.9)+(0+(0-0))+0-277.8-0</f>
        <v>526.29999999999995</v>
      </c>
    </row>
    <row r="272" spans="1:31" s="2" customFormat="1" x14ac:dyDescent="0.25">
      <c r="A272">
        <v>89</v>
      </c>
      <c r="B272">
        <v>9</v>
      </c>
      <c r="C272">
        <v>26</v>
      </c>
      <c r="D272">
        <v>7</v>
      </c>
      <c r="E272">
        <v>1</v>
      </c>
      <c r="F272" s="3">
        <f>1190.7+(0-487.5)+(-1.821771+(0--0.745875))+0-276.4--0.422892000000016</f>
        <v>426.146996</v>
      </c>
      <c r="G272" s="3">
        <f>1190+(0-478.9)+(0+(0-0))+0-277.7-0</f>
        <v>433.40000000000003</v>
      </c>
      <c r="H272" s="3">
        <f>1100.5+(0-398)+(-3.928785+(0--1.42086))+0-276.7--0.987819000000004</f>
        <v>424.27989400000001</v>
      </c>
      <c r="I272" s="3">
        <f>880+(13.7-221.2)+(0+(0-0))+0-276.9-0</f>
        <v>395.6</v>
      </c>
      <c r="J272" s="3">
        <f>837.8+(39.3-204.6)+(0+(0-0))+0-275.7-0</f>
        <v>396.8</v>
      </c>
      <c r="K272" s="3">
        <f>836.3+(79-207.2)+(1.279539+(0.12087-0.317016))+0-275-0.420750000000016</f>
        <v>433.76264299999991</v>
      </c>
      <c r="L272" s="3">
        <f>838.3+(119.9-259.7)+(-1.282599+(-0.183447--0.397341))+0-274.8--0.420444000000016</f>
        <v>423.051739</v>
      </c>
      <c r="M272" s="3">
        <f>838.4+(154-312.3)+(-1.282752+(-0.23562--0.477819))+0-274.6--0.420138000000016</f>
        <v>404.87958499999985</v>
      </c>
      <c r="N272" s="3">
        <f>842.8+(190.7-286.3)+(0+(0-0))+0-276.2-0</f>
        <v>470.99999999999994</v>
      </c>
      <c r="O272" s="3">
        <f>1135.8+(36.1-389)+(0.579258+(0.018411-0.19839))+0-275.4-0.140453999999972</f>
        <v>507.758825</v>
      </c>
      <c r="P272" s="3">
        <f>1169.7+(22-379.3)+(-2.982735+(-0.0561--0.967215))+0-276.3--0.70456499999996</f>
        <v>534.73294499999997</v>
      </c>
      <c r="Q272" s="3">
        <f>1166.2+(27.3-356.2)+(-1.189524+(-0.027846--0.363324))+0-276.7--0.282234000000044</f>
        <v>560.028188</v>
      </c>
      <c r="R272" s="3">
        <f>1158.9+(16.8-392.3)+(-0.591039+(-0.008568--0.200073))+0-223.7--0.114086999999977</f>
        <v>559.41455300000007</v>
      </c>
      <c r="S272" s="3">
        <f>1154.9+(21.8-357.7)+(-1.766997+(-0.033354--0.547281))+0-279.5--0.427635000000016</f>
        <v>538.67456500000014</v>
      </c>
      <c r="T272" s="3">
        <f>1154.6+(34.7-386.5)+(-1.766538+(-0.053091--0.591345))+0-277.9--0.425187000000016</f>
        <v>524.096903</v>
      </c>
      <c r="U272" s="3">
        <f>1184.9+(34.4-413.6)+(-1.812897+(-0.052632--0.632808))+0-280.2--0.428706000000016</f>
        <v>524.69598500000018</v>
      </c>
      <c r="V272" s="3">
        <f>1221.8+(24.7-434.4)+(-1.869354+(-0.037791--0.664632))+0-280.8--0.429624000000016</f>
        <v>530.4871109999998</v>
      </c>
      <c r="W272" s="3">
        <f>1266.8+(60.9-435.8)+(-0.646068+(-0.031059--0.222258))+0-282.6--0.144125999999971</f>
        <v>608.98925699999972</v>
      </c>
      <c r="X272" s="3">
        <f>1269.7+(53.4-435.9)+(-2.590188+(-0.108936--0.889236))+0-281.8--0.574871999999988</f>
        <v>604.16498400000012</v>
      </c>
      <c r="Y272" s="3">
        <f>1326.4+(33.8-505.7)+(-2.029392+(-0.051714--0.773721))+0-281.9--0.431307000000016</f>
        <v>571.72392200000024</v>
      </c>
      <c r="Z272" s="3">
        <f>1338.7+(0-481.5)+(-2.730948+(0--0.98226))+0-280.9--0.573035999999988</f>
        <v>575.12434800000005</v>
      </c>
      <c r="AA272" s="3">
        <f>1343.9+(0-496.3)+(-1.370778+(0--0.506226))+0-278.9--0.284478000000044</f>
        <v>568.11992600000019</v>
      </c>
      <c r="AB272" s="3">
        <f>1341.9+(0-534.7)+(-3.421845+(0--1.363485))+0-283.9--0.723944999999959</f>
        <v>521.96558500000003</v>
      </c>
      <c r="AC272" s="3">
        <f>1344.3+(0-569.8)+(-2.056779+(0--0.871794))+0-279.5--0.427635000000016</f>
        <v>494.24265000000003</v>
      </c>
      <c r="AD272">
        <f t="shared" si="4"/>
        <v>12033.140604</v>
      </c>
      <c r="AE272" s="3">
        <f>1272+(57-458.3)+(0+(0-0))+0-280.2-0</f>
        <v>590.5</v>
      </c>
    </row>
    <row r="273" spans="1:31" s="2" customFormat="1" x14ac:dyDescent="0.25">
      <c r="A273">
        <v>89</v>
      </c>
      <c r="B273">
        <v>9</v>
      </c>
      <c r="C273">
        <v>27</v>
      </c>
      <c r="D273">
        <v>1</v>
      </c>
      <c r="E273">
        <v>1</v>
      </c>
      <c r="F273" s="3">
        <f>1349.7+(0-609.4)+(-2.065041+(0--0.932382))+0-279--0.426870000000016</f>
        <v>460.59421100000009</v>
      </c>
      <c r="G273" s="3">
        <f>1264.7+(0-528.7)+(-3.224985+(0--1.348185))+0-279.3--0.71221499999996</f>
        <v>455.53541499999994</v>
      </c>
      <c r="H273" s="3">
        <f>1193.7+(0-474.8)+(-1.217574+(0--0.484296))+0-279.9--0.285498000000045</f>
        <v>438.55222000000009</v>
      </c>
      <c r="I273" s="3">
        <f>1195.1+(0-483.6)+(-1.219002+(0--0.493272))+0-278.6--0.284172000000044</f>
        <v>432.45844199999993</v>
      </c>
      <c r="J273" s="3">
        <f>1197.8+(0-477.5)+(0+(0-0))+0-279-0</f>
        <v>441.29999999999995</v>
      </c>
      <c r="K273" s="3">
        <f>1196.8+(0-458.2)+(-1.220736+(0--0.467364))+0-279.9--0.285498000000045</f>
        <v>458.23212599999994</v>
      </c>
      <c r="L273" s="3">
        <f>1196.4+(0-412)+(0+(0-0))+0-276.5-0</f>
        <v>507.90000000000009</v>
      </c>
      <c r="M273" s="3">
        <f>1197.1+(48.2-479.1)+(0+(0-0))+0-276.9-0</f>
        <v>489.29999999999984</v>
      </c>
      <c r="N273" s="3">
        <f>1185.2+(71.7-483.1)+(0+(0-0))+0-279.5-0</f>
        <v>494.29999999999995</v>
      </c>
      <c r="O273" s="3">
        <f>1171.6+(100.9-471.2)+(0+(0-0))+0-278.7-0</f>
        <v>522.59999999999991</v>
      </c>
      <c r="P273" s="3">
        <f>1163.8+(114.6-479.2)+(0+(0-0))+0-278.3-0</f>
        <v>520.89999999999986</v>
      </c>
      <c r="Q273" s="3">
        <f>1146.9+(105.2-438.5)+(0+(0-0))+0-280-0</f>
        <v>533.60000000000014</v>
      </c>
      <c r="R273" s="3">
        <f>1117.3+(61-397.5)+(-0.569823+(-0.03111--0.202725))+0-280--0.142799999999972</f>
        <v>500.54459199999997</v>
      </c>
      <c r="S273" s="3">
        <f>1143.6+(44.7-365.4)+(-0.583236+(-0.022797--0.186354))+0-284--0.144839999999971</f>
        <v>538.62516099999982</v>
      </c>
      <c r="T273" s="3">
        <f>1137.6+(38.9-374.6)+(0+(0-0))+0-279.4-0</f>
        <v>522.49999999999989</v>
      </c>
      <c r="U273" s="3">
        <f>1137.5+(41.2-377)+(1.740375+(0.063036-0.57681))+0-277.8-0.425034000000016</f>
        <v>524.70156699999995</v>
      </c>
      <c r="V273" s="3">
        <f>1149.9+(65.6-395.1)+(1.172898+(0.066912-0.403002))+0-279.4-0.284988000000045</f>
        <v>541.55182000000013</v>
      </c>
      <c r="W273" s="3">
        <f>1150+(96-362.9)+(0+(0-0))+0-279.6-0</f>
        <v>603.5</v>
      </c>
      <c r="X273" s="3">
        <f>1155+(96.9-371)+(-0.58905+(-0.049419--0.18921))+0-281.6--0.143615999999971</f>
        <v>598.99435699999992</v>
      </c>
      <c r="Y273" s="3">
        <f>1151.9+(103.1-385.6)+(-2.937345+(-0.262905--0.98328))+0-280.8--0.716039999999959</f>
        <v>587.0990700000001</v>
      </c>
      <c r="Z273" s="3">
        <f>1137.7+(94.5-377)+(0.580227+(0.048195-0.19227))+0-284.4-0.145043999999971</f>
        <v>571.09110800000008</v>
      </c>
      <c r="AA273" s="3">
        <f>1119.8+(85-370.4)+(-0.571098+(-0.04335--0.188904))+0-283--0.144329999999971</f>
        <v>551.118786</v>
      </c>
      <c r="AB273" s="3">
        <f>1064+(85.1-338.4)+(-1.08528+(-0.086802--0.345168))+0-282.7--0.288354000000045</f>
        <v>527.46144000000004</v>
      </c>
      <c r="AC273" s="3">
        <f>1065.6+(57.7-356.9)+(-0.543456+(-0.029427--0.182019))+0-281.8--0.143717999999971</f>
        <v>484.35285399999987</v>
      </c>
      <c r="AD273">
        <f t="shared" si="4"/>
        <v>12306.813169000001</v>
      </c>
      <c r="AE273" s="3">
        <f>1150+(90-388.7)+(0+(0-0))+0-279-0</f>
        <v>572.29999999999995</v>
      </c>
    </row>
    <row r="274" spans="1:31" s="2" customFormat="1" x14ac:dyDescent="0.25">
      <c r="A274">
        <v>89</v>
      </c>
      <c r="B274">
        <v>9</v>
      </c>
      <c r="C274">
        <v>28</v>
      </c>
      <c r="D274">
        <v>2</v>
      </c>
      <c r="E274">
        <v>1</v>
      </c>
      <c r="F274" s="3">
        <f>1066.3+(24.3-362.9)+(0+(0-0))+0-282.7-0</f>
        <v>445.00000000000006</v>
      </c>
      <c r="G274" s="3">
        <f>1067.3+(27.6-390.9)+(-1.632969+(-0.042228--0.598077))+0-286.5--0.438345000000017</f>
        <v>416.86122499999999</v>
      </c>
      <c r="H274" s="3">
        <f>1069.8+(15.1-366.2)+(-1.636794+(-0.023103--0.560286))+0-284.5--0.435285000000016</f>
        <v>433.53567400000009</v>
      </c>
      <c r="I274" s="3">
        <f>1069.7+(10.7-344.6)+(0+(0-0))+0-285.1-0</f>
        <v>450.69999999999993</v>
      </c>
      <c r="J274" s="3">
        <f>1069+(18.1-385.3)+(0+(0-0))+0-286.4-0</f>
        <v>415.4</v>
      </c>
      <c r="K274" s="3">
        <f>1072.7+(33.5-377.3)+(-1.641231+(-0.051255--0.577269))+0-282.6--0.432378000000016</f>
        <v>445.61716100000007</v>
      </c>
      <c r="L274" s="3">
        <f>1072.6+(82.4-392.6)+(0+(0-0))+0-285.3-0</f>
        <v>477.09999999999985</v>
      </c>
      <c r="M274" s="3">
        <f>1070.5+(86.5-402)+(0+(0-0))+0-283.1-0</f>
        <v>471.9</v>
      </c>
      <c r="N274" s="3">
        <f>1068.9+(108.2-417.8)+(-0.545139+(-0.055182--0.213078))+0-280.9--0.143258999999971</f>
        <v>478.15601600000002</v>
      </c>
      <c r="O274" s="3">
        <f>1060+(127.5-417.4)+(0+(0-0))+0-281.2-0</f>
        <v>488.90000000000003</v>
      </c>
      <c r="P274" s="3">
        <f>1043.6+(136.1-390.4)+(0+(0-0))+0-281.6-0</f>
        <v>507.69999999999993</v>
      </c>
      <c r="Q274" s="3">
        <f>1050.7+(136.5-393.4)+(-2.143428+(-0.27846--0.802536))+0-280.5--0.572219999999988</f>
        <v>512.25286800000003</v>
      </c>
      <c r="R274" s="3">
        <f>1051.9+(117.9-349.7)+(-1.609407+(-0.180387--0.535041))+0-284.2--0.434826000000016</f>
        <v>535.0800730000002</v>
      </c>
      <c r="S274" s="3">
        <f>1047+(84.9-317.8)+(-1.06794+(-0.086598--0.324156))+0-279.9--0.285498000000045</f>
        <v>533.65511600000013</v>
      </c>
      <c r="T274" s="3">
        <f>1046.7+(71-312.7)+(-1.067634+(-0.07242--0.318954))+0-278.2--0.283764000000044</f>
        <v>526.26266400000009</v>
      </c>
      <c r="U274" s="3">
        <f>1055.1+(83.3-318.8)+(-1.076202+(-0.084966--0.325176))+0-281.5--0.287130000000045</f>
        <v>537.55113799999992</v>
      </c>
      <c r="V274" s="3">
        <f>1092.5+(77.8-331.8)+(0+(0-0))+0-283.6-0</f>
        <v>554.9</v>
      </c>
      <c r="W274" s="3">
        <f>1227.4+(110.5-438.5)+(-0.625974+(-0.056355--0.223635))+0-280.9--0.143258999999971</f>
        <v>618.18456500000002</v>
      </c>
      <c r="X274" s="3">
        <f>1201+(111.5-426.6)+(-1.83753+(-0.170595--0.652698))+0-280.3--0.428859000000016</f>
        <v>604.67343199999993</v>
      </c>
      <c r="Y274" s="3">
        <f>1128.4+(111.5-371.8)+(-1.726452+(-0.170595--0.568854))+0-280.6--0.429318000000016</f>
        <v>586.60112500000002</v>
      </c>
      <c r="Z274" s="3">
        <f>1132.2+(84.9-363.5)+(-0.577422+(-0.043299--0.185385))+0-283.2--0.144431999999971</f>
        <v>570.10909600000002</v>
      </c>
      <c r="AA274" s="3">
        <f>1133.3+(65.8-366.4)+(-1.733949+(-0.100674--0.560592))+0-284--0.434520000000016</f>
        <v>547.86048900000003</v>
      </c>
      <c r="AB274" s="3">
        <f>1137.3+(50.4-376.8)+(-1.740069+(-0.077112--0.576504))+0-283.4--0.433602000000016</f>
        <v>526.69292499999995</v>
      </c>
      <c r="AC274" s="3">
        <f>1142+(25.4-388.5)+(-1.16484+(-0.025908--0.39627))+0-282.1--0.287742000000045</f>
        <v>496.29326399999997</v>
      </c>
      <c r="AD274">
        <f t="shared" si="4"/>
        <v>12180.986830999998</v>
      </c>
      <c r="AE274" s="3">
        <f>1196+(96.9-418.8)+(0+(0-0))+0-281.4-0</f>
        <v>592.70000000000005</v>
      </c>
    </row>
    <row r="275" spans="1:31" s="2" customFormat="1" x14ac:dyDescent="0.25">
      <c r="A275">
        <v>89</v>
      </c>
      <c r="B275">
        <v>9</v>
      </c>
      <c r="C275">
        <v>29</v>
      </c>
      <c r="D275">
        <v>3</v>
      </c>
      <c r="E275">
        <v>1</v>
      </c>
      <c r="F275" s="3">
        <f>1142.6+(0-405.1)+(-2.91363+(0--1.033005))+0-279.9--0.713744999999959</f>
        <v>456.43311999999986</v>
      </c>
      <c r="G275" s="3">
        <f>1142+(0-421)+(0.58242+(0-0.21471))+0-281.9-0.143768999999971</f>
        <v>439.32394100000005</v>
      </c>
      <c r="H275" s="3">
        <f>1144.3+(0-428.5)+(-1.167186+(0--0.43707))+0-284.5--0.290190000000045</f>
        <v>430.86007400000005</v>
      </c>
      <c r="I275" s="3">
        <f>1143+(0-425.2)+(-0.58293+(0--0.216852))+0-281.6--0.143615999999971</f>
        <v>435.97753799999987</v>
      </c>
      <c r="J275" s="3">
        <f>1139.5+(0-420.2)+(1.16229+(0-0.428604))+0-280.4-0.286008000000045</f>
        <v>439.34767799999997</v>
      </c>
      <c r="K275" s="3">
        <f>1143+(0-399.2)+(-2.33172+(0--0.814368))+0-280--0.571199999999988</f>
        <v>462.85384799999997</v>
      </c>
      <c r="L275" s="3">
        <f>1141.3+(13.4-384.9)+(-1.164126+(-0.013668--0.392598))+0-279.1--0.284682000000045</f>
        <v>490.19948599999992</v>
      </c>
      <c r="M275" s="3">
        <f>1171.7+(13.2-415.2)+(-0.597567+(-0.006732--0.211752))+0-278.7--0.142136999999972</f>
        <v>490.74959000000001</v>
      </c>
      <c r="N275" s="3">
        <f>1172.4+(61.2-440.7)+(-1.793772+(-0.093636--0.674271))+0-279--0.426870000000016</f>
        <v>513.11373300000014</v>
      </c>
      <c r="O275" s="3">
        <f>1156.5+(67.9-412.9)+(-1.17963+(-0.069258--0.421158))+0-277.9--0.283458000000044</f>
        <v>533.05572800000004</v>
      </c>
      <c r="P275" s="3">
        <f>1148.4+(66.7-418.8)+(-1.757052+(-0.102051--0.640764))+0-280.5--0.429165000000016</f>
        <v>515.01082600000007</v>
      </c>
      <c r="Q275" s="3">
        <f>1144.4+(70.6-416.3)+(-1.750932+(-0.108018--0.636939))+0-283.4--0.433602000000016</f>
        <v>514.51159100000018</v>
      </c>
      <c r="R275" s="3">
        <f>1139.7+(97.8-430.4)+(-1.162494+(-0.099756--0.439008))+0-284.7--0.290394000000045</f>
        <v>521.86715200000015</v>
      </c>
      <c r="S275" s="3">
        <f>1137.5+(113.8-461.5)+(-2.3205+(-0.232152--0.94146))+0-281.5--0.574259999999988</f>
        <v>507.26306799999998</v>
      </c>
      <c r="T275" s="3">
        <f>1135.7+(83.8-421.5)+(-1.737621+(-0.128214--0.644895))+0-281.6--0.430848000000016</f>
        <v>515.6099079999999</v>
      </c>
      <c r="U275" s="3">
        <f>1134.3+(75.3-404.5)+(-1.735479+(-0.115209--0.618885))+0-280.7--0.429471000000016</f>
        <v>523.597668</v>
      </c>
      <c r="V275" s="3">
        <f>1143.2+(55.8-386.4)+(-1.749096+(-0.085374--0.591192))+0-282.3--0.431919000000016</f>
        <v>529.48864100000003</v>
      </c>
      <c r="W275" s="3">
        <f>1154+(111.2-391.6)+(0.58854+(0.056712-0.199716))+0-282.8-0.144227999999971</f>
        <v>591.1013079999999</v>
      </c>
      <c r="X275" s="3">
        <f>1271.9+(78.6-487.1)+(-3.892014+(-0.240516--1.490526))+0-285--0.872100000000033</f>
        <v>576.63009600000009</v>
      </c>
      <c r="Y275" s="3">
        <f>1296.9+(51.9-499.1)+(-1.322838+(-0.052938--0.509082))+0-284.3--0.289986000000045</f>
        <v>564.82329200000004</v>
      </c>
      <c r="Z275" s="3">
        <f>1299.7+(41.3-511.3)+(-1.325694+(-0.042126--0.521526))+0-282.3--0.287946000000045</f>
        <v>546.84165200000018</v>
      </c>
      <c r="AA275" s="3">
        <f>1297.2+(31.1-518.3)+(-2.646288+(-0.063444--1.057332))+0-280.9--0.573035999999988</f>
        <v>528.02063600000008</v>
      </c>
      <c r="AB275" s="3">
        <f>1308.8+(11.4-534.4)+(-2.669952+(-0.023256--1.090176))+0-280.4--0.572015999999988</f>
        <v>504.36898399999995</v>
      </c>
      <c r="AC275" s="3">
        <f>1308.5+(0-540.2)+(-2.002005+(0--0.826506))+0-281.8--0.431154000000016</f>
        <v>485.75565499999999</v>
      </c>
      <c r="AD275">
        <f t="shared" si="4"/>
        <v>12116.805213000003</v>
      </c>
      <c r="AE275" s="3">
        <f>1159+(117.9-384.6)+(0+(0-0))+0-278.4-0</f>
        <v>613.9</v>
      </c>
    </row>
    <row r="276" spans="1:31" s="2" customFormat="1" x14ac:dyDescent="0.25">
      <c r="A276">
        <v>89</v>
      </c>
      <c r="B276">
        <v>9</v>
      </c>
      <c r="C276">
        <v>30</v>
      </c>
      <c r="D276">
        <v>4</v>
      </c>
      <c r="E276">
        <v>1</v>
      </c>
      <c r="F276" s="3">
        <f>1222.2+(21.1-507.5)+(-1.246644+(-0.021522--0.51765))+0-279.5--0.285090000000045</f>
        <v>455.83457400000015</v>
      </c>
      <c r="G276" s="3">
        <f>1222.5+(0-497.8)+(1.24695+(0-0.507756))+0-281.9-0.287538000000045</f>
        <v>443.25165600000003</v>
      </c>
      <c r="H276" s="3">
        <f>1226.5+(0-508.5)+(-1.25103+(0--0.51867))+0-281.8--0.287436000000045</f>
        <v>435.75507600000009</v>
      </c>
      <c r="I276" s="3">
        <f>1228.2+(0-516.2)+(-3.13191+(0--1.31631))+0-283.2--0.722159999999959</f>
        <v>427.70655999999997</v>
      </c>
      <c r="J276" s="3">
        <f>1230+(0-518.4)+(-1.2546+(0--0.528768))+0-284.9--0.290598000000045</f>
        <v>426.26476600000012</v>
      </c>
      <c r="K276" s="3">
        <f>1230.9+(0-490.8)+(-0.627759+(0--0.250308))+0-280.9--0.143258999999971</f>
        <v>458.96580800000015</v>
      </c>
      <c r="L276" s="3">
        <f>1238.7+(41-511.9)+(-2.526948+(-0.08364--1.044276))+0-281.1--0.573443999999988</f>
        <v>485.707132</v>
      </c>
      <c r="M276" s="3">
        <f>1257.8+(30.8-516.1)+(-2.565912+(-0.062832--1.052844))+0-281.2--0.573647999999988</f>
        <v>490.29774799999996</v>
      </c>
      <c r="N276" s="3">
        <f>1319.7+(7.7-555.8)+(-0.673047+(-0.003927--0.283458))+0-281.6--0.143615999999971</f>
        <v>489.75010000000009</v>
      </c>
      <c r="O276" s="3">
        <f>1236.1+(14.3-495.9)+(-3.152055+(-0.036465--1.264545))+0-279.7--0.713234999999959</f>
        <v>473.58925999999991</v>
      </c>
      <c r="P276" s="3">
        <f>1188.9+(30.1-454)+(-0.606339+(-0.015351--0.23154))+0-281.4--0.143513999999971</f>
        <v>483.35336400000017</v>
      </c>
      <c r="Q276" s="3">
        <f>1288.5+(4.9-518.7)+(-1.971405+(-0.007497--0.793611))+0-283.1--0.433143000000016</f>
        <v>490.84785199999993</v>
      </c>
      <c r="R276" s="3">
        <f>1280.4+(69.4-535.9)+(-2.612016+(-0.141576--1.093236))+0-283.9--0.579155999999988</f>
        <v>528.91880000000015</v>
      </c>
      <c r="S276" s="3">
        <f>1248.3+(65.1-502.8)+(-0.636633+(-0.033201--0.256428))+0-281.2--0.143411999999971</f>
        <v>529.13000599999998</v>
      </c>
      <c r="T276" s="3">
        <f>1151.7+(104.3-455.4)+(-2.349468+(-0.212772--0.929016))+0-277.9--0.566915999999988</f>
        <v>521.63369200000011</v>
      </c>
      <c r="U276" s="3">
        <f>1150.9+(107.4-473.8)+(-1.760877+(-0.164322--0.724914))+0-281.2--0.430236000000016</f>
        <v>502.52995100000015</v>
      </c>
      <c r="V276" s="3">
        <f>1153.3+(107.6-452.5)+(0+(0-0))+0-282.2-0</f>
        <v>526.20000000000005</v>
      </c>
      <c r="W276" s="3">
        <f>1162.5+(152.3-401)+(1.18575+(0.155346-0.40902))+0-281.4-0.287028000000045</f>
        <v>633.04504799999995</v>
      </c>
      <c r="X276" s="3">
        <f>1168.2+(137.7-422.6)+(-3.574692+(-0.421362--1.293156))+0-280.9--0.859554000000032</f>
        <v>600.55665599999998</v>
      </c>
      <c r="Y276" s="3">
        <f>1175.5+(114.2-417.4)+(-4.196535+(-0.407694--1.490118))+0-280.5--1.001385</f>
        <v>589.687274</v>
      </c>
      <c r="Z276" s="3">
        <f>1180.5+(99.3-431.5)+(-3.010275+(-0.253215--1.100325))+0-278.4--0.70991999999996</f>
        <v>568.44675499999994</v>
      </c>
      <c r="AA276" s="3">
        <f>1185.4+(83.4-458.7)+(0.604554+(0.042534-0.233937))+0-278.2-0.141881999999972</f>
        <v>532.17126900000005</v>
      </c>
      <c r="AB276" s="3">
        <f>1184+(50.3-432.3)+(-1.81152+(-0.076959--0.661419))+0-279.7--0.427941000000016</f>
        <v>521.50088100000005</v>
      </c>
      <c r="AC276" s="3">
        <f>1180.4+(36-425)+(-2.408016+(-0.07344--0.867))+0-279.7--0.570587999999988</f>
        <v>510.65613200000007</v>
      </c>
      <c r="AD276">
        <f t="shared" si="4"/>
        <v>12125.800360000003</v>
      </c>
      <c r="AE276" s="3">
        <f>1164+(125.1-425.8)+(0+(0-0))+0-282.6-0</f>
        <v>580.69999999999993</v>
      </c>
    </row>
    <row r="277" spans="1:31" s="2" customFormat="1" x14ac:dyDescent="0.25">
      <c r="A277">
        <v>89</v>
      </c>
      <c r="B277">
        <v>10</v>
      </c>
      <c r="C277">
        <v>1</v>
      </c>
      <c r="D277">
        <v>5</v>
      </c>
      <c r="E277">
        <v>1</v>
      </c>
      <c r="F277" s="3">
        <f>1035.6+(41.9-370.2)+(0.528156+(0.021369-0.188802))+0-279.4-0.142493999999972</f>
        <v>428.11822899999999</v>
      </c>
      <c r="G277" s="3">
        <f>1032.3+(8-320.1)+(-1.579419+(-0.01224--0.489753))+0-278.2--0.425646000000016</f>
        <v>441.32373999999999</v>
      </c>
      <c r="H277" s="3">
        <f>1035.2+(0-345.9)+(-1.055904+(0--0.352818))+0-279.6--0.285192000000045</f>
        <v>409.28210600000011</v>
      </c>
      <c r="I277" s="3">
        <f>1035.7+(0-336.6)+(-0.528207+(0--0.171666))+0-283.2--0.144431999999971</f>
        <v>415.68789100000004</v>
      </c>
      <c r="J277" s="3">
        <f>1033.4+(4.4-334.2)+(-0.527034+(-0.002244--0.170442))+0-283.3--0.144482999999971</f>
        <v>420.08564700000011</v>
      </c>
      <c r="K277" s="3">
        <f>1031.9+(19.8-309.3)+(0+(0-0))+0-284.3-0</f>
        <v>458.10000000000008</v>
      </c>
      <c r="L277" s="3">
        <f>1084.3+(23-353.5)+(-2.764965+(-0.05865--0.901425))+0-283.3--0.722414999999959</f>
        <v>469.3002249999999</v>
      </c>
      <c r="M277" s="3">
        <f>1191.9+(3.7-425.4)+(-0.607869+(-0.001887--0.216954))+0-283.9--0.144788999999971</f>
        <v>486.05198700000005</v>
      </c>
      <c r="N277" s="3">
        <f>1179.6+(18.7-435.1)+(0.601596+(0.009537-0.221901))+0-281.4-0.143513999999971</f>
        <v>482.04571799999985</v>
      </c>
      <c r="O277" s="3">
        <f>1163.9+(6.8-391.4)+(0.593589+(0.003468-0.199614))+0-281.4-0.143513999999971</f>
        <v>498.15392900000018</v>
      </c>
      <c r="P277" s="3">
        <f>1150.7+(21.9-400.3)+(-1.760571+(-0.033507--0.612459))+0-279.6--0.427788000000016</f>
        <v>491.946169</v>
      </c>
      <c r="Q277" s="3">
        <f>1146.4+(23.2-376.3)+(-1.169328+(-0.023664--0.383826))+0-280.4--0.286008000000045</f>
        <v>512.37684200000012</v>
      </c>
      <c r="R277" s="3">
        <f>1146+(47.8-388)+(-1.16892+(-0.048756--0.39576))+0-281--0.286620000000045</f>
        <v>524.26470400000005</v>
      </c>
      <c r="S277" s="3">
        <f>1143.9+(31.8-372.5)+(-1.166778+(-0.032436--0.37995))+0-278.6--0.284172000000044</f>
        <v>524.06490800000006</v>
      </c>
      <c r="T277" s="3">
        <f>1140.9+(26.4-377.4)+(2.909295+(0.06732-0.96237))+0-279.1-0.71170499999996</f>
        <v>512.10254000000009</v>
      </c>
      <c r="U277" s="3">
        <f>1145.8+(45.4-389.4)+(0.584358+(0.023154-0.198594))+0-279.4-0.142493999999972</f>
        <v>522.66642400000001</v>
      </c>
      <c r="V277" s="3">
        <f>1276.5+(30.7-483.6)+(-1.953045+(-0.046971--0.739908))+0-282.9--0.432837000000016</f>
        <v>539.87272900000005</v>
      </c>
      <c r="W277" s="3">
        <f>1238.9+(119.6-479.4)+(-0.631839+(-0.060996--0.244494))+0-283.6--0.144635999999971</f>
        <v>595.19629500000008</v>
      </c>
      <c r="X277" s="3">
        <f>1127.1+(155-413.4)+(-2.299284+(-0.3162--0.843336))+0-281.7--0.574667999999988</f>
        <v>585.80251999999996</v>
      </c>
      <c r="Y277" s="3">
        <f>1052.8+(130.3-354.2)+(-2.68464+(-0.332265--0.90321))+0-280.3--0.714764999999959</f>
        <v>547.20106999999985</v>
      </c>
      <c r="Z277" s="3">
        <f>1056.4+(82.9-310.3)+(-1.616292+(-0.126837--0.474759))+0-280.3--0.428859000000016</f>
        <v>547.86048900000003</v>
      </c>
      <c r="AA277" s="3">
        <f>1057.1+(65.7-311.7)+(0+(0-0))+0-285.9-0</f>
        <v>525.19999999999993</v>
      </c>
      <c r="AB277" s="3">
        <f>1066.4+(44.1-315.5)+(-2.71932+(-0.112455--0.804525))+0-285.6--0.728279999999959</f>
        <v>508.10103000000009</v>
      </c>
      <c r="AC277" s="3">
        <f>1075.7+(20.9-337.6)+(-1.645821+(-0.031977--0.516528))+0-284.6--0.435438000000016</f>
        <v>473.67416800000007</v>
      </c>
      <c r="AD277">
        <f t="shared" si="4"/>
        <v>11918.479360000001</v>
      </c>
      <c r="AE277" s="3">
        <f>1193+(129-409.1)+(0+(0-0))+0-282-0</f>
        <v>630.9</v>
      </c>
    </row>
    <row r="278" spans="1:31" s="2" customFormat="1" x14ac:dyDescent="0.25">
      <c r="A278">
        <v>89</v>
      </c>
      <c r="B278">
        <v>10</v>
      </c>
      <c r="C278">
        <v>2</v>
      </c>
      <c r="D278">
        <v>6</v>
      </c>
      <c r="E278">
        <v>1</v>
      </c>
      <c r="F278" s="3">
        <f>1076.2+(0-366.7)+(-2.74431+(0--0.935085))+0-283--0.721649999999959</f>
        <v>425.41242499999998</v>
      </c>
      <c r="G278" s="3">
        <f>1081.5+(2-383.7)+(0+(0-0))+0-284.8-0</f>
        <v>414.99999999999994</v>
      </c>
      <c r="H278" s="3">
        <f>1084+(0-399.4)+(-2.7642+(0--1.01847))+0-284.9--0.726494999999959</f>
        <v>398.68076500000001</v>
      </c>
      <c r="I278" s="3">
        <f>1083.5+(7.7-409.1)+(0.552585+(0.003927-0.208641))+0-284.5-0.145094999999971</f>
        <v>397.80277599999999</v>
      </c>
      <c r="J278" s="3">
        <f>1082.8+(11.3-411.8)+(1.656684+(0.017289-0.630054))+0-283.4-0.433602000000016</f>
        <v>399.51031699999993</v>
      </c>
      <c r="K278" s="3">
        <f>1087.9+(37.3-410.4)+(2.219316+(0.076092-0.837216))+0-282.5-0.576299999999988</f>
        <v>433.18189200000023</v>
      </c>
      <c r="L278" s="3">
        <f>1098+(86.2-435.4)+(2.7999+(0.21981-1.11027))+0-280.8-0.716039999999959</f>
        <v>469.1934</v>
      </c>
      <c r="M278" s="3">
        <f>1091.7+(102.2-419)+(-0.556767+(-0.052122--0.21369))+0-281--0.143309999999971</f>
        <v>493.64811100000003</v>
      </c>
      <c r="N278" s="3">
        <f>1072.5+(89.1-417.6)+(-1.09395+(-0.090882--0.425952))+0-278.7--0.284274000000044</f>
        <v>464.82539400000007</v>
      </c>
      <c r="O278" s="3">
        <f>1066.1+(99.5-406.6)+(-0.543711+(-0.050745--0.207366))+0-281.3--0.143462999999971</f>
        <v>477.45637299999993</v>
      </c>
      <c r="P278" s="3">
        <f>1047+(110.4-371.2)+(1.06794+(0.112608-0.378624))+0-284.7-0.290394000000045</f>
        <v>502.01152999999999</v>
      </c>
      <c r="Q278" s="3">
        <f>1049.6+(112.5-353.3)+(-0.535296+(-0.057375--0.180183))+0-288.3--0.147032999999971</f>
        <v>520.2345449999998</v>
      </c>
      <c r="R278" s="3">
        <f>1046.5+(85.6-347.5)+(-1.601145+(-0.130968--0.531675))+0-283.2--0.433296000000016</f>
        <v>500.63285800000011</v>
      </c>
      <c r="S278" s="3">
        <f>1046.3+(87.2-358.6)+(-1.067226+(-0.088944--0.365772))+0-285.4--0.291108000000046</f>
        <v>489.00070999999997</v>
      </c>
      <c r="T278" s="3">
        <f>1044.8+(87.8-353.2)+(-0.532848+(-0.044778--0.180132))+0-283.1--0.144380999999971</f>
        <v>496.04688699999986</v>
      </c>
      <c r="U278" s="3">
        <f>1044.7+(85.5-352.7)+(1.065594+(0.08721-0.359754))+0-281.5-0.287130000000045</f>
        <v>496.50591999999995</v>
      </c>
      <c r="V278" s="3">
        <f>1048.8+(98-355.1)+(-1.604664+(-0.14994--0.543303))+0-283.8--0.434214000000016</f>
        <v>507.12291299999987</v>
      </c>
      <c r="W278" s="3">
        <f>1049.3+(160-356)+(-1.605429+(-0.2448--0.54468))+0-289.7--0.443241000000017</f>
        <v>562.73769200000004</v>
      </c>
      <c r="X278" s="3">
        <f>1053.9+(150-362.4)+(-1.074978+(-0.153--0.369648))+0-286.8--0.292536000000046</f>
        <v>554.13420600000006</v>
      </c>
      <c r="Y278" s="3">
        <f>1064.3+(127.4-373.4)+(-0.542793+(-0.064974--0.190434))+0-285.2--0.145451999999971</f>
        <v>532.82811900000002</v>
      </c>
      <c r="Z278" s="3">
        <f>1067+(84.1-345.7)+(-0.54417+(-0.042891--0.176307))+0-284.5--0.145094999999971</f>
        <v>520.63434099999995</v>
      </c>
      <c r="AA278" s="3">
        <f>1068.8+(57.9-338.5)+(-3.270528+(-0.177174--1.03581))+0-283.7--0.868122000000033</f>
        <v>502.95623000000001</v>
      </c>
      <c r="AB278" s="3">
        <f>1069.5+(42.4-343.9)+(-1.636335+(-0.064872--0.526167))+0-282.9--0.432837000000016</f>
        <v>484.35779700000006</v>
      </c>
      <c r="AC278" s="3">
        <f>1071.6+(28.1-356.1)+(-1.639548+(-0.042993--0.544833))+0-286.2--0.437886000000017</f>
        <v>456.70017799999994</v>
      </c>
      <c r="AD278">
        <f t="shared" si="4"/>
        <v>11500.615378999999</v>
      </c>
      <c r="AE278" s="3">
        <f>1055+(164-330.8)+(0+(0-0))+0-294.5-0</f>
        <v>593.70000000000005</v>
      </c>
    </row>
    <row r="279" spans="1:31" s="2" customFormat="1" x14ac:dyDescent="0.25">
      <c r="A279">
        <v>89</v>
      </c>
      <c r="B279">
        <v>10</v>
      </c>
      <c r="C279">
        <v>3</v>
      </c>
      <c r="D279">
        <v>7</v>
      </c>
      <c r="E279">
        <v>1</v>
      </c>
      <c r="F279" s="3">
        <f>1078.7+(16.6-418.2)+(0+(0-0))+0-283.5-0</f>
        <v>393.60000000000014</v>
      </c>
      <c r="G279" s="3">
        <f>1080.6+(4.7-417)+(-2.75553+(-0.011985--1.06335))+0-283.7--0.723434999999959</f>
        <v>383.61926999999991</v>
      </c>
      <c r="H279" s="3">
        <f>1085.9+(13.3-409.9)+(1.107618+(0.013566-0.418098))+0-284.1-0.289782000000045</f>
        <v>405.61330400000008</v>
      </c>
      <c r="I279" s="3">
        <f>1086+(12.4-409)+(0+(0-0))+0-284.8-0</f>
        <v>404.59999999999997</v>
      </c>
      <c r="J279" s="3">
        <f>1088.1+(15.3-417.3)+(0+(0-0))+0-285.9-0</f>
        <v>400.19999999999993</v>
      </c>
      <c r="K279" s="3">
        <f>1089.6+(32.2-415)+(-0.555696+(-0.016422--0.21165))+0-284--0.144839999999971</f>
        <v>422.58437199999997</v>
      </c>
      <c r="L279" s="3">
        <f>1094.9+(36.1-401.1)+(-0.558399+(-0.018411--0.204561))+0-280.6--0.143105999999972</f>
        <v>449.07085700000005</v>
      </c>
      <c r="M279" s="3">
        <f>1090.8+(51.7-403.3)+(-2.78154+(-0.131835--1.028415))+0-280.8--0.716039999999959</f>
        <v>457.23107999999991</v>
      </c>
      <c r="N279" s="3">
        <f>1082.6+(68.2-386.4)+(1.104252+(0.069564-0.394128))+0-281.6-0.287232000000045</f>
        <v>483.29245599999979</v>
      </c>
      <c r="O279" s="3">
        <f>1073.9+(89.1-371.2)+(0.547689+(0.045441-0.189312))+0-283.6-0.144635999999971</f>
        <v>508.45918200000006</v>
      </c>
      <c r="P279" s="3">
        <f>1061.4+(96.3-356.4)+(-3.247884+(-0.294678--1.090584))+0-282.5--0.864450000000033</f>
        <v>517.21247200000016</v>
      </c>
      <c r="Q279" s="3">
        <f>1054.7+(105.4-342.9)+(-1.075794+(-0.107508--0.349758))+0-281.3--0.286926000000045</f>
        <v>535.35338200000001</v>
      </c>
      <c r="R279" s="3">
        <f>1048.5+(135.3-372.9)+(-1.06947+(-0.138006--0.380358))+0-281--0.286620000000045</f>
        <v>529.35950200000013</v>
      </c>
      <c r="S279" s="3">
        <f>1046.5+(115.6-356.8)+(-2.13486+(-0.235824--0.727872))+0-282.4--0.576095999999988</f>
        <v>521.83328399999994</v>
      </c>
      <c r="T279" s="3">
        <f>1046.5+(92.4-348.5)+(-2.668575+(-0.23562--0.888675))+0-281--0.716549999999959</f>
        <v>508.10102999999992</v>
      </c>
      <c r="U279" s="3">
        <f>1045.6+(92.8-343.7)+(0+(0-0))+0-280-0</f>
        <v>514.69999999999993</v>
      </c>
      <c r="V279" s="3">
        <f>1048.2+(100.3-333.7)+(-0.534582+(-0.051153--0.170187))+0-279.9--0.142748999999972</f>
        <v>534.62720100000013</v>
      </c>
      <c r="W279" s="3">
        <f>1059.9+(127.2-319.6)+(-0.540549+(-0.064872--0.162996))+0-285--0.145349999999971</f>
        <v>582.20292500000005</v>
      </c>
      <c r="X279" s="3">
        <f>1064.5+(124.8-324.5)+(-2.714475+(-0.31824--0.827475))+0-284.4--0.725219999999959</f>
        <v>578.9199799999999</v>
      </c>
      <c r="Y279" s="3">
        <f>1124.9+(107.7-400)+(0.573699+(0.054927-0.204))+0-282.9-0.144278999999971</f>
        <v>549.98034700000017</v>
      </c>
      <c r="Z279" s="3">
        <f>1180.7+(93.6-433.2)+(0.602157+(0.047736-0.220932))+0-282.5-0.144074999999971</f>
        <v>558.88488600000005</v>
      </c>
      <c r="AA279" s="3">
        <f>1178.6+(75.5-450.8)+(0+(0-0))+0-281.9-0</f>
        <v>521.4</v>
      </c>
      <c r="AB279" s="3">
        <f>1178.1+(58.7-452.8)+(-1.802493+(-0.089811--0.692784))+0-281.2--0.430236000000016</f>
        <v>502.03071599999993</v>
      </c>
      <c r="AC279" s="3">
        <f>1184.6+(43.2-474.6)+(-1.208292+(-0.044064--0.484092))+0-280.4--0.286008000000045</f>
        <v>472.31774399999983</v>
      </c>
      <c r="AD279">
        <f t="shared" si="4"/>
        <v>11735.19399</v>
      </c>
      <c r="AE279" s="3">
        <f>1070+(108.9-297.9)+(0+(0-0))+0-284.4-0</f>
        <v>596.6</v>
      </c>
    </row>
    <row r="280" spans="1:31" s="2" customFormat="1" x14ac:dyDescent="0.25">
      <c r="A280">
        <v>89</v>
      </c>
      <c r="B280">
        <v>10</v>
      </c>
      <c r="C280">
        <v>4</v>
      </c>
      <c r="D280">
        <v>1</v>
      </c>
      <c r="E280">
        <v>1</v>
      </c>
      <c r="F280" s="3">
        <f>1202.1+(23.2-511.1)+(-2.452284+(-0.047328--1.042644))+0-280.6--0.572423999999988</f>
        <v>432.71545599999985</v>
      </c>
      <c r="G280" s="3">
        <f>1198.8+(0-457.7)+(0+(0-0))+0-279.5-0</f>
        <v>461.59999999999991</v>
      </c>
      <c r="H280" s="3">
        <f>1196.5+(0-477.8)+(-1.830645+(0--0.731034))+0-280.6--0.429318000000016</f>
        <v>437.42970700000006</v>
      </c>
      <c r="I280" s="3">
        <f>1199.2+(0-496.8)+(1.834776+(0-0.760104))+0-280.1-0.428553000000016</f>
        <v>422.94611900000001</v>
      </c>
      <c r="J280" s="3">
        <f>1208.4+(0-515.7)+(-0.616284+(0--0.263007))+0-280.5--0.143054999999972</f>
        <v>411.98977799999994</v>
      </c>
      <c r="K280" s="3">
        <f>1209.4+(0-472.1)+(2.467176+(0-0.963084))+0-279.7-0.570587999999988</f>
        <v>458.53350400000011</v>
      </c>
      <c r="L280" s="3">
        <f>1204.4+(40.1-472.6)+(0.614244+(0.020451-0.241026))+0-278.2-0.141881999999972</f>
        <v>493.95178700000019</v>
      </c>
      <c r="M280" s="3">
        <f>1196.6+(53.4-487.9)+(-1.830798+(-0.081702--0.746487))+0-281.8--0.431154000000016</f>
        <v>479.56514099999987</v>
      </c>
      <c r="N280" s="3">
        <f>1195+(56.6-492.3)+(-1.82835+(-0.086598--0.753219))+0-278.6--0.426258000000016</f>
        <v>479.96452899999991</v>
      </c>
      <c r="O280" s="3">
        <f>1265.9+(48.7-535.5)+(0.645609+(0.024837-0.273105))+0-279.4-0.142493999999972</f>
        <v>499.95484700000014</v>
      </c>
      <c r="P280" s="3">
        <f>1280.8+(46.8-532.5)+(-1.959624+(-0.071604--0.814725))+0-280.8--0.429624000000016</f>
        <v>513.51312099999984</v>
      </c>
      <c r="Q280" s="3">
        <f>1278.9+(40.4-515.9)+(-2.608956+(-0.082416--1.052436))+0-281.4--0.574055999999988</f>
        <v>520.93512000000021</v>
      </c>
      <c r="R280" s="3">
        <f>1280.2+(20.6-492.9)+(-3.917412+(-0.063036--1.508274))+0-279--0.853740000000032</f>
        <v>527.28156600000011</v>
      </c>
      <c r="S280" s="3">
        <f>1277.4+(24.1-483.9)+(-1.954422+(-0.036873--0.740367))+0-283.5--0.433755000000016</f>
        <v>533.28282700000011</v>
      </c>
      <c r="T280" s="3">
        <f>1278.6+(19.7-480.4)+(-2.608344+(-0.040188--0.980016))+0-285.9--0.583235999999987</f>
        <v>530.91471999999987</v>
      </c>
      <c r="U280" s="3">
        <f>1280.8+(44.9-515.8)+(0+(0-0))+0-281.2-0</f>
        <v>528.70000000000005</v>
      </c>
      <c r="V280" s="3">
        <f>1285.6+(60.4-523.2)+(-3.933936+(-0.184824--1.600992))+0-279.2--0.854352000000032</f>
        <v>541.93658399999981</v>
      </c>
      <c r="W280" s="3">
        <f>1290.4+(89.7-492.5)+(-1.316208+(-0.091494--0.50235))+0-281.9--0.287538000000045</f>
        <v>605.08218600000021</v>
      </c>
      <c r="X280" s="3">
        <f>1295.4+(61.2-466.4)+(-2.642616+(-0.124848--0.951456))+0-282.4--0.576095999999988</f>
        <v>606.56008800000006</v>
      </c>
      <c r="Y280" s="3">
        <f>1294.6+(42-464.8)+(-0.660246+(-0.02142--0.237048))+0-282.9--0.144278999999971</f>
        <v>588.59966099999997</v>
      </c>
      <c r="Z280" s="3">
        <f>1299.4+(16.1-465)+(-1.988082+(-0.024633--0.71145))+0-281.5--0.430695000000016</f>
        <v>568.12943000000018</v>
      </c>
      <c r="AA280" s="3">
        <f>1302.1+(6.2-478.7)+(-2.656284+(-0.012648--0.976548))+0-280.1--0.571403999999988</f>
        <v>548.37901999999997</v>
      </c>
      <c r="AB280" s="3">
        <f>1302.7+(0-500.6)+(-1.993131+(0--0.765918))+0-281.8--0.431154000000016</f>
        <v>519.50394100000005</v>
      </c>
      <c r="AC280" s="3">
        <f>1309.2+(0-542.2)+(-1.335384+(0--0.553044))+0-280.7--0.286314000000045</f>
        <v>485.8039740000001</v>
      </c>
      <c r="AD280">
        <f t="shared" si="4"/>
        <v>12197.273106000002</v>
      </c>
      <c r="AE280" s="3">
        <f>1289+(106-445.3)+(0+(0-0))+0-281.4-0</f>
        <v>668.30000000000007</v>
      </c>
    </row>
    <row r="281" spans="1:31" s="2" customFormat="1" x14ac:dyDescent="0.25">
      <c r="A281">
        <v>89</v>
      </c>
      <c r="B281">
        <v>10</v>
      </c>
      <c r="C281">
        <v>5</v>
      </c>
      <c r="D281">
        <v>2</v>
      </c>
      <c r="E281">
        <v>1</v>
      </c>
      <c r="F281" s="3">
        <f>1315.6+(0-565.3)+(-0.670956+(0--0.288303))+0-281.4--0.143513999999971</f>
        <v>468.66086099999995</v>
      </c>
      <c r="G281" s="3">
        <f>1315.5+(0-588.5)+(-0.670905+(0--0.300135))+0-280--0.142799999999972</f>
        <v>446.77202999999997</v>
      </c>
      <c r="H281" s="3">
        <f>1316.1+(0-590.4)+(-2.013633+(0--0.903312))+0-282.8--0.432684000000016</f>
        <v>442.22236299999992</v>
      </c>
      <c r="I281" s="3">
        <f>1317.9+(0-611.2)+(-1.344258+(0--0.623424))+0-283.2--0.288864000000045</f>
        <v>423.06803000000014</v>
      </c>
      <c r="J281" s="3">
        <f>1324.9+(0-621)+(2.027097+(0-0.95013))+0-282.6-0.432378000000016</f>
        <v>421.94458900000001</v>
      </c>
      <c r="K281" s="3">
        <f>1325.4+(0-596.1)+(1.351908+(0-0.608022))+0-282.9-0.288558000000045</f>
        <v>446.85532800000004</v>
      </c>
      <c r="L281" s="3">
        <f>1324.3+(0-562.8)+(-0.675393+(0--0.287028))+0-280.7--0.143156999999972</f>
        <v>480.55479199999996</v>
      </c>
      <c r="M281" s="3">
        <f>1319.1+(0-576.5)+(-1.345482+(0--0.58803))+0-277.1--0.282642000000044</f>
        <v>465.02519000000001</v>
      </c>
      <c r="N281" s="3">
        <f>1303.8+(0-553.3)+(-3.32469+(0--1.410915))+0-279.9--0.713744999999959</f>
        <v>469.39997</v>
      </c>
      <c r="O281" s="3">
        <f>1308.9+(9-553.5)+(-2.002617+(-0.01377--0.846855))+0-279.6--0.427788000000016</f>
        <v>484.05825600000009</v>
      </c>
      <c r="P281" s="3">
        <f>1302.9+(14.2-540.6)+(0.664479+(0.007242-0.275706))+0-281.8-0.143717999999971</f>
        <v>494.95229700000016</v>
      </c>
      <c r="Q281" s="3">
        <f>1294.8+(24.7-526.6)+(-1.981044+(-0.037791--0.805698))+0-281.5--0.430695000000016</f>
        <v>510.61755799999992</v>
      </c>
      <c r="R281" s="3">
        <f>1291.1+(14.9-505.8)+(-1.975383+(-0.022797--0.773874))+0-282.1--0.431613000000016</f>
        <v>517.30730699999981</v>
      </c>
      <c r="S281" s="3">
        <f>1289.7+(0-483.7)+(1.973241+(0-0.740061))+0-281.6-0.430848000000016</f>
        <v>525.20233199999996</v>
      </c>
      <c r="T281" s="3">
        <f>1287.5+(0-482.2)+(-2.6265+(0--0.983688))+0-280.5--0.572219999999988</f>
        <v>523.72940799999992</v>
      </c>
      <c r="U281" s="3">
        <f>1287.6+(1.2-472.2)+(0+(0-0))+0-282.3-0</f>
        <v>534.29999999999995</v>
      </c>
      <c r="V281" s="3">
        <f>1291.8+(50.9-523.1)+(-1.317636+(-0.051918--0.533562))+0-281.2--0.286824000000045</f>
        <v>537.85083199999985</v>
      </c>
      <c r="W281" s="3">
        <f>1291.6+(98.5-502.6)+(-1.317432+(-0.10047--0.512652))+0-280.2--0.285804000000045</f>
        <v>606.68055400000003</v>
      </c>
      <c r="X281" s="3">
        <f>1294.8+(77.7-496.9)+(-3.962088+(-0.237762--1.520514))+0-279.2--0.854352000000032</f>
        <v>594.57501600000001</v>
      </c>
      <c r="Y281" s="3">
        <f>1297.3+(43.1-479.6)+(0.661623+(0.021981-0.244596))+0-283-0.144329999999971</f>
        <v>578.09467799999993</v>
      </c>
      <c r="Z281" s="3">
        <f>1301.2+(23.5-485.6)+(-1.990836+(-0.035955--0.742968))+0-281--0.429930000000016</f>
        <v>557.24610700000005</v>
      </c>
      <c r="AA281" s="3">
        <f>1299.2+(24.4-486.7)+(-2.650368+(-0.049776--0.992868))+0-282--0.575279999999988</f>
        <v>553.76800400000013</v>
      </c>
      <c r="AB281" s="3">
        <f>1300.2+(10.8-498.9)+(-0.663102+(-0.005508--0.254439))+0-281--0.143309999999971</f>
        <v>530.82913900000005</v>
      </c>
      <c r="AC281" s="3">
        <f>1304.2+(0-518.1)+(-5.986278+(0--2.378079))+0-282.1--1.29483900000005</f>
        <v>501.68664000000001</v>
      </c>
      <c r="AD281">
        <f t="shared" si="4"/>
        <v>12115.401281</v>
      </c>
      <c r="AE281" s="3">
        <f>1294+(93.9-532.6)+(0+(0-0))+0-279-0</f>
        <v>576.29999999999995</v>
      </c>
    </row>
    <row r="282" spans="1:31" s="2" customFormat="1" x14ac:dyDescent="0.25">
      <c r="A282">
        <v>89</v>
      </c>
      <c r="B282">
        <v>10</v>
      </c>
      <c r="C282">
        <v>6</v>
      </c>
      <c r="D282">
        <v>3</v>
      </c>
      <c r="E282">
        <v>1</v>
      </c>
      <c r="F282" s="3">
        <f>1220+(0-483.4)+(-2.4888+(0--0.986136))+0-280.5--0.572219999999988</f>
        <v>455.16955600000006</v>
      </c>
      <c r="G282" s="3">
        <f>1050+(11.3-348.2)+(-0.5355+(-0.005763--0.177582))+0-280.6--0.143105999999972</f>
        <v>432.27942499999995</v>
      </c>
      <c r="H282" s="3">
        <f>992.4+(20-311.9)+(-1.012248+(-0.0204--0.318138))+0-282.3--0.287946000000045</f>
        <v>417.773436</v>
      </c>
      <c r="I282" s="3">
        <f>994+(9.1-307.3)+(0.50694+(0.004641-0.156723))+0-280.9-0.143258999999971</f>
        <v>415.11159900000007</v>
      </c>
      <c r="J282" s="3">
        <f>993+(0-308.1)+(-1.51929+(0--0.471393))+0-278.8--0.426564000000016</f>
        <v>405.47866699999997</v>
      </c>
      <c r="K282" s="3">
        <f>994.4+(14.4-290.4)+(1.521432+(0.022032-0.444312))+0-277.8-0.425034000000016</f>
        <v>441.27411799999993</v>
      </c>
      <c r="L282" s="3">
        <f>994.5+(44.9-266.4)+(-0.507195+(-0.022899--0.135864))+0-278.2--0.141881999999972</f>
        <v>494.54765199999997</v>
      </c>
      <c r="M282" s="3">
        <f>996.5+(52.4-272.5)+(1.01643+(0.053448-0.27795))+0-277.3-0.282846000000044</f>
        <v>499.60908199999989</v>
      </c>
      <c r="N282" s="3">
        <f>930.8+(81.4-237)+(0+(0-0))+0-278.6-0</f>
        <v>496.59999999999991</v>
      </c>
      <c r="O282" s="3">
        <f>741.5+(215-172.4)+(-1.134495+(-0.32895--0.263772))+0-278.3--0.425799000000016</f>
        <v>505.02612600000009</v>
      </c>
      <c r="P282" s="3">
        <f>808.5+(164.4-205.3)+(-1.237005+(-0.251532--0.314109))+0-278.5--0.426105000000016</f>
        <v>488.351677</v>
      </c>
      <c r="Q282" s="3">
        <f>1048.7+(94.1-367.5)+(-0.534837+(-0.047991--0.187425))+0-277.8--0.141677999999972</f>
        <v>497.24627500000003</v>
      </c>
      <c r="R282" s="3">
        <f>1036.7+(61.2-340.1)+(-1.586151+(-0.093636--0.520353))+0-278--0.425340000000016</f>
        <v>479.06590599999993</v>
      </c>
      <c r="S282" s="3">
        <f>1038.1+(64-331.8)+(-1.588293+(-0.09792--0.507654))+0-277.3--0.424269000000016</f>
        <v>492.24571000000003</v>
      </c>
      <c r="T282" s="3">
        <f>1039.7+(51.3-321)+(-0.530247+(-0.026163--0.16371))+0-276.4--0.140963999999972</f>
        <v>493.34826400000003</v>
      </c>
      <c r="U282" s="3">
        <f>1039.8+(63.8-339.7)+(1.590894+(0.097614-0.519741))+0-277.5-0.424575000000016</f>
        <v>487.14419199999998</v>
      </c>
      <c r="V282" s="3">
        <f>1043+(79.9-360.7)+(-2.12772+(-0.162996--0.735828))+0-277.6--0.566303999999988</f>
        <v>483.61141600000002</v>
      </c>
      <c r="W282" s="3">
        <f>1044.5+(120.2-316.5)+(-1.598085+(-0.183906--0.484245))+0-278.8--0.426564000000016</f>
        <v>568.52881800000011</v>
      </c>
      <c r="X282" s="3">
        <f>1044.7+(109.5-304.1)+(-0.532797+(-0.055845--0.155091))+0-278.8--0.142187999999972</f>
        <v>571.00863700000002</v>
      </c>
      <c r="Y282" s="3">
        <f>1044.4+(96-307)+(-0.532644+(-0.04896--0.15657))+0-277.9--0.141728999999972</f>
        <v>555.21669500000007</v>
      </c>
      <c r="Z282" s="3">
        <f>1046.8+(69.4-301.9)+(-1.067736+(-0.070788--0.307938))+0-278--0.283560000000044</f>
        <v>535.75297399999999</v>
      </c>
      <c r="AA282" s="3">
        <f>1048.6+(49.9-302.6)+(-0.534786+(-0.025449--0.154326))+0-279--0.142289999999972</f>
        <v>516.63638099999991</v>
      </c>
      <c r="AB282" s="3">
        <f>1024+(42.7-289.5)+(-1.04448+(-0.043554--0.29529))+0-278.4--0.283968000000044</f>
        <v>498.29122400000011</v>
      </c>
      <c r="AC282" s="3">
        <f>955.4+(46.8-252.6)+(-0.974508+(-0.047736--0.257652))+0-277.2--0.282744000000044</f>
        <v>471.91815199999996</v>
      </c>
      <c r="AD282">
        <f t="shared" si="4"/>
        <v>11701.235982</v>
      </c>
      <c r="AE282" s="3">
        <f>1042+(128.1-329.2)+(0+(0-0))+0-277.8-0</f>
        <v>563.09999999999991</v>
      </c>
    </row>
    <row r="283" spans="1:31" s="2" customFormat="1" x14ac:dyDescent="0.25">
      <c r="A283">
        <v>89</v>
      </c>
      <c r="B283">
        <v>10</v>
      </c>
      <c r="C283">
        <v>7</v>
      </c>
      <c r="D283">
        <v>4</v>
      </c>
      <c r="E283">
        <v>1</v>
      </c>
      <c r="F283" s="3">
        <f>905.6+(63.1-245.6)+(-2.30928+(-0.160905--0.62628))+0-277.3--0.70711499999996</f>
        <v>444.66321000000005</v>
      </c>
      <c r="G283" s="3">
        <f>907.2+(60-270.4)+(0+(0-0))+0-278-0</f>
        <v>418.80000000000007</v>
      </c>
      <c r="H283" s="3">
        <f>908.6+(47.5-271.8)+(-0.926772+(-0.04845--0.277236))+0-278.2--0.283764000000044</f>
        <v>405.68577799999997</v>
      </c>
      <c r="I283" s="3">
        <f>910.1+(38.7-268)+(0+(0-0))+0-278.1-0</f>
        <v>402.69999999999993</v>
      </c>
      <c r="J283" s="3">
        <f>909.8+(44.4-265.6)+(0.463998+(0.022644-0.135456))+0-276.9-0.141218999999972</f>
        <v>411.90996699999994</v>
      </c>
      <c r="K283" s="3">
        <f>909.4+(54.6-243.3)+(0+(0-0))+0-276.6-0</f>
        <v>444.09999999999991</v>
      </c>
      <c r="L283" s="3">
        <f>909.8+(70.8-231.4)+(-0.927996+(-0.072216--0.236028))+0-275.7--0.281214000000044</f>
        <v>473.01702999999998</v>
      </c>
      <c r="M283" s="3">
        <f>905.5+(92-240.6)+(-0.461805+(-0.04692--0.122706))+0-275.5--0.140504999999972</f>
        <v>481.15448599999991</v>
      </c>
      <c r="N283" s="3">
        <f>904.6+(89.1-226.6)+(3.229422+(0.318087-0.808962))+0-275.7-0.984249000000004</f>
        <v>493.1542980000001</v>
      </c>
      <c r="O283" s="3">
        <f>905.4+(128.8-261.1)+(0+(0-0))+0-276.6-0</f>
        <v>496.49999999999989</v>
      </c>
      <c r="P283" s="3">
        <f>902.5+(120.1-241.7)+(-0.92055+(-0.122502--0.246534))+0-277.4--0.282948000000044</f>
        <v>502.98643000000004</v>
      </c>
      <c r="Q283" s="3">
        <f>969.6+(98.7-280)+(-0.988992+(-0.100674--0.2856))+0-277.7--0.283254000000044</f>
        <v>510.07918799999999</v>
      </c>
      <c r="R283" s="3">
        <f>998.3+(81.4-286.4)+(-1.527399+(-0.124542--0.438192))+0-278.5--0.426105000000016</f>
        <v>514.01235599999995</v>
      </c>
      <c r="S283" s="3">
        <f>1085.8+(59.5-340.6)+(-2.215032+(-0.12138--0.694824))+0-277--0.565079999999988</f>
        <v>526.62349199999994</v>
      </c>
      <c r="T283" s="3">
        <f>1158+(37.3-411.8)+(1.77174+(0.057069-0.630054))+0-277.9-0.425187000000016</f>
        <v>506.37356800000003</v>
      </c>
      <c r="U283" s="3">
        <f>1162.1+(35.4-430.3)+(-2.370684+(-0.072216--0.877812))+0-277.1--0.565283999999988</f>
        <v>489.10019599999981</v>
      </c>
      <c r="V283" s="3">
        <f>1164.8+(38.7-397.4)+(-1.188096+(-0.039474--0.405348))+0-277.7--0.283254000000044</f>
        <v>527.86103199999991</v>
      </c>
      <c r="W283" s="3">
        <f>1170+(99.6-387.8)+(-0.5967+(-0.050796--0.197778))+0-279.3--0.142442999999972</f>
        <v>602.19272499999988</v>
      </c>
      <c r="X283" s="3">
        <f>1181.1+(84.5-393.7)+(-1.807083+(-0.129285--0.602361))+0-278.9--0.426717000000016</f>
        <v>592.0927099999999</v>
      </c>
      <c r="Y283" s="3">
        <f>1186.1+(61.5-395.1)+(-3.024555+(-0.156825--1.007505))+0-280.2--0.714509999999959</f>
        <v>570.84063499999991</v>
      </c>
      <c r="Z283" s="3">
        <f>1184.6+(47.5-394.6)+(0+(0-0))+0-280.4-0</f>
        <v>557.09999999999991</v>
      </c>
      <c r="AA283" s="3">
        <f>1192.6+(33.9-416.4)+(-1.824678+(-0.051867--0.637092))+0-279.6--0.427788000000016</f>
        <v>529.68833499999982</v>
      </c>
      <c r="AB283" s="3">
        <f>1057.7+(75.6-328.4)+(-1.618281+(-0.115668--0.502452))+0-278.9--0.426717000000016</f>
        <v>525.19522000000018</v>
      </c>
      <c r="AC283" s="3">
        <f>1015.9+(57.7-318.9)+(-3.108654+(-0.176562--0.975834))+0-280.2--0.857412000000032</f>
        <v>473.04803000000004</v>
      </c>
      <c r="AD283">
        <f t="shared" si="4"/>
        <v>11898.878686</v>
      </c>
      <c r="AE283" s="3">
        <f>1174+(87-362.6)+(0+(0-0))+0-277.8-0</f>
        <v>620.59999999999991</v>
      </c>
    </row>
    <row r="284" spans="1:31" s="2" customFormat="1" x14ac:dyDescent="0.25">
      <c r="A284">
        <v>89</v>
      </c>
      <c r="B284">
        <v>10</v>
      </c>
      <c r="C284">
        <v>8</v>
      </c>
      <c r="D284">
        <v>5</v>
      </c>
      <c r="E284">
        <v>1</v>
      </c>
      <c r="F284" s="3">
        <f>1017.4+(34.5-342.1)+(0+(0-0))+0-279-0</f>
        <v>430.79999999999995</v>
      </c>
      <c r="G284" s="3">
        <f>1031.2+(21-359.2)+(-1.051824+(-0.02142--0.366384))+0-280.5--0.286110000000045</f>
        <v>412.07925000000006</v>
      </c>
      <c r="H284" s="3">
        <f>1029.6+(0-365.1)+(-1.050192+(0--0.372402))+0-281.1--0.286722000000045</f>
        <v>383.00893199999996</v>
      </c>
      <c r="I284" s="3">
        <f>1035.1+(0-385)+(-1.055802+(0--0.3927))+0-279.4--0.284988000000045</f>
        <v>370.32188600000001</v>
      </c>
      <c r="J284" s="3">
        <f>1039.7+(0-369.5)+(-0.530247+(0--0.188445))+0-279.9--0.142748999999972</f>
        <v>390.10094700000002</v>
      </c>
      <c r="K284" s="3">
        <f>1036.7+(44.1-374.4)+(-1.057434+(-0.044982--0.381888))+0-279.4--0.284988000000045</f>
        <v>426.56446000000022</v>
      </c>
      <c r="L284" s="3">
        <f>1035.6+(72.8-350.7)+(-0.528156+(-0.037128--0.178857))+0-279.2--0.142391999999972</f>
        <v>478.25596499999989</v>
      </c>
      <c r="M284" s="3">
        <f>1043.2+(75.3-361.8)+(-1.064064+(-0.076806--0.369036))+0-277.6--0.283152000000044</f>
        <v>478.61131800000004</v>
      </c>
      <c r="N284" s="3">
        <f>1025.9+(69.8-343.9)+(0+(0-0))+0-277.6-0</f>
        <v>474.20000000000016</v>
      </c>
      <c r="O284" s="3">
        <f>1013.4+(94.7-356.5)+(1.033668+(0.096594-0.36363))+0-277.4-0.282948000000044</f>
        <v>474.68368399999986</v>
      </c>
      <c r="P284" s="3">
        <f>1002.8+(124.3-370.9)+(-0.511428+(-0.063393--0.189159))+0-277.6--0.141575999999972</f>
        <v>478.35591399999998</v>
      </c>
      <c r="Q284" s="3">
        <f>903.7+(160.2-285.6)+(0+(0-0))+0-278.1-0</f>
        <v>500.19999999999993</v>
      </c>
      <c r="R284" s="3">
        <f>840.5+(167.4-223.3)+(-1.285965+(-0.256122--0.341649))+0-277.5--0.424575000000016</f>
        <v>506.32413700000006</v>
      </c>
      <c r="S284" s="3">
        <f>921.6+(147.2-287.6)+(0+(0-0))+0-277.9-0</f>
        <v>503.30000000000007</v>
      </c>
      <c r="T284" s="3">
        <f>902.1+(160.8-283.8)+(0+(0-0))+0-279-0</f>
        <v>500.1</v>
      </c>
      <c r="U284" s="3">
        <f>938.5+(148.7-305.3)+(0+(0-0))+0-278.4-0</f>
        <v>503.5</v>
      </c>
      <c r="V284" s="3">
        <f>939.9+(160.5-307)+(-1.917396+(-0.32742--0.62628))+0-277--0.565079999999988</f>
        <v>515.34654399999999</v>
      </c>
      <c r="W284" s="3">
        <f>947.3+(179.3-268.5)+(0+(0-0))+0-278.6-0</f>
        <v>579.49999999999989</v>
      </c>
      <c r="X284" s="3">
        <f>951.1+(186.4-270.9)+(-2.425305+(-0.47532--0.690795))+0-279.6--0.71297999999996</f>
        <v>585.50315000000001</v>
      </c>
      <c r="Y284" s="3">
        <f>962.1+(165.3-276.9)+(-3.925368+(-0.674424--1.129752))+0-280--1.14239999999998</f>
        <v>568.17235999999991</v>
      </c>
      <c r="Z284" s="3">
        <f>1004.9+(111.1-284.3)+(0+(0-0))+0-280.2-0</f>
        <v>551.5</v>
      </c>
      <c r="AA284" s="3">
        <f>1115.4+(54.3-352.4)+(-1.137708+(-0.055386--0.359448))+0-280.3--0.285906000000045</f>
        <v>536.45226000000025</v>
      </c>
      <c r="AB284" s="3">
        <f>1066.6+(47.6-329.9)+(-1.087932+(-0.048552--0.336498))+0-280--0.285600000000045</f>
        <v>503.78561400000001</v>
      </c>
      <c r="AC284" s="3">
        <f>998.3+(52.6-306.3)+(-2.545665+(-0.13413--0.781065))+0-279.5--0.712724999999959</f>
        <v>463.91399499999989</v>
      </c>
      <c r="AD284">
        <f t="shared" si="4"/>
        <v>11614.580416000001</v>
      </c>
      <c r="AE284" s="3">
        <f>957+(187-280.9)+(0+(0-0))+0-282-0</f>
        <v>581.1</v>
      </c>
    </row>
    <row r="285" spans="1:31" s="2" customFormat="1" x14ac:dyDescent="0.25">
      <c r="A285">
        <v>89</v>
      </c>
      <c r="B285">
        <v>10</v>
      </c>
      <c r="C285">
        <v>9</v>
      </c>
      <c r="D285">
        <v>6</v>
      </c>
      <c r="E285">
        <v>1</v>
      </c>
      <c r="F285" s="3">
        <f>963.8+(56.4-300.2)+(-1.474614+(-0.086292--0.459306))+0-279--0.426870000000016</f>
        <v>440.32527000000005</v>
      </c>
      <c r="G285" s="3">
        <f>968.3+(43.6-312.6)+(0.493833+(0.022236-0.159426))+0-279.7-0.142646999999972</f>
        <v>419.81399599999997</v>
      </c>
      <c r="H285" s="3">
        <f>973.4+(39.1-323.6)+(-1.985736+(-0.079764--0.660144))+0-281.1--0.573443999999988</f>
        <v>406.96808799999997</v>
      </c>
      <c r="I285" s="3">
        <f>975.9+(39.9-331.7)+(-0.995418+(-0.040698--0.338334))+0-280.5--0.286110000000045</f>
        <v>403.18832800000001</v>
      </c>
      <c r="J285" s="3">
        <f>968.6+(48.5-320.5)+(-1.481958+(-0.074205--0.490365))+0-278.1--0.425493000000016</f>
        <v>417.85969500000004</v>
      </c>
      <c r="K285" s="3">
        <f>984.6+(89.8-347.9)+(0+(0-0))+0-277.6-0</f>
        <v>448.9</v>
      </c>
      <c r="L285" s="3">
        <f>983.7+(130.5-316.4)+(-1.505061+(-0.199665--0.484092))+0-278.3--0.425799000000016</f>
        <v>518.70516499999997</v>
      </c>
      <c r="M285" s="3">
        <f>983.9+(135.4-346.7)+(1.003578+(0.138108-0.353634))+0-276.9-0.282438000000044</f>
        <v>496.20561399999997</v>
      </c>
      <c r="N285" s="3">
        <f>963+(226.7-457.2)+(0.49113+(0.115617-0.233172))+0-276.8-0.141167999999972</f>
        <v>455.93240699999996</v>
      </c>
      <c r="O285" s="3">
        <f>930.9+(263.4-439.8)+(-2.373795+(-0.67167--1.12149))+0-277.8--0.70838999999996</f>
        <v>475.4844149999999</v>
      </c>
      <c r="P285" s="3">
        <f>861.8+(317.9-423.3)+(0+(0-0))+0-278.5-0</f>
        <v>477.89999999999986</v>
      </c>
      <c r="Q285" s="3">
        <f>858.2+(332.5-430.2)+(-0.875364+(-0.33915--0.438804))+0-278.4--0.283968000000044</f>
        <v>481.60825800000003</v>
      </c>
      <c r="R285" s="3">
        <f>853.5+(321.3-398.6)+(-1.74114+(-0.655452--0.813144))+0-277.7--0.566507999999988</f>
        <v>497.48306000000008</v>
      </c>
      <c r="S285" s="3">
        <f>850.3+(276.9-360.2)+(-1.300959+(-0.423657--0.551106))+0-277.9--0.425187000000016</f>
        <v>488.35167700000005</v>
      </c>
      <c r="T285" s="3">
        <f>849.1+(260.6-355.3)+(-0.433041+(-0.132906--0.181203))+0-276.7--0.141116999999972</f>
        <v>477.4563730000001</v>
      </c>
      <c r="U285" s="3">
        <f>850.3+(282.2-378)+(-0.433653+(-0.143922--0.19278))+0-278--0.141779999999972</f>
        <v>476.25698499999993</v>
      </c>
      <c r="V285" s="3">
        <f>852.5+(281.7-343.2)+(-1.7391+(-0.574668--0.700128))+0-276.7--0.564467999999988</f>
        <v>513.25082799999996</v>
      </c>
      <c r="W285" s="3">
        <f>894.6+(285.5-341.7)+(-1.368738+(-0.436815--0.522801))+0-278.1--0.425493000000016</f>
        <v>559.44274100000007</v>
      </c>
      <c r="X285" s="3">
        <f>939.4+(255.1-359.4)+(-2.874564+(-0.780606--1.099764))+0-277.6--0.849456000000032</f>
        <v>555.79405000000008</v>
      </c>
      <c r="Y285" s="3">
        <f>944+(204.5-328.6)+(0+(0-0))+0-278.1-0</f>
        <v>541.79999999999995</v>
      </c>
      <c r="Z285" s="3">
        <f>945.7+(145.4-281.8)+(-1.446921+(-0.222462--0.431154))+0-280.2--0.428706000000016</f>
        <v>528.29047700000012</v>
      </c>
      <c r="AA285" s="3">
        <f>947.2+(122.2-278.8)+(-0.483072+(-0.062322--0.142188))+0-277.5--0.141524999999972</f>
        <v>512.83831900000007</v>
      </c>
      <c r="AB285" s="3">
        <f>947+(103-271.3)+(-1.93188+(-0.21012--0.553452))+0-277.3--0.565691999999988</f>
        <v>500.3771440000001</v>
      </c>
      <c r="AC285" s="3">
        <f>866.2+(97-216.1)+(-2.650572+(-0.29682--0.661266))+0-278.1--0.850986000000032</f>
        <v>467.56486000000007</v>
      </c>
      <c r="AD285">
        <f t="shared" si="4"/>
        <v>11561.797750000002</v>
      </c>
      <c r="AE285" s="3">
        <f>941+(266-353.1)+(0+(0-0))+0-273.7-0</f>
        <v>580.20000000000005</v>
      </c>
    </row>
    <row r="286" spans="1:31" s="2" customFormat="1" x14ac:dyDescent="0.25">
      <c r="A286">
        <v>89</v>
      </c>
      <c r="B286">
        <v>10</v>
      </c>
      <c r="C286">
        <v>10</v>
      </c>
      <c r="D286">
        <v>7</v>
      </c>
      <c r="E286">
        <v>1</v>
      </c>
      <c r="F286" s="3">
        <f>841.7+(94.1-212.6)+(0+(0-0))+0-279.4-0</f>
        <v>443.80000000000007</v>
      </c>
      <c r="G286" s="3">
        <f>804.6+(85.3-189.1)+(-0.820692+(-0.087006--0.192882))+0-279.4--0.284988000000045</f>
        <v>420.9701720000001</v>
      </c>
      <c r="H286" s="3">
        <f>803.9+(71.2-181.9)+(0+(0-0))+0-282.1-0</f>
        <v>411.09999999999991</v>
      </c>
      <c r="I286" s="3">
        <f>803.7+(63.8-193.4)+(-1.229661+(-0.097614--0.295902))+0-280.7--0.429471000000016</f>
        <v>392.79809800000004</v>
      </c>
      <c r="J286" s="3">
        <f>805.8+(76.1-209.7)+(-0.821916+(-0.077622--0.213894))+0-279.4--0.284988000000045</f>
        <v>392.39934399999999</v>
      </c>
      <c r="K286" s="3">
        <f>808.1+(148.7-264.4)+(0.412131+(0.075837-0.134844))+0-279.5-0.142544999999972</f>
        <v>413.11057900000009</v>
      </c>
      <c r="L286" s="3">
        <f>810.1+(193.6-268.8)+(0+(0-0))+0-282.2-0</f>
        <v>452.7</v>
      </c>
      <c r="M286" s="3">
        <f>808.8+(183.6-263.8)+(-0.824976+(-0.187272--0.269076))+0-280.7--0.286314000000045</f>
        <v>447.44314200000002</v>
      </c>
      <c r="N286" s="3">
        <f>804.7+(205.7-249.9)+(-1.231191+(-0.314721--0.382347))+0-279.8--0.428094000000016</f>
        <v>479.96452900000008</v>
      </c>
      <c r="O286" s="3">
        <f>796.6+(238.4-251)+(-0.406266+(-0.121584--0.12801))+0-281--0.143309999999971</f>
        <v>502.74346999999995</v>
      </c>
      <c r="P286" s="3">
        <f>791.1+(269.3-253.9)+(-2.017305+(-0.686715--0.647445))+0-280.5--0.715274999999959</f>
        <v>524.65869999999995</v>
      </c>
      <c r="Q286" s="3">
        <f>784.8+(292.4-264.7)+(0.400248+(0.149124-0.134997))+0-279.8-0.142697999999972</f>
        <v>532.97167699999989</v>
      </c>
      <c r="R286" s="3">
        <f>782.3+(311.5-260.2)+(-0.797946+(-0.31773--0.265404))+0-278.4--0.283968000000044</f>
        <v>554.63369599999999</v>
      </c>
      <c r="S286" s="3">
        <f>781.4+(266.9-237.1)+(-2.391084+(-0.816714--0.725526))+0-277.8--0.850068000000032</f>
        <v>531.76779599999998</v>
      </c>
      <c r="T286" s="3">
        <f>781+(235.4-219.8)+(0.79662+(0.240108-0.224196))+0-277.6-0.283152000000044</f>
        <v>519.52937999999995</v>
      </c>
      <c r="U286" s="3">
        <f>781.2+(226.7-220.2)+(-0.398412+(-0.115617--0.112302))+0-277.2--0.141371999999972</f>
        <v>510.239645</v>
      </c>
      <c r="V286" s="3">
        <f>784.7+(243.8-258.4)+(-0.400197+(-0.124338--0.131784))+0-277.9--0.141728999999972</f>
        <v>491.94897800000018</v>
      </c>
      <c r="W286" s="3">
        <f>789.6+(339.1-266.3)+(0.402696+(0.172941-0.135813))+0-278.8-0.142187999999972</f>
        <v>583.89763600000026</v>
      </c>
      <c r="X286" s="3">
        <f>792.1+(344.5-255.7)+(-1.211913+(-0.527085--0.391221))+0-278.9--0.426717000000016</f>
        <v>601.07894000000022</v>
      </c>
      <c r="Y286" s="3">
        <f>798.8+(306.9-234.9)+(-0.407388+(-0.156519--0.119799))+0-279--0.142289999999972</f>
        <v>591.49818199999993</v>
      </c>
      <c r="Z286" s="3">
        <f>795.4+(274.5-217)+(0.405654+(0.139995-0.11067))+0-278.2-0.141881999999972</f>
        <v>574.99309699999992</v>
      </c>
      <c r="AA286" s="3">
        <f>801.5+(232.5-202.1)+(-1.226295+(-0.355725--0.309213))+0-280.5--0.429165000000016</f>
        <v>550.55635800000005</v>
      </c>
      <c r="AB286" s="3">
        <f>804.8+(185.1-182.1)+(-2.05224+(-0.472005--0.464355))+0-278.1--0.70915499999996</f>
        <v>528.34926499999995</v>
      </c>
      <c r="AC286" s="3">
        <f>803.9+(144.4-169.7)+(-0.409989+(-0.073644--0.086547))+0-279.4--0.142493999999972</f>
        <v>498.9454080000001</v>
      </c>
      <c r="AD286">
        <f t="shared" si="4"/>
        <v>11952.098092</v>
      </c>
      <c r="AE286" s="3">
        <f>793+(328.6-271)+(0+(0-0))+0-285.6-0</f>
        <v>565</v>
      </c>
    </row>
    <row r="287" spans="1:31" s="2" customFormat="1" x14ac:dyDescent="0.25">
      <c r="A287">
        <v>89</v>
      </c>
      <c r="B287">
        <v>10</v>
      </c>
      <c r="C287">
        <v>11</v>
      </c>
      <c r="D287">
        <v>1</v>
      </c>
      <c r="E287">
        <v>1</v>
      </c>
      <c r="F287" s="3">
        <f>826.8+(100.2-213.5)+(-2.10834+(-0.25551--0.544425))+0-280.3--0.714764999999959</f>
        <v>432.09533999999991</v>
      </c>
      <c r="G287" s="3">
        <f>873.6+(59.6-230.2)+(-2.22768+(-0.15198--0.58701))+0-280.3--0.714764999999959</f>
        <v>421.62211499999995</v>
      </c>
      <c r="H287" s="3">
        <f>905.5+(43.1-243.5)+(-1.84722+(-0.087924--0.49674))+0-281.1--0.573443999999988</f>
        <v>423.13504</v>
      </c>
      <c r="I287" s="3">
        <f>996.1+(15.6-301.4)+(-1.016022+(-0.015912--0.307428))+0-280.9--0.286518000000045</f>
        <v>428.96201200000013</v>
      </c>
      <c r="J287" s="3">
        <f>1031+(15.3-327.6)+(0+(0-0))+0-280.2-0</f>
        <v>438.50000000000006</v>
      </c>
      <c r="K287" s="3">
        <f>1036.7+(39.1-323.9)+(1.586151+(0.059823-0.495567))+0-279.3-0.427329000000016</f>
        <v>473.32307800000001</v>
      </c>
      <c r="L287" s="3">
        <f>1049.8+(73.5-317.1)+(-1.070796+(-0.07497--0.323442))+0-279.2--0.284784000000045</f>
        <v>526.46246000000008</v>
      </c>
      <c r="M287" s="3">
        <f>1047.3+(76.6-352.6)+(0.534123+(0.039066-0.179826))+0-278-0.141779999999972</f>
        <v>493.55158299999999</v>
      </c>
      <c r="N287" s="3">
        <f>1052.5+(149-383)+(-1.07355+(-0.15198--0.39066))+0-279--0.284580000000044</f>
        <v>538.94970999999998</v>
      </c>
      <c r="O287" s="3">
        <f>959.1+(180-352.6)+(0+(0-0))+0-280.1-0</f>
        <v>506.4</v>
      </c>
      <c r="P287" s="3">
        <f>965.4+(182-371.5)+(0.492354+(0.09282-0.189465))+0-279.6-0.142595999999972</f>
        <v>496.553113</v>
      </c>
      <c r="Q287" s="3">
        <f>967.4+(177.7-355.5)+(-1.973496+(-0.362508--0.72522))+0-279.3--0.569771999999988</f>
        <v>509.25898799999993</v>
      </c>
      <c r="R287" s="3">
        <f>954.8+(168-330.1)+(-1.460844+(-0.25704--0.505053))+0-279.6--0.427788000000016</f>
        <v>512.31495699999982</v>
      </c>
      <c r="S287" s="3">
        <f>952+(142.3-308.8)+(-0.97104+(-0.145146--0.314976))+0-279.6--0.285192000000045</f>
        <v>505.38398200000006</v>
      </c>
      <c r="T287" s="3">
        <f>953.6+(94.9-390)+(-1.459008+(-0.145197--0.5967))+0-156.2--0.238986000000009</f>
        <v>501.53148099999999</v>
      </c>
      <c r="U287" s="3">
        <f>949.2+(142.8-309)+(0.968184+(0.145656-0.31518))+0-283-0.288660000000045</f>
        <v>500.51</v>
      </c>
      <c r="V287" s="3">
        <f>954+(140.4-307.8)+(0+(0-0))+0-280-0</f>
        <v>506.6</v>
      </c>
      <c r="W287" s="3">
        <f>974.5+(181.1-294.7)+(-2.484975+(-0.461805--0.751485))+0-281.1--0.716804999999959</f>
        <v>578.32150999999988</v>
      </c>
      <c r="X287" s="3">
        <f>1034.7+(170.1-336.7)+(-2.638485+(-0.433755--0.858585))+0-281--0.716549999999959</f>
        <v>585.60289499999999</v>
      </c>
      <c r="Y287" s="3">
        <f>982.9+(147.8-277.3)+(-1.002558+(-0.150756--0.282846))+0-280.4--0.286008000000045</f>
        <v>572.41554000000008</v>
      </c>
      <c r="Z287" s="3">
        <f>891.3+(157.1-217.6)+(-0.909126+(-0.160242--0.221952))+0-280.2--0.285804000000045</f>
        <v>550.03838800000017</v>
      </c>
      <c r="AA287" s="3">
        <f>890.6+(128.9-203.1)+(-1.362618+(-0.197217--0.310743))+0-280.4--0.429012000000016</f>
        <v>535.17992000000015</v>
      </c>
      <c r="AB287" s="3">
        <f>891.6+(110-193.6)+(-0.454716+(-0.0561--0.098736))+0-279.8--0.142697999999972</f>
        <v>527.93061799999998</v>
      </c>
      <c r="AC287" s="3">
        <f>891.5+(99.6-213.1)+(-2.273325+(-0.25398--0.543405))+0-279.6--0.71297999999996</f>
        <v>497.12907999999999</v>
      </c>
      <c r="AD287">
        <f t="shared" si="4"/>
        <v>12061.771810000002</v>
      </c>
      <c r="AE287" s="3">
        <f>1034+(171.9-332)+(0+(0-0))+0-286.8-0</f>
        <v>587.09999999999991</v>
      </c>
    </row>
    <row r="288" spans="1:31" s="2" customFormat="1" x14ac:dyDescent="0.25">
      <c r="A288">
        <v>89</v>
      </c>
      <c r="B288">
        <v>10</v>
      </c>
      <c r="C288">
        <v>12</v>
      </c>
      <c r="D288">
        <v>2</v>
      </c>
      <c r="E288">
        <v>1</v>
      </c>
      <c r="F288" s="3">
        <f>832+(123.8-218.1)+(-1.27296+(-0.189414--0.333693))+0-279.1--0.427023000000016</f>
        <v>457.89834200000001</v>
      </c>
      <c r="G288" s="3">
        <f>808.5+(95.1-189.4)+(0+(0-0))+0-281.4-0</f>
        <v>432.80000000000007</v>
      </c>
      <c r="H288" s="3">
        <f>805.7+(84.7-190.4)+(-2.054535+(-0.215985--0.48552))+0-280.5--0.715274999999959</f>
        <v>418.43027499999999</v>
      </c>
      <c r="I288" s="3">
        <f>807.1+(85.9-201.5)+(1.234863+(0.131427-0.308295))+0-279.9-0.428247000000016</f>
        <v>412.22974800000003</v>
      </c>
      <c r="J288" s="3">
        <f>797.9+(113-214.8)+(-1.627716+(-0.23052--0.438192))+0-281.4--0.574055999999988</f>
        <v>413.85401199999995</v>
      </c>
      <c r="K288" s="3">
        <f>809.1+(154.8-236.1)+(-0.412641+(-0.078948--0.120411))+0-278.7--0.142136999999972</f>
        <v>448.87095900000008</v>
      </c>
      <c r="L288" s="3">
        <f>809.4+(237.7-255.7)+(-0.825588+(-0.242454--0.260814))+0-278.6--0.284172000000044</f>
        <v>512.27694399999996</v>
      </c>
      <c r="M288" s="3">
        <f>809.8+(216.8-260.5)+(-0.412998+(-0.110568--0.132855))+0-277.8--0.141677999999972</f>
        <v>488.05096699999984</v>
      </c>
      <c r="N288" s="3">
        <f>805.3+(177.7-204)+(-0.410703+(-0.090627--0.10404))+0-277.9--0.141728999999972</f>
        <v>500.84443900000002</v>
      </c>
      <c r="O288" s="3">
        <f>800.3+(194-207.9)+(-1.224459+(-0.29682--0.318087))+0-278.9--0.426717000000016</f>
        <v>506.72352500000005</v>
      </c>
      <c r="P288" s="3">
        <f>801.2+(195.7-198.2)+(1.225836+(0.299421-0.303246))+0-278.6-0.426258000000016</f>
        <v>520.89575300000001</v>
      </c>
      <c r="Q288" s="3">
        <f>803.3+(196.4-202.6)+(-2.048415+(-0.50082--0.51663))+0-278.6--0.71042999999996</f>
        <v>517.17782499999987</v>
      </c>
      <c r="R288" s="3">
        <f>800.4+(195-190.7)+(-2.04102+(-0.49725--0.486285))+0-277.2--0.70685999999996</f>
        <v>526.15487500000017</v>
      </c>
      <c r="S288" s="3">
        <f>798.4+(194.7-184.5)+(0+(0-0))+0-278.9-0</f>
        <v>529.69999999999993</v>
      </c>
      <c r="T288" s="3">
        <f>799.7+(195.6-197.3)+(-0.407847+(-0.099756--0.100623))+0-280--0.142799999999972</f>
        <v>517.73581999999999</v>
      </c>
      <c r="U288" s="3">
        <f>797.3+(190.7-189.2)+(-2.033115+(-0.486285--0.48246))+0-277--0.70634999999996</f>
        <v>520.46940999999993</v>
      </c>
      <c r="V288" s="3">
        <f>800.7+(189-192.2)+(-2.041785+(-0.48195--0.49011))+0-277--0.70634999999996</f>
        <v>519.1727249999999</v>
      </c>
      <c r="W288" s="3">
        <f>859.5+(296.7-271.8)+(-2.191725+(-0.756585--0.69309))+0-279--0.71144999999996</f>
        <v>603.85622999999998</v>
      </c>
      <c r="X288" s="3">
        <f>877.3+(294-287.3)+(-2.684538+(-0.89964--0.879138))+0-278--0.850680000000032</f>
        <v>604.14563999999996</v>
      </c>
      <c r="Y288" s="3">
        <f>873+(233-228.3)+(-2.22615+(-0.59415--0.582165))+0-278--0.70889999999996</f>
        <v>598.17076499999996</v>
      </c>
      <c r="Z288" s="3">
        <f>806.3+(227-187.7)+(-1.233639+(-0.34731--0.287181))+0-279--0.426870000000016</f>
        <v>565.73310199999992</v>
      </c>
      <c r="AA288" s="3">
        <f>805+(196.9-176.6)+(0+(0-0))+0-279-0</f>
        <v>546.29999999999995</v>
      </c>
      <c r="AB288" s="3">
        <f>805.3+(168.3-169.8)+(-1.232109+(-0.257499--0.259794))+0-279--0.426870000000016</f>
        <v>523.99705599999993</v>
      </c>
      <c r="AC288" s="3">
        <f>805.5+(131.7-165.9)+(-1.64322+(-0.268668--0.338436))+0-279--0.569159999999988</f>
        <v>491.29570799999999</v>
      </c>
      <c r="AD288">
        <f t="shared" si="4"/>
        <v>12176.784119999998</v>
      </c>
      <c r="AE288" s="3">
        <f>870+(305-293.1)+(0+(0-0))+0-278-0</f>
        <v>603.9</v>
      </c>
    </row>
    <row r="289" spans="1:31" s="2" customFormat="1" x14ac:dyDescent="0.25">
      <c r="A289">
        <v>89</v>
      </c>
      <c r="B289">
        <v>10</v>
      </c>
      <c r="C289">
        <v>13</v>
      </c>
      <c r="D289">
        <v>3</v>
      </c>
      <c r="E289">
        <v>1</v>
      </c>
      <c r="F289" s="3">
        <f>803.8+(82.8-168.3)+(-1.639752+(-0.168912--0.343332))+0-279--0.569159999999988</f>
        <v>438.40382799999998</v>
      </c>
      <c r="G289" s="3">
        <f>808.4+(57.4-155.8)+(-0.824568+(-0.058548--0.158916))+0-281--0.286620000000045</f>
        <v>428.56242000000003</v>
      </c>
      <c r="H289" s="3">
        <f>803.6+(53.3-154.8)+(-0.819672+(-0.054366--0.157896))+0-281--0.286620000000045</f>
        <v>420.67047800000006</v>
      </c>
      <c r="I289" s="3">
        <f>807.5+(50.8-157.1)+(-1.235475+(-0.077724--0.240363))+0-281--0.429930000000016</f>
        <v>419.55709400000001</v>
      </c>
      <c r="J289" s="3">
        <f>804.8+(51-159.1)+(1.231344+(0.07803-0.243423))+0-280-0.428400000000016</f>
        <v>417.33755099999996</v>
      </c>
      <c r="K289" s="3">
        <f>808+(99.8-184.3)+(0+(0-0))+0-280-0</f>
        <v>443.5</v>
      </c>
      <c r="L289" s="3">
        <f>808+(99.8-192.3)+(0+(0-0))+0-278-0</f>
        <v>437.5</v>
      </c>
      <c r="M289" s="3">
        <f>806.4+(182.1-196.3)+(-0.822528+(-0.185742--0.200226))+0-278--0.283560000000044</f>
        <v>513.67551600000002</v>
      </c>
      <c r="N289" s="3">
        <f>808+(174.3-194.9)+(-0.41208+(-0.088893--0.099399))+0-277--0.141269999999972</f>
        <v>510.13969599999996</v>
      </c>
      <c r="O289" s="3">
        <f>953.5+(126.7-287.9)+(-0.97257+(-0.129234--0.293658))+0-281--0.286620000000045</f>
        <v>510.77847400000002</v>
      </c>
      <c r="P289" s="3">
        <f>954.7+(141-317)+(-1.947588+(-0.28764--0.64668))+0-279--0.569159999999988</f>
        <v>498.68061200000011</v>
      </c>
      <c r="Q289" s="3">
        <f>959+(160.2-319.1)+(-1.46727+(-0.245106--0.488223))+0-280--0.428400000000016</f>
        <v>519.30424699999992</v>
      </c>
      <c r="R289" s="3">
        <f>946+(137.1-316.8)+(-1.92984+(-0.279684--0.646272))+0-280--0.571199999999988</f>
        <v>485.3079479999999</v>
      </c>
      <c r="S289" s="3">
        <f>954+(148.5-309.5)+(-0.97308+(-0.15147--0.31569))+0-280--0.285600000000045</f>
        <v>512.47674000000006</v>
      </c>
      <c r="T289" s="3">
        <f>952+(142.8-290.6)+(-0.48552+(-0.072828--0.148206))+0-280--0.142799999999972</f>
        <v>523.93265800000006</v>
      </c>
      <c r="U289" s="3">
        <f>944.5+(120.2-270.9)+(-0.96339+(-0.122604--0.276318))+0-279--0.284580000000044</f>
        <v>514.27490399999999</v>
      </c>
      <c r="V289" s="3">
        <f>951.2+(112-271.4)+(-2.42556+(-0.2856--0.69207))+0-279--0.71144999999996</f>
        <v>511.49236000000002</v>
      </c>
      <c r="W289" s="3">
        <f>991.5+(145-273.3)+(-2.528325+(-0.36975--0.696915))+0-281--0.716549999999959</f>
        <v>580.71539000000007</v>
      </c>
      <c r="X289" s="3">
        <f>1027.2+(153-305.8)+(-2.095488+(-0.31212--0.623832))+0-281--0.573239999999988</f>
        <v>592.18946400000004</v>
      </c>
      <c r="Y289" s="3">
        <f>1024.1+(123-284.8)+(-1.044582+(-0.12546--0.290496))+0-280--0.285600000000045</f>
        <v>581.70605399999999</v>
      </c>
      <c r="Z289" s="3">
        <f>1035+(111-296.9)+(-1.0557+(-0.11322--0.302838))+0-280--0.285600000000045</f>
        <v>568.51951800000006</v>
      </c>
      <c r="AA289" s="3">
        <f>1020.6+(83-281.2)+(0.520506+(0.04233-0.143412))+0-280-0.142799999999972</f>
        <v>542.67662400000017</v>
      </c>
      <c r="AB289" s="3">
        <f>961.3+(87-258.5)+(-1.470789+(-0.13311--0.395505))+0-279--0.426870000000016</f>
        <v>510.01847599999996</v>
      </c>
      <c r="AC289" s="3">
        <f>959.4+(72-267.5)+(-2.44647+(-0.1836--0.682125))+0-278--0.70889999999996</f>
        <v>484.66095499999994</v>
      </c>
      <c r="AD289">
        <f t="shared" si="4"/>
        <v>11966.081006999999</v>
      </c>
      <c r="AE289" s="3">
        <f>1017+(164-266)+(0+(0-0))+0-281-0</f>
        <v>634</v>
      </c>
    </row>
    <row r="290" spans="1:31" s="2" customFormat="1" x14ac:dyDescent="0.25">
      <c r="A290">
        <v>89</v>
      </c>
      <c r="B290">
        <v>10</v>
      </c>
      <c r="C290">
        <v>14</v>
      </c>
      <c r="D290">
        <v>4</v>
      </c>
      <c r="E290">
        <v>1</v>
      </c>
      <c r="F290" s="3">
        <f>962.9+(58-276.1)+(-1.964316+(-0.11832--0.563244))+0-278--0.567119999999988</f>
        <v>465.8477279999999</v>
      </c>
      <c r="G290" s="3">
        <f>963.2+(37-282.5)+(-0.982464+(-0.03774--0.28815))+0-278--0.283560000000044</f>
        <v>439.25150600000012</v>
      </c>
      <c r="H290" s="3">
        <f>964.9+(32-288.9)+(0+(0-0))+0-280-0</f>
        <v>428</v>
      </c>
      <c r="I290" s="3">
        <f>961.6+(12-269.9)+(-0.980832+(-0.01224--0.275298))+0-280--0.285600000000045</f>
        <v>423.26782600000013</v>
      </c>
      <c r="J290" s="3">
        <f>963.2+(15-267)+(1.964928+(0.0306-0.54468))+0-279-0.569159999999988</f>
        <v>433.08168799999999</v>
      </c>
      <c r="K290" s="3">
        <f>961.3+(34-248.1)+(0.490263+(0.01734-0.126531))+0-279-0.142289999999972</f>
        <v>468.438782</v>
      </c>
      <c r="L290" s="3">
        <f>966.8+(32-214.9)+(-0.986136+(-0.03264--0.219198))+0-280--0.285600000000045</f>
        <v>503.38602200000003</v>
      </c>
      <c r="M290" s="3">
        <f>965+(7-229.4)+(-1.47645+(-0.01071--0.350982))+0-280--0.428400000000016</f>
        <v>461.89222200000006</v>
      </c>
      <c r="N290" s="3">
        <f>912.9+(75.3-245.5)+(-0.931158+(-0.076806--0.25041))+0-278.8--0.284376000000044</f>
        <v>463.42682200000007</v>
      </c>
      <c r="O290" s="3">
        <f>889.3+(143.1-289.9)+(-0.907086+(-0.145962--0.295698))+0-278.6--0.284172000000044</f>
        <v>463.42682200000007</v>
      </c>
      <c r="P290" s="3">
        <f>859.2+(164.5-269)+(-0.438192+(-0.083895--0.13719))+0-279.5--0.142544999999972</f>
        <v>474.95764800000001</v>
      </c>
      <c r="Q290" s="3">
        <f>880.7+(150.3-268.7)+(-1.796628+(-0.306612--0.548148))+0-278.9--0.568955999999988</f>
        <v>482.41386400000016</v>
      </c>
      <c r="R290" s="3">
        <f>883.4+(186.3-260.7)+(-0.901068+(-0.190026--0.265914))+0-278.1--0.283662000000044</f>
        <v>530.35848199999998</v>
      </c>
      <c r="S290" s="3">
        <f>881.2+(185.2-256.6)+(-0.898824+(-0.188904--0.261732))+0-278--0.283560000000044</f>
        <v>531.257564</v>
      </c>
      <c r="T290" s="3">
        <f>879.9+(169.7-250.8)+(-0.448749+(-0.086547--0.127908))+0-278.4--0.141983999999972</f>
        <v>520.13459599999999</v>
      </c>
      <c r="U290" s="3">
        <f>873.9+(154.1-232.3)+(0+(0-0))+0-277.2-0</f>
        <v>518.5</v>
      </c>
      <c r="V290" s="3">
        <f>870.9+(191.2-260.5)+(-1.776636+(-0.390048--0.53142))+0-278.3--0.567731999999988</f>
        <v>522.23246799999993</v>
      </c>
      <c r="W290" s="3">
        <f>993.6+(183.7-311.4)+(0+(0-0))+0-279.4-0</f>
        <v>586.50000000000011</v>
      </c>
      <c r="X290" s="3">
        <f>1048.4+(153-326.7)+(-1.069368+(-0.15606--0.333234))+0-279--0.284580000000044</f>
        <v>595.09238600000003</v>
      </c>
      <c r="Y290" s="3">
        <f>1051.6+(145.2-331.3)+(-0.536316+(-0.074052--0.168963))+0-278.9--0.142238999999972</f>
        <v>586.3008339999999</v>
      </c>
      <c r="Z290" s="3">
        <f>1048.7+(136.5-338.4)+(-2.674185+(-0.348075--0.86292))+0-278.7--0.710684999999959</f>
        <v>566.65134499999999</v>
      </c>
      <c r="AA290" s="3">
        <f>1064.6+(113.2-356.4)+(0+(0-0))+0-278.2-0</f>
        <v>543.19999999999982</v>
      </c>
      <c r="AB290" s="3">
        <f>1046.8+(98.2-318.7)+(-0.533868+(-0.050082--0.162537))+0-278--0.141779999999972</f>
        <v>548.02036699999985</v>
      </c>
      <c r="AC290" s="3">
        <f>985.5+(62.3-277.1)+(-1.507815+(-0.095319--0.423963))+0-277.7--0.424881000000016</f>
        <v>492.24571000000009</v>
      </c>
      <c r="AD290">
        <f t="shared" si="4"/>
        <v>12047.884681999998</v>
      </c>
      <c r="AE290" s="3">
        <f>1058+(143.9-338.4)+(0+(0-0))+0-279-0</f>
        <v>584.5</v>
      </c>
    </row>
    <row r="291" spans="1:31" s="2" customFormat="1" x14ac:dyDescent="0.25">
      <c r="A291">
        <v>89</v>
      </c>
      <c r="B291">
        <v>10</v>
      </c>
      <c r="C291">
        <v>15</v>
      </c>
      <c r="D291">
        <v>5</v>
      </c>
      <c r="E291">
        <v>1</v>
      </c>
      <c r="F291" s="3">
        <f>999+(65.8-301.8)+(-2.03796+(-0.134232--0.615672))+0-278.5--0.568139999999988</f>
        <v>483.51161999999999</v>
      </c>
      <c r="G291" s="3">
        <f>1001+(18.9-292.9)+(-1.02102+(-0.019278--0.298758))+0-279.7--0.285294000000045</f>
        <v>446.84375400000005</v>
      </c>
      <c r="H291" s="3">
        <f>998.4+(3.1-279.6)+(-0.509184+(-0.001581--0.142596))+0-279.7--0.142646999999972</f>
        <v>441.97447799999998</v>
      </c>
      <c r="I291" s="3">
        <f>1003.1+(9-295.4)+(-0.511581+(-0.00459--0.150654))+0-280--0.142799999999972</f>
        <v>436.47728300000006</v>
      </c>
      <c r="J291" s="3">
        <f>1080.5+(0-357.2)+(-0.551055+(0--0.182172))+0-280.1--0.142850999999972</f>
        <v>442.9739679999999</v>
      </c>
      <c r="K291" s="3">
        <f>1108.3+(0-368.3)+(-1.130466+(0--0.375666))+0-278.1--0.283662000000044</f>
        <v>461.42886199999998</v>
      </c>
      <c r="L291" s="3">
        <f>1108.7+(29.8-356.4)+(-1.130874+(-0.030396--0.363528))+0-278--0.283560000000044</f>
        <v>503.58581800000019</v>
      </c>
      <c r="M291" s="3">
        <f>1100.5+(61-368.6)+(-1.12251+(-0.06222--0.375972))+0-277--0.282540000000044</f>
        <v>515.37378200000001</v>
      </c>
      <c r="N291" s="3">
        <f>1074.1+(64.5-352.1)+(-2.191164+(-0.13158--0.718284))+0-278.1--0.567323999999988</f>
        <v>507.36286399999983</v>
      </c>
      <c r="O291" s="3">
        <f>1049.7+(87.4-335.1)+(-0.535347+(-0.044574--0.170901))+0-281.7--0.143666999999971</f>
        <v>520.03464699999984</v>
      </c>
      <c r="P291" s="3">
        <f>1005+(121.5-326.4)+(-0.51255+(-0.061965--0.166464))+0-283.3--0.144482999999971</f>
        <v>516.53643199999999</v>
      </c>
      <c r="Q291" s="3">
        <f>1003.8+(123.5-330.8)+(-0.511938+(-0.062985--0.168708))+0-285.3--0.145502999999971</f>
        <v>510.93928799999998</v>
      </c>
      <c r="R291" s="3">
        <f>1001.3+(125.9-317.6)+(-1.021326+(-0.128418--0.323952))+0-283.6--0.289272000000045</f>
        <v>525.46348</v>
      </c>
      <c r="S291" s="3">
        <f>996.7+(108.4-305.2)+(-1.524951+(-0.165852--0.466956))+0-284--0.434520000000016</f>
        <v>515.11067300000013</v>
      </c>
      <c r="T291" s="3">
        <f>1000.9+(89.8-285.7)+(-1.020918+(-0.091596--0.291414))+0-283.2--0.288864000000045</f>
        <v>521.26776400000006</v>
      </c>
      <c r="U291" s="3">
        <f>1031.8+(73.1-302.2)+(2.63109+(0.186405-0.77061))+0-282-0.719099999999959</f>
        <v>522.02778499999999</v>
      </c>
      <c r="V291" s="3">
        <f>1066.7+(65.8-326.6)+(-1.632051+(-0.100674--0.499698))+0-281.6--0.430848000000016</f>
        <v>523.49782100000004</v>
      </c>
      <c r="W291" s="3">
        <f>1137.9+(113.8-382.5)+(0.580329+(0.058038-0.195075))+0-283.1-0.144380999999971</f>
        <v>586.39891100000011</v>
      </c>
      <c r="X291" s="3">
        <f>1146.4+(114.8-388.3)+(-2.338656+(-0.234192--0.792132))+0-283.1--0.577523999999988</f>
        <v>588.59680800000012</v>
      </c>
      <c r="Y291" s="3">
        <f>1080.1+(109.1-327.6)+(-1.652553+(-0.166923--0.501228))+0-282.5--0.432225000000016</f>
        <v>578.21397699999989</v>
      </c>
      <c r="Z291" s="3">
        <f>1075.2+(99.3-327.8)+(-0.548352+(-0.050643--0.167178))+0-282.4--0.144023999999971</f>
        <v>564.01220699999999</v>
      </c>
      <c r="AA291" s="3">
        <f>1078.9+(86.2-340.8)+(-1.650717+(-0.131886--0.521424))+0-282.1--0.431613000000016</f>
        <v>541.37043400000005</v>
      </c>
      <c r="AB291" s="3">
        <f>1068.3+(71-335.3)+(-2.724165+(-0.18105--0.855015))+0-281.9--0.718844999999959</f>
        <v>520.76864499999999</v>
      </c>
      <c r="AC291" s="3">
        <f>920.9+(88.2-248)+(-2.348295+(-0.22491--0.6324))+0-280.7--0.715784999999959</f>
        <v>479.17497999999995</v>
      </c>
      <c r="AD291">
        <f t="shared" si="4"/>
        <v>12252.946281</v>
      </c>
      <c r="AE291" s="3">
        <f>1141+(126.1-369.3)+(0+(0-0))+0-283.8-0</f>
        <v>614</v>
      </c>
    </row>
    <row r="292" spans="1:31" s="2" customFormat="1" x14ac:dyDescent="0.25">
      <c r="A292">
        <v>89</v>
      </c>
      <c r="B292">
        <v>10</v>
      </c>
      <c r="C292">
        <v>16</v>
      </c>
      <c r="D292">
        <v>6</v>
      </c>
      <c r="E292">
        <v>1</v>
      </c>
      <c r="F292" s="3">
        <f>903.9+(86-261.2)+(-0.921978+(-0.08772--0.266424))+0-281.8--0.287436000000045</f>
        <v>446.44416200000006</v>
      </c>
      <c r="G292" s="3">
        <f>904.7+(68.7-260.8)+(-1.384191+(-0.105111--0.399024))+0-282.3--0.431919000000016</f>
        <v>429.64164099999999</v>
      </c>
      <c r="H292" s="3">
        <f>905.9+(53.2-255.5)+(-1.848036+(-0.108528--0.52122))+0-281.5--0.574259999999988</f>
        <v>421.2389159999999</v>
      </c>
      <c r="I292" s="3">
        <f>906.5+(52.2-256.9)+(-1.386945+(-0.079866--0.393057))+0-281.4--0.430542000000016</f>
        <v>419.75678799999997</v>
      </c>
      <c r="J292" s="3">
        <f>905.8+(54.3-251.3)+(-0.461958+(-0.027693--0.128163))+0-280.9--0.143258999999971</f>
        <v>427.68177099999991</v>
      </c>
      <c r="K292" s="3">
        <f>907.2+(63.6-235.7)+(0+(0-0))+0-281-0</f>
        <v>454.1</v>
      </c>
      <c r="L292" s="3">
        <f>904.8+(89.2-214.7)+(-0.461448+(-0.045492--0.109497))+0-281--0.143309999999971</f>
        <v>498.04586699999999</v>
      </c>
      <c r="M292" s="3">
        <f>904.5+(115.2-249.8)+(0+(0-0))+0-278.4-0</f>
        <v>491.5</v>
      </c>
      <c r="N292" s="3">
        <f>897.6+(171.5-295.8)+(-0.457776+(-0.087465--0.150858))+0-282--0.143819999999971</f>
        <v>491.04943699999995</v>
      </c>
      <c r="O292" s="3">
        <f>894.7+(142.9-298)+(-0.912594+(-0.145758--0.30396))+0-249.6--0.25459200000004</f>
        <v>489.50020000000001</v>
      </c>
      <c r="P292" s="3">
        <f>892.2+(107.9-325.3)+(0+(0-0))+0-171.5-0</f>
        <v>503.30000000000007</v>
      </c>
      <c r="Q292" s="3">
        <f>888.5+(154.2-250)+(-0.90627+(-0.157284--0.255))+0-286--0.291720000000046</f>
        <v>506.18316600000014</v>
      </c>
      <c r="R292" s="3">
        <f>878.5+(173.6-234.5)+(-2.68821+(-0.531216--0.71757))+0-284.7--0.871182000000033</f>
        <v>531.26932600000009</v>
      </c>
      <c r="S292" s="3">
        <f>864.8+(167.8-225.1)+(-1.323144+(-0.256734--0.344403))+0-284.6--0.435438000000016</f>
        <v>522.099963</v>
      </c>
      <c r="T292" s="3">
        <f>863.7+(163.2-224.5)+(-0.880974+(-0.166464--0.22899))+0-283.8--0.289476000000045</f>
        <v>518.07102800000018</v>
      </c>
      <c r="U292" s="3">
        <f>863.8+(161.3-230.9)+(0+(0-0))+0-280-0</f>
        <v>514.19999999999993</v>
      </c>
      <c r="V292" s="3">
        <f>879.6+(163.7-238.1)+(-0.897192+(-0.166974--0.242862))+0-280--0.285600000000045</f>
        <v>524.66429600000004</v>
      </c>
      <c r="W292" s="3">
        <f>972.8+(158.4-262.5)+(0+(0-0))+0-282.5-0</f>
        <v>586.19999999999993</v>
      </c>
      <c r="X292" s="3">
        <f>978.3+(148.6-251.9)+(-2.494665+(-0.37893--0.642345))+0-282.2--0.719609999999959</f>
        <v>591.2883599999999</v>
      </c>
      <c r="Y292" s="3">
        <f>936.6+(131.9-216.8)+(-1.432998+(-0.201807--0.331704))+0-283.9--0.434367000000016</f>
        <v>566.93126600000016</v>
      </c>
      <c r="Z292" s="3">
        <f>905.2+(116.8-188.6)+(-0.461652+(-0.059568--0.096186))+0-283.5--0.144584999999971</f>
        <v>549.61955100000011</v>
      </c>
      <c r="AA292" s="3">
        <f>908.9+(86.2-173.1)+(-0.927078+(-0.087924--0.176562))+0-283.2--0.288864000000045</f>
        <v>538.25042399999995</v>
      </c>
      <c r="AB292" s="3">
        <f>910.1+(73.4-187.1)+(-0.464151+(-0.037434--0.095421))+0-283--0.144329999999971</f>
        <v>513.13816600000007</v>
      </c>
      <c r="AC292" s="3">
        <f>910.8+(70.4-214.2)+(-1.393524+(-0.107712--0.327726))+0-281.8--0.431154000000016</f>
        <v>484.45764400000002</v>
      </c>
      <c r="AD292">
        <f t="shared" si="4"/>
        <v>12018.631971999999</v>
      </c>
      <c r="AE292" s="3">
        <f>976+(138.9-256.1)+(0+(0-0))+0-281.4-0</f>
        <v>577.4</v>
      </c>
    </row>
    <row r="293" spans="1:31" s="2" customFormat="1" x14ac:dyDescent="0.25">
      <c r="A293">
        <v>89</v>
      </c>
      <c r="B293">
        <v>10</v>
      </c>
      <c r="C293">
        <v>17</v>
      </c>
      <c r="D293">
        <v>7</v>
      </c>
      <c r="E293">
        <v>1</v>
      </c>
      <c r="F293" s="3">
        <f>912.5+(37.8-214.7)+(-0.465375+(-0.019278--0.109497))+0-281.8--0.143717999999971</f>
        <v>453.56856200000004</v>
      </c>
      <c r="G293" s="3">
        <f>912.1+(29.6-227)+(-1.395513+(-0.045288--0.34731))+0-282.1--0.431613000000016</f>
        <v>431.93812200000008</v>
      </c>
      <c r="H293" s="3">
        <f>912.1+(20.7-226.4)+(0+(0-0))+0-281-0</f>
        <v>425.4</v>
      </c>
      <c r="I293" s="3">
        <f>915.1+(12.3-231)+(0.466701+(0.006273-0.11781))+0-279.9-0.142748999999972</f>
        <v>416.71241500000008</v>
      </c>
      <c r="J293" s="3">
        <f>915.6+(12-226.6)+(-0.933912+(-0.01224--0.231132))+0-279.9--0.285498000000045</f>
        <v>420.67047800000006</v>
      </c>
      <c r="K293" s="3">
        <f>914.4+(19.8-213.8)+(0.466344+(0.010098-0.109038))+0-279.2-0.142391999999972</f>
        <v>441.42501199999998</v>
      </c>
      <c r="L293" s="3">
        <f>913.5+(57.6-225.8)+(-2.329425+(-0.14688--0.57579))+0-279.3--0.71221499999996</f>
        <v>464.81169999999986</v>
      </c>
      <c r="M293" s="3">
        <f>913.3+(87.9-242.9)+(0+(0-0))+0-278.2-0</f>
        <v>480.09999999999997</v>
      </c>
      <c r="N293" s="3">
        <f>868.8+(152.6-242.4)+(0+(0-0))+0-279.4-0</f>
        <v>499.6</v>
      </c>
      <c r="O293" s="3">
        <f>846.4+(201.1-208.1)+(1.726656+(0.410244-0.424524))+0-280.9-0.573035999999988</f>
        <v>559.63933999999995</v>
      </c>
      <c r="P293" s="3">
        <f>901.8+(131.4-203.5)+(-1.379754+(-0.201042--0.311355))+0-280.7--0.429471000000016</f>
        <v>548.16002999999989</v>
      </c>
      <c r="Q293" s="3">
        <f>899.4+(152.5-234.7)+(-0.458694+(-0.077775--0.119697))+0-279.9--0.142748999999972</f>
        <v>537.02597700000001</v>
      </c>
      <c r="R293" s="3">
        <f>870.7+(192.9-229.2)+(-1.332171+(-0.295137--0.350676))+0-279.5--0.427635000000016</f>
        <v>554.05100300000015</v>
      </c>
      <c r="S293" s="3">
        <f>891.2+(145.4-221.8)+(-0.909024+(-0.148308--0.226236))+0-280.7--0.286314000000045</f>
        <v>533.55521800000008</v>
      </c>
      <c r="T293" s="3">
        <f>976.6+(68.2-251.5)+(0.996132+(0.069564-0.25653))+0-281.4-0.287028000000045</f>
        <v>512.4221379999999</v>
      </c>
      <c r="U293" s="3">
        <f>984.4+(54.4-248.7)+(0+(0-0))+0-281.4-0</f>
        <v>508.70000000000005</v>
      </c>
      <c r="V293" s="3">
        <f>990.9+(82.9-268.4)+(-3.032154+(-0.253674--0.821304))+0-281.6--0.861696000000033</f>
        <v>522.19717200000002</v>
      </c>
      <c r="W293" s="3">
        <f>1032.4+(90.3-261.8)+(-0.526524+(-0.046053--0.133518))+0-281.8--0.143717999999971</f>
        <v>578.80465900000002</v>
      </c>
      <c r="X293" s="3">
        <f>1159.7+(49.5-318.3)+(-1.774341+(-0.075735--0.486999))+0-283.3--0.433449000000016</f>
        <v>606.67037200000016</v>
      </c>
      <c r="Y293" s="3">
        <f>1218.6+(28.1-363.3)+(0+(0-0))+0-283.7-0</f>
        <v>599.69999999999982</v>
      </c>
      <c r="Z293" s="3">
        <f>1231.2+(26.2-391.7)+(-2.511648+(-0.053448--0.799068))+0-283.3--0.577931999999988</f>
        <v>581.21190400000012</v>
      </c>
      <c r="AA293" s="3">
        <f>1235.5+(18.8-413.7)+(-0.630105+(-0.009588--0.210987))+0-283.3--0.144482999999971</f>
        <v>557.01577699999996</v>
      </c>
      <c r="AB293" s="3">
        <f>1235.6+(12.6-431)+(-0.630156+(-0.006426--0.21981))+0-281.9--0.143768999999971</f>
        <v>535.02699699999994</v>
      </c>
      <c r="AC293" s="3">
        <f>1239.6+(3.8-459.4)+(-1.896588+(-0.005814--0.702882))+0-282.4--0.432072000000016</f>
        <v>500.83255200000002</v>
      </c>
      <c r="AD293">
        <f t="shared" si="4"/>
        <v>12269.239428000001</v>
      </c>
      <c r="AE293" s="3">
        <f>1137+(59.1-314.8)+(0+(0-0))+0-282-0</f>
        <v>599.29999999999995</v>
      </c>
    </row>
    <row r="294" spans="1:31" s="2" customFormat="1" x14ac:dyDescent="0.25">
      <c r="A294">
        <v>89</v>
      </c>
      <c r="B294">
        <v>10</v>
      </c>
      <c r="C294">
        <v>18</v>
      </c>
      <c r="D294">
        <v>1</v>
      </c>
      <c r="E294">
        <v>1</v>
      </c>
      <c r="F294" s="3">
        <f>1243+(0-495.5)+(-3.16965+(0--1.263525))+0-282.5--0.720374999999959</f>
        <v>463.81424999999996</v>
      </c>
      <c r="G294" s="3">
        <f>1237.4+(0-509.8)+(-1.262148+(0--0.519996))+0-283.1--0.288762000000045</f>
        <v>444.0466100000001</v>
      </c>
      <c r="H294" s="3">
        <f>1241.1+(0-522.9)+(-3.164805+(0--1.333395))+0-284.7--0.725984999999959</f>
        <v>432.39457499999992</v>
      </c>
      <c r="I294" s="3">
        <f>1242.9+(0-528.5)+(-1.267758+(0--0.53907))+0-283.9--0.289578000000045</f>
        <v>430.06089000000014</v>
      </c>
      <c r="J294" s="3">
        <f>1245.7+(0-533.8)+(-0.635307+(0--0.272238))+0-283.1--0.144380999999971</f>
        <v>428.58131200000003</v>
      </c>
      <c r="K294" s="3">
        <f>1188.9+(0-447.2)+(-1.212678+(0--0.456144))+0-282.3--0.287946000000045</f>
        <v>458.93141200000008</v>
      </c>
      <c r="L294" s="3">
        <f>1180.7+(12.2-411.4)+(-0.602157+(-0.006222--0.209814))+0-281.1--0.143360999999971</f>
        <v>500.14479599999999</v>
      </c>
      <c r="M294" s="3">
        <f>1178+(4.1-375.4)+(0.60078+(0.002091-0.191454))+0-280.3-0.142952999999972</f>
        <v>526.6684640000002</v>
      </c>
      <c r="N294" s="3">
        <f>1160.2+(0-380.1)+(0+(0-0))+0-282.3-0</f>
        <v>497.8</v>
      </c>
      <c r="O294" s="3">
        <f>1148.7+(12.9-375)+(-0.585837+(-0.006579--0.19125))+0-281.5--0.143564999999971</f>
        <v>504.842399</v>
      </c>
      <c r="P294" s="3">
        <f>1154.5+(16.3-371.5)+(-1.17759+(-0.016626--0.37893))+0-282--0.287640000000045</f>
        <v>516.77235399999995</v>
      </c>
      <c r="Q294" s="3">
        <f>1149.3+(25.1-366.8)+(-0.586143+(-0.012801--0.187068))+0-281.9--0.143768999999971</f>
        <v>525.43189299999995</v>
      </c>
      <c r="R294" s="3">
        <f>1136.2+(23.8-347.4)+(-0.579462+(-0.012138--0.177174))+0-282.7--0.144176999999971</f>
        <v>529.62975100000006</v>
      </c>
      <c r="S294" s="3">
        <f>1137.4+(6.7-341)+(-1.160148+(-0.006834--0.34782))+0-281.6--0.287232000000045</f>
        <v>520.96807000000013</v>
      </c>
      <c r="T294" s="3">
        <f>1132.9+(0-356.2)+(-1.155558+(0--0.363324))+0-281.7--0.287334000000045</f>
        <v>494.49510000000009</v>
      </c>
      <c r="U294" s="3">
        <f>1134.2+(0-362.9)+(0+(0-0))+0-282.4-0</f>
        <v>488.90000000000009</v>
      </c>
      <c r="V294" s="3">
        <f>1144.1+(5.8-360.2)+(0+(0-0))+0-282.7-0</f>
        <v>506.99999999999994</v>
      </c>
      <c r="W294" s="3">
        <f>1187.3+(60.8-390.9)+(1.211046+(0.062016-0.398718))+0-283.2-0.288864000000045</f>
        <v>574.58548000000008</v>
      </c>
      <c r="X294" s="3">
        <f>1193.7+(54.3-372.6)+(-1.826361+(-0.083079--0.570078))+0-283.4--0.433602000000016</f>
        <v>591.09424000000013</v>
      </c>
      <c r="Y294" s="3">
        <f>1200.7+(38-380.7)+(-2.449428+(-0.07752--0.776628))+0-281.9--0.575075999999988</f>
        <v>574.924756</v>
      </c>
      <c r="Z294" s="3">
        <f>1213.4+(24.7-396.6)+(-1.237668+(-0.025194--0.404532))+0-281.7--0.287334000000045</f>
        <v>559.22900400000003</v>
      </c>
      <c r="AA294" s="3">
        <f>1214.7+(12.9-414)+(-1.238994+(-0.013158--0.42228))+0-281--0.286620000000045</f>
        <v>532.05674800000008</v>
      </c>
      <c r="AB294" s="3">
        <f>1215.8+(1-417.3)+(-0.620058+(-0.00051--0.212823))+0-284.2--0.144941999999971</f>
        <v>515.03719699999999</v>
      </c>
      <c r="AC294" s="3">
        <f>1215.8+(6-448)+(-2.480232+(-0.01224--0.91392))+0-283.2--0.577727999999988</f>
        <v>489.599176</v>
      </c>
      <c r="AD294">
        <f t="shared" si="4"/>
        <v>12107.008477000001</v>
      </c>
      <c r="AE294" s="3">
        <f>1194+(63.9-401)+(0+(0-0))+0-281.4-0</f>
        <v>575.5</v>
      </c>
    </row>
    <row r="295" spans="1:31" s="2" customFormat="1" x14ac:dyDescent="0.25">
      <c r="A295">
        <v>89</v>
      </c>
      <c r="B295">
        <v>10</v>
      </c>
      <c r="C295">
        <v>19</v>
      </c>
      <c r="D295">
        <v>2</v>
      </c>
      <c r="E295">
        <v>1</v>
      </c>
      <c r="F295" s="3">
        <f>1220+(6-483.4)+(-1.8666+(-0.00918--0.739602))+0-283--0.432990000000016</f>
        <v>458.89681200000007</v>
      </c>
      <c r="G295" s="3">
        <f>1220+(10-508.7)+(-3.7332+(-0.0306--1.556622))+0-283--0.865980000000033</f>
        <v>436.95880199999999</v>
      </c>
      <c r="H295" s="3">
        <f>1222.3+(0-514.8)+(0.623373+(0-0.262548))+0-284.4-0.145043999999971</f>
        <v>423.31578100000002</v>
      </c>
      <c r="I295" s="3">
        <f>1228.5+(0-530.9)+(-1.879605+(0--0.812277))+0-284--0.434520000000016</f>
        <v>412.96719200000007</v>
      </c>
      <c r="J295" s="3">
        <f>1230+(0-525.9)+(1.2546+(0-0.536418))+0-282.6-0.288252000000045</f>
        <v>421.9299299999999</v>
      </c>
      <c r="K295" s="3">
        <f>1227.8+(0-455.5)+(-1.252356+(0--0.46461))+0-283--0.288660000000045</f>
        <v>488.80091400000003</v>
      </c>
      <c r="L295" s="3">
        <f>1230.9+(0-440.8)+(-2.511036+(0--0.899232))+0-281.2--0.573647999999988</f>
        <v>507.86184400000013</v>
      </c>
      <c r="M295" s="3">
        <f>1229.6+(0-426.7)+(-1.881288+(0--0.652851))+0-281.5--0.430695000000016</f>
        <v>520.60225799999989</v>
      </c>
      <c r="N295" s="3">
        <f>1220.7+(0-453.5)+(0.622557+(0-0.231285))+0-277.9-0.141728999999972</f>
        <v>489.54954300000003</v>
      </c>
      <c r="O295" s="3">
        <f>1212.7+(25-467.5)+(-0.618477+(-0.01275--0.238425))+0-279.2--0.142391999999972</f>
        <v>490.74959000000007</v>
      </c>
      <c r="P295" s="3">
        <f>1203.1+(44.9-484.9)+(0+(0-0))+0-291.7-0</f>
        <v>471.39999999999992</v>
      </c>
      <c r="Q295" s="3">
        <f>1150.3+(76.2-440.5)+(0+(0-0))+0-281.3-0</f>
        <v>504.7</v>
      </c>
      <c r="R295" s="3">
        <f>1168.3+(68.8-447)+(-2.383332+(-0.140352--0.91188))+0-281.4--0.574055999999988</f>
        <v>507.66225199999991</v>
      </c>
      <c r="S295" s="3">
        <f>1187.5+(47-436.8)+(-1.21125+(-0.04794--0.445536))+0-280.8--0.286416000000045</f>
        <v>516.37276200000008</v>
      </c>
      <c r="T295" s="3">
        <f>1188.4+(21.6-412.6)+(-2.424336+(-0.044064--0.841704))+0-282.4--0.576095999999988</f>
        <v>513.94940000000008</v>
      </c>
      <c r="U295" s="3">
        <f>1192.7+(0-434.2)+(0+(0-0))+0-190.2-0</f>
        <v>568.29999999999995</v>
      </c>
      <c r="V295" s="3">
        <f>1200.1+(29.4-417.2)+(0+(0-0))+0-281.9-0</f>
        <v>530.4</v>
      </c>
      <c r="W295" s="3">
        <f>1205.6+(78.3-408.3)+(0+(0-0))+0-283.5-0</f>
        <v>592.09999999999991</v>
      </c>
      <c r="X295" s="3">
        <f>1209.5+(75.7-390.9)+(-1.850535+(-0.115821--0.598077))+0-283.1--0.433143000000016</f>
        <v>610.26486399999987</v>
      </c>
      <c r="Y295" s="3">
        <f>1211.4+(56.4-391.5)+(-1.853442+(-0.086292--0.598995))+0-283.5--0.433755000000016</f>
        <v>591.8930160000001</v>
      </c>
      <c r="Z295" s="3">
        <f>1210.3+(41.2-387.7)+(-1.234506+(-0.042024--0.395454))+0-287.8--0.293556000000046</f>
        <v>575.41247999999996</v>
      </c>
      <c r="AA295" s="3">
        <f>1209.1+(45.1-414.7)+(-1.233282+(-0.046002--0.422994))+0-285.5--0.291210000000046</f>
        <v>553.43492000000015</v>
      </c>
      <c r="AB295" s="3">
        <f>1212.4+(19.9-421.6)+(-2.473296+(-0.040596--0.860064))+0-284.6--0.580583999999988</f>
        <v>525.02675600000009</v>
      </c>
      <c r="AC295" s="3">
        <f>1212.7+(0-429.6)+(-0.618477+(0--0.219096))+0-284.1--0.144890999999971</f>
        <v>498.74551000000002</v>
      </c>
      <c r="AD295">
        <f t="shared" si="4"/>
        <v>12211.294626000003</v>
      </c>
      <c r="AE295" s="3">
        <f>1204+(90.9-385.9)+(0+(0-0))+0-290.4-0</f>
        <v>618.6</v>
      </c>
    </row>
    <row r="296" spans="1:31" s="2" customFormat="1" x14ac:dyDescent="0.25">
      <c r="A296">
        <v>89</v>
      </c>
      <c r="B296">
        <v>10</v>
      </c>
      <c r="C296">
        <v>20</v>
      </c>
      <c r="D296">
        <v>3</v>
      </c>
      <c r="E296">
        <v>1</v>
      </c>
      <c r="F296" s="3">
        <f>1209.1+(0-446.1)+(-1.849923+(0--0.682533))+0-283.8--0.434214000000016</f>
        <v>478.46682399999992</v>
      </c>
      <c r="G296" s="3">
        <f>1214.2+(0-471.2)+(-1.857726+(0--0.720936))+0-285.1--0.436203000000016</f>
        <v>457.19941299999999</v>
      </c>
      <c r="H296" s="3">
        <f>1206.5+(0-472.3)+(1.845945+(0-0.722619))+0-285.2-0.436356000000016</f>
        <v>449.68697000000009</v>
      </c>
      <c r="I296" s="3">
        <f>1201.9+(0-469.5)+(-1.225938+(0--0.47889))+0-284.9--0.290598000000045</f>
        <v>447.04355000000021</v>
      </c>
      <c r="J296" s="3">
        <f>1138.2+(0-408.2)+(-1.160964+(0--0.416364))+0-281.6--0.287232000000045</f>
        <v>447.942632</v>
      </c>
      <c r="K296" s="3">
        <f>1104.7+(0-352.7)+(0+(0-0))+0-283.3-0</f>
        <v>468.7</v>
      </c>
      <c r="L296" s="3">
        <f>1106+(10.1-337.3)+(-0.56406+(-0.005151--0.172023))+0-284.3--0.144992999999971</f>
        <v>494.24780499999986</v>
      </c>
      <c r="M296" s="3">
        <f>1198.6+(0-437.1)+(1.222572+(0-0.445842))+0-283.1-0.288762000000045</f>
        <v>478.88796799999989</v>
      </c>
      <c r="N296" s="3">
        <f>1204.9+(15.9-463.4)+(0+(0-0))+0-282.6-0</f>
        <v>474.80000000000007</v>
      </c>
      <c r="O296" s="3">
        <f>1203.4+(18.5-455.7)+(0+(0-0))+0-284-0</f>
        <v>482.20000000000005</v>
      </c>
      <c r="P296" s="3">
        <f>1200.8+(6.7-438.9)+(-1.224816+(-0.006834--0.447678))+0-283.2--0.288864000000045</f>
        <v>484.90489200000002</v>
      </c>
      <c r="Q296" s="3">
        <f>1197.1+(11-434.1)+(-0.610521+(-0.00561--0.221391))+0-283.3--0.144482999999971</f>
        <v>490.4497429999999</v>
      </c>
      <c r="R296" s="3">
        <f>1185.7+(0-396.7)+(-4.232949+(0--1.416219))+0-282.5--1.008525</f>
        <v>504.69179500000001</v>
      </c>
      <c r="S296" s="3">
        <f>1182.1+(0-390.4)+(-0.602871+(0--0.199104))+0-281.4--0.143513999999971</f>
        <v>510.03974699999992</v>
      </c>
      <c r="T296" s="3">
        <f>1175+(0-388.3)+(0+(0-0))+0-279.3-0</f>
        <v>507.40000000000003</v>
      </c>
      <c r="U296" s="3">
        <f>1136.8+(0-346.4)+(0+(0-0))+0-282.2-0</f>
        <v>508.2</v>
      </c>
      <c r="V296" s="3">
        <f>1086.9+(10.5-298.2)+(-2.771595+(-0.026775--0.76041))+0-281.4--0.717569999999959</f>
        <v>516.47960999999998</v>
      </c>
      <c r="W296" s="3">
        <f>1157+(65-354.8)+(0+(0-0))+0-282.9-0</f>
        <v>584.30000000000007</v>
      </c>
      <c r="X296" s="3">
        <f>1161.3+(62.3-347.1)+(-2.369052+(-0.127092--0.708084))+0-282.3--0.575891999999988</f>
        <v>592.98783199999991</v>
      </c>
      <c r="Y296" s="3">
        <f>1165.5+(47-355.4)+(-1.783215+(-0.07191--0.543762))+0-280.2--0.428706000000016</f>
        <v>576.0173430000001</v>
      </c>
      <c r="Z296" s="3">
        <f>1167.7+(28.5-358.1)+(-0.595527+(-0.014535--0.182631))+0-279.8--0.142697999999972</f>
        <v>558.01526700000011</v>
      </c>
      <c r="AA296" s="3">
        <f>1171.5+(31.4-381.8)+(1.19493+(0.032028-0.389436))+0-280.6-0.286212000000045</f>
        <v>541.05130999999983</v>
      </c>
      <c r="AB296" s="3">
        <f>1175.7+(15.3-390)+(-1.199214+(-0.015606--0.3978))+0-279.2--0.284784000000045</f>
        <v>521.26776400000006</v>
      </c>
      <c r="AC296" s="3">
        <f>1162.3+(0-382.9)+(-1.185546+(0--0.390558))+0-279.2--0.284784000000045</f>
        <v>499.68979600000006</v>
      </c>
      <c r="AD296">
        <f t="shared" si="4"/>
        <v>12074.670261000001</v>
      </c>
      <c r="AE296" s="3">
        <f>1163+(63-375)+(0+(0-0))+0-290-0</f>
        <v>561</v>
      </c>
    </row>
    <row r="297" spans="1:31" s="2" customFormat="1" x14ac:dyDescent="0.25">
      <c r="A297">
        <v>89</v>
      </c>
      <c r="B297">
        <v>10</v>
      </c>
      <c r="C297">
        <v>21</v>
      </c>
      <c r="D297">
        <v>4</v>
      </c>
      <c r="E297">
        <v>1</v>
      </c>
      <c r="F297" s="3">
        <f>1002.9+(13.9-263.9)+(-1.022958+(-0.014178--0.269178))+0-280.1--0.285702000000045</f>
        <v>472.317744</v>
      </c>
      <c r="G297" s="3">
        <f>1047.3+(0-312.3)+(-1.068246+(0--0.318546))+0-281.8--0.287436000000045</f>
        <v>452.7377360000001</v>
      </c>
      <c r="H297" s="3">
        <f>1048.9+(0-328.6)+(0.534939+(0-0.167586))+0-282.2-0.143921999999971</f>
        <v>438.32343100000008</v>
      </c>
      <c r="I297" s="3">
        <f>1054+(0-334.7)+(0.53754+(0-0.170697))+0-281-0.143309999999971</f>
        <v>438.52353299999999</v>
      </c>
      <c r="J297" s="3">
        <f>1053.6+(17.8-353.7)+(1.074672+(0.018156-0.360774))+0-281-0.286620000000045</f>
        <v>437.14543399999985</v>
      </c>
      <c r="K297" s="3">
        <f>1045.7+(40.4-349)+(-0.533307+(-0.020604--0.17799))+0-282--0.143819999999971</f>
        <v>454.86789900000002</v>
      </c>
      <c r="L297" s="3">
        <f>1049.3+(56-320.4)+(-3.210858+(-0.17136--0.980424))+0-280.7--0.858942000000032</f>
        <v>502.65714800000001</v>
      </c>
      <c r="M297" s="3">
        <f>1002.8+(70-299.4)+(0+(0-0))+0-279.8-0</f>
        <v>493.59999999999997</v>
      </c>
      <c r="N297" s="3">
        <f>992.1+(90.8-287.3)+(-1.011942+(-0.092616--0.293046))+0-279.5--0.285090000000045</f>
        <v>515.57357800000011</v>
      </c>
      <c r="O297" s="3">
        <f>991.3+(75-275.5)+(-0.505563+(-0.03825--0.140505))+0-279.9--0.142748999999972</f>
        <v>510.63944099999992</v>
      </c>
      <c r="P297" s="3">
        <f>969.3+(80-241.8)+(0.494343+(0.0408-0.123318))+0-280.1-0.142850999999972</f>
        <v>527.66897400000005</v>
      </c>
      <c r="Q297" s="3">
        <f>959.2+(79.6-226.5)+(-1.467576+(-0.121788--0.346545))+0-280.2--0.428706000000016</f>
        <v>531.28588700000012</v>
      </c>
      <c r="R297" s="3">
        <f>955.4+(83.8-217.1)+(-2.43627+(-0.21369--0.553605))+0-279.5--0.712724999999959</f>
        <v>541.21636999999987</v>
      </c>
      <c r="S297" s="3">
        <f>953.1+(61.2-198.6)+(0+(0-0))+0-279.5-0</f>
        <v>536.20000000000005</v>
      </c>
      <c r="T297" s="3">
        <f>956.5+(48.7-211.1)+(0.487815+(0.024837-0.107661))+0-279.3-0.142442999999972</f>
        <v>515.06254800000011</v>
      </c>
      <c r="U297" s="3">
        <f>977.3+(60.1-237.4)+(0+(0-0))+0-279.1-0</f>
        <v>520.9</v>
      </c>
      <c r="V297" s="3">
        <f>981.9+(123.1-291.9)+(-0.500769+(-0.062781--0.148869))+0-280.1--0.142850999999972</f>
        <v>532.72816999999998</v>
      </c>
      <c r="W297" s="3">
        <f>990.2+(164.2-274)+(0.505002+(0.083742-0.13974))+0-280.8-0.143207999999972</f>
        <v>599.90579600000001</v>
      </c>
      <c r="X297" s="3">
        <f>1027.6+(125.7-261.1)+(-1.572228+(-0.192321--0.399483))+0-281--0.429930000000016</f>
        <v>610.26486399999987</v>
      </c>
      <c r="Y297" s="3">
        <f>1031.1+(108.4-255.6)+(-2.103444+(-0.221136--0.521424))+0-279.7--0.570587999999988</f>
        <v>602.96743199999992</v>
      </c>
      <c r="Z297" s="3">
        <f>1032.8+(93-258.9)+(-2.106912+(-0.18972--0.528156))+0-279.8--0.570791999999988</f>
        <v>585.90231599999993</v>
      </c>
      <c r="AA297" s="3">
        <f>1038+(80.1-274)+(-2.11752+(-0.163404--0.55896))+0-279.5--0.570179999999988</f>
        <v>563.448216</v>
      </c>
      <c r="AB297" s="3">
        <f>1034.6+(64.8-280.4)+(-1.582938+(-0.099144--0.429012))+0-279.5--0.427635000000016</f>
        <v>538.67456500000003</v>
      </c>
      <c r="AC297" s="3">
        <f>1040.7+(41.9-288.5)+(-3.715299+(-0.149583--1.029945))+0-278.9--0.995673000000004</f>
        <v>513.36073600000009</v>
      </c>
      <c r="AD297">
        <f t="shared" si="4"/>
        <v>12435.971818</v>
      </c>
      <c r="AE297" s="3">
        <f>1022+(124-292.6)+(0+(0-0))+0-280.2-0</f>
        <v>573.20000000000005</v>
      </c>
    </row>
    <row r="298" spans="1:31" s="2" customFormat="1" x14ac:dyDescent="0.25">
      <c r="A298">
        <v>89</v>
      </c>
      <c r="B298">
        <v>10</v>
      </c>
      <c r="C298">
        <v>22</v>
      </c>
      <c r="D298">
        <v>5</v>
      </c>
      <c r="E298">
        <v>1</v>
      </c>
      <c r="F298" s="3">
        <f>1041.8+(0-304.8)+(1.062636+(0-0.310896))+0-278.4-0.283968000000044</f>
        <v>459.06777200000005</v>
      </c>
      <c r="G298" s="3">
        <f>1043.9+(0-321.9)+(0+(0-0))+0-279.5-0</f>
        <v>442.50000000000011</v>
      </c>
      <c r="H298" s="3">
        <f>1047.6+(0-323.4)+(0+(0-0))+0-280.6-0</f>
        <v>443.59999999999991</v>
      </c>
      <c r="I298" s="3">
        <f>1049.1+(0-342.4)+(0+(0-0))+0-280.8-0</f>
        <v>425.89999999999992</v>
      </c>
      <c r="J298" s="3">
        <f>1050.8+(0-322.6)+(2.67954+(0-0.82263))+0-280.3-0.714764999999959</f>
        <v>449.04214499999995</v>
      </c>
      <c r="K298" s="3">
        <f>1049.9+(0-297.1)+(0+(0-0))+0-281.5-0</f>
        <v>471.30000000000007</v>
      </c>
      <c r="L298" s="3">
        <f>1054.1+(15.2-277.2)+(-0.537591+(-0.007752--0.141372))+0-281.9--0.143768999999971</f>
        <v>509.93979799999994</v>
      </c>
      <c r="M298" s="3">
        <f>1051.7+(35.3-272.9)+(0.536367+(0.018003-0.139179))+0-280.6-0.143105999999972</f>
        <v>533.77208500000017</v>
      </c>
      <c r="N298" s="3">
        <f>1043.4+(52.5-298.9)+(2.128536+(0.1071-0.609756))+0-280.4-0.572015999999988</f>
        <v>517.65386400000023</v>
      </c>
      <c r="O298" s="3">
        <f>1034.6+(83.8-311.3)+(1.055292+(0.085476-0.317526))+0-282.3-0.287946000000045</f>
        <v>525.33529599999986</v>
      </c>
      <c r="P298" s="3">
        <f>1026.8+(96-310.7)+(2.094672+(0.19584-0.633828))+0-282.2-0.575687999999988</f>
        <v>530.98099599999989</v>
      </c>
      <c r="Q298" s="3">
        <f>1021.8+(101.2-311)+(0+(0-0))+0-281.1-0</f>
        <v>530.9</v>
      </c>
      <c r="R298" s="3">
        <f>1051.5+(99.2-299.7)+(-1.608795+(-0.151776--0.458541))+0-282.2--0.431766000000016</f>
        <v>567.92973600000016</v>
      </c>
      <c r="S298" s="3">
        <f>1047.3+(100.9-289.3)+(-2.136492+(-0.205836--0.590172))+0-281.8--0.574871999999988</f>
        <v>575.92271599999992</v>
      </c>
      <c r="T298" s="3">
        <f>1047.1+(89.7-288.8)+(0+(0-0))+0-281.1-0</f>
        <v>566.89999999999986</v>
      </c>
      <c r="U298" s="3">
        <f>1050.5+(59.2-258.7)+(-1.07151+(-0.060384--0.263874))+0-281.1--0.286722000000045</f>
        <v>569.31870200000003</v>
      </c>
      <c r="V298" s="3">
        <f>1054.1+(69.9-272.3)+(-3.225546+(-0.213894--0.833238))+0-281.8--0.862308000000033</f>
        <v>568.15610599999991</v>
      </c>
      <c r="W298" s="3">
        <f>1057.7+(138.3-235.5)+(-0.539427+(-0.070533--0.120105))+0-281.1--0.143360999999971</f>
        <v>679.05350599999997</v>
      </c>
      <c r="X298" s="3">
        <f>1060.2+(146.3-290.3)+(-1.622106+(-0.223839--0.444159))+0-284.2--0.434826000000016</f>
        <v>631.03304000000014</v>
      </c>
      <c r="Y298" s="3">
        <f>1063.4+(126.9-275.9)+(-1.084668+(-0.129438--0.281418))+0-284.1--0.289782000000045</f>
        <v>629.65709400000014</v>
      </c>
      <c r="Z298" s="3">
        <f>1066.8+(85.7-283.4)+(-0.544068+(-0.043707--0.144534))+0-284.7--0.145196999999971</f>
        <v>584.10195599999986</v>
      </c>
      <c r="AA298" s="3">
        <f>1068.6+(63.6-281.1)+(-0.544986+(-0.032436--0.143361))+0-284.8--0.145247999999971</f>
        <v>566.01118699999972</v>
      </c>
      <c r="AB298" s="3">
        <f>1071.1+(63.5-271.2)+(-0.546261+(-0.032385--0.138312))+0-283.9--0.144788999999971</f>
        <v>579.20445499999983</v>
      </c>
      <c r="AC298" s="3">
        <f>1049.8+(53.2-271.6)+(-1.070796+(-0.054264--0.277032))+0-282.9--0.288558000000045</f>
        <v>547.94052999999997</v>
      </c>
      <c r="AD298">
        <f t="shared" si="4"/>
        <v>12905.220984</v>
      </c>
      <c r="AE298" s="3">
        <f>1023+(126-272)+(0+(0-0))+0-284.4-0</f>
        <v>592.6</v>
      </c>
    </row>
    <row r="299" spans="1:31" s="2" customFormat="1" x14ac:dyDescent="0.25">
      <c r="A299">
        <v>89</v>
      </c>
      <c r="B299">
        <v>10</v>
      </c>
      <c r="C299">
        <v>23</v>
      </c>
      <c r="D299">
        <v>6</v>
      </c>
      <c r="E299">
        <v>1</v>
      </c>
      <c r="F299" s="3">
        <f>1004.8+(41.8-291.3)+(-1.537344+(-0.063954--0.445689))+0-283.1--0.433143000000016</f>
        <v>471.47753399999993</v>
      </c>
      <c r="G299" s="3">
        <f>1006+(59.5-344.7)+(0+(0-0))+0-283.3-0</f>
        <v>437.49999999999994</v>
      </c>
      <c r="H299" s="3">
        <f>1004.8+(61-345.9)+(0.512448+(0.03111-0.176409))+0-286.2-0.145961999999971</f>
        <v>433.92118700000003</v>
      </c>
      <c r="I299" s="3">
        <f>1005.5+(49.7-341.3)+(0.512805+(0.025347-0.174063))+0-284.9-0.145298999999971</f>
        <v>429.21879000000007</v>
      </c>
      <c r="J299" s="3">
        <f>1006.9+(42.6-324.4)+(1.027038+(0.043452-0.330888))+0-284.9-0.290598000000045</f>
        <v>440.64900399999999</v>
      </c>
      <c r="K299" s="3">
        <f>1005.1+(60.6-306.8)+(1.025202+(0.061812-0.312936))+0-284.8-0.290496000000045</f>
        <v>474.58358199999998</v>
      </c>
      <c r="L299" s="3">
        <f>1006.4+(87.8-282.2)+(0+(0-0))+0-285.5-0</f>
        <v>526.5</v>
      </c>
      <c r="M299" s="3">
        <f>1009.2+(116.2-292.5)+(-0.514692+(-0.059262--0.149175))+0-281.2--0.143411999999971</f>
        <v>551.41863300000011</v>
      </c>
      <c r="N299" s="3">
        <f>993.9+(140.1-318.3)+(-1.013778+(-0.142902--0.324666))+0-282.2--0.287844000000045</f>
        <v>532.95582999999999</v>
      </c>
      <c r="O299" s="3">
        <f>986.1+(150.3-313.4)+(0.502911+(0.076653-0.159834))+0-283.3-0.144482999999971</f>
        <v>539.97524699999997</v>
      </c>
      <c r="P299" s="3">
        <f>992.1+(159-318.5)+(1.011942+(0.16218-0.32487))+0-282.9-0.288558000000045</f>
        <v>550.26069399999994</v>
      </c>
      <c r="Q299" s="3">
        <f>991+(157.9-309.3)+(-0.50541+(-0.080529--0.157743))+0-283.1--0.144380999999971</f>
        <v>556.216185</v>
      </c>
      <c r="R299" s="3">
        <f>984.3+(149.8-294.6)+(-0.501993+(-0.076398--0.150246))+0-282.6--0.144125999999971</f>
        <v>556.61598099999992</v>
      </c>
      <c r="S299" s="3">
        <f>987.3+(145.2-298.3)+(0+(0-0))+0-284.8-0</f>
        <v>549.39999999999986</v>
      </c>
      <c r="T299" s="3">
        <f>986.9+(136.5-298.2)+(-2.013276+(-0.27846--0.608328))+0-283.7--0.578747999999988</f>
        <v>540.39534000000015</v>
      </c>
      <c r="U299" s="3">
        <f>985.9+(125-312.5)+(0+(0-0))+0-282.5-0</f>
        <v>515.9</v>
      </c>
      <c r="V299" s="3">
        <f>988.1+(197.5-349.1)+(-0.503931+(-0.100725--0.178041))+0-281.3--0.143462999999971</f>
        <v>554.91684799999996</v>
      </c>
      <c r="W299" s="3">
        <f>990.9+(280.8-388)+(0+(0-0))+0-283.9-0</f>
        <v>599.80000000000007</v>
      </c>
      <c r="X299" s="3">
        <f>993.3+(233.1-330.8)+(-1.013166+(-0.237762--0.337416))+0-283.8--0.289476000000045</f>
        <v>611.17596399999991</v>
      </c>
      <c r="Y299" s="3">
        <f>994+(174.9-293.3)+(-1.01388+(-0.178398--0.299166))+0-283.6--0.289272000000045</f>
        <v>591.39616000000012</v>
      </c>
      <c r="Z299" s="3">
        <f>996.8+(144-298.9)+(-1.016736+(-0.14688--0.304878))+0-281.7--0.287334000000045</f>
        <v>559.62859600000002</v>
      </c>
      <c r="AA299" s="3">
        <f>999.1+(131-296.6)+(1.019082+(0.13362-0.302532))+0-280.3-0.285906000000045</f>
        <v>553.76426399999991</v>
      </c>
      <c r="AB299" s="3">
        <f>999.3+(113.7-293.5)+(-1.019286+(-0.115974--0.29937))+0-281.5--0.287130000000045</f>
        <v>537.4512400000001</v>
      </c>
      <c r="AC299" s="3">
        <f>994.3+(85-289.4)+(-1.521279+(-0.13005--0.442782))+0-279.2--0.427176000000016</f>
        <v>509.91862900000007</v>
      </c>
      <c r="AD299">
        <f t="shared" si="4"/>
        <v>12625.039708</v>
      </c>
      <c r="AE299" s="3">
        <f>994+(266.9-385.8)+(0+(0-0))+0-284.4-0</f>
        <v>590.69999999999993</v>
      </c>
    </row>
    <row r="300" spans="1:31" s="2" customFormat="1" x14ac:dyDescent="0.25">
      <c r="A300">
        <v>89</v>
      </c>
      <c r="B300">
        <v>10</v>
      </c>
      <c r="C300">
        <v>24</v>
      </c>
      <c r="D300">
        <v>7</v>
      </c>
      <c r="E300">
        <v>1</v>
      </c>
      <c r="F300" s="3">
        <f>946.9+(61.3-254.8)+(0+(0-0))+0-279.4-0</f>
        <v>474</v>
      </c>
      <c r="G300" s="3">
        <f>992.2+(37.9-298.2)+(-1.518066+(-0.057987--0.456246))+0-282.3--0.431919000000016</f>
        <v>448.91211200000004</v>
      </c>
      <c r="H300" s="3">
        <f>804+(91.8-177.8)+(-0.41004+(-0.046818--0.090678))+0-282.7--0.144176999999971</f>
        <v>435.07799699999998</v>
      </c>
      <c r="I300" s="3">
        <f>783.9+(102.3-181.9)+(0.399789+(0.052173-0.092769))+0-283.2-0.144431999999971</f>
        <v>421.31476099999998</v>
      </c>
      <c r="J300" s="3">
        <f>824.9+(94.7-206.4)+(0.420699+(0.048297-0.105264))+0-285.6-0.145655999999971</f>
        <v>427.81807599999996</v>
      </c>
      <c r="K300" s="3">
        <f>822.8+(118-199.8)+(1.678512+(0.24072-0.407592))+0-283.9-0.579155999999988</f>
        <v>458.03248399999995</v>
      </c>
      <c r="L300" s="3">
        <f>819.8+(141.1-197.6)+(-1.254294+(-0.215883--0.302328))+0-282.9--0.432837000000016</f>
        <v>479.66498799999994</v>
      </c>
      <c r="M300" s="3">
        <f>817.9+(170.5-199.5)+(-1.668516+(-0.34782--0.40698))+0-282--0.575279999999988</f>
        <v>505.86592399999989</v>
      </c>
      <c r="N300" s="3">
        <f>816.4+(214.5-234.9)+(1.249092+(0.328185-0.359397))+0-280.8-0.429624000000016</f>
        <v>515.98825599999998</v>
      </c>
      <c r="O300" s="3">
        <f>813.6+(218.2-207.3)+(-0.829872+(-0.222564--0.211446))+0-283.3--0.288966000000045</f>
        <v>540.64797599999997</v>
      </c>
      <c r="P300" s="3">
        <f>806.9+(231-197.7)+(-0.823038+(-0.23562--0.201654))+0-280.7--0.286314000000045</f>
        <v>558.9293100000001</v>
      </c>
      <c r="Q300" s="3">
        <f>794+(254-200.4)+(-1.21482+(-0.38862--0.306612))+0-283.9--0.434367000000016</f>
        <v>562.83753900000011</v>
      </c>
      <c r="R300" s="3">
        <f>794.8+(258.5-200.2)+(-1.621392+(-0.52734--0.408408))+0-284.3--0.579971999999988</f>
        <v>567.63964799999985</v>
      </c>
      <c r="S300" s="3">
        <f>795.1+(253.4-217.8)+(-1.216503+(-0.387702--0.333234))+0-282.3--0.431919000000016</f>
        <v>547.56094799999994</v>
      </c>
      <c r="T300" s="3">
        <f>796.3+(249.5-230.7)+(-0.406113+(-0.127245--0.117657))+0-281.4--0.143513999999971</f>
        <v>533.4278129999999</v>
      </c>
      <c r="U300" s="3">
        <f>797.9+(232.9-237.5)+(-2.034645+(-0.593895--0.605625))+0-280.1--0.714254999999959</f>
        <v>511.8913399999999</v>
      </c>
      <c r="V300" s="3">
        <f>797.6+(256.6-245.8)+(-2.03388+(-0.65433--0.62679))+0-282.2--0.719609999999959</f>
        <v>524.85819000000004</v>
      </c>
      <c r="W300" s="3">
        <f>837.2+(317.3-272.8)+(-1.280916+(-0.485469--0.417384))+0-284.2--0.434826000000016</f>
        <v>596.585825</v>
      </c>
      <c r="X300" s="3">
        <f>867.2+(258.8-256.9)+(-0.442272+(-0.131988--0.131019))+0-284--0.144839999999971</f>
        <v>584.80159900000012</v>
      </c>
      <c r="Y300" s="3">
        <f>871.3+(224.4-238.5)+(-1.333089+(-0.343332--0.364905))+0-281.9--0.431307000000016</f>
        <v>574.41979100000003</v>
      </c>
      <c r="Z300" s="3">
        <f>869.7+(189.1-216.7)+(0.443547+(0.096441-0.110517))+0-283.6-0.144635999999971</f>
        <v>558.78483500000004</v>
      </c>
      <c r="AA300" s="3">
        <f>795+(215.2-182.4)+(-0.40545+(-0.109752--0.093024))+0-286.2--0.145961999999971</f>
        <v>541.32378399999982</v>
      </c>
      <c r="AB300" s="3">
        <f>838.3+(153.8-176.4)+(-1.282599+(-0.235314--0.269892))+0-282.6--0.432378000000016</f>
        <v>532.28435699999989</v>
      </c>
      <c r="AC300" s="3">
        <f>850.4+(120.5-177.6)+(0.867408+(0.12291-0.181152))+0-282.3-0.287946000000045</f>
        <v>511.52121999999991</v>
      </c>
      <c r="AD300">
        <f t="shared" si="4"/>
        <v>12414.188773000003</v>
      </c>
      <c r="AE300" s="3">
        <f>872+(263.7-265.2)+(0+(0-0))+0-285-0</f>
        <v>585.5</v>
      </c>
    </row>
    <row r="301" spans="1:31" s="2" customFormat="1" x14ac:dyDescent="0.25">
      <c r="A301">
        <v>89</v>
      </c>
      <c r="B301">
        <v>10</v>
      </c>
      <c r="C301">
        <v>25</v>
      </c>
      <c r="D301">
        <v>1</v>
      </c>
      <c r="E301">
        <v>1</v>
      </c>
      <c r="F301" s="3">
        <f>845.8+(100.7-209.5)+(-1.294074+(-0.154071--0.320535))+0-282.6--0.432378000000016</f>
        <v>453.704768</v>
      </c>
      <c r="G301" s="3">
        <f>841.9+(99-207.9)+(0+(0-0))+0-283.7-0</f>
        <v>449.3</v>
      </c>
      <c r="H301" s="3">
        <f>843.1+(95.9-211.9)+(-0.859962+(-0.097818--0.216138))+0-283.1--0.288762000000045</f>
        <v>443.54712000000006</v>
      </c>
      <c r="I301" s="3">
        <f>845.6+(89.5-207.3)+(0.862512+(0.09129-0.211446))+0-282.4-0.288048000000045</f>
        <v>445.85430799999989</v>
      </c>
      <c r="J301" s="3">
        <f>846.6+(78.4-185.7)+(0.863532+(0.079968-0.189414))+0-283.3-0.288966000000045</f>
        <v>456.46512000000001</v>
      </c>
      <c r="K301" s="3">
        <f>847.1+(81.7-184.7)+(-0.864042+(-0.083334--0.188394))+0-286--0.291720000000046</f>
        <v>457.63273800000013</v>
      </c>
      <c r="L301" s="3">
        <f>849.1+(143.4-186.9)+(-1.299123+(-0.219402--0.285957))+0-285.3--0.436509000000017</f>
        <v>519.50394100000005</v>
      </c>
      <c r="M301" s="3">
        <f>846.2+(166.7-217.1)+(-0.431562+(-0.085017--0.110721))+0-284--0.144839999999971</f>
        <v>511.53898200000009</v>
      </c>
      <c r="N301" s="3">
        <f>843.4+(174.3-228.1)+(0.430134+(0.088893-0.116331))+0-283.6-0.144635999999971</f>
        <v>506.25806</v>
      </c>
      <c r="O301" s="3">
        <f>856.5+(177.1-231.9)+(0.436815+(0.090321-0.118269))+0-284.3-0.144992999999971</f>
        <v>517.66387399999996</v>
      </c>
      <c r="P301" s="3">
        <f>877.4+(180.7-240.4)+(0+(0-0))+0-286-0</f>
        <v>531.69999999999993</v>
      </c>
      <c r="Q301" s="3">
        <f>873.2+(178.6-229.7)+(0+(0-0))+0-285.2-0</f>
        <v>536.90000000000009</v>
      </c>
      <c r="R301" s="3">
        <f>865.6+(169.7-217.1)+(-0.441456+(-0.086547--0.110721))+0-284.4--0.145043999999971</f>
        <v>533.52776200000005</v>
      </c>
      <c r="S301" s="3">
        <f>831.5+(173-201.7)+(0+(0-0))+0-286.9-0</f>
        <v>515.9</v>
      </c>
      <c r="T301" s="3">
        <f>829.3+(167.2-193.8)+(0.422943+(0.085272-0.098838))+0-284.5-0.145094999999971</f>
        <v>518.46428199999991</v>
      </c>
      <c r="U301" s="3">
        <f>827.7+(160.5-196.2)+(0.422127+(0.081855-0.100062))+0-283.6-0.144635999999971</f>
        <v>508.65928399999996</v>
      </c>
      <c r="V301" s="3">
        <f>829+(214.9-241.4)+(-0.42279+(-0.109599--0.123114))+0-284.9--0.145298999999971</f>
        <v>517.33602400000007</v>
      </c>
      <c r="W301" s="3">
        <f>859.6+(270.3-266.3)+(0.438396+(0.137853-0.135813))+0-287.5-0.146624999999971</f>
        <v>576.39381100000003</v>
      </c>
      <c r="X301" s="3">
        <f>873.3+(263.5-268.6)+(-1.781532+(-0.53754--0.547944))+0-287.9--0.587315999999987</f>
        <v>579.11618799999997</v>
      </c>
      <c r="Y301" s="3">
        <f>875.6+(252.7-274)+(-0.446556+(-0.128877--0.13974))+0-288--0.146879999999971</f>
        <v>566.01118699999995</v>
      </c>
      <c r="Z301" s="3">
        <f>878+(213.8-252.3)+(-2.2389+(-0.54519--0.643365))+0-288.2--0.734909999999958</f>
        <v>549.89418499999999</v>
      </c>
      <c r="AA301" s="3">
        <f>866+(170.4-217.6)+(-1.32498+(-0.260712--0.332928))+0-288.5--0.441405000000017</f>
        <v>529.48864100000003</v>
      </c>
      <c r="AB301" s="3">
        <f>841.3+(134.5-170.7)+(-0.858126+(-0.13719--0.174114))+0-288.5--0.294270000000046</f>
        <v>516.07306800000003</v>
      </c>
      <c r="AC301" s="3">
        <f>840.6+(115.1-180.9)+(-2.14353+(-0.293505--0.461295))+0-287.7--0.733634999999958</f>
        <v>485.85789499999993</v>
      </c>
      <c r="AD301">
        <f t="shared" si="4"/>
        <v>12226.791237999998</v>
      </c>
      <c r="AE301" s="3">
        <f>868+(282.8-270.7)+(0+(0-0))+0-288-0</f>
        <v>592.1</v>
      </c>
    </row>
    <row r="302" spans="1:31" s="2" customFormat="1" x14ac:dyDescent="0.25">
      <c r="A302">
        <v>89</v>
      </c>
      <c r="B302">
        <v>10</v>
      </c>
      <c r="C302">
        <v>26</v>
      </c>
      <c r="D302">
        <v>2</v>
      </c>
      <c r="E302">
        <v>1</v>
      </c>
      <c r="F302" s="3">
        <f>837.2+(113.2-213.6)+(-0.426972+(-0.057732--0.108936))+0-284.1--0.144890999999971</f>
        <v>452.46912300000002</v>
      </c>
      <c r="G302" s="3">
        <f>835.9+(92.2-212.6)+(-0.852618+(-0.094044--0.216852))+0-285.1--0.290802000000045</f>
        <v>429.96099199999998</v>
      </c>
      <c r="H302" s="3">
        <f>840.4+(119.7-217.8)+(-1.285812+(-0.183141--0.333234))+0-286.5--0.438345000000017</f>
        <v>455.10262599999999</v>
      </c>
      <c r="I302" s="3">
        <f>839.9+(129.6-227.6)+(-0.856698+(-0.132192--0.232152))+0-284.2--0.289884000000045</f>
        <v>457.23314599999998</v>
      </c>
      <c r="J302" s="3">
        <f>843.2+(121.9-243.4)+(-2.15016+(-0.310845--0.62067))+0-284--0.724199999999959</f>
        <v>436.583865</v>
      </c>
      <c r="K302" s="3">
        <f>836.7+(144.3-249.8)+(0.853434+(0.147186-0.254796))+0-283.2-0.288864000000045</f>
        <v>448.45695999999998</v>
      </c>
      <c r="L302" s="3">
        <f>833.9+(191.1-256.7)+(-2.551734+(-0.584766--0.785502))+0-283.4--0.867204000000033</f>
        <v>483.41620599999999</v>
      </c>
      <c r="M302" s="3">
        <f>841.4+(197.6-248.3)+(-0.429114+(-0.100776--0.126633))+0-282.8--0.144227999999971</f>
        <v>507.64097099999987</v>
      </c>
      <c r="N302" s="3">
        <f>849.1+(189.8-265.6)+(-1.732164+(-0.387192--0.541824))+0-284.9--0.581195999999988</f>
        <v>487.40366399999994</v>
      </c>
      <c r="O302" s="3">
        <f>859.5+(186.2-263.8)+(0+(0-0))+0-287.9-0</f>
        <v>494</v>
      </c>
      <c r="P302" s="3">
        <f>857.2+(208.9-275.7)+(-0.874344+(-0.213078--0.281214))+0-287.4--0.293148000000046</f>
        <v>502.48694000000017</v>
      </c>
      <c r="Q302" s="3">
        <f>853.9+(222.7-286.1)+(-0.870978+(-0.227154--0.291822))+0-284.6--0.290292000000045</f>
        <v>505.38398199999995</v>
      </c>
      <c r="R302" s="3">
        <f>851.8+(211.8-264.7)+(0+(0-0))+0-286.2-0</f>
        <v>512.70000000000005</v>
      </c>
      <c r="S302" s="3">
        <f>851.1+(202.9-255.6)+(-0.434061+(-0.103479--0.130356))+0-287.1--0.146420999999971</f>
        <v>511.03923700000001</v>
      </c>
      <c r="T302" s="3">
        <f>850.8+(192.3-251.3)+(-0.867816+(-0.196146--0.256326))+0-285.3--0.291006000000046</f>
        <v>505.98336999999998</v>
      </c>
      <c r="U302" s="3">
        <f>813.2+(208.9-260.4)+(-0.829464+(-0.213078--0.265608))+0-285.9--0.291618000000046</f>
        <v>475.31468400000011</v>
      </c>
      <c r="V302" s="3">
        <f>862.2+(196.2-266.4)+(-1.758888+(-0.400248--0.543456))+0-286.3--0.584051999999987</f>
        <v>504.66837199999998</v>
      </c>
      <c r="W302" s="3">
        <f>861.4+(243.6-266.7)+(0+(0-0))+0-286.9-0</f>
        <v>551.4</v>
      </c>
      <c r="X302" s="3">
        <f>863+(227.8-237.3)+(-0.44013+(-0.116178--0.121023))+0-287.9--0.146828999999971</f>
        <v>565.31154400000003</v>
      </c>
      <c r="Y302" s="3">
        <f>862.6+(213.9-240.5)+(-2.19963+(-0.545445--0.613275))+0-288--0.734399999999958</f>
        <v>546.60259999999994</v>
      </c>
      <c r="Z302" s="3">
        <f>863.8+(190.9-230.1)+(-1.321614+(-0.292077--0.352053))+0-285.7--0.437121000000016</f>
        <v>538.07548299999996</v>
      </c>
      <c r="AA302" s="3">
        <f>866.5+(172-228)+(-1.76766+(-0.35088--0.46512))+0-286.1--0.583643999999988</f>
        <v>523.33022399999993</v>
      </c>
      <c r="AB302" s="3">
        <f>864.1+(147.3-217.5)+(0+(0-0))+0-286.9-0</f>
        <v>507.00000000000011</v>
      </c>
      <c r="AC302" s="3">
        <f>865.7+(104.3-212.1)+(-3.090549+(-0.372351--0.757197))+0-286.3--1.022091</f>
        <v>469.9163880000001</v>
      </c>
      <c r="AD302">
        <f t="shared" si="4"/>
        <v>11871.480377</v>
      </c>
      <c r="AE302" s="3">
        <f>860+(224.1-282.8)+(0+(0-0))+0-285.6-0</f>
        <v>515.69999999999993</v>
      </c>
    </row>
    <row r="303" spans="1:31" s="2" customFormat="1" x14ac:dyDescent="0.25">
      <c r="A303">
        <v>89</v>
      </c>
      <c r="B303">
        <v>10</v>
      </c>
      <c r="C303">
        <v>27</v>
      </c>
      <c r="D303">
        <v>3</v>
      </c>
      <c r="E303">
        <v>1</v>
      </c>
      <c r="F303" s="3">
        <f>866.3+(68.3-207)+(-0.883626+(-0.069666--0.21114))+0-285.4--0.291108000000046</f>
        <v>441.74895599999996</v>
      </c>
      <c r="G303" s="3">
        <f>867.5+(30.6-197.1)+(-2.212125+(-0.07803--0.502605))+0-286.4--0.730319999999958</f>
        <v>413.54276999999996</v>
      </c>
      <c r="H303" s="3">
        <f>870.3+(37-208.8)+(0.887706+(0.03774-0.212976))+0-286.8-0.292536000000046</f>
        <v>412.119934</v>
      </c>
      <c r="I303" s="3">
        <f>871+(29.3-209.1)+(0+(0-0))+0-289.7-0</f>
        <v>401.50000000000006</v>
      </c>
      <c r="J303" s="3">
        <f>871.9+(40-206.4)+(0.444669+(0.0204-0.105264))+0-288.4-0.147083999999971</f>
        <v>417.31272100000012</v>
      </c>
      <c r="K303" s="3">
        <f>871.6+(70-249.8)+(-2.22258+(-0.1785--0.63699))+0-285.9--0.729044999999958</f>
        <v>404.86495499999995</v>
      </c>
      <c r="L303" s="3">
        <f>871.5+(9.5-209.3)+(0+(0-0))+0-285.5-0</f>
        <v>386.20000000000005</v>
      </c>
      <c r="M303" s="3">
        <f>871+(17.6-188.9)+(-1.33263+(-0.026928--0.289017))+0-285.9--0.437427000000017</f>
        <v>413.16688600000003</v>
      </c>
      <c r="N303" s="3">
        <f>865.3+(36.2-161.5)+(-1.323909+(-0.055386--0.247095))+0-287.8--0.440334000000017</f>
        <v>451.50813399999998</v>
      </c>
      <c r="O303" s="3">
        <f>828.7+(41.4-172.3)+(0.422637+(0.021114-0.087873))+0-289.9-0.147848999999971</f>
        <v>408.1080290000001</v>
      </c>
      <c r="P303" s="3">
        <f>835.6+(57.4-154.8)+(-2.13078+(-0.14637--0.39474))+0-291.1--0.742304999999958</f>
        <v>445.9598949999999</v>
      </c>
      <c r="Q303" s="3">
        <f>849.4+(58.4-148.8)+(0.433194+(0.029784-0.075888))+0-289-0.147389999999971</f>
        <v>470.23969999999997</v>
      </c>
      <c r="R303" s="3">
        <f>846.2+(153.3-158.8)+(-2.15781+(-0.390915--0.40494))+0-288--0.734399999999958</f>
        <v>551.290615</v>
      </c>
      <c r="S303" s="3">
        <f>844.9+(200.5-197.6)+(0+(0-0))+0-287.6-0</f>
        <v>560.19999999999993</v>
      </c>
      <c r="T303" s="3">
        <f>844.9+(155.5-167.3)+(-1.292697+(-0.237915--0.255969))+0-289.7--0.443241000000017</f>
        <v>542.56859799999995</v>
      </c>
      <c r="U303" s="3">
        <f>845.8+(134.7-153.6)+(-0.862716+(-0.137394--0.156672))+0-289.7--0.295494000000046</f>
        <v>536.65205600000002</v>
      </c>
      <c r="V303" s="3">
        <f>857.1+(152.8-182)+(-0.437121+(-0.077928--0.09282))+0-288.6--0.147185999999971</f>
        <v>539.02495699999997</v>
      </c>
      <c r="W303" s="3">
        <f>886.6+(214-209.3)+(-0.452166+(-0.10914--0.106743))+0-287.9--0.146828999999971</f>
        <v>603.092266</v>
      </c>
      <c r="X303" s="3">
        <f>887.3+(244.4-227.5)+(-1.357569+(-0.373932--0.348075))+0-289--0.442170000000017</f>
        <v>614.25874399999998</v>
      </c>
      <c r="Y303" s="3">
        <f>892.5+(221.5-229.8)+(-1.365525+(-0.338895--0.351594))+0-287.8--0.440334000000017</f>
        <v>595.48750800000005</v>
      </c>
      <c r="Z303" s="3">
        <f>892.8+(211.2-241.5)+(0+(0-0))+0-287.3-0</f>
        <v>575.20000000000005</v>
      </c>
      <c r="AA303" s="3">
        <f>896.2+(200.6-260.2)+(0.457062+(0.102306-0.132702))+0-287.7-0.146726999999971</f>
        <v>549.17993899999999</v>
      </c>
      <c r="AB303" s="3">
        <f>896.9+(177.2-255.4)+(-0.914838+(-0.180744--0.260508))+0-288.8--0.294576000000046</f>
        <v>529.35950200000002</v>
      </c>
      <c r="AC303" s="3">
        <f>899.4+(137.6-258.3)+(-0.917388+(-0.140352--0.263466))+0-287.7--0.293454000000046</f>
        <v>490.49918000000002</v>
      </c>
      <c r="AD303">
        <f t="shared" si="4"/>
        <v>11753.085345000001</v>
      </c>
      <c r="AE303" s="3">
        <f>889+(222-227.7)+(0+(0-0))+0-289.2-0</f>
        <v>594.09999999999991</v>
      </c>
    </row>
    <row r="304" spans="1:31" s="2" customFormat="1" x14ac:dyDescent="0.25">
      <c r="A304">
        <v>89</v>
      </c>
      <c r="B304">
        <v>10</v>
      </c>
      <c r="C304">
        <v>28</v>
      </c>
      <c r="D304">
        <v>4</v>
      </c>
      <c r="E304">
        <v>1</v>
      </c>
      <c r="F304" s="3">
        <f>900.7+(81.9-255.8)+(-2.756142+(-0.250614--0.782748))+0-287.2--0.878832000000033</f>
        <v>438.2548240000001</v>
      </c>
      <c r="G304" s="3">
        <f>898.1+(94.4-271.9)+(-0.458031+(-0.048144--0.138669))+0-288.7--0.147236999999971</f>
        <v>431.67973099999995</v>
      </c>
      <c r="H304" s="3">
        <f>899.6+(71.6-263.2)+(-0.458796+(-0.036516--0.134232))+0-287.7--0.146726999999971</f>
        <v>420.08564699999999</v>
      </c>
      <c r="I304" s="3">
        <f>902.1+(66.6-266.9)+(-1.380213+(-0.101898--0.408357))+0-290--0.443700000000017</f>
        <v>411.1699460000001</v>
      </c>
      <c r="J304" s="3">
        <f>905.1+(66.4-268.5)+(0+(0-0))+0-288.4-0</f>
        <v>414.6</v>
      </c>
      <c r="K304" s="3">
        <f>903.9+(129.2-317.9)+(0+(0-0))+0-289-0</f>
        <v>426.20000000000005</v>
      </c>
      <c r="L304" s="3">
        <f>903.6+(162.8-322.4)+(-2.30418+(-0.41514--0.82212))+0-284.7--0.725984999999959</f>
        <v>458.12878499999999</v>
      </c>
      <c r="M304" s="3">
        <f>904.4+(149.9-268.9)+(0.922488+(0.152898-0.274278))+0-287.6-0.293352000000046</f>
        <v>498.30775599999993</v>
      </c>
      <c r="N304" s="3">
        <f>902.4+(134.5-271.7)+(0.460224+(0.068595-0.138567))+0-289.2-0.147491999999971</f>
        <v>476.24276000000015</v>
      </c>
      <c r="O304" s="3">
        <f>890.1+(211-293)+(-1.361853+(-0.32283--0.44829))+0-288.4--0.441252000000017</f>
        <v>518.90485899999999</v>
      </c>
      <c r="P304" s="3">
        <f>909.6+(234.5-321.8)+(-0.463896+(-0.119595--0.164118))+0-289.3--0.147542999999971</f>
        <v>532.72816999999998</v>
      </c>
      <c r="Q304" s="3">
        <f>906.7+(234.3-315.8)+(-0.924834+(-0.238986--0.322116))+0-287.8--0.293556000000046</f>
        <v>536.85185200000001</v>
      </c>
      <c r="R304" s="3">
        <f>882+(217.8-300)+(-1.79928+(-0.444312--0.612))+0-290--0.591599999999987</f>
        <v>508.76000799999997</v>
      </c>
      <c r="S304" s="3">
        <f>882.4+(210.6-292.3)+(0+(0-0))+0-288.7-0</f>
        <v>511.99999999999994</v>
      </c>
      <c r="T304" s="3">
        <f>879.5+(118.5-230.5)+(0+(0-0))+0-287.5-0</f>
        <v>480</v>
      </c>
      <c r="U304" s="3">
        <f>884.8+(125.5-224.3)+(-0.902496+(-0.12801--0.228786))+0-288.6--0.294372000000046</f>
        <v>496.892652</v>
      </c>
      <c r="V304" s="3">
        <f>886.7+(147.8-254.5)+(-2.713302+(-0.452268--0.77877))+0-286.5--0.876690000000033</f>
        <v>491.98989000000006</v>
      </c>
      <c r="W304" s="3">
        <f>881.8+(239.7-290.2)+(-0.899436+(-0.244494--0.296004))+0-287.4--0.293148000000046</f>
        <v>543.34522200000004</v>
      </c>
      <c r="X304" s="3">
        <f>892.6+(254.2-303.5)+(-1.365678+(-0.388926--0.464355))+0-290.9--0.445077000000017</f>
        <v>551.55482799999993</v>
      </c>
      <c r="Y304" s="3">
        <f>894.2+(225-301.5)+(-0.912084+(-0.2295--0.30753))+0-289.7--0.295494000000046</f>
        <v>527.46144000000015</v>
      </c>
      <c r="Z304" s="3">
        <f>891.9+(179.8-286.4)+(-1.364607+(-0.275094--0.438192))+0-288.2--0.440946000000017</f>
        <v>496.33943699999998</v>
      </c>
      <c r="AA304" s="3">
        <f>898.5+(161.3-319.7)+(-0.458235+(-0.082263--0.163047))+0-286.1--0.145910999999971</f>
        <v>453.76846</v>
      </c>
      <c r="AB304" s="3">
        <f>902.2+(138.4-331.7)+(-0.460122+(-0.070584--0.169167))+0-286.9--0.146318999999971</f>
        <v>421.78478000000007</v>
      </c>
      <c r="AC304" s="3">
        <f>902.9+(111.2-339.1)+(-1.381437+(-0.170136--0.518823))+0-286.6--0.438498000000017</f>
        <v>387.80574800000005</v>
      </c>
      <c r="AD304">
        <f t="shared" si="4"/>
        <v>11434.856795000003</v>
      </c>
      <c r="AE304" s="3">
        <f>892+(270-335)+(0+(0-0))+0-288-0</f>
        <v>539</v>
      </c>
    </row>
    <row r="305" spans="1:31" s="2" customFormat="1" x14ac:dyDescent="0.25">
      <c r="A305">
        <v>89</v>
      </c>
      <c r="B305">
        <v>10</v>
      </c>
      <c r="C305">
        <v>29</v>
      </c>
      <c r="D305">
        <v>5</v>
      </c>
      <c r="E305">
        <v>1</v>
      </c>
      <c r="F305" s="3">
        <f>902.6+(83.5-323)+(-2.30163+(-0.212925--0.82365))+0-286.2--0.729809999999958</f>
        <v>375.93890499999998</v>
      </c>
      <c r="G305" s="3">
        <f>904.8+(66.2-318.2)+(1.384344+(0.101286-0.486846))+0-286.8-0.438804000000017</f>
        <v>366.55997999999994</v>
      </c>
      <c r="H305" s="3">
        <f>907.9+(64.4-319.8)+(-1.389087+(-0.098532--0.489294))+0-286.3--0.438039000000017</f>
        <v>365.63971399999997</v>
      </c>
      <c r="I305" s="3">
        <f>909.1+(60.3-324.5)+(0.463641+(0.030753-0.165495))+0-285.4-0.145553999999971</f>
        <v>359.68334500000014</v>
      </c>
      <c r="J305" s="3">
        <f>909.4+(64-339.7)+(-2.31897+(-0.1632--0.866235))+0-285.8--0.728789999999959</f>
        <v>347.01285499999994</v>
      </c>
      <c r="K305" s="3">
        <f>909.7+(73.1-340.9)+(0.463947+(0.037281-0.173859))+0-285.2-0.145451999999971</f>
        <v>356.8819170000001</v>
      </c>
      <c r="L305" s="3">
        <f>907.3+(104.7-324.6)+(0.462723+(0.053397-0.165546))+0-284.9-0.145298999999971</f>
        <v>402.70527499999997</v>
      </c>
      <c r="M305" s="3">
        <f>907.8+(97.7-306.3)+(0+(0-0))+0-289-0</f>
        <v>410.19999999999993</v>
      </c>
      <c r="N305" s="3">
        <f>906.5+(129.3-349.8)+(1.386945+(0.197829-0.535194))+0-289.5-0.442935000000017</f>
        <v>397.10664499999996</v>
      </c>
      <c r="O305" s="3">
        <f>905.7+(112.8-317)+(0+(0-0))+0-287.3-0</f>
        <v>414.2</v>
      </c>
      <c r="P305" s="3">
        <f>904.4+(126-303.4)+(-1.844976+(-0.25704--0.618936))+0-286.8--0.585071999999987</f>
        <v>439.30199199999998</v>
      </c>
      <c r="Q305" s="3">
        <f>904.9+(146.5-319.5)+(-0.461499+(-0.074715--0.162945))+0-286--0.145859999999971</f>
        <v>445.6725909999999</v>
      </c>
      <c r="R305" s="3">
        <f>904.6+(125.2-280.2)+(-1.384038+(-0.191556--0.428706))+0-286.5--0.438345000000017</f>
        <v>462.39145700000006</v>
      </c>
      <c r="S305" s="3">
        <f>903.2+(99.9-250.1)+(-0.921264+(-0.101898--0.255102))+0-286.1--0.291822000000046</f>
        <v>466.42376200000001</v>
      </c>
      <c r="T305" s="3">
        <f>892.4+(93.3-235.2)+(0+(0-0))+0-285.7-0</f>
        <v>464.8</v>
      </c>
      <c r="U305" s="3">
        <f>835.5+(101.7-186)+(0+(0-0))+0-285.7-0</f>
        <v>465.50000000000006</v>
      </c>
      <c r="V305" s="3">
        <f>838.1+(110.9-188.8)+(0+(0-0))+0-288.8-0</f>
        <v>471.40000000000003</v>
      </c>
      <c r="W305" s="3">
        <f>899.8+(193.9-276)+(-1.835592+(-0.395556--0.56304))+0-288--0.587519999999987</f>
        <v>528.61941200000001</v>
      </c>
      <c r="X305" s="3">
        <f>904.3+(216.7-301.4)+(-0.922386+(-0.221034--0.307428))+0-287.9--0.293658000000046</f>
        <v>531.15766599999995</v>
      </c>
      <c r="Y305" s="3">
        <f>906.5+(216-307.5)+(-2.311575+(-0.5508--0.784125))+0-290--0.739499999999958</f>
        <v>523.66124999999988</v>
      </c>
      <c r="Z305" s="3">
        <f>904.4+(206.9-315.2)+(0+(0-0))+0-288.3-0</f>
        <v>507.8</v>
      </c>
      <c r="AA305" s="3">
        <f>899.5+(219-350)+(0.91749+(0.22338-0.357))+0-288-0.293760000000046</f>
        <v>480.99010999999996</v>
      </c>
      <c r="AB305" s="3">
        <f>899.2+(244.1-387.2)+(0.917184+(0.248982-0.394944))+0-289.1-0.294882000000046</f>
        <v>467.47633999999994</v>
      </c>
      <c r="AC305" s="3">
        <f>878.5+(212.7-351)+(-1.79214+(-0.433908--0.71604))+0-287.4--0.586295999999987</f>
        <v>451.8762880000001</v>
      </c>
      <c r="AD305">
        <f t="shared" si="4"/>
        <v>10502.999503999998</v>
      </c>
      <c r="AE305" s="3">
        <f>897+(200.9-304.8)+(0+(0-0))+0-287.4-0</f>
        <v>505.70000000000005</v>
      </c>
    </row>
    <row r="306" spans="1:31" s="2" customFormat="1" x14ac:dyDescent="0.25">
      <c r="A306">
        <v>89</v>
      </c>
      <c r="B306">
        <v>10</v>
      </c>
      <c r="C306">
        <v>30</v>
      </c>
      <c r="D306">
        <v>6</v>
      </c>
      <c r="E306">
        <v>1</v>
      </c>
      <c r="F306" s="3">
        <f>868.5+(151.4-331.8)+(-0.88587+(-0.154428--0.338436))+0-288--0.293760000000046</f>
        <v>399.69189800000004</v>
      </c>
      <c r="G306" s="3">
        <f>869.2+(145.8-339.9)+(0+(0-0))+0-292.6-0</f>
        <v>382.50000000000011</v>
      </c>
      <c r="H306" s="3">
        <f>869+(150.6-371.3)+(0+(0-0))+0-292.1-0</f>
        <v>356.19999999999993</v>
      </c>
      <c r="I306" s="3">
        <f>868+(126.3-345)+(-0.44268+(-0.064413--0.17595))+0-290.8--0.148307999999971</f>
        <v>358.31716499999993</v>
      </c>
      <c r="J306" s="3">
        <f>869.5+(105.1-324.4)+(-0.88689+(-0.107202--0.330888))+0-288.2--0.293964000000046</f>
        <v>361.63076000000018</v>
      </c>
      <c r="K306" s="3">
        <f>867.8+(103-323.5)+(1.770312+(0.21012-0.65994))+0-288-0.587519999999987</f>
        <v>360.03297199999992</v>
      </c>
      <c r="L306" s="3">
        <f>870.8+(179-322.6)+(0.444108+(0.09129-0.164526))+0-287-0.146369999999971</f>
        <v>440.4245019999999</v>
      </c>
      <c r="M306" s="3">
        <f>868.2+(185-326.4)+(-1.328346+(-0.28305--0.499392))+0-288--0.440640000000017</f>
        <v>438.12863600000014</v>
      </c>
      <c r="N306" s="3">
        <f>867.2+(190.1-345.8)+(0+(0-0))+0-288.7-0</f>
        <v>422.8</v>
      </c>
      <c r="O306" s="3">
        <f>863.2+(192.1-337.1)+(1.760928+(0.391884-0.687684))+0-287.9-0.587315999999987</f>
        <v>431.17781200000013</v>
      </c>
      <c r="P306" s="3">
        <f>860.6+(204-323.8)+(0.438906+(0.10404-0.165138))+0-288.1-0.146930999999971</f>
        <v>452.9308769999999</v>
      </c>
      <c r="Q306" s="3">
        <f>855.8+(222.1-331.7)+(-1.745832+(-0.453084--0.676668))+0-288.6--0.588743999999988</f>
        <v>456.66649599999988</v>
      </c>
      <c r="R306" s="3">
        <f>851.7+(193.4-298.9)+(0.868734+(0.197268-0.304878))+0-288.7-0.294474000000046</f>
        <v>457.96665000000002</v>
      </c>
      <c r="S306" s="3">
        <f>852.6+(189.9-290.6)+(-0.869652+(-0.193698--0.296412))+0-288.4--0.294168000000046</f>
        <v>463.02723000000009</v>
      </c>
      <c r="T306" s="3">
        <f>850.7+(165.8-267.1)+(-0.433857+(-0.084558--0.136221))+0-287.9--0.146828999999971</f>
        <v>461.26463500000006</v>
      </c>
      <c r="U306" s="3">
        <f>850.6+(168.3-284.3)+(-0.433806+(-0.085833--0.144993))+0-287.8--0.146777999999971</f>
        <v>446.57213200000001</v>
      </c>
      <c r="V306" s="3">
        <f>851.8+(178.2-269.1)+(0.434418+(0.090882-0.137241))+0-289.6-0.147695999999971</f>
        <v>471.54036299999984</v>
      </c>
      <c r="W306" s="3">
        <f>861.1+(227.9-287.8)+(-0.439161+(-0.116229--0.146778))+0-289.2--0.147491999999971</f>
        <v>511.73888000000005</v>
      </c>
      <c r="X306" s="3">
        <f>861.3+(270.4-293.5)+(-1.757052+(-0.551616--0.59874))+0-290.6--0.592823999999987</f>
        <v>546.48289599999987</v>
      </c>
      <c r="Y306" s="3">
        <f>867.5+(245.7-295.9)+(-1.327275+(-0.375921--0.452727))+0-288.6--0.441558000000017</f>
        <v>527.89108899999997</v>
      </c>
      <c r="Z306" s="3">
        <f>870.4+(245.9-305.1)+(-2.21952+(-0.627045--0.778005))+0-288.6--0.735929999999958</f>
        <v>521.2673699999998</v>
      </c>
      <c r="AA306" s="3">
        <f>870+(219.4-306.1)+(0.8874+(0.223788-0.312222))+0-288.6-0.294372000000046</f>
        <v>495.20459399999982</v>
      </c>
      <c r="AB306" s="3">
        <f>867.6+(182.3-315.5)+(1.327428+(0.278919-0.482715))+0-290.1-0.443853000000017</f>
        <v>444.97977900000012</v>
      </c>
      <c r="AC306" s="3">
        <f>872.3+(182.3-302.1)+(-1.334619+(-0.278919--0.462213))+0-289.9--0.443547000000017</f>
        <v>461.892222</v>
      </c>
      <c r="AD306">
        <f t="shared" si="4"/>
        <v>10670.328958000002</v>
      </c>
      <c r="AE306" s="3">
        <f>861+(279.1-307.6)+(0+(0-0))+0-295.7-0</f>
        <v>536.79999999999995</v>
      </c>
    </row>
    <row r="307" spans="1:31" s="2" customFormat="1" x14ac:dyDescent="0.25">
      <c r="A307">
        <v>89</v>
      </c>
      <c r="B307">
        <v>11</v>
      </c>
      <c r="C307">
        <v>1</v>
      </c>
      <c r="D307">
        <v>7</v>
      </c>
      <c r="E307">
        <v>1</v>
      </c>
      <c r="F307" s="3">
        <f>873.5+(147.9-302.3)+(-2.227425+(-0.377145--0.770865))+0-292.3--0.745364999999958</f>
        <v>425.71165999999994</v>
      </c>
      <c r="G307" s="3">
        <f>873.6+(102.2-287.1)+(-0.891072+(-0.104244--0.292842))+0-290.4--0.296208000000046</f>
        <v>397.89373400000005</v>
      </c>
      <c r="H307" s="3">
        <f>872.3+(97.2-267.2)+(-2.669238+(-0.297432--0.817632))+0-291.2--0.891072000000034</f>
        <v>409.84203399999996</v>
      </c>
      <c r="I307" s="3">
        <f>875.4+(104.4-299.4)+(0+(0-0))+0-289-0</f>
        <v>391.4</v>
      </c>
      <c r="J307" s="3">
        <f>875.6+(115.5-326.5)+(-0.446556+(-0.058905--0.166515))+0-289.9--0.147848999999971</f>
        <v>374.50890300000003</v>
      </c>
      <c r="K307" s="3">
        <f>874+(111.3-296.9)+(0+(0-0))+0-288.6-0</f>
        <v>399.80000000000007</v>
      </c>
      <c r="L307" s="3">
        <f>877.4+(162.4-315.1)+(-4.47474+(-0.82824--1.60701))+0-287.8--1.46778000000002</f>
        <v>434.67180999999994</v>
      </c>
      <c r="M307" s="3">
        <f>781.3+(174.9-278.4)+(0.796926+(0.178398-0.283968))+0-287.5-0.293250000000046</f>
        <v>390.69810599999994</v>
      </c>
      <c r="N307" s="3">
        <f>872.1+(174.2-297.3)+(-2.223855+(-0.44421--0.758115))+0-286.9--0.731594999999958</f>
        <v>460.92164500000001</v>
      </c>
      <c r="O307" s="3">
        <f>801.5+(225.2-257.1)+(-0.408765+(-0.114852--0.131121))+0-292.2--0.14902199999997</f>
        <v>477.15652599999981</v>
      </c>
      <c r="P307" s="3">
        <f>777.5+(266.8-270)+(-1.5861+(-0.544272--0.5508))+0-292.5--0.596699999999987</f>
        <v>480.81712799999997</v>
      </c>
      <c r="Q307" s="3">
        <f>853.7+(269.8-327.2)+(-1.306161+(-0.412794--0.500616))+0-289.3--0.442629000000017</f>
        <v>506.22429000000005</v>
      </c>
      <c r="R307" s="3">
        <f>822.4+(183.8-222)+(0.419424+(0.093738-0.11322))+0-288.4-0.147083999999971</f>
        <v>496.05285800000013</v>
      </c>
      <c r="S307" s="3">
        <f>778.3+(179-218)+(-1.587732+(-0.36516--0.44472))+0-291.1--0.593843999999987</f>
        <v>447.28567199999998</v>
      </c>
      <c r="T307" s="3">
        <f>779+(186.1-213)+(-0.39729+(-0.094911--0.10863))+0-290.8--0.148307999999971</f>
        <v>461.06473700000004</v>
      </c>
      <c r="U307" s="3">
        <f>777+(182.2-225)+(-1.18881+(-0.278766--0.34425))+0-289.5--0.442935000000017</f>
        <v>444.01960900000006</v>
      </c>
      <c r="V307" s="3">
        <f>824.9+(195.5-257.7)+(-1.682796+(-0.39882--0.525708))+0-291.6--0.594863999999987</f>
        <v>470.13895599999995</v>
      </c>
      <c r="W307" s="3">
        <f>859.5+(240.6-269.9)+(0.438345+(0.122706-0.137649))+0-291-0.14840999999997</f>
        <v>539.47499200000004</v>
      </c>
      <c r="X307" s="3">
        <f>861.6+(269.4-293.9)+(-1.318248+(-0.412182--0.449667))+0-291.7--0.446301000000017</f>
        <v>544.56553800000017</v>
      </c>
      <c r="Y307" s="3">
        <f>863.7+(240.7-276.6)+(-0.440487+(-0.122757--0.141066))+0-291--0.14840999999997</f>
        <v>536.52623199999994</v>
      </c>
      <c r="Z307" s="3">
        <f>864.7+(224.5-282.2)+(-1.763988+(-0.45798--0.575688))+0-291.2--0.594047999999987</f>
        <v>514.74776800000006</v>
      </c>
      <c r="AA307" s="3">
        <f>864.1+(215-292.7)+(1.322073+(0.32895-0.447831))+0-289.4-0.442782000000017</f>
        <v>497.76041000000004</v>
      </c>
      <c r="AB307" s="3">
        <f>863.9+(198.9-253.5)+(-1.762356+(-0.405756--0.51714))+0-290--0.591599999999987</f>
        <v>518.2406279999999</v>
      </c>
      <c r="AC307" s="3">
        <f>864.7+(188.6-302.2)+(-0.881994+(-0.192372--0.308244))+0-290.4--0.296208000000046</f>
        <v>460.23008600000009</v>
      </c>
      <c r="AD307">
        <f t="shared" si="4"/>
        <v>11079.753321999999</v>
      </c>
      <c r="AE307" s="3">
        <f>861+(275-336.3)+(0+(0-0))+0-291-0</f>
        <v>508.70000000000005</v>
      </c>
    </row>
    <row r="308" spans="1:31" s="2" customFormat="1" x14ac:dyDescent="0.25">
      <c r="A308">
        <v>89</v>
      </c>
      <c r="B308">
        <v>11</v>
      </c>
      <c r="C308">
        <v>2</v>
      </c>
      <c r="D308">
        <v>1</v>
      </c>
      <c r="E308">
        <v>1</v>
      </c>
      <c r="F308" s="3">
        <f>866.6+(131.2-301.9)+(-3.093762+(-0.468384--1.077783))+0-293.5--1.047795</f>
        <v>400.96343200000007</v>
      </c>
      <c r="G308" s="3">
        <f>856.7+(122.7-285.8)+(-1.747668+(-0.250308--0.583032))+0-290.9--0.593435999999987</f>
        <v>401.87849200000005</v>
      </c>
      <c r="H308" s="3">
        <f>792.4+(118.3-229.7)+(0.404124+(0.060333-0.117147))+0-290.4-0.148103999999971</f>
        <v>390.79920600000003</v>
      </c>
      <c r="I308" s="3">
        <f>705.6+(136.1-170.2)+(0+(0-0))+0-289.6-0</f>
        <v>381.9</v>
      </c>
      <c r="J308" s="3">
        <f>679.4+(178.6-179.6)+(-1.039482+(-0.273258--0.274788))+0-289.1--0.442323000000017</f>
        <v>388.70437099999998</v>
      </c>
      <c r="K308" s="3">
        <f>677.9+(202.2-174.9)+(0.345729+(0.103122-0.089199))+0-289.5-0.147644999999971</f>
        <v>415.91200699999996</v>
      </c>
      <c r="L308" s="3">
        <f>680.3+(244.8-196)+(0.346953+(0.124848-0.09996))+0-288.9-0.147338999999971</f>
        <v>440.42450199999996</v>
      </c>
      <c r="M308" s="3">
        <f>677.4+(241-155)+(-0.690948+(-0.24582--0.1581))+0-288.1--0.293862000000046</f>
        <v>474.81519399999996</v>
      </c>
      <c r="N308" s="3">
        <f>657.2+(229.1-188.4)+(-0.670344+(-0.233682--0.192168))+0-288.7--0.294474000000046</f>
        <v>408.78261600000013</v>
      </c>
      <c r="O308" s="3">
        <f>734.9+(235.7-245.9)+(-0.374799+(-0.120207--0.125409))+0-292.3--0.14907299999997</f>
        <v>432.17947599999991</v>
      </c>
      <c r="P308" s="3">
        <f>807.9+(236-287.3)+(-1.648116+(-0.48144--0.586092))+0-289.9--0.591395999999987</f>
        <v>465.74793199999993</v>
      </c>
      <c r="Q308" s="3">
        <f>803.3+(223.4-291.8)+(-1.229049+(-0.341802--0.446454))+0-289.7--0.443241000000017</f>
        <v>444.51884399999994</v>
      </c>
      <c r="R308" s="3">
        <f>800.3+(185.6-259.8)+(-2.040765+(-0.47328--0.66249))+0-292--0.744599999999958</f>
        <v>432.99304499999988</v>
      </c>
      <c r="S308" s="3">
        <f>799.7+(153.6-216.4)+(0.815694+(0.156672-0.220728))+0-291.9-0.297738000000047</f>
        <v>445.45390000000003</v>
      </c>
      <c r="T308" s="3">
        <f>798.8+(154.6-227.2)+(-0.407388+(-0.078846--0.115872))+0-290.8--0.148307999999971</f>
        <v>435.17794599999991</v>
      </c>
      <c r="U308" s="3">
        <f>801.2+(153.4-236.9)+(0.408612+(0.078234-0.120819))+0-293.8-0.14983799999997</f>
        <v>424.11618900000008</v>
      </c>
      <c r="V308" s="3">
        <f>803.4+(177.1-269.5)+(0+(0-0))+0-290.5-0</f>
        <v>420.5</v>
      </c>
      <c r="W308" s="3">
        <f>810.8+(228.1-261.1)+(1.240524+(0.348993-0.399483))+0-292.3-0.447219000000017</f>
        <v>486.24281499999989</v>
      </c>
      <c r="X308" s="3">
        <f>815.3+(240.4-250.8)+(-1.247409+(-0.367812--0.383724))+0-295.3--0.451809000000017</f>
        <v>508.820312</v>
      </c>
      <c r="Y308" s="3">
        <f>815.7+(227.8-244.1)+(-1.248021+(-0.348534--0.373473))+0-293--0.448290000000017</f>
        <v>505.62520800000016</v>
      </c>
      <c r="Z308" s="3">
        <f>820.5+(207-245.2)+(-1.67382+(-0.42228--0.500208))+0-292.4--0.596495999999987</f>
        <v>488.90060399999993</v>
      </c>
      <c r="AA308" s="3">
        <f>821.7+(195.9-269.5)+(-0.419067+(-0.099909--0.137445))+0-291.7--0.14876699999997</f>
        <v>456.167236</v>
      </c>
      <c r="AB308" s="3">
        <f>823.2+(188.5-265.7)+(-1.679328+(-0.38454--0.542028))+0-292.8--0.597311999999987</f>
        <v>452.27547199999998</v>
      </c>
      <c r="AC308" s="3">
        <f>822.1+(176.2-281.6)+(-3.354168+(-0.718896--1.148928))+0-292.4--1.19299199999997</f>
        <v>422.56885600000004</v>
      </c>
      <c r="AD308">
        <f t="shared" si="4"/>
        <v>10525.467654999999</v>
      </c>
      <c r="AE308" s="3">
        <f>832+(245.1-252.3)+(0+(0-0))+0-299.3-0</f>
        <v>525.5</v>
      </c>
    </row>
    <row r="309" spans="1:31" s="2" customFormat="1" x14ac:dyDescent="0.25">
      <c r="A309">
        <v>89</v>
      </c>
      <c r="B309">
        <v>11</v>
      </c>
      <c r="C309">
        <v>3</v>
      </c>
      <c r="D309">
        <v>2</v>
      </c>
      <c r="E309">
        <v>1</v>
      </c>
      <c r="F309" s="3">
        <f>827.2+(151.4-285.1)+(-1.265616+(-0.231642--0.436203))+0-292.5--0.447525000000017</f>
        <v>400.38647000000003</v>
      </c>
      <c r="G309" s="3">
        <f>828.1+(125.8-269.8)+(-1.689324+(-0.256632--0.550392))+0-291.7--0.595067999999987</f>
        <v>391.59950399999997</v>
      </c>
      <c r="H309" s="3">
        <f>826.5+(114.7-240.8)+(-2.107575+(-0.292485--0.61404))+0-293.9--0.749444999999957</f>
        <v>405.46342499999997</v>
      </c>
      <c r="I309" s="3">
        <f>813.2+(116-235.9)+(0.414732+(0.05916-0.120309))+0-295.7-0.15080699999997</f>
        <v>397.80277600000005</v>
      </c>
      <c r="J309" s="3">
        <f>795.2+(110.9-226.7)+(0.811104+(0.113118-0.231234))+0-294.4-0.300288000000047</f>
        <v>385.3927000000001</v>
      </c>
      <c r="K309" s="3">
        <f>797.7+(111-226.3)+(0+(0-0))+0-296.2-0</f>
        <v>386.2000000000001</v>
      </c>
      <c r="L309" s="3">
        <f>796.8+(168.3-219.1)+(-1.625472+(-0.343332--0.446964))+0-290.8--0.593231999999987</f>
        <v>454.27139199999999</v>
      </c>
      <c r="M309" s="3">
        <f>797.2+(180.7-232.4)+(-0.813144+(-0.184314--0.237048))+0-289.7--0.295494000000046</f>
        <v>455.33508400000005</v>
      </c>
      <c r="N309" s="3">
        <f>801.4+(210.5-260.1)+(0+(0-0))+0-292.5-0</f>
        <v>459.29999999999995</v>
      </c>
      <c r="O309" s="3">
        <f>811+(230.5-288.7)+(-0.41361+(-0.117555--0.147237))+0-292.5--0.14917499999997</f>
        <v>460.06524699999994</v>
      </c>
      <c r="P309" s="3">
        <f>808+(234-278.8)+(-0.41208+(-0.11934--0.142188))+0-292.7--0.14927699999997</f>
        <v>470.26004500000005</v>
      </c>
      <c r="Q309" s="3">
        <f>806.7+(251-279.7)+(-0.822834+(-0.25602--0.285294))+0-292.7--0.298554000000047</f>
        <v>484.80499400000008</v>
      </c>
      <c r="R309" s="3">
        <f>798.7+(226.8-247.8)+(-0.407337+(-0.115668--0.126378))+0-293.4--0.14963399999997</f>
        <v>484.05300700000009</v>
      </c>
      <c r="S309" s="3">
        <f>794.3+(204.5-221.6)+(-0.405093+(-0.104295--0.113016))+0-293.6--0.14973599999997</f>
        <v>483.35336399999983</v>
      </c>
      <c r="T309" s="3">
        <f>819.4+(207.8-249.4)+(-2.08947+(-0.52989--0.63597))+0-293.5--0.748424999999957</f>
        <v>483.06503499999991</v>
      </c>
      <c r="U309" s="3">
        <f>899+(192.2-328.4)+(0.45849+(0.098022-0.167484))+0-290.2-0.148001999999971</f>
        <v>472.84102600000006</v>
      </c>
      <c r="V309" s="3">
        <f>889.2+(214.7-329.9)+(-1.360476+(-0.328491--0.504747))+0-289.3--0.442629000000017</f>
        <v>483.95840900000002</v>
      </c>
      <c r="W309" s="3">
        <f>922.9+(258-332.8)+(-0.941358+(-0.26316--0.339456))+0-290.7--0.296514000000046</f>
        <v>556.83145200000001</v>
      </c>
      <c r="X309" s="3">
        <f>1000.1+(242.9-383)+(-2.040204+(-0.495516--0.78132))+0-292.2--0.596087999999987</f>
        <v>566.64168799999993</v>
      </c>
      <c r="Y309" s="3">
        <f>1001.6+(225-379.9)+(-2.043264+(-0.459--0.774996))+0-293.9--0.599555999999987</f>
        <v>551.67228800000009</v>
      </c>
      <c r="Z309" s="3">
        <f>1004.3+(200.4-375.3)+(-0.512193+(-0.102204--0.191403))+0-295.6--0.15075599999997</f>
        <v>533.52776199999994</v>
      </c>
      <c r="AA309" s="3">
        <f>1011.6+(171.2-373.5)+(-0.515916+(-0.087312--0.190485))+0-291.8--0.14881799999997</f>
        <v>517.23607499999991</v>
      </c>
      <c r="AB309" s="3">
        <f>1014.2+(134-350.5)+(0+(0-0))+0-291.6-0</f>
        <v>506.1</v>
      </c>
      <c r="AC309" s="3">
        <f>1016.8+(95.7-341.4)+(-2.59284+(-0.244035--0.87057))+0-292.5--0.745874999999958</f>
        <v>477.37956999999983</v>
      </c>
      <c r="AD309">
        <f t="shared" si="4"/>
        <v>11267.541313</v>
      </c>
      <c r="AE309" s="3">
        <f>1029+(223-396.3)+(0+(0-0))+0-295.7-0</f>
        <v>560</v>
      </c>
    </row>
    <row r="310" spans="1:31" s="2" customFormat="1" x14ac:dyDescent="0.25">
      <c r="A310">
        <v>89</v>
      </c>
      <c r="B310">
        <v>11</v>
      </c>
      <c r="C310">
        <v>4</v>
      </c>
      <c r="D310">
        <v>3</v>
      </c>
      <c r="E310">
        <v>1</v>
      </c>
      <c r="F310" s="3">
        <f>1002.3+(64.4-307.6)+(-1.022346+(-0.065688--0.313752))+0-292.5--0.298350000000047</f>
        <v>466.12406799999997</v>
      </c>
      <c r="G310" s="3">
        <f>979.3+(61.1-304.1)+(-0.499443+(-0.031161--0.155091))+0-292.7--0.14927699999997</f>
        <v>443.37376399999999</v>
      </c>
      <c r="H310" s="3">
        <f>980.8+(55.2-305.1)+(-1.000416+(-0.056304--0.311202))+0-292.9--0.298758000000047</f>
        <v>437.55323999999996</v>
      </c>
      <c r="I310" s="3">
        <f>981.2+(57.6-313.3)+(1.000824+(0.058752-0.319566))+0-293.5-0.299370000000047</f>
        <v>432.44063999999992</v>
      </c>
      <c r="J310" s="3">
        <f>981.6+(65.5-315.1)+(1.001232+(0.06681-0.321402))+0-292.6-0.298452000000047</f>
        <v>439.84818799999988</v>
      </c>
      <c r="K310" s="3">
        <f>980+(92.1-311.2)+(1.9992+(0.187884-0.634848))+0-294.8-0.601391999999987</f>
        <v>467.05084399999998</v>
      </c>
      <c r="L310" s="3">
        <f>978.1+(117.5-294.7)+(-1.496493+(-0.179775--0.450891))+0-292--0.446760000000017</f>
        <v>508.12138300000015</v>
      </c>
      <c r="M310" s="3">
        <f>979.2+(104.3-280.6)+(-2.49696+(-0.265965--0.71553))+0-294.7--0.751484999999957</f>
        <v>506.90409</v>
      </c>
      <c r="N310" s="3">
        <f>1009+(140-314)+(0+(0-0))+0-294-0</f>
        <v>541</v>
      </c>
      <c r="O310" s="3">
        <f>1018.5+(144.2-360.5)+(0+(0-0))+0-294-0</f>
        <v>508.20000000000005</v>
      </c>
      <c r="P310" s="3">
        <f>1022.9+(154.1-366.5)+(-2.086716+(-0.314364--0.74766))+0-294--0.599759999999987</f>
        <v>515.44633999999996</v>
      </c>
      <c r="Q310" s="3">
        <f>1018+(159.3-356)+(-2.5959+(-0.406215--0.9078))+0-292.4--0.745619999999958</f>
        <v>527.55130499999984</v>
      </c>
      <c r="R310" s="3">
        <f>1020.3+(146.3-343.5)+(-2.081412+(-0.298452--0.70074))+0-294.2--0.600167999999987</f>
        <v>527.8210439999998</v>
      </c>
      <c r="S310" s="3">
        <f>1018.5+(143.9-342.8)+(-0.519435+(-0.073389--0.174828))+0-293.4--0.14963399999997</f>
        <v>525.93163800000002</v>
      </c>
      <c r="T310" s="3">
        <f>1014.5+(130.8-335.4)+(0+(0-0))+0-294.4-0</f>
        <v>515.50000000000011</v>
      </c>
      <c r="U310" s="3">
        <f>1013.3+(117.3-323.9)+(1.550349+(0.179469-0.495567))+0-294.1-0.449973000000017</f>
        <v>513.38427799999999</v>
      </c>
      <c r="V310" s="3">
        <f>1016.8+(126.7-336.5)+(0+(0-0))+0-296.6-0</f>
        <v>510.4</v>
      </c>
      <c r="W310" s="3">
        <f>1021.7+(186.2-356.5)+(0+(0-0))+0-297.7-0</f>
        <v>553.70000000000005</v>
      </c>
      <c r="X310" s="3">
        <f>1025.5+(202.4-341.8)+(-1.569015+(-0.309672--0.522954))+0-298--0.455940000000017</f>
        <v>587.20020700000009</v>
      </c>
      <c r="Y310" s="3">
        <f>1026.5+(185.9-339.6)+(-1.570545+(-0.284427--0.519588))+0-296.6--0.453798000000017</f>
        <v>575.31841399999996</v>
      </c>
      <c r="Z310" s="3">
        <f>1026.4+(161.8-330.9)+(-1.570392+(-0.247554--0.506277))+0-299.1--0.457623000000017</f>
        <v>557.34595400000012</v>
      </c>
      <c r="AA310" s="3">
        <f>1028.9+(153.7-353.1)+(-0.524739+(-0.078387--0.180081))+0-296.4--0.15116399999997</f>
        <v>532.82811900000002</v>
      </c>
      <c r="AB310" s="3">
        <f>1033.7+(134.3-356.7)+(-1.054374+(-0.136986--0.363834))+0-297.1--0.303042000000047</f>
        <v>513.67551600000002</v>
      </c>
      <c r="AC310" s="3">
        <f>1005.6+(131.6-354.1)+(0+(0-0))+0-295.7-0</f>
        <v>487.40000000000003</v>
      </c>
      <c r="AD310">
        <f t="shared" si="4"/>
        <v>12194.119031999997</v>
      </c>
      <c r="AE310" s="3">
        <f>1024+(187-351.7)+(0+(0-0))+0-304.7-0</f>
        <v>554.59999999999991</v>
      </c>
    </row>
    <row r="311" spans="1:31" s="2" customFormat="1" x14ac:dyDescent="0.25">
      <c r="A311">
        <v>89</v>
      </c>
      <c r="B311">
        <v>11</v>
      </c>
      <c r="C311">
        <v>5</v>
      </c>
      <c r="D311">
        <v>4</v>
      </c>
      <c r="E311">
        <v>5</v>
      </c>
      <c r="F311" s="3">
        <f>897.6+(133-292)+(-0.457776+(-0.06783--0.14892))+0-296.6--0.15126599999997</f>
        <v>441.77458000000001</v>
      </c>
      <c r="G311" s="3">
        <f>881.3+(135.5-300.2)+(-1.348389+(-0.207315--0.459306))+0-298.7--0.457011000000017</f>
        <v>417.26061299999992</v>
      </c>
      <c r="H311" s="3">
        <f>879.4+(130.9-305.6)+(0.896988+(0.133518-0.311712))+0-299.6-0.305592000000048</f>
        <v>405.51320199999986</v>
      </c>
      <c r="I311" s="3">
        <f>881.7+(110.4-294.8)+(-0.449667+(-0.056304--0.150348))+0-298.4--0.15218399999997</f>
        <v>398.69656100000003</v>
      </c>
      <c r="J311" s="3">
        <f>880.7+(106.7-266.6)+(-0.449157+(-0.054417--0.135966))+0-302.7--0.154376999999969</f>
        <v>417.8867689999999</v>
      </c>
      <c r="K311" s="3">
        <f>879.1+(82.9-238.5)+(0.448341+(0.042279-0.121635))+0-297-0.15146999999997</f>
        <v>426.71751499999999</v>
      </c>
      <c r="L311" s="3">
        <f>882.5+(123.4-245.2)+(-2.70045+(-0.377604--0.750312))+0-297--0.908820000000034</f>
        <v>462.28107800000015</v>
      </c>
      <c r="M311" s="3">
        <f>882.4+(85.9-209.5)+(-2.25012+(-0.219045--0.534225))+0-295.4--0.753269999999957</f>
        <v>462.21832999999992</v>
      </c>
      <c r="N311" s="3">
        <f>875.6+(119.5-214.6)+(-0.893112+(-0.12189--0.218892))+0-296.7--0.302634000000047</f>
        <v>483.30652400000008</v>
      </c>
      <c r="O311" s="3">
        <f>875.7+(136.5-224.6)+(-1.786428+(-0.27846--0.458184))+0-296.5--0.604859999999987</f>
        <v>490.09815599999996</v>
      </c>
      <c r="P311" s="3">
        <f>872.8+(168.1-235.5)+(-1.335384+(-0.257193--0.360315))+0-297.4--0.455022000000017</f>
        <v>507.22276000000005</v>
      </c>
      <c r="Q311" s="3">
        <f>831.3+(198-236.1)+(-2.119815+(-0.5049--0.602055))+0-296.8--0.756839999999957</f>
        <v>495.1341799999999</v>
      </c>
      <c r="R311" s="3">
        <f>852.4+(196.3-251)+(-2.608344+(-0.600678--0.76806))+0-295.3--0.903618000000034</f>
        <v>500.86265600000007</v>
      </c>
      <c r="S311" s="3">
        <f>855.6+(185.1-235.3)+(-0.872712+(-0.188802--0.240006))+0-300.2--0.306204000000048</f>
        <v>504.68469600000003</v>
      </c>
      <c r="T311" s="3">
        <f>856+(153.7-208.3)+(-2.1828+(-0.391935--0.531165))+0-297--0.757349999999957</f>
        <v>503.11377999999991</v>
      </c>
      <c r="U311" s="3">
        <f>857.2+(134.7-194.4)+(0.874344+(0.137394-0.198288))+0-295-0.300900000000047</f>
        <v>503.01254999999992</v>
      </c>
      <c r="V311" s="3">
        <f>855.8+(161-216.7)+(0.872916+(0.16422-0.221034))+0-294.2-0.300084000000047</f>
        <v>506.41601799999989</v>
      </c>
      <c r="W311" s="3">
        <f>855.8+(205.1-215.4)+(0+(0-0))+0-295.8-0</f>
        <v>549.70000000000005</v>
      </c>
      <c r="X311" s="3">
        <f>878.3+(241.1-236)+(-0.447933+(-0.122961--0.12036))+0-297.4--0.15167399999997</f>
        <v>585.70114000000001</v>
      </c>
      <c r="Y311" s="3">
        <f>884.5+(227.1-242.7)+(-1.80438+(-0.463284--0.495108))+0-297.1--0.606083999999987</f>
        <v>570.63352799999996</v>
      </c>
      <c r="Z311" s="3">
        <f>888+(191.3-230.9)+(0+(0-0))+0-295.9-0</f>
        <v>552.5</v>
      </c>
      <c r="AA311" s="3">
        <f>889.8+(174-238.7)+(0+(0-0))+0-295.9-0</f>
        <v>529.19999999999993</v>
      </c>
      <c r="AB311" s="3">
        <f>884.3+(159-236.1)+(-2.705958+(-0.48654--0.722466))+0-295.9--0.905454000000034</f>
        <v>509.73542200000003</v>
      </c>
      <c r="AC311" s="3">
        <f>806.9+(168.5-187.5)+(-0.823038+(-0.17187--0.19125))+0-296.7--0.302634000000047</f>
        <v>490.69897600000002</v>
      </c>
      <c r="AD311">
        <f t="shared" si="4"/>
        <v>11714.369033999999</v>
      </c>
      <c r="AE311" s="3">
        <f>872+(213.9-225.7)+(0+(0-0))+0-300.5-0</f>
        <v>559.70000000000005</v>
      </c>
    </row>
    <row r="312" spans="1:31" s="2" customFormat="1" x14ac:dyDescent="0.25">
      <c r="A312">
        <v>89</v>
      </c>
      <c r="B312">
        <v>11</v>
      </c>
      <c r="C312">
        <v>6</v>
      </c>
      <c r="D312">
        <v>5</v>
      </c>
      <c r="E312">
        <v>1</v>
      </c>
      <c r="F312" s="3">
        <f>803.1+(128-221.1)+(-1.228743+(-0.19584--0.338283))+0-295.3--0.451809000000017</f>
        <v>414.06550899999996</v>
      </c>
      <c r="G312" s="3">
        <f>801+(105-193)+(-0.40851+(-0.05355--0.09843))+0-299--0.15248999999997</f>
        <v>413.78886</v>
      </c>
      <c r="H312" s="3">
        <f>784.4+(102-170.7)+(0.400044+(0.05202-0.087057))+0-296-0.15095999999997</f>
        <v>419.91404700000004</v>
      </c>
      <c r="I312" s="3">
        <f>732.7+(110-137.2)+(0+(0-0))+0-298.5-0</f>
        <v>407</v>
      </c>
      <c r="J312" s="3">
        <f>725.8+(127-155)+(1.480632+(0.25908-0.3162))+0-298.2-0.608327999999987</f>
        <v>400.41518399999995</v>
      </c>
      <c r="K312" s="3">
        <f>723.1+(171.7-167.6)+(0.368781+(0.087567-0.085476))+0-295.3-0.15060299999997</f>
        <v>432.12026900000001</v>
      </c>
      <c r="L312" s="3">
        <f>726.5+(244.7-174.8)+(-0.74103+(-0.249594--0.178296))+0-295.6--0.301512000000047</f>
        <v>500.28918400000003</v>
      </c>
      <c r="M312" s="3">
        <f>724.7+(257.7-174.3)+(0.739194+(0.262854-0.177786))+0-294.6-0.300492000000047</f>
        <v>514.0237699999999</v>
      </c>
      <c r="N312" s="3">
        <f>834.9+(203-248.8)+(-0.425799+(-0.10353--0.126888))+0-294.8--0.15034799999997</f>
        <v>494.0479069999999</v>
      </c>
      <c r="O312" s="3">
        <f>873.5+(216.3-285.8)+(-0.89097+(-0.220626--0.291516))+0-298.1--0.304062000000048</f>
        <v>505.38398200000006</v>
      </c>
      <c r="P312" s="3">
        <f>860.3+(215.6-274.3)+(0.877506+(0.219912-0.279786))+0-297.9-0.303858000000047</f>
        <v>504.21377399999989</v>
      </c>
      <c r="Q312" s="3">
        <f>856.1+(215.5-269)+(0.436611+(0.109905-0.13719))+0-299.3-0.15264299999997</f>
        <v>503.55668300000002</v>
      </c>
      <c r="R312" s="3">
        <f>854+(241.6-271.5)+(-2.1777+(-0.61608--0.692325))+0-298.3--0.760664999999957</f>
        <v>524.45920999999987</v>
      </c>
      <c r="S312" s="3">
        <f>849.5+(238-273.4)+(0+(0-0))+0-296.4-0</f>
        <v>517.70000000000005</v>
      </c>
      <c r="T312" s="3">
        <f>847.6+(237.1-271.6)+(0+(0-0))+0-296.9-0</f>
        <v>516.20000000000005</v>
      </c>
      <c r="U312" s="3">
        <f>854.2+(226.3-261.2)+(-0.435642+(-0.115413--0.133212))+0-296.2--0.15106199999997</f>
        <v>522.83321900000021</v>
      </c>
      <c r="V312" s="3">
        <f>862.5+(232-271.4)+(-1.7595+(-0.47328--0.553656))+0-297.2--0.606287999999987</f>
        <v>524.82716400000004</v>
      </c>
      <c r="W312" s="3">
        <f>863.5+(281.5-278.1)+(-1.76154+(-0.57426--0.567324))+0-302.7--0.617507999999987</f>
        <v>563.04903200000012</v>
      </c>
      <c r="X312" s="3">
        <f>868.4+(273.6-261.5)+(0.442884+(0.139536-0.133365))+0-298.3-0.15213299999997</f>
        <v>582.49692200000015</v>
      </c>
      <c r="Y312" s="3">
        <f>876.2+(263.5-270.4)+(0.446862+(0.134385-0.137904))+0-299-0.15248999999997</f>
        <v>570.59085300000015</v>
      </c>
      <c r="Z312" s="3">
        <f>877.8+(241.9-262.4)+(-2.23839+(-0.616845--0.66912))+0-302--0.770099999999956</f>
        <v>553.88398499999994</v>
      </c>
      <c r="AA312" s="3">
        <f>878.6+(224.9-267.7)+(0+(0-0))+0-298.9-0</f>
        <v>536.90000000000009</v>
      </c>
      <c r="AB312" s="3">
        <f>878.2+(197.6-264.1)+(-2.23941+(-0.50388--0.673455))+0-299.5--0.763724999999957</f>
        <v>510.89389</v>
      </c>
      <c r="AC312" s="3">
        <f>782.4+(228.1-223.8)+(-2.394144+(-0.697986--0.684828))+0-300.7--0.920142000000035</f>
        <v>484.51284000000004</v>
      </c>
      <c r="AD312">
        <f t="shared" si="4"/>
        <v>11917.166283999999</v>
      </c>
      <c r="AE312" s="3">
        <f>866+(250.1-265.3)+(0+(0-0))+0-302.3-0</f>
        <v>548.5</v>
      </c>
    </row>
    <row r="313" spans="1:31" s="2" customFormat="1" x14ac:dyDescent="0.25">
      <c r="A313">
        <v>89</v>
      </c>
      <c r="B313">
        <v>11</v>
      </c>
      <c r="C313">
        <v>7</v>
      </c>
      <c r="D313">
        <v>6</v>
      </c>
      <c r="E313">
        <v>1</v>
      </c>
      <c r="F313" s="3">
        <f>666.8+(210-149.8)+(-1.020204+(-0.3213--0.229194))+0-299.9--0.458847000000017</f>
        <v>426.44653700000003</v>
      </c>
      <c r="G313" s="3">
        <f>665.1+(158.8-125.6)+(1.356804+(0.323952-0.256224))+0-299.2-0.610367999999987</f>
        <v>399.91416400000008</v>
      </c>
      <c r="H313" s="3">
        <f>664.1+(123.9-86.2)+(1.016073+(0.189567-0.131886))+0-298.9-0.457317000000017</f>
        <v>403.51643700000011</v>
      </c>
      <c r="I313" s="3">
        <f>667.4+(127-84.5)+(0.340374+(0.06477-0.043095))+0-299.2-0.15259199999997</f>
        <v>410.90945699999997</v>
      </c>
      <c r="J313" s="3">
        <f>665.5+(117-104.5)+(0+(0-0))+0-299.1-0</f>
        <v>378.9</v>
      </c>
      <c r="K313" s="3">
        <f>667.6+(188.1-147)+(0+(0-0))+0-298.2-0</f>
        <v>410.50000000000006</v>
      </c>
      <c r="L313" s="3">
        <f>667.3+(282.7-193.8)+(0.680646+(0.288354-0.197676))+0-299.1-0.305082000000048</f>
        <v>457.56624199999993</v>
      </c>
      <c r="M313" s="3">
        <f>666.7+(277.8-189.9)+(-0.340017+(-0.141678--0.096849))+0-297.7--0.15182699999997</f>
        <v>456.66698099999996</v>
      </c>
      <c r="N313" s="3">
        <f>677.9+(267-171.3)+(-0.691458+(-0.27234--0.174726))+0-303.8--0.309876000000048</f>
        <v>469.3208039999999</v>
      </c>
      <c r="O313" s="3">
        <f>684.5+(269.6-172.8)+(-1.39638+(-0.549984--0.352512))+0-307.8--0.627911999999987</f>
        <v>472.53405999999995</v>
      </c>
      <c r="P313" s="3">
        <f>659.1+(277.8-157.3)+(-0.336141+(-0.141678--0.080223))+0-301.4--0.153713999999969</f>
        <v>477.956118</v>
      </c>
      <c r="Q313" s="3">
        <f>709+(273.6-207.1)+(0+(0-0))+0-300.7-0</f>
        <v>474.8</v>
      </c>
      <c r="R313" s="3">
        <f>705.2+(270.5-208.9)+(-1.438608+(-0.55182--0.426156))+0-299.6--0.611183999999987</f>
        <v>466.24691200000007</v>
      </c>
      <c r="S313" s="3">
        <f>704.4+(271.9-219.9)+(-2.514708+(-0.970683--0.785043))+0-301.9--1.077783</f>
        <v>452.87743500000005</v>
      </c>
      <c r="T313" s="3">
        <f>704+(248.5-200.2)+(-1.7952+(-0.633675--0.51051))+0-299.7--0.764234999999956</f>
        <v>451.4458699999999</v>
      </c>
      <c r="U313" s="3">
        <f>707.3+(247.3-201.3)+(-0.721446+(-0.252246--0.205326))+0-299.8--0.305796000000048</f>
        <v>453.03742999999997</v>
      </c>
      <c r="V313" s="3">
        <f>709.3+(266.3-191.4)+(-1.446972+(-0.543252--0.390456))+0-300.1--0.612203999999987</f>
        <v>483.11243599999983</v>
      </c>
      <c r="W313" s="3">
        <f>709+(293.1-172.3)+(0.36159+(0.149481-0.087873))+0-302.2-0.154121999999969</f>
        <v>527.86907599999995</v>
      </c>
      <c r="X313" s="3">
        <f>708.8+(302.1-171.9)+(-1.80744+(-0.770355--0.438345))+0-302.8--0.772139999999956</f>
        <v>534.83268999999984</v>
      </c>
      <c r="Y313" s="3">
        <f>708.8+(290.2-169.7)+(-1.084464+(-0.444006--0.259641))+0-301.5--0.461295000000017</f>
        <v>526.99246600000004</v>
      </c>
      <c r="Z313" s="3">
        <f>619.9+(317-124.5)+(-0.316149+(-0.16167--0.063495))+0-300.7--0.153356999999969</f>
        <v>511.43903299999999</v>
      </c>
      <c r="AA313" s="3">
        <f>617.6+(266.1-116.9)+(-0.629952+(-0.271422--0.119238))+0-305.6--0.311712000000049</f>
        <v>460.72957600000007</v>
      </c>
      <c r="AB313" s="3">
        <f>617.6+(257.5-104)+(-1.259904+(-0.5253--0.21216))+0-300.7--0.613427999999987</f>
        <v>469.44038400000005</v>
      </c>
      <c r="AC313" s="3">
        <f>617.8+(229.8-99.6)+(0+(0-0))+0-299.6-0</f>
        <v>448.4</v>
      </c>
      <c r="AD313">
        <f t="shared" si="4"/>
        <v>11025.454107999998</v>
      </c>
      <c r="AE313" s="3">
        <f>710+(277-171.1)+(0+(0-0))+0-305.3-0</f>
        <v>510.59999999999997</v>
      </c>
    </row>
    <row r="314" spans="1:31" s="2" customFormat="1" x14ac:dyDescent="0.25">
      <c r="A314">
        <v>89</v>
      </c>
      <c r="B314">
        <v>11</v>
      </c>
      <c r="C314">
        <v>8</v>
      </c>
      <c r="D314">
        <v>7</v>
      </c>
      <c r="E314">
        <v>1</v>
      </c>
      <c r="F314" s="3">
        <f>618.3+(196.8-102.3)+(-1.576665+(-0.50184--0.260865))+0-299.3--0.763214999999957</f>
        <v>412.44557499999991</v>
      </c>
      <c r="G314" s="3">
        <f>618.8+(178.6-105.6)+(-0.946764+(-0.273258--0.161568))+0-300.3--0.459459000000017</f>
        <v>390.901005</v>
      </c>
      <c r="H314" s="3">
        <f>617.1+(169.7-92.2)+(-0.314721+(-0.086547--0.047022))+0-301.2--0.153611999999969</f>
        <v>393.199366</v>
      </c>
      <c r="I314" s="3">
        <f>617.9+(174.6-102.2)+(-0.315129+(-0.089046--0.052122))+0-304.2--0.155141999999969</f>
        <v>385.90308899999997</v>
      </c>
      <c r="J314" s="3">
        <f>619+(147.6-109.4)+(0.31569+(0.075276-0.055794))+0-304.1-0.155090999999969</f>
        <v>353.28008100000011</v>
      </c>
      <c r="K314" s="3">
        <f>618+(217.5-144.1)+(-0.94554+(-0.332775--0.220473))+0-303.2--0.463896000000018</f>
        <v>387.60605399999997</v>
      </c>
      <c r="L314" s="3">
        <f>612.3+(289.9-135.7)+(-0.624546+(-0.295698--0.138414))+0-301.7--0.307734000000048</f>
        <v>464.32590400000004</v>
      </c>
      <c r="M314" s="3">
        <f>618.8+(253.8-145.9)+(0+(0-0))+0-301.5-0</f>
        <v>425.19999999999993</v>
      </c>
      <c r="N314" s="3">
        <f>615.7+(279.8-143.5)+(-0.628014+(-0.285396--0.14637))+0-301.2--0.307224000000048</f>
        <v>450.34018400000014</v>
      </c>
      <c r="O314" s="3">
        <f>612.8+(320.9-159.7)+(0.937584+(0.490977-0.244341))+0-302.4-0.462672000000017</f>
        <v>472.32154800000001</v>
      </c>
      <c r="P314" s="3">
        <f>611.9+(366.3-159.3)+(-0.936207+(-0.560439--0.243729))+0-304.6--0.466038000000018</f>
        <v>513.51312099999996</v>
      </c>
      <c r="Q314" s="3">
        <f>612.9+(380.9-151.8)+(-0.625158+(-0.388518--0.154836))+0-304.6--0.310692000000049</f>
        <v>536.85185200000001</v>
      </c>
      <c r="R314" s="3">
        <f>610.6+(345-159.6)+(-2.802654+(-1.58355--0.732564))+0-303.3--1.39214700000005</f>
        <v>490.43850700000002</v>
      </c>
      <c r="S314" s="3">
        <f>609.6+(307.4-139.2)+(0+(0-0))+0-303.1-0</f>
        <v>474.69999999999993</v>
      </c>
      <c r="T314" s="3">
        <f>611.8+(285.2-135.4)+(-0.312018+(-0.145452--0.069054))+0-300.2--0.15310199999997</f>
        <v>461.1646859999999</v>
      </c>
      <c r="U314" s="3">
        <f>612.3+(268.2-138.6)+(-0.312273+(-0.136782--0.070686))+0-299.5--0.15274499999997</f>
        <v>442.17437599999994</v>
      </c>
      <c r="V314" s="3">
        <f>611.2+(265.5-139.2)+(-0.935136+(-0.406215--0.212976))+0-300.6--0.459918000000017</f>
        <v>436.23154299999999</v>
      </c>
      <c r="W314" s="3">
        <f>612.5+(340.1-158.7)+(-1.2495+(-0.693804--0.323748))+0-306.2--0.624647999999987</f>
        <v>486.70509200000009</v>
      </c>
      <c r="X314" s="3">
        <f>687.7+(309.7-169.4)+(-1.402908+(-0.631788--0.345576))+0-306.8--0.625871999999987</f>
        <v>520.136752</v>
      </c>
      <c r="Y314" s="3">
        <f>690.8+(287.3-172.9)+(-1.056924+(-0.439569--0.264537))+0-304.2--0.465426000000018</f>
        <v>500.23347000000001</v>
      </c>
      <c r="Z314" s="3">
        <f>696.4+(244-139)+(-0.710328+(-0.24888--0.14178))+0-305.3--0.311406000000049</f>
        <v>495.59397800000005</v>
      </c>
      <c r="AA314" s="3">
        <f>714.1+(205-136.6)+(-0.364191+(-0.10455--0.069666))+0-304.6--0.155345999999969</f>
        <v>477.65627099999989</v>
      </c>
      <c r="AB314" s="3">
        <f>786.5+(163.6-177.4)+(-0.80223+(-0.166872--0.180948))+0-303.5--0.309570000000048</f>
        <v>468.72141600000015</v>
      </c>
      <c r="AC314" s="3">
        <f>792.3+(153.5-182.1)+(-2.828511+(-0.547995--0.650097))+0-303.5--1.083495</f>
        <v>458.55708599999997</v>
      </c>
      <c r="AD314">
        <f t="shared" si="4"/>
        <v>10898.200956000001</v>
      </c>
      <c r="AE314" s="3">
        <f>697+(300.6-170)+(0+(0-0))+0-304.7-0</f>
        <v>522.90000000000009</v>
      </c>
    </row>
    <row r="315" spans="1:31" s="2" customFormat="1" x14ac:dyDescent="0.25">
      <c r="A315">
        <v>89</v>
      </c>
      <c r="B315">
        <v>11</v>
      </c>
      <c r="C315">
        <v>9</v>
      </c>
      <c r="D315">
        <v>1</v>
      </c>
      <c r="E315">
        <v>1</v>
      </c>
      <c r="F315" s="3">
        <f>778.9+(140.9-194)+(0+(0-0))+0-304.3-0</f>
        <v>421.49999999999994</v>
      </c>
      <c r="G315" s="3">
        <f>779.8+(125.3-198.6)+(-2.783886+(-0.447321--0.709002))+0-305--1.08885</f>
        <v>400.06664499999999</v>
      </c>
      <c r="H315" s="3">
        <f>774.2+(112.5-177.6)+(-0.394842+(-0.057375--0.090576))+0-303.6--0.154835999999969</f>
        <v>405.29319500000003</v>
      </c>
      <c r="I315" s="3">
        <f>699.5+(138.8-130.8)+(-1.070235+(-0.212364--0.200124))+0-307.3--0.470169000000018</f>
        <v>399.58769399999994</v>
      </c>
      <c r="J315" s="3">
        <f>698.6+(142.9-127)+(0+(0-0))+0-305.4-0</f>
        <v>409.1</v>
      </c>
      <c r="K315" s="3">
        <f>698.4+(175.3-144.1)+(0+(0-0))+0-302.6-0</f>
        <v>427</v>
      </c>
      <c r="L315" s="3">
        <f>698+(231.5-169.6)+(0+(0-0))+0-301.8-0</f>
        <v>458.09999999999997</v>
      </c>
      <c r="M315" s="3">
        <f>703.3+(216.2-169.6)+(-1.793415+(-0.55131--0.43248))+0-302.9--0.772394999999956</f>
        <v>445.86014999999998</v>
      </c>
      <c r="N315" s="3">
        <f>769.6+(178.8-171.4)+(0.392496+(0.091188-0.087414))+0-302-0.154019999999969</f>
        <v>475.24225000000001</v>
      </c>
      <c r="O315" s="3">
        <f>838.7+(185.2-227.9)+(-0.427737+(-0.094452--0.116229))+0-303.1--0.154580999999969</f>
        <v>492.64862099999988</v>
      </c>
      <c r="P315" s="3">
        <f>864.2+(211.9-266.5)+(-0.881484+(-0.216138--0.27183))+0-305.3--0.311406000000049</f>
        <v>503.78561400000007</v>
      </c>
      <c r="Q315" s="3">
        <f>879+(220.2-287.5)+(-2.24145+(-0.56151--0.733125))+0-304.1--0.775454999999956</f>
        <v>506.30561999999998</v>
      </c>
      <c r="R315" s="3">
        <f>873.4+(236.9-289.8)+(0+(0-0))+0-302.8-0</f>
        <v>517.70000000000005</v>
      </c>
      <c r="S315" s="3">
        <f>877.8+(228.3-287.8)+(-1.790712+(-0.465732--0.587112))+0-303--0.618119999999987</f>
        <v>514.24878799999988</v>
      </c>
      <c r="T315" s="3">
        <f>875.5+(222.6-286.9)+(1.339515+(0.340578-0.438957))+0-305.2-0.466956000000018</f>
        <v>506.77418</v>
      </c>
      <c r="U315" s="3">
        <f>886.9+(220-290.7)+(-1.356957+(-0.3366--0.444771))+0-312.1--0.477513000000018</f>
        <v>503.32872700000007</v>
      </c>
      <c r="V315" s="3">
        <f>886+(226.9-296)+(1.35558+(0.347157-0.45288))+0-311.8-0.477054000000018</f>
        <v>505.87280299999998</v>
      </c>
      <c r="W315" s="3">
        <f>891.4+(282.5-305.6)+(-1.363842+(-0.432225--0.467568))+0-305.6--0.467568000000018</f>
        <v>561.83906899999999</v>
      </c>
      <c r="X315" s="3">
        <f>898.3+(287.8-271.6)+(-2.748798+(-0.880668--0.831096))+0-308.4--0.943704000000036</f>
        <v>604.24533400000007</v>
      </c>
      <c r="Y315" s="3">
        <f>900.7+(280.3-287.2)+(-3.215499+(-1.000671--1.025304))+0-308.5--1.101345</f>
        <v>583.21047900000008</v>
      </c>
      <c r="Z315" s="3">
        <f>901.8+(255.8-268.3)+(0.459918+(0.130458-0.136833))+0-308.8-0.157487999999969</f>
        <v>580.79605499999991</v>
      </c>
      <c r="AA315" s="3">
        <f>903.1+(254.2-303.6)+(-0.460581+(-0.129642--0.154836))+0-306.3--0.156212999999969</f>
        <v>547.12082600000008</v>
      </c>
      <c r="AB315" s="3">
        <f>901.8+(247.3-322.9)+(-0.459918+(-0.126123--0.164679))+0-305.5--0.155804999999969</f>
        <v>520.43444299999999</v>
      </c>
      <c r="AC315" s="3">
        <f>888.4+(220.3-300.7)+(-0.453084+(-0.112353--0.153357))+0-305.7--0.155906999999969</f>
        <v>502.04382700000002</v>
      </c>
      <c r="AD315">
        <f t="shared" si="4"/>
        <v>11792.10432</v>
      </c>
      <c r="AE315" s="3">
        <f>895+(276.9-271)+(0+(0-0))+0-307.1-0</f>
        <v>593.79999999999995</v>
      </c>
    </row>
    <row r="316" spans="1:31" s="2" customFormat="1" x14ac:dyDescent="0.25">
      <c r="A316">
        <v>89</v>
      </c>
      <c r="B316">
        <v>11</v>
      </c>
      <c r="C316">
        <v>10</v>
      </c>
      <c r="D316">
        <v>2</v>
      </c>
      <c r="E316">
        <v>1</v>
      </c>
      <c r="F316" s="3">
        <f>886.5+(126.5-269)+(0.452115+(0.064515-0.13719))+0-305-0.155549999999969</f>
        <v>439.2238900000001</v>
      </c>
      <c r="G316" s="3">
        <f>895+(108.2-274.6)+(0+(0-0))+0-304.5-0</f>
        <v>424.09999999999991</v>
      </c>
      <c r="H316" s="3">
        <f>901.4+(93.5-272)+(-1.379142+(-0.143055--0.41616))+0-304.9--0.466497000000018</f>
        <v>417.36045999999999</v>
      </c>
      <c r="I316" s="3">
        <f>905.3+(82.3-270.5)+(-2.308515+(-0.209865--0.689775))+0-304.4--0.776219999999956</f>
        <v>411.64761499999986</v>
      </c>
      <c r="J316" s="3">
        <f>904.6+(89.3-272.1)+(0.922692+(0.091086-0.277542))+0-309-0.315180000000049</f>
        <v>413.22105599999986</v>
      </c>
      <c r="K316" s="3">
        <f>906.7+(106.6-265)+(-1.849668+(-0.217464--0.5406))+0-305.3--0.622811999999987</f>
        <v>442.09628000000009</v>
      </c>
      <c r="L316" s="3">
        <f>908+(140-252.2)+(1.85232+(0.2856-0.514488))+0-305-0.622199999999987</f>
        <v>491.80123199999997</v>
      </c>
      <c r="M316" s="3">
        <f>910.8+(154.2-276.4)+(0.464508+(0.078642-0.140964))+0-303.8-0.154937999999969</f>
        <v>485.04724799999997</v>
      </c>
      <c r="N316" s="3">
        <f>908.4+(226.2-312.7)+(-2.31642+(-0.57681--0.797385))+0-307--0.782849999999955</f>
        <v>513.58700499999986</v>
      </c>
      <c r="O316" s="3">
        <f>920.3+(249.7-361.9)+(0.469353+(0.127347-0.184569))+2.5-308-0.157079999999969</f>
        <v>502.855051</v>
      </c>
      <c r="P316" s="3">
        <f>912+(263.2-367.8)+(-0.93024+(-0.268464--0.375156))+0-303.6--0.309672000000048</f>
        <v>503.28612400000003</v>
      </c>
      <c r="Q316" s="3">
        <f>936.2+(255.9-383.5)+(0+(0-0))+0-303.9-0</f>
        <v>504.70000000000005</v>
      </c>
      <c r="R316" s="3">
        <f>951.5+(274.6-394.7)+(-1.455795+(-0.420138--0.603891))+0-304.5--0.465885000000018</f>
        <v>526.09384300000011</v>
      </c>
      <c r="S316" s="3">
        <f>952.9+(280.1-401.9)+(-0.971958+(-0.285702--0.409938))+0-306.7--0.312834000000049</f>
        <v>523.86511200000018</v>
      </c>
      <c r="T316" s="3">
        <f>951.9+(271.7-402.9)+(-0.970938+(-0.277134--0.410958))+0-304.1--0.310182000000049</f>
        <v>516.07306800000003</v>
      </c>
      <c r="U316" s="3">
        <f>948.6+(268.4-397.2)+(0.483786+(0.136884-0.202572))+0-307-0.156569999999969</f>
        <v>513.06152799999995</v>
      </c>
      <c r="V316" s="3">
        <f>955.4+(270.7-409.1)+(-0.974508+(-0.276114--0.417282))+0-305.3--0.311406000000049</f>
        <v>511.178066</v>
      </c>
      <c r="W316" s="3">
        <f>961.5+(307.6-413)+(0+(0-0))+0-297.1-0</f>
        <v>559</v>
      </c>
      <c r="X316" s="3">
        <f>966.9+(307.2-389.6)+(-0.986238+(-0.313344--0.397392))+0-309.5--0.315690000000049</f>
        <v>574.4135</v>
      </c>
      <c r="Y316" s="3">
        <f>968.3+(281.6-380.5)+(-1.481499+(-0.430848--0.582165))+0-311.2--0.476136000000018</f>
        <v>557.34595399999989</v>
      </c>
      <c r="Z316" s="3">
        <f>971.5+(254.3-378.3)+(-1.98186+(-0.518772--0.771732))+0-308--0.628319999999987</f>
        <v>538.39942000000008</v>
      </c>
      <c r="AA316" s="3">
        <f>974.7+(271.5-391.4)+(-0.497097+(-0.138465--0.199614))+0-307.1--0.156620999999969</f>
        <v>547.42067299999997</v>
      </c>
      <c r="AB316" s="3">
        <f>969.9+(240.4-398.9)+(-1.978596+(-0.490416--0.813756))+0-306.5--0.625259999999987</f>
        <v>503.87000399999994</v>
      </c>
      <c r="AC316" s="3">
        <f>976.6+(144.5-336.7)+(-0.996132+(-0.14739--0.343434))+0-306.4--0.312528000000049</f>
        <v>477.5124400000002</v>
      </c>
      <c r="AD316">
        <f t="shared" si="4"/>
        <v>11897.159569000001</v>
      </c>
      <c r="AE316" s="3">
        <f>963+(285.1-386.6)+(0+(0-0))+0-313.6-0</f>
        <v>547.9</v>
      </c>
    </row>
    <row r="317" spans="1:31" s="2" customFormat="1" x14ac:dyDescent="0.25">
      <c r="A317">
        <v>89</v>
      </c>
      <c r="B317">
        <v>11</v>
      </c>
      <c r="C317">
        <v>11</v>
      </c>
      <c r="D317">
        <v>3</v>
      </c>
      <c r="E317">
        <v>1</v>
      </c>
      <c r="F317" s="3">
        <f>972.6+(98.1-349.5)+(-2.48013+(-0.250155--0.891225))+0-306.4--0.781319999999955</f>
        <v>413.74225999999999</v>
      </c>
      <c r="G317" s="3">
        <f>973.9+(61.9-317)+(-1.986756+(-0.126276--0.64668))+0-308.2--0.628727999999987</f>
        <v>409.7623759999999</v>
      </c>
      <c r="H317" s="3">
        <f>974.6+(48.4-326.2)+(-1.988184+(-0.098736--0.665448))+0-309.1--0.630563999999987</f>
        <v>386.90909199999993</v>
      </c>
      <c r="I317" s="3">
        <f>968.9+(46.5-321.1)+(-2.470695+(-0.118575--0.818805))+0-304.8--0.777239999999956</f>
        <v>388.50677499999995</v>
      </c>
      <c r="J317" s="3">
        <f>978.2+(46.9-320.5)+(1.995528+(0.095676-0.65382))+0-306.2-0.624647999999987</f>
        <v>399.21273600000001</v>
      </c>
      <c r="K317" s="3">
        <f>978.6+(69.3-315.6)+(2.49543+(0.176715-0.80478))+0-304.9-0.777494999999956</f>
        <v>428.48987</v>
      </c>
      <c r="L317" s="3">
        <f>976+(102.7-301.4)+(1.49328+(0.157131-0.461142))+0-305.7-0.467721000000018</f>
        <v>472.32154799999989</v>
      </c>
      <c r="M317" s="3">
        <f>977.5+(125.7-327.2)+(1.495575+(0.192321-0.500616))+0-305-0.466650000000018</f>
        <v>471.72062999999997</v>
      </c>
      <c r="N317" s="3">
        <f>973.6+(189.3-367.8)+(0.993072+(0.193086-0.375156))+0-304.1-0.310182000000049</f>
        <v>491.50081999999998</v>
      </c>
      <c r="O317" s="3">
        <f>968.5+(200.6-392.3)+(-1.97574+(-0.409224--0.800292))+0-306.5--0.625259999999987</f>
        <v>469.34058799999997</v>
      </c>
      <c r="P317" s="3">
        <f>967.2+(204.8-382.2)+(1.479816+(0.313344-0.584766))+0-305.9-0.468027000000018</f>
        <v>484.64036700000008</v>
      </c>
      <c r="Q317" s="3">
        <f>975+(199.3-391.1)+(-1.49175+(-0.304929--0.598383))+0-306.9--0.469557000000018</f>
        <v>475.57126100000005</v>
      </c>
      <c r="R317" s="3">
        <f>979.3+(209.1-390.3)+(-3.496101+(-0.746487--1.393371))+0-308--1.09956</f>
        <v>488.35034299999995</v>
      </c>
      <c r="S317" s="3">
        <f>974.8+(163.5-337.4)+(-0.497148+(-0.083385--0.172074))+0-305.2--0.155651999999969</f>
        <v>495.44719299999997</v>
      </c>
      <c r="T317" s="3">
        <f>980.5+(133.1-311.3)+(-1.500165+(-0.203643--0.476289))+0-305.5--0.467415000000018</f>
        <v>496.03989599999994</v>
      </c>
      <c r="U317" s="3">
        <f>979+(115.5-326.6)+(-1.49787+(-0.176715--0.499698))+0-305.3--0.467109000000018</f>
        <v>461.89222199999995</v>
      </c>
      <c r="V317" s="3">
        <f>982.5+(144.5-341.6)+(-3.00645+(-0.44217--1.045296))+0-304.6--0.932076000000035</f>
        <v>479.32875200000001</v>
      </c>
      <c r="W317" s="3">
        <f>981+(199.5-322.7)+(-3.50217+(-0.712215--1.152039))+0-309.5--1.104915</f>
        <v>546.34256899999991</v>
      </c>
      <c r="X317" s="3">
        <f>983+(211.3-330.1)+(-3.00798+(-0.646578--1.010106))+0-309.9--0.948294000000036</f>
        <v>552.6038420000001</v>
      </c>
      <c r="Y317" s="3">
        <f>981.6+(169.6-312.2)+(1.001232+(0.172992-0.318444))+0-309.9-0.316098000000049</f>
        <v>529.63968199999999</v>
      </c>
      <c r="Z317" s="3">
        <f>980.4+(158.6-318.6)+(-1.000008+(-0.161772--0.324972))+0-307.9--0.314058000000049</f>
        <v>511.97725000000003</v>
      </c>
      <c r="AA317" s="3">
        <f>982.8+(157.6-319)+(-2.004912+(-0.321504--0.65076))+0-308.5--0.629339999999987</f>
        <v>511.85368399999999</v>
      </c>
      <c r="AB317" s="3">
        <f>978.8+(133.4-321.1)+(-2.995128+(-0.408204--0.982566))+0-310.7--0.950742000000036</f>
        <v>478.92997600000001</v>
      </c>
      <c r="AC317" s="3">
        <f>979.4+(119.7-327.5)+(-3.995952+(-0.488376--1.3362))+0-312.6--1.27540799999997</f>
        <v>457.12727999999981</v>
      </c>
      <c r="AD317">
        <f t="shared" si="4"/>
        <v>11301.251011999999</v>
      </c>
      <c r="AE317" s="3">
        <f>987+(188-335.6)+(0+(0-0))+0-314.2-0</f>
        <v>525.20000000000005</v>
      </c>
    </row>
    <row r="318" spans="1:31" s="2" customFormat="1" x14ac:dyDescent="0.25">
      <c r="A318">
        <v>89</v>
      </c>
      <c r="B318">
        <v>11</v>
      </c>
      <c r="C318">
        <v>12</v>
      </c>
      <c r="D318">
        <v>4</v>
      </c>
      <c r="E318">
        <v>1</v>
      </c>
      <c r="F318" s="3">
        <f>977.2+(68.8-322.8)+(-0.996744+(-0.070176--0.329256))+0-307.6--0.313752000000049</f>
        <v>415.17608800000005</v>
      </c>
      <c r="G318" s="3">
        <f>982.9+(35.8-319.1)+(-3.007674+(-0.109548--0.976446))+0-308.5--0.944010000000036</f>
        <v>389.903234</v>
      </c>
      <c r="H318" s="3">
        <f>947.3+(45.8-292.7)+(-1.449369+(-0.070074--0.447831))+0-311.9--0.477207000000018</f>
        <v>387.90559500000006</v>
      </c>
      <c r="I318" s="3">
        <f>939.1+(55.9-302.2)+(0+(0-0))+0-311.2-0</f>
        <v>381.60000000000008</v>
      </c>
      <c r="J318" s="3">
        <f>940.4+(46.6-303.8)+(-2.39802+(-0.11883--0.77469))+0-307.7--0.784634999999955</f>
        <v>374.54247500000002</v>
      </c>
      <c r="K318" s="3">
        <f>971.5+(48.4-295)+(-1.98186+(-0.098736--0.6018))+0-308--0.628319999999987</f>
        <v>416.04952399999996</v>
      </c>
      <c r="L318" s="3">
        <f>981.8+(93-282)+(-2.50359+(-0.23715--0.7191))+0-310.7--0.792284999999955</f>
        <v>480.87064499999985</v>
      </c>
      <c r="M318" s="3">
        <f>979+(92.4-290.6)+(1.49787+(0.141372-0.444618))+0-309-0.472770000000018</f>
        <v>472.52185399999991</v>
      </c>
      <c r="N318" s="3">
        <f>976.5+(119.8-325.2)+(-0.498015+(-0.061098--0.165852))+0-311--0.158609999999968</f>
        <v>459.86534899999992</v>
      </c>
      <c r="O318" s="3">
        <f>970+(150.9-339.4)+(0.4947+(0.076959-0.173094))+0-309-0.157589999999969</f>
        <v>472.74097499999999</v>
      </c>
      <c r="P318" s="3">
        <f>964.2+(169.7-352.7)+(-1.475226+(-0.259641--0.539631))+0-310--0.474300000000018</f>
        <v>470.47906400000005</v>
      </c>
      <c r="Q318" s="3">
        <f>965.8+(174.2-341.5)+(-1.970232+(-0.355368--0.69666))+0-314--0.640559999999986</f>
        <v>483.51161999999994</v>
      </c>
      <c r="R318" s="3">
        <f>965.4+(163.3-325.9)+(-1.477062+(-0.249849--0.498627))+0-311--0.475830000000018</f>
        <v>491.04754599999995</v>
      </c>
      <c r="S318" s="3">
        <f>966.1+(166.9-320.1)+(-0.492711+(-0.085119--0.163251))+0-310--0.158099999999969</f>
        <v>502.64352099999996</v>
      </c>
      <c r="T318" s="3">
        <f>961.5+(165.3-324.4)+(0.490365+(0.084303-0.165444))+0-309-0.157589999999969</f>
        <v>493.65163400000012</v>
      </c>
      <c r="U318" s="3">
        <f>964.8+(161.3-342.4)+(-1.476144+(-0.246789--0.523872))+0-308--0.471240000000018</f>
        <v>474.97217900000004</v>
      </c>
      <c r="V318" s="3">
        <f>963.9+(138.6-306.7)+(0+(0-0))+0-307-0</f>
        <v>488.79999999999995</v>
      </c>
      <c r="W318" s="3">
        <f>963+(160.7-256.2)+(-0.98226+(-0.163914--0.261324))+0-308--0.314160000000049</f>
        <v>558.92930999999999</v>
      </c>
      <c r="X318" s="3">
        <f>967.1+(154-266.8)+(-2.959326+(-0.47124--0.816408))+0-308--0.942480000000036</f>
        <v>544.62832200000003</v>
      </c>
      <c r="Y318" s="3">
        <f>965.8+(133-262)+(-1.477674+(-0.20349--0.40086))+0-310--0.474300000000018</f>
        <v>525.99399599999992</v>
      </c>
      <c r="Z318" s="3">
        <f>968.9+(118-271.6)+(-0.988278+(-0.12036--0.277032))+0-313--0.31926000000005</f>
        <v>501.78765400000003</v>
      </c>
      <c r="AA318" s="3">
        <f>970+(111.3-300.3)+(-0.9894+(-0.113526--0.306306))+0-310--0.316200000000049</f>
        <v>470.51958000000008</v>
      </c>
      <c r="AB318" s="3">
        <f>967.3+(102.2-318.4)+(-1.479969+(-0.156366--0.487152))+0-308--0.471240000000018</f>
        <v>442.42205699999994</v>
      </c>
      <c r="AC318" s="3">
        <f>969.9+(86.6-326.8)+(-0.989298+(-0.088332--0.333336))+0-310--0.316200000000049</f>
        <v>419.271906</v>
      </c>
      <c r="AD318">
        <f t="shared" si="4"/>
        <v>11119.834128</v>
      </c>
      <c r="AE318" s="3">
        <f>971+(151.1-277.1)+(0+(0-0))+0-329-0</f>
        <v>516</v>
      </c>
    </row>
    <row r="319" spans="1:31" s="2" customFormat="1" x14ac:dyDescent="0.25">
      <c r="A319">
        <v>89</v>
      </c>
      <c r="B319">
        <v>11</v>
      </c>
      <c r="C319">
        <v>13</v>
      </c>
      <c r="D319">
        <v>5</v>
      </c>
      <c r="E319">
        <v>5</v>
      </c>
      <c r="F319" s="3">
        <f>974.2+(78-328.5)+(-1.490526+(-0.11934--0.502605))+0-313--0.478890000000018</f>
        <v>410.07162900000009</v>
      </c>
      <c r="G319" s="3">
        <f>971+(98.4-375.5)+(0.49521+(0.050184-0.191505))+0-311.1-0.158660999999968</f>
        <v>382.99522799999994</v>
      </c>
      <c r="H319" s="3">
        <f>967.2+(24-435.6)+(-0.986544+(-0.02448--0.444312))+0-146--0.148920000000023</f>
        <v>409.182208</v>
      </c>
      <c r="I319" s="3">
        <f>974.3+(47.1-425.3)+(0.993786+(0.048042-0.433806))+0-237.5-0.242250000000038</f>
        <v>358.9657719999999</v>
      </c>
      <c r="J319" s="3">
        <f>972.9+(59-426.3)+(0.992358+(0.06018-0.434826))+0-312.5-0.31875000000005</f>
        <v>293.39896199999987</v>
      </c>
      <c r="K319" s="3">
        <f>970.8+(35.2-488.5)+(1.485324+(0.053856-0.747405))+0-235.1-0.359703000000014</f>
        <v>282.83207199999998</v>
      </c>
      <c r="L319" s="3">
        <f>972+(45.2-455.6)+(0+(0-0))+0-262-0</f>
        <v>299.59999999999991</v>
      </c>
      <c r="M319" s="3">
        <f>976.8+(36.7-364.3)+(-2.49084+(-0.093585--0.928965))+0-315--0.803249999999954</f>
        <v>333.34778999999992</v>
      </c>
      <c r="N319" s="3">
        <f>971+(104.8-410.2)+(-0.49521+(-0.053448--0.209202))+0-314--0.160139999999968</f>
        <v>351.42068399999994</v>
      </c>
      <c r="O319" s="3">
        <f>960+(111.3-394.5)+(1.4688+(0.170289-0.603585))+0-315.5-0.482715000000018</f>
        <v>361.85278899999986</v>
      </c>
      <c r="P319" s="3">
        <f>970+(74.4-365.8)+(-2.9682+(-0.227664--1.119348))+0-315--0.963900000000036</f>
        <v>362.48738400000008</v>
      </c>
      <c r="Q319" s="3">
        <f>971.2+(56.4-338.1)+(-1.485936+(-0.086292--0.517293))+0-312.9--0.478737000000018</f>
        <v>376.02380200000005</v>
      </c>
      <c r="R319" s="3">
        <f>948.4+(84.4-324.7)+(0+(0-0))+0-312.6-0</f>
        <v>395.5</v>
      </c>
      <c r="S319" s="3">
        <f>962.6+(99.7-332.5)+(-0.981852+(-0.101694--0.33915))+0-315--0.32130000000005</f>
        <v>414.37690399999997</v>
      </c>
      <c r="T319" s="3">
        <f>978.3+(125-389.6)+(-1.496799+(-0.19125--0.596088))+0-314.6--0.481338000000018</f>
        <v>398.48937699999993</v>
      </c>
      <c r="U319" s="3">
        <f>988.6+(75.5-361.8)+(-2.016744+(-0.15402--0.738072))+0-312.4--0.637295999999986</f>
        <v>389.10460399999999</v>
      </c>
      <c r="V319" s="3">
        <f>1117.6+(33.9-443.4)+(0+(0-0))+0-311-0</f>
        <v>397.09999999999991</v>
      </c>
      <c r="W319" s="3">
        <f>1114.8+(57.5-404.4)+(0+(0-0))+0-318.6-0</f>
        <v>449.29999999999995</v>
      </c>
      <c r="X319" s="3">
        <f>1120.7+(131.1-443.8)+(-2.286228+(-0.267444--0.905352))+0-316.4--0.645455999999986</f>
        <v>490.59713599999998</v>
      </c>
      <c r="Y319" s="3">
        <f>1124.6+(129.9-452.3)+(-1.147092+(-0.132498--0.461346))+0-316--0.32232000000005</f>
        <v>485.70407599999993</v>
      </c>
      <c r="Z319" s="3">
        <f>1122.9+(109.9-439.3)+(0+(0-0))+0-311.3-0</f>
        <v>482.2000000000001</v>
      </c>
      <c r="AA319" s="3">
        <f>1128.6+(94-441.3)+(0.575586+(0.04794-0.225063))+0-310.5-0.158354999999968</f>
        <v>471.04010799999998</v>
      </c>
      <c r="AB319" s="3">
        <f>1126.9+(80-446.4)+(-0.574719+(-0.0408--0.227664))+0-311.1--0.158660999999968</f>
        <v>449.17080600000014</v>
      </c>
      <c r="AC319" s="3">
        <f>1021.6+(80-364.2)+(-3.126096+(-0.2448--1.114452))+0-311.7--0.953802000000036</f>
        <v>424.39735800000017</v>
      </c>
      <c r="AD319">
        <f t="shared" si="4"/>
        <v>9469.1586889999999</v>
      </c>
      <c r="AE319" s="3">
        <f>1115.9+(114.1-444.3)+(0+(0-0))+0-317.2-0</f>
        <v>468.50000000000006</v>
      </c>
    </row>
    <row r="320" spans="1:31" s="2" customFormat="1" x14ac:dyDescent="0.25">
      <c r="A320">
        <v>89</v>
      </c>
      <c r="B320">
        <v>11</v>
      </c>
      <c r="C320">
        <v>14</v>
      </c>
      <c r="D320">
        <v>6</v>
      </c>
      <c r="E320">
        <v>6</v>
      </c>
      <c r="F320" s="3">
        <f>969.7+(43.8-339)+(-0.494547+(-0.022338--0.17289))+0-288.9--0.147338999999971</f>
        <v>385.40334400000006</v>
      </c>
      <c r="G320" s="3">
        <f>944.2+(26.6-292.4)+(0+(0-0))+0-293.5-0</f>
        <v>384.90000000000009</v>
      </c>
      <c r="H320" s="3">
        <f>933.5+(30.4-282.3)+(-2.85651+(-0.093024--0.863838))+0-314.9--0.963594000000036</f>
        <v>365.57789800000012</v>
      </c>
      <c r="I320" s="3">
        <f>929.6+(27.4-284.3)+(1.896384+(0.055896-0.579972))+0-312.9-0.638315999999986</f>
        <v>360.53399200000007</v>
      </c>
      <c r="J320" s="3">
        <f>931.6+(27.8-286.7)+(0.475116+(0.014178-0.146217))+0-313-0.159629999999968</f>
        <v>359.88344700000005</v>
      </c>
      <c r="K320" s="3">
        <f>931.2+(47.4-287.7)+(1.899648+(0.096696-0.586908))+0-316.6-0.645863999999986</f>
        <v>375.06357200000014</v>
      </c>
      <c r="L320" s="3">
        <f>931.5+(71.2-274.1)+(0.475065+(0.036312-0.139791))+0-314.2-0.160241999999968</f>
        <v>414.61134399999992</v>
      </c>
      <c r="M320" s="3">
        <f>937.8+(86.6-290)+(-0.478278+(-0.044166--0.1479))+0-309.7--0.157946999999969</f>
        <v>424.48340299999995</v>
      </c>
      <c r="N320" s="3">
        <f>940.9+(134.1-320.3)+(-0.479859+(-0.068391--0.163353))+0-312.9--0.159578999999968</f>
        <v>441.57468199999988</v>
      </c>
      <c r="O320" s="3">
        <f>952.6+(165-367)+(0.971652+(0.1683-0.37434))+0-312.9-0.31915800000005</f>
        <v>438.14645400000001</v>
      </c>
      <c r="P320" s="3">
        <f>970.4+(197.1-403)+(-0.494904+(-0.100521--0.20553))+0-313.3--0.159782999999968</f>
        <v>450.96988799999991</v>
      </c>
      <c r="Q320" s="3">
        <f>968.7+(199.5-399.1)+(0+(0-0))+0-313.3-0</f>
        <v>455.8</v>
      </c>
      <c r="R320" s="3">
        <f>961.6+(198.3-397.7)+(-1.471248+(-0.303399--0.608481))+0-310.3--0.474759000000018</f>
        <v>451.20859300000006</v>
      </c>
      <c r="S320" s="3">
        <f>961.8+(191.2-395.7)+(-2.45259+(-0.48756--1.009035))+0-311.1--0.793304999999955</f>
        <v>445.06218999999993</v>
      </c>
      <c r="T320" s="3">
        <f>962.3+(171.4-383.1)+(-1.472319+(-0.262242--0.586143))+0-310.7--0.475371000000018</f>
        <v>439.22695299999992</v>
      </c>
      <c r="U320" s="3">
        <f>962.1+(140.2-350.5)+(-4.416039+(-0.643518--1.608795))+0-310.6--1.42565400000005</f>
        <v>439.17489199999994</v>
      </c>
      <c r="V320" s="3">
        <f>967.5+(133.3-344)+(-0.98685+(-0.135966--0.35088))+0-310--0.316200000000049</f>
        <v>446.34426400000001</v>
      </c>
      <c r="W320" s="3">
        <f>969.6+(165.6-329.9)+(0.494496+(0.084456-0.168249))+0-309.5-0.157844999999969</f>
        <v>496.05285800000013</v>
      </c>
      <c r="X320" s="3">
        <f>967.2+(226.5-350.9)+(-1.479816+(-0.346545--0.536877))+0-311.3--0.476289000000018</f>
        <v>530.68680500000016</v>
      </c>
      <c r="Y320" s="3">
        <f>977+(208.4-355.5)+(-2.49135+(-0.53142--0.906525))+0-310.6--0.792029999999955</f>
        <v>517.97578499999986</v>
      </c>
      <c r="Z320" s="3">
        <f>978.4+(156.2-314.8)+(-1.496952+(-0.238986--0.481644))+0-311.9--0.477207000000018</f>
        <v>507.12291300000004</v>
      </c>
      <c r="AA320" s="3">
        <f>977.7+(148.4-328.8)+(-1.495881+(-0.227052--0.503064))+0-311.8--0.477054000000018</f>
        <v>484.75718500000005</v>
      </c>
      <c r="AB320" s="3">
        <f>984.7+(141.8-337.3)+(-0.502197+(-0.072318--0.172023))+0-312.6--0.159425999999968</f>
        <v>476.35693399999997</v>
      </c>
      <c r="AC320" s="3">
        <f>943.7+(132.2-313.9)+(-0.962574+(-0.134844--0.320178))+0-309.6--0.315792000000049</f>
        <v>451.93855200000002</v>
      </c>
      <c r="AD320">
        <f t="shared" si="4"/>
        <v>10542.855948</v>
      </c>
      <c r="AE320" s="3">
        <f>977+(201.1-332.7)+(0+(0-0))+0-316-0</f>
        <v>529.4</v>
      </c>
    </row>
    <row r="321" spans="1:31" s="2" customFormat="1" x14ac:dyDescent="0.25">
      <c r="A321">
        <v>89</v>
      </c>
      <c r="B321">
        <v>11</v>
      </c>
      <c r="C321">
        <v>15</v>
      </c>
      <c r="D321">
        <v>7</v>
      </c>
      <c r="E321">
        <v>5</v>
      </c>
      <c r="F321" s="3">
        <f>827.7+(132.6-236)+(-0.422127+(-0.067626--0.12036))+0-309.8--0.157997999999969</f>
        <v>414.28860500000008</v>
      </c>
      <c r="G321" s="3">
        <f>827.4+(98.2-222.1)+(-0.421974+(-0.050082--0.113271))+0-311.3--0.158762999999968</f>
        <v>391.99997799999994</v>
      </c>
      <c r="H321" s="3">
        <f>829.3+(89.8-224.5)+(-1.691772+(-0.183192--0.45798))+0-312.6--0.637703999999986</f>
        <v>381.22071999999991</v>
      </c>
      <c r="I321" s="3">
        <f>825.5+(79.6-219.5)+(-1.68402+(-0.162384--0.44778))+0-311.1--0.634643999999986</f>
        <v>373.73601999999994</v>
      </c>
      <c r="J321" s="3">
        <f>829.3+(81.4-228.3)+(0+(0-0))+0-309.7-0</f>
        <v>372.7</v>
      </c>
      <c r="K321" s="3">
        <f>835.4+(95.2-231.3)+(2.13027+(0.24276-0.589815))+0-309.6-0.789479999999955</f>
        <v>390.693735</v>
      </c>
      <c r="L321" s="3">
        <f>834+(135.2-256.6)+(-0.85068+(-0.137904--0.261732))+0-310.1--0.316302000000049</f>
        <v>402.08944999999994</v>
      </c>
      <c r="M321" s="3">
        <f>826.8+(115.6-214.5)+(-0.421668+(-0.058956--0.109395))+0-308.9--0.157538999999969</f>
        <v>418.78631000000001</v>
      </c>
      <c r="N321" s="3">
        <f>829.8+(134.9-210.7)+(-0.423198+(-0.068799--0.107457))+0-311.5--0.158864999999968</f>
        <v>442.27432499999998</v>
      </c>
      <c r="O321" s="3">
        <f>870.4+(143.3-238.2)+(-0.887808+(-0.146166--0.242964))+0-311.4--0.31762800000005</f>
        <v>463.62661800000006</v>
      </c>
      <c r="P321" s="3">
        <f>960.8+(133.8-300.2)+(-3.430056+(-0.477666--1.071714))+0-311.4--1.111698</f>
        <v>481.27569</v>
      </c>
      <c r="Q321" s="3">
        <f>971.9+(147.4-317.6)+(0+(0-0))+0-310.5-0</f>
        <v>491.19999999999993</v>
      </c>
      <c r="R321" s="3">
        <f>969.9+(168.6-330.7)+(0+(0-0))+0-310-0</f>
        <v>497.79999999999995</v>
      </c>
      <c r="S321" s="3">
        <f>978.1+(116.2-310.9)+(-0.498831+(-0.059262--0.158559))+0-309.9--0.158048999999969</f>
        <v>473.25851500000005</v>
      </c>
      <c r="T321" s="3">
        <f>977.1+(123.5-323.5)+(-0.996642+(-0.12597--0.32997))+0-312--0.31824000000005</f>
        <v>464.62559800000008</v>
      </c>
      <c r="U321" s="3">
        <f>978.1+(120-325.9)+(-0.997662+(-0.1224--0.332418))+0-313.4--0.31966800000005</f>
        <v>458.3320240000001</v>
      </c>
      <c r="V321" s="3">
        <f>980.9+(141.2-357.1)+(-0.500259+(-0.072012--0.182121))+0-309.4--0.157793999999969</f>
        <v>455.36764400000004</v>
      </c>
      <c r="W321" s="3">
        <f>981.8+(180.6-330.5)+(-1.001436+(-0.184212--0.33711))+0-309.9--0.316098000000049</f>
        <v>521.46756000000005</v>
      </c>
      <c r="X321" s="3">
        <f>982.2+(189-304.3)+(-1.001844+(-0.19278--0.310386))+0-311.6--0.31783200000005</f>
        <v>554.73359400000015</v>
      </c>
      <c r="Y321" s="3">
        <f>946.1+(193.2-275.5)+(-0.482511+(-0.098532--0.140505))+0-312--0.159119999999968</f>
        <v>551.51858199999992</v>
      </c>
      <c r="Z321" s="3">
        <f>1002.9+(161-304.4)+(-1.534437+(-0.24633--0.465732))+0-310.4--0.474912000000018</f>
        <v>548.25987700000007</v>
      </c>
      <c r="AA321" s="3">
        <f>1004.5+(145.9-315.5)+(0+(0-0))+0-308.9-0</f>
        <v>526</v>
      </c>
      <c r="AB321" s="3">
        <f>1008.8+(136.2-325.8)+(-2.57244+(-0.34731--0.83079))+0-311--0.793049999999955</f>
        <v>506.90408999999983</v>
      </c>
      <c r="AC321" s="3">
        <f>1011.3+(120.3-351.9)+(-2.578815+(-0.306765--0.897345))+0-309.7--0.789734999999955</f>
        <v>468.80149999999998</v>
      </c>
      <c r="AD321">
        <f t="shared" ref="AD321:AD365" si="5">SUM(F321:AC321)</f>
        <v>11050.960435000001</v>
      </c>
      <c r="AE321" s="3">
        <f>977+(167.9-304)+(0+(0-0))+0-320.2-0</f>
        <v>520.70000000000005</v>
      </c>
    </row>
    <row r="322" spans="1:31" s="2" customFormat="1" x14ac:dyDescent="0.25">
      <c r="A322">
        <v>89</v>
      </c>
      <c r="B322">
        <v>11</v>
      </c>
      <c r="C322">
        <v>16</v>
      </c>
      <c r="D322">
        <v>1</v>
      </c>
      <c r="E322">
        <v>1</v>
      </c>
      <c r="F322" s="3">
        <f>1004.5+(115.2-394.2)+(-0.512295+(-0.058752--0.201042))+0-308.5--0.157334999999969</f>
        <v>416.78733</v>
      </c>
      <c r="G322" s="3">
        <f>990.6+(76-376.3)+(1.515618+(0.11628-0.575739))+0-308.8-0.472464000000018</f>
        <v>382.08369499999992</v>
      </c>
      <c r="H322" s="3">
        <f>992.6+(75.6-368.6)+(-2.024904+(-0.154224--0.751944))+0-309.5--0.631379999999987</f>
        <v>389.30419599999999</v>
      </c>
      <c r="I322" s="3">
        <f>988.4+(86.2-365.3)+(-1.512252+(-0.131886--0.558909))+0-310.3--0.474759000000018</f>
        <v>398.38952999999992</v>
      </c>
      <c r="J322" s="3">
        <f>992.6+(69.2-351.1)+(-1.518678+(-0.105876--0.537183))+0-308.1--0.471393000000018</f>
        <v>401.9840220000001</v>
      </c>
      <c r="K322" s="3">
        <f>994.4+(87.1-342.1)+(0+(0-0))+0-308.6-0</f>
        <v>430.79999999999995</v>
      </c>
      <c r="L322" s="3">
        <f>987.5+(113.6-324.9)+(0.503625+(0.057936-0.165699))+0-309.5-0.157844999999969</f>
        <v>466.93801700000006</v>
      </c>
      <c r="M322" s="3">
        <f>983.3+(116.7-326.5)+(-0.501483+(-0.059517--0.166515))+0-308.6--0.157385999999969</f>
        <v>464.66290099999992</v>
      </c>
      <c r="N322" s="3">
        <f>979.8+(145.2-347.7)+(0.999396+(0.148104-0.354654))+0-309.6-0.315792000000049</f>
        <v>468.17705399999994</v>
      </c>
      <c r="O322" s="3">
        <f>973.2+(183.1-382.3)+(0.992664+(0.186762-0.389946))+0-308.1-0.314262000000049</f>
        <v>466.37521799999996</v>
      </c>
      <c r="P322" s="3">
        <f>968.6+(212.4-389.5)+(1.975944+(0.433296-0.79458))+0-309.6-0.631583999999986</f>
        <v>482.88307599999996</v>
      </c>
      <c r="Q322" s="3">
        <f>967.5+(233.3-413.4)+(-2.467125+(-0.594915--1.05417))+0-309.7--0.789734999999955</f>
        <v>476.48186500000003</v>
      </c>
      <c r="R322" s="3">
        <f>961.9+(208.8-376.7)+(-1.471707+(-0.319464--0.576351))+0-308.5--0.472005000000018</f>
        <v>484.75718499999999</v>
      </c>
      <c r="S322" s="3">
        <f>962+(180.9-336.3)+(-1.96248+(-0.369036--0.686052))+0-311.8--0.636071999999986</f>
        <v>493.79060800000008</v>
      </c>
      <c r="T322" s="3">
        <f>963.9+(165.3-351.8)+(-0.983178+(-0.168606--0.358836))+0-308.4--0.314568000000049</f>
        <v>468.52162000000004</v>
      </c>
      <c r="U322" s="3">
        <f>959.9+(171.2-339.5)+(1.468647+(0.261936-0.519435))+0-308.5-0.472005000000018</f>
        <v>483.83914299999986</v>
      </c>
      <c r="V322" s="3">
        <f>959.8+(168.7-330.4)+(-1.468494+(-0.258111--0.505512))+0-307.3--0.470169000000018</f>
        <v>490.0490759999999</v>
      </c>
      <c r="W322" s="3">
        <f>961.1+(253.5-362.1)+(0+(0-0))+0-309.3-0</f>
        <v>543.20000000000005</v>
      </c>
      <c r="X322" s="3">
        <f>966.5+(300.7-381.6)+(-1.478745+(-0.460071--0.583848))+0-308.4--0.471852000000018</f>
        <v>576.31688399999996</v>
      </c>
      <c r="Y322" s="3">
        <f>971.6+(234.2-333)+(-0.495516+(-0.119442--0.16983))+0-309.6--0.157895999999969</f>
        <v>562.91276799999991</v>
      </c>
      <c r="Z322" s="3">
        <f>970.6+(201.8-310.1)+(-1.980024+(-0.411672--0.632604))+0-310.8--0.634031999999987</f>
        <v>550.37493999999992</v>
      </c>
      <c r="AA322" s="3">
        <f>973.3+(151.4-301.6)+(-0.496383+(-0.077214--0.153816))+0-309.1--0.157640999999969</f>
        <v>513.73785999999996</v>
      </c>
      <c r="AB322" s="3">
        <f>975.5+(118.3-261.1)+(-2.487525+(-0.301665--0.665805))+0-308.7--0.787184999999955</f>
        <v>522.66380000000004</v>
      </c>
      <c r="AC322" s="3">
        <f>981.3+(64.8-266.5)+(-2.001852+(-0.132192--0.54366))+0-307.8--0.627911999999987</f>
        <v>470.83752799999991</v>
      </c>
      <c r="AD322">
        <f t="shared" si="5"/>
        <v>11405.868316</v>
      </c>
      <c r="AE322" s="3">
        <f>968+(276.8-385.9)+(0+(0-0))+0-307.6-0</f>
        <v>551.30000000000007</v>
      </c>
    </row>
    <row r="323" spans="1:31" s="2" customFormat="1" x14ac:dyDescent="0.25">
      <c r="A323">
        <v>89</v>
      </c>
      <c r="B323">
        <v>11</v>
      </c>
      <c r="C323">
        <v>17</v>
      </c>
      <c r="D323">
        <v>2</v>
      </c>
      <c r="E323">
        <v>1</v>
      </c>
      <c r="F323" s="3">
        <f>987+(52.2-286.9)+(-1.00674+(-0.053244--0.292638))+0-309.1--0.315282000000049</f>
        <v>442.74793599999998</v>
      </c>
      <c r="G323" s="3">
        <f>986.5+(29.2-295)+(-1.00623+(-0.029784--0.3009))+0-308.1--0.314262000000049</f>
        <v>412.17914800000011</v>
      </c>
      <c r="H323" s="3">
        <f>988.7+(25.1-308.5)+(-0.504237+(-0.012801--0.157335))+0-308.7--0.157436999999969</f>
        <v>396.39773400000007</v>
      </c>
      <c r="I323" s="3">
        <f>991.1+(30.1-330.4)+(2.527305+(0.076755-0.84252))+0-307-0.782849999999955</f>
        <v>384.7786900000001</v>
      </c>
      <c r="J323" s="3">
        <f>989.5+(27.2-322.1)+(-1.513935+(-0.041616--0.492813))+0-306.8--0.469404000000018</f>
        <v>387.20666599999993</v>
      </c>
      <c r="K323" s="3">
        <f>987.8+(42.4-303.1)+(0+(0-0))+0-307.8-0</f>
        <v>419.2999999999999</v>
      </c>
      <c r="L323" s="3">
        <f>993.2+(60.9-279.9)+(-1.013064+(-0.062118--0.285498))+0-306.7--0.312834000000049</f>
        <v>467.02315000000016</v>
      </c>
      <c r="M323" s="3">
        <f>989.6+(70.3-281.5)+(-1.009392+(-0.071706--0.28713))+0-305.9--0.312018000000049</f>
        <v>472.01805000000019</v>
      </c>
      <c r="N323" s="3">
        <f>983.4+(85.6-297.1)+(-0.501534+(-0.043656--0.151521))+0-306.1--0.156110999999969</f>
        <v>465.56244199999986</v>
      </c>
      <c r="O323" s="3">
        <f>982.4+(105-319.3)+(0.501024+(0.05355-0.162843))+0-307.7-0.156926999999969</f>
        <v>460.63480399999997</v>
      </c>
      <c r="P323" s="3">
        <f>974.5+(129.3-326.5)+(-1.98798+(-0.263772--0.66606))+0-309.1--0.630563999999987</f>
        <v>467.24487199999993</v>
      </c>
      <c r="Q323" s="3">
        <f>970.8+(140.4-327.2)+(-1.980432+(-0.286416--0.667488))+0-311.2--0.634847999999986</f>
        <v>471.83548799999994</v>
      </c>
      <c r="R323" s="3">
        <f>965.3+(143.3-303.1)+(-1.969212+(-0.292332--0.618324))+0-310.8--0.634031999999987</f>
        <v>493.69081199999994</v>
      </c>
      <c r="S323" s="3">
        <f>963+(134.8-289.9)+(-1.47339+(-0.206244--0.443547))+0-313.6--0.479808000000018</f>
        <v>493.54372100000006</v>
      </c>
      <c r="T323" s="3">
        <f>963+(130.5-290.7)+(-0.98226+(-0.13311--0.296514))+0-308.6--0.314772000000049</f>
        <v>493.69591600000001</v>
      </c>
      <c r="U323" s="3">
        <f>961.4+(126-287.7)+(-2.941884+(-0.38556--0.880362))+0-308--0.942480000000036</f>
        <v>490.19539800000007</v>
      </c>
      <c r="V323" s="3">
        <f>966.3+(115.9-271.2)+(0+(0-0))+0-307.2-0</f>
        <v>503.8</v>
      </c>
      <c r="W323" s="3">
        <f>968.4+(198.5-316.3)+(-1.481652+(-0.303705--0.483939))+0-308.4--0.471852000000018</f>
        <v>541.37043399999993</v>
      </c>
      <c r="X323" s="3">
        <f>969+(284.6-378.6)+(0+(0-0))+0-308.8-0</f>
        <v>566.20000000000005</v>
      </c>
      <c r="Y323" s="3">
        <f>975.3+(273-381.8)+(-3.481821+(-0.97461--1.363026))+0-309.5--1.104915</f>
        <v>555.01151000000004</v>
      </c>
      <c r="Z323" s="3">
        <f>971.8+(244.9-365.2)+(-0.495618+(-0.124899--0.186252))+0-309.8--0.157997999999969</f>
        <v>541.42373299999997</v>
      </c>
      <c r="AA323" s="3">
        <f>980.2+(221.2-372.5)+(-2.49951+(-0.56406--0.949875))+0-309.9--0.790244999999955</f>
        <v>517.67655000000002</v>
      </c>
      <c r="AB323" s="3">
        <f>981.6+(161.6-337.2)+(-1.001232+(-0.164832--0.343944))+0-308.3--0.314466000000049</f>
        <v>497.19234599999999</v>
      </c>
      <c r="AC323" s="3">
        <f>979.8+(104.1-306.4)+(-1.998792+(-0.212364--0.625056))+0-308.8--0.629951999999987</f>
        <v>467.743852</v>
      </c>
      <c r="AD323">
        <f t="shared" si="5"/>
        <v>11408.473252</v>
      </c>
      <c r="AE323" s="3">
        <f>976+(258.1-390.9)+(0+(0-0))+0-308.2-0</f>
        <v>535</v>
      </c>
    </row>
    <row r="324" spans="1:31" s="2" customFormat="1" x14ac:dyDescent="0.25">
      <c r="A324">
        <v>89</v>
      </c>
      <c r="B324">
        <v>11</v>
      </c>
      <c r="C324">
        <v>18</v>
      </c>
      <c r="D324">
        <v>3</v>
      </c>
      <c r="E324">
        <v>1</v>
      </c>
      <c r="F324" s="3">
        <f>981.6+(68.9-300.7)+(-2.002464+(-0.140556--0.613428))+0-308.5--0.629339999999987</f>
        <v>440.3997480000001</v>
      </c>
      <c r="G324" s="3">
        <f>979.5+(61.9-310.4)+(-0.499545+(-0.031569--0.158304))+0-309.3--0.157742999999969</f>
        <v>421.48493300000001</v>
      </c>
      <c r="H324" s="3">
        <f>980.9+(48.7-326.4)+(0.500259+(0.024837-0.166464))+0-309.4-0.157793999999969</f>
        <v>394.00083800000004</v>
      </c>
      <c r="I324" s="3">
        <f>982.8+(22.8-313.7)+(-2.50614+(-0.05814--0.799935))+0-309.8--0.789989999999955</f>
        <v>381.12564499999985</v>
      </c>
      <c r="J324" s="3">
        <f>985.1+(0-282.9)+(-1.004802+(0--0.288558))+0-308.1--0.314262000000049</f>
        <v>393.6980180000001</v>
      </c>
      <c r="K324" s="3">
        <f>993.3+(0-265.9)+(-0.506583+(0--0.135609))+0-307.5--0.156824999999969</f>
        <v>419.6858509999999</v>
      </c>
      <c r="L324" s="3">
        <f>993.1+(37.6-248.2)+(-3.038886+(-0.115056--0.759492))+0-308.2--0.943092000000036</f>
        <v>472.84864200000004</v>
      </c>
      <c r="M324" s="3">
        <f>989.1+(58.8-272.8)+(0+(0-0))+0-307.7-0</f>
        <v>467.40000000000003</v>
      </c>
      <c r="N324" s="3">
        <f>979.9+(117.5-311.3)+(1.499247+(0.179775-0.476289))+0-307.6-0.470628000000018</f>
        <v>479.23210499999982</v>
      </c>
      <c r="O324" s="3">
        <f>970.7+(165.7-353.4)+(0+(0-0))+0-308.2-0</f>
        <v>474.8</v>
      </c>
      <c r="P324" s="3">
        <f>968.9+(174.7-343.3)+(0+(0-0))+0-307.5-0</f>
        <v>492.79999999999995</v>
      </c>
      <c r="Q324" s="3">
        <f>1011.3+(160.1-379.2)+(0+(0-0))+0-307.5-0</f>
        <v>484.69999999999993</v>
      </c>
      <c r="R324" s="3">
        <f>1118.9+(138.1-446.8)+(-2.853195+(-0.352155--1.13934))+0-307.6--0.784379999999955</f>
        <v>501.31836999999996</v>
      </c>
      <c r="S324" s="3">
        <f>1122.9+(151.7-481.4)+(-1.145358+(-0.154734--0.491028))+0-306.8--0.312936000000049</f>
        <v>485.90387200000004</v>
      </c>
      <c r="T324" s="3">
        <f>1120.3+(105.8-441.3)+(-0.571353+(-0.053958--0.225063))+0-308.4--0.157283999999969</f>
        <v>476.15703599999989</v>
      </c>
      <c r="U324" s="3">
        <f>1125.2+(68.7-410.2)+(-1.147704+(-0.070074--0.418404))+0-306.7--0.312834000000049</f>
        <v>476.51346000000018</v>
      </c>
      <c r="V324" s="3">
        <f>1127.9+(93.5-434.8)+(0.575229+(0.047685-0.221748))+0-306.7-0.156416999999969</f>
        <v>480.14474900000016</v>
      </c>
      <c r="W324" s="3">
        <f>1129.2+(152.5-459)+(-0.575892+(-0.077775--0.23409))+0-308--0.157079999999969</f>
        <v>514.43750299999999</v>
      </c>
      <c r="X324" s="3">
        <f>1138.7+(184.8-459.3)+(-2.322948+(-0.376992--0.936972))+0-308--0.628319999999987</f>
        <v>555.06535200000008</v>
      </c>
      <c r="Y324" s="3">
        <f>1134.3+(174.5-452.2)+(-2.313972+(-0.35598--0.922488))+0-308.1--0.628523999999987</f>
        <v>547.38105999999982</v>
      </c>
      <c r="Z324" s="3">
        <f>1139.1+(154.6-453)+(-1.742823+(-0.236538--0.69309))+0-307.7--0.470781000000018</f>
        <v>532.18450999999982</v>
      </c>
      <c r="AA324" s="3">
        <f>1144.7+(109.3-430.8)+(-2.918985+(-0.278715--1.09854))+0-307.5--0.784124999999955</f>
        <v>514.38496499999997</v>
      </c>
      <c r="AB324" s="3">
        <f>1144.5+(56.2-401.7)+(-2.33478+(-0.114648--0.819468))+0-307.7--0.627707999999987</f>
        <v>490.29774800000001</v>
      </c>
      <c r="AC324" s="3">
        <f>1147.9+(10.6-389.7)+(-5.268861+(-0.048654--1.788723))+0-306.4--1.40637600000005</f>
        <v>460.27758400000027</v>
      </c>
      <c r="AD324">
        <f t="shared" si="5"/>
        <v>11356.241988999996</v>
      </c>
      <c r="AE324" s="3">
        <f>1138+(184-457.9)+(0+(0-0))+0-307.6-0</f>
        <v>556.5</v>
      </c>
    </row>
    <row r="325" spans="1:31" s="2" customFormat="1" x14ac:dyDescent="0.25">
      <c r="A325">
        <v>89</v>
      </c>
      <c r="B325">
        <v>11</v>
      </c>
      <c r="C325">
        <v>19</v>
      </c>
      <c r="D325">
        <v>4</v>
      </c>
      <c r="E325">
        <v>1</v>
      </c>
      <c r="F325" s="3">
        <f>1148.3+(1.8-420.3)+(2.342532+(0.003672-0.857412))+0-306-0.624239999999987</f>
        <v>424.66455199999996</v>
      </c>
      <c r="G325" s="3">
        <f>1148.2+(0-438.3)+(1.171164+(0-0.447066))+0-308.6-0.314772000000049</f>
        <v>401.70932600000003</v>
      </c>
      <c r="H325" s="3">
        <f>1154.9+(0-451.1)+(-1.177998+(0--0.460122))+0-307.5--0.313650000000049</f>
        <v>395.89577400000007</v>
      </c>
      <c r="I325" s="3">
        <f>1155+(0-462.7)+(-2.94525+(0--1.179885))+0-307.9--0.785144999999955</f>
        <v>383.41977999999995</v>
      </c>
      <c r="J325" s="3">
        <f>1153.1+(0-467.3)+(0.588081+(0-0.238323))+0-307.2-0.156671999999969</f>
        <v>378.79308599999996</v>
      </c>
      <c r="K325" s="3">
        <f>1152+(0-412.7)+(2.35008+(0-0.841908))+0-307.7-0.627707999999987</f>
        <v>432.48046399999993</v>
      </c>
      <c r="L325" s="3">
        <f>1146.6+(32.4-378.2)+(-2.339064+(-0.066096--0.771528))+0-306.7--0.625667999999987</f>
        <v>493.09203599999989</v>
      </c>
      <c r="M325" s="3">
        <f>1151.4+(31-395.4)+(-0.587214+(-0.01581--0.201654))+0-305.8--0.155957999999969</f>
        <v>480.954588</v>
      </c>
      <c r="N325" s="3">
        <f>1147.8+(71.9-423.1)+(1.170756+(0.073338-0.431562))+0-306.5-0.312630000000049</f>
        <v>490.59990199999987</v>
      </c>
      <c r="O325" s="3">
        <f>1141.9+(87.6-424.7)+(0.582369+(0.044676-0.216597))+0-307.2-0.156671999999969</f>
        <v>497.8537760000001</v>
      </c>
      <c r="P325" s="3">
        <f>1140.3+(81.8-375)+(-2.326212+(-0.166872--0.765))+0-306.2--0.624647999999987</f>
        <v>539.79656399999999</v>
      </c>
      <c r="Q325" s="3">
        <f>1134+(96.8-346.8)+(-2.31336+(-0.197472--0.707472))+0-305.2--0.622607999999987</f>
        <v>577.61924800000008</v>
      </c>
      <c r="R325" s="3">
        <f>1131.1+(50.3-368.7)+(-1.730583+(-0.076959--0.564111))+0-304--0.465120000000018</f>
        <v>507.92168899999996</v>
      </c>
      <c r="S325" s="3">
        <f>1126+(44-355)+(0+(0-0))+0-305-0</f>
        <v>510</v>
      </c>
      <c r="T325" s="3">
        <f>1123.9+(41-362.4)+(0+(0-0))+0-305-0</f>
        <v>497.50000000000011</v>
      </c>
      <c r="U325" s="3">
        <f>1123+(39.7-356.5)+(-1.14546+(-0.040494--0.36363))+0-304.6--0.310692000000049</f>
        <v>501.08836800000012</v>
      </c>
      <c r="V325" s="3">
        <f>1110+(44-352.4)+(-1.6983+(-0.06732--0.539172))+0-304.6--0.466038000000018</f>
        <v>496.23959000000002</v>
      </c>
      <c r="W325" s="3">
        <f>1126+(79-330.3)+(0.57426+(0.04029-0.168453))+0-306-0.156059999999969</f>
        <v>568.99003700000003</v>
      </c>
      <c r="X325" s="3">
        <f>1127+(139.9-367.9)+(-1.14954+(-0.142698--0.375258))+0-306.6--0.312732000000049</f>
        <v>591.79575200000011</v>
      </c>
      <c r="Y325" s="3">
        <f>1128+(126.6-375.3)+(-1.72584+(-0.193698--0.574209))+0-306.5--0.468945000000018</f>
        <v>571.92361599999992</v>
      </c>
      <c r="Z325" s="3">
        <f>1133+(112.6-384.5)+(-2.88915+(-0.28713--0.980475))+0-306.4--0.781319999999955</f>
        <v>553.28551500000003</v>
      </c>
      <c r="AA325" s="3">
        <f>1129+(107.2-410.5)+(0+(0-0))+0-305.8-0</f>
        <v>519.90000000000009</v>
      </c>
      <c r="AB325" s="3">
        <f>1135+(97.8-420.6)+(-0.57885+(-0.049878--0.214506))+0-305.2--0.155651999999969</f>
        <v>506.74143000000004</v>
      </c>
      <c r="AC325" s="3">
        <f>1133+(29-390.3)+(-3.46698+(-0.08874--1.194318))+0-304.4--0.931464000000035</f>
        <v>465.87006200000013</v>
      </c>
      <c r="AD325">
        <f t="shared" si="5"/>
        <v>11788.135154999998</v>
      </c>
      <c r="AE325" s="3">
        <f>1135+(120-390.8)+(0+(0-0))+0-305.9-0</f>
        <v>558.30000000000007</v>
      </c>
    </row>
    <row r="326" spans="1:31" s="2" customFormat="1" x14ac:dyDescent="0.25">
      <c r="A326">
        <v>89</v>
      </c>
      <c r="B326">
        <v>11</v>
      </c>
      <c r="C326">
        <v>20</v>
      </c>
      <c r="D326">
        <v>5</v>
      </c>
      <c r="E326">
        <v>1</v>
      </c>
      <c r="F326" s="3">
        <f>1138.5+(12.1-416.9)+(-1.16127+(-0.012342--0.425238))+0-304.8--0.310896000000049</f>
        <v>428.46252200000009</v>
      </c>
      <c r="G326" s="3">
        <f>1141.3+(14-424.8)+(-3.492378+(-0.04284--1.299888))+0-306.8--0.938808000000036</f>
        <v>422.40347800000006</v>
      </c>
      <c r="H326" s="3">
        <f>1140+(5.1-429.2)+(0.5814+(0.002601-0.218892))+0-306.3-0.156212999999969</f>
        <v>409.80889600000006</v>
      </c>
      <c r="I326" s="3">
        <f>1141.9+(3.7-434.7)+(-2.911845+(-0.009435--1.108485))+0-305.8--0.779789999999956</f>
        <v>404.06699499999996</v>
      </c>
      <c r="J326" s="3">
        <f>1140.9+(1-439.3)+(-0.581859+(-0.00051--0.224043))+0-305.4--0.155753999999969</f>
        <v>396.99742800000007</v>
      </c>
      <c r="K326" s="3">
        <f>1140.3+(8.7-415.3)+(-0.581553+(-0.004437--0.211803))+0-305.9--0.156008999999969</f>
        <v>427.58182199999993</v>
      </c>
      <c r="L326" s="3">
        <f>1138.8+(34.6-397.7)+(-0.580788+(-0.017646--0.202827))+0-306.4--0.156263999999969</f>
        <v>469.06065699999999</v>
      </c>
      <c r="M326" s="3">
        <f>1144.3+(44.5-425.6)+(1.750779+(0.068085-0.651168))+0-304.9-0.466497000000018</f>
        <v>459.00119899999993</v>
      </c>
      <c r="N326" s="3">
        <f>1145.6+(48.9-434.5)+(1.168512+(0.049878-0.44319))+0-305.5-0.311610000000049</f>
        <v>454.9635899999999</v>
      </c>
      <c r="O326" s="3">
        <f>1136.5+(51.2-416.7)+(-0.579615+(-0.026112--0.212517))+0-307.6--0.156875999999969</f>
        <v>463.16366599999998</v>
      </c>
      <c r="P326" s="3">
        <f>1145.1+(70.2-425.4)+(-1.168002+(-0.071604--0.433908))+0-306.2--0.312324000000049</f>
        <v>483.20662599999991</v>
      </c>
      <c r="Q326" s="3">
        <f>1150.1+(71.3-435.7)+(-2.346204+(-0.145452--0.888828))+0-306.4--0.625055999999987</f>
        <v>478.32222799999988</v>
      </c>
      <c r="R326" s="3">
        <f>1149.6+(54-409.6)+(-3.517776+(-0.16524--1.253376))+0-306--0.936360000000035</f>
        <v>486.50671999999997</v>
      </c>
      <c r="S326" s="3">
        <f>1149.1+(27.8-392.1)+(-0.586041+(-0.014178--0.199971))+0-305.9--0.156008999999969</f>
        <v>478.65576099999993</v>
      </c>
      <c r="T326" s="3">
        <f>1149.1+(3-390.6)+(0+(0-0))+0-305.4-0</f>
        <v>456.09999999999991</v>
      </c>
      <c r="U326" s="3">
        <f>1148.2+(22.5-408.8)+(-2.342328+(-0.0459--0.833952))+0-305--0.622199999999987</f>
        <v>455.9679240000001</v>
      </c>
      <c r="V326" s="3">
        <f>1147.5+(10.4-378.8)+(-3.51135+(-0.031824--1.159128))+0-304.8--0.932688000000035</f>
        <v>472.84864199999993</v>
      </c>
      <c r="W326" s="3">
        <f>1144.9+(48.6-363.3)+(-1.167798+(-0.049572--0.370566))+0-305.3--0.311406000000049</f>
        <v>524.3646020000001</v>
      </c>
      <c r="X326" s="3">
        <f>1146.7+(100.5-378.2)+(-4.093719+(-0.358785--1.350174))+0-305.3--1.089921</f>
        <v>561.68759099999988</v>
      </c>
      <c r="Y326" s="3">
        <f>1144.5+(66.5-359.2)+(-1.751085+(-0.101745--0.549576))+0-306.3--0.468639000000018</f>
        <v>544.6653849999999</v>
      </c>
      <c r="Z326" s="3">
        <f>1146.8+(34.5-338.7)+(-3.509208+(-0.10557--1.036422))+0-306.5--0.937890000000035</f>
        <v>534.45953399999996</v>
      </c>
      <c r="AA326" s="3">
        <f>1145.4+(16.3-345.3)+(-1.752462+(-0.024939--0.528309))+0-305.6--0.467568000000018</f>
        <v>510.01847600000008</v>
      </c>
      <c r="AB326" s="3">
        <f>1145.7+(25-381.3)+(-2.921535+(-0.06375--0.972315))+0-305.6--0.779279999999956</f>
        <v>482.56631000000004</v>
      </c>
      <c r="AC326" s="3">
        <f>1143.5+(27.9-404.3)+(-0.583185+(-0.014229--0.206193))+0-304.5--0.155294999999969</f>
        <v>462.3640739999999</v>
      </c>
      <c r="AD326">
        <f t="shared" si="5"/>
        <v>11267.244126</v>
      </c>
      <c r="AE326" s="3">
        <f>1146+(89.9-379.3)+(0+(0-0))+0-310.6-0</f>
        <v>546</v>
      </c>
    </row>
    <row r="327" spans="1:31" s="2" customFormat="1" x14ac:dyDescent="0.25">
      <c r="A327">
        <v>89</v>
      </c>
      <c r="B327">
        <v>11</v>
      </c>
      <c r="C327">
        <v>21</v>
      </c>
      <c r="D327">
        <v>6</v>
      </c>
      <c r="E327">
        <v>1</v>
      </c>
      <c r="F327" s="3">
        <f>1144+(5-451.4)+(-3.50064+(-0.0153--1.381284))+0-304.4--0.931464000000035</f>
        <v>391.99680800000016</v>
      </c>
      <c r="G327" s="3">
        <f>1147.6+(6-488.2)+(1.170552+(0.00612-0.497964))+0-306-0.312120000000049</f>
        <v>359.76658799999984</v>
      </c>
      <c r="H327" s="3">
        <f>1148.3+(0-475.4)+(-1.171266+(0--0.484908))+0-306.9--0.313038000000049</f>
        <v>365.62668000000002</v>
      </c>
      <c r="I327" s="3">
        <f>1147.8+(0-482.5)+(2.341512+(0-0.9843))+0-307.5-0.627299999999987</f>
        <v>358.52991199999997</v>
      </c>
      <c r="J327" s="3">
        <f>1149.2+(0-483.9)+(2.93046+(0-1.233945))+0-306.1-0.780554999999956</f>
        <v>360.11596000000009</v>
      </c>
      <c r="K327" s="3">
        <f>1151.1+(0-451.9)+(-1.174122+(0--0.460938))+0-305--0.311100000000049</f>
        <v>393.79791600000004</v>
      </c>
      <c r="L327" s="3">
        <f>1150.6+(0-416.4)+(-2.93403+(0--1.06182))+0-305.2--0.778259999999956</f>
        <v>427.90604999999988</v>
      </c>
      <c r="M327" s="3">
        <f>1153.2+(14.3-434.8)+(-1.176264+(-0.014586--0.443496))+0-306.1--0.312222000000049</f>
        <v>426.16486800000013</v>
      </c>
      <c r="N327" s="3">
        <f>1144.6+(42.9-457.8)+(-1.167492+(-0.043758--0.466956))+0-305--0.311100000000049</f>
        <v>424.26680599999992</v>
      </c>
      <c r="O327" s="3">
        <f>1142.9+(47.7-449.8)+(0+(0-0))+0-306.2-0</f>
        <v>434.60000000000008</v>
      </c>
      <c r="P327" s="3">
        <f>1138.5+(89.3-477.5)+(-2.32254+(-0.182172--0.9741))+0-306.5--0.625259999999987</f>
        <v>442.8946479999999</v>
      </c>
      <c r="Q327" s="3">
        <f>1136.5+(110.1-499.3)+(-4.057305+(-0.393057--1.782501))+0-306.7--1.094919</f>
        <v>439.02705799999995</v>
      </c>
      <c r="R327" s="3">
        <f>1130.1+(117-467.9)+(-1.152702+(-0.11934--0.477258))+0-306.3--0.312426000000049</f>
        <v>472.41764199999994</v>
      </c>
      <c r="S327" s="3">
        <f>1127.6+(121-450.7)+(0.575076+(0.06171-0.229857))+0-305.5-0.155804999999969</f>
        <v>492.65112399999987</v>
      </c>
      <c r="T327" s="3">
        <f>1128.8+(104.3-430.8)+(-0.575688+(-0.053193--0.219708))+0-305.5--0.155804999999969</f>
        <v>496.54663199999993</v>
      </c>
      <c r="U327" s="3">
        <f>1130+(82.9-402.8)+(-3.4578+(-0.253674--1.232568))+0-305.2--0.933912000000035</f>
        <v>503.355006</v>
      </c>
      <c r="V327" s="3">
        <f>1133.4+(92.8-417.3)+(2.89017+(0.23664-1.064115))+0-305.5-0.779024999999956</f>
        <v>504.68367000000012</v>
      </c>
      <c r="W327" s="3">
        <f>1135+(112-423.4)+(-0.57885+(-0.05712--0.215934))+0-305.9--0.156008999999969</f>
        <v>517.43597299999999</v>
      </c>
      <c r="X327" s="3">
        <f>1139.8+(138.9-428.6)+(-1.743894+(-0.212517--0.655758))+0-306.7--0.469251000000018</f>
        <v>542.56859799999984</v>
      </c>
      <c r="Y327" s="3">
        <f>1137.9+(123.7-434.9)+(-1.160658+(-0.126174--0.443598))+0-307.1--0.313242000000049</f>
        <v>519.07000800000003</v>
      </c>
      <c r="Z327" s="3">
        <f>1141+(97.3-433.8)+(-4.65528+(-0.396984--1.769904))+0-306.6--1.25092799999997</f>
        <v>495.86856799999993</v>
      </c>
      <c r="AA327" s="3">
        <f>1138.9+(84.9-447.6)+(-0.580839+(-0.043299--0.228276))+0-306.1--0.156110999999969</f>
        <v>469.86024900000001</v>
      </c>
      <c r="AB327" s="3">
        <f>1138.1+(55-440.1)+(-2.902155+(-0.14025--1.122255))+0-308.8--0.787439999999955</f>
        <v>443.06728999999979</v>
      </c>
      <c r="AC327" s="3">
        <f>1140.3+(3-407.2)+(0+(0-0))+0-305.6-0</f>
        <v>430.49999999999989</v>
      </c>
      <c r="AD327">
        <f t="shared" si="5"/>
        <v>10712.718053999999</v>
      </c>
      <c r="AE327" s="3">
        <f>1140+(130-454.8)+(0+(0-0))+0-311.8-0</f>
        <v>503.40000000000003</v>
      </c>
    </row>
    <row r="328" spans="1:31" s="2" customFormat="1" x14ac:dyDescent="0.25">
      <c r="A328">
        <v>89</v>
      </c>
      <c r="B328">
        <v>11</v>
      </c>
      <c r="C328">
        <v>22</v>
      </c>
      <c r="D328">
        <v>7</v>
      </c>
      <c r="E328">
        <v>2</v>
      </c>
      <c r="F328" s="3">
        <f>1139.7+(4-450.5)+(-0.581247+(-0.00204--0.229755))+0-305--0.155549999999969</f>
        <v>388.00201800000002</v>
      </c>
      <c r="G328" s="3">
        <f>1145+(8-478.5)+(-0.58395+(-0.00408--0.244035))+0-305.3--0.155702999999969</f>
        <v>369.011708</v>
      </c>
      <c r="H328" s="3">
        <f>1145.2+(0-478.2)+(0+(0-0))+0-307.6-0</f>
        <v>359.4</v>
      </c>
      <c r="I328" s="3">
        <f>1146.9+(0-486.5)+(-1.754757+(0--0.744345))+0-306--0.468180000000018</f>
        <v>353.85776800000014</v>
      </c>
      <c r="J328" s="3">
        <f>1148.8+(0-489.4)+(-2.343552+(0--0.998376))+0-305.9--0.624035999999987</f>
        <v>352.77885999999995</v>
      </c>
      <c r="K328" s="3">
        <f>1146.9+(0-466.1)+(0.584919+(0-0.237711))+0-305.9-0.156008999999969</f>
        <v>375.09119900000013</v>
      </c>
      <c r="L328" s="3">
        <f>1154+(0-446.1)+(-4.11978+(0--1.592577))+0-305.1--1.089207</f>
        <v>401.36200399999996</v>
      </c>
      <c r="M328" s="3">
        <f>1151.8+(0-434.7)+(0+(0-0))+0-304.5-0</f>
        <v>412.59999999999991</v>
      </c>
      <c r="N328" s="3">
        <f>1145.5+(0-405.6)+(1.752615+(0-0.620568))+0-304.4-0.465732000000018</f>
        <v>436.16631499999994</v>
      </c>
      <c r="O328" s="3">
        <f>1142.3+(12.9-401.3)+(1.165146+(0.013158-0.409326))+0-305.4-0.311508000000049</f>
        <v>448.95746999999977</v>
      </c>
      <c r="P328" s="3">
        <f>1133.2+(39.1-409.8)+(0.577932+(0.019941-0.208998))+0-305.7-0.155906999999969</f>
        <v>457.03296800000004</v>
      </c>
      <c r="Q328" s="3">
        <f>1131.3+(47.5-407.3)+(0.576963+(0.024225-0.207723))+0-306-0.156059999999969</f>
        <v>465.73740500000002</v>
      </c>
      <c r="R328" s="3">
        <f>1126.3+(73.8-422.9)+(-1.723239+(-0.112914--0.647037))+0-306.2--0.468486000000018</f>
        <v>470.27937000000009</v>
      </c>
      <c r="S328" s="3">
        <f>1128.1+(47.5-406.1)+(-3.451986+(-0.14535--1.242666))+0-306.2--0.936972000000035</f>
        <v>461.88230199999987</v>
      </c>
      <c r="T328" s="3">
        <f>1128+(17.3-398.9)+(-2.30112+(-0.035292--0.813756))+0-305.3--0.622811999999987</f>
        <v>440.20015600000011</v>
      </c>
      <c r="U328" s="3">
        <f>1129.5+(25.8-411.5)+(-0.576045+(-0.013158--0.209865))+0-305.3--0.155702999999969</f>
        <v>438.27636499999994</v>
      </c>
      <c r="V328" s="3">
        <f>1132.3+(36.2-434.3)+(-0.577473+(-0.018462--0.221493))+0-304.9--0.155498999999969</f>
        <v>429.08105699999987</v>
      </c>
      <c r="W328" s="3">
        <f>1135.7+(59.6-400.8)+(-1.737621+(-0.091188--0.613224))+0-307--0.469710000000018</f>
        <v>486.75412499999999</v>
      </c>
      <c r="X328" s="3">
        <f>1138.2+(106.3-413.5)+(-1.160964+(-0.108426--0.42177))+0-306.9--0.313038000000049</f>
        <v>523.56541800000002</v>
      </c>
      <c r="Y328" s="3">
        <f>1141.6+(108-422.6)+(-1.164432+(-0.11016--0.431052))+0-308.1--0.314262000000049</f>
        <v>518.370722</v>
      </c>
      <c r="Z328" s="3">
        <f>1143.2+(99.8-431.7)+(-1.749096+(-0.152694--0.660501))+0-306.2--0.468486000000018</f>
        <v>504.32719700000007</v>
      </c>
      <c r="AA328" s="3">
        <f>1148.1+(85.3-449.8)+(1.756593+(0.130509-0.688194))+0-306.1-0.468333000000018</f>
        <v>478.23057499999982</v>
      </c>
      <c r="AB328" s="3">
        <f>1147.3+(84.9-471.2)+(-1.755369+(-0.129897--0.720936))+0-306.1--0.468333000000018</f>
        <v>454.20400300000006</v>
      </c>
      <c r="AC328" s="3">
        <f>1149+(22.2-444.6)+(-2.92995+(-0.05661--1.13373))+0-304.6--0.776729999999956</f>
        <v>420.92389999999978</v>
      </c>
      <c r="AD328">
        <f t="shared" si="5"/>
        <v>10446.092905000001</v>
      </c>
      <c r="AE328" s="3">
        <f>1140+(95.1-422.2)+(0+(0-0))+0-312.4-0</f>
        <v>500.5</v>
      </c>
    </row>
    <row r="329" spans="1:31" s="2" customFormat="1" x14ac:dyDescent="0.25">
      <c r="A329">
        <v>89</v>
      </c>
      <c r="B329">
        <v>11</v>
      </c>
      <c r="C329">
        <v>23</v>
      </c>
      <c r="D329">
        <v>1</v>
      </c>
      <c r="E329">
        <v>1</v>
      </c>
      <c r="F329" s="3">
        <f>1151.3+(2-455)+(-3.522978+(-0.00612--1.3923))+0-304.8--0.932688000000035</f>
        <v>392.29588999999999</v>
      </c>
      <c r="G329" s="3">
        <f>1152.2+(2-474.5)+(-2.350488+(-0.00408--0.96798))+0-306.3--0.624851999999987</f>
        <v>372.63826400000005</v>
      </c>
      <c r="H329" s="3">
        <f>1157+(2-491)+(-2.36028+(-0.00408--1.00164))+0-304.9--0.621995999999987</f>
        <v>362.35927600000002</v>
      </c>
      <c r="I329" s="3">
        <f>1157.4+(2-494.3)+(0+(0-0))+0-305.4-0</f>
        <v>359.70000000000016</v>
      </c>
      <c r="J329" s="3">
        <f>1159.1+(2-498.9)+(1.773423+(0.00306-0.763317))+0-304.7-0.466191000000018</f>
        <v>358.04697499999986</v>
      </c>
      <c r="K329" s="3">
        <f>1158.2+(2-464.1)+(3.544092+(0.00612-1.420146))+0-304.9-0.932994000000035</f>
        <v>392.39707200000009</v>
      </c>
      <c r="L329" s="3">
        <f>1156.9+(2-406)+(-4.130133+(-0.00714--1.44942))+0-305.8--1.091706</f>
        <v>445.50385300000005</v>
      </c>
      <c r="M329" s="3">
        <f>1158.9+(12.4-418.8)+(1.182078+(0.012648-0.427176))+0-306-0.312120000000049</f>
        <v>446.95542999999998</v>
      </c>
      <c r="N329" s="3">
        <f>1147.1+(27.7-408.5)+(-2.925105+(-0.070635--1.041675))+0-305.2--0.778259999999956</f>
        <v>459.92419499999988</v>
      </c>
      <c r="O329" s="3">
        <f>1140+(24-394.9)+(1.7442+(0.03672-0.604197))+0-305.6-0.467568000000018</f>
        <v>464.20915500000001</v>
      </c>
      <c r="P329" s="3">
        <f>1134.4+(81.3-441.3)+(0.578544+(0.041463-0.225063))+0-306-0.156059999999969</f>
        <v>468.63888400000013</v>
      </c>
      <c r="Q329" s="3">
        <f>1132.6+(83.2-440.7)+(-1.155252+(-0.084864--0.449514))+0-305.7--0.311814000000049</f>
        <v>468.92121199999991</v>
      </c>
      <c r="R329" s="3">
        <f>1130.9+(70-444.8)+(-2.883795+(-0.1785--1.13424))+0-306.7--0.782084999999956</f>
        <v>448.25403000000011</v>
      </c>
      <c r="S329" s="3">
        <f>1127.6+(33.9-419.6)+(-1.150152+(-0.034578--0.427992))+0-305.6--0.311712000000049</f>
        <v>435.85497399999986</v>
      </c>
      <c r="T329" s="3">
        <f>1126.1+(5-408.4)+(0+(0-0))+0-305.9-0</f>
        <v>416.79999999999995</v>
      </c>
      <c r="U329" s="3">
        <f>1125+(0-399.9)+(-1.72125+(0--0.611847))+0-305.3--0.467109000000018</f>
        <v>419.15770599999996</v>
      </c>
      <c r="V329" s="3">
        <f>1128.6+(1-398.2)+(-2.302344+(-0.00204--0.812328))+0-304.9--0.621995999999987</f>
        <v>425.62993999999981</v>
      </c>
      <c r="W329" s="3">
        <f>1130.6+(38-384.7)+(-0.576606+(-0.01938--0.196197))+0-305--0.155549999999969</f>
        <v>478.65576099999976</v>
      </c>
      <c r="X329" s="3">
        <f>1135.5+(122.1-407.4)+(-1.15821+(-0.124542--0.415548))+0-306--0.312120000000049</f>
        <v>543.64491600000008</v>
      </c>
      <c r="Y329" s="3">
        <f>1136.9+(121.3-447.9)+(-0.579819+(-0.061863--0.228429))+0-306--0.156059999999969</f>
        <v>504.0428070000001</v>
      </c>
      <c r="Z329" s="3">
        <f>1143.6+(102.3-483.2)+(-2.332944+(-0.208692--0.985728))+0-306--0.624239999999987</f>
        <v>455.76833199999987</v>
      </c>
      <c r="AA329" s="3">
        <f>1145.5+(53.9-482.1)+(0.584205+(0.027489-0.245871))+0-305.4-0.155753999999969</f>
        <v>412.11006900000001</v>
      </c>
      <c r="AB329" s="3">
        <f>1141.6+(16.8-485.4)+(-2.328864+(-0.034272--0.990216))+0-305.8--0.623831999999987</f>
        <v>366.45091199999996</v>
      </c>
      <c r="AC329" s="3">
        <f>1145.8+(4-399.6)+(-2.92179+(-0.0102--1.01898))+0-304.9--0.777494999999956</f>
        <v>444.1644849999999</v>
      </c>
      <c r="AD329">
        <f t="shared" si="5"/>
        <v>10342.124138000001</v>
      </c>
      <c r="AE329" s="3">
        <f>1138+(110.1-433.8)+(0+(0-0))+0-305.3-0</f>
        <v>508.99999999999994</v>
      </c>
    </row>
    <row r="330" spans="1:31" s="2" customFormat="1" x14ac:dyDescent="0.25">
      <c r="A330">
        <v>89</v>
      </c>
      <c r="B330">
        <v>11</v>
      </c>
      <c r="C330">
        <v>24</v>
      </c>
      <c r="D330">
        <v>2</v>
      </c>
      <c r="E330">
        <v>1</v>
      </c>
      <c r="F330" s="3">
        <f>1150.1+(0-395)+(-1.173102+(0--0.4029))+0-304.8--0.310896000000049</f>
        <v>449.84069399999993</v>
      </c>
      <c r="G330" s="3">
        <f>1149.1+(0-400.7)+(-2.930205+(0--1.021785))+0-306.6--0.781829999999956</f>
        <v>440.67340999999982</v>
      </c>
      <c r="H330" s="3">
        <f>1152.7+(0-420.5)+(0+(0-0))+0-307.5-0</f>
        <v>424.70000000000005</v>
      </c>
      <c r="I330" s="3">
        <f>1151.7+(0-424.7)+(-1.762101+(0--0.649791))+0-307.5--0.470475000000018</f>
        <v>418.85816500000004</v>
      </c>
      <c r="J330" s="3">
        <f>1156.2+(0-422.7)+(2.358648+(0-0.862308))+0-307.1-0.626483999999987</f>
        <v>427.269856</v>
      </c>
      <c r="K330" s="3">
        <f>1156.6+(0-394.4)+(0+(0-0))+0-306.3-0</f>
        <v>455.89999999999992</v>
      </c>
      <c r="L330" s="3">
        <f>1138.7+(0-347.6)+(0.580737+(0-0.177276))+0-304.9-0.155498999999969</f>
        <v>486.44796200000008</v>
      </c>
      <c r="M330" s="3">
        <f>1137.5+(1.1-340.3)+(0+(0-0))+0-304.5-0</f>
        <v>493.79999999999995</v>
      </c>
      <c r="N330" s="3">
        <f>1130.7+(0-323.2)+(0+(0-0))+0-304.8-0</f>
        <v>502.7</v>
      </c>
      <c r="O330" s="3">
        <f>1124.6+(30.5-329.3)+(-0.573546+(-0.015555--0.167943))+0-304.7--0.155396999999969</f>
        <v>520.83423900000003</v>
      </c>
      <c r="P330" s="3">
        <f>1123.8+(71.6-350.2)+(-1.719414+(-0.109548--0.535806))+0-305.1--0.466803000000018</f>
        <v>539.27364699999998</v>
      </c>
      <c r="Q330" s="3">
        <f>1118+(79.2-351.3)+(-1.71054+(-0.121176--0.537489))+0-305--0.466650000000018</f>
        <v>540.07242300000007</v>
      </c>
      <c r="R330" s="3">
        <f>1135.1+(93.5-347.8)+(-3.473406+(-0.28611--1.064268))+0-305.4--0.934524000000035</f>
        <v>573.639276</v>
      </c>
      <c r="S330" s="3">
        <f>1131.8+(89.6-342.6)+(0.577218+(0.045696-0.174726))+0-304.4-0.155243999999969</f>
        <v>574.69294400000001</v>
      </c>
      <c r="T330" s="3">
        <f>1133+(82-348.3)+(-3.46698+(-0.25092--1.065798))+0-304.7--0.932382000000035</f>
        <v>560.28028000000006</v>
      </c>
      <c r="U330" s="3">
        <f>1131+(74.2-348.9)+(-0.57681+(-0.037842--0.177939))+0-304.8--0.155447999999969</f>
        <v>551.21873499999992</v>
      </c>
      <c r="V330" s="3">
        <f>1138.9+(51.7-326.6)+(-2.323356+(-0.105468--0.666264))+0-303.8--0.619751999999987</f>
        <v>559.05719199999987</v>
      </c>
      <c r="W330" s="3">
        <f>1140.5+(84.8-295.5)+(0.581655+(0.043248-0.150705))+0-304.4-0.155243999999969</f>
        <v>625.71895400000005</v>
      </c>
      <c r="X330" s="3">
        <f>1146.8+(152.3-318.3)+(0+(0-0))+0-305.6-0</f>
        <v>675.19999999999993</v>
      </c>
      <c r="Y330" s="3">
        <f>1147.5+(140.5-340.3)+(-3.51135+(-0.42993--1.041318))+0-306.3--0.937278000000035</f>
        <v>639.43731600000012</v>
      </c>
      <c r="Z330" s="3">
        <f>1148.3+(95.5-314.8)+(-1.756899+(-0.146115--0.481644))+0-305.6--0.467568000000018</f>
        <v>622.44619799999998</v>
      </c>
      <c r="AA330" s="3">
        <f>1150.8+(75.6-337.4)+(-2.347632+(-0.154224--0.688296))+0-305.1--0.622403999999987</f>
        <v>582.70884399999989</v>
      </c>
      <c r="AB330" s="3">
        <f>1152.3+(7.7-299.9)+(-1.175346+(-0.007854--0.305898))+0-304.7--0.310794000000049</f>
        <v>554.83349200000009</v>
      </c>
      <c r="AC330" s="3">
        <f>1071.2+(6.2-256.5)+(-3.277872+(-0.018972--0.78489))+0-303.8--0.929628000000035</f>
        <v>515.51767400000006</v>
      </c>
      <c r="AD330">
        <f t="shared" si="5"/>
        <v>12735.121301000001</v>
      </c>
      <c r="AE330" s="3">
        <f>1148+(141.9-336.2)+(0+(0-0))+0-304.7-0</f>
        <v>649</v>
      </c>
    </row>
    <row r="331" spans="1:31" s="2" customFormat="1" x14ac:dyDescent="0.25">
      <c r="A331">
        <v>89</v>
      </c>
      <c r="B331">
        <v>11</v>
      </c>
      <c r="C331">
        <v>25</v>
      </c>
      <c r="D331">
        <v>3</v>
      </c>
      <c r="E331">
        <v>1</v>
      </c>
      <c r="F331" s="3">
        <f>996.2+(0-261.4)+(-3.048372+(0--0.799884))+0-304.2--0.930852000000035</f>
        <v>429.28236400000014</v>
      </c>
      <c r="G331" s="3">
        <f>994.4+(0-281.1)+(0.507144+(0-0.143361))+0-306.3-0.156212999999969</f>
        <v>407.20756999999998</v>
      </c>
      <c r="H331" s="3">
        <f>1000.9+(0-301.2)+(-0.510459+(0--0.153612))+0-306.1--0.156110999999969</f>
        <v>393.39926399999996</v>
      </c>
      <c r="I331" s="3">
        <f>1001.8+(0-304.3)+(0+(0-0))+0-305.5-0</f>
        <v>392</v>
      </c>
      <c r="J331" s="3">
        <f>1003.2+(0-298)+(-0.511632+(0--0.15198))+0-306.5--0.156314999999969</f>
        <v>398.49666300000001</v>
      </c>
      <c r="K331" s="3">
        <f>1000.6+(6.6-279.7)+(0+(0-0))+0-305.3-0</f>
        <v>422.2</v>
      </c>
      <c r="L331" s="3">
        <f>1051.7+(10.5-291.7)+(-0.536367+(-0.005355--0.148767))+0-304.5--0.155294999999969</f>
        <v>465.76233999999994</v>
      </c>
      <c r="M331" s="3">
        <f>1155.2+(0-387.1)+(-0.589152+(0--0.197421))+0-304.3--0.155192999999969</f>
        <v>463.56346199999996</v>
      </c>
      <c r="N331" s="3">
        <f>1144.7+(40.1-410.7)+(0.583797+(0.020451-0.209457))+0-304.9-0.155498999999969</f>
        <v>469.43929200000025</v>
      </c>
      <c r="O331" s="3">
        <f>1145+(55.6-419.3)+(-2.3358+(-0.113424--0.855372))+0-307--0.626279999999987</f>
        <v>473.33242799999999</v>
      </c>
      <c r="P331" s="3">
        <f>1142.1+(54-402.8)+(-1.164942+(-0.05508--0.410856))+0-307.2--0.313344000000049</f>
        <v>485.60417799999999</v>
      </c>
      <c r="Q331" s="3">
        <f>1133.4+(58.6-386)+(1.156068+(0.059772-0.39372))+0-308.1-0.314262000000049</f>
        <v>498.40785800000009</v>
      </c>
      <c r="R331" s="3">
        <f>1129.2+(66.1-383.5)+(-2.87946+(-0.168555--0.977925))+0-307.3--0.783614999999955</f>
        <v>503.21352499999995</v>
      </c>
      <c r="S331" s="3">
        <f>1123.6+(53.2-373.9)+(-1.146072+(-0.054264--0.381378))+0-307.6--0.313752000000049</f>
        <v>494.79479399999991</v>
      </c>
      <c r="T331" s="3">
        <f>1123.4+(10.6-409.6)+(-0.572934+(-0.005406--0.208896))+0-237.1--0.120920999999976</f>
        <v>487.05147699999998</v>
      </c>
      <c r="U331" s="3">
        <f>1124.9+(22.1-352.6)+(0.573699+(0.011271-0.179826))+0-311-0.158609999999968</f>
        <v>483.64653400000009</v>
      </c>
      <c r="V331" s="3">
        <f>1129.2+(49.5-374.9)+(0+(0-0))+0-309.8-0</f>
        <v>494.00000000000006</v>
      </c>
      <c r="W331" s="3">
        <f>1134.6+(143.1-441.1)+(-1.735938+(-0.218943--0.674883))+0-310.3--0.474759000000018</f>
        <v>525.49476100000004</v>
      </c>
      <c r="X331" s="3">
        <f>1135.8+(232.6-495.7)+(-1.737774+(-0.355878--0.758421))+0-310.6--0.475218000000018</f>
        <v>561.23998699999993</v>
      </c>
      <c r="Y331" s="3">
        <f>1141.2+(215.2-497.6)+(-1.746036+(-0.329256--0.761328))+0-311.3--0.476289000000018</f>
        <v>546.6623249999999</v>
      </c>
      <c r="Z331" s="3">
        <f>1141.6+(177.9-476.1)+(-2.328864+(-0.362916--0.971244))+0-311.7--0.635867999999986</f>
        <v>530.61533199999974</v>
      </c>
      <c r="AA331" s="3">
        <f>1147.3+(154.9-477.3)+(-2.340492+(-0.315996--0.973692))+0-312.3--0.637091999999986</f>
        <v>511.55429599999991</v>
      </c>
      <c r="AB331" s="3">
        <f>1149.9+(64.6-410.6)+(-0.586449+(-0.032946--0.209406))+0-309.5--0.157844999999969</f>
        <v>494.14785600000005</v>
      </c>
      <c r="AC331" s="3">
        <f>1150.7+(38.1-413.8)+(-5.281713+(-0.174879--1.899342))+0-309.6--1.42106400000005</f>
        <v>463.26381400000008</v>
      </c>
      <c r="AD331">
        <f t="shared" si="5"/>
        <v>11394.380119999998</v>
      </c>
      <c r="AE331" s="3">
        <f>1139+(224.1-490.9)+(0+(0-0))+0-310.5-0</f>
        <v>561.70000000000005</v>
      </c>
    </row>
    <row r="332" spans="1:31" s="2" customFormat="1" x14ac:dyDescent="0.25">
      <c r="A332">
        <v>89</v>
      </c>
      <c r="B332">
        <v>11</v>
      </c>
      <c r="C332">
        <v>26</v>
      </c>
      <c r="D332">
        <v>4</v>
      </c>
      <c r="E332">
        <v>1</v>
      </c>
      <c r="F332" s="3">
        <f>1155.2+(7.7-425.5)+(-1.767456+(-0.011781--0.651015))+0-308.9--0.472617000000018</f>
        <v>427.84439500000008</v>
      </c>
      <c r="G332" s="3">
        <f>1153.7+(0-441.5)+(-1.765161+(0--0.675495))+0-309.6--0.473688000000018</f>
        <v>401.9840220000001</v>
      </c>
      <c r="H332" s="3">
        <f>1156.3+(0-456.9)+(0.589713+(0-0.233019))+0-309.3-0.157742999999969</f>
        <v>390.29895099999993</v>
      </c>
      <c r="I332" s="3">
        <f>1156.2+(0-460.6)+(-1.768986+(0--0.704718))+0-309.4--0.473382000000018</f>
        <v>385.60911400000009</v>
      </c>
      <c r="J332" s="3">
        <f>1155+(0-453.2)+(0.58905+(0-0.231132))+0-308.4-0.157283999999969</f>
        <v>393.60063400000007</v>
      </c>
      <c r="K332" s="3">
        <f>1157.5+(0-427.8)+(-0.590325+(0--0.218178))+0-309.1--0.157640999999969</f>
        <v>420.38549399999994</v>
      </c>
      <c r="L332" s="3">
        <f>1160.1+(8.9-391.3)+(-1.183302+(-0.009078--0.399126))+0-308--0.314160000000049</f>
        <v>469.22090599999984</v>
      </c>
      <c r="M332" s="3">
        <f>1160.6+(26-403.8)+(-0.591906+(-0.01326--0.205938))+0-307--0.156569999999969</f>
        <v>475.55734199999995</v>
      </c>
      <c r="N332" s="3">
        <f>1143.4+(40.5-399.6)+(2.332536+(0.08262-0.815184))+0-308.2-0.628727999999987</f>
        <v>477.07124400000009</v>
      </c>
      <c r="O332" s="3">
        <f>1137.9+(43.7-389.3)+(-1.160658+(-0.044574--0.397086))+0-308.8--0.314976000000049</f>
        <v>483.00683000000015</v>
      </c>
      <c r="P332" s="3">
        <f>1138+(51.6-380.4)+(-0.58038+(-0.026316--0.194004))+0-309.3--0.157742999999969</f>
        <v>499.64505100000002</v>
      </c>
      <c r="Q332" s="3">
        <f>1133.9+(58.2-376.6)+(-2.313156+(-0.118728--0.768264))+0-309.6--0.631583999999986</f>
        <v>504.86796399999992</v>
      </c>
      <c r="R332" s="3">
        <f>1127.5+(28.9-330.2)+(-3.45015+(-0.088434--1.010412))+0-309.8--0.947988000000036</f>
        <v>514.81981600000006</v>
      </c>
      <c r="S332" s="3">
        <f>1124.6+(21.6-319.8)+(-1.147092+(-0.022032--0.326196))+0-309.2--0.315384000000049</f>
        <v>516.67245599999978</v>
      </c>
      <c r="T332" s="3">
        <f>1121.2+(20.9-330.2)+(0+(0-0))+0-309.6-0</f>
        <v>502.30000000000007</v>
      </c>
      <c r="U332" s="3">
        <f>1124.3+(21.5-338.1)+(-1.146786+(-0.02193--0.344862))+0-307.6--0.313752000000049</f>
        <v>499.58989799999995</v>
      </c>
      <c r="V332" s="3">
        <f>1125.4+(45-360.8)+(0+(0-0))+0-308-0</f>
        <v>501.60000000000014</v>
      </c>
      <c r="W332" s="3">
        <f>1128.6+(95.1-371.9)+(0+(0-0))+0-309.8-0</f>
        <v>542</v>
      </c>
      <c r="X332" s="3">
        <f>1138.1+(122.3-369.3)+(-1.160862+(-0.124746--0.376686))+0-309.1--0.315282000000049</f>
        <v>581.40635999999995</v>
      </c>
      <c r="Y332" s="3">
        <f>1138.3+(115.2-378.5)+(-3.483198+(-0.352512--1.15821))+0-309.5--0.947070000000036</f>
        <v>563.76957000000004</v>
      </c>
      <c r="Z332" s="3">
        <f>1140.9+(96.2-384.4)+(-2.909295+(-0.24531--0.98022))+0-310.6--0.792029999999955</f>
        <v>540.71764499999995</v>
      </c>
      <c r="AA332" s="3">
        <f>1147.9+(67.5-367.2)+(-2.341716+(-0.1377--0.749088))+0-309.6--0.631583999999986</f>
        <v>537.50125600000001</v>
      </c>
      <c r="AB332" s="3">
        <f>1151.2+(1.3-343.8)+(-1.174224+(-0.001326--0.350676))+0-307.6--0.313752000000049</f>
        <v>500.58887800000002</v>
      </c>
      <c r="AC332" s="3">
        <f>1152.5+(0-364.6)+(-2.938875+(0--0.92973))+0-308.2--0.785909999999955</f>
        <v>478.47676499999994</v>
      </c>
      <c r="AD332">
        <f t="shared" si="5"/>
        <v>11608.534591000001</v>
      </c>
      <c r="AE332" s="3">
        <f>1140+(107.1-367.5)+(0+(0-0))+0-312.3-0</f>
        <v>567.29999999999995</v>
      </c>
    </row>
    <row r="333" spans="1:31" s="2" customFormat="1" x14ac:dyDescent="0.25">
      <c r="A333">
        <v>89</v>
      </c>
      <c r="B333">
        <v>11</v>
      </c>
      <c r="C333">
        <v>27</v>
      </c>
      <c r="D333">
        <v>5</v>
      </c>
      <c r="E333">
        <v>3</v>
      </c>
      <c r="F333" s="3">
        <f>1146.8+(0-396.8)+(-2.92434+(0--1.01184))+0-307.3--0.783614999999955</f>
        <v>441.57111499999991</v>
      </c>
      <c r="G333" s="3">
        <f>1154.3+(0-432.2)+(-1.766079+(0--0.661266))+0-308.6--0.472158000000018</f>
        <v>412.86734499999989</v>
      </c>
      <c r="H333" s="3">
        <f>1155.2+(0-447.1)+(-3.534912+(0--1.368126))+0-309.3--0.946458000000036</f>
        <v>397.57967200000007</v>
      </c>
      <c r="I333" s="3">
        <f>1158.8+(0-455.9)+(0.590988+(0-0.232509))+0-308.5-0.157334999999969</f>
        <v>394.60114399999998</v>
      </c>
      <c r="J333" s="3">
        <f>1123.5+(0-415)+(2.29194+(0-0.8466))+0-309-0.630359999999986</f>
        <v>400.31497999999999</v>
      </c>
      <c r="K333" s="3">
        <f>1114+(0-376.2)+(3.40884+(0-1.151172))+0-308.3-0.943398000000036</f>
        <v>430.81426999999985</v>
      </c>
      <c r="L333" s="3">
        <f>1117.2+(23.3-354.8)+(-2.84886+(-0.059415--0.90474))+0-307.4--0.783869999999955</f>
        <v>477.08033499999999</v>
      </c>
      <c r="M333" s="3">
        <f>1111+(33.7-356)+(1.13322+(0.034374-0.36312))+0-307.9-0.314058000000049</f>
        <v>481.29041600000005</v>
      </c>
      <c r="N333" s="3">
        <f>1136.7+(29.3-364.2)+(1.739151+(0.044829-0.557226))+0-308.4-0.471852000000018</f>
        <v>494.15490200000011</v>
      </c>
      <c r="O333" s="3">
        <f>1141.3+(87.8-429)+(1.746189+(0.134334-0.65637))+0-308.5-0.472005000000018</f>
        <v>492.35214799999989</v>
      </c>
      <c r="P333" s="3">
        <f>1138.1+(100.6-428.9)+(-2.321724+(-0.205224--0.874956))+0-308.9--0.630155999999987</f>
        <v>499.87816400000003</v>
      </c>
      <c r="Q333" s="3">
        <f>1130.1+(83.7-398.6)+(-2.305404+(-0.170748--0.813144))+0-310.1--0.632603999999987</f>
        <v>504.06959599999982</v>
      </c>
      <c r="R333" s="3">
        <f>1124.9+(45.7-347.4)+(-2.868495+(-0.116535--0.88587))+0-308--0.785399999999955</f>
        <v>513.88624000000004</v>
      </c>
      <c r="S333" s="3">
        <f>1119.3+(47.8-343.2)+(-1.712529+(-0.073134--0.525096))+0-308.4--0.471852000000018</f>
        <v>514.71128499999998</v>
      </c>
      <c r="T333" s="3">
        <f>1120.8+(54-365.7)+(-0.571608+(-0.02754--0.186507))+0-308.9--0.157538999999969</f>
        <v>499.94489799999991</v>
      </c>
      <c r="U333" s="3">
        <f>1123.2+(47-366.6)+(-2.86416+(-0.11985--0.93483))+0-308.8--0.787439999999955</f>
        <v>493.53825999999998</v>
      </c>
      <c r="V333" s="3">
        <f>1124.2+(47.7-359.7)+(0+(0-0))+0-310-0</f>
        <v>502.20000000000005</v>
      </c>
      <c r="W333" s="3">
        <f>1128.6+(71.8-363.1)+(-2.302344+(-0.146472--0.740724))+0-310.1--0.632603999999987</f>
        <v>526.12451199999998</v>
      </c>
      <c r="X333" s="3">
        <f>1132.5+(114.6-364.1)+(-5.198175+(-0.526014--1.671219))+0-311.5--1.42978500000005</f>
        <v>568.87681500000008</v>
      </c>
      <c r="Y333" s="3">
        <f>1137.5+(130.8-402.5)+(-0.580125+(-0.066708--0.205275))+0-311.3--0.158762999999968</f>
        <v>554.21720500000004</v>
      </c>
      <c r="Z333" s="3">
        <f>1137.5+(107.6-399.6)+(-5.221125+(-0.493884--1.834164))+0-310.7--1.42611300000005</f>
        <v>532.34526800000015</v>
      </c>
      <c r="AA333" s="3">
        <f>1139.8+(81.4-397.7)+(-0.581298+(-0.041514--0.202827))+0-310.3--0.158252999999969</f>
        <v>512.93826799999999</v>
      </c>
      <c r="AB333" s="3">
        <f>1142.2+(56.2-399.9)+(-2.91261+(-0.14331--1.019745))+0-309.8--0.789989999999955</f>
        <v>487.45381499999996</v>
      </c>
      <c r="AC333" s="3">
        <f>1145.9+(17.3-386.4)+(-2.922045+(-0.044115--0.98532))+0-308.5--0.786674999999955</f>
        <v>467.10583500000018</v>
      </c>
      <c r="AD333">
        <f t="shared" si="5"/>
        <v>11599.916488000001</v>
      </c>
      <c r="AE333" s="3">
        <f>1134+(138.1-367.5)+(0+(0-0))+0-314.1-0</f>
        <v>590.5</v>
      </c>
    </row>
    <row r="334" spans="1:31" s="2" customFormat="1" x14ac:dyDescent="0.25">
      <c r="A334">
        <v>89</v>
      </c>
      <c r="B334">
        <v>11</v>
      </c>
      <c r="C334">
        <v>28</v>
      </c>
      <c r="D334">
        <v>6</v>
      </c>
      <c r="E334">
        <v>6</v>
      </c>
      <c r="F334" s="3">
        <f>1146.4+(0-394.2)+(-0.584664+(0--0.201042))+0-308.2--0.157181999999969</f>
        <v>443.77356000000009</v>
      </c>
      <c r="G334" s="3">
        <f>1143.7+(0-417.5)+(0+(0-0))+0-309.6-0</f>
        <v>416.6</v>
      </c>
      <c r="H334" s="3">
        <f>1149.3+(0-430.4)+(-2.344572+(0--0.878016))+0-310--0.632399999999986</f>
        <v>408.06584399999997</v>
      </c>
      <c r="I334" s="3">
        <f>1148+(0-437.6)+(2.9274+(0-1.11588))+0-310.4-0.791519999999955</f>
        <v>401.02000000000004</v>
      </c>
      <c r="J334" s="3">
        <f>1155.8+(0-453.7)+(-1.178916+(0--0.462774))+0-309.4--0.315588000000049</f>
        <v>392.29944599999999</v>
      </c>
      <c r="K334" s="3">
        <f>1155.2+(0-428)+(0.589152+(0-0.21828))+0-309.6-0.157895999999969</f>
        <v>417.81297599999999</v>
      </c>
      <c r="L334" s="3">
        <f>1154.3+(11.2-390.3)+(-1.766079+(-0.017136--0.597159))+0-309.5--0.473535000000018</f>
        <v>464.98747899999995</v>
      </c>
      <c r="M334" s="3">
        <f>1149.4+(11.4-383.9)+(0+(0-0))+0-308.8-0</f>
        <v>468.10000000000008</v>
      </c>
      <c r="N334" s="3">
        <f>1144.4+(44-395.2)+(0.583644+(0.02244-0.201552))+0-310.8-0.158507999999968</f>
        <v>482.64602400000007</v>
      </c>
      <c r="O334" s="3">
        <f>1135.8+(102.4-432.7)+(1.737774+(0.156672-0.662031))+0-311.1-0.475983000000018</f>
        <v>495.15643199999988</v>
      </c>
      <c r="P334" s="3">
        <f>1127.8+(135.2-437.6)+(-2.87589+(-0.34476--1.11588))+0-310.6--0.792029999999955</f>
        <v>513.48725999999976</v>
      </c>
      <c r="Q334" s="3">
        <f>1129.2+(135.5-434.2)+(-2.87946+(-0.345525--1.10721))+0-310.6--0.792029999999955</f>
        <v>518.57425499999988</v>
      </c>
      <c r="R334" s="3">
        <f>1129.2+(110.6-411.4)+(-4.031244+(-0.394842--1.468698))+0-310--1.1067</f>
        <v>516.5493120000001</v>
      </c>
      <c r="S334" s="3">
        <f>1129.2+(81.8-377.4)+(-0.575892+(-0.041718--0.192474))+0-309.6--0.157895999999969</f>
        <v>523.7327600000001</v>
      </c>
      <c r="T334" s="3">
        <f>1129.2+(78.9-386.8)+(-1.727676+(-0.120717--0.591804))+0-309.4--0.473382000000018</f>
        <v>511.11679300000014</v>
      </c>
      <c r="U334" s="3">
        <f>1129.2+(82.1-393.8)+(-2.87946+(-0.209355--1.00419))+0-308.6--0.786929999999955</f>
        <v>507.60230499999994</v>
      </c>
      <c r="V334" s="3">
        <f>1116.8+(88.7-413.8)+(0+(0-0))+0-308.4-0</f>
        <v>483.29999999999995</v>
      </c>
      <c r="W334" s="3">
        <f>1125.2+(70.1-378.9)+(-1.147704+(-0.071502--0.386478))+0-308.9--0.315078000000049</f>
        <v>506.98235000000017</v>
      </c>
      <c r="X334" s="3">
        <f>1127.4+(94.5-344.2)+(-2.299896+(-0.19278--0.702168))+0-310.9--0.634235999999986</f>
        <v>565.64372800000001</v>
      </c>
      <c r="Y334" s="3">
        <f>1128.6+(78.9-357)+(-1.726758+(-0.120717--0.54621))+0-309.6--0.473688000000018</f>
        <v>540.07242299999996</v>
      </c>
      <c r="Z334" s="3">
        <f>1133.6+(64.3-367.6)+(-0.578136+(-0.032793--0.187476))+0-310.5--0.158354999999968</f>
        <v>519.53490199999987</v>
      </c>
      <c r="AA334" s="3">
        <f>1135.4+(52-386.2)+(-1.737162+(-0.07956--0.590886))+0-309.4--0.473382000000018</f>
        <v>491.04754600000012</v>
      </c>
      <c r="AB334" s="3">
        <f>1139.2+(33.8-388.1)+(-3.485952+(-0.103428--1.187586))+0-308.7--0.944622000000036</f>
        <v>474.74282800000015</v>
      </c>
      <c r="AC334" s="3">
        <f>1139.7+(7.1-405.4)+(-2.906235+(-0.018105--1.03377))+0-307.9--0.785144999999955</f>
        <v>432.39457500000003</v>
      </c>
      <c r="AD334">
        <f t="shared" si="5"/>
        <v>11495.242797999999</v>
      </c>
      <c r="AE334" s="3">
        <f>1131+(82.9-361)+(0+(0-0))+0-308.8-0</f>
        <v>544.09999999999991</v>
      </c>
    </row>
    <row r="335" spans="1:31" s="2" customFormat="1" x14ac:dyDescent="0.25">
      <c r="A335">
        <v>89</v>
      </c>
      <c r="B335">
        <v>11</v>
      </c>
      <c r="C335">
        <v>29</v>
      </c>
      <c r="D335">
        <v>7</v>
      </c>
      <c r="E335">
        <v>1</v>
      </c>
      <c r="F335" s="3">
        <f>1145.8+(0-401.4)+(-2.92179+(0--1.02357))+0-308--0.785399999999955</f>
        <v>435.28717999999992</v>
      </c>
      <c r="G335" s="3">
        <f>1144.2+(0-407.6)+(-2.334168+(0--0.831504))+0-310.7--0.633827999999986</f>
        <v>425.03116400000005</v>
      </c>
      <c r="H335" s="3">
        <f>1147.3+(0-423.3)+(-1.755369+(0--0.647649))+0-310.4--0.474912000000018</f>
        <v>412.96719200000007</v>
      </c>
      <c r="I335" s="3">
        <f>1144.9+(0-430)+(-2.335596+(0--0.8772))+0-309.8--0.631991999999986</f>
        <v>404.27359600000005</v>
      </c>
      <c r="J335" s="3">
        <f>1125.8+(0-422.7)+(0.574158+(0-0.215577))+0-309.3-0.157742999999969</f>
        <v>394.00083799999987</v>
      </c>
      <c r="K335" s="3">
        <f>999.5+(23.1-304.1)+(0.509745+(0.011781-0.155091))+0-309.5-0.157844999999969</f>
        <v>409.20859000000007</v>
      </c>
      <c r="L335" s="3">
        <f>992.7+(43.1-305.6)+(-2.531385+(-0.109905--0.77928))+0-310.3--0.791264999999955</f>
        <v>418.82925499999993</v>
      </c>
      <c r="M335" s="3">
        <f>1010.5+(60.3-318.6)+(-1.546065+(-0.092259--0.487458))+0-309.6--0.473688000000018</f>
        <v>441.92282200000011</v>
      </c>
      <c r="N335" s="3">
        <f>1051.5+(69.8-351.9)+(-1.608795+(-0.106794--0.538407))+0-308.3--0.471699000000018</f>
        <v>460.39451700000006</v>
      </c>
      <c r="O335" s="3">
        <f>1123.4+(75.2-348.5)+(0.572934+(0.038352-0.177735))+0-309.1-0.157640999999969</f>
        <v>541.27591000000007</v>
      </c>
      <c r="P335" s="3">
        <f>1121.6+(94.6-374.7)+(-0.572016+(-0.048246--0.191097))+0-309.6--0.157895999999969</f>
        <v>531.62873099999979</v>
      </c>
      <c r="Q335" s="3">
        <f>1118.8+(88.5-352.3)+(-2.282352+(-0.18054--0.718692))+0-310.8--0.634031999999987</f>
        <v>543.08983199999989</v>
      </c>
      <c r="R335" s="3">
        <f>1113.5+(68.7-329)+(-2.27154+(-0.140148--0.67116))+0-309.4--0.631175999999986</f>
        <v>542.69064800000001</v>
      </c>
      <c r="S335" s="3">
        <f>1115.1+(37.4-343.7)+(-2.843505+(-0.09537--0.876435))+0-309.2--0.788459999999955</f>
        <v>498.32601999999986</v>
      </c>
      <c r="T335" s="3">
        <f>1112.8+(37.5-358)+(-1.702584+(-0.057375--0.54774))+0-309.2--0.473076000000018</f>
        <v>482.36085699999995</v>
      </c>
      <c r="U335" s="3">
        <f>1116.1+(29.3-351.8)+(-2.276844+(-0.059772--0.717672))+0-308.4--0.629135999999986</f>
        <v>484.21019199999984</v>
      </c>
      <c r="V335" s="3">
        <f>1115.2+(32.8-346.8)+(-1.137504+(-0.033456--0.353736))+0-307.5--0.313650000000049</f>
        <v>493.19642600000009</v>
      </c>
      <c r="W335" s="3">
        <f>1124+(49.9-342.7)+(-1.71972+(-0.076347--0.524331))+0-308.3--0.471699000000018</f>
        <v>522.099963</v>
      </c>
      <c r="X335" s="3">
        <f>1126.5+(137.3-386.5)+(-2.29806+(-0.280092--0.78846))+0-309.5--0.631379999999987</f>
        <v>566.64168800000004</v>
      </c>
      <c r="Y335" s="3">
        <f>1130.2+(139.2-404.1)+(-2.88201+(-0.35496--1.030455))+0-309--0.787949999999955</f>
        <v>554.8814349999999</v>
      </c>
      <c r="Z335" s="3">
        <f>1131.3+(126.1-411.6)+(-1.153926+(-0.128622--0.419832))+0-309--0.315180000000049</f>
        <v>536.25246400000003</v>
      </c>
      <c r="AA335" s="3">
        <f>1133.4+(122.3-429.1)+(0.578034+(0.062373-0.218841))+0-308.5-0.157334999999969</f>
        <v>518.36423100000013</v>
      </c>
      <c r="AB335" s="3">
        <f>1138.6+(93.1-427.2)+(-2.322744+(-0.189924--0.871488))+0-307.9--0.628115999999986</f>
        <v>495.58693599999992</v>
      </c>
      <c r="AC335" s="3">
        <f>1137.7+(78.2-423.1)+(-2.901135+(-0.19941--1.078905))+0-307.5--0.784124999999955</f>
        <v>484.06248499999987</v>
      </c>
      <c r="AD335">
        <f t="shared" si="5"/>
        <v>11596.582971999997</v>
      </c>
      <c r="AE335" s="3">
        <f>1126+(123.9-425.9)+(0+(0-0))+0-307.6-0</f>
        <v>516.4</v>
      </c>
    </row>
    <row r="336" spans="1:31" s="2" customFormat="1" x14ac:dyDescent="0.25">
      <c r="A336">
        <v>89</v>
      </c>
      <c r="B336">
        <v>11</v>
      </c>
      <c r="C336">
        <v>30</v>
      </c>
      <c r="D336">
        <v>1</v>
      </c>
      <c r="E336">
        <v>1</v>
      </c>
      <c r="F336" s="3">
        <f>1144.3+(32.9-445.6)+(-1.750779+(-0.050337--0.681768))+0-307.1--0.469863000000018</f>
        <v>423.85051499999997</v>
      </c>
      <c r="G336" s="3">
        <f>1144.1+(0-436.8)+(-2.917455+(0--1.11384))+0-308.1--0.785654999999955</f>
        <v>398.18203999999986</v>
      </c>
      <c r="H336" s="3">
        <f>1148+(0-441.2)+(0.58548+(0-0.225012))+0-309.1-0.157640999999969</f>
        <v>397.90282699999995</v>
      </c>
      <c r="I336" s="3">
        <f>1149.4+(0-450.1)+(-0.586194+(0--0.229551))+0-308.6--0.157385999999969</f>
        <v>390.50074300000006</v>
      </c>
      <c r="J336" s="3">
        <f>1148.3+(0-445)+(2.342532+(0-0.9078))+0-309-0.630359999999986</f>
        <v>395.10437200000001</v>
      </c>
      <c r="K336" s="3">
        <f>1148.3+(0-418.4)+(1.171266+(0-0.426768))+0-308.8-0.314976000000049</f>
        <v>421.52952199999993</v>
      </c>
      <c r="L336" s="3">
        <f>1146.9+(32.1-385.1)+(0+(0-0))+0-308.8-0</f>
        <v>485.10000000000008</v>
      </c>
      <c r="M336" s="3">
        <f>1150.1+(57.1-406.3)+(0+(0-0))+0-308.7-0</f>
        <v>492.19999999999987</v>
      </c>
      <c r="N336" s="3">
        <f>1138.9+(79.3-416.3)+(2.323356+(0.161772-0.849252))+0-308-0.628319999999987</f>
        <v>494.90755600000017</v>
      </c>
      <c r="O336" s="3">
        <f>1137.5+(47.1-543.2)+(-0.580125+(-0.024021--0.277032))+0-141.7--0.0722669999999856</f>
        <v>499.44515299999995</v>
      </c>
      <c r="P336" s="3">
        <f>1129.3+(96.9-391.6)+(-1.727829+(-0.148257--0.599148))+0-312.9--0.478737000000018</f>
        <v>520.90179899999998</v>
      </c>
      <c r="Q336" s="3">
        <f>1125.4+(99.3-399.3)+(-0.573954+(-0.050643--0.203643))+0-311.6--0.158915999999968</f>
        <v>513.53796199999999</v>
      </c>
      <c r="R336" s="3">
        <f>1118.8+(76.7-387.2)+(-0.570588+(-0.039117--0.197472))+0-310.8--0.158507999999968</f>
        <v>497.24627499999991</v>
      </c>
      <c r="S336" s="3">
        <f>1118.4+(58.6-364.7)+(-2.85192+(-0.14943--0.929985))+0-311.3--0.793814999999955</f>
        <v>499.72245000000009</v>
      </c>
      <c r="T336" s="3">
        <f>1112.7+(33.7-337.6)+(-0.567477+(-0.017187--0.172176))+0-310--0.158099999999969</f>
        <v>498.54561199999989</v>
      </c>
      <c r="U336" s="3">
        <f>1115.6+(27.1-338.5)+(-1.706868+(-0.041463--0.517905))+0-310.3--0.474759000000018</f>
        <v>493.14433299999996</v>
      </c>
      <c r="V336" s="3">
        <f>1116.7+(26.3-339.2)+(-2.278068+(-0.053652--0.691968))+0-309.7--0.631787999999986</f>
        <v>493.09203600000001</v>
      </c>
      <c r="W336" s="3">
        <f>1122.8+(43.7-339.3)+(-2.290512+(-0.089148--0.692172))+0-311.2--0.634847999999986</f>
        <v>514.94736</v>
      </c>
      <c r="X336" s="3">
        <f>1124.8+(99.4-361.2)+(-1.720944+(-0.152082--0.552636))+0-312.8--0.478584000000018</f>
        <v>549.35819400000003</v>
      </c>
      <c r="Y336" s="3">
        <f>1133.7+(94.9-391)+(-2.890935+(-0.241995--0.99705))+0-312.2--0.796109999999955</f>
        <v>524.06023000000005</v>
      </c>
      <c r="Z336" s="3">
        <f>1134.5+(58.8-373.3)+(-1.735785+(-0.089964--0.571149))+0-310.6--0.475218000000018</f>
        <v>508.62061800000004</v>
      </c>
      <c r="AA336" s="3">
        <f>1137.6+(30.4-362.2)+(-1.740528+(-0.046512--0.554166))+0-310.9--0.475677000000018</f>
        <v>494.14280299999996</v>
      </c>
      <c r="AB336" s="3">
        <f>1138.5+(7.7-361.6)+(-2.903175+(-0.019635--0.92208))+0-309.7--0.789734999999955</f>
        <v>473.6890049999999</v>
      </c>
      <c r="AC336" s="3">
        <f>1141.7+(0-378.5)+(-2.911335+(0--0.965175))+0-309.7--0.789734999999955</f>
        <v>452.34357500000004</v>
      </c>
      <c r="AD336">
        <f t="shared" si="5"/>
        <v>11432.074980000001</v>
      </c>
      <c r="AE336" s="3">
        <f>1129+(109-385.5)+(0+(0-0))+0-311.7-0</f>
        <v>540.79999999999995</v>
      </c>
    </row>
    <row r="337" spans="1:31" s="2" customFormat="1" x14ac:dyDescent="0.25">
      <c r="A337">
        <v>89</v>
      </c>
      <c r="B337">
        <v>12</v>
      </c>
      <c r="C337">
        <v>1</v>
      </c>
      <c r="D337">
        <v>2</v>
      </c>
      <c r="E337">
        <v>1</v>
      </c>
      <c r="F337" s="3">
        <f>1151+(0-443.8)+(-4.10907+(0--1.584366))+0-309.3--1.104201</f>
        <v>396.47949699999998</v>
      </c>
      <c r="G337" s="3">
        <f>1141.8+(0-460.2)+(0+(0-0))+0-309.8-0</f>
        <v>371.7999999999999</v>
      </c>
      <c r="H337" s="3">
        <f>1136.2+(0-463.8)+(-2.317848+(0--0.946152))+0-310--0.632399999999986</f>
        <v>361.66070400000001</v>
      </c>
      <c r="I337" s="3">
        <f>1124.5+(0-451.9)+(2.867475+(0-1.152345))+0-309.2-0.788459999999955</f>
        <v>364.32667000000015</v>
      </c>
      <c r="J337" s="3">
        <f>1131.3+(0-459.4)+(0+(0-0))+0-308.7-0</f>
        <v>363.2</v>
      </c>
      <c r="K337" s="3">
        <f>1128.9+(0-423.2)+(1.151478+(0-0.431664))+0-308.1-0.314262000000049</f>
        <v>398.00555200000002</v>
      </c>
      <c r="L337" s="3">
        <f>1134.9+(7.5-382.4)+(1.157598+(0.00765-0.390048))+0-308.1-0.314262000000049</f>
        <v>452.36093800000009</v>
      </c>
      <c r="M337" s="3">
        <f>1128+(3-368.7)+(1.15056+(0.00306-0.376074))+0-307.6-0.313752000000049</f>
        <v>455.16379399999994</v>
      </c>
      <c r="N337" s="3">
        <f>1119.5+(47-417.6)+(1.712835+(0.07191-0.638928))+0-308-0.471240000000018</f>
        <v>441.57457699999992</v>
      </c>
      <c r="O337" s="3">
        <f>1106+(90.5-452.9)+(-1.12812+(-0.09231--0.461958))+0-308.6--0.314772000000049</f>
        <v>434.55630000000008</v>
      </c>
      <c r="P337" s="3">
        <f>1100.6+(104-445)+(-1.683918+(-0.15912--0.68085))+0-309--0.472770000000018</f>
        <v>449.91058199999992</v>
      </c>
      <c r="Q337" s="3">
        <f>1095+(100.4-418.6)+(-3.90915+(-0.358428--1.494402))+0-310.2--1.107414</f>
        <v>464.93423799999994</v>
      </c>
      <c r="R337" s="3">
        <f>1090+(72.1-373.7)+(-2.2236+(-0.147084--0.762348))+0-309.7--0.631787999999986</f>
        <v>477.72345199999995</v>
      </c>
      <c r="S337" s="3">
        <f>1088.8+(43.8-342)+(-2.221152+(-0.089352--0.69768))+0-310.3--0.633011999999986</f>
        <v>479.32018799999986</v>
      </c>
      <c r="T337" s="3">
        <f>1087.4+(22.6-327.2)+(-0.554574+(-0.011526--0.166872))+0-308.1--0.157130999999969</f>
        <v>474.45790300000016</v>
      </c>
      <c r="U337" s="3">
        <f>1085.9+(37.4-359.9)+(1.661427+(0.057222-0.550647))+0-308-0.471240000000018</f>
        <v>456.09676200000007</v>
      </c>
      <c r="V337" s="3">
        <f>1087.2+(48.9-377.9)+(0+(0-0))+0-309.6-0</f>
        <v>448.6</v>
      </c>
      <c r="W337" s="3">
        <f>1093.1+(95.4-410.4)+(0+(0-0))+0-309.9-0</f>
        <v>468.19999999999993</v>
      </c>
      <c r="X337" s="3">
        <f>1099.5+(142.5-394.2)+(-1.682235+(-0.218025--0.603126))+0-312.7--0.478431000000018</f>
        <v>534.281297</v>
      </c>
      <c r="Y337" s="3">
        <f>1101.2+(129.6-399.2)+(-2.246448+(-0.264384--0.814368))+0-309.9--0.632195999999986</f>
        <v>520.63573200000008</v>
      </c>
      <c r="Z337" s="3">
        <f>1105.6+(98.2-409.8)+(-1.127712+(-0.100164--0.417996))+0-310.3--0.316506000000049</f>
        <v>483.20662599999991</v>
      </c>
      <c r="AA337" s="3">
        <f>1106.8+(106.3-411.5)+(0.564468+(0.054213-0.209865))+0-309.6-0.157895999999969</f>
        <v>492.25091999999989</v>
      </c>
      <c r="AB337" s="3">
        <f>1111.2+(80.4-429)+(-2.83356+(-0.20502--1.09395))+0-310.3--0.791264999999955</f>
        <v>451.146635</v>
      </c>
      <c r="AC337" s="3">
        <f>1117.5+(41.1-424.6)+(0.569925+(0.020961-0.216546))+0-308.9-0.157538999999969</f>
        <v>425.316801</v>
      </c>
      <c r="AD337">
        <f t="shared" si="5"/>
        <v>10665.209168000001</v>
      </c>
      <c r="AE337" s="3">
        <f>1101+(126-378.2)+(0+(0-0))+0-310.5-0</f>
        <v>538.29999999999995</v>
      </c>
    </row>
    <row r="338" spans="1:31" s="2" customFormat="1" x14ac:dyDescent="0.25">
      <c r="A338">
        <v>89</v>
      </c>
      <c r="B338">
        <v>12</v>
      </c>
      <c r="C338">
        <v>2</v>
      </c>
      <c r="D338">
        <v>3</v>
      </c>
      <c r="E338">
        <v>1</v>
      </c>
      <c r="F338" s="3">
        <f>1120.8+(7.7-439.3)+(-2.286432+(-0.015708--0.896172))+0-308.9--0.630155999999987</f>
        <v>379.52418799999992</v>
      </c>
      <c r="G338" s="3">
        <f>1120.5+(3-444)+(-2.28582+(-0.00612--0.90576))+0-309.5--0.631379999999987</f>
        <v>369.24520000000001</v>
      </c>
      <c r="H338" s="3">
        <f>1121+(0-459.4)+(0.57171+(0-0.234294))+0-310.2-0.158201999999969</f>
        <v>351.57921400000004</v>
      </c>
      <c r="I338" s="3">
        <f>1115.8+(0-463.2)+(2.276232+(0-0.944928))+0-310.7-0.633827999999986</f>
        <v>342.59747599999997</v>
      </c>
      <c r="J338" s="3">
        <f>1116.8+(0-454.3)+(-0.569568+(0--0.231693))+0-309.7--0.157946999999969</f>
        <v>352.62007199999994</v>
      </c>
      <c r="K338" s="3">
        <f>1121.2+(7.3-440.5)+(0+(0-0))+0-307.9-0</f>
        <v>380.1</v>
      </c>
      <c r="L338" s="3">
        <f>1120.9+(20.3-442.4)+(-2.286636+(-0.041412--0.902496))+0-306.9--0.626075999999987</f>
        <v>391.10052400000018</v>
      </c>
      <c r="M338" s="3">
        <f>1116.8+(20.9-411.8)+(-1.708704+(-0.031977--0.630054))+0-306.6--0.469098000000018</f>
        <v>418.65847099999985</v>
      </c>
      <c r="N338" s="3">
        <f>1112.9+(36.8-381.8)+(1.702737+(0.056304-0.584154))+0-306.5-0.468945000000018</f>
        <v>462.10594200000008</v>
      </c>
      <c r="O338" s="3">
        <f>1106.8+(88.7-403.8)+(0.564468+(0.045237-0.205938))+0-308.3-0.157232999999969</f>
        <v>483.64653399999997</v>
      </c>
      <c r="P338" s="3">
        <f>1107+(99-416.4)+(-1.12914+(-0.10098--0.424728))+0-308.5--0.314670000000049</f>
        <v>480.60927800000007</v>
      </c>
      <c r="Q338" s="3">
        <f>1105.3+(109.1-420.9)+(-1.127406+(-0.111282--0.429318))+0-308.4--0.314568000000049</f>
        <v>484.60519800000014</v>
      </c>
      <c r="R338" s="3">
        <f>1111.9+(93.4-418)+(-3.402414+(-0.285804--1.27908))+0-308.6--0.944316000000036</f>
        <v>477.23517800000008</v>
      </c>
      <c r="S338" s="3">
        <f>1107.3+(72.2-394.9)+(-1.129446+(-0.073644--0.402798))+0-308.3--0.314466000000049</f>
        <v>475.81417399999992</v>
      </c>
      <c r="T338" s="3">
        <f>1105.7+(56-376.8)+(1.127814+(0.05712-0.384336))+0-306.8-0.312936000000049</f>
        <v>478.58766200000008</v>
      </c>
      <c r="U338" s="3">
        <f>1106.9+(43.8-366.2)+(-2.258076+(-0.089352--0.747048))+0-307.1--0.626483999999987</f>
        <v>476.42610400000012</v>
      </c>
      <c r="V338" s="3">
        <f>1108.2+(40.7-375.3)+(1.130364+(0.041514-0.382806))+0-307.4-0.313548000000049</f>
        <v>466.67552400000005</v>
      </c>
      <c r="W338" s="3">
        <f>1119.5+(88.9-419.4)+(-1.14189+(-0.090678--0.427788))+0-310.6--0.31681200000005</f>
        <v>477.91203199999995</v>
      </c>
      <c r="X338" s="3">
        <f>1118.6+(129.4-418.2)+(-0.570486+(-0.065994--0.213282))+0-310.7--0.158456999999968</f>
        <v>518.83525899999995</v>
      </c>
      <c r="Y338" s="3">
        <f>1121.9+(119.3-431.2)+(-1.144338+(-0.121686--0.439824))+0-310.4--0.316608000000049</f>
        <v>499.0904080000002</v>
      </c>
      <c r="Z338" s="3">
        <f>1120.4+(107.8-431.4)+(-0.571404+(-0.054978--0.220014))+0-309.9--0.158048999999969</f>
        <v>486.65168100000011</v>
      </c>
      <c r="AA338" s="3">
        <f>1123+(93.5-450.9)+(-0.57273+(-0.047685--0.229959))+0-309.5--0.157844999999969</f>
        <v>455.867389</v>
      </c>
      <c r="AB338" s="3">
        <f>1126.9+(67.6-439.1)+(-2.298876+(-0.137904--0.895764))+0-310.4--0.633215999999986</f>
        <v>444.0922000000001</v>
      </c>
      <c r="AC338" s="3">
        <f>1122.3+(7.8-387.8)+(0+(0-0))+0-308.2-0</f>
        <v>434.09999999999997</v>
      </c>
      <c r="AD338">
        <f t="shared" si="5"/>
        <v>10587.679708000003</v>
      </c>
      <c r="AE338" s="3">
        <f>1114+(122.1-419.5)+(0+(0-0))+0-309.4-0</f>
        <v>507.20000000000005</v>
      </c>
    </row>
    <row r="339" spans="1:31" s="2" customFormat="1" x14ac:dyDescent="0.25">
      <c r="A339">
        <v>89</v>
      </c>
      <c r="B339">
        <v>12</v>
      </c>
      <c r="C339">
        <v>3</v>
      </c>
      <c r="D339">
        <v>4</v>
      </c>
      <c r="E339">
        <v>1</v>
      </c>
      <c r="F339" s="3">
        <f>1124.8+(0-412)+(-1.147296+(0--0.42024))+0-309.3--0.315486000000049</f>
        <v>403.08843000000002</v>
      </c>
      <c r="G339" s="3">
        <f>1124.6+(0-436.6)+(0+(0-0))+0-310.3-0</f>
        <v>377.69999999999987</v>
      </c>
      <c r="H339" s="3">
        <f>1074.1+(0-393.5)+(0+(0-0))+0-309.2-0</f>
        <v>371.39999999999992</v>
      </c>
      <c r="I339" s="3">
        <f>1062.5+(0-392.3)+(-1.625625+(0--0.600219))+0-308.6--0.472158000000018</f>
        <v>361.04675200000008</v>
      </c>
      <c r="J339" s="3">
        <f>1062.4+(0-387.8)+(-2.167296+(0--0.791112))+0-308.4--0.629135999999986</f>
        <v>365.45295200000015</v>
      </c>
      <c r="K339" s="3">
        <f>1063.5+(0-362.7)+(1.08477+(0-0.369954))+0-308.7-0.314874000000049</f>
        <v>392.49994199999998</v>
      </c>
      <c r="L339" s="3">
        <f>1060.8+(0-317.5)+(-1.082016+(0--0.32385))+0-309.4--0.315588000000049</f>
        <v>433.45742200000007</v>
      </c>
      <c r="M339" s="3">
        <f>1091.2+(23.7-376.8)+(-1.669536+(-0.036261--0.576504))+0-309.8--0.473994000000018</f>
        <v>427.64470100000005</v>
      </c>
      <c r="N339" s="3">
        <f>1115.9+(35-392.2)+(0+(0-0))+0-308.3-0</f>
        <v>450.40000000000003</v>
      </c>
      <c r="O339" s="3">
        <f>1113+(99.4-451.9)+(-1.13526+(-0.101388--0.460938))+0-308--0.314160000000049</f>
        <v>452.03845000000007</v>
      </c>
      <c r="P339" s="3">
        <f>1111.5+(108.9-436.6)+(-2.834325+(-0.277695--1.11333))+0-308.4--0.786419999999955</f>
        <v>474.18772999999993</v>
      </c>
      <c r="Q339" s="3">
        <f>1110.2+(106.1-425.6)+(-1.132404+(-0.108222--0.434112))+0-308.6--0.314772000000049</f>
        <v>481.60825800000009</v>
      </c>
      <c r="R339" s="3">
        <f>1105.1+(117.5-415)+(-2.818005+(-0.299625--1.05825))+0-309.2--0.788459999999955</f>
        <v>497.12907999999982</v>
      </c>
      <c r="S339" s="3">
        <f>1100.2+(79.4-400)+(0+(0-0))+0-309.4-0</f>
        <v>470.20000000000005</v>
      </c>
      <c r="T339" s="3">
        <f>1091.3+(97.3-390.2)+(0.556563+(0.049623-0.199002))+0-308.4-0.157283999999969</f>
        <v>490.24990000000008</v>
      </c>
      <c r="U339" s="3">
        <f>1094.6+(93.2-394.8)+(0+(0-0))+0-308.1-0</f>
        <v>484.89999999999986</v>
      </c>
      <c r="V339" s="3">
        <f>1094.6+(93.2-393.5)+(0+(0-0))+0-306.9-0</f>
        <v>487.4</v>
      </c>
      <c r="W339" s="3">
        <f>1099.2+(100-372.8)+(-0.560592+(-0.051--0.190128))+0-307.6--0.156875999999969</f>
        <v>518.53541200000006</v>
      </c>
      <c r="X339" s="3">
        <f>1098.7+(142.1-362.7)+(-0.560337+(-0.072471--0.184977))+0-308.4--0.157283999999969</f>
        <v>569.4094530000001</v>
      </c>
      <c r="Y339" s="3">
        <f>1107.2+(125.3-372.8)+(-1.694016+(-0.191709--0.570384))+0-308.8--0.472464000000018</f>
        <v>550.05712300000016</v>
      </c>
      <c r="Z339" s="3">
        <f>1115.3+(89.9-369.5)+(-1.137606+(-0.091698--0.37689))+0-307.5--0.313650000000049</f>
        <v>527.66123600000003</v>
      </c>
      <c r="AA339" s="3">
        <f>1114.5+(56.3-347.6)+(-3.41037+(-0.172278--1.063656))+0-308.7--0.944622000000036</f>
        <v>512.92563000000007</v>
      </c>
      <c r="AB339" s="3">
        <f>1120.6+(40-365.8)+(-2.286024+(-0.0816--0.746232))+0-307.1--0.626483999999987</f>
        <v>486.70509199999992</v>
      </c>
      <c r="AC339" s="3">
        <f>1117.8+(17.8-358.8)+(-3.420468+(-0.054468--1.097928))+0-306.3--0.937278000000035</f>
        <v>469.06026999999995</v>
      </c>
      <c r="AD339">
        <f t="shared" si="5"/>
        <v>11054.757833</v>
      </c>
      <c r="AE339" s="3">
        <f>1101+(125.1-379)+(0+(0-0))+0-307.6-0</f>
        <v>539.5</v>
      </c>
    </row>
    <row r="340" spans="1:31" s="2" customFormat="1" x14ac:dyDescent="0.25">
      <c r="A340">
        <v>89</v>
      </c>
      <c r="B340">
        <v>12</v>
      </c>
      <c r="C340">
        <v>4</v>
      </c>
      <c r="D340">
        <v>5</v>
      </c>
      <c r="E340">
        <v>1</v>
      </c>
      <c r="F340" s="3">
        <f>1123.8+(0-388.3)+(1.146276+(0-0.396066))+0-306-0.312120000000049</f>
        <v>429.93808999999999</v>
      </c>
      <c r="G340" s="3">
        <f>1127.7+(0-418.2)+(-2.300508+(0--0.853128))+0-307.1--0.626483999999987</f>
        <v>401.57910400000003</v>
      </c>
      <c r="H340" s="3">
        <f>1123.5+(0-423.4)+(0.572985+(0-0.215934))+0-308.5-0.157334999999969</f>
        <v>391.79971599999999</v>
      </c>
      <c r="I340" s="3">
        <f>1126.9+(0-430.6)+(-2.298876+(0--0.878424))+0-308.1--0.628523999999987</f>
        <v>387.40807200000006</v>
      </c>
      <c r="J340" s="3">
        <f>1124.4+(0-414.5)+(-1.720332+(0--0.634185))+0-308.2--0.471546000000018</f>
        <v>401.08539900000017</v>
      </c>
      <c r="K340" s="3">
        <f>1129.1+(26.5-423.4)+(0.575841+(0.013515-0.215934))+0-307.3-0.156722999999969</f>
        <v>425.11669899999998</v>
      </c>
      <c r="L340" s="3">
        <f>1127.5+(34.1-391.2)+(-2.3001+(-0.069564--0.798048))+0-306.3--0.624851999999987</f>
        <v>463.15323600000011</v>
      </c>
      <c r="M340" s="3">
        <f>1123.7+(43.7-395.1)+(-1.146174+(-0.044574--0.403002))+0-306.6--0.312732000000049</f>
        <v>465.224986</v>
      </c>
      <c r="N340" s="3">
        <f>1120.9+(56.7-394.3)+(0+(0-0))+0-305.5-0</f>
        <v>477.80000000000007</v>
      </c>
      <c r="O340" s="3">
        <f>1114+(90.7-408.3)+(-0.56814+(-0.046257--0.208233))+0-308--0.157079999999969</f>
        <v>488.15091599999994</v>
      </c>
      <c r="P340" s="3">
        <f>1110+(95.6-376.5)+(-0.5661+(-0.048756--0.192015))+0-308--0.157079999999969</f>
        <v>520.83423900000003</v>
      </c>
      <c r="Q340" s="3">
        <f>1104.3+(101.5-369.8)+(-0.563193+(-0.051765--0.188598))+0-308.6--0.157385999999969</f>
        <v>527.13102599999991</v>
      </c>
      <c r="R340" s="3">
        <f>1100+(98.2-354.7)+(-2.805+(-0.25041--0.904485))+0-307.8--0.784889999999955</f>
        <v>534.33396499999981</v>
      </c>
      <c r="S340" s="3">
        <f>1098.7+(92.7-347.2)+(-0.560337+(-0.047277--0.177072))+0-309.1--0.157640999999969</f>
        <v>534.82709900000009</v>
      </c>
      <c r="T340" s="3">
        <f>1095.2+(88-350.2)+(-2.79276+(-0.2244--0.89301))+0-308.2--0.785909999999955</f>
        <v>523.46176000000003</v>
      </c>
      <c r="U340" s="3">
        <f>1097.5+(75.3-349.6)+(-1.679175+(-0.115209--0.534888))+0-307.8--0.470934000000018</f>
        <v>514.61143800000002</v>
      </c>
      <c r="V340" s="3">
        <f>1101.6+(43-352.2)+(-5.056344+(-0.19737--1.616598))+0-306.6--1.40729400000005</f>
        <v>483.57017799999988</v>
      </c>
      <c r="W340" s="3">
        <f>1105.2+(69.2-336.3)+(0+(0-0))+0-308.2-0</f>
        <v>529.90000000000009</v>
      </c>
      <c r="X340" s="3">
        <f>1110.4+(105.8-329)+(-2.265216+(-0.215832--0.67116))+0-309.6--0.631583999999986</f>
        <v>576.421696</v>
      </c>
      <c r="Y340" s="3">
        <f>1111.8+(90.4-346.3)+(0+(0-0))+0-308.8-0</f>
        <v>547.09999999999991</v>
      </c>
      <c r="Z340" s="3">
        <f>1117.9+(93.8-388.7)+(0+(0-0))+0-308.6-0</f>
        <v>514.40000000000009</v>
      </c>
      <c r="AA340" s="3">
        <f>1117.3+(91.2-386)+(-1.139646+(-0.093024--0.39372))+0-310.2--0.316404000000049</f>
        <v>511.77745400000009</v>
      </c>
      <c r="AB340" s="3">
        <f>1121.4+(43.6-359.1)+(-2.287656+(-0.088944--0.732564))+0-307.7--0.627707999999987</f>
        <v>497.18367200000006</v>
      </c>
      <c r="AC340" s="3">
        <f>1123.9+(0-334.5)+(-4.585512+(0--1.36476))+0-306.8--1.25174399999997</f>
        <v>480.63099200000011</v>
      </c>
      <c r="AD340">
        <f t="shared" si="5"/>
        <v>11627.439737000001</v>
      </c>
      <c r="AE340" s="3">
        <f>1107+(90.9-373.4)+(0+(0-0))+0-307.6-0</f>
        <v>516.9</v>
      </c>
    </row>
    <row r="341" spans="1:31" s="2" customFormat="1" x14ac:dyDescent="0.25">
      <c r="A341">
        <v>89</v>
      </c>
      <c r="B341">
        <v>12</v>
      </c>
      <c r="C341">
        <v>5</v>
      </c>
      <c r="D341">
        <v>6</v>
      </c>
      <c r="E341">
        <v>1</v>
      </c>
      <c r="F341" s="3">
        <f>1124.6+(0-363.7)+(-1.720638+(0--0.556461))+0-308--0.471240000000018</f>
        <v>452.20706299999989</v>
      </c>
      <c r="G341" s="3">
        <f>1128+(0-401)+(1.15056+(0-0.40902))+0-309.3-0.315486000000049</f>
        <v>418.12605399999995</v>
      </c>
      <c r="H341" s="3">
        <f>1127.9+(0-418.3)+(-3.451374+(0--1.279998))+0-307.7--0.941562000000036</f>
        <v>400.67018600000017</v>
      </c>
      <c r="I341" s="3">
        <f>1129.8+(0-431.7)+(1.152396+(0-0.440334))+0-310-0.316200000000049</f>
        <v>388.49586199999982</v>
      </c>
      <c r="J341" s="3">
        <f>1131+(0-426)+(0.57681+(0-0.21726))+0-307.9-0.157028999999969</f>
        <v>397.30252100000007</v>
      </c>
      <c r="K341" s="3">
        <f>1129.3+(0-395.8)+(3.455658+(0-1.211148))+0-307.2-0.940032000000036</f>
        <v>427.60447799999997</v>
      </c>
      <c r="L341" s="3">
        <f>1134.7+(9.4-389.7)+(0+(0-0))+0-307.9-0</f>
        <v>446.50000000000011</v>
      </c>
      <c r="M341" s="3">
        <f>1129.1+(20.1-411.3)+(1.727523+(0.030753-0.629289))+0-307.1-0.469863000000018</f>
        <v>431.45912399999986</v>
      </c>
      <c r="N341" s="3">
        <f>1122+(67.4-440.6)+(0+(0-0))+0-307-0</f>
        <v>441.79999999999995</v>
      </c>
      <c r="O341" s="3">
        <f>1116.2+(87.8-447.9)+(0+(0-0))+0-307.1-0</f>
        <v>449.00000000000011</v>
      </c>
      <c r="P341" s="3">
        <f>1110.8+(87.8-428.4)+(0+(0-0))+0-307.7-0</f>
        <v>462.50000000000006</v>
      </c>
      <c r="Q341" s="3">
        <f>1104.7+(91.9-411.2)+(0.563397+(0.046869-0.209712))+0-306-0.156059999999969</f>
        <v>479.64449400000018</v>
      </c>
      <c r="R341" s="3">
        <f>1095.9+(90.8-382.3)+(-1.117818+(-0.092616--0.389946))+0-306.5--0.312630000000049</f>
        <v>497.39214200000021</v>
      </c>
      <c r="S341" s="3">
        <f>1095.4+(88.3-390.1)+(-1.117308+(-0.090066--0.397902))+0-305.2--0.311304000000049</f>
        <v>487.90183200000018</v>
      </c>
      <c r="T341" s="3">
        <f>1091.9+(75.1-391.8)+(-0.556869+(-0.038301--0.199818))+0-305.7--0.155906999999969</f>
        <v>469.26055500000001</v>
      </c>
      <c r="U341" s="3">
        <f>1096.2+(57.2-388.2)+(-1.118124+(-0.058344--0.395964))+0-306.1--0.312222000000049</f>
        <v>458.63171800000015</v>
      </c>
      <c r="V341" s="3">
        <f>1098.2+(58.4-368.8)+(-3.920574+(-0.208488--1.316616))+0-306.1--1.092777</f>
        <v>479.98033099999992</v>
      </c>
      <c r="W341" s="3">
        <f>1102.8+(73.9-369.6)+(-0.562428+(-0.037689--0.188496))+0-306.6--0.156365999999969</f>
        <v>500.24474499999991</v>
      </c>
      <c r="X341" s="3">
        <f>1104+(152.2-409)+(-1.68912+(-0.232866--0.62577))+0-308.4--0.471852000000018</f>
        <v>537.97563600000012</v>
      </c>
      <c r="Y341" s="3">
        <f>1112.5+(131.4-419.6)+(-1.13475+(-0.134028--0.427992))+0-307.2--0.313344000000049</f>
        <v>516.57255799999996</v>
      </c>
      <c r="Z341" s="3">
        <f>1112.5+(91.9-400.1)+(-1.702125+(-0.140607--0.612153))+0-307.2--0.470016000000018</f>
        <v>496.33943699999998</v>
      </c>
      <c r="AA341" s="3">
        <f>1114.3+(74.4-410)+(0+(0-0))+0-307.8-0</f>
        <v>470.89999999999992</v>
      </c>
      <c r="AB341" s="3">
        <f>1122.6+(37.8-386.8)+(-2.290104+(-0.077112--0.789072))+0-307.2--0.626687999999987</f>
        <v>465.44854399999997</v>
      </c>
      <c r="AC341" s="3">
        <f>1123.9+(42.2-392.8)+(-2.865945+(-0.10761--1.00164))+0-305.8--0.779789999999956</f>
        <v>466.30787500000002</v>
      </c>
      <c r="AD341">
        <f t="shared" si="5"/>
        <v>11042.265155000003</v>
      </c>
      <c r="AE341" s="3">
        <f>1107+(165.9-442.7)+(0+(0-0))+0-307.6-0</f>
        <v>522.6</v>
      </c>
    </row>
    <row r="342" spans="1:31" s="2" customFormat="1" x14ac:dyDescent="0.25">
      <c r="A342">
        <v>89</v>
      </c>
      <c r="B342">
        <v>12</v>
      </c>
      <c r="C342">
        <v>6</v>
      </c>
      <c r="D342">
        <v>7</v>
      </c>
      <c r="E342">
        <v>1</v>
      </c>
      <c r="F342" s="3">
        <f>1125.9+(24-437.6)+(-1.148418+(-0.02448--0.446352))+0-305.4--0.311508000000049</f>
        <v>406.48496200000017</v>
      </c>
      <c r="G342" s="3">
        <f>1127.5+(7.9-430.4)+(-0.575025+(-0.004029--0.219504))+0-306.6--0.156365999999969</f>
        <v>398.19681599999996</v>
      </c>
      <c r="H342" s="3">
        <f>1126.1+(5.7-443.1)+(0+(0-0))+0-307.8-0</f>
        <v>380.89999999999981</v>
      </c>
      <c r="I342" s="3">
        <f>1131.1+(0-443.5)+(1.730583+(0-0.678555))+0-307.4-0.470322000000018</f>
        <v>380.78170599999987</v>
      </c>
      <c r="J342" s="3">
        <f>1129.3+(0-445)+(-2.879715+(0--1.13475))+0-308.3--0.786164999999955</f>
        <v>375.04119999999995</v>
      </c>
      <c r="K342" s="3">
        <f>1128.8+(2.8-417.9)+(1.727064+(0.004284-0.639387))+0-307-0.469710000000018</f>
        <v>407.32225099999999</v>
      </c>
      <c r="L342" s="3">
        <f>1130.2+(13.8-422.2)+(-1.152804+(-0.014076--0.430644))+0-307.5--0.313650000000049</f>
        <v>413.87741400000016</v>
      </c>
      <c r="M342" s="3">
        <f>1123.5+(28.7-414)+(0.572985+(0.014637-0.21114))+0-305-0.155549999999969</f>
        <v>433.42093200000011</v>
      </c>
      <c r="N342" s="3">
        <f>1104+(58.4-393.5)+(-1.12608+(-0.059568--0.40137))+0-306.2--0.312324000000049</f>
        <v>462.22804600000006</v>
      </c>
      <c r="O342" s="3">
        <f>1013.1+(126-325.4)+(0.516681+(0.06426-0.165954))+0-306.9-0.156518999999969</f>
        <v>507.05846800000012</v>
      </c>
      <c r="P342" s="3">
        <f>1035.2+(164.7-394.5)+(1.055904+(0.167994-0.40239))+0-306.6-0.312732000000049</f>
        <v>499.30877600000002</v>
      </c>
      <c r="Q342" s="3">
        <f>1049.5+(187.9-427.5)+(-2.14098+(-0.383316--0.8721))+0-307.5--0.627299999999987</f>
        <v>501.37510399999996</v>
      </c>
      <c r="R342" s="3">
        <f>1042.6+(186.1-417.3)+(-0.531726+(-0.094911--0.212823))+0-306.1--0.156110999999969</f>
        <v>505.04229699999979</v>
      </c>
      <c r="S342" s="3">
        <f>1040.1+(170.2-431.1)+(-3.182706+(-0.520812--1.319166))+0-306.8--0.938808000000036</f>
        <v>470.95445599999982</v>
      </c>
      <c r="T342" s="3">
        <f>1038.5+(134-370.3)+(-1.05927+(-0.13668--0.377706))+0-306.5--0.312630000000049</f>
        <v>495.19438600000007</v>
      </c>
      <c r="U342" s="3">
        <f>1040.3+(102.1-342)+(-3.183318+(-0.312426--1.04652))+0-305.9--0.936054000000035</f>
        <v>492.98683000000005</v>
      </c>
      <c r="V342" s="3">
        <f>1040.4+(117.4-362.8)+(-1.061208+(-0.119748--0.370056))+0-306.5--0.312630000000049</f>
        <v>488.00173000000024</v>
      </c>
      <c r="W342" s="3">
        <f>1044.3+(133-382.4)+(-0.532593+(-0.06783--0.195024))+0-306.6--0.156365999999969</f>
        <v>488.05096699999996</v>
      </c>
      <c r="X342" s="3">
        <f>1048.3+(188-383.5)+(-1.603899+(-0.28764--0.586755))+0-308.4--0.471852000000018</f>
        <v>543.56706799999995</v>
      </c>
      <c r="Y342" s="3">
        <f>1030.7+(197-394.6)+(0.525657+(0.10047-0.201246))+0-308.5-0.157334999999969</f>
        <v>524.86754600000006</v>
      </c>
      <c r="Z342" s="3">
        <f>1029.9+(185.9-400.8)+(-1.575747+(-0.284427--0.613224))+0-307.6--0.470628000000018</f>
        <v>506.62367800000015</v>
      </c>
      <c r="AA342" s="3">
        <f>1034.1+(174.8-411.2)+(0.527391+(0.089148-0.209712))+0-310-0.158099999999969</f>
        <v>487.94872699999996</v>
      </c>
      <c r="AB342" s="3">
        <f>1037.9+(156.8-418.8)+(-1.058658+(-0.159936--0.427176))+0-306.9--0.313038000000049</f>
        <v>468.52162000000015</v>
      </c>
      <c r="AC342" s="3">
        <f>1045.3+(136.9-431)+(-2.132412+(-0.279276--0.87924))+0-306.3--0.624851999999987</f>
        <v>443.99240399999985</v>
      </c>
      <c r="AD342">
        <f t="shared" si="5"/>
        <v>11081.747383999998</v>
      </c>
      <c r="AE342" s="3">
        <f>1045+(192.9-413)+(0+(0-0))+0-307.6-0</f>
        <v>517.29999999999995</v>
      </c>
    </row>
    <row r="343" spans="1:31" s="2" customFormat="1" x14ac:dyDescent="0.25">
      <c r="A343">
        <v>89</v>
      </c>
      <c r="B343">
        <v>12</v>
      </c>
      <c r="C343">
        <v>7</v>
      </c>
      <c r="D343">
        <v>1</v>
      </c>
      <c r="E343">
        <v>1</v>
      </c>
      <c r="F343" s="3">
        <f>1057.4+(74.7-385.6)+(-1.078548+(-0.076194--0.393312))+0-306.2--0.312324000000049</f>
        <v>439.85089400000004</v>
      </c>
      <c r="G343" s="3">
        <f>1064.2+(52.8-394.2)+(-1.085484+(-0.053856--0.402084))+0-307.8--0.313956000000049</f>
        <v>414.57670000000013</v>
      </c>
      <c r="H343" s="3">
        <f>1065.2+(22.9-349.3)+(2.173008+(0.046716-0.712572))+0-307.8-0.627911999999987</f>
        <v>431.87923999999998</v>
      </c>
      <c r="I343" s="3">
        <f>1069.8+(20.8-381.7)+(-1.091196+(-0.021216--0.389334))+0-308.7--0.314874000000049</f>
        <v>399.79179600000003</v>
      </c>
      <c r="J343" s="3">
        <f>1069.2+(30.8-363.5)+(3.271752+(0.094248-1.11231))+0-307.2-0.940032000000036</f>
        <v>430.61365799999999</v>
      </c>
      <c r="K343" s="3">
        <f>1072.1+(61.2-406.2)+(0.546771+(0.031212-0.207162))+0-307.1-0.156620999999969</f>
        <v>420.21419999999989</v>
      </c>
      <c r="L343" s="3">
        <f>1071.1+(103.4-425)+(1.638783+(0.158202-0.65025))+0-306.7-0.469251000000018</f>
        <v>443.47748399999989</v>
      </c>
      <c r="M343" s="3">
        <f>1067.8+(132.4-444.7)+(2.72289+(0.33762-1.133985))+0-306.6-0.781829999999956</f>
        <v>450.04469499999999</v>
      </c>
      <c r="N343" s="3">
        <f>1058.7+(185.1-464.1)+(0.539937+(0.094401-0.236691))+0-306.7-0.156416999999969</f>
        <v>473.24123000000009</v>
      </c>
      <c r="O343" s="3">
        <f>1054.1+(212.5-477.2)+(0.537591+(0.108375-0.243372))+0-307.4-0.156773999999969</f>
        <v>482.24581999999992</v>
      </c>
      <c r="P343" s="3">
        <f>1045.3+(218.5-441)+(1.599309+(0.334305-0.67473))+0-308.2-0.471546000000018</f>
        <v>515.387338</v>
      </c>
      <c r="Q343" s="3">
        <f>1036.1+(218.6-438.8)+(-0.528411+(-0.111486--0.223788))+0-307.7--0.156926999999969</f>
        <v>507.94081799999987</v>
      </c>
      <c r="R343" s="3">
        <f>1032.6+(239.7-427.6)+(-0.526626+(-0.122247--0.218076))+0-308.1--0.157130999999969</f>
        <v>536.32633399999975</v>
      </c>
      <c r="S343" s="3">
        <f>1029.9+(242.8-429.6)+(-1.575747+(-0.371484--0.657288))+0-307.1--0.469863000000018</f>
        <v>535.17992000000015</v>
      </c>
      <c r="T343" s="3">
        <f>1029.2+(242.7-437)+(0+(0-0))+0-306.7-0</f>
        <v>528.20000000000005</v>
      </c>
      <c r="U343" s="3">
        <f>1033.8+(181.2-382)+(-1.054476+(-0.184824--0.38964))+0-305.6--0.311712000000049</f>
        <v>526.86205200000006</v>
      </c>
      <c r="V343" s="3">
        <f>1066.8+(170.9-405)+(0+(0-0))+0-306.2-0</f>
        <v>526.5</v>
      </c>
      <c r="W343" s="3">
        <f>1086.3+(211.9-438.9)+(-2.216052+(-0.432276--0.895356))+0-308--0.628319999999987</f>
        <v>550.17534799999999</v>
      </c>
      <c r="X343" s="3">
        <f>1100.1+(268-478.2)+(-2.805255+(-0.6834--1.21941))+0-307.2--0.783359999999955</f>
        <v>581.21411499999977</v>
      </c>
      <c r="Y343" s="3">
        <f>1106.6+(253.7-487)+(-1.693098+(-0.388161--0.74511))+0-309--0.472770000000018</f>
        <v>563.43662099999995</v>
      </c>
      <c r="Z343" s="3">
        <f>1114.1+(230.6-482.5)+(-0.568191+(-0.117606--0.246075))+0-308.1--0.157130999999969</f>
        <v>553.81740899999988</v>
      </c>
      <c r="AA343" s="3">
        <f>1118.4+(190.2-466.2)+(-1.140768+(-0.194004--0.475524))+0-308.1--0.314262000000049</f>
        <v>533.75501400000019</v>
      </c>
      <c r="AB343" s="3">
        <f>1116.5+(171.3-451.8)+(-2.847075+(-0.436815--1.15209))+0-307.8--0.784889999999955</f>
        <v>526.85308999999984</v>
      </c>
      <c r="AC343" s="3">
        <f>1114+(147.1-436.2)+(-2.27256+(-0.300084--0.889848))+0-306.9--0.626075999999987</f>
        <v>516.94327999999996</v>
      </c>
      <c r="AD343">
        <f t="shared" si="5"/>
        <v>11888.527056000001</v>
      </c>
      <c r="AE343" s="3">
        <f>1105+(254-494.6)+(0+(0-0))+0-310.5-0</f>
        <v>553.9</v>
      </c>
    </row>
    <row r="344" spans="1:31" s="2" customFormat="1" x14ac:dyDescent="0.25">
      <c r="A344">
        <v>89</v>
      </c>
      <c r="B344">
        <v>12</v>
      </c>
      <c r="C344">
        <v>8</v>
      </c>
      <c r="D344">
        <v>2</v>
      </c>
      <c r="E344">
        <v>1</v>
      </c>
      <c r="F344" s="3">
        <f>1109.4+(87.4-429)+(-0.565794+(-0.044574--0.21879))+0-307.8--0.156977999999969</f>
        <v>459.76540000000006</v>
      </c>
      <c r="G344" s="3">
        <f>1115.2+(59.8-436.4)+(0+(0-0))+0-307.5-0</f>
        <v>431.10000000000014</v>
      </c>
      <c r="H344" s="3">
        <f>1113.7+(27.5-402.4)+(-1.703961+(-0.042075--0.615672))+0-308.4--0.471852000000018</f>
        <v>429.74148800000012</v>
      </c>
      <c r="I344" s="3">
        <f>1115.7+(22.8-408.6)+(-1.707021+(-0.034884--0.625158))+0-307.5--0.470475000000018</f>
        <v>421.75372800000008</v>
      </c>
      <c r="J344" s="3">
        <f>1120.9+(25.2-424.1)+(-0.571659+(-0.012852--0.216291))+0-307.2--0.156671999999969</f>
        <v>414.58845200000002</v>
      </c>
      <c r="K344" s="3">
        <f>1119.6+(54.9-439.8)+(0.570996+(0.027999-0.224298))+0-307.2-0.156671999999969</f>
        <v>427.71802499999984</v>
      </c>
      <c r="L344" s="3">
        <f>1125+(79.1-441.9)+(-1.1475+(-0.080682--0.450738))+0-306.6--0.312732000000049</f>
        <v>455.13528800000012</v>
      </c>
      <c r="M344" s="3">
        <f>1119.5+(105.6-444.3)+(-0.570945+(-0.053856--0.226593))+0-306.6--0.156365999999969</f>
        <v>473.95815799999997</v>
      </c>
      <c r="N344" s="3">
        <f>1112.2+(149.1-454.2)+(-1.134444+(-0.152082--0.463284))+0-306.7--0.312834000000049</f>
        <v>499.88959200000005</v>
      </c>
      <c r="O344" s="3">
        <f>1112.5+(178.1-463.7)+(1.13475+(0.181662-0.472974))+0-307.8-0.313956000000049</f>
        <v>519.62948199999994</v>
      </c>
      <c r="P344" s="3">
        <f>1123.2+(214-451)+(-2.291328+(-0.43656--0.92004))+0-307.8--0.627911999999987</f>
        <v>577.22006399999998</v>
      </c>
      <c r="Q344" s="3">
        <f>1119.1+(235.2-474.7)+(-1.712223+(-0.359856--0.726291))+0-308.2--0.471546000000018</f>
        <v>570.525758</v>
      </c>
      <c r="R344" s="3">
        <f>1107.5+(242.6-482.5)+(-3.38895+(-0.742356--1.47645))+0-307.5--0.940950000000036</f>
        <v>558.38609400000007</v>
      </c>
      <c r="S344" s="3">
        <f>1095.1+(200.2-414)+(-1.675503+(-0.306306--0.63342))+0-306.5--0.468945000000018</f>
        <v>573.92055599999992</v>
      </c>
      <c r="T344" s="3">
        <f>1092.9+(179.3-434.8)+(-1.672137+(-0.274329--0.665244))+0-307--0.469710000000018</f>
        <v>529.5884880000001</v>
      </c>
      <c r="U344" s="3">
        <f>1096.8+(143.7-398.4)+(-1.118736+(-0.146574--0.406368))+0-306.9--0.313038000000049</f>
        <v>534.65409599999998</v>
      </c>
      <c r="V344" s="3">
        <f>1104.5+(129.4-436)+(-3.37977+(-0.395964--1.33416))+0-300.1--0.918306000000035</f>
        <v>496.27673200000004</v>
      </c>
      <c r="W344" s="3">
        <f>1097.9+(148-405.5)+(-1.679787+(-0.22644--0.620415))+0-308.5--0.472005000000018</f>
        <v>531.08619300000009</v>
      </c>
      <c r="X344" s="3">
        <f>1092.4+(191.8-401.6)+(-1.114248+(-0.195636--0.409632))+0-308.8--0.314976000000049</f>
        <v>573.21472400000005</v>
      </c>
      <c r="Y344" s="3">
        <f>1096.7+(193.7-420.6)+(-3.355902+(-0.592722--1.287036))+0-308.5--0.944010000000036</f>
        <v>559.58242199999995</v>
      </c>
      <c r="Z344" s="3">
        <f>1096.3+(178.6-413.3)+(-1.118226+(-0.182172--0.421566))+0-307.5--0.313650000000049</f>
        <v>553.53481799999997</v>
      </c>
      <c r="AA344" s="3">
        <f>1093.4+(169.6-420.6)+(-1.672902+(-0.259488--0.643518))+0-306.7--0.469251000000018</f>
        <v>534.88037900000018</v>
      </c>
      <c r="AB344" s="3">
        <f>1097.7+(133.7-396.5)+(-2.799135+(-0.340935--1.011075))+0-306.4--0.781319999999955</f>
        <v>527.15232500000002</v>
      </c>
      <c r="AC344" s="3">
        <f>1100.9+(87.2-355.8)+(-2.807295+(-0.22236--0.90729))+0-306.2--0.780809999999956</f>
        <v>524.75844500000017</v>
      </c>
      <c r="AD344">
        <f t="shared" si="5"/>
        <v>12178.060706999997</v>
      </c>
      <c r="AE344" s="3">
        <f>1097+(202.9-417.4)+(0+(0-0))+0-307.6-0</f>
        <v>574.9</v>
      </c>
    </row>
    <row r="345" spans="1:31" s="2" customFormat="1" x14ac:dyDescent="0.25">
      <c r="A345">
        <v>89</v>
      </c>
      <c r="B345">
        <v>12</v>
      </c>
      <c r="C345">
        <v>9</v>
      </c>
      <c r="D345">
        <v>3</v>
      </c>
      <c r="E345">
        <v>1</v>
      </c>
      <c r="F345" s="3">
        <f>1098.3+(70.8-403.1)+(0+(0-0))+0-306.3-0</f>
        <v>459.7</v>
      </c>
      <c r="G345" s="3">
        <f>1052.7+(68.5-352.2)+(0+(0-0))+0-307.2-0</f>
        <v>461.8</v>
      </c>
      <c r="H345" s="3">
        <f>952+(64.1-260.9)+(0+(0-0))+0-309.3-0</f>
        <v>445.90000000000003</v>
      </c>
      <c r="I345" s="3">
        <f>950.4+(52.2-256.8)+(0+(0-0))+0-306.6-0</f>
        <v>439.19999999999993</v>
      </c>
      <c r="J345" s="3">
        <f>950.3+(55.1-263.7)+(0+(0-0))+0-306.4-0</f>
        <v>435.29999999999995</v>
      </c>
      <c r="K345" s="3">
        <f>946.6+(76.6-270.2)+(0+(0-0))+0-307.9-0</f>
        <v>445.1</v>
      </c>
      <c r="L345" s="3">
        <f>956.9+(92.1-271.1)+(0+(0-0))+0-305.7-0</f>
        <v>472.2</v>
      </c>
      <c r="M345" s="3">
        <f>955.8+(130-284.3)+(0+(0-0))+0-305.1-0</f>
        <v>496.4</v>
      </c>
      <c r="N345" s="3">
        <f>946.6+(160.5-314.9)+(0+(0-0))+0-305.7-0</f>
        <v>486.50000000000006</v>
      </c>
      <c r="O345" s="3">
        <f>948.9+(197.6-335.2)+(0+(0-0))+0-306.4-0</f>
        <v>504.9</v>
      </c>
      <c r="P345" s="3">
        <f>945+(172.7-289.6)+(-0.9639+(-0.176154--0.295392))+0-308.6--0.314772000000049</f>
        <v>518.97010999999998</v>
      </c>
      <c r="Q345" s="3">
        <f>942+(221.3-327.2)+(-1.44126+(-0.338589--0.500616))+0-309.2--0.473076000000018</f>
        <v>526.09384300000011</v>
      </c>
      <c r="R345" s="3">
        <f>945.3+(229.3-315.3)+(-1.928412+(-0.467772--0.643212))+0-307.3--0.626891999999987</f>
        <v>550.87392</v>
      </c>
      <c r="S345" s="3">
        <f>944.7+(221.5-308.7)+(-1.927188+(-0.45186--0.629748))+0-307.2--0.626687999999987</f>
        <v>549.17738799999995</v>
      </c>
      <c r="T345" s="3">
        <f>1039.6+(130.8-317.3)+(-0.530196+(-0.066708--0.161823))+0-307.2--0.156671999999969</f>
        <v>545.62159099999997</v>
      </c>
      <c r="U345" s="3">
        <f>1098.1+(113.3-370.2)+(0+(0-0))+0-306.5-0</f>
        <v>534.69999999999993</v>
      </c>
      <c r="V345" s="3">
        <f>1097.3+(102.4-366.9)+(-3.357738+(-0.313344--1.122714))+0-307.8--0.941868000000036</f>
        <v>523.39350000000002</v>
      </c>
      <c r="W345" s="3">
        <f>1103.1+(117.1-371.9)+(-2.812905+(-0.298605--0.948345))+0-308.3--0.786164999999955</f>
        <v>538.62299999999982</v>
      </c>
      <c r="X345" s="3">
        <f>1106.4+(168.5-406.6)+(-2.257056+(-0.34374--0.829464))+0-308.6--0.629543999999987</f>
        <v>558.55821200000003</v>
      </c>
      <c r="Y345" s="3">
        <f>1111.8+(174.1-444.5)+(-1.701054+(-0.266373--0.680085))+0-307.6--0.470628000000018</f>
        <v>532.98328600000002</v>
      </c>
      <c r="Z345" s="3">
        <f>1107.3+(160-424.9)+(-3.388338+(-0.4896--1.300194))+0-309.9--0.948294000000036</f>
        <v>530.87054999999998</v>
      </c>
      <c r="AA345" s="3">
        <f>1107.8+(104.4-382.7)+(-0.564978+(-0.053244--0.195177))+0-308.1--0.157130999999969</f>
        <v>521.13408599999991</v>
      </c>
      <c r="AB345" s="3">
        <f>1106.2+(74.3-367.7)+(-2.256648+(-0.151572--0.750108))+0-307.3--0.626891999999987</f>
        <v>504.46878000000009</v>
      </c>
      <c r="AC345" s="3">
        <f>1108+(50.3-372.4)+(-3.95556+(-0.179571--1.329468))+0-307.9--1.099203</f>
        <v>476.29354000000012</v>
      </c>
      <c r="AD345">
        <f t="shared" si="5"/>
        <v>12058.761805999999</v>
      </c>
      <c r="AE345" s="3">
        <f>1107+(172-451.4)+(0+(0-0))+0-311.7-0</f>
        <v>515.90000000000009</v>
      </c>
    </row>
    <row r="346" spans="1:31" s="2" customFormat="1" x14ac:dyDescent="0.25">
      <c r="A346">
        <v>89</v>
      </c>
      <c r="B346">
        <v>12</v>
      </c>
      <c r="C346">
        <v>10</v>
      </c>
      <c r="D346">
        <v>4</v>
      </c>
      <c r="E346">
        <v>1</v>
      </c>
      <c r="F346" s="3">
        <f>1111.9+(31.2-402.3)+(-2.268276+(-0.063648--0.820692))+0-307.3--0.626891999999987</f>
        <v>432.6156600000001</v>
      </c>
      <c r="G346" s="3">
        <f>1109.8+(19-386.2)+(-1.697994+(-0.02907--0.590886))+0-307.8--0.470934000000018</f>
        <v>434.13475599999992</v>
      </c>
      <c r="H346" s="3">
        <f>1109.2+(9.9-386.6)+(-2.262768+(-0.020196--0.788664))+0-308.6--0.629543999999987</f>
        <v>423.03524400000003</v>
      </c>
      <c r="I346" s="3">
        <f>1110.5+(3-388.1)+(-2.831775+(-0.00765--0.989655))+0-309.2--0.788459999999955</f>
        <v>415.13868999999988</v>
      </c>
      <c r="J346" s="3">
        <f>1112.6+(4.5-389.4)+(0+(0-0))+0-308.4-0</f>
        <v>419.29999999999995</v>
      </c>
      <c r="K346" s="3">
        <f>1111.7+(15.4-386.6)+(-1.700901+(-0.023562--0.591498))+0-308.8--0.472464000000018</f>
        <v>431.03949899999998</v>
      </c>
      <c r="L346" s="3">
        <f>1113.2+(25.8-384.3)+(-1.703196+(-0.039474--0.587979))+0-308.1--0.471393000000018</f>
        <v>445.9167020000001</v>
      </c>
      <c r="M346" s="3">
        <f>1108.9+(62.8-436.5)+(0+(0-0))+0-306.9-0</f>
        <v>428.30000000000007</v>
      </c>
      <c r="N346" s="3">
        <f>1111.8+(109.2-461.3)+(0.567018+(0.055692-0.235263))+0-307-0.156569999999969</f>
        <v>452.9308769999999</v>
      </c>
      <c r="O346" s="3">
        <f>1110.4+(110.2-462.6)+(-0.566304+(-0.056202--0.235926))+0-309--0.157589999999969</f>
        <v>448.77100999999999</v>
      </c>
      <c r="P346" s="3">
        <f>1107.3+(105.7-457.1)+(0+(0-0))+0-308.6-0</f>
        <v>447.29999999999984</v>
      </c>
      <c r="Q346" s="3">
        <f>1101.5+(110.5-439.5)+(-1.12353+(-0.11271--0.44829))+0-308.5--0.314670000000049</f>
        <v>463.52672000000001</v>
      </c>
      <c r="R346" s="3">
        <f>1103.8+(112.1-409.4)+(-2.81469+(-0.285855--1.04397))+0-307.3--0.783614999999955</f>
        <v>497.92703999999998</v>
      </c>
      <c r="S346" s="3">
        <f>1093.2+(103.9-385.8)+(0.557532+(0.052989-0.196758))+0-307.2-0.156671999999969</f>
        <v>504.35709100000014</v>
      </c>
      <c r="T346" s="3">
        <f>1091.8+(85.4-380.1)+(-1.113636+(-0.087108--0.387702))+0-307.2--0.313344000000049</f>
        <v>489.40030199999995</v>
      </c>
      <c r="U346" s="3">
        <f>1092.5+(93.5-388.3)+(0+(0-0))+0-307-0</f>
        <v>490.70000000000005</v>
      </c>
      <c r="V346" s="3">
        <f>1133.8+(91.2-426.2)+(-1.156476+(-0.093024--0.434724))+0-306.5--0.312630000000049</f>
        <v>491.79785399999997</v>
      </c>
      <c r="W346" s="3">
        <f>1101.2+(158.2-423.7)+(-1.123224+(-0.161364--0.432174))+0-307.4--0.313548000000049</f>
        <v>527.7611340000002</v>
      </c>
      <c r="X346" s="3">
        <f>1098.5+(208.3-412.6)+(-1.680705+(-0.318699--0.631278))+0-309.4--0.473382000000018</f>
        <v>583.90525600000012</v>
      </c>
      <c r="Y346" s="3">
        <f>1101.4+(193.9-424.5)+(-1.685142+(-0.296667--0.649485))+0-309.5--0.473535000000018</f>
        <v>560.44121100000007</v>
      </c>
      <c r="Z346" s="3">
        <f>1101.6+(178.2-421.3)+(-1.123632+(-0.181764--0.429726))+0-308.6--0.314772000000049</f>
        <v>549.33910199999991</v>
      </c>
      <c r="AA346" s="3">
        <f>1102.8+(166.7-421.3)+(-2.249712+(-0.340068--0.859452))+0-308.7--0.629747999999987</f>
        <v>538.39941999999985</v>
      </c>
      <c r="AB346" s="3">
        <f>1103.4+(135.5-414.3)+(-3.376404+(-0.41463--1.267758))+0-307.9--0.942174000000035</f>
        <v>515.11889800000017</v>
      </c>
      <c r="AC346" s="3">
        <f>1102.6+(74.6-376.6)+(-1.124652+(-0.076092--0.384132))+0-306.5--0.312630000000049</f>
        <v>493.59601800000002</v>
      </c>
      <c r="AD346">
        <f t="shared" si="5"/>
        <v>11484.752483999999</v>
      </c>
      <c r="AE346" s="3">
        <f>1098+(179-442.4)+(0+(0-0))+0-307.6-0</f>
        <v>527</v>
      </c>
    </row>
    <row r="347" spans="1:31" s="2" customFormat="1" x14ac:dyDescent="0.25">
      <c r="A347">
        <v>89</v>
      </c>
      <c r="B347">
        <v>12</v>
      </c>
      <c r="C347">
        <v>11</v>
      </c>
      <c r="D347">
        <v>5</v>
      </c>
      <c r="E347">
        <v>1</v>
      </c>
      <c r="F347" s="3">
        <f>1103.9+(39-385.5)+(-2.251956+(-0.07956--0.78642))+0-306.5--0.625259999999987</f>
        <v>449.98016400000012</v>
      </c>
      <c r="G347" s="3">
        <f>1102+(18.5-378)+(-2.24808+(-0.03774--0.77112))+0-307.8--0.627911999999987</f>
        <v>433.81321200000002</v>
      </c>
      <c r="H347" s="3">
        <f>1101.3+(12.9-378.6)+(-1.123326+(-0.013158--0.386172))+0-307.1--0.313242000000049</f>
        <v>428.06292999999994</v>
      </c>
      <c r="I347" s="3">
        <f>1100.2+(8-383.8)+(-1.122204+(-0.00816--0.391476))+0-306.5--0.312630000000049</f>
        <v>417.47374200000019</v>
      </c>
      <c r="J347" s="3">
        <f>1100.7+(9.6-383.8)+(1.684071+(0.014688-0.587214))+0-307.8-0.470934000000018</f>
        <v>419.34061099999997</v>
      </c>
      <c r="K347" s="3">
        <f>1102.1+(24-386.9)+(-1.124142+(-0.02448--0.394638))+0-307.2--0.313344000000049</f>
        <v>431.55936000000003</v>
      </c>
      <c r="L347" s="3">
        <f>1104.9+(31.9-379.3)+(0+(0-0))+0-306.6-0</f>
        <v>450.9</v>
      </c>
      <c r="M347" s="3">
        <f>1103.8+(49.7-392.9)+(0.562938+(0.025347-0.200379))+0-305.1-0.155600999999969</f>
        <v>455.73230499999994</v>
      </c>
      <c r="N347" s="3">
        <f>1101.2+(110.5-424.7)+(-0.561612+(-0.056355--0.216597))+0-305.6--0.155855999999969</f>
        <v>481.15448599999991</v>
      </c>
      <c r="O347" s="3">
        <f>1102+(153.4-455.6)+(1.12404+(0.156468-0.464712))+0-307.5-0.313650000000049</f>
        <v>492.80214599999988</v>
      </c>
      <c r="P347" s="3">
        <f>1101.6+(200.2-483.3)+(-0.561816+(-0.102102--0.246483))+0-307.8--0.156977999999969</f>
        <v>510.4395429999999</v>
      </c>
      <c r="Q347" s="3">
        <f>1103.5+(205.4-465.9)+(-1.12557+(-0.209508--0.475218))+0-307.2--0.313344000000049</f>
        <v>535.25348399999996</v>
      </c>
      <c r="R347" s="3">
        <f>1094.5+(208-454.1)+(-1.11639+(-0.21216--0.463182))+0-307--0.313140000000049</f>
        <v>540.84777200000008</v>
      </c>
      <c r="S347" s="3">
        <f>1089.3+(164.5-405.7)+(-0.555543+(-0.083895--0.206907))+0-307.5--0.156824999999969</f>
        <v>540.32429399999978</v>
      </c>
      <c r="T347" s="3">
        <f>1084.6+(159-395.3)+(-1.106292+(-0.16218--0.403206))+0-308--0.314160000000049</f>
        <v>539.74889399999995</v>
      </c>
      <c r="U347" s="3">
        <f>1085.5+(144.1-386.3)+(1.10721+(0.146982-0.394026))+0-307.7-0.313854000000049</f>
        <v>536.14631199999997</v>
      </c>
      <c r="V347" s="3">
        <f>1085+(140.2-396.3)+(-2.2134+(-0.286008--0.808452))+0-307.5--0.627299999999987</f>
        <v>520.33634399999994</v>
      </c>
      <c r="W347" s="3">
        <f>1090.2+(159.8-399.1)+(-2.224008+(-0.325992--0.814164))+0-307.9--0.628115999999986</f>
        <v>541.89228000000014</v>
      </c>
      <c r="X347" s="3">
        <f>1095.9+(214.6-410.3)+(-2.235636+(-0.437784--0.837012))+0-309.1--0.630563999999987</f>
        <v>589.89415599999995</v>
      </c>
      <c r="Y347" s="3">
        <f>1101+(203-414.3)+(-2.80755+(-0.51765--1.056465))+0-308--0.785399999999955</f>
        <v>580.21666500000003</v>
      </c>
      <c r="Z347" s="3">
        <f>1105.2+(187.6-434.9)+(-3.381912+(-0.574056--1.330794))+0-308.6--0.944316000000036</f>
        <v>547.61914200000012</v>
      </c>
      <c r="AA347" s="3">
        <f>1106.3+(185.7-434.6)+(-0.564213+(-0.094707--0.221646))+0-307.3--0.156722999999969</f>
        <v>549.81944899999974</v>
      </c>
      <c r="AB347" s="3">
        <f>1103.1+(158.8-428.7)+(-2.250324+(-0.323952--0.874548))+0-309--0.630359999999986</f>
        <v>523.13063199999988</v>
      </c>
      <c r="AC347" s="3">
        <f>1108.2+(140.6-422.3)+(-2.82591+(-0.35853--1.076865))+0-307.3--0.783614999999955</f>
        <v>517.87603999999999</v>
      </c>
      <c r="AD347">
        <f t="shared" si="5"/>
        <v>12034.363963</v>
      </c>
      <c r="AE347" s="3">
        <f>1097+(194.1-449.9)+(0+(0-0))+0-310-0</f>
        <v>531.20000000000005</v>
      </c>
    </row>
    <row r="348" spans="1:31" s="2" customFormat="1" x14ac:dyDescent="0.25">
      <c r="A348">
        <v>89</v>
      </c>
      <c r="B348">
        <v>12</v>
      </c>
      <c r="C348">
        <v>12</v>
      </c>
      <c r="D348">
        <v>6</v>
      </c>
      <c r="E348">
        <v>1</v>
      </c>
      <c r="F348" s="3">
        <f>1108.6+(111.3-448.7)+(-2.82693+(-0.283815--1.144185))+0-306.2--0.780809999999956</f>
        <v>463.81424999999996</v>
      </c>
      <c r="G348" s="3">
        <f>1113.6+(46-403.8)+(-1.703808+(-0.07038--0.617814))+0-307.2--0.470016000000018</f>
        <v>447.91364199999998</v>
      </c>
      <c r="H348" s="3">
        <f>1114+(15.8-384.4)+(-0.56814+(-0.008058--0.196044))+0-307.9--0.157028999999969</f>
        <v>437.27687500000013</v>
      </c>
      <c r="I348" s="3">
        <f>1118+(8.7-387.8)+(-2.8509+(-0.022185--0.98889))+0-308.3--0.786164999999955</f>
        <v>429.50196999999997</v>
      </c>
      <c r="J348" s="3">
        <f>1118.3+(10.8-400.3)+(2.851665+(0.02754-1.020765))+0-307.9-0.785144999999955</f>
        <v>421.97329500000001</v>
      </c>
      <c r="K348" s="3">
        <f>1121.2+(27.4-400.3)+(1.143624+(0.027948-0.408306))+0-306.7-0.312834000000049</f>
        <v>442.05043199999994</v>
      </c>
      <c r="L348" s="3">
        <f>1122.6+(59.6-420.9)+(-0.572526+(-0.030396--0.214659))+0-307.1--0.156620999999969</f>
        <v>453.96835799999985</v>
      </c>
      <c r="M348" s="3">
        <f>1119.3+(99.2-454.1)+(0.570843+(0.050592-0.231591))+0-306.7-0.156416999999969</f>
        <v>457.93342699999994</v>
      </c>
      <c r="N348" s="3">
        <f>1113.4+(163.8-476.9)+(1.135668+(0.167076-0.486438))+0-306.5-0.312630000000049</f>
        <v>494.30367600000017</v>
      </c>
      <c r="O348" s="3">
        <f>1109.2+(168.7-462.3)+(0+(0-0))+0-307.2-0</f>
        <v>508.40000000000003</v>
      </c>
      <c r="P348" s="3">
        <f>1102.8+(179.3-462)+(1.124856+(0.182886-0.47124))+0-305.7-0.311814000000049</f>
        <v>514.92468799999995</v>
      </c>
      <c r="Q348" s="3">
        <f>1100.2+(177.5-445.8)+(0.561102+(0.090525-0.227358))+0-306.3-0.156212999999969</f>
        <v>525.86805600000002</v>
      </c>
      <c r="R348" s="3">
        <f>1094.9+(152.8-496.7)+(-1.116798+(-0.155856--0.506634))+0-206.1--0.210222000000033</f>
        <v>544.34420200000011</v>
      </c>
      <c r="S348" s="3">
        <f>1090.9+(186.9-423.4)+(-3.338154+(-0.571914--1.295604))+0-310--0.948600000000036</f>
        <v>542.73413600000015</v>
      </c>
      <c r="T348" s="3">
        <f>1088+(173.7-422.5)+(-2.21952+(-0.354348--0.8619))+0-309.5--0.631379999999987</f>
        <v>528.61941200000012</v>
      </c>
      <c r="U348" s="3">
        <f>1096.1+(152-426.9)+(0+(0-0))+0-308-0</f>
        <v>513.19999999999993</v>
      </c>
      <c r="V348" s="3">
        <f>1090.1+(151-415.7)+(-1.111902+(-0.15402--0.424014))+0-308.3--0.314466000000049</f>
        <v>516.57255799999984</v>
      </c>
      <c r="W348" s="3">
        <f>1095+(169.5-436.9)+(0.55845+(0.086445-0.222819))+0-309.6-0.157895999999969</f>
        <v>518.26418000000001</v>
      </c>
      <c r="X348" s="3">
        <f>1095.4+(219.8-437.4)+(-0.558654+(-0.112098--0.223074))+0-310.6--0.158405999999969</f>
        <v>566.91072800000018</v>
      </c>
      <c r="Y348" s="3">
        <f>1107.5+(212.5-448.6)+(-3.38895+(-0.65025--1.372716))+0-310--0.948600000000036</f>
        <v>559.68211600000006</v>
      </c>
      <c r="Z348" s="3">
        <f>1107.6+(198.6-451.9)+(-1.129752+(-0.202572--0.460938))+0-309.8--0.315996000000049</f>
        <v>543.94461000000001</v>
      </c>
      <c r="AA348" s="3">
        <f>1111.5+(162.6-438.9)+(-1.700595+(-0.248778--0.671517))+0-308.9--0.472617000000018</f>
        <v>525.49476100000004</v>
      </c>
      <c r="AB348" s="3">
        <f>1106.5+(152.3-443.2)+(-2.821575+(-0.388365--1.13016))+0-310.1--0.790754999999955</f>
        <v>504.21097499999991</v>
      </c>
      <c r="AC348" s="3">
        <f>1111.7+(137.1-456.1)+(-2.834835+(-0.349605--1.163055))+0-307.7--0.784634999999955</f>
        <v>483.76325000000003</v>
      </c>
      <c r="AD348">
        <f t="shared" si="5"/>
        <v>11945.669597000002</v>
      </c>
      <c r="AE348" s="3">
        <f>1103+(199-472.7)+(0+(0-0))+0-309.4-0</f>
        <v>519.9</v>
      </c>
    </row>
    <row r="349" spans="1:31" s="2" customFormat="1" x14ac:dyDescent="0.25">
      <c r="A349">
        <v>89</v>
      </c>
      <c r="B349">
        <v>12</v>
      </c>
      <c r="C349">
        <v>13</v>
      </c>
      <c r="D349">
        <v>7</v>
      </c>
      <c r="E349">
        <v>1</v>
      </c>
      <c r="F349" s="3">
        <f>1124.9+(92.7-448.7)+(-2.868495+(-0.236385--1.144185))+0-308.1--0.785654999999955</f>
        <v>459.62496000000004</v>
      </c>
      <c r="G349" s="3">
        <f>1126.7+(36.3-398.9)+(-1.723851+(-0.055539--0.610317))+0-309.5--0.473535000000018</f>
        <v>453.90446200000014</v>
      </c>
      <c r="H349" s="3">
        <f>1122.1+(24.5-405.5)+(-2.289084+(-0.04998--0.82722))+0-309--0.630359999999986</f>
        <v>431.21851599999991</v>
      </c>
      <c r="I349" s="3">
        <f>1131.4+(12-412.1)+(1.731042+(0.01836-0.630513))+0-308.3-0.471699000000018</f>
        <v>423.64719000000002</v>
      </c>
      <c r="J349" s="3">
        <f>1125.7+(11-412.1)+(0.574107+(0.00561-0.210171))+0-307.6-0.156875999999969</f>
        <v>417.21267000000006</v>
      </c>
      <c r="K349" s="3">
        <f>1126.4+(9-391.5)+(1.148928+(0.00918-0.39933))+0-308.3-0.314466000000049</f>
        <v>436.04431200000005</v>
      </c>
      <c r="L349" s="3">
        <f>1128.4+(0-376.1)+(-2.301936+(0--0.767244))+0-307.4--0.627095999999987</f>
        <v>443.99240400000014</v>
      </c>
      <c r="M349" s="3">
        <f>1127.1+(30.7-359.7)+(0.574821+(0.015657-0.183447))+0-305.8-0.155957999999969</f>
        <v>492.55107299999992</v>
      </c>
      <c r="N349" s="3">
        <f>1118+(53.7-348)+(0+(0-0))+0-305.7-0</f>
        <v>518</v>
      </c>
      <c r="O349" s="3">
        <f>1113.7+(85.9-356.4)+(0+(0-0))+0-305.5-0</f>
        <v>537.70000000000005</v>
      </c>
      <c r="P349" s="3">
        <f>1107.7+(133.3-379)+(0.564927+(0.067983-0.19329))+0-303.2-0.154631999999969</f>
        <v>559.08498800000007</v>
      </c>
      <c r="Q349" s="3">
        <f>1098.9+(167-402.6)+(0+(0-0))+0-304.7-0</f>
        <v>558.60000000000014</v>
      </c>
      <c r="R349" s="3">
        <f>1095+(191.1-448.4)+(0+(0-0))+0-308.4-0</f>
        <v>529.30000000000007</v>
      </c>
      <c r="S349" s="3">
        <f>1090.2+(176.5-450.4)+(0+(0-0))+0-308.2-0</f>
        <v>508.10000000000008</v>
      </c>
      <c r="T349" s="3">
        <f>1093.9+(128.2-410)+(0+(0-0))+0-308.7-0</f>
        <v>503.40000000000015</v>
      </c>
      <c r="U349" s="3">
        <f>1096.2+(119.3-404.3)+(0+(0-0))+0-309.1-0</f>
        <v>502.1</v>
      </c>
      <c r="V349" s="3">
        <f>1101.9+(119.1-422.8)+(0+(0-0))+0-307.3-0</f>
        <v>490.90000000000003</v>
      </c>
      <c r="W349" s="3">
        <f>1101+(146-423.5)+(0+(0-0))+0-308.4-0</f>
        <v>515.1</v>
      </c>
      <c r="X349" s="3">
        <f>1106.2+(189.7-424.3)+(0+(0-0))+0-309.1-0</f>
        <v>562.5</v>
      </c>
      <c r="Y349" s="3">
        <f>1106.8+(181.9-409.9)+(0+(0-0))+0-310.5-0</f>
        <v>568.29999999999995</v>
      </c>
      <c r="Z349" s="3">
        <f>1112+(163.9-414)+(0+(0-0))+0-308.9-0</f>
        <v>553</v>
      </c>
      <c r="AA349" s="3">
        <f>1112.9+(160-434.1)+(0+(0-0))+0-309.3-0</f>
        <v>529.5</v>
      </c>
      <c r="AB349" s="3">
        <f>1118.6+(125.9-410.3)+(0+(0-0))+0-308.5-0</f>
        <v>525.69999999999993</v>
      </c>
      <c r="AC349" s="3">
        <f>1119.2+(116.8-416.7)+(0+(0-0))+0-308.6-0</f>
        <v>510.70000000000005</v>
      </c>
      <c r="AD349">
        <f t="shared" si="5"/>
        <v>12030.180575000002</v>
      </c>
      <c r="AE349" s="3">
        <f>1101+(168-456.4)+(0+(0-0))+0-309.4-0</f>
        <v>503.20000000000005</v>
      </c>
    </row>
    <row r="350" spans="1:31" s="2" customFormat="1" x14ac:dyDescent="0.25">
      <c r="A350">
        <v>89</v>
      </c>
      <c r="B350">
        <v>12</v>
      </c>
      <c r="C350">
        <v>14</v>
      </c>
      <c r="D350">
        <v>1</v>
      </c>
      <c r="E350">
        <v>1</v>
      </c>
      <c r="F350" s="3">
        <f>1124.8+(63.1-418.7)+(-1.720944+(-0.096543--0.640611))+0-308.1--0.471393000000018</f>
        <v>460.39451700000006</v>
      </c>
      <c r="G350" s="3">
        <f>1123.8+(1.3-368.4)+(1.719414+(0.001989-0.563652))+0-310.2-0.474606000000018</f>
        <v>447.18314500000002</v>
      </c>
      <c r="H350" s="3">
        <f>1127.6+(0-384)+(0+(0-0))+0-310-0</f>
        <v>433.59999999999991</v>
      </c>
      <c r="I350" s="3">
        <f>1124.7+(0-400.3)+(2.867985+(0-1.020765))+0-308.6-0.786929999999955</f>
        <v>416.86029000000013</v>
      </c>
      <c r="J350" s="3">
        <f>1126.3+(0-407.2)+(3.446478+(0-1.246032))+0-308.3-0.943398000000036</f>
        <v>412.0570479999999</v>
      </c>
      <c r="K350" s="3">
        <f>1125.1+(6.4-395.1)+(0+(0-0))+0-307.5-0</f>
        <v>428.89999999999986</v>
      </c>
      <c r="L350" s="3">
        <f>1127.5+(22.9-353.9)+(0+(0-0))+0-306.8-0</f>
        <v>489.7</v>
      </c>
      <c r="M350" s="3">
        <f>1121.4+(20.1-356.6)+(0+(0-0))+0-306.8-0</f>
        <v>478.10000000000008</v>
      </c>
      <c r="N350" s="3">
        <f>1118.1+(50-372.1)+(0+(0-0))+0-308.3-0</f>
        <v>487.69999999999987</v>
      </c>
      <c r="O350" s="3">
        <f>1113.3+(116.7-404.4)+(0+(0-0))+0-308.9-0</f>
        <v>516.69999999999993</v>
      </c>
      <c r="P350" s="3">
        <f>1109.2+(154.3-412.8)+(0+(0-0))+0-309.3-0</f>
        <v>541.40000000000009</v>
      </c>
      <c r="Q350" s="3">
        <f>1105.8+(176-429.8)+(0+(0-0))+0-310.7-0</f>
        <v>541.29999999999995</v>
      </c>
      <c r="R350" s="3">
        <f>1101.8+(168-449.2)+(0+(0-0))+0-319-0</f>
        <v>501.59999999999991</v>
      </c>
      <c r="S350" s="3">
        <f>1103.9+(167.5-426.2)+(0+(0-0))+0-308.7-0</f>
        <v>536.5</v>
      </c>
      <c r="T350" s="3">
        <f>1101.8+(146.9-415.5)+(0+(0-0))+0-308.8-0</f>
        <v>524.39999999999986</v>
      </c>
      <c r="U350" s="3">
        <f>1102.6+(127.1-408.3)+(0+(0-0))+0-308.5-0</f>
        <v>512.89999999999986</v>
      </c>
      <c r="V350" s="3">
        <f>1106.6+(92.9-375.6)+(0+(0-0))+0-308.1-0</f>
        <v>515.79999999999984</v>
      </c>
      <c r="W350" s="3">
        <f>1105.2+(106.8-374.6)+(0+(0-0))+0-309.8-0</f>
        <v>527.60000000000014</v>
      </c>
      <c r="X350" s="3">
        <f>1112.6+(159-380.3)+(0+(0-0))+0-309.7-0</f>
        <v>581.59999999999991</v>
      </c>
      <c r="Y350" s="3">
        <f>1114+(148.2-388.6)+(0+(0-0))+0-308.9-0</f>
        <v>564.69999999999993</v>
      </c>
      <c r="Z350" s="3">
        <f>1119.1+(62.8-322.4)+(0+(0-0))+0-308.3-0</f>
        <v>551.20000000000005</v>
      </c>
      <c r="AA350" s="3">
        <f>1119+(29.4-302.2)+(0+(0-0))+0-308-0</f>
        <v>538.20000000000005</v>
      </c>
      <c r="AB350" s="3">
        <f>1123.9+(24.7-316.2)+(0+(0-0))+0-308.4-0</f>
        <v>524.00000000000011</v>
      </c>
      <c r="AC350" s="3">
        <f>1122.6+(4.9-317.1)+(0+(0-0))+0-307.5-0</f>
        <v>502.89999999999986</v>
      </c>
      <c r="AD350">
        <f t="shared" si="5"/>
        <v>12035.295</v>
      </c>
      <c r="AE350" s="3">
        <f>1109+(153-427.5)+(0+(0-0))+0-314.1-0</f>
        <v>520.4</v>
      </c>
    </row>
    <row r="351" spans="1:31" s="2" customFormat="1" x14ac:dyDescent="0.25">
      <c r="A351">
        <v>89</v>
      </c>
      <c r="B351">
        <v>12</v>
      </c>
      <c r="C351">
        <v>15</v>
      </c>
      <c r="D351">
        <v>2</v>
      </c>
      <c r="E351">
        <v>1</v>
      </c>
      <c r="F351" s="3">
        <f>1127.4+(0-367.2)+(0+(0-0))+0-307.9-0</f>
        <v>452.30000000000007</v>
      </c>
      <c r="G351" s="3">
        <f>1136.1+(0-372)+(0+(0-0))+0-308.3-0</f>
        <v>455.7999999999999</v>
      </c>
      <c r="H351" s="3">
        <f>1181.2+(0-411.6)+(0+(0-0))+0-309.5-0</f>
        <v>460.1</v>
      </c>
      <c r="I351" s="3">
        <f>1228.5+(0-486.4)+(0+(0-0))+0-309.6-0</f>
        <v>432.5</v>
      </c>
      <c r="J351" s="3">
        <f>1229.8+(0-495)+(0+(0-0))+0-308.3-0</f>
        <v>426.49999999999994</v>
      </c>
      <c r="K351" s="3">
        <f>1228.5+(0-465.7)+(0+(0-0))+0-308.6-0</f>
        <v>454.19999999999993</v>
      </c>
      <c r="L351" s="3">
        <f>1226.6+(0-434.7)+(0+(0-0))+0-308.1-0</f>
        <v>483.79999999999984</v>
      </c>
      <c r="M351" s="3">
        <f>1221.8+(0-441.6)+(0+(0-0))+0-307.6-0</f>
        <v>472.59999999999991</v>
      </c>
      <c r="N351" s="3">
        <f>1220.5+(25.6-445.7)+(0+(0-0))+0-307.5-0</f>
        <v>492.90000000000009</v>
      </c>
      <c r="O351" s="3">
        <f>1212.2+(28.3-428.6)+(0+(0-0))+0-310.5-0</f>
        <v>501.40000000000009</v>
      </c>
      <c r="P351" s="3">
        <f>1138.1+(63.5-389.3)+(0+(0-0))+0-310.3-0</f>
        <v>501.99999999999994</v>
      </c>
      <c r="Q351" s="3">
        <f>1110.3+(71-366.3)+(0+(0-0))+0-309.2-0</f>
        <v>505.8</v>
      </c>
      <c r="R351" s="3">
        <f>1076.4+(71.9-318.6)+(-2.195856+(-0.146676--0.649944))+0-308.6--0.629543999999987</f>
        <v>520.03695600000003</v>
      </c>
      <c r="S351" s="3">
        <f>1019+(70.5-257.6)+(-0.51969+(-0.035955--0.131376))+0-308.6--0.157385999999969</f>
        <v>523.03311699999995</v>
      </c>
      <c r="T351" s="3">
        <f>1018.1+(64.9-269.3)+(-1.557693+(-0.099297--0.412029))+0-308.5--0.472005000000018</f>
        <v>504.42704400000008</v>
      </c>
      <c r="U351" s="3">
        <f>1019.2+(73.5-284)+(-1.039584+(-0.07497--0.28968))+0-308.5--0.314670000000049</f>
        <v>499.68979600000006</v>
      </c>
      <c r="V351" s="3">
        <f>1020.8+(64.9-276.3)+(-1.041216+(-0.066198--0.281826))+0-307.7--0.313854000000049</f>
        <v>501.188266</v>
      </c>
      <c r="W351" s="3">
        <f>1022.7+(103.2-308)+(-3.129462+(-0.315792--0.94248))+0-308.1--0.942786000000036</f>
        <v>508.24001200000004</v>
      </c>
      <c r="X351" s="3">
        <f>1027.8+(163-324.9)+(-1.048356+(-0.16626--0.331398))+0-309.6--0.315792000000049</f>
        <v>555.732574</v>
      </c>
      <c r="Y351" s="3">
        <f>1031.7+(147.9-324.1)+(-2.630835+(-0.377145--0.826455))+0-309.9--0.790244999999955</f>
        <v>544.20871999999997</v>
      </c>
      <c r="Z351" s="3">
        <f>1045.8+(126.6-338.1)+(-2.66679+(-0.32283--0.862155))+0-309.2--0.788459999999955</f>
        <v>523.76099499999987</v>
      </c>
      <c r="AA351" s="3">
        <f>1035.3+(127.7-341.6)+(-1.584009+(-0.195381--0.522648))+0-308.5--0.472005000000018</f>
        <v>512.1152629999998</v>
      </c>
      <c r="AB351" s="3">
        <f>1045+(98.5-337.3)+(-0.53295+(-0.050235--0.172023))+0-307.6--0.156875999999969</f>
        <v>498.34571399999999</v>
      </c>
      <c r="AC351" s="3">
        <f>1019.7+(71.3-313)+(-2.600235+(-0.181815--0.79815))+0-309.2--0.788459999999955</f>
        <v>467.60455999999999</v>
      </c>
      <c r="AD351">
        <f t="shared" si="5"/>
        <v>11798.283016999998</v>
      </c>
      <c r="AE351" s="3">
        <f>1026+(156-346.4)+(0+(0-0))+0-311.7-0</f>
        <v>523.90000000000009</v>
      </c>
    </row>
    <row r="352" spans="1:31" s="2" customFormat="1" x14ac:dyDescent="0.25">
      <c r="A352">
        <v>89</v>
      </c>
      <c r="B352">
        <v>12</v>
      </c>
      <c r="C352">
        <v>16</v>
      </c>
      <c r="D352">
        <v>3</v>
      </c>
      <c r="E352">
        <v>1</v>
      </c>
      <c r="F352" s="3">
        <f>1019.5+(29.3-287.3)+(-1.559835+(-0.044829--0.439569))+0-308.7--0.472311000000018</f>
        <v>452.10721600000005</v>
      </c>
      <c r="G352" s="3">
        <f>1053.1+(4-312.6)+(-2.148324+(-0.00816--0.637704))+0-307.9--0.628115999999986</f>
        <v>435.70933599999989</v>
      </c>
      <c r="H352" s="3">
        <f>1031.1+(2.4-300.4)+(0.525861+(0.001224-0.153204))+0-308-0.157079999999969</f>
        <v>425.31680099999994</v>
      </c>
      <c r="I352" s="3">
        <f>1020.8+(0-300.2)+(0.520608+(0-0.153102))+0-308.1-0.157130999999969</f>
        <v>412.71037499999994</v>
      </c>
      <c r="J352" s="3">
        <f>1019.4+(3.8-302.8)+(-1.039788+(-0.003876--0.308856))+0-307.6--0.313752000000049</f>
        <v>412.37894399999993</v>
      </c>
      <c r="K352" s="3">
        <f>1044.1+(30.2-327.4)+(2.662455+(0.07701-0.83487))+0-308.5-0.786674999999955</f>
        <v>439.51791999999989</v>
      </c>
      <c r="L352" s="3">
        <f>1050.7+(52.7-324.6)+(0+(0-0))+0-306.5-0</f>
        <v>472.29999999999995</v>
      </c>
      <c r="M352" s="3">
        <f>1043.6+(74.2-332.6)+(0+(0-0))+0-306.5-0</f>
        <v>478.69999999999982</v>
      </c>
      <c r="N352" s="3">
        <f>1033.3+(118-338.3)+(0+(0-0))+0-307.9-0</f>
        <v>505.1</v>
      </c>
      <c r="O352" s="3">
        <f>1035+(139.3-334)+(0+(0-0))+0-308.8-0</f>
        <v>531.5</v>
      </c>
      <c r="P352" s="3">
        <f>1028.9+(172.2-345.4)+(0+(0-0))+0-309.4-0</f>
        <v>546.30000000000007</v>
      </c>
      <c r="Q352" s="3">
        <f>1031.9+(189.9-357.7)+(0+(0-0))+0-308.9-0</f>
        <v>555.20000000000016</v>
      </c>
      <c r="R352" s="3">
        <f>1047.7+(155.3-331.7)+(0+(0-0))+0-308.9-0</f>
        <v>562.40000000000009</v>
      </c>
      <c r="S352" s="3">
        <f>1043.6+(125.6-297.7)+(-0.532236+(-0.064056--0.151827))+0-307.4--0.156773999999969</f>
        <v>563.8123089999998</v>
      </c>
      <c r="T352" s="3">
        <f>1045+(96.8-278.2)+(-1.0659+(-0.098736--0.283764))+0-307.2--0.313344000000049</f>
        <v>555.83247200000017</v>
      </c>
      <c r="U352" s="3">
        <f>1043+(90-275.6)+(1.59579+(0.1377-0.421668))+0-306.5-0.468945000000018</f>
        <v>551.74287700000002</v>
      </c>
      <c r="V352" s="3">
        <f>1039.5+(93.6-270.7)+(-2.12058+(-0.190944--0.552228))+0-306.2--0.624647999999987</f>
        <v>555.06535200000008</v>
      </c>
      <c r="W352" s="3">
        <f>1041.9+(131.9-301.3)+(-3.188214+(-0.403614--0.921978))+0-309.9--0.948294000000036</f>
        <v>560.87844400000017</v>
      </c>
      <c r="X352" s="3">
        <f>1041.9+(195.2-312.7)+(-1.062738+(-0.199104--0.318954))+0-309.2--0.315384000000049</f>
        <v>614.572496</v>
      </c>
      <c r="Y352" s="3">
        <f>1047.3+(175.7-293.2)+(-1.602369+(-0.268821--0.448596))+0-308.1--0.471393000000018</f>
        <v>620.74879899999996</v>
      </c>
      <c r="Z352" s="3">
        <f>1050.2+(144.6-303.1)+(-3.749214+(-0.516222--1.082067))+0-308.4--1.100988</f>
        <v>581.21761900000013</v>
      </c>
      <c r="AA352" s="3">
        <f>1106.3+(120.9-345.6)+(-2.256852+(-0.246636--0.705024))+0-308.3--0.628931999999987</f>
        <v>572.13046799999995</v>
      </c>
      <c r="AB352" s="3">
        <f>1102.5+(106.1-343.3)+(-1.686825+(-0.162333--0.525249))+0-308.3--0.471699000000018</f>
        <v>556.1477900000001</v>
      </c>
      <c r="AC352" s="3">
        <f>1106+(80.6-361.9)+(-2.8203+(-0.20553--0.922845))+0-306.1--0.780554999999956</f>
        <v>517.27756999999997</v>
      </c>
      <c r="AD352">
        <f t="shared" si="5"/>
        <v>12478.666788</v>
      </c>
      <c r="AE352" s="3">
        <f>1042+(173-343.7)+(0+(0-0))+0-308.2-0</f>
        <v>563.09999999999991</v>
      </c>
    </row>
    <row r="353" spans="1:31" s="2" customFormat="1" x14ac:dyDescent="0.25">
      <c r="A353">
        <v>89</v>
      </c>
      <c r="B353">
        <v>12</v>
      </c>
      <c r="C353">
        <v>17</v>
      </c>
      <c r="D353">
        <v>4</v>
      </c>
      <c r="E353">
        <v>1</v>
      </c>
      <c r="F353" s="3">
        <f>1105.4+(37.1-357.2)+(-2.81877+(-0.094605--0.91086))+0-306.2--0.780809999999956</f>
        <v>477.87829500000015</v>
      </c>
      <c r="G353" s="3">
        <f>1108.3+(15.9-360.6)+(-3.391398+(-0.048654--1.103436))+0-307.9--0.942174000000035</f>
        <v>454.30555799999991</v>
      </c>
      <c r="H353" s="3">
        <f>1111.6+(8.2-374.2)+(-1.133832+(-0.008364--0.381684))+0-307.5--0.313650000000049</f>
        <v>437.65313800000001</v>
      </c>
      <c r="I353" s="3">
        <f>1112.9+(0-372.2)+(0.567579+(0-0.189822))+0-306.6-0.156365999999969</f>
        <v>434.32139100000001</v>
      </c>
      <c r="J353" s="3">
        <f>1117.5+(0-369.3)+(-0.569925+(0--0.188343))+0-307--0.156569999999969</f>
        <v>440.97498800000005</v>
      </c>
      <c r="K353" s="3">
        <f>1116.6+(1.1-344.8)+(1.138932+(0.001122-0.351696))+0-307.8-0.313956000000049</f>
        <v>465.57440199999979</v>
      </c>
      <c r="L353" s="3">
        <f>1117+(11-319)+(-1.13934+(-0.01122--0.32538))+0-307.6--0.313752000000049</f>
        <v>500.88857199999995</v>
      </c>
      <c r="M353" s="3">
        <f>1115.2+(47.7-335.7)+(-0.568752+(-0.024327--0.171207))+0-305.4--0.155753999999969</f>
        <v>521.53388200000006</v>
      </c>
      <c r="N353" s="3">
        <f>1102.4+(132.5-374.4)+(-0.562224+(-0.067575--0.190944))+0-306.4--0.156263999999969</f>
        <v>553.81740900000011</v>
      </c>
      <c r="O353" s="3">
        <f>1118.8+(115.9-390.8)+(-1.141176+(-0.118218--0.398616))+0-308--0.314160000000049</f>
        <v>535.35338200000001</v>
      </c>
      <c r="P353" s="3">
        <f>1142.5+(121.7-411.5)+(-1.748025+(-0.186201--0.629595))+0-309.5--0.473535000000018</f>
        <v>542.36890400000004</v>
      </c>
      <c r="Q353" s="3">
        <f>1137.3+(131-398.9)+(-0.580023+(-0.06681--0.203439))+0-310.9--0.158558999999968</f>
        <v>558.21516499999996</v>
      </c>
      <c r="R353" s="3">
        <f>1137.4+(102.9-375.6)+(-1.160148+(-0.104958--0.383112))+0-309.6--0.315792000000049</f>
        <v>554.53379800000016</v>
      </c>
      <c r="S353" s="3">
        <f>1135.3+(81.4-349.3)+(-1.158006+(-0.083028--0.356286))+0-308.4--0.314568000000049</f>
        <v>558.42982000000006</v>
      </c>
      <c r="T353" s="3">
        <f>1133.7+(79-345.7)+(-1.156374+(-0.08058--0.352614))+0-308.9--0.315078000000049</f>
        <v>557.53073800000016</v>
      </c>
      <c r="U353" s="3">
        <f>1131.9+(78.1-351.3)+(-0.577269+(-0.039831--0.179163))+0-308.1--0.157130999999969</f>
        <v>550.31919399999992</v>
      </c>
      <c r="V353" s="3">
        <f>1134.3+(77.1-343.7)+(0+(0-0))+0-308.1-0</f>
        <v>559.59999999999991</v>
      </c>
      <c r="W353" s="3">
        <f>1141.7+(92.8-379.4)+(-2.911335+(-0.23664--0.96747))+0-307.9--0.785144999999955</f>
        <v>545.80464000000006</v>
      </c>
      <c r="X353" s="3">
        <f>1144.7+(135-377.4)+(-0.583797+(-0.06885--0.192474))+0-308.6--0.157385999999969</f>
        <v>593.39721299999997</v>
      </c>
      <c r="Y353" s="3">
        <f>1150.6+(125.8-385.8)+(-2.347224+(-0.256632--0.787032))+0-309.7--0.631787999999986</f>
        <v>579.7149639999999</v>
      </c>
      <c r="Z353" s="3">
        <f>1147.9+(108.5-372.5)+(1.756287+(0.166005-0.569925))+0-308.6-0.472158000000018</f>
        <v>576.18020899999999</v>
      </c>
      <c r="AA353" s="3">
        <f>1154.9+(94-385.7)+(0.588999+(0.04794-0.196707))+0-308.8-0.157487999999969</f>
        <v>554.68274400000007</v>
      </c>
      <c r="AB353" s="3">
        <f>1156.5+(76.3-381.4)+(-2.35926+(-0.155652--0.778056))+0-309.5--0.631379999999987</f>
        <v>540.79452400000014</v>
      </c>
      <c r="AC353" s="3">
        <f>1164+(53.7-388.1)+(-2.37456+(-0.109548--0.791724))+0-308--0.628319999999987</f>
        <v>520.53593599999999</v>
      </c>
      <c r="AD353">
        <f t="shared" si="5"/>
        <v>12614.408866000002</v>
      </c>
      <c r="AE353" s="3">
        <f>1147+(141-400.6)+(0+(0-0))+0-312.3-0</f>
        <v>575.09999999999991</v>
      </c>
    </row>
    <row r="354" spans="1:31" s="2" customFormat="1" x14ac:dyDescent="0.25">
      <c r="A354">
        <v>89</v>
      </c>
      <c r="B354">
        <v>12</v>
      </c>
      <c r="C354">
        <v>18</v>
      </c>
      <c r="D354">
        <v>5</v>
      </c>
      <c r="E354">
        <v>1</v>
      </c>
      <c r="F354" s="3">
        <f>1166.9+(16.3-382.5)+(-1.785357+(-0.024939--0.585225))+0-307.3--0.470169000000018</f>
        <v>492.64509800000008</v>
      </c>
      <c r="G354" s="3">
        <f>1168.6+(11-399.4)+(-2.97993+(-0.02805--1.01847))+0-308.6--0.786929999999955</f>
        <v>470.39741999999984</v>
      </c>
      <c r="H354" s="3">
        <f>1169.1+(1-402)+(-0.596241+(-0.00051--0.20502))+0-308.6--0.157385999999969</f>
        <v>459.26565499999981</v>
      </c>
      <c r="I354" s="3">
        <f>1166.7+(0-405.6)+(-2.380068+(0--0.827424))+0-309.8--0.631991999999986</f>
        <v>450.37934799999999</v>
      </c>
      <c r="J354" s="3">
        <f>1168.8+(0-409)+(-1.192176+(0--0.41718))+0-308.7--0.314874000000049</f>
        <v>450.63987800000001</v>
      </c>
      <c r="K354" s="3">
        <f>1167.6+(0-383.5)+(-1.190952+(0--0.39117))+0-307.7--0.313854000000049</f>
        <v>475.91407199999992</v>
      </c>
      <c r="L354" s="3">
        <f>1169.2+(1.4-369.6)+(0+(0-0))+0-308.1-0</f>
        <v>492.9</v>
      </c>
      <c r="M354" s="3">
        <f>1167.1+(13.7-369.8)+(-0.595221+(-0.006987--0.188598))+0-306.8--0.156467999999969</f>
        <v>503.94285799999989</v>
      </c>
      <c r="N354" s="3">
        <f>1155.5+(30.2-354)+(1.17861+(0.030804-0.36108))+0-307.5-0.313650000000049</f>
        <v>524.73468400000002</v>
      </c>
      <c r="O354" s="3">
        <f>1137.9+(48.8-343.8)+(-0.580329+(-0.024888--0.175338))+0-308.6--0.157385999999969</f>
        <v>534.02750700000001</v>
      </c>
      <c r="P354" s="3">
        <f>1109+(101.1-338)+(-1.69677+(-0.154683--0.51714))+0-309.8--0.473994000000018</f>
        <v>561.43968100000018</v>
      </c>
      <c r="Q354" s="3">
        <f>1140.2+(111.7-369.7)+(-1.744506+(-0.170901--0.565641))+0-310.8--0.475524000000018</f>
        <v>570.52575800000011</v>
      </c>
      <c r="R354" s="3">
        <f>1134.9+(106.9-343)+(-2.893995+(-0.272595--0.87465))+0-309.1--0.788204999999955</f>
        <v>588.19626500000004</v>
      </c>
      <c r="S354" s="3">
        <f>1132.3+(87.9-318.6)+(-2.309892+(-0.179316--0.649944))+0-309.6--0.631583999999986</f>
        <v>590.7923199999999</v>
      </c>
      <c r="T354" s="3">
        <f>1132.5+(72.3-310.4)+(-1.15515+(-0.073746--0.316608))+0-308.4--0.314568000000049</f>
        <v>585.40228000000013</v>
      </c>
      <c r="U354" s="3">
        <f>1132.3+(73.5-314.6)+(-2.309892+(-0.14994--0.641784))+0-309.1--0.630563999999987</f>
        <v>580.91251599999987</v>
      </c>
      <c r="V354" s="3">
        <f>1133.9+(69.4-314.2)+(0.578289+(0.035394-0.160242))+0-307.7-0.156926999999969</f>
        <v>581.69651400000021</v>
      </c>
      <c r="W354" s="3">
        <f>1140.4+(71.9-335.7)+(-2.326416+(-0.146676--0.684828))+0-308.2--0.628727999999987</f>
        <v>567.24046400000009</v>
      </c>
      <c r="X354" s="3">
        <f>1145.3+(130.4-329)+(-1.168206+(-0.133008--0.33558))+0-310.5--0.31671000000005</f>
        <v>635.55107599999997</v>
      </c>
      <c r="Y354" s="3">
        <f>1151.9+(123.5-356.9)+(-2.937345+(-0.314925--0.910095))+0-308.2--0.785909999999955</f>
        <v>608.74373500000013</v>
      </c>
      <c r="Z354" s="3">
        <f>1154.5+(110.3-356.4)+(0+(0-0))+0-308.8-0</f>
        <v>599.60000000000014</v>
      </c>
      <c r="AA354" s="3">
        <f>1158.7+(87-370.9)+(-1.181874+(-0.08874--0.378318))+0-308.9--0.315078000000049</f>
        <v>565.32278200000019</v>
      </c>
      <c r="AB354" s="3">
        <f>1161.8+(64.6-351.8)+(-2.96259+(-0.16473--0.89709))+0-307.8--0.784889999999955</f>
        <v>565.35465999999974</v>
      </c>
      <c r="AC354" s="3">
        <f>1059.6+(107.5-319.1)+(-1.080792+(-0.10965--0.325482))+0-307.3--0.313446000000049</f>
        <v>540.14848599999993</v>
      </c>
      <c r="AD354">
        <f t="shared" si="5"/>
        <v>12995.773056999999</v>
      </c>
      <c r="AE354" s="3">
        <f>1149+(138.1-348.9)+(0+(0-0))+0-308.2-0</f>
        <v>630</v>
      </c>
    </row>
    <row r="355" spans="1:31" s="2" customFormat="1" x14ac:dyDescent="0.25">
      <c r="A355">
        <v>89</v>
      </c>
      <c r="B355">
        <v>12</v>
      </c>
      <c r="C355">
        <v>19</v>
      </c>
      <c r="D355">
        <v>6</v>
      </c>
      <c r="E355">
        <v>1</v>
      </c>
      <c r="F355" s="3">
        <f>964.4+(136.6-306.6)+(0+(0-0))+0-307.3-0</f>
        <v>487.09999999999997</v>
      </c>
      <c r="G355" s="3">
        <f>967.4+(112.5-308.9)+(0+(0-0))+0-308.4-0</f>
        <v>462.6</v>
      </c>
      <c r="H355" s="3">
        <f>967.5+(105.5-308.4)+(0+(0-0))+0-309-0</f>
        <v>455.6</v>
      </c>
      <c r="I355" s="3">
        <f>961+(101-314.6)+(0+(0-0))+0-309-0</f>
        <v>438.4</v>
      </c>
      <c r="J355" s="3">
        <f>964.8+(102.4-312.8)+(0+(0-0))+0-308.6-0</f>
        <v>445.79999999999995</v>
      </c>
      <c r="K355" s="3">
        <f>967.6+(119.3-314.4)+(0+(0-0))+0-307.7-0</f>
        <v>464.8</v>
      </c>
      <c r="L355" s="3">
        <f>965.8+(158.7-334.7)+(0+(0-0))+0-307.6-0</f>
        <v>482.19999999999993</v>
      </c>
      <c r="M355" s="3">
        <f>963.9+(188.7-346)+(0+(0-0))+0-306.6-0</f>
        <v>499.99999999999989</v>
      </c>
      <c r="N355" s="3">
        <f>953.2+(206.7-336.9)+(0+(0-0))+0-306.7-0</f>
        <v>516.29999999999995</v>
      </c>
      <c r="O355" s="3">
        <f>949.6+(201.2-312.7)+(0+(0-0))+0-309.5-0</f>
        <v>528.6</v>
      </c>
      <c r="P355" s="3">
        <f>944.4+(231-302.3)+(0+(0-0))+0-309.3-0</f>
        <v>563.79999999999995</v>
      </c>
      <c r="Q355" s="3">
        <f>943.1+(227.4-292.6)+(0+(0-0))+0-309.9-0</f>
        <v>568</v>
      </c>
      <c r="R355" s="3">
        <f>940.6+(221.9-283.6)+(-2.39853+(-0.565845--0.72318))+0-307.9--0.785144999999955</f>
        <v>569.54395</v>
      </c>
      <c r="S355" s="3">
        <f>935.8+(238-280)+(1.431774+(0.36414-0.4284))+0-308.3-0.471699000000018</f>
        <v>586.39581499999997</v>
      </c>
      <c r="T355" s="3">
        <f>934.8+(242.2-277.5)+(-1.430244+(-0.370566--0.424575))+0-308.1--0.471393000000018</f>
        <v>590.49515800000006</v>
      </c>
      <c r="U355" s="3">
        <f>935.7+(239.2-277.3)+(-1.431621+(-0.365976--0.424269))+0-309.7--0.473841000000018</f>
        <v>587.00051299999996</v>
      </c>
      <c r="V355" s="3">
        <f>936.5+(238.5-259.4)+(-1.432845+(-0.364905--0.396882))+0-309--0.472770000000018</f>
        <v>605.67190200000005</v>
      </c>
      <c r="W355" s="3">
        <f>942.2+(243.9-289)+(0+(0-0))+0-308.1-0</f>
        <v>589</v>
      </c>
      <c r="X355" s="3">
        <f>945.6+(283.2-305.2)+(-0.964512+(-0.288864--0.311304))+0-308.8--0.314976000000049</f>
        <v>614.1729039999999</v>
      </c>
      <c r="Y355" s="3">
        <f>945.6+(274.1-309.3)+(-3.375792+(-0.978537--1.104201))+0-307.9--1.099203</f>
        <v>600.34907500000008</v>
      </c>
      <c r="Z355" s="3">
        <f>951.5+(249.5-313)+(-1.94106+(-0.50898--0.63852))+0-308.1--0.628523999999987</f>
        <v>578.71700399999997</v>
      </c>
      <c r="AA355" s="3">
        <f>958.7+(237-325.6)+(-1.955748+(-0.48348--0.664224))+0-309.5--0.631379999999987</f>
        <v>559.45637600000009</v>
      </c>
      <c r="AB355" s="3">
        <f>959.5+(229.6-324.9)+(-2.446725+(-0.58548--0.828495))+0-308.7--0.787184999999955</f>
        <v>554.08347499999991</v>
      </c>
      <c r="AC355" s="3">
        <f>958.8+(175.5-284.2)+(-1.955952+(-0.35802--0.579768))+0-307.5--0.627299999999987</f>
        <v>541.49309599999992</v>
      </c>
      <c r="AD355">
        <f t="shared" si="5"/>
        <v>12889.579268</v>
      </c>
      <c r="AE355" s="3">
        <f>939+(283.3-360.2)+(0+(0-0))+0-307.6-0</f>
        <v>554.5</v>
      </c>
    </row>
    <row r="356" spans="1:31" s="2" customFormat="1" x14ac:dyDescent="0.25">
      <c r="A356">
        <v>89</v>
      </c>
      <c r="B356">
        <v>12</v>
      </c>
      <c r="C356">
        <v>20</v>
      </c>
      <c r="D356">
        <v>7</v>
      </c>
      <c r="E356">
        <v>1</v>
      </c>
      <c r="F356" s="3">
        <f>960.9+(132.4-280.7)+(0+(0-0))+0-307.6-0</f>
        <v>505</v>
      </c>
      <c r="G356" s="3">
        <f>960.4+(116.6-284.2)+(0+(0-0))+0-308.7-0</f>
        <v>484.09999999999997</v>
      </c>
      <c r="H356" s="3">
        <f>957.6+(102.7-278.6)+(0+(0-0))+0-308.2-0</f>
        <v>473.50000000000006</v>
      </c>
      <c r="I356" s="3">
        <f>963.2+(97.6-279.4)+(0+(0-0))+0-308.5-0</f>
        <v>472.90000000000009</v>
      </c>
      <c r="J356" s="3">
        <f>961.9+(101-282.6)+(0+(0-0))+0-308.6-0</f>
        <v>471.69999999999993</v>
      </c>
      <c r="K356" s="3">
        <f>966.3+(109.4-287.1)+(0+(0-0))+0-308.5-0</f>
        <v>480.09999999999991</v>
      </c>
      <c r="L356" s="3">
        <f>966.1+(108-297.9)+(0+(0-0))+0-307.5-0</f>
        <v>468.70000000000005</v>
      </c>
      <c r="M356" s="3">
        <f>963.9+(122.4-294)+(0+(0-0))+0-307.3-0</f>
        <v>484.99999999999994</v>
      </c>
      <c r="N356" s="3">
        <f>956.7+(156.7-280.4)+(0+(0-0))+0-306.8-0</f>
        <v>526.20000000000005</v>
      </c>
      <c r="O356" s="3">
        <f>950.9+(187.1-278.5)+(0+(0-0))+0-308.1-0</f>
        <v>551.4</v>
      </c>
      <c r="P356" s="3">
        <f>945.5+(214.9-272.1)+(0+(0-0))+0-309.3-0</f>
        <v>579</v>
      </c>
      <c r="Q356" s="3">
        <f>942.3+(210.9-250.2)+(0+(0-0))+0-308.3-0</f>
        <v>594.70000000000005</v>
      </c>
      <c r="R356" s="3">
        <f>943.5+(219.9-243.8)+(-2.405925+(-0.560745--0.62169))+0-307.4--0.783869999999955</f>
        <v>610.63889000000006</v>
      </c>
      <c r="S356" s="3">
        <f>941.4+(206.8-236.6)+(-1.920456+(-0.421872--0.482664))+0-306.8--0.625871999999987</f>
        <v>603.56620800000007</v>
      </c>
      <c r="T356" s="3">
        <f>920+(217-247.5)+(-0.9384+(-0.22134--0.25245))+0-307--0.313140000000049</f>
        <v>581.9058500000001</v>
      </c>
      <c r="U356" s="3">
        <f>923.4+(212.2-236.2)+(-1.883736+(-0.432888--0.481848))+0-306.3--0.624851999999987</f>
        <v>591.89007600000002</v>
      </c>
      <c r="V356" s="3">
        <f>924.6+(199.1-232.7)+(0.943092+(0.203082-0.237354))+0-306.7-0.312834000000049</f>
        <v>584.89598599999999</v>
      </c>
      <c r="W356" s="3">
        <f>925.6+(204.3-236.8)+(-0.944112+(-0.208386--0.241536))+0-307.4--0.313548000000049</f>
        <v>585.10258600000009</v>
      </c>
      <c r="X356" s="3">
        <f>931.1+(256.1-257.8)+(0+(0-0))+0-308.9-0</f>
        <v>620.50000000000011</v>
      </c>
      <c r="Y356" s="3">
        <f>934.9+(260.8-265.9)+(-2.860794+(-0.798048--0.813654))+0-308.2--0.943092000000036</f>
        <v>619.69790399999999</v>
      </c>
      <c r="Z356" s="3">
        <f>939+(247.5-266.1)+(-0.95778+(-0.25245--0.271422))+0-307.5--0.313650000000049</f>
        <v>612.27484200000004</v>
      </c>
      <c r="AA356" s="3">
        <f>941.8+(233.7-271.3)+(-0.480318+(-0.119187--0.138363))+0-307.7--0.156926999999969</f>
        <v>596.19578499999989</v>
      </c>
      <c r="AB356" s="3">
        <f>989.7+(208-296.5)+(-1.009494+(-0.21216--0.30243))+0-306.9--0.313038000000049</f>
        <v>593.69381400000009</v>
      </c>
      <c r="AC356" s="3">
        <f>1055.7+(159.7-330.9)+(-2.153628+(-0.325788--0.675036))+0-305.8--0.623831999999987</f>
        <v>577.519452</v>
      </c>
      <c r="AD356">
        <f t="shared" si="5"/>
        <v>13270.181393000003</v>
      </c>
      <c r="AE356" s="3">
        <f>930+(249.9-289.2)+(0+(0-0))+0-307.6-0</f>
        <v>583.1</v>
      </c>
    </row>
    <row r="357" spans="1:31" s="2" customFormat="1" x14ac:dyDescent="0.25">
      <c r="A357">
        <v>89</v>
      </c>
      <c r="B357">
        <v>12</v>
      </c>
      <c r="C357">
        <v>21</v>
      </c>
      <c r="D357">
        <v>1</v>
      </c>
      <c r="E357">
        <v>1</v>
      </c>
      <c r="F357" s="3">
        <f>1143.6+(79.7-368.6)+(-2.91618+(-0.203235--0.93993))+0-306.5--0.781574999999956</f>
        <v>546.80208999999979</v>
      </c>
      <c r="G357" s="3">
        <f>1162.1+(60.1-391.7)+(-1.185342+(-0.061302--0.399534))+0-307.4--0.313548000000049</f>
        <v>522.56643800000006</v>
      </c>
      <c r="H357" s="3">
        <f>1162.1+(55-398.3)+(-1.778013+(-0.08415--0.609399))+0-308.7--0.472311000000018</f>
        <v>509.319547</v>
      </c>
      <c r="I357" s="3">
        <f>1163.3+(49-404)+(1.779849+(0.07497-0.61812))+0-310.1-0.474453000000018</f>
        <v>498.96224599999994</v>
      </c>
      <c r="J357" s="3">
        <f>1162.9+(48.3-415.7)+(-0.593079+(-0.024633--0.212007))+0-307.7--0.156926999999969</f>
        <v>487.55122200000011</v>
      </c>
      <c r="K357" s="3">
        <f>1164.5+(61.1-421.7)+(0+(0-0))+0-306.7-0</f>
        <v>497.2000000000001</v>
      </c>
      <c r="L357" s="3">
        <f>1156.7+(95.8-430.9)+(-0.589917+(-0.048858--0.219759))+0-307.7--0.156926999999969</f>
        <v>513.63791100000003</v>
      </c>
      <c r="M357" s="3">
        <f>1151.7+(113.6-438)+(0+(0-0))+0-305.9-0</f>
        <v>521.40000000000009</v>
      </c>
      <c r="N357" s="3">
        <f>1137+(130.2-402.5)+(0+(0-0))+0-307.3-0</f>
        <v>557.40000000000009</v>
      </c>
      <c r="O357" s="3">
        <f>1126.3+(147.4-410.3)+(0+(0-0))+0-280.9-0</f>
        <v>582.5</v>
      </c>
      <c r="P357" s="3">
        <f>1128.8+(158.7-421.6)+(1.151376+(0.161874-0.430032))+0-257.2-0.262344000000041</f>
        <v>609.320874</v>
      </c>
      <c r="Q357" s="3">
        <f>1128.9+(193.8-386.9)+(-1.151478+(-0.197676--0.394638))+0-308.4--0.314568000000049</f>
        <v>626.7600520000002</v>
      </c>
      <c r="R357" s="3">
        <f>1124.5+(185.3-368.7)+(-2.867475+(-0.472515--0.940185))+0-308.1--0.785654999999955</f>
        <v>631.38584999999989</v>
      </c>
      <c r="S357" s="3">
        <f>1122.2+(172-347.9)+(-2.289288+(-0.35088--0.709716))+0-307.6--0.627503999999987</f>
        <v>637.39705200000003</v>
      </c>
      <c r="T357" s="3">
        <f>1124.4+(158.2-322.9)+(0+(0-0))+0-308-0</f>
        <v>651.70000000000005</v>
      </c>
      <c r="U357" s="3">
        <f>1123.7+(173.6-317)+(-0.573087+(-0.088536--0.16167))+0-307--0.156569999999969</f>
        <v>672.95661700000005</v>
      </c>
      <c r="V357" s="3">
        <f>1122.6+(158.7-353)+(0.572526+(0.080937-0.18003))+0-307.3-0.156722999999969</f>
        <v>621.31670999999994</v>
      </c>
      <c r="W357" s="3">
        <f>1128.1+(131.9-348.2)+(-0.575331+(-0.067269--0.177582))+0-307.7--0.156926999999969</f>
        <v>603.79190900000003</v>
      </c>
      <c r="X357" s="3">
        <f>1132.9+(150.1-296.7)+(-1.155558+(-0.153102--0.302634))+0-309.2--0.315384000000049</f>
        <v>676.40935800000011</v>
      </c>
      <c r="Y357" s="3">
        <f>1133.7+(156-314.1)+(-0.578187+(-0.07956--0.160191))+0-308.1--0.157130999999969</f>
        <v>667.1595749999999</v>
      </c>
      <c r="Z357" s="3">
        <f>1135+(136.6-317.1)+(-1.1577+(-0.139332--0.323442))+0-307.6--0.313752000000049</f>
        <v>646.24016200000005</v>
      </c>
      <c r="AA357" s="3">
        <f>1141.1+(120.6-322.7)+(-1.745883+(-0.184518--0.493731))+0-308--0.471240000000018</f>
        <v>630.0345699999998</v>
      </c>
      <c r="AB357" s="3">
        <f>1132.4+(103.9-306.8)+(-4.042668+(-0.370923--1.095276))+0-308.1--1.099917</f>
        <v>619.18160200000011</v>
      </c>
      <c r="AC357" s="3">
        <f>1012.7+(132-241)+(-2.065908+(-0.26928--0.49164))+0-307.3--0.626891999999987</f>
        <v>595.18334400000003</v>
      </c>
      <c r="AD357">
        <f t="shared" si="5"/>
        <v>14126.177129</v>
      </c>
      <c r="AE357" s="3">
        <f>1128+(150.9-364.3)+(0+(0-0))+0-307-0</f>
        <v>607.6</v>
      </c>
    </row>
    <row r="358" spans="1:31" s="2" customFormat="1" x14ac:dyDescent="0.25">
      <c r="A358">
        <v>89</v>
      </c>
      <c r="B358">
        <v>12</v>
      </c>
      <c r="C358">
        <v>22</v>
      </c>
      <c r="D358">
        <v>2</v>
      </c>
      <c r="E358">
        <v>1</v>
      </c>
      <c r="F358" s="3">
        <f>1025.1+(98.4-269)+(-2.614005+(-0.25092--0.68595))+0-307.3--0.783614999999955</f>
        <v>545.80463999999972</v>
      </c>
      <c r="G358" s="3">
        <f>1028+(70-264.9)+(-3.14568+(-0.2142--0.810594))+0-307.7--0.941562000000036</f>
        <v>523.79227600000002</v>
      </c>
      <c r="H358" s="3">
        <f>1030.6+(61.3-271)+(-2.102424+(-0.125052--0.55284))+0-309.1--0.630563999999987</f>
        <v>510.75592799999987</v>
      </c>
      <c r="I358" s="3">
        <f>1036.9+(52.6-279.2)+(1.586457+(0.080478-0.427176))+0-309-0.472770000000018</f>
        <v>502.06698900000009</v>
      </c>
      <c r="J358" s="3">
        <f>1041+(49.8-292.7)+(-1.59273+(-0.076194--0.447831))+0-308--0.471240000000018</f>
        <v>489.35014700000005</v>
      </c>
      <c r="K358" s="3">
        <f>1042+(59.6-300.8)+(2.12568+(0.121584-0.613632))+0-306.8-0.625871999999987</f>
        <v>495.00775999999996</v>
      </c>
      <c r="L358" s="3">
        <f>1043.1+(56-300.1)+(-3.191886+(-0.17136--0.918306))+0-308.5--0.944010000000036</f>
        <v>488.99906999999996</v>
      </c>
      <c r="M358" s="3">
        <f>1036.5+(100.7-309.3)+(1.05723+(0.102714-0.315486))+0-305.6-0.311712000000049</f>
        <v>522.83274599999993</v>
      </c>
      <c r="N358" s="3">
        <f>1029.1+(128.5-307.7)+(1.049682+(0.13107-0.313854))+0-305.6-0.311712000000049</f>
        <v>544.85518599999978</v>
      </c>
      <c r="O358" s="3">
        <f>1021.8+(154.5-332.4)+(0.521118+(0.078795-0.169524))+0-306.9-0.156518999999969</f>
        <v>537.27386999999999</v>
      </c>
      <c r="P358" s="3">
        <f>1013.3+(208.2-325.3)+(0.516783+(0.106182-0.165903))+0-308-0.157079999999969</f>
        <v>588.49998199999993</v>
      </c>
      <c r="Q358" s="3">
        <f>1009.7+(234.8-334)+(-1.544841+(-0.359244--0.51102))+0-306.9--0.469557000000018</f>
        <v>602.67649200000005</v>
      </c>
      <c r="R358" s="3">
        <f>1006.7+(236.7-329.2)+(0+(0-0))+0-306.8-0</f>
        <v>607.40000000000009</v>
      </c>
      <c r="S358" s="3">
        <f>1002.8+(241.1-313.6)+(0.511428+(0.122961-0.159936))+0-305.9-0.156008999999969</f>
        <v>624.71844400000009</v>
      </c>
      <c r="T358" s="3">
        <f>1001.8+(238.7-309.1)+(-1.021836+(-0.243474--0.315282))+0-307--0.313140000000049</f>
        <v>623.76311199999998</v>
      </c>
      <c r="U358" s="3">
        <f>1001.3+(233.6-319.7)+(0+(0-0))+0-307.5-0</f>
        <v>607.69999999999993</v>
      </c>
      <c r="V358" s="3">
        <f>997.6+(233.4-319.9)+(-2.54388+(-0.59517--0.815745))+0-306.2--0.780809999999956</f>
        <v>603.35750499999995</v>
      </c>
      <c r="W358" s="3">
        <f>998+(215.3-329.7)+(0+(0-0))+0-308.3-0</f>
        <v>575.29999999999995</v>
      </c>
      <c r="X358" s="3">
        <f>1014.1+(238.2-305.1)+(-0.517191+(-0.121482--0.155601))+0-308.2--0.157181999999969</f>
        <v>638.67410999999993</v>
      </c>
      <c r="Y358" s="3">
        <f>1070.8+(207.6-336.8)+(-1.638324+(-0.317628--0.515304))+0-308--0.471240000000018</f>
        <v>632.63059199999987</v>
      </c>
      <c r="Z358" s="3">
        <f>1123.7+(188.5-371.4)+(-1.146174+(-0.19227--0.378828))+0-308--0.314160000000049</f>
        <v>632.1545440000001</v>
      </c>
      <c r="AA358" s="3">
        <f>1135.1+(173.7-371.2)+(-1.736703+(-0.265761--0.567936))+0-308--0.471240000000018</f>
        <v>628.63671199999987</v>
      </c>
      <c r="AB358" s="3">
        <f>1131.7+(162.1-360.4)+(-1.154334+(-0.165342--0.367608))+0-307.8--0.313956000000049</f>
        <v>624.96188800000016</v>
      </c>
      <c r="AC358" s="3">
        <f>1134.9+(151.2-360.3)+(-1.736397+(-0.231336--0.551259))+0-306.8--0.469404000000018</f>
        <v>618.05293000000017</v>
      </c>
      <c r="AD358">
        <f t="shared" si="5"/>
        <v>13769.264922999999</v>
      </c>
      <c r="AE358" s="3">
        <f>999+(235-317)+(0+(0-0))+0-307.6-0</f>
        <v>609.4</v>
      </c>
    </row>
    <row r="359" spans="1:31" s="2" customFormat="1" x14ac:dyDescent="0.25">
      <c r="A359">
        <v>89</v>
      </c>
      <c r="B359">
        <v>12</v>
      </c>
      <c r="C359">
        <v>23</v>
      </c>
      <c r="D359">
        <v>3</v>
      </c>
      <c r="E359">
        <v>1</v>
      </c>
      <c r="F359" s="3">
        <f>1139.4+(130.5-376.1)+(-5.81094+(-0.66555--1.91811))+0-307.1--1.56621000000002</f>
        <v>583.70783000000006</v>
      </c>
      <c r="G359" s="3">
        <f>1140.1+(69.4-340.5)+(-3.488706+(-0.212364--1.04193))+0-308.5--0.944010000000036</f>
        <v>558.78486999999996</v>
      </c>
      <c r="H359" s="3">
        <f>1141.5+(61.8-349.6)+(-1.746495+(-0.094554--0.534888))+0-308.6--0.472158000000018</f>
        <v>544.26599700000008</v>
      </c>
      <c r="I359" s="3">
        <f>1141.2+(55.1-356.4)+(-1.746036+(-0.084303--0.545292))+0-309.8--0.473994000000018</f>
        <v>529.28894700000012</v>
      </c>
      <c r="J359" s="3">
        <f>1143.8+(40.5-359.9)+(1.166676+(0.04131-0.367098))+0-307.7-0.313854000000049</f>
        <v>517.22703399999989</v>
      </c>
      <c r="K359" s="3">
        <f>1152.6+(50.3-372.1)+(-0.587826+(-0.025653--0.189771))+0-306.8--0.156467999999969</f>
        <v>523.73275999999998</v>
      </c>
      <c r="L359" s="3">
        <f>1156+(44.4-390.5)+(-0.58956+(-0.022644--0.199155))+0-307--0.156569999999969</f>
        <v>502.64352099999996</v>
      </c>
      <c r="M359" s="3">
        <f>1152.2+(66.9-380.3)+(2.350488+(0.136476-0.775812))+0-306.2-0.624647999999987</f>
        <v>533.68650400000001</v>
      </c>
      <c r="N359" s="3">
        <f>1141+(109.2-380.1)+(0+(0-0))+0-306.8-0</f>
        <v>563.29999999999995</v>
      </c>
      <c r="O359" s="3">
        <f>1131.7+(140.6-403.1)+(-2.308668+(-0.286824--0.822324))+0-307.2--0.626687999999987</f>
        <v>560.85352</v>
      </c>
      <c r="P359" s="3">
        <f>1128.3+(176.6-427.8)+(-2.301732+(-0.360264--0.872712))+0-308.6--0.629543999999987</f>
        <v>567.34025999999994</v>
      </c>
      <c r="Q359" s="3">
        <f>1123.3+(185.9-438.9)+(-1.718649+(-0.284427--0.671517))+0-249--0.380970000000014</f>
        <v>620.34941100000003</v>
      </c>
      <c r="R359" s="3">
        <f>1119.2+(172.7-331.9)+(-2.283168+(-0.352308--0.677076))+0-309.8--0.631991999999986</f>
        <v>648.87359200000003</v>
      </c>
      <c r="S359" s="3">
        <f>1113.8+(145.2-285.8)+(1.136076+(0.148104-0.291516))+0-310-0.316200000000049</f>
        <v>663.87646399999983</v>
      </c>
      <c r="T359" s="3">
        <f>1114.7+(141.1-294.6)+(-1.136994+(-0.143922--0.300492))+0-307.2--0.313344000000049</f>
        <v>653.33292000000017</v>
      </c>
      <c r="U359" s="3">
        <f>1116.4+(243.5-397.7)+(0+(0-0))+0-308.2-0</f>
        <v>654</v>
      </c>
      <c r="V359" s="3">
        <f>1115.1+(266.4-445.2)+(-2.274804+(-0.543456--0.908208))+0-305.6--0.623423999999987</f>
        <v>629.41337199999998</v>
      </c>
      <c r="W359" s="3">
        <f>945.6+(310.7-328.4)+(-0.482256+(-0.158457--0.167484))+0-307.9--0.157028999999969</f>
        <v>619.68380000000013</v>
      </c>
      <c r="X359" s="3">
        <f>881.7+(360.3-288.2)+(-0.449667+(-0.183753--0.146982))+0-293.8--0.14983799999997</f>
        <v>659.66340000000002</v>
      </c>
      <c r="Y359" s="3">
        <f>888.2+(345.5-264.6)+(-2.717892+(-1.05723--0.809676))+0-308.3--0.943398000000036</f>
        <v>658.77795200000003</v>
      </c>
      <c r="Z359" s="3">
        <f>890.7+(372.6-306.5)+(-1.362771+(-0.570078--0.468945))+0-308.3--0.471699000000018</f>
        <v>647.5077950000001</v>
      </c>
      <c r="AA359" s="3">
        <f>892.4+(374.2-315.3)+(-1.365372+(-0.572526--0.482409))+0-308.1--0.471393000000018</f>
        <v>642.21590400000002</v>
      </c>
      <c r="AB359" s="3">
        <f>895.3+(357.1-295.6)+(-1.826412+(-0.728484--0.603024))+0-307.4--0.627095999999987</f>
        <v>648.07522399999993</v>
      </c>
      <c r="AC359" s="3">
        <f>896.8+(325.7-271.4)+(-2.28684+(-0.830535--0.69207))+0-306.1--0.780554999999956</f>
        <v>643.35524999999984</v>
      </c>
      <c r="AD359">
        <f t="shared" si="5"/>
        <v>14373.956327000002</v>
      </c>
      <c r="AE359" s="3">
        <f>887+(334-267.5)+(0+(0-0))+0-312.3-0</f>
        <v>641.20000000000005</v>
      </c>
    </row>
    <row r="360" spans="1:31" s="2" customFormat="1" x14ac:dyDescent="0.25">
      <c r="A360">
        <v>89</v>
      </c>
      <c r="B360">
        <v>12</v>
      </c>
      <c r="C360">
        <v>24</v>
      </c>
      <c r="D360">
        <v>4</v>
      </c>
      <c r="E360">
        <v>1</v>
      </c>
      <c r="F360" s="3">
        <f>904.4+(269.9-254.4)+(-2.767464+(-0.825894--0.778464))+0-307.3--0.940338000000036</f>
        <v>610.72544400000004</v>
      </c>
      <c r="G360" s="3">
        <f>897.3+(203.7-210)+(-2.288115+(-0.519435--0.5355))+0-308.9--0.787694999999955</f>
        <v>580.61564499999997</v>
      </c>
      <c r="H360" s="3">
        <f>897.2+(123.7-154)+(0+(0-0))+0-308.6-0</f>
        <v>558.30000000000007</v>
      </c>
      <c r="I360" s="3">
        <f>898.4+(121.7-153.8)+(-2.749104+(-0.372402--0.470628))+0-308.1--0.942786000000036</f>
        <v>556.49190799999997</v>
      </c>
      <c r="J360" s="3">
        <f>894+(144.1-153.3)+(1.36782+(0.220473-0.234549))+0-308.1-0.471393000000018</f>
        <v>577.5823509999999</v>
      </c>
      <c r="K360" s="3">
        <f>903.6+(140.7-172.7)+(-2.30418+(-0.358785--0.440385))+0-307--0.782849999999955</f>
        <v>563.16026999999997</v>
      </c>
      <c r="L360" s="3">
        <f>905.6+(129-214)+(-1.385568+(-0.19737--0.32742))+0-306.2--0.468486000000018</f>
        <v>513.61296799999991</v>
      </c>
      <c r="M360" s="3">
        <f>902.5+(163.4-212.1)+(-0.92055+(-0.166668--0.216342))+0-306.1--0.312222000000049</f>
        <v>547.141346</v>
      </c>
      <c r="N360" s="3">
        <f>897.7+(243.6-270.2)+(0+(0-0))+0-307.3-0</f>
        <v>563.79999999999995</v>
      </c>
      <c r="O360" s="3">
        <f>899.9+(269.2-268.9)+(-0.917898+(-0.274584--0.274278))+0-308.1--0.314262000000049</f>
        <v>591.49605800000018</v>
      </c>
      <c r="P360" s="3">
        <f>980.4+(227.1-275.1)+(-0.500004+(-0.115821--0.140301))+0-308.3--0.157232999999969</f>
        <v>623.78170899999998</v>
      </c>
      <c r="Q360" s="3">
        <f>1029.2+(234.6-309.7)+(-1.574676+(-0.358938--0.473841))+0-307.4--0.470322000000018</f>
        <v>645.71054900000001</v>
      </c>
      <c r="R360" s="3">
        <f>1075.3+(208.2-289.9)+(-1.096806+(-0.212364--0.295698))+0-307--0.313140000000049</f>
        <v>685.89966800000002</v>
      </c>
      <c r="S360" s="3">
        <f>1069.8+(222.3-287.4)+(-0.545598+(-0.113373--0.146574))+0-307.3--0.156722999999969</f>
        <v>697.04432600000007</v>
      </c>
      <c r="T360" s="3">
        <f>1072.6+(221.5-278)+(-0.547026+(-0.112965--0.14178))+0-307--0.156569999999969</f>
        <v>708.73835899999995</v>
      </c>
      <c r="U360" s="3">
        <f>1069+(191.9-298.2)+(-1.63557+(-0.293607--0.456246))+0-307--0.469710000000018</f>
        <v>654.69677899999999</v>
      </c>
      <c r="V360" s="3">
        <f>1075.3+(167.3-264.1)+(-4.387224+(-0.682584--1.077528))+0-307.3--1.25378399999997</f>
        <v>668.46150399999988</v>
      </c>
      <c r="W360" s="3">
        <f>1080.2+(141.5-277.9)+(0.550902+(0.072165-0.141729))+0-308.1-0.157130999999969</f>
        <v>636.02420700000016</v>
      </c>
      <c r="X360" s="3">
        <f>1085.4+(192.9-284.7)+(0.553554+(0.098379-0.145197))+0-308.9-0.157538999999969</f>
        <v>685.04919700000028</v>
      </c>
      <c r="Y360" s="3">
        <f>1090.2+(223.7-328.3)+(-2.224008+(-0.456348--0.669732))+0-307.6--0.627503999999987</f>
        <v>676.61687999999992</v>
      </c>
      <c r="Z360" s="3">
        <f>1096.7+(219.5-320.2)+(-1.118634+(-0.22389--0.326604))+0-307.6--0.313752000000049</f>
        <v>687.69783199999995</v>
      </c>
      <c r="AA360" s="3">
        <f>1099.1+(209.6-328.4)+(-1.121082+(-0.213792--0.334968))+0-308.5--0.314670000000049</f>
        <v>671.11476400000004</v>
      </c>
      <c r="AB360" s="3">
        <f>1075.4+(205.3-300.9)+(-0.548454+(-0.104703--0.153459))+0-307.5--0.156824999999969</f>
        <v>671.95712700000013</v>
      </c>
      <c r="AC360" s="3">
        <f>915+(254.8-196.5)+(-0.46665+(-0.129948--0.100215))+0-306.5--0.156314999999969</f>
        <v>666.45993199999987</v>
      </c>
      <c r="AD360">
        <f t="shared" si="5"/>
        <v>15042.178822999998</v>
      </c>
      <c r="AE360" s="3">
        <f>1095+(215.1-291.6)+(0+(0-0))+0-307.6-0</f>
        <v>710.9</v>
      </c>
    </row>
    <row r="361" spans="1:31" s="2" customFormat="1" x14ac:dyDescent="0.25">
      <c r="A361">
        <v>89</v>
      </c>
      <c r="B361">
        <v>12</v>
      </c>
      <c r="C361">
        <v>25</v>
      </c>
      <c r="D361">
        <v>5</v>
      </c>
      <c r="E361">
        <v>1</v>
      </c>
      <c r="F361" s="3">
        <f>914.5+(240-224.2)+(-0.466395+(-0.1224--0.114342))+0-306.9--0.156518999999969</f>
        <v>623.08206599999994</v>
      </c>
      <c r="G361" s="3">
        <f>915.4+(188.7-192.6)+(-0.933708+(-0.192474--0.196452))+0-308--0.314160000000049</f>
        <v>602.88443000000007</v>
      </c>
      <c r="H361" s="3">
        <f>918.3+(155.3-172.3)+(-1.873332+(-0.316812--0.351492))+0-308.7--0.629747999999987</f>
        <v>591.39109599999995</v>
      </c>
      <c r="I361" s="3">
        <f>920+(119.8-164.8)+(0.9384+(0.122196-0.168096))+0-307.9-0.314058000000049</f>
        <v>567.67844200000002</v>
      </c>
      <c r="J361" s="3">
        <f>921.3+(118.4-176.9)+(0+(0-0))+0-308.2-0</f>
        <v>554.59999999999991</v>
      </c>
      <c r="K361" s="3">
        <f>921.4+(110.1-183.1)+(0.939828+(0.112302-0.186762))+0-306.7-0.312834000000049</f>
        <v>542.25253399999997</v>
      </c>
      <c r="L361" s="3">
        <f>924+(106-178.7)+(-2.3562+(-0.2703--0.455685))+0-306.1--0.780554999999956</f>
        <v>543.80973999999992</v>
      </c>
      <c r="M361" s="3">
        <f>920.6+(171.2-232.5)+(0.939012+(0.174624-0.23715))+0-305.4-0.311508000000049</f>
        <v>554.46497799999997</v>
      </c>
      <c r="N361" s="3">
        <f>915.6+(209.3-232.5)+(0.466956+(0.106743-0.118575))+0-307.4-0.156773999999969</f>
        <v>585.29835000000014</v>
      </c>
      <c r="O361" s="3">
        <f>906.7+(251.6-233)+(-0.924834+(-0.256632--0.23766))+0-308.4--0.314568000000049</f>
        <v>616.2707620000001</v>
      </c>
      <c r="P361" s="3">
        <f>903.4+(285.6-230.3)+(0.921468+(0.291312-0.234906))+0-308.6-0.314772000000049</f>
        <v>650.763102</v>
      </c>
      <c r="Q361" s="3">
        <f>898.4+(331.2-254.7)+(1.374552+(0.506736-0.389691))+0-308.4-0.471852000000018</f>
        <v>667.51974499999994</v>
      </c>
      <c r="R361" s="3">
        <f>891.4+(296.8-224)+(-1.363842+(-0.454104--0.34272))+0-308--0.471240000000018</f>
        <v>655.19601399999999</v>
      </c>
      <c r="S361" s="3">
        <f>885.1+(301-217)+(-0.451401+(-0.15351--0.11067))+0-307.5--0.156824999999969</f>
        <v>661.26258399999995</v>
      </c>
      <c r="T361" s="3">
        <f>883.3+(295.6-214.5)+(-1.351449+(-0.452268--0.328185))+0-307.5--0.470475000000018</f>
        <v>655.8949429999999</v>
      </c>
      <c r="U361" s="3">
        <f>884.6+(308.2-239.1)+(-1.804584+(-0.628728--0.487764))+0-305.8--0.623831999999987</f>
        <v>646.57828399999994</v>
      </c>
      <c r="V361" s="3">
        <f>885.8+(286.1-208.4)+(-0.903516+(-0.291822--0.212568))+0-300.5--0.306510000000048</f>
        <v>662.32374000000004</v>
      </c>
      <c r="W361" s="3">
        <f>892+(267.7-149.7)+(-2.72952+(-0.819162--0.458082))+0-307.2--0.940032000000036</f>
        <v>700.64943200000005</v>
      </c>
      <c r="X361" s="3">
        <f>892.8+(299.7-138.9)+(0.455328+(0.152847-0.070839))+0-308.4-0.157283999999969</f>
        <v>745.58005200000002</v>
      </c>
      <c r="Y361" s="3">
        <f>900.8+(284.4-136.1)+(-2.29704+(-0.72522--0.347055))+0-307.9--0.785144999999955</f>
        <v>739.30993999999987</v>
      </c>
      <c r="Z361" s="3">
        <f>941.6+(266-158.2)+(-0.960432+(-0.27132--0.161364))+0-307.4--0.313548000000049</f>
        <v>741.2431600000001</v>
      </c>
      <c r="AA361" s="3">
        <f>988.9+(258.2-195.7)+(-2.521695+(-0.65841--0.499035))+0-307.2--0.783359999999955</f>
        <v>742.30228999999986</v>
      </c>
      <c r="AB361" s="3">
        <f>982+(250.5-184)+(-2.5041+(-0.638775--0.4692))+0-306.3--0.781064999999956</f>
        <v>740.30739000000005</v>
      </c>
      <c r="AC361" s="3">
        <f>919.1+(251.3-126.7)+(-1.874964+(-0.512652--0.258468))+0-306.2--0.624647999999987</f>
        <v>735.99549999999999</v>
      </c>
      <c r="AD361">
        <f t="shared" si="5"/>
        <v>15526.658573999994</v>
      </c>
      <c r="AE361" s="3">
        <f>890+(291.1-136.2)+(0+(0-0))+0-307.6-0</f>
        <v>737.30000000000007</v>
      </c>
    </row>
    <row r="362" spans="1:31" s="2" customFormat="1" x14ac:dyDescent="0.25">
      <c r="A362">
        <v>89</v>
      </c>
      <c r="B362">
        <v>12</v>
      </c>
      <c r="C362">
        <v>26</v>
      </c>
      <c r="D362">
        <v>6</v>
      </c>
      <c r="E362">
        <v>1</v>
      </c>
      <c r="F362" s="3">
        <f>919.2+(220.1-138.4)+(-1.406376+(-0.336753--0.211752))+0-306.2--0.468486000000018</f>
        <v>693.63710900000001</v>
      </c>
      <c r="G362" s="3">
        <f>918.4+(185-127.1)+(-0.936768+(-0.1887--0.129642))+0-307.2--0.313344000000049</f>
        <v>668.41751800000009</v>
      </c>
      <c r="H362" s="3">
        <f>916.5+(146.8-113.2)+(-1.402245+(-0.224604--0.173196))+0-307.5--0.470475000000018</f>
        <v>641.61682199999996</v>
      </c>
      <c r="I362" s="3">
        <f>921.5+(117.6-101.8)+(0.469965+(0.059976-0.051918))+0-308-0.157079999999969</f>
        <v>629.62094300000001</v>
      </c>
      <c r="J362" s="3">
        <f>924.7+(111.3-111)+(-1.414791+(-0.170289--0.16983))+0-306.6--0.469098000000018</f>
        <v>617.45384799999999</v>
      </c>
      <c r="K362" s="3">
        <f>924.6+(150.1-149.1)+(-0.471546+(-0.076551--0.076041))+0-306--0.156059999999969</f>
        <v>619.2840040000001</v>
      </c>
      <c r="L362" s="3">
        <f>925.8+(158.8-174.2)+(-1.888632+(-0.323952--0.355368))+0-305.7--0.623627999999987</f>
        <v>603.46641199999988</v>
      </c>
      <c r="M362" s="3">
        <f>920.6+(198.2-189.9)+(0.469506+(0.101082-0.096849))+0-305.4-0.155753999999969</f>
        <v>623.81798500000002</v>
      </c>
      <c r="N362" s="3">
        <f>914.2+(227.1-178.5)+(0.466242+(0.115821-0.091035))+0-306.9-0.156518999999969</f>
        <v>656.23450900000012</v>
      </c>
      <c r="O362" s="3">
        <f>909.5+(242.1-153.5)+(-1.391535+(-0.370413--0.234855))+0-307.6--0.470628000000018</f>
        <v>689.443535</v>
      </c>
      <c r="P362" s="3">
        <f>902+(279.2-157.4)+(-1.38006+(-0.427176--0.240822))+0-307.6--0.470628000000018</f>
        <v>715.10421399999996</v>
      </c>
      <c r="Q362" s="3">
        <f>897.3+(307-155.4)+(-0.457623+(-0.15657--0.079254))+0-308--0.157079999999969</f>
        <v>740.52214099999992</v>
      </c>
      <c r="R362" s="3">
        <f>894.6+(347.5-155.3)+(-1.368738+(-0.531675--0.237609))+0-307.6--0.470628000000018</f>
        <v>778.00782399999991</v>
      </c>
      <c r="S362" s="3">
        <f>887.8+(367.2-139.6)+(0+(0-0))+0-307.3-0</f>
        <v>808.09999999999991</v>
      </c>
      <c r="T362" s="3">
        <f>888.7+(371.5-151.8)+(-1.359711+(-0.568395--0.232254))+0-307.8--0.470934000000018</f>
        <v>799.37508200000013</v>
      </c>
      <c r="U362" s="3">
        <f>886.8+(353.2-156)+(-3.165876+(-1.260924--0.55692))+0-306--1.09242</f>
        <v>775.22253999999998</v>
      </c>
      <c r="V362" s="3">
        <f>884.2+(314.8-147.3)+(-0.901884+(-0.321096--0.150246))+0-306.7--0.312834000000049</f>
        <v>744.24009999999998</v>
      </c>
      <c r="W362" s="3">
        <f>903.2+(279.1-152.1)+(-1.842528+(-0.569364--0.310284))+0-308.3--0.628931999999987</f>
        <v>720.42732400000011</v>
      </c>
      <c r="X362" s="3">
        <f>935.7+(326.1-167.7)+(0+(0-0))+0-308.3-0</f>
        <v>785.80000000000018</v>
      </c>
      <c r="Y362" s="3">
        <f>935.4+(320.5-169.8)+(-1.908216+(-0.65382--0.346392))+0-308.6--0.629543999999987</f>
        <v>775.91389999999978</v>
      </c>
      <c r="Z362" s="3">
        <f>991.2+(253.1-171)+(-1.516536+(-0.387243--0.26163))+0-309--0.472770000000018</f>
        <v>763.13062099999991</v>
      </c>
      <c r="AA362" s="3">
        <f>1087.9+(209.1-207.6)+(-0.554829+(-0.106641--0.105876))+0-308.1--0.157130999999969</f>
        <v>780.90153700000008</v>
      </c>
      <c r="AB362" s="3">
        <f>1141.3+(185.2-240.5)+(1.746189+(0.283356-0.367965))+0-307.5-0.470475000000018</f>
        <v>779.69110499999999</v>
      </c>
      <c r="AC362" s="3">
        <f>1161.5+(157.5-229.3)+(-2.961825+(-0.401625--0.584715))+0-306.2--0.780809999999956</f>
        <v>781.50207499999988</v>
      </c>
      <c r="AD362">
        <f t="shared" si="5"/>
        <v>17190.931148</v>
      </c>
      <c r="AE362" s="3">
        <f>931+(298.8-137.1)+(0+(0-0))+0-307.6-0</f>
        <v>785.1</v>
      </c>
    </row>
    <row r="363" spans="1:31" s="2" customFormat="1" x14ac:dyDescent="0.25">
      <c r="A363">
        <v>89</v>
      </c>
      <c r="B363">
        <v>12</v>
      </c>
      <c r="C363">
        <v>27</v>
      </c>
      <c r="D363">
        <v>7</v>
      </c>
      <c r="E363">
        <v>1</v>
      </c>
      <c r="F363" s="3">
        <f>1162.8+(118.9-225.2)+(-2.372112+(-0.242556--0.459408))+0-305.4--0.623015999999987</f>
        <v>749.56775600000003</v>
      </c>
      <c r="G363" s="3">
        <f>1074.5+(117.7-170.4)+(-1.643985+(-0.180081--0.260712))+0-305.5--0.467415000000018</f>
        <v>715.20406100000002</v>
      </c>
      <c r="H363" s="3">
        <f>1009.4+(121.3-143.3)+(-0.514794+(-0.061863--0.073083))+0-306.7--0.156416999999969</f>
        <v>680.35284299999989</v>
      </c>
      <c r="I363" s="3">
        <f>1010.7+(94.9-127.5)+(-1.546371+(-0.145197--0.195075))+0-306.4--0.468792000000018</f>
        <v>670.67229900000007</v>
      </c>
      <c r="J363" s="3">
        <f>1010.3+(87.9-125.9)+(0.515253+(0.044829-0.064209))+0-306.6-0.156365999999969</f>
        <v>666.03950699999996</v>
      </c>
      <c r="K363" s="3">
        <f>1013.4+(82.5-143.3)+(-1.550502+(-0.126225--0.219249))+0-307--0.469710000000018</f>
        <v>644.61223199999984</v>
      </c>
      <c r="L363" s="3">
        <f>1014.8+(70-149.4)+(-1.035096+(-0.0714--0.152388))+0-305.8--0.311916000000049</f>
        <v>628.957808</v>
      </c>
      <c r="M363" s="3">
        <f>1013.9+(78.1-150.7)+(0+(0-0))+0-306.7-0</f>
        <v>634.59999999999991</v>
      </c>
      <c r="N363" s="3">
        <f>1013.9+(114.1-155.2)+(0.517089+(0.058191-0.079152))+0-307.9-0.157028999999969</f>
        <v>665.23909900000001</v>
      </c>
      <c r="O363" s="3">
        <f>1010.9+(143.6-151.1)+(-0.515559+(-0.073236--0.077061))+0-308.1--0.157130999999969</f>
        <v>694.94539699999984</v>
      </c>
      <c r="P363" s="3">
        <f>1019.5+(168.4-166.5)+(-2.07978+(-0.343536--0.33966))+0-308--0.628319999999987</f>
        <v>711.94466399999999</v>
      </c>
      <c r="Q363" s="3">
        <f>1005.2+(191-152.5)+(-2.050608+(-0.38964--0.3111))+0-308.1--0.628523999999987</f>
        <v>734.09937600000001</v>
      </c>
      <c r="R363" s="3">
        <f>1001.3+(202.6-150.5)+(-0.510663+(-0.103326--0.076755))+0-306.6--0.156365999999969</f>
        <v>746.41913199999988</v>
      </c>
      <c r="S363" s="3">
        <f>999+(226.7-168.6)+(0.50949+(0.115617-0.085986))+0-306-0.156059999999969</f>
        <v>751.48306099999991</v>
      </c>
      <c r="T363" s="3">
        <f>1001.1+(206.4-162.2)+(-2.552805+(-0.52632--0.41361))+0-305.8--0.779789999999956</f>
        <v>737.61427500000002</v>
      </c>
      <c r="U363" s="3">
        <f>1000.3+(162.9-132)+(-2.550765+(-0.415395--0.3366))+0-306.1--0.780554999999956</f>
        <v>723.25099499999988</v>
      </c>
      <c r="V363" s="3">
        <f>1000.5+(140.4-132.6)+(-1.530765+(-0.214812--0.202878))+0-305.1--0.466803000000018</f>
        <v>702.12410399999999</v>
      </c>
      <c r="W363" s="3">
        <f>1004.1+(130.8-141.1)+(-1.024182+(-0.133416--0.143922))+0-307.8--0.313956000000049</f>
        <v>685.30028000000004</v>
      </c>
      <c r="X363" s="3">
        <f>1006.9+(192.3-159)+(0+(0-0))+0-307.9-0</f>
        <v>732.30000000000007</v>
      </c>
      <c r="Y363" s="3">
        <f>1010.3+(193.4-161)+(-1.545759+(-0.295902--0.24633))+0-307.4--0.470322000000018</f>
        <v>734.17499100000009</v>
      </c>
      <c r="Z363" s="3">
        <f>1059.6+(145-157)+(-1.080792+(-0.1479--0.16014))+0-307--0.313140000000049</f>
        <v>739.84458800000004</v>
      </c>
      <c r="AA363" s="3">
        <f>1095.6+(96.3-150.7)+(-1.117512+(-0.098226--0.153714))+0-307.3--0.313446000000049</f>
        <v>733.1514219999998</v>
      </c>
      <c r="AB363" s="3">
        <f>1114.2+(80.9-153.7)+(-2.272968+(-0.165036--0.313548))+0-307.4--0.627095999999987</f>
        <v>732.50264000000004</v>
      </c>
      <c r="AC363" s="3">
        <f>1115.8+(54.2-149.8)+(-2.276232+(-0.110568--0.305592))+0-307--0.626279999999987</f>
        <v>711.74507199999994</v>
      </c>
      <c r="AD363">
        <f t="shared" si="5"/>
        <v>16926.145601999997</v>
      </c>
      <c r="AE363" s="3">
        <f>1005+(181.6-158.9)+(0+(0-0))+0-307-0</f>
        <v>720.7</v>
      </c>
    </row>
    <row r="364" spans="1:31" s="2" customFormat="1" x14ac:dyDescent="0.25">
      <c r="A364">
        <v>89</v>
      </c>
      <c r="B364">
        <v>12</v>
      </c>
      <c r="C364">
        <v>28</v>
      </c>
      <c r="D364">
        <v>1</v>
      </c>
      <c r="E364">
        <v>6</v>
      </c>
      <c r="F364" s="3">
        <f>1116.5+(38.3-205.5)+(-2.27766+(-0.078132--0.41922))+0-306.7--0.625667999999987</f>
        <v>641.28909600000009</v>
      </c>
      <c r="G364" s="3">
        <f>1115.7+(18.7-192.2)+(-2.845035+(-0.047685--0.49011))+0-308.8--0.787439999999955</f>
        <v>631.78482999999994</v>
      </c>
      <c r="H364" s="3">
        <f>979.1+(71.6-158.2)+(0.499341+(0.036516-0.080682))+0-308.7-0.157436999999969</f>
        <v>584.09773800000005</v>
      </c>
      <c r="I364" s="3">
        <f>948.3+(77.1-150.7)+(-2.418165+(-0.196605--0.384285))+0-307.4--0.783869999999955</f>
        <v>565.85338499999989</v>
      </c>
      <c r="J364" s="3">
        <f>948.9+(68.5-154.8)+(0.967878+(0.06987-0.157896))+0-307.7-0.313854000000049</f>
        <v>555.46599799999979</v>
      </c>
      <c r="K364" s="3">
        <f>950.4+(57.4-151.4)+(0+(0-0))+0-306.8-0</f>
        <v>549.59999999999991</v>
      </c>
      <c r="L364" s="3">
        <f>950.7+(53.5-177.2)+(-1.454571+(-0.081855--0.271116))+0-305.5--0.467415000000018</f>
        <v>520.70210500000007</v>
      </c>
      <c r="M364" s="3">
        <f>1037.5+(42-240.7)+(-0.529125+(-0.02142--0.122757))+0-306.9--0.156518999999969</f>
        <v>531.62873100000002</v>
      </c>
      <c r="N364" s="3">
        <f>1125.8+(40.9-284.7)+(-0.574158+(-0.020859--0.145197))+0-307.2--0.156671999999969</f>
        <v>574.50685199999987</v>
      </c>
      <c r="O364" s="3">
        <f>1113.8+(82.9-280.9)+(-1.704114+(-0.126837--0.429777))+0-309--0.472770000000018</f>
        <v>605.87159599999995</v>
      </c>
      <c r="P364" s="3">
        <f>1109.8+(100.4-280.7)+(-0.565998+(-0.051204--0.143157))+0-309.4--0.157793999999969</f>
        <v>619.78374899999994</v>
      </c>
      <c r="Q364" s="3">
        <f>1091+(115.5-253.6)+(-2.22564+(-0.23562--0.517344))+0-308.5--0.629339999999987</f>
        <v>643.08542399999999</v>
      </c>
      <c r="R364" s="3">
        <f>952.4+(223.9-228.9)+(-0.971448+(-0.228378--0.233478))+0-308.3--0.314466000000049</f>
        <v>638.44811800000002</v>
      </c>
      <c r="S364" s="3">
        <f>954.5+(220.8-276)+(0+(0-0))+0-308.2-0</f>
        <v>591.09999999999991</v>
      </c>
      <c r="T364" s="3">
        <f>956.2+(220.9-283.4)+(0.487662+(0.112659-0.144534))+0-308.5-0.157334999999969</f>
        <v>585.49845200000004</v>
      </c>
      <c r="U364" s="3">
        <f>951.7+(213.1-273.5)+(-0.485367+(-0.108681--0.139485))+0-307.6--0.156875999999969</f>
        <v>583.40231300000005</v>
      </c>
      <c r="V364" s="3">
        <f>1032.4+(136.2-271.4)+(-2.63262+(-0.34731--0.69207))+0-308.5--0.786674999999955</f>
        <v>587.19881499999997</v>
      </c>
      <c r="W364" s="3">
        <f>1064+(107.1-237.5)+(-2.17056+(-0.218484--0.4845))+0-307.2--0.626687999999987</f>
        <v>625.12214400000005</v>
      </c>
      <c r="X364" s="3">
        <f>1052+(169.2-250.9)+(-0.53652+(-0.086292--0.127959))+0-309.2--0.157691999999969</f>
        <v>660.76283899999999</v>
      </c>
      <c r="Y364" s="3">
        <f>960.8+(244.7-230.8)+(-0.980016+(-0.249594--0.235416))+0-309--0.315180000000049</f>
        <v>665.02098599999999</v>
      </c>
      <c r="Z364" s="3">
        <f>953.6+(248.4-235.6)+(-0.486336+(-0.126684--0.120156))+0-309.1--0.157640999999969</f>
        <v>656.96477700000003</v>
      </c>
      <c r="AA364" s="3">
        <f>954.3+(235-227.5)+(-1.460079+(-0.35955--0.348075))+0-307.8--0.470934000000018</f>
        <v>652.99938000000009</v>
      </c>
      <c r="AB364" s="3">
        <f>962+(221.4-214.5)+(-1.47186+(-0.338742--0.328185))+0-307.5--0.470475000000018</f>
        <v>660.38805799999989</v>
      </c>
      <c r="AC364" s="3">
        <f>969.3+(215.3-204.6)+(-1.483029+(-0.329409--0.313038))+0-307.9--0.471087000000018</f>
        <v>671.071687</v>
      </c>
      <c r="AD364">
        <f t="shared" si="5"/>
        <v>14601.647072999996</v>
      </c>
      <c r="AE364" s="3">
        <f>945+(241.7-232.9)+(0+(0-0))+0-308.8-0</f>
        <v>645</v>
      </c>
    </row>
    <row r="365" spans="1:31" s="2" customFormat="1" x14ac:dyDescent="0.25">
      <c r="A365">
        <v>89</v>
      </c>
      <c r="B365">
        <v>12</v>
      </c>
      <c r="C365">
        <v>29</v>
      </c>
      <c r="D365">
        <v>2</v>
      </c>
      <c r="E365">
        <v>2</v>
      </c>
      <c r="F365" s="3">
        <f>971.5+(197.4-215.4)+(-1.486395+(-0.302022--0.329562))+0-307.7--0.470781000000018</f>
        <v>644.81192600000008</v>
      </c>
      <c r="G365" s="3">
        <f>969.2+(167.4-201.2)+(-1.482876+(-0.256122--0.307836))+0-307.7--0.470781000000018</f>
        <v>626.73961900000018</v>
      </c>
      <c r="H365" s="3">
        <f>969.2+(136-175.9)+(-1.977168+(-0.27744--0.358836))+0-308.1--0.628523999999987</f>
        <v>619.93275200000005</v>
      </c>
      <c r="I365" s="3">
        <f>968.4+(117.5-183.1)+(0.493884+(0.059925-0.093381))+0-307.1-0.156620999999969</f>
        <v>596.00380699999994</v>
      </c>
      <c r="J365" s="3">
        <f>972.4+(103.6-198.9)+(1.487772+(0.158508-0.304317))+0-308.3-0.471699000000018</f>
        <v>569.67026399999975</v>
      </c>
      <c r="K365" s="3">
        <f>977+(92.9-201.9)+(-0.99654+(-0.094758--0.205938))+0-307.4--0.313548000000049</f>
        <v>560.02818800000011</v>
      </c>
      <c r="L365" s="3">
        <f>996.5+(66.9-210.2)+(-1.524645+(-0.102357--0.321606))+0-306.8--0.469404000000018</f>
        <v>545.56400800000017</v>
      </c>
      <c r="M365" s="3">
        <f>937+(126.2-221)+(1.91148+(0.257448-0.45084))+0-305.5-0.623219999999987</f>
        <v>537.79486800000006</v>
      </c>
      <c r="N365" s="3">
        <f>986.8+(138.7-261.1)+(0+(0-0))+0-306.9-0</f>
        <v>557.49999999999989</v>
      </c>
      <c r="O365" s="3">
        <f>1012.9+(160.6-282.8)+(-1.033158+(-0.163812--0.288456))+0-307.7--0.313854000000049</f>
        <v>582.40534000000014</v>
      </c>
      <c r="P365" s="3">
        <f>1020.3+(155.4-259.8)+(-2.081412+(-0.317016--0.529992))+0-308.2--0.628727999999987</f>
        <v>606.46029200000009</v>
      </c>
      <c r="Q365" s="3">
        <f>1059.9+(145.9-271.3)+(-1.621647+(-0.223227--0.415089))+0-307.9--0.471087000000018</f>
        <v>625.64130200000011</v>
      </c>
      <c r="R365" s="3">
        <f>1062.3+(156.8-279.4)+(-1.625319+(-0.239904--0.427482))+0-307.9--0.471087000000018</f>
        <v>630.83334600000012</v>
      </c>
      <c r="S365" s="3">
        <f>1060.8+(171.5-281)+(-2.70504+(-0.437325--0.71655))+0-307.5--0.784124999999955</f>
        <v>642.1583099999998</v>
      </c>
      <c r="T365" s="3">
        <f>1061.5+(165.1-277.5)+(-2.16546+(-0.336804--0.5661))+0-307.5--0.627299999999987</f>
        <v>640.29113600000005</v>
      </c>
      <c r="U365" s="3">
        <f>1062.9+(149.9-269.9)+(-1.626237+(-0.229347--0.412947))+0-306.3--0.468639000000018</f>
        <v>635.62600200000008</v>
      </c>
      <c r="V365" s="3">
        <f>1062.3+(136.4-268.5)+(0.541773+(0.069564-0.136935))+0-307.4-0.156773999999969</f>
        <v>623.11762800000008</v>
      </c>
      <c r="W365" s="3">
        <f>1061.2+(132.1-280.6)+(0+(0-0))+0-307.6-0</f>
        <v>605.1</v>
      </c>
      <c r="X365" s="3">
        <f>1063.8+(186.7-303.9)+(0.542538+(0.095217-0.154989))+0-308.6-0.157385999999969</f>
        <v>638.32537999999988</v>
      </c>
      <c r="Y365" s="3">
        <f>1064.8+(209.3-304.3)+(-2.71524+(-0.533715--0.775965))+0-308.4--0.786419999999955</f>
        <v>659.7134299999999</v>
      </c>
      <c r="Z365" s="3">
        <f>1064.6+(189.8-295.4)+(-1.628838+(-0.290394--0.451962))+0-308.5--0.472005000000018</f>
        <v>649.50473499999998</v>
      </c>
      <c r="AA365" s="3">
        <f>1064.7+(170.3-285.3)+(-1.085994+(-0.173706--0.291006))+0-308--0.314160000000049</f>
        <v>641.04546600000003</v>
      </c>
      <c r="AB365" s="3">
        <f>1057.9+(163.1-262.5)+(-0.539529+(-0.083181--0.133875))+0-306.5--0.156314999999969</f>
        <v>651.66748000000007</v>
      </c>
      <c r="AC365" s="3">
        <f>902.8+(258-205.5)+(-1.841712+(-0.52632--0.41922))+0-305.8--0.623831999999987</f>
        <v>648.1750199999999</v>
      </c>
      <c r="AD365">
        <f t="shared" si="5"/>
        <v>14738.110299000004</v>
      </c>
      <c r="AE365" s="3">
        <f>1066+(183.2-309.3)+(0+(0-0))+0-307.6-0</f>
        <v>632.29999999999995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89</v>
      </c>
      <c r="B1">
        <v>1</v>
      </c>
      <c r="C1">
        <v>1</v>
      </c>
      <c r="D1">
        <v>2</v>
      </c>
      <c r="E1">
        <v>2</v>
      </c>
      <c r="F1" s="3">
        <f>1726.3+(76-31.6)+(0+(0-0))+0-43.7-0</f>
        <v>1727</v>
      </c>
      <c r="G1" s="3">
        <f>1649.6+(84.8-30.5)+(0+(0-0))+0-72.2-0</f>
        <v>1631.6999999999998</v>
      </c>
      <c r="H1" s="3">
        <f>1574.9+(80.6-30.1)+(0+(0-0))+0-55.2-0</f>
        <v>1570.2</v>
      </c>
      <c r="I1" s="3">
        <f>1558+(89.7-31.3)+(-0.79458+(-0.045747--0.015963))+0-79.8--0.0406979999999919</f>
        <v>1535.8163340000001</v>
      </c>
      <c r="J1" s="3">
        <f>1538.9+(107.4-41.1)+(-3.924195+(-0.27387--0.104805))+0-72.7--0.185384999999989</f>
        <v>1528.5921249999999</v>
      </c>
      <c r="K1" s="3">
        <f>1559.1+(72.1-68.7)+(-0.795141+(-0.036771--0.035037))+0-60.8--0.0310079999999938</f>
        <v>1500.934133</v>
      </c>
      <c r="L1" s="3">
        <f>1528.6+(83.9-68.5)+(-3.89793+(-0.213945--0.174675))+0-74.4--0.189719999999989</f>
        <v>1465.8525199999999</v>
      </c>
      <c r="M1" s="3">
        <f>1511.9+(106.8-63.6)+(2.313207+(0.163404-0.097308))+0-61.9-0.0947070000000036</f>
        <v>1495.484596</v>
      </c>
      <c r="N1" s="3">
        <f>1732.1+(0-101.3)+(0+(0-0))+0-68.8-0</f>
        <v>1562</v>
      </c>
      <c r="O1" s="3">
        <f>1813.9+(0-126.6)+(-3.700356+(0--0.258264))+0-73.7--0.150347999999997</f>
        <v>1610.308256</v>
      </c>
      <c r="P1" s="3">
        <f>1837.9+(0-124.9)+(-4.686645+(0--0.318495))+0-84.3--0.214964999999988</f>
        <v>1624.5468149999999</v>
      </c>
      <c r="Q1" s="3">
        <f>1777.6+(3.7-89.4)+(-1.813152+(-0.003774--0.091188))+0-66.7--0.0680340000000106</f>
        <v>1623.5422959999996</v>
      </c>
      <c r="R1" s="3">
        <f>1725.6+(23.4-74.3)+(-1.760112+(-0.023868--0.075786))+0-56.1--0.0572220000000089</f>
        <v>1616.9490279999998</v>
      </c>
      <c r="S1" s="3">
        <f>1741.3+(26.8-65.3)+(0+(0-0))+0-82.4-0</f>
        <v>1620.3999999999999</v>
      </c>
      <c r="T1" s="3">
        <f>1727.3+(21.7-69.7)+(-2.642769+(-0.033201--0.106641))+0-74.1--0.113373000000004</f>
        <v>1602.744044</v>
      </c>
      <c r="U1" s="3">
        <f>1722.9+(20.3-73.6)+(-2.636037+(-0.031059--0.112608))+0-69--0.105570000000004</f>
        <v>1598.1510820000001</v>
      </c>
      <c r="V1" s="3">
        <f>1674.1+(107.2-70.7)+(-2.561373+(-0.164016--0.108171))+0-75.1--0.114903000000004</f>
        <v>1632.9976849999998</v>
      </c>
      <c r="W1" s="3">
        <f>1644.4+(247.3-76.8)+(-1.677288+(-0.252246--0.078336))+0-73.3--0.0747660000000117</f>
        <v>1739.823568</v>
      </c>
      <c r="X1" s="3">
        <f>2009.9+(103.7-84.7)+(-1.025049+(-0.052887--0.043197))+0-71.2--0.0363119999999928</f>
        <v>1956.7015730000001</v>
      </c>
      <c r="Y1" s="3">
        <f>2091.1+(44.5-78.8)+(0+(0-0))+0-73.1-0</f>
        <v>1983.6999999999998</v>
      </c>
      <c r="Z1" s="3">
        <f>2084.9+(17.2-68.2)+(-1.063299+(-0.008772--0.034782))+0-77.5--0.0395249999999921</f>
        <v>1955.4022359999999</v>
      </c>
      <c r="AA1" s="3">
        <f>2050.6+(0-66.4)+(-5.22903+(0--0.16932))+0-74.3--0.189464999999989</f>
        <v>1905.0297549999998</v>
      </c>
      <c r="AB1" s="3">
        <f>1870.3+(120.4-49.9)+(-1.907706+(-0.122808--0.050898))+0-87.7--0.089454000000014</f>
        <v>1851.2098379999998</v>
      </c>
      <c r="AC1" s="3">
        <f>1704.1+(132.8-44)+(-6.083637+(-0.474096--0.15708))+0-35.4--0.126378</f>
        <v>1751.2257249999998</v>
      </c>
      <c r="AD1">
        <f t="shared" ref="AD1:AD64" si="0">SUM(F1:AC1)</f>
        <v>40090.311609000004</v>
      </c>
      <c r="AE1" s="3">
        <f>2049+(3-108)+(0+(0-0))+0-16-0</f>
        <v>1928</v>
      </c>
    </row>
    <row r="2" spans="1:31" s="2" customFormat="1" x14ac:dyDescent="0.25">
      <c r="A2">
        <v>89</v>
      </c>
      <c r="B2">
        <v>1</v>
      </c>
      <c r="C2">
        <v>2</v>
      </c>
      <c r="D2">
        <v>3</v>
      </c>
      <c r="E2">
        <v>2</v>
      </c>
      <c r="F2" s="3">
        <f>(G2+AC1)/2</f>
        <v>1715.9644874999999</v>
      </c>
      <c r="G2" s="3">
        <f>1655+(92-37)+(-4.22025+(-0.2346--0.09435))+0-25--0.0637499999999964</f>
        <v>1680.70325</v>
      </c>
      <c r="H2" s="3">
        <f>1643.9+(57.2-37)+(-5.030334+(-0.175032--0.11322))+0-95--0.290700000000011</f>
        <v>1564.2985540000002</v>
      </c>
      <c r="I2" s="3">
        <f>1489.7+(143.5-34.1)+(-1.519494+(-0.14637--0.034782))+0-67.9--0.0692580000000108</f>
        <v>1529.6381759999999</v>
      </c>
      <c r="J2" s="3">
        <f>1422.9+(190.1-35.4)+(0+(0-0))+0-73.2-0</f>
        <v>1504.4</v>
      </c>
      <c r="K2" s="3">
        <f>1421.2+(198.7-45.8)+(1.449624+(0.202674-0.046716))+0-70.2-0.0716040000000112</f>
        <v>1505.4339779999998</v>
      </c>
      <c r="L2" s="3">
        <f>1421+(206.7-73.3)+(0.72471+(0.105417-0.037383))+0-89.7-0.0457469999999909</f>
        <v>1465.4469970000002</v>
      </c>
      <c r="M2" s="3">
        <f>1427.1+(144.5-76.2)+(-3.639105+(-0.368475--0.19431))+0-72--0.18359999999999</f>
        <v>1419.7703299999998</v>
      </c>
      <c r="N2" s="3">
        <f>1432+(150.9-72.1)+(-1.46064+(-0.153918--0.073542))+0-55.4--0.0565080000000088</f>
        <v>1453.9154920000001</v>
      </c>
      <c r="O2" s="3">
        <f>1519.1+(165.6-72.2)+(-1.549482+(-0.168912--0.073644))+0-78.1--0.0796620000000124</f>
        <v>1532.8349120000003</v>
      </c>
      <c r="P2" s="3">
        <f>1556.9+(185.9-72.5)+(-1.588038+(-0.189618--0.07395))+0-74.8--0.0762960000000119</f>
        <v>1593.8725900000002</v>
      </c>
      <c r="Q2" s="3">
        <f>1548.4+(201.6-73.2)+(-2.369052+(-0.308448--0.111996))+0-50.7--0.0775710000000029</f>
        <v>1623.6120670000003</v>
      </c>
      <c r="R2" s="3">
        <f>1525.1+(254.5-69.1)+(0+(0-0))+0-67-0</f>
        <v>1643.5</v>
      </c>
      <c r="S2" s="3">
        <f>1580.9+(200-68.7)+(-4.031295+(-0.51--0.175185))+0-77.3--0.197114999999989</f>
        <v>1630.7310050000001</v>
      </c>
      <c r="T2" s="3">
        <f>1579.5+(164.3-65.2)+(-0.805545+(-0.083793--0.033252))+0-62.7--0.0319769999999936</f>
        <v>1615.075891</v>
      </c>
      <c r="U2" s="3">
        <f>1646.6+(83.2-61.1)+(-0.839766+(-0.042432--0.031161))+0-59.4--0.030293999999994</f>
        <v>1608.4792569999997</v>
      </c>
      <c r="V2" s="3">
        <f>1642.3+(119.4-68.7)+(-2.512719+(-0.182682--0.105111))+0-78.2--0.119646000000005</f>
        <v>1612.329356</v>
      </c>
      <c r="W2" s="3">
        <f>1618+(140.9-83.2)+(-1.65036+(-0.143718--0.084864))+0-42--0.0428400000000067</f>
        <v>1632.0336260000001</v>
      </c>
      <c r="X2" s="3">
        <f>1661.4+(226.4-91.4)+(0+(0-0))+0-71.6-0</f>
        <v>1724.8000000000002</v>
      </c>
      <c r="Y2" s="3">
        <f>2056+(61.1-94.3)+(-1.04856+(-0.031161--0.048093))+0-72.2--0.0368219999999927</f>
        <v>1949.605194</v>
      </c>
      <c r="Z2" s="3">
        <f>2094.1+(27-99.9)+(-4.271964+(-0.05508--0.203796))+0-50.3--0.102611999999998</f>
        <v>1966.8793639999997</v>
      </c>
      <c r="AA2" s="3">
        <f>2076.1+(23.1-74.1)+(-2.117622+(-0.023562--0.075582))+0-80.5--0.0821100000000128</f>
        <v>1942.6165080000001</v>
      </c>
      <c r="AB2" s="3">
        <f>1987.1+(46.1-57.3)+(-3.040263+(-0.070533--0.087669))+0-80.9--0.123777000000005</f>
        <v>1892.1006499999999</v>
      </c>
      <c r="AC2" s="3">
        <f>1896+(17.3-60)+(-2.90088+(-0.026469--0.0918))+0-27.1--0.0414630000000016</f>
        <v>1823.4059140000002</v>
      </c>
      <c r="AD2">
        <f t="shared" si="0"/>
        <v>39631.447598500003</v>
      </c>
      <c r="AE2" s="3">
        <f>2058+(30-100)+(0+(0-0))+0-21-0</f>
        <v>1967</v>
      </c>
    </row>
    <row r="3" spans="1:31" s="2" customFormat="1" x14ac:dyDescent="0.25">
      <c r="A3">
        <v>89</v>
      </c>
      <c r="B3">
        <v>1</v>
      </c>
      <c r="C3">
        <v>3</v>
      </c>
      <c r="D3">
        <v>4</v>
      </c>
      <c r="E3">
        <v>2</v>
      </c>
      <c r="F3" s="3">
        <f>1773.1+(45.4-43.8)+(-3.617124+(-0.092616--0.089352))+0-62.3--0.127091999999997</f>
        <v>1708.9067039999998</v>
      </c>
      <c r="G3" s="3">
        <f>1543.7+(118.7-38.4)+(-2.361861+(-0.181611--0.058752))+0-34.5--0.052785000000002</f>
        <v>1587.0680650000002</v>
      </c>
      <c r="H3" s="3">
        <f>1487.6+(153.8-37.3)+(-4.552056+(-0.470628--0.114138))+0-79.8--0.244188000000009</f>
        <v>1519.6356420000002</v>
      </c>
      <c r="I3" s="3">
        <f>1489.1+(95-36.4)+(-1.518882+(-0.0969--0.037128))+0-62.6--0.06385200000001</f>
        <v>1483.585198</v>
      </c>
      <c r="J3" s="3">
        <f>1481.9+(90.4-37.8)+(-2.267307+(-0.138312--0.057834))+0-63.5--0.0971550000000037</f>
        <v>1468.74937</v>
      </c>
      <c r="K3" s="3">
        <f>1481.4+(114.5-48.9)+(-0.755514+(-0.058395--0.024939))+0-66.7--0.0340169999999932</f>
        <v>1479.5450469999998</v>
      </c>
      <c r="L3" s="3">
        <f>1478.2+(127-72.6)+(-3.015528+(-0.25908--0.148104))+0-87--0.177479999999996</f>
        <v>1442.6509760000001</v>
      </c>
      <c r="M3" s="3">
        <f>1479.6+(96.9-73.5)+(-2.263788+(-0.148257--0.112455))+0-68.4--0.104652000000004</f>
        <v>1432.4050619999998</v>
      </c>
      <c r="N3" s="3">
        <f>1490.3+(118.8-70.2)+(0.760053+(0.060588-0.035802))+0-54.2-0.0276419999999945</f>
        <v>1485.4571969999997</v>
      </c>
      <c r="O3" s="3">
        <f>1553.2+(155.2-68.8)+(0+(0-0))+0-75.3-0</f>
        <v>1564.3000000000002</v>
      </c>
      <c r="P3" s="3">
        <f>1556.8+(193.2-68.2)+(0.793968+(0.098532-0.034782))+0-60.9-0.0310589999999938</f>
        <v>1621.7266589999999</v>
      </c>
      <c r="Q3" s="3">
        <f>1614.4+(142.8-68.5)+(-0.823344+(-0.072828--0.034935))+0-57.2--0.0291719999999942</f>
        <v>1630.6679349999999</v>
      </c>
      <c r="R3" s="3">
        <f>1657.6+(54.9-64.9)+(-1.690752+(-0.055998--0.066198))+0-18--0.0183600000000029</f>
        <v>1627.9378079999999</v>
      </c>
      <c r="S3" s="3">
        <f>1706.3+(7.9-88.9)+(-0.870213+(-0.004029--0.045339))+0-19.5--0.00994499999999802</f>
        <v>1604.9810419999999</v>
      </c>
      <c r="T3" s="3">
        <f>1699.3+(5.7-92.8)+(0+(0-0))+0-19.2-0</f>
        <v>1593</v>
      </c>
      <c r="U3" s="3">
        <f>1648+(34-81.4)+(-2.52144+(-0.05202--0.124542))+0-18.8--0.0287640000000011</f>
        <v>1579.3798459999998</v>
      </c>
      <c r="V3" s="3">
        <f>1644.8+(31.4-82.3)+(-1.677696+(-0.032028--0.083946))+0-18--0.0183600000000029</f>
        <v>1574.2925819999998</v>
      </c>
      <c r="W3" s="3">
        <f>1651.7+(59.8-75.9)+(-1.684734+(-0.060996--0.077418))+0-29.5--0.0300900000000047</f>
        <v>1604.4617780000001</v>
      </c>
      <c r="X3" s="3">
        <f>1721.2+(143.4-81.4)+(0+(0-0))+0-75.7-0</f>
        <v>1707.5</v>
      </c>
      <c r="Y3" s="3">
        <f>1986.6+(164.7-95)+(0+(0-0))+0-78.2-0</f>
        <v>1978.0999999999997</v>
      </c>
      <c r="Z3" s="3">
        <f>2225.3+(14.6-141.3)+(-4.539612+(-0.029784--0.288252))+0-73.6--0.150143999999997</f>
        <v>2020.8690000000004</v>
      </c>
      <c r="AA3" s="3">
        <f>2210.9+(0-165)+(0+(0-0))+0-68.6-0</f>
        <v>1977.3000000000002</v>
      </c>
      <c r="AB3" s="3">
        <f>2075.4+(30.4-105.9)+(-1.058454+(-0.015504--0.054009))+0-71.2--0.0363119999999928</f>
        <v>1927.716363</v>
      </c>
      <c r="AC3" s="3">
        <f>2042.8+(15.1-118.8)+(-2.083656+(-0.015402--0.121176))+0-81--0.0826200000000129</f>
        <v>1856.2047379999999</v>
      </c>
      <c r="AD3">
        <f t="shared" si="0"/>
        <v>39476.441012000003</v>
      </c>
      <c r="AE3" s="3">
        <f>2233+(17-175)+(0+(0-0))+0-72-0</f>
        <v>2003</v>
      </c>
    </row>
    <row r="4" spans="1:31" s="2" customFormat="1" x14ac:dyDescent="0.25">
      <c r="A4">
        <v>89</v>
      </c>
      <c r="B4">
        <v>1</v>
      </c>
      <c r="C4">
        <v>4</v>
      </c>
      <c r="D4">
        <v>5</v>
      </c>
      <c r="E4">
        <v>2</v>
      </c>
      <c r="F4" s="3">
        <f>1827.6+(38.5-74.6)+(-1.864152+(-0.03927--0.076092))+0-47.5--0.0484500000000076</f>
        <v>1742.2211199999999</v>
      </c>
      <c r="G4" s="3">
        <f>1462.2+(266.8-50.7)+(-2.982888+(-0.544272--0.103428))+0-65.2--0.133007999999997</f>
        <v>1609.8092760000002</v>
      </c>
      <c r="H4" s="3">
        <f>1446.1+(220.2-48.6)+(-2.212533+(-0.336906--0.074358))+0-74.3--0.113679000000004</f>
        <v>1541.0385979999999</v>
      </c>
      <c r="I4" s="3">
        <f>1452.6+(174-46.8)+(1.481652+(0.17748-0.047736))+0-66.2-0.0675240000000106</f>
        <v>1515.1438719999999</v>
      </c>
      <c r="J4" s="3">
        <f>1452.3+(170.5-48.6)+(-0.740673+(-0.086955--0.024786))+0-63.8--0.0325379999999935</f>
        <v>1509.629696</v>
      </c>
      <c r="K4" s="3">
        <f>1454.7+(204.2-65.4)+(0.741897+(0.104142-0.033354))+0-75.8-0.0386579999999923</f>
        <v>1518.4740270000002</v>
      </c>
      <c r="L4" s="3">
        <f>1451.6+(181.4-85.1)+(-0.740316+(-0.092514--0.043401))+0-75.6--0.0385559999999923</f>
        <v>1471.549127</v>
      </c>
      <c r="M4" s="3">
        <f>1453.1+(125.2-79.3)+(-1.482162+(-0.127704--0.080886))+0-47.4--0.0483480000000076</f>
        <v>1450.1193679999999</v>
      </c>
      <c r="N4" s="3">
        <f>1458.4+(195.2-83.1)+(0+(0-0))+0-65.4-0</f>
        <v>1505.1</v>
      </c>
      <c r="O4" s="3">
        <f>1537.9+(201.3-83.8)+(0.784329+(0.102663-0.042738))+0-67.6-0.0344759999999931</f>
        <v>1588.6097780000002</v>
      </c>
      <c r="P4" s="3">
        <f>1622.4+(186.7-82.1)+(-3.309696+(-0.380868--0.167484))+0-69.9--0.142595999999997</f>
        <v>1653.7195159999999</v>
      </c>
      <c r="Q4" s="3">
        <f>1688.6+(148.5-79.5)+(-1.722372+(-0.15147--0.08109))+0-84.6--0.0862920000000135</f>
        <v>1671.2935399999999</v>
      </c>
      <c r="R4" s="3">
        <f>1760.2+(42.3-76.3)+(0+(0-0))+0-60.5-0</f>
        <v>1665.7</v>
      </c>
      <c r="S4" s="3">
        <f>1694.4+(98.8-71.2)+(0.864144+(0.050388-0.036312))+0-66.7-0.0340169999999932</f>
        <v>1656.1442030000001</v>
      </c>
      <c r="T4" s="3">
        <f>1709.3+(77.6-69.4)+(-1.743486+(-0.079152--0.070788))+0-77.9--0.0794580000000124</f>
        <v>1637.9276079999997</v>
      </c>
      <c r="U4" s="3">
        <f>1647.8+(124.1-67.8)+(-2.521134+(-0.189873--0.103734))+0-79.9--0.122247000000005</f>
        <v>1621.7149739999998</v>
      </c>
      <c r="V4" s="3">
        <f>1616.5+(144-71.4)+(0+(0-0))+0-54.6-0</f>
        <v>1634.5</v>
      </c>
      <c r="W4" s="3">
        <f>1627.1+(208.1-82.4)+(-0.829821+(-0.106131--0.042024))+0-82--0.0418199999999917</f>
        <v>1669.9478919999999</v>
      </c>
      <c r="X4" s="3">
        <f>1736.3+(180.7-74.5)+(-0.885513+(-0.092157--0.037995))+0-62.4--0.0318239999999937</f>
        <v>1779.1921489999997</v>
      </c>
      <c r="Y4" s="3">
        <f>2186.2+(0-125.8)+(-1.114962+(0--0.064158))+0-57.1--0.0291209999999942</f>
        <v>2002.2783169999998</v>
      </c>
      <c r="Z4" s="3">
        <f>2438.2+(0-337.8)+(-4.973928+(0--0.689112))+0-74.1--0.151163999999997</f>
        <v>2022.166348</v>
      </c>
      <c r="AA4" s="3">
        <f>2335+(0-274.9)+(-2.3817+(0--0.280398))+0-64.9--0.0661980000000104</f>
        <v>1993.1648959999998</v>
      </c>
      <c r="AB4" s="3">
        <f>2147.4+(0-147.5)+(0+(0-0))+0-72.2-0</f>
        <v>1927.7</v>
      </c>
      <c r="AC4" s="3">
        <f>2030.6+(4.7-110.1)+(-2.071212+(-0.004794--0.112302))+0-62.8--0.06405600000001</f>
        <v>1860.5003519999998</v>
      </c>
      <c r="AD4">
        <f t="shared" si="0"/>
        <v>40247.644656999997</v>
      </c>
      <c r="AE4" s="3">
        <f>2456+(0-310)+(0+(0-0))+0-81-0</f>
        <v>2065</v>
      </c>
    </row>
    <row r="5" spans="1:31" s="2" customFormat="1" x14ac:dyDescent="0.25">
      <c r="A5">
        <v>89</v>
      </c>
      <c r="B5">
        <v>1</v>
      </c>
      <c r="C5">
        <v>5</v>
      </c>
      <c r="D5">
        <v>6</v>
      </c>
      <c r="E5">
        <v>6</v>
      </c>
      <c r="F5" s="3">
        <f>1737.3+(145.3-51.3)+(-4.430115+(-0.370515--0.130815))+0-83.5--0.212924999999988</f>
        <v>1743.34311</v>
      </c>
      <c r="G5" s="3">
        <f>1680.2+(45.5-62)+(-2.570706+(-0.069615--0.09486))+0-30.5--0.0466650000000018</f>
        <v>1630.7012040000002</v>
      </c>
      <c r="H5" s="3">
        <f>1549.9+(131.6-44.3)+(-1.580898+(-0.134232--0.045186))+0-76.8--0.0783360000000122</f>
        <v>1558.8083920000001</v>
      </c>
      <c r="I5" s="3">
        <f>1555.3+(66.5-43.8)+(-0.793203+(-0.033915--0.022338))+0-51.9--0.0264689999999947</f>
        <v>1525.3216889999999</v>
      </c>
      <c r="J5" s="3">
        <f>1506.5+(133.4-45.8)+(-0.768315+(-0.068034--0.023358))+0-65.9--0.0336089999999933</f>
        <v>1527.4206179999999</v>
      </c>
      <c r="K5" s="3">
        <f>1516.6+(159.3-62.2)+(-0.773466+(-0.081243--0.031722))+0-79.2--0.040391999999992</f>
        <v>1533.7174049999996</v>
      </c>
      <c r="L5" s="3">
        <f>1595.8+(33.1-76.4)+(-3.255432+(-0.067524--0.155856))+0-62.1--0.126683999999997</f>
        <v>1487.3595840000003</v>
      </c>
      <c r="M5" s="3">
        <f>1598+(51-86.5)+(0.81498+(0.02601-0.044115))+0-73.4-0.0374339999999926</f>
        <v>1489.8594409999998</v>
      </c>
      <c r="N5" s="3">
        <f>1599.7+(103.6-85)+(0.815847+(0.052836-0.04335))+0-55.6-0.0283559999999944</f>
        <v>1563.496977</v>
      </c>
      <c r="O5" s="3">
        <f>1656.9+(156.7-80.9)+(0.845019+(0.079917-0.041259))+0-71-0.0362099999999928</f>
        <v>1662.5474670000001</v>
      </c>
      <c r="P5" s="3">
        <f>1659+(230.5-80.5)+(0+(0-0))+0-75.2-0</f>
        <v>1733.8</v>
      </c>
      <c r="Q5" s="3">
        <f>1668.5+(237.4-82.1)+(1.70187+(0.242148-0.083742))+0-69.9-0.0712980000000112</f>
        <v>1755.6889779999999</v>
      </c>
      <c r="R5" s="3">
        <f>1760.5+(137.5-84.2)+(-0.897855+(-0.070125--0.042942))+0-69.8--0.0355979999999929</f>
        <v>1743.1105599999999</v>
      </c>
      <c r="S5" s="3">
        <f>1861.1+(9-111)+(-1.898322+(-0.00918--0.11322))+0-53.2--0.0542640000000085</f>
        <v>1704.1599819999999</v>
      </c>
      <c r="T5" s="3">
        <f>1801.1+(38.5-82)+(0.918561+(0.019635-0.04182))+0-81.6-0.0416159999999917</f>
        <v>1676.8547599999999</v>
      </c>
      <c r="U5" s="3">
        <f>1819.3+(9.3-107.1)+(-1.855686+(-0.009486--0.109242))+0-61.1--0.0623220000000097</f>
        <v>1658.7063920000001</v>
      </c>
      <c r="V5" s="3">
        <f>1821.4+(6.8-109.8)+(0+(0-0))+0-60.3-0</f>
        <v>1658.1000000000001</v>
      </c>
      <c r="W5" s="3">
        <f>1818.2+(36.3-83.5)+(-2.781846+(-0.055539--0.127755))+0-73.5--0.112455000000004</f>
        <v>1694.9028249999999</v>
      </c>
      <c r="X5" s="3">
        <f>1934.4+(23.9-98.9)+(-3.946176+(-0.048756--0.201756))+0-65.9--0.134435999999997</f>
        <v>1789.8412600000001</v>
      </c>
      <c r="Y5" s="3">
        <f>2197.9+(22.7-116.5)+(-2.241858+(-0.023154--0.11883))+0-64.6--0.0658920000000103</f>
        <v>2037.4197100000001</v>
      </c>
      <c r="Z5" s="3">
        <f>2322+(0-203.2)+(-3.55266+(0--0.310896))+0-60.6--0.0927180000000035</f>
        <v>2055.0509540000003</v>
      </c>
      <c r="AA5" s="3">
        <f>2280.7+(0-186.5)+(0+(0-0))+0-66.7-0</f>
        <v>2027.4999999999998</v>
      </c>
      <c r="AB5" s="3">
        <f>2109.2+(26.7-100)+(-1.075692+(-0.013617--0.051))+0-77.1--0.0393209999999922</f>
        <v>1957.8010119999999</v>
      </c>
      <c r="AC5" s="3">
        <f>2116.1+(0-180.2)+(-2.158422+(0--0.183804))+0-36--0.0367200000000057</f>
        <v>1897.962102</v>
      </c>
      <c r="AD5">
        <f t="shared" si="0"/>
        <v>41113.474421999992</v>
      </c>
      <c r="AE5" s="3">
        <f>2342+(0-232)+(0+(0-0))+0-72-0</f>
        <v>2038</v>
      </c>
    </row>
    <row r="6" spans="1:31" s="2" customFormat="1" x14ac:dyDescent="0.25">
      <c r="A6">
        <v>89</v>
      </c>
      <c r="B6">
        <v>1</v>
      </c>
      <c r="C6">
        <v>6</v>
      </c>
      <c r="D6">
        <v>7</v>
      </c>
      <c r="E6">
        <v>1</v>
      </c>
      <c r="F6" s="3">
        <f>2056+(0-184.4)+(-1.04856+(0--0.094044))+0-82.2--0.0419219999999917</f>
        <v>1788.4874059999997</v>
      </c>
      <c r="G6" s="3">
        <f>1954.6+(0-229.8)+(-1.993692+(0--0.234396))+0-51.9--0.0529380000000083</f>
        <v>1671.193642</v>
      </c>
      <c r="H6" s="3">
        <f>1904.4+(0-233.9)+(-2.913732+(0--0.357867))+0-67--0.102510000000004</f>
        <v>1601.0466449999999</v>
      </c>
      <c r="I6" s="3">
        <f>1753.8+(0-119.3)+(0+(0-0))+0-68.6-0</f>
        <v>1565.9</v>
      </c>
      <c r="J6" s="3">
        <f>1630.2+(30.8-47.6)+(-2.494206+(-0.047124--0.072828))+0-61.2--0.0936360000000035</f>
        <v>1549.8251340000002</v>
      </c>
      <c r="K6" s="3">
        <f>1640+(57-64.5)+(0+(0-0))+0-76.4-0</f>
        <v>1556.1</v>
      </c>
      <c r="L6" s="3">
        <f>1656.7+(14.4-90.6)+(2.534751+(0.022032-0.138618))+0-76.7-0.117351000000004</f>
        <v>1506.1008139999999</v>
      </c>
      <c r="M6" s="3">
        <f>1615.4+(10.9-96.3)+(-4.943124+(-0.033354--0.294678))+0-41.9--0.128214000000005</f>
        <v>1483.5464139999999</v>
      </c>
      <c r="N6" s="3">
        <f>1712.1+(0-101.1)+(1.746342+(0-0.103122))+0-84-0.0856800000000134</f>
        <v>1528.55754</v>
      </c>
      <c r="O6" s="3">
        <f>1891.1+(0-221.4)+(0+(0-0))+0-69.8-0</f>
        <v>1599.8999999999999</v>
      </c>
      <c r="P6" s="3">
        <f>1985.2+(0-266.4)+(0+(0-0))+0-55.7-0</f>
        <v>1663.1000000000001</v>
      </c>
      <c r="Q6" s="3">
        <f>1989.6+(0-230)+(2.029392+(0-0.2346))+0-76.6-0.0781320000000122</f>
        <v>1684.7166599999998</v>
      </c>
      <c r="R6" s="3">
        <f>1984.3+(0-230)+(0+(0-0))+0-74.4-0</f>
        <v>1679.8999999999999</v>
      </c>
      <c r="S6" s="3">
        <f>1970.3+(0-243.5)+(-3.014559+(0--0.372555))+0-70.7--0.108171000000004</f>
        <v>1653.566167</v>
      </c>
      <c r="T6" s="3">
        <f>1911.2+(0-207.8)+(-2.924136+(0--0.317934))+0-73.1--0.111843000000004</f>
        <v>1627.8056410000002</v>
      </c>
      <c r="U6" s="3">
        <f>1870+(0-175.7)+(-2.8611+(0--0.268821))+0-71.2--0.108936000000004</f>
        <v>1620.616657</v>
      </c>
      <c r="V6" s="3">
        <f>1874.9+(0-178.6)+(-2.868597+(0--0.273258))+0-65--0.0994500000000038</f>
        <v>1628.8041110000001</v>
      </c>
      <c r="W6" s="3">
        <f>1893.3+(0-152.6)+(0+(0-0))+0-73.7-0</f>
        <v>1667</v>
      </c>
      <c r="X6" s="3">
        <f>1955.2+(0-107.4)+(-2.991456+(0--0.164322))+0-72--0.110160000000004</f>
        <v>1773.083026</v>
      </c>
      <c r="Y6" s="3">
        <f>2373.1+(0-288.5)+(-3.630843+(0--0.441405))+0-79.7--0.121941000000005</f>
        <v>2001.8325030000001</v>
      </c>
      <c r="Z6" s="3">
        <f>2592.9+(0-474.4)+(-5.289516+(0--0.967776))+0-80.1--0.163403999999996</f>
        <v>2034.2416640000001</v>
      </c>
      <c r="AA6" s="3">
        <f>2268.9+(0-231.6)+(-2.314278+(0--0.236232))+0-34.4--0.0350880000000055</f>
        <v>2000.8570420000001</v>
      </c>
      <c r="AB6" s="3">
        <f>2101.5+(0-81.9)+(-1.071765+(0--0.041769))+0-82.2--0.0419219999999917</f>
        <v>1936.4119259999998</v>
      </c>
      <c r="AC6" s="3">
        <f>2084.7+(0-133.5)+(0+(0-0))+0-59.6-0</f>
        <v>1891.6</v>
      </c>
      <c r="AD6">
        <f t="shared" si="0"/>
        <v>40714.192992000004</v>
      </c>
      <c r="AE6" s="3">
        <f>2608+(0-450)+(0+(0-0))+0-97-0</f>
        <v>2061</v>
      </c>
    </row>
    <row r="7" spans="1:31" s="2" customFormat="1" x14ac:dyDescent="0.25">
      <c r="A7">
        <v>89</v>
      </c>
      <c r="B7">
        <v>1</v>
      </c>
      <c r="C7">
        <v>7</v>
      </c>
      <c r="D7">
        <v>1</v>
      </c>
      <c r="E7">
        <v>1</v>
      </c>
      <c r="F7" s="3">
        <f>1900.9+(2-65.1)+(-0.969459+(-0.00102--0.033201))+0-66.1--0.0337109999999933</f>
        <v>1770.7964330000002</v>
      </c>
      <c r="G7" s="3">
        <f>1634.6+(103.8-42.3)+(-2.500938+(-0.158814--0.064719))+0-50--0.0765000000000029</f>
        <v>1643.5814669999997</v>
      </c>
      <c r="H7" s="3">
        <f>1642.9+(60.2-41.1)+(0+(0-0))+0-70.4-0</f>
        <v>1591.6</v>
      </c>
      <c r="I7" s="3">
        <f>1618.6+(70.3-41)+(-3.301944+(-0.143412--0.08364))+0-82.8--0.168911999999996</f>
        <v>1561.9071960000001</v>
      </c>
      <c r="J7" s="3">
        <f>1642.1+(35.4-59.7)+(0.837471+(0.018054-0.030447))+0-66.7-0.0340169999999932</f>
        <v>1551.891061</v>
      </c>
      <c r="K7" s="3">
        <f>1635.9+(40.1-71.2)+(-0.834309+(-0.020451--0.036312))+0-44.2--0.0225419999999955</f>
        <v>1559.8040940000001</v>
      </c>
      <c r="L7" s="3">
        <f>1694.8+(31.9-100.1)+(-1.728696+(-0.032538--0.102102))+0-86.4--0.0881280000000138</f>
        <v>1538.6289959999999</v>
      </c>
      <c r="M7" s="3">
        <f>1831.3+(0-194.5)+(-3.735852+(0--0.39678))+0-69.5--0.141779999999997</f>
        <v>1564.1027079999999</v>
      </c>
      <c r="N7" s="3">
        <f>2055+(0-325.6)+(2.0961+(0-0.332112))+0-62.6-0.06385200000001</f>
        <v>1668.5001360000001</v>
      </c>
      <c r="O7" s="3">
        <f>2268.7+(0-405.6)+(-1.157037+(0--0.206856))+0-76.1--0.0388109999999923</f>
        <v>1786.08863</v>
      </c>
      <c r="P7" s="3">
        <f>2459.9+(0-514)+(0+(0-0))+0-71.2-0</f>
        <v>1874.7</v>
      </c>
      <c r="Q7" s="3">
        <f>2508.1+(0-542.1)+(-2.558262+(0--0.552942))+0-66.5--0.0678300000000106</f>
        <v>1897.56251</v>
      </c>
      <c r="R7" s="3">
        <f>2482.2+(0-511.8)+(-1.265922+(0--0.261018))+0-61.9--0.0315689999999937</f>
        <v>1907.5266649999999</v>
      </c>
      <c r="S7" s="3">
        <f>2462+(0-525.8)+(-3.76686+(0--0.804474))+0-61.2--0.0936360000000035</f>
        <v>1872.1312500000001</v>
      </c>
      <c r="T7" s="3">
        <f>2340+(0-454.3)+(-4.7736+(0--0.926772))+0-49.2--0.100367999999998</f>
        <v>1832.7535399999999</v>
      </c>
      <c r="U7" s="3">
        <f>2274.2+(0-385)+(-2.319684+(0--0.3927))+0-75.8--0.0773160000000121</f>
        <v>1811.550332</v>
      </c>
      <c r="V7" s="3">
        <f>2269.9+(0-377.3)+(-5.788245+(0--0.962115))+0-74.8--0.190739999999989</f>
        <v>1813.1646100000003</v>
      </c>
      <c r="W7" s="3">
        <f>2286.5+(0-351.6)+(0+(0-0))+0-65.4-0</f>
        <v>1869.5</v>
      </c>
      <c r="X7" s="3">
        <f>2314.9+(0-256.5)+(-3.541797+(0--0.392445))+0-76.2--0.116586000000004</f>
        <v>1979.1672340000002</v>
      </c>
      <c r="Y7" s="3">
        <f>2679+(0-456.2)+(0+(0-0))+0-87.1-0</f>
        <v>2135.7000000000003</v>
      </c>
      <c r="Z7" s="3">
        <f>2716.8+(0-507.8)+(-2.771136+(0--0.517956))+0-67.6--0.0689520000000108</f>
        <v>2139.215772</v>
      </c>
      <c r="AA7" s="3">
        <f>2463.3+(0-334)+(-2.512566+(0--0.34068))+0-49.9--0.050898000000008</f>
        <v>2077.279012</v>
      </c>
      <c r="AB7" s="3">
        <f>2234.6+(0-159)+(-1.139646+(0--0.08109))+0-86.2--0.0439619999999913</f>
        <v>1988.3854059999999</v>
      </c>
      <c r="AC7" s="3">
        <f>2102+(0-107.2)+(-1.07202+(0--0.054672))+0-75.2--0.0383519999999924</f>
        <v>1918.6210039999999</v>
      </c>
      <c r="AD7">
        <f t="shared" si="0"/>
        <v>43354.158056</v>
      </c>
      <c r="AE7" s="3">
        <f>2816+(0-465)+(0+(0-0))+0-76-0</f>
        <v>2275</v>
      </c>
    </row>
    <row r="8" spans="1:31" s="2" customFormat="1" x14ac:dyDescent="0.25">
      <c r="A8">
        <v>89</v>
      </c>
      <c r="B8">
        <v>1</v>
      </c>
      <c r="C8">
        <v>8</v>
      </c>
      <c r="D8">
        <v>2</v>
      </c>
      <c r="E8">
        <v>1</v>
      </c>
      <c r="F8" s="3">
        <f>2088.6+(0-240.3)+(-4.260744+(0--0.490212))+0-58.3--0.118931999999997</f>
        <v>1786.3484000000001</v>
      </c>
      <c r="G8" s="3">
        <f>1885.6+(0-148.1)+(-2.884968+(0--0.226593))+0-76.2--0.116586000000004</f>
        <v>1658.7582110000001</v>
      </c>
      <c r="H8" s="3">
        <f>1755.5+(0-87.8)+(-3.58122+(0--0.179112))+0-54.3--0.110771999999998</f>
        <v>1610.1086640000001</v>
      </c>
      <c r="I8" s="3">
        <f>1713.9+(0-82.5)+(-1.748178+(0--0.08415))+0-39.1--0.0398820000000062</f>
        <v>1590.6758540000003</v>
      </c>
      <c r="J8" s="3">
        <f>1668.9+(21.6-47.1)+(0+(0-0))+0-75.8-0</f>
        <v>1567.6000000000001</v>
      </c>
      <c r="K8" s="3">
        <f>1678+(28.9-63.7)+(0.85578+(0.014739-0.032487))+0-70.7-0.0360569999999928</f>
        <v>1573.3019750000001</v>
      </c>
      <c r="L8" s="3">
        <f>1678.3+(17.4-80.6)+(1.711866+(0.017748-0.082212))+0-67.2-0.0685440000000107</f>
        <v>1549.4788579999999</v>
      </c>
      <c r="M8" s="3">
        <f>1666.6+(66.8-82.9)+(-0.849966+(-0.034068--0.042279))+0-65.9--0.0336089999999933</f>
        <v>1583.7918540000001</v>
      </c>
      <c r="N8" s="3">
        <f>1823.4+(23.7-80.3)+(-0.929934+(-0.012087--0.040953))+0-74.4--0.0379439999999925</f>
        <v>1691.5368760000001</v>
      </c>
      <c r="O8" s="3">
        <f>2109.7+(0-258.4)+(-2.151894+(0--0.263568))+0-60.7--0.0619140000000097</f>
        <v>1788.7735879999998</v>
      </c>
      <c r="P8" s="3">
        <f>2290.3+(0-350.8)+(0+(0-0))+0-70.4-0</f>
        <v>1869.1000000000001</v>
      </c>
      <c r="Q8" s="3">
        <f>2302.8+(0-325.1)+(-2.348856+(0--0.331602))+0-67.7--0.0690540000000108</f>
        <v>1908.0518000000002</v>
      </c>
      <c r="R8" s="3">
        <f>2311.1+(0-283.7)+(-3.535983+(0--0.434061))+0-74--0.113220000000004</f>
        <v>1950.4112979999998</v>
      </c>
      <c r="S8" s="3">
        <f>2083.9+(0-130.4)+(0+(0-0))+0-74.1-0</f>
        <v>1879.4</v>
      </c>
      <c r="T8" s="3">
        <f>1967.5+(40.9-79.2)+(-4.0137+(-0.083436--0.161568))+0-81.2--0.165647999999996</f>
        <v>1844.2300799999998</v>
      </c>
      <c r="U8" s="3">
        <f>1926.1+(27.7-78.8)+(-2.946933+(-0.042381--0.120564))+0-60.4--0.0924120000000035</f>
        <v>1811.8236619999998</v>
      </c>
      <c r="V8" s="3">
        <f>1974.5+(0-97.7)+(-1.006995+(0--0.049827))+0-65.2--0.0332519999999934</f>
        <v>1810.6760839999999</v>
      </c>
      <c r="W8" s="3">
        <f>1962.5+(51.1-89.6)+(-3.002625+(-0.078183--0.137088))+0-76.9--0.117657000000004</f>
        <v>1844.2739369999999</v>
      </c>
      <c r="X8" s="3">
        <f>2097.7+(32.6-94.4)+(-1.069827+(-0.016626--0.048144))+0-58.7--0.029936999999994</f>
        <v>1976.1916279999998</v>
      </c>
      <c r="Y8" s="3">
        <f>2483.7+(0-294.4)+(-2.533374+(0--0.300288))+0-57.4--0.0585480000000091</f>
        <v>2129.7254619999994</v>
      </c>
      <c r="Z8" s="3">
        <f>2583.4+(0-383.9)+(-5.270136+(0--0.783156))+0-84.4--0.172175999999996</f>
        <v>2110.7851959999998</v>
      </c>
      <c r="AA8" s="3">
        <f>2613.4+(0-466.3)+(-1.332834+(0--0.237813))+0-74.5--0.0379949999999924</f>
        <v>2071.542974</v>
      </c>
      <c r="AB8" s="3">
        <f>2518.6+(0-469.4)+(-3.853458+(0--0.718182))+0-71.1--0.108783000000004</f>
        <v>1975.0735069999998</v>
      </c>
      <c r="AC8" s="3">
        <f>2409.7+(0-445.8)+(1.228947+(0-0.227358))+0-52.3-0.0266729999999947</f>
        <v>1912.5749159999998</v>
      </c>
      <c r="AD8">
        <f t="shared" si="0"/>
        <v>43494.234823999992</v>
      </c>
      <c r="AE8" s="3">
        <f>2556+(0-349)+(0+(0-0))+0-89-0</f>
        <v>2118</v>
      </c>
    </row>
    <row r="9" spans="1:31" s="2" customFormat="1" x14ac:dyDescent="0.25">
      <c r="A9">
        <v>89</v>
      </c>
      <c r="B9">
        <v>1</v>
      </c>
      <c r="C9">
        <v>9</v>
      </c>
      <c r="D9">
        <v>3</v>
      </c>
      <c r="E9">
        <v>1</v>
      </c>
      <c r="F9" s="3">
        <f>2200.1+(0-317.3)+(-5.610255+(0--0.809115))+0-83--0.211649999999988</f>
        <v>1795.2105099999999</v>
      </c>
      <c r="G9" s="3">
        <f>1955.6+(0-206.3)+(-4.98678+(0--0.526065))+0-71.6--0.18257999999999</f>
        <v>1673.421865</v>
      </c>
      <c r="H9" s="3">
        <f>1887.5+(0-213.1)+(0+(0-0))+0-72.5-0</f>
        <v>1601.9</v>
      </c>
      <c r="I9" s="3">
        <f>1840+(0-182.5)+(-1.8768+(0--0.18615))+0-86.6--0.0883320000000138</f>
        <v>1569.2976820000001</v>
      </c>
      <c r="J9" s="3">
        <f>1821.6+(0-194.9)+(-4.64508+(0--0.496995))+0-57.2--0.145859999999992</f>
        <v>1565.4977749999998</v>
      </c>
      <c r="K9" s="3">
        <f>1837.7+(0-184.5)+(-1.874454+(0--0.18819))+0-70--0.0714000000000112</f>
        <v>1581.5851360000001</v>
      </c>
      <c r="L9" s="3">
        <f>1853.6+(0-231)+(0+(0-0))+0-81.2-0</f>
        <v>1541.3999999999999</v>
      </c>
      <c r="M9" s="3">
        <f>1846.2+(0-252.3)+(-0.941562+(0--0.128673))+0-20.3--0.0103529999999979</f>
        <v>1572.797464</v>
      </c>
      <c r="N9" s="3">
        <f>2067.7+(0-389.6)+(-2.109054+(0--0.397392))+0-16.7--0.0170340000000027</f>
        <v>1659.7053719999999</v>
      </c>
      <c r="O9" s="3">
        <f>2300.1+(0-529.6)+(-1.173051+(0--0.270096))+0-12.4--0.00632399999999874</f>
        <v>1757.2033689999998</v>
      </c>
      <c r="P9" s="3">
        <f>2310.7+(0-465)+(0+(0-0))+0-11.3-0</f>
        <v>1834.3999999999999</v>
      </c>
      <c r="Q9" s="3">
        <f>2302.5+(0-437.4)+(0+(0-0))+0-11.3-0</f>
        <v>1853.8</v>
      </c>
      <c r="R9" s="3">
        <f>2293.6+(0-430.9)+(0+(0-0))+0-11.9-0</f>
        <v>1850.7999999999997</v>
      </c>
      <c r="S9" s="3">
        <f>2256.7+(0-402.1)+(-4.603668+(0--0.820284))+0-30.8--0.0628319999999987</f>
        <v>1820.079448</v>
      </c>
      <c r="T9" s="3">
        <f>2270.5+(0-436.5)+(-3.473865+(0--0.667845))+0-58.8--0.0899640000000034</f>
        <v>1772.4839440000001</v>
      </c>
      <c r="U9" s="3">
        <f>2270.4+(0-462.1)+(-1.157904+(0--0.235671))+0-54.9--0.0279989999999944</f>
        <v>1752.505766</v>
      </c>
      <c r="V9" s="3">
        <f>2180.4+(0-351.6)+(-4.448016+(0--0.717264))+0-70.6--0.144023999999997</f>
        <v>1754.6132720000003</v>
      </c>
      <c r="W9" s="3">
        <f>2219.4+(0-348.2)+(1.131894+(0-0.177582))+0-88.5-0.045134999999991</f>
        <v>1783.609177</v>
      </c>
      <c r="X9" s="3">
        <f>2228.2+(0-286)+(-4.545528+(0--0.58344))+0-69.7--0.142187999999997</f>
        <v>1868.6800999999998</v>
      </c>
      <c r="Y9" s="3">
        <f>2373.9+(0-203)+(1.210689+(0-0.10353))+0-67.8-0.0345779999999931</f>
        <v>2104.1725810000003</v>
      </c>
      <c r="Z9" s="3">
        <f>2586+(0-370.6)+(-5.27544+(0--0.756024))+0-75--0.152999999999997</f>
        <v>2136.0335839999998</v>
      </c>
      <c r="AA9" s="3">
        <f>2579.8+(0-402)+(-1.315698+(0--0.20502))+0-77.2--0.0393719999999922</f>
        <v>2099.5286940000005</v>
      </c>
      <c r="AB9" s="3">
        <f>2396.9+(0-305.1)+(-2.444838+(0--0.311202))+0-67.1--0.0684420000000107</f>
        <v>2022.6348060000003</v>
      </c>
      <c r="AC9" s="3">
        <f>2172.8+(0-142.1)+(-3.324384+(0--0.217413))+0-69.6--0.106488000000004</f>
        <v>1958.0995170000003</v>
      </c>
      <c r="AD9">
        <f t="shared" si="0"/>
        <v>42929.460061999998</v>
      </c>
      <c r="AE9" s="3">
        <f>2622+(0-389.7)+(0+(0-0))+0-85.3-0</f>
        <v>2147</v>
      </c>
    </row>
    <row r="10" spans="1:31" s="2" customFormat="1" x14ac:dyDescent="0.25">
      <c r="A10">
        <v>89</v>
      </c>
      <c r="B10">
        <v>1</v>
      </c>
      <c r="C10">
        <v>10</v>
      </c>
      <c r="D10">
        <v>4</v>
      </c>
      <c r="E10">
        <v>1</v>
      </c>
      <c r="F10" s="3">
        <f>1900.1+(56.3-48.2)+(-3.876204+(-0.114852--0.098328))+0-61--0.124439999999997</f>
        <v>1843.4317119999998</v>
      </c>
      <c r="G10" s="3">
        <f>1962.6+(0-163.4)+(-5.00463+(0--0.41667))+0-81.7--0.208334999999988</f>
        <v>1713.1203749999997</v>
      </c>
      <c r="H10" s="3">
        <f>1891.5+(0-195.1)+(-3.85866+(0--0.398004))+0-47.8--0.0975119999999979</f>
        <v>1645.2368560000002</v>
      </c>
      <c r="I10" s="3">
        <f>1812.5+(0-123)+(-1.84875+(0--0.12546))+0-75.5--0.077010000000012</f>
        <v>1612.3537200000001</v>
      </c>
      <c r="J10" s="3">
        <f>1795.9+(0-125.3)+(0+(0-0))+0-71.7-0</f>
        <v>1598.9</v>
      </c>
      <c r="K10" s="3">
        <f>1780.2+(0-113.4)+(-1.815804+(0--0.115668))+0-53.8--0.0548760000000086</f>
        <v>1611.35474</v>
      </c>
      <c r="L10" s="3">
        <f>1811.6+(0-155.7)+(-1.847832+(0--0.158814))+0-81.6--0.083232000000013</f>
        <v>1572.6942139999999</v>
      </c>
      <c r="M10" s="3">
        <f>1802.4+(0-130.4)+(-1.838448+(0--0.133008))+0-54.2--0.0552840000000086</f>
        <v>1616.149844</v>
      </c>
      <c r="N10" s="3">
        <f>1940.4+(0-171.3)+(1.979208+(0-0.174726))+0-69.1-0.070482000000011</f>
        <v>1701.7340000000002</v>
      </c>
      <c r="O10" s="3">
        <f>2215.4+(0-346.1)+(1.129854+(0-0.176511))+0-77.1-0.0393209999999922</f>
        <v>1793.1140220000002</v>
      </c>
      <c r="P10" s="3">
        <f>2149.7+(0-221.2)+(-1.096347+(0--0.112812))+0-67.4--0.0343739999999932</f>
        <v>1860.1508389999997</v>
      </c>
      <c r="Q10" s="3">
        <f>2165.8+(0-237.7)+(1.104558+(0-0.121227))+0-44.3-0.0225929999999955</f>
        <v>1884.7607380000002</v>
      </c>
      <c r="R10" s="3">
        <f>2206.6+(0-272.4)+(-2.250732+(0--0.277848))+0-65--0.0663000000000104</f>
        <v>1867.2934159999998</v>
      </c>
      <c r="S10" s="3">
        <f>2199.4+(0-324.7)+(-4.486776+(0--0.662388))+0-44.6--0.0909839999999981</f>
        <v>1826.3665960000001</v>
      </c>
      <c r="T10" s="3">
        <f>2190.4+(0-314.6)+(2.234208+(0-0.320892))+0-79.6-0.0811920000000127</f>
        <v>1798.0321240000001</v>
      </c>
      <c r="U10" s="3">
        <f>2157.9+(0-323.9)+(0+(0-0))+0-55.5-0</f>
        <v>1778.5</v>
      </c>
      <c r="V10" s="3">
        <f>2132.8+(0-295.9)+(-2.175456+(0--0.301818))+0-61--0.0622200000000097</f>
        <v>1774.0885820000001</v>
      </c>
      <c r="W10" s="3">
        <f>2115.3+(0-241.6)+(-1.078803+(0--0.123216))+0-79.6--0.0405959999999919</f>
        <v>1793.1850090000005</v>
      </c>
      <c r="X10" s="3">
        <f>2219.1+(0-275.8)+(-2.263482+(0--0.281316))+0-69.7--0.0710940000000111</f>
        <v>1871.6889279999998</v>
      </c>
      <c r="Y10" s="3">
        <f>2445+(0-249.6)+(-3.74085+(0--0.381888))+0-67.6--0.103428000000004</f>
        <v>2124.5444660000003</v>
      </c>
      <c r="Z10" s="3">
        <f>2564.6+(0-331.1)+(-2.615892+(0--0.337722))+0-73.1--0.0745620000000116</f>
        <v>2158.1963919999998</v>
      </c>
      <c r="AA10" s="3">
        <f>2195.1+(72.6-83.3)+(-4.478004+(-0.148104--0.169932))+0-78.6--0.160343999999997</f>
        <v>2101.5041679999999</v>
      </c>
      <c r="AB10" s="3">
        <f>2236.2+(0-124)+(-4.561848+(0--0.25296))+0-78.8--0.160751999999997</f>
        <v>2029.2518639999998</v>
      </c>
      <c r="AC10" s="3">
        <f>2045.2+(57.8-54.7)+(-3.129156+(-0.088434--0.083691))+0-65--0.0994500000000038</f>
        <v>1980.2655510000002</v>
      </c>
      <c r="AD10">
        <f t="shared" si="0"/>
        <v>43555.918155999992</v>
      </c>
      <c r="AE10" s="3">
        <f>2626+(0-376.9)+(0+(0-0))+0-95.7-0</f>
        <v>2153.4</v>
      </c>
    </row>
    <row r="11" spans="1:31" s="2" customFormat="1" x14ac:dyDescent="0.25">
      <c r="A11">
        <v>89</v>
      </c>
      <c r="B11">
        <v>1</v>
      </c>
      <c r="C11">
        <v>11</v>
      </c>
      <c r="D11">
        <v>5</v>
      </c>
      <c r="E11">
        <v>1</v>
      </c>
      <c r="F11" s="3">
        <f>1959.5+(33.9-51.5)+(-4.996725+(-0.086445--0.131325))+0-73.7--0.187934999999989</f>
        <v>1863.4360899999999</v>
      </c>
      <c r="G11" s="3">
        <f>1907.5+(0-95.6)+(-2.918475+(0--0.146268))+0-70.6--0.108018000000004</f>
        <v>1738.6358110000001</v>
      </c>
      <c r="H11" s="3">
        <f>1895.2+(0-160.1)+(-3.866208+(0--0.326604))+0-71.3--0.145451999999997</f>
        <v>1660.4058480000001</v>
      </c>
      <c r="I11" s="3">
        <f>1899.7+(0-197)+(-3.875388+(0--0.40188))+0-67.9--0.138515999999997</f>
        <v>1631.4650079999999</v>
      </c>
      <c r="J11" s="3">
        <f>1847.2+(0-164.6)+(-2.826216+(0--0.251838))+0-62.1--0.0950130000000036</f>
        <v>1618.0206350000003</v>
      </c>
      <c r="K11" s="3">
        <f>1845.6+(0-149.2)+(0+(0-0))+0-67.5-0</f>
        <v>1628.8999999999999</v>
      </c>
      <c r="L11" s="3">
        <f>1836.4+(0-171.7)+(-2.809692+(0--0.262701))+0-80.1--0.122553000000005</f>
        <v>1582.1755620000001</v>
      </c>
      <c r="M11" s="3">
        <f>1868+(0-183.2)+(0+(0-0))+0-57.9-0</f>
        <v>1626.8999999999999</v>
      </c>
      <c r="N11" s="3">
        <f>2031.3+(0-238.2)+(-1.035963+(0--0.121482))+0-77.7--0.0396269999999921</f>
        <v>1714.5251459999997</v>
      </c>
      <c r="O11" s="3">
        <f>2232.1+(0-371.6)+(-1.138371+(0--0.189516))+0-72.7--0.0370769999999926</f>
        <v>1786.8882219999998</v>
      </c>
      <c r="P11" s="3">
        <f>2387.6+(0-443.4)+(-7.306056+(0--1.356804))+0-73.1--0.223686000000008</f>
        <v>1865.3744340000001</v>
      </c>
      <c r="Q11" s="3">
        <f>2424.3+(0-480.7)+(0+(0-0))+0-61.8-0</f>
        <v>1881.8000000000002</v>
      </c>
      <c r="R11" s="3">
        <f>2407.8+(0-444.3)+(-2.455956+(0--0.453186))+0-75.9--0.0774180000000121</f>
        <v>1885.6746480000002</v>
      </c>
      <c r="S11" s="3">
        <f>2408.9+(0-491.7)+(0+(0-0))+0-77.8-0</f>
        <v>1839.4</v>
      </c>
      <c r="T11" s="3">
        <f>2394.5+(0-518.4)+(-1.221195+(0--0.264384))+0-67.4--0.0343739999999932</f>
        <v>1807.7775629999999</v>
      </c>
      <c r="U11" s="3">
        <f>2378.7+(0-509.6)+(-4.852548+(0--1.039584))+0-60.9--0.124235999999997</f>
        <v>1804.511272</v>
      </c>
      <c r="V11" s="3">
        <f>2370.2+(0-510.2)+(-2.417604+(0--0.520404))+0-71.5--0.0729300000000114</f>
        <v>1786.6757299999997</v>
      </c>
      <c r="W11" s="3">
        <f>2359.1+(0-465)+(-3.609423+(0--0.71145))+0-67.9--0.103887000000004</f>
        <v>1823.4059139999997</v>
      </c>
      <c r="X11" s="3">
        <f>2440.9+(0-468.3)+(-2.489718+(0--0.477666))+0-66.8--0.0681360000000106</f>
        <v>1903.8560840000002</v>
      </c>
      <c r="Y11" s="3">
        <f>2630.4+(0-431.4)+(-1.341504+(0--0.220014))+0-62.2--0.0317219999999937</f>
        <v>2135.7102320000004</v>
      </c>
      <c r="Z11" s="3">
        <f>2688.3+(0-425.1)+(-4.113099+(0--0.650403))+0-84.1--0.128673000000005</f>
        <v>2175.7659770000005</v>
      </c>
      <c r="AA11" s="3">
        <f>2457.5+(0-304.3)+(-3.759975+(0--0.465579))+0-31.5--0.0481950000000018</f>
        <v>2118.4537989999999</v>
      </c>
      <c r="AB11" s="3">
        <f>2327.3+(0-217.3)+(-3.560769+(0--0.332469))+0-76.5--0.117045000000004</f>
        <v>2030.3887449999997</v>
      </c>
      <c r="AC11" s="3">
        <f>2249.3+(0-205.4)+(-3.441429+(0--0.314262))+0-64.4--0.0985320000000037</f>
        <v>1976.4713649999999</v>
      </c>
      <c r="AD11">
        <f t="shared" si="0"/>
        <v>43886.618085000002</v>
      </c>
      <c r="AE11" s="3">
        <f>2712+(0-444.7)+(0+(0-0))+0-96.8-0</f>
        <v>2170.5</v>
      </c>
    </row>
    <row r="12" spans="1:31" s="2" customFormat="1" x14ac:dyDescent="0.25">
      <c r="A12">
        <v>89</v>
      </c>
      <c r="B12">
        <v>1</v>
      </c>
      <c r="C12">
        <v>12</v>
      </c>
      <c r="D12">
        <v>6</v>
      </c>
      <c r="E12">
        <v>2</v>
      </c>
      <c r="F12" s="3">
        <f>2141.4+(0-228.6)+(-4.368456+(0--0.466344))+0-59.9--0.122195999999997</f>
        <v>1849.1200840000001</v>
      </c>
      <c r="G12" s="3">
        <f>2045.8+(0-230.8)+(-1.043358+(0--0.117708))+0-81.6--0.0416159999999917</f>
        <v>1732.5159660000002</v>
      </c>
      <c r="H12" s="3">
        <f>1841+(0-115.3)+(-2.81673+(0--0.176409))+0-56.9--0.0870570000000033</f>
        <v>1666.2467359999998</v>
      </c>
      <c r="I12" s="3">
        <f>1740.1+(17-64.2)+(-3.549804+(-0.03468--0.130968))+0-65--0.132599999999997</f>
        <v>1624.5790839999997</v>
      </c>
      <c r="J12" s="3">
        <f>1767.9+(0-79.7)+(-1.803258+(0--0.081294))+0-71.4--0.0728280000000114</f>
        <v>1615.150864</v>
      </c>
      <c r="K12" s="3">
        <f>1821.7+(0-132.8)+(0+(0-0))+0-66-0</f>
        <v>1622.9</v>
      </c>
      <c r="L12" s="3">
        <f>1799.1+(0-170.5)+(-4.587705+(0--0.434775))+0-63.2--0.161159999999991</f>
        <v>1561.4082299999998</v>
      </c>
      <c r="M12" s="3">
        <f>1738+(0-129.3)+(1.77276+(0-0.131886))+0-60.7-0.0619140000000097</f>
        <v>1549.5789599999998</v>
      </c>
      <c r="N12" s="3">
        <f>1815.9+(0-112)+(0.926109+(0-0.05712))+0-87.2-0.0444719999999912</f>
        <v>1617.5245170000001</v>
      </c>
      <c r="O12" s="3">
        <f>1903+(0-141.9)+(0+(0-0))+0-70.7-0</f>
        <v>1690.3999999999999</v>
      </c>
      <c r="P12" s="3">
        <f>2106.4+(0-297.9)+(-1.074264+(0--0.151929))+0-47--0.0239699999999952</f>
        <v>1760.601635</v>
      </c>
      <c r="Q12" s="3">
        <f>2244.6+(0-406.5)+(0+(0-0))+0-55.7-0</f>
        <v>1782.3999999999999</v>
      </c>
      <c r="R12" s="3">
        <f>2250+(0-401.9)+(-2.295+(0--0.409938))+0-73.2--0.0746640000000117</f>
        <v>1773.0896019999998</v>
      </c>
      <c r="S12" s="3">
        <f>2148.9+(0-324.3)+(-4.383756+(0--0.661572))+0-78.3--0.159731999999997</f>
        <v>1742.7375480000003</v>
      </c>
      <c r="T12" s="3">
        <f>2049.6+(0-263)+(3.135888+(0-0.40239))+0-67.4-0.103122000000004</f>
        <v>1721.8303759999999</v>
      </c>
      <c r="U12" s="3">
        <f>2032+(0-260.1)+(-3.10896+(0--0.397953))+0-65.3--0.0999090000000038</f>
        <v>1703.9889020000001</v>
      </c>
      <c r="V12" s="3">
        <f>2033+(0-258.7)+(-2.07366+(0--0.263874))+0-70--0.0714000000000112</f>
        <v>1702.561614</v>
      </c>
      <c r="W12" s="3">
        <f>2037.2+(0-238)+(-3.116916+(0--0.36414))+0-67.8--0.103734000000004</f>
        <v>1728.7509580000001</v>
      </c>
      <c r="X12" s="3">
        <f>2014.6+(0-166)+(-4.109784+(0--0.33864))+0-25.4--0.0518159999999989</f>
        <v>1819.4806719999997</v>
      </c>
      <c r="Y12" s="3">
        <f>2281.7+(0-232.4)+(0+(0-0))+0-15.1-0</f>
        <v>2034.1999999999998</v>
      </c>
      <c r="Z12" s="3">
        <f>2669+(0-567.5)+(-5.44476+(0--1.1577))+0-17.4--0.0354959999999992</f>
        <v>2079.8484359999998</v>
      </c>
      <c r="AA12" s="3">
        <f>2442.2+(0-356.4)+(-1.245522+(0--0.181764))+0-41--0.0209099999999958</f>
        <v>2043.7571519999999</v>
      </c>
      <c r="AB12" s="3">
        <f>2320.6+(0-305.9)+(-2.367012+(0--0.312018))+0-54.9--0.0559980000000087</f>
        <v>1957.8010039999997</v>
      </c>
      <c r="AC12" s="3">
        <f>2188.4+(0-269.3)+(-4.464336+(0--0.549372))+0-14--0.0285599999999994</f>
        <v>1901.2135960000001</v>
      </c>
      <c r="AD12">
        <f t="shared" si="0"/>
        <v>42281.685935999994</v>
      </c>
      <c r="AE12" s="3">
        <f>2677+(0-600.5)+(0+(0-0))+0-13.3-0</f>
        <v>2063.1999999999998</v>
      </c>
    </row>
    <row r="13" spans="1:31" s="2" customFormat="1" x14ac:dyDescent="0.25">
      <c r="A13">
        <v>89</v>
      </c>
      <c r="B13">
        <v>1</v>
      </c>
      <c r="C13">
        <v>13</v>
      </c>
      <c r="D13">
        <v>7</v>
      </c>
      <c r="E13">
        <v>2</v>
      </c>
      <c r="F13" s="3">
        <f>2035.9+(0-219.4)+(-2.076618+(0--0.223788))+0-27.6--0.0281520000000044</f>
        <v>1787.0753220000001</v>
      </c>
      <c r="G13" s="3">
        <f>1944.6+(0-192.7)+(-1.983492+(0--0.196554))+0-82--0.0836400000000131</f>
        <v>1668.196702</v>
      </c>
      <c r="H13" s="3">
        <f>1923.9+(0-305)+(-1.962378+(0--0.3111))+0-21.2--0.0216240000000034</f>
        <v>1596.070346</v>
      </c>
      <c r="I13" s="3">
        <f>1799.8+(0-222.7)+(-2.753694+(0--0.340731))+0-20.7--0.0316710000000012</f>
        <v>1554.0187079999998</v>
      </c>
      <c r="J13" s="3">
        <f>1720.5+(0-99.3)+(-1.75491+(0--0.101286))+0-77.2--0.0787440000000123</f>
        <v>1542.4251199999999</v>
      </c>
      <c r="K13" s="3">
        <f>1732.4+(0-127.8)+(0.883524+(0-0.065178))+0-58.4-0.0297839999999941</f>
        <v>1546.988562</v>
      </c>
      <c r="L13" s="3">
        <f>1733.1+(0-168.4)+(-2.651643+(0--0.257652))+0-64.3--0.0983790000000037</f>
        <v>1498.104388</v>
      </c>
      <c r="M13" s="3">
        <f>1591.1+(53.4-81.5)+(0+(0-0))+0-84.3-0</f>
        <v>1478.7</v>
      </c>
      <c r="N13" s="3">
        <f>1714.3+(0-150.2)+(1.748586+(0-0.153204))+0-50.3-0.051306000000008</f>
        <v>1515.3440759999999</v>
      </c>
      <c r="O13" s="3">
        <f>1809.2+(0-193.9)+(-0.922692+(0--0.098889))+0-75.5--0.0385049999999923</f>
        <v>1539.0147019999999</v>
      </c>
      <c r="P13" s="3">
        <f>1815.6+(0-189.1)+(-0.925956+(0--0.096441))+0-77.5--0.0395249999999921</f>
        <v>1548.21001</v>
      </c>
      <c r="Q13" s="3">
        <f>1813.4+(0-238.9)+(-1.849668+(0--0.243678))+0-30.7--0.0313140000000049</f>
        <v>1542.225324</v>
      </c>
      <c r="R13" s="3">
        <f>1805.4+(0-230.2)+(-1.841508+(0--0.234804))+0-60.4--0.0616080000000096</f>
        <v>1513.2549039999999</v>
      </c>
      <c r="S13" s="3">
        <f>1732.8+(0-182.5)+(-0.883728+(0--0.093075))+0-56.9--0.0290189999999942</f>
        <v>1492.6383659999999</v>
      </c>
      <c r="T13" s="3">
        <f>1734.6+(0-174.9)+(0+(0-0))+0-78-0</f>
        <v>1481.6999999999998</v>
      </c>
      <c r="U13" s="3">
        <f>1730+(0-228.3)+(0+(0-0))+0-25.7-0</f>
        <v>1476</v>
      </c>
      <c r="V13" s="3">
        <f>1714.5+(0-165.5)+(0+(0-0))+0-55.5-0</f>
        <v>1493.5</v>
      </c>
      <c r="W13" s="3">
        <f>1738.8+(0-167.6)+(-2.660364+(0--0.256428))+0-55.8--0.0853740000000032</f>
        <v>1513.0814380000002</v>
      </c>
      <c r="X13" s="3">
        <f>1867.1+(0-202.8)+(-1.904442+(0--0.206856))+0-65.3--0.0666060000000104</f>
        <v>1597.3690200000001</v>
      </c>
      <c r="Y13" s="3">
        <f>2250.4+(0-277)+(-2.295408+(0--0.28254))+0-84.9--0.0865980000000135</f>
        <v>1886.5737300000001</v>
      </c>
      <c r="Z13" s="3">
        <f>2558.2+(0-502.7)+(-6.52341+(0--1.281885))+0-62.3--0.158864999999991</f>
        <v>1988.11734</v>
      </c>
      <c r="AA13" s="3">
        <f>2467.7+(0-427)+(-3.775581+(0--0.65331))+0-65--0.0994500000000038</f>
        <v>1972.6771789999998</v>
      </c>
      <c r="AB13" s="3">
        <f>2274.8+(0-309.9)+(-2.320296+(0--0.316098))+0-71.7--0.0731340000000114</f>
        <v>1891.2689359999999</v>
      </c>
      <c r="AC13" s="3">
        <f>2150.1+(0-262.8)+(-3.289653+(0--0.402084))+0-78.7--0.120411000000005</f>
        <v>1805.832842</v>
      </c>
      <c r="AD13">
        <f t="shared" si="0"/>
        <v>38928.387015000008</v>
      </c>
      <c r="AE13" s="3">
        <f>2532+(0-406.3)+(0+(0-0))+0-82.4-0</f>
        <v>2043.2999999999997</v>
      </c>
    </row>
    <row r="14" spans="1:31" s="2" customFormat="1" x14ac:dyDescent="0.25">
      <c r="A14">
        <v>89</v>
      </c>
      <c r="B14">
        <v>1</v>
      </c>
      <c r="C14">
        <v>14</v>
      </c>
      <c r="D14">
        <v>1</v>
      </c>
      <c r="E14">
        <v>1</v>
      </c>
      <c r="F14" s="3">
        <f>1879.8+(0-163.3)+(-1.917396+(0--0.166566))+0-33--0.0336600000000053</f>
        <v>1681.7828300000001</v>
      </c>
      <c r="G14" s="3">
        <f>1802.6+(0-160.3)+(-3.677304+(0--0.327012))+0-61.5--0.125459999999997</f>
        <v>1577.5751679999998</v>
      </c>
      <c r="H14" s="3">
        <f>1701.7+(0-110.9)+(-0.867867+(0--0.056559))+0-56.9--0.0290189999999942</f>
        <v>1533.1177109999999</v>
      </c>
      <c r="I14" s="3">
        <f>1693.2+(0-95.1)+(-0.863532+(0--0.048501))+0-78.4--0.039983999999992</f>
        <v>1518.924953</v>
      </c>
      <c r="J14" s="3">
        <f>1697.8+(0-112.9)+(0.865878+(0-0.057579))+0-64.1-0.0326909999999935</f>
        <v>1521.5756080000001</v>
      </c>
      <c r="K14" s="3">
        <f>1716+(0-101.5)+(1.75032+(0-0.10353))+0-66.6-0.0679320000000106</f>
        <v>1549.4788580000002</v>
      </c>
      <c r="L14" s="3">
        <f>1833.5+(0-217.8)+(-3.74034+(0--0.444312))+0-67.3--0.137291999999997</f>
        <v>1545.241264</v>
      </c>
      <c r="M14" s="3">
        <f>1928.5+(0-241.4)+(0.983535+(0-0.123114))+0-71.7-0.0365669999999927</f>
        <v>1616.2238539999998</v>
      </c>
      <c r="N14" s="3">
        <f>2105.3+(0-337.8)+(0+(0-0))+0-50.1-0</f>
        <v>1717.4000000000003</v>
      </c>
      <c r="O14" s="3">
        <f>2315.4+(0-414.8)+(-1.180854+(0--0.211548))+0-74.2--0.0378419999999925</f>
        <v>1825.4685360000001</v>
      </c>
      <c r="P14" s="3">
        <f>2400.8+(0-423.8)+(0+(0-0))+0-68.2-0</f>
        <v>1908.8000000000002</v>
      </c>
      <c r="Q14" s="3">
        <f>2407.9+(0-411.3)+(0+(0-0))+0-57-0</f>
        <v>1939.6000000000001</v>
      </c>
      <c r="R14" s="3">
        <f>2568.8+(0-575.4)+(0+(0-0))+0-60.8-0</f>
        <v>1932.6000000000001</v>
      </c>
      <c r="S14" s="3">
        <f>2541.3+(0-575.7)+(-5.184252+(0--1.174428))+0-81.1--0.165443999999996</f>
        <v>1880.6556200000002</v>
      </c>
      <c r="T14" s="3">
        <f>2490.1+(0-598.2)+(1.269951+(0-0.305082))+0-63.3-0.0322829999999936</f>
        <v>1829.5325859999998</v>
      </c>
      <c r="U14" s="3">
        <f>2379.2+(0-515.2)+(2.426784+(0-0.525504))+0-54.1-0.0551820000000086</f>
        <v>1811.7460979999998</v>
      </c>
      <c r="V14" s="3">
        <f>2377+(0-480.4)+(-1.21227+(0--0.245004))+0-79.9--0.0407489999999919</f>
        <v>1815.7734829999997</v>
      </c>
      <c r="W14" s="3">
        <f>2422.9+(0-521)+(-3.707037+(0--0.79713))+0-46.3--0.0708390000000027</f>
        <v>1852.7609320000001</v>
      </c>
      <c r="X14" s="3">
        <f>2414+(0-422)+(-7.38684+(0--1.29132))+0-64.5--0.197370000000007</f>
        <v>1921.60185</v>
      </c>
      <c r="Y14" s="3">
        <f>2684.8+(0-418.8)+(1.369248+(0-0.213588))+0-59-0.030089999999994</f>
        <v>2208.1255699999997</v>
      </c>
      <c r="Z14" s="3">
        <f>2875.2+(0-538.7)+(-2.932704+(0--0.549474))+0-68.8--0.070176000000011</f>
        <v>2265.3869460000001</v>
      </c>
      <c r="AA14" s="3">
        <f>2856.1+(0-564.6)+(-5.826444+(0--1.151784))+0-78.2--0.159527999999997</f>
        <v>2208.7848680000002</v>
      </c>
      <c r="AB14" s="3">
        <f>2645.2+(0-464.2)+(-5.396208+(0--0.946968))+0-79.7--0.162587999999997</f>
        <v>2097.0133480000004</v>
      </c>
      <c r="AC14" s="3">
        <f>2310.9+(0-274)+(-2.357118+(0--0.27948))+0-32.1--0.0327420000000051</f>
        <v>2002.7551040000003</v>
      </c>
      <c r="AD14">
        <f t="shared" si="0"/>
        <v>43761.925187000001</v>
      </c>
      <c r="AE14" s="3">
        <f>2971+(0.1-554.3)+(0+(0-0))+0-94-0</f>
        <v>2322.8000000000002</v>
      </c>
    </row>
    <row r="15" spans="1:31" s="2" customFormat="1" x14ac:dyDescent="0.25">
      <c r="A15">
        <v>89</v>
      </c>
      <c r="B15">
        <v>1</v>
      </c>
      <c r="C15">
        <v>15</v>
      </c>
      <c r="D15">
        <v>2</v>
      </c>
      <c r="E15">
        <v>1</v>
      </c>
      <c r="F15" s="3">
        <f>2112.8+(0-166.2)+(-6.465168+(0--0.508572))+0-89.5--0.27387000000001</f>
        <v>1851.4172740000001</v>
      </c>
      <c r="G15" s="3">
        <f>1887.5+(0-100.5)+(-1.92525+(0--0.10251))+0-63.2--0.0644640000000101</f>
        <v>1722.0417239999999</v>
      </c>
      <c r="H15" s="3">
        <f>1886.2+(0-147.7)+(-0.961962+(0--0.075327))+0-60.5--0.0308549999999939</f>
        <v>1677.1442199999999</v>
      </c>
      <c r="I15" s="3">
        <f>1811+(0-86.9)+(-3.69444+(0--0.177276))+0-70.6--0.144023999999997</f>
        <v>1650.1268599999999</v>
      </c>
      <c r="J15" s="3">
        <f>1800.3+(0-95.1)+(-1.836306+(0--0.097002))+0-62.2--0.0634440000000099</f>
        <v>1641.3241400000002</v>
      </c>
      <c r="K15" s="3">
        <f>1799.6+(0-111.5)+(-2.753388+(0--0.170595))+0-36--0.0550800000000021</f>
        <v>1649.572287</v>
      </c>
      <c r="L15" s="3">
        <f>1827.4+(0-151.4)+(-0.931974+(0--0.077214))+0-35.2--0.0179519999999964</f>
        <v>1639.9631919999999</v>
      </c>
      <c r="M15" s="3">
        <f>1943+(0-159.2)+(-3.96372+(0--0.324768))+0-66.8--0.136271999999997</f>
        <v>1713.4973199999999</v>
      </c>
      <c r="N15" s="3">
        <f>2266.8+(0-375.1)+(0+(0-0))+0-63.9-0</f>
        <v>1827.8000000000002</v>
      </c>
      <c r="O15" s="3">
        <f>2486+(0-488.5)+(0+(0-0))+0-64.1-0</f>
        <v>1933.4</v>
      </c>
      <c r="P15" s="3">
        <f>2564.3+(0-498.9)+(-1.307793+(0--0.254439))+0-81.8--0.0417179999999917</f>
        <v>1982.588364</v>
      </c>
      <c r="Q15" s="3">
        <f>2611.3+(0-557)+(-2.663526+(0--0.56814))+0-64.7--0.0659940000000103</f>
        <v>1987.5706080000002</v>
      </c>
      <c r="R15" s="3">
        <f>2593.6+(0-555)+(-5.290944+(0--1.1322))+0-48--0.0979199999999979</f>
        <v>1986.5391759999998</v>
      </c>
      <c r="S15" s="3">
        <f>2562.4+(0-532.9)+(-2.613648+(0--0.543558))+0-74.2--0.0756840000000118</f>
        <v>1953.3055939999999</v>
      </c>
      <c r="T15" s="3">
        <f>2489.2+(0-509.9)+(-3.808476+(0--0.780147))+0-75.3--0.115209000000004</f>
        <v>1901.0868799999998</v>
      </c>
      <c r="U15" s="3">
        <f>2478+(0-528.3)+(0+(0-0))+0-68.5-0</f>
        <v>1881.2</v>
      </c>
      <c r="V15" s="3">
        <f>2463.2+(0-507.6)+(-3.768696+(0--0.776628))+0-69.4--0.106182000000004</f>
        <v>1883.3141139999998</v>
      </c>
      <c r="W15" s="3">
        <f>2485.4+(0-496.5)+(1.267554+(0-0.253215))+0-77.6-0.0395759999999921</f>
        <v>1912.2747630000003</v>
      </c>
      <c r="X15" s="3">
        <f>2525.6+(0-465.8)+(-6.44028+(0--1.18779))+0-73.5--0.187424999999989</f>
        <v>1981.234935</v>
      </c>
      <c r="Y15" s="3">
        <f>2791.5+(0-485)+(2.84733+(0-0.4947))+0-70.8-0.0722160000000113</f>
        <v>2237.9804139999997</v>
      </c>
      <c r="Z15" s="3">
        <f>2953.3+(0-595.2)+(-3.012366+(0--0.607104))+0-60.8--0.0620160000000097</f>
        <v>2294.9567539999998</v>
      </c>
      <c r="AA15" s="3">
        <f>2852.5+(0-551.6)+(-7.273875+(0--1.40658))+0-77--0.196349999999989</f>
        <v>2218.2290550000002</v>
      </c>
      <c r="AB15" s="3">
        <f>2665+(0-474.7)+(-2.7183+(0--0.484194))+0-83.1--0.0847620000000132</f>
        <v>2105.0506560000003</v>
      </c>
      <c r="AC15" s="3">
        <f>2394.9+(0-372)+(-3.664197+(0--0.56916))+0-47.6--0.0728280000000028</f>
        <v>1972.2777910000002</v>
      </c>
      <c r="AD15">
        <f t="shared" si="0"/>
        <v>45603.896121000005</v>
      </c>
      <c r="AE15" s="3">
        <f>2993+(0-602.4)+(0+(0-0))+0-86-0</f>
        <v>2304.6</v>
      </c>
    </row>
    <row r="16" spans="1:31" s="2" customFormat="1" x14ac:dyDescent="0.25">
      <c r="A16">
        <v>89</v>
      </c>
      <c r="B16">
        <v>1</v>
      </c>
      <c r="C16">
        <v>16</v>
      </c>
      <c r="D16">
        <v>3</v>
      </c>
      <c r="E16">
        <v>1</v>
      </c>
      <c r="F16" s="3">
        <f>2223.7+(0-317.6)+(-4.536348+(0--0.647904))+0-82.8--0.168911999999996</f>
        <v>1819.5804680000001</v>
      </c>
      <c r="G16" s="3">
        <f>2030.8+(0-234.6)+(0+(0-0))+0-72-0</f>
        <v>1724.2</v>
      </c>
      <c r="H16" s="3">
        <f>1993.9+(0-241.6)+(-2.033778+(0--0.246432))+0-65.7--0.0670140000000105</f>
        <v>1684.879668</v>
      </c>
      <c r="I16" s="3">
        <f>1919.4+(0-173.3)+(-3.915576+(0--0.353532))+0-67.6--0.137903999999997</f>
        <v>1675.0758600000001</v>
      </c>
      <c r="J16" s="3">
        <f>1918.2+(0-163.9)+(0.978282+(0-0.083589))+0-79.1-0.040340999999992</f>
        <v>1676.0543520000001</v>
      </c>
      <c r="K16" s="3">
        <f>1918.8+(0-158.6)+(0+(0-0))+0-77.9-0</f>
        <v>1682.3</v>
      </c>
      <c r="L16" s="3">
        <f>2002.3+(0-267.8)+(-1.021173+(0--0.136578))+0-74.6--0.0380459999999924</f>
        <v>1659.053451</v>
      </c>
      <c r="M16" s="3">
        <f>2006.9+(0-227.4)+(-1.023519+(0--0.115974))+0-52.1--0.0265709999999947</f>
        <v>1726.5190260000002</v>
      </c>
      <c r="N16" s="3">
        <f>2315.1+(0-465.8)+(1.180701+(0-0.237558))+0-21.4-0.0109139999999978</f>
        <v>1828.8322289999999</v>
      </c>
      <c r="O16" s="3">
        <f>2505.3+(0-493)+(1.277703+(0-0.25143))+0-70.4-0.0359039999999929</f>
        <v>1942.890369</v>
      </c>
      <c r="P16" s="3">
        <f>2581.3+(0-509.1)+(1.316463+(0-0.259641))+0-69.4-0.035393999999993</f>
        <v>2003.8214280000002</v>
      </c>
      <c r="Q16" s="3">
        <f>2683.1+(0-608.4)+(-1.368381+(0--0.310284))+0-46.4--0.0236639999999953</f>
        <v>2027.2655669999997</v>
      </c>
      <c r="R16" s="3">
        <f>2654.8+(0-560.8)+(0+(0-0))+0-63-0</f>
        <v>2031</v>
      </c>
      <c r="S16" s="3">
        <f>2541+(0-477.9)+(-5.18364+(0--0.974916))+0-73.6--0.150143999999997</f>
        <v>1985.4414199999999</v>
      </c>
      <c r="T16" s="3">
        <f>2554.8+(0-515.9)+(-1.302948+(0--0.263109))+0-85.7--0.0437069999999913</f>
        <v>1952.2038680000001</v>
      </c>
      <c r="U16" s="3">
        <f>2540.7+(0-539.9)+(-2.591514+(0--0.550698))+0-72.6--0.0740520000000116</f>
        <v>1926.2332359999998</v>
      </c>
      <c r="V16" s="3">
        <f>2507.6+(0-502.3)+(-1.278876+(0--0.256173))+0-65.4--0.0333539999999934</f>
        <v>1938.9106509999997</v>
      </c>
      <c r="W16" s="3">
        <f>2470+(0-426.1)+(-2.5194+(0--0.434622))+0-71--0.0724200000000113</f>
        <v>1970.8876420000001</v>
      </c>
      <c r="X16" s="3">
        <f>2503.6+(0-365.7)+(-6.38418+(0--0.932535))+0-87.4--0.222869999999987</f>
        <v>2045.271225</v>
      </c>
      <c r="Y16" s="3">
        <f>2818.7+(0-477.9)+(-1.437537+(0--0.243729))+0-74.4--0.0379439999999925</f>
        <v>2265.2441359999998</v>
      </c>
      <c r="Z16" s="3">
        <f>2950.7+(0-559.2)+(-4.514571+(0--0.855576))+0-66.3--0.101439000000004</f>
        <v>2321.6424440000001</v>
      </c>
      <c r="AA16" s="3">
        <f>2900.3+(0-568.8)+(-5.916612+(0--1.160352))+0-75.2--0.153407999999997</f>
        <v>2251.6971480000002</v>
      </c>
      <c r="AB16" s="3">
        <f>2578.9+(0-379.4)+(-2.630478+(0--0.386988))+0-85.6--0.0873120000000136</f>
        <v>2111.7438220000004</v>
      </c>
      <c r="AC16" s="3">
        <f>2229.5+(0-233.3)+(-4.54818+(0--0.475932))+0-51.2--0.104447999999998</f>
        <v>1941.0322000000001</v>
      </c>
      <c r="AD16">
        <f t="shared" si="0"/>
        <v>46191.780209999997</v>
      </c>
      <c r="AE16" s="3">
        <f>2908+(0-538.2)+(0+(0-0))+0-82.4-0</f>
        <v>2287.4</v>
      </c>
    </row>
    <row r="17" spans="1:31" s="2" customFormat="1" x14ac:dyDescent="0.25">
      <c r="A17">
        <v>89</v>
      </c>
      <c r="B17">
        <v>1</v>
      </c>
      <c r="C17">
        <v>17</v>
      </c>
      <c r="D17">
        <v>4</v>
      </c>
      <c r="E17">
        <v>1</v>
      </c>
      <c r="F17" s="3">
        <f>2139.1+(0-274.6)+(-3.272823+(0--0.420138))+0-69.2--0.105876000000004</f>
        <v>1792.553191</v>
      </c>
      <c r="G17" s="3">
        <f>2033.2+(0-241.2)+(-5.18466+(0--0.61506))+0-74.8--0.190739999999989</f>
        <v>1712.82114</v>
      </c>
      <c r="H17" s="3">
        <f>1945+(0-186.4)+(-2.97585+(0--0.285192))+0-77.9--0.119187000000005</f>
        <v>1678.1285289999998</v>
      </c>
      <c r="I17" s="3">
        <f>1894.4+(0-161.7)+(-4.83072+(0--0.412335))+0-66.7--0.17008499999999</f>
        <v>1661.7517</v>
      </c>
      <c r="J17" s="3">
        <f>1864.9+(0-134.3)+(0+(0-0))+0-67-0</f>
        <v>1663.6000000000001</v>
      </c>
      <c r="K17" s="3">
        <f>1865.9+(0-123.3)+(1.903218+(0-0.125766))+0-69.1-0.070482000000011</f>
        <v>1675.2069700000002</v>
      </c>
      <c r="L17" s="3">
        <f>2011.8+(0-257.1)+(0+(0-0))+0-79-0</f>
        <v>1675.6999999999998</v>
      </c>
      <c r="M17" s="3">
        <f>2080.2+(0-302.6)+(-4.243608+(0--0.617304))+0-17.4--0.0354959999999992</f>
        <v>1756.6091919999999</v>
      </c>
      <c r="N17" s="3">
        <f>2267.3+(0-383.3)+(0+(0-0))+0-11.9-0</f>
        <v>1872.1000000000001</v>
      </c>
      <c r="O17" s="3">
        <f>2470.3+(0-490.1)+(3.779559+(0-0.749853))+0-11.6-0.0177480000000007</f>
        <v>1971.6119580000004</v>
      </c>
      <c r="P17" s="3">
        <f>2506+(0-468.8)+(1.27806+(0-0.239088))+0-10.1-0.00515099999999898</f>
        <v>2028.1338210000001</v>
      </c>
      <c r="Q17" s="3">
        <f>2712.2+(0-633.8)+(-4.149666+(0--0.969714))+0-11.4--0.0174420000000007</f>
        <v>2063.8374899999994</v>
      </c>
      <c r="R17" s="3">
        <f>2658.4+(0-548.7)+(-1.355784+(0--0.279837))+0-50.7--0.0258569999999949</f>
        <v>2057.9499100000003</v>
      </c>
      <c r="S17" s="3">
        <f>2649.5+(0-579.3)+(-2.70249+(0--0.590886))+0-65.3--0.0666060000000104</f>
        <v>2002.8550019999998</v>
      </c>
      <c r="T17" s="3">
        <f>2621+(0-597.8)+(-1.33671+(0--0.304878))+0-71.5--0.0364649999999927</f>
        <v>1950.7046330000001</v>
      </c>
      <c r="U17" s="3">
        <f>2466.1+(0-488.3)+(2.515422+(0-0.498066))+0-63.4-0.0646680000000101</f>
        <v>1916.3526879999999</v>
      </c>
      <c r="V17" s="3">
        <f>2433.7+(0-453)+(2.482374+(0-0.46206))+0-68.9-0.070278000000011</f>
        <v>1913.7500359999999</v>
      </c>
      <c r="W17" s="3">
        <f>2423.5+(0-382.7)+(-3.707955+(0--0.585531))+0-74.1--0.113373000000004</f>
        <v>1963.690949</v>
      </c>
      <c r="X17" s="3">
        <f>2483.7+(0-345.6)+(-2.533374+(0--0.352512))+0-81.5--0.083130000000013</f>
        <v>2054.5022679999997</v>
      </c>
      <c r="Y17" s="3">
        <f>2735.3+(0-417.1)+(-2.790006+(0--0.425442))+0-72--0.0734400000000115</f>
        <v>2243.9088760000004</v>
      </c>
      <c r="Z17" s="3">
        <f>2914.5+(0-552.6)+(-2.97279+(0--0.563652))+0-69.7--0.0710940000000111</f>
        <v>2289.8619560000002</v>
      </c>
      <c r="AA17" s="3">
        <f>2829.9+(0-534.5)+(-2.886498+(0--0.54519))+0-69.1--0.070482000000011</f>
        <v>2224.0291740000002</v>
      </c>
      <c r="AB17" s="3">
        <f>2673+(0-494.5)+(0+(0-0))+0-86.8-0</f>
        <v>2091.6999999999998</v>
      </c>
      <c r="AC17" s="3">
        <f>2375.6+(0-342.8)+(-1.211556+(0--0.174828))+0-75.6--0.0385559999999923</f>
        <v>1956.201828</v>
      </c>
      <c r="AD17">
        <f t="shared" si="0"/>
        <v>46217.561310999998</v>
      </c>
      <c r="AE17" s="3">
        <f>2894+(0-608.6)+(0+(0-0))+0-15.4-0</f>
        <v>2270</v>
      </c>
    </row>
    <row r="18" spans="1:31" s="2" customFormat="1" x14ac:dyDescent="0.25">
      <c r="A18">
        <v>89</v>
      </c>
      <c r="B18">
        <v>1</v>
      </c>
      <c r="C18">
        <v>18</v>
      </c>
      <c r="D18">
        <v>5</v>
      </c>
      <c r="E18">
        <v>1</v>
      </c>
      <c r="F18" s="3">
        <f>2122.3+(0-258.3)+(-3.247119+(0--0.395199))+0-50.3--0.0769590000000029</f>
        <v>1810.9250390000002</v>
      </c>
      <c r="G18" s="3">
        <f>2096.7+(0-281.1)+(1.069317+(0-0.143361))+0-86.2-0.0439619999999913</f>
        <v>1730.2819939999999</v>
      </c>
      <c r="H18" s="3">
        <f>2004.3+(0-257.1)+(-1.022193+(0--0.131121))+0-50.7--0.0258569999999949</f>
        <v>1695.634785</v>
      </c>
      <c r="I18" s="3">
        <f>2000.3+(0-259.4)+(-1.020153+(0--0.132294))+0-60.3--0.0307529999999939</f>
        <v>1679.7428940000002</v>
      </c>
      <c r="J18" s="3">
        <f>1930.4+(0-170.2)+(-5.907024+(0--0.520812))+0-77.7--0.237762000000009</f>
        <v>1677.3515500000001</v>
      </c>
      <c r="K18" s="3">
        <f>1942.8+(0-181.5)+(0+(0-0))+0-61.1-0</f>
        <v>1700.2</v>
      </c>
      <c r="L18" s="3">
        <f>1938.2+(0-186.1)+(-1.976964+(0--0.189822))+0-68.8--0.070176000000011</f>
        <v>1681.5830340000002</v>
      </c>
      <c r="M18" s="3">
        <f>2044.6+(0-194.4)+(-1.042746+(0--0.099144))+0-71.9--0.0366689999999927</f>
        <v>1777.3930669999997</v>
      </c>
      <c r="N18" s="3">
        <f>2395.8+(0-423.2)+(1.221858+(0-0.215832))+0-85.7-0.0437069999999913</f>
        <v>1887.8623190000001</v>
      </c>
      <c r="O18" s="3">
        <f>2504.9+(0-468.9)+(0+(0-0))+0-68.3-0</f>
        <v>1967.7</v>
      </c>
      <c r="P18" s="3">
        <f>2515.4+(0-436.8)+(0+(0-0))+0-60.4-0</f>
        <v>2018.1999999999998</v>
      </c>
      <c r="Q18" s="3">
        <f>2618.3+(0-508)+(-2.670666+(0--0.51816))+0-67.2--0.0685440000000107</f>
        <v>2041.0160380000002</v>
      </c>
      <c r="R18" s="3">
        <f>2609.5+(0-499.3)+(-3.992535+(0--0.763929))+0-83.7--0.128061000000005</f>
        <v>2023.3994549999998</v>
      </c>
      <c r="S18" s="3">
        <f>2533+(0-494.2)+(-3.87549+(0--0.756126))+0-66--0.100980000000004</f>
        <v>1969.781616</v>
      </c>
      <c r="T18" s="3">
        <f>2521+(0-518.9)+(-3.85713+(0--0.793917))+0-66.7--0.102051000000004</f>
        <v>1932.438838</v>
      </c>
      <c r="U18" s="3">
        <f>2475.3+(0-509.6)+(-3.787209+(0--0.779688))+0-55.8--0.0853740000000032</f>
        <v>1906.9778530000003</v>
      </c>
      <c r="V18" s="3">
        <f>2439.5+(0-482)+(-1.244145+(0--0.24582))+0-51.9--0.0264689999999947</f>
        <v>1904.6281439999998</v>
      </c>
      <c r="W18" s="3">
        <f>2428.2+(0-446.8)+(-6.19191+(0--1.13934))+0-61.1--0.155804999999991</f>
        <v>1915.403235</v>
      </c>
      <c r="X18" s="3">
        <f>2479+(0-423.4)+(-3.79287+(0--0.647802))+0-80--0.122400000000005</f>
        <v>1972.5773320000001</v>
      </c>
      <c r="Y18" s="3">
        <f>2702.5+(0-399.9)+(-2.75655+(0--0.407898))+0-73.2--0.0746640000000117</f>
        <v>2227.1260120000002</v>
      </c>
      <c r="Z18" s="3">
        <f>2858.6+(0-481)+(-10.205202+(0--1.71717))+0-69.6--0.248472000000001</f>
        <v>2299.76044</v>
      </c>
      <c r="AA18" s="3">
        <f>2872.5+(0-556.4)+(-4.394925+(0--0.851292))+0-74.4--0.113832000000004</f>
        <v>2238.270199</v>
      </c>
      <c r="AB18" s="3">
        <f>2717.5+(0-524)+(-4.157775+(0--0.80172))+0-69.1--0.105723000000004</f>
        <v>2121.149668</v>
      </c>
      <c r="AC18" s="3">
        <f>2468.9+(0-411.9)+(1.259139+(0-0.210069))+0-84.2-0.0429419999999915</f>
        <v>1973.8061279999999</v>
      </c>
      <c r="AD18">
        <f t="shared" si="0"/>
        <v>46153.209639999986</v>
      </c>
      <c r="AE18" s="3">
        <f>2872+(0-478.6)+(0+(0-0))+0-90.3-0</f>
        <v>2303.1</v>
      </c>
    </row>
    <row r="19" spans="1:31" s="2" customFormat="1" x14ac:dyDescent="0.25">
      <c r="A19">
        <v>89</v>
      </c>
      <c r="B19">
        <v>1</v>
      </c>
      <c r="C19">
        <v>19</v>
      </c>
      <c r="D19">
        <v>6</v>
      </c>
      <c r="E19">
        <v>1</v>
      </c>
      <c r="F19" s="3">
        <f>2355.3+(0-428)+(-4.804812+(0--0.87312))+0-63.3--0.129131999999997</f>
        <v>1860.1974400000001</v>
      </c>
      <c r="G19" s="3">
        <f>2316.5+(0-477.3)+(-3.544245+(0--0.730269))+0-62.4--0.0954720000000036</f>
        <v>1774.081496</v>
      </c>
      <c r="H19" s="3">
        <f>2314+(0-503.3)+(-2.36028+(0--0.513366))+0-73.2--0.0746640000000117</f>
        <v>1735.72775</v>
      </c>
      <c r="I19" s="3">
        <f>2185.8+(0-407.2)+(-3.344274+(0--0.623016))+0-63.3--0.0968490000000037</f>
        <v>1712.6755910000002</v>
      </c>
      <c r="J19" s="3">
        <f>2054.2+(0-289.7)+(0+(0-0))+0-58.1-0</f>
        <v>1706.3999999999999</v>
      </c>
      <c r="K19" s="3">
        <f>2037.1+(0-223.9)+(1.038921+(0-0.114189))+0-89.4-0.0455939999999909</f>
        <v>1724.6791379999997</v>
      </c>
      <c r="L19" s="3">
        <f>2097.8+(0-315.4)+(-2.139756+(0--0.321708))+0-74.9--0.0763980000000119</f>
        <v>1705.7583499999998</v>
      </c>
      <c r="M19" s="3">
        <f>2183.5+(0-313.4)+(-1.113585+(0--0.159834))+0-69--0.035189999999993</f>
        <v>1800.181439</v>
      </c>
      <c r="N19" s="3">
        <f>2402.8+(0-451.1)+(-1.225428+(0--0.230061))+0-75.5--0.0385049999999923</f>
        <v>1875.2431380000003</v>
      </c>
      <c r="O19" s="3">
        <f>2508.3+(0-475.6)+(3.837699+(0-0.727668))+0-69.6-0.106488000000004</f>
        <v>1966.1035430000004</v>
      </c>
      <c r="P19" s="3">
        <f>2511.8+(0-442.5)+(2.562036+(0-0.45135))+0-63.8-0.0650760000000102</f>
        <v>2007.5456100000001</v>
      </c>
      <c r="Q19" s="3">
        <f>2511+(0-417)+(1.28061+(0-0.21267))+0-77.1-0.0393209999999922</f>
        <v>2017.928619</v>
      </c>
      <c r="R19" s="3">
        <f>2502.1+(0-428.5)+(0+(0-0))+0-75.5-0</f>
        <v>1998.1</v>
      </c>
      <c r="S19" s="3">
        <f>2446.3+(0-443.7)+(-4.990452+(0--0.905148))+0-49.4--0.100775999999998</f>
        <v>1949.2154720000001</v>
      </c>
      <c r="T19" s="3">
        <f>2465.9+(0-462.6)+(3.772827+(0-0.707778))+0-86.6-0.132498000000005</f>
        <v>1919.6325510000004</v>
      </c>
      <c r="U19" s="3">
        <f>2468.2+(0-500.1)+(-1.258782+(0--0.255051))+0-74--0.0377399999999925</f>
        <v>1893.1340089999999</v>
      </c>
      <c r="V19" s="3">
        <f>2462.2+(0-506.5)+(-1.255722+(0--0.258315))+0-72.2--0.0368219999999927</f>
        <v>1882.5394149999997</v>
      </c>
      <c r="W19" s="3">
        <f>2469.3+(0-486)+(-2.518686+(0--0.49572))+0-73.6--0.0750720000000117</f>
        <v>1907.7521060000004</v>
      </c>
      <c r="X19" s="3">
        <f>2584.7+(0-526.2)+(-1.318197+(0--0.268362))+0-90.3--0.0460529999999908</f>
        <v>1967.1962180000003</v>
      </c>
      <c r="Y19" s="3">
        <f>2776.6+(0-491.8)+(2.832132+(0-0.501636))+0-75.7-0.0772140000000121</f>
        <v>2211.353282</v>
      </c>
      <c r="Z19" s="3">
        <f>2879.4+(0-547)+(1.468494+(0-0.27897))+0-62.6-0.0319259999999936</f>
        <v>2270.957598</v>
      </c>
      <c r="AA19" s="3">
        <f>2856.7+(0-584.5)+(0+(0-0))+0-60.7-0</f>
        <v>2211.5</v>
      </c>
      <c r="AB19" s="3">
        <f>2727.9+(0-607.2)+(-4.173687+(0--0.929016))+0-23.8--0.0364140000000014</f>
        <v>2093.6917429999999</v>
      </c>
      <c r="AC19" s="3">
        <f>2466+(0-462.3)+(0+(0-0))+0-19.1-0</f>
        <v>1984.6000000000001</v>
      </c>
      <c r="AD19">
        <f t="shared" si="0"/>
        <v>46176.194508</v>
      </c>
      <c r="AE19" s="3">
        <f>2887+(0-570.1)+(0+(0-0))+0-59.7-0</f>
        <v>2257.2000000000003</v>
      </c>
    </row>
    <row r="20" spans="1:31" s="2" customFormat="1" x14ac:dyDescent="0.25">
      <c r="A20">
        <v>89</v>
      </c>
      <c r="B20">
        <v>1</v>
      </c>
      <c r="C20">
        <v>20</v>
      </c>
      <c r="D20">
        <v>7</v>
      </c>
      <c r="E20">
        <v>1</v>
      </c>
      <c r="F20" s="3">
        <f>2144.8+(0-185.7)+(-2.187696+(0--0.189414))+0-81.9--0.0835380000000131</f>
        <v>1875.2852560000001</v>
      </c>
      <c r="G20" s="3">
        <f>2037.6+(0-186.3)+(-4.156704+(0--0.380052))+0-70.8--0.144431999999997</f>
        <v>1776.86778</v>
      </c>
      <c r="H20" s="3">
        <f>1928.3+(0-147.1)+(-1.966866+(0--0.150042))+0-58.5--0.0596700000000093</f>
        <v>1720.9428460000001</v>
      </c>
      <c r="I20" s="3">
        <f>1906.7+(0-126.2)+(-0.972417+(0--0.064362))+0-88.3--0.045032999999991</f>
        <v>1691.336978</v>
      </c>
      <c r="J20" s="3">
        <f>2032.8+(0-279.4)+(-2.073456+(0--0.284988))+0-65.9--0.0672180000000105</f>
        <v>1685.7787499999999</v>
      </c>
      <c r="K20" s="3">
        <f>2022.6+(0-278.6)+(-1.031526+(0--0.142086))+0-69.9--0.0356489999999929</f>
        <v>1673.2462089999999</v>
      </c>
      <c r="L20" s="3">
        <f>2032.3+(0-339.8)+(-4.145892+(0--0.693192))+0-70.2--0.143207999999997</f>
        <v>1618.9905079999999</v>
      </c>
      <c r="M20" s="3">
        <f>1996.2+(0-306.5)+(0+(0-0))+0-76.3-0</f>
        <v>1613.4</v>
      </c>
      <c r="N20" s="3">
        <f>2023+(0-326)+(-2.06346+(0--0.33252))+0-34.4--0.0350880000000055</f>
        <v>1660.9041480000001</v>
      </c>
      <c r="O20" s="3">
        <f>2162.6+(0-411)+(3.308778+(0-0.62883))+0-21.6-0.0330480000000013</f>
        <v>1732.6469</v>
      </c>
      <c r="P20" s="3">
        <f>2269.9+(0-376.1)+(2.315298+(0-0.383622))+0-83-0.0846600000000132</f>
        <v>1812.6470160000001</v>
      </c>
      <c r="Q20" s="3">
        <f>2269.5+(0-375.6)+(1.157445+(0-0.191556))+0-60.7-0.0309569999999938</f>
        <v>1834.1349320000002</v>
      </c>
      <c r="R20" s="3">
        <f>2219.3+(0-329.4)+(0+(0-0))+0-66-0</f>
        <v>1823.9</v>
      </c>
      <c r="S20" s="3">
        <f>2202.4+(0-317.2)+(-1.123224+(0--0.161772))+0-83.3--0.0424829999999915</f>
        <v>1800.981031</v>
      </c>
      <c r="T20" s="3">
        <f>2199.3+(0-362.1)+(-2.243286+(0--0.369342))+0-69.1--0.070482000000011</f>
        <v>1766.2965380000005</v>
      </c>
      <c r="U20" s="3">
        <f>2098.1+(0-278)+(1.070031+(0-0.14178))+0-67.3-0.0343229999999932</f>
        <v>1753.6939279999999</v>
      </c>
      <c r="V20" s="3">
        <f>2071.6+(0-279.8)+(-4.226064+(0--0.570792))+0-46.6--0.095063999999998</f>
        <v>1741.6397920000002</v>
      </c>
      <c r="W20" s="3">
        <f>2077.7+(0-247.3)+(-2.119254+(0--0.252246))+0-57--0.0581400000000091</f>
        <v>1771.591132</v>
      </c>
      <c r="X20" s="3">
        <f>2205.1+(0-282.7)+(-6.747606+(0--0.865062))+0-69.8--0.213588000000008</f>
        <v>1846.9310439999999</v>
      </c>
      <c r="Y20" s="3">
        <f>2491.9+(0-351.1)+(0+(0-0))+0-64.9-0</f>
        <v>2075.9</v>
      </c>
      <c r="Z20" s="3">
        <f>2713.1+(0-479.8)+(-1.383681+(0--0.244698))+0-77.8--0.0396779999999921</f>
        <v>2154.4006949999998</v>
      </c>
      <c r="AA20" s="3">
        <f>2755.3+(0-556.1)+(-4.215609+(0--0.850833))+0-74.9--0.114597000000004</f>
        <v>2121.0498210000005</v>
      </c>
      <c r="AB20" s="3">
        <f>2642.9+(0-536)+(-4.043637+(0--0.82008))+0-80.3--0.122859000000005</f>
        <v>2023.4993020000004</v>
      </c>
      <c r="AC20" s="3">
        <f>2371.9+(0-377.3)+(-4.838676+(0--0.769692))+0-54.7--0.111587999999998</f>
        <v>1935.9426040000001</v>
      </c>
      <c r="AD20">
        <f t="shared" si="0"/>
        <v>43512.007210000003</v>
      </c>
      <c r="AE20" s="3">
        <f>2752+(0-495.8)+(0+(0-0))+0-93.6-0</f>
        <v>2162.6</v>
      </c>
    </row>
    <row r="21" spans="1:31" s="2" customFormat="1" x14ac:dyDescent="0.25">
      <c r="A21">
        <v>89</v>
      </c>
      <c r="B21">
        <v>1</v>
      </c>
      <c r="C21">
        <v>21</v>
      </c>
      <c r="D21">
        <v>1</v>
      </c>
      <c r="E21">
        <v>1</v>
      </c>
      <c r="F21" s="3">
        <f>2276.1+(0-401.4)+(-5.804055+(0--1.02357))+0-71.4--0.18206999999999</f>
        <v>1798.7015849999998</v>
      </c>
      <c r="G21" s="3">
        <f>2262.5+(0-476.4)+(-5.769375+(0--1.21482))+0-70.6--0.18002999999999</f>
        <v>1711.1254750000001</v>
      </c>
      <c r="H21" s="3">
        <f>2136.8+(0-409.8)+(-6.538608+(0--1.253988))+0-46.7--0.142902000000005</f>
        <v>1675.1582820000003</v>
      </c>
      <c r="I21" s="3">
        <f>2084.8+(0-399.2)+(-1.063248+(0--0.203592))+0-27--0.0137699999999973</f>
        <v>1657.7541140000001</v>
      </c>
      <c r="J21" s="3">
        <f>2077.9+(0-350.4)+(-3.179187+(0--0.536112))+0-68--0.104040000000004</f>
        <v>1656.960965</v>
      </c>
      <c r="K21" s="3">
        <f>2075.7+(0-338.1)+(-2.117214+(0--0.344862))+0-65.2--0.0665040000000104</f>
        <v>1670.694152</v>
      </c>
      <c r="L21" s="3">
        <f>2010+(0-260.8)+(-6.1506+(0--0.798048))+0-69.5--0.212670000000008</f>
        <v>1674.5601180000001</v>
      </c>
      <c r="M21" s="3">
        <f>2150.2+(0-305.3)+(1.096602+(0-0.155703))+0-82.6-0.0421259999999916</f>
        <v>1763.1987729999998</v>
      </c>
      <c r="N21" s="3">
        <f>2373.5+(0-472.6)+(0+(0-0))+0-15.5-0</f>
        <v>1885.4</v>
      </c>
      <c r="O21" s="3">
        <f>2470.9+(0-486.6)+(-2.520318+(0--0.496332))+0-14.1--0.0143820000000022</f>
        <v>1968.1903960000004</v>
      </c>
      <c r="P21" s="3">
        <f>2512.2+(0-485.2)+(1.281222+(0-0.247452))+0-14-0.00713999999999858</f>
        <v>2014.0266299999998</v>
      </c>
      <c r="Q21" s="3">
        <f>2585+(0-478.1)+(1.31835+(0-0.243831))+0-34.2-0.0174419999999965</f>
        <v>2073.7570770000002</v>
      </c>
      <c r="R21" s="3">
        <f>2634.9+(0-504.3)+(-2.687598+(0--0.514386))+0-69.3--0.070686000000011</f>
        <v>2059.1974739999996</v>
      </c>
      <c r="S21" s="3">
        <f>2626.9+(0-523.6)+(-6.698595+(0--1.33518))+0-86.4--0.220319999999987</f>
        <v>2011.7569050000002</v>
      </c>
      <c r="T21" s="3">
        <f>2561.8+(0-522.7)+(1.306518+(0-0.266577))+0-63-0.0321299999999936</f>
        <v>1977.1078110000001</v>
      </c>
      <c r="U21" s="3">
        <f>2454.6+(0-444.3)+(-5.007384+(0--0.906372))+0-70.5--0.143819999999997</f>
        <v>1935.8428079999999</v>
      </c>
      <c r="V21" s="3">
        <f>2439.8+(0-400)+(0+(0-0))+0-87.4-0</f>
        <v>1952.4</v>
      </c>
      <c r="W21" s="3">
        <f>2418.3+(0-352.9)+(-4.933332+(0--0.719916))+0-56.8--0.115871999999998</f>
        <v>2004.5024560000002</v>
      </c>
      <c r="X21" s="3">
        <f>2448.8+(0-334.2)+(-2.497776+(0--0.340884))+0-62.7--0.06395400000001</f>
        <v>2049.8070620000008</v>
      </c>
      <c r="Y21" s="3">
        <f>2653.2+(0-323.4)+(-5.412528+(0--0.659736))+0-84.7--0.172787999999996</f>
        <v>2240.5199959999995</v>
      </c>
      <c r="Z21" s="3">
        <f>2824.8+(0-410.8)+(-4.321944+(0--0.628524))+0-75.8--0.115974000000004</f>
        <v>2334.6225539999996</v>
      </c>
      <c r="AA21" s="3">
        <f>2852.7+(0-554.6)+(-4.364631+(0--0.848538))+0-54.9--0.0839970000000032</f>
        <v>2239.7679039999998</v>
      </c>
      <c r="AB21" s="3">
        <f>2557.9+(0-395.6)+(-3.913587+(0--0.605268))+0-69.6--0.106488000000004</f>
        <v>2089.498169</v>
      </c>
      <c r="AC21" s="3">
        <f>2262.8+(0-216.9)+(-4.616112+(0--0.442476))+0-75.9--0.154835999999997</f>
        <v>1965.9811999999999</v>
      </c>
      <c r="AD21">
        <f t="shared" si="0"/>
        <v>46410.531906000011</v>
      </c>
      <c r="AE21" s="3">
        <f>2810+(0-394.6)+(0+(0-0))+0-100.4-0</f>
        <v>2315</v>
      </c>
    </row>
    <row r="22" spans="1:31" s="2" customFormat="1" x14ac:dyDescent="0.25">
      <c r="A22">
        <v>89</v>
      </c>
      <c r="B22">
        <v>1</v>
      </c>
      <c r="C22">
        <v>22</v>
      </c>
      <c r="D22">
        <v>2</v>
      </c>
      <c r="E22">
        <v>1</v>
      </c>
      <c r="F22" s="3">
        <f>2072+(0-212.3)+(-2.11344+(0--0.216546))+0-38.4--0.0391680000000061</f>
        <v>1819.442274</v>
      </c>
      <c r="G22" s="3">
        <f>2041.2+(0-218)+(-5.20506+(0--0.5559))+0-75.8--0.193289999999989</f>
        <v>1742.9441300000001</v>
      </c>
      <c r="H22" s="3">
        <f>1985.2+(0-213.4)+(-3.037356+(0--0.326502))+0-67.2--0.102816000000004</f>
        <v>1701.9919620000001</v>
      </c>
      <c r="I22" s="3">
        <f>1919.7+(0-167.6)+(-2.937141+(0--0.256428))+0-65.6--0.100368000000004</f>
        <v>1683.9196550000004</v>
      </c>
      <c r="J22" s="3">
        <f>1909+(0-160.1)+(-4.86795+(0--0.408255))+0-83.6--0.213179999999988</f>
        <v>1661.0534850000001</v>
      </c>
      <c r="K22" s="3">
        <f>1973.3+(0-227.8)+(2.012766+(0-0.232356))+0-64.1-0.0653820000000102</f>
        <v>1683.1150280000002</v>
      </c>
      <c r="L22" s="3">
        <f>1943.6+(0-220.8)+(-4.95618+(0--0.56304))+0-60--0.152999999999991</f>
        <v>1658.5598600000001</v>
      </c>
      <c r="M22" s="3">
        <f>2028.8+(0-201.9)+(-1.034688+(0--0.102969))+0-84.3--0.0429929999999914</f>
        <v>1741.711274</v>
      </c>
      <c r="N22" s="3">
        <f>2351+(0-426.9)+(1.19901+(0-0.217719))+0-63-0.0321299999999936</f>
        <v>1862.0491609999999</v>
      </c>
      <c r="O22" s="3">
        <f>2493.6+(0-478.8)+(-1.271736+(0--0.244188))+0-69--0.035189999999993</f>
        <v>1944.807642</v>
      </c>
      <c r="P22" s="3">
        <f>2578.5+(0-485.6)+(-1.315035+(0--0.247656))+0-76.6--0.0390659999999922</f>
        <v>2015.2716870000002</v>
      </c>
      <c r="Q22" s="3">
        <f>2606.5+(0-487)+(1.329315+(0-0.24837))+0-74.7-0.0380969999999924</f>
        <v>2045.8428480000002</v>
      </c>
      <c r="R22" s="3">
        <f>2654.1+(0-556.5)+(-4.060773+(0--0.851445))+0-50.1--0.0766530000000029</f>
        <v>2044.3673250000002</v>
      </c>
      <c r="S22" s="3">
        <f>2644.3+(0-572.2)+(-4.045779+(0--0.875466))+0-79.3--0.121329000000005</f>
        <v>1989.7510160000004</v>
      </c>
      <c r="T22" s="3">
        <f>2529.8+(0-497.5)+(0+(0-0))+0-85.1-0</f>
        <v>1947.2000000000003</v>
      </c>
      <c r="U22" s="3">
        <f>2484.9+(0-489.7)+(0+(0-0))+0-67.4-0</f>
        <v>1927.8</v>
      </c>
      <c r="V22" s="3">
        <f>2454.9+(0-470.7)+(-1.251999+(0--0.240057))+0-48.4--0.0246839999999951</f>
        <v>1934.8127419999998</v>
      </c>
      <c r="W22" s="3">
        <f>2416.8+(0-412.3)+(-7.395408+(0--1.261638))+0-43.3--0.132498000000005</f>
        <v>1955.1987280000003</v>
      </c>
      <c r="X22" s="3">
        <f>2469.2+(0-370.2)+(-1.259292+(0--0.188802))+0-71.3--0.0363629999999928</f>
        <v>2026.6658729999999</v>
      </c>
      <c r="Y22" s="3">
        <f>2692+(0-384.7)+(-2.74584+(0--0.392394))+0-83--0.0846600000000132</f>
        <v>2222.0312140000001</v>
      </c>
      <c r="Z22" s="3">
        <f>2939.2+(0-555)+(-8.993952+(0--1.6983))+0-77.3--0.236538000000009</f>
        <v>2299.840886</v>
      </c>
      <c r="AA22" s="3">
        <f>2867.8+(0-537.8)+(-5.850312+(0--1.097112))+0-74.8--0.152591999999997</f>
        <v>2250.5993919999996</v>
      </c>
      <c r="AB22" s="3">
        <f>2618.3+(0-465)+(0+(0-0))+0-64.9-0</f>
        <v>2088.4</v>
      </c>
      <c r="AC22" s="3">
        <f>2439+(0-375.6)+(-1.24389+(0--0.191556))+0-86.8--0.0442679999999912</f>
        <v>1975.5919340000003</v>
      </c>
      <c r="AD22">
        <f t="shared" si="0"/>
        <v>46222.968116000004</v>
      </c>
      <c r="AE22" s="3">
        <f>3014+(0-593.6)+(0+(0-0))+0-94.3-0</f>
        <v>2326.1</v>
      </c>
    </row>
    <row r="23" spans="1:31" s="2" customFormat="1" x14ac:dyDescent="0.25">
      <c r="A23">
        <v>89</v>
      </c>
      <c r="B23">
        <v>1</v>
      </c>
      <c r="C23">
        <v>23</v>
      </c>
      <c r="D23">
        <v>3</v>
      </c>
      <c r="E23">
        <v>1</v>
      </c>
      <c r="F23" s="3">
        <f>2187+(0-287.3)+(-3.34611+(0--0.439569))+0-73.6--0.112608000000004</f>
        <v>1823.306067</v>
      </c>
      <c r="G23" s="3">
        <f>2034.9+(0-240.1)+(0+(0-0))+0-54.6-0</f>
        <v>1740.2000000000003</v>
      </c>
      <c r="H23" s="3">
        <f>2011.3+(0-230.6)+(-2.051526+(0--0.235212))+0-76.8--0.0783360000000122</f>
        <v>1702.1620220000002</v>
      </c>
      <c r="I23" s="3">
        <f>1915.1+(0-122.5)+(-0.976701+(0--0.062475))+0-87.5--0.0446249999999911</f>
        <v>1704.2303989999998</v>
      </c>
      <c r="J23" s="3">
        <f>1900.3+(0-136.2)+(-3.876612+(0--0.277848))+0-65--0.132599999999997</f>
        <v>1695.6338359999997</v>
      </c>
      <c r="K23" s="3">
        <f>1908.2+(0-153.2)+(-0.973182+(0--0.078132))+0-61--0.0311099999999938</f>
        <v>1693.1360599999998</v>
      </c>
      <c r="L23" s="3">
        <f>1904.7+(0-134.4)+(-0.971397+(0--0.068544))+0-85.6--0.0436559999999913</f>
        <v>1683.8408030000001</v>
      </c>
      <c r="M23" s="3">
        <f>1957.7+(0-132.7)+(-1.996854+(0--0.135354))+0-60.8--0.0620160000000097</f>
        <v>1762.4005160000002</v>
      </c>
      <c r="N23" s="3">
        <f>2255.1+(0-310)+(-4.600404+(0--0.6324))+0-55.1--0.112403999999998</f>
        <v>1886.1443999999999</v>
      </c>
      <c r="O23" s="3">
        <f>2373.9+(0-370.7)+(-3.632067+(0--0.567171))+0-15.1--0.0231030000000009</f>
        <v>1985.058207</v>
      </c>
      <c r="P23" s="3">
        <f>2470.8+(0-394.6)+(-3.780324+(0--0.603738))+0-47.2--0.0722160000000027</f>
        <v>2025.8956300000002</v>
      </c>
      <c r="Q23" s="3">
        <f>2598.7+(0-469.8)+(-2.650674+(0--0.479196))+0-66.6--0.0679320000000106</f>
        <v>2060.1964539999994</v>
      </c>
      <c r="R23" s="3">
        <f>2644.2+(0-512.7)+(0+(0-0))+0-82.7-0</f>
        <v>2048.8000000000002</v>
      </c>
      <c r="S23" s="3">
        <f>2568.2+(0-502.2)+(-1.309782+(0--0.256122))+0-70.4--0.0359039999999929</f>
        <v>1994.5822439999999</v>
      </c>
      <c r="T23" s="3">
        <f>2545.4+(0-526.1)+(-2.596308+(0--0.536622))+0-66.7--0.0680340000000106</f>
        <v>1950.608348</v>
      </c>
      <c r="U23" s="3">
        <f>2506.1+(0-507.4)+(-2.556222+(0--0.517548))+0-64.1--0.0653820000000102</f>
        <v>1932.626708</v>
      </c>
      <c r="V23" s="3">
        <f>2461.2+(0-442.2)+(-2.510424+(0--0.451044))+0-83--0.0846600000000132</f>
        <v>1934.0252799999998</v>
      </c>
      <c r="W23" s="3">
        <f>2356.1+(0-341.2)+(-1.201611+(0--0.174012))+0-48.2--0.0245819999999951</f>
        <v>1965.6969829999998</v>
      </c>
      <c r="X23" s="3">
        <f>2306.3+(0-244.2)+(-1.176213+(0--0.124542))+0-70--0.0356999999999929</f>
        <v>1991.0840290000001</v>
      </c>
      <c r="Y23" s="3">
        <f>2540+(0-221.3)+(0+(0-0))+0-86-0</f>
        <v>2232.6999999999998</v>
      </c>
      <c r="Z23" s="3">
        <f>2819.9+(0-411.6)+(-2.876298+(0--0.419832))+0-72.3--0.0737460000000115</f>
        <v>2333.6172799999999</v>
      </c>
      <c r="AA23" s="3">
        <f>2743.5+(0-385.7)+(-2.79837+(0--0.393414))+0-73.5--0.0749700000000117</f>
        <v>2281.9700140000004</v>
      </c>
      <c r="AB23" s="3">
        <f>2699.6+(0-461.2)+(-5.507184+(0--0.940848))+0-75.2--0.153407999999997</f>
        <v>2158.7870720000005</v>
      </c>
      <c r="AC23" s="3">
        <f>2559.1+(0-466.2)+(-2.610282+(0--0.475524))+0-69.7--0.0710940000000111</f>
        <v>2021.1363359999998</v>
      </c>
      <c r="AD23">
        <f t="shared" si="0"/>
        <v>46607.838687999996</v>
      </c>
      <c r="AE23" s="3">
        <f>2711+(0-376.2)+(0+(0-0))+0-90-0</f>
        <v>2244.8000000000002</v>
      </c>
    </row>
    <row r="24" spans="1:31" s="2" customFormat="1" x14ac:dyDescent="0.25">
      <c r="A24">
        <v>89</v>
      </c>
      <c r="B24">
        <v>1</v>
      </c>
      <c r="C24">
        <v>24</v>
      </c>
      <c r="D24">
        <v>4</v>
      </c>
      <c r="E24">
        <v>1</v>
      </c>
      <c r="F24" s="3">
        <f>2458.6+(0-514.6)+(-3.761658+(0--0.787338))+0-68.7--0.105111000000004</f>
        <v>1872.430791</v>
      </c>
      <c r="G24" s="3">
        <f>2344.8+(0-480.6)+(-3.587544+(0--0.735318))+0-78.4--0.119952000000005</f>
        <v>1783.0677260000002</v>
      </c>
      <c r="H24" s="3">
        <f>2265.4+(0-478.3)+(1.155354+(0-0.243933))+0-62-0.0316199999999937</f>
        <v>1725.9798010000002</v>
      </c>
      <c r="I24" s="3">
        <f>2223.8+(0-425.7)+(-3.402414+(0--0.651321))+0-74.9--0.114597000000004</f>
        <v>1720.563504</v>
      </c>
      <c r="J24" s="3">
        <f>2219.2+(0-434.6)+(-5.65896+(0--1.10823))+0-70.2--0.17900999999999</f>
        <v>1710.02828</v>
      </c>
      <c r="K24" s="3">
        <f>2227.4+(0-420.1)+(-3.407922+(0--0.642753))+0-66.7--0.102051000000004</f>
        <v>1737.9368820000002</v>
      </c>
      <c r="L24" s="3">
        <f>2231.5+(0-475.2)+(-1.138065+(0--0.242352))+0-51.8--0.0264179999999947</f>
        <v>1703.630705</v>
      </c>
      <c r="M24" s="3">
        <f>2242.6+(0-431.5)+(0+(0-0))+0-22-0</f>
        <v>1789.1</v>
      </c>
      <c r="N24" s="3">
        <f>2509.8+(0-585)+(0+(0-0))+0-14.3-0</f>
        <v>1910.5000000000002</v>
      </c>
      <c r="O24" s="3">
        <f>2583.4+(0-587.4)+(-1.317534+(0--0.299574))+0-11.2--0.00571199999999886</f>
        <v>1983.787752</v>
      </c>
      <c r="P24" s="3">
        <f>2570.4+(0-505.1)+(0+(0-0))+0-10.9-0</f>
        <v>2054.4</v>
      </c>
      <c r="Q24" s="3">
        <f>2606.7+(0-532.1)+(0+(0-0))+0-10.3-0</f>
        <v>2064.2999999999997</v>
      </c>
      <c r="R24" s="3">
        <f>2576.3+(0-517.1)+(-3.941739+(0--0.791163))+0-23.9--0.0365670000000014</f>
        <v>2032.1859910000003</v>
      </c>
      <c r="S24" s="3">
        <f>2567.9+(0-523.1)+(-2.619258+(0--0.533562))+0-45.3--0.0462060000000072</f>
        <v>1997.4605100000001</v>
      </c>
      <c r="T24" s="3">
        <f>2569+(0-551.4)+(-1.31019+(0--0.281214))+0-66.7--0.0340169999999932</f>
        <v>1949.9050409999998</v>
      </c>
      <c r="U24" s="3">
        <f>2474.9+(0-450.7)+(1.262199+(0-0.229857))+0-85.1-0.0434009999999914</f>
        <v>1940.0889410000002</v>
      </c>
      <c r="V24" s="3">
        <f>2456.1+(0-445.1)+(-1.252611+(0--0.227001))+0-67.8--0.0345779999999931</f>
        <v>1942.2089680000001</v>
      </c>
      <c r="W24" s="3">
        <f>2446.3+(0-418.9)+(-3.742839+(0--0.640917))+0-74.8--0.114444000000004</f>
        <v>1949.6125220000001</v>
      </c>
      <c r="X24" s="3">
        <f>2497+(0-387.3)+(-6.36735+(0--0.987615))+0-64.7--0.164984999999991</f>
        <v>2039.7852499999997</v>
      </c>
      <c r="Y24" s="3">
        <f>2707.3+(0-346.3)+(-2.761446+(0--0.353226))+0-84.9--0.0865980000000135</f>
        <v>2273.778378</v>
      </c>
      <c r="Z24" s="3">
        <f>2801.8+(0-350.5)+(-5.715672+(0--0.71502))+0-73.7--0.150347999999997</f>
        <v>2372.7496960000003</v>
      </c>
      <c r="AA24" s="3">
        <f>2648.2+(0-273.2)+(-6.75291+(0--0.69666))+0-71.8--0.18308999999999</f>
        <v>2297.3268399999997</v>
      </c>
      <c r="AB24" s="3">
        <f>2470.2+(0-217)+(-5.039208+(0--0.44268))+0-73.8--0.150551999999997</f>
        <v>2174.9540239999997</v>
      </c>
      <c r="AC24" s="3">
        <f>2372.8+(0-282.3)+(-4.840512+(0--0.575892))+0-78.7--0.160547999999997</f>
        <v>2007.6959280000001</v>
      </c>
      <c r="AD24">
        <f t="shared" si="0"/>
        <v>47033.477530000004</v>
      </c>
      <c r="AE24" s="3">
        <f>2803+(0-343)+(0+(0-0))+0-88-0</f>
        <v>2372</v>
      </c>
    </row>
    <row r="25" spans="1:31" s="2" customFormat="1" x14ac:dyDescent="0.25">
      <c r="A25">
        <v>89</v>
      </c>
      <c r="B25">
        <v>1</v>
      </c>
      <c r="C25">
        <v>25</v>
      </c>
      <c r="D25">
        <v>5</v>
      </c>
      <c r="E25">
        <v>1</v>
      </c>
      <c r="F25" s="3">
        <f>2207+(0-264)+(-3.37671+(0--0.40392))+0-83.1--0.127143000000005</f>
        <v>1857.054353</v>
      </c>
      <c r="G25" s="3">
        <f>2165.2+(0-330.4)+(-3.312756+(0--0.505512))+0-62.2--0.0951660000000036</f>
        <v>1769.8879219999997</v>
      </c>
      <c r="H25" s="3">
        <f>2145.7+(0-353.5)+(-2.188614+(0--0.36057))+0-64.2--0.0654840000000102</f>
        <v>1726.2374399999997</v>
      </c>
      <c r="I25" s="3">
        <f>2148.5+(0-366.5)+(-2.19147+(0--0.37383))+0-77.3--0.0788460000000123</f>
        <v>1702.9612060000002</v>
      </c>
      <c r="J25" s="3">
        <f>2153.4+(0-377.3)+(-2.196468+(0--0.384846))+0-70.6--0.0720120000000112</f>
        <v>1703.7603900000004</v>
      </c>
      <c r="K25" s="3">
        <f>2175.2+(0-405.7)+(1.109352+(0-0.206907))+0-63.2-0.0322319999999936</f>
        <v>1707.1702129999996</v>
      </c>
      <c r="L25" s="3">
        <f>2168.9+(0-387.2)+(-1.106139+(0--0.197472))+0-69.7--0.0355469999999929</f>
        <v>1711.12688</v>
      </c>
      <c r="M25" s="3">
        <f>2249.8+(0-374.3)+(1.147398+(0-0.190893))+0-72-0.0367199999999927</f>
        <v>1804.4197850000003</v>
      </c>
      <c r="N25" s="3">
        <f>2431.1+(0-433.1)+(0+(0-0))+0-69.5-0</f>
        <v>1928.5</v>
      </c>
      <c r="O25" s="3">
        <f>2447.2+(0-369.2)+(-1.248072+(0--0.188292))+0-68.6--0.034985999999993</f>
        <v>2008.3752059999999</v>
      </c>
      <c r="P25" s="3">
        <f>2392.5+(0-275.1)+(2.44035+(0-0.280602))+0-71.8-0.0732360000000114</f>
        <v>2047.6865120000002</v>
      </c>
      <c r="Q25" s="3">
        <f>2686.9+(0-531.8)+(-4.110957+(0--0.813654))+0-79.4--0.121482000000005</f>
        <v>2072.5241790000005</v>
      </c>
      <c r="R25" s="3">
        <f>2656.1+(0-547.6)+(1.354611+(0-0.279276))+0-49.4-0.025193999999995</f>
        <v>2060.1501410000001</v>
      </c>
      <c r="S25" s="3">
        <f>2619+(0-514.2)+(-1.33569+(0--0.262242))+0-67.4--0.0343739999999932</f>
        <v>2036.3609260000001</v>
      </c>
      <c r="T25" s="3">
        <f>2609.9+(0-536.1)+(1.331049+(0-0.273411))+0-82.1-0.0418709999999917</f>
        <v>1992.7157670000006</v>
      </c>
      <c r="U25" s="3">
        <f>2576.8+(0-510.2)+(-3.942504+(0--0.780606))+0-82.9--0.126837000000005</f>
        <v>1980.6649390000005</v>
      </c>
      <c r="V25" s="3">
        <f>2501+(0-421.2)+(0+(0-0))+0-74.8-0</f>
        <v>2005.0000000000002</v>
      </c>
      <c r="W25" s="3">
        <f>2361.2+(0-275.8)+(-3.612636+(0--0.421974))+0-72.9--0.111537000000004</f>
        <v>2009.4208749999996</v>
      </c>
      <c r="X25" s="3">
        <f>2229.6+(0-136.5)+(-6.822576+(0--0.41769))+0-61.5--0.188190000000007</f>
        <v>2025.3833040000002</v>
      </c>
      <c r="Y25" s="3">
        <f>2547.6+(0-261.8)+(-2.598552+(0--0.267036))+0-80.1--0.0817020000000128</f>
        <v>2203.4501859999996</v>
      </c>
      <c r="Z25" s="3">
        <f>2827.8+(0-471.5)+(-5.768712+(0--0.96186))+0-54.2--0.110567999999998</f>
        <v>2297.4037160000003</v>
      </c>
      <c r="AA25" s="3">
        <f>2859.4+(0-549.1)+(-4.374882+(0--0.840123))+0-67.7--0.103581000000004</f>
        <v>2239.1688220000001</v>
      </c>
      <c r="AB25" s="3">
        <f>2615.2+(0-430.9)+(-5.335008+(0--0.879036))+0-80.9--0.165035999999996</f>
        <v>2099.1090639999993</v>
      </c>
      <c r="AC25" s="3">
        <f>2352.1+(0-307.1)+(0+(0-0))+0-81.7-0</f>
        <v>1963.3</v>
      </c>
      <c r="AD25">
        <f t="shared" si="0"/>
        <v>46951.831826000001</v>
      </c>
      <c r="AE25" s="3">
        <f>2927+(0-519)+(0+(0-0))+0-88-0</f>
        <v>2320</v>
      </c>
    </row>
    <row r="26" spans="1:31" s="2" customFormat="1" x14ac:dyDescent="0.25">
      <c r="A26">
        <v>89</v>
      </c>
      <c r="B26">
        <v>1</v>
      </c>
      <c r="C26">
        <v>26</v>
      </c>
      <c r="D26">
        <v>6</v>
      </c>
      <c r="E26">
        <v>1</v>
      </c>
      <c r="F26" s="3">
        <f>2189.5+(0-326.1)+(-3.349935+(0--0.498933))+0-62.6--0.0957780000000036</f>
        <v>1798.0447760000002</v>
      </c>
      <c r="G26" s="3">
        <f>2078.1+(0-295.9)+(-1.059831+(0--0.150909))+0-69.9--0.0356489999999929</f>
        <v>1711.4267269999996</v>
      </c>
      <c r="H26" s="3">
        <f>2091.2+(0-326.6)+(0+(0-0))+0-73.8-0</f>
        <v>1690.8</v>
      </c>
      <c r="I26" s="3">
        <f>2062+(0-313.1)+(-4.20648+(0--0.638724))+0-74.3--0.151571999999997</f>
        <v>1671.1838160000002</v>
      </c>
      <c r="J26" s="3">
        <f>2036.6+(0-296.6)+(-3.115998+(0--0.453798))+0-72.3--0.110619000000004</f>
        <v>1665.1484190000001</v>
      </c>
      <c r="K26" s="3">
        <f>2042.5+(0-299.4)+(0+(0-0))+0-71.7-0</f>
        <v>1671.3999999999999</v>
      </c>
      <c r="L26" s="3">
        <f>1994.7+(0-255.6)+(-6.103782+(0--0.782136))+0-81.8--0.250308000000009</f>
        <v>1652.228662</v>
      </c>
      <c r="M26" s="3">
        <f>2110.2+(0-280.3)+(1.076202+(0-0.142953))+0-83.7-0.0426869999999915</f>
        <v>1747.0905619999999</v>
      </c>
      <c r="N26" s="3">
        <f>2314.4+(0-369.2)+(0+(0-0))+0-70.3-0</f>
        <v>1874.9</v>
      </c>
      <c r="O26" s="3">
        <f>2324.5+(0-311.1)+(2.37099+(0-0.317322))+0-53.5-0.0545700000000085</f>
        <v>1961.8990980000001</v>
      </c>
      <c r="P26" s="3">
        <f>2280.1+(0-240.3)+(-3.488553+(0--0.367659))+0-20.4--0.0312120000000012</f>
        <v>2016.3103180000001</v>
      </c>
      <c r="Q26" s="3">
        <f>2364.4+(0-250.4)+(-3.617532+(0--0.383112))+0-84.3--0.128979000000005</f>
        <v>2026.5945590000003</v>
      </c>
      <c r="R26" s="3">
        <f>2357+(0-275.7)+(0+(0-0))+0-68.2-0</f>
        <v>2013.1000000000001</v>
      </c>
      <c r="S26" s="3">
        <f>2299.4+(0-273)+(-3.518082+(0--0.41769))+0-65.4--0.100062000000004</f>
        <v>1957.9996699999999</v>
      </c>
      <c r="T26" s="3">
        <f>2218.8+(0-240.9)+(-1.131588+(0--0.122859))+0-66.3--0.0338129999999933</f>
        <v>1910.6250840000002</v>
      </c>
      <c r="U26" s="3">
        <f>2331.4+(0-411.9)+(-1.189014+(0--0.210069))+0-44.4--0.0226439999999955</f>
        <v>1874.1436989999997</v>
      </c>
      <c r="V26" s="3">
        <f>2403.4+(0-512.6)+(-3.677202+(0--0.784278))+0-32.8--0.0501840000000019</f>
        <v>1855.1572600000002</v>
      </c>
      <c r="W26" s="3">
        <f>2352.5+(0-404.6)+(-3.599325+(0--0.619038))+0-69.9--0.106947000000004</f>
        <v>1875.1266599999999</v>
      </c>
      <c r="X26" s="3">
        <f>2390.5+(0-361.8)+(-3.657465+(0--0.553554))+0-80--0.122400000000005</f>
        <v>1945.7184890000001</v>
      </c>
      <c r="Y26" s="3">
        <f>2709.9+(0-484.5)+(1.382049+(0-0.247095))+0-78.4-0.039983999999992</f>
        <v>2148.0949700000001</v>
      </c>
      <c r="Z26" s="3">
        <f>2923.7+(0-602.3)+(-2.982174+(0--0.614346))+0-72.8--0.0742560000000116</f>
        <v>2246.3064279999994</v>
      </c>
      <c r="AA26" s="3">
        <f>2857.5+(0-599)+(-1.457325+(0--0.30549))+0-73.3--0.0373829999999926</f>
        <v>2184.0855479999996</v>
      </c>
      <c r="AB26" s="3">
        <f>2702.5+(0-568.4)+(-2.75655+(0--0.579768))+0-69--0.070380000000011</f>
        <v>2062.993598</v>
      </c>
      <c r="AC26" s="3">
        <f>2526.3+(0-491.4)+(-7.730478+(0--1.503684))+0-82.6--0.25275600000001</f>
        <v>1946.3259620000003</v>
      </c>
      <c r="AD26">
        <f t="shared" si="0"/>
        <v>45506.704304999999</v>
      </c>
      <c r="AE26" s="3">
        <f>2914+(0-593.8)+(0+(0-0))+0-89.2-0</f>
        <v>2231</v>
      </c>
    </row>
    <row r="27" spans="1:31" s="2" customFormat="1" x14ac:dyDescent="0.25">
      <c r="A27">
        <v>89</v>
      </c>
      <c r="B27">
        <v>1</v>
      </c>
      <c r="C27">
        <v>27</v>
      </c>
      <c r="D27">
        <v>7</v>
      </c>
      <c r="E27">
        <v>1</v>
      </c>
      <c r="F27" s="3">
        <f>2299.6+(0-404.3)+(-2.345592+(0--0.412386))+0-71.2--0.0726240000000114</f>
        <v>1822.2394179999999</v>
      </c>
      <c r="G27" s="3">
        <f>2224.9+(0-411.3)+(-5.673495+(0--1.048815))+0-73.2--0.186659999999989</f>
        <v>1735.9619800000003</v>
      </c>
      <c r="H27" s="3">
        <f>2140.5+(0-369.8)+(-5.458275+(0--0.94299))+0-72.3--0.18436499999999</f>
        <v>1694.0690800000002</v>
      </c>
      <c r="I27" s="3">
        <f>2144+(0-393.3)+(-2.18688+(0--0.401166))+0-74.5--0.0759900000000119</f>
        <v>1674.490276</v>
      </c>
      <c r="J27" s="3">
        <f>2077.6+(0-335.1)+(0+(0-0))+0-81.3-0</f>
        <v>1661.2</v>
      </c>
      <c r="K27" s="3">
        <f>2017.3+(0-281.1)+(-4.115292+(0--0.573444))+0-84.1--0.171563999999996</f>
        <v>1648.7297159999998</v>
      </c>
      <c r="L27" s="3">
        <f>1953.8+(0-306)+(-6.975066+(0--1.09242))+0-74.2--0.264894000000001</f>
        <v>1567.9822479999998</v>
      </c>
      <c r="M27" s="3">
        <f>1952.2+(0-280.1)+(-3.982488+(0--0.571404))+0-72.6--0.148103999999997</f>
        <v>1596.23702</v>
      </c>
      <c r="N27" s="3">
        <f>1953.8+(0-235.3)+(0+(0-0))+0-73.6-0</f>
        <v>1644.9</v>
      </c>
      <c r="O27" s="3">
        <f>2027.7+(0-226.9)+(2.068254+(0-0.231438))+0-79.6-0.0811920000000127</f>
        <v>1722.9556239999999</v>
      </c>
      <c r="P27" s="3">
        <f>2102.7+(0-257.8)+(0+(0-0))+0-80.3-0</f>
        <v>1764.6</v>
      </c>
      <c r="Q27" s="3">
        <f>2097.5+(0-241.4)+(-2.13945+(0--0.246228))+0-65--0.0663000000000104</f>
        <v>1789.2730779999999</v>
      </c>
      <c r="R27" s="3">
        <f>2078.4+(0-232.4)+(-2.119968+(0--0.237048))+0-73.7--0.0751740000000118</f>
        <v>1770.492254</v>
      </c>
      <c r="S27" s="3">
        <f>1966.2+(0-161.8)+(0+(0-0))+0-58-0</f>
        <v>1746.4</v>
      </c>
      <c r="T27" s="3">
        <f>2081.8+(0-276.1)+(-4.246872+(0--0.563244))+0-83.9--0.171155999999996</f>
        <v>1718.2875280000001</v>
      </c>
      <c r="U27" s="3">
        <f>2034+(0-278.9)+(-7.26138+(0--0.995673))+0-54.9--0.195993000000001</f>
        <v>1694.1302859999998</v>
      </c>
      <c r="V27" s="3">
        <f>1949.1+(0-192.7)+(-5.964246+(0--0.589662))+0-59.7--0.182682000000007</f>
        <v>1691.508098</v>
      </c>
      <c r="W27" s="3">
        <f>1947.9+(0-150.3)+(-0.993429+(0--0.076653))+0-82.5--0.0420749999999916</f>
        <v>1714.2252990000002</v>
      </c>
      <c r="X27" s="3">
        <f>1906.9+(13.7-86.4)+(-4.862595+(-0.034935--0.22032))+0-63.5--0.161924999999991</f>
        <v>1766.1847149999999</v>
      </c>
      <c r="Y27" s="3">
        <f>2311.7+(0-251.3)+(-2.357934+(0--0.256326))+0-72.5--0.0739500000000116</f>
        <v>1985.8723419999997</v>
      </c>
      <c r="Z27" s="3">
        <f>2776.4+(0-584.2)+(-2.831928+(0--0.595884))+0-73.5--0.0749700000000117</f>
        <v>2116.5389259999997</v>
      </c>
      <c r="AA27" s="3">
        <f>2747.2+(0-577.8)+(0+(0-0))+0-75.9-0</f>
        <v>2093.4999999999995</v>
      </c>
      <c r="AB27" s="3">
        <f>2618.6+(0-532)+(-4.006458+(0--0.81396))+0-83.2--0.127296000000005</f>
        <v>2000.3347980000001</v>
      </c>
      <c r="AC27" s="3">
        <f>2427.9+(0-502.2)+(-3.714687+(0--0.768366))+0-33.1--0.0506430000000019</f>
        <v>1889.7043220000003</v>
      </c>
      <c r="AD27">
        <f t="shared" si="0"/>
        <v>42509.817008000005</v>
      </c>
      <c r="AE27" s="3">
        <f>2821+(0-608.5)+(0+(0-0))+0-93.9-0</f>
        <v>2118.6</v>
      </c>
    </row>
    <row r="28" spans="1:31" s="2" customFormat="1" x14ac:dyDescent="0.25">
      <c r="A28">
        <v>89</v>
      </c>
      <c r="B28">
        <v>1</v>
      </c>
      <c r="C28">
        <v>28</v>
      </c>
      <c r="D28">
        <v>1</v>
      </c>
      <c r="E28">
        <v>1</v>
      </c>
      <c r="F28" s="3">
        <f>2290.2+(0-472.8)+(-5.84001+(0--1.20564))+0-81.4--0.207569999999988</f>
        <v>1731.5731999999998</v>
      </c>
      <c r="G28" s="3">
        <f>2193.7+(0-479.6)+(-6.712722+(0--1.467576))+0-63.7--0.194922000000007</f>
        <v>1645.3497759999998</v>
      </c>
      <c r="H28" s="3">
        <f>2144.3+(0-455.9)+(-4.374372+(0--0.930036))+0-70.6--0.144023999999997</f>
        <v>1614.4996880000001</v>
      </c>
      <c r="I28" s="3">
        <f>2155.7+(0-484.3)+(-2.198814+(0--0.493986))+0-71.8--0.0732360000000114</f>
        <v>1597.968408</v>
      </c>
      <c r="J28" s="3">
        <f>2159+(0-477.2)+(-3.30327+(0--0.730116))+0-84.6--0.129438000000005</f>
        <v>1594.7562840000001</v>
      </c>
      <c r="K28" s="3">
        <f>2108.7+(0-426)+(-2.150874+(0--0.43452))+0-75--0.076500000000012</f>
        <v>1606.060146</v>
      </c>
      <c r="L28" s="3">
        <f>2066.2+(0-353.1)+(-1.053762+(0--0.180081))+0-75--0.0382499999999924</f>
        <v>1637.2645689999999</v>
      </c>
      <c r="M28" s="3">
        <f>2178.5+(0-361.1)+(1.111035+(0-0.184161))+0-60.4-0.0308039999999939</f>
        <v>1757.89607</v>
      </c>
      <c r="N28" s="3">
        <f>2496.1+(0-554.5)+(-1.273011+(0--0.282795))+0-65.5--0.0334049999999934</f>
        <v>1875.1431889999999</v>
      </c>
      <c r="O28" s="3">
        <f>2408.6+(0-370.9)+(0+(0-0))+0-74.7-0</f>
        <v>1962.9999999999998</v>
      </c>
      <c r="P28" s="3">
        <f>2384.8+(0-308.6)+(-3.648744+(0--0.472158))+0-50.2--0.0768060000000029</f>
        <v>2022.9002200000002</v>
      </c>
      <c r="Q28" s="3">
        <f>2392+(0-282.5)+(-3.65976+(0--0.432225))+0-68.3--0.104499000000004</f>
        <v>2038.0769640000001</v>
      </c>
      <c r="R28" s="3">
        <f>2439.6+(0-343.8)+(-3.732588+(0--0.526014))+0-72.3--0.110619000000004</f>
        <v>2020.404045</v>
      </c>
      <c r="S28" s="3">
        <f>2417.3+(0-359.5)+(-6.164115+(0--0.916725))+0-68.6--0.17492999999999</f>
        <v>1984.1275400000002</v>
      </c>
      <c r="T28" s="3">
        <f>2423.3+(0-406)+(-3.707649+(0--0.62118))+0-67.6--0.103428000000004</f>
        <v>1946.7169590000001</v>
      </c>
      <c r="U28" s="3">
        <f>2455.3+(0-473.4)+(-1.252203+(0--0.241434))+0-57.4--0.0292739999999942</f>
        <v>1923.518505</v>
      </c>
      <c r="V28" s="3">
        <f>2451.9+(0-413.3)+(-2.500938+(0--0.421566))+0-82.9--0.0845580000000132</f>
        <v>1953.7051860000001</v>
      </c>
      <c r="W28" s="3">
        <f>2487.2+(0-435.5)+(-1.268472+(0--0.222105))+0-52.5--0.0267749999999947</f>
        <v>1998.1804079999999</v>
      </c>
      <c r="X28" s="3">
        <f>2499.7+(0-342.3)+(-3.824541+(0--0.523719))+0-75.3--0.115209000000004</f>
        <v>2078.9143869999994</v>
      </c>
      <c r="Y28" s="3">
        <f>2728.3+(0-410.1)+(-1.391433+(0--0.209151))+0-79.2--0.040391999999992</f>
        <v>2237.8581100000001</v>
      </c>
      <c r="Z28" s="3">
        <f>2899.1+(0-514.8)+(-5.914164+(0--1.050192))+0-71.3--0.145451999999997</f>
        <v>2308.2814800000001</v>
      </c>
      <c r="AA28" s="3">
        <f>2846.7+(0-531)+(-4.355451+(0--0.81243))+0-62.6--0.0957780000000036</f>
        <v>2249.6527569999998</v>
      </c>
      <c r="AB28" s="3">
        <f>2552.5+(0-379.6)+(-2.60355+(0--0.387192))+0-70.6--0.0720120000000112</f>
        <v>2100.1556540000001</v>
      </c>
      <c r="AC28" s="3">
        <f>2460.4+(0-431.6)+(-2.509608+(0--0.440232))+0-59.3--0.0604860000000095</f>
        <v>1967.4911100000004</v>
      </c>
      <c r="AD28">
        <f t="shared" si="0"/>
        <v>45853.494655000002</v>
      </c>
      <c r="AE28" s="3">
        <f>2930+(0-514.2)+(0+(0-0))+0-83.5-0</f>
        <v>2332.3000000000002</v>
      </c>
    </row>
    <row r="29" spans="1:31" s="2" customFormat="1" x14ac:dyDescent="0.25">
      <c r="A29">
        <v>89</v>
      </c>
      <c r="B29">
        <v>1</v>
      </c>
      <c r="C29">
        <v>29</v>
      </c>
      <c r="D29">
        <v>2</v>
      </c>
      <c r="E29">
        <v>1</v>
      </c>
      <c r="F29" s="3">
        <f>2333.6+(0-441.6)+(-3.570408+(0--0.675648))+0-62.3--0.0953190000000036</f>
        <v>1826.9005590000002</v>
      </c>
      <c r="G29" s="3">
        <f>2110.1+(0-292.6)+(-4.304604+(0--0.596904))+0-69.5--0.141779999999997</f>
        <v>1744.43408</v>
      </c>
      <c r="H29" s="3">
        <f>2032.7+(0-247.3)+(-1.036677+(0--0.126123))+0-85--0.0433499999999914</f>
        <v>1699.532796</v>
      </c>
      <c r="I29" s="3">
        <f>1924.4+(0-189.5)+(-0.981444+(0--0.096645))+0-67.2--0.0342719999999932</f>
        <v>1666.8494730000002</v>
      </c>
      <c r="J29" s="3">
        <f>1920.8+(0-189.8)+(-1.959216+(0--0.193596))+0-62.7--0.06395400000001</f>
        <v>1666.598334</v>
      </c>
      <c r="K29" s="3">
        <f>1901.6+(0-138.6)+(-4.84908+(0--0.35343))+0-70.5--0.17977499999999</f>
        <v>1688.184125</v>
      </c>
      <c r="L29" s="3">
        <f>1786+(24.9-81.8)+(-0.91086+(-0.012699--0.041718))+0-72.2--0.0368219999999927</f>
        <v>1656.054981</v>
      </c>
      <c r="M29" s="3">
        <f>1940.9+(0-119.5)+(-1.979718+(0--0.12189))+0-66.7--0.0680340000000106</f>
        <v>1752.910206</v>
      </c>
      <c r="N29" s="3">
        <f>2149.7+(0-210.8)+(-3.289041+(0--0.322524))+0-58.9--0.0901170000000034</f>
        <v>1877.1235999999997</v>
      </c>
      <c r="O29" s="3">
        <f>2274.4+(0-295.5)+(0+(0-0))+0-20.1-0</f>
        <v>1958.8000000000002</v>
      </c>
      <c r="P29" s="3">
        <f>2318.6+(0-284)+(0+(0-0))+0-16.5-0</f>
        <v>2018.1</v>
      </c>
      <c r="Q29" s="3">
        <f>2345.5+(0-274.9)+(-2.39241+(0--0.280398))+0-15.4--0.0157080000000025</f>
        <v>2053.1036959999997</v>
      </c>
      <c r="R29" s="3">
        <f>2363.7+(0-287.6)+(-3.616461+(0--0.440028))+0-50.1--0.0766530000000029</f>
        <v>2022.90022</v>
      </c>
      <c r="S29" s="3">
        <f>2362.2+(0-320)+(-1.204722+(0--0.1632))+0-63.9--0.0325889999999935</f>
        <v>1977.2910669999997</v>
      </c>
      <c r="T29" s="3">
        <f>2146.7+(0-123.1)+(1.094817+(0-0.062781))+0-84.5-0.0430949999999914</f>
        <v>1940.088941</v>
      </c>
      <c r="U29" s="3">
        <f>2123.5+(0-118.1)+(-4.33194+(0--0.240924))+0-74.5--0.151979999999997</f>
        <v>1926.9609640000001</v>
      </c>
      <c r="V29" s="3">
        <f>2174.2+(0-170.4)+(-1.108842+(0--0.086904))+0-72--0.0367199999999927</f>
        <v>1930.8147819999997</v>
      </c>
      <c r="W29" s="3">
        <f>2220.7+(0-191.7)+(-3.397671+(0--0.293301))+0-67.9--0.103887000000004</f>
        <v>1958.0995169999997</v>
      </c>
      <c r="X29" s="3">
        <f>2299.2+(0-226.5)+(-3.517776+(0--0.346545))+0-74.7--0.114291000000004</f>
        <v>1994.9430600000001</v>
      </c>
      <c r="Y29" s="3">
        <f>2705.6+(0-414.9)+(-2.759712+(0--0.423198))+0-77.4--0.0789480000000123</f>
        <v>2211.0424339999995</v>
      </c>
      <c r="Z29" s="3">
        <f>2889.8+(0-517)+(-5.895192+(0--1.05468))+0-73.6--0.150143999999997</f>
        <v>2294.5096320000002</v>
      </c>
      <c r="AA29" s="3">
        <f>2828.8+(0-508.8)+(-7.21344+(0--1.29744))+0-70.7--0.18028499999999</f>
        <v>2243.5642849999999</v>
      </c>
      <c r="AB29" s="3">
        <f>2519.7+(0-360)+(-1.285047+(0--0.1836))+0-64--0.0326399999999935</f>
        <v>2094.6311929999997</v>
      </c>
      <c r="AC29" s="3">
        <f>2240.7+(0-212)+(-2.285514+(0--0.21624))+0-81--0.0826200000000129</f>
        <v>1945.7133459999998</v>
      </c>
      <c r="AD29">
        <f t="shared" si="0"/>
        <v>46149.151290999995</v>
      </c>
      <c r="AE29" s="3">
        <f>2958+(0-527)+(0+(0-0))+0-98.2-0</f>
        <v>2332.8000000000002</v>
      </c>
    </row>
    <row r="30" spans="1:31" s="2" customFormat="1" x14ac:dyDescent="0.25">
      <c r="A30">
        <v>89</v>
      </c>
      <c r="B30">
        <v>1</v>
      </c>
      <c r="C30">
        <v>30</v>
      </c>
      <c r="D30">
        <v>3</v>
      </c>
      <c r="E30">
        <v>1</v>
      </c>
      <c r="F30" s="3">
        <f>2233.7+(0-337.4)+(-3.417561+(0--0.516222))+0-61.3--0.0937890000000035</f>
        <v>1832.1924499999998</v>
      </c>
      <c r="G30" s="3">
        <f>2164.5+(0-336.8)+(-4.41558+(0--0.687072))+0-66.1--0.134843999999997</f>
        <v>1758.0063360000001</v>
      </c>
      <c r="H30" s="3">
        <f>2161.8+(0-367.4)+(0+(0-0))+0-82.4-0</f>
        <v>1712</v>
      </c>
      <c r="I30" s="3">
        <f>2088.8+(0-330.1)+(-4.261152+(0--0.673404))+0-60--0.122399999999997</f>
        <v>1695.2346520000003</v>
      </c>
      <c r="J30" s="3">
        <f>2040+(0-279.4)+(-2.0808+(0--0.284988))+0-66.7--0.0680340000000106</f>
        <v>1692.1722219999997</v>
      </c>
      <c r="K30" s="3">
        <f>2017.1+(0-231.4)+(-3.086163+(0--0.354042))+0-77.7--0.118881000000004</f>
        <v>1705.3867599999999</v>
      </c>
      <c r="L30" s="3">
        <f>2028.4+(0-250.2)+(-2.068968+(0--0.255204))+0-72.9--0.0743580000000116</f>
        <v>1703.560594</v>
      </c>
      <c r="M30" s="3">
        <f>2079.6+(0-237.3)+(-1.060596+(0--0.121023))+0-55--0.0280499999999944</f>
        <v>1786.3884769999997</v>
      </c>
      <c r="N30" s="3">
        <f>2161.4+(0-167.9)+(0+(0-0))+0-74.9-0</f>
        <v>1918.6</v>
      </c>
      <c r="O30" s="3">
        <f>2283.9+(0-203.3)+(1.164789+(0-0.103683))+0-83.7-0.0426869999999915</f>
        <v>1997.9184190000001</v>
      </c>
      <c r="P30" s="3">
        <f>2266.1+(0-144)+(0+(0-0))+0-72.5-0</f>
        <v>2049.6</v>
      </c>
      <c r="Q30" s="3">
        <f>2203.6+(5.7-75.6)+(-1.123836+(-0.002907--0.038556))+0-64.2--0.0327419999999935</f>
        <v>2068.444555</v>
      </c>
      <c r="R30" s="3">
        <f>2223.6+(0-81)+(2.268072+(0-0.08262))+0-90-0.0918000000000144</f>
        <v>2054.6936519999999</v>
      </c>
      <c r="S30" s="3">
        <f>2214.4+(0-111.8)+(1.129344+(0-0.057018))+0-25-0.0127499999999975</f>
        <v>2078.659576</v>
      </c>
      <c r="T30" s="3">
        <f>2213.7+(0-157.3)+(-1.128987+(0--0.080223))+0-100--0.0509999999999899</f>
        <v>1955.4022359999994</v>
      </c>
      <c r="U30" s="3">
        <f>2236.2+(0-216.1)+(-5.70231+(0--0.551055))+0-95--0.242249999999986</f>
        <v>1920.1909949999999</v>
      </c>
      <c r="V30" s="3">
        <f>2255.7+(0-215.2)+(-2.300814+(0--0.219504))+0-25--0.025500000000004</f>
        <v>2013.4441899999997</v>
      </c>
      <c r="W30" s="3">
        <f>2281.7+(0-198.4)+(-5.818335+(0--0.50592))+0-20--0.0509999999999971</f>
        <v>2058.0385849999998</v>
      </c>
      <c r="X30" s="3">
        <f>2165.1+(44-62.2)+(-5.521005+(-0.1122--0.15861))+0-0-0</f>
        <v>2141.425405</v>
      </c>
      <c r="Y30" s="3">
        <f>2366.4+(0-84.1)+(-3.620592+(0--0.128673))+0-0-0</f>
        <v>2278.8080810000001</v>
      </c>
      <c r="Z30" s="3">
        <f>2815.1+(0-439)+(-5.742804+(0--0.89556))+0-0-0</f>
        <v>2371.2527559999999</v>
      </c>
      <c r="AA30" s="3">
        <f>2754.8+(0-417.9)+(-8.429688+(0--1.278774))+0-0-0</f>
        <v>2329.7490860000003</v>
      </c>
      <c r="AB30" s="3">
        <f>2394.7+(0-197.1)+(-6.106485+(0--0.502605))+0-0-0</f>
        <v>2191.9961199999998</v>
      </c>
      <c r="AC30" s="3">
        <f>2258.4+(0-179.2)+(-6.910704+(0--0.548352))+0-0-0</f>
        <v>2072.8376480000002</v>
      </c>
      <c r="AD30">
        <f t="shared" si="0"/>
        <v>47386.002795000008</v>
      </c>
      <c r="AE30" s="3">
        <f>2878+(0-398.3)+(0+(0-0))+0-0-0</f>
        <v>2479.6999999999998</v>
      </c>
    </row>
    <row r="31" spans="1:31" s="2" customFormat="1" x14ac:dyDescent="0.25">
      <c r="A31">
        <v>89</v>
      </c>
      <c r="B31">
        <v>1</v>
      </c>
      <c r="C31">
        <v>31</v>
      </c>
      <c r="D31">
        <v>4</v>
      </c>
      <c r="E31">
        <v>1</v>
      </c>
      <c r="F31" s="3">
        <f>2224.9+(0-307.5)+(-6.808194+(0--0.94095))+0-105--0.321300000000012</f>
        <v>1806.8540560000001</v>
      </c>
      <c r="G31" s="3">
        <f>2129.2+(0-296.9)+(-6.515352+(0--0.908514))+0-85--0.26010000000001</f>
        <v>1741.9532619999998</v>
      </c>
      <c r="H31" s="3">
        <f>2037.5+(0-253.3)+(-1.039125+(0--0.129183))+0-52.7--0.0268769999999947</f>
        <v>1730.616935</v>
      </c>
      <c r="I31" s="3">
        <f>2030.3+(0-248.6)+(-2.070906+(0--0.253572))+0-75.2--0.076704000000012</f>
        <v>1704.75937</v>
      </c>
      <c r="J31" s="3">
        <f>2037.9+(0-268.5)+(0+(0-0))+0-73-0</f>
        <v>1696.4</v>
      </c>
      <c r="K31" s="3">
        <f>2034.4+(0-282)+(-1.037544+(0--0.14382))+0-62.4--0.0318239999999937</f>
        <v>1689.1380999999999</v>
      </c>
      <c r="L31" s="3">
        <f>2035.8+(0-256)+(-2.076516+(0--0.26112))+0-79.9--0.0814980000000127</f>
        <v>1698.1661019999999</v>
      </c>
      <c r="M31" s="3">
        <f>2143.1+(0-255.1)+(-2.185962+(0--0.260202))+0-25--0.025500000000004</f>
        <v>1861.0997399999999</v>
      </c>
      <c r="N31" s="3">
        <f>2127.4+(0-188.6)+(-3.254922+(0--0.288558))+0-25--0.0382500000000014</f>
        <v>1910.8718860000001</v>
      </c>
      <c r="O31" s="3">
        <f>2219.6+(0-205.6)+(-3.395988+(0--0.314568))+0-20--0.0306000000000012</f>
        <v>1990.9491800000001</v>
      </c>
      <c r="P31" s="3">
        <f>2262.4+(0-212.7)+(0+(0-0))+0-15.1-0</f>
        <v>2034.6000000000004</v>
      </c>
      <c r="Q31" s="3">
        <f>2371.9+(0-287.7)+(1.209669+(0-0.146727))+0-25-0.0127499999999975</f>
        <v>2060.2501920000004</v>
      </c>
      <c r="R31" s="3">
        <f>2528.7+(0-428.4)+(-1.289637+(0--0.218484))+0-14.8--0.0075479999999985</f>
        <v>2084.4363949999997</v>
      </c>
      <c r="S31" s="3">
        <f>2526.8+(0-441)+(-1.288668+(0--0.22491))+0-48.1--0.0245309999999951</f>
        <v>2036.6607730000005</v>
      </c>
      <c r="T31" s="3">
        <f>2527.7+(0-476.4)+(0+(0-0))+0-67.1-0</f>
        <v>1984.1999999999998</v>
      </c>
      <c r="U31" s="3">
        <f>2335.1+(0-301.5)+(-3.572703+(0--0.461295))+0-62.5--0.0956250000000036</f>
        <v>1968.0842169999999</v>
      </c>
      <c r="V31" s="3">
        <f>2280.6+(0-250.8)+(-3.489318+(0--0.383724))+0-61.2--0.0936360000000035</f>
        <v>1965.5880419999999</v>
      </c>
      <c r="W31" s="3">
        <f>2275+(0-183)+(-5.80125+(0--0.46665))+0-86.1--0.219554999999987</f>
        <v>2000.7849549999999</v>
      </c>
      <c r="X31" s="3">
        <f>2226.2+(0-155.9)+(-4.541448+(0--0.318036))+0-72.7--0.148307999999997</f>
        <v>1993.5248959999999</v>
      </c>
      <c r="Y31" s="3">
        <f>2410.9+(0-74.1)+(-2.459118+(0--0.075582))+0-69.6--0.0709920000000111</f>
        <v>2264.8874560000004</v>
      </c>
      <c r="Z31" s="3">
        <f>2767+(0-461.9)+(-4.23351+(0--0.706707))+0-72.9--0.111537000000004</f>
        <v>2228.7847339999998</v>
      </c>
      <c r="AA31" s="3">
        <f>2729.1+(0-527.2)+(-1.391841+(0--0.268872))+0-84.3--0.0429929999999914</f>
        <v>2116.5200239999995</v>
      </c>
      <c r="AB31" s="3">
        <f>2460.2+(0-372.4)+(-6.27351+(0--0.94962))+0-76.4--0.194819999999989</f>
        <v>2006.2709299999995</v>
      </c>
      <c r="AC31" s="3">
        <f>2305+(0-284.6)+(-4.7022+(0--0.580584))+0-75--0.152999999999997</f>
        <v>1941.4313840000002</v>
      </c>
      <c r="AD31">
        <f t="shared" si="0"/>
        <v>46516.832629000004</v>
      </c>
      <c r="AE31" s="3">
        <f>2771+(0-484.2)+(0+(0-0))+0-89.2-0</f>
        <v>2197.6000000000004</v>
      </c>
    </row>
    <row r="32" spans="1:31" s="2" customFormat="1" x14ac:dyDescent="0.25">
      <c r="A32">
        <v>89</v>
      </c>
      <c r="B32">
        <v>2</v>
      </c>
      <c r="C32">
        <v>1</v>
      </c>
      <c r="D32">
        <v>5</v>
      </c>
      <c r="E32">
        <v>1</v>
      </c>
      <c r="F32" s="3">
        <f>2389.5+(0-484.3)+(-2.43729+(0--0.493986))+0-25--0.025500000000004</f>
        <v>1878.2821960000001</v>
      </c>
      <c r="G32" s="3">
        <f>2356.3+(0-534.3)+(-6.008565+(0--1.362465))+0-59.5--0.151724999999991</f>
        <v>1758.0056250000002</v>
      </c>
      <c r="H32" s="3">
        <f>2242.5+(0-455.1)+(0+(0-0))+0-57.7-0</f>
        <v>1729.7</v>
      </c>
      <c r="I32" s="3">
        <f>2199.3+(0-406.8)+(-3.364929+(0--0.622404))+0-86.3--0.132039000000005</f>
        <v>1703.5895140000005</v>
      </c>
      <c r="J32" s="3">
        <f>2213.7+(0-437.6)+(-3.386961+(0--0.669528))+0-65.7--0.100521000000004</f>
        <v>1707.7830879999999</v>
      </c>
      <c r="K32" s="3">
        <f>2169.5+(0-393.1)+(-4.42578+(0--0.801924))+0-61.3--0.125051999999997</f>
        <v>1711.6011960000003</v>
      </c>
      <c r="L32" s="3">
        <f>2110.9+(0-335)+(-3.229677+(0--0.51255))+0-76.3--0.116739000000004</f>
        <v>1696.9996120000003</v>
      </c>
      <c r="M32" s="3">
        <f>2199.2+(0-314.9)+(0+(0-0))+0-87.4-0</f>
        <v>1796.8999999999996</v>
      </c>
      <c r="N32" s="3">
        <f>2336.2+(0-335.9)+(2.382924+(0-0.342618))+0-67.5-0.0688500000000108</f>
        <v>1934.7714559999997</v>
      </c>
      <c r="O32" s="3">
        <f>2376.2+(0-325.1)+(4.847448+(0-0.663204))+0-67.9-0.138515999999997</f>
        <v>1987.2457279999999</v>
      </c>
      <c r="P32" s="3">
        <f>2415.9+(0-319.1)+(-1.232109+(0--0.162741))+0-62.7--0.0319769999999936</f>
        <v>2033.0626090000003</v>
      </c>
      <c r="Q32" s="3">
        <f>2472.7+(0-379.4)+(3.783231+(0-0.580482))+0-82.8-0.126684000000005</f>
        <v>2013.5760649999997</v>
      </c>
      <c r="R32" s="3">
        <f>2576.1+(0-435.1)+(1.313811+(0-0.221901))+0-68.6-0.034985999999993</f>
        <v>2073.4569240000001</v>
      </c>
      <c r="S32" s="3">
        <f>2530.8+(0-463)+(-5.162832+(0--0.94452))+0-54.9--0.111995999999998</f>
        <v>2008.7936840000002</v>
      </c>
      <c r="T32" s="3">
        <f>2542+(0-505)+(-1.29642+(0--0.25755))+0-81.4--0.0415139999999917</f>
        <v>1954.6026439999998</v>
      </c>
      <c r="U32" s="3">
        <f>2422.3+(0-424)+(-1.235373+(0--0.21624))+0-74--0.0377399999999925</f>
        <v>1923.3186070000002</v>
      </c>
      <c r="V32" s="3">
        <f>2324.1+(0-310.3)+(-5.926455+(0--0.791265))+0-74.4--0.189719999999989</f>
        <v>1934.45453</v>
      </c>
      <c r="W32" s="3">
        <f>2310+(0-282.9)+(-3.5343+(0--0.432837))+0-66.6--0.101898000000004</f>
        <v>1957.5004349999999</v>
      </c>
      <c r="X32" s="3">
        <f>2293.4+(0-256.7)+(-7.017804+(0--0.785502))+0-66.5--0.203490000000008</f>
        <v>1964.1711880000003</v>
      </c>
      <c r="Y32" s="3">
        <f>2592.4+(0-371.4)+(-1.322124+(0--0.189414))+0-69.7--0.0355469999999929</f>
        <v>2150.2028370000003</v>
      </c>
      <c r="Z32" s="3">
        <f>2929+(0-539.1)+(-5.97516+(0--1.099764))+0-75.2--0.153407999999997</f>
        <v>2309.9780120000005</v>
      </c>
      <c r="AA32" s="3">
        <f>2822.2+(0-497.5)+(-8.635932+(0--1.52235))+0-74.2--0.227052000000009</f>
        <v>2243.6134700000002</v>
      </c>
      <c r="AB32" s="3">
        <f>2725.9+(0-515)+(-4.170627+(0--0.78795))+0-91.7--0.140301000000005</f>
        <v>2115.9576240000001</v>
      </c>
      <c r="AC32" s="3">
        <f>2371.4+(0-303.9)+(-2.418828+(0--0.309978))+0-73--0.0744600000000116</f>
        <v>1992.46561</v>
      </c>
      <c r="AD32">
        <f t="shared" si="0"/>
        <v>46580.032653999995</v>
      </c>
      <c r="AE32" s="3">
        <f>2953+(0-608.5)+(0+(0-0))+0-18.3-0</f>
        <v>2326.1999999999998</v>
      </c>
    </row>
    <row r="33" spans="1:31" s="2" customFormat="1" x14ac:dyDescent="0.25">
      <c r="A33">
        <v>89</v>
      </c>
      <c r="B33">
        <v>2</v>
      </c>
      <c r="C33">
        <v>2</v>
      </c>
      <c r="D33">
        <v>6</v>
      </c>
      <c r="E33">
        <v>1</v>
      </c>
      <c r="F33" s="3">
        <f>2274.8+(0-348.3)+(-2.320296+(0--0.355266))+0-71.4--0.0728280000000114</f>
        <v>1853.2077980000001</v>
      </c>
      <c r="G33" s="3">
        <f>2352.6+(0-504.2)+(0+(0-0))+0-61.6-0</f>
        <v>1786.8</v>
      </c>
      <c r="H33" s="3">
        <f>2189.8+(0-392.8)+(-3.350394+(0--0.600984))+0-54--0.0826200000000031</f>
        <v>1740.3332100000002</v>
      </c>
      <c r="I33" s="3">
        <f>2143.9+(0-350.9)+(-5.466945+(0--0.894795))+0-67.6--0.17237999999999</f>
        <v>1721.0002300000001</v>
      </c>
      <c r="J33" s="3">
        <f>2187.1+(0-383.6)+(1.115421+(0-0.195636))+0-78.7-0.040136999999992</f>
        <v>1725.679648</v>
      </c>
      <c r="K33" s="3">
        <f>2179.5+(0-378.4)+(0+(0-0))+0-81.8-0</f>
        <v>1719.3</v>
      </c>
      <c r="L33" s="3">
        <f>2103.8+(0-344.4)+(-3.218814+(0--0.526932))+0-75.5--0.115515000000004</f>
        <v>1681.323633</v>
      </c>
      <c r="M33" s="3">
        <f>2127.1+(0-302.8)+(-1.084821+(0--0.154428))+0-44--0.0224399999999955</f>
        <v>1779.3920469999998</v>
      </c>
      <c r="N33" s="3">
        <f>2168.4+(0-200.7)+(0+(0-0))+0-81.3-0</f>
        <v>1886.4</v>
      </c>
      <c r="O33" s="3">
        <f>2322.1+(0-296.2)+(-2.368542+(0--0.302124))+0-71.2--0.0726240000000114</f>
        <v>1952.7062059999996</v>
      </c>
      <c r="P33" s="3">
        <f>2441.2+(0-359.8)+(-2.490024+(0--0.366996))+0-60.2--0.0614040000000096</f>
        <v>2019.1383759999997</v>
      </c>
      <c r="Q33" s="3">
        <f>2454.7+(0-324.1)+(-1.251897+(0--0.165291))+0-78.9--0.040238999999992</f>
        <v>2050.6536329999999</v>
      </c>
      <c r="R33" s="3">
        <f>2431+(0-366.3)+(-1.23981+(0--0.186813))+0-38.4--0.0195839999999961</f>
        <v>2025.2665869999998</v>
      </c>
      <c r="S33" s="3">
        <f>2403.9+(0-345.2)+(-1.225989+(0--0.176052))+0-80.6--0.0411059999999918</f>
        <v>1977.091169</v>
      </c>
      <c r="T33" s="3">
        <f>2440.9+(0-431.9)+(-1.244859+(0--0.220269))+0-83.7--0.0426869999999915</f>
        <v>1924.3180969999999</v>
      </c>
      <c r="U33" s="3">
        <f>2425.6+(0-451.1)+(-1.237056+(0--0.230061))+0-75.1--0.0383009999999924</f>
        <v>1898.4313060000002</v>
      </c>
      <c r="V33" s="3">
        <f>2405.1+(0-422)+(-4.906404+(0--0.86088))+0-74.6--0.152183999999997</f>
        <v>1904.6066599999999</v>
      </c>
      <c r="W33" s="3">
        <f>2404.6+(0-402.6)+(-7.358076+(0--1.231956))+0-80.2--0.245412000000009</f>
        <v>1915.919292</v>
      </c>
      <c r="X33" s="3">
        <f>2461.4+(0-446.8)+(-2.510628+(0--0.455736))+0-86.3--0.0880260000000138</f>
        <v>1926.3331340000002</v>
      </c>
      <c r="Y33" s="3">
        <f>2715.8+(0-510.5)+(-1.385058+(0--0.260355))+0-72.3--0.0368729999999927</f>
        <v>2131.9121700000001</v>
      </c>
      <c r="Z33" s="3">
        <f>2935.8+(0-574)+(-2.994516+(0--0.58548))+0-66.6--0.0679320000000106</f>
        <v>2292.8588960000002</v>
      </c>
      <c r="AA33" s="3">
        <f>2876.4+(0-570.7)+(-1.466964+(0--0.291057))+0-61.8--0.0315179999999937</f>
        <v>2242.7556109999996</v>
      </c>
      <c r="AB33" s="3">
        <f>2778+(0-565.2)+(1.41678+(0-0.288252))+0-83.8-0.0427379999999915</f>
        <v>2130.0857900000001</v>
      </c>
      <c r="AC33" s="3">
        <f>2609.5+(0-513.9)+(0+(0-0))+0-73.6-0</f>
        <v>2022</v>
      </c>
      <c r="AD33">
        <f t="shared" si="0"/>
        <v>46307.513492999991</v>
      </c>
      <c r="AE33" s="3">
        <f>2940+(0-585)+(0+(0-0))+0-77.4-0</f>
        <v>2277.6</v>
      </c>
    </row>
    <row r="34" spans="1:31" s="2" customFormat="1" x14ac:dyDescent="0.25">
      <c r="A34">
        <v>89</v>
      </c>
      <c r="B34">
        <v>2</v>
      </c>
      <c r="C34">
        <v>3</v>
      </c>
      <c r="D34">
        <v>7</v>
      </c>
      <c r="E34">
        <v>1</v>
      </c>
      <c r="F34" s="3">
        <f>2403.9+(0-459.8)+(1.225989+(0-0.234498))+0-54.7-0.0278969999999945</f>
        <v>1890.3635940000001</v>
      </c>
      <c r="G34" s="3">
        <f>2336.8+(0-476.3)+(-1.191768+(0--0.242913))+0-68.3--0.0348329999999931</f>
        <v>1791.2859780000001</v>
      </c>
      <c r="H34" s="3">
        <f>2327.4+(0-508.3)+(-1.186974+(0--0.259233))+0-61.9--0.0315689999999937</f>
        <v>1756.3038280000001</v>
      </c>
      <c r="I34" s="3">
        <f>2272.1+(0-488.9)+(0+(0-0))+0-69.5-0</f>
        <v>1713.6999999999998</v>
      </c>
      <c r="J34" s="3">
        <f>2203.6+(0-417)+(-4.495344+(0--0.85068))+0-86--0.175439999999996</f>
        <v>1697.130776</v>
      </c>
      <c r="K34" s="3">
        <f>2176.1+(0-438.9)+(-3.329433+(0--0.671517))+0-67.3--0.102969000000004</f>
        <v>1667.345053</v>
      </c>
      <c r="L34" s="3">
        <f>1914.1+(0-255)+(-5.857146+(0--0.7803))+0-57.4--0.175644000000007</f>
        <v>1596.7987979999998</v>
      </c>
      <c r="M34" s="3">
        <f>1857.9+(0-149.7)+(-2.842587+(0--0.229041))+0-82.4--0.126072000000005</f>
        <v>1623.3125259999999</v>
      </c>
      <c r="N34" s="3">
        <f>1903.6+(0-168.3)+(-0.970836+(0--0.085833))+0-56.1--0.0286109999999943</f>
        <v>1678.3436079999999</v>
      </c>
      <c r="O34" s="3">
        <f>2022.3+(0-248.7)+(2.062746+(0-0.253674))+0-39.5-0.0402900000000063</f>
        <v>1735.868782</v>
      </c>
      <c r="P34" s="3">
        <f>2170.9+(0-290.1)+(-3.321477+(0--0.443853))+0-80.1--0.122553000000005</f>
        <v>1797.9449290000002</v>
      </c>
      <c r="Q34" s="3">
        <f>2156.8+(0-277.7)+(-2.199936+(0--0.283254))+0-67.2--0.0685440000000107</f>
        <v>1810.051862</v>
      </c>
      <c r="R34" s="3">
        <f>2111.2+(0-236.4)+(-2.153424+(0--0.241128))+0-74.5--0.0759900000000119</f>
        <v>1798.4636939999998</v>
      </c>
      <c r="S34" s="3">
        <f>2029.9+(0-192.6)+(1.035249+(0-0.098226))+0-68-0.0346799999999931</f>
        <v>1770.2023430000002</v>
      </c>
      <c r="T34" s="3">
        <f>1952.3+(0-120.5)+(-4.978365+(0--0.307275))+0-84.9--0.216494999999988</f>
        <v>1742.4454049999997</v>
      </c>
      <c r="U34" s="3">
        <f>1828.9+(5.6-50)+(-3.730956+(-0.011424--0.102))+0-59.6--0.121583999999997</f>
        <v>1721.381204</v>
      </c>
      <c r="V34" s="3">
        <f>1784.8+(60.7-48.9)+(-1.820496+(-0.061914--0.049878))+0-73.7--0.0751740000000118</f>
        <v>1721.142642</v>
      </c>
      <c r="W34" s="3">
        <f>1780.4+(16.8-51.8)+(-4.54002+(-0.04284--0.13209))+0-19.9--0.0507449999999971</f>
        <v>1721.0999750000001</v>
      </c>
      <c r="X34" s="3">
        <f>1850.3+(0-69.2)+(-0.943653+(0--0.035292))+0-20.5--0.0104549999999979</f>
        <v>1759.702094</v>
      </c>
      <c r="Y34" s="3">
        <f>2222.7+(0-167.1)+(-4.534308+(0--0.340884))+0-85.7--0.174827999999996</f>
        <v>1965.8814039999997</v>
      </c>
      <c r="Z34" s="3">
        <f>2615.1+(0-394)+(-6.668505+(0--1.0047))+0-71.6--0.18257999999999</f>
        <v>2144.018775</v>
      </c>
      <c r="AA34" s="3">
        <f>2530+(0-329.4)+(-2.5806+(0--0.335988))+0-72.7--0.0741540000000116</f>
        <v>2125.729542</v>
      </c>
      <c r="AB34" s="3">
        <f>2215.9+(0-89.5)+(-2.260218+(0--0.09129))+0-83.4--0.0850680000000133</f>
        <v>2040.91614</v>
      </c>
      <c r="AC34" s="3">
        <f>2144.9+(0-169.9)+(-2.187798+(0--0.173298))+0-56.4--0.057528000000009</f>
        <v>1916.643028</v>
      </c>
      <c r="AD34">
        <f t="shared" si="0"/>
        <v>43186.075979999994</v>
      </c>
      <c r="AE34" s="3">
        <f>2643+(0-402.8)+(0+(0-0))+0-95-0</f>
        <v>2145.1999999999998</v>
      </c>
    </row>
    <row r="35" spans="1:31" s="2" customFormat="1" x14ac:dyDescent="0.25">
      <c r="A35">
        <v>89</v>
      </c>
      <c r="B35">
        <v>2</v>
      </c>
      <c r="C35">
        <v>4</v>
      </c>
      <c r="D35">
        <v>1</v>
      </c>
      <c r="E35">
        <v>1</v>
      </c>
      <c r="F35" s="3">
        <f>2108.5+(0-257.4)+(-4.30134+(0--0.525096))+0-69.3--0.141371999999997</f>
        <v>1778.1651280000001</v>
      </c>
      <c r="G35" s="3">
        <f>2136.2+(0-345.5)+(1.089462+(0-0.176205))+0-83.6-0.0426359999999915</f>
        <v>1707.9706209999999</v>
      </c>
      <c r="H35" s="3">
        <f>2135.4+(0-387)+(0+(0-0))+0-77.8-0</f>
        <v>1670.6000000000001</v>
      </c>
      <c r="I35" s="3">
        <f>2034.5+(0-336.1)+(-4.15038+(0--0.685644))+0-35--0.0713999999999985</f>
        <v>1660.0066640000002</v>
      </c>
      <c r="J35" s="3">
        <f>2060.7+(0-308.4)+(1.050957+(0-0.157284))+0-87.7-0.0447269999999911</f>
        <v>1665.4489459999998</v>
      </c>
      <c r="K35" s="3">
        <f>2121.1+(0-392.5)+(0+(0-0))+0-68.3-0</f>
        <v>1660.3</v>
      </c>
      <c r="L35" s="3">
        <f>2095.5+(0-360.7)+(-5.343525+(0--0.919785))+0-72.5--0.184874999999989</f>
        <v>1658.0611349999999</v>
      </c>
      <c r="M35" s="3">
        <f>2111.8+(0-243.5)+(-1.077018+(0--0.124185))+0-84.3--0.0429929999999914</f>
        <v>1783.0901600000002</v>
      </c>
      <c r="N35" s="3">
        <f>2251.9+(0-285.3)+(2.296938+(0-0.291006))+0-57.9-0.0590580000000092</f>
        <v>1910.646874</v>
      </c>
      <c r="O35" s="3">
        <f>2425.4+(0-379.8)+(-3.710862+(0--0.581094))+0-58.7--0.0898110000000034</f>
        <v>1983.8600430000001</v>
      </c>
      <c r="P35" s="3">
        <f>2579.2+(0-462.7)+(-2.630784+(0--0.471954))+0-54.6--0.0556920000000087</f>
        <v>2059.7968620000001</v>
      </c>
      <c r="Q35" s="3">
        <f>2628.2+(0-474.2)+(1.340382+(0-0.241842))+0-67.3-0.0343229999999932</f>
        <v>2087.7642169999999</v>
      </c>
      <c r="R35" s="3">
        <f>2604.2+(0-454.9)+(-2.656284+(0--0.463998))+0-76.8--0.0783360000000122</f>
        <v>2070.3860499999996</v>
      </c>
      <c r="S35" s="3">
        <f>2578.3+(0-474.9)+(-5.259732+(0--0.968796))+0-78.8--0.160751999999997</f>
        <v>2020.4698160000003</v>
      </c>
      <c r="T35" s="3">
        <f>2563.6+(0-501.8)+(-2.614872+(0--0.511836))+0-63.9--0.0651780000000102</f>
        <v>1995.8621419999997</v>
      </c>
      <c r="U35" s="3">
        <f>2542.8+(0-514.2)+(-3.890484+(0--0.786726))+0-64.4--0.0985320000000037</f>
        <v>1961.1947740000001</v>
      </c>
      <c r="V35" s="3">
        <f>2557.4+(0-512.4)+(-1.304274+(0--0.261324))+0-63.3--0.0322829999999936</f>
        <v>1980.689333</v>
      </c>
      <c r="W35" s="3">
        <f>2468.5+(0-439.7)+(-5.03574+(0--0.896988))+0-32.6--0.0665039999999986</f>
        <v>1992.1277519999999</v>
      </c>
      <c r="X35" s="3">
        <f>2414.9+(0-345.7)+(-3.694797+(0--0.528921))+0-56.4--0.0862920000000033</f>
        <v>2009.7204160000001</v>
      </c>
      <c r="Y35" s="3">
        <f>2555+(0-260)+(-5.2122+(0--0.5304))+0-69.2--0.141167999999997</f>
        <v>2221.2593680000004</v>
      </c>
      <c r="Z35" s="3">
        <f>2826.2+(0-380.6)+(-4.324086+(0--0.582318))+0-86.2--0.131886000000005</f>
        <v>2355.7901180000003</v>
      </c>
      <c r="AA35" s="3">
        <f>2882.9+(0-496.8)+(-4.410837+(0--0.760104))+0-72.2--0.110466000000004</f>
        <v>2310.3597330000002</v>
      </c>
      <c r="AB35" s="3">
        <f>2616.2+(0-400.3)+(-6.67131+(0--1.020765))+0-47.3--0.120614999999993</f>
        <v>2163.0700699999993</v>
      </c>
      <c r="AC35" s="3">
        <f>2416.6+(0-362.2)+(-6.16233+(0--0.92361))+0-47.3--0.120614999999993</f>
        <v>2001.9818950000003</v>
      </c>
      <c r="AD35">
        <f t="shared" si="0"/>
        <v>46708.622116999984</v>
      </c>
      <c r="AE35" s="3">
        <f>2860+(0-448.2)+(0+(0-0))+0-95-0</f>
        <v>2316.8000000000002</v>
      </c>
    </row>
    <row r="36" spans="1:31" s="2" customFormat="1" x14ac:dyDescent="0.25">
      <c r="A36">
        <v>89</v>
      </c>
      <c r="B36">
        <v>2</v>
      </c>
      <c r="C36">
        <v>5</v>
      </c>
      <c r="D36">
        <v>2</v>
      </c>
      <c r="E36">
        <v>1</v>
      </c>
      <c r="F36" s="3">
        <f>2215.3+(0-294.8)+(-2.259606+(0--0.300696))+0-65.2--0.0665040000000104</f>
        <v>1853.4075940000002</v>
      </c>
      <c r="G36" s="3">
        <f>1993.3+(0-164.7)+(-3.049749+(0--0.251991))+0-73.9--0.113067000000004</f>
        <v>1752.0153089999999</v>
      </c>
      <c r="H36" s="3">
        <f>1949.4+(0-177.3)+(-2.982582+(0--0.271269))+0-49.1--0.0751230000000028</f>
        <v>1720.3638100000003</v>
      </c>
      <c r="I36" s="3">
        <f>1933.6+(0-156.9)+(-2.958408+(0--0.240057))+0-78.2--0.119646000000005</f>
        <v>1695.9012949999999</v>
      </c>
      <c r="J36" s="3">
        <f>1975.7+(0-207.5)+(3.022821+(0-0.317475))+0-72.6-0.111078000000004</f>
        <v>1698.1942680000002</v>
      </c>
      <c r="K36" s="3">
        <f>1989.2+(0-235.6)+(-5.07246+(0--0.60078))+0-73.3--0.186914999999989</f>
        <v>1676.0152350000001</v>
      </c>
      <c r="L36" s="3">
        <f>1959.9+(0-204.3)+(-4.997745+(0--0.520965))+0-81.1--0.206804999999988</f>
        <v>1670.2300250000003</v>
      </c>
      <c r="M36" s="3">
        <f>2094.3+(0-229.5)+(-2.136186+(0--0.23409))+0-84.4--0.0860880000000135</f>
        <v>1778.5839920000001</v>
      </c>
      <c r="N36" s="3">
        <f>2326.2+(0-376.4)+(2.372724+(0-0.383928))+0-63.2-0.0644640000000101</f>
        <v>1888.5243319999997</v>
      </c>
      <c r="O36" s="3">
        <f>2440.9+(0-410.9)+(-1.244859+(0--0.209559))+0-56.3--0.0287129999999943</f>
        <v>1972.693413</v>
      </c>
      <c r="P36" s="3">
        <f>2466+(0-370.1)+(-3.77298+(0--0.566253))+0-63.3--0.0968490000000037</f>
        <v>2029.4901220000004</v>
      </c>
      <c r="Q36" s="3">
        <f>2466+(0-348.1)+(-3.77298+(0--0.532593))+0-58.4--0.0893520000000034</f>
        <v>2056.3489650000001</v>
      </c>
      <c r="R36" s="3">
        <f>2477.6+(0-345.9)+(0+(0-0))+0-77.6-0</f>
        <v>2054.1</v>
      </c>
      <c r="S36" s="3">
        <f>2444.7+(0-375.1)+(-4.987188+(0--0.765204))+0-61.9--0.126275999999997</f>
        <v>2003.604292</v>
      </c>
      <c r="T36" s="3">
        <f>2468.9+(0-410.8)+(0+(0-0))+0-70.6-0</f>
        <v>1987.5</v>
      </c>
      <c r="U36" s="3">
        <f>2369.5+(0-322)+(-4.83378+(0--0.65688))+0-60.2--0.122807999999997</f>
        <v>1983.2459080000001</v>
      </c>
      <c r="V36" s="3">
        <f>2243+(0-175.4)+(-2.28786+(0--0.178908))+0-79.1--0.0806820000000126</f>
        <v>1986.47173</v>
      </c>
      <c r="W36" s="3">
        <f>2218+(0-135.7)+(-5.6559+(0--0.346035))+0-71.1--0.18130499999999</f>
        <v>2006.0714400000002</v>
      </c>
      <c r="X36" s="3">
        <f>2234.6+(0-103.5)+(-6.837876+(0--0.31671))+0-70.3--0.215118000000008</f>
        <v>2054.4939519999998</v>
      </c>
      <c r="Y36" s="3">
        <f>2303+(72.8-70.9)+(-1.17453+(-0.037128--0.036159))+0-82.2--0.0419219999999917</f>
        <v>2221.5664230000002</v>
      </c>
      <c r="Z36" s="3">
        <f>2710.5+(0-285.9)+(-8.29413+(0--0.874854))+0-76.7--0.234702000000009</f>
        <v>2340.7154260000002</v>
      </c>
      <c r="AA36" s="3">
        <f>2585.9+(0-236.6)+(-10.550472+(0--0.965328))+0-76.8--0.313343999999993</f>
        <v>2263.2282</v>
      </c>
      <c r="AB36" s="3">
        <f>2357.3+(0-198.8)+(-8.415561+(0--0.709716))+0-46.2--0.164934000000001</f>
        <v>2104.7590890000001</v>
      </c>
      <c r="AC36" s="3">
        <f>2169.3+(0-125.3)+(-4.425372+(0--0.255612))+0-75.6--0.154223999999997</f>
        <v>1964.3844640000002</v>
      </c>
      <c r="AD36">
        <f t="shared" si="0"/>
        <v>46761.909284000001</v>
      </c>
      <c r="AE36" s="3">
        <f>2673+(0-246.1)+(0+(0-0))+0-102.2-0</f>
        <v>2324.7000000000003</v>
      </c>
    </row>
    <row r="37" spans="1:31" s="2" customFormat="1" x14ac:dyDescent="0.25">
      <c r="A37">
        <v>89</v>
      </c>
      <c r="B37">
        <v>2</v>
      </c>
      <c r="C37">
        <v>6</v>
      </c>
      <c r="D37">
        <v>3</v>
      </c>
      <c r="E37">
        <v>1</v>
      </c>
      <c r="F37" s="3">
        <f>2118.4+(0-232.9)+(-5.40192+(0--0.593895))+0-61.5--0.156824999999991</f>
        <v>1819.3488</v>
      </c>
      <c r="G37" s="3">
        <f>2077+(0-229.1)+(-4.23708+(0--0.467364))+0-74.5--0.151979999999997</f>
        <v>1769.7822640000002</v>
      </c>
      <c r="H37" s="3">
        <f>2019.9+(0-221.6)+(-7.211043+(0--0.791112))+0-76.4--0.272748000000001</f>
        <v>1715.7528170000003</v>
      </c>
      <c r="I37" s="3">
        <f>2019.2+(0-252.7)+(-2.059584+(0--0.257754))+0-72.9--0.0743580000000116</f>
        <v>1691.8725279999999</v>
      </c>
      <c r="J37" s="3">
        <f>1871.7+(0-103.7)+(-3.818268+(0--0.211548))+0-63.3--0.129131999999997</f>
        <v>1701.2224120000001</v>
      </c>
      <c r="K37" s="3">
        <f>1903.4+(0-110.9)+(0.970734+(0-0.056559))+0-89-0.045389999999991</f>
        <v>1704.3687849999999</v>
      </c>
      <c r="L37" s="3">
        <f>1811.9+(20.8-58.9)+(-5.544414+(-0.063648--0.180234))+0-76.9--0.235314000000009</f>
        <v>1691.707486</v>
      </c>
      <c r="M37" s="3">
        <f>1926.8+(0-104.8)+(-0.982668+(0--0.053448))+0-32.3--0.0164729999999967</f>
        <v>1788.787253</v>
      </c>
      <c r="N37" s="3">
        <f>2245.3+(0-312.5)+(-2.290206+(0--0.31875))+0-13.2--0.0134640000000021</f>
        <v>1917.6420080000003</v>
      </c>
      <c r="O37" s="3">
        <f>2287.5+(0-276.9)+(-4.6665+(0--0.564876))+0-12.7--0.0259079999999994</f>
        <v>1993.824284</v>
      </c>
      <c r="P37" s="3">
        <f>2297.3+(0-222.3)+(0+(0-0))+0-12.3-0</f>
        <v>2062.6999999999998</v>
      </c>
      <c r="Q37" s="3">
        <f>2422.6+(0-304.9)+(-2.471052+(0--0.310998))+0-12.4--0.012648000000002</f>
        <v>2103.1525939999997</v>
      </c>
      <c r="R37" s="3">
        <f>2606.1+(0-500.7)+(-2.658222+(0--0.510714))+0-13.6--0.0138720000000022</f>
        <v>2089.6663640000002</v>
      </c>
      <c r="S37" s="3">
        <f>2487.1+(0-424.8)+(-3.805263+(0--0.649944))+0-12.1--0.0185130000000007</f>
        <v>2047.0631939999998</v>
      </c>
      <c r="T37" s="3">
        <f>2495.4+(0-485.9)+(-5.090616+(0--0.991236))+0-15.3--0.0312119999999993</f>
        <v>1990.131832</v>
      </c>
      <c r="U37" s="3">
        <f>2466.4+(0-449.4)+(-3.773592+(0--0.687582))+0-39.6--0.0605880000000023</f>
        <v>1974.3745780000002</v>
      </c>
      <c r="V37" s="3">
        <f>2444.1+(0-391.2)+(-3.739473+(0--0.598536))+0-65.1--0.0996030000000038</f>
        <v>1984.7586660000002</v>
      </c>
      <c r="W37" s="3">
        <f>2278.3+(0-177.7)+(-2.323866+(0--0.181254))+0-63.4--0.0646680000000101</f>
        <v>2035.1220560000002</v>
      </c>
      <c r="X37" s="3">
        <f>2142.5+(38.5-80.3)+(-4.3707+(-0.07854--0.163812))+0-61.1--0.124643999999997</f>
        <v>2035.4392159999998</v>
      </c>
      <c r="Y37" s="3">
        <f>2440.9+(3.2-94.3)+(-2.489718+(-0.003264--0.096186))+0-72.9--0.0743580000000116</f>
        <v>2274.5775619999999</v>
      </c>
      <c r="Z37" s="3">
        <f>2950.1+(0-574.9)+(-4.513653+(0--0.879597))+0-46--0.0703800000000027</f>
        <v>2325.6363240000001</v>
      </c>
      <c r="AA37" s="3">
        <f>2804.8+(0-460.9)+(0+(0-0))+0-72.7-0</f>
        <v>2271.2000000000003</v>
      </c>
      <c r="AB37" s="3">
        <f>2471.2+(0-279.2)+(-3.780936+(0--0.427176))+0-62.5--0.0956250000000036</f>
        <v>2126.241865</v>
      </c>
      <c r="AC37" s="3">
        <f>2356.4+(0-296.8)+(-2.403528+(0--0.302736))+0-47.2--0.0481440000000075</f>
        <v>2010.3473519999998</v>
      </c>
      <c r="AD37">
        <f t="shared" si="0"/>
        <v>47124.720239999995</v>
      </c>
      <c r="AE37" s="3">
        <f>2962+(0.1-603.7)+(0+(0-0))+0-20.1-0</f>
        <v>2338.3000000000002</v>
      </c>
    </row>
    <row r="38" spans="1:31" s="2" customFormat="1" x14ac:dyDescent="0.25">
      <c r="A38">
        <v>89</v>
      </c>
      <c r="B38">
        <v>2</v>
      </c>
      <c r="C38">
        <v>7</v>
      </c>
      <c r="D38">
        <v>4</v>
      </c>
      <c r="E38">
        <v>1</v>
      </c>
      <c r="F38" s="3">
        <f>2224.7+(0-292.5)+(-4.538388+(0--0.5967))+0-61.7--0.125867999999997</f>
        <v>1866.6841799999997</v>
      </c>
      <c r="G38" s="3">
        <f>2149.4+(0-269.7)+(-7.673358+(0--0.962829))+0-89.1--0.318087000000001</f>
        <v>1784.2075580000003</v>
      </c>
      <c r="H38" s="3">
        <f>1961.5+(0-163.5)+(-3.001095+(0--0.250155))+0-69.8--0.106794000000004</f>
        <v>1725.5558540000002</v>
      </c>
      <c r="I38" s="3">
        <f>1935.5+(0-150.6)+(-1.97421+(0--0.153612))+0-73.5--0.0749700000000117</f>
        <v>1709.6543720000002</v>
      </c>
      <c r="J38" s="3">
        <f>1910.8+(0-116.2)+(-5.847048+(0--0.355572))+0-73.3--0.224298000000008</f>
        <v>1716.0328220000001</v>
      </c>
      <c r="K38" s="3">
        <f>1926.1+(0-152.3)+(-1.964622+(0--0.155346))+0-85.5--0.0872100000000136</f>
        <v>1686.5779339999999</v>
      </c>
      <c r="L38" s="3">
        <f>1879.1+(0-124.5)+(-5.750046+(0--0.38097))+0-66.7--0.204102000000008</f>
        <v>1682.7350259999998</v>
      </c>
      <c r="M38" s="3">
        <f>1950.7+(0-96.8)+(-2.984571+(0--0.148104))+0-61.1--0.0934830000000035</f>
        <v>1790.0570160000002</v>
      </c>
      <c r="N38" s="3">
        <f>2264.8+(0-285.5)+(-1.155048+(0--0.145605))+0-68--0.0346799999999931</f>
        <v>1910.3252370000002</v>
      </c>
      <c r="O38" s="3">
        <f>2581.8+(0-507.6)+(-3.950154+(0--0.776628))+0-71.4--0.109242000000004</f>
        <v>1999.7357160000001</v>
      </c>
      <c r="P38" s="3">
        <f>2624.3+(0-485.4)+(-4.015179+(0--0.742662))+0-72.9--0.111537000000004</f>
        <v>2062.8390200000003</v>
      </c>
      <c r="Q38" s="3">
        <f>2647.8+(0-484.4)+(0+(0-0))+0-77.4-0</f>
        <v>2086</v>
      </c>
      <c r="R38" s="3">
        <f>2676.8+(0-547)+(-4.095504+(0--0.83691))+0-63.3--0.0968490000000037</f>
        <v>2063.3382550000001</v>
      </c>
      <c r="S38" s="3">
        <f>2624.2+(0-547.9)+(0+(0-0))+0-70.7-0</f>
        <v>2005.5999999999997</v>
      </c>
      <c r="T38" s="3">
        <f>2612.7+(0-547.3)+(-2.664954+(0--0.558246))+0-90.4--0.0922080000000144</f>
        <v>1972.9854999999998</v>
      </c>
      <c r="U38" s="3">
        <f>2562.1+(0-517.8)+(-5.226684+(0--1.056312))+0-77.3--0.157691999999997</f>
        <v>1962.98732</v>
      </c>
      <c r="V38" s="3">
        <f>2550.7+(0-537.5)+(-3.902571+(0--0.822375))+0-54.2--0.0829260000000031</f>
        <v>1956.0027299999999</v>
      </c>
      <c r="W38" s="3">
        <f>2435.6+(0-395.4)+(-4.968624+(0--0.806616))+0-86.9--0.177275999999996</f>
        <v>1949.3152679999996</v>
      </c>
      <c r="X38" s="3">
        <f>2345.2+(0-314.8)+(-3.588156+(0--0.481644))+0-49.2--0.0752760000000029</f>
        <v>1978.1687639999998</v>
      </c>
      <c r="Y38" s="3">
        <f>2600.9+(0-358.9)+(-5.305836+(0--0.732156))+0-68.9--0.140555999999997</f>
        <v>2168.6668759999998</v>
      </c>
      <c r="Z38" s="3">
        <f>2924.2+(0-498.6)+(-2.982684+(0--0.508572))+0-91.3--0.0931260000000146</f>
        <v>2331.9190140000001</v>
      </c>
      <c r="AA38" s="3">
        <f>2873.1+(0-508.9)+(-5.861124+(0--1.038156))+0-78--0.159119999999997</f>
        <v>2281.5361519999997</v>
      </c>
      <c r="AB38" s="3">
        <f>2728.6+(0-509.3)+(-2.783172+(0--0.519486))+0-76.7--0.0782340000000122</f>
        <v>2140.4145480000002</v>
      </c>
      <c r="AC38" s="3">
        <f>2511.4+(0-462.2)+(-2.561628+(0--0.471444))+0-43.3--0.0441660000000069</f>
        <v>2003.8539820000003</v>
      </c>
      <c r="AD38">
        <f t="shared" si="0"/>
        <v>46835.193144000004</v>
      </c>
      <c r="AE38" s="3">
        <f>2925+(0-482.8)+(0+(0-0))+0-100.8-0</f>
        <v>2341.3999999999996</v>
      </c>
    </row>
    <row r="39" spans="1:31" s="2" customFormat="1" x14ac:dyDescent="0.25">
      <c r="A39">
        <v>89</v>
      </c>
      <c r="B39">
        <v>2</v>
      </c>
      <c r="C39">
        <v>8</v>
      </c>
      <c r="D39">
        <v>5</v>
      </c>
      <c r="E39">
        <v>1</v>
      </c>
      <c r="F39" s="3">
        <f>2278.2+(0-420)+(-1.161882+(0--0.2142))+0-26.2--0.0133619999999973</f>
        <v>1831.0656799999997</v>
      </c>
      <c r="G39" s="3">
        <f>2058.3+(0-213.5)+(-1.049733+(0--0.108885))+0-88.6--0.045185999999991</f>
        <v>1755.3043380000004</v>
      </c>
      <c r="H39" s="3">
        <f>1965.6+(0-186.7)+(-2.004912+(0--0.190434))+0-65.8--0.0671160000000105</f>
        <v>1711.3526379999998</v>
      </c>
      <c r="I39" s="3">
        <f>1920.8+(0-156.7)+(0+(0-0))+0-68-0</f>
        <v>1696.1</v>
      </c>
      <c r="J39" s="3">
        <f>2007.8+(0-224.6)+(-2.047956+(0--0.229092))+0-82.9--0.0845580000000132</f>
        <v>1698.5656939999999</v>
      </c>
      <c r="K39" s="3">
        <f>2111+(0-361.7)+(-5.38305+(0--0.922335))+0-68.5--0.17467499999999</f>
        <v>1676.51396</v>
      </c>
      <c r="L39" s="3">
        <f>2080.9+(0-330.8)+(-3.183777+(0--0.506124))+0-57.4--0.0878220000000033</f>
        <v>1690.110169</v>
      </c>
      <c r="M39" s="3">
        <f>2020.4+(0-135.1)+(0+(0-0))+0-90.1-0</f>
        <v>1795.2000000000003</v>
      </c>
      <c r="N39" s="3">
        <f>2369.6+(0-334.8)+(-2.416992+(0--0.341496))+0-71.7--0.0731340000000114</f>
        <v>1961.097638</v>
      </c>
      <c r="O39" s="3">
        <f>2476.4+(0-408.5)+(-1.262964+(0--0.208335))+0-90--0.0458999999999909</f>
        <v>1976.891271</v>
      </c>
      <c r="P39" s="3">
        <f>2560.6+(0-474)+(-3.917718+(0--0.72522))+0-30--0.0459000000000017</f>
        <v>2053.4534020000001</v>
      </c>
      <c r="Q39" s="3">
        <f>2579.7+(0-471.6)+(-3.946941+(0--0.721548))+0-90--0.137700000000005</f>
        <v>2015.0123069999997</v>
      </c>
      <c r="R39" s="3">
        <f>2517.6+(0-388.6)+(-3.851928+(0--0.594558))+0-80--0.122400000000005</f>
        <v>2045.8650300000002</v>
      </c>
      <c r="S39" s="3">
        <f>2466.6+(0-378.8)+(-5.031864+(0--0.772752))+0-77.5--0.158099999999997</f>
        <v>2006.1989879999996</v>
      </c>
      <c r="T39" s="3">
        <f>2514+(0-429)+(-1.28214+(0--0.21879))+0-70--0.0356999999999929</f>
        <v>2013.97235</v>
      </c>
      <c r="U39" s="3">
        <f>2559.2+(0-497.9)+(-1.305192+(0--0.253929))+0-68.6--0.034985999999993</f>
        <v>1991.6837229999999</v>
      </c>
      <c r="V39" s="3">
        <f>2524.6+(0-442.5)+(-6.43773+(0--1.128375))+0-69.1--0.17620499999999</f>
        <v>2007.8668500000001</v>
      </c>
      <c r="W39" s="3">
        <f>2426.8+(0-307.2)+(-4.950672+(0--0.626688))+0-79.6--0.162383999999997</f>
        <v>2035.8384000000003</v>
      </c>
      <c r="X39" s="3">
        <f>2378.2+(0-229)+(-4.851528+(0--0.46716))+0-74.3--0.151571999999997</f>
        <v>2070.6672039999999</v>
      </c>
      <c r="Y39" s="3">
        <f>2439.4+(0-177.2)+(-3.732282+(0--0.271116))+0-43.9--0.0671670000000025</f>
        <v>2214.9060010000003</v>
      </c>
      <c r="Z39" s="3">
        <f>2771.7+(0-402)+(-4.240701+(0--0.61506))+0-55.4--0.0847620000000032</f>
        <v>2310.7591209999996</v>
      </c>
      <c r="AA39" s="3">
        <f>2692.3+(0-362)+(-2.746146+(0--0.36924))+0-69.4--0.0707880000000111</f>
        <v>2258.5938820000001</v>
      </c>
      <c r="AB39" s="3">
        <f>2495.6+(0-314.8)+(-5.091024+(0--0.642192))+0-70.8--0.144431999999997</f>
        <v>2105.6955999999996</v>
      </c>
      <c r="AC39" s="3">
        <f>2289.9+(0-194.3)+(-4.671396+(0--0.396372))+0-93.6--0.190943999999996</f>
        <v>1997.9159199999999</v>
      </c>
      <c r="AD39">
        <f t="shared" si="0"/>
        <v>46920.630166000003</v>
      </c>
      <c r="AE39" s="3">
        <f>2780+(0-368.4)+(0+(0-0))+0-84.9-0</f>
        <v>2326.6999999999998</v>
      </c>
    </row>
    <row r="40" spans="1:31" s="2" customFormat="1" x14ac:dyDescent="0.25">
      <c r="A40">
        <v>89</v>
      </c>
      <c r="B40">
        <v>2</v>
      </c>
      <c r="C40">
        <v>9</v>
      </c>
      <c r="D40">
        <v>6</v>
      </c>
      <c r="E40">
        <v>1</v>
      </c>
      <c r="F40" s="3">
        <f>2029.4+(0-135.9)+(-1.034994+(0--0.069309))+0-33.9--0.0172889999999966</f>
        <v>1858.6516039999999</v>
      </c>
      <c r="G40" s="3">
        <f>2002.4+(0-120.3)+(-3.063672+(0--0.184059))+0-82.7--0.126531000000005</f>
        <v>1796.6469180000001</v>
      </c>
      <c r="H40" s="3">
        <f>2021.7+(0-224)+(3.093201+(0-0.34272))+0-58.7-0.0898110000000034</f>
        <v>1741.66067</v>
      </c>
      <c r="I40" s="3">
        <f>1984.3+(0-188.7)+(-3.035979+(0--0.288711))+0-74.4--0.113832000000004</f>
        <v>1718.5665639999997</v>
      </c>
      <c r="J40" s="3">
        <f>1912.7+(0-99.9)+(0.975477+(0-0.050949))+0-25-0.0127499999999975</f>
        <v>1788.7117779999999</v>
      </c>
      <c r="K40" s="3">
        <f>1864.1+(0-118.2)+(-2.852073+(0--0.180846))+0-52.3--0.080019000000003</f>
        <v>1691.0087919999999</v>
      </c>
      <c r="L40" s="3">
        <f>1808.3+(35.2-55.8)+(-3.688932+(-0.071808--0.113832))+0-69.1--0.140963999999997</f>
        <v>1715.0940560000001</v>
      </c>
      <c r="M40" s="3">
        <f>1941+(22.3-73.2)+(-2.96973+(-0.034119--0.111996))+0-91.4--0.139842000000005</f>
        <v>1795.9479889999998</v>
      </c>
      <c r="N40" s="3">
        <f>2300.8+(0-374)+(0+(0-0))+0-38.5-0</f>
        <v>1888.3000000000002</v>
      </c>
      <c r="O40" s="3">
        <f>2502+(0-497)+(-1.27602+(0--0.25347))+0-16--0.00815999999999838</f>
        <v>1987.9856100000002</v>
      </c>
      <c r="P40" s="3">
        <f>2520.3+(0-457.1)+(-2.570706+(0--0.466242))+0-17.5--0.0178500000000028</f>
        <v>2043.6133860000002</v>
      </c>
      <c r="Q40" s="3">
        <f>2597.9+(0-520.4)+(0+(0-0))+0-13.4-0</f>
        <v>2064.1</v>
      </c>
      <c r="R40" s="3">
        <f>2646.3+(0-544.2)+(-4.048839+(0--0.832626))+0-12.3--0.0188190000000007</f>
        <v>2086.6026059999999</v>
      </c>
      <c r="S40" s="3">
        <f>2560.9+(0-494.4)+(-2.612118+(0--0.504288))+0-39.9--0.0406980000000064</f>
        <v>2024.532868</v>
      </c>
      <c r="T40" s="3">
        <f>2540.8+(0-484.4)+(-1.295808+(0--0.247044))+0-67.4--0.0343739999999932</f>
        <v>1987.98561</v>
      </c>
      <c r="U40" s="3">
        <f>2349.7+(0-357.8)+(-3.595041+(0--0.547434))+0-69.7--0.106641000000004</f>
        <v>1919.2590339999999</v>
      </c>
      <c r="V40" s="3">
        <f>2305.6+(0-329.7)+(-2.351712+(0--0.336294))+0-52.7--0.0537540000000084</f>
        <v>1921.2383359999999</v>
      </c>
      <c r="W40" s="3">
        <f>2178.1+(0-138.8)+(-7.775817+(0--0.495516))+0-88.1--0.314517000000001</f>
        <v>1944.2342160000001</v>
      </c>
      <c r="X40" s="3">
        <f>2191+(0-152.8)+(0+(0-0))+0-70.8-0</f>
        <v>1967.4</v>
      </c>
      <c r="Y40" s="3">
        <f>2445.3+(0-241.8)+(-2.494206+(0--0.246636))+0-65.2--0.0665040000000104</f>
        <v>2136.1189340000001</v>
      </c>
      <c r="Z40" s="3">
        <f>2698.9+(0-338.3)+(-6.882195+(0--0.862665))+0-71.5--0.18232499999999</f>
        <v>2283.2627949999996</v>
      </c>
      <c r="AA40" s="3">
        <f>2692.4+(0-378.7)+(-2.746248+(0--0.386274))+0-83.4--0.0850680000000133</f>
        <v>2228.0250940000001</v>
      </c>
      <c r="AB40" s="3">
        <f>2552.8+(0-397.7)+(-5.207712+(0--0.811308))+0-43.2--0.0881279999999981</f>
        <v>2107.5917240000003</v>
      </c>
      <c r="AC40" s="3">
        <f>2435.4+(0-332.2)+(-1.242054+(0--0.169422))+0-83.8--0.0427379999999915</f>
        <v>2018.3701060000005</v>
      </c>
      <c r="AD40">
        <f t="shared" si="0"/>
        <v>46714.908689999997</v>
      </c>
      <c r="AE40" s="3">
        <f>2756+(0-377.1)+(0+(0-0))+0-88.2-0</f>
        <v>2290.7000000000003</v>
      </c>
    </row>
    <row r="41" spans="1:31" s="2" customFormat="1" x14ac:dyDescent="0.25">
      <c r="A41">
        <v>89</v>
      </c>
      <c r="B41">
        <v>2</v>
      </c>
      <c r="C41">
        <v>10</v>
      </c>
      <c r="D41">
        <v>7</v>
      </c>
      <c r="E41">
        <v>1</v>
      </c>
      <c r="F41" s="3">
        <f>2206.4+(0-270)+(0+(0-0))+0-76.7-0</f>
        <v>1859.7</v>
      </c>
      <c r="G41" s="3">
        <f>2098.4+(0-283.8)+(0+(0-0))+0-80-0</f>
        <v>1734.6000000000001</v>
      </c>
      <c r="H41" s="3">
        <f>2026.8+(0-295.2)+(2.067336+(0-0.301104))+0-75-0.076500000000012</f>
        <v>1658.2897319999997</v>
      </c>
      <c r="I41" s="3">
        <f>2013.1+(0-257.6)+(-1.026681+(0--0.131376))+0-82.4--0.0420239999999916</f>
        <v>1672.246719</v>
      </c>
      <c r="J41" s="3">
        <f>1953.9+(0-222.3)+(1.992978+(0-0.226746))+0-63-0.06426000000001</f>
        <v>1670.301972</v>
      </c>
      <c r="K41" s="3">
        <f>1865.3+(0-190)+(-4.756515+(0--0.4845))+0-52.9--0.134894999999992</f>
        <v>1618.2628799999998</v>
      </c>
      <c r="L41" s="3">
        <f>1804.5+(0-145)+(-4.601475+(0--0.36975))+0-90--0.229499999999987</f>
        <v>1565.4977749999998</v>
      </c>
      <c r="M41" s="3">
        <f>1750.2+(3.9-97.6)+(-1.785204+(-0.003978--0.099552))+0-65.8--0.0671160000000105</f>
        <v>1589.0774859999999</v>
      </c>
      <c r="N41" s="3">
        <f>1764.8+(19.1-82.4)+(0.900048+(0.009741-0.042024))+0-56.1-0.0286109999999943</f>
        <v>1646.2391540000001</v>
      </c>
      <c r="O41" s="3">
        <f>1974.6+(0-244.6)+(-1.007046+(0--0.124746))+0-19.7--0.010046999999998</f>
        <v>1709.427747</v>
      </c>
      <c r="P41" s="3">
        <f>2210.9+(0-419.8)+(-2.255118+(0--0.428196))+0-18.7--0.019074000000003</f>
        <v>1770.5921520000002</v>
      </c>
      <c r="Q41" s="3">
        <f>2326.8+(0-473.6)+(-3.560004+(0--0.724608))+0-48.1--0.0735930000000028</f>
        <v>1802.3381970000005</v>
      </c>
      <c r="R41" s="3">
        <f>2269.7+(0-414)+(1.157547+(0-0.21114))+0-58.6-0.0298859999999941</f>
        <v>1798.0165209999998</v>
      </c>
      <c r="S41" s="3">
        <f>2305.8+(0-498.3)+(-2.351916+(0--0.508266))+0-35.8--0.0365160000000057</f>
        <v>1769.8928660000001</v>
      </c>
      <c r="T41" s="3">
        <f>2339.4+(0-510.6)+(3.579282+(0-0.781218))+0-77.7-0.118881000000004</f>
        <v>1753.7791830000001</v>
      </c>
      <c r="U41" s="3">
        <f>2081.3+(0-316.9)+(-3.184389+(0--0.484857))+0-32.1--0.0491130000000019</f>
        <v>1729.6495810000001</v>
      </c>
      <c r="V41" s="3">
        <f>2006.8+(0-197.3)+(-3.070404+(0--0.301869))+0-83.6--0.127908000000005</f>
        <v>1723.2593730000001</v>
      </c>
      <c r="W41" s="3">
        <f>1998.5+(0-196.4)+(-5.096175+(0--0.50082))+0-65.4--0.166769999999991</f>
        <v>1732.2714149999999</v>
      </c>
      <c r="X41" s="3">
        <f>1893+(41.1-103.5)+(-4.82715+(-0.104805--0.263925))+0-61.6--0.157079999999991</f>
        <v>1764.4890499999999</v>
      </c>
      <c r="Y41" s="3">
        <f>2032.5+(64.7-80.7)+(-1.036575+(-0.032997--0.041157))+0-82.9--0.0422789999999916</f>
        <v>1932.6138639999999</v>
      </c>
      <c r="Z41" s="3">
        <f>2485.4+(0-289.1)+(-5.070216+(0--0.589764))+0-71.5--0.145859999999997</f>
        <v>2120.4654080000005</v>
      </c>
      <c r="AA41" s="3">
        <f>2451+(0-282.9)+(-2.50002+(0--0.288558))+0-70--0.0714000000000112</f>
        <v>2095.9599379999995</v>
      </c>
      <c r="AB41" s="3">
        <f>2362.3+(0-276.5)+(-7.228638+(0--0.84609))+0-35--0.107100000000004</f>
        <v>2044.5245520000001</v>
      </c>
      <c r="AC41" s="3">
        <f>2243.1+(0-327.5)+(-2.287962+(0--0.33405))+0-25.3--0.025806000000004</f>
        <v>1888.3718940000001</v>
      </c>
      <c r="AD41">
        <f t="shared" si="0"/>
        <v>42649.867459000016</v>
      </c>
      <c r="AE41" s="3">
        <f>2536+(0-315.8)+(0+(0-0))+0-86.4-0</f>
        <v>2133.7999999999997</v>
      </c>
    </row>
    <row r="42" spans="1:31" s="2" customFormat="1" x14ac:dyDescent="0.25">
      <c r="A42">
        <v>89</v>
      </c>
      <c r="B42">
        <v>2</v>
      </c>
      <c r="C42">
        <v>11</v>
      </c>
      <c r="D42">
        <v>1</v>
      </c>
      <c r="E42">
        <v>1</v>
      </c>
      <c r="F42" s="3">
        <f>2189.1+(0-388.1)+(-4.465764+(0--0.791724))+0-36.6--0.0746639999999984</f>
        <v>1760.800624</v>
      </c>
      <c r="G42" s="3">
        <f>2163.9+(0-395.6)+(-5.517945+(0--1.00878))+0-76.5--0.195074999999989</f>
        <v>1687.4859100000003</v>
      </c>
      <c r="H42" s="3">
        <f>2123.9+(0-430.9)+(-2.166378+(0--0.439518))+0-49.9--0.050898000000008</f>
        <v>1641.4240379999999</v>
      </c>
      <c r="I42" s="3">
        <f>2104.2+(0-412)+(-4.292568+(0--0.84048))+0-62.5--0.127499999999997</f>
        <v>1626.3754119999999</v>
      </c>
      <c r="J42" s="3">
        <f>1993.4+(0-258.2)+(0+(0-0))+0-62.5-0</f>
        <v>1672.7</v>
      </c>
      <c r="K42" s="3">
        <f>1899.9+(0-242.3)+(-0.968949+(0--0.123573))+0-62.5--0.0318749999999937</f>
        <v>1594.286499</v>
      </c>
      <c r="L42" s="3">
        <f>1868.5+(0-159.5)+(-3.81174+(0--0.32538))+0-68.8--0.140351999999997</f>
        <v>1636.8539919999998</v>
      </c>
      <c r="M42" s="3">
        <f>1971.6+(0-181.8)+(-2.011032+(0--0.185436))+0-46.6--0.0475320000000074</f>
        <v>1741.4219360000002</v>
      </c>
      <c r="N42" s="3">
        <f>1934.9+(61.4-116.1)+(-1.973598+(-0.062628--0.118422))+0-19.3--0.0196860000000031</f>
        <v>1859.0018820000003</v>
      </c>
      <c r="O42" s="3">
        <f>2063.4+(104.5-201.6)+(-3.157002+(-0.159885--0.308448))+0-16.3--0.0249390000000009</f>
        <v>1947.0165000000002</v>
      </c>
      <c r="P42" s="3">
        <f>2308.4+(108.6-389.3)+(-2.354568+(-0.110772--0.397086))+0-13.9--0.0141780000000022</f>
        <v>2011.7459239999998</v>
      </c>
      <c r="Q42" s="3">
        <f>2299.5+(110.7-372.3)+(-1.172745+(-0.056457--0.189873))+0-13.4--0.00683399999999864</f>
        <v>2023.4675050000001</v>
      </c>
      <c r="R42" s="3">
        <f>2417.7+(110.3-473.2)+(-6.165135+(-0.281265--1.20666))+0-13.5--0.034424999999998</f>
        <v>2036.0946849999998</v>
      </c>
      <c r="S42" s="3">
        <f>2358.8+(110-410.6)+(-2.405976+(-0.1122--0.418812))+0-35--0.0357000000000056</f>
        <v>2021.136336</v>
      </c>
      <c r="T42" s="3">
        <f>2233+(110.7-354.6)+(-1.13883+(-0.056457--0.180846))+0-52.5--0.0267749999999947</f>
        <v>1935.6123339999999</v>
      </c>
      <c r="U42" s="3">
        <f>2105.4+(110.1-261.3)+(-5.36877+(-0.280755--0.666315))+0-46.5--0.118574999999993</f>
        <v>1902.8353649999999</v>
      </c>
      <c r="V42" s="3">
        <f>2099.5+(117.5-254)+(-5.353725+(-0.299625--0.6477))+0-53.4--0.136169999999992</f>
        <v>1904.7305199999998</v>
      </c>
      <c r="W42" s="3">
        <f>2057.8+(132.7-185.6)+(-3.148434+(-0.203031--0.283968))+0-72.5--0.110925000000004</f>
        <v>1929.443428</v>
      </c>
      <c r="X42" s="3">
        <f>2019.9+(148.4-153)+(-3.090447+(-0.227052--0.23409))+0-62--0.0948600000000036</f>
        <v>1950.311451</v>
      </c>
      <c r="Y42" s="3">
        <f>2262.4+(135.3-214.3)+(-1.153824+(-0.069003--0.109293))+0-54--0.0275399999999945</f>
        <v>2128.3140060000001</v>
      </c>
      <c r="Z42" s="3">
        <f>2650.5+(133.3-407.6)+(-5.40702+(-0.271932--0.831504))+0-77.4--0.157895999999997</f>
        <v>2294.1104479999999</v>
      </c>
      <c r="AA42" s="3">
        <f>2614.5+(134.1-443.3)+(-2.66679+(-0.136782--0.452166))+0-62.5--0.06375000000001</f>
        <v>2240.5123439999998</v>
      </c>
      <c r="AB42" s="3">
        <f>2527.3+(106.2-460.7)+(-2.577846+(-0.108324--0.469914))+0-41.9--0.0427380000000067</f>
        <v>2128.726482</v>
      </c>
      <c r="AC42" s="3">
        <f>2300+(98.7-306)+(-3.519+(-0.151011--0.46818))+0-84.9--0.129897000000005</f>
        <v>2004.7280659999999</v>
      </c>
      <c r="AD42">
        <f t="shared" si="0"/>
        <v>45679.135687000009</v>
      </c>
      <c r="AE42" s="3">
        <f>2649+(134.2-414.1)+(0+(0-0))+0-83.8-0</f>
        <v>2285.2999999999997</v>
      </c>
    </row>
    <row r="43" spans="1:31" s="2" customFormat="1" x14ac:dyDescent="0.25">
      <c r="A43">
        <v>89</v>
      </c>
      <c r="B43">
        <v>2</v>
      </c>
      <c r="C43">
        <v>12</v>
      </c>
      <c r="D43">
        <v>2</v>
      </c>
      <c r="E43">
        <v>1</v>
      </c>
      <c r="F43" s="3">
        <f>2216.8+(100.4-462.9)+(0+(0-0))+0-27.3-0</f>
        <v>1827.0000000000002</v>
      </c>
      <c r="G43" s="3">
        <f>2140.3+(101.1-409.9)+(-1.091553+(-0.051561--0.209049))+0-85.1--0.0434009999999914</f>
        <v>1745.5093360000003</v>
      </c>
      <c r="H43" s="3">
        <f>2140.5+(100.5-496.1)+(0+(0-0))+0-37.3-0</f>
        <v>1707.6000000000001</v>
      </c>
      <c r="I43" s="3">
        <f>2129.8+(99.6-451.3)+(-2.172396+(-0.101592--0.460326))+0-87.3--0.0890460000000139</f>
        <v>1689.0753840000002</v>
      </c>
      <c r="J43" s="3">
        <f>2060.5+(99.7-408.4)+(-1.050855+(-0.050847--0.208284))+0-57.7--0.0294269999999941</f>
        <v>1693.2360089999997</v>
      </c>
      <c r="K43" s="3">
        <f>2018.4+(99.6-383.1)+(-5.14692+(-0.25398--0.976905))+0-60.6--0.154529999999991</f>
        <v>1670.0305350000001</v>
      </c>
      <c r="L43" s="3">
        <f>1953.9+(99.2-282.8)+(-1.992978+(-0.101184--0.288456))+0-75.6--0.077112000000012</f>
        <v>1692.9714060000001</v>
      </c>
      <c r="M43" s="3">
        <f>2158.3+(98.2-408.5)+(0+(0-0))+0-45.9-0</f>
        <v>1802.1000000000001</v>
      </c>
      <c r="N43" s="3">
        <f>2317+(98-412.8)+(-1.18167+(-0.04998--0.210528))+0-82.9--0.0422789999999916</f>
        <v>1918.3211569999999</v>
      </c>
      <c r="O43" s="3">
        <f>2369.2+(71-397.6)+(0+(0-0))+0-52.1-0</f>
        <v>1990.5</v>
      </c>
      <c r="P43" s="3">
        <f>2444.8+(77.6-396.5)+(2.493696+(0.079152-0.40443))+0-61.1-0.0623220000000097</f>
        <v>2066.9060960000002</v>
      </c>
      <c r="Q43" s="3">
        <f>2430.1+(90.9-400.9)+(-1.239351+(-0.046359--0.204459))+0-33.1--0.0168809999999966</f>
        <v>2085.9356299999999</v>
      </c>
      <c r="R43" s="3">
        <f>2272.8+(93.1-251.7)+(-3.477384+(-0.142443--0.385101))+0-75.8--0.115974000000004</f>
        <v>2035.2812480000002</v>
      </c>
      <c r="S43" s="3">
        <f>2190.7+(92.1-201.8)+(-4.469028+(-0.187884--0.411672))+0-68.9--0.140555999999997</f>
        <v>2007.9953159999998</v>
      </c>
      <c r="T43" s="3">
        <f>2286.5+(84.8-338.7)+(1.166115+(0.043248-0.172737))+0-43.6-0.0222359999999956</f>
        <v>1990.01439</v>
      </c>
      <c r="U43" s="3">
        <f>2279.6+(106-302.1)+(-3.487788+(-0.16218--0.462213))+0-86.7--0.132651000000005</f>
        <v>1993.7448959999999</v>
      </c>
      <c r="V43" s="3">
        <f>2173.1+(116.5-258.8)+(-6.649686+(-0.35649--0.791928))+0-40.9--0.125154000000005</f>
        <v>1983.8109059999999</v>
      </c>
      <c r="W43" s="3">
        <f>2198.9+(133.1-238.1)+(-1.121439+(-0.067881--0.121431))+0-87.4--0.0445739999999911</f>
        <v>2005.4766850000001</v>
      </c>
      <c r="X43" s="3">
        <f>2191.7+(132.7-241.1)+(-3.353301+(-0.203031--0.368883))+0-59.3--0.0907290000000034</f>
        <v>2020.9032799999998</v>
      </c>
      <c r="Y43" s="3">
        <f>2418.5+(133.9-282)+(-2.46687+(-0.136578--0.28764))+0-58.9--0.0600780000000094</f>
        <v>2209.2442700000001</v>
      </c>
      <c r="Z43" s="3">
        <f>2645.6+(135.5-349.5)+(-9.444792+(-0.483735--1.247715))+0-76.2--0.272034000000001</f>
        <v>2346.9912220000001</v>
      </c>
      <c r="AA43" s="3">
        <f>2649.5+(134.3-428.6)+(-5.40498+(-0.273972--0.874344))+0-58.9--0.120155999999997</f>
        <v>2291.6155479999998</v>
      </c>
      <c r="AB43" s="3">
        <f>2581.3+(105.8-468.4)+(-6.582315+(-0.26979--1.19442))+0-65.8--0.16778999999999</f>
        <v>2147.4101049999999</v>
      </c>
      <c r="AC43" s="3">
        <f>2358.6+(105-371)+(-6.01443+(-0.26775--0.94605))+0-79.7--0.203234999999988</f>
        <v>2007.7671049999997</v>
      </c>
      <c r="AD43">
        <f t="shared" si="0"/>
        <v>46929.440524000005</v>
      </c>
      <c r="AE43" s="3">
        <f>2671+(136-338.8)+(0+(0-0))+0-86-0</f>
        <v>2382.1999999999998</v>
      </c>
    </row>
    <row r="44" spans="1:31" s="2" customFormat="1" x14ac:dyDescent="0.25">
      <c r="A44">
        <v>89</v>
      </c>
      <c r="B44">
        <v>2</v>
      </c>
      <c r="C44">
        <v>13</v>
      </c>
      <c r="D44">
        <v>3</v>
      </c>
      <c r="E44">
        <v>1</v>
      </c>
      <c r="F44" s="3">
        <f>2141.9+(105.2-359.6)+(-6.554214+(-0.321912--1.100376))+0-34.4--0.105264000000004</f>
        <v>1847.4295139999999</v>
      </c>
      <c r="G44" s="3">
        <f>1942.2+(104.4-216.7)+(-6.933654+(-0.372708--0.773619))+0-63.4--0.226338000000001</f>
        <v>1760.193595</v>
      </c>
      <c r="H44" s="3">
        <f>1778.4+(105-106.6)+(-0.906984+(-0.05355--0.054366))+0-49.2--0.025091999999995</f>
        <v>1726.7189240000002</v>
      </c>
      <c r="I44" s="3">
        <f>1771.8+(106.1-77.6)+(-0.903618+(-0.054111--0.039576))+0-86.4--0.0440639999999912</f>
        <v>1713.0259109999997</v>
      </c>
      <c r="J44" s="3">
        <f>1768.3+(106.1-119)+(-1.803666+(-0.108222--0.12138))+0-41--0.0418200000000065</f>
        <v>1712.6513119999997</v>
      </c>
      <c r="K44" s="3">
        <f>1736.8+(123-74.9)+(-4.42884+(-0.31365--0.190995))+0-70--0.17849999999999</f>
        <v>1710.5270049999999</v>
      </c>
      <c r="L44" s="3">
        <f>1657.4+(196.1-63.1)+(-5.071644+(-0.600066--0.193086))+0-84.6--0.25887600000001</f>
        <v>1700.5802520000002</v>
      </c>
      <c r="M44" s="3">
        <f>2004.9+(106.5-246.5)+(1.022499+(0.054315-0.125715))+0-51.7-0.0263669999999948</f>
        <v>1814.1247320000002</v>
      </c>
      <c r="N44" s="3">
        <f>2198.3+(106.9-275.9)+(0+(0-0))+0-88.4-0</f>
        <v>1940.9</v>
      </c>
      <c r="O44" s="3">
        <f>2308.4+(106.7-370.7)+(-3.531852+(-0.163251--0.567171))+0-19.7--0.0301410000000011</f>
        <v>2021.6022089999999</v>
      </c>
      <c r="P44" s="3">
        <f>2354.7+(107.1-327.4)+(0+(0-0))+0-48.3-0</f>
        <v>2086.0999999999995</v>
      </c>
      <c r="Q44" s="3">
        <f>2325.7+(106.2-284.9)+(-4.744428+(-0.216648--0.581196))+0-57.4--0.117095999999997</f>
        <v>2085.3372159999999</v>
      </c>
      <c r="R44" s="3">
        <f>2271.8+(121-237.9)+(-1.158618+(-0.06171--0.121329))+0-74.5--0.0379949999999924</f>
        <v>2079.3389960000004</v>
      </c>
      <c r="S44" s="3">
        <f>2205.3+(111.9-233.3)+(-4.498812+(-0.228276--0.475932))+0-52.2--0.106487999999998</f>
        <v>2027.5553320000001</v>
      </c>
      <c r="T44" s="3">
        <f>2261.6+(110.1-302.8)+(-4.613664+(-0.224604--0.617712))+0-67.9--0.138515999999997</f>
        <v>1996.9179599999998</v>
      </c>
      <c r="U44" s="3">
        <f>2225.9+(111.9-283.7)+(-3.405627+(-0.171207--0.434061))+0-69.1--0.105723000000004</f>
        <v>1981.9629499999999</v>
      </c>
      <c r="V44" s="3">
        <f>2087.6+(113.5-151.1)+(-3.194028+(-0.173655--0.231183))+0-50.2--0.0768060000000029</f>
        <v>1996.7403059999999</v>
      </c>
      <c r="W44" s="3">
        <f>1952.2+(220.7-77.1)+(0+(0-0))+0-78-0</f>
        <v>2017.8000000000002</v>
      </c>
      <c r="X44" s="3">
        <f>1930.8+(228.6-72.4)+(-3.938832+(-0.466344--0.147696))+0-56.2--0.114647999999998</f>
        <v>2026.6571679999997</v>
      </c>
      <c r="Y44" s="3">
        <f>2062.1+(239-67.1)+(1.051671+(0.12189-0.034221))+0-65.1-0.0332009999999934</f>
        <v>2170.0061390000001</v>
      </c>
      <c r="Z44" s="3">
        <f>2483.2+(152.3-198.6)+(-6.33216+(-0.388365--0.50643))+0-87--0.221849999999987</f>
        <v>2343.9077549999997</v>
      </c>
      <c r="AA44" s="3">
        <f>2475.3+(152.3-263.6)+(-6.312015+(-0.388365--0.67218))+0-64.6--0.164729999999991</f>
        <v>2293.5365299999999</v>
      </c>
      <c r="AB44" s="3">
        <f>2197.5+(113.7-102)+(-1.120725+(-0.057987--0.05202))+0-61--0.0311099999999938</f>
        <v>2147.1044179999999</v>
      </c>
      <c r="AC44" s="3">
        <f>1983.2+(157.4-49.8)+(-1.011432+(-0.080274--0.025398))+0-91.8--0.0468179999999907</f>
        <v>1997.9805100000003</v>
      </c>
      <c r="AD44">
        <f t="shared" si="0"/>
        <v>47198.698733999991</v>
      </c>
      <c r="AE44" s="3">
        <f>2517+(152.8-223.3)+(0+(0-0))+0-86-0</f>
        <v>2360.5</v>
      </c>
    </row>
    <row r="45" spans="1:31" s="2" customFormat="1" x14ac:dyDescent="0.25">
      <c r="A45">
        <v>89</v>
      </c>
      <c r="B45">
        <v>2</v>
      </c>
      <c r="C45">
        <v>14</v>
      </c>
      <c r="D45">
        <v>4</v>
      </c>
      <c r="E45">
        <v>1</v>
      </c>
      <c r="F45" s="3">
        <f>1942.9+(100.5-143.2)+(-3.963516+(-0.20502--0.292128))+0-59--0.120359999999997</f>
        <v>1837.4439519999999</v>
      </c>
      <c r="G45" s="3">
        <f>1862.9+(99.7-139.4)+(-3.800316+(-0.203388--0.284376))+0-58.4--0.119135999999997</f>
        <v>1761.1998080000001</v>
      </c>
      <c r="H45" s="3">
        <f>1822+(100.2-118.5)+(-2.78766+(-0.153306--0.181305))+0-85.2--0.130356000000005</f>
        <v>1715.8706949999998</v>
      </c>
      <c r="I45" s="3">
        <f>1855.7+(99.7-209)+(0.946407+(0.050847-0.10659))+0-45.3-0.0231029999999954</f>
        <v>1701.9675610000002</v>
      </c>
      <c r="J45" s="3">
        <f>1874.4+(99.7-194.8)+(3.823776+(0.203388-0.397392))+0-74.4-0.151775999999997</f>
        <v>1708.3779960000002</v>
      </c>
      <c r="K45" s="3">
        <f>1893.1+(99.9-234.1)+(-0.965481+(-0.050949--0.119391))+0-68.3--0.0348329999999931</f>
        <v>1689.7377939999999</v>
      </c>
      <c r="L45" s="3">
        <f>1778.4+(113.2-156.5)+(-4.53492+(-0.28866--0.399075))+0-27.7--0.070634999999996</f>
        <v>1703.0461300000002</v>
      </c>
      <c r="M45" s="3">
        <f>1956.6+(142.9-275.7)+(0+(0-0))+0-7.8-0</f>
        <v>1816</v>
      </c>
      <c r="N45" s="3">
        <f>2054.8+(144.7-248.9)+(-2.095896+(-0.147594--0.253878))+0-7.4--0.00754800000000118</f>
        <v>1941.217936</v>
      </c>
      <c r="O45" s="3">
        <f>2208.6+(143.3-337.9)+(2.252772+(0.146166-0.344658))+0-7.2-0.00734400000000115</f>
        <v>2008.8469359999999</v>
      </c>
      <c r="P45" s="3">
        <f>2210.8+(112.8-235.2)+(-3.382524+(-0.172584--0.359856))+0-8.8--0.0134640000000005</f>
        <v>2076.418212</v>
      </c>
      <c r="Q45" s="3">
        <f>2361.5+(110.2-372.8)+(-2.40873+(-0.112404--0.380256))+0-7--0.00714000000000112</f>
        <v>2089.7662620000001</v>
      </c>
      <c r="R45" s="3">
        <f>2402.8+(108.9-411)+(-4.901712+(-0.222156--0.83844))+0-8.4--0.0171359999999996</f>
        <v>2088.031708</v>
      </c>
      <c r="S45" s="3">
        <f>2409.4+(109.7-478.9)+(0+(0-0))+0-5-0</f>
        <v>2035.2</v>
      </c>
      <c r="T45" s="3">
        <f>2392.1+(110.6-462.9)+(2.439942+(0.112812-0.472158))+0-46.5-0.0474300000000074</f>
        <v>1995.3331659999999</v>
      </c>
      <c r="U45" s="3">
        <f>2477.1+(111.4-544.8)+(-1.263321+(-0.056814--0.277848))+0-55--0.0280499999999944</f>
        <v>1987.6857629999997</v>
      </c>
      <c r="V45" s="3">
        <f>2568.8+(120-625.5)+(-2.620176+(-0.1224--0.63801))+0-53--0.0540600000000084</f>
        <v>2008.2494940000001</v>
      </c>
      <c r="W45" s="3">
        <f>2496.1+(149.7-548.2)+(-5.092044+(-0.305388--1.118328))+0-50.5--0.103019999999998</f>
        <v>2042.9239159999997</v>
      </c>
      <c r="X45" s="3">
        <f>2255.2+(152-259.5)+(-5.75076+(-0.3876--0.661725))+0-83.8--0.213689999999988</f>
        <v>2058.6370549999997</v>
      </c>
      <c r="Y45" s="3">
        <f>2585.9+(152.6-513.9)+(-2.637618+(-0.155652--0.524178))+0-42.4--0.0432480000000068</f>
        <v>2179.9741560000002</v>
      </c>
      <c r="Z45" s="3">
        <f>2719.1+(150.8-478)+(-5.546964+(-0.307632--0.97512))+0-57.2--0.116687999999998</f>
        <v>2329.9372120000003</v>
      </c>
      <c r="AA45" s="3">
        <f>2720.8+(151.3-550)+(-2.775216+(-0.154326--0.561))+0-55.3--0.0564060000000088</f>
        <v>2264.4878640000002</v>
      </c>
      <c r="AB45" s="3">
        <f>2458+(112.2-415.1)+(-3.76074+(-0.171666--0.635103))+0-43.6--0.0667080000000025</f>
        <v>2108.269405</v>
      </c>
      <c r="AC45" s="3">
        <f>2320.5+(98-362.3)+(-2.36691+(-0.09996--0.369546))+0-89--0.0907800000000142</f>
        <v>1965.193456</v>
      </c>
      <c r="AD45">
        <f t="shared" si="0"/>
        <v>47113.816477000008</v>
      </c>
      <c r="AE45" s="3">
        <f>2757+(151-552)+(0+(0-0))+0-25-0</f>
        <v>2331</v>
      </c>
    </row>
    <row r="46" spans="1:31" s="2" customFormat="1" x14ac:dyDescent="0.25">
      <c r="A46">
        <v>89</v>
      </c>
      <c r="B46">
        <v>2</v>
      </c>
      <c r="C46">
        <v>15</v>
      </c>
      <c r="D46">
        <v>5</v>
      </c>
      <c r="E46">
        <v>1</v>
      </c>
      <c r="F46" s="3">
        <f>2247.7+(97.5-469.4)+(-1.146327+(-0.049725--0.239394))+0-53.5--0.0272849999999946</f>
        <v>1821.3706269999996</v>
      </c>
      <c r="G46" s="3">
        <f>2050.1+(98.8-361.6)+(-3.136653+(-0.151164--0.553248))+0-47.2--0.0722160000000027</f>
        <v>1737.437647</v>
      </c>
      <c r="H46" s="3">
        <f>1972.8+(99.1-313)+(-2.012256+(-0.101082--0.31926))+0-55.8--0.0569160000000089</f>
        <v>1701.362838</v>
      </c>
      <c r="I46" s="3">
        <f>1962.3+(98.3-286.2)+(-4.003092+(-0.200532--0.583848))+0-80.3--0.163811999999996</f>
        <v>1690.6440360000001</v>
      </c>
      <c r="J46" s="3">
        <f>2039.6+(98.2-382.2)+(1.040196+(0.050082-0.194922))+0-60.2-0.0307019999999939</f>
        <v>1696.2646539999998</v>
      </c>
      <c r="K46" s="3">
        <f>2100.4+(100.2-459.9)+(1.071204+(0.051102-0.234549))+0-64.4-0.0328439999999935</f>
        <v>1677.1549129999999</v>
      </c>
      <c r="L46" s="3">
        <f>1975.5+(113.9-327.5)+(-4.03002+(-0.232356--0.6681))+0-74.5--0.151979999999997</f>
        <v>1683.9577040000001</v>
      </c>
      <c r="M46" s="3">
        <f>2138.9+(114.9-368)+(0+(0-0))+0-83.9-0</f>
        <v>1801.9</v>
      </c>
      <c r="N46" s="3">
        <f>2313.9+(115.2-480.8)+(-1.180089+(-0.058752--0.245208))+0-25.4--0.0129539999999974</f>
        <v>1921.9193210000001</v>
      </c>
      <c r="O46" s="3">
        <f>2330.6+(114.8-384.1)+(0+(0-0))+0-56.2-0</f>
        <v>2005.0999999999997</v>
      </c>
      <c r="P46" s="3">
        <f>2450.3+(116-457.9)+(-2.499306+(-0.11832--0.467058))+0-43.4--0.0442680000000069</f>
        <v>2062.8937000000001</v>
      </c>
      <c r="Q46" s="3">
        <f>2466+(115.2-424.2)+(-2.51532+(-0.117504--0.432684))+0-84.2--0.0858840000000134</f>
        <v>2070.6857440000003</v>
      </c>
      <c r="R46" s="3">
        <f>2462.2+(115.4-449.4)+(-2.511444+(-0.117708--0.458388))+0-54.4--0.0554880000000087</f>
        <v>2071.6847239999997</v>
      </c>
      <c r="S46" s="3">
        <f>2459+(115.4-484.4)+(1.25409+(0.058854-0.247044))+0-63.3-0.0322829999999936</f>
        <v>2027.7336170000001</v>
      </c>
      <c r="T46" s="3">
        <f>2470.2+(116-495.5)+(3.779406+(0.17748-0.758115))+0-88.5-0.135405000000005</f>
        <v>2005.2633659999997</v>
      </c>
      <c r="U46" s="3">
        <f>2383.1+(114.1-455)+(-2.430762+(-0.116382--0.4641))+0-47.3--0.0482460000000075</f>
        <v>1992.865202</v>
      </c>
      <c r="V46" s="3">
        <f>2280.5+(115.2-307.4)+(-3.489165+(-0.176256--0.470322))+0-76.2--0.116586000000004</f>
        <v>2009.0214870000002</v>
      </c>
      <c r="W46" s="3">
        <f>2187.5+(144-240.8)+(-3.346875+(-0.22032--0.368424))+0-22.8--0.0348840000000013</f>
        <v>2064.7361129999999</v>
      </c>
      <c r="X46" s="3">
        <f>2098.5+(196.8-113.8)+(-5.351175+(-0.50184--0.29019))+0-88.8--0.226439999999987</f>
        <v>2087.3636149999998</v>
      </c>
      <c r="Y46" s="3">
        <f>2225.6+(152.1-159.7)+(-2.270112+(-0.155142--0.162894))+0-55.7--0.0568140000000089</f>
        <v>2160.094454</v>
      </c>
      <c r="Z46" s="3">
        <f>2492.8+(151.3-289.4)+(-1.271328+(-0.077163--0.147594))+0-76.3--0.0389129999999923</f>
        <v>2277.2380159999998</v>
      </c>
      <c r="AA46" s="3">
        <f>2361+(152.2-277.4)+(-6.02055+(-0.38811--0.70737))+0-23.1--0.0589049999999967</f>
        <v>2207.0576150000002</v>
      </c>
      <c r="AB46" s="3">
        <f>2159.5+(108.8-156.4)+(-2.20269+(-0.110976--0.159528))+0-56.2--0.057324000000009</f>
        <v>2053.6031860000003</v>
      </c>
      <c r="AC46" s="3">
        <f>2055.5+(99.1-186.1)+(-3.144915+(-0.151623--0.284733))+0-65.4--0.100062000000004</f>
        <v>1900.1882569999998</v>
      </c>
      <c r="AD46">
        <f t="shared" si="0"/>
        <v>46727.540836000007</v>
      </c>
      <c r="AE46" s="3">
        <f>2517+(151.3-300.3)+(0+(0-0))+0-80-0</f>
        <v>2288</v>
      </c>
    </row>
    <row r="47" spans="1:31" s="2" customFormat="1" x14ac:dyDescent="0.25">
      <c r="A47">
        <v>89</v>
      </c>
      <c r="B47">
        <v>2</v>
      </c>
      <c r="C47">
        <v>16</v>
      </c>
      <c r="D47">
        <v>6</v>
      </c>
      <c r="E47">
        <v>1</v>
      </c>
      <c r="F47" s="3">
        <f>2068.4+(98.1-364.2)+(0+(0-0))+0-39.9-0</f>
        <v>1762.4</v>
      </c>
      <c r="G47" s="3">
        <f>2067.8+(98.8-391.4)+(0+(0-0))+0-75.1-0</f>
        <v>1700.1000000000004</v>
      </c>
      <c r="H47" s="3">
        <f>2079.8+(98.5-499.5)+(0+(0-0))+0-26.4-0</f>
        <v>1652.4</v>
      </c>
      <c r="I47" s="3">
        <f>2064.3+(98.9-469.3)+(0+(0-0))+0-76.8-0</f>
        <v>1617.1000000000001</v>
      </c>
      <c r="J47" s="3">
        <f>2098.5+(99-530.7)+(0+(0-0))+0-32.4-0</f>
        <v>1634.3999999999999</v>
      </c>
      <c r="K47" s="3">
        <f>2048.4+(98-468.8)+(0+(0-0))+0-90.2-0</f>
        <v>1587.4</v>
      </c>
      <c r="L47" s="3">
        <f>2001.7+(116-466.4)+(0+(0-0))+0-28.1-0</f>
        <v>1623.2000000000003</v>
      </c>
      <c r="M47" s="3">
        <f>2254.2+(118.8-559.4)+(0+(0-0))+0-84.4-0</f>
        <v>1729.1999999999998</v>
      </c>
      <c r="N47" s="3">
        <f>2298.3+(117.1-499)+(0+(0-0))+0-45.7-0</f>
        <v>1870.7</v>
      </c>
      <c r="O47" s="3">
        <f>1988.7+(148.6-123.8)+(0+(0-0))+0-79.2-0</f>
        <v>1934.3</v>
      </c>
      <c r="P47" s="3">
        <f>1981.7+(169.2-110)+(0+(0-0))+0-65.6-0</f>
        <v>1975.3000000000002</v>
      </c>
      <c r="Q47" s="3">
        <f>1981.8+(175.4-110.8)+(0+(0-0))+0-48-0</f>
        <v>1998.3999999999999</v>
      </c>
      <c r="R47" s="3">
        <f>1981.6+(190.8-95.5)+(1.010616+(0.097308-0.048705))+0-80.6-0.0411059999999918</f>
        <v>1997.3181130000005</v>
      </c>
      <c r="S47" s="3">
        <f>1975.3+(135.2-139.1)+(0+(0-0))+0-54.9-0</f>
        <v>1916.4999999999998</v>
      </c>
      <c r="T47" s="3">
        <f>1968.5+(133.9-138.1)+(-2.00787+(-0.136578--0.140862))+0-77.6--0.0791520000000124</f>
        <v>1884.775566</v>
      </c>
      <c r="U47" s="3">
        <f>1943.2+(131.2-148.8)+(-2.973096+(-0.200736--0.227664))+0-77.8--0.119034000000004</f>
        <v>1844.9728660000001</v>
      </c>
      <c r="V47" s="3">
        <f>1938.7+(132.8-175.1)+(-4.943685+(-0.33864--0.446505))+0-41.5--0.105824999999994</f>
        <v>1850.1700050000002</v>
      </c>
      <c r="W47" s="3">
        <f>1954.5+(175.4-115)+(-2.990385+(-0.268362--0.17595))+0-91.1--0.139383000000005</f>
        <v>1920.8565860000001</v>
      </c>
      <c r="X47" s="3">
        <f>2084+(152.9-183.3)+(-2.12568+(-0.155958--0.186966))+0-60.9--0.0621180000000097</f>
        <v>1990.6674459999997</v>
      </c>
      <c r="Y47" s="3">
        <f>2237.4+(152.4-198.4)+(-2.282148+(-0.155448--0.202368))+0-62.3--0.0635460000000099</f>
        <v>2126.9283179999998</v>
      </c>
      <c r="Z47" s="3">
        <f>2512.1+(152.1-358.6)+(-3.843513+(-0.232713--0.548658))+0-82.5--0.126225000000005</f>
        <v>2219.6986569999999</v>
      </c>
      <c r="AA47" s="3">
        <f>2341.4+(152.4-287.1)+(-4.776456+(-0.310896--0.585684))+0-56.9--0.116075999999998</f>
        <v>2145.4144080000001</v>
      </c>
      <c r="AB47" s="3">
        <f>2410.5+(97.7-438.9)+(1.229355+(0.049827-0.223839))+0-77.8-0.0396779999999921</f>
        <v>1992.5156650000001</v>
      </c>
      <c r="AC47" s="3">
        <f>2404.9+(77.9-525.9)+(-2.452998+(-0.079458--0.536418))+0-87.5--0.089250000000014</f>
        <v>1867.4932120000001</v>
      </c>
      <c r="AD47">
        <f t="shared" si="0"/>
        <v>44842.210842</v>
      </c>
      <c r="AE47" s="3">
        <f>2520+(152-342.9)+(0+(0-0))+0-93.2-0</f>
        <v>2235.9</v>
      </c>
    </row>
    <row r="48" spans="1:31" s="2" customFormat="1" x14ac:dyDescent="0.25">
      <c r="A48">
        <v>89</v>
      </c>
      <c r="B48">
        <v>2</v>
      </c>
      <c r="C48">
        <v>17</v>
      </c>
      <c r="D48">
        <v>7</v>
      </c>
      <c r="E48">
        <v>1</v>
      </c>
      <c r="F48" s="3">
        <f>2192+(74.5-482.4)+(-2.23584+(-0.07599--0.492048))+0-38.5--0.0392700000000061</f>
        <v>1743.8194879999999</v>
      </c>
      <c r="G48" s="3">
        <f>2125.3+(62.4-491.1)+(-3.251709+(-0.095472--0.751383))+0-19.4--0.0296820000000011</f>
        <v>1674.6338840000001</v>
      </c>
      <c r="H48" s="3">
        <f>2057.2+(73.2-474.1)+(-4.196688+(-0.149328--0.967164))+0-46.2--0.094247999999998</f>
        <v>1606.8153959999997</v>
      </c>
      <c r="I48" s="3">
        <f>2078.4+(75.7-492.2)+(-1.059984+(-0.038607--0.251022))+0-61.9--0.0315689999999937</f>
        <v>1599.184</v>
      </c>
      <c r="J48" s="3">
        <f>2012.4+(65.6-397.9)+(-3.078972+(-0.100368--0.608787))+0-80.4--0.123012000000005</f>
        <v>1597.252459</v>
      </c>
      <c r="K48" s="3">
        <f>2019.3+(67.8-499)+(0+(0-0))+0-40.3-0</f>
        <v>1547.8</v>
      </c>
      <c r="L48" s="3">
        <f>1903+(106.8-400.2)+(-3.88212+(-0.217872--0.816408))+0-83--0.169319999999996</f>
        <v>1523.4857359999999</v>
      </c>
      <c r="M48" s="3">
        <f>1833.7+(109.9-353.5)+(-1.870374+(-0.112098--0.36057))+0-59.1--0.0602820000000094</f>
        <v>1529.4383800000001</v>
      </c>
      <c r="N48" s="3">
        <f>1778.5+(108.6-224.4)+(-2.721105+(-0.166158--0.343332))+0-68.7--0.105111000000004</f>
        <v>1591.5611800000001</v>
      </c>
      <c r="O48" s="3">
        <f>1832.1+(107.8-215.4)+(0+(0-0))+0-48.3-0</f>
        <v>1676.2</v>
      </c>
      <c r="P48" s="3">
        <f>1965.3+(110.9-283.9)+(-1.002303+(-0.056559--0.144789))+0-64.6--0.0329459999999934</f>
        <v>1726.8188730000002</v>
      </c>
      <c r="Q48" s="3">
        <f>2051.9+(110.9-330.5)+(0+(0-0))+0-73.7-0</f>
        <v>1758.6000000000001</v>
      </c>
      <c r="R48" s="3">
        <f>2082.2+(110.6-374.1)+(0+(0-0))+0-61.3-0</f>
        <v>1757.3999999999999</v>
      </c>
      <c r="S48" s="3">
        <f>2050.5+(109.5-347.5)+(0+(0-0))+0-79.9-0</f>
        <v>1732.6</v>
      </c>
      <c r="T48" s="3">
        <f>2112.2+(109.2-423.1)+(0+(0-0))+0-75.7-0</f>
        <v>1722.5999999999997</v>
      </c>
      <c r="U48" s="3">
        <f>2113.3+(108.9-481.5)+(0+(0-0))+0-51.4-0</f>
        <v>1689.3000000000002</v>
      </c>
      <c r="V48" s="3">
        <f>2074.1+(121.2-420.8)+(-5.288955+(-0.30906--1.07304))+0-91.1--0.232304999999987</f>
        <v>1679.10733</v>
      </c>
      <c r="W48" s="3">
        <f>2096.3+(150-451.6)+(-3.207339+(-0.2295--0.690948))+0-69.1--0.105723000000004</f>
        <v>1722.9598320000002</v>
      </c>
      <c r="X48" s="3">
        <f>2031+(152.5-372.3)+(-2.07162+(-0.15555--0.379746))+0-55.8--0.0569160000000089</f>
        <v>1753.609492</v>
      </c>
      <c r="Y48" s="3">
        <f>2045.3+(152.4-234.9)+(-2.086206+(-0.155448--0.239598))+0-75--0.076500000000012</f>
        <v>1885.874444</v>
      </c>
      <c r="Z48" s="3">
        <f>2406.2+(152.5-443.7)+(-6.13581+(-0.388875--1.131435))+0-62.2--0.158609999999991</f>
        <v>2047.5653599999998</v>
      </c>
      <c r="AA48" s="3">
        <f>2500.7+(152.8-535.7)+(-2.550714+(-0.155856--0.546414))+0-77.2--0.0787440000000123</f>
        <v>2038.5185879999997</v>
      </c>
      <c r="AB48" s="3">
        <f>2353.1+(116.3-459.9)+(-3.600243+(-0.177939--0.703647))+0-72.4--0.110772000000004</f>
        <v>1934.1362369999999</v>
      </c>
      <c r="AC48" s="3">
        <f>2192.8+(99.2-448.2)+(-1.118328+(-0.050592--0.228582))+0-48.3--0.0246329999999951</f>
        <v>1794.5842950000001</v>
      </c>
      <c r="AD48">
        <f t="shared" si="0"/>
        <v>41333.864973999996</v>
      </c>
      <c r="AE48" s="3">
        <f>2537+(153.5-547.5)+(0+(0-0))+0-90-0</f>
        <v>2053</v>
      </c>
    </row>
    <row r="49" spans="1:31" s="2" customFormat="1" x14ac:dyDescent="0.25">
      <c r="A49">
        <v>89</v>
      </c>
      <c r="B49">
        <v>2</v>
      </c>
      <c r="C49">
        <v>18</v>
      </c>
      <c r="D49">
        <v>1</v>
      </c>
      <c r="E49">
        <v>1</v>
      </c>
      <c r="F49" s="3">
        <f>1998.9+(98.6-345.1)+(-3.058317+(-0.150858--0.528003))+0-92.3--0.141219000000005</f>
        <v>1657.5600470000002</v>
      </c>
      <c r="G49" s="3">
        <f>1931.9+(98.4-391.7)+(-0.985269+(-0.050184--0.199767))+0-60.2--0.0307019999999939</f>
        <v>1577.5950160000002</v>
      </c>
      <c r="H49" s="3">
        <f>1918.5+(98.3-418.2)+(-1.95687+(-0.100266--0.426564))+0-56.2--0.057324000000009</f>
        <v>1540.8267519999999</v>
      </c>
      <c r="I49" s="3">
        <f>1919.5+(97.4-391.5)+(-0.978945+(-0.049674--0.199665))+0-91.7--0.0467669999999907</f>
        <v>1532.917813</v>
      </c>
      <c r="J49" s="3">
        <f>1902.4+(96.7-406.9)+(0.970224+(0.049317-0.207519))+0-47.3-0.0241229999999952</f>
        <v>1545.6878990000002</v>
      </c>
      <c r="K49" s="3">
        <f>1976.4+(97.2-473)+(-2.015928+(-0.099144--0.48246))+0-78.4--0.0799680000000125</f>
        <v>1520.6473559999999</v>
      </c>
      <c r="L49" s="3">
        <f>1819+(97.6-296.8)+(-0.92769+(-0.049776--0.151368))+0-80.8--0.0412079999999918</f>
        <v>1538.2151100000001</v>
      </c>
      <c r="M49" s="3">
        <f>1983.2+(97.6-344.2)+(0+(0-0))+0-65.7-0</f>
        <v>1670.9</v>
      </c>
      <c r="N49" s="3">
        <f>2206.8+(98-438.4)+(-3.376404+(-0.14994--0.670752))+0-25--0.0382500000000014</f>
        <v>1838.5826580000003</v>
      </c>
      <c r="O49" s="3">
        <f>2158.5+(98.8-348.6)+(0+(0-0))+0-22.3-0</f>
        <v>1886.4</v>
      </c>
      <c r="P49" s="3">
        <f>2253.3+(97.6-387.9)+(-2.298366+(-0.099552--0.395658))+0-18.2--0.0185640000000029</f>
        <v>1942.8163040000002</v>
      </c>
      <c r="Q49" s="3">
        <f>2360.9+(97.9-411.1)+(-2.408118+(-0.099858--0.419322))+0-75.5--0.077010000000012</f>
        <v>1970.1883560000001</v>
      </c>
      <c r="R49" s="3">
        <f>2401.3+(97.2-476.6)+(-1.224663+(-0.049572--0.243066))+0-50.2--0.0256019999999949</f>
        <v>1970.6944329999999</v>
      </c>
      <c r="S49" s="3">
        <f>2280.8+(98.6-356.5)+(-3.489624+(-0.150858--0.545445))+0-88.2--0.134946000000005</f>
        <v>1931.7399089999999</v>
      </c>
      <c r="T49" s="3">
        <f>2277.4+(98.1-431)+(-3.484422+(-0.150093--0.65943))+0-39.9--0.0610470000000023</f>
        <v>1901.6859619999998</v>
      </c>
      <c r="U49" s="3">
        <f>2258.6+(98.1-394.7)+(-4.607544+(-0.200124--0.805188))+0-78.3--0.159731999999997</f>
        <v>1879.857252</v>
      </c>
      <c r="V49" s="3">
        <f>2302.8+(119.4-475.1)+(-2.348856+(-0.121788--0.484602))+0-55.5--0.0566100000000088</f>
        <v>1889.6705680000002</v>
      </c>
      <c r="W49" s="3">
        <f>2292.6+(149.8-434)+(-7.015356+(-0.458388--1.32804))+0-62.6--0.191556000000007</f>
        <v>1939.8458519999999</v>
      </c>
      <c r="X49" s="3">
        <f>2210.8+(152.7-327.1)+(-7.892556+(-0.545139--1.167747))+0-84.3--0.300951000000001</f>
        <v>1945.131003</v>
      </c>
      <c r="Y49" s="3">
        <f>2126.5+(166.6-162.4)+(-4.33806+(-0.339864--0.331296))+0-49.5--0.100979999999998</f>
        <v>2076.9543520000002</v>
      </c>
      <c r="Z49" s="3">
        <f>2523.2+(153.6-318.9)+(-2.573664+(-0.156672--0.325278))+0-82.9--0.0845580000000132</f>
        <v>2272.6794999999997</v>
      </c>
      <c r="AA49" s="3">
        <f>2529.6+(154.2-399.5)+(-3.870288+(-0.235926--0.611235))+0-39.4--0.0602820000000023</f>
        <v>2241.4653029999995</v>
      </c>
      <c r="AB49" s="3">
        <f>2475.3+(112.1-384.5)+(-5.049612+(-0.228684--0.78438))+0-83.8--0.170951999999996</f>
        <v>2114.777036</v>
      </c>
      <c r="AC49" s="3">
        <f>2450.8+(101.5-523.5)+(-2.499816+(-0.10353--0.53397))+0-68.9--0.070278000000011</f>
        <v>1957.9009020000001</v>
      </c>
      <c r="AD49">
        <f t="shared" si="0"/>
        <v>44344.739383</v>
      </c>
      <c r="AE49" s="3">
        <f>2585+(153.7-339.7)+(0+(0-0))+0-79.5-0</f>
        <v>2319.5</v>
      </c>
    </row>
    <row r="50" spans="1:31" s="2" customFormat="1" x14ac:dyDescent="0.25">
      <c r="A50">
        <v>89</v>
      </c>
      <c r="B50">
        <v>2</v>
      </c>
      <c r="C50">
        <v>19</v>
      </c>
      <c r="D50">
        <v>2</v>
      </c>
      <c r="E50">
        <v>1</v>
      </c>
      <c r="F50" s="3">
        <f>2244+(100.7-496)+(-2.28888+(-0.102714--0.50592))+0-46.5--0.0474300000000074</f>
        <v>1800.361756</v>
      </c>
      <c r="G50" s="3">
        <f>2100.7+(100-406.4)+(-1.071357+(-0.051--0.207264))+0-91.5--0.0466649999999907</f>
        <v>1701.9315719999997</v>
      </c>
      <c r="H50" s="3">
        <f>2052.6+(100.4-419.1)+(0+(0-0))+0-66.9-0</f>
        <v>1666.9999999999998</v>
      </c>
      <c r="I50" s="3">
        <f>2014+(100.7-406)+(-1.02714+(-0.051357--0.20706))+0-63.6--0.0324359999999935</f>
        <v>1644.2609990000001</v>
      </c>
      <c r="J50" s="3">
        <f>1875.3+(100.1-224.7)+(-1.912806+(-0.102102--0.229194))+0-92.5--0.0943500000000148</f>
        <v>1656.508636</v>
      </c>
      <c r="K50" s="3">
        <f>1860.7+(100.6-297.8)+(-4.744785+(-0.25653--0.75939))+0-60.3--0.153764999999991</f>
        <v>1599.11184</v>
      </c>
      <c r="L50" s="3">
        <f>1808.8+(100.8-207.5)+(-4.61244+(-0.25704--0.529125))+0-63.1--0.160904999999991</f>
        <v>1634.8205499999999</v>
      </c>
      <c r="M50" s="3">
        <f>1819.7+(103.5-102.1)+(-1.856094+(-0.10557--0.104142))+0-88.2--0.0899640000000141</f>
        <v>1731.1324420000001</v>
      </c>
      <c r="N50" s="3">
        <f>2103.7+(98.2-306.9)+(-3.218661+(-0.150246--0.469557))+0-50.4--0.0771120000000029</f>
        <v>1841.7777619999997</v>
      </c>
      <c r="O50" s="3">
        <f>2352.3+(97.5-457.5)+(-1.199673+(-0.049725--0.233325))+0-78.8--0.040187999999992</f>
        <v>1912.5241150000002</v>
      </c>
      <c r="P50" s="3">
        <f>2391.7+(97.9-501.2)+(0+(0-0))+0-21.7-0</f>
        <v>1966.6999999999998</v>
      </c>
      <c r="Q50" s="3">
        <f>2427.5+(98.3-495.6)+(-1.238025+(-0.050133--0.252756))+0-22.1--0.0112709999999978</f>
        <v>2007.0758690000002</v>
      </c>
      <c r="R50" s="3">
        <f>2427.8+(98.1-436.8)+(-2.476356+(-0.100062--0.445536))+0-86.7--0.0884340000000138</f>
        <v>2000.3575520000004</v>
      </c>
      <c r="S50" s="3">
        <f>2437.5+(98-507.2)+(-3.729375+(-0.14994--0.776016))+0-74.1--0.113373000000004</f>
        <v>1951.2100739999998</v>
      </c>
      <c r="T50" s="3">
        <f>2445.2+(98.4-554.5)+(-2.494104+(-0.100368--0.56559))+0-74.4--0.0758880000000119</f>
        <v>1912.7470059999998</v>
      </c>
      <c r="U50" s="3">
        <f>2399.1+(99.4-511.5)+(-6.117705+(-0.25347--1.304325))+0-62.6--0.159629999999991</f>
        <v>1919.49278</v>
      </c>
      <c r="V50" s="3">
        <f>2395+(130-505.2)+(-2.4429+(-0.1326--0.515304))+0-85.7--0.0874140000000137</f>
        <v>1932.1272180000001</v>
      </c>
      <c r="W50" s="3">
        <f>2290.2+(151.9-435.9)+(-7.008012+(-0.464814--1.333854))+0-40.5--0.123930000000005</f>
        <v>1959.6849579999998</v>
      </c>
      <c r="X50" s="3">
        <f>2175.9+(153.5-285)+(-4.438836+(-0.31314--0.5814))+0-83.3--0.169931999999996</f>
        <v>1957.0993560000002</v>
      </c>
      <c r="Y50" s="3">
        <f>2277.1+(152.6-282.7)+(0+(0-0))+0-68.5-0</f>
        <v>2078.5</v>
      </c>
      <c r="Z50" s="3">
        <f>2732.4+(153.3-553.2)+(-5.574096+(-0.312732--1.128528))+0-50.7--0.103427999999998</f>
        <v>2277.1451280000001</v>
      </c>
      <c r="AA50" s="3">
        <f>2723.6+(152.6-548.1)+(-6.94518+(-0.38913--1.397655))+0-76.6--0.195329999999989</f>
        <v>2245.758675</v>
      </c>
      <c r="AB50" s="3">
        <f>2592.7+(112.3-541.4)+(-3.966831+(-0.171819--0.828342))+0-69.5--0.106335000000004</f>
        <v>2090.8960269999998</v>
      </c>
      <c r="AC50" s="3">
        <f>2360.2+(101.3-457)+(-6.01851+(-0.258315--1.16535))+0-76.9--0.196094999999989</f>
        <v>1922.6846199999998</v>
      </c>
      <c r="AD50">
        <f t="shared" si="0"/>
        <v>45410.908934999999</v>
      </c>
      <c r="AE50" s="3">
        <f>2737+(153-513.6)+(0+(0-0))+0-88.2-0</f>
        <v>2288.2000000000003</v>
      </c>
    </row>
    <row r="51" spans="1:31" s="2" customFormat="1" x14ac:dyDescent="0.25">
      <c r="A51">
        <v>89</v>
      </c>
      <c r="B51">
        <v>2</v>
      </c>
      <c r="C51">
        <v>20</v>
      </c>
      <c r="D51">
        <v>3</v>
      </c>
      <c r="E51">
        <v>1</v>
      </c>
      <c r="F51" s="3">
        <f>2139.7+(99.8-415.2)+(-9.821223+(-0.458082--1.905768))+0-48.1--0.220779000000008</f>
        <v>1768.0472419999999</v>
      </c>
      <c r="G51" s="3">
        <f>2080.2+(100-420.9)+(-9.548118+(-0.459--1.931931))+0-75--0.344250000000013</f>
        <v>1676.5690629999999</v>
      </c>
      <c r="H51" s="3">
        <f>2080.6+(99.9-452)+(1.061106+(0.050949-0.23052))+0-70-0.0356999999999929</f>
        <v>1659.3458350000001</v>
      </c>
      <c r="I51" s="3">
        <f>2017.7+(100.3-400.8)+(-7.203189+(-0.358071--1.430856))+0-62.1--0.221697000000001</f>
        <v>1649.1912930000001</v>
      </c>
      <c r="J51" s="3">
        <f>1989.2+(101-359.8)+(-1.014492+(-0.05151--0.183498))+0-70.7--0.0360569999999928</f>
        <v>1658.8535530000001</v>
      </c>
      <c r="K51" s="3">
        <f>2070.5+(100.7-491.4)+(-5.279775+(-0.256785--1.25307))+0-72.8--0.185639999999989</f>
        <v>1602.9021499999999</v>
      </c>
      <c r="L51" s="3">
        <f>2080.5+(100.3-492)+(-3.183165+(-0.153459--0.75276))+0-53.8--0.0823140000000031</f>
        <v>1632.49845</v>
      </c>
      <c r="M51" s="3">
        <f>2271.2+(99.3-523)+(2.316624+(0.101286-0.53346))+0-91.2-0.0930240000000145</f>
        <v>1758.0914259999997</v>
      </c>
      <c r="N51" s="3">
        <f>2341.6+(98.6-547.3)+(2.388432+(0.100572-0.558246))+0-30.6-0.0312120000000049</f>
        <v>1864.1995460000001</v>
      </c>
      <c r="O51" s="3">
        <f>2421.7+(97.4-530.2)+(-3.705201+(-0.149022--0.811206))+0-48.8--0.0746640000000028</f>
        <v>1937.1316469999997</v>
      </c>
      <c r="P51" s="3">
        <f>2434.1+(97.3-479.1)+(-2.482782+(-0.099246--0.488682))+0-67.2--0.0685440000000107</f>
        <v>1983.0751979999995</v>
      </c>
      <c r="Q51" s="3">
        <f>2507.1+(106.7-524.4)+(-1.278621+(-0.054417--0.267444))+0-83.6--0.0426359999999915</f>
        <v>2004.7770419999999</v>
      </c>
      <c r="R51" s="3">
        <f>2508.5+(107.4-542.6)+(-3.838005+(-0.164322--0.830178))+0-67.5--0.103275000000004</f>
        <v>2002.7311260000001</v>
      </c>
      <c r="S51" s="3">
        <f>2459+(107.9-541.6)+(-2.50818+(-0.110058--0.552432))+0-60.6--0.0618120000000097</f>
        <v>1962.6960059999999</v>
      </c>
      <c r="T51" s="3">
        <f>2365.5+(107.9-492.9)+(-2.41281+(-0.110058--0.502758))+0-63.2--0.0644640000000101</f>
        <v>1915.3443540000001</v>
      </c>
      <c r="U51" s="3">
        <f>2354.2+(108.5-480)+(0+(0-0))+0-65.7-0</f>
        <v>1916.9999999999998</v>
      </c>
      <c r="V51" s="3">
        <f>2263.5+(115.6-361)+(-5.771925+(-0.29478--0.92055))+0-83.5--0.212924999999988</f>
        <v>1929.66677</v>
      </c>
      <c r="W51" s="3">
        <f>2217.5+(146.8-342.9)+(-5.654625+(-0.37434--0.874395))+0-63.5--0.161924999999991</f>
        <v>1952.9073550000001</v>
      </c>
      <c r="X51" s="3">
        <f>2104.2+(150.6-289.6)+(-6.438852+(-0.460836--0.886176))+0-53--0.162180000000006</f>
        <v>1906.3486679999999</v>
      </c>
      <c r="Y51" s="3">
        <f>2289.5+(151.2-274.3)+(-1.167645+(-0.077112--0.139893))+0-66.3--0.0338129999999933</f>
        <v>2099.028949</v>
      </c>
      <c r="Z51" s="3">
        <f>2742.4+(151.9-486.8)+(-5.594496+(-0.309876--0.993072))+0-72.6--0.148103999999997</f>
        <v>2330.1368039999998</v>
      </c>
      <c r="AA51" s="3">
        <f>2721.9+(152.2-511.5)+(-8.329014+(-0.465732--1.56519))+0-73.7--0.225522000000009</f>
        <v>2281.8959660000005</v>
      </c>
      <c r="AB51" s="3">
        <f>2518.2+(115.8-403.4)+(-5.137128+(-0.236232--0.822936))+0-82.7--0.168707999999996</f>
        <v>2143.5182840000002</v>
      </c>
      <c r="AC51" s="3">
        <f>2440.9+(101.1-494.1)+(-3.734577+(-0.154683--0.755973))+0-49.2--0.0752760000000029</f>
        <v>1995.641989</v>
      </c>
      <c r="AD51">
        <f t="shared" si="0"/>
        <v>45631.598716</v>
      </c>
      <c r="AE51" s="3">
        <f>2804+(152.5-543.5)+(0+(0-0))+0-90.7-0</f>
        <v>2322.3000000000002</v>
      </c>
    </row>
    <row r="52" spans="1:31" s="2" customFormat="1" x14ac:dyDescent="0.25">
      <c r="A52">
        <v>89</v>
      </c>
      <c r="B52">
        <v>2</v>
      </c>
      <c r="C52">
        <v>21</v>
      </c>
      <c r="D52">
        <v>4</v>
      </c>
      <c r="E52">
        <v>1</v>
      </c>
      <c r="F52" s="3">
        <f>2237.3+(101-431.1)+(-1.141023+(-0.05151--0.219861))+0-67--0.0341699999999932</f>
        <v>1839.2614980000001</v>
      </c>
      <c r="G52" s="3">
        <f>2207.3+(101.1-521)+(-2.251446+(-0.103122--0.53142))+0-37--0.0377400000000059</f>
        <v>1748.6145920000001</v>
      </c>
      <c r="H52" s="3">
        <f>2108.7+(101.4-402.6)+(-5.377185+(-0.25857--1.02663))+0-85.8--0.218789999999988</f>
        <v>1717.3096649999998</v>
      </c>
      <c r="I52" s="3">
        <f>2004.1+(101-346.7)+(-2.044182+(-0.10302--0.353634))+0-71.5--0.0729300000000114</f>
        <v>1685.1793619999999</v>
      </c>
      <c r="J52" s="3">
        <f>2006.2+(100.9-342.4)+(0+(0-0))+0-68-0</f>
        <v>1696.7</v>
      </c>
      <c r="K52" s="3">
        <f>2004+(100.5-393.3)+(-4.08816+(-0.20502--0.802332))+0-70--0.142799999999997</f>
        <v>1637.8519520000002</v>
      </c>
      <c r="L52" s="3">
        <f>1975.8+(100.9-326.8)+(-3.022974+(-0.154377--0.500004))+0-76.6--0.117198000000004</f>
        <v>1670.7398509999998</v>
      </c>
      <c r="M52" s="3">
        <f>2235.1+(99.6-537.2)+(0+(0-0))+0-19.4-0</f>
        <v>1778.1</v>
      </c>
      <c r="N52" s="3">
        <f>2281.4+(98-476.6)+(2.327028+(0.09996-0.486132))+0-13.6-0.0138720000000022</f>
        <v>1891.1269840000002</v>
      </c>
      <c r="O52" s="3">
        <f>2420.3+(97.2-527.9)+(-1.234353+(-0.049572--0.269229))+0-11.7--0.00596699999999881</f>
        <v>1976.8912710000002</v>
      </c>
      <c r="P52" s="3">
        <f>2421+(97-447)+(2.46942+(0.09894-0.45594))+0-0-0</f>
        <v>2073.1124199999999</v>
      </c>
      <c r="Q52" s="3">
        <f>2571.8+(97.7-583.6)+(2.623236+(0.099654-0.595272))+0-11.3-0.0115260000000018</f>
        <v>2076.7160920000001</v>
      </c>
      <c r="R52" s="3">
        <f>2546.7+(96.8-565.1)+(-3.896451+(-0.148104--0.864603))+0-11.8--0.0180540000000007</f>
        <v>2063.4381019999996</v>
      </c>
      <c r="S52" s="3">
        <f>2492.8+(97.1-559.9)+(-1.271328+(-0.049521--0.285549))+0-11.9--0.00606899999999879</f>
        <v>2017.0707690000002</v>
      </c>
      <c r="T52" s="3">
        <f>2454.2+(99.2-569.7)+(-3.754926+(-0.151776--0.871641))+0-13.2--0.0201960000000008</f>
        <v>1967.4851349999997</v>
      </c>
      <c r="U52" s="3">
        <f>2348.9+(99.2-481.4)+(-4.791756+(-0.202368--0.982056))+0-14.6--0.0297839999999994</f>
        <v>1948.1177160000002</v>
      </c>
      <c r="V52" s="3">
        <f>2273.1+(117.1-397.5)+(-4.637124+(-0.238884--0.8109))+0-15--0.0305999999999993</f>
        <v>1973.6654919999999</v>
      </c>
      <c r="W52" s="3">
        <f>2235.9+(149.2-362.4)+(-6.841854+(-0.456552--1.108944))+0-30.8--0.0942480000000036</f>
        <v>1985.8047860000001</v>
      </c>
      <c r="X52" s="3">
        <f>2177.8+(152.1-247.4)+(-4.442712+(-0.310284--0.504696))+0-70.8--0.144431999999997</f>
        <v>2007.5961319999999</v>
      </c>
      <c r="Y52" s="3">
        <f>2199.5+(151.5-178.8)+(-2.24349+(-0.15453--0.182376))+0-62.1--0.0633420000000099</f>
        <v>2107.9476979999999</v>
      </c>
      <c r="Z52" s="3">
        <f>2539.7+(152.3-301.3)+(-1.295247+(-0.077673--0.153663))+0-76.5--0.0390149999999922</f>
        <v>2313.0197579999995</v>
      </c>
      <c r="AA52" s="3">
        <f>2571.9+(152.6-358)+(-3.935007+(-0.233478--0.54774))+0-80.7--0.123471000000005</f>
        <v>2282.3027259999999</v>
      </c>
      <c r="AB52" s="3">
        <f>2560.8+(90.6-427.3)+(-3.918024+(-0.138618--0.653769))+0-69.1--0.105723000000004</f>
        <v>2151.7028500000006</v>
      </c>
      <c r="AC52" s="3">
        <f>2483.4+(50.1-427.3)+(-5.066136+(-0.102204--0.871692))+0-72.6--0.148103999999997</f>
        <v>2029.4514560000005</v>
      </c>
      <c r="AD52">
        <f t="shared" si="0"/>
        <v>46639.206307000008</v>
      </c>
      <c r="AE52" s="3">
        <f>2585+(152.3-403.8)+(0+(0-0))+0-14.7-0</f>
        <v>2318.8000000000002</v>
      </c>
    </row>
    <row r="53" spans="1:31" s="2" customFormat="1" x14ac:dyDescent="0.25">
      <c r="A53">
        <v>89</v>
      </c>
      <c r="B53">
        <v>2</v>
      </c>
      <c r="C53">
        <v>22</v>
      </c>
      <c r="D53">
        <v>5</v>
      </c>
      <c r="E53">
        <v>1</v>
      </c>
      <c r="F53" s="3">
        <f>2317.2+(55.9-455.8)+(-1.181772+(-0.028509--0.232458))+0-66.4--0.0338639999999933</f>
        <v>1849.9560409999997</v>
      </c>
      <c r="G53" s="3">
        <f>2181+(49-392.3)+(-4.44924+(-0.09996--0.800292))+0-90.7--0.185027999999996</f>
        <v>1743.4361200000001</v>
      </c>
      <c r="H53" s="3">
        <f>2044.3+(62.1-339.8)+(-5.212965+(-0.158355--0.86649))+0-60--0.152999999999991</f>
        <v>1702.2481699999998</v>
      </c>
      <c r="I53" s="3">
        <f>1963.5+(65.2-254.5)+(-3.004155+(-0.099756--0.389385))+0-77--0.117810000000004</f>
        <v>1694.603284</v>
      </c>
      <c r="J53" s="3">
        <f>1986.5+(56.3-263.6)+(-2.02623+(-0.057426--0.268872))+0-75.5--0.077010000000012</f>
        <v>1701.9622260000001</v>
      </c>
      <c r="K53" s="3">
        <f>1995.6+(66.8-325.7)+(-1.017756+(-0.034068--0.166107))+0-70.7--0.0360569999999928</f>
        <v>1665.1503399999997</v>
      </c>
      <c r="L53" s="3">
        <f>1932.5+(97.3-286.8)+(-3.9423+(-0.198492--0.585072))+0-62.4--0.127295999999997</f>
        <v>1677.1715759999997</v>
      </c>
      <c r="M53" s="3">
        <f>1999+(98.3-222.1)+(-3.05847+(-0.150399--0.339813))+0-77.8--0.119034000000004</f>
        <v>1794.6499780000001</v>
      </c>
      <c r="N53" s="3">
        <f>2138+(99.6-319.2)+(0+(0-0))+0-26.2-0</f>
        <v>1892.2</v>
      </c>
      <c r="O53" s="3">
        <f>2272.9+(99.1-292.7)+(-2.318358+(-0.101082--0.298554))+0-65.4--0.0667080000000104</f>
        <v>2011.845822</v>
      </c>
      <c r="P53" s="3">
        <f>2332.1+(98.8-295.4)+(-2.378742+(-0.100776--0.301308))+0-70.3--0.0717060000000112</f>
        <v>2063.093496</v>
      </c>
      <c r="Q53" s="3">
        <f>2316.6+(100.2-214.9)+(0+(0-0))+0-76.6-0</f>
        <v>2125.3000000000002</v>
      </c>
      <c r="R53" s="3">
        <f>2443.2+(101-303)+(-2.492064+(-0.10302--0.30906))+0-75--0.076500000000012</f>
        <v>2163.9904759999999</v>
      </c>
      <c r="S53" s="3">
        <f>2431.5+(99.9-396.5)+(-2.48013+(-0.101898--0.40443))+0-74.2--0.0756840000000118</f>
        <v>2058.598086</v>
      </c>
      <c r="T53" s="3">
        <f>2359.8+(98.6-350.1)+(-1.203498+(-0.050286--0.178551))+0-73.3--0.0373829999999926</f>
        <v>2033.9621500000003</v>
      </c>
      <c r="U53" s="3">
        <f>2244+(98.7-222.7)+(-3.43332+(-0.151011--0.340731))+0-90.9--0.139077000000005</f>
        <v>2025.9954770000002</v>
      </c>
      <c r="V53" s="3">
        <f>2257.4+(103.7-260.6)+(-1.151274+(-0.052887--0.132906))+0-65--0.0331499999999934</f>
        <v>2034.4618950000001</v>
      </c>
      <c r="W53" s="3">
        <f>2253+(145.8-270.2)+(-6.89418+(-0.446148--0.826812))+0-70.3--0.215118000000008</f>
        <v>2052.0016019999998</v>
      </c>
      <c r="X53" s="3">
        <f>2147.1+(148.7-175.7)+(-4.380084+(-0.303348--0.358428))+0-84--0.171359999999996</f>
        <v>2031.9463560000002</v>
      </c>
      <c r="Y53" s="3">
        <f>2230.4+(151.6-154.3)+(-3.412512+(-0.231948--0.236079))+0-68.6--0.104958000000004</f>
        <v>2155.7965770000001</v>
      </c>
      <c r="Z53" s="3">
        <f>2522.5+(152-218.5)+(-5.1459+(-0.31008--0.44574))+0-75.4--0.153815999999997</f>
        <v>2375.7435759999998</v>
      </c>
      <c r="AA53" s="3">
        <f>2533.4+(150.2-270)+(-5.168136+(-0.306408--0.5508))+0-70--0.142799999999997</f>
        <v>2338.8190559999998</v>
      </c>
      <c r="AB53" s="3">
        <f>2517.9+(104.1-351.1)+(-2.568258+(-0.106182--0.358122))+0-76--0.0775200000000121</f>
        <v>2192.6612019999998</v>
      </c>
      <c r="AC53" s="3">
        <f>2356.8+(78.5-295.1)+(-6.00984+(-0.200175--0.752505))+0-89.3--0.227714999999987</f>
        <v>2045.6702050000001</v>
      </c>
      <c r="AD53">
        <f t="shared" si="0"/>
        <v>47431.263711000007</v>
      </c>
      <c r="AE53" s="3">
        <f>2552+(153-223.4)+(0+(0-0))+0-93.2-0</f>
        <v>2388.4</v>
      </c>
    </row>
    <row r="54" spans="1:31" s="2" customFormat="1" x14ac:dyDescent="0.25">
      <c r="A54">
        <v>89</v>
      </c>
      <c r="B54">
        <v>2</v>
      </c>
      <c r="C54">
        <v>23</v>
      </c>
      <c r="D54">
        <v>6</v>
      </c>
      <c r="E54">
        <v>1</v>
      </c>
      <c r="F54" s="3">
        <f>2248.1+(62.7-348.5)+(-9.172248+(-0.255816--1.42188))+0-71.3--0.290903999999994</f>
        <v>1883.2847199999999</v>
      </c>
      <c r="G54" s="3">
        <f>2079.5+(73.5-281.3)+(-5.302725+(-0.187425--0.717315))+0-71.3--0.18181499999999</f>
        <v>1795.80898</v>
      </c>
      <c r="H54" s="3">
        <f>1994.4+(72.5-265.1)+(-1.017144+(-0.036975--0.135201))+0-63--0.0321299999999936</f>
        <v>1737.9132120000002</v>
      </c>
      <c r="I54" s="3">
        <f>1938.2+(63.3-238.8)+(-4.94241+(-0.161415--0.60894))+0-31.1--0.0793049999999955</f>
        <v>1727.18442</v>
      </c>
      <c r="J54" s="3">
        <f>1884.4+(60.4-143.4)+(0+(0-0))+0-71.3-0</f>
        <v>1730.1000000000001</v>
      </c>
      <c r="K54" s="3">
        <f>1854.8+(69.3-156.6)+(-4.72974+(-0.176715--0.39933))+0-68.5--0.17467499999999</f>
        <v>1694.6675499999999</v>
      </c>
      <c r="L54" s="3">
        <f>1829.9+(96.5-154.8)+(-1.866498+(-0.09843--0.157896))+0-70.7--0.0721140000000113</f>
        <v>1699.1650820000002</v>
      </c>
      <c r="M54" s="3">
        <f>1994.8+(97.8-187.3)+(0+(0-0))+0-81-0</f>
        <v>1824.3</v>
      </c>
      <c r="N54" s="3">
        <f>2191.4+(99-281.7)+(-1.117614+(-0.05049--0.143667))+0-75.8--0.0386579999999923</f>
        <v>1931.914221</v>
      </c>
      <c r="O54" s="3">
        <f>2352.7+(99-388.4)+(0+(0-0))+0-51.9-0</f>
        <v>2011.3999999999996</v>
      </c>
      <c r="P54" s="3">
        <f>2460.3+(97-385.9)+(-2.509506+(-0.09894--0.393618))+0-72.6--0.0740520000000116</f>
        <v>2096.659224</v>
      </c>
      <c r="Q54" s="3">
        <f>2510.9+(100-388.4)+(0+(0-0))+0-83.5-0</f>
        <v>2139</v>
      </c>
      <c r="R54" s="3">
        <f>2511+(99-384.4)+(-5.12244+(-0.20196--0.784176))+0-74.1--0.151163999999997</f>
        <v>2147.11094</v>
      </c>
      <c r="S54" s="3">
        <f>2340.1+(100-283.7)+(-1.193451+(-0.051--0.144687))+0-70.1--0.0357509999999929</f>
        <v>2085.235987</v>
      </c>
      <c r="T54" s="3">
        <f>2230.5+(100-238.5)+(-3.412665+(-0.153--0.364905))+0-68.9--0.105417000000004</f>
        <v>2020.0046569999997</v>
      </c>
      <c r="U54" s="3">
        <f>2228.8+(100-244.4)+(-2.273376+(-0.102--0.249288))+0-89.6--0.0913920000000143</f>
        <v>1992.7653040000002</v>
      </c>
      <c r="V54" s="3">
        <f>2123.6+(142-180.6)+(-5.41518+(-0.3621--0.46053))+0-47.1--0.120104999999993</f>
        <v>2032.7033550000001</v>
      </c>
      <c r="W54" s="3">
        <f>2095.9+(148-156.4)+(-3.206727+(-0.22644--0.239292))+0-64.1--0.0980730000000037</f>
        <v>2020.3041980000003</v>
      </c>
      <c r="X54" s="3">
        <f>2103.1+(147-161.1)+(-4.290324+(-0.29988--0.328644))+0-67.5--0.137699999999997</f>
        <v>2017.3761400000001</v>
      </c>
      <c r="Y54" s="3">
        <f>2185.4+(160.6-149.6)+(-4.458216+(-0.327624--0.305184))+0-62.5--0.127499999999997</f>
        <v>2129.546844</v>
      </c>
      <c r="Z54" s="3">
        <f>2556.2+(150-272.3)+(-5.214648+(-0.306--0.555492))+0-91.9--0.187475999999996</f>
        <v>2337.2223199999994</v>
      </c>
      <c r="AA54" s="3">
        <f>2641.7+(147-405.4)+(-5.389068+(-0.29988--0.827016))+0-80.2--0.163607999999997</f>
        <v>2298.401676</v>
      </c>
      <c r="AB54" s="3">
        <f>2496.7+(100-325)+(-6.366585+(-0.255--0.82875))+0-57--0.145349999999992</f>
        <v>2209.0525149999994</v>
      </c>
      <c r="AC54" s="3">
        <f>2311.3+(50-225.8)+(-3.536289+(-0.0765--0.345474))+0-69.3--0.106029000000004</f>
        <v>2063.0387139999998</v>
      </c>
      <c r="AD54">
        <f t="shared" si="0"/>
        <v>47624.160059000009</v>
      </c>
      <c r="AE54" s="3">
        <f>2645+(150-330.8)+(0+(0-0))+0-89.2-0</f>
        <v>2375</v>
      </c>
    </row>
    <row r="55" spans="1:31" s="2" customFormat="1" x14ac:dyDescent="0.25">
      <c r="A55">
        <v>89</v>
      </c>
      <c r="B55">
        <v>2</v>
      </c>
      <c r="C55">
        <v>24</v>
      </c>
      <c r="D55">
        <v>7</v>
      </c>
      <c r="E55">
        <v>1</v>
      </c>
      <c r="F55" s="3">
        <f>2362.3+(76-445.7)+(-1.204773+(-0.03876--0.227307))+0-52.2--0.0266219999999947</f>
        <v>1939.4103960000002</v>
      </c>
      <c r="G55" s="3">
        <f>2246.3+(76-424.2)+(-3.436839+(-0.11628--0.649026))+0-68.9--0.105417000000004</f>
        <v>1826.4013239999999</v>
      </c>
      <c r="H55" s="3">
        <f>2028.2+(70-253.8)+(0+(0-0))+0-84.7-0</f>
        <v>1759.7</v>
      </c>
      <c r="I55" s="3">
        <f>1923.5+(70-181.4)+(-1.96197+(-0.0714--0.185028))+0-83--0.0846600000000132</f>
        <v>1727.3363179999999</v>
      </c>
      <c r="J55" s="3">
        <f>1921.8+(75-202.1)+(-0.980118+(-0.03825--0.103071))+0-50.2--0.0256019999999949</f>
        <v>1743.6103049999999</v>
      </c>
      <c r="K55" s="3">
        <f>1898.1+(82-218.7)+(-11.616372+(-0.50184--1.338444))+0-77.6--0.47491199999999</f>
        <v>1673.4951439999998</v>
      </c>
      <c r="L55" s="3">
        <f>1746.1+(98-136.3)+(-7.124088+(-0.39984--0.556104))+0-80.4--0.328031999999993</f>
        <v>1620.7602079999997</v>
      </c>
      <c r="M55" s="3">
        <f>1769.7+(97-140)+(-0.902547+(-0.04947--0.0714))+0-62.5--0.0318749999999937</f>
        <v>1663.3512579999999</v>
      </c>
      <c r="N55" s="3">
        <f>1804.6+(96-122.6)+(-1.840692+(-0.09792--0.125052))+0-65.6--0.0669120000000104</f>
        <v>1710.653352</v>
      </c>
      <c r="O55" s="3">
        <f>1896.8+(98-127.6)+(-2.902104+(-0.14994--0.195228))+0-75.3--0.115209000000004</f>
        <v>1789.1583930000002</v>
      </c>
      <c r="P55" s="3">
        <f>2001.5+(98-173.8)+(-1.020765+(-0.04998--0.088638))+0-58.8--0.029987999999994</f>
        <v>1865.9478810000001</v>
      </c>
      <c r="Q55" s="3">
        <f>2158.1+(97-284.7)+(-4.402524+(-0.19788--0.580788))+0-73.3--0.149531999999997</f>
        <v>1893.2299159999998</v>
      </c>
      <c r="R55" s="3">
        <f>2259.4+(97-369.1)+(-2.304588+(-0.09894--0.376482))+0-84.6--0.0862920000000135</f>
        <v>1900.7592460000003</v>
      </c>
      <c r="S55" s="3">
        <f>2187.8+(97-363.9)+(-4.463112+(-0.19788--0.742356))+0-38.2--0.0779279999999983</f>
        <v>1878.8592919999999</v>
      </c>
      <c r="T55" s="3">
        <f>2134.6+(97-287.5)+(0+(0-0))+0-89.6-0</f>
        <v>1854.5</v>
      </c>
      <c r="U55" s="3">
        <f>2166.6+(97-361.8)+(-2.209932+(-0.09894--0.369036))+0-59.8--0.0609960000000095</f>
        <v>1840.1211599999999</v>
      </c>
      <c r="V55" s="3">
        <f>2037.4+(149-261.1)+(-5.19537+(-0.37995--0.665805))+0-54.1--0.137954999999992</f>
        <v>1866.4284400000001</v>
      </c>
      <c r="W55" s="3">
        <f>1997.1+(150-184.3)+(-6.111126+(-0.459--0.563958))+0-82--0.250920000000009</f>
        <v>1875.044752</v>
      </c>
      <c r="X55" s="3">
        <f>2006.9+(150-199.6)+(-2.047038+(-0.153--0.203592))+0-53.1--0.0541620000000085</f>
        <v>1902.2577160000001</v>
      </c>
      <c r="Y55" s="3">
        <f>2097.1+(162.8-163.4)+(-4.278084+(-0.332112--0.333336))+0-76.8--0.156671999999997</f>
        <v>2015.5798120000002</v>
      </c>
      <c r="Z55" s="3">
        <f>2521.4+(151-417.9)+(-2.571828+(-0.15402--0.426258))+0-29.4--0.0299880000000047</f>
        <v>2222.8303980000001</v>
      </c>
      <c r="AA55" s="3">
        <f>2473.6+(151-349.3)+(-3.784608+(-0.23103--0.534429))+0-48.5--0.0742050000000028</f>
        <v>2223.3929959999996</v>
      </c>
      <c r="AB55" s="3">
        <f>2302.2+(95-185.5)+(-5.87061+(-0.24225--0.473025))+0-66.2--0.16880999999999</f>
        <v>2140.0289750000002</v>
      </c>
      <c r="AC55" s="3">
        <f>2059.9+(79.4-87.8)+(-1.050549+(-0.040494--0.044778))+0-70.9--0.0361589999999928</f>
        <v>1979.589894</v>
      </c>
      <c r="AD55">
        <f t="shared" si="0"/>
        <v>44912.447176000009</v>
      </c>
      <c r="AE55" s="3">
        <f>2533+(151-430.4)+(0+(0-0))+0-19.4-0</f>
        <v>2234.1999999999998</v>
      </c>
    </row>
    <row r="56" spans="1:31" s="2" customFormat="1" x14ac:dyDescent="0.25">
      <c r="A56">
        <v>89</v>
      </c>
      <c r="B56">
        <v>2</v>
      </c>
      <c r="C56">
        <v>25</v>
      </c>
      <c r="D56">
        <v>1</v>
      </c>
      <c r="E56">
        <v>1</v>
      </c>
      <c r="F56" s="3">
        <f>1986.1+(77-172.1)+(-1.012911+(-0.03927--0.087771))+0-47.5--0.0242249999999952</f>
        <v>1842.5598149999998</v>
      </c>
      <c r="G56" s="3">
        <f>1959.2+(75-252.7)+(-0.999192+(-0.03825--0.128877))+0-24.5--0.0124949999999975</f>
        <v>1756.10393</v>
      </c>
      <c r="H56" s="3">
        <f>1951+(75-234.5)+(0.99501+(0.03825-0.119595))+0-82.4-0.0420239999999916</f>
        <v>1709.9716409999999</v>
      </c>
      <c r="I56" s="3">
        <f>1918+(72-249.7)+(-3.91272+(-0.14688--0.509388))+0-40.2--0.0820079999999982</f>
        <v>1696.6317959999999</v>
      </c>
      <c r="J56" s="3">
        <f>1924.7+(72-206.3)+(2.944791+(0.11016-0.315639))+0-80.4-0.123012000000005</f>
        <v>1712.6162999999999</v>
      </c>
      <c r="K56" s="3">
        <f>1964.2+(91-301.6)+(-2.003484+(-0.09282--0.307632))+0-62.1--0.0633420000000099</f>
        <v>1689.77467</v>
      </c>
      <c r="L56" s="3">
        <f>1971.6+(100-291.7)+(1.005516+(0.051-0.148767))+0-62.2-0.0317219999999937</f>
        <v>1718.5760269999998</v>
      </c>
      <c r="M56" s="3">
        <f>2099.1+(101-256.8)+(-2.141082+(-0.10302--0.261936))+0-89.3--0.0910860000000142</f>
        <v>1852.1089199999999</v>
      </c>
      <c r="N56" s="3">
        <f>2291.9+(101-400.3)+(-1.168869+(-0.05151--0.204153))+0-24.8--0.0126479999999975</f>
        <v>1966.7964220000001</v>
      </c>
      <c r="O56" s="3">
        <f>2452.5+(100-412.7)+(-2.50155+(-0.102--0.420954))+0-66.9--0.0682380000000107</f>
        <v>2070.7856419999998</v>
      </c>
      <c r="P56" s="3">
        <f>2594.2+(100-494.1)+(-2.646084+(-0.102--0.503982))+0-46.8--0.0477360000000075</f>
        <v>2151.1036339999996</v>
      </c>
      <c r="Q56" s="3">
        <f>2647.7+(100-494.1)+(0+(0-0))+0-73.1-0</f>
        <v>2180.5</v>
      </c>
      <c r="R56" s="3">
        <f>2642.2+(99-506.3)+(-4.042566+(-0.15147--0.774639))+0-56.9--0.0870570000000033</f>
        <v>2174.6676599999996</v>
      </c>
      <c r="S56" s="3">
        <f>2616.1+(99-526.6)+(-4.002633+(-0.15147--0.805698))+0-56.9--0.0870570000000033</f>
        <v>2128.3386519999999</v>
      </c>
      <c r="T56" s="3">
        <f>2493.2+(99-481.5)+(-5.086128+(-0.20196--0.98226))+0-49.1--0.100163999999998</f>
        <v>2057.3943359999998</v>
      </c>
      <c r="U56" s="3">
        <f>2479.8+(99-493.8)+(0+(0-0))+0-59.6-0</f>
        <v>2025.4</v>
      </c>
      <c r="V56" s="3">
        <f>2452.5+(150-452.3)+(-1.250775+(-0.0765--0.230673))+0-95.8--0.0488579999999903</f>
        <v>2053.3522559999997</v>
      </c>
      <c r="W56" s="3">
        <f>2344.4+(150-392.9)+(-7.173864+(-0.459--1.202274))+0-40.3--0.123318000000005</f>
        <v>2054.8927279999998</v>
      </c>
      <c r="X56" s="3">
        <f>2160.9+(41-176.8)+(-2.204118+(-0.04182--0.180336))+0-87.2--0.0889440000000139</f>
        <v>1935.9233420000003</v>
      </c>
      <c r="Y56" s="3">
        <f>2228.6+(57.3-171.3)+(-4.546344+(-0.116892--0.349452))+0-64.1--0.130763999999997</f>
        <v>2046.3169800000001</v>
      </c>
      <c r="Z56" s="3">
        <f>2553.3+(150.4-290.9)+(-3.906549+(-0.230112--0.445077))+0-65.2--0.0997560000000038</f>
        <v>2344.0081720000003</v>
      </c>
      <c r="AA56" s="3">
        <f>2678.2+(150.6-446.7)+(-4.097646+(-0.230418--0.683451))+0-69.8--0.106794000000004</f>
        <v>2308.7621809999996</v>
      </c>
      <c r="AB56" s="3">
        <f>2620.5+(106.6-512.5)+(-4.009365+(-0.163098--0.784125))+0-48.2--0.0737460000000028</f>
        <v>2163.0854079999999</v>
      </c>
      <c r="AC56" s="3">
        <f>2486.9+(52.6-482.3)+(-2.536638+(-0.053652--0.491946))+0-65.6--0.0669120000000104</f>
        <v>1989.5685680000004</v>
      </c>
      <c r="AD56">
        <f t="shared" si="0"/>
        <v>47629.239080000007</v>
      </c>
      <c r="AE56" s="3">
        <f>2697+(151.2-363.6)+(0+(0-0))+0-87.4-0</f>
        <v>2397.1999999999998</v>
      </c>
    </row>
    <row r="57" spans="1:31" s="2" customFormat="1" x14ac:dyDescent="0.25">
      <c r="A57">
        <v>89</v>
      </c>
      <c r="B57">
        <v>2</v>
      </c>
      <c r="C57">
        <v>26</v>
      </c>
      <c r="D57">
        <v>2</v>
      </c>
      <c r="E57">
        <v>1</v>
      </c>
      <c r="F57" s="3">
        <f>2203.7+(60-402.8)+(-3.371661+(-0.0918--0.616284))+0-20--0.0306000000000012</f>
        <v>1838.0834229999998</v>
      </c>
      <c r="G57" s="3">
        <f>1974.8+(70.7-214.3)+(-3.021444+(-0.108171--0.327879))+0-58.6--0.0896580000000034</f>
        <v>1769.8879220000001</v>
      </c>
      <c r="H57" s="3">
        <f>1910.7+(70.3-191.8)+(-4.872285+(-0.179265--0.48909))+0-66.1--0.16855499999999</f>
        <v>1718.706095</v>
      </c>
      <c r="I57" s="3">
        <f>1894.3+(71.2-180.1)+(-2.898279+(-0.108936--0.275553))+0-73.6--0.112608000000004</f>
        <v>1709.1809459999999</v>
      </c>
      <c r="J57" s="3">
        <f>1890.9+(60.4-186.3)+(-3.857436+(-0.123216--0.380052))+0-66--0.134639999999997</f>
        <v>1695.53404</v>
      </c>
      <c r="K57" s="3">
        <f>2028.1+(58.7-356.4)+(-3.102993+(-0.089811--0.545292))+0-68.4--0.104652000000004</f>
        <v>1659.4571399999998</v>
      </c>
      <c r="L57" s="3">
        <f>1898.8+(85.2-124.5)+(-2.905164+(-0.130356--0.190485))+0-88.2--0.134946000000005</f>
        <v>1768.5899109999998</v>
      </c>
      <c r="M57" s="3">
        <f>2011.6+(110-201.6)+(-1.025916+(-0.0561--0.102816))+0-46.4--0.0236639999999953</f>
        <v>1872.644464</v>
      </c>
      <c r="N57" s="3">
        <f>2188.2+(110.6-223.2)+(-3.347946+(-0.169218--0.341496))+0-75.8--0.115974000000004</f>
        <v>1996.7403060000001</v>
      </c>
      <c r="O57" s="3">
        <f>2379.7+(109.7-403.9)+(-3.640941+(-0.167841--0.617967))+0-53.4--0.0817020000000031</f>
        <v>2028.9908869999999</v>
      </c>
      <c r="P57" s="3">
        <f>2321.2+(109.2-329.8)+(-2.367624+(-0.111384--0.336396))+0-69.4--0.0707880000000111</f>
        <v>2029.1281759999997</v>
      </c>
      <c r="Q57" s="3">
        <f>2411.7+(106.4-425.2)+(0+(0-0))+0-60-0</f>
        <v>2032.8999999999996</v>
      </c>
      <c r="R57" s="3">
        <f>2446.9+(108.7-418.9)+(-3.743757+(-0.166311--0.640917))+0-65.6--0.100368000000004</f>
        <v>2067.9312170000003</v>
      </c>
      <c r="S57" s="3">
        <f>2458.6+(110.4-458.4)+(0+(0-0))+0-94.6-0</f>
        <v>2016</v>
      </c>
      <c r="T57" s="3">
        <f>2405.9+(110.6-460.5)+(0+(0-0))+0-73.7-0</f>
        <v>1982.3</v>
      </c>
      <c r="U57" s="3">
        <f>2355.3+(107.4-457.7)+(-3.603609+(-0.164322--0.700281))+0-50.3--0.0769590000000029</f>
        <v>1951.7093090000003</v>
      </c>
      <c r="V57" s="3">
        <f>2196.7+(121.9-258.6)+(-5.601585+(-0.310845--0.65943))+0-85.3--0.217514999999988</f>
        <v>1969.6645149999999</v>
      </c>
      <c r="W57" s="3">
        <f>2144.5+(147.1-258.5)+(-5.468475+(-0.375105--0.659175))+0-55.9--0.142544999999992</f>
        <v>1972.1581399999998</v>
      </c>
      <c r="X57" s="3">
        <f>2072.9+(158.3-190.4)+(-5.285895+(-0.403665--0.48552))+0-70.6--0.18002999999999</f>
        <v>1965.1759900000002</v>
      </c>
      <c r="Y57" s="3">
        <f>2075.1+(225.6-123.4)+(-3.174903+(-0.345168--0.188802))+0-92.5--0.141525000000005</f>
        <v>2081.6102559999999</v>
      </c>
      <c r="Z57" s="3">
        <f>2479.7+(150.4-278.7)+(-5.058588+(-0.306816--0.568548))+0-64.4--0.131375999999997</f>
        <v>2282.3345199999994</v>
      </c>
      <c r="AA57" s="3">
        <f>2537.4+(147.9-368)+(-5.176296+(-0.301716--0.75072))+0-58.9--0.120155999999997</f>
        <v>2253.792864</v>
      </c>
      <c r="AB57" s="3">
        <f>2406.4+(101.2-279.7)+(0+(0-0))+0-91.2-0</f>
        <v>2136.7000000000003</v>
      </c>
      <c r="AC57" s="3">
        <f>2359+(78.2-396.1)+(0+(0-0))+0-54.6-0</f>
        <v>1986.5</v>
      </c>
      <c r="AD57">
        <f t="shared" si="0"/>
        <v>46785.720120999998</v>
      </c>
      <c r="AE57" s="3">
        <f>2540+(148.3-326)+(0+(0-0))+0-88.5-0</f>
        <v>2273.8000000000002</v>
      </c>
    </row>
    <row r="58" spans="1:31" s="2" customFormat="1" x14ac:dyDescent="0.25">
      <c r="A58">
        <v>89</v>
      </c>
      <c r="B58">
        <v>2</v>
      </c>
      <c r="C58">
        <v>27</v>
      </c>
      <c r="D58">
        <v>3</v>
      </c>
      <c r="E58">
        <v>5</v>
      </c>
      <c r="F58" s="3">
        <f>2329.7+(61.4-473.8)+(-1.188147+(-0.031314--0.241638))+0-67.4--0.0343739999999932</f>
        <v>1848.9565509999998</v>
      </c>
      <c r="G58" s="3">
        <f>2250.3+(61.4-487.6)+(-1.147653+(-0.031314--0.248676))+0-58.4--0.0297839999999941</f>
        <v>1764.7994930000002</v>
      </c>
      <c r="H58" s="3">
        <f>2170.5+(75.9-460.7)+(-1.106955+(-0.038709--0.234957))+0-66.3--0.0338129999999933</f>
        <v>1718.5231060000001</v>
      </c>
      <c r="I58" s="3">
        <f>2014+(56-315.8)+(-4.10856+(-0.11424--0.644232))+0-25--0.0509999999999989</f>
        <v>1725.6724320000001</v>
      </c>
      <c r="J58" s="3">
        <f>2041.8+(56-356.1)+(0+(0-0))+0-105-0</f>
        <v>1636.6999999999998</v>
      </c>
      <c r="K58" s="3">
        <f>2035.3+(95-435.7)+(-5.190015+(-0.24225--1.111035))+0-40--0.101999999999994</f>
        <v>1650.38077</v>
      </c>
      <c r="L58" s="3">
        <f>1877.2+(0-232.2)+(-0.957372+(0--0.118422))+0-0-0</f>
        <v>1644.1610499999999</v>
      </c>
      <c r="M58" s="3">
        <f>1881+(105.4-283.9)+(1.91862+(0.107508-0.289578))+0-39-0.0397800000000062</f>
        <v>1665.19677</v>
      </c>
      <c r="N58" s="3">
        <f>1995.1+(105.5-271.4)+(-3.052503+(-0.161415--0.415242))+0-84.6--0.129438000000005</f>
        <v>1741.930762</v>
      </c>
      <c r="O58" s="3">
        <f>2056.8+(107.8-287.8)+(0+(0-0))+0-56.8-0</f>
        <v>1820.0000000000002</v>
      </c>
      <c r="P58" s="3">
        <f>2123.6+(106.9-295.3)+(-4.332144+(-0.218076--0.602412))+0-60--0.122399999999997</f>
        <v>1871.3745919999999</v>
      </c>
      <c r="Q58" s="3">
        <f>2194.7+(108.1-307.4)+(-4.477188+(-0.220524--0.627096))+0-85.6--0.174623999999996</f>
        <v>1905.904008</v>
      </c>
      <c r="R58" s="3">
        <f>2133.8+(107-310.9)+(-4.352952+(-0.21828--0.634236))+0-36.5--0.0744599999999984</f>
        <v>1889.5374640000002</v>
      </c>
      <c r="S58" s="3">
        <f>2112.7+(106.8-264.5)+(0+(0-0))+0-87.7-0</f>
        <v>1867.2999999999997</v>
      </c>
      <c r="T58" s="3">
        <f>2076.9+(107.7-250.5)+(-3.177657+(-0.164781--0.383265))+0-63.6--0.0973080000000037</f>
        <v>1867.6381350000004</v>
      </c>
      <c r="U58" s="3">
        <f>2079.8+(108.7-259.8)+(-2.121396+(-0.110874--0.264996))+0-68.7--0.070074000000011</f>
        <v>1858.1028000000001</v>
      </c>
      <c r="V58" s="3">
        <f>2064.7+(124.1-258.5)+(-3.158991+(-0.189873--0.395505))+0-71.7--0.109701000000004</f>
        <v>1855.7563419999997</v>
      </c>
      <c r="W58" s="3">
        <f>2072.3+(146.3-323)+(-2.113746+(-0.149226--0.32946))+0-32.2--0.0328440000000051</f>
        <v>1861.4993320000001</v>
      </c>
      <c r="X58" s="3">
        <f>2079.5+(148.1-301.4)+(-4.24218+(-0.302124--0.614856))+0-53.3--0.108731999999998</f>
        <v>1869.0792839999999</v>
      </c>
      <c r="Y58" s="3">
        <f>2182.6+(150.7-304.1)+(0+(0-0))+0-65.9-0</f>
        <v>1963.2999999999997</v>
      </c>
      <c r="Z58" s="3">
        <f>2499.9+(149.9-353.6)+(-1.274949+(-0.076449--0.180336))+0-77.4--0.0394739999999922</f>
        <v>2217.6684120000004</v>
      </c>
      <c r="AA58" s="3">
        <f>2589.4+(148.9-469)+(-5.282376+(-0.303756--0.95676))+0-51.4--0.104855999999998</f>
        <v>2213.3754840000001</v>
      </c>
      <c r="AB58" s="3">
        <f>2536.2+(101.3-449.9)+(-2.586924+(-0.103326--0.458898))+0-65--0.0663000000000104</f>
        <v>2120.4349480000001</v>
      </c>
      <c r="AC58" s="3">
        <f>2436.7+(41.6-437.3)+(-1.242717+(-0.021216--0.223023))+0-55.5--0.0283049999999944</f>
        <v>1984.4873949999999</v>
      </c>
      <c r="AD58">
        <f t="shared" si="0"/>
        <v>44561.77913000001</v>
      </c>
      <c r="AE58" s="3">
        <f>2608+(147.8-542.7)+(0+(0-0))+0-16.2-0</f>
        <v>2196.9</v>
      </c>
    </row>
    <row r="59" spans="1:31" s="2" customFormat="1" x14ac:dyDescent="0.25">
      <c r="A59">
        <v>89</v>
      </c>
      <c r="B59">
        <v>2</v>
      </c>
      <c r="C59">
        <v>28</v>
      </c>
      <c r="D59">
        <v>4</v>
      </c>
      <c r="E59">
        <v>1</v>
      </c>
      <c r="F59" s="3">
        <f>2095.2+(29.1-243.9)+(0+(0-0))+0-66.4-0</f>
        <v>1813.9999999999998</v>
      </c>
      <c r="G59" s="3">
        <f>1938.2+(34.7-173.1)+(-2.965446+(-0.053091--0.264843))+0-79.6--0.121788000000005</f>
        <v>1717.5680940000002</v>
      </c>
      <c r="H59" s="3">
        <f>1973.2+(40.8-273.3)+(1.006332+(0.020808-0.139383))+0-54.3-0.0276929999999945</f>
        <v>1687.2600640000001</v>
      </c>
      <c r="I59" s="3">
        <f>1928.3+(40.3-223.9)+(-1.966866+(-0.041106--0.228378))+0-71.3--0.0727260000000114</f>
        <v>1671.6931319999999</v>
      </c>
      <c r="J59" s="3">
        <f>1811.6+(46.5-96.1)+(0.923916+(0.023715-0.049011))+0-79.2-0.040391999999992</f>
        <v>1683.658228</v>
      </c>
      <c r="K59" s="3">
        <f>1765.5+(57.2-114.9)+(-3.60162+(-0.116688--0.234396))+0-70.7--0.144227999999997</f>
        <v>1633.7603159999999</v>
      </c>
      <c r="L59" s="3">
        <f>1781.1+(91-138.6)+(-3.633444+(-0.18564--0.282744))+0-47.3--0.0964919999999979</f>
        <v>1682.7601519999998</v>
      </c>
      <c r="M59" s="3">
        <f>2004.4+(91.5-253.3)+(-2.044488+(-0.09333--0.258366))+0-18.9--0.019278000000003</f>
        <v>1821.8398260000001</v>
      </c>
      <c r="N59" s="3">
        <f>2032.2+(99.2-144.2)+(-3.109266+(-0.151776--0.220626))+0-16.8--0.025704000000001</f>
        <v>1967.3852879999999</v>
      </c>
      <c r="O59" s="3">
        <f>2102+(103.6-142.7)+(1.07202+(0.052836-0.072777))+0-12.7-0.00647699999999871</f>
        <v>2051.2456020000004</v>
      </c>
      <c r="P59" s="3">
        <f>2106.1+(149.1-121.4)+(-1.074111+(-0.076041--0.061914))+0-12.7--0.00647699999999871</f>
        <v>2120.018239</v>
      </c>
      <c r="Q59" s="3">
        <f>2254.8+(96.4-201.5)+(0+(0-0))+0-12.6-0</f>
        <v>2137.1000000000004</v>
      </c>
      <c r="R59" s="3">
        <f>2346.2+(97.8-224.2)+(-3.589686+(-0.149634--0.343026))+0-56.4--0.0862920000000033</f>
        <v>2160.0899979999995</v>
      </c>
      <c r="S59" s="3">
        <f>2378.4+(97.1-307.8)+(-2.425968+(-0.099042--0.313956))+0-63.9--0.0651780000000102</f>
        <v>2101.6541240000001</v>
      </c>
      <c r="T59" s="3">
        <f>2440.3+(97.3-380.5)+(1.244553+(0.049623-0.194055))+0-62.5-0.0318749999999937</f>
        <v>2095.6682460000002</v>
      </c>
      <c r="U59" s="3">
        <f>2421+(97.4-401)+(-1.23471+(-0.049674--0.20451))+0-53.5--0.0272849999999946</f>
        <v>2062.8474110000002</v>
      </c>
      <c r="V59" s="3">
        <f>2407.5+(106.6-414.6)+(-3.683475+(-0.163098--0.634338))+0-22.2--0.0339660000000013</f>
        <v>2074.1217310000002</v>
      </c>
      <c r="W59" s="3">
        <f>2360.8+(148.6-323.5)+(-7.224048+(-0.454716--0.98991))+0-77.4--0.236844000000009</f>
        <v>2102.04799</v>
      </c>
      <c r="X59" s="3">
        <f>2384+(151.3-383.9)+(-6.0792+(-0.385815--0.978945))+0-47.8--0.121889999999993</f>
        <v>2098.2358199999999</v>
      </c>
      <c r="Y59" s="3">
        <f>2498.2+(151.1-379.7)+(-2.548164+(-0.154122--0.387294))+0-71.8--0.0732360000000114</f>
        <v>2195.5582439999998</v>
      </c>
      <c r="Z59" s="3">
        <f>2737+(150.3-374.4)+(-2.79174+(-0.153306--0.381888))+0-79.3--0.0808860000000126</f>
        <v>2431.1177280000002</v>
      </c>
      <c r="AA59" s="3">
        <f>2779.3+(150-477.7)+(-7.087215+(-0.3825--1.218135))+0-43.3--0.110414999999994</f>
        <v>2402.1588350000002</v>
      </c>
      <c r="AB59" s="3">
        <f>2714.7+(63.9-450.6)+(-4.153491+(-0.097767--0.689418))+0-74--0.113220000000004</f>
        <v>2250.5513800000003</v>
      </c>
      <c r="AC59" s="3">
        <f>2488.6+(33.8-323.8)+(-2.538372+(-0.034476--0.330276))+0-86.9--0.0886380000000139</f>
        <v>2109.5460659999999</v>
      </c>
      <c r="AD59">
        <f t="shared" si="0"/>
        <v>48071.886513999998</v>
      </c>
      <c r="AE59" s="3">
        <f>2767+(149.7-518.5)+(0+(0-0))+0-16.9-0</f>
        <v>2381.2999999999997</v>
      </c>
    </row>
    <row r="60" spans="1:31" s="2" customFormat="1" x14ac:dyDescent="0.25">
      <c r="A60">
        <v>89</v>
      </c>
      <c r="B60">
        <v>2</v>
      </c>
      <c r="C60">
        <v>29</v>
      </c>
      <c r="D60">
        <v>5</v>
      </c>
      <c r="E60">
        <v>1</v>
      </c>
      <c r="F60" s="3">
        <f>2259.7+(26.2-327.2)+(-3.457341+(-0.040086--0.500616))+0-29.7--0.0454410000000017</f>
        <v>1926.0486299999998</v>
      </c>
      <c r="G60" s="3">
        <f>2196.6+(33.2-300.1)+(1.120266+(0.016932-0.153051))+0-90.3-0.0460529999999908</f>
        <v>1840.3380939999997</v>
      </c>
      <c r="H60" s="3">
        <f>2145.1+(26.7-321.7)+(-3.282003+(-0.040851--0.492201))+0-54.4--0.0832320000000031</f>
        <v>1792.9525789999998</v>
      </c>
      <c r="I60" s="3">
        <f>1968.6+(37.7-189.4)+(-3.011958+(-0.057681--0.289782))+0-57.7--0.0882810000000033</f>
        <v>1756.5084239999999</v>
      </c>
      <c r="J60" s="3">
        <f>1960.2+(32.6-144.8)+(0.999702+(0.016626-0.073848))+0-87.3-0.0445229999999911</f>
        <v>1761.597957</v>
      </c>
      <c r="K60" s="3">
        <f>1851.9+(66-149)+(-4.722345+(-0.1683--0.37995))+0-61--0.155549999999991</f>
        <v>1703.5448550000001</v>
      </c>
      <c r="L60" s="3">
        <f>1761+(132.4-109.4)+(0+(0-0))+0-58.1-0</f>
        <v>1725.9</v>
      </c>
      <c r="M60" s="3">
        <f>1803.5+(200.4-54.4)+(-2.759355+(-0.306612--0.083232))+0-87.2--0.133416000000005</f>
        <v>1859.4506809999998</v>
      </c>
      <c r="N60" s="3">
        <f>2088.9+(98.1-152.8)+(-2.130678+(-0.100062--0.155856))+0-19.2--0.0195840000000031</f>
        <v>2012.9446999999998</v>
      </c>
      <c r="O60" s="3">
        <f>2263.7+(97.5-181.6)+(-1.154487+(-0.049725--0.092616))+0-76.4--0.0389639999999923</f>
        <v>2102.1273679999995</v>
      </c>
      <c r="P60" s="3">
        <f>2350.8+(96.9-231.5)+(-2.397816+(-0.098838--0.23613))+0-41.6--0.0424320000000066</f>
        <v>2172.3819080000007</v>
      </c>
      <c r="Q60" s="3">
        <f>2468.2+(98.3-270.8)+(-2.517564+(-0.100266--0.276216))+0-69.8--0.0711960000000111</f>
        <v>2223.6295819999996</v>
      </c>
      <c r="R60" s="3">
        <f>2686.1+(97.7-494.9)+(0+(0-0))+0-33.5-0</f>
        <v>2255.4</v>
      </c>
      <c r="S60" s="3">
        <f>2596.9+(97.5-424.2)+(-5.297676+(-0.1989--0.865368))+0-73.9--0.150755999999997</f>
        <v>2191.8195480000004</v>
      </c>
      <c r="T60" s="3">
        <f>2601+(98-475.5)+(0+(0-0))+0-59.7-0</f>
        <v>2163.8000000000002</v>
      </c>
      <c r="U60" s="3">
        <f>2581.1+(98.6-470.6)+(-3.949083+(-0.150858--0.720018))+0-59.6--0.0911880000000034</f>
        <v>2146.2112649999999</v>
      </c>
      <c r="V60" s="3">
        <f>2574.1+(106.1-471.4)+(-5.251164+(-0.216444--0.961656))+0-51--0.104039999999998</f>
        <v>2153.3980880000004</v>
      </c>
      <c r="W60" s="3">
        <f>2537+(135.8-437.6)+(-5.17548+(-0.277032--0.892704))+0-65.5--0.133619999999997</f>
        <v>2165.2738119999999</v>
      </c>
      <c r="X60" s="3">
        <f>2514.3+(136.5-430.8)+(-6.411465+(-0.348075--1.09854))+0-65.4--0.166769999999991</f>
        <v>2149.1057699999997</v>
      </c>
      <c r="Y60" s="3">
        <f>2597.8+(137.5-437.5)+(-2.649756+(-0.14025--0.44625))+0-59.8--0.0609960000000095</f>
        <v>2235.7172399999999</v>
      </c>
      <c r="Z60" s="3">
        <f>2800.8+(136.6-361)+(-1.428408+(-0.069666--0.18411))+0-84.2--0.0429419999999915</f>
        <v>2490.9289780000004</v>
      </c>
      <c r="AA60" s="3">
        <f>2860.5+(136.3-462.9)+(-4.376565+(-0.208539--0.708237))+0-62.2--0.0951660000000036</f>
        <v>2467.9182990000004</v>
      </c>
      <c r="AB60" s="3">
        <f>2758.1+(85.3-457.6)+(-7.033155+(-0.217515--1.16688))+0-53.7--0.136934999999992</f>
        <v>2326.1531449999998</v>
      </c>
      <c r="AC60" s="3">
        <f>2621.9+(44.6-467.2)+(-5.348676+(-0.090984--0.953088))+0-38.6--0.0787439999999983</f>
        <v>2156.2921720000004</v>
      </c>
      <c r="AD60">
        <f t="shared" si="0"/>
        <v>49779.443094999995</v>
      </c>
      <c r="AE60" s="3">
        <f>2899+(136.1-523.7)+(0+(0-0))+0-29.8-0</f>
        <v>2481.6</v>
      </c>
    </row>
    <row r="61" spans="1:31" s="2" customFormat="1" x14ac:dyDescent="0.25">
      <c r="A61">
        <v>89</v>
      </c>
      <c r="B61">
        <v>2</v>
      </c>
      <c r="C61">
        <v>30</v>
      </c>
      <c r="D61">
        <v>6</v>
      </c>
      <c r="E61">
        <v>1</v>
      </c>
      <c r="F61" s="3">
        <f>2323.9+(40.2-307.9)+(-9.481512+(-0.164016--1.256232))+0-59.3--0.241943999999995</f>
        <v>1988.7526480000004</v>
      </c>
      <c r="G61" s="3">
        <f>2158.7+(36.6-230.5)+(-3.302811+(-0.055998--0.352665))+0-68.2--0.104346000000004</f>
        <v>1893.6982019999998</v>
      </c>
      <c r="H61" s="3">
        <f>2031.6+(42.4-169.2)+(-2.072232+(-0.043248--0.172584))+0-65.8--0.0671160000000105</f>
        <v>1837.1242199999999</v>
      </c>
      <c r="I61" s="3">
        <f>1953.1+(52.2-109.9)+(-3.984324+(-0.106488--0.224196))+0-77.6--0.158303999999997</f>
        <v>1814.091688</v>
      </c>
      <c r="J61" s="3">
        <f>2003+(41.5-196.5)+(2.04306+(0.04233-0.20043))+0-44.2-0.045084000000007</f>
        <v>1805.639876</v>
      </c>
      <c r="K61" s="3">
        <f>2008.3+(32.4-226.6)+(-5.121165+(-0.08262--0.57783))+0-63.5--0.161924999999991</f>
        <v>1746.1359699999998</v>
      </c>
      <c r="L61" s="3">
        <f>2013.8+(90.4-240.7)+(-4.108152+(-0.184416--0.491028))+0-83--0.169319999999996</f>
        <v>1776.86778</v>
      </c>
      <c r="M61" s="3">
        <f>2127.9+(99.3-295.2)+(2.170458+(0.101286-0.301104))+0-28.5-0.0290700000000045</f>
        <v>1905.44157</v>
      </c>
      <c r="N61" s="3">
        <f>2373.8+(98.2-358.4)+(-2.421276+(-0.100164--0.365568))+0-49.7--0.0506940000000079</f>
        <v>2061.7948220000007</v>
      </c>
      <c r="O61" s="3">
        <f>2583.2+(96.7-469.5)+(-1.317432+(-0.049317--0.239445))+0-52.6--0.0268259999999947</f>
        <v>2156.6995219999994</v>
      </c>
      <c r="P61" s="3">
        <f>2557.9+(96.7-326.1)+(0+(0-0))+0-85-0</f>
        <v>2243.5</v>
      </c>
      <c r="Q61" s="3">
        <f>2540.9+(96.5-298.9)+(2.591718+(0.09843-0.304878))+0-56.8-0.0579360000000091</f>
        <v>2284.0273339999999</v>
      </c>
      <c r="R61" s="3">
        <f>2613+(95.7-356.2)+(-5.33052+(-0.195228--0.726648))+0-59--0.120359999999997</f>
        <v>2288.8212599999997</v>
      </c>
      <c r="S61" s="3">
        <f>2591+(95.4-343.5)+(-3.96423+(-0.145962--0.525555))+0-87.4--0.133722000000005</f>
        <v>2252.0490850000001</v>
      </c>
      <c r="T61" s="3">
        <f>2583.3+(95.1-427.6)+(-2.634966+(-0.097002--0.436152))+0-60.3--0.0615060000000096</f>
        <v>2188.2656900000002</v>
      </c>
      <c r="U61" s="3">
        <f>2555.9+(95.4-457.9)+(-1.303509+(-0.048654--0.233529))+0-51.3--0.0261629999999948</f>
        <v>2141.007529</v>
      </c>
      <c r="V61" s="3">
        <f>2532.8+(107.6-456.7)+(-3.875184+(-0.164628--0.698751))+0-40.8--0.0624240000000024</f>
        <v>2139.6213630000002</v>
      </c>
      <c r="W61" s="3">
        <f>2527.6+(148.5-422.2)+(-5.156304+(-0.30294--0.861288))+0-82.3--0.167891999999996</f>
        <v>2167.1699359999998</v>
      </c>
      <c r="X61" s="3">
        <f>2439+(149.6-388.5)+(-7.46334+(-0.457776--1.18881))+0-50.9--0.155754000000006</f>
        <v>2142.6234479999998</v>
      </c>
      <c r="Y61" s="3">
        <f>2377.6+(151.1-251.5)+(-3.637728+(-0.231183--0.384795))+0-66.2--0.101286000000004</f>
        <v>2207.61717</v>
      </c>
      <c r="Z61" s="3">
        <f>2727.2+(152.2-520.3)+(-1.390872+(-0.077622--0.265353))+0-51--0.0260099999999948</f>
        <v>2306.922869</v>
      </c>
      <c r="AA61" s="3">
        <f>2619.1+(151-444)+(-2.671482+(-0.15402--0.45288))+0-69.2--0.070584000000011</f>
        <v>2254.5979620000003</v>
      </c>
      <c r="AB61" s="3">
        <f>2448.7+(92-342.4)+(-3.746511+(-0.14076--0.523872))+0-62--0.0948600000000036</f>
        <v>2133.031461</v>
      </c>
      <c r="AC61" s="3">
        <f>2437.7+(87.8-451.2)+(-1.243227+(-0.044778--0.230112))+0-58--0.0295799999999941</f>
        <v>2015.2716869999995</v>
      </c>
      <c r="AD61">
        <f t="shared" si="0"/>
        <v>49750.773091999989</v>
      </c>
      <c r="AE61" s="3">
        <f>2667+(151.4-460.3)+(0+(0-0))+0-100-0</f>
        <v>2258.1</v>
      </c>
    </row>
    <row r="62" spans="1:31" s="2" customFormat="1" x14ac:dyDescent="0.25">
      <c r="A62">
        <v>89</v>
      </c>
      <c r="B62">
        <v>2</v>
      </c>
      <c r="C62">
        <v>31</v>
      </c>
      <c r="D62">
        <v>7</v>
      </c>
      <c r="E62">
        <v>1</v>
      </c>
      <c r="F62" s="3">
        <f>2338.4+(113-427.5)+(-1.192584+(-0.05763--0.218025))+0-60--0.0305999999999939</f>
        <v>1962.8984110000001</v>
      </c>
      <c r="G62" s="3">
        <f>2323.5+(102.8-516.3)+(1.184985+(0.052428-0.263313))+0-58-0.0295799999999941</f>
        <v>1852.94452</v>
      </c>
      <c r="H62" s="3">
        <f>2226.9+(105.2-476.3)+(-4.542876+(-0.214608--0.971652))+0-57--0.116279999999998</f>
        <v>1795.1304480000001</v>
      </c>
      <c r="I62" s="3">
        <f>2256.6+(103.1-526.6)+(2.301732+(0.105162-0.537132))+0-63.5-0.0647700000000101</f>
        <v>1771.404992</v>
      </c>
      <c r="J62" s="3">
        <f>2100.5+(70.5-365.8)+(-1.071255+(-0.035955--0.186558))+0-47.2--0.0240719999999952</f>
        <v>1757.1034199999999</v>
      </c>
      <c r="K62" s="3">
        <f>1997.5+(76.8-314)+(-4.0749+(-0.156672--0.64056))+0-69.9--0.142595999999997</f>
        <v>1686.9515839999997</v>
      </c>
      <c r="L62" s="3">
        <f>1845.9+(107.5-239.2)+(-3.765636+(-0.2193--0.487968))+0-95--0.193799999999996</f>
        <v>1615.8968320000001</v>
      </c>
      <c r="M62" s="3">
        <f>1812.3+(102.9-184.8)+(-1.848546+(-0.104958--0.188496))+0-85--0.0867000000000136</f>
        <v>1643.7216919999998</v>
      </c>
      <c r="N62" s="3">
        <f>1901+(103.1-190.1)+(-1.93902+(-0.105162--0.193902))+0-25--0.025500000000004</f>
        <v>1787.1752199999999</v>
      </c>
      <c r="O62" s="3">
        <f>1934.6+(103-201.1)+(-3.946584+(-0.21012--0.410244))+0-25--0.0509999999999989</f>
        <v>1807.8045399999999</v>
      </c>
      <c r="P62" s="3">
        <f>1907.9+(132-74.9)+(-1.946058+(-0.13464--0.076398))+0-80--0.0816000000000128</f>
        <v>1883.0772999999999</v>
      </c>
      <c r="Q62" s="3">
        <f>1964.4+(126.9-107.3)+(-2.003688+(-0.129438--0.109446))+0-90--0.0918000000000144</f>
        <v>1892.0681199999999</v>
      </c>
      <c r="R62" s="3">
        <f>1952.3+(150.6-88.9)+(-3.982692+(-0.307224--0.181356))+0-73.3--0.149531999999997</f>
        <v>1936.7409720000001</v>
      </c>
      <c r="S62" s="3">
        <f>1957.2+(156.3-93.8)+(-0.998172+(-0.079713--0.047838))+0-73.3--0.0373829999999926</f>
        <v>1945.4073360000002</v>
      </c>
      <c r="T62" s="3">
        <f>1951.4+(145.7-109.3)+(-1.990428+(-0.148614--0.111486))+0-71.2--0.0726240000000114</f>
        <v>1914.645068</v>
      </c>
      <c r="U62" s="3">
        <f>1949+(110-88.9)+(-5.96394+(-0.3366--0.272034))+0-45--0.137700000000005</f>
        <v>1919.2091939999998</v>
      </c>
      <c r="V62" s="3">
        <f>1824.3+(137.2-96.2)+(-3.721572+(-0.279888--0.196248))+0-17.7--0.0361079999999992</f>
        <v>1843.8308959999999</v>
      </c>
      <c r="W62" s="3">
        <f>1749.6+(194.2-55.4)+(-2.676888+(-0.297126--0.084762))+0-58.1--0.0888930000000034</f>
        <v>1827.4996410000001</v>
      </c>
      <c r="X62" s="3">
        <f>1804.7+(150.4-85.5)+(-6.442779+(-0.536928--0.305235))+0-59.3--0.211701000000001</f>
        <v>1803.8372290000002</v>
      </c>
      <c r="Y62" s="3">
        <f>1834.9+(86.1-53.3)+(-1.871598+(-0.087822--0.054366))+0-80.3--0.0819060000000128</f>
        <v>1785.5768520000001</v>
      </c>
      <c r="Z62" s="3">
        <f>1985.6+(148.4-69.9)+(-3.037968+(-0.227052--0.106947))+0-63.7--0.0974610000000037</f>
        <v>1997.3393879999999</v>
      </c>
      <c r="AA62" s="3">
        <f>1974.6+(157.8-71.7)+(-3.021138+(-0.241434--0.109701))+0-55.8--0.0853740000000032</f>
        <v>2001.8325030000001</v>
      </c>
      <c r="AB62" s="3">
        <f>1973.2+(105.7-73.5)+(-4.025328+(-0.215628--0.14994))+0-65--0.132599999999997</f>
        <v>1936.4415839999999</v>
      </c>
      <c r="AC62" s="3">
        <f>1919.6+(56.4-125.9)+(-2.936988+(-0.086292--0.192627))+0-67.7--0.103581000000004</f>
        <v>1779.672928</v>
      </c>
      <c r="AD62">
        <f t="shared" si="0"/>
        <v>44148.210669999993</v>
      </c>
      <c r="AE62" s="3">
        <f>1953+(154.7-86.4)+(0+(0-0))+0-17.2-0</f>
        <v>2004.1</v>
      </c>
    </row>
    <row r="63" spans="1:31" s="2" customFormat="1" x14ac:dyDescent="0.25">
      <c r="A63">
        <v>89</v>
      </c>
      <c r="B63">
        <v>3</v>
      </c>
      <c r="C63">
        <v>1</v>
      </c>
      <c r="D63">
        <v>1</v>
      </c>
      <c r="E63">
        <v>1</v>
      </c>
      <c r="F63" s="3">
        <f>1737+(73.9-104.2)+(-1.77174+(-0.075378--0.106284))+0-49--0.0499800000000078</f>
        <v>1656.0091460000001</v>
      </c>
      <c r="G63" s="3">
        <f>1628.7+(78.7-57)+(2.491911+(0.120411-0.08721))+0-79.6-0.121788000000005</f>
        <v>1573.2033240000003</v>
      </c>
      <c r="H63" s="3">
        <f>1624.8+(85.1-97.3)+(-4.14324+(-0.217005--0.248115))+0-53.5--0.136424999999992</f>
        <v>1555.1242949999998</v>
      </c>
      <c r="I63" s="3">
        <f>1589.2+(87-84.1)+(-0.810492+(-0.04437--0.042891))+0-53.5--0.0272849999999946</f>
        <v>1537.8153139999999</v>
      </c>
      <c r="J63" s="3">
        <f>1561.8+(104.4-42.5)+(0.796518+(0.053244-0.021675))+0-71.3-0.0363629999999928</f>
        <v>1553.1917240000002</v>
      </c>
      <c r="K63" s="3">
        <f>1558.2+(93.5-80.9)+(-3.97341+(-0.238425--0.206295))+0-63.8--0.162689999999991</f>
        <v>1503.1571499999998</v>
      </c>
      <c r="L63" s="3">
        <f>1673.7+(117.8-53.4)+(0+(0-0))+0-53.9-0</f>
        <v>1684.2</v>
      </c>
      <c r="M63" s="3">
        <f>1789.8+(164.9-55.9)+(0.912798+(0.084099-0.028509))+0-63-0.0321299999999936</f>
        <v>1836.7362579999999</v>
      </c>
      <c r="N63" s="3">
        <f>1895.3+(164-59.1)+(0+(0-0))+0-59.9-0</f>
        <v>1940.3</v>
      </c>
      <c r="O63" s="3">
        <f>1980.8+(144.9-62.9)+(-2.020416+(-0.147798--0.064158))+0-49.7--0.0506940000000079</f>
        <v>2011.046638</v>
      </c>
      <c r="P63" s="3">
        <f>2056+(127.9-62.9)+(-5.2428+(-0.326145--0.160395))+0-49.7--0.126734999999993</f>
        <v>2066.0181849999999</v>
      </c>
      <c r="Q63" s="3">
        <f>2089+(140.9-62.9)+(-1.06539+(-0.071859--0.032079))+0-49.7--0.025346999999995</f>
        <v>2116.2201770000001</v>
      </c>
      <c r="R63" s="3">
        <f>2088.2+(142-68.5)+(-2.129964+(-0.14484--0.06987))+0-52.5--0.0535500000000084</f>
        <v>2107.048616</v>
      </c>
      <c r="S63" s="3">
        <f>2116+(138-95)+(-3.23748+(-0.21114--0.14535))+0-64.1--0.0980730000000037</f>
        <v>2091.6948030000003</v>
      </c>
      <c r="T63" s="3">
        <f>2140.8+(107.4-174.5)+(1.091808+(0.054774-0.088995))+0-39.5-0.020144999999996</f>
        <v>2035.2374420000001</v>
      </c>
      <c r="U63" s="3">
        <f>2048.5+(108.1-91.9)+(-5.223675+(-0.275655--0.234345))+0-62.4--0.159119999999991</f>
        <v>1997.194135</v>
      </c>
      <c r="V63" s="3">
        <f>1995.6+(148.3-60.5)+(-2.035512+(-0.151266--0.06171))+0-60.8--0.0620160000000097</f>
        <v>2020.5369480000004</v>
      </c>
      <c r="W63" s="3">
        <f>2016.2+(124.6-72.5)+(-5.14131+(-0.31773--0.184875))+0-46.9--0.119594999999993</f>
        <v>2016.2454300000002</v>
      </c>
      <c r="X63" s="3">
        <f>2030.3+(139.8-133.5)+(-4.141812+(-0.285192--0.27234))+0-76.2--0.155447999999997</f>
        <v>1956.4007839999999</v>
      </c>
      <c r="Y63" s="3">
        <f>2051.7+(147.8-82.1)+(-4.185468+(-0.301512--0.167484))+0-61--0.124439999999997</f>
        <v>2052.2049439999996</v>
      </c>
      <c r="Z63" s="3">
        <f>2281.1+(156.5-75.7)+(-5.816805+(-0.399075--0.193035))+0-74.7--0.190484999999989</f>
        <v>2281.3676400000004</v>
      </c>
      <c r="AA63" s="3">
        <f>2346.9+(147.6-148.8)+(-8.378433+(-0.526932--0.531216))+0-71.2--0.254184000000001</f>
        <v>2266.3800350000001</v>
      </c>
      <c r="AB63" s="3">
        <f>2266.6+(146.7-180.9)+(-4.623864+(-0.299268--0.369036))+0-60.4--0.123215999999997</f>
        <v>2167.5691200000001</v>
      </c>
      <c r="AC63" s="3">
        <f>2008.1+(145.8-50.3)+(-2.048262+(-0.148716--0.051306))+0-83.2--0.0848640000000133</f>
        <v>2018.3391919999997</v>
      </c>
      <c r="AD63">
        <f t="shared" si="0"/>
        <v>46043.241300000002</v>
      </c>
      <c r="AE63" s="3">
        <f>2375+(149.7-203.9)+(0+(0-0))+0-15.1-0</f>
        <v>2305.7000000000003</v>
      </c>
    </row>
    <row r="64" spans="1:31" s="2" customFormat="1" x14ac:dyDescent="0.25">
      <c r="A64">
        <v>89</v>
      </c>
      <c r="B64">
        <v>3</v>
      </c>
      <c r="C64">
        <v>2</v>
      </c>
      <c r="D64">
        <v>2</v>
      </c>
      <c r="E64">
        <v>1</v>
      </c>
      <c r="F64" s="3">
        <f>1936.1+(83.6-169.1)+(-1.974822+(-0.085272--0.172482))+0-29.3--0.0298860000000047</f>
        <v>1819.442274</v>
      </c>
      <c r="G64" s="3">
        <f>1911.5+(72.3-188.7)+(-4.874325+(-0.184365--0.481185))+0-64.5--0.164474999999991</f>
        <v>1726.18697</v>
      </c>
      <c r="H64" s="3">
        <f>1833.5+(91.1-179.8)+(-2.805255+(-0.139383--0.275094))+0-52.4--0.080172000000003</f>
        <v>1689.8106279999997</v>
      </c>
      <c r="I64" s="3">
        <f>1644.3+(134.3-32.4)+(-2.515779+(-0.205479--0.049572))+0-79.7--0.121941000000005</f>
        <v>1663.9502550000002</v>
      </c>
      <c r="J64" s="3">
        <f>1644.9+(112.9-36.7)+(-1.677798+(-0.115158--0.037434))+0-66.9--0.0682380000000107</f>
        <v>1652.5127160000002</v>
      </c>
      <c r="K64" s="3">
        <f>1641.5+(96.9-79.5)+(-2.511495+(-0.148257--0.121635))+0-62.4--0.0954720000000036</f>
        <v>1594.0573549999999</v>
      </c>
      <c r="L64" s="3">
        <f>1688+(96.9-57.8)+(-0.86088+(-0.049419--0.029478))+0-75.9--0.0387089999999923</f>
        <v>1650.3578879999998</v>
      </c>
      <c r="M64" s="3">
        <f>1744.4+(165.9-49.8)+(-0.889644+(-0.084609--0.025398))+0-43.5--0.0221849999999956</f>
        <v>1816.0733299999999</v>
      </c>
      <c r="N64" s="3">
        <f>1936+(88-51.9)+(-0.98736+(-0.04488--0.026469))+0-90.5--0.0461549999999908</f>
        <v>1880.6403839999998</v>
      </c>
      <c r="O64" s="3">
        <f>2097.2+(99.4-137)+(-2.139144+(-0.101388--0.13974))+0-60.3--0.0615060000000096</f>
        <v>1997.2607139999998</v>
      </c>
      <c r="P64" s="3">
        <f>2215.5+(99.4-148.7)+(-6.77943+(-0.304164--0.455022))+0-70.1--0.214506000000008</f>
        <v>2089.6859339999996</v>
      </c>
      <c r="Q64" s="3">
        <f>2328.6+(99.1-226.5)+(-1.187586+(-0.050541--0.115515))+0-53.8--0.0274379999999945</f>
        <v>2146.3048259999996</v>
      </c>
      <c r="R64" s="3">
        <f>2372.5+(99-249.7)+(-2.41995+(-0.10098--0.254694))+0-25--0.025500000000004</f>
        <v>2194.5592640000004</v>
      </c>
      <c r="S64" s="3">
        <f>2334.5+(98.8-297.4)+(-5.952975+(-0.25194--0.75837))+0-24.1--0.0614549999999965</f>
        <v>2106.4149100000004</v>
      </c>
      <c r="T64" s="3">
        <f>2351.1+(99.1-283.9)+(0+(0-0))+0-85.1-0</f>
        <v>2081.1999999999998</v>
      </c>
      <c r="U64" s="3">
        <f>2251.9+(98.7-236.8)+(-3.445407+(-0.151011--0.362304))+0-41.2--0.0630360000000024</f>
        <v>2069.4289220000005</v>
      </c>
      <c r="V64" s="3">
        <f>2269.6+(99-259.7)+(-4.629984+(-0.20196--0.529788))+0-22.5--0.045899999999999</f>
        <v>2082.143744</v>
      </c>
      <c r="W64" s="3">
        <f>2247.5+(99.3-241.1)+(-6.87735+(-0.303858--0.737766))+0-18.2--0.0556920000000021</f>
        <v>2081.1122500000001</v>
      </c>
      <c r="X64" s="3">
        <f>2112.8+(120.5-146.8)+(-5.38764+(-0.307275--0.37434))+0-17.6--0.0448799999999975</f>
        <v>2063.6243049999998</v>
      </c>
      <c r="Y64" s="3">
        <f>2177.2+(147.6-117.4)+(-1.110372+(-0.075276--0.059874))+0-73--0.0372299999999926</f>
        <v>2133.3114559999995</v>
      </c>
      <c r="Z64" s="3">
        <f>2508.2+(148.3-159.6)+(-1.279182+(-0.075633--0.081396))+0-37.9--0.0193289999999962</f>
        <v>2457.7459099999996</v>
      </c>
      <c r="AA64" s="3">
        <f>2489.4+(147.4-189)+(-3.808782+(-0.225522--0.28917))+0-61.8--0.0945540000000036</f>
        <v>2382.34942</v>
      </c>
      <c r="AB64" s="3">
        <f>2408.1+(147.8-230.9)+(-6.140655+(-0.37689--0.588795))+0-56.4--0.143819999999992</f>
        <v>2262.8150699999997</v>
      </c>
      <c r="AC64" s="3">
        <f>2179.8+(148-151.4)+(-2.223396+(-0.15096--0.154428))+0-78.2--0.0797640000000125</f>
        <v>2096.0598360000004</v>
      </c>
      <c r="AD64">
        <f t="shared" si="0"/>
        <v>47737.048360999994</v>
      </c>
      <c r="AE64" s="3">
        <f>2548+(147.7-238.6)+(0+(0-0))+0-19-0</f>
        <v>2438.1</v>
      </c>
    </row>
    <row r="65" spans="1:31" s="2" customFormat="1" x14ac:dyDescent="0.25">
      <c r="A65">
        <v>89</v>
      </c>
      <c r="B65">
        <v>3</v>
      </c>
      <c r="C65">
        <v>3</v>
      </c>
      <c r="D65">
        <v>3</v>
      </c>
      <c r="E65">
        <v>1</v>
      </c>
      <c r="F65" s="3">
        <f>2089.1+(75.6-195.7)+(-3.196323+(-0.115668--0.299421))+0-60.2--0.0921060000000035</f>
        <v>1905.8795359999999</v>
      </c>
      <c r="G65" s="3">
        <f>2040.1+(37.3-230.1)+(-1.040451+(-0.019023--0.117351))+0-59.3--0.030242999999994</f>
        <v>1787.0881199999999</v>
      </c>
      <c r="H65" s="3">
        <f>1843.2+(69.3-79.7)+(-0.940032+(-0.035343--0.040647))+0-78.4--0.039983999999992</f>
        <v>1753.5052559999999</v>
      </c>
      <c r="I65" s="3">
        <f>1771.5+(78.7-47.3)+(-1.80693+(-0.080274--0.048246))+0-60.9--0.0621180000000097</f>
        <v>1740.22316</v>
      </c>
      <c r="J65" s="3">
        <f>1743.5+(79.3-42.6)+(-4.445925+(-0.202215--0.10863))+0-51.1--0.130304999999993</f>
        <v>1724.690795</v>
      </c>
      <c r="K65" s="3">
        <f>1760.5+(52.1-69.9)+(-2.693565+(-0.079713--0.106947))+0-74.8--0.114444000000004</f>
        <v>1665.3481130000002</v>
      </c>
      <c r="L65" s="3">
        <f>1776.1+(66.2-110.9)+(-0.905811+(-0.033762--0.056559))+0-32.7--0.0166769999999967</f>
        <v>1697.8336629999999</v>
      </c>
      <c r="M65" s="3">
        <f>1807.8+(106.6-57.7)+(0+(0-0))+0-20.6-0</f>
        <v>1836.1000000000001</v>
      </c>
      <c r="N65" s="3">
        <f>2024+(79.3-101.6)+(-1.03224+(-0.040443--0.051816))+0-13.5--0.00688499999999863</f>
        <v>1987.1860180000001</v>
      </c>
      <c r="O65" s="3">
        <f>2234.1+(99.7-213.4)+(-1.139391+(-0.050847--0.108834))+0-11.4--0.00581399999999884</f>
        <v>2107.9244100000001</v>
      </c>
      <c r="P65" s="3">
        <f>2308+(97.4-199.5)+(-1.17708+(-0.049674--0.101745))+0-25--0.0127499999999975</f>
        <v>2179.7877410000001</v>
      </c>
      <c r="Q65" s="3">
        <f>2324.7+(98.1-170.7)+(-2.371194+(-0.100062--0.174114))+0-33--0.0336600000000053</f>
        <v>2216.8365180000001</v>
      </c>
      <c r="R65" s="3">
        <f>2405+(96.5-235.5)+(-2.4531+(-0.09843--0.24021))+0-11--0.0112200000000018</f>
        <v>2252.6999000000001</v>
      </c>
      <c r="S65" s="3">
        <f>2403.3+(97.4-242.7)+(-2.451366+(-0.099348--0.247554))+0-11.4--0.0116280000000018</f>
        <v>2244.3084680000002</v>
      </c>
      <c r="T65" s="3">
        <f>2409.9+(97.3-299.1)+(0+(0-0))+0-13.1-0</f>
        <v>2195</v>
      </c>
      <c r="U65" s="3">
        <f>2353.6+(97.6-248.2)+(-2.400672+(-0.099552--0.253164))+0-14.5--0.0147900000000023</f>
        <v>2186.26773</v>
      </c>
      <c r="V65" s="3">
        <f>2400.3+(97.4-272.6)+(-7.344918+(-0.298044--0.834156))+0-37.5--0.114750000000004</f>
        <v>2180.9059440000005</v>
      </c>
      <c r="W65" s="3">
        <f>2433.3+(97.3-276.8)+(-4.963932+(-0.198492--0.564672))+0-68--0.138719999999997</f>
        <v>2181.340968</v>
      </c>
      <c r="X65" s="3">
        <f>2381.8+(121.9-270.5)+(-7.288308+(-0.373014--0.82773))+0-60.6--0.185436000000007</f>
        <v>2165.9518440000006</v>
      </c>
      <c r="Y65" s="3">
        <f>2354.5+(140.4-210.8)+(-6.003975+(-0.35802--0.53754))+0-64.3--0.163964999999991</f>
        <v>2214.13951</v>
      </c>
      <c r="Z65" s="3">
        <f>2574.6+(141.1-147.5)+(-3.939138+(-0.215883--0.225675))+0-74.6--0.114138000000004</f>
        <v>2489.7847919999999</v>
      </c>
      <c r="AA65" s="3">
        <f>2572.8+(142.8-176)+(-9.184896+(-0.509796--0.62832))+0-56.9--0.203133000000001</f>
        <v>2473.8367610000005</v>
      </c>
      <c r="AB65" s="3">
        <f>2566.6+(142.5-270.8)+(-5.235864+(-0.2907--0.552432))+0-73.2--0.149327999999997</f>
        <v>2360.2751960000001</v>
      </c>
      <c r="AC65" s="3">
        <f>2210.8+(142.7-54.8)+(-5.63754+(-0.363885--0.13974))+0-77.2--0.196859999999989</f>
        <v>2215.8351750000006</v>
      </c>
      <c r="AD65">
        <f t="shared" ref="AD65:AD128" si="1">SUM(F65:AC65)</f>
        <v>49762.749618000002</v>
      </c>
      <c r="AE65" s="3">
        <f>2576+(143.8-121.9)+(0+(0-0))+0-78.8-0</f>
        <v>2519.1</v>
      </c>
    </row>
    <row r="66" spans="1:31" s="2" customFormat="1" x14ac:dyDescent="0.25">
      <c r="A66">
        <v>89</v>
      </c>
      <c r="B66">
        <v>3</v>
      </c>
      <c r="C66">
        <v>4</v>
      </c>
      <c r="D66">
        <v>4</v>
      </c>
      <c r="E66">
        <v>1</v>
      </c>
      <c r="F66" s="3">
        <f>2029.2+(97.2-62.7)+(-3.104676+(-0.148716--0.095931))+0-62.8--0.0960840000000036</f>
        <v>1997.8386230000001</v>
      </c>
      <c r="G66" s="3">
        <f>1922.6+(94.8-41.2)+(-2.941578+(-0.145044--0.063036))+0-76.2--0.116586000000004</f>
        <v>1897.0929999999998</v>
      </c>
      <c r="H66" s="3">
        <f>1871.9+(86.3-56.2)+(-1.909338+(-0.088026--0.057324))+0-67.6--0.0689520000000108</f>
        <v>1832.5289120000002</v>
      </c>
      <c r="I66" s="3">
        <f>1793.9+(99.3-39)+(-5.489334+(-0.303858--0.11934))+0-40.1--0.122706000000005</f>
        <v>1808.5488540000003</v>
      </c>
      <c r="J66" s="3">
        <f>1748.4+(205.1-42.7)+(-1.783368+(-0.209202--0.043554))+0-90.1--0.0919020000000144</f>
        <v>1818.8428860000004</v>
      </c>
      <c r="K66" s="3">
        <f>1721.6+(142.3-42.6)+(-4.39008+(-0.362865--0.10863))+0-60.8--0.155039999999991</f>
        <v>1756.0107250000001</v>
      </c>
      <c r="L66" s="3">
        <f>1720.6+(150.1-59.5)+(-4.38753+(-0.382755--0.151725))+0-61--0.155549999999991</f>
        <v>1745.7369899999999</v>
      </c>
      <c r="M66" s="3">
        <f>1838.6+(187.6-57.2)+(-3.750744+(-0.382704--0.116688))+0-80.6--0.164423999999996</f>
        <v>1884.5476640000002</v>
      </c>
      <c r="N66" s="3">
        <f>2118.8+(103.7-134.1)+(-2.161176+(-0.105774--0.136782))+0-46.8--0.0477360000000075</f>
        <v>2039.517568</v>
      </c>
      <c r="O66" s="3">
        <f>2242.5+(122.8-121.9)+(-3.431025+(-0.187884--0.186507))+0-80.7--0.123471000000005</f>
        <v>2159.3910690000002</v>
      </c>
      <c r="P66" s="3">
        <f>2303.2+(97.6-73)+(-1.174632+(-0.049776--0.03723))+0-70.3--0.0358529999999929</f>
        <v>2256.3486749999993</v>
      </c>
      <c r="Q66" s="3">
        <f>2328+(100.2-75.3)+(-1.18728+(-0.051102--0.038403))+0-71--0.0362099999999928</f>
        <v>2280.7362310000003</v>
      </c>
      <c r="R66" s="3">
        <f>2447.2+(42-154.2)+(-2.496144+(-0.04284--0.157284))+0-25--0.025500000000004</f>
        <v>2307.6438000000003</v>
      </c>
      <c r="S66" s="3">
        <f>2449.6+(31.1-156.2)+(-2.498592+(-0.031722--0.159324))+0-56.2--0.057324000000009</f>
        <v>2265.9863340000002</v>
      </c>
      <c r="T66" s="3">
        <f>2509.5+(47.9-254.2)+(-3.839535+(-0.073287--0.388926))+0-54.9--0.0839970000000032</f>
        <v>2244.8601009999998</v>
      </c>
      <c r="U66" s="3">
        <f>2550+(51-288.5)+(1.3005+(0.02601-0.147135))+0-25-0.0127499999999975</f>
        <v>2288.6666250000003</v>
      </c>
      <c r="V66" s="3">
        <f>2496.2+(56.8-289.9)+(1.273062+(0.028968-0.147849))+0-54-0.0275399999999945</f>
        <v>2210.2266409999997</v>
      </c>
      <c r="W66" s="3">
        <f>2444.1+(58.5-215.6)+(-4.985964+(-0.11934--0.439824))+0-84.3--0.171971999999996</f>
        <v>2198.2064919999998</v>
      </c>
      <c r="X66" s="3">
        <f>2224.6+(64.9-71)+(-6.807276+(-0.198594--0.21726))+0-60.5--0.185130000000007</f>
        <v>2151.3965199999998</v>
      </c>
      <c r="Y66" s="3">
        <f>2166.6+(161.2-74)+(-5.52483+(-0.41106--0.1887))+0-57.6--0.146879999999992</f>
        <v>2190.5996899999996</v>
      </c>
      <c r="Z66" s="3">
        <f>2634.3+(145-245.3)+(-8.060958+(-0.4437--0.750618))+0-76.5--0.234090000000009</f>
        <v>2449.9800500000001</v>
      </c>
      <c r="AA66" s="3">
        <f>2619.2+(146.2-256)+(-10.686336+(-0.596496--1.04448))+0-71.7--0.292535999999994</f>
        <v>2427.7541839999999</v>
      </c>
      <c r="AB66" s="3">
        <f>2410.1+(141.7-182.4)+(-1.229151+(-0.072267--0.093024))+0-74.8--0.0381479999999924</f>
        <v>2293.4297539999998</v>
      </c>
      <c r="AC66" s="3">
        <f>2302.4+(143.7-257.1)+(-5.87112+(-0.366435--0.655605))+0-52--0.132599999999992</f>
        <v>2131.5506500000001</v>
      </c>
      <c r="AD66">
        <f t="shared" si="1"/>
        <v>50637.442037999994</v>
      </c>
      <c r="AE66" s="3">
        <f>2690+(148.5-263.8)+(0+(0-0))+0-85.3-0</f>
        <v>2489.3999999999996</v>
      </c>
    </row>
    <row r="67" spans="1:31" s="2" customFormat="1" x14ac:dyDescent="0.25">
      <c r="A67">
        <v>89</v>
      </c>
      <c r="B67">
        <v>3</v>
      </c>
      <c r="C67">
        <v>5</v>
      </c>
      <c r="D67">
        <v>5</v>
      </c>
      <c r="E67">
        <v>1</v>
      </c>
      <c r="F67" s="3">
        <f>2168+(76.4-209.9)+(-4.42272+(-0.155856--0.428196))+0-75.9--0.154835999999997</f>
        <v>1954.6044559999998</v>
      </c>
      <c r="G67" s="3">
        <f>2006.6+(66.6-139)+(1.023366+(0.033966-0.07089))+0-78.6-0.040085999999992</f>
        <v>1856.5463559999998</v>
      </c>
      <c r="H67" s="3">
        <f>1938.7+(69.6-136.6)+(-4.943685+(-0.17748--0.34833))+0-61.2--0.156059999999991</f>
        <v>1805.883225</v>
      </c>
      <c r="I67" s="3">
        <f>1813.8+(93-41.6)+(-2.775114+(-0.14229--0.063648))+0-73.8--0.112914000000004</f>
        <v>1788.6591580000002</v>
      </c>
      <c r="J67" s="3">
        <f>1797.1+(82-46.8)+(-0.916521+(-0.04182--0.023868))+0-61.4--0.0313139999999938</f>
        <v>1769.9968409999999</v>
      </c>
      <c r="K67" s="3">
        <f>1774.3+(53.8-64.5)+(-5.429358+(-0.164628--0.19737))+0-57.7--0.176562000000007</f>
        <v>1700.679946</v>
      </c>
      <c r="L67" s="3">
        <f>1796.6+(66.9-66.2)+(-3.665064+(-0.136476--0.135048))+0-85.3--0.174011999999996</f>
        <v>1708.5075199999999</v>
      </c>
      <c r="M67" s="3">
        <f>1891.8+(45.1-64)+(-1.929636+(-0.046002--0.06528))+0-43.4--0.0442680000000069</f>
        <v>1827.6339099999998</v>
      </c>
      <c r="N67" s="3">
        <f>2196.7+(94.3-226.1)+(1.120317+(0.048093-0.115311))+0-81.1-0.0413609999999918</f>
        <v>1984.8117379999999</v>
      </c>
      <c r="O67" s="3">
        <f>2223.7+(98.1-190)+(-4.536348+(-0.200124--0.3876))+0-42.6--0.0869039999999981</f>
        <v>2084.9380319999996</v>
      </c>
      <c r="P67" s="3">
        <f>2325.3+(96.3-172.3)+(0+(0-0))+0-71.6-0</f>
        <v>2177.7000000000003</v>
      </c>
      <c r="Q67" s="3">
        <f>2357.9+(99.1-208.4)+(-1.202529+(-0.050541--0.106284))+0-49.6--0.025295999999995</f>
        <v>2197.87851</v>
      </c>
      <c r="R67" s="3">
        <f>2471.2+(104.4-268.9)+(-1.260312+(-0.053244--0.137139))+0-72.2--0.0368219999999927</f>
        <v>2233.3604049999999</v>
      </c>
      <c r="S67" s="3">
        <f>2432.9+(110.6-291.1)+(-1.240779+(-0.056406--0.148461))+0-47.1--0.0240209999999952</f>
        <v>2204.1752970000002</v>
      </c>
      <c r="T67" s="3">
        <f>2381.3+(110-228.9)+(-2.428926+(-0.1122--0.233478))+0-73.2--0.0746640000000117</f>
        <v>2186.9670160000005</v>
      </c>
      <c r="U67" s="3">
        <f>2389.3+(105.7-273.8)+(-1.218543+(-0.053907--0.139638))+0-67.4--0.0343739999999932</f>
        <v>2152.7015620000002</v>
      </c>
      <c r="V67" s="3">
        <f>2382.3+(108.7-267)+(-3.644919+(-0.166311--0.40851))+0-57.6--0.0881280000000033</f>
        <v>2163.0854079999999</v>
      </c>
      <c r="W67" s="3">
        <f>2313.8+(114.6-177.8)+(-8.260266+(-0.409122--0.634746))+0-87.4--0.312018000000001</f>
        <v>2155.4773760000003</v>
      </c>
      <c r="X67" s="3">
        <f>2192.3+(120.2-202.1)+(-7.826511+(-0.429114--0.721497))+0-27.4--0.0978180000000004</f>
        <v>2075.5636900000004</v>
      </c>
      <c r="Y67" s="3">
        <f>2188+(135.2-78.3)+(-4.46352+(-0.275808--0.159732))+0-84.4--0.172175999999996</f>
        <v>2156.09258</v>
      </c>
      <c r="Z67" s="3">
        <f>2488+(92.8-107.7)+(-2.53776+(-0.094656--0.109854))+0-61.9--0.0631380000000099</f>
        <v>2408.7405759999997</v>
      </c>
      <c r="AA67" s="3">
        <f>2651+(133.4-300.4)+(-8.11206+(-0.408204--0.919224))+0-71--0.217260000000008</f>
        <v>2405.6162199999999</v>
      </c>
      <c r="AB67" s="3">
        <f>2458.7+(150.9-318.6)+(1.253937+(0.076959-0.162486))+0-21.3-0.0108629999999978</f>
        <v>2270.8575470000001</v>
      </c>
      <c r="AC67" s="3">
        <f>2281.3+(146.7-293.5)+(-1.163463+(-0.074817--0.149685))+0-19.3--0.00984299999999804</f>
        <v>2114.1212479999995</v>
      </c>
      <c r="AD67">
        <f t="shared" si="1"/>
        <v>49384.598616999996</v>
      </c>
      <c r="AE67" s="3">
        <f>2691+(145.7-314)+(0+(0-0))+0-85-0</f>
        <v>2437.6999999999998</v>
      </c>
    </row>
    <row r="68" spans="1:31" s="2" customFormat="1" x14ac:dyDescent="0.25">
      <c r="A68">
        <v>89</v>
      </c>
      <c r="B68">
        <v>3</v>
      </c>
      <c r="C68">
        <v>6</v>
      </c>
      <c r="D68">
        <v>6</v>
      </c>
      <c r="E68">
        <v>1</v>
      </c>
      <c r="F68" s="3">
        <f>2146.9+(103.4-297.3)+(-4.379676+(-0.210936--0.606492))+0-17.9--0.0365159999999992</f>
        <v>1931.1523959999997</v>
      </c>
      <c r="G68" s="3">
        <f>1951.3+(87.1-170.5)+(-0.995163+(-0.044421--0.086955))+0-17.9--0.00912899999999818</f>
        <v>1849.0564999999999</v>
      </c>
      <c r="H68" s="3">
        <f>1945.4+(80.7-192)+(-1.984308+(-0.082314--0.19584))+0-32.4--0.0330480000000052</f>
        <v>1799.8622660000001</v>
      </c>
      <c r="I68" s="3">
        <f>1935.1+(79.4-149.2)+(-5.921406+(-0.242964--0.456552))+0-80.1--0.245106000000009</f>
        <v>1779.737288</v>
      </c>
      <c r="J68" s="3">
        <f>1873.7+(79.2-119.5)+(-2.866761+(-0.121176--0.182835))+0-70.5--0.107865000000004</f>
        <v>1760.202763</v>
      </c>
      <c r="K68" s="3">
        <f>1850.6+(84.5-181.2)+(-7.550448+(-0.34476--0.739296))+0-66.5--0.271319999999994</f>
        <v>1680.515408</v>
      </c>
      <c r="L68" s="3">
        <f>1846.3+(86.6-153.2)+(-1.883226+(-0.088332--0.156264))+0-72.5--0.0739500000000116</f>
        <v>1705.458656</v>
      </c>
      <c r="M68" s="3">
        <f>2012.9+(89.3-174)+(0+(0-0))+0-79.9-0</f>
        <v>1848.3</v>
      </c>
      <c r="N68" s="3">
        <f>2193.6+(98.6-245.3)+(2.237472+(0.100572-0.250206))+0-48.4-0.0493680000000077</f>
        <v>2000.53847</v>
      </c>
      <c r="O68" s="3">
        <f>2272.2+(97.3-251.2)+(-2.317644+(-0.099246--0.256224))+0-31--0.0316200000000049</f>
        <v>2085.1709539999997</v>
      </c>
      <c r="P68" s="3">
        <f>2401.6+(95.6-248.2)+(-1.224816+(-0.048756--0.126582))+0-75.3--0.0384029999999924</f>
        <v>2172.5914129999996</v>
      </c>
      <c r="Q68" s="3">
        <f>2436.9+(79.6-240.7)+(0+(0-0))+0-70-0</f>
        <v>2205.8000000000002</v>
      </c>
      <c r="R68" s="3">
        <f>2462.5+(76.3-260.1)+(-3.767625+(-0.116739--0.397953))+0-69--0.105570000000004</f>
        <v>2206.3191590000001</v>
      </c>
      <c r="S68" s="3">
        <f>2456.1+(77.8-312.1)+(-2.505222+(-0.079356--0.318342))+0-69.1--0.070482000000011</f>
        <v>2150.504246</v>
      </c>
      <c r="T68" s="3">
        <f>2351.7+(77.7-240.8)+(-2.398734+(-0.079254--0.245616))+0-87.3--0.0890460000000139</f>
        <v>2099.1566739999998</v>
      </c>
      <c r="U68" s="3">
        <f>2266.4+(78.1-236.1)+(-2.311728+(-0.079662--0.240822))+0-56.4--0.057528000000009</f>
        <v>2049.9069599999998</v>
      </c>
      <c r="V68" s="3">
        <f>2229.3+(78.1-193.8)+(-1.136943+(-0.039831--0.098838))+0-66.1--0.0337109999999933</f>
        <v>2046.4557750000004</v>
      </c>
      <c r="W68" s="3">
        <f>2273.8+(89.9-257.1)+(-5.79819+(-0.229245--0.655605))+0-61.5--0.156824999999991</f>
        <v>2039.8849950000003</v>
      </c>
      <c r="X68" s="3">
        <f>2243.5+(112.3-262.1)+(-5.720925+(-0.286365--0.668355))+0-70.5--0.17977499999999</f>
        <v>2018.0408399999997</v>
      </c>
      <c r="Y68" s="3">
        <f>2146.9+(145.9-138.5)+(-2.189838+(-0.148818--0.14127))+0-84.1--0.0857820000000134</f>
        <v>2068.0883960000006</v>
      </c>
      <c r="Z68" s="3">
        <f>2497.3+(149.2-224.7)+(-3.820869+(-0.228276--0.343791))+0-76.6--0.117198000000004</f>
        <v>2341.611844</v>
      </c>
      <c r="AA68" s="3">
        <f>2496.4+(148.4-257.3)+(-3.819492+(-0.227052--0.393669))+0-57.8--0.0884340000000033</f>
        <v>2326.1355589999994</v>
      </c>
      <c r="AB68" s="3">
        <f>2384.1+(149.1-243.5)+(-4.863564+(-0.304164--0.49674))+0-90.2--0.184007999999996</f>
        <v>2195.0130200000003</v>
      </c>
      <c r="AC68" s="3">
        <f>2240.4+(147.6-295.1)+(-4.570416+(-0.301104--0.602004))+0-31.2--0.0636479999999986</f>
        <v>2057.4941320000003</v>
      </c>
      <c r="AD68">
        <f t="shared" si="1"/>
        <v>48416.997713999997</v>
      </c>
      <c r="AE68" s="3">
        <f>2543+(147.8-299.3)+(0+(0-0))+0-84.6-0</f>
        <v>2306.9</v>
      </c>
    </row>
    <row r="69" spans="1:31" s="2" customFormat="1" x14ac:dyDescent="0.25">
      <c r="A69">
        <v>89</v>
      </c>
      <c r="B69">
        <v>3</v>
      </c>
      <c r="C69">
        <v>7</v>
      </c>
      <c r="D69">
        <v>7</v>
      </c>
      <c r="E69">
        <v>1</v>
      </c>
      <c r="F69" s="3">
        <f>2053.9+(94.9-194.3)+(4.189956+(0.193596-0.396372))+0-33.6-0.0685439999999985</f>
        <v>1924.8186360000002</v>
      </c>
      <c r="G69" s="3">
        <f>2011.5+(72.4-200.4)+(2.05173+(0.073848-0.204408))+0-67.2-0.0685440000000107</f>
        <v>1818.1526260000001</v>
      </c>
      <c r="H69" s="3">
        <f>1954+(65-181.7)+(1.99308+(0.0663-0.185334))+0-79.8-0.0813960000000127</f>
        <v>1759.2926499999999</v>
      </c>
      <c r="I69" s="3">
        <f>1868.2+(69.9-118.7)+(0+(0-0))+0-80.1-0</f>
        <v>1739.3000000000002</v>
      </c>
      <c r="J69" s="3">
        <f>1900.5+(61.4-169.1)+(1.93851+(0.062628-0.172482))+0-68.4-0.0697680000000109</f>
        <v>1726.1588879999997</v>
      </c>
      <c r="K69" s="3">
        <f>1900.7+(55.4-253.3)+(-2.908071+(-0.084762--0.387549))+0-70--0.107100000000004</f>
        <v>1630.3018159999999</v>
      </c>
      <c r="L69" s="3">
        <f>1812.2+(50.5-187.3)+(-2.772666+(-0.077265--0.286569))+0-69.9--0.106947000000004</f>
        <v>1603.0435849999999</v>
      </c>
      <c r="M69" s="3">
        <f>1844.4+(69-217.8)+(-1.881288+(-0.07038--0.222156))+0-50.9--0.0519180000000081</f>
        <v>1643.022406</v>
      </c>
      <c r="N69" s="3">
        <f>1866+(85.4-153.3)+(-2.85498+(-0.130662--0.234549))+0-88.8--0.135864000000005</f>
        <v>1706.684771</v>
      </c>
      <c r="O69" s="3">
        <f>1986.5+(88.7-191.9)+(-3.039345+(-0.135711--0.293607))+0-76.8--0.117504000000004</f>
        <v>1803.7360550000001</v>
      </c>
      <c r="P69" s="3">
        <f>2108.2+(88.5-238.6)+(0+(0-0))+0-67.2-0</f>
        <v>1890.8999999999999</v>
      </c>
      <c r="Q69" s="3">
        <f>2129.4+(88.3-210.7)+(-1.085994+(-0.045033--0.107457))+0-75.4--0.0384539999999924</f>
        <v>1930.6148839999998</v>
      </c>
      <c r="R69" s="3">
        <f>2164.1+(87.2-236.3)+(0+(0-0))+0-76.7-0</f>
        <v>1938.3</v>
      </c>
      <c r="S69" s="3">
        <f>2154.4+(86.7-236.2)+(-1.098744+(-0.044217--0.120462))+0-70.3--0.0358529999999929</f>
        <v>1933.6133540000003</v>
      </c>
      <c r="T69" s="3">
        <f>2153.6+(89.1-247.7)+(0+(0-0))+0-72.1-0</f>
        <v>1922.9</v>
      </c>
      <c r="U69" s="3">
        <f>2149.1+(88.6-241.2)+(1.096041+(0.045186-0.123012))+0-88.8-0.045287999999991</f>
        <v>1908.6729270000001</v>
      </c>
      <c r="V69" s="3">
        <f>2103.3+(89.2-228.6)+(-6.436098+(-0.272952--0.699516))+0-53.4--0.163404000000006</f>
        <v>1904.6538699999999</v>
      </c>
      <c r="W69" s="3">
        <f>2039.1+(89.4-150.5)+(-6.239646+(-0.273564--0.46053))+0-83.7--0.25612200000001</f>
        <v>1888.5034419999999</v>
      </c>
      <c r="X69" s="3">
        <f>1965.7+(122.8-133.4)+(-4.010028+(-0.250512--0.272136))+0-75.2--0.153407999999997</f>
        <v>1876.065004</v>
      </c>
      <c r="Y69" s="3">
        <f>1978+(148.5-104.1)+(-3.02634+(-0.227205--0.159273))+0-77.4--0.118422000000004</f>
        <v>1942.02415</v>
      </c>
      <c r="Z69" s="3">
        <f>2201.1+(175.8-76.9)+(-3.367683+(-0.268974--0.117657))+0-73.8--0.112914000000004</f>
        <v>2222.7939139999999</v>
      </c>
      <c r="AA69" s="3">
        <f>2277.9+(149.7-81.2)+(-2.323458+(-0.152694--0.082824))+0-83.3--0.0849660000000133</f>
        <v>2260.7916379999997</v>
      </c>
      <c r="AB69" s="3">
        <f>2283.5+(150.2-168)+(-2.32917+(-0.153204--0.17136))+0-72--0.0734400000000115</f>
        <v>2191.4624260000001</v>
      </c>
      <c r="AC69" s="3">
        <f>2225+(150.1-267.1)+(-4.539+(-0.306204--0.544884))+0-41.9--0.0854759999999982</f>
        <v>2061.8851560000003</v>
      </c>
      <c r="AD69">
        <f t="shared" si="1"/>
        <v>45227.692198000004</v>
      </c>
      <c r="AE69" s="3">
        <f>2313+(149.5-214)+(0+(0-0))+0-61.9-0</f>
        <v>2186.6</v>
      </c>
    </row>
    <row r="70" spans="1:31" s="2" customFormat="1" x14ac:dyDescent="0.25">
      <c r="A70">
        <v>89</v>
      </c>
      <c r="B70">
        <v>3</v>
      </c>
      <c r="C70">
        <v>8</v>
      </c>
      <c r="D70">
        <v>1</v>
      </c>
      <c r="E70">
        <v>1</v>
      </c>
      <c r="F70" s="3">
        <f>2092.3+(87.3-176.4)+(-3.201219+(-0.133569--0.269892))+0-90.7--0.138771000000005</f>
        <v>1909.573875</v>
      </c>
      <c r="G70" s="3">
        <f>2049.4+(68.4-268.9)+(-7.316358+(-0.244188--0.959973))+0-43.3--0.154581000000001</f>
        <v>1799.1540080000002</v>
      </c>
      <c r="H70" s="3">
        <f>2072.6+(69.4-293.6)+(-4.228104+(-0.141576--0.598944))+0-88.1--0.179723999999996</f>
        <v>1756.7089880000001</v>
      </c>
      <c r="I70" s="3">
        <f>1934.1+(82.1-228.9)+(-0.986391+(-0.041871--0.116739))+0-53.9--0.0274889999999945</f>
        <v>1732.5159659999999</v>
      </c>
      <c r="J70" s="3">
        <f>1916.9+(79.3-199.5)+(0+(0-0))+0-69.3-0</f>
        <v>1727.4</v>
      </c>
      <c r="K70" s="3">
        <f>1830.9+(86.5-161.9)+(-4.668795+(-0.220575--0.412845))+0-85.6--0.218279999999988</f>
        <v>1665.6417550000001</v>
      </c>
      <c r="L70" s="3">
        <f>1776.4+(73-103.5)+(-0.905964+(-0.03723--0.052785))+0-36.3--0.0185129999999963</f>
        <v>1708.728104</v>
      </c>
      <c r="M70" s="3">
        <f>1977+(75.9-113.2)+(0+(0-0))+0-83.4-0</f>
        <v>1856.3</v>
      </c>
      <c r="N70" s="3">
        <f>2211.7+(95.6-230.4)+(-3.383901+(-0.146268--0.352512))+0-73.1--0.111843000000004</f>
        <v>2000.7341859999995</v>
      </c>
      <c r="O70" s="3">
        <f>2299.4+(96.1-222.4)+(-1.172694+(-0.049011--0.113424))+0-65.6--0.0334559999999933</f>
        <v>2106.4251750000003</v>
      </c>
      <c r="P70" s="3">
        <f>2412.9+(96-223.9)+(0+(0-0))+0-79.2-0</f>
        <v>2205.8000000000002</v>
      </c>
      <c r="Q70" s="3">
        <f>2474.9+(97.2-241.9)+(-1.262199+(-0.049572--0.123369))+0-58.9--0.030038999999994</f>
        <v>2270.1416370000002</v>
      </c>
      <c r="R70" s="3">
        <f>2560+(97.3-276.6)+(0+(0-0))+0-76-0</f>
        <v>2304.6999999999998</v>
      </c>
      <c r="S70" s="3">
        <f>2494.7+(97-259.3)+(1.272297+(0.04947-0.132243))+0-73-0.0372299999999926</f>
        <v>2260.5522939999996</v>
      </c>
      <c r="T70" s="3">
        <f>2462.6+(96.7-298.8)+(0+(0-0))+0-44-0</f>
        <v>2216.5</v>
      </c>
      <c r="U70" s="3">
        <f>2454+(95.1-247.8)+(-1.25154+(-0.048501--0.126378))+0-83.6--0.0426359999999915</f>
        <v>2216.5689730000004</v>
      </c>
      <c r="V70" s="3">
        <f>2465.6+(95.7-280.9)+(-3.772368+(-0.146421--0.429777))+0-65.5--0.100215000000004</f>
        <v>2211.511203</v>
      </c>
      <c r="W70" s="3">
        <f>2442.5+(96.1-265.8)+(-8.719725+(-0.343077--0.948906))+0-68.2--0.243474000000001</f>
        <v>2196.7295780000004</v>
      </c>
      <c r="X70" s="3">
        <f>2373+(120.1-221)+(-6.05115+(-0.306255--0.56355))+0-88.6--0.225929999999987</f>
        <v>2177.9320750000002</v>
      </c>
      <c r="Y70" s="3">
        <f>2312.2+(146.8-167.3)+(-1.179222+(-0.074868--0.085323))+0-71.9--0.0366689999999927</f>
        <v>2218.6679019999997</v>
      </c>
      <c r="Z70" s="3">
        <f>2602.4+(148.9-194.1)+(-1.327224+(-0.075939--0.098991))+0-74.2--0.0378419999999925</f>
        <v>2481.7336700000005</v>
      </c>
      <c r="AA70" s="3">
        <f>2621.9+(149.7-199.8)+(-2.674338+(-0.152694--0.203796))+0-72.7--0.0741540000000116</f>
        <v>2496.5509180000004</v>
      </c>
      <c r="AB70" s="3">
        <f>2531.5+(149.2-220.3)+(-6.455325+(-0.38046--0.561765))+0-90--0.229499999999987</f>
        <v>2364.3554800000002</v>
      </c>
      <c r="AC70" s="3">
        <f>2293.9+(149.6-152.5)+(-4.679556+(-0.305184--0.3111))+0-72.3--0.147491999999997</f>
        <v>2214.1738519999999</v>
      </c>
      <c r="AD70">
        <f t="shared" si="1"/>
        <v>50099.099639</v>
      </c>
      <c r="AE70" s="3">
        <f>2623+(149.7-129)+(0+(0-0))+0-99.7-0</f>
        <v>2544</v>
      </c>
    </row>
    <row r="71" spans="1:31" s="2" customFormat="1" x14ac:dyDescent="0.25">
      <c r="A71">
        <v>89</v>
      </c>
      <c r="B71">
        <v>3</v>
      </c>
      <c r="C71">
        <v>9</v>
      </c>
      <c r="D71">
        <v>2</v>
      </c>
      <c r="E71">
        <v>1</v>
      </c>
      <c r="F71" s="3">
        <f>2105.2+(77.2-116.7)+(-3.220956+(-0.118116--0.178551))+0-56.5--0.0864450000000033</f>
        <v>2006.1259239999999</v>
      </c>
      <c r="G71" s="3">
        <f>1975.4+(50.3-47.2)+(-2.014908+(-0.051306--0.048144))+0-86.2--0.0879240000000137</f>
        <v>1890.3698539999998</v>
      </c>
      <c r="H71" s="3">
        <f>2011.4+(60-183.7)+(-1.025814+(-0.0306--0.093687))+0-54.2--0.0276419999999945</f>
        <v>1832.5649149999999</v>
      </c>
      <c r="I71" s="3">
        <f>1984.4+(68-157.7)+(-4.048176+(-0.13872--0.321708))+0-72.8--0.148511999999997</f>
        <v>1818.1833240000001</v>
      </c>
      <c r="J71" s="3">
        <f>1997+(72.3-189.8)+(-1.01847+(-0.036873--0.096798))+0-80.9--0.0412589999999918</f>
        <v>1797.682714</v>
      </c>
      <c r="K71" s="3">
        <f>1974.6+(85.1-262)+(-3.021138+(-0.130203--0.40086))+0-72--0.110160000000004</f>
        <v>1723.0596789999997</v>
      </c>
      <c r="L71" s="3">
        <f>1865.3+(76.8-124.2)+(-3.805212+(-0.156672--0.253368))+0-65.8--0.134231999999997</f>
        <v>1748.5257159999999</v>
      </c>
      <c r="M71" s="3">
        <f>1887.3+(143.7-61.7)+(0+(0-0))+0-67.3-0</f>
        <v>1902</v>
      </c>
      <c r="N71" s="3">
        <f>2118.1+(98.1-78.8)+(1.080231+(0.050031-0.040188))+0-85.9-0.0438089999999913</f>
        <v>2052.5462650000004</v>
      </c>
      <c r="O71" s="3">
        <f>2306.2+(97.8-152.6)+(-1.176162+(-0.049878--0.077826))+0-58.1--0.0296309999999941</f>
        <v>2192.1814169999998</v>
      </c>
      <c r="P71" s="3">
        <f>2526.2+(86.6-268.2)+(1.288362+(0.044166-0.136782))+0-67-0.0341699999999932</f>
        <v>2278.7615759999999</v>
      </c>
      <c r="Q71" s="3">
        <f>2554.4+(106-221.9)+(0+(0-0))+0-81-0</f>
        <v>2357.5</v>
      </c>
      <c r="R71" s="3">
        <f>2541.1+(105.7-176.3)+(-2.591922+(-0.107814--0.179826))+0-74.8--0.0762960000000119</f>
        <v>2393.256386</v>
      </c>
      <c r="S71" s="3">
        <f>2549.5+(105.6-260.2)+(-2.60049+(-0.107712--0.265404))+0-66.4--0.0677280000000106</f>
        <v>2326.1249299999999</v>
      </c>
      <c r="T71" s="3">
        <f>2548.4+(105.9-279)+(0+(0-0))+0-75.1-0</f>
        <v>2300.2000000000003</v>
      </c>
      <c r="U71" s="3">
        <f>2518.2+(106.5-256.5)+(1.284282+(0.054315-0.130815))+0-70.1-0.0357509999999929</f>
        <v>2299.272031</v>
      </c>
      <c r="V71" s="3">
        <f>2464.4+(106.9-215.7)+(-3.770532+(-0.163557--0.330021))+0-84--0.128520000000005</f>
        <v>2268.124452</v>
      </c>
      <c r="W71" s="3">
        <f>2476.3+(107.3-297.8)+(-3.788739+(-0.164169--0.455634))+0-24.7--0.0377910000000014</f>
        <v>2257.6405170000007</v>
      </c>
      <c r="X71" s="3">
        <f>2438.1+(124.5-224.8)+(-9.947448+(-0.50796--0.917184))+0-92.7--0.378215999999992</f>
        <v>2235.9399920000001</v>
      </c>
      <c r="Y71" s="3">
        <f>2281.6+(148-76.9)+(-1.163616+(-0.07548--0.039219))+0-69.5--0.0354449999999929</f>
        <v>2282.0355679999998</v>
      </c>
      <c r="Z71" s="3">
        <f>2600.9+(148.5-173.6)+(0+(0-0))+0-70.4-0</f>
        <v>2505.4</v>
      </c>
      <c r="AA71" s="3">
        <f>2696.9+(150.1-241.4)+(-4.126257+(-0.229653--0.369342))+0-83.2--0.127296000000005</f>
        <v>2518.5407280000004</v>
      </c>
      <c r="AB71" s="3">
        <f>2579.4+(150.2-265.2)+(-3.946482+(-0.229806--0.405756))+0-85.7--0.131121000000005</f>
        <v>2375.0605890000002</v>
      </c>
      <c r="AC71" s="3">
        <f>2318+(150.8-201.4)+(-5.9109+(-0.38454--0.51357))+0-59.2--0.150959999999991</f>
        <v>2202.5690900000004</v>
      </c>
      <c r="AD71">
        <f t="shared" si="1"/>
        <v>51563.665667000001</v>
      </c>
      <c r="AE71" s="3">
        <f>2701+(151.4-254.1)+(0+(0-0))+0-99-0</f>
        <v>2499.3000000000002</v>
      </c>
    </row>
    <row r="72" spans="1:31" s="2" customFormat="1" x14ac:dyDescent="0.25">
      <c r="A72">
        <v>89</v>
      </c>
      <c r="B72">
        <v>3</v>
      </c>
      <c r="C72">
        <v>10</v>
      </c>
      <c r="D72">
        <v>3</v>
      </c>
      <c r="E72">
        <v>1</v>
      </c>
      <c r="F72" s="3">
        <f>2187.7+(84.8-157.1)+(-1.115727+(-0.043248--0.080121))+0-77.1--0.0393209999999922</f>
        <v>2037.2604669999998</v>
      </c>
      <c r="G72" s="3">
        <f>2099+(58.3-128.9)+(-2.14098+(-0.059466--0.131478))+0-79.9--0.0814980000000127</f>
        <v>1946.51253</v>
      </c>
      <c r="H72" s="3">
        <f>2067+(53-165.3)+(0+(0-0))+0-69.9-0</f>
        <v>1884.8</v>
      </c>
      <c r="I72" s="3">
        <f>2051.2+(61.4-176.1)+(-3.138336+(-0.093942--0.269433))+0-66.2--0.101286000000004</f>
        <v>1867.4384409999998</v>
      </c>
      <c r="J72" s="3">
        <f>2052.3+(59.3-180)+(-3.140019+(-0.090729--0.2754))+0-73.9--0.113067000000004</f>
        <v>1854.8577190000001</v>
      </c>
      <c r="K72" s="3">
        <f>2033.7+(57-216.8)+(-2.074374+(-0.05814--0.221136))+0-86.1--0.0878220000000137</f>
        <v>1785.9764440000001</v>
      </c>
      <c r="L72" s="3">
        <f>2008.3+(49.5-200.7)+(0+(0-0))+0-68.6-0</f>
        <v>1788.5</v>
      </c>
      <c r="M72" s="3">
        <f>2090.2+(57-137.5)+(1.066002+(0.02907-0.070125))+0-58.6-0.0298859999999941</f>
        <v>1952.095061</v>
      </c>
      <c r="N72" s="3">
        <f>2282+(94.8-189.2)+(2.32764+(0.096696-0.192984))+0-78.5-0.0800700000000125</f>
        <v>2111.2512819999997</v>
      </c>
      <c r="O72" s="3">
        <f>2396.8+(106.4-181.6)+(0+(0-0))+0-80.9-0</f>
        <v>2240.7000000000003</v>
      </c>
      <c r="P72" s="3">
        <f>2470+(127.1-209.2)+(1.2597+(0.064821-0.106692))+0-72.1-0.0367709999999927</f>
        <v>2316.9810580000003</v>
      </c>
      <c r="Q72" s="3">
        <f>2514.1+(142.7-214.8)+(1.282191+(0.072777-0.109548))+0-61.8-0.0315179999999937</f>
        <v>2381.4139020000002</v>
      </c>
      <c r="R72" s="3">
        <f>2523.3+(142.1-166.6)+(-2.573766+(-0.144942--0.169932))+0-84.5--0.0861900000000135</f>
        <v>2411.8374140000001</v>
      </c>
      <c r="S72" s="3">
        <f>2546.4+(140.1-280.2)+(-2.597328+(-0.142902--0.285804))+0-42.4--0.0432480000000068</f>
        <v>2361.4888220000003</v>
      </c>
      <c r="T72" s="3">
        <f>2526.6+(138.9-259.6)+(-1.288566+(-0.070839--0.132396))+0-71--0.0362099999999928</f>
        <v>2333.7092010000001</v>
      </c>
      <c r="U72" s="3">
        <f>2518.8+(139-279.4)+(-2.569176+(-0.14178--0.284988))+0-66.3--0.0676260000000106</f>
        <v>2309.7416579999999</v>
      </c>
      <c r="V72" s="3">
        <f>2522.8+(140.2-305.9)+(-5.146512+(-0.286008--0.624036))+0-69--0.140759999999997</f>
        <v>2283.432276</v>
      </c>
      <c r="W72" s="3">
        <f>2490.6+(142.6-263.9)+(-7.621236+(-0.436356--0.807534))+0-75--0.229500000000009</f>
        <v>2287.2794419999996</v>
      </c>
      <c r="X72" s="3">
        <f>2451.3+(147.7-250.2)+(-6.250815+(-0.376635--0.63801))+0-85.1--0.217004999999988</f>
        <v>2257.9275650000004</v>
      </c>
      <c r="Y72" s="3">
        <f>2379.4+(148.3-182.2)+(-2.426988+(-0.151266--0.185844))+0-49.8--0.0507960000000079</f>
        <v>2293.3583859999999</v>
      </c>
      <c r="Z72" s="3">
        <f>2612.5+(148.2-206.5)+(-2.66475+(-0.151164--0.21063))+0-73.3--0.0747660000000117</f>
        <v>2478.3694819999996</v>
      </c>
      <c r="AA72" s="3">
        <f>2647.5+(147.9-230.2)+(-1.350225+(-0.075429--0.117402))+0-91.3--0.0465629999999907</f>
        <v>2472.6383109999997</v>
      </c>
      <c r="AB72" s="3">
        <f>2517.3+(148-235.7)+(-2.567646+(-0.15096--0.240414))+0-79.6--0.0811920000000127</f>
        <v>2347.6030000000005</v>
      </c>
      <c r="AC72" s="3">
        <f>2337.7+(149-167.4)+(-3.576681+(-0.22797--0.256122))+0-77.2--0.118116000000004</f>
        <v>2238.6695869999999</v>
      </c>
      <c r="AD72">
        <f t="shared" si="1"/>
        <v>52243.842048000006</v>
      </c>
      <c r="AE72" s="3">
        <f>2694+(148-269.4)+(0+(0-0))+0-90-0</f>
        <v>2482.6</v>
      </c>
    </row>
    <row r="73" spans="1:31" s="2" customFormat="1" x14ac:dyDescent="0.25">
      <c r="A73">
        <v>89</v>
      </c>
      <c r="B73">
        <v>3</v>
      </c>
      <c r="C73">
        <v>11</v>
      </c>
      <c r="D73">
        <v>4</v>
      </c>
      <c r="E73">
        <v>1</v>
      </c>
      <c r="F73" s="3">
        <f>2279.5+(72.8-259.4)+(-5.812725+(-0.18564--0.66147))+0-67.2--0.17135999999999</f>
        <v>2020.5344650000002</v>
      </c>
      <c r="G73" s="3">
        <f>2113.6+(59-186.7)+(-3.233808+(-0.09027--0.285651))+0-77--0.117810000000004</f>
        <v>1905.9793829999999</v>
      </c>
      <c r="H73" s="3">
        <f>1956.5+(58.5-87.2)+(-2.993445+(-0.089505--0.133416))+0-87.8--0.134334000000005</f>
        <v>1837.1848</v>
      </c>
      <c r="I73" s="3">
        <f>1821.6+(124.6-43.3)+(0+(0-0))+0-64.8-0</f>
        <v>1838.1</v>
      </c>
      <c r="J73" s="3">
        <f>1823.6+(112.5-48.4)+(0.930036+(0.057375-0.024684))+0-69.7-0.0355469999999929</f>
        <v>1818.9271799999999</v>
      </c>
      <c r="K73" s="3">
        <f>1812.5+(80.1-82.5)+(-5.54625+(-0.245106--0.25245))+0-84.6--0.25887600000001</f>
        <v>1720.2199700000001</v>
      </c>
      <c r="L73" s="3">
        <f>1778.4+(62.7-77.9)+(-0.906984+(-0.031977--0.039729))+0-14.9--0.00759899999999849</f>
        <v>1747.408367</v>
      </c>
      <c r="M73" s="3">
        <f>1990.8+(72.9-150.6)+(-4.061232+(-0.148716--0.307224))+0-12.9--0.0263159999999994</f>
        <v>1896.3235919999997</v>
      </c>
      <c r="N73" s="3">
        <f>2163.7+(88.2-194.5)+(1.103487+(0.044982-0.099195))+0-8.9-0.0045389999999991</f>
        <v>2049.5447349999995</v>
      </c>
      <c r="O73" s="3">
        <f>2268.6+(95.9-188.8)+(1.156986+(0.048909-0.096288))+0-9.8-0.00499799999999901</f>
        <v>2167.0046089999996</v>
      </c>
      <c r="P73" s="3">
        <f>2413.8+(95.2-221.3)+(-2.462076+(-0.097104--0.225726))+0-9.9--0.0100980000000016</f>
        <v>2275.4766440000003</v>
      </c>
      <c r="Q73" s="3">
        <f>2510.3+(95.3-250)+(-1.280253+(-0.048603--0.1275))+0-9.1--0.00464099999999908</f>
        <v>2345.3032850000004</v>
      </c>
      <c r="R73" s="3">
        <f>2586.4+(95.7-302.4)+(1.319064+(0.048807-0.154224))+0-8.5-0.00433499999999914</f>
        <v>2372.4093120000002</v>
      </c>
      <c r="S73" s="3">
        <f>2585.3+(96.4-334.6)+(-1.318503+(-0.049164--0.170646))+0-22.5--0.0114749999999977</f>
        <v>2323.4144540000002</v>
      </c>
      <c r="T73" s="3">
        <f>2602+(96.2-321.2)+(2.65404+(0.098124-0.327624))+0-0-0</f>
        <v>2379.42454</v>
      </c>
      <c r="U73" s="3">
        <f>2463+(96.5-276.3)+(-3.76839+(-0.147645--0.422739))+0-0-0</f>
        <v>2279.7067039999997</v>
      </c>
      <c r="V73" s="3">
        <f>2407.4+(96.8-256.3)+(-2.455548+(-0.098736--0.261426))+0-61.2--0.0624240000000098</f>
        <v>2184.4695660000007</v>
      </c>
      <c r="W73" s="3">
        <f>2402.7+(96.8-251.1)+(-6.126885+(-0.24684--0.640305))+0-78.3--0.199664999999989</f>
        <v>2164.5662449999995</v>
      </c>
      <c r="X73" s="3">
        <f>2343.9+(119.6-247.3)+(-5.976945+(-0.30498--0.630615))+0-65.2--0.166259999999991</f>
        <v>2145.5149500000002</v>
      </c>
      <c r="Y73" s="3">
        <f>2310+(147.8-202.7)+(-1.1781+(-0.075378--0.103377))+0-63.3--0.0322829999999936</f>
        <v>2190.6821819999996</v>
      </c>
      <c r="Z73" s="3">
        <f>2668.6+(147.5-319.9)+(-2.721972+(-0.15045--0.326298))+0-68.8--0.070176000000011</f>
        <v>2424.9240519999998</v>
      </c>
      <c r="AA73" s="3">
        <f>2655+(147.4-311.8)+(-1.35405+(-0.075174--0.159018))+0-80--0.0407999999999919</f>
        <v>2409.370594</v>
      </c>
      <c r="AB73" s="3">
        <f>2487.5+(147.5-287.8)+(-1.268625+(-0.075225--0.146778))+0-57.1--0.0291209999999942</f>
        <v>2288.932049</v>
      </c>
      <c r="AC73" s="3">
        <f>2236.7+(147.3-211.7)+(-4.562868+(-0.300492--0.431868))+0-40.9--0.0834359999999982</f>
        <v>2127.0519439999994</v>
      </c>
      <c r="AD73">
        <f t="shared" si="1"/>
        <v>50912.473621999998</v>
      </c>
      <c r="AE73" s="3">
        <f>2666+(147.2-290.8)+(0+(0-0))+0-82.8-0</f>
        <v>2439.6</v>
      </c>
    </row>
    <row r="74" spans="1:31" s="2" customFormat="1" x14ac:dyDescent="0.25">
      <c r="A74">
        <v>89</v>
      </c>
      <c r="B74">
        <v>3</v>
      </c>
      <c r="C74">
        <v>12</v>
      </c>
      <c r="D74">
        <v>5</v>
      </c>
      <c r="E74">
        <v>1</v>
      </c>
      <c r="F74" s="3">
        <f>2110.5+(97.9-152.8)+(-1.076355+(-0.049929--0.077928))+0-85.2--0.0434519999999914</f>
        <v>1969.395096</v>
      </c>
      <c r="G74" s="3">
        <f>2065+(80.4-209.6)+(-2.1063+(-0.082008--0.213792))+0-68.4--0.0697680000000109</f>
        <v>1865.4952519999999</v>
      </c>
      <c r="H74" s="3">
        <f>2013+(81.8-199.3)+(-1.02663+(-0.041718--0.101643))+0-65--0.0331499999999934</f>
        <v>1829.5664449999999</v>
      </c>
      <c r="I74" s="3">
        <f>1980.3+(82.4-193.1)+(-4.039812+(-0.168096--0.393924))+0-63--0.128519999999997</f>
        <v>1802.914536</v>
      </c>
      <c r="J74" s="3">
        <f>1954.2+(70.7-215.9)+(0.996642+(0.036057-0.110109))+0-16.1-0.00821099999999837</f>
        <v>1793.8143789999999</v>
      </c>
      <c r="K74" s="3">
        <f>1898.9+(84.5-191.2)+(-3.873756+(-0.17238--0.390048))+0-74.1--0.151163999999997</f>
        <v>1714.5950760000003</v>
      </c>
      <c r="L74" s="3">
        <f>1844.9+(81.3-106.4)+(-3.763596+(-0.165852--0.217056))+0-84.2--0.171767999999996</f>
        <v>1732.0593760000002</v>
      </c>
      <c r="M74" s="3">
        <f>2074.4+(62.8-181.3)+(1.057944+(0.032028-0.092463))+0-72.6-0.0370259999999926</f>
        <v>1884.2604830000002</v>
      </c>
      <c r="N74" s="3">
        <f>2255.9+(91.2-252.5)+(-3.451527+(-0.139536--0.386325))+0-67.5--0.103275000000004</f>
        <v>2023.9985369999999</v>
      </c>
      <c r="O74" s="3">
        <f>2282.7+(94.8-164.5)+(-2.328354+(-0.096696--0.16779))+0-66.8--0.0681360000000106</f>
        <v>2144.0108759999998</v>
      </c>
      <c r="P74" s="3">
        <f>2429.5+(95.2-240.5)+(0+(0-0))+0-67.8-0</f>
        <v>2216.3999999999996</v>
      </c>
      <c r="Q74" s="3">
        <f>2529.9+(96.6-283)+(1.290249+(0.049266-0.14433))+0-65.6-0.0334559999999933</f>
        <v>2279.061729</v>
      </c>
      <c r="R74" s="3">
        <f>2524.9+(96.7-284.6)+(2.575398+(0.098634-0.290292))+0-55.7-0.0568140000000089</f>
        <v>2283.6269260000004</v>
      </c>
      <c r="S74" s="3">
        <f>2500.8+(96.4-258.3)+(-1.275408+(-0.049164--0.131733))+0-69.7--0.0355469999999929</f>
        <v>2268.0427080000004</v>
      </c>
      <c r="T74" s="3">
        <f>2481.9+(95.6-292.9)+(-3.797307+(-0.146268--0.448137))+0-60.3--0.0922590000000035</f>
        <v>2220.8968209999998</v>
      </c>
      <c r="U74" s="3">
        <f>2492.7+(97-319.8)+(0+(0-0))+0-75.4-0</f>
        <v>2194.4999999999995</v>
      </c>
      <c r="V74" s="3">
        <f>2491.4+(97.4-320.4)+(-1.270614+(-0.049674--0.163404))+0-71.9--0.0366689999999927</f>
        <v>2195.3797850000001</v>
      </c>
      <c r="W74" s="3">
        <f>2463.3+(96.6-293.3)+(-2.512566+(-0.098532--0.299166))+0-86.4--0.0881280000000138</f>
        <v>2177.9761960000001</v>
      </c>
      <c r="X74" s="3">
        <f>2332.3+(105.1-229.3)+(-3.568419+(-0.160803--0.350829))+0-66.9--0.102357000000004</f>
        <v>2137.9239640000005</v>
      </c>
      <c r="Y74" s="3">
        <f>2271.8+(145.4-190)+(0+(0-0))+0-57.6-0</f>
        <v>2169.6000000000004</v>
      </c>
      <c r="Z74" s="3">
        <f>2550.8+(149.3-202.7)+(0+(0-0))+0-76.4-0</f>
        <v>2421</v>
      </c>
      <c r="AA74" s="3">
        <f>2595.1+(149.6-243.7)+(-2.647002+(-0.152592--0.248574))+0-84--0.0856800000000134</f>
        <v>2414.5346600000003</v>
      </c>
      <c r="AB74" s="3">
        <f>2496.4+(149.8-262.9)+(-2.546328+(-0.152796--0.268158))+0-67.6--0.0689520000000108</f>
        <v>2313.3379860000005</v>
      </c>
      <c r="AC74" s="3">
        <f>2287.2+(150.5-210.3)+(-3.499416+(-0.230265--0.321759))+0-74.5--0.113985000000004</f>
        <v>2149.6060629999997</v>
      </c>
      <c r="AD74">
        <f t="shared" si="1"/>
        <v>50201.996893999996</v>
      </c>
      <c r="AE74" s="3">
        <f>2596+(149.9-275.4)+(0+(0-0))+0-90.7-0</f>
        <v>2379.8000000000002</v>
      </c>
    </row>
    <row r="75" spans="1:31" s="2" customFormat="1" x14ac:dyDescent="0.25">
      <c r="A75">
        <v>89</v>
      </c>
      <c r="B75">
        <v>3</v>
      </c>
      <c r="C75">
        <v>13</v>
      </c>
      <c r="D75">
        <v>6</v>
      </c>
      <c r="E75">
        <v>1</v>
      </c>
      <c r="F75" s="3">
        <f>2142.5+(93.7-191.7)+(0+(0-0))+0-69.6-0</f>
        <v>1974.9</v>
      </c>
      <c r="G75" s="3">
        <f>2153.3+(61-258.9)+(-1.098183+(-0.03111--0.132039))+0-75.9--0.0387089999999923</f>
        <v>1878.5414549999998</v>
      </c>
      <c r="H75" s="3">
        <f>2107.8+(68.6-271.4)+(-2.149956+(-0.069972--0.276828))+0-82.2--0.0838440000000131</f>
        <v>1820.9407440000002</v>
      </c>
      <c r="I75" s="3">
        <f>1956.7+(75.7-171.3)+(-1.995834+(-0.077214--0.174726))+0-68--0.0693600000000108</f>
        <v>1791.2710380000001</v>
      </c>
      <c r="J75" s="3">
        <f>1932.1+(71.1-152.9)+(-1.970742+(-0.072522--0.155958))+0-70.2--0.0716040000000112</f>
        <v>1778.2842979999998</v>
      </c>
      <c r="K75" s="3">
        <f>1902.8+(73-204.2)+(-1.940856+(-0.07446--0.208284))+0-71.7--0.0731340000000114</f>
        <v>1698.1661019999999</v>
      </c>
      <c r="L75" s="3">
        <f>1826.8+(63.3-90.6)+(-0.931668+(-0.032283--0.046206))+0-90.2--0.0460019999999908</f>
        <v>1708.428257</v>
      </c>
      <c r="M75" s="3">
        <f>1963.2+(63-126)+(0+(0-0))+0-74.4-0</f>
        <v>1825.8</v>
      </c>
      <c r="N75" s="3">
        <f>2158.9+(95-232.3)+(2.202078+(0.0969-0.236946))+0-46-0.0469200000000073</f>
        <v>1977.6151120000002</v>
      </c>
      <c r="O75" s="3">
        <f>2275.8+(96.8-192.3)+(-1.160658+(-0.049368--0.098073))+0-89.1--0.045440999999991</f>
        <v>2090.1334880000004</v>
      </c>
      <c r="P75" s="3">
        <f>2380.4+(95.5-237.2)+(0+(0-0))+0-68.2-0</f>
        <v>2170.5000000000005</v>
      </c>
      <c r="Q75" s="3">
        <f>2469.7+(87.9-292.8)+(2.519094+(0.089658-0.298656))+0-61.4-0.0626280000000098</f>
        <v>2205.6474679999997</v>
      </c>
      <c r="R75" s="3">
        <f>2504.2+(75.9-295.9)+(0+(0-0))+0-73.3-0</f>
        <v>2210.8999999999996</v>
      </c>
      <c r="S75" s="3">
        <f>2449.1+(76.4-287.5)+(-2.498082+(-0.077928--0.29325))+0-78.5--0.0800700000000125</f>
        <v>2157.2973099999999</v>
      </c>
      <c r="T75" s="3">
        <f>2368.8+(76.9-227.9)+(-2.416176+(-0.078438--0.232458))+0-90.2--0.0920040000000144</f>
        <v>2125.4298480000007</v>
      </c>
      <c r="U75" s="3">
        <f>2360.7+(76.8-271.8)+(-1.203957+(-0.039168--0.138618))+0-54.1--0.0275909999999945</f>
        <v>2110.5230839999999</v>
      </c>
      <c r="V75" s="3">
        <f>2333.4+(87.4-259.8)+(-5.95017+(-0.22287--0.66249))+0-70.3--0.17926499999999</f>
        <v>2085.3687150000001</v>
      </c>
      <c r="W75" s="3">
        <f>2302.1+(107-255.6)+(-5.870355+(-0.27285--0.65178))+0-86.4--0.220319999999987</f>
        <v>2061.8288949999996</v>
      </c>
      <c r="X75" s="3">
        <f>2185.5+(116-216.5)+(-4.45842+(-0.23664--0.44166))+0-56.3--0.114851999999998</f>
        <v>2024.5614519999999</v>
      </c>
      <c r="Y75" s="3">
        <f>2168.7+(143.3-196.4)+(0+(0-0))+0-66.5-0</f>
        <v>2049.1</v>
      </c>
      <c r="Z75" s="3">
        <f>2435+(142.2-180.3)+(-3.72555+(-0.217566--0.275859))+0-81.5--0.124695000000005</f>
        <v>2311.857438</v>
      </c>
      <c r="AA75" s="3">
        <f>2473.6+(143.6-213.1)+(-3.784608+(-0.219708--0.326043))+0-73.1--0.111843000000004</f>
        <v>2327.4335700000001</v>
      </c>
      <c r="AB75" s="3">
        <f>2435.4+(143.9-278.4)+(-1.242054+(-0.073389--0.141984))+0-70.8--0.0361079999999928</f>
        <v>2228.9626489999996</v>
      </c>
      <c r="AC75" s="3">
        <f>2323.4+(142.8-276.2)+(-3.554802+(-0.218484--0.422586))+0-70.4--0.107712000000004</f>
        <v>2116.3570119999999</v>
      </c>
      <c r="AD75">
        <f t="shared" si="1"/>
        <v>48729.847934999998</v>
      </c>
      <c r="AE75" s="3">
        <f>2484+(144-132)+(0+(0-0))+0-95-0</f>
        <v>2401</v>
      </c>
    </row>
    <row r="76" spans="1:31" s="2" customFormat="1" x14ac:dyDescent="0.25">
      <c r="A76">
        <v>89</v>
      </c>
      <c r="B76">
        <v>3</v>
      </c>
      <c r="C76">
        <v>14</v>
      </c>
      <c r="D76">
        <v>7</v>
      </c>
      <c r="E76">
        <v>4</v>
      </c>
      <c r="F76" s="3">
        <f>2187.3+(84.8-208.8)+(0+(0-0))+0-86.2-0</f>
        <v>1977.1000000000001</v>
      </c>
      <c r="G76" s="3">
        <f>2138.6+(55.6-246.8)+(-1.090686+(-0.028356--0.125868))+0-80.8--0.0412079999999918</f>
        <v>1865.6480340000001</v>
      </c>
      <c r="H76" s="3">
        <f>1998.8+(67.4-227.5)+(2.038776+(0.068748-0.23205))+0-51.5-0.0525300000000082</f>
        <v>1789.0229440000001</v>
      </c>
      <c r="I76" s="3">
        <f>1964.4+(69.9-200)+(-2.003688+(-0.071298--0.204))+0-73.6--0.0750720000000117</f>
        <v>1758.9040860000005</v>
      </c>
      <c r="J76" s="3">
        <f>1975.9+(62.3-223.2)+(0+(0-0))+0-77.6-0</f>
        <v>1737.4</v>
      </c>
      <c r="K76" s="3">
        <f>1939.6+(66.7-276.2)+(0+(0-0))+0-91.9-0</f>
        <v>1638.1999999999998</v>
      </c>
      <c r="L76" s="3">
        <f>1884.5+(48.8-243.3)+(0+(0-0))+0-73-0</f>
        <v>1617</v>
      </c>
      <c r="M76" s="3">
        <f>1861.7+(40.4-194.3)+(-2.848401+(-0.061812--0.297279))+0-67.2--0.102816000000004</f>
        <v>1638.089882</v>
      </c>
      <c r="N76" s="3">
        <f>1865+(93.8-181)+(-1.9023+(-0.095676--0.18462))+0-75.4--0.076908000000012</f>
        <v>1700.6635519999998</v>
      </c>
      <c r="O76" s="3">
        <f>1870.1+(99.4-124.9)+(-0.953751+(-0.050694--0.063699))+0-75.5--0.0385049999999923</f>
        <v>1768.1977589999999</v>
      </c>
      <c r="P76" s="3">
        <f>1947.4+(99-168.8)+(0.993174+(0.05049-0.086088))+0-47.1-0.0240209999999952</f>
        <v>1831.4335550000003</v>
      </c>
      <c r="Q76" s="3">
        <f>2151+(98.5-287.7)+(0+(0-0))+0-64.5-0</f>
        <v>1897.3</v>
      </c>
      <c r="R76" s="3">
        <f>2154.6+(97.8-247.9)+(-2.197692+(-0.099756--0.252858))+0-83.9--0.0855780000000134</f>
        <v>1918.6409879999999</v>
      </c>
      <c r="S76" s="3">
        <f>2148.6+(98-263.4)+(-2.191572+(-0.09996--0.268668))+0-71.1--0.0725220000000113</f>
        <v>1910.1496579999998</v>
      </c>
      <c r="T76" s="3">
        <f>2139.5+(97.6-271.3)+(-2.18229+(-0.099552--0.276726))+0-73--0.0744600000000116</f>
        <v>1890.869344</v>
      </c>
      <c r="U76" s="3">
        <f>2120+(98.1-286.5)+(-2.1624+(-0.100062--0.29223))+0-53.7--0.0547740000000086</f>
        <v>1875.9845419999999</v>
      </c>
      <c r="V76" s="3">
        <f>2072.8+(98.8-230)+(-2.114256+(-0.100776--0.2346))+0-73.3--0.0747660000000117</f>
        <v>1866.3943340000001</v>
      </c>
      <c r="W76" s="3">
        <f>2054.2+(100.1-225.7)+(-3.142926+(-0.153153--0.345321))+0-69.5--0.106335000000004</f>
        <v>1856.2555769999999</v>
      </c>
      <c r="X76" s="3">
        <f>2003.2+(125.1-207.6)+(-2.043264+(-0.127602--0.211752))+0-69.7--0.0710940000000111</f>
        <v>1849.1119799999999</v>
      </c>
      <c r="Y76" s="3">
        <f>2009.9+(142.2-182.1)+(-1.025049+(-0.072522--0.092871))+0-80.5--0.0410549999999918</f>
        <v>1888.536355</v>
      </c>
      <c r="Z76" s="3">
        <f>2336.6+(143.4-241.6)+(-1.191666+(-0.073134--0.123216))+0-82--0.0418199999999917</f>
        <v>2155.300236</v>
      </c>
      <c r="AA76" s="3">
        <f>2390.9+(141.1-245.5)+(-1.219359+(-0.071961--0.125205))+0-77--0.0392699999999922</f>
        <v>2208.3731550000002</v>
      </c>
      <c r="AB76" s="3">
        <f>2360.6+(142.3-282.2)+(-3.611718+(-0.217719--0.431766))+0-73--0.111690000000004</f>
        <v>2144.4140189999998</v>
      </c>
      <c r="AC76" s="3">
        <f>2202.2+(142.2-267)+(-2.246244+(-0.145044--0.27234))+0-34.2--0.0348840000000055</f>
        <v>2041.1159359999997</v>
      </c>
      <c r="AD76">
        <f t="shared" si="1"/>
        <v>44824.105935999993</v>
      </c>
      <c r="AE76" s="3">
        <f>2444+(141-260.5)+(0+(0-0))+0-97.5-0</f>
        <v>2227</v>
      </c>
    </row>
    <row r="77" spans="1:31" s="2" customFormat="1" x14ac:dyDescent="0.25">
      <c r="A77">
        <v>89</v>
      </c>
      <c r="B77">
        <v>3</v>
      </c>
      <c r="C77">
        <v>15</v>
      </c>
      <c r="D77">
        <v>1</v>
      </c>
      <c r="E77">
        <v>4</v>
      </c>
      <c r="F77" s="3">
        <f>2010.5+(80.5-162.1)+(-3.076065+(-0.123165--0.248013))+0-52.7--0.080631000000003</f>
        <v>1873.329414</v>
      </c>
      <c r="G77" s="3">
        <f>1965.5+(64.9-189)+(0+(0-0))+0-66.9-0</f>
        <v>1774.5</v>
      </c>
      <c r="H77" s="3">
        <f>1981.2+(67.3-238.9)+(2.020824+(0.068646-0.243678))+0-83.5-0.0851700000000133</f>
        <v>1727.8606219999999</v>
      </c>
      <c r="I77" s="3">
        <f>1919.8+(62.2-235.1)+(-1.958196+(-0.063444--0.239802))+0-52.5--0.0535500000000084</f>
        <v>1692.6717120000001</v>
      </c>
      <c r="J77" s="3">
        <f>1903.1+(79.1-239.5)+(0+(0-0))+0-72.3-0</f>
        <v>1670.3999999999999</v>
      </c>
      <c r="K77" s="3">
        <f>1832.8+(83.8-245.9)+(-3.738912+(-0.170952--0.501636))+0-79.2--0.161567999999997</f>
        <v>1588.2533399999998</v>
      </c>
      <c r="L77" s="3">
        <f>1815.4+(70.4-229.1)+(-1.851708+(-0.071808--0.233682))+0-67.6--0.0689520000000108</f>
        <v>1587.4791180000002</v>
      </c>
      <c r="M77" s="3">
        <f>1834.8+(64.3-217.3)+(0+(0-0))+0-25.5-0</f>
        <v>1656.3</v>
      </c>
      <c r="N77" s="3">
        <f>1945.7+(98.7-257.2)+(0.992307+(0.050337-0.131172))+0-18.2-0.00928199999999815</f>
        <v>1769.90219</v>
      </c>
      <c r="O77" s="3">
        <f>2109.5+(98.7-253.8)+(1.075845+(0.050337-0.129438))+0-86.1-0.0439109999999913</f>
        <v>1869.2528330000002</v>
      </c>
      <c r="P77" s="3">
        <f>2189.5+(98.1-240.2)+(3.349935+(0.150093-0.367506))+0-73.5-0.112455000000004</f>
        <v>1976.920067</v>
      </c>
      <c r="Q77" s="3">
        <f>2269.4+(97.4-258.6)+(2.314788+(0.099348-0.263772))+0-62.7-0.06395400000001</f>
        <v>2047.5864100000003</v>
      </c>
      <c r="R77" s="3">
        <f>2333.1+(97-294.6)+(0+(0-0))+0-73.4-0</f>
        <v>2062.1</v>
      </c>
      <c r="S77" s="3">
        <f>2236.4+(97.9-272.8)+(-1.140564+(-0.049929--0.139128))+0-54.9--0.0279989999999944</f>
        <v>2005.576634</v>
      </c>
      <c r="T77" s="3">
        <f>2265.9+(98.1-269.1)+(0+(0-0))+0-71.8-0</f>
        <v>2023.1000000000001</v>
      </c>
      <c r="U77" s="3">
        <f>2242.2+(97.7-240.8)+(-2.287044+(-0.099654--0.245616))+0-92.1--0.0939420000000147</f>
        <v>2004.9528599999999</v>
      </c>
      <c r="V77" s="3">
        <f>2214.8+(97.9-282.6)+(-1.129548+(-0.049929--0.144126))+0-39.5--0.020144999999996</f>
        <v>1989.5847940000001</v>
      </c>
      <c r="W77" s="3">
        <f>2185.8+(98.6-205.9)+(-5.57379+(-0.25143--0.525045))+0-79.6--0.202979999999988</f>
        <v>1993.8028050000003</v>
      </c>
      <c r="X77" s="3">
        <f>2173+(115.2-250.5)+(-3.32469+(-0.176256--0.383265))+0-75.7--0.115821000000004</f>
        <v>1958.9981400000001</v>
      </c>
      <c r="Y77" s="3">
        <f>2158.3+(144.2-253.9)+(-6.604398+(-0.441252--0.776934))+0-59.5--0.182070000000007</f>
        <v>1983.0133540000004</v>
      </c>
      <c r="Z77" s="3">
        <f>2392.2+(144.7-173.2)+(-1.220022+(-0.073797--0.088332))+0-75.6--0.0385559999999923</f>
        <v>2286.9330689999997</v>
      </c>
      <c r="AA77" s="3">
        <f>2443.4+(144.4-201.6)+(-6.23067+(-0.36822--0.51408))+0-68.5--0.17467499999999</f>
        <v>2311.7898650000006</v>
      </c>
      <c r="AB77" s="3">
        <f>2460.8+(144.4-299.3)+(-2.510016+(-0.147288--0.305286))+0-83--0.0846600000000132</f>
        <v>2220.632642</v>
      </c>
      <c r="AC77" s="3">
        <f>2263+(143.8-297.5)+(-4.61652+(-0.293352--0.6069))+0-32.7--0.0667079999999986</f>
        <v>2072.3637360000002</v>
      </c>
      <c r="AD77">
        <f t="shared" si="1"/>
        <v>46147.303604999994</v>
      </c>
      <c r="AE77" s="3">
        <f>2410+(143.9-125.6)+(0+(0-0))+0-90.3-0</f>
        <v>2338</v>
      </c>
    </row>
    <row r="78" spans="1:31" s="2" customFormat="1" x14ac:dyDescent="0.25">
      <c r="A78">
        <v>89</v>
      </c>
      <c r="B78">
        <v>3</v>
      </c>
      <c r="C78">
        <v>16</v>
      </c>
      <c r="D78">
        <v>2</v>
      </c>
      <c r="E78">
        <v>1</v>
      </c>
      <c r="F78" s="3">
        <f>2102.1+(91.9-203.4)+(-5.360355+(-0.234345--0.51867))+0-75.2--0.191759999999989</f>
        <v>1910.5157299999998</v>
      </c>
      <c r="G78" s="3">
        <f>2016.7+(87.2-229.9)+(-3.085551+(-0.133416--0.351747))+0-64.7--0.0989910000000037</f>
        <v>1806.5317709999999</v>
      </c>
      <c r="H78" s="3">
        <f>1971.2+(77-188)+(1.005312+(0.03927-0.09588))+0-73.6-0.0375359999999925</f>
        <v>1787.511166</v>
      </c>
      <c r="I78" s="3">
        <f>1887.6+(82.7-171.4)+(-4.81338+(-0.210885--0.43707))+0-59.7--0.152234999999991</f>
        <v>1734.7650399999998</v>
      </c>
      <c r="J78" s="3">
        <f>1950.5+(72.5-224.1)+(0+(0-0))+0-84.6-0</f>
        <v>1714.3000000000002</v>
      </c>
      <c r="K78" s="3">
        <f>1899.2+(81.8-251.8)+(-4.84296+(-0.20859--0.64209))+0-77.8--0.198389999999989</f>
        <v>1647.18893</v>
      </c>
      <c r="L78" s="3">
        <f>1867.9+(87.8-195.2)+(0.952629+(0.044778-0.099552))+0-73.1-0.0372809999999926</f>
        <v>1688.2605740000001</v>
      </c>
      <c r="M78" s="3">
        <f>2019.8+(76.3-238.9)+(-1.030098+(-0.038913--0.121839))+0-34.7--0.0176969999999965</f>
        <v>1821.5705249999999</v>
      </c>
      <c r="N78" s="3">
        <f>2180.9+(97.1-279.8)+(0+(0-0))+0-13.7-0</f>
        <v>1984.5</v>
      </c>
      <c r="O78" s="3">
        <f>2302.7+(97.9-280.7)+(1.174377+(0.049929-0.143157))+0-13.2-0.00673199999999866</f>
        <v>2107.7744170000001</v>
      </c>
      <c r="P78" s="3">
        <f>2398.4+(97.7-304.9)+(0+(0-0))+0-12.9-0</f>
        <v>2178.3000000000002</v>
      </c>
      <c r="Q78" s="3">
        <f>2445.4+(97.5-292)+(1.247154+(0.049725-0.14892))+0-11.7-0.00596699999999881</f>
        <v>2240.3419920000001</v>
      </c>
      <c r="R78" s="3">
        <f>2493.6+(97.3-283.1)+(-1.271736+(-0.049623--0.144381))+0-44.5--0.0226949999999955</f>
        <v>2262.1457169999999</v>
      </c>
      <c r="S78" s="3">
        <f>2494.8+(97.3-299)+(-2.544696+(-0.099246--0.30498))+0-61.5--0.0627300000000098</f>
        <v>2229.3237680000007</v>
      </c>
      <c r="T78" s="3">
        <f>2425.8+(97.6-216.2)+(-2.474316+(-0.099552--0.220524))+0-84.6--0.0862920000000135</f>
        <v>2220.3329480000002</v>
      </c>
      <c r="U78" s="3">
        <f>2432+(97.6-276.4)+(-2.48064+(-0.099552--0.281928))+0-66.1--0.0674220000000105</f>
        <v>2184.869158</v>
      </c>
      <c r="V78" s="3">
        <f>2421.7+(98.3-250.7)+(-4.940268+(-0.200532--0.511428))+0-50.5--0.103019999999998</f>
        <v>2214.2736479999999</v>
      </c>
      <c r="W78" s="3">
        <f>2375.5+(98.9-227.3)+(-6.057525+(-0.252195--0.579615))+0-46.2--0.117809999999993</f>
        <v>2195.2877050000002</v>
      </c>
      <c r="X78" s="3">
        <f>2343.9+(132.9-240.2)+(-7.172334+(-0.406674--0.735012))+0-73.4--0.224604000000008</f>
        <v>2156.5806079999998</v>
      </c>
      <c r="Y78" s="3">
        <f>2214.8+(144.4-130.8)+(-4.518192+(-0.294576--0.266832))+0-80.5--0.164219999999996</f>
        <v>2143.5182840000002</v>
      </c>
      <c r="Z78" s="3">
        <f>2581.7+(144.3-242.5)+(0+(0-0))+0-70.3-0</f>
        <v>2413.1999999999998</v>
      </c>
      <c r="AA78" s="3">
        <f>2621.4+(144.6-282.5)+(-6.68457+(-0.36873--0.720375))+0-62.2--0.158609999999991</f>
        <v>2415.125685</v>
      </c>
      <c r="AB78" s="3">
        <f>2504.6+(144.7-273.9)+(-5.109384+(-0.295188--0.558756))+0-68.7--0.140147999999997</f>
        <v>2301.9943320000002</v>
      </c>
      <c r="AC78" s="3">
        <f>2286.3+(144.4-166.9)+(-6.996078+(-0.441864--0.510714))+0-82.9--0.25367400000001</f>
        <v>2174.2264460000001</v>
      </c>
      <c r="AD78">
        <f t="shared" si="1"/>
        <v>49532.438443999999</v>
      </c>
      <c r="AE78" s="3">
        <f>2579+(145.3-271.4)+(0+(0-0))+0-86.4-0</f>
        <v>2366.5</v>
      </c>
    </row>
    <row r="79" spans="1:31" s="2" customFormat="1" x14ac:dyDescent="0.25">
      <c r="A79">
        <v>89</v>
      </c>
      <c r="B79">
        <v>3</v>
      </c>
      <c r="C79">
        <v>17</v>
      </c>
      <c r="D79">
        <v>3</v>
      </c>
      <c r="E79">
        <v>1</v>
      </c>
      <c r="F79" s="3">
        <f>2082.8+(85.2-124.4)+(0+(0-0))+0-70.7-0</f>
        <v>1972.9</v>
      </c>
      <c r="G79" s="3">
        <f>1979.8+(83-93.7)+(-2.019396+(-0.08466--0.095574))+0-73.1--0.0745620000000116</f>
        <v>1894.0660800000001</v>
      </c>
      <c r="H79" s="3">
        <f>1997.7+(78.2-180.4)+(0+(0-0))+0-63.4-0</f>
        <v>1832.1</v>
      </c>
      <c r="I79" s="3">
        <f>1962.7+(84.6-185.8)+(-3.002931+(-0.129438--0.284274))+0-32.4--0.0495720000000019</f>
        <v>1826.3014769999997</v>
      </c>
      <c r="J79" s="3">
        <f>1967.2+(77.5-153.9)+(-1.003272+(-0.039525--0.078489))+0-83.7--0.0426869999999915</f>
        <v>1806.1783789999997</v>
      </c>
      <c r="K79" s="3">
        <f>1931.8+(74.4-211.1)+(-3.940872+(-0.151776--0.430644))+0-73.1--0.149123999999997</f>
        <v>1718.48712</v>
      </c>
      <c r="L79" s="3">
        <f>1918.1+(68.1-187.1)+(-1.956462+(-0.069462--0.190842))+0-68.5--0.0698700000000109</f>
        <v>1728.8347879999999</v>
      </c>
      <c r="M79" s="3">
        <f>2036.4+(55.5-115.9)+(0+(0-0))+0-66-0</f>
        <v>1910</v>
      </c>
      <c r="N79" s="3">
        <f>2270.1+(69.3-176.3)+(-1.157751+(-0.035343--0.089913))+0-76.6--0.0390659999999922</f>
        <v>2085.4358849999999</v>
      </c>
      <c r="O79" s="3">
        <f>2433.9+(49.5-205.9)+(-2.482578+(-0.05049--0.210018))+0-82.1--0.0837420000000131</f>
        <v>2193.1606919999999</v>
      </c>
      <c r="P79" s="3">
        <f>2492.4+(47.6-185)+(-1.271124+(-0.024276--0.09435))+0-73.4--0.0374339999999926</f>
        <v>2280.4363839999996</v>
      </c>
      <c r="Q79" s="3">
        <f>2557.1+(53.1-177.6)+(0+(0-0))+0-75.9-0</f>
        <v>2356.6999999999998</v>
      </c>
      <c r="R79" s="3">
        <f>2535.1+(61-149.1)+(-2.585802+(-0.06222--0.152082))+0-65.4--0.0667080000000104</f>
        <v>2379.170768</v>
      </c>
      <c r="S79" s="3">
        <f>2582.9+(58.6-239.7)+(-3.951837+(-0.089658--0.366741))+0-73.1--0.111843000000004</f>
        <v>2325.1370890000003</v>
      </c>
      <c r="T79" s="3">
        <f>2588.8+(48.4-246.7)+(-2.640576+(-0.049368--0.251634))+0-89.1--0.0908820000000142</f>
        <v>2299.0525720000001</v>
      </c>
      <c r="U79" s="3">
        <f>2596.9+(44.5-297.8)+(-1.324419+(-0.022695--0.151878))+0-64.4--0.0328439999999935</f>
        <v>2278.0376079999996</v>
      </c>
      <c r="V79" s="3">
        <f>2573.5+(49.2-305.1)+(-2.62497+(-0.050184--0.311202))+0-48.2--0.0491640000000077</f>
        <v>2267.085212</v>
      </c>
      <c r="W79" s="3">
        <f>2490.7+(60-225.5)+(-5.081028+(-0.1224--0.46002))+0-62--0.126479999999997</f>
        <v>2258.5830719999999</v>
      </c>
      <c r="X79" s="3">
        <f>2468.4+(89.3-261.3)+(-5.035536+(-0.182172--0.533052))+0-75.7--0.154427999999997</f>
        <v>2216.1697720000002</v>
      </c>
      <c r="Y79" s="3">
        <f>2349+(141.6-190.2)+(-3.59397+(-0.216648--0.291006))+0-79.3--0.121329000000005</f>
        <v>2217.7017169999999</v>
      </c>
      <c r="Z79" s="3">
        <f>2613.7+(144.4-193.6)+(-3.998961+(-0.220932--0.296208))+0-74.6--0.114138000000004</f>
        <v>2486.0904529999998</v>
      </c>
      <c r="AA79" s="3">
        <f>2713.9+(145.6-261.5)+(-2.768178+(-0.148512--0.26673))+0-84.7--0.0863940000000135</f>
        <v>2510.7364339999999</v>
      </c>
      <c r="AB79" s="3">
        <f>2633.6+(145.8-306.8)+(-4.029408+(-0.223074--0.469404))+0-76--0.116280000000004</f>
        <v>2392.9332020000002</v>
      </c>
      <c r="AC79" s="3">
        <f>2415.1+(142.9-221.2)+(-3.695103+(-0.218637--0.338436))+0-70.3--0.107559000000004</f>
        <v>2263.0322549999996</v>
      </c>
      <c r="AD79">
        <f t="shared" si="1"/>
        <v>51498.330958999992</v>
      </c>
      <c r="AE79" s="3">
        <f>2766+(145.5-305)+(0+(0-0))+0-85.6-0</f>
        <v>2520.9</v>
      </c>
    </row>
    <row r="80" spans="1:31" s="2" customFormat="1" x14ac:dyDescent="0.25">
      <c r="A80">
        <v>89</v>
      </c>
      <c r="B80">
        <v>3</v>
      </c>
      <c r="C80">
        <v>18</v>
      </c>
      <c r="D80">
        <v>4</v>
      </c>
      <c r="E80">
        <v>1</v>
      </c>
      <c r="F80" s="3">
        <f>2215.7+(88.4-162.2)+(-3.390021+(-0.135252--0.248166))+0-73.6--0.112608000000004</f>
        <v>2065.1355009999997</v>
      </c>
      <c r="G80" s="3">
        <f>2017.4+(52.5-42.4)+(-5.14437+(-0.133875--0.10812))+0-80.1--0.204254999999988</f>
        <v>1942.4341299999999</v>
      </c>
      <c r="H80" s="3">
        <f>1999.8+(59.5-96.5)+(0+(0-0))+0-75.2-0</f>
        <v>1887.6</v>
      </c>
      <c r="I80" s="3">
        <f>1941.1+(69.6-114.2)+(-3.959844+(-0.141984--0.232968))+0-35.3--0.0720119999999985</f>
        <v>1857.4031520000001</v>
      </c>
      <c r="J80" s="3">
        <f>1952.3+(71.3-116.5)+(-0.995673+(-0.036363--0.059415))+0-46.9--0.0239189999999952</f>
        <v>1859.2512979999999</v>
      </c>
      <c r="K80" s="3">
        <f>1862.6+(81.8-110.7)+(-5.699556+(-0.250308--0.338742))+0-68.3--0.208998000000008</f>
        <v>1759.9978759999999</v>
      </c>
      <c r="L80" s="3">
        <f>1876.3+(61.3-91.5)+(-1.913826+(-0.062526--0.09333))+0-61.5--0.0627300000000098</f>
        <v>1782.779708</v>
      </c>
      <c r="M80" s="3">
        <f>1962.3+(89.7-60.4)+(0+(0-0))+0-57.9-0</f>
        <v>1933.6999999999998</v>
      </c>
      <c r="N80" s="3">
        <f>2293.8+(103.1-254.5)+(-2.339676+(-0.105162--0.25959))+0-43.5--0.0443700000000069</f>
        <v>2096.7591220000004</v>
      </c>
      <c r="O80" s="3">
        <f>2405+(130.8-212.8)+(3.67965+(0.200124-0.325584))+0-89.8-0.137394000000005</f>
        <v>2236.6167959999998</v>
      </c>
      <c r="P80" s="3">
        <f>2504.7+(133.1-233.5)+(-2.554794+(-0.135762--0.23817))+0-51.9--0.0529380000000083</f>
        <v>2350.0005519999995</v>
      </c>
      <c r="Q80" s="3">
        <f>2626+(131.6-269.9)+(2.67852+(0.134232-0.275298))+0-73.3-0.0747660000000117</f>
        <v>2416.8626879999993</v>
      </c>
      <c r="R80" s="3">
        <f>2618.3+(132-218.5)+(-4.005999+(-0.20196--0.334305))+0-78.2--0.119646000000005</f>
        <v>2449.8459920000005</v>
      </c>
      <c r="S80" s="3">
        <f>2661+(132.4-296.1)+(-2.71422+(-0.135048--0.302022))+0-86.2--0.0879240000000137</f>
        <v>2408.6406780000002</v>
      </c>
      <c r="T80" s="3">
        <f>2586.7+(132.7-273.7)+(1.319217+(0.067677-0.139587))+0-75.8-0.0386579999999923</f>
        <v>2371.1086489999998</v>
      </c>
      <c r="U80" s="3">
        <f>2590+(142-327)+(0+(0-0))+0-39.4-0</f>
        <v>2365.6</v>
      </c>
      <c r="V80" s="3">
        <f>2495.4+(142.8-278.8)+(0+(0-0))+0-23.8-0</f>
        <v>2335.6</v>
      </c>
      <c r="W80" s="3">
        <f>2496.5+(143.7-237.3)+(-5.09286+(-0.293148--0.484092))+0-88.5--0.180539999999996</f>
        <v>2309.6786240000001</v>
      </c>
      <c r="X80" s="3">
        <f>2486+(143.8-310.3)+(-5.07144+(-0.293352--0.633012))+0-55.9--0.114035999999998</f>
        <v>2258.9822559999998</v>
      </c>
      <c r="Y80" s="3">
        <f>2488.7+(144.3-303.5)+(-10.153896+(-0.588744--1.23828))+0-68.3--0.278663999999994</f>
        <v>2251.9743039999998</v>
      </c>
      <c r="Z80" s="3">
        <f>2718.8+(132.5-250.8)+(-5.546352+(-0.2703--0.511632))+0-76.6--0.156263999999997</f>
        <v>2518.7512440000005</v>
      </c>
      <c r="AA80" s="3">
        <f>2815.5+(87.3-276)+(-2.87181+(-0.089046--0.28152))+0-82.3--0.0839460000000131</f>
        <v>2541.90461</v>
      </c>
      <c r="AB80" s="3">
        <f>2612+(117.6-218)+(-3.99636+(-0.179928--0.33354))+0-67.4--0.103122000000004</f>
        <v>2440.4603739999998</v>
      </c>
      <c r="AC80" s="3">
        <f>2430.8+(122.8-213.5)+(-4.958832+(-0.250512--0.43554))+0-54.8--0.111791999999998</f>
        <v>2280.6379880000004</v>
      </c>
      <c r="AD80">
        <f t="shared" si="1"/>
        <v>52721.725542</v>
      </c>
      <c r="AE80" s="3">
        <f>2794+(59.6-273.9)+(0+(0-0))+0-91.8-0</f>
        <v>2487.8999999999996</v>
      </c>
    </row>
    <row r="81" spans="1:31" s="2" customFormat="1" x14ac:dyDescent="0.25">
      <c r="A81">
        <v>89</v>
      </c>
      <c r="B81">
        <v>3</v>
      </c>
      <c r="C81">
        <v>19</v>
      </c>
      <c r="D81">
        <v>5</v>
      </c>
      <c r="E81">
        <v>1</v>
      </c>
      <c r="F81" s="3">
        <f>2252.8+(105.2-176.7)+(-3.446784+(-0.160956--0.270351))+0-73.8--0.112914000000004</f>
        <v>2104.275525</v>
      </c>
      <c r="G81" s="3">
        <f>2190.6+(102.5-193.7)+(-4.468824+(-0.2091--0.395148))+0-88.6--0.180743999999996</f>
        <v>2006.6979680000002</v>
      </c>
      <c r="H81" s="3">
        <f>2127.9+(94.8-227.4)+(-2.170458+(-0.096696--0.231948))+0-31.3--0.031926000000005</f>
        <v>1961.9967200000003</v>
      </c>
      <c r="I81" s="3">
        <f>2068.4+(76.6-108.3)+(-5.27442+(-0.19533--0.276165))+0-89.5--0.228224999999987</f>
        <v>1942.2346400000001</v>
      </c>
      <c r="J81" s="3">
        <f>1990.9+(75-99.6)+(2.030718+(0.0765-0.101592))+0-62.9-0.06415800000001</f>
        <v>1905.3414680000001</v>
      </c>
      <c r="K81" s="3">
        <f>1917.5+(84.3-116.1)+(-4.889625+(-0.214965--0.296055))+0-68.5--0.17467499999999</f>
        <v>1812.5661400000001</v>
      </c>
      <c r="L81" s="3">
        <f>1923.3+(71.1-52.6)+(-0.980883+(-0.036261--0.026826))+0-76.1--0.0388109999999923</f>
        <v>1864.7484930000001</v>
      </c>
      <c r="M81" s="3">
        <f>1999.8+(116.8-58.3)+(2.039796+(0.119136-0.059466))+0-83.9-0.0855780000000134</f>
        <v>1976.4138880000003</v>
      </c>
      <c r="N81" s="3">
        <f>2275.7+(86.2-164.5)+(0+(0-0))+0-79-0</f>
        <v>2118.3999999999996</v>
      </c>
      <c r="O81" s="3">
        <f>2404.3+(141.8-220.4)+(0+(0-0))+0-58-0</f>
        <v>2267.7000000000003</v>
      </c>
      <c r="P81" s="3">
        <f>2544.8+(142.4-213.6)+(-2.595696+(-0.145248--0.217872))+0-71.7--0.0731340000000114</f>
        <v>2399.4500620000008</v>
      </c>
      <c r="Q81" s="3">
        <f>2660.6+(142.5-254.8)+(2.713812+(0.14535-0.259896))+0-85.1-0.0868020000000136</f>
        <v>2465.7124640000002</v>
      </c>
      <c r="R81" s="3">
        <f>2639+(142-255.1)+(-4.03767+(-0.21726--0.390303))+0-43.4--0.0664020000000025</f>
        <v>2478.701775</v>
      </c>
      <c r="S81" s="3">
        <f>2639.9+(142.3-266.6)+(-1.346349+(-0.072573--0.135966))+0-74.1--0.0377909999999925</f>
        <v>2440.2548350000002</v>
      </c>
      <c r="T81" s="3">
        <f>2635.6+(142-253.3)+(-1.344156+(-0.07242--0.129183))+0-85.4--0.0435539999999913</f>
        <v>2437.6561609999994</v>
      </c>
      <c r="U81" s="3">
        <f>2587.9+(143.2-240.9)+(-2.639658+(-0.146064--0.245718))+0-74--0.0754800000000118</f>
        <v>2413.7354760000003</v>
      </c>
      <c r="V81" s="3">
        <f>2596.2+(144.2-262.7)+(-3.972186+(-0.220626--0.401931))+0-72.7--0.111231000000004</f>
        <v>2401.32035</v>
      </c>
      <c r="W81" s="3">
        <f>2582.3+(142.7-280.8)+(-3.950919+(-0.218331--0.429624))+0-72.3--0.110619000000004</f>
        <v>2368.2709930000001</v>
      </c>
      <c r="X81" s="3">
        <f>2547.5+(143.6-302.7)+(-6.496125+(-0.36618--0.771885))+0-74.7--0.190484999999989</f>
        <v>2307.8000650000004</v>
      </c>
      <c r="Y81" s="3">
        <f>2465.2+(143.3-201.2)+(-6.28626+(-0.365415--0.51306))+0-89.7--0.228734999999987</f>
        <v>2311.6901200000002</v>
      </c>
      <c r="Z81" s="3">
        <f>2688.6+(143-202.4)+(-2.742372+(-0.14586--0.206448))+0-72.1--0.0735420000000115</f>
        <v>2554.4917580000001</v>
      </c>
      <c r="AA81" s="3">
        <f>2840.6+(144.3-337)+(-4.346118+(-0.220779--0.51561))+0-57.5--0.0879750000000033</f>
        <v>2586.4366880000002</v>
      </c>
      <c r="AB81" s="3">
        <f>2685.6+(144-274.4)+(-6.84828+(-0.3672--0.69972))+0-67.8--0.17288999999999</f>
        <v>2481.0571299999992</v>
      </c>
      <c r="AC81" s="3">
        <f>2446.6+(141.8-186.1)+(0+(0-0))+0-76-0</f>
        <v>2326.2999999999997</v>
      </c>
      <c r="AD81">
        <f t="shared" si="1"/>
        <v>53933.252719000011</v>
      </c>
      <c r="AE81" s="3">
        <f>2848+(144.4-324.6)+(0+(0-0))+0-67.6-0</f>
        <v>2600.2000000000003</v>
      </c>
    </row>
    <row r="82" spans="1:31" s="2" customFormat="1" x14ac:dyDescent="0.25">
      <c r="A82">
        <v>89</v>
      </c>
      <c r="B82">
        <v>3</v>
      </c>
      <c r="C82">
        <v>20</v>
      </c>
      <c r="D82">
        <v>6</v>
      </c>
      <c r="E82">
        <v>1</v>
      </c>
      <c r="F82" s="3">
        <f>2156+(105.1-46.9)+(-2.19912+(-0.107202--0.047838))+0-72.4--0.0738480000000115</f>
        <v>2139.6153639999998</v>
      </c>
      <c r="G82" s="3">
        <f>2060.6+(87.1-49)+(3.152718+(0.133263-0.07497))+0-72.8-0.111384000000004</f>
        <v>2028.9996269999997</v>
      </c>
      <c r="H82" s="3">
        <f>2039.5+(81.9-71.3)+(0+(0-0))+0-62.4-0</f>
        <v>1987.6999999999998</v>
      </c>
      <c r="I82" s="3">
        <f>2043.3+(74.5-91.6)+(1.042083+(0.037995-0.046716))+0-78.7-0.040136999999992</f>
        <v>1948.4932249999999</v>
      </c>
      <c r="J82" s="3">
        <f>1960.6+(86.1-49.3)+(-1.999812+(-0.087822--0.050286))+0-80.9--0.0825180000000129</f>
        <v>1914.5451699999996</v>
      </c>
      <c r="K82" s="3">
        <f>1940+(76.8-133.3)+(-2.9682+(-0.117504--0.203949))+0-66.3--0.101439000000004</f>
        <v>1814.419684</v>
      </c>
      <c r="L82" s="3">
        <f>1946.3+(69.1-103.2)+(-0.992613+(-0.035241--0.052632))+0-72.5--0.0369749999999926</f>
        <v>1838.761753</v>
      </c>
      <c r="M82" s="3">
        <f>1964.2+(182-61.9)+(1.001742+(0.09282-0.031569))+0-87.5-0.0446249999999911</f>
        <v>1997.8183680000002</v>
      </c>
      <c r="N82" s="3">
        <f>2286.5+(61-101.1)+(2.33223+(0.06222-0.103122))+0-73-0.0744600000000116</f>
        <v>2175.6168680000001</v>
      </c>
      <c r="O82" s="3">
        <f>2562.3+(34.6-243.2)+(5.227092+(0.070584-0.496128))+0-52.8-0.107711999999998</f>
        <v>2305.593836</v>
      </c>
      <c r="P82" s="3">
        <f>2658.4+(63.6-234.9)+(2.711568+(0.064872-0.239598))+0-77.3-0.0788460000000123</f>
        <v>2412.2579959999998</v>
      </c>
      <c r="Q82" s="3">
        <f>2688.4+(91.5-231.4)+(2.742168+(0.09333-0.236028))+0-60.8-0.0620160000000097</f>
        <v>2490.2374540000001</v>
      </c>
      <c r="R82" s="3">
        <f>2720.1+(117.6-256.4)+(1.387251+(0.059976-0.130764))+0-71.7-0.0365669999999927</f>
        <v>2510.8798959999999</v>
      </c>
      <c r="S82" s="3">
        <f>2716.9+(75.5-260.7)+(0+(0-0))+0-73.6-0</f>
        <v>2458.1000000000004</v>
      </c>
      <c r="T82" s="3">
        <f>2677.9+(88.5-280.7)+(0+(0-0))+0-77-0</f>
        <v>2408.7000000000003</v>
      </c>
      <c r="U82" s="3">
        <f>2660.8+(79.9-307.2)+(-1.357008+(-0.040749--0.156672))+0-64.3--0.0327929999999935</f>
        <v>2367.9917079999996</v>
      </c>
      <c r="V82" s="3">
        <f>2614.4+(79.4-235.5)+(-2.666688+(-0.080988--0.24021))+0-90.5--0.0923100000000144</f>
        <v>2365.3848440000002</v>
      </c>
      <c r="W82" s="3">
        <f>2570+(113.6-323.3)+(-3.9321+(-0.173808--0.494649))+0-32.4--0.0495720000000019</f>
        <v>2324.3383130000002</v>
      </c>
      <c r="X82" s="3">
        <f>2476.4+(130.8-231.1)+(-6.31482+(-0.33354--0.589305))+0-80.1--0.204254999999988</f>
        <v>2290.1451999999999</v>
      </c>
      <c r="Y82" s="3">
        <f>2476.6+(115.7-246.2)+(-3.789198+(-0.177021--0.376686))+0-69.4--0.106182000000004</f>
        <v>2273.216649</v>
      </c>
      <c r="Z82" s="3">
        <f>2737.5+(102.6-241.5)+(-1.396125+(-0.052326--0.123165))+0-82.6--0.0421259999999916</f>
        <v>2514.71684</v>
      </c>
      <c r="AA82" s="3">
        <f>2783.4+(143.4-308.2)+(-2.839068+(-0.146268--0.314364))+0-72.4--0.0738480000000115</f>
        <v>2543.6028759999999</v>
      </c>
      <c r="AB82" s="3">
        <f>2663.5+(143.7-282.8)+(-2.71677+(-0.146574--0.288456))+0-71.2--0.0726240000000114</f>
        <v>2450.6977360000001</v>
      </c>
      <c r="AC82" s="3">
        <f>2579.9+(142.3-296.4)+(-1.315749+(-0.072573--0.151164))+0-88.4--0.045083999999991</f>
        <v>2336.207926</v>
      </c>
      <c r="AD82">
        <f t="shared" si="1"/>
        <v>53898.041333000001</v>
      </c>
      <c r="AE82" s="3">
        <f>2776+(143.9-310)+(0+(0-0))+0-94.6-0</f>
        <v>2515.3000000000002</v>
      </c>
    </row>
    <row r="83" spans="1:31" s="2" customFormat="1" x14ac:dyDescent="0.25">
      <c r="A83">
        <v>89</v>
      </c>
      <c r="B83">
        <v>3</v>
      </c>
      <c r="C83">
        <v>21</v>
      </c>
      <c r="D83">
        <v>7</v>
      </c>
      <c r="E83">
        <v>1</v>
      </c>
      <c r="F83" s="3">
        <f>2324.5+(93.6-178)+(0+(0-0))+0-65-0</f>
        <v>2175.1</v>
      </c>
      <c r="G83" s="3">
        <f>2270.5+(68.1-195.2)+(-3.473865+(-0.104193--0.298656))+0-72.2--0.110466000000004</f>
        <v>2068.0310640000002</v>
      </c>
      <c r="H83" s="3">
        <f>2230.9+(56.7-223.1)+(0+(0-0))+0-75-0</f>
        <v>1989.5</v>
      </c>
      <c r="I83" s="3">
        <f>2123.2+(71.9-170.4)+(0+(0-0))+0-77.2-0</f>
        <v>1947.4999999999998</v>
      </c>
      <c r="J83" s="3">
        <f>2057.7+(70.8-146.3)+(2.098854+(0.072216-0.149226))+0-81.7-0.083334000000013</f>
        <v>1902.43851</v>
      </c>
      <c r="K83" s="3">
        <f>2004.9+(79-200.8)+(-4.089996+(-0.16116--0.409632))+0-83--0.169319999999996</f>
        <v>1796.4277960000002</v>
      </c>
      <c r="L83" s="3">
        <f>1970.3+(73.3-183.8)+(0+(0-0))+0-78.8-0</f>
        <v>1781</v>
      </c>
      <c r="M83" s="3">
        <f>2029+(54.9-167.9)+(-3.10437+(-0.083997--0.256887))+0-72.8--0.111384000000004</f>
        <v>1840.3799040000001</v>
      </c>
      <c r="N83" s="3">
        <f>1924.8+(146.3-61.1)+(0+(0-0))+0-73.1-0</f>
        <v>1936.9</v>
      </c>
      <c r="O83" s="3">
        <f>2056.8+(149.5-66.9)+(0+(0-0))+0-85.3-0</f>
        <v>2054.1</v>
      </c>
      <c r="P83" s="3">
        <f>2161.2+(150.1-68.8)+(-1.102212+(-0.076551--0.035088))+0-76--0.0387599999999923</f>
        <v>2165.3950850000001</v>
      </c>
      <c r="Q83" s="3">
        <f>2245.5+(142.1-70.2)+(3.435615+(0.217413-0.107406))+0-79.1-0.121023000000005</f>
        <v>2241.7245990000001</v>
      </c>
      <c r="R83" s="3">
        <f>2271.1+(141.9-78.3)+(0+(0-0))+0-66.9-0</f>
        <v>2267.7999999999997</v>
      </c>
      <c r="S83" s="3">
        <f>2206.3+(191.4-60.1)+(0+(0-0))+0-76.7-0</f>
        <v>2260.9000000000005</v>
      </c>
      <c r="T83" s="3">
        <f>2263.5+(142.5-131.2)+(-2.30877+(-0.14535--0.133824))+0-48--0.0489600000000077</f>
        <v>2224.5286640000004</v>
      </c>
      <c r="U83" s="3">
        <f>2272.1+(142.2-149.2)+(0+(0-0))+0-57-0</f>
        <v>2208.1</v>
      </c>
      <c r="V83" s="3">
        <f>2204.5+(143-84.2)+(0+(0-0))+0-83-0</f>
        <v>2180.3000000000002</v>
      </c>
      <c r="W83" s="3">
        <f>2187.7+(142-104.9)+(1.115727+(0.07242-0.053499))+0-72.1-0.0367709999999927</f>
        <v>2153.797877</v>
      </c>
      <c r="X83" s="3">
        <f>2123.8+(152.5-65)+(-1.083138+(-0.077775--0.03315))+0-77.4--0.0394739999999922</f>
        <v>2132.8117110000003</v>
      </c>
      <c r="Y83" s="3">
        <f>2138.5+(141.8-74.9)+(0+(0-0))+0-74.5-0</f>
        <v>2130.9</v>
      </c>
      <c r="Z83" s="3">
        <f>2557.7+(143.2-246.4)+(-1.304427+(-0.073032--0.125664))+0-79.8--0.0406979999999919</f>
        <v>2373.4889029999995</v>
      </c>
      <c r="AA83" s="3">
        <f>2615.3+(143-244.8)+(1.333803+(0.07293-0.124848))+0-81.8-0.0417179999999917</f>
        <v>2432.9401669999997</v>
      </c>
      <c r="AB83" s="3">
        <f>2608.5+(142.9-291.1)+(-2.66067+(-0.145758--0.296922))+0-76.2--0.0777240000000122</f>
        <v>2381.6682180000007</v>
      </c>
      <c r="AC83" s="3">
        <f>2574.1+(143.3-341.4)+(-3.938373+(-0.219249--0.522342))+0-77.7--0.118881000000004</f>
        <v>2294.7836010000001</v>
      </c>
      <c r="AD83">
        <f t="shared" si="1"/>
        <v>50940.516099000008</v>
      </c>
      <c r="AE83" s="3">
        <f>2614+(142.2-369.6)+(0+(0-0))+0-20.1-0</f>
        <v>2366.5</v>
      </c>
    </row>
    <row r="84" spans="1:31" s="2" customFormat="1" x14ac:dyDescent="0.25">
      <c r="A84">
        <v>89</v>
      </c>
      <c r="B84">
        <v>3</v>
      </c>
      <c r="C84">
        <v>22</v>
      </c>
      <c r="D84">
        <v>1</v>
      </c>
      <c r="E84">
        <v>1</v>
      </c>
      <c r="F84" s="3">
        <f>2395.3+(91.8-278.5)+(-2.443206+(-0.093636--0.28407))+0-54.3--0.0553860000000087</f>
        <v>2152.1026140000004</v>
      </c>
      <c r="G84" s="3">
        <f>2273.2+(46.2-207.7)+(-3.477996+(-0.070686--0.317781))+0-83.5--0.127755000000005</f>
        <v>2025.0968539999999</v>
      </c>
      <c r="H84" s="3">
        <f>2250+(59.8-275.2)+(-1.1475+(-0.030498--0.140352))+0-69.1--0.035240999999993</f>
        <v>1964.497595</v>
      </c>
      <c r="I84" s="3">
        <f>2218.3+(49.4-257.5)+(-2.262666+(-0.050388--0.26265))+0-69.8--0.0711960000000111</f>
        <v>1938.4207920000003</v>
      </c>
      <c r="J84" s="3">
        <f>2142.4+(46.9-194.4)+(-5.46312+(-0.119595--0.49572))+0-69.6--0.17747999999999</f>
        <v>1920.3904850000004</v>
      </c>
      <c r="K84" s="3">
        <f>2000.1+(59.1-151.7)+(-4.080204+(-0.120564--0.309468))+0-76.8--0.156671999999997</f>
        <v>1826.9653720000001</v>
      </c>
      <c r="L84" s="3">
        <f>1980.3+(65.4-108.4)+(-3.029859+(-0.100062--0.165852))+0-76.7--0.117351000000004</f>
        <v>1857.7532819999999</v>
      </c>
      <c r="M84" s="3">
        <f>2076+(103.7-85.2)+(0+(0-0))+0-75.2-0</f>
        <v>2019.3</v>
      </c>
      <c r="N84" s="3">
        <f>2283+(109.8-105)+(0+(0-0))+0-73.1-0</f>
        <v>2214.7000000000003</v>
      </c>
      <c r="O84" s="3">
        <f>2564.6+(121-244.3)+(1.307946+(0.06171-0.124593))+0-67.6-0.0344759999999931</f>
        <v>2374.9105869999999</v>
      </c>
      <c r="P84" s="3">
        <f>2557.4+(136.1-124.5)+(2.608548+(0.138822-0.12699))+0-77.5-0.0790500000000124</f>
        <v>2494.04133</v>
      </c>
      <c r="Q84" s="3">
        <f>2937.6+(142-440.7)+(-1.498176+(-0.07242--0.224757))+0-69.7--0.0355469999999929</f>
        <v>2567.8897080000002</v>
      </c>
      <c r="R84" s="3">
        <f>3084.6+(142.6-552.6)+(4.719438+(0.218178-0.845478))+0-65-0.0994500000000038</f>
        <v>2613.5926879999997</v>
      </c>
      <c r="S84" s="3">
        <f>3076.9+(143.8-570)+(-1.569219+(-0.073338--0.2907))+0-76--0.0387599999999923</f>
        <v>2573.3869030000001</v>
      </c>
      <c r="T84" s="3">
        <f>3009+(142.8-506.7)+(4.60377+(0.218484-0.775251))+0-91.2-0.139536000000005</f>
        <v>2557.8074670000001</v>
      </c>
      <c r="U84" s="3">
        <f>3065.6+(143.4-604.7)+(0+(0-0))+0-75.1-0</f>
        <v>2529.1999999999998</v>
      </c>
      <c r="V84" s="3">
        <f>3018+(142.6-587.1)+(1.53918+(0.072726-0.299421))+0-56.6-0.0288659999999943</f>
        <v>2518.1836189999999</v>
      </c>
      <c r="W84" s="3">
        <f>2963.1+(141.2-522)+(-1.511181+(-0.072012--0.26622))+0-86.4--0.0440639999999912</f>
        <v>2494.6270909999998</v>
      </c>
      <c r="X84" s="3">
        <f>2890.6+(142.9-555.9)+(-2.948412+(-0.145758--0.567018))+0-65.2--0.0665040000000104</f>
        <v>2409.9393519999999</v>
      </c>
      <c r="Y84" s="3">
        <f>2732.9+(143.6-433.4)+(-1.393779+(-0.073236--0.221034))+0-73.7--0.0375869999999925</f>
        <v>2368.1916060000003</v>
      </c>
      <c r="Z84" s="3">
        <f>3100.9+(142.6-554.6)+(-3.162918+(-0.145452--0.565692))+0-75.1--0.076602000000012</f>
        <v>2611.1339240000002</v>
      </c>
      <c r="AA84" s="3">
        <f>3179.5+(143.8-590.7)+(-1.621545+(-0.073338--0.301257))+0-76--0.0387599999999923</f>
        <v>2655.2451339999998</v>
      </c>
      <c r="AB84" s="3">
        <f>3100.1+(144.2-591.4)+(-1.581051+(-0.073542--0.301614))+0-74--0.0377399999999925</f>
        <v>2577.5847610000005</v>
      </c>
      <c r="AC84" s="3">
        <f>2747.4+(143.3-410.1)+(-1.401174+(-0.073083--0.209151))+0-49.7--0.025346999999995</f>
        <v>2429.660241</v>
      </c>
      <c r="AD84">
        <f t="shared" si="1"/>
        <v>55694.621404999998</v>
      </c>
      <c r="AE84" s="3">
        <f>3171+(143.8-578.5)+(0+(0-0))+0-90.3-0</f>
        <v>2646</v>
      </c>
    </row>
    <row r="85" spans="1:31" s="2" customFormat="1" x14ac:dyDescent="0.25">
      <c r="A85">
        <v>89</v>
      </c>
      <c r="B85">
        <v>3</v>
      </c>
      <c r="C85">
        <v>23</v>
      </c>
      <c r="D85">
        <v>2</v>
      </c>
      <c r="E85">
        <v>1</v>
      </c>
      <c r="F85" s="3">
        <f>2493.6+(90.5-292.6)+(-1.271736+(-0.046155--0.149226))+0-44.6--0.0227459999999955</f>
        <v>2245.754081</v>
      </c>
      <c r="G85" s="3">
        <f>2300.9+(65.7-168.2)+(-4.693836+(-0.134028--0.343128))+0-72.4--0.147695999999997</f>
        <v>2121.6629600000001</v>
      </c>
      <c r="H85" s="3">
        <f>2351.2+(62.2-264.6)+(-3.597336+(-0.095166--0.404838))+0-79.4--0.121482000000005</f>
        <v>2066.2338179999997</v>
      </c>
      <c r="I85" s="3">
        <f>2206.6+(64-182.7)+(0+(0-0))+0-67.6-0</f>
        <v>2020.3000000000002</v>
      </c>
      <c r="J85" s="3">
        <f>2155.3+(63.9-142.6)+(1.099203+(0.032589-0.072726))+0-74.1-0.0377909999999925</f>
        <v>2003.5212750000003</v>
      </c>
      <c r="K85" s="3">
        <f>2181.7+(56.8-278.2)+(-4.450668+(-0.115872--0.567528))+0-73--0.148919999999997</f>
        <v>1883.4499079999998</v>
      </c>
      <c r="L85" s="3">
        <f>2094.7+(51.3-169.8)+(3.204891+(0.078489-0.259794))+0-77.4-0.118422000000004</f>
        <v>1901.7051639999997</v>
      </c>
      <c r="M85" s="3">
        <f>2184.4+(53.8-112.9)+(1.114044+(0.027438-0.057579))+0-84.9-0.0432989999999914</f>
        <v>2041.4406040000003</v>
      </c>
      <c r="N85" s="3">
        <f>2541.5+(95.3-344.8)+(-3.888495+(-0.145809--0.527544))+0-66.1--0.101133000000004</f>
        <v>2222.494373</v>
      </c>
      <c r="O85" s="3">
        <f>2839.8+(115.3-527.5)+(-2.896596+(-0.117606--0.53805))+0-51--0.0520200000000081</f>
        <v>2374.1758680000003</v>
      </c>
      <c r="P85" s="3">
        <f>3012.5+(114.7-540.6)+(-1.536375+(-0.058497--0.275706))+0-80.6--0.0411059999999918</f>
        <v>2504.7219399999999</v>
      </c>
      <c r="Q85" s="3">
        <f>3095.2+(116.1-575.3)+(0+(0-0))+0-69.5-0</f>
        <v>2566.5</v>
      </c>
      <c r="R85" s="3">
        <f>3149.7+(129.5-618.6)+(-3.212694+(-0.13209--0.630972))+0-49.1--0.0500820000000078</f>
        <v>2608.8362700000002</v>
      </c>
      <c r="S85" s="3">
        <f>3121.1+(109-635.3)+(-4.775283+(-0.16677--0.972009))+0-19.9--0.0304470000000011</f>
        <v>2570.960403</v>
      </c>
      <c r="T85" s="3">
        <f>3119.7+(54.8-622.6)+(-1.591047+(-0.027948--0.317526))+0-18.6--0.00948599999999811</f>
        <v>2532.0080169999997</v>
      </c>
      <c r="U85" s="3">
        <f>3062.8+(70.1-594.6)+(1.562028+(0.035751-0.303246))+0-19.1-0.00974099999999806</f>
        <v>2520.4847920000002</v>
      </c>
      <c r="V85" s="3">
        <f>3045.7+(30.6-561.3)+(-1.553307+(-0.015606--0.286263))+0-17.5--0.00892499999999822</f>
        <v>2496.226275</v>
      </c>
      <c r="W85" s="3">
        <f>3010.8+(38.1-568.8)+(-1.535508+(-0.019431--0.290088))+0-18.1--0.00923099999999816</f>
        <v>2460.7443800000005</v>
      </c>
      <c r="X85" s="3">
        <f>2951.9+(23.2-577.5)+(-4.516407+(-0.035496--0.883575))+0-21.7--0.0332010000000013</f>
        <v>2372.2648730000005</v>
      </c>
      <c r="Y85" s="3">
        <f>2854.7+(106-546.3)+(-2.911794+(-0.10812--0.557226))+0-86.4--0.0881280000000138</f>
        <v>2325.6254399999993</v>
      </c>
      <c r="Z85" s="3">
        <f>3039.5+(85.2-490.6)+(-1.550145+(-0.043452--0.250206))+0-72.9--0.0371789999999926</f>
        <v>2559.8937879999999</v>
      </c>
      <c r="AA85" s="3">
        <f>3147.3+(81.5-547.9)+(0+(0-0))+0-70.3-0</f>
        <v>2610.6</v>
      </c>
      <c r="AB85" s="3">
        <f>3060.2+(103.6-568.5)+(-1.560702+(-0.052836--0.289935))+0-74.7--0.0380969999999924</f>
        <v>2519.3144940000002</v>
      </c>
      <c r="AC85" s="3">
        <f>2932.5+(103.3-558.2)+(-4.486725+(-0.158049--0.854046))+0-86.3--0.132039000000005</f>
        <v>2387.6413109999999</v>
      </c>
      <c r="AD85">
        <f t="shared" si="1"/>
        <v>55916.560034000002</v>
      </c>
      <c r="AE85" s="3">
        <f>3171+(82.1-567.9)+(0+(0-0))+0-74.5-0</f>
        <v>2610.6999999999998</v>
      </c>
    </row>
    <row r="86" spans="1:31" s="2" customFormat="1" x14ac:dyDescent="0.25">
      <c r="A86">
        <v>89</v>
      </c>
      <c r="B86">
        <v>3</v>
      </c>
      <c r="C86">
        <v>24</v>
      </c>
      <c r="D86">
        <v>3</v>
      </c>
      <c r="E86">
        <v>1</v>
      </c>
      <c r="F86" s="3">
        <f>2529.6+(67.2-323.6)+(-2.580192+(-0.068544--0.330072))+0-54.2--0.0552840000000086</f>
        <v>2216.7366200000001</v>
      </c>
      <c r="G86" s="3">
        <f>2329.7+(96-273)+(0+(0-0))+0-75.2-0</f>
        <v>2077.5</v>
      </c>
      <c r="H86" s="3">
        <f>2347.2+(105-326.5)+(-2.394144+(-0.1071--0.33303))+0-82.9--0.0845580000000132</f>
        <v>2040.7163439999999</v>
      </c>
      <c r="I86" s="3">
        <f>2358.4+(80.6-363.7)+(2.405568+(0.082212-0.370974))+0-74.2-0.0756840000000118</f>
        <v>2003.1411220000002</v>
      </c>
      <c r="J86" s="3">
        <f>2360.3+(80.6-381.6)+(-1.203753+(-0.041106--0.194616))+0-68.9--0.035138999999993</f>
        <v>1989.384896</v>
      </c>
      <c r="K86" s="3">
        <f>2156.6+(103-303.4)+(-2.199732+(-0.10506--0.309468))+0-73.8--0.0752760000000118</f>
        <v>1880.4799519999999</v>
      </c>
      <c r="L86" s="3">
        <f>1997.2+(78-117.4)+(1.018572+(0.03978-0.059874))+0-81.6-0.0416159999999917</f>
        <v>1877.156862</v>
      </c>
      <c r="M86" s="3">
        <f>2035.7+(100.2-84.7)+(1.038207+(0.051102-0.043197))+0-38.6-0.0196859999999961</f>
        <v>2013.6264259999998</v>
      </c>
      <c r="N86" s="3">
        <f>2384.3+(87.5-223.6)+(-2.431986+(-0.08925--0.228072))+0-65.2--0.0665040000000104</f>
        <v>2180.7733400000002</v>
      </c>
      <c r="O86" s="3">
        <f>2792.1+(89.8-473.7)+(0+(0-0))+0-76.3-0</f>
        <v>2331.8999999999996</v>
      </c>
      <c r="P86" s="3">
        <f>2963.9+(89.5-550.5)+(3.023178+(0.09129-0.56151))+0-65.3-0.0666060000000104</f>
        <v>2440.0863520000003</v>
      </c>
      <c r="Q86" s="3">
        <f>2992.8+(94.8-518.4)+(1.526328+(0.048348-0.264384))+0-63.1-0.0321809999999936</f>
        <v>2507.3781110000004</v>
      </c>
      <c r="R86" s="3">
        <f>3113.3+(96.1-590.2)+(1.587783+(0.049011-0.301002))+0-77.3-0.0394229999999922</f>
        <v>2543.1963689999998</v>
      </c>
      <c r="S86" s="3">
        <f>3088+(90-574.1)+(-3.14976+(-0.0918--0.585582))+0-82.9--0.0845580000000132</f>
        <v>2518.4285800000002</v>
      </c>
      <c r="T86" s="3">
        <f>3075.4+(32.4-560.1)+(3.136908+(0.033048-0.571302))+0-75.7-0.0772140000000121</f>
        <v>2474.52144</v>
      </c>
      <c r="U86" s="3">
        <f>3065.4+(42.7-577)+(6.253416+(0.087108-1.17708))+0-73.1-0.149123999999997</f>
        <v>2463.0143200000002</v>
      </c>
      <c r="V86" s="3">
        <f>3042.7+(90.6-618.9)+(-1.551777+(-0.046206--0.315639))+0-53--0.0270299999999946</f>
        <v>2460.1446859999996</v>
      </c>
      <c r="W86" s="3">
        <f>3019.4+(89.1-592.3)+(-3.079788+(-0.090882--0.604146))+0-79.5--0.0810900000000127</f>
        <v>2434.2145660000006</v>
      </c>
      <c r="X86" s="3">
        <f>2892+(92.3-566.5)+(-5.89968+(-0.188292--1.15566))+0-76.5--0.156059999999997</f>
        <v>2336.5237480000001</v>
      </c>
      <c r="Y86" s="3">
        <f>2841.2+(77.9-536.4)+(0+(0-0))+0-70.6-0</f>
        <v>2312.1</v>
      </c>
      <c r="Z86" s="3">
        <f>3039+(40.8-465.4)+(1.54989+(0.020808-0.237354))+0-79.3-0.040442999999992</f>
        <v>2536.3929010000002</v>
      </c>
      <c r="AA86" s="3">
        <f>3170+(82.2-590)+(-1.6167+(-0.041922--0.3009))+0-79.3--0.040442999999992</f>
        <v>2581.5827209999993</v>
      </c>
      <c r="AB86" s="3">
        <f>3021.9+(89.5-531.4)+(-4.623507+(-0.136935--0.813042))+0-86.5--0.132345000000005</f>
        <v>2489.684945</v>
      </c>
      <c r="AC86" s="3">
        <f>2870.5+(98.9-516.4)+(-2.92791+(-0.100878--0.526728))+0-77.7--0.0792540000000124</f>
        <v>2372.8771940000006</v>
      </c>
      <c r="AD86">
        <f t="shared" si="1"/>
        <v>55081.561495000002</v>
      </c>
      <c r="AE86" s="3">
        <f>3102+(111.9-630.9)+(0+(0-0))+0-91.4-0</f>
        <v>2491.6</v>
      </c>
    </row>
    <row r="87" spans="1:31" s="2" customFormat="1" x14ac:dyDescent="0.25">
      <c r="A87">
        <v>89</v>
      </c>
      <c r="B87">
        <v>3</v>
      </c>
      <c r="C87">
        <v>25</v>
      </c>
      <c r="D87">
        <v>4</v>
      </c>
      <c r="E87">
        <v>1</v>
      </c>
      <c r="F87" s="3">
        <f>2604.3+(96.8-437.4)+(-3.984579+(-0.148104--0.669222))+0-67.4--0.103122000000004</f>
        <v>2192.9396610000003</v>
      </c>
      <c r="G87" s="3">
        <f>2381.4+(99-343.6)+(0+(0-0))+0-81.2-0</f>
        <v>2055.6000000000004</v>
      </c>
      <c r="H87" s="3">
        <f>2361+(99-376.4)+(-2.40822+(-0.10098--0.383928))+0-82.2--0.0838440000000131</f>
        <v>1999.3585719999996</v>
      </c>
      <c r="I87" s="3">
        <f>2193.8+(83.1-241.8)+(-1.118838+(-0.042381--0.123318))+0-72.7--0.0370769999999926</f>
        <v>1961.3991760000001</v>
      </c>
      <c r="J87" s="3">
        <f>2166.2+(66.9-250.3)+(-2.209524+(-0.068238--0.255306))+0-54.6--0.0556920000000087</f>
        <v>1926.2332359999998</v>
      </c>
      <c r="K87" s="3">
        <f>2122+(72.4-283.8)+(-5.4111+(-0.18462--0.72369))+0-80.1--0.204254999999988</f>
        <v>1825.8322249999999</v>
      </c>
      <c r="L87" s="3">
        <f>2053.2+(55.9-169.9)+(-5.23566+(-0.142545--0.433245))+0-72.9--0.185894999999989</f>
        <v>1861.5409349999998</v>
      </c>
      <c r="M87" s="3">
        <f>2179+(46.2-176.6)+(2.22258+(0.047124-0.180132))+0-61.5-0.0627300000000098</f>
        <v>1989.1268419999997</v>
      </c>
      <c r="N87" s="3">
        <f>2400.6+(85.6-281.9)+(1.224306+(0.043656-0.143769))+0-55.4-0.0282539999999944</f>
        <v>2149.9959389999999</v>
      </c>
      <c r="O87" s="3">
        <f>2751.4+(106-543.2)+(1.403214+(0.05406-0.277032))+0-8.5-0.00433499999999914</f>
        <v>2306.8759069999996</v>
      </c>
      <c r="P87" s="3">
        <f>2882.8+(138.6-609.3)+(-1.470228+(-0.070686--0.310743))+0-10.4--0.00530399999999895</f>
        <v>2400.4751329999999</v>
      </c>
      <c r="Q87" s="3">
        <f>2952.2+(141.8-597)+(0+(0-0))+0-11.3-0</f>
        <v>2485.6999999999998</v>
      </c>
      <c r="R87" s="3">
        <f>3037+(140.7-565.6)+(-3.09774+(-0.143514--0.576912))+0-79.6--0.0811920000000127</f>
        <v>2529.9168500000001</v>
      </c>
      <c r="S87" s="3">
        <f>2993.6+(141.6-605.9)+(-3.053472+(-0.144432--0.618018))+0-47.1--0.0480420000000075</f>
        <v>2479.6681560000002</v>
      </c>
      <c r="T87" s="3">
        <f>2970.9+(141.4-568)+(0+(0-0))+0-73.4-0</f>
        <v>2470.9</v>
      </c>
      <c r="U87" s="3">
        <f>2953+(142.3-557.4)+(3.01206+(0.145146-0.568548))+0-82.5-0.0841500000000132</f>
        <v>2457.9045080000001</v>
      </c>
      <c r="V87" s="3">
        <f>2885.7+(143.2-531.3)+(-2.943414+(-0.146064--0.541926))+0-65.7--0.0670140000000105</f>
        <v>2429.4194620000003</v>
      </c>
      <c r="W87" s="3">
        <f>2845.2+(144.2-498.8)+(-4.353156+(-0.220626--0.763164))+0-60.7--0.0928710000000035</f>
        <v>2426.1822529999999</v>
      </c>
      <c r="X87" s="3">
        <f>2821.4+(120.6-516.2)+(-4.316742+(-0.184518--0.789786))+0-75.3--0.115209000000004</f>
        <v>2346.9037349999999</v>
      </c>
      <c r="Y87" s="3">
        <f>2758.5+(105.7-503.5)+(-2.81367+(-0.107814--0.51357))+0-84.1--0.0857820000000134</f>
        <v>2274.2778680000001</v>
      </c>
      <c r="Z87" s="3">
        <f>2987.6+(90-486.7)+(-1.523676+(-0.0459--0.248217))+0-76.6--0.0390659999999922</f>
        <v>2513.017707</v>
      </c>
      <c r="AA87" s="3">
        <f>3139.9+(89.7-604.9)+(-4.804047+(-0.137241--0.925497))+0-68.4--0.104652000000004</f>
        <v>2552.3888610000004</v>
      </c>
      <c r="AB87" s="3">
        <f>3019.2+(139-623.3)+(-4.619376+(-0.21267--0.953649))+0-71.3--0.109089000000004</f>
        <v>2459.8306919999995</v>
      </c>
      <c r="AC87" s="3">
        <f>2780.2+(142.4-516.1)+(-2.835804+(-0.145248--0.526422))+0-69.2--0.070584000000011</f>
        <v>2334.9159540000001</v>
      </c>
      <c r="AD87">
        <f t="shared" si="1"/>
        <v>54430.403672</v>
      </c>
      <c r="AE87" s="3">
        <f>3126+(122.5-616.8)+(0+(0-0))+0-93.2-0</f>
        <v>2538.5</v>
      </c>
    </row>
    <row r="88" spans="1:31" s="2" customFormat="1" x14ac:dyDescent="0.25">
      <c r="A88">
        <v>89</v>
      </c>
      <c r="B88">
        <v>3</v>
      </c>
      <c r="C88">
        <v>26</v>
      </c>
      <c r="D88">
        <v>5</v>
      </c>
      <c r="E88">
        <v>1</v>
      </c>
      <c r="F88" s="3">
        <f>2692+(76.7-519.5)+(-2.74584+(-0.078234--0.52989))+0-63.7--0.0649740000000102</f>
        <v>2183.27079</v>
      </c>
      <c r="G88" s="3">
        <f>2551.7+(45.4-483.4)+(-1.301367+(-0.023154--0.246534))+0-72.2--0.0368219999999927</f>
        <v>2040.4588349999997</v>
      </c>
      <c r="H88" s="3">
        <f>2445.7+(57.6-475.3)+(-2.494614+(-0.058752--0.484806))+0-55.7--0.0568140000000089</f>
        <v>1970.2882539999998</v>
      </c>
      <c r="I88" s="3">
        <f>2387.7+(68.7-445.8)+(-3.653181+(-0.105111--0.682074))+0-70.6--0.108018000000004</f>
        <v>1937.0318</v>
      </c>
      <c r="J88" s="3">
        <f>2289.2+(70-351.6)+(-1.167492+(-0.0357--0.179316))+0-95.8--0.0488579999999903</f>
        <v>1910.8249819999999</v>
      </c>
      <c r="K88" s="3">
        <f>2211.5+(71.8-407.7)+(-5.639325+(-0.18309--1.039635))+0-51.3--0.130814999999993</f>
        <v>1819.6480349999999</v>
      </c>
      <c r="L88" s="3">
        <f>2121.6+(51.1-246.3)+(-1.082016+(-0.026061--0.125613))+0-92.8--0.0473279999999906</f>
        <v>1832.6648639999999</v>
      </c>
      <c r="M88" s="3">
        <f>2117.8+(54-155.2)+(-1.080078+(-0.02754--0.079152))+0-50.4--0.0257039999999949</f>
        <v>1965.197238</v>
      </c>
      <c r="N88" s="3">
        <f>2429.3+(77-338)+(-2.477886+(-0.07854--0.34476))+0-75--0.076500000000012</f>
        <v>2091.1648340000002</v>
      </c>
      <c r="O88" s="3">
        <f>2651.6+(138.7-443.9)+(-1.352316+(-0.070737--0.226389))+0-85--0.0433499999999914</f>
        <v>2260.246686</v>
      </c>
      <c r="P88" s="3">
        <f>2832.1+(138.1-519.2)+(0+(0-0))+0-69.2-0</f>
        <v>2381.8000000000002</v>
      </c>
      <c r="Q88" s="3">
        <f>2946.2+(124.9-552.6)+(-3.005124+(-0.127398--0.563652))+0-56.3--0.057426000000009</f>
        <v>2459.6885559999996</v>
      </c>
      <c r="R88" s="3">
        <f>3059+(101.5-555)+(0+(0-0))+0-83.8-0</f>
        <v>2521.6999999999998</v>
      </c>
      <c r="S88" s="3">
        <f>3033.8+(102.6-574.6)+(0+(0-0))+0-70-0</f>
        <v>2491.8000000000002</v>
      </c>
      <c r="T88" s="3">
        <f>3035+(82.8-588.5)+(0+(0-0))+0-73.1-0</f>
        <v>2456.2000000000003</v>
      </c>
      <c r="U88" s="3">
        <f>3033.6+(103-604.6)+(-1.547136+(-0.05253--0.308346))+0-64.4--0.0328439999999935</f>
        <v>2466.3415239999999</v>
      </c>
      <c r="V88" s="3">
        <f>2990.7+(113.4-586.3)+(3.050514+(0.115668-0.598026))+0-83.4-0.0850680000000133</f>
        <v>2436.8830879999996</v>
      </c>
      <c r="W88" s="3">
        <f>2977.2+(110-582.9)+(-7.59186+(-0.2805--1.486395))+0-69.9--0.17824499999999</f>
        <v>2428.1922799999998</v>
      </c>
      <c r="X88" s="3">
        <f>2914.9+(111.2-593.4)+(-7.432995+(-0.28356--1.51317))+0-61.2--0.156059999999991</f>
        <v>2365.4526750000005</v>
      </c>
      <c r="Y88" s="3">
        <f>2806.2+(121.4-548.9)+(-2.862324+(-0.123828--0.559878))+0-60.1--0.0613020000000096</f>
        <v>2316.2350280000001</v>
      </c>
      <c r="Z88" s="3">
        <f>3031.9+(68.8-467.1)+(0+(0-0))+0-87.7-0</f>
        <v>2545.9</v>
      </c>
      <c r="AA88" s="3">
        <f>3241.2+(48.9-614.2)+(-4.959036+(-0.074817--0.939726))+0-67--0.102510000000004</f>
        <v>2604.908383</v>
      </c>
      <c r="AB88" s="3">
        <f>3012.5+(117.2-562.7)+(-1.536375+(-0.059772--0.286977))+0-68.1--0.0347309999999931</f>
        <v>2497.6255610000003</v>
      </c>
      <c r="AC88" s="3">
        <f>2820.3+(141.7-531.9)+(-1.438353+(-0.072267--0.271269))+0-67.2--0.0342719999999932</f>
        <v>2361.6949210000002</v>
      </c>
      <c r="AD88">
        <f t="shared" si="1"/>
        <v>54345.218334000019</v>
      </c>
      <c r="AE88" s="3">
        <f>3263+(48.2-574)+(0+(0-0))+0-93-0</f>
        <v>2644.2</v>
      </c>
    </row>
    <row r="89" spans="1:31" s="2" customFormat="1" x14ac:dyDescent="0.25">
      <c r="A89">
        <v>89</v>
      </c>
      <c r="B89">
        <v>3</v>
      </c>
      <c r="C89">
        <v>27</v>
      </c>
      <c r="D89">
        <v>6</v>
      </c>
      <c r="E89">
        <v>1</v>
      </c>
      <c r="F89" s="3">
        <f>2720.6+(83-486.2)+(-2.775012+(-0.08466--0.495924))+0-76.5--0.0780300000000122</f>
        <v>2238.614282</v>
      </c>
      <c r="G89" s="3">
        <f>2573.1+(64.1-454.2)+(0+(0-0))+0-80.7-0</f>
        <v>2102.3000000000002</v>
      </c>
      <c r="H89" s="3">
        <f>2563+(70.9-517.5)+(-3.92139+(-0.108477--0.791775))+0-73.6--0.112608000000004</f>
        <v>2039.674516</v>
      </c>
      <c r="I89" s="3">
        <f>2530+(70.7-535.3)+(-2.5806+(-0.072114--0.546006))+0-53.6--0.0546720000000085</f>
        <v>2009.7479640000004</v>
      </c>
      <c r="J89" s="3">
        <f>2503.2+(73.7-504.9)+(-2.553264+(-0.075174--0.514998))+0-70.6--0.0720120000000112</f>
        <v>1999.3585720000001</v>
      </c>
      <c r="K89" s="3">
        <f>2311.2+(82.3-436.5)+(-5.89356+(-0.209865--1.113075))+0-81.8--0.208589999999988</f>
        <v>1870.4182399999997</v>
      </c>
      <c r="L89" s="3">
        <f>2134.9+(80-280.4)+(-5.443995+(-0.204--0.71502))+0-61.7--0.157334999999991</f>
        <v>1868.0243600000001</v>
      </c>
      <c r="M89" s="3">
        <f>2221.7+(56.8-245.1)+(3.399201+(0.086904-0.375003))+0-21.8-0.0333540000000013</f>
        <v>2014.6777480000001</v>
      </c>
      <c r="N89" s="3">
        <f>2388.3+(121.4-256.5)+(0+(0-0))+0-57-0</f>
        <v>2196.2000000000003</v>
      </c>
      <c r="O89" s="3">
        <f>2445.4+(148.3-146.1)+(3.741462+(0.226899-0.223533))+0-82.2-0.125766000000005</f>
        <v>2369.0190619999998</v>
      </c>
      <c r="P89" s="3">
        <f>2568+(148.3-191.9)+(0+(0-0))+0-61.6-0</f>
        <v>2462.8000000000002</v>
      </c>
      <c r="Q89" s="3">
        <f>2685.3+(148.2-238)+(2.739006+(0.151164-0.24276))+0-62-0.0632400000000099</f>
        <v>2536.0841700000001</v>
      </c>
      <c r="R89" s="3">
        <f>2809.3+(147.7-323.7)+(0+(0-0))+0-70-0</f>
        <v>2563.3000000000002</v>
      </c>
      <c r="S89" s="3">
        <f>3032+(148.1-572.1)+(0+(0-0))+0-76.3-0</f>
        <v>2531.6999999999998</v>
      </c>
      <c r="T89" s="3">
        <f>2987.6+(147.9-582.5)+(0+(0-0))+0-53.2-0</f>
        <v>2499.8000000000002</v>
      </c>
      <c r="U89" s="3">
        <f>2952.3+(148.5-542.5)+(-3.011346+(-0.15147--0.55335))+0-86.2--0.0879240000000137</f>
        <v>2469.5784580000004</v>
      </c>
      <c r="V89" s="3">
        <f>2900.8+(148.9-561.3)+(0+(0-0))+0-48.4-0</f>
        <v>2440</v>
      </c>
      <c r="W89" s="3">
        <f>2837.9+(148.8-493.6)+(-7.236645+(-0.37944--1.25868))+0-79.2--0.201959999999989</f>
        <v>2407.7445549999998</v>
      </c>
      <c r="X89" s="3">
        <f>2717.8+(145.2-420.9)+(-5.544312+(-0.296208--0.858636))+0-86--0.175439999999996</f>
        <v>2351.2935560000005</v>
      </c>
      <c r="Y89" s="3">
        <f>2548.2+(122-301.5)+(-1.299582+(-0.06222--0.153765))+0-72.6--0.0370259999999926</f>
        <v>2294.928989</v>
      </c>
      <c r="Z89" s="3">
        <f>2950.5+(124-507.4)+(-1.504755+(-0.06324--0.258774))+0-55.5--0.0283049999999944</f>
        <v>2510.3190839999997</v>
      </c>
      <c r="AA89" s="3">
        <f>3069.6+(140.7-579.7)+(-7.82748+(-0.358785--1.478235))+0-74.2--0.189209999999989</f>
        <v>2549.8811800000003</v>
      </c>
      <c r="AB89" s="3">
        <f>2939.3+(141.5-540.4)+(-1.499043+(-0.072165--0.275604))+0-51.8--0.0264179999999947</f>
        <v>2487.3308139999999</v>
      </c>
      <c r="AC89" s="3">
        <f>2759.9+(140-441.3)+(-5.630196+(-0.2856--0.900252))+0-71.2--0.145247999999997</f>
        <v>2382.529704</v>
      </c>
      <c r="AD89">
        <f t="shared" si="1"/>
        <v>55195.32525400001</v>
      </c>
      <c r="AE89" s="3">
        <f>3073+(141-595.9)+(0+(0-0))+0-90-0</f>
        <v>2528.1</v>
      </c>
    </row>
    <row r="90" spans="1:31" s="2" customFormat="1" x14ac:dyDescent="0.25">
      <c r="A90">
        <v>89</v>
      </c>
      <c r="B90">
        <v>3</v>
      </c>
      <c r="C90">
        <v>28</v>
      </c>
      <c r="D90">
        <v>7</v>
      </c>
      <c r="E90">
        <v>1</v>
      </c>
      <c r="F90" s="3">
        <f>2590.1+(103.6-386.7)+(-3.962853+(-0.158508--0.591651))+0-46.4--0.0709920000000027</f>
        <v>2257.141282</v>
      </c>
      <c r="G90" s="3">
        <f>2382.5+(95.6-299.6)+(-2.43015+(-0.097512--0.305592))+0-55.3--0.0564060000000088</f>
        <v>2121.0343360000002</v>
      </c>
      <c r="H90" s="3">
        <f>2272.3+(95.6-266.1)+(-3.476619+(-0.146268--0.407133))+0-74--0.113220000000004</f>
        <v>2024.6974660000003</v>
      </c>
      <c r="I90" s="3">
        <f>2272.2+(95.2-355.6)+(-3.476466+(-0.145656--0.544068))+0-26.5--0.0405450000000015</f>
        <v>1982.2624909999997</v>
      </c>
      <c r="J90" s="3">
        <f>2271.1+(95-337.9)+(-3.474783+(-0.14535--0.516987))+0-79.7--0.121941000000005</f>
        <v>1945.518795</v>
      </c>
      <c r="K90" s="3">
        <f>1952.6+(95.2-145.9)+(-2.987478+(-0.145656--0.223227))+0-80.1--0.122553000000005</f>
        <v>1819.0126459999999</v>
      </c>
      <c r="L90" s="3">
        <f>1843.4+(128.9-103.5)+(0+(0-0))+0-75.7-0</f>
        <v>1793.1000000000001</v>
      </c>
      <c r="M90" s="3">
        <f>1862.6+(144-97.8)+(0+(0-0))+0-74-0</f>
        <v>1834.8</v>
      </c>
      <c r="N90" s="3">
        <f>1987.7+(151.3-135.9)+(-4.054908+(-0.308652--0.277236))+0-72--0.146879999999997</f>
        <v>1927.160556</v>
      </c>
      <c r="O90" s="3">
        <f>2062.1+(135.6-142.8)+(-3.155013+(-0.207468--0.218484))+0-68.2--0.104346000000004</f>
        <v>1983.660349</v>
      </c>
      <c r="P90" s="3">
        <f>2285.4+(140.1-212.1)+(0+(0-0))+0-54.9-0</f>
        <v>2158.5</v>
      </c>
      <c r="Q90" s="3">
        <f>2396.7+(140.5-229.9)+(0+(0-0))+0-62.5-0</f>
        <v>2244.7999999999997</v>
      </c>
      <c r="R90" s="3">
        <f>2485.8+(140.3-279.9)+(-1.267758+(-0.071553--0.142749))+0-56.9--0.0290189999999942</f>
        <v>2288.1324570000002</v>
      </c>
      <c r="S90" s="3">
        <f>2517.5+(139.4-309.3)+(-1.283925+(-0.071094--0.157743))+0-58.1--0.0296309999999941</f>
        <v>2288.332355</v>
      </c>
      <c r="T90" s="3">
        <f>2641.8+(139.4-464.2)+(-1.347318+(-0.071094--0.236742))+0-42.3--0.0215729999999957</f>
        <v>2273.5399029999999</v>
      </c>
      <c r="U90" s="3">
        <f>2628.4+(140.3-448.6)+(-2.680968+(-0.143106--0.457572))+0-60.5--0.0617100000000096</f>
        <v>2257.295208</v>
      </c>
      <c r="V90" s="3">
        <f>2612.6+(141.1-443.3)+(-1.332426+(-0.071961--0.226083))+0-59.6--0.030395999999994</f>
        <v>2249.6520919999998</v>
      </c>
      <c r="W90" s="3">
        <f>2591.7+(141.3-445.5)+(-3.965301+(-0.216189--0.681615))+0-53.8--0.0823140000000031</f>
        <v>2230.2824390000001</v>
      </c>
      <c r="X90" s="3">
        <f>2415.3+(142.9-303.5)+(-6.159015+(-0.364395--0.773925))+0-74.5--0.189974999999989</f>
        <v>2174.6404900000002</v>
      </c>
      <c r="Y90" s="3">
        <f>2150.4+(182.4-141.3)+(-2.193408+(-0.186048--0.144126))+0-49.1--0.0500820000000078</f>
        <v>2140.2147520000003</v>
      </c>
      <c r="Z90" s="3">
        <f>2660.7+(146.2-375.7)+(-1.356957+(-0.074562--0.191607))+0-49.5--0.025244999999995</f>
        <v>2380.4853329999996</v>
      </c>
      <c r="AA90" s="3">
        <f>2840+(146.4-477.8)+(-4.3452+(-0.223992--0.731034))+0-40.6--0.0621180000000024</f>
        <v>2464.2239599999998</v>
      </c>
      <c r="AB90" s="3">
        <f>2756.8+(146.9-408.5)+(-2.811936+(-0.149838--0.41667))+0-66--0.0673200000000105</f>
        <v>2426.7222160000006</v>
      </c>
      <c r="AC90" s="3">
        <f>2526.3+(144.2-270.6)+(-5.153652+(-0.294168--0.552024))+0-38.4--0.0783359999999983</f>
        <v>2356.6825400000002</v>
      </c>
      <c r="AD90">
        <f t="shared" si="1"/>
        <v>51621.891666000003</v>
      </c>
      <c r="AE90" s="3">
        <f>2855+(146.5-424.7)+(0+(0-0))+0-88.2-0</f>
        <v>2488.6000000000004</v>
      </c>
    </row>
    <row r="91" spans="1:31" s="2" customFormat="1" x14ac:dyDescent="0.25">
      <c r="A91">
        <v>89</v>
      </c>
      <c r="B91">
        <v>3</v>
      </c>
      <c r="C91">
        <v>29</v>
      </c>
      <c r="D91">
        <v>1</v>
      </c>
      <c r="E91">
        <v>1</v>
      </c>
      <c r="F91" s="3">
        <f>2230.6+(105-105)+(-2.275212+(-0.1071--0.1071))+0-21.4--0.0218280000000034</f>
        <v>2206.9466159999997</v>
      </c>
      <c r="G91" s="3">
        <f>2202.5+(87.9-139.3)+(-4.4931+(-0.179316--0.284172))+0-59--0.120359999999997</f>
        <v>2087.8321159999996</v>
      </c>
      <c r="H91" s="3">
        <f>2147.1+(86.9-140.5)+(-3.285063+(-0.132957--0.214965))+0-59.2--0.0905760000000034</f>
        <v>2031.1875210000001</v>
      </c>
      <c r="I91" s="3">
        <f>2013.4+(122.3-59.4)+(-6.161004+(-0.374238--0.181764))+0-21.4--0.0654840000000025</f>
        <v>2048.6120060000003</v>
      </c>
      <c r="J91" s="3">
        <f>2078.7+(87.3-119)+(0+(0-0))+0-18.2-0</f>
        <v>2028.7999999999997</v>
      </c>
      <c r="K91" s="3">
        <f>2040.3+(96.3-131.5)+(-1.040553+(-0.049113--0.067065))+0-69.2--0.035291999999993</f>
        <v>1934.912691</v>
      </c>
      <c r="L91" s="3">
        <f>1929.4+(135.9-107.4)+(-0.983994+(-0.069309--0.054774))+0-51.7--0.0263669999999948</f>
        <v>1905.227838</v>
      </c>
      <c r="M91" s="3">
        <f>2262.5+(86.1-221)+(-2.30775+(-0.087822--0.22542))+0-61.8--0.0630360000000098</f>
        <v>2063.6928839999996</v>
      </c>
      <c r="N91" s="3">
        <f>2545.6+(123.7-352.7)+(1.298256+(0.063087-0.179877))+0-60-0.0305999999999939</f>
        <v>2257.7508659999999</v>
      </c>
      <c r="O91" s="3">
        <f>2755+(140.9-427.8)+(1.40505+(0.071859-0.218178))+0-66.3-0.0338129999999933</f>
        <v>2403.0249179999996</v>
      </c>
      <c r="P91" s="3">
        <f>2943.6+(141-516.9)+(-3.002472+(-0.14382--0.527238))+0-32.9--0.0335580000000052</f>
        <v>2532.214504</v>
      </c>
      <c r="Q91" s="3">
        <f>3041.2+(140.6-507.4)+(3.102024+(0.143412-0.517548))+0-39.2-0.0399840000000063</f>
        <v>2637.8879039999997</v>
      </c>
      <c r="R91" s="3">
        <f>3067.3+(140.7-469)+(-3.128646+(-0.143514--0.47838))+0-54.9--0.0559980000000087</f>
        <v>2681.3622179999998</v>
      </c>
      <c r="S91" s="3">
        <f>3108+(140.7-502.3)+(0+(0-0))+0-59.6-0</f>
        <v>2686.8</v>
      </c>
      <c r="T91" s="3">
        <f>3058.7+(139.7-518.8)+(-1.559937+(-0.071247--0.264588))+0-63.7--0.0324869999999935</f>
        <v>2614.5658910000002</v>
      </c>
      <c r="U91" s="3">
        <f>3074.4+(139.5-551.9)+(-3.135888+(-0.14229--0.562938))+0-64.6--0.0658920000000103</f>
        <v>2594.7506520000002</v>
      </c>
      <c r="V91" s="3">
        <f>3088.2+(139.6-602.3)+(1.574982+(0.071196-0.307173))+0-45.2-0.0230519999999954</f>
        <v>2581.615953</v>
      </c>
      <c r="W91" s="3">
        <f>3112.1+(139.5-570)+(-6.348684+(-0.28458--1.1628))+0-48.9--0.0997559999999979</f>
        <v>2627.3292919999999</v>
      </c>
      <c r="X91" s="3">
        <f>3066+(140.2-575.8)+(-9.38196+(-0.429012--1.761948))+0-46.2--0.141372000000005</f>
        <v>2576.2923480000004</v>
      </c>
      <c r="Y91" s="3">
        <f>2883.7+(139.6-512.9)+(-1.470687+(-0.071196--0.261579))+0-44.9--0.0228989999999954</f>
        <v>2464.2425949999997</v>
      </c>
      <c r="Z91" s="3">
        <f>3094.6+(145.1-513.3)+(0+(0-0))+0-56.5-0</f>
        <v>2669.9</v>
      </c>
      <c r="AA91" s="3">
        <f>3201.4+(147.7-592.5)+(0+(0-0))+0-47.2-0</f>
        <v>2709.4</v>
      </c>
      <c r="AB91" s="3">
        <f>3106.4+(148.4-583.2)+(-4.752792+(-0.227052--0.892296))+0-52.1--0.079713000000003</f>
        <v>2615.4921650000001</v>
      </c>
      <c r="AC91" s="3">
        <f>2888.5+(149-482.3)+(-2.94627+(-0.15198--0.491946))+0-67.8--0.0691560000000108</f>
        <v>2484.8628519999997</v>
      </c>
      <c r="AD91">
        <f t="shared" si="1"/>
        <v>57444.703830000006</v>
      </c>
      <c r="AE91" s="3">
        <f>3250+(146.9-523.4)+(0+(0-0))+0-78.1-0</f>
        <v>2795.4</v>
      </c>
    </row>
    <row r="92" spans="1:31" s="2" customFormat="1" x14ac:dyDescent="0.25">
      <c r="A92">
        <v>89</v>
      </c>
      <c r="B92">
        <v>3</v>
      </c>
      <c r="C92">
        <v>30</v>
      </c>
      <c r="D92">
        <v>2</v>
      </c>
      <c r="E92">
        <v>1</v>
      </c>
      <c r="F92" s="3">
        <f>2757.1+(121.9-495.5)+(-5.624484+(-0.248676--1.01082))+0-50--0.101999999999998</f>
        <v>2328.7396599999997</v>
      </c>
      <c r="G92" s="3">
        <f>2530+(96.7-361.3)+(-1.2903+(-0.049317--0.184263))+0-67.9--0.0346289999999931</f>
        <v>2196.3792749999998</v>
      </c>
      <c r="H92" s="3">
        <f>2512.9+(97.2-407.1)+(1.281579+(0.049572-0.207621))+0-66.7-0.0340169999999932</f>
        <v>2137.3895130000001</v>
      </c>
      <c r="I92" s="3">
        <f>2442+(98.2-391.5)+(-3.73626+(-0.150246--0.598995))+0-55.7--0.0852210000000032</f>
        <v>2089.7977099999998</v>
      </c>
      <c r="J92" s="3">
        <f>2416.2+(98.4-414.6)+(-3.696786+(-0.150552--0.634338))+0-43.9--0.0671670000000025</f>
        <v>2052.9541669999999</v>
      </c>
      <c r="K92" s="3">
        <f>2192.2+(98.6-270.4)+(-4.472088+(-0.201144--0.551616))+0-70.1--0.143003999999997</f>
        <v>1946.3213880000001</v>
      </c>
      <c r="L92" s="3">
        <f>2016.7+(103.1-127.9)+(1.028517+(0.052581-0.065229))+0-85-0.0433499999999914</f>
        <v>1907.8725190000002</v>
      </c>
      <c r="M92" s="3">
        <f>2232.7+(100.7-139.3)+(0+(0-0))+0-68.4-0</f>
        <v>2125.6999999999998</v>
      </c>
      <c r="N92" s="3">
        <f>2623.7+(123.3-492.7)+(2.676174+(0.125766-0.502554))+0-21.7-0.0221340000000035</f>
        <v>2234.8772520000002</v>
      </c>
      <c r="O92" s="3">
        <f>2774.7+(139.1-511.6)+(2.830194+(0.141882-0.521832))+0-16.6-0.0169320000000027</f>
        <v>2388.033312</v>
      </c>
      <c r="P92" s="3">
        <f>2932.7+(138.2-547.8)+(1.495677+(0.070482-0.279378))+0-19.5-0.00994499999999802</f>
        <v>2504.8768359999999</v>
      </c>
      <c r="Q92" s="3">
        <f>3036.7+(141.1-523.4)+(1.548717+(0.071961-0.266934))+0-51.1-0.0260609999999948</f>
        <v>2604.6276829999997</v>
      </c>
      <c r="R92" s="3">
        <f>3173.1+(140.9-559.6)+(1.618281+(0.071859-0.285396))+0-56.5-0.0288149999999943</f>
        <v>2699.2759289999995</v>
      </c>
      <c r="S92" s="3">
        <f>3180.5+(140.3-556.2)+(0+(0-0))+0-73.7-0</f>
        <v>2690.9</v>
      </c>
      <c r="T92" s="3">
        <f>3165+(140.9-601)+(1.61415+(0.071859-0.30651))+0-56.2-0.0286619999999943</f>
        <v>2650.0508370000002</v>
      </c>
      <c r="U92" s="3">
        <f>3140.9+(141.6-613.3)+(-3.203718+(-0.144432--0.625566))+0-50.6--0.0516120000000081</f>
        <v>2615.9290280000005</v>
      </c>
      <c r="V92" s="3">
        <f>3119.2+(138.9-612)+(-3.181584+(-0.141678--0.62424))+0-59.4--0.0605880000000095</f>
        <v>2584.0615659999999</v>
      </c>
      <c r="W92" s="3">
        <f>3096.7+(138.6-604.1)+(-3.158634+(-0.141372--0.616182))+0-67.6--0.0689520000000108</f>
        <v>2560.9851279999998</v>
      </c>
      <c r="X92" s="3">
        <f>2977.4+(139.4-563.5)+(-4.555422+(-0.213282--0.862155))+0-74--0.113220000000004</f>
        <v>2475.5066710000006</v>
      </c>
      <c r="Y92" s="3">
        <f>2895.1+(141.8-545.4)+(-1.476501+(-0.072318--0.278154))+0-63.8--0.0325379999999935</f>
        <v>2426.4618729999997</v>
      </c>
      <c r="Z92" s="3">
        <f>3066.2+(147.3-501.7)+(0+(0-0))+0-42.2-0</f>
        <v>2669.6</v>
      </c>
      <c r="AA92" s="3">
        <f>3203.4+(147.5-561.8)+(-3.267468+(-0.15045--0.573036))+0-59.3--0.0604860000000095</f>
        <v>2727.0156040000002</v>
      </c>
      <c r="AB92" s="3">
        <f>3138.8+(148.1-577.3)+(-1.600788+(-0.075531--0.294423))+0-55--0.0280499999999944</f>
        <v>2653.2461540000004</v>
      </c>
      <c r="AC92" s="3">
        <f>2878.7+(147.4-431.4)+(0+(0-0))+0-47.1-0</f>
        <v>2547.6</v>
      </c>
      <c r="AD92">
        <f t="shared" si="1"/>
        <v>57818.202104999997</v>
      </c>
      <c r="AE92" s="3">
        <f>3239+(148-560.7)+(0+(0-0))+0-95-0</f>
        <v>2731.3</v>
      </c>
    </row>
    <row r="93" spans="1:31" s="2" customFormat="1" x14ac:dyDescent="0.25">
      <c r="A93">
        <v>89</v>
      </c>
      <c r="B93">
        <v>3</v>
      </c>
      <c r="C93">
        <v>31</v>
      </c>
      <c r="D93">
        <v>3</v>
      </c>
      <c r="E93">
        <v>1</v>
      </c>
      <c r="F93" s="3">
        <f>2791.7+(107.6-456.5)+(-1.423767+(-0.054876--0.232815))+0-61.5--0.0313649999999938</f>
        <v>2380.0855369999995</v>
      </c>
      <c r="G93" s="3">
        <f>2727.5+(96-507)+(1.391025+(0.04896-0.25857))+0-52-0.0265199999999947</f>
        <v>2265.6548950000001</v>
      </c>
      <c r="H93" s="3">
        <f>2612.5+(95.7-475.4)+(1.332375+(0.048807-0.242454))+0-42.5-0.0216749999999957</f>
        <v>2191.4170530000001</v>
      </c>
      <c r="I93" s="3">
        <f>2557.1+(94.7-436.8)+(2.608242+(0.096594-0.445536))+0-64.1-0.0653820000000102</f>
        <v>2153.093918</v>
      </c>
      <c r="J93" s="3">
        <f>2571.6+(94.9-469.9)+(5.246064+(0.193596-0.958596))+0-27.6-0.0563039999999988</f>
        <v>2173.4247599999999</v>
      </c>
      <c r="K93" s="3">
        <f>2425.4+(94.5-443.6)+(0+(0-0))+0-79.3-0</f>
        <v>1997.0000000000002</v>
      </c>
      <c r="L93" s="3">
        <f>2171.6+(95.2-303.7)+(-1.107516+(-0.048552--0.154887))+0-53.2--0.0271319999999946</f>
        <v>1908.9259509999997</v>
      </c>
      <c r="M93" s="3">
        <f>2376.8+(95.7-251.2)+(0+(0-0))+0-69.1-0</f>
        <v>2152.2000000000003</v>
      </c>
      <c r="N93" s="3">
        <f>2642.6+(134.8-364.1)+(2.695452+(0.137496-0.371382))+0-62-0.0632400000000099</f>
        <v>2353.6983259999997</v>
      </c>
      <c r="O93" s="3">
        <f>2829.4+(140.5-382.5)+(2.885988+(0.14331-0.39015))+0-50.9-0.0519180000000081</f>
        <v>2539.0872300000001</v>
      </c>
      <c r="P93" s="3">
        <f>2912.6+(139.3-308.4)+(0+(0-0))+0-76.9-0</f>
        <v>2666.6</v>
      </c>
      <c r="Q93" s="3">
        <f>3021.8+(139-353.7)+(0+(0-0))+0-68.4-0</f>
        <v>2738.7000000000003</v>
      </c>
      <c r="R93" s="3">
        <f>3166+(139.1-448.8)+(1.61466+(0.070941-0.228888))+0-71.5-0.0364649999999927</f>
        <v>2786.2202480000001</v>
      </c>
      <c r="S93" s="3">
        <f>3244.6+(138.9-567)+(0+(0-0))+0-69.5-0</f>
        <v>2747</v>
      </c>
      <c r="T93" s="3">
        <f>3189.1+(138.7-543.2)+(1.626441+(0.070737-0.277032))+0-82.2-0.0419219999999917</f>
        <v>2703.7782240000001</v>
      </c>
      <c r="U93" s="3">
        <f>3193.7+(124.2-562.9)+(-1.628787+(-0.063342--0.287079))+0-78--0.0397799999999921</f>
        <v>2675.6347300000002</v>
      </c>
      <c r="V93" s="3">
        <f>3182.4+(113.1-589.9)+(3.246048+(0.115362-0.601698))+0-49.7-0.0506940000000079</f>
        <v>2658.6090180000006</v>
      </c>
      <c r="W93" s="3">
        <f>3170.3+(111.4-593.9)+(1.616853+(0.056814-0.302889))+0-81.1-0.0413609999999918</f>
        <v>2608.0294170000002</v>
      </c>
      <c r="X93" s="3">
        <f>2944.1+(128-561.3)+(0+(0-0))+0-43.8-0</f>
        <v>2467</v>
      </c>
      <c r="Y93" s="3">
        <f>2854.3+(119.5-490.1)+(2.911386+(0.12189-0.499902))+0-83.6-0.0852720000000133</f>
        <v>2402.5481020000007</v>
      </c>
      <c r="Z93" s="3">
        <f>3170.4+(91-547.3)+(0+(0-0))+0-81-0</f>
        <v>2633.1000000000004</v>
      </c>
      <c r="AA93" s="3">
        <f>3222.8+(78.1-545.4)+(-1.643628+(-0.039831--0.278154))+0-75.9--0.0387089999999923</f>
        <v>2678.2334039999996</v>
      </c>
      <c r="AB93" s="3">
        <f>3228+(11.2-547)+(0+(0-0))+0-82.5-0</f>
        <v>2609.6999999999998</v>
      </c>
      <c r="AC93" s="3">
        <f>2953.8+(72.6-584.3)+(-4.519314+(-0.111078--0.893979))+0-20.5--0.0313650000000012</f>
        <v>2417.8949520000001</v>
      </c>
      <c r="AD93">
        <f t="shared" si="1"/>
        <v>58907.635764999992</v>
      </c>
      <c r="AE93" s="3">
        <f>3222+(62.9-491.2)+(0+(0-0))+0-90.7-0</f>
        <v>2703</v>
      </c>
    </row>
    <row r="94" spans="1:31" s="2" customFormat="1" x14ac:dyDescent="0.25">
      <c r="A94">
        <v>89</v>
      </c>
      <c r="B94">
        <v>4</v>
      </c>
      <c r="C94">
        <v>1</v>
      </c>
      <c r="D94">
        <v>4</v>
      </c>
      <c r="E94">
        <v>1</v>
      </c>
      <c r="F94" s="3">
        <f>2900+(45.2-520)+(-7.395+(-0.11526--1.326))+0-71.8--0.18308999999999</f>
        <v>2347.3988299999996</v>
      </c>
      <c r="G94" s="3">
        <f>2524.1+(40.6-281.4)+(-3.861873+(-0.062118--0.430542))+0-63.6--0.0973080000000037</f>
        <v>2216.3038589999996</v>
      </c>
      <c r="H94" s="3">
        <f>2386.9+(59.9-227.6)+(-4.869276+(-0.122196--0.464304))+0-80.5--0.164219999999996</f>
        <v>2134.3370520000003</v>
      </c>
      <c r="I94" s="3">
        <f>2362.5+(65.5-257.5)+(-3.614625+(-0.100215--0.393975))+0-76.1--0.116433000000004</f>
        <v>2091.1955680000001</v>
      </c>
      <c r="J94" s="3">
        <f>2369.6+(71.3-297.3)+(-1.208496+(-0.036363--0.151623))+0-67.8--0.0345779999999931</f>
        <v>2074.7413419999993</v>
      </c>
      <c r="K94" s="3">
        <f>2224.9+(60-227.9)+(-4.538796+(-0.1224--0.464916))+0-63.3--0.129131999999997</f>
        <v>1989.632852</v>
      </c>
      <c r="L94" s="3">
        <f>2117.7+(76.7-136.1)+(1.080027+(0.039117-0.069411))+0-70.2-0.0358019999999929</f>
        <v>1989.1139309999994</v>
      </c>
      <c r="M94" s="3">
        <f>2253.4+(48.6-135.6)+(2.298468+(0.049572-0.138312))+0-20.7-0.0211140000000033</f>
        <v>2147.888614</v>
      </c>
      <c r="N94" s="3">
        <f>2560.2+(44.3-258.8)+(-1.305702+(-0.022593--0.131988))+0-17.4--0.00887399999999823</f>
        <v>2327.1125669999997</v>
      </c>
      <c r="O94" s="3">
        <f>2832.1+(41.9-379.4)+(2.888742+(0.042738-0.386988))+0-14.8-0.0150960000000024</f>
        <v>2482.3293959999996</v>
      </c>
      <c r="P94" s="3">
        <f>3192.2+(55.5-555.7)+(1.628022+(0.028305-0.283407))+0-11.1-0.00566099999999887</f>
        <v>2682.2672589999997</v>
      </c>
      <c r="Q94" s="3">
        <f>3242.8+(60.7-596.6)+(0+(0-0))+0-10.7-0</f>
        <v>2696.2000000000003</v>
      </c>
      <c r="R94" s="3">
        <f>3286.5+(57.4-612.4)+(-1.676115+(-0.029274--0.312324))+0-10.4--0.00530399999999895</f>
        <v>2719.7122389999995</v>
      </c>
      <c r="S94" s="3">
        <f>3277+(69.1-656.7)+(-3.34254+(-0.070482--0.669834))+0-10.6--0.0108120000000017</f>
        <v>2676.0676240000003</v>
      </c>
      <c r="T94" s="3">
        <f>3185.6+(75-631.7)+(1.624656+(0.03825-0.322167))+0-17.6-0.00897599999999821</f>
        <v>2612.6317629999999</v>
      </c>
      <c r="U94" s="3">
        <f>3173.7+(74.9-661.2)+(4.855761+(0.114597-1.011636))+0-13.6-0.0208080000000008</f>
        <v>2577.7379139999994</v>
      </c>
      <c r="V94" s="3">
        <f>3096.4+(85.3-651.6)+(-3.158328+(-0.087006--0.664632))+0-15.1--0.0154020000000024</f>
        <v>2512.4346999999998</v>
      </c>
      <c r="W94" s="3">
        <f>2827.2+(88.3-430.4)+(-2.883744+(-0.090066--0.439008))+0-16.7--0.0170340000000027</f>
        <v>2465.8822319999999</v>
      </c>
      <c r="X94" s="3">
        <f>2442.3+(87.6-141.8)+(-3.736719+(-0.134028--0.216954))+0-13.4--0.0205020000000008</f>
        <v>2371.0667090000002</v>
      </c>
      <c r="Y94" s="3">
        <f>2468.6+(82.4-136.8)+(1.258986+(0.042024-0.069768))+0-15.7-0.00800699999999841</f>
        <v>2399.7232349999999</v>
      </c>
      <c r="Z94" s="3">
        <f>2792.7+(29.5-262)+(-4.272831+(-0.045135--0.40086))+0-18.2--0.0278460000000011</f>
        <v>2538.1107400000001</v>
      </c>
      <c r="AA94" s="3">
        <f>2895.6+(18.4-376.6)+(-1.476756+(-0.009384--0.192066))+0-15.8--0.0080579999999984</f>
        <v>2520.3139839999994</v>
      </c>
      <c r="AB94" s="3">
        <f>2703.6+(72.2-342.5)+(0+(0-0))+0-35.6-0</f>
        <v>2397.6999999999998</v>
      </c>
      <c r="AC94" s="3">
        <f>2405.3+(118.8-181.6)+(-1.226703+(-0.060588--0.092616))+0-53.4--0.0272339999999946</f>
        <v>2287.9325589999999</v>
      </c>
      <c r="AD94">
        <f t="shared" si="1"/>
        <v>57257.834968999989</v>
      </c>
      <c r="AE94" s="3">
        <f>2931+(19.8-392)+(0+(0-0))+0-14-0</f>
        <v>2544.8000000000002</v>
      </c>
    </row>
    <row r="95" spans="1:31" s="2" customFormat="1" x14ac:dyDescent="0.25">
      <c r="A95">
        <v>89</v>
      </c>
      <c r="B95">
        <v>4</v>
      </c>
      <c r="C95">
        <v>2</v>
      </c>
      <c r="D95">
        <v>5</v>
      </c>
      <c r="E95">
        <v>1</v>
      </c>
      <c r="F95" s="3">
        <f>2191.7+(85.8-55.6)+(0+(0-0))+0-64.9-0</f>
        <v>2156.9999999999995</v>
      </c>
      <c r="G95" s="3">
        <f>2142.4+(68-59.4)+(-2.185248+(-0.06936--0.060588))+0-75--0.076500000000012</f>
        <v>2073.8824800000002</v>
      </c>
      <c r="H95" s="3">
        <f>1948.5+(123-50.7)+(0+(0-0))+0-25-0</f>
        <v>1995.8</v>
      </c>
      <c r="I95" s="3">
        <f>1928.4+(131-51.5)+(-1.966968+(-0.13362--0.05253))+0-55--0.0561000000000088</f>
        <v>1950.908042</v>
      </c>
      <c r="J95" s="3">
        <f>1931+(143-63)+(-0.98481+(-0.07293--0.03213))+0-90--0.0458999999999909</f>
        <v>1920.0202900000002</v>
      </c>
      <c r="K95" s="3">
        <f>1909.7+(76.9-92.9)+(-1.947894+(-0.078438--0.094758))+0-45.7--0.0466140000000073</f>
        <v>1846.1150400000001</v>
      </c>
      <c r="L95" s="3">
        <f>1909.3+(86.4-73.5)+(-0.973743+(-0.044064--0.037485))+0-69.2--0.035291999999993</f>
        <v>1852.0549700000001</v>
      </c>
      <c r="M95" s="3">
        <f>2133.5+(43.2-110.1)+(-1.088085+(-0.022032--0.056151))+0-62.6--0.0319259999999936</f>
        <v>2002.9779599999999</v>
      </c>
      <c r="N95" s="3">
        <f>2363.5+(65.8-191.2)+(0+(0-0))+0-48.8-0</f>
        <v>2189.2999999999997</v>
      </c>
      <c r="O95" s="3">
        <f>2510.2+(80-232.5)+(-3.840606+(-0.1224--0.355725))+0-30.2--0.0462060000000017</f>
        <v>2323.9389249999999</v>
      </c>
      <c r="P95" s="3">
        <f>2735.2+(74.5-247.7)+(1.394952+(0.037995-0.126327))+0-82.2-0.0419219999999917</f>
        <v>2481.0646980000001</v>
      </c>
      <c r="Q95" s="3">
        <f>2867.9+(112.8-330.6)+(-1.462629+(-0.057528--0.168606))+0-73--0.0372299999999926</f>
        <v>2575.7856789999996</v>
      </c>
      <c r="R95" s="3">
        <f>2934.8+(82.3-324.8)+(1.496748+(0.041973-0.165648))+0-71.9-0.0366689999999927</f>
        <v>2621.7364040000002</v>
      </c>
      <c r="S95" s="3">
        <f>2931.1+(81.4-358.1)+(-1.494861+(-0.041514--0.182631))+0-59.2--0.030191999999994</f>
        <v>2593.876448</v>
      </c>
      <c r="T95" s="3">
        <f>2895.4+(54-267.2)+(2.953308+(0.05508-0.272544))+0-100-0.102000000000016</f>
        <v>2584.8338440000002</v>
      </c>
      <c r="U95" s="3">
        <f>2737.1+(99.5-329.5)+(1.395921+(0.050745-0.168045))+0-72.9-0.0371789999999926</f>
        <v>2435.4414419999998</v>
      </c>
      <c r="V95" s="3">
        <f>2675.6+(117.1-315.1)+(0+(0-0))+0-100-0</f>
        <v>2377.6</v>
      </c>
      <c r="W95" s="3">
        <f>2616.2+(118.5-284.7)+(-1.334262+(-0.060435--0.145197))+0-74.1--0.0377909999999925</f>
        <v>2374.6882910000004</v>
      </c>
      <c r="X95" s="3">
        <f>2613.3+(128.6-322.7)+(-3.998349+(-0.196758--0.493731))+0-26.4--0.0403920000000015</f>
        <v>2389.1390160000001</v>
      </c>
      <c r="Y95" s="3">
        <f>2556.1+(120.9-263.3)+(-2.607222+(-0.123318--0.268566))+0-72.6--0.0740520000000116</f>
        <v>2338.712078</v>
      </c>
      <c r="Z95" s="3">
        <f>2807.1+(108.8-267.3)+(0+(0-0))+0-87.9-0</f>
        <v>2560.6999999999998</v>
      </c>
      <c r="AA95" s="3">
        <f>2946.5+(117.7-374.1)+(-4.508145+(-0.180081--0.572373))+0-79--0.120870000000005</f>
        <v>2607.1050170000003</v>
      </c>
      <c r="AB95" s="3">
        <f>2773+(134.6-290.1)+(-2.82846+(-0.137292--0.295902))+0-77.9--0.0794580000000124</f>
        <v>2537.0096079999998</v>
      </c>
      <c r="AC95" s="3">
        <f>2643.9+(133.5-280.2)+(-1.348389+(-0.068085--0.142902))+0-71.6--0.0365159999999927</f>
        <v>2424.3629440000004</v>
      </c>
      <c r="AD95">
        <f t="shared" si="1"/>
        <v>55214.053175999994</v>
      </c>
      <c r="AE95" s="3">
        <f>2965+(108.3-355.8)+(0+(0-0))+0-85.3-0</f>
        <v>2632.2</v>
      </c>
    </row>
    <row r="96" spans="1:31" s="2" customFormat="1" x14ac:dyDescent="0.25">
      <c r="A96">
        <v>89</v>
      </c>
      <c r="B96">
        <v>4</v>
      </c>
      <c r="C96">
        <v>3</v>
      </c>
      <c r="D96">
        <v>6</v>
      </c>
      <c r="E96">
        <v>1</v>
      </c>
      <c r="F96" s="3">
        <f>2463.3+(100.1-224.3)+(-5.025132+(-0.204204--0.457572))+0-76.9--0.156875999999997</f>
        <v>2257.5851120000002</v>
      </c>
      <c r="G96" s="3">
        <f>2311.9+(97.5-196.3)+(-5.895345+(-0.248625--0.500565))+0-93.2--0.237659999999986</f>
        <v>2114.4942550000001</v>
      </c>
      <c r="H96" s="3">
        <f>2297.1+(97.6-284.1)+(-1.171521+(-0.049776--0.144891))+0-76--0.0387599999999923</f>
        <v>2033.5623539999997</v>
      </c>
      <c r="I96" s="3">
        <f>2169.8+(97.6-224)+(-2.213196+(-0.099552--0.22848))+0-42.1--0.0429420000000067</f>
        <v>1999.2586740000002</v>
      </c>
      <c r="J96" s="3">
        <f>2127+(98.5-156.7)+(-1.08477+(-0.050235--0.079917))+0-86.8--0.0442679999999912</f>
        <v>1980.9891800000003</v>
      </c>
      <c r="K96" s="3">
        <f>2079.1+(98.5-221)+(-3.181023+(-0.150705--0.33813))+0-66.8--0.102204000000004</f>
        <v>1886.908606</v>
      </c>
      <c r="L96" s="3">
        <f>1989.7+(98.8-144.6)+(0+(0-0))+0-66-0</f>
        <v>1877.9</v>
      </c>
      <c r="M96" s="3">
        <f>2128.2+(99.4-122.4)+(-1.085382+(-0.050694--0.062424))+0-82--0.0418199999999917</f>
        <v>2022.1681679999997</v>
      </c>
      <c r="N96" s="3">
        <f>2339.7+(129.6-271.2)+(0+(0-0))+0-20.3-0</f>
        <v>2177.7999999999997</v>
      </c>
      <c r="O96" s="3">
        <f>2471+(133.8-293.9)+(1.26021+(0.068238-0.149889))+0-15.4-0.00785399999999844</f>
        <v>2296.670705</v>
      </c>
      <c r="P96" s="3">
        <f>2616+(134.5-329.4)+(2.66832+(0.13719-0.335988))+0-15.9-0.0162180000000025</f>
        <v>2407.6533039999995</v>
      </c>
      <c r="Q96" s="3">
        <f>2694.4+(133-321.8)+(4.122432+(0.20349-0.492354))+0-13.7-0.0209610000000008</f>
        <v>2495.7126069999999</v>
      </c>
      <c r="R96" s="3">
        <f>2722.8+(132.6-324.5)+(1.388628+(0.067626-0.165495))+0-26.8-0.0136679999999973</f>
        <v>2505.3770909999998</v>
      </c>
      <c r="S96" s="3">
        <f>2726.2+(135.2-283.1)+(2.780724+(0.137904-0.288762))+0-71.9-0.0733380000000115</f>
        <v>2508.9565279999997</v>
      </c>
      <c r="T96" s="3">
        <f>2715.4+(135-296.9)+(-4.154562+(-0.20655--0.454257))+0-84.3--0.128979000000005</f>
        <v>2465.4221239999997</v>
      </c>
      <c r="U96" s="3">
        <f>2630.8+(133.3-264.9)+(-1.341708+(-0.067983--0.135099))+0-72.9--0.0371789999999926</f>
        <v>2425.0625869999999</v>
      </c>
      <c r="V96" s="3">
        <f>2588.5+(135.3-270)+(-5.28054+(-0.276012--0.5508))+0-56.8--0.115871999999998</f>
        <v>2392.1101199999998</v>
      </c>
      <c r="W96" s="3">
        <f>2581.6+(136.8-271.2)+(-5.266464+(-0.279072--0.553248))+0-85.6--0.174623999999996</f>
        <v>2356.7823360000002</v>
      </c>
      <c r="X96" s="3">
        <f>2544.9+(132.1-307.9)+(-3.893697+(-0.202113--0.471087))+0-73.5--0.112455000000004</f>
        <v>2292.087732</v>
      </c>
      <c r="Y96" s="3">
        <f>2437.7+(117.5-205.7)+(-1.243227+(-0.059925--0.104907))+0-72--0.0367199999999927</f>
        <v>2276.338475</v>
      </c>
      <c r="Z96" s="3">
        <f>2619.8+(127.6-202.4)+(-1.336098+(-0.065076--0.103224))+0-78.4--0.039983999999992</f>
        <v>2465.3420339999998</v>
      </c>
      <c r="AA96" s="3">
        <f>2792.2+(133.6-323.6)+(-5.696088+(-0.272544--0.660144))+0-80.4--0.164015999999996</f>
        <v>2516.6555279999998</v>
      </c>
      <c r="AB96" s="3">
        <f>2736+(143.6-350.1)+(-1.39536+(-0.073236--0.178551))+0-91--0.0464099999999908</f>
        <v>2437.2563649999997</v>
      </c>
      <c r="AC96" s="3">
        <f>2531.2+(143.8-264.2)+(1.290912+(0.073338-0.134742))+0-74.4-0.0379439999999925</f>
        <v>2337.5915639999994</v>
      </c>
      <c r="AD96">
        <f t="shared" si="1"/>
        <v>54529.685449000004</v>
      </c>
      <c r="AE96" s="3">
        <f>2752+(137.4-307)+(0+(0-0))+0-91.4-0</f>
        <v>2491</v>
      </c>
    </row>
    <row r="97" spans="1:31" s="2" customFormat="1" x14ac:dyDescent="0.25">
      <c r="A97">
        <v>89</v>
      </c>
      <c r="B97">
        <v>4</v>
      </c>
      <c r="C97">
        <v>4</v>
      </c>
      <c r="D97">
        <v>7</v>
      </c>
      <c r="E97">
        <v>1</v>
      </c>
      <c r="F97" s="3">
        <f>2453.8+(107.7-272.6)+(1.251438+(0.054927-0.139026))+0-80.8-0.0412079999999918</f>
        <v>2209.2261309999999</v>
      </c>
      <c r="G97" s="3">
        <f>2308.9+(98-250.9)+(-1.177539+(-0.04998--0.127959))+0-75.8--0.0386579999999923</f>
        <v>2079.1390979999996</v>
      </c>
      <c r="H97" s="3">
        <f>2194.9+(98.3-235.3)+(-2.238798+(-0.100266--0.240006))+0-56.5--0.057630000000009</f>
        <v>1999.3585720000003</v>
      </c>
      <c r="I97" s="3">
        <f>2204.5+(98.2-264)+(1.124295+(0.050082-0.13464))+0-75.9-0.0387089999999923</f>
        <v>1963.8010280000001</v>
      </c>
      <c r="J97" s="3">
        <f>2177+(98-282.8)+(-2.22054+(-0.09996--0.288456))+0-65.6--0.0669120000000104</f>
        <v>1924.6348680000001</v>
      </c>
      <c r="K97" s="3">
        <f>2116.7+(98.5-321.9)+(-3.238551+(-0.150705--0.492507))+0-76.8--0.117504000000004</f>
        <v>1813.7207549999998</v>
      </c>
      <c r="L97" s="3">
        <f>2013.5+(98.3-245.5)+(-2.05377+(-0.100266--0.25041))+0-89.6--0.0913920000000143</f>
        <v>1774.8877660000001</v>
      </c>
      <c r="M97" s="3">
        <f>2014.7+(97.6-237.7)+(-4.109988+(-0.199104--0.484908))+0-73.8--0.150551999999997</f>
        <v>1797.1263680000002</v>
      </c>
      <c r="N97" s="3">
        <f>2018.1+(127-236)+(-1.029231+(-0.06477--0.12036))+0-37--0.0188699999999962</f>
        <v>1871.145229</v>
      </c>
      <c r="O97" s="3">
        <f>2062.4+(140.9-153.2)+(1.051824+(0.071859-0.078132))+0-77.6-0.0395759999999921</f>
        <v>1973.5059750000003</v>
      </c>
      <c r="P97" s="3">
        <f>2140.3+(138.9-133.4)+(-5.457765+(-0.354195--0.34017))+0-64.2--0.163709999999991</f>
        <v>2076.2919200000001</v>
      </c>
      <c r="Q97" s="3">
        <f>2357.5+(141-289.1)+(1.202325+(0.07191-0.147441))+0-70-0.0356999999999929</f>
        <v>2140.491094</v>
      </c>
      <c r="R97" s="3">
        <f>2389.5+(140.7-291.2)+(-1.218645+(-0.071757--0.148512))+0-40.5--0.0206549999999959</f>
        <v>2197.3787649999999</v>
      </c>
      <c r="S97" s="3">
        <f>2390.8+(141.6-240.9)+(0+(0-0))+0-74.7-0</f>
        <v>2216.8000000000002</v>
      </c>
      <c r="T97" s="3">
        <f>2411.1+(141.4-252.9)+(-3.688983+(-0.216342--0.386937))+0-76.9--0.117657000000004</f>
        <v>2219.2992689999996</v>
      </c>
      <c r="U97" s="3">
        <f>2410.6+(142.3-276.2)+(3.688218+(0.217719-0.422586))+0-73.8-0.112914000000004</f>
        <v>2206.2704369999997</v>
      </c>
      <c r="V97" s="3">
        <f>2403.5+(141.1-278.6)+(-2.45157+(-0.143922--0.284172))+0-73.1--0.0745620000000116</f>
        <v>2190.6632420000001</v>
      </c>
      <c r="W97" s="3">
        <f>2405.5+(142.4-300.2)+(-4.90722+(-0.290496--0.612408))+0-78.4--0.159935999999997</f>
        <v>2164.8746279999996</v>
      </c>
      <c r="X97" s="3">
        <f>2314+(143.2-313.7)+(-1.18014+(-0.073032--0.159987))+0-20.3--0.0103529999999979</f>
        <v>2122.1171679999998</v>
      </c>
      <c r="Y97" s="3">
        <f>2250.2+(143.4-199.1)+(-2.295204+(-0.146268--0.203082))+0-86.2--0.0879240000000137</f>
        <v>2106.1495340000001</v>
      </c>
      <c r="Z97" s="3">
        <f>2478.4+(142.8-230.3)+(-2.527968+(-0.145656--0.234906))+0-71.5--0.0729300000000114</f>
        <v>2317.034212</v>
      </c>
      <c r="AA97" s="3">
        <f>2616.6+(140.4-320.8)+(-4.003398+(-0.214812--0.490824))+0-77.1--0.117963000000004</f>
        <v>2355.490577</v>
      </c>
      <c r="AB97" s="3">
        <f>2586.6+(141.6-348.2)+(-2.638332+(-0.144432--0.355164))+0-73.8--0.0752760000000118</f>
        <v>2303.8476759999999</v>
      </c>
      <c r="AC97" s="3">
        <f>2407.4+(140.3-186.6)+(-2.455548+(-0.143106--0.190332))+0-84.4--0.0860880000000135</f>
        <v>2274.3777659999996</v>
      </c>
      <c r="AD97">
        <f t="shared" si="1"/>
        <v>50297.632077999988</v>
      </c>
      <c r="AE97" s="3">
        <f>2622+(142-326)+(0+(0-0))+0-103-0</f>
        <v>2335</v>
      </c>
    </row>
    <row r="98" spans="1:31" s="2" customFormat="1" x14ac:dyDescent="0.25">
      <c r="A98">
        <v>89</v>
      </c>
      <c r="B98">
        <v>4</v>
      </c>
      <c r="C98">
        <v>5</v>
      </c>
      <c r="D98">
        <v>1</v>
      </c>
      <c r="E98">
        <v>3</v>
      </c>
      <c r="F98" s="3">
        <f>2411.4+(102-304.7)+(-3.689442+(-0.15606--0.466191))+0-73.5--0.112455000000004</f>
        <v>2131.9331440000001</v>
      </c>
      <c r="G98" s="3">
        <f>2268.9+(96.9-279.8)+(-4.628556+(-0.197676--0.570792))+0-78.3--0.159731999999997</f>
        <v>2003.6042920000002</v>
      </c>
      <c r="H98" s="3">
        <f>2222.9+(96.2-299.5)+(-1.133679+(-0.049062--0.152745))+0-70.5--0.0359549999999928</f>
        <v>1948.1059590000002</v>
      </c>
      <c r="I98" s="3">
        <f>2170.7+(96.7-277.7)+(-3.321171+(-0.147951--0.424881))+0-72.5--0.110925000000004</f>
        <v>1914.2666839999997</v>
      </c>
      <c r="J98" s="3">
        <f>2023.8+(96.6-152.5)+(-2.064276+(-0.098532--0.15555))+0-85--0.0867000000000136</f>
        <v>1880.9794419999998</v>
      </c>
      <c r="K98" s="3">
        <f>2016.4+(97.3-252.9)+(-7.198548+(-0.347361--0.902853))+0-82--0.292740000000001</f>
        <v>1772.4496840000004</v>
      </c>
      <c r="L98" s="3">
        <f>1999.5+(96.7-266.1)+(-2.03949+(-0.098634--0.271422))+0-60.7--0.0619140000000097</f>
        <v>1767.5952119999999</v>
      </c>
      <c r="M98" s="3">
        <f>1976.7+(96.3-166.4)+(-4.032468+(-0.196452--0.339456))+0-75.1--0.153203999999997</f>
        <v>1827.7637400000001</v>
      </c>
      <c r="N98" s="3">
        <f>1983.8+(126.7-85.2)+(-2.023476+(-0.129234--0.086904))+0-85.5--0.0872100000000136</f>
        <v>1937.8214039999998</v>
      </c>
      <c r="O98" s="3">
        <f>2099.7+(141.9-108.7)+(-2.141694+(-0.144738--0.110874))+0-59.3--0.0604860000000095</f>
        <v>2071.4849279999994</v>
      </c>
      <c r="P98" s="3">
        <f>2305.5+(140.2-194.4)+(-3.527415+(-0.214506--0.297432))+0-68.3--0.104499000000004</f>
        <v>2179.6600100000001</v>
      </c>
      <c r="Q98" s="3">
        <f>2385.3+(140.5-195.1)+(-2.433006+(-0.14331--0.199002))+0-84.7--0.0863940000000135</f>
        <v>2243.7090800000005</v>
      </c>
      <c r="R98" s="3">
        <f>2505.3+(141.6-278)+(-2.555406+(-0.144432--0.28356))+0-73.8--0.0752760000000118</f>
        <v>2292.7589979999998</v>
      </c>
      <c r="S98" s="3">
        <f>2491.9+(140.5-281)+(-3.812607+(-0.214965--0.42993))+0-76--0.116280000000004</f>
        <v>2271.9186380000001</v>
      </c>
      <c r="T98" s="3">
        <f>2491.2+(140.7-285.7)+(0+(0-0))+0-77.4-0</f>
        <v>2268.7999999999997</v>
      </c>
      <c r="U98" s="3">
        <f>2493.4+(139.8-305.3)+(-1.271634+(-0.071298--0.155703))+0-69--0.035189999999993</f>
        <v>2257.747961</v>
      </c>
      <c r="V98" s="3">
        <f>2500.2+(140.8-304.1)+(-6.37551+(-0.35904--0.775455))+0-89.5--0.228224999999987</f>
        <v>2241.6691299999993</v>
      </c>
      <c r="W98" s="3">
        <f>2437.8+(141.2-326.5)+(-3.729834+(-0.216036--0.499545))+0-26.9--0.0411570000000016</f>
        <v>2222.1948320000001</v>
      </c>
      <c r="X98" s="3">
        <f>2283.3+(141.7-154.7)+(-3.493449+(-0.216801--0.236691))+0-85.1--0.130203000000005</f>
        <v>2181.8566440000004</v>
      </c>
      <c r="Y98" s="3">
        <f>2106.1+(188.7-78.4)+(0+(0-0))+0-59.9-0</f>
        <v>2156.5</v>
      </c>
      <c r="Z98" s="3">
        <f>2512.2+(143.4-201.4)+(0+(0-0))+0-74.7-0</f>
        <v>2379.5</v>
      </c>
      <c r="AA98" s="3">
        <f>2709.5+(144-326.6)+(-2.76369+(-0.14688--0.333132))+0-85.5--0.0872100000000136</f>
        <v>2438.9097720000004</v>
      </c>
      <c r="AB98" s="3">
        <f>2623.1+(144.1-328.4)+(0+(0-0))+0-64.2-0</f>
        <v>2374.6</v>
      </c>
      <c r="AC98" s="3">
        <f>2490.4+(145-315)+(2.540208+(0.1479-0.3213))+0-40.7-0.0415140000000065</f>
        <v>2282.0252940000005</v>
      </c>
      <c r="AD98">
        <f t="shared" si="1"/>
        <v>51047.854847999995</v>
      </c>
      <c r="AE98" s="3">
        <f>2740+(144.1-320.2)+(0+(0-0))+0-94.6-0</f>
        <v>2469.3000000000002</v>
      </c>
    </row>
    <row r="99" spans="1:31" s="2" customFormat="1" x14ac:dyDescent="0.25">
      <c r="A99">
        <v>89</v>
      </c>
      <c r="B99">
        <v>4</v>
      </c>
      <c r="C99">
        <v>6</v>
      </c>
      <c r="D99">
        <v>2</v>
      </c>
      <c r="E99">
        <v>1</v>
      </c>
      <c r="F99" s="3">
        <f>2358.5+(101.3-225)+(0+(0-0))+0-71.2-0</f>
        <v>2163.6000000000004</v>
      </c>
      <c r="G99" s="3">
        <f>2281.4+(96-273)+(-3.490542+(-0.14688--0.41769))+0-55.9--0.0855270000000032</f>
        <v>2045.3657949999999</v>
      </c>
      <c r="H99" s="3">
        <f>2210+(99.5-266.4)+(-5.6355+(-0.253725--0.67932))+0-65.3--0.166514999999991</f>
        <v>1972.7566099999999</v>
      </c>
      <c r="I99" s="3">
        <f>2150.9+(98.8-224.7)+(-5.484795+(-0.25194--0.572985))+0-75.4--0.192269999999989</f>
        <v>1944.62852</v>
      </c>
      <c r="J99" s="3">
        <f>2139.6+(99.1-239.6)+(-1.091196+(-0.050541--0.122196))+0-87.7--0.0447269999999911</f>
        <v>1910.4251859999999</v>
      </c>
      <c r="K99" s="3">
        <f>2043+(99.1-244.5)+(-4.16772+(-0.202164--0.49878))+0-73.2--0.149327999999997</f>
        <v>1820.6782239999998</v>
      </c>
      <c r="L99" s="3">
        <f>2024.3+(98.4-219.9)+(-1.032393+(-0.050184--0.112149))+0-79.4--0.0404939999999919</f>
        <v>1822.4700659999999</v>
      </c>
      <c r="M99" s="3">
        <f>2055.3+(98-116.8)+(1.048203+(0.04998-0.059568))+0-45.9-0.0234089999999953</f>
        <v>1991.6152060000002</v>
      </c>
      <c r="N99" s="3">
        <f>2217.1+(137.1-97.7)+(-2.261442+(-0.139842--0.099654))+0-79.3--0.0808860000000126</f>
        <v>2174.9792560000001</v>
      </c>
      <c r="O99" s="3">
        <f>2408.5+(142.5-184.5)+(1.228335+(0.072675-0.094095))+0-54.7-0.0278969999999945</f>
        <v>2312.9790180000005</v>
      </c>
      <c r="P99" s="3">
        <f>2628.7+(142.7-262.2)+(0+(0-0))+0-74.1-0</f>
        <v>2435.1</v>
      </c>
      <c r="Q99" s="3">
        <f>2706.3+(140.9-242.6)+(2.760426+(0.143718-0.247452))+0-86.9-0.0886380000000139</f>
        <v>2520.2680540000001</v>
      </c>
      <c r="R99" s="3">
        <f>2763.9+(141.8-259.5)+(0+(0-0))+0-73.3-0</f>
        <v>2572.9</v>
      </c>
      <c r="S99" s="3">
        <f>2746.9+(143.2-247.2)+(-1.400919+(-0.073032--0.126072))+0-80.7--0.0411569999999918</f>
        <v>2560.8932780000005</v>
      </c>
      <c r="T99" s="3">
        <f>2731+(141.2-235.8)+(0+(0-0))+0-79.5-0</f>
        <v>2556.9</v>
      </c>
      <c r="U99" s="3">
        <f>2733.6+(141.7-278.2)+(-2.788272+(-0.144534--0.283764))+0-65.1--0.0664020000000104</f>
        <v>2529.4173599999999</v>
      </c>
      <c r="V99" s="3">
        <f>2740+(143.6-264.2)+(0+(0-0))+0-74-0</f>
        <v>2545.4</v>
      </c>
      <c r="W99" s="3">
        <f>2773.1+(141.7-357.2)+(-2.828562+(-0.144534--0.364344))+0-66.4--0.0677280000000106</f>
        <v>2488.6589759999997</v>
      </c>
      <c r="X99" s="3">
        <f>2758.8+(142.9-396.1)+(-5.627952+(-0.291516--0.808044))+0-74.4--0.151775999999997</f>
        <v>2426.2403520000003</v>
      </c>
      <c r="Y99" s="3">
        <f>2551.8+(144.9-242.4)+(-1.301418+(-0.073899--0.123624))+0-74.9--0.0381989999999924</f>
        <v>2378.186506</v>
      </c>
      <c r="Z99" s="3">
        <f>2851.9+(142.1-378)+(-1.454469+(-0.072471--0.19278))+0-20.5--0.0104549999999979</f>
        <v>2594.1762950000002</v>
      </c>
      <c r="AA99" s="3">
        <f>3037.3+(141.3-478.5)+(0+(0-0))+0-56.8-0</f>
        <v>2643.3</v>
      </c>
      <c r="AB99" s="3">
        <f>3002.6+(142.5-495.5)+(-1.531326+(-0.072675--0.252705))+0-75.4--0.0384539999999924</f>
        <v>2572.887158</v>
      </c>
      <c r="AC99" s="3">
        <f>2975.3+(140.5-540.1)+(-1.517403+(-0.071655--0.275451))+0-85.6--0.0436559999999913</f>
        <v>2488.8300490000001</v>
      </c>
      <c r="AD99">
        <f t="shared" si="1"/>
        <v>55472.655908999994</v>
      </c>
      <c r="AE99" s="3">
        <f>3053+(141.7-455.5)+(0+(0-0))+0-90-0</f>
        <v>2649.2</v>
      </c>
    </row>
    <row r="100" spans="1:31" s="2" customFormat="1" x14ac:dyDescent="0.25">
      <c r="A100">
        <v>89</v>
      </c>
      <c r="B100">
        <v>4</v>
      </c>
      <c r="C100">
        <v>7</v>
      </c>
      <c r="D100">
        <v>3</v>
      </c>
      <c r="E100">
        <v>1</v>
      </c>
      <c r="F100" s="3">
        <f>2777.4+(101.7-478.3)+(-2.832948+(-0.103734--0.487866))+0-64.4--0.0656880000000103</f>
        <v>2334.0168720000001</v>
      </c>
      <c r="G100" s="3">
        <f>2524+(89.5-371.8)+(-1.28724+(-0.045645--0.189618))+0-71.4--0.0364139999999928</f>
        <v>2169.193147</v>
      </c>
      <c r="H100" s="3">
        <f>2363.6+(90.6-295.4)+(-3.616308+(-0.138618--0.451962))+0-64.7--0.0989910000000037</f>
        <v>2090.8960269999998</v>
      </c>
      <c r="I100" s="3">
        <f>2363.5+(91.3-315.5)+(-2.41077+(-0.093126--0.32181))+0-81.7--0.083334000000013</f>
        <v>2055.5012480000005</v>
      </c>
      <c r="J100" s="3">
        <f>2200.7+(91.1-218.1)+(-5.611785+(-0.232305--0.556155))+0-57.8--0.147389999999992</f>
        <v>2010.7594550000001</v>
      </c>
      <c r="K100" s="3">
        <f>2034.8+(91-142.1)+(-4.150992+(-0.18564--0.289884))+0-65--0.132599999999997</f>
        <v>1914.785852</v>
      </c>
      <c r="L100" s="3">
        <f>1942.6+(139.2-73.1)+(-3.962904+(-0.283968--0.149124))+0-81.7--0.166667999999996</f>
        <v>1923.0689199999999</v>
      </c>
      <c r="M100" s="3">
        <f>2120+(120.1-84.2)+(-1.0812+(-0.061251--0.042942))+0-76--0.0387599999999923</f>
        <v>2078.8392509999999</v>
      </c>
      <c r="N100" s="3">
        <f>2552.9+(138.4-346.5)+(0+(0-0))+0-72.1-0</f>
        <v>2272.7000000000003</v>
      </c>
      <c r="O100" s="3">
        <f>2842.9+(141.4-491.4)+(-2.899758+(-0.144228--0.501228))+0-58.7--0.0598740000000094</f>
        <v>2431.7171160000003</v>
      </c>
      <c r="P100" s="3">
        <f>2877.4+(141.8-457.6)+(-4.402422+(-0.216954--0.700128))+0-16.2--0.0247860000000009</f>
        <v>2541.5055379999999</v>
      </c>
      <c r="Q100" s="3">
        <f>2876.8+(142.1-393.7)+(-1.467168+(-0.072471--0.200787))+0-13.8--0.0070379999999986</f>
        <v>2610.0681860000004</v>
      </c>
      <c r="R100" s="3">
        <f>2923.9+(141.4-398.3)+(0+(0-0))+0-13.9-0</f>
        <v>2653.1</v>
      </c>
      <c r="S100" s="3">
        <f>2940.8+(141.4-425.1)+(0+(0-0))+0-26.2-0</f>
        <v>2630.9000000000005</v>
      </c>
      <c r="T100" s="3">
        <f>2967+(141-416.6)+(-3.02634+(-0.14382--0.424932))+0-80.9--0.0825180000000129</f>
        <v>2607.8372899999999</v>
      </c>
      <c r="U100" s="3">
        <f>2914.7+(141.4-390.6)+(4.459491+(0.216342-0.597618))+0-78.4-0.119952000000005</f>
        <v>2591.0582629999999</v>
      </c>
      <c r="V100" s="3">
        <f>2900.6+(143.4-405.6)+(1.479306+(0.073134-0.206856))+0-73.7-0.0375869999999925</f>
        <v>2566.0079970000002</v>
      </c>
      <c r="W100" s="3">
        <f>2878.3+(142.9-416.6)+(-2.935866+(-0.145758--0.424932))+0-71.7--0.0731340000000114</f>
        <v>2530.3164420000007</v>
      </c>
      <c r="X100" s="3">
        <f>2888.2+(143.3-527.6)+(-7.36491+(-0.365415--1.34538))+0-70.7--0.18028499999999</f>
        <v>2426.9953399999999</v>
      </c>
      <c r="Y100" s="3">
        <f>2709.2+(145-396.2)+(-2.763384+(-0.1479--0.404124))+0-85.7--0.0874140000000137</f>
        <v>2369.8802540000001</v>
      </c>
      <c r="Z100" s="3">
        <f>2927.1+(142.8-402.9)+(-1.492821+(-0.072828--0.205479))+0-70.3--0.0358529999999929</f>
        <v>2595.3756829999998</v>
      </c>
      <c r="AA100" s="3">
        <f>3062+(142.2-480)+(-4.68486+(-0.217566--0.7344))+0-78.5--0.120105000000005</f>
        <v>2641.652079</v>
      </c>
      <c r="AB100" s="3">
        <f>3018.6+(143.2-541.1)+(-6.157944+(-0.292128--1.103844))+0-44.8--0.091391999999998</f>
        <v>2570.6451639999996</v>
      </c>
      <c r="AC100" s="3">
        <f>2871.1+(142.2-516)+(-5.857044+(-0.290088--1.05264))+0-45--0.091799999999998</f>
        <v>2447.2973079999997</v>
      </c>
      <c r="AD100">
        <f t="shared" si="1"/>
        <v>57064.117432000014</v>
      </c>
      <c r="AE100" s="3">
        <f>3098+(142.7-530.9)+(0+(0-0))+0-100.8-0</f>
        <v>2609</v>
      </c>
    </row>
    <row r="101" spans="1:31" s="2" customFormat="1" x14ac:dyDescent="0.25">
      <c r="A101">
        <v>89</v>
      </c>
      <c r="B101">
        <v>4</v>
      </c>
      <c r="C101">
        <v>8</v>
      </c>
      <c r="D101">
        <v>4</v>
      </c>
      <c r="E101">
        <v>1</v>
      </c>
      <c r="F101" s="3">
        <f>2757.5+(104.5-487.2)+(-7.031625+(-0.266475--1.24236))+0-68.2--0.17390999999999</f>
        <v>2300.7181700000006</v>
      </c>
      <c r="G101" s="3">
        <f>2615.6+(97.1-461.6)+(-1.333956+(-0.049521--0.235416))+0-90.9--0.0463589999999908</f>
        <v>2159.0982979999999</v>
      </c>
      <c r="H101" s="3">
        <f>2512.4+(97.3-465.7)+(-2.562648+(-0.099246--0.475014))+0-62.7--0.06395400000001</f>
        <v>2079.1770740000002</v>
      </c>
      <c r="I101" s="3">
        <f>2420.5+(97.2-415.8)+(-6.172275+(-0.24786--1.06029))+0-63.8--0.162689999999991</f>
        <v>2032.9028450000001</v>
      </c>
      <c r="J101" s="3">
        <f>2429.6+(95.6-439.4)+(-4.956384+(-0.195024--0.896376))+0-80.7--0.164627999999996</f>
        <v>2001.0095960000001</v>
      </c>
      <c r="K101" s="3">
        <f>2278.1+(96.7-435.4)+(-5.809155+(-0.246585--1.11027))+0-30.3--0.0772649999999956</f>
        <v>1904.2317949999999</v>
      </c>
      <c r="L101" s="3">
        <f>2035+(95.8-210.7)+(-3.11355+(-0.146574--0.322371))+0-15.9--0.0243270000000009</f>
        <v>1901.286574</v>
      </c>
      <c r="M101" s="3">
        <f>2123.3+(106.8-152.1)+(0+(0-0))+0-17.4-0</f>
        <v>2060.6</v>
      </c>
      <c r="N101" s="3">
        <f>2487.4+(134.5-352.6)+(-3.805722+(-0.205785--0.539478))+0-17.3--0.026469000000001</f>
        <v>2248.5544399999999</v>
      </c>
      <c r="O101" s="3">
        <f>2715.9+(140.9-452.8)+(1.385109+(0.071859-0.230928))+0-14.8-0.0075479999999985</f>
        <v>2390.4184919999998</v>
      </c>
      <c r="P101" s="3">
        <f>2834.9+(141.1-451.4)+(1.445799+(0.071961-0.230214))+0-15.5-0.00790499999999843</f>
        <v>2510.3796410000004</v>
      </c>
      <c r="Q101" s="3">
        <f>2967.9+(140.1-502.9)+(3.027258+(0.142902-0.512958))+0-13.4-0.0136680000000021</f>
        <v>2594.3435340000001</v>
      </c>
      <c r="R101" s="3">
        <f>3035.8+(139-526.2)+(1.548258+(0.07089-0.268362))+0-10.4-0.00530399999999895</f>
        <v>2639.5454820000004</v>
      </c>
      <c r="S101" s="3">
        <f>3023.1+(138.5-542.2)+(-1.541781+(-0.070635--0.276522))+0-9.5--0.00484499999999904</f>
        <v>2608.5689509999997</v>
      </c>
      <c r="T101" s="3">
        <f>3037.7+(138.7-570.2)+(3.098454+(0.141474-0.581604))+0-11.6-0.0118320000000018</f>
        <v>2597.2464919999998</v>
      </c>
      <c r="U101" s="3">
        <f>3047.1+(139.7-579.8)+(-3.108042+(-0.142494--0.591396))+0-10.7--0.0109140000000017</f>
        <v>2593.6517739999999</v>
      </c>
      <c r="V101" s="3">
        <f>3043.4+(140-598.1)+(0+(0-0))+0-13.6-0</f>
        <v>2571.7000000000003</v>
      </c>
      <c r="W101" s="3">
        <f>2983.9+(140.5-575)+(-6.087156+(-0.28662--1.173))+0-12--0.0244799999999995</f>
        <v>2532.223704</v>
      </c>
      <c r="X101" s="3">
        <f>2867.4+(141.3-553.9)+(-5.849496+(-0.288252--1.129956))+0-13.4--0.0273359999999994</f>
        <v>2436.4195440000003</v>
      </c>
      <c r="Y101" s="3">
        <f>2721.8+(141.5-465.6)+(-1.388118+(-0.072165--0.237456))+0-11.4--0.00581399999999884</f>
        <v>2385.0829870000002</v>
      </c>
      <c r="Z101" s="3">
        <f>2864.3+(142.2-392.8)+(1.460793+(0.072522-0.200328))+0-20.5-0.0104549999999979</f>
        <v>2594.522532</v>
      </c>
      <c r="AA101" s="3">
        <f>3085.5+(141.1-566.8)+(-3.14721+(-0.143922--0.578136))+0-12.6--0.012852000000002</f>
        <v>2644.4998559999999</v>
      </c>
      <c r="AB101" s="3">
        <f>3044.7+(142.8-589.6)+(1.552797+(0.072828-0.300696))+0-13.5-0.00688499999999863</f>
        <v>2585.7180439999997</v>
      </c>
      <c r="AC101" s="3">
        <f>2786.5+(142.7-455.6)+(-1.421115+(-0.072777--0.232356))+0-12.6--0.00642599999999872</f>
        <v>2459.7448899999999</v>
      </c>
      <c r="AD101">
        <f t="shared" si="1"/>
        <v>56831.644715000017</v>
      </c>
      <c r="AE101" s="3">
        <f>3056+(141.3-566.2)+(0+(0-0))+0-13.3-0</f>
        <v>2617.7999999999997</v>
      </c>
    </row>
    <row r="102" spans="1:31" s="2" customFormat="1" x14ac:dyDescent="0.25">
      <c r="A102">
        <v>89</v>
      </c>
      <c r="B102">
        <v>4</v>
      </c>
      <c r="C102">
        <v>9</v>
      </c>
      <c r="D102">
        <v>5</v>
      </c>
      <c r="E102">
        <v>1</v>
      </c>
      <c r="F102" s="3">
        <f>2710.7+(109.2-510.6)+(-8.294742+(-0.334152--1.562436))+0-10.7--0.0327420000000012</f>
        <v>2291.566284</v>
      </c>
      <c r="G102" s="3">
        <f>2587.3+(96.9-512.3)+(1.319523+(0.049419-0.261273))+0-11.8-0.0060179999999988</f>
        <v>2161.2016509999999</v>
      </c>
      <c r="H102" s="3">
        <f>2419.4+(95.8-412.8)+(-4.935576+(-0.195432--0.842112))+0-7--0.0142799999999997</f>
        <v>2091.1253839999999</v>
      </c>
      <c r="I102" s="3">
        <f>2396.6+(95.8-440.7)+(-2.444532+(-0.097716--0.449514))+0-5.8--0.00591600000000092</f>
        <v>2043.8131820000001</v>
      </c>
      <c r="J102" s="3">
        <f>2342.2+(95.9-415.3)+(-1.194522+(-0.048909--0.211803))+0-6.1--0.00311099999999938</f>
        <v>2015.6714829999999</v>
      </c>
      <c r="K102" s="3">
        <f>2183+(95.7-373.7)+(-4.45332+(-0.195228--0.762348))+0-6.1--0.0124439999999997</f>
        <v>1895.0262440000001</v>
      </c>
      <c r="L102" s="3">
        <f>2008.6+(95.9-201.2)+(0+(0-0))+0-5.9-0</f>
        <v>1897.3999999999999</v>
      </c>
      <c r="M102" s="3">
        <f>2226.3+(95.8-279.1)+(1.135413+(0.048858-0.142341))+0-5.9-0.0030089999999994</f>
        <v>2038.1389210000002</v>
      </c>
      <c r="N102" s="3">
        <f>2477.9+(136.5-376.5)+(-2.527458+(-0.13923--0.38403))+0-6.2--0.00632400000000099</f>
        <v>2229.4236660000001</v>
      </c>
      <c r="O102" s="3">
        <f>2714.6+(141-461.5)+(2.768892+(0.14382-0.47073))+0-6.3-0.006426000000001</f>
        <v>2390.2355559999996</v>
      </c>
      <c r="P102" s="3">
        <f>2850.3+(140.6-555.4)+(0+(0-0))+0-6.1-0</f>
        <v>2429.4</v>
      </c>
      <c r="Q102" s="3">
        <f>3024.9+(140.4-600.5)+(3.085398+(0.143208-0.61251))+0-5.8-0.00591600000000092</f>
        <v>2561.6101800000001</v>
      </c>
      <c r="R102" s="3">
        <f>3091.7+(140.7-569.6)+(-1.576767+(-0.071757--0.290496))+0-5.8--0.00295799999999941</f>
        <v>2655.6449299999995</v>
      </c>
      <c r="S102" s="3">
        <f>3094.3+(141-600.1)+(3.156186+(0.14382-0.612102))+0-6.1-0.00622200000000097</f>
        <v>2631.7816820000003</v>
      </c>
      <c r="T102" s="3">
        <f>3053.2+(141.5-579.1)+(1.557132+(0.072165-0.295341))+0-7.2-0.00367199999999927</f>
        <v>2609.7302840000002</v>
      </c>
      <c r="U102" s="3">
        <f>3026.7+(141.8-556.5)+(1.543617+(0.072318-0.283815))+0-8.5-0.00433499999999914</f>
        <v>2604.8277849999999</v>
      </c>
      <c r="V102" s="3">
        <f>2998.1+(141.9-555.9)+(-4.587093+(-0.217107--0.850527))+0-9.2--0.0140760000000005</f>
        <v>2570.960403</v>
      </c>
      <c r="W102" s="3">
        <f>2993.2+(142.2-576.8)+(-6.106128+(-0.290088--1.176672))+0-21.6--0.0440639999999991</f>
        <v>2531.8245200000001</v>
      </c>
      <c r="X102" s="3">
        <f>2892.7+(142.8-567.5)+(-5.901108+(-0.291312--1.1577))+0-12.7--0.0259079999999994</f>
        <v>2450.2911880000001</v>
      </c>
      <c r="Y102" s="3">
        <f>2812.4+(141.7-544.9)+(-5.737296+(-0.289068--1.111596))+0-15.1--0.0308039999999993</f>
        <v>2389.2160360000003</v>
      </c>
      <c r="Z102" s="3">
        <f>2993.1+(142.4-506)+(1.526481+(0.072624-0.25806))+0-17.1-0.00872099999999827</f>
        <v>2613.7323240000001</v>
      </c>
      <c r="AA102" s="3">
        <f>3046.2+(142.2-491.4)+(0+(0-0))+0-34.3-0</f>
        <v>2662.7</v>
      </c>
      <c r="AB102" s="3">
        <f>3043.1+(142.2-516.4)+(-1.551981+(-0.072522--0.263364))+0-64.8--0.0330479999999934</f>
        <v>2602.7719089999996</v>
      </c>
      <c r="AC102" s="3">
        <f>2908.1+(141.6-547)+(-1.483131+(-0.072216--0.27897))+0-21.2--0.0108119999999978</f>
        <v>2480.2344349999998</v>
      </c>
      <c r="AD102">
        <f t="shared" si="1"/>
        <v>56848.328046999995</v>
      </c>
      <c r="AE102" s="3">
        <f>3059+(141.8-469.7)+(0+(0-0))+0-85.6-0</f>
        <v>2645.5</v>
      </c>
    </row>
    <row r="103" spans="1:31" s="2" customFormat="1" x14ac:dyDescent="0.25">
      <c r="A103">
        <v>89</v>
      </c>
      <c r="B103">
        <v>4</v>
      </c>
      <c r="C103">
        <v>10</v>
      </c>
      <c r="D103">
        <v>6</v>
      </c>
      <c r="E103">
        <v>1</v>
      </c>
      <c r="F103" s="3">
        <f>2679+(102.3-380.1)+(-4.09887+(-0.156519--0.581553))+0-82--0.125460000000005</f>
        <v>2315.6516240000001</v>
      </c>
      <c r="G103" s="3">
        <f>2591.3+(95.6-438.4)+(-1.321563+(-0.048756--0.223584))+0-60.9--0.0310589999999938</f>
        <v>2186.484324</v>
      </c>
      <c r="H103" s="3">
        <f>2535.7+(95.8-441.2)+(-3.879621+(-0.146574--0.675036))+0-66.9--0.102357000000004</f>
        <v>2120.151198</v>
      </c>
      <c r="I103" s="3">
        <f>2504.3+(95.1-433.4)+(0+(0-0))+0-80.3-0</f>
        <v>2085.6999999999998</v>
      </c>
      <c r="J103" s="3">
        <f>2282.8+(96.6-264.1)+(2.328456+(0.098532-0.269382))+0-66-0.0673200000000105</f>
        <v>2051.3902860000003</v>
      </c>
      <c r="K103" s="3">
        <f>2200.1+(97-281.3)+(-4.488204+(-0.19788--0.573852))+0-65.5--0.133619999999997</f>
        <v>1946.3213880000001</v>
      </c>
      <c r="L103" s="3">
        <f>2209.8+(96.6-311.1)+(-2.253996+(-0.098532--0.317322))+0-60.6--0.0618120000000097</f>
        <v>1932.7266060000002</v>
      </c>
      <c r="M103" s="3">
        <f>2384.6+(95.5-323.7)+(3.648438+(0.146115-0.495261))+0-80.5-0.123165000000005</f>
        <v>2079.0761270000003</v>
      </c>
      <c r="N103" s="3">
        <f>2565.4+(120.8-370.9)+(-1.308354+(-0.061608--0.189159))+0-40.2--0.0205019999999959</f>
        <v>2273.939699</v>
      </c>
      <c r="O103" s="3">
        <f>2765.7+(139.8-420.8)+(0+(0-0))+0-76.3-0</f>
        <v>2408.3999999999996</v>
      </c>
      <c r="P103" s="3">
        <f>2943.4+(138.9-476.4)+(7.50567+(0.354195-1.21482))+0-68.4-0.17441999999999</f>
        <v>2543.9706250000004</v>
      </c>
      <c r="Q103" s="3">
        <f>3054.9+(141.6-504.1)+(1.557999+(0.072216-0.257091))+0-74-0.0377399999999925</f>
        <v>2619.7353840000001</v>
      </c>
      <c r="R103" s="3">
        <f>3080.3+(140.6-505.2)+(1.570953+(0.071706-0.257652))+0-68-0.0346799999999931</f>
        <v>2649.0503269999999</v>
      </c>
      <c r="S103" s="3">
        <f>3024.4+(141.3-475.3)+(0+(0-0))+0-84.9-0</f>
        <v>2605.5</v>
      </c>
      <c r="T103" s="3">
        <f>3004.8+(141-507.8)+(0+(0-0))+0-67.3-0</f>
        <v>2570.6999999999998</v>
      </c>
      <c r="U103" s="3">
        <f>3000.3+(140.3-505.4)+(-4.590459+(-0.214659--0.773262))+0-71.5--0.109395000000004</f>
        <v>2559.7775390000002</v>
      </c>
      <c r="V103" s="3">
        <f>2953.3+(141.6-492.1)+(0+(0-0))+0-78.1-0</f>
        <v>2524.7000000000003</v>
      </c>
      <c r="W103" s="3">
        <f>2907.8+(143.9-532.4)+(-7.41489+(-0.366945--1.35762))+0-22.6--0.0576299999999967</f>
        <v>2490.3334150000001</v>
      </c>
      <c r="X103" s="3">
        <f>2819.2+(142.7-547.2)+(-5.751168+(-0.291108--1.116288))+0-20.7--0.0422279999999991</f>
        <v>2389.1162399999998</v>
      </c>
      <c r="Y103" s="3">
        <f>2721.5+(145.1-497.9)+(-5.55186+(-0.296004--1.015716))+0-46.4--0.094655999999998</f>
        <v>2317.562508</v>
      </c>
      <c r="Z103" s="3">
        <f>2906.8+(145.3-440.2)+(-1.482468+(-0.074103--0.224502))+0-73.5--0.0374849999999925</f>
        <v>2537.1054159999999</v>
      </c>
      <c r="AA103" s="3">
        <f>3073+(144.7-552.6)+(-3.13446+(-0.147594--0.563652))+0-88.4--0.0901680000000141</f>
        <v>2574.071766</v>
      </c>
      <c r="AB103" s="3">
        <f>2881.3+(144.6-434.4)+(-2.938926+(-0.147492--0.443088))+0-78--0.0795600000000124</f>
        <v>2510.9362300000003</v>
      </c>
      <c r="AC103" s="3">
        <f>2794.9+(144.6-436.7)+(-1.425399+(-0.073746--0.222717))+0-62.9--0.0320789999999936</f>
        <v>2438.655651</v>
      </c>
      <c r="AD103">
        <f t="shared" si="1"/>
        <v>56731.056353000007</v>
      </c>
      <c r="AE103" s="3">
        <f>3093+(144.2-556.8)+(0+(0-0))+0-87.1-0</f>
        <v>2593.3000000000002</v>
      </c>
    </row>
    <row r="104" spans="1:31" s="2" customFormat="1" x14ac:dyDescent="0.25">
      <c r="A104">
        <v>89</v>
      </c>
      <c r="B104">
        <v>4</v>
      </c>
      <c r="C104">
        <v>11</v>
      </c>
      <c r="D104">
        <v>7</v>
      </c>
      <c r="E104">
        <v>1</v>
      </c>
      <c r="F104" s="3">
        <f>2766+(104.5-488.9)+(0+(0-0))+0-71.5-0</f>
        <v>2310.1</v>
      </c>
      <c r="G104" s="3">
        <f>2618.4+(97.6-424.4)+(-2.670768+(-0.099552--0.432888))+0-88--0.089760000000014</f>
        <v>2201.3523280000004</v>
      </c>
      <c r="H104" s="3">
        <f>2364.6+(97.5-282)+(0+(0-0))+0-71.6-0</f>
        <v>2108.5</v>
      </c>
      <c r="I104" s="3">
        <f>2287.4+(97.1-255.5)+(-4.666296+(-0.198084--0.52122))+0-74.1--0.151163999999997</f>
        <v>2050.7080040000001</v>
      </c>
      <c r="J104" s="3">
        <f>2300.5+(97-308.1)+(-2.34651+(-0.09894--0.314262))+0-69.2--0.070584000000011</f>
        <v>2018.1393960000003</v>
      </c>
      <c r="K104" s="3">
        <f>2159+(98-272.5)+(-5.50545+(-0.2499--0.694875))+0-77.4--0.197369999999989</f>
        <v>1902.236895</v>
      </c>
      <c r="L104" s="3">
        <f>2108.4+(97.9-273)+(-2.150568+(-0.099858--0.27846))+0-74.6--0.0760920000000119</f>
        <v>1856.8041260000002</v>
      </c>
      <c r="M104" s="3">
        <f>2128.4+(99.6-252.1)+(0+(0-0))+0-74.9-0</f>
        <v>1901</v>
      </c>
      <c r="N104" s="3">
        <f>2201.4+(133.3-272.9)+(0+(0-0))+0-69.9-0</f>
        <v>1991.9</v>
      </c>
      <c r="O104" s="3">
        <f>2230.6+(149.7-200.2)+(-2.275212+(-0.152694--0.204204))+0-75.1--0.076602000000012</f>
        <v>2102.8529000000003</v>
      </c>
      <c r="P104" s="3">
        <f>2261.4+(188.2-183.3)+(0+(0-0))+0-51.4-0</f>
        <v>2214.9</v>
      </c>
      <c r="Q104" s="3">
        <f>2360.1+(173.2-177.9)+(-1.203651+(-0.088332--0.090729))+0-67--0.0341699999999932</f>
        <v>2287.2329159999999</v>
      </c>
      <c r="R104" s="3">
        <f>2503.6+(138.7-266.8)+(-1.276836+(-0.070737--0.136068))+0-59.6--0.030395999999994</f>
        <v>2314.718891</v>
      </c>
      <c r="S104" s="3">
        <f>2633.5+(140.2-370.9)+(2.68617+(0.143004-0.378318))+0-75.5-0.077010000000012</f>
        <v>2329.6738460000001</v>
      </c>
      <c r="T104" s="3">
        <f>2641.7+(140.7-409.9)+(-1.347267+(-0.071757--0.209049))+0-68.4--0.0348839999999931</f>
        <v>2302.9249089999998</v>
      </c>
      <c r="U104" s="3">
        <f>2627.1+(147.7-408.5)+(-1.339821+(-0.075327--0.208335))+0-60.2--0.0307019999999939</f>
        <v>2304.9238890000001</v>
      </c>
      <c r="V104" s="3">
        <f>2595.6+(150.7-362)+(1.323756+(0.076857-0.18462))+0-85.9-0.0438089999999913</f>
        <v>2299.5721839999997</v>
      </c>
      <c r="W104" s="3">
        <f>2571.1+(151.9-388.4)+(-5.245044+(-0.309876--0.792336))+0-54.7--0.111587999999998</f>
        <v>2275.2490040000002</v>
      </c>
      <c r="X104" s="3">
        <f>2453.5+(153-294.7)+(-1.251285+(-0.07803--0.150297))+0-67.6--0.0344759999999931</f>
        <v>2243.0554580000003</v>
      </c>
      <c r="Y104" s="3">
        <f>2364+(152.3-231.6)+(-3.61692+(-0.233019--0.354348))+0-84.9--0.129897000000005</f>
        <v>2196.4343059999997</v>
      </c>
      <c r="Z104" s="3">
        <f>2592.6+(152.4-244.8)+(0+(0-0))+0-80.5-0</f>
        <v>2419.6999999999998</v>
      </c>
      <c r="AA104" s="3">
        <f>2883.4+(153.3-486.6)+(-1.470534+(-0.078183--0.248166))+0-69.9--0.0356489999999929</f>
        <v>2478.9350979999999</v>
      </c>
      <c r="AB104" s="3">
        <f>2866.7+(154.7-486.9)+(-2.924034+(-0.157794--0.496638))+0-77.1--0.0786420000000123</f>
        <v>2454.8934520000003</v>
      </c>
      <c r="AC104" s="3">
        <f>2776.1+(152.3-461.7)+(1.415811+(0.077673-0.235467))+0-67-0.0341699999999932</f>
        <v>2400.923847</v>
      </c>
      <c r="AD104">
        <f t="shared" si="1"/>
        <v>52966.731448999999</v>
      </c>
      <c r="AE104" s="3">
        <f>2899+(153.9-483.2)+(0+(0-0))+0-91.4-0</f>
        <v>2478.2999999999997</v>
      </c>
    </row>
    <row r="105" spans="1:31" s="2" customFormat="1" x14ac:dyDescent="0.25">
      <c r="A105">
        <v>89</v>
      </c>
      <c r="B105">
        <v>4</v>
      </c>
      <c r="C105">
        <v>12</v>
      </c>
      <c r="D105">
        <v>1</v>
      </c>
      <c r="E105">
        <v>1</v>
      </c>
      <c r="F105" s="3">
        <f>2694.3+(109.8-446.3)+(2.748186+(0.111996-0.455226))+0-65.5-0.0668100000000104</f>
        <v>2294.6381460000002</v>
      </c>
      <c r="G105" s="3">
        <f>2442.8+(97.2-276.7)+(-1.245828+(-0.049572--0.141117))+0-83.7--0.0426869999999915</f>
        <v>2178.4884040000006</v>
      </c>
      <c r="H105" s="3">
        <f>2351.1+(96.5-275.5)+(-1.199061+(-0.049215--0.140505))+0-79.4--0.0404939999999919</f>
        <v>2091.6327229999997</v>
      </c>
      <c r="I105" s="3">
        <f>2292.5+(98.3-286.2)+(0+(0-0))+0-55.1-0</f>
        <v>2049.5</v>
      </c>
      <c r="J105" s="3">
        <f>2295.9+(98.2-322)+(-3.512727+(-0.150246--0.49266))+0-61.1--0.0934830000000035</f>
        <v>2007.92317</v>
      </c>
      <c r="K105" s="3">
        <f>2247.5+(98.3-398)+(-5.731125+(-0.250665--1.0149))+0-20.1--0.0512549999999971</f>
        <v>1922.7843650000002</v>
      </c>
      <c r="L105" s="3">
        <f>2054+(98-184.3)+(0+(0-0))+0-20.1-0</f>
        <v>1947.6000000000001</v>
      </c>
      <c r="M105" s="3">
        <f>2148.9+(113.1-132.8)+(2.191878+(0.115362-0.135456))+0-18.4-0.0187680000000029</f>
        <v>2112.9530160000004</v>
      </c>
      <c r="N105" s="3">
        <f>2414.2+(139.3-221.8)+(1.231242+(0.071043-0.113118))+0-19.6-0.00999599999999801</f>
        <v>2313.2791710000001</v>
      </c>
      <c r="O105" s="3">
        <f>2754.2+(151.5-428.2)+(4.213926+(0.231795-0.655146))+0-16.6-0.025398000000001</f>
        <v>2464.6651769999999</v>
      </c>
      <c r="P105" s="3">
        <f>2935.1+(148.9-455.8)+(5.987604+(0.303756-0.929832))+0-29.8-0.0607919999999987</f>
        <v>2603.7007359999993</v>
      </c>
      <c r="Q105" s="3">
        <f>3080.5+(149.1-478.3)+(-1.571055+(-0.076041--0.243933))+0-79.9--0.0407489999999919</f>
        <v>2670.0375859999999</v>
      </c>
      <c r="R105" s="3">
        <f>3141.8+(149.4-488.8)+(0+(0-0))+0-84.7-0</f>
        <v>2717.7000000000003</v>
      </c>
      <c r="S105" s="3">
        <f>3185.6+(149.6-560.9)+(0+(0-0))+0-70-0</f>
        <v>2704.3</v>
      </c>
      <c r="T105" s="3">
        <f>3201.7+(149.6-599.7)+(1.632867+(0.076296-0.305847))+0-75-0.0382499999999924</f>
        <v>2677.9650659999998</v>
      </c>
      <c r="U105" s="3">
        <f>3173.1+(149.6-573)+(1.618281+(0.076296-0.29223))+0-73.3-0.0373829999999926</f>
        <v>2677.764964</v>
      </c>
      <c r="V105" s="3">
        <f>3146.8+(149.9-558.4)+(3.209736+(0.152898-0.569568))+0-73.6-0.0750720000000117</f>
        <v>2667.4179940000004</v>
      </c>
      <c r="W105" s="3">
        <f>3065.5+(149.5-521.2)+(0+(0-0))+0-71.9-0</f>
        <v>2621.9</v>
      </c>
      <c r="X105" s="3">
        <f>2994.9+(150.2-541.4)+(-3.054798+(-0.153204--0.552228))+0-62.4--0.0636480000000099</f>
        <v>2538.7078740000002</v>
      </c>
      <c r="Y105" s="3">
        <f>2875.1+(151-469.7)+(0+(0-0))+0-58.8-0</f>
        <v>2497.6</v>
      </c>
      <c r="Z105" s="3">
        <f>3167.7+(151.4-534)+(-1.615527+(-0.077214--0.27234))+0-73.5--0.0374849999999925</f>
        <v>2710.2170839999999</v>
      </c>
      <c r="AA105" s="3">
        <f>3303.2+(149.6-620.6)+(-3.369264+(-0.152592--0.633012))+0-78.3--0.0798660000000125</f>
        <v>2751.0910219999996</v>
      </c>
      <c r="AB105" s="3">
        <f>3180.9+(149.2-560.7)+(0+(0-0))+0-86.4-0</f>
        <v>2683</v>
      </c>
      <c r="AC105" s="3">
        <f>2974.3+(148.8-465.5)+(-1.516893+(-0.075888--0.237405))+0-76.1--0.0388109999999923</f>
        <v>2580.1834350000004</v>
      </c>
      <c r="AD105">
        <f t="shared" si="1"/>
        <v>58485.049932999995</v>
      </c>
      <c r="AE105" s="3">
        <f>3339+(149.8-621.8)+(0+(0-0))+0-89.2-0</f>
        <v>2777.8</v>
      </c>
    </row>
    <row r="106" spans="1:31" s="2" customFormat="1" x14ac:dyDescent="0.25">
      <c r="A106">
        <v>89</v>
      </c>
      <c r="B106">
        <v>4</v>
      </c>
      <c r="C106">
        <v>13</v>
      </c>
      <c r="D106">
        <v>2</v>
      </c>
      <c r="E106">
        <v>1</v>
      </c>
      <c r="F106" s="3">
        <f>2834.3+(102.5-440.6)+(-2.890986+(-0.10455--0.449412))+0-69.7--0.0710940000000111</f>
        <v>2424.0249700000004</v>
      </c>
      <c r="G106" s="3">
        <f>2680.4+(99.5-403.9)+(-2.734008+(-0.10149--0.411978))+0-74.4--0.0758880000000119</f>
        <v>2299.2523679999999</v>
      </c>
      <c r="H106" s="3">
        <f>2591.5+(100.3-387)+(0+(0-0))+0-85.5-0</f>
        <v>2219.3000000000002</v>
      </c>
      <c r="I106" s="3">
        <f>2526.3+(98.9-389.2)+(0+(0-0))+0-62.7-0</f>
        <v>2173.3000000000002</v>
      </c>
      <c r="J106" s="3">
        <f>2367.4+(99.8-272.6)+(3.622122+(0.152694-0.417078))+0-67.3-0.102969000000004</f>
        <v>2130.5547689999999</v>
      </c>
      <c r="K106" s="3">
        <f>2248.8+(99.4-242.7)+(-1.146888+(-0.050694--0.123777))+0-71.9--0.0366689999999927</f>
        <v>2032.562864</v>
      </c>
      <c r="L106" s="3">
        <f>2231+(98.8-224.7)+(0+(0-0))+0-87.8-0</f>
        <v>2017.3</v>
      </c>
      <c r="M106" s="3">
        <f>2409.5+(98.9-268.4)+(-3.686535+(-0.151317--0.410652))+0-71.2--0.108936000000004</f>
        <v>2165.4817360000002</v>
      </c>
      <c r="N106" s="3">
        <f>2696.9+(137.8-430.8)+(-2.750838+(-0.140556--0.439416))+0-59--0.0601800000000094</f>
        <v>2342.508202</v>
      </c>
      <c r="O106" s="3">
        <f>2808.3+(149.6-387.4)+(-4.296699+(-0.228888--0.592722))+0-84--0.128520000000005</f>
        <v>2482.695655</v>
      </c>
      <c r="P106" s="3">
        <f>3039+(148.7-511.8)+(-1.54989+(-0.075837--0.261018))+0-64.1--0.0326909999999935</f>
        <v>2610.4679820000001</v>
      </c>
      <c r="Q106" s="3">
        <f>3171+(150.5-562.7)+(-1.61721+(-0.076755--0.286977))+0-63.1--0.0321809999999936</f>
        <v>2694.3251930000001</v>
      </c>
      <c r="R106" s="3">
        <f>3256.8+(150.8-570.6)+(3.321936+(0.153816-0.582012))+0-78.4-0.0799680000000125</f>
        <v>2761.4137719999999</v>
      </c>
      <c r="S106" s="3">
        <f>3206.6+(149.1-536.9)+(1.635366+(0.076041-0.273819))+0-81.5-0.0415649999999917</f>
        <v>2738.696023</v>
      </c>
      <c r="T106" s="3">
        <f>3239.1+(148.7-594.7)+(1.651941+(0.075837-0.303297))+0-77.6-0.0395759999999921</f>
        <v>2716.8849049999999</v>
      </c>
      <c r="U106" s="3">
        <f>3192.4+(149.5-588.2)+(1.628124+(0.076245-0.299982))+0-70.2-0.0358019999999929</f>
        <v>2684.8685850000002</v>
      </c>
      <c r="V106" s="3">
        <f>3131.4+(150.2-555.9)+(-1.597014+(-0.076602--0.283509))+0-74.7--0.0380969999999924</f>
        <v>2649.6479900000004</v>
      </c>
      <c r="W106" s="3">
        <f>3088.7+(151-608.2)+(-4.725711+(-0.23103--0.930546))+0-20.8--0.0318240000000012</f>
        <v>2606.705629</v>
      </c>
      <c r="X106" s="3">
        <f>3005+(150.3-606.7)+(-3.0651+(-0.153306--0.618834))+0-19--0.019380000000003</f>
        <v>2527.019808</v>
      </c>
      <c r="Y106" s="3">
        <f>2922.1+(150.5-550.2)+(-1.490271+(-0.076755--0.280602))+0-46.2--0.0235619999999953</f>
        <v>2474.9371379999998</v>
      </c>
      <c r="Z106" s="3">
        <f>3096.8+(150.5-503.3)+(3.158736+(0.15351-0.513366))+0-64.7-0.0659940000000103</f>
        <v>2682.032886</v>
      </c>
      <c r="AA106" s="3">
        <f>3286.3+(150.7-649.3)+(0+(0-0))+0-60-0</f>
        <v>2727.7000000000003</v>
      </c>
      <c r="AB106" s="3">
        <f>3184.5+(151.9-610.9)+(-1.624095+(-0.077469--0.311559))+0-62.9--0.0320789999999936</f>
        <v>2661.2420739999998</v>
      </c>
      <c r="AC106" s="3">
        <f>3011.6+(151.4-536.4)+(1.535916+(0.077214-0.273564))+0-59.6-0.030395999999994</f>
        <v>2568.30917</v>
      </c>
      <c r="AD106">
        <f t="shared" si="1"/>
        <v>59391.231718999996</v>
      </c>
      <c r="AE106" s="3">
        <f>3237+(151.2-687.4)+(0+(0-0))+0-20.1-0</f>
        <v>2680.7000000000003</v>
      </c>
    </row>
    <row r="107" spans="1:31" s="2" customFormat="1" x14ac:dyDescent="0.25">
      <c r="A107">
        <v>89</v>
      </c>
      <c r="B107">
        <v>4</v>
      </c>
      <c r="C107">
        <v>14</v>
      </c>
      <c r="D107">
        <v>3</v>
      </c>
      <c r="E107">
        <v>1</v>
      </c>
      <c r="F107" s="3">
        <f>2826.1+(106-418.5)+(1.441311+(0.05406-0.213435))+0-87.1-0.0444209999999912</f>
        <v>2427.7375149999998</v>
      </c>
      <c r="G107" s="3">
        <f>2681.7+(99.4-416)+(-1.367667+(-0.050694--0.21216))+0-74.4--0.0379439999999925</f>
        <v>2289.531743</v>
      </c>
      <c r="H107" s="3">
        <f>2621.1+(99.4-459.3)+(-2.673522+(-0.101388--0.468486))+0-47.1--0.0480420000000075</f>
        <v>2211.8416179999999</v>
      </c>
      <c r="I107" s="3">
        <f>2543.5+(99-426.4)+(-1.297185+(-0.05049--0.217464))+0-35.2--0.0179519999999964</f>
        <v>2179.7877410000001</v>
      </c>
      <c r="J107" s="3">
        <f>2526+(99.2-442.3)+(-2.57652+(-0.101184--0.451146))+0-35.8--0.0365160000000057</f>
        <v>2144.9099580000002</v>
      </c>
      <c r="K107" s="3">
        <f>2327.5+(99.6-328.9)+(-5.935125+(-0.25398--0.838695))+0-67.6--0.17237999999999</f>
        <v>2025.4219699999999</v>
      </c>
      <c r="L107" s="3">
        <f>2242.4+(99-241.2)+(-4.574496+(-0.20196--0.492048))+0-76.8--0.156671999999997</f>
        <v>2019.2722640000004</v>
      </c>
      <c r="M107" s="3">
        <f>2465.6+(100.7-351)+(0+(0-0))+0-44.2-0</f>
        <v>2171.1</v>
      </c>
      <c r="N107" s="3">
        <f>2745+(146.6-470.8)+(0+(0-0))+0-57.1-0</f>
        <v>2363.7000000000003</v>
      </c>
      <c r="O107" s="3">
        <f>2945.4+(150.7-532)+(1.502154+(0.076857-0.27132))+0-63.7-0.0324869999999935</f>
        <v>2501.6752040000001</v>
      </c>
      <c r="P107" s="3">
        <f>3091.4+(150.3-535.6)+(1.576614+(0.076653-0.273156))+0-80.5-0.0410549999999918</f>
        <v>2626.9390559999997</v>
      </c>
      <c r="Q107" s="3">
        <f>3160.6+(150.8-529.1)+(3.223812+(0.153816-0.539682))+0-77.2-0.0787440000000123</f>
        <v>2707.8592020000001</v>
      </c>
      <c r="R107" s="3">
        <f>3211.4+(149.7-567.7)+(4.913442+(0.229041-0.868581))+0-67.6-0.103428000000004</f>
        <v>2729.9704740000002</v>
      </c>
      <c r="S107" s="3">
        <f>3195.7+(149.4-582.9)+(3.259614+(0.152388-0.594558))+0-73.9-0.0753780000000118</f>
        <v>2691.0420659999995</v>
      </c>
      <c r="T107" s="3">
        <f>3180+(149.8-605.1)+(4.8654+(0.229194-0.925803))+0-77.9-0.119187000000005</f>
        <v>2650.849604</v>
      </c>
      <c r="U107" s="3">
        <f>3144.6+(150.1-599.1)+(4.811238+(0.229653-0.916623))+0-53.5-0.0818550000000031</f>
        <v>2646.142413</v>
      </c>
      <c r="V107" s="3">
        <f>3136.8+(150.5-657.1)+(0+(0-0))+0-19.1-0</f>
        <v>2611.1000000000004</v>
      </c>
      <c r="W107" s="3">
        <f>3116.8+(149.7-624.2)+(-3.179136+(-0.152694--0.636684))+0-67--0.0683400000000107</f>
        <v>2572.673194</v>
      </c>
      <c r="X107" s="3">
        <f>3028.7+(150.8-627.9)+(-3.089274+(-0.153816--0.640458))+0-76.6--0.0781320000000122</f>
        <v>2472.4755</v>
      </c>
      <c r="Y107" s="3">
        <f>2936.2+(151.9-602.1)+(-1.497462+(-0.077469--0.307071))+0-73.7--0.0375869999999925</f>
        <v>2411.0697270000001</v>
      </c>
      <c r="Z107" s="3">
        <f>3113.9+(152-553.3)+(3.176178+(0.15504-0.564366))+0-77.5-0.0790500000000124</f>
        <v>2637.7878020000007</v>
      </c>
      <c r="AA107" s="3">
        <f>3206.3+(152.5-612.5)+(-1.635213+(-0.077775--0.312375))+0-67.2--0.0342719999999932</f>
        <v>2677.7336590000004</v>
      </c>
      <c r="AB107" s="3">
        <f>3119.7+(150.5-596.1)+(0+(0-0))+0-70-0</f>
        <v>2604.1</v>
      </c>
      <c r="AC107" s="3">
        <f>2872+(141.5-444.3)+(-2.92944+(-0.14433--0.453186))+0-52.8--0.0538560000000084</f>
        <v>2513.8332719999999</v>
      </c>
      <c r="AD107">
        <f t="shared" si="1"/>
        <v>58888.553981999998</v>
      </c>
      <c r="AE107" s="3">
        <f>3189+(152-588.9)+(0+(0-0))+0-100.4-0</f>
        <v>2651.7</v>
      </c>
    </row>
    <row r="108" spans="1:31" s="2" customFormat="1" x14ac:dyDescent="0.25">
      <c r="A108">
        <v>89</v>
      </c>
      <c r="B108">
        <v>4</v>
      </c>
      <c r="C108">
        <v>15</v>
      </c>
      <c r="D108">
        <v>4</v>
      </c>
      <c r="E108">
        <v>1</v>
      </c>
      <c r="F108" s="3">
        <f>2764.6+(104.6-472.4)+(-5.639784+(-0.213384--0.963696))+0-59.4--0.121175999999997</f>
        <v>2332.6317040000004</v>
      </c>
      <c r="G108" s="3">
        <f>2705+(98.9-548.8)+(4.13865+(0.151317-0.839664))+0-55.7-0.0852210000000032</f>
        <v>2202.7650820000003</v>
      </c>
      <c r="H108" s="3">
        <f>2583.9+(99.6-473.6)+(0+(0-0))+0-85-0</f>
        <v>2124.9</v>
      </c>
      <c r="I108" s="3">
        <f>2585.8+(99.9-537.6)+(-1.318758+(-0.050949--0.274176))+0-58.2--0.0296819999999941</f>
        <v>2088.8341510000005</v>
      </c>
      <c r="J108" s="3">
        <f>2504.2+(99.1-483.7)+(-5.108568+(-0.202164--0.986748))+0-66--0.134639999999997</f>
        <v>2049.410656</v>
      </c>
      <c r="K108" s="3">
        <f>2388.8+(99.8-474.1)+(-3.654864+(-0.152694--0.725373))+0-68.4--0.104652000000004</f>
        <v>1943.1224670000001</v>
      </c>
      <c r="L108" s="3">
        <f>2400.2+(99.1-447)+(-2.448204+(-0.101082--0.45594))+0-85.4--0.0871080000000136</f>
        <v>1964.8937619999995</v>
      </c>
      <c r="M108" s="3">
        <f>2562.1+(98.6-510.2)+(0+(0-0))+0-44.8-0</f>
        <v>2105.6999999999998</v>
      </c>
      <c r="N108" s="3">
        <f>2676.1+(136.9-459.9)+(1.364811+(0.069819-0.234549))+0-60.6-0.0309059999999939</f>
        <v>2293.669175</v>
      </c>
      <c r="O108" s="3">
        <f>2886.7+(149.9-532.1)+(5.888868+(0.305796-1.085484))+0-66.3-0.135251999999997</f>
        <v>2443.1739279999997</v>
      </c>
      <c r="P108" s="3">
        <f>3044.1+(148.9-569)+(3.104982+(0.151878-0.58038))+0-72.6-0.0740520000000116</f>
        <v>2554.0024280000002</v>
      </c>
      <c r="Q108" s="3">
        <f>3139.7+(149.7-574.8)+(1.601247+(0.076347-0.293148))+0-83.4-0.0425339999999915</f>
        <v>2632.5419119999997</v>
      </c>
      <c r="R108" s="3">
        <f>3172.5+(149.1-558.9)+(1.617975+(0.076041-0.285039))+0-78.1-0.0398309999999921</f>
        <v>2685.9691459999999</v>
      </c>
      <c r="S108" s="3">
        <f>3155.4+(150.5-582.9)+(1.609254+(0.076755-0.297279))+0-59.5-0.030344999999994</f>
        <v>2664.858385</v>
      </c>
      <c r="T108" s="3">
        <f>3170.5+(151.5-604.1)+(3.23391+(0.15453-0.616182))+0-70.2-0.0716040000000112</f>
        <v>2650.400654</v>
      </c>
      <c r="U108" s="3">
        <f>3165.6+(150-593)+(4.843368+(0.2295-0.90729))+0-30-0.0459000000000017</f>
        <v>2696.7196779999999</v>
      </c>
      <c r="V108" s="3">
        <f>3120.4+(151-618.1)+(3.182808+(0.15402-0.630462))+0-100-0.102000000000016</f>
        <v>2555.9043660000002</v>
      </c>
      <c r="W108" s="3">
        <f>3077.5+(151-588.7)+(1.569525+(0.07701-0.300237))+0-100-0.0509999999999899</f>
        <v>2541.0952980000002</v>
      </c>
      <c r="X108" s="3">
        <f>2972+(149.1-584.5)+(-1.51572+(-0.076041--0.298095))+0-72.7--0.0370769999999926</f>
        <v>2462.643411</v>
      </c>
      <c r="Y108" s="3">
        <f>2909.1+(113.4-540.1)+(0+(0-0))+0-85.5-0</f>
        <v>2396.8999999999996</v>
      </c>
      <c r="Z108" s="3">
        <f>3120.4+(90.9-515.9)+(3.182808+(0.092718-0.526218))+0-76.5-0.0780300000000122</f>
        <v>2621.5712779999999</v>
      </c>
      <c r="AA108" s="3">
        <f>3292.3+(86.8-630.3)+(0+(0-0))+0-78-0</f>
        <v>2670.8</v>
      </c>
      <c r="AB108" s="3">
        <f>3121+(136.2-592.5)+(1.59171+(0.069462-0.302175))+0-76.8-0.0391679999999922</f>
        <v>2589.2198289999997</v>
      </c>
      <c r="AC108" s="3">
        <f>2989.9+(149.8-564.2)+(-4.574547+(-0.229194--0.863226))+0-66.8--0.102204000000004</f>
        <v>2504.8616889999998</v>
      </c>
      <c r="AD108">
        <f t="shared" si="1"/>
        <v>57776.588999000007</v>
      </c>
      <c r="AE108" s="3">
        <f>3318+(82.7-645)+(0+(0-0))+0-92.5-0</f>
        <v>2663.2</v>
      </c>
    </row>
    <row r="109" spans="1:31" s="2" customFormat="1" x14ac:dyDescent="0.25">
      <c r="A109">
        <v>89</v>
      </c>
      <c r="B109">
        <v>4</v>
      </c>
      <c r="C109">
        <v>16</v>
      </c>
      <c r="D109">
        <v>5</v>
      </c>
      <c r="E109">
        <v>1</v>
      </c>
      <c r="F109" s="3">
        <f>2840.7+(107.3-539.4)+(-2.897514+(-0.109446--0.550188))+0-69.9--0.0712980000000112</f>
        <v>2336.3145259999997</v>
      </c>
      <c r="G109" s="3">
        <f>2723.4+(97-538.9)+(-1.388934+(-0.04947--0.274839))+0-71.7--0.0365669999999927</f>
        <v>2208.6730020000005</v>
      </c>
      <c r="H109" s="3">
        <f>2596.1+(94.3-514.9)+(0+(0-0))+0-52.1-0</f>
        <v>2123.4</v>
      </c>
      <c r="I109" s="3">
        <f>2572.9+(94.5-497.4)+(-1.312179+(-0.048195--0.253674))+0-79.6--0.0405959999999919</f>
        <v>2089.3338960000001</v>
      </c>
      <c r="J109" s="3">
        <f>2517.8+(95.2-485.9)+(0+(0-0))+0-78.7-0</f>
        <v>2048.4000000000005</v>
      </c>
      <c r="K109" s="3">
        <f>2455.6+(93.9-541.3)+(-6.26178+(-0.239445--1.380315))+0-68.9--0.17569499999999</f>
        <v>1934.3547849999995</v>
      </c>
      <c r="L109" s="3">
        <f>2327.9+(94.9-413.3)+(-2.374458+(-0.096798--0.421566))+0-61.7--0.0629340000000098</f>
        <v>1945.8132439999999</v>
      </c>
      <c r="M109" s="3">
        <f>2408.3+(108.7-374)+(1.228233+(0.055437-0.19074))+0-41-0.0209099999999958</f>
        <v>2103.0720199999996</v>
      </c>
      <c r="N109" s="3">
        <f>2700.9+(141.3-534.8)+(1.377459+(0.072063-0.272748))+0-25-0.0127499999999975</f>
        <v>2283.5640240000002</v>
      </c>
      <c r="O109" s="3">
        <f>2930.3+(142-625.7)+(1.494453+(0.07242-0.319107))+0-15.8-0.0080579999999984</f>
        <v>2432.0397080000002</v>
      </c>
      <c r="P109" s="3">
        <f>3034.8+(139.4-617.6)+(3.095496+(0.142188-0.629952))+0-15.3-0.0156060000000024</f>
        <v>2543.8921260000002</v>
      </c>
      <c r="Q109" s="3">
        <f>3162.3+(102.3-623.3)+(0+(0-0))+0-15-0</f>
        <v>2626.3</v>
      </c>
      <c r="R109" s="3">
        <f>3212.2+(87.9-616)+(4.914666+(0.134487-0.94248))+0-15.9-0.0243270000000009</f>
        <v>2672.2823459999995</v>
      </c>
      <c r="S109" s="3">
        <f>3195.8+(83-605.1)+(1.629858+(0.04233-0.308601))+0-16.6-0.00846599999999832</f>
        <v>2658.4551210000004</v>
      </c>
      <c r="T109" s="3">
        <f>3177+(77.4-594.2)+(0+(0-0))+0-34.9-0</f>
        <v>2625.2999999999997</v>
      </c>
      <c r="U109" s="3">
        <f>3167+(73.6-607.8)+(-3.23034+(-0.075072--0.619956))+0-33.7--0.0343740000000054</f>
        <v>2596.448918</v>
      </c>
      <c r="V109" s="3">
        <f>3146.2+(99.4-620.6)+(-1.604562+(-0.050694--0.316506))+0-44.5--0.0226949999999955</f>
        <v>2579.1839450000002</v>
      </c>
      <c r="W109" s="3">
        <f>3086.2+(137.7-638.7)+(3.147924+(0.140454-0.651474))+0-44.8-0.0456960000000071</f>
        <v>2542.9912079999995</v>
      </c>
      <c r="X109" s="3">
        <f>3013.5+(151.1-628.3)+(-1.536885+(-0.077061--0.320433))+0-80.6--0.0411059999999918</f>
        <v>2454.4475930000003</v>
      </c>
      <c r="Y109" s="3">
        <f>2904.4+(151.3-566.6)+(0+(0-0))+0-69.2-0</f>
        <v>2419.9</v>
      </c>
      <c r="Z109" s="3">
        <f>3156.1+(150.5-605.1)+(1.609611+(0.076755-0.308601))+0-72.2-0.0368219999999927</f>
        <v>2630.6409430000003</v>
      </c>
      <c r="AA109" s="3">
        <f>3204.3+(151.1-597.7)+(0+(0-0))+0-73-0</f>
        <v>2684.7000000000003</v>
      </c>
      <c r="AB109" s="3">
        <f>3119.4+(150.3-564.9)+(1.590894+(0.076653-0.288099))+0-92.6-0.0472259999999906</f>
        <v>2613.5322220000003</v>
      </c>
      <c r="AC109" s="3">
        <f>2985.7+(150.9-554.9)+(0+(0-0))+0-48.6-0</f>
        <v>2533.1</v>
      </c>
      <c r="AD109">
        <f t="shared" si="1"/>
        <v>57686.13962699999</v>
      </c>
      <c r="AE109" s="3">
        <f>3174+(152-652.4)+(0+(0-0))+0-15.8-0</f>
        <v>2657.7999999999997</v>
      </c>
    </row>
    <row r="110" spans="1:31" s="2" customFormat="1" x14ac:dyDescent="0.25">
      <c r="A110">
        <v>89</v>
      </c>
      <c r="B110">
        <v>4</v>
      </c>
      <c r="C110">
        <v>17</v>
      </c>
      <c r="D110">
        <v>6</v>
      </c>
      <c r="E110">
        <v>1</v>
      </c>
      <c r="F110" s="3">
        <f>2910.4+(110.9-561.2)+(1.484304+(0.056559-0.286212))+0-75-0.0382499999999924</f>
        <v>2386.316401</v>
      </c>
      <c r="G110" s="3">
        <f>2600.7+(93.2-431.7)+(0+(0-0))+0-63.1-0</f>
        <v>2199.1</v>
      </c>
      <c r="H110" s="3">
        <f>2550.7+(96.8-463)+(1.300857+(0.049368-0.23613))+0-70.8-0.0361079999999928</f>
        <v>2114.7779869999999</v>
      </c>
      <c r="I110" s="3">
        <f>2565.2+(96.4-490.2)+(2.616504+(0.098328-0.500004))+0-74.1-0.0755820000000118</f>
        <v>2099.4392459999999</v>
      </c>
      <c r="J110" s="3">
        <f>2321.4+(95.8-289.7)+(1.183914+(0.048858-0.147747))+0-75.1-0.0383009999999924</f>
        <v>2053.4467239999999</v>
      </c>
      <c r="K110" s="3">
        <f>2211.2+(96.7-270.4)+(0+(0-0))+0-72.4-0</f>
        <v>1965.0999999999997</v>
      </c>
      <c r="L110" s="3">
        <f>2150.1+(96.9-237.3)+(-3.289653+(-0.148257--0.363069))+0-73.9--0.113067000000004</f>
        <v>1932.8382259999996</v>
      </c>
      <c r="M110" s="3">
        <f>2172.9+(129.4-146.4)+(-3.324537+(-0.197982--0.223992))+0-72.3--0.110619000000004</f>
        <v>2080.412092</v>
      </c>
      <c r="N110" s="3">
        <f>2393+(142.9-190.1)+(-4.88172+(-0.291516--0.387804))+0-84.3--0.171971999999996</f>
        <v>2256.88654</v>
      </c>
      <c r="O110" s="3">
        <f>2943.2+(141.9-572.9)+(-1.501032+(-0.072369--0.292179))+0-76.2--0.0388619999999923</f>
        <v>2434.7576399999998</v>
      </c>
      <c r="P110" s="3">
        <f>3007.8+(143.4-543.2)+(1.533978+(0.073134-0.277032))+0-51.7-0.0263669999999948</f>
        <v>2557.6037130000004</v>
      </c>
      <c r="Q110" s="3">
        <f>3124.2+(148.2-578.7)+(3.186684+(0.151164-0.590274))+0-70-0.0714000000000112</f>
        <v>2626.376174</v>
      </c>
      <c r="R110" s="3">
        <f>3184.4+(153-573.1)+(3.248088+(0.15606-0.584562))+0-81.5-0.083130000000013</f>
        <v>2685.5364560000003</v>
      </c>
      <c r="S110" s="3">
        <f>3184.4+(153.7-600.7)+(0+(0-0))+0-78.9-0</f>
        <v>2658.5</v>
      </c>
      <c r="T110" s="3">
        <f>3104.8+(152.2-564.8)+(1.583448+(0.077622-0.288048))+0-68.3-0.0348329999999931</f>
        <v>2625.2381890000001</v>
      </c>
      <c r="U110" s="3">
        <f>3079.4+(151.3-574.8)+(1.570494+(0.077163-0.293148))+0-64.7-0.0329969999999934</f>
        <v>2592.5215120000003</v>
      </c>
      <c r="V110" s="3">
        <f>3081.3+(150-587.3)+(0+(0-0))+0-68.2-0</f>
        <v>2575.8000000000002</v>
      </c>
      <c r="W110" s="3">
        <f>3039.9+(151.1-599.8)+(-1.550349+(-0.077061--0.305898))+0-72.3--0.0368729999999927</f>
        <v>2517.6153610000001</v>
      </c>
      <c r="X110" s="3">
        <f>2925.2+(109.4-519.8)+(-4.475556+(-0.167382--0.795294))+0-84.5--0.129285000000005</f>
        <v>2426.5816409999998</v>
      </c>
      <c r="Y110" s="3">
        <f>2834.3+(94.7-501.4)+(-1.445493+(-0.048297--0.255714))+0-61.7--0.0314669999999937</f>
        <v>2364.6933910000002</v>
      </c>
      <c r="Z110" s="3">
        <f>3106.5+(78-517.1)+(0+(0-0))+0-72-0</f>
        <v>2595.4</v>
      </c>
      <c r="AA110" s="3">
        <f>3223.3+(83.6-578.9)+(-6.575532+(-0.170544--1.180956))+0-77.1--0.157283999999997</f>
        <v>2645.4921639999998</v>
      </c>
      <c r="AB110" s="3">
        <f>3126.6+(132.7-578.9)+(-1.594566+(-0.067677--0.295239))+0-75.9--0.0387089999999923</f>
        <v>2603.1717049999997</v>
      </c>
      <c r="AC110" s="3">
        <f>2940.9+(151.7-441.3)+(1.499859+(0.077367-0.225063))+0-87.7-0.0447269999999911</f>
        <v>2564.9074360000004</v>
      </c>
      <c r="AD110">
        <f t="shared" si="1"/>
        <v>57562.512598000016</v>
      </c>
      <c r="AE110" s="3">
        <f>3178+(82.8-518.5)+(0+(0-0))+0-89.2-0</f>
        <v>2653.1000000000004</v>
      </c>
    </row>
    <row r="111" spans="1:31" s="2" customFormat="1" x14ac:dyDescent="0.25">
      <c r="A111">
        <v>89</v>
      </c>
      <c r="B111">
        <v>4</v>
      </c>
      <c r="C111">
        <v>18</v>
      </c>
      <c r="D111">
        <v>7</v>
      </c>
      <c r="E111">
        <v>1</v>
      </c>
      <c r="F111" s="3">
        <f>2800.7+(106.1-422.3)+(0+(0-0))+0-76.4-0</f>
        <v>2408.1</v>
      </c>
      <c r="G111" s="3">
        <f>2654+(99-429.3)+(-1.35354+(-0.05049--0.218943))+0-55.4--0.0282539999999944</f>
        <v>2267.1431669999997</v>
      </c>
      <c r="H111" s="3">
        <f>2570.8+(97.6-425.8)+(1.311108+(0.049776-0.217158))+0-59.7-0.0304469999999939</f>
        <v>2184.0132790000002</v>
      </c>
      <c r="I111" s="3">
        <f>2449+(97.5-352.6)+(1.24899+(0.049725-0.179826))+0-72.5-0.0369749999999926</f>
        <v>2122.481914</v>
      </c>
      <c r="J111" s="3">
        <f>2436.4+(96.3-377.8)+(1.242564+(0.049113-0.192678))+0-74.5-0.0379949999999924</f>
        <v>2081.4610039999998</v>
      </c>
      <c r="K111" s="3">
        <f>2334.3+(94.8-385.2)+(-3.571479+(-0.145044--0.589356))+0-76.3--0.116739000000004</f>
        <v>1964.5895720000001</v>
      </c>
      <c r="L111" s="3">
        <f>2220.4+(95.6-344.7)+(0+(0-0))+0-71.7-0</f>
        <v>1899.6000000000001</v>
      </c>
      <c r="M111" s="3">
        <f>2221.5+(97.3-295.8)+(0+(0-0))+0-72-0</f>
        <v>1951</v>
      </c>
      <c r="N111" s="3">
        <f>2407+(89.1-385.7)+(-2.45514+(-0.090882--0.393414))+0-59.3--0.0604860000000095</f>
        <v>2049.0078779999999</v>
      </c>
      <c r="O111" s="3">
        <f>2509.3+(100.9-366.2)+(0+(0-0))+0-55.1-0</f>
        <v>2188.9</v>
      </c>
      <c r="P111" s="3">
        <f>2741+(91.9-466.1)+(2.79582+(0.093738-0.475422))+0-66.6-0.0679320000000106</f>
        <v>2302.5462040000002</v>
      </c>
      <c r="Q111" s="3">
        <f>2887.9+(99.4-523.4)+(0+(0-0))+0-87.1-0</f>
        <v>2376.8000000000002</v>
      </c>
      <c r="R111" s="3">
        <f>2977.9+(97.3-591.6)+(1.518729+(0.049623-0.301716))+0-58.4-0.0297839999999941</f>
        <v>2426.4368519999998</v>
      </c>
      <c r="S111" s="3">
        <f>2967.6+(83.2-576.5)+(3.026952+(0.084864-0.58803))+0-54.9-0.0559980000000087</f>
        <v>2421.867788</v>
      </c>
      <c r="T111" s="3">
        <f>2953.3+(100.2-602.9)+(1.506183+(0.051102-0.307479))+0-57.8-0.0294779999999941</f>
        <v>2394.0203280000001</v>
      </c>
      <c r="U111" s="3">
        <f>2927.9+(101.3-576.3)+(-2.986458+(-0.103326--0.587826))+0-74.8--0.0762960000000119</f>
        <v>2375.6743380000003</v>
      </c>
      <c r="V111" s="3">
        <f>2932.1+(113.7-605.4)+(-1.495371+(-0.057987--0.308754))+0-72.3--0.0368729999999927</f>
        <v>2366.8922689999999</v>
      </c>
      <c r="W111" s="3">
        <f>2867.3+(127.6-605.7)+(-1.462323+(-0.065076--0.308907))+0-52.5--0.0267749999999947</f>
        <v>2335.5082830000001</v>
      </c>
      <c r="X111" s="3">
        <f>2820.6+(130.1-587.5)+(-2.877012+(-0.132702--0.59925))+0-76.5--0.0780300000000122</f>
        <v>2284.3675659999999</v>
      </c>
      <c r="Y111" s="3">
        <f>2652.4+(131.2-458.4)+(-4.058172+(-0.200736--0.701352))+0-78.8--0.120564000000005</f>
        <v>2242.9630079999997</v>
      </c>
      <c r="Z111" s="3">
        <f>2926.3+(95.3-475.7)+(1.492413+(0.048603-0.242607))+0-77.6-0.0395759999999921</f>
        <v>2469.558833</v>
      </c>
      <c r="AA111" s="3">
        <f>3161+(53-604.8)+(-1.61211+(-0.02703--0.308448))+0-76.4--0.0389639999999923</f>
        <v>2531.5082719999996</v>
      </c>
      <c r="AB111" s="3">
        <f>3100.2+(101.6-595.2)+(0+(0-0))+0-87.8-0</f>
        <v>2518.7999999999997</v>
      </c>
      <c r="AC111" s="3">
        <f>2959.4+(128.9-587.3)+(1.509294+(0.065739-0.299523))+0-22.9-0.0116789999999977</f>
        <v>2479.3638309999997</v>
      </c>
      <c r="AD111">
        <f t="shared" si="1"/>
        <v>54642.604386000014</v>
      </c>
      <c r="AE111" s="3">
        <f>3170+(29.4-559.2)+(0+(0-0))+0-98.6-0</f>
        <v>2541.6</v>
      </c>
    </row>
    <row r="112" spans="1:31" s="2" customFormat="1" x14ac:dyDescent="0.25">
      <c r="A112">
        <v>89</v>
      </c>
      <c r="B112">
        <v>4</v>
      </c>
      <c r="C112">
        <v>19</v>
      </c>
      <c r="D112">
        <v>1</v>
      </c>
      <c r="E112">
        <v>3</v>
      </c>
      <c r="F112" s="3">
        <f>2821.4+(130.4-565.4)+(-5.755656+(-0.266016--1.153416))+0-17.9--0.0365159999999992</f>
        <v>2363.6682599999999</v>
      </c>
      <c r="G112" s="3">
        <f>2594.4+(130.5-443.6)+(-3.969432+(-0.199665--0.678708))+0-19--0.0290700000000011</f>
        <v>2258.8386810000002</v>
      </c>
      <c r="H112" s="3">
        <f>2468.6+(129.3-387.2)+(-2.517972+(-0.131886--0.394944))+0-18.7--0.019074000000003</f>
        <v>2189.7641599999997</v>
      </c>
      <c r="I112" s="3">
        <f>2479.5+(129.9-446.4)+(-2.52909+(-0.132498--0.455328))+0-22.1--0.0225420000000035</f>
        <v>2138.7162820000003</v>
      </c>
      <c r="J112" s="3">
        <f>2513.4+(129.6-448.3)+(-2.563668+(-0.132192--0.457266))+0-86.4--0.0881280000000138</f>
        <v>2106.1495339999997</v>
      </c>
      <c r="K112" s="3">
        <f>2461+(129.2-574.9)+(0+(0-0))+0-28.9-0</f>
        <v>1986.3999999999999</v>
      </c>
      <c r="L112" s="3">
        <f>2240.5+(129.1-340.8)+(0+(0-0))+0-71-0</f>
        <v>1957.8</v>
      </c>
      <c r="M112" s="3">
        <f>2227+(127.8-263.1)+(-3.40731+(-0.195534--0.402543))+0-54.8--0.0838440000000032</f>
        <v>2033.783543</v>
      </c>
      <c r="N112" s="3">
        <f>2401.7+(128.5-290.7)+(-1.224867+(-0.065535--0.148257))+0-72.2--0.0368219999999927</f>
        <v>2166.1946770000004</v>
      </c>
      <c r="O112" s="3">
        <f>2661+(129.4-383.7)+(2.71422+(0.131988-0.391374))+0-76.5-0.0780300000000122</f>
        <v>2332.5768039999998</v>
      </c>
      <c r="P112" s="3">
        <f>2921+(131.4-512.5)+(2.97942+(0.134028-0.52275))+0-70.8-0.0722160000000113</f>
        <v>2471.6184819999999</v>
      </c>
      <c r="Q112" s="3">
        <f>3031.3+(128.5-534.5)+(3.091926+(0.13107-0.54519))+0-69.6-0.0709920000000111</f>
        <v>2558.3068140000005</v>
      </c>
      <c r="R112" s="3">
        <f>3058.3+(127.4-509.2)+(0+(0-0))+0-80.5-0</f>
        <v>2596</v>
      </c>
      <c r="S112" s="3">
        <f>3066.2+(128.1-551.6)+(0+(0-0))+0-78.9-0</f>
        <v>2563.7999999999997</v>
      </c>
      <c r="T112" s="3">
        <f>3058.3+(128-566.1)+(1.559733+(0.06528-0.288711))+0-72.8-0.0371279999999926</f>
        <v>2548.6991740000003</v>
      </c>
      <c r="U112" s="3">
        <f>3037.3+(128.1-579.3)+(0+(0-0))+0-46.3-0</f>
        <v>2539.8000000000002</v>
      </c>
      <c r="V112" s="3">
        <f>3028.6+(128.8-566.2)+(0+(0-0))+0-68.4-0</f>
        <v>2522.7999999999997</v>
      </c>
      <c r="W112" s="3">
        <f>3046.7+(129.5-623)+(-3.107634+(-0.13209--0.63546))+0-52--0.0530400000000083</f>
        <v>2498.6487759999995</v>
      </c>
      <c r="X112" s="3">
        <f>2981.5+(128.6-600.3)+(0+(0-0))+0-75.1-0</f>
        <v>2434.7000000000003</v>
      </c>
      <c r="Y112" s="3">
        <f>2884.8+(114.1-560.9)+(1.471248+(0.058191-0.286059))+0-53.3-0.0271829999999946</f>
        <v>2385.9161969999996</v>
      </c>
      <c r="Z112" s="3">
        <f>3145.1+(52.9-527.5)+(0+(0-0))+0-60.5-0</f>
        <v>2610</v>
      </c>
      <c r="AA112" s="3">
        <f>3295.4+(42.4-643.2)+(-1.680654+(-0.021624--0.328032))+0-28.9--0.0147389999999971</f>
        <v>2664.3404930000002</v>
      </c>
      <c r="AB112" s="3">
        <f>3209.4+(99.2-603.2)+(0+(0-0))+0-80.5-0</f>
        <v>2624.9</v>
      </c>
      <c r="AC112" s="3">
        <f>3131.1+(112.9-609.5)+(0+(0-0))+0-67.5-0</f>
        <v>2567</v>
      </c>
      <c r="AD112">
        <f t="shared" si="1"/>
        <v>57120.421877000008</v>
      </c>
      <c r="AE112" s="3">
        <f>3359+(45.4-667.2)+(0+(0-0))+0-18-0</f>
        <v>2719.2</v>
      </c>
    </row>
    <row r="113" spans="1:31" s="2" customFormat="1" x14ac:dyDescent="0.25">
      <c r="A113">
        <v>89</v>
      </c>
      <c r="B113">
        <v>4</v>
      </c>
      <c r="C113">
        <v>20</v>
      </c>
      <c r="D113">
        <v>2</v>
      </c>
      <c r="E113">
        <v>1</v>
      </c>
      <c r="F113" s="3">
        <f>2956.2+(129.4-566)+(0+(0-0))+0-75.7-0</f>
        <v>2443.9</v>
      </c>
      <c r="G113" s="3">
        <f>2822.2+(129-565)+(-4.317966+(-0.19737--0.86445))+0-72.5--0.110925000000004</f>
        <v>2310.1600389999999</v>
      </c>
      <c r="H113" s="3">
        <f>2714.3+(129.6-534.1)+(-2.768586+(-0.132192--0.544782))+0-76.1--0.0776220000000121</f>
        <v>2231.4216260000003</v>
      </c>
      <c r="I113" s="3">
        <f>2467.1+(130-352.1)+(-3.774663+(-0.1989--0.538713))+0-70.4--0.107712000000004</f>
        <v>2171.2728619999998</v>
      </c>
      <c r="J113" s="3">
        <f>2466.6+(130.9-395)+(0+(0-0))+0-72.3-0</f>
        <v>2130.1999999999998</v>
      </c>
      <c r="K113" s="3">
        <f>2416.9+(131.1-464.1)+(0+(0-0))+0-67.8-0</f>
        <v>2016.1000000000001</v>
      </c>
      <c r="L113" s="3">
        <f>2298.3+(131.4-362.3)+(-2.344266+(-0.134028--0.369546))+0-77.8--0.0793560000000124</f>
        <v>1987.570608</v>
      </c>
      <c r="M113" s="3">
        <f>2438+(130-336.4)+(-1.24338+(-0.0663--0.171564))+0-90.5--0.0461549999999908</f>
        <v>2140.0080389999998</v>
      </c>
      <c r="N113" s="3">
        <f>2685.3+(128.4-447.1)+(1.369503+(0.065484-0.228021))+0-56.6-0.0288659999999943</f>
        <v>2311.1781000000005</v>
      </c>
      <c r="O113" s="3">
        <f>2972.6+(127-596.5)+(1.516026+(0.06477-0.304215))+0-50.8-0.0259079999999948</f>
        <v>2453.5506729999997</v>
      </c>
      <c r="P113" s="3">
        <f>3128.3+(119.9-587.2)+(3.190866+(0.122298-0.598944))+0-63.1-0.0643620000000101</f>
        <v>2600.5498579999999</v>
      </c>
      <c r="Q113" s="3">
        <f>3220.5+(115.9-581.1)+(3.28491+(0.118218-0.592722))+0-64.9-0.0661980000000104</f>
        <v>2693.1442080000002</v>
      </c>
      <c r="R113" s="3">
        <f>3305.5+(121.4-607.9)+(1.685805+(0.061914-0.310029))+0-70.9-0.0361589999999928</f>
        <v>2749.5015310000003</v>
      </c>
      <c r="S113" s="3">
        <f>3277.9+(114.6-586.1)+(1.671729+(0.058446-0.298911))+0-81.1-0.0413609999999918</f>
        <v>2726.689903</v>
      </c>
      <c r="T113" s="3">
        <f>3239.7+(111.1-589.5)+(1.652247+(0.056661-0.300645))+0-78.3-0.0399329999999921</f>
        <v>2684.3683299999993</v>
      </c>
      <c r="U113" s="3">
        <f>3235.6+(113.1-596.4)+(3.300312+(0.115362-0.608328))+0-75.7-0.0772140000000121</f>
        <v>2679.3301320000005</v>
      </c>
      <c r="V113" s="3">
        <f>3183.4+(112-610.6)+(0+(0-0))+0-47.7-0</f>
        <v>2637.1000000000004</v>
      </c>
      <c r="W113" s="3">
        <f>3050.3+(118.9-510.2)+(-6.222612+(-0.242556--1.040808))+0-37--0.0754799999999984</f>
        <v>2616.65112</v>
      </c>
      <c r="X113" s="3">
        <f>2985.2+(124.3-528.7)+(0+(0-0))+0-65.5-0</f>
        <v>2515.2999999999997</v>
      </c>
      <c r="Y113" s="3">
        <f>2963.9+(111.9-593.7)+(-1.511589+(-0.057069--0.302787))+0-48.6--0.0247859999999951</f>
        <v>2432.2589149999999</v>
      </c>
      <c r="Z113" s="3">
        <f>3103.6+(68.5-441.4)+(1.582836+(0.034935-0.225114))+0-71.5-0.0364649999999927</f>
        <v>2660.5561919999996</v>
      </c>
      <c r="AA113" s="3">
        <f>3290.5+(53.3-599.6)+(-3.35631+(-0.054366--0.611592))+0-76.2--0.0777240000000122</f>
        <v>2665.27864</v>
      </c>
      <c r="AB113" s="3">
        <f>3198.7+(105.5-621.8)+(-1.631337+(-0.053805--0.317118))+0-82--0.0418199999999917</f>
        <v>2599.0737959999997</v>
      </c>
      <c r="AC113" s="3">
        <f>3038.2+(129.5-566.4)+(-1.549482+(-0.066045--0.288864))+0-76.1--0.0388109999999923</f>
        <v>2523.9121479999999</v>
      </c>
      <c r="AD113">
        <f t="shared" si="1"/>
        <v>58979.076720000005</v>
      </c>
      <c r="AE113" s="3">
        <f>3304+(85-606.4)+(0+(0-0))+0-85.6-0</f>
        <v>2697</v>
      </c>
    </row>
    <row r="114" spans="1:31" s="2" customFormat="1" x14ac:dyDescent="0.25">
      <c r="A114">
        <v>89</v>
      </c>
      <c r="B114">
        <v>4</v>
      </c>
      <c r="C114">
        <v>21</v>
      </c>
      <c r="D114">
        <v>3</v>
      </c>
      <c r="E114">
        <v>1</v>
      </c>
      <c r="F114" s="3">
        <f>2896.9+(130.1-531.3)+(-2.954838+(-0.132702--0.541926))+0-74.8--0.0762960000000119</f>
        <v>2418.4306820000002</v>
      </c>
      <c r="G114" s="3">
        <f>2789.6+(130.2-547.3)+(-1.422696+(-0.066402--0.279123))+0-72.8--0.0371279999999926</f>
        <v>2298.5271529999995</v>
      </c>
      <c r="H114" s="3">
        <f>2528.5+(130.1-419.6)+(-5.15814+(-0.265404--0.855984))+0-72.9--0.148715999999997</f>
        <v>2161.6811560000001</v>
      </c>
      <c r="I114" s="3">
        <f>2523.6+(130.3-472.8)+(2.574072+(0.132906-0.482256))+0-80-0.0816000000000128</f>
        <v>2103.2431219999999</v>
      </c>
      <c r="J114" s="3">
        <f>2455+(130.6-467)+(-2.5041+(-0.133212--0.47634))+0-45.7--0.0466140000000073</f>
        <v>2070.7856419999998</v>
      </c>
      <c r="K114" s="3">
        <f>2416.8+(130.5-507.4)+(-2.465136+(-0.13311--0.517548))+0-69.9--0.0712980000000112</f>
        <v>1967.9906000000001</v>
      </c>
      <c r="L114" s="3">
        <f>2329.3+(129.7-417.8)+(0+(0-0))+0-82.9-0</f>
        <v>1958.3000000000002</v>
      </c>
      <c r="M114" s="3">
        <f>2376.9+(128.7-414.5)+(0+(0-0))+0-24.9-0</f>
        <v>2066.1999999999998</v>
      </c>
      <c r="N114" s="3">
        <f>2706.9+(128.1-503.2)+(0+(0-0))+0-85.6-0</f>
        <v>2246.2000000000003</v>
      </c>
      <c r="O114" s="3">
        <f>2861.7+(127.7-510.8)+(0+(0-0))+0-71.4-0</f>
        <v>2407.1999999999998</v>
      </c>
      <c r="P114" s="3">
        <f>3055+(127.5-584.1)+(0+(0-0))+0-58.5-0</f>
        <v>2539.9</v>
      </c>
      <c r="Q114" s="3">
        <f>3131.1+(127.2-571.2)+(6.387444+(0.259488-1.165248))+0-77.4-0.157895999999997</f>
        <v>2615.0237879999995</v>
      </c>
      <c r="R114" s="3">
        <f>3168.2+(126.5-559.4)+(-3.231564+(-0.12903--0.570588))+0-72.5--0.0739500000000116</f>
        <v>2660.0839439999995</v>
      </c>
      <c r="S114" s="3">
        <f>3158.1+(127.3-601)+(1.610631+(0.064923-0.30651))+0-53.5-0.0272849999999946</f>
        <v>2632.241759</v>
      </c>
      <c r="T114" s="3">
        <f>3117.2+(127.7-561)+(1.589772+(0.065127-0.28611))+0-77-0.0392699999999922</f>
        <v>2608.2295189999995</v>
      </c>
      <c r="U114" s="3">
        <f>3108.4+(128-566.3)+(3.170568+(0.13056-0.577626))+0-70.2-0.0716040000000112</f>
        <v>2602.5518980000002</v>
      </c>
      <c r="V114" s="3">
        <f>3050.8+(128-537.8)+(-1.555908+(-0.06528--0.274278))+0-70.7--0.0360569999999928</f>
        <v>2568.9891469999998</v>
      </c>
      <c r="W114" s="3">
        <f>3050.7+(128.1-558.5)+(-4.667571+(-0.195993--0.854505))+0-69.7--0.106641000000004</f>
        <v>2546.6975819999998</v>
      </c>
      <c r="X114" s="3">
        <f>3023+(127.2-612.5)+(-4.62519+(-0.194616--0.937125))+0-78.3--0.119799000000005</f>
        <v>2455.6371179999996</v>
      </c>
      <c r="Y114" s="3">
        <f>2947.8+(118.1-614.8)+(-1.503378+(-0.060231--0.313548))+0-38.1--0.0194309999999961</f>
        <v>2411.7693700000004</v>
      </c>
      <c r="Z114" s="3">
        <f>3174.9+(52.1-616.5)+(1.619199+(0.026571-0.314415))+0-17.6-0.00897599999999821</f>
        <v>2594.2223789999998</v>
      </c>
      <c r="AA114" s="3">
        <f>3276.7+(40.3-642)+(-1.671117+(-0.020553--0.32742))+0-49.2--0.025091999999995</f>
        <v>2624.460842</v>
      </c>
      <c r="AB114" s="3">
        <f>3184.7+(104.5-647.4)+(-1.624197+(-0.053295--0.330174))+0-42.9--0.0218789999999956</f>
        <v>2597.5745609999994</v>
      </c>
      <c r="AC114" s="3">
        <f>3029.5+(131.7-542.1)+(0+(0-0))+0-78.8-0</f>
        <v>2540.2999999999997</v>
      </c>
      <c r="AD114">
        <f t="shared" si="1"/>
        <v>57696.240261999999</v>
      </c>
      <c r="AE114" s="3">
        <f>3297+(45.9-618.7)+(0+(0-0))+0-87.4-0</f>
        <v>2636.7999999999997</v>
      </c>
    </row>
    <row r="115" spans="1:31" s="2" customFormat="1" x14ac:dyDescent="0.25">
      <c r="A115">
        <v>89</v>
      </c>
      <c r="B115">
        <v>4</v>
      </c>
      <c r="C115">
        <v>22</v>
      </c>
      <c r="D115">
        <v>4</v>
      </c>
      <c r="E115">
        <v>1</v>
      </c>
      <c r="F115" s="3">
        <f>2883.2+(120.3-583.4)+(0+(0-0))+0-53.9-0</f>
        <v>2366.1999999999998</v>
      </c>
      <c r="G115" s="3">
        <f>2726.9+(113.3-520.6)+(-2.781438+(-0.115566--0.531012))+0-74--0.0754800000000118</f>
        <v>2243.3094879999999</v>
      </c>
      <c r="H115" s="3">
        <f>2660.5+(113-570.5)+(1.356855+(0.05763-0.290955))+0-49.4-0.025193999999995</f>
        <v>2154.6983359999999</v>
      </c>
      <c r="I115" s="3">
        <f>2572.2+(113.4-515.7)+(0+(0-0))+0-54.8-0</f>
        <v>2115.0999999999995</v>
      </c>
      <c r="J115" s="3">
        <f>2421.8+(113-406.3)+(3.705354+(0.17289-0.621639))+0-75.2-0.115056000000004</f>
        <v>2056.4415490000001</v>
      </c>
      <c r="K115" s="3">
        <f>2310.6+(112.8-399.9)+(0+(0-0))+0-55.6-0</f>
        <v>1967.9</v>
      </c>
      <c r="L115" s="3">
        <f>2185.1+(112.7-268.4)+(-1.114401+(-0.057477--0.136884))+0-74.9--0.0381989999999924</f>
        <v>1953.5032049999998</v>
      </c>
      <c r="M115" s="3">
        <f>2391.4+(111.8-359.3)+(0+(0-0))+0-38.5-0</f>
        <v>2105.4</v>
      </c>
      <c r="N115" s="3">
        <f>2643.6+(128.2-562.7)+(5.392944+(0.261528-1.147908))+0-23.6-0.048143999999999</f>
        <v>2189.9584199999999</v>
      </c>
      <c r="O115" s="3">
        <f>2978.6+(101.6-539.9)+(0+(0-0))+0-35.4-0</f>
        <v>2504.9</v>
      </c>
      <c r="P115" s="3">
        <f>3130.2+(51.1-579.6)+(4.789206+(0.078183-0.886788))+0-43.7-0.0668610000000025</f>
        <v>2561.9137400000004</v>
      </c>
      <c r="Q115" s="3">
        <f>3236+(35.3-542.9)+(1.65036+(0.018003-0.276879))+0-73.6-0.0375359999999925</f>
        <v>2656.1539480000006</v>
      </c>
      <c r="R115" s="3">
        <f>3287.3+(60.6-611.5)+(-3.353046+(-0.061812--0.62373))+0-42.9--0.0437580000000068</f>
        <v>2690.75263</v>
      </c>
      <c r="S115" s="3">
        <f>3188.1+(80.4-531.4)+(0+(0-0))+0-70-0</f>
        <v>2667.1</v>
      </c>
      <c r="T115" s="3">
        <f>3203.4+(76.1-586.4)+(4.901202+(0.116433-0.897192))+0-60.3-0.0922590000000035</f>
        <v>2636.828184</v>
      </c>
      <c r="U115" s="3">
        <f>3234.5+(55.8-592.4)+(-1.649595+(-0.028458--0.302124))+0-66.9--0.0341189999999932</f>
        <v>2629.6581900000001</v>
      </c>
      <c r="V115" s="3">
        <f>3200.5+(87.6-627.6)+(-1.632255+(-0.044676--0.320076))+0-48.6--0.0247859999999951</f>
        <v>2610.567931</v>
      </c>
      <c r="W115" s="3">
        <f>3153.9+(92.3-593.5)+(-9.650934+(-0.282438--1.81611))+0-59.1--0.180846000000007</f>
        <v>2585.6635840000004</v>
      </c>
      <c r="X115" s="3">
        <f>3083.8+(108.6-635.2)+(-6.290952+(-0.221544--1.295808))+0-60.2--0.122807999999997</f>
        <v>2491.9061200000006</v>
      </c>
      <c r="Y115" s="3">
        <f>2917.2+(111.1-547.9)+(-4.463316+(-0.169983--0.838287))+0-57.2--0.0875160000000033</f>
        <v>2419.4925039999998</v>
      </c>
      <c r="Z115" s="3">
        <f>3092+(69-482.8)+(1.57692+(0.03519-0.246228))+0-51.7-0.0263669999999948</f>
        <v>2627.8395150000001</v>
      </c>
      <c r="AA115" s="3">
        <f>3295.1+(58.9-640.4)+(-6.722004+(-0.120156--1.306416))+0-37.5--0.0764999999999984</f>
        <v>2670.6407560000002</v>
      </c>
      <c r="AB115" s="3">
        <f>3171.8+(114.4-587.4)+(-6.470472+(-0.233376--1.198296))+0-68.3--0.139331999999997</f>
        <v>2625.1337800000001</v>
      </c>
      <c r="AC115" s="3">
        <f>3071.3+(129.8-606.9)+(3.132726+(0.132396-0.619038))+0-36.7-0.0374340000000059</f>
        <v>2560.1086500000006</v>
      </c>
      <c r="AD115">
        <f t="shared" si="1"/>
        <v>58091.170529999996</v>
      </c>
      <c r="AE115" s="3">
        <f>3270+(89-603)+(0+(0-0))+0-79-0</f>
        <v>2677</v>
      </c>
    </row>
    <row r="116" spans="1:31" s="2" customFormat="1" x14ac:dyDescent="0.25">
      <c r="A116">
        <v>89</v>
      </c>
      <c r="B116">
        <v>4</v>
      </c>
      <c r="C116">
        <v>23</v>
      </c>
      <c r="D116">
        <v>5</v>
      </c>
      <c r="E116">
        <v>1</v>
      </c>
      <c r="F116" s="3">
        <f>2921.6+(116.1-561.4)+(-2.980032+(-0.118422--0.572628))+0-73.1--0.0745620000000116</f>
        <v>2400.748736</v>
      </c>
      <c r="G116" s="3">
        <f>2748+(105.1-559.5)+(-1.40148+(-0.053601--0.285345))+0-29.9--0.015248999999997</f>
        <v>2262.545513</v>
      </c>
      <c r="H116" s="3">
        <f>2676.4+(105-506.8)+(-2.729928+(-0.1071--0.516936))+0-84.9--0.0865980000000135</f>
        <v>2187.4665059999998</v>
      </c>
      <c r="I116" s="3">
        <f>2656.8+(104.1-554.4)+(-2.709936+(-0.106182--0.565488))+0-57--0.0581400000000091</f>
        <v>2147.3075100000001</v>
      </c>
      <c r="J116" s="3">
        <f>2538.5+(103.7-459.5)+(3.883905+(0.158661-0.703035))+0-72.1-0.110313000000004</f>
        <v>2113.8292179999999</v>
      </c>
      <c r="K116" s="3">
        <f>2422+(103.6-453.5)+(-2.47044+(-0.105672--0.46257))+0-73--0.0744600000000116</f>
        <v>1997.0609179999999</v>
      </c>
      <c r="L116" s="3">
        <f>2373.3+(103.5-435.4)+(-1.210383+(-0.052785--0.222054))+0-72.4--0.0369239999999927</f>
        <v>1967.9958099999999</v>
      </c>
      <c r="M116" s="3">
        <f>2419.6+(102.8-396.7)+(3.701988+(0.157284-0.606951))+0-19.7-0.0301410000000011</f>
        <v>2109.2221799999998</v>
      </c>
      <c r="N116" s="3">
        <f>2768.2+(126.7-571.5)+(-1.411782+(-0.064617--0.291465))+0-14.9--0.00759899999999849</f>
        <v>2307.3226649999997</v>
      </c>
      <c r="O116" s="3">
        <f>2997.3+(128.6-638.4)+(3.057246+(0.131172-0.651168))+0-16.5-0.0168300000000026</f>
        <v>2473.5204199999998</v>
      </c>
      <c r="P116" s="3">
        <f>3134.8+(127.9-656)+(1.598748+(0.065229-0.33456))+0-16.6-0.00846599999999832</f>
        <v>2591.4209510000005</v>
      </c>
      <c r="Q116" s="3">
        <f>3177.3+(128-661)+(-1.620423+(-0.06528--0.33711))+0-17--0.00866999999999828</f>
        <v>2625.9600770000002</v>
      </c>
      <c r="R116" s="3">
        <f>3286.8+(129.5-658.7)+(-3.352536+(-0.13209--0.671874))+0-16.5--0.0168300000000026</f>
        <v>2738.3040780000006</v>
      </c>
      <c r="S116" s="3">
        <f>3309.7+(129.4-725)+(0+(0-0))+0-16.5-0</f>
        <v>2697.6</v>
      </c>
      <c r="T116" s="3">
        <f>3326.4+(128.9-749.6)+(1.696464+(0.065739-0.382296))+0-17.1-0.00872099999999827</f>
        <v>2689.9711859999998</v>
      </c>
      <c r="U116" s="3">
        <f>3315.3+(130-742.5)+(-1.690803+(-0.0663--0.378675))+0-26--0.0132599999999974</f>
        <v>2675.4348320000004</v>
      </c>
      <c r="V116" s="3">
        <f>3281.1+(130.3-681.9)+(-3.346722+(-0.132906--0.695538))+0-77.4--0.0789480000000123</f>
        <v>2649.3948579999997</v>
      </c>
      <c r="W116" s="3">
        <f>3290.4+(127.3-740)+(5.034312+(0.194769-1.1322))+0-52.6-0.080478000000003</f>
        <v>2629.116403</v>
      </c>
      <c r="X116" s="3">
        <f>3212.7+(117.4-733.2)+(-3.276954+(-0.119748--0.747864))+0-48.8--0.0497760000000078</f>
        <v>2545.5009379999992</v>
      </c>
      <c r="Y116" s="3">
        <f>3035.7+(117.3-625.6)+(1.548207+(0.059823-0.319056))+0-68.8-0.035087999999993</f>
        <v>2459.8538859999994</v>
      </c>
      <c r="Z116" s="3">
        <f>3401.5+(41.8-726.8)+(3.46953+(0.042636-0.741336))+0-29.2-0.0297840000000047</f>
        <v>2690.0410460000003</v>
      </c>
      <c r="AA116" s="3">
        <f>3521.6+(31.9-742.1)+(-5.388048+(-0.048807--1.135413))+0-73.9--0.113067000000004</f>
        <v>2733.3116249999998</v>
      </c>
      <c r="AB116" s="3">
        <f>3308.9+(93.1-676.1)+(-1.687539+(-0.047481--0.344811))+0-57.8--0.0294779999999941</f>
        <v>2666.7392689999997</v>
      </c>
      <c r="AC116" s="3">
        <f>3220.5+(128.9-670.1)+(-1.642455+(-0.065739--0.341751))+0-56.4--0.0287639999999943</f>
        <v>2621.5623210000003</v>
      </c>
      <c r="AD116">
        <f t="shared" si="1"/>
        <v>58981.230945999989</v>
      </c>
      <c r="AE116" s="3">
        <f>3421+(20.9-747.8)+(0+(0-0))+0-96.4-0</f>
        <v>2597.6999999999998</v>
      </c>
    </row>
    <row r="117" spans="1:31" s="2" customFormat="1" x14ac:dyDescent="0.25">
      <c r="A117">
        <v>89</v>
      </c>
      <c r="B117">
        <v>4</v>
      </c>
      <c r="C117">
        <v>24</v>
      </c>
      <c r="D117">
        <v>6</v>
      </c>
      <c r="E117">
        <v>1</v>
      </c>
      <c r="F117" s="3">
        <f>3062.1+(74.5-639.9)+(-1.561671+(-0.037995--0.326349))+0-55.5--0.0283049999999944</f>
        <v>2439.9549879999995</v>
      </c>
      <c r="G117" s="3">
        <f>2899.8+(78.8-626.1)+(-1.478898+(-0.040188--0.319311))+0-63.2--0.0322319999999936</f>
        <v>2288.1324570000002</v>
      </c>
      <c r="H117" s="3">
        <f>2786+(101-613.4)+(5.68344+(0.20604-1.251336))+0-57.9-0.118115999999997</f>
        <v>2220.2200279999997</v>
      </c>
      <c r="I117" s="3">
        <f>2658+(104.1-561.1)+(-2.71116+(-0.106182--0.572322))+0-40.9--0.0417180000000065</f>
        <v>2157.896698</v>
      </c>
      <c r="J117" s="3">
        <f>2631.3+(107.1-520.8)+(-1.341963+(-0.054621--0.265608))+0-85.1--0.0434009999999914</f>
        <v>2131.4124250000004</v>
      </c>
      <c r="K117" s="3">
        <f>2591.5+(105.5-609.2)+(-2.64333+(-0.10761--0.621384))+0-59.3--0.0604860000000095</f>
        <v>2026.4309300000004</v>
      </c>
      <c r="L117" s="3">
        <f>2353.1+(104.5-387.9)+(-2.400162+(-0.10659--0.395658))+0-65--0.0663000000000104</f>
        <v>2002.6552059999999</v>
      </c>
      <c r="M117" s="3">
        <f>2537.7+(105.8-403)+(-1.294227+(-0.053958--0.20553))+0-85.7--0.0437069999999913</f>
        <v>2153.7010519999999</v>
      </c>
      <c r="N117" s="3">
        <f>2943.1+(146.1-691.8)+(1.500981+(0.074511-0.352818))+0-26.4-0.0134639999999973</f>
        <v>2372.20921</v>
      </c>
      <c r="O117" s="3">
        <f>3029+(131.7-595.1)+(7.72395+(0.335835-1.517505))+0-57.2-0.145859999999992</f>
        <v>2514.7964200000001</v>
      </c>
      <c r="P117" s="3">
        <f>3219.8+(126.7-673.1)+(1.642098+(0.064617-0.343281))+0-55.6-0.0283559999999944</f>
        <v>2619.1350780000002</v>
      </c>
      <c r="Q117" s="3">
        <f>3274.5+(125.8-667.4)+(1.669995+(0.064158-0.340374))+0-21.1-0.0107609999999979</f>
        <v>2713.1830180000002</v>
      </c>
      <c r="R117" s="3">
        <f>3300+(75.8-572.6)+(-1.683+(-0.038658--0.292026))+0-36.1--0.0184109999999963</f>
        <v>2765.6887790000001</v>
      </c>
      <c r="S117" s="3">
        <f>3369.2+(77.2-670.8)+(-3.436584+(-0.078744--0.684216))+0-70.1--0.0715020000000112</f>
        <v>2702.7403900000004</v>
      </c>
      <c r="T117" s="3">
        <f>3309.6+(96.7-659.8)+(-1.687896+(-0.049317--0.336498))+0-66--0.0336599999999933</f>
        <v>2679.1329449999998</v>
      </c>
      <c r="U117" s="3">
        <f>3221.6+(136.1-655.7)+(-1.643016+(-0.069411--0.334407))+0-59.5--0.030344999999994</f>
        <v>2641.152325</v>
      </c>
      <c r="V117" s="3">
        <f>3229.9+(136-687.9)+(0+(0-0))+0-42.2-0</f>
        <v>2635.8</v>
      </c>
      <c r="W117" s="3">
        <f>3254.3+(135.3-699.9)+(-3.319386+(-0.138006--0.713898))+0-75.7--0.0772140000000121</f>
        <v>2611.3337200000005</v>
      </c>
      <c r="X117" s="3">
        <f>3114.7+(129.4-677.9)+(-7.942485+(-0.32997--1.728645))+0-22.6--0.0576299999999967</f>
        <v>2537.1138199999996</v>
      </c>
      <c r="Y117" s="3">
        <f>2801.2+(89.6-356.7)+(-1.428612+(-0.045696--0.181917))+0-68.1--0.0347309999999931</f>
        <v>2464.7423400000002</v>
      </c>
      <c r="Z117" s="3">
        <f>3371.2+(8.9-592.7)+(-3.438624+(-0.009078--0.604554))+0-60.8--0.0620160000000097</f>
        <v>2723.8188679999994</v>
      </c>
      <c r="AA117" s="3">
        <f>3491.8+(0-714.2)+(-5.342454+(0--1.092726))+0-60.3--0.0922590000000035</f>
        <v>2713.1425310000004</v>
      </c>
      <c r="AB117" s="3">
        <f>3383.4+(71.3-710.6)+(-1.725534+(-0.036363--0.362406))+0-74.7--0.0380969999999924</f>
        <v>2668.0386060000001</v>
      </c>
      <c r="AC117" s="3">
        <f>3085.9+(120.7-487.7)+(-4.721427+(-0.184671--0.746181))+0-87.3--0.133569000000005</f>
        <v>2627.573652</v>
      </c>
      <c r="AD117">
        <f t="shared" si="1"/>
        <v>59410.005486000002</v>
      </c>
      <c r="AE117" s="3">
        <f>3453+(1.6-639.5)+(0+(0-0))+0-55.4-0</f>
        <v>2759.7</v>
      </c>
    </row>
    <row r="118" spans="1:31" s="2" customFormat="1" x14ac:dyDescent="0.25">
      <c r="A118">
        <v>89</v>
      </c>
      <c r="B118">
        <v>4</v>
      </c>
      <c r="C118">
        <v>25</v>
      </c>
      <c r="D118">
        <v>7</v>
      </c>
      <c r="E118">
        <v>1</v>
      </c>
      <c r="F118" s="3">
        <f>3036.9+(88.8-564.3)+(4.646457+(0.135864-0.863379))+0-45.7-0.0699210000000026</f>
        <v>2519.5490210000003</v>
      </c>
      <c r="G118" s="3">
        <f>2958.5+(77.4-591.3)+(-1.508835+(-0.039474--0.301563))+0-70--0.0356999999999929</f>
        <v>2373.388954</v>
      </c>
      <c r="H118" s="3">
        <f>2863.5+(77.3-565)+(1.460385+(0.039423-0.28815))+0-88.3-0.045032999999991</f>
        <v>2288.6666250000003</v>
      </c>
      <c r="I118" s="3">
        <f>2888.2+(77-637.4)+(1.472982+(0.03927-0.325074))+0-75-0.0382499999999924</f>
        <v>2253.9489279999998</v>
      </c>
      <c r="J118" s="3">
        <f>2788.1+(77-591.5)+(-4.265793+(-0.11781--0.904995))+0-84--0.128520000000005</f>
        <v>2186.2499120000002</v>
      </c>
      <c r="K118" s="3">
        <f>2434.6+(77.4-351.8)+(-7.449876+(-0.236844--1.076508))+0-73.5--0.224910000000008</f>
        <v>2080.3146979999997</v>
      </c>
      <c r="L118" s="3">
        <f>2299.1+(3-223)+(-5.862705+(-0.00765--0.56865))+0-86--0.219299999999988</f>
        <v>1988.017595</v>
      </c>
      <c r="M118" s="3">
        <f>2306.9+(2.1-201.3)+(0+(0-0))+0-99-0</f>
        <v>2008.7000000000003</v>
      </c>
      <c r="N118" s="3">
        <f>2285.8+(85.2-185.5)+(-2.331516+(-0.086904--0.18921))+0-69.1--0.070482000000011</f>
        <v>2114.2412720000002</v>
      </c>
      <c r="O118" s="3">
        <f>2474.7+(76.4-261.7)+(-2.524194+(-0.077928--0.266934))+0-65.8--0.0671160000000105</f>
        <v>2221.3319279999996</v>
      </c>
      <c r="P118" s="3">
        <f>2915+(75.8-586.5)+(-1.48665+(-0.038658--0.299115))+0-70.9--0.0361589999999928</f>
        <v>2332.2099659999999</v>
      </c>
      <c r="Q118" s="3">
        <f>3084.2+(76.1-680.1)+(-3.145884+(-0.077622--0.693702))+0-56.4--0.057528000000009</f>
        <v>2421.3277239999998</v>
      </c>
      <c r="R118" s="3">
        <f>2869.9+(75.8-428.2)+(-1.463649+(-0.038658--0.218382))+0-70.7--0.0360569999999928</f>
        <v>2445.5521319999998</v>
      </c>
      <c r="S118" s="3">
        <f>2923.4+(75.9-488)+(-1.490934+(-0.038709--0.24888))+0-79.8--0.0406979999999919</f>
        <v>2430.2599349999996</v>
      </c>
      <c r="T118" s="3">
        <f>3077.5+(104.1-657.9)+(3.13905+(0.106182-0.671058))+0-82.4-0.0840480000000131</f>
        <v>2443.7901259999994</v>
      </c>
      <c r="U118" s="3">
        <f>2973.3+(128.9-578.5)+(-3.032766+(-0.131478--0.59007))+0-69.2--0.070584000000011</f>
        <v>2451.9964100000007</v>
      </c>
      <c r="V118" s="3">
        <f>2920+(129.9-557.1)+(2.9784+(0.132498-0.568242))+0-69.4-0.0707880000000111</f>
        <v>2425.8718680000002</v>
      </c>
      <c r="W118" s="3">
        <f>2838.7+(129.6-521.2)+(-2.895474+(-0.132192--0.531624))+0-71.9--0.0733380000000115</f>
        <v>2372.7772959999998</v>
      </c>
      <c r="X118" s="3">
        <f>2644.4+(126.1-339.4)+(-9.440508+(-0.450177--1.211658))+0-86.3--0.308091000000001</f>
        <v>2336.4290639999995</v>
      </c>
      <c r="Y118" s="3">
        <f>2623.6+(92.7-379.6)+(2.676072+(0.094554-0.387192))+0-53.2-0.0542640000000085</f>
        <v>2285.82917</v>
      </c>
      <c r="Z118" s="3">
        <f>3074.8+(20.2-541.2)+(-4.704444+(-0.030906--0.828036))+0-74.4--0.113832000000004</f>
        <v>2475.6065180000001</v>
      </c>
      <c r="AA118" s="3">
        <f>3336.2+(1.6-676.1)+(-3.402924+(-0.001632--0.689622))+0-75.5--0.077010000000012</f>
        <v>2583.5620759999997</v>
      </c>
      <c r="AB118" s="3">
        <f>3294.8+(59.9-709.7)+(0+(0-0))+0-86.5-0</f>
        <v>2558.5</v>
      </c>
      <c r="AC118" s="3">
        <f>3139.5+(129.4-628.4)+(-3.20229+(-0.131988--0.640968))+0-77.2--0.0787440000000123</f>
        <v>2560.685434</v>
      </c>
      <c r="AD118">
        <f t="shared" si="1"/>
        <v>56158.806651999992</v>
      </c>
      <c r="AE118" s="3">
        <f>3364+(0-765.8)+(0+(0-0))+0-18.7-0</f>
        <v>2579.5</v>
      </c>
    </row>
    <row r="119" spans="1:31" s="2" customFormat="1" x14ac:dyDescent="0.25">
      <c r="A119">
        <v>89</v>
      </c>
      <c r="B119">
        <v>4</v>
      </c>
      <c r="C119">
        <v>26</v>
      </c>
      <c r="D119">
        <v>1</v>
      </c>
      <c r="E119">
        <v>1</v>
      </c>
      <c r="F119" s="3">
        <f>3000.9+(116.8-670.6)+(-4.591377+(-0.178704--1.026018))+0-43.5--0.0665550000000025</f>
        <v>2399.9224919999997</v>
      </c>
      <c r="G119" s="3">
        <f>2797+(113.8-520.1)+(-4.27941+(-0.174114--0.795753))+0-73.3--0.112149000000004</f>
        <v>2313.8543779999995</v>
      </c>
      <c r="H119" s="3">
        <f>2564.2+(113.3-401.8)+(-1.307742+(-0.057783--0.204918))+0-65.9--0.0336089999999933</f>
        <v>2208.673002</v>
      </c>
      <c r="I119" s="3">
        <f>2452.1+(113.2-331.7)+(-7.503426+(-0.346392--1.015002))+0-26.9--0.0823140000000031</f>
        <v>2199.947498</v>
      </c>
      <c r="J119" s="3">
        <f>2340.2+(114-213.8)+(-2.387004+(-0.11628--0.218076))+0-70.1--0.0715020000000112</f>
        <v>2168.0862940000002</v>
      </c>
      <c r="K119" s="3">
        <f>2333.8+(114.3-351.7)+(-4.760952+(-0.233172--0.717468))+0-44.7--0.091187999999998</f>
        <v>2047.5145320000001</v>
      </c>
      <c r="L119" s="3">
        <f>2335.3+(114-338.2)+(-5.955015+(-0.2907--0.86241))+0-72.3--0.18436499999999</f>
        <v>2033.6010600000006</v>
      </c>
      <c r="M119" s="3">
        <f>2450.5+(112.9-298)+(1.249755+(0.057579-0.15198))+0-75.1-0.0383009999999924</f>
        <v>2191.4170530000001</v>
      </c>
      <c r="N119" s="3">
        <f>2847.6+(125-523.8)+(0+(0-0))+0-56.4-0</f>
        <v>2392.4</v>
      </c>
      <c r="O119" s="3">
        <f>3144.2+(129.3-617.8)+(1.603542+(0.065943-0.315078))+0-67.5-0.0344249999999932</f>
        <v>2589.5199819999998</v>
      </c>
      <c r="P119" s="3">
        <f>3171.6+(127.7-586.3)+(1.617516+(0.065127-0.299013))+0-64.1-0.0326909999999935</f>
        <v>2650.250939</v>
      </c>
      <c r="Q119" s="3">
        <f>3342.8+(129.4-612)+(0+(0-0))+0-74.4-0</f>
        <v>2785.8</v>
      </c>
      <c r="R119" s="3">
        <f>3431.4+(129.8-675.7)+(0+(0-0))+0-53.8-0</f>
        <v>2831.7</v>
      </c>
      <c r="S119" s="3">
        <f>3422.4+(129.7-680.6)+(0+(0-0))+0-68.1-0</f>
        <v>2803.4</v>
      </c>
      <c r="T119" s="3">
        <f>3380.5+(130-686.2)+(1.724055+(0.0663-0.349962))+0-63.6-0.0324359999999935</f>
        <v>2762.1079570000002</v>
      </c>
      <c r="U119" s="3">
        <f>3359.5+(129.9-688.8)+(3.42669+(0.132498-0.702576))+0-53.3-0.0543660000000085</f>
        <v>2750.1022459999999</v>
      </c>
      <c r="V119" s="3">
        <f>3368.3+(130.8-684)+(-1.717833+(-0.066708--0.34884))+0-73.9--0.0376889999999925</f>
        <v>2739.8019880000002</v>
      </c>
      <c r="W119" s="3">
        <f>3359.1+(131.4-704.5)+(0+(0-0))+0-77.9-0</f>
        <v>2708.1</v>
      </c>
      <c r="X119" s="3">
        <f>3274.7+(131.2-729.5)+(-5.010291+(-0.200736--1.116135))+0-77.5--0.118575000000004</f>
        <v>2594.9236829999995</v>
      </c>
      <c r="Y119" s="3">
        <f>2986.2+(132.1-551.7)+(0+(0-0))+0-69.7-0</f>
        <v>2496.9</v>
      </c>
      <c r="Z119" s="3">
        <f>3198.2+(130.5-474)+(0+(0-0))+0-58.5-0</f>
        <v>2796.2</v>
      </c>
      <c r="AA119" s="3">
        <f>3372.9+(132.2-755.8)+(-5.160537+(-0.202266--1.156374))+0-57.3--0.0876690000000033</f>
        <v>2687.8812400000002</v>
      </c>
      <c r="AB119" s="3">
        <f>3354+(131.9-710.1)+(-6.84216+(-0.269076--1.448604))+0-72.1--0.147083999999997</f>
        <v>2698.1844520000004</v>
      </c>
      <c r="AC119" s="3">
        <f>3252.6+(132.1-659)+(-6.635304+(-0.269484--1.34436))+0-85.4--0.174215999999996</f>
        <v>2634.9137879999998</v>
      </c>
      <c r="AD119">
        <f t="shared" si="1"/>
        <v>60485.202584000006</v>
      </c>
      <c r="AE119" s="3">
        <f>3371+(132.6-706.6)+(0+(0-0))+0-84.6-0</f>
        <v>2712.4</v>
      </c>
    </row>
    <row r="120" spans="1:31" s="2" customFormat="1" x14ac:dyDescent="0.25">
      <c r="A120">
        <v>89</v>
      </c>
      <c r="B120">
        <v>4</v>
      </c>
      <c r="C120">
        <v>27</v>
      </c>
      <c r="D120">
        <v>2</v>
      </c>
      <c r="E120">
        <v>1</v>
      </c>
      <c r="F120" s="3">
        <f>3095.3+(99.3-643.5)+(-6.314412+(-0.202572--1.31274))+0-70.6--0.144023999999997</f>
        <v>2475.4397800000006</v>
      </c>
      <c r="G120" s="3">
        <f>2869.7+(92.8-567)+(-1.463547+(-0.047328--0.28917))+0-53.2--0.0271319999999946</f>
        <v>2341.1054270000004</v>
      </c>
      <c r="H120" s="3">
        <f>2797.4+(95.5-549.6)+(0+(0-0))+0-80.3-0</f>
        <v>2263</v>
      </c>
      <c r="I120" s="3">
        <f>2745.5+(94.5-536.5)+(-4.200615+(-0.144585--0.820845))+0-68.1--0.104193000000004</f>
        <v>2231.9798380000002</v>
      </c>
      <c r="J120" s="3">
        <f>2625.6+(96.5-465.3)+(-2.678112+(-0.09843--0.474606))+0-63.8--0.0650760000000102</f>
        <v>2190.7631399999996</v>
      </c>
      <c r="K120" s="3">
        <f>2484.6+(94.1-408.1)+(-6.33573+(-0.239955--1.040655))+0-80.4--0.205019999999988</f>
        <v>2084.8699899999997</v>
      </c>
      <c r="L120" s="3">
        <f>2422.1+(93.7-370.2)+(-4.941084+(-0.191148--0.755208))+0-77.7--0.158507999999997</f>
        <v>2063.6814840000002</v>
      </c>
      <c r="M120" s="3">
        <f>2499.8+(93.9-325.5)+(-1.274898+(-0.047889--0.166005))+0-75.7--0.0386069999999923</f>
        <v>2191.3818250000004</v>
      </c>
      <c r="N120" s="3">
        <f>2768.4+(124.4-463.9)+(-2.823768+(-0.126888--0.473178))+0-42.8--0.0436560000000068</f>
        <v>2383.6661779999999</v>
      </c>
      <c r="O120" s="3">
        <f>2949.6+(129.1-487.6)+(1.504296+(0.065841-0.248676))+0-80.2-0.0409019999999919</f>
        <v>2512.1805589999999</v>
      </c>
      <c r="P120" s="3">
        <f>3311.3+(129.6-727.2)+(1.688763+(0.066096-0.370872))+0-67.1-0.0342209999999932</f>
        <v>2647.9497660000006</v>
      </c>
      <c r="Q120" s="3">
        <f>3321+(130.5-681.6)+(3.38742+(0.13311-0.695232))+0-67.7-0.0690540000000108</f>
        <v>2704.9562440000004</v>
      </c>
      <c r="R120" s="3">
        <f>3338.3+(130.1-604.4)+(1.702533+(0.066351-0.308244))+0-72.9-0.0371789999999926</f>
        <v>2792.5234609999998</v>
      </c>
      <c r="S120" s="3">
        <f>3373.8+(130-694.1)+(1.720638+(0.0663-0.353991))+0-60-0.0305999999999939</f>
        <v>2751.102347</v>
      </c>
      <c r="T120" s="3">
        <f>3368.6+(130.4-709.8)+(3.435972+(0.133008-0.723996))+0-65.4-0.0667080000000104</f>
        <v>2726.5782759999997</v>
      </c>
      <c r="U120" s="3">
        <f>3356.5+(130.9-720)+(3.42363+(0.133518-0.7344))+0-60.2-0.0614040000000096</f>
        <v>2709.9613440000003</v>
      </c>
      <c r="V120" s="3">
        <f>3341.6+(131.7-752)+(1.704216+(0.067167-0.38352))+0-58.1-0.0296309999999941</f>
        <v>2664.5582320000003</v>
      </c>
      <c r="W120" s="3">
        <f>3290.1+(131.9-707.1)+(0+(0-0))+0-69.2-0</f>
        <v>2645.7</v>
      </c>
      <c r="X120" s="3">
        <f>3211+(126.9-711.1)+(-4.91283+(-0.194157--1.087983))+0-72.5--0.110925000000004</f>
        <v>2550.3919209999999</v>
      </c>
      <c r="Y120" s="3">
        <f>2916.9+(119.1-479.8)+(-1.487619+(-0.060741--0.244698))+0-72.4--0.0369239999999927</f>
        <v>2482.5332619999999</v>
      </c>
      <c r="Z120" s="3">
        <f>3375.4+(97.3-695.6)+(1.721454+(0.049623-0.354756))+0-68.8-0.035087999999993</f>
        <v>2709.6812329999998</v>
      </c>
      <c r="AA120" s="3">
        <f>3476.8+(90.9-789.8)+(0+(0-0))+0-71.9-0</f>
        <v>2706</v>
      </c>
      <c r="AB120" s="3">
        <f>3364.9+(128.9-738.6)+(-6.864396+(-0.262956--1.506744))+0-66.3--0.135251999999997</f>
        <v>2683.4146439999995</v>
      </c>
      <c r="AC120" s="3">
        <f>3142.2+(131.2-573.4)+(-3.205044+(-0.133824--0.584868))+0-85.6--0.0873120000000136</f>
        <v>2611.7333120000003</v>
      </c>
      <c r="AD120">
        <f t="shared" si="1"/>
        <v>60125.152263000011</v>
      </c>
      <c r="AE120" s="3">
        <f>3494+(79.3-808.6)+(0+(0-0))+0-21.2-0</f>
        <v>2743.5</v>
      </c>
    </row>
    <row r="121" spans="1:31" s="2" customFormat="1" x14ac:dyDescent="0.25">
      <c r="A121">
        <v>89</v>
      </c>
      <c r="B121">
        <v>4</v>
      </c>
      <c r="C121">
        <v>28</v>
      </c>
      <c r="D121">
        <v>3</v>
      </c>
      <c r="E121">
        <v>1</v>
      </c>
      <c r="F121" s="3">
        <f>3040.9+(98.6-634)+(-4.652577+(-0.150858--0.97002))+0-74.7--0.114291000000004</f>
        <v>2427.080876</v>
      </c>
      <c r="G121" s="3">
        <f>2888.8+(94.7-605.8)+(-2.946576+(-0.096594--0.617916))+0-76.3--0.0778260000000122</f>
        <v>2299.0525720000001</v>
      </c>
      <c r="H121" s="3">
        <f>2714.3+(95.2-519.2)+(-5.537172+(-0.194208--1.059168))+0-73.7--0.150347999999997</f>
        <v>2212.0781360000005</v>
      </c>
      <c r="I121" s="3">
        <f>2608.3+(95.5-454)+(-3.990699+(-0.146115--0.69462))+0-74.3--0.113679000000004</f>
        <v>2172.1714849999998</v>
      </c>
      <c r="J121" s="3">
        <f>2490.4+(95.8-348.5)+(-2.540208+(-0.097716--0.35547))+0-86.4--0.0881280000000138</f>
        <v>2149.1056739999999</v>
      </c>
      <c r="K121" s="3">
        <f>2488.2+(95-450.7)+(-5.075928+(-0.1938--0.919428))+0-79.3--0.161771999999997</f>
        <v>2049.0114719999997</v>
      </c>
      <c r="L121" s="3">
        <f>2352.4+(94.1-348.5)+(-4.798896+(-0.191964--0.71094))+0-74.4--0.151775999999997</f>
        <v>2019.4718559999999</v>
      </c>
      <c r="M121" s="3">
        <f>2537.8+(102.9-428.6)+(-3.882834+(-0.157437--0.655758))+0-50.1--0.0766530000000029</f>
        <v>2158.6921400000006</v>
      </c>
      <c r="N121" s="3">
        <f>2860+(128.4-580.9)+(1.4586+(0.065484-0.296259))+0-69.5-0.0354449999999929</f>
        <v>2339.19238</v>
      </c>
      <c r="O121" s="3">
        <f>2966.7+(123.7-556.3)+(1.513017+(0.063087-0.283713))+0-62.4-0.0318239999999937</f>
        <v>2472.9605669999996</v>
      </c>
      <c r="P121" s="3">
        <f>3172.6+(93.8-618.6)+(0+(0-0))+0-64.5-0</f>
        <v>2583.2999999999997</v>
      </c>
      <c r="Q121" s="3">
        <f>3307.8+(74.4-621.6)+(1.686978+(0.037944-0.317016))+0-70.8-0.0361079999999928</f>
        <v>2691.1717980000003</v>
      </c>
      <c r="R121" s="3">
        <f>3444.9+(54-653)+(-1.756899+(-0.02754--0.33303))+0-69.1--0.035240999999993</f>
        <v>2775.3838320000004</v>
      </c>
      <c r="S121" s="3">
        <f>3442.8+(39.9-644.9)+(-1.755828+(-0.020349--0.328899))+0-76.2--0.0388619999999923</f>
        <v>2760.1915840000001</v>
      </c>
      <c r="T121" s="3">
        <f>3451+(30-701.3)+(3.52002+(0.0306-0.715326))+0-77-0.0785400000000123</f>
        <v>2705.4567539999998</v>
      </c>
      <c r="U121" s="3">
        <f>3417.5+(38.7-675.3)+(1.742925+(0.019737-0.344403))+0-78.3-0.0399329999999921</f>
        <v>2703.9783259999999</v>
      </c>
      <c r="V121" s="3">
        <f>3386.6+(39.8-662.4)+(-3.454332+(-0.040596--0.675648))+0-83--0.0846600000000132</f>
        <v>2678.2653799999998</v>
      </c>
      <c r="W121" s="3">
        <f>3354.6+(52.9-702.4)+(-6.843384+(-0.107916--1.432896))+0-55.2--0.112607999999998</f>
        <v>2644.4942040000001</v>
      </c>
      <c r="X121" s="3">
        <f>3205.4+(85.8-658.8)+(-6.539016+(-0.175032--1.343952))+0-74.1--0.151163999999997</f>
        <v>2553.081068</v>
      </c>
      <c r="Y121" s="3">
        <f>2996.1+(83.6-547.1)+(0+(0-0))+0-65.8-0</f>
        <v>2466.7999999999997</v>
      </c>
      <c r="Z121" s="3">
        <f>3408+(0-634.6)+(1.73808+(0-0.323646))+0-78.8-0.040187999999992</f>
        <v>2695.9742459999998</v>
      </c>
      <c r="AA121" s="3">
        <f>3540.9+(0-724.9)+(-3.611718+(0--0.739398))+0-73.3--0.0747660000000117</f>
        <v>2739.9024460000001</v>
      </c>
      <c r="AB121" s="3">
        <f>3417.3+(55.8-720)+(-1.742823+(-0.028458--0.3672))+0-59.5--0.030344999999994</f>
        <v>2692.2262640000004</v>
      </c>
      <c r="AC121" s="3">
        <f>3219.5+(122.5-642.8)+(0+(0-0))+0-81.5-0</f>
        <v>2617.6999999999998</v>
      </c>
      <c r="AD121">
        <f t="shared" si="1"/>
        <v>59606.743059999986</v>
      </c>
      <c r="AE121" s="3">
        <f>3569+(0-726.8)+(0+(0-0))+0-99-0</f>
        <v>2743.2</v>
      </c>
    </row>
    <row r="122" spans="1:31" s="2" customFormat="1" x14ac:dyDescent="0.25">
      <c r="A122">
        <v>89</v>
      </c>
      <c r="B122">
        <v>4</v>
      </c>
      <c r="C122">
        <v>29</v>
      </c>
      <c r="D122">
        <v>4</v>
      </c>
      <c r="E122">
        <v>1</v>
      </c>
      <c r="F122" s="3">
        <f>3092.7+(102.2-671)+(-6.309108+(-0.208488--1.36884))+0-85.3--0.174011999999996</f>
        <v>2433.6252559999994</v>
      </c>
      <c r="G122" s="3">
        <f>2833.2+(98.5-552.5)+(-8.669592+(-0.30141--1.69065))+0-71.1--0.217566000000008</f>
        <v>2301.0372139999995</v>
      </c>
      <c r="H122" s="3">
        <f>2703.4+(98.5-509.8)+(-4.136202+(-0.150705--0.779994))+0-66.9--0.102357000000004</f>
        <v>2221.7954439999999</v>
      </c>
      <c r="I122" s="3">
        <f>2618.9+(96-436.6)+(-4.006917+(-0.14688--0.667998))+0-72.2--0.110466000000004</f>
        <v>2202.7246670000004</v>
      </c>
      <c r="J122" s="3">
        <f>2629.8+(95-519.9)+(2.682396+(0.0969-0.530298))+0-50.3-0.051306000000008</f>
        <v>2156.7976920000001</v>
      </c>
      <c r="K122" s="3">
        <f>2601.1+(95.3-575.9)+(-2.653122+(-0.097206--0.587418))+0-63.1--0.0643620000000101</f>
        <v>2055.3014520000002</v>
      </c>
      <c r="L122" s="3">
        <f>2520.3+(94.4-496.5)+(-7.712118+(-0.288864--1.51929))+0-80--0.244800000000009</f>
        <v>2031.9631080000004</v>
      </c>
      <c r="M122" s="3">
        <f>2579.3+(93.4-498.5)+(1.315443+(0.047634-0.254235))+0-20.9-0.0106589999999979</f>
        <v>2154.3981830000002</v>
      </c>
      <c r="N122" s="3">
        <f>2789.6+(124.3-530.5)+(1.422696+(0.063393-0.270555))+0-13-0.00662999999999868</f>
        <v>2371.6089040000002</v>
      </c>
      <c r="O122" s="3">
        <f>2990.2+(128.8-591.9)+(3.050004+(0.131376-0.603738))+0-12.8-0.013056000000002</f>
        <v>2516.8645860000001</v>
      </c>
      <c r="P122" s="3">
        <f>3204.6+(128.3-681.7)+(3.268692+(0.130866-0.695334))+0-14.4-0.0146880000000023</f>
        <v>2639.4895359999996</v>
      </c>
      <c r="Q122" s="3">
        <f>3279.2+(128.6-703.8)+(1.672392+(0.065586-0.358938))+0-15.6-0.00795599999999842</f>
        <v>2689.771084</v>
      </c>
      <c r="R122" s="3">
        <f>3382.4+(126.7-749.1)+(5.175072+(0.193851-1.146123))+0-17-0.026010000000001</f>
        <v>2747.19679</v>
      </c>
      <c r="S122" s="3">
        <f>3315.2+(129-729.2)+(1.690752+(0.06579-0.371892))+0-24-0.0122399999999976</f>
        <v>2692.3724099999999</v>
      </c>
      <c r="T122" s="3">
        <f>3334.9+(129-727.4)+(6.803196+(0.26316-1.483896))+0-37-0.0754799999999984</f>
        <v>2705.0069800000001</v>
      </c>
      <c r="U122" s="3">
        <f>3390.6+(131-742.1)+(1.729206+(0.06681-0.378471))+0-70-0.0356999999999929</f>
        <v>2710.8818449999999</v>
      </c>
      <c r="V122" s="3">
        <f>3320.5+(131-715.8)+(-1.693455+(-0.06681--0.365058))+0-62--0.0316199999999937</f>
        <v>2672.336413</v>
      </c>
      <c r="W122" s="3">
        <f>3274.9+(132-685.2)+(-5.010597+(-0.20196--1.048356))+0-79.3--0.121329000000005</f>
        <v>2638.3571279999996</v>
      </c>
      <c r="X122" s="3">
        <f>3160.9+(122.5-670.4)+(-4.836177+(-0.187425--1.025712))+0-78--0.119340000000005</f>
        <v>2531.1214500000001</v>
      </c>
      <c r="Y122" s="3">
        <f>3032.4+(110.9-630.7)+(-4.639572+(-0.169677--0.964971))+0-69.2--0.105876000000004</f>
        <v>2439.6615980000001</v>
      </c>
      <c r="Z122" s="3">
        <f>3408.8+(84.3-715.9)+(0+(0-0))+0-70.5-0</f>
        <v>2706.7000000000003</v>
      </c>
      <c r="AA122" s="3">
        <f>3488.5+(89.5-764.5)+(-1.779135+(-0.045645--0.389895))+0-84.1--0.0428909999999915</f>
        <v>2728.008006</v>
      </c>
      <c r="AB122" s="3">
        <f>3314+(133.2-702.6)+(-3.38028+(-0.135864--0.716652))+0-80.5--0.0821100000000128</f>
        <v>2661.3826179999996</v>
      </c>
      <c r="AC122" s="3">
        <f>3212.9+(130.5-681)+(3.277158+(0.13311-0.69462))+0-60.6-0.0618120000000097</f>
        <v>2604.4538360000001</v>
      </c>
      <c r="AD122">
        <f t="shared" si="1"/>
        <v>59612.856200000009</v>
      </c>
      <c r="AE122" s="3">
        <f>3495+(83-775.6)+(0+(0-0))+0-101.5-0</f>
        <v>2700.9</v>
      </c>
    </row>
    <row r="123" spans="1:31" s="2" customFormat="1" x14ac:dyDescent="0.25">
      <c r="A123">
        <v>89</v>
      </c>
      <c r="B123">
        <v>4</v>
      </c>
      <c r="C123">
        <v>30</v>
      </c>
      <c r="D123">
        <v>5</v>
      </c>
      <c r="E123">
        <v>1</v>
      </c>
      <c r="F123" s="3">
        <f>3067.9+(100.4-668.1)+(0+(0-0))+0-65.7-0</f>
        <v>2434.5</v>
      </c>
      <c r="G123" s="3">
        <f>2894.3+(96.6-609.5)+(-1.476093+(-0.049266--0.310845))+0-84.1--0.0428909999999915</f>
        <v>2296.1283770000005</v>
      </c>
      <c r="H123" s="3">
        <f>2777.8+(95.6-576.7)+(1.416678+(0.048756-0.294117))+0-74.5-0.0379949999999924</f>
        <v>2223.333322</v>
      </c>
      <c r="I123" s="3">
        <f>2763.4+(94.3-595.2)+(-1.409334+(-0.048093--0.303552))+0-73.7--0.0375869999999925</f>
        <v>2187.683712</v>
      </c>
      <c r="J123" s="3">
        <f>2752.8+(95.4-615)+(-2.807856+(-0.097308--0.6273))+0-79.3--0.0808860000000126</f>
        <v>2151.7030220000001</v>
      </c>
      <c r="K123" s="3">
        <f>2708+(96-631.9)+(-1.38108+(-0.04896--0.322269))+0-85.8--0.0437579999999913</f>
        <v>2085.2359869999996</v>
      </c>
      <c r="L123" s="3">
        <f>2459+(95.6-445.5)+(-1.25409+(-0.048756--0.227205))+0-71.4--0.0364139999999928</f>
        <v>2036.6607729999998</v>
      </c>
      <c r="M123" s="3">
        <f>2448.1+(95.7-278.6)+(-1.248531+(-0.048807--0.142086))+0-59.2--0.030191999999994</f>
        <v>2204.8749400000002</v>
      </c>
      <c r="N123" s="3">
        <f>2651.8+(128.1-336.7)+(-1.352418+(-0.065331--0.171717))+0-87.1--0.0444209999999912</f>
        <v>2354.8983890000004</v>
      </c>
      <c r="O123" s="3">
        <f>3031+(128.2-593.2)+(0+(0-0))+0-73.7-0</f>
        <v>2492.3000000000002</v>
      </c>
      <c r="P123" s="3">
        <f>3189.8+(129-603.9)+(-1.626798+(-0.06579--0.307989))+0-72--0.0367199999999927</f>
        <v>2641.5521210000002</v>
      </c>
      <c r="Q123" s="3">
        <f>3249+(129.1-624.9)+(1.65699+(0.065841-0.318699))+0-71.3-0.0363629999999928</f>
        <v>2683.2677689999996</v>
      </c>
      <c r="R123" s="3">
        <f>3279.6+(129.1-594.3)+(-1.672596+(-0.065841--0.303093))+0-86.8--0.0442679999999912</f>
        <v>2726.208924</v>
      </c>
      <c r="S123" s="3">
        <f>3238+(129.6-599)+(-1.65138+(-0.066096--0.30549))+0-82.8--0.0422279999999916</f>
        <v>2684.4302419999995</v>
      </c>
      <c r="T123" s="3">
        <f>3266.1+(129.7-642.7)+(4.997133+(0.198441-0.983331))+0-77.3-0.118269000000004</f>
        <v>2679.8939739999996</v>
      </c>
      <c r="U123" s="3">
        <f>3167+(129.3-589.9)+(0+(0-0))+0-61-0</f>
        <v>2645.4</v>
      </c>
      <c r="V123" s="3">
        <f>3133.4+(128.5-567.4)+(-1.598034+(-0.065535--0.289374))+0-76.3--0.0389129999999923</f>
        <v>2616.8647179999998</v>
      </c>
      <c r="W123" s="3">
        <f>3059.9+(128.9-532.9)+(-4.681647+(-0.197217--0.815337))+0-84.2--0.128826000000005</f>
        <v>2567.7652990000006</v>
      </c>
      <c r="X123" s="3">
        <f>3045.7+(118.2-608.8)+(-4.659921+(-0.180846--0.931464))+0-77.9--0.119187000000005</f>
        <v>2473.4098839999997</v>
      </c>
      <c r="Y123" s="3">
        <f>2899.9+(108.3-536.6)+(1.478949+(0.055233-0.273666))+0-78.8-0.040187999999992</f>
        <v>2394.0203279999996</v>
      </c>
      <c r="Z123" s="3">
        <f>3174.2+(91.1-586.9)+(3.237684+(0.092922-0.598638))+0-68.9-0.070278000000011</f>
        <v>2612.1616899999995</v>
      </c>
      <c r="AA123" s="3">
        <f>3281.3+(99.2-672.1)+(-1.673463+(-0.050592--0.342771))+0-86.8--0.0442679999999912</f>
        <v>2620.262984</v>
      </c>
      <c r="AB123" s="3">
        <f>3092.9+(128.9-550.3)+(-1.577379+(-0.065739--0.280653))+0-50.4--0.0257039999999949</f>
        <v>2619.7632389999999</v>
      </c>
      <c r="AC123" s="3">
        <f>2950.6+(132.1-545.2)+(-3.009612+(-0.134742--0.556104))+0-69.4--0.0707880000000111</f>
        <v>2465.5825380000001</v>
      </c>
      <c r="AD123">
        <f t="shared" si="1"/>
        <v>58897.902232</v>
      </c>
      <c r="AE123" s="3">
        <f>3285+(92.1-636.9)+(0+(0-0))+0-90.3-0</f>
        <v>2649.8999999999996</v>
      </c>
    </row>
    <row r="124" spans="1:31" s="2" customFormat="1" x14ac:dyDescent="0.25">
      <c r="A124">
        <v>89</v>
      </c>
      <c r="B124">
        <v>4</v>
      </c>
      <c r="C124">
        <v>31</v>
      </c>
      <c r="D124">
        <v>6</v>
      </c>
      <c r="E124">
        <v>1</v>
      </c>
      <c r="F124" s="3">
        <f>2887.8+(131-615.1)+(-2.945556+(-0.13362--0.627402))+0-54--0.0550800000000086</f>
        <v>2347.3033060000002</v>
      </c>
      <c r="G124" s="3">
        <f>2813+(131-599.9)+(2.86926+(0.13362-0.611898))+0-88-0.089760000000014</f>
        <v>2258.401222</v>
      </c>
      <c r="H124" s="3">
        <f>2698.5+(131-576.8)+(-5.50494+(-0.26724--1.176672))+0-80--0.163199999999997</f>
        <v>2168.2676919999999</v>
      </c>
      <c r="I124" s="3">
        <f>2508.6+(131-490.8)+(-6.39693+(-0.33405--1.25154))+0-92--0.234599999999987</f>
        <v>2051.5551599999994</v>
      </c>
      <c r="J124" s="3">
        <f>2321.6+(131-286.2)+(1.184016+(0.06681-0.145962))+0-85-0.0433499999999914</f>
        <v>2082.4615140000001</v>
      </c>
      <c r="K124" s="3">
        <f>2304.6+(131-335.9)+(-5.87673+(-0.33405--0.856545))+0-75--0.191249999999989</f>
        <v>2019.5370150000001</v>
      </c>
      <c r="L124" s="3">
        <f>2304+(130-421.6)+(-2.35008+(-0.1326--0.430032))+0-65--0.0663000000000104</f>
        <v>1945.413652</v>
      </c>
      <c r="M124" s="3">
        <f>2375+(130-337.5)+(-1.21125+(-0.0663--0.172125))+0-85--0.0433499999999914</f>
        <v>2081.4379249999997</v>
      </c>
      <c r="N124" s="3">
        <f>2542.5+(131-372.4)+(1.296675+(0.06681-0.189924))+0-61-0.0311099999999938</f>
        <v>2241.2424510000001</v>
      </c>
      <c r="O124" s="3">
        <f>2903+(86-636.7)+(0+(0-0))+0-22-0</f>
        <v>2330.3000000000002</v>
      </c>
      <c r="P124" s="3">
        <f>3131.1+(106-639.9)+(0+(0-0))+0-95-0</f>
        <v>2502.1999999999998</v>
      </c>
      <c r="Q124" s="3">
        <f>3217.3+(128-705.6)+(0+(0-0))+0-80-0</f>
        <v>2559.7000000000003</v>
      </c>
      <c r="R124" s="3">
        <f>3239.3+(128.7-754)+(1.652043+(0.065637-0.38454))+0-79.9-0.0407489999999919</f>
        <v>2535.3923910000003</v>
      </c>
      <c r="S124" s="3">
        <f>3227.8+(129.8-732.6)+(1.646178+(0.066198-0.373626))+0-78-0.0397799999999921</f>
        <v>2548.2989699999998</v>
      </c>
      <c r="T124" s="3">
        <f>3200.3+(130.8-739.5)+(3.264306+(0.133416-0.75429))+0-79.4-0.0809880000000127</f>
        <v>2514.762444</v>
      </c>
      <c r="U124" s="3">
        <f>3143.4+(131.3-730.5)+(0+(0-0))+0-88.8-0</f>
        <v>2455.3999999999996</v>
      </c>
      <c r="V124" s="3">
        <f>3109.2+(132-684)+(0+(0-0))+0-75-0</f>
        <v>2482.1999999999998</v>
      </c>
      <c r="W124" s="3">
        <f>3059.5+(132.1-684.8)+(-3.12069+(-0.134742--0.698496))+0-54.1--0.0551820000000086</f>
        <v>2450.1982460000004</v>
      </c>
      <c r="X124" s="3">
        <f>2963+(131.9-714.7)+(-9.06678+(-0.403614--2.186982))+0-44.3--0.135558000000005</f>
        <v>2328.7521459999994</v>
      </c>
      <c r="Y124" s="3">
        <f>2861.8+(130.8-655.2)+(-1.459518+(-0.066708--0.334152))+0-78.3--0.0399329999999921</f>
        <v>2257.9478589999999</v>
      </c>
      <c r="Z124" s="3">
        <f>3077.7+(131.8-632.6)+(-6.278508+(-0.268872--1.290504))+0-85.3--0.174011999999996</f>
        <v>2486.5171359999995</v>
      </c>
      <c r="AA124" s="3">
        <f>3183.7+(131.5-763.7)+(-6.494748+(-0.26826--1.557948))+0-80--0.163199999999997</f>
        <v>2466.4581400000002</v>
      </c>
      <c r="AB124" s="3">
        <f>3043.9+(131.9-732.6)+(0+(0-0))+0-41-0</f>
        <v>2402.1999999999998</v>
      </c>
      <c r="AC124" s="3">
        <f>2889.8+(131.1-606.7)+(-2.947596+(-0.133722--0.618834))+0-74.8--0.0762960000000119</f>
        <v>2337.0138120000001</v>
      </c>
      <c r="AD124">
        <f t="shared" si="1"/>
        <v>55852.961080999994</v>
      </c>
      <c r="AE124" s="3">
        <f>3221+(131.7-731.8)+(0+(0-0))+0-99-0</f>
        <v>2521.9</v>
      </c>
    </row>
    <row r="125" spans="1:31" s="2" customFormat="1" x14ac:dyDescent="0.25">
      <c r="A125">
        <v>89</v>
      </c>
      <c r="B125">
        <v>5</v>
      </c>
      <c r="C125">
        <v>1</v>
      </c>
      <c r="D125">
        <v>7</v>
      </c>
      <c r="E125">
        <v>1</v>
      </c>
      <c r="F125" s="3">
        <f>2797.3+(130.6-648.5)+(-1.426623+(-0.066606--0.330735))+0-75.1--0.0383009999999924</f>
        <v>2203.1758070000001</v>
      </c>
      <c r="G125" s="3">
        <f>2626.1+(130.4-585.5)+(-8.035866+(-0.399024--1.79163))+0-73.1--0.223686000000008</f>
        <v>2091.4804260000001</v>
      </c>
      <c r="H125" s="3">
        <f>2502.1+(129.9-551.1)+(-6.380355+(-0.331245--1.405305))+0-79.5--0.202724999999988</f>
        <v>1996.2964299999999</v>
      </c>
      <c r="I125" s="3">
        <f>2455.2+(119.4-527.6)+(1.252152+(0.060894-0.269076))+0-84.4-0.0430439999999914</f>
        <v>1963.6009259999996</v>
      </c>
      <c r="J125" s="3">
        <f>2426.7+(113.8-555.1)+(-1.237617+(-0.058038--0.283101))+0-73.7--0.0375869999999925</f>
        <v>1910.7250329999999</v>
      </c>
      <c r="K125" s="3">
        <f>2307.6+(113.6-519.3)+(-2.353752+(-0.115872--0.529686))+0-63.2--0.0644640000000101</f>
        <v>1836.8245260000001</v>
      </c>
      <c r="L125" s="3">
        <f>2252.3+(113.8-535.8)+(-1.148673+(-0.058038--0.273258))+0-77.1--0.0393209999999922</f>
        <v>1752.3058680000001</v>
      </c>
      <c r="M125" s="3">
        <f>2255.1+(113.2-528)+(-1.150101+(-0.057732--0.26928))+0-79--0.040289999999992</f>
        <v>1760.4017369999999</v>
      </c>
      <c r="N125" s="3">
        <f>2352.7+(130.5-550)+(0+(0-0))+0-81.5-0</f>
        <v>1851.6999999999998</v>
      </c>
      <c r="O125" s="3">
        <f>2444+(131.4-612.5)+(1.24644+(0.067014-0.312375))+0-41.5-0.0211649999999958</f>
        <v>1922.3799140000001</v>
      </c>
      <c r="P125" s="3">
        <f>2463.6+(127.8-579)+(-2.512872+(-0.130356--0.59058))+0-55.1--0.0562020000000088</f>
        <v>1955.3035539999998</v>
      </c>
      <c r="Q125" s="3">
        <f>2634.8+(109.1-656)+(1.343748+(0.055641-0.33456))+0-77.6-0.0395759999999921</f>
        <v>2011.3252530000002</v>
      </c>
      <c r="R125" s="3">
        <f>2765.7+(114.4-696.9)+(-2.821014+(-0.116688--0.710838))+0-76.2--0.0777240000000122</f>
        <v>2104.85086</v>
      </c>
      <c r="S125" s="3">
        <f>2763.5+(107.9-681)+(-1.409385+(-0.055029--0.34731))+0-87.9--0.0448289999999911</f>
        <v>2101.427725</v>
      </c>
      <c r="T125" s="3">
        <f>2631.8+(111.7-521.8)+(-2.684436+(-0.113934--0.532236))+0-65.8--0.0671160000000105</f>
        <v>2153.7009820000003</v>
      </c>
      <c r="U125" s="3">
        <f>2630.5+(125.6-594.6)+(0+(0-0))+0-39.5-0</f>
        <v>2122</v>
      </c>
      <c r="V125" s="3">
        <f>2560+(126.4-570.8)+(0+(0-0))+0-20.1-0</f>
        <v>2095.5</v>
      </c>
      <c r="W125" s="3">
        <f>2502.6+(128.5-514.5)+(-5.105304+(-0.26214--1.04958))+0-21.6--0.0440639999999991</f>
        <v>2090.7262000000001</v>
      </c>
      <c r="X125" s="3">
        <f>2404.7+(122.8-461.5)+(-2.452794+(-0.125256--0.47073))+0-19.4--0.0197880000000031</f>
        <v>2044.5124679999999</v>
      </c>
      <c r="Y125" s="3">
        <f>2425+(101.4-479.4)+(0+(0-0))+0-16.2-0</f>
        <v>2030.8</v>
      </c>
      <c r="Z125" s="3">
        <f>2842.6+(82.4-594.5)+(-2.899452+(-0.084048--0.60639))+0-66.1--0.0674220000000105</f>
        <v>2262.0903120000003</v>
      </c>
      <c r="AA125" s="3">
        <f>3029.8+(91.4-723.1)+(0+(0-0))+0-74.1-0</f>
        <v>2324.0000000000005</v>
      </c>
      <c r="AB125" s="3">
        <f>2930.5+(107.6-657.9)+(-2.98911+(-0.109752--0.671058))+0-75.7--0.0772140000000121</f>
        <v>2302.14941</v>
      </c>
      <c r="AC125" s="3">
        <f>2839.7+(130.8-703.5)+(-1.448247+(-0.066708--0.358785))+0-25.4--0.0129539999999974</f>
        <v>2240.4567839999995</v>
      </c>
      <c r="AD125">
        <f t="shared" si="1"/>
        <v>49127.734214999997</v>
      </c>
      <c r="AE125" s="3">
        <f>2990+(111.8-739.2)+(0+(0-0))+0-82-0</f>
        <v>2280.6</v>
      </c>
    </row>
    <row r="126" spans="1:31" s="2" customFormat="1" x14ac:dyDescent="0.25">
      <c r="A126">
        <v>89</v>
      </c>
      <c r="B126">
        <v>5</v>
      </c>
      <c r="C126">
        <v>2</v>
      </c>
      <c r="D126">
        <v>1</v>
      </c>
      <c r="E126">
        <v>1</v>
      </c>
      <c r="F126" s="3">
        <f>2714.8+(130.5-709.9)+(-1.384548+(-0.066555--0.362049))+0-16.8--0.0085679999999983</f>
        <v>2117.5195140000001</v>
      </c>
      <c r="G126" s="3">
        <f>2585.2+(129.9-686.6)+(1.318452+(0.066249-0.350166))+0-27.4-0.0139739999999972</f>
        <v>2002.1205609999997</v>
      </c>
      <c r="H126" s="3">
        <f>2444.1+(130.6-591)+(1.246491+(0.066606-0.30141))+0-72.2-0.0368219999999927</f>
        <v>1912.4748649999997</v>
      </c>
      <c r="I126" s="3">
        <f>2443.4+(130.4-610.9)+(-2.492268+(-0.133008--0.623118))+0-68.8--0.070176000000011</f>
        <v>1892.1680180000001</v>
      </c>
      <c r="J126" s="3">
        <f>2444.9+(130.2-629.6)+(0+(0-0))+0-66.6-0</f>
        <v>1878.9</v>
      </c>
      <c r="K126" s="3">
        <f>2404.1+(130.3-648.9)+(-2.452182+(-0.132906--0.661878))+0-67.7--0.0690540000000108</f>
        <v>1815.9458440000001</v>
      </c>
      <c r="L126" s="3">
        <f>2262.6+(129.7-497)+(0+(0-0))+0-75.2-0</f>
        <v>1820.1</v>
      </c>
      <c r="M126" s="3">
        <f>2459.7+(129.5-569.3)+(2.508894+(0.13209-0.580686))+0-71.2-0.0726240000000114</f>
        <v>1950.687674</v>
      </c>
      <c r="N126" s="3">
        <f>2479.1+(130.3-470)+(-2.528682+(-0.132906--0.4794))+0-35.2--0.0359040000000056</f>
        <v>2102.0537159999999</v>
      </c>
      <c r="O126" s="3">
        <f>2706+(127.2-585.5)+(0+(0-0))+0-34.6-0</f>
        <v>2213.1</v>
      </c>
      <c r="P126" s="3">
        <f>2929.6+(127.6-670)+(1.494096+(0.065076-0.3417))+0-55.6-0.0283559999999944</f>
        <v>2332.7891159999999</v>
      </c>
      <c r="Q126" s="3">
        <f>2956.6+(126-672)+(0+(0-0))+0-11-0</f>
        <v>2399.6</v>
      </c>
      <c r="R126" s="3">
        <f>3024.7+(127-706.3)+(1.542597+(0.06477-0.360213))+0-13-0.00662999999999868</f>
        <v>2433.6405239999999</v>
      </c>
      <c r="S126" s="3">
        <f>3064.4+(129.8-777.4)+(1.562844+(0.066198-0.396474))+0-15.4-0.00785399999999844</f>
        <v>2402.624714</v>
      </c>
      <c r="T126" s="3">
        <f>3037.7+(129-742)+(1.549227+(0.06579-0.37842))+0-49-0.024989999999995</f>
        <v>2376.911607</v>
      </c>
      <c r="U126" s="3">
        <f>3018.1+(131.3-699.6)+(1.539231+(0.066963-0.356796))+0-78.6-0.040085999999992</f>
        <v>2372.4093120000002</v>
      </c>
      <c r="V126" s="3">
        <f>3001+(131.6-713.6)+(-6.12204+(-0.268464--1.455744))+0-64.6--0.131783999999997</f>
        <v>2349.5970240000001</v>
      </c>
      <c r="W126" s="3">
        <f>2952.4+(132.4-677.3)+(-3.011448+(-0.135048--0.690846))+0-68.9--0.070278000000011</f>
        <v>2336.2146280000002</v>
      </c>
      <c r="X126" s="3">
        <f>2797.6+(122.2-574.7)+(-5.707104+(-0.249288--1.172388))+0-68.1--0.138923999999997</f>
        <v>2272.3549199999998</v>
      </c>
      <c r="Y126" s="3">
        <f>2640.7+(103.2-410.3)+(-2.693514+(-0.105264--0.418506))+0-89.4--0.0911880000000143</f>
        <v>2241.9109159999998</v>
      </c>
      <c r="Z126" s="3">
        <f>3080.1+(35.7-584.5)+(-3.141702+(-0.036414--0.59619))+0-72.6--0.0740520000000116</f>
        <v>2456.1921260000004</v>
      </c>
      <c r="AA126" s="3">
        <f>3220.1+(40.9-718.1)+(-1.642251+(-0.020859--0.366231))+0-69.2--0.035291999999993</f>
        <v>2472.4384129999999</v>
      </c>
      <c r="AB126" s="3">
        <f>3044.7+(103.7-705.3)+(0+(0-0))+0-67.4-0</f>
        <v>2375.6999999999998</v>
      </c>
      <c r="AC126" s="3">
        <f>2817.4+(129.8-620.3)+(-1.436874+(-0.066198--0.316353))+0-45.5--0.0232049999999954</f>
        <v>2280.2364860000002</v>
      </c>
      <c r="AD126">
        <f t="shared" si="1"/>
        <v>52807.689978000002</v>
      </c>
      <c r="AE126" s="3">
        <f>3275+(8.4-772.4)+(0+(0-0))+0-14-0</f>
        <v>2497</v>
      </c>
    </row>
    <row r="127" spans="1:31" s="2" customFormat="1" x14ac:dyDescent="0.25">
      <c r="A127">
        <v>89</v>
      </c>
      <c r="B127">
        <v>5</v>
      </c>
      <c r="C127">
        <v>3</v>
      </c>
      <c r="D127">
        <v>2</v>
      </c>
      <c r="E127">
        <v>1</v>
      </c>
      <c r="F127" s="3">
        <f>2721.7+(104.7-662.1)+(-4.164201+(-0.160191--1.013013))+0-45.5--0.0696150000000026</f>
        <v>2115.5582359999994</v>
      </c>
      <c r="G127" s="3">
        <f>2505.9+(95-552.7)+(-5.112036+(-0.1938--1.127508))+0-58.6--0.119543999999997</f>
        <v>1985.5412159999998</v>
      </c>
      <c r="H127" s="3">
        <f>2453.4+(94.7-532.5)+(-2.502468+(-0.096594--0.54315))+0-77.2--0.0787440000000123</f>
        <v>1936.422832</v>
      </c>
      <c r="I127" s="3">
        <f>2269.6+(94.4-390.4)+(0+(0-0))+0-70.7-0</f>
        <v>1902.8999999999999</v>
      </c>
      <c r="J127" s="3">
        <f>2162.7+(94.5-298.6)+(0+(0-0))+0-73.5-0</f>
        <v>1885.1</v>
      </c>
      <c r="K127" s="3">
        <f>2118.7+(94.4-350.2)+(-3.241611+(-0.144432--0.535806))+0-73.7--0.112761000000004</f>
        <v>1786.4625239999998</v>
      </c>
      <c r="L127" s="3">
        <f>2220+(100.6-321.1)+(1.1322+(0.051306-0.163761))+0-74-0.0377399999999925</f>
        <v>1926.4820050000001</v>
      </c>
      <c r="M127" s="3">
        <f>2342.8+(129.4-425)+(2.389656+(0.131988-0.4335))+0-44.6-0.0454920000000071</f>
        <v>2004.6426520000002</v>
      </c>
      <c r="N127" s="3">
        <f>2415.8+(129.4-424)+(2.464116+(0.131988-0.43248))+0-44.6-0.0454920000000071</f>
        <v>2078.718132</v>
      </c>
      <c r="O127" s="3">
        <f>2790+(129.3-665.3)+(2.8458+(0.131886-0.678606))+0-61.3-0.0625260000000098</f>
        <v>2194.9365539999994</v>
      </c>
      <c r="P127" s="3">
        <f>2886.3+(129.1-634.4)+(4.416039+(0.197523-0.970632))+0-81.5-0.124695000000005</f>
        <v>2303.018235</v>
      </c>
      <c r="Q127" s="3">
        <f>3003.9+(128.4-706.8)+(0+(0-0))+0-56.2-0</f>
        <v>2369.3000000000002</v>
      </c>
      <c r="R127" s="3">
        <f>3036.4+(127.8-659.3)+(-3.097128+(-0.130356--0.672486))+0-59--0.0601800000000094</f>
        <v>2443.405182</v>
      </c>
      <c r="S127" s="3">
        <f>3043+(127.9-668)+(-1.55193+(-0.065229--0.34068))+0-83.9--0.0427889999999915</f>
        <v>2417.76631</v>
      </c>
      <c r="T127" s="3">
        <f>3018.4+(127.9-657.3)+(1.539384+(0.065229-0.335223))+0-81.6-0.0416159999999917</f>
        <v>2408.627774</v>
      </c>
      <c r="U127" s="3">
        <f>2989.1+(131.4-645.5)+(3.048882+(0.134028-0.65841))+0-74.3-0.0757860000000118</f>
        <v>2403.1487139999999</v>
      </c>
      <c r="V127" s="3">
        <f>2976.7+(132.3-659.1)+(-1.518117+(-0.067473--0.336141))+0-63.1--0.0321809999999936</f>
        <v>2385.5827319999999</v>
      </c>
      <c r="W127" s="3">
        <f>2966.6+(128.9-687.3)+(-7.56483+(-0.328695--1.752615))+0-57.5--0.146624999999992</f>
        <v>2344.7057149999996</v>
      </c>
      <c r="X127" s="3">
        <f>2670.8+(119.8-464.8)+(-6.81054+(-0.30549--1.18524))+0-73.9--0.188444999999989</f>
        <v>2246.157655</v>
      </c>
      <c r="Y127" s="3">
        <f>2678.7+(100.2-464.6)+(-2.732274+(-0.102204--0.473892))+0-80.3--0.0819060000000128</f>
        <v>2231.7213199999997</v>
      </c>
      <c r="Z127" s="3">
        <f>3186.1+(22.8-719.7)+(-4.874733+(-0.034884--1.101141))+0-22.8--0.0348840000000013</f>
        <v>2462.6264079999996</v>
      </c>
      <c r="AA127" s="3">
        <f>3252.6+(25.1-762.1)+(-3.317652+(-0.025602--0.777342))+0-18.9--0.019278000000003</f>
        <v>2494.153366</v>
      </c>
      <c r="AB127" s="3">
        <f>3047.9+(90-660.5)+(-1.554429+(-0.0459--0.336855))+0-70.6--0.0360059999999928</f>
        <v>2405.5725320000001</v>
      </c>
      <c r="AC127" s="3">
        <f>2550.5+(129.7-290)+(0+(0-0))+0-91.1-0</f>
        <v>2299.1</v>
      </c>
      <c r="AD127">
        <f t="shared" si="1"/>
        <v>53031.65009399999</v>
      </c>
      <c r="AE127" s="3">
        <f>3277+(19.1-783.2)+(0+(0-0))+0-19.8-0</f>
        <v>2493.1</v>
      </c>
    </row>
    <row r="128" spans="1:31" s="2" customFormat="1" x14ac:dyDescent="0.25">
      <c r="A128">
        <v>89</v>
      </c>
      <c r="B128">
        <v>5</v>
      </c>
      <c r="C128">
        <v>4</v>
      </c>
      <c r="D128">
        <v>3</v>
      </c>
      <c r="E128">
        <v>1</v>
      </c>
      <c r="F128" s="3">
        <f>2579.9+(119.3-499.7)+(1.315749+(0.060843-0.254847))+0-57-0.0290699999999942</f>
        <v>2143.5926749999999</v>
      </c>
      <c r="G128" s="3">
        <f>2561.5+(118.5-572.3)+(1.306365+(0.060435-0.291873))+0-72-0.0367199999999927</f>
        <v>2036.7382069999999</v>
      </c>
      <c r="H128" s="3">
        <f>2528.4+(119.1-591.4)+(-1.289484+(-0.060741--0.301614))+0-69--0.035189999999993</f>
        <v>1986.0865790000003</v>
      </c>
      <c r="I128" s="3">
        <f>2341.2+(118.9-430.5)+(-3.582036+(-0.181917--0.658665))+0-88.8--0.135864000000005</f>
        <v>1937.8305760000001</v>
      </c>
      <c r="J128" s="3">
        <f>2170.2+(118.1-297.3)+(-3.320406+(-0.180693--0.454869))+0-63.8--0.0976140000000037</f>
        <v>1924.2513839999999</v>
      </c>
      <c r="K128" s="3">
        <f>2134.1+(118.4-342.4)+(-2.176782+(-0.120768--0.349248))+0-53.5--0.0545700000000085</f>
        <v>1854.7062679999999</v>
      </c>
      <c r="L128" s="3">
        <f>2067.9+(118.2-282.3)+(-3.163887+(-0.180846--0.431919))+0-82--0.125460000000005</f>
        <v>1819.0126460000001</v>
      </c>
      <c r="M128" s="3">
        <f>2100.5+(122.1-196.1)+(0+(0-0))+0-85.2-0</f>
        <v>1941.3</v>
      </c>
      <c r="N128" s="3">
        <f>2323.3+(126.5-289.3)+(1.184883+(0.064515-0.147543))+0-65.9-0.0336089999999933</f>
        <v>2095.6682459999997</v>
      </c>
      <c r="O128" s="3">
        <f>2655.3+(128-502.4)+(0+(0-0))+0-73.9-0</f>
        <v>2207</v>
      </c>
      <c r="P128" s="3">
        <f>2906.3+(129-576.9)+(0+(0-0))+0-80-0</f>
        <v>2378.4</v>
      </c>
      <c r="Q128" s="3">
        <f>3029.3+(129.8-660.2)+(0+(0-0))+0-81.1-0</f>
        <v>2417.8000000000002</v>
      </c>
      <c r="R128" s="3">
        <f>3075.6+(128.4-674.1)+(0+(0-0))+0-79.3-0</f>
        <v>2450.5999999999995</v>
      </c>
      <c r="S128" s="3">
        <f>3083.3+(130.6-713.3)+(0+(0-0))+0-69.2-0</f>
        <v>2431.4000000000005</v>
      </c>
      <c r="T128" s="3">
        <f>3074.5+(131.1-726.9)+(1.567995+(0.066861-0.370719))+0-65.5-0.0334049999999934</f>
        <v>2414.4307319999998</v>
      </c>
      <c r="U128" s="3">
        <f>3046.7+(131.6-715.3)+(-1.553817+(-0.067116--0.364803))+0-63.4--0.0323339999999936</f>
        <v>2398.3762039999997</v>
      </c>
      <c r="V128" s="3">
        <f>3012.4+(132.3-713.5)+(-3.072648+(-0.134946--0.72777))+0-70.2--0.0716040000000112</f>
        <v>2358.5917800000002</v>
      </c>
      <c r="W128" s="3">
        <f>2952.2+(130.5-706.7)+(-3.011244+(-0.13311--0.720834))+0-54--0.0550800000000086</f>
        <v>2319.6315600000003</v>
      </c>
      <c r="X128" s="3">
        <f>2836+(114-618.4)+(-5.78544+(-0.23256--1.261536))+0-81.9--0.167075999999996</f>
        <v>2245.1106119999999</v>
      </c>
      <c r="Y128" s="3">
        <f>2581.2+(108.9-390.7)+(-1.316412+(-0.055539--0.199257))+0-66.4--0.0338639999999933</f>
        <v>2231.8611699999997</v>
      </c>
      <c r="Z128" s="3">
        <f>3002.4+(33.4-524.2)+(-1.531224+(-0.017034--0.267342))+0-63.5--0.0323849999999936</f>
        <v>2446.8514689999997</v>
      </c>
      <c r="AA128" s="3">
        <f>3153.4+(40.3-686)+(-3.216468+(-0.041106--0.69972))+0-77.6--0.0791520000000124</f>
        <v>2427.6212979999996</v>
      </c>
      <c r="AB128" s="3">
        <f>3042.4+(109.9-687.9)+(-1.551624+(-0.056049--0.350829))+0-90.6--0.0462059999999908</f>
        <v>2372.5893620000002</v>
      </c>
      <c r="AC128" s="3">
        <f>2867.1+(131.1-571.2)+(0+(0-0))+0-74.9-0</f>
        <v>2352.1</v>
      </c>
      <c r="AD128">
        <f t="shared" si="1"/>
        <v>53191.550767999994</v>
      </c>
      <c r="AE128" s="3">
        <f>3161+(29.4-648.9)+(0+(0-0))+0-86.7-0</f>
        <v>2454.8000000000002</v>
      </c>
    </row>
    <row r="129" spans="1:31" s="2" customFormat="1" x14ac:dyDescent="0.25">
      <c r="A129">
        <v>89</v>
      </c>
      <c r="B129">
        <v>5</v>
      </c>
      <c r="C129">
        <v>5</v>
      </c>
      <c r="D129">
        <v>4</v>
      </c>
      <c r="E129">
        <v>3</v>
      </c>
      <c r="F129" s="3">
        <f>2814.7+(122.2-661)+(-2.870994+(-0.124644--0.67422))+0-58.8--0.0599760000000094</f>
        <v>2214.8385579999995</v>
      </c>
      <c r="G129" s="3">
        <f>2570.1+(121.2-518.5)+(-6.553755+(-0.30906--1.322175))+0-78.5--0.200174999999989</f>
        <v>2088.9595349999995</v>
      </c>
      <c r="H129" s="3">
        <f>2207.3+(120.9-246.9)+(-2.251446+(-0.123318--0.251838))+0-82.8--0.0844560000000132</f>
        <v>1996.4615300000003</v>
      </c>
      <c r="I129" s="3">
        <f>2100.6+(121-202.6)+(0+(0-0))+0-74.1-0</f>
        <v>1944.9</v>
      </c>
      <c r="J129" s="3">
        <f>2086.4+(121.1-222.6)+(2.128128+(0.123522-0.227052))+0-58.3-0.0594660000000093</f>
        <v>1928.5651320000002</v>
      </c>
      <c r="K129" s="3">
        <f>2072.5+(121-261.6)+(-3.170925+(-0.18513--0.400248))+0-90.5--0.138465000000005</f>
        <v>1838.582658</v>
      </c>
      <c r="L129" s="3">
        <f>2080.2+(121-347.5)+(-3.182706+(-0.18513--0.531675))+0-73.9--0.113067000000004</f>
        <v>1777.0769059999998</v>
      </c>
      <c r="M129" s="3">
        <f>2165.4+(120.9-406.5)+(2.208708+(0.123318-0.41463))+0-60-0.0612000000000096</f>
        <v>1821.6561960000001</v>
      </c>
      <c r="N129" s="3">
        <f>2236.8+(130.6-391.4)+(-2.281536+(-0.133212--0.399228))+0-64.8--0.0660960000000103</f>
        <v>1909.2505760000004</v>
      </c>
      <c r="O129" s="3">
        <f>2307.1+(129.8-343.5)+(1.176621+(0.066198-0.175185))+0-83.3-0.0424829999999915</f>
        <v>2011.1251510000002</v>
      </c>
      <c r="P129" s="3">
        <f>2696.3+(129-652)+(4.125339+(0.19737-0.99756))+0-78-0.119340000000005</f>
        <v>2098.5058089999998</v>
      </c>
      <c r="Q129" s="3">
        <f>2716.9+(129-510.2)+(1.385619+(0.06579-0.260202))+0-92-0.0469199999999907</f>
        <v>2244.8442870000003</v>
      </c>
      <c r="R129" s="3">
        <f>2810.6+(129.4-573.6)+(0+(0-0))+0-84.8-0</f>
        <v>2281.5999999999995</v>
      </c>
      <c r="S129" s="3">
        <f>2828.8+(129.6-684.2)+(1.442688+(0.066096-0.348942))+0-73.4-0.0374339999999926</f>
        <v>2201.9224080000004</v>
      </c>
      <c r="T129" s="3">
        <f>2800.6+(129.7-659.3)+(1.428306+(0.066147-0.336243))+0-70.7-0.0360569999999928</f>
        <v>2201.4221530000004</v>
      </c>
      <c r="U129" s="3">
        <f>2795.2+(129.6-670.4)+(-2.851104+(-0.132192--0.683808))+0-56.3--0.057426000000009</f>
        <v>2195.8579379999992</v>
      </c>
      <c r="V129" s="3">
        <f>2792.4+(111.1-674.4)+(-2.848248+(-0.113322--0.687888))+0-43.2--0.0440640000000069</f>
        <v>2183.6703820000007</v>
      </c>
      <c r="W129" s="3">
        <f>2776.7+(83.8-608)+(-7.080585+(-0.21369--1.5504))+0-61.5--0.156824999999991</f>
        <v>2185.4129499999999</v>
      </c>
      <c r="X129" s="3">
        <f>2783.5+(95-640.2)+(-7.097925+(-0.24225--1.63251))+0-85.3--0.217514999999988</f>
        <v>2147.5098499999999</v>
      </c>
      <c r="Y129" s="3">
        <f>2689+(69.8-577.3)+(0+(0-0))+0-62.6-0</f>
        <v>2118.9</v>
      </c>
      <c r="Z129" s="3">
        <f>3076.6+(0-598.6)+(1.569066+(0-0.305286))+0-78.5-0.040034999999992</f>
        <v>2400.7237450000002</v>
      </c>
      <c r="AA129" s="3">
        <f>3245.5+(0-748.6)+(0+(0-0))+0-88.7-0</f>
        <v>2408.2000000000003</v>
      </c>
      <c r="AB129" s="3">
        <f>3107.3+(55.2-748.3)+(-1.584723+(-0.028152--0.381633))+0-62.1--0.0316709999999937</f>
        <v>2350.9004290000007</v>
      </c>
      <c r="AC129" s="3">
        <f>2924+(123.2-639.5)+(0+(0-0))+0-85.7-0</f>
        <v>2322</v>
      </c>
      <c r="AD129">
        <f t="shared" ref="AD129:AD192" si="2">SUM(F129:AC129)</f>
        <v>50872.886193000006</v>
      </c>
      <c r="AE129" s="3">
        <f>3258+(0-789)+(0+(0-0))+0-88.5-0</f>
        <v>2380.5</v>
      </c>
    </row>
    <row r="130" spans="1:31" s="2" customFormat="1" x14ac:dyDescent="0.25">
      <c r="A130">
        <v>89</v>
      </c>
      <c r="B130">
        <v>5</v>
      </c>
      <c r="C130">
        <v>6</v>
      </c>
      <c r="D130">
        <v>5</v>
      </c>
      <c r="E130">
        <v>1</v>
      </c>
      <c r="F130" s="3">
        <f>2759.9+(122-640.5)+(0+(0-0))+0-60.8-0</f>
        <v>2180.6</v>
      </c>
      <c r="G130" s="3">
        <f>2595.9+(120.3-606.6)+(-2.647818+(-0.122706--0.618732))+0-59.3--0.0604860000000095</f>
        <v>2048.2086939999995</v>
      </c>
      <c r="H130" s="3">
        <f>2470.1+(121.6-542.5)+(0+(0-0))+0-78.1-0</f>
        <v>1971.1</v>
      </c>
      <c r="I130" s="3">
        <f>2254.4+(125-397.7)+(1.149744+(0.06375-0.202827))+0-52.1-0.0265709999999947</f>
        <v>1930.584096</v>
      </c>
      <c r="J130" s="3">
        <f>2053.6+(125.1-204.4)+(0+(0-0))+0-72.5-0</f>
        <v>1901.8</v>
      </c>
      <c r="K130" s="3">
        <f>2044.2+(124.7-286)+(0+(0-0))+0-54.1-0</f>
        <v>1828.8000000000002</v>
      </c>
      <c r="L130" s="3">
        <f>2051.3+(124.2-294.3)+(0+(0-0))+0-67.2-0</f>
        <v>1814.0000000000002</v>
      </c>
      <c r="M130" s="3">
        <f>2068.9+(124.1-158.8)+(2.110278+(0.126582-0.161976))+0-87.1-0.0888420000000139</f>
        <v>1949.0860420000001</v>
      </c>
      <c r="N130" s="3">
        <f>2151.7+(131.7-154.8)+(1.097367+(0.067167-0.078948))+0-27.1-0.0138209999999973</f>
        <v>2102.5717650000001</v>
      </c>
      <c r="O130" s="3">
        <f>2544.3+(130.5-332.5)+(1.297593+(0.066555-0.169575))+0-83.6-0.0426359999999915</f>
        <v>2259.8519370000004</v>
      </c>
      <c r="P130" s="3">
        <f>2807.2+(130.1-493.1)+(-1.431672+(-0.066351--0.251481))+0-82.4--0.0420239999999916</f>
        <v>2360.5954819999997</v>
      </c>
      <c r="Q130" s="3">
        <f>2928.8+(130.3-572.3)+(1.493688+(0.066453-0.291873))+0-81.7-0.0416669999999917</f>
        <v>2406.3266010000002</v>
      </c>
      <c r="R130" s="3">
        <f>3008.7+(130-575.4)+(1.534437+(0.0663-0.293454))+0-71-0.0362099999999928</f>
        <v>2493.5710729999996</v>
      </c>
      <c r="S130" s="3">
        <f>3097.5+(130.2-668.6)+(1.579725+(0.066402-0.340986))+0-62.9-0.0320789999999936</f>
        <v>2497.4730619999996</v>
      </c>
      <c r="T130" s="3">
        <f>3134.9+(128.8-727.4)+(3.197598+(0.131376-0.741948))+0-56.9-0.0580380000000091</f>
        <v>2481.9289880000001</v>
      </c>
      <c r="U130" s="3">
        <f>3126.9+(128.8-711.9)+(1.594719+(0.065688-0.363069))+0-79.4-0.0404939999999919</f>
        <v>2465.6568440000001</v>
      </c>
      <c r="V130" s="3">
        <f>3078.5+(129.4-727.3)+(0+(0-0))+0-47-0</f>
        <v>2433.6</v>
      </c>
      <c r="W130" s="3">
        <f>3032.3+(129.8-674.8)+(-1.546473+(-0.066198--0.344148))+0-80.9--0.0412589999999918</f>
        <v>2405.172736</v>
      </c>
      <c r="X130" s="3">
        <f>2951.7+(125.6-676.7)+(-3.010734+(-0.128112--0.690234))+0-60.1--0.0613020000000096</f>
        <v>2338.1126899999999</v>
      </c>
      <c r="Y130" s="3">
        <f>2836.1+(102.7-580.2)+(-1.446411+(-0.052377--0.295902))+0-54.2--0.0276419999999945</f>
        <v>2303.2247560000001</v>
      </c>
      <c r="Z130" s="3">
        <f>3177.6+(50.1-624.8)+(-1.620576+(-0.025551--0.318648))+0-60.9--0.0310589999999938</f>
        <v>2540.7035799999999</v>
      </c>
      <c r="AA130" s="3">
        <f>3252.2+(60-685.4)+(-4.975866+(-0.0918--1.048662))+0-77.5--0.118575000000004</f>
        <v>2545.3995709999995</v>
      </c>
      <c r="AB130" s="3">
        <f>3165.4+(112.1-716.2)+(-1.614354+(-0.057171--0.365262))+0-67.9--0.0346289999999931</f>
        <v>2492.1283659999999</v>
      </c>
      <c r="AC130" s="3">
        <f>2985.2+(131.1-661.4)+(0+(0-0))+0-43.5-0</f>
        <v>2411.3999999999996</v>
      </c>
      <c r="AD130">
        <f t="shared" si="2"/>
        <v>54161.896283000002</v>
      </c>
      <c r="AE130" s="3">
        <f>3240+(77-721)+(0+(0-0))+0-73-0</f>
        <v>2523</v>
      </c>
    </row>
    <row r="131" spans="1:31" s="2" customFormat="1" x14ac:dyDescent="0.25">
      <c r="A131">
        <v>89</v>
      </c>
      <c r="B131">
        <v>5</v>
      </c>
      <c r="C131">
        <v>7</v>
      </c>
      <c r="D131">
        <v>6</v>
      </c>
      <c r="E131">
        <v>1</v>
      </c>
      <c r="F131" s="3">
        <f>2773.8+(124.7-598.7)+(-1.414638+(-0.063597--0.305337))+0-68.7--0.035036999999993</f>
        <v>2229.9621390000007</v>
      </c>
      <c r="G131" s="3">
        <f>2567.4+(121.1-548.6)+(-5.237496+(-0.247044--1.119144))+0-28.3--0.0577319999999988</f>
        <v>2107.292336</v>
      </c>
      <c r="H131" s="3">
        <f>2374.4+(121.7-375.3)+(-2.421888+(-0.124134--0.382806))+0-81.3--0.082926000000013</f>
        <v>2037.4197100000004</v>
      </c>
      <c r="I131" s="3">
        <f>2353.6+(121.6-427.8)+(0+(0-0))+0-45.2-0</f>
        <v>2002.1999999999998</v>
      </c>
      <c r="J131" s="3">
        <f>2311.7+(122.3-417.2)+(0+(0-0))+0-34.3-0</f>
        <v>1982.4999999999998</v>
      </c>
      <c r="K131" s="3">
        <f>2276.6+(122.2-420.7)+(-2.322132+(-0.124644--0.429114))+0-65.3--0.0666060000000104</f>
        <v>1910.8489440000001</v>
      </c>
      <c r="L131" s="3">
        <f>2125.9+(122.2-357.2)+(-6.505254+(-0.373932--1.093032))+0-78.2--0.239292000000009</f>
        <v>1807.1531380000001</v>
      </c>
      <c r="M131" s="3">
        <f>2233+(119.7-336.4)+(1.13883+(0.061047-0.171564))+0-74.3-0.0378929999999925</f>
        <v>1942.9904200000001</v>
      </c>
      <c r="N131" s="3">
        <f>2425.3+(106.9-315.4)+(3.710709+(0.163557-0.482562))+0-43.3-0.0662490000000025</f>
        <v>2176.8254550000001</v>
      </c>
      <c r="O131" s="3">
        <f>2674.1+(103.9-421.1)+(1.363791+(0.052989-0.214761))+0-72.1-0.0367709999999927</f>
        <v>2285.9652479999995</v>
      </c>
      <c r="P131" s="3">
        <f>2872+(104.8-558.6)+(-1.46472+(-0.053448--0.284886))+0-19.1--0.00974099999999806</f>
        <v>2397.8764589999996</v>
      </c>
      <c r="Q131" s="3">
        <f>3056.5+(92.1-656.5)+(1.558815+(0.046971-0.334815))+0-15.2-0.00775199999999846</f>
        <v>2478.163219</v>
      </c>
      <c r="R131" s="3">
        <f>3140.6+(78.1-718)+(0+(0-0))+0-15.6-0</f>
        <v>2485.1</v>
      </c>
      <c r="S131" s="3">
        <f>3132.4+(72-654.5)+(-1.597524+(-0.03672--0.333795))+0-74.3--0.0378929999999925</f>
        <v>2474.3374440000002</v>
      </c>
      <c r="T131" s="3">
        <f>3106.4+(61.1-671.6)+(0+(0-0))+0-56.9-0</f>
        <v>2439</v>
      </c>
      <c r="U131" s="3">
        <f>3072.8+(79.6-674.8)+(-1.567128+(-0.040596--0.344148))+0-69.4--0.035393999999993</f>
        <v>2406.9718180000004</v>
      </c>
      <c r="V131" s="3">
        <f>3038.7+(88.8-665.8)+(-4.649211+(-0.135864--1.018674))+0-81--0.123930000000005</f>
        <v>2377.0575290000002</v>
      </c>
      <c r="W131" s="3">
        <f>3002.6+(104.7-687)+(-3.062652+(-0.106794--0.70074))+0-71.5--0.0729300000000114</f>
        <v>2346.4042239999999</v>
      </c>
      <c r="X131" s="3">
        <f>2863+(119.8-651.8)+(-7.30065+(-0.30549--1.66209))+0-60.1--0.153254999999991</f>
        <v>2265.1092050000002</v>
      </c>
      <c r="Y131" s="3">
        <f>2768.1+(94.9-534.5)+(-4.235193+(-0.145197--0.817785))+0-81.2--0.124236000000005</f>
        <v>2243.8616310000002</v>
      </c>
      <c r="Z131" s="3">
        <f>3126.7+(32.4-609.1)+(0+(0-0))+0-81.3-0</f>
        <v>2468.6999999999998</v>
      </c>
      <c r="AA131" s="3">
        <f>3244.1+(36.3-759.2)+(-3.308982+(-0.037026--0.774384))+0-60.9--0.0621180000000097</f>
        <v>2457.7904939999994</v>
      </c>
      <c r="AB131" s="3">
        <f>3065.6+(111.8-726.7)+(0+(0-0))+0-61.4-0</f>
        <v>2389.2999999999997</v>
      </c>
      <c r="AC131" s="3">
        <f>2868.2+(130.2-571.1)+(-4.388346+(-0.199206--0.873783))+0-78.9--0.120717000000005</f>
        <v>2344.8069479999995</v>
      </c>
      <c r="AD131">
        <f t="shared" si="2"/>
        <v>54057.636360999997</v>
      </c>
      <c r="AE131" s="3">
        <f>3263+(19.5-790.4)+(0+(0-0))+0-29.5-0</f>
        <v>2462.6</v>
      </c>
    </row>
    <row r="132" spans="1:31" s="2" customFormat="1" x14ac:dyDescent="0.25">
      <c r="A132">
        <v>89</v>
      </c>
      <c r="B132">
        <v>5</v>
      </c>
      <c r="C132">
        <v>8</v>
      </c>
      <c r="D132">
        <v>7</v>
      </c>
      <c r="E132">
        <v>1</v>
      </c>
      <c r="F132" s="3">
        <f>2606.2+(102.5-425.8)+(-6.64581+(-0.261375--1.08579))+0-68.1--0.17365499999999</f>
        <v>2209.1522599999998</v>
      </c>
      <c r="G132" s="3">
        <f>2529.2+(97.3-474.3)+(1.289892+(0.049623-0.241893))+0-62.1-0.0316709999999937</f>
        <v>2091.1659509999995</v>
      </c>
      <c r="H132" s="3">
        <f>2481.8+(96.8-502.8)+(0+(0-0))+0-73.4-0</f>
        <v>2002.4</v>
      </c>
      <c r="I132" s="3">
        <f>2313.5+(97.1-393.9)+(-5.899425+(-0.247605--1.004445))+0-56.5--0.144074999999992</f>
        <v>1955.2014899999999</v>
      </c>
      <c r="J132" s="3">
        <f>2197.8+(96.2-297.2)+(-3.362634+(-0.147186--0.454716))+0-63.1--0.0965430000000037</f>
        <v>1930.7414390000004</v>
      </c>
      <c r="K132" s="3">
        <f>2077.1+(96.1-252.3)+(-7.415247+(-0.343077--0.900711))+0-68.8--0.245616000000001</f>
        <v>1845.4880029999999</v>
      </c>
      <c r="L132" s="3">
        <f>1946.2+(96.1-204.6)+(-3.970248+(-0.196044--0.417384))+0-68.9--0.140555999999997</f>
        <v>1765.191648</v>
      </c>
      <c r="M132" s="3">
        <f>1917.6+(116.4-173.5)+(0.977976+(0.059364-0.088485))+0-78.8-0.040187999999992</f>
        <v>1782.6086670000002</v>
      </c>
      <c r="N132" s="3">
        <f>2116+(124.6-319)+(0+(0-0))+0-62.8-0</f>
        <v>1858.8</v>
      </c>
      <c r="O132" s="3">
        <f>2410.2+(128.4-535.9)+(0+(0-0))+0-53.7-0</f>
        <v>1948.9999999999998</v>
      </c>
      <c r="P132" s="3">
        <f>2582.4+(127.5-580.4)+(1.317024+(0.065025-0.296004))+0-81.9-0.0417689999999917</f>
        <v>2048.644276</v>
      </c>
      <c r="Q132" s="3">
        <f>2643.3+(129.9-595.1)+(1.348083+(0.066249-0.303501))+0-66.7-0.0340169999999932</f>
        <v>2112.4768140000006</v>
      </c>
      <c r="R132" s="3">
        <f>2661.9+(131.2-567.5)+(0+(0-0))+0-58.3-0</f>
        <v>2167.2999999999997</v>
      </c>
      <c r="S132" s="3">
        <f>2647.6+(128.7-526.9)+(-2.700552+(-0.131274--0.537438))+0-76.9--0.0784380000000123</f>
        <v>2170.2840500000002</v>
      </c>
      <c r="T132" s="3">
        <f>2665.5+(128-609.2)+(1.359405+(0.06528-0.310692))+0-70.3-0.0358529999999929</f>
        <v>2115.0781400000001</v>
      </c>
      <c r="U132" s="3">
        <f>2600.9+(128.8-561.2)+(-3.979377+(-0.197064--0.858636))+0-55.6--0.0850680000000032</f>
        <v>2109.6672629999998</v>
      </c>
      <c r="V132" s="3">
        <f>2479.2+(128.4-445.3)+(-1.264392+(-0.065484--0.227103))+0-73.7--0.0375869999999925</f>
        <v>2087.5348139999996</v>
      </c>
      <c r="W132" s="3">
        <f>2383.1+(128.6-369.7)+(-1.215381+(-0.065586--0.188547))+0-62.1--0.0316709999999937</f>
        <v>2078.8392510000003</v>
      </c>
      <c r="X132" s="3">
        <f>2362.2+(131.7-392.3)+(-6.02361+(-0.335835--1.000365))+0-72.8--0.185639999999989</f>
        <v>2023.6265599999997</v>
      </c>
      <c r="Y132" s="3">
        <f>2176.2+(178.5-247.6)+(-2.219724+(-0.18207--0.252552))+0-67.7--0.0690540000000108</f>
        <v>2037.319812</v>
      </c>
      <c r="Z132" s="3">
        <f>2707.2+(62.6-405.1)+(-4.142016+(-0.095778--0.619803))+0-62.3--0.0953190000000036</f>
        <v>2298.8773279999996</v>
      </c>
      <c r="AA132" s="3">
        <f>2810.7+(60.9-476.8)+(-8.600742+(-0.186354--1.459008))+0-70--0.214200000000008</f>
        <v>2317.6861119999994</v>
      </c>
      <c r="AB132" s="3">
        <f>2690.2+(120.7-450.1)+(-2.744004+(-0.123114--0.459102))+0-77.1--0.0786420000000123</f>
        <v>2281.3706259999999</v>
      </c>
      <c r="AC132" s="3">
        <f>2608.6+(131.4-465)+(-1.330386+(-0.067014--0.23715))+0-49--0.024989999999995</f>
        <v>2224.86474</v>
      </c>
      <c r="AD132">
        <f t="shared" si="2"/>
        <v>49463.319244000006</v>
      </c>
      <c r="AE132" s="3">
        <f>2791+(69.7-477.8)+(0+(0-0))+0-19-0</f>
        <v>2363.9</v>
      </c>
    </row>
    <row r="133" spans="1:31" s="2" customFormat="1" x14ac:dyDescent="0.25">
      <c r="A133">
        <v>89</v>
      </c>
      <c r="B133">
        <v>5</v>
      </c>
      <c r="C133">
        <v>9</v>
      </c>
      <c r="D133">
        <v>1</v>
      </c>
      <c r="E133">
        <v>1</v>
      </c>
      <c r="F133" s="3">
        <f>2411.8+(104-378.2)+(-4.920072+(-0.21216--0.771528))+0-71--0.144839999999997</f>
        <v>2062.3841360000001</v>
      </c>
      <c r="G133" s="3">
        <f>2079.7+(102.3-169.7)+(-6.363882+(-0.313038--0.519282))+0-46.7--0.142902000000005</f>
        <v>1959.5852639999998</v>
      </c>
      <c r="H133" s="3">
        <f>2035.3+(94.6-164.6)+(-4.152012+(-0.192984--0.335784))+0-67.6--0.137903999999997</f>
        <v>1893.828692</v>
      </c>
      <c r="I133" s="3">
        <f>2040.3+(94.4-179.6)+(-2.081106+(-0.096288--0.183192))+0-86.5--0.0882300000000138</f>
        <v>1866.6940279999999</v>
      </c>
      <c r="J133" s="3">
        <f>2047.7+(94.5-232)+(2.088654+(0.09639-0.23664))+0-66.7-0.0680340000000106</f>
        <v>1845.3803700000001</v>
      </c>
      <c r="K133" s="3">
        <f>2042+(94.8-305.2)+(1.04142+(0.048348-0.155652))+0-51.3-0.0261629999999948</f>
        <v>1781.2079529999999</v>
      </c>
      <c r="L133" s="3">
        <f>2050.5+(94.3-310.8)+(0+(0-0))+0-61.5-0</f>
        <v>1772.5</v>
      </c>
      <c r="M133" s="3">
        <f>2043+(125.3-206.4)+(0+(0-0))+0-51.9-0</f>
        <v>1910</v>
      </c>
      <c r="N133" s="3">
        <f>2237.2+(129.8-241.5)+(-2.281944+(-0.132396--0.24633))+0-76.6--0.0781320000000122</f>
        <v>2046.8101220000003</v>
      </c>
      <c r="O133" s="3">
        <f>2347.5+(147.6-242.3)+(-2.39445+(-0.150552--0.247146))+0-68.4--0.0697680000000109</f>
        <v>2182.1719119999998</v>
      </c>
      <c r="P133" s="3">
        <f>2719.3+(130.3-502.9)+(4.160529+(0.199359-0.769437))+0-46.2-0.0706860000000027</f>
        <v>2304.0197650000005</v>
      </c>
      <c r="Q133" s="3">
        <f>2949.9+(129.7-650.9)+(3.008898+(0.132294-0.663918))+0-56-0.0571200000000089</f>
        <v>2375.1201539999997</v>
      </c>
      <c r="R133" s="3">
        <f>2926.9+(108.2-573.7)+(0+(0-0))+0-72.1-0</f>
        <v>2389.3000000000002</v>
      </c>
      <c r="S133" s="3">
        <f>2978.3+(96.3-671)+(-4.556799+(-0.147339--1.02663))+0-72.7--0.111231000000004</f>
        <v>2327.3337230000002</v>
      </c>
      <c r="T133" s="3">
        <f>2952.6+(104.8-639.8)+(-1.505826+(-0.053448--0.326298))+0-83.6--0.0426359999999915</f>
        <v>2332.8096600000003</v>
      </c>
      <c r="U133" s="3">
        <f>2948.8+(109.5-683.8)+(-1.503888+(-0.055845--0.348738))+0-80.6--0.0411059999999918</f>
        <v>2292.7301110000003</v>
      </c>
      <c r="V133" s="3">
        <f>2914.5+(115-690.2)+(-1.486395+(-0.05865--0.352002))+0-48.6--0.0247859999999951</f>
        <v>2289.531743</v>
      </c>
      <c r="W133" s="3">
        <f>2852.1+(115.6-669.9)+(-2.909142+(-0.117912--0.683298))+0-14.9--0.0151980000000024</f>
        <v>2280.5714419999999</v>
      </c>
      <c r="X133" s="3">
        <f>2755.5+(120.7-567.8)+(-5.62122+(-0.246228--1.158312))+0-71.4--0.145655999999997</f>
        <v>2232.4365200000002</v>
      </c>
      <c r="Y133" s="3">
        <f>2700.8+(98.3-547)+(0+(0-0))+0-35.9-0</f>
        <v>2216.2000000000003</v>
      </c>
      <c r="Z133" s="3">
        <f>3137.7+(78.9-683.4)+(-1.600227+(-0.040239--0.348534))+0-65.9--0.0336089999999933</f>
        <v>2466.0416769999997</v>
      </c>
      <c r="AA133" s="3">
        <f>3160.2+(94.6-739.1)+(-4.835106+(-0.144738--1.130823))+0-55.7--0.0852210000000032</f>
        <v>2456.2361999999998</v>
      </c>
      <c r="AB133" s="3">
        <f>2926.5+(131.7-623)+(-2.98503+(-0.134334--0.63546))+0-66.3--0.0676260000000106</f>
        <v>2366.4837219999995</v>
      </c>
      <c r="AC133" s="3">
        <f>2695+(131.8-483.4)+(-2.7489+(-0.134436--0.493068))+0-61.1--0.0623220000000097</f>
        <v>2279.9720540000003</v>
      </c>
      <c r="AD133">
        <f t="shared" si="2"/>
        <v>51929.349247999991</v>
      </c>
      <c r="AE133" s="3">
        <f>3168+(95.6-805.7)+(0+(0-0))+0-28.8-0</f>
        <v>2429.1</v>
      </c>
    </row>
    <row r="134" spans="1:31" s="2" customFormat="1" x14ac:dyDescent="0.25">
      <c r="A134">
        <v>89</v>
      </c>
      <c r="B134">
        <v>5</v>
      </c>
      <c r="C134">
        <v>10</v>
      </c>
      <c r="D134">
        <v>2</v>
      </c>
      <c r="E134">
        <v>1</v>
      </c>
      <c r="F134" s="3">
        <f>2468.4+(107.6-405.1)+(-5.035536+(-0.219504--0.826404))+0-43.8--0.0893519999999981</f>
        <v>2122.7607159999998</v>
      </c>
      <c r="G134" s="3">
        <f>2349.9+(101.3-375.9)+(-5.992245+(-0.258315--0.958545))+0-71.7--0.18283499999999</f>
        <v>1998.4908200000002</v>
      </c>
      <c r="H134" s="3">
        <f>2408.3+(100.3-502.8)+(1.228233+(0.051153-0.256428))+0-75.4-0.0384539999999924</f>
        <v>1931.3845040000001</v>
      </c>
      <c r="I134" s="3">
        <f>2340.8+(100.9-467.6)+(-3.581424+(-0.154377--0.715428))+0-68.4--0.104652000000004</f>
        <v>1902.784279</v>
      </c>
      <c r="J134" s="3">
        <f>2202.2+(101.7-341.1)+(-2.246244+(-0.103734--0.347922))+0-71.4--0.0728280000000114</f>
        <v>1889.4707719999997</v>
      </c>
      <c r="K134" s="3">
        <f>2203.1+(100.9-389.1)+(-1.123581+(-0.051459--0.198441))+0-69.6--0.0354959999999929</f>
        <v>1844.3588969999998</v>
      </c>
      <c r="L134" s="3">
        <f>2210.2+(100.3-440.8)+(-2.254404+(-0.102306--0.449616))+0-81.2--0.082824000000013</f>
        <v>1786.6757299999999</v>
      </c>
      <c r="M134" s="3">
        <f>2346.9+(99.6-460.2)+(0+(0-0))+0-67.1-0</f>
        <v>1919.2000000000003</v>
      </c>
      <c r="N134" s="3">
        <f>2458.6+(125.3-447.4)+(-2.507772+(-0.127806--0.456348))+0-65.9--0.0672180000000105</f>
        <v>2068.4879879999999</v>
      </c>
      <c r="O134" s="3">
        <f>2581.1+(129.9-454.7)+(-2.632722+(-0.132498--0.463794))+0-53.8--0.0548760000000086</f>
        <v>2200.2534500000002</v>
      </c>
      <c r="P134" s="3">
        <f>2683.6+(129-454.8)+(-1.368636+(-0.06579--0.231948))+0-51.1--0.0260609999999948</f>
        <v>2305.5235829999997</v>
      </c>
      <c r="Q134" s="3">
        <f>2855.8+(128.7-549.9)+(-2.912916+(-0.131274--0.560898))+0-63.9--0.0651780000000102</f>
        <v>2368.2818860000002</v>
      </c>
      <c r="R134" s="3">
        <f>2893.1+(131.6-565.7)+(-1.475481+(-0.067116--0.288507))+0-67.4--0.0343739999999932</f>
        <v>2390.3802839999998</v>
      </c>
      <c r="S134" s="3">
        <f>2874.8+(131.4-565.6)+(-2.932296+(-0.134028--0.576912))+0-69.4--0.0707880000000111</f>
        <v>2368.7813760000004</v>
      </c>
      <c r="T134" s="3">
        <f>2864.7+(131.3-600.8)+(-2.921994+(-0.133926--0.612816))+0-36.5--0.0372300000000058</f>
        <v>2356.2941259999998</v>
      </c>
      <c r="U134" s="3">
        <f>2854.5+(130-630.2)+(-1.455795+(-0.0663--0.321402))+0-16.4--0.00836399999999834</f>
        <v>2336.7076710000001</v>
      </c>
      <c r="V134" s="3">
        <f>2829.3+(130-555.8)+(-4.328829+(-0.1989--0.850374))+0-57.1--0.0873630000000033</f>
        <v>2342.8100080000004</v>
      </c>
      <c r="W134" s="3">
        <f>2819.5+(130.7-554.4)+(-5.75178+(-0.266628--1.130976))+0-61.5--0.125459999999997</f>
        <v>2329.5380280000004</v>
      </c>
      <c r="X134" s="3">
        <f>2826.5+(102.3-566.6)+(-8.64909+(-0.313038--1.733796))+0-81.6--0.249696000000009</f>
        <v>2273.6213639999996</v>
      </c>
      <c r="Y134" s="3">
        <f>2815.6+(72.1-501)+(-5.743824+(-0.147084--1.02204))+0-75.8--0.154631999999997</f>
        <v>2306.1857639999998</v>
      </c>
      <c r="Z134" s="3">
        <f>2897.2+(43.2-340.2)+(0+(0-0))+0-54.7-0</f>
        <v>2545.5</v>
      </c>
      <c r="AA134" s="3">
        <f>2878.6+(84-376.8)+(-5.872344+(-0.17136--0.768672))+0-71--0.144839999999997</f>
        <v>2509.6698079999996</v>
      </c>
      <c r="AB134" s="3">
        <f>2790.9+(121.6-403.6)+(-4.270077+(-0.186048--0.617508))+0-79.5--0.121635000000005</f>
        <v>2425.6830180000002</v>
      </c>
      <c r="AC134" s="3">
        <f>2714+(108.8-404)+(-4.15242+(-0.166464--0.61812))+0-63.2--0.0966960000000037</f>
        <v>2351.9959320000003</v>
      </c>
      <c r="AD134">
        <f t="shared" si="2"/>
        <v>52874.840003999998</v>
      </c>
      <c r="AE134" s="3">
        <f>2895+(39.8-310.7)+(0+(0-0))+0-78.4-0</f>
        <v>2545.6999999999998</v>
      </c>
    </row>
    <row r="135" spans="1:31" s="2" customFormat="1" x14ac:dyDescent="0.25">
      <c r="A135">
        <v>89</v>
      </c>
      <c r="B135">
        <v>5</v>
      </c>
      <c r="C135">
        <v>11</v>
      </c>
      <c r="D135">
        <v>3</v>
      </c>
      <c r="E135">
        <v>1</v>
      </c>
      <c r="F135" s="3">
        <f>2698.2+(105.5-550.2)+(-6.88041+(-0.269025--1.40301))+0-56.7--0.144584999999992</f>
        <v>2191.1981600000004</v>
      </c>
      <c r="G135" s="3">
        <f>2468.1+(112.7-437.2)+(-5.034924+(-0.229908--0.891888))+0-66.6--0.135863999999997</f>
        <v>2072.7629199999997</v>
      </c>
      <c r="H135" s="3">
        <f>2299.2+(129.6-350.3)+(-3.517776+(-0.198288--0.535959))+0-72--0.110160000000004</f>
        <v>2003.430055</v>
      </c>
      <c r="I135" s="3">
        <f>2255.8+(132.4-338.5)+(-3.451374+(-0.202572--0.517905))+0-68--0.104040000000004</f>
        <v>1978.6679990000002</v>
      </c>
      <c r="J135" s="3">
        <f>2148.9+(130.8-245.8)+(3.287817+(0.200124-0.376074))+0-77.5-0.118575000000004</f>
        <v>1959.3932920000002</v>
      </c>
      <c r="K135" s="3">
        <f>2107.8+(130.6-278.2)+(-3.224934+(-0.199818--0.425646))+0-59.2--0.0905760000000034</f>
        <v>1898.0914700000003</v>
      </c>
      <c r="L135" s="3">
        <f>2092.8+(130.5-291.8)+(-5.33664+(-0.332775--0.74409))+0-63.7--0.162434999999991</f>
        <v>1863.0371100000002</v>
      </c>
      <c r="M135" s="3">
        <f>2177.1+(129.9-237.3)+(0+(0-0))+0-63.4-0</f>
        <v>2006.2999999999997</v>
      </c>
      <c r="N135" s="3">
        <f>2345+(127.4-296.9)+(1.19595+(0.064974-0.151419))+0-18.1-0.00923099999999816</f>
        <v>2158.500274</v>
      </c>
      <c r="O135" s="3">
        <f>2325.8+(193.3-225.4)+(-2.372316+(-0.197166--0.229908))+0-14.8--0.0150960000000024</f>
        <v>2276.5755220000001</v>
      </c>
      <c r="P135" s="3">
        <f>2523.9+(133.8-277.8)+(0+(0-0))+0-16.4-0</f>
        <v>2363.5</v>
      </c>
      <c r="Q135" s="3">
        <f>2757.3+(130-424.2)+(0+(0-0))+0-20-0</f>
        <v>2443.1000000000004</v>
      </c>
      <c r="R135" s="3">
        <f>2729.9+(131.3-361.4)+(-1.392249+(-0.066963--0.184314))+0-16.7--0.00851699999999831</f>
        <v>2481.8336190000005</v>
      </c>
      <c r="S135" s="3">
        <f>2673+(128.1-347.3)+(0+(0-0))+0-17.6-0</f>
        <v>2436.2000000000003</v>
      </c>
      <c r="T135" s="3">
        <f>2636.1+(129.4-306.8)+(-2.688822+(-0.131988--0.312936))+0-33.9--0.0345780000000054</f>
        <v>2422.3267039999996</v>
      </c>
      <c r="U135" s="3">
        <f>2608.9+(129.9-298)+(-1.330539+(-0.066249--0.15198))+0-64.2--0.0327419999999935</f>
        <v>2375.3879340000003</v>
      </c>
      <c r="V135" s="3">
        <f>2597+(130.5-308.7)+(-2.64894+(-0.13311--0.314874))+0-49.8--0.0507960000000079</f>
        <v>2366.5836199999999</v>
      </c>
      <c r="W135" s="3">
        <f>2554.5+(129.3-281.1)+(-9.119565+(-0.461601--1.003527))+0-45.3--0.161721000000001</f>
        <v>2348.9840819999995</v>
      </c>
      <c r="X135" s="3">
        <f>2500.6+(126.5-322.4)+(-6.37653+(-0.322575--0.82212))+0-16.9--0.0430949999999975</f>
        <v>2281.9661099999998</v>
      </c>
      <c r="Y135" s="3">
        <f>2340.4+(194.3-201)+(-2.387208+(-0.198186--0.20502))+0-23.8--0.0242760000000038</f>
        <v>2307.5439020000003</v>
      </c>
      <c r="Z135" s="3">
        <f>2618.6+(143-210.3)+(-2.670972+(-0.14586--0.214506))+0-19.9--0.0202980000000032</f>
        <v>2528.8179719999994</v>
      </c>
      <c r="AA135" s="3">
        <f>2666.8+(111.5-253.8)+(-5.440272+(-0.22746--0.517752))+0-16.9--0.0344759999999993</f>
        <v>2502.4844959999996</v>
      </c>
      <c r="AB135" s="3">
        <f>2409.8+(207.4-178.4)+(-4.915992+(-0.423096--0.363936))+0-29.3--0.0597719999999987</f>
        <v>2404.5846200000001</v>
      </c>
      <c r="AC135" s="3">
        <f>2385.5+(195.6-168.7)+(0+(0-0))+0-72.1-0</f>
        <v>2340.3000000000002</v>
      </c>
      <c r="AD135">
        <f t="shared" si="2"/>
        <v>54011.569860999996</v>
      </c>
      <c r="AE135" s="3">
        <f>2788+(68.7-280.1)+(0+(0-0))+0-14.4-0</f>
        <v>2562.1999999999998</v>
      </c>
    </row>
    <row r="136" spans="1:31" s="2" customFormat="1" x14ac:dyDescent="0.25">
      <c r="A136">
        <v>89</v>
      </c>
      <c r="B136">
        <v>5</v>
      </c>
      <c r="C136">
        <v>12</v>
      </c>
      <c r="D136">
        <v>4</v>
      </c>
      <c r="E136">
        <v>1</v>
      </c>
      <c r="F136" s="3">
        <f>2335.1+(114.6-206.1)+(-1.190901+(-0.058446--0.105111))+0-61.2--0.0312119999999938</f>
        <v>2181.2869759999999</v>
      </c>
      <c r="G136" s="3">
        <f>2199.6+(133.6-195.9)+(-2.243592+(-0.136272--0.199818))+0-63.2--0.0644640000000101</f>
        <v>2071.984418</v>
      </c>
      <c r="H136" s="3">
        <f>2234.6+(130.9-273.3)+(1.139646+(0.066759-0.139383))+0-84.2-0.0429419999999915</f>
        <v>2009.0240799999999</v>
      </c>
      <c r="I136" s="3">
        <f>2229.6+(130.3-325.7)+(0+(0-0))+0-62.3-0</f>
        <v>1971.8999999999999</v>
      </c>
      <c r="J136" s="3">
        <f>2141.3+(130.5-253.9)+(-1.092063+(-0.066555--0.129489))+0-61.7--0.0314669999999937</f>
        <v>1955.2023380000001</v>
      </c>
      <c r="K136" s="3">
        <f>2085.6+(130.6-228.7)+(2.127312+(0.133212-0.233274))+0-86.4-0.0881280000000138</f>
        <v>1903.0391219999999</v>
      </c>
      <c r="L136" s="3">
        <f>1965.4+(151-199.4)+(-3.007062+(-0.23103--0.305082))+0-53.4--0.0817020000000031</f>
        <v>1860.7486919999999</v>
      </c>
      <c r="M136" s="3">
        <f>2131.4+(130.2-214.5)+(-1.087014+(-0.066402--0.109395))+0-55.7--0.0284069999999944</f>
        <v>1990.3843860000002</v>
      </c>
      <c r="N136" s="3">
        <f>2348.4+(131.9-257.3)+(0+(0-0))+0-70.5-0</f>
        <v>2152.5</v>
      </c>
      <c r="O136" s="3">
        <f>2452.2+(116.4-242.2)+(1.250622+(0.059364-0.123522))+0-64.4-0.0328439999999935</f>
        <v>2263.1536199999996</v>
      </c>
      <c r="P136" s="3">
        <f>2557.6+(139.1-237.6)+(-2.608752+(-0.141882--0.242352))+0-63.1--0.0643620000000101</f>
        <v>2393.5560800000003</v>
      </c>
      <c r="Q136" s="3">
        <f>2576.9+(162-214.7)+(-1.314219+(-0.08262--0.109497))+0-61.7--0.0314669999999937</f>
        <v>2461.2441250000002</v>
      </c>
      <c r="R136" s="3">
        <f>2611.3+(148-204.5)+(0+(0-0))+0-62.1-0</f>
        <v>2492.7000000000003</v>
      </c>
      <c r="S136" s="3">
        <f>2595.5+(126.4-211.4)+(0+(0-0))+0-57.5-0</f>
        <v>2453</v>
      </c>
      <c r="T136" s="3">
        <f>2580.3+(110.2-208.5)+(1.315953+(0.056202-0.106335))+0-61.7-0.0314669999999937</f>
        <v>2421.5343530000005</v>
      </c>
      <c r="U136" s="3">
        <f>2547+(141.3-204.9)+(1.29897+(0.072063-0.104499))+0-59.8-0.0304979999999939</f>
        <v>2424.8360359999997</v>
      </c>
      <c r="V136" s="3">
        <f>2506.7+(161.8-201.3)+(1.278417+(0.082518-0.102663))+0-61.2-0.0312119999999938</f>
        <v>2407.2270600000002</v>
      </c>
      <c r="W136" s="3">
        <f>2474.9+(173.9-184.6)+(0+(0-0))+0-60.6-0</f>
        <v>2403.6000000000004</v>
      </c>
      <c r="X136" s="3">
        <f>2485.7+(149.1-227.8)+(-1.267707+(-0.076041--0.116178))+0-84.3--0.0429929999999914</f>
        <v>2321.5154229999998</v>
      </c>
      <c r="Y136" s="3">
        <f>2451.3+(136.9-254.7)+(3.750489+(0.209457-0.389691))+0-25.1-0.0384030000000015</f>
        <v>2311.9318520000002</v>
      </c>
      <c r="Z136" s="3">
        <f>2988.8+(95-522.3)+(1.524288+(0.04845-0.266373))+0-21.7-0.0110669999999978</f>
        <v>2541.0952980000002</v>
      </c>
      <c r="AA136" s="3">
        <f>3130+(107.5-618.6)+(-4.7889+(-0.164475--0.946458))+0-87.6--0.134028000000005</f>
        <v>2527.427111</v>
      </c>
      <c r="AB136" s="3">
        <f>2986.8+(129.2-597.1)+(-3.046536+(-0.131784--0.609042))+0-65.9--0.0672180000000105</f>
        <v>2450.4979400000002</v>
      </c>
      <c r="AC136" s="3">
        <f>2742+(130-464.5)+(-6.9921+(-0.3315--1.184475))+0-30.8--0.0785399999999955</f>
        <v>2370.6394149999996</v>
      </c>
      <c r="AD136">
        <f t="shared" si="2"/>
        <v>54340.028324999985</v>
      </c>
      <c r="AE136" s="3">
        <f>3125+(106.2-620.8)+(0+(0-0))+0-87.1-0</f>
        <v>2523.3000000000002</v>
      </c>
    </row>
    <row r="137" spans="1:31" s="2" customFormat="1" x14ac:dyDescent="0.25">
      <c r="A137">
        <v>89</v>
      </c>
      <c r="B137">
        <v>5</v>
      </c>
      <c r="C137">
        <v>13</v>
      </c>
      <c r="D137">
        <v>5</v>
      </c>
      <c r="E137">
        <v>1</v>
      </c>
      <c r="F137" s="3">
        <f>2596.7+(103.3-465.5)+(-2.648634+(-0.105366--0.47481))+0-41.1--0.0419220000000066</f>
        <v>2191.1627319999998</v>
      </c>
      <c r="G137" s="3">
        <f>2375.4+(94.3-386.8)+(-2.422908+(-0.096186--0.394536))+0-18.1--0.0184620000000029</f>
        <v>2062.6939040000002</v>
      </c>
      <c r="H137" s="3">
        <f>2246.1+(94.2-276.5)+(-1.145511+(-0.048042--0.141015))+0-68.5--0.034934999999993</f>
        <v>1994.2823969999997</v>
      </c>
      <c r="I137" s="3">
        <f>2153.9+(94.3-202.5)+(-4.393956+(-0.192372--0.4131))+0-73.5--0.149939999999997</f>
        <v>1968.176712</v>
      </c>
      <c r="J137" s="3">
        <f>2077.5+(100.2-173.3)+(-5.297625+(-0.25551--0.441915))+0-51.2--0.130559999999993</f>
        <v>1948.2193400000001</v>
      </c>
      <c r="K137" s="3">
        <f>2077.6+(93.1-200.2)+(-4.238304+(-0.189924--0.408408))+0-74.3--0.151571999999997</f>
        <v>1892.3317520000001</v>
      </c>
      <c r="L137" s="3">
        <f>2053.4+(144.6-133.1)+(-4.188936+(-0.294984--0.271524))+0-67.6--0.137903999999997</f>
        <v>1993.2255080000002</v>
      </c>
      <c r="M137" s="3">
        <f>2086.3+(100-237)+(2.128026+(0.102-0.24174))+0-51.8-0.0528360000000083</f>
        <v>1899.4354500000002</v>
      </c>
      <c r="N137" s="3">
        <f>2314.7+(108.4-235.3)+(-1.180497+(-0.055284--0.120003))+0-51.8--0.0264179999999947</f>
        <v>2134.9106399999996</v>
      </c>
      <c r="O137" s="3">
        <f>2665.2+(129.4-486.4)+(-1.359252+(-0.065994--0.248064))+0-37.7--0.0192269999999962</f>
        <v>2269.3420449999999</v>
      </c>
      <c r="P137" s="3">
        <f>2825.1+(128.8-567.8)+(7.204005+(0.32844-1.44789))+0-16.3-0.0415649999999976</f>
        <v>2375.8429899999996</v>
      </c>
      <c r="Q137" s="3">
        <f>2902.5+(128.2-565.3)+(0+(0-0))+0-14.4-0</f>
        <v>2451</v>
      </c>
      <c r="R137" s="3">
        <f>3000.7+(126.7-622.2)+(3.060714+(0.129234-0.634644))+0-17.3-0.0176460000000028</f>
        <v>2490.4376579999998</v>
      </c>
      <c r="S137" s="3">
        <f>3080.3+(126.8-741.6)+(-3.141906+(-0.129336--0.756432))+0-18.1--0.0184620000000029</f>
        <v>2444.903652</v>
      </c>
      <c r="T137" s="3">
        <f>3053.2+(127.4-693.6)+(0+(0-0))+0-44-0</f>
        <v>2443</v>
      </c>
      <c r="U137" s="3">
        <f>3054.7+(127.2-691.6)+(0+(0-0))+0-56.8-0</f>
        <v>2433.4999999999995</v>
      </c>
      <c r="V137" s="3">
        <f>3015.7+(128.5-649.1)+(-1.538007+(-0.065535--0.331041))+0-80.2--0.0409019999999919</f>
        <v>2413.6684010000004</v>
      </c>
      <c r="W137" s="3">
        <f>2976.4+(131.8-632.4)+(-3.035928+(-0.134436--0.645048))+0-72--0.0734400000000115</f>
        <v>2401.3481240000001</v>
      </c>
      <c r="X137" s="3">
        <f>2850.1+(130.5-561.4)+(-5.814204+(-0.26622--1.145256))+0-74.5--0.151979999999997</f>
        <v>2339.9168119999999</v>
      </c>
      <c r="Y137" s="3">
        <f>2904.6+(108.1-580.1)+(-1.481346+(-0.055131--0.295851))+0-74.1--0.0377909999999925</f>
        <v>2357.2971650000004</v>
      </c>
      <c r="Z137" s="3">
        <f>3219+(70.1-628.8)+(-4.92507+(-0.107253--0.962064))+0-87.6--0.134028000000005</f>
        <v>2568.7637690000001</v>
      </c>
      <c r="AA137" s="3">
        <f>3269.5+(83.1-740.6)+(-5.002335+(-0.127143--1.133118))+0-73.2--0.111996000000004</f>
        <v>2534.9156360000002</v>
      </c>
      <c r="AB137" s="3">
        <f>3143.4+(122.5-736.8)+(1.603134+(0.062475-0.375768))+0-67.1-0.0342209999999932</f>
        <v>2463.2556200000004</v>
      </c>
      <c r="AC137" s="3">
        <f>2996+(129-666)+(-4.58388+(-0.19737--1.01898))+0-55.8--0.0853740000000032</f>
        <v>2399.5231039999999</v>
      </c>
      <c r="AD137">
        <f t="shared" si="2"/>
        <v>54471.153411000014</v>
      </c>
      <c r="AE137" s="3">
        <f>3267+(67.4-717)+(0+(0-0))+0-76.6-0</f>
        <v>2540.8000000000002</v>
      </c>
    </row>
    <row r="138" spans="1:31" s="2" customFormat="1" x14ac:dyDescent="0.25">
      <c r="A138">
        <v>89</v>
      </c>
      <c r="B138">
        <v>5</v>
      </c>
      <c r="C138">
        <v>14</v>
      </c>
      <c r="D138">
        <v>6</v>
      </c>
      <c r="E138">
        <v>1</v>
      </c>
      <c r="F138" s="3">
        <f>2734.4+(109.3-537.2)+(-1.394544+(-0.055743--0.273972))+0-86.2--0.0439619999999913</f>
        <v>2219.1676470000002</v>
      </c>
      <c r="G138" s="3">
        <f>2535.4+(94.4-464.2)+(-1.293054+(-0.048144--0.236742))+0-73.8--0.0376379999999925</f>
        <v>2090.7331819999999</v>
      </c>
      <c r="H138" s="3">
        <f>2519.4+(94.3-547.3)+(-2.569788+(-0.096186--0.558246))+0-52--0.0530400000000083</f>
        <v>2012.3453120000001</v>
      </c>
      <c r="I138" s="3">
        <f>2452.3+(94.2-500.7)+(-2.501346+(-0.096084--0.510714))+0-72.2--0.0736440000000115</f>
        <v>1971.5869280000002</v>
      </c>
      <c r="J138" s="3">
        <f>2427.2+(94.3-479.2)+(-4.951488+(-0.192372--0.977568))+0-86.6--0.176663999999996</f>
        <v>1951.7103719999998</v>
      </c>
      <c r="K138" s="3">
        <f>2285+(95-411)+(-5.82675+(-0.24225--1.04805))+0-77.8--0.198389999999989</f>
        <v>1886.37744</v>
      </c>
      <c r="L138" s="3">
        <f>2061.7+(101.1-219.8)+(-3.154401+(-0.154683--0.336294))+0-74.6--0.114138000000004</f>
        <v>1865.5413479999997</v>
      </c>
      <c r="M138" s="3">
        <f>2091.9+(117.3-176.1)+(-1.066869+(-0.059823--0.089811))+0-54.3--0.0276929999999945</f>
        <v>1977.7908120000002</v>
      </c>
      <c r="N138" s="3">
        <f>2321.9+(114.5-211.8)+(1.184169+(0.058395-0.108018))+0-86.3-0.0440129999999912</f>
        <v>2139.3905329999993</v>
      </c>
      <c r="O138" s="3">
        <f>2556.9+(78.4-278.9)+(-1.304019+(-0.039984--0.142239))+0-61.5--0.0313649999999938</f>
        <v>2293.729601</v>
      </c>
      <c r="P138" s="3">
        <f>2593.1+(109.2-224)+(1.322481+(0.055692-0.11424))+0-69.9-0.0356489999999929</f>
        <v>2409.6282839999999</v>
      </c>
      <c r="Q138" s="3">
        <f>2794.5+(127.4-369.8)+(-1.425195+(-0.064974--0.188598))+0-77--0.0392699999999922</f>
        <v>2473.8376990000002</v>
      </c>
      <c r="R138" s="3">
        <f>2844.7+(129.3-395.1)+(0+(0-0))+0-78.5-0</f>
        <v>2500.3999999999996</v>
      </c>
      <c r="S138" s="3">
        <f>2822.2+(129.7-421)+(-4.317966+(-0.198441--0.64413))+0-67.9--0.103887000000004</f>
        <v>2459.2316099999998</v>
      </c>
      <c r="T138" s="3">
        <f>2746.2+(129.1-371.5)+(0+(0-0))+0-72.3-0</f>
        <v>2431.4999999999995</v>
      </c>
      <c r="U138" s="3">
        <f>2638.4+(128.7-296.4)+(-6.72792+(-0.328185--0.75582))+0-58.7--0.149684999999991</f>
        <v>2405.8494000000005</v>
      </c>
      <c r="V138" s="3">
        <f>2684.4+(128.9-354.6)+(1.369044+(0.065739-0.180846))+0-86.3-0.0440129999999912</f>
        <v>2373.6099239999999</v>
      </c>
      <c r="W138" s="3">
        <f>2762+(131.3-468.9)+(-4.22586+(-0.200889--0.717417))+0-73.8--0.112914000000004</f>
        <v>2347.0035819999998</v>
      </c>
      <c r="X138" s="3">
        <f>2703.5+(131.1-480.6)+(-5.51514+(-0.267444--0.980424))+0-71.9--0.146675999999997</f>
        <v>2277.4445159999996</v>
      </c>
      <c r="Y138" s="3">
        <f>2669.1+(97.6-391.3)+(-1.361241+(-0.049776--0.199563))+0-55.9--0.0285089999999943</f>
        <v>2318.317055</v>
      </c>
      <c r="Z138" s="3">
        <f>3017.7+(44.4-447.2)+(-4.617081+(-0.067932--0.684216))+0-85.6--0.130968000000005</f>
        <v>2525.4301709999995</v>
      </c>
      <c r="AA138" s="3">
        <f>3101.2+(63.5-591)+(-4.744836+(-0.097155--0.90423))+0-63.6--0.0973080000000037</f>
        <v>2506.2595469999997</v>
      </c>
      <c r="AB138" s="3">
        <f>2912.4+(124.1-544.4)+(-5.941296+(-0.253164--1.110576))+0-73.7--0.150347999999997</f>
        <v>2413.4664640000005</v>
      </c>
      <c r="AC138" s="3">
        <f>2796.2+(130.4-502.6)+(-1.426062+(-0.066504--0.256326))+0-74--0.0377399999999925</f>
        <v>2348.8015</v>
      </c>
      <c r="AD138">
        <f t="shared" si="2"/>
        <v>54199.152926999988</v>
      </c>
      <c r="AE138" s="3">
        <f>3174+(42.2-615.1)+(0+(0-0))+0-15.8-0</f>
        <v>2585.2999999999997</v>
      </c>
    </row>
    <row r="139" spans="1:31" s="2" customFormat="1" x14ac:dyDescent="0.25">
      <c r="A139">
        <v>89</v>
      </c>
      <c r="B139">
        <v>5</v>
      </c>
      <c r="C139">
        <v>15</v>
      </c>
      <c r="D139">
        <v>7</v>
      </c>
      <c r="E139">
        <v>1</v>
      </c>
      <c r="F139" s="3">
        <f>2648.1+(98.4-421.8)+(-4.051593+(-0.150552--0.645354))+0-81.9--0.125307000000005</f>
        <v>2239.3685159999995</v>
      </c>
      <c r="G139" s="3">
        <f>2295.6+(93.7-198.9)+(-3.512268+(-0.143361--0.304317))+0-85.6--0.130968000000005</f>
        <v>2101.5796560000003</v>
      </c>
      <c r="H139" s="3">
        <f>2254.8+(93.5-263.1)+(0+(0-0))+0-60.5-0</f>
        <v>2024.7000000000003</v>
      </c>
      <c r="I139" s="3">
        <f>2238.9+(93.9-299.9)+(-3.425517+(-0.143667--0.458847))+0-62.8--0.0960840000000036</f>
        <v>1967.0857470000001</v>
      </c>
      <c r="J139" s="3">
        <f>2259.5+(92.9-328.1)+(-1.152345+(-0.047379--0.167331))+0-81.6--0.0416159999999917</f>
        <v>1941.7092230000001</v>
      </c>
      <c r="K139" s="3">
        <f>2118.7+(92.6-359.2)+(-5.402685+(-0.23613--0.91596))+0-74.7--0.190484999999989</f>
        <v>1772.86763</v>
      </c>
      <c r="L139" s="3">
        <f>2098.2+(93.2-352.2)+(-5.35041+(-0.23766--0.89811))+0-60.4--0.154019999999991</f>
        <v>1774.2640599999997</v>
      </c>
      <c r="M139" s="3">
        <f>2064+(93-287.3)+(0+(0-0))+0-59.7-0</f>
        <v>1810</v>
      </c>
      <c r="N139" s="3">
        <f>2114.9+(125-302)+(-4.314396+(-0.255--0.61608))+0-58.7--0.119747999999997</f>
        <v>1875.366432</v>
      </c>
      <c r="O139" s="3">
        <f>2236.7+(128.6-315.4)+(2.281434+(0.131172-0.321708))+0-81-0.0826200000000129</f>
        <v>1970.9082779999997</v>
      </c>
      <c r="P139" s="3">
        <f>2339.8+(128.9-317.4)+(0+(0-0))+0-67-0</f>
        <v>2084.3000000000002</v>
      </c>
      <c r="Q139" s="3">
        <f>2344+(128.2-262.3)+(-1.19544+(-0.065382--0.133773))+0-56.1--0.0286109999999943</f>
        <v>2152.7015620000002</v>
      </c>
      <c r="R139" s="3">
        <f>2367.3+(127.6-247.4)+(-3.621969+(-0.195228--0.378522))+0-71.4--0.109242000000004</f>
        <v>2172.770567</v>
      </c>
      <c r="S139" s="3">
        <f>2470+(128.2-337.6)+(-1.2597+(-0.065382--0.172176))+0-81.3--0.0414629999999918</f>
        <v>2178.1885569999999</v>
      </c>
      <c r="T139" s="3">
        <f>2556.1+(129.2-457.9)+(-3.910833+(-0.197676--0.700587))+0-57.7--0.0882810000000033</f>
        <v>2166.3803590000002</v>
      </c>
      <c r="U139" s="3">
        <f>2554.1+(128.4-487.8)+(-1.302591+(-0.065484--0.248778))+0-35.1--0.0179009999999964</f>
        <v>2158.4986039999999</v>
      </c>
      <c r="V139" s="3">
        <f>2533+(128.4-489.4)+(-6.45915+(-0.32742--1.24797))+0-17.5--0.0446249999999975</f>
        <v>2149.0060250000001</v>
      </c>
      <c r="W139" s="3">
        <f>2405.4+(129.2-397.8)+(-6.13377+(-0.32946--1.01439))+0-17.3--0.0441149999999975</f>
        <v>2114.0952750000001</v>
      </c>
      <c r="X139" s="3">
        <f>2340.3+(126.9-379.6)+(-3.580659+(-0.194157--0.580788))+0-16.8--0.025704000000001</f>
        <v>2067.6316760000004</v>
      </c>
      <c r="Y139" s="3">
        <f>2421.9+(97.6-389)+(0+(0-0))+0-15.7-0</f>
        <v>2114.8000000000002</v>
      </c>
      <c r="Z139" s="3">
        <f>2686.4+(64.3-326.4)+(1.370064+(0.032793-0.166464))+0-69.1-0.035240999999993</f>
        <v>2356.4011520000004</v>
      </c>
      <c r="AA139" s="3">
        <f>2843.7+(79.1-480.5)+(-1.450287+(-0.040341--0.245055))+0-71.6--0.0365159999999927</f>
        <v>2369.4909429999998</v>
      </c>
      <c r="AB139" s="3">
        <f>2904.5+(130.1-630.6)+(0+(0-0))+0-71.6-0</f>
        <v>2332.4</v>
      </c>
      <c r="AC139" s="3">
        <f>2886.5+(131.4-635)+(-4.416345+(-0.201042--0.97155))+0-74.8--0.114444000000004</f>
        <v>2304.5686069999997</v>
      </c>
      <c r="AD139">
        <f t="shared" si="2"/>
        <v>50199.082868999998</v>
      </c>
      <c r="AE139" s="3">
        <f>2859+(116.7-585.2)+(0+(0-0))+0-87.8-0</f>
        <v>2302.6999999999998</v>
      </c>
    </row>
    <row r="140" spans="1:31" s="2" customFormat="1" x14ac:dyDescent="0.25">
      <c r="A140">
        <v>89</v>
      </c>
      <c r="B140">
        <v>5</v>
      </c>
      <c r="C140">
        <v>16</v>
      </c>
      <c r="D140">
        <v>1</v>
      </c>
      <c r="E140">
        <v>1</v>
      </c>
      <c r="F140" s="3">
        <f>2585.7+(102.5-442.9)+(-1.318707+(-0.052275--0.225879))+0-88.8--0.045287999999991</f>
        <v>2155.4001849999995</v>
      </c>
      <c r="G140" s="3">
        <f>2387.9+(96.1-377.5)+(-1.217829+(-0.049011--0.192525))+0-68--0.0346799999999931</f>
        <v>2037.4603650000001</v>
      </c>
      <c r="H140" s="3">
        <f>2315.1+(95.8-408.4)+(-1.180701+(-0.048858--0.208284))+0-35.1--0.0179009999999964</f>
        <v>1966.396626</v>
      </c>
      <c r="I140" s="3">
        <f>2275.3+(95.1-352.7)+(-2.320806+(-0.097002--0.359754))+0-82.2--0.0838440000000131</f>
        <v>1933.5257900000001</v>
      </c>
      <c r="J140" s="3">
        <f>2184.3+(97.6-301.5)+(-3.341979+(-0.149328--0.461295))+0-62.4--0.0954720000000036</f>
        <v>1915.06546</v>
      </c>
      <c r="K140" s="3">
        <f>2135.6+(106.6-308.7)+(-3.267468+(-0.163098--0.472311))+0-62.5--0.0956250000000036</f>
        <v>1868.1373699999999</v>
      </c>
      <c r="L140" s="3">
        <f>2123.1+(105.7-323)+(-5.413905+(-0.269535--0.82365))+0-75.1--0.191504999999989</f>
        <v>1826.0317150000001</v>
      </c>
      <c r="M140" s="3">
        <f>2170.3+(109.1-291.4)+(0+(0-0))+0-22.6-0</f>
        <v>1965.4000000000003</v>
      </c>
      <c r="N140" s="3">
        <f>2353.6+(129-324.7)+(-1.200336+(-0.06579--0.165597))+0-18.6--0.00948599999999811</f>
        <v>2138.2089570000003</v>
      </c>
      <c r="O140" s="3">
        <f>2594.6+(129-435)+(0+(0-0))+0-13.6-0</f>
        <v>2275</v>
      </c>
      <c r="P140" s="3">
        <f>2865.2+(128.5-537.5)+(1.461252+(0.065535-0.274125))+0-43-0.0219299999999956</f>
        <v>2414.4307319999998</v>
      </c>
      <c r="Q140" s="3">
        <f>3016.3+(128.3-597.7)+(-1.538313+(-0.065433--0.304827))+0-66.5--0.0339149999999933</f>
        <v>2479.1349960000002</v>
      </c>
      <c r="R140" s="3">
        <f>3125.9+(127.5-655.6)+(1.594209+(0.065025-0.334356))+0-67.2-0.0342719999999932</f>
        <v>2531.8906060000004</v>
      </c>
      <c r="S140" s="3">
        <f>3147+(128.4-687.4)+(-4.81491+(-0.196452--1.051722))+0-80.8--0.123624000000005</f>
        <v>2503.3639839999996</v>
      </c>
      <c r="T140" s="3">
        <f>3116.4+(129.2-662.5)+(0+(0-0))+0-70.5-0</f>
        <v>2512.6000000000004</v>
      </c>
      <c r="U140" s="3">
        <f>3097.5+(130-700)+(0+(0-0))+0-56.8-0</f>
        <v>2470.6999999999998</v>
      </c>
      <c r="V140" s="3">
        <f>3025.3+(130.7-639.3)+(-6.171612+(-0.266628--1.304172))+0-57.2--0.116687999999998</f>
        <v>2454.4826200000007</v>
      </c>
      <c r="W140" s="3">
        <f>3059.9+(130.5-722.6)+(-3.121098+(-0.13311--0.737052))+0-17.4--0.0177480000000028</f>
        <v>2447.9005920000004</v>
      </c>
      <c r="X140" s="3">
        <f>2966.3+(122.2-692.7)+(-4.538439+(-0.186966--1.059831))+0-18.8--0.0287640000000011</f>
        <v>2373.36319</v>
      </c>
      <c r="Y140" s="3">
        <f>2891.5+(101.2-536.6)+(0+(0-0))+0-59.6-0</f>
        <v>2396.5</v>
      </c>
      <c r="Z140" s="3">
        <f>3303.4+(56.2-674.4)+(0+(0-0))+0-64.8-0</f>
        <v>2620.4</v>
      </c>
      <c r="AA140" s="3">
        <f>3344.7+(69.6-750.2)+(0+(0-0))+0-71.2-0</f>
        <v>2592.9</v>
      </c>
      <c r="AB140" s="3">
        <f>3212.6+(116.8-729.4)+(3.276852+(0.119136-0.743988))+0-75.4-0.076908000000012</f>
        <v>2527.1750919999999</v>
      </c>
      <c r="AC140" s="3">
        <f>2992.1+(130.6-630.4)+(-1.525971+(-0.066606--0.321504))+0-36.5--0.0186149999999963</f>
        <v>2454.5475420000002</v>
      </c>
      <c r="AD140">
        <f t="shared" si="2"/>
        <v>54860.015821999994</v>
      </c>
      <c r="AE140" s="3">
        <f>3357+(65.9-743.9)+(0+(0-0))+0-78.4-0</f>
        <v>2600.6</v>
      </c>
    </row>
    <row r="141" spans="1:31" s="2" customFormat="1" x14ac:dyDescent="0.25">
      <c r="A141">
        <v>89</v>
      </c>
      <c r="B141">
        <v>5</v>
      </c>
      <c r="C141">
        <v>17</v>
      </c>
      <c r="D141">
        <v>2</v>
      </c>
      <c r="E141">
        <v>1</v>
      </c>
      <c r="F141" s="3">
        <f>2835.2+(125.5-612.7)+(-5.783808+(-0.25602--1.249908))+0-72.9--0.148715999999997</f>
        <v>2270.4587959999999</v>
      </c>
      <c r="G141" s="3">
        <f>2689.6+(114.1-577)+(-1.371696+(-0.058191--0.29427))+0-82.1--0.0418709999999917</f>
        <v>2143.5062539999999</v>
      </c>
      <c r="H141" s="3">
        <f>2612.4+(113.7-632.1)+(0+(0-0))+0-25.4-0</f>
        <v>2068.6</v>
      </c>
      <c r="I141" s="3">
        <f>2449.8+(113.4-478)+(-3.748194+(-0.173502--0.73134))+0-62.4--0.0954720000000036</f>
        <v>2019.7051160000001</v>
      </c>
      <c r="J141" s="3">
        <f>2376.7+(113.6-424.3)+(-2.424234+(-0.115872--0.432786))+0-64.5--0.0657900000000103</f>
        <v>1999.45847</v>
      </c>
      <c r="K141" s="3">
        <f>2322.2+(113.3-419.8)+(-2.368644+(-0.115566--0.428196))+0-70.7--0.0721140000000113</f>
        <v>1943.0160999999998</v>
      </c>
      <c r="L141" s="3">
        <f>2248.6+(113-377.7)+(-4.587144+(-0.23052--0.770508))+0-77.3--0.157691999999997</f>
        <v>1902.7105359999998</v>
      </c>
      <c r="M141" s="3">
        <f>2374.8+(112.7-378.2)+(0+(0-0))+0-70.7-0</f>
        <v>2038.6000000000001</v>
      </c>
      <c r="N141" s="3">
        <f>2545.3+(124.4-428.1)+(-1.298103+(-0.063444--0.218331))+0-47.9--0.0244289999999951</f>
        <v>2192.5812130000004</v>
      </c>
      <c r="O141" s="3">
        <f>2676.1+(129.7-393.9)+(-4.094433+(-0.198441--0.602667))+0-62.1--0.0950130000000036</f>
        <v>2346.2048060000002</v>
      </c>
      <c r="P141" s="3">
        <f>3046.5+(136.7-688.5)+(0+(0-0))+0-19.6-0</f>
        <v>2475.1</v>
      </c>
      <c r="Q141" s="3">
        <f>3090.1+(128.7-628.2)+(0+(0-0))+0-47.5-0</f>
        <v>2543.1</v>
      </c>
      <c r="R141" s="3">
        <f>3089.1+(129.2-590.1)+(1.575441+(0.065892-0.300951))+0-58.6-0.0298859999999941</f>
        <v>2570.910496</v>
      </c>
      <c r="S141" s="3">
        <f>3000.6+(128.6-529.8)+(-1.530306+(-0.065586--0.270198))+0-73.8--0.0376379999999925</f>
        <v>2524.3119439999996</v>
      </c>
      <c r="T141" s="3">
        <f>3011.8+(128.1-585.3)+(1.536018+(0.065331-0.298503))+0-67-0.0341699999999932</f>
        <v>2488.8686760000005</v>
      </c>
      <c r="U141" s="3">
        <f>3049.9+(128.4-620.9)+(-1.555449+(-0.065484--0.316659))+0-67.2--0.0342719999999932</f>
        <v>2488.9299980000001</v>
      </c>
      <c r="V141" s="3">
        <f>3055.4+(128.4-644.9)+(-1.558254+(-0.065484--0.328899))+0-56.6--0.0288659999999943</f>
        <v>2481.0340270000002</v>
      </c>
      <c r="W141" s="3">
        <f>3036.8+(129.4-683.4)+(-4.646304+(-0.197982--1.045602))+0-18.7--0.0286110000000011</f>
        <v>2460.3299270000007</v>
      </c>
      <c r="X141" s="3">
        <f>2970.2+(121-603.4)+(-7.57401+(-0.30855--1.53867))+0-76.4--0.194819999999989</f>
        <v>2405.2509299999997</v>
      </c>
      <c r="Y141" s="3">
        <f>2741.6+(102.7-347.4)+(-2.796432+(-0.104754--0.354348))+0-63.4--0.0646680000000101</f>
        <v>2431.0178299999998</v>
      </c>
      <c r="Z141" s="3">
        <f>3249.9+(67.7-627.5)+(-1.657449+(-0.034527--0.320025))+0-59--0.030089999999994</f>
        <v>2629.7581390000005</v>
      </c>
      <c r="AA141" s="3">
        <f>3398.5+(73.2-767.1)+(-5.199705+(-0.111996--1.173663))+0-74.3--0.113679000000004</f>
        <v>2626.2756409999997</v>
      </c>
      <c r="AB141" s="3">
        <f>3230.8+(124.1-715.6)+(0+(0-0))+0-67.9-0</f>
        <v>2571.4</v>
      </c>
      <c r="AC141" s="3">
        <f>3020.7+(130.6-598.9)+(-3.081114+(-0.133212--0.610878))+0-63.5--0.0647700000000101</f>
        <v>2486.3613219999997</v>
      </c>
      <c r="AD141">
        <f t="shared" si="2"/>
        <v>56107.490220999993</v>
      </c>
      <c r="AE141" s="3">
        <f>3260+(60.2-722.4)+(0+(0-0))+0-80.6-0</f>
        <v>2517.2000000000003</v>
      </c>
    </row>
    <row r="142" spans="1:31" s="2" customFormat="1" x14ac:dyDescent="0.25">
      <c r="A142">
        <v>89</v>
      </c>
      <c r="B142">
        <v>5</v>
      </c>
      <c r="C142">
        <v>18</v>
      </c>
      <c r="D142">
        <v>3</v>
      </c>
      <c r="E142">
        <v>1</v>
      </c>
      <c r="F142" s="3">
        <f>2811.1+(106.2-546.9)+(-7.168305+(-0.27081--1.394595))+0-68.6--0.17492999999999</f>
        <v>2295.9304100000004</v>
      </c>
      <c r="G142" s="3">
        <f>2685.1+(102.9-577.1)+(-2.738802+(-0.104958--0.588642))+0-53.8--0.0548760000000086</f>
        <v>2154.8997579999996</v>
      </c>
      <c r="H142" s="3">
        <f>2553+(102.5-493.1)+(-1.30203+(-0.052275--0.251481))+0-65.9--0.0336089999999933</f>
        <v>2095.430785</v>
      </c>
      <c r="I142" s="3">
        <f>2530.2+(103.6-490.3)+(1.290402+(0.052836-0.250053))+0-77.9-0.0397289999999921</f>
        <v>2066.653456</v>
      </c>
      <c r="J142" s="3">
        <f>2542.4+(102.6-520.8)+(3.889872+(0.156978-0.796824))+0-79.9-0.122247000000005</f>
        <v>2047.4277790000003</v>
      </c>
      <c r="K142" s="3">
        <f>2488.2+(102.5-567.8)+(-1.268982+(-0.052275--0.289578))+0-47.8--0.0243779999999952</f>
        <v>1974.092699</v>
      </c>
      <c r="L142" s="3">
        <f>2330.8+(103-439.8)+(-3.566124+(-0.15759--0.672894))+0-60--0.0918000000000035</f>
        <v>1931.0409800000002</v>
      </c>
      <c r="M142" s="3">
        <f>2322.7+(104.3-282.9)+(0+(0-0))+0-77.5-0</f>
        <v>2066.6</v>
      </c>
      <c r="N142" s="3">
        <f>2707.6+(127.9-567.4)+(2.761752+(0.130458-0.578748))+0-41.3-0.0421260000000066</f>
        <v>2229.071336</v>
      </c>
      <c r="O142" s="3">
        <f>2936.5+(129.3-625.2)+(-2.99523+(-0.131886--0.637704))+0-66.8--0.0681360000000106</f>
        <v>2371.3787239999997</v>
      </c>
      <c r="P142" s="3">
        <f>3107+(129.3-682.1)+(4.75371+(0.197829-1.043613))+0-52.4-0.080172000000003</f>
        <v>2505.6277539999996</v>
      </c>
      <c r="Q142" s="3">
        <f>3119.2+(128.8-615.1)+(1.590792+(0.065688-0.313701))+0-63.2-0.0322319999999936</f>
        <v>2571.0105469999999</v>
      </c>
      <c r="R142" s="3">
        <f>3193.2+(128.6-645.1)+(-3.257064+(-0.131172--0.658002))+0-74.4--0.0758880000000119</f>
        <v>2599.6456539999995</v>
      </c>
      <c r="S142" s="3">
        <f>3207.7+(128.6-682.1)+(1.635927+(0.065586-0.347871))+0-77.8-0.0396779999999921</f>
        <v>2577.7139639999996</v>
      </c>
      <c r="T142" s="3">
        <f>3194.2+(128.6-732)+(0+(0-0))+0-75.2-0</f>
        <v>2515.6</v>
      </c>
      <c r="U142" s="3">
        <f>3142.5+(128-682.5)+(0+(0-0))+0-63.6-0</f>
        <v>2524.4</v>
      </c>
      <c r="V142" s="3">
        <f>3083.7+(129.2-660.9)+(-1.572687+(-0.065892--0.337059))+0-54.6--0.0278459999999945</f>
        <v>2496.1263260000001</v>
      </c>
      <c r="W142" s="3">
        <f>3032.9+(130-617.8)+(-3.093558+(-0.1326--0.630156))+0-79.7--0.0812940000000127</f>
        <v>2462.8852920000004</v>
      </c>
      <c r="X142" s="3">
        <f>2968.3+(128.1-628.9)+(-7.569165+(-0.326655--1.603695))+0-73.5--0.187424999999989</f>
        <v>2387.8953000000001</v>
      </c>
      <c r="Y142" s="3">
        <f>2797.7+(101.5-406.4)+(-2.853654+(-0.10353--0.414528))+0-66.3--0.0676260000000106</f>
        <v>2424.0249699999995</v>
      </c>
      <c r="Z142" s="3">
        <f>3279.9+(51.7-647.9)+(-1.672749+(-0.026367--0.330429))+0-62.6--0.0319259999999936</f>
        <v>2619.7632390000003</v>
      </c>
      <c r="AA142" s="3">
        <f>3371.7+(64.7-758.1)+(-6.878268+(-0.131988--1.546524))+0-79.2--0.161567999999997</f>
        <v>2593.7978359999997</v>
      </c>
      <c r="AB142" s="3">
        <f>3200.3+(116.5-713.8)+(-3.264306+(-0.11883--0.728076))+0-69.1--0.070482000000011</f>
        <v>2531.3154220000001</v>
      </c>
      <c r="AC142" s="3">
        <f>3057.2+(131.5-673)+(-3.118344+(-0.13413--0.68646))+0-71.4--0.0728280000000114</f>
        <v>2441.8068139999996</v>
      </c>
      <c r="AD142">
        <f t="shared" si="2"/>
        <v>56484.139045000004</v>
      </c>
      <c r="AE142" s="3">
        <f>3370+(57.6-724.1)+(0+(0-0))+0-99-0</f>
        <v>2604.5</v>
      </c>
    </row>
    <row r="143" spans="1:31" s="2" customFormat="1" x14ac:dyDescent="0.25">
      <c r="A143">
        <v>89</v>
      </c>
      <c r="B143">
        <v>5</v>
      </c>
      <c r="C143">
        <v>19</v>
      </c>
      <c r="D143">
        <v>4</v>
      </c>
      <c r="E143">
        <v>1</v>
      </c>
      <c r="F143" s="3">
        <f>2860.6+(110.1-649.7)+(-2.917812+(-0.112302--0.662694))+0-52.7--0.0537540000000084</f>
        <v>2265.9863340000002</v>
      </c>
      <c r="G143" s="3">
        <f>2701.1+(105.3-626.3)+(-2.755122+(-0.107406--0.638826))+0-21.7--0.0221340000000035</f>
        <v>2156.1984320000001</v>
      </c>
      <c r="H143" s="3">
        <f>2669.6+(115.1-611.2)+(-5.445984+(-0.234804--1.246848))+0-84.2--0.171767999999996</f>
        <v>2085.0378280000004</v>
      </c>
      <c r="I143" s="3">
        <f>2554.5+(116.4-545.1)+(1.302795+(0.059364-0.278001))+0-63.6-0.0324359999999935</f>
        <v>2063.2517220000004</v>
      </c>
      <c r="J143" s="3">
        <f>2556.5+(122.1-578)+(5.21526+(0.249084-1.17912))+0-62.6-0.127703999999997</f>
        <v>2042.1575200000002</v>
      </c>
      <c r="K143" s="3">
        <f>2479+(111.2-556.3)+(2.52858+(0.113424-0.567426))+0-61.3-0.0625260000000098</f>
        <v>1974.6120520000002</v>
      </c>
      <c r="L143" s="3">
        <f>2327.5+(110.8-461.3)+(-2.37405+(-0.113016--0.470526))+0-51.2--0.0522240000000082</f>
        <v>1923.8356839999999</v>
      </c>
      <c r="M143" s="3">
        <f>2422.8+(87.2-407.1)+(2.471256+(0.088944-0.415242))+0-66.6-0.0679320000000106</f>
        <v>2038.3770260000001</v>
      </c>
      <c r="N143" s="3">
        <f>2655.4+(101.4-539.1)+(4.062762+(0.155142-0.824823))+0-15.2-0.0232560000000009</f>
        <v>2205.8698250000002</v>
      </c>
      <c r="O143" s="3">
        <f>2836.6+(96-547.1)+(5.786664+(0.19584-1.116084))+0-11.6-0.0236639999999995</f>
        <v>2378.7427560000001</v>
      </c>
      <c r="P143" s="3">
        <f>3016.2+(99-629.6)+(3.076524+(0.10098-0.642192))+0-11.5-0.0117300000000018</f>
        <v>2476.6235819999997</v>
      </c>
      <c r="Q143" s="3">
        <f>3078.2+(102.9-617.9)+(0+(0-0))+0-11.7-0</f>
        <v>2551.5</v>
      </c>
      <c r="R143" s="3">
        <f>3154.1+(87.3-655.5)+(1.608591+(0.044523-0.334305))+0-14.9-0.00759899999999849</f>
        <v>2572.3112099999994</v>
      </c>
      <c r="S143" s="3">
        <f>3138.3+(121.2-631.1)+(0+(0-0))+0-76.5-0</f>
        <v>2551.9</v>
      </c>
      <c r="T143" s="3">
        <f>3122.5+(107.8-633.6)+(0+(0-0))+0-67.5-0</f>
        <v>2529.1999999999998</v>
      </c>
      <c r="U143" s="3">
        <f>3120.7+(105.4-654.4)+(1.591557+(0.053754-0.333744))+0-59.7-0.0304469999999939</f>
        <v>2513.2811200000001</v>
      </c>
      <c r="V143" s="3">
        <f>3096.2+(110.3-644.4)+(3.158124+(0.112506-0.657288))+0-73.5-0.0749700000000117</f>
        <v>2491.1383719999999</v>
      </c>
      <c r="W143" s="3">
        <f>3066.8+(116.8-637.4)+(-6.256272+(-0.238272--1.300296))+0-77--0.157079999999997</f>
        <v>2464.1628320000004</v>
      </c>
      <c r="X143" s="3">
        <f>3003.6+(122.1-650.6)+(-7.65918+(-0.311355--1.65903))+0-77.8--0.198389999999989</f>
        <v>2391.1868849999996</v>
      </c>
      <c r="Y143" s="3">
        <f>3018.4+(97.9-615.5)+(3.078768+(0.099858-0.62781))+0-74.5-0.0759900000000119</f>
        <v>2428.7748260000003</v>
      </c>
      <c r="Z143" s="3">
        <f>3327.7+(50.8-668)+(0+(0-0))+0-73.8-0</f>
        <v>2636.7</v>
      </c>
      <c r="AA143" s="3">
        <f>3348.2+(62.3-742.7)+(-3.415164+(-0.063546--0.757554))+0-75--0.076500000000012</f>
        <v>2590.1553439999998</v>
      </c>
      <c r="AB143" s="3">
        <f>3205.3+(108.4-745.5)+(-1.634703+(-0.055284--0.380205))+0-52.1--0.0265709999999947</f>
        <v>2514.8167890000004</v>
      </c>
      <c r="AC143" s="3">
        <f>3048.4+(130.9-698.2)+(-6.218736+(-0.267036--1.424328))+0-18.5--0.0377399999999992</f>
        <v>2457.5762960000002</v>
      </c>
      <c r="AD143">
        <f t="shared" si="2"/>
        <v>56303.396435000002</v>
      </c>
      <c r="AE143" s="3">
        <f>3388+(51.8-739.3)+(0+(0-0))+0-81-0</f>
        <v>2619.5</v>
      </c>
    </row>
    <row r="144" spans="1:31" s="2" customFormat="1" x14ac:dyDescent="0.25">
      <c r="A144">
        <v>89</v>
      </c>
      <c r="B144">
        <v>5</v>
      </c>
      <c r="C144">
        <v>20</v>
      </c>
      <c r="D144">
        <v>5</v>
      </c>
      <c r="E144">
        <v>1</v>
      </c>
      <c r="F144" s="3">
        <f>2843.6+(109.8-671.4)+(-5.800944+(-0.223992--1.369656))+0-19.7--0.0401879999999991</f>
        <v>2257.6849080000002</v>
      </c>
      <c r="G144" s="3">
        <f>2749.9+(107.8-659.4)+(-4.207347+(-0.164934--1.008882))+0-63.8--0.0976140000000037</f>
        <v>2131.2342149999999</v>
      </c>
      <c r="H144" s="3">
        <f>2679.9+(106.9-659.6)+(-5.466996+(-0.218076--1.345584))+0-63.9--0.130355999999997</f>
        <v>2059.0908679999998</v>
      </c>
      <c r="I144" s="3">
        <f>2613.5+(106.3-606.7)+(-6.664425+(-0.271065--1.547085))+0-63.8--0.162689999999991</f>
        <v>2044.0742849999997</v>
      </c>
      <c r="J144" s="3">
        <f>2552.4+(105.5-557.2)+(-7.810344+(-0.32283--1.705032))+0-79.3--0.242658000000009</f>
        <v>2015.2145159999998</v>
      </c>
      <c r="K144" s="3">
        <f>2406.1+(106.5-510.9)+(-4.908444+(-0.21726--1.042236))+0-64.2--0.130967999999997</f>
        <v>1933.5474999999997</v>
      </c>
      <c r="L144" s="3">
        <f>2260.5+(105.8-423.3)+(-6.91713+(-0.323748--1.295298))+0-54.7--0.167382000000006</f>
        <v>1882.521802</v>
      </c>
      <c r="M144" s="3">
        <f>2259.9+(104.7-280.1)+(-3.457647+(-0.160191--0.428553))+0-73.5--0.112455000000004</f>
        <v>2007.92317</v>
      </c>
      <c r="N144" s="3">
        <f>2402.2+(108-278)+(0+(0-0))+0-63.7-0</f>
        <v>2168.5</v>
      </c>
      <c r="O144" s="3">
        <f>2937.6+(84.3-640.9)+(-1.498176+(-0.042993--0.326859))+0-56.4--0.0287639999999943</f>
        <v>2323.4144540000002</v>
      </c>
      <c r="P144" s="3">
        <f>3123+(52.4-656.1)+(4.77819+(0.080172-1.003833))+0-77.6-0.118728000000004</f>
        <v>2445.4358010000005</v>
      </c>
      <c r="Q144" s="3">
        <f>3234.2+(50.5-679.5)+(-1.649442+(-0.025755--0.346545))+0-78.6--0.040085999999992</f>
        <v>2525.3114339999997</v>
      </c>
      <c r="R144" s="3">
        <f>3251.9+(30.8-658.8)+(1.658469+(0.015708-0.335988))+0-69-0.035189999999993</f>
        <v>2556.2029990000001</v>
      </c>
      <c r="S144" s="3">
        <f>3260.2+(16.2-650.3)+(0+(0-0))+0-73.1-0</f>
        <v>2553</v>
      </c>
      <c r="T144" s="3">
        <f>3239.5+(11.6-647.3)+(1.652145+(0.005916-0.330123))+0-66.3-0.0338129999999933</f>
        <v>2538.7941249999999</v>
      </c>
      <c r="U144" s="3">
        <f>3247.8+(2.9-660)+(0+(0-0))+0-78.7-0</f>
        <v>2512.0000000000005</v>
      </c>
      <c r="V144" s="3">
        <f>3188.9+(16-637.5)+(-6.505356+(-0.03264--1.3005))+0-72.1--0.147083999999997</f>
        <v>2490.2095880000002</v>
      </c>
      <c r="W144" s="3">
        <f>3162+(27.3-655.6)+(-6.45048+(-0.055692--1.337424))+0-73.1--0.149123999999997</f>
        <v>2455.5803759999999</v>
      </c>
      <c r="X144" s="3">
        <f>3104.6+(72.8-718.3)+(-9.500076+(-0.222768--2.197998))+0-54.2--0.165852000000006</f>
        <v>2397.5410060000004</v>
      </c>
      <c r="Y144" s="3">
        <f>3103.9+(86-669.3)+(1.582989+(0.04386-0.341343))+0-74.2-0.0378419999999925</f>
        <v>2447.6476640000005</v>
      </c>
      <c r="Z144" s="3">
        <f>3414.8+(5.7-665.2)+(3.483096+(0.005814-0.678504))+0-83-0.0846600000000132</f>
        <v>2675.0257460000003</v>
      </c>
      <c r="AA144" s="3">
        <f>3474.2+(8.1-782.2)+(-5.315526+(-0.012393--1.196766))+0-68.9--0.105417000000004</f>
        <v>2627.1742640000002</v>
      </c>
      <c r="AB144" s="3">
        <f>3326.5+(50.2-751.8)+(0+(0-0))+0-71.4-0</f>
        <v>2553.5</v>
      </c>
      <c r="AC144" s="3">
        <f>3120.4+(116.6-711.1)+(-4.774212+(-0.178398--1.087983))+0-41.1--0.0628830000000024</f>
        <v>2480.9982560000003</v>
      </c>
      <c r="AD144">
        <f t="shared" si="2"/>
        <v>56081.626977</v>
      </c>
      <c r="AE144" s="3">
        <f>3544+(0-776.6)+(0+(0-0))+0-65-0</f>
        <v>2702.4</v>
      </c>
    </row>
    <row r="145" spans="1:31" s="2" customFormat="1" x14ac:dyDescent="0.25">
      <c r="A145">
        <v>89</v>
      </c>
      <c r="B145">
        <v>5</v>
      </c>
      <c r="C145">
        <v>21</v>
      </c>
      <c r="D145">
        <v>6</v>
      </c>
      <c r="E145">
        <v>8</v>
      </c>
      <c r="F145" s="3">
        <f>2955.8+(105.9-687.6)+(-6.029832+(-0.216036--1.402704))+0-38.7--0.0789479999999983</f>
        <v>2330.6357840000005</v>
      </c>
      <c r="G145" s="3">
        <f>2704.3+(82.3-571.2)+(-5.516772+(-0.167892--1.165248))+0-43.4--0.0885359999999981</f>
        <v>2167.5691200000001</v>
      </c>
      <c r="H145" s="3">
        <f>2691+(85.3-645.6)+(0+(0-0))+0-14-0</f>
        <v>2116.6999999999998</v>
      </c>
      <c r="I145" s="3">
        <f>2694+(87.6-588.7)+(2.74788+(0.089352-0.600474))+0-12.4-0.012648000000002</f>
        <v>2182.7241100000001</v>
      </c>
      <c r="J145" s="3">
        <f>2721+(94.7-663.1)+(-4.16313+(-0.144891--1.014543))+0-14--0.0214200000000008</f>
        <v>2135.3279419999999</v>
      </c>
      <c r="K145" s="3">
        <f>2600.2+(97.8-706.8)+(-6.63051+(-0.24939--1.80234))+0-14.1--0.035954999999998</f>
        <v>1972.058395</v>
      </c>
      <c r="L145" s="3">
        <f>2447.6+(104.9-632.3)+(-9.986208+(-0.427992--2.579784))+0-13.2--0.0538559999999988</f>
        <v>1899.2194399999998</v>
      </c>
      <c r="M145" s="3">
        <f>2472.1+(80.4-552.4)+(2.521542+(0.082008-0.563448))+0-12.8-0.013056000000002</f>
        <v>1989.3270459999999</v>
      </c>
      <c r="N145" s="3">
        <f>2699.9+(94.3-633.4)+(2.753898+(0.096186-0.646068))+0-13.9-0.0141780000000022</f>
        <v>2149.0898380000003</v>
      </c>
      <c r="O145" s="3">
        <f>2852.5+(99.2-638.1)+(5.8191+(0.202368-1.301724))+0-13.6-0.0277439999999994</f>
        <v>2304.692</v>
      </c>
      <c r="P145" s="3">
        <f>3032+(88-693.8)+(3.09264+(0.08976-0.707676))+0-9-0.00918000000000144</f>
        <v>2419.665544</v>
      </c>
      <c r="Q145" s="3">
        <f>3123.5+(38.5-695.3)+(0+(0-0))+0-9.1-0</f>
        <v>2457.6</v>
      </c>
      <c r="R145" s="3">
        <f>3183.8+(5.8-720.2)+(3.247476+(0.005916-0.734604))+0-12.2-0.0124440000000019</f>
        <v>2459.7063440000002</v>
      </c>
      <c r="S145" s="3">
        <f>3169.2+(0-709.9)+(0+(0-0))+0-17.1-0</f>
        <v>2442.1999999999998</v>
      </c>
      <c r="T145" s="3">
        <f>3209.7+(0-756.7)+(0+(0-0))+0-17-0</f>
        <v>2436</v>
      </c>
      <c r="U145" s="3">
        <f>3176.8+(0-763.7)+(-1.620168+(0--0.389487))+0-18.4--0.00938399999999813</f>
        <v>2393.4787030000002</v>
      </c>
      <c r="V145" s="3">
        <f>3076.9+(31.5-720.5)+(-1.569219+(-0.016065--0.367455))+0-17.5--0.00892499999999822</f>
        <v>2369.191096</v>
      </c>
      <c r="W145" s="3">
        <f>3017.4+(72.3-640.3)+(-4.616622+(-0.110619--0.979659))+0-80.5--0.123165000000005</f>
        <v>2365.2755830000001</v>
      </c>
      <c r="X145" s="3">
        <f>2905.5+(85.3-608.6)+(-5.92722+(-0.174012--1.241544))+0-73--0.148919999999997</f>
        <v>2304.4892319999999</v>
      </c>
      <c r="Y145" s="3">
        <f>2949.6+(82.1-581.5)+(1.504296+(0.041871-0.296565))+0-74.8-0.0381479999999924</f>
        <v>2376.6114539999994</v>
      </c>
      <c r="Z145" s="3">
        <f>3357.1+(14.6-727.3)+(3.424242+(0.014892-0.741846))+0-75.2-0.076704000000012</f>
        <v>2571.8205840000001</v>
      </c>
      <c r="AA145" s="3">
        <f>3343.3+(18.3-751.4)+(-1.705083+(-0.009333--0.383214))+0-84.3--0.0429929999999914</f>
        <v>2524.6117910000003</v>
      </c>
      <c r="AB145" s="3">
        <f>3192.1+(53.9-728.5)+(-1.627971+(-0.027489--0.371535))+0-79.1--0.040340999999992</f>
        <v>2437.1564159999998</v>
      </c>
      <c r="AC145" s="3">
        <f>3009.9+(110.5-714.3)+(1.535049+(0.056355-0.364293))+0-32.9-0.0167789999999967</f>
        <v>2374.4103320000004</v>
      </c>
      <c r="AD145">
        <f t="shared" si="2"/>
        <v>55179.560753999998</v>
      </c>
      <c r="AE145" s="3">
        <f>3376+(20.3-773.7)+(0+(0-0))+0-90.7-0</f>
        <v>2531.9</v>
      </c>
    </row>
    <row r="146" spans="1:31" s="2" customFormat="1" x14ac:dyDescent="0.25">
      <c r="A146">
        <v>89</v>
      </c>
      <c r="B146">
        <v>5</v>
      </c>
      <c r="C146">
        <v>22</v>
      </c>
      <c r="D146">
        <v>7</v>
      </c>
      <c r="E146">
        <v>1</v>
      </c>
      <c r="F146" s="3">
        <f>2852+(79-694.7)+(1.45452+(0.04029-0.354297))+0-18.7-0.0095369999999981</f>
        <v>2218.7309760000003</v>
      </c>
      <c r="G146" s="3">
        <f>2786.9+(74.3-652.8)+(-2.842638+(-0.075786--0.665856))+0-80.4--0.0820080000000128</f>
        <v>2125.82944</v>
      </c>
      <c r="H146" s="3">
        <f>2735.6+(65.7-662.2)+(-1.395156+(-0.033507--0.337722))+0-77.7--0.0396269999999921</f>
        <v>2060.3486860000003</v>
      </c>
      <c r="I146" s="3">
        <f>2757.2+(59.5-617.5)+(0+(0-0))+0-74.4-0</f>
        <v>2124.7999999999997</v>
      </c>
      <c r="J146" s="3">
        <f>2782.8+(68.9-706.9)+(-1.419228+(-0.035139--0.360519))+0-64.5--0.0328949999999935</f>
        <v>2079.239047</v>
      </c>
      <c r="K146" s="3">
        <f>2512.8+(87.2-634.6)+(-2.563056+(-0.088944--0.647292))+0-74.9--0.0763980000000119</f>
        <v>1888.57169</v>
      </c>
      <c r="L146" s="3">
        <f>2372.8+(79.8-595.7)+(-4.840512+(-0.162792--1.215228))+0-80.5--0.164219999999996</f>
        <v>1772.7761439999999</v>
      </c>
      <c r="M146" s="3">
        <f>2369.6+(61.7-620.7)+(-1.208496+(-0.031467--0.316557))+0-18.5--0.00943499999999812</f>
        <v>1791.1860289999997</v>
      </c>
      <c r="N146" s="3">
        <f>2316.8+(58.6-500.4)+(-3.544704+(-0.089658--0.765612))+0-38--0.0581400000000022</f>
        <v>1834.1893900000002</v>
      </c>
      <c r="O146" s="3">
        <f>2323.6+(81.7-416.1)+(1.185036+(0.041667-0.212211))+0-74-0.0377399999999925</f>
        <v>1916.1767519999999</v>
      </c>
      <c r="P146" s="3">
        <f>2524+(67.7-511.1)+(-2.57448+(-0.069054--0.521322))+0-84.3--0.0859860000000134</f>
        <v>1994.2637739999998</v>
      </c>
      <c r="Q146" s="3">
        <f>2631.6+(66.5-573.8)+(0+(0-0))+0-65.5-0</f>
        <v>2058.8000000000002</v>
      </c>
      <c r="R146" s="3">
        <f>2760.4+(64.3-661.5)+(1.407804+(0.032793-0.337365))+0-64.5-0.0328949999999935</f>
        <v>2099.7703369999999</v>
      </c>
      <c r="S146" s="3">
        <f>2809.2+(72.2-692.5)+(0+(0-0))+0-76.7-0</f>
        <v>2112.1999999999998</v>
      </c>
      <c r="T146" s="3">
        <f>2831.4+(69.2-690.5)+(1.444014+(0.035292-0.352155))+0-85.1-0.0434009999999914</f>
        <v>2126.0837500000007</v>
      </c>
      <c r="U146" s="3">
        <f>2789.2+(54.8-668.2)+(0+(0-0))+0-53.2-0</f>
        <v>2122.6</v>
      </c>
      <c r="V146" s="3">
        <f>2775.2+(44.4-659.8)+(-4.246056+(-0.067932--1.009494))+0-61.2--0.0936360000000035</f>
        <v>2095.389142</v>
      </c>
      <c r="W146" s="3">
        <f>2773.1+(57.7-681.1)+(-4.242843+(-0.088281--1.042083))+0-85.5--0.130815000000005</f>
        <v>2061.0417739999998</v>
      </c>
      <c r="X146" s="3">
        <f>2712.1+(98.9-670.1)+(-5.532684+(-0.201756--1.367004))+0-75.5--0.154019999999997</f>
        <v>2061.1865839999996</v>
      </c>
      <c r="Y146" s="3">
        <f>2873.1+(59.4-636.4)+(-2.930562+(-0.060588--0.649128))+0-65.2--0.0665040000000104</f>
        <v>2228.6244820000002</v>
      </c>
      <c r="Z146" s="3">
        <f>3227.8+(0-731.2)+(-1.646178+(0--0.372912))+0-65.4--0.0333539999999934</f>
        <v>2429.9600880000003</v>
      </c>
      <c r="AA146" s="3">
        <f>3229.9+(14.7-774.6)+(-8.236245+(-0.037485--1.97523))+0-77.1--0.196604999999989</f>
        <v>2386.7981050000003</v>
      </c>
      <c r="AB146" s="3">
        <f>3080.8+(83.1-720.4)+(-3.142416+(-0.084762--0.734808))+0-83--0.0846600000000132</f>
        <v>2358.09229</v>
      </c>
      <c r="AC146" s="3">
        <f>2929.1+(122.7-728.4)+(1.493841+(0.062577-0.371484))+0-27.2-0.0138719999999972</f>
        <v>2297.3710620000002</v>
      </c>
      <c r="AD146">
        <f t="shared" si="2"/>
        <v>50244.029541999997</v>
      </c>
      <c r="AE146" s="3">
        <f>3232+(3-729.2)+(0+(0-0))+0-83.5-0</f>
        <v>2422.3000000000002</v>
      </c>
    </row>
    <row r="147" spans="1:31" s="2" customFormat="1" x14ac:dyDescent="0.25">
      <c r="A147">
        <v>89</v>
      </c>
      <c r="B147">
        <v>5</v>
      </c>
      <c r="C147">
        <v>23</v>
      </c>
      <c r="D147">
        <v>1</v>
      </c>
      <c r="E147">
        <v>1</v>
      </c>
      <c r="F147" s="3">
        <f>2795.6+(2.4-569.1)+(-5.703024+(-0.004896--1.160964))+0-64.8--0.132191999999997</f>
        <v>2159.6852359999993</v>
      </c>
      <c r="G147" s="3">
        <f>2698+(73.4-626.7)+(1.37598+(0.037434-0.319617))+0-70.4-0.0359039999999929</f>
        <v>2075.3578929999999</v>
      </c>
      <c r="H147" s="3">
        <f>2528+(85.7-514.4)+(-2.57856+(-0.087414--0.524688))+0-73.2--0.0746640000000117</f>
        <v>2024.0333780000001</v>
      </c>
      <c r="I147" s="3">
        <f>2490.4+(104.3-406.9)+(-5.080416+(-0.212772--0.830076))+0-89.2--0.181967999999996</f>
        <v>2094.3188560000003</v>
      </c>
      <c r="J147" s="3">
        <f>2507.3+(108.6-476.8)+(-1.278723+(-0.055386--0.243168))+0-75.5--0.0385049999999923</f>
        <v>2062.5475640000004</v>
      </c>
      <c r="K147" s="3">
        <f>2411.1+(107.7-528.6)+(-2.459322+(-0.109854--0.539172))+0-72.2--0.0736440000000115</f>
        <v>1916.0436399999999</v>
      </c>
      <c r="L147" s="3">
        <f>2272.4+(108.7-372)+(-2.317848+(-0.110874--0.37944))+0-71.9--0.0733380000000115</f>
        <v>1935.224056</v>
      </c>
      <c r="M147" s="3">
        <f>2304+(92-271.2)+(-1.17504+(-0.04692--0.138312))+0-82.6--0.0421259999999916</f>
        <v>2041.1584780000005</v>
      </c>
      <c r="N147" s="3">
        <f>2503.3+(72.1-317.9)+(1.276683+(0.036771-0.162129))+0-61.7-0.0314669999999937</f>
        <v>2196.9198580000002</v>
      </c>
      <c r="O147" s="3">
        <f>2845.3+(81-552.4)+(-4.353309+(-0.12393--0.845172))+0-29.7--0.0454410000000017</f>
        <v>2340.6133740000005</v>
      </c>
      <c r="P147" s="3">
        <f>3010+(67.5-576.1)+(1.5351+(0.034425-0.293811))+0-45.4-0.0231539999999954</f>
        <v>2457.2525599999999</v>
      </c>
      <c r="Q147" s="3">
        <f>3122.9+(53.9-624.9)+(4.778037+(0.082467-0.956097))+0-37.7-0.0576810000000022</f>
        <v>2518.0467260000005</v>
      </c>
      <c r="R147" s="3">
        <f>3164.9+(72-687.5)+(1.614099+(0.03672-0.350625))+0-69.3-0.035342999999993</f>
        <v>2481.3648509999998</v>
      </c>
      <c r="S147" s="3">
        <f>3088.1+(93.2-658.1)+(1.574931+(0.047532-0.335631))+0-82.3-0.0419729999999916</f>
        <v>2442.1448589999995</v>
      </c>
      <c r="T147" s="3">
        <f>3065.1+(90.1-690.5)+(1.563201+(0.045951-0.352155))+0-16.5-0.00841499999999833</f>
        <v>2449.448582</v>
      </c>
      <c r="U147" s="3">
        <f>3004.9+(116.8-695.1)+(-1.532499+(-0.059568--0.354501))+0-15.1--0.00770099999999847</f>
        <v>2410.2701350000002</v>
      </c>
      <c r="V147" s="3">
        <f>3029.8+(90-723.1)+(0+(0-0))+0-20.4-0</f>
        <v>2376.3000000000002</v>
      </c>
      <c r="W147" s="3">
        <f>2981+(93.6-665.8)+(-7.60155+(-0.23868--1.69779))+0-85.5--0.218024999999988</f>
        <v>2317.3755850000002</v>
      </c>
      <c r="X147" s="3">
        <f>2815.1+(97.9-585.4)+(-2.871402+(-0.099858--0.597108))+0-53.7--0.0547740000000086</f>
        <v>2271.5806220000004</v>
      </c>
      <c r="Y147" s="3">
        <f>2898.4+(71.6-498.5)+(-2.956368+(-0.073032--0.50847))+0-67.1--0.0684420000000107</f>
        <v>2401.9475120000002</v>
      </c>
      <c r="Z147" s="3">
        <f>3190.4+(54.9-593.5)+(-1.627104+(-0.027999--0.302685))+0-83.4--0.0425339999999915</f>
        <v>2567.0901160000003</v>
      </c>
      <c r="AA147" s="3">
        <f>3281.6+(74.8-718.1)+(-6.694464+(-0.152592--1.464924))+0-78--0.159119999999997</f>
        <v>2555.0769879999993</v>
      </c>
      <c r="AB147" s="3">
        <f>3192.4+(74.6-694.5)+(-3.256248+(-0.076092--0.70839))+0-73.9--0.0753780000000118</f>
        <v>2496.0514279999998</v>
      </c>
      <c r="AC147" s="3">
        <f>3062.4+(87.8-684.9)+(-3.123648+(-0.089556--0.698598))+0-51.5--0.0525300000000082</f>
        <v>2411.3379239999999</v>
      </c>
      <c r="AD147">
        <f t="shared" si="2"/>
        <v>55001.190221000004</v>
      </c>
      <c r="AE147" s="3">
        <f>3286+(55.4-703.2)+(0+(0-0))+0-20.5-0</f>
        <v>2617.6999999999998</v>
      </c>
    </row>
    <row r="148" spans="1:31" s="2" customFormat="1" x14ac:dyDescent="0.25">
      <c r="A148">
        <v>89</v>
      </c>
      <c r="B148">
        <v>5</v>
      </c>
      <c r="C148">
        <v>24</v>
      </c>
      <c r="D148">
        <v>2</v>
      </c>
      <c r="E148">
        <v>1</v>
      </c>
      <c r="F148" s="3">
        <f>2816.3+(86.8-570.6)+(-4.308939+(-0.132804--0.873018))+0-90.4--0.138312000000005</f>
        <v>2238.6695869999999</v>
      </c>
      <c r="G148" s="3">
        <f>2717.6+(84.2-593)+(-1.385976+(-0.042942--0.30243))+0-75.5--0.0385049999999923</f>
        <v>2132.2120169999998</v>
      </c>
      <c r="H148" s="3">
        <f>2624.4+(82.8-599.5)+(1.338444+(0.042228-0.305745))+0-48.6-0.0247859999999951</f>
        <v>2060.1501410000001</v>
      </c>
      <c r="I148" s="3">
        <f>2527.3+(90.2-395.9)+(-5.155692+(-0.184008--0.807636))+0-85.7--0.174827999999996</f>
        <v>2131.5427640000007</v>
      </c>
      <c r="J148" s="3">
        <f>2632.8+(97.1-544)+(1.342728+(0.049521-0.27744))+0-79.9-0.0407489999999919</f>
        <v>2107.0740600000004</v>
      </c>
      <c r="K148" s="3">
        <f>2442.5+(98-516.4)+(-3.737025+(-0.14994--0.790092))+0-70.8--0.108324000000004</f>
        <v>1950.311451</v>
      </c>
      <c r="L148" s="3">
        <f>2355.5+(90.2-488.8)+(-4.80522+(-0.184008--0.997152))+0-67.2--0.137087999999997</f>
        <v>1885.845012</v>
      </c>
      <c r="M148" s="3">
        <f>2355.7+(89.6-384.4)+(-2.402814+(-0.091392--0.392088))+0-92.3--0.0941460000000147</f>
        <v>1966.5920279999998</v>
      </c>
      <c r="N148" s="3">
        <f>2584.5+(104.8-491.4)+(2.63619+(0.106896-0.501228))+0-72.6-0.0740520000000116</f>
        <v>2127.4678060000001</v>
      </c>
      <c r="O148" s="3">
        <f>2785.1+(103.4-525)+(-5.681604+(-0.210936--1.071))+0-39.5--0.0805799999999983</f>
        <v>2319.2590399999999</v>
      </c>
      <c r="P148" s="3">
        <f>2931.3+(102-641.2)+(4.484889+(0.15606-0.981036))+0-39-0.0596700000000023</f>
        <v>2356.7002430000002</v>
      </c>
      <c r="Q148" s="3">
        <f>3014.8+(102.7-628.1)+(-3.075096+(-0.104754--0.640662))+0-71.4--0.0728280000000114</f>
        <v>2415.5336399999997</v>
      </c>
      <c r="R148" s="3">
        <f>3096.9+(101.9-681.2)+(0+(0-0))+0-69.3-0</f>
        <v>2448.2999999999997</v>
      </c>
      <c r="S148" s="3">
        <f>3075.5+(104.7-654.3)+(-3.13701+(-0.106794--0.667386))+0-79.2--0.0807840000000126</f>
        <v>2444.2043660000004</v>
      </c>
      <c r="T148" s="3">
        <f>3038.7+(105.6-618.8)+(1.549737+(0.053856-0.315588))+0-77.2-0.0393719999999922</f>
        <v>2449.5486329999999</v>
      </c>
      <c r="U148" s="3">
        <f>3060.3+(92.2-648.3)+(-1.560753+(-0.047022--0.330633))+0-73.8--0.0376379999999925</f>
        <v>2429.160496</v>
      </c>
      <c r="V148" s="3">
        <f>2973.6+(92.2-612.1)+(-3.033072+(-0.094044--0.624342))+0-75.2--0.076704000000012</f>
        <v>2376.07393</v>
      </c>
      <c r="W148" s="3">
        <f>2925+(100.2-618)+(0+(0-0))+0-74.6-0</f>
        <v>2332.6</v>
      </c>
      <c r="X148" s="3">
        <f>2573.7+(104.5-362.1)+(-2.625174+(-0.10659--0.369342))+0-45.3--0.0462060000000072</f>
        <v>2268.4837839999996</v>
      </c>
      <c r="Y148" s="3">
        <f>2809.8+(65-392.7)+(0+(0-0))+0-87.6-0</f>
        <v>2394.5000000000005</v>
      </c>
      <c r="Z148" s="3">
        <f>3248+(42.2-692)+(-3.31296+(-0.043044--0.70584))+0-36.2--0.0369240000000058</f>
        <v>2559.3867599999999</v>
      </c>
      <c r="AA148" s="3">
        <f>3220.7+(64.8-669.2)+(-3.285114+(-0.066096--0.682584))+0-72.1--0.0735420000000115</f>
        <v>2541.6049159999998</v>
      </c>
      <c r="AB148" s="3">
        <f>3135.6+(101.6-670.1)+(-3.198312+(-0.103632--0.683502))+0-77.2--0.0787440000000123</f>
        <v>2487.360302</v>
      </c>
      <c r="AC148" s="3">
        <f>3095.1+(93.8-693.1)+(-3.157002+(-0.095676--0.706962))+0-67--0.0683400000000107</f>
        <v>2426.3226239999995</v>
      </c>
      <c r="AD148">
        <f t="shared" si="2"/>
        <v>54848.903599999991</v>
      </c>
      <c r="AE148" s="3">
        <f>3292+(35-640.2)+(0+(0-0))+0-70.5-0</f>
        <v>2616.3000000000002</v>
      </c>
    </row>
    <row r="149" spans="1:31" s="2" customFormat="1" x14ac:dyDescent="0.25">
      <c r="A149">
        <v>89</v>
      </c>
      <c r="B149">
        <v>5</v>
      </c>
      <c r="C149">
        <v>25</v>
      </c>
      <c r="D149">
        <v>3</v>
      </c>
      <c r="E149">
        <v>1</v>
      </c>
      <c r="F149" s="3">
        <f>2852+(84.2-614.4)+(-10.18164+(-0.300594--2.193408))+0-64.8--0.231336000000001</f>
        <v>2248.9425099999999</v>
      </c>
      <c r="G149" s="3">
        <f>2706.7+(91.9-579.8)+(-6.902085+(-0.234345--1.47849))+0-83.2--0.212159999999988</f>
        <v>2130.1542199999999</v>
      </c>
      <c r="H149" s="3">
        <f>2709.6+(77.1-681)+(-1.381896+(-0.039321--0.34731))+0-31.2--0.0159119999999968</f>
        <v>2073.4420049999999</v>
      </c>
      <c r="I149" s="3">
        <f>2708.2+(77.1-577.6)+(1.381182+(0.039321-0.294576))+0-75.5-0.0385049999999923</f>
        <v>2133.2874219999999</v>
      </c>
      <c r="J149" s="3">
        <f>2739.4+(89.4-661)+(1.397094+(0.045594-0.33711))+0-72.4-0.0369239999999927</f>
        <v>2096.4686540000002</v>
      </c>
      <c r="K149" s="3">
        <f>2558.6+(90.5-632.1)+(-5.219544+(-0.18462--1.289484))+0-69.3--0.141371999999997</f>
        <v>1943.7266920000002</v>
      </c>
      <c r="L149" s="3">
        <f>2415+(92.4-537.2)+(-4.9266+(-0.188496--1.095888))+0-81.2--0.165647999999996</f>
        <v>1885.1464399999998</v>
      </c>
      <c r="M149" s="3">
        <f>2379.6+(77.9-457.4)+(0+(0-0))+0-36.2-0</f>
        <v>1963.8999999999999</v>
      </c>
      <c r="N149" s="3">
        <f>2491.2+(101.6-416.7)+(0+(0-0))+0-73.1-0</f>
        <v>2103</v>
      </c>
      <c r="O149" s="3">
        <f>2730.4+(103.5-503)+(0+(0-0))+0-72.4-0</f>
        <v>2258.5</v>
      </c>
      <c r="P149" s="3">
        <f>3057.1+(100-609.6)+(4.677363+(0.153-0.932688))+0-72.1-0.110313000000004</f>
        <v>2479.1873620000001</v>
      </c>
      <c r="Q149" s="3">
        <f>3091.2+(97.6-685.8)+(3.153024+(0.099552-0.699516))+0-71.8-0.0732360000000114</f>
        <v>2433.6798239999998</v>
      </c>
      <c r="R149" s="3">
        <f>3135.1+(91.9-700.4)+(6.395604+(0.187476-1.428816))+0-71.9-0.146675999999997</f>
        <v>2459.7075879999998</v>
      </c>
      <c r="S149" s="3">
        <f>3103.6+(98.3-672.3)+(-3.165672+(-0.100266--0.685746))+0-79.7--0.0812940000000127</f>
        <v>2447.4011020000003</v>
      </c>
      <c r="T149" s="3">
        <f>3112.1+(89.3-690.7)+(3.174342+(0.091086-0.704514))+0-81.2-0.082824000000013</f>
        <v>2431.9780900000001</v>
      </c>
      <c r="U149" s="3">
        <f>3056.9+(76.6-652)+(3.118038+(0.078132-0.66504))+0-75.5-0.077010000000012</f>
        <v>2408.4541199999999</v>
      </c>
      <c r="V149" s="3">
        <f>3026.5+(80.9-696.2)+(-6.17406+(-0.165036--1.420248))+0-49.9--0.101795999999998</f>
        <v>2356.4829479999999</v>
      </c>
      <c r="W149" s="3">
        <f>2977+(94.8-724)+(-3.03654+(-0.096696--0.73848))+0-23.1--0.0235620000000037</f>
        <v>2322.328806</v>
      </c>
      <c r="X149" s="3">
        <f>2907+(95.9-655.4)+(-2.96514+(-0.097818--0.668508))+0-54.7--0.0557940000000087</f>
        <v>2290.4613440000003</v>
      </c>
      <c r="Y149" s="3">
        <f>3088.7+(44.6-687.5)+(1.575237+(0.022746-0.350625))+0-27.4-0.0139739999999972</f>
        <v>2419.6333839999998</v>
      </c>
      <c r="Z149" s="3">
        <f>3277+(18.1-654.8)+(-1.67127+(-0.009231--0.333948))+0-67.9--0.0346289999999931</f>
        <v>2571.088076</v>
      </c>
      <c r="AA149" s="3">
        <f>3296.2+(51.6-697.5)+(0+(0-0))+0-89.6-0</f>
        <v>2560.6999999999998</v>
      </c>
      <c r="AB149" s="3">
        <f>3172.9+(108.9-700.2)+(-3.236358+(-0.111078--0.714204))+0-70.5--0.0719100000000112</f>
        <v>2508.5386779999999</v>
      </c>
      <c r="AC149" s="3">
        <f>3060+(125.5-668.9)+(-3.1212+(-0.12801--0.682278))+0-74.5--0.0759900000000119</f>
        <v>2439.6090579999995</v>
      </c>
      <c r="AD149">
        <f t="shared" si="2"/>
        <v>54965.818323</v>
      </c>
      <c r="AE149" s="3">
        <f>3273+(19.2-612.1)+(0+(0-0))+0-86.7-0</f>
        <v>2593.4</v>
      </c>
    </row>
    <row r="150" spans="1:31" s="2" customFormat="1" x14ac:dyDescent="0.25">
      <c r="A150">
        <v>89</v>
      </c>
      <c r="B150">
        <v>5</v>
      </c>
      <c r="C150">
        <v>26</v>
      </c>
      <c r="D150">
        <v>4</v>
      </c>
      <c r="E150">
        <v>1</v>
      </c>
      <c r="F150" s="3">
        <f>2929.3+(92-661.7)+(-5.975772+(-0.18768--1.349868))+0-72.2--0.147287999999997</f>
        <v>2282.7337040000007</v>
      </c>
      <c r="G150" s="3">
        <f>2775.7+(82.3-634.3)+(-2.831214+(-0.083946--0.646986))+0-66.8--0.0681360000000106</f>
        <v>2154.6999619999997</v>
      </c>
      <c r="H150" s="3">
        <f>2707.5+(73.1-639.3)+(-1.380825+(-0.037281--0.326043))+0-45.9--0.0234089999999953</f>
        <v>2094.3313459999999</v>
      </c>
      <c r="I150" s="3">
        <f>2698.4+(78-572.2)+(-5.504736+(-0.15912--1.167288))+0-68.5--0.139739999999997</f>
        <v>2131.3431719999999</v>
      </c>
      <c r="J150" s="3">
        <f>2732.8+(87.7-625.1)+(2.787456+(0.089454-0.637602))+0-84.8-0.0864960000000135</f>
        <v>2112.7528120000002</v>
      </c>
      <c r="K150" s="3">
        <f>2481.1+(94.9-528.4)+(-2.530722+(-0.096798--0.538968))+0-69.5--0.0708900000000111</f>
        <v>1976.0823379999999</v>
      </c>
      <c r="L150" s="3">
        <f>2249.1+(101.2-389.9)+(-4.588164+(-0.206448--0.795396))+0-68.9--0.140555999999997</f>
        <v>1887.6413399999999</v>
      </c>
      <c r="M150" s="3">
        <f>2325.4+(78.4-403.5)+(1.185954+(0.039984-0.205785))+0-47.9-0.0244289999999951</f>
        <v>1953.395724</v>
      </c>
      <c r="N150" s="3">
        <f>2531.1+(105.2-515)+(0+(0-0))+0-13.8-0</f>
        <v>2107.4999999999995</v>
      </c>
      <c r="O150" s="3">
        <f>2794.7+(102.7-603.1)+(0+(0-0))+0-12.5-0</f>
        <v>2281.7999999999997</v>
      </c>
      <c r="P150" s="3">
        <f>3000.9+(100.7-701.3)+(3.060918+(0.102714-0.715326))+0-12.1-0.0123420000000019</f>
        <v>2390.6359640000001</v>
      </c>
      <c r="Q150" s="3">
        <f>3048.7+(101.8-688.5)+(3.109674+(0.103836-0.70227))+0-11.5-0.0117300000000018</f>
        <v>2452.9995099999996</v>
      </c>
      <c r="R150" s="3">
        <f>3156.8+(82-740.5)+(0+(0-0))+0-11.5-0</f>
        <v>2486.8000000000002</v>
      </c>
      <c r="S150" s="3">
        <f>3154.7+(89.8-739.4)+(0+(0-0))+0-20.1-0</f>
        <v>2485</v>
      </c>
      <c r="T150" s="3">
        <f>3141.9+(95.7-690.4)+(0+(0-0))+0-70.9-0</f>
        <v>2476.3000000000002</v>
      </c>
      <c r="U150" s="3">
        <f>3101.5+(71.7-686.7)+(-1.581765+(-0.036567--0.350217))+0-54.1--0.0275909999999945</f>
        <v>2431.1594760000003</v>
      </c>
      <c r="V150" s="3">
        <f>3058.5+(71.9-668.2)+(-1.559835+(-0.036669--0.340782))+0-75.2--0.0383519999999924</f>
        <v>2385.7826300000002</v>
      </c>
      <c r="W150" s="3">
        <f>3017.1+(84.7-686.3)+(-6.154884+(-0.172788--1.400052))+0-78.9--0.160955999999997</f>
        <v>2331.8333360000001</v>
      </c>
      <c r="X150" s="3">
        <f>2958.5+(88-668.8)+(-4.526505+(-0.13464--1.023264))+0-82.5--0.126225000000005</f>
        <v>2291.6883439999997</v>
      </c>
      <c r="Y150" s="3">
        <f>3080.9+(43.1-612.2)+(1.571259+(0.021981-0.312222))+0-77.6-0.0395759999999921</f>
        <v>2435.4414420000003</v>
      </c>
      <c r="Z150" s="3">
        <f>3303.3+(36.6-708.2)+(-1.684683+(-0.018666--0.361182))+0-76.5--0.0390149999999922</f>
        <v>2553.8968480000003</v>
      </c>
      <c r="AA150" s="3">
        <f>3240.9+(87.7-699.6)+(-4.958577+(-0.134181--1.070388))+0-47--0.0719100000000027</f>
        <v>2578.04954</v>
      </c>
      <c r="AB150" s="3">
        <f>3185+(115.4-720.8)+(1.62435+(0.058854-0.367608))+0-86.2-0.0439619999999913</f>
        <v>2494.6716339999998</v>
      </c>
      <c r="AC150" s="3">
        <f>3063.8+(110.1-645.8)+(0+(0-0))+0-77.3-0</f>
        <v>2450.8000000000002</v>
      </c>
      <c r="AD150">
        <f t="shared" si="2"/>
        <v>55227.339122000012</v>
      </c>
      <c r="AE150" s="3">
        <f>3324+(80.9-753.7)+(0+(0-0))+0-88.2-0</f>
        <v>2563</v>
      </c>
    </row>
    <row r="151" spans="1:31" s="2" customFormat="1" x14ac:dyDescent="0.25">
      <c r="A151">
        <v>89</v>
      </c>
      <c r="B151">
        <v>5</v>
      </c>
      <c r="C151">
        <v>27</v>
      </c>
      <c r="D151">
        <v>5</v>
      </c>
      <c r="E151">
        <v>1</v>
      </c>
      <c r="F151" s="3">
        <f>2893.6+(92.8-668.1)+(-4.427208+(-0.141984--1.022193))+0-61.5--0.0940950000000036</f>
        <v>2253.3470959999995</v>
      </c>
      <c r="G151" s="3">
        <f>2783.9+(105.5-632.3)+(-1.419789+(-0.053805--0.322473))+0-71.6--0.0365159999999927</f>
        <v>2184.3853950000007</v>
      </c>
      <c r="H151" s="3">
        <f>2633.1+(86.3-519.9)+(-1.342881+(-0.044013--0.265149))+0-79.8--0.0406979999999919</f>
        <v>2118.6189529999997</v>
      </c>
      <c r="I151" s="3">
        <f>2646.3+(76.2-510)+(0+(0-0))+0-75.2-0</f>
        <v>2137.3000000000002</v>
      </c>
      <c r="J151" s="3">
        <f>2637+(95.3-537.5)+(-4.03461+(-0.145809--0.822375))+0-66.9--0.102357000000004</f>
        <v>2124.6443130000002</v>
      </c>
      <c r="K151" s="3">
        <f>2451.6+(99.3-560.2)+(-3.750948+(-0.151929--0.857106))+0-66.6--0.101898000000004</f>
        <v>1921.1561269999997</v>
      </c>
      <c r="L151" s="3">
        <f>2305.8+(106.1-403.8)+(-2.351916+(-0.108222--0.411876))+0-76.5--0.0780300000000122</f>
        <v>1929.629768</v>
      </c>
      <c r="M151" s="3">
        <f>2305.1+(95-306.1)+(1.175601+(0.04845-0.156111))+0-74.6-0.0380459999999924</f>
        <v>2020.4298940000001</v>
      </c>
      <c r="N151" s="3">
        <f>2488.5+(100.2-418.7)+(-2.53827+(-0.102204--0.427074))+0-69.7--0.0710940000000111</f>
        <v>2098.157694</v>
      </c>
      <c r="O151" s="3">
        <f>2923.6+(89.5-651.6)+(0+(0-0))+0-80.7-0</f>
        <v>2280.8000000000002</v>
      </c>
      <c r="P151" s="3">
        <f>3017.2+(83.6-657.3)+(3.077544+(0.085272-0.670446))+0-61.2-0.0624240000000098</f>
        <v>2384.7299459999999</v>
      </c>
      <c r="Q151" s="3">
        <f>3094.4+(83.8-706.3)+(0+(0-0))+0-47.6-0</f>
        <v>2424.3000000000002</v>
      </c>
      <c r="R151" s="3">
        <f>3188.5+(82.6-700.9)+(1.626135+(0.042126-0.357459))+0-75.4-0.0384539999999924</f>
        <v>2496.0723479999997</v>
      </c>
      <c r="S151" s="3">
        <f>3168.2+(87.6-688.1)+(0+(0-0))+0-63.8-0</f>
        <v>2503.8999999999996</v>
      </c>
      <c r="T151" s="3">
        <f>3138.2+(71.5-659.7)+(1.600482+(0.036465-0.336447))+0-74.6-0.0380459999999924</f>
        <v>2476.6624539999998</v>
      </c>
      <c r="U151" s="3">
        <f>3111.6+(88.4-696.8)+(0+(0-0))+0-67.7-0</f>
        <v>2435.5</v>
      </c>
      <c r="V151" s="3">
        <f>3096.9+(99.6-706.9)+(-1.579419+(-0.050796--0.360519))+0-78.5--0.040034999999992</f>
        <v>2409.8703390000005</v>
      </c>
      <c r="W151" s="3">
        <f>3010.3+(112-666.1)+(-3.070506+(-0.11424--0.679422))+0-83.2--0.0848640000000133</f>
        <v>2370.5795400000002</v>
      </c>
      <c r="X151" s="3">
        <f>3010.4+(101.9-713.9)+(-1.535304+(-0.051969--0.364089))+0-68.7--0.035036999999993</f>
        <v>2328.5118530000004</v>
      </c>
      <c r="Y151" s="3">
        <f>3038.6+(91.9-644.9)+(0+(0-0))+0-49.3-0</f>
        <v>2436.2999999999997</v>
      </c>
      <c r="Z151" s="3">
        <f>3277.5+(65-667.9)+(0+(0-0))+0-76.8-0</f>
        <v>2597.7999999999997</v>
      </c>
      <c r="AA151" s="3">
        <f>3292.7+(76.5-733.4)+(-5.037831+(-0.117045--1.122102))+0-40.5--0.0619650000000023</f>
        <v>2591.3291909999998</v>
      </c>
      <c r="AB151" s="3">
        <f>3225+(104.1-731.2)+(-1.64475+(-0.053091--0.372912))+0-57.2--0.0291719999999942</f>
        <v>2539.4042430000004</v>
      </c>
      <c r="AC151" s="3">
        <f>3104.7+(106.6-670.9)+(-3.166794+(-0.108732--0.684318))+0-57.9--0.0590580000000092</f>
        <v>2479.9678499999995</v>
      </c>
      <c r="AD151">
        <f t="shared" si="2"/>
        <v>55543.397004000006</v>
      </c>
      <c r="AE151" s="3">
        <f>3302+(60.7-651.8)+(0+(0-0))+0-88.5-0</f>
        <v>2622.4</v>
      </c>
    </row>
    <row r="152" spans="1:31" s="2" customFormat="1" x14ac:dyDescent="0.25">
      <c r="A152">
        <v>89</v>
      </c>
      <c r="B152">
        <v>5</v>
      </c>
      <c r="C152">
        <v>28</v>
      </c>
      <c r="D152">
        <v>6</v>
      </c>
      <c r="E152">
        <v>1</v>
      </c>
      <c r="F152" s="3">
        <f>2975.7+(82.4-692.9)+(-3.035214+(-0.084048--0.706758))+0-54.4--0.0554880000000087</f>
        <v>2308.4429839999998</v>
      </c>
      <c r="G152" s="3">
        <f>2816.2+(98-630.4)+(-4.308786+(-0.14994--0.964512))+0-88.6--0.135558000000005</f>
        <v>2191.8413439999999</v>
      </c>
      <c r="H152" s="3">
        <f>2740.6+(98.1-647.9)+(1.397706+(0.050031-0.330429))+0-72.8-0.0371279999999926</f>
        <v>2119.0801799999999</v>
      </c>
      <c r="I152" s="3">
        <f>2708.9+(98.9-588.8)+(0+(0-0))+0-69.5-0</f>
        <v>2149.5</v>
      </c>
      <c r="J152" s="3">
        <f>2711.2+(97.1-623)+(0+(0-0))+0-61.8-0</f>
        <v>2123.4999999999995</v>
      </c>
      <c r="K152" s="3">
        <f>2502.4+(92.4-538.4)+(-5.104896+(-0.188496--1.098336))+0-89.3--0.182171999999996</f>
        <v>1963.0871160000002</v>
      </c>
      <c r="L152" s="3">
        <f>2343.6+(86.1-462.8)+(-4.780944+(-0.175644--0.944112))+0-62.6--0.127703999999997</f>
        <v>1900.4152279999998</v>
      </c>
      <c r="M152" s="3">
        <f>2277.7+(69-315.4)+(-2.323254+(-0.07038--0.321708))+0-51.5--0.0525300000000082</f>
        <v>1977.7806039999996</v>
      </c>
      <c r="N152" s="3">
        <f>2534.3+(60.1-386.1)+(-1.292493+(-0.030651--0.196911))+0-70.9--0.0361589999999928</f>
        <v>2136.3099259999999</v>
      </c>
      <c r="O152" s="3">
        <f>2962+(45.4-692.2)+(3.02124+(0.046308-0.706044))+0-17.8-0.0181560000000028</f>
        <v>2299.7433479999995</v>
      </c>
      <c r="P152" s="3">
        <f>3090+(55.2-662.7)+(3.1518+(0.056304-0.675954))+0-75.3-0.076806000000012</f>
        <v>2409.6553439999998</v>
      </c>
      <c r="Q152" s="3">
        <f>3166+(37.1-654.3)+(0+(0-0))+0-69.4-0</f>
        <v>2479.4</v>
      </c>
      <c r="R152" s="3">
        <f>3172.4+(25-664.2)+(0+(0-0))+0-43.2-0</f>
        <v>2490</v>
      </c>
      <c r="S152" s="3">
        <f>3215.9+(18.9-705.5)+(-1.640109+(-0.009639--0.359805))+0-24.9--0.0126989999999975</f>
        <v>2503.1227559999998</v>
      </c>
      <c r="T152" s="3">
        <f>3168.5+(55-715.6)+(1.615935+(0.02805-0.364956))+0-18.6-0.00948599999999811</f>
        <v>2490.5695430000001</v>
      </c>
      <c r="U152" s="3">
        <f>3066.1+(52.5-650.6)+(3.127422+(0.05355-0.663612))+0-19.7-0.0200940000000031</f>
        <v>2450.797266</v>
      </c>
      <c r="V152" s="3">
        <f>3046.9+(82.5-633.1)+(-1.553919+(-0.042075--0.322881))+0-80.9--0.0412589999999918</f>
        <v>2414.168146</v>
      </c>
      <c r="W152" s="3">
        <f>3033.9+(84.3-694.6)+(-4.641867+(-0.128979--1.062738))+0-50.4--0.0771120000000029</f>
        <v>2369.5690039999999</v>
      </c>
      <c r="X152" s="3">
        <f>3006.8+(84-667.6)+(-4.600404+(-0.12852--1.021428))+0-77.2--0.118116000000004</f>
        <v>2342.4106200000006</v>
      </c>
      <c r="Y152" s="3">
        <f>3111.2+(77.7-654.8)+(-1.586712+(-0.039627--0.333948))+0-80--0.0407999999999919</f>
        <v>2452.8484090000002</v>
      </c>
      <c r="Z152" s="3">
        <f>3262+(67.8-675.1)+(1.66362+(0.034578-0.344301))+0-70.5-0.0359549999999928</f>
        <v>2585.5179419999999</v>
      </c>
      <c r="AA152" s="3">
        <f>3239.1+(104.8-679.4)+(-4.955823+(-0.160344--1.039482))+0-70.3--0.107559000000004</f>
        <v>2590.2308739999999</v>
      </c>
      <c r="AB152" s="3">
        <f>3177+(105.7-673.2)+(-3.24054+(-0.107814--0.686664))+0-65.9--0.0672180000000105</f>
        <v>2541.0055280000001</v>
      </c>
      <c r="AC152" s="3">
        <f>3130.5+(93.9-651)+(0+(0-0))+0-79.1-0</f>
        <v>2494.3000000000002</v>
      </c>
      <c r="AD152">
        <f t="shared" si="2"/>
        <v>55783.296161999999</v>
      </c>
      <c r="AE152" s="3">
        <f>3273+(63.3-644.4)+(0+(0-0))+0-94.3-0</f>
        <v>2597.6</v>
      </c>
    </row>
    <row r="153" spans="1:31" s="2" customFormat="1" x14ac:dyDescent="0.25">
      <c r="A153">
        <v>89</v>
      </c>
      <c r="B153">
        <v>5</v>
      </c>
      <c r="C153">
        <v>29</v>
      </c>
      <c r="D153">
        <v>7</v>
      </c>
      <c r="E153">
        <v>1</v>
      </c>
      <c r="F153" s="3">
        <f>2948.6+(103-621.9)+(-3.007572+(-0.10506--0.634338))+0-81.2--0.082824000000013</f>
        <v>2346.1045300000001</v>
      </c>
      <c r="G153" s="3">
        <f>2836.7+(102-649.4)+(2.893434+(0.10404-0.662388))+0-68.8-0.070176000000011</f>
        <v>2222.7649099999994</v>
      </c>
      <c r="H153" s="3">
        <f>2600.7+(106-522.8)+(-1.326357+(-0.05406--0.266628))+0-35.8--0.0182579999999964</f>
        <v>2147.0044689999995</v>
      </c>
      <c r="I153" s="3">
        <f>2484.8+(106.2-409.5)+(-6.33624+(-0.27081--1.044225))+0-25.5--0.0650249999999963</f>
        <v>2150.5021999999999</v>
      </c>
      <c r="J153" s="3">
        <f>2533.7+(99.6-426.7)+(1.292187+(0.050796-0.217617))+0-81-0.0413099999999918</f>
        <v>2126.6840560000001</v>
      </c>
      <c r="K153" s="3">
        <f>2234+(107.1-336.7)+(-7.97538+(-0.382347--1.202019))+0-73.2--0.261324000000001</f>
        <v>1924.3056160000001</v>
      </c>
      <c r="L153" s="3">
        <f>2139.8+(91.3-323.8)+(-4.365192+(-0.186252--0.660552))+0-75.7--0.154427999999997</f>
        <v>1827.8635360000003</v>
      </c>
      <c r="M153" s="3">
        <f>2129.5+(86.8-301)+(-1.086045+(-0.044268--0.15351))+0-59.7--0.0304469999999939</f>
        <v>1854.653644</v>
      </c>
      <c r="N153" s="3">
        <f>2132+(95.8-251.7)+(-1.08732+(-0.048858--0.128367))+0-69.6--0.0354959999999929</f>
        <v>1905.527685</v>
      </c>
      <c r="O153" s="3">
        <f>2199.5+(106-236.3)+(0+(0-0))+0-78.8-0</f>
        <v>1990.3999999999999</v>
      </c>
      <c r="P153" s="3">
        <f>2487.5+(108.2-409.5)+(1.268625+(0.055182-0.208845))+0-76.1-0.0388109999999923</f>
        <v>2111.1761510000001</v>
      </c>
      <c r="Q153" s="3">
        <f>2736.4+(76.2-564.1)+(-2.791128+(-0.077724--0.575382))+0-52.6--0.0536520000000084</f>
        <v>2193.6601820000001</v>
      </c>
      <c r="R153" s="3">
        <f>2887.9+(69.5-601.2)+(-1.472829+(-0.035445--0.306612))+0-67.6--0.0344759999999931</f>
        <v>2287.4328139999998</v>
      </c>
      <c r="S153" s="3">
        <f>2882.9+(57.5-580.3)+(0+(0-0))+0-68.1-0</f>
        <v>2292.0000000000005</v>
      </c>
      <c r="T153" s="3">
        <f>2873.2+(64.6-548.3)+(0+(0-0))+0-82.4-0</f>
        <v>2307.1</v>
      </c>
      <c r="U153" s="3">
        <f>2870.1+(94.4-602.1)+(-1.463751+(-0.048144--0.307071))+0-67.5--0.0344249999999932</f>
        <v>2293.7296009999995</v>
      </c>
      <c r="V153" s="3">
        <f>2862.5+(109.7-615.4)+(-4.379625+(-0.167841--0.941562))+0-68.3--0.104499000000004</f>
        <v>2284.998595</v>
      </c>
      <c r="W153" s="3">
        <f>2807.9+(119.2-590.8)+(-1.432029+(-0.060792--0.301308))+0-73.1--0.0372809999999926</f>
        <v>2262.045768</v>
      </c>
      <c r="X153" s="3">
        <f>2814.5+(129.8-632.2)+(-10.047765+(-0.463386--2.256954))+0-76.6--0.273462000000001</f>
        <v>2227.5192649999999</v>
      </c>
      <c r="Y153" s="3">
        <f>2921.4+(86.7-546.9)+(-1.489914+(-0.044217--0.278919))+0-85.3--0.0435029999999913</f>
        <v>2374.6882909999999</v>
      </c>
      <c r="Z153" s="3">
        <f>3113.8+(61.9-605.3)+(0+(0-0))+0-56.6-0</f>
        <v>2513.8000000000002</v>
      </c>
      <c r="AA153" s="3">
        <f>3155.5+(86.7-676.1)+(0+(0-0))+0-60.8-0</f>
        <v>2505.2999999999997</v>
      </c>
      <c r="AB153" s="3">
        <f>3088.5+(87.6-623.2)+(-3.15027+(-0.089352--0.635664))+0-79.1--0.0806820000000126</f>
        <v>2471.2767239999998</v>
      </c>
      <c r="AC153" s="3">
        <f>3068+(125.3-684.8)+(-3.12936+(-0.127806--0.698496))+0-72.3--0.0737460000000115</f>
        <v>2433.715076</v>
      </c>
      <c r="AD153">
        <f t="shared" si="2"/>
        <v>53054.253113000006</v>
      </c>
      <c r="AE153" s="3">
        <f>3186+(57.1-625.7)+(0+(0-0))+0-83.8-0</f>
        <v>2533.6</v>
      </c>
    </row>
    <row r="154" spans="1:31" s="2" customFormat="1" x14ac:dyDescent="0.25">
      <c r="A154">
        <v>89</v>
      </c>
      <c r="B154">
        <v>5</v>
      </c>
      <c r="C154">
        <v>30</v>
      </c>
      <c r="D154">
        <v>1</v>
      </c>
      <c r="E154">
        <v>1</v>
      </c>
      <c r="F154" s="3">
        <f>2941.6+(106.9-674.2)+(-4.500648+(-0.163557--1.031526))+0-63.3--0.0968490000000037</f>
        <v>2307.4641699999997</v>
      </c>
      <c r="G154" s="3">
        <f>2744.9+(97.2-586)+(-2.799798+(-0.099144--0.59772))+0-58.8--0.0599760000000094</f>
        <v>2195.0587539999997</v>
      </c>
      <c r="H154" s="3">
        <f>2540.6+(97.3-490.7)+(-3.887118+(-0.148869--0.750771))+0-18.7--0.0286110000000011</f>
        <v>2125.243395</v>
      </c>
      <c r="I154" s="3">
        <f>2440.7+(97.4-320.3)+(-1.244757+(-0.049674--0.163353))+0-48.3--0.0246329999999951</f>
        <v>2168.3935549999997</v>
      </c>
      <c r="J154" s="3">
        <f>2405.8+(97.8-285.5)+(-6.13479+(-0.24939--0.728025))+0-62.8--0.160139999999991</f>
        <v>2149.803985</v>
      </c>
      <c r="K154" s="3">
        <f>2126.2+(104.2-154.3)+(-3.253086+(-0.159426--0.236079))+0-81.8--0.125154000000005</f>
        <v>1991.2487209999999</v>
      </c>
      <c r="L154" s="3">
        <f>2133+(98.1-234.9)+(-3.26349+(-0.150093--0.359397))+0-66.1--0.101133000000004</f>
        <v>1927.146947</v>
      </c>
      <c r="M154" s="3">
        <f>2254.8+(99.3-249.5)+(4.599792+(0.202572-0.50898))+0-65.5-0.133619999999997</f>
        <v>2043.2597640000004</v>
      </c>
      <c r="N154" s="3">
        <f>2633.3+(130.7-472.9)+(2.685966+(0.133314-0.482358))+0-53.1-0.0541620000000085</f>
        <v>2240.2827600000005</v>
      </c>
      <c r="O154" s="3">
        <f>2944.3+(129.8-645.4)+(1.501593+(0.066198-0.329154))+0-17.4-0.00887399999999823</f>
        <v>2412.529763</v>
      </c>
      <c r="P154" s="3">
        <f>3196.3+(130-754.3)+(4.890339+(0.1989-1.154079))+0-13.4-0.0205020000000008</f>
        <v>2562.5146580000001</v>
      </c>
      <c r="Q154" s="3">
        <f>3212.1+(130.9-682.9)+(6.552684+(0.267036-1.393116))+0-37.6-0.0767039999999984</f>
        <v>2627.8499000000002</v>
      </c>
      <c r="R154" s="3">
        <f>3274+(131.2-667)+(3.33948+(0.133824-0.68034))+0-60.8-0.0620160000000097</f>
        <v>2680.130948</v>
      </c>
      <c r="S154" s="3">
        <f>3262.7+(129.6-613.3)+(-1.663977+(-0.066096--0.312783))+0-81.9--0.0417689999999917</f>
        <v>2695.724479</v>
      </c>
      <c r="T154" s="3">
        <f>3295.8+(128.7-675)+(1.680858+(0.065637-0.34425))+0-66-0.0336599999999933</f>
        <v>2684.8685850000002</v>
      </c>
      <c r="U154" s="3">
        <f>3268.7+(128.8-693.2)+(0+(0-0))+0-64-0</f>
        <v>2640.2999999999997</v>
      </c>
      <c r="V154" s="3">
        <f>3233.5+(129.3-694.7)+(0+(0-0))+0-78.6-0</f>
        <v>2589.5</v>
      </c>
      <c r="W154" s="3">
        <f>3165.4+(123.1-671.1)+(0+(0-0))+0-81.9-0</f>
        <v>2535.5</v>
      </c>
      <c r="X154" s="3">
        <f>3071.7+(117.5-617)+(0+(0-0))+0-69.9-0</f>
        <v>2502.2999999999997</v>
      </c>
      <c r="Y154" s="3">
        <f>3230.2+(71.5-643.4)+(1.647402+(0.036465-0.328134))+0-27.9-0.0142289999999972</f>
        <v>2631.7415039999996</v>
      </c>
      <c r="Z154" s="3">
        <f>3475.2+(43.6-746.1)+(0+(0-0))+0-16.5-0</f>
        <v>2756.2</v>
      </c>
      <c r="AA154" s="3">
        <f>3508.2+(70.6-761.2)+(-3.578364+(-0.072012--0.776424))+0-69.4--0.0707880000000111</f>
        <v>2745.3968359999999</v>
      </c>
      <c r="AB154" s="3">
        <f>3390.3+(116.8-745)+(0+(0-0))+0-69.8-0</f>
        <v>2692.3</v>
      </c>
      <c r="AC154" s="3">
        <f>3230+(130.5-642.3)+(-4.9419+(-0.199665--0.982719))+0-69.4--0.106182000000004</f>
        <v>2644.7473359999999</v>
      </c>
      <c r="AD154">
        <f t="shared" si="2"/>
        <v>58549.50606</v>
      </c>
      <c r="AE154" s="3">
        <f>3523.5+(38.3-748.7)+(0+(0-0))+0-14-0</f>
        <v>2799.1</v>
      </c>
    </row>
    <row r="155" spans="1:31" s="2" customFormat="1" x14ac:dyDescent="0.25">
      <c r="A155">
        <v>89</v>
      </c>
      <c r="B155">
        <v>5</v>
      </c>
      <c r="C155">
        <v>31</v>
      </c>
      <c r="D155">
        <v>2</v>
      </c>
      <c r="E155">
        <v>1</v>
      </c>
      <c r="F155" s="3">
        <f>2958.1+(129.2-537.5)+(-3.017262+(-0.131784--0.54825))+0-68.9--0.070278000000011</f>
        <v>2478.3694819999996</v>
      </c>
      <c r="G155" s="3">
        <f>2622+(130.3-322.2)+(-2.67444+(-0.132906--0.328644))+0-78--0.0795600000000124</f>
        <v>2349.7008580000002</v>
      </c>
      <c r="H155" s="3">
        <f>2602.2+(129.7-391.4)+(1.327122+(0.066147-0.199614))+0-67-0.0341699999999932</f>
        <v>2274.6594850000001</v>
      </c>
      <c r="I155" s="3">
        <f>2549.7+(131.1-295.5)+(-1.300347+(-0.066861--0.150705))+0-74.1--0.0377909999999925</f>
        <v>2310.0212879999999</v>
      </c>
      <c r="J155" s="3">
        <f>2506.1+(130.9-270.9)+(-2.556222+(-0.133518--0.276318))+0-68.2--0.0695640000000109</f>
        <v>2295.5561419999999</v>
      </c>
      <c r="K155" s="3">
        <f>2297.3+(130.7-218)+(-1.171623+(-0.066657--0.11118))+0-72.9--0.0371789999999926</f>
        <v>2136.0100789999997</v>
      </c>
      <c r="L155" s="3">
        <f>2218.9+(131.3-207.6)+(-6.789834+(-0.401778--0.635256))+0-84.4--0.25826400000001</f>
        <v>2051.9019079999998</v>
      </c>
      <c r="M155" s="3">
        <f>2214.6+(130-158)+(0+(0-0))+0-68.4-0</f>
        <v>2118.1999999999998</v>
      </c>
      <c r="N155" s="3">
        <f>2435+(129-219)+(0+(0-0))+0-65-0</f>
        <v>2280</v>
      </c>
      <c r="O155" s="3">
        <f>2662+(128-317)+(0+(0-0))+0-75-0</f>
        <v>2398</v>
      </c>
      <c r="P155" s="3">
        <f>3030+(127.4-504.3)+(3.0906+(0.129948-0.514386))+0-79.1-0.0806820000000126</f>
        <v>2576.6254800000002</v>
      </c>
      <c r="Q155" s="3">
        <f>3205.8+(129.8-614)+(-3.269916+(-0.132396--0.62628))+0-73.8--0.0752760000000118</f>
        <v>2645.099244</v>
      </c>
      <c r="R155" s="3">
        <f>3285.7+(128.1-666)+(3.351414+(0.130662-0.67932))+0-64.4-0.0656880000000103</f>
        <v>2686.1370679999995</v>
      </c>
      <c r="S155" s="3">
        <f>3259.3+(127.5-639.3)+(-4.986729+(-0.195075--0.978129))+0-74.3--0.113679000000004</f>
        <v>2669.1100039999997</v>
      </c>
      <c r="T155" s="3">
        <f>3249.9+(128.5-621.8)+(-1.657449+(-0.065535--0.317118))+0-79.8--0.0406979999999919</f>
        <v>2675.4348319999999</v>
      </c>
      <c r="U155" s="3">
        <f>3227+(128.3-650.2)+(0+(0-0))+0-62.5-0</f>
        <v>2642.6</v>
      </c>
      <c r="V155" s="3">
        <f>3219.2+(129.2-716.5)+(-3.283584+(-0.131784--0.73083))+0-46.6--0.0475320000000074</f>
        <v>2582.6629939999998</v>
      </c>
      <c r="W155" s="3">
        <f>3120.5+(130.7-706.6)+(-4.774365+(-0.199971--1.081098))+0-28.5--0.0436050000000016</f>
        <v>2512.2503669999996</v>
      </c>
      <c r="X155" s="3">
        <f>2931.4+(122.4-591.5)+(-2.990028+(-0.124848--0.60333))+0-66.3--0.0676260000000106</f>
        <v>2393.5560799999998</v>
      </c>
      <c r="Y155" s="3">
        <f>3133.9+(109.3-590.5)+(-3.196578+(-0.111486--0.60231))+0-79.9--0.0814980000000127</f>
        <v>2570.1757440000001</v>
      </c>
      <c r="Z155" s="3">
        <f>3344+(122.9-717.9)+(-1.70544+(-0.062679--0.366129))+0-73.7--0.0375869999999925</f>
        <v>2673.9355970000001</v>
      </c>
      <c r="AA155" s="3">
        <f>3296.1+(130-703.2)+(-5.043033+(-0.1989--1.075896))+0-66--0.100980000000004</f>
        <v>2652.8349429999998</v>
      </c>
      <c r="AB155" s="3">
        <f>3206.3+(131.8-696.1)+(0+(0-0))+0-73.6-0</f>
        <v>2568.4</v>
      </c>
      <c r="AC155" s="3">
        <f>3112.4+(131.7-685.7)+(-1.587324+(-0.067167--0.349707))+0-73.5--0.0374849999999925</f>
        <v>2483.632701</v>
      </c>
      <c r="AD155">
        <f t="shared" si="2"/>
        <v>59024.874296000009</v>
      </c>
      <c r="AE155" s="3">
        <f>3339+(130.8-802.6)+(0+(0-0))+0-19.8-0</f>
        <v>2647.3999999999996</v>
      </c>
    </row>
    <row r="156" spans="1:31" s="2" customFormat="1" x14ac:dyDescent="0.25">
      <c r="A156">
        <v>89</v>
      </c>
      <c r="B156">
        <v>6</v>
      </c>
      <c r="C156">
        <v>1</v>
      </c>
      <c r="D156">
        <v>3</v>
      </c>
      <c r="E156">
        <v>1</v>
      </c>
      <c r="F156" s="3">
        <f>2607.8+(132-422.1)+(0+(0-0))+0-44.9-0</f>
        <v>2272.8000000000002</v>
      </c>
      <c r="G156" s="3">
        <f>2355.8+(132-274)+(-4.805832+(-0.26928--0.55896))+0-70.5--0.143819999999997</f>
        <v>2138.9276679999998</v>
      </c>
      <c r="H156" s="3">
        <f>2315.3+(131.8-286.2)+(3.542409+(0.201654-0.437886))+0-90.3-0.138159000000005</f>
        <v>2073.7680179999998</v>
      </c>
      <c r="I156" s="3">
        <f>2284.8+(131.8-229.5)+(-2.330496+(-0.134436--0.23409))+0-69--0.070380000000011</f>
        <v>2115.9395380000005</v>
      </c>
      <c r="J156" s="3">
        <f>2507+(132.2-454.3)+(-1.27857+(-0.067422--0.231693))+0-68.9--0.035138999999993</f>
        <v>2114.9208400000002</v>
      </c>
      <c r="K156" s="3">
        <f>2369.8+(132.7-454.3)+(-1.208598+(-0.067677--0.231693))+0-68.8--0.035087999999993</f>
        <v>1978.3905060000004</v>
      </c>
      <c r="L156" s="3">
        <f>2072.3+(132.8-222)+(-2.113746+(-0.135456--0.22644))+0-79.6--0.0811920000000127</f>
        <v>1901.5584300000003</v>
      </c>
      <c r="M156" s="3">
        <f>2106.6+(152.2-200.4)+(2.148732+(0.155244-0.204408))+0-66.7-0.0680340000000106</f>
        <v>1993.7315340000002</v>
      </c>
      <c r="N156" s="3">
        <f>2341.7+(129-301.5)+(1.194267+(0.06579-0.153765))+0-39.5-0.020144999999996</f>
        <v>2130.7861469999998</v>
      </c>
      <c r="O156" s="3">
        <f>2641.7+(129.5-461.3)+(1.347267+(0.066045-0.235263))+0-61.7-0.0314669999999937</f>
        <v>2249.3465820000001</v>
      </c>
      <c r="P156" s="3">
        <f>2819.1+(127.8-516.5)+(0+(0-0))+0-64.6-0</f>
        <v>2365.8000000000002</v>
      </c>
      <c r="Q156" s="3">
        <f>3006.6+(122.5-665.9)+(1.533366+(0.062475-0.339609))+0-45.9-0.0234089999999953</f>
        <v>2418.532823</v>
      </c>
      <c r="R156" s="3">
        <f>2996.3+(125.8-597.6)+(1.528113+(0.064158-0.304776))+0-71.7-0.0365669999999927</f>
        <v>2454.0509280000001</v>
      </c>
      <c r="S156" s="3">
        <f>2998+(127.6-602.5)+(0+(0-0))+0-55.2-0</f>
        <v>2467.9</v>
      </c>
      <c r="T156" s="3">
        <f>3037.3+(126.9-644.6)+(0+(0-0))+0-56.7-0</f>
        <v>2462.9000000000005</v>
      </c>
      <c r="U156" s="3">
        <f>3033.4+(131.1-662)+(1.547034+(0.066861-0.33762))+0-60-0.0305999999999939</f>
        <v>2443.7456750000001</v>
      </c>
      <c r="V156" s="3">
        <f>3003.8+(132.1-684.7)+(1.531938+(0.067371-0.349197))+0-68-0.0346799999999931</f>
        <v>2384.4154320000002</v>
      </c>
      <c r="W156" s="3">
        <f>2963.3+(132.9-697.9)+(-1.511283+(-0.067779--0.355929))+0-72.4--0.0369239999999927</f>
        <v>2324.7137910000001</v>
      </c>
      <c r="X156" s="3">
        <f>2965.9+(132.3-722.2)+(-4.537827+(-0.202419--1.104966))+0-77.1--0.117963000000004</f>
        <v>2295.3826830000003</v>
      </c>
      <c r="Y156" s="3">
        <f>3061.8+(97.8-689.4)+(-4.684554+(-0.149634--1.054782))+0-45.1--0.0690030000000026</f>
        <v>2421.3895970000003</v>
      </c>
      <c r="Z156" s="3">
        <f>3232+(91.2-766)+(-1.64832+(-0.046512--0.39066))+0-19.6--0.00999599999999801</f>
        <v>2536.3058239999996</v>
      </c>
      <c r="AA156" s="3">
        <f>3171.8+(117.9-751.4)+(-3.235236+(-0.120258--0.766428))+0-22.3--0.0227460000000036</f>
        <v>2513.4336800000001</v>
      </c>
      <c r="AB156" s="3">
        <f>3109.3+(131.4-733.8)+(0+(0-0))+0-63.7-0</f>
        <v>2443.2000000000003</v>
      </c>
      <c r="AC156" s="3">
        <f>2929.7+(131.8-591.6)+(-2.988294+(-0.134436--0.603432))+0-83.9--0.0855780000000134</f>
        <v>2383.5662799999996</v>
      </c>
      <c r="AD156">
        <f t="shared" si="2"/>
        <v>54885.505976000015</v>
      </c>
      <c r="AE156" s="3">
        <f>3202+(73.1-728)+(0+(0-0))+0-20.1-0</f>
        <v>2527</v>
      </c>
    </row>
    <row r="157" spans="1:31" s="2" customFormat="1" x14ac:dyDescent="0.25">
      <c r="A157">
        <v>89</v>
      </c>
      <c r="B157">
        <v>6</v>
      </c>
      <c r="C157">
        <v>2</v>
      </c>
      <c r="D157">
        <v>4</v>
      </c>
      <c r="E157">
        <v>1</v>
      </c>
      <c r="F157" s="3">
        <f>2678.8+(131.8-543.4)+(-1.366188+(-0.067218--0.277134))+0-66.5--0.0339149999999933</f>
        <v>2199.5776430000001</v>
      </c>
      <c r="G157" s="3">
        <f>2503.7+(131.3-510)+(-3.830661+(-0.200889--0.7803))+0-36.6--0.0559980000000021</f>
        <v>2085.2047480000001</v>
      </c>
      <c r="H157" s="3">
        <f>2376.5+(131.4-393.7)+(-1.212015+(-0.067014--0.200787))+0-85.8--0.0437579999999913</f>
        <v>2027.3655159999998</v>
      </c>
      <c r="I157" s="3">
        <f>2366.1+(132-374.4)+(1.206711+(0.06732-0.190944))+0-54.9-0.0279989999999944</f>
        <v>2069.8550879999998</v>
      </c>
      <c r="J157" s="3">
        <f>2549.6+(131.8-565.5)+(0+(0-0))+0-70.4-0</f>
        <v>2045.5</v>
      </c>
      <c r="K157" s="3">
        <f>2323.9+(132-470.7)+(-5.925945+(-0.3366--1.200285))+0-56.5--0.144074999999992</f>
        <v>1923.7818150000001</v>
      </c>
      <c r="L157" s="3">
        <f>2181.1+(132.1-412.7)+(0+(0-0))+0-67.8-0</f>
        <v>1832.7</v>
      </c>
      <c r="M157" s="3">
        <f>2276.4+(131.4-458.2)+(-2.321928+(-0.134028--0.467364))+0-26.8--0.0273360000000043</f>
        <v>1920.8387440000004</v>
      </c>
      <c r="N157" s="3">
        <f>2562.5+(129.8-628.1)+(0+(0-0))+0-17.3-0</f>
        <v>2046.8999999999999</v>
      </c>
      <c r="O157" s="3">
        <f>2756.1+(129.9-694.2)+(1.405611+(0.066249-0.354042))+0-16.6-0.00846599999999832</f>
        <v>2176.3093520000002</v>
      </c>
      <c r="P157" s="3">
        <f>2846.1+(130-696.1)+(1.451511+(0.0663-0.355011))+0-15.1-0.00770099999999847</f>
        <v>2266.0550990000002</v>
      </c>
      <c r="Q157" s="3">
        <f>2900.8+(130.1-696.5)+(0+(0-0))+0-14.4-0</f>
        <v>2320</v>
      </c>
      <c r="R157" s="3">
        <f>2947.2+(129.3-724.3)+(-1.503072+(-0.065943--0.369393))+0-13.4--0.00683399999999864</f>
        <v>2337.6072119999994</v>
      </c>
      <c r="S157" s="3">
        <f>2920.2+(131.1-688.3)+(-1.489302+(-0.066861--0.351033))+0-15.5--0.00790499999999843</f>
        <v>2346.3027750000001</v>
      </c>
      <c r="T157" s="3">
        <f>2919.3+(131.8-690.8)+(1.488843+(0.067218-0.352308))+0-16.1-0.00821099999999837</f>
        <v>2345.3955420000002</v>
      </c>
      <c r="U157" s="3">
        <f>2909.2+(131.8-698.4)+(-2.967384+(-0.134436--0.712368))+0-16.8--0.0171360000000027</f>
        <v>2323.4276839999998</v>
      </c>
      <c r="V157" s="3">
        <f>2843.2+(132.4-664.5)+(0+(0-0))+0-29.2-0</f>
        <v>2281.9</v>
      </c>
      <c r="W157" s="3">
        <f>2827.5+(132.9-656.5)+(-5.7681+(-0.271116--1.33926))+0-64.5--0.131579999999997</f>
        <v>2234.8316240000004</v>
      </c>
      <c r="X157" s="3">
        <f>2708.3+(132.9-566.4)+(2.762466+(0.135558-0.577728))+0-66.8-0.0681360000000106</f>
        <v>2210.25216</v>
      </c>
      <c r="Y157" s="3">
        <f>2848.9+(131.8-562.3)+(1.452939+(0.067218-0.286773))+0-75.9-0.0387089999999923</f>
        <v>2343.6946750000002</v>
      </c>
      <c r="Z157" s="3">
        <f>3120.3+(132.5-750.5)+(-3.182706+(-0.13515--0.76551))+0-58.8--0.0599760000000094</f>
        <v>2441.0076300000001</v>
      </c>
      <c r="AA157" s="3">
        <f>3064.3+(132.9-743.6)+(-4.688379+(-0.203337--1.137708))+0-50.5--0.0772650000000029</f>
        <v>2399.4232570000004</v>
      </c>
      <c r="AB157" s="3">
        <f>3014+(130.9-715.2)+(-4.61142+(-0.200277--1.094256))+0-79--0.120870000000005</f>
        <v>2347.1034290000002</v>
      </c>
      <c r="AC157" s="3">
        <f>2786.3+(130.7-601.1)+(-2.842026+(-0.133314--0.613122))+0-44.3--0.0451860000000071</f>
        <v>2269.2829679999995</v>
      </c>
      <c r="AD157">
        <f t="shared" si="2"/>
        <v>52794.316961000011</v>
      </c>
      <c r="AE157" s="3">
        <f>3149+(145-813.9)+(0+(0-0))+0-13.3-0</f>
        <v>2466.7999999999997</v>
      </c>
    </row>
    <row r="158" spans="1:31" s="2" customFormat="1" x14ac:dyDescent="0.25">
      <c r="A158">
        <v>89</v>
      </c>
      <c r="B158">
        <v>6</v>
      </c>
      <c r="C158">
        <v>3</v>
      </c>
      <c r="D158">
        <v>5</v>
      </c>
      <c r="E158">
        <v>1</v>
      </c>
      <c r="F158" s="3">
        <f>2485.8+(131-434)+(-1.267758+(-0.06681--0.22134))+0-64.3--0.0327929999999935</f>
        <v>2117.4195649999997</v>
      </c>
      <c r="G158" s="3">
        <f>2470.2+(131.2-512.9)+(-2.519604+(-0.133824--0.523158))+0-76.9--0.0784380000000123</f>
        <v>2009.5481679999998</v>
      </c>
      <c r="H158" s="3">
        <f>2383.1+(131.5-489.5)+(0+(0-0))+0-77-0</f>
        <v>1948.1</v>
      </c>
      <c r="I158" s="3">
        <f>2302.6+(131.5-392.1)+(-4.697304+(-0.26826--0.799884))+0-56.9--0.116075999999998</f>
        <v>1981.0503959999999</v>
      </c>
      <c r="J158" s="3">
        <f>2342.8+(131.3-420.1)+(0+(0-0))+0-69.1-0</f>
        <v>1984.9</v>
      </c>
      <c r="K158" s="3">
        <f>2256.6+(132.1-472)+(-1.150866+(-0.067371--0.24072))+0-74.7--0.0380969999999924</f>
        <v>1841.0605799999996</v>
      </c>
      <c r="L158" s="3">
        <f>2177.4+(132.5-432.1)+(-5.55237+(-0.337875--1.101855))+0-80.2--0.204509999999988</f>
        <v>1793.0161200000002</v>
      </c>
      <c r="M158" s="3">
        <f>2268.4+(131.6-470.8)+(-3.470652+(-0.201348--0.720324))+0-56.1--0.0858330000000032</f>
        <v>1870.2341570000003</v>
      </c>
      <c r="N158" s="3">
        <f>2494+(130.8-526.6)+(1.27194+(0.066708-0.268566))+0-72.4-0.0369239999999927</f>
        <v>2026.8331579999999</v>
      </c>
      <c r="O158" s="3">
        <f>2673.4+(131.5-600.1)+(-1.363434+(-0.067065--0.306051))+0-73.7--0.0375869999999925</f>
        <v>2130.0131390000001</v>
      </c>
      <c r="P158" s="3">
        <f>2822.3+(130.5-640.4)+(0+(0-0))+0-86.8-0</f>
        <v>2225.6</v>
      </c>
      <c r="Q158" s="3">
        <f>2842.9+(130.8-642.4)+(0+(0-0))+0-74-0</f>
        <v>2257.3000000000002</v>
      </c>
      <c r="R158" s="3">
        <f>2873+(131.7-645.7)+(0+(0-0))+0-76.4-0</f>
        <v>2282.6</v>
      </c>
      <c r="S158" s="3">
        <f>2833.1+(132-635.3)+(-2.889762+(-0.13464--0.648006))+0-81.3--0.082926000000013</f>
        <v>2246.2065299999999</v>
      </c>
      <c r="T158" s="3">
        <f>2781.5+(132-601.5)+(0+(0-0))+0-76.1-0</f>
        <v>2235.9</v>
      </c>
      <c r="U158" s="3">
        <f>2842.3+(132.4-727.4)+(-1.449573+(-0.067524--0.370974))+0-61.8--0.0315179999999937</f>
        <v>2184.3853949999998</v>
      </c>
      <c r="V158" s="3">
        <f>2805.1+(132.9-737.4)+(1.430601+(0.067779-0.376074))+0-52.7-0.0268769999999947</f>
        <v>2148.9954290000005</v>
      </c>
      <c r="W158" s="3">
        <f>2709+(133.7-631.5)+(-1.38159+(-0.068187--0.322065))+0-79.1--0.040340999999992</f>
        <v>2131.0126289999998</v>
      </c>
      <c r="X158" s="3">
        <f>2456+(132.2-387.7)+(-2.50512+(-0.134844--0.395454))+0-75.9--0.0774180000000121</f>
        <v>2122.4329079999998</v>
      </c>
      <c r="Y158" s="3">
        <f>2717.9+(121.6-496.5)+(-1.386129+(-0.062016--0.253215))+0-63.8--0.0325379999999935</f>
        <v>2278.0376079999996</v>
      </c>
      <c r="Z158" s="3">
        <f>3039.6+(121.2-718.6)+(-4.650588+(-0.185436--1.099458))+0-62.4--0.0954720000000036</f>
        <v>2376.1589059999997</v>
      </c>
      <c r="AA158" s="3">
        <f>3028.3+(131.5-713.9)+(-1.544433+(-0.067065--0.364089))+0-70.7--0.0360569999999928</f>
        <v>2373.988648</v>
      </c>
      <c r="AB158" s="3">
        <f>2838.8+(132.8-595)+(-4.343364+(-0.203184--0.91035))+0-78.2--0.119646000000005</f>
        <v>2294.8834480000005</v>
      </c>
      <c r="AC158" s="3">
        <f>2732.9+(132.9-567.4)+(-1.393779+(-0.067779--0.289374))+0-69.2--0.035291999999993</f>
        <v>2228.0631080000003</v>
      </c>
      <c r="AD158">
        <f t="shared" si="2"/>
        <v>51087.739891999998</v>
      </c>
      <c r="AE158" s="3">
        <f>3077+(113-685)+(0+(0-0))+0-86.4-0</f>
        <v>2418.6</v>
      </c>
    </row>
    <row r="159" spans="1:31" s="2" customFormat="1" x14ac:dyDescent="0.25">
      <c r="A159">
        <v>89</v>
      </c>
      <c r="B159">
        <v>6</v>
      </c>
      <c r="C159">
        <v>4</v>
      </c>
      <c r="D159">
        <v>6</v>
      </c>
      <c r="E159">
        <v>1</v>
      </c>
      <c r="F159" s="3">
        <f>2404.3+(112.7-388.2)+(-4.904772+(-0.229908--0.791928))+0-56.4--0.115055999999998</f>
        <v>2068.1723040000002</v>
      </c>
      <c r="G159" s="3">
        <f>2226.5+(106.3-285)+(-6.81309+(-0.325278--0.8721))+0-72.8--0.222768000000008</f>
        <v>1968.9565</v>
      </c>
      <c r="H159" s="3">
        <f>2096.9+(106.7-212.9)+(-2.138838+(-0.108834--0.217158))+0-60.6--0.0618120000000097</f>
        <v>1928.131298</v>
      </c>
      <c r="I159" s="3">
        <f>2134.2+(106.6-197.5)+(4.353768+(0.217464-0.4029))+0-83.3-0.169931999999996</f>
        <v>1963.9983999999997</v>
      </c>
      <c r="J159" s="3">
        <f>2139.1+(105.4-205.6)+(0+(0-0))+0-64.6-0</f>
        <v>1974.3</v>
      </c>
      <c r="K159" s="3">
        <f>2043.3+(104.9-249.3)+(-5.210415+(-0.267495--0.635715))+0-60--0.152999999999991</f>
        <v>1834.2108049999999</v>
      </c>
      <c r="L159" s="3">
        <f>1960+(104.6-233.4)+(-4.998+(-0.26673--0.59517))+0-77.2--0.196859999999989</f>
        <v>1749.5273</v>
      </c>
      <c r="M159" s="3">
        <f>1994.7+(112.2-216.4)+(0+(0-0))+0-57-0</f>
        <v>1833.5</v>
      </c>
      <c r="N159" s="3">
        <f>2323.1+(131.6-397.1)+(-1.184781+(-0.067116--0.202521))+0-74.8--0.0381479999999924</f>
        <v>1981.7887720000001</v>
      </c>
      <c r="O159" s="3">
        <f>2594.9+(130.1-570.3)+(-1.323399+(-0.066351--0.290853))+0-84.1--0.0428909999999915</f>
        <v>2069.5439940000006</v>
      </c>
      <c r="P159" s="3">
        <f>2783.5+(129.1-669.3)+(-4.258755+(-0.197523--1.024029))+0-76.8--0.117504000000004</f>
        <v>2163.1852549999999</v>
      </c>
      <c r="Q159" s="3">
        <f>2801.8+(130.5-672.3)+(0+(0-0))+0-60.6-0</f>
        <v>2199.4</v>
      </c>
      <c r="R159" s="3">
        <f>2774+(130.4-643.8)+(2.82948+(0.133008-0.656676))+0-79-0.0805800000000126</f>
        <v>2183.8252320000001</v>
      </c>
      <c r="S159" s="3">
        <f>2769.5+(130.6-633.4)+(1.412445+(0.066606-0.323034))+0-81.4-0.0415139999999917</f>
        <v>2186.4145029999995</v>
      </c>
      <c r="T159" s="3">
        <f>2792.3+(130.3-666.4)+(-2.848146+(-0.132906--0.679728))+0-71.6--0.0730320000000114</f>
        <v>2182.3717080000001</v>
      </c>
      <c r="U159" s="3">
        <f>2770.3+(130.8-676)+(-4.238559+(-0.200124--1.03428))+0-74.5--0.113985000000004</f>
        <v>2147.3095820000003</v>
      </c>
      <c r="V159" s="3">
        <f>2734.6+(132.1-664.5)+(-5.578584+(-0.269484--1.35558))+0-61.7--0.125867999999997</f>
        <v>2136.1333800000002</v>
      </c>
      <c r="W159" s="3">
        <f>2677.5+(132.9-662.3)+(-6.827625+(-0.338895--1.688865))+0-22.7--0.0578849999999967</f>
        <v>2119.9802300000001</v>
      </c>
      <c r="X159" s="3">
        <f>2600.6+(133.7-589.5)+(-2.652612+(-0.136374--0.60129))+0-20.4--0.0208080000000033</f>
        <v>2122.2331119999999</v>
      </c>
      <c r="Y159" s="3">
        <f>2795.3+(126.8-580.1)+(1.425603+(0.064668-0.295851))+0-62.7-0.0319769999999936</f>
        <v>2280.4624429999999</v>
      </c>
      <c r="Z159" s="3">
        <f>3059.7+(78.1-704.5)+(-4.681341+(-0.119493--1.077885))+0-57.1--0.0873630000000033</f>
        <v>2372.5644139999999</v>
      </c>
      <c r="AA159" s="3">
        <f>3080.9+(103.1-737.7)+(-7.856295+(-0.262905--1.881135))+0-82.8--0.211139999999988</f>
        <v>2357.4730749999999</v>
      </c>
      <c r="AB159" s="3">
        <f>2843.6+(130.7-608.9)+(-1.450236+(-0.066657--0.310539))+0-76.6--0.0390659999999922</f>
        <v>2287.6327120000001</v>
      </c>
      <c r="AC159" s="3">
        <f>2624.7+(132.6-467.9)+(-5.354388+(-0.270504--0.954516))+0-72.3--0.147491999999997</f>
        <v>2212.5771159999995</v>
      </c>
      <c r="AD159">
        <f t="shared" si="2"/>
        <v>50323.692135000005</v>
      </c>
      <c r="AE159" s="3">
        <f>3004+(82.8-692.1)+(0+(0-0))+0-84.9-0</f>
        <v>2309.7999999999997</v>
      </c>
    </row>
    <row r="160" spans="1:31" s="2" customFormat="1" x14ac:dyDescent="0.25">
      <c r="A160">
        <v>89</v>
      </c>
      <c r="B160">
        <v>6</v>
      </c>
      <c r="C160">
        <v>5</v>
      </c>
      <c r="D160">
        <v>7</v>
      </c>
      <c r="E160">
        <v>1</v>
      </c>
      <c r="F160" s="3">
        <f>2421.8+(132.2-424.4)+(-1.235118+(-0.067422--0.216444))+0-59.2--0.030191999999994</f>
        <v>2069.3440960000007</v>
      </c>
      <c r="G160" s="3">
        <f>2407.9+(132.5-553.2)+(-1.228029+(-0.067575--0.282132))+0-25.2--0.0128519999999974</f>
        <v>1960.99938</v>
      </c>
      <c r="H160" s="3">
        <f>2346.8+(131.8-481)+(-7.181208+(-0.403308--1.47186))+0-84.4--0.25826400000001</f>
        <v>1907.3456080000001</v>
      </c>
      <c r="I160" s="3">
        <f>2345.1+(132.4-455.6)+(3.588003+(0.202572-0.697068))+0-65.7-0.100521000000004</f>
        <v>1959.1929859999998</v>
      </c>
      <c r="J160" s="3">
        <f>2327.9+(132.2-437.3)+(-4.748916+(-0.269688--0.892092))+0-68.6--0.139943999999997</f>
        <v>1950.2134320000002</v>
      </c>
      <c r="K160" s="3">
        <f>2206.1+(132.5-477.5)+(-1.125111+(-0.067575--0.243525))+0-73.1--0.0372809999999926</f>
        <v>1787.0881199999999</v>
      </c>
      <c r="L160" s="3">
        <f>2087.1+(132.4-462.5)+(0+(0-0))+0-73.4-0</f>
        <v>1683.6</v>
      </c>
      <c r="M160" s="3">
        <f>2044.5+(131.1-447)+(0+(0-0))+0-54.8-0</f>
        <v>1673.8</v>
      </c>
      <c r="N160" s="3">
        <f>2036.1+(129.9-377.4)+(0+(0-0))+0-62.7-0</f>
        <v>1725.8999999999999</v>
      </c>
      <c r="O160" s="3">
        <f>2113.3+(130.9-420.2)+(-2.155566+(-0.133518--0.428604))+0-21.1--0.0215220000000034</f>
        <v>1801.0610420000003</v>
      </c>
      <c r="P160" s="3">
        <f>2293.1+(129.2-491.9)+(-2.338962+(-0.131784--0.501738))+0-32.2--0.0328440000000051</f>
        <v>1896.2638359999999</v>
      </c>
      <c r="Q160" s="3">
        <f>2503.6+(131.1-572.5)+(0+(0-0))+0-79.2-0</f>
        <v>1982.9999999999998</v>
      </c>
      <c r="R160" s="3">
        <f>2495.9+(131.1-552.8)+(-1.272909+(-0.066861--0.281928))+0-68.8--0.035087999999993</f>
        <v>2004.3772460000002</v>
      </c>
      <c r="S160" s="3">
        <f>2490.1+(117.8-526.3)+(-2.539902+(-0.120156--0.536826))+0-59.2--0.0603840000000094</f>
        <v>2020.3371520000001</v>
      </c>
      <c r="T160" s="3">
        <f>2484.3+(127.4-497.2)+(-3.800979+(-0.194922--0.760716))+0-66.5--0.101745000000004</f>
        <v>2044.8665599999999</v>
      </c>
      <c r="U160" s="3">
        <f>2476.2+(131.8-490.9)+(-5.051448+(-0.268872--1.001436))+0-81.7--0.166667999999996</f>
        <v>2031.2477840000001</v>
      </c>
      <c r="V160" s="3">
        <f>2477.4+(131.4-563.9)+(-2.526948+(-0.134028--0.575178))+0-22.3--0.0227460000000036</f>
        <v>2020.5369480000002</v>
      </c>
      <c r="W160" s="3">
        <f>2466.1+(132-505.8)+(2.515422+(0.13464-0.515916))+0-74.8-0.0762960000000119</f>
        <v>2019.5578499999997</v>
      </c>
      <c r="X160" s="3">
        <f>2324+(128.6-331.6)+(0+(0-0))+0-70-0</f>
        <v>2051</v>
      </c>
      <c r="Y160" s="3">
        <f>2717.9+(94.3-487.4)+(0+(0-0))+0-70.3-0</f>
        <v>2254.5</v>
      </c>
      <c r="Z160" s="3">
        <f>2994.7+(75.8-638.9)+(-1.527297+(-0.038658--0.325839))+0-73.5--0.0374849999999925</f>
        <v>2356.8973689999998</v>
      </c>
      <c r="AA160" s="3">
        <f>3001.4+(104.4-667.5)+(-1.530714+(-0.053244--0.340425))+0-82.3--0.0419729999999916</f>
        <v>2354.79844</v>
      </c>
      <c r="AB160" s="3">
        <f>2978.5+(129.1-710.7)+(-3.03807+(-0.131682--0.724914))+0-73.2--0.0746640000000117</f>
        <v>2321.3298260000006</v>
      </c>
      <c r="AC160" s="3">
        <f>2746.8+(132.8-609.5)+(0+(0-0))+0-33.9-0</f>
        <v>2236.2000000000003</v>
      </c>
      <c r="AD160">
        <f t="shared" si="2"/>
        <v>48113.457674999998</v>
      </c>
      <c r="AE160" s="3">
        <f>3000+(90.1-626.1)+(0+(0-0))+0-86-0</f>
        <v>2378</v>
      </c>
    </row>
    <row r="161" spans="1:31" s="2" customFormat="1" x14ac:dyDescent="0.25">
      <c r="A161">
        <v>89</v>
      </c>
      <c r="B161">
        <v>6</v>
      </c>
      <c r="C161">
        <v>6</v>
      </c>
      <c r="D161">
        <v>1</v>
      </c>
      <c r="E161">
        <v>1</v>
      </c>
      <c r="F161" s="3">
        <f>2571.6+(122.4-594.4)+(-1.311516+(-0.062424--0.303144))+0-17.6--0.00897599999999821</f>
        <v>2080.9381800000001</v>
      </c>
      <c r="G161" s="3">
        <f>2492+(115.4-572.2)+(0+(0-0))+0-57.5-0</f>
        <v>1977.6999999999998</v>
      </c>
      <c r="H161" s="3">
        <f>2105.3+(114.6-261.9)+(-4.294812+(-0.233784--0.534276))+0-42.8--0.0873119999999981</f>
        <v>1911.2929920000004</v>
      </c>
      <c r="I161" s="3">
        <f>2129.2+(115.3-214.8)+(0+(0-0))+0-70.5-0</f>
        <v>1959.1999999999998</v>
      </c>
      <c r="J161" s="3">
        <f>2143.1+(115.5-207.8)+(-2.185962+(-0.11781--0.211956))+0-69.9--0.0712980000000112</f>
        <v>1978.8794819999996</v>
      </c>
      <c r="K161" s="3">
        <f>2122.7+(115.5-310)+(-5.412885+(-0.294525--0.7905))+0-76.6--0.195329999999989</f>
        <v>1846.87842</v>
      </c>
      <c r="L161" s="3">
        <f>2075.9+(115-311.2)+(-6.352254+(-0.3519--0.952272))+0-86.1--0.26346600000001</f>
        <v>1788.1115840000002</v>
      </c>
      <c r="M161" s="3">
        <f>2089.3+(119.7-252.9)+(1.065543+(0.061047-0.128979))+0-72.3-0.0368729999999927</f>
        <v>1884.7607380000002</v>
      </c>
      <c r="N161" s="3">
        <f>2119.7+(130.2-180.9)+(0+(0-0))+0-40.5-0</f>
        <v>2028.5</v>
      </c>
      <c r="O161" s="3">
        <f>2290.2+(130.4-234.5)+(-1.168002+(-0.066504--0.119595))+0-15.2--0.00775199999999846</f>
        <v>2169.792841</v>
      </c>
      <c r="P161" s="3">
        <f>2408+(130.3-260.9)+(2.45616+(0.132906-0.266118))+0-13.1-0.0133620000000021</f>
        <v>2266.609586</v>
      </c>
      <c r="Q161" s="3">
        <f>2589.3+(133.2-324)+(1.320543+(0.067932-0.16524))+0-76.5-0.0390149999999922</f>
        <v>2323.1842200000001</v>
      </c>
      <c r="R161" s="3">
        <f>2675.1+(132.5-383.1)+(1.364301+(0.067575-0.195381))+0-68.6-0.034985999999993</f>
        <v>2357.1015090000001</v>
      </c>
      <c r="S161" s="3">
        <f>2670+(132.2-394.1)+(0+(0-0))+0-70.9-0</f>
        <v>2337.1999999999998</v>
      </c>
      <c r="T161" s="3">
        <f>2858.8+(132-588.9)+(0+(0-0))+0-74.5-0</f>
        <v>2327.4</v>
      </c>
      <c r="U161" s="3">
        <f>2853.4+(132.9-624.4)+(-5.820936+(-0.271116--1.273776))+0-56.3--0.114851999999998</f>
        <v>2300.8965760000001</v>
      </c>
      <c r="V161" s="3">
        <f>2820.8+(133-643.2)+(-7.19304+(-0.33915--1.64016))+0-22--0.0560999999999968</f>
        <v>2282.7640700000002</v>
      </c>
      <c r="W161" s="3">
        <f>2813.4+(133.2-617.6)+(-5.739336+(-0.271728--1.259904))+0-84.1--0.171563999999996</f>
        <v>2240.3204040000005</v>
      </c>
      <c r="X161" s="3">
        <f>2566.2+(127.7-368.1)+(-3.926286+(-0.195381--0.563193))+0-68.2--0.104346000000004</f>
        <v>2254.1458720000001</v>
      </c>
      <c r="Y161" s="3">
        <f>2807.1+(114.9-423)+(1.431621+(0.058599-0.21573))+0-78.1-0.0398309999999921</f>
        <v>2422.1346589999998</v>
      </c>
      <c r="Z161" s="3">
        <f>2953.8+(110.4-452.7)+(-6.025752+(-0.225216--0.923508))+0-77.9--0.158915999999997</f>
        <v>2528.4314559999998</v>
      </c>
      <c r="AA161" s="3">
        <f>2974.4+(123.6-489.4)+(-9.101664+(-0.378216--1.497564))+0-82.5--0.25245000000001</f>
        <v>2518.3701340000002</v>
      </c>
      <c r="AB161" s="3">
        <f>2893.4+(133.2-500.4)+(-2.951268+(-0.135864--0.510408))+0-59.8--0.0609960000000095</f>
        <v>2463.8842720000002</v>
      </c>
      <c r="AC161" s="3">
        <f>2529.3+(132.8-242.8)+(-2.579886+(-0.135456--0.247656))+0-48.1--0.0490620000000077</f>
        <v>2368.7813760000004</v>
      </c>
      <c r="AD161">
        <f t="shared" si="2"/>
        <v>52617.278371</v>
      </c>
      <c r="AE161" s="3">
        <f>2988+(120.1-520.3)+(0+(0-0))+0-86.4-0</f>
        <v>2501.4</v>
      </c>
    </row>
    <row r="162" spans="1:31" s="2" customFormat="1" x14ac:dyDescent="0.25">
      <c r="A162">
        <v>89</v>
      </c>
      <c r="B162">
        <v>6</v>
      </c>
      <c r="C162">
        <v>7</v>
      </c>
      <c r="D162">
        <v>2</v>
      </c>
      <c r="E162">
        <v>1</v>
      </c>
      <c r="F162" s="3">
        <f>2436.9+(118-280.7)+(-2.485638+(-0.12036--0.286314))+0-83.5--0.0851700000000133</f>
        <v>2188.4654860000001</v>
      </c>
      <c r="G162" s="3">
        <f>2377.3+(117.6-333.3)+(-4.849692+(-0.239904--0.679932))+0-74.3--0.151571999999997</f>
        <v>2083.0419080000006</v>
      </c>
      <c r="H162" s="3">
        <f>2275+(117.7-306.6)+(-5.80125+(-0.300135--0.78183))+0-72.9--0.185894999999989</f>
        <v>2008.0663399999999</v>
      </c>
      <c r="I162" s="3">
        <f>2232.8+(125.1-252.5)+(-2.277456+(-0.127602--0.25755))+0-43.5--0.0443700000000069</f>
        <v>2059.7968620000001</v>
      </c>
      <c r="J162" s="3">
        <f>2266+(118-259)+(4.62264+(0.24072-0.52836))+0-94-0.191759999999996</f>
        <v>2035.1432400000001</v>
      </c>
      <c r="K162" s="3">
        <f>2207.8+(118-300.1)+(-3.377934+(-0.18054--0.459153))+0-85--0.130050000000005</f>
        <v>1937.7307290000003</v>
      </c>
      <c r="L162" s="3">
        <f>2109.1+(117.8-287.8)+(0+(0-0))+0-82.5-0</f>
        <v>1856.6</v>
      </c>
      <c r="M162" s="3">
        <f>2119.1+(119.6-223.8)+(0+(0-0))+0-72.8-0</f>
        <v>1942.1</v>
      </c>
      <c r="N162" s="3">
        <f>2489.9+(132.4-448.2)+(2.539698+(0.135048-0.457164))+0-66.7-0.0680340000000106</f>
        <v>2109.5495480000009</v>
      </c>
      <c r="O162" s="3">
        <f>2738.5+(131.9-574)+(-1.396635+(-0.067269--0.29274))+0-64.8--0.0330479999999934</f>
        <v>2230.4618839999998</v>
      </c>
      <c r="P162" s="3">
        <f>2936.1+(130-654.2)+(0+(0-0))+0-42-0</f>
        <v>2369.8999999999996</v>
      </c>
      <c r="Q162" s="3">
        <f>2970.9+(131.2-680.8)+(1.515159+(0.066912-0.347208))+0-26-0.0132599999999974</f>
        <v>2396.5216030000001</v>
      </c>
      <c r="R162" s="3">
        <f>3008.1+(132.4-632)+(-4.602393+(-0.202572--0.96696))+0-81.2--0.124236000000005</f>
        <v>2423.5862310000002</v>
      </c>
      <c r="S162" s="3">
        <f>2986.2+(131.6-620.5)+(-4.568886+(-0.201348--0.949365))+0-74.2--0.113526000000004</f>
        <v>2419.3926569999999</v>
      </c>
      <c r="T162" s="3">
        <f>2977.4+(131.2-635.2)+(-4.555422+(-0.200736--0.971856))+0-62.6--0.0957780000000036</f>
        <v>2407.111476</v>
      </c>
      <c r="U162" s="3">
        <f>2970.8+(131.3-652.8)+(-3.030216+(-0.133926--0.665856))+0-73.8--0.0752760000000118</f>
        <v>2373.07699</v>
      </c>
      <c r="V162" s="3">
        <f>2866.6+(131.5-564.6)+(-11.695728+(-0.53652--2.303568))+0-82.9--0.338231999999993</f>
        <v>2341.009552</v>
      </c>
      <c r="W162" s="3">
        <f>2885.5+(132.6-626.1)+(-5.88642+(-0.270504--1.277244))+0-72--0.146879999999997</f>
        <v>2315.2671999999998</v>
      </c>
      <c r="X162" s="3">
        <f>2798.9+(134.3-564.9)+(-2.854878+(-0.136986--0.576198))+0-69--0.070380000000011</f>
        <v>2296.9547140000004</v>
      </c>
      <c r="Y162" s="3">
        <f>2864.1+(84.2-430)+(1.460691+(0.042942-0.2193))+0-73.2-0.0373319999999926</f>
        <v>2446.3470010000001</v>
      </c>
      <c r="Z162" s="3">
        <f>3131.5+(71.1-600.1)+(-4.791195+(-0.108783--0.918153))+0-74.2--0.113526000000004</f>
        <v>2524.4317010000004</v>
      </c>
      <c r="AA162" s="3">
        <f>3108.2+(102.7-671.8)+(-9.511092+(-0.314262--2.055708))+0-35.1--0.107406000000004</f>
        <v>2496.3377599999999</v>
      </c>
      <c r="AB162" s="3">
        <f>2937.8+(133.7-589.9)+(-4.494834+(-0.204561--0.902547))+0-78.4--0.119952000000005</f>
        <v>2399.5231040000003</v>
      </c>
      <c r="AC162" s="3">
        <f>2777.1+(133.4-504.7)+(-2.832642+(-0.136068--0.514794))+0-71.4--0.0728280000000114</f>
        <v>2332.018912</v>
      </c>
      <c r="AD162">
        <f t="shared" si="2"/>
        <v>53992.434898000014</v>
      </c>
      <c r="AE162" s="3">
        <f>3140+(98.4-682.2)+(0+(0-0))+0-20.5-0</f>
        <v>2535.6999999999998</v>
      </c>
    </row>
    <row r="163" spans="1:31" s="2" customFormat="1" x14ac:dyDescent="0.25">
      <c r="A163">
        <v>89</v>
      </c>
      <c r="B163">
        <v>6</v>
      </c>
      <c r="C163">
        <v>8</v>
      </c>
      <c r="D163">
        <v>3</v>
      </c>
      <c r="E163">
        <v>1</v>
      </c>
      <c r="F163" s="3">
        <f>2709.7+(119.3-529.2)+(-2.763894+(-0.121686--0.539784))+0-76.1--0.0776220000000121</f>
        <v>2221.4318259999995</v>
      </c>
      <c r="G163" s="3">
        <f>2606.4+(116.1-514.9)+(-1.329264+(-0.059211--0.262599))+0-75.8--0.0386579999999923</f>
        <v>2130.7127820000001</v>
      </c>
      <c r="H163" s="3">
        <f>2521.3+(116.7-486.6)+(0+(0-0))+0-75.9-0</f>
        <v>2075.5</v>
      </c>
      <c r="I163" s="3">
        <f>2456+(116.7-393.7)+(-2.50512+(-0.119034--0.401574))+0-79.1--0.0806820000000126</f>
        <v>2097.7581019999998</v>
      </c>
      <c r="J163" s="3">
        <f>2491.8+(116.8-444.7)+(1.270818+(0.059568-0.226797))+0-65.8-0.0335579999999933</f>
        <v>2099.1700309999997</v>
      </c>
      <c r="K163" s="3">
        <f>2312.7+(116.8-419.8)+(-4.717908+(-0.238272--0.856392))+0-55.2--0.112607999999998</f>
        <v>1950.5128199999997</v>
      </c>
      <c r="L163" s="3">
        <f>2022+(116.8-227.5)+(-6.18732+(-0.357408--0.69615))+0-74.9--0.229194000000009</f>
        <v>1830.7806159999998</v>
      </c>
      <c r="M163" s="3">
        <f>2143.1+(108.9-291.7)+(2.185962+(0.111078-0.297534))+0-79.6-0.0811920000000127</f>
        <v>1882.6183140000001</v>
      </c>
      <c r="N163" s="3">
        <f>2331.2+(111-371.8)+(1.188912+(0.05661-0.189618))+0-41.6-0.0212159999999958</f>
        <v>2029.8346879999995</v>
      </c>
      <c r="O163" s="3">
        <f>2587.5+(113-419.8)+(0+(0-0))+0-65.4-0</f>
        <v>2215.2999999999997</v>
      </c>
      <c r="P163" s="3">
        <f>2737.9+(95-454.5)+(5.585316+(0.1938-0.92718))+0-73.5-0.149939999999997</f>
        <v>2309.6019960000003</v>
      </c>
      <c r="Q163" s="3">
        <f>2714.2+(108.2-368.1)+(2.768484+(0.110364-0.375462))+0-73.7-0.0751740000000118</f>
        <v>2383.0282119999997</v>
      </c>
      <c r="R163" s="3">
        <f>2784+(90.5-387.4)+(-1.41984+(-0.046155--0.197574))+0-72.1--0.0367709999999927</f>
        <v>2413.7683499999998</v>
      </c>
      <c r="S163" s="3">
        <f>2878.5+(73.4-451.1)+(0+(0-0))+0-74.6-0</f>
        <v>2426.2000000000003</v>
      </c>
      <c r="T163" s="3">
        <f>2871.1+(97.4-467.7)+(1.464261+(0.049674-0.238527))+0-75-0.0382499999999924</f>
        <v>2427.0371580000001</v>
      </c>
      <c r="U163" s="3">
        <f>2860.8+(118.9-503.2)+(1.459008+(0.060639-0.256632))+0-81.4-0.0415139999999917</f>
        <v>2396.3215009999999</v>
      </c>
      <c r="V163" s="3">
        <f>2846.1+(110.4-558.3)+(-4.354533+(-0.168912--0.854199))+0-74.1--0.113373000000004</f>
        <v>2320.5441270000001</v>
      </c>
      <c r="W163" s="3">
        <f>2855.5+(106.9-588.3)+(-4.368915+(-0.163557--0.900099))+0-79.8--0.122094000000005</f>
        <v>2290.7897209999996</v>
      </c>
      <c r="X163" s="3">
        <f>2847.4+(97.3-597.1)+(-1.452174+(-0.049623--0.304521))+0-69.5--0.0354449999999929</f>
        <v>2276.938169</v>
      </c>
      <c r="Y163" s="3">
        <f>2971.8+(29.6-455.2)+(1.515618+(0.015096-0.232152))+0-82.6-0.0421259999999916</f>
        <v>2464.8564360000005</v>
      </c>
      <c r="Z163" s="3">
        <f>3220.2+(9-617.9)+(-1.642302+(-0.00459--0.315129))+0-82.8--0.0422279999999916</f>
        <v>2527.2104649999992</v>
      </c>
      <c r="AA163" s="3">
        <f>3238.4+(67.6-729.5)+(0+(0-0))+0-68.9-0</f>
        <v>2507.6</v>
      </c>
      <c r="AB163" s="3">
        <f>3081.5+(125.4-682.7)+(-3.14313+(-0.127908--0.696354))+0-69.7--0.0710940000000111</f>
        <v>2451.9964099999997</v>
      </c>
      <c r="AC163" s="3">
        <f>2849.5+(132.7-528.1)+(0+(0-0))+0-71.5-0</f>
        <v>2382.6</v>
      </c>
      <c r="AD163">
        <f t="shared" si="2"/>
        <v>54112.111723999995</v>
      </c>
      <c r="AE163" s="3">
        <f>3244+(36.6-741.8)+(0+(0-0))+0-22.3-0</f>
        <v>2516.5</v>
      </c>
    </row>
    <row r="164" spans="1:31" s="2" customFormat="1" x14ac:dyDescent="0.25">
      <c r="A164">
        <v>89</v>
      </c>
      <c r="B164">
        <v>6</v>
      </c>
      <c r="C164">
        <v>9</v>
      </c>
      <c r="D164">
        <v>4</v>
      </c>
      <c r="E164">
        <v>1</v>
      </c>
      <c r="F164" s="3">
        <f>2586.7+(123.2-401.6)+(-6.596085+(-0.31416--1.02408))+0-62.1--0.158354999999991</f>
        <v>2240.47219</v>
      </c>
      <c r="G164" s="3">
        <f>2343.2+(120.5-249.5)+(-4.780128+(-0.24582--0.50898))+0-67.1--0.136883999999997</f>
        <v>2142.719916</v>
      </c>
      <c r="H164" s="3">
        <f>2317.1+(120.8-284.3)+(-3.545163+(-0.184824--0.434979))+0-82--0.125460000000005</f>
        <v>2068.4304520000001</v>
      </c>
      <c r="I164" s="3">
        <f>2203+(147.9-179.1)+(-5.61765+(-0.377145--0.456705))+0-81.6--0.208079999999988</f>
        <v>2084.8699900000001</v>
      </c>
      <c r="J164" s="3">
        <f>2216.6+(147.9-178.2)+(0+(0-0))+0-75.7-0</f>
        <v>2110.6</v>
      </c>
      <c r="K164" s="3">
        <f>2120+(124.8-199.5)+(-5.406+(-0.31824--0.508725))+0-76.8--0.195839999999989</f>
        <v>1963.480325</v>
      </c>
      <c r="L164" s="3">
        <f>2002.2+(120.4-203.4)+(-4.084488+(-0.245616--0.414936))+0-44.8--0.091391999999998</f>
        <v>1870.5762240000001</v>
      </c>
      <c r="M164" s="3">
        <f>1995.9+(125.8-133.3)+(0+(0-0))+0-15.2-0</f>
        <v>1973.2</v>
      </c>
      <c r="N164" s="3">
        <f>2117.8+(124.5-145.5)+(1.080078+(0.063495-0.074205))+0-6.7-0.00341699999999932</f>
        <v>2091.1659510000004</v>
      </c>
      <c r="O164" s="3">
        <f>2258+(119.1-158.6)+(0+(0-0))+0-4-0</f>
        <v>2214.5</v>
      </c>
      <c r="P164" s="3">
        <f>2388.3+(120.2-181.7)+(1.218033+(0.061302-0.092667))+0-5-0.00254999999999949</f>
        <v>2322.9841179999999</v>
      </c>
      <c r="Q164" s="3">
        <f>2440.6+(113.8-180.8)+(3.734118+(0.174114-0.276624))+0-6.6-0.0100980000000004</f>
        <v>2370.6215099999999</v>
      </c>
      <c r="R164" s="3">
        <f>2462.5+(103.9-165.1)+(1.255875+(0.052989-0.084201))+0-5.7-0.00290699999999942</f>
        <v>2396.8217560000003</v>
      </c>
      <c r="S164" s="3">
        <f>2460.9+(102.5-165)+(0+(0-0))+0-7.2-0</f>
        <v>2391.2000000000003</v>
      </c>
      <c r="T164" s="3">
        <f>2458.7+(81.4-172.9)+(1.253937+(0.041514-0.088179))+0-11.4-0.00581399999999884</f>
        <v>2357.0014579999997</v>
      </c>
      <c r="U164" s="3">
        <f>2452.9+(65.5-200.8)+(-6.254895+(-0.167025--0.51204))+0-12.3--0.0313649999999982</f>
        <v>2299.4214849999994</v>
      </c>
      <c r="V164" s="3">
        <f>2452.9+(98.6-252.5)+(-2.501958+(-0.100572--0.25755))+0-54.6--0.0556920000000087</f>
        <v>2242.1107120000001</v>
      </c>
      <c r="W164" s="3">
        <f>2399.5+(119.6-290.4)+(-2.44749+(-0.121992--0.296208))+0-68.8--0.070176000000011</f>
        <v>2157.6969019999997</v>
      </c>
      <c r="X164" s="3">
        <f>2298.2+(119-238.9)+(-2.344164+(-0.12138--0.243678))+0-73.3--0.0747660000000117</f>
        <v>2102.8528999999999</v>
      </c>
      <c r="Y164" s="3">
        <f>2520.5+(51-297.8)+(-2.57091+(-0.05202--0.303756))+0-71.5--0.0729300000000114</f>
        <v>2199.9537559999994</v>
      </c>
      <c r="Z164" s="3">
        <f>2727.7+(23.8-411.6)+(0+(0-0))+0-76-0</f>
        <v>2263.8999999999996</v>
      </c>
      <c r="AA164" s="3">
        <f>2637.9+(60.1-416.6)+(-5.381316+(-0.122604--0.849864))+0-68.1--0.138923999999997</f>
        <v>2208.7848680000002</v>
      </c>
      <c r="AB164" s="3">
        <f>2328.2+(105-330.1)+(0+(0-0))+0-17.1-0</f>
        <v>2086</v>
      </c>
      <c r="AC164" s="3">
        <f>2145.5+(132.1-188.6)+(-5.471025+(-0.336855--0.48093))+0-50.6--0.129029999999993</f>
        <v>2033.20208</v>
      </c>
      <c r="AD164">
        <f t="shared" si="2"/>
        <v>52192.566593000018</v>
      </c>
      <c r="AE164" s="3">
        <f>2743+(20.7-418.6)+(0+(0-0))+0-75.6-0</f>
        <v>2269.5</v>
      </c>
    </row>
    <row r="165" spans="1:31" s="2" customFormat="1" x14ac:dyDescent="0.25">
      <c r="A165">
        <v>89</v>
      </c>
      <c r="B165">
        <v>6</v>
      </c>
      <c r="C165">
        <v>10</v>
      </c>
      <c r="D165">
        <v>5</v>
      </c>
      <c r="E165">
        <v>5</v>
      </c>
      <c r="F165" s="3">
        <f>2138.2+(117.3-206.3)+(-3.271446+(-0.179469--0.315639))+0-71.2--0.108936000000004</f>
        <v>1974.9736599999999</v>
      </c>
      <c r="G165" s="3">
        <f>2011.3+(115.2-147.3)+(-3.077289+(-0.176256--0.225369))+0-88.3--0.135099000000005</f>
        <v>1888.0069230000001</v>
      </c>
      <c r="H165" s="3">
        <f>2006.3+(114.9-206.2)+(-1.023213+(-0.058599--0.105162))+0-57.8--0.0294779999999941</f>
        <v>1856.2528279999999</v>
      </c>
      <c r="I165" s="3">
        <f>2014.3+(114.9-183.1)+(-2.054586+(-0.117198--0.186762))+0-65.8--0.0671160000000105</f>
        <v>1878.3820939999998</v>
      </c>
      <c r="J165" s="3">
        <f>2075.6+(114.5-253.6)+(-4.234224+(-0.23358--0.517344))+0-86.3--0.176051999999996</f>
        <v>1846.4255920000001</v>
      </c>
      <c r="K165" s="3">
        <f>1890.5+(114.7-268.4)+(-4.820775+(-0.292485--0.68442))+0-70.6--0.18002999999999</f>
        <v>1661.95119</v>
      </c>
      <c r="L165" s="3">
        <f>1733.5+(115.1-252.3)+(-4.420425+(-0.293505--0.643365))+0-71.4--0.18206999999999</f>
        <v>1521.0115049999999</v>
      </c>
      <c r="M165" s="3">
        <f>1718.8+(117.3-254.3)+(0+(0-0))+0-62.3-0</f>
        <v>1519.5</v>
      </c>
      <c r="N165" s="3">
        <f>1708.7+(134.1-238.3)+(-1.742874+(-0.136782--0.243066))+0-49.2--0.0501840000000078</f>
        <v>1553.7135939999998</v>
      </c>
      <c r="O165" s="3">
        <f>1706.3+(133.8-148.3)+(-1.740426+(-0.136476--0.151266))+0-74.8--0.0762960000000119</f>
        <v>1615.3506600000001</v>
      </c>
      <c r="P165" s="3">
        <f>1784.2+(132.2-148.4)+(-0.909942+(-0.067422--0.075684))+0-83.6--0.0426359999999915</f>
        <v>1683.5409560000001</v>
      </c>
      <c r="Q165" s="3">
        <f>1806.4+(152.3-147.8)+(1.842528+(0.155346-0.150756))+0-46.4-0.0473280000000074</f>
        <v>1766.2997899999998</v>
      </c>
      <c r="R165" s="3">
        <f>1974.3+(132-191.4)+(-1.006893+(-0.06732--0.097614))+0-72.9--0.0371789999999926</f>
        <v>1841.0605799999996</v>
      </c>
      <c r="S165" s="3">
        <f>2044.2+(131.8-156.5)+(-1.042542+(-0.067218--0.079815))+0-90--0.0458999999999909</f>
        <v>1928.5159550000001</v>
      </c>
      <c r="T165" s="3">
        <f>2077.2+(132.8-167.3)+(0+(0-0))+0-59.2-0</f>
        <v>1983.4999999999998</v>
      </c>
      <c r="U165" s="3">
        <f>2084.5+(133.6-172.2)+(-4.25238+(-0.272544--0.351288))+0-48.5--0.0989399999999979</f>
        <v>1993.3253040000002</v>
      </c>
      <c r="V165" s="3">
        <f>2081+(166.5-165.1)+(-1.06131+(-0.084915--0.084201))+0-81.9--0.0417689999999917</f>
        <v>1999.4797450000001</v>
      </c>
      <c r="W165" s="3">
        <f>2080.7+(175.5-165.5)+(-2.122314+(-0.17901--0.16881))+0-69.1--0.070482000000011</f>
        <v>2019.5379680000001</v>
      </c>
      <c r="X165" s="3">
        <f>2122.7+(169.7-168.8)+(-2.165154+(-0.173094--0.172176))+0-69.1--0.070482000000011</f>
        <v>2052.4044100000001</v>
      </c>
      <c r="Y165" s="3">
        <f>2407.1+(130.2-188.2)+(0+(0-0))+0-73.7-0</f>
        <v>2275.4</v>
      </c>
      <c r="Z165" s="3">
        <f>2637.2+(95.9-340.3)+(-1.344972+(-0.048909--0.173553))+0-24.3--0.0123929999999975</f>
        <v>2367.2920649999996</v>
      </c>
      <c r="AA165" s="3">
        <f>2622+(122.2-357.5)+(-4.01166+(-0.186966--0.546975))+0-21.2--0.0324360000000012</f>
        <v>2361.8807849999998</v>
      </c>
      <c r="AB165" s="3">
        <f>2490.9+(133.5-249.1)+(1.270359+(0.068085-0.127041))+0-53.1-0.0270809999999946</f>
        <v>2323.3843219999999</v>
      </c>
      <c r="AC165" s="3">
        <f>2458.1+(133.9-276.7)+(-1.253631+(-0.068289--0.141117))+0-42.5--0.0216749999999957</f>
        <v>2271.6408719999995</v>
      </c>
      <c r="AD165">
        <f t="shared" si="2"/>
        <v>46182.830798000003</v>
      </c>
      <c r="AE165" s="3">
        <f>2662+(104.6-391.2)+(0+(0-0))+0-15.8-0</f>
        <v>2359.6</v>
      </c>
    </row>
    <row r="166" spans="1:31" s="2" customFormat="1" x14ac:dyDescent="0.25">
      <c r="A166">
        <v>89</v>
      </c>
      <c r="B166">
        <v>6</v>
      </c>
      <c r="C166">
        <v>11</v>
      </c>
      <c r="D166">
        <v>6</v>
      </c>
      <c r="E166">
        <v>6</v>
      </c>
      <c r="F166" s="3">
        <f>2289+(133.1-202.6)+(0+(0-0))+0-79.8-0</f>
        <v>2139.6999999999998</v>
      </c>
      <c r="G166" s="3">
        <f>2202.8+(133.2-236.9)+(-1.123428+(-0.067932--0.120819))+0-71.2--0.0363119999999928</f>
        <v>2026.8657710000002</v>
      </c>
      <c r="H166" s="3">
        <f>2110.3+(133-214.6)+(1.076253+(0.06783-0.109446))+0-74.8-0.0381479999999924</f>
        <v>1954.8964890000002</v>
      </c>
      <c r="I166" s="3">
        <f>2106.6+(132.5-167.5)+(0+(0-0))+0-72.5-0</f>
        <v>1999.1</v>
      </c>
      <c r="J166" s="3">
        <f>2134.2+(132.6-163.8)+(0+(0-0))+0-81.6-0</f>
        <v>2021.4</v>
      </c>
      <c r="K166" s="3">
        <f>2013.6+(131.9-198.1)+(0+(0-0))+0-75-0</f>
        <v>1872.3999999999999</v>
      </c>
      <c r="L166" s="3">
        <f>1863.9+(131.7-155.9)+(-3.802356+(-0.268668--0.318036))+0-46--0.093839999999998</f>
        <v>1790.0408520000001</v>
      </c>
      <c r="M166" s="3">
        <f>1901.9+(184.1-143.5)+(0.969969+(0.093891-0.073185))+0-84.1-0.0428909999999915</f>
        <v>1859.347784</v>
      </c>
      <c r="N166" s="3">
        <f>2036.8+(201.3-150.3)+(-1.038768+(-0.102663--0.076653))+0-73.4--0.0374339999999926</f>
        <v>2013.3726560000002</v>
      </c>
      <c r="O166" s="3">
        <f>2258.6+(133.3-155.3)+(2.303772+(0.135966-0.158406))+0-70.8-0.0722160000000113</f>
        <v>2168.0091159999997</v>
      </c>
      <c r="P166" s="3">
        <f>2369+(140-159)+(2.41638+(0.1428-0.16218))+0-65.6-0.0669120000000104</f>
        <v>2286.7300879999998</v>
      </c>
      <c r="Q166" s="3">
        <f>2421.9+(150.5-163.1)+(1.235169+(0.076755-0.083181))+0-73.3-0.0373829999999926</f>
        <v>2337.1913600000003</v>
      </c>
      <c r="R166" s="3">
        <f>2438.6+(173.8-164.6)+(1.243686+(0.088638-0.083946))+0-73.1-0.0372809999999926</f>
        <v>2375.9110969999997</v>
      </c>
      <c r="S166" s="3">
        <f>2514.7+(131.9-214.7)+(-1.282497+(-0.067269--0.109497))+0-49.2--0.025091999999995</f>
        <v>2381.4848229999998</v>
      </c>
      <c r="T166" s="3">
        <f>2516.4+(132.4-196.2)+(1.283364+(0.067524-0.100062))+0-74.4-0.0379439999999925</f>
        <v>2379.4128819999996</v>
      </c>
      <c r="U166" s="3">
        <f>2507.7+(132.9-239.6)+(-1.278927+(-0.067779--0.122196))+0-64--0.0326399999999935</f>
        <v>2335.8081299999999</v>
      </c>
      <c r="V166" s="3">
        <f>2482.6+(133.5-254.5)+(-3.798378+(-0.204255--0.389385))+0-70--0.107100000000004</f>
        <v>2288.093852</v>
      </c>
      <c r="W166" s="3">
        <f>2385.6+(129.8-199.6)+(0+(0-0))+0-70.7-0</f>
        <v>2245.1</v>
      </c>
      <c r="X166" s="3">
        <f>2358.4+(116.4-174.9)+(1.202784+(0.059364-0.089199))+0-72.9-0.0371789999999926</f>
        <v>2228.1357699999999</v>
      </c>
      <c r="Y166" s="3">
        <f>2614.2+(57.9-218.9)+(2.666484+(0.059058-0.223278))+0-66.6-0.0679320000000106</f>
        <v>2389.0343320000002</v>
      </c>
      <c r="Z166" s="3">
        <f>2703.7+(28.7-209.3)+(-1.378887+(-0.014637--0.106743))+0-66.3--0.0338129999999933</f>
        <v>2455.5470319999999</v>
      </c>
      <c r="AA166" s="3">
        <f>2678.4+(71.4-242.8)+(1.365984+(0.036414-0.123828))+0-82.9-0.0422789999999916</f>
        <v>2425.3362910000001</v>
      </c>
      <c r="AB166" s="3">
        <f>2582.2+(127.2-286.7)+(-2.633844+(-0.129744--0.292434))+0-76.7--0.0782340000000122</f>
        <v>2343.6070800000002</v>
      </c>
      <c r="AC166" s="3">
        <f>2466.2+(131.1-237.6)+(2.515524+(0.133722-0.242352))+0-58-0.0591600000000092</f>
        <v>2304.0477340000002</v>
      </c>
      <c r="AD166">
        <f t="shared" si="2"/>
        <v>52620.573139000007</v>
      </c>
      <c r="AE166" s="3">
        <f>2725+(24.9-197.3)+(0+(0-0))+0-83.1-0</f>
        <v>2469.5</v>
      </c>
    </row>
    <row r="167" spans="1:31" s="2" customFormat="1" x14ac:dyDescent="0.25">
      <c r="A167">
        <v>89</v>
      </c>
      <c r="B167">
        <v>6</v>
      </c>
      <c r="C167">
        <v>12</v>
      </c>
      <c r="D167">
        <v>7</v>
      </c>
      <c r="E167">
        <v>1</v>
      </c>
      <c r="F167" s="3">
        <f>2363.8+(110.6-190.9)+(0+(0-0))+0-67.9-0</f>
        <v>2215.6</v>
      </c>
      <c r="G167" s="3">
        <f>2273+(106.5-187.3)+(1.15923+(0.054315-0.095523))+0-71.9-0.0366689999999927</f>
        <v>2121.3813529999998</v>
      </c>
      <c r="H167" s="3">
        <f>2211.6+(105.6-188.2)+(0+(0-0))+0-56.7-0</f>
        <v>2072.3000000000002</v>
      </c>
      <c r="I167" s="3">
        <f>2227.1+(105.8-185.2)+(5.679105+(0.26979-0.47226))+0-74.6-0.190229999999989</f>
        <v>2078.3864049999997</v>
      </c>
      <c r="J167" s="3">
        <f>2280.6+(105.9-258.7)+(-2.326212+(-0.108018--0.263874))+0-74.6--0.0760920000000119</f>
        <v>2051.1057359999995</v>
      </c>
      <c r="K167" s="3">
        <f>2030.4+(104.8-199.3)+(-5.17752+(-0.26724--0.508215))+0-65.8--0.16778999999999</f>
        <v>1865.3312450000001</v>
      </c>
      <c r="L167" s="3">
        <f>1902.8+(112.5-211.6)+(-4.85214+(-0.286875--0.53958))+0-70.7--0.18028499999999</f>
        <v>1728.5808499999998</v>
      </c>
      <c r="M167" s="3">
        <f>1869.6+(101.6-153.8)+(-3.813984+(-0.207264--0.313752))+0-71.9--0.146675999999997</f>
        <v>1741.9391799999999</v>
      </c>
      <c r="N167" s="3">
        <f>1910.2+(99.6-176.3)+(0.974202+(0.050796-0.089913))+0-22.8-0.0116279999999977</f>
        <v>1811.6234570000001</v>
      </c>
      <c r="O167" s="3">
        <f>1966+(114.2-161.6)+(0+(0-0))+0-19.6-0</f>
        <v>1899</v>
      </c>
      <c r="P167" s="3">
        <f>2021.7+(117.9-150.7)+(-1.031067+(-0.060129--0.076857))+0-16.4--0.00836399999999834</f>
        <v>1971.494025</v>
      </c>
      <c r="Q167" s="3">
        <f>2137.1+(113.6-178)+(-1.089921+(-0.057936--0.09078))+0-18.8--0.00958799999999809</f>
        <v>2052.8525109999996</v>
      </c>
      <c r="R167" s="3">
        <f>2247.1+(122.8-234.6)+(-1.146021+(-0.062628--0.119646))+0-17.9--0.00912899999999818</f>
        <v>2116.3201259999996</v>
      </c>
      <c r="S167" s="3">
        <f>2252.9+(115.9-198.9)+(-2.297958+(-0.118218--0.202878))+0-25.1--0.025602000000004</f>
        <v>2142.6123040000002</v>
      </c>
      <c r="T167" s="3">
        <f>2285.8+(127.5-161.6)+(0+(0-0))+0-81.5-0</f>
        <v>2170.2000000000003</v>
      </c>
      <c r="U167" s="3">
        <f>2308.2+(103.7-183.4)+(-3.531546+(-0.158661--0.280602))+0-66.6--0.101898000000004</f>
        <v>2158.5922930000002</v>
      </c>
      <c r="V167" s="3">
        <f>2279.7+(100.1-172.6)+(-1.162647+(-0.051051--0.088026))+0-70.8--0.0361079999999928</f>
        <v>2135.3104359999993</v>
      </c>
      <c r="W167" s="3">
        <f>2270.8+(98.8-187.1)+(-3.474324+(-0.151164--0.286263))+0-75.1--0.114903000000004</f>
        <v>2104.1756780000001</v>
      </c>
      <c r="X167" s="3">
        <f>2265.8+(115.3-181.6)+(-5.77779+(-0.294015--0.46308))+0-86.1--0.219554999999987</f>
        <v>2108.0108300000002</v>
      </c>
      <c r="Y167" s="3">
        <f>2765.2+(43.6-429.8)+(0+(0-0))+0-60.1-0</f>
        <v>2318.9</v>
      </c>
      <c r="Z167" s="3">
        <f>2963.3+(25.2-511.4)+(-3.022566+(-0.025704--0.521628))+0-67.1--0.0684420000000107</f>
        <v>2407.5418000000009</v>
      </c>
      <c r="AA167" s="3">
        <f>2878.9+(65.5-494.3)+(-5.872956+(-0.13362--1.008372))+0-53.8--0.109751999999998</f>
        <v>2391.4115479999996</v>
      </c>
      <c r="AB167" s="3">
        <f>2829.1+(128.1-523.3)+(-1.442841+(-0.065331--0.266883))+0-75.6--0.0385559999999923</f>
        <v>2357.0972670000001</v>
      </c>
      <c r="AC167" s="3">
        <f>2802.6+(132.8-543.9)+(-1.429326+(-0.067728--0.277389))+0-72.3--0.0368729999999927</f>
        <v>2318.0172079999998</v>
      </c>
      <c r="AD167">
        <f t="shared" si="2"/>
        <v>50337.78425199999</v>
      </c>
      <c r="AE167" s="3">
        <f>2945+(44.1-533)+(0+(0-0))+0-18.3-0</f>
        <v>2437.7999999999997</v>
      </c>
    </row>
    <row r="168" spans="1:31" s="2" customFormat="1" x14ac:dyDescent="0.25">
      <c r="A168">
        <v>89</v>
      </c>
      <c r="B168">
        <v>6</v>
      </c>
      <c r="C168">
        <v>13</v>
      </c>
      <c r="D168">
        <v>1</v>
      </c>
      <c r="E168">
        <v>1</v>
      </c>
      <c r="F168" s="3">
        <f>2560.9+(112.5-425.1)+(-3.918177+(-0.172125--0.650403))+0-77--0.117810000000004</f>
        <v>2167.9779110000004</v>
      </c>
      <c r="G168" s="3">
        <f>2277.1+(108.1-254.1)+(-3.483963+(-0.165393--0.388773))+0-70.2--0.107406000000004</f>
        <v>2057.7468229999999</v>
      </c>
      <c r="H168" s="3">
        <f>2156.7+(108.2-238.2)+(-2.199834+(-0.110364--0.242964))+0-33.8--0.0344760000000054</f>
        <v>1990.8672419999998</v>
      </c>
      <c r="I168" s="3">
        <f>2159.2+(107.8-225.6)+(1.101192+(0.054978-0.115056))+0-21.1-0.0107609999999979</f>
        <v>2021.3303530000001</v>
      </c>
      <c r="J168" s="3">
        <f>2297.1+(108-280.8)+(1.171521+(0.05508-0.143208))+0-71.1-0.0362609999999928</f>
        <v>2054.2471319999995</v>
      </c>
      <c r="K168" s="3">
        <f>2351.9+(95.1-447.5)+(-5.997345+(-0.242505--1.141125))+0-65.7--0.16753499999999</f>
        <v>1928.8688099999999</v>
      </c>
      <c r="L168" s="3">
        <f>2207.2+(124.5-395)+(-7.879704+(-0.444465--1.41015))+0-42.7--0.152439000000001</f>
        <v>1887.2384199999997</v>
      </c>
      <c r="M168" s="3">
        <f>2092.4+(110.1-280.5)+(0+(0-0))+0-55.3-0</f>
        <v>1866.7</v>
      </c>
      <c r="N168" s="3">
        <f>2465.8+(96.6-425.4)+(0+(0-0))+0-16.3-0</f>
        <v>2120.6999999999998</v>
      </c>
      <c r="O168" s="3">
        <f>2811.5+(114.1-642.2)+(1.433865+(0.058191-0.327522))+0-18.3-0.00933299999999814</f>
        <v>2266.2552009999999</v>
      </c>
      <c r="P168" s="3">
        <f>2945.9+(108.8-673.6)+(4.507227+(0.166464-1.030608))+0-13.7-0.0209610000000008</f>
        <v>2371.0221219999999</v>
      </c>
      <c r="Q168" s="3">
        <f>3031+(97.9-677.2)+(6.18324+(0.199716-1.381488))+0-13.5-0.0275399999999994</f>
        <v>2443.1739279999997</v>
      </c>
      <c r="R168" s="3">
        <f>3050.2+(104.9-701.8)+(0+(0-0))+0-13.4-0</f>
        <v>2439.8999999999996</v>
      </c>
      <c r="S168" s="3">
        <f>3086.6+(93-715.8)+(-4.722498+(-0.14229--1.095174))+0-38.1--0.0582930000000022</f>
        <v>2421.9886790000005</v>
      </c>
      <c r="T168" s="3">
        <f>3078.5+(91.5-702.9)+(0+(0-0))+0-61.7-0</f>
        <v>2405.4</v>
      </c>
      <c r="U168" s="3">
        <f>3041+(97.1-678.8)+(0+(0-0))+0-84.1-0</f>
        <v>2375.2000000000003</v>
      </c>
      <c r="V168" s="3">
        <f>2968.9+(90.7-664.7)+(-3.028278+(-0.092514--0.677994))+0-75.6--0.077112000000012</f>
        <v>2316.9343140000001</v>
      </c>
      <c r="W168" s="3">
        <f>2909.8+(113.2-665.6)+(-4.451994+(-0.173196--1.018368))+0-77.3--0.118269000000004</f>
        <v>2276.6114469999998</v>
      </c>
      <c r="X168" s="3">
        <f>2771.2+(104.3-522.7)+(-8.479872+(-0.319158--1.599462))+0-66.7--0.204102000000008</f>
        <v>2279.1045340000001</v>
      </c>
      <c r="Y168" s="3">
        <f>3058.4+(106.5-647.8)+(-6.239136+(-0.21726--1.321512))+0-62--0.126479999999997</f>
        <v>2450.0915960000002</v>
      </c>
      <c r="Z168" s="3">
        <f>3240.8+(116.9-771.5)+(-6.611232+(-0.238476--1.57386))+0-65--0.132599999999997</f>
        <v>2516.056752</v>
      </c>
      <c r="AA168" s="3">
        <f>3179.4+(133.8-742)+(-4.864482+(-0.204714--1.13526))+0-72.1--0.110313000000004</f>
        <v>2495.2763770000001</v>
      </c>
      <c r="AB168" s="3">
        <f>3104.7+(132.9-718.2)+(-3.166794+(-0.135558--0.732564))+0-89.8--0.0915960000000143</f>
        <v>2427.1218079999999</v>
      </c>
      <c r="AC168" s="3">
        <f>2955.2+(133.2-626.4)+(-4.521456+(-0.203796--0.958392))+0-72.4--0.110772000000004</f>
        <v>2385.9439119999997</v>
      </c>
      <c r="AD168">
        <f t="shared" si="2"/>
        <v>53965.757360999996</v>
      </c>
      <c r="AE168" s="3">
        <f>3244+(112.3-757.8)+(0+(0-0))+0-91.8-0</f>
        <v>2506.6999999999998</v>
      </c>
    </row>
    <row r="169" spans="1:31" s="2" customFormat="1" x14ac:dyDescent="0.25">
      <c r="A169">
        <v>89</v>
      </c>
      <c r="B169">
        <v>6</v>
      </c>
      <c r="C169">
        <v>14</v>
      </c>
      <c r="D169">
        <v>2</v>
      </c>
      <c r="E169">
        <v>1</v>
      </c>
      <c r="F169" s="3">
        <f>2547.5+(111.2-346.8)+(-1.299225+(-0.056712--0.176868))+0-75.3--0.0384029999999924</f>
        <v>2235.4593340000001</v>
      </c>
      <c r="G169" s="3">
        <f>2510.3+(103.3-434.1)+(-3.840759+(-0.158049--0.664173))+0-71.9--0.110007000000004</f>
        <v>2104.375372</v>
      </c>
      <c r="H169" s="3">
        <f>2337+(106.5-339.5)+(0+(0-0))+0-72.8-0</f>
        <v>2031.2</v>
      </c>
      <c r="I169" s="3">
        <f>2198.6+(106.4-210.4)+(0+(0-0))+0-45-0</f>
        <v>2049.6</v>
      </c>
      <c r="J169" s="3">
        <f>2264.3+(107.2-219.6)+(4.619172+(0.218688-0.447984))+0-72.8-0.148511999999997</f>
        <v>2083.3413639999999</v>
      </c>
      <c r="K169" s="3">
        <f>2199.5+(95.1-301.3)+(-2.24349+(-0.097002--0.307326))+0-67--0.0683400000000107</f>
        <v>1924.3351740000001</v>
      </c>
      <c r="L169" s="3">
        <f>2003.2+(120.9-207.3)+(-4.086528+(-0.246636--0.422892))+0-60.6--0.123623999999997</f>
        <v>1852.413352</v>
      </c>
      <c r="M169" s="3">
        <f>2036.7+(114.8-153.1)+(3.116151+(0.175644-0.234243))+0-70.9-0.108477000000004</f>
        <v>1930.449075</v>
      </c>
      <c r="N169" s="3">
        <f>2146.1+(111.2-159.9)+(-1.094511+(-0.056712--0.081549))+0-47--0.0239699999999952</f>
        <v>2049.3542960000004</v>
      </c>
      <c r="O169" s="3">
        <f>2423.8+(100.5-274.7)+(0+(0-0))+0-74.2-0</f>
        <v>2175.4000000000005</v>
      </c>
      <c r="P169" s="3">
        <f>2654.9+(95.9-426.5)+(4.061997+(0.146727-0.652545))+0-44.4-0.0679320000000026</f>
        <v>2283.3882470000003</v>
      </c>
      <c r="Q169" s="3">
        <f>2732.7+(89.1-396.6)+(1.393677+(0.045441-0.202266))+0-78.1-0.0398309999999921</f>
        <v>2348.2970209999999</v>
      </c>
      <c r="R169" s="3">
        <f>2780.2+(91.9-440.7)+(1.417902+(0.046869-0.224757))+0-65.2-0.0332519999999934</f>
        <v>2367.4067619999996</v>
      </c>
      <c r="S169" s="3">
        <f>2830+(91.1-491.7)+(-1.4433+(-0.046461--0.250767))+0-61.5--0.0313649999999938</f>
        <v>2366.6923710000001</v>
      </c>
      <c r="T169" s="3">
        <f>3032+(102.7-678.8)+(1.54632+(0.052377-0.346188))+0-75.3-0.0384029999999924</f>
        <v>2381.8141059999998</v>
      </c>
      <c r="U169" s="3">
        <f>3014.3+(87.5-689.6)+(-4.611879+(-0.133875--1.055088))+0-66--0.100980000000004</f>
        <v>2342.6103140000005</v>
      </c>
      <c r="V169" s="3">
        <f>2976+(86.3-712)+(0+(0-0))+0-50.7-0</f>
        <v>2299.6000000000004</v>
      </c>
      <c r="W169" s="3">
        <f>2930.1+(106.5-699.8)+(-5.977404+(-0.21726--1.427592))+0-73.6--0.150143999999997</f>
        <v>2258.5830720000004</v>
      </c>
      <c r="X169" s="3">
        <f>2860.1+(106.2-635.2)+(-4.375953+(-0.162486--0.971856))+0-64.2--0.0982260000000037</f>
        <v>2263.4316430000003</v>
      </c>
      <c r="Y169" s="3">
        <f>2965+(107.4-568.7)+(-1.51215+(-0.054774--0.290037))+0-77.3--0.0394229999999922</f>
        <v>2425.1625359999998</v>
      </c>
      <c r="Z169" s="3">
        <f>3085.1+(115.9-645.9)+(-3.146802+(-0.118218--0.658818))+0-82.2--0.0838440000000131</f>
        <v>2470.3776420000004</v>
      </c>
      <c r="AA169" s="3">
        <f>3029.8+(133.9-655.2)+(-3.090396+(-0.136578--0.668304))+0-60.9--0.0621180000000097</f>
        <v>2445.1034479999998</v>
      </c>
      <c r="AB169" s="3">
        <f>2952.7+(132.7-641.8)+(-1.505877+(-0.067677--0.327318))+0-71.4--0.0364139999999928</f>
        <v>2370.990178</v>
      </c>
      <c r="AC169" s="3">
        <f>2755.7+(133.2-485.9)+(-4.216221+(-0.203796--0.743427))+0-85.4--0.130662000000005</f>
        <v>2314.0540719999999</v>
      </c>
      <c r="AD169">
        <f t="shared" si="2"/>
        <v>53373.439378999996</v>
      </c>
      <c r="AE169" s="3">
        <f>3077+(104.4-588.4)+(0+(0-0))+0-86-0</f>
        <v>2507</v>
      </c>
    </row>
    <row r="170" spans="1:31" s="2" customFormat="1" x14ac:dyDescent="0.25">
      <c r="A170">
        <v>89</v>
      </c>
      <c r="B170">
        <v>6</v>
      </c>
      <c r="C170">
        <v>15</v>
      </c>
      <c r="D170">
        <v>3</v>
      </c>
      <c r="E170">
        <v>1</v>
      </c>
      <c r="F170" s="3">
        <f>2412+(134-284.5)+(-3.69036+(-0.20502--0.435285))+0-68--0.104040000000004</f>
        <v>2190.1439450000003</v>
      </c>
      <c r="G170" s="3">
        <f>2304.6+(123.8-301.1)+(-3.526038+(-0.189414--0.460683))+0-66.2--0.101286000000004</f>
        <v>2057.9465169999999</v>
      </c>
      <c r="H170" s="3">
        <f>2312+(116.8-354.5)+(-2.35824+(-0.119136--0.36159))+0-69.9--0.0712980000000112</f>
        <v>2002.3555120000003</v>
      </c>
      <c r="I170" s="3">
        <f>2161.4+(116.9-181.6)+(-3.306942+(-0.178857--0.277848))+0-71.1--0.108783000000004</f>
        <v>2022.5008320000004</v>
      </c>
      <c r="J170" s="3">
        <f>2125.6+(141.8-151.9)+(-2.168112+(-0.144636--0.154938))+0-65.4--0.0667080000000104</f>
        <v>2048.0088979999996</v>
      </c>
      <c r="K170" s="3">
        <f>2058.7+(92.6-170.4)+(-4.199748+(-0.188904--0.347616))+0-66.4--0.135455999999997</f>
        <v>1910.5944199999997</v>
      </c>
      <c r="L170" s="3">
        <f>1971+(118.3-180.6)+(-9.04689+(-0.542997--0.828954))+0-70.3--0.322677000000012</f>
        <v>1829.9617440000002</v>
      </c>
      <c r="M170" s="3">
        <f>2125.4+(118.3-285.2)+(-3.251862+(-0.180999--0.436356))+0-31.9--0.0488070000000018</f>
        <v>1923.6523019999997</v>
      </c>
      <c r="N170" s="3">
        <f>2464.5+(94.2-495.2)+(-2.51379+(-0.096084--0.505104))+0-8.8--0.0089760000000014</f>
        <v>2052.604206</v>
      </c>
      <c r="O170" s="3">
        <f>2561.5+(108.5-490.4)+(-3.919095+(-0.166005--0.750312))+0-11.3--0.0172890000000007</f>
        <v>2164.9825009999995</v>
      </c>
      <c r="P170" s="3">
        <f>2644.4+(99.5-479.7)+(-5.394576+(-0.20298--0.978588))+0-11.9--0.0242759999999995</f>
        <v>2247.7053080000001</v>
      </c>
      <c r="Q170" s="3">
        <f>2886.3+(103.6-664.3)+(4.416039+(0.158508-1.016379))+0-11.6-0.0177480000000007</f>
        <v>2317.5404200000003</v>
      </c>
      <c r="R170" s="3">
        <f>2919.3+(96.8-654.8)+(0+(0-0))+0-20.6-0</f>
        <v>2340.7000000000003</v>
      </c>
      <c r="S170" s="3">
        <f>2950.7+(107.3-638.6)+(0+(0-0))+0-80.2-0</f>
        <v>2339.1999999999998</v>
      </c>
      <c r="T170" s="3">
        <f>2963.6+(105.7-651.6)+(1.511436+(0.053907-0.332316))+0-67.3-0.0343229999999932</f>
        <v>2351.598704</v>
      </c>
      <c r="U170" s="3">
        <f>2942.2+(93.4-668)+(-3.001044+(-0.095268--0.68136))+0-61.4--0.0626280000000098</f>
        <v>2303.8476759999999</v>
      </c>
      <c r="V170" s="3">
        <f>2941.7+(109.7-699.1)+(-3.000534+(-0.111894--0.713082))+0-78.5--0.0800700000000125</f>
        <v>2271.4807239999996</v>
      </c>
      <c r="W170" s="3">
        <f>2900.4+(108.5-668.2)+(-4.437612+(-0.166005--1.022346))+0-86.4--0.132192000000005</f>
        <v>2250.8509209999997</v>
      </c>
      <c r="X170" s="3">
        <f>2642.8+(121.6-434.2)+(-2.695656+(-0.124032--0.442884))+0-73.2--0.0746640000000117</f>
        <v>2254.6978600000007</v>
      </c>
      <c r="Y170" s="3">
        <f>2865.7+(103.9-481.7)+(1.461507+(0.052989-0.245667))+0-73.2-0.0373319999999926</f>
        <v>2415.931497</v>
      </c>
      <c r="Z170" s="3">
        <f>3115.4+(99-692.5)+(-1.588854+(-0.05049--0.353175))+0-63.1--0.0321809999999936</f>
        <v>2457.5460120000002</v>
      </c>
      <c r="AA170" s="3">
        <f>3131.2+(126.8-716.9)+(-4.790736+(-0.194004--1.096857))+0-86.3--0.132039000000005</f>
        <v>2451.0441559999999</v>
      </c>
      <c r="AB170" s="3">
        <f>2955.6+(134.7-635.8)+(0+(0-0))+0-71.4-0</f>
        <v>2383.1</v>
      </c>
      <c r="AC170" s="3">
        <f>2825.3+(135.2-586.1)+(-1.440903+(-0.068952--0.298911))+0-52.9--0.0269789999999946</f>
        <v>2320.3160350000003</v>
      </c>
      <c r="AD170">
        <f t="shared" si="2"/>
        <v>52908.310190000004</v>
      </c>
      <c r="AE170" s="3">
        <f>3170+(102.2-736.4)+(0+(0-0))+0-30.9-0</f>
        <v>2504.9</v>
      </c>
    </row>
    <row r="171" spans="1:31" s="2" customFormat="1" x14ac:dyDescent="0.25">
      <c r="A171">
        <v>89</v>
      </c>
      <c r="B171">
        <v>6</v>
      </c>
      <c r="C171">
        <v>16</v>
      </c>
      <c r="D171">
        <v>4</v>
      </c>
      <c r="E171">
        <v>1</v>
      </c>
      <c r="F171" s="3">
        <f>2688.4+(119.8-551.5)+(-2.742168+(-0.122196--0.56253))+0-82.9--0.0845580000000132</f>
        <v>2171.5827240000003</v>
      </c>
      <c r="G171" s="3">
        <f>2437.8+(116.5-479.1)+(-6.21639+(-0.297075--1.221705))+0-22.4--0.0571199999999967</f>
        <v>2047.5653600000001</v>
      </c>
      <c r="H171" s="3">
        <f>2372.4+(116.2-491.3)+(1.209924+(0.059262-0.250563))+0-18.4-0.00938399999999813</f>
        <v>1979.9092390000001</v>
      </c>
      <c r="I171" s="3">
        <f>2236.4+(116.1-336)+(-5.70282+(-0.296055--0.8568))+0-17.8--0.0453899999999974</f>
        <v>1993.6033150000001</v>
      </c>
      <c r="J171" s="3">
        <f>2275.3+(116.3-346.1)+(1.160403+(0.059313-0.176511))+0-15.6-0.00795599999999842</f>
        <v>2030.9352490000003</v>
      </c>
      <c r="K171" s="3">
        <f>2209.7+(82.7-301.4)+(-5.634735+(-0.210885--0.76857))+0-71--0.18104999999999</f>
        <v>1915.1039999999996</v>
      </c>
      <c r="L171" s="3">
        <f>1995.1+(95.2-264)+(-5.087505+(-0.24276--0.6732))+0-32.9--0.0838949999999952</f>
        <v>1788.8268299999997</v>
      </c>
      <c r="M171" s="3">
        <f>2109.7+(103.6-339.2)+(0+(0-0))+0-20.3-0</f>
        <v>1853.8</v>
      </c>
      <c r="N171" s="3">
        <f>2235.2+(96.4-300.8)+(1.139952+(0.049164-0.153408))+0-17.3-0.00882299999999825</f>
        <v>2014.526885</v>
      </c>
      <c r="O171" s="3">
        <f>2557.5+(105.4-494.7)+(3.912975+(0.161262-0.756891))+0-28.4-0.0434520000000016</f>
        <v>2143.0738939999997</v>
      </c>
      <c r="P171" s="3">
        <f>2799.2+(92.3-564.9)+(-1.427592+(-0.047073--0.288099))+0-76--0.0387599999999923</f>
        <v>2249.452194</v>
      </c>
      <c r="Q171" s="3">
        <f>2871+(94.7-604.6)+(1.46421+(0.048297-0.308346))+0-64-0.0326399999999935</f>
        <v>2298.2715210000001</v>
      </c>
      <c r="R171" s="3">
        <f>2934.2+(90.1-638.6)+(1.496442+(0.045951-0.325686))+0-43.1-0.0219809999999956</f>
        <v>2343.7947260000001</v>
      </c>
      <c r="S171" s="3">
        <f>2926.1+(90.2-629.1)+(-2.984622+(-0.092004--0.641682))+0-45.3--0.0462060000000072</f>
        <v>2339.5112619999995</v>
      </c>
      <c r="T171" s="3">
        <f>2941.9+(95.6-653.5)+(0+(0-0))+0-63.4-0</f>
        <v>2320.6</v>
      </c>
      <c r="U171" s="3">
        <f>2915.3+(97.5-621.6)+(-1.486803+(-0.049725--0.317016))+0-76.4--0.0389639999999923</f>
        <v>2313.6194519999999</v>
      </c>
      <c r="V171" s="3">
        <f>2844.4+(106.7-604.8)+(-2.901288+(-0.108834--0.616896))+0-68.3--0.0696660000000109</f>
        <v>2275.6764399999997</v>
      </c>
      <c r="W171" s="3">
        <f>2803.4+(101.2-575.6)+(-1.429734+(-0.051612--0.293556))+0-73.4--0.0374339999999926</f>
        <v>2254.4496439999998</v>
      </c>
      <c r="X171" s="3">
        <f>2768.9+(104.8-559.4)+(0+(0-0))+0-56.9-0</f>
        <v>2257.4</v>
      </c>
      <c r="Y171" s="3">
        <f>2865.4+(94.1-518.7)+(-2.922708+(-0.095982--0.529074))+0-21.4--0.0218280000000034</f>
        <v>2416.9322120000002</v>
      </c>
      <c r="Z171" s="3">
        <f>2922.1+(100.6-543)+(-4.470813+(-0.153918--0.83079))+0-18--0.027540000000001</f>
        <v>2457.933599</v>
      </c>
      <c r="AA171" s="3">
        <f>2936.3+(128.2-596.4)+(-4.492539+(-0.196146--0.912492))+0-18.5--0.0283050000000011</f>
        <v>2445.852112</v>
      </c>
      <c r="AB171" s="3">
        <f>2945.3+(133.5-654.8)+(-1.502103+(-0.068085--0.333948))+0-47.9--0.0244289999999951</f>
        <v>2374.8881889999998</v>
      </c>
      <c r="AC171" s="3">
        <f>2914.9+(133.5-663.8)+(-2.973198+(-0.13617--0.677076))+0-68.8--0.070176000000011</f>
        <v>2313.4378840000004</v>
      </c>
      <c r="AD171">
        <f t="shared" si="2"/>
        <v>52600.746731000007</v>
      </c>
      <c r="AE171" s="3">
        <f>2947+(102.4-588.5)+(0+(0-0))+0-15.1-0</f>
        <v>2445.8000000000002</v>
      </c>
    </row>
    <row r="172" spans="1:31" s="2" customFormat="1" x14ac:dyDescent="0.25">
      <c r="A172">
        <v>89</v>
      </c>
      <c r="B172">
        <v>6</v>
      </c>
      <c r="C172">
        <v>17</v>
      </c>
      <c r="D172">
        <v>5</v>
      </c>
      <c r="E172">
        <v>1</v>
      </c>
      <c r="F172" s="3">
        <f>2745.7+(118.1-586.1)+(-1.400307+(-0.060231--0.298911))+0-87.3--0.0445229999999911</f>
        <v>2189.2828959999997</v>
      </c>
      <c r="G172" s="3">
        <f>2594.3+(115.5-569.7)+(-5.292372+(-0.23562--1.162188))+0-72--0.146879999999997</f>
        <v>2063.8810760000001</v>
      </c>
      <c r="H172" s="3">
        <f>2418.4+(115.9-477.4)+(-3.700152+(-0.177327--0.730422))+0-72.8--0.111384000000004</f>
        <v>1981.064327</v>
      </c>
      <c r="I172" s="3">
        <f>2350.8+(116-402.2)+(-3.596724+(-0.17748--0.615366))+0-51.1--0.078183000000003</f>
        <v>2010.4193450000007</v>
      </c>
      <c r="J172" s="3">
        <f>2383.2+(116.2-376.4)+(1.215432+(0.059262-0.191964))+0-79.8-0.0406979999999919</f>
        <v>2044.2420320000001</v>
      </c>
      <c r="K172" s="3">
        <f>2225.6+(115.9-359.9)+(-3.405168+(-0.177327--0.550647))+0-72.2--0.110466000000004</f>
        <v>1906.4786179999999</v>
      </c>
      <c r="L172" s="3">
        <f>2121.9+(115.7-350.1)+(-1.082169+(-0.059007--0.178551))+0-69.7--0.0355469999999929</f>
        <v>1816.872922</v>
      </c>
      <c r="M172" s="3">
        <f>2173.4+(115-362)+(-1.108434+(-0.05865--0.18462))+0-52--0.0265199999999947</f>
        <v>1873.444056</v>
      </c>
      <c r="N172" s="3">
        <f>2281.5+(127.7-300.9)+(-3.490695+(-0.195381--0.460377))+0-85.4--0.130662000000005</f>
        <v>2019.804963</v>
      </c>
      <c r="O172" s="3">
        <f>2431+(130.1-384.3)+(-2.47962+(-0.132702--0.391986))+0-70.7--0.0721140000000113</f>
        <v>2103.9517780000006</v>
      </c>
      <c r="P172" s="3">
        <f>2638.5+(132.6-457.5)+(-4.036905+(-0.202878--0.699975))+0-66.8--0.102204000000004</f>
        <v>2243.3623959999995</v>
      </c>
      <c r="Q172" s="3">
        <f>2802.5+(133.4-559.9)+(-1.429275+(-0.068034--0.285549))+0-76.9--0.0392189999999922</f>
        <v>2297.9274589999995</v>
      </c>
      <c r="R172" s="3">
        <f>2858.5+(133.2-617.7)+(-1.457835+(-0.067932--0.315027))+0-63--0.0321299999999936</f>
        <v>2309.8213900000001</v>
      </c>
      <c r="S172" s="3">
        <f>2859.5+(133-615.2)+(-2.91669+(-0.13566--0.627504))+0-73.6--0.0750720000000117</f>
        <v>2301.3502260000005</v>
      </c>
      <c r="T172" s="3">
        <f>2870.4+(133.5-641)+(-1.463904+(-0.068085--0.32691))+0-58.6--0.0298859999999941</f>
        <v>2303.1248070000001</v>
      </c>
      <c r="U172" s="3">
        <f>2872.7+(134.3-666.1)+(1.465077+(0.068493-0.339711))+0-64.7-0.0329969999999934</f>
        <v>2277.360862</v>
      </c>
      <c r="V172" s="3">
        <f>2853+(135.1-684.1)+(-4.36509+(-0.206703--1.046673))+0-61.8--0.0945540000000036</f>
        <v>2238.7694339999998</v>
      </c>
      <c r="W172" s="3">
        <f>2814.2+(133.8-720.3)+(-2.870484+(-0.136476--0.734706))+0-27.3--0.0278460000000044</f>
        <v>2198.1555919999996</v>
      </c>
      <c r="X172" s="3">
        <f>2729.2+(112.5-537)+(-5.567568+(-0.2295--1.09548))+0-85.8--0.175031999999996</f>
        <v>2214.3734439999998</v>
      </c>
      <c r="Y172" s="3">
        <f>2938.2+(60.3-544.5)+(-1.498482+(-0.030753--0.277695))+0-53.9--0.0274889999999945</f>
        <v>2398.8759489999998</v>
      </c>
      <c r="Z172" s="3">
        <f>3163+(44.1-699.6)+(-4.83939+(-0.067473--1.070388))+0-64.7--0.0989910000000037</f>
        <v>2439.062516</v>
      </c>
      <c r="AA172" s="3">
        <f>3105.8+(97.7-719.8)+(-3.167916+(-0.099654--0.734196))+0-86.8--0.0885360000000138</f>
        <v>2394.4551620000002</v>
      </c>
      <c r="AB172" s="3">
        <f>2995.3+(134.6-713.1)+(1.527603+(0.068646-0.363681))+0-70.7-0.0360569999999928</f>
        <v>2347.2965110000005</v>
      </c>
      <c r="AC172" s="3">
        <f>2782.9+(134.7-576.5)+(-5.677116+(-0.274788--1.17606))+0-42.2--0.0860879999999982</f>
        <v>2294.2102440000003</v>
      </c>
      <c r="AD172">
        <f t="shared" si="2"/>
        <v>52267.588005000005</v>
      </c>
      <c r="AE172" s="3">
        <f>3214+(38.6-695.2)+(0+(0-0))+0-87.4-0</f>
        <v>2470</v>
      </c>
    </row>
    <row r="173" spans="1:31" s="2" customFormat="1" x14ac:dyDescent="0.25">
      <c r="A173">
        <v>89</v>
      </c>
      <c r="B173">
        <v>6</v>
      </c>
      <c r="C173">
        <v>18</v>
      </c>
      <c r="D173">
        <v>6</v>
      </c>
      <c r="E173">
        <v>1</v>
      </c>
      <c r="F173" s="3">
        <f>2615.8+(120.2-482.4)+(0+(0-0))+0-77.8-0</f>
        <v>2175.8000000000002</v>
      </c>
      <c r="G173" s="3">
        <f>2428.5+(118.1-419.7)+(-2.47707+(-0.120462--0.428094))+0-69.4--0.0707880000000111</f>
        <v>2055.4013500000001</v>
      </c>
      <c r="H173" s="3">
        <f>2387.6+(117.9-435.7)+(0+(0-0))+0-74.2-0</f>
        <v>1995.6000000000001</v>
      </c>
      <c r="I173" s="3">
        <f>2374+(117.7-410.5)+(-2.42148+(-0.120054--0.41871))+0-71.1--0.0725220000000113</f>
        <v>2008.0496979999998</v>
      </c>
      <c r="J173" s="3">
        <f>2309.6+(117.8-317.3)+(1.177896+(0.060078-0.161823))+0-81.2-0.0414119999999918</f>
        <v>2029.934739</v>
      </c>
      <c r="K173" s="3">
        <f>2176.9+(118.1-311.6)+(0+(0-0))+0-82.7-0</f>
        <v>1900.7</v>
      </c>
      <c r="L173" s="3">
        <f>2087.4+(118.1-363.5)+(-2.129148+(-0.120462--0.37077))+0-44.9--0.0457980000000072</f>
        <v>1795.2669579999999</v>
      </c>
      <c r="M173" s="3">
        <f>2113.2+(118.5-292)+(1.077732+(0.060435-0.14892))+0-75-0.0382499999999924</f>
        <v>1865.6509969999997</v>
      </c>
      <c r="N173" s="3">
        <f>2254.3+(134.2-374.4)+(-1.149693+(-0.068442--0.190944))+0-16--0.00815999999999838</f>
        <v>1997.0809690000003</v>
      </c>
      <c r="O173" s="3">
        <f>2334.1+(134.7-334.6)+(0+(0-0))+0-14-0</f>
        <v>2120.1999999999998</v>
      </c>
      <c r="P173" s="3">
        <f>2569.3+(133.4-490.7)+(1.310343+(0.068034-0.250257))+0-13.9-0.00708899999999859</f>
        <v>2199.2210309999996</v>
      </c>
      <c r="Q173" s="3">
        <f>2739.8+(133.1-562.3)+(1.397298+(0.067881-0.286773))+0-55.1-0.0281009999999944</f>
        <v>2256.6503050000006</v>
      </c>
      <c r="R173" s="3">
        <f>2772.3+(134.3-587.8)+(-2.827746+(-0.136986--0.599556))+0-45.5--0.0464100000000073</f>
        <v>2270.9812340000003</v>
      </c>
      <c r="S173" s="3">
        <f>2750.4+(134.2-541.4)+(-5.610816+(-0.273768--1.104456))+0-75.5--0.154019999999997</f>
        <v>2263.0738920000003</v>
      </c>
      <c r="T173" s="3">
        <f>2752.3+(134.5-582.4)+(-2.807346+(-0.13719--0.594048))+0-59.4--0.0605880000000095</f>
        <v>2242.7100999999998</v>
      </c>
      <c r="U173" s="3">
        <f>2755.1+(134.9-588.3)+(0+(0-0))+0-75.4-0</f>
        <v>2226.2999999999997</v>
      </c>
      <c r="V173" s="3">
        <f>2753.2+(135.1-626.3)+(-2.808264+(-0.137802--0.638826))+0-55.5--0.0566100000000088</f>
        <v>2204.24937</v>
      </c>
      <c r="W173" s="3">
        <f>2741.3+(135.9-596.8)+(-5.592252+(-0.277236--1.217472))+0-87.7--0.178907999999996</f>
        <v>2188.2268920000001</v>
      </c>
      <c r="X173" s="3">
        <f>2754+(132.4-581.9)+(2.80908+(0.135048-0.593538))+0-70.3-0.0717060000000112</f>
        <v>2236.4788839999997</v>
      </c>
      <c r="Y173" s="3">
        <f>2927.8+(102.6-554.7)+(1.493178+(0.052326-0.282897))+0-55-0.0280499999999944</f>
        <v>2421.9345570000005</v>
      </c>
      <c r="Z173" s="3">
        <f>3030.3+(104-562.5)+(-3.090906+(-0.10608--0.57375))+0-76.7--0.0782340000000122</f>
        <v>2492.5549980000005</v>
      </c>
      <c r="AA173" s="3">
        <f>2904.4+(132.4-557.6)+(-2.962488+(-0.135048--0.568752))+0-81.6--0.083232000000013</f>
        <v>2395.1544479999998</v>
      </c>
      <c r="AB173" s="3">
        <f>2900.3+(134.1-637.3)+(-2.958306+(-0.136782--0.650046))+0-62.7--0.06395400000001</f>
        <v>2332.0189120000009</v>
      </c>
      <c r="AC173" s="3">
        <f>2754.1+(134-522)+(0+(0-0))+0-60.8-0</f>
        <v>2305.2999999999997</v>
      </c>
      <c r="AD173">
        <f t="shared" si="2"/>
        <v>51978.539334000001</v>
      </c>
      <c r="AE173" s="3">
        <f>3006+(102.1-527.6)+(0+(0-0))+0-92.1-0</f>
        <v>2488.4</v>
      </c>
    </row>
    <row r="174" spans="1:31" s="2" customFormat="1" x14ac:dyDescent="0.25">
      <c r="A174">
        <v>89</v>
      </c>
      <c r="B174">
        <v>6</v>
      </c>
      <c r="C174">
        <v>19</v>
      </c>
      <c r="D174">
        <v>7</v>
      </c>
      <c r="E174">
        <v>3</v>
      </c>
      <c r="F174" s="3">
        <f>2634+(111.7-527.5)+(-5.37336+(-0.227868--1.0761))+0-70.8--0.144431999999997</f>
        <v>2143.0193039999995</v>
      </c>
      <c r="G174" s="3">
        <f>2527.3+(109.1-555.2)+(-3.866769+(-0.166923--0.849456))+0-62.8--0.0960840000000036</f>
        <v>2015.3118480000003</v>
      </c>
      <c r="H174" s="3">
        <f>2392.7+(109-491.8)+(-3.660831+(-0.16677--0.752454))+0-73.5--0.112455000000004</f>
        <v>1933.4373079999998</v>
      </c>
      <c r="I174" s="3">
        <f>2092.4+(109.3-253.5)+(-1.067124+(-0.055743--0.129285))+0-70.9--0.0361589999999928</f>
        <v>1876.3425769999999</v>
      </c>
      <c r="J174" s="3">
        <f>2023.2+(109.4-204.4)+(0+(0-0))+0-79.7-0</f>
        <v>1848.5</v>
      </c>
      <c r="K174" s="3">
        <f>2030.4+(86.8-223.5)+(0+(0-0))+0-62.9-0</f>
        <v>1830.8</v>
      </c>
      <c r="L174" s="3">
        <f>2002.4+(101.6-302.1)+(-7.148568+(-0.362712--1.078497))+0-60.1--0.214557000000001</f>
        <v>1735.5817740000002</v>
      </c>
      <c r="M174" s="3">
        <f>1790.4+(141.2-159.7)+(-0.913104+(-0.072012--0.081447))+0-60.7--0.0309569999999938</f>
        <v>1710.327288</v>
      </c>
      <c r="N174" s="3">
        <f>1841.4+(130.5-158.9)+(4.69557+(0.332775-0.405195))+0-55.8-0.142289999999992</f>
        <v>1761.6808599999999</v>
      </c>
      <c r="O174" s="3">
        <f>1991.8+(116.8-209.1)+(-1.015818+(-0.059568--0.106641))+0-60.6--0.0309059999999939</f>
        <v>1837.9621610000002</v>
      </c>
      <c r="P174" s="3">
        <f>2091.5+(125.8-248.2)+(-2.13333+(-0.128316--0.253164))+0-73.3--0.0747660000000117</f>
        <v>1893.866284</v>
      </c>
      <c r="Q174" s="3">
        <f>2107.1+(114.3-218.5)+(-1.074621+(-0.058293--0.111435))+0-67--0.0341699999999932</f>
        <v>1934.9126909999998</v>
      </c>
      <c r="R174" s="3">
        <f>2200.8+(110.9-232.5)+(-3.367224+(-0.169677--0.355725))+0-77.8--0.119034000000004</f>
        <v>1998.3378580000003</v>
      </c>
      <c r="S174" s="3">
        <f>2275+(114.6-343.7)+(-2.3205+(-0.116892--0.350574))+0-82--0.0836400000000131</f>
        <v>1961.8968220000002</v>
      </c>
      <c r="T174" s="3">
        <f>2233.3+(116.7-329.5)+(-2.277966+(-0.119034--0.33609))+0-70.8--0.0722160000000113</f>
        <v>1947.7113060000004</v>
      </c>
      <c r="U174" s="3">
        <f>2005.2+(138.5-184.4)+(-1.022652+(-0.070635--0.094044))+0-66.7--0.0340169999999932</f>
        <v>1891.6347739999999</v>
      </c>
      <c r="V174" s="3">
        <f>1943.9+(156.8-150.8)+(-2.974167+(-0.239904--0.230724))+0-75.7--0.115821000000004</f>
        <v>1871.332474</v>
      </c>
      <c r="W174" s="3">
        <f>2039+(135.9-152.9)+(-6.23934+(-0.415854--0.467874))+0-76--0.232560000000009</f>
        <v>1940.0452399999999</v>
      </c>
      <c r="X174" s="3">
        <f>2004.9+(160.7-163.1)+(-2.044998+(-0.163914--0.166362))+0-38.9--0.0396780000000062</f>
        <v>1961.5971280000001</v>
      </c>
      <c r="Y174" s="3">
        <f>2196.7+(311.9-169.4)+(-2.240634+(-0.318138--0.172788))+0-74.5--0.0759900000000119</f>
        <v>2262.3900059999996</v>
      </c>
      <c r="Z174" s="3">
        <f>2243.5+(266.4-172.8)+(-4.57674+(-0.543456--0.352512))+0-75.4--0.153815999999997</f>
        <v>2257.0861319999999</v>
      </c>
      <c r="AA174" s="3">
        <f>2202+(238.5-161.6)+(-4.49208+(-0.48654--0.329664))+0-44.3--0.0903719999999981</f>
        <v>2230.041416</v>
      </c>
      <c r="AB174" s="3">
        <f>2047.3+(312.9-152.5)+(-1.044123+(-0.159579--0.077775))+0-74.1--0.0377909999999925</f>
        <v>2132.5118640000001</v>
      </c>
      <c r="AC174" s="3">
        <f>1994+(342-139.1)+(-3.05082+(-0.52326--0.212823))+0-87.3--0.133569000000005</f>
        <v>2106.372312</v>
      </c>
      <c r="AD174">
        <f t="shared" si="2"/>
        <v>47082.699426999992</v>
      </c>
      <c r="AE174" s="3">
        <f>2277+(242.1-165.8)+(0+(0-0))+0-76.6-0</f>
        <v>2276.7000000000003</v>
      </c>
    </row>
    <row r="175" spans="1:31" s="2" customFormat="1" x14ac:dyDescent="0.25">
      <c r="A175">
        <v>89</v>
      </c>
      <c r="B175">
        <v>6</v>
      </c>
      <c r="C175">
        <v>20</v>
      </c>
      <c r="D175">
        <v>1</v>
      </c>
      <c r="E175">
        <v>1</v>
      </c>
      <c r="F175" s="3">
        <f>1888.7+(272.7-126.3)+(-3.852948+(-0.556308--0.257652))+0-23.3--0.047531999999999</f>
        <v>2007.6959280000001</v>
      </c>
      <c r="G175" s="3">
        <f>1770.4+(336.9-122.4)+(-2.708712+(-0.515457--0.187272))+0-69.2--0.105876000000004</f>
        <v>1912.7689790000002</v>
      </c>
      <c r="H175" s="3">
        <f>1632.6+(402-110.7)+(-4.995756+(-1.23012--0.338742))+0-60.4--0.184824000000007</f>
        <v>1857.7976899999996</v>
      </c>
      <c r="I175" s="3">
        <f>1588.8+(430.1-111.5)+(-1.620576+(-0.438702--0.11373))+0-84.1--0.0857820000000134</f>
        <v>1821.4402340000004</v>
      </c>
      <c r="J175" s="3">
        <f>1586.4+(397.1-114.6)+(-1.618128+(-0.405042--0.116892))+0-66--0.0673200000000105</f>
        <v>1801.0610420000003</v>
      </c>
      <c r="K175" s="3">
        <f>1597.5+(386.2-124)+(0+(0-0))+0-62.3-0</f>
        <v>1797.4</v>
      </c>
      <c r="L175" s="3">
        <f>1583.5+(365.4-148.8)+(-5.653095+(-1.304478--0.531216))+0-68.7--0.245259000000001</f>
        <v>1725.2189019999998</v>
      </c>
      <c r="M175" s="3">
        <f>1567+(429.5-146)+(-2.39751+(-0.657135--0.22338))+0-78.4--0.119952000000005</f>
        <v>1769.3886869999999</v>
      </c>
      <c r="N175" s="3">
        <f>1608+(440.5-137.3)+(-2.46024+(-0.673965--0.210069))+0-31.1--0.0475830000000018</f>
        <v>1877.2234470000001</v>
      </c>
      <c r="O175" s="3">
        <f>1724.5+(474.1-136.6)+(-0.879495+(-0.241791--0.069666))+0-77.1--0.0393209999999922</f>
        <v>1983.8877009999999</v>
      </c>
      <c r="P175" s="3">
        <f>1802.8+(492.6-138.9)+(-1.838856+(-0.502452--0.141678))+0-72.6--0.0740520000000116</f>
        <v>2081.774422</v>
      </c>
      <c r="Q175" s="3">
        <f>1952.9+(408.8-135.1)+(-0.995979+(-0.208488--0.068901))+0-71.6--0.0365159999999927</f>
        <v>2153.9009500000006</v>
      </c>
      <c r="R175" s="3">
        <f>1990+(412.7-137.7)+(-1.0149+(-0.210477--0.070227))+0-79.3--0.040442999999992</f>
        <v>2184.5852929999996</v>
      </c>
      <c r="S175" s="3">
        <f>2071.8+(313.7-141.1)+(-2.113236+(-0.319974--0.143922))+0-81.2--0.082824000000013</f>
        <v>2160.9935360000004</v>
      </c>
      <c r="T175" s="3">
        <f>2005.5+(373.9-145.6)+(1.022805+(0.190689-0.074256))+0-76.6-0.0390659999999922</f>
        <v>2158.3001720000007</v>
      </c>
      <c r="U175" s="3">
        <f>1916.7+(439.2-144)+(-1.955034+(-0.447984--0.14688))+0-66.3--0.0676260000000106</f>
        <v>2143.4114879999997</v>
      </c>
      <c r="V175" s="3">
        <f>1930.9+(339.8-139.9)+(0+(0-0))+0-19-0</f>
        <v>2111.8000000000002</v>
      </c>
      <c r="W175" s="3">
        <f>1965.6+(288-140)+(-5.01228+(-0.7344--0.357))+0-19--0.0484499999999972</f>
        <v>2089.2587699999995</v>
      </c>
      <c r="X175" s="3">
        <f>1926.4+(437-146.3)+(-5.894784+(-1.33722--0.447678))+0-77.6--0.237456000000009</f>
        <v>2132.9531299999999</v>
      </c>
      <c r="Y175" s="3">
        <f>2103.3+(490.6-169.8)+(-1.072683+(-0.250206--0.086598))+0-77--0.0392699999999922</f>
        <v>2345.9029790000004</v>
      </c>
      <c r="Z175" s="3">
        <f>2204.6+(391.1-175.3)+(-2.248692+(-0.398922--0.178806))+0-59.9--0.0610980000000095</f>
        <v>2358.09229</v>
      </c>
      <c r="AA175" s="3">
        <f>2232.4+(311.3-165.4)+(-4.554096+(-0.635052--0.337416))+0-75.9--0.154835999999997</f>
        <v>2297.7031040000002</v>
      </c>
      <c r="AB175" s="3">
        <f>2216.2+(240.6-167.3)+(-3.390786+(-0.368118--0.255969))+0-73.8--0.112914000000004</f>
        <v>2212.3099789999997</v>
      </c>
      <c r="AC175" s="3">
        <f>2164.3+(238.4-161.9)+(-5.518965+(-0.60792--0.412845))+0-90.8--0.231539999999987</f>
        <v>2144.5174999999999</v>
      </c>
      <c r="AD175">
        <f t="shared" si="2"/>
        <v>49129.386223000001</v>
      </c>
      <c r="AE175" s="3">
        <f>2219+(394.3-170.5)+(0+(0-0))+0-86.4-0</f>
        <v>2356.4</v>
      </c>
    </row>
    <row r="176" spans="1:31" s="2" customFormat="1" x14ac:dyDescent="0.25">
      <c r="A176">
        <v>89</v>
      </c>
      <c r="B176">
        <v>6</v>
      </c>
      <c r="C176">
        <v>21</v>
      </c>
      <c r="D176">
        <v>2</v>
      </c>
      <c r="E176">
        <v>1</v>
      </c>
      <c r="F176" s="3">
        <f>2056.7+(155-187.2)+(-3.146751+(-0.23715--0.286416))+0-30.5--0.0466650000000018</f>
        <v>1990.9491799999998</v>
      </c>
      <c r="G176" s="3">
        <f>2009.3+(137.4-162.5)+(-1.024743+(-0.070074--0.082875))+0-84.7--0.0431969999999914</f>
        <v>1898.5312549999999</v>
      </c>
      <c r="H176" s="3">
        <f>1849.4+(171.2-126.9)+(-1.886388+(-0.174624--0.129438))+0-59--0.0601800000000094</f>
        <v>1832.828606</v>
      </c>
      <c r="I176" s="3">
        <f>1800.3+(191.7-115.2)+(-2.754459+(-0.293301--0.176256))+0-66.4--0.101592000000004</f>
        <v>1807.6300879999999</v>
      </c>
      <c r="J176" s="3">
        <f>1765.5+(222.4-113.3)+(-2.701215+(-0.340272--0.173349))+0-77.6--0.118728000000004</f>
        <v>1794.2505899999999</v>
      </c>
      <c r="K176" s="3">
        <f>1780.1+(202.7-120.5)+(0+(0-0))+0-64.6-0</f>
        <v>1797.7</v>
      </c>
      <c r="L176" s="3">
        <f>1767.9+(192.6-151.5)+(-4.508145+(-0.49113--0.386325))+0-57.7--0.147134999999992</f>
        <v>1746.8341849999999</v>
      </c>
      <c r="M176" s="3">
        <f>1877+(192.1-156.6)+(0+(0-0))+0-64.4-0</f>
        <v>1848.1</v>
      </c>
      <c r="N176" s="3">
        <f>2094.4+(139.3-236.6)+(1.068144+(0.071043-0.120666))+0-25.1-0.0128009999999975</f>
        <v>1973.0057200000001</v>
      </c>
      <c r="O176" s="3">
        <f>2096.6+(144.7-161.7)+(-3.207798+(-0.221391--0.247401))+0-14.4--0.0220320000000008</f>
        <v>2062.0402439999998</v>
      </c>
      <c r="P176" s="3">
        <f>2255.6+(133.8-194.7)+(0+(0-0))+0-17-0</f>
        <v>2177.6999999999998</v>
      </c>
      <c r="Q176" s="3">
        <f>2314.7+(113.4-204.7)+(0+(0-0))+0-16.8-0</f>
        <v>2206.5999999999995</v>
      </c>
      <c r="R176" s="3">
        <f>2310.2+(112.4-207.6)+(-3.534606+(-0.171972--0.317628))+0-24.2--0.0370260000000014</f>
        <v>2187.4480760000001</v>
      </c>
      <c r="S176" s="3">
        <f>2342.9+(141.8-258.3)+(-5.974395+(-0.36159--0.658665))+0-55.2--0.140759999999992</f>
        <v>2165.6634400000003</v>
      </c>
      <c r="T176" s="3">
        <f>2361.8+(139.2-297)+(0+(0-0))+0-61.8-0</f>
        <v>2142.1999999999998</v>
      </c>
      <c r="U176" s="3">
        <f>2352.7+(134.3-293.7)+(2.399754+(0.136986-0.299574))+0-74-0.0754800000000118</f>
        <v>2121.4616859999996</v>
      </c>
      <c r="V176" s="3">
        <f>2257.3+(151.9-244)+(-4.604892+(-0.309876--0.49776))+0-70.2--0.143207999999997</f>
        <v>2090.7262000000005</v>
      </c>
      <c r="W176" s="3">
        <f>2192.4+(175-217)+(-4.472496+(-0.357--0.44268))+0-70.7--0.144227999999997</f>
        <v>2075.4574120000002</v>
      </c>
      <c r="X176" s="3">
        <f>2177.5+(217.3-198.4)+(-1.110525+(-0.110823--0.101184))+0-73.6--0.0375359999999925</f>
        <v>2121.7173720000001</v>
      </c>
      <c r="Y176" s="3">
        <f>2356.1+(244.9-189.2)+(-1.201611+(-0.124899--0.096492))+0-77.2--0.0393719999999922</f>
        <v>2333.4093539999999</v>
      </c>
      <c r="Z176" s="3">
        <f>2495.9+(171.7-259.4)+(-3.818727+(-0.262701--0.396882))+0-66.4--0.101592000000004</f>
        <v>2338.2170460000002</v>
      </c>
      <c r="AA176" s="3">
        <f>2444.2+(152.5-282.7)+(-8.725794+(-0.544425--1.009239))+0-53.7--0.191709000000001</f>
        <v>2252.2307290000003</v>
      </c>
      <c r="AB176" s="3">
        <f>2248.4+(178.3-196.1)+(-1.146684+(-0.090933--0.100011))+0-80.1--0.0408509999999919</f>
        <v>2149.4032450000004</v>
      </c>
      <c r="AC176" s="3">
        <f>2229.1+(135-274.2)+(-2.273682+(-0.1377--0.279684))+0-18.7--0.019074000000003</f>
        <v>2069.0873759999999</v>
      </c>
      <c r="AD176">
        <f t="shared" si="2"/>
        <v>49183.191804000009</v>
      </c>
      <c r="AE176" s="3">
        <f>2533+(158.2-277.2)+(0+(0-0))+0-86.4-0</f>
        <v>2327.6</v>
      </c>
    </row>
    <row r="177" spans="1:31" s="2" customFormat="1" x14ac:dyDescent="0.25">
      <c r="A177">
        <v>89</v>
      </c>
      <c r="B177">
        <v>6</v>
      </c>
      <c r="C177">
        <v>22</v>
      </c>
      <c r="D177">
        <v>3</v>
      </c>
      <c r="E177">
        <v>1</v>
      </c>
      <c r="F177" s="3">
        <f>2131.7+(121.7-252.2)+(-4.348668+(-0.248268--0.514488))+0-25.4--0.0518159999999989</f>
        <v>1971.7693679999995</v>
      </c>
      <c r="G177" s="3">
        <f>2019+(119.6-234)+(-1.02969+(-0.060996--0.11934))+0-19.9--0.010148999999998</f>
        <v>1883.7388029999997</v>
      </c>
      <c r="H177" s="3">
        <f>1963.2+(120.6-177.6)+(-2.002464+(-0.123012--0.181152))+0-65.3--0.0666060000000104</f>
        <v>1839.0222820000001</v>
      </c>
      <c r="I177" s="3">
        <f>1957.5+(120.5-212.7)+(-2.994975+(-0.184365--0.325431))+0-42.5--0.0650250000000025</f>
        <v>1820.0111160000001</v>
      </c>
      <c r="J177" s="3">
        <f>1961.7+(120.7-185.3)+(-2.000934+(-0.123114--0.189006))+0-84.1--0.0857820000000134</f>
        <v>1811.1507400000003</v>
      </c>
      <c r="K177" s="3">
        <f>2002.1+(120.8-242.7)+(4.084284+(0.246432-0.495108))+0-75.5-0.154019999999997</f>
        <v>1808.381588</v>
      </c>
      <c r="L177" s="3">
        <f>1903+(127.1-192.4)+(-3.88212+(-0.259284--0.392496))+0-75.4--0.153815999999997</f>
        <v>1758.7049079999999</v>
      </c>
      <c r="M177" s="3">
        <f>1931.9+(158.3-163.4)+(2.955807+(0.242199-0.250002))+0-74-0.113220000000004</f>
        <v>1855.6347840000003</v>
      </c>
      <c r="N177" s="3">
        <f>2123+(128.6-222.6)+(-1.08273+(-0.065586--0.113526))+0-67.7--0.0345269999999931</f>
        <v>1960.2997370000001</v>
      </c>
      <c r="O177" s="3">
        <f>2228.4+(134-305.1)+(1.136484+(0.06834-0.155601))+0-78.9-0.040238999999992</f>
        <v>1979.4089840000001</v>
      </c>
      <c r="P177" s="3">
        <f>2516.9+(133.6-446.2)+(2.567238+(0.136272-0.455124))+0-69.3-0.070686000000011</f>
        <v>2137.1777000000002</v>
      </c>
      <c r="Q177" s="3">
        <f>2659.5+(133.6-544.4)+(-1.356345+(-0.068136--0.277644))+0-70.4--0.0359039999999929</f>
        <v>2177.1890669999998</v>
      </c>
      <c r="R177" s="3">
        <f>2691+(134.3-593.8)+(0+(0-0))+0-64.8-0</f>
        <v>2166.6999999999998</v>
      </c>
      <c r="S177" s="3">
        <f>2688+(132.9-623.3)+(-2.74176+(-0.135558--0.635766))+0-89.1--0.0908820000000142</f>
        <v>2106.34933</v>
      </c>
      <c r="T177" s="3">
        <f>2487.8+(133.2-461.6)+(0+(0-0))+0-76.1-0</f>
        <v>2083.3000000000002</v>
      </c>
      <c r="U177" s="3">
        <f>2437.5+(134.5-415.6)+(0+(0-0))+0-75.9-0</f>
        <v>2080.5</v>
      </c>
      <c r="V177" s="3">
        <f>2553.4+(135.2-535.4)+(-6.51117+(-0.34476--1.36527))+0-72.6--0.185129999999989</f>
        <v>2075.2944700000003</v>
      </c>
      <c r="W177" s="3">
        <f>2567.1+(135.4-553.8)+(-7.855326+(-0.414324--1.694628))+0-74.9--0.229194000000009</f>
        <v>2067.4541719999997</v>
      </c>
      <c r="X177" s="3">
        <f>2295.3+(150.3-227.2)+(-3.511809+(-0.229959--0.347616))+0-85.8--0.131274000000005</f>
        <v>2129.3371219999999</v>
      </c>
      <c r="Y177" s="3">
        <f>2648.9+(134.9-349.5)+(-2.701878+(-0.137598--0.35649))+0-73.8--0.0752760000000118</f>
        <v>2358.09229</v>
      </c>
      <c r="Z177" s="3">
        <f>2783.2+(134.4-481.5)+(-4.258296+(-0.205632--0.736695))+0-76.8--0.117504000000004</f>
        <v>2355.6902709999995</v>
      </c>
      <c r="AA177" s="3">
        <f>2653.9+(134.3-419.8)+(-4.060467+(-0.205479--0.642294))+0-75.4--0.115362000000004</f>
        <v>2289.4917099999998</v>
      </c>
      <c r="AB177" s="3">
        <f>2450.2+(135.4-341.6)+(-4.998408+(-0.276216--0.696864))+0-85.3--0.174011999999996</f>
        <v>2154.2962519999996</v>
      </c>
      <c r="AC177" s="3">
        <f>2383.3+(136.1-359.3)+(-2.430966+(-0.138822--0.366486))+0-80.5--0.0821100000000128</f>
        <v>2077.4788080000003</v>
      </c>
      <c r="AD177">
        <f t="shared" si="2"/>
        <v>48946.473502000001</v>
      </c>
      <c r="AE177" s="3">
        <f>2807+(134.7-483.2)+(0+(0-0))+0-88-0</f>
        <v>2370.5</v>
      </c>
    </row>
    <row r="178" spans="1:31" s="2" customFormat="1" x14ac:dyDescent="0.25">
      <c r="A178">
        <v>89</v>
      </c>
      <c r="B178">
        <v>6</v>
      </c>
      <c r="C178">
        <v>23</v>
      </c>
      <c r="D178">
        <v>4</v>
      </c>
      <c r="E178">
        <v>1</v>
      </c>
      <c r="F178" s="3">
        <f>2041+(153.9-162.8)+(-3.12273+(-0.235467--0.249084))+0-59.4--0.0908820000000034</f>
        <v>1969.6817689999998</v>
      </c>
      <c r="G178" s="3">
        <f>1909.1+(169-113.5)+(-2.920923+(-0.25857--0.173655))+0-76.4--0.116892000000004</f>
        <v>1885.3110539999998</v>
      </c>
      <c r="H178" s="3">
        <f>1922.5+(123-151.2)+(-0.980475+(-0.06273--0.077112))+0-77.3--0.0394229999999922</f>
        <v>1816.0733299999999</v>
      </c>
      <c r="I178" s="3">
        <f>1872.6+(140-134)+(-2.865078+(-0.2142--0.20502))+0-88.4--0.135252000000005</f>
        <v>1787.4609939999998</v>
      </c>
      <c r="J178" s="3">
        <f>1801.7+(160.1-113.3)+(-4.594335+(-0.408255--0.288915))+0-62.1--0.158354999999991</f>
        <v>1781.8446800000002</v>
      </c>
      <c r="K178" s="3">
        <f>1776.9+(169.5-105.2)+(-0.906219+(-0.086445--0.053652))+0-65.4--0.0333539999999934</f>
        <v>1774.8943419999998</v>
      </c>
      <c r="L178" s="3">
        <f>1765.6+(167.1-123.3)+(-3.601824+(-0.340884--0.251532))+0-72.3--0.147491999999997</f>
        <v>1733.5563159999999</v>
      </c>
      <c r="M178" s="3">
        <f>1864.5+(154-125)+(0+(0-0))+0-83.1-0</f>
        <v>1810.4</v>
      </c>
      <c r="N178" s="3">
        <f>2084.6+(82.7-220.8)+(-2.126292+(-0.084354--0.225216))+0-15.7--0.0160140000000025</f>
        <v>1928.830584</v>
      </c>
      <c r="O178" s="3">
        <f>2306.4+(93-375.1)+(-3.528792+(-0.14229--0.573903))+0-6.6--0.0100980000000004</f>
        <v>2014.6129190000001</v>
      </c>
      <c r="P178" s="3">
        <f>2412.5+(100.4-392.1)+(-1.230375+(-0.051204--0.199971))+0-10--0.00509999999999899</f>
        <v>2109.7234920000001</v>
      </c>
      <c r="Q178" s="3">
        <f>2453.4+(98.9-382.1)+(-2.502468+(-0.100878--0.389742))+0-7.2--0.00734400000000115</f>
        <v>2160.7937400000001</v>
      </c>
      <c r="R178" s="3">
        <f>2521.2+(96.8-432)+(-6.42906+(-0.24684--1.1016))+0-9.3--0.0237149999999987</f>
        <v>2171.1494149999994</v>
      </c>
      <c r="S178" s="3">
        <f>2433.4+(81.4-374.6)+(-4.964136+(-0.166056--0.764184))+0-8.6--0.0175439999999996</f>
        <v>2127.2515359999998</v>
      </c>
      <c r="T178" s="3">
        <f>2438.4+(80.6-397.3)+(-1.243584+(-0.041106--0.202623))+0-6.6--0.00336599999999933</f>
        <v>2114.021299</v>
      </c>
      <c r="U178" s="3">
        <f>2446.2+(83-372.9)+(-4.990248+(-0.16932--0.760716))+0-9--0.0183599999999996</f>
        <v>2142.919508</v>
      </c>
      <c r="V178" s="3">
        <f>2380.3+(85.9-354.3)+(-2.427906+(-0.087618--0.361386))+0-10--0.0102000000000016</f>
        <v>2099.7560620000004</v>
      </c>
      <c r="W178" s="3">
        <f>2338.9+(73.8-288.3)+(-2.385678+(-0.075276--0.294066))+0-24.1--0.0245820000000038</f>
        <v>2098.157694</v>
      </c>
      <c r="X178" s="3">
        <f>2339.8+(83.3-193.5)+(-2.386596+(-0.084966--0.19737))+0-67.9--0.0692580000000108</f>
        <v>2159.4950660000004</v>
      </c>
      <c r="Y178" s="3">
        <f>2639.2+(87-264.1)+(-4.037976+(-0.13311--0.404073))+0-74--0.113220000000004</f>
        <v>2384.446207</v>
      </c>
      <c r="Z178" s="3">
        <f>2923.1+(102.8-564)+(-4.472343+(-0.157284--0.86292))+0-67.4--0.103122000000004</f>
        <v>2390.8364149999998</v>
      </c>
      <c r="AA178" s="3">
        <f>2792.4+(124.5-528.2)+(-7.12062+(-0.317475--1.34691))+0-62.9--0.160394999999991</f>
        <v>2319.8692099999994</v>
      </c>
      <c r="AB178" s="3">
        <f>2621+(121.6-467.8)+(-2.67342+(-0.124032--0.477156))+0-69.3--0.070686000000011</f>
        <v>2203.2503900000002</v>
      </c>
      <c r="AC178" s="3">
        <f>2450.4+(110.7-358.5)+(-2.499408+(-0.112914--0.36567))+0-83.8--0.0854760000000134</f>
        <v>2116.6388240000001</v>
      </c>
      <c r="AD178">
        <f t="shared" si="2"/>
        <v>49100.974846000005</v>
      </c>
      <c r="AE178" s="3">
        <f>2977+(72.5-558.9)+(0+(0-0))+0-73.8-0</f>
        <v>2416.7999999999997</v>
      </c>
    </row>
    <row r="179" spans="1:31" s="2" customFormat="1" x14ac:dyDescent="0.25">
      <c r="A179">
        <v>89</v>
      </c>
      <c r="B179">
        <v>6</v>
      </c>
      <c r="C179">
        <v>24</v>
      </c>
      <c r="D179">
        <v>5</v>
      </c>
      <c r="E179">
        <v>1</v>
      </c>
      <c r="F179" s="3">
        <f>2218+(78.6-230.2)+(-2.26236+(-0.080172--0.234804))+0-66.9--0.0682380000000107</f>
        <v>1997.4605100000001</v>
      </c>
      <c r="G179" s="3">
        <f>2160.1+(113.3-298.9)+(-1.101651+(-0.057783--0.152439))+0-55.4--0.0282539999999944</f>
        <v>1918.121259</v>
      </c>
      <c r="H179" s="3">
        <f>2037.2+(98.2-202.9)+(3.116916+(0.150246-0.310437))+0-79.8-0.122094000000005</f>
        <v>1855.534631</v>
      </c>
      <c r="I179" s="3">
        <f>1889.2+(107.7-115.8)+(0+(0-0))+0-70.9-0</f>
        <v>1810.2</v>
      </c>
      <c r="J179" s="3">
        <f>1880.7+(90.2-103.9)+(-1.918314+(-0.092004--0.105978))+0-66.8--0.0681360000000106</f>
        <v>1798.3637960000001</v>
      </c>
      <c r="K179" s="3">
        <f>1969.3+(70.5-150.3)+(0+(0-0))+0-68.1-0</f>
        <v>1821.4</v>
      </c>
      <c r="L179" s="3">
        <f>2001.6+(81.4-221.1)+(-3.062448+(-0.124542--0.338283))+0-88.1--0.134793000000005</f>
        <v>1771.0860859999998</v>
      </c>
      <c r="M179" s="3">
        <f>2018.4+(104.6-189.2)+(-2.058768+(-0.106692--0.192984))+0-71.3--0.0727260000000114</f>
        <v>1860.6002500000004</v>
      </c>
      <c r="N179" s="3">
        <f>2113+(115.2-201.6)+(1.07763+(0.058752-0.102816))+0-53.8-0.0274379999999945</f>
        <v>1973.8061279999999</v>
      </c>
      <c r="O179" s="3">
        <f>2180.5+(134.7-127.9)+(-1.112055+(-0.068697--0.065229))+0-82--0.0418199999999917</f>
        <v>2104.2262970000002</v>
      </c>
      <c r="P179" s="3">
        <f>2398.1+(100.6-221.9)+(0+(0-0))+0-70-0</f>
        <v>2206.7999999999997</v>
      </c>
      <c r="Q179" s="3">
        <f>2472.8+(113.3-266.4)+(1.261128+(0.057783-0.135864))+0-61.2-0.0312119999999938</f>
        <v>2259.6518350000006</v>
      </c>
      <c r="R179" s="3">
        <f>2517.6+(113.2-306)+(-1.283976+(-0.057732--0.15606))+0-73.6--0.0375359999999925</f>
        <v>2250.0518879999995</v>
      </c>
      <c r="S179" s="3">
        <f>2520.8+(105-359.4)+(-1.285608+(-0.05355--0.183294))+0-70.2--0.0358019999999929</f>
        <v>2195.0799380000003</v>
      </c>
      <c r="T179" s="3">
        <f>2440.4+(107-356.4)+(-3.733812+(-0.16371--0.545292))+0-44.5--0.0680850000000026</f>
        <v>2143.2158549999999</v>
      </c>
      <c r="U179" s="3">
        <f>2406.2+(105.8-318.1)+(2.454324+(0.107916-0.324462))+0-68-0.0693600000000108</f>
        <v>2128.0684179999998</v>
      </c>
      <c r="V179" s="3">
        <f>2403.3+(89.4-332.2)+(0+(0-0))+0-63.1-0</f>
        <v>2097.4</v>
      </c>
      <c r="W179" s="3">
        <f>2381.1+(76.9-272.3)+(-4.857444+(-0.156876--0.555492))+0-59.7--0.121787999999997</f>
        <v>2121.6629600000001</v>
      </c>
      <c r="X179" s="3">
        <f>2365.1+(81.8-182.5)+(1.206201+(0.041718-0.093075))+0-77.9-0.0397289999999921</f>
        <v>2187.6151150000001</v>
      </c>
      <c r="Y179" s="3">
        <f>2632.5+(113.8-298.2)+(-1.342575+(-0.058038--0.152082))+0-70.9--0.0361589999999928</f>
        <v>2375.9876279999994</v>
      </c>
      <c r="Z179" s="3">
        <f>2937.2+(93.7-610.7)+(-7.48986+(-0.238935--1.557285))+0-63.1--0.160904999999991</f>
        <v>2351.089395</v>
      </c>
      <c r="AA179" s="3">
        <f>2864.1+(121.6-632.3)+(-7.303455+(-0.31008--1.612365))+0-78.5--0.200174999999989</f>
        <v>2269.099005</v>
      </c>
      <c r="AB179" s="3">
        <f>2686.8+(147.1-618.6)+(-5.481072+(-0.300084--1.261944))+0-53.7--0.109547999999998</f>
        <v>2157.1903360000001</v>
      </c>
      <c r="AC179" s="3">
        <f>2614.9+(129.1-542.2)+(-1.333599+(-0.065841--0.276522))+0-87.3--0.0445229999999911</f>
        <v>2113.421605</v>
      </c>
      <c r="AD179">
        <f t="shared" si="2"/>
        <v>49767.132935000009</v>
      </c>
      <c r="AE179" s="3">
        <f>3053+(55.8-684)+(0+(0-0))+0-20.1-0</f>
        <v>2404.7000000000003</v>
      </c>
    </row>
    <row r="180" spans="1:31" s="2" customFormat="1" x14ac:dyDescent="0.25">
      <c r="A180">
        <v>89</v>
      </c>
      <c r="B180">
        <v>6</v>
      </c>
      <c r="C180">
        <v>25</v>
      </c>
      <c r="D180">
        <v>6</v>
      </c>
      <c r="E180">
        <v>1</v>
      </c>
      <c r="F180" s="3">
        <f>2270.7+(110.2-349.9)+(-5.790285+(-0.28101--0.892245))+0-49.7--0.126734999999993</f>
        <v>1976.2476849999998</v>
      </c>
      <c r="G180" s="3">
        <f>1987.8+(108.8-151.6)+(-4.055112+(-0.221952--0.309264))+0-84.8--0.172991999999996</f>
        <v>1856.4051920000002</v>
      </c>
      <c r="H180" s="3">
        <f>1956.8+(109.2-197.8)+(0.997968+(0.055692-0.100878))+0-72.9-0.0371789999999926</f>
        <v>1796.2156030000001</v>
      </c>
      <c r="I180" s="3">
        <f>1925.9+(108.9-207.6)+(-5.893254+(-0.333234--0.635256))+0-56.3--0.172278000000007</f>
        <v>1765.4810460000001</v>
      </c>
      <c r="J180" s="3">
        <f>1799+(171.7-104.6)+(0.91749+(0.087567-0.053346))+0-86.5-0.0441149999999912</f>
        <v>1780.5075959999999</v>
      </c>
      <c r="K180" s="3">
        <f>1779.4+(178.6-105.1)+(0+(0-0))+0-74.7-0</f>
        <v>1778.2</v>
      </c>
      <c r="L180" s="3">
        <f>1735.3+(198.6-128.1)+(-4.425015+(-0.50643--0.326655))+0-78.1--0.199154999999989</f>
        <v>1723.294365</v>
      </c>
      <c r="M180" s="3">
        <f>1783.9+(236.2-128.6)+(0.909789+(0.120462-0.065586))+0-79.4-0.0404939999999919</f>
        <v>1813.0241709999998</v>
      </c>
      <c r="N180" s="3">
        <f>2007.4+(137.6-120)+(-2.047548+(-0.140352--0.1224))+0-69.6--0.0709920000000111</f>
        <v>1953.4054920000001</v>
      </c>
      <c r="O180" s="3">
        <f>2031.5+(215.5-140.8)+(-1.036065+(-0.109905--0.071808))+0-79--0.040289999999992</f>
        <v>2026.1661279999998</v>
      </c>
      <c r="P180" s="3">
        <f>2212.8+(132.9-180.3)+(-3.385584+(-0.203337--0.275859))+0-48--0.0734400000000028</f>
        <v>2114.160378</v>
      </c>
      <c r="Q180" s="3">
        <f>2338.4+(132.2-271.6)+(-5.96292+(-0.33711--0.69258))+0-77.5--0.197624999999989</f>
        <v>2116.0901749999998</v>
      </c>
      <c r="R180" s="3">
        <f>2305.8+(132.6-265.5)+(-12.935538+(-0.743886--1.489455))+0-54.9--0.307988999999998</f>
        <v>2106.1180199999999</v>
      </c>
      <c r="S180" s="3">
        <f>2228.3+(132.5-246.5)+(-2.272866+(-0.13515--0.25143))+0-64.4--0.0656880000000103</f>
        <v>2047.8091019999999</v>
      </c>
      <c r="T180" s="3">
        <f>2226.5+(132.3-287.8)+(-2.27103+(-0.134946--0.293556))+0-78.5--0.0800700000000125</f>
        <v>1990.46765</v>
      </c>
      <c r="U180" s="3">
        <f>1937.9+(236.3-154.2)+(-0.988329+(-0.120513--0.078642))+0-61.1--0.0311609999999938</f>
        <v>1957.9009610000001</v>
      </c>
      <c r="V180" s="3">
        <f>2024.8+(184.8-189.3)+(-2.065296+(-0.188496--0.193086))+0-64--0.0652800000000102</f>
        <v>1954.304574</v>
      </c>
      <c r="W180" s="3">
        <f>2023+(196.5-181.2)+(-5.15865+(-0.501075--0.46206))+0-79--0.201449999999989</f>
        <v>1954.3037850000001</v>
      </c>
      <c r="X180" s="3">
        <f>2029.1+(237.3-150.4)+(-1.034841+(-0.121023--0.076704))+0-59.6--0.030395999999994</f>
        <v>2055.3512360000004</v>
      </c>
      <c r="Y180" s="3">
        <f>2363.6+(169.6-207.4)+(0+(0-0))+0-66.3-0</f>
        <v>2259.4999999999995</v>
      </c>
      <c r="Z180" s="3">
        <f>2356.6+(154.4-222.8)+(-1.201866+(-0.078744--0.113628))+0-50--0.0254999999999949</f>
        <v>2237.0585179999998</v>
      </c>
      <c r="AA180" s="3">
        <f>2345.5+(134.7-225.6)+(-3.588615+(-0.206091--0.345168))+0-72.3--0.110619000000004</f>
        <v>2178.9610809999999</v>
      </c>
      <c r="AB180" s="3">
        <f>2307.9+(133.7-288.6)+(-4.708116+(-0.272748--0.588744))+0-87.3--0.178091999999996</f>
        <v>2061.4859719999999</v>
      </c>
      <c r="AC180" s="3">
        <f>2302.9+(133.7-389.1)+(-3.523437+(-0.204561--0.595323))+0-33--0.0504900000000019</f>
        <v>2011.417815</v>
      </c>
      <c r="AD180">
        <f t="shared" si="2"/>
        <v>47513.876544999999</v>
      </c>
      <c r="AE180" s="3">
        <f>2371+(134.6-240.7)+(0+(0-0))+0-18.3-0</f>
        <v>2246.6</v>
      </c>
    </row>
    <row r="181" spans="1:31" s="2" customFormat="1" x14ac:dyDescent="0.25">
      <c r="A181">
        <v>89</v>
      </c>
      <c r="B181">
        <v>6</v>
      </c>
      <c r="C181">
        <v>26</v>
      </c>
      <c r="D181">
        <v>7</v>
      </c>
      <c r="E181">
        <v>1</v>
      </c>
      <c r="F181" s="3">
        <f>2131.3+(110.6-250.5)+(-4.347852+(-0.225624--0.51102))+0-87.3--0.178091999999996</f>
        <v>1900.2156360000001</v>
      </c>
      <c r="G181" s="3">
        <f>2097.9+(107.1-313.8)+(-5.349645+(-0.273105--0.80019))+0-74.9--0.190994999999989</f>
        <v>1811.6684349999998</v>
      </c>
      <c r="H181" s="3">
        <f>1934.8+(106.9-213)+(0.986748+(0.054519-0.10863))+0-77.4-0.0394739999999922</f>
        <v>1752.1931630000001</v>
      </c>
      <c r="I181" s="3">
        <f>1919.5+(107.5-234.9)+(0.978945+(0.054825-0.119799))+0-69.2-0.035291999999993</f>
        <v>1723.7786789999998</v>
      </c>
      <c r="J181" s="3">
        <f>1917.5+(108.3-244.8)+(0+(0-0))+0-78.7-0</f>
        <v>1702.3</v>
      </c>
      <c r="K181" s="3">
        <f>1842.5+(107.5-170)+(0.939675+(0.054825-0.0867))+0-77.3-0.0394229999999922</f>
        <v>1703.5683770000001</v>
      </c>
      <c r="L181" s="3">
        <f>1767.6+(106.9-183.3)+(-4.50738+(-0.272595--0.467415))+0-67.6--0.17237999999999</f>
        <v>1619.4598199999998</v>
      </c>
      <c r="M181" s="3">
        <f>1763.8+(108.3-178.4)+(-2.698614+(-0.165699--0.272952))+0-78.2--0.119646000000005</f>
        <v>1613.0282850000001</v>
      </c>
      <c r="N181" s="3">
        <f>1729.6+(141-118.1)+(0+(0-0))+0-82.9-0</f>
        <v>1669.6</v>
      </c>
      <c r="O181" s="3">
        <f>1672.1+(222.7-110.7)+(-0.852771+(-0.113577--0.056457))+0-55.3--0.0282029999999944</f>
        <v>1727.918312</v>
      </c>
      <c r="P181" s="3">
        <f>1824.7+(147-114.1)+(-1.861194+(-0.14994--0.116382))+0-67--0.0683400000000107</f>
        <v>1788.7735880000002</v>
      </c>
      <c r="Q181" s="3">
        <f>1942+(133.2-180.4)+(-2.97126+(-0.203796--0.276012))+0-74--0.113220000000004</f>
        <v>1818.0141759999999</v>
      </c>
      <c r="R181" s="3">
        <f>2024.9+(133.9-286.8)+(0+(0-0))+0-50.7-0</f>
        <v>1821.3</v>
      </c>
      <c r="S181" s="3">
        <f>2088.6+(133.2-368)+(-2.130372+(-0.135864--0.37536))+0-53.2--0.0542640000000085</f>
        <v>1798.7633880000001</v>
      </c>
      <c r="T181" s="3">
        <f>2077.2+(132.4-367.6)+(-4.237488+(-0.270096--0.749904))+0-63.9--0.130355999999997</f>
        <v>1774.4726759999996</v>
      </c>
      <c r="U181" s="3">
        <f>2114+(133.9-424.5)+(-2.15628+(-0.136578--0.43299))+0-71.8--0.0732360000000114</f>
        <v>1749.8133680000001</v>
      </c>
      <c r="V181" s="3">
        <f>2114.2+(134.1-420.2)+(-2.156484+(-0.136782--0.428604))+0-88.9--0.0906780000000142</f>
        <v>1737.4260159999999</v>
      </c>
      <c r="W181" s="3">
        <f>1939.4+(134.6-277.7)+(-0.989094+(-0.068646--0.141627))+0-46.4--0.0236639999999953</f>
        <v>1749.0075510000001</v>
      </c>
      <c r="X181" s="3">
        <f>1865.5+(192.2-131.3)+(-2.854215+(-0.294066--0.200889))+0-73.5--0.112455000000004</f>
        <v>1850.065063</v>
      </c>
      <c r="Y181" s="3">
        <f>2208.3+(134.4-212.4)+(-3.378699+(-0.205632--0.324972))+0-23.6--0.0361080000000014</f>
        <v>2103.4767489999999</v>
      </c>
      <c r="Z181" s="3">
        <f>2270.8+(135.8-257.8)+(0+(0-0))+0-36.3-0</f>
        <v>2112.5</v>
      </c>
      <c r="AA181" s="3">
        <f>2251.1+(135.5-233.2)+(-8.036427+(-0.483735--0.832524))+0-83.4--0.297738000000001</f>
        <v>2062.6101000000003</v>
      </c>
      <c r="AB181" s="3">
        <f>2178.6+(135.3-242.9)+(-4.444344+(-0.276012--0.495516))+0-77.9--0.158915999999997</f>
        <v>1989.0340760000001</v>
      </c>
      <c r="AC181" s="3">
        <f>2002.8+(138.5-162.2)+(-2.042856+(-0.14127--0.165444))+0-67.7--0.0690540000000108</f>
        <v>1909.450372</v>
      </c>
      <c r="AD181">
        <f t="shared" si="2"/>
        <v>43488.437830000003</v>
      </c>
      <c r="AE181" s="3">
        <f>2293+(135.2-224.3)+(0+(0-0))+0-76.6-0</f>
        <v>2127.3000000000002</v>
      </c>
    </row>
    <row r="182" spans="1:31" s="2" customFormat="1" x14ac:dyDescent="0.25">
      <c r="A182">
        <v>89</v>
      </c>
      <c r="B182">
        <v>6</v>
      </c>
      <c r="C182">
        <v>27</v>
      </c>
      <c r="D182">
        <v>1</v>
      </c>
      <c r="E182">
        <v>1</v>
      </c>
      <c r="F182" s="3">
        <f>1932+(116.2-166.9)+(-2.95596+(-0.177786--0.255357))+0-73.9--0.113067000000004</f>
        <v>1804.6346779999999</v>
      </c>
      <c r="G182" s="3">
        <f>1812.5+(110.2-112.6)+(-3.6975+(-0.224808--0.229704))+0-80.1--0.163403999999996</f>
        <v>1726.4707999999998</v>
      </c>
      <c r="H182" s="3">
        <f>1654.8+(134.1-92.8)+(-3.375792+(-0.273564--0.189312))+0-23.8--0.048551999999999</f>
        <v>1668.888508</v>
      </c>
      <c r="I182" s="3">
        <f>1649.9+(125.4-101)+(-0.841449+(-0.063954--0.05151))+0-19.5--0.00994499999999802</f>
        <v>1653.9560520000002</v>
      </c>
      <c r="J182" s="3">
        <f>1574.5+(214.6-81)+(0.802995+(0.109446-0.04131))+0-62.6-0.0319259999999936</f>
        <v>1646.3392050000002</v>
      </c>
      <c r="K182" s="3">
        <f>1571.3+(251.9-88.8)+(0.801363+(0.128469-0.045288))+0-65.2-0.0332519999999934</f>
        <v>1670.0512920000001</v>
      </c>
      <c r="L182" s="3">
        <f>1545.4+(284.4-113.8)+(-3.94077+(-0.72522--0.29019))+0-76.9--0.196094999999989</f>
        <v>1634.9202949999999</v>
      </c>
      <c r="M182" s="3">
        <f>1636.4+(289.7-112.1)+(-3.338256+(-0.590988--0.228684))+0-77.5--0.158099999999997</f>
        <v>1732.9575400000001</v>
      </c>
      <c r="N182" s="3">
        <f>2011.9+(133.7-217.2)+(0+(0-0))+0-71.4-0</f>
        <v>1857</v>
      </c>
      <c r="O182" s="3">
        <f>2259.4+(135.3-366.4)+(0+(0-0))+0-63-0</f>
        <v>1965.3000000000002</v>
      </c>
      <c r="P182" s="3">
        <f>2335+(134.5-350.4)+(-1.19085+(-0.068595--0.178704))+0-69--0.035189999999993</f>
        <v>2049.0544489999997</v>
      </c>
      <c r="Q182" s="3">
        <f>2355.2+(134.1-361.6)+(-4.804608+(-0.273564--0.737664))+0-57.5--0.117299999999997</f>
        <v>2065.9767919999995</v>
      </c>
      <c r="R182" s="3">
        <f>2515.1+(133.8-499)+(-2.565402+(-0.136476--0.50898))+0-75.6--0.077112000000012</f>
        <v>2072.1842140000003</v>
      </c>
      <c r="S182" s="3">
        <f>2535+(134.1-559.3)+(-7.7571+(-0.410346--1.711458))+0-86.8--0.26560800000001</f>
        <v>2016.80962</v>
      </c>
      <c r="T182" s="3">
        <f>2550.5+(133.6-606.4)+(-2.60151+(-0.136272--0.618528))+0-75--0.076500000000012</f>
        <v>2000.6572459999998</v>
      </c>
      <c r="U182" s="3">
        <f>2510.2+(134-556.1)+(-3.840606+(-0.20502--0.850833))+0-77.1--0.117963000000004</f>
        <v>2007.9231699999998</v>
      </c>
      <c r="V182" s="3">
        <f>2496.1+(134.9-539.7)+(-2.546022+(-0.137598--0.550494))+0-74.6--0.0760920000000119</f>
        <v>2014.6429659999997</v>
      </c>
      <c r="W182" s="3">
        <f>2474.9+(136.1-510.6)+(-5.048796+(-0.277644--1.041624))+0-81.2--0.165647999999996</f>
        <v>2015.0808320000001</v>
      </c>
      <c r="X182" s="3">
        <f>2452.8+(135.8-449.5)+(-3.752784+(-0.207774--0.687735))+0-24.8--0.0379440000000014</f>
        <v>2111.0651210000005</v>
      </c>
      <c r="Y182" s="3">
        <f>2612.4+(135.2-349.9)+(-1.332324+(-0.068952--0.178449))+0-64.1--0.0326909999999935</f>
        <v>2332.4098640000002</v>
      </c>
      <c r="Z182" s="3">
        <f>2687.3+(135-434.3)+(-5.482092+(-0.2754--0.885972))+0-79.7--0.162587999999997</f>
        <v>2303.5910680000002</v>
      </c>
      <c r="AA182" s="3">
        <f>2572+(135.9-385.6)+(1.31172+(0.069309-0.196656))+0-78.4-0.039983999999992</f>
        <v>2245.0443890000001</v>
      </c>
      <c r="AB182" s="3">
        <f>2207.1+(135.1-156.4)+(-4.502484+(-0.275604--0.319056))+0-78.5--0.160139999999997</f>
        <v>2103.0011079999995</v>
      </c>
      <c r="AC182" s="3">
        <f>2104.4+(152.5-129.9)+(-4.292976+(-0.3111--0.264996))+0-87.6--0.178703999999996</f>
        <v>2035.2396239999998</v>
      </c>
      <c r="AD182">
        <f t="shared" si="2"/>
        <v>46733.198832999995</v>
      </c>
      <c r="AE182" s="3">
        <f>2742+(134.2-447.5)+(0+(0-0))+0-88.5-0</f>
        <v>2340.1999999999998</v>
      </c>
    </row>
    <row r="183" spans="1:31" s="2" customFormat="1" x14ac:dyDescent="0.25">
      <c r="A183">
        <v>89</v>
      </c>
      <c r="B183">
        <v>6</v>
      </c>
      <c r="C183">
        <v>28</v>
      </c>
      <c r="D183">
        <v>2</v>
      </c>
      <c r="E183">
        <v>1</v>
      </c>
      <c r="F183" s="3">
        <f>2026.2+(60.2-105.2)+(0+(0-0))+0-76.6-0</f>
        <v>1904.6000000000001</v>
      </c>
      <c r="G183" s="3">
        <f>1981.6+(108.2-201.2)+(-1.010616+(-0.055182--0.102612))+0-71.3--0.0363629999999928</f>
        <v>1816.3731769999999</v>
      </c>
      <c r="H183" s="3">
        <f>1868+(111.8-148)+(-0.95268+(-0.057018--0.07548))+0-66.8--0.0340679999999932</f>
        <v>1764.0998499999998</v>
      </c>
      <c r="I183" s="3">
        <f>1801.3+(115.2-101.1)+(-1.837326+(-0.117504--0.103122))+0-80.3--0.0819060000000128</f>
        <v>1733.3301980000001</v>
      </c>
      <c r="J183" s="3">
        <f>1760.6+(125.1-95.9)+(-0.897906+(-0.063801--0.048909))+0-49.8--0.0253979999999949</f>
        <v>1739.1125999999999</v>
      </c>
      <c r="K183" s="3">
        <f>1788+(134.8-89.9)+(-1.82376+(-0.137496--0.091698))+0-75.1--0.076602000000012</f>
        <v>1756.0070440000002</v>
      </c>
      <c r="L183" s="3">
        <f>1799.8+(117.7-138.2)+(-4.58949+(-0.300135--0.35241))+0-74--0.188699999999989</f>
        <v>1700.9514849999998</v>
      </c>
      <c r="M183" s="3">
        <f>1877.1+(127.1-127.2)+(0+(0-0))+0-85.5-0</f>
        <v>1791.5</v>
      </c>
      <c r="N183" s="3">
        <f>2107.6+(128.4-291.6)+(-2.149752+(-0.130968--0.297432))+0-34.1--0.0347820000000054</f>
        <v>1908.351494</v>
      </c>
      <c r="O183" s="3">
        <f>2307.3+(134.7-348.4)+(-5.883615+(-0.343485--0.88842))+0-88.4--0.225419999999987</f>
        <v>2000.0867400000004</v>
      </c>
      <c r="P183" s="3">
        <f>2512+(133.6-492.6)+(0+(0-0))+0-69.5-0</f>
        <v>2083.5</v>
      </c>
      <c r="Q183" s="3">
        <f>2573.5+(133.7-537.2)+(-3.937455+(-0.204561--0.821916))+0-53.9--0.0824670000000031</f>
        <v>2112.8623670000002</v>
      </c>
      <c r="R183" s="3">
        <f>2557.7+(133-491.2)+(-3.913281+(-0.20349--0.751536))+0-86.9--0.132957000000005</f>
        <v>2109.3677219999995</v>
      </c>
      <c r="S183" s="3">
        <f>2494.3+(133.2-493.1)+(-5.088372+(-0.271728--1.005924))+0-78.7--0.160547999999997</f>
        <v>2051.5063720000003</v>
      </c>
      <c r="T183" s="3">
        <f>2485.9+(133.9-538.6)+(1.267809+(0.068289-0.274686))+0-42.6-0.0217259999999957</f>
        <v>2039.639686</v>
      </c>
      <c r="U183" s="3">
        <f>2474.6+(133.7-551.8)+(-2.524092+(-0.136374--0.562836))+0-28.7--0.0292740000000046</f>
        <v>2025.7316439999997</v>
      </c>
      <c r="V183" s="3">
        <f>2466.9+(133.8-488)+(-6.290595+(-0.34119--1.2444))+0-86.8--0.221339999999987</f>
        <v>2020.7339550000004</v>
      </c>
      <c r="W183" s="3">
        <f>2283.9+(135-326.6)+(-4.659156+(-0.2754--0.666264))+0-70.2--0.143207999999997</f>
        <v>2017.9749159999999</v>
      </c>
      <c r="X183" s="3">
        <f>2273.2+(135.7-246.5)+(1.159332+(0.069207-0.125715))+0-38-0.0193799999999961</f>
        <v>2125.4834439999995</v>
      </c>
      <c r="Y183" s="3">
        <f>2599.2+(135.6-381.1)+(-1.325592+(-0.069156--0.194361))+0-34.6--0.0176459999999965</f>
        <v>2317.9172589999998</v>
      </c>
      <c r="Z183" s="3">
        <f>2759.7+(136.5-511.7)+(-4.222341+(-0.208845--0.782901))+0-80.5--0.123165000000005</f>
        <v>2300.4748799999998</v>
      </c>
      <c r="AA183" s="3">
        <f>2666.8+(135.4-477.6)+(-5.440272+(-0.276216--0.974304))+0-81.7--0.166667999999996</f>
        <v>2238.3244840000002</v>
      </c>
      <c r="AB183" s="3">
        <f>2503.7+(135-442.3)+(-7.661322+(-0.4131--1.353438))+0-70.6--0.216036000000008</f>
        <v>2119.2950519999995</v>
      </c>
      <c r="AC183" s="3">
        <f>2332.9+(135.5-399.1)+(-1.189779+(-0.069105--0.203541))+0-47--0.0239699999999952</f>
        <v>2021.2686270000002</v>
      </c>
      <c r="AD183">
        <f t="shared" si="2"/>
        <v>47698.492995999994</v>
      </c>
      <c r="AE183" s="3">
        <f>2786+(136.4-504.2)+(0+(0-0))+0-85.6-0</f>
        <v>2332.6</v>
      </c>
    </row>
    <row r="184" spans="1:31" s="2" customFormat="1" x14ac:dyDescent="0.25">
      <c r="A184">
        <v>89</v>
      </c>
      <c r="B184">
        <v>6</v>
      </c>
      <c r="C184">
        <v>29</v>
      </c>
      <c r="D184">
        <v>3</v>
      </c>
      <c r="E184">
        <v>1</v>
      </c>
      <c r="F184" s="3">
        <f>2126.7+(121.9-323.1)+(-4.338468+(-0.248676--0.659124))+0-37.8--0.0771119999999983</f>
        <v>1883.8490919999997</v>
      </c>
      <c r="G184" s="3">
        <f>2023.2+(119.8-239.9)+(0+(0-0))+0-87.3-0</f>
        <v>1815.8000000000002</v>
      </c>
      <c r="H184" s="3">
        <f>1991+(119.5-292.1)+(-3.04623+(-0.182835--0.446913))+0-66.6--0.101898000000004</f>
        <v>1749.1197460000001</v>
      </c>
      <c r="I184" s="3">
        <f>1900.2+(120.6-225.4)+(-1.938204+(-0.123012--0.229908))+0-55.8--0.0569160000000089</f>
        <v>1737.8256080000001</v>
      </c>
      <c r="J184" s="3">
        <f>1859.7+(120.8-173.3)+(0.948447+(0.061608-0.088383))+0-84.6-0.0431459999999914</f>
        <v>1723.4785260000001</v>
      </c>
      <c r="K184" s="3">
        <f>1858.7+(120.7-189.4)+(0+(0-0))+0-62.9-0</f>
        <v>1727.1</v>
      </c>
      <c r="L184" s="3">
        <f>1842.6+(119.3-228.7)+(-5.638356+(-0.365058--0.699822))+0-72.2--0.220932000000008</f>
        <v>1655.9173399999997</v>
      </c>
      <c r="M184" s="3">
        <f>2116.7+(120.8-398.2)+(0+(0-0))+0-72.5-0</f>
        <v>1766.7999999999997</v>
      </c>
      <c r="N184" s="3">
        <f>2220+(134.7-380.7)+(-1.1322+(-0.068697--0.194157))+0-83.1--0.0423809999999916</f>
        <v>1889.935641</v>
      </c>
      <c r="O184" s="3">
        <f>2342.3+(132.7-440.5)+(-1.194573+(-0.067677--0.224655))+0-65.1--0.0332009999999934</f>
        <v>1968.3956060000003</v>
      </c>
      <c r="P184" s="3">
        <f>2481.1+(132.7-492.4)+(0+(0-0))+0-69.2-0</f>
        <v>2052.2000000000003</v>
      </c>
      <c r="Q184" s="3">
        <f>2544.2+(133.4-516.8)+(-3.892626+(-0.204102--0.790704))+0-78.8--0.120564000000005</f>
        <v>2078.8145399999994</v>
      </c>
      <c r="R184" s="3">
        <f>2584.1+(134.2-567.4)+(-1.317891+(-0.068442--0.289374))+0-76.2--0.0388619999999923</f>
        <v>2073.6419030000002</v>
      </c>
      <c r="S184" s="3">
        <f>2501.4+(133.3-601.9)+(-8.929998+(-0.475881--2.148783))+0-21.4--0.0763980000000003</f>
        <v>2004.219302</v>
      </c>
      <c r="T184" s="3">
        <f>2486.9+(134.1-554.5)+(1.268319+(0.068391-0.282795))+0-71.7-0.0365669999999927</f>
        <v>1995.8173479999998</v>
      </c>
      <c r="U184" s="3">
        <f>2455+(134.8-546.2)+(-5.0082+(-0.274992--1.114248))+0-56.3--0.114851999999998</f>
        <v>1983.2459079999999</v>
      </c>
      <c r="V184" s="3">
        <f>2458.6+(134.9-525.4)+(-5.015544+(-0.275196--1.071816))+0-84--0.171359999999996</f>
        <v>1980.0524360000002</v>
      </c>
      <c r="W184" s="3">
        <f>2446.5+(135.8-547.3)+(-6.238575+(-0.34629--1.395615))+0-38.8--0.0989399999999944</f>
        <v>1991.1096900000002</v>
      </c>
      <c r="X184" s="3">
        <f>2374.8+(135.9-343.6)+(-1.211148+(-0.069309--0.175236))+0-84.1--0.0428909999999915</f>
        <v>2081.9376700000007</v>
      </c>
      <c r="Y184" s="3">
        <f>2695.2+(135.7-458.7)+(1.374552+(0.069207-0.233937))+0-84-0.0428399999999915</f>
        <v>2289.3669819999996</v>
      </c>
      <c r="Z184" s="3">
        <f>2682.5+(135.5-463.4)+(-5.4723+(-0.27642--0.945336))+0-79.8--0.162791999999997</f>
        <v>2270.159408</v>
      </c>
      <c r="AA184" s="3">
        <f>2578.9+(135.9-439.8)+(-7.891434+(-0.415854--1.345788))+0-71.8--0.219708000000008</f>
        <v>2196.458208</v>
      </c>
      <c r="AB184" s="3">
        <f>2504.6+(136.9-479.9)+(-5.109384+(-0.279276--0.978996))+0-70.5--0.143819999999997</f>
        <v>2086.8341559999999</v>
      </c>
      <c r="AC184" s="3">
        <f>2419.4+(136.8-530.4)+(-4.935576+(-0.279072--1.082016))+0-22.7--0.046307999999999</f>
        <v>1999.013676</v>
      </c>
      <c r="AD184">
        <f t="shared" si="2"/>
        <v>47001.092786000008</v>
      </c>
      <c r="AE184" s="3">
        <f>2681+(136-399.1)+(0+(0-0))+0-101.8-0</f>
        <v>2316.1</v>
      </c>
    </row>
    <row r="185" spans="1:31" s="2" customFormat="1" x14ac:dyDescent="0.25">
      <c r="A185">
        <v>89</v>
      </c>
      <c r="B185">
        <v>6</v>
      </c>
      <c r="C185">
        <v>30</v>
      </c>
      <c r="D185">
        <v>4</v>
      </c>
      <c r="E185">
        <v>1</v>
      </c>
      <c r="F185" s="3">
        <f>2151.8+(110.6-317.8)+(-3.292254+(-0.169218--0.486234))+0-41.7--0.0638010000000024</f>
        <v>1899.9885630000001</v>
      </c>
      <c r="G185" s="3">
        <f>2067.7+(105.7-273.5)+(-3.163581+(-0.161721--0.418455))+0-80.3--0.122859000000005</f>
        <v>1816.816012</v>
      </c>
      <c r="H185" s="3">
        <f>1921+(106.5-193.1)+(0+(0-0))+0-88.3-0</f>
        <v>1746.1000000000001</v>
      </c>
      <c r="I185" s="3">
        <f>1868.6+(107.4-198)+(-0.952986+(-0.054774--0.10098))+0-58.2--0.0296819999999941</f>
        <v>1718.922902</v>
      </c>
      <c r="J185" s="3">
        <f>1838.2+(107-159.9)+(-0.937482+(-0.05457--0.081549))+0-70.1--0.0357509999999929</f>
        <v>1714.3252479999999</v>
      </c>
      <c r="K185" s="3">
        <f>1772.7+(123.3-100.5)+(0.904077+(0.062883-0.051255))+0-71.5-0.0364649999999927</f>
        <v>1724.87924</v>
      </c>
      <c r="L185" s="3">
        <f>1761.7+(132.5-124.3)+(-1.796934+(-0.13515--0.126786))+0-83.7--0.0853740000000134</f>
        <v>1684.4800760000001</v>
      </c>
      <c r="M185" s="3">
        <f>1773.6+(142.3-124.2)+(-1.809072+(-0.145146--0.126684))+0-23.4--0.0238680000000037</f>
        <v>1766.4963339999997</v>
      </c>
      <c r="N185" s="3">
        <f>1933.1+(151.1-163.3)+(0.985881+(0.077061-0.083283))+0-18.1-0.00923099999999816</f>
        <v>1903.770428</v>
      </c>
      <c r="O185" s="3">
        <f>2043.3+(134.5-184.5)+(-2.084166+(-0.13719--0.18819))+0-14.6--0.0148920000000023</f>
        <v>1976.681726</v>
      </c>
      <c r="P185" s="3">
        <f>2295.3+(135-356.6)+(-1.170603+(-0.06885--0.181866))+0-13.5--0.00688499999999863</f>
        <v>2059.1492980000003</v>
      </c>
      <c r="Q185" s="3">
        <f>2409.7+(136.3-441.5)+(0+(0-0))+0-13.5-0</f>
        <v>2091</v>
      </c>
      <c r="R185" s="3">
        <f>2417.2+(135.2-439)+(1.232772+(0.068952-0.22389))+0-13.3-0.00678299999999865</f>
        <v>2101.1710509999998</v>
      </c>
      <c r="S185" s="3">
        <f>2378.3+(135.6-455.9)+(-6.064665+(-0.34578--1.162545))+0-13.7--0.034934999999998</f>
        <v>2039.087035</v>
      </c>
      <c r="T185" s="3">
        <f>2399.2+(135.3-486.5)+(2.447184+(0.138006-0.49623))+0-13.6-0.0138720000000022</f>
        <v>2036.4750879999997</v>
      </c>
      <c r="U185" s="3">
        <f>2379+(135.6-478.7)+(-2.42658+(-0.138312--0.488274))+0-14.4--0.0146880000000023</f>
        <v>2019.4380699999999</v>
      </c>
      <c r="V185" s="3">
        <f>2368.4+(135.3-410.9)+(-4.831536+(-0.276012--0.838236))+0-67.2--0.137087999999997</f>
        <v>2021.4677760000002</v>
      </c>
      <c r="W185" s="3">
        <f>2197.2+(136.2-241.9)+(-2.241144+(-0.138924--0.246738))+0-56.5--0.057630000000009</f>
        <v>2032.9242999999999</v>
      </c>
      <c r="X185" s="3">
        <f>2201.2+(172.3-155)+(-2.245224+(-0.175746--0.1581))+0-80.1--0.0817020000000128</f>
        <v>2136.218832</v>
      </c>
      <c r="Y185" s="3">
        <f>2456+(138.2-209.9)+(0+(0-0))+0-61.3-0</f>
        <v>2323</v>
      </c>
      <c r="Z185" s="3">
        <f>2504.7+(139.1-247.9)+(-6.386985+(-0.354705--0.632145))+0-74.2--0.189209999999989</f>
        <v>2315.779665</v>
      </c>
      <c r="AA185" s="3">
        <f>2498.5+(135.3-281.2)+(-7.64541+(-0.414018--0.860472))+0-85--0.26010000000001</f>
        <v>2260.6611439999997</v>
      </c>
      <c r="AB185" s="3">
        <f>2487.4+(134.9-391.8)+(-2.537148+(-0.137598--0.399636))+0-81.6--0.083232000000013</f>
        <v>2146.708122</v>
      </c>
      <c r="AC185" s="3">
        <f>2303.1+(135.1-320.5)+(-2.349162+(-0.137802--0.32691))+0-48.7--0.0496740000000078</f>
        <v>2066.8896199999999</v>
      </c>
      <c r="AD185">
        <f t="shared" si="2"/>
        <v>47602.430529999998</v>
      </c>
      <c r="AE185" s="3">
        <f>2514+(138.4-241)+(0+(0-0))+0-82.8-0</f>
        <v>2328.6</v>
      </c>
    </row>
    <row r="186" spans="1:31" s="2" customFormat="1" x14ac:dyDescent="0.25">
      <c r="A186">
        <v>89</v>
      </c>
      <c r="B186">
        <v>6</v>
      </c>
      <c r="C186">
        <v>31</v>
      </c>
      <c r="D186">
        <v>5</v>
      </c>
      <c r="E186">
        <v>1</v>
      </c>
      <c r="F186" s="3">
        <f>2179.2+(110.3-412)+(-2.222784+(-0.112506--0.42024))+0-60.8--0.0620160000000097</f>
        <v>1814.8469659999998</v>
      </c>
      <c r="G186" s="3">
        <f>2117.5+(130-402.7)+(-3.239775+(-0.1989--0.616131))+0-73--0.111690000000004</f>
        <v>1769.0891459999998</v>
      </c>
      <c r="H186" s="3">
        <f>2009.5+(110.5-293.3)+(-3.074535+(-0.169065--0.448749))+0-83.2--0.127296000000005</f>
        <v>1740.832445</v>
      </c>
      <c r="I186" s="3">
        <f>1881.8+(110.8-182.4)+(1.919436+(0.113016-0.186048))+0-80-0.0816000000000128</f>
        <v>1731.964804</v>
      </c>
      <c r="J186" s="3">
        <f>1870.8+(111-143.1)+(-0.954108+(-0.05661--0.072981))+0-74.9--0.0381989999999924</f>
        <v>1762.9004620000001</v>
      </c>
      <c r="K186" s="3">
        <f>1894.2+(120.1-251.3)+(-1.932084+(-0.122502--0.256326))+0-77.4--0.0789480000000123</f>
        <v>1683.880688</v>
      </c>
      <c r="L186" s="3">
        <f>1856.1+(137.3-194.4)+(-1.893222+(-0.140046--0.198288))+0-77.1--0.0786420000000123</f>
        <v>1720.1436619999999</v>
      </c>
      <c r="M186" s="3">
        <f>2064.4+(135.2-234.4)+(0+(0-0))+0-88.5-0</f>
        <v>1876.7</v>
      </c>
      <c r="N186" s="3">
        <f>2182.5+(134.5-309)+(1.113075+(0.068595-0.15759))+0-40.4-0.0206039999999959</f>
        <v>1968.6034759999998</v>
      </c>
      <c r="O186" s="3">
        <f>2261.2+(134.5-272.6)+(0+(0-0))+0-75.1-0</f>
        <v>2048</v>
      </c>
      <c r="P186" s="3">
        <f>2351.6+(135.6-316)+(2.398632+(0.138312-0.32232))+0-71.4-0.0728280000000114</f>
        <v>2101.9417960000001</v>
      </c>
      <c r="Q186" s="3">
        <f>2448.8+(134.9-405)+(-1.248888+(-0.068799--0.20655))+0-68.9--0.035138999999993</f>
        <v>2108.7240020000004</v>
      </c>
      <c r="R186" s="3">
        <f>2517.2+(134.5-489.2)+(-10.270176+(-0.54876--1.995936))+0-74.6--0.304367999999993</f>
        <v>2079.3813680000003</v>
      </c>
      <c r="S186" s="3">
        <f>2548.5+(135.1-534.5)+(-1.299735+(-0.068901--0.272595))+0-81.4--0.0415139999999917</f>
        <v>2066.645473</v>
      </c>
      <c r="T186" s="3">
        <f>2508.9+(135.9-558.6)+(-1.279539+(-0.069309--0.284886))+0-39.2--0.019991999999996</f>
        <v>2045.9560299999996</v>
      </c>
      <c r="U186" s="3">
        <f>2476.5+(136.3-493.7)+(-3.789045+(-0.208539--0.755361))+0-75.1--0.114903000000004</f>
        <v>2040.8726799999997</v>
      </c>
      <c r="V186" s="3">
        <f>2495.6+(136.3-489.5)+(0+(0-0))+0-73.7-0</f>
        <v>2068.7000000000003</v>
      </c>
      <c r="W186" s="3">
        <f>2514.9+(136.3-374.5)+(-1.282599+(-0.069513--0.190995))+0-71--0.0362099999999928</f>
        <v>2204.5750930000004</v>
      </c>
      <c r="X186" s="3">
        <f>2787.9+(136.6-483.7)+(-1.421829+(-0.069666--0.246687))+0-53.5--0.0272849999999946</f>
        <v>2386.0824770000004</v>
      </c>
      <c r="Y186" s="3">
        <f>2877.4+(134.3-566.4)+(1.467474+(0.068493-0.288864))+0-81.9-0.0417689999999917</f>
        <v>2364.6053340000003</v>
      </c>
      <c r="Z186" s="3">
        <f>2788.1+(134.4-562.1)+(-2.843862+(-0.137088--0.573342))+0-63.6--0.0648720000000101</f>
        <v>2294.4572639999997</v>
      </c>
      <c r="AA186" s="3">
        <f>2718.7+(134.3-567.2)+(-8.319222+(-0.410958--1.735632))+0-78.7--0.240822000000009</f>
        <v>2200.346274</v>
      </c>
      <c r="AB186" s="3">
        <f>2476.8+(134.8-431.4)+(-5.052672+(-0.274992--0.880056))+0-84.4--0.172175999999996</f>
        <v>2091.5245680000003</v>
      </c>
      <c r="AC186" s="3">
        <f>2379.1+(125.6-467)+(-4.853364+(-0.256224--0.95268))+0-78.6--0.160343999999997</f>
        <v>1955.1034359999999</v>
      </c>
      <c r="AD186">
        <f t="shared" si="2"/>
        <v>48125.877444000005</v>
      </c>
      <c r="AE186" s="3">
        <f>2873+(134.1-539.9)+(0+(0-0))+0-82.8-0</f>
        <v>2384.3999999999996</v>
      </c>
    </row>
    <row r="187" spans="1:31" s="2" customFormat="1" x14ac:dyDescent="0.25">
      <c r="A187">
        <v>89</v>
      </c>
      <c r="B187">
        <v>7</v>
      </c>
      <c r="C187">
        <v>1</v>
      </c>
      <c r="D187">
        <v>6</v>
      </c>
      <c r="E187">
        <v>1</v>
      </c>
      <c r="F187" s="3">
        <f>2058.2+(109.5-255.4)+(-2.099364+(-0.11169--0.260508))+0-69.3--0.070686000000011</f>
        <v>1841.1201399999998</v>
      </c>
      <c r="G187" s="3">
        <f>2008.3+(109.9-269)+(-3.072699+(-0.168147--0.41157))+0-70--0.107100000000004</f>
        <v>1776.4778240000001</v>
      </c>
      <c r="H187" s="3">
        <f>1917.6+(109-247.5)+(-0.977976+(-0.05559--0.126225))+0-35.8--0.0182579999999964</f>
        <v>1742.4109169999999</v>
      </c>
      <c r="I187" s="3">
        <f>1865.5+(108.4-167.3)+(0.951405+(0.055284-0.085323))+0-77.4-0.0394739999999922</f>
        <v>1730.0818919999999</v>
      </c>
      <c r="J187" s="3">
        <f>1856.5+(108.6-151.2)+(-2.840445+(-0.166158--0.231336))+0-84.5--0.129285000000005</f>
        <v>1726.7540180000001</v>
      </c>
      <c r="K187" s="3">
        <f>1851.3+(111-219.9)+(-1.888326+(-0.11322--0.224298))+0-71.6--0.0730320000000114</f>
        <v>1669.0957839999999</v>
      </c>
      <c r="L187" s="3">
        <f>1744.7+(143.3-103.2)+(0.889797+(0.073083-0.052632))+0-74-0.0377399999999925</f>
        <v>1711.6725079999999</v>
      </c>
      <c r="M187" s="3">
        <f>1910.9+(135.2-141.3)+(0+(0-0))+0-75.5-0</f>
        <v>1829.3000000000002</v>
      </c>
      <c r="N187" s="3">
        <f>2053.4+(134-221.7)+(1.047234+(0.06834-0.113067))+0-27.9-0.0142289999999972</f>
        <v>1938.788278</v>
      </c>
      <c r="O187" s="3">
        <f>2234.1+(132.8-277.2)+(-1.139391+(-0.067728--0.141372))+0-62.5--0.0318749999999937</f>
        <v>2026.1661279999996</v>
      </c>
      <c r="P187" s="3">
        <f>2343.6+(131.1-320.5)+(-1.195236+(-0.066861--0.163455))+0-72.4--0.0369239999999927</f>
        <v>2080.7382819999998</v>
      </c>
      <c r="Q187" s="3">
        <f>2499.7+(130.5-472)+(-1.274847+(-0.066555--0.24072))+0-62.4--0.0318239999999937</f>
        <v>2094.7311420000001</v>
      </c>
      <c r="R187" s="3">
        <f>2481+(132.1-487.5)+(-1.26531+(-0.067371--0.248625))+0-60.9--0.0310589999999938</f>
        <v>2063.6470029999996</v>
      </c>
      <c r="S187" s="3">
        <f>2510.1+(134.1-550.6)+(-3.840453+(-0.205173--0.842418))+0-64.1--0.0980730000000037</f>
        <v>2026.3948650000002</v>
      </c>
      <c r="T187" s="3">
        <f>2414.7+(135-494.4)+(-3.694491+(-0.20655--0.756432))+0-58.4--0.0893520000000034</f>
        <v>1993.8447429999997</v>
      </c>
      <c r="U187" s="3">
        <f>2318.3+(135-467.5)+(-7.093998+(-0.4131--1.43055))+0-31.7--0.0970020000000037</f>
        <v>1948.1204540000001</v>
      </c>
      <c r="V187" s="3">
        <f>2166.1+(135.3-247.7)+(-6.628266+(-0.414018--0.757962))+0-80.5--0.246330000000009</f>
        <v>1967.1620079999998</v>
      </c>
      <c r="W187" s="3">
        <f>2146.1+(152.9-126)+(-2.189022+(-0.155958--0.12852))+0-60.3--0.0615060000000096</f>
        <v>2110.5450459999997</v>
      </c>
      <c r="X187" s="3">
        <f>2714.3+(135.2-450.3)+(0+(0-0))+0-70.5-0</f>
        <v>2328.7000000000003</v>
      </c>
      <c r="Y187" s="3">
        <f>2868.3+(136.1-618)+(-5.851332+(-0.277644--1.26072))+0-80--0.163199999999997</f>
        <v>2301.6949439999999</v>
      </c>
      <c r="Z187" s="3">
        <f>2695.9+(136.1-515.4)+(-6.874545+(-0.347055--1.31427))+0-68.9--0.17569499999999</f>
        <v>2241.9683650000002</v>
      </c>
      <c r="AA187" s="3">
        <f>2305.3+(136.2-236.4)+(-4.702812+(-0.277848--0.482256))+0-54.7--0.111587999999998</f>
        <v>2146.0131840000008</v>
      </c>
      <c r="AB187" s="3">
        <f>2112.1+(133.9-96.1)+(0+(0-0))+0-82.2-0</f>
        <v>2067.7000000000003</v>
      </c>
      <c r="AC187" s="3">
        <f>2071.6+(111-197.1)+(-2.113032+(-0.11322--0.201042))+0-22.8--0.0232560000000036</f>
        <v>1960.698046</v>
      </c>
      <c r="AD187">
        <f t="shared" si="2"/>
        <v>47323.825571000001</v>
      </c>
      <c r="AE187" s="3">
        <f>2876+(135.4-629.8)+(0+(0-0))+0-79-0</f>
        <v>2302.6</v>
      </c>
    </row>
    <row r="188" spans="1:31" s="2" customFormat="1" x14ac:dyDescent="0.25">
      <c r="A188">
        <v>89</v>
      </c>
      <c r="B188">
        <v>7</v>
      </c>
      <c r="C188">
        <v>2</v>
      </c>
      <c r="D188">
        <v>7</v>
      </c>
      <c r="E188">
        <v>1</v>
      </c>
      <c r="F188" s="3">
        <f>1953.2+(110.4-123.8)+(-3.984528+(-0.225216--0.252552))+0-84.2--0.171767999999996</f>
        <v>1851.8145759999998</v>
      </c>
      <c r="G188" s="3">
        <f>1836.2+(110.3-114.3)+(-3.745848+(-0.225012--0.233172))+0-48.6--0.0991439999999979</f>
        <v>1779.9614560000002</v>
      </c>
      <c r="H188" s="3">
        <f>1751.4+(117.9-70.2)+(-0.893214+(-0.060129--0.035802))+0-84.7--0.0431969999999914</f>
        <v>1713.525656</v>
      </c>
      <c r="I188" s="3">
        <f>1713.9+(109.9-87.2)+(-2.622267+(-0.168147--0.133416))+0-36.7--0.0561510000000021</f>
        <v>1697.2991530000002</v>
      </c>
      <c r="J188" s="3">
        <f>1692.1+(158.2-60.6)+(0.862971+(0.080682-0.030906))+0-83.4-0.0425339999999915</f>
        <v>1707.1702129999999</v>
      </c>
      <c r="K188" s="3">
        <f>1654.5+(150.5-110.1)+(-5.06277+(-0.46053--0.336906))+0-67--0.205020000000008</f>
        <v>1622.9186260000001</v>
      </c>
      <c r="L188" s="3">
        <f>1663.5+(144.7-123.4)+(-1.69677+(-0.147594--0.125868))+0-71.9--0.0733380000000115</f>
        <v>1611.2548419999998</v>
      </c>
      <c r="M188" s="3">
        <f>1794.2+(132.6-218.8)+(-2.745126+(-0.202878--0.334764))+0-74.6--0.114138000000004</f>
        <v>1630.9008980000001</v>
      </c>
      <c r="N188" s="3">
        <f>1854.2+(132.3-226.3)+(-2.836926+(-0.202419--0.346239))+0-33.2--0.0507960000000019</f>
        <v>1724.35769</v>
      </c>
      <c r="O188" s="3">
        <f>1954.5+(131.2-209.2)+(-3.98718+(-0.267648--0.426768))+0-77.7--0.158507999999997</f>
        <v>1795.1304479999999</v>
      </c>
      <c r="P188" s="3">
        <f>2095.6+(132.4-302.2)+(-3.206268+(-0.202572--0.462366))+0-82.6--0.126378000000005</f>
        <v>1840.3799039999999</v>
      </c>
      <c r="Q188" s="3">
        <f>2193.5+(132.5-387.2)+(1.118685+(0.067575-0.197472))+0-68.3-0.0348329999999931</f>
        <v>1871.4539550000002</v>
      </c>
      <c r="R188" s="3">
        <f>2253.2+(132.4-520.6)+(0+(0-0))+0-17.4-0</f>
        <v>1847.5999999999997</v>
      </c>
      <c r="S188" s="3">
        <f>2244.8+(132.1-534.7)+(-2.289696+(-0.134742--0.545394))+0-16.9--0.0172380000000027</f>
        <v>1823.4381940000001</v>
      </c>
      <c r="T188" s="3">
        <f>2223.3+(132.9-533.2)+(1.133883+(0.067779-0.271932))+0-18.4-0.00938399999999813</f>
        <v>1805.520346</v>
      </c>
      <c r="U188" s="3">
        <f>2133+(134.3-441.8)+(-2.17566+(-0.136986--0.450636))+0-35.4--0.0361080000000056</f>
        <v>1788.2740979999999</v>
      </c>
      <c r="V188" s="3">
        <f>2040.4+(133.6-349.3)+(-3.121812+(-0.204408--0.534429))+0-20.6--0.0315180000000012</f>
        <v>1801.339727</v>
      </c>
      <c r="W188" s="3">
        <f>2000.4+(137.7-155.8)+(-5.10102+(-0.351135--0.39729))+0-19.1--0.0487049999999972</f>
        <v>1958.1938400000001</v>
      </c>
      <c r="X188" s="3">
        <f>2459.9+(135.1-393.1)+(-2.509098+(-0.137802--0.400962))+0-17.8--0.0181560000000028</f>
        <v>2181.872218</v>
      </c>
      <c r="Y188" s="3">
        <f>2520.2+(135.7-470.2)+(-2.570604+(-0.138414--0.479604))+0-18.5--0.018870000000003</f>
        <v>2164.9894559999998</v>
      </c>
      <c r="Z188" s="3">
        <f>2542.8+(135.6-525.8)+(-1.296828+(-0.069156--0.268158))+0-18.7--0.0095369999999981</f>
        <v>2132.8117110000003</v>
      </c>
      <c r="AA188" s="3">
        <f>2481.6+(135.5-530.9)+(-1.265616+(-0.069105--0.270759))+0-18.6--0.00948599999999811</f>
        <v>2066.5455239999997</v>
      </c>
      <c r="AB188" s="3">
        <f>2287.9+(105.1-396.8)+(-5.834145+(-0.268005--1.01184))+0-30.3--0.0772649999999956</f>
        <v>1960.8869549999999</v>
      </c>
      <c r="AC188" s="3">
        <f>2143.3+(105.6-349.5)+(-2.186166+(-0.107712--0.35649))+0-56.2--0.057324000000009</f>
        <v>1841.3199360000001</v>
      </c>
      <c r="AD188">
        <f t="shared" si="2"/>
        <v>44218.959422</v>
      </c>
      <c r="AE188" s="3">
        <f>2545+(136.4-503.3)+(0+(0-0))+0-19.4-0</f>
        <v>2158.6999999999998</v>
      </c>
    </row>
    <row r="189" spans="1:31" s="2" customFormat="1" x14ac:dyDescent="0.25">
      <c r="A189">
        <v>89</v>
      </c>
      <c r="B189">
        <v>7</v>
      </c>
      <c r="C189">
        <v>3</v>
      </c>
      <c r="D189">
        <v>1</v>
      </c>
      <c r="E189">
        <v>1</v>
      </c>
      <c r="F189" s="3">
        <f>1997.3+(107.8-310.8)+(-3.055869+(-0.164934--0.475524))+0-53.5--0.0818550000000031</f>
        <v>1738.1365759999999</v>
      </c>
      <c r="G189" s="3">
        <f>1982.8+(108.4-316.4)+(-4.044912+(-0.221136--0.645456))+0-66.3--0.135251999999997</f>
        <v>1705.01466</v>
      </c>
      <c r="H189" s="3">
        <f>1928.3+(109.1-303.7)+(-1.966866+(-0.111282--0.309774))+0-76.8--0.0783360000000122</f>
        <v>1655.2099620000001</v>
      </c>
      <c r="I189" s="3">
        <f>1960.9+(109.1-337.4)+(2.000118+(0.111282-0.344148))+0-64.2-0.0654840000000102</f>
        <v>1670.1017680000002</v>
      </c>
      <c r="J189" s="3">
        <f>1888.7+(115.9-272.3)+(-3.852948+(-0.236436--0.555492))+0-53.9--0.109955999999998</f>
        <v>1674.976064</v>
      </c>
      <c r="K189" s="3">
        <f>1737+(134.9-155.2)+(-2.65761+(-0.206397--0.237456))+0-86.3--0.132039000000005</f>
        <v>1627.9054880000001</v>
      </c>
      <c r="L189" s="3">
        <f>1714.1+(151.4-110.2)+(-1.748382+(-0.154428--0.112404))+0-69.7--0.0710940000000111</f>
        <v>1683.8806879999997</v>
      </c>
      <c r="M189" s="3">
        <f>2032.7+(133.3-298.5)+(1.036677+(0.067983-0.152235))+0-48.7-0.0248369999999951</f>
        <v>1819.727588</v>
      </c>
      <c r="N189" s="3">
        <f>2168.7+(133.5-294.4)+(0+(0-0))+0-60.4-0</f>
        <v>1947.3999999999996</v>
      </c>
      <c r="O189" s="3">
        <f>2411.2+(132.2-446.1)+(-1.229712+(-0.067422--0.227511))+0-58.8--0.029987999999994</f>
        <v>2037.4603649999999</v>
      </c>
      <c r="P189" s="3">
        <f>2488.9+(131.7-473.6)+(-1.269339+(-0.067167--0.241536))+0-69.9--0.0356489999999929</f>
        <v>2076.0406789999997</v>
      </c>
      <c r="Q189" s="3">
        <f>2552.2+(132.5-516.9)+(1.301622+(0.067575-0.263619))+0-72.2-0.0368219999999927</f>
        <v>2096.668756</v>
      </c>
      <c r="R189" s="3">
        <f>2541.1+(133.6-542.5)+(0+(0-0))+5.3-73.3-0</f>
        <v>2064.1999999999998</v>
      </c>
      <c r="S189" s="3">
        <f>2553.3+(133.7-576.4)+(0+(0-0))+0-65.9-0</f>
        <v>2044.7000000000003</v>
      </c>
      <c r="T189" s="3">
        <f>2483+(133.4-530.5)+(-2.53266+(-0.136068--0.54111))+0-66.9--0.0682380000000107</f>
        <v>2016.9406200000001</v>
      </c>
      <c r="U189" s="3">
        <f>2405.9+(134.2-466.6)+(-3.681027+(-0.205326--0.713898))+0-63.5--0.0971550000000037</f>
        <v>2006.9247</v>
      </c>
      <c r="V189" s="3">
        <f>2420.3+(133.8-449.3)+(-3.703059+(-0.204714--0.687429))+0-74.6--0.114138000000004</f>
        <v>2027.0937940000003</v>
      </c>
      <c r="W189" s="3">
        <f>2415.7+(135.2-299.2)+(1.232007+(0.068952-0.152592))+0-62.6-0.0319259999999936</f>
        <v>2190.2164409999996</v>
      </c>
      <c r="X189" s="3">
        <f>2858.3+(134.9-514.3)+(-5.830932+(-0.275196--1.049172))+0-80.3--0.163811999999996</f>
        <v>2393.7068559999998</v>
      </c>
      <c r="Y189" s="3">
        <f>2902.8+(135.1-588.6)+(0+(0-0))+0-80.3-0</f>
        <v>2369</v>
      </c>
      <c r="Z189" s="3">
        <f>2824.8+(135.3-574.6)+(2.881296+(0.138006-0.586092))+0-72.7-0.0741540000000116</f>
        <v>2315.1590560000004</v>
      </c>
      <c r="AA189" s="3">
        <f>2648.6+(134.7-522.2)+(-4.052358+(-0.206091--0.798966))+0-67.2--0.102816000000004</f>
        <v>2190.5433330000001</v>
      </c>
      <c r="AB189" s="3">
        <f>2244.4+(113.3-211.1)+(-5.72322+(-0.288915--0.538305))+0-60.2--0.153509999999991</f>
        <v>2081.0796800000003</v>
      </c>
      <c r="AC189" s="3">
        <f>2060+(108.5-142.4)+(-5.253+(-0.276675--0.36312))+0-74.8--0.190739999999989</f>
        <v>1946.3241849999999</v>
      </c>
      <c r="AD189">
        <f t="shared" si="2"/>
        <v>47378.411258999993</v>
      </c>
      <c r="AE189" s="3">
        <f>2919+(134.5-602.9)+(0+(0-0))+0-86-0</f>
        <v>2364.6</v>
      </c>
    </row>
    <row r="190" spans="1:31" s="2" customFormat="1" x14ac:dyDescent="0.25">
      <c r="A190">
        <v>89</v>
      </c>
      <c r="B190">
        <v>7</v>
      </c>
      <c r="C190">
        <v>4</v>
      </c>
      <c r="D190">
        <v>2</v>
      </c>
      <c r="E190">
        <v>1</v>
      </c>
      <c r="F190" s="3">
        <f>1948+(108-150.3)+(-1.98696+(-0.11016--0.153306))+0-73.3--0.0747660000000117</f>
        <v>1830.5309520000001</v>
      </c>
      <c r="G190" s="3">
        <f>1903.3+(108.1-179.1)+(-4.853415+(-0.275655--0.456705))+0-67.2--0.17135999999999</f>
        <v>1760.5989950000001</v>
      </c>
      <c r="H190" s="3">
        <f>1797.7+(115.3-103.9)+(-2.750481+(-0.176409--0.158967))+0-67.9--0.103887000000004</f>
        <v>1738.5359639999999</v>
      </c>
      <c r="I190" s="3">
        <f>1778.6+(113.7-85.5)+(-0.907086+(-0.057987--0.043605))+0-88.2--0.0449819999999911</f>
        <v>1717.7235139999998</v>
      </c>
      <c r="J190" s="3">
        <f>1736.4+(142-75.8)+(0+(0-0))+0-67.9-0</f>
        <v>1734.7</v>
      </c>
      <c r="K190" s="3">
        <f>1709.2+(148.6-115.1)+(0+(0-0))+0-76.3-0</f>
        <v>1666.4</v>
      </c>
      <c r="L190" s="3">
        <f>1640.5+(200.6-62.1)+(-0.836655+(-0.102306--0.031671))+0-73.7--0.0375869999999925</f>
        <v>1704.4302969999999</v>
      </c>
      <c r="M190" s="3">
        <f>1809.5+(186.6-96.8)+(-1.84569+(-0.190332--0.098736))+0-72.5--0.0739500000000116</f>
        <v>1824.9366639999998</v>
      </c>
      <c r="N190" s="3">
        <f>2117.6+(133.5-207.3)+(0+(0-0))+0-58.2-0</f>
        <v>1985.6</v>
      </c>
      <c r="O190" s="3">
        <f>2387.8+(132.3-373.1)+(-1.217778+(-0.067473--0.190281))+0-70.8--0.0361079999999928</f>
        <v>2075.1411379999995</v>
      </c>
      <c r="P190" s="3">
        <f>2474.3+(133.2-449.6)+(0+(0-0))+0-77-0</f>
        <v>2080.9</v>
      </c>
      <c r="Q190" s="3">
        <f>2514.4+(133.6-479.3)+(1.282344+(0.068136-0.244443))+0-76.6-0.0390659999999922</f>
        <v>2093.1669710000001</v>
      </c>
      <c r="R190" s="3">
        <f>2507.2+(133.9-495.3)+(-1.278672+(-0.068289--0.252603))+0-68.9--0.035138999999993</f>
        <v>2075.8407809999999</v>
      </c>
      <c r="S190" s="3">
        <f>2511.8+(134-539.3)+(1.281018+(0.06834-0.275043))+0-66.3-0.0338129999999933</f>
        <v>2041.2405019999999</v>
      </c>
      <c r="T190" s="3">
        <f>2497.4+(134.3-542.8)+(-1.273674+(-0.068493--0.276828))+0-70.1--0.0357509999999929</f>
        <v>2017.7704119999999</v>
      </c>
      <c r="U190" s="3">
        <f>2489.1+(134.8-526.3)+(-2.538882+(-0.137496--0.536826))+0-60.5--0.0617100000000096</f>
        <v>2035.0221579999998</v>
      </c>
      <c r="V190" s="3">
        <f>2490.5+(135.1-517.8)+(-3.810465+(-0.206703--0.792234))+0-50--0.0765000000000029</f>
        <v>2054.6515660000005</v>
      </c>
      <c r="W190" s="3">
        <f>2426.5+(135-229.5)+(0+(0-0))+0-82.6-0</f>
        <v>2249.4</v>
      </c>
      <c r="X190" s="3">
        <f>2861.1+(135.2-499.9)+(-2.918322+(-0.137904--0.509898))+0-75.5--0.077010000000012</f>
        <v>2418.4306820000002</v>
      </c>
      <c r="Y190" s="3">
        <f>2931.6+(135.4-607.2)+(-4.485348+(-0.207162--0.929016))+0-77.5--0.118575000000004</f>
        <v>2378.6550809999999</v>
      </c>
      <c r="Z190" s="3">
        <f>2825.8+(135-564.8)+(-2.882316+(-0.1377--0.576096))+0-78.2--0.0797640000000125</f>
        <v>2315.4358440000001</v>
      </c>
      <c r="AA190" s="3">
        <f>2659.4+(133.9-524.3)+(1.356294+(0.068289-0.267393))+0-64.8-0.0330479999999934</f>
        <v>2205.3241419999999</v>
      </c>
      <c r="AB190" s="3">
        <f>2430.8+(110.8-368.2)+(0+(0-0))+0-88.7-0</f>
        <v>2084.7000000000003</v>
      </c>
      <c r="AC190" s="3">
        <f>2269.8+(106.5-367.6)+(-2.315196+(-0.10863--0.374952))+0-74.6--0.0760920000000119</f>
        <v>1932.1272180000003</v>
      </c>
      <c r="AD190">
        <f t="shared" si="2"/>
        <v>48021.262880999995</v>
      </c>
      <c r="AE190" s="3">
        <f>2929+(135.6-624.3)+(0+(0-0))+0-93.6-0</f>
        <v>2346.7000000000003</v>
      </c>
    </row>
    <row r="191" spans="1:31" s="2" customFormat="1" x14ac:dyDescent="0.25">
      <c r="A191">
        <v>89</v>
      </c>
      <c r="B191">
        <v>7</v>
      </c>
      <c r="C191">
        <v>5</v>
      </c>
      <c r="D191">
        <v>3</v>
      </c>
      <c r="E191">
        <v>1</v>
      </c>
      <c r="F191" s="3">
        <f>2009+(107.1-211.4)+(-3.07377+(-0.163863--0.323442))+0-63--0.0963900000000036</f>
        <v>1838.8821989999999</v>
      </c>
      <c r="G191" s="3">
        <f>1890.3+(106.8-157.2)+(0+(0-0))+0-75-0</f>
        <v>1764.8999999999999</v>
      </c>
      <c r="H191" s="3">
        <f>1889.9+(106.4-181.7)+(-1.927698+(-0.108528--0.185334))+0-77.3--0.0788460000000123</f>
        <v>1735.5279540000004</v>
      </c>
      <c r="I191" s="3">
        <f>1888.9+(106.6-183.1)+(0.963339+(0.054366-0.093381))+0-71.5-0.0364649999999927</f>
        <v>1741.7878590000003</v>
      </c>
      <c r="J191" s="3">
        <f>1849.3+(108.2-141.5)+(0.943143+(0.055182-0.072165))+0-83.8-0.0427379999999915</f>
        <v>1733.0834219999999</v>
      </c>
      <c r="K191" s="3">
        <f>1761.9+(133-134.5)+(-6.289983+(-0.47481--0.480165))+0-68.7--0.245259000000001</f>
        <v>1685.660631</v>
      </c>
      <c r="L191" s="3">
        <f>1779.9+(134.5-135.4)+(0.907749+(0.068595-0.069054))+0-63.7-0.0324869999999935</f>
        <v>1716.1748030000001</v>
      </c>
      <c r="M191" s="3">
        <f>2014.6+(133.3-228)+(2.054892+(0.135966-0.23256))+0-82.1-0.0837420000000131</f>
        <v>1839.6745559999999</v>
      </c>
      <c r="N191" s="3">
        <f>2228.6+(133-320.5)+(0+(0-0))+0-69.5-0</f>
        <v>1971.6</v>
      </c>
      <c r="O191" s="3">
        <f>2438.7+(132.9-447.2)+(0+(0-0))+0-46.8-0</f>
        <v>2077.5999999999995</v>
      </c>
      <c r="P191" s="3">
        <f>2544+(131.4-512)+(2.59488+(0.134028-0.52224))+0-36.8-0.0375360000000059</f>
        <v>2128.7691319999999</v>
      </c>
      <c r="Q191" s="3">
        <f>2608.7+(131.6-521.3)+(3.991311+(0.201348-0.797589))+0-69.6-0.106488000000004</f>
        <v>2152.6885820000002</v>
      </c>
      <c r="R191" s="3">
        <f>2634.1+(130.8-549)+(-2.686782+(-0.133416--0.55998))+0-69.3--0.070686000000011</f>
        <v>2144.410468</v>
      </c>
      <c r="S191" s="3">
        <f>2548.4+(130.7-493)+(-1.299684+(-0.066657--0.25143))+0-74--0.0377399999999925</f>
        <v>2111.022829</v>
      </c>
      <c r="T191" s="3">
        <f>2506.8+(133.6-496.1)+(-2.556936+(-0.136272--0.506022))+0-67.9--0.0692580000000108</f>
        <v>2074.282072</v>
      </c>
      <c r="U191" s="3">
        <f>2502.5+(133.9-484.2)+(-5.1051+(-0.273156--0.987768))+0-79.6--0.162383999999997</f>
        <v>2068.3718960000001</v>
      </c>
      <c r="V191" s="3">
        <f>2508.8+(134.8-459.2)+(-6.39744+(-0.34374--1.17096))+0-82.7--0.210884999999988</f>
        <v>2096.3406650000002</v>
      </c>
      <c r="W191" s="3">
        <f>2628.3+(135.2-471.4)+(-1.340433+(-0.068952--0.240414))+0-28.2--0.0143819999999971</f>
        <v>2262.7454110000003</v>
      </c>
      <c r="X191" s="3">
        <f>2942.3+(135.7-599.8)+(1.500573+(0.069207-0.305898))+0-85.7-0.0437069999999913</f>
        <v>2393.7201750000008</v>
      </c>
      <c r="Y191" s="3">
        <f>2886+(136.2-590.6)+(-8.83116+(-0.416772--1.807236))+0-74.2--0.227052000000009</f>
        <v>2350.1863560000002</v>
      </c>
      <c r="Z191" s="3">
        <f>2813.4+(135.9-581.6)+(-4.304502+(-0.207927--0.889848))+0-72.3--0.110619000000004</f>
        <v>2291.8880379999996</v>
      </c>
      <c r="AA191" s="3">
        <f>2614.2+(135.4-545.9)+(-5.332968+(-0.276216--1.113636))+0-31.6--0.0644639999999986</f>
        <v>2167.6689160000001</v>
      </c>
      <c r="AB191" s="3">
        <f>2323.6+(109.4-300.2)+(-4.740144+(-0.223176--0.612408))+0-65--0.132599999999997</f>
        <v>2063.5816879999998</v>
      </c>
      <c r="AC191" s="3">
        <f>2155.1+(106-232.1)+(-5.495505+(-0.2703--0.591855))+0-90.6--0.231029999999987</f>
        <v>1933.4570799999999</v>
      </c>
      <c r="AD191">
        <f t="shared" si="2"/>
        <v>48344.024732000005</v>
      </c>
      <c r="AE191" s="3">
        <f>2963+(135.9-632.1)+(0+(0-0))+0-85.6-0</f>
        <v>2381.2000000000003</v>
      </c>
    </row>
    <row r="192" spans="1:31" s="2" customFormat="1" x14ac:dyDescent="0.25">
      <c r="A192">
        <v>89</v>
      </c>
      <c r="B192">
        <v>7</v>
      </c>
      <c r="C192">
        <v>6</v>
      </c>
      <c r="D192">
        <v>4</v>
      </c>
      <c r="E192">
        <v>1</v>
      </c>
      <c r="F192" s="3">
        <f>2053.1+(106.1-267.8)+(-4.188324+(-0.216444--0.546312))+0-46.5--0.094859999999998</f>
        <v>1841.1364039999999</v>
      </c>
      <c r="G192" s="3">
        <f>2054.4+(104.7-319.9)+(-3.143232+(-0.160191--0.489447))+0-67.8--0.103734000000004</f>
        <v>1768.6897580000002</v>
      </c>
      <c r="H192" s="3">
        <f>1990.4+(105.4-279.7)+(-2.030208+(-0.107508--0.285294))+0-82.7--0.0843540000000132</f>
        <v>1731.6319320000002</v>
      </c>
      <c r="I192" s="3">
        <f>1945.8+(105.5-271.9)+(-1.984716+(-0.10761--0.277338))+0-66.5--0.0678300000000106</f>
        <v>1711.152842</v>
      </c>
      <c r="J192" s="3">
        <f>1975.5+(111.6-286.5)+(4.03002+(0.227664-0.58446))+0-68-0.138719999999997</f>
        <v>1736.1345039999999</v>
      </c>
      <c r="K192" s="3">
        <f>1938.2+(134.8-305.9)+(-3.953928+(-0.274992--0.624036))+0-73.8--0.150551999999997</f>
        <v>1689.8456680000002</v>
      </c>
      <c r="L192" s="3">
        <f>1914.4+(134.4-213.9)+(0.976344+(0.068544-0.109089))+0-85.7-0.0437069999999913</f>
        <v>1750.0920920000001</v>
      </c>
      <c r="M192" s="3">
        <f>2088.1+(131.3-284.5)+(-1.064931+(-0.066963--0.145095))+0-47.7--0.0243269999999952</f>
        <v>1886.2375279999999</v>
      </c>
      <c r="N192" s="3">
        <f>2166.9+(130-247.9)+(0+(0-0))+0-68.8-0</f>
        <v>1980.2</v>
      </c>
      <c r="O192" s="3">
        <f>2310.3+(125.3-303.2)+(-4.713012+(-0.255612--0.618528))+0-79.3--0.161771999999997</f>
        <v>2048.9116759999997</v>
      </c>
      <c r="P192" s="3">
        <f>2580.8+(130.5-550.7)+(-1.316208+(-0.066555--0.280857))+0-62.8--0.0320279999999936</f>
        <v>2096.7301220000004</v>
      </c>
      <c r="Q192" s="3">
        <f>2641.7+(130.3-594.1)+(5.389068+(0.265812-1.211964))+0-63.8-0.130151999999997</f>
        <v>2118.4127639999992</v>
      </c>
      <c r="R192" s="3">
        <f>2550.4+(129.9-530.2)+(-2.601408+(-0.132498--0.540804))+0-73.3--0.0747660000000117</f>
        <v>2074.6816639999997</v>
      </c>
      <c r="S192" s="3">
        <f>2559.5+(130.1-526)+(1.305345+(0.066351-0.26826))+0-90.7-0.0462569999999908</f>
        <v>2073.957179</v>
      </c>
      <c r="T192" s="3">
        <f>2531.5+(131-534)+(-5.16426+(-0.26724--1.08936))+0-78--0.159119999999997</f>
        <v>2046.3169799999998</v>
      </c>
      <c r="U192" s="3">
        <f>2490.6+(133.5-516.7)+(-6.35103+(-0.340425--1.317585))+0-74.4--0.189719999999989</f>
        <v>2027.8158499999997</v>
      </c>
      <c r="V192" s="3">
        <f>2419.9+(134.2-436.2)+(-6.170745+(-0.34221--1.11231))+0-74.5--0.189974999999989</f>
        <v>2038.1893299999999</v>
      </c>
      <c r="W192" s="3">
        <f>2653.3+(135.2-452.7)+(-4.059549+(-0.206856--0.692631))+0-78.8--0.120564000000005</f>
        <v>2253.5467899999999</v>
      </c>
      <c r="X192" s="3">
        <f>2906.4+(134.8-557.9)+(0+(0-0))+0-88-0</f>
        <v>2395.3000000000002</v>
      </c>
      <c r="Y192" s="3">
        <f>2861.1+(134.6-578)+(-4.377483+(-0.205938--0.88434))+0-56.8--0.0869040000000033</f>
        <v>2357.2878229999992</v>
      </c>
      <c r="Z192" s="3">
        <f>2767.3+(134.8-532.7)+(-4.233969+(-0.206244--0.815031))+0-71.2--0.108936000000004</f>
        <v>2294.6837540000001</v>
      </c>
      <c r="AA192" s="3">
        <f>2539.5+(135.1-450.8)+(-2.59029+(-0.137802--0.459816))+0-74.5--0.0759900000000119</f>
        <v>2147.1077140000002</v>
      </c>
      <c r="AB192" s="3">
        <f>2260.5+(111.8-211)+(-2.30571+(-0.114036--0.21522))+0-90.9--0.0927180000000145</f>
        <v>2068.288192</v>
      </c>
      <c r="AC192" s="3">
        <f>2074.5+(103.6-191.7)+(-2.11599+(-0.105672--0.195534))+0-75.3--0.076806000000012</f>
        <v>1909.1506780000002</v>
      </c>
      <c r="AD192">
        <f t="shared" si="2"/>
        <v>48045.501243999999</v>
      </c>
      <c r="AE192" s="3">
        <f>2907+(134.2-650.4)+(0+(0-0))+0-19.8-0</f>
        <v>2371</v>
      </c>
    </row>
    <row r="193" spans="1:31" s="2" customFormat="1" x14ac:dyDescent="0.25">
      <c r="A193">
        <v>89</v>
      </c>
      <c r="B193">
        <v>7</v>
      </c>
      <c r="C193">
        <v>7</v>
      </c>
      <c r="D193">
        <v>5</v>
      </c>
      <c r="E193">
        <v>1</v>
      </c>
      <c r="F193" s="3">
        <f>2008.4+(106.7-257.8)+(-6.145704+(-0.326502--0.788868))+0-45.2--0.138312000000005</f>
        <v>1806.5549740000001</v>
      </c>
      <c r="G193" s="3">
        <f>1903.8+(107.9-181.6)+(-5.825628+(-0.330174--0.555696))+0-76.2--0.233172000000009</f>
        <v>1748.5330659999997</v>
      </c>
      <c r="H193" s="3">
        <f>1743+(136.5-74.4)+(0+(0-0))+0-86.9-0</f>
        <v>1718.1999999999998</v>
      </c>
      <c r="I193" s="3">
        <f>1671.5+(161.5-51.7)+(-1.70493+(-0.16473--0.052734))+0-79.3--0.0808860000000126</f>
        <v>1700.26396</v>
      </c>
      <c r="J193" s="3">
        <f>1694+(144.8-57)+(2.59182+(0.221544-0.08721))+0-70.7-0.108171000000004</f>
        <v>1713.7179829999998</v>
      </c>
      <c r="K193" s="3">
        <f>1671.1+(152.1-90)+(-2.556783+(-0.232713--0.1377))+0-72.8--0.111384000000004</f>
        <v>1657.8595879999998</v>
      </c>
      <c r="L193" s="3">
        <f>1678.5+(159.9-61.5)+(-1.71207+(-0.163098--0.06273))+0-74.9--0.0763980000000119</f>
        <v>1700.26396</v>
      </c>
      <c r="M193" s="3">
        <f>1835.8+(141.7-62.3)+(0+(0-0))+0-86.8-0</f>
        <v>1828.4</v>
      </c>
      <c r="N193" s="3">
        <f>1914.4+(166.4-64.8)+(0+(0-0))+0-78-0</f>
        <v>1938</v>
      </c>
      <c r="O193" s="3">
        <f>1972.7+(136.9-66.9)+(-2.012154+(-0.139638--0.068238))+0-37.2--0.0379440000000059</f>
        <v>2003.4543899999999</v>
      </c>
      <c r="P193" s="3">
        <f>1983.2+(161.6-66.8)+(-3.034296+(-0.247248--0.102204))+0-17.8--0.027234000000001</f>
        <v>2057.0478939999998</v>
      </c>
      <c r="Q193" s="3">
        <f>2189.6+(125.9-220.5)+(-2.233392+(-0.128418--0.22491))+0-21.3--0.0217260000000034</f>
        <v>2071.5848259999998</v>
      </c>
      <c r="R193" s="3">
        <f>2215.9+(113.8-194.1)+(-2.260218+(-0.116076--0.197982))+0-83.5--0.0851700000000133</f>
        <v>2050.0068579999997</v>
      </c>
      <c r="S193" s="3">
        <f>2221.1+(105.3-224)+(0+(0-0))+0-68.2-0</f>
        <v>2034.2</v>
      </c>
      <c r="T193" s="3">
        <f>2118.8+(102.9-142.3)+(-2.161176+(-0.104958--0.145146))+0-54.3--0.0553860000000087</f>
        <v>2023.034398</v>
      </c>
      <c r="U193" s="3">
        <f>1897.8+(156.5-66.9)+(-1.935756+(-0.15963--0.068238))+0--2.4-0.00244800000000038</f>
        <v>1987.7704040000001</v>
      </c>
      <c r="V193" s="3">
        <f>1912.9+(197-70.3)+(-3.902316+(-0.40188--0.143412))+0-8.3--0.0169319999999996</f>
        <v>2027.1561480000003</v>
      </c>
      <c r="W193" s="3">
        <f>2146.2+(185.3-73.5)+(1.094562+(0.094503-0.037485))+0-30.5-0.0155549999999969</f>
        <v>2228.6360250000002</v>
      </c>
      <c r="X193" s="3">
        <f>2585.7+(133.9-261.2)+(1.318707+(0.068289-0.133212))+0-81.4-0.0415139999999917</f>
        <v>2378.2122699999995</v>
      </c>
      <c r="Y193" s="3">
        <f>2545.9+(134.3-271.1)+(-5.193636+(-0.273972--0.553044))+0-55.1--0.112403999999998</f>
        <v>2349.1978399999998</v>
      </c>
      <c r="Z193" s="3">
        <f>2450.4+(134.5-221.2)+(-1.249704+(-0.068595--0.112812))+0-76--0.0387599999999923</f>
        <v>2286.533273</v>
      </c>
      <c r="AA193" s="3">
        <f>2300+(132.5-178.1)+(-3.519+(-0.202725--0.272493))+0-87.6--0.134028000000005</f>
        <v>2163.4847960000002</v>
      </c>
      <c r="AB193" s="3">
        <f>2154.7+(111.5-116.1)+(-4.395588+(-0.22746--0.236844))+0-78.7--0.160547999999997</f>
        <v>2067.174344</v>
      </c>
      <c r="AC193" s="3">
        <f>1994.2+(98.5-114.6)+(-4.068168+(-0.20094--0.233784))+0-57.4--0.117095999999997</f>
        <v>1916.781772</v>
      </c>
      <c r="AD193">
        <f t="shared" ref="AD193:AD256" si="3">SUM(F193:AC193)</f>
        <v>47456.068768999998</v>
      </c>
      <c r="AE193" s="3">
        <f>2648+(134.3-299.6)+(0+(0-0))+0-91.4-0</f>
        <v>2391.2999999999997</v>
      </c>
    </row>
    <row r="194" spans="1:31" s="2" customFormat="1" x14ac:dyDescent="0.25">
      <c r="A194">
        <v>89</v>
      </c>
      <c r="B194">
        <v>7</v>
      </c>
      <c r="C194">
        <v>8</v>
      </c>
      <c r="D194">
        <v>6</v>
      </c>
      <c r="E194">
        <v>1</v>
      </c>
      <c r="F194" s="3">
        <f>1990.1+(98.5-184)+(-3.044853+(-0.150705--0.28152))+0-70.5--0.107865000000004</f>
        <v>1831.293827</v>
      </c>
      <c r="G194" s="3">
        <f>1973+(99-215.9)+(-4.02492+(-0.20196--0.440436))+0-87.7--0.178907999999996</f>
        <v>1764.7924639999999</v>
      </c>
      <c r="H194" s="3">
        <f>1858.4+(98.5-150.1)+(-1.895568+(-0.10047--0.153102))+0-70.1--0.0715020000000112</f>
        <v>1734.9285660000003</v>
      </c>
      <c r="I194" s="3">
        <f>1888.8+(98.7-198.7)+(-0.963288+(-0.050337--0.101337))+0-62.7--0.0319769999999936</f>
        <v>1725.219689</v>
      </c>
      <c r="J194" s="3">
        <f>1897.7+(94-173)+(-1.935654+(-0.09588--0.17646))+0-83.9--0.0855780000000134</f>
        <v>1733.0305039999998</v>
      </c>
      <c r="K194" s="3">
        <f>1954.8+(92.1-275.2)+(-3.987792+(-0.187884--0.561408))+0-73.2--0.149327999999997</f>
        <v>1695.0350599999999</v>
      </c>
      <c r="L194" s="3">
        <f>1936.2+(122.4-261)+(0+(0-0))+0-80.7-0</f>
        <v>1716.9</v>
      </c>
      <c r="M194" s="3">
        <f>2095.7+(110.5-305.6)+(-1.068807+(-0.056355--0.155856))+0-45.8--0.0233579999999954</f>
        <v>1853.8540519999999</v>
      </c>
      <c r="N194" s="3">
        <f>2156.8+(101.3-286.4)+(-1.099968+(-0.051663--0.146064))+0-20.4--0.0104039999999979</f>
        <v>1950.3048370000004</v>
      </c>
      <c r="O194" s="3">
        <f>2267.2+(98.8-315.8)+(-3.468816+(-0.151164--0.483174))+0-18.6--0.0284580000000011</f>
        <v>2028.4916519999999</v>
      </c>
      <c r="P194" s="3">
        <f>2287.2+(125.9-312.7)+(-1.166472+(-0.064209--0.159477))+0-15--0.00764999999999848</f>
        <v>2084.3364459999998</v>
      </c>
      <c r="Q194" s="3">
        <f>2274.4+(131.9-244.2)+(-1.159944+(-0.067269--0.124542))+0-84.2--0.0429419999999915</f>
        <v>2076.840271</v>
      </c>
      <c r="R194" s="3">
        <f>2263.1+(129.2-273.4)+(0+(0-0))+0-64.9-0</f>
        <v>2054</v>
      </c>
      <c r="S194" s="3">
        <f>2230.4+(131.8-283.4)+(-1.137504+(-0.067218--0.144534))+0-73.3--0.0373829999999926</f>
        <v>2004.4771950000004</v>
      </c>
      <c r="T194" s="3">
        <f>2171.4+(130.7-253.7)+(-1.107414+(-0.066657--0.129387))+0-87.3--0.0445229999999911</f>
        <v>1960.0998390000002</v>
      </c>
      <c r="U194" s="3">
        <f>2088.7+(111.8-185.1)+(-1.065237+(-0.057018--0.094401))+0-69--0.035189999999993</f>
        <v>1945.407336</v>
      </c>
      <c r="V194" s="3">
        <f>2059.8+(104.6-155.3)+(-6.302988+(-0.320076--0.475218))+0-52--0.159120000000006</f>
        <v>1951.1112740000001</v>
      </c>
      <c r="W194" s="3">
        <f>2207.9+(170.4-113)+(1.126029+(0.086904-0.05763))+0-77.4-0.0394739999999922</f>
        <v>2189.0158289999999</v>
      </c>
      <c r="X194" s="3">
        <f>2492.5+(133.3-196.3)+(0+(0-0))+0-71.6-0</f>
        <v>2357.9</v>
      </c>
      <c r="Y194" s="3">
        <f>2566.4+(134.5-301.3)+(-5.235456+(-0.27438--0.614652))+0-65.7--0.134027999999997</f>
        <v>2329.1388440000001</v>
      </c>
      <c r="Z194" s="3">
        <f>2586.3+(133.7-379.7)+(-5.276052+(-0.272748--0.774588))+0-70.4--0.143615999999997</f>
        <v>2265.2694040000001</v>
      </c>
      <c r="AA194" s="3">
        <f>2438.7+(133.8-340.4)+(-2.487474+(-0.136476--0.347208))+0-80.9--0.0825180000000129</f>
        <v>2149.005776</v>
      </c>
      <c r="AB194" s="3">
        <f>2282.3+(107.7-273.8)+(-3.491919+(-0.164781--0.418914))+0-46.8--0.0716040000000027</f>
        <v>2066.2338180000002</v>
      </c>
      <c r="AC194" s="3">
        <f>2270.6+(102.5-357.1)+(-5.79003+(-0.261375--0.910605))+0-69.8--0.17798999999999</f>
        <v>1941.2371900000001</v>
      </c>
      <c r="AD194">
        <f t="shared" si="3"/>
        <v>47407.923873</v>
      </c>
      <c r="AE194" s="3">
        <f>2531+(133.7-236.7)+(0+(0-0))+0-87.4-0</f>
        <v>2340.6</v>
      </c>
    </row>
    <row r="195" spans="1:31" s="2" customFormat="1" x14ac:dyDescent="0.25">
      <c r="A195">
        <v>89</v>
      </c>
      <c r="B195">
        <v>7</v>
      </c>
      <c r="C195">
        <v>9</v>
      </c>
      <c r="D195">
        <v>7</v>
      </c>
      <c r="E195">
        <v>1</v>
      </c>
      <c r="F195" s="3">
        <f>2155.3+(102.7-332.1)+(-1.099203+(-0.052377--0.169371))+0-74.1--0.0377909999999925</f>
        <v>1850.8555820000001</v>
      </c>
      <c r="G195" s="3">
        <f>2019.7+(102.7-297.8)+(-5.150235+(-0.261885--0.75939))+0-51.4--0.131069999999993</f>
        <v>1768.6783399999997</v>
      </c>
      <c r="H195" s="3">
        <f>1957.2+(102.6-232.7)+(0+(0-0))+0-86.5-0</f>
        <v>1740.6000000000001</v>
      </c>
      <c r="I195" s="3">
        <f>1885.7+(102.4-185.5)+(-3.846828+(-0.208896--0.37842))+0-75.7--0.154427999999997</f>
        <v>1723.3771240000001</v>
      </c>
      <c r="J195" s="3">
        <f>1871.4+(95.3-173.7)+(-2.863242+(-0.145809--0.265761))+0-62.9--0.0962370000000036</f>
        <v>1727.452947</v>
      </c>
      <c r="K195" s="3">
        <f>1819.4+(109.6-221.3)+(-4.63947+(-0.27948--0.564315))+0-64.9--0.165494999999991</f>
        <v>1638.61086</v>
      </c>
      <c r="L195" s="3">
        <f>1840+(134.3-288.6)+(-2.8152+(-0.205479--0.441558))+0-77.2--0.118116000000004</f>
        <v>1606.0389950000001</v>
      </c>
      <c r="M195" s="3">
        <f>1970.9+(110.7-353.9)+(-3.015477+(-0.169371--0.541467))+0-68.9--0.105417000000004</f>
        <v>1656.2620359999999</v>
      </c>
      <c r="N195" s="3">
        <f>2066.5+(115.8-373.8)+(-1.053915+(-0.059058--0.190638))+0-73.7--0.0375869999999925</f>
        <v>1733.915252</v>
      </c>
      <c r="O195" s="3">
        <f>1948.4+(135.5-179.7)+(-1.987368+(-0.13821--0.183294))+0-92.5--0.0943500000000148</f>
        <v>1809.8520660000001</v>
      </c>
      <c r="P195" s="3">
        <f>2008.5+(132.1-215.9)+(-1.024335+(-0.067371--0.110109))+0-77.4--0.0394739999999922</f>
        <v>1846.3578769999999</v>
      </c>
      <c r="Q195" s="3">
        <f>2089.3+(110.5-284.8)+(-2.131086+(-0.11271--0.290496))+0-51.8--0.0528360000000083</f>
        <v>1861.2995360000004</v>
      </c>
      <c r="R195" s="3">
        <f>2059.6+(110.9-303.6)+(-3.151188+(-0.169677--0.464508))+0-19.5--0.0298350000000011</f>
        <v>1844.573478</v>
      </c>
      <c r="S195" s="3">
        <f>2070.9+(104.5-279.7)+(-3.168477+(-0.159885--0.427941))+0-73.6--0.112608000000004</f>
        <v>1819.312187</v>
      </c>
      <c r="T195" s="3">
        <f>2067.3+(102.9-298.2)+(-5.271615+(-0.262395--0.76041))+0-76.3--0.194564999999989</f>
        <v>1791.1209650000003</v>
      </c>
      <c r="U195" s="3">
        <f>2000.3+(98.2-237.2)+(-3.060459+(-0.150246--0.362916))+0-72.4--0.110772000000004</f>
        <v>1786.1629829999999</v>
      </c>
      <c r="V195" s="3">
        <f>1875.5+(124.3-106.1)+(-2.869515+(-0.190179--0.162333))+0-79.8--0.122094000000005</f>
        <v>1811.1247330000001</v>
      </c>
      <c r="W195" s="3">
        <f>2038.3+(163-70)+(0+(0-0))+0-88.7-0</f>
        <v>2042.6000000000001</v>
      </c>
      <c r="X195" s="3">
        <f>2369.5+(135.9-234.8)+(-1.208445+(-0.069309--0.119748))+0-53.5--0.0272849999999946</f>
        <v>2215.9692789999999</v>
      </c>
      <c r="Y195" s="3">
        <f>2474.6+(135-317.5)+(-2.524092+(-0.1377--0.32385))+0-77.3--0.0788460000000123</f>
        <v>2212.5409039999995</v>
      </c>
      <c r="Z195" s="3">
        <f>2484.4+(134.5-364.7)+(-5.068176+(-0.27438--0.743988))+0-80.1--0.163403999999996</f>
        <v>2169.6648360000004</v>
      </c>
      <c r="AA195" s="3">
        <f>2499.1+(134.7-440.7)+(-3.823623+(-0.206091--0.674271))+0-88--0.134640000000005</f>
        <v>2101.8791970000002</v>
      </c>
      <c r="AB195" s="3">
        <f>2436+(112.5-468.1)+(-6.2118+(-0.286875--1.193655))+0-78.6--0.200429999999989</f>
        <v>1996.6954100000005</v>
      </c>
      <c r="AC195" s="3">
        <f>2203.6+(107.1-340.7)+(-5.61918+(-0.273105--0.868785))+0-71.7--0.18283499999999</f>
        <v>1893.459335</v>
      </c>
      <c r="AD195">
        <f t="shared" si="3"/>
        <v>44648.403922000005</v>
      </c>
      <c r="AE195" s="3">
        <f>2469+(135.2-293.2)+(0+(0-0))+0-92.1-0</f>
        <v>2218.9</v>
      </c>
    </row>
    <row r="196" spans="1:31" s="2" customFormat="1" x14ac:dyDescent="0.25">
      <c r="A196">
        <v>89</v>
      </c>
      <c r="B196">
        <v>7</v>
      </c>
      <c r="C196">
        <v>10</v>
      </c>
      <c r="D196">
        <v>1</v>
      </c>
      <c r="E196">
        <v>1</v>
      </c>
      <c r="F196" s="3">
        <f>2017.5+(107.6-269.8)+(-6.17355+(-0.329256--0.825588))+0-65.4--0.200124000000008</f>
        <v>1784.4229059999998</v>
      </c>
      <c r="G196" s="3">
        <f>1899.9+(107.8-211.5)+(-2.906847+(-0.164934--0.323595))+0-72.9--0.111537000000004</f>
        <v>1720.6633509999999</v>
      </c>
      <c r="H196" s="3">
        <f>1890.2+(107.7-228.4)+(-4.82001+(-0.274635--0.58242))+0-71.4--0.18206999999999</f>
        <v>1693.769845</v>
      </c>
      <c r="I196" s="3">
        <f>1907.8+(106.7-252.7)+(-0.972978+(-0.054417--0.128877))+0-75.3--0.0384029999999924</f>
        <v>1685.639885</v>
      </c>
      <c r="J196" s="3">
        <f>1908.3+(107.5-242.2)+(-1.946466+(-0.10965--0.247044))+0-74.9--0.0763980000000119</f>
        <v>1696.9673259999997</v>
      </c>
      <c r="K196" s="3">
        <f>1897.9+(124.1-269)+(-3.871716+(-0.253164--0.54876))+0-84.3--0.171971999999996</f>
        <v>1665.2958520000002</v>
      </c>
      <c r="L196" s="3">
        <f>1933.7+(132-269.2)+(0.986187+(0.06732-0.137292))+0-77.3-0.0394229999999922</f>
        <v>1720.0767920000001</v>
      </c>
      <c r="M196" s="3">
        <f>2064.6+(130.6-268.4)+(-1.052946+(-0.066606--0.136884))+0-47.5--0.0242249999999952</f>
        <v>1878.3415569999997</v>
      </c>
      <c r="N196" s="3">
        <f>2243.4+(129.6-289.6)+(-1.144134+(-0.066096--0.147696))+0-91.3--0.0465629999999907</f>
        <v>1991.0840289999999</v>
      </c>
      <c r="O196" s="3">
        <f>2413+(127.8-382.9)+(-1.23063+(-0.065178--0.195279))+0-75.6--0.0385559999999923</f>
        <v>2081.2380270000003</v>
      </c>
      <c r="P196" s="3">
        <f>2505.8+(129.4-432.9)+(0+(0-0))+0-48.8-0</f>
        <v>2153.5</v>
      </c>
      <c r="Q196" s="3">
        <f>2518.2+(133.2-402.3)+(1.284282+(0.067932-0.205173))+0-72.3-0.0368729999999927</f>
        <v>2177.9101679999999</v>
      </c>
      <c r="R196" s="3">
        <f>2503.7+(133-395.9)+(0+(0-0))+0-77.5-0</f>
        <v>2163.2999999999997</v>
      </c>
      <c r="S196" s="3">
        <f>2498.2+(132-407.6)+(0+(0-0))+0-70.5-0</f>
        <v>2152.1</v>
      </c>
      <c r="T196" s="3">
        <f>2483.3+(132.8-413.7)+(-5.065932+(-0.270912--0.843948))+0-77.8--0.158711999999997</f>
        <v>2120.2658159999996</v>
      </c>
      <c r="U196" s="3">
        <f>2488.6+(134.4-447.8)+(-7.615116+(-0.411264--1.370268))+0-59.4--0.181764000000007</f>
        <v>2109.3256519999995</v>
      </c>
      <c r="V196" s="3">
        <f>2440.5+(135.8-368.4)+(-6.223275+(-0.34629--0.93942))+0-72.3--0.18436499999999</f>
        <v>2130.1542199999999</v>
      </c>
      <c r="W196" s="3">
        <f>2465.7+(136.8-181)+(3.772521+(0.209304-0.27693))+0-74.7-0.114291000000004</f>
        <v>2350.3906040000002</v>
      </c>
      <c r="X196" s="3">
        <f>2797.6+(134.2-417.4)+(-1.426776+(-0.068442--0.212874))+0-70.9--0.0361589999999928</f>
        <v>2442.2538149999996</v>
      </c>
      <c r="Y196" s="3">
        <f>2978.3+(134.6-606.2)+(-7.594665+(-0.34323--1.54581))+0-76.1--0.194054999999989</f>
        <v>2424.4019700000003</v>
      </c>
      <c r="Z196" s="3">
        <f>2904.7+(135.6-590.2)+(-4.444191+(-0.207468--0.903006))+0-88.3--0.135099000000005</f>
        <v>2358.1864459999997</v>
      </c>
      <c r="AA196" s="3">
        <f>2752.9+(135.8-561.7)+(-5.615916+(-0.277032--1.145868))+0-65.9--0.134435999999997</f>
        <v>2256.4873559999996</v>
      </c>
      <c r="AB196" s="3">
        <f>2513.7+(111.5-430.4)+(-5.127948+(-0.22746--0.878016))+0-39.7--0.0809879999999983</f>
        <v>2150.7035960000003</v>
      </c>
      <c r="AC196" s="3">
        <f>2240.5+(108.2-312.5)+(-6.85593+(-0.331092--0.95625))+0-19.3--0.0590580000000022</f>
        <v>2010.7282860000003</v>
      </c>
      <c r="AD196">
        <f t="shared" si="3"/>
        <v>48917.207498999982</v>
      </c>
      <c r="AE196" s="3">
        <f>3002+(133.6-602)+(0+(0-0))+0-84.9-0</f>
        <v>2448.6999999999998</v>
      </c>
    </row>
    <row r="197" spans="1:31" s="2" customFormat="1" x14ac:dyDescent="0.25">
      <c r="A197">
        <v>89</v>
      </c>
      <c r="B197">
        <v>7</v>
      </c>
      <c r="C197">
        <v>11</v>
      </c>
      <c r="D197">
        <v>2</v>
      </c>
      <c r="E197">
        <v>1</v>
      </c>
      <c r="F197" s="3">
        <f>2123.5+(108.3-281.1)+(-2.16597+(-0.110466--0.286722))+0-53.2--0.0542640000000085</f>
        <v>1895.5645500000001</v>
      </c>
      <c r="G197" s="3">
        <f>2130.8+(108.7-338.4)+(-1.086708+(-0.055437--0.172584))+0-67--0.0341699999999932</f>
        <v>1833.1646089999999</v>
      </c>
      <c r="H197" s="3">
        <f>2126.8+(108.7-357.5)+(-5.42334+(-0.277185--0.911625))+0-80.8--0.206039999999988</f>
        <v>1792.6171400000003</v>
      </c>
      <c r="I197" s="3">
        <f>2134.2+(109.3-402)+(-2.176884+(-0.111486--0.41004))+0-58.6--0.0597720000000093</f>
        <v>1781.0814419999999</v>
      </c>
      <c r="J197" s="3">
        <f>1998+(117.6-270.3)+(0+(0-0))+0-68.3-0</f>
        <v>1777</v>
      </c>
      <c r="K197" s="3">
        <f>1944.2+(131.9-257.1)+(-0.991542+(-0.067269--0.131121))+0-87.1--0.0444209999999912</f>
        <v>1731.0167310000002</v>
      </c>
      <c r="L197" s="3">
        <f>1948.4+(133-274.1)+(0.993684+(0.06783-0.139791))+0-59.3-0.030242999999994</f>
        <v>1748.8914800000002</v>
      </c>
      <c r="M197" s="3">
        <f>2054.9+(134.5-252.3)+(-1.047999+(-0.068595--0.128673))+0-45.2--0.0230519999999954</f>
        <v>1890.9351310000002</v>
      </c>
      <c r="N197" s="3">
        <f>2244.5+(133.1-357)+(1.144695+(0.067881-0.18207))+0-21.3-0.0108629999999978</f>
        <v>2000.319643</v>
      </c>
      <c r="O197" s="3">
        <f>2293.7+(132-321.5)+(-2.339574+(-0.13464--0.32793))+0-16.6--0.0169320000000027</f>
        <v>2085.470648</v>
      </c>
      <c r="P197" s="3">
        <f>2429.1+(132.1-388.9)+(-2.477682+(-0.134742--0.396678))+0-26.9--0.0274380000000043</f>
        <v>2143.2116920000003</v>
      </c>
      <c r="Q197" s="3">
        <f>2466.9+(131.9-341.8)+(1.258119+(0.067269-0.174318))+0-83.3-0.0424829999999915</f>
        <v>2174.8085869999995</v>
      </c>
      <c r="R197" s="3">
        <f>2487+(131.9-388.8)+(-1.26837+(-0.067269--0.198288))+0-73.5--0.0374849999999925</f>
        <v>2155.5001339999999</v>
      </c>
      <c r="S197" s="3">
        <f>2559.3+(131.6-476.5)+(1.305243+(0.067116-0.243015))+0-67-0.0341699999999932</f>
        <v>2148.4951740000001</v>
      </c>
      <c r="T197" s="3">
        <f>2543.3+(127.7-463.3)+(-3.891249+(-0.195381--0.708849))+0-77.8--0.119034000000004</f>
        <v>2126.6412529999998</v>
      </c>
      <c r="U197" s="3">
        <f>2541.5+(131.6-483.1)+(-6.480825+(-0.33558--1.231905))+0-74.1--0.188954999999989</f>
        <v>2110.5044550000002</v>
      </c>
      <c r="V197" s="3">
        <f>2482+(131.7-388.2)+(-3.79746+(-0.201501--0.593946))+0-86.3--0.132039000000005</f>
        <v>2135.9270240000001</v>
      </c>
      <c r="W197" s="3">
        <f>2435.2+(146.2-156.6)+(-6.20976+(-0.37281--0.39933))+0-73.3--0.186914999999989</f>
        <v>2345.5036749999995</v>
      </c>
      <c r="X197" s="3">
        <f>2739.2+(133-344.1)+(-2.793984+(-0.13566--0.350982))+0-58.2--0.0593640000000093</f>
        <v>2467.3807020000004</v>
      </c>
      <c r="Y197" s="3">
        <f>2788.6+(133.4-428.5)+(-4.266558+(-0.204102--0.655605))+0-73.7--0.112761000000004</f>
        <v>2416.097706</v>
      </c>
      <c r="Z197" s="3">
        <f>2750.1+(133.4-454.5)+(-5.610204+(-0.272136--0.92718))+0-50.9--0.103835999999998</f>
        <v>2373.2486759999997</v>
      </c>
      <c r="AA197" s="3">
        <f>2647+(131.4-450.3)+(-5.39988+(-0.268056--0.918612))+0-72.9--0.148715999999997</f>
        <v>2250.5993920000001</v>
      </c>
      <c r="AB197" s="3">
        <f>2468.2+(103.2-328.9)+(-6.29391+(-0.26316--0.838695))+0-79.8--0.203489999999988</f>
        <v>2157.1851149999998</v>
      </c>
      <c r="AC197" s="3">
        <f>2171.4+(114.7-161)+(-3.322242+(-0.175491--0.24633))+0-90.9--0.139077000000005</f>
        <v>2031.0876739999997</v>
      </c>
      <c r="AD197">
        <f t="shared" si="3"/>
        <v>49572.252633000004</v>
      </c>
      <c r="AE197" s="3">
        <f>2793+(134-386)+(0+(0-0))+0-22-0</f>
        <v>2519</v>
      </c>
    </row>
    <row r="198" spans="1:31" s="2" customFormat="1" x14ac:dyDescent="0.25">
      <c r="A198">
        <v>89</v>
      </c>
      <c r="B198">
        <v>7</v>
      </c>
      <c r="C198">
        <v>12</v>
      </c>
      <c r="D198">
        <v>3</v>
      </c>
      <c r="E198">
        <v>5</v>
      </c>
      <c r="F198" s="3">
        <f>2036.7+(111.5-179.2)+(-2.077434+(-0.11373--0.182784))+0-65.2--0.0665040000000104</f>
        <v>1901.8581240000001</v>
      </c>
      <c r="G198" s="3">
        <f>1893.3+(110-98.4)+(-1.931166+(-0.1122--0.100368))+0-81.1--0.0827220000000129</f>
        <v>1821.9397240000001</v>
      </c>
      <c r="H198" s="3">
        <f>1840.6+(117.9-80.2)+(-4.69353+(-0.300645--0.20451))+0-91.1--0.232304999999987</f>
        <v>1782.64264</v>
      </c>
      <c r="I198" s="3">
        <f>1858.5+(109.1-121.3)+(1.89567+(0.111282-0.123726))+0-73.4-0.0748680000000117</f>
        <v>1774.7083579999999</v>
      </c>
      <c r="J198" s="3">
        <f>1925.2+(113.4-186.2)+(-0.981852+(-0.057834--0.094962))+0-75.9--0.0387089999999923</f>
        <v>1775.593985</v>
      </c>
      <c r="K198" s="3">
        <f>1883.1+(130.8-223)+(-1.920762+(-0.133416--0.22746))+0-72.6--0.0740520000000116</f>
        <v>1716.5473339999999</v>
      </c>
      <c r="L198" s="3">
        <f>1733.3+(157.7-110)+(-3.535932+(-0.321708--0.2244))+0-75.7--0.154427999999997</f>
        <v>1701.8211880000001</v>
      </c>
      <c r="M198" s="3">
        <f>1749.4+(182.6-76.6)+(1.784388+(0.186252-0.078132))+0-69.5-0.0708900000000111</f>
        <v>1787.721618</v>
      </c>
      <c r="N198" s="3">
        <f>2032.2+(131.4-218.9)+(0+(0-0))+0-72.5-0</f>
        <v>1872.2</v>
      </c>
      <c r="O198" s="3">
        <f>2168.6+(132.1-223)+(-3.317958+(-0.202113--0.34119))+0-88.4--0.135252000000005</f>
        <v>1986.2563709999999</v>
      </c>
      <c r="P198" s="3">
        <f>2202.2+(131.9-218.6)+(0+(0-0))+0-61.9-0</f>
        <v>2053.6</v>
      </c>
      <c r="Q198" s="3">
        <f>2336.1+(133.7-322.9)+(0+(0-0))+0-79.5-0</f>
        <v>2067.4</v>
      </c>
      <c r="R198" s="3">
        <f>2449.3+(133.7-452.5)+(-2.498286+(-0.136374--0.46155))+0-83.7--0.0853740000000134</f>
        <v>2044.7122639999998</v>
      </c>
      <c r="S198" s="3">
        <f>2438.7+(133.2-439.3)+(2.487474+(0.135864-0.448086))+0-83.6-0.0852720000000133</f>
        <v>2051.0899800000002</v>
      </c>
      <c r="T198" s="3">
        <f>2436.3+(134-452.7)+(-3.727539+(-0.20502--0.692631))+0-81.3--0.124389000000005</f>
        <v>2033.1844610000005</v>
      </c>
      <c r="U198" s="3">
        <f>2365.7+(134.1-418.5)+(-7.239042+(-0.410346--1.28061))+0-77.3--0.236538000000009</f>
        <v>1997.8677599999999</v>
      </c>
      <c r="V198" s="3">
        <f>2124.5+(133.1-183)+(-5.417475+(-0.339405--0.46665))+0-60.9--0.155294999999991</f>
        <v>2008.5650649999998</v>
      </c>
      <c r="W198" s="3">
        <f>2261.9+(175.1-123.9)+(0+(0-0))+0-87.7-0</f>
        <v>2225.4</v>
      </c>
      <c r="X198" s="3">
        <f>2609.4+(132.7-299.3)+(-3.992382+(-0.203031--0.457929))+0-74.4--0.113832000000004</f>
        <v>2364.7763479999999</v>
      </c>
      <c r="Y198" s="3">
        <f>2529.8+(133-298.6)+(-3.870594+(-0.20349--0.456858))+18.8-79--0.120870000000005</f>
        <v>2300.5036440000008</v>
      </c>
      <c r="Z198" s="3">
        <f>2650.7+(133-316.7)+(-4.055571+(-0.20349--0.484551))+33.3-72.8--0.111384000000004</f>
        <v>2423.8368739999996</v>
      </c>
      <c r="AA198" s="3">
        <f>2634.3+(133.2-493.4)+(-6.717465+(-0.33966--1.25817))+31-70.1--0.17875499999999</f>
        <v>2229.3798000000002</v>
      </c>
      <c r="AB198" s="3">
        <f>2396.7+(114.6-323.5)+(-3.666951+(-0.175338--0.494955))+5.2-89.5--0.136935000000005</f>
        <v>2100.2896009999995</v>
      </c>
      <c r="AC198" s="3">
        <f>2258+(110.3-327.4)+(-3.45474+(-0.168759--0.500922))+0-61.9--0.0947070000000036</f>
        <v>1975.9721299999999</v>
      </c>
      <c r="AD198">
        <f t="shared" si="3"/>
        <v>47997.867269000002</v>
      </c>
      <c r="AE198" s="3">
        <f>2658+(132-364.4)+(0+(0-0))+0-81.3-0</f>
        <v>2344.2999999999997</v>
      </c>
    </row>
    <row r="199" spans="1:31" s="2" customFormat="1" x14ac:dyDescent="0.25">
      <c r="A199">
        <v>89</v>
      </c>
      <c r="B199">
        <v>7</v>
      </c>
      <c r="C199">
        <v>13</v>
      </c>
      <c r="D199">
        <v>4</v>
      </c>
      <c r="E199">
        <v>1</v>
      </c>
      <c r="F199" s="3">
        <f>2118.7+(109.8-302.4)+(0+(0-0))+0-73.7-0</f>
        <v>1852.3999999999999</v>
      </c>
      <c r="G199" s="3">
        <f>1926.2+(108.9-150.9)+(-0.982362+(-0.055539--0.076959))+0-86.4--0.0440639999999912</f>
        <v>1796.883122</v>
      </c>
      <c r="H199" s="3">
        <f>1827.8+(108.9-111.7)+(0.932178+(0.055539-0.056967))+0-76.4-0.0389639999999923</f>
        <v>1749.4917859999998</v>
      </c>
      <c r="I199" s="3">
        <f>1845.1+(108.7-146.8)+(3.764004+(0.221748-0.299472))+0-75.4-0.153815999999997</f>
        <v>1735.1324639999998</v>
      </c>
      <c r="J199" s="3">
        <f>1808.2+(108.8-122.6)+(-2.766546+(-0.166464--0.187578))+0-60.4--0.0924120000000035</f>
        <v>1731.34698</v>
      </c>
      <c r="K199" s="3">
        <f>1802.8+(109.6-143.2)+(-2.758284+(-0.167688--0.219096))+0-62.4--0.0954720000000036</f>
        <v>1704.188596</v>
      </c>
      <c r="L199" s="3">
        <f>1821.7+(132.2-121.7)+(0+(0-0))+0-75.9-0</f>
        <v>1756.3</v>
      </c>
      <c r="M199" s="3">
        <f>2272.2+(131.8-382.8)+(1.158822+(0.067218-0.195228))+0-88.4-0.045083999999991</f>
        <v>1933.7857279999996</v>
      </c>
      <c r="N199" s="3">
        <f>2431.1+(130.6-437.8)+(0+(0-0))+0-76.8-0</f>
        <v>2047.0999999999997</v>
      </c>
      <c r="O199" s="3">
        <f>2489.4+(133.6-419.3)+(-3.808782+(-0.204408--0.641529))+0-63.6--0.0973080000000037</f>
        <v>2136.8256469999997</v>
      </c>
      <c r="P199" s="3">
        <f>2528.3+(132.7-373)+(1.289433+(0.067677-0.19023))+0-85.5-0.0436049999999913</f>
        <v>2203.6232750000004</v>
      </c>
      <c r="Q199" s="3">
        <f>2617.3+(132.4-441.3)+(0+(0-0))+0-77-0</f>
        <v>2231.4</v>
      </c>
      <c r="R199" s="3">
        <f>2645.3+(131.9-479.4)+(-1.349103+(-0.067269--0.244494))+0-76.7--0.0391169999999922</f>
        <v>2219.9672390000001</v>
      </c>
      <c r="S199" s="3">
        <f>2654.1+(132.3-530.4)+(4.060773+(0.202419-0.811512))+0-61-0.0933300000000035</f>
        <v>2198.35835</v>
      </c>
      <c r="T199" s="3">
        <f>2625.7+(133-516.7)+(-1.339107+(-0.06783--0.263517))+0-77.9--0.0397289999999921</f>
        <v>2162.9963090000001</v>
      </c>
      <c r="U199" s="3">
        <f>2596.8+(133.3-525.6)+(-5.297472+(-0.271932--1.072224))+0-61.8--0.126071999999997</f>
        <v>2138.328892</v>
      </c>
      <c r="V199" s="3">
        <f>2485.5+(133.5-377.1)+(-3.802815+(-0.204255--0.576963))+0-66.3--0.101439000000004</f>
        <v>2172.2713319999998</v>
      </c>
      <c r="W199" s="3">
        <f>2605.6+(133.7-252.8)+(-3.986568+(-0.204561--0.386784))+0-76.3--0.116739000000004</f>
        <v>2406.5123939999999</v>
      </c>
      <c r="X199" s="3">
        <f>2816.9+(133.8-362.6)+(1.436619+(0.068238-0.184926))+0-77.3-0.0394229999999922</f>
        <v>2512.0805079999996</v>
      </c>
      <c r="Y199" s="3">
        <f>2866.2+(134.2-438.9)+(-5.847048+(-0.273768--0.895356))+0-84.9--0.173195999999996</f>
        <v>2471.547736</v>
      </c>
      <c r="Z199" s="3">
        <f>2820.5+(133.9-456.8)+(1.438455+(0.068289-0.232968))+0-83.1-0.0423809999999916</f>
        <v>2415.7313949999998</v>
      </c>
      <c r="AA199" s="3">
        <f>2736.1+(134.7-493.7)+(-4.186233+(-0.206091--0.755361))+0-78.5--0.120105000000005</f>
        <v>2295.083142</v>
      </c>
      <c r="AB199" s="3">
        <f>2404.4+(113.6-266.5)+(-4.904976+(-0.231744--0.54366))+0-78.7--0.160547999999997</f>
        <v>2168.3674879999999</v>
      </c>
      <c r="AC199" s="3">
        <f>2108.1+(106.5-166.4)+(-2.150262+(-0.10863--0.169728))+0-45.8--0.0467160000000073</f>
        <v>2000.3575519999999</v>
      </c>
      <c r="AD199">
        <f t="shared" si="3"/>
        <v>50040.079935000002</v>
      </c>
      <c r="AE199" s="3">
        <f>2875+(134.1-398.1)+(0+(0-0))+0-88.9-0</f>
        <v>2522.1</v>
      </c>
    </row>
    <row r="200" spans="1:31" s="2" customFormat="1" x14ac:dyDescent="0.25">
      <c r="A200">
        <v>89</v>
      </c>
      <c r="B200">
        <v>7</v>
      </c>
      <c r="C200">
        <v>14</v>
      </c>
      <c r="D200">
        <v>5</v>
      </c>
      <c r="E200">
        <v>1</v>
      </c>
      <c r="F200" s="3">
        <f>1967.8+(106.7-97.4)+(-2.007156+(-0.108834--0.099348))+0-90--0.0918000000000144</f>
        <v>1885.1751579999998</v>
      </c>
      <c r="G200" s="3">
        <f>1868.7+(106.6-94.5)+(-0.953037+(-0.054366--0.048195))+0-75.8--0.0386579999999923</f>
        <v>1804.07945</v>
      </c>
      <c r="H200" s="3">
        <f>1868.8+(106.3-133.3)+(-2.859264+(-0.162639--0.203949))+0-68.9--0.105417000000004</f>
        <v>1770.1874629999998</v>
      </c>
      <c r="I200" s="3">
        <f>1872.3+(105.1-147.9)+(-1.909746+(-0.107202--0.150858))+0-71.2--0.0726240000000114</f>
        <v>1756.5065339999999</v>
      </c>
      <c r="J200" s="3">
        <f>1780.6+(136.4-64.7)+(-0.908106+(-0.069564--0.032997))+0-91.3--0.0465629999999907</f>
        <v>1760.1018899999999</v>
      </c>
      <c r="K200" s="3">
        <f>1769.9+(124.6-109.9)+(-3.610596+(-0.254184--0.224196))+0-73.6--0.150143999999997</f>
        <v>1707.5095600000002</v>
      </c>
      <c r="L200" s="3">
        <f>1759.6+(152.5-102)+(-0.897396+(-0.077775--0.05202))+0-69--0.035189999999993</f>
        <v>1740.212039</v>
      </c>
      <c r="M200" s="3">
        <f>2002.9+(131.2-206.2)+(1.021479+(0.066912-0.105162))+0-57.7-0.0294269999999941</f>
        <v>1871.153802</v>
      </c>
      <c r="N200" s="3">
        <f>2148.4+(132.3-271.9)+(2.191368+(0.134946-0.277338))+0-21.4-0.0218280000000034</f>
        <v>1989.4271480000002</v>
      </c>
      <c r="O200" s="3">
        <f>2218.5+(131.2-247.2)+(-1.131435+(-0.066912--0.126072))+0-15.7--0.00800699999999841</f>
        <v>2085.7357320000001</v>
      </c>
      <c r="P200" s="3">
        <f>2265.3+(130.5-250.8)+(-3.465909+(-0.199665--0.383724))+0-17.3--0.026469000000001</f>
        <v>2124.4446189999999</v>
      </c>
      <c r="Q200" s="3">
        <f>2344.8+(130.2-294.5)+(0+(0-0))+0-18.5-0</f>
        <v>2162</v>
      </c>
      <c r="R200" s="3">
        <f>2334.4+(130.3-301)+(1.190544+(0.066453-0.15351))+0-18.5-0.00943499999999812</f>
        <v>2146.2940520000002</v>
      </c>
      <c r="S200" s="3">
        <f>2405.4+(130.6-380)+(1.226754+(0.066606-0.1938))+0-18.6-0.00948599999999811</f>
        <v>2138.4900740000003</v>
      </c>
      <c r="T200" s="3">
        <f>2431.3+(130.9-413.2)+(-6.199815+(-0.333795--1.05366))+0-34.8--0.0887399999999949</f>
        <v>2108.80879</v>
      </c>
      <c r="U200" s="3">
        <f>2482.9+(132.6-448.1)+(-2.532558+(-0.135252--0.457062))+0-71.4--0.0728280000000114</f>
        <v>2093.8620799999999</v>
      </c>
      <c r="V200" s="3">
        <f>2411.3+(133.1-326)+(-4.919052+(-0.271524--0.66504))+0-62.4--0.127295999999997</f>
        <v>2151.60176</v>
      </c>
      <c r="W200" s="3">
        <f>2525.8+(132.8-201)+(-1.288158+(-0.067728--0.10251))+0-73.3--0.0373829999999926</f>
        <v>2383.0840069999999</v>
      </c>
      <c r="X200" s="3">
        <f>2786.5+(132.8-356.5)+(-2.84223+(-0.135456--0.36363))+0-70.1--0.0715020000000112</f>
        <v>2490.1574460000006</v>
      </c>
      <c r="Y200" s="3">
        <f>2725.8+(132.5-332)+(-5.560632+(-0.2703--0.67728))+0-47--0.095879999999998</f>
        <v>2474.2422280000001</v>
      </c>
      <c r="Z200" s="3">
        <f>2424.6+(132.6-145.3)+(-2.473092+(-0.135252--0.148206))+0-65.9--0.0672180000000105</f>
        <v>2343.6070800000002</v>
      </c>
      <c r="AA200" s="3">
        <f>2412.4+(132.9-237.7)+(-8.612268+(-0.474453--0.848589))+0-79.3--0.283101000000001</f>
        <v>2220.3449689999998</v>
      </c>
      <c r="AB200" s="3">
        <f>2359.7+(111.5-279.9)+(-2.406894+(-0.11373--0.285498))+0-80--0.0816000000000128</f>
        <v>2109.1464739999997</v>
      </c>
      <c r="AC200" s="3">
        <f>2276.2+(108.2-331.3)+(-4.643448+(-0.220728--0.675852))+0-80.3--0.163811999999996</f>
        <v>1968.7754879999998</v>
      </c>
      <c r="AD200">
        <f t="shared" si="3"/>
        <v>49284.947842999994</v>
      </c>
      <c r="AE200" s="3">
        <f>2800+(133-372.4)+(0+(0-0))+0-103-0</f>
        <v>2457.6</v>
      </c>
    </row>
    <row r="201" spans="1:31" s="2" customFormat="1" x14ac:dyDescent="0.25">
      <c r="A201">
        <v>89</v>
      </c>
      <c r="B201">
        <v>7</v>
      </c>
      <c r="C201">
        <v>15</v>
      </c>
      <c r="D201">
        <v>6</v>
      </c>
      <c r="E201">
        <v>1</v>
      </c>
      <c r="F201" s="3">
        <f>2190.7+(104.7-359.7)+(-3.351771+(-0.160191--0.550341))+0-72.9--0.111537000000004</f>
        <v>1859.9499159999998</v>
      </c>
      <c r="G201" s="3">
        <f>2050.9+(108.8-317.6)+(-1.045959+(-0.055488--0.161976))+0-59.2--0.030191999999994</f>
        <v>1781.9907210000001</v>
      </c>
      <c r="H201" s="3">
        <f>1874.3+(109.7-162.5)+(-2.867679+(-0.167841--0.248625))+0-74--0.113220000000004</f>
        <v>1744.826325</v>
      </c>
      <c r="I201" s="3">
        <f>1776.4+(120-76.6)+(-4.52982+(-0.306--0.19533))+0-89.3--0.227714999999987</f>
        <v>1726.0872250000002</v>
      </c>
      <c r="J201" s="3">
        <f>1789.8+(119.4-108)+(-0.912798+(-0.060894--0.05508))+0-88--0.0448799999999911</f>
        <v>1712.326268</v>
      </c>
      <c r="K201" s="3">
        <f>1786.1+(142.2-122)+(-2.732733+(-0.217566--0.18666))+0-85--0.130050000000005</f>
        <v>1718.6664109999999</v>
      </c>
      <c r="L201" s="3">
        <f>1744+(190.3-105)+(1.77888+(0.194106-0.1071))+0-71-0.0724200000000113</f>
        <v>1760.093466</v>
      </c>
      <c r="M201" s="3">
        <f>1804.5+(231.8-80)+(0.920295+(0.118218-0.0408))+0-97-0.0494699999999902</f>
        <v>1860.248243</v>
      </c>
      <c r="N201" s="3">
        <f>2103.5+(134-202)+(-1.072785+(-0.06834--0.10302))+0-82--0.0418199999999917</f>
        <v>1952.5037149999998</v>
      </c>
      <c r="O201" s="3">
        <f>2208.4+(133-235.6)+(0+(0-0))+0-77-0</f>
        <v>2028.8000000000002</v>
      </c>
      <c r="P201" s="3">
        <f>2245.3+(140.9-200)+(-1.145103+(-0.071859--0.102))+0-77--0.0392699999999922</f>
        <v>2108.1243080000004</v>
      </c>
      <c r="Q201" s="3">
        <f>2472.7+(133.6-353.4)+(-1.261077+(-0.068136--0.180234))+0-72.8--0.0371279999999926</f>
        <v>2178.9881489999993</v>
      </c>
      <c r="R201" s="3">
        <f>2540.2+(133.9-430.7)+(-3.886506+(-0.204867--0.658971))+0-74.1--0.113373000000004</f>
        <v>2165.980971</v>
      </c>
      <c r="S201" s="3">
        <f>2518.2+(133.6-472.1)+(-2.568564+(-0.136272--0.481542))+0-77.7--0.0792540000000124</f>
        <v>2099.8559600000003</v>
      </c>
      <c r="T201" s="3">
        <f>2478.6+(134.3-484.5)+(-5.056344+(-0.273972--0.98838))+0-79.4--0.161975999999997</f>
        <v>2044.8200400000003</v>
      </c>
      <c r="U201" s="3">
        <f>2247+(134.6-284)+(-8.02179+(-0.480522--1.01388))+0-79.1--0.282387000000001</f>
        <v>2011.2939549999999</v>
      </c>
      <c r="V201" s="3">
        <f>2109.8+(170.7-176.3)+(-2.151996+(-0.174114--0.179826))+0-73.3--0.0747660000000117</f>
        <v>2028.8284820000003</v>
      </c>
      <c r="W201" s="3">
        <f>2269.2+(234.6-128.2)+(-2.314584+(-0.239292--0.130764))+0-88.7--0.0904740000000141</f>
        <v>2284.5673620000002</v>
      </c>
      <c r="X201" s="3">
        <f>2729.3+(137.5-404.2)+(-4.175829+(-0.210375--0.618426))+0-77.2--0.118116000000004</f>
        <v>2381.7503380000007</v>
      </c>
      <c r="Y201" s="3">
        <f>2689.5+(137.7-405.2)+(-4.114935+(-0.210681--0.619956))+0-77.3--0.118269000000004</f>
        <v>2341.1126089999998</v>
      </c>
      <c r="Z201" s="3">
        <f>2523.8+(138.1-292.8)+(1.287138+(0.070431-0.149328))+0-74.2-0.0378419999999925</f>
        <v>2296.0703990000002</v>
      </c>
      <c r="AA201" s="3">
        <f>2445.2+(136-299.3)+(-4.988208+(-0.27744--0.610572))+0-94.3--0.192371999999996</f>
        <v>2183.1372959999994</v>
      </c>
      <c r="AB201" s="3">
        <f>2229.8+(137.9-174.5)+(-2.274396+(-0.140658--0.17799))+0-80.1--0.0817020000000128</f>
        <v>2110.9446380000004</v>
      </c>
      <c r="AC201" s="3">
        <f>2011.8+(151.8-128.3)+(-4.104072+(-0.309672--0.261732))+0-56.2--0.114647999999998</f>
        <v>1975.0626359999999</v>
      </c>
      <c r="AD201">
        <f t="shared" si="3"/>
        <v>48356.029433000003</v>
      </c>
      <c r="AE201" s="3">
        <f>2744+(138-410.8)+(0+(0-0))+0-92.8-0</f>
        <v>2378.3999999999996</v>
      </c>
    </row>
    <row r="202" spans="1:31" s="2" customFormat="1" x14ac:dyDescent="0.25">
      <c r="A202">
        <v>89</v>
      </c>
      <c r="B202">
        <v>7</v>
      </c>
      <c r="C202">
        <v>16</v>
      </c>
      <c r="D202">
        <v>7</v>
      </c>
      <c r="E202">
        <v>1</v>
      </c>
      <c r="F202" s="3">
        <f>1910.7+(148.4-107.3)+(-2.923371+(-0.227052--0.164169))+0-71.7--0.109701000000004</f>
        <v>1877.2234470000001</v>
      </c>
      <c r="G202" s="3">
        <f>1857.6+(128.1-122.9)+(-0.947376+(-0.065331--0.062679))+0-75.1--0.0383009999999924</f>
        <v>1786.7882730000001</v>
      </c>
      <c r="H202" s="3">
        <f>1689.3+(186-60.6)+(0+(0-0))+0-76-0</f>
        <v>1738.7</v>
      </c>
      <c r="I202" s="3">
        <f>1645.5+(196.4-47.5)+(0.839205+(0.100164-0.024225))+0-78.4-0.039983999999992</f>
        <v>1716.8751600000001</v>
      </c>
      <c r="J202" s="3">
        <f>1639.5+(189.5-59.9)+(0+(0-0))+0-62.9-0</f>
        <v>1706.1999999999998</v>
      </c>
      <c r="K202" s="3">
        <f>1615.7+(193.8-66.6)+(-4.120035+(-0.49419--0.16983))+0-91.7--0.233834999999987</f>
        <v>1646.9894400000001</v>
      </c>
      <c r="L202" s="3">
        <f>1588.5+(162.1-65.3)+(-4.050675+(-0.413355--0.166515))+0-74.3--0.189464999999989</f>
        <v>1606.89195</v>
      </c>
      <c r="M202" s="3">
        <f>1659.4+(130.7-58.1)+(2.538882+(0.199971-0.088893))+0-83.4-0.127602000000005</f>
        <v>1651.1223579999998</v>
      </c>
      <c r="N202" s="3">
        <f>1887.2+(33.2-132.6)+(-1.924944+(-0.033864--0.135252))+0-73.7--0.0751740000000118</f>
        <v>1712.3516179999999</v>
      </c>
      <c r="O202" s="3">
        <f>1968.9+(24-141.6)+(-2.008278+(-0.02448--0.144432))+0-63.7--0.0649740000000102</f>
        <v>1785.7766480000003</v>
      </c>
      <c r="P202" s="3">
        <f>1951.1+(82.8-108)+(-2.985183+(-0.126684--0.16524))+0-79.7--0.121941000000005</f>
        <v>1843.3753139999999</v>
      </c>
      <c r="Q202" s="3">
        <f>1943.5+(100-104.4)+(-0.991185+(-0.051--0.053244))+0-80.1--0.0408509999999919</f>
        <v>1858.0519099999999</v>
      </c>
      <c r="R202" s="3">
        <f>2001.9+(62.7-142.8)+(-3.062907+(-0.095931--0.218484))+0-71.1--0.108783000000004</f>
        <v>1847.8684290000001</v>
      </c>
      <c r="S202" s="3">
        <f>2091.8+(13.4-196.7)+(0+(0-0))+0-88.7-0</f>
        <v>1819.8000000000002</v>
      </c>
      <c r="T202" s="3">
        <f>2035.3+(29.3-181.3)+(-3.114009+(-0.044829--0.277389))+0-86.6--0.132498000000005</f>
        <v>1793.951049</v>
      </c>
      <c r="U202" s="3">
        <f>2005+(21.4-192.4)+(-4.0902+(-0.043656--0.392496))+0-64.1--0.130763999999997</f>
        <v>1766.2894040000001</v>
      </c>
      <c r="V202" s="3">
        <f>2012.6+(16-192)+(-4.105704+(-0.03264--0.39168))+0-47.3--0.0964919999999979</f>
        <v>1785.6498279999998</v>
      </c>
      <c r="W202" s="3">
        <f>2098.5+(94-74.5)+(-5.351175+(-0.2397--0.189975))+0-78.3--0.199664999999989</f>
        <v>2034.498765</v>
      </c>
      <c r="X202" s="3">
        <f>2372.2+(122-229)+(-4.839288+(-0.24888--0.46716))+0-79.4--0.161975999999997</f>
        <v>2181.3409679999995</v>
      </c>
      <c r="Y202" s="3">
        <f>2407.4+(124-271.2)+(-2.455548+(-0.12648--0.276624))+0-85.9--0.0876180000000137</f>
        <v>2172.082214</v>
      </c>
      <c r="Z202" s="3">
        <f>2335.9+(124.7-252.5)+(-3.573927+(-0.190791--0.386325))+0-90.1--0.137853000000005</f>
        <v>2114.7594600000002</v>
      </c>
      <c r="AA202" s="3">
        <f>2241.1+(126.1-241.8)+(-3.428883+(-0.192933--0.369954))+0-87.8--0.134334000000005</f>
        <v>2034.4824720000001</v>
      </c>
      <c r="AB202" s="3">
        <f>2071.1+(110.5-130.2)+(-5.281305+(-0.281775--0.33201))+0-85.3--0.217514999999988</f>
        <v>1961.0864450000001</v>
      </c>
      <c r="AC202" s="3">
        <f>2007.5+(110-181.6)+(-2.04765+(-0.1122--0.185232))+0-81.2--0.082824000000013</f>
        <v>1852.8082060000002</v>
      </c>
      <c r="AD202">
        <f t="shared" si="3"/>
        <v>44294.963358000001</v>
      </c>
      <c r="AE202" s="3">
        <f>2414+(123.3-261.8)+(0+(0-0))+0-92.1-0</f>
        <v>2183.4</v>
      </c>
    </row>
    <row r="203" spans="1:31" s="2" customFormat="1" x14ac:dyDescent="0.25">
      <c r="A203">
        <v>89</v>
      </c>
      <c r="B203">
        <v>7</v>
      </c>
      <c r="C203">
        <v>17</v>
      </c>
      <c r="D203">
        <v>1</v>
      </c>
      <c r="E203">
        <v>1</v>
      </c>
      <c r="F203" s="3">
        <f>1847.2+(109.3-164.6)+(-4.71036+(-0.278715--0.41973))+0-41.5--0.105824999999994</f>
        <v>1745.9364800000001</v>
      </c>
      <c r="G203" s="3">
        <f>1731+(109.7-138.1)+(-4.41405+(-0.279735--0.352155))+0-19.8--0.0504899999999971</f>
        <v>1678.5088600000001</v>
      </c>
      <c r="H203" s="3">
        <f>1749.4+(109.7-123)+(-0.892194+(-0.055947--0.06273))+0-58.7--0.029936999999994</f>
        <v>1676.5445260000001</v>
      </c>
      <c r="I203" s="3">
        <f>1707.6+(113.5-86.5)+(-3.483504+(-0.23154--0.17646))+0-70.2--0.143207999999997</f>
        <v>1661.0046239999999</v>
      </c>
      <c r="J203" s="3">
        <f>1601.5+(169.2-46.6)+(-0.816765+(-0.086292--0.023766))+0-60.6--0.0309059999999939</f>
        <v>1662.651615</v>
      </c>
      <c r="K203" s="3">
        <f>1576+(205.2-63.3)+(0+(0-0))+0-80.2-0</f>
        <v>1637.7</v>
      </c>
      <c r="L203" s="3">
        <f>1622.6+(188.7-61)+(0.827526+(0.096237-0.03111))+0-82.4-0.0420239999999916</f>
        <v>1668.7506289999999</v>
      </c>
      <c r="M203" s="3">
        <f>1883.2+(135-150.1)+(-0.960432+(-0.06885--0.076551))+0-77.1--0.0393209999999922</f>
        <v>1790.0865900000001</v>
      </c>
      <c r="N203" s="3">
        <f>1981.3+(133.5-135)+(-1.010463+(-0.068085--0.06885))+0-89.5--0.0456449999999909</f>
        <v>1889.3359469999998</v>
      </c>
      <c r="O203" s="3">
        <f>2308.6+(131-379.7)+(-2.354772+(-0.13362--0.387294))+0-49--0.0499800000000078</f>
        <v>2008.848882</v>
      </c>
      <c r="P203" s="3">
        <f>2414.8+(131-451.6)+(-1.231548+(-0.06681--0.230316))+0-15.6--0.00795599999999842</f>
        <v>2077.5399140000004</v>
      </c>
      <c r="Q203" s="3">
        <f>2449.1+(135-388.1)+(-2.498082+(-0.1377--0.395862))+0-72.4--0.0738480000000115</f>
        <v>2121.4339279999999</v>
      </c>
      <c r="R203" s="3">
        <f>2468.7+(135.1-424.1)+(-1.259037+(-0.068901--0.216291))+0-75.3--0.0384029999999924</f>
        <v>2103.3267559999995</v>
      </c>
      <c r="S203" s="3">
        <f>2528.6+(135.4-492.3)+(-2.579172+(-0.138108--0.502146))+0-75.7--0.0772140000000121</f>
        <v>2093.8620799999999</v>
      </c>
      <c r="T203" s="3">
        <f>2523.9+(135-520.5)+(-2.574378+(-0.1377--0.53091))+0-78.6--0.0801720000000125</f>
        <v>2057.6990040000001</v>
      </c>
      <c r="U203" s="3">
        <f>2475.6+(135.2-502)+(-5.050224+(-0.275808--1.02408))+0-65--0.132599999999997</f>
        <v>2039.6306479999998</v>
      </c>
      <c r="V203" s="3">
        <f>2347.6+(135.4-302.2)+(-7.183656+(-0.414324--0.924732))+0-94.4--0.288864000000011</f>
        <v>2080.0156159999997</v>
      </c>
      <c r="W203" s="3">
        <f>2385.6+(175.2-112)+(-2.433312+(-0.178704--0.11424))+0-84.4--0.0860880000000135</f>
        <v>2361.9883119999995</v>
      </c>
      <c r="X203" s="3">
        <f>2690+(135.6-310.2)+(-4.1157+(-0.207468--0.474606))+0-81.7--0.125001000000005</f>
        <v>2429.976439</v>
      </c>
      <c r="Y203" s="3">
        <f>2763+(133.9-426.1)+(-7.04565+(-0.341445--1.086555))+0-79.5--0.202724999999988</f>
        <v>2385.2021850000001</v>
      </c>
      <c r="Z203" s="3">
        <f>2795.1+(134.2-534.7)+(-4.276503+(-0.205326--0.818091))+0-77--0.117810000000004</f>
        <v>2314.0540719999999</v>
      </c>
      <c r="AA203" s="3">
        <f>2670.7+(134.5-509.9)+(-6.810285+(-0.342975--1.300245))+0-80.1--0.204254999999988</f>
        <v>2209.5512399999998</v>
      </c>
      <c r="AB203" s="3">
        <f>2505.6+(112-446.1)+(-6.38928+(-0.2856--1.137555))+0-84.7--0.215984999999988</f>
        <v>2081.4786600000002</v>
      </c>
      <c r="AC203" s="3">
        <f>2162.6+(106-274)+(0+(0-0))+0-44.3-0</f>
        <v>1950.3</v>
      </c>
      <c r="AD203">
        <f t="shared" si="3"/>
        <v>47725.427006999998</v>
      </c>
      <c r="AE203" s="3">
        <f>2763+(134-377.5)+(0+(0-0))+0-91.8-0</f>
        <v>2427.6999999999998</v>
      </c>
    </row>
    <row r="204" spans="1:31" s="2" customFormat="1" x14ac:dyDescent="0.25">
      <c r="A204">
        <v>89</v>
      </c>
      <c r="B204">
        <v>7</v>
      </c>
      <c r="C204">
        <v>18</v>
      </c>
      <c r="D204">
        <v>2</v>
      </c>
      <c r="E204">
        <v>1</v>
      </c>
      <c r="F204" s="3">
        <f>2119.3+(110.9-291.1)+(0+(0-0))+0-89.6-0</f>
        <v>1849.5000000000002</v>
      </c>
      <c r="G204" s="3">
        <f>2007.1+(109.7-257.1)+(0+(0-0))+0-79.2-0</f>
        <v>1780.4999999999998</v>
      </c>
      <c r="H204" s="3">
        <f>1900.3+(110-189.3)+(0+(0-0))+0-74.9-0</f>
        <v>1746.1</v>
      </c>
      <c r="I204" s="3">
        <f>1774.2+(118.6-85.7)+(0+(0-0))+0-80.1-0</f>
        <v>1727.0000000000002</v>
      </c>
      <c r="J204" s="3">
        <f>1726.3+(149.5-58.6)+(0+(0-0))+0-81.2-0</f>
        <v>1736</v>
      </c>
      <c r="K204" s="3">
        <f>1789.9+(123.1-116.5)+(0+(0-0))+0-89.1-0</f>
        <v>1707.4</v>
      </c>
      <c r="L204" s="3">
        <f>1624.8+(249.3-60.6)+(0+(0-0))+0-79.5-0</f>
        <v>1734</v>
      </c>
      <c r="M204" s="3">
        <f>1761.9+(235.8-55.8)+(0+(0-0))+0-79.5-0</f>
        <v>1862.4</v>
      </c>
      <c r="N204" s="3">
        <f>2171.3+(133-246.9)+(0+(0-0))+0-78.6-0</f>
        <v>1978.8000000000002</v>
      </c>
      <c r="O204" s="3">
        <f>2442.5+(132.2-425.8)+(0+(0-0))+0-77-0</f>
        <v>2071.9</v>
      </c>
      <c r="P204" s="3">
        <f>2467+(131.8-398.2)+(0+(0-0))+0-71.3-0</f>
        <v>2129.2999999999997</v>
      </c>
      <c r="Q204" s="3">
        <f>2584.2+(132.3-489.6)+(0+(0-0))+0-77.8-0</f>
        <v>2149.0999999999995</v>
      </c>
      <c r="R204" s="3">
        <f>2594.6+(133.9-515.8)+(-1.323246+(-0.068289--0.263058))+0-86--0.0438599999999913</f>
        <v>2125.6153829999994</v>
      </c>
      <c r="S204" s="3">
        <f>2582.2+(134.2-505.2)+(-2.633844+(-0.136884--0.515304))+0-82.9--0.0845580000000132</f>
        <v>2126.1291339999998</v>
      </c>
      <c r="T204" s="3">
        <f>2499.1+(134.6-480.1)+(-2.549082+(-0.137292--0.489702))+0-71.7--0.0731340000000114</f>
        <v>2079.7764620000003</v>
      </c>
      <c r="U204" s="3">
        <f>2494.3+(134.9-488.9)+(-5.088372+(-0.275196--0.997356))+0-75--0.152999999999997</f>
        <v>2061.0867880000001</v>
      </c>
      <c r="V204" s="3">
        <f>2512+(134.8-440.7)+(-3.84336+(-0.206244--0.674271))+0-86.9--0.132957000000005</f>
        <v>2115.9576239999997</v>
      </c>
      <c r="W204" s="3">
        <f>2645.5+(134.9-309.3)+(0+(0-0))+0-80.8-0</f>
        <v>2390.2999999999997</v>
      </c>
      <c r="X204" s="3">
        <f>2861+(134.7-453.1)+(-1.45911+(-0.068697--0.231081))+0-69.5--0.0354449999999929</f>
        <v>2471.8387189999999</v>
      </c>
      <c r="Y204" s="3">
        <f>2898.8+(134.6-533.3)+(-4.435164+(-0.205938--0.815949))+0-64.8--0.0991440000000037</f>
        <v>2431.5739910000002</v>
      </c>
      <c r="Z204" s="3">
        <f>2821.6+(135.1-533.2)+(-8.634096+(-0.413406--1.631592))+0-70.9--0.216954000000008</f>
        <v>2345.4010439999997</v>
      </c>
      <c r="AA204" s="3">
        <f>2680.3+(134.9-523.3)+(-2.733906+(-0.137598--0.533766))+0-76.4--0.0779280000000122</f>
        <v>2213.24019</v>
      </c>
      <c r="AB204" s="3">
        <f>2151.4+(129-119.5)+(-6.583284+(-0.39474--0.36567))+0-71.3--0.218178000000008</f>
        <v>2083.2058240000001</v>
      </c>
      <c r="AC204" s="3">
        <f>1955.9+(160.2-108.1)+(-4.987545+(-0.40851--0.275655))+0-75.6--0.192779999999989</f>
        <v>1927.4723800000002</v>
      </c>
      <c r="AD204">
        <f t="shared" si="3"/>
        <v>48843.597538999995</v>
      </c>
      <c r="AE204" s="3">
        <f>2982+(134.8-515.6)+(0+(0-0))+0-91.8-0</f>
        <v>2509.3999999999996</v>
      </c>
    </row>
    <row r="205" spans="1:31" s="2" customFormat="1" x14ac:dyDescent="0.25">
      <c r="A205">
        <v>89</v>
      </c>
      <c r="B205">
        <v>7</v>
      </c>
      <c r="C205">
        <v>19</v>
      </c>
      <c r="D205">
        <v>3</v>
      </c>
      <c r="E205">
        <v>1</v>
      </c>
      <c r="F205" s="3">
        <f>1864.5+(139.2-110.5)+(0.950895+(0.070992-0.056355))+0-73.7-0.0375869999999925</f>
        <v>1820.4279449999999</v>
      </c>
      <c r="G205" s="3">
        <f>1847.9+(110-118.7)+(-3.769716+(-0.2244--0.242148))+0-88.3--0.180131999999996</f>
        <v>1747.328164</v>
      </c>
      <c r="H205" s="3">
        <f>1766.2+(133.8-87.6)+(-3.603048+(-0.272952--0.178704))+0-79.7--0.162587999999997</f>
        <v>1729.1652919999999</v>
      </c>
      <c r="I205" s="3">
        <f>1706.3+(149.4-70.2)+(-1.740426+(-0.152388--0.071604))+0-71.5--0.0729300000000114</f>
        <v>1712.25172</v>
      </c>
      <c r="J205" s="3">
        <f>1726.9+(143.5-81.7)+(-1.761438+(-0.14637--0.083334))+0-72.6--0.0740520000000116</f>
        <v>1714.3495780000001</v>
      </c>
      <c r="K205" s="3">
        <f>1850+(109.1-184.5)+(0.9435+(0.055641-0.094095))+0-94-0.0479399999999905</f>
        <v>1681.4571060000001</v>
      </c>
      <c r="L205" s="3">
        <f>1801.8+(139.6-142.8)+(-1.837836+(-0.142392--0.145656))+0-79.6--0.0811920000000127</f>
        <v>1717.2466200000001</v>
      </c>
      <c r="M205" s="3">
        <f>1996.5+(135.3-229.6)+(1.018215+(0.069003-0.117096))+0-51-0.0260099999999948</f>
        <v>1852.144112</v>
      </c>
      <c r="N205" s="3">
        <f>2270.2+(134.7-347.3)+(-1.157802+(-0.068697--0.177123))+0-77.3--0.0394229999999922</f>
        <v>1979.290047</v>
      </c>
      <c r="O205" s="3">
        <f>2471.1+(134.6-441.1)+(0+(0-0))+0-77-0</f>
        <v>2087.6</v>
      </c>
      <c r="P205" s="3">
        <f>2504.4+(133.4-431.1)+(0+(0-0))+0-79.3-0</f>
        <v>2127.3999999999996</v>
      </c>
      <c r="Q205" s="3">
        <f>2517.8+(132.9-441.1)+(0+(0-0))+0-58.5-0</f>
        <v>2151.1000000000004</v>
      </c>
      <c r="R205" s="3">
        <f>2538.8+(132.8-455.1)+(-2.589576+(-0.135456--0.464202))+0-76.5--0.0780300000000122</f>
        <v>2137.8172</v>
      </c>
      <c r="S205" s="3">
        <f>2541.2+(132.7-474.6)+(0+(0-0))+0-79.6-0</f>
        <v>2119.6999999999998</v>
      </c>
      <c r="T205" s="3">
        <f>2492.3+(133.1-473.8)+(-2.542146+(-0.135762--0.483276))+0-73.6--0.0750720000000117</f>
        <v>2075.8804400000004</v>
      </c>
      <c r="U205" s="3">
        <f>2488.5+(133.8-472.3)+(-5.07654+(-0.272952--0.963492))+0-64.5--0.131579999999997</f>
        <v>2081.2455800000002</v>
      </c>
      <c r="V205" s="3">
        <f>2502.1+(134.5-440.6)+(-5.104284+(-0.27438--0.898824))+0-68.3--0.139331999999997</f>
        <v>2123.359492</v>
      </c>
      <c r="W205" s="3">
        <f>2639.9+(134.6-303.7)+(2.692698+(0.137292-0.309774))+0-88.2-0.0899640000000141</f>
        <v>2385.030252</v>
      </c>
      <c r="X205" s="3">
        <f>2821.5+(132.6-455)+(-4.316895+(-0.202878--0.69615))+0-56.7--0.0867510000000033</f>
        <v>2438.6631279999997</v>
      </c>
      <c r="Y205" s="3">
        <f>2831.4+(134.4-500.7)+(-5.776056+(-0.274176--1.021428))+0-68.5--0.139739999999997</f>
        <v>2391.7109360000004</v>
      </c>
      <c r="Z205" s="3">
        <f>2755.6+(134.2-482.5)+(-4.216068+(-0.205326--0.738225))+0-86.4--0.132192000000005</f>
        <v>2317.3490229999998</v>
      </c>
      <c r="AA205" s="3">
        <f>2681.3+(133.6-526.9)+(-2.734926+(-0.136272--0.537438))+0-78.2--0.0797640000000125</f>
        <v>2207.5460040000003</v>
      </c>
      <c r="AB205" s="3">
        <f>2503.6+(113.9-427.8)+(-2.553672+(-0.116178--0.436356))+0-73.6--0.0750720000000117</f>
        <v>2113.9415779999999</v>
      </c>
      <c r="AC205" s="3">
        <f>2272.1+(107.3-357.5)+(-1.158771+(-0.054723--0.182325))+0-52.2--0.0266219999999947</f>
        <v>1968.6954529999998</v>
      </c>
      <c r="AD205">
        <f t="shared" si="3"/>
        <v>48680.699670000002</v>
      </c>
      <c r="AE205" s="3">
        <f>2861+(134-465.1)+(0+(0-0))+0-92.5-0</f>
        <v>2437.4</v>
      </c>
    </row>
    <row r="206" spans="1:31" s="2" customFormat="1" x14ac:dyDescent="0.25">
      <c r="A206">
        <v>89</v>
      </c>
      <c r="B206">
        <v>7</v>
      </c>
      <c r="C206">
        <v>20</v>
      </c>
      <c r="D206">
        <v>4</v>
      </c>
      <c r="E206">
        <v>1</v>
      </c>
      <c r="F206" s="3">
        <f>2152.6+(107.8-310.2)+(-4.391304+(-0.219912--0.632808))+0-89--0.181559999999996</f>
        <v>1857.4031519999999</v>
      </c>
      <c r="G206" s="3">
        <f>2014.8+(109-255.8)+(-1.027548+(-0.05559--0.130458))+0-95--0.0484499999999904</f>
        <v>1772.0957699999999</v>
      </c>
      <c r="H206" s="3">
        <f>1983+(109-249.2)+(-3.03399+(-0.16677--0.381276))+0-92--0.140760000000005</f>
        <v>1748.1212759999999</v>
      </c>
      <c r="I206" s="3">
        <f>1887.1+(107-181.5)+(-2.887263+(-0.16371--0.277695))+0-97--0.148410000000006</f>
        <v>1712.975132</v>
      </c>
      <c r="J206" s="3">
        <f>1821+(112.5-104)+(-1.85742+(-0.11475--0.10608))+0-95--0.0969000000000152</f>
        <v>1732.73081</v>
      </c>
      <c r="K206" s="3">
        <f>1828.1+(107-145.4)+(0+(0-0))+0-82-0</f>
        <v>1707.6999999999998</v>
      </c>
      <c r="L206" s="3">
        <f>1727.6+(172.7-83)+(0+(0-0))+0-90-0</f>
        <v>1727.3</v>
      </c>
      <c r="M206" s="3">
        <f>1824.5+(177.7-111)+(0.930495+(0.090627-0.05661))+0-65-0.0331499999999934</f>
        <v>1827.1313620000001</v>
      </c>
      <c r="N206" s="3">
        <f>2020+(190-105)+(0+(0-0))+0-91-0</f>
        <v>2014</v>
      </c>
      <c r="O206" s="3">
        <f>2231+(133-253)+(0+(0-0))+0-85-0</f>
        <v>2026</v>
      </c>
      <c r="P206" s="3">
        <f>2385+(133-263)+(-6.08175+(-0.33915--0.67065))+0-81--0.206549999999988</f>
        <v>2168.4562999999998</v>
      </c>
      <c r="Q206" s="3">
        <f>2430.2+(133.3-331.9)+(0+(0-0))+0-82.9-0</f>
        <v>2148.6999999999998</v>
      </c>
      <c r="R206" s="3">
        <f>2487.2+(133.4-426.5)+(0+(0-0))+0-92-0</f>
        <v>2102.1</v>
      </c>
      <c r="S206" s="3">
        <f>2532.1+(133.8-543.1)+(0+(0-0))+0-59.8-0</f>
        <v>2062.9999999999995</v>
      </c>
      <c r="T206" s="3">
        <f>2468.4+(134.9-537)+(-6.29442+(-0.343995--1.36935))+0-63.8--0.162689999999991</f>
        <v>1997.3936250000002</v>
      </c>
      <c r="U206" s="3">
        <f>2442.3+(135.7-503.6)+(-2.491146+(-0.138414--0.513672))+0-62.9--0.06415800000001</f>
        <v>2009.4482700000001</v>
      </c>
      <c r="V206" s="3">
        <f>2406+(135-388.9)+(-7.36236+(-0.4131--1.190034))+0-39.6--0.121176000000005</f>
        <v>2106.03575</v>
      </c>
      <c r="W206" s="3">
        <f>2440+(168.5-143)+(-4.9776+(-0.34374--0.29172))+0-81.7--0.166667999999996</f>
        <v>2378.9370480000002</v>
      </c>
      <c r="X206" s="3">
        <f>2712.7+(133.7-358.3)+(-5.533908+(-0.272748--0.730932))+0-72.8--0.148511999999997</f>
        <v>2410.3727880000001</v>
      </c>
      <c r="Y206" s="3">
        <f>2743.2+(134.1-448.3)+(-4.197096+(-0.205173--0.685899))+0-78.4--0.119952000000005</f>
        <v>2347.0035819999998</v>
      </c>
      <c r="Z206" s="3">
        <f>2674.2+(134.5-449.5)+(-4.091526+(-0.205785--0.687735))+0-76.8--0.117504000000004</f>
        <v>2278.9079279999996</v>
      </c>
      <c r="AA206" s="3">
        <f>2419.3+(136.1-313)+(-7.403058+(-0.416466--0.95778))+0-67.8--0.207468000000008</f>
        <v>2167.9457240000002</v>
      </c>
      <c r="AB206" s="3">
        <f>2114.9+(135.6-103.7)+(-4.314396+(-0.276624--0.211548))+0-67.5--0.137699999999997</f>
        <v>2075.0582280000003</v>
      </c>
      <c r="AC206" s="3">
        <f>2018+(109.1-127.2)+(-5.1459+(-0.278205--0.32436))+0-52.6--0.134129999999992</f>
        <v>1942.3343850000001</v>
      </c>
      <c r="AD206">
        <f t="shared" si="3"/>
        <v>48321.151130000006</v>
      </c>
      <c r="AE206" s="3">
        <f>2744+(133.9-402.2)+(0+(0-0))+0-101.1-0</f>
        <v>2374.6</v>
      </c>
    </row>
    <row r="207" spans="1:31" s="2" customFormat="1" x14ac:dyDescent="0.25">
      <c r="A207">
        <v>89</v>
      </c>
      <c r="B207">
        <v>7</v>
      </c>
      <c r="C207">
        <v>21</v>
      </c>
      <c r="D207">
        <v>5</v>
      </c>
      <c r="E207">
        <v>1</v>
      </c>
      <c r="F207" s="3">
        <f>1972.4+(109.8-161.9)+(-1.005924+(-0.055998--0.082569))+0-88--0.0448799999999911</f>
        <v>1831.3655270000002</v>
      </c>
      <c r="G207" s="3">
        <f>1875.6+(109.1-137.9)+(-2.869668+(-0.166923--0.210987))+0-74.1--0.113373000000004</f>
        <v>1769.9877689999998</v>
      </c>
      <c r="H207" s="3">
        <f>1787.9+(115.4-91.3)+(-2.735487+(-0.176562--0.139689))+0-77.7--0.118881000000004</f>
        <v>1731.6465210000001</v>
      </c>
      <c r="I207" s="3">
        <f>1712+(127.8-82.2)+(-2.61936+(-0.195534--0.125766))+0-48.7--0.0745110000000028</f>
        <v>1706.2853829999999</v>
      </c>
      <c r="J207" s="3">
        <f>1715.2+(140.5-81.3)+(0+(0-0))+0-42.9-0</f>
        <v>1731.5</v>
      </c>
      <c r="K207" s="3">
        <f>1693.2+(162.5-91.6)+(-3.454128+(-0.3315--0.186864))+0-78.2--0.159527999999997</f>
        <v>1682.4607639999999</v>
      </c>
      <c r="L207" s="3">
        <f>1701.5+(152.2-120.8)+(-2.603295+(-0.232866--0.184824))+0-22.2--0.0339660000000013</f>
        <v>1708.082629</v>
      </c>
      <c r="M207" s="3">
        <f>1879.2+(134.3-170.2)+(1.916784+(0.136986-0.173604))+0-20-0.0204000000000032</f>
        <v>1825.159766</v>
      </c>
      <c r="N207" s="3">
        <f>2035.9+(134.3-212.8)+(-2.076618+(-0.136986--0.217056))+0-15.4--0.0157080000000025</f>
        <v>1940.0191599999998</v>
      </c>
      <c r="O207" s="3">
        <f>2177.1+(131.8-272.9)+(-3.330963+(-0.201654--0.417537))+0-22.2--0.0339660000000013</f>
        <v>2010.7188859999999</v>
      </c>
      <c r="P207" s="3">
        <f>2245.9+(132.4-207.7)+(-3.436227+(-0.202572--0.317781))+0-87.6--0.134028000000005</f>
        <v>2079.8130099999998</v>
      </c>
      <c r="Q207" s="3">
        <f>2321.9+(132.4-278.4)+(1.184169+(0.067524-0.141984))+0-70.5-0.0359549999999928</f>
        <v>2106.4737540000001</v>
      </c>
      <c r="R207" s="3">
        <f>2335.8+(131.5-237.9)+(-7.147548+(-0.40239--0.727974))+0-81.6--0.249696000000009</f>
        <v>2141.2277319999998</v>
      </c>
      <c r="S207" s="3">
        <f>2348+(132.8-255.7)+(-1.19748+(-0.067728--0.130407))+0-83.4--0.0425339999999915</f>
        <v>2140.6077329999998</v>
      </c>
      <c r="T207" s="3">
        <f>2309.9+(133.6-268.7)+(-2.356098+(-0.136272--0.274074))+0-85--0.0867000000000136</f>
        <v>2087.668404</v>
      </c>
      <c r="U207" s="3">
        <f>2238.5+(133.3-241.3)+(-2.28327+(-0.135966--0.246126))+0-67.7--0.0690540000000108</f>
        <v>2060.6959440000001</v>
      </c>
      <c r="V207" s="3">
        <f>2227.4+(143.7-159.8)+(-4.543896+(-0.293148--0.325992))+0-84.3--0.171971999999996</f>
        <v>2122.6609200000003</v>
      </c>
      <c r="W207" s="3">
        <f>2498.7+(158.1-129.2)+(-1.274337+(-0.080631--0.065892))+0-75.5--0.0385049999999923</f>
        <v>2450.8494289999999</v>
      </c>
      <c r="X207" s="3">
        <f>2537.9+(134.1-226.8)+(-5.177316+(-0.273564--0.462672))+0-59.3--0.120971999999997</f>
        <v>2381.032764</v>
      </c>
      <c r="Y207" s="3">
        <f>2608.5+(134.5-309.9)+(-5.32134+(-0.27438--0.632196))+0-82.5--0.168299999999996</f>
        <v>2345.8047759999999</v>
      </c>
      <c r="Z207" s="3">
        <f>2562.5+(134.4-343.1)+(-6.534375+(-0.34272--0.874905))+0-81.5--0.207824999999988</f>
        <v>2266.505635</v>
      </c>
      <c r="AA207" s="3">
        <f>2349.4+(134.3-243.5)+(-3.594582+(-0.205479--0.372555))+0-76.9--0.117657000000004</f>
        <v>2159.990151</v>
      </c>
      <c r="AB207" s="3">
        <f>2149.1+(134.7-118.1)+(-3.288123+(-0.206091--0.180693))+0-79.2--0.121176000000005</f>
        <v>2083.3076550000001</v>
      </c>
      <c r="AC207" s="3">
        <f>1831.6+(206.1-44.1)+(-4.67058+(-0.525555--0.112455))+0-53.7--0.136934999999992</f>
        <v>1934.9532549999999</v>
      </c>
      <c r="AD207">
        <f t="shared" si="3"/>
        <v>48298.817566999998</v>
      </c>
      <c r="AE207" s="3">
        <f>2501+(134.1-170)+(0+(0-0))+0-37.4-0</f>
        <v>2427.6999999999998</v>
      </c>
    </row>
    <row r="208" spans="1:31" s="2" customFormat="1" x14ac:dyDescent="0.25">
      <c r="A208">
        <v>89</v>
      </c>
      <c r="B208">
        <v>7</v>
      </c>
      <c r="C208">
        <v>22</v>
      </c>
      <c r="D208">
        <v>6</v>
      </c>
      <c r="E208">
        <v>1</v>
      </c>
      <c r="F208" s="3">
        <f>1724.7+(205.2-34.4)+(-6.157179+(-0.732564--0.122808))+0-71.9--0.256683000000001</f>
        <v>1817.0897479999999</v>
      </c>
      <c r="G208" s="3">
        <f>1740+(140.9-70.9)+(-1.7748+(-0.143718--0.072318))+0-53.2--0.0542640000000085</f>
        <v>1755.0080640000001</v>
      </c>
      <c r="H208" s="3">
        <f>1732.5+(144.2-64)+(-2.650725+(-0.220626--0.09792))+0-90.1--0.137853000000005</f>
        <v>1719.964422</v>
      </c>
      <c r="I208" s="3">
        <f>1693.8+(147.9-59.1)+(-1.727676+(-0.150858--0.060282))+0-76.2--0.0777240000000122</f>
        <v>1704.6594719999998</v>
      </c>
      <c r="J208" s="3">
        <f>1694.1+(157.8-56.9)+(0.863991+(0.080478-0.029019))+0-73.6-0.0375359999999925</f>
        <v>1722.277914</v>
      </c>
      <c r="K208" s="3">
        <f>1673.6+(174.5-80.3)+(-2.560608+(-0.266985--0.122859))+0-73.7--0.112761000000004</f>
        <v>1691.5080270000001</v>
      </c>
      <c r="L208" s="3">
        <f>1676.6+(196.8-76.5)+(-1.710132+(-0.200736--0.07803))+0-79.5--0.0810900000000127</f>
        <v>1715.6482519999997</v>
      </c>
      <c r="M208" s="3">
        <f>1787.9+(225.9-97.7)+(1.823658+(0.230418-0.099654))+0-92.5-0.0943500000000148</f>
        <v>1825.4600720000001</v>
      </c>
      <c r="N208" s="3">
        <f>2034.8+(132.8-251.4)+(-1.037748+(-0.067728--0.128214))+0-61.2--0.0312119999999938</f>
        <v>1854.05395</v>
      </c>
      <c r="O208" s="3">
        <f>2222.9+(131.3-252.9)+(1.133679+(0.066963-0.128979))+0-70.1-0.0357509999999929</f>
        <v>2032.2359120000006</v>
      </c>
      <c r="P208" s="3">
        <f>2196.6+(166.3-194.6)+(-2.240532+(-0.169626--0.198492))+0-80.9--0.0825180000000129</f>
        <v>2085.2708519999996</v>
      </c>
      <c r="Q208" s="3">
        <f>2307.1+(133.1-270)+(2.353242+(0.135762-0.2754))+0-71.4-0.0728280000000114</f>
        <v>2100.9407759999999</v>
      </c>
      <c r="R208" s="3">
        <f>2247.3+(133.1-235)+(-8.022861+(-0.475167--0.83895))+0-74.7--0.266679000000001</f>
        <v>2063.307601</v>
      </c>
      <c r="S208" s="3">
        <f>2248.7+(133.4-277.5)+(-6.881022+(-0.408204--0.84915))+0-87.7--0.26836200000001</f>
        <v>2010.728286</v>
      </c>
      <c r="T208" s="3">
        <f>2239+(133.6-314.5)+(-2.28378+(-0.136272--0.32079))+0-69.7--0.0710940000000111</f>
        <v>1986.3718319999996</v>
      </c>
      <c r="U208" s="3">
        <f>2117.9+(138.8-213.8)+(-5.400645+(-0.35394--0.54519))+0-67.6--0.17237999999999</f>
        <v>1970.2629850000001</v>
      </c>
      <c r="V208" s="3">
        <f>2077.2+(176.6-162.3)+(1.059372+(0.090066-0.082773))+0-84.2-0.0429419999999915</f>
        <v>2008.3237229999997</v>
      </c>
      <c r="W208" s="3">
        <f>2299.7+(164-127.2)+(-2.345694+(-0.16728--0.129744))+0-46.7--0.0476340000000074</f>
        <v>2287.4644040000003</v>
      </c>
      <c r="X208" s="3">
        <f>2569.6+(134-274.2)+(-2.620992+(-0.13668--0.279684))+0-85.6--0.0873120000000136</f>
        <v>2341.4093240000002</v>
      </c>
      <c r="Y208" s="3">
        <f>2601.8+(134.3-354.3)+(-5.307672+(-0.273972--0.722772))+0-78.9--0.160955999999997</f>
        <v>2298.2020840000005</v>
      </c>
      <c r="Z208" s="3">
        <f>2556.4+(133.7-380)+(-2.607528+(-0.136374--0.3876))+0-72.1--0.0735420000000115</f>
        <v>2235.7172399999999</v>
      </c>
      <c r="AA208" s="3">
        <f>2437.9+(134.4-342.5)+(-6.216645+(-0.34272--0.873375))+0-77.1--0.196604999999989</f>
        <v>2147.2106150000004</v>
      </c>
      <c r="AB208" s="3">
        <f>2221.3+(135.5-262.9)+(-1.132863+(-0.069105--0.134079))+0-74.2--0.0378419999999925</f>
        <v>2018.6699530000001</v>
      </c>
      <c r="AC208" s="3">
        <f>2147.3+(134.7-265.6)+(-6.570738+(-0.412182--0.812736))+0-72.1--0.220626000000008</f>
        <v>1938.3504420000002</v>
      </c>
      <c r="AD208">
        <f t="shared" si="3"/>
        <v>47330.135950000011</v>
      </c>
      <c r="AE208" s="3">
        <f>2615+(133.7-305.2)+(0+(0-0))+0-93.6-0</f>
        <v>2349.9</v>
      </c>
    </row>
    <row r="209" spans="1:31" s="2" customFormat="1" x14ac:dyDescent="0.25">
      <c r="A209">
        <v>89</v>
      </c>
      <c r="B209">
        <v>7</v>
      </c>
      <c r="C209">
        <v>23</v>
      </c>
      <c r="D209">
        <v>7</v>
      </c>
      <c r="E209">
        <v>1</v>
      </c>
      <c r="F209" s="3">
        <f>1988.8+(111.5-215)+(-2.028576+(-0.11373--0.2193))+0-64.2--0.0654840000000102</f>
        <v>1819.2424779999999</v>
      </c>
      <c r="G209" s="3">
        <f>1951.9+(111.3-232.9)+(-2.986407+(-0.170289--0.356337))+0-80.7--0.123471000000005</f>
        <v>1746.9231120000002</v>
      </c>
      <c r="H209" s="3">
        <f>1810.5+(111.4-200.4)+(0+(0-0))+0-20.9-0</f>
        <v>1700.6</v>
      </c>
      <c r="I209" s="3">
        <f>1729.8+(111.3-155.1)+(-0.882198+(-0.056763--0.079101))+0-17.1--0.00872099999999827</f>
        <v>1668.048861</v>
      </c>
      <c r="J209" s="3">
        <f>1645.4+(158.7-44.1)+(0.839154+(0.080937-0.022491))+0-83.4-0.0425339999999915</f>
        <v>1677.455066</v>
      </c>
      <c r="K209" s="3">
        <f>1572.4+(197.5-66)+(-2.405772+(-0.302175--0.10098))+0-74.2--0.113526000000004</f>
        <v>1627.2065590000002</v>
      </c>
      <c r="L209" s="3">
        <f>1498.1+(229.9-73.5)+(-2.292093+(-0.351747--0.112455))+0-76.6--0.117198000000004</f>
        <v>1575.485813</v>
      </c>
      <c r="M209" s="3">
        <f>1595.5+(198.8-97.7)+(0+(0-0))+0-80.8-0</f>
        <v>1615.8</v>
      </c>
      <c r="N209" s="3">
        <f>1873.8+(132.2-255.1)+(0+(0-0))+0-61.8-0</f>
        <v>1689.1</v>
      </c>
      <c r="O209" s="3">
        <f>2045.1+(131.1-334.2)+(-5.215005+(-0.334305--0.85221))+0-76.9--0.196094999999989</f>
        <v>1760.5989949999998</v>
      </c>
      <c r="P209" s="3">
        <f>2093.8+(131.6-318.4)+(-4.271352+(-0.268464--0.649536))+0-80.9--0.165035999999996</f>
        <v>1822.3747560000002</v>
      </c>
      <c r="Q209" s="3">
        <f>2114+(134-324.1)+(-2.15628+(-0.13668--0.330582))+0-81.8--0.083436000000013</f>
        <v>1840.2210580000003</v>
      </c>
      <c r="R209" s="3">
        <f>2105.2+(134.1-326.7)+(-2.147304+(-0.136782--0.333234))+0-78.4--0.0799680000000125</f>
        <v>1832.3291159999999</v>
      </c>
      <c r="S209" s="3">
        <f>2106.8+(134.2-368.4)+(0+(0-0))+0-58.1-0</f>
        <v>1814.5000000000002</v>
      </c>
      <c r="T209" s="3">
        <f>2102.7+(133.3-352.4)+(-1.072377+(-0.067983--0.179724))+0-87.5--0.0446249999999911</f>
        <v>1795.1839889999999</v>
      </c>
      <c r="U209" s="3">
        <f>1972.5+(134.1-243.7)+(-4.0239+(-0.273564--0.497148))+0-67.7--0.138107999999997</f>
        <v>1791.5377920000001</v>
      </c>
      <c r="V209" s="3">
        <f>1923.2+(156-183.2)+(-1.961664+(-0.15912--0.186864))+0-70.3--0.0717060000000112</f>
        <v>1823.8377860000001</v>
      </c>
      <c r="W209" s="3">
        <f>2055.5+(220.7-86.3)+(-4.19322+(-0.450228--0.176052))+0-85.4--0.174215999999996</f>
        <v>2100.2068199999999</v>
      </c>
      <c r="X209" s="3">
        <f>2381.2+(134.1-267.3)+(-2.428824+(-0.136782--0.272646))+0-62.3--0.0635460000000099</f>
        <v>2183.4705859999995</v>
      </c>
      <c r="Y209" s="3">
        <f>2359.9+(133.4-245.7)+(-4.814196+(-0.272136--0.501228))+0-77.9--0.158915999999997</f>
        <v>2165.2738119999999</v>
      </c>
      <c r="Z209" s="3">
        <f>2218.2+(133.6-144.9)+(0+(0-0))+0-83-0</f>
        <v>2123.8999999999996</v>
      </c>
      <c r="AA209" s="3">
        <f>2284+(133.8-273.6)+(-3.49452+(-0.204714--0.418608))+0-90.8--0.138924000000005</f>
        <v>2050.2582979999993</v>
      </c>
      <c r="AB209" s="3">
        <f>2152+(111-235.9)+(0+(0-0))+0-90-0</f>
        <v>1937.1</v>
      </c>
      <c r="AC209" s="3">
        <f>2007.6+(94.8-175.2)+(-6.143256+(-0.290088--0.536112))+0-80--0.244800000000009</f>
        <v>1841.5475679999997</v>
      </c>
      <c r="AD209">
        <f t="shared" si="3"/>
        <v>44002.202465000002</v>
      </c>
      <c r="AE209" s="3">
        <f>2501+(133.4-244.7)+(0+(0-0))+0-90-0</f>
        <v>2299.6999999999998</v>
      </c>
    </row>
    <row r="210" spans="1:31" s="2" customFormat="1" x14ac:dyDescent="0.25">
      <c r="A210">
        <v>89</v>
      </c>
      <c r="B210">
        <v>7</v>
      </c>
      <c r="C210">
        <v>24</v>
      </c>
      <c r="D210">
        <v>1</v>
      </c>
      <c r="E210">
        <v>1</v>
      </c>
      <c r="F210" s="3">
        <f>1921.1+(109.1-225.1)+(-4.898805+(-0.278205--0.574005))+0-54.2--0.138209999999992</f>
        <v>1746.435205</v>
      </c>
      <c r="G210" s="3">
        <f>1737.3+(109.9-97)+(-4.430115+(-0.280245--0.24735))+0-71.3--0.18181499999999</f>
        <v>1674.6188050000001</v>
      </c>
      <c r="H210" s="3">
        <f>1683.9+(118-87.8)+(-0.858789+(-0.06018--0.044778))+0-69--0.035189999999993</f>
        <v>1644.2609990000001</v>
      </c>
      <c r="I210" s="3">
        <f>1691.4+(118.2-82)+(0.862614+(0.060282-0.04182))+0-73-0.0372299999999926</f>
        <v>1655.4438460000001</v>
      </c>
      <c r="J210" s="3">
        <f>1676.6+(152.2-85.1)+(-1.710132+(-0.155244--0.086802))+0-88.6--0.0903720000000141</f>
        <v>1653.4117980000001</v>
      </c>
      <c r="K210" s="3">
        <f>1684.9+(146.3-125.5)+(-0.859299+(-0.074613--0.064005))+0-75.8--0.0386579999999923</f>
        <v>1629.068751</v>
      </c>
      <c r="L210" s="3">
        <f>1736.6+(149.8-144.1)+(0.885666+(0.076398-0.073491))+0-73.1-0.0372809999999926</f>
        <v>1670.0512920000001</v>
      </c>
      <c r="M210" s="3">
        <f>2062.4+(133.4-353.6)+(2.103648+(0.136068-0.360672))+0-39.7-0.0404940000000063</f>
        <v>1804.3385499999999</v>
      </c>
      <c r="N210" s="3">
        <f>2375.2+(132.7-532.2)+(-1.211352+(-0.067677--0.271422))+0-18--0.00917999999999817</f>
        <v>1956.7015729999998</v>
      </c>
      <c r="O210" s="3">
        <f>2387.2+(131.4-457.5)+(0+(0-0))+0-16.8-0</f>
        <v>2044.3</v>
      </c>
      <c r="P210" s="3">
        <f>2419.3+(132.2-429.4)+(0+(0-0))+0-16.8-0</f>
        <v>2105.3000000000002</v>
      </c>
      <c r="Q210" s="3">
        <f>2614.9+(133-627.6)+(-2.667198+(-0.13566--0.640152))+0-18.6--0.018972000000003</f>
        <v>2099.5562660000001</v>
      </c>
      <c r="R210" s="3">
        <f>2619.6+(132.7-633.4)+(-1.335996+(-0.067677--0.323034))+0-42.2--0.0215219999999957</f>
        <v>2075.6408830000005</v>
      </c>
      <c r="S210" s="3">
        <f>2608.1+(133.5-608.1)+(1.330131+(0.068085-0.310131))+0-81-0.0413099999999918</f>
        <v>2053.5467749999998</v>
      </c>
      <c r="T210" s="3">
        <f>2588.2+(133.8-607.2)+(0+(0-0))+0-72.2-0</f>
        <v>2042.5999999999997</v>
      </c>
      <c r="U210" s="3">
        <f>2478.5+(133.3-529.1)+(-2.52807+(-0.135966--0.539682))+0-50.4--0.051408000000008</f>
        <v>2030.2270539999997</v>
      </c>
      <c r="V210" s="3">
        <f>2490.2+(121.3-471.4)+(1.270002+(0.061863-0.240414))+0-19.6-0.00999599999999801</f>
        <v>2121.581455</v>
      </c>
      <c r="W210" s="3">
        <f>2739+(78.6-382.9)+(-1.39689+(-0.040086--0.195279))+0-31.6--0.0161159999999968</f>
        <v>2401.8744189999998</v>
      </c>
      <c r="X210" s="3">
        <f>3031.8+(59.3-575.2)+(-7.73109+(-0.151215--1.46676))+0-86.1--0.219554999999987</f>
        <v>2423.6040100000005</v>
      </c>
      <c r="Y210" s="3">
        <f>2900.5+(82.6-520.2)+(1.479255+(0.042126-0.265302))+0-78-0.0397799999999921</f>
        <v>2386.1162990000003</v>
      </c>
      <c r="Z210" s="3">
        <f>2815.2+(126.2-537.7)+(0+(0-0))+0-78.6-0</f>
        <v>2325.1</v>
      </c>
      <c r="AA210" s="3">
        <f>2704.7+(134.4-542.1)+(0+(0-0))+0-84.6-0</f>
        <v>2212.4</v>
      </c>
      <c r="AB210" s="3">
        <f>2425+(113-359.3)+(-4.947+(-0.23052--0.732972))+0-76.5--0.156059999999997</f>
        <v>2097.9115119999997</v>
      </c>
      <c r="AC210" s="3">
        <f>2226+(110.6-272.2)+(-5.6763+(-0.28203--0.69411))+0-90.5--0.230774999999987</f>
        <v>1968.8665550000001</v>
      </c>
      <c r="AD210">
        <f t="shared" si="3"/>
        <v>47822.956047</v>
      </c>
      <c r="AE210" s="3">
        <f>3072+(55.7-585.2)+(0+(0-0))+0-91.8-0</f>
        <v>2450.6999999999998</v>
      </c>
    </row>
    <row r="211" spans="1:31" s="2" customFormat="1" x14ac:dyDescent="0.25">
      <c r="A211">
        <v>89</v>
      </c>
      <c r="B211">
        <v>7</v>
      </c>
      <c r="C211">
        <v>25</v>
      </c>
      <c r="D211">
        <v>2</v>
      </c>
      <c r="E211">
        <v>1</v>
      </c>
      <c r="F211" s="3">
        <f>2025.8+(110.7-204)+(-3.099474+(-0.169371--0.31212))+0-70.8--0.108324000000004</f>
        <v>1858.8515990000001</v>
      </c>
      <c r="G211" s="3">
        <f>1968.1+(109.8-200.2)+(-3.011193+(-0.167994--0.306306))+0-77.1--0.117963000000004</f>
        <v>1797.8450819999998</v>
      </c>
      <c r="H211" s="3">
        <f>1862.7+(110.1-150.3)+(-2.849931+(-0.168453--0.229959))+0-72.2--0.110466000000004</f>
        <v>1747.6220410000001</v>
      </c>
      <c r="I211" s="3">
        <f>1750.3+(156.3-66.7)+(-0.892653+(-0.079713--0.034017))+0-92.2--0.0470219999999906</f>
        <v>1746.8086729999998</v>
      </c>
      <c r="J211" s="3">
        <f>1760.2+(140.1-88.3)+(0.897702+(0.071451-0.045033))+0-67.4-0.0343739999999932</f>
        <v>1745.4897459999997</v>
      </c>
      <c r="K211" s="3">
        <f>1809+(159.2-92)+(-0.92259+(-0.081192--0.04692))+0-69--0.035189999999993</f>
        <v>1806.2783280000001</v>
      </c>
      <c r="L211" s="3">
        <f>1793.5+(152.6-126.3)+(-0.914685+(-0.077826--0.064413))+0-79--0.040289999999992</f>
        <v>1739.9121919999998</v>
      </c>
      <c r="M211" s="3">
        <f>2019.1+(133.2-213.4)+(1.029741+(0.067932-0.108834))+0-82.8-0.0422279999999916</f>
        <v>1857.046611</v>
      </c>
      <c r="N211" s="3">
        <f>2251.3+(133.2-372.1)+(3.444489+(0.203796-0.569313))+0-61.9-0.0947070000000036</f>
        <v>1953.4842650000001</v>
      </c>
      <c r="O211" s="3">
        <f>2307.9+(133.2-327.4)+(0+(0-0))+0-76.9-0</f>
        <v>2036.8000000000002</v>
      </c>
      <c r="P211" s="3">
        <f>2424.5+(133-393)+(-1.236495+(-0.06783--0.20043))+0-86--0.0438599999999913</f>
        <v>2077.4399649999996</v>
      </c>
      <c r="Q211" s="3">
        <f>2506.3+(132.3-461.6)+(-1.278213+(-0.067473--0.235416))+0-72.5--0.0369749999999926</f>
        <v>2103.4267049999999</v>
      </c>
      <c r="R211" s="3">
        <f>2561+(132.4-497.3)+(0+(0-0))+0-74-0</f>
        <v>2122.1</v>
      </c>
      <c r="S211" s="3">
        <f>2549.2+(132.9-520.2)+(-1.300092+(-0.067779--0.265302))+0-63.1--0.0321809999999936</f>
        <v>2097.7296119999996</v>
      </c>
      <c r="T211" s="3">
        <f>2548.9+(132.8-541.3)+(0+(0-0))+0-76-0</f>
        <v>2064.4</v>
      </c>
      <c r="U211" s="3">
        <f>2499.1+(133.4-496.8)+(-3.823623+(-0.204102--0.760104))+0-83.9--0.128367000000005</f>
        <v>2048.6607459999996</v>
      </c>
      <c r="V211" s="3">
        <f>2321.1+(130.1-288.5)+(-2.367522+(-0.132702--0.29427))+0-60.3--0.0615060000000096</f>
        <v>2100.2555519999996</v>
      </c>
      <c r="W211" s="3">
        <f>2681.5+(85.8-318.1)+(-1.367565+(-0.043758--0.162231))+0-64--0.0326399999999935</f>
        <v>2383.9835479999997</v>
      </c>
      <c r="X211" s="3">
        <f>2971.9+(83.6-542.4)+(-4.547007+(-0.127908--0.829872))+0-90.5--0.138465000000005</f>
        <v>2418.8934220000006</v>
      </c>
      <c r="Y211" s="3">
        <f>2863+(130.5-533.1)+(-5.84052+(-0.26622--1.087524))+0-75.7--0.154427999999997</f>
        <v>2379.835212</v>
      </c>
      <c r="Z211" s="3">
        <f>2701.3+(133.6-424)+(-4.132989+(-0.204408--0.64872))+0-84.2--0.128826000000005</f>
        <v>2323.1401490000003</v>
      </c>
      <c r="AA211" s="3">
        <f>2617.3+(133.7-476.2)+(-1.334823+(-0.068187--0.242862))+0-85--0.0433499999999914</f>
        <v>2188.6832020000002</v>
      </c>
      <c r="AB211" s="3">
        <f>2407.6+(112.2-329.2)+(-3.683628+(-0.171666--0.503676))+0-81.1--0.124083000000005</f>
        <v>2106.272465</v>
      </c>
      <c r="AC211" s="3">
        <f>2236+(108.6-304.4)+(-1.14036+(-0.055386--0.155244))+0-89.9--0.0458489999999909</f>
        <v>1949.305347</v>
      </c>
      <c r="AD211">
        <f t="shared" si="3"/>
        <v>48654.264461999992</v>
      </c>
      <c r="AE211" s="3">
        <f>3028+(84.2-611.3)+(0+(0-0))+0-93.9-0</f>
        <v>2407</v>
      </c>
    </row>
    <row r="212" spans="1:31" s="2" customFormat="1" x14ac:dyDescent="0.25">
      <c r="A212">
        <v>89</v>
      </c>
      <c r="B212">
        <v>7</v>
      </c>
      <c r="C212">
        <v>26</v>
      </c>
      <c r="D212">
        <v>3</v>
      </c>
      <c r="E212">
        <v>1</v>
      </c>
      <c r="F212" s="3">
        <f>2142+(108-329.5)+(-4.36968+(-0.22032--0.67218))+0-76.9--0.156875999999997</f>
        <v>1839.839056</v>
      </c>
      <c r="G212" s="3">
        <f>2074.2+(108.5-326.7)+(1.057842+(0.055335-0.166617))+0-79.8-0.0406979999999919</f>
        <v>1777.1058619999999</v>
      </c>
      <c r="H212" s="3">
        <f>2042.4+(107.8-327)+(-2.083248+(-0.109956--0.33354))+0-79.3--0.0808860000000126</f>
        <v>1742.121222</v>
      </c>
      <c r="I212" s="3">
        <f>1975.1+(108.7-275.4)+(-4.029204+(-0.221748--0.561816))+0-75.8--0.154631999999997</f>
        <v>1729.0654959999999</v>
      </c>
      <c r="J212" s="3">
        <f>1928.1+(108.7-208.6)+(2.949993+(0.166311-0.319158))+0-87.9-0.134487000000005</f>
        <v>1742.9626589999998</v>
      </c>
      <c r="K212" s="3">
        <f>1905+(110.5-220.1)+(-2.91465+(-0.169065--0.336753))+0-70.3--0.107559000000004</f>
        <v>1722.4605970000002</v>
      </c>
      <c r="L212" s="3">
        <f>1847.5+(110.1-147.4)+(1.88445+(0.112302-0.150348))+0-81.5-0.083130000000013</f>
        <v>1730.463274</v>
      </c>
      <c r="M212" s="3">
        <f>2133.2+(109.1-320.6)+(1.087932+(0.055641-0.163506))+0-65.2-0.0332519999999934</f>
        <v>1857.4468149999998</v>
      </c>
      <c r="N212" s="3">
        <f>2291.2+(107.9-337.4)+(2.337024+(0.110058-0.344148))+0-76.7-0.0782340000000122</f>
        <v>1987.0246999999997</v>
      </c>
      <c r="O212" s="3">
        <f>2438.1+(107.2-461)+(0+(0-0))+0-25.6-0</f>
        <v>2058.6999999999998</v>
      </c>
      <c r="P212" s="3">
        <f>2502+(107.3-449.3)+(0+(0-0))+0-35.7-0</f>
        <v>2124.3000000000002</v>
      </c>
      <c r="Q212" s="3">
        <f>2637.8+(106.9-535.8)+(0+(0-0))+0-72.1-0</f>
        <v>2136.8000000000002</v>
      </c>
      <c r="R212" s="3">
        <f>2679.6+(107.2-542.8)+(2.733192+(0.109344-0.553656))+0-89.2-0.0909840000000142</f>
        <v>2156.9978960000003</v>
      </c>
      <c r="S212" s="3">
        <f>2665.1+(107.5-560.3)+(1.359201+(0.054825-0.285753))+0-81.3-0.0414629999999918</f>
        <v>2132.0868099999998</v>
      </c>
      <c r="T212" s="3">
        <f>2603.3+(107.4-536.6)+(-3.983049+(-0.164322--0.820998))+0-78.1--0.119493000000004</f>
        <v>2092.7931200000007</v>
      </c>
      <c r="U212" s="3">
        <f>2574.4+(108.4-536.7)+(-1.312944+(-0.055284--0.273717))+0-68.7--0.035036999999993</f>
        <v>2076.3405260000004</v>
      </c>
      <c r="V212" s="3">
        <f>2549.3+(107-437.3)+(-2.600286+(-0.10914--0.446046))+0-77.2--0.0787440000000123</f>
        <v>2139.6153640000002</v>
      </c>
      <c r="W212" s="3">
        <f>2766.4+(115.4-360.8)+(1.410864+(0.058854-0.184008))+0-84.5-0.0430949999999914</f>
        <v>2437.7426150000001</v>
      </c>
      <c r="X212" s="3">
        <f>2907.7+(122.3-556.7)+(-4.448781+(-0.187119--0.851751))+0-21.3--0.0325890000000012</f>
        <v>2448.2484399999994</v>
      </c>
      <c r="Y212" s="3">
        <f>2906.6+(136.3-580.5)+(0+(0-0))+0-68.8-0</f>
        <v>2393.6</v>
      </c>
      <c r="Z212" s="3">
        <f>2806.4+(133.6-552.4)+(0+(0-0))+0-63.7-0</f>
        <v>2323.9000000000005</v>
      </c>
      <c r="AA212" s="3">
        <f>2690.9+(133-565.8)+(-6.861795+(-0.33915--1.44279))+0-22.9--0.0583949999999967</f>
        <v>2229.5002400000003</v>
      </c>
      <c r="AB212" s="3">
        <f>2459.4+(112.6-359.4)+(-2.508588+(-0.114852--0.366588))+0-89.6--0.0913920000000143</f>
        <v>2120.8345399999998</v>
      </c>
      <c r="AC212" s="3">
        <f>2351.8+(108.7-392.9)+(-7.196508+(-0.332622--1.202274))+0-76.2--0.233172000000009</f>
        <v>1985.3063160000002</v>
      </c>
      <c r="AD212">
        <f t="shared" si="3"/>
        <v>48985.255548000016</v>
      </c>
      <c r="AE212" s="3">
        <f>2919+(128.9-579.4)+(0+(0-0))+0-19.8-0</f>
        <v>2448.6999999999998</v>
      </c>
    </row>
    <row r="213" spans="1:31" s="2" customFormat="1" x14ac:dyDescent="0.25">
      <c r="A213">
        <v>89</v>
      </c>
      <c r="B213">
        <v>7</v>
      </c>
      <c r="C213">
        <v>27</v>
      </c>
      <c r="D213">
        <v>4</v>
      </c>
      <c r="E213">
        <v>1</v>
      </c>
      <c r="F213" s="3">
        <f>2332.9+(108-469.1)+(-2.379558+(-0.11016--0.478482))+0-79--0.0805800000000126</f>
        <v>1890.8693440000002</v>
      </c>
      <c r="G213" s="3">
        <f>2212.3+(109.1-422.6)+(-1.128273+(-0.055641--0.215526))+0-78.8--0.040187999999992</f>
        <v>1819.0718000000002</v>
      </c>
      <c r="H213" s="3">
        <f>2167+(110.9-400.4)+(-3.31551+(-0.169677--0.612612))+0-93.4--0.142902000000005</f>
        <v>1781.3703269999999</v>
      </c>
      <c r="I213" s="3">
        <f>2130.6+(110.4-420.9)+(-1.086606+(-0.056304--0.214659))+0-56.3--0.0287129999999943</f>
        <v>1762.9004619999998</v>
      </c>
      <c r="J213" s="3">
        <f>2148.9+(110.7-427.9)+(2.191878+(0.112914-0.436458))+0-60.5-0.0617100000000096</f>
        <v>1773.0066240000001</v>
      </c>
      <c r="K213" s="3">
        <f>2150.5+(118.2-441.3)+(2.19351+(0.120564-0.450126))+0-87.3-0.0890460000000139</f>
        <v>1741.874902</v>
      </c>
      <c r="L213" s="3">
        <f>2134.3+(133.7-461.7)+(0+(0-0))+0-75.4-0</f>
        <v>1730.9</v>
      </c>
      <c r="M213" s="3">
        <f>2334+(133.3-530.3)+(2.38068+(0.135966-0.540906))+0-64.1-0.0653820000000102</f>
        <v>1874.8103580000002</v>
      </c>
      <c r="N213" s="3">
        <f>2354.8+(133.3-477.1)+(1.200948+(0.067983-0.243321))+0-53.8-0.0274379999999945</f>
        <v>1958.1981720000001</v>
      </c>
      <c r="O213" s="3">
        <f>2490.4+(133.6-501.5)+(5.080416+(0.272544-1.02306))+0-78.6-0.160343999999997</f>
        <v>2048.0695560000004</v>
      </c>
      <c r="P213" s="3">
        <f>2667.8+(133.2-554.5)+(-1.360578+(-0.067932--0.282795))+0-78.6--0.040085999999992</f>
        <v>2166.794371</v>
      </c>
      <c r="Q213" s="3">
        <f>2668.1+(132.8-604.1)+(1.360731+(0.067728-0.308091))+0-49.9-0.0254489999999949</f>
        <v>2147.9949189999993</v>
      </c>
      <c r="R213" s="3">
        <f>2572.4+(132.4-526.4)+(-6.55962+(-0.33762--1.34232))+0-75.6--0.192779999999989</f>
        <v>2097.43786</v>
      </c>
      <c r="S213" s="3">
        <f>2556.2+(132.4-528.8)+(0+(0-0))+0-77.3-0</f>
        <v>2082.4999999999995</v>
      </c>
      <c r="T213" s="3">
        <f>2533.3+(132.9-548.5)+(-1.291983+(-0.067779--0.279735))+0-74.4--0.0379439999999925</f>
        <v>2042.2579170000001</v>
      </c>
      <c r="U213" s="3">
        <f>2440.7+(132.1-489.8)+(-3.734271+(-0.202113--0.749394))+0-49.8--0.0761940000000029</f>
        <v>2030.0892039999999</v>
      </c>
      <c r="V213" s="3">
        <f>2422.7+(115.1-418.7)+(0+(0-0))+0-42.3-0</f>
        <v>2076.7999999999997</v>
      </c>
      <c r="W213" s="3">
        <f>2680.4+(56-293.5)+(2.734008+(0.05712-0.29937))+0-63.4-0.0646680000000101</f>
        <v>2381.9270900000001</v>
      </c>
      <c r="X213" s="3">
        <f>3006.5+(74.3-569.4)+(0+(0-0))+0-88.2-0</f>
        <v>2423.2000000000003</v>
      </c>
      <c r="Y213" s="3">
        <f>2904.2+(130-582.1)+(-1.481142+(-0.0663--0.296871))+0-82.1--0.0418709999999917</f>
        <v>2368.7912999999999</v>
      </c>
      <c r="Z213" s="3">
        <f>2800.6+(130-557.8)+(-2.856612+(-0.1326--0.568956))+0-73--0.0744600000000116</f>
        <v>2297.4542040000001</v>
      </c>
      <c r="AA213" s="3">
        <f>2651.6+(130-530.3)+(-2.704632+(-0.1326--0.540906))+0-60.5--0.0617100000000096</f>
        <v>2188.565384</v>
      </c>
      <c r="AB213" s="3">
        <f>2525.8+(108-436.9)+(-5.152632+(-0.22032--0.891276))+0-82.7--0.168707999999996</f>
        <v>2109.8870320000005</v>
      </c>
      <c r="AC213" s="3">
        <f>2387.7+(96-442.8)+(-3.653181+(-0.14688--0.677484))+0-72.2--0.110466000000004</f>
        <v>1965.6878889999998</v>
      </c>
      <c r="AD213">
        <f t="shared" si="3"/>
        <v>48760.458714999993</v>
      </c>
      <c r="AE213" s="3">
        <f>2987+(71.7-583.5)+(0+(0-0))+0-90.3-0</f>
        <v>2384.8999999999996</v>
      </c>
    </row>
    <row r="214" spans="1:31" s="2" customFormat="1" x14ac:dyDescent="0.25">
      <c r="A214">
        <v>89</v>
      </c>
      <c r="B214">
        <v>7</v>
      </c>
      <c r="C214">
        <v>28</v>
      </c>
      <c r="D214">
        <v>5</v>
      </c>
      <c r="E214">
        <v>1</v>
      </c>
      <c r="F214" s="3">
        <f>2157.4+(102-323)+(-6.601644+(-0.31212--0.98838))+0-70--0.214200000000008</f>
        <v>1860.6888160000003</v>
      </c>
      <c r="G214" s="3">
        <f>1975.9+(102-178)+(-2.015418+(-0.10404--0.18156))+0-82.9--0.0845580000000132</f>
        <v>1815.1466600000001</v>
      </c>
      <c r="H214" s="3">
        <f>1892.8+(102-175.9)+(-2.895984+(-0.15606--0.269127))+0-50.4--0.0771120000000029</f>
        <v>1765.7941949999997</v>
      </c>
      <c r="I214" s="3">
        <f>1892+(102-143.4)+(-1.92984+(-0.10404--0.146268))+0-76.4--0.0779280000000122</f>
        <v>1772.3903159999998</v>
      </c>
      <c r="J214" s="3">
        <f>1893.5+(102-149.1)+(0.965685+(0.05202-0.076041))+0-90.6-0.0462059999999908</f>
        <v>1756.6954580000001</v>
      </c>
      <c r="K214" s="3">
        <f>1995.2+(119-285.7)+(-1.017552+(-0.06069--0.145707))+0-74.7--0.0380969999999924</f>
        <v>1752.9055619999999</v>
      </c>
      <c r="L214" s="3">
        <f>1883.8+(135-213.2)+(-4.80369+(-0.34425--0.54366))+0-36.3--0.0925649999999947</f>
        <v>1764.7882849999999</v>
      </c>
      <c r="M214" s="3">
        <f>2107.3+(115-302.9)+(2.149446+(0.1173-0.308958))+0-21.2-0.0216240000000034</f>
        <v>1900.136164</v>
      </c>
      <c r="N214" s="3">
        <f>2343.2+(132-427.7)+(1.195032+(0.06732-0.218127))+0-12.5-0.00637499999999873</f>
        <v>2036.0378499999997</v>
      </c>
      <c r="O214" s="3">
        <f>2496.3+(132-536.3)+(0+(0-0))+0-10.6-0</f>
        <v>2081.4</v>
      </c>
      <c r="P214" s="3">
        <f>2581.9+(133-588.7)+(3.950307+(0.20349-0.900711))+0-8-0.0122400000000005</f>
        <v>2121.440846</v>
      </c>
      <c r="Q214" s="3">
        <f>2545.3+(132-532.6)+(-1.298103+(-0.06732--0.271626))+0-7.8--0.00397799999999921</f>
        <v>2135.8101810000003</v>
      </c>
      <c r="R214" s="3">
        <f>2548.6+(132-557.9)+(-3.899358+(-0.20196--0.853587))+0-7.7--0.0117810000000004</f>
        <v>2111.7640500000002</v>
      </c>
      <c r="S214" s="3">
        <f>2554.7+(133-587.3)+(0+(0-0))+0-7.5-0</f>
        <v>2092.8999999999996</v>
      </c>
      <c r="T214" s="3">
        <f>2508.3+(132-573.9)+(-1.279233+(-0.06732--0.292689))+0-7--0.00356999999999929</f>
        <v>2058.349706</v>
      </c>
      <c r="U214" s="3">
        <f>2481.8+(132-557.7)+(-2.531436+(-0.13464--0.568854))+0-6.7--0.00683400000000107</f>
        <v>2047.3096120000005</v>
      </c>
      <c r="V214" s="3">
        <f>2525.4+(134-524)+(-1.287954+(-0.06834--0.26724))+0-6.8--0.00346799999999931</f>
        <v>2127.5144139999998</v>
      </c>
      <c r="W214" s="3">
        <f>2756.5+(133-448.9)+(-4.217445+(-0.20349--0.686817))+0-8.1--0.0123930000000005</f>
        <v>2428.7782750000001</v>
      </c>
      <c r="X214" s="3">
        <f>2910.3+(133-578.7)+(-1.484253+(-0.06783--0.295137))+0-9.5--0.00484499999999904</f>
        <v>2453.8478990000003</v>
      </c>
      <c r="Y214" s="3">
        <f>2916.1+(134-641.2)+(-2.974422+(-0.13668--0.654024))+0-9.5--0.00969000000000152</f>
        <v>2396.9526119999996</v>
      </c>
      <c r="Z214" s="3">
        <f>2809.5+(133-611.3)+(-4.298535+(-0.20349--0.935289))+0-9--0.0137700000000005</f>
        <v>2318.6470339999996</v>
      </c>
      <c r="AA214" s="3">
        <f>2622.2+(133-539.3)+(-1.337322+(-0.06783--0.275043))+0-8.8--0.00448799999999911</f>
        <v>2205.9743789999993</v>
      </c>
      <c r="AB214" s="3">
        <f>2379.1+(129-401.8)+(-9.706728+(-0.52632--1.639344))+0-8.5--0.0346799999999993</f>
        <v>2089.240976</v>
      </c>
      <c r="AC214" s="3">
        <f>2229.3+(98-358.8)+(-3.410829+(-0.14994--0.548964))+0-9.1--0.0139230000000005</f>
        <v>1956.4021180000002</v>
      </c>
      <c r="AD214">
        <f t="shared" si="3"/>
        <v>49050.915408000008</v>
      </c>
      <c r="AE214" s="3">
        <f>2921+(132-586.6)+(0+(0-0))+0-9.3-0</f>
        <v>2457.1</v>
      </c>
    </row>
    <row r="215" spans="1:31" s="2" customFormat="1" x14ac:dyDescent="0.25">
      <c r="A215">
        <v>89</v>
      </c>
      <c r="B215">
        <v>7</v>
      </c>
      <c r="C215">
        <v>29</v>
      </c>
      <c r="D215">
        <v>6</v>
      </c>
      <c r="E215">
        <v>1</v>
      </c>
      <c r="F215" s="3">
        <f>2005+(98-249.2)+(-4.0902+(-0.19992--0.508368))+0-9--0.0183599999999996</f>
        <v>1841.0366079999999</v>
      </c>
      <c r="G215" s="3">
        <f>1925.5+(105-236.5)+(-2.946015+(-0.16065--0.361845))+0-8.7--0.0133110000000005</f>
        <v>1782.568491</v>
      </c>
      <c r="H215" s="3">
        <f>1922.3+(105-270.8)+(-1.960746+(-0.1071--0.276216))+0-8.7--0.00887400000000139</f>
        <v>1746.0172440000001</v>
      </c>
      <c r="I215" s="3">
        <f>1903+(105-262.5)+(0+(0-0))+0-8.6-0</f>
        <v>1736.9</v>
      </c>
      <c r="J215" s="3">
        <f>1880.9+(108-232.2)+(0+(0-0))+0-9-0</f>
        <v>1747.7</v>
      </c>
      <c r="K215" s="3">
        <f>1847.1+(134-223.9)+(-3.768084+(-0.27336--0.456756))+0-8.9--0.0181559999999996</f>
        <v>1744.7334679999999</v>
      </c>
      <c r="L215" s="3">
        <f>1840.7+(135-228.8)+(-0.938757+(-0.06885--0.116688))+0-8.6--0.00438599999999913</f>
        <v>1737.4134670000003</v>
      </c>
      <c r="M215" s="3">
        <f>1912.7+(134-200.5)+(-0.975477+(-0.06834--0.102255))+0-8.5--0.00433499999999914</f>
        <v>1836.7627730000002</v>
      </c>
      <c r="N215" s="3">
        <f>2350.8+(134-521.1)+(-2.397816+(-0.13668--0.531522))+0-8.5--0.00867000000000136</f>
        <v>1953.2056960000002</v>
      </c>
      <c r="O215" s="3">
        <f>2474.9+(134-530.3)+(1.262199+(0.06834-0.270453))+0-8.8-0.00448799999999911</f>
        <v>2070.8555980000001</v>
      </c>
      <c r="P215" s="3">
        <f>2577.2+(134-598.9)+(1.314372+(0.06834-0.305439))+0-8.7-0.00443699999999912</f>
        <v>2104.6728359999997</v>
      </c>
      <c r="Q215" s="3">
        <f>2571+(134-584.7)+(-1.31121+(-0.06834--0.298197))+0-8.6--0.00438599999999913</f>
        <v>2110.6230330000003</v>
      </c>
      <c r="R215" s="3">
        <f>2538.1+(133-586.3)+(-6.472155+(-0.33915--1.495065))+0-8.4--0.0214199999999988</f>
        <v>2071.10518</v>
      </c>
      <c r="S215" s="3">
        <f>2504.7+(134-585.2)+(0+(0-0))+0-9.2-0</f>
        <v>2044.3</v>
      </c>
      <c r="T215" s="3">
        <f>2472.3+(134-597)+(1.260873+(0.06834-0.30447))+0-9.7-0.00494699999999902</f>
        <v>2000.6197960000002</v>
      </c>
      <c r="U215" s="3">
        <f>2347+(107-502.1)+(-5.98485+(-0.27285--1.280355))+0-9.5--0.0242249999999986</f>
        <v>1937.44688</v>
      </c>
      <c r="V215" s="3">
        <f>2266.6+(73-328.8)+(-4.623864+(-0.14892--0.670752))+0-8.4--0.0171359999999996</f>
        <v>1998.3151039999998</v>
      </c>
      <c r="W215" s="3">
        <f>2483.6+(28-193.3)+(1.266636+(0.01428-0.098583))+0-7.6-0.00387599999999923</f>
        <v>2311.8784569999998</v>
      </c>
      <c r="X215" s="3">
        <f>2695.9+(43-395.4)+(2.749818+(0.04386-0.403308))+0-4.8-0.00489600000000077</f>
        <v>2341.085474</v>
      </c>
      <c r="Y215" s="3">
        <f>2682.1+(100-460.1)+(-6.839355+(-0.255--1.173255))+0-5.3--0.0135149999999992</f>
        <v>2310.7924149999999</v>
      </c>
      <c r="Z215" s="3">
        <f>2642.7+(135-543.3)+(-5.391108+(-0.2754--1.108332))+0-5.1--0.0104039999999998</f>
        <v>2224.7522279999998</v>
      </c>
      <c r="AA215" s="3">
        <f>2564.2+(135-572.3)+(-2.615484+(-0.1377--0.583746))+0-6.6--0.00673200000000105</f>
        <v>2118.1372939999997</v>
      </c>
      <c r="AB215" s="3">
        <f>2410.6+(128-501.8)+(-3.688218+(-0.19584--0.767754))+0-8.8--0.0134640000000005</f>
        <v>2024.8971600000002</v>
      </c>
      <c r="AC215" s="3">
        <f>2276.6+(107-457.2)+(0+(0-0))+0-9.6-0</f>
        <v>1916.8</v>
      </c>
      <c r="AD215">
        <f t="shared" si="3"/>
        <v>47712.619202000009</v>
      </c>
      <c r="AE215" s="3">
        <f>2723+(37-422.3)+(0+(0-0))+0-5-0</f>
        <v>2332.6999999999998</v>
      </c>
    </row>
    <row r="216" spans="1:31" s="2" customFormat="1" x14ac:dyDescent="0.25">
      <c r="A216">
        <v>89</v>
      </c>
      <c r="B216">
        <v>7</v>
      </c>
      <c r="C216">
        <v>30</v>
      </c>
      <c r="D216">
        <v>7</v>
      </c>
      <c r="E216">
        <v>1</v>
      </c>
      <c r="F216" s="3">
        <f>2021.9+(105-280.6)+(1.031169+(0.05355-0.143106))+0-9.6-0.00489599999999903</f>
        <v>1837.6367170000003</v>
      </c>
      <c r="G216" s="3">
        <f>1926.7+(98-266.1)+(-3.930468+(-0.19992--0.542844))+0-13--0.0265199999999994</f>
        <v>1742.0389759999998</v>
      </c>
      <c r="H216" s="3">
        <f>1826.3+(96-239.2)+(-4.657065+(-0.2448--0.60996))+0-14--0.035699999999998</f>
        <v>1664.8437949999998</v>
      </c>
      <c r="I216" s="3">
        <f>1789.9+(96-213.5)+(-2.738547+(-0.14688--0.326655))+0-11--0.0168300000000006</f>
        <v>1658.858058</v>
      </c>
      <c r="J216" s="3">
        <f>1770+(96-173.2)+(0+(0-0))+0-13-0</f>
        <v>1679.8</v>
      </c>
      <c r="K216" s="3">
        <f>1766.1+(138-220.8)+(0+(0-0))+0-14-0</f>
        <v>1669.3</v>
      </c>
      <c r="L216" s="3">
        <f>1737.1+(132-288.5)+(-2.657763+(-0.20196--0.441405))+0-15--0.0229500000000009</f>
        <v>1563.2046319999999</v>
      </c>
      <c r="M216" s="3">
        <f>1821+(131-328)+(0.92871+(0.06681-0.16728))+0-11-0.00560999999999888</f>
        <v>1613.8226300000001</v>
      </c>
      <c r="N216" s="3">
        <f>1831.8+(132-280.2)+(0+(0-0))+0-15-0</f>
        <v>1668.6</v>
      </c>
      <c r="O216" s="3">
        <f>1950.8+(130-326.4)+(0+(0-0))+0-12-0</f>
        <v>1742.4</v>
      </c>
      <c r="P216" s="3">
        <f>2178.4+(134-499.7)+(-3.332952+(-0.20502--0.764541))+0-14--0.0214200000000008</f>
        <v>1795.947989</v>
      </c>
      <c r="Q216" s="3">
        <f>2177.2+(134-490.8)+(0+(0-0))+0-14-0</f>
        <v>1806.3999999999999</v>
      </c>
      <c r="R216" s="3">
        <f>2189.5+(134-509.4)+(-1.116645+(-0.06834--0.259794))+0-14--0.00713999999999858</f>
        <v>1799.1819489999998</v>
      </c>
      <c r="S216" s="3">
        <f>2155.9+(134-498.3)+(-4.398036+(-0.27336--1.016532))+0-12--0.0244799999999995</f>
        <v>1775.9696160000001</v>
      </c>
      <c r="T216" s="3">
        <f>2006+(134-373.4)+(-3.06918+(-0.20502--0.571302))+0-13--0.0198900000000008</f>
        <v>1750.9169919999999</v>
      </c>
      <c r="U216" s="3">
        <f>1929.4+(113-307.1)+(-4.91997+(-0.28815--0.783105))+0-13--0.0331499999999981</f>
        <v>1717.9081350000001</v>
      </c>
      <c r="V216" s="3">
        <f>1890.3+(105.6-172.8)+(-1.928106+(-0.107712--0.176256))+0-13--0.0132600000000021</f>
        <v>1808.2536979999998</v>
      </c>
      <c r="W216" s="3">
        <f>2145.1+(112.7-139.2)+(2.188002+(0.114954-0.141984))+0-11-0.0112200000000018</f>
        <v>2109.7497520000002</v>
      </c>
      <c r="X216" s="3">
        <f>2424+(70-333.8)+(3.70872+(0.1071-0.510714))+0-9.2-0.0140760000000005</f>
        <v>2154.2910299999999</v>
      </c>
      <c r="Y216" s="3">
        <f>2448.1+(121-405.6)+(1.248531+(0.06171-0.206856))+0-9.6-0.00489599999999903</f>
        <v>2154.9984890000001</v>
      </c>
      <c r="Z216" s="3">
        <f>2461.1+(134-491.5)+(1.255161+(0.06834-0.250665))+0-9.4-0.00479399999999905</f>
        <v>2095.2680419999997</v>
      </c>
      <c r="AA216" s="3">
        <f>2426.7+(121-528.1)+(-2.475234+(-0.12342--0.538662))+0-8.6--0.00877200000000137</f>
        <v>2008.9487799999999</v>
      </c>
      <c r="AB216" s="3">
        <f>2300.9+(110-466.3)+(-3.520377+(-0.1683--0.713439))+0-6.8--0.0104040000000004</f>
        <v>1934.8351660000003</v>
      </c>
      <c r="AC216" s="3">
        <f>2064.9+(110-354.1)+(-2.106198+(-0.1122--0.361182))+0-5.4--0.00550800000000086</f>
        <v>1813.5482919999999</v>
      </c>
      <c r="AD216">
        <f t="shared" si="3"/>
        <v>43566.722737999989</v>
      </c>
      <c r="AE216" s="3">
        <f>2484+(77-397.9)+(0+(0-0))+0-9.7-0</f>
        <v>2153.4</v>
      </c>
    </row>
    <row r="217" spans="1:31" s="2" customFormat="1" x14ac:dyDescent="0.25">
      <c r="A217">
        <v>89</v>
      </c>
      <c r="B217">
        <v>8</v>
      </c>
      <c r="C217">
        <v>1</v>
      </c>
      <c r="D217">
        <v>1</v>
      </c>
      <c r="E217">
        <v>1</v>
      </c>
      <c r="F217" s="3">
        <f>1944.2+(109-334)+(-1.983084+(-0.11118--0.34068))+0-4.2--0.00428400000000067</f>
        <v>1713.2507000000001</v>
      </c>
      <c r="G217" s="3">
        <f>1807.5+(109-266.8)+(-2.765475+(-0.16677--0.408204))+0-4.1--0.00627300000000024</f>
        <v>1643.0822320000002</v>
      </c>
      <c r="H217" s="3">
        <f>1799.8+(109-283.4)+(-2.753694+(-0.16677--0.433602))+0-3.9--0.00596700000000023</f>
        <v>1619.0191050000001</v>
      </c>
      <c r="I217" s="3">
        <f>1804.3+(109-284.9)+(-2.760579+(-0.16677--0.435897))+0-3.9--0.00596700000000023</f>
        <v>1622.0145150000001</v>
      </c>
      <c r="J217" s="3">
        <f>1798.7+(109-262.2)+(-3.669348+(-0.22236--0.534888))+0-4--0.00815999999999983</f>
        <v>1638.1513400000001</v>
      </c>
      <c r="K217" s="3">
        <f>1806.1+(83-219)+(0+(0-0))+0-4.1-0</f>
        <v>1666</v>
      </c>
      <c r="L217" s="3">
        <f>1812.7+(127.2-284.9)+(-0.924477+(-0.064872--0.145299))+0-4.1--0.00209099999999958</f>
        <v>1650.0580410000002</v>
      </c>
      <c r="M217" s="3">
        <f>1917.9+(126.4-260.3)+(2.934387+(0.193392-0.398259))+0-0-0</f>
        <v>1786.7295200000001</v>
      </c>
      <c r="N217" s="3">
        <f>2204.3+(125.8-424.6)+(0+(0-0))+0-0-0</f>
        <v>1905.5000000000002</v>
      </c>
      <c r="O217" s="3">
        <f>2417.4+(132.8-541.1)+(-1.232874+(-0.067728--0.275961))+0-0-0</f>
        <v>2008.0753590000002</v>
      </c>
      <c r="P217" s="3">
        <f>2500.3+(131.2-601.4)+(3.825459+(0.200736-0.920142))+0-0-0</f>
        <v>2033.2060530000001</v>
      </c>
      <c r="Q217" s="3">
        <f>2520.7+(133.3-596.4)+(0+(0-0))+0-0-0</f>
        <v>2057.6</v>
      </c>
      <c r="R217" s="3">
        <f>2506.7+(133.5-616.8)+(-3.835251+(-0.204255--0.943704))+0--2.2-0.00336600000000013</f>
        <v>2022.5008319999999</v>
      </c>
      <c r="S217" s="3">
        <f>2491.6+(134-621.3)+(-7.624296+(-0.41004--1.901178))+0--2.2-0.00673200000000026</f>
        <v>2000.3601099999998</v>
      </c>
      <c r="T217" s="3">
        <f>2482+(134.6-626.1)+(0+(0-0))+0--2.2-0</f>
        <v>1992.7</v>
      </c>
      <c r="U217" s="3">
        <f>2444.6+(133.5-609)+(-2.493492+(-0.13617--0.62118))+0--2.2-0.00224400000000035</f>
        <v>1969.289274</v>
      </c>
      <c r="V217" s="3">
        <f>2432.5+(123.1-497.2)+(-3.721725+(-0.188343--0.760716))+0--2.5-0.00382500000000014</f>
        <v>2057.7468230000004</v>
      </c>
      <c r="W217" s="3">
        <f>2697.7+(79.6-423.9)+(1.375827+(0.040596-0.216189))+0--1.5--0.000764999999999848</f>
        <v>2356.1009989999993</v>
      </c>
      <c r="X217" s="3">
        <f>2752.9+(73-474.7)+(-4.211937+(-0.11169--0.726291))+0-0-0</f>
        <v>2347.6026640000005</v>
      </c>
      <c r="Y217" s="3">
        <f>2763.7+(92.4-549.2)+(-2.818974+(-0.094248--0.560184))+0-1.5--0.00153000000000024</f>
        <v>2303.0484919999994</v>
      </c>
      <c r="Z217" s="3">
        <f>2725.8+(129.2-600.7)+(-4.170474+(-0.197676--0.919071))+0-2.7--0.00413100000000016</f>
        <v>2248.1550520000005</v>
      </c>
      <c r="AA217" s="3">
        <f>2618.4+(134.5-596.2)+(-2.670768+(-0.13719--0.608124))+0-3.5--0.00357000000000056</f>
        <v>2151.0037359999997</v>
      </c>
      <c r="AB217" s="3">
        <f>2471.3+(110.9-542.4)+(-6.301815+(-0.282795--1.38312))+0-3.8--0.00968999999999945</f>
        <v>2030.8082000000004</v>
      </c>
      <c r="AC217" s="3">
        <f>2319.4+(108.8-530.1)+(-5.91447+(-0.27744--1.351755))+0-3.6--0.00917999999999948</f>
        <v>1889.6690250000001</v>
      </c>
      <c r="AD217">
        <f t="shared" si="3"/>
        <v>46711.672072000008</v>
      </c>
      <c r="AE217" s="3">
        <f>2762+(71-501.7)+(0+(0-0))+0-0-0</f>
        <v>2331.3000000000002</v>
      </c>
    </row>
    <row r="218" spans="1:31" s="2" customFormat="1" x14ac:dyDescent="0.25">
      <c r="A218">
        <v>89</v>
      </c>
      <c r="B218">
        <v>8</v>
      </c>
      <c r="C218">
        <v>2</v>
      </c>
      <c r="D218">
        <v>2</v>
      </c>
      <c r="E218">
        <v>1</v>
      </c>
      <c r="F218" s="3">
        <f>1937.7+(108.7-259.4)+(-3.952908+(-0.221748--0.529176))+0-3.5--0.00713999999999985</f>
        <v>1779.86166</v>
      </c>
      <c r="G218" s="3">
        <f>1804.1+(109-194.2)+(-0.920091+(-0.05559--0.099042))+0-3.2--0.00163199999999968</f>
        <v>1714.8249929999997</v>
      </c>
      <c r="H218" s="3">
        <f>1785.8+(109-190.6)+(-4.55379+(-0.27795--0.48603))+0-3.5--0.00892499999999949</f>
        <v>1696.3632150000001</v>
      </c>
      <c r="I218" s="3">
        <f>1841.9+(109-255.3)+(4.696845+(0.27795-0.651015))+0-3.6-0.00917999999999948</f>
        <v>1696.3146000000002</v>
      </c>
      <c r="J218" s="3">
        <f>1824.9+(108.5-233.3)+(1.861398+(0.11067-0.237966))+0-3.3-0.00336600000000053</f>
        <v>1698.5307360000002</v>
      </c>
      <c r="K218" s="3">
        <f>1796.5+(107-206.7)+(-1.83243+(-0.10914--0.210834))+0-3.1--0.00316200000000049</f>
        <v>1691.972426</v>
      </c>
      <c r="L218" s="3">
        <f>1799+(128.8-240.4)+(-1.83498+(-0.131376--0.245208))+0-3--0.00306000000000048</f>
        <v>1682.681912</v>
      </c>
      <c r="M218" s="3">
        <f>1903.1+(132.4-234.6)+(1.941162+(0.135048-0.239292))+0-3.2-0.00326400000000051</f>
        <v>1799.5336539999998</v>
      </c>
      <c r="N218" s="3">
        <f>2213.9+(131.9-410.1)+(-3.387267+(-0.201807--0.627453))+0-3.4--0.0052020000000002</f>
        <v>1929.3435810000001</v>
      </c>
      <c r="O218" s="3">
        <f>2399.5+(131.6-520)+(-3.671235+(-0.201348--0.7956))+0-3.1--0.00474300000000018</f>
        <v>2004.92776</v>
      </c>
      <c r="P218" s="3">
        <f>2517.9+(132.7-586.1)+(-3.852387+(-0.203031--0.896733))+0-0-0</f>
        <v>2061.3413150000001</v>
      </c>
      <c r="Q218" s="3">
        <f>2503.6+(134.2-570.1)+(-6.38418+(-0.34221--1.453755))+0-0-0</f>
        <v>2062.427365</v>
      </c>
      <c r="R218" s="3">
        <f>2446.6+(132.7-550.1)+(-6.23883+(-0.338385--1.402755))+0-0-0</f>
        <v>2024.0255399999999</v>
      </c>
      <c r="S218" s="3">
        <f>2455.4+(133.6-559.8)+(-2.504508+(-0.136272--0.570996))+0-0-0</f>
        <v>2027.1302160000002</v>
      </c>
      <c r="T218" s="3">
        <f>2438.1+(133.8-547.1)+(-4.973724+(-0.272952--1.116084))+0-2.1--0.00428399999999991</f>
        <v>2018.5736920000002</v>
      </c>
      <c r="U218" s="3">
        <f>2443.6+(133-571.4)+(-4.984944+(-0.27132--1.165656))+0-1.6--0.00326399999999993</f>
        <v>1999.5126559999999</v>
      </c>
      <c r="V218" s="3">
        <f>2479.2+(108.4-504.4)+(1.264392+(0.055284-0.257244))+0-1.5-0.000764999999999848</f>
        <v>2082.7616670000002</v>
      </c>
      <c r="W218" s="3">
        <f>2632.1+(71-315.3)+(0+(0-0))+0-2.4-0</f>
        <v>2385.3999999999996</v>
      </c>
      <c r="X218" s="3">
        <f>2799.1+(69.8-485.3)+(-5.710164+(-0.142392--0.990012))+0-2.3--0.0046919999999999</f>
        <v>2376.4421479999996</v>
      </c>
      <c r="Y218" s="3">
        <f>2753.8+(85.3-503.1)+(-5.617752+(-0.174012--1.026324))+0-0-0</f>
        <v>2331.2345599999999</v>
      </c>
      <c r="Z218" s="3">
        <f>2697.1+(122.9-547.8)+(-2.751042+(-0.125358--0.558756))+0-0-0</f>
        <v>2269.8823559999996</v>
      </c>
      <c r="AA218" s="3">
        <f>2488+(135.5-461.4)+(-2.53776+(-0.13821--0.470628))+0-0-0</f>
        <v>2159.8946579999997</v>
      </c>
      <c r="AB218" s="3">
        <f>2331.7+(114.3-404.9)+(-5.945835+(-0.291465--1.032495))+0-1.5--0.00382499999999978</f>
        <v>2034.3990199999998</v>
      </c>
      <c r="AC218" s="3">
        <f>2153.6+(110-344.2)+(-5.49168+(-0.2805--0.87771))+0-1.5--0.00382499999999978</f>
        <v>1913.0093549999999</v>
      </c>
      <c r="AD218">
        <f t="shared" si="3"/>
        <v>47440.389084999995</v>
      </c>
      <c r="AE218" s="3">
        <f>2844+(72.6-512.2)+(0+(0-0))+0-2.1-0</f>
        <v>2402.3000000000002</v>
      </c>
    </row>
    <row r="219" spans="1:31" s="2" customFormat="1" x14ac:dyDescent="0.25">
      <c r="A219">
        <v>89</v>
      </c>
      <c r="B219">
        <v>8</v>
      </c>
      <c r="C219">
        <v>3</v>
      </c>
      <c r="D219">
        <v>3</v>
      </c>
      <c r="E219">
        <v>1</v>
      </c>
      <c r="F219" s="3">
        <f>1922.2+(109.2-206.9)+(-2.940966+(-0.167076--0.316557))+0-0-0</f>
        <v>1821.708515</v>
      </c>
      <c r="G219" s="3">
        <f>1783.6+(108.3-129.4)+(-4.54818+(-0.276165--0.32997))+0-0-0</f>
        <v>1758.005625</v>
      </c>
      <c r="H219" s="3">
        <f>1793.6+(108.9-189.7)+(-1.829472+(-0.111078--0.193494))+0-0-0</f>
        <v>1711.052944</v>
      </c>
      <c r="I219" s="3">
        <f>1775.5+(108.4-168)+(0+(0-0))+0-2-0</f>
        <v>1713.9</v>
      </c>
      <c r="J219" s="3">
        <f>1750.4+(108.8-128.6)+(0.892704+(0.055488-0.065586))+0-3.3-0.00168299999999967</f>
        <v>1728.1809230000001</v>
      </c>
      <c r="K219" s="3">
        <f>1773.3+(109.9-170.1)+(-1.808766+(-0.112098--0.173502))+0-4--0.00408000000000064</f>
        <v>1707.3567179999998</v>
      </c>
      <c r="L219" s="3">
        <f>1778.7+(135-187.8)+(-0.907137+(-0.06885--0.095778))+0-5.3--0.00270299999999946</f>
        <v>1719.7224940000003</v>
      </c>
      <c r="M219" s="3">
        <f>1850+(133.8-157.4)+(2.8305+(0.204714-0.240822))+0-7.4-0.0113220000000004</f>
        <v>1821.78307</v>
      </c>
      <c r="N219" s="3">
        <f>2090.3+(131.9-261.4)+(-1.066053+(-0.067269--0.133314))+0-8.2--0.00418199999999917</f>
        <v>1951.6041740000001</v>
      </c>
      <c r="O219" s="3">
        <f>2188.3+(133.9-291.1)+(-1.116033+(-0.068289--0.148461))+0-9.8--0.00499799999999901</f>
        <v>2020.269137</v>
      </c>
      <c r="P219" s="3">
        <f>2385.5+(133.8-435.3)+(0+(0-0))+0-10.7-0</f>
        <v>2073.3000000000002</v>
      </c>
      <c r="Q219" s="3">
        <f>2451.9+(133.1-488.5)+(-2.500938+(-0.135762--0.49827))+0-12.6--0.012852000000002</f>
        <v>2081.774422</v>
      </c>
      <c r="R219" s="3">
        <f>2471.1+(133.4-529.2)+(-7.561566+(-0.408204--1.619352))+0-13.2--0.0403920000000015</f>
        <v>2055.7899739999998</v>
      </c>
      <c r="S219" s="3">
        <f>2488.8+(134-555.6)+(-5.077152+(-0.27336--1.133424))+0-13.3--0.0271319999999994</f>
        <v>2049.7100440000004</v>
      </c>
      <c r="T219" s="3">
        <f>2444.1+(134.2-544)+(-3.739473+(-0.205326--0.83232))+0-13.7--0.0209610000000008</f>
        <v>2017.508482</v>
      </c>
      <c r="U219" s="3">
        <f>2379.2+(121-471.6)+(2.426784+(0.12342-0.481032))+0-12.5-0.012750000000002</f>
        <v>2018.1564219999998</v>
      </c>
      <c r="V219" s="3">
        <f>2315.9+(83.4-279.3)+(0+(0-0))+0-12.1-0</f>
        <v>2107.9</v>
      </c>
      <c r="W219" s="3">
        <f>2548.9+(79.5-225.8)+(1.299939+(0.040545-0.115158))+0-13.7-0.00698699999999861</f>
        <v>2390.1183390000001</v>
      </c>
      <c r="X219" s="3">
        <f>2845.2+(94-520)+(-1.451052+(-0.04794--0.2652))+0-13.8--0.0070379999999986</f>
        <v>2404.1732459999998</v>
      </c>
      <c r="Y219" s="3">
        <f>2831.8+(106.6-572.2)+(-5.776872+(-0.217464--1.167288))+0-13.4--0.0273359999999994</f>
        <v>2348.0002880000002</v>
      </c>
      <c r="Z219" s="3">
        <f>2764.9+(129-597)+(-2.820198+(-0.13158--0.60894))+0-13.1--0.0133620000000021</f>
        <v>2281.4705240000003</v>
      </c>
      <c r="AA219" s="3">
        <f>2617.5+(133.3-556.7)+(-1.334925+(-0.067983--0.283917))+0-13.2--0.00673199999999866</f>
        <v>2179.7877410000001</v>
      </c>
      <c r="AB219" s="3">
        <f>2492.5+(112.8-534)+(-3.813525+(-0.172584--0.81702))+0-12.3--0.0188190000000007</f>
        <v>2055.8497299999999</v>
      </c>
      <c r="AC219" s="3">
        <f>2238.6+(109-420.9)+(-5.70843+(-0.27795--1.073295))+0-12.1--0.0308549999999982</f>
        <v>1909.71777</v>
      </c>
      <c r="AD219">
        <f t="shared" si="3"/>
        <v>47926.840581999997</v>
      </c>
      <c r="AE219" s="3">
        <f>2904+(93.8-570.6)+(0+(0-0))+0-14-0</f>
        <v>2413.1999999999998</v>
      </c>
    </row>
    <row r="220" spans="1:31" s="2" customFormat="1" x14ac:dyDescent="0.25">
      <c r="A220">
        <v>89</v>
      </c>
      <c r="B220">
        <v>8</v>
      </c>
      <c r="C220">
        <v>4</v>
      </c>
      <c r="D220">
        <v>4</v>
      </c>
      <c r="E220">
        <v>1</v>
      </c>
      <c r="F220" s="3">
        <f>2060.5+(106.7-375.5)+(-4.20342+(-0.217668--0.76602))+0-11.8--0.0240719999999995</f>
        <v>1776.269004</v>
      </c>
      <c r="G220" s="3">
        <f>2032.2+(106.6-405.9)+(0+(0-0))+0-11.7-0</f>
        <v>1721.2</v>
      </c>
      <c r="H220" s="3">
        <f>2046.3+(106.6-453.6)+(1.043613+(0.054366-0.231336))+0-11.5-0.00586499999999883</f>
        <v>1688.6607779999999</v>
      </c>
      <c r="I220" s="3">
        <f>1949.9+(106.3-369.2)+(1.988898+(0.108426-0.376584))+0-11.6-0.0118320000000018</f>
        <v>1677.1089080000002</v>
      </c>
      <c r="J220" s="3">
        <f>1864.9+(106.4-280.3)+(-1.902198+(-0.108528--0.285906))+0-11.8--0.0120360000000019</f>
        <v>1677.4872160000002</v>
      </c>
      <c r="K220" s="3">
        <f>1797.3+(112.1-229.1)+(-1.833246+(-0.114342--0.233682))+0-11.6--0.0118320000000018</f>
        <v>1666.997926</v>
      </c>
      <c r="L220" s="3">
        <f>1655.4+(134.6-116.4)+(-2.532762+(-0.205938--0.178092))+0-11.5--0.0175950000000007</f>
        <v>1659.5569870000002</v>
      </c>
      <c r="M220" s="3">
        <f>1841.6+(132-179)+(-0.939216+(-0.06732--0.09129))+0-12--0.00611999999999878</f>
        <v>1781.6908739999999</v>
      </c>
      <c r="N220" s="3">
        <f>1969.9+(131.4-181.4)+(0+(0-0))+0-13.9-0</f>
        <v>1906</v>
      </c>
      <c r="O220" s="3">
        <f>2324.1+(131.5-453.8)+(1.185291+(0.067065-0.231438))+0-24.6-0.0125459999999975</f>
        <v>1978.2083720000001</v>
      </c>
      <c r="P220" s="3">
        <f>2418.8+(89.2-406.4)+(0+(0-0))+0-46.5-0</f>
        <v>2055.1000000000004</v>
      </c>
      <c r="Q220" s="3">
        <f>2539.8+(103.7-511.8)+(-1.295298+(-0.052887--0.261018))+0-61.1--0.0311609999999938</f>
        <v>2069.5439940000001</v>
      </c>
      <c r="R220" s="3">
        <f>2521.9+(109.8-523.5)+(-3.858507+(-0.167994--0.800955))+0-59.7--0.0913410000000035</f>
        <v>2045.3657950000002</v>
      </c>
      <c r="S220" s="3">
        <f>2503.6+(98.4-515.9)+(-5.107344+(-0.200736--1.052436))+0-62.9--0.128315999999997</f>
        <v>2019.072672</v>
      </c>
      <c r="T220" s="3">
        <f>2496.2+(112.6-519.4)+(-6.36531+(-0.28713--1.32447))+0-88.1--0.224654999999987</f>
        <v>1996.1966849999999</v>
      </c>
      <c r="U220" s="3">
        <f>2508.2+(134.4-579.9)+(-5.116728+(-0.274176--1.182996))+0-65.7--0.134027999999997</f>
        <v>1992.9261199999999</v>
      </c>
      <c r="V220" s="3">
        <f>2545.8+(135.2-502.4)+(-1.298358+(-0.068952--0.256224))+0-58.8--0.029987999999994</f>
        <v>2118.7189020000001</v>
      </c>
      <c r="W220" s="3">
        <f>2621.3+(135.7-255.4)+(0+(0-0))+0-78.5-0</f>
        <v>2423.1000000000004</v>
      </c>
      <c r="X220" s="3">
        <f>2630.6+(134.8-334.8)+(-4.024818+(-0.206244--0.512244))+0-51.7--0.079101000000003</f>
        <v>2375.2602830000001</v>
      </c>
      <c r="Y220" s="3">
        <f>2609+(135.1-340)+(-7.98354+(-0.413406--1.0404))+0-70.7--0.216342000000008</f>
        <v>2326.2597960000003</v>
      </c>
      <c r="Z220" s="3">
        <f>2628.3+(134.9-455.9)+(-4.021299+(-0.206397--0.697527))+0-27.3--0.0417690000000016</f>
        <v>2276.5115999999998</v>
      </c>
      <c r="AA220" s="3">
        <f>2642.9+(135.1-517.6)+(1.347879+(0.068901-0.263976))+0-87.9-0.0448289999999911</f>
        <v>2173.6079749999999</v>
      </c>
      <c r="AB220" s="3">
        <f>2465.8+(111.3-493.2)+(-2.515116+(-0.113526--0.503064))+0-55.6--0.0567120000000089</f>
        <v>2026.2311340000001</v>
      </c>
      <c r="AC220" s="3">
        <f>2201.7+(108.7-339.4)+(-4.491468+(-0.221748--0.692376))+0-74.1--0.151163999999997</f>
        <v>1893.0303240000001</v>
      </c>
      <c r="AD220">
        <f t="shared" si="3"/>
        <v>47324.105344999996</v>
      </c>
      <c r="AE220" s="3">
        <f>2612+(135.1-348.7)+(0+(0-0))+0-15.1-0</f>
        <v>2383.3000000000002</v>
      </c>
    </row>
    <row r="221" spans="1:31" s="2" customFormat="1" x14ac:dyDescent="0.25">
      <c r="A221">
        <v>89</v>
      </c>
      <c r="B221">
        <v>8</v>
      </c>
      <c r="C221">
        <v>5</v>
      </c>
      <c r="D221">
        <v>5</v>
      </c>
      <c r="E221">
        <v>1</v>
      </c>
      <c r="F221" s="3">
        <f>2149.2+(108.6-372.1)+(-2.192184+(-0.110772--0.379542))+0-77.2--0.0787440000000123</f>
        <v>1806.6553299999996</v>
      </c>
      <c r="G221" s="3">
        <f>1979.4+(108.5-253.1)+(-5.04747+(-0.276675--0.645405))+0-92.1--0.234854999999987</f>
        <v>1738.2561150000001</v>
      </c>
      <c r="H221" s="3">
        <f>1981.1+(107.8-316.9)+(-1.010361+(-0.054978--0.161619))+0-61.8--0.0315179999999937</f>
        <v>1709.327798</v>
      </c>
      <c r="I221" s="3">
        <f>1979.8+(107.1-322)+(-1.009698+(-0.054621--0.16422))+0-63.1--0.0321809999999936</f>
        <v>1700.932082</v>
      </c>
      <c r="J221" s="3">
        <f>2026.8+(107.4-329.2)+(5.16834+(0.27387-0.83946))+0-89-0.226949999999987</f>
        <v>1720.3758</v>
      </c>
      <c r="K221" s="3">
        <f>1985.6+(115.5-312.3)+(1.012656+(0.058905-0.159273))+0-74.9-0.0381989999999924</f>
        <v>1714.7740889999998</v>
      </c>
      <c r="L221" s="3">
        <f>1943.4+(132.8-267.7)+(-2.973402+(-0.203184--0.409581))+0-76.7--0.117351000000004</f>
        <v>1729.1503460000001</v>
      </c>
      <c r="M221" s="3">
        <f>1959.9+(132.4-300.2)+(1.999098+(0.135048-0.306204))+0-60.1-0.0613020000000096</f>
        <v>1733.7666400000001</v>
      </c>
      <c r="N221" s="3">
        <f>2336+(132.3-443.8)+(-3.57408+(-0.202419--0.679014))+0-50.8--0.0777240000000029</f>
        <v>1970.680239</v>
      </c>
      <c r="O221" s="3">
        <f>2419.4+(134.7-451.3)+(0+(0-0))+0-60.6-0</f>
        <v>2042.2000000000003</v>
      </c>
      <c r="P221" s="3">
        <f>2546.6+(133.9-491.3)+(0+(0-0))+0-92.8-0</f>
        <v>2096.3999999999996</v>
      </c>
      <c r="Q221" s="3">
        <f>2619.4+(133.7-569.2)+(-1.335894+(-0.068187--0.290292))+0-75--0.0382499999999924</f>
        <v>2107.8244610000002</v>
      </c>
      <c r="R221" s="3">
        <f>2547.1+(134.8-543.2)+(-6.495105+(-0.34374--1.38516))+0-68.4--0.17441999999999</f>
        <v>2065.0207349999996</v>
      </c>
      <c r="S221" s="3">
        <f>2494.5+(134.9-496.4)+(-3.816585+(-0.206397--0.759492))+0-85.2--0.130356000000005</f>
        <v>2044.666866</v>
      </c>
      <c r="T221" s="3">
        <f>2489.2+(134.3-508.2)+(-3.808476+(-0.205479--0.777546))+0-83.9--0.128367000000005</f>
        <v>2028.2919579999996</v>
      </c>
      <c r="U221" s="3">
        <f>2478.6+(124.8-496.7)+(-6.32043+(-0.31824--1.266585))+0-80.2--0.204509999999988</f>
        <v>2021.3324249999998</v>
      </c>
      <c r="V221" s="3">
        <f>2548.6+(94.3-404.1)+(-6.49893+(-0.240465--1.030455))+0-76.3--0.194564999999989</f>
        <v>2156.9856249999993</v>
      </c>
      <c r="W221" s="3">
        <f>2757.6+(84.4-359.1)+(-2.812752+(-0.086088--0.366282))+0-78.5--0.0800700000000125</f>
        <v>2401.9475119999997</v>
      </c>
      <c r="X221" s="3">
        <f>2815.3+(90.4-483.3)+(-2.871606+(-0.092208--0.492966))+0-46.7--0.0476340000000074</f>
        <v>2373.2767860000004</v>
      </c>
      <c r="Y221" s="3">
        <f>2823.6+(100.4-505.5)+(-4.320108+(-0.153612--0.773415))+0-91.9--0.140607000000005</f>
        <v>2323.0403019999999</v>
      </c>
      <c r="Z221" s="3">
        <f>2717.3+(128.5-491.2)+(-2.771646+(-0.13107--0.501024))+0-76.4--0.0779280000000122</f>
        <v>2275.8762360000005</v>
      </c>
      <c r="AA221" s="3">
        <f>2633.9+(133.8-528.4)+(-6.716445+(-0.34119--1.34742))+0-68.5--0.17467499999999</f>
        <v>2165.2644600000003</v>
      </c>
      <c r="AB221" s="3">
        <f>2481.5+(109.1-477.4)+(1.265565+(0.055641-0.243474))+0-58.8-0.029987999999994</f>
        <v>2055.4477440000001</v>
      </c>
      <c r="AC221" s="3">
        <f>2111.1+(107-281.5)+(-5.383305+(-0.27285--0.717825))+0-24.6--0.0627299999999964</f>
        <v>1907.1244000000002</v>
      </c>
      <c r="AD221">
        <f t="shared" si="3"/>
        <v>47888.617948999999</v>
      </c>
      <c r="AE221" s="3">
        <f>2812+(88.3-506.4)+(0+(0-0))+0-31.6-0</f>
        <v>2362.3000000000002</v>
      </c>
    </row>
    <row r="222" spans="1:31" s="2" customFormat="1" x14ac:dyDescent="0.25">
      <c r="A222">
        <v>89</v>
      </c>
      <c r="B222">
        <v>8</v>
      </c>
      <c r="C222">
        <v>6</v>
      </c>
      <c r="D222">
        <v>6</v>
      </c>
      <c r="E222">
        <v>1</v>
      </c>
      <c r="F222" s="3">
        <f>2024.4+(107.1-277.6)+(-4.129776+(-0.218484--0.566304))+0-69.9--0.142595999999997</f>
        <v>1780.3606399999999</v>
      </c>
      <c r="G222" s="3">
        <f>2020.4+(107.2-341.9)+(1.030404+(0.054672-0.174369))+0-65.5-0.0334049999999934</f>
        <v>1721.0773020000001</v>
      </c>
      <c r="H222" s="3">
        <f>1801.9+(106.8-151.5)+(0.918969+(0.054468-0.077265))+0-70.2-0.0358019999999929</f>
        <v>1687.8603699999999</v>
      </c>
      <c r="I222" s="3">
        <f>1755+(108-105.8)+(-1.7901+(-0.11016--0.107916))+0-71.2--0.0726240000000114</f>
        <v>1684.2802799999999</v>
      </c>
      <c r="J222" s="3">
        <f>1812.8+(108.8-132.5)+(-0.924528+(-0.055488--0.067575))+0-88--0.0448799999999911</f>
        <v>1700.2324389999999</v>
      </c>
      <c r="K222" s="3">
        <f>1827.9+(109.6-160.2)+(-1.864458+(-0.111792--0.163404))+0-85.8--0.0875160000000137</f>
        <v>1689.7746700000002</v>
      </c>
      <c r="L222" s="3">
        <f>1823.7+(133.6-184.6)+(-1.860174+(-0.136272--0.188292))+0-80.1--0.0817020000000128</f>
        <v>1690.873548</v>
      </c>
      <c r="M222" s="3">
        <f>1924.7+(136-228)+(-0.981597+(-0.06936--0.11628))+0-42--0.0214199999999957</f>
        <v>1789.7867430000001</v>
      </c>
      <c r="N222" s="3">
        <f>2219.6+(135.9-344.2)+(3.395988+(0.207927-0.526626))+0-87.7-0.134181000000005</f>
        <v>1926.5431080000001</v>
      </c>
      <c r="O222" s="3">
        <f>2243.3+(135.4-292.7)+(2.288166+(0.138108-0.298554))+0-79.1-0.0806820000000126</f>
        <v>2008.947038</v>
      </c>
      <c r="P222" s="3">
        <f>2328.8+(134.8-327.6)+(-4.750752+(-0.274992--0.668304))+0-80.1--0.163403999999996</f>
        <v>2051.7059639999998</v>
      </c>
      <c r="Q222" s="3">
        <f>2336.3+(134.2-332.6)+(-2.383026+(-0.136884--0.339252))+0-81.7--0.083334000000013</f>
        <v>2054.102676</v>
      </c>
      <c r="R222" s="3">
        <f>2255.6+(134.1-269.9)+(-9.202848+(-0.547128--1.101192))+0-94.3--0.384743999999992</f>
        <v>2017.2359599999997</v>
      </c>
      <c r="S222" s="3">
        <f>2184.1+(134-237.9)+(0+(0-0))+0-89.3-0</f>
        <v>1990.8999999999999</v>
      </c>
      <c r="T222" s="3">
        <f>2126.3+(135.2-208.3)+(0+(0-0))+0-85.8-0</f>
        <v>1967.4000000000003</v>
      </c>
      <c r="U222" s="3">
        <f>2073+(133.9-138.8)+(-3.17169+(-0.204867--0.212364))+0-67.3--0.102969000000004</f>
        <v>1997.7387759999999</v>
      </c>
      <c r="V222" s="3">
        <f>2065.7+(196-84.3)+(0+(0-0))+0-95.3-0</f>
        <v>2082.0999999999995</v>
      </c>
      <c r="W222" s="3">
        <f>2467.2+(56.9-138.5)+(-3.774816+(-0.087057--0.211905))+0-62.5--0.0956250000000036</f>
        <v>2319.5456569999997</v>
      </c>
      <c r="X222" s="3">
        <f>2538.5+(55.6-209)+(-6.473175+(-0.14178--0.53295))+0-82.1--0.209354999999988</f>
        <v>2297.1273499999998</v>
      </c>
      <c r="Y222" s="3">
        <f>2516.3+(82.4-264.5)+(-10.266504+(-0.336192--1.07916))+0-85.6--0.349247999999993</f>
        <v>2239.4257120000002</v>
      </c>
      <c r="Z222" s="3">
        <f>2364.3+(116.9-221.4)+(-2.411586+(-0.119238--0.225828))+0-83.9--0.0855780000000134</f>
        <v>2173.6805820000004</v>
      </c>
      <c r="AA222" s="3">
        <f>2207.1+(134.2-198.8)+(-4.502484+(-0.273768--0.405552))+0-53.4--0.108935999999998</f>
        <v>2084.8382360000001</v>
      </c>
      <c r="AB222" s="3">
        <f>2127.6+(111.1-198.3)+(-6.510456+(-0.339966--0.606798))+0-41.2--0.126072000000005</f>
        <v>1993.0824479999999</v>
      </c>
      <c r="AC222" s="3">
        <f>2142.8+(106.4-262.2)+(-1.092828+(-0.054264--0.133722))+0-90.6--0.0462059999999908</f>
        <v>1895.4328360000004</v>
      </c>
      <c r="AD222">
        <f t="shared" si="3"/>
        <v>46844.052335</v>
      </c>
      <c r="AE222" s="3">
        <f>2573+(56.7-252.2)+(0+(0-0))+0-87.8-0</f>
        <v>2289.6999999999998</v>
      </c>
    </row>
    <row r="223" spans="1:31" s="2" customFormat="1" x14ac:dyDescent="0.25">
      <c r="A223">
        <v>89</v>
      </c>
      <c r="B223">
        <v>8</v>
      </c>
      <c r="C223">
        <v>7</v>
      </c>
      <c r="D223">
        <v>7</v>
      </c>
      <c r="E223">
        <v>1</v>
      </c>
      <c r="F223" s="3">
        <f>2018.3+(106.5-246.1)+(-5.146665+(-0.271575--0.627555))+0-81--0.206549999999988</f>
        <v>1793.115865</v>
      </c>
      <c r="G223" s="3">
        <f>1864.2+(106.8-169.7)+(-5.704452+(-0.326808--0.519282))+0-80.5--0.246330000000009</f>
        <v>1715.5343519999999</v>
      </c>
      <c r="H223" s="3">
        <f>1807.8+(107.3-193.2)+(-2.765934+(-0.164169--0.295596))+0-49.9--0.0763470000000029</f>
        <v>1669.4418399999997</v>
      </c>
      <c r="I223" s="3">
        <f>1733.1+(106.9-174.4)+(-0.883881+(-0.054519--0.088944))+0-24.4--0.0124439999999975</f>
        <v>1640.3629879999999</v>
      </c>
      <c r="J223" s="3">
        <f>1789.2+(106.6-149.4)+(0+(0-0))+0-92.5-0</f>
        <v>1653.9</v>
      </c>
      <c r="K223" s="3">
        <f>1736.9+(108.3-113.3)+(-0.885819+(-0.055233--0.057783))+0-76--0.0387599999999923</f>
        <v>1655.0554910000001</v>
      </c>
      <c r="L223" s="3">
        <f>1557.5+(172.7-77.1)+(-0.794325+(-0.088077--0.039321))+0-82.2--0.0419219999999917</f>
        <v>1570.0988409999998</v>
      </c>
      <c r="M223" s="3">
        <f>1618.8+(148.7-102.8)+(-0.825588+(-0.075837--0.052428))+0-67.1--0.0342209999999932</f>
        <v>1596.785224</v>
      </c>
      <c r="N223" s="3">
        <f>1861.8+(130.5-226.3)+(-2.848554+(-0.199665--0.346239))+0-88.1--0.134793000000005</f>
        <v>1675.332813</v>
      </c>
      <c r="O223" s="3">
        <f>1987.8+(134.4-295.8)+(-2.027556+(-0.137088--0.301716))+0-81.3--0.082926000000013</f>
        <v>1743.3199979999999</v>
      </c>
      <c r="P223" s="3">
        <f>1919.9+(133.2-184.8)+(-1.958298+(-0.135864--0.188496))+0-77.4--0.0789480000000123</f>
        <v>1789.0732820000001</v>
      </c>
      <c r="Q223" s="3">
        <f>2012.5+(132.3-263.1)+(-2.05275+(-0.134946--0.268362))+0-84.6--0.0862920000000135</f>
        <v>1795.2669580000002</v>
      </c>
      <c r="R223" s="3">
        <f>1898.6+(136.4-172.8)+(-1.936572+(-0.139128--0.176256))+0-87.8--0.089556000000014</f>
        <v>1772.5901119999999</v>
      </c>
      <c r="S223" s="3">
        <f>1845+(158.8-152.5)+(-1.8819+(-0.161976--0.15555))+0-92.5--0.0943500000000148</f>
        <v>1757.006024</v>
      </c>
      <c r="T223" s="3">
        <f>1793.5+(175.4-130.1)+(-3.65874+(-0.357816--0.265404))+0-90.3--0.184211999999996</f>
        <v>1744.9330599999998</v>
      </c>
      <c r="U223" s="3">
        <f>1818.9+(156-144.7)+(-0.927639+(-0.07956--0.073797))+0-81.7--0.0416669999999917</f>
        <v>1747.6082650000001</v>
      </c>
      <c r="V223" s="3">
        <f>1873.9+(156.3-107.4)+(0.955689+(0.079713-0.054774))+0-79.3-0.040442999999992</f>
        <v>1844.4401850000002</v>
      </c>
      <c r="W223" s="3">
        <f>2262.3+(89.7-142)+(-1.153773+(-0.045747--0.07242))+0-70.5--0.0359549999999928</f>
        <v>2138.4088549999997</v>
      </c>
      <c r="X223" s="3">
        <f>2426.1+(22.8-195.1)+(-4.949244+(-0.046512--0.398004))+0-94.4--0.192575999999996</f>
        <v>2154.9948239999994</v>
      </c>
      <c r="Y223" s="3">
        <f>2387+(50.9-214.1)+(2.43474+(0.051918-0.218382))+0-85.5-0.0872100000000136</f>
        <v>2140.4810659999998</v>
      </c>
      <c r="Z223" s="3">
        <f>2325.1+(89.8-219.4)+(-3.557403+(-0.137394--0.335682))+0-91.6--0.140148000000005</f>
        <v>2100.6810329999998</v>
      </c>
      <c r="AA223" s="3">
        <f>2191.4+(134.6-191.7)+(-2.235228+(-0.137292--0.195534))+0-92.7--0.0945540000000148</f>
        <v>2039.5175680000002</v>
      </c>
      <c r="AB223" s="3">
        <f>2097.1+(113.9-165.6)+(-2.139042+(-0.116178--0.168912))+0-83.2--0.0848640000000133</f>
        <v>1960.1985559999998</v>
      </c>
      <c r="AC223" s="3">
        <f>1961.2+(109.7-140.4)+(-5.00106+(-0.279735--0.35802))+0-81.2--0.207059999999988</f>
        <v>1844.5842849999999</v>
      </c>
      <c r="AD223">
        <f t="shared" si="3"/>
        <v>43542.731484999997</v>
      </c>
      <c r="AE223" s="3">
        <f>2455+(21.5-202.5)+(0+(0-0))+0-104.4-0</f>
        <v>2169.6</v>
      </c>
    </row>
    <row r="224" spans="1:31" s="2" customFormat="1" x14ac:dyDescent="0.25">
      <c r="A224">
        <v>89</v>
      </c>
      <c r="B224">
        <v>8</v>
      </c>
      <c r="C224">
        <v>8</v>
      </c>
      <c r="D224">
        <v>1</v>
      </c>
      <c r="E224">
        <v>1</v>
      </c>
      <c r="F224" s="3">
        <f>1812.4+(115.5-109.7)+(-0.924324+(-0.058905--0.055947))+0-77.5--0.0395249999999921</f>
        <v>1739.8122429999999</v>
      </c>
      <c r="G224" s="3">
        <f>1745.2+(113.8-81.8)+(-0.890052+(-0.058038--0.041718))+0-95.6--0.0487559999999903</f>
        <v>1680.7423840000001</v>
      </c>
      <c r="H224" s="3">
        <f>1643.6+(145.5-52.3)+(-2.514708+(-0.222615--0.080019))+0-85.4--0.130662000000005</f>
        <v>1648.8733579999998</v>
      </c>
      <c r="I224" s="3">
        <f>1733.9+(110.7-114)+(0.884289+(0.056457-0.05814))+0-87.6-0.0446759999999911</f>
        <v>1643.8379300000001</v>
      </c>
      <c r="J224" s="3">
        <f>1846.9+(110.3-212.4)+(-3.767676+(-0.225012--0.433296))+0-85.2--0.173807999999996</f>
        <v>1656.2144160000003</v>
      </c>
      <c r="K224" s="3">
        <f>1859.3+(111-227.9)+(0+(0-0))+0-85.8-0</f>
        <v>1656.6</v>
      </c>
      <c r="L224" s="3">
        <f>1858.2+(133.4-236.3)+(0+(0-0))+0-80.2-0</f>
        <v>1675.1</v>
      </c>
      <c r="M224" s="3">
        <f>2019.4+(132-254.1)+(-1.029894+(-0.06732--0.129591))+0-78.7--0.040136999999992</f>
        <v>1817.6725140000001</v>
      </c>
      <c r="N224" s="3">
        <f>2237.3+(131.4-352.5)+(-3.423069+(-0.201042--0.539325))+0-67--0.102510000000004</f>
        <v>1946.2177240000003</v>
      </c>
      <c r="O224" s="3">
        <f>2317+(130.8-358.7)+(-2.36334+(-0.133416--0.365874))+0-79.1--0.0806820000000126</f>
        <v>2007.9498000000001</v>
      </c>
      <c r="P224" s="3">
        <f>2350.5+(132.8-341.2)+(-4.79502+(-0.270912--0.696048))+0-89.2--0.181967999999996</f>
        <v>2048.7120839999998</v>
      </c>
      <c r="Q224" s="3">
        <f>2413.1+(132.9-397.4)+(-1.230681+(-0.067779--0.202674))+0-79.2--0.040391999999992</f>
        <v>2068.3446060000001</v>
      </c>
      <c r="R224" s="3">
        <f>2388.5+(133-399.2)+(-2.43627+(-0.13566--0.407184))+0-79.7--0.0812940000000127</f>
        <v>2040.5165480000003</v>
      </c>
      <c r="S224" s="3">
        <f>2315.7+(133.2-329.8)+(-4.724028+(-0.271728--0.672792))+0-92--0.187679999999996</f>
        <v>2022.964716</v>
      </c>
      <c r="T224" s="3">
        <f>2255.3+(133.1-305.9)+(0+(0-0))+0-87.5-0</f>
        <v>1995</v>
      </c>
      <c r="U224" s="3">
        <f>2214.6+(118.9-265.6)+(-4.517784+(-0.242556--0.541824))+0-77.5--0.158099999999997</f>
        <v>1986.3395840000003</v>
      </c>
      <c r="V224" s="3">
        <f>2279.2+(88.7-156.4)+(-3.487176+(-0.135711--0.239292))+0-84.4--0.129132000000005</f>
        <v>2123.8455370000001</v>
      </c>
      <c r="W224" s="3">
        <f>2800.7+(11.7-313)+(0+(0-0))+0-96.5-0</f>
        <v>2402.8999999999996</v>
      </c>
      <c r="X224" s="3">
        <f>2935+(7.1-469.4)+(-4.49055+(-0.010863--0.718182))+0-90.2--0.138006000000005</f>
        <v>2378.8547750000002</v>
      </c>
      <c r="Y224" s="3">
        <f>2857.1+(32-506)+(-7.285605+(-0.0816--1.2903))+0-50.8--0.129539999999993</f>
        <v>2326.3526349999997</v>
      </c>
      <c r="Z224" s="3">
        <f>2615.5+(86-324.3)+(-5.33562+(-0.17544--0.661572))+0-97.6--0.199103999999996</f>
        <v>2274.9496159999999</v>
      </c>
      <c r="AA224" s="3">
        <f>2504+(126-355.1)+(-3.83112+(-0.19278--0.543303))+0-85.3--0.130509000000005</f>
        <v>2186.2499119999998</v>
      </c>
      <c r="AB224" s="3">
        <f>2332.8+(113.2-272.9)+(-5.94864+(-0.28866--0.695895))+0-85.8--0.218789999999988</f>
        <v>2081.9773850000001</v>
      </c>
      <c r="AC224" s="3">
        <f>2052.6+(118.9-122.8)+(-6.280956+(-0.363834--0.375768))+0-87--0.26622000000001</f>
        <v>1955.6971979999998</v>
      </c>
      <c r="AD224">
        <f t="shared" si="3"/>
        <v>47365.724965000001</v>
      </c>
      <c r="AE224" s="3">
        <f>2931+(7.7-470.3)+(0+(0-0))+0-107.2-0</f>
        <v>2361.2000000000003</v>
      </c>
    </row>
    <row r="225" spans="1:31" s="2" customFormat="1" x14ac:dyDescent="0.25">
      <c r="A225">
        <v>89</v>
      </c>
      <c r="B225">
        <v>8</v>
      </c>
      <c r="C225">
        <v>9</v>
      </c>
      <c r="D225">
        <v>2</v>
      </c>
      <c r="E225">
        <v>1</v>
      </c>
      <c r="F225" s="3">
        <f>1887+(132.6-92.9)+(-2.88711+(-0.202878--0.142137))+0-97.3--0.148869000000006</f>
        <v>1826.6010180000003</v>
      </c>
      <c r="G225" s="3">
        <f>1727.6+(152.3-51.2)+(-1.762152+(-0.155346--0.052224))+0-86.3--0.0880260000000138</f>
        <v>1740.622752</v>
      </c>
      <c r="H225" s="3">
        <f>1709.9+(147.3-51.5)+(-3.488196+(-0.300492--0.10506))+0-91.3--0.186251999999996</f>
        <v>1710.9026240000001</v>
      </c>
      <c r="I225" s="3">
        <f>1725+(126-70.8)+(-2.63925+(-0.19278--0.108324))+0-74.3--0.113679000000004</f>
        <v>1703.2899730000001</v>
      </c>
      <c r="J225" s="3">
        <f>1733.4+(110.4-96.9)+(0+(0-0))+0-28.3-0</f>
        <v>1718.6000000000001</v>
      </c>
      <c r="K225" s="3">
        <f>1767.8+(114.4-118.3)+(0+(0-0))+0-42.1-0</f>
        <v>1721.8</v>
      </c>
      <c r="L225" s="3">
        <f>1797.6+(128-113.6)+(-1.833552+(-0.13056--0.115872))+0-101--0.103020000000016</f>
        <v>1709.25478</v>
      </c>
      <c r="M225" s="3">
        <f>1920.8+(127.2-113.5)+(0+(0-0))+0-106-0</f>
        <v>1828.5</v>
      </c>
      <c r="N225" s="3">
        <f>1936.4+(177.7-101.2)+(-1.975128+(-0.181254--0.103224))+0-58--0.0591600000000092</f>
        <v>1952.9060020000002</v>
      </c>
      <c r="O225" s="3">
        <f>2097.7+(147-149)+(-1.069827+(-0.07497--0.07599))+0-83--0.0423299999999916</f>
        <v>2011.6735229999997</v>
      </c>
      <c r="P225" s="3">
        <f>2202.1+(130.7-209.2)+(-2.246142+(-0.133314--0.213384))+0-92--0.0938400000000147</f>
        <v>2029.5277679999999</v>
      </c>
      <c r="Q225" s="3">
        <f>2300.2+(132.2-268.9)+(-4.692408+(-0.269688--0.548556))+0-109--0.222359999999995</f>
        <v>2050.3088200000002</v>
      </c>
      <c r="R225" s="3">
        <f>2327.6+(132.2-332.8)+(-1.187076+(-0.067422--0.169728))+0-88.4--0.045083999999991</f>
        <v>2037.5603140000001</v>
      </c>
      <c r="S225" s="3">
        <f>2352.4+(132-401.8)+(-2.399448+(-0.13464--0.409836))+0-59.7--0.0608940000000095</f>
        <v>2020.8366419999998</v>
      </c>
      <c r="T225" s="3">
        <f>2345.6+(132.6-404.1)+(-1.196256+(-0.067626--0.206091))+0-66.9--0.0341189999999932</f>
        <v>2006.1763279999996</v>
      </c>
      <c r="U225" s="3">
        <f>2233.5+(130.3-301.1)+(-5.695425+(-0.332265--0.767805))+0-47.3--0.120614999999993</f>
        <v>2010.26073</v>
      </c>
      <c r="V225" s="3">
        <f>2333.5+(78.4-178)+(0+(0-0))+0-88-0</f>
        <v>2145.9</v>
      </c>
      <c r="W225" s="3">
        <f>2604.2+(30.7-119.9)+(-2.656284+(-0.031314--0.122298))+0-88.9--0.0906780000000142</f>
        <v>2423.6253779999997</v>
      </c>
      <c r="X225" s="3">
        <f>2583.7+(35.2-129.4)+(-5.270748+(-0.071808--0.263976))+0-96.1--0.196043999999996</f>
        <v>2388.517464</v>
      </c>
      <c r="Y225" s="3">
        <f>2585.2+(52.9-229)+(-5.273808+(-0.107916--0.46716))+0-64.4--0.131375999999997</f>
        <v>2339.9168119999995</v>
      </c>
      <c r="Z225" s="3">
        <f>2605.9+(100.1-329.5)+(-2.658018+(-0.102102--0.33609))+0-81.2--0.082824000000013</f>
        <v>2292.9587940000001</v>
      </c>
      <c r="AA225" s="3">
        <f>2534.7+(132.7-362.3)+(-3.878091+(-0.203031--0.554319))+0-97.5--0.149175000000006</f>
        <v>2204.2223719999997</v>
      </c>
      <c r="AB225" s="3">
        <f>2274.5+(112.6-217.1)+(-4.63998+(-0.229704--0.442884))+0-91.3--0.186251999999996</f>
        <v>2074.4594519999996</v>
      </c>
      <c r="AC225" s="3">
        <f>2006.8+(112.2-105.8)+(-4.093872+(-0.228888--0.215832))+0-89.5--0.182579999999996</f>
        <v>1919.775652</v>
      </c>
      <c r="AD225">
        <f t="shared" si="3"/>
        <v>47868.197197999987</v>
      </c>
      <c r="AE225" s="3">
        <f>2584+(29.4-150.2)+(0+(0-0))+0-93.6-0</f>
        <v>2369.6</v>
      </c>
    </row>
    <row r="226" spans="1:31" s="2" customFormat="1" x14ac:dyDescent="0.25">
      <c r="A226">
        <v>89</v>
      </c>
      <c r="B226">
        <v>8</v>
      </c>
      <c r="C226">
        <v>10</v>
      </c>
      <c r="D226">
        <v>3</v>
      </c>
      <c r="E226">
        <v>1</v>
      </c>
      <c r="F226" s="3">
        <f>1901.3+(109.8-156.8)+(-0.969663+(-0.055998--0.079968))+0-50.8--0.0259079999999948</f>
        <v>1802.5802150000002</v>
      </c>
      <c r="G226" s="3">
        <f>1773.5+(119.8-69.7)+(-4.522425+(-0.30549--0.177735))+0-83.6--0.213179999999988</f>
        <v>1735.5629999999999</v>
      </c>
      <c r="H226" s="3">
        <f>1688.3+(138.9-54.4)+(-1.722066+(-0.141678--0.055488))+0-75.5--0.077010000000012</f>
        <v>1695.5687539999999</v>
      </c>
      <c r="I226" s="3">
        <f>1658.6+(156.8-35.1)+(1.691772+(0.159936-0.035802))+0-91.8-0.0936360000000146</f>
        <v>1690.22227</v>
      </c>
      <c r="J226" s="3">
        <f>1610.1+(163-40.9)+(-3.284604+(-0.33252--0.083436))+0-48.6--0.0991439999999979</f>
        <v>1680.1654559999999</v>
      </c>
      <c r="K226" s="3">
        <f>1667+(178.5-70.9)+(2.55051+(0.273105-0.108477))+0-85.6-0.130968000000005</f>
        <v>1691.5841700000001</v>
      </c>
      <c r="L226" s="3">
        <f>1657.6+(198-67.2)+(-2.536128+(-0.30294--0.102816))+0-90--0.137700000000005</f>
        <v>1695.8014479999999</v>
      </c>
      <c r="M226" s="3">
        <f>1797.8+(174.1-99.1)+(0+(0-0))+0-59.9-0</f>
        <v>1812.8999999999999</v>
      </c>
      <c r="N226" s="3">
        <f>1938.2+(200.5-96.5)+(-1.976964+(-0.20451--0.09843))+0-73.8--0.0752760000000118</f>
        <v>1966.3922320000001</v>
      </c>
      <c r="O226" s="3">
        <f>2069.3+(147.4-138)+(-5.276715+(-0.37587--0.3519))+0-67.6--0.17237999999999</f>
        <v>2005.9716950000002</v>
      </c>
      <c r="P226" s="3">
        <f>2130.8+(163.9-133.7)+(-3.260124+(-0.250767--0.204561))+0-92.2--0.141066000000005</f>
        <v>2065.6347360000004</v>
      </c>
      <c r="Q226" s="3">
        <f>2109.9+(152.7-126.9)+(0+(0-0))+0-57.7-0</f>
        <v>2078.0000000000005</v>
      </c>
      <c r="R226" s="3">
        <f>2098.6+(167.6-112.2)+(-7.492002+(-0.598332--0.400554))+0-83.8--0.299166000000001</f>
        <v>2062.8093859999994</v>
      </c>
      <c r="S226" s="3">
        <f>2124.3+(136.8-142.9)+(0+(0-0))+0-95.9-0</f>
        <v>2022.3000000000002</v>
      </c>
      <c r="T226" s="3">
        <f>2111.6+(133.2-181.1)+(-3.230748+(-0.203796--0.277083))+0-59.7--0.0913410000000035</f>
        <v>2000.93388</v>
      </c>
      <c r="U226" s="3">
        <f>2103.6+(110.4-153.6)+(-6.437016+(-0.337824--0.470016))+0-67.8--0.207468000000008</f>
        <v>1986.5026440000004</v>
      </c>
      <c r="V226" s="3">
        <f>2169.4+(117.8-67.7)+(0+(0-0))+0-59.8-0</f>
        <v>2159.6999999999998</v>
      </c>
      <c r="W226" s="3">
        <f>2330.6+(218.8-75.6)+(1.188606+(0.111588-0.038556))+0-72.6-0.0370259999999926</f>
        <v>2402.4246119999998</v>
      </c>
      <c r="X226" s="3">
        <f>2326.2+(182.6-71.1)+(-4.745448+(-0.372504--0.145044))+0-85.9--0.175235999999996</f>
        <v>2347.0023279999996</v>
      </c>
      <c r="Y226" s="3">
        <f>2344.9+(113.7-65.5)+(-5.979495+(-0.289935--0.167025))+0-88.5--0.225674999999987</f>
        <v>2298.72327</v>
      </c>
      <c r="Z226" s="3">
        <f>2288.1+(130.7-64.7)+(0+(0-0))+0-100.1-0</f>
        <v>2254</v>
      </c>
      <c r="AA226" s="3">
        <f>2165.2+(160.9-79.6)+(-2.208504+(-0.164118--0.081192))+0-86.8--0.0885360000000138</f>
        <v>2157.4971059999998</v>
      </c>
      <c r="AB226" s="3">
        <f>2114.7+(110.8-129.6)+(-5.392485+(-0.28254--0.33048))+0-68.7--0.17518499999999</f>
        <v>2022.0306399999997</v>
      </c>
      <c r="AC226" s="3">
        <f>2166.1+(111.1-292.5)+(-1.104711+(-0.056661--0.149175))+0-95--0.0484499999999904</f>
        <v>1888.7362529999998</v>
      </c>
      <c r="AD226">
        <f t="shared" si="3"/>
        <v>47523.044095000012</v>
      </c>
      <c r="AE226" s="3">
        <f>2258+(235.7-70.9)+(0+(0-0))+0-106.2-0</f>
        <v>2316.6000000000004</v>
      </c>
    </row>
    <row r="227" spans="1:31" s="2" customFormat="1" x14ac:dyDescent="0.25">
      <c r="A227">
        <v>89</v>
      </c>
      <c r="B227">
        <v>8</v>
      </c>
      <c r="C227">
        <v>11</v>
      </c>
      <c r="D227">
        <v>4</v>
      </c>
      <c r="E227">
        <v>1</v>
      </c>
      <c r="F227" s="3">
        <f>2092.1+(111.1-323.4)+(1.066971+(0.056661-0.164934))+0-82.8-0.0422279999999916</f>
        <v>1797.9164699999999</v>
      </c>
      <c r="G227" s="3">
        <f>1811.8+(109.1-132.2)+(-2.772054+(-0.166923--0.202266))+0-72.7--0.111231000000004</f>
        <v>1713.3745200000001</v>
      </c>
      <c r="H227" s="3">
        <f>1670.8+(138.1-57.5)+(-2.556324+(-0.211293--0.087975))+0-74.8--0.114444000000004</f>
        <v>1674.0348019999999</v>
      </c>
      <c r="I227" s="3">
        <f>1692.2+(123.4-72.6)+(1.726044+(0.125868-0.074052))+0-67.7-0.0690540000000108</f>
        <v>1677.0088059999998</v>
      </c>
      <c r="J227" s="3">
        <f>1632.4+(179-37)+(0.832524+(0.09129-0.01887))+0-78.5-0.040034999999992</f>
        <v>1696.764909</v>
      </c>
      <c r="K227" s="3">
        <f>1691.8+(155.8-65)+(0+(0-0))+0-82.8-0</f>
        <v>1699.8</v>
      </c>
      <c r="L227" s="3">
        <f>1683.5+(181-70.1)+(0.858585+(0.09231-0.035751))+0-90.9-0.0463589999999908</f>
        <v>1704.3687850000001</v>
      </c>
      <c r="M227" s="3">
        <f>2017.2+(106-185.3)+(-1.028772+(-0.05406--0.094503))+0-86.3--0.0440129999999912</f>
        <v>1850.6556840000001</v>
      </c>
      <c r="N227" s="3">
        <f>2110.3+(126.5-261.2)+(-3.228759+(-0.193545--0.399636))+0-22.4--0.0342720000000013</f>
        <v>1950.2116040000001</v>
      </c>
      <c r="O227" s="3">
        <f>2138.1+(131.9-221.7)+(-2.180862+(-0.134538--0.226134))+0-19.8--0.0201960000000032</f>
        <v>2026.4309299999998</v>
      </c>
      <c r="P227" s="3">
        <f>2273.8+(133.5-284.6)+(0+(0-0))+0-18.6-0</f>
        <v>2104.1000000000004</v>
      </c>
      <c r="Q227" s="3">
        <f>2454.6+(132.3-461.5)+(-5.007384+(-0.269892--0.94146))+0-19.6--0.0399839999999991</f>
        <v>2101.5041680000004</v>
      </c>
      <c r="R227" s="3">
        <f>2464.7+(133.7-499.7)+(2.513994+(0.136374-0.509694))+0-19.4-0.0197880000000031</f>
        <v>2081.4208859999999</v>
      </c>
      <c r="S227" s="3">
        <f>2411.9+(132.7-489.8)+(-4.920276+(-0.270708--0.999192))+0-20.9--0.0426359999999991</f>
        <v>2029.7508439999999</v>
      </c>
      <c r="T227" s="3">
        <f>2417.6+(133.9-499.8)+(-2.465952+(-0.136578--0.509796))+0-56.9--0.0580380000000091</f>
        <v>1992.7653039999998</v>
      </c>
      <c r="U227" s="3">
        <f>2493.2+(104.4-509.7)+(-6.35766+(-0.26622--1.299735))+0-76.8--0.195839999999989</f>
        <v>2005.9716949999997</v>
      </c>
      <c r="V227" s="3">
        <f>2628.7+(61.8-427.5)+(4.021911+(0.094554-0.654075))+0-93.2-0.142596000000005</f>
        <v>2173.1197940000002</v>
      </c>
      <c r="W227" s="3">
        <f>2720.7+(30.8-297.5)+(-4.162671+(-0.047124--0.455175))+0-81.4--0.124542000000005</f>
        <v>2368.9699219999998</v>
      </c>
      <c r="X227" s="3">
        <f>2732.3+(36.2-338.1)+(-6.967365+(-0.09231--0.862155))+0-70.9--0.18079499999999</f>
        <v>2353.483275</v>
      </c>
      <c r="Y227" s="3">
        <f>2649.2+(61.4-330.3)+(-2.702184+(-0.062628--0.336906))+0-95.6--0.0975120000000152</f>
        <v>2282.3696059999997</v>
      </c>
      <c r="Z227" s="3">
        <f>2502.1+(112.7-312.1)+(-1.276071+(-0.057477--0.159171))+0-78.2--0.0398819999999921</f>
        <v>2223.3655050000002</v>
      </c>
      <c r="AA227" s="3">
        <f>2345.9+(133.1-282.1)+(-3.589227+(-0.203643--0.431613))+0-68.7--0.105111000000004</f>
        <v>2124.9438540000001</v>
      </c>
      <c r="AB227" s="3">
        <f>2034.5+(139.4-70.6)+(-2.07519+(-0.142188--0.072012))+0-89.9--0.0916980000000143</f>
        <v>2011.3463319999998</v>
      </c>
      <c r="AC227" s="3">
        <f>1788.5+(195.7-33.5)+(-1.82427+(-0.199614--0.03417))+0-83.5--0.0851700000000133</f>
        <v>1865.2954560000001</v>
      </c>
      <c r="AD227">
        <f t="shared" si="3"/>
        <v>47508.973150999991</v>
      </c>
      <c r="AE227" s="3">
        <f>2745+(39.1-380.2)+(0+(0-0))+0-92.1-0</f>
        <v>2311.8000000000002</v>
      </c>
    </row>
    <row r="228" spans="1:31" s="2" customFormat="1" x14ac:dyDescent="0.25">
      <c r="A228">
        <v>89</v>
      </c>
      <c r="B228">
        <v>8</v>
      </c>
      <c r="C228">
        <v>12</v>
      </c>
      <c r="D228">
        <v>5</v>
      </c>
      <c r="E228">
        <v>1</v>
      </c>
      <c r="F228" s="3">
        <f>1738.7+(146.2-36.3)+(-0.886737+(-0.074562--0.018513))+0-69.1--0.035240999999993</f>
        <v>1778.5924550000002</v>
      </c>
      <c r="G228" s="3">
        <f>1602.8+(225.6-26.8)+(-4.08714+(-0.57528--0.06834))+0-92--0.234599999999987</f>
        <v>1705.2405199999998</v>
      </c>
      <c r="H228" s="3">
        <f>1558.1+(228.9-26.8)+(-1.589262+(-0.233478--0.027336))+0-87.8--0.089556000000014</f>
        <v>1670.6941519999998</v>
      </c>
      <c r="I228" s="3">
        <f>1561.5+(207.2-29.2)+(0+(0-0))+0-79.8-0</f>
        <v>1659.7</v>
      </c>
      <c r="J228" s="3">
        <f>1571.8+(233.4-37.1)+(-3.206472+(-0.476136--0.075684))+0-81.2--0.165647999999996</f>
        <v>1683.4587239999998</v>
      </c>
      <c r="K228" s="3">
        <f>1487.8+(374.7-65.1)+(-1.517556+(-0.382194--0.066402))+0-97.5--0.0994500000000155</f>
        <v>1698.1661020000001</v>
      </c>
      <c r="L228" s="3">
        <f>1493.4+(379.9-61)+(1.523268+(0.387498-0.06222))+0-95-0.0969000000000152</f>
        <v>1719.0516460000001</v>
      </c>
      <c r="M228" s="3">
        <f>1586.2+(399.7-59)+(-0.808962+(-0.203847--0.03009))+0-93--0.0474299999999906</f>
        <v>1832.9647110000001</v>
      </c>
      <c r="N228" s="3">
        <f>1930.6+(195.6-91.7)+(-1.969212+(-0.199512--0.093534))+0-67--0.0683400000000107</f>
        <v>1965.49315</v>
      </c>
      <c r="O228" s="3">
        <f>2289+(131.1-268.6)+(-1.16739+(-0.066861--0.136986))+0-93.6--0.0477359999999905</f>
        <v>2056.8504710000002</v>
      </c>
      <c r="P228" s="3">
        <f>2340.3+(132.5-303.9)+(-4.774212+(-0.2703--0.619956))+0-76.9--0.156875999999997</f>
        <v>2087.7323200000001</v>
      </c>
      <c r="Q228" s="3">
        <f>2470.5+(131.6-446)+(2.51991+(0.134232-0.45492))+0-90.8-0.0926160000000145</f>
        <v>2067.406606</v>
      </c>
      <c r="R228" s="3">
        <f>2237.1+(131.1-231.2)+(-2.281842+(-0.133722--0.235824))+0-90--0.0918000000000144</f>
        <v>2044.9120599999999</v>
      </c>
      <c r="S228" s="3">
        <f>2167.7+(130.4-191.4)+(2.211054+(0.133008-0.195228))+0-96.4-0.0983280000000154</f>
        <v>2012.3505059999998</v>
      </c>
      <c r="T228" s="3">
        <f>2125.3+(130.9-176.9)+(2.167806+(0.133518-0.180438))+0-95-0.0969000000000152</f>
        <v>1986.3239860000003</v>
      </c>
      <c r="U228" s="3">
        <f>2069.4+(131.5-123.4)+(2.110788+(0.13413-0.125868))+0-82.1-0.0837420000000131</f>
        <v>1997.4353079999998</v>
      </c>
      <c r="V228" s="3">
        <f>2287.1+(100.5-164.9)+(0+(0-0))+0-74.1-0</f>
        <v>2148.6</v>
      </c>
      <c r="W228" s="3">
        <f>2543.4+(53.2-123.6)+(-2.594268+(-0.054264--0.126072))+0-88.1--0.089862000000014</f>
        <v>2382.4674019999998</v>
      </c>
      <c r="X228" s="3">
        <f>2624+(37.9-265.9)+(-4.01472+(-0.057987--0.406827))+0-72.1--0.110313000000004</f>
        <v>2320.3444330000002</v>
      </c>
      <c r="Y228" s="3">
        <f>2685+(58.7-363.1)+(-6.84675+(-0.149685--0.925905))+0-94.1--0.239954999999986</f>
        <v>2280.669425</v>
      </c>
      <c r="Z228" s="3">
        <f>2575+(98.6-404.9)+(-6.56625+(-0.25143--1.032495))+0-94--0.239699999999986</f>
        <v>2169.1545149999997</v>
      </c>
      <c r="AA228" s="3">
        <f>2316+(110.4-278.4)+(-7.08696+(-0.337824--0.851904))+0-89--0.27234000000001</f>
        <v>2052.6994599999998</v>
      </c>
      <c r="AB228" s="3">
        <f>2156+(111.6-178.3)+(-2.19912+(-0.113832--0.181866))+0-88.9--0.0906780000000142</f>
        <v>1998.3595920000002</v>
      </c>
      <c r="AC228" s="3">
        <f>1996+(110.5-150.8)+(-3.05388+(-0.169065--0.230724))+0-74.9--0.114597000000004</f>
        <v>1877.922376</v>
      </c>
      <c r="AD228">
        <f t="shared" si="3"/>
        <v>47196.589920000006</v>
      </c>
      <c r="AE228" s="3">
        <f>2609+(40.1-249.6)+(0+(0-0))+0-95.4-0</f>
        <v>2304.1</v>
      </c>
    </row>
    <row r="229" spans="1:31" s="2" customFormat="1" x14ac:dyDescent="0.25">
      <c r="A229">
        <v>89</v>
      </c>
      <c r="B229">
        <v>8</v>
      </c>
      <c r="C229">
        <v>13</v>
      </c>
      <c r="D229">
        <v>6</v>
      </c>
      <c r="E229">
        <v>1</v>
      </c>
      <c r="F229" s="3">
        <f>1942.7+(109.8-180.3)+(-0.990777+(-0.055998--0.091953))+0-94.9--0.0483989999999904</f>
        <v>1776.3935770000001</v>
      </c>
      <c r="G229" s="3">
        <f>1856.3+(109.4-187.2)+(-1.893426+(-0.111588--0.190944))+0-65.2--0.0665040000000104</f>
        <v>1711.5524340000002</v>
      </c>
      <c r="H229" s="3">
        <f>1756.1+(108.8-105.2)+(-0.895611+(-0.055488--0.053652))+0-80.3--0.0409529999999919</f>
        <v>1678.5435059999998</v>
      </c>
      <c r="I229" s="3">
        <f>1711.1+(114.5-57.2)+(0+(0-0))+0-101.3-0</f>
        <v>1667.1</v>
      </c>
      <c r="J229" s="3">
        <f>1765.2+(130.8-140.2)+(3.601008+(0.266832-0.286008))+0-83-0.169319999999996</f>
        <v>1676.2125120000003</v>
      </c>
      <c r="K229" s="3">
        <f>1857.7+(132.9-216.3)+(-0.947427+(-0.067779--0.110313))+0-88.5--0.045134999999991</f>
        <v>1684.9402420000001</v>
      </c>
      <c r="L229" s="3">
        <f>1909+(132.9-251)+(-3.89436+(-0.271116--0.51204))+0-93.5--0.190739999999996</f>
        <v>1693.937304</v>
      </c>
      <c r="M229" s="3">
        <f>1986.7+(133.4-244.9)+(-2.026434+(-0.136068--0.249798))+0-95--0.0969000000000152</f>
        <v>1778.384196</v>
      </c>
      <c r="N229" s="3">
        <f>2171.6+(133.1-315)+(-1.107516+(-0.067881--0.16065))+0-89.1--0.045440999999991</f>
        <v>1899.6306939999999</v>
      </c>
      <c r="O229" s="3">
        <f>2330.7+(131.3-411.4)+(-3.565971+(-0.200889--0.629442))+0-87.2--0.133416000000005</f>
        <v>1960.3959979999997</v>
      </c>
      <c r="P229" s="3">
        <f>2388.9+(131.7-407.5)+(0+(0-0))+0-93.5-0</f>
        <v>2019.6</v>
      </c>
      <c r="Q229" s="3">
        <f>2301+(132.7-301.1)+(0+(0-0))+0-88.4-0</f>
        <v>2044.1999999999998</v>
      </c>
      <c r="R229" s="3">
        <f>2245.2+(132.1-284.1)+(-3.435156+(-0.202113--0.434673))+0-85.1--0.130203000000005</f>
        <v>2005.0276069999998</v>
      </c>
      <c r="S229" s="3">
        <f>2250.2+(132.5-329.2)+(-4.590408+(-0.2703--0.671568))+0-80.6--0.164423999999996</f>
        <v>1968.8752840000002</v>
      </c>
      <c r="T229" s="3">
        <f>2244.4+(132.3-400.8)+(1.144644+(0.067473-0.204408))+0-38.1-0.0194309999999961</f>
        <v>1938.7882780000002</v>
      </c>
      <c r="U229" s="3">
        <f>2170.7+(132.7-327.8)+(-5.535285+(-0.338385--0.83589))+0-29.8--0.0759899999999957</f>
        <v>1940.8382099999999</v>
      </c>
      <c r="V229" s="3">
        <f>2271.4+(133.1-288.6)+(-3.475242+(-0.203643--0.441558))+0-26.2--0.0400860000000015</f>
        <v>2086.5027590000004</v>
      </c>
      <c r="W229" s="3">
        <f>2399.6+(133-193.9)+(-2.447592+(-0.13566--0.197778))+0-23.3--0.0237660000000037</f>
        <v>2313.0382919999993</v>
      </c>
      <c r="X229" s="3">
        <f>2394.1+(132.7-217)+(-4.883964+(-0.270708--0.44268))+0-35.2--0.0718079999999985</f>
        <v>2269.959816</v>
      </c>
      <c r="Y229" s="3">
        <f>2365.8+(133-187.3)+(-6.03279+(-0.33915--0.477615))+0-97--0.247349999999986</f>
        <v>2208.8530249999999</v>
      </c>
      <c r="Z229" s="3">
        <f>2325.3+(133-220.5)+(-3.557709+(-0.20349--0.337365))+0-84--0.128520000000005</f>
        <v>2150.5046860000002</v>
      </c>
      <c r="AA229" s="3">
        <f>2245.2+(125-220.3)+(-1.145052+(-0.06375--0.112353))+0-96--0.0489599999999903</f>
        <v>2052.8525109999996</v>
      </c>
      <c r="AB229" s="3">
        <f>2062.5+(110-102)+(-4.2075+(-0.2244--0.20808))+0-97--0.197879999999996</f>
        <v>1969.4740599999998</v>
      </c>
      <c r="AC229" s="3">
        <f>1853.9+(166.6-65)+(-4.727445+(-0.42483--0.16575))+0-80--0.203999999999988</f>
        <v>1870.7174749999999</v>
      </c>
      <c r="AD229">
        <f t="shared" si="3"/>
        <v>46366.322465999998</v>
      </c>
      <c r="AE229" s="3">
        <f>2425+(132.6-238.6)+(0+(0-0))+0-23-0</f>
        <v>2296</v>
      </c>
    </row>
    <row r="230" spans="1:31" s="2" customFormat="1" x14ac:dyDescent="0.25">
      <c r="A230">
        <v>89</v>
      </c>
      <c r="B230">
        <v>8</v>
      </c>
      <c r="C230">
        <v>14</v>
      </c>
      <c r="D230">
        <v>7</v>
      </c>
      <c r="E230">
        <v>1</v>
      </c>
      <c r="F230" s="3">
        <f>1776.1+(150.5-72)+(-1.811622+(-0.15351--0.07344))+0-83--0.0846600000000132</f>
        <v>1769.792968</v>
      </c>
      <c r="G230" s="3">
        <f>1686.3+(155.7-53.3)+(-0.860013+(-0.079407--0.027183))+0-83.3--0.0424829999999915</f>
        <v>1704.530246</v>
      </c>
      <c r="H230" s="3">
        <f>1550.1+(218-29.7)+(-0.790551+(-0.11118--0.015147))+0-80.5--0.0410549999999918</f>
        <v>1657.0544709999997</v>
      </c>
      <c r="I230" s="3">
        <f>1547.1+(215.2-32)+(-1.578042+(-0.219504--0.03264))+0-85--0.0867000000000136</f>
        <v>1643.6217939999999</v>
      </c>
      <c r="J230" s="3">
        <f>1548.5+(234.5-38.7)+(-2.369205+(-0.358785--0.059211))+0-90.6--0.138618000000005</f>
        <v>1651.1698389999999</v>
      </c>
      <c r="K230" s="3">
        <f>1561.5+(236.9-62.5)+(1.59273+(0.241638-0.06375))+0-83.1-0.0847620000000132</f>
        <v>1654.4858560000002</v>
      </c>
      <c r="L230" s="3">
        <f>1473.1+(261.3-70.6)+(-3.756405+(-0.666315--0.18003))+0-75.1--0.191504999999989</f>
        <v>1584.648815</v>
      </c>
      <c r="M230" s="3">
        <f>1507.2+(239-61.6)+(0+(0-0))+0-75.1-0</f>
        <v>1609.5000000000002</v>
      </c>
      <c r="N230" s="3">
        <f>1656.3+(155.5-88.9)+(-0.844713+(-0.079305--0.045339))+0-48--0.0244799999999951</f>
        <v>1674.045801</v>
      </c>
      <c r="O230" s="3">
        <f>1748.1+(174.4-90.7)+(0.891531+(0.088944-0.046257))+0-87.6-0.0446759999999911</f>
        <v>1745.0895420000002</v>
      </c>
      <c r="P230" s="3">
        <f>1876.5+(131.7-141.9)+(-1.91403+(-0.134334--0.144738))+0-78.4--0.0799680000000125</f>
        <v>1786.0763419999998</v>
      </c>
      <c r="Q230" s="3">
        <f>2001.8+(116.6-226.3)+(-5.10459+(-0.29733--0.577065))+0-75--0.191249999999989</f>
        <v>1812.4663949999999</v>
      </c>
      <c r="R230" s="3">
        <f>1979.8+(116-210.3)+(-2.019396+(-0.11832--0.214506))+0-94.6--0.0964920000000151</f>
        <v>1789.0732820000003</v>
      </c>
      <c r="S230" s="3">
        <f>1958+(115.9-220.5)+(-2.99574+(-0.177327--0.337365))+0-83.7--0.128061000000005</f>
        <v>1766.9923590000001</v>
      </c>
      <c r="T230" s="3">
        <f>1881+(117.2-168.8)+(-1.91862+(-0.119544--0.172176))+0-82.6--0.0842520000000132</f>
        <v>1745.0182640000003</v>
      </c>
      <c r="U230" s="3">
        <f>1931.9+(116.9-191.4)+(-2.955807+(-0.178857--0.292842))+0-83.5--0.127755000000005</f>
        <v>1771.185933</v>
      </c>
      <c r="V230" s="3">
        <f>1959.1+(141.9-142.1)+(-1.998282+(-0.144738--0.144942))+0-75.4--0.076908000000012</f>
        <v>1881.5788299999997</v>
      </c>
      <c r="W230" s="3">
        <f>2156.9+(167.2-109.8)+(-1.100019+(-0.085272--0.055998))+0-72.1--0.0367709999999927</f>
        <v>2141.1074780000004</v>
      </c>
      <c r="X230" s="3">
        <f>2389.9+(116.5-288.8)+(-2.437698+(-0.11883--0.294576))+0-70.1--0.0715020000000112</f>
        <v>2145.3095500000004</v>
      </c>
      <c r="Y230" s="3">
        <f>2370.5+(116.9-278.1)+(-2.41791+(-0.119238--0.283662))+0-83.8--0.0854760000000134</f>
        <v>2123.3319900000001</v>
      </c>
      <c r="Z230" s="3">
        <f>2336+(116.5-267.8)+(-3.57408+(-0.178245--0.409734))+0-91.6--0.140148000000005</f>
        <v>2089.8975569999998</v>
      </c>
      <c r="AA230" s="3">
        <f>2331.6+(115.6-332.6)+(-2.378232+(-0.117912--0.339252))+0-84.7--0.0863940000000135</f>
        <v>2027.8295019999998</v>
      </c>
      <c r="AB230" s="3">
        <f>2280.1+(116.4-354.7)+(-1.162851+(-0.059364--0.180897))+0-71.3--0.0363629999999928</f>
        <v>1969.4950449999999</v>
      </c>
      <c r="AC230" s="3">
        <f>2011.9+(81.9-177.1)+(-5.130345+(-0.208845--0.451605))+0-80.8--0.206039999999988</f>
        <v>1831.2184550000002</v>
      </c>
      <c r="AD230">
        <f t="shared" si="3"/>
        <v>43574.520314000009</v>
      </c>
      <c r="AE230" s="3">
        <f>2378+(116.5-286.3)+(0+(0-0))+0-88.9-0</f>
        <v>2119.2999999999997</v>
      </c>
    </row>
    <row r="231" spans="1:31" s="2" customFormat="1" x14ac:dyDescent="0.25">
      <c r="A231">
        <v>89</v>
      </c>
      <c r="B231">
        <v>8</v>
      </c>
      <c r="C231">
        <v>15</v>
      </c>
      <c r="D231">
        <v>1</v>
      </c>
      <c r="E231">
        <v>1</v>
      </c>
      <c r="F231" s="3">
        <f>1944.2+(108.9-222.5)+(-4.95771+(-0.277695--0.567375))+0-84.2--0.214709999999988</f>
        <v>1741.94668</v>
      </c>
      <c r="G231" s="3">
        <f>1856.2+(110-208.5)+(-7.573296+(-0.4488--0.85068))+0-71.8--0.292943999999994</f>
        <v>1679.0215280000002</v>
      </c>
      <c r="H231" s="3">
        <f>1860.2+(110.3-225.9)+(-3.794808+(-0.225012--0.460836))+0-81.7--0.166667999999996</f>
        <v>1659.5076840000002</v>
      </c>
      <c r="I231" s="3">
        <f>1796.1+(109.5-168.1)+(1.832022+(0.11169-0.171462))+0-86.7-0.0884340000000138</f>
        <v>1652.4838159999999</v>
      </c>
      <c r="J231" s="3">
        <f>1773.9+(109.9-148)+(-0.904689+(-0.056049--0.07548))+0-72.2--0.0368219999999927</f>
        <v>1662.7515640000001</v>
      </c>
      <c r="K231" s="3">
        <f>1863.1+(117.8-213.6)+(-2.850543+(-0.180234--0.326808))+0-92.3--0.141219000000005</f>
        <v>1672.4372500000002</v>
      </c>
      <c r="L231" s="3">
        <f>1894.3+(130.5-272.3)+(0+(0-0))+0-78.6-0</f>
        <v>1673.9</v>
      </c>
      <c r="M231" s="3">
        <f>1935+(132.8-213)+(-0.98685+(-0.067728--0.10863))+0-41.5--0.0211649999999958</f>
        <v>1812.3752169999998</v>
      </c>
      <c r="N231" s="3">
        <f>2051.3+(126.4-228.1)+(1.046163+(0.064464-0.116331))+0-42.3-0.0215729999999957</f>
        <v>1908.2727230000003</v>
      </c>
      <c r="O231" s="3">
        <f>2449.1+(114.5-493.1)+(2.498082+(0.11679-0.502962))+0-86.2-0.0879240000000137</f>
        <v>1986.3239860000001</v>
      </c>
      <c r="P231" s="3">
        <f>2438.4+(120.7-478.1)+(0+(0-0))+0-56.8-0</f>
        <v>2024.2</v>
      </c>
      <c r="Q231" s="3">
        <f>2414.5+(129.7-414)+(-3.694185+(-0.198441--0.63342))+0-82.4--0.126072000000005</f>
        <v>2044.6668659999996</v>
      </c>
      <c r="R231" s="3">
        <f>2470.6+(101.6-521.2)+(-8.820042+(-0.362712--1.860684))+0-29--0.10353</f>
        <v>2014.7814600000002</v>
      </c>
      <c r="S231" s="3">
        <f>2381.3+(131.6-429.2)+(-1.214463+(-0.067116--0.218892))+0-86.9--0.0443189999999912</f>
        <v>1995.7816320000002</v>
      </c>
      <c r="T231" s="3">
        <f>2314.1+(131.6-420.6)+(-4.720764+(-0.268464--0.858024))+0-59.6--0.121583999999997</f>
        <v>1961.49038</v>
      </c>
      <c r="U231" s="3">
        <f>2262.9+(120-350.9)+(0+(0-0))+0-69.8-0</f>
        <v>1962.2</v>
      </c>
      <c r="V231" s="3">
        <f>2299.5+(84.7-188.8)+(-1.172745+(-0.043197--0.096288))+0-84.7--0.0431969999999914</f>
        <v>2109.6235430000002</v>
      </c>
      <c r="W231" s="3">
        <f>2650.6+(102.4-306.9)+(-1.351806+(-0.052224--0.156519))+0-75.8--0.0386579999999923</f>
        <v>2369.0911469999996</v>
      </c>
      <c r="X231" s="3">
        <f>2712.5+(120.3-405.4)+(-6.916875+(-0.306765--1.03377))+0-53.3--0.135914999999992</f>
        <v>2368.0460449999996</v>
      </c>
      <c r="Y231" s="3">
        <f>2695.6+(134.7-404.7)+(-8.248536+(-0.412182--1.238382))+0-83.4--0.25520400000001</f>
        <v>2335.0328679999998</v>
      </c>
      <c r="Z231" s="3">
        <f>2703.6+(133.3-469.8)+(-4.136508+(-0.203949--0.718794))+0-87.1--0.133263000000005</f>
        <v>2276.5116000000003</v>
      </c>
      <c r="AA231" s="3">
        <f>2506+(133.6-388)+(-3.83418+(-0.204408--0.59364))+0-82.3--0.125919000000005</f>
        <v>2165.980971</v>
      </c>
      <c r="AB231" s="3">
        <f>2234.7+(114.8-217.5)+(-3.419091+(-0.175644--0.332775))+0-86.7--0.132651000000005</f>
        <v>2042.170691</v>
      </c>
      <c r="AC231" s="3">
        <f>1943.6+(109-103.6)+(-3.964944+(-0.22236--0.211344))+0-50.9--0.103835999999998</f>
        <v>1894.2278759999999</v>
      </c>
      <c r="AD231">
        <f t="shared" si="3"/>
        <v>47012.825527000001</v>
      </c>
      <c r="AE231" s="3">
        <f>2728+(106.6-356.3)+(0+(0-0))+0-94.6-0</f>
        <v>2383.7000000000003</v>
      </c>
    </row>
    <row r="232" spans="1:31" s="2" customFormat="1" x14ac:dyDescent="0.25">
      <c r="A232">
        <v>89</v>
      </c>
      <c r="B232">
        <v>8</v>
      </c>
      <c r="C232">
        <v>16</v>
      </c>
      <c r="D232">
        <v>2</v>
      </c>
      <c r="E232">
        <v>1</v>
      </c>
      <c r="F232" s="3">
        <f>1741.5+(171.6-30.6)+(-1.77633+(-0.175032--0.031212))+0-93.4--0.0952680000000149</f>
        <v>1787.275118</v>
      </c>
      <c r="G232" s="3">
        <f>1726+(133.3-49)+(-0.88026+(-0.067983--0.02499))+0-82.5--0.0420749999999916</f>
        <v>1726.9188220000001</v>
      </c>
      <c r="H232" s="3">
        <f>1664.3+(148.3-39.7)+(-2.546379+(-0.226899--0.060741))+0-76.8--0.117504000000004</f>
        <v>1693.5049669999999</v>
      </c>
      <c r="I232" s="3">
        <f>1636.2+(156.8-31.8)+(-1.668924+(-0.159936--0.032436))+0-83.1--0.0847620000000132</f>
        <v>1676.3883380000002</v>
      </c>
      <c r="J232" s="3">
        <f>1645.5+(176.4-39.8)+(1.67841+(0.179928-0.040596))+0-84.8-0.0864960000000135</f>
        <v>1699.0312459999998</v>
      </c>
      <c r="K232" s="3">
        <f>1688.7+(164.9-85.4)+(4.306185+(0.420495-0.21777))+0-64.9-0.165494999999991</f>
        <v>1707.643415</v>
      </c>
      <c r="L232" s="3">
        <f>1765.1+(139.1-127.5)+(-2.700603+(-0.212823--0.195075))+0-66.1--0.101133000000004</f>
        <v>1707.9827819999998</v>
      </c>
      <c r="M232" s="3">
        <f>1968.3+(135.3-196)+(-5.019165+(-0.345015--0.4998))+0-88.9--0.226694999999987</f>
        <v>1814.0623149999999</v>
      </c>
      <c r="N232" s="3">
        <f>2186.2+(135.4-337.7)+(3.344886+(0.207162-0.516681))+0-53.3-0.0815490000000031</f>
        <v>1933.5538179999999</v>
      </c>
      <c r="O232" s="3">
        <f>2374.2+(134.6-431.3)+(-3.632526+(-0.205938--0.659889))+0-76--0.116280000000004</f>
        <v>1998.4377050000001</v>
      </c>
      <c r="P232" s="3">
        <f>2454.7+(134.6-446)+(-1.251897+(-0.068646--0.22746))+0-76--0.0387599999999923</f>
        <v>2066.2456769999994</v>
      </c>
      <c r="Q232" s="3">
        <f>2458.3+(134-462.8)+(-1.253733+(-0.06834--0.236028))+0-77.8--0.0396779999999921</f>
        <v>2050.6536329999999</v>
      </c>
      <c r="R232" s="3">
        <f>2380.4+(133.6-446.7)+(-4.856016+(-0.272544--0.911268))+0-49--0.0999599999999979</f>
        <v>2014.1826680000004</v>
      </c>
      <c r="S232" s="3">
        <f>2392.7+(133.5-433)+(0+(0-0))+0-87-0</f>
        <v>2006.1999999999998</v>
      </c>
      <c r="T232" s="3">
        <f>2400+(133.8-474.9)+(2.448+(0.136476-0.484398))+0-77.5-0.0790500000000124</f>
        <v>1983.421028</v>
      </c>
      <c r="U232" s="3">
        <f>2394+(134.5-477.9)+(-2.44188+(-0.13719--0.487458))+0-67.5--0.0688500000000108</f>
        <v>1981.0772379999999</v>
      </c>
      <c r="V232" s="3">
        <f>2461.9+(134.7-383.4)+(-1.255569+(-0.068697--0.195534))+0-75.6--0.0385559999999923</f>
        <v>2136.5098240000002</v>
      </c>
      <c r="W232" s="3">
        <f>2757.4+(135.1-399.4)+(-1.406274+(-0.068901--0.203694))+0-88.8--0.045287999999991</f>
        <v>2403.0738069999998</v>
      </c>
      <c r="X232" s="3">
        <f>2900.5+(135.2-567.7)+(-1.479255+(-0.068952--0.289527))+0-78.5--0.040034999999992</f>
        <v>2388.2813550000001</v>
      </c>
      <c r="Y232" s="3">
        <f>2822.9+(134.5-535.3)+(-7.198395+(-0.342975--1.365015))+0-83.9--0.213944999999988</f>
        <v>2332.2375900000002</v>
      </c>
      <c r="Z232" s="3">
        <f>2753.6+(134.2-548.7)+(-7.02168+(-0.34221--1.399185))+0-63.1--0.160904999999991</f>
        <v>2270.1962000000003</v>
      </c>
      <c r="AA232" s="3">
        <f>2665.9+(133.4-539.4)+(-2.719218+(-0.136068--0.550188))+0-87.8--0.089556000000014</f>
        <v>2169.884458</v>
      </c>
      <c r="AB232" s="3">
        <f>2346.6+(113.2-293.7)+(-2.393532+(-0.115464--0.299574))+0-83.6--0.0852720000000133</f>
        <v>2080.3758499999999</v>
      </c>
      <c r="AC232" s="3">
        <f>2043.4+(106.8-119.8)+(-5.21067+(-0.27234--0.30549))+0-77.5--0.197624999999989</f>
        <v>1947.9201050000001</v>
      </c>
      <c r="AD232">
        <f t="shared" si="3"/>
        <v>47575.057958999991</v>
      </c>
      <c r="AE232" s="3">
        <f>2931+(135.8-576.9)+(0+(0-0))+0-81-0</f>
        <v>2408.9</v>
      </c>
    </row>
    <row r="233" spans="1:31" s="2" customFormat="1" x14ac:dyDescent="0.25">
      <c r="A233">
        <v>89</v>
      </c>
      <c r="B233">
        <v>8</v>
      </c>
      <c r="C233">
        <v>17</v>
      </c>
      <c r="D233">
        <v>3</v>
      </c>
      <c r="E233">
        <v>1</v>
      </c>
      <c r="F233" s="3">
        <f>1668.5+(227-31)+(-2.552805+(-0.34731--0.04743))+0-79.2--0.121176000000005</f>
        <v>1782.568491</v>
      </c>
      <c r="G233" s="3">
        <f>1624.2+(211.2-30.3)+(-3.313368+(-0.430848--0.061812))+0-84.6--0.172583999999996</f>
        <v>1716.99018</v>
      </c>
      <c r="H233" s="3">
        <f>1556.8+(236.9-30.5)+(-2.381904+(-0.362457--0.046665))+0-69.8--0.106794000000004</f>
        <v>1690.8090980000002</v>
      </c>
      <c r="I233" s="3">
        <f>1557.8+(216.1-32.1)+(-0.794478+(-0.110211--0.016371))+0-63.4--0.0323339999999936</f>
        <v>1677.5440159999998</v>
      </c>
      <c r="J233" s="3">
        <f>1556.7+(262.2-39.4)+(-0.793917+(-0.133722--0.020094))+0-86.7--0.0442169999999912</f>
        <v>1691.9366719999998</v>
      </c>
      <c r="K233" s="3">
        <f>1651+(213.8-63.8)+(0+(0-0))+0-80.1-0</f>
        <v>1720.9</v>
      </c>
      <c r="L233" s="3">
        <f>1778.6+(132.4-124)+(-1.814172+(-0.135048--0.12648))+0-78--0.0795600000000124</f>
        <v>1707.2568199999998</v>
      </c>
      <c r="M233" s="3">
        <f>2017.6+(133.5-276.2)+(-3.086928+(-0.204255--0.422586))+0-51.8--0.079254000000003</f>
        <v>1820.310657</v>
      </c>
      <c r="N233" s="3">
        <f>2110.4+(132-260.5)+(-2.152608+(-0.13464--0.26571))+0-54.1--0.0551820000000086</f>
        <v>1925.8336440000003</v>
      </c>
      <c r="O233" s="3">
        <f>2405.7+(130.5-415.8)+(0+(0-0))+0-89.4-0</f>
        <v>2030.9999999999995</v>
      </c>
      <c r="P233" s="3">
        <f>2438+(131.1-501.9)+(0+(0-0))+0-32-0</f>
        <v>2035.1999999999998</v>
      </c>
      <c r="Q233" s="3">
        <f>2378.4+(132.7-384.1)+(-3.638952+(-0.203031--0.587673))+0-79.6--0.121788000000005</f>
        <v>2044.2674780000002</v>
      </c>
      <c r="R233" s="3">
        <f>2286.8+(133.8-318.6)+(-5.83134+(-0.34119--0.81243))+0-72.4--0.18461999999999</f>
        <v>2024.42452</v>
      </c>
      <c r="S233" s="3">
        <f>2276.3+(133.2-328.1)+(1.160913+(0.067932-0.167331))+0-87.5-0.0446249999999911</f>
        <v>1994.9168890000001</v>
      </c>
      <c r="T233" s="3">
        <f>2265.3+(134.2-330.1)+(-2.310606+(-0.136884--0.336702))+0-91.8--0.0936360000000146</f>
        <v>1975.5828480000002</v>
      </c>
      <c r="U233" s="3">
        <f>2286.7+(135.5-351.3)+(0+(0-0))+0-78.5-0</f>
        <v>1992.3999999999996</v>
      </c>
      <c r="V233" s="3">
        <f>2369+(136.4-253.6)+(-1.20819+(-0.069564--0.129336))+0-83.4--0.0425339999999915</f>
        <v>2167.294116</v>
      </c>
      <c r="W233" s="3">
        <f>2613.6+(136.8-132.3)+(0+(0-0))+0-82.5-0</f>
        <v>2535.6</v>
      </c>
      <c r="X233" s="3">
        <f>2814.1+(135.5-470.4)+(-2.870382+(-0.13821--0.479808))+0-93.9--0.095778000000015</f>
        <v>2382.8669939999995</v>
      </c>
      <c r="Y233" s="3">
        <f>2707.5+(136.2-493.7)+(-6.904125+(-0.34731--1.258935))+0-58.4--0.148919999999992</f>
        <v>2285.7564200000002</v>
      </c>
      <c r="Z233" s="3">
        <f>2690.4+(135.8-516.4)+(-4.116312+(-0.207774--0.790092))+0-64.6--0.0988380000000037</f>
        <v>2241.7648440000003</v>
      </c>
      <c r="AA233" s="3">
        <f>2531.9+(133.9-407)+(-2.582538+(-0.136578--0.41514))+0-85.5--0.0872100000000136</f>
        <v>2171.0832340000002</v>
      </c>
      <c r="AB233" s="3">
        <f>2276.5+(112.9-219.6)+(-5.805075+(-0.287895--0.55998))+0-89.9--0.229244999999987</f>
        <v>2074.5962549999999</v>
      </c>
      <c r="AC233" s="3">
        <f>2006.3+(109.6-86.9)+(-4.092852+(-0.223584--0.177276))+0-86.5--0.176459999999996</f>
        <v>1938.5373</v>
      </c>
      <c r="AD233">
        <f t="shared" si="3"/>
        <v>47629.440475999989</v>
      </c>
      <c r="AE233" s="3">
        <f>2764+(136-336.4)+(0+(0-0))+0-24.4-0</f>
        <v>2539.1999999999998</v>
      </c>
    </row>
    <row r="234" spans="1:31" s="2" customFormat="1" x14ac:dyDescent="0.25">
      <c r="A234">
        <v>89</v>
      </c>
      <c r="B234">
        <v>8</v>
      </c>
      <c r="C234">
        <v>18</v>
      </c>
      <c r="D234">
        <v>4</v>
      </c>
      <c r="E234">
        <v>1</v>
      </c>
      <c r="F234" s="3">
        <f>1866.3+(108.2-67.8)+(-3.807252+(-0.220728--0.138312))+0-84.6--0.172583999999996</f>
        <v>1818.382916</v>
      </c>
      <c r="G234" s="3">
        <f>1749.6+(136.9-30.9)+(0+(0-0))+0-86.5-0</f>
        <v>1769.1</v>
      </c>
      <c r="H234" s="3">
        <f>1656.8+(192.7-29.9)+(-0.844968+(-0.098277--0.015249))+0-86.3--0.0440129999999912</f>
        <v>1732.416017</v>
      </c>
      <c r="I234" s="3">
        <f>1636.4+(215.9-32.8)+(1.669128+(0.220218-0.033456))+0-87-0.0887400000000139</f>
        <v>1734.2671500000001</v>
      </c>
      <c r="J234" s="3">
        <f>1701.9+(135.8-40.6)+(0.867969+(0.069258-0.020706))+0-74-0.0377399999999925</f>
        <v>1723.9787810000003</v>
      </c>
      <c r="K234" s="3">
        <f>1788.6+(121-79.1)+(0+(0-0))+0-85.9-0</f>
        <v>1744.6</v>
      </c>
      <c r="L234" s="3">
        <f>1876.4+(129.9-204.6)+(0.956964+(0.066249-0.104346))+0-73.6-0.0375359999999925</f>
        <v>1728.9813310000002</v>
      </c>
      <c r="M234" s="3">
        <f>1897+(133.8-170.5)+(0+(0-0))+0-25.4-0</f>
        <v>1834.8999999999999</v>
      </c>
      <c r="N234" s="3">
        <f>2250.9+(134.1-410.4)+(1.147959+(0.068391-0.209304))+0-21.8-0.0111179999999978</f>
        <v>1953.7959280000002</v>
      </c>
      <c r="O234" s="3">
        <f>2468.1+(132.5-580)+(-3.776193+(-0.202725--0.8874))+0-17.9--0.027387000000001</f>
        <v>1999.635869</v>
      </c>
      <c r="P234" s="3">
        <f>2478.5+(133.6-536.1)+(0+(0-0))+0-18.2-0</f>
        <v>2057.8000000000002</v>
      </c>
      <c r="Q234" s="3">
        <f>2476.7+(133.7-527.4)+(-6.315585+(-0.340935--1.34487))+0-19--0.0484499999999972</f>
        <v>2058.7367999999997</v>
      </c>
      <c r="R234" s="3">
        <f>2412.9+(134.4-491.8)+(0+(0-0))+0-19.4-0</f>
        <v>2036.1</v>
      </c>
      <c r="S234" s="3">
        <f>2211+(134.1-303)+(0+(0-0))+0-22.3-0</f>
        <v>2019.8</v>
      </c>
      <c r="T234" s="3">
        <f>2189.3+(133.8-318)+(1.116543+(0.068238-0.16218))+0-23.5-0.0119849999999976</f>
        <v>1982.6106159999999</v>
      </c>
      <c r="U234" s="3">
        <f>2189.2+(134.8-323.8)+(0+(0-0))+0-23.9-0</f>
        <v>1976.2999999999997</v>
      </c>
      <c r="V234" s="3">
        <f>2281.5+(135.7-252)+(2.32713+(0.138414-0.25704))+0-25.1-0.025602000000004</f>
        <v>2142.2829019999999</v>
      </c>
      <c r="W234" s="3">
        <f>2549.4+(133.5-254.7)+(1.300194+(0.068085-0.129897))+0-25.5-0.0130049999999974</f>
        <v>2403.9253770000005</v>
      </c>
      <c r="X234" s="3">
        <f>2730.9+(133.2-400.4)+(-4.178277+(-0.203796--0.612612))+0-81.9--0.125307000000005</f>
        <v>2378.1558460000001</v>
      </c>
      <c r="Y234" s="3">
        <f>2718.2+(133.1-438.3)+(-6.93141+(-0.339405--1.117665))+0-80.7--0.205784999999988</f>
        <v>2326.3526350000002</v>
      </c>
      <c r="Z234" s="3">
        <f>2661.4+(133.5-433.9)+(-1.357314+(-0.068085--0.221289))+0-79.3--0.040442999999992</f>
        <v>2280.5363329999996</v>
      </c>
      <c r="AA234" s="3">
        <f>2676.1+(133.4-533.9)+(-2.729622+(-0.136068--0.544578))+0-96.8--0.0987360000000154</f>
        <v>2176.5776239999996</v>
      </c>
      <c r="AB234" s="3">
        <f>2506.3+(111.5-454.4)+(-7.669278+(-0.34119--1.390464))+0-78.5--0.240210000000009</f>
        <v>2078.5202060000001</v>
      </c>
      <c r="AC234" s="3">
        <f>2312.7+(108.1-406.3)+(-5.897385+(-0.275655--1.036065))+0-88--0.224399999999987</f>
        <v>1921.5874249999999</v>
      </c>
      <c r="AD234">
        <f t="shared" si="3"/>
        <v>47879.343755999995</v>
      </c>
      <c r="AE234" s="3">
        <f>2728+(132.8-353)+(0+(0-0))+0-90-0</f>
        <v>2417.8000000000002</v>
      </c>
    </row>
    <row r="235" spans="1:31" s="2" customFormat="1" x14ac:dyDescent="0.25">
      <c r="A235">
        <v>89</v>
      </c>
      <c r="B235">
        <v>8</v>
      </c>
      <c r="C235">
        <v>19</v>
      </c>
      <c r="D235">
        <v>5</v>
      </c>
      <c r="E235">
        <v>1</v>
      </c>
      <c r="F235" s="3">
        <f>2231.1+(107.5-427)+(-3.413583+(-0.164475--0.65331))+0-95.3--0.145809000000005</f>
        <v>1813.5210610000001</v>
      </c>
      <c r="G235" s="3">
        <f>2223+(108.5-489.1)+(-2.26746+(-0.11067--0.498882))+0-81.3--0.082926000000013</f>
        <v>1759.3036780000002</v>
      </c>
      <c r="H235" s="3">
        <f>2088.4+(108.2-386.6)+(0+(0-0))+0-67.6-0</f>
        <v>1742.4</v>
      </c>
      <c r="I235" s="3">
        <f>1860.4+(108.6-154)+(-3.795216+(-0.221544--0.31416))+0-90.4--0.184415999999996</f>
        <v>1721.0818159999999</v>
      </c>
      <c r="J235" s="3">
        <f>1811.8+(108.5-88.2)+(4.62009+(0.276675-0.22491))+0-89.4-0.227969999999987</f>
        <v>1747.143885</v>
      </c>
      <c r="K235" s="3">
        <f>2007.5+(113.3-281.5)+(-3.071475+(-0.173349--0.430695))+0-86.9--0.132957000000005</f>
        <v>1749.7188279999998</v>
      </c>
      <c r="L235" s="3">
        <f>1992.5+(135-290.7)+(-5.080875+(-0.34425--0.741285))+0-90.2--0.230009999999987</f>
        <v>1742.14617</v>
      </c>
      <c r="M235" s="3">
        <f>2174.9+(133.9-378.3)+(-1.109199+(-0.068289--0.192933))+0-84--0.0428399999999915</f>
        <v>1845.5582850000001</v>
      </c>
      <c r="N235" s="3">
        <f>2203.9+(132.4-292.2)+(0+(0-0))+0-81.1-0</f>
        <v>1963.0000000000002</v>
      </c>
      <c r="O235" s="3">
        <f>2320.2+(131.6-323.7)+(0+(0-0))+0-95.8-0</f>
        <v>2032.3</v>
      </c>
      <c r="P235" s="3">
        <f>2430.5+(131-407.6)+(1.239555+(0.06681-0.207876))+0-83.2-0.0424319999999916</f>
        <v>2071.7560570000001</v>
      </c>
      <c r="Q235" s="3">
        <f>2476.2+(131.3-437)+(-7.577172+(-0.401778--1.33722))+0-83.4--0.25520400000001</f>
        <v>2080.7134740000001</v>
      </c>
      <c r="R235" s="3">
        <f>2401.7+(131.9-413.3)+(-2.449734+(-0.134538--0.421566))+0-82.1--0.0837420000000131</f>
        <v>2036.1210359999998</v>
      </c>
      <c r="S235" s="3">
        <f>2438+(132.5-455.8)+(0+(0-0))+0-98-0</f>
        <v>2016.6999999999998</v>
      </c>
      <c r="T235" s="3">
        <f>2464.5+(133.6-518.4)+(-2.51379+(-0.136272--0.528768))+0-83.7--0.0853740000000134</f>
        <v>1993.9640799999997</v>
      </c>
      <c r="U235" s="3">
        <f>2342.1+(133.5-416.7)+(-3.583413+(-0.204255--0.637551))+0-64.3--0.0983790000000037</f>
        <v>1991.548262</v>
      </c>
      <c r="V235" s="3">
        <f>2467.8+(137.7-381.2)+(1.258578+(0.070227-0.194412))+0-60.6-0.0309059999999939</f>
        <v>2164.8034870000001</v>
      </c>
      <c r="W235" s="3">
        <f>2725.6+(138-364.9)+(1.390056+(0.07038-0.186099))+0-78.1-0.0398309999999921</f>
        <v>2421.8345059999997</v>
      </c>
      <c r="X235" s="3">
        <f>2758.8+(139.2-427.7)+(0+(0-0))+0-91-0</f>
        <v>2379.3000000000002</v>
      </c>
      <c r="Y235" s="3">
        <f>2725.6+(138.2-454.7)+(-8.340336+(-0.422892--1.391382))+0-92.8--0.283968000000011</f>
        <v>2309.2121219999999</v>
      </c>
      <c r="Z235" s="3">
        <f>2733.4+(138-522.2)+(-2.788068+(-0.14076--0.532644))+0-86.9--0.0886380000000139</f>
        <v>2259.9924539999997</v>
      </c>
      <c r="AA235" s="3">
        <f>2634.6+(136.5-516.1)+(1.343646+(0.069615-0.263211))+0-91.3-0.0465629999999907</f>
        <v>2164.8034870000001</v>
      </c>
      <c r="AB235" s="3">
        <f>2410.6+(112.1-357.4)+(-4.917624+(-0.228684--0.729096))+0-86.3--0.176051999999996</f>
        <v>2074.7588399999995</v>
      </c>
      <c r="AC235" s="3">
        <f>2252.3+(106.8-317)+(-3.446019+(-0.163404--0.48501))+0-92.1--0.140913000000005</f>
        <v>1947.0165000000002</v>
      </c>
      <c r="AD235">
        <f t="shared" si="3"/>
        <v>48028.698027999999</v>
      </c>
      <c r="AE235" s="3">
        <f>2734+(139-419.2)+(0+(0-0))+0-98-0</f>
        <v>2355.8000000000002</v>
      </c>
    </row>
    <row r="236" spans="1:31" s="2" customFormat="1" x14ac:dyDescent="0.25">
      <c r="A236">
        <v>89</v>
      </c>
      <c r="B236">
        <v>8</v>
      </c>
      <c r="C236">
        <v>20</v>
      </c>
      <c r="D236">
        <v>6</v>
      </c>
      <c r="E236">
        <v>1</v>
      </c>
      <c r="F236" s="3">
        <f>1997.4+(106.5-231.7)+(-2.037348+(-0.10863--0.236334))+0-50--0.051000000000008</f>
        <v>1820.3413559999999</v>
      </c>
      <c r="G236" s="3">
        <f>1924.2+(106.5-176.2)+(-2.944026+(-0.162945--0.269586))+0-91.3--0.139689000000005</f>
        <v>1760.5023040000001</v>
      </c>
      <c r="H236" s="3">
        <f>1919.7+(106.7-234.8)+(-2.937141+(-0.163251--0.359244))+0-65--0.0994500000000038</f>
        <v>1723.9583019999998</v>
      </c>
      <c r="I236" s="3">
        <f>1843.3+(110.1-176.7)+(0.940083+(0.056151-0.090117))+0-83.6-0.0426359999999915</f>
        <v>1693.9634810000002</v>
      </c>
      <c r="J236" s="3">
        <f>1809.9+(133-137.3)+(2.769147+(0.20349-0.210069))+0-88-0.134640000000005</f>
        <v>1720.2279280000002</v>
      </c>
      <c r="K236" s="3">
        <f>1967.4+(141.9-286.9)+(2.006748+(0.144738-0.292638))+0-89.8-0.0915960000000143</f>
        <v>1734.3672520000002</v>
      </c>
      <c r="L236" s="3">
        <f>2092.6+(141.8-419.2)+(-1.067226+(-0.072318--0.213792))+0-95.5--0.0487049999999903</f>
        <v>1718.8229529999996</v>
      </c>
      <c r="M236" s="3">
        <f>2108.7+(141.6-349)+(3.226311+(0.216648-0.53397))+0-83.8-0.128214000000005</f>
        <v>1820.2807749999997</v>
      </c>
      <c r="N236" s="3">
        <f>2199.6+(141.6-337.3)+(3.365388+(0.216648-0.516069))+0-61.2-0.0936360000000035</f>
        <v>1945.6723309999998</v>
      </c>
      <c r="O236" s="3">
        <f>2239.3+(122.9-273.9)+(2.284086+(0.125358-0.279378))+0-80.3-0.0819060000000128</f>
        <v>2010.0481600000003</v>
      </c>
      <c r="P236" s="3">
        <f>2250.6+(123.1-276.7)+(3.443418+(0.188343-0.423351))+0-54.2-0.0829260000000031</f>
        <v>2045.9254840000001</v>
      </c>
      <c r="Q236" s="3">
        <f>2232.6+(114.7-212.3)+(-2.277252+(-0.116994--0.216546))+0-91--0.0928200000000145</f>
        <v>2041.9151199999999</v>
      </c>
      <c r="R236" s="3">
        <f>2192.2+(120.2-214.5)+(-2.236044+(-0.122604--0.21879))+0-75.7--0.0772140000000121</f>
        <v>2020.1373559999995</v>
      </c>
      <c r="S236" s="3">
        <f>2134.7+(123.8-219.7)+(-4.354788+(-0.252552--0.448188))+0-56.3--0.114851999999998</f>
        <v>1978.4556999999998</v>
      </c>
      <c r="T236" s="3">
        <f>2013.7+(138.8-127.6)+(-4.107948+(-0.283152--0.260304))+0-77.7--0.158507999999997</f>
        <v>1943.2277120000001</v>
      </c>
      <c r="U236" s="3">
        <f>2020.1+(141.4-189.6)+(-3.090753+(-0.216342--0.290088))+0-51.3--0.078489000000003</f>
        <v>1917.661482</v>
      </c>
      <c r="V236" s="3">
        <f>2132.5+(181.1-128.7)+(2.17515+(0.184722-0.131274))+0-96.4-0.0983280000000154</f>
        <v>2090.6302700000001</v>
      </c>
      <c r="W236" s="3">
        <f>2548.7+(141.9-257)+(-1.299837+(-0.072369--0.13107))+0-86.9--0.0443189999999912</f>
        <v>2345.5031829999998</v>
      </c>
      <c r="X236" s="3">
        <f>2535.7+(140.9-279)+(-6.466035+(-0.359295--0.71145))+0-80.2--0.204509999999988</f>
        <v>2311.4906300000002</v>
      </c>
      <c r="Y236" s="3">
        <f>2452.7+(141.7-248.7)+(-3.752631+(-0.216801--0.380511))+0-79.4--0.121482000000005</f>
        <v>2262.8325609999997</v>
      </c>
      <c r="Z236" s="3">
        <f>2259.3+(165-134.3)+(-1.152243+(-0.08415--0.068493))+0-88.1--0.0449309999999911</f>
        <v>2200.7770310000001</v>
      </c>
      <c r="AA236" s="3">
        <f>2213.6+(142.5-145.7)+(-3.386808+(-0.218025--0.222921))+0-91.3--0.139689000000005</f>
        <v>2115.8577770000002</v>
      </c>
      <c r="AB236" s="3">
        <f>2122.4+(142-134.2)+(-3.247272+(-0.21726--0.205326))+0-91--0.139230000000005</f>
        <v>2036.0800240000001</v>
      </c>
      <c r="AC236" s="3">
        <f>2024.3+(141.4-162.5)+(-4.129572+(-0.288456--0.3315))+0-77.6--0.158303999999997</f>
        <v>1921.6717760000001</v>
      </c>
      <c r="AD236">
        <f t="shared" si="3"/>
        <v>47180.350947999999</v>
      </c>
      <c r="AE236" s="3">
        <f>2572+(141.7-283.8)+(0+(0-0))+0-92.8-0</f>
        <v>2337.1</v>
      </c>
    </row>
    <row r="237" spans="1:31" s="2" customFormat="1" x14ac:dyDescent="0.25">
      <c r="A237">
        <v>89</v>
      </c>
      <c r="B237">
        <v>8</v>
      </c>
      <c r="C237">
        <v>21</v>
      </c>
      <c r="D237">
        <v>7</v>
      </c>
      <c r="E237">
        <v>1</v>
      </c>
      <c r="F237" s="3">
        <f>1865.6+(132.2-78.4)+(-2.854368+(-0.202266--0.119952))+0-87.5--0.133875000000005</f>
        <v>1829.0971929999998</v>
      </c>
      <c r="G237" s="3">
        <f>1810.9+(115.8-77.8)+(-2.770677+(-0.177174--0.119034))+0-97.7--0.149481000000006</f>
        <v>1748.5206639999999</v>
      </c>
      <c r="H237" s="3">
        <f>1751.1+(120.5-74.6)+(-1.786122+(-0.12291--0.076092))+0-77.1--0.0786420000000123</f>
        <v>1718.145702</v>
      </c>
      <c r="I237" s="3">
        <f>1654.1+(161.7-38.2)+(-2.530773+(-0.247401--0.058446))+0-78.4--0.119952000000005</f>
        <v>1696.6002239999998</v>
      </c>
      <c r="J237" s="3">
        <f>1656+(177-54)+(-0.84456+(-0.09027--0.02754))+0-72.9--0.0371789999999926</f>
        <v>1705.2298889999997</v>
      </c>
      <c r="K237" s="3">
        <f>1657.3+(195.9-68.7)+(-0.845223+(-0.099909--0.035037))+0-81.2--0.0414119999999918</f>
        <v>1702.431317</v>
      </c>
      <c r="L237" s="3">
        <f>1620.7+(188.5-85.1)+(-5.785899+(-0.672945--0.303807))+0-92.1--0.328797000000001</f>
        <v>1626.1737600000001</v>
      </c>
      <c r="M237" s="3">
        <f>1527.3+(234.7-57.6)+(0.778923+(0.119697-0.029376))+0-63.7-0.0324869999999935</f>
        <v>1641.5367569999999</v>
      </c>
      <c r="N237" s="3">
        <f>1882.4+(141.1-232.6)+(-2.880072+(-0.215883--0.355878))+0-71.9--0.110007000000004</f>
        <v>1716.3699300000001</v>
      </c>
      <c r="O237" s="3">
        <f>2128.9+(141.6-395.6)+(-2.171478+(-0.144432--0.403512))+0-79.5--0.0810900000000127</f>
        <v>1793.5686920000001</v>
      </c>
      <c r="P237" s="3">
        <f>2140.3+(140.1-353.2)+(-1.091553+(-0.071451--0.180132))+0-93.3--0.0475829999999905</f>
        <v>1832.9647110000003</v>
      </c>
      <c r="Q237" s="3">
        <f>2117.1+(140.7-331.4)+(-1.079721+(-0.071757--0.169014))+0-89.7--0.0457469999999909</f>
        <v>1835.7632829999998</v>
      </c>
      <c r="R237" s="3">
        <f>1935.9+(140.7-185.4)+(-3.949236+(-0.287028--0.378216))+0-82.7--0.168707999999996</f>
        <v>1804.8106599999999</v>
      </c>
      <c r="S237" s="3">
        <f>1840.9+(165.9-127.4)+(3.755436+(0.338436-0.259896))+0-97.3-0.198491999999996</f>
        <v>1785.735484</v>
      </c>
      <c r="T237" s="3">
        <f>1761.3+(195.1-105.7)+(-2.694789+(-0.298503--0.161721))+0-82.8--0.126684000000005</f>
        <v>1765.1951130000002</v>
      </c>
      <c r="U237" s="3">
        <f>1726.8+(190.2-113.6)+(-0.880668+(-0.097002--0.057936))+0-45.6--0.0232559999999954</f>
        <v>1756.9035219999998</v>
      </c>
      <c r="V237" s="3">
        <f>1913.1+(198.2-116.2)+(-0.975681+(-0.101082--0.059262))+0-86.2--0.0439619999999913</f>
        <v>1907.9264609999998</v>
      </c>
      <c r="W237" s="3">
        <f>2204+(194.1-124.4)+(-3.37212+(-0.296973--0.190332))+0-82.5--0.126225000000005</f>
        <v>2187.8474639999999</v>
      </c>
      <c r="X237" s="3">
        <f>2233.2+(169.2-150.1)+(-7.972524+(-0.604044--0.535857))+0-89.1--0.318087000000001</f>
        <v>2155.4773759999998</v>
      </c>
      <c r="Y237" s="3">
        <f>2057.8+(242.1-74.8)+(-3.148434+(-0.370413--0.114444))+0-93.4--0.142902000000005</f>
        <v>2128.4384990000003</v>
      </c>
      <c r="Z237" s="3">
        <f>2036.5+(232.1-77.8)+(-4.15446+(-0.473484--0.158712))+0-93.6--0.190943999999996</f>
        <v>2092.9217120000003</v>
      </c>
      <c r="AA237" s="3">
        <f>1954.6+(232.5-70.5)+(-1.993692+(-0.23715--0.07191))+0-90.7--0.0925140000000145</f>
        <v>2023.833582</v>
      </c>
      <c r="AB237" s="3">
        <f>1937.4+(189.2-86)+(-2.964222+(-0.289476--0.13158))+0-86.3--0.132039000000005</f>
        <v>1951.3099210000003</v>
      </c>
      <c r="AC237" s="3">
        <f>1829.7+(140.2-98.2)+(-2.799441+(-0.214506--0.150246))+0-51.2--0.078336000000003</f>
        <v>1817.714635</v>
      </c>
      <c r="AD237">
        <f t="shared" si="3"/>
        <v>44224.516551000001</v>
      </c>
      <c r="AE237" s="3">
        <f>2237+(141.7-175)+(0+(0-0))+0-28-0</f>
        <v>2175.6999999999998</v>
      </c>
    </row>
    <row r="238" spans="1:31" s="2" customFormat="1" x14ac:dyDescent="0.25">
      <c r="A238">
        <v>89</v>
      </c>
      <c r="B238">
        <v>8</v>
      </c>
      <c r="C238">
        <v>22</v>
      </c>
      <c r="D238">
        <v>1</v>
      </c>
      <c r="E238">
        <v>1</v>
      </c>
      <c r="F238" s="3">
        <f>1765+(113.6-88)+(1.8003+(0.115872-0.08976))+0-89.4-0.0911880000000143</f>
        <v>1702.9352239999996</v>
      </c>
      <c r="G238" s="3">
        <f>1683+(117-82.9)+(0+(0-0))+0-74.1-0</f>
        <v>1643</v>
      </c>
      <c r="H238" s="3">
        <f>1681.7+(119.5-81.8)+(0.857667+(0.060945-0.041718))+0-86.2-0.0439619999999913</f>
        <v>1634.0329320000001</v>
      </c>
      <c r="I238" s="3">
        <f>1587.2+(178-33)+(1.618944+(0.18156-0.03366))+0-99-0.100980000000016</f>
        <v>1634.8658640000001</v>
      </c>
      <c r="J238" s="3">
        <f>1509.2+(261.6-40.6)+(1.539384+(0.266832-0.041412))+0-80.3-0.0819060000000128</f>
        <v>1651.5828979999999</v>
      </c>
      <c r="K238" s="3">
        <f>1681.9+(158.3-118.4)+(-0.857769+(-0.080733--0.060384))+0-54.7--0.0278969999999945</f>
        <v>1666.249779</v>
      </c>
      <c r="L238" s="3">
        <f>1867.7+(141.3-208.8)+(-2.857581+(-0.216189--0.319464))+0-82.9--0.126837000000005</f>
        <v>1714.6725309999999</v>
      </c>
      <c r="M238" s="3">
        <f>2001.8+(140.8-266)+(-1.020918+(-0.071808--0.13566))+0-57.4--0.0292739999999942</f>
        <v>1818.2722079999999</v>
      </c>
      <c r="N238" s="3">
        <f>2160.8+(139.7-275.1)+(-2.204016+(-0.142494--0.280602))+0-96.3--0.0982260000000154</f>
        <v>1927.1323180000002</v>
      </c>
      <c r="O238" s="3">
        <f>2387.6+(139.1-442.8)+(-3.653028+(-0.212823--0.677484))+0-85.4--0.130662000000005</f>
        <v>1995.4422949999994</v>
      </c>
      <c r="P238" s="3">
        <f>2421.9+(138.5-416)+(0+(0-0))+0-86.4-0</f>
        <v>2058</v>
      </c>
      <c r="Q238" s="3">
        <f>2421.9+(139.7-409.4)+(-1.235169+(-0.071247--0.208794))+0-85.2--0.0434519999999914</f>
        <v>2065.9458300000006</v>
      </c>
      <c r="R238" s="3">
        <f>2401.5+(139.2-414.7)+(-4.89906+(-0.283968--0.845988))+0-87.2--0.177887999999996</f>
        <v>2034.640848</v>
      </c>
      <c r="S238" s="3">
        <f>2411.3+(140.3-439.9)+(-2.459526+(-0.143106--0.448698))+0-89.1--0.0908820000000142</f>
        <v>2020.5369480000004</v>
      </c>
      <c r="T238" s="3">
        <f>2416+(140.7-469)+(-1.23216+(-0.071757--0.23919))+0-87.2--0.0444719999999912</f>
        <v>1999.4797449999999</v>
      </c>
      <c r="U238" s="3">
        <f>2425.5+(140.8-512.8)+(1.237005+(0.071808-0.261528))+0-61.1-0.0311609999999938</f>
        <v>1993.4161240000003</v>
      </c>
      <c r="V238" s="3">
        <f>2434.7+(140.9-309.7)+(2.483394+(0.143718-0.315894))+0-72.1-0.0735420000000115</f>
        <v>2196.0376759999995</v>
      </c>
      <c r="W238" s="3">
        <f>2493.1+(153.9-140)+(0+(0-0))+0-77.2-0</f>
        <v>2429.8000000000002</v>
      </c>
      <c r="X238" s="3">
        <f>2554.7+(141.1-223.3)+(-1.302897+(-0.071961--0.113883))+0-83.3--0.0424829999999915</f>
        <v>2387.9815079999998</v>
      </c>
      <c r="Y238" s="3">
        <f>2565.3+(141.1-264.5)+(-5.233212+(-0.287844--0.53958))+0-83.4--0.170135999999996</f>
        <v>2353.6886600000003</v>
      </c>
      <c r="Z238" s="3">
        <f>2551.2+(141.6-333.3)+(-1.301112+(-0.072216--0.169983))+0-88.2--0.0449819999999911</f>
        <v>2270.1416370000002</v>
      </c>
      <c r="AA238" s="3">
        <f>2527.5+(139.9-382.2)+(-3.867075+(-0.214047--0.584766))+0-82.6--0.126378000000005</f>
        <v>2199.2300219999997</v>
      </c>
      <c r="AB238" s="3">
        <f>2388.5+(112.8-415.6)+(-6.090675+(-0.28764--1.05978))+0-30.8--0.0785399999999955</f>
        <v>2049.6600049999997</v>
      </c>
      <c r="AC238" s="3">
        <f>2279.7+(104.9-345.1)+(-5.813235+(-0.267495--0.880005))+0-91.9--0.234344999999987</f>
        <v>1942.6336199999998</v>
      </c>
      <c r="AD238">
        <f t="shared" si="3"/>
        <v>47389.378671999999</v>
      </c>
      <c r="AE238" s="3">
        <f>2537+(140.4-144.2)+(0+(0-0))+0-101.5-0</f>
        <v>2431.6999999999998</v>
      </c>
    </row>
    <row r="239" spans="1:31" s="2" customFormat="1" x14ac:dyDescent="0.25">
      <c r="A239">
        <v>89</v>
      </c>
      <c r="B239">
        <v>8</v>
      </c>
      <c r="C239">
        <v>23</v>
      </c>
      <c r="D239">
        <v>2</v>
      </c>
      <c r="E239">
        <v>1</v>
      </c>
      <c r="F239" s="3">
        <f>2003.6+(104.8-199.3)+(-4.087344+(-0.213792--0.406572))+0-74.9--0.152795999999997</f>
        <v>1830.458232</v>
      </c>
      <c r="G239" s="3">
        <f>1786.9+(132.7-77.8)+(-4.556595+(-0.338385--0.19839))+0-79.9--0.203744999999988</f>
        <v>1757.4071550000001</v>
      </c>
      <c r="H239" s="3">
        <f>1619.3+(212.1-33.3)+(-0.825843+(-0.108171--0.016983))+0-79.5--0.0405449999999919</f>
        <v>1717.723514</v>
      </c>
      <c r="I239" s="3">
        <f>1591.6+(218.8-35.4)+(-1.623432+(-0.223176--0.036108))+0-85.9--0.0876180000000137</f>
        <v>1687.3771179999999</v>
      </c>
      <c r="J239" s="3">
        <f>1587.6+(235.5-42.6)+(-1.619352+(-0.24021--0.043452))+0-60--0.0612000000000096</f>
        <v>1718.7450900000001</v>
      </c>
      <c r="K239" s="3">
        <f>1657.5+(214.8-72)+(2.535975+(0.328644-0.11016))+0-67.2-0.102816000000004</f>
        <v>1735.7516429999998</v>
      </c>
      <c r="L239" s="3">
        <f>1842.8+(141.9-196.8)+(0+(0-0))+0-45.7-0</f>
        <v>1742.1999999999998</v>
      </c>
      <c r="M239" s="3">
        <f>1970.3+(141.1-242.5)+(1.004853+(0.071961-0.123675))+0-20.5-0.0104549999999979</f>
        <v>1849.3426839999997</v>
      </c>
      <c r="N239" s="3">
        <f>2135.9+(140.1-246.4)+(-4.357236+(-0.285804--0.502656))+0-57.2--0.116687999999998</f>
        <v>1968.3763040000001</v>
      </c>
      <c r="O239" s="3">
        <f>2201.7+(139.4-255.2)+(0+(0-0))+0-53.7-0</f>
        <v>2032.1999999999996</v>
      </c>
      <c r="P239" s="3">
        <f>2259.7+(139.8-246.9)+(-1.152447+(-0.071298--0.125919))+0-71.4--0.0364139999999928</f>
        <v>2080.1385879999998</v>
      </c>
      <c r="Q239" s="3">
        <f>2247.5+(140.9-246.6)+(-3.438675+(-0.215577--0.377298))+0-75.8--0.115974000000004</f>
        <v>2062.8390199999999</v>
      </c>
      <c r="R239" s="3">
        <f>2122.2+(167.8-160.3)+(-4.329288+(-0.342312--0.327012))+0-78.8--0.160751999999997</f>
        <v>2046.7161639999999</v>
      </c>
      <c r="S239" s="3">
        <f>2036.4+(181.6-133.8)+(-2.077128+(-0.185232--0.136476))+0-65.3--0.0666060000000104</f>
        <v>2016.8407220000004</v>
      </c>
      <c r="T239" s="3">
        <f>2132.8+(141.2-192.9)+(-1.087728+(-0.072012--0.098379))+0-87.8--0.0447779999999911</f>
        <v>1992.2834170000003</v>
      </c>
      <c r="U239" s="3">
        <f>2092.2+(156.2-168.3)+(-2.134044+(-0.159324--0.171666))+0-71.3--0.0727260000000114</f>
        <v>2006.7510240000001</v>
      </c>
      <c r="V239" s="3">
        <f>2116.2+(236.8-86.4)+(0+(0-0))+0-59.7-0</f>
        <v>2206.9</v>
      </c>
      <c r="W239" s="3">
        <f>2334.9+(248.7-76.8)+(3.572397+(0.380511-0.117504))+0-74.3-0.113679000000004</f>
        <v>2436.2217249999999</v>
      </c>
      <c r="X239" s="3">
        <f>2327.2+(219.3-93.7)+(-4.747488+(-0.447372--0.191148))+0-82.9--0.169115999999996</f>
        <v>2365.0654039999995</v>
      </c>
      <c r="Y239" s="3">
        <f>2269.4+(199-119.7)+(-5.78697+(-0.50745--0.305235))+0-67.4--0.17186999999999</f>
        <v>2275.4826850000004</v>
      </c>
      <c r="Z239" s="3">
        <f>2282.7+(183.9-121.9)+(-2.328354+(-0.187578--0.124338))+0-85.3--0.0870060000000136</f>
        <v>2257.0954119999997</v>
      </c>
      <c r="AA239" s="3">
        <f>2272.8+(140.6-185.2)+(-3.477384+(-0.215118--0.283356))+0-78.9--0.120717000000005</f>
        <v>2146.011571</v>
      </c>
      <c r="AB239" s="3">
        <f>2125.6+(139.2-145.4)+(-4.336224+(-0.283968--0.296616))+0-54.4--0.110975999999998</f>
        <v>2060.7874000000002</v>
      </c>
      <c r="AC239" s="3">
        <f>1890+(177.7-76.3)+(-4.8195+(-0.453135--0.194565))+0-72.7--0.185384999999989</f>
        <v>1913.807315</v>
      </c>
      <c r="AD239">
        <f t="shared" si="3"/>
        <v>47906.52218700001</v>
      </c>
      <c r="AE239" s="3">
        <f>2333+(221-71.5)+(0+(0-0))+0-89.6-0</f>
        <v>2392.9</v>
      </c>
    </row>
    <row r="240" spans="1:31" s="2" customFormat="1" x14ac:dyDescent="0.25">
      <c r="A240">
        <v>89</v>
      </c>
      <c r="B240">
        <v>8</v>
      </c>
      <c r="C240">
        <v>24</v>
      </c>
      <c r="D240">
        <v>3</v>
      </c>
      <c r="E240">
        <v>1</v>
      </c>
      <c r="F240" s="3">
        <f>1826.7+(129.4-74.3)+(-4.658085+(-0.32997--0.189465))+0-72.8--0.185639999999989</f>
        <v>1804.3870499999998</v>
      </c>
      <c r="G240" s="3">
        <f>1834.3+(114.4-118.6)+(-3.741972+(-0.233376--0.241944))+0-82.1--0.167483999999996</f>
        <v>1744.43408</v>
      </c>
      <c r="H240" s="3">
        <f>1744.8+(130.3-69)+(-2.669544+(-0.199359--0.10557))+0-92.9--0.142137000000005</f>
        <v>1710.5788039999998</v>
      </c>
      <c r="I240" s="3">
        <f>1750.2+(120.1-119)+(0+(0-0))+0-43.4-0</f>
        <v>1707.8999999999999</v>
      </c>
      <c r="J240" s="3">
        <f>1693.4+(179.9-58.5)+(-0.863634+(-0.091749--0.029835))+0-89.7--0.0457469999999909</f>
        <v>1724.2201990000001</v>
      </c>
      <c r="K240" s="3">
        <f>1726.1+(177.5-82.1)+(2.640933+(0.271575-0.125613))+0-85.5-0.130815000000005</f>
        <v>1738.65608</v>
      </c>
      <c r="L240" s="3">
        <f>1900.5+(140.2-222.7)+(-0.969255+(-0.071502--0.113577))+0-72.4--0.0369239999999927</f>
        <v>1744.709744</v>
      </c>
      <c r="M240" s="3">
        <f>1946.2+(140.1-197.6)+(-1.985124+(-0.142902--0.201552))+0-55--0.0561000000000088</f>
        <v>1831.829626</v>
      </c>
      <c r="N240" s="3">
        <f>2043.3+(138.8-240.8)+(-1.042083+(-0.070788--0.122808))+0-18.8--0.00958799999999809</f>
        <v>1921.5195249999999</v>
      </c>
      <c r="O240" s="3">
        <f>2128.6+(138.4-242.2)+(-1.085586+(-0.070584--0.123522))+0-18.7--0.0095369999999981</f>
        <v>2005.0768889999997</v>
      </c>
      <c r="P240" s="3">
        <f>2167.3+(140.8-232.3)+(-2.210646+(-0.143616--0.236946))+0-25--0.025500000000004</f>
        <v>2048.7081840000005</v>
      </c>
      <c r="Q240" s="3">
        <f>2118+(141.3-183.1)+(-4.32072+(-0.288252--0.373524))+0-23--0.046919999999999</f>
        <v>2049.0114719999997</v>
      </c>
      <c r="R240" s="3">
        <f>1991.8+(188-128.3)+(-5.07909+(-0.4794--0.327165))+0-25--0.0637499999999964</f>
        <v>2021.3324250000001</v>
      </c>
      <c r="S240" s="3">
        <f>1988.1+(188.7-137)+(-1.013931+(-0.096237--0.06987))+0-51--0.0260099999999948</f>
        <v>1987.7857120000001</v>
      </c>
      <c r="T240" s="3">
        <f>1915.9+(227.2-100.8)+(-1.954218+(-0.231744--0.102816))+0-82--0.0836400000000131</f>
        <v>1958.3004940000003</v>
      </c>
      <c r="U240" s="3">
        <f>1969.8+(192.3-135)+(-1.004598+(-0.098073--0.06885))+0-77--0.0392699999999922</f>
        <v>1949.1054489999999</v>
      </c>
      <c r="V240" s="3">
        <f>2153.7+(261.4-73.4)+(0+(0-0))+0-78-0</f>
        <v>2263.6999999999998</v>
      </c>
      <c r="W240" s="3">
        <f>2351.5+(236.7-99.7)+(-3.597795+(-0.362151--0.152541))+0-103--0.157590000000006</f>
        <v>2381.8501849999998</v>
      </c>
      <c r="X240" s="3">
        <f>2358.2+(202.3-133.6)+(-6.01341+(-0.515865--0.34068))+0-95--0.242249999999986</f>
        <v>2325.9536549999993</v>
      </c>
      <c r="Y240" s="3">
        <f>2279.2+(212-127.2)+(-6.974352+(-0.64872--0.389232))+0-84--0.25704000000001</f>
        <v>2273.0232000000001</v>
      </c>
      <c r="Z240" s="3">
        <f>2201.6+(236.1-100.3)+(-3.368448+(-0.361233--0.153459))+0-91--0.139230000000005</f>
        <v>2242.9630080000002</v>
      </c>
      <c r="AA240" s="3">
        <f>2044.3+(235.1-96.8)+(-5.212965+(-0.599505--0.24684))+0-84--0.214199999999988</f>
        <v>2093.2485699999997</v>
      </c>
      <c r="AB240" s="3">
        <f>1824.7+(357.3-50)+(-3.722388+(-0.728892--0.102))+0-63--0.128519999999997</f>
        <v>2064.7792400000003</v>
      </c>
      <c r="AC240" s="3">
        <f>1760.4+(282.1-42.9)+(-4.48902+(-0.719355--0.109395))+0-102--0.260099999999985</f>
        <v>1892.7611200000001</v>
      </c>
      <c r="AD240">
        <f t="shared" si="3"/>
        <v>47485.834710999996</v>
      </c>
      <c r="AE240" s="3">
        <f>2372+(194.5-124.2)+(0+(0-0))+0-103-0</f>
        <v>2339.3000000000002</v>
      </c>
    </row>
    <row r="241" spans="1:31" s="2" customFormat="1" x14ac:dyDescent="0.25">
      <c r="A241">
        <v>89</v>
      </c>
      <c r="B241">
        <v>8</v>
      </c>
      <c r="C241">
        <v>25</v>
      </c>
      <c r="D241">
        <v>4</v>
      </c>
      <c r="E241">
        <v>1</v>
      </c>
      <c r="F241" s="3">
        <f>1704.3+(245.5-38.3)+(-4.345965+(-0.626025--0.097665))+0-87--0.221849999999987</f>
        <v>1819.8475249999999</v>
      </c>
      <c r="G241" s="3">
        <f>1533.6+(304.6-36.6)+(-0.782136+(-0.155346--0.018666))+0-70--0.0356999999999929</f>
        <v>1730.7168839999997</v>
      </c>
      <c r="H241" s="3">
        <f>1520.3+(309.9-35.6)+(-3.876765+(-0.790245--0.09078))+0-56--0.142799999999992</f>
        <v>1734.1665700000001</v>
      </c>
      <c r="I241" s="3">
        <f>1551.5+(285.2-38.8)+(1.58253+(0.290904-0.039576))+0-95-0.0969000000000152</f>
        <v>1704.636958</v>
      </c>
      <c r="J241" s="3">
        <f>1542.8+(308-51)+(0+(0-0))+0-105-0</f>
        <v>1694.8</v>
      </c>
      <c r="K241" s="3">
        <f>1607.3+(288.9-55)+(-0.819723+(-0.147339--0.02805))+0-85--0.0433499999999914</f>
        <v>1755.3043379999997</v>
      </c>
      <c r="L241" s="3">
        <f>1713+(228.5-75)+(0.87363+(0.116535-0.03825))+0-94-0.0479399999999905</f>
        <v>1773.4039750000002</v>
      </c>
      <c r="M241" s="3">
        <f>1728+(262.4-68)+(0.88128+(0.133824-0.03468))+0-92-0.0469199999999907</f>
        <v>1831.3335040000002</v>
      </c>
      <c r="N241" s="3">
        <f>1990.1+(155.3-191)+(3.044853+(0.237609-0.29223))+0-85-0.130050000000005</f>
        <v>1872.260182</v>
      </c>
      <c r="O241" s="3">
        <f>2180.9+(133.3-196.4)+(-3.336777+(-0.203949--0.300492))+0-71--0.108630000000004</f>
        <v>2043.6683960000003</v>
      </c>
      <c r="P241" s="3">
        <f>2225.6+(133-224.6)+(0+(0-0))+0-88-0</f>
        <v>2046</v>
      </c>
      <c r="Q241" s="3">
        <f>2212.4+(132.5-203.5)+(-3.384972+(-0.202725--0.311355))+0-86--0.131580000000005</f>
        <v>2052.2552380000002</v>
      </c>
      <c r="R241" s="3">
        <f>2112.8+(172.1-154.4)+(-4.310112+(-0.351084--0.314976))+0-106--0.216239999999995</f>
        <v>2020.3700200000001</v>
      </c>
      <c r="S241" s="3">
        <f>2082.4+(151.7-158)+(-1.062024+(-0.077367--0.08058))+0-94--0.0479399999999905</f>
        <v>1981.089129</v>
      </c>
      <c r="T241" s="3">
        <f>2084+(137.5-170.2)+(-3.18852+(-0.210375--0.260406))+0-81--0.123930000000005</f>
        <v>1967.2854410000002</v>
      </c>
      <c r="U241" s="3">
        <f>2097+(146.6-162.3)+(-5.34735+(-0.37383--0.413865))+0-110--0.280499999999984</f>
        <v>1966.2731850000002</v>
      </c>
      <c r="V241" s="3">
        <f>2116.6+(227-109.2)+(-4.317864+(-0.46308--0.222768))+0-91--0.185639999999996</f>
        <v>2139.0274640000002</v>
      </c>
      <c r="W241" s="3">
        <f>2366.3+(223.8-116.4)+(0+(0-0))+0-95-0</f>
        <v>2378.7000000000003</v>
      </c>
      <c r="X241" s="3">
        <f>2362.3+(206.8-133.4)+(-4.819092+(-0.421872--0.272136))+0-105--0.214199999999995</f>
        <v>2325.9453720000001</v>
      </c>
      <c r="Y241" s="3">
        <f>2362.1+(182.6-151.4)+(-7.228026+(-0.558756--0.463284))+0-104--0.318240000000012</f>
        <v>2282.2947419999996</v>
      </c>
      <c r="Z241" s="3">
        <f>2260.4+(178.1-144.6)+(-2.305608+(-0.181662--0.147492))+0-88--0.089760000000014</f>
        <v>2203.6499819999999</v>
      </c>
      <c r="AA241" s="3">
        <f>2151.6+(171.2-127.4)+(-3.291948+(-0.261936--0.194922))+0-101--0.154530000000006</f>
        <v>2091.1955680000001</v>
      </c>
      <c r="AB241" s="3">
        <f>1977.2+(228.8-65.1)+(-5.04186+(-0.58344--0.166005))+0-95--0.242249999999986</f>
        <v>2040.682955</v>
      </c>
      <c r="AC241" s="3">
        <f>1840.5+(221-54.6)+(0+(0-0))+0-100-0</f>
        <v>1906.9</v>
      </c>
      <c r="AD241">
        <f t="shared" si="3"/>
        <v>47361.807428000007</v>
      </c>
      <c r="AE241" s="3">
        <f>2385+(200.3-139)+(0+(0-0))+0-98-0</f>
        <v>2348.3000000000002</v>
      </c>
    </row>
    <row r="242" spans="1:31" s="2" customFormat="1" x14ac:dyDescent="0.25">
      <c r="A242">
        <v>89</v>
      </c>
      <c r="B242">
        <v>8</v>
      </c>
      <c r="C242">
        <v>26</v>
      </c>
      <c r="D242">
        <v>5</v>
      </c>
      <c r="E242">
        <v>3</v>
      </c>
      <c r="F242" s="3">
        <f>1578.6+(267.2-35.9)+(-3.220344+(-0.545088--0.073236))+0-100--0.203999999999996</f>
        <v>1706.4118039999998</v>
      </c>
      <c r="G242" s="3">
        <f>1533.5+(309.5-34.8)+(0+(0-0))+0-93-0</f>
        <v>1715.2</v>
      </c>
      <c r="H242" s="3">
        <f>1472.3+(348.3-32.9)+(-3.754365+(-0.888165--0.083895))+0-96--0.244799999999986</f>
        <v>1687.3861649999999</v>
      </c>
      <c r="I242" s="3">
        <f>1451+(354.6-36.5)+(-2.96004+(-0.723384--0.07446))+0-95--0.193799999999996</f>
        <v>1670.6848359999999</v>
      </c>
      <c r="J242" s="3">
        <f>1480.6+(321.2-42.2)+(2.265318+(0.491436-0.064566))+0-95-0.145350000000006</f>
        <v>1667.1468379999999</v>
      </c>
      <c r="K242" s="3">
        <f>1543.8+(289.2-67.4)+(-0.787338+(-0.147492--0.034374))+0-84.9--0.0432989999999914</f>
        <v>1679.8428429999997</v>
      </c>
      <c r="L242" s="3">
        <f>1520.5+(254.8-70.4)+(0.775455+(0.129948-0.035904))+0-97.4-0.0496739999999901</f>
        <v>1608.3198249999998</v>
      </c>
      <c r="M242" s="3">
        <f>1425.9+(374.9-67.4)+(-1.454418+(-0.382398--0.068748))+0-87.3--0.0890460000000139</f>
        <v>1644.4209780000001</v>
      </c>
      <c r="N242" s="3">
        <f>1565.5+(302-66.6)+(0+(0-0))+0-88.4-0</f>
        <v>1712.5</v>
      </c>
      <c r="O242" s="3">
        <f>1604.1+(326.2-67.2)+(-3.272364+(-0.665448--0.137088))+0-79.6--0.162383999999997</f>
        <v>1779.86166</v>
      </c>
      <c r="P242" s="3">
        <f>1654+(282.8-63.2)+(-2.53062+(-0.432684--0.096696))+0-47.1--0.0720630000000027</f>
        <v>1823.705455</v>
      </c>
      <c r="Q242" s="3">
        <f>1657+(341-59)+(-3.38028+(-0.69564--0.12036))+0-98.5--0.200939999999996</f>
        <v>1836.7453799999998</v>
      </c>
      <c r="R242" s="3">
        <f>1641.9+(311.9-60.7)+(-1.674738+(-0.318138--0.061914))+0-82.2--0.0838440000000131</f>
        <v>1809.0528820000002</v>
      </c>
      <c r="S242" s="3">
        <f>1559.7+(370.6-60.2)+(-1.590894+(-0.378012--0.061404))+0-79.5--0.0810900000000127</f>
        <v>1788.773588</v>
      </c>
      <c r="T242" s="3">
        <f>1512.7+(393.6-57.6)+(-0.771477+(-0.200736--0.029376))+0-82.7--0.0421769999999916</f>
        <v>1765.09934</v>
      </c>
      <c r="U242" s="3">
        <f>1520+(404.7-60.2)+(-0.7752+(-0.206397--0.030702))+0-92.3--0.0470729999999906</f>
        <v>1771.2961780000001</v>
      </c>
      <c r="V242" s="3">
        <f>1766.7+(419.3-71.4)+(-3.604068+(-0.855372--0.145656))+0-82.4--0.168095999999996</f>
        <v>2028.054312</v>
      </c>
      <c r="W242" s="3">
        <f>1894.1+(427.5-79.6)+(-2.897973+(-0.654075--0.121788))+0-46.3--0.0708390000000027</f>
        <v>2192.3405789999997</v>
      </c>
      <c r="X242" s="3">
        <f>1956.5+(402.3-78.5)+(-4.989075+(-1.025865--0.200175))+0-96.1--0.245054999999986</f>
        <v>2178.6302900000001</v>
      </c>
      <c r="Y242" s="3">
        <f>1963.7+(363.4-72.5)+(-2.002974+(-0.370668--0.07395))+0-95.6--0.0975120000000152</f>
        <v>2156.7978199999998</v>
      </c>
      <c r="Z242" s="3">
        <f>1963.8+(295.3-63.2)+(-2.003076+(-0.301206--0.064464))+0-75.8--0.0773160000000121</f>
        <v>2117.9374979999998</v>
      </c>
      <c r="AA242" s="3">
        <f>1949.4+(257.3-56.3)+(-3.976776+(-0.524892--0.114852))+0-87.9--0.179315999999996</f>
        <v>2058.2925</v>
      </c>
      <c r="AB242" s="3">
        <f>1857.1+(274-44.5)+(-4.735605+(-0.6987--0.113475))+0-87.5--0.223124999999987</f>
        <v>1994.0022949999998</v>
      </c>
      <c r="AC242" s="3">
        <f>1789.2+(253.9-58.1)+(-3.649968+(-0.517956--0.118524))+0-99.2--0.202367999999996</f>
        <v>1881.9529679999998</v>
      </c>
      <c r="AD242">
        <f t="shared" si="3"/>
        <v>44274.456034000003</v>
      </c>
      <c r="AE242" s="3">
        <f>1952+(393.2-76.8)+(0+(0-0))+0-97.9-0</f>
        <v>2170.5</v>
      </c>
    </row>
    <row r="243" spans="1:31" s="2" customFormat="1" x14ac:dyDescent="0.25">
      <c r="A243">
        <v>89</v>
      </c>
      <c r="B243">
        <v>8</v>
      </c>
      <c r="C243">
        <v>27</v>
      </c>
      <c r="D243">
        <v>6</v>
      </c>
      <c r="E243">
        <v>6</v>
      </c>
      <c r="F243" s="3">
        <f>1641.3+(235.8-46.9)+(-4.185315+(-0.60129--0.119595))+0-88.2--0.224909999999987</f>
        <v>1737.5579</v>
      </c>
      <c r="G243" s="3">
        <f>1562.3+(260.2-34.1)+(-3.187092+(-0.530808--0.069564))+0-87.6--0.178703999999996</f>
        <v>1697.3303679999999</v>
      </c>
      <c r="H243" s="3">
        <f>1403.8+(368.9-34.2)+(-2.863752+(-0.752556--0.069768))+0-78.7--0.160547999999997</f>
        <v>1656.414008</v>
      </c>
      <c r="I243" s="3">
        <f>1418.1+(352.9-33.6)+(1.446462+(0.359958-0.034272))+0-97.6-0.0995520000000156</f>
        <v>1641.4725960000001</v>
      </c>
      <c r="J243" s="3">
        <f>1498.1+(281.7-42.4)+(-2.292093+(-0.431001--0.064872))+0-84.9--0.129897000000005</f>
        <v>1649.9716749999998</v>
      </c>
      <c r="K243" s="3">
        <f>1498.1+(313.9-67.2)+(-0.764031+(-0.160089--0.034272))+0-86.4--0.0440639999999912</f>
        <v>1657.5542159999998</v>
      </c>
      <c r="L243" s="3">
        <f>1598.9+(226.8-87.8)+(-4.892634+(-0.694008--0.268668))+0-92.9--0.284274000000011</f>
        <v>1639.9663</v>
      </c>
      <c r="M243" s="3">
        <f>1646+(254.4-77.5)+(0+(0-0))+0-97.6-0</f>
        <v>1725.3000000000002</v>
      </c>
      <c r="N243" s="3">
        <f>1766.9+(271.4-87.6)+(-1.802238+(-0.276828--0.089352))+0-88--0.089760000000014</f>
        <v>1860.8000460000001</v>
      </c>
      <c r="O243" s="3">
        <f>1827.5+(289.2-78.3)+(1.86405+(0.294984-0.079866))+0-81.5-0.083130000000013</f>
        <v>1958.8960380000001</v>
      </c>
      <c r="P243" s="3">
        <f>1816.7+(310-77.4)+(-3.706068+(-0.6324--0.157896))+0-57.8--0.117911999999997</f>
        <v>1987.4373400000002</v>
      </c>
      <c r="Q243" s="3">
        <f>1861.1+(287.1-83.3)+(-3.796644+(-0.585684--0.169932))+0-46.7--0.095267999999998</f>
        <v>2014.0828720000002</v>
      </c>
      <c r="R243" s="3">
        <f>1859.4+(298-74.8)+(-2.844882+(-0.45594--0.114444))+0-84.6--0.129438000000005</f>
        <v>1994.9430600000001</v>
      </c>
      <c r="S243" s="3">
        <f>1836.2+(294.8-76.4)+(-2.809386+(-0.451044--0.116892))+0-97.5--0.149175000000006</f>
        <v>1954.1056370000001</v>
      </c>
      <c r="T243" s="3">
        <f>1793.7+(287.2-77)+(0.914787+(0.146472-0.03927))+0-86.9-0.0443189999999912</f>
        <v>1917.97767</v>
      </c>
      <c r="U243" s="3">
        <f>1797.1+(277.5-85.2)+(0.916521+(0.141525-0.043452))+0-76.4-0.0389639999999923</f>
        <v>1913.9756299999997</v>
      </c>
      <c r="V243" s="3">
        <f>2045.8+(281.8-88.4)+(0+(0-0))+0-80.5-0</f>
        <v>2158.6999999999998</v>
      </c>
      <c r="W243" s="3">
        <f>2257.3+(239.8-103.7)+(0+(0-0))+0-79.1-0</f>
        <v>2314.3000000000002</v>
      </c>
      <c r="X243" s="3">
        <f>2252.9+(212.3-128.6)+(-3.446937+(-0.324819--0.196758))+0-67.1--0.102663000000004</f>
        <v>2266.0276650000001</v>
      </c>
      <c r="Y243" s="3">
        <f>2252.7+(197.2-137.4)+(-2.297754+(-0.201144--0.140148))+0-95.5--0.0974100000000152</f>
        <v>2214.73866</v>
      </c>
      <c r="Z243" s="3">
        <f>2141.3+(250.3-84.1)+(-1.092063+(-0.127653--0.042891))+0-90.7--0.0462569999999908</f>
        <v>2215.6694320000001</v>
      </c>
      <c r="AA243" s="3">
        <f>2032.4+(266.4-60.4)+(-1.036524+(-0.135864--0.030804))+0-82.8--0.0422279999999916</f>
        <v>2154.5006439999997</v>
      </c>
      <c r="AB243" s="3">
        <f>1942.3+(264.6-44.3)+(-2.971719+(-0.404838--0.067779))+0-83.3--0.127449000000005</f>
        <v>2076.1186709999997</v>
      </c>
      <c r="AC243" s="3">
        <f>1851.3+(229.5-48.1)+(-1.888326+(-0.23409--0.049062))+0-96.8--0.0987360000000154</f>
        <v>1933.9253819999999</v>
      </c>
      <c r="AD243">
        <f t="shared" si="3"/>
        <v>46341.765810000004</v>
      </c>
      <c r="AE243" s="3">
        <f>2267+(228.1-120.9)+(0+(0-0))+0-100-0</f>
        <v>2274.1999999999998</v>
      </c>
    </row>
    <row r="244" spans="1:31" s="2" customFormat="1" x14ac:dyDescent="0.25">
      <c r="A244">
        <v>89</v>
      </c>
      <c r="B244">
        <v>8</v>
      </c>
      <c r="C244">
        <v>28</v>
      </c>
      <c r="D244">
        <v>7</v>
      </c>
      <c r="E244">
        <v>1</v>
      </c>
      <c r="F244" s="3">
        <f>1736.5+(205.7-48)+(-3.54246+(-0.419628--0.09792))+0-89--0.181559999999996</f>
        <v>1801.517392</v>
      </c>
      <c r="G244" s="3">
        <f>1644.7+(192.7-62.3)+(-4.193985+(-0.491385--0.158865))+0-52.7--0.134384999999992</f>
        <v>1718.0078799999999</v>
      </c>
      <c r="H244" s="3">
        <f>1625.3+(200.3-52)+(-4.144515+(-0.510765--0.1326))+0-86.9--0.221594999999987</f>
        <v>1682.3989149999998</v>
      </c>
      <c r="I244" s="3">
        <f>1594.6+(215.5-43.8)+(-0.813246+(-0.109905--0.022338))+0-90.4--0.0461039999999908</f>
        <v>1675.0452909999999</v>
      </c>
      <c r="J244" s="3">
        <f>1602.7+(217.6-52.4)+(1.634754+(0.221952-0.053448))+0-92.6-0.0944520000000148</f>
        <v>1677.008806</v>
      </c>
      <c r="K244" s="3">
        <f>1627.3+(235.3-81.7)+(-0.829923+(-0.120003--0.041667))+0-90.8--0.0463079999999908</f>
        <v>1689.238049</v>
      </c>
      <c r="L244" s="3">
        <f>1517.6+(245.6-69)+(-3.095904+(-0.501024--0.14076))+0-92.7--0.189107999999996</f>
        <v>1598.2329399999999</v>
      </c>
      <c r="M244" s="3">
        <f>1522.2+(268.6-69.7)+(2.328966+(0.410958-0.106641))+0-98.5-0.150705000000006</f>
        <v>1625.082578</v>
      </c>
      <c r="N244" s="3">
        <f>1628.1+(242.9-101.3)+(0+(0-0))+0-88.7-0</f>
        <v>1680.9999999999998</v>
      </c>
      <c r="O244" s="3">
        <f>1782.9+(185.8-171.1)+(-0.909279+(-0.094758--0.087261))+0-59.6--0.030395999999994</f>
        <v>1737.1136200000001</v>
      </c>
      <c r="P244" s="3">
        <f>1784.8+(241.3-129.9)+(0.910248+(0.123063-0.066249))+0-95.4-0.0486539999999903</f>
        <v>1801.718408</v>
      </c>
      <c r="Q244" s="3">
        <f>1784.6+(244.5-124.6)+(0.910146+(0.124695-0.063546))+0-95.8-0.0488579999999903</f>
        <v>1809.6224370000002</v>
      </c>
      <c r="R244" s="3">
        <f>1754.4+(250.6-121.9)+(-4.47372+(-0.63903--0.310845))+0-95.3--0.243014999999986</f>
        <v>1783.2411100000002</v>
      </c>
      <c r="S244" s="3">
        <f>1697.8+(271.8-101.9)+(-2.597634+(-0.415854--0.155907))+0-92.8--0.141984000000005</f>
        <v>1772.1844030000002</v>
      </c>
      <c r="T244" s="3">
        <f>1646.4+(278.9-87.3)+(0.839664+(0.142239-0.044523))+0-93.8-0.0478379999999905</f>
        <v>1745.0895420000002</v>
      </c>
      <c r="U244" s="3">
        <f>1632.1+(279.4-89.6)+(-3.329484+(-0.569976--0.182784))+0-66.3--0.135251999999997</f>
        <v>1752.0185759999999</v>
      </c>
      <c r="V244" s="3">
        <f>1827.4+(338.6-71.8)+(0.931974+(0.172686-0.036618))+0-68.3-0.0348329999999931</f>
        <v>2026.9332090000003</v>
      </c>
      <c r="W244" s="3">
        <f>1992.6+(321.5-67.1)+(0+(0-0))+0-87.1-0</f>
        <v>2159.9</v>
      </c>
      <c r="X244" s="3">
        <f>1961+(344.5-70.9)+(-4.00044+(-0.70278--0.144636))+0-99.8--0.203591999999996</f>
        <v>2130.4450079999997</v>
      </c>
      <c r="Y244" s="3">
        <f>1862.7+(394.1-71.2)+(-1.899954+(-0.401982--0.072624))+0-74.8--0.0762960000000119</f>
        <v>2108.646984</v>
      </c>
      <c r="Z244" s="3">
        <f>1850.9+(386.8-60.7)+(-1.887918+(-0.394536--0.061914))+0-95.9--0.0978180000000153</f>
        <v>2078.9772780000003</v>
      </c>
      <c r="AA244" s="3">
        <f>1834.5+(317.7-50)+(-0.935595+(-0.162027--0.0255))+0-91.6--0.0467159999999907</f>
        <v>2009.5745939999999</v>
      </c>
      <c r="AB244" s="3">
        <f>1826.1+(258.3-43.1)+(-2.793933+(-0.395199--0.065943))+0-99--0.151470000000006</f>
        <v>1939.3282810000001</v>
      </c>
      <c r="AC244" s="3">
        <f>1824.7+(171.7-74.4)+(0+(0-0))+0-91.8-0</f>
        <v>1830.2</v>
      </c>
      <c r="AD244">
        <f t="shared" si="3"/>
        <v>43832.525300999994</v>
      </c>
      <c r="AE244" s="3">
        <f>1989+(356-76.9)+(0+(0-0))+0-100-0</f>
        <v>2168.1</v>
      </c>
    </row>
    <row r="245" spans="1:31" s="2" customFormat="1" x14ac:dyDescent="0.25">
      <c r="A245">
        <v>89</v>
      </c>
      <c r="B245">
        <v>8</v>
      </c>
      <c r="C245">
        <v>29</v>
      </c>
      <c r="D245">
        <v>1</v>
      </c>
      <c r="E245">
        <v>1</v>
      </c>
      <c r="F245" s="3">
        <f>1712.9+(151.4-72.8)+(-3.494316+(-0.308856--0.148512))+0-77.1--0.157283999999997</f>
        <v>1710.9026240000001</v>
      </c>
      <c r="G245" s="3">
        <f>1565.8+(223-33.4)+(-2.395674+(-0.34119--0.051102))+0-96.1--0.147033000000006</f>
        <v>1656.7612709999999</v>
      </c>
      <c r="H245" s="3">
        <f>1466.7+(301.2-33.6)+(-2.244051+(-0.460836--0.051408))+0-94.2--0.144126000000005</f>
        <v>1637.5906469999998</v>
      </c>
      <c r="I245" s="3">
        <f>1526.2+(221.3-36.5)+(2.335086+(0.338589-0.055845))+0-77.4-0.118422000000004</f>
        <v>1636.0994079999998</v>
      </c>
      <c r="J245" s="3">
        <f>1605.7+(186.3-59.3)+(-2.456721+(-0.285039--0.090729))+0-86.5--0.132345000000005</f>
        <v>1643.6813139999999</v>
      </c>
      <c r="K245" s="3">
        <f>1621.3+(212.7-66.6)+(-0.826863+(-0.108477--0.033966))+0-94.3--0.0480929999999904</f>
        <v>1672.2467189999998</v>
      </c>
      <c r="L245" s="3">
        <f>1711.3+(209.4-110.3)+(-3.491052+(-0.427176--0.225012))+0-92.6--0.188903999999996</f>
        <v>1714.2956880000002</v>
      </c>
      <c r="M245" s="3">
        <f>1927.3+(158.7-176.1)+(2.948769+(0.242811-0.269433))+0-86.7-0.132651000000005</f>
        <v>1825.9894959999999</v>
      </c>
      <c r="N245" s="3">
        <f>2403.2+(143.7-512.7)+(1.225632+(0.073287-0.261477))+0-88-0.0448799999999911</f>
        <v>1947.192562</v>
      </c>
      <c r="O245" s="3">
        <f>2422.6+(144.1-445.5)+(-2.471052+(-0.146982--0.45441))+0-84.9--0.0865980000000135</f>
        <v>2034.222974</v>
      </c>
      <c r="P245" s="3">
        <f>2509.8+(143.4-424.2)+(0+(0-0))+0-89.4-0</f>
        <v>2139.6</v>
      </c>
      <c r="Q245" s="3">
        <f>2499.6+(143.6-492)+(0+(0-0))+0-71.2-0</f>
        <v>2080</v>
      </c>
      <c r="R245" s="3">
        <f>2282.6+(143.1-313.4)+(-4.656504+(-0.291924--0.639336))+0-91.5--0.186659999999996</f>
        <v>2016.6775679999998</v>
      </c>
      <c r="S245" s="3">
        <f>2253.1+(143.4-283.8)+(3.447243+(0.219402-0.434214))+0-84.2-0.128826000000005</f>
        <v>2031.6036049999996</v>
      </c>
      <c r="T245" s="3">
        <f>2235.9+(144-295.1)+(0+(0-0))+0-93-0</f>
        <v>1991.8000000000002</v>
      </c>
      <c r="U245" s="3">
        <f>2238.2+(144.8-285.7)+(-2.282964+(-0.147696--0.291414))+0-92.1--0.0939420000000147</f>
        <v>2003.1546959999996</v>
      </c>
      <c r="V245" s="3">
        <f>2496.4+(144.1-276.2)+(1.273164+(0.073491-0.140862))+0-48.7-0.0248369999999951</f>
        <v>2316.7809560000005</v>
      </c>
      <c r="W245" s="3">
        <f>2838+(144.9-500.1)+(-2.89476+(-0.147798--0.510102))+0-65.7--0.0670140000000105</f>
        <v>2414.6345580000007</v>
      </c>
      <c r="X245" s="3">
        <f>2830.9+(142.8-506.5)+(-4.331277+(-0.218484--0.774945))+0-93.1--0.142443000000005</f>
        <v>2370.4676270000004</v>
      </c>
      <c r="Y245" s="3">
        <f>2597.9+(142.3-449.5)+(-1.324929+(-0.072573--0.229245))+0-97.3--0.0496229999999901</f>
        <v>2192.2813660000002</v>
      </c>
      <c r="Z245" s="3">
        <f>2565.7+(142.7-366.5)+(-1.308507+(-0.072777--0.186915))+0-87.7--0.0447269999999911</f>
        <v>2253.050358</v>
      </c>
      <c r="AA245" s="3">
        <f>2468.1+(142.7-365.3)+(-2.517462+(-0.145554--0.372606))+0-89.7--0.0914940000000143</f>
        <v>2153.6010840000004</v>
      </c>
      <c r="AB245" s="3">
        <f>2207.8+(122.2-177.1)+(-1.125978+(-0.062322--0.090321))+0-89--0.045389999999991</f>
        <v>2062.8474109999997</v>
      </c>
      <c r="AC245" s="3">
        <f>2077.6+(117.6-183.5)+(-4.238304+(-0.239904--0.37434))+0-64.8--0.132191999999997</f>
        <v>1942.928324</v>
      </c>
      <c r="AD245">
        <f t="shared" si="3"/>
        <v>47448.410256000003</v>
      </c>
      <c r="AE245" s="3">
        <f>2861+(145.7-474.1)+(0+(0-0))+0-108.3-0</f>
        <v>2424.2999999999997</v>
      </c>
    </row>
    <row r="246" spans="1:31" s="2" customFormat="1" x14ac:dyDescent="0.25">
      <c r="A246">
        <v>89</v>
      </c>
      <c r="B246">
        <v>8</v>
      </c>
      <c r="C246">
        <v>30</v>
      </c>
      <c r="D246">
        <v>2</v>
      </c>
      <c r="E246">
        <v>1</v>
      </c>
      <c r="F246" s="3">
        <f>1720.2+(176.2-48.9)+(-0.877302+(-0.089862--0.024939))+0-35.6--0.0181559999999964</f>
        <v>1810.9759310000002</v>
      </c>
      <c r="G246" s="3">
        <f>1659.3+(221.3-37.8)+(-2.538729+(-0.338589--0.057834))+0-77.5--0.118575000000004</f>
        <v>1762.5990909999998</v>
      </c>
      <c r="H246" s="3">
        <f>1661.3+(185.6-36.8)+(-0.847263+(-0.094656--0.018768))+0-86.9--0.0443189999999912</f>
        <v>1722.3211679999999</v>
      </c>
      <c r="I246" s="3">
        <f>1633.9+(201-39.5)+(-0.833289+(-0.10251--0.020145))+0-84.8--0.0432479999999914</f>
        <v>1709.7275940000002</v>
      </c>
      <c r="J246" s="3">
        <f>1712.4+(157.6-67.8)+(3.493296+(0.321504-0.138312))+0-88.3-0.180131999999996</f>
        <v>1717.3963560000002</v>
      </c>
      <c r="K246" s="3">
        <f>1926.2+(135.2-225.4)+(0.982362+(0.068952-0.114954))+0-88.8-0.045287999999991</f>
        <v>1748.0910719999999</v>
      </c>
      <c r="L246" s="3">
        <f>2031.1+(144.2-326.1)+(0+(0-0))+0-89-0</f>
        <v>1760.1999999999998</v>
      </c>
      <c r="M246" s="3">
        <f>2054+(143.6-247.8)+(-3.14262+(-0.219708--0.379134))+0-83.3--0.127449000000005</f>
        <v>1863.6442550000002</v>
      </c>
      <c r="N246" s="3">
        <f>2245.5+(142.5-310.8)+(2.29041+(0.14535-0.317016))+0-84.9-0.0865980000000135</f>
        <v>1994.3321459999995</v>
      </c>
      <c r="O246" s="3">
        <f>2354.5+(140.7-331.8)+(-3.602385+(-0.215271--0.507654))+0-98.2--0.150246000000006</f>
        <v>2062.0402440000003</v>
      </c>
      <c r="P246" s="3">
        <f>2330+(140.9-334.8)+(1.1883+(0.071859-0.170748))+0-62.4-0.0318239999999937</f>
        <v>2074.7575869999996</v>
      </c>
      <c r="Q246" s="3">
        <f>2327.4+(141.3-309.7)+(-2.373948+(-0.144126--0.315894))+0-86.6--0.0883320000000138</f>
        <v>2070.2861519999997</v>
      </c>
      <c r="R246" s="3">
        <f>2307.8+(142.2-313.6)+(-5.88489+(-0.36261--0.79968))+0-89.6--0.228479999999987</f>
        <v>2041.5806600000003</v>
      </c>
      <c r="S246" s="3">
        <f>2234+(142-254.5)+(-1.13934+(-0.07242--0.129795))+0-93.7--0.0477869999999905</f>
        <v>2026.7658220000001</v>
      </c>
      <c r="T246" s="3">
        <f>2090.1+(181.4-172.4)+(-3.197853+(-0.277542--0.263772))+0-89.5--0.136935000000005</f>
        <v>2006.5253119999998</v>
      </c>
      <c r="U246" s="3">
        <f>2124.8+(154.3-192.6)+(1.083648+(0.078693-0.098226))+0-84.6-0.0431459999999914</f>
        <v>2002.9209690000002</v>
      </c>
      <c r="V246" s="3">
        <f>2296.9+(173.8-168.7)+(-1.171419+(-0.088638--0.086037))+0-89.1--0.045440999999991</f>
        <v>2211.7714210000004</v>
      </c>
      <c r="W246" s="3">
        <f>2432.3+(189.3-137.2)+(0+(0-0))+0-87.2-0</f>
        <v>2397.2000000000003</v>
      </c>
      <c r="X246" s="3">
        <f>2518.7+(144.7-211.2)+(-5.138148+(-0.295188--0.430848))+0-75.9--0.154835999999997</f>
        <v>2371.4523479999998</v>
      </c>
      <c r="Y246" s="3">
        <f>2445.1+(145.3-224.1)+(-4.988004+(-0.296412--0.457164))+0-95--0.193799999999996</f>
        <v>2266.6665479999997</v>
      </c>
      <c r="Z246" s="3">
        <f>2404.9+(144.9-198.8)+(-6.132495+(-0.369495--0.50694))+0-94.6--0.241229999999986</f>
        <v>2250.6461800000002</v>
      </c>
      <c r="AA246" s="3">
        <f>2322.3+(144.1-220)+(-3.553119+(-0.220473--0.3366))+0-93.3--0.142749000000005</f>
        <v>2149.8057570000001</v>
      </c>
      <c r="AB246" s="3">
        <f>2217.2+(118.9-230.7)+(-3.392316+(-0.181917--0.352971))+0-95.8--0.146574000000006</f>
        <v>2006.5253119999998</v>
      </c>
      <c r="AC246" s="3">
        <f>1971.2+(128.9-110.2)+(-3.015936+(-0.197217--0.168606))+0-89.7--0.137241000000005</f>
        <v>1897.292694</v>
      </c>
      <c r="AD246">
        <f t="shared" si="3"/>
        <v>47925.524619000011</v>
      </c>
      <c r="AE246" s="3">
        <f>2521+(144.4-177.5)+(0+(0-0))+0-93.6-0</f>
        <v>2394.3000000000002</v>
      </c>
    </row>
    <row r="247" spans="1:31" s="2" customFormat="1" x14ac:dyDescent="0.25">
      <c r="A247">
        <v>89</v>
      </c>
      <c r="B247">
        <v>9</v>
      </c>
      <c r="C247">
        <v>1</v>
      </c>
      <c r="D247">
        <v>3</v>
      </c>
      <c r="E247">
        <v>1</v>
      </c>
      <c r="F247" s="3">
        <f>1650.3+(266-40.2)+(-4.208265+(-0.6783--0.10251))+0-70.6--0.18002999999999</f>
        <v>1800.8959749999999</v>
      </c>
      <c r="G247" s="3">
        <f>1659.9+(206.3-38.2)+(-0.846549+(-0.105213--0.019482))+0-93.5--0.0476849999999905</f>
        <v>1733.615405</v>
      </c>
      <c r="H247" s="3">
        <f>1625.7+(175.6-57.1)+(-2.487321+(-0.268668--0.087363))+0-33--0.0504900000000019</f>
        <v>1708.5818640000002</v>
      </c>
      <c r="I247" s="3">
        <f>1546.2+(307.8-39.7)+(-0.788562+(-0.156978--0.020247))+0-101--0.0515099999999898</f>
        <v>1712.4262170000002</v>
      </c>
      <c r="J247" s="3">
        <f>1549.2+(299.1-48.3)+(0.790092+(0.152541-0.024633))+0-80.6-0.0411059999999918</f>
        <v>1720.2768940000001</v>
      </c>
      <c r="K247" s="3">
        <f>1796.7+(162.1-120.4)+(-2.748951+(-0.248013--0.184212))+0-85.8--0.131274000000005</f>
        <v>1749.9185220000002</v>
      </c>
      <c r="L247" s="3">
        <f>1910.9+(143.8-213.5)+(0+(0-0))+0-80.4-0</f>
        <v>1760.8</v>
      </c>
      <c r="M247" s="3">
        <f>1937+(143.9-214.6)+(-0.98787+(-0.073389--0.109446))+0-30.8--0.0157079999999969</f>
        <v>1834.563895</v>
      </c>
      <c r="N247" s="3">
        <f>2154.4+(142.6-233.3)+(-4.394976+(-0.290904--0.475932))+0-24.1--0.049163999999999</f>
        <v>2035.4392160000002</v>
      </c>
      <c r="O247" s="3">
        <f>2038.7+(154-184.1)+(-3.119211+(-0.23562--0.281673))+0-22--0.0336600000000013</f>
        <v>1983.5605020000003</v>
      </c>
      <c r="P247" s="3">
        <f>2012.7+(215.8-126.4)+(-2.052954+(-0.220116--0.128928))+0-20.3--0.0207060000000032</f>
        <v>2079.6765639999994</v>
      </c>
      <c r="Q247" s="3">
        <f>2008.6+(224.5-123.3)+(-2.048772+(-0.22899--0.125766))+0-20.2--0.0206040000000032</f>
        <v>2087.4686079999997</v>
      </c>
      <c r="R247" s="3">
        <f>2108.6+(153-188.9)+(-1.075386+(-0.07803--0.096339))+0-20.2--0.010301999999998</f>
        <v>2051.4532250000002</v>
      </c>
      <c r="S247" s="3">
        <f>2050+(178.8-164.8)+(-3.1365+(-0.273564--0.252144))+0-20.9--0.0319770000000012</f>
        <v>2039.9740569999999</v>
      </c>
      <c r="T247" s="3">
        <f>2051.5+(171.6-174.2)+(0+(0-0))+0-22.9-0</f>
        <v>2026</v>
      </c>
      <c r="U247" s="3">
        <f>1953.5+(224.7-130.6)+(0.996285+(0.114597-0.066606))+0-24.7-0.0125969999999975</f>
        <v>2023.931679</v>
      </c>
      <c r="V247" s="3">
        <f>2246.7+(182.5-180.8)+(0+(0-0))+0-24.2-0</f>
        <v>2224.1999999999998</v>
      </c>
      <c r="W247" s="3">
        <f>2436.2+(144.3-229.7)+(-1.242462+(-0.073593--0.117147))+0-24.2--0.0123419999999975</f>
        <v>2325.4134340000001</v>
      </c>
      <c r="X247" s="3">
        <f>2531.2+(144.3-284.1)+(-6.45456+(-0.367965--0.724455))+0-35.5--0.0905249999999948</f>
        <v>2349.8924549999997</v>
      </c>
      <c r="Y247" s="3">
        <f>2454.8+(143.8-193.8)+(-1.251948+(-0.073338--0.098838))+0-90.3--0.0460529999999908</f>
        <v>2313.3196050000001</v>
      </c>
      <c r="Z247" s="3">
        <f>2334.3+(160.1-154.1)+(-3.571479+(-0.244953--0.235773))+0-85.6--0.130968000000005</f>
        <v>2251.250309</v>
      </c>
      <c r="AA247" s="3">
        <f>2312+(143.8-239.6)+(-4.71648+(-0.293352--0.488784))+0-61.3--0.125051999999997</f>
        <v>2150.5040039999994</v>
      </c>
      <c r="AB247" s="3">
        <f>2253.5+(119.1-233.8)+(-4.59714+(-0.242964--0.476952))+0-88.7--0.180947999999996</f>
        <v>2045.9177960000002</v>
      </c>
      <c r="AC247" s="3">
        <f>1888.1+(123.9-78.1)+(-6.740517+(-0.442323--0.278817))+0-82.2--0.293454000000001</f>
        <v>1845.0894309999999</v>
      </c>
      <c r="AD247">
        <f t="shared" si="3"/>
        <v>47854.169657000006</v>
      </c>
      <c r="AE247" s="3">
        <f>2586+(144.3-282.8)+(0+(0-0))+0-24.8-0</f>
        <v>2422.6999999999998</v>
      </c>
    </row>
    <row r="248" spans="1:31" s="2" customFormat="1" x14ac:dyDescent="0.25">
      <c r="A248">
        <v>89</v>
      </c>
      <c r="B248">
        <v>9</v>
      </c>
      <c r="C248">
        <v>2</v>
      </c>
      <c r="D248">
        <v>4</v>
      </c>
      <c r="E248">
        <v>1</v>
      </c>
      <c r="F248" s="3">
        <f>1880.9+(116.2-124.8)+(-2.877777+(-0.177786--0.190944))+0-75--0.114750000000004</f>
        <v>1794.5501310000002</v>
      </c>
      <c r="G248" s="3">
        <f>1887.8+(116.6-169.5)+(-1.925556+(-0.118932--0.17289))+0-92.7--0.0945540000000148</f>
        <v>1740.4229559999999</v>
      </c>
      <c r="H248" s="3">
        <f>1692.7+(152.9-52)+(-2.589831+(-0.233937--0.07956))+0-84.9--0.129897000000005</f>
        <v>1706.085689</v>
      </c>
      <c r="I248" s="3">
        <f>1600.1+(204.9-41.7)+(-2.448153+(-0.313497--0.063801))+0-73.2--0.111996000000004</f>
        <v>1687.5141470000001</v>
      </c>
      <c r="J248" s="3">
        <f>1690.7+(149.6-66.9)+(0+(0-0))+0-74.6-0</f>
        <v>1698.8000000000002</v>
      </c>
      <c r="K248" s="3">
        <f>1825.2+(130.5-127.7)+(-3.723408+(-0.26622--0.260508))+0-96.9--0.197675999999996</f>
        <v>1727.5685559999999</v>
      </c>
      <c r="L248" s="3">
        <f>1914.5+(145.2-258)+(-0.976395+(-0.074052--0.13158))+0-80.7--0.0411569999999918</f>
        <v>1720.1222899999998</v>
      </c>
      <c r="M248" s="3">
        <f>2018.5+(144.9-271.9)+(-1.029435+(-0.073899--0.138669))+0-63.6--0.0324359999999935</f>
        <v>1826.9677710000001</v>
      </c>
      <c r="N248" s="3">
        <f>2246.5+(144.1-309.2)+(1.145715+(0.073491-0.157692))+0-92.6-0.0472259999999906</f>
        <v>1989.8142880000003</v>
      </c>
      <c r="O248" s="3">
        <f>2520.8+(142.1-594.5)+(-3.856824+(-0.217413--0.909585))+0-48.3--0.0738990000000028</f>
        <v>2017.0092470000002</v>
      </c>
      <c r="P248" s="3">
        <f>2537.7+(116.9-515.7)+(1.294227+(0.059619-0.263007))+0-95-0.0484499999999904</f>
        <v>2044.9423889999996</v>
      </c>
      <c r="Q248" s="3">
        <f>2548.5+(110.7-538)+(-5.19894+(-0.225828--1.09752))+0-71.8--0.146471999999997</f>
        <v>2045.2192239999997</v>
      </c>
      <c r="R248" s="3">
        <f>2511.8+(114.8-515.9)+(-1.281018+(-0.058548--0.263109))+0-86.7--0.0442169999999912</f>
        <v>2022.96776</v>
      </c>
      <c r="S248" s="3">
        <f>2520.4+(120.6-559.3)+(2.570808+(0.123012-0.570486))+0-83.6-0.0852720000000133</f>
        <v>2000.1380620000002</v>
      </c>
      <c r="T248" s="3">
        <f>2513.6+(125.5-579.9)+(2.563872+(0.12801-0.591498))+0-85.1-0.0868020000000136</f>
        <v>1976.1135819999997</v>
      </c>
      <c r="U248" s="3">
        <f>2537.7+(103.3-563.8)+(1.294227+(0.052683-0.287538))+0-93.5-0.0476849999999905</f>
        <v>1984.711687</v>
      </c>
      <c r="V248" s="3">
        <f>2583+(123.9-470)+(-2.63466+(-0.126378--0.4794))+0-91.2--0.0930240000000145</f>
        <v>2143.5113860000006</v>
      </c>
      <c r="W248" s="3">
        <f>2831.8+(144.1-468.4)+(1.444218+(0.073491-0.238884))+0-73.8-0.0376379999999925</f>
        <v>2434.9411869999999</v>
      </c>
      <c r="X248" s="3">
        <f>2867.8+(143.8-544.7)+(-4.387734+(-0.220014--0.833391))+0-71.5--0.109395000000004</f>
        <v>2391.7350380000003</v>
      </c>
      <c r="Y248" s="3">
        <f>2850.8+(143.3-554.9)+(-4.361724+(-0.219249--0.848997))+0-95.9--0.146727000000006</f>
        <v>2339.714751</v>
      </c>
      <c r="Z248" s="3">
        <f>2730.9+(143.6-529.5)+(-2.785518+(-0.146472--0.54009))+0-80--0.0816000000000128</f>
        <v>2262.6896999999999</v>
      </c>
      <c r="AA248" s="3">
        <f>2555.2+(144.2-454.5)+(-3.909456+(-0.220626--0.695385))+0-72.9--0.111537000000004</f>
        <v>2168.6768399999996</v>
      </c>
      <c r="AB248" s="3">
        <f>2291.8+(144.8-356.7)+(-4.675272+(-0.295392--0.727668))+0-92--0.187679999999996</f>
        <v>1983.8446840000001</v>
      </c>
      <c r="AC248" s="3">
        <f>2232.4+(144.5-396.1)+(-2.277048+(-0.14739--0.404022))+0-79.2--0.0807840000000126</f>
        <v>1899.6603680000001</v>
      </c>
      <c r="AD248">
        <f t="shared" si="3"/>
        <v>47607.721732999998</v>
      </c>
      <c r="AE248" s="3">
        <f>2880+(144-530.7)+(0+(0-0))+0-99-0</f>
        <v>2394.3000000000002</v>
      </c>
    </row>
    <row r="249" spans="1:31" s="2" customFormat="1" x14ac:dyDescent="0.25">
      <c r="A249">
        <v>89</v>
      </c>
      <c r="B249">
        <v>9</v>
      </c>
      <c r="C249">
        <v>3</v>
      </c>
      <c r="D249">
        <v>5</v>
      </c>
      <c r="E249">
        <v>1</v>
      </c>
      <c r="F249" s="3">
        <f>1942.2+(119-173.9)+(-3.962088+(-0.24276--0.354756))+0-83.5--0.170339999999996</f>
        <v>1800.1202479999999</v>
      </c>
      <c r="G249" s="3">
        <f>1841.8+(117.3-142.9)+(-2.817954+(-0.179469--0.218637))+0-77.7--0.118881000000004</f>
        <v>1735.840095</v>
      </c>
      <c r="H249" s="3">
        <f>1834.6+(117.5-149.3)+(-4.67823+(-0.299625--0.380715))+0-94.2--0.240209999999986</f>
        <v>1704.2430699999998</v>
      </c>
      <c r="I249" s="3">
        <f>1647.2+(151.1-86.5)+(-0.840072+(-0.077061--0.044115))+0-31--0.0158099999999969</f>
        <v>1679.9427920000001</v>
      </c>
      <c r="J249" s="3">
        <f>1753+(117-147.7)+(0+(0-0))+0-28.9-0</f>
        <v>1693.3999999999999</v>
      </c>
      <c r="K249" s="3">
        <f>1780.4+(125.8-144.8)+(-2.724012+(-0.192474--0.221544))+0-32--0.0489600000000018</f>
        <v>1726.7540180000001</v>
      </c>
      <c r="L249" s="3">
        <f>1898.3+(144.5-261.8)+(-2.904399+(-0.221085--0.400554))+0-29--0.0443700000000017</f>
        <v>1749.31944</v>
      </c>
      <c r="M249" s="3">
        <f>1940.3+(157-162.5)+(-2.968659+(-0.24021--0.248625))+0-93.9--0.143667000000005</f>
        <v>1838.0834229999998</v>
      </c>
      <c r="N249" s="3">
        <f>2301.7+(143.2-379.8)+(-2.347734+(-0.146064--0.387396))+0-81--0.0826200000000129</f>
        <v>1982.0762179999999</v>
      </c>
      <c r="O249" s="3">
        <f>2315.2+(142.5-336.4)+(0+(0-0))+0-87.3-0</f>
        <v>2033.9999999999998</v>
      </c>
      <c r="P249" s="3">
        <f>2301+(142.5-290.2)+(-2.34702+(-0.14535--0.296004))+0-80.4--0.0820080000000128</f>
        <v>2070.7856419999998</v>
      </c>
      <c r="Q249" s="3">
        <f>2285.9+(143.5-281.1)+(-2.331618+(-0.14637--0.286722))+0-86--0.0877200000000137</f>
        <v>2060.1964540000004</v>
      </c>
      <c r="R249" s="3">
        <f>2201.4+(142.7-210.8)+(-1.122714+(-0.072777--0.107508))+0-85--0.0433499999999914</f>
        <v>2047.2553670000002</v>
      </c>
      <c r="S249" s="3">
        <f>2161.8+(143.4-201.9)+(-2.205036+(-0.146268--0.205938))+0-84--0.0856800000000134</f>
        <v>2017.2403139999999</v>
      </c>
      <c r="T249" s="3">
        <f>2186.8+(144-286.1)+(-2.230536+(-0.14688--0.291822))+0-70--0.0714000000000112</f>
        <v>1972.6858060000004</v>
      </c>
      <c r="U249" s="3">
        <f>2203.1+(144.7-266.4)+(1.123581+(0.073797-0.135864))+0-65-0.0331499999999934</f>
        <v>2017.4283640000001</v>
      </c>
      <c r="V249" s="3">
        <f>2414.4+(142.7-268.5)+(0+(0-0))+0-70-0</f>
        <v>2218.6</v>
      </c>
      <c r="W249" s="3">
        <f>2690+(142.8-328.2)+(0+(0-0))+0-65-0</f>
        <v>2439.6</v>
      </c>
      <c r="X249" s="3">
        <f>2680.9+(143.4-411.3)+(-4.101777+(-0.219402--0.629289))+0-65.2--0.0997560000000038</f>
        <v>2344.2078660000002</v>
      </c>
      <c r="Y249" s="3">
        <f>2539.7+(143.5-314.5)+(-5.180988+(-0.29274--0.64158))+0-94.3--0.192371999999996</f>
        <v>2269.7602239999997</v>
      </c>
      <c r="Z249" s="3">
        <f>2239.1+(182-146.1)+(-6.851646+(-0.55692--0.447066))+0-84.5--0.25857000000001</f>
        <v>2183.7970700000001</v>
      </c>
      <c r="AA249" s="3">
        <f>2228+(147.6-168.9)+(-4.54512+(-0.301104--0.344556))+0-86.8--0.177071999999996</f>
        <v>2115.5754039999997</v>
      </c>
      <c r="AB249" s="3">
        <f>2120.9+(121.5-181.4)+(-2.163318+(-0.12393--0.185028))+0-81.8--0.083436000000013</f>
        <v>1977.1812159999999</v>
      </c>
      <c r="AC249" s="3">
        <f>2027.3+(132.6-145.9)+(-4.135692+(-0.270504--0.297636))+0-81.2--0.165647999999996</f>
        <v>1928.857088</v>
      </c>
      <c r="AD249">
        <f t="shared" si="3"/>
        <v>47606.950118999986</v>
      </c>
      <c r="AE249" s="3">
        <f>2700+(143.6-370)+(0+(0-0))+0-92.5-0</f>
        <v>2381.1</v>
      </c>
    </row>
    <row r="250" spans="1:31" s="2" customFormat="1" x14ac:dyDescent="0.25">
      <c r="A250">
        <v>89</v>
      </c>
      <c r="B250">
        <v>9</v>
      </c>
      <c r="C250">
        <v>4</v>
      </c>
      <c r="D250">
        <v>6</v>
      </c>
      <c r="E250">
        <v>3</v>
      </c>
      <c r="F250" s="3">
        <f>1825.5+(177.9-84.8)+(0+(0-0))+0-90.8-0</f>
        <v>1827.8</v>
      </c>
      <c r="G250" s="3">
        <f>1747.6+(144.2-101.7)+(0+(0-0))+0-60-0</f>
        <v>1730.1</v>
      </c>
      <c r="H250" s="3">
        <f>1747.6+(125.1-104.1)+(0+(0-0))+0-76-0</f>
        <v>1692.6</v>
      </c>
      <c r="I250" s="3">
        <f>1744.6+(124-103.8)+(0+(0-0))+0-90.4-0</f>
        <v>1674.3999999999999</v>
      </c>
      <c r="J250" s="3">
        <f>1667.3+(179.5-82.9)+(-0.850323+(-0.091545--0.042279))+0-84.7--0.0431969999999914</f>
        <v>1678.3436079999997</v>
      </c>
      <c r="K250" s="3">
        <f>1716.9+(166.7-121.4)+(2.626857+(0.255051-0.185742))+0-85.7-0.131121000000005</f>
        <v>1679.0650450000001</v>
      </c>
      <c r="L250" s="3">
        <f>1789.5+(145.1-234.7)+(0+(0-0))+0-85.1-0</f>
        <v>1614.8000000000002</v>
      </c>
      <c r="M250" s="3">
        <f>1860.6+(144.3-262.1)+(-1.897812+(-0.147186--0.267342))+0-51.5--0.0525300000000082</f>
        <v>1689.5748739999999</v>
      </c>
      <c r="N250" s="3">
        <f>1960.3+(142.5-358.2)+(-1.999506+(-0.14535--0.365364))+0-27.6--0.0281520000000044</f>
        <v>1715.2486600000002</v>
      </c>
      <c r="O250" s="3">
        <f>2141.9+(141-465.5)+(-3.277107+(-0.21573--0.712215))+0-31.7--0.0485010000000018</f>
        <v>1782.967879</v>
      </c>
      <c r="P250" s="3">
        <f>2179.6+(141.9-392.6)+(-2.223192+(-0.144738--0.400452))+0-94.4--0.0962880000000151</f>
        <v>1832.6288099999997</v>
      </c>
      <c r="Q250" s="3">
        <f>2171.4+(143.6-408.1)+(-2.214828+(-0.146472--0.416262))+0-83--0.0846600000000132</f>
        <v>1822.039622</v>
      </c>
      <c r="R250" s="3">
        <f>2070.7+(143.5-329.2)+(-5.280285+(-0.365925--0.83946))+0-85.7--0.218534999999988</f>
        <v>1794.7117849999997</v>
      </c>
      <c r="S250" s="3">
        <f>2089.6+(143.5-384.2)+(2.131392+(0.14637-0.391884))+0-85.2-0.0869040000000136</f>
        <v>1765.4989739999999</v>
      </c>
      <c r="T250" s="3">
        <f>2041.4+(143.3-363.7)+(-5.20557+(-0.365415--0.927435))+0-60.7--0.154784999999991</f>
        <v>1755.8112349999999</v>
      </c>
      <c r="U250" s="3">
        <f>1995.1+(143.9-259.9)+(0+(0-0))+0-79.1-0</f>
        <v>1800</v>
      </c>
      <c r="V250" s="3">
        <f>2089+(144.7-226.6)+(-3.19617+(-0.221391--0.346698))+0-42.9--0.0656370000000025</f>
        <v>1961.1947739999998</v>
      </c>
      <c r="W250" s="3">
        <f>2533.8+(144.6-452.8)+(1.292238+(0.073746-0.230928))+0-75.9-0.0387089999999923</f>
        <v>2150.7963470000004</v>
      </c>
      <c r="X250" s="3">
        <f>2539.1+(145.1-474)+(0+(0-0))+0-83.1-0</f>
        <v>2127.1</v>
      </c>
      <c r="Y250" s="3">
        <f>2483.8+(144.2-462.8)+(-6.33369+(-0.36771--1.18014))+0-80.6--0.205529999999988</f>
        <v>2079.2842700000006</v>
      </c>
      <c r="Z250" s="3">
        <f>2483.3+(144.1-482.8)+(-1.266483+(-0.073491--0.246228))+0-95.9--0.0489089999999903</f>
        <v>2047.6551630000004</v>
      </c>
      <c r="AA250" s="3">
        <f>2418.2+(142.4-495.5)+(-1.233282+(-0.072624--0.252705))+0-88.6--0.045185999999991</f>
        <v>1975.4919849999999</v>
      </c>
      <c r="AB250" s="3">
        <f>2292.2+(118.7-425.3)+(-2.338044+(-0.121074--0.433806))+0-83.7--0.0853740000000134</f>
        <v>1899.9600619999999</v>
      </c>
      <c r="AC250" s="3">
        <f>2207.6+(115.6-461.1)+(-4.503504+(-0.235824--0.940644))+0-41--0.0836399999999982</f>
        <v>1817.3849559999999</v>
      </c>
      <c r="AD250">
        <f t="shared" si="3"/>
        <v>43914.458049000001</v>
      </c>
      <c r="AE250" s="3">
        <f>2616+(146.1-519.6)+(0+(0-0))+0-91-0</f>
        <v>2151.5</v>
      </c>
    </row>
    <row r="251" spans="1:31" s="2" customFormat="1" x14ac:dyDescent="0.25">
      <c r="A251">
        <v>89</v>
      </c>
      <c r="B251">
        <v>9</v>
      </c>
      <c r="C251">
        <v>5</v>
      </c>
      <c r="D251">
        <v>7</v>
      </c>
      <c r="E251">
        <v>1</v>
      </c>
      <c r="F251" s="3">
        <f>2120.3+(116.6-416.1)+(-3.244059+(-0.178398--0.636633))+0-88.2--0.134946000000005</f>
        <v>1729.949122</v>
      </c>
      <c r="G251" s="3">
        <f>2102.2+(115.9-479.9)+(-3.216366+(-0.177327--0.734247))+0-76.7--0.117351000000004</f>
        <v>1658.957905</v>
      </c>
      <c r="H251" s="3">
        <f>1928.3+(115.9-351.7)+(-2.950299+(-0.177327--0.538101))+0-69.5--0.106335000000004</f>
        <v>1620.5168099999999</v>
      </c>
      <c r="I251" s="3">
        <f>1774.1+(120.2-212.6)+(-1.809582+(-0.122604--0.216852))+0-77.4--0.0789480000000123</f>
        <v>1602.6636139999998</v>
      </c>
      <c r="J251" s="3">
        <f>1717.8+(143-164)+(1.752156+(0.14586-0.16728))+0-90.4-0.0922080000000144</f>
        <v>1608.0385279999998</v>
      </c>
      <c r="K251" s="3">
        <f>1751+(143.2-212.3)+(0.89301+(0.073032-0.108273))+0-73.3-0.0373829999999926</f>
        <v>1609.420386</v>
      </c>
      <c r="L251" s="3">
        <f>1829.9+(143.5-342.3)+(-3.732996+(-0.29274--0.698292))+0-72.3--0.147491999999997</f>
        <v>1555.6200480000002</v>
      </c>
      <c r="M251" s="3">
        <f>1835.2+(143.5-326.7)+(-1.871904+(-0.14637--0.333234))+0-72.4--0.0738480000000115</f>
        <v>1577.9888079999998</v>
      </c>
      <c r="N251" s="3">
        <f>1858.1+(141.8-270.4)+(0.947631+(0.072318-0.137904))+0-86.4-0.0440639999999912</f>
        <v>1643.937981</v>
      </c>
      <c r="O251" s="3">
        <f>1907+(140.8-269.4)+(0+(0-0))+0-78.8-0</f>
        <v>1699.6000000000001</v>
      </c>
      <c r="P251" s="3">
        <f>1963.8+(139.9-281.4)+(-1.001538+(-0.071349--0.143514))+0-68.8--0.035087999999993</f>
        <v>1752.6057150000001</v>
      </c>
      <c r="Q251" s="3">
        <f>1959+(139.3-276)+(-7.99272+(-0.568344--1.12608))+0-67.4--0.274991999999994</f>
        <v>1747.7400079999998</v>
      </c>
      <c r="R251" s="3">
        <f>1972.5+(139.4-283.8)+(-3.017925+(-0.213282--0.434214))+0-83.5--0.127755000000005</f>
        <v>1741.930762</v>
      </c>
      <c r="S251" s="3">
        <f>1923.2+(139.7-264.9)+(-1.961664+(-0.142494--0.270198))+0-79--0.0805800000000126</f>
        <v>1717.2466200000001</v>
      </c>
      <c r="T251" s="3">
        <f>1904.4+(140.8-304.6)+(-0.971244+(-0.071808--0.155346))+0-53.6--0.0273359999999946</f>
        <v>1686.1396300000004</v>
      </c>
      <c r="U251" s="3">
        <f>1875+(143.3-246.3)+(-1.9125+(-0.146166--0.251226))+0-62.9--0.06415800000001</f>
        <v>1707.3567179999998</v>
      </c>
      <c r="V251" s="3">
        <f>2068.5+(153.1-193.6)+(0+(0-0))+0-83.8-0</f>
        <v>1944.2</v>
      </c>
      <c r="W251" s="3">
        <f>2466.2+(143.5-413.1)+(-1.257762+(-0.073185--0.210681))+0-61.4--0.0313139999999938</f>
        <v>2134.1110479999998</v>
      </c>
      <c r="X251" s="3">
        <f>2482.9+(143.9-412.8)+(-1.266279+(-0.073389--0.210528))+0-75.9--0.0387089999999923</f>
        <v>2137.0095689999998</v>
      </c>
      <c r="Y251" s="3">
        <f>2472.6+(143.6-430.1)+(-3.783078+(-0.219708--0.658053))+0-82.5--0.126225000000005</f>
        <v>2100.381492</v>
      </c>
      <c r="Z251" s="3">
        <f>2297.4+(143.8-307.8)+(-2.343348+(-0.146676--0.313956))+0-83.8--0.0854760000000134</f>
        <v>2047.5094079999999</v>
      </c>
      <c r="AA251" s="3">
        <f>2272.2+(143.9-344.1)+(-4.635288+(-0.293556--0.701964))+0-84.5--0.172379999999996</f>
        <v>1983.4454999999998</v>
      </c>
      <c r="AB251" s="3">
        <f>2156.5+(119-314.4)+(-3.299445+(-0.18207--0.481032))+0-71.8--0.109854000000004</f>
        <v>1886.409371</v>
      </c>
      <c r="AC251" s="3">
        <f>1921.9+(116-269.8)+(-5.881014+(-0.35496--0.825588))+0-81.1--0.248166000000009</f>
        <v>1681.8377800000003</v>
      </c>
      <c r="AD251">
        <f t="shared" si="3"/>
        <v>42574.616823000004</v>
      </c>
      <c r="AE251" s="3">
        <f>2475+(144.6-406.8)+(0+(0-0))+0-90-0</f>
        <v>2122.8000000000002</v>
      </c>
    </row>
    <row r="252" spans="1:31" s="2" customFormat="1" x14ac:dyDescent="0.25">
      <c r="A252">
        <v>89</v>
      </c>
      <c r="B252">
        <v>9</v>
      </c>
      <c r="C252">
        <v>6</v>
      </c>
      <c r="D252">
        <v>1</v>
      </c>
      <c r="E252">
        <v>1</v>
      </c>
      <c r="F252" s="3">
        <f>1734.6+(134.5-101.8)+(0+(0-0))+0-78-0</f>
        <v>1689.3</v>
      </c>
      <c r="G252" s="3">
        <f>1692.5+(127.9-106)+(0+(0-0))+0-77.7-0</f>
        <v>1636.7</v>
      </c>
      <c r="H252" s="3">
        <f>1695.8+(117.2-116.1)+(0.864858+(0.059772-0.059211))+0-85.1-0.0434009999999914</f>
        <v>1612.622018</v>
      </c>
      <c r="I252" s="3">
        <f>1690.8+(121.2-148.1)+(1.724616+(0.123624-0.151062))+0-64-0.0652800000000102</f>
        <v>1601.5318979999997</v>
      </c>
      <c r="J252" s="3">
        <f>1734.9+(143.6-188.9)+(0+(0-0))+0-77.9-0</f>
        <v>1611.7</v>
      </c>
      <c r="K252" s="3">
        <f>1845.8+(144.3-265.1)+(-1.882716+(-0.147186--0.270402))+0-81.3--0.082926000000013</f>
        <v>1642.0234260000002</v>
      </c>
      <c r="L252" s="3">
        <f>1972.5+(144.6-357.6)+(-5.029875+(-0.36873--0.91188))+0-85.4--0.217769999999988</f>
        <v>1669.8310449999999</v>
      </c>
      <c r="M252" s="3">
        <f>2042.7+(143.8-397.5)+(1.041777+(0.073338-0.202725))+0-22.9-0.0116789999999977</f>
        <v>1767.0007109999999</v>
      </c>
      <c r="N252" s="3">
        <f>2180.2+(142.4-422.7)+(0+(0-0))+0-17.5-0</f>
        <v>1882.3999999999999</v>
      </c>
      <c r="O252" s="3">
        <f>2447.1+(142.4-577.7)+(3.744063+(0.217872-0.883881))+0-15.1-0.0231030000000009</f>
        <v>1999.7549509999999</v>
      </c>
      <c r="P252" s="3">
        <f>2432.6+(141.6-519.6)+(0+(0-0))+0-32.3-0</f>
        <v>2022.3</v>
      </c>
      <c r="Q252" s="3">
        <f>2373.3+(142.4-432.8)+(-1.210383+(-0.072624--0.220728))+0-73.7--0.0375869999999925</f>
        <v>2008.1753079999999</v>
      </c>
      <c r="R252" s="3">
        <f>2401.4+(142.8-481.2)+(-1.224714+(-0.072828--0.245412))+0-56.1--0.0286109999999943</f>
        <v>2005.876481</v>
      </c>
      <c r="S252" s="3">
        <f>2404.8+(143.9-494)+(-1.226448+(-0.073389--0.25194))+0-81.4--0.0415139999999917</f>
        <v>1972.2936170000003</v>
      </c>
      <c r="T252" s="3">
        <f>2380+(144-499.9)+(-2.4276+(-0.14688--0.509898))+0-80--0.0816000000000128</f>
        <v>1942.1170179999999</v>
      </c>
      <c r="U252" s="3">
        <f>2266.1+(144.2-406.6)+(-1.155711+(-0.073542--0.207366))+0-86.9--0.0443189999999912</f>
        <v>1915.8224319999997</v>
      </c>
      <c r="V252" s="3">
        <f>2441+(143.8-277.1)+(-2.48982+(-0.146676--0.282642))+0-81.1--0.0827220000000129</f>
        <v>2224.3288680000001</v>
      </c>
      <c r="W252" s="3">
        <f>2660+(143.3-370.1)+(2.7132+(0.146166-0.377502))+0-74.6-0.0760920000000119</f>
        <v>2361.005772</v>
      </c>
      <c r="X252" s="3">
        <f>2625.8+(144.5-361.8)+(-2.678316+(-0.14739--0.369036))+0-85.1--0.0868020000000136</f>
        <v>2321.0301319999999</v>
      </c>
      <c r="Y252" s="3">
        <f>2584.2+(144.7-395.5)+(-5.271768+(-0.295188--0.80682))+0-68--0.138719999999997</f>
        <v>2260.7785839999997</v>
      </c>
      <c r="Z252" s="3">
        <f>2555.3+(144.1-446.9)+(-6.516015+(-0.367455--1.139595))+0-69--0.17594999999999</f>
        <v>2177.9320749999997</v>
      </c>
      <c r="AA252" s="3">
        <f>2486.7+(144.1-468.2)+(1.268217+(0.073491-0.238782))+0-83.5-0.0425849999999915</f>
        <v>2080.1603409999998</v>
      </c>
      <c r="AB252" s="3">
        <f>2467.7+(144.2-472)+(-5.034108+(-0.294168--0.96288))+0-93.1--0.189923999999996</f>
        <v>2042.6245279999996</v>
      </c>
      <c r="AC252" s="3">
        <f>2243.7+(125.5-427.4)+(-3.432861+(-0.192015--0.653922))+0-82.6--0.126378000000005</f>
        <v>1856.3554239999999</v>
      </c>
      <c r="AD252">
        <f t="shared" si="3"/>
        <v>46303.664628999999</v>
      </c>
      <c r="AE252" s="3">
        <f>2668+(144.1-353.8)+(0+(0-0))+0-88.9-0</f>
        <v>2369.4</v>
      </c>
    </row>
    <row r="253" spans="1:31" s="2" customFormat="1" x14ac:dyDescent="0.25">
      <c r="A253">
        <v>89</v>
      </c>
      <c r="B253">
        <v>9</v>
      </c>
      <c r="C253">
        <v>7</v>
      </c>
      <c r="D253">
        <v>2</v>
      </c>
      <c r="E253">
        <v>1</v>
      </c>
      <c r="F253" s="3">
        <f>1928.4+(119.3-190)+(-0.983484+(-0.060843--0.0969))+0-72.7--0.0370769999999926</f>
        <v>1784.0896499999999</v>
      </c>
      <c r="G253" s="3">
        <f>1681.5+(165.4-79.8)+(-4.287825+(-0.42177--0.20349))+0-72--0.18359999999999</f>
        <v>1690.777495</v>
      </c>
      <c r="H253" s="3">
        <f>1689.8+(150.9-81.6)+(-0.861798+(-0.076959--0.041616))+0-87.8--0.0447779999999911</f>
        <v>1670.447637</v>
      </c>
      <c r="I253" s="3">
        <f>1680.4+(143.7-97.7)+(-0.857004+(-0.073287--0.049827))+0-80.9--0.0412589999999918</f>
        <v>1644.660795</v>
      </c>
      <c r="J253" s="3">
        <f>1657.6+(157.6-97.3)+(-1.690752+(-0.160752--0.099246))+0-59--0.0601800000000094</f>
        <v>1657.2079219999998</v>
      </c>
      <c r="K253" s="3">
        <f>1812.3+(136.2-179.6)+(0+(0-0))+0-90.8-0</f>
        <v>1678.1</v>
      </c>
      <c r="L253" s="3">
        <f>1891.9+(144.4-247.3)+(-3.859476+(-0.294576--0.504492))+0-84--0.171359999999996</f>
        <v>1701.5218</v>
      </c>
      <c r="M253" s="3">
        <f>1916.1+(144.4-226.4)+(-0.977211+(-0.073644--0.115464))+0-50.3--0.0256529999999949</f>
        <v>1782.8902619999999</v>
      </c>
      <c r="N253" s="3">
        <f>2218+(144-432)+(0+(0-0))+0-33-0</f>
        <v>1897</v>
      </c>
      <c r="O253" s="3">
        <f>2291+(144-326.2)+(1.16841+(0.07344-0.166362))+0-87-0.0443699999999912</f>
        <v>2022.8311180000001</v>
      </c>
      <c r="P253" s="3">
        <f>2266.2+(142-278.1)+(2.311524+(0.14484-0.283662))+0-86-0.0877200000000137</f>
        <v>2046.1849819999998</v>
      </c>
      <c r="Q253" s="3">
        <f>2249.2+(143.1-256.2)+(0+(0-0))+0-82.5-0</f>
        <v>2053.6</v>
      </c>
      <c r="R253" s="3">
        <f>2160.9+(142.8-195.4)+(-5.510295+(-0.36414--0.49827))+0-91.4--0.233069999999987</f>
        <v>2011.756905</v>
      </c>
      <c r="S253" s="3">
        <f>2098.2+(151.9-173.6)+(-3.210246+(-0.232407--0.265608))+0-80.5--0.123165000000005</f>
        <v>1992.9461200000001</v>
      </c>
      <c r="T253" s="3">
        <f>2031+(168.9-162.8)+(1.03581+(0.086139-0.083028))+0-81.5-0.0415649999999917</f>
        <v>1956.597356</v>
      </c>
      <c r="U253" s="3">
        <f>2073.4+(151.1-184)+(2.114868+(0.154122-0.18768))+0-75.9-0.0774180000000121</f>
        <v>1966.6038919999999</v>
      </c>
      <c r="V253" s="3">
        <f>2328.5+(143.9-179)+(-1.187535+(-0.073389--0.09129))+0-86.8--0.0442679999999912</f>
        <v>2205.4746340000002</v>
      </c>
      <c r="W253" s="3">
        <f>2559.9+(144.1-300.7)+(1.305549+(0.073491-0.153357))+0-27.6-0.0140759999999972</f>
        <v>2376.9116070000005</v>
      </c>
      <c r="X253" s="3">
        <f>2485+(144.6-227.3)+(-8.87145+(-0.516222--0.811461))+0-90.7--0.323799000000001</f>
        <v>2303.3475880000001</v>
      </c>
      <c r="Y253" s="3">
        <f>2516.9+(142.2-300)+(-5.134476+(-0.290088--0.612))+0-81.3--0.165851999999996</f>
        <v>2273.153288</v>
      </c>
      <c r="Z253" s="3">
        <f>2454+(142.1-321.5)+(-1.25154+(-0.072471--0.163965))+0-65.5--0.0334049999999934</f>
        <v>2207.9733590000001</v>
      </c>
      <c r="AA253" s="3">
        <f>2181.9+(163.7-168.3)+(-3.338307+(-0.250461--0.257499))+0-86--0.131580000000005</f>
        <v>2088.1003110000006</v>
      </c>
      <c r="AB253" s="3">
        <f>2172.2+(121.3-208.5)+(-2.215644+(-0.123726--0.21267))+0-82.8--0.0844560000000132</f>
        <v>2000.1577560000003</v>
      </c>
      <c r="AC253" s="3">
        <f>2105+(117.8-267.2)+(-4.2942+(-0.240312--0.545088))+0-79.8--0.162791999999997</f>
        <v>1871.9733679999999</v>
      </c>
      <c r="AD253">
        <f t="shared" si="3"/>
        <v>46884.307845000003</v>
      </c>
      <c r="AE253" s="3">
        <f>2553+(144.3-299.9)+(0+(0-0))+0-21.9-0</f>
        <v>2375.5</v>
      </c>
    </row>
    <row r="254" spans="1:31" s="2" customFormat="1" x14ac:dyDescent="0.25">
      <c r="A254">
        <v>89</v>
      </c>
      <c r="B254">
        <v>9</v>
      </c>
      <c r="C254">
        <v>8</v>
      </c>
      <c r="D254">
        <v>3</v>
      </c>
      <c r="E254">
        <v>1</v>
      </c>
      <c r="F254" s="3">
        <f>1853.5+(118-161.9)+(-3.78114+(-0.24072--0.330276))+0-77.6--0.158303999999997</f>
        <v>1728.4667200000001</v>
      </c>
      <c r="G254" s="3">
        <f>1769.3+(126.4-111.8)+(-0.902343+(-0.064464--0.057018))+0-81--0.0413099999999918</f>
        <v>1702.0315209999999</v>
      </c>
      <c r="H254" s="3">
        <f>1747.4+(117.5-129.4)+(0.891174+(0.059925-0.065994))+0-87.4-0.0445739999999911</f>
        <v>1648.940531</v>
      </c>
      <c r="I254" s="3">
        <f>1679.2+(136.7-110.9)+(-1.712784+(-0.139434--0.113118))+0-69.1--0.070482000000011</f>
        <v>1634.2313820000002</v>
      </c>
      <c r="J254" s="3">
        <f>1752.1+(143.8-165.7)+(0.893571+(0.073338-0.084507))+0-74-0.0377399999999925</f>
        <v>1657.0446619999998</v>
      </c>
      <c r="K254" s="3">
        <f>1869.4+(143.7-279.7)+(0.953394+(0.073287-0.142647))+0-79.4-0.0404939999999919</f>
        <v>1654.8435399999998</v>
      </c>
      <c r="L254" s="3">
        <f>2049.3+(144.1-426.8)+(0+(0-0))+0-79.7-0</f>
        <v>1686.9</v>
      </c>
      <c r="M254" s="3">
        <f>2109.8+(143.8-371.7)+(-5.37999+(-0.36669--0.947835))+0-55.5--0.141524999999992</f>
        <v>1821.7426800000001</v>
      </c>
      <c r="N254" s="3">
        <f>2284.1+(144.1-421)+(3.494673+(0.220473-0.64413))+0-78.4-0.119952000000005</f>
        <v>1931.7510639999998</v>
      </c>
      <c r="O254" s="3">
        <f>2388.5+(143.8-395.5)+(-3.654405+(-0.220014--0.605115))+0-86.5--0.132345000000005</f>
        <v>2047.1630410000002</v>
      </c>
      <c r="P254" s="3">
        <f>2423.9+(143.9-439.3)+(1.236189+(0.073389-0.224043))+0-73.4-0.0374339999999926</f>
        <v>2056.1481010000002</v>
      </c>
      <c r="Q254" s="3">
        <f>2423.8+(144-424.9)+(-6.18069+(-0.3672--1.083495))+0-58--0.147899999999992</f>
        <v>2079.5835050000001</v>
      </c>
      <c r="R254" s="3">
        <f>2416.7+(143.9-439.1)+(-2.465034+(-0.146778--0.447882))+0-88.3--0.0900660000000141</f>
        <v>2031.1261359999999</v>
      </c>
      <c r="S254" s="3">
        <f>2426.7+(144.3-506.2)+(0+(0-0))+0-65.7-0</f>
        <v>1999.0999999999997</v>
      </c>
      <c r="T254" s="3">
        <f>2409+(145-495.4)+(0+(0-0))+0-83.6-0</f>
        <v>1975</v>
      </c>
      <c r="U254" s="3">
        <f>2365.5+(145.7-469.7)+(1.206405+(0.074307-0.239547))+0-64.5-0.0328949999999935</f>
        <v>1978.00827</v>
      </c>
      <c r="V254" s="3">
        <f>2405.3+(145.3-310.1)+(3.680109+(0.222309-0.474453))+0-62.4-0.0954720000000036</f>
        <v>2181.4324929999998</v>
      </c>
      <c r="W254" s="3">
        <f>2457.8+(143.4-209.8)+(3.760434+(0.219402-0.320994))+0-55.1-0.0843030000000032</f>
        <v>2339.8745389999999</v>
      </c>
      <c r="X254" s="3">
        <f>2437+(142.8-197.9)+(-4.97148+(-0.291312--0.403716))+0-87.9--0.179315999999996</f>
        <v>2289.32024</v>
      </c>
      <c r="Y254" s="3">
        <f>2454.5+(142.9-259.7)+(-3.755385+(-0.218637--0.397341))+0-85.8--0.131274000000005</f>
        <v>2248.4545929999995</v>
      </c>
      <c r="Z254" s="3">
        <f>2443.2+(142.7-271.5)+(-3.738096+(-0.218331--0.415395))+0-82.8--0.126684000000005</f>
        <v>2228.1856519999992</v>
      </c>
      <c r="AA254" s="3">
        <f>2321.2+(143.5-315.2)+(-2.367624+(-0.14637--0.321504))+0-65.8--0.0671160000000105</f>
        <v>2081.5746260000001</v>
      </c>
      <c r="AB254" s="3">
        <f>2348.3+(105.1-349.9)+(0+(0-0))+0-70.1-0</f>
        <v>2033.4</v>
      </c>
      <c r="AC254" s="3">
        <f>2157.5+(97.1-314.4)+(-5.501625+(-0.247605--0.80172))+0-70.6--0.18002999999999</f>
        <v>1864.8325200000002</v>
      </c>
      <c r="AD254">
        <f t="shared" si="3"/>
        <v>46899.155815999999</v>
      </c>
      <c r="AE254" s="3">
        <f>2491+(142.8-279.9)+(0+(0-0))+0-22.3-0</f>
        <v>2331.6</v>
      </c>
    </row>
    <row r="255" spans="1:31" s="2" customFormat="1" x14ac:dyDescent="0.25">
      <c r="A255">
        <v>89</v>
      </c>
      <c r="B255">
        <v>9</v>
      </c>
      <c r="C255">
        <v>9</v>
      </c>
      <c r="D255">
        <v>4</v>
      </c>
      <c r="E255">
        <v>1</v>
      </c>
      <c r="F255" s="3">
        <f>2079.9+(97.4-344.2)+(-4.242996+(-0.198696--0.702168))+0-76.5--0.156059999999997</f>
        <v>1753.0165360000001</v>
      </c>
      <c r="G255" s="3">
        <f>2074.3+(97.3-379)+(-2.115786+(-0.099246--0.38658))+0-68.1--0.0694620000000108</f>
        <v>1722.7410100000002</v>
      </c>
      <c r="H255" s="3">
        <f>1812.2+(97.1-163.9)+(-2.772666+(-0.148563--0.250767))+0-65.3--0.0999090000000038</f>
        <v>1677.5294470000001</v>
      </c>
      <c r="I255" s="3">
        <f>1797.1+(97-145)+(-1.833042+(-0.09894--0.1479))+0-75.8--0.0773160000000121</f>
        <v>1671.5932340000002</v>
      </c>
      <c r="J255" s="3">
        <f>1810.5+(97.3-225.1)+(-1.84671+(-0.099246--0.229602))+0-76.5--0.0780300000000122</f>
        <v>1604.561676</v>
      </c>
      <c r="K255" s="3">
        <f>1973.8+(102.3-290.5)+(0+(0-0))+0-89.7-0</f>
        <v>1695.8999999999999</v>
      </c>
      <c r="L255" s="3">
        <f>2100+(142.8-433)+(-2.142+(-0.145656--0.44166))+0-77.3--0.0788460000000123</f>
        <v>1730.7328500000001</v>
      </c>
      <c r="M255" s="3">
        <f>2349+(143.9-592.2)+(-1.19799+(-0.073389--0.302022))+0-23.1--0.0117809999999977</f>
        <v>1876.6424239999999</v>
      </c>
      <c r="N255" s="3">
        <f>2377.4+(141.7-582.6)+(1.212474+(0.072267-0.297126))+0-14.8-0.0075479999999985</f>
        <v>1922.680067</v>
      </c>
      <c r="O255" s="3">
        <f>2435.3+(141.1-563.2)+(0+(0-0))+0-13.8-0</f>
        <v>1999.4000000000003</v>
      </c>
      <c r="P255" s="3">
        <f>2459.6+(142.8-548.6)+(-1.254396+(-0.072828--0.279786))+0-13--0.00662999999999868</f>
        <v>2039.7591919999998</v>
      </c>
      <c r="Q255" s="3">
        <f>2449.7+(143.4-533.5)+(-2.498694+(-0.146268--0.54417))+0-13.4--0.0136680000000021</f>
        <v>2044.1128759999997</v>
      </c>
      <c r="R255" s="3">
        <f>2440.6+(142.9-561.6)+(-1.244706+(-0.072879--0.286416))+0-11.3--0.00576299999999885</f>
        <v>2009.5745939999997</v>
      </c>
      <c r="S255" s="3">
        <f>2435.8+(143.3-574.6)+(0+(0-0))+0-14-0</f>
        <v>1990.5000000000002</v>
      </c>
      <c r="T255" s="3">
        <f>2266.4+(143.2-401.2)+(-3.467592+(-0.219096--0.613836))+0-30.5--0.0466650000000018</f>
        <v>1974.8738130000002</v>
      </c>
      <c r="U255" s="3">
        <f>2163.3+(143-252.2)+(-3.309849+(-0.21879--0.385866))+0-79.2--0.121176000000005</f>
        <v>1971.8784030000004</v>
      </c>
      <c r="V255" s="3">
        <f>2304.2+(154.8-183.3)+(-3.525426+(-0.236844--0.280449))+0-74.4--0.113832000000004</f>
        <v>2197.9320109999999</v>
      </c>
      <c r="W255" s="3">
        <f>2577.1+(143.9-259.7)+(-2.628642+(-0.146778--0.264894))+0-75--0.076500000000012</f>
        <v>2383.8659739999998</v>
      </c>
      <c r="X255" s="3">
        <f>2630.7+(142.6-390.6)+(-5.366628+(-0.290904--0.796824))+0-76.8--0.156671999999997</f>
        <v>2301.1959639999995</v>
      </c>
      <c r="Y255" s="3">
        <f>2532.4+(143.8-333.9)+(-5.166096+(-0.293352--0.681156))+0-84.5--0.172379999999996</f>
        <v>2253.1940880000002</v>
      </c>
      <c r="Z255" s="3">
        <f>2503.5+(143-354.7)+(-2.55357+(-0.14586--0.361794))+0-90--0.0918000000000144</f>
        <v>2199.5541640000001</v>
      </c>
      <c r="AA255" s="3">
        <f>2363.7+(143.4-355.5)+(-3.616461+(-0.219402--0.543915))+0-69.4--0.106182000000004</f>
        <v>2079.0142339999998</v>
      </c>
      <c r="AB255" s="3">
        <f>2276.6+(109.2-323.4)+(-3.483198+(-0.167076--0.494802))+0-72.6--0.111078000000004</f>
        <v>1986.7556060000002</v>
      </c>
      <c r="AC255" s="3">
        <f>2155.7+(98.1-330.1)+(-5.497035+(-0.250155--0.841755))+0-65.1--0.166004999999991</f>
        <v>1853.8605700000001</v>
      </c>
      <c r="AD255">
        <f t="shared" si="3"/>
        <v>46940.868732999996</v>
      </c>
      <c r="AE255" s="3">
        <f>2657+(143.3-213)+(0+(0-0))+0-93.2-0</f>
        <v>2494.1000000000004</v>
      </c>
    </row>
    <row r="256" spans="1:31" s="2" customFormat="1" x14ac:dyDescent="0.25">
      <c r="A256">
        <v>89</v>
      </c>
      <c r="B256">
        <v>9</v>
      </c>
      <c r="C256">
        <v>10</v>
      </c>
      <c r="D256">
        <v>5</v>
      </c>
      <c r="E256">
        <v>1</v>
      </c>
      <c r="F256" s="3">
        <f>1939.5+(98.1-190.6)+(-4.945725+(-0.250155--0.48603))+0-88.4--0.225419999999987</f>
        <v>1754.1155699999999</v>
      </c>
      <c r="G256" s="3">
        <f>1770.8+(103.7-103)+(0+(0-0))+0-78.5-0</f>
        <v>1693</v>
      </c>
      <c r="H256" s="3">
        <f>1610.9+(159.2-53.4)+(-0.821559+(-0.081192--0.027234))+0-70.7--0.0360569999999928</f>
        <v>1645.1605400000001</v>
      </c>
      <c r="I256" s="3">
        <f>1611.3+(165.1-47.4)+(-0.821763+(-0.084201--0.024174))+0-76.9--0.0392189999999922</f>
        <v>1651.257429</v>
      </c>
      <c r="J256" s="3">
        <f>1613.2+(177.7-55.1)+(1.645464+(0.181254-0.056202))+0-88.2-0.0899640000000141</f>
        <v>1649.2805519999999</v>
      </c>
      <c r="K256" s="3">
        <f>1734.8+(106.4-118.5)+(-1.769496+(-0.108528--0.12087))+0-54.2--0.0552840000000086</f>
        <v>1666.7981300000001</v>
      </c>
      <c r="L256" s="3">
        <f>1894.7+(137.9-255.5)+(-0.966297+(-0.070329--0.130305))+0-65.6--0.0334559999999933</f>
        <v>1710.6271350000002</v>
      </c>
      <c r="M256" s="3">
        <f>1985.6+(143-249.1)+(0+(0-0))+0-64.5-0</f>
        <v>1815</v>
      </c>
      <c r="N256" s="3">
        <f>2153.3+(142.4-322.2)+(-1.098183+(-0.072624--0.164322))+0-60.1--0.0306509999999939</f>
        <v>1912.4241660000002</v>
      </c>
      <c r="O256" s="3">
        <f>2205.6+(140.7-284.3)+(-4.499424+(-0.287028--0.579972))+0-88.7--0.180947999999996</f>
        <v>1969.2744680000001</v>
      </c>
      <c r="P256" s="3">
        <f>2251.9+(140.9-307.8)+(1.148469+(0.071859-0.156978))+0-62-0.0316199999999937</f>
        <v>2024.0317299999999</v>
      </c>
      <c r="Q256" s="3">
        <f>2252.9+(141.2-339.1)+(-1.148979+(-0.072012--0.172941))+0-59.8--0.0304979999999939</f>
        <v>1994.1824480000002</v>
      </c>
      <c r="R256" s="3">
        <f>2234.6+(140.2-305)+(-5.69823+(-0.35751--0.77775))+0-85.6--0.218279999999988</f>
        <v>1979.1402899999998</v>
      </c>
      <c r="S256" s="3">
        <f>2160.8+(142.2-246.4)+(0+(0-0))+0-84.9-0</f>
        <v>1971.7000000000003</v>
      </c>
      <c r="T256" s="3">
        <f>2187.5+(142.4-281.1)+(0+(0-0))+0-88.3-0</f>
        <v>1960.5000000000002</v>
      </c>
      <c r="U256" s="3">
        <f>2193.5+(142.1-305.1)+(-1.118685+(-0.072471--0.155601))+0-66.1--0.0337109999999933</f>
        <v>1963.3981560000002</v>
      </c>
      <c r="V256" s="3">
        <f>2370.6+(130.4-233)+(2.418012+(0.133008-0.23766))+0-71.9-0.0733380000000115</f>
        <v>2198.3400219999999</v>
      </c>
      <c r="W256" s="3">
        <f>2704+(116.6-350.5)+(0+(0-0))+0-93.1-0</f>
        <v>2377</v>
      </c>
      <c r="X256" s="3">
        <f>2617.2+(115.7-315.6)+(-5.339088+(-0.236028--0.643824))+0-80.5--0.164219999999996</f>
        <v>2332.0329279999996</v>
      </c>
      <c r="Y256" s="3">
        <f>2513.7+(127.6-289.9)+(-3.845961+(-0.195228--0.443547))+0-81.5--0.124695000000005</f>
        <v>2266.4270529999994</v>
      </c>
      <c r="Z256" s="3">
        <f>2496.8+(140-339.8)+(-1.273368+(-0.0714--0.173298))+0-79.2--0.040391999999992</f>
        <v>2216.6689219999998</v>
      </c>
      <c r="AA256" s="3">
        <f>2351.1+(142.1-295.4)+(0+(0-0))+0-92.4-0</f>
        <v>2105.3999999999996</v>
      </c>
      <c r="AB256" s="3">
        <f>2316.1+(104.1-326)+(-4.724844+(-0.212364--0.66504))+0-81--0.165239999999996</f>
        <v>2009.0930719999999</v>
      </c>
      <c r="AC256" s="3">
        <f>2254+(96.2-409)+(-3.44862+(-0.147186--0.62577))+0-62.3--0.0953190000000036</f>
        <v>1876.0252830000002</v>
      </c>
      <c r="AD256">
        <f t="shared" si="3"/>
        <v>46740.877894000005</v>
      </c>
      <c r="AE256" s="3">
        <f>2694+(114.7-345.8)+(0+(0-0))+0-91.4-0</f>
        <v>2371.5</v>
      </c>
    </row>
    <row r="257" spans="1:31" s="2" customFormat="1" x14ac:dyDescent="0.25">
      <c r="A257">
        <v>89</v>
      </c>
      <c r="B257">
        <v>9</v>
      </c>
      <c r="C257">
        <v>11</v>
      </c>
      <c r="D257">
        <v>6</v>
      </c>
      <c r="E257">
        <v>1</v>
      </c>
      <c r="F257" s="3">
        <f>2173.7+(97.6-431.6)+(-2.217174+(-0.099552--0.440232))+0-81.4--0.083028000000013</f>
        <v>1756.5065339999996</v>
      </c>
      <c r="G257" s="3">
        <f>1993.4+(98.1-361.1)+(2.033268+(0.100062-0.368322))+0-36.1-0.0368220000000058</f>
        <v>1696.0281860000002</v>
      </c>
      <c r="H257" s="3">
        <f>1943.7+(98.2-331)+(2.973861+(0.150246-0.50643))+0-49.9-0.0763470000000029</f>
        <v>1663.54133</v>
      </c>
      <c r="I257" s="3">
        <f>1885.1+(98.1-294.2)+(-0.961401+(-0.050031--0.150042))+0-52.3--0.0266729999999947</f>
        <v>1635.8652830000001</v>
      </c>
      <c r="J257" s="3">
        <f>1906+(101.8-307.2)+(0.97206+(0.051918-0.156672))+0-61.4-0.0313139999999938</f>
        <v>1640.0359919999999</v>
      </c>
      <c r="K257" s="3">
        <f>2060.4+(94.1-439.2)+(0+(0-0))+0-41-0</f>
        <v>1674.3000000000002</v>
      </c>
      <c r="L257" s="3">
        <f>2127.2+(112.3-520.9)+(-2.169744+(-0.114546--0.531318))+0-37.5--0.038250000000006</f>
        <v>1679.385278</v>
      </c>
      <c r="M257" s="3">
        <f>2107.2+(141.3-460.5)+(1.074672+(0.072063-0.234855))+0-21.2-0.0108119999999978</f>
        <v>1767.7010679999999</v>
      </c>
      <c r="N257" s="3">
        <f>2049.4+(141.5-278.5)+(0+(0-0))+0-21.4-0</f>
        <v>1891</v>
      </c>
      <c r="O257" s="3">
        <f>2178.1+(140.7-329.4)+(-4.443324+(-0.287028--0.671976))+0-19.1--0.0389639999999992</f>
        <v>1966.2805880000001</v>
      </c>
      <c r="P257" s="3">
        <f>2255.2+(141-370)+(-3.450456+(-0.21573--0.5661))+0-17.8--0.027234000000001</f>
        <v>2005.3271479999999</v>
      </c>
      <c r="Q257" s="3">
        <f>2280.4+(140.4-386.7)+(-1.163004+(-0.071604--0.197217))+0-21--0.0107099999999979</f>
        <v>2012.0733190000001</v>
      </c>
      <c r="R257" s="3">
        <f>2271.9+(140.4-364.7)+(-4.634676+(-0.286416--0.743988))+0-55.1--0.112403999999998</f>
        <v>1988.4353000000001</v>
      </c>
      <c r="S257" s="3">
        <f>2275.1+(141.4-410.8)+(-2.320602+(-0.144228--0.419016))+0-50.5--0.051510000000008</f>
        <v>1953.2056959999998</v>
      </c>
      <c r="T257" s="3">
        <f>2149.4+(141.8-298.3)+(-2.192388+(-0.144636--0.304266))+0-68.8--0.070176000000011</f>
        <v>1922.137418</v>
      </c>
      <c r="U257" s="3">
        <f>2136.3+(142.3-287.6)+(-1.089513+(-0.072573--0.146676))+0-79.2--0.040391999999992</f>
        <v>1910.8249820000001</v>
      </c>
      <c r="V257" s="3">
        <f>2473+(143.7-391.6)+(-6.30615+(-0.366435--0.99858))+0-73.7--0.187934999999989</f>
        <v>2145.9139300000002</v>
      </c>
      <c r="W257" s="3">
        <f>2708.9+(142.7-462.9)+(0+(0-0))+0-85.5-0</f>
        <v>2303.2000000000003</v>
      </c>
      <c r="X257" s="3">
        <f>2659.2+(142.3-452.8)+(-9.493344+(-0.508011--1.616496))+0-83.2--0.297024000000001</f>
        <v>2257.4121650000002</v>
      </c>
      <c r="Y257" s="3">
        <f>2621.5+(142.6-483.4)+(-4.010895+(-0.218178--0.739602))+0-74.5--0.113985000000004</f>
        <v>2202.8245139999999</v>
      </c>
      <c r="Z257" s="3">
        <f>2510.7+(142.7-436.5)+(-3.841371+(-0.218331--0.667845))+0-75.5--0.115515000000004</f>
        <v>2138.1236579999995</v>
      </c>
      <c r="AA257" s="3">
        <f>2387.9+(143.3-380.1)+(-6.089145+(-0.365415--0.969255))+0-94.8--0.241739999999986</f>
        <v>2051.0564349999995</v>
      </c>
      <c r="AB257" s="3">
        <f>2193.8+(108.9-238.7)+(0+(0-0))+0-77.6-0</f>
        <v>1986.4</v>
      </c>
      <c r="AC257" s="3">
        <f>2126.7+(98.5-278.9)+(-3.253851+(-0.150705--0.426717))+0-67.9--0.103887000000004</f>
        <v>1875.5260479999997</v>
      </c>
      <c r="AD257">
        <f t="shared" ref="AD257:AD320" si="4">SUM(F257:AC257)</f>
        <v>46123.104871999996</v>
      </c>
      <c r="AE257" s="3">
        <f>2723+(142.1-444.5)+(0+(0-0))+0-91.4-0</f>
        <v>2329.1999999999998</v>
      </c>
    </row>
    <row r="258" spans="1:31" s="2" customFormat="1" x14ac:dyDescent="0.25">
      <c r="A258">
        <v>89</v>
      </c>
      <c r="B258">
        <v>9</v>
      </c>
      <c r="C258">
        <v>12</v>
      </c>
      <c r="D258">
        <v>7</v>
      </c>
      <c r="E258">
        <v>1</v>
      </c>
      <c r="F258" s="3">
        <f>2007.4+(97.9-254.9)+(-6.142644+(-0.299574--0.779994))+0-74.7--0.228582000000009</f>
        <v>1770.2663580000001</v>
      </c>
      <c r="G258" s="3">
        <f>1852.7+(97.6-187.1)+(0+(0-0))+0-92.8-0</f>
        <v>1670.4</v>
      </c>
      <c r="H258" s="3">
        <f>1823.5+(98.9-200.2)+(-0.929985+(-0.050439--0.102102))+0-78.3--0.0399329999999921</f>
        <v>1643.0616110000001</v>
      </c>
      <c r="I258" s="3">
        <f>1820.1+(97.6-216.9)+(0.928251+(0.049776-0.110619))+0-69.3-0.035342999999993</f>
        <v>1632.3320650000001</v>
      </c>
      <c r="J258" s="3">
        <f>1871.2+(97-242.7)+(0+(0-0))+0-80-0</f>
        <v>1645.5</v>
      </c>
      <c r="K258" s="3">
        <f>1964.4+(114.8-322.5)+(3.005532+(0.175644-0.493425))+0-88.7-0.135711000000005</f>
        <v>1670.55204</v>
      </c>
      <c r="L258" s="3">
        <f>1984.9+(142.5-443.1)+(-2.024598+(-0.14535--0.451962))+0-74.4--0.0758880000000119</f>
        <v>1608.2579020000001</v>
      </c>
      <c r="M258" s="3">
        <f>1793.8+(143-237.4)+(-4.57419+(-0.36465--0.60537))+0-79.7--0.203234999999988</f>
        <v>1615.5697649999997</v>
      </c>
      <c r="N258" s="3">
        <f>1770.2+(142.7-165.3)+(0.902802+(0.072777-0.084303))+0-68.5-0.034934999999993</f>
        <v>1679.9563410000001</v>
      </c>
      <c r="O258" s="3">
        <f>1866.4+(142.3-199.8)+(0.951864+(0.072573-0.101898))+0-76.8-0.0391679999999922</f>
        <v>1732.983371</v>
      </c>
      <c r="P258" s="3">
        <f>1961.2+(141.9-223.5)+(-4.000848+(-0.289476--0.45594))+0-83.9--0.171155999999996</f>
        <v>1792.0367719999999</v>
      </c>
      <c r="Q258" s="3">
        <f>2037.5+(141.2-289)+(-1.039125+(-0.072012--0.14739))+0-81.8--0.0417179999999917</f>
        <v>1806.977971</v>
      </c>
      <c r="R258" s="3">
        <f>2032+(140.7-317.1)+(-3.10896+(-0.215271--0.485163))+0-86.3--0.132039000000005</f>
        <v>1766.592971</v>
      </c>
      <c r="S258" s="3">
        <f>1971.9+(141.8-286.4)+(-3.017007+(-0.216954--0.438192))+0-78.2--0.119646000000005</f>
        <v>1746.4238770000002</v>
      </c>
      <c r="T258" s="3">
        <f>1894.7+(143.1-250.5)+(0.966297+(0.072981-0.127755))+0-78.1-0.0398309999999921</f>
        <v>1710.071692</v>
      </c>
      <c r="U258" s="3">
        <f>1881.5+(143.9-262.4)+(-1.91913+(-0.146778--0.267648))+0-44.9--0.0457980000000072</f>
        <v>1716.347538</v>
      </c>
      <c r="V258" s="3">
        <f>2057.4+(141.2-271.6)+(-2.098548+(-0.144024--0.277032))+0-24.3--0.0247860000000039</f>
        <v>1900.7592460000001</v>
      </c>
      <c r="W258" s="3">
        <f>2341.7+(143.4-289.4)+(0+(0-0))+0-76.8-0</f>
        <v>2118.8999999999996</v>
      </c>
      <c r="X258" s="3">
        <f>2340.8+(144.1-332.8)+(-2.387616+(-0.146982--0.339456))+0-62--0.0632400000000099</f>
        <v>2087.9680980000003</v>
      </c>
      <c r="Y258" s="3">
        <f>2300.7+(144.1-304.1)+(-1.173357+(-0.073491--0.155091))+0-78.2--0.0398819999999921</f>
        <v>2061.4481249999999</v>
      </c>
      <c r="Z258" s="3">
        <f>2292.9+(142.4-331.6)+(-2.338758+(-0.145248--0.338232))+0-78.9--0.0804780000000126</f>
        <v>2022.7347040000002</v>
      </c>
      <c r="AA258" s="3">
        <f>2232.4+(142.2-342.4)+(-2.277048+(-0.145044--0.349248))+0-81.7--0.083334000000013</f>
        <v>1948.5104899999999</v>
      </c>
      <c r="AB258" s="3">
        <f>2225.1+(105.3-370)+(0+(0-0))+0-82.2-0</f>
        <v>1878.1999999999998</v>
      </c>
      <c r="AC258" s="3">
        <f>2150.2+(97.6-392.4)+(-5.48301+(-0.24888--1.00062))+0-74.6--0.190229999999989</f>
        <v>1776.2589599999999</v>
      </c>
      <c r="AD258">
        <f t="shared" si="4"/>
        <v>43002.109897000002</v>
      </c>
      <c r="AE258" s="3">
        <f>2372+(143-332.4)+(0+(0-0))+0-85.3-0</f>
        <v>2097.2999999999997</v>
      </c>
    </row>
    <row r="259" spans="1:31" s="2" customFormat="1" x14ac:dyDescent="0.25">
      <c r="A259">
        <v>89</v>
      </c>
      <c r="B259">
        <v>9</v>
      </c>
      <c r="C259">
        <v>13</v>
      </c>
      <c r="D259">
        <v>1</v>
      </c>
      <c r="E259">
        <v>1</v>
      </c>
      <c r="F259" s="3">
        <f>1913.7+(97.2-263.1)+(-5.855922+(-0.297432--0.805086))+0-82.3--0.25183800000001</f>
        <v>1660.4035699999999</v>
      </c>
      <c r="G259" s="3">
        <f>1766.3+(97.6-174.7)+(-3.603252+(-0.199104--0.356388))+0-81.6--0.166463999999996</f>
        <v>1604.320496</v>
      </c>
      <c r="H259" s="3">
        <f>1616.9+(131.9-79.6)+(-3.298476+(-0.269076--0.162384))+0-76.9--0.156875999999997</f>
        <v>1589.051708</v>
      </c>
      <c r="I259" s="3">
        <f>1601.5+(137.3-74.9)+(-1.63353+(-0.140046--0.076398))+0-79.1--0.0806820000000126</f>
        <v>1583.1835040000003</v>
      </c>
      <c r="J259" s="3">
        <f>1603.8+(144-78.7)+(0+(0-0))+0-89.7-0</f>
        <v>1579.3999999999999</v>
      </c>
      <c r="K259" s="3">
        <f>1748.3+(112-162.2)+(0.891633+(0.05712-0.082722))+0-83.7-0.0426869999999915</f>
        <v>1615.223344</v>
      </c>
      <c r="L259" s="3">
        <f>1858.4+(143-253.6)+(-3.791136+(-0.29172--0.517344))+0-81.2--0.165647999999996</f>
        <v>1663.2001360000002</v>
      </c>
      <c r="M259" s="3">
        <f>1883.5+(147.2-175.6)+(-1.92117+(-0.150144--0.179112))+0-76.6--0.0781320000000122</f>
        <v>1776.6859300000001</v>
      </c>
      <c r="N259" s="3">
        <f>2138.8+(143.1-316.8)+(0+(0-0))+0-77-0</f>
        <v>1888.1000000000001</v>
      </c>
      <c r="O259" s="3">
        <f>2291.7+(142.5-355.7)+(3.506301+(0.218025-0.544221))+0-82.3-0.125919000000005</f>
        <v>1999.2541859999999</v>
      </c>
      <c r="P259" s="3">
        <f>2360.2+(142.8-394.7)+(-3.611106+(-0.218484--0.603891))+0-64.9--0.0992970000000038</f>
        <v>2040.2735979999995</v>
      </c>
      <c r="Q259" s="3">
        <f>2175.1+(140.1-238.7)+(0+(0-0))+0-42.3-0</f>
        <v>2034.2</v>
      </c>
      <c r="R259" s="3">
        <f>1961.4+(241.6-138.8)+(-6.001884+(-0.739296--0.424728))+0-54.6--0.167076000000006</f>
        <v>2003.4506240000003</v>
      </c>
      <c r="S259" s="3">
        <f>1961.7+(241.6-148.1)+(-3.001401+(-0.369648--0.226593))+0-66--0.100980000000004</f>
        <v>1986.1565239999998</v>
      </c>
      <c r="T259" s="3">
        <f>1961.2+(215.2-146.3)+(0+(0-0))+0-81.3-0</f>
        <v>1948.8</v>
      </c>
      <c r="U259" s="3">
        <f>2021.3+(196.6-169.2)+(0+(0-0))+0-81.4-0</f>
        <v>1967.2999999999997</v>
      </c>
      <c r="V259" s="3">
        <f>2293+(174.2-178.6)+(-1.16943+(-0.088842--0.091086))+0-70.8--0.0361079999999928</f>
        <v>2216.6689219999994</v>
      </c>
      <c r="W259" s="3">
        <f>2468.6+(149.4-211.5)+(3.776958+(0.228582-0.323595))+0-40.6-0.0621180000000024</f>
        <v>2369.5198270000001</v>
      </c>
      <c r="X259" s="3">
        <f>2445.1+(106-223.8)+(-4.988004+(-0.21624--0.456552))+0-17.2--0.0350879999999992</f>
        <v>2305.3873960000001</v>
      </c>
      <c r="Y259" s="3">
        <f>2426.1+(128.5-288.2)+(-6.186555+(-0.327675--0.73491))+0-18--0.0458999999999974</f>
        <v>2242.6665800000001</v>
      </c>
      <c r="Z259" s="3">
        <f>2412.1+(134-313.8)+(0+(0-0))+0-40.7-0</f>
        <v>2191.6</v>
      </c>
      <c r="AA259" s="3">
        <f>2353.9+(134.1-304.8)+(-6.002445+(-0.341955--0.77724))+0-91.7--0.233834999999987</f>
        <v>2086.1666750000004</v>
      </c>
      <c r="AB259" s="3">
        <f>2276+(107.1-368.1)+(-2.32152+(-0.109242--0.375462))+0-26.6--0.0271320000000042</f>
        <v>1986.371832</v>
      </c>
      <c r="AC259" s="3">
        <f>2120.6+(99.4-294)+(-5.40753+(-0.25347--0.7497))+0-71.9--0.18334499999999</f>
        <v>1849.3720449999998</v>
      </c>
      <c r="AD259">
        <f t="shared" si="4"/>
        <v>46186.756896999985</v>
      </c>
      <c r="AE259" s="3">
        <f>2481+(142.4-207.2)+(0+(0-0))+0-27-0</f>
        <v>2389.1999999999998</v>
      </c>
    </row>
    <row r="260" spans="1:31" s="2" customFormat="1" x14ac:dyDescent="0.25">
      <c r="A260">
        <v>89</v>
      </c>
      <c r="B260">
        <v>9</v>
      </c>
      <c r="C260">
        <v>14</v>
      </c>
      <c r="D260">
        <v>2</v>
      </c>
      <c r="E260">
        <v>1</v>
      </c>
      <c r="F260" s="3">
        <f>1821.6+(98.9-139.3)+(-3.716064+(-0.201756--0.284172))+0-42.9--0.0875159999999981</f>
        <v>1734.7538679999998</v>
      </c>
      <c r="G260" s="3">
        <f>1709.5+(103.7-101.5)+(0+(0-0))+0-46.1-0</f>
        <v>1665.6000000000001</v>
      </c>
      <c r="H260" s="3">
        <f>1666.8+(122.1-90.4)+(-0.850068+(-0.062271--0.046104))+0-64.9--0.0330989999999934</f>
        <v>1632.7668639999999</v>
      </c>
      <c r="I260" s="3">
        <f>1614.8+(120.4-102.5)+(0+(0-0))+0-15.5-0</f>
        <v>1617.2</v>
      </c>
      <c r="J260" s="3">
        <f>1758.8+(99-145.5)+(-1.793976+(-0.10098--0.14841))+0-77.3--0.0788460000000123</f>
        <v>1633.3323</v>
      </c>
      <c r="K260" s="3">
        <f>1868.3+(103.1-268.1)+(0+(0-0))+0-32.4-0</f>
        <v>1670.8999999999999</v>
      </c>
      <c r="L260" s="3">
        <f>1956.5+(132.5-293.1)+(-1.99563+(-0.13515--0.298962))+0-82.8--0.0844560000000132</f>
        <v>1711.3526380000001</v>
      </c>
      <c r="M260" s="3">
        <f>1771.4+(180.7-115.3)+(-1.806828+(-0.184314--0.117606))+0-32.6--0.0332520000000052</f>
        <v>1802.3597160000002</v>
      </c>
      <c r="N260" s="3">
        <f>2025.7+(133.3-180.5)+(1.033107+(0.067983-0.092055))+0-59.2-0.030191999999994</f>
        <v>1920.2788430000001</v>
      </c>
      <c r="O260" s="3">
        <f>2221.7+(133.2-351.3)+(1.133067+(0.067932-0.179163))+0-42-0.0214199999999957</f>
        <v>1962.6004159999998</v>
      </c>
      <c r="P260" s="3">
        <f>2266.2+(133-338.5)+(-1.155762+(-0.06783--0.172635))+0-15.9--0.00810899999999839</f>
        <v>2043.7571519999999</v>
      </c>
      <c r="Q260" s="3">
        <f>2240.6+(132.5-304.5)+(-3.428118+(-0.202725--0.465885))+0-15.3--0.0234090000000009</f>
        <v>2050.1584509999998</v>
      </c>
      <c r="R260" s="3">
        <f>2134.5+(133.7-210.2)+(-3.265785+(-0.204561--0.321606))+0-36.7--0.0561510000000021</f>
        <v>2018.2074109999999</v>
      </c>
      <c r="S260" s="3">
        <f>2038+(156.3-178.4)+(-1.03938+(-0.079713--0.090984))+0-66.2--0.0337619999999933</f>
        <v>1948.705653</v>
      </c>
      <c r="T260" s="3">
        <f>2123.8+(133.9-278.9)+(-1.083138+(-0.068289--0.142239))+0-22.3--0.0113729999999977</f>
        <v>1955.5021850000003</v>
      </c>
      <c r="U260" s="3">
        <f>1979.3+(183.3-161.6)+(0+(0-0))+0-37-0</f>
        <v>1964</v>
      </c>
      <c r="V260" s="3">
        <f>2109.5+(193.8-88.2)+(-5.379225+(-0.49419--0.22491))+0-69.3--0.17671499999999</f>
        <v>2140.3282099999997</v>
      </c>
      <c r="W260" s="3">
        <f>2279+(214.5-116)+(0+(0-0))+0-71-0</f>
        <v>2306.5</v>
      </c>
      <c r="X260" s="3">
        <f>2304+(219.5-120)+(-5.8752+(-0.559725--0.306))+0-77.7--0.198134999999989</f>
        <v>2319.8692100000003</v>
      </c>
      <c r="Y260" s="3">
        <f>2290+(173.6-142)+(-2.3358+(-0.177072--0.14484))+0-42.1--0.0429420000000067</f>
        <v>2277.1749100000002</v>
      </c>
      <c r="Z260" s="3">
        <f>2202.1+(198.1-127)+(-5.615355+(-0.505155--0.32385))+0-71.1--0.18130499999999</f>
        <v>2196.484645</v>
      </c>
      <c r="AA260" s="3">
        <f>2099.9+(177.2-114)+(-2.141898+(-0.180744--0.11628))+0-37.2--0.0379440000000059</f>
        <v>2123.7315820000003</v>
      </c>
      <c r="AB260" s="3">
        <f>2024+(134.7-106)+(-5.1612+(-0.343485--0.2703))+0-53.3--0.135914999999992</f>
        <v>1994.30153</v>
      </c>
      <c r="AC260" s="3">
        <f>1942.9+(100-170.4)+(-1.981758+(-0.102--0.173808))+0-45.6--0.0465120000000073</f>
        <v>1825.0365620000002</v>
      </c>
      <c r="AD260">
        <f t="shared" si="4"/>
        <v>46514.902145999993</v>
      </c>
      <c r="AE260" s="3">
        <f>2275+(205.4-112)+(0+(0-0))+0-40-0</f>
        <v>2328.4</v>
      </c>
    </row>
    <row r="261" spans="1:31" s="2" customFormat="1" x14ac:dyDescent="0.25">
      <c r="A261">
        <v>89</v>
      </c>
      <c r="B261">
        <v>9</v>
      </c>
      <c r="C261">
        <v>15</v>
      </c>
      <c r="D261">
        <v>3</v>
      </c>
      <c r="E261">
        <v>1</v>
      </c>
      <c r="F261" s="3">
        <f>1777.6+(103.4-108)+(-2.719728+(-0.158202--0.16524))+0-57.6--0.0881280000000033</f>
        <v>1712.7754380000001</v>
      </c>
      <c r="G261" s="3">
        <f>1670.9+(125.9-92)+(-1.704318+(-0.128418--0.09384))+0-53.1--0.0541620000000085</f>
        <v>1650.0152660000001</v>
      </c>
      <c r="H261" s="3">
        <f>1636.4+(149.2-67)+(-2.503692+(-0.228276--0.10251))+0-75.5--0.115515000000004</f>
        <v>1640.586057</v>
      </c>
      <c r="I261" s="3">
        <f>1499.4+(210.6-50)+(-2.294082+(-0.322218--0.0765))+0-59.4--0.0908820000000034</f>
        <v>1598.1510819999999</v>
      </c>
      <c r="J261" s="3">
        <f>1554.1+(197-64)+(-0.792591+(-0.10047--0.03264))+0-64.4--0.0328439999999935</f>
        <v>1621.8724229999998</v>
      </c>
      <c r="K261" s="3">
        <f>1627.6+(173.8-121)+(0+(0-0))+0-20.4-0</f>
        <v>1659.9999999999998</v>
      </c>
      <c r="L261" s="3">
        <f>1862.3+(142-239.5)+(-0.949773+(-0.07242--0.122145))+0-70.7--0.0360569999999928</f>
        <v>1693.236009</v>
      </c>
      <c r="M261" s="3">
        <f>2004.6+(142-366.4)+(0+(0-0))+0-30-0</f>
        <v>1750.1999999999998</v>
      </c>
      <c r="N261" s="3">
        <f>2279.4+(141-484)+(0+(0-0))+0-63.9-0</f>
        <v>1872.5</v>
      </c>
      <c r="O261" s="3">
        <f>2309.2+(145-432.1)+(3.533076+(0.22185-0.661113))+0-49.8-0.0761940000000029</f>
        <v>1975.3176189999999</v>
      </c>
      <c r="P261" s="3">
        <f>2253.5+(144-304.1)+(-2.29857+(-0.14688--0.310182))+0-86.5--0.0882300000000138</f>
        <v>2004.8529620000002</v>
      </c>
      <c r="Q261" s="3">
        <f>2236.5+(144-326.7)+(-3.421845+(-0.22032--0.499851))+0-39.1--0.0598230000000023</f>
        <v>2011.6175090000002</v>
      </c>
      <c r="R261" s="3">
        <f>2221.5+(142.7-293.1)+(-7.930755+(-0.509439--1.046367))+0-73.1--0.260967000000001</f>
        <v>1990.8671400000001</v>
      </c>
      <c r="S261" s="3">
        <f>2189.9+(143.6-271.1)+(-1.116849+(-0.073236--0.138261))+0-91.1--0.0464609999999908</f>
        <v>1970.294637</v>
      </c>
      <c r="T261" s="3">
        <f>2148.9+(144.1-290.1)+(-3.287817+(-0.220473--0.443853))+0-61.1--0.0934830000000035</f>
        <v>1938.8290460000003</v>
      </c>
      <c r="U261" s="3">
        <f>2236.8+(143.5-344.4)+(-3.422304+(-0.219555--0.526932))+0-59.7--0.0913410000000035</f>
        <v>1973.176414</v>
      </c>
      <c r="V261" s="3">
        <f>2289.8+(142.7-194.2)+(-3.503394+(-0.218331--0.297126))+0-90.2--0.138006000000005</f>
        <v>2144.8134070000006</v>
      </c>
      <c r="W261" s="3">
        <f>2407.5+(189.4-141.8)+(1.227825+(0.096594-0.072318))+0-70-0.0356999999999929</f>
        <v>2386.316401</v>
      </c>
      <c r="X261" s="3">
        <f>2389.2+(155-176.4)+(-2.436984+(-0.1581--0.179928))+0-66.9--0.0682380000000107</f>
        <v>2298.5530819999994</v>
      </c>
      <c r="Y261" s="3">
        <f>2364.6+(144-205.3)+(-8.441622+(-0.51408--0.732921))+0-64.5--0.230265000000001</f>
        <v>2230.8074839999999</v>
      </c>
      <c r="Z261" s="3">
        <f>2307.8+(155.4-215)+(-3.530934+(-0.237762--0.32895))+0-61.4--0.0939420000000036</f>
        <v>2183.4541960000001</v>
      </c>
      <c r="AA261" s="3">
        <f>2261.2+(144-271.3)+(-3.459636+(-0.22032--0.415089))+0-56.7--0.0867510000000033</f>
        <v>2074.0218839999998</v>
      </c>
      <c r="AB261" s="3">
        <f>2190.8+(99-237.6)+(-4.469232+(-0.20196--0.484704))+0-74.3--0.151571999999997</f>
        <v>1973.8650840000005</v>
      </c>
      <c r="AC261" s="3">
        <f>2026.2+(99-241.7)+(-6.200172+(-0.30294--0.739602))+0-26.5--0.0810900000000031</f>
        <v>1851.3175799999999</v>
      </c>
      <c r="AD261">
        <f t="shared" si="4"/>
        <v>46207.440719999999</v>
      </c>
      <c r="AE261" s="3">
        <f>2404+(203.2-138.2)+(0+(0-0))+0-103.3-0</f>
        <v>2365.6999999999998</v>
      </c>
    </row>
    <row r="262" spans="1:31" s="2" customFormat="1" x14ac:dyDescent="0.25">
      <c r="A262">
        <v>89</v>
      </c>
      <c r="B262">
        <v>9</v>
      </c>
      <c r="C262">
        <v>16</v>
      </c>
      <c r="D262">
        <v>4</v>
      </c>
      <c r="E262">
        <v>1</v>
      </c>
      <c r="F262" s="3">
        <f>1713.8+(158.1-61.9)+(-2.622114+(-0.241893--0.094707))+0-83.6--0.127908000000005</f>
        <v>1723.7586080000001</v>
      </c>
      <c r="G262" s="3">
        <f>1645.2+(144.7-70.6)+(-1.678104+(-0.147594--0.072012))+0-60.5--0.0617100000000096</f>
        <v>1657.1080239999999</v>
      </c>
      <c r="H262" s="3">
        <f>1602.4+(149.8-62.1)+(0+(0-0))+0-63.9-0</f>
        <v>1626.2</v>
      </c>
      <c r="I262" s="3">
        <f>1591+(156.5-67.4)+(-1.62282+(-0.15963--0.068748))+0-70.8--0.0722160000000113</f>
        <v>1607.658514</v>
      </c>
      <c r="J262" s="3">
        <f>1590.7+(173.5-57.1)+(-1.622514+(-0.17697--0.058242))+0-84.3--0.0859860000000134</f>
        <v>1621.1447440000002</v>
      </c>
      <c r="K262" s="3">
        <f>1830.1+(97-228.2)+(-0.933351+(-0.04947--0.116382))+0-40.2--0.0205019999999959</f>
        <v>1657.854063</v>
      </c>
      <c r="L262" s="3">
        <f>1867+(120-215.5)+(-2.85651+(-0.1836--0.329715))+0-85.5--0.130815000000005</f>
        <v>1683.4204199999999</v>
      </c>
      <c r="M262" s="3">
        <f>1937+(123-216.2)+(0+(0-0))+0-72-0</f>
        <v>1771.8</v>
      </c>
      <c r="N262" s="3">
        <f>2041.7+(116-224.5)+(-3.123801+(-0.17748--0.343485))+0-69.5--0.106335000000004</f>
        <v>1860.8485390000001</v>
      </c>
      <c r="O262" s="3">
        <f>2213.1+(132-290.1)+(3.386043+(0.20196-0.443853))+0-66.6-0.101898000000004</f>
        <v>1991.4422520000003</v>
      </c>
      <c r="P262" s="3">
        <f>2198.3+(141-232)+(-3.363399+(-0.21573--0.35496))+0-62.3--0.0953190000000036</f>
        <v>2041.8711500000002</v>
      </c>
      <c r="Q262" s="3">
        <f>2161.8+(145.6-197.2)+(-2.205036+(-0.148512--0.201144))+0-80.4--0.0820080000000128</f>
        <v>2027.7296040000003</v>
      </c>
      <c r="R262" s="3">
        <f>2142.8+(126.4-201.5)+(-2.185656+(-0.128928--0.20553))+0-49.1--0.0500820000000078</f>
        <v>2016.5410280000003</v>
      </c>
      <c r="S262" s="3">
        <f>2141.8+(87.6-206.8)+(-1.092318+(-0.044676--0.105468))+0-58--0.0295799999999941</f>
        <v>1963.598054</v>
      </c>
      <c r="T262" s="3">
        <f>2132.9+(100.1-257.6)+(1.087779+(0.051051-0.131376))+0-78.5-0.040034999999992</f>
        <v>1897.8674190000002</v>
      </c>
      <c r="U262" s="3">
        <f>2140.3+(92.7-275.5)+(1.091553+(0.047277-0.140505))+0-39.3-0.020042999999996</f>
        <v>1919.1782820000003</v>
      </c>
      <c r="V262" s="3">
        <f>2195.1+(143.2-93.6)+(-5.597505+(-0.36516--0.23868))+0-73.7--0.187934999999989</f>
        <v>2165.4639499999998</v>
      </c>
      <c r="W262" s="3">
        <f>2322.3+(202.5-119.8)+(0+(0-0))+0-67.5-0</f>
        <v>2337.5</v>
      </c>
      <c r="X262" s="3">
        <f>2306.1+(199.7-138)+(-7.056666+(-0.611082--0.42228))+0-79.5--0.243270000000009</f>
        <v>2281.2978019999996</v>
      </c>
      <c r="Y262" s="3">
        <f>2319.4+(156.6-179.9)+(-4.731576+(-0.319464--0.366996))+0-63.6--0.129743999999997</f>
        <v>2227.9456999999998</v>
      </c>
      <c r="Z262" s="3">
        <f>2322.6+(141.4-198.1)+(-3.553578+(-0.216342--0.303093))+0-88.9--0.136017000000005</f>
        <v>2173.6691899999996</v>
      </c>
      <c r="AA262" s="3">
        <f>2179.6+(141.7-190.2)+(-3.334788+(-0.216801--0.291006))+0-68.2--0.104346000000004</f>
        <v>2059.7437629999999</v>
      </c>
      <c r="AB262" s="3">
        <f>1989.2+(187.1-115.5)+(-4.057968+(-0.381684--0.23562))+0-53.7--0.109547999999998</f>
        <v>2003.0055159999999</v>
      </c>
      <c r="AC262" s="3">
        <f>1844.4+(181.1-85.3)+(-4.70322+(-0.461805--0.217515))+0-92.2--0.235109999999987</f>
        <v>1843.2876000000001</v>
      </c>
      <c r="AD262">
        <f t="shared" si="4"/>
        <v>46159.934222000004</v>
      </c>
      <c r="AE262" s="3">
        <f>2325+(206.7-124.8)+(0+(0-0))+0-88.9-0</f>
        <v>2318</v>
      </c>
    </row>
    <row r="263" spans="1:31" s="2" customFormat="1" x14ac:dyDescent="0.25">
      <c r="A263">
        <v>89</v>
      </c>
      <c r="B263">
        <v>9</v>
      </c>
      <c r="C263">
        <v>17</v>
      </c>
      <c r="D263">
        <v>5</v>
      </c>
      <c r="E263">
        <v>1</v>
      </c>
      <c r="F263" s="3">
        <f>1861.1+(108-151.4)+(-5.694966+(-0.33048--0.463284))+0-66.9--0.204714000000008</f>
        <v>1745.4425519999998</v>
      </c>
      <c r="G263" s="3">
        <f>1702.6+(133.7-74.8)+(-3.473304+(-0.272748--0.152592))+0-76.9--0.156875999999997</f>
        <v>1681.1634159999999</v>
      </c>
      <c r="H263" s="3">
        <f>1632.3+(149.8-51.4)+(-4.162365+(-0.38199--0.13107))+0-81.6--0.208079999999988</f>
        <v>1644.8947949999999</v>
      </c>
      <c r="I263" s="3">
        <f>1584.7+(195.3-52.5)+(0+(0-0))+0-85.2-0</f>
        <v>1642.3</v>
      </c>
      <c r="J263" s="3">
        <f>1715.1+(120.1-98.2)+(0.874701+(0.061251-0.050082))+0-80.6-0.0411059999999918</f>
        <v>1657.2447640000003</v>
      </c>
      <c r="K263" s="3">
        <f>1846+(118-183.3)+(-1.88292+(-0.12036--0.186966))+0-83.8--0.0854760000000134</f>
        <v>1695.1691620000001</v>
      </c>
      <c r="L263" s="3">
        <f>1949+(118-296.7)+(0+(0-0))+0-83.1-0</f>
        <v>1687.2</v>
      </c>
      <c r="M263" s="3">
        <f>2010.1+(118-263.8)+(-2.050302+(-0.12036--0.269076))+0-77.9--0.0794580000000124</f>
        <v>1784.5778719999998</v>
      </c>
      <c r="N263" s="3">
        <f>2167.3+(133.9-359.7)+(-3.315969+(-0.204867--0.550341))+0-41--0.0627300000000024</f>
        <v>1897.5922350000003</v>
      </c>
      <c r="O263" s="3">
        <f>2240.6+(133.2-309.2)+(-2.285412+(-0.135864--0.315384))+0-88.9--0.0906780000000142</f>
        <v>1973.6847859999998</v>
      </c>
      <c r="P263" s="3">
        <f>2348.7+(134.9-370)+(-3.593511+(-0.206397--0.5661))+0-65.1--0.0996030000000038</f>
        <v>2045.3657950000002</v>
      </c>
      <c r="Q263" s="3">
        <f>2308.2+(129.7-349.2)+(-3.531546+(-0.198441--0.534276))+0-79.2--0.121176000000005</f>
        <v>2006.425465</v>
      </c>
      <c r="R263" s="3">
        <f>2213.2+(131.3-267.3)+(-5.64366+(-0.334815--0.681615))+0-59.5--0.151724999999991</f>
        <v>2012.5548649999998</v>
      </c>
      <c r="S263" s="3">
        <f>2140.9+(131.5-246.6)+(-2.183718+(-0.13413--0.251532))+0-55.7--0.0568140000000089</f>
        <v>1968.0904980000003</v>
      </c>
      <c r="T263" s="3">
        <f>2029.5+(176.1-202)+(-2.07009+(-0.179622--0.20604))+0-77.9--0.0794580000000124</f>
        <v>1923.7357859999997</v>
      </c>
      <c r="U263" s="3">
        <f>2068.6+(149.8-209.9)+(-2.109972+(-0.152796--0.214098))+0-64.1--0.0653820000000102</f>
        <v>1942.4167120000002</v>
      </c>
      <c r="V263" s="3">
        <f>2240.2+(189.6-172.4)+(-4.570008+(-0.386784--0.351696))+0-81.5--0.166259999999996</f>
        <v>2171.4611639999998</v>
      </c>
      <c r="W263" s="3">
        <f>2442.9+(171.2-181.9)+(-1.245879+(-0.087312--0.092769))+0-81.5--0.0415649999999917</f>
        <v>2349.5011430000004</v>
      </c>
      <c r="X263" s="3">
        <f>2561+(139.4-301.1)+(-3.91833+(-0.213282--0.460683))+0-85.1--0.130203000000005</f>
        <v>2310.6592740000006</v>
      </c>
      <c r="Y263" s="3">
        <f>2529.5+(140-358.7)+(-5.16018+(-0.2856--0.731748))+0-77.6--0.158303999999997</f>
        <v>2228.6442720000005</v>
      </c>
      <c r="Z263" s="3">
        <f>2423.2+(136.4-250)+(1.235832+(0.069564-0.1275))+0-86.3-0.0440129999999912</f>
        <v>2224.4338829999997</v>
      </c>
      <c r="AA263" s="3">
        <f>2257.2+(135.5-234)+(-2.302344+(-0.13821--0.23868))+0-82.3--0.0839460000000131</f>
        <v>2074.282072</v>
      </c>
      <c r="AB263" s="3">
        <f>2253.8+(111.5-286.6)+(-5.74719+(-0.284325--0.73083))+0-80.8--0.206039999999988</f>
        <v>1992.8053550000002</v>
      </c>
      <c r="AC263" s="3">
        <f>1932.3+(125.9-143.4)+(-1.970946+(-0.128418--0.146268))+0-60.2--0.0614040000000096</f>
        <v>1852.708308</v>
      </c>
      <c r="AD263">
        <f t="shared" si="4"/>
        <v>46512.354174</v>
      </c>
      <c r="AE263" s="3">
        <f>2433+(139.5-214.5)+(0+(0-0))+0-17.2-0</f>
        <v>2340.8000000000002</v>
      </c>
    </row>
    <row r="264" spans="1:31" s="2" customFormat="1" x14ac:dyDescent="0.25">
      <c r="A264">
        <v>89</v>
      </c>
      <c r="B264">
        <v>9</v>
      </c>
      <c r="C264">
        <v>18</v>
      </c>
      <c r="D264">
        <v>6</v>
      </c>
      <c r="E264">
        <v>1</v>
      </c>
      <c r="F264" s="3">
        <f>1813.2+(130.5-125.9)+(0.924732+(0.066555-0.064209))+0-91.7-0.0467669999999907</f>
        <v>1726.9803109999998</v>
      </c>
      <c r="G264" s="3">
        <f>1684.3+(148.2-92.1)+(-0.858993+(-0.075582--0.046971))+0-81--0.0413099999999918</f>
        <v>1658.5537059999999</v>
      </c>
      <c r="H264" s="3">
        <f>1581.3+(189.1-52.7)+(-0.806463+(-0.096441--0.026877))+0-79.5--0.0405449999999919</f>
        <v>1637.3645179999999</v>
      </c>
      <c r="I264" s="3">
        <f>1554.7+(201.6-54.6)+(0+(0-0))+0-71.6-0</f>
        <v>1630.1000000000001</v>
      </c>
      <c r="J264" s="3">
        <f>1653.5+(151.2-88.4)+(2.529855+(0.231336-0.135252))+0-72.5-0.110925000000004</f>
        <v>1646.315014</v>
      </c>
      <c r="K264" s="3">
        <f>1695.5+(149.3-114.2)+(0.864705+(0.076143-0.058242))+0-84.4-0.0430439999999914</f>
        <v>1647.0395619999997</v>
      </c>
      <c r="L264" s="3">
        <f>1684.4+(187.7-120.9)+(-3.436176+(-0.382908--0.246636))+0-81.4--0.166055999999996</f>
        <v>1666.3936080000001</v>
      </c>
      <c r="M264" s="3">
        <f>1771+(179.1-122.6)+(-1.80642+(-0.182682--0.125052))+0-69--0.070380000000011</f>
        <v>1756.7063300000002</v>
      </c>
      <c r="N264" s="3">
        <f>1918.1+(142.3-150.3)+(3.912924+(0.290292-0.306612))+0-48.5-0.0989399999999979</f>
        <v>1865.3976639999998</v>
      </c>
      <c r="O264" s="3">
        <f>2002.2+(136.8-146.4)+(-1.021122+(-0.069768--0.074664))+0-38.2--0.0194819999999961</f>
        <v>1953.4032560000001</v>
      </c>
      <c r="P264" s="3">
        <f>2010.5+(187.8-116.7)+(1.025355+(0.095778-0.059517))+0-68.7-0.035036999999993</f>
        <v>2013.9265789999997</v>
      </c>
      <c r="Q264" s="3">
        <f>2041+(164.5-126.2)+(-1.04091+(-0.083895--0.064362))+0-79.9--0.0407489999999919</f>
        <v>1998.3803060000002</v>
      </c>
      <c r="R264" s="3">
        <f>2043.8+(132.4-137.4)+(-5.21169+(-0.33762--0.35037))+0-81.9--0.208844999999988</f>
        <v>1951.9099049999998</v>
      </c>
      <c r="S264" s="3">
        <f>2028.5+(103.8-141.5)+(-2.06907+(-0.105876--0.14433))+0-82.7--0.0843540000000132</f>
        <v>1906.153738</v>
      </c>
      <c r="T264" s="3">
        <f>1975.3+(113.6-150.2)+(-1.007403+(-0.057936--0.076602))+0-66.9--0.0341189999999932</f>
        <v>1870.845382</v>
      </c>
      <c r="U264" s="3">
        <f>2000.7+(107.1-129.4)+(-2.040714+(-0.109242--0.131988))+0-88.9--0.0906780000000142</f>
        <v>1887.5727099999999</v>
      </c>
      <c r="V264" s="3">
        <f>2120.8+(141.6-122.9)+(0+(0-0))+0-38-0</f>
        <v>2101.5</v>
      </c>
      <c r="W264" s="3">
        <f>2310.7+(185.1-109.2)+(1.178457+(0.094401-0.055692))+0-83.4-0.0425339999999915</f>
        <v>2304.3746319999996</v>
      </c>
      <c r="X264" s="3">
        <f>2270.9+(160.6-122.1)+(0+(0-0))+0-80.6-0</f>
        <v>2228.8000000000002</v>
      </c>
      <c r="Y264" s="3">
        <f>2212.7+(134.3-101.1)+(-3.385431+(-0.205479--0.154683))+0-78--0.119340000000005</f>
        <v>2164.5831129999997</v>
      </c>
      <c r="Z264" s="3">
        <f>2151.5+(170.3-131)+(-2.19453+(-0.173706--0.13362))+0-62.4--0.0636480000000099</f>
        <v>2126.2290319999997</v>
      </c>
      <c r="AA264" s="3">
        <f>2042.7+(187.7-117.9)+(1.041777+(0.095727-0.060129))+0-85.9-0.0438089999999913</f>
        <v>2027.6335659999997</v>
      </c>
      <c r="AB264" s="3">
        <f>2001.5+(131.9-130.4)+(-5.103825+(-0.336345--0.33252))+0-82.8--0.211139999999988</f>
        <v>1915.30349</v>
      </c>
      <c r="AC264" s="3">
        <f>1903.6+(122.8-125.7)+(-7.766688+(-0.501024--0.512856))+0-77.5--0.316199999999993</f>
        <v>1815.7613439999998</v>
      </c>
      <c r="AD264">
        <f t="shared" si="4"/>
        <v>45501.227766000004</v>
      </c>
      <c r="AE264" s="3">
        <f>2333+(174-121.8)+(0+(0-0))+0-90.7-0</f>
        <v>2294.5</v>
      </c>
    </row>
    <row r="265" spans="1:31" s="2" customFormat="1" x14ac:dyDescent="0.25">
      <c r="A265">
        <v>89</v>
      </c>
      <c r="B265">
        <v>9</v>
      </c>
      <c r="C265">
        <v>19</v>
      </c>
      <c r="D265">
        <v>7</v>
      </c>
      <c r="E265">
        <v>1</v>
      </c>
      <c r="F265" s="3">
        <f>1850.9+(107.8-168.3)+(0+(0-0))+0-68.2-0</f>
        <v>1722.2</v>
      </c>
      <c r="G265" s="3">
        <f>1692.2+(129.3-102.2)+(-2.589066+(-0.197829--0.156366))+0-71.2--0.108936000000004</f>
        <v>1645.578407</v>
      </c>
      <c r="H265" s="3">
        <f>1617.6+(158.3-77.1)+(-1.649952+(-0.161466--0.078642))+0-90.2--0.0920040000000144</f>
        <v>1606.9592279999999</v>
      </c>
      <c r="I265" s="3">
        <f>1641.5+(108.3-108.8)+(0.837165+(0.055233-0.055488))+0-58.3-0.0297329999999941</f>
        <v>1583.507177</v>
      </c>
      <c r="J265" s="3">
        <f>1668.1+(107.8-117)+(-4.253655+(-0.27489--0.29835))+0-69.1--0.17620499999999</f>
        <v>1585.7460099999998</v>
      </c>
      <c r="K265" s="3">
        <f>1560.2+(199-89.4)+(0.795702+(0.10149-0.045594))+0-72.8-0.0371279999999926</f>
        <v>1597.81447</v>
      </c>
      <c r="L265" s="3">
        <f>1621.7+(135.3-119.1)+(-1.654134+(-0.138006--0.121482))+0-80--0.0816000000000128</f>
        <v>1556.3109420000001</v>
      </c>
      <c r="M265" s="3">
        <f>1572+(144.9-110.2)+(-2.40516+(-0.221697--0.168606))+0-54.9--0.0839970000000032</f>
        <v>1549.4257459999999</v>
      </c>
      <c r="N265" s="3">
        <f>1655.3+(137.3-95.3)+(-1.688406+(-0.140046--0.097206))+0-72.3--0.0737460000000115</f>
        <v>1623.3425</v>
      </c>
      <c r="O265" s="3">
        <f>1766.7+(140.2-127.4)+(-2.703051+(-0.214506--0.194922))+0-90.2--0.138006000000005</f>
        <v>1686.7153709999998</v>
      </c>
      <c r="P265" s="3">
        <f>1813.2+(115.8-153.9)+(-3.698928+(-0.236232--0.313956))+0-30.1--0.0614039999999987</f>
        <v>1741.4402000000002</v>
      </c>
      <c r="Q265" s="3">
        <f>1840.1+(117-155.6)+(-1.876902+(-0.11934--0.158712))+0-53.5--0.0545700000000085</f>
        <v>1746.21704</v>
      </c>
      <c r="R265" s="3">
        <f>1847+(119-153.7)+(-2.82591+(-0.18207--0.235161))+0-78.9--0.120717000000005</f>
        <v>1730.7478979999999</v>
      </c>
      <c r="S265" s="3">
        <f>1831.9+(118.9-156.2)+(-3.737076+(-0.242556--0.318648))+0-74.6--0.152183999999997</f>
        <v>1716.4912000000002</v>
      </c>
      <c r="T265" s="3">
        <f>1748.5+(143-129.7)+(-1.78347+(-0.14586--0.132294))+0-67.2--0.0685440000000107</f>
        <v>1692.8715079999999</v>
      </c>
      <c r="U265" s="3">
        <f>1675.3+(173.9-100.3)+(0+(0-0))+0-64.9-0</f>
        <v>1683.9999999999998</v>
      </c>
      <c r="V265" s="3">
        <f>1951.1+(133.8-121.6)+(-4.975305+(-0.34119--0.31008))+0-85.6--0.218279999999988</f>
        <v>1872.911865</v>
      </c>
      <c r="W265" s="3">
        <f>2165.3+(123.2-127.8)+(1.104303+(0.062832-0.065178))+0-80.5-0.0410549999999918</f>
        <v>2081.260902</v>
      </c>
      <c r="X265" s="3">
        <f>2178.8+(97.6-145.2)+(-1.111188+(-0.049776--0.074052))+0-73.6--0.0375359999999925</f>
        <v>2056.550624</v>
      </c>
      <c r="Y265" s="3">
        <f>2174.3+(95.6-152.6)+(-3.326679+(-0.146268--0.233478))+0-80.6--0.123318000000005</f>
        <v>2033.5838490000001</v>
      </c>
      <c r="Z265" s="3">
        <f>2125.2+(124.1-160.1)+(-1.083852+(-0.063291--0.081651))+0-78.6--0.040085999999992</f>
        <v>2009.5745939999997</v>
      </c>
      <c r="AA265" s="3">
        <f>1993.4+(169.1-137.3)+(0+(0-0))+0-76-0</f>
        <v>1949.2</v>
      </c>
      <c r="AB265" s="3">
        <f>1963.4+(136-133.9)+(-2.002668+(-0.13872--0.136578))+0-85.4--0.0871080000000136</f>
        <v>1878.1822979999999</v>
      </c>
      <c r="AC265" s="3">
        <f>1894.1+(106.6-167.2)+(-5.795946+(-0.326196--0.511632))+0-57.1--0.174726000000007</f>
        <v>1770.9642160000001</v>
      </c>
      <c r="AD265">
        <f t="shared" si="4"/>
        <v>42121.596044999998</v>
      </c>
      <c r="AE265" s="3">
        <f>2180+(126.4-126)+(0+(0-0))+0-90-0</f>
        <v>2090.4</v>
      </c>
    </row>
    <row r="266" spans="1:31" s="2" customFormat="1" x14ac:dyDescent="0.25">
      <c r="A266">
        <v>89</v>
      </c>
      <c r="B266">
        <v>9</v>
      </c>
      <c r="C266">
        <v>20</v>
      </c>
      <c r="D266">
        <v>1</v>
      </c>
      <c r="E266">
        <v>1</v>
      </c>
      <c r="F266" s="3">
        <f>1620.8+(175.7-80.8)+(-2.479824+(-0.268821--0.123624))+0-85.1--0.130203000000005</f>
        <v>1628.105182</v>
      </c>
      <c r="G266" s="3">
        <f>1599.9+(141.4-89.2)+(2.447847+(0.216342-0.136476))+0-68.5-0.104805000000004</f>
        <v>1586.0229080000001</v>
      </c>
      <c r="H266" s="3">
        <f>1583.9+(143-87.7)+(-1.615578+(-0.14586--0.089454))+0-73.1--0.0745620000000116</f>
        <v>1564.5025780000001</v>
      </c>
      <c r="I266" s="3">
        <f>1561.7+(140.3-91.4)+(0+(0-0))+0-58.5-0</f>
        <v>1552.1000000000001</v>
      </c>
      <c r="J266" s="3">
        <f>1553.1+(170.2-99.6)+(-0.792081+(-0.086802--0.050796))+0-75.2--0.0383519999999924</f>
        <v>1547.7102649999997</v>
      </c>
      <c r="K266" s="3">
        <f>1605.9+(177.6-116.8)+(4.095045+(0.45288-0.29784))+0-84.5-0.215474999999988</f>
        <v>1586.23461</v>
      </c>
      <c r="L266" s="3">
        <f>1614.7+(191.2-118.4)+(-0.823497+(-0.097512--0.060384))+0-71.7--0.0365669999999927</f>
        <v>1614.975942</v>
      </c>
      <c r="M266" s="3">
        <f>1713.5+(184.1-123.5)+(-0.873885+(-0.093891--0.062985))+0-68.9--0.035138999999993</f>
        <v>1704.330348</v>
      </c>
      <c r="N266" s="3">
        <f>1918.8+(145.1-141.3)+(0+(0-0))+0-78.3-0</f>
        <v>1844.3</v>
      </c>
      <c r="O266" s="3">
        <f>1987.4+(145.4-126)+(-2.027148+(-0.148308--0.12852))+0-75.9--0.0774180000000121</f>
        <v>1928.9304820000002</v>
      </c>
      <c r="P266" s="3">
        <f>1982.6+(179.8-90.7)+(1.011126+(0.091698-0.046257))+0-75.8-0.0386579999999923</f>
        <v>1996.917909</v>
      </c>
      <c r="Q266" s="3">
        <f>2001.1+(135.5-117.3)+(-5.102805+(-0.345525--0.299115))+0-14.1--0.035954999999998</f>
        <v>2000.0867400000002</v>
      </c>
      <c r="R266" s="3">
        <f>2004.1+(151.3-109.2)+(-4.088364+(-0.308652--0.222768))+0-55.5--0.113219999999998</f>
        <v>1986.6389719999997</v>
      </c>
      <c r="S266" s="3">
        <f>2008.8+(133.7-138.7)+(-4.097952+(-0.272748--0.282948))+0-51.5--0.105059999999998</f>
        <v>1948.3173080000001</v>
      </c>
      <c r="T266" s="3">
        <f>1938.4+(185.6-115.2)+(3.954336+(0.378624-0.235008))+0-80.9-0.165035999999996</f>
        <v>1931.8329160000001</v>
      </c>
      <c r="U266" s="3">
        <f>2062.7+(133.9-184)+(-5.259885+(-0.341445--0.4692))+0-68.1--0.17365499999999</f>
        <v>1939.5415250000001</v>
      </c>
      <c r="V266" s="3">
        <f>2235+(150.6-163.8)+(-3.41955+(-0.230418--0.250614))+0-66.8--0.102204000000004</f>
        <v>2151.7028499999997</v>
      </c>
      <c r="W266" s="3">
        <f>2596.3+(134.1-331.2)+(-3.972339+(-0.205173--0.506736))+0-71.2--0.108936000000004</f>
        <v>2324.4381600000006</v>
      </c>
      <c r="X266" s="3">
        <f>2594.4+(136.5-375.4)+(-5.292576+(-0.27846--0.765816))+0-66--0.134639999999997</f>
        <v>2284.82942</v>
      </c>
      <c r="Y266" s="3">
        <f>2557.7+(136.9-411.6)+(-3.913281+(-0.209457--0.629748))+0-61.5--0.0940950000000036</f>
        <v>2218.1011049999997</v>
      </c>
      <c r="Z266" s="3">
        <f>2355.3+(137.5-304.1)+(-4.804812+(-0.2805--0.620364))+0-37.6--0.0767039999999984</f>
        <v>2146.7117560000006</v>
      </c>
      <c r="AA266" s="3">
        <f>2259.3+(137-311.6)+(-3.456729+(-0.20961--0.476748))+0-15.8--0.0241740000000009</f>
        <v>2065.7345830000004</v>
      </c>
      <c r="AB266" s="3">
        <f>1980.1+(137.5-141.8)+(-4.039404+(-0.2805--0.289272))+0-14.3--0.0291719999999994</f>
        <v>1957.49854</v>
      </c>
      <c r="AC266" s="3">
        <f>1923.5+(100.4-166.9)+(-2.942955+(-0.153612--0.255357))+0-12.6--0.0192780000000007</f>
        <v>1841.578068</v>
      </c>
      <c r="AD266">
        <f t="shared" si="4"/>
        <v>45351.142166999998</v>
      </c>
      <c r="AE266" s="3">
        <f>2640+(134.6-381)+(0+(0-0))+0-96.4-0</f>
        <v>2297.1999999999998</v>
      </c>
    </row>
    <row r="267" spans="1:31" s="2" customFormat="1" x14ac:dyDescent="0.25">
      <c r="A267">
        <v>89</v>
      </c>
      <c r="B267">
        <v>9</v>
      </c>
      <c r="C267">
        <v>21</v>
      </c>
      <c r="D267">
        <v>2</v>
      </c>
      <c r="E267">
        <v>1</v>
      </c>
      <c r="F267" s="3">
        <f>1763.6+(99-148.1)+(-4.49718+(-0.25245--0.377655))+0-13.9--0.035444999999998</f>
        <v>1696.2634699999999</v>
      </c>
      <c r="G267" s="3">
        <f>1672+(113.8-110.5)+(-0.85272+(-0.058038--0.056355))+0-30.3--0.0154529999999969</f>
        <v>1644.1610499999999</v>
      </c>
      <c r="H267" s="3">
        <f>1631.7+(135.6-86.7)+(-3.328668+(-0.276624--0.176868))+0-61.2--0.124847999999997</f>
        <v>1616.0964240000001</v>
      </c>
      <c r="I267" s="3">
        <f>1615.5+(135.3-88.6)+(2.471715+(0.207009-0.135558))+0-54.1-0.0827730000000031</f>
        <v>1610.560393</v>
      </c>
      <c r="J267" s="3">
        <f>1585.9+(163.3-77.3)+(4.044045+(0.416415-0.197115))+0-58.3-0.148664999999992</f>
        <v>1617.7146800000003</v>
      </c>
      <c r="K267" s="3">
        <f>1761.2+(109.9-166.3)+(2.694636+(0.168147-0.254439))+0-68.8-0.105264000000004</f>
        <v>1638.50308</v>
      </c>
      <c r="L267" s="3">
        <f>1936+(127-340.1)+(-0.98736+(-0.06477--0.173451))+0-34.8--0.0177479999999965</f>
        <v>1687.2390690000002</v>
      </c>
      <c r="M267" s="3">
        <f>2132+(126.3-402.1)+(-1.08732+(-0.064413--0.205071))+0-80.4--0.0410039999999918</f>
        <v>1774.8943419999998</v>
      </c>
      <c r="N267" s="3">
        <f>2259.9+(125.5-472.1)+(0+(0-0))+0-26.4-0</f>
        <v>1886.9</v>
      </c>
      <c r="O267" s="3">
        <f>2337.8+(120-482)+(-3.576834+(-0.1836--0.73746))+0-17.6--0.026928000000001</f>
        <v>1955.2039540000003</v>
      </c>
      <c r="P267" s="3">
        <f>2338.3+(120-398.1)+(-1.192533+(-0.0612--0.203031))+0-85--0.0433499999999914</f>
        <v>1974.1926480000002</v>
      </c>
      <c r="Q267" s="3">
        <f>2359.4+(125.7-400.2)+(-3.609882+(-0.192321--0.612306))+0-76.5--0.117045000000004</f>
        <v>2005.3271479999999</v>
      </c>
      <c r="R267" s="3">
        <f>2296.6+(124.7-366.9)+(-9.370128+(-0.508776--1.496952))+0-62.1--0.253367999999995</f>
        <v>1984.1714160000001</v>
      </c>
      <c r="S267" s="3">
        <f>2338.5+(125.4-411)+(-1.192635+(-0.063954--0.20961))+0-84.4--0.0430439999999914</f>
        <v>1967.4960649999998</v>
      </c>
      <c r="T267" s="3">
        <f>2413.9+(125-573.7)+(-3.693267+(-0.19125--0.877761))+0-44--0.0673200000000025</f>
        <v>1918.2605640000002</v>
      </c>
      <c r="U267" s="3">
        <f>2379+(126.4-494.1)+(3.63987+(0.193392-0.755973))+0-73-0.111690000000004</f>
        <v>1941.2655990000001</v>
      </c>
      <c r="V267" s="3">
        <f>2408+(126.7-322.7)+(-6.1404+(-0.323085--0.822885))+0-73.9--0.188444999999989</f>
        <v>2132.6478449999995</v>
      </c>
      <c r="W267" s="3">
        <f>2517.5+(126.8-248.9)+(1.283925+(0.064668-0.126939))+0-80.1-0.0408509999999919</f>
        <v>2316.4808029999999</v>
      </c>
      <c r="X267" s="3">
        <f>2524.9+(125.5-351.3)+(-3.863097+(-0.192015--0.537489))+0-51.4--0.078642000000003</f>
        <v>2244.2610189999996</v>
      </c>
      <c r="Y267" s="3">
        <f>2441.6+(125.5-283.5)+(-3.735648+(-0.192015--0.433755))+0-65.6--0.100368000000004</f>
        <v>2214.60646</v>
      </c>
      <c r="Z267" s="3">
        <f>2402.9+(125.4-310.1)+(-2.450958+(-0.127908--0.316302))+0-61--0.0622200000000097</f>
        <v>2154.999656</v>
      </c>
      <c r="AA267" s="3">
        <f>2342.6+(125.7-362.1)+(0+(0-0))+0-45.1-0</f>
        <v>2061.1</v>
      </c>
      <c r="AB267" s="3">
        <f>2229.1+(108.7-286)+(-3.410523+(-0.166311--0.43758))+0-82.2--0.125766000000005</f>
        <v>1966.5865119999996</v>
      </c>
      <c r="AC267" s="3">
        <f>2031.1+(100-226.1)+(-2.071722+(-0.102--0.230622))+0-81.2--0.082824000000013</f>
        <v>1821.9397240000001</v>
      </c>
      <c r="AD267">
        <f t="shared" si="4"/>
        <v>45830.871920999998</v>
      </c>
      <c r="AE267" s="3">
        <f>2550+(126.4-253.6)+(0+(0-0))+0-88.9-0</f>
        <v>2333.9</v>
      </c>
    </row>
    <row r="268" spans="1:31" s="2" customFormat="1" x14ac:dyDescent="0.25">
      <c r="A268">
        <v>89</v>
      </c>
      <c r="B268">
        <v>9</v>
      </c>
      <c r="C268">
        <v>22</v>
      </c>
      <c r="D268">
        <v>3</v>
      </c>
      <c r="E268">
        <v>1</v>
      </c>
      <c r="F268" s="3">
        <f>1913+(99.6-233.1)+(-5.85378+(-0.304776--0.713286))+0-75.5--0.231030000000009</f>
        <v>1698.78576</v>
      </c>
      <c r="G268" s="3">
        <f>1737.1+(99.9-129.7)+(-6.201447+(-0.356643--0.463029))+0-62.6--0.223482000000001</f>
        <v>1638.8284210000002</v>
      </c>
      <c r="H268" s="3">
        <f>1747.1+(100.3-133.5)+(-2.673063+(-0.153459--0.204255))+0-90.8--0.138924000000005</f>
        <v>1620.616657</v>
      </c>
      <c r="I268" s="3">
        <f>1754.3+(99.9-165.6)+(0+(0-0))+0-76.4-0</f>
        <v>1612.1999999999998</v>
      </c>
      <c r="J268" s="3">
        <f>1788.6+(99.4-195.4)+(-0.912186+(-0.050694--0.099654))+0-78.3--0.0399329999999921</f>
        <v>1613.476707</v>
      </c>
      <c r="K268" s="3">
        <f>1881.4+(104.6-262)+(1.919028+(0.106692-0.26724))+0-75.8-0.0773160000000121</f>
        <v>1649.8811639999999</v>
      </c>
      <c r="L268" s="3">
        <f>1886.9+(130.8-230)+(-1.924638+(-0.133416--0.2346))+0-87.4--0.0891480000000139</f>
        <v>1698.5656939999999</v>
      </c>
      <c r="M268" s="3">
        <f>1988.7+(132.7-280.7)+(1.014237+(0.067677-0.143157))+0-60.3-0.0307529999999939</f>
        <v>1781.308004</v>
      </c>
      <c r="N268" s="3">
        <f>2059.6+(132.8-232.1)+(-2.100792+(-0.135456--0.236742))+0-65.3--0.0666060000000104</f>
        <v>1893.0671</v>
      </c>
      <c r="O268" s="3">
        <f>2135.9+(130.4-302.1)+(0+(0-0))+0-22.3-0</f>
        <v>1941.9</v>
      </c>
      <c r="P268" s="3">
        <f>2166.5+(131.3-223.8)+(0+(0-0))+0-83.1-0</f>
        <v>1990.9</v>
      </c>
      <c r="Q268" s="3">
        <f>2221.3+(131-302.8)+(0+(0-0))+0-52.4-0</f>
        <v>1997.1</v>
      </c>
      <c r="R268" s="3">
        <f>2183.2+(130.6-257.1)+(0+(0-0))+0-84.2-0</f>
        <v>1972.4999999999998</v>
      </c>
      <c r="S268" s="3">
        <f>2178.5+(132.6-271.5)+(0+(0-0))+0-87.2-0</f>
        <v>1952.3999999999999</v>
      </c>
      <c r="T268" s="3">
        <f>2147.7+(133.2-279.1)+(0+(0-0))+0-79.8-0</f>
        <v>1921.9999999999998</v>
      </c>
      <c r="U268" s="3">
        <f>2166.7+(133.2-291.6)+(0+(0-0))+0-81.7-0</f>
        <v>1926.5999999999997</v>
      </c>
      <c r="V268" s="3">
        <f>2281+(134.4-212.2)+(0+(0-0))+0-68.2-0</f>
        <v>2135</v>
      </c>
      <c r="W268" s="3">
        <f>2381.7+(155.9-142.6)+(0+(0-0))+0-79.3-0</f>
        <v>2315.6999999999998</v>
      </c>
      <c r="X268" s="3">
        <f>2381.8+(133.8-180)+(0+(0-0))+0-81.3-0</f>
        <v>2254.3000000000002</v>
      </c>
      <c r="Y268" s="3">
        <f>2379.7+(133.4-245.9)+(0+(0-0))+0-66.4-0</f>
        <v>2200.7999999999997</v>
      </c>
      <c r="Z268" s="3">
        <f>2368.2+(132.7-270)+(0+(0-0))+0-79.1-0</f>
        <v>2151.7999999999997</v>
      </c>
      <c r="AA268" s="3">
        <f>2322.7+(131.2-298.3)+(0+(0-0))+0-77.7-0</f>
        <v>2077.9</v>
      </c>
      <c r="AB268" s="3">
        <f>2125.6+(111.7-163.2)+(0+(0-0))+0-80.4-0</f>
        <v>1993.6999999999998</v>
      </c>
      <c r="AC268" s="3">
        <f>1936.2+(120.3-117.9)+(0+(0-0))+0-76.8-0</f>
        <v>1861.8000000000002</v>
      </c>
      <c r="AD268">
        <f t="shared" si="4"/>
        <v>45901.129507000005</v>
      </c>
      <c r="AE268" s="3">
        <f>2396+(134.1-209.7)+(0+(0-0))+0-20.5-0</f>
        <v>2299.9</v>
      </c>
    </row>
    <row r="269" spans="1:31" s="2" customFormat="1" x14ac:dyDescent="0.25">
      <c r="A269">
        <v>89</v>
      </c>
      <c r="B269">
        <v>9</v>
      </c>
      <c r="C269">
        <v>23</v>
      </c>
      <c r="D269">
        <v>4</v>
      </c>
      <c r="E269">
        <v>1</v>
      </c>
      <c r="F269" s="3">
        <f>1846+(109.6-114.1)+(0+(0-0))+0-75.4-0</f>
        <v>1766.1</v>
      </c>
      <c r="G269" s="3">
        <f>1686.4+(149.4-63.8)+(0+(0-0))+0-79.2-0</f>
        <v>1692.8</v>
      </c>
      <c r="H269" s="3">
        <f>1626.5+(160.1-61.6)+(0+(0-0))+0-74.2-0</f>
        <v>1650.8</v>
      </c>
      <c r="I269" s="3">
        <f>1816.2+(108.9-208.4)+(0+(0-0))+0-80.4-0</f>
        <v>1636.3</v>
      </c>
      <c r="J269" s="3">
        <f>1815.9+(109.1-205.4)+(0+(0-0))+0-79.4-0</f>
        <v>1640.2</v>
      </c>
      <c r="K269" s="3">
        <f>1859.6+(115.3-219.1)+(0+(0-0))+0-76.9-0</f>
        <v>1678.8999999999999</v>
      </c>
      <c r="L269" s="3">
        <f>1864.4+(132.6-216.9)+(0+(0-0))+0-72.9-0</f>
        <v>1707.2</v>
      </c>
      <c r="M269" s="3">
        <f>1897.2+(134-209.2)+(0+(0-0))+0-41.7-0</f>
        <v>1780.3</v>
      </c>
      <c r="N269" s="3">
        <f>1848.4+(142.5-79.8)+(0+(0-0))+0-15.2-0</f>
        <v>1895.9</v>
      </c>
      <c r="O269" s="3">
        <f>1919.2+(137.1-78.3)+(0+(0-0))+0-14.1-0</f>
        <v>1963.9</v>
      </c>
      <c r="P269" s="3">
        <f>2044.2+(134.1-167.3)+(0+(0-0))+0-14.1-0</f>
        <v>1996.9</v>
      </c>
      <c r="Q269" s="3">
        <f>2075.3+(133.3-208.4)+(0+(0-0))+0-14.2-0</f>
        <v>1986.0000000000002</v>
      </c>
      <c r="R269" s="3">
        <f>2054.9+(133.7-184.5)+(-5.239995+(-0.340935--0.470475))+0-34.2--0.087209999999995</f>
        <v>1964.876755</v>
      </c>
      <c r="S269" s="3">
        <f>1969.2+(205.3-134.1)+(-1.004292+(-0.104703--0.068391))+0-79.6--0.0405959999999919</f>
        <v>1959.7999920000002</v>
      </c>
      <c r="T269" s="3">
        <f>1911.8+(202.3-131.5)+(-2.925054+(-0.309519--0.201195))+0-69.3--0.106029000000004</f>
        <v>1910.3726509999999</v>
      </c>
      <c r="U269" s="3">
        <f>1873.1+(219.4-99.3)+(-4.776405+(-0.55947--0.253215))+0-67.3--0.17161499999999</f>
        <v>1920.9889549999998</v>
      </c>
      <c r="V269" s="3">
        <f>2030.1+(198.5-83)+(-5.176755+(-0.506175--0.21165))+0-82.9--0.211394999999988</f>
        <v>2057.4401149999994</v>
      </c>
      <c r="W269" s="3">
        <f>2317.7+(96.9-141.1)+(-2.364054+(-0.098838--0.143922))+0-85.9--0.0876180000000137</f>
        <v>2185.3686480000001</v>
      </c>
      <c r="X269" s="3">
        <f>2337+(55-219.8)+(-5.95935+(-0.14025--0.56049))+0-40.7--0.103784999999994</f>
        <v>2126.0646749999996</v>
      </c>
      <c r="Y269" s="3">
        <f>1944.4+(215.3-86.2)+(-0.991644+(-0.109803--0.043962))+0-20.8--0.0106079999999979</f>
        <v>2051.6531230000001</v>
      </c>
      <c r="Z269" s="3">
        <f>1847.2+(288-72.9)+(-3.768288+(-0.58752--0.148716))+0-72.1--0.147083999999997</f>
        <v>1986.1399920000001</v>
      </c>
      <c r="AA269" s="3">
        <f>1861.2+(176.2-76)+(0+(0-0))+0-50.4-0</f>
        <v>1911</v>
      </c>
      <c r="AB269" s="3">
        <f>1847.1+(146.6-69)+(-3.768084+(-0.299064--0.14076))+0-75.6--0.154223999999997</f>
        <v>1845.3278359999997</v>
      </c>
      <c r="AC269" s="3">
        <f>1848.7+(106.3-125.1)+(-0.942837+(-0.054213--0.063801))+0-76.1--0.0388109999999923</f>
        <v>1752.9055620000001</v>
      </c>
      <c r="AD269">
        <f t="shared" si="4"/>
        <v>45067.238303999999</v>
      </c>
      <c r="AE269" s="3">
        <f>2463+(41.2-189.3)+(0+(0-0))+0-90.3-0</f>
        <v>2224.6</v>
      </c>
    </row>
    <row r="270" spans="1:31" s="2" customFormat="1" x14ac:dyDescent="0.25">
      <c r="A270">
        <v>89</v>
      </c>
      <c r="B270">
        <v>9</v>
      </c>
      <c r="C270">
        <v>24</v>
      </c>
      <c r="D270">
        <v>5</v>
      </c>
      <c r="E270">
        <v>5</v>
      </c>
      <c r="F270" s="3">
        <f>1705.5+(108.6-83)+(-1.73961+(-0.110772--0.08466))+0-86.5--0.0882300000000138</f>
        <v>1642.9225079999999</v>
      </c>
      <c r="G270" s="3">
        <f>1588.7+(109.2-91.6)+(1.620474+(0.111384-0.093432))+0-60-0.0612000000000096</f>
        <v>1547.8772259999998</v>
      </c>
      <c r="H270" s="3">
        <f>1563.8+(111.1-87.5)+(0+(0-0))+0-73.6-0</f>
        <v>1513.8</v>
      </c>
      <c r="I270" s="3">
        <f>1572.3+(107.2-93.3)+(0.801873+(0.054672-0.047583))+0-80.1-0.0408509999999919</f>
        <v>1506.8681110000002</v>
      </c>
      <c r="J270" s="3">
        <f>1546.3+(131.6-72.7)+(0.788613+(0.067116-0.037077))+0-96.5-0.0492149999999902</f>
        <v>1509.469437</v>
      </c>
      <c r="K270" s="3">
        <f>1587+(121.9-113.6)+(-0.80937+(-0.062169--0.057936))+0-68.4--0.0348839999999931</f>
        <v>1526.1212809999997</v>
      </c>
      <c r="L270" s="3">
        <f>1606+(132.5-200.4)+(-0.81906+(-0.067575--0.102204))+0-71.2--0.0363119999999928</f>
        <v>1466.1518809999998</v>
      </c>
      <c r="M270" s="3">
        <f>1539.4+(134.4-178.1)+(-1.570188+(-0.137088--0.181662))+0-63.3--0.0645660000000101</f>
        <v>1430.9389520000002</v>
      </c>
      <c r="N270" s="3">
        <f>1526.4+(151.2-152)+(1.556928+(0.154224-0.15504))+0-69.5-0.0708900000000111</f>
        <v>1457.5852220000002</v>
      </c>
      <c r="O270" s="3">
        <f>1595.5+(132.3-172.4)+(0.813705+(0.067473-0.087924))+0-76.9-0.0392189999999922</f>
        <v>1479.2540349999999</v>
      </c>
      <c r="P270" s="3">
        <f>1708.2+(114.9-265.7)+(-3.484728+(-0.234396--0.542028))+0-70.1--0.143003999999997</f>
        <v>1484.2659080000003</v>
      </c>
      <c r="Q270" s="3">
        <f>1665.1+(114.8-219.1)+(-4.246005+(-0.29274--0.558705))+0-81.8--0.208589999999988</f>
        <v>1475.22855</v>
      </c>
      <c r="R270" s="3">
        <f>1512.8+(152.1-142.9)+(-1.543056+(-0.155142--0.145758))+0-90.9--0.0927180000000145</f>
        <v>1429.6402780000001</v>
      </c>
      <c r="S270" s="3">
        <f>1507.4+(139.3-157.9)+(-2.306322+(-0.213129--0.241587))+0-83.1--0.127143000000005</f>
        <v>1403.5492790000003</v>
      </c>
      <c r="T270" s="3">
        <f>1497+(134.5-167.3)+(-3.05388+(-0.27438--0.341292))+0-82.9--0.169115999999996</f>
        <v>1378.4821480000001</v>
      </c>
      <c r="U270" s="3">
        <f>1503.5+(136.1-212.6)+(-2.300355+(-0.208233--0.325278))+0-66.2--0.101286000000004</f>
        <v>1358.7179760000001</v>
      </c>
      <c r="V270" s="3">
        <f>1537.5+(174.3-133.3)+(1.56825+(0.177786-0.135966))+0-67.4-0.0687480000000108</f>
        <v>1512.6413219999999</v>
      </c>
      <c r="W270" s="3">
        <f>1719.6+(194.5-134.2)+(-0.876996+(-0.099195--0.068442))+0-88--0.0448799999999911</f>
        <v>1691.0371309999998</v>
      </c>
      <c r="X270" s="3">
        <f>1719+(174.9-156.9)+(-5.26014+(-0.535194--0.480114))+0-72--0.220320000000008</f>
        <v>1659.9050999999999</v>
      </c>
      <c r="Y270" s="3">
        <f>1615.5+(199.5-117.8)+(-3.29562+(-0.40698--0.240312))+0-78--0.159119999999997</f>
        <v>1615.8968320000001</v>
      </c>
      <c r="Z270" s="3">
        <f>1641.9+(143.9-149.7)+(0.837369+(0.073389-0.076347))+0-64.4-0.0328439999999935</f>
        <v>1572.501567</v>
      </c>
      <c r="AA270" s="3">
        <f>1695.6+(134.8-221.7)+(-0.864756+(-0.068748--0.113067))+0-72.1--0.0367709999999927</f>
        <v>1535.8163339999999</v>
      </c>
      <c r="AB270" s="3">
        <f>1649.3+(105.7-169.8)+(-1.682286+(-0.107814--0.173196))+0-94.5--0.0963900000000151</f>
        <v>1489.179486</v>
      </c>
      <c r="AC270" s="3">
        <f>1643.5+(97-253.9)+(-2.514555+(-0.14841--0.388467))+0-83.3--0.127449000000005</f>
        <v>1401.152951</v>
      </c>
      <c r="AD270">
        <f t="shared" si="4"/>
        <v>36089.003514999989</v>
      </c>
      <c r="AE270" s="3">
        <f>1768+(172.4-151.1)+(0+(0-0))+0-78.8-0</f>
        <v>1710.5</v>
      </c>
    </row>
    <row r="271" spans="1:31" s="2" customFormat="1" x14ac:dyDescent="0.25">
      <c r="A271">
        <v>89</v>
      </c>
      <c r="B271">
        <v>9</v>
      </c>
      <c r="C271">
        <v>25</v>
      </c>
      <c r="D271">
        <v>6</v>
      </c>
      <c r="E271">
        <v>5</v>
      </c>
      <c r="F271" s="3">
        <f>1571.5+(98.1-280.4)+(-3.20586+(-0.200124--0.572016))+0-71.7--0.146267999999997</f>
        <v>1314.8123000000001</v>
      </c>
      <c r="G271" s="3">
        <f>1482.1+(96.6-263.5)+(-2.267613+(-0.147798--0.403155))+0-62.1--0.0950130000000036</f>
        <v>1251.182757</v>
      </c>
      <c r="H271" s="3">
        <f>1453.1+(96.2-265.3)+(-1.482162+(-0.098124--0.270606))+0-66.1--0.0674220000000105</f>
        <v>1216.6577420000001</v>
      </c>
      <c r="I271" s="3">
        <f>1314.8+(96.4-146.3)+(-3.35274+(-0.24582--0.373065))+0-67.4--0.17186999999999</f>
        <v>1194.4463749999998</v>
      </c>
      <c r="J271" s="3">
        <f>1257+(112.4-99.4)+(-1.28214+(-0.114648--0.101388))+0-79.4--0.0809880000000127</f>
        <v>1189.3855879999999</v>
      </c>
      <c r="K271" s="3">
        <f>1303.7+(109-126.7)+(0+(0-0))+0-79.1-0</f>
        <v>1206.9000000000001</v>
      </c>
      <c r="L271" s="3">
        <f>1390.9+(134-286.3)+(-2.837436+(-0.27336--0.584052))+0-79.9--0.162995999999997</f>
        <v>1156.3362520000001</v>
      </c>
      <c r="M271" s="3">
        <f>1269+(135.2-225.6)+(-1.29438+(-0.137904--0.230112))+0-64.3--0.0655860000000102</f>
        <v>1113.1634139999999</v>
      </c>
      <c r="N271" s="3">
        <f>1339+(133.8-268.1)+(-0.68289+(-0.068238--0.136731))+0-80.4--0.0410039999999918</f>
        <v>1123.7266069999998</v>
      </c>
      <c r="O271" s="3">
        <f>1389.1+(133.5-335.2)+(1.416882+(0.13617-0.341904))+0-65.2-0.0665040000000104</f>
        <v>1123.3446439999998</v>
      </c>
      <c r="P271" s="3">
        <f>1388.9+(132.7-331.7)+(-4.958373+(-0.473739--1.184169))+0-68--0.242760000000001</f>
        <v>1117.8948170000001</v>
      </c>
      <c r="Q271" s="3">
        <f>1267.1+(132.5-190.5)+(-1.292442+(-0.13515--0.19431))+0-87--0.0887400000000139</f>
        <v>1120.9554579999999</v>
      </c>
      <c r="R271" s="3">
        <f>1269.2+(132.7-189.1)+(0.647292+(0.067677-0.096441))+0-85.6-0.0436559999999913</f>
        <v>1127.774872</v>
      </c>
      <c r="S271" s="3">
        <f>1378+(133-278.4)+(-1.40556+(-0.13566--0.283968))+0-79.4--0.0809880000000127</f>
        <v>1152.0237359999996</v>
      </c>
      <c r="T271" s="3">
        <f>1489.8+(133.4-346)+(-3.79899+(-0.34017--0.8823))+0-76.9--0.196094999999989</f>
        <v>1197.239235</v>
      </c>
      <c r="U271" s="3">
        <f>1525.1+(116.5-309.4)+(0+(0-0))+0-72.7-0</f>
        <v>1259.4999999999998</v>
      </c>
      <c r="V271" s="3">
        <f>1571.1+(99.8-124.2)+(-2.403783+(-0.152694--0.190026))+0-69.8--0.106794000000004</f>
        <v>1474.6403429999998</v>
      </c>
      <c r="W271" s="3">
        <f>1726.7+(162.2-102.1)+(-4.403085+(-0.41361--0.260355))+0-83.1--0.211904999999988</f>
        <v>1699.3555649999998</v>
      </c>
      <c r="X271" s="3">
        <f>1781.8+(145.3-141.7)+(-1.817436+(-0.148206--0.144534))+0-79--0.0805800000000126</f>
        <v>1704.6594720000001</v>
      </c>
      <c r="Y271" s="3">
        <f>1710.4+(182.6-122.2)+(0+(0-0))+0-80.8-0</f>
        <v>1690.0000000000002</v>
      </c>
      <c r="Z271" s="3">
        <f>1717.3+(170.6-141)+(-2.627469+(-0.261018--0.21573))+0-78.4--0.119952000000005</f>
        <v>1665.9471949999997</v>
      </c>
      <c r="AA271" s="3">
        <f>1819+(135.4-241.4)+(0.92769+(0.069054-0.123114))+0-75.2-0.0383519999999924</f>
        <v>1638.635278</v>
      </c>
      <c r="AB271" s="3">
        <f>1829.8+(106.9-268.9)+(-1.866396+(-0.109038--0.274278))+0-81.5--0.083130000000013</f>
        <v>1584.6819739999999</v>
      </c>
      <c r="AC271" s="3">
        <f>1724.5+(98.7-241.2)+(-1.75899+(-0.100674--0.246024))+0-91.3--0.0931260000000146</f>
        <v>1489.179486</v>
      </c>
      <c r="AD271">
        <f t="shared" si="4"/>
        <v>31812.44311</v>
      </c>
      <c r="AE271" s="3">
        <f>1821+(123.4-165.2)+(0+(0-0))+0-84.6-0</f>
        <v>1694.6000000000001</v>
      </c>
    </row>
    <row r="272" spans="1:31" s="2" customFormat="1" x14ac:dyDescent="0.25">
      <c r="A272">
        <v>89</v>
      </c>
      <c r="B272">
        <v>9</v>
      </c>
      <c r="C272">
        <v>26</v>
      </c>
      <c r="D272">
        <v>7</v>
      </c>
      <c r="E272">
        <v>1</v>
      </c>
      <c r="F272" s="3">
        <f>1637.5+(98.8-313.6)+(-2.505375+(-0.151164--0.479808))+0-22.9--0.0350370000000013</f>
        <v>1397.658306</v>
      </c>
      <c r="G272" s="3">
        <f>1514.8+(98.6-205.5)+(0+(0-0))+0-58.8-0</f>
        <v>1349.1</v>
      </c>
      <c r="H272" s="3">
        <f>1423.2+(98.9-130.8)+(-5.080824+(-0.353073--0.466956))+0-65.3--0.233121000000001</f>
        <v>1321.2661800000001</v>
      </c>
      <c r="I272" s="3">
        <f>1381.1+(106.5-99.5)+(0+(0-0))+0-77.3-0</f>
        <v>1310.8</v>
      </c>
      <c r="J272" s="3">
        <f>1386.2+(108.4-105.4)+(0+(0-0))+0-75.4-0</f>
        <v>1313.8</v>
      </c>
      <c r="K272" s="3">
        <f>1484.3+(99.3-163.1)+(2.270979+(0.151929-0.249543))+0-88.2-0.134946000000005</f>
        <v>1334.3384190000002</v>
      </c>
      <c r="L272" s="3">
        <f>1560.8+(134-289.5)+(-2.388024+(-0.20502--0.442935))+0-73.2--0.111996000000004</f>
        <v>1330.0618870000001</v>
      </c>
      <c r="M272" s="3">
        <f>1452+(135.7-178.6)+(-2.22156+(-0.207621--0.273258))+0-53.1--0.0812430000000031</f>
        <v>1353.9253200000001</v>
      </c>
      <c r="N272" s="3">
        <f>1594+(134.6-198.7)+(0+(0-0))+0-74.9-0</f>
        <v>1455</v>
      </c>
      <c r="O272" s="3">
        <f>1713.2+(133.9-223.2)+(0.873732+(0.068289-0.113832))+0-83.2-0.0424319999999916</f>
        <v>1541.4857570000001</v>
      </c>
      <c r="P272" s="3">
        <f>1696+(146.1-161.6)+(-4.3248+(-0.372555--0.41208))+0-76.4--0.194819999999989</f>
        <v>1600.0095449999999</v>
      </c>
      <c r="Q272" s="3">
        <f>1688.7+(156.9-160)+(-1.722474+(-0.160038--0.1632))+0-69.3--0.070686000000011</f>
        <v>1614.6513740000003</v>
      </c>
      <c r="R272" s="3">
        <f>1542.1+(230.3-99.8)+(-0.786471+(-0.117453--0.050898))+0-78.5--0.040034999999992</f>
        <v>1593.2870089999999</v>
      </c>
      <c r="S272" s="3">
        <f>1440.3+(289.6-71.9)+(-2.203659+(-0.443088--0.110007))+0-88.3--0.135099000000005</f>
        <v>1567.2983590000001</v>
      </c>
      <c r="T272" s="3">
        <f>1443.9+(264.2-73.3)+(-2.209167+(-0.404226--0.112149))+0-70.8--0.108324000000004</f>
        <v>1561.6070800000002</v>
      </c>
      <c r="U272" s="3">
        <f>1587.5+(173.7-132.2)+(-2.428875+(-0.265761--0.202266))+0-49.7--0.0760410000000029</f>
        <v>1576.883671</v>
      </c>
      <c r="V272" s="3">
        <f>1634.3+(307.5-70.9)+(-2.500479+(-0.470475--0.108477))+0-83.2--0.127296000000005</f>
        <v>1784.964819</v>
      </c>
      <c r="W272" s="3">
        <f>1827.8+(319.6-76.9)+(-0.932178+(-0.162996--0.039219))+0-73.2--0.0373319999999926</f>
        <v>1996.2813770000002</v>
      </c>
      <c r="X272" s="3">
        <f>1846.5+(288.9-77.7)+(-3.76686+(-0.589356--0.158508))+0-70.4--0.143615999999997</f>
        <v>1983.2459079999996</v>
      </c>
      <c r="Y272" s="3">
        <f>1852.1+(275.9-76.2)+(-2.833713+(-0.422127--0.116586))+0-81.1--0.124083000000005</f>
        <v>1967.6848289999996</v>
      </c>
      <c r="Z272" s="3">
        <f>1807.7+(304.9-75.7)+(-3.687708+(-0.621996--0.154428))+0-89.9--0.183395999999996</f>
        <v>1943.0281199999999</v>
      </c>
      <c r="AA272" s="3">
        <f>1826.9+(226.7-94.4)+(-1.863438+(-0.231234--0.096288))+0-82--0.0836400000000131</f>
        <v>1875.2852560000001</v>
      </c>
      <c r="AB272" s="3">
        <f>1826.8+(161.3-97)+(-4.65834+(-0.411315--0.24735))+0-84.4--0.215219999999988</f>
        <v>1802.0929149999999</v>
      </c>
      <c r="AC272" s="3">
        <f>1771.6+(100.2-132.8)+(-2.710548+(-0.153306--0.203184))+0-60.2--0.0921060000000035</f>
        <v>1676.231436</v>
      </c>
      <c r="AD272">
        <f t="shared" si="4"/>
        <v>38249.987567000011</v>
      </c>
      <c r="AE272" s="3">
        <f>1861+(302.8-77.9)+(0+(0-0))+0-87.8-0</f>
        <v>1998.1000000000001</v>
      </c>
    </row>
    <row r="273" spans="1:31" s="2" customFormat="1" x14ac:dyDescent="0.25">
      <c r="A273">
        <v>89</v>
      </c>
      <c r="B273">
        <v>9</v>
      </c>
      <c r="C273">
        <v>27</v>
      </c>
      <c r="D273">
        <v>1</v>
      </c>
      <c r="E273">
        <v>1</v>
      </c>
      <c r="F273" s="3">
        <f>1575.2+(134.7-70.6)+(-2.410056+(-0.206091--0.108018))+0-65.5--0.100215000000004</f>
        <v>1571.3920859999998</v>
      </c>
      <c r="G273" s="3">
        <f>1507.5+(112-81.3)+(-3.844125+(-0.2856--0.207315))+0-38.7--0.0986849999999944</f>
        <v>1495.676275</v>
      </c>
      <c r="H273" s="3">
        <f>1520.6+(99.6-92.3)+(-1.551012+(-0.101592--0.094146))+0-55.9--0.0570180000000089</f>
        <v>1470.4985599999998</v>
      </c>
      <c r="I273" s="3">
        <f>1419.7+(165.3-47.2)+(-1.448094+(-0.168606--0.048144))+0-77.4--0.0789480000000123</f>
        <v>1458.910392</v>
      </c>
      <c r="J273" s="3">
        <f>1443.5+(167.7-54.8)+(0+(0-0))+0-92.9-0</f>
        <v>1463.5</v>
      </c>
      <c r="K273" s="3">
        <f>1473+(166.9-70.4)+(-1.50246+(-0.170238--0.071808))+0-73.7--0.0751740000000118</f>
        <v>1494.2742840000001</v>
      </c>
      <c r="L273" s="3">
        <f>1728.7+(133.9-224)+(0+(0-0))+0-85-0</f>
        <v>1553.6000000000001</v>
      </c>
      <c r="M273" s="3">
        <f>1926.5+(134.6-382.1)+(0+(0-0))+0-52.1-0</f>
        <v>1626.9</v>
      </c>
      <c r="N273" s="3">
        <f>1994.2+(135.2-282.6)+(0+(0-0))+0-88.7-0</f>
        <v>1758.1</v>
      </c>
      <c r="O273" s="3">
        <f>2025.9+(134.4-250)+(0+(0-0))+0-51.3-0</f>
        <v>1859.0000000000002</v>
      </c>
      <c r="P273" s="3">
        <f>2062.4+(166.3-218.8)+(0+(0-0))+0-51.3-0</f>
        <v>1958.6000000000001</v>
      </c>
      <c r="Q273" s="3">
        <f>2075.1+(169-217.5)+(0+(0-0))+0-51.3-0</f>
        <v>1975.3</v>
      </c>
      <c r="R273" s="3">
        <f>2171.6+(150.3-228)+(-1.107516+(-0.076653--0.11628))+0-65--0.0331499999999934</f>
        <v>2027.8652610000001</v>
      </c>
      <c r="S273" s="3">
        <f>2105.8+(134.7-273.6)+(-1.073958+(-0.068697--0.139536))+0-71.8--0.0366179999999927</f>
        <v>1894.1334990000003</v>
      </c>
      <c r="T273" s="3">
        <f>2051.5+(138.2-253.1)+(0+(0-0))+0-76-0</f>
        <v>1860.6</v>
      </c>
      <c r="U273" s="3">
        <f>2129.1+(128.2-321.8)+(3.257523+(0.196146-0.492354))+0-71-0.108630000000004</f>
        <v>1867.3526850000001</v>
      </c>
      <c r="V273" s="3">
        <f>2238.1+(112.8-180.6)+(2.282862+(0.115056-0.184212))+0-71.6-0.0730320000000114</f>
        <v>2100.840674</v>
      </c>
      <c r="W273" s="3">
        <f>2377.4+(132.7-147.2)+(0+(0-0))+0-85.7-0</f>
        <v>2277.2000000000003</v>
      </c>
      <c r="X273" s="3">
        <f>2409.2+(101.9-166.5)+(-1.228692+(-0.051969--0.084915))+0-93.5--0.0476849999999905</f>
        <v>2249.951939</v>
      </c>
      <c r="Y273" s="3">
        <f>2369.7+(116.1-205.5)+(-6.042735+(-0.296055--0.524025))+0-75.1--0.191504999999989</f>
        <v>2199.5767399999995</v>
      </c>
      <c r="Z273" s="3">
        <f>2407.8+(133.7-316.2)+(1.227978+(0.068187-0.161262))+0-84.1-0.0428909999999915</f>
        <v>2142.2920120000003</v>
      </c>
      <c r="AA273" s="3">
        <f>2363.7+(133.7-355.8)+(-1.205487+(-0.068187--0.181458))+0-84.8--0.0432479999999914</f>
        <v>2055.7510319999997</v>
      </c>
      <c r="AB273" s="3">
        <f>2220.7+(106.6-288.9)+(-2.265114+(-0.108732--0.294678))+0-81.6--0.083232000000013</f>
        <v>1954.8040639999999</v>
      </c>
      <c r="AC273" s="3">
        <f>1991.2+(100.7-214.6)+(-1.015512+(-0.051357--0.109446))+0-78.3--0.0399329999999921</f>
        <v>1798.08251</v>
      </c>
      <c r="AD273">
        <f t="shared" si="4"/>
        <v>44114.202012999995</v>
      </c>
      <c r="AE273" s="3">
        <f>2441+(99.1-162.6)+(0+(0-0))+0-86.4-0</f>
        <v>2291.1</v>
      </c>
    </row>
    <row r="274" spans="1:31" s="2" customFormat="1" x14ac:dyDescent="0.25">
      <c r="A274">
        <v>89</v>
      </c>
      <c r="B274">
        <v>9</v>
      </c>
      <c r="C274">
        <v>28</v>
      </c>
      <c r="D274">
        <v>2</v>
      </c>
      <c r="E274">
        <v>1</v>
      </c>
      <c r="F274" s="3">
        <f>1908+(101-262.2)+(0+(0-0))+0-70.6-0</f>
        <v>1676.2</v>
      </c>
      <c r="G274" s="3">
        <f>1810.1+(100.9-221.2)+(-2.769453+(-0.154377--0.338436))+0-75.5--0.115515000000004</f>
        <v>1611.830121</v>
      </c>
      <c r="H274" s="3">
        <f>1645.9+(111.9-93.4)+(-2.518227+(-0.171207--0.142902))+0-84.4--0.129132000000005</f>
        <v>1577.5826</v>
      </c>
      <c r="I274" s="3">
        <f>1635.1+(110.6-99.2)+(0+(0-0))+0-78.9-0</f>
        <v>1567.6</v>
      </c>
      <c r="J274" s="3">
        <f>1690+(101.2-146)+(0+(0-0))+0-74.4-0</f>
        <v>1570.8</v>
      </c>
      <c r="K274" s="3">
        <f>1767.8+(107.6-194.5)+(-2.704734+(-0.164628--0.297585))+0-77.4--0.118422000000004</f>
        <v>1601.0466449999997</v>
      </c>
      <c r="L274" s="3">
        <f>1782.3+(134.5-190.1)+(0+(0-0))+0-77.2-0</f>
        <v>1649.5</v>
      </c>
      <c r="M274" s="3">
        <f>1840+(134.1-190.7)+(0+(0-0))+0-59-0</f>
        <v>1724.4</v>
      </c>
      <c r="N274" s="3">
        <f>1988.6+(133.8-179.9)+(-1.014186+(-0.068238--0.091749))+0-78.5--0.040034999999992</f>
        <v>1863.04936</v>
      </c>
      <c r="O274" s="3">
        <f>2092+(132.4-224.5)+(0+(0-0))+0-78.4-0</f>
        <v>1921.5</v>
      </c>
      <c r="P274" s="3">
        <f>2106.4+(148.3-198)+(0+(0-0))+0-68.4-0</f>
        <v>1988.3000000000002</v>
      </c>
      <c r="Q274" s="3">
        <f>2080.9+(165.2-186.3)+(-4.245036+(-0.337008--0.380052))+0-72.9--0.148715999999997</f>
        <v>1982.8467240000002</v>
      </c>
      <c r="R274" s="3">
        <f>2082.4+(147.5-206)+(-3.186072+(-0.225675--0.31518))+0-76.4--0.116892000000004</f>
        <v>1944.520325</v>
      </c>
      <c r="S274" s="3">
        <f>2019.9+(160.5-190)+(-2.060298+(-0.16371--0.1938))+0-84.1--0.0857820000000134</f>
        <v>1904.3555740000004</v>
      </c>
      <c r="T274" s="3">
        <f>2019.8+(153.1-198.1)+(-2.060196+(-0.156162--0.202062))+0-80.3--0.0819060000000128</f>
        <v>1892.5676100000001</v>
      </c>
      <c r="U274" s="3">
        <f>2046.4+(151.6-200.1)+(-2.087328+(-0.154632--0.204102))+0-80.6--0.0822120000000128</f>
        <v>1915.3443540000003</v>
      </c>
      <c r="V274" s="3">
        <f>2097.9+(200.3-145.7)+(0+(0-0))+0-36.9-0</f>
        <v>2115.6</v>
      </c>
      <c r="W274" s="3">
        <f>2290.4+(223.7-115.1)+(-1.168104+(-0.114087--0.058701))+0-93.9--0.0478889999999905</f>
        <v>2303.924399</v>
      </c>
      <c r="X274" s="3">
        <f>2406+(131.4-223.4)+(-3.68118+(-0.201042--0.341802))+0-75.2--0.115056000000004</f>
        <v>2235.3746360000005</v>
      </c>
      <c r="Y274" s="3">
        <f>2337.3+(151.9-210.2)+(-3.576069+(-0.232407--0.321606))+0-81.9--0.125307000000005</f>
        <v>2193.7384369999995</v>
      </c>
      <c r="Z274" s="3">
        <f>2133.5+(197.8-131.7)+(-1.088085+(-0.100878--0.067167))+0-72.7--0.0370769999999926</f>
        <v>2125.8152810000001</v>
      </c>
      <c r="AA274" s="3">
        <f>2116.6+(143.4-173.6)+(-3.238398+(-0.219402--0.265608))+0-64.5--0.0986850000000037</f>
        <v>2018.806493</v>
      </c>
      <c r="AB274" s="3">
        <f>2072.7+(106.7-195.5)+(-3.171231+(-0.163251--0.299115))+0-72.5--0.110925000000004</f>
        <v>1908.4755579999999</v>
      </c>
      <c r="AC274" s="3">
        <f>2028.1+(101.9-269.2)+(-2.068662+(-0.103938--0.274584))+0-72.5--0.0739500000000116</f>
        <v>1786.4759339999998</v>
      </c>
      <c r="AD274">
        <f t="shared" si="4"/>
        <v>45079.654051000012</v>
      </c>
      <c r="AE274" s="3">
        <f>2384+(183.8-171.5)+(0+(0-0))+0-88.9-0</f>
        <v>2307.4</v>
      </c>
    </row>
    <row r="275" spans="1:31" s="2" customFormat="1" x14ac:dyDescent="0.25">
      <c r="A275">
        <v>89</v>
      </c>
      <c r="B275">
        <v>9</v>
      </c>
      <c r="C275">
        <v>29</v>
      </c>
      <c r="D275">
        <v>3</v>
      </c>
      <c r="E275">
        <v>1</v>
      </c>
      <c r="F275" s="3">
        <f>1947+(102-226.2)+(-4.96485+(-0.2601--0.57681))+0-70--0.17849999999999</f>
        <v>1748.3303599999999</v>
      </c>
      <c r="G275" s="3">
        <f>1723+(137.7-60)+(0.87873+(0.070227-0.0306))+0-60-0.0305999999999939</f>
        <v>1741.587757</v>
      </c>
      <c r="H275" s="3">
        <f>1629.7+(101.4-111.1)+(-1.662294+(-0.103428--0.113322))+0-18.8--0.019176000000003</f>
        <v>1599.5667760000001</v>
      </c>
      <c r="I275" s="3">
        <f>1631.2+(111.7-94.6)+(-0.831912+(-0.056967--0.048246))+0-60.5--0.0308549999999939</f>
        <v>1586.9902219999999</v>
      </c>
      <c r="J275" s="3">
        <f>1708.6+(82.2-155.5)+(1.742772+(0.083844-0.15861))+0-49.6-0.0505920000000079</f>
        <v>1587.3174140000001</v>
      </c>
      <c r="K275" s="3">
        <f>1689.4+(91.7-143.9)+(-3.446376+(-0.187068--0.293556))+0-25--0.0509999999999989</f>
        <v>1608.911112</v>
      </c>
      <c r="L275" s="3">
        <f>1777.3+(127.7-159.9)+(-1.812846+(-0.130254--0.163098))+0-83.3--0.0849660000000133</f>
        <v>1660.1049640000001</v>
      </c>
      <c r="M275" s="3">
        <f>1861.2+(134.6-200.6)+(-0.949212+(-0.068646--0.102306))+0-72.9--0.0371789999999926</f>
        <v>1721.4216269999999</v>
      </c>
      <c r="N275" s="3">
        <f>1929.5+(146.8-182)+(-2.952135+(-0.224604--0.27846))+0-58.1--0.0888930000000034</f>
        <v>1833.3906140000001</v>
      </c>
      <c r="O275" s="3">
        <f>1983.1+(171.7-162.5)+(-2.022762+(-0.175134--0.16575))+0-82--0.0836400000000131</f>
        <v>1908.351494</v>
      </c>
      <c r="P275" s="3">
        <f>2032.3+(153.5-192.7)+(-3.109419+(-0.234855--0.294831))+0-49.2--0.0752760000000029</f>
        <v>1940.9258329999998</v>
      </c>
      <c r="Q275" s="3">
        <f>1988.8+(198-149.4)+(-3.042864+(-0.30294--0.228582))+0-81.5--0.124695000000005</f>
        <v>1952.9074729999998</v>
      </c>
      <c r="R275" s="3">
        <f>1943.2+(209.4-132.1)+(-1.982064+(-0.213588--0.134742))+0-86.7--0.0884340000000138</f>
        <v>1931.827524</v>
      </c>
      <c r="S275" s="3">
        <f>1897.1+(223.2-125.9)+(-3.870084+(-0.455328--0.256836))+0-85--0.173399999999996</f>
        <v>1905.5048239999999</v>
      </c>
      <c r="T275" s="3">
        <f>1805.8+(256.9-93.1)+(-2.762874+(-0.393057--0.142443))+0-84.4--0.129132000000005</f>
        <v>1882.3156439999998</v>
      </c>
      <c r="U275" s="3">
        <f>1744.5+(259.7-79.4)+(-2.669085+(-0.397341--0.121482))+0-39.9--0.0610470000000023</f>
        <v>1882.0161029999997</v>
      </c>
      <c r="V275" s="3">
        <f>2038.7+(203.3-90.9)+(-3.119211+(-0.311049--0.139077))+0-90.4--0.138312000000005</f>
        <v>2057.547129</v>
      </c>
      <c r="W275" s="3">
        <f>2221.2+(186.4-86.5)+(1.132812+(0.095064-0.044115))+0-41.6-0.0212159999999958</f>
        <v>2280.6625449999997</v>
      </c>
      <c r="X275" s="3">
        <f>2243+(156.5-110.5)+(-6.86358+(-0.47889--0.33813))+0-68.8--0.210528000000008</f>
        <v>2213.4061879999999</v>
      </c>
      <c r="Y275" s="3">
        <f>2224.4+(149.9-149.6)+(-2.268888+(-0.152898--0.152592))+0-72.7--0.0741540000000116</f>
        <v>2149.8049600000004</v>
      </c>
      <c r="Z275" s="3">
        <f>2172.4+(159.5-153.2)+(-2.215848+(-0.16269--0.156264))+0-77.5--0.0790500000000124</f>
        <v>2099.0567759999999</v>
      </c>
      <c r="AA275" s="3">
        <f>2167.9+(134.9-219)+(-4.422516+(-0.275196--0.44676))+0-80.7--0.164627999999996</f>
        <v>1999.0136760000003</v>
      </c>
      <c r="AB275" s="3">
        <f>2157.8+(106.5-296.6)+(-4.401912+(-0.21726--0.605064))+0-60.3--0.123011999999997</f>
        <v>1903.5089040000003</v>
      </c>
      <c r="AC275" s="3">
        <f>2069+(107-306.5)+(-3.16557+(-0.16371--0.468945))+0-81.9--0.125307000000005</f>
        <v>1784.8649719999999</v>
      </c>
      <c r="AD275">
        <f t="shared" si="4"/>
        <v>44979.334891000006</v>
      </c>
      <c r="AE275" s="3">
        <f>2256+(189.5-85)+(0+(0-0))+0-92.5-0</f>
        <v>2268</v>
      </c>
    </row>
    <row r="276" spans="1:31" s="2" customFormat="1" x14ac:dyDescent="0.25">
      <c r="A276">
        <v>89</v>
      </c>
      <c r="B276">
        <v>9</v>
      </c>
      <c r="C276">
        <v>30</v>
      </c>
      <c r="D276">
        <v>4</v>
      </c>
      <c r="E276">
        <v>1</v>
      </c>
      <c r="F276" s="3">
        <f>1784.7+(103.2-167.4)+(-1.820394+(-0.105264--0.170748))+0-32.8--0.0334560000000052</f>
        <v>1685.9785460000001</v>
      </c>
      <c r="G276" s="3">
        <f>1680.8+(110.8-87.1)+(1.714416+(0.113016-0.088842))+0-82-0.0836400000000131</f>
        <v>1624.1549499999999</v>
      </c>
      <c r="H276" s="3">
        <f>1599.1+(142.9-59.8)+(-1.631082+(-0.145758--0.060996))+0-84.1--0.0857820000000134</f>
        <v>1596.469938</v>
      </c>
      <c r="I276" s="3">
        <f>1571.8+(150.6-59.6)+(-4.00809+(-0.38403--0.15198))+0-74.3--0.189464999999989</f>
        <v>1584.4493249999998</v>
      </c>
      <c r="J276" s="3">
        <f>1573.7+(155.2-65.7)+(-1.605174+(-0.158304--0.067014))+0-67.1--0.0684420000000107</f>
        <v>1594.471978</v>
      </c>
      <c r="K276" s="3">
        <f>1690.4+(137-105.1)+(-0.862104+(-0.06987--0.053601))+0-83.7--0.0426869999999915</f>
        <v>1637.764314</v>
      </c>
      <c r="L276" s="3">
        <f>1856.2+(135.4-232.1)+(-3.786648+(-0.276216--0.473484))+0-83.4--0.170135999999996</f>
        <v>1672.680756</v>
      </c>
      <c r="M276" s="3">
        <f>1990.1+(136.2-313.7)+(-4.059804+(-0.277848--0.639948))+0-48.5--0.0989399999999979</f>
        <v>1760.5012360000001</v>
      </c>
      <c r="N276" s="3">
        <f>1964.6+(139.9-173.4)+(-1.001946+(-0.071349--0.088434))+0-72.9--0.0371789999999926</f>
        <v>1857.2523179999998</v>
      </c>
      <c r="O276" s="3">
        <f>2007.2+(157-155.6)+(-5.11836+(-0.40035--0.39678))+0-79.3--0.202214999999988</f>
        <v>1924.3802850000002</v>
      </c>
      <c r="P276" s="3">
        <f>2057.8+(149.9-157.4)+(-1.049478+(-0.076449--0.080274))+0-81--0.0413099999999918</f>
        <v>1968.2956570000001</v>
      </c>
      <c r="Q276" s="3">
        <f>2144.2+(135-257.3)+(-3.280626+(-0.20655--0.393669))+0-49.1--0.0751230000000028</f>
        <v>1969.781616</v>
      </c>
      <c r="R276" s="3">
        <f>2065.9+(148.3-174.9)+(-4.214436+(-0.302532--0.356796))+0-90.5--0.184619999999996</f>
        <v>1944.8244480000001</v>
      </c>
      <c r="S276" s="3">
        <f>2015.8+(143.9-184.8)+(-1.028058+(-0.073389--0.094248))+0-71.4--0.0364139999999928</f>
        <v>1902.5292149999998</v>
      </c>
      <c r="T276" s="3">
        <f>1959.5+(156-172.8)+(-3.99738+(-0.31824--0.352512))+0-70.1--0.143003999999997</f>
        <v>1868.7798960000002</v>
      </c>
      <c r="U276" s="3">
        <f>1863.7+(182.2-126.4)+(-2.851461+(-0.278766--0.193392))+0-52.7--0.080631000000003</f>
        <v>1863.943796</v>
      </c>
      <c r="V276" s="3">
        <f>1998.8+(186.7-82.4)+(0+(0-0))+0-83.8-0</f>
        <v>2019.3</v>
      </c>
      <c r="W276" s="3">
        <f>2142.4+(237.3-82.7)+(2.185248+(0.242046-0.084354))+0-76.5-0.0780300000000122</f>
        <v>2222.7649099999999</v>
      </c>
      <c r="X276" s="3">
        <f>2087+(247.2-85.1)+(-6.38622+(-0.756432--0.260406))+0-83.4--0.25520400000001</f>
        <v>2159.0729579999997</v>
      </c>
      <c r="Y276" s="3">
        <f>2082.9+(169.3-91)+(-7.435953+(-0.604401--0.32487))+0-66.6--0.237762000000001</f>
        <v>2087.1222780000007</v>
      </c>
      <c r="Z276" s="3">
        <f>2100+(153.5-154.2)+(-5.355+(-0.391425--0.39321))+0-85--0.216749999999988</f>
        <v>2009.1635350000001</v>
      </c>
      <c r="AA276" s="3">
        <f>2055+(134.8-248)+(1.04805+(0.068748-0.12648))+0-23-0.0117299999999977</f>
        <v>1919.7785879999999</v>
      </c>
      <c r="AB276" s="3">
        <f>1909.5+(134.5-165.1)+(-2.921535+(-0.205785--0.252603))+0-21.7--0.0332010000000013</f>
        <v>1854.3584840000001</v>
      </c>
      <c r="AC276" s="3">
        <f>1863+(111.6-186.3)+(-3.80052+(-0.227664--0.380052))+0-17.6--0.0359039999999992</f>
        <v>1767.0877720000001</v>
      </c>
      <c r="AD276">
        <f t="shared" si="4"/>
        <v>44494.906798999989</v>
      </c>
      <c r="AE276" s="3">
        <f>2105+(271.9-86.5)+(0+(0-0))+0-106.5-0</f>
        <v>2183.9</v>
      </c>
    </row>
    <row r="277" spans="1:31" s="2" customFormat="1" x14ac:dyDescent="0.25">
      <c r="A277">
        <v>89</v>
      </c>
      <c r="B277">
        <v>10</v>
      </c>
      <c r="C277">
        <v>1</v>
      </c>
      <c r="D277">
        <v>5</v>
      </c>
      <c r="E277">
        <v>1</v>
      </c>
      <c r="F277" s="3">
        <f>1812.4+(102.1-172.2)+(0.924324+(0.052071-0.087822))+0-59.2-0.030191999999994</f>
        <v>1683.9583810000001</v>
      </c>
      <c r="G277" s="3">
        <f>1758.4+(100.9-162.3)+(-2.690352+(-0.154377--0.248319))+0-75.1--0.114903000000004</f>
        <v>1619.4184929999999</v>
      </c>
      <c r="H277" s="3">
        <f>1658.3+(106-88.7)+(-1.691466+(-0.10812--0.090474))+0-88.3--0.0900660000000141</f>
        <v>1585.6809539999999</v>
      </c>
      <c r="I277" s="3">
        <f>1633+(109.3-90.5)+(-0.83283+(-0.055743--0.046155))+0-83--0.0423299999999916</f>
        <v>1567.999912</v>
      </c>
      <c r="J277" s="3">
        <f>1635.4+(108.8-99.7)+(-0.834054+(-0.055488--0.050847))+0-76.8--0.0391679999999922</f>
        <v>1566.9004730000001</v>
      </c>
      <c r="K277" s="3">
        <f>1645.9+(133.6-118.2)+(0+(0-0))+0-73.2-0</f>
        <v>1588.1000000000001</v>
      </c>
      <c r="L277" s="3">
        <f>1819.4+(136.6-249.3)+(-4.63947+(-0.34833--0.635715))+0-61.4--0.156569999999991</f>
        <v>1641.1044850000001</v>
      </c>
      <c r="M277" s="3">
        <f>1918.2+(136.8-258.7)+(-0.978282+(-0.069768--0.131937))+0-82.9--0.0422789999999916</f>
        <v>1712.5261660000001</v>
      </c>
      <c r="N277" s="3">
        <f>1935.2+(137.4-256.1)+(0.986952+(0.070074-0.130611))+0-16.5-0.00841499999999833</f>
        <v>1800.9179999999999</v>
      </c>
      <c r="O277" s="3">
        <f>1977.6+(137.2-232.2)+(1.008576+(0.069972-0.118422))+0-13.8-0.0070379999999986</f>
        <v>1869.7530879999999</v>
      </c>
      <c r="P277" s="3">
        <f>1982.5+(135.9-198.9)+(-3.033225+(-0.207927--0.304317))+0-13.4--0.0205020000000008</f>
        <v>1903.183667</v>
      </c>
      <c r="Q277" s="3">
        <f>1991.1+(136.8-210)+(-2.030922+(-0.139536--0.2142))+0-13.3--0.0135660000000021</f>
        <v>1902.6573080000001</v>
      </c>
      <c r="R277" s="3">
        <f>1963.7+(135.2-191.6)+(-2.002974+(-0.137904--0.195432))+0-17.3--0.0176460000000028</f>
        <v>1888.0722000000001</v>
      </c>
      <c r="S277" s="3">
        <f>1844.2+(156-134.3)+(-1.881084+(-0.15912--0.136986))+0-19.5--0.0198900000000031</f>
        <v>1844.5166720000002</v>
      </c>
      <c r="T277" s="3">
        <f>1890.6+(140.8-150.2)+(4.82103+(0.35904-0.38301))+0-69.5-0.17722499999999</f>
        <v>1816.319835</v>
      </c>
      <c r="U277" s="3">
        <f>1854.3+(148-112.3)+(0.945693+(0.07548-0.057273))+0-78.7-0.040136999999992</f>
        <v>1812.223763</v>
      </c>
      <c r="V277" s="3">
        <f>1885.5+(260.5-81.6)+(-2.884815+(-0.398565--0.124848))+0-80.4--0.123012000000005</f>
        <v>1980.9644800000001</v>
      </c>
      <c r="W277" s="3">
        <f>2150.6+(212.3-83.8)+(-1.096806+(-0.108273--0.042738))+0-80.6--0.0411059999999918</f>
        <v>2197.3787649999999</v>
      </c>
      <c r="X277" s="3">
        <f>2252.3+(102.2-98.4)+(-4.594692+(-0.208488--0.200736))+0-88.9--0.181355999999996</f>
        <v>2162.7789120000002</v>
      </c>
      <c r="Y277" s="3">
        <f>2237.6+(79.3-138.1)+(-5.70588+(-0.202215--0.352155))+0-84.1--0.214454999999988</f>
        <v>2089.3585149999994</v>
      </c>
      <c r="Z277" s="3">
        <f>2131+(139.1-151)+(-3.26043+(-0.212823--0.23103))+0-87.5--0.133875000000005</f>
        <v>2028.4916519999997</v>
      </c>
      <c r="AA277" s="3">
        <f>2129+(136.8-240)+(0+(0-0))+0-85.6-0</f>
        <v>1940.2</v>
      </c>
      <c r="AB277" s="3">
        <f>2047.8+(107.6-230.1)+(-5.22189+(-0.27438--0.586755))+0-85--0.216749999999988</f>
        <v>1835.6072349999999</v>
      </c>
      <c r="AC277" s="3">
        <f>1890.4+(102.6-199.6)+(-2.892312+(-0.156978--0.305388))+0-75.3--0.115209000000004</f>
        <v>1715.4713070000003</v>
      </c>
      <c r="AD277">
        <f t="shared" si="4"/>
        <v>43753.584262999997</v>
      </c>
      <c r="AE277" s="3">
        <f>2170+(203.7-70.4)+(0+(0-0))+0-17.2-0</f>
        <v>2286.1000000000004</v>
      </c>
    </row>
    <row r="278" spans="1:31" s="2" customFormat="1" x14ac:dyDescent="0.25">
      <c r="A278">
        <v>89</v>
      </c>
      <c r="B278">
        <v>10</v>
      </c>
      <c r="C278">
        <v>2</v>
      </c>
      <c r="D278">
        <v>6</v>
      </c>
      <c r="E278">
        <v>1</v>
      </c>
      <c r="F278" s="3">
        <f>1650.1+(120.8-70.9)+(-4.207755+(-0.30804--0.180795))+0-78--0.198899999999989</f>
        <v>1617.8639000000001</v>
      </c>
      <c r="G278" s="3">
        <f>1589+(130.8-62.8)+(0+(0-0))+0-86.3-0</f>
        <v>1570.7</v>
      </c>
      <c r="H278" s="3">
        <f>1495.7+(162.1-48.3)+(-3.814035+(-0.413355--0.123165))+0-84.3--0.214964999999988</f>
        <v>1521.3107399999999</v>
      </c>
      <c r="I278" s="3">
        <f>1539.3+(120.8-61.2)+(0.785043+(0.061608-0.031212))+0-76.8-0.0391679999999922</f>
        <v>1522.8762709999999</v>
      </c>
      <c r="J278" s="3">
        <f>1548.8+(102.6-65.8)+(2.369664+(0.156978-0.100674))+0-68.6-0.104958000000004</f>
        <v>1519.3210100000001</v>
      </c>
      <c r="K278" s="3">
        <f>1693.9+(9.9-105.2)+(3.455556+(0.020196-0.214608))+0-73.5-0.149939999999997</f>
        <v>1528.2112040000002</v>
      </c>
      <c r="L278" s="3">
        <f>1855.1+(0-172.7)+(4.730505+(0-0.440385))+0-88-0.224399999999987</f>
        <v>1598.4657199999997</v>
      </c>
      <c r="M278" s="3">
        <f>1836.6+(5.3-134.5)+(-0.936666+(-0.002703--0.068595))+0-53.7--0.0273869999999946</f>
        <v>1652.8566129999999</v>
      </c>
      <c r="N278" s="3">
        <f>1913.2+(18-130)+(-1.951464+(-0.01836--0.1326))+0-66.1--0.0674220000000105</f>
        <v>1733.3301980000001</v>
      </c>
      <c r="O278" s="3">
        <f>1944.3+(54.9-115.4)+(-0.991593+(-0.027999--0.058854))+0-83.5--0.0425849999999915</f>
        <v>1799.3818469999999</v>
      </c>
      <c r="P278" s="3">
        <f>1981.1+(50.3-119.5)+(2.020722+(0.051306-0.12189))+0-79.2-0.0807840000000126</f>
        <v>1834.5693539999997</v>
      </c>
      <c r="Q278" s="3">
        <f>2099.2+(0-169.3)+(-1.070592+(0--0.086343))+0-82.4--0.0420239999999916</f>
        <v>1846.5577749999998</v>
      </c>
      <c r="R278" s="3">
        <f>2081.4+(5.1-178.8)+(-3.184542+(-0.007803--0.273564))+0-76.6--0.117198000000004</f>
        <v>1828.298417</v>
      </c>
      <c r="S278" s="3">
        <f>2016.1+(10.8-153.5)+(-2.056422+(-0.011016--0.15657))+0-81.7--0.083334000000013</f>
        <v>1789.8724659999998</v>
      </c>
      <c r="T278" s="3">
        <f>2020+(0-180.6)+(-1.0302+(0--0.092106))+0-88.4--0.045083999999991</f>
        <v>1750.10699</v>
      </c>
      <c r="U278" s="3">
        <f>2025.5+(0-190.2)+(2.06601+(0-0.194004))+0-78.3-0.0798660000000125</f>
        <v>1758.79214</v>
      </c>
      <c r="V278" s="3">
        <f>2016.8+(77-108.7)+(-3.085704+(-0.11781--0.166311))+0-59.8--0.0914940000000034</f>
        <v>1922.3542909999999</v>
      </c>
      <c r="W278" s="3">
        <f>2082.7+(157.1-84.5)+(-3.186531+(-0.240363--0.129285))+0-51.5--0.078795000000003</f>
        <v>2100.5811859999994</v>
      </c>
      <c r="X278" s="3">
        <f>2124.1+(98.1-97)+(-2.166582+(-0.100062--0.09894))+0-66.8--0.0681360000000106</f>
        <v>2056.3004319999995</v>
      </c>
      <c r="Y278" s="3">
        <f>2057+(108.9-87)+(-1.04907+(-0.055539--0.04437))+0-76.3--0.0389129999999923</f>
        <v>2001.5786740000003</v>
      </c>
      <c r="Z278" s="3">
        <f>2060.2+(74.6-113.7)+(-1.050702+(-0.038046--0.057987))+0-77.9--0.0397289999999921</f>
        <v>1942.2089679999999</v>
      </c>
      <c r="AA278" s="3">
        <f>2044.3+(28.8-147.3)+(-6.255558+(-0.088128--0.450738))+0-82.6--0.25275600000001</f>
        <v>1837.5598080000002</v>
      </c>
      <c r="AB278" s="3">
        <f>1922.7+(59.2-111)+(-2.941731+(-0.090576--0.16983))+0-92.9--0.142137000000005</f>
        <v>1775.2796600000001</v>
      </c>
      <c r="AC278" s="3">
        <f>1806.1+(48.9-102.8)+(-2.763333+(-0.074817--0.157284))+0-81.1--0.124083000000005</f>
        <v>1668.5432169999999</v>
      </c>
      <c r="AD278">
        <f t="shared" si="4"/>
        <v>42176.920880999998</v>
      </c>
      <c r="AE278" s="3">
        <f>2144+(93.5-102.4)+(0+(0-0))+0-17.6-0</f>
        <v>2117.5</v>
      </c>
    </row>
    <row r="279" spans="1:31" s="2" customFormat="1" x14ac:dyDescent="0.25">
      <c r="A279">
        <v>89</v>
      </c>
      <c r="B279">
        <v>10</v>
      </c>
      <c r="C279">
        <v>3</v>
      </c>
      <c r="D279">
        <v>7</v>
      </c>
      <c r="E279">
        <v>1</v>
      </c>
      <c r="F279" s="3">
        <f>1826.7+(0-177.2)+(0+(0-0))+0-57.6-0</f>
        <v>1591.9</v>
      </c>
      <c r="G279" s="3">
        <f>1642.4+(36.6-62.8)+(-4.18812+(-0.09333--0.16014))+0-77--0.196349999999989</f>
        <v>1535.27504</v>
      </c>
      <c r="H279" s="3">
        <f>1630.4+(26-79.5)+(1.663008+(0.02652-0.08109))+0-85.2-0.0869040000000136</f>
        <v>1493.221534</v>
      </c>
      <c r="I279" s="3">
        <f>1482.7+(125.7-51.8)+(0+(0-0))+0-75.7-0</f>
        <v>1480.9</v>
      </c>
      <c r="J279" s="3">
        <f>1485.7+(107.9-59.2)+(0+(0-0))+0-53.5-0</f>
        <v>1480.9</v>
      </c>
      <c r="K279" s="3">
        <f>1522.4+(117.7-72)+(-0.776424+(-0.060027--0.03672))+0-81.1--0.0413609999999918</f>
        <v>1486.2416300000002</v>
      </c>
      <c r="L279" s="3">
        <f>1609.7+(24.2-124.9)+(-0.820947+(-0.012342--0.063699))+0-61.8--0.0315179999999937</f>
        <v>1446.4619279999999</v>
      </c>
      <c r="M279" s="3">
        <f>1606.9+(0-131.7)+(-4.097595+(0--0.335835))+0-37.5--0.0956249999999946</f>
        <v>1434.0338649999999</v>
      </c>
      <c r="N279" s="3">
        <f>1525.2+(63.5-69.9)+(1.555704+(0.06477-0.071298))+0-47-0.0479400000000075</f>
        <v>1473.301236</v>
      </c>
      <c r="O279" s="3">
        <f>1627.6+(69.8-69.8)+(0.830076+(0.035598-0.035598))+0-79.2-0.040391999999992</f>
        <v>1549.1896839999999</v>
      </c>
      <c r="P279" s="3">
        <f>1846.5+(0-133.4)+(-5.65029+(0--0.408204))+0-84.7--0.25918200000001</f>
        <v>1623.4170959999999</v>
      </c>
      <c r="Q279" s="3">
        <f>1892.2+(0-153.8)+(-1.930044+(0--0.156876))+0-88.7--0.0904740000000141</f>
        <v>1648.0173060000002</v>
      </c>
      <c r="R279" s="3">
        <f>1831.3+(4.6-121.8)+(-1.867926+(-0.004692--0.124236))+0-81.1--0.0827220000000129</f>
        <v>1631.3343400000001</v>
      </c>
      <c r="S279" s="3">
        <f>1745+(22-92.3)+(-3.5598+(-0.04488--0.188292))+0-78.8--0.160751999999997</f>
        <v>1592.644364</v>
      </c>
      <c r="T279" s="3">
        <f>1707.7+(40.9-86.6)+(-4.354635+(-0.104295--0.22083))+0-79.4--0.202469999999988</f>
        <v>1578.5643699999998</v>
      </c>
      <c r="U279" s="3">
        <f>1708.6+(46-94.5)+(0+(0-0))+0-67-0</f>
        <v>1593.1</v>
      </c>
      <c r="V279" s="3">
        <f>1823.6+(48.3-78.8)+(-0.930036+(-0.024633--0.040188))+0-80.9--0.0412589999999918</f>
        <v>1711.3267779999999</v>
      </c>
      <c r="W279" s="3">
        <f>1945.6+(100.7-80.3)+(-0.992256+(-0.051357--0.040953))+0-62.2--0.0317219999999937</f>
        <v>1902.8290619999998</v>
      </c>
      <c r="X279" s="3">
        <f>1947.8+(101.3-83.8)+(-4.96689+(-0.258315--0.21369))+0-75.1--0.191504999999989</f>
        <v>1885.3799900000001</v>
      </c>
      <c r="Y279" s="3">
        <f>1936.3+(95-82.3)+(0.987513+(0.04845-0.041973))+0-81.4-0.0415139999999917</f>
        <v>1868.5524759999998</v>
      </c>
      <c r="Z279" s="3">
        <f>1906.5+(89.2-79.8)+(0.972315+(0.045492-0.040698))+0-82.5-0.0420749999999916</f>
        <v>1834.335034</v>
      </c>
      <c r="AA279" s="3">
        <f>1911.1+(56.2-106)+(0+(0-0))+0-81.1-0</f>
        <v>1780.2</v>
      </c>
      <c r="AB279" s="3">
        <f>1834.7+(59.6-87.7)+(-2.807091+(-0.091188--0.134181))+0-80.1--0.122553000000005</f>
        <v>1723.858455</v>
      </c>
      <c r="AC279" s="3">
        <f>1759+(25.3-100.9)+(-1.79418+(-0.025806--0.102918))+0-53--0.0540600000000084</f>
        <v>1628.7369920000001</v>
      </c>
      <c r="AD279">
        <f t="shared" si="4"/>
        <v>38973.72118</v>
      </c>
      <c r="AE279" s="3">
        <f>1961+(110.8-79.7)+(0+(0-0))+0-83.8-0</f>
        <v>1908.3</v>
      </c>
    </row>
    <row r="280" spans="1:31" s="2" customFormat="1" x14ac:dyDescent="0.25">
      <c r="A280">
        <v>89</v>
      </c>
      <c r="B280">
        <v>10</v>
      </c>
      <c r="C280">
        <v>4</v>
      </c>
      <c r="D280">
        <v>1</v>
      </c>
      <c r="E280">
        <v>1</v>
      </c>
      <c r="F280" s="3">
        <f>1697.3+(18-83.7)+(-3.462492+(-0.03672--0.170748))+0-77.8--0.158711999999997</f>
        <v>1550.6302479999999</v>
      </c>
      <c r="G280" s="3">
        <f>1581.2+(35.5-68.2)+(0+(0-0))+0-64.8-0</f>
        <v>1483.7</v>
      </c>
      <c r="H280" s="3">
        <f>1464.1+(114.3-49.2)+(-2.240073+(-0.174879--0.075276))+0-82.3--0.125919000000005</f>
        <v>1444.6862429999999</v>
      </c>
      <c r="I280" s="3">
        <f>1467.9+(100.9-50.8)+(2.245887+(0.154377-0.077724))+0-73.1-0.111843000000004</f>
        <v>1447.1106970000001</v>
      </c>
      <c r="J280" s="3">
        <f>1459.5+(123.4-59.6)+(-0.744345+(-0.062934--0.030396))+0-72.4--0.0369239999999927</f>
        <v>1450.1600409999999</v>
      </c>
      <c r="K280" s="3">
        <f>1511.9+(132.6-72.7)+(3.084276+(0.270504-0.148308))+0-87.3-0.178091999999996</f>
        <v>1487.5283800000002</v>
      </c>
      <c r="L280" s="3">
        <f>1695.7+(15.3-86.8)+(0.864807+(0.007803-0.044268))+0-71.6-0.0365159999999927</f>
        <v>1553.3918260000003</v>
      </c>
      <c r="M280" s="3">
        <f>1752.5+(21.2-119.2)+(-2.681325+(-0.032436--0.182376))+0-65--0.0994500000000038</f>
        <v>1587.0680649999999</v>
      </c>
      <c r="N280" s="3">
        <f>1942.7+(0-167.3)+(-2.972331+(0--0.255969))+0-82.9--0.126837000000005</f>
        <v>1689.9104750000001</v>
      </c>
      <c r="O280" s="3">
        <f>2055.7+(0-198.9)+(1.048407+(0-0.101439))+0-85.2-0.0434519999999914</f>
        <v>1772.5035159999998</v>
      </c>
      <c r="P280" s="3">
        <f>2136.2+(0-247.9)+(-3.268386+(0--0.379287))+0-67.7--0.103581000000004</f>
        <v>1817.8144819999998</v>
      </c>
      <c r="Q280" s="3">
        <f>2155.6+(0-259.2)+(-4.397424+(0--0.528768))+0-69.4--0.141575999999997</f>
        <v>1823.2729199999997</v>
      </c>
      <c r="R280" s="3">
        <f>2110.1+(0-215.1)+(-6.456906+(0--0.658206))+0-85.6--0.26193600000001</f>
        <v>1803.8632360000001</v>
      </c>
      <c r="S280" s="3">
        <f>2107.1+(0-237.2)+(-3.223863+(0--0.362916))+0-90.9--0.139077000000005</f>
        <v>1776.2781299999999</v>
      </c>
      <c r="T280" s="3">
        <f>2030.6+(0-196.5)+(-4.142424+(0--0.40086))+0-82.5--0.168299999999996</f>
        <v>1748.026736</v>
      </c>
      <c r="U280" s="3">
        <f>1843.1+(66.6-106.1)+(0+(0-0))+0-72.6-0</f>
        <v>1731</v>
      </c>
      <c r="V280" s="3">
        <f>2137.2+(12-170.8)+(-6.539832+(-0.03672--0.522648))+0-69.2--0.211752000000008</f>
        <v>1903.3578479999996</v>
      </c>
      <c r="W280" s="3">
        <f>2223+(128.2-178)+(-2.26746+(-0.130764--0.18156))+0-62.4--0.0636480000000099</f>
        <v>2108.6469839999995</v>
      </c>
      <c r="X280" s="3">
        <f>2205.6+(132.6-210.1)+(-4.499424+(-0.270504--0.428604))+0-85.4--0.174215999999996</f>
        <v>2038.5328919999997</v>
      </c>
      <c r="Y280" s="3">
        <f>2119.7+(140.2-145.3)+(-1.081047+(-0.071502--0.074103))+0-85.9--0.0438089999999913</f>
        <v>2027.6653629999998</v>
      </c>
      <c r="Z280" s="3">
        <f>1921+(210-87.7)+(-2.93913+(-0.3213--0.134181))+0-90.2--0.138006000000005</f>
        <v>1950.1117569999999</v>
      </c>
      <c r="AA280" s="3">
        <f>1866.3+(198.5-95)+(-3.807252+(-0.40494--0.1938))+0-94.6--0.192983999999996</f>
        <v>1871.3745920000001</v>
      </c>
      <c r="AB280" s="3">
        <f>1873.9+(114.1-132.5)+(-2.867067+(-0.174573--0.202725))+0-82.3--0.125919000000005</f>
        <v>1770.4870040000001</v>
      </c>
      <c r="AC280" s="3">
        <f>1846.2+(100.1-186.7)+(-1.883124+(-0.102102--0.190434))+0-91.7--0.0935340000000146</f>
        <v>1666.1987420000003</v>
      </c>
      <c r="AD280">
        <f t="shared" si="4"/>
        <v>41503.320176999994</v>
      </c>
      <c r="AE280" s="3">
        <f>2235+(132.8-183.3)+(0+(0-0))+0-96.8-0</f>
        <v>2087.6999999999998</v>
      </c>
    </row>
    <row r="281" spans="1:31" s="2" customFormat="1" x14ac:dyDescent="0.25">
      <c r="A281">
        <v>89</v>
      </c>
      <c r="B281">
        <v>10</v>
      </c>
      <c r="C281">
        <v>5</v>
      </c>
      <c r="D281">
        <v>2</v>
      </c>
      <c r="E281">
        <v>1</v>
      </c>
      <c r="F281" s="3">
        <f>1763+(100.2-217.4)+(-0.89913+(-0.051102--0.110874))+0-72.9--0.0371789999999926</f>
        <v>1572.0978209999998</v>
      </c>
      <c r="G281" s="3">
        <f>1693.3+(100.3-208.7)+(-0.863583+(-0.051153--0.106437))+0-66.4--0.0338639999999933</f>
        <v>1517.7255649999997</v>
      </c>
      <c r="H281" s="3">
        <f>1590.5+(100.3-109.5)+(-2.433465+(-0.153459--0.167535))+0-91.5--0.139995000000005</f>
        <v>1487.520606</v>
      </c>
      <c r="I281" s="3">
        <f>1492.5+(132.5-62.5)+(-1.52235+(-0.13515--0.06375))+0-86.4--0.0881280000000138</f>
        <v>1474.594378</v>
      </c>
      <c r="J281" s="3">
        <f>1430.7+(166.5-61.2)+(2.188971+(0.254745-0.093636))+0-62.2-0.0951660000000036</f>
        <v>1476.0549139999998</v>
      </c>
      <c r="K281" s="3">
        <f>1443.5+(221.4-73.2)+(1.47237+(0.225828-0.074664))+0-78.8-0.0803760000000126</f>
        <v>1514.443158</v>
      </c>
      <c r="L281" s="3">
        <f>1491.2+(198.2-79.4)+(-0.760512+(-0.101082--0.040494))+0-68.1--0.0347309999999931</f>
        <v>1541.1136310000002</v>
      </c>
      <c r="M281" s="3">
        <f>1637.8+(172.9-118.2)+(-1.670556+(-0.176358--0.120564))+0-85.5--0.0872100000000136</f>
        <v>1605.36086</v>
      </c>
      <c r="N281" s="3">
        <f>1714.9+(177.3-112.4)+(-4.372995+(-0.452115--0.28662))+0-77--0.196349999999989</f>
        <v>1698.4578600000002</v>
      </c>
      <c r="O281" s="3">
        <f>1915.6+(136.1-229.4)+(-2.930868+(-0.208233--0.350982))+0-34.8--0.053244000000002</f>
        <v>1784.7651249999999</v>
      </c>
      <c r="P281" s="3">
        <f>1970.2+(135-209.3)+(1.004802+(0.06885-0.106743))+0-60-0.0305999999999939</f>
        <v>1836.836309</v>
      </c>
      <c r="Q281" s="3">
        <f>1942.2+(137.3-174.1)+(-2.971566+(-0.210069--0.266373))+0-73.4--0.112302000000004</f>
        <v>1829.19704</v>
      </c>
      <c r="R281" s="3">
        <f>1946.1+(136.9-204.3)+(-2.977533+(-0.209457--0.312579))+0-74.2--0.113526000000004</f>
        <v>1801.7391149999999</v>
      </c>
      <c r="S281" s="3">
        <f>1976.5+(137.6-235.9)+(3.024045+(0.210528-0.360927))+0-85.7-0.131121000000005</f>
        <v>1795.2425250000001</v>
      </c>
      <c r="T281" s="3">
        <f>1956.5+(137.8-215.1)+(-3.99126+(-0.281112--0.438804))+0-76.7--0.156467999999997</f>
        <v>1798.8228999999999</v>
      </c>
      <c r="U281" s="3">
        <f>1931.5+(139.4-269.5)+(0+(0-0))+0-71.6-0</f>
        <v>1729.8000000000002</v>
      </c>
      <c r="V281" s="3">
        <f>2018.5+(144.5-158.2)+(-2.05887+(-0.14739--0.161364))+0-74.3--0.0757860000000118</f>
        <v>1928.53089</v>
      </c>
      <c r="W281" s="3">
        <f>2145.3+(167.1-138.8)+(-2.188206+(-0.170442--0.141576))+0-67.1--0.0684420000000107</f>
        <v>2104.3513700000008</v>
      </c>
      <c r="X281" s="3">
        <f>2193.9+(137.4-178.5)+(-6.713334+(-0.420444--0.54621))+0-88.5--0.27081000000001</f>
        <v>2057.9832420000002</v>
      </c>
      <c r="Y281" s="3">
        <f>2213.4+(137.3-275)+(1.128834+(0.070023-0.14025))+0-81.6-0.0416159999999917</f>
        <v>1995.1169910000003</v>
      </c>
      <c r="Z281" s="3">
        <f>2159.1+(137.2-255.1)+(-3.303423+(-0.209916--0.390303))+0-79.3--0.121329000000005</f>
        <v>1958.898293</v>
      </c>
      <c r="AA281" s="3">
        <f>2027.5+(137.6-226.2)+(-4.1361+(-0.280704--0.461448))+0-80.5--0.164219999999996</f>
        <v>1854.608864</v>
      </c>
      <c r="AB281" s="3">
        <f>1924.8+(116.9-175.9)+(-0.981648+(-0.059619--0.089709))+0-85.4--0.0435539999999913</f>
        <v>1779.491996</v>
      </c>
      <c r="AC281" s="3">
        <f>1730.5+(114.1-132.4)+(-7.942995+(-0.523719--0.607716))+0-56.9--0.26117100000001</f>
        <v>1647.7021730000001</v>
      </c>
      <c r="AD281">
        <f t="shared" si="4"/>
        <v>41790.455625999995</v>
      </c>
      <c r="AE281" s="3">
        <f>2218+(137.2-227.2)+(0+(0-0))+0-16.9-0</f>
        <v>2111.1</v>
      </c>
    </row>
    <row r="282" spans="1:31" s="2" customFormat="1" x14ac:dyDescent="0.25">
      <c r="A282">
        <v>89</v>
      </c>
      <c r="B282">
        <v>10</v>
      </c>
      <c r="C282">
        <v>6</v>
      </c>
      <c r="D282">
        <v>3</v>
      </c>
      <c r="E282">
        <v>1</v>
      </c>
      <c r="F282" s="3">
        <f>1618.9+(117.2-111.7)+(-3.302556+(-0.239088--0.227868))+0-73.2--0.149327999999997</f>
        <v>1548.0355520000001</v>
      </c>
      <c r="G282" s="3">
        <f>1600.7+(113.2-132.3)+(-0.816357+(-0.057732--0.067473))+0-82.4--0.0420239999999916</f>
        <v>1498.4354080000001</v>
      </c>
      <c r="H282" s="3">
        <f>1549.6+(120.1-99.9)+(-1.580592+(-0.122502--0.101898))+0-88.1--0.089862000000014</f>
        <v>1480.188666</v>
      </c>
      <c r="I282" s="3">
        <f>1614.2+(112.5-197.9)+(0.823242+(0.057375-0.100929))+0-54.8-0.0279479999999944</f>
        <v>1474.7517400000002</v>
      </c>
      <c r="J282" s="3">
        <f>1675.3+(113.4-236.6)+(-2.563209+(-0.173502--0.361998))+0-70.1--0.107253000000004</f>
        <v>1479.73254</v>
      </c>
      <c r="K282" s="3">
        <f>1694.2+(124.3-232.6)+(2.592126+(0.190179-0.355878))+0-83.6-0.127908000000005</f>
        <v>1504.5985190000004</v>
      </c>
      <c r="L282" s="3">
        <f>1712.9+(137.6-283.2)+(-0.873579+(-0.070176--0.144432))+0-83.6--0.0426359999999915</f>
        <v>1482.9433130000002</v>
      </c>
      <c r="M282" s="3">
        <f>1852.9+(137.1-306.7)+(1.889958+(0.139842-0.312834))+0-82.2-0.0838440000000131</f>
        <v>1602.7331220000001</v>
      </c>
      <c r="N282" s="3">
        <f>1903.6+(137.7-281.9)+(0+(0-0))+0-56-0</f>
        <v>1703.3999999999999</v>
      </c>
      <c r="O282" s="3">
        <f>1874.1+(137.9-165.8)+(-2.867373+(-0.210987--0.253674))+0-55.9--0.0855270000000032</f>
        <v>1787.5608409999998</v>
      </c>
      <c r="P282" s="3">
        <f>1866.8+(145.2-141.8)+(-2.856204+(-0.222156--0.216954))+0-44.6--0.0682380000000026</f>
        <v>1822.806832</v>
      </c>
      <c r="Q282" s="3">
        <f>1928.2+(206-153.3)+(-0.983382+(-0.10506--0.078183))+0-62.6--0.0319259999999936</f>
        <v>1917.3216670000002</v>
      </c>
      <c r="R282" s="3">
        <f>1913.4+(231.7-157.4)+(-2.927502+(-0.354501--0.240822))+0-61.2--0.0936360000000035</f>
        <v>1923.552455</v>
      </c>
      <c r="S282" s="3">
        <f>1922.9+(271.4-174.1)+(-2.942037+(-0.415242--0.266373))+0-70.1--0.107253000000004</f>
        <v>1947.1163470000001</v>
      </c>
      <c r="T282" s="3">
        <f>1865.9+(274.3-160.6)+(-0.951609+(-0.139893--0.081906))+0-73.2--0.0373319999999926</f>
        <v>1905.4277360000001</v>
      </c>
      <c r="U282" s="3">
        <f>1803.9+(257-116)+(2.759967+(0.39321-0.17748))+0-80.3-0.122859000000005</f>
        <v>1867.4528380000002</v>
      </c>
      <c r="V282" s="3">
        <f>1869.9+(269.1-83.8)+(-3.814596+(-0.548964--0.170952))+0-64.9--0.132395999999997</f>
        <v>1986.2397880000003</v>
      </c>
      <c r="W282" s="3">
        <f>2087.7+(248.5-94.4)+(-3.194181+(-0.380205--0.144432))+0-70.3--0.107559000000004</f>
        <v>2168.1776049999994</v>
      </c>
      <c r="X282" s="3">
        <f>2095.7+(237.2-108.7)+(-1.068807+(-0.120972--0.055437))+0-88.4--0.045083999999991</f>
        <v>2134.7107419999998</v>
      </c>
      <c r="Y282" s="3">
        <f>2139+(211-155.5)+(-1.09089+(-0.10761--0.079305))+0-76.4--0.0389639999999923</f>
        <v>2117.0197689999995</v>
      </c>
      <c r="Z282" s="3">
        <f>2058.9+(252.7-168.2)+(-2.100078+(-0.257754--0.171564))+0-79--0.0805800000000126</f>
        <v>2062.294312</v>
      </c>
      <c r="AA282" s="3">
        <f>1990.2+(277.7-188.4)+(-1.015002+(-0.141627--0.096084))+0-76.5--0.0390149999999922</f>
        <v>2001.9784700000002</v>
      </c>
      <c r="AB282" s="3">
        <f>1987.8+(268.5-228.4)+(-2.027556+(-0.27387--0.232968))+0-73.4--0.0748680000000117</f>
        <v>1952.5064099999997</v>
      </c>
      <c r="AC282" s="3">
        <f>1988.6+(232-251.4)+(-2.028372+(-0.23664--0.256428))+0-81.5--0.083130000000013</f>
        <v>1885.7745459999999</v>
      </c>
      <c r="AD282">
        <f t="shared" si="4"/>
        <v>43254.759218000007</v>
      </c>
      <c r="AE282" s="3">
        <f>2087+(241.2-112)+(0+(0-0))+0-33.8-0</f>
        <v>2182.3999999999996</v>
      </c>
    </row>
    <row r="283" spans="1:31" s="2" customFormat="1" x14ac:dyDescent="0.25">
      <c r="A283">
        <v>89</v>
      </c>
      <c r="B283">
        <v>10</v>
      </c>
      <c r="C283">
        <v>7</v>
      </c>
      <c r="D283">
        <v>4</v>
      </c>
      <c r="E283">
        <v>1</v>
      </c>
      <c r="F283" s="3">
        <f>1830.1+(233.8-217.1)+(-4.666755+(-0.59619--0.553605))+0-82.3--0.209864999999988</f>
        <v>1760.0005249999999</v>
      </c>
      <c r="G283" s="3">
        <f>1799.3+(229.7-224.6)+(0+(0-0))+0-75.9-0</f>
        <v>1728.4999999999998</v>
      </c>
      <c r="H283" s="3">
        <f>1697.5+(233.6-183.5)+(-1.73145+(-0.238272--0.18717))+0-73.1--0.0745620000000116</f>
        <v>1672.7920100000001</v>
      </c>
      <c r="I283" s="3">
        <f>1534.3+(241.4-103.2)+(0+(0-0))+0-83.6-0</f>
        <v>1588.9</v>
      </c>
      <c r="J283" s="3">
        <f>1548.8+(241.4-108.7)+(0.789888+(0.123114-0.055437))+0-89.5-0.0456449999999909</f>
        <v>1592.8119200000001</v>
      </c>
      <c r="K283" s="3">
        <f>1549.2+(247.9-120.1)+(0+(0-0))+0-78.2-0</f>
        <v>1598.8</v>
      </c>
      <c r="L283" s="3">
        <f>1784.8+(197.1-198.2)+(-1.820496+(-0.201042--0.202164))+0-85.7--0.0874140000000137</f>
        <v>1696.2680400000002</v>
      </c>
      <c r="M283" s="3">
        <f>1816.6+(235.8-216.3)+(-0.926466+(-0.120258--0.110313))+0-42.3--0.0215729999999957</f>
        <v>1792.885162</v>
      </c>
      <c r="N283" s="3">
        <f>1709.3+(271.3-132.1)+(6.102201+(0.968541-0.471597))+0-22.6-0.0806820000000003</f>
        <v>1832.418463</v>
      </c>
      <c r="O283" s="3">
        <f>1771.1+(276.4-116.2)+(0+(0-0))+0-21.5-0</f>
        <v>1909.8</v>
      </c>
      <c r="P283" s="3">
        <f>1777.5+(276.5-102.7)+(-1.81305+(-0.28203--0.104754))+0-19.6--0.0199920000000031</f>
        <v>1929.729666</v>
      </c>
      <c r="Q283" s="3">
        <f>1780.9+(277.7-89.8)+(-1.816518+(-0.283254--0.091596))+0-18.2--0.0185640000000029</f>
        <v>1948.6103880000001</v>
      </c>
      <c r="R283" s="3">
        <f>1770.9+(219.6-101.9)+(-2.709477+(-0.335988--0.155907))+0-19.2--0.0293760000000011</f>
        <v>1866.539818</v>
      </c>
      <c r="S283" s="3">
        <f>1764.3+(167-115.5)+(-3.599172+(-0.34068--0.23562))+0-19.5--0.0397799999999991</f>
        <v>1792.635548</v>
      </c>
      <c r="T283" s="3">
        <f>1799.3+(146-143.3)+(2.752929+(0.22338-0.219249))+0-55.3-0.0846090000000032</f>
        <v>1749.372451</v>
      </c>
      <c r="U283" s="3">
        <f>1765.4+(150.3-132.8)+(-3.601416+(-0.306612--0.270912))+0-62.7--0.127907999999997</f>
        <v>1716.6907919999999</v>
      </c>
      <c r="V283" s="3">
        <f>1865+(208.6-83.9)+(-1.9023+(-0.212772--0.085578))+0-93.7--0.0955740000000149</f>
        <v>1894.0660799999998</v>
      </c>
      <c r="W283" s="3">
        <f>2079.6+(168.9-104.8)+(-1.060596+(-0.086139--0.053448))+0-60.4--0.0308039999999939</f>
        <v>2082.2375169999996</v>
      </c>
      <c r="X283" s="3">
        <f>2185.5+(89.7-169.2)+(-3.343815+(-0.137241--0.258876))+0-74--0.113220000000004</f>
        <v>2028.8910399999997</v>
      </c>
      <c r="Y283" s="3">
        <f>2150.7+(92-168.9)+(-5.484285+(-0.2346--0.430695))+0-83.9--0.213944999999988</f>
        <v>1984.8257549999994</v>
      </c>
      <c r="Z283" s="3">
        <f>2085.8+(125.8-186.9)+(0+(0-0))+0-81.8-0</f>
        <v>1942.9000000000003</v>
      </c>
      <c r="AA283" s="3">
        <f>1993.1+(137.9-196.5)+(-3.049443+(-0.210987--0.300645))+0-74--0.113220000000004</f>
        <v>1857.6534349999999</v>
      </c>
      <c r="AB283" s="3">
        <f>1954+(132.5-244.7)+(-2.98962+(-0.202725--0.374391))+0-63.7--0.0974610000000037</f>
        <v>1775.3795069999999</v>
      </c>
      <c r="AC283" s="3">
        <f>1920.9+(103.3-269.2)+(-5.877954+(-0.316098--0.823752))+0-82.2--0.25153200000001</f>
        <v>1667.6812319999999</v>
      </c>
      <c r="AD283">
        <f t="shared" si="4"/>
        <v>43410.389349000005</v>
      </c>
      <c r="AE283" s="3">
        <f>2169+(103.5-167.7)+(0+(0-0))+0-23.4-0</f>
        <v>2081.4</v>
      </c>
    </row>
    <row r="284" spans="1:31" s="2" customFormat="1" x14ac:dyDescent="0.25">
      <c r="A284">
        <v>89</v>
      </c>
      <c r="B284">
        <v>10</v>
      </c>
      <c r="C284">
        <v>8</v>
      </c>
      <c r="D284">
        <v>5</v>
      </c>
      <c r="E284">
        <v>1</v>
      </c>
      <c r="F284" s="3">
        <f>1766.7+(100-229.2)+(0+(0-0))+0-60.7-0</f>
        <v>1576.8</v>
      </c>
      <c r="G284" s="3">
        <f>1573.8+(99-117.2)+(-1.605276+(-0.10098--0.119544))+0-42.7--0.0435540000000068</f>
        <v>1511.3568419999999</v>
      </c>
      <c r="H284" s="3">
        <f>1535.1+(98.9-102.5)+(-1.565802+(-0.100878--0.10455))+0-47.1--0.0480420000000075</f>
        <v>1482.885912</v>
      </c>
      <c r="I284" s="3">
        <f>1485.4+(136.2-56.9)+(-1.515108+(-0.138924--0.058038))+0-89.9--0.0916980000000143</f>
        <v>1473.2957039999999</v>
      </c>
      <c r="J284" s="3">
        <f>1490.6+(120.1-69.5)+(-0.760206+(-0.061251--0.035445))+0-76.7--0.0391169999999922</f>
        <v>1463.7531049999998</v>
      </c>
      <c r="K284" s="3">
        <f>1543.5+(122.9-89.7)+(-1.57437+(-0.125358--0.091494))+0-80--0.0816000000000128</f>
        <v>1495.173366</v>
      </c>
      <c r="L284" s="3">
        <f>1709+(136.6-245.2)+(-0.87159+(-0.069666--0.125052))+0-78.1--0.0398309999999921</f>
        <v>1521.5236270000003</v>
      </c>
      <c r="M284" s="3">
        <f>1929.8+(136-380.8)+(-1.968396+(-0.13872--0.388416))+0-81.6--0.083232000000013</f>
        <v>1601.7645320000001</v>
      </c>
      <c r="N284" s="3">
        <f>1973.3+(135.5-307.2)+(0+(0-0))+0-78.7-0</f>
        <v>1722.8999999999999</v>
      </c>
      <c r="O284" s="3">
        <f>1975+(135.1-244.6)+(2.0145+(0.137802-0.249492))+0-72.2-0.0736440000000115</f>
        <v>1795.1291659999999</v>
      </c>
      <c r="P284" s="3">
        <f>1959.5+(134.4-197.6)+(-0.999345+(-0.068544--0.100776))+0-78--0.0397799999999921</f>
        <v>1817.3726670000001</v>
      </c>
      <c r="Q284" s="3">
        <f>1959.6+(133.8-194.4)+(0+(0-0))+0-81.2-0</f>
        <v>1817.8</v>
      </c>
      <c r="R284" s="3">
        <f>1934.4+(134.1-197.7)+(-2.959632+(-0.205173--0.302481))+0-86.7--0.132651000000005</f>
        <v>1781.3703270000001</v>
      </c>
      <c r="S284" s="3">
        <f>1852.1+(147.4-139.5)+(0+(0-0))+0-88.9-0</f>
        <v>1771.1</v>
      </c>
      <c r="T284" s="3">
        <f>1920.6+(135.2-240.6)+(0+(0-0))+0-83.5-0</f>
        <v>1731.6999999999998</v>
      </c>
      <c r="U284" s="3">
        <f>1882.8+(125.1-196.7)+(0+(0-0))+0-84.6-0</f>
        <v>1726.6000000000001</v>
      </c>
      <c r="V284" s="3">
        <f>2018.4+(111.8-162.1)+(-4.117536+(-0.228072--0.330684))+0-63.2--0.128927999999997</f>
        <v>1901.0140040000001</v>
      </c>
      <c r="W284" s="3">
        <f>2200.7+(112-149.3)+(0+(0-0))+0-79.4-0</f>
        <v>2083.9999999999995</v>
      </c>
      <c r="X284" s="3">
        <f>2352.1+(102.6-349.7)+(-5.997855+(-0.26163--0.891735))+0-80.9--0.206294999999988</f>
        <v>2018.938545</v>
      </c>
      <c r="Y284" s="3">
        <f>2287.3+(108.3-333.4)+(-9.332184+(-0.441864--1.360272))+0-82.7--0.337415999999993</f>
        <v>1971.4236400000004</v>
      </c>
      <c r="Z284" s="3">
        <f>1933.8+(176-123)+(0+(0-0))+0-73.2-0</f>
        <v>1913.6</v>
      </c>
      <c r="AA284" s="3">
        <f>1924.8+(137.9-173.1)+(-1.963296+(-0.140658--0.176562))+0-74.7--0.0761940000000119</f>
        <v>1813.0488019999998</v>
      </c>
      <c r="AB284" s="3">
        <f>1910.2+(138.1-220.2)+(-1.948404+(-0.140862--0.224604))+0-78.9--0.0804780000000126</f>
        <v>1747.4158160000002</v>
      </c>
      <c r="AC284" s="3">
        <f>1820.4+(138.6-239.1)+(-4.64202+(-0.35343--0.609705))+0-69.2--0.17645999999999</f>
        <v>1646.4907149999999</v>
      </c>
      <c r="AD284">
        <f t="shared" si="4"/>
        <v>41386.456769999997</v>
      </c>
      <c r="AE284" s="3">
        <f>2425+(101-283.4)+(0+(0-0))+0-94.6-0</f>
        <v>2148</v>
      </c>
    </row>
    <row r="285" spans="1:31" s="2" customFormat="1" x14ac:dyDescent="0.25">
      <c r="A285">
        <v>89</v>
      </c>
      <c r="B285">
        <v>10</v>
      </c>
      <c r="C285">
        <v>9</v>
      </c>
      <c r="D285">
        <v>6</v>
      </c>
      <c r="E285">
        <v>1</v>
      </c>
      <c r="F285" s="3">
        <f>1696.5+(138.6-197.2)+(-2.595645+(-0.212058--0.301716))+0-79.4--0.121482000000005</f>
        <v>1556.115495</v>
      </c>
      <c r="G285" s="3">
        <f>1709.7+(138-259.1)+(0.871947+(0.07038-0.132141))+0-81.3-0.0414629999999918</f>
        <v>1508.0687229999999</v>
      </c>
      <c r="H285" s="3">
        <f>1699.3+(138.8-315)+(-3.466572+(-0.283152--0.6426))+0-35.9--0.0732359999999984</f>
        <v>1484.1661119999997</v>
      </c>
      <c r="I285" s="3">
        <f>1564.3+(138.6-162.7)+(-1.595586+(-0.141372--0.165954))+0-80.5--0.0821100000000128</f>
        <v>1458.2111060000002</v>
      </c>
      <c r="J285" s="3">
        <f>1545.4+(137.9-143.4)+(-2.364462+(-0.210987--0.219402))+0-76.4--0.116892000000004</f>
        <v>1461.260845</v>
      </c>
      <c r="K285" s="3">
        <f>1564.4+(137.5-137.6)+(0+(0-0))+0-74.2-0</f>
        <v>1490.1000000000001</v>
      </c>
      <c r="L285" s="3">
        <f>1617.9+(137.5-154.5)+(-2.475387+(-0.210375--0.236385))+0-66.5--0.101745000000004</f>
        <v>1532.0523680000001</v>
      </c>
      <c r="M285" s="3">
        <f>1611.6+(175-108.2)+(1.643832+(0.1785-0.110364))+0-95.9-0.0978180000000153</f>
        <v>1584.1141499999999</v>
      </c>
      <c r="N285" s="3">
        <f>1819.7+(136.1-191)+(0.928047+(0.069411-0.09741))+0-77.9-0.0397289999999921</f>
        <v>1687.7603189999998</v>
      </c>
      <c r="O285" s="3">
        <f>1836.7+(145.6-176.4)+(-4.683585+(-0.37128--0.44982))+0-37--0.0943499999999946</f>
        <v>1764.3893050000001</v>
      </c>
      <c r="P285" s="3">
        <f>1850.4+(193.2-132.1)+(0+(0-0))+0-91.5-0</f>
        <v>1820</v>
      </c>
      <c r="Q285" s="3">
        <f>1842.2+(186.6-142.2)+(-1.879044+(-0.190332--0.145044))+0-77.2--0.0787440000000123</f>
        <v>1807.554412</v>
      </c>
      <c r="R285" s="3">
        <f>1784.5+(208.7-124.3)+(-3.64038+(-0.425748--0.253572))+0-71.1--0.145043999999997</f>
        <v>1794.1324880000002</v>
      </c>
      <c r="S285" s="3">
        <f>1750.4+(200.1-133.5)+(-2.678112+(-0.306153--0.204255))+0-54.4--0.0832320000000031</f>
        <v>1759.9032219999999</v>
      </c>
      <c r="T285" s="3">
        <f>1740.6+(188.7-154.9)+(-0.887706+(-0.096237--0.078999))+0-67.5--0.0344249999999932</f>
        <v>1706.029481</v>
      </c>
      <c r="U285" s="3">
        <f>1755.4+(171.4-172)+(-0.895254+(-0.087414--0.08772))+0-60.5--0.0308549999999939</f>
        <v>1693.435907</v>
      </c>
      <c r="V285" s="3">
        <f>1822+(220.3-118.8)+(-3.71688+(-0.449412--0.242352))+0-69.8--0.142391999999997</f>
        <v>1849.9184520000001</v>
      </c>
      <c r="W285" s="3">
        <f>1953.8+(244-85.3)+(-2.989314+(-0.37332--0.130509))+0-84.4--0.129132000000005</f>
        <v>2024.9970069999999</v>
      </c>
      <c r="X285" s="3">
        <f>1984.1+(180.6-124)+(-6.071346+(-0.552636--0.37944))+0-78.7--0.240822000000009</f>
        <v>1955.9962799999998</v>
      </c>
      <c r="Y285" s="3">
        <f>1833.4+(231.4-79.3)+(0+(0-0))+0-77.1-0</f>
        <v>1908.4</v>
      </c>
      <c r="Z285" s="3">
        <f>1807.2+(230.1-102)+(-2.765016+(-0.352053--0.15606))+0-82.7--0.126531000000005</f>
        <v>1849.7655219999999</v>
      </c>
      <c r="AA285" s="3">
        <f>1704+(238.7-86.9)+(-0.86904+(-0.121737--0.044319))+0-80--0.0407999999999919</f>
        <v>1774.8943420000001</v>
      </c>
      <c r="AB285" s="3">
        <f>1685.5+(221.6-101.8)+(-3.43842+(-0.452064--0.207672))+0-76.2--0.155447999999997</f>
        <v>1725.5726359999999</v>
      </c>
      <c r="AC285" s="3">
        <f>1682.1+(157.5-158.1)+(-5.147226+(-0.48195--0.483786))+0-40.7--0.124542000000005</f>
        <v>1635.7791520000001</v>
      </c>
      <c r="AD285">
        <f t="shared" si="4"/>
        <v>40832.617324000006</v>
      </c>
      <c r="AE285" s="3">
        <f>1997+(184.6-123.7)+(0+(0-0))+0-92.1-0</f>
        <v>1965.8000000000002</v>
      </c>
    </row>
    <row r="286" spans="1:31" s="2" customFormat="1" x14ac:dyDescent="0.25">
      <c r="A286">
        <v>89</v>
      </c>
      <c r="B286">
        <v>10</v>
      </c>
      <c r="C286">
        <v>10</v>
      </c>
      <c r="D286">
        <v>7</v>
      </c>
      <c r="E286">
        <v>1</v>
      </c>
      <c r="F286" s="3">
        <f>1514.1+(211.9-77)+(0+(0-0))+0-89.7-0</f>
        <v>1559.3</v>
      </c>
      <c r="G286" s="3">
        <f>1380.1+(241.3-57.6)+(-1.407702+(-0.246126--0.058752))+0-76.6--0.0781320000000122</f>
        <v>1485.6830560000001</v>
      </c>
      <c r="H286" s="3">
        <f>1379.9+(211.9-56.5)+(0+(0-0))+0-76.2-0</f>
        <v>1459.1000000000001</v>
      </c>
      <c r="I286" s="3">
        <f>1375.9+(205-57.9)+(-2.105127+(-0.31365--0.088587))+0-77--0.117810000000004</f>
        <v>1443.7876200000001</v>
      </c>
      <c r="J286" s="3">
        <f>1431.9+(179-85.7)+(-1.460538+(-0.18258--0.087414))+0-80.4--0.0820080000000128</f>
        <v>1443.3263039999999</v>
      </c>
      <c r="K286" s="3">
        <f>1536.7+(121-127.4)+(0.783717+(0.06171-0.064974))+0-79.3-0.040442999999992</f>
        <v>1451.74001</v>
      </c>
      <c r="L286" s="3">
        <f>1549.2+(77.1-114.7)+(0+(0-0))+0-86.1-0</f>
        <v>1425.5000000000002</v>
      </c>
      <c r="M286" s="3">
        <f>1540.1+(87.2-155.5)+(-1.570902+(-0.088944--0.15861))+0-81.9--0.0835380000000131</f>
        <v>1388.4823019999999</v>
      </c>
      <c r="N286" s="3">
        <f>1652.3+(108.6-250.6)+(-2.528019+(-0.166158--0.383418))+0-74.6--0.114138000000004</f>
        <v>1433.503379</v>
      </c>
      <c r="O286" s="3">
        <f>1669.3+(134.4-224.3)+(-0.851343+(-0.068544--0.114393))+0-81.3--0.0414629999999918</f>
        <v>1497.335969</v>
      </c>
      <c r="P286" s="3">
        <f>1702.9+(136.2-222.4)+(-4.342395+(-0.34731--0.56712))+0-77.6--0.197879999999989</f>
        <v>1535.175295</v>
      </c>
      <c r="Q286" s="3">
        <f>1744.6+(135.3-233.7)+(0.889746+(0.069003-0.119187))+0-91.4-0.0466139999999907</f>
        <v>1555.5929479999995</v>
      </c>
      <c r="R286" s="3">
        <f>1732.3+(134.8-249.7)+(-1.766946+(-0.137496--0.254694))+0-80.4--0.0820080000000128</f>
        <v>1535.43226</v>
      </c>
      <c r="S286" s="3">
        <f>1670.5+(134.6-201)+(-5.11173+(-0.411876--0.61506))+0-83.8--0.25642800000001</f>
        <v>1515.647882</v>
      </c>
      <c r="T286" s="3">
        <f>1590.5+(132.4-146.5)+(1.62231+(0.135048-0.14943))+0-81.4-0.083028000000013</f>
        <v>1496.5248999999999</v>
      </c>
      <c r="U286" s="3">
        <f>1587.3+(106.9-137.6)+(-0.809523+(-0.054519--0.070176))+0-65.7--0.0335069999999933</f>
        <v>1490.139641</v>
      </c>
      <c r="V286" s="3">
        <f>1734.5+(104.1-131.3)+(-0.884595+(-0.053091--0.066963))+0-73.3--0.0373829999999926</f>
        <v>1633.1666600000001</v>
      </c>
      <c r="W286" s="3">
        <f>1960.7+(95.3-150)+(0.999957+(0.048603-0.0765))+0-85.5-0.0436049999999913</f>
        <v>1821.428455</v>
      </c>
      <c r="X286" s="3">
        <f>2020.7+(101.2-253)+(-3.091671+(-0.154836--0.38709))+0-72.4--0.110772000000004</f>
        <v>1793.7513550000001</v>
      </c>
      <c r="Y286" s="3">
        <f>1983.7+(115.1-225.5)+(-1.011687+(-0.058701--0.115005))+0-83.9--0.0427889999999915</f>
        <v>1788.487406</v>
      </c>
      <c r="Z286" s="3">
        <f>1802.2+(163.7-127.9)+(0.919122+(0.083487-0.065229))+0-85.8-0.0437579999999913</f>
        <v>1753.0936220000001</v>
      </c>
      <c r="AA286" s="3">
        <f>1819.6+(128-151.1)+(-2.783988+(-0.19584--0.231183))+0-88.6--0.135558000000005</f>
        <v>1705.2869130000001</v>
      </c>
      <c r="AB286" s="3">
        <f>1752+(141.7-139.3)+(-4.4676+(-0.361335--0.355215))+0-82.8--0.211139999999988</f>
        <v>1667.3374200000001</v>
      </c>
      <c r="AC286" s="3">
        <f>1750.7+(137.8-203.1)+(-0.892857+(-0.070278--0.103581))+0-81.2--0.0414119999999918</f>
        <v>1603.3818580000002</v>
      </c>
      <c r="AD286">
        <f t="shared" si="4"/>
        <v>37482.205255000008</v>
      </c>
      <c r="AE286" s="3">
        <f>2022+(86.9-181)+(0+(0-0))+0-105.1-0</f>
        <v>1822.8000000000002</v>
      </c>
    </row>
    <row r="287" spans="1:31" s="2" customFormat="1" x14ac:dyDescent="0.25">
      <c r="A287">
        <v>89</v>
      </c>
      <c r="B287">
        <v>10</v>
      </c>
      <c r="C287">
        <v>11</v>
      </c>
      <c r="D287">
        <v>1</v>
      </c>
      <c r="E287">
        <v>1</v>
      </c>
      <c r="F287" s="3">
        <f>1798.7+(137.5-364.8)+(-4.586685+(-0.350625--0.93024))+0-82.4--0.210119999999988</f>
        <v>1485.2030499999998</v>
      </c>
      <c r="G287" s="3">
        <f>1655.5+(137.9-278.8)+(-4.221525+(-0.351645--0.71094))+0-84.5--0.215474999999988</f>
        <v>1426.4532449999999</v>
      </c>
      <c r="H287" s="3">
        <f>1553.3+(136.6-219)+(-3.168732+(-0.278664--0.44676))+0-68.9--0.140555999999997</f>
        <v>1399.1399199999998</v>
      </c>
      <c r="I287" s="3">
        <f>1520+(135.6-172.6)+(-1.5504+(-0.138312--0.176052))+0-88.3--0.0900660000000141</f>
        <v>1393.2774059999999</v>
      </c>
      <c r="J287" s="3">
        <f>1491.3+(136.2-163.4)+(0+(0-0))+0-69-0</f>
        <v>1395.1</v>
      </c>
      <c r="K287" s="3">
        <f>1521.7+(136.9-182.2)+(2.328201+(0.209457-0.278766))+0-51.5-0.078795000000003</f>
        <v>1427.0800970000003</v>
      </c>
      <c r="L287" s="3">
        <f>1705.6+(137.1-291.5)+(-1.739712+(-0.139842--0.29733))+0-87.4--0.0891480000000139</f>
        <v>1462.3069239999998</v>
      </c>
      <c r="M287" s="3">
        <f>1996.6+(136.9-486.7)+(1.018266+(0.069819-0.248217))+0-84.6-0.0431459999999914</f>
        <v>1562.9967220000001</v>
      </c>
      <c r="N287" s="3">
        <f>2098.5+(136.5-479.9)+(-2.14047+(-0.13923--0.489498))+0-63.7--0.0649740000000102</f>
        <v>1689.6747720000001</v>
      </c>
      <c r="O287" s="3">
        <f>2265.9+(135.1-532.1)+(0+(0-0))+0-85.4-0</f>
        <v>1783.5</v>
      </c>
      <c r="P287" s="3">
        <f>2386.6+(134.5-602.2)+(1.217166+(0.068595-0.307122))+0-86-0.0438599999999913</f>
        <v>1833.8347789999998</v>
      </c>
      <c r="Q287" s="3">
        <f>2321.8+(137.7-547.5)+(-4.736472+(-0.280908--1.1169))+0-80.9--0.165035999999996</f>
        <v>1827.3645560000002</v>
      </c>
      <c r="R287" s="3">
        <f>2332.9+(138.2-588)+(-3.569337+(-0.211446--0.89964))+0-72.7--0.111231000000004</f>
        <v>1807.6300880000001</v>
      </c>
      <c r="S287" s="3">
        <f>2267.2+(137.8-573.3)+(-2.312544+(-0.140556--0.584766))+0-45.8--0.0467160000000073</f>
        <v>1784.0783819999999</v>
      </c>
      <c r="T287" s="3">
        <f>2189.5+(136.8-506.8)+(-3.349935+(-0.209304--0.775404))+0-83.6--0.127908000000005</f>
        <v>1733.2440730000001</v>
      </c>
      <c r="U287" s="3">
        <f>2174.4+(129.3-529.2)+(2.217888+(0.131886-0.539784))+0-63.2-0.0644640000000101</f>
        <v>1713.0455259999999</v>
      </c>
      <c r="V287" s="3">
        <f>2215.5+(114.2-422.2)+(0+(0-0))+0-63.1-0</f>
        <v>1844.4</v>
      </c>
      <c r="W287" s="3">
        <f>2338.6+(120.9-381.4)+(-5.96343+(-0.308295--0.97257))+0-22.1--0.0563549999999968</f>
        <v>2050.7572</v>
      </c>
      <c r="X287" s="3">
        <f>2308.2+(118-348.7)+(-5.88591+(-0.3009--0.889185))+0-72.9--0.185894999999989</f>
        <v>1999.4882699999998</v>
      </c>
      <c r="Y287" s="3">
        <f>2266+(123.1-360)+(-2.31132+(-0.125562--0.3672))+0-82.8--0.0844560000000132</f>
        <v>1944.3147739999999</v>
      </c>
      <c r="Z287" s="3">
        <f>2219.2+(137.8-383.2)+(-2.263584+(-0.140556--0.390864))+0-73.1--0.0745620000000116</f>
        <v>1898.7612859999999</v>
      </c>
      <c r="AA287" s="3">
        <f>2175.1+(135.9-410.6)+(-3.327903+(-0.207927--0.628218))+0-83.9--0.128367000000005</f>
        <v>1813.7207549999998</v>
      </c>
      <c r="AB287" s="3">
        <f>2012+(131.9-311.7)+(-1.02612+(-0.067269--0.158967))+0-81.3--0.0414629999999918</f>
        <v>1750.0070410000001</v>
      </c>
      <c r="AC287" s="3">
        <f>1795.6+(121.9-198.1)+(-4.57878+(-0.310845--0.505155))+0-89.7--0.228734999999987</f>
        <v>1625.5442649999998</v>
      </c>
      <c r="AD287">
        <f t="shared" si="4"/>
        <v>40650.923131000003</v>
      </c>
      <c r="AE287" s="3">
        <f>2336+(120.2-383.9)+(0+(0-0))+0-22.3-0</f>
        <v>2050</v>
      </c>
    </row>
    <row r="288" spans="1:31" s="2" customFormat="1" x14ac:dyDescent="0.25">
      <c r="A288">
        <v>89</v>
      </c>
      <c r="B288">
        <v>10</v>
      </c>
      <c r="C288">
        <v>12</v>
      </c>
      <c r="D288">
        <v>2</v>
      </c>
      <c r="E288">
        <v>1</v>
      </c>
      <c r="F288" s="3">
        <f>1630.6+(120-146.6)+(-2.494818+(-0.1836--0.224298))+0-80.1--0.122553000000005</f>
        <v>1521.5684329999999</v>
      </c>
      <c r="G288" s="3">
        <f>1690.9+(119.8-279.9)+(0+(0-0))+0-60.2-0</f>
        <v>1470.6000000000001</v>
      </c>
      <c r="H288" s="3">
        <f>1654.2+(120.3-226)+(-4.21821+(-0.306765--0.5763))+0-91.4--0.233069999999987</f>
        <v>1453.3843949999998</v>
      </c>
      <c r="I288" s="3">
        <f>1592.2+(119.9-198)+(2.436066+(0.183447-0.30294))+0-73-0.111690000000004</f>
        <v>1443.3048830000002</v>
      </c>
      <c r="J288" s="3">
        <f>1629+(120.4-226.8)+(-3.32316+(-0.245616--0.462672))+0-76.8--0.156671999999997</f>
        <v>1442.8505680000001</v>
      </c>
      <c r="K288" s="3">
        <f>1683+(126.7-253.4)+(-0.85833+(-0.064617--0.129234))+0-79.1--0.040340999999992</f>
        <v>1476.4466279999999</v>
      </c>
      <c r="L288" s="3">
        <f>1791.9+(138.3-322.5)+(-1.827738+(-0.141066--0.32895))+0-84.2--0.0858840000000134</f>
        <v>1521.9460300000001</v>
      </c>
      <c r="M288" s="3">
        <f>1883.7+(137.4-397)+(-0.960687+(-0.070074--0.20247))+0-42.9--0.0218789999999956</f>
        <v>1580.3935879999997</v>
      </c>
      <c r="N288" s="3">
        <f>2034.6+(137.1-407.7)+(-1.037646+(-0.069921--0.207927))+0-70.6--0.0360059999999928</f>
        <v>1692.536366</v>
      </c>
      <c r="O288" s="3">
        <f>2155+(129.2-445.1)+(-3.29715+(-0.197676--0.681003))+0-70.6--0.108018000000004</f>
        <v>1765.7941949999999</v>
      </c>
      <c r="P288" s="3">
        <f>2232.8+(114-478.2)+(3.416184+(0.17442-0.731646))+0-70.6-0.108018000000004</f>
        <v>1800.7509400000004</v>
      </c>
      <c r="Q288" s="3">
        <f>2246.5+(107-464.8)+(-5.728575+(-0.27285--1.18524))+0-70.6--0.18002999999999</f>
        <v>1813.4638450000002</v>
      </c>
      <c r="R288" s="3">
        <f>2228+(111.3-502.9)+(-5.6814+(-0.283815--1.282395))+0-44--0.112199999999994</f>
        <v>1787.8293800000001</v>
      </c>
      <c r="S288" s="3">
        <f>2134.4+(112.1-438.7)+(0+(0-0))+0-60.1-0</f>
        <v>1747.7000000000003</v>
      </c>
      <c r="T288" s="3">
        <f>2136.9+(72.1-398.7)+(-1.089819+(-0.036771--0.203337))+0-75.4--0.0384539999999924</f>
        <v>1734.0152010000002</v>
      </c>
      <c r="U288" s="3">
        <f>1935.7+(113.5-243.7)+(-4.936035+(-0.289425--0.621435))+0-74.9--0.190994999999989</f>
        <v>1726.1869699999997</v>
      </c>
      <c r="V288" s="3">
        <f>2098.5+(112.8-238.6)+(-5.351175+(-0.28764--0.60843))+0-90.9--0.231794999999987</f>
        <v>1877.0014099999999</v>
      </c>
      <c r="W288" s="3">
        <f>2326.1+(120.4-292.4)+(-5.931555+(-0.30702--0.74562))+0-79.8--0.203489999999988</f>
        <v>2069.0105349999994</v>
      </c>
      <c r="X288" s="3">
        <f>2252.4+(110.3-278.8)+(-6.892344+(-0.337518--0.853128))+0-73.5--0.224910000000008</f>
        <v>2004.2481760000001</v>
      </c>
      <c r="Y288" s="3">
        <f>2189.4+(120.8-292.5)+(-5.58297+(-0.30804--0.745875))+0-58.8--0.149939999999991</f>
        <v>1953.9048050000001</v>
      </c>
      <c r="Z288" s="3">
        <f>2144+(137.4-318.8)+(-3.28032+(-0.210222--0.487764))+0-21.5--0.0328950000000012</f>
        <v>1938.1301169999999</v>
      </c>
      <c r="AA288" s="3">
        <f>2104.1+(137.1-345.3)+(0+(0-0))+0-72.5-0</f>
        <v>1823.3999999999999</v>
      </c>
      <c r="AB288" s="3">
        <f>1939.9+(137.6-260)+(-2.968047+(-0.210528--0.3978))+0-77.8--0.119034000000004</f>
        <v>1737.0382590000002</v>
      </c>
      <c r="AC288" s="3">
        <f>1865.3+(137.9-295.4)+(-3.805212+(-0.281316--0.602616))+0-74--0.150959999999997</f>
        <v>1630.467048</v>
      </c>
      <c r="AD288">
        <f t="shared" si="4"/>
        <v>41011.971772000004</v>
      </c>
      <c r="AE288" s="3">
        <f>2360+(127.8-329.9)+(0+(0-0))+0-95.7-0</f>
        <v>2062.2000000000003</v>
      </c>
    </row>
    <row r="289" spans="1:31" s="2" customFormat="1" x14ac:dyDescent="0.25">
      <c r="A289">
        <v>89</v>
      </c>
      <c r="B289">
        <v>10</v>
      </c>
      <c r="C289">
        <v>13</v>
      </c>
      <c r="D289">
        <v>3</v>
      </c>
      <c r="E289">
        <v>1</v>
      </c>
      <c r="F289" s="3">
        <f>1695.3+(137.7-198.3)+(-3.458412+(-0.280908--0.404532))+0-93.9--0.191555999999996</f>
        <v>1537.6567679999998</v>
      </c>
      <c r="G289" s="3">
        <f>1585.9+(137.5-163.4)+(-1.617618+(-0.14025--0.166668))+0-76.3--0.0778260000000122</f>
        <v>1482.1866259999999</v>
      </c>
      <c r="H289" s="3">
        <f>1525.8+(138.2-128.8)+(-1.556316+(-0.140964--0.131376))+0-76.9--0.0784380000000123</f>
        <v>1456.8125339999997</v>
      </c>
      <c r="I289" s="3">
        <f>1534.8+(138.4-162.9)+(-2.348244+(-0.211752--0.249237))+0-66.1--0.101133000000004</f>
        <v>1441.990374</v>
      </c>
      <c r="J289" s="3">
        <f>1568.2+(137.8-185.6)+(2.399346+(0.210834-0.283968))+0-79.9-0.122247000000005</f>
        <v>1442.7039649999999</v>
      </c>
      <c r="K289" s="3">
        <f>1684.1+(137.4-266.6)+(0+(0-0))+0-85.7-0</f>
        <v>1469.1999999999998</v>
      </c>
      <c r="L289" s="3">
        <f>1684.1+(137.4-267.6)+(0+(0-0))+0-85.7-0</f>
        <v>1468.1999999999998</v>
      </c>
      <c r="M289" s="3">
        <f>1791.7+(137.5-318.1)+(-1.827534+(-0.14025--0.324462))+0-83.1--0.0847620000000132</f>
        <v>1526.4414400000001</v>
      </c>
      <c r="N289" s="3">
        <f>1953.3+(137.6-411.1)+(-0.996183+(-0.070176--0.209661))+0-78.8--0.040187999999992</f>
        <v>1600.1834899999999</v>
      </c>
      <c r="O289" s="3">
        <f>2176+(135.8-441.8)+(-2.21952+(-0.138516--0.450636))+0-79.3--0.0808860000000126</f>
        <v>1788.873486</v>
      </c>
      <c r="P289" s="3">
        <f>2071.2+(136-314)+(-4.225248+(-0.27744--0.64056))+0-63.2--0.128927999999997</f>
        <v>1826.2667999999999</v>
      </c>
      <c r="Q289" s="3">
        <f>2001.7+(136.2-230.8)+(-3.062601+(-0.208386--0.353124))+0-77.7--0.118881000000004</f>
        <v>1826.6010180000001</v>
      </c>
      <c r="R289" s="3">
        <f>2007.1+(136.8-249.1)+(-4.094484+(-0.279072--0.508164))+0-81--0.165239999999996</f>
        <v>1810.0998480000001</v>
      </c>
      <c r="S289" s="3">
        <f>1949.2+(137.4-267.6)+(-1.988184+(-0.140148--0.272952))+0-46.2--0.0471240000000074</f>
        <v>1770.9917439999999</v>
      </c>
      <c r="T289" s="3">
        <f>1906.7+(137.1-226)+(-0.972417+(-0.069921--0.11526))+0-86.9--0.0443189999999912</f>
        <v>1730.017241</v>
      </c>
      <c r="U289" s="3">
        <f>1943.4+(128.5-267.6)+(-1.982268+(-0.13107--0.272952))+0-68.4--0.0697680000000109</f>
        <v>1734.1293820000001</v>
      </c>
      <c r="V289" s="3">
        <f>2005.2+(116.1-197.5)+(-5.11326+(-0.296055--0.503625))+0-62.2--0.158609999999991</f>
        <v>1856.8529199999998</v>
      </c>
      <c r="W289" s="3">
        <f>2310.6+(111.5-270.7)+(-5.89203+(-0.284325--0.690285))+0-81.7--0.208334999999988</f>
        <v>2064.4222650000002</v>
      </c>
      <c r="X289" s="3">
        <f>2320.6+(113.5-327.4)+(-4.734024+(-0.23154--0.667896))+0-81.5--0.166259999999996</f>
        <v>2021.0685919999996</v>
      </c>
      <c r="Y289" s="3">
        <f>2269.2+(128.4-345.6)+(-2.314584+(-0.130968--0.352512))+0-76.8--0.0783360000000122</f>
        <v>1973.1852959999999</v>
      </c>
      <c r="Z289" s="3">
        <f>2204.8+(137.8-345.1)+(-2.248896+(-0.140556--0.352002))+0-79.5--0.0810900000000127</f>
        <v>1916.0436400000001</v>
      </c>
      <c r="AA289" s="3">
        <f>2198.6+(137.6-428.6)+(1.121286+(0.070176-0.218586))+0-79.5-0.0405449999999919</f>
        <v>1829.0323309999999</v>
      </c>
      <c r="AB289" s="3">
        <f>2176.4+(137.5-459.2)+(-3.329892+(-0.210375--0.702576))+0-88.1--0.134793000000005</f>
        <v>1763.8971020000001</v>
      </c>
      <c r="AC289" s="3">
        <f>2012+(137.6-406.4)+(-5.1306+(-0.35088--1.03632))+0-90--0.229499999999987</f>
        <v>1648.98434</v>
      </c>
      <c r="AD289">
        <f t="shared" si="4"/>
        <v>40985.841202000018</v>
      </c>
      <c r="AE289" s="3">
        <f>2350+(111.3-291.2)+(0+(0-0))+0-90.3-0</f>
        <v>2079.7999999999997</v>
      </c>
    </row>
    <row r="290" spans="1:31" s="2" customFormat="1" x14ac:dyDescent="0.25">
      <c r="A290">
        <v>89</v>
      </c>
      <c r="B290">
        <v>10</v>
      </c>
      <c r="C290">
        <v>14</v>
      </c>
      <c r="D290">
        <v>4</v>
      </c>
      <c r="E290">
        <v>1</v>
      </c>
      <c r="F290" s="3">
        <f>1804.9+(137-312.7)+(-3.681996+(-0.27948--0.637908))+0-79.3--0.161771999999997</f>
        <v>1546.738204</v>
      </c>
      <c r="G290" s="3">
        <f>1699.4+(137.3-276.3)+(-1.733388+(-0.140046--0.281826))+0-73.2--0.0746640000000117</f>
        <v>1485.6830560000001</v>
      </c>
      <c r="H290" s="3">
        <f>1670.4+(138.3-268.8)+(0+(0-0))+0-73.6-0</f>
        <v>1466.3000000000002</v>
      </c>
      <c r="I290" s="3">
        <f>1631.1+(138.8-221.7)+(-1.663722+(-0.141576--0.226134))+0-87.2--0.0889440000000139</f>
        <v>1459.5097799999999</v>
      </c>
      <c r="J290" s="3">
        <f>1655.1+(138.3-263.9)+(3.376404+(0.282132-0.538356))+0-83.8-0.170951999999996</f>
        <v>1448.649228</v>
      </c>
      <c r="K290" s="3">
        <f>1740.5+(138.1-416.7)+(0.887655+(0.070431-0.212517))+0-45-0.0229499999999954</f>
        <v>1417.622619</v>
      </c>
      <c r="L290" s="3">
        <f>1845.1+(138.5-385.7)+(-1.882002+(-0.14127--0.393414))+0-76.5--0.0780300000000122</f>
        <v>1519.8481719999997</v>
      </c>
      <c r="M290" s="3">
        <f>1957.5+(138.2-427.6)+(-2.994975+(-0.211446--0.654228))+0-87--0.133110000000005</f>
        <v>1578.6809169999999</v>
      </c>
      <c r="N290" s="3">
        <f>1922.7+(137.7-369.1)+(-1.961154+(-0.140454--0.376482))+0-21.4--0.0218280000000034</f>
        <v>1668.1967019999997</v>
      </c>
      <c r="O290" s="3">
        <f>1989.3+(137-376.9)+(-2.029086+(-0.13974--0.384438))+0-19.8--0.0201960000000032</f>
        <v>1727.835808</v>
      </c>
      <c r="P290" s="3">
        <f>1981.4+(136.4-318.8)+(-1.010514+(-0.069564--0.162588))+0-20.1--0.010250999999998</f>
        <v>1777.992761</v>
      </c>
      <c r="Q290" s="3">
        <f>2056.6+(135.8-388.1)+(-4.195464+(-0.277032--0.791724))+0-21--0.0428399999999991</f>
        <v>1779.6620680000001</v>
      </c>
      <c r="R290" s="3">
        <f>1966.3+(136.6-326.5)+(-2.005626+(-0.139332--0.33303))+0-20.9--0.0213180000000033</f>
        <v>1753.7093899999998</v>
      </c>
      <c r="S290" s="3">
        <f>2048.1+(136.9-419.9)+(-2.089062+(-0.139638--0.428298))+0-19.3--0.0196860000000031</f>
        <v>1744.019284</v>
      </c>
      <c r="T290" s="3">
        <f>2098.9+(138.1-461.9)+(-1.070439+(-0.070431--0.235569))+0-74.7--0.0380969999999924</f>
        <v>1699.532796</v>
      </c>
      <c r="U290" s="3">
        <f>2079.9+(129.5-430.8)+(0+(0-0))+0-78.2-0</f>
        <v>1700.4</v>
      </c>
      <c r="V290" s="3">
        <f>2243.6+(110.3-446.9)+(-4.576944+(-0.225012--0.911676))+0-79.4--0.161975999999997</f>
        <v>1823.8716959999999</v>
      </c>
      <c r="W290" s="3">
        <f>2330.5+(87.8-300.1)+(0+(0-0))+0-87.7-0</f>
        <v>2030.4999999999998</v>
      </c>
      <c r="X290" s="3">
        <f>2351.9+(91.7-361.2)+(-2.398938+(-0.093534--0.368424))+0-90.1--0.0919020000000144</f>
        <v>1990.2678540000002</v>
      </c>
      <c r="Y290" s="3">
        <f>2337.5+(99.2-443.2)+(-1.192125+(-0.050592--0.226032))+0-55.3--0.0282029999999944</f>
        <v>1937.2115180000001</v>
      </c>
      <c r="Z290" s="3">
        <f>2213.7+(129.2-364)+(-5.644935+(-0.32946--0.9282))+0-80.2--0.204509999999988</f>
        <v>1893.8583149999999</v>
      </c>
      <c r="AA290" s="3">
        <f>2109.2+(137.5-350.5)+(0+(0-0))+0-92.8-0</f>
        <v>1803.3999999999999</v>
      </c>
      <c r="AB290" s="3">
        <f>1972.1+(137.9-317.6)+(-1.005771+(-0.070329--0.161976))+0-70.4--0.0359039999999929</f>
        <v>1721.1217799999999</v>
      </c>
      <c r="AC290" s="3">
        <f>1948.2+(136.3-416.2)+(-2.980746+(-0.208539--0.636786))+0-50.1--0.0766530000000029</f>
        <v>1615.7241540000005</v>
      </c>
      <c r="AD290">
        <f t="shared" si="4"/>
        <v>40590.336102000008</v>
      </c>
      <c r="AE290" s="3">
        <f>2372+(97.9-423.6)+(0+(0-0))+0-33.1-0</f>
        <v>2013.2</v>
      </c>
    </row>
    <row r="291" spans="1:31" s="2" customFormat="1" x14ac:dyDescent="0.25">
      <c r="A291">
        <v>89</v>
      </c>
      <c r="B291">
        <v>10</v>
      </c>
      <c r="C291">
        <v>15</v>
      </c>
      <c r="D291">
        <v>5</v>
      </c>
      <c r="E291">
        <v>1</v>
      </c>
      <c r="F291" s="3">
        <f>1898.8+(137.2-435)+(-3.873552+(-0.279888--0.8874))+0-71.8--0.146471999999997</f>
        <v>1526.080432</v>
      </c>
      <c r="G291" s="3">
        <f>1781+(137.1-351.3)+(-1.81662+(-0.139842--0.358326))+0-92--0.0938400000000147</f>
        <v>1473.2957039999999</v>
      </c>
      <c r="H291" s="3">
        <f>1646.3+(137.2-263.2)+(-0.839613+(-0.069972--0.134232))+0-68.8--0.035087999999993</f>
        <v>1450.7597350000001</v>
      </c>
      <c r="I291" s="3">
        <f>1636.6+(136.8-255.2)+(-0.834666+(-0.069768--0.130152))+0-74.8--0.0381479999999924</f>
        <v>1442.6638659999999</v>
      </c>
      <c r="J291" s="3">
        <f>1810.9+(136.3-426.7)+(-0.923559+(-0.069513--0.217617))+0-79.7--0.0406469999999919</f>
        <v>1440.065192</v>
      </c>
      <c r="K291" s="3">
        <f>1809.4+(136.4-392.1)+(-1.845588+(-0.139128--0.399942))+0-84.4--0.0860880000000135</f>
        <v>1467.801314</v>
      </c>
      <c r="L291" s="3">
        <f>1788.4+(136.3-296.4)+(-1.824168+(-0.139026--0.302328))+0-81.7--0.083334000000013</f>
        <v>1545.0224680000001</v>
      </c>
      <c r="M291" s="3">
        <f>1681.8+(136.4-151.5)+(-1.715436+(-0.139128--0.15453))+0-49--0.0499800000000078</f>
        <v>1616.0499460000001</v>
      </c>
      <c r="N291" s="3">
        <f>1955.9+(135.8-299.7)+(-3.990036+(-0.277032--0.611388))+0-68.5--0.139739999999997</f>
        <v>1719.98406</v>
      </c>
      <c r="O291" s="3">
        <f>2174.1+(135-433.6)+(-1.108791+(-0.06885--0.221136))+0-68.5--0.034934999999993</f>
        <v>1806.0784299999998</v>
      </c>
      <c r="P291" s="3">
        <f>2217.6+(134.8-432.7)+(-1.130976+(-0.068748--0.220677))+0-79.9--0.0407489999999919</f>
        <v>1838.8617019999997</v>
      </c>
      <c r="Q291" s="3">
        <f>2210+(134.8-426)+(-1.1271+(-0.068748--0.21726))+0-88.5--0.045134999999991</f>
        <v>1829.3665470000001</v>
      </c>
      <c r="R291" s="3">
        <f>2166.5+(135.1-475.3)+(-2.20983+(-0.137802--0.484806))+0-65.9--0.0672180000000105</f>
        <v>1758.6043919999997</v>
      </c>
      <c r="S291" s="3">
        <f>2091.1+(135.2-469.6)+(-3.199383+(-0.206856--0.718488))+0-73.7--0.112761000000004</f>
        <v>1680.4250099999999</v>
      </c>
      <c r="T291" s="3">
        <f>2166.2+(135.7-539.1)+(-2.209524+(-0.138414--0.549882))+0-82.7--0.0843540000000132</f>
        <v>1678.3862979999997</v>
      </c>
      <c r="U291" s="3">
        <f>2213.9+(114.7-561.4)+(5.645445+(0.292485-1.43157))+0-72.6-0.185129999999989</f>
        <v>1698.9212300000002</v>
      </c>
      <c r="V291" s="3">
        <f>2201.2+(98-334.4)+(-3.367836+(-0.14994--0.511632))+0-87.2--0.133416000000005</f>
        <v>1874.7272719999996</v>
      </c>
      <c r="W291" s="3">
        <f>2306.8+(90.7-320.1)+(1.176468+(0.046257-0.163251))+0-91.7-0.0467669999999907</f>
        <v>1986.7127070000001</v>
      </c>
      <c r="X291" s="3">
        <f>2339.6+(88.1-358.6)+(-4.772784+(-0.179724--0.731544))+0-81.8--0.166871999999996</f>
        <v>1983.2459079999999</v>
      </c>
      <c r="Y291" s="3">
        <f>2287.3+(102.6-378.7)+(-3.499569+(-0.156978--0.579411))+0-80.6--0.123318000000005</f>
        <v>1927.6461820000002</v>
      </c>
      <c r="Z291" s="3">
        <f>2264.5+(133.5-438.6)+(-1.154895+(-0.068085--0.223686))+0-81--0.0413099999999918</f>
        <v>1877.4420160000002</v>
      </c>
      <c r="AA291" s="3">
        <f>2205+(137.4-451.8)+(-3.37365+(-0.210222--0.691254))+0-83.5--0.127755000000005</f>
        <v>1804.3351369999998</v>
      </c>
      <c r="AB291" s="3">
        <f>2166.5+(137.2-480.8)+(-5.524575+(-0.34986--1.22604))+0-75.8--0.193289999999989</f>
        <v>1742.6448950000001</v>
      </c>
      <c r="AC291" s="3">
        <f>1965.7+(137.2-394.8)+(-5.012535+(-0.34986--1.00674))+0-78.8--0.200939999999989</f>
        <v>1625.1452849999998</v>
      </c>
      <c r="AD291">
        <f t="shared" si="4"/>
        <v>40794.265727999998</v>
      </c>
      <c r="AE291" s="3">
        <f>2411+(86.3-371.2)+(0+(0-0))+0-93.2-0</f>
        <v>2032.8999999999999</v>
      </c>
    </row>
    <row r="292" spans="1:31" s="2" customFormat="1" x14ac:dyDescent="0.25">
      <c r="A292">
        <v>89</v>
      </c>
      <c r="B292">
        <v>10</v>
      </c>
      <c r="C292">
        <v>16</v>
      </c>
      <c r="D292">
        <v>6</v>
      </c>
      <c r="E292">
        <v>1</v>
      </c>
      <c r="F292" s="3">
        <f>1784.6+(137.6-335.3)+(-1.820292+(-0.140352--0.342006))+0-52.5--0.0535500000000084</f>
        <v>1532.834912</v>
      </c>
      <c r="G292" s="3">
        <f>1604.1+(137.7-187.1)+(-2.454273+(-0.210681--0.286263))+0-80.1--0.122553000000005</f>
        <v>1472.3438619999999</v>
      </c>
      <c r="H292" s="3">
        <f>1550.4+(137.4-137.1)+(-3.162816+(-0.280296--0.279684))+0-83.3--0.169931999999996</f>
        <v>1464.406504</v>
      </c>
      <c r="I292" s="3">
        <f>1410.7+(174.4-71.1)+(-2.158371+(-0.266832--0.108783))+0-81--0.123930000000005</f>
        <v>1430.8075099999999</v>
      </c>
      <c r="J292" s="3">
        <f>1376.4+(187.1-70.3)+(-0.701964+(-0.095421--0.035853))+0-70.1--0.0357509999999929</f>
        <v>1422.374219</v>
      </c>
      <c r="K292" s="3">
        <f>1567.9+(137.5-157.9)+(0+(0-0))+0-80-0</f>
        <v>1467.5</v>
      </c>
      <c r="L292" s="3">
        <f>1593.1+(137.4-145.6)+(-0.812481+(-0.070074--0.074256))+0-92.8--0.0473279999999906</f>
        <v>1491.3390289999998</v>
      </c>
      <c r="M292" s="3">
        <f>1606.6+(164.1-114.5)+(0+(0-0))+0-87.4-0</f>
        <v>1568.7999999999997</v>
      </c>
      <c r="N292" s="3">
        <f>1753.2+(146.5-138.7)+(-0.894132+(-0.074715--0.070737))+0-72.1--0.0367709999999927</f>
        <v>1688.038661</v>
      </c>
      <c r="O292" s="3">
        <f>1820.9+(155.2-140.9)+(-1.857318+(-0.158304--0.143718))+0-64.9--0.0661980000000104</f>
        <v>1768.4942939999999</v>
      </c>
      <c r="P292" s="3">
        <f>1822.1+(191.2-112.9)+(0+(0-0))+0-72.3-0</f>
        <v>1828.1</v>
      </c>
      <c r="Q292" s="3">
        <f>1810.5+(187.9-119.6)+(-1.84671+(-0.191658--0.121992))+0-72.1--0.0735420000000115</f>
        <v>1804.8571660000002</v>
      </c>
      <c r="R292" s="3">
        <f>1791+(194.1-98.7)+(-5.48046+(-0.593946--0.302022))+0-84.2--0.25765200000001</f>
        <v>1796.685268</v>
      </c>
      <c r="S292" s="3">
        <f>1799.7+(137-126.7)+(-2.753541+(-0.20961--0.193851))+0-69--0.105570000000004</f>
        <v>1738.33627</v>
      </c>
      <c r="T292" s="3">
        <f>1818.5+(135.6-154.6)+(-1.85487+(-0.138312--0.157692))+0-87.7--0.089454000000014</f>
        <v>1710.053964</v>
      </c>
      <c r="U292" s="3">
        <f>1832.3+(126.4-224.3)+(0+(0-0))+0-54-0</f>
        <v>1680.3999999999999</v>
      </c>
      <c r="V292" s="3">
        <f>1833.8+(155-131.3)+(-1.870476+(-0.1581--0.133926))+0-43--0.0438600000000069</f>
        <v>1812.64921</v>
      </c>
      <c r="W292" s="3">
        <f>1923+(222.1-77.8)+(0+(0-0))+0-93.1-0</f>
        <v>1974.2000000000003</v>
      </c>
      <c r="X292" s="3">
        <f>1916.2+(151.6-106)+(-4.88631+(-0.38658--0.2703))+0-41.9--0.106844999999994</f>
        <v>1915.0042549999998</v>
      </c>
      <c r="Y292" s="3">
        <f>1921+(161-119)+(-2.93913+(-0.24633--0.18207))+0-85.9--0.131427000000005</f>
        <v>1874.2280369999999</v>
      </c>
      <c r="Z292" s="3">
        <f>1931.6+(152-167.2)+(-0.985116+(-0.07752--0.085272))+0-89.3--0.0455429999999909</f>
        <v>1826.1681789999998</v>
      </c>
      <c r="AA292" s="3">
        <f>1929.1+(136.2-218.5)+(-1.967682+(-0.138924--0.22287))+0-88--0.089760000000014</f>
        <v>1757.006024</v>
      </c>
      <c r="AB292" s="3">
        <f>1889.1+(136.1-232.8)+(-0.963441+(-0.069411--0.118728))+0-88.8--0.045287999999991</f>
        <v>1702.731164</v>
      </c>
      <c r="AC292" s="3">
        <f>1799.1+(135.9-261.4)+(-2.752623+(-0.207927--0.399942))+0-60.3--0.0922590000000035</f>
        <v>1610.831651</v>
      </c>
      <c r="AD292">
        <f t="shared" si="4"/>
        <v>40338.190179000005</v>
      </c>
      <c r="AE292" s="3">
        <f>1941+(191.7-81.9)+(0+(0-0))+0-84.9-0</f>
        <v>1965.9</v>
      </c>
    </row>
    <row r="293" spans="1:31" s="2" customFormat="1" x14ac:dyDescent="0.25">
      <c r="A293">
        <v>89</v>
      </c>
      <c r="B293">
        <v>10</v>
      </c>
      <c r="C293">
        <v>17</v>
      </c>
      <c r="D293">
        <v>7</v>
      </c>
      <c r="E293">
        <v>1</v>
      </c>
      <c r="F293" s="3">
        <f>1797.2+(136.2-301.4)+(-0.916572+(-0.069462--0.153714))+0-93.7--0.0477869999999905</f>
        <v>1537.5154669999999</v>
      </c>
      <c r="G293" s="3">
        <f>1651.6+(136.2-280.4)+(-2.526948+(-0.208386--0.429012))+0-24.1--0.0368730000000014</f>
        <v>1481.0305510000001</v>
      </c>
      <c r="H293" s="3">
        <f>1524.3+(147.9-136.2)+(0+(0-0))+0-89.1-0</f>
        <v>1446.9</v>
      </c>
      <c r="I293" s="3">
        <f>1458+(157.1-119.4)+(0.74358+(0.080121-0.060894))+0-73-0.0372299999999926</f>
        <v>1423.4255770000002</v>
      </c>
      <c r="J293" s="3">
        <f>1450+(165.1-122.5)+(-1.479+(-0.168402--0.12495))+0-78.3--0.0798660000000125</f>
        <v>1412.8574140000001</v>
      </c>
      <c r="K293" s="3">
        <f>1458.6+(167.1-126.4)+(0.743886+(0.085221-0.064464))+0-75.6-0.0385559999999923</f>
        <v>1424.4260870000001</v>
      </c>
      <c r="L293" s="3">
        <f>1440.9+(171.7-137.2)+(-3.674295+(-0.437835--0.34986))+0-81.6--0.208079999999988</f>
        <v>1390.2458100000001</v>
      </c>
      <c r="M293" s="3">
        <f>1413.2+(158.1-155.4)+(0+(0-0))+0-57.7-0</f>
        <v>1358.2</v>
      </c>
      <c r="N293" s="3">
        <f>1478.6+(153.7-170)+(0+(0-0))+0-79.9-0</f>
        <v>1382.3999999999999</v>
      </c>
      <c r="O293" s="3">
        <f>1632.4+(136.6-239.8)+(3.330096+(0.278664-0.489192))+0-73.8-0.150551999999997</f>
        <v>1458.3690160000001</v>
      </c>
      <c r="P293" s="3">
        <f>1744+(135.8-282.2)+(-2.66832+(-0.207774--0.431766))+0-79.7--0.121941000000005</f>
        <v>1515.5776129999999</v>
      </c>
      <c r="Q293" s="3">
        <f>1733.2+(134.8-257.3)+(-0.883932+(-0.068748--0.131223))+0-88.6--0.045185999999991</f>
        <v>1521.3237290000002</v>
      </c>
      <c r="R293" s="3">
        <f>1682.2+(135.4-228.4)+(-2.573766+(-0.207162--0.349452))+0-83.8--0.128214000000005</f>
        <v>1503.0967380000002</v>
      </c>
      <c r="S293" s="3">
        <f>1654.5+(135.8-230.8)+(-1.68759+(-0.138516--0.235416))+0-79--0.0805800000000126</f>
        <v>1478.9898900000001</v>
      </c>
      <c r="T293" s="3">
        <f>1640.7+(136.8-246.6)+(1.673514+(0.139536-0.251532))+0-81.4-0.083028000000013</f>
        <v>1450.97849</v>
      </c>
      <c r="U293" s="3">
        <f>1611.3+(130-196.8)+(0+(0-0))+0-86.6-0</f>
        <v>1457.9</v>
      </c>
      <c r="V293" s="3">
        <f>1623.7+(144-126)+(-4.968522+(-0.44064--0.38556))+0-89.1--0.27264600000001</f>
        <v>1547.8490440000003</v>
      </c>
      <c r="W293" s="3">
        <f>1843.3+(128.3-126.9)+(-0.940083+(-0.065433--0.064719))+0-69--0.035189999999993</f>
        <v>1774.7943930000001</v>
      </c>
      <c r="X293" s="3">
        <f>1842.9+(137.8-114)+(-2.819637+(-0.210834--0.17442))+0-93--0.142290000000005</f>
        <v>1770.9862390000001</v>
      </c>
      <c r="Y293" s="3">
        <f>1853.8+(116-154.3)+(0+(0-0))+0-51.3-0</f>
        <v>1764.2</v>
      </c>
      <c r="Z293" s="3">
        <f>1825.2+(141.9-138.4)+(-3.723408+(-0.289476--0.282336))+0-85.2--0.173807999999996</f>
        <v>1739.94326</v>
      </c>
      <c r="AA293" s="3">
        <f>1832.8+(137-172.1)+(-0.934728+(-0.06987--0.087771))+0-96.3--0.0491129999999902</f>
        <v>1700.5322860000001</v>
      </c>
      <c r="AB293" s="3">
        <f>1828.6+(136.9-239.8)+(-0.932586+(-0.069819--0.122298))+0-77.9--0.0397289999999921</f>
        <v>1646.9596219999999</v>
      </c>
      <c r="AC293" s="3">
        <f>1820.3+(135.7-368.5)+(-2.785059+(-0.207621--0.563805))+0-34.4--0.052632000000002</f>
        <v>1550.7237569999998</v>
      </c>
      <c r="AD293">
        <f t="shared" si="4"/>
        <v>36739.224983000007</v>
      </c>
      <c r="AE293" s="3">
        <f>1842+(138.7-125.9)+(0+(0-0))+0-105.8-0</f>
        <v>1749</v>
      </c>
    </row>
    <row r="294" spans="1:31" s="2" customFormat="1" x14ac:dyDescent="0.25">
      <c r="A294">
        <v>89</v>
      </c>
      <c r="B294">
        <v>10</v>
      </c>
      <c r="C294">
        <v>18</v>
      </c>
      <c r="D294">
        <v>1</v>
      </c>
      <c r="E294">
        <v>1</v>
      </c>
      <c r="F294" s="3">
        <f>1642.2+(136.1-231.5)+(-4.18761+(-0.347055--0.590325))+0-64.5--0.164474999999991</f>
        <v>1478.520135</v>
      </c>
      <c r="G294" s="3">
        <f>1504.5+(135.2-151)+(-1.53459+(-0.137904--0.15402))+0-78.7--0.0802740000000126</f>
        <v>1408.5617999999999</v>
      </c>
      <c r="H294" s="3">
        <f>1434.1+(151.5-103.2)+(-3.656955+(-0.386325--0.26316))+0-81--0.206549999999988</f>
        <v>1397.8264299999998</v>
      </c>
      <c r="I294" s="3">
        <f>1342.1+(191.7-79.2)+(-1.368942+(-0.195534--0.080784))+0-83.2--0.0848640000000133</f>
        <v>1370.0011719999998</v>
      </c>
      <c r="J294" s="3">
        <f>1394.6+(138.9-130.4)+(-0.711246+(-0.070839--0.066504))+0-28.2--0.0143819999999971</f>
        <v>1374.198801</v>
      </c>
      <c r="K294" s="3">
        <f>1367.7+(195.1-85.7)+(-1.395054+(-0.199002--0.087414))+0-77.4--0.0789480000000123</f>
        <v>1398.2723060000001</v>
      </c>
      <c r="L294" s="3">
        <f>1642.6+(136-236.2)+(-0.837726+(-0.06936--0.120462))+0-77.2--0.0393719999999922</f>
        <v>1464.4527479999997</v>
      </c>
      <c r="M294" s="3">
        <f>1730.2+(137.8-173.6)+(0.882402+(0.070278-0.088536))+0-75.6-0.0385559999999923</f>
        <v>1619.6255880000001</v>
      </c>
      <c r="N294" s="3">
        <f>1890.4+(137.7-308.8)+(0+(0-0))+0-51-0</f>
        <v>1668.3000000000002</v>
      </c>
      <c r="O294" s="3">
        <f>1860.3+(136.7-188.1)+(-0.948753+(-0.069717--0.095931))+0-58.3--0.0297329999999941</f>
        <v>1749.7071940000001</v>
      </c>
      <c r="P294" s="3">
        <f>1953.4+(135.3-203.1)+(-1.992468+(-0.138006--0.207162))+0-75--0.076500000000012</f>
        <v>1808.7531880000004</v>
      </c>
      <c r="Q294" s="3">
        <f>1965.7+(135-214)+(-1.002507+(-0.06885--0.10914))+0-73.6--0.0375359999999925</f>
        <v>1812.1753190000002</v>
      </c>
      <c r="R294" s="3">
        <f>1930.1+(135.4-197.5)+(-0.984351+(-0.069054--0.100725))+0-83.3--0.0424829999999915</f>
        <v>1783.7898029999999</v>
      </c>
      <c r="S294" s="3">
        <f>1904.9+(137.3-216.7)+(-1.942998+(-0.140046--0.221034))+0-83.2--0.0848640000000133</f>
        <v>1740.5228539999998</v>
      </c>
      <c r="T294" s="3">
        <f>1897+(137.4-235.5)+(-1.93494+(-0.140148--0.24021))+0-85.1--0.0868020000000136</f>
        <v>1712.0519240000003</v>
      </c>
      <c r="U294" s="3">
        <f>1872.3+(126.5-237.8)+(0+(0-0))+0-66.8-0</f>
        <v>1694.2</v>
      </c>
      <c r="V294" s="3">
        <f>2020.1+(113.9-244.2)+(0+(0-0))+0-76.9-0</f>
        <v>1812.8999999999999</v>
      </c>
      <c r="W294" s="3">
        <f>2091+(164.6-136.7)+(2.13282+(0.167892-0.139434))+0-94.7-0.0965940000000151</f>
        <v>2026.264684</v>
      </c>
      <c r="X294" s="3">
        <f>2085.1+(146.1-153.9)+(-3.190203+(-0.223533--0.235467))+0-84.2--0.128826000000005</f>
        <v>1990.0505569999998</v>
      </c>
      <c r="Y294" s="3">
        <f>1984.8+(172.6-139.4)+(-4.048992+(-0.352104--0.284376))+0-79.2--0.161567999999997</f>
        <v>1934.844848</v>
      </c>
      <c r="Z294" s="3">
        <f>1898.7+(196.5-127.2)+(-1.936674+(-0.20043--0.129744))+0-75.8--0.0773160000000121</f>
        <v>1890.2699560000001</v>
      </c>
      <c r="AA294" s="3">
        <f>1840.1+(182.2-125.4)+(-1.876902+(-0.185844--0.127908))+0-84.9--0.0865980000000135</f>
        <v>1810.15176</v>
      </c>
      <c r="AB294" s="3">
        <f>1823.5+(136.8-162)+(-0.929985+(-0.069768--0.08262))+0-83.2--0.0424319999999916</f>
        <v>1714.2252989999999</v>
      </c>
      <c r="AC294" s="3">
        <f>1800+(135.9-229.1)+(-3.672+(-0.277236--0.467364))+0-90.6--0.184823999999996</f>
        <v>1612.9029519999999</v>
      </c>
      <c r="AD294">
        <f t="shared" si="4"/>
        <v>40272.569317999994</v>
      </c>
      <c r="AE294" s="3">
        <f>2089+(153.5-140.8)+(0+(0-0))+0-94.3-0</f>
        <v>2007.3999999999999</v>
      </c>
    </row>
    <row r="295" spans="1:31" s="2" customFormat="1" x14ac:dyDescent="0.25">
      <c r="A295">
        <v>89</v>
      </c>
      <c r="B295">
        <v>10</v>
      </c>
      <c r="C295">
        <v>19</v>
      </c>
      <c r="D295">
        <v>2</v>
      </c>
      <c r="E295">
        <v>1</v>
      </c>
      <c r="F295" s="3">
        <f>1668.1+(136.5-197.9)+(-2.552193+(-0.208845--0.302787))+0-82.9--0.126837000000005</f>
        <v>1521.4685859999997</v>
      </c>
      <c r="G295" s="3">
        <f>1586.6+(136.4-166.9)+(-4.854996+(-0.417384--0.510714))+0-82.2--0.25153200000001</f>
        <v>1469.3898659999998</v>
      </c>
      <c r="H295" s="3">
        <f>1566.2+(136.2-168.1)+(0.798762+(0.069462-0.085731))+0-82.1-0.0418709999999917</f>
        <v>1452.9406220000001</v>
      </c>
      <c r="I295" s="3">
        <f>1494.9+(146.5-114.1)+(-2.287197+(-0.224145--0.174573))+0-89.6--0.137088000000005</f>
        <v>1435.5003190000002</v>
      </c>
      <c r="J295" s="3">
        <f>1495.1+(139.3-130.7)+(1.525002+(0.142086-0.133314))+0-68-0.0693600000000108</f>
        <v>1437.1644139999999</v>
      </c>
      <c r="K295" s="3">
        <f>1479.8+(164.2-114.5)+(-1.509396+(-0.167484--0.11679))+0-73.2--0.0746640000000117</f>
        <v>1454.814574</v>
      </c>
      <c r="L295" s="3">
        <f>1501.7+(187.2-101.7)+(-3.063468+(-0.381888--0.207468))+0-83--0.169319999999996</f>
        <v>1501.1314319999999</v>
      </c>
      <c r="M295" s="3">
        <f>1534.3+(223.9-93.7)+(-2.347479+(-0.342567--0.143361))+0-91--0.139230000000005</f>
        <v>1571.092545</v>
      </c>
      <c r="N295" s="3">
        <f>1726.7+(174.3-165.7)+(0.880617+(0.088893-0.084507))+0-68.8-0.035087999999993</f>
        <v>1667.3499150000002</v>
      </c>
      <c r="O295" s="3">
        <f>1846.4+(152.2-174.1)+(-0.941664+(-0.077622--0.088791))+0-71.9--0.0366689999999927</f>
        <v>1751.7061739999999</v>
      </c>
      <c r="P295" s="3">
        <f>1854.1+(164.6-171.8)+(0+(0-0))+0-71.9-0</f>
        <v>1774.9999999999998</v>
      </c>
      <c r="Q295" s="3">
        <f>1841.1+(181.7-152.6)+(0+(0-0))+0-66-0</f>
        <v>1804.1999999999998</v>
      </c>
      <c r="R295" s="3">
        <f>1822.8+(184.7-155.5)+(-3.718512+(-0.376788--0.31722))+0-67.6--0.137903999999997</f>
        <v>1780.759824</v>
      </c>
      <c r="S295" s="3">
        <f>1830.4+(159.4-173.8)+(-1.867008+(-0.162588--0.177276))+0-77.7--0.0792540000000124</f>
        <v>1736.526934</v>
      </c>
      <c r="T295" s="3">
        <f>1822+(134.8-219.7)+(-3.71688+(-0.274992--0.448188))+0-22.9--0.046715999999999</f>
        <v>1710.7030319999999</v>
      </c>
      <c r="U295" s="3">
        <f>1748.6+(149.3-178.1)+(0+(0-0))+0-32-0</f>
        <v>1687.8</v>
      </c>
      <c r="V295" s="3">
        <f>1777.2+(210-105.5)+(0+(0-0))+0-45.7-0</f>
        <v>1836</v>
      </c>
      <c r="W295" s="3">
        <f>1868.5+(321.1-78.4)+(0+(0-0))+0-78.5-0</f>
        <v>2032.6999999999998</v>
      </c>
      <c r="X295" s="3">
        <f>1861.9+(288.4-84.3)+(-2.848707+(-0.441252--0.128979))+0-85.5--0.130815000000005</f>
        <v>1977.4698349999999</v>
      </c>
      <c r="Y295" s="3">
        <f>1850.8+(235.8-85.7)+(-2.831724+(-0.360774--0.131121))+0-79.1--0.121023000000005</f>
        <v>1918.8596460000001</v>
      </c>
      <c r="Z295" s="3">
        <f>1848.2+(211.6-116.4)+(-1.885164+(-0.215832--0.118728))+0-85.9--0.0876180000000137</f>
        <v>1855.60535</v>
      </c>
      <c r="AA295" s="3">
        <f>1850.4+(173.9-148.7)+(-1.887408+(-0.177378--0.151674))+0-87.5--0.089250000000014</f>
        <v>1786.2761380000002</v>
      </c>
      <c r="AB295" s="3">
        <f>1815+(155.4-162.6)+(-3.7026+(-0.317016--0.331704))+0-82.7--0.168707999999996</f>
        <v>1721.5807959999997</v>
      </c>
      <c r="AC295" s="3">
        <f>1582.6+(187.5-121.8)+(-0.807126+(-0.095625--0.062118))+0-49.4--0.025193999999995</f>
        <v>1598.0845609999999</v>
      </c>
      <c r="AD295">
        <f t="shared" si="4"/>
        <v>40484.124563000005</v>
      </c>
      <c r="AE295" s="3">
        <f>1853+(339.7-83)+(0+(0-0))+0-95-0</f>
        <v>2014.6999999999998</v>
      </c>
    </row>
    <row r="296" spans="1:31" s="2" customFormat="1" x14ac:dyDescent="0.25">
      <c r="A296">
        <v>89</v>
      </c>
      <c r="B296">
        <v>10</v>
      </c>
      <c r="C296">
        <v>20</v>
      </c>
      <c r="D296">
        <v>3</v>
      </c>
      <c r="E296">
        <v>1</v>
      </c>
      <c r="F296" s="3">
        <f>1379.2+(289.3-66.8)+(-2.110176+(-0.442629--0.102204))+0-95.5--0.146115000000006</f>
        <v>1503.895514</v>
      </c>
      <c r="G296" s="3">
        <f>1380.9+(202.4-66.6)+(-2.112777+(-0.309672--0.101898))+0-75.3--0.115209000000004</f>
        <v>1439.1946580000001</v>
      </c>
      <c r="H296" s="3">
        <f>1415.8+(172.2-91.4)+(2.166174+(0.263466-0.139842))+0-81.3-0.124389000000005</f>
        <v>1417.4654089999999</v>
      </c>
      <c r="I296" s="3">
        <f>1443.7+(144-78)+(-1.472574+(-0.14688--0.07956))+0-87--0.0887400000000139</f>
        <v>1421.248846</v>
      </c>
      <c r="J296" s="3">
        <f>1407.2+(134.6-74.1)+(-1.435344+(-0.137292--0.075582))+0-92--0.0938400000000147</f>
        <v>1374.2967860000001</v>
      </c>
      <c r="K296" s="3">
        <f>1517.6+(99.7-113.4)+(0+(0-0))+0-79.2-0</f>
        <v>1424.6999999999998</v>
      </c>
      <c r="L296" s="3">
        <f>1540.9+(102.1-97.8)+(-0.785859+(-0.052071--0.049878))+0-80.4--0.0410039999999918</f>
        <v>1464.0529519999998</v>
      </c>
      <c r="M296" s="3">
        <f>1737.6+(84.9-171.1)+(1.772352+(0.086598-0.174522))+0-73-0.0744600000000116</f>
        <v>1580.0099679999998</v>
      </c>
      <c r="N296" s="3">
        <f>1788.5+(104.3-160.4)+(0+(0-0))+0-69.6-0</f>
        <v>1662.8000000000002</v>
      </c>
      <c r="O296" s="3">
        <f>1784.4+(176.1-126.7)+(0+(0-0))+0-79.4-0</f>
        <v>1754.4</v>
      </c>
      <c r="P296" s="3">
        <f>1779.2+(159.5-71.4)+(-1.814784+(-0.16269--0.072828))+0-72.9--0.0743580000000116</f>
        <v>1792.569712</v>
      </c>
      <c r="Q296" s="3">
        <f>1780.3+(163.7-70.6)+(-0.907953+(-0.083487--0.036006))+0-77.2--0.0393719999999922</f>
        <v>1795.2839379999998</v>
      </c>
      <c r="R296" s="3">
        <f>1766.6+(126.4-64.3)+(-6.306762+(-0.451248--0.229551))+0-94.8--0.338436000000001</f>
        <v>1727.7099769999998</v>
      </c>
      <c r="S296" s="3">
        <f>1788.6+(119.3-127.9)+(-0.912186+(-0.060843--0.065229))+0-88.9--0.045338999999991</f>
        <v>1690.237539</v>
      </c>
      <c r="T296" s="3">
        <f>1771.7+(127.7-130.6)+(0+(0-0))+0-76.9-0</f>
        <v>1691.8999999999999</v>
      </c>
      <c r="U296" s="3">
        <f>1742.1+(123.2-132.3)+(0+(0-0))+0-50.1-0</f>
        <v>1682.9</v>
      </c>
      <c r="V296" s="3">
        <f>1771.8+(174.6-83)+(-4.51809+(-0.44523--0.21165))+0-88.8--0.226439999999987</f>
        <v>1770.0747699999997</v>
      </c>
      <c r="W296" s="3">
        <f>1831.5+(237.1-85.7)+(0+(0-0))+0-81.4-0</f>
        <v>1901.5</v>
      </c>
      <c r="X296" s="3">
        <f>1955+(96.9-90)+(-3.9882+(-0.197676--0.1836))+0-86.6--0.176663999999996</f>
        <v>1871.4743880000003</v>
      </c>
      <c r="Y296" s="3">
        <f>1941+(105.3-147)+(-2.96973+(-0.161109--0.22491))+0-77.9--0.119187000000005</f>
        <v>1818.6132579999999</v>
      </c>
      <c r="Z296" s="3">
        <f>1899.7+(127.7-190)+(-0.968847+(-0.065127--0.0969))+0-81.4--0.0415139999999917</f>
        <v>1755.1044400000001</v>
      </c>
      <c r="AA296" s="3">
        <f>1887.5+(135.6-255.5)+(1.92525+(0.138312-0.26061))+0-88.1-0.089862000000014</f>
        <v>1681.21309</v>
      </c>
      <c r="AB296" s="3">
        <f>1705.5+(134.5-148.8)+(-1.73961+(-0.13719--0.151776))+0-95.3--0.0972060000000152</f>
        <v>1594.2721819999999</v>
      </c>
      <c r="AC296" s="3">
        <f>1602.5+(134.4-152.3)+(-1.63455+(-0.137088--0.155346))+0-81.6--0.083232000000013</f>
        <v>1501.46694</v>
      </c>
      <c r="AD296">
        <f t="shared" si="4"/>
        <v>39316.384366999999</v>
      </c>
      <c r="AE296" s="3">
        <f>1964+(150-85)+(0+(0-0))+0-70-0</f>
        <v>1959</v>
      </c>
    </row>
    <row r="297" spans="1:31" s="2" customFormat="1" x14ac:dyDescent="0.25">
      <c r="A297">
        <v>89</v>
      </c>
      <c r="B297">
        <v>10</v>
      </c>
      <c r="C297">
        <v>21</v>
      </c>
      <c r="D297">
        <v>4</v>
      </c>
      <c r="E297">
        <v>1</v>
      </c>
      <c r="F297" s="3">
        <f>1467+(135.4-123.4)+(-1.49634+(-0.138108--0.125868))+0-71--0.0724200000000113</f>
        <v>1406.56384</v>
      </c>
      <c r="G297" s="3">
        <f>1334.2+(181.8-68.7)+(-1.360884+(-0.185436--0.070074))+0-84.2--0.0858840000000134</f>
        <v>1361.709638</v>
      </c>
      <c r="H297" s="3">
        <f>1337.3+(166.4-67.3)+(0.682023+(0.084864-0.034323))+0-96.2-0.0490619999999902</f>
        <v>1340.8835019999997</v>
      </c>
      <c r="I297" s="3">
        <f>1354+(136.3-96.6)+(0.69054+(0.069513-0.049266))+0-65.6-0.0334559999999933</f>
        <v>1328.7773310000002</v>
      </c>
      <c r="J297" s="3">
        <f>1394.9+(136.1-143.6)+(1.422798+(0.138822-0.146472))+0-70.1-0.0715020000000112</f>
        <v>1318.6436460000002</v>
      </c>
      <c r="K297" s="3">
        <f>1451.1+(136.2-171.8)+(-0.740061+(-0.069462--0.087618))+0-76.1--0.0388109999999923</f>
        <v>1338.7169059999999</v>
      </c>
      <c r="L297" s="3">
        <f>1520+(136.1-213.6)+(-4.6512+(-0.416466--0.653616))+0-74.9--0.229194000000009</f>
        <v>1363.4151439999998</v>
      </c>
      <c r="M297" s="3">
        <f>1580.7+(136-279.7)+(0+(0-0))+0-20.5-0</f>
        <v>1416.5</v>
      </c>
      <c r="N297" s="3">
        <f>1604.6+(135.8-199.1)+(-1.636692+(-0.138516--0.203082))+0-20.6--0.0210120000000033</f>
        <v>1519.1488859999999</v>
      </c>
      <c r="O297" s="3">
        <f>1739.9+(135.4-281.1)+(-0.887349+(-0.069054--0.143361))+0-11.3--0.00576299999999885</f>
        <v>1582.092721</v>
      </c>
      <c r="P297" s="3">
        <f>1791.9+(134.5-266.6)+(0.913869+(0.068595-0.135966))+0-12.3-0.00627299999999875</f>
        <v>1648.3402250000004</v>
      </c>
      <c r="Q297" s="3">
        <f>1792.1+(134.7-267.8)+(-2.741913+(-0.206091--0.409734))+0-17.4--0.026622000000001</f>
        <v>1639.088352</v>
      </c>
      <c r="R297" s="3">
        <f>1722.8+(135.8-201.5)+(-4.39314+(-0.34629--0.513825))+0-18.1--0.0461549999999974</f>
        <v>1634.8205499999999</v>
      </c>
      <c r="S297" s="3">
        <f>1665+(135.9-186.3)+(0+(0-0))+0-19.2-0</f>
        <v>1595.3999999999999</v>
      </c>
      <c r="T297" s="3">
        <f>1676.1+(136-194.3)+(0.854811+(0.06936-0.099093))+0-61-0.0311099999999938</f>
        <v>1557.5939680000001</v>
      </c>
      <c r="U297" s="3">
        <f>1748.9+(121.6-224.9)+(0+(0-0))+0-69.3-0</f>
        <v>1576.3000000000002</v>
      </c>
      <c r="V297" s="3">
        <f>1735.9+(121.1-90)+(-0.885309+(-0.061761--0.0459))+0-85.2--0.0434519999999914</f>
        <v>1680.9422819999998</v>
      </c>
      <c r="W297" s="3">
        <f>1934.2+(134.7-92.1)+(0.986442+(0.068697-0.046971))+0-89.2-0.0454919999999909</f>
        <v>1888.562676</v>
      </c>
      <c r="X297" s="3">
        <f>2053.8+(95-237)+(-3.142314+(-0.14535--0.36261))+0-78.2--0.119646000000005</f>
        <v>1830.7945920000002</v>
      </c>
      <c r="Y297" s="3">
        <f>1940.6+(122.7-232.4)+(-3.958824+(-0.250308--0.474096))+0-40--0.0815999999999983</f>
        <v>1787.2465639999998</v>
      </c>
      <c r="Z297" s="3">
        <f>1839+(135.8-161.7)+(-3.75156+(-0.277032--0.329868))+0-77.7--0.158507999999997</f>
        <v>1731.8597839999998</v>
      </c>
      <c r="AA297" s="3">
        <f>1702.9+(137.7-107.1)+(-3.473916+(-0.280908--0.218484))+0-77.4--0.157895999999997</f>
        <v>1652.7215559999997</v>
      </c>
      <c r="AB297" s="3">
        <f>1675.6+(137.8-137)+(-2.563668+(-0.210834--0.20961))+0-79.2--0.121176000000005</f>
        <v>1594.7562839999998</v>
      </c>
      <c r="AC297" s="3">
        <f>1615.4+(137.5-164.2)+(-5.766978+(-0.490875--0.586194))+0-74.7--0.266679000000001</f>
        <v>1508.59502</v>
      </c>
      <c r="AD297">
        <f t="shared" si="4"/>
        <v>37303.473467000003</v>
      </c>
      <c r="AE297" s="3">
        <f>2152+(85-262.5)+(0+(0-0))+0-89.2-0</f>
        <v>1885.3</v>
      </c>
    </row>
    <row r="298" spans="1:31" s="2" customFormat="1" x14ac:dyDescent="0.25">
      <c r="A298">
        <v>89</v>
      </c>
      <c r="B298">
        <v>10</v>
      </c>
      <c r="C298">
        <v>22</v>
      </c>
      <c r="D298">
        <v>5</v>
      </c>
      <c r="E298">
        <v>1</v>
      </c>
      <c r="F298" s="3">
        <f>1481.3+(138.4-179.2)+(1.510926+(0.141168-0.182784))+0-47.3-0.0482460000000075</f>
        <v>1394.6210639999999</v>
      </c>
      <c r="G298" s="3">
        <f>1448.4+(136.7-182.5)+(0+(0-0))+0-64.5-0</f>
        <v>1338.1000000000001</v>
      </c>
      <c r="H298" s="3">
        <f>1429.6+(136.6-169.5)+(0+(0-0))+0-85.1-0</f>
        <v>1311.6</v>
      </c>
      <c r="I298" s="3">
        <f>1383.8+(137-146.8)+(0+(0-0))+0-70.2-0</f>
        <v>1303.8</v>
      </c>
      <c r="J298" s="3">
        <f>1353.6+(137-113.9)+(3.45168+(0.34935-0.290445))+0-76.4-0.194819999999989</f>
        <v>1303.6157649999998</v>
      </c>
      <c r="K298" s="3">
        <f>1339.7+(136.4-110.7)+(0+(0-0))+0-50.7-0</f>
        <v>1314.7</v>
      </c>
      <c r="L298" s="3">
        <f>1350.6+(136.1-96.3)+(-0.688806+(-0.069411--0.049113))+0-29.5--0.015044999999997</f>
        <v>1360.2059409999999</v>
      </c>
      <c r="M298" s="3">
        <f>1518.4+(136-198.4)+(0.774384+(0.06936-0.101184))+0-39.5-0.020144999999996</f>
        <v>1417.222415</v>
      </c>
      <c r="N298" s="3">
        <f>1645.6+(135.5-234.7)+(3.357024+(0.27642-0.478788))+0-28.2-0.0575279999999988</f>
        <v>1521.2971279999997</v>
      </c>
      <c r="O298" s="3">
        <f>1723.4+(135.1-173.1)+(1.757868+(0.137802-0.176562))+0-86.9-0.0886380000000139</f>
        <v>1600.1304700000001</v>
      </c>
      <c r="P298" s="3">
        <f>1814.7+(134.3-243.7)+(3.701988+(0.273972-0.497148))+0-76.5-0.156059999999997</f>
        <v>1632.1227520000002</v>
      </c>
      <c r="Q298" s="3">
        <f>1801.4+(137.6-221.8)+(0+(0-0))+0-72.5-0</f>
        <v>1644.7</v>
      </c>
      <c r="R298" s="3">
        <f>1798.1+(136.3-257.7)+(-2.751093+(-0.208539--0.394281))+0-65.2--0.0997560000000038</f>
        <v>1609.0344049999999</v>
      </c>
      <c r="S298" s="3">
        <f>1797.8+(136.1-267.2)+(-3.667512+(-0.277644--0.545088))+0-91.3--0.186251999999996</f>
        <v>1572.1861840000001</v>
      </c>
      <c r="T298" s="3">
        <f>1654.8+(136-164.5)+(0+(0-0))+0-85.6-0</f>
        <v>1540.7</v>
      </c>
      <c r="U298" s="3">
        <f>1706.4+(116.4-188.3)+(-1.740528+(-0.118728--0.192066))+0-82.9--0.0845580000000132</f>
        <v>1550.017368</v>
      </c>
      <c r="V298" s="3">
        <f>1797.3+(95.5-157.6)+(-5.499738+(-0.29223--0.482256))+0-69.1--0.211446000000008</f>
        <v>1661.0017340000002</v>
      </c>
      <c r="W298" s="3">
        <f>1982+(60.2-125.9)+(-1.01082+(-0.030702--0.064209))+0-59--0.030089999999994</f>
        <v>1856.3527769999998</v>
      </c>
      <c r="X298" s="3">
        <f>2005.2+(55.8-172.6)+(-3.067956+(-0.085374--0.264078))+0-67.8--0.103734000000004</f>
        <v>1817.8144820000002</v>
      </c>
      <c r="Y298" s="3">
        <f>1987.9+(71.7-203.5)+(-2.027658+(-0.073134--0.20757))+0-76.6--0.0781320000000122</f>
        <v>1777.6849100000004</v>
      </c>
      <c r="Z298" s="3">
        <f>1884.4+(118.6-187.9)+(-0.961044+(-0.060486--0.095829))+0-74.3--0.0378929999999925</f>
        <v>1739.9121920000002</v>
      </c>
      <c r="AA298" s="3">
        <f>1793.7+(136.6-197.1)+(-0.914787+(-0.069666--0.100521))+0-84.6--0.0431459999999914</f>
        <v>1647.7592140000002</v>
      </c>
      <c r="AB298" s="3">
        <f>1570.6+(142.3-75.8)+(-0.801006+(-0.072573--0.038658))+0-60.1--0.0306509999999939</f>
        <v>1576.1957300000001</v>
      </c>
      <c r="AC298" s="3">
        <f>1533.2+(136.7-147.3)+(-1.563864+(-0.139434--0.150246))+0-43.1--0.0439620000000069</f>
        <v>1477.99091</v>
      </c>
      <c r="AD298">
        <f t="shared" si="4"/>
        <v>36968.765441000003</v>
      </c>
      <c r="AE298" s="3">
        <f>2045+(48.3-217.3)+(0+(0-0))+0-35-0</f>
        <v>1841</v>
      </c>
    </row>
    <row r="299" spans="1:31" s="2" customFormat="1" x14ac:dyDescent="0.25">
      <c r="A299">
        <v>89</v>
      </c>
      <c r="B299">
        <v>10</v>
      </c>
      <c r="C299">
        <v>23</v>
      </c>
      <c r="D299">
        <v>6</v>
      </c>
      <c r="E299">
        <v>1</v>
      </c>
      <c r="F299" s="3">
        <f>1484.5+(134.4-130.7)+(-2.271285+(-0.205632--0.199971))+0-89.4--0.136782000000005</f>
        <v>1396.659836</v>
      </c>
      <c r="G299" s="3">
        <f>1364.4+(136.9-74.1)+(0+(0-0))+0-83.6-0</f>
        <v>1343.6000000000001</v>
      </c>
      <c r="H299" s="3">
        <f>1285.4+(166.4-57.6)+(0.655554+(0.084864-0.029376))+0-81.5-0.0415649999999917</f>
        <v>1313.369477</v>
      </c>
      <c r="I299" s="3">
        <f>1254.4+(188.2-56.3)+(0.639744+(0.095982-0.028713))+0-83.3-0.0424829999999915</f>
        <v>1303.6645300000002</v>
      </c>
      <c r="J299" s="3">
        <f>1264.6+(190.9-53.4)+(1.289892+(0.194718-0.054468))+0-95.3-0.0972060000000152</f>
        <v>1308.132936</v>
      </c>
      <c r="K299" s="3">
        <f>1303.9+(164.1-67.3)+(1.329978+(0.167382-0.068646))+0-76.8-0.0783360000000122</f>
        <v>1325.250378</v>
      </c>
      <c r="L299" s="3">
        <f>1344.2+(137.8-75.3)+(0+(0-0))+0-54.2-0</f>
        <v>1352.5</v>
      </c>
      <c r="M299" s="3">
        <f>1469.2+(135.6-109.7)+(-0.749292+(-0.069156--0.055947))+0-91.7--0.0467669999999907</f>
        <v>1402.6842660000002</v>
      </c>
      <c r="N299" s="3">
        <f>1639.6+(135-191)+(-1.672392+(-0.1377--0.19482))+0-68.1--0.0694620000000108</f>
        <v>1513.9541899999999</v>
      </c>
      <c r="O299" s="3">
        <f>1702.8+(134.1-171.2)+(0.868428+(0.068391-0.087312))+0-79.3-0.040442999999992</f>
        <v>1587.2090639999999</v>
      </c>
      <c r="P299" s="3">
        <f>1730.6+(137.6-189)+(1.765212+(0.140352-0.19278))+0-47.8-0.0487560000000076</f>
        <v>1633.064028</v>
      </c>
      <c r="Q299" s="3">
        <f>1722.2+(137.6-154.9)+(-0.878322+(-0.070176--0.078999))+0-69.2--0.035291999999993</f>
        <v>1634.8657930000002</v>
      </c>
      <c r="R299" s="3">
        <f>1724.6+(137.8-182.1)+(-0.879546+(-0.070278--0.092871))+0-72.8--0.0371279999999926</f>
        <v>1606.680175</v>
      </c>
      <c r="S299" s="3">
        <f>1681.7+(138.6-185.5)+(0+(0-0))+0-72.1-0</f>
        <v>1562.7</v>
      </c>
      <c r="T299" s="3">
        <f>1634.6+(133.4-176.3)+(-3.334584+(-0.272136--0.359652))+0-74.5--0.151979999999997</f>
        <v>1514.104912</v>
      </c>
      <c r="U299" s="3">
        <f>1643.9+(119.5-202.3)+(0+(0-0))+0-55.7-0</f>
        <v>1505.4</v>
      </c>
      <c r="V299" s="3">
        <f>1710.6+(81.5-115.3)+(-0.872406+(-0.041565--0.058803))+0-80.8--0.0412079999999918</f>
        <v>1595.18604</v>
      </c>
      <c r="W299" s="3">
        <f>1825.1+(166.3-83.4)+(0+(0-0))+0-94.7-0</f>
        <v>1813.3</v>
      </c>
      <c r="X299" s="3">
        <f>1867.7+(88.9-83.8)+(-1.905054+(-0.090678--0.085476))+0-84.2--0.0858840000000134</f>
        <v>1786.7756280000001</v>
      </c>
      <c r="Y299" s="3">
        <f>1835.1+(62.9-87.1)+(-1.871802+(-0.064158--0.088842))+0-71.5--0.0729300000000114</f>
        <v>1737.625812</v>
      </c>
      <c r="Z299" s="3">
        <f>1802.7+(93.7-155.4)+(-1.838754+(-0.095574--0.158508))+0-64.5--0.0657900000000103</f>
        <v>1674.78997</v>
      </c>
      <c r="AA299" s="3">
        <f>1762.1+(133.4-207.2)+(1.797342+(0.136068-0.211344))+0-81.5-0.083130000000013</f>
        <v>1608.438936</v>
      </c>
      <c r="AB299" s="3">
        <f>1745.4+(137.1-281.9)+(-1.780308+(-0.139842--0.287538))+0-55--0.0561000000000088</f>
        <v>1544.023488</v>
      </c>
      <c r="AC299" s="3">
        <f>1549.9+(137.8-143.6)+(-2.371347+(-0.210834--0.219708))+0-89.5--0.136935000000005</f>
        <v>1452.3744620000002</v>
      </c>
      <c r="AD299">
        <f t="shared" si="4"/>
        <v>36516.353921000002</v>
      </c>
      <c r="AE299" s="3">
        <f>1877+(94.4-83)+(0+(0-0))+0-23-0</f>
        <v>1865.4</v>
      </c>
    </row>
    <row r="300" spans="1:31" s="2" customFormat="1" x14ac:dyDescent="0.25">
      <c r="A300">
        <v>89</v>
      </c>
      <c r="B300">
        <v>10</v>
      </c>
      <c r="C300">
        <v>24</v>
      </c>
      <c r="D300">
        <v>7</v>
      </c>
      <c r="E300">
        <v>1</v>
      </c>
      <c r="F300" s="3">
        <f>1460.8+(137-206.4)+(0+(0-0))+0-26.7-0</f>
        <v>1364.6999999999998</v>
      </c>
      <c r="G300" s="3">
        <f>1432.3+(136.4-232.1)+(-2.191419+(-0.208692--0.355113))+0-32.3--0.0494190000000019</f>
        <v>1302.3044209999998</v>
      </c>
      <c r="H300" s="3">
        <f>1383.7+(135.8-157.9)+(-0.705687+(-0.069258--0.080529))+0-91.3--0.0465629999999907</f>
        <v>1269.652147</v>
      </c>
      <c r="I300" s="3">
        <f>1305.2+(135.9-112.5)+(0.665652+(0.069309-0.057375))+0-77.3-0.0394229999999922</f>
        <v>1251.9381630000003</v>
      </c>
      <c r="J300" s="3">
        <f>1276.3+(135.5-104.5)+(0.650913+(0.069105-0.053295))+0-67-0.0341699999999932</f>
        <v>1240.9325530000001</v>
      </c>
      <c r="K300" s="3">
        <f>1332.2+(135.8-134.1)+(2.717688+(0.277032-0.273564))+0-79.5-0.162179999999997</f>
        <v>1256.9589760000001</v>
      </c>
      <c r="L300" s="3">
        <f>1408.7+(52.7-140.1)+(-2.155311+(-0.080631--0.214353))+0-93.7--0.143361000000005</f>
        <v>1225.7217719999999</v>
      </c>
      <c r="M300" s="3">
        <f>1386.7+(88.2-207.6)+(-2.828868+(-0.179928--0.423504))+0-74.1--0.151163999999997</f>
        <v>1190.7658720000002</v>
      </c>
      <c r="N300" s="3">
        <f>1403+(90.6-185.7)+(2.14659+(0.138618-0.284121))+0-65.5-0.100215000000004</f>
        <v>1244.3008720000003</v>
      </c>
      <c r="O300" s="3">
        <f>1417.8+(91.6-160.2)+(-1.446156+(-0.093432--0.163404))+0-53.7--0.0547740000000086</f>
        <v>1294.17859</v>
      </c>
      <c r="P300" s="3">
        <f>1570.3+(91-224.2)+(-1.601706+(-0.09282--0.228684))+0-75.5--0.077010000000012</f>
        <v>1360.2111679999998</v>
      </c>
      <c r="Q300" s="3">
        <f>1634.3+(90.2-276.8)+(-2.500479+(-0.138006--0.423504))+0-74.1--0.113373000000004</f>
        <v>1371.4983919999997</v>
      </c>
      <c r="R300" s="3">
        <f>1501.7+(93.9-169.9)+(-3.063468+(-0.191556--0.346596))+0-84.9--0.173195999999996</f>
        <v>1338.064768</v>
      </c>
      <c r="S300" s="3">
        <f>1468.7+(120.5-176.5)+(-2.247111+(-0.184365--0.270045))+0-83.2--0.127296000000005</f>
        <v>1327.4658650000001</v>
      </c>
      <c r="T300" s="3">
        <f>1418.4+(108.9-142.7)+(-0.723384+(-0.055539--0.072777))+0-84.6--0.0431459999999914</f>
        <v>1299.3370000000002</v>
      </c>
      <c r="U300" s="3">
        <f>1409.4+(116.3-148.7)+(-3.59397+(-0.296565--0.379185))+0-80--0.203999999999988</f>
        <v>1293.69265</v>
      </c>
      <c r="V300" s="3">
        <f>1493.6+(101.2-146.1)+(-3.80868+(-0.25806--0.372555))+0-48.8--0.124439999999993</f>
        <v>1396.3302549999999</v>
      </c>
      <c r="W300" s="3">
        <f>1751.8+(56-136.8)+(-2.680254+(-0.08568--0.209304))+0-50.8--0.0777240000000029</f>
        <v>1617.721094</v>
      </c>
      <c r="X300" s="3">
        <f>1807.3+(47.6-170.8)+(-0.921723+(-0.024276--0.087108))+0-72.6--0.0370259999999926</f>
        <v>1610.6781349999999</v>
      </c>
      <c r="Y300" s="3">
        <f>1760.9+(64.6-135.6)+(-2.694177+(-0.098838--0.207468))+0-95.5--0.146115000000006</f>
        <v>1591.9605680000002</v>
      </c>
      <c r="Z300" s="3">
        <f>1737.8+(105-180.1)+(0.886278+(0.05355-0.091851))+0-86.6-0.0441659999999912</f>
        <v>1576.9038110000001</v>
      </c>
      <c r="AA300" s="3">
        <f>1720+(136.9-240.5)+(-0.8772+(-0.069819--0.122655))+0-86--0.0438599999999913</f>
        <v>1529.619496</v>
      </c>
      <c r="AB300" s="3">
        <f>1557.9+(137-143.6)+(-2.383587+(-0.20961--0.219708))+0-85.3--0.130509000000005</f>
        <v>1463.7570200000002</v>
      </c>
      <c r="AC300" s="3">
        <f>1441.3+(137.5-162)+(1.470126+(0.14025-0.16524))+0-38.9-0.0396780000000062</f>
        <v>1379.3054579999998</v>
      </c>
      <c r="AD300">
        <f t="shared" si="4"/>
        <v>32797.999045999997</v>
      </c>
      <c r="AE300" s="3">
        <f>1859+(45.1-164.2)+(0+(0-0))+0-89.2-0</f>
        <v>1650.7</v>
      </c>
    </row>
    <row r="301" spans="1:31" s="2" customFormat="1" x14ac:dyDescent="0.25">
      <c r="A301">
        <v>89</v>
      </c>
      <c r="B301">
        <v>10</v>
      </c>
      <c r="C301">
        <v>25</v>
      </c>
      <c r="D301">
        <v>1</v>
      </c>
      <c r="E301">
        <v>1</v>
      </c>
      <c r="F301" s="3">
        <f>1362.5+(139.8-179.9)+(-2.084625+(-0.213894--0.275247))+0-29.8--0.0455940000000017</f>
        <v>1290.6223220000002</v>
      </c>
      <c r="G301" s="3">
        <f>1296+(137.2-100.9)+(0+(0-0))+0-93-0</f>
        <v>1239.3</v>
      </c>
      <c r="H301" s="3">
        <f>1296.2+(136.8-149.8)+(-1.322124+(-0.139536--0.152796))+0-74.6--0.0760920000000119</f>
        <v>1207.3672280000001</v>
      </c>
      <c r="I301" s="3">
        <f>1302.5+(137.1-160.5)+(1.32855+(0.139842-0.16371))+0-78.8-0.0803760000000126</f>
        <v>1201.5243059999998</v>
      </c>
      <c r="J301" s="3">
        <f>1305.7+(137-153.7)+(1.331814+(0.13974-0.156774))+0-87.7-0.089454000000014</f>
        <v>1202.5253259999999</v>
      </c>
      <c r="K301" s="3">
        <f>1311.5+(137-136.8)+(-1.33773+(-0.13974--0.139536))+0-71.8--0.0732360000000114</f>
        <v>1238.6353020000001</v>
      </c>
      <c r="L301" s="3">
        <f>1321.3+(137-105.4)+(-2.021589+(-0.20961--0.161262))+0-79.3--0.121329000000005</f>
        <v>1271.651392</v>
      </c>
      <c r="M301" s="3">
        <f>1400.2+(137.8-145.8)+(-0.714102+(-0.070278--0.074358))+0-45.7--0.0233069999999954</f>
        <v>1345.813285</v>
      </c>
      <c r="N301" s="3">
        <f>1505.7+(136.5-155.5)+(0.767907+(0.069615-0.079305))+0-22.5-0.0114749999999977</f>
        <v>1464.9467420000001</v>
      </c>
      <c r="O301" s="3">
        <f>1601.9+(137.6-134.3)+(0.816969+(0.070176-0.068493))+0-62.2-0.0317219999999937</f>
        <v>1543.78693</v>
      </c>
      <c r="P301" s="3">
        <f>1685.2+(136.6-143.3)+(0+(0-0))+0-78.3-0</f>
        <v>1600.2</v>
      </c>
      <c r="Q301" s="3">
        <f>1710.6+(135.1-132.6)+(0+(0-0))+0-79.1-0</f>
        <v>1634</v>
      </c>
      <c r="R301" s="3">
        <f>1725.9+(135-166.1)+(-0.880209+(-0.06885--0.084711))+0-85.4--0.0435539999999913</f>
        <v>1608.5792060000001</v>
      </c>
      <c r="S301" s="3">
        <f>1728.2+(135.6-228.7)+(0+(0-0))+0-83.2-0</f>
        <v>1551.9</v>
      </c>
      <c r="T301" s="3">
        <f>1727.1+(136.2-245.3)+(0.880821+(0.069462-0.125103))+0-75.8-0.0386579999999923</f>
        <v>1542.9865220000002</v>
      </c>
      <c r="U301" s="3">
        <f>1665.6+(122.9-161.5)+(0.849456+(0.062679-0.082365))+0-90.6-0.0462059999999908</f>
        <v>1537.1835640000002</v>
      </c>
      <c r="V301" s="3">
        <f>1737.4+(108.7-147.3)+(-0.886074+(-0.055437--0.075123))+0-67.5--0.0344249999999932</f>
        <v>1630.4680370000003</v>
      </c>
      <c r="W301" s="3">
        <f>1879.6+(154.6-91.5)+(0.958596+(0.078846-0.046665))+0-74.1-0.0377909999999925</f>
        <v>1869.5529859999999</v>
      </c>
      <c r="X301" s="3">
        <f>1910.9+(109-89.4)+(-3.898236+(-0.22236--0.182376))+0-90.8--0.185231999999996</f>
        <v>1835.9470120000001</v>
      </c>
      <c r="Y301" s="3">
        <f>1910.9+(77-133.3)+(-0.974559+(-0.03927--0.067983))+0-60.1--0.0306509999999939</f>
        <v>1793.5848050000002</v>
      </c>
      <c r="Z301" s="3">
        <f>1867.3+(112.5-138.2)+(-4.761615+(-0.286875--0.35241))+0-83.6--0.213179999999988</f>
        <v>1753.5171</v>
      </c>
      <c r="AA301" s="3">
        <f>1739.9+(138.7-121.4)+(-2.662047+(-0.212211--0.185742))+0-82.1--0.125613000000005</f>
        <v>1672.5370970000001</v>
      </c>
      <c r="AB301" s="3">
        <f>1671.4+(138.7-134.8)+(-1.704828+(-0.141474--0.137496))+0-81--0.0826200000000129</f>
        <v>1592.673814</v>
      </c>
      <c r="AC301" s="3">
        <f>1573.3+(137.4-150.5)+(-4.011915+(-0.35037--0.383775))+0-77.9--0.198644999999989</f>
        <v>1478.520135</v>
      </c>
      <c r="AD301">
        <f t="shared" si="4"/>
        <v>36107.823110999998</v>
      </c>
      <c r="AE301" s="3">
        <f>1927+(65.9-84.8)+(0+(0-0))+0-18-0</f>
        <v>1890.1</v>
      </c>
    </row>
    <row r="302" spans="1:31" s="2" customFormat="1" x14ac:dyDescent="0.25">
      <c r="A302">
        <v>89</v>
      </c>
      <c r="B302">
        <v>10</v>
      </c>
      <c r="C302">
        <v>26</v>
      </c>
      <c r="D302">
        <v>2</v>
      </c>
      <c r="E302">
        <v>1</v>
      </c>
      <c r="F302" s="3">
        <f>1516.5+(136.9-175.7)+(-0.773415+(-0.069819--0.089607))+0-79.1--0.040340999999992</f>
        <v>1397.886714</v>
      </c>
      <c r="G302" s="3">
        <f>1514.5+(137.6-220.8)+(-1.54479+(-0.140352--0.225216))+0-82.7--0.0843540000000132</f>
        <v>1347.224428</v>
      </c>
      <c r="H302" s="3">
        <f>1353+(137.1-89.4)+(-2.07009+(-0.209763--0.136782))+0-65.4--0.100062000000004</f>
        <v>1333.256991</v>
      </c>
      <c r="I302" s="3">
        <f>1280.7+(170.2-59.5)+(-1.306314+(-0.173604--0.06069))+0-64.4--0.0656880000000103</f>
        <v>1325.6464599999999</v>
      </c>
      <c r="J302" s="3">
        <f>1326.4+(158.3-66.4)+(-3.38232+(-0.403665--0.16932))+0-80.6--0.205529999999988</f>
        <v>1334.2888650000002</v>
      </c>
      <c r="K302" s="3">
        <f>1483.3+(114-138.9)+(1.512966+(0.11628-0.141678))+0-96.3-0.0982260000000154</f>
        <v>1363.4893419999999</v>
      </c>
      <c r="L302" s="3">
        <f>1495.7+(94.7-119.6)+(-4.576842+(-0.289782--0.365976))+0-75.9--0.232254000000009</f>
        <v>1390.6316059999999</v>
      </c>
      <c r="M302" s="3">
        <f>1553.9+(88.8-155.4)+(-0.792489+(-0.045288--0.079254))+0-45.5--0.0232049999999954</f>
        <v>1441.0646820000002</v>
      </c>
      <c r="N302" s="3">
        <f>1633.1+(102.3-98.1)+(-3.331524+(-0.208692--0.200124))+0-81.9--0.167075999999996</f>
        <v>1552.2269839999999</v>
      </c>
      <c r="O302" s="3">
        <f>1677.4+(116.3-78.6)+(0+(0-0))+0-82.6-0</f>
        <v>1632.5000000000002</v>
      </c>
      <c r="P302" s="3">
        <f>1712.2+(113.1-108.8)+(-1.746444+(-0.115362--0.110976))+0-54.5--0.0555900000000087</f>
        <v>1660.30476</v>
      </c>
      <c r="Q302" s="3">
        <f>1724.4+(130.9-113.7)+(-1.758888+(-0.133518--0.115974))+0-64.4--0.0656880000000103</f>
        <v>1675.4892559999998</v>
      </c>
      <c r="R302" s="3">
        <f>1731.6+(135-126.9)+(0+(0-0))+0-82.7-0</f>
        <v>1656.9999999999998</v>
      </c>
      <c r="S302" s="3">
        <f>1656.1+(131.7-85.3)+(-0.844611+(-0.067167--0.043503))+0-79--0.040289999999992</f>
        <v>1622.6720149999999</v>
      </c>
      <c r="T302" s="3">
        <f>1641.7+(122.5-101)+(-1.674534+(-0.12495--0.10302))+0-83.8--0.0854760000000134</f>
        <v>1577.789012</v>
      </c>
      <c r="U302" s="3">
        <f>1686.9+(118.4-140.3)+(-1.720638+(-0.120768--0.143106))+0-95.8--0.0977160000000153</f>
        <v>1567.599416</v>
      </c>
      <c r="V302" s="3">
        <f>1733.4+(97.3-78.2)+(-3.536136+(-0.198492--0.159528))+0-83.3--0.169931999999996</f>
        <v>1665.794832</v>
      </c>
      <c r="W302" s="3">
        <f>1713.3+(304.1-83.5)+(0+(0-0))+0-75.6-0</f>
        <v>1858.3000000000002</v>
      </c>
      <c r="X302" s="3">
        <f>1725.3+(240.2-89.1)+(-0.879903+(-0.122502--0.045441))+0-66.1--0.0337109999999933</f>
        <v>1809.376747</v>
      </c>
      <c r="Y302" s="3">
        <f>1729.2+(231.6-90.7)+(-4.40946+(-0.59058--0.231285))+0-74--0.188699999999989</f>
        <v>1791.5199449999998</v>
      </c>
      <c r="Z302" s="3">
        <f>1679.9+(242.6-87.6)+(-2.570247+(-0.371178--0.134028))+0-87.2--0.133416000000005</f>
        <v>1745.0260189999999</v>
      </c>
      <c r="AA302" s="3">
        <f>1649.6+(144-80.3)+(-3.365184+(-0.29376--0.163812))+0-54.4--0.110975999999998</f>
        <v>1655.5158439999998</v>
      </c>
      <c r="AB302" s="3">
        <f>1664.7+(137.2-101.4)+(0+(0-0))+0-86-0</f>
        <v>1614.5</v>
      </c>
      <c r="AC302" s="3">
        <f>1635.7+(137.2-177.3)+(-5.839449+(-0.489804--0.632961))+0-90.2--0.322014000000001</f>
        <v>1500.0257219999999</v>
      </c>
      <c r="AD302">
        <f t="shared" si="4"/>
        <v>37519.129639999999</v>
      </c>
      <c r="AE302" s="3">
        <f>1733+(236.2-92.7)+(0+(0-0))+0-33.1-0</f>
        <v>1843.4</v>
      </c>
    </row>
    <row r="303" spans="1:31" s="2" customFormat="1" x14ac:dyDescent="0.25">
      <c r="A303">
        <v>89</v>
      </c>
      <c r="B303">
        <v>10</v>
      </c>
      <c r="C303">
        <v>27</v>
      </c>
      <c r="D303">
        <v>3</v>
      </c>
      <c r="E303">
        <v>1</v>
      </c>
      <c r="F303" s="3">
        <f>1488.1+(136.7-171.2)+(-1.517862+(-0.139434--0.174624))+0-50.9--0.0519180000000081</f>
        <v>1401.2692459999998</v>
      </c>
      <c r="G303" s="3">
        <f>1422.2+(136.9-126.5)+(-3.62661+(-0.349095--0.322575))+0-79.7--0.203234999999988</f>
        <v>1349.4501050000001</v>
      </c>
      <c r="H303" s="3">
        <f>1446.3+(136.8-233.1)+(1.475226+(0.139536-0.237762))+0-21.4-0.0218280000000034</f>
        <v>1329.9551719999999</v>
      </c>
      <c r="I303" s="3">
        <f>1387.7+(136.6-155.3)+(0+(0-0))+0-51-0</f>
        <v>1318</v>
      </c>
      <c r="J303" s="3">
        <f>1395.5+(136.8-134.4)+(0.711705+(0.069768-0.068544))+0-80-0.0407999999999919</f>
        <v>1318.5721290000001</v>
      </c>
      <c r="K303" s="3">
        <f>1428.9+(136.2-128.5)+(-3.643695+(-0.34731--0.327675))+0-86.6--0.220829999999987</f>
        <v>1346.5575000000001</v>
      </c>
      <c r="L303" s="3">
        <f>1460.5+(135.6-135.1)+(0+(0-0))+0-81.1-0</f>
        <v>1379.9</v>
      </c>
      <c r="M303" s="3">
        <f>1572.1+(135.6-227.1)+(-2.405313+(-0.207468--0.347463))+0-34.9--0.053397000000002</f>
        <v>1443.4880789999997</v>
      </c>
      <c r="N303" s="3">
        <f>1467.8+(150.8-76.4)+(-2.245734+(-0.230724--0.116892))+0-20.4--0.0312120000000012</f>
        <v>1519.471646</v>
      </c>
      <c r="O303" s="3">
        <f>1579.9+(135.8-116.6)+(0.805749+(0.069258-0.059466))+0-20.8-0.0106079999999979</f>
        <v>1579.1049330000001</v>
      </c>
      <c r="P303" s="3">
        <f>1785.2+(135.8-275.9)+(-4.55226+(-0.34629--0.703545))+0-17--0.0433499999999975</f>
        <v>1623.948345</v>
      </c>
      <c r="Q303" s="3">
        <f>1817.8+(135.3-303.3)+(0.927078+(0.069003-0.154683))+0-16.4-0.00836399999999834</f>
        <v>1634.2330339999999</v>
      </c>
      <c r="R303" s="3">
        <f>1811.7+(135.6-320.6)+(-4.619835+(-0.34578--0.81753))+0-14.6--0.0372299999999979</f>
        <v>1607.989145</v>
      </c>
      <c r="S303" s="3">
        <f>1671+(136.4-211.9)+(0+(0-0))+0-19.3-0</f>
        <v>1576.2</v>
      </c>
      <c r="T303" s="3">
        <f>1621.6+(134.8-127.3)+(-2.481048+(-0.206244--0.194769))+0-88.1--0.134793000000005</f>
        <v>1538.6422700000001</v>
      </c>
      <c r="U303" s="3">
        <f>1625.7+(114.9-134.1)+(-1.658214+(-0.117198--0.136782))+0-69.3--0.070686000000011</f>
        <v>1535.6320560000001</v>
      </c>
      <c r="V303" s="3">
        <f>1783.3+(81.1-164.1)+(-0.909483+(-0.041361--0.083691))+0-82.3--0.0419729999999916</f>
        <v>1617.1748200000002</v>
      </c>
      <c r="W303" s="3">
        <f>1895.8+(129.4-88.1)+(-0.966858+(-0.065994--0.044931))+0-80.5--0.0410549999999918</f>
        <v>1855.6531339999999</v>
      </c>
      <c r="X303" s="3">
        <f>1885.6+(107.8-85.2)+(-2.884968+(-0.164934--0.130356))+0-87.1--0.133263000000005</f>
        <v>1818.3137169999998</v>
      </c>
      <c r="Y303" s="3">
        <f>1882.2+(86.9-156.5)+(-2.879766+(-0.132957--0.239445))+0-44.3--0.0677790000000026</f>
        <v>1765.5945010000003</v>
      </c>
      <c r="Z303" s="3">
        <f>1886.3+(110.7-191.9)+(0+(0-0))+0-85.8-0</f>
        <v>1719.3</v>
      </c>
      <c r="AA303" s="3">
        <f>1886.2+(132.5-290.8)+(0.961962+(0.067575-0.148308))+0-77.6-0.0395759999999921</f>
        <v>1651.1416530000004</v>
      </c>
      <c r="AB303" s="3">
        <f>1812.6+(136.1-282)+(-1.848852+(-0.138822--0.28764))+0-80.9--0.0825180000000129</f>
        <v>1584.1824839999997</v>
      </c>
      <c r="AC303" s="3">
        <f>1670.3+(135.9-243.3)+(-1.703706+(-0.138618--0.248166))+0-95--0.0969000000000152</f>
        <v>1466.4027419999998</v>
      </c>
      <c r="AD303">
        <f t="shared" si="4"/>
        <v>36980.176711</v>
      </c>
      <c r="AE303" s="3">
        <f>1889+(88.6-88.2)+(0+(0-0))+0-88.9-0</f>
        <v>1800.5</v>
      </c>
    </row>
    <row r="304" spans="1:31" s="2" customFormat="1" x14ac:dyDescent="0.25">
      <c r="A304">
        <v>89</v>
      </c>
      <c r="B304">
        <v>10</v>
      </c>
      <c r="C304">
        <v>28</v>
      </c>
      <c r="D304">
        <v>4</v>
      </c>
      <c r="E304">
        <v>1</v>
      </c>
      <c r="F304" s="3">
        <f>1467.4+(135.6-155.9)+(-4.490244+(-0.414936--0.477054))+0-60.3--0.184518000000007</f>
        <v>1382.5563920000002</v>
      </c>
      <c r="G304" s="3">
        <f>1424.9+(135.2-200.6)+(-0.726699+(-0.068952--0.102306))+0-31.6--0.0161159999999968</f>
        <v>1327.2227710000002</v>
      </c>
      <c r="H304" s="3">
        <f>1426.6+(135.5-182.6)+(-0.727566+(-0.069105--0.093126))+0-77.5--0.0395249999999921</f>
        <v>1301.3359799999998</v>
      </c>
      <c r="I304" s="3">
        <f>1424+(134.8-182.9)+(-2.17872+(-0.206244--0.279837))+0-79.3--0.121329000000005</f>
        <v>1294.6162020000002</v>
      </c>
      <c r="J304" s="3">
        <f>1428.7+(134.6-159.6)+(0+(0-0))+0-94.5-0</f>
        <v>1309.2</v>
      </c>
      <c r="K304" s="3">
        <f>1458.7+(134-190.9)+(0+(0-0))+0-70.2-0</f>
        <v>1331.6</v>
      </c>
      <c r="L304" s="3">
        <f>1485.6+(134.8-182.4)+(-3.78828+(-0.34374--0.46512))+0-72.2--0.18410999999999</f>
        <v>1362.3172099999999</v>
      </c>
      <c r="M304" s="3">
        <f>1580.2+(138-224.1)+(1.611804+(0.14076-0.228582))+0-75.3-0.076806000000012</f>
        <v>1420.2471760000001</v>
      </c>
      <c r="N304" s="3">
        <f>1762.9+(138.1-323.5)+(0.899079+(0.070431-0.164985))+0-38-0.0193799999999961</f>
        <v>1540.2851450000001</v>
      </c>
      <c r="O304" s="3">
        <f>1768.4+(136.9-224.1)+(-2.705652+(-0.209457--0.342873))+0-72.5--0.110925000000004</f>
        <v>1606.238689</v>
      </c>
      <c r="P304" s="3">
        <f>1820.4+(136.3-247.1)+(-0.928404+(-0.069513--0.126021))+0-71.5--0.0364649999999927</f>
        <v>1637.2645689999999</v>
      </c>
      <c r="Q304" s="3">
        <f>1875.9+(136.4-283.1)+(-1.913418+(-0.139128--0.288762))+0-74.4--0.0758880000000119</f>
        <v>1653.112104</v>
      </c>
      <c r="R304" s="3">
        <f>1869.6+(135.5-286)+(-3.813984+(-0.27642--0.58344))+0-80.8--0.164831999999996</f>
        <v>1634.957868</v>
      </c>
      <c r="S304" s="3">
        <f>1861.9+(136.1-343.8)+(0+(0-0))+0-61.5-0</f>
        <v>1592.7</v>
      </c>
      <c r="T304" s="3">
        <f>1719.7+(136.6-232.2)+(0+(0-0))+0-71.6-0</f>
        <v>1552.5000000000002</v>
      </c>
      <c r="U304" s="3">
        <f>1654.2+(110-181.1)+(-1.687284+(-0.1122--0.184722))+0-47.9--0.0488580000000076</f>
        <v>1533.6340960000002</v>
      </c>
      <c r="V304" s="3">
        <f>1644.8+(105.5-97)+(-5.033088+(-0.32283--0.29682))+0-32.9--0.100674000000004</f>
        <v>1615.4415759999999</v>
      </c>
      <c r="W304" s="3">
        <f>1836.9+(202.6-80)+(-1.873638+(-0.206652--0.0816))+0-76.1--0.0776220000000121</f>
        <v>1881.4789320000002</v>
      </c>
      <c r="X304" s="3">
        <f>1947+(83.8-103.4)+(-2.97891+(-0.128214--0.158202))+0-78.4--0.119952000000005</f>
        <v>1846.17103</v>
      </c>
      <c r="Y304" s="3">
        <f>1975+(91-189.1)+(-2.0145+(-0.09282--0.192882))+0-69.6--0.0709920000000111</f>
        <v>1805.4565540000001</v>
      </c>
      <c r="Z304" s="3">
        <f>1973+(127.5-253.7)+(-3.01869+(-0.195075--0.388161))+0-83.3--0.127449000000005</f>
        <v>1760.801845</v>
      </c>
      <c r="AA304" s="3">
        <f>1928.7+(134.3-302.7)+(-0.983637+(-0.068493--0.154377))+0-78.1--0.0398309999999921</f>
        <v>1681.3420780000004</v>
      </c>
      <c r="AB304" s="3">
        <f>1809.6+(134.1-248)+(-0.922896+(-0.068391--0.12648))+0-87.8--0.0447779999999911</f>
        <v>1607.0799709999999</v>
      </c>
      <c r="AC304" s="3">
        <f>1654.8+(136-241.4)+(-2.531844+(-0.20808--0.369342))+0-51.1--0.078183000000003</f>
        <v>1496.007601</v>
      </c>
      <c r="AD304">
        <f t="shared" si="4"/>
        <v>37173.567789000008</v>
      </c>
      <c r="AE304" s="3">
        <f>1942+(83.6-93.4)+(0+(0-0))+0-92.1-0</f>
        <v>1840.1000000000001</v>
      </c>
    </row>
    <row r="305" spans="1:31" s="2" customFormat="1" x14ac:dyDescent="0.25">
      <c r="A305">
        <v>89</v>
      </c>
      <c r="B305">
        <v>10</v>
      </c>
      <c r="C305">
        <v>29</v>
      </c>
      <c r="D305">
        <v>5</v>
      </c>
      <c r="E305">
        <v>1</v>
      </c>
      <c r="F305" s="3">
        <f>1468.9+(136.5-174.5)+(-3.745695+(-0.348075--0.444975))+0-48.9--0.124694999999993</f>
        <v>1378.4758999999999</v>
      </c>
      <c r="G305" s="3">
        <f>1460.6+(136.7-195.4)+(2.234718+(0.209151-0.298962))+0-70.9-0.108477000000004</f>
        <v>1333.0364299999999</v>
      </c>
      <c r="H305" s="3">
        <f>1446.4+(136.7-209)+(-2.212992+(-0.209151--0.31977))+0-70.6--0.108018000000004</f>
        <v>1301.5056450000002</v>
      </c>
      <c r="I305" s="3">
        <f>1400.7+(136.8-187.3)+(0.714357+(0.069768-0.095523))+0-51-0.0260099999999948</f>
        <v>1299.8625919999999</v>
      </c>
      <c r="J305" s="3">
        <f>1360.1+(136.7-107.1)+(-3.468255+(-0.348585--0.273105))+0-80.9--0.206294999999988</f>
        <v>1305.4625599999997</v>
      </c>
      <c r="K305" s="3">
        <f>1395.8+(136.2-154.7)+(0.711858+(0.069462-0.078897))+0-58.9-0.030038999999994</f>
        <v>1319.0723839999998</v>
      </c>
      <c r="L305" s="3">
        <f>1442.3+(135.7-155.5)+(0.735573+(0.069207-0.079305))+0-66.1-0.0337109999999933</f>
        <v>1357.091764</v>
      </c>
      <c r="M305" s="3">
        <f>1471+(135.8-144.4)+(0+(0-0))+0-42.8-0</f>
        <v>1419.6000000000001</v>
      </c>
      <c r="N305" s="3">
        <f>1557+(135-89.9)+(2.38221+(0.20655-0.137547))+0-84.3-0.128979000000005</f>
        <v>1520.1222339999999</v>
      </c>
      <c r="O305" s="3">
        <f>1781.5+(135.3-240.3)+(0+(0-0))+0-71.6-0</f>
        <v>1604.9</v>
      </c>
      <c r="P305" s="3">
        <f>1801.8+(135.3-278.7)+(-3.675672+(-0.276012--0.568548))+0-50--0.101999999999998</f>
        <v>1605.1188640000003</v>
      </c>
      <c r="Q305" s="3">
        <f>1837.1+(134.5-297.6)+(-0.936921+(-0.068595--0.151776))+0-16.1--0.00821099999999837</f>
        <v>1657.0544710000001</v>
      </c>
      <c r="R305" s="3">
        <f>1726.9+(134.9-184.2)+(-2.642157+(-0.206397--0.281826))+0-52.5--0.080325000000003</f>
        <v>1622.613597</v>
      </c>
      <c r="S305" s="3">
        <f>1702.1+(135.3-158.9)+(-1.736142+(-0.138006--0.162078))+0-78.6--0.0801720000000125</f>
        <v>1598.268102</v>
      </c>
      <c r="T305" s="3">
        <f>1731.4+(135.6-214.1)+(0+(0-0))+0-83.8-0</f>
        <v>1569.1000000000001</v>
      </c>
      <c r="U305" s="3">
        <f>1732.4+(129.2-228.6)+(0+(0-0))+0-79.5-0</f>
        <v>1553.5</v>
      </c>
      <c r="V305" s="3">
        <f>1737.5+(108.5-174.7)+(0+(0-0))+0-36.2-0</f>
        <v>1635.1</v>
      </c>
      <c r="W305" s="3">
        <f>1792.6+(198-81.9)+(-3.656904+(-0.40392--0.167076))+0-48.6--0.0991439999999979</f>
        <v>1856.305396</v>
      </c>
      <c r="X305" s="3">
        <f>1857.2+(139.1-74.8)+(-1.894344+(-0.141882--0.076296))+0-73.3--0.0747660000000117</f>
        <v>1846.314836</v>
      </c>
      <c r="Y305" s="3">
        <f>1852.4+(115.1-72.7)+(-4.72362+(-0.293505--0.185385))+0-88.1--0.224654999999987</f>
        <v>1802.0929150000002</v>
      </c>
      <c r="Z305" s="3">
        <f>1862.5+(126.2-162.4)+(0+(0-0))+0-66.5-0</f>
        <v>1759.8</v>
      </c>
      <c r="AA305" s="3">
        <f>1890.7+(137.1-268.1)+(1.928514+(0.139842-0.273462))+0-74.2-0.0756840000000118</f>
        <v>1687.2192100000002</v>
      </c>
      <c r="AB305" s="3">
        <f>1760.5+(136.1-224.2)+(1.79571+(0.138822-0.228684))+0-67-0.0683400000000107</f>
        <v>1607.0375080000001</v>
      </c>
      <c r="AC305" s="3">
        <f>1673.7+(137.1-216.8)+(-3.414348+(-0.279684--0.442272))+0-90.3--0.184211999999996</f>
        <v>1500.6324519999998</v>
      </c>
      <c r="AD305">
        <f t="shared" si="4"/>
        <v>37139.28686</v>
      </c>
      <c r="AE305" s="3">
        <f>1879+(145.7-83.5)+(0+(0-0))+0-92.5-0</f>
        <v>1848.7</v>
      </c>
    </row>
    <row r="306" spans="1:31" s="2" customFormat="1" x14ac:dyDescent="0.25">
      <c r="A306">
        <v>89</v>
      </c>
      <c r="B306">
        <v>10</v>
      </c>
      <c r="C306">
        <v>30</v>
      </c>
      <c r="D306">
        <v>6</v>
      </c>
      <c r="E306">
        <v>1</v>
      </c>
      <c r="F306" s="3">
        <f>1534.5+(136.9-219.4)+(-1.56519+(-0.139638--0.223788))+0-48.8--0.0497760000000078</f>
        <v>1401.7687360000002</v>
      </c>
      <c r="G306" s="3">
        <f>1500.3+(137.1-204.4)+(0+(0-0))+0-76.4-0</f>
        <v>1356.6</v>
      </c>
      <c r="H306" s="3">
        <f>1448.5+(137.7-170)+(0+(0-0))+0-89.5-0</f>
        <v>1326.7</v>
      </c>
      <c r="I306" s="3">
        <f>1468.7+(137.8-229.9)+(-0.749037+(-0.070278--0.117249))+0-62.7--0.0319769999999936</f>
        <v>1313.2299110000001</v>
      </c>
      <c r="J306" s="3">
        <f>1389.7+(126.9-136.9)+(-1.417494+(-0.129438--0.139638))+0-67.3--0.0686460000000107</f>
        <v>1311.0613519999999</v>
      </c>
      <c r="K306" s="3">
        <f>1475.1+(91.8-176)+(3.009204+(0.187272-0.35904))+0-69.6-0.141983999999997</f>
        <v>1323.9954519999999</v>
      </c>
      <c r="L306" s="3">
        <f>1546.4+(44.3-176.3)+(0.788664+(0.022593-0.089913))+0-66.6-0.0339659999999932</f>
        <v>1348.4873780000003</v>
      </c>
      <c r="M306" s="3">
        <f>1605.4+(71.4-195.9)+(-2.456262+(-0.109242--0.299727))+0-74--0.113220000000004</f>
        <v>1404.747443</v>
      </c>
      <c r="N306" s="3">
        <f>1671.9+(97.4-216.3)+(0+(0-0))+0-48.6-0</f>
        <v>1504.4</v>
      </c>
      <c r="O306" s="3">
        <f>1775.6+(116.6-220.4)+(3.622224+(0.237864-0.449616))+0-79.7-0.162587999999997</f>
        <v>1595.347884</v>
      </c>
      <c r="P306" s="3">
        <f>1826.3+(121.2-241.4)+(0.931413+(0.061812-0.123114))+0-74.9-0.0381989999999924</f>
        <v>1632.0319119999997</v>
      </c>
      <c r="Q306" s="3">
        <f>1807.4+(121.9-240.3)+(-3.687096+(-0.248676--0.490212))+0-76.2--0.155447999999997</f>
        <v>1609.509888</v>
      </c>
      <c r="R306" s="3">
        <f>1763.4+(126.1-255.4)+(1.798668+(0.128622-0.260508))+0-70-0.0714000000000112</f>
        <v>1565.6953820000001</v>
      </c>
      <c r="S306" s="3">
        <f>1727.5+(124-243.4)+(-1.76205+(-0.12648--0.248268))+0-78.6--0.0801720000000125</f>
        <v>1527.9399100000001</v>
      </c>
      <c r="T306" s="3">
        <f>1731.6+(118.3-271.9)+(-0.883116+(-0.060333--0.138669))+0-79.9--0.0407489999999919</f>
        <v>1497.335969</v>
      </c>
      <c r="U306" s="3">
        <f>1709.8+(112.5-250.7)+(-0.871998+(-0.057375--0.127857))+0-76.3--0.0389129999999923</f>
        <v>1494.5373970000001</v>
      </c>
      <c r="V306" s="3">
        <f>1700.4+(105.8-158.4)+(0.867204+(0.053958-0.080784))+0-73.2-0.0373319999999926</f>
        <v>1575.4030460000001</v>
      </c>
      <c r="W306" s="3">
        <f>1913+(79.1-106.6)+(-0.97563+(-0.040341--0.054366))+0-72.9--0.0371789999999926</f>
        <v>1811.6755739999999</v>
      </c>
      <c r="X306" s="3">
        <f>1912.9+(78.6-108)+(-3.902316+(-0.160344--0.22032))+0-82.2--0.167687999999996</f>
        <v>1797.625348</v>
      </c>
      <c r="Y306" s="3">
        <f>1914.8+(89.4-171.4)+(-2.929644+(-0.136782--0.262242))+0-76.9--0.117657000000004</f>
        <v>1753.2134729999998</v>
      </c>
      <c r="Z306" s="3">
        <f>1882.1+(115.4-212.4)+(-4.799355+(-0.29427--0.54162))+0-71.2--0.18155999999999</f>
        <v>1709.5295549999998</v>
      </c>
      <c r="AA306" s="3">
        <f>1840.4+(137-278.7)+(1.877208+(0.13974-0.284274))+0-61.5-0.0627300000000098</f>
        <v>1638.869944</v>
      </c>
      <c r="AB306" s="3">
        <f>1703.7+(136.1-217)+(2.606661+(0.208233-0.33201))+0-58.7-0.0898110000000034</f>
        <v>1566.4930729999999</v>
      </c>
      <c r="AC306" s="3">
        <f>1608+(136.4-198.7)+(-2.46024+(-0.208692--0.304011))+0-76.9--0.117657000000004</f>
        <v>1466.5527359999999</v>
      </c>
      <c r="AD306">
        <f t="shared" si="4"/>
        <v>36532.751363000003</v>
      </c>
      <c r="AE306" s="3">
        <f>1910+(97.2-90.6)+(0+(0-0))+0-84.9-0</f>
        <v>1831.6999999999998</v>
      </c>
    </row>
    <row r="307" spans="1:31" s="2" customFormat="1" x14ac:dyDescent="0.25">
      <c r="A307">
        <v>89</v>
      </c>
      <c r="B307">
        <v>11</v>
      </c>
      <c r="C307">
        <v>1</v>
      </c>
      <c r="D307">
        <v>7</v>
      </c>
      <c r="E307">
        <v>1</v>
      </c>
      <c r="F307" s="3">
        <f>1499.2+(136.5-184.4)+(-3.82296+(-0.348075--0.47022))+0-52.4--0.133619999999992</f>
        <v>1395.332805</v>
      </c>
      <c r="G307" s="3">
        <f>1408.8+(136.2-129.1)+(-1.436976+(-0.138924--0.131682))+0-68.4--0.0697680000000109</f>
        <v>1346.1255499999997</v>
      </c>
      <c r="H307" s="3">
        <f>1352.3+(136.1-96.2)+(-4.138038+(-0.416466--0.294372))+0-80.6--0.246636000000009</f>
        <v>1307.5865040000001</v>
      </c>
      <c r="I307" s="3">
        <f>1372.7+(136.3-202)+(0+(0-0))+0-22.4-0</f>
        <v>1284.5999999999999</v>
      </c>
      <c r="J307" s="3">
        <f>1377.9+(135.5-185.8)+(-0.702729+(-0.069105--0.094758))+0-52.7--0.0268769999999947</f>
        <v>1274.2498010000002</v>
      </c>
      <c r="K307" s="3">
        <f>1373.4+(136.1-141.6)+(0+(0-0))+0-83.3-0</f>
        <v>1284.6000000000001</v>
      </c>
      <c r="L307" s="3">
        <f>1329.5+(136.8-191.6)+(-6.78045+(-0.69768--0.97716))+0-17.3--0.0882300000000013</f>
        <v>1250.9872600000001</v>
      </c>
      <c r="M307" s="3">
        <f>1277.6+(137.5-169.3)+(1.303152+(0.14025-0.172686))+0-22.6-0.0230520000000036</f>
        <v>1224.447664</v>
      </c>
      <c r="N307" s="3">
        <f>1405.3+(121.2-181.4)+(-3.583515+(-0.30906--0.46257))+0-71.8--0.18308999999999</f>
        <v>1270.053085</v>
      </c>
      <c r="O307" s="3">
        <f>1512.5+(128.2-214.3)+(-0.771375+(-0.065382--0.109293))+0-92.5--0.0471749999999906</f>
        <v>1333.219711</v>
      </c>
      <c r="P307" s="3">
        <f>1523.3+(131.5-253.4)+(-3.107532+(-0.26826--0.516936))+0-40.5--0.0826199999999982</f>
        <v>1358.1237639999997</v>
      </c>
      <c r="Q307" s="3">
        <f>1533.5+(116.1-185.2)+(-2.346255+(-0.177633--0.283356))+0-85.8--0.131274000000005</f>
        <v>1376.4907420000002</v>
      </c>
      <c r="R307" s="3">
        <f>1546.9+(123.9-247.6)+(0.788919+(0.063189-0.126276))+0-76.3-0.0389129999999923</f>
        <v>1347.5869190000001</v>
      </c>
      <c r="S307" s="3">
        <f>1488.8+(121.4-212.8)+(-3.037152+(-0.247656--0.434112))+0-68.4--0.139535999999997</f>
        <v>1326.2888399999997</v>
      </c>
      <c r="T307" s="3">
        <f>1478.8+(118.7-216.5)+(-0.754188+(-0.060537--0.110415))+0-75.5--0.0385049999999923</f>
        <v>1304.8341949999999</v>
      </c>
      <c r="U307" s="3">
        <f>1480.7+(125.6-263.5)+(-2.265471+(-0.192168--0.403155))+0-60.5--0.0925650000000035</f>
        <v>1280.3380809999999</v>
      </c>
      <c r="V307" s="3">
        <f>1575.3+(99.3-243.3)+(-3.213612+(-0.202572--0.496332))+0-78.4--0.159935999999997</f>
        <v>1350.1400839999999</v>
      </c>
      <c r="W307" s="3">
        <f>1770.8+(103.5-149.4)+(0.903108+(0.052785-0.076194))+0-84.7-0.0431969999999914</f>
        <v>1641.0365019999999</v>
      </c>
      <c r="X307" s="3">
        <f>2030.8+(55-451.2)+(-3.107124+(-0.08415--0.690336))+0-76.4--0.116892000000004</f>
        <v>1555.8159539999999</v>
      </c>
      <c r="Y307" s="3">
        <f>1992+(72.5-475.4)+(-1.01592+(-0.036975--0.242454))+0-53.7--0.0273869999999946</f>
        <v>1534.6169459999999</v>
      </c>
      <c r="Z307" s="3">
        <f>1963.4+(112.1-525.6)+(-4.005336+(-0.228684--1.072224))+0-56.5--0.115259999999998</f>
        <v>1490.353464</v>
      </c>
      <c r="AA307" s="3">
        <f>1937.9+(137.2-599.6)+(2.964987+(0.209916-0.917388))+0-53.7-0.0821610000000031</f>
        <v>1423.9753539999999</v>
      </c>
      <c r="AB307" s="3">
        <f>1831.7+(136.8-481.3)+(-3.736668+(-0.279072--0.981852))+0-74.2--0.151367999999997</f>
        <v>1410.1174800000001</v>
      </c>
      <c r="AC307" s="3">
        <f>1734.1+(136.5-524)+(-1.768782+(-0.13923--0.53448))+0-53.8--0.0548760000000086</f>
        <v>1291.4813439999998</v>
      </c>
      <c r="AD307">
        <f t="shared" si="4"/>
        <v>32662.402048999997</v>
      </c>
      <c r="AE307" s="3">
        <f>2049+(42.6-479.7)+(0+(0-0))+0-70-0</f>
        <v>1541.9</v>
      </c>
    </row>
    <row r="308" spans="1:31" s="2" customFormat="1" x14ac:dyDescent="0.25">
      <c r="A308">
        <v>89</v>
      </c>
      <c r="B308">
        <v>11</v>
      </c>
      <c r="C308">
        <v>2</v>
      </c>
      <c r="D308">
        <v>1</v>
      </c>
      <c r="E308">
        <v>1</v>
      </c>
      <c r="F308" s="3">
        <f>1605.5+(135.8-437.6)+(-5.731635+(-0.484806--1.562232))+0-74.1--0.264537000000001</f>
        <v>1225.2103280000001</v>
      </c>
      <c r="G308" s="3">
        <f>1443.9+(135.8-277.2)+(-2.945556+(-0.277032--0.565488))+0-79.2--0.161567999999997</f>
        <v>1220.804468</v>
      </c>
      <c r="H308" s="3">
        <f>1429.4+(135.3-292.4)+(0.728994+(0.069003-0.149124))+0-76.3-0.0389129999999923</f>
        <v>1196.6099600000002</v>
      </c>
      <c r="I308" s="3">
        <f>1382.8+(135.1-237.6)+(0+(0-0))+0-76.9-0</f>
        <v>1203.3999999999999</v>
      </c>
      <c r="J308" s="3">
        <f>1407.3+(133-254.7)+(-2.153169+(-0.20349--0.389691))+0-77.9--0.119187000000005</f>
        <v>1205.8522189999999</v>
      </c>
      <c r="K308" s="3">
        <f>1417.3+(91.8-171.2)+(0.722823+(0.046818-0.087312))+0-83.8-0.0427379999999915</f>
        <v>1254.7395909999998</v>
      </c>
      <c r="L308" s="3">
        <f>1506.2+(39.3-228.6)+(0.768162+(0.020043-0.116586))+0-50-0.0254999999999949</f>
        <v>1267.5461190000001</v>
      </c>
      <c r="M308" s="3">
        <f>1682+(71-424.2)+(-1.71564+(-0.07242--0.432684))+0-45.6--0.0465120000000073</f>
        <v>1281.8911360000002</v>
      </c>
      <c r="N308" s="3">
        <f>1806.2+(91.6-479.9)+(-1.842324+(-0.093432--0.489498))+0-10.9--0.0111180000000017</f>
        <v>1405.56486</v>
      </c>
      <c r="O308" s="3">
        <f>1980.5+(105.4-499.8)+(-1.010055+(-0.053754--0.254898))+0-76.5--0.0390149999999922</f>
        <v>1508.8301039999999</v>
      </c>
      <c r="P308" s="3">
        <f>1944.6+(104.8-390.2)+(-3.966984+(-0.213792--0.796008))+0-61--0.124439999999997</f>
        <v>1594.939672</v>
      </c>
      <c r="Q308" s="3">
        <f>1913+(122.8-347.3)+(-2.92689+(-0.187884--0.531369))+0-62.1--0.0950130000000036</f>
        <v>1623.9116080000001</v>
      </c>
      <c r="R308" s="3">
        <f>1877.7+(113.9-352.8)+(-4.788135+(-0.290445--0.89964))+0-66--0.16829999999999</f>
        <v>1568.78936</v>
      </c>
      <c r="S308" s="3">
        <f>1939.5+(118.5-490.8)+(1.97829+(0.12087-0.500616))+0-72.5-0.0739500000000116</f>
        <v>1496.224594</v>
      </c>
      <c r="T308" s="3">
        <f>1940+(112.7-524.8)+(-0.9894+(-0.057477--0.267648))+0-79.1--0.040340999999992</f>
        <v>1448.0611120000001</v>
      </c>
      <c r="U308" s="3">
        <f>1841.4+(108.3-390)+(0.939114+(0.055233-0.1989))+0-70.5-0.0359549999999928</f>
        <v>1489.959492</v>
      </c>
      <c r="V308" s="3">
        <f>1925.8+(99.8-402.6)+(0+(0-0))+0-60.5-0</f>
        <v>1562.5</v>
      </c>
      <c r="W308" s="3">
        <f>2025+(143.1-184.3)+(3.09825+(0.218943-0.281979))+0-60.6-0.0927180000000035</f>
        <v>1926.1424959999999</v>
      </c>
      <c r="X308" s="3">
        <f>2086.8+(71.2-206.9)+(-3.192804+(-0.108936--0.316557))+0-76.5--0.117045000000004</f>
        <v>1871.7318620000001</v>
      </c>
      <c r="Y308" s="3">
        <f>2073.1+(50.5-251.3)+(-3.171843+(-0.077265--0.384489))+0-70.1--0.107253000000004</f>
        <v>1799.442634</v>
      </c>
      <c r="Z308" s="3">
        <f>2052.7+(92.4-346.2)+(-4.187508+(-0.188496--0.706248))+0-72.6--0.148103999999997</f>
        <v>1722.7783480000001</v>
      </c>
      <c r="AA308" s="3">
        <f>2059.4+(133.6-394.4)+(-1.050294+(-0.068136--0.201144))+0-81.2--0.0414119999999918</f>
        <v>1716.524126</v>
      </c>
      <c r="AB308" s="3">
        <f>1910.1+(136.1-343.6)+(-3.896604+(-0.277644--0.700944))+0-77.8--0.158711999999997</f>
        <v>1621.4854079999998</v>
      </c>
      <c r="AC308" s="3">
        <f>1670.2+(136-291.3)+(-6.814416+(-0.55488--1.188504))+0-34.3--0.139943999999997</f>
        <v>1474.559152</v>
      </c>
      <c r="AD308">
        <f t="shared" si="4"/>
        <v>35687.498649000001</v>
      </c>
      <c r="AE308" s="3">
        <f>2100+(47-197.3)+(0+(0-0))+0-66.6-0</f>
        <v>1883.1000000000001</v>
      </c>
    </row>
    <row r="309" spans="1:31" s="2" customFormat="1" x14ac:dyDescent="0.25">
      <c r="A309">
        <v>89</v>
      </c>
      <c r="B309">
        <v>11</v>
      </c>
      <c r="C309">
        <v>3</v>
      </c>
      <c r="D309">
        <v>2</v>
      </c>
      <c r="E309">
        <v>1</v>
      </c>
      <c r="F309" s="3">
        <f>1503+(135.9-195.1)+(-2.29959+(-0.207927--0.298503))+0-41.9--0.0641070000000024</f>
        <v>1399.7550929999998</v>
      </c>
      <c r="G309" s="3">
        <f>1321.4+(178-69.4)+(-2.695656+(-0.36312--0.141576))+0-80.5--0.164219999999996</f>
        <v>1346.7470199999998</v>
      </c>
      <c r="H309" s="3">
        <f>1254.9+(167.3-58.2)+(-3.199995+(-0.426615--0.14841))+0-77.8--0.198389999999989</f>
        <v>1282.92019</v>
      </c>
      <c r="I309" s="3">
        <f>1356.5+(189.4-111.1)+(0.691815+(0.096594-0.056661))+0-73.3-0.0373829999999926</f>
        <v>1362.1943649999998</v>
      </c>
      <c r="J309" s="3">
        <f>1516.8+(136.2-282.8)+(1.547136+(0.138924-0.288456))+0-69.3-0.070686000000011</f>
        <v>1302.2269179999998</v>
      </c>
      <c r="K309" s="3">
        <f>1663.6+(135.8-382.9)+(0+(0-0))+0-88.8-0</f>
        <v>1327.7</v>
      </c>
      <c r="L309" s="3">
        <f>1700.1+(136-392.7)+(-3.468204+(-0.27744--0.801108))+0-69.9--0.142595999999997</f>
        <v>1370.6980599999997</v>
      </c>
      <c r="M309" s="3">
        <f>1713.3+(135.4-299.4)+(-1.747566+(-0.138108--0.305388))+0-67.6--0.0689520000000108</f>
        <v>1480.1886660000002</v>
      </c>
      <c r="N309" s="3">
        <f>1719.1+(135.2-253)+(0+(0-0))+0-56.6-0</f>
        <v>1544.7</v>
      </c>
      <c r="O309" s="3">
        <f>1728.9+(147.4-183.6)+(-0.881739+(-0.075174--0.093636))+0-52--0.0265199999999947</f>
        <v>1639.863243</v>
      </c>
      <c r="P309" s="3">
        <f>1766.5+(158.3-181.7)+(-0.900915+(-0.080733--0.092667))+0-79.8--0.0406979999999919</f>
        <v>1662.4517169999999</v>
      </c>
      <c r="Q309" s="3">
        <f>1829.4+(136.9-209.1)+(-1.865988+(-0.139638--0.213282))+0-82.8--0.0844560000000132</f>
        <v>1672.6921120000002</v>
      </c>
      <c r="R309" s="3">
        <f>1872.9+(136.1-286.9)+(-0.955179+(-0.069411--0.146319))+0-67--0.0341699999999932</f>
        <v>1654.255899</v>
      </c>
      <c r="S309" s="3">
        <f>1890.4+(135.7-349)+(-0.964104+(-0.069207--0.17799))+0-81.9--0.0417689999999917</f>
        <v>1594.386448</v>
      </c>
      <c r="T309" s="3">
        <f>1858.1+(135.8-335)+(-4.738155+(-0.34629--0.85425))+0-75.6--0.192779999999989</f>
        <v>1579.2625849999999</v>
      </c>
      <c r="U309" s="3">
        <f>1848.6+(122.6-363.1)+(0.942786+(0.062526-0.185181))+0-53.4-0.0272339999999946</f>
        <v>1555.4928969999999</v>
      </c>
      <c r="V309" s="3">
        <f>1885+(107-325)+(-2.88405+(-0.16371--0.49725))+0-31.4--0.0480420000000018</f>
        <v>1633.0975319999998</v>
      </c>
      <c r="W309" s="3">
        <f>1933.2+(112.3-152.6)+(-1.971864+(-0.114546--0.155652))+0-58.9--0.0600780000000094</f>
        <v>1832.12932</v>
      </c>
      <c r="X309" s="3">
        <f>1978.1+(113.5-168.7)+(-4.035324+(-0.23154--0.344148))+0-82.5--0.168299999999996</f>
        <v>1836.6455839999999</v>
      </c>
      <c r="Y309" s="3">
        <f>1925.7+(120.6-165)+(-3.928428+(-0.246024--0.3366))+0-85.9--0.175235999999996</f>
        <v>1791.7373839999998</v>
      </c>
      <c r="Z309" s="3">
        <f>1896.8+(155.3-191.3)+(-0.967368+(-0.079203--0.097563))+0-78.5--0.040034999999992</f>
        <v>1781.3910269999999</v>
      </c>
      <c r="AA309" s="3">
        <f>1778.5+(151.4-177.8)+(-0.907035+(-0.077214--0.090678))+0-76--0.0387599999999923</f>
        <v>1675.2451889999998</v>
      </c>
      <c r="AB309" s="3">
        <f>1784.5+(136.7-230.2)+(0+(0-0))+0-78.1-0</f>
        <v>1612.9</v>
      </c>
      <c r="AC309" s="3">
        <f>1686.5+(136.3-242.4)+(-4.300575+(-0.347565--0.61812))+0-59.2--0.150959999999991</f>
        <v>1517.3209400000001</v>
      </c>
      <c r="AD309">
        <f t="shared" si="4"/>
        <v>37456.002188999999</v>
      </c>
      <c r="AE309" s="3">
        <f>1991+(83.7-169.9)+(0+(0-0))+0-94.3-0</f>
        <v>1810.5</v>
      </c>
    </row>
    <row r="310" spans="1:31" s="2" customFormat="1" x14ac:dyDescent="0.25">
      <c r="A310">
        <v>89</v>
      </c>
      <c r="B310">
        <v>11</v>
      </c>
      <c r="C310">
        <v>4</v>
      </c>
      <c r="D310">
        <v>3</v>
      </c>
      <c r="E310">
        <v>1</v>
      </c>
      <c r="F310" s="3">
        <f>1537.2+(135.6-176.1)+(-1.567944+(-0.138312--0.179622))+0-74.2--0.0756840000000118</f>
        <v>1421.0490499999999</v>
      </c>
      <c r="G310" s="3">
        <f>1387.3+(174.9-113.6)+(-0.707523+(-0.089199--0.057936))+0-85--0.0433499999999914</f>
        <v>1362.9045639999999</v>
      </c>
      <c r="H310" s="3">
        <f>1307.3+(176.3-89.5)+(-1.333446+(-0.179826--0.09129))+0-75.6--0.077112000000012</f>
        <v>1317.1551299999999</v>
      </c>
      <c r="I310" s="3">
        <f>1267.4+(181.4-70.5)+(1.292748+(0.185028-0.07191))+0-74-0.0754800000000118</f>
        <v>1305.6303860000003</v>
      </c>
      <c r="J310" s="3">
        <f>1339.3+(185.3-99.9)+(1.366086+(0.189006-0.101898))+0-84-0.0856800000000134</f>
        <v>1342.0675140000001</v>
      </c>
      <c r="K310" s="3">
        <f>1467.3+(190.8-153.9)+(2.993292+(0.389232-0.313956))+0-86-0.175439999999996</f>
        <v>1421.093128</v>
      </c>
      <c r="L310" s="3">
        <f>1626.4+(209.4-221.9)+(-2.488392+(-0.320382--0.339507))+0-58.9--0.0901170000000034</f>
        <v>1552.62085</v>
      </c>
      <c r="M310" s="3">
        <f>1619.8+(163.1-214.6)+(-4.13049+(-0.415905--0.54723))+0-23.8--0.0606899999999965</f>
        <v>1540.5615250000001</v>
      </c>
      <c r="N310" s="3">
        <f>1735.4+(161.1-209)+(0+(0-0))+0-20-0</f>
        <v>1667.5</v>
      </c>
      <c r="O310" s="3">
        <f>1681.8+(151.4-206.2)+(0+(0-0))+0-18.5-0</f>
        <v>1608.5</v>
      </c>
      <c r="P310" s="3">
        <f>1764.9+(155.7-252.8)+(-3.600396+(-0.317628--0.515712))+0-13.1--0.0267239999999994</f>
        <v>1651.3244120000004</v>
      </c>
      <c r="Q310" s="3">
        <f>1800.2+(134.8-272)+(-4.59051+(-0.34374--0.6936))+0-13.2--0.0336599999999981</f>
        <v>1645.59301</v>
      </c>
      <c r="R310" s="3">
        <f>1788.3+(137.5-309.9)+(-3.648132+(-0.2805--0.632196))+0-19--0.0387599999999992</f>
        <v>1593.6423239999999</v>
      </c>
      <c r="S310" s="3">
        <f>1736.2+(137.5-243.7)+(-0.885462+(-0.070125--0.124287))+0-59--0.030089999999994</f>
        <v>1570.1987899999999</v>
      </c>
      <c r="T310" s="3">
        <f>1740.4+(137.8-300.2)+(0+(0-0))+0-39.2-0</f>
        <v>1538.8</v>
      </c>
      <c r="U310" s="3">
        <f>1702.7+(134.1-229)+(2.605131+(0.205173-0.35037))+0-83-0.126990000000005</f>
        <v>1527.132944</v>
      </c>
      <c r="V310" s="3">
        <f>1786.4+(110.8-240.3)+(0+(0-0))+0-71.7-0</f>
        <v>1585.2</v>
      </c>
      <c r="W310" s="3">
        <f>1877.6+(126.8-113.9)+(0+(0-0))+0-68-0</f>
        <v>1822.5</v>
      </c>
      <c r="X310" s="3">
        <f>2057.7+(51.6-200.3)+(-3.148281+(-0.078948--0.306459))+0-87.1--0.133263000000005</f>
        <v>1819.1124929999999</v>
      </c>
      <c r="Y310" s="3">
        <f>2082.7+(56-257.7)+(-3.186531+(-0.08568--0.394281))+0-86.8--0.132804000000005</f>
        <v>1791.4548739999998</v>
      </c>
      <c r="Z310" s="3">
        <f>2019+(103.6-316.5)+(-3.08907+(-0.158508--0.484245))+0-81.6--0.124848000000005</f>
        <v>1721.8615149999998</v>
      </c>
      <c r="AA310" s="3">
        <f>1932.4+(137.9-338)+(-0.985524+(-0.070329--0.17238))+0-83.9--0.0427889999999915</f>
        <v>1647.5593160000001</v>
      </c>
      <c r="AB310" s="3">
        <f>1794.7+(136.8-256.5)+(-1.830594+(-0.139536--0.26163))+0-82.4--0.0840480000000131</f>
        <v>1590.9755479999999</v>
      </c>
      <c r="AC310" s="3">
        <f>1606.1+(136.6-190.2)+(0+(0-0))+0-66.9-0</f>
        <v>1485.6</v>
      </c>
      <c r="AD310">
        <f t="shared" si="4"/>
        <v>37530.037372999999</v>
      </c>
      <c r="AE310" s="3">
        <f>2065+(46-226.5)+(0+(0-0))+0-93.9-0</f>
        <v>1790.6</v>
      </c>
    </row>
    <row r="311" spans="1:31" s="2" customFormat="1" x14ac:dyDescent="0.25">
      <c r="A311">
        <v>89</v>
      </c>
      <c r="B311">
        <v>11</v>
      </c>
      <c r="C311">
        <v>5</v>
      </c>
      <c r="D311">
        <v>4</v>
      </c>
      <c r="E311">
        <v>5</v>
      </c>
      <c r="F311" s="3">
        <f>1417.7+(178.7-127)+(-0.723027+(-0.091137--0.06477))+0-53.6--0.0273359999999946</f>
        <v>1415.0779420000003</v>
      </c>
      <c r="G311" s="3">
        <f>1353.2+(180.9-100.4)+(-2.070396+(-0.276777--0.153612))+0-89.7--0.137241000000005</f>
        <v>1341.9436799999999</v>
      </c>
      <c r="H311" s="3">
        <f>1392.8+(136.9-156.1)+(1.420656+(0.139638-0.159222))+0-77.4-0.0789480000000123</f>
        <v>1297.5221239999998</v>
      </c>
      <c r="I311" s="3">
        <f>1450.3+(137.1-196.6)+(-0.739653+(-0.069921--0.100266))+0-93.3--0.0475829999999905</f>
        <v>1296.8382750000001</v>
      </c>
      <c r="J311" s="3">
        <f>1411.1+(137-187)+(-0.719661+(-0.06987--0.09537))+0-61.7--0.0314669999999937</f>
        <v>1298.737306</v>
      </c>
      <c r="K311" s="3">
        <f>1414.5+(136.9-190.2)+(0.721395+(0.069819-0.097002))+0-62.5-0.0318749999999937</f>
        <v>1299.3623370000003</v>
      </c>
      <c r="L311" s="3">
        <f>1380.5+(136-160.5)+(-4.22433+(-0.41616--0.49113))+0-86.4--0.26438400000001</f>
        <v>1265.7150240000001</v>
      </c>
      <c r="M311" s="3">
        <f>1294.3+(156.9-117.5)+(-3.300465+(-0.400095--0.299625))+0-88.5--0.225674999999987</f>
        <v>1242.0247400000001</v>
      </c>
      <c r="N311" s="3">
        <f>1556+(135.7-329.6)+(-1.58712+(-0.138414--0.336192))+0-65.8--0.0671160000000105</f>
        <v>1294.977774</v>
      </c>
      <c r="O311" s="3">
        <f>1621+(134.2-310.2)+(-3.30684+(-0.273768--0.632808))+0-78--0.159119999999997</f>
        <v>1364.2113200000001</v>
      </c>
      <c r="P311" s="3">
        <f>1551.8+(135.1-237.8)+(-2.374254+(-0.206703--0.363834))+0-86.1--0.131733000000005</f>
        <v>1360.91461</v>
      </c>
      <c r="Q311" s="3">
        <f>1596.7+(135.6-237.6)+(-4.071585+(-0.34578--0.60588))+0-82.2--0.209609999999988</f>
        <v>1408.8981249999999</v>
      </c>
      <c r="R311" s="3">
        <f>1573.3+(135.2-282.2)+(-4.814298+(-0.413712--0.863532))+0-77.8--0.238068000000009</f>
        <v>1344.3735900000001</v>
      </c>
      <c r="S311" s="3">
        <f>1618.4+(135.2-313.8)+(-1.650768+(-0.137904--0.320076))+0-82.8--0.0844560000000132</f>
        <v>1355.6158600000003</v>
      </c>
      <c r="T311" s="3">
        <f>1567.5+(135.1-260.3)+(-3.997125+(-0.344505--0.663765))+0-87.1--0.222104999999987</f>
        <v>1351.74424</v>
      </c>
      <c r="U311" s="3">
        <f>1568.8+(134.6-273.6)+(1.600176+(0.137292-0.279072))+0-74.6-0.0760920000000119</f>
        <v>1356.582304</v>
      </c>
      <c r="V311" s="3">
        <f>1740.6+(108.2-392.6)+(1.775412+(0.110364-0.400452))+0-50.3-0.051306000000008</f>
        <v>1407.3340179999998</v>
      </c>
      <c r="W311" s="3">
        <f>1754.4+(84.8-91.9)+(0+(0-0))+0-91.8-0</f>
        <v>1655.5000000000002</v>
      </c>
      <c r="X311" s="3">
        <f>1836.9+(69-141.4)+(-0.936819+(-0.03519--0.072114))+0-85.7--0.0437069999999913</f>
        <v>1677.943812</v>
      </c>
      <c r="Y311" s="3">
        <f>1872.9+(82.8-207.2)+(-3.820716+(-0.168912--0.422688))+0-77.8--0.158711999999997</f>
        <v>1667.291772</v>
      </c>
      <c r="Z311" s="3">
        <f>1886+(111.5-283.3)+(0+(0-0))+0-84-0</f>
        <v>1630.2</v>
      </c>
      <c r="AA311" s="3">
        <f>1883.4+(136.6-392)+(0+(0-0))+0-78-0</f>
        <v>1550</v>
      </c>
      <c r="AB311" s="3">
        <f>1847.2+(137.6-327.5)+(-5.652432+(-0.421056--1.00215))+0-83.4--0.25520400000001</f>
        <v>1569.0838659999999</v>
      </c>
      <c r="AC311" s="3">
        <f>1772.4+(137.9-398.2)+(-1.807848+(-0.140658--0.406164))+0-53.6--0.0546720000000085</f>
        <v>1457.0123300000002</v>
      </c>
      <c r="AD311">
        <f t="shared" si="4"/>
        <v>33908.905049000008</v>
      </c>
      <c r="AE311" s="3">
        <f>1890+(68.9-147.6)+(0+(0-0))+0-92.5-0</f>
        <v>1718.8</v>
      </c>
    </row>
    <row r="312" spans="1:31" s="2" customFormat="1" x14ac:dyDescent="0.25">
      <c r="A312">
        <v>89</v>
      </c>
      <c r="B312">
        <v>11</v>
      </c>
      <c r="C312">
        <v>6</v>
      </c>
      <c r="D312">
        <v>5</v>
      </c>
      <c r="E312">
        <v>1</v>
      </c>
      <c r="F312" s="3">
        <f>1602+(137.6-274.6)+(-2.45106+(-0.210528--0.420138))+0-87--0.133110000000005</f>
        <v>1375.89166</v>
      </c>
      <c r="G312" s="3">
        <f>1411.1+(138.1-125.6)+(-0.719661+(-0.070431--0.064056))+0-89.9--0.0458489999999909</f>
        <v>1333.0198129999999</v>
      </c>
      <c r="H312" s="3">
        <f>1369.7+(135.3-128.3)+(0.698547+(0.069003-0.065433))+0-78.1-0.0398309999999921</f>
        <v>1299.2622860000001</v>
      </c>
      <c r="I312" s="3">
        <f>1370.3+(134.9-170)+(0+(0-0))+0-73.8-0</f>
        <v>1261.4000000000001</v>
      </c>
      <c r="J312" s="3">
        <f>1402.7+(135-187.1)+(2.861508+(0.2754-0.381684))+0-71.5-0.145859999999997</f>
        <v>1281.7093640000001</v>
      </c>
      <c r="K312" s="3">
        <f>1406.3+(135.5-163)+(0.717213+(0.069105-0.08313))+0-72.4-0.0369239999999927</f>
        <v>1307.0662639999998</v>
      </c>
      <c r="L312" s="3">
        <f>1398.2+(169.4-131.8)+(-1.426164+(-0.172788--0.134436))+0-78--0.0795600000000124</f>
        <v>1356.4150439999999</v>
      </c>
      <c r="M312" s="3">
        <f>1454.8+(156.9-147.8)+(1.483896+(0.160038-0.150756))+0-51.1-0.0521220000000081</f>
        <v>1414.2410559999998</v>
      </c>
      <c r="N312" s="3">
        <f>1760.3+(134.4-268.4)+(-0.897753+(-0.068544--0.136884))+0-77.1--0.0393209999999922</f>
        <v>1548.4099080000001</v>
      </c>
      <c r="O312" s="3">
        <f>1941+(133.6-390.1)+(-1.97982+(-0.136272--0.397902))+0-73.8--0.0752760000000118</f>
        <v>1609.057086</v>
      </c>
      <c r="P312" s="3">
        <f>2079.6+(134-467)+(2.121192+(0.13668-0.47634))+0-79.1-0.0806820000000126</f>
        <v>1669.2008499999999</v>
      </c>
      <c r="Q312" s="3">
        <f>2062.7+(135-473.8)+(1.051977+(0.06885-0.241638))+0-32.1-0.0163709999999967</f>
        <v>1692.662818</v>
      </c>
      <c r="R312" s="3">
        <f>1989.4+(134.6-414.5)+(-5.07297+(-0.34323--1.056975))+0-71.9--0.18334499999999</f>
        <v>1633.4241199999999</v>
      </c>
      <c r="S312" s="3">
        <f>2007.8+(135.2-528.1)+(0+(0-0))+0-49.9-0</f>
        <v>1564.9999999999998</v>
      </c>
      <c r="T312" s="3">
        <f>2007.5+(135.4-483.7)+(0+(0-0))+0-64.2-0</f>
        <v>1595</v>
      </c>
      <c r="U312" s="3">
        <f>1999+(130-524.2)+(-1.01949+(-0.0663--0.267342))+0-67.1--0.0342209999999932</f>
        <v>1536.9157729999999</v>
      </c>
      <c r="V312" s="3">
        <f>2004.5+(113.1-420.8)+(-4.08918+(-0.230724--0.858432))+0-70.7--0.144227999999997</f>
        <v>1622.7827559999998</v>
      </c>
      <c r="W312" s="3">
        <f>2118.4+(96.4-234)+(-4.321536+(-0.196656--0.47736))+0-86.6--0.176663999999996</f>
        <v>1890.3358320000004</v>
      </c>
      <c r="X312" s="3">
        <f>2286+(79.3-424.1)+(1.16586+(0.040443-0.216291))+0-84.5-0.0430949999999914</f>
        <v>1857.646917</v>
      </c>
      <c r="Y312" s="3">
        <f>2311+(88.8-508.6)+(1.17861+(0.045288-0.259386))+0-72.8-0.0371279999999926</f>
        <v>1819.3273840000002</v>
      </c>
      <c r="Z312" s="3">
        <f>2213.6+(121.5-453.3)+(-5.64468+(-0.309825--1.155915))+0-72--0.18359999999999</f>
        <v>1805.1850099999999</v>
      </c>
      <c r="AA312" s="3">
        <f>2138.8+(135.1-482.4)+(0+(0-0))+0-75.5-0</f>
        <v>1716.0000000000002</v>
      </c>
      <c r="AB312" s="3">
        <f>1964.2+(135.3-387)+(-5.00871+(-0.345015--0.98685))+0-79.3--0.202214999999988</f>
        <v>1629.0353400000001</v>
      </c>
      <c r="AC312" s="3">
        <f>1578.3+(178.4-123.1)+(-4.829598+(-0.545904--0.376686))+0-92.4--0.282744000000011</f>
        <v>1536.4839279999999</v>
      </c>
      <c r="AD312">
        <f t="shared" si="4"/>
        <v>37355.473209000011</v>
      </c>
      <c r="AE312" s="3">
        <f>2324+(73.8-389.7)+(0+(0-0))+0-94.6-0</f>
        <v>1913.5</v>
      </c>
    </row>
    <row r="313" spans="1:31" s="2" customFormat="1" x14ac:dyDescent="0.25">
      <c r="A313">
        <v>89</v>
      </c>
      <c r="B313">
        <v>11</v>
      </c>
      <c r="C313">
        <v>7</v>
      </c>
      <c r="D313">
        <v>6</v>
      </c>
      <c r="E313">
        <v>1</v>
      </c>
      <c r="F313" s="3">
        <f>1505+(144.5-153.6)+(-2.30265+(-0.221085--0.235008))+0-51.7--0.079101000000003</f>
        <v>1441.990374</v>
      </c>
      <c r="G313" s="3">
        <f>1504+(135.7-216.1)+(3.06816+(0.276828-0.440844))+0-56.3-0.114851999999998</f>
        <v>1370.0892920000001</v>
      </c>
      <c r="H313" s="3">
        <f>1494.1+(135.4-207.9)+(2.285973+(0.207162-0.318087))+0-84.4-0.129132000000005</f>
        <v>1339.2459159999999</v>
      </c>
      <c r="I313" s="3">
        <f>1489.8+(135.1-230.2)+(0.759798+(0.068901-0.117402))+0-67.6-0.0344759999999931</f>
        <v>1327.7768210000002</v>
      </c>
      <c r="J313" s="3">
        <f>1518.4+(134.8-262.1)+(0+(0-0))+0-67.4-0</f>
        <v>1323.7</v>
      </c>
      <c r="K313" s="3">
        <f>1633.6+(134.9-325.3)+(0+(0-0))+0-77.9-0</f>
        <v>1365.2999999999997</v>
      </c>
      <c r="L313" s="3">
        <f>1647.5+(134.5-351.8)+(1.68045+(0.13719-0.358836))+0-83.4-0.0850680000000133</f>
        <v>1348.173736</v>
      </c>
      <c r="M313" s="3">
        <f>1725.2+(135.1-334.5)+(-0.879852+(-0.068901--0.170595))+0-42.4--0.0216239999999957</f>
        <v>1482.6434659999998</v>
      </c>
      <c r="N313" s="3">
        <f>1763.5+(135.7-236.7)+(-1.79877+(-0.138414--0.241434))+0-79.6--0.0811920000000127</f>
        <v>1581.2854420000001</v>
      </c>
      <c r="O313" s="3">
        <f>1815.7+(143.8-194.5)+(-3.704028+(-0.293352--0.39678))+0-74.2--0.151367999999997</f>
        <v>1687.350768</v>
      </c>
      <c r="P313" s="3">
        <f>1815.6+(142.7-209.4)+(-0.925956+(-0.072777--0.106794))+0-65.6--0.0334559999999933</f>
        <v>1682.4415169999997</v>
      </c>
      <c r="Q313" s="3">
        <f>1924.2+(173-240.5)+(0+(0-0))+0-79.6-0</f>
        <v>1777.1000000000001</v>
      </c>
      <c r="R313" s="3">
        <f>1905.9+(133.6-332.8)+(-3.888036+(-0.272544--0.678912))+0-57.2--0.116687999999998</f>
        <v>1646.1350200000002</v>
      </c>
      <c r="S313" s="3">
        <f>1889+(134.7-353.4)+(-6.74373+(-0.480879--1.261638))+0-72--0.257040000000001</f>
        <v>1592.594069</v>
      </c>
      <c r="T313" s="3">
        <f>1891+(134.4-400.6)+(-4.82205+(-0.34272--1.02153))+0-64.4--0.164219999999991</f>
        <v>1556.4209799999996</v>
      </c>
      <c r="U313" s="3">
        <f>1904+(133-389.9)+(-1.94208+(-0.13566--0.397698))+0-90.7--0.0925140000000145</f>
        <v>1554.8124719999998</v>
      </c>
      <c r="V313" s="3">
        <f>1892.5+(122.2-291.5)+(-3.8607+(-0.249288--0.59466))+0-73.1--0.149123999999997</f>
        <v>1646.7337960000002</v>
      </c>
      <c r="W313" s="3">
        <f>2130.7+(110.2-354.8)+(1.086657+(0.056202-0.180948))+0-62.5-0.0318749999999937</f>
        <v>1824.5300360000001</v>
      </c>
      <c r="X313" s="3">
        <f>2244.4+(115.5-485.5)+(-5.72322+(-0.294525--1.238025))+0-76--0.193799999999989</f>
        <v>1793.8140800000001</v>
      </c>
      <c r="Y313" s="3">
        <f>2208.7+(121-443.7)+(-3.379311+(-0.18513--0.678861))+0-87.8--0.134334000000005</f>
        <v>1795.448754</v>
      </c>
      <c r="Z313" s="3">
        <f>2171.4+(132.3-481)+(-1.107414+(-0.067473--0.24531))+0-74.3--0.0378929999999925</f>
        <v>1747.5083159999999</v>
      </c>
      <c r="AA313" s="3">
        <f>2094.9+(137-446.7)+(-2.136798+(-0.13974--0.455634))+0-68.3--0.0696660000000109</f>
        <v>1715.1487620000003</v>
      </c>
      <c r="AB313" s="3">
        <f>1907+(137.5-333)+(-3.89028+(-0.2805--0.67932))+0-77.1--0.157283999999997</f>
        <v>1631.065824</v>
      </c>
      <c r="AC313" s="3">
        <f>1631.4+(145.9-163.8)+(0+(0-0))+0-86.5-0</f>
        <v>1527</v>
      </c>
      <c r="AD313">
        <f t="shared" si="4"/>
        <v>37758.309440999998</v>
      </c>
      <c r="AE313" s="3">
        <f>2256+(112.8-471.6)+(0+(0-0))+0-88.9-0</f>
        <v>1808.3</v>
      </c>
    </row>
    <row r="314" spans="1:31" s="2" customFormat="1" x14ac:dyDescent="0.25">
      <c r="A314">
        <v>89</v>
      </c>
      <c r="B314">
        <v>11</v>
      </c>
      <c r="C314">
        <v>8</v>
      </c>
      <c r="D314">
        <v>7</v>
      </c>
      <c r="E314">
        <v>1</v>
      </c>
      <c r="F314" s="3">
        <f>1459.9+(162.4-131.6)+(-3.722745+(-0.41412--0.33558))+0-66.6--0.16982999999999</f>
        <v>1420.4685450000002</v>
      </c>
      <c r="G314" s="3">
        <f>1418.5+(174-132.3)+(-2.170305+(-0.26622--0.202419))+0-51.5--0.078795000000003</f>
        <v>1406.5446889999998</v>
      </c>
      <c r="H314" s="3">
        <f>1410.6+(137-145.6)+(-0.719406+(-0.06987--0.074256))+0-77.7--0.0396269999999921</f>
        <v>1323.6246069999997</v>
      </c>
      <c r="I314" s="3">
        <f>1372.4+(136.6-161.6)+(-0.699924+(-0.069666--0.082416))+0-81.9--0.0417689999999917</f>
        <v>1264.854595</v>
      </c>
      <c r="J314" s="3">
        <f>1477.6+(136.8-238.3)+(0.753576+(0.069768-0.121533))+0-61.6-0.0314159999999938</f>
        <v>1315.1703949999999</v>
      </c>
      <c r="K314" s="3">
        <f>1580.6+(137-284.8)+(-2.418318+(-0.20961--0.435744))+0-72.3--0.110619000000004</f>
        <v>1358.418435</v>
      </c>
      <c r="L314" s="3">
        <f>1605.1+(137.6-381.5)+(-1.637202+(-0.140352--0.38913))+0-85.8--0.0875160000000137</f>
        <v>1274.0990919999999</v>
      </c>
      <c r="M314" s="3">
        <f>1400.2+(136.6-181.7)+(0+(0-0))+0-75.9-0</f>
        <v>1279.2</v>
      </c>
      <c r="N314" s="3">
        <f>1520.7+(135.7-259.4)+(-1.551114+(-0.138414--0.264588))+0-67.8--0.0691560000000108</f>
        <v>1327.844216</v>
      </c>
      <c r="O314" s="3">
        <f>1594.3+(134.2-291.3)+(2.439279+(0.205326-0.445689))+0-47.8-0.0731340000000028</f>
        <v>1391.5257819999999</v>
      </c>
      <c r="P314" s="3">
        <f>1698.1+(133.7-310.2)+(-2.598093+(-0.204561--0.474606))+0-79.1--0.121023000000005</f>
        <v>1440.2929749999998</v>
      </c>
      <c r="Q314" s="3">
        <f>1721.2+(135.4-345.5)+(-1.755624+(-0.138108--0.35241))+0-64.1--0.0653820000000102</f>
        <v>1445.5240600000002</v>
      </c>
      <c r="R314" s="3">
        <f>1633.3+(135.3-292.2)+(-7.496847+(-0.621027--1.341198))+0-63.9--0.293301000000011</f>
        <v>1406.016625</v>
      </c>
      <c r="S314" s="3">
        <f>1648.6+(135.1-340.7)+(0+(0-0))+0-67.6-0</f>
        <v>1375.4</v>
      </c>
      <c r="T314" s="3">
        <f>1565.9+(136.1-217.2)+(-0.798609+(-0.069411--0.110772))+0-65.4--0.0333539999999934</f>
        <v>1418.6761060000001</v>
      </c>
      <c r="U314" s="3">
        <f>1533.8+(127.1-240.2)+(-0.782238+(-0.064821--0.122502))+0-64.8--0.0330479999999934</f>
        <v>1355.2084910000001</v>
      </c>
      <c r="V314" s="3">
        <f>1653.3+(120.2-250.8)+(-2.529549+(-0.183906--0.383724))+0-75.1--0.114903000000004</f>
        <v>1445.3851719999998</v>
      </c>
      <c r="W314" s="3">
        <f>1800.5+(120.7-188.6)+(-3.67302+(-0.246228--0.384744))+0-70.1--0.143003999999997</f>
        <v>1659.1085</v>
      </c>
      <c r="X314" s="3">
        <f>1859.3+(124.1-205.7)+(-3.792972+(-0.253164--0.419628))+0-72.6--0.148103999999997</f>
        <v>1701.6215960000002</v>
      </c>
      <c r="Y314" s="3">
        <f>1798.3+(149.6-168.1)+(-2.751399+(-0.228888--0.257193))+0-80.8--0.123624000000005</f>
        <v>1696.4005300000001</v>
      </c>
      <c r="Z314" s="3">
        <f>1790.9+(146.7-185.7)+(-1.826718+(-0.149634--0.189414))+0-68.1--0.0694620000000108</f>
        <v>1682.0825240000001</v>
      </c>
      <c r="AA314" s="3">
        <f>1795.7+(136.4-274.6)+(-0.915807+(-0.069564--0.140046))+0-70--0.0356999999999929</f>
        <v>1586.6903749999999</v>
      </c>
      <c r="AB314" s="3">
        <f>1788.9+(137.2-277.3)+(-1.824678+(-0.139944--0.282846))+0-68--0.0693600000000108</f>
        <v>1579.1875840000002</v>
      </c>
      <c r="AC314" s="3">
        <f>1722.7+(137.1-332.5)+(-6.150039+(-0.489447--1.187025))+0-42.4--0.151368000000001</f>
        <v>1479.5989069999998</v>
      </c>
      <c r="AD314">
        <f t="shared" si="4"/>
        <v>34632.943801000001</v>
      </c>
      <c r="AE314" s="3">
        <f>1900+(149.5-208)+(0+(0-0))+0-92.8-0</f>
        <v>1748.7</v>
      </c>
    </row>
    <row r="315" spans="1:31" s="2" customFormat="1" x14ac:dyDescent="0.25">
      <c r="A315">
        <v>89</v>
      </c>
      <c r="B315">
        <v>11</v>
      </c>
      <c r="C315">
        <v>9</v>
      </c>
      <c r="D315">
        <v>1</v>
      </c>
      <c r="E315">
        <v>1</v>
      </c>
      <c r="F315" s="3">
        <f>1577.7+(137.2-234.9)+(0+(0-0))+0-79.7-0</f>
        <v>1400.3</v>
      </c>
      <c r="G315" s="3">
        <f>1445.1+(136.7-201.3)+(-5.159007+(-0.488019--0.718641))+0-60.8--0.217056000000001</f>
        <v>1314.9886710000001</v>
      </c>
      <c r="H315" s="3">
        <f>1498+(136.1-253.3)+(-0.76398+(-0.069411--0.129183))+0-63.4--0.0323339999999936</f>
        <v>1316.7281259999997</v>
      </c>
      <c r="I315" s="3">
        <f>1475.5+(136.6-220.2)+(-2.257515+(-0.208998--0.336906))+0-83.4--0.127602000000005</f>
        <v>1306.4979949999999</v>
      </c>
      <c r="J315" s="3">
        <f>1418.2+(132.8-170.2)+(0+(0-0))+0-81.5-0</f>
        <v>1299.3000000000002</v>
      </c>
      <c r="K315" s="3">
        <f>1484.7+(100.1-184.7)+(0+(0-0))+0-70.2-0</f>
        <v>1329.9</v>
      </c>
      <c r="L315" s="3">
        <f>1715+(92.9-344.8)+(0+(0-0))+0-71.2-0</f>
        <v>1391.8999999999999</v>
      </c>
      <c r="M315" s="3">
        <f>1967.9+(129.1-370.9)+(-5.018145+(-0.329205--0.945795))+0-62.6--0.159629999999991</f>
        <v>1659.2580750000002</v>
      </c>
      <c r="N315" s="3">
        <f>1943.6+(134.9-406.9)+(0.991236+(0.068799-0.207519))+0-83.5-0.0425849999999915</f>
        <v>1588.9099309999999</v>
      </c>
      <c r="O315" s="3">
        <f>2110+(133.3-536.3)+(-1.0761+(-0.067983--0.273513))+0-52--0.0265199999999947</f>
        <v>1654.1559499999998</v>
      </c>
      <c r="P315" s="3">
        <f>2123.2+(132.3-498.8)+(-2.165664+(-0.134946--0.508776))+0-60.5--0.0617100000000096</f>
        <v>1694.4698759999997</v>
      </c>
      <c r="Q315" s="3">
        <f>2116.5+(131.5-499.2)+(-5.397075+(-0.335325--1.27296))+0-45.6--0.116279999999993</f>
        <v>1698.8568399999999</v>
      </c>
      <c r="R315" s="3">
        <f>2063.1+(131.8-441.8)+(0+(0-0))+0-54.8-0</f>
        <v>1698.3</v>
      </c>
      <c r="S315" s="3">
        <f>2036+(131.6-426.2)+(-4.15344+(-0.268464--0.869448))+0-56.7--0.115667999999998</f>
        <v>1681.2632120000001</v>
      </c>
      <c r="T315" s="3">
        <f>1951.7+(135.4-382)+(2.986101+(0.207162-0.58446))+0-69.3-0.106029000000004</f>
        <v>1638.3027740000002</v>
      </c>
      <c r="U315" s="3">
        <f>1887.3+(126.3-345.5)+(-2.887569+(-0.193239--0.528615))+0-80.9--0.123777000000005</f>
        <v>1584.7715839999998</v>
      </c>
      <c r="V315" s="3">
        <f>2047.8+(98.7-491.4)+(3.133134+(0.151011-0.751842))+0-51.1-0.078183000000003</f>
        <v>1606.4541199999999</v>
      </c>
      <c r="W315" s="3">
        <f>2251.1+(82.4-276.5)+(-3.444183+(-0.126072--0.423045))+0-24.9--0.0380970000000014</f>
        <v>2028.9908869999999</v>
      </c>
      <c r="X315" s="3">
        <f>2304.5+(83.6-417)+(-7.05177+(-0.255816--1.27602))+0-92.3--0.282438000000011</f>
        <v>1873.0508719999998</v>
      </c>
      <c r="Y315" s="3">
        <f>2315.4+(97.1-494.1)+(-8.265978+(-0.346647--1.763937))+0-39.7--0.141729000000001</f>
        <v>1871.9930409999999</v>
      </c>
      <c r="Z315" s="3">
        <f>2272.3+(130.5-435.4)+(1.158873+(0.066555-0.222054))+0-94.8-0.0483479999999904</f>
        <v>1873.555026</v>
      </c>
      <c r="AA315" s="3">
        <f>2090.7+(136-388.7)+(-1.066257+(-0.06936--0.198237))+0-76.4--0.0389639999999923</f>
        <v>1760.7015839999997</v>
      </c>
      <c r="AB315" s="3">
        <f>1905+(137.1-249.9)+(-0.97155+(-0.069921--0.127449))+0-78.6--0.040085999999992</f>
        <v>1712.7260640000002</v>
      </c>
      <c r="AC315" s="3">
        <f>1688.8+(136.5-193.3)+(-0.861288+(-0.069615--0.098583))+0-77.5--0.0395249999999921</f>
        <v>1553.7072049999999</v>
      </c>
      <c r="AD315">
        <f t="shared" si="4"/>
        <v>38539.081833000004</v>
      </c>
      <c r="AE315" s="3">
        <f>2325+(74.2-393.2)+(0+(0-0))+0-86.4-0</f>
        <v>1919.6</v>
      </c>
    </row>
    <row r="316" spans="1:31" s="2" customFormat="1" x14ac:dyDescent="0.25">
      <c r="A316">
        <v>89</v>
      </c>
      <c r="B316">
        <v>11</v>
      </c>
      <c r="C316">
        <v>10</v>
      </c>
      <c r="D316">
        <v>2</v>
      </c>
      <c r="E316">
        <v>1</v>
      </c>
      <c r="F316" s="3">
        <f>1608.3+(136.4-220.1)+(0.820233+(0.069564-0.112251))+0-85.8-0.0437579999999913</f>
        <v>1439.533788</v>
      </c>
      <c r="G316" s="3">
        <f>1583.4+(136.4-226.9)+(0+(0-0))+0-47.8-0</f>
        <v>1445.1000000000001</v>
      </c>
      <c r="H316" s="3">
        <f>1460.6+(136.7-126.3)+(-2.234718+(-0.209151--0.193239))+0-94.6--0.144738000000005</f>
        <v>1374.2941080000001</v>
      </c>
      <c r="I316" s="3">
        <f>1413+(136.4-128.7)+(-3.60315+(-0.34782--0.328185))+0-34.4--0.087719999999995</f>
        <v>1382.7649349999999</v>
      </c>
      <c r="J316" s="3">
        <f>1406.5+(155.1-107.3)+(1.43463+(0.158202-0.109446))+0-73.4-0.0748680000000117</f>
        <v>1382.308518</v>
      </c>
      <c r="K316" s="3">
        <f>1497.2+(136.2-195.1)+(-3.054288+(-0.277848--0.398004))+0-50.6--0.103223999999998</f>
        <v>1384.8690919999999</v>
      </c>
      <c r="L316" s="3">
        <f>1624.9+(136.4-230.4)+(3.314796+(0.278256-0.470016))+0-99.8-0.203591999999996</f>
        <v>1434.019444</v>
      </c>
      <c r="M316" s="3">
        <f>1773.7+(136.2-312.3)+(0.904587+(0.069462-0.159273))+0-79.8-0.0406979999999919</f>
        <v>1518.5740779999999</v>
      </c>
      <c r="N316" s="3">
        <f>1965.2+(136.1-413.3)+(-5.01126+(-0.347055--1.053915))+0-49.8--0.126989999999993</f>
        <v>1634.02259</v>
      </c>
      <c r="O316" s="3">
        <f>2085.3+(135.4-487.7)+(1.063503+(0.069054-0.248727))+0-34.2-0.0174419999999965</f>
        <v>1699.6663880000001</v>
      </c>
      <c r="P316" s="3">
        <f>2024+(135-317)+(-2.06448+(-0.1377--0.32334))+0-94.6--0.0964920000000151</f>
        <v>1745.6176520000001</v>
      </c>
      <c r="Q316" s="3">
        <f>2094.7+(134.9-399.5)+(0+(0-0))+0-80.6-0</f>
        <v>1749.5</v>
      </c>
      <c r="R316" s="3">
        <f>2090.9+(134.7-446.2)+(-3.199077+(-0.206091--0.682686))+0-49.4--0.0755820000000029</f>
        <v>1727.3531</v>
      </c>
      <c r="S316" s="3">
        <f>2096+(134.2-453.5)+(-2.13792+(-0.136884--0.46257))+0-89.3--0.0910860000000142</f>
        <v>1685.678852</v>
      </c>
      <c r="T316" s="3">
        <f>2093.1+(135.4-483)+(-2.134962+(-0.138108--0.49266))+0-75.3--0.076806000000012</f>
        <v>1668.496396</v>
      </c>
      <c r="U316" s="3">
        <f>2035.5+(122.7-435.1)+(1.038105+(0.062577-0.221901))+0-82.3-0.0419729999999916</f>
        <v>1641.6368079999997</v>
      </c>
      <c r="V316" s="3">
        <f>2036.4+(104.5-337.7)+(-2.077128+(-0.10659--0.344454))+0-84.3--0.0859860000000134</f>
        <v>1717.1467220000002</v>
      </c>
      <c r="W316" s="3">
        <f>2165.7+(101.8-308.4)+(0+(0-0))+0-40-0</f>
        <v>1919.1</v>
      </c>
      <c r="X316" s="3">
        <f>2102.3+(98.4-183.1)+(-2.144346+(-0.100368--0.186762))+0-102.6--0.104652000000016</f>
        <v>1913.0467000000003</v>
      </c>
      <c r="Y316" s="3">
        <f>2080.7+(113.8-243.3)+(-3.183471+(-0.174114--0.372249))+0-71.9--0.110007000000004</f>
        <v>1876.4246709999998</v>
      </c>
      <c r="Z316" s="3">
        <f>2037.2+(136-261.9)+(-4.155888+(-0.27744--0.534276))+0-75.6--0.154223999999997</f>
        <v>1831.9551720000002</v>
      </c>
      <c r="AA316" s="3">
        <f>2148+(136.3-494.7)+(-1.09548+(-0.069513--0.252297))+0-56.2--0.0286619999999943</f>
        <v>1732.5159659999997</v>
      </c>
      <c r="AB316" s="3">
        <f>1977+(136.8-371.1)+(-4.03308+(-0.279072--0.757044))+0-52.1--0.106283999999998</f>
        <v>1687.1511760000001</v>
      </c>
      <c r="AC316" s="3">
        <f>1649.4+(137.3-177.3)+(-1.682388+(-0.140046--0.180846))+0-52.9--0.0539580000000084</f>
        <v>1554.91237</v>
      </c>
      <c r="AD316">
        <f t="shared" si="4"/>
        <v>39145.688525999991</v>
      </c>
      <c r="AE316" s="3">
        <f>2170+(93-201.4)+(0+(0-0))+0-114.4-0</f>
        <v>1947.1999999999998</v>
      </c>
    </row>
    <row r="317" spans="1:31" s="2" customFormat="1" x14ac:dyDescent="0.25">
      <c r="A317">
        <v>89</v>
      </c>
      <c r="B317">
        <v>11</v>
      </c>
      <c r="C317">
        <v>11</v>
      </c>
      <c r="D317">
        <v>3</v>
      </c>
      <c r="E317">
        <v>1</v>
      </c>
      <c r="F317" s="3">
        <f>1599.4+(137.8-189.5)+(-4.07847+(-0.35139--0.483225))+0-80.7--0.205784999999988</f>
        <v>1463.2591499999999</v>
      </c>
      <c r="G317" s="3">
        <f>1564.8+(137.7-237.2)+(-3.192192+(-0.280908--0.483888))+0-48.4--0.0987359999999979</f>
        <v>1414.0095239999998</v>
      </c>
      <c r="H317" s="3">
        <f>1570.1+(137.7-287.6)+(-3.203004+(-0.280908--0.586704))+0-30.3--0.0618119999999987</f>
        <v>1387.0646039999997</v>
      </c>
      <c r="I317" s="3">
        <f>1541.9+(137.9-287.2)+(-3.931845+(-0.351645--0.73236))+0-26.8--0.0683399999999961</f>
        <v>1362.3172100000002</v>
      </c>
      <c r="J317" s="3">
        <f>1587.7+(137.6-318.3)+(3.238908+(0.280704-0.649332))+0-28.8-0.0587519999999987</f>
        <v>1381.0115280000002</v>
      </c>
      <c r="K317" s="3">
        <f>1633.5+(137.2-317.9)+(4.165425+(0.34986-0.810645))+0-71.6-0.18257999999999</f>
        <v>1384.7220600000001</v>
      </c>
      <c r="L317" s="3">
        <f>1883.1+(136.8-517)+(2.881143+(0.209304-0.79101))+0-70.2-0.107406000000004</f>
        <v>1434.8920309999996</v>
      </c>
      <c r="M317" s="3">
        <f>1968.8+(136.6-489.2)+(3.012264+(0.208998-0.748476))+0-99.9-0.152847000000006</f>
        <v>1518.6199389999997</v>
      </c>
      <c r="N317" s="3">
        <f>2016.2+(136.1-499.3)+(2.056524+(0.138822-0.509286))+0-44-0.044880000000007</f>
        <v>1610.6411800000001</v>
      </c>
      <c r="O317" s="3">
        <f>2019.5+(135.6-376.4)+(-4.11978+(-0.276624--0.767856))+0-92.8--0.189311999999996</f>
        <v>1682.4607640000002</v>
      </c>
      <c r="P317" s="3">
        <f>2198.6+(135.5-584.3)+(3.363858+(0.207315-0.893979))+0-51.1-0.078183000000003</f>
        <v>1701.2990110000001</v>
      </c>
      <c r="Q317" s="3">
        <f>2197.4+(136.4-580.9)+(-3.362022+(-0.208692--0.888777))+0-53--0.0810900000000031</f>
        <v>1697.2991529999999</v>
      </c>
      <c r="R317" s="3">
        <f>2116+(136.5-541.5)+(-7.55412+(-0.487305--1.933155))+0-77.8--0.277746000000001</f>
        <v>1627.3694760000001</v>
      </c>
      <c r="S317" s="3">
        <f>1918.8+(135.5-346.9)+(-0.978588+(-0.069105--0.176919))+0-76.9--0.0392189999999922</f>
        <v>1629.668445</v>
      </c>
      <c r="T317" s="3">
        <f>1890.9+(135.7-380.4)+(-2.893077+(-0.207621--0.582012))+0-72.1--0.110313000000004</f>
        <v>1571.6916270000002</v>
      </c>
      <c r="U317" s="3">
        <f>1906.1+(132.1-346.1)+(-2.916333+(-0.202113--0.529533))+0-77.1--0.117963000000004</f>
        <v>1612.5290499999999</v>
      </c>
      <c r="V317" s="3">
        <f>1935.3+(118.2-285.9)+(-5.922018+(-0.361692--0.874854))+0-52.5--0.160650000000006</f>
        <v>1709.8517939999999</v>
      </c>
      <c r="W317" s="3">
        <f>1926.2+(146.2-129.2)+(-6.876534+(-0.521934--0.461244))+0-75--0.267750000000001</f>
        <v>1861.530526</v>
      </c>
      <c r="X317" s="3">
        <f>2214.9+(86.1-368.3)+(-6.777594+(-0.263466--1.126998))+0-72.3--0.221238000000008</f>
        <v>1854.7071760000001</v>
      </c>
      <c r="Y317" s="3">
        <f>2151+(101-345.9)+(2.19402+(0.10302-0.352818))+0-73.1-0.0745620000000116</f>
        <v>1834.8696600000001</v>
      </c>
      <c r="Z317" s="3">
        <f>1998.8+(133.3-264.8)+(-2.038776+(-0.135966--0.270096))+0-81.6--0.083232000000013</f>
        <v>1783.878586</v>
      </c>
      <c r="AA317" s="3">
        <f>1922.2+(137-244.4)+(-3.921288+(-0.27948--0.498576))+0-90.2--0.184007999999996</f>
        <v>1721.0818159999999</v>
      </c>
      <c r="AB317" s="3">
        <f>1907.5+(136.8-298)+(-5.83695+(-0.418608--0.91188))+0-83.1--0.25428600000001</f>
        <v>1658.1106080000002</v>
      </c>
      <c r="AC317" s="3">
        <f>1641.3+(148.2-144.2)+(-6.696504+(-0.604656--0.588336))+0-83.5--0.340679999999993</f>
        <v>1555.427856</v>
      </c>
      <c r="AD317">
        <f t="shared" si="4"/>
        <v>38458.312773999998</v>
      </c>
      <c r="AE317" s="3">
        <f>2258+(85-393.8)+(0+(0-0))+0-101.5-0</f>
        <v>1847.7</v>
      </c>
    </row>
    <row r="318" spans="1:31" s="2" customFormat="1" x14ac:dyDescent="0.25">
      <c r="A318">
        <v>89</v>
      </c>
      <c r="B318">
        <v>11</v>
      </c>
      <c r="C318">
        <v>12</v>
      </c>
      <c r="D318">
        <v>4</v>
      </c>
      <c r="E318">
        <v>1</v>
      </c>
      <c r="F318" s="3">
        <f>1460.7+(175.2-112.8)+(-1.489914+(-0.178704--0.115056))+0-59.1--0.0602820000000094</f>
        <v>1462.5067200000001</v>
      </c>
      <c r="G318" s="3">
        <f>1437.9+(160.2-102)+(-4.399974+(-0.490212--0.31212))+0-97.2--0.297432000000011</f>
        <v>1394.6193660000001</v>
      </c>
      <c r="H318" s="3">
        <f>1280.6+(204.6-64.7)+(-1.959318+(-0.313038--0.098991))+0-54.7--0.0836910000000032</f>
        <v>1363.7103259999999</v>
      </c>
      <c r="I318" s="3">
        <f>1255.9+(244.9-47.1)+(0+(0-0))+0-77.1-0</f>
        <v>1376.6000000000001</v>
      </c>
      <c r="J318" s="3">
        <f>1307.9+(210-64.5)+(-3.335145+(-0.5355--0.164475))+0-85--0.216749999999988</f>
        <v>1364.9105800000002</v>
      </c>
      <c r="K318" s="3">
        <f>1470.4+(153.1-135.1)+(-2.999616+(-0.312324--0.275604))+0-98--0.199919999999996</f>
        <v>1387.5635840000002</v>
      </c>
      <c r="L318" s="3">
        <f>1534.7+(135.5-174.5)+(-3.913485+(-0.345525--0.444975))+0-81.1--0.206804999999988</f>
        <v>1410.9927700000001</v>
      </c>
      <c r="M318" s="3">
        <f>1628.9+(136.4-219.4)+(2.492217+(0.208692-0.335682))+0-41-0.0627300000000024</f>
        <v>1507.202497</v>
      </c>
      <c r="N318" s="3">
        <f>1710.9+(136.1-235.3)+(-0.872559+(-0.069411--0.120003))+0-19.1--0.00974099999999806</f>
        <v>1591.7877740000001</v>
      </c>
      <c r="O318" s="3">
        <f>1698.3+(157.1-170.3)+(0.866133+(0.080121-0.086853))+0-17.9-0.00912899999999818</f>
        <v>1668.0502719999997</v>
      </c>
      <c r="P318" s="3">
        <f>1818.1+(136.6-241.1)+(-2.781693+(-0.208998--0.368883))+0-18.4--0.0281520000000011</f>
        <v>1692.6063439999998</v>
      </c>
      <c r="Q318" s="3">
        <f>1925.3+(137.5-325.4)+(-3.927612+(-0.2805--0.663816))+0-18.4--0.0375359999999992</f>
        <v>1715.49324</v>
      </c>
      <c r="R318" s="3">
        <f>1787.3+(136.9-213.3)+(-2.734569+(-0.209457--0.326349))+0-19.8--0.0302940000000011</f>
        <v>1688.5126169999999</v>
      </c>
      <c r="S318" s="3">
        <f>1733.4+(146.7-189.9)+(-0.884034+(-0.074817--0.096849))+0-27.8--0.0141779999999972</f>
        <v>1661.5521759999999</v>
      </c>
      <c r="T318" s="3">
        <f>1735.2+(137.4-201.7)+(0.884952+(0.070074-0.102867))+0-72.3-0.0368729999999927</f>
        <v>1599.4152860000002</v>
      </c>
      <c r="U318" s="3">
        <f>1690.4+(147.7-166.7)+(-2.586312+(-0.225981--0.255051))+0-59.8--0.0914940000000034</f>
        <v>1609.1342520000001</v>
      </c>
      <c r="V318" s="3">
        <f>1784.5+(130.3-218.5)+(0+(0-0))+0-37-0</f>
        <v>1659.3</v>
      </c>
      <c r="W318" s="3">
        <f>1982+(122.1-209.4)+(-2.02164+(-0.124542--0.213588))+0-96.9--0.0988380000000155</f>
        <v>1795.966244</v>
      </c>
      <c r="X318" s="3">
        <f>2120.5+(112-378.1)+(-6.48873+(-0.34272--1.156986))+0-90.7--0.277542000000011</f>
        <v>1758.3030780000001</v>
      </c>
      <c r="Y318" s="3">
        <f>2122+(121-463)+(-3.24666+(-0.18513--0.70839))+0-69.2--0.105876000000004</f>
        <v>1708.182476</v>
      </c>
      <c r="Z318" s="3">
        <f>2084.6+(136.1-467.2)+(-2.126292+(-0.138822--0.476544))+0-87.3--0.0890460000000139</f>
        <v>1664.5004760000002</v>
      </c>
      <c r="AA318" s="3">
        <f>2010.1+(136.8-469.8)+(-2.050302+(-0.139536--0.479196))+0-84.9--0.0865980000000135</f>
        <v>1590.5759559999999</v>
      </c>
      <c r="AB318" s="3">
        <f>1867.8+(137.1-379.8)+(-2.857734+(-0.209763--0.581094))+0-92.2--0.141066000000005</f>
        <v>1530.5546629999997</v>
      </c>
      <c r="AC318" s="3">
        <f>1722.2+(136.7-298.5)+(-1.756644+(-0.139434--0.30447))+0-92.5--0.0943500000000148</f>
        <v>1466.4027420000002</v>
      </c>
      <c r="AD318">
        <f t="shared" si="4"/>
        <v>37668.443439000002</v>
      </c>
      <c r="AE318" s="3">
        <f>2144+(115.1-401.2)+(0+(0-0))+0-97.9-0</f>
        <v>1760</v>
      </c>
    </row>
    <row r="319" spans="1:31" s="2" customFormat="1" x14ac:dyDescent="0.25">
      <c r="A319">
        <v>89</v>
      </c>
      <c r="B319">
        <v>11</v>
      </c>
      <c r="C319">
        <v>13</v>
      </c>
      <c r="D319">
        <v>5</v>
      </c>
      <c r="E319">
        <v>5</v>
      </c>
      <c r="F319" s="3">
        <f>1600.4+(136.6-325)+(-2.448612+(-0.208998--0.49725))+0-64.3--0.0983790000000037</f>
        <v>1345.638019</v>
      </c>
      <c r="G319" s="3">
        <f>1621.4+(137.2-418.2)+(0.826914+(0.069972-0.213282))+0-71.6-0.0365159999999927</f>
        <v>1269.4470880000003</v>
      </c>
      <c r="H319" s="3">
        <f>1540.3+(137.1-284.8)+(-1.571106+(-0.139842--0.290496))+0-78.2--0.0797640000000125</f>
        <v>1313.0593119999999</v>
      </c>
      <c r="I319" s="3">
        <f>1459.1+(137.4-287.7)+(1.488282+(0.140148-0.293454))+0-69.3-0.070686000000011</f>
        <v>1240.7642900000001</v>
      </c>
      <c r="J319" s="3">
        <f>1456.2+(137-315.7)+(1.485324+(0.13974-0.322014))+0-61.5-0.0627300000000098</f>
        <v>1217.2403199999999</v>
      </c>
      <c r="K319" s="3">
        <f>1460.7+(137.3-247)+(2.234871+(0.210069-0.37791))+0-92.4-0.141372000000005</f>
        <v>1260.5256579999998</v>
      </c>
      <c r="L319" s="3">
        <f>1451.3+(137.2-333.1)+(0+(0-0))+0-86.5-0</f>
        <v>1168.8999999999999</v>
      </c>
      <c r="M319" s="3">
        <f>1395.8+(137.1-343.5)+(-3.55929+(-0.349605--0.875925))+0-41.5--0.105824999999994</f>
        <v>1144.972855</v>
      </c>
      <c r="N319" s="3">
        <f>1372.3+(137.8-246.5)+(-0.699873+(-0.070278--0.125715))+0-92.9--0.0473789999999906</f>
        <v>1170.1029429999999</v>
      </c>
      <c r="O319" s="3">
        <f>1395.2+(137.7-253.4)+(2.134656+(0.210681-0.387702))+0-66.8-0.102204000000004</f>
        <v>1214.555431</v>
      </c>
      <c r="P319" s="3">
        <f>1373.6+(136.8-185.9)+(-4.203216+(-0.418608--0.568854))+0-79.8--0.244188000000009</f>
        <v>1240.8912180000002</v>
      </c>
      <c r="Q319" s="3">
        <f>1351.1+(135.9-149.4)+(-2.067183+(-0.207927--0.228582))+0-82.3--0.125919000000005</f>
        <v>1253.3793909999999</v>
      </c>
      <c r="R319" s="3">
        <f>1348.4+(135.6-214.8)+(0+(0-0))+0-85.2-0</f>
        <v>1184</v>
      </c>
      <c r="S319" s="3">
        <f>1362.4+(135.8-208.9)+(-1.389648+(-0.138516--0.213078))+0-93.7--0.0955740000000149</f>
        <v>1194.380488</v>
      </c>
      <c r="T319" s="3">
        <f>1358.6+(135.8-190.3)+(-2.078658+(-0.207774--0.291159))+0-92--0.140760000000005</f>
        <v>1210.2454869999999</v>
      </c>
      <c r="U319" s="3">
        <f>1354.5+(134.9-192.4)+(-2.76318+(-0.275196--0.392496))+0-91.9--0.187475999999996</f>
        <v>1202.6415959999999</v>
      </c>
      <c r="V319" s="3">
        <f>1367+(125.9-201.6)+(0+(0-0))+0-88-0</f>
        <v>1203.3</v>
      </c>
      <c r="W319" s="3">
        <f>1640.7+(124-283.1)+(0+(0-0))+0-71.3-0</f>
        <v>1410.3</v>
      </c>
      <c r="X319" s="3">
        <f>1760+(115.9-260.9)+(-3.5904+(-0.236436--0.532236))+0-88.2--0.179927999999996</f>
        <v>1523.685328</v>
      </c>
      <c r="Y319" s="3">
        <f>1670.7+(128.2-277.3)+(-1.704114+(-0.130764--0.282846))+0-90.8--0.0926160000000145</f>
        <v>1429.3405839999998</v>
      </c>
      <c r="Z319" s="3">
        <f>1631.6+(136.5-173.1)+(0+(0-0))+0-89.1-0</f>
        <v>1505.9</v>
      </c>
      <c r="AA319" s="3">
        <f>1613.9+(136.7-222.2)+(0.823089+(0.069717-0.113322))+0-90.7-0.0462569999999908</f>
        <v>1438.433227</v>
      </c>
      <c r="AB319" s="3">
        <f>1593.6+(137.4-152.1)+(-0.812736+(-0.070074--0.077571))+0-79.9--0.0407489999999919</f>
        <v>1498.2355099999997</v>
      </c>
      <c r="AC319" s="3">
        <f>1431.8+(137.4-126.9)+(-4.381308+(-0.420444--0.388314))+0-45.4--0.138924000000005</f>
        <v>1392.6254859999999</v>
      </c>
      <c r="AD319">
        <f t="shared" si="4"/>
        <v>31032.564231000004</v>
      </c>
      <c r="AE319" s="3">
        <f>1810+(127.3-267.6)+(0+(0-0))+0-102.6-0</f>
        <v>1567.1000000000001</v>
      </c>
    </row>
    <row r="320" spans="1:31" s="2" customFormat="1" x14ac:dyDescent="0.25">
      <c r="A320">
        <v>89</v>
      </c>
      <c r="B320">
        <v>11</v>
      </c>
      <c r="C320">
        <v>14</v>
      </c>
      <c r="D320">
        <v>6</v>
      </c>
      <c r="E320">
        <v>6</v>
      </c>
      <c r="F320" s="3">
        <f>1360+(137.3-133.2)+(-0.6936+(-0.070023--0.067932))+0-98.2--0.05008199999999</f>
        <v>1265.2543909999999</v>
      </c>
      <c r="G320" s="3">
        <f>1372.7+(137.1-132.9)+(0+(0-0))+0-88.6-0</f>
        <v>1288.3000000000002</v>
      </c>
      <c r="H320" s="3">
        <f>1319.3+(137.7-149.9)+(-4.037058+(-0.421362--0.458694))+0-90.5--0.27693000000001</f>
        <v>1212.8772039999999</v>
      </c>
      <c r="I320" s="3">
        <f>1280.5+(137.8-117.6)+(2.61222+(0.281112-0.239904))+0-91.2-0.186047999999996</f>
        <v>1211.96738</v>
      </c>
      <c r="J320" s="3">
        <f>1271.7+(138.2-120.7)+(0.648567+(0.070482-0.061557))+0-80.2-0.0409019999999919</f>
        <v>1209.6165900000001</v>
      </c>
      <c r="K320" s="3">
        <f>1306.7+(137.4-131.3)+(2.665668+(0.280296-0.267852))+0-61.4-0.125255999999997</f>
        <v>1253.9528559999999</v>
      </c>
      <c r="L320" s="3">
        <f>1314.1+(137-145.2)+(0.670191+(0.06987-0.074052))+0-85.4-0.0435539999999913</f>
        <v>1221.1224549999997</v>
      </c>
      <c r="M320" s="3">
        <f>1291.5+(136.5-98.4)+(-0.658665+(-0.069615--0.050184))+0-55.6--0.0283559999999944</f>
        <v>1273.3502599999999</v>
      </c>
      <c r="N320" s="3">
        <f>1369.2+(149.2-73.5)+(-0.698292+(-0.076092--0.037485))+0-74.8--0.0381479999999924</f>
        <v>1369.4012490000002</v>
      </c>
      <c r="O320" s="3">
        <f>1563.3+(136.3-176)+(1.594566+(0.139026-0.17952))+0-63.1-0.0643620000000101</f>
        <v>1461.9897099999998</v>
      </c>
      <c r="P320" s="3">
        <f>1570.7+(135-104.3)+(-0.801057+(-0.06885--0.053193))+0-62.1--0.0316709999999937</f>
        <v>1538.5149570000001</v>
      </c>
      <c r="Q320" s="3">
        <f>1570.3+(135.5-114.1)+(0+(0-0))+0-40.6-0</f>
        <v>1551.1000000000001</v>
      </c>
      <c r="R320" s="3">
        <f>1554.5+(136-98.7)+(-2.378385+(-0.20808--0.151011))+0-79.7--0.121941000000005</f>
        <v>1509.7864870000001</v>
      </c>
      <c r="S320" s="3">
        <f>1526.1+(136.7-172.7)+(-3.891555+(-0.348585--0.440385))+0-28--0.0713999999999959</f>
        <v>1458.3716449999999</v>
      </c>
      <c r="T320" s="3">
        <f>1535.8+(136.4-252.7)+(-2.349774+(-0.208692--0.386631))+0-24.1--0.0368730000000014</f>
        <v>1393.265038</v>
      </c>
      <c r="U320" s="3">
        <f>1411.3+(134.8-122.9)+(-6.477867+(-0.618732--0.564111))+0-23.9--0.109701000000004</f>
        <v>1392.877213</v>
      </c>
      <c r="V320" s="3">
        <f>1420.1+(127.9-111.2)+(-1.448502+(-0.130458--0.113424))+0-27.8--0.0283560000000044</f>
        <v>1407.5628200000001</v>
      </c>
      <c r="W320" s="3">
        <f>1532.8+(168-80.3)+(0.781728+(0.08568-0.040953))+0-44.4-0.0226439999999955</f>
        <v>1576.9038109999999</v>
      </c>
      <c r="X320" s="3">
        <f>1563+(138.7-60.5)+(-2.39139+(-0.212211--0.092565))+0-92.8--0.141984000000005</f>
        <v>1546.0309480000001</v>
      </c>
      <c r="Y320" s="3">
        <f>1560+(213-63)+(-3.978+(-0.54315--0.16065))+0-99.8--0.254489999999986</f>
        <v>1606.0939900000001</v>
      </c>
      <c r="Z320" s="3">
        <f>1571.2+(134.7-131.7)+(-2.403936+(-0.206091--0.201501))+0-92.1--0.140913000000005</f>
        <v>1479.8323870000002</v>
      </c>
      <c r="AA320" s="3">
        <f>1569.8+(136-50.4)+(-2.401794+(-0.20808--0.077112))+0-90.7--0.138771000000005</f>
        <v>1562.3060089999997</v>
      </c>
      <c r="AB320" s="3">
        <f>1577.2+(135.9-42.4)+(-0.804372+(-0.069309--0.021624))+0-84.9--0.0432989999999914</f>
        <v>1584.9912419999998</v>
      </c>
      <c r="AC320" s="3">
        <f>1519.9+(135.7-36.9)+(-1.550298+(-0.138414--0.037638))+0-83.2--0.0848640000000133</f>
        <v>1533.9337899999998</v>
      </c>
      <c r="AD320">
        <f t="shared" si="4"/>
        <v>33909.402431999995</v>
      </c>
      <c r="AE320" s="3">
        <f>1568+(146-77.8)+(0+(0-0))+0-91.4-0</f>
        <v>1544.8</v>
      </c>
    </row>
    <row r="321" spans="1:31" s="2" customFormat="1" x14ac:dyDescent="0.25">
      <c r="A321">
        <v>89</v>
      </c>
      <c r="B321">
        <v>11</v>
      </c>
      <c r="C321">
        <v>15</v>
      </c>
      <c r="D321">
        <v>7</v>
      </c>
      <c r="E321">
        <v>5</v>
      </c>
      <c r="F321" s="3">
        <f>1341.2+(136-91.4)+(-0.684012+(-0.06936--0.046614))+0-87.4--0.0445739999999911</f>
        <v>1297.7378159999998</v>
      </c>
      <c r="G321" s="3">
        <f>1304.9+(135.9-170.1)+(-0.665499+(-0.069309--0.086751))+0-92.7--0.0472769999999906</f>
        <v>1177.3992199999998</v>
      </c>
      <c r="H321" s="3">
        <f>1294.3+(136.1-156.6)+(-2.640372+(-0.277644--0.319464))+0-90.9--0.185435999999996</f>
        <v>1180.4868839999999</v>
      </c>
      <c r="I321" s="3">
        <f>1289.2+(136.5-163.8)+(-2.629968+(-0.27846--0.334152))+0-76.8--0.156671999999997</f>
        <v>1182.6823960000002</v>
      </c>
      <c r="J321" s="3">
        <f>1295.7+(136.9-254.5)+(0+(0-0))+0-66.1-0</f>
        <v>1112.0000000000002</v>
      </c>
      <c r="K321" s="3">
        <f>1323+(135.9-273.8)+(3.37365+(0.346545-0.69819))+0-87-0.221849999999987</f>
        <v>1100.900155</v>
      </c>
      <c r="L321" s="3">
        <f>1294.3+(135.3-274)+(-1.320186+(-0.138006--0.27948))+0-63.9--0.0651780000000102</f>
        <v>1090.586466</v>
      </c>
      <c r="M321" s="3">
        <f>1235.9+(135.5-275.1)+(-0.630309+(-0.069105--0.140301))+0-66.7--0.0340169999999932</f>
        <v>1029.0749040000001</v>
      </c>
      <c r="N321" s="3">
        <f>1374.5+(135.7-345.5)+(-0.700995+(-0.069207--0.176205))+0-85.7--0.0437069999999913</f>
        <v>1078.4497100000001</v>
      </c>
      <c r="O321" s="3">
        <f>1455.3+(135.5-303.3)+(-1.484406+(-0.13821--0.309366))+0-96.3--0.0982260000000154</f>
        <v>1189.9849760000002</v>
      </c>
      <c r="P321" s="3">
        <f>1412+(134.6-272)+(-5.04084+(-0.480522--0.97104))+0-79.8--0.284886000000001</f>
        <v>1190.5345639999998</v>
      </c>
      <c r="Q321" s="3">
        <f>1354.6+(133.8-206.6)+(0+(0-0))+0-87.4-0</f>
        <v>1194.3999999999999</v>
      </c>
      <c r="R321" s="3">
        <f>1339.9+(134.4-206.6)+(0+(0-0))+0-88.5-0</f>
        <v>1179.2</v>
      </c>
      <c r="S321" s="3">
        <f>1331.4+(136-194.3)+(-0.679014+(-0.06936--0.099093))+0-88.2--0.0449819999999911</f>
        <v>1184.295701</v>
      </c>
      <c r="T321" s="3">
        <f>1328.2+(136.3-259.1)+(-1.354764+(-0.139026--0.264282))+0-82.4--0.0840480000000131</f>
        <v>1121.85454</v>
      </c>
      <c r="U321" s="3">
        <f>1334.8+(137.1-170.7)+(-1.361496+(-0.139842--0.174114))+0-66.3--0.0676260000000106</f>
        <v>1233.6404020000002</v>
      </c>
      <c r="V321" s="3">
        <f>1351.4+(138.9-189.1)+(-0.689214+(-0.070839--0.096441))+0-79.8--0.0406979999999919</f>
        <v>1220.7770860000001</v>
      </c>
      <c r="W321" s="3">
        <f>1497.1+(137.1-102.3)+(-1.527042+(-0.139842--0.104346))+0-80.5--0.0821100000000128</f>
        <v>1449.919572</v>
      </c>
      <c r="X321" s="3">
        <f>1619.9+(137-148.4)+(-1.652298+(-0.13974--0.151368))+0-93.4--0.0952680000000149</f>
        <v>1513.5545979999999</v>
      </c>
      <c r="Y321" s="3">
        <f>1623+(137.3-143.2)+(-0.82773+(-0.070023--0.073032))+0-72.9--0.0371789999999926</f>
        <v>1543.4124579999998</v>
      </c>
      <c r="Z321" s="3">
        <f>1633.2+(137.2-170.2)+(-2.498796+(-0.209916--0.260406))+0-83.9--0.128367000000005</f>
        <v>1513.980061</v>
      </c>
      <c r="AA321" s="3">
        <f>1643.7+(137.7-225.9)+(0+(0-0))+0-81.2-0</f>
        <v>1474.3</v>
      </c>
      <c r="AB321" s="3">
        <f>1567.5+(137.9-184.6)+(-3.997125+(-0.351645--0.47073))+0-80.8--0.206039999999988</f>
        <v>1436.328</v>
      </c>
      <c r="AC321" s="3">
        <f>1476.6+(136.6-222.6)+(-3.76533+(-0.34833--0.56763))+0-37.2--0.0948599999999946</f>
        <v>1349.9488299999998</v>
      </c>
      <c r="AD321">
        <f t="shared" ref="AD321:AD365" si="5">SUM(F321:AC321)</f>
        <v>30045.448338999999</v>
      </c>
      <c r="AE321" s="3">
        <f>1656+(137.4-146.1)+(0+(0-0))+0-81-0</f>
        <v>1566.3</v>
      </c>
    </row>
    <row r="322" spans="1:31" s="2" customFormat="1" x14ac:dyDescent="0.25">
      <c r="A322">
        <v>89</v>
      </c>
      <c r="B322">
        <v>11</v>
      </c>
      <c r="C322">
        <v>16</v>
      </c>
      <c r="D322">
        <v>1</v>
      </c>
      <c r="E322">
        <v>1</v>
      </c>
      <c r="F322" s="3">
        <f>1408.7+(136.3-223.3)+(-0.718437+(-0.069513--0.113883))+0-74.3--0.0378929999999925</f>
        <v>1246.7638260000001</v>
      </c>
      <c r="G322" s="3">
        <f>1379.5+(136.1-236.7)+(2.110635+(0.208233-0.362151))+0-88.4-0.135252000000005</f>
        <v>1192.321465</v>
      </c>
      <c r="H322" s="3">
        <f>1308.4+(136.2-172.6)+(-2.669136+(-0.277848--0.352104))+0-90--0.183599999999996</f>
        <v>1179.58872</v>
      </c>
      <c r="I322" s="3">
        <f>1314.9+(136.3-219.1)+(-2.011797+(-0.208539--0.335223))+0-81--0.123930000000005</f>
        <v>1149.3388170000001</v>
      </c>
      <c r="J322" s="3">
        <f>1316.7+(136.6-205.5)+(-2.014551+(-0.208998--0.314415))+0-101.5--0.155295000000006</f>
        <v>1144.546161</v>
      </c>
      <c r="K322" s="3">
        <f>1381.4+(136.7-229.9)+(0+(0-0))+0-89.4-0</f>
        <v>1198.8</v>
      </c>
      <c r="L322" s="3">
        <f>1486.6+(136.2-346.5)+(0.758166+(0.069462-0.176715))+0-84.1-0.0428909999999915</f>
        <v>1192.8080219999999</v>
      </c>
      <c r="M322" s="3">
        <f>1454.1+(135.7-256.1)+(-0.741591+(-0.069207--0.130611))+0-57.1--0.0291209999999942</f>
        <v>1275.948934</v>
      </c>
      <c r="N322" s="3">
        <f>1567.9+(135.7-214.8)+(1.599258+(0.138414-0.219096))+0-76.3-0.0778260000000122</f>
        <v>1413.9407500000002</v>
      </c>
      <c r="O322" s="3">
        <f>1665.3+(136.3-243)+(1.698606+(0.139026-0.24786))+0-71.7-0.0731340000000114</f>
        <v>1488.4166379999999</v>
      </c>
      <c r="P322" s="3">
        <f>1777.5+(137.4-306)+(3.6261+(0.280296-0.62424))+0-76-0.155039999999997</f>
        <v>1536.027116</v>
      </c>
      <c r="Q322" s="3">
        <f>1764.3+(137.5-214)+(-4.498965+(-0.350625--0.5457))+0-80.1--0.204254999999988</f>
        <v>1603.600365</v>
      </c>
      <c r="R322" s="3">
        <f>1705.9+(137.5-243.3)+(-2.610027+(-0.210375--0.372249))+0-67.6--0.103428000000004</f>
        <v>1530.1552750000001</v>
      </c>
      <c r="S322" s="3">
        <f>1645.3+(137.2-189.3)+(-3.356412+(-0.279888--0.386172))+0-67.3--0.137291999999997</f>
        <v>1522.7871639999998</v>
      </c>
      <c r="T322" s="3">
        <f>1636+(136-223.3)+(-1.66872+(-0.13872--0.227766))+0-46.4--0.0473280000000074</f>
        <v>1500.767654</v>
      </c>
      <c r="U322" s="3">
        <f>1666.2+(135.9-317.7)+(2.549286+(0.207927-0.486081))+0-29.1-0.0445230000000017</f>
        <v>1457.5266090000002</v>
      </c>
      <c r="V322" s="3">
        <f>1722.3+(127.1-257.6)+(-2.635119+(-0.194463--0.394128))+0-51.2--0.078336000000003</f>
        <v>1538.242882</v>
      </c>
      <c r="W322" s="3">
        <f>1833.3+(97.5-134.6)+(0+(0-0))+0-84.4-0</f>
        <v>1711.8</v>
      </c>
      <c r="X322" s="3">
        <f>1862.2+(106.3-116.3)+(-2.849166+(-0.162639--0.177939))+0-66.4--0.101592000000004</f>
        <v>1783.067726</v>
      </c>
      <c r="Y322" s="3">
        <f>1859.7+(102.6-160.5)+(-0.948447+(-0.052326--0.081855))+0-80.3--0.0409529999999919</f>
        <v>1720.6220349999999</v>
      </c>
      <c r="Z322" s="3">
        <f>1858+(127.4-217.2)+(-3.79032+(-0.259896--0.443088))+0-73.3--0.149531999999997</f>
        <v>1691.4424039999999</v>
      </c>
      <c r="AA322" s="3">
        <f>1860.7+(136.8-301.1)+(-0.948957+(-0.069768--0.153561))+0-72.9--0.0371789999999926</f>
        <v>1622.6720149999999</v>
      </c>
      <c r="AB322" s="3">
        <f>1823.5+(136.2-351.3)+(-4.649925+(-0.34731--0.895815))+0-82.9--0.211394999999988</f>
        <v>1521.6099750000001</v>
      </c>
      <c r="AC322" s="3">
        <f>1724.1+(136.5-351.9)+(-3.517164+(-0.27846--0.717876))+0-81.1--0.165443999999996</f>
        <v>1424.687696</v>
      </c>
      <c r="AD322">
        <f t="shared" si="5"/>
        <v>34647.482249000001</v>
      </c>
      <c r="AE322" s="3">
        <f>1880+(131.8-94.7)+(0+(0-0))+0-96.4-0</f>
        <v>1820.6999999999998</v>
      </c>
    </row>
    <row r="323" spans="1:31" s="2" customFormat="1" x14ac:dyDescent="0.25">
      <c r="A323">
        <v>89</v>
      </c>
      <c r="B323">
        <v>11</v>
      </c>
      <c r="C323">
        <v>17</v>
      </c>
      <c r="D323">
        <v>2</v>
      </c>
      <c r="E323">
        <v>1</v>
      </c>
      <c r="F323" s="3">
        <f>1638.7+(136.8-374.9)+(-1.671474+(-0.139536--0.382398))+0-72.8--0.0742560000000116</f>
        <v>1326.4456440000004</v>
      </c>
      <c r="G323" s="3">
        <f>1468.1+(136.8-240.8)+(-1.497462+(-0.139536--0.245616))+0-82.1--0.0837420000000131</f>
        <v>1280.69236</v>
      </c>
      <c r="H323" s="3">
        <f>1381+(136.5-194.4)+(-0.70431+(-0.069615--0.099144))+0-86.4--0.0440639999999912</f>
        <v>1236.0692829999998</v>
      </c>
      <c r="I323" s="3">
        <f>1255.3+(136.5-126.6)+(3.201015+(0.348075-0.32283))+0-76.6-0.195329999999989</f>
        <v>1191.63093</v>
      </c>
      <c r="J323" s="3">
        <f>1312.2+(153.4-128.3)+(-2.007666+(-0.234702--0.196299))+0-82.7--0.126531000000005</f>
        <v>1252.680462</v>
      </c>
      <c r="K323" s="3">
        <f>1332.7+(136.7-158)+(0+(0-0))+0-76.6-0</f>
        <v>1234.8000000000002</v>
      </c>
      <c r="L323" s="3">
        <f>1466+(136.4-272.1)+(-1.49532+(-0.139128--0.277542))+0-74.9--0.0763980000000119</f>
        <v>1254.1194919999998</v>
      </c>
      <c r="M323" s="3">
        <f>1517+(136.1-282.4)+(-1.54734+(-0.138822--0.288048))+0-50.1--0.051102000000008</f>
        <v>1319.252988</v>
      </c>
      <c r="N323" s="3">
        <f>1590.2+(136.2-263)+(-0.811002+(-0.069462--0.13413))+0-52.6--0.0268259999999947</f>
        <v>1410.0804920000003</v>
      </c>
      <c r="O323" s="3">
        <f>1712.6+(135.8-306.4)+(0.873426+(0.069258-0.156264))+0-70.1-0.0357509999999929</f>
        <v>1472.6506690000001</v>
      </c>
      <c r="P323" s="3">
        <f>1840.7+(135.6-344)+(-3.755028+(-0.276624--0.70176))+0-77.9--0.158915999999997</f>
        <v>1551.229024</v>
      </c>
      <c r="Q323" s="3">
        <f>1882.7+(133.9-373.7)+(-3.840708+(-0.273156--0.762348))+0-95.2--0.194207999999996</f>
        <v>1544.542692</v>
      </c>
      <c r="R323" s="3">
        <f>1892.8+(133.8-421.6)+(-3.861312+(-0.272952--0.860064))+0-75.5--0.154019999999997</f>
        <v>1526.3798199999999</v>
      </c>
      <c r="S323" s="3">
        <f>1898.7+(134.5-478.5)+(-2.905011+(-0.205785--0.732105))+0-72.7--0.111231000000004</f>
        <v>1479.7325400000002</v>
      </c>
      <c r="T323" s="3">
        <f>1905.8+(135.5-507.4)+(-1.943916+(-0.13821--0.517548))+0-72.2--0.0736440000000115</f>
        <v>1460.2090660000001</v>
      </c>
      <c r="U323" s="3">
        <f>1835.7+(136.5-430.7)+(-5.617242+(-0.41769--1.317942))+0-93.5--0.286110000000011</f>
        <v>1443.5691200000001</v>
      </c>
      <c r="V323" s="3">
        <f>1768.4+(114.4-315.1)+(0+(0-0))+0-86.3-0</f>
        <v>1481.4</v>
      </c>
      <c r="W323" s="3">
        <f>1809.7+(112.1-130.5)+(-2.768841+(-0.171513--0.199665))+0-90.3--0.138159000000005</f>
        <v>1698.3974700000001</v>
      </c>
      <c r="X323" s="3">
        <f>1935.5+(31.7-145.3)+(0+(0-0))+0-79.8-0</f>
        <v>1742.1000000000001</v>
      </c>
      <c r="Y323" s="3">
        <f>1896.8+(55.4-158)+(-6.771576+(-0.197778--0.56406))+0-97.8--0.349146000000001</f>
        <v>1690.3438520000002</v>
      </c>
      <c r="Z323" s="3">
        <f>1923.3+(117.3-307.7)+(-0.980883+(-0.059823--0.156927))+0-75.9--0.0387089999999923</f>
        <v>1656.1549299999999</v>
      </c>
      <c r="AA323" s="3">
        <f>1924.1+(136.5-393.7)+(-4.906455+(-0.348075--1.003935))+0-84.6--0.215729999999988</f>
        <v>1578.2651349999999</v>
      </c>
      <c r="AB323" s="3">
        <f>1807.6+(136.2-365.1)+(-1.843752+(-0.138924--0.372402))+0-69--0.070380000000011</f>
        <v>1508.160106</v>
      </c>
      <c r="AC323" s="3">
        <f>1719.8+(136.1-333.8)+(-3.508392+(-0.277644--0.680952))+0-96.3--0.196451999999996</f>
        <v>1422.8913679999998</v>
      </c>
      <c r="AD323">
        <f t="shared" si="5"/>
        <v>34761.797443000003</v>
      </c>
      <c r="AE323" s="3">
        <f>1963+(28.1-131)+(0+(0-0))+0-104-0</f>
        <v>1756.1</v>
      </c>
    </row>
    <row r="324" spans="1:31" s="2" customFormat="1" x14ac:dyDescent="0.25">
      <c r="A324">
        <v>89</v>
      </c>
      <c r="B324">
        <v>11</v>
      </c>
      <c r="C324">
        <v>18</v>
      </c>
      <c r="D324">
        <v>3</v>
      </c>
      <c r="E324">
        <v>1</v>
      </c>
      <c r="F324" s="3">
        <f>1541.8+(136.1-284.7)+(-3.145272+(-0.277644--0.580788))+0-89.9--0.183395999999996</f>
        <v>1300.6412679999999</v>
      </c>
      <c r="G324" s="3">
        <f>1550.5+(136.3-324.3)+(-0.790755+(-0.069513--0.165393))+0-89.7--0.0457469999999909</f>
        <v>1272.1508719999999</v>
      </c>
      <c r="H324" s="3">
        <f>1481.6+(136.1-272.4)+(0.755616+(0.069411-0.138924))+0-89.7-0.0457469999999909</f>
        <v>1256.240356</v>
      </c>
      <c r="I324" s="3">
        <f>1408.4+(136-236)+(-3.59142+(-0.3468--0.6018))+0-87.8--0.223889999999987</f>
        <v>1217.48747</v>
      </c>
      <c r="J324" s="3">
        <f>1368.9+(136-223)+(-1.396278+(-0.13872--0.22746))+0-78.3--0.0798660000000125</f>
        <v>1202.3723280000002</v>
      </c>
      <c r="K324" s="3">
        <f>1445.2+(136-222.6)+(-0.737052+(-0.06936--0.113526))+0-77.9--0.0397289999999921</f>
        <v>1280.0468430000001</v>
      </c>
      <c r="L324" s="3">
        <f>1429.1+(135.6-244.9)+(-4.373046+(-0.414936--0.749394))+0-86--0.26316000000001</f>
        <v>1230.024572</v>
      </c>
      <c r="M324" s="3">
        <f>1546.6+(110.9-261.4)+(0+(0-0))+0-67.1-0</f>
        <v>1329</v>
      </c>
      <c r="N324" s="3">
        <f>1833.2+(121.3-450.5)+(2.804796+(0.185589-0.689265))+0-87.2-0.133416000000005</f>
        <v>1418.9677040000001</v>
      </c>
      <c r="O324" s="3">
        <f>1885.6+(120.2-445.2)+(0+(0-0))+0-60.4-0</f>
        <v>1500.1999999999998</v>
      </c>
      <c r="P324" s="3">
        <f>1860.7+(122.6-358.5)+(0+(0-0))+0-80.8-0</f>
        <v>1544</v>
      </c>
      <c r="Q324" s="3">
        <f>1919.1+(114.2-410.5)+(0+(0-0))+0-94.9-0</f>
        <v>1527.8999999999999</v>
      </c>
      <c r="R324" s="3">
        <f>1860.3+(110.7-353.3)+(-4.743765+(-0.282285--0.900915))+0-72.9--0.185894999999989</f>
        <v>1540.8607599999998</v>
      </c>
      <c r="S324" s="3">
        <f>1830.4+(111-413.5)+(-1.867008+(-0.11322--0.42177))+0-78.5--0.0800700000000125</f>
        <v>1447.9216120000001</v>
      </c>
      <c r="T324" s="3">
        <f>1884.6+(96.2-427.9)+(-0.961146+(-0.049062--0.218229))+0-81.7--0.0416669999999917</f>
        <v>1470.4496879999997</v>
      </c>
      <c r="U324" s="3">
        <f>1824.4+(113.7-411.3)+(-1.860888+(-0.115974--0.419526))+0-80--0.0816000000000128</f>
        <v>1445.3242640000001</v>
      </c>
      <c r="V324" s="3">
        <f>1860.1+(109.6-319.1)+(0.948651+(0.055896-0.162741))+0-82.5-0.0420749999999916</f>
        <v>1568.8997309999997</v>
      </c>
      <c r="W324" s="3">
        <f>1930.3+(48.5-181.9)+(-0.984453+(-0.024735--0.092769))+0-88.5--0.045134999999991</f>
        <v>1707.528716</v>
      </c>
      <c r="X324" s="3">
        <f>2166.5+(31.7-408.4)+(-4.41966+(-0.064668--0.833136))+0-77.9--0.158915999999997</f>
        <v>1708.4077239999999</v>
      </c>
      <c r="Y324" s="3">
        <f>2246.8+(52.6-452.7)+(-4.583472+(-0.107304--0.923508))+0-87.9--0.179315999999996</f>
        <v>1755.2120480000001</v>
      </c>
      <c r="Z324" s="3">
        <f>2183.1+(91.5-482.6)+(-3.340143+(-0.139995--0.738378))+0-89.5--0.136935000000005</f>
        <v>1699.8951749999999</v>
      </c>
      <c r="AA324" s="3">
        <f>2056+(135.9-431.6)+(-5.2428+(-0.346545--1.10058))+0-91.3--0.232814999999987</f>
        <v>1664.74405</v>
      </c>
      <c r="AB324" s="3">
        <f>1946.6+(136.7-455.1)+(-3.971064+(-0.278868--0.928404))+0-91.6--0.186863999999996</f>
        <v>1533.465336</v>
      </c>
      <c r="AC324" s="3">
        <f>1828.7+(135.8-433.1)+(-8.393733+(-0.623322--1.987929))+0-44--0.201960000000008</f>
        <v>1480.5728340000003</v>
      </c>
      <c r="AD324">
        <f t="shared" si="5"/>
        <v>35102.313351000004</v>
      </c>
      <c r="AE324" s="3">
        <f>2226+(18.8-436)+(0+(0-0))+0-30.2-0</f>
        <v>1778.6</v>
      </c>
    </row>
    <row r="325" spans="1:31" s="2" customFormat="1" x14ac:dyDescent="0.25">
      <c r="A325">
        <v>89</v>
      </c>
      <c r="B325">
        <v>11</v>
      </c>
      <c r="C325">
        <v>19</v>
      </c>
      <c r="D325">
        <v>4</v>
      </c>
      <c r="E325">
        <v>1</v>
      </c>
      <c r="F325" s="3">
        <f>1585.4+(135-281.6)+(3.234216+(0.2754-0.574464))+0-57.1-0.116483999999998</f>
        <v>1384.5186680000004</v>
      </c>
      <c r="G325" s="3">
        <f>1584.2+(135.2-423)+(1.615884+(0.137904-0.43146))+0-80.2-0.0818040000000128</f>
        <v>1217.4405240000001</v>
      </c>
      <c r="H325" s="3">
        <f>1588+(135-352.7)+(-1.61976+(-0.1377--0.359754))+0-99.5--0.101490000000016</f>
        <v>1269.503784</v>
      </c>
      <c r="I325" s="3">
        <f>1536.4+(135.5-308.8)+(-3.91782+(-0.345525--0.78744))+0-88.4--0.225419999999987</f>
        <v>1271.449515</v>
      </c>
      <c r="J325" s="3">
        <f>1494.3+(135.8-310.5)+(0.762093+(0.069258-0.158355))+0-88.2-0.0449819999999911</f>
        <v>1232.028014</v>
      </c>
      <c r="K325" s="3">
        <f>1523.9+(135.2-346.6)+(3.108756+(0.275808-0.707064))+0-90.7-0.185027999999996</f>
        <v>1224.2924719999999</v>
      </c>
      <c r="L325" s="3">
        <f>1615.6+(134.6-374.7)+(-3.295824+(-0.274584--0.764388))+0-88.9--0.181355999999996</f>
        <v>1283.975336</v>
      </c>
      <c r="M325" s="3">
        <f>1628.3+(135-349.5)+(-0.830433+(-0.06885--0.178245))+0-62--0.0316199999999937</f>
        <v>1351.110582</v>
      </c>
      <c r="N325" s="3">
        <f>1765.8+(135-407.3)+(1.801116+(0.1377-0.415446))+0-27.3-0.0278460000000044</f>
        <v>1467.695524</v>
      </c>
      <c r="O325" s="3">
        <f>1792.7+(139.5-340.5)+(0.914277+(0.071145-0.173655))+0-22.9-0.0116789999999977</f>
        <v>1569.6000879999999</v>
      </c>
      <c r="P325" s="3">
        <f>1907.2+(134.7-399.6)+(-3.890688+(-0.274788--0.815184))+0-21.8--0.044471999999999</f>
        <v>1617.19418</v>
      </c>
      <c r="Q325" s="3">
        <f>1985.9+(134.3-467.1)+(-4.051236+(-0.273972--0.952884))+0-22.1--0.045083999999999</f>
        <v>1627.6727600000004</v>
      </c>
      <c r="R325" s="3">
        <f>1918.6+(134.6-416.5)+(-2.935458+(-0.205938--0.637245))+0-22--0.0336600000000013</f>
        <v>1612.2295089999998</v>
      </c>
      <c r="S325" s="3">
        <f>1861.5+(126-379.1)+(0+(0-0))+0-0-0</f>
        <v>1608.4</v>
      </c>
      <c r="T325" s="3">
        <f>1813.2+(118-341.1)+(0+(0-0))+0-0-0</f>
        <v>1590.1</v>
      </c>
      <c r="U325" s="3">
        <f>1684.1+(109.8-174.6)+(-1.717782+(-0.111996--0.178092))+0-53.1--0.0541620000000085</f>
        <v>1564.602476</v>
      </c>
      <c r="V325" s="3">
        <f>1713+(78.7-212.5)+(-2.62089+(-0.120411--0.325125))+0-92.3--0.141219000000005</f>
        <v>1484.6250430000002</v>
      </c>
      <c r="W325" s="3">
        <f>2104.7+(12.4-248.7)+(1.073397+(0.006324-0.126837))+0-72.9-0.0371789999999926</f>
        <v>1796.4157049999999</v>
      </c>
      <c r="X325" s="3">
        <f>2172.2+(3.2-258.6)+(-2.215644+(-0.003264--0.263772))+0-84.8--0.0864960000000135</f>
        <v>1830.1313599999999</v>
      </c>
      <c r="Y325" s="3">
        <f>2082.7+(13.8-243.5)+(-3.186531+(-0.021114--0.372555))+0-94.7--0.144891000000005</f>
        <v>1755.6098009999996</v>
      </c>
      <c r="Z325" s="3">
        <f>2055.4+(66.4-362.3)+(-5.24127+(-0.16932--0.923865))+0-48.8--0.124439999999993</f>
        <v>1706.3377150000001</v>
      </c>
      <c r="AA325" s="3">
        <f>1965.8+(119.8-423.8)+(0+(0-0))+0-28.5-0</f>
        <v>1633.3</v>
      </c>
      <c r="AB325" s="3">
        <f>1870.9+(134.6-413)+(-0.954159+(-0.068646--0.21063))+0-28.1--0.0143309999999971</f>
        <v>1563.6021560000002</v>
      </c>
      <c r="AC325" s="3">
        <f>1607.7+(135.2-249.8)+(-4.919562+(-0.413712--0.764388))+0-28.7--0.0878220000000033</f>
        <v>1459.9189359999998</v>
      </c>
      <c r="AD325">
        <f t="shared" si="5"/>
        <v>36121.754148000007</v>
      </c>
      <c r="AE325" s="3">
        <f>2167+(0-274.3)+(0+(0-0))+0-26.6-0</f>
        <v>1866.1000000000001</v>
      </c>
    </row>
    <row r="326" spans="1:31" s="2" customFormat="1" x14ac:dyDescent="0.25">
      <c r="A326">
        <v>89</v>
      </c>
      <c r="B326">
        <v>11</v>
      </c>
      <c r="C326">
        <v>20</v>
      </c>
      <c r="D326">
        <v>5</v>
      </c>
      <c r="E326">
        <v>1</v>
      </c>
      <c r="F326" s="3">
        <f>1574.4+(134.8-322.9)+(-1.605888+(-0.137496--0.329358))+0-28.9--0.0294780000000046</f>
        <v>1356.0154520000001</v>
      </c>
      <c r="G326" s="3">
        <f>1546.9+(134.4-311.4)+(-4.733514+(-0.411264--0.952884))+0-28.5--0.0872100000000033</f>
        <v>1337.295316</v>
      </c>
      <c r="H326" s="3">
        <f>1524.7+(135.2-269.1)+(0.777597+(0.068952-0.137241))+0-88.6-0.045185999999991</f>
        <v>1302.864122</v>
      </c>
      <c r="I326" s="3">
        <f>1497.1+(135.3-258.6)+(-3.817605+(-0.345015--0.65943))+0-74--0.188699999999989</f>
        <v>1296.48551</v>
      </c>
      <c r="J326" s="3">
        <f>1442.2+(135.4-254.9)+(-0.735522+(-0.069054--0.129999))+0-55.7--0.0284069999999944</f>
        <v>1266.35383</v>
      </c>
      <c r="K326" s="3">
        <f>1519.8+(124.8-266.9)+(-0.775098+(-0.063648--0.136119))+0-94.3--0.0480929999999904</f>
        <v>1282.7454660000001</v>
      </c>
      <c r="L326" s="3">
        <f>1574.6+(126.9-321.7)+(-0.803046+(-0.064719--0.164067))+0-83.7--0.0426869999999915</f>
        <v>1295.4389889999998</v>
      </c>
      <c r="M326" s="3">
        <f>1605.4+(127.1-292.8)+(2.456262+(0.194463-0.447984))+0-72.2-0.110466000000004</f>
        <v>1369.592275</v>
      </c>
      <c r="N326" s="3">
        <f>1741.6+(122.7-336.1)+(1.776432+(0.125154-0.342822))+0-77.5-0.0790500000000124</f>
        <v>1452.1797139999999</v>
      </c>
      <c r="O326" s="3">
        <f>1906.9+(107.3-350.1)+(-0.972519+(-0.054723--0.178551))+0-101.7--0.0518669999999897</f>
        <v>1561.6031760000001</v>
      </c>
      <c r="P326" s="3">
        <f>2009.8+(98.1-469.2)+(-2.049996+(-0.100062--0.478584))+0-88.5--0.0902700000000141</f>
        <v>1548.6187959999997</v>
      </c>
      <c r="Q326" s="3">
        <f>2000.8+(124.8-400.5)+(-4.081632+(-0.254592--0.81702))+0-85.2--0.173807999999996</f>
        <v>1636.5546039999999</v>
      </c>
      <c r="R326" s="3">
        <f>1955.9+(118.3-403.1)+(-5.985054+(-0.361998--1.233486))+0-83.3--0.25489800000001</f>
        <v>1582.9413320000001</v>
      </c>
      <c r="S326" s="3">
        <f>1827.1+(127.9-293)+(-0.931821+(-0.065229--0.14943))+0-88.9--0.045338999999991</f>
        <v>1572.2977189999999</v>
      </c>
      <c r="T326" s="3">
        <f>1771.6+(111.2-279.9)+(0+(0-0))+0-90.6-0</f>
        <v>1512.3</v>
      </c>
      <c r="U326" s="3">
        <f>1765.1+(98.6-244.3)+(-3.600804+(-0.201144--0.498372))+0-98.1--0.200123999999996</f>
        <v>1518.1965479999999</v>
      </c>
      <c r="V326" s="3">
        <f>1703.3+(111.8-194.5)+(-5.212098+(-0.342108--0.59517))+0-73.6--0.225216000000008</f>
        <v>1542.2661800000001</v>
      </c>
      <c r="W326" s="3">
        <f>1819.8+(112.3-114.8)+(-1.856196+(-0.114546--0.117096))+0-79.4--0.0809880000000127</f>
        <v>1736.1273419999998</v>
      </c>
      <c r="X326" s="3">
        <f>2153+(35.5-279.7)+(-7.68621+(-0.126735--0.998529))+0-95--0.339150000000001</f>
        <v>1807.324734</v>
      </c>
      <c r="Y326" s="3">
        <f>2088.7+(47.8-280.6)+(-3.195711+(-0.073134--0.429318))+0-79.2--0.121176000000005</f>
        <v>1773.9816489999998</v>
      </c>
      <c r="Z326" s="3">
        <f>2043.3+(84.8-324.8)+(-6.252498+(-0.259488--0.993888))+0-75.2--0.230112000000009</f>
        <v>1722.8120139999999</v>
      </c>
      <c r="AA326" s="3">
        <f>1801.8+(132-205.6)+(-2.756754+(-0.20196--0.314568))+0-78.1--0.119493000000004</f>
        <v>1647.575347</v>
      </c>
      <c r="AB326" s="3">
        <f>1735.4+(131.6-231.3)+(-4.42527+(-0.33558--0.589815))+0-67.7--0.17263499999999</f>
        <v>1564.0015999999998</v>
      </c>
      <c r="AC326" s="3">
        <f>1788.6+(135.4-377.8)+(-0.912186+(-0.069054--0.192678))+0-76.6--0.0390659999999922</f>
        <v>1468.850504</v>
      </c>
      <c r="AD326">
        <f t="shared" si="5"/>
        <v>36154.422219000007</v>
      </c>
      <c r="AE326" s="3">
        <f>2253+(40.2-276.5)+(0+(0-0))+0-97.9-0</f>
        <v>1918.8</v>
      </c>
    </row>
    <row r="327" spans="1:31" s="2" customFormat="1" x14ac:dyDescent="0.25">
      <c r="A327">
        <v>89</v>
      </c>
      <c r="B327">
        <v>11</v>
      </c>
      <c r="C327">
        <v>21</v>
      </c>
      <c r="D327">
        <v>6</v>
      </c>
      <c r="E327">
        <v>1</v>
      </c>
      <c r="F327" s="3">
        <f>1648.8+(135.5-360.1)+(-5.045328+(-0.41463--1.101906))+0-72.4--0.221544000000008</f>
        <v>1347.6634919999997</v>
      </c>
      <c r="G327" s="3">
        <f>1529.8+(135.7-285)+(1.560396+(0.138414-0.2907))+0-78-0.0795600000000124</f>
        <v>1303.8285500000002</v>
      </c>
      <c r="H327" s="3">
        <f>1496.9+(135.7-297.4)+(-1.526838+(-0.138414--0.303348))+0-53.4--0.0544680000000085</f>
        <v>1280.4925639999999</v>
      </c>
      <c r="I327" s="3">
        <f>1565.3+(135.4-340.6)+(3.193212+(0.276216-0.694824))+0-90.5-0.184619999999996</f>
        <v>1272.1899839999999</v>
      </c>
      <c r="J327" s="3">
        <f>1603.3+(114.9-408.1)+(4.088415+(0.292995-1.040655))+0-76.1-0.194054999999989</f>
        <v>1237.1467</v>
      </c>
      <c r="K327" s="3">
        <f>1597+(76.7-350)+(-1.62894+(-0.078234--0.357))+0-75.3--0.076806000000012</f>
        <v>1247.1266320000002</v>
      </c>
      <c r="L327" s="3">
        <f>1537.1+(35.2-197.6)+(-3.919605+(-0.08976--0.50388))+0-81.6--0.208079999999988</f>
        <v>1289.8025949999999</v>
      </c>
      <c r="M327" s="3">
        <f>1522+(81.1-194.7)+(-1.55244+(-0.082722--0.198594))+0-51.1--0.0521220000000081</f>
        <v>1355.9155540000002</v>
      </c>
      <c r="N327" s="3">
        <f>1627+(109.2-183.3)+(-1.65954+(-0.111384--0.186966))+0-85.6--0.0873120000000136</f>
        <v>1465.8033540000004</v>
      </c>
      <c r="O327" s="3">
        <f>1703.1+(112.5-184.4)+(0+(0-0))+0-89.5-0</f>
        <v>1541.6999999999998</v>
      </c>
      <c r="P327" s="3">
        <f>1749.4+(128.5-196.7)+(-3.568776+(-0.26214--0.401268))+0-78--0.159119999999997</f>
        <v>1599.929472</v>
      </c>
      <c r="Q327" s="3">
        <f>1684.3+(129.7-157.6)+(-6.012951+(-0.463029--0.562632))+0-71.1--0.253827000000001</f>
        <v>1579.6404789999999</v>
      </c>
      <c r="R327" s="3">
        <f>1742.2+(129.4-210.3)+(-1.777044+(-0.131988--0.214506))+0-86.9--0.0886380000000139</f>
        <v>1572.7941119999998</v>
      </c>
      <c r="S327" s="3">
        <f>1694.7+(130.4-245.7)+(0.864297+(0.066504-0.125307))+0-74.5-0.0379949999999924</f>
        <v>1505.6674990000001</v>
      </c>
      <c r="T327" s="3">
        <f>1665.5+(130.5-206.2)+(-0.849405+(-0.066555--0.105162))+0-73.8--0.0376379999999925</f>
        <v>1515.22684</v>
      </c>
      <c r="U327" s="3">
        <f>1534.9+(157.1-135.8)+(-4.696794+(-0.480726--0.415548))+0-76.2--0.233172000000009</f>
        <v>1475.4712</v>
      </c>
      <c r="V327" s="3">
        <f>1613.4+(138.4-133.8)+(4.11417+(0.35292-0.34119))+0-82.1-0.209354999999988</f>
        <v>1539.8165450000001</v>
      </c>
      <c r="W327" s="3">
        <f>1922.8+(38.8-301)+(-0.980628+(-0.019788--0.15351))+0-78--0.0397799999999921</f>
        <v>1581.792874</v>
      </c>
      <c r="X327" s="3">
        <f>2218.3+(10.6-393.4)+(-3.393999+(-0.016218--0.601902))+0-76--0.116280000000004</f>
        <v>1756.8079650000002</v>
      </c>
      <c r="Y327" s="3">
        <f>2123.4+(23-299)+(-2.165868+(-0.02346--0.30498))+0-73.7--0.0751740000000118</f>
        <v>1771.8908260000001</v>
      </c>
      <c r="Z327" s="3">
        <f>1980.8+(68-283.6)+(-8.081664+(-0.27744--1.157088))+0-90.3--0.368423999999992</f>
        <v>1668.0664079999999</v>
      </c>
      <c r="AA327" s="3">
        <f>1881.3+(125.1-286.1)+(-0.959463+(-0.063801--0.145911))+0-81.8--0.0417179999999917</f>
        <v>1637.6643649999999</v>
      </c>
      <c r="AB327" s="3">
        <f>1759.2+(128.8-296.9)+(-4.48596+(-0.32844--0.757095))+0-81.7--0.208334999999988</f>
        <v>1505.5510300000001</v>
      </c>
      <c r="AC327" s="3">
        <f>1790.4+(135.2-396.7)+(0+(0-0))+0-49.7-0</f>
        <v>1479.2</v>
      </c>
      <c r="AD327">
        <f t="shared" si="5"/>
        <v>35531.189039999997</v>
      </c>
      <c r="AE327" s="3">
        <f>2271+(7.6-404.6)+(0+(0-0))+0-91-0</f>
        <v>1783</v>
      </c>
    </row>
    <row r="328" spans="1:31" s="2" customFormat="1" x14ac:dyDescent="0.25">
      <c r="A328">
        <v>89</v>
      </c>
      <c r="B328">
        <v>11</v>
      </c>
      <c r="C328">
        <v>22</v>
      </c>
      <c r="D328">
        <v>7</v>
      </c>
      <c r="E328">
        <v>2</v>
      </c>
      <c r="F328" s="3">
        <f>1512.4+(135.3-210.1)+(-0.771324+(-0.069003--0.107151))+0-25.6--0.0130559999999974</f>
        <v>1411.2798800000003</v>
      </c>
      <c r="G328" s="3">
        <f>1340.1+(185.1-122.7)+(-0.683451+(-0.094401--0.062577))+0-43.9--0.0223889999999955</f>
        <v>1357.9071139999999</v>
      </c>
      <c r="H328" s="3">
        <f>1289+(171.8-90.6)+(0+(0-0))+0-88.7-0</f>
        <v>1281.5</v>
      </c>
      <c r="I328" s="3">
        <f>1263.3+(117.6-94.3)+(-1.932849+(-0.179928--0.144279))+0-80.9--0.123777000000005</f>
        <v>1203.8552789999999</v>
      </c>
      <c r="J328" s="3">
        <f>1380.6+(87.1-144.5)+(-2.816424+(-0.177684--0.29478))+0-77.7--0.158507999999997</f>
        <v>1242.9591799999998</v>
      </c>
      <c r="K328" s="3">
        <f>1524+(30.1-238.5)+(0.77724+(0.015351-0.121635))+0-80.5-0.0410549999999918</f>
        <v>1235.7299009999999</v>
      </c>
      <c r="L328" s="3">
        <f>1470.8+(0-176.9)+(-5.250756+(0--0.631533))+0-84.5--0.301665000000001</f>
        <v>1205.0824419999999</v>
      </c>
      <c r="M328" s="3">
        <f>1383.1+(25.4-168)+(0+(0-0))+0-58.5-0</f>
        <v>1182</v>
      </c>
      <c r="N328" s="3">
        <f>1419.6+(85.9-178.6)+(2.171988+(0.131427-0.273258))+0-61.4-0.0939420000000036</f>
        <v>1267.4362149999997</v>
      </c>
      <c r="O328" s="3">
        <f>1418+(115.9-124.1)+(1.44636+(0.118218-0.126582))+0-90.3-0.0921060000000144</f>
        <v>1320.8458900000001</v>
      </c>
      <c r="P328" s="3">
        <f>1422.5+(86.9-114.6)+(0.725475+(0.044319-0.058446))+0-74.6-0.0380459999999924</f>
        <v>1320.8733020000002</v>
      </c>
      <c r="Q328" s="3">
        <f>1564.9+(77.8-191)+(0.798099+(0.039678-0.09741))+0-75.7-0.0386069999999923</f>
        <v>1376.7017600000001</v>
      </c>
      <c r="R328" s="3">
        <f>1547.4+(92.9-212.2)+(-2.367522+(-0.142137--0.324666))+0-82.3--0.125919000000005</f>
        <v>1343.7409260000002</v>
      </c>
      <c r="S328" s="3">
        <f>1512+(84.6-158.5)+(-4.62672+(-0.258876--0.48501))+0-90.3--0.27631800000001</f>
        <v>1343.6757319999999</v>
      </c>
      <c r="T328" s="3">
        <f>1465.1+(83.3-164.7)+(-2.988804+(-0.169932--0.335988))+0-78.2--0.159527999999997</f>
        <v>1302.8367799999996</v>
      </c>
      <c r="U328" s="3">
        <f>1480.2+(94.7-200.1)+(-0.754902+(-0.048297--0.102051))+0-59.7--0.0304469999999939</f>
        <v>1314.4292989999999</v>
      </c>
      <c r="V328" s="3">
        <f>1485.7+(73.1-108.5)+(-0.757707+(-0.037281--0.055335))+0-70.4--0.0359039999999929</f>
        <v>1379.1962509999998</v>
      </c>
      <c r="W328" s="3">
        <f>1679.7+(55-119)+(-2.569941+(-0.08415--0.18207))+0-70.6--0.108018000000004</f>
        <v>1542.735997</v>
      </c>
      <c r="X328" s="3">
        <f>1878+(20-189)+(-1.91556+(-0.0204--0.19278))+0-81.4--0.083028000000013</f>
        <v>1625.939848</v>
      </c>
      <c r="Y328" s="3">
        <f>1877.7+(8-172.4)+(-1.915254+(-0.00816--0.175848))+0-90.6--0.0924120000000144</f>
        <v>1621.044846</v>
      </c>
      <c r="Z328" s="3">
        <f>1804.6+(41.4-170.1)+(-2.761038+(-0.063342--0.260253))+0-69.6--0.106488000000004</f>
        <v>1603.8423609999998</v>
      </c>
      <c r="AA328" s="3">
        <f>1777+(93.7-214.8)+(2.71881+(0.143361-0.328644))+0-70.1-0.107253000000004</f>
        <v>1588.2262740000003</v>
      </c>
      <c r="AB328" s="3">
        <f>1636.1+(132.9-151.7)+(-2.503233+(-0.203337--0.232101))+0-87.8--0.134334000000005</f>
        <v>1527.1598650000001</v>
      </c>
      <c r="AC328" s="3">
        <f>1418.5+(183.4-84.7)+(-3.617175+(-0.46767--0.215985))+0-76.1--0.194054999999989</f>
        <v>1437.425195</v>
      </c>
      <c r="AD328">
        <f t="shared" si="5"/>
        <v>33036.424337000004</v>
      </c>
      <c r="AE328" s="3">
        <f>1897+(0-209.9)+(0+(0-0))+0-92.1-0</f>
        <v>1595</v>
      </c>
    </row>
    <row r="329" spans="1:31" s="2" customFormat="1" x14ac:dyDescent="0.25">
      <c r="A329">
        <v>89</v>
      </c>
      <c r="B329">
        <v>11</v>
      </c>
      <c r="C329">
        <v>23</v>
      </c>
      <c r="D329">
        <v>1</v>
      </c>
      <c r="E329">
        <v>1</v>
      </c>
      <c r="F329" s="3">
        <f>1277.7+(187.6-60)+(-3.909762+(-0.574056--0.1836))+0-68.3--0.208998000000008</f>
        <v>1332.90878</v>
      </c>
      <c r="G329" s="3">
        <f>1280.8+(174.2-75.7)+(-2.612832+(-0.355368--0.154428))+0-89.4--0.182375999999996</f>
        <v>1287.2686039999999</v>
      </c>
      <c r="H329" s="3">
        <f>1280.6+(118.6-80.4)+(-2.612424+(-0.241944--0.164016))+0-70.4--0.143615999999997</f>
        <v>1245.8532639999999</v>
      </c>
      <c r="I329" s="3">
        <f>1292.8+(112.3-101.2)+(0+(0-0))+0-79.1-0</f>
        <v>1224.8</v>
      </c>
      <c r="J329" s="3">
        <f>1336.9+(109.9-163.1)+(2.045457+(0.168147-0.249543))+0-76.5-0.117045000000004</f>
        <v>1209.047016</v>
      </c>
      <c r="K329" s="3">
        <f>1457+(91.8-174.5)+(4.45842+(0.280908-0.53397))+0-85.2-0.26071200000001</f>
        <v>1293.0446459999998</v>
      </c>
      <c r="L329" s="3">
        <f>1516.8+(88-235.6)+(-5.414976+(-0.31416--0.841092))+0-77.4--0.276318000000001</f>
        <v>1287.1882739999999</v>
      </c>
      <c r="M329" s="3">
        <f>1604.9+(110.7-263.7)+(1.636998+(0.112914-0.268974))+0-49.5-0.0504900000000079</f>
        <v>1403.8304479999999</v>
      </c>
      <c r="N329" s="3">
        <f>1860.9+(119.6-366.2)+(-4.745295+(-0.30498--0.93381))+0-85.4--0.217769999999988</f>
        <v>1525.001305</v>
      </c>
      <c r="O329" s="3">
        <f>2007.6+(125.5-505)+(3.071628+(0.192015-0.77265))+0-35.7-0.0546210000000021</f>
        <v>1594.8363719999998</v>
      </c>
      <c r="P329" s="3">
        <f>2007+(133-427.5)+(1.02357+(0.06783-0.218025))+0-82.8-0.0422279999999916</f>
        <v>1630.5311469999999</v>
      </c>
      <c r="Q329" s="3">
        <f>1981.3+(135.1-443.7)+(-2.020926+(-0.137802--0.452574))+0-20.9--0.0213180000000033</f>
        <v>1650.1151639999998</v>
      </c>
      <c r="R329" s="3">
        <f>1962.7+(132.3-404.3)+(-5.004885+(-0.337365--1.030965))+0-89.1--0.227204999999987</f>
        <v>1597.5159200000001</v>
      </c>
      <c r="S329" s="3">
        <f>1977.8+(131.9-457.3)+(-2.017356+(-0.134538--0.466446))+0-61.4--0.0626280000000098</f>
        <v>1589.37718</v>
      </c>
      <c r="T329" s="3">
        <f>1991.1+(120.2-494.2)+(0+(0-0))+0-76.9-0</f>
        <v>1540.1999999999998</v>
      </c>
      <c r="U329" s="3">
        <f>1919.5+(116.7-432.1)+(-2.936835+(-0.178551--0.661113))+0-64.2--0.0982260000000037</f>
        <v>1537.5439529999999</v>
      </c>
      <c r="V329" s="3">
        <f>1859.1+(80.6-248.7)+(-3.792564+(-0.164424--0.507348))+0-64.4--0.131375999999997</f>
        <v>1623.2817359999999</v>
      </c>
      <c r="W329" s="3">
        <f>1913.2+(68.9-109.4)+(-0.975732+(-0.035139--0.055794))+0-82.2--0.0419219999999917</f>
        <v>1789.5868449999998</v>
      </c>
      <c r="X329" s="3">
        <f>2151.3+(9.2-262.3)+(-2.194326+(-0.009384--0.267546))+0-90.1--0.0919020000000144</f>
        <v>1806.2557380000005</v>
      </c>
      <c r="Y329" s="3">
        <f>2238.7+(17.1-395.6)+(-1.141737+(-0.008721--0.201756))+0-75.4--0.0384539999999924</f>
        <v>1783.8897519999998</v>
      </c>
      <c r="Z329" s="3">
        <f>2179.8+(67.6-461.9)+(-4.446792+(-0.137904--0.942276))+0-78.1--0.159323999999997</f>
        <v>1703.9169040000004</v>
      </c>
      <c r="AA329" s="3">
        <f>2044+(105.4-425.1)+(1.04244+(0.053754-0.216801))+0-51.7-0.0263669999999948</f>
        <v>1673.4530259999999</v>
      </c>
      <c r="AB329" s="3">
        <f>1904+(106.2-325.3)+(-3.88416+(-0.216648--0.663612))+0-79.3--0.161771999999997</f>
        <v>1602.324576</v>
      </c>
      <c r="AC329" s="3">
        <f>1805.1+(108-359.2)+(-4.603005+(-0.2754--0.91596))+0-82.5--0.210374999999988</f>
        <v>1467.6479299999999</v>
      </c>
      <c r="AD329">
        <f t="shared" si="5"/>
        <v>36399.418580000005</v>
      </c>
      <c r="AE329" s="3">
        <f>2169+(3.5-378.4)+(0+(0-0))+0-49.3-0</f>
        <v>1744.8</v>
      </c>
    </row>
    <row r="330" spans="1:31" s="2" customFormat="1" x14ac:dyDescent="0.25">
      <c r="A330">
        <v>89</v>
      </c>
      <c r="B330">
        <v>11</v>
      </c>
      <c r="C330">
        <v>24</v>
      </c>
      <c r="D330">
        <v>2</v>
      </c>
      <c r="E330">
        <v>1</v>
      </c>
      <c r="F330" s="3">
        <f>1678.8+(122.3-360)+(-1.712376+(-0.124746--0.3672))+0-82.3--0.0839460000000131</f>
        <v>1357.4140239999999</v>
      </c>
      <c r="G330" s="3">
        <f>1528+(114.6-241.7)+(-3.8964+(-0.29223--0.616335))+0-87.2--0.222359999999987</f>
        <v>1310.3500650000001</v>
      </c>
      <c r="H330" s="3">
        <f>1465.4+(119-204.5)+(0+(0-0))+0-75.9-0</f>
        <v>1304</v>
      </c>
      <c r="I330" s="3">
        <f>1484.7+(119.7-231)+(-2.271591+(-0.183141--0.35343))+0-97.3--0.148869000000006</f>
        <v>1274.1475670000002</v>
      </c>
      <c r="J330" s="3">
        <f>1543.5+(115.8-291.5)+(3.14874+(0.236232-0.59466))+0-73-0.148919999999997</f>
        <v>1297.441392</v>
      </c>
      <c r="K330" s="3">
        <f>1517.3+(111.1-230.6)+(0+(0-0))+0-83.6-0</f>
        <v>1314.2</v>
      </c>
      <c r="L330" s="3">
        <f>1535.9+(118.4-253.4)+(0.783309+(0.060384-0.129234))+0-82.7-0.0421769999999916</f>
        <v>1318.872282</v>
      </c>
      <c r="M330" s="3">
        <f>1792.9+(120.5-470.4)+(0+(0-0))+0-64.6-0</f>
        <v>1378.4</v>
      </c>
      <c r="N330" s="3">
        <f>1924.3+(125.4-471.9)+(0+(0-0))+0-68.2-0</f>
        <v>1509.6</v>
      </c>
      <c r="O330" s="3">
        <f>1919.8+(125.7-370)+(-0.979098+(-0.064107--0.1887))+0-97.1--0.0495209999999901</f>
        <v>1577.595016</v>
      </c>
      <c r="P330" s="3">
        <f>2001+(128.3-421.2)+(-3.06153+(-0.196299--0.644436))+0-87--0.133110000000005</f>
        <v>1618.6197169999998</v>
      </c>
      <c r="Q330" s="3">
        <f>2036.7+(135.7-475.6)+(-3.116151+(-0.207621--0.727668))+0-61.7--0.0944010000000036</f>
        <v>1632.598297</v>
      </c>
      <c r="R330" s="3">
        <f>2013.8+(131.8-489.5)+(-6.162228+(-0.403308--1.49787))+0-64.7--0.197982000000007</f>
        <v>1586.5303159999999</v>
      </c>
      <c r="S330" s="3">
        <f>1976.6+(132.4-461)+(1.008066+(0.067524-0.23511))+0-84.9-0.0432989999999914</f>
        <v>1563.897181</v>
      </c>
      <c r="T330" s="3">
        <f>1929.8+(124.2-448.8)+(-5.905188+(-0.380052--1.373328))+0-78.9--0.241434000000009</f>
        <v>1521.6295219999997</v>
      </c>
      <c r="U330" s="3">
        <f>1986.5+(126.3-512.8)+(-1.013115+(-0.064413--0.261528))+0-84.5--0.0430949999999914</f>
        <v>1514.727095</v>
      </c>
      <c r="V330" s="3">
        <f>2007.6+(107.8-474.3)+(-4.095504+(-0.219912--0.967572))+0-99.2--0.202367999999996</f>
        <v>1538.7545239999999</v>
      </c>
      <c r="W330" s="3">
        <f>2151.2+(10.7-338.4)+(1.097112+(0.005457-0.172584))+0-87.1-0.0444209999999912</f>
        <v>1737.2855639999998</v>
      </c>
      <c r="X330" s="3">
        <f>2314.7+(0-414.5)+(0+(0-0))+0-78.9-0</f>
        <v>1821.2999999999997</v>
      </c>
      <c r="Y330" s="3">
        <f>2284.5+(0-459.4)+(-6.99057+(0--1.405764))+0-54--0.165240000000006</f>
        <v>1765.6804339999999</v>
      </c>
      <c r="Z330" s="3">
        <f>2269.9+(39-497.7)+(-3.472947+(-0.05967--0.761481))+0-78.7--0.120411000000005</f>
        <v>1729.849275</v>
      </c>
      <c r="AA330" s="3">
        <f>2118.8+(114.9-489.2)+(-4.322352+(-0.234396--0.997968))+0-77.8--0.158711999999997</f>
        <v>1663.2999320000001</v>
      </c>
      <c r="AB330" s="3">
        <f>1926.8+(141.2-391.5)+(-1.965336+(-0.144024--0.39933))+0-83.9--0.0855780000000134</f>
        <v>1590.9755479999999</v>
      </c>
      <c r="AC330" s="3">
        <f>1761+(140.6-369)+(-5.38866+(-0.430236--1.12914))+0-70.6--0.216036000000008</f>
        <v>1457.52628</v>
      </c>
      <c r="AD330">
        <f t="shared" si="5"/>
        <v>36384.694030999999</v>
      </c>
      <c r="AE330" s="3">
        <f>2273+(0-452.5)+(0+(0-0))+0-112.6-0</f>
        <v>1707.9</v>
      </c>
    </row>
    <row r="331" spans="1:31" s="2" customFormat="1" x14ac:dyDescent="0.25">
      <c r="A331">
        <v>89</v>
      </c>
      <c r="B331">
        <v>11</v>
      </c>
      <c r="C331">
        <v>25</v>
      </c>
      <c r="D331">
        <v>3</v>
      </c>
      <c r="E331">
        <v>1</v>
      </c>
      <c r="F331" s="3">
        <f>1571.8+(139.6-272.5)+(-4.809708+(-0.427176--0.83385))+0-83.4--0.25520400000001</f>
        <v>1351.3521699999999</v>
      </c>
      <c r="G331" s="3">
        <f>1572+(139.4-324.6)+(0.80172+(0.071094-0.165546))+0-83.8-0.0427379999999915</f>
        <v>1303.66453</v>
      </c>
      <c r="H331" s="3">
        <f>1566.1+(138.3-360.3)+(-0.798711+(-0.070533--0.183753))+0-61.2--0.0312119999999938</f>
        <v>1282.245721</v>
      </c>
      <c r="I331" s="3">
        <f>1628.2+(129.3-396.8)+(0+(0-0))+0-80.5-0</f>
        <v>1280.2</v>
      </c>
      <c r="J331" s="3">
        <f>1563.1+(124.7-312.3)+(-0.797181+(-0.063597--0.159273))+0-90.7--0.0462569999999908</f>
        <v>1284.1447519999999</v>
      </c>
      <c r="K331" s="3">
        <f>1510.8+(115-254.1)+(0+(0-0))+0-62.8-0</f>
        <v>1308.9000000000001</v>
      </c>
      <c r="L331" s="3">
        <f>1485.1+(106.9-230.5)+(-0.757401+(-0.054519--0.117555))+0-63.7--0.0324869999999935</f>
        <v>1297.1381219999998</v>
      </c>
      <c r="M331" s="3">
        <f>1623.5+(132-292.3)+(-0.827985+(-0.06732--0.149073))+0-79.6--0.0405959999999919</f>
        <v>1382.8943640000002</v>
      </c>
      <c r="N331" s="3">
        <f>1685.2+(133.2-327.2)+(0.859452+(0.067932-0.166872))+0-14.8-0.0075479999999985</f>
        <v>1477.1529640000001</v>
      </c>
      <c r="O331" s="3">
        <f>1884.7+(131.8-425.2)+(-3.844788+(-0.268872--0.867408))+0-14.7--0.0299879999999994</f>
        <v>1573.3837360000002</v>
      </c>
      <c r="P331" s="3">
        <f>1963.9+(131.4-466.3)+(-2.003178+(-0.134028--0.475626))+0-13.2--0.0134640000000021</f>
        <v>1614.1518840000001</v>
      </c>
      <c r="Q331" s="3">
        <f>1969.7+(133.4-477.7)+(2.009094+(0.136068-0.487254))+0-13.7-0.0139740000000022</f>
        <v>1613.343934</v>
      </c>
      <c r="R331" s="3">
        <f>1882.6+(136.2-418.4)+(-4.80063+(-0.34731--1.06692))+0-16.4--0.0418199999999976</f>
        <v>1579.9607999999996</v>
      </c>
      <c r="S331" s="3">
        <f>1735.1+(132.6-314.2)+(-1.769802+(-0.135252--0.320484))+0-17.3--0.0176460000000028</f>
        <v>1534.6330760000001</v>
      </c>
      <c r="T331" s="3">
        <f>1687+(127.2-304.1)+(-0.86037+(-0.064872--0.155091))+0-15.1--0.00770099999999847</f>
        <v>1494.2375500000001</v>
      </c>
      <c r="U331" s="3">
        <f>1785+(135.5-353.3)+(0.91035+(0.069105-0.180183))+0-69.2-0.035291999999993</f>
        <v>1498.7639799999999</v>
      </c>
      <c r="V331" s="3">
        <f>1815.9+(121.5-327.4)+(0+(0-0))+0-69.1-0</f>
        <v>1540.9</v>
      </c>
      <c r="W331" s="3">
        <f>1789.3+(116.6-129.3)+(-2.737629+(-0.178398--0.197829))+0-54.9--0.0839970000000032</f>
        <v>1719.0657989999997</v>
      </c>
      <c r="X331" s="3">
        <f>2098.5+(26-296.3)+(-3.210705+(-0.03978--0.453339))+0-31--0.0474300000000018</f>
        <v>1794.450284</v>
      </c>
      <c r="Y331" s="3">
        <f>2016.5+(50.6-210.5)+(-3.085245+(-0.077418--0.322065))+0-82.8--0.126684000000005</f>
        <v>1771.086086</v>
      </c>
      <c r="Z331" s="3">
        <f>1942.8+(97.1-243.8)+(-3.963312+(-0.198084--0.497352))+0-71.1--0.145043999999997</f>
        <v>1721.481</v>
      </c>
      <c r="AA331" s="3">
        <f>1940.6+(132-345.9)+(-3.958824+(-0.26928--0.705636))+0-56.5--0.115259999999998</f>
        <v>1666.792792</v>
      </c>
      <c r="AB331" s="3">
        <f>1910.1+(135.1-383.5)+(-0.974151+(-0.068901--0.195585))+0-51.1--0.0260609999999948</f>
        <v>1609.7785939999999</v>
      </c>
      <c r="AC331" s="3">
        <f>1729.5+(140.2-319.7)+(-7.938405+(-0.643518--1.467423))+0-47.3--0.217107000000008</f>
        <v>1495.8026070000001</v>
      </c>
      <c r="AD331">
        <f t="shared" si="5"/>
        <v>36195.524745000002</v>
      </c>
      <c r="AE331" s="3">
        <f>2168+(25.4-360.3)+(0+(0-0))+0-17.2-0</f>
        <v>1815.8999999999999</v>
      </c>
    </row>
    <row r="332" spans="1:31" s="2" customFormat="1" x14ac:dyDescent="0.25">
      <c r="A332">
        <v>89</v>
      </c>
      <c r="B332">
        <v>11</v>
      </c>
      <c r="C332">
        <v>26</v>
      </c>
      <c r="D332">
        <v>4</v>
      </c>
      <c r="E332">
        <v>1</v>
      </c>
      <c r="F332" s="3">
        <f>1678.5+(135.4-362.2)+(-2.568105+(-0.207162--0.554166))+0-39.3--0.0601290000000023</f>
        <v>1410.239028</v>
      </c>
      <c r="G332" s="3">
        <f>1500.3+(140.3-208.4)+(-2.295459+(-0.214659--0.318852))+0-86.7--0.132651000000005</f>
        <v>1343.4413849999999</v>
      </c>
      <c r="H332" s="3">
        <f>1434.2+(136.4-179.1)+(0.731442+(0.069564-0.091341))+0-88.1-0.0449309999999911</f>
        <v>1304.0647340000003</v>
      </c>
      <c r="I332" s="3">
        <f>1361.6+(131.8-116.8)+(-2.083248+(-0.201654--0.178704))+0-81--0.123930000000005</f>
        <v>1293.6177319999999</v>
      </c>
      <c r="J332" s="3">
        <f>1416.1+(118.8-149.3)+(0.722211+(0.060588-0.076143))+0-80.7-0.0411569999999918</f>
        <v>1305.565499</v>
      </c>
      <c r="K332" s="3">
        <f>1539.8+(120.3-257.2)+(-0.785298+(-0.061353--0.131172))+0-80.3--0.0409529999999919</f>
        <v>1321.9254740000001</v>
      </c>
      <c r="L332" s="3">
        <f>1602.4+(132.4-307.3)+(-1.634448+(-0.135048--0.313446))+0-90.2--0.0920040000000144</f>
        <v>1335.935954</v>
      </c>
      <c r="M332" s="3">
        <f>1667.5+(132.9-338.3)+(-0.850425+(-0.067779--0.172533))+0-67.7--0.0345269999999931</f>
        <v>1393.688856</v>
      </c>
      <c r="N332" s="3">
        <f>1800.1+(110.5-356.2)+(3.672204+(0.22542-0.726648))+0-79.8-0.162791999999997</f>
        <v>1477.6081839999999</v>
      </c>
      <c r="O332" s="3">
        <f>1812.4+(108.2-295.7)+(-1.848648+(-0.110364--0.301614))+0-80.2--0.0818040000000128</f>
        <v>1543.1244059999999</v>
      </c>
      <c r="P332" s="3">
        <f>1819.1+(107.9-262.6)+(-0.927741+(-0.055029--0.133926))+0-82.7--0.0421769999999916</f>
        <v>1580.8933329999998</v>
      </c>
      <c r="Q332" s="3">
        <f>1801.5+(106.8-235)+(-3.67506+(-0.217872--0.4794))+0-83.5--0.170339999999996</f>
        <v>1586.5568079999998</v>
      </c>
      <c r="R332" s="3">
        <f>1791+(107.7-246.6)+(-5.48046+(-0.329562--0.754596))+0-82.5--0.25245000000001</f>
        <v>1564.797024</v>
      </c>
      <c r="S332" s="3">
        <f>1804+(107.7-274.9)+(-1.84008+(-0.109854--0.280398))+0-84.8--0.0864960000000135</f>
        <v>1550.41696</v>
      </c>
      <c r="T332" s="3">
        <f>1809.7+(108.1-305.9)+(0+(0-0))+0-84.6-0</f>
        <v>1527.3000000000002</v>
      </c>
      <c r="U332" s="3">
        <f>1738.9+(109.9-244.6)+(-1.773678+(-0.112098--0.249492))+0-93.4--0.0952680000000149</f>
        <v>1509.2589840000001</v>
      </c>
      <c r="V332" s="3">
        <f>1688.8+(115.5-198.6)+(0+(0-0))+0-64.6-0</f>
        <v>1541.1000000000001</v>
      </c>
      <c r="W332" s="3">
        <f>1869.4+(130.9-178.2)+(0+(0-0))+0-67.7-0</f>
        <v>1754.4</v>
      </c>
      <c r="X332" s="3">
        <f>1897.7+(157-151.8)+(-1.935654+(-0.16014--0.154836))+0-92.6--0.0944520000000148</f>
        <v>1808.4534940000003</v>
      </c>
      <c r="Y332" s="3">
        <f>1836.9+(165.9-158.4)+(-5.620914+(-0.507654--0.484704))+0-71.2--0.217872000000008</f>
        <v>1767.7740080000001</v>
      </c>
      <c r="Z332" s="3">
        <f>1832.2+(156.3-179.3)+(-4.67211+(-0.398565--0.457215))+0-75.6--0.192779999999989</f>
        <v>1729.1793200000002</v>
      </c>
      <c r="AA332" s="3">
        <f>1788+(140.7-183.8)+(-3.64752+(-0.287028--0.374952))+0-83.7--0.170747999999996</f>
        <v>1657.811152</v>
      </c>
      <c r="AB332" s="3">
        <f>1687.2+(152.7-167.9)+(-1.720944+(-0.155754--0.171258))+0-91.3--0.0931260000000146</f>
        <v>1579.0876860000001</v>
      </c>
      <c r="AC332" s="3">
        <f>1652.4+(130-223.5)+(-4.21362+(-0.3315--0.569925))+0-76.4--0.194819999999989</f>
        <v>1478.719625</v>
      </c>
      <c r="AD332">
        <f t="shared" si="5"/>
        <v>36364.959645999996</v>
      </c>
      <c r="AE332" s="3">
        <f>1912+(155.2-147.7)+(0+(0-0))+0-100-0</f>
        <v>1819.5</v>
      </c>
    </row>
    <row r="333" spans="1:31" s="2" customFormat="1" x14ac:dyDescent="0.25">
      <c r="A333">
        <v>89</v>
      </c>
      <c r="B333">
        <v>11</v>
      </c>
      <c r="C333">
        <v>27</v>
      </c>
      <c r="D333">
        <v>5</v>
      </c>
      <c r="E333">
        <v>3</v>
      </c>
      <c r="F333" s="3">
        <f>1532+(139.4-202.3)+(-3.9066+(-0.35547--0.515865))+0-80.7--0.205784999999988</f>
        <v>1384.8595799999998</v>
      </c>
      <c r="G333" s="3">
        <f>1367.8+(150.2-115.2)+(-2.092734+(-0.229806--0.176256))+0-79--0.120870000000005</f>
        <v>1321.774586</v>
      </c>
      <c r="H333" s="3">
        <f>1307.3+(177.3-91.1)+(-4.000338+(-0.542538--0.278766))+0-92.8--0.283968000000011</f>
        <v>1296.7198579999999</v>
      </c>
      <c r="I333" s="3">
        <f>1296.6+(170.8-95)+(0.661266+(0.087108-0.04845))+0-90.5-0.0461549999999908</f>
        <v>1282.5537689999999</v>
      </c>
      <c r="J333" s="3">
        <f>1336.4+(157.5-117)+(2.726256+(0.3213-0.23868))+0-77.1-0.157283999999997</f>
        <v>1302.4515920000003</v>
      </c>
      <c r="K333" s="3">
        <f>1388.8+(150.3-139.6)+(4.249728+(0.459918-0.427176))+0-75.1-0.229806000000009</f>
        <v>1328.4526640000001</v>
      </c>
      <c r="L333" s="3">
        <f>1433.6+(138.6-162.8)+(-3.65568+(-0.35343--0.41514))+0-71.8--0.18308999999999</f>
        <v>1334.18912</v>
      </c>
      <c r="M333" s="3">
        <f>1541.4+(135.8-177.2)+(1.572228+(0.138516-0.180744))+0-78.6-0.0801720000000125</f>
        <v>1422.8498280000001</v>
      </c>
      <c r="N333" s="3">
        <f>1665.2+(135.4-231)+(2.547756+(0.207162-0.35343))+0-33.7-0.051561000000002</f>
        <v>1538.2499270000001</v>
      </c>
      <c r="O333" s="3">
        <f>1790.3+(136.3-285.6)+(2.739159+(0.208539-0.436968))+0-22.6-0.0345780000000013</f>
        <v>1620.876152</v>
      </c>
      <c r="P333" s="3">
        <f>1863.5+(135.7-295.8)+(-3.80154+(-0.276828--0.603432))+0-56.1--0.114443999999998</f>
        <v>1643.9395080000002</v>
      </c>
      <c r="Q333" s="3">
        <f>1861.8+(135.9-263.4)+(-3.798072+(-0.277236--0.537336))+0-77.9--0.158915999999997</f>
        <v>1653.0209439999999</v>
      </c>
      <c r="R333" s="3">
        <f>1776.8+(135.9-198.8)+(-4.53084+(-0.346545--0.50694))+0-88.6--0.225929999999987</f>
        <v>1621.155485</v>
      </c>
      <c r="S333" s="3">
        <f>1667+(158.9-137.5)+(-2.55051+(-0.243117--0.210375))+0-83.3--0.127449000000005</f>
        <v>1602.6441970000003</v>
      </c>
      <c r="T333" s="3">
        <f>1648.4+(164.1-156.9)+(-0.840684+(-0.083691--0.080019))+0-93.7--0.0477869999999905</f>
        <v>1561.103431</v>
      </c>
      <c r="U333" s="3">
        <f>1627.1+(160.5-163.4)+(-4.149105+(-0.409275--0.41667))+0-88.4--0.225419999999987</f>
        <v>1531.8837099999996</v>
      </c>
      <c r="V333" s="3">
        <f>1647.5+(143-172.3)+(0+(0-0))+0-80.8-0</f>
        <v>1537.4</v>
      </c>
      <c r="W333" s="3">
        <f>1715.4+(214-109.5)+(-3.499416+(-0.43656--0.22338))+0-76.1--0.155243999999997</f>
        <v>1740.2426480000001</v>
      </c>
      <c r="X333" s="3">
        <f>1863.4+(191-133.1)+(-8.553006+(-0.87669--0.610929))+0-83.8--0.384642000000015</f>
        <v>1829.0658750000002</v>
      </c>
      <c r="Y333" s="3">
        <f>1836.5+(191.3-134)+(-0.936615+(-0.097563--0.06834))+0-86.3--0.0440129999999912</f>
        <v>1806.5781749999999</v>
      </c>
      <c r="Z333" s="3">
        <f>1772.6+(190-119.1)+(-8.136234+(-0.8721--0.546669))+0-75.8--0.347922000000013</f>
        <v>1759.5862569999999</v>
      </c>
      <c r="AA333" s="3">
        <f>1738.5+(158.5-132.9)+(-0.886635+(-0.080835--0.067779))+0-71.5--0.0364649999999927</f>
        <v>1691.7367739999997</v>
      </c>
      <c r="AB333" s="3">
        <f>1693.6+(157.8-139)+(-4.31868+(-0.40239--0.35445))+0-84.2--0.214709999999988</f>
        <v>1624.0480899999998</v>
      </c>
      <c r="AC333" s="3">
        <f>1553.5+(144-141.1)+(-3.961425+(-0.3672--0.359805))+0-32.6--0.0831299999999953</f>
        <v>1519.9143100000001</v>
      </c>
      <c r="AD333">
        <f t="shared" si="5"/>
        <v>36955.296479999997</v>
      </c>
      <c r="AE333" s="3">
        <f>1879+(149.4-177.9)+(0+(0-0))+0-19-0</f>
        <v>1831.5</v>
      </c>
    </row>
    <row r="334" spans="1:31" s="2" customFormat="1" x14ac:dyDescent="0.25">
      <c r="A334">
        <v>89</v>
      </c>
      <c r="B334">
        <v>11</v>
      </c>
      <c r="C334">
        <v>28</v>
      </c>
      <c r="D334">
        <v>6</v>
      </c>
      <c r="E334">
        <v>6</v>
      </c>
      <c r="F334" s="3">
        <f>1503.6+(137.4-130.9)+(-0.766836+(-0.070074--0.066759))+0-78.7--0.040136999999992</f>
        <v>1430.6699859999999</v>
      </c>
      <c r="G334" s="3">
        <f>1520.9+(137.7-210.9)+(0+(0-0))+0-79.9-0</f>
        <v>1367.8</v>
      </c>
      <c r="H334" s="3">
        <f>1464+(138.3-187.1)+(-2.98656+(-0.282132--0.381684))+0-73.1--0.149123999999997</f>
        <v>1339.3621160000002</v>
      </c>
      <c r="I334" s="3">
        <f>1439.4+(137.5-176.9)+(3.67047+(0.350625-0.451095))+0-75.8-0.193289999999989</f>
        <v>1327.57671</v>
      </c>
      <c r="J334" s="3">
        <f>1404.2+(140-117.3)+(-1.432284+(-0.1428--0.119646))+0-95.3--0.0972060000000152</f>
        <v>1330.2417680000001</v>
      </c>
      <c r="K334" s="3">
        <f>1447.4+(137.6-155.6)+(0.738174+(0.070176-0.079356))+0-67.3-0.0343229999999932</f>
        <v>1362.7946710000001</v>
      </c>
      <c r="L334" s="3">
        <f>1426.9+(157.7-126.9)+(-2.183157+(-0.241281--0.194157))+0-84.3--0.128979000000005</f>
        <v>1371.2986980000001</v>
      </c>
      <c r="M334" s="3">
        <f>1611.6+(138.4-243.4)+(0+(0-0))+0-45.6-0</f>
        <v>1461</v>
      </c>
      <c r="N334" s="3">
        <f>1770.1+(138.4-279.4)+(0.902751+(0.070584-0.142494))+0-68.3-0.0348329999999931</f>
        <v>1561.596008</v>
      </c>
      <c r="O334" s="3">
        <f>1836+(138.7-258.4)+(2.80908+(0.212211-0.395352))+0-81.7-0.125001000000005</f>
        <v>1637.1009379999998</v>
      </c>
      <c r="P334" s="3">
        <f>1795.7+(137.4-178.6)+(-4.579035+(-0.35037--0.45543))+0-82.9--0.211394999999988</f>
        <v>1667.3374199999998</v>
      </c>
      <c r="Q334" s="3">
        <f>1807.1+(139.3-158.3)+(-4.608105+(-0.355215--0.403665))+0-78.3--0.199664999999989</f>
        <v>1705.44001</v>
      </c>
      <c r="R334" s="3">
        <f>1779.9+(143.2-169.8)+(-6.354243+(-0.511224--0.606186))+0-86--0.307020000000001</f>
        <v>1661.347739</v>
      </c>
      <c r="S334" s="3">
        <f>1703.7+(151.8-153.8)+(-0.868887+(-0.077418--0.078438))+0-82.1--0.0418709999999917</f>
        <v>1618.7740040000001</v>
      </c>
      <c r="T334" s="3">
        <f>1598.4+(172.7-121)+(-2.445552+(-0.264231--0.18513))+0-69.6--0.106488000000004</f>
        <v>1578.0818350000002</v>
      </c>
      <c r="U334" s="3">
        <f>1542.5+(189-106.6)+(-3.933375+(-0.48195--0.27183))+0-62.1--0.158354999999991</f>
        <v>1558.8148600000002</v>
      </c>
      <c r="V334" s="3">
        <f>1561.9+(217.7-77.5)+(0+(0-0))+0-88.6-0</f>
        <v>1613.5000000000002</v>
      </c>
      <c r="W334" s="3">
        <f>1720.6+(202.4-81.5)+(-1.755012+(-0.206448--0.08313))+0-79.6--0.0811920000000127</f>
        <v>1760.1028620000002</v>
      </c>
      <c r="X334" s="3">
        <f>1900.9+(123.2-128)+(-3.877836+(-0.251328--0.26112))+0-87.7--0.178907999999996</f>
        <v>1804.7108640000001</v>
      </c>
      <c r="Y334" s="3">
        <f>1886.9+(126.6-151.5)+(-2.886957+(-0.193698--0.231795))+0-83.7--0.128061000000005</f>
        <v>1775.579201</v>
      </c>
      <c r="Z334" s="3">
        <f>1850.8+(79-125.7)+(-0.943908+(-0.04029--0.064107))+0-80.8--0.0412079999999918</f>
        <v>1722.4211170000001</v>
      </c>
      <c r="AA334" s="3">
        <f>1844.1+(16.1-141.9)+(-2.821473+(-0.024633--0.217107))+0-69--0.105570000000004</f>
        <v>1646.7765709999999</v>
      </c>
      <c r="AB334" s="3">
        <f>1826.7+(106.3-264.5)+(-5.589702+(-0.325278--0.80937))+0-76.3--0.233478000000009</f>
        <v>1587.3278680000001</v>
      </c>
      <c r="AC334" s="3">
        <f>1623.1+(139.4-196.3)+(-4.138905+(-0.35547--0.500565))+0-65.5--0.16702499999999</f>
        <v>1496.8732149999998</v>
      </c>
      <c r="AD334">
        <f t="shared" si="5"/>
        <v>37386.528461000002</v>
      </c>
      <c r="AE334" s="3">
        <f>1901+(117.8-111)+(0+(0-0))+0-96.4-0</f>
        <v>1811.3999999999999</v>
      </c>
    </row>
    <row r="335" spans="1:31" s="2" customFormat="1" x14ac:dyDescent="0.25">
      <c r="A335">
        <v>89</v>
      </c>
      <c r="B335">
        <v>11</v>
      </c>
      <c r="C335">
        <v>29</v>
      </c>
      <c r="D335">
        <v>7</v>
      </c>
      <c r="E335">
        <v>1</v>
      </c>
      <c r="F335" s="3">
        <f>1523.5+(142.8-136.5)+(-3.884925+(-0.36414--0.348075))+0-94.2--0.240209999999986</f>
        <v>1431.9392199999998</v>
      </c>
      <c r="G335" s="3">
        <f>1436+(142.1-134.5)+(-2.92944+(-0.289884--0.27438))+0-81.9--0.167075999999996</f>
        <v>1358.9221319999997</v>
      </c>
      <c r="H335" s="3">
        <f>1425.6+(141.8-156.3)+(-2.181168+(-0.216954--0.239139))+0-81.7--0.125001000000005</f>
        <v>1327.3660179999999</v>
      </c>
      <c r="I335" s="3">
        <f>1218.9+(189.6-53.2)+(-2.486556+(-0.386784--0.108528))+0-45.3--0.092411999999998</f>
        <v>1307.3276000000003</v>
      </c>
      <c r="J335" s="3">
        <f>1219.2+(187.6-65.7)+(0.621792+(0.095676-0.033507))+0-31.7-0.0161669999999968</f>
        <v>1310.067794</v>
      </c>
      <c r="K335" s="3">
        <f>1296.1+(179.7-83.8)+(0.661011+(0.091647-0.042738))+0-85.3-0.0435029999999913</f>
        <v>1307.366417</v>
      </c>
      <c r="L335" s="3">
        <f>1418.7+(143.5-218.4)+(-3.617685+(-0.365925--0.55692))+0-80.2--0.204509999999988</f>
        <v>1260.3778199999999</v>
      </c>
      <c r="M335" s="3">
        <f>1389.6+(138.1-170)+(-2.126088+(-0.211293--0.2601))+0-84.7--0.129591000000005</f>
        <v>1271.0523099999998</v>
      </c>
      <c r="N335" s="3">
        <f>1513.8+(106.8-250.8)+(-2.316114+(-0.163404--0.383724))+0-41.9--0.0641070000000024</f>
        <v>1325.8683129999997</v>
      </c>
      <c r="O335" s="3">
        <f>1553+(105.1-203.3)+(0.79203+(0.053601-0.103683))+0-58.5-0.0298349999999941</f>
        <v>1397.012113</v>
      </c>
      <c r="P335" s="3">
        <f>1641+(114.9-210.1)+(-0.83691+(-0.058599--0.107151))+0-79.1--0.040340999999992</f>
        <v>1465.9519829999999</v>
      </c>
      <c r="Q335" s="3">
        <f>1616.3+(122.9-192.6)+(-3.297252+(-0.250716--0.392904))+0-82.3--0.167891999999996</f>
        <v>1461.3128279999999</v>
      </c>
      <c r="R335" s="3">
        <f>1603+(123.1-189.2)+(-3.27012+(-0.251124--0.385968))+0-80.4--0.164015999999996</f>
        <v>1453.52874</v>
      </c>
      <c r="S335" s="3">
        <f>1530.3+(132.2-151.6)+(-3.902265+(-0.33711--0.38658))+0-82.4--0.210119999999988</f>
        <v>1424.8573249999997</v>
      </c>
      <c r="T335" s="3">
        <f>1538.7+(125-160.7)+(-2.354211+(-0.19125--0.245871))+0-80.2--0.122706000000005</f>
        <v>1420.623116</v>
      </c>
      <c r="U335" s="3">
        <f>1447.1+(174.6-125.8)+(-2.952084+(-0.356184--0.256632))+0-70.5--0.143819999999997</f>
        <v>1422.492184</v>
      </c>
      <c r="V335" s="3">
        <f>1479.4+(192-115.3)+(-1.508988+(-0.19584--0.117606))+0-91.8--0.0936360000000146</f>
        <v>1462.8064140000001</v>
      </c>
      <c r="W335" s="3">
        <f>1624+(147.2-115.5)+(-2.48472+(-0.225216--0.176715))+0-48.1--0.0735930000000028</f>
        <v>1605.1403720000003</v>
      </c>
      <c r="X335" s="3">
        <f>1796+(122.7-134.8)+(-3.66384+(-0.250308--0.274992))+0-89--0.181559999999996</f>
        <v>1691.4424040000001</v>
      </c>
      <c r="Y335" s="3">
        <f>1807.6+(119.8-144.5)+(-4.60938+(-0.30549--0.368475))+0-90.5--0.230774999999987</f>
        <v>1688.0843799999998</v>
      </c>
      <c r="Z335" s="3">
        <f>1773.6+(137-158.2)+(-1.809072+(-0.13974--0.161364))+0-88.1--0.089862000000014</f>
        <v>1662.602414</v>
      </c>
      <c r="AA335" s="3">
        <f>1624.9+(167.7-129)+(0.828699+(0.085527-0.06579))+0-78.7-0.040136999999992</f>
        <v>1585.7082990000001</v>
      </c>
      <c r="AB335" s="3">
        <f>1579.9+(176.9-111.4)+(-3.222996+(-0.360876--0.227256))+0-85.9--0.175235999999996</f>
        <v>1556.31862</v>
      </c>
      <c r="AC335" s="3">
        <f>1549+(141.3-160.9)+(-3.94995+(-0.360315--0.410295))+0-59.5--0.151724999999991</f>
        <v>1466.1517550000001</v>
      </c>
      <c r="AD335">
        <f t="shared" si="5"/>
        <v>34664.320571000004</v>
      </c>
      <c r="AE335" s="3">
        <f>1809+(105.3-149.1)+(0+(0-0))+0-74.8-0</f>
        <v>1690.4</v>
      </c>
    </row>
    <row r="336" spans="1:31" s="2" customFormat="1" x14ac:dyDescent="0.25">
      <c r="A336">
        <v>89</v>
      </c>
      <c r="B336">
        <v>11</v>
      </c>
      <c r="C336">
        <v>30</v>
      </c>
      <c r="D336">
        <v>1</v>
      </c>
      <c r="E336">
        <v>1</v>
      </c>
      <c r="F336" s="3">
        <f>1407.6+(141.2-136.1)+(-2.153628+(-0.216036--0.208233))+0-87.3--0.133569000000005</f>
        <v>1323.3721379999999</v>
      </c>
      <c r="G336" s="3">
        <f>1337.2+(148.1-94.8)+(-3.40986+(-0.377655--0.24174))+0-96.2--0.245309999999986</f>
        <v>1290.9995349999999</v>
      </c>
      <c r="H336" s="3">
        <f>1258.3+(159.1-88.7)+(0.641733+(0.081141-0.045237))+0-70-0.0356999999999929</f>
        <v>1259.3419370000001</v>
      </c>
      <c r="I336" s="3">
        <f>1252.4+(158.9-91.4)+(-0.638724+(-0.081039--0.046614))+0-72.1--0.0367709999999927</f>
        <v>1247.1636220000003</v>
      </c>
      <c r="J336" s="3">
        <f>1278.6+(149.6-109.8)+(2.608344+(0.305184-0.223992))+0-60.7-0.123827999999997</f>
        <v>1260.2657079999999</v>
      </c>
      <c r="K336" s="3">
        <f>1366.8+(142-140.1)+(1.394136+(0.14484-0.142902))+0-93.8-0.095676000000015</f>
        <v>1276.2003980000002</v>
      </c>
      <c r="L336" s="3">
        <f>1528+(142.5-323.2)+(0+(0-0))+0-78.1-0</f>
        <v>1269.2</v>
      </c>
      <c r="M336" s="3">
        <f>1624.3+(142.3-365.6)+(0+(0-0))+0-84.7-0</f>
        <v>1316.3</v>
      </c>
      <c r="N336" s="3">
        <f>1775.6+(141.9-446.4)+(3.622224+(0.289476-0.910656))+0-84.1-0.171563999999996</f>
        <v>1389.8294800000001</v>
      </c>
      <c r="O336" s="3">
        <f>1853.5+(141.1-451.7)+(-0.945285+(-0.071961--0.230367))+0-64.8--0.0330479999999934</f>
        <v>1477.3461690000001</v>
      </c>
      <c r="P336" s="3">
        <f>1884.7+(140.5-409.2)+(-2.883591+(-0.214965--0.626076))+0-83.5--0.127755000000005</f>
        <v>1530.1552750000001</v>
      </c>
      <c r="Q336" s="3">
        <f>1922.5+(140.5-442.5)+(-0.980475+(-0.071655--0.225675))+0-77.4--0.0394739999999922</f>
        <v>1542.3130189999999</v>
      </c>
      <c r="R336" s="3">
        <f>1913.7+(141.9-457.5)+(-0.975987+(-0.072369--0.233325))+0-74--0.0377399999999925</f>
        <v>1523.3227089999998</v>
      </c>
      <c r="S336" s="3">
        <f>1885.7+(142.1-443.7)+(-4.808535+(-0.362355--1.131435))+0-78--0.198899999999989</f>
        <v>1502.2594449999999</v>
      </c>
      <c r="T336" s="3">
        <f>1807.5+(141.9-397.3)+(-0.921825+(-0.072369--0.202623))+0-77--0.0392699999999922</f>
        <v>1474.3476989999999</v>
      </c>
      <c r="U336" s="3">
        <f>1710.9+(138.1-349.7)+(-2.617677+(-0.211293--0.535041))+0-54.1--0.0827730000000031</f>
        <v>1442.9888440000004</v>
      </c>
      <c r="V336" s="3">
        <f>1783.4+(125.1-332.3)+(-3.638136+(-0.255204--0.677892))+0-96.1--0.196043999999996</f>
        <v>1477.0805960000002</v>
      </c>
      <c r="W336" s="3">
        <f>1838.9+(67.6-185.1)+(-3.751356+(-0.137904--0.377604))+0-76.3--0.155651999999997</f>
        <v>1641.7439960000002</v>
      </c>
      <c r="X336" s="3">
        <f>2025+(38-241.5)+(-3.09825+(-0.05814--0.369495))+0-85.1--0.130203000000005</f>
        <v>1733.7433080000001</v>
      </c>
      <c r="Y336" s="3">
        <f>2018.5+(86.8-306.2)+(-5.147175+(-0.22134--0.78081))+0-78.6--0.200429999999989</f>
        <v>1716.1127250000002</v>
      </c>
      <c r="Z336" s="3">
        <f>1880.1+(127.7-239.7)+(-2.876553+(-0.195381--0.366741))+0-77.6--0.118728000000004</f>
        <v>1687.9135349999999</v>
      </c>
      <c r="AA336" s="3">
        <f>1769.2+(142-214.7)+(-2.706876+(-0.21726--0.328491))+0-80.3--0.122859000000005</f>
        <v>1613.727214</v>
      </c>
      <c r="AB336" s="3">
        <f>1755.7+(141.8-257.4)+(-4.477035+(-0.36159--0.65637))+0-89.6--0.228479999999987</f>
        <v>1546.5462250000003</v>
      </c>
      <c r="AC336" s="3">
        <f>1529.7+(141.9-180.5)+(-3.900735+(-0.361845--0.460275))+0-62.2--0.158609999999991</f>
        <v>1425.2563050000001</v>
      </c>
      <c r="AD336">
        <f t="shared" si="5"/>
        <v>34967.529881999995</v>
      </c>
      <c r="AE336" s="3">
        <f>2079+(39-267.7)+(0+(0-0))+0-98.6-0</f>
        <v>1751.7</v>
      </c>
    </row>
    <row r="337" spans="1:31" s="2" customFormat="1" x14ac:dyDescent="0.25">
      <c r="A337">
        <v>89</v>
      </c>
      <c r="B337">
        <v>12</v>
      </c>
      <c r="C337">
        <v>1</v>
      </c>
      <c r="D337">
        <v>2</v>
      </c>
      <c r="E337">
        <v>1</v>
      </c>
      <c r="F337" s="3">
        <f>1339.2+(155.9-95.2)+(-4.780944+(-0.556563--0.339864))+0-67.4--0.240618000000001</f>
        <v>1327.7429750000001</v>
      </c>
      <c r="G337" s="3">
        <f>1180.8+(203.9-55.6)+(0+(0-0))+0-88.4-0</f>
        <v>1240.6999999999998</v>
      </c>
      <c r="H337" s="3">
        <f>1161.8+(182.4-70.8)+(-2.370072+(-0.372096--0.144432))+0-55.6--0.113423999999998</f>
        <v>1215.3156879999999</v>
      </c>
      <c r="I337" s="3">
        <f>1193.7+(170.8-90.3)+(3.043935+(0.43554-0.230265))+0-72.7-0.185384999999989</f>
        <v>1204.563825</v>
      </c>
      <c r="J337" s="3">
        <f>1213+(169.8-103.9)+(0+(0-0))+0-72.1-0</f>
        <v>1206.8000000000002</v>
      </c>
      <c r="K337" s="3">
        <f>1284.7+(152.4-128.7)+(1.310394+(0.155448-0.131274))+0-78.4-0.0799680000000125</f>
        <v>1231.2546</v>
      </c>
      <c r="L337" s="3">
        <f>1510.4+(141.7-314.4)+(1.540608+(0.144534-0.320688))+0-74.1-0.0755820000000118</f>
        <v>1264.8888720000002</v>
      </c>
      <c r="M337" s="3">
        <f>1567.1+(141.2-314.4)+(1.598442+(0.144024-0.320688))+0-47-0.0479400000000075</f>
        <v>1348.2738379999998</v>
      </c>
      <c r="N337" s="3">
        <f>1556.6+(140.9-158.1)+(2.381598+(0.215577-0.241893))+0-78.1-0.119493000000004</f>
        <v>1463.535789</v>
      </c>
      <c r="O337" s="3">
        <f>1582.1+(157.8-113.8)+(-1.613742+(-0.160956--0.116076))+0-85.5--0.0872100000000136</f>
        <v>1539.0285879999999</v>
      </c>
      <c r="P337" s="3">
        <f>1642.9+(146.9-116.3)+(-2.513637+(-0.224757--0.177939))+0-76.5--0.117045000000004</f>
        <v>1594.5565899999999</v>
      </c>
      <c r="Q337" s="3">
        <f>1628.8+(147-121.8)+(-5.814816+(-0.52479--0.434826))+0-75--0.267750000000001</f>
        <v>1573.3629699999999</v>
      </c>
      <c r="R337" s="3">
        <f>1624.5+(139.5-143)+(-3.31398+(-0.28458--0.29172))+0-60.6--0.123623999999997</f>
        <v>1557.2167840000002</v>
      </c>
      <c r="S337" s="3">
        <f>1618.3+(139.1-155.7)+(-3.301332+(-0.283764--0.317628))+0-63--0.128519999999997</f>
        <v>1535.561052</v>
      </c>
      <c r="T337" s="3">
        <f>1599.4+(140.2-154.4)+(-0.815694+(-0.071502--0.078744))+0-74.8--0.0381479999999924</f>
        <v>1509.6296960000002</v>
      </c>
      <c r="U337" s="3">
        <f>1644.5+(142.7-210.3)+(2.516085+(0.218331-0.321759))+0-86-0.131580000000005</f>
        <v>1493.1810770000002</v>
      </c>
      <c r="V337" s="3">
        <f>1614.4+(141.5-188.5)+(0+(0-0))+0-41.7-0</f>
        <v>1525.7</v>
      </c>
      <c r="W337" s="3">
        <f>1690.3+(178.6-95.6)+(0+(0-0))+0-79-0</f>
        <v>1694.3</v>
      </c>
      <c r="X337" s="3">
        <f>1799.3+(173.3-89.2)+(-2.752929+(-0.265149--0.136476))+0-90.7--0.138771000000005</f>
        <v>1789.9571689999998</v>
      </c>
      <c r="Y337" s="3">
        <f>1781+(163.8-96.8)+(-3.63324+(-0.334152--0.197472))+0-77.2--0.157487999999997</f>
        <v>1767.1875680000001</v>
      </c>
      <c r="Z337" s="3">
        <f>1734.5+(166.7-112.3)+(-1.76919+(-0.170034--0.114546))+0-73.1--0.0745620000000116</f>
        <v>1714.0498840000002</v>
      </c>
      <c r="AA337" s="3">
        <f>1720+(145.1-138.9)+(0.8772+(0.074001-0.070839))+0-76.1-0.0388109999999923</f>
        <v>1650.9415510000003</v>
      </c>
      <c r="AB337" s="3">
        <f>1673+(141.8-134.5)+(-4.26615+(-0.36159--0.342975))+0-78.3--0.199664999999989</f>
        <v>1597.9149</v>
      </c>
      <c r="AC337" s="3">
        <f>1565.8+(141.2-166.6)+(0.798558+(0.072012-0.084966))+0-44.1-0.0224909999999955</f>
        <v>1497.0631129999999</v>
      </c>
      <c r="AD337">
        <f t="shared" si="5"/>
        <v>35542.726529</v>
      </c>
      <c r="AE337" s="3">
        <f>1814+(178.1-87.1)+(0+(0-0))+0-95.4-0</f>
        <v>1809.6</v>
      </c>
    </row>
    <row r="338" spans="1:31" s="2" customFormat="1" x14ac:dyDescent="0.25">
      <c r="A338">
        <v>89</v>
      </c>
      <c r="B338">
        <v>12</v>
      </c>
      <c r="C338">
        <v>2</v>
      </c>
      <c r="D338">
        <v>3</v>
      </c>
      <c r="E338">
        <v>1</v>
      </c>
      <c r="F338" s="3">
        <f>1404.8+(161.4-96)+(-2.865792+(-0.329256--0.19584))+0-87.9--0.179315999999996</f>
        <v>1379.480108</v>
      </c>
      <c r="G338" s="3">
        <f>1361.9+(141.8-137.3)+(-2.778276+(-0.289272--0.280092))+0-44.2--0.0901679999999981</f>
        <v>1319.502712</v>
      </c>
      <c r="H338" s="3">
        <f>1382.5+(141.5-157.4)+(0.705075+(0.072165-0.080274))+0-80.4-0.0410039999999918</f>
        <v>1286.8559619999999</v>
      </c>
      <c r="I338" s="3">
        <f>1401.1+(141.6-195)+(2.858244+(0.288864-0.3978))+0-73.8-0.150551999999997</f>
        <v>1276.4987559999997</v>
      </c>
      <c r="J338" s="3">
        <f>1385.3+(141.9-149.2)+(-0.706503+(-0.072369--0.076092))+0-88.3--0.045032999999991</f>
        <v>1289.0422530000001</v>
      </c>
      <c r="K338" s="3">
        <f>1390.5+(142.3-166)+(0+(0-0))+0-68.1-0</f>
        <v>1298.7</v>
      </c>
      <c r="L338" s="3">
        <f>1372.4+(142.9-209.2)+(-2.799696+(-0.291516--0.426768))+0-67.8--0.138311999999997</f>
        <v>1235.7738680000002</v>
      </c>
      <c r="M338" s="3">
        <f>1372.5+(139.2-215)+(-2.099925+(-0.212976--0.32895))+0-24.8--0.0379440000000014</f>
        <v>1269.9539930000001</v>
      </c>
      <c r="N338" s="3">
        <f>1477.6+(136.7-173.4)+(2.260728+(0.209151-0.265302))+0-78.5-0.120105000000005</f>
        <v>1364.4844719999999</v>
      </c>
      <c r="O338" s="3">
        <f>1466.9+(154.1-77.5)+(0.748119+(0.078591-0.039525))+0-87.6-0.0446759999999911</f>
        <v>1456.642509</v>
      </c>
      <c r="P338" s="3">
        <f>1476+(204.9-81.8)+(-1.50552+(-0.208998--0.083436))+0-79.9--0.0814980000000127</f>
        <v>1517.6504159999997</v>
      </c>
      <c r="Q338" s="3">
        <f>1509.8+(170.7-80)+(-1.539996+(-0.174114--0.0816))+0-62.9--0.06415800000001</f>
        <v>1536.0316479999999</v>
      </c>
      <c r="R338" s="3">
        <f>1505.9+(169.8-80.4)+(-4.608054+(-0.519588--0.246024))+0-87.5--0.26775000000001</f>
        <v>1503.1861320000003</v>
      </c>
      <c r="S338" s="3">
        <f>1510.7+(141.8-70.3)+(-1.540914+(-0.144636--0.071706))+0-82.7--0.0843540000000132</f>
        <v>1497.9705100000001</v>
      </c>
      <c r="T338" s="3">
        <f>1508.2+(142.2-114.7)+(1.538364+(0.145044-0.116994))+0-77.9-0.0794580000000124</f>
        <v>1459.2869559999999</v>
      </c>
      <c r="U338" s="3">
        <f>1493.8+(142.5-103.4)+(-3.047352+(-0.2907--0.210936))+0-77.1--0.157283999999997</f>
        <v>1452.830168</v>
      </c>
      <c r="V338" s="3">
        <f>1511.1+(152.2-83.4)+(1.541322+(0.155244-0.085068))+0-91-0.0928200000000145</f>
        <v>1490.4186779999998</v>
      </c>
      <c r="W338" s="3">
        <f>1538.3+(262.7-82.7)+(-1.569066+(-0.267954--0.084354))+0-54.5--0.0555900000000087</f>
        <v>1662.1029239999998</v>
      </c>
      <c r="X338" s="3">
        <f>1593.5+(306.4-82.7)+(-0.812685+(-0.156264--0.042177))+0-74.7--0.0380969999999924</f>
        <v>1741.6113249999999</v>
      </c>
      <c r="Y338" s="3">
        <f>1595.3+(301.2-80.9)+(-1.627206+(-0.307224--0.082518))+0-82.3--0.0839460000000131</f>
        <v>1731.5320339999998</v>
      </c>
      <c r="Z338" s="3">
        <f>1599.7+(265.9-82.2)+(-0.815847+(-0.135609--0.041922))+0-83.1--0.0423809999999916</f>
        <v>1699.4328470000003</v>
      </c>
      <c r="AA338" s="3">
        <f>1596.3+(218.1-92.9)+(-0.814113+(-0.111231--0.047379))+0-68.6--0.034985999999993</f>
        <v>1652.0570210000001</v>
      </c>
      <c r="AB338" s="3">
        <f>1582+(186.1-111.4)+(-3.22728+(-0.379644--0.227256))+0-70.7--0.144227999999997</f>
        <v>1582.7645599999998</v>
      </c>
      <c r="AC338" s="3">
        <f>1457+(180-97.7)+(0+(0-0))+0-65.1-0</f>
        <v>1474.2</v>
      </c>
      <c r="AD338">
        <f t="shared" si="5"/>
        <v>35178.009851999996</v>
      </c>
      <c r="AE338" s="3">
        <f>1594+(323-71.9)+(0+(0-0))+0-95.4-0</f>
        <v>1749.6999999999998</v>
      </c>
    </row>
    <row r="339" spans="1:31" s="2" customFormat="1" x14ac:dyDescent="0.25">
      <c r="A339">
        <v>89</v>
      </c>
      <c r="B339">
        <v>12</v>
      </c>
      <c r="C339">
        <v>3</v>
      </c>
      <c r="D339">
        <v>4</v>
      </c>
      <c r="E339">
        <v>1</v>
      </c>
      <c r="F339" s="3">
        <f>1273.8+(249.2-56.7)+(-1.299276+(-0.254184--0.057834))+0-84.5--0.0861900000000135</f>
        <v>1380.390564</v>
      </c>
      <c r="G339" s="3">
        <f>1217.9+(231.2-55)+(0+(0-0))+0-66.9-0</f>
        <v>1327.2</v>
      </c>
      <c r="H339" s="3">
        <f>1184.9+(250.4-53.2)+(0+(0-0))+0-86.7-0</f>
        <v>1295.4000000000001</v>
      </c>
      <c r="I339" s="3">
        <f>1182+(238.1-54.3)+(-1.80846+(-0.364293--0.083079))+0-82.2--0.125766000000005</f>
        <v>1281.636092</v>
      </c>
      <c r="J339" s="3">
        <f>1151.9+(275.4-60.7)+(-2.349876+(-0.561816--0.123828))+0-66.4--0.135455999999997</f>
        <v>1297.5475920000001</v>
      </c>
      <c r="K339" s="3">
        <f>1290.6+(193.2-78.4)+(1.316412+(0.197064-0.079968))+0-82.5-0.0841500000000132</f>
        <v>1324.249358</v>
      </c>
      <c r="L339" s="3">
        <f>1312.9+(182.5-92.6)+(-1.339158+(-0.18615--0.094452))+0-71--0.0724200000000113</f>
        <v>1330.4415640000002</v>
      </c>
      <c r="M339" s="3">
        <f>1431.1+(150.5-130.4)+(-2.189583+(-0.230265--0.199512))+0-24.4--0.0373320000000014</f>
        <v>1424.6169959999997</v>
      </c>
      <c r="N339" s="3">
        <f>1704.5+(142.6-289.8)+(0+(0-0))+0-21.8-0</f>
        <v>1535.5</v>
      </c>
      <c r="O339" s="3">
        <f>1835+(142.4-332)+(-1.8717+(-0.145248--0.33864))+0-19.1--0.019482000000003</f>
        <v>1624.6411740000001</v>
      </c>
      <c r="P339" s="3">
        <f>1819.9+(142.4-293.6)+(-4.640745+(-0.36312--0.74868))+0-16.8--0.0428399999999976</f>
        <v>1647.6876550000002</v>
      </c>
      <c r="Q339" s="3">
        <f>1827.7+(142.2-289.2)+(-1.864254+(-0.145044--0.294984))+0-16--0.0163200000000026</f>
        <v>1663.0020059999999</v>
      </c>
      <c r="R339" s="3">
        <f>1823.3+(142-285.7)+(-4.649415+(-0.3621--0.728535))+0-45--0.114749999999993</f>
        <v>1630.4317699999999</v>
      </c>
      <c r="S339" s="3">
        <f>1848.1+(141.2-315.8)+(0+(0-0))+0-78.9-0</f>
        <v>1594.6</v>
      </c>
      <c r="T339" s="3">
        <f>1888.2+(132-342.6)+(0.962982+(0.06732-0.174726))+0-75-0.0382499999999924</f>
        <v>1603.4173259999998</v>
      </c>
      <c r="U339" s="3">
        <f>1887.3+(132-349)+(0+(0-0))+0-72-0</f>
        <v>1598.3</v>
      </c>
      <c r="V339" s="3">
        <f>1991.3+(128.3-358.2)+(0+(0-0))+0-74.9-0</f>
        <v>1686.5</v>
      </c>
      <c r="W339" s="3">
        <f>2039+(73.2-208.7)+(-1.03989+(-0.037332--0.106437))+0-84.6--0.0431459999999914</f>
        <v>1817.9723610000001</v>
      </c>
      <c r="X339" s="3">
        <f>2123.4+(67.1-246.3)+(-1.082934+(-0.034221--0.125613))+0-79.6--0.0405959999999919</f>
        <v>1863.6490540000002</v>
      </c>
      <c r="Y339" s="3">
        <f>2218+(91.3-398.8)+(-3.39354+(-0.139689--0.610164))+0-68.8--0.105264000000004</f>
        <v>1838.8821990000001</v>
      </c>
      <c r="Z339" s="3">
        <f>2220.9+(133.2-473.4)+(-2.265318+(-0.135864--0.482868))+0-76.5--0.0780300000000122</f>
        <v>1802.3597159999999</v>
      </c>
      <c r="AA339" s="3">
        <f>2111.7+(140.2-440.1)+(-6.461802+(-0.429012--1.346706))+0-79.2--0.242352000000009</f>
        <v>1727.2982439999996</v>
      </c>
      <c r="AB339" s="3">
        <f>1943.7+(139.3-352)+(-3.965148+(-0.284172--0.71808))+0-80.5--0.164219999999996</f>
        <v>1647.1329799999999</v>
      </c>
      <c r="AC339" s="3">
        <f>1846.3+(140.2-358.9)+(-5.649678+(-0.429012--1.098234))+0-92.6--0.283356000000011</f>
        <v>1530.3028999999999</v>
      </c>
      <c r="AD339">
        <f t="shared" si="5"/>
        <v>37473.159551000004</v>
      </c>
      <c r="AE339" s="3">
        <f>2206+(81.5-298)+(0+(0-0))+0-105.1-0</f>
        <v>1884.4</v>
      </c>
    </row>
    <row r="340" spans="1:31" s="2" customFormat="1" x14ac:dyDescent="0.25">
      <c r="A340">
        <v>89</v>
      </c>
      <c r="B340">
        <v>12</v>
      </c>
      <c r="C340">
        <v>4</v>
      </c>
      <c r="D340">
        <v>5</v>
      </c>
      <c r="E340">
        <v>1</v>
      </c>
      <c r="F340" s="3">
        <f>1771.6+(141.2-404.2)+(1.807032+(0.144024-0.412284))+0-69.3-0.070686000000011</f>
        <v>1440.768086</v>
      </c>
      <c r="G340" s="3">
        <f>1633.9+(142.3-309.1)+(-3.333156+(-0.290292--0.630564))+0-83.1--0.169523999999996</f>
        <v>1381.1766400000001</v>
      </c>
      <c r="H340" s="3">
        <f>1468.3+(142.8-200)+(0.748833+(0.072828-0.102))+0-69.2-0.035291999999993</f>
        <v>1342.5843689999999</v>
      </c>
      <c r="I340" s="3">
        <f>1438+(141.6-150.6)+(-2.93352+(-0.288864--0.307224))+0-95.8--0.195431999999996</f>
        <v>1330.480272</v>
      </c>
      <c r="J340" s="3">
        <f>1420.5+(129.7-161.8)+(-2.173365+(-0.198441--0.247554))+0-68.7--0.105111000000004</f>
        <v>1317.6808590000001</v>
      </c>
      <c r="K340" s="3">
        <f>1588.2+(88.6-259.2)+(0.809982+(0.045186-0.132192))+0-80.6-0.0411059999999918</f>
        <v>1337.6818700000003</v>
      </c>
      <c r="L340" s="3">
        <f>1432.9+(96.5-110.3)+(-2.923116+(-0.19686--0.225012))+0-87--0.177479999999996</f>
        <v>1329.3825160000001</v>
      </c>
      <c r="M340" s="3">
        <f>1604.2+(108.3-232.3)+(-1.636284+(-0.110466--0.236946))+0-70.9--0.0723180000000113</f>
        <v>1407.8625139999999</v>
      </c>
      <c r="N340" s="3">
        <f>1874.9+(110-428.1)+(0+(0-0))+0-68-0</f>
        <v>1488.8000000000002</v>
      </c>
      <c r="O340" s="3">
        <f>1976.1+(110-390.6)+(-1.007811+(-0.0561--0.199206))+0-95--0.0484499999999904</f>
        <v>1599.683745</v>
      </c>
      <c r="P340" s="3">
        <f>1971.6+(115-360.4)+(-1.005516+(-0.05865--0.183804))+0-100--0.0509999999999899</f>
        <v>1625.3706379999996</v>
      </c>
      <c r="Q340" s="3">
        <f>2002.3+(120-385.3)+(-1.021173+(-0.0612--0.196503))+0-87--0.0443699999999912</f>
        <v>1649.1585</v>
      </c>
      <c r="R340" s="3">
        <f>2024.1+(121.7-429.6)+(-5.161455+(-0.310335--1.09548))+0-83.6--0.213179999999988</f>
        <v>1628.4368699999998</v>
      </c>
      <c r="S340" s="3">
        <f>2065.5+(112.6-488.4)+(-1.053405+(-0.057426--0.249084))+0-65.1--0.0332009999999934</f>
        <v>1623.7714540000002</v>
      </c>
      <c r="T340" s="3">
        <f>1994.7+(118-508.1)+(-5.086485+(-0.3009--1.295655))+0-22.4--0.0571199999999967</f>
        <v>1578.1653899999997</v>
      </c>
      <c r="U340" s="3">
        <f>1865.3+(114.8-321.2)+(-2.853909+(-0.175644--0.491436))+0-87.5--0.133875000000005</f>
        <v>1568.995758</v>
      </c>
      <c r="V340" s="3">
        <f>1823.7+(108.8-243.2)+(-8.370783+(-0.499392--1.116288))+0-78.6--0.360774000000014</f>
        <v>1603.3068870000002</v>
      </c>
      <c r="W340" s="3">
        <f>1869.4+(104.8-137.6)+(0+(0-0))+0-76.9-0</f>
        <v>1759.7</v>
      </c>
      <c r="X340" s="3">
        <f>2141.3+(76-294.3)+(-4.368252+(-0.15504--0.600372))+0-87.6--0.178703999999996</f>
        <v>1831.6557840000003</v>
      </c>
      <c r="Y340" s="3">
        <f>2194.2+(76.1-393.8)+(0+(0-0))+0-63.6-0</f>
        <v>1812.8999999999999</v>
      </c>
      <c r="Z340" s="3">
        <f>1895.3+(119-166.8)+(0+(0-0))+0-84.1-0</f>
        <v>1763.4</v>
      </c>
      <c r="AA340" s="3">
        <f>1825.4+(131.4-175.7)+(-1.861908+(-0.134028--0.179214))+0-77.7--0.0792540000000124</f>
        <v>1701.6625320000001</v>
      </c>
      <c r="AB340" s="3">
        <f>1817.4+(141.8-235.1)+(-3.707496+(-0.289272--0.479604))+0-78.3--0.159731999999997</f>
        <v>1642.4425680000002</v>
      </c>
      <c r="AC340" s="3">
        <f>1804.9+(141.8-326.7)+(-7.363992+(-0.578544--1.332936))+0-63--0.257039999999995</f>
        <v>1550.64744</v>
      </c>
      <c r="AD340">
        <f t="shared" si="5"/>
        <v>37315.714692000001</v>
      </c>
      <c r="AE340" s="3">
        <f>2206+(76-322.7)+(0+(0-0))+0-107.6-0</f>
        <v>1851.7</v>
      </c>
    </row>
    <row r="341" spans="1:31" s="2" customFormat="1" x14ac:dyDescent="0.25">
      <c r="A341">
        <v>89</v>
      </c>
      <c r="B341">
        <v>12</v>
      </c>
      <c r="C341">
        <v>5</v>
      </c>
      <c r="D341">
        <v>6</v>
      </c>
      <c r="E341">
        <v>1</v>
      </c>
      <c r="F341" s="3">
        <f>1715.1+(141.8-339.6)+(-2.624103+(-0.216954--0.519588))+0-74.7--0.114291000000004</f>
        <v>1440.392822</v>
      </c>
      <c r="G341" s="3">
        <f>1523.4+(144.6-202.2)+(1.553868+(0.147492-0.206244))+0-87.6-0.089352000000014</f>
        <v>1379.6057640000004</v>
      </c>
      <c r="H341" s="3">
        <f>1381+(158.8-109.6)+(-4.22586+(-0.485928--0.335376))+0-91.2--0.279072000000011</f>
        <v>1334.90266</v>
      </c>
      <c r="I341" s="3">
        <f>1382.6+(142-137.1)+(1.410252+(0.14484-0.139842))+0-68.2-0.0695640000000109</f>
        <v>1320.6456860000001</v>
      </c>
      <c r="J341" s="3">
        <f>1382.5+(146.7-122.4)+(0.705075+(0.074817-0.062424))+0-75.6-0.0385559999999923</f>
        <v>1331.8789120000001</v>
      </c>
      <c r="K341" s="3">
        <f>1410.8+(129-126.2)+(4.317048+(0.39474-0.386172))+0-72.2-0.220932000000008</f>
        <v>1345.504684</v>
      </c>
      <c r="L341" s="3">
        <f>1380.9+(145.7-108.2)+(0+(0-0))+0-83.8-0</f>
        <v>1334.6000000000001</v>
      </c>
      <c r="M341" s="3">
        <f>1548.4+(112.1-177)+(2.369052+(0.171513-0.27081))+0-45.9-0.0702270000000026</f>
        <v>1439.799528</v>
      </c>
      <c r="N341" s="3">
        <f>1673.7+(124.3-165.4)+(0+(0-0))+0-80.2-0</f>
        <v>1552.4</v>
      </c>
      <c r="O341" s="3">
        <f>1716.6+(141.5-129.1)+(0+(0-0))+0-88.8-0</f>
        <v>1640.2</v>
      </c>
      <c r="P341" s="3">
        <f>1708.2+(144.5-123.1)+(0+(0-0))+0-58.9-0</f>
        <v>1670.7</v>
      </c>
      <c r="Q341" s="3">
        <f>1693.5+(180-112.4)+(0.863685+(0.0918-0.057324))+0-80.7-0.0411569999999918</f>
        <v>1681.2570040000001</v>
      </c>
      <c r="R341" s="3">
        <f>1699.6+(148.1-133.3)+(-1.733592+(-0.151062--0.135966))+0-64.5--0.0657900000000103</f>
        <v>1648.2171020000001</v>
      </c>
      <c r="S341" s="3">
        <f>1702.8+(127.9-127.7)+(-1.736856+(-0.130458--0.130254))+0-78.8--0.0803760000000126</f>
        <v>1622.5433160000002</v>
      </c>
      <c r="T341" s="3">
        <f>1606.3+(152.7-132.4)+(-0.819213+(-0.077877--0.067524))+0-75.6--0.0385559999999923</f>
        <v>1550.2089899999999</v>
      </c>
      <c r="U341" s="3">
        <f>1537.2+(185.2-96.7)+(-1.567944+(-0.188904--0.098634))+0-78.4--0.0799680000000125</f>
        <v>1545.7217539999999</v>
      </c>
      <c r="V341" s="3">
        <f>1517.6+(241.7-84.1)+(-5.417832+(-0.862869--0.300237))+0-79--0.282030000000001</f>
        <v>1590.5015659999999</v>
      </c>
      <c r="W341" s="3">
        <f>1578.4+(303.7-89)+(-0.804984+(-0.154887--0.04539))+0-68.5--0.034934999999993</f>
        <v>1723.720454</v>
      </c>
      <c r="X341" s="3">
        <f>1772.9+(205.8-89.8)+(-2.712537+(-0.314874--0.137394))+0-80.7--0.123471000000005</f>
        <v>1805.4334540000002</v>
      </c>
      <c r="Y341" s="3">
        <f>1782.4+(158.7-91.7)+(-1.818048+(-0.161874--0.093534))+0-79.3--0.0808860000000126</f>
        <v>1768.2944980000002</v>
      </c>
      <c r="Z341" s="3">
        <f>1771.2+(151.6-103.2)+(-2.709936+(-0.231948--0.157896))+0-86.4--0.132192000000005</f>
        <v>1730.5482040000002</v>
      </c>
      <c r="AA341" s="3">
        <f>1787.6+(136.6-160.4)+(0+(0-0))+0-81.3-0</f>
        <v>1682.5</v>
      </c>
      <c r="AB341" s="3">
        <f>1756.5+(137.4-170.6)+(-3.58326+(-0.280296--0.348024))+0-73.7--0.150347999999997</f>
        <v>1646.2348159999999</v>
      </c>
      <c r="AC341" s="3">
        <f>1685.2+(137.2-208.2)+(-4.29726+(-0.34986--0.53091))+0-80.6--0.205529999999988</f>
        <v>1529.6893200000002</v>
      </c>
      <c r="AD341">
        <f t="shared" si="5"/>
        <v>37315.500533999984</v>
      </c>
      <c r="AE341" s="3">
        <f>1788+(213.4-89.7)+(0+(0-0))+0-92.5-0</f>
        <v>1819.2</v>
      </c>
    </row>
    <row r="342" spans="1:31" s="2" customFormat="1" x14ac:dyDescent="0.25">
      <c r="A342">
        <v>89</v>
      </c>
      <c r="B342">
        <v>12</v>
      </c>
      <c r="C342">
        <v>6</v>
      </c>
      <c r="D342">
        <v>7</v>
      </c>
      <c r="E342">
        <v>1</v>
      </c>
      <c r="F342" s="3">
        <f>1676.4+(140.7-272.1)+(-1.709928+(-0.143514--0.277542))+0-65.8--0.0671160000000105</f>
        <v>1477.6912159999999</v>
      </c>
      <c r="G342" s="3">
        <f>1669.1+(142.4-318)+(-0.851241+(-0.072624--0.16218))+0-74--0.0377399999999925</f>
        <v>1418.776055</v>
      </c>
      <c r="H342" s="3">
        <f>1513.5+(142.2-203.6)+(0+(0-0))+0-86.2-0</f>
        <v>1365.8999999999999</v>
      </c>
      <c r="I342" s="3">
        <f>1458.1+(142.4-177.4)+(2.230893+(0.217872-0.271422))+0-86.3-0.132039000000005</f>
        <v>1338.8453039999999</v>
      </c>
      <c r="J342" s="3">
        <f>1425.5+(142.3-173.3)+(-3.635025+(-0.362865--0.441915))+0-66.8--0.17033999999999</f>
        <v>1324.314365</v>
      </c>
      <c r="K342" s="3">
        <f>1464.9+(113.8-203.5)+(2.241297+(0.174114-0.311355))+0-60.6-0.0927180000000035</f>
        <v>1316.6113379999999</v>
      </c>
      <c r="L342" s="3">
        <f>1446.4+(103.9-205.3)+(-1.475328+(-0.105978--0.209406))+0-87.2--0.0889440000000139</f>
        <v>1256.5170439999999</v>
      </c>
      <c r="M342" s="3">
        <f>1439.5+(3-144)+(0.734145+(0.00153-0.07344))+0-69.6-0.0354959999999929</f>
        <v>1229.5267390000001</v>
      </c>
      <c r="N342" s="3">
        <f>1461.7+(0-167.2)+(-1.490934+(0--0.170544))+0-42.4--0.0432480000000068</f>
        <v>1250.8228579999998</v>
      </c>
      <c r="O342" s="3">
        <f>1546.5+(0-193.6)+(0.788715+(0-0.098736))+0-27.8-0.0141779999999972</f>
        <v>1325.7758010000002</v>
      </c>
      <c r="P342" s="3">
        <f>1709.1+(0-219.6)+(1.743282+(0-0.223992))+0-83.6-0.0852720000000133</f>
        <v>1407.334018</v>
      </c>
      <c r="Q342" s="3">
        <f>1718.6+(0-224.7)+(-3.505944+(0--0.458388))+0-68.5--0.139739999999997</f>
        <v>1422.492184</v>
      </c>
      <c r="R342" s="3">
        <f>1705.2+(0-228.3)+(-0.869652+(0--0.116433))+0-72.3--0.0368729999999927</f>
        <v>1403.8836540000002</v>
      </c>
      <c r="S342" s="3">
        <f>1685.6+(0-240.8)+(-5.157936+(0--0.736848))+0-71.7--0.219402000000008</f>
        <v>1368.8983139999998</v>
      </c>
      <c r="T342" s="3">
        <f>1646.3+(0-219.2)+(-1.679226+(0--0.223584))+0-79.5--0.0810900000000127</f>
        <v>1346.2254479999999</v>
      </c>
      <c r="U342" s="3">
        <f>1573+(0-202.9)+(-4.81338+(0--0.620874))+0-65.3--0.199818000000008</f>
        <v>1300.8073119999999</v>
      </c>
      <c r="V342" s="3">
        <f>1691.3+(0-185.6)+(-1.725126+(0--0.189312))+0-90.8--0.0926160000000145</f>
        <v>1413.4568019999999</v>
      </c>
      <c r="W342" s="3">
        <f>1672.1+(43.7-96)+(-0.852771+(-0.022287--0.04896))+0-83.1--0.0423809999999916</f>
        <v>1535.916283</v>
      </c>
      <c r="X342" s="3">
        <f>1882.5+(0-137.2)+(-2.880225+(0--0.209916))+0-58.7--0.0898110000000034</f>
        <v>1684.0195019999999</v>
      </c>
      <c r="Y342" s="3">
        <f>1911.5+(0-167.8)+(0.974865+(0-0.085578))+0-72.7-0.0370769999999926</f>
        <v>1671.85221</v>
      </c>
      <c r="Z342" s="3">
        <f>1905.9+(0-181.2)+(-2.916027+(0--0.277236))+0-85.5--0.130815000000005</f>
        <v>1636.6920239999999</v>
      </c>
      <c r="AA342" s="3">
        <f>1884.4+(0-192.3)+(0.961044+(0-0.098073))+0-81.9-0.0417689999999917</f>
        <v>1611.0212020000001</v>
      </c>
      <c r="AB342" s="3">
        <f>1843.8+(0-198.5)+(-1.880676+(0--0.20247))+0-78.2--0.0797640000000125</f>
        <v>1565.5015579999999</v>
      </c>
      <c r="AC342" s="3">
        <f>1798.4+(0-232.8)+(-3.668736+(0--0.474912))+0-81.3--0.165851999999996</f>
        <v>1481.2720280000003</v>
      </c>
      <c r="AD342">
        <f t="shared" si="5"/>
        <v>34154.153258999999</v>
      </c>
      <c r="AE342" s="3">
        <f>1920+(0-150.9)+(0+(0-0))+0-87.1-0</f>
        <v>1682</v>
      </c>
    </row>
    <row r="343" spans="1:31" s="2" customFormat="1" x14ac:dyDescent="0.25">
      <c r="A343">
        <v>89</v>
      </c>
      <c r="B343">
        <v>12</v>
      </c>
      <c r="C343">
        <v>7</v>
      </c>
      <c r="D343">
        <v>1</v>
      </c>
      <c r="E343">
        <v>1</v>
      </c>
      <c r="F343" s="3">
        <f>1514.9+(31-105.8)+(-1.545198+(-0.03162--0.107916))+0-72.4--0.0738480000000115</f>
        <v>1366.304946</v>
      </c>
      <c r="G343" s="3">
        <f>1445.7+(34.6-106.8)+(-1.474614+(-0.035292--0.108936))+0-75.4--0.076908000000012</f>
        <v>1296.775938</v>
      </c>
      <c r="H343" s="3">
        <f>1449.4+(22-99.8)+(2.956776+(0.04488-0.203592))+0-72.6-0.148103999999997</f>
        <v>1301.6499600000002</v>
      </c>
      <c r="I343" s="3">
        <f>1403.3+(37.3-92.8)+(-1.431366+(-0.038046--0.094656))+0-78.7--0.0802740000000126</f>
        <v>1267.8055179999999</v>
      </c>
      <c r="J343" s="3">
        <f>1503.9+(0-178.1)+(4.601934+(0-0.544986))+0-63.1-0.193086000000007</f>
        <v>1266.5638620000002</v>
      </c>
      <c r="K343" s="3">
        <f>1570.2+(0-197.1)+(0.800802+(0-0.100521))+0-78.6-0.040085999999992</f>
        <v>1295.1601950000002</v>
      </c>
      <c r="L343" s="3">
        <f>1694.2+(0-295.6)+(2.592126+(0-0.452268))+0-80.4-0.123012000000005</f>
        <v>1320.2168459999998</v>
      </c>
      <c r="M343" s="3">
        <f>1867.1+(0-412.9)+(4.761105+(0-1.052895))+0-39.9-0.101744999999994</f>
        <v>1417.9064649999998</v>
      </c>
      <c r="N343" s="3">
        <f>2058.8+(0-444.3)+(1.049988+(0-0.226593))+0-84.2-0.0429419999999915</f>
        <v>1531.080453</v>
      </c>
      <c r="O343" s="3">
        <f>2126.4+(0-431)+(1.084464+(0-0.21981))+0-77.8-0.0396779999999921</f>
        <v>1618.424976</v>
      </c>
      <c r="P343" s="3">
        <f>2226+(0-477.8)+(3.40578+(0-0.731034))+0-55.8-0.0853740000000032</f>
        <v>1694.989372</v>
      </c>
      <c r="Q343" s="3">
        <f>2286.2+(0-487.4)+(-1.165962+(0--0.248574))+0-84.4--0.0430439999999914</f>
        <v>1713.5256559999996</v>
      </c>
      <c r="R343" s="3">
        <f>2301.1+(0-544.2)+(-1.173561+(0--0.277542))+0-72.8--0.0371279999999926</f>
        <v>1683.2411089999998</v>
      </c>
      <c r="S343" s="3">
        <f>2238.7+(0-524.2)+(-3.425211+(0--0.802026))+0-70.8--0.108324000000004</f>
        <v>1641.1851389999999</v>
      </c>
      <c r="T343" s="3">
        <f>2202.1+(0-498)+(0+(0-0))+0-90.5-0</f>
        <v>1613.6</v>
      </c>
      <c r="U343" s="3">
        <f>2011.5+(0-319.4)+(-2.05173+(0--0.325788))+0-79.1--0.0806820000000126</f>
        <v>1611.35474</v>
      </c>
      <c r="V343" s="3">
        <f>2044+(15.1-373.6)+(0+(0-0))+0-65.6-0</f>
        <v>1619.9</v>
      </c>
      <c r="W343" s="3">
        <f>2114.2+(81.5-320.4)+(-4.312968+(-0.16626--0.653616))+0-62.3--0.127091999999997</f>
        <v>1809.3014799999996</v>
      </c>
      <c r="X343" s="3">
        <f>2265.2+(71.2-362.9)+(-5.77626+(-0.18156--0.925395))+0-82.6--0.210629999999988</f>
        <v>1886.0782049999998</v>
      </c>
      <c r="Y343" s="3">
        <f>2240.4+(83.1-406.9)+(-3.427812+(-0.127143--0.622557))+0-46.4--0.0709920000000027</f>
        <v>1867.3385940000001</v>
      </c>
      <c r="Z343" s="3">
        <f>2136.2+(102.1-335.1)+(-1.089462+(-0.052071--0.170901))+0-80.8--0.0412079999999918</f>
        <v>1821.4705759999999</v>
      </c>
      <c r="AA343" s="3">
        <f>2127.6+(104.3-398.7)+(-2.170152+(-0.106386--0.406674))+0-81.6--0.083232000000013</f>
        <v>1749.8133679999999</v>
      </c>
      <c r="AB343" s="3">
        <f>1991+(86.7-336.8)+(-5.07705+(-0.221085--0.85884))+0-79.8--0.203489999999988</f>
        <v>1656.8641950000001</v>
      </c>
      <c r="AC343" s="3">
        <f>1768.9+(99.2-219.8)+(-3.608556+(-0.202368--0.448392))+0-95.2--0.194207999999996</f>
        <v>1549.9316759999999</v>
      </c>
      <c r="AD343">
        <f t="shared" si="5"/>
        <v>37600.483269000004</v>
      </c>
      <c r="AE343" s="3">
        <f>2291+(72.7-382.4)+(0+(0-0))+0-87.8-0</f>
        <v>1893.5</v>
      </c>
    </row>
    <row r="344" spans="1:31" s="2" customFormat="1" x14ac:dyDescent="0.25">
      <c r="A344">
        <v>89</v>
      </c>
      <c r="B344">
        <v>12</v>
      </c>
      <c r="C344">
        <v>8</v>
      </c>
      <c r="D344">
        <v>2</v>
      </c>
      <c r="E344">
        <v>1</v>
      </c>
      <c r="F344" s="3">
        <f>1503.2+(125.4-113.6)+(-0.766632+(-0.063954--0.057936))+0-73.1--0.0372809999999926</f>
        <v>1441.1646309999999</v>
      </c>
      <c r="G344" s="3">
        <f>1340.7+(188.1-77.8)+(0+(0-0))+0-80.4-0</f>
        <v>1370.6</v>
      </c>
      <c r="H344" s="3">
        <f>1362.5+(145.2-77.7)+(-2.084625+(-0.222156--0.118881))+0-84.5--0.129285000000005</f>
        <v>1343.4413850000001</v>
      </c>
      <c r="I344" s="3">
        <f>1358.5+(124.7-94.6)+(-2.078505+(-0.190791--0.144738))+0-52.5--0.080325000000003</f>
        <v>1334.0557669999998</v>
      </c>
      <c r="J344" s="3">
        <f>1356.4+(155.4-86.8)+(-0.691764+(-0.079254--0.044268))+0-87.7--0.0447269999999911</f>
        <v>1336.6179769999999</v>
      </c>
      <c r="K344" s="3">
        <f>1424.7+(108.3-108.1)+(0.726597+(0.055233-0.055131))+0-87.4-0.0445739999999911</f>
        <v>1338.182125</v>
      </c>
      <c r="L344" s="3">
        <f>1584.9+(78-236.9)+(-1.616598+(-0.07956--0.241638))+0-69--0.070380000000011</f>
        <v>1355.6158600000001</v>
      </c>
      <c r="M344" s="3">
        <f>1686.7+(95.4-238)+(-0.860217+(-0.048654--0.12138))+0-66.6--0.0339659999999932</f>
        <v>1476.7464750000001</v>
      </c>
      <c r="N344" s="3">
        <f>1778.8+(98.4-238.6)+(-1.814376+(-0.100368--0.243372))+0-52.8--0.0538560000000084</f>
        <v>1584.1824839999999</v>
      </c>
      <c r="O344" s="3">
        <f>1822.7+(74-210.9)+(1.859154+(0.07548-0.215118))+0-21.1-0.0215220000000034</f>
        <v>1666.3979940000002</v>
      </c>
      <c r="P344" s="3">
        <f>2018.7+(80-246.7)+(-4.118148+(-0.1632--0.503268))+0-0-0</f>
        <v>1848.22192</v>
      </c>
      <c r="Q344" s="3">
        <f>2030.1+(92-306.2)+(-3.106053+(-0.14076--0.468486))+0-80.9--0.123777000000005</f>
        <v>1732.3454499999998</v>
      </c>
      <c r="R344" s="3">
        <f>1991.4+(96.6-255.8)+(-6.093684+(-0.295596--0.782748))+0-75.1--0.229806000000009</f>
        <v>1751.7232740000002</v>
      </c>
      <c r="S344" s="3">
        <f>1897.3+(74.3-180.3)+(-2.902869+(-0.113679--0.275859))+0-71.4--0.109242000000004</f>
        <v>1717.2685529999999</v>
      </c>
      <c r="T344" s="3">
        <f>1844.2+(92.8-173.9)+(-2.821626+(-0.141984--0.266067))+0-86.4--0.132192000000005</f>
        <v>1674.1346490000001</v>
      </c>
      <c r="U344" s="3">
        <f>1754.7+(118.1-169.6)+(-1.789794+(-0.120462--0.172992))+0-75.6--0.077112000000012</f>
        <v>1625.939848</v>
      </c>
      <c r="V344" s="3">
        <f>1750.6+(125.3-152.2)+(-5.356836+(-0.383418--0.465732))+0-72.4--0.221544000000008</f>
        <v>1646.2470219999998</v>
      </c>
      <c r="W344" s="3">
        <f>1820.3+(135.6-106.3)+(-2.785059+(-0.207468--0.162639))+0-85.9--0.131427000000005</f>
        <v>1761.0015389999999</v>
      </c>
      <c r="X344" s="3">
        <f>2055+(51.7-149.1)+(-2.0961+(-0.052734--0.152082))+0-85.5--0.0872100000000136</f>
        <v>1870.1904579999998</v>
      </c>
      <c r="Y344" s="3">
        <f>2049.4+(53-188.7)+(-6.271164+(-0.16218--0.577422))+0-68.7--0.210222000000008</f>
        <v>1839.3543</v>
      </c>
      <c r="Z344" s="3">
        <f>2061+(84.2-256.3)+(-2.10222+(-0.085884--0.261426))+0-81.3--0.082926000000013</f>
        <v>1805.7562480000001</v>
      </c>
      <c r="AA344" s="3">
        <f>2021+(86.4-289.1)+(-3.09213+(-0.132192--0.442323))+0-90.4--0.138312000000005</f>
        <v>1725.2563129999999</v>
      </c>
      <c r="AB344" s="3">
        <f>1738.4+(144.2-141)+(-4.43292+(-0.36771--0.35955))+0-84.6--0.215729999999988</f>
        <v>1652.7746500000001</v>
      </c>
      <c r="AC344" s="3">
        <f>1628.5+(124.5-127.8)+(-4.152675+(-0.317475--0.32589))+0-74.1--0.188954999999989</f>
        <v>1547.1446950000002</v>
      </c>
      <c r="AD344">
        <f t="shared" si="5"/>
        <v>38444.363617000003</v>
      </c>
      <c r="AE344" s="3">
        <f>2068+(54.9-152.6)+(0+(0-0))+0-94.6-0</f>
        <v>1875.7</v>
      </c>
    </row>
    <row r="345" spans="1:31" s="2" customFormat="1" x14ac:dyDescent="0.25">
      <c r="A345">
        <v>89</v>
      </c>
      <c r="B345">
        <v>12</v>
      </c>
      <c r="C345">
        <v>9</v>
      </c>
      <c r="D345">
        <v>3</v>
      </c>
      <c r="E345">
        <v>1</v>
      </c>
      <c r="F345" s="3">
        <f>1580.5+(105.4-194.7)+(0+(0-0))+0-42.5-0</f>
        <v>1448.7</v>
      </c>
      <c r="G345" s="3">
        <f>1541+(105.4-177.6)+(0+(0-0))+0-82.5-0</f>
        <v>1386.3</v>
      </c>
      <c r="H345" s="3">
        <f>1464.4+(118.3-132.9)+(0+(0-0))+0-78.5-0</f>
        <v>1371.3000000000002</v>
      </c>
      <c r="I345" s="3">
        <f>1478.6+(104.9-160.9)+(0+(0-0))+0-72.6-0</f>
        <v>1350</v>
      </c>
      <c r="J345" s="3">
        <f>1466.7+(105.3-147.7)+(0+(0-0))+0-79.9-0</f>
        <v>1344.3999999999999</v>
      </c>
      <c r="K345" s="3">
        <f>1683.9+(85.1-316.2)+(0+(0-0))+0-77-0</f>
        <v>1375.8000000000002</v>
      </c>
      <c r="L345" s="3">
        <f>1772+(105.3-426.1)+(0+(0-0))+0-83.4-0</f>
        <v>1367.8</v>
      </c>
      <c r="M345" s="3">
        <f>1772.2+(107.9-311.8)+(0+(0-0))+0-80.2-0</f>
        <v>1488.1</v>
      </c>
      <c r="N345" s="3">
        <f>1718.1+(117.6-179.1)+(0+(0-0))+0-72.6-0</f>
        <v>1584</v>
      </c>
      <c r="O345" s="3">
        <f>1736.3+(148-151.1)+(0+(0-0))+0-73.6-0</f>
        <v>1659.6000000000001</v>
      </c>
      <c r="P345" s="3">
        <f>1800.3+(139.1-170.2)+(-1.836306+(-0.141882--0.173604))+0-76.7--0.0782340000000122</f>
        <v>1690.7736500000001</v>
      </c>
      <c r="Q345" s="3">
        <f>1843.7+(120.8-169.1)+(-2.820861+(-0.184824--0.258723))+0-78.5--0.120105000000005</f>
        <v>1714.2731430000001</v>
      </c>
      <c r="R345" s="3">
        <f>1796.4+(135.1-163.8)+(-3.664656+(-0.275604--0.334152))+0-78.1--0.159323999999997</f>
        <v>1686.1532160000002</v>
      </c>
      <c r="S345" s="3">
        <f>1689.9+(166.1-135.9)+(-3.447396+(-0.338844--0.277236))+0-62.9--0.128315999999997</f>
        <v>1653.8193120000001</v>
      </c>
      <c r="T345" s="3">
        <f>1692+(125.8-146.1)+(-0.86292+(-0.064158--0.074511))+0-34.2--0.0174419999999965</f>
        <v>1636.6648750000002</v>
      </c>
      <c r="U345" s="3">
        <f>1723.4+(112.6-169)+(0+(0-0))+0-48.8-0</f>
        <v>1618.2</v>
      </c>
      <c r="V345" s="3">
        <f>1830.3+(88.1-171.8)+(-5.600718+(-0.269586--0.525708))+0-80.9--0.247554000000009</f>
        <v>1660.6029579999999</v>
      </c>
      <c r="W345" s="3">
        <f>1886.9+(116.5-130.1)+(-4.811595+(-0.297075--0.331755))+0-88.8--0.226439999999987</f>
        <v>1779.9495250000002</v>
      </c>
      <c r="X345" s="3">
        <f>2013.2+(83.5-147.2)+(-4.106928+(-0.17034--0.300288))+0-83.5--0.170339999999996</f>
        <v>1862.19336</v>
      </c>
      <c r="Y345" s="3">
        <f>1973.3+(96.9-137.9)+(-3.019149+(-0.148257--0.210987))+0-84.1--0.128673000000005</f>
        <v>1845.3722539999999</v>
      </c>
      <c r="Z345" s="3">
        <f>1800.9+(188.5-97.3)+(-5.510754+(-0.57681--0.297738))+0-88.2--0.26989200000001</f>
        <v>1798.3800660000002</v>
      </c>
      <c r="AA345" s="3">
        <f>1870+(92.4-144.2)+(-0.9537+(-0.047124--0.073542))+0-83.3--0.0424829999999915</f>
        <v>1734.0152009999999</v>
      </c>
      <c r="AB345" s="3">
        <f>1858+(90.4-186)+(-3.79032+(-0.184416--0.37944))+0-84--0.171359999999996</f>
        <v>1674.9760640000002</v>
      </c>
      <c r="AC345" s="3">
        <f>1772.4+(90.3-220.5)+(-6.327468+(-0.322371--0.787185))+0-57--0.203490000000001</f>
        <v>1579.5408360000001</v>
      </c>
      <c r="AD345">
        <f t="shared" si="5"/>
        <v>38310.91446</v>
      </c>
      <c r="AE345" s="3">
        <f>2030+(81-150)+(0+(0-0))+0-98.6-0</f>
        <v>1862.4</v>
      </c>
    </row>
    <row r="346" spans="1:31" s="2" customFormat="1" x14ac:dyDescent="0.25">
      <c r="A346">
        <v>89</v>
      </c>
      <c r="B346">
        <v>12</v>
      </c>
      <c r="C346">
        <v>10</v>
      </c>
      <c r="D346">
        <v>4</v>
      </c>
      <c r="E346">
        <v>1</v>
      </c>
      <c r="F346" s="3">
        <f>1619.8+(90.2-200)+(-3.304392+(-0.184008--0.408))+0-40--0.0815999999999983</f>
        <v>1467.0011999999999</v>
      </c>
      <c r="G346" s="3">
        <f>1524.9+(94.9-144.7)+(-2.333097+(-0.145197--0.221391))+0-60.1--0.0919530000000035</f>
        <v>1412.8350500000004</v>
      </c>
      <c r="H346" s="3">
        <f>1314.3+(213.4-77.5)+(-2.681172+(-0.435336--0.1581))+0-84.9--0.173195999999996</f>
        <v>1362.514788</v>
      </c>
      <c r="I346" s="3">
        <f>1294.7+(211.6-79.3)+(-3.301485+(-0.53958--0.202215))+0-80.3--0.204764999999988</f>
        <v>1343.2659149999999</v>
      </c>
      <c r="J346" s="3">
        <f>1277.1+(226.6-89.2)+(0+(0-0))+0-82.8-0</f>
        <v>1331.7</v>
      </c>
      <c r="K346" s="3">
        <f>1419.5+(120.4-125.8)+(-2.171835+(-0.184212--0.192474))+0-79.9--0.122247000000005</f>
        <v>1332.1586739999998</v>
      </c>
      <c r="L346" s="3">
        <f>1478.7+(99.8-154.5)+(-2.262411+(-0.152694--0.236385))+0-71.9--0.110007000000004</f>
        <v>1350.0312869999998</v>
      </c>
      <c r="M346" s="3">
        <f>1676+(86.7-255.5)+(0+(0-0))+0-29.8-0</f>
        <v>1477.4</v>
      </c>
      <c r="N346" s="3">
        <f>1812.6+(82.9-279.1)+(0.924426+(0.042279-0.142341))+0-21.6-0.0110159999999978</f>
        <v>1595.6133480000001</v>
      </c>
      <c r="O346" s="3">
        <f>1806.6+(92.4-210.8)+(-0.921366+(-0.047124--0.107508))+0-16--0.00815999999999838</f>
        <v>1671.347178</v>
      </c>
      <c r="P346" s="3">
        <f>1823.9+(103.7-193)+(0+(0-0))+0-21-0</f>
        <v>1713.6000000000001</v>
      </c>
      <c r="Q346" s="3">
        <f>1806.3+(115-183.7)+(-1.842426+(-0.1173--0.187374))+0-14.7--0.0149940000000023</f>
        <v>1721.142642</v>
      </c>
      <c r="R346" s="3">
        <f>1697+(163-164)+(-4.32735+(-0.41565--0.4182))+0-15--0.0382499999999978</f>
        <v>1676.71345</v>
      </c>
      <c r="S346" s="3">
        <f>1612.5+(205.5-88.2)+(0.822375+(0.104805-0.044982))+0-15.7-0.00800699999999841</f>
        <v>1714.974191</v>
      </c>
      <c r="T346" s="3">
        <f>1504.1+(226.9-90.7)+(-1.534182+(-0.231438--0.092514))+0-28--0.0285600000000045</f>
        <v>1610.655454</v>
      </c>
      <c r="U346" s="3">
        <f>1609.2+(181-121.9)+(0+(0-0))+0-64.8-0</f>
        <v>1603.5</v>
      </c>
      <c r="V346" s="3">
        <f>1750.4+(147.5-138.4)+(-1.785408+(-0.15045--0.141168))+0-69.7--0.0710940000000111</f>
        <v>1688.0764039999999</v>
      </c>
      <c r="W346" s="3">
        <f>1730.5+(196.4-91.9)+(-1.76511+(-0.200328--0.093738))+0-57.1--0.0582420000000091</f>
        <v>1776.0865420000002</v>
      </c>
      <c r="X346" s="3">
        <f>1829.1+(171.5-96.4)+(-2.798523+(-0.262395--0.147492))+0-23.5--0.0359550000000014</f>
        <v>1877.8225289999998</v>
      </c>
      <c r="Y346" s="3">
        <f>1839.1+(162-103.6)+(-2.813823+(-0.24786--0.158508))+0-74.6--0.114138000000004</f>
        <v>1820.1109630000001</v>
      </c>
      <c r="Z346" s="3">
        <f>1825.4+(159.2-134.1)+(-1.861908+(-0.162384--0.136782))+0-79.2--0.0807840000000126</f>
        <v>1769.4932739999999</v>
      </c>
      <c r="AA346" s="3">
        <f>1869.3+(142.5-157.3)+(-3.813372+(-0.2907--0.320892))+0-78.9--0.160955999999997</f>
        <v>1771.9777759999999</v>
      </c>
      <c r="AB346" s="3">
        <f>1806.7+(125.2-173.1)+(-5.528502+(-0.383112--0.529686))+0-76.3--0.233478000000009</f>
        <v>1677.3515500000001</v>
      </c>
      <c r="AC346" s="3">
        <f>1715.2+(102.1-194.2)+(-1.749504+(-0.104142--0.198084))+0-57.1--0.0582420000000091</f>
        <v>1564.4026800000004</v>
      </c>
      <c r="AD346">
        <f t="shared" si="5"/>
        <v>38329.774894999995</v>
      </c>
      <c r="AE346" s="3">
        <f>1836+(146.1-99.2)+(0+(0-0))+0-23.7-0</f>
        <v>1859.2</v>
      </c>
    </row>
    <row r="347" spans="1:31" s="2" customFormat="1" x14ac:dyDescent="0.25">
      <c r="A347">
        <v>89</v>
      </c>
      <c r="B347">
        <v>12</v>
      </c>
      <c r="C347">
        <v>11</v>
      </c>
      <c r="D347">
        <v>5</v>
      </c>
      <c r="E347">
        <v>1</v>
      </c>
      <c r="F347" s="3">
        <f>1593.8+(104.7-171.7)+(-3.251352+(-0.213588--0.350268))+0-82.4--0.168095999999996</f>
        <v>1441.453424</v>
      </c>
      <c r="G347" s="3">
        <f>1482.3+(103.7-125.1)+(-3.023892+(-0.211548--0.255204))+0-81.1--0.165443999999996</f>
        <v>1376.9852079999998</v>
      </c>
      <c r="H347" s="3">
        <f>1406.3+(135.7-94.5)+(-1.434426+(-0.138414--0.09639))+0-94.5--0.0963900000000151</f>
        <v>1351.6199399999998</v>
      </c>
      <c r="I347" s="3">
        <f>1361+(144.9-88.1)+(-1.38822+(-0.147798--0.089862))+0-83.7--0.0853740000000134</f>
        <v>1332.7392179999999</v>
      </c>
      <c r="J347" s="3">
        <f>1381.2+(125.2-103.8)+(2.113236+(0.191556-0.158814))+0-67.8-0.103734000000004</f>
        <v>1336.8422440000002</v>
      </c>
      <c r="K347" s="3">
        <f>1456.4+(97.9-129.8)+(-1.485528+(-0.099858--0.132396))+0-75.8--0.0773160000000121</f>
        <v>1347.3243260000002</v>
      </c>
      <c r="L347" s="3">
        <f>1490.2+(99.9-137.7)+(0+(0-0))+0-87.1-0</f>
        <v>1365.3000000000002</v>
      </c>
      <c r="M347" s="3">
        <f>1581.6+(97-141.6)+(0.806616+(0.04947-0.072216))+0-75.6-0.0385559999999923</f>
        <v>1462.1453140000001</v>
      </c>
      <c r="N347" s="3">
        <f>1915.9+(101.7-330.1)+(-0.977109+(-0.051867--0.168351))+0-81.8--0.0417179999999917</f>
        <v>1604.881093</v>
      </c>
      <c r="O347" s="3">
        <f>1931+(94.7-205)+(1.96962+(0.096594-0.2091))+0-83.3-0.0849660000000133</f>
        <v>1739.1721479999999</v>
      </c>
      <c r="P347" s="3">
        <f>1989.2+(98.5-313.4)+(-1.014492+(-0.050235--0.159834))+0-64.3--0.0327929999999935</f>
        <v>1709.1279000000004</v>
      </c>
      <c r="Q347" s="3">
        <f>1976.6+(87.7-258)+(-2.016132+(-0.089454--0.26316))+0-91--0.0928200000000145</f>
        <v>1713.5503940000001</v>
      </c>
      <c r="R347" s="3">
        <f>1908.1+(89.3-245.9)+(-1.946262+(-0.091086--0.250818))+0-79--0.0805800000000126</f>
        <v>1670.79405</v>
      </c>
      <c r="S347" s="3">
        <f>1767.7+(108.2-175.1)+(-0.901527+(-0.055182--0.089301))+0-58--0.0295799999999941</f>
        <v>1641.9621719999998</v>
      </c>
      <c r="T347" s="3">
        <f>1778.2+(98.5-181.4)+(-1.813764+(-0.10047--0.185028))+0-72--0.0734400000000115</f>
        <v>1621.6442340000001</v>
      </c>
      <c r="U347" s="3">
        <f>1811.4+(96.4-223.6)+(1.847628+(0.098328-0.228072))+0-70.9-0.0723180000000113</f>
        <v>1614.9455659999999</v>
      </c>
      <c r="V347" s="3">
        <f>1865.2+(87.4-224.8)+(-3.805008+(-0.178296--0.458592))+0-77.5--0.158099999999997</f>
        <v>1646.9333880000001</v>
      </c>
      <c r="W347" s="3">
        <f>1895.6+(109.8-143)+(-3.867024+(-0.223992--0.29172))+0-81.5--0.166259999999996</f>
        <v>1777.2669639999999</v>
      </c>
      <c r="X347" s="3">
        <f>2102.7+(71-216.2)+(-4.289508+(-0.14484--0.441048))+0-75.3--0.153611999999997</f>
        <v>1878.3603119999998</v>
      </c>
      <c r="Y347" s="3">
        <f>2119+(77.5-254.1)+(-5.40345+(-0.197625--0.647955))+0-86.4--0.220319999999987</f>
        <v>1851.2672</v>
      </c>
      <c r="Z347" s="3">
        <f>1990.2+(104.9-189.8)+(-6.090012+(-0.320994--0.580788))+0-91.9--0.281214000000011</f>
        <v>1807.8509959999999</v>
      </c>
      <c r="AA347" s="3">
        <f>1862+(117.1-160.3)+(-0.94962+(-0.059721--0.081753))+0-69.8--0.0355979999999929</f>
        <v>1748.1080099999999</v>
      </c>
      <c r="AB347" s="3">
        <f>1846.6+(107.1-179.7)+(-3.767064+(-0.218484--0.366588))+0-86.2--0.175847999999996</f>
        <v>1684.356888</v>
      </c>
      <c r="AC347" s="3">
        <f>1751.1+(105.2-189.6)+(-4.465305+(-0.26826--0.48348))+0-81.8--0.208589999999988</f>
        <v>1580.8585049999999</v>
      </c>
      <c r="AD347">
        <f t="shared" si="5"/>
        <v>38305.489494000001</v>
      </c>
      <c r="AE347" s="3">
        <f>2129+(68.1-243.5)+(0+(0-0))+0-74.8-0</f>
        <v>1878.8</v>
      </c>
    </row>
    <row r="348" spans="1:31" s="2" customFormat="1" x14ac:dyDescent="0.25">
      <c r="A348">
        <v>89</v>
      </c>
      <c r="B348">
        <v>12</v>
      </c>
      <c r="C348">
        <v>12</v>
      </c>
      <c r="D348">
        <v>6</v>
      </c>
      <c r="E348">
        <v>1</v>
      </c>
      <c r="F348" s="3">
        <f>1516.3+(132.6-109.6)+(-3.866565+(-0.33813--0.27948))+0-71.5--0.18232499999999</f>
        <v>1464.05711</v>
      </c>
      <c r="G348" s="3">
        <f>1518+(103.4-133.7)+(-2.32254+(-0.158202--0.204561))+0-72.5--0.110925000000004</f>
        <v>1413.034744</v>
      </c>
      <c r="H348" s="3">
        <f>1507.3+(106.9-139.5)+(-0.768723+(-0.054519--0.071145))+0-75.8--0.0386579999999923</f>
        <v>1398.186561</v>
      </c>
      <c r="I348" s="3">
        <f>1434.7+(136.1-111.1)+(-3.658485+(-0.347055--0.283305))+0-76.7--0.195584999999989</f>
        <v>1379.47335</v>
      </c>
      <c r="J348" s="3">
        <f>1425.3+(133.3-104.7)+(3.634515+(0.339915-0.266985))+0-79.7-0.203234999999988</f>
        <v>1377.7042099999999</v>
      </c>
      <c r="K348" s="3">
        <f>1418.3+(134.4-95.1)+(1.446666+(0.137088-0.097002))+0-84.5-0.0861900000000135</f>
        <v>1374.5005619999999</v>
      </c>
      <c r="L348" s="3">
        <f>1432.5+(124.1-112.7)+(-0.730575+(-0.063291--0.057477))+0-78.4--0.039983999999992</f>
        <v>1364.8035950000001</v>
      </c>
      <c r="M348" s="3">
        <f>1614.5+(93.9-172.3)+(0.823395+(0.047889-0.087873))+0-85-0.0433499999999914</f>
        <v>1451.8400609999999</v>
      </c>
      <c r="N348" s="3">
        <f>1830+(96.1-303.8)+(1.8666+(0.098022-0.309876))+0-44.6-0.0454920000000071</f>
        <v>1579.309254</v>
      </c>
      <c r="O348" s="3">
        <f>1991.5+(91.2-346.4)+(0+(0-0))+0-74.3-0</f>
        <v>1662</v>
      </c>
      <c r="P348" s="3">
        <f>2073.1+(91.3-383.1)+(2.114562+(0.093126-0.390762))+0-89.2-0.0909840000000142</f>
        <v>1693.8259419999999</v>
      </c>
      <c r="Q348" s="3">
        <f>2116.6+(95.7-416.1)+(1.079466+(0.048807-0.212211))+0-74-0.0377399999999925</f>
        <v>1723.0783219999998</v>
      </c>
      <c r="R348" s="3">
        <f>2103.2+(93.9-422.6)+(-2.145264+(-0.095778--0.431052))+0-64.2--0.0654840000000102</f>
        <v>1708.5554939999997</v>
      </c>
      <c r="S348" s="3">
        <f>2039.4+(92.2-400.9)+(-6.240564+(-0.282132--1.226754))+0-67.9--0.207774000000008</f>
        <v>1657.711832</v>
      </c>
      <c r="T348" s="3">
        <f>2023.7+(93.1-426.7)+(-4.128348+(-0.189924--0.870468))+0-78.8--0.160751999999997</f>
        <v>1608.0129480000001</v>
      </c>
      <c r="U348" s="3">
        <f>1936.4+(91-355.4)+(0+(0-0))+0-69.6-0</f>
        <v>1602.4</v>
      </c>
      <c r="V348" s="3">
        <f>1943.2+(87.3-312.4)+(-1.982064+(-0.089046--0.318648))+0-97.4--0.0993480000000155</f>
        <v>1619.0468860000001</v>
      </c>
      <c r="W348" s="3">
        <f>1983.4+(90.5-227.4)+(1.011534+(0.046155-0.115974))+0-90-0.0458999999999909</f>
        <v>1757.3958149999999</v>
      </c>
      <c r="X348" s="3">
        <f>2120.9+(67.1-255.2)+(-1.081659+(-0.034221--0.130152))+0-80.4--0.0410039999999918</f>
        <v>1851.4552759999999</v>
      </c>
      <c r="Y348" s="3">
        <f>2074.7+(71.3-239.2)+(-6.348582+(-0.218178--0.731952))+0-85.9--0.26285400000001</f>
        <v>1815.3280459999996</v>
      </c>
      <c r="Z348" s="3">
        <f>1856.4+(120.9-134)+(-1.893528+(-0.123318--0.13668))+0-73.9--0.0753780000000118</f>
        <v>1767.5952120000002</v>
      </c>
      <c r="AA348" s="3">
        <f>1830+(104.4-154.1)+(-2.7999+(-0.159732--0.235773))+0-82--0.125460000000005</f>
        <v>1695.701601</v>
      </c>
      <c r="AB348" s="3">
        <f>1715.7+(134.8-125.5)+(-4.375035+(-0.34374--0.320025))+0-82.7--0.210884999999988</f>
        <v>1638.1121349999999</v>
      </c>
      <c r="AC348" s="3">
        <f>1522.9+(178.5-85.9)+(-3.883395+(-0.455175--0.219045))+0-71.6--0.18257999999999</f>
        <v>1539.9630549999999</v>
      </c>
      <c r="AD348">
        <f t="shared" si="5"/>
        <v>38143.092011000008</v>
      </c>
      <c r="AE348" s="3">
        <f>2161+(66.2-258.9)+(0+(0-0))+0-96.4-0</f>
        <v>1871.8999999999999</v>
      </c>
    </row>
    <row r="349" spans="1:31" s="2" customFormat="1" x14ac:dyDescent="0.25">
      <c r="A349">
        <v>89</v>
      </c>
      <c r="B349">
        <v>12</v>
      </c>
      <c r="C349">
        <v>13</v>
      </c>
      <c r="D349">
        <v>7</v>
      </c>
      <c r="E349">
        <v>1</v>
      </c>
      <c r="F349" s="3">
        <f>1426.9+(170.8-77.4)+(-3.638595+(-0.43554--0.19737))+0-60.8--0.155039999999991</f>
        <v>1455.7782750000003</v>
      </c>
      <c r="G349" s="3">
        <f>1382.8+(170.4-73.3)+(-2.115684+(-0.260712--0.112149))+0-94.5--0.144585000000005</f>
        <v>1383.2803379999998</v>
      </c>
      <c r="H349" s="3">
        <f>1380.3+(132-83.9)+(-2.815812+(-0.26928--0.171156))+0-72.2--0.147287999999997</f>
        <v>1353.4333519999998</v>
      </c>
      <c r="I349" s="3">
        <f>1309.6+(186.3-74.1)+(2.003688+(0.285039-0.113373))+0-82.4-0.126072000000005</f>
        <v>1341.4492819999998</v>
      </c>
      <c r="J349" s="3">
        <f>1263.8+(184.7-79.1)+(0.644538+(0.094197-0.040341))+0-40.3-0.0205529999999959</f>
        <v>1329.7778409999999</v>
      </c>
      <c r="K349" s="3">
        <f>1292.9+(182.9-78.7)+(1.318758+(0.186558-0.080274))+0-82.6-0.0842520000000132</f>
        <v>1315.8407900000002</v>
      </c>
      <c r="L349" s="3">
        <f>1319.8+(114.3-88.9)+(-2.692392+(-0.233172--0.181356))+0-83.5--0.170339999999996</f>
        <v>1259.1261319999999</v>
      </c>
      <c r="M349" s="3">
        <f>1360.9+(107.3-89.6)+(0.694059+(0.054723-0.045696))+0-80.9-0.0412589999999918</f>
        <v>1298.3618269999999</v>
      </c>
      <c r="N349" s="3">
        <f>1485.9+(95.5-155.1)+(0+(0-0))+0-74.3-0</f>
        <v>1352.0000000000002</v>
      </c>
      <c r="O349" s="3">
        <f>1569.5+(94.8-161.6)+(0+(0-0))+0-81.9-0</f>
        <v>1420.8</v>
      </c>
      <c r="P349" s="3">
        <f>1615.3+(111.7-156.1)+(0.823803+(0.056967-0.079611))+0-82.5-0.0420749999999916</f>
        <v>1489.1590839999999</v>
      </c>
      <c r="Q349" s="3">
        <f>1707.1+(87.7-194)+(0+(0-0))+0-89.4-0</f>
        <v>1511.3999999999999</v>
      </c>
      <c r="R349" s="3">
        <f>1711+(93.8-244.1)+(0+(0-0))+0-73.5-0</f>
        <v>1487.2</v>
      </c>
      <c r="S349" s="3">
        <f>1693.3+(88.8-246.4)+(0+(0-0))+0-76.6-0</f>
        <v>1459.1</v>
      </c>
      <c r="T349" s="3">
        <f>1625.4+(92.4-219.7)+(0+(0-0))+0-82-0</f>
        <v>1416.1000000000001</v>
      </c>
      <c r="U349" s="3">
        <f>1569.5+(107.7-191.8)+(0+(0-0))+0-70.6-0</f>
        <v>1414.8000000000002</v>
      </c>
      <c r="V349" s="3">
        <f>1555.4+(89.1-177.3)+(0+(0-0))+0-51.8-0</f>
        <v>1415.4</v>
      </c>
      <c r="W349" s="3">
        <f>1567.2+(136.6-100)+(0+(0-0))+0-71.1-0</f>
        <v>1532.7</v>
      </c>
      <c r="X349" s="3">
        <f>1799.4+(92.8-105)+(0+(0-0))+0-75.5-0</f>
        <v>1711.7</v>
      </c>
      <c r="Y349" s="3">
        <f>1824.4+(90.3-112.7)+(0+(0-0))+0-84-0</f>
        <v>1718</v>
      </c>
      <c r="Z349" s="3">
        <f>1807.4+(99.6-120.9)+(0+(0-0))+0-85.6-0</f>
        <v>1700.5000000000002</v>
      </c>
      <c r="AA349" s="3">
        <f>1643.3+(183.8-83.9)+(0+(0-0))+0-99.4-0</f>
        <v>1643.8</v>
      </c>
      <c r="AB349" s="3">
        <f>1746+(95.8-157.9)+(0+(0-0))+0-69.4-0</f>
        <v>1614.5</v>
      </c>
      <c r="AC349" s="3">
        <f>1627.7+(88.5-137)+(0+(0-0))+0-57.1-0</f>
        <v>1522.1000000000001</v>
      </c>
      <c r="AD349">
        <f t="shared" si="5"/>
        <v>35146.306921000003</v>
      </c>
      <c r="AE349" s="3">
        <f>1845+(100.8-112.3)+(0+(0-0))+0-99.7-0</f>
        <v>1733.8</v>
      </c>
    </row>
    <row r="350" spans="1:31" s="2" customFormat="1" x14ac:dyDescent="0.25">
      <c r="A350">
        <v>89</v>
      </c>
      <c r="B350">
        <v>12</v>
      </c>
      <c r="C350">
        <v>14</v>
      </c>
      <c r="D350">
        <v>1</v>
      </c>
      <c r="E350">
        <v>1</v>
      </c>
      <c r="F350" s="3">
        <f>1512.3+(88.4-120.6)+(-2.313819+(-0.135252--0.184518))+0-65.6--0.100368000000004</f>
        <v>1412.3358150000001</v>
      </c>
      <c r="G350" s="3">
        <f>1393.8+(99.4-90.2)+(2.132514+(0.152082-0.138006))+0-65.1-0.0996030000000038</f>
        <v>1339.946987</v>
      </c>
      <c r="H350" s="3">
        <f>1356.5+(97.4-97.3)+(0+(0-0))+0-47-0</f>
        <v>1309.5999999999999</v>
      </c>
      <c r="I350" s="3">
        <f>1374.6+(96.5-105.8)+(3.50523+(0.246075-0.26979))+0-62.9-0.160394999999991</f>
        <v>1305.7211199999999</v>
      </c>
      <c r="J350" s="3">
        <f>1396.3+(94.5-117.8)+(4.272678+(0.28917-0.360468))+0-67.9-0.207774000000008</f>
        <v>1309.0936059999999</v>
      </c>
      <c r="K350" s="3">
        <f>1566.7+(92.5-239.2)+(0+(0-0))+0-91.4-0</f>
        <v>1328.6</v>
      </c>
      <c r="L350" s="3">
        <f>1633.3+(94.9-314.2)+(0+(0-0))+0-82.5-0</f>
        <v>1331.5</v>
      </c>
      <c r="M350" s="3">
        <f>1743.3+(105.4-347.5)+(0+(0-0))+0-67.1-0</f>
        <v>1434.1000000000001</v>
      </c>
      <c r="N350" s="3">
        <f>2034.8+(100.2-491.5)+(0+(0-0))+0-67.2-0</f>
        <v>1576.3</v>
      </c>
      <c r="O350" s="3">
        <f>2075.6+(101.3-422.4)+(0+(0-0))+0-76.3-0</f>
        <v>1678.2</v>
      </c>
      <c r="P350" s="3">
        <f>2081.1+(104.8-446.6)+(0+(0-0))+0-21.3-0</f>
        <v>1718</v>
      </c>
      <c r="Q350" s="3">
        <f>2012.9+(105.1-321.8)+(0+(0-0))+0-75.5-0</f>
        <v>1720.7</v>
      </c>
      <c r="R350" s="3">
        <f>1998.5+(107.6-333.8)+(0+(0-0))+0-81.1-0</f>
        <v>1691.2</v>
      </c>
      <c r="S350" s="3">
        <f>2056.9+(103.2-412)+(0+(0-0))+0-76-0</f>
        <v>1672.1000000000001</v>
      </c>
      <c r="T350" s="3">
        <f>2093.4+(100.8-466.1)+(0+(0-0))+0-81.3-0</f>
        <v>1646.8000000000002</v>
      </c>
      <c r="U350" s="3">
        <f>2072.5+(95.1-441.6)+(0+(0-0))+0-87.6-0</f>
        <v>1638.4</v>
      </c>
      <c r="V350" s="3">
        <f>2050.1+(92.9-386.7)+(0+(0-0))+0-72.1-0</f>
        <v>1684.2</v>
      </c>
      <c r="W350" s="3">
        <f>2040.4+(96-234.7)+(0+(0-0))+0-90.5-0</f>
        <v>1811.2</v>
      </c>
      <c r="X350" s="3">
        <f>2127.7+(97.7-222.5)+(0+(0-0))+0-82.1-0</f>
        <v>1920.8</v>
      </c>
      <c r="Y350" s="3">
        <f>2120.9+(97.7-233.2)+(0+(0-0))+0-84.8-0</f>
        <v>1900.6000000000001</v>
      </c>
      <c r="Z350" s="3">
        <f>2105+(100.5-256.6)+(0+(0-0))+0-87.4-0</f>
        <v>1861.5</v>
      </c>
      <c r="AA350" s="3">
        <f>2099+(100-321.1)+(0+(0-0))+0-79.9-0</f>
        <v>1798</v>
      </c>
      <c r="AB350" s="3">
        <f>2055.8+(103.1-393.3)+(0+(0-0))+0-42-0</f>
        <v>1723.6000000000001</v>
      </c>
      <c r="AC350" s="3">
        <f>1975.6+(103-377.7)+(0+(0-0))+0-94.6-0</f>
        <v>1606.3</v>
      </c>
      <c r="AD350">
        <f t="shared" si="5"/>
        <v>38418.797528000003</v>
      </c>
      <c r="AE350" s="3">
        <f>2151+(87.6-221.7)+(0+(0-0))+0-97.2-0</f>
        <v>1919.7</v>
      </c>
    </row>
    <row r="351" spans="1:31" s="2" customFormat="1" x14ac:dyDescent="0.25">
      <c r="A351">
        <v>89</v>
      </c>
      <c r="B351">
        <v>12</v>
      </c>
      <c r="C351">
        <v>15</v>
      </c>
      <c r="D351">
        <v>2</v>
      </c>
      <c r="E351">
        <v>1</v>
      </c>
      <c r="F351" s="3">
        <f>1880.8+(101.9-406.8)+(0+(0-0))+0-84.1-0</f>
        <v>1491.8000000000002</v>
      </c>
      <c r="G351" s="3">
        <f>1739.7+(102.6-333.7)+(0+(0-0))+0-76.9-0</f>
        <v>1431.7</v>
      </c>
      <c r="H351" s="3">
        <f>1791.9+(104.1-403)+(0+(0-0))+0-77.7-0</f>
        <v>1415.3</v>
      </c>
      <c r="I351" s="3">
        <f>1739.3+(104.3-373.7)+(0+(0-0))+0-63.3-0</f>
        <v>1406.6000000000001</v>
      </c>
      <c r="J351" s="3">
        <f>1770+(103.4-376.4)+(0+(0-0))+0-89-0</f>
        <v>1408</v>
      </c>
      <c r="K351" s="3">
        <f>1768.8+(88.8-383.7)+(0+(0-0))+0-64.8-0</f>
        <v>1409.1000000000001</v>
      </c>
      <c r="L351" s="3">
        <f>1693.8+(105.3-310.7)+(0+(0-0))+0-67.9-0</f>
        <v>1420.5</v>
      </c>
      <c r="M351" s="3">
        <f>1782+(103.4-304.3)+(0+(0-0))+0-63.3-0</f>
        <v>1517.8</v>
      </c>
      <c r="N351" s="3">
        <f>2003.2+(102.6-407.7)+(0+(0-0))+0-70.1-0</f>
        <v>1628</v>
      </c>
      <c r="O351" s="3">
        <f>2097.8+(103.3-410.6)+(0+(0-0))+0-67.4-0</f>
        <v>1723.1000000000001</v>
      </c>
      <c r="P351" s="3">
        <f>2083.9+(104.9-351.8)+(0+(0-0))+0-70.2-0</f>
        <v>1766.8</v>
      </c>
      <c r="Q351" s="3">
        <f>2073.9+(104.3-331.7)+(0+(0-0))+0-86.4-0</f>
        <v>1760.1</v>
      </c>
      <c r="R351" s="3">
        <f>2066.6+(103.5-363.5)+(-4.215864+(-0.21114--0.74154))+0-75.9--0.154835999999997</f>
        <v>1727.1693719999998</v>
      </c>
      <c r="S351" s="3">
        <f>1916.2+(103.4-238.6)+(-0.977262+(-0.052734--0.121686))+0-77.1--0.0393209999999922</f>
        <v>1703.031011</v>
      </c>
      <c r="T351" s="3">
        <f>1832.3+(121.4-193.5)+(-2.803419+(-0.185742--0.296055))+0-82.1--0.125613000000005</f>
        <v>1675.5325070000001</v>
      </c>
      <c r="U351" s="3">
        <f>1841.1+(106.4-206.8)+(-1.877922+(-0.108528--0.210936))+0-84.2--0.0858840000000134</f>
        <v>1654.8103699999999</v>
      </c>
      <c r="V351" s="3">
        <f>2006.3+(103.4-343.2)+(-2.046426+(-0.105468--0.350064))+0-71.8--0.0732360000000114</f>
        <v>1692.9714059999999</v>
      </c>
      <c r="W351" s="3">
        <f>2102+(98.8-336.7)+(-6.43212+(-0.302328--1.030302))+0-66--0.201960000000008</f>
        <v>1792.597814</v>
      </c>
      <c r="X351" s="3">
        <f>2164.7+(98-238.9)+(-2.207994+(-0.09996--0.243678))+0-87.1--0.0888420000000139</f>
        <v>1934.7245659999999</v>
      </c>
      <c r="Y351" s="3">
        <f>2167.4+(97.6-262.4)+(-5.52687+(-0.24888--0.66912))+0-84.3--0.214964999999988</f>
        <v>1913.4083350000001</v>
      </c>
      <c r="Z351" s="3">
        <f>2149.9+(102.4-341.6)+(-5.482245+(-0.26112--0.87108))+0-29--0.0739499999999958</f>
        <v>1876.9016650000001</v>
      </c>
      <c r="AA351" s="3">
        <f>2010+(105-267.8)+(-3.0753+(-0.16065--0.409734))+0-30.5--0.0466650000000018</f>
        <v>1813.9204490000002</v>
      </c>
      <c r="AB351" s="3">
        <f>2001.1+(105-287.4)+(-1.020561+(-0.05355--0.146574))+0-79.3--0.040442999999992</f>
        <v>1738.5129059999999</v>
      </c>
      <c r="AC351" s="3">
        <f>1863.9+(103.5-263.3)+(-4.752945+(-0.263925--0.671415))+0-83.5--0.212924999999988</f>
        <v>1616.4674700000003</v>
      </c>
      <c r="AD351">
        <f t="shared" si="5"/>
        <v>39518.847871000005</v>
      </c>
      <c r="AE351" s="3">
        <f>2222+(95.7-280.8)+(0+(0-0))+0-102.9-0</f>
        <v>1934</v>
      </c>
    </row>
    <row r="352" spans="1:31" s="2" customFormat="1" x14ac:dyDescent="0.25">
      <c r="A352">
        <v>89</v>
      </c>
      <c r="B352">
        <v>12</v>
      </c>
      <c r="C352">
        <v>16</v>
      </c>
      <c r="D352">
        <v>3</v>
      </c>
      <c r="E352">
        <v>1</v>
      </c>
      <c r="F352" s="3">
        <f>1734.9+(103.8-230.8)+(-2.654397+(-0.158814--0.353124))+0-82.5--0.126225000000005</f>
        <v>1523.0661380000001</v>
      </c>
      <c r="G352" s="3">
        <f>1595.9+(104.4-156.4)+(-3.255636+(-0.212976--0.319056))+0-85.1--0.173603999999996</f>
        <v>1455.8240480000002</v>
      </c>
      <c r="H352" s="3">
        <f>1614.7+(104.4-203.2)+(0.823497+(0.053244-0.103632))+0-89.2-0.0454919999999909</f>
        <v>1427.4276170000001</v>
      </c>
      <c r="I352" s="3">
        <f>1638.6+(104.5-252)+(0.835686+(0.053295-0.12852))+0-75.4-0.0384539999999924</f>
        <v>1416.4220069999999</v>
      </c>
      <c r="J352" s="3">
        <f>1644.8+(90.7-242.5)+(-1.677696+(-0.092514--0.24735))+0-75.1--0.076602000000012</f>
        <v>1416.4537420000001</v>
      </c>
      <c r="K352" s="3">
        <f>1685.8+(90.3-299.2)+(4.29879+(0.230265-0.76296))+0-66.1-0.16855499999999</f>
        <v>1414.3975400000002</v>
      </c>
      <c r="L352" s="3">
        <f>1753.8+(104.1-391.7)+(0+(0-0))+0-67.6-0</f>
        <v>1398.6</v>
      </c>
      <c r="M352" s="3">
        <f>1871.2+(14.1-331.6)+(0+(0-0))+0-53.1-0</f>
        <v>1500.6000000000001</v>
      </c>
      <c r="N352" s="3">
        <f>1983.9+(0-268.6)+(0+(0-0))+0-77.1-0</f>
        <v>1638.2000000000003</v>
      </c>
      <c r="O352" s="3">
        <f>2038.9+(0-255)+(0+(0-0))+0-83.3-0</f>
        <v>1700.6000000000001</v>
      </c>
      <c r="P352" s="3">
        <f>2093.2+(0-261.1)+(0+(0-0))+0-74.2-0</f>
        <v>1757.8999999999999</v>
      </c>
      <c r="Q352" s="3">
        <f>2087.6+(0-260.1)+(0+(0-0))+0-79.6-0</f>
        <v>1747.9</v>
      </c>
      <c r="R352" s="3">
        <f>2076.8+(0-279.9)+(0+(0-0))+0-73.2-0</f>
        <v>1723.7</v>
      </c>
      <c r="S352" s="3">
        <f>1989.5+(0-231.5)+(-1.014645+(0--0.118065))+0-60.6--0.0309059999999939</f>
        <v>1696.534326</v>
      </c>
      <c r="T352" s="3">
        <f>1870.4+(0-152.9)+(-1.907808+(0--0.155958))+0-72.3--0.0737460000000115</f>
        <v>1643.521896</v>
      </c>
      <c r="U352" s="3">
        <f>1900.7+(0-202.2)+(2.908071+(0-0.309366))+0-59.2-0.0905760000000034</f>
        <v>1641.808129</v>
      </c>
      <c r="V352" s="3">
        <f>1940.4+(0-210.2)+(-3.958416+(0--0.428808))+0-77.9--0.158915999999997</f>
        <v>1648.929308</v>
      </c>
      <c r="W352" s="3">
        <f>2048.6+(0-205.4)+(-6.268716+(0--0.628524))+0-63.4--0.194004000000007</f>
        <v>1774.3538119999996</v>
      </c>
      <c r="X352" s="3">
        <f>2134.4+(38.2-130.5)+(-2.177088+(-0.038964--0.13311))+0-83.9--0.0855780000000134</f>
        <v>1956.202636</v>
      </c>
      <c r="Y352" s="3">
        <f>2136+(28.1-142.5)+(-3.26808+(-0.042993--0.218025))+0-84.7--0.129591000000005</f>
        <v>1933.936543</v>
      </c>
      <c r="Z352" s="3">
        <f>2111.9+(22.5-153.7)+(-7.539483+(-0.080325--0.548709))+0-79.1--0.282387000000001</f>
        <v>1894.8112880000001</v>
      </c>
      <c r="AA352" s="3">
        <f>2062.7+(11-144.9)+(-4.207908+(-0.02244--0.295596))+0-87.2--0.177887999999996</f>
        <v>1837.8431359999997</v>
      </c>
      <c r="AB352" s="3">
        <f>2010.2+(0-152.6)+(-3.075606+(0--0.233478))+0-88.1--0.134793000000005</f>
        <v>1766.7926650000002</v>
      </c>
      <c r="AC352" s="3">
        <f>1938.5+(0-197.8)+(-4.943175+(0--0.50439))+0-65.2--0.166259999999991</f>
        <v>1671.2274749999999</v>
      </c>
      <c r="AD352">
        <f t="shared" si="5"/>
        <v>39587.052306000012</v>
      </c>
      <c r="AE352" s="3">
        <f>2152+(32.7-133)+(0+(0-0))+0-100.4-0</f>
        <v>1951.2999999999997</v>
      </c>
    </row>
    <row r="353" spans="1:31" s="2" customFormat="1" x14ac:dyDescent="0.25">
      <c r="A353">
        <v>89</v>
      </c>
      <c r="B353">
        <v>12</v>
      </c>
      <c r="C353">
        <v>17</v>
      </c>
      <c r="D353">
        <v>4</v>
      </c>
      <c r="E353">
        <v>1</v>
      </c>
      <c r="F353" s="3">
        <f>1898.1+(0-268.6)+(-4.840155+(0--0.68493))+0-57.2--0.145859999999992</f>
        <v>1568.2906350000001</v>
      </c>
      <c r="G353" s="3">
        <f>1872.9+(0-278.9)+(-5.731074+(0--0.853434))+0-77.2--0.236232000000009</f>
        <v>1512.158592</v>
      </c>
      <c r="H353" s="3">
        <f>1742+(0-168.1)+(-1.77684+(0--0.171462))+0-92.1--0.0939420000000147</f>
        <v>1480.2885640000002</v>
      </c>
      <c r="I353" s="3">
        <f>1601.8+(20.4-90.1)+(0.816918+(0.010404-0.045951))+0-80.7-0.0411569999999918</f>
        <v>1452.140214</v>
      </c>
      <c r="J353" s="3">
        <f>1561+(29.7-76.5)+(-0.79611+(-0.015147--0.039015))+0-68.6--0.034985999999993</f>
        <v>1444.862744</v>
      </c>
      <c r="K353" s="3">
        <f>1665.1+(0-138.7)+(1.698402+(0-0.141474))+0-79.4-0.0809880000000127</f>
        <v>1448.4759399999998</v>
      </c>
      <c r="L353" s="3">
        <f>1723.5+(0-222.5)+(-1.75797+(0--0.22695))+0-63.6--0.0648720000000101</f>
        <v>1435.9338520000001</v>
      </c>
      <c r="M353" s="3">
        <f>1730.8+(0-146)+(-0.882708+(0--0.07446))+0-38.2--0.0194819999999961</f>
        <v>1545.8112339999998</v>
      </c>
      <c r="N353" s="3">
        <f>1857.8+(0-147.1)+(-0.947478+(0--0.075021))+0-52.8--0.0269279999999946</f>
        <v>1657.0544710000001</v>
      </c>
      <c r="O353" s="3">
        <f>1908+(0-164)+(-1.94616+(0--0.16728))+0-21--0.0214200000000034</f>
        <v>1721.24254</v>
      </c>
      <c r="P353" s="3">
        <f>1948.2+(0-161.2)+(-2.980746+(0--0.246636))+0-20.1--0.0307530000000012</f>
        <v>1764.196643</v>
      </c>
      <c r="Q353" s="3">
        <f>1997.4+(0-158.2)+(-1.018674+(0--0.080682))+0-20.2--0.010301999999998</f>
        <v>1818.07231</v>
      </c>
      <c r="R353" s="3">
        <f>1886.2+(0-142.8)+(-1.923924+(0--0.145656))+0-19.1--0.019482000000003</f>
        <v>1722.5412140000001</v>
      </c>
      <c r="S353" s="3">
        <f>1831.2+(0-114.9)+(-1.867824+(0--0.117198))+0-19.9--0.0202980000000032</f>
        <v>1694.6696719999998</v>
      </c>
      <c r="T353" s="3">
        <f>1828.9+(0-131.8)+(-1.865478+(0--0.134436))+0-17.8--0.0181560000000028</f>
        <v>1677.5871140000004</v>
      </c>
      <c r="U353" s="3">
        <f>1832.2+(0-147.5)+(-0.934422+(0--0.075225))+0-18--0.00917999999999817</f>
        <v>1665.8499830000001</v>
      </c>
      <c r="V353" s="3">
        <f>1842.9+(0-136.7)+(0+(0-0))+0-21-0</f>
        <v>1685.2</v>
      </c>
      <c r="W353" s="3">
        <f>1913.4+(10.9-87.3)+(-4.87917+(-0.027795--0.222615))+0-22.3--0.0568649999999968</f>
        <v>1810.0725150000001</v>
      </c>
      <c r="X353" s="3">
        <f>2104.5+(23.3-91)+(-1.073295+(-0.011883--0.04641))+0-48.6--0.0247859999999951</f>
        <v>1987.1860180000001</v>
      </c>
      <c r="Y353" s="3">
        <f>2116.2+(20.8-89.5)+(-4.317048+(-0.042432--0.18258))+0-76.3--0.155651999999997</f>
        <v>1967.1787519999998</v>
      </c>
      <c r="Z353" s="3">
        <f>2091.1+(15.8-90.5)+(3.199383+(0.024174-0.138465))+0-79.6-0.121788000000005</f>
        <v>1939.7633040000001</v>
      </c>
      <c r="AA353" s="3">
        <f>2079+(0-115.2)+(1.06029+(0-0.058752))+0-88.2-0.0449819999999911</f>
        <v>1876.556556</v>
      </c>
      <c r="AB353" s="3">
        <f>2047.1+(0-145.4)+(-4.176084+(0--0.296616))+0-85--0.173399999999996</f>
        <v>1812.9939319999996</v>
      </c>
      <c r="AC353" s="3">
        <f>1834.6+(12.7-64.3)+(-3.742584+(-0.025908--0.131172))+0-77.2--0.157487999999997</f>
        <v>1702.320168</v>
      </c>
      <c r="AD353">
        <f t="shared" si="5"/>
        <v>40390.446967000003</v>
      </c>
      <c r="AE353" s="3">
        <f>2142+(0-97.8)+(0+(0-0))+0-22.6-0</f>
        <v>2021.6000000000001</v>
      </c>
    </row>
    <row r="354" spans="1:31" s="2" customFormat="1" x14ac:dyDescent="0.25">
      <c r="A354">
        <v>89</v>
      </c>
      <c r="B354">
        <v>12</v>
      </c>
      <c r="C354">
        <v>18</v>
      </c>
      <c r="D354">
        <v>5</v>
      </c>
      <c r="E354">
        <v>1</v>
      </c>
      <c r="F354" s="3">
        <f>1840.6+(0-152.9)+(-2.816118+(0--0.233937))+0-67.4--0.103122000000004</f>
        <v>1617.8209409999997</v>
      </c>
      <c r="G354" s="3">
        <f>1714.7+(0-93.8)+(-4.372485+(0--0.23919))+0-72.3--0.18436499999999</f>
        <v>1544.6510700000001</v>
      </c>
      <c r="H354" s="3">
        <f>1653+(0-76.1)+(-0.84303+(0--0.038811))+0-70.8--0.0361079999999928</f>
        <v>1505.331889</v>
      </c>
      <c r="I354" s="3">
        <f>1590.8+(36.3-57.1)+(-3.245232+(-0.074052--0.116484))+0-77.1--0.157283999999997</f>
        <v>1489.854484</v>
      </c>
      <c r="J354" s="3">
        <f>1494.3+(139-67.2)+(-1.524186+(-0.14178--0.068544))+0-74.6--0.0760920000000119</f>
        <v>1489.97867</v>
      </c>
      <c r="K354" s="3">
        <f>1587.7+(55.7-78.2)+(-1.619454+(-0.056814--0.079764))+0-79.1--0.0806820000000126</f>
        <v>1484.5841780000001</v>
      </c>
      <c r="L354" s="3">
        <f>1662.5+(0-96.3)+(0+(0-0))+0-79.1-0</f>
        <v>1487.1000000000001</v>
      </c>
      <c r="M354" s="3">
        <f>1757.5+(0-81.3)+(-0.896325+(0--0.041463))+0-86.5--0.0441149999999912</f>
        <v>1588.8892530000001</v>
      </c>
      <c r="N354" s="3">
        <f>1842.3+(0-78)+(1.879146+(0-0.07956))+0-60.3-0.0615060000000096</f>
        <v>1705.7380800000001</v>
      </c>
      <c r="O354" s="3">
        <f>1899.9+(29.5-79.6)+(-0.968949+(-0.015045--0.040596))+0-78--0.0397799999999921</f>
        <v>1770.8963820000004</v>
      </c>
      <c r="P354" s="3">
        <f>1902.2+(38.1-76.8)+(-2.910366+(-0.058293--0.117504))+0-64--0.0979200000000037</f>
        <v>1796.7467649999999</v>
      </c>
      <c r="Q354" s="3">
        <f>1916.2+(9.2-79.6)+(-2.931786+(-0.014076--0.121788))+0-37.7--0.0576810000000022</f>
        <v>1805.3336069999998</v>
      </c>
      <c r="R354" s="3">
        <f>1896.9+(63-77.3)+(-4.837095+(-0.16065--0.197115))+0-93.1--0.237404999999986</f>
        <v>1784.9367750000004</v>
      </c>
      <c r="S354" s="3">
        <f>1894.8+(16-93.7)+(-3.865392+(-0.03264--0.191148))+0-59.1--0.120563999999997</f>
        <v>1754.4136800000001</v>
      </c>
      <c r="T354" s="3">
        <f>1870.5+(134.1-177.7)+(-1.90791+(-0.136782--0.181254))+0-86.9--0.0886380000000139</f>
        <v>1738.2251999999999</v>
      </c>
      <c r="U354" s="3">
        <f>1808.8+(145.4-148.7)+(-3.689952+(-0.296616--0.303348))+0-82.1--0.167483999999996</f>
        <v>1719.8842640000003</v>
      </c>
      <c r="V354" s="3">
        <f>1799+(145.9-145.7)+(0.91749+(0.074409-0.074307))+0-62.5-0.0318749999999937</f>
        <v>1737.5857170000002</v>
      </c>
      <c r="W354" s="3">
        <f>1772.6+(254.1-90.6)+(-3.616104+(-0.518364--0.184824))+0-85.6--0.174623999999996</f>
        <v>1846.72498</v>
      </c>
      <c r="X354" s="3">
        <f>1980.5+(223.6-91)+(-2.02011+(-0.228072--0.09282))+0-86.2--0.0879240000000137</f>
        <v>2024.8325619999998</v>
      </c>
      <c r="Y354" s="3">
        <f>1998.8+(179.1-89.4)+(-5.09694+(-0.456705--0.22797))+0-70.4--0.17951999999999</f>
        <v>2012.9538449999998</v>
      </c>
      <c r="Z354" s="3">
        <f>1981+(166.7-87.1)+(0+(0-0))+0-84.5-0</f>
        <v>1976.1</v>
      </c>
      <c r="AA354" s="3">
        <f>1922.4+(148.9-77.9)+(-1.960848+(-0.151878--0.079458))+0-82.3--0.0839460000000131</f>
        <v>1909.1506780000002</v>
      </c>
      <c r="AB354" s="3">
        <f>1805.3+(176.3-66.8)+(-4.603515+(-0.449565--0.17034))+0-79.3--0.202214999999988</f>
        <v>1830.819475</v>
      </c>
      <c r="AC354" s="3">
        <f>1796.2+(143.3-137.6)+(-1.832124+(-0.146166--0.140352))+0-50--0.051000000000008</f>
        <v>1750.1130620000001</v>
      </c>
      <c r="AD354">
        <f t="shared" si="5"/>
        <v>41372.665556999993</v>
      </c>
      <c r="AE354" s="3">
        <f>1997+(222.9-92.4)+(0+(0-0))+0-98.2-0</f>
        <v>2029.3</v>
      </c>
    </row>
    <row r="355" spans="1:31" s="2" customFormat="1" x14ac:dyDescent="0.25">
      <c r="A355">
        <v>89</v>
      </c>
      <c r="B355">
        <v>12</v>
      </c>
      <c r="C355">
        <v>19</v>
      </c>
      <c r="D355">
        <v>6</v>
      </c>
      <c r="E355">
        <v>1</v>
      </c>
      <c r="F355" s="3">
        <f>1695.1+(142.5-122.7)+(0+(0-0))+0-70.9-0</f>
        <v>1643.9999999999998</v>
      </c>
      <c r="G355" s="3">
        <f>1553.4+(148.2-51.8)+(0+(0-0))+0-70-0</f>
        <v>1579.8000000000002</v>
      </c>
      <c r="H355" s="3">
        <f>1549.4+(142.7-65.1)+(0+(0-0))+0-79-0</f>
        <v>1548</v>
      </c>
      <c r="I355" s="3">
        <f>1544.6+(143.3-63.5)+(0+(0-0))+0-83.4-0</f>
        <v>1540.9999999999998</v>
      </c>
      <c r="J355" s="3">
        <f>1556.4+(142.3-71.7)+(0+(0-0))+0-83.5-0</f>
        <v>1543.5</v>
      </c>
      <c r="K355" s="3">
        <f>1609.3+(142.2-127.5)+(0+(0-0))+0-86-0</f>
        <v>1538</v>
      </c>
      <c r="L355" s="3">
        <f>1620.8+(143.8-143.1)+(0+(0-0))+0-81.5-0</f>
        <v>1540</v>
      </c>
      <c r="M355" s="3">
        <f>1705.2+(143.2-111.2)+(0+(0-0))+0-99.1-0</f>
        <v>1638.1000000000001</v>
      </c>
      <c r="N355" s="3">
        <f>1713.3+(176.7-69.2)+(0+(0-0))+0-80.5-0</f>
        <v>1740.3</v>
      </c>
      <c r="O355" s="3">
        <f>1789+(175.3-74.7)+(0+(0-0))+0-69.7-0</f>
        <v>1819.8999999999999</v>
      </c>
      <c r="P355" s="3">
        <f>1814.5+(182-71.3)+(0+(0-0))+0-77.9-0</f>
        <v>1847.3</v>
      </c>
      <c r="Q355" s="3">
        <f>1791.4+(200.1-55.3)+(0+(0-0))+0-90.5-0</f>
        <v>1845.7</v>
      </c>
      <c r="R355" s="3">
        <f>1763.7+(198.8-74.7)+(-4.497435+(-0.50694--0.190485))+0-72.9--0.185894999999989</f>
        <v>1810.272005</v>
      </c>
      <c r="S355" s="3">
        <f>1765.9+(163.7-73.9)+(2.701827+(0.250461-0.113067))+0-78.4-0.119952000000005</f>
        <v>1780.0192689999999</v>
      </c>
      <c r="T355" s="3">
        <f>1752.3+(150.7-69.4)+(-2.681019+(-0.230571--0.106182))+0-74--0.113220000000004</f>
        <v>1756.9078119999999</v>
      </c>
      <c r="U355" s="3">
        <f>1758.2+(143.4-91.2)+(-2.690046+(-0.219402--0.139536))+0-62.8--0.0960840000000036</f>
        <v>1744.9261720000002</v>
      </c>
      <c r="V355" s="3">
        <f>1766.4+(146.1-76.2)+(-2.702592+(-0.223533--0.116586))+0-76.6--0.117198000000004</f>
        <v>1757.0076590000001</v>
      </c>
      <c r="W355" s="3">
        <f>1825.8+(211.9-84.4)+(0+(0-0))+0-80.7-0</f>
        <v>1872.6</v>
      </c>
      <c r="X355" s="3">
        <f>1978.2+(234.5-86.6)+(-2.017764+(-0.23919--0.088332))+0-89.7--0.0914940000000143</f>
        <v>2034.3228719999997</v>
      </c>
      <c r="Y355" s="3">
        <f>1998.4+(201.3-85.4)+(-7.134288+(-0.718641--0.304878))+0-94.9--0.338793000000001</f>
        <v>2012.1907419999998</v>
      </c>
      <c r="Z355" s="3">
        <f>2002.2+(150.2-82.2)+(-4.084488+(-0.306408--0.167688))+0-85.9--0.175235999999996</f>
        <v>1980.2520279999999</v>
      </c>
      <c r="AA355" s="3">
        <f>2012.7+(143-132.1)+(-4.105908+(-0.29172--0.269484))+0-84.8--0.172991999999996</f>
        <v>1934.8448480000002</v>
      </c>
      <c r="AB355" s="3">
        <f>1963.2+(143.2-163.2)+(-5.00616+(-0.36516--0.41616))+0-69.1--0.17620499999999</f>
        <v>1869.3210450000001</v>
      </c>
      <c r="AC355" s="3">
        <f>1785.8+(143.5-101.7)+(-3.643032+(-0.29274--0.207468))+0-69--0.140759999999997</f>
        <v>1755.0124559999999</v>
      </c>
      <c r="AD355">
        <f t="shared" si="5"/>
        <v>42133.276907999993</v>
      </c>
      <c r="AE355" s="3">
        <f>1989+(222.3-89.6)+(0+(0-0))+0-99.3-0</f>
        <v>2022.3999999999999</v>
      </c>
    </row>
    <row r="356" spans="1:31" s="2" customFormat="1" x14ac:dyDescent="0.25">
      <c r="A356">
        <v>89</v>
      </c>
      <c r="B356">
        <v>12</v>
      </c>
      <c r="C356">
        <v>20</v>
      </c>
      <c r="D356">
        <v>7</v>
      </c>
      <c r="E356">
        <v>1</v>
      </c>
      <c r="F356" s="3">
        <f>1643.3+(150.2-49.5)+(0+(0-0))+0-82.4-0</f>
        <v>1661.6</v>
      </c>
      <c r="G356" s="3">
        <f>1593.4+(143.1-49.5)+(0+(0-0))+0-86.2-0</f>
        <v>1600.8</v>
      </c>
      <c r="H356" s="3">
        <f>1555.9+(148.1-59.5)+(0+(0-0))+0-91.4-0</f>
        <v>1553.1</v>
      </c>
      <c r="I356" s="3">
        <f>1474.6+(194.6-47.7)+(0+(0-0))+0-84.9-0</f>
        <v>1536.6</v>
      </c>
      <c r="J356" s="3">
        <f>1485.6+(185.9-59.5)+(0+(0-0))+0-83.2-0</f>
        <v>1528.8</v>
      </c>
      <c r="K356" s="3">
        <f>1477+(190.5-79.6)+(0+(0-0))+0-81.9-0</f>
        <v>1506</v>
      </c>
      <c r="L356" s="3">
        <f>1469+(166.7-80.4)+(0+(0-0))+0-86.1-0</f>
        <v>1469.2</v>
      </c>
      <c r="M356" s="3">
        <f>1503.2+(141-91.7)+(0+(0-0))+0-48-0</f>
        <v>1504.5</v>
      </c>
      <c r="N356" s="3">
        <f>1560+(168.5-78.1)+(0+(0-0))+0-92.6-0</f>
        <v>1557.8000000000002</v>
      </c>
      <c r="O356" s="3">
        <f>1628.5+(166.7-80.2)+(0+(0-0))+0-84.6-0</f>
        <v>1630.4</v>
      </c>
      <c r="P356" s="3">
        <f>1663.3+(159.2-79.3)+(0+(0-0))+0-65.7-0</f>
        <v>1677.5</v>
      </c>
      <c r="Q356" s="3">
        <f>1696.2+(176.2-78.2)+(0+(0-0))+0-83.6-0</f>
        <v>1710.6000000000001</v>
      </c>
      <c r="R356" s="3">
        <f>1749.1+(141.8-123.5)+(-4.460205+(-0.36159--0.314925))+0-82.3--0.209864999999988</f>
        <v>1680.802995</v>
      </c>
      <c r="S356" s="3">
        <f>1753.6+(141.9-154.6)+(-3.577344+(-0.289476--0.315384))+0-82.7--0.168707999999996</f>
        <v>1654.8172719999998</v>
      </c>
      <c r="T356" s="3">
        <f>1753.9+(142.5-185.8)+(-1.788978+(-0.14535--0.189516))+0-78.5--0.0800700000000125</f>
        <v>1630.4352580000002</v>
      </c>
      <c r="U356" s="3">
        <f>1741.2+(143.2-203.4)+(-3.552048+(-0.292128--0.414936))+0-45.1--0.092003999999998</f>
        <v>1632.5627640000002</v>
      </c>
      <c r="V356" s="3">
        <f>1754.4+(139.8-146.9)+(1.789488+(0.142596-0.149838))+0-89.6-0.0913920000000143</f>
        <v>1659.3908540000002</v>
      </c>
      <c r="W356" s="3">
        <f>1804.8+(123.9-86.9)+(-1.840896+(-0.126378--0.088638))+0-82.1--0.0837420000000131</f>
        <v>1757.9051060000002</v>
      </c>
      <c r="X356" s="3">
        <f>1898.3+(226.8-87.7)+(0+(0-0))+0-87.9-0</f>
        <v>1949.5</v>
      </c>
      <c r="Y356" s="3">
        <f>1931.4+(175.8-87.5)+(-5.910084+(-0.537948--0.26775))+0-61.2--0.187272000000007</f>
        <v>1952.5069899999999</v>
      </c>
      <c r="Z356" s="3">
        <f>1954.8+(148.6-79.7)+(-1.993896+(-0.151572--0.081294))+0-87--0.0887400000000139</f>
        <v>1934.7245659999999</v>
      </c>
      <c r="AA356" s="3">
        <f>1993.3+(142.4-158.4)+(-1.016583+(-0.072624--0.080784))+0-70.7--0.0360569999999928</f>
        <v>1905.6276339999999</v>
      </c>
      <c r="AB356" s="3">
        <f>1985.9+(142.9-202.6)+(-2.025618+(-0.145758--0.206652))+0-59.7--0.0608940000000095</f>
        <v>1864.59617</v>
      </c>
      <c r="AC356" s="3">
        <f>1893.8+(143.4-254)+(-3.863352+(-0.292536--0.51816))+0-28.2--0.0575279999999988</f>
        <v>1751.4198000000001</v>
      </c>
      <c r="AD356">
        <f t="shared" si="5"/>
        <v>40311.189408999999</v>
      </c>
      <c r="AE356" s="3">
        <f>1929+(140.4-86.2)+(0+(0-0))+0-23.4-0</f>
        <v>1959.8</v>
      </c>
    </row>
    <row r="357" spans="1:31" s="2" customFormat="1" x14ac:dyDescent="0.25">
      <c r="A357">
        <v>89</v>
      </c>
      <c r="B357">
        <v>12</v>
      </c>
      <c r="C357">
        <v>21</v>
      </c>
      <c r="D357">
        <v>1</v>
      </c>
      <c r="E357">
        <v>1</v>
      </c>
      <c r="F357" s="3">
        <f>1827.3+(143-232.2)+(-4.659615+(-0.36465--0.59211))+0-80.5--0.205274999999988</f>
        <v>1653.37312</v>
      </c>
      <c r="G357" s="3">
        <f>1664.8+(143.5-139.6)+(-1.698096+(-0.14637--0.142392))+0-84.8--0.0864960000000135</f>
        <v>1582.2844220000002</v>
      </c>
      <c r="H357" s="3">
        <f>1570.4+(142.4-77.4)+(-2.402712+(-0.217872--0.118422))+0-83.5--0.127755000000005</f>
        <v>1549.5255930000001</v>
      </c>
      <c r="I357" s="3">
        <f>1532.5+(142.9-66.1)+(2.344725+(0.218637-0.101133))+0-80-0.122400000000005</f>
        <v>1531.639829</v>
      </c>
      <c r="J357" s="3">
        <f>1531.1+(143-73.7)+(-0.780861+(-0.07293--0.037587))+0-68.2--0.0347819999999931</f>
        <v>1531.4185779999998</v>
      </c>
      <c r="K357" s="3">
        <f>1721.1+(108.9-206.5)+(0+(0-0))+0-79.6-0</f>
        <v>1543.9</v>
      </c>
      <c r="L357" s="3">
        <f>1841.8+(113.5-324.7)+(-0.939318+(-0.057885--0.165597))+0-77.5--0.0395249999999921</f>
        <v>1552.3079189999999</v>
      </c>
      <c r="M357" s="3">
        <f>2054.3+(125.3-423.4)+(0+(0-0))+0-76.3-0</f>
        <v>1679.9000000000003</v>
      </c>
      <c r="N357" s="3">
        <f>2193.7+(142.4-470.9)+(0+(0-0))+0-64.2-0</f>
        <v>1800.9999999999998</v>
      </c>
      <c r="O357" s="3">
        <f>2255.1+(141.9-431.3)+(0+(0-0))+0-77.8-0</f>
        <v>1887.8999999999999</v>
      </c>
      <c r="P357" s="3">
        <f>2296.1+(141.2-415.2)+(2.342022+(0.144024-0.423504))+0-71.5-0.0729300000000114</f>
        <v>1952.5896119999998</v>
      </c>
      <c r="Q357" s="3">
        <f>2337.1+(142.2-430.4)+(-2.383842+(-0.145044--0.439008))+0-78.4--0.0799680000000125</f>
        <v>1968.49009</v>
      </c>
      <c r="R357" s="3">
        <f>2278.2+(141.2-410.8)+(-5.80941+(-0.36006--1.04754))+0-67.8--0.17288999999999</f>
        <v>1935.85096</v>
      </c>
      <c r="S357" s="3">
        <f>2186.7+(141.6-364.2)+(-4.460868+(-0.288864--0.742968))+0-55.1--0.112403999999998</f>
        <v>1905.10564</v>
      </c>
      <c r="T357" s="3">
        <f>2161.8+(143.1-334.2)+(0+(0-0))+0-78.4-0</f>
        <v>1892.3000000000002</v>
      </c>
      <c r="U357" s="3">
        <f>2177.4+(143.8-368.9)+(-1.110474+(-0.073338--0.188139))+0-78.8--0.040187999999992</f>
        <v>1872.5445150000003</v>
      </c>
      <c r="V357" s="3">
        <f>2179.6+(139.7-347.5)+(1.111596+(0.071247-0.177225))+0-71.2-0.0363119999999928</f>
        <v>1901.5693059999999</v>
      </c>
      <c r="W357" s="3">
        <f>2177.2+(109-216.5)+(-1.110372+(-0.05559--0.110415))+0-66.2--0.0337619999999933</f>
        <v>2002.4782149999999</v>
      </c>
      <c r="X357" s="3">
        <f>2275+(129.1-203.4)+(-2.3205+(-0.131682--0.207468))+0-76.3--0.0778260000000122</f>
        <v>2122.2331119999999</v>
      </c>
      <c r="Y357" s="3">
        <f>2309.9+(141.2-282.6)+(-1.178049+(-0.072012--0.144126))+0-75.3--0.0384029999999924</f>
        <v>2092.1324679999998</v>
      </c>
      <c r="Z357" s="3">
        <f>2176.3+(142-188.9)+(-2.219826+(-0.14484--0.192678))+0-82.2--0.0838440000000131</f>
        <v>2045.111856</v>
      </c>
      <c r="AA357" s="3">
        <f>2137.5+(141.7-224.2)+(-3.270375+(-0.216801--0.343026))+0-76.5--0.117045000000004</f>
        <v>1975.4728949999999</v>
      </c>
      <c r="AB357" s="3">
        <f>2028.2+(141.4-176.1)+(-7.240674+(-0.504798--0.628677))+0-86.2--0.307734000000001</f>
        <v>1900.490939</v>
      </c>
      <c r="AC357" s="3">
        <f>1827.8+(142.5-120.9)+(-3.728712+(-0.2907--0.246636))+0-50--0.101999999999998</f>
        <v>1795.7292239999999</v>
      </c>
      <c r="AD357">
        <f t="shared" si="5"/>
        <v>43675.348293000003</v>
      </c>
      <c r="AE357" s="3">
        <f>2305+(141-236.5)+(0+(0-0))+0-88.9-0</f>
        <v>2120.6</v>
      </c>
    </row>
    <row r="358" spans="1:31" s="2" customFormat="1" x14ac:dyDescent="0.25">
      <c r="A358">
        <v>89</v>
      </c>
      <c r="B358">
        <v>12</v>
      </c>
      <c r="C358">
        <v>22</v>
      </c>
      <c r="D358">
        <v>2</v>
      </c>
      <c r="E358">
        <v>1</v>
      </c>
      <c r="F358" s="3">
        <f>1720.8+(142.4-81.5)+(-4.38804+(-0.36312--0.207825))+0-91.1--0.232304999999987</f>
        <v>1686.2889700000001</v>
      </c>
      <c r="G358" s="3">
        <f>1717.6+(142.3-144.1)+(-5.255856+(-0.435438--0.440946))+0-82.1--0.25122600000001</f>
        <v>1628.7008780000001</v>
      </c>
      <c r="H358" s="3">
        <f>1688.6+(142.6-156.4)+(-3.444744+(-0.290904--0.319056))+0-76--0.155039999999997</f>
        <v>1595.538448</v>
      </c>
      <c r="I358" s="3">
        <f>1643.1+(142.7-125.4)+(2.513943+(0.218331-0.191862))+0-75.9-0.116127000000004</f>
        <v>1586.9242849999998</v>
      </c>
      <c r="J358" s="3">
        <f>1617.9+(143.3-109.6)+(-2.475387+(-0.219249--0.167688))+0-67.2--0.102816000000004</f>
        <v>1581.9758680000002</v>
      </c>
      <c r="K358" s="3">
        <f>1741.6+(81.9-184.7)+(3.552864+(0.167076-0.376788))+0-95.9-0.195635999999996</f>
        <v>1546.0475159999999</v>
      </c>
      <c r="L358" s="3">
        <f>1758+(114.3-244)+(-5.37948+(-0.349758--0.74664))+0-63.3--0.193698000000007</f>
        <v>1560.2111</v>
      </c>
      <c r="M358" s="3">
        <f>1914+(106.1-274)+(1.95228+(0.108222-0.27948))+0-66.2-0.0675240000000106</f>
        <v>1681.6134979999997</v>
      </c>
      <c r="N358" s="3">
        <f>2158.9+(118.5-408.6)+(2.202078+(0.12087-0.416772))+0-83.6-0.0852720000000133</f>
        <v>1787.0209040000002</v>
      </c>
      <c r="O358" s="3">
        <f>2232+(120.6-393.8)+(1.13832+(0.061506-0.200838))+0-59-0.030089999999994</f>
        <v>1900.768898</v>
      </c>
      <c r="P358" s="3">
        <f>2244.3+(109.5-338.3)+(1.144593+(0.055845-0.172533))+0-66.2-0.0337619999999933</f>
        <v>1950.2941430000001</v>
      </c>
      <c r="Q358" s="3">
        <f>2262.5+(109.2-338.8)+(-3.461625+(-0.167076--0.518364))+0-78.4--0.119952000000005</f>
        <v>1951.5096149999999</v>
      </c>
      <c r="R358" s="3">
        <f>2231.5+(110.4-327)+(0+(0-0))+0-79-0</f>
        <v>1935.9</v>
      </c>
      <c r="S358" s="3">
        <f>2187.7+(118.6-314.1)+(1.115727+(0.060486-0.160191))+0-78-0.0397799999999921</f>
        <v>1915.1762419999998</v>
      </c>
      <c r="T358" s="3">
        <f>2244.6+(119-425.1)+(-2.289492+(-0.12138--0.433602))+0-68.7--0.070074000000011</f>
        <v>1867.8928039999998</v>
      </c>
      <c r="U358" s="3">
        <f>2308.1+(131.3-488.1)+(0+(0-0))+0-53.7-0</f>
        <v>1897.6</v>
      </c>
      <c r="V358" s="3">
        <f>2328.1+(111.3-455.5)+(-5.936655+(-0.283815--1.161525))+0-83.4--0.212669999999988</f>
        <v>1895.6537249999997</v>
      </c>
      <c r="W358" s="3">
        <f>2396.9+(78.1-398.2)+(0+(0-0))+0-76.2-0</f>
        <v>2000.6000000000001</v>
      </c>
      <c r="X358" s="3">
        <f>2441.6+(24.3-260.3)+(-1.245216+(-0.012393--0.132753))+0-70.8--0.0361079999999928</f>
        <v>2133.7112519999996</v>
      </c>
      <c r="Y358" s="3">
        <f>2540.3+(23.1-382.6)+(-3.886659+(-0.035343--0.585378))+0-64.3--0.0983790000000037</f>
        <v>2113.261755</v>
      </c>
      <c r="Z358" s="3">
        <f>2470.7+(76.6-392.5)+(-2.520114+(-0.078132--0.40035))+0-72.2--0.0736440000000115</f>
        <v>2080.4757479999998</v>
      </c>
      <c r="AA358" s="3">
        <f>2408.2+(129.4-465.5)+(-3.684546+(-0.197982--0.712215))+0-66.3--0.101439000000004</f>
        <v>2002.7311259999999</v>
      </c>
      <c r="AB358" s="3">
        <f>2351.1+(141.7-480.3)+(-2.398122+(-0.144534--0.489906))+0-61.1--0.0623220000000097</f>
        <v>1949.409572</v>
      </c>
      <c r="AC358" s="3">
        <f>2067.9+(140.8-276.3)+(-3.163887+(-0.215424--0.422739))+0-96.3--0.147339000000006</f>
        <v>1833.2907670000002</v>
      </c>
      <c r="AD358">
        <f t="shared" si="5"/>
        <v>44082.597113999989</v>
      </c>
      <c r="AE358" s="3">
        <f>2415+(15.4-321.4)+(0+(0-0))+0-91-0</f>
        <v>2018</v>
      </c>
    </row>
    <row r="359" spans="1:31" s="2" customFormat="1" x14ac:dyDescent="0.25">
      <c r="A359">
        <v>89</v>
      </c>
      <c r="B359">
        <v>12</v>
      </c>
      <c r="C359">
        <v>23</v>
      </c>
      <c r="D359">
        <v>3</v>
      </c>
      <c r="E359">
        <v>1</v>
      </c>
      <c r="F359" s="3">
        <f>1719.6+(140.7-106.1)+(-8.76996+(-0.71757--0.54111))+0-29.3--0.149430000000002</f>
        <v>1716.1030099999998</v>
      </c>
      <c r="G359" s="3">
        <f>1657.8+(140.8-82.3)+(-5.072868+(-0.430848--0.251838))+0-54.9--0.167994000000006</f>
        <v>1656.3161159999997</v>
      </c>
      <c r="H359" s="3">
        <f>1556.5+(174.9-34.1)+(-2.381445+(-0.267597--0.052173))+0-85--0.130050000000005</f>
        <v>1609.833181</v>
      </c>
      <c r="I359" s="3">
        <f>1561.8+(172-36.3)+(-2.389554+(-0.26316--0.055539))+0-93.8--0.143514000000005</f>
        <v>1601.246339</v>
      </c>
      <c r="J359" s="3">
        <f>1599.5+(154.2-58.9)+(1.63149+(0.157284-0.060078))+0-92.2-0.0940440000000147</f>
        <v>1604.2346519999999</v>
      </c>
      <c r="K359" s="3">
        <f>1629.4+(167.4-78)+(-0.830994+(-0.085374--0.03978))+0-86.5--0.0441149999999912</f>
        <v>1631.467527</v>
      </c>
      <c r="L359" s="3">
        <f>1696+(140.9-140.5)+(-0.86496+(-0.071859--0.071655))+0-84.2--0.0429419999999915</f>
        <v>1611.377778</v>
      </c>
      <c r="M359" s="3">
        <f>1979.4+(141.7-353)+(4.037976+(0.289068-0.72012))+0-35.6-0.0726239999999985</f>
        <v>1736.0343000000003</v>
      </c>
      <c r="N359" s="3">
        <f>2168.5+(143.5-409.6)+(0+(0-0))+0-29.3-0</f>
        <v>1873.1000000000001</v>
      </c>
      <c r="O359" s="3">
        <f>2229.5+(139.9-407.4)+(-4.54818+(-0.285396--0.831096))+0-25.9--0.0528359999999989</f>
        <v>1932.1503559999999</v>
      </c>
      <c r="P359" s="3">
        <f>2324.6+(142.6-460.7)+(-4.742184+(-0.290904--0.939828))+0-24.9--0.0507959999999989</f>
        <v>1977.5575359999998</v>
      </c>
      <c r="Q359" s="3">
        <f>2397.8+(143.1-477.3)+(-3.668634+(-0.218943--0.730269))+0-25.9--0.0396270000000015</f>
        <v>2034.5823190000006</v>
      </c>
      <c r="R359" s="3">
        <f>2347.2+(143.1-494.4)+(-4.788288+(-0.291924--1.008576))+0-25.6--0.0522239999999989</f>
        <v>1966.2805880000001</v>
      </c>
      <c r="S359" s="3">
        <f>2286.3+(142-491.1)+(2.332026+(0.14484-0.500922))+0-26.3-0.0268260000000042</f>
        <v>1912.8491180000003</v>
      </c>
      <c r="T359" s="3">
        <f>2268.4+(142.3-449.2)+(-2.313768+(-0.145146--0.458184))+0-48.5--0.0494700000000077</f>
        <v>1911.04874</v>
      </c>
      <c r="U359" s="3">
        <f>2301.6+(139.7-463.4)+(0+(0-0))+0-93.7-0</f>
        <v>1884.1999999999998</v>
      </c>
      <c r="V359" s="3">
        <f>2281.6+(112.2-398.8)+(-4.654464+(-0.228888--0.813552))+0-89.6--0.182783999999996</f>
        <v>1901.5129840000002</v>
      </c>
      <c r="W359" s="3">
        <f>2264.7+(102.5-297.8)+(-1.154997+(-0.052275--0.151878))+0-94.3--0.0480929999999904</f>
        <v>1974.0926989999996</v>
      </c>
      <c r="X359" s="3">
        <f>2488.1+(96.3-415.9)+(-1.268931+(-0.049113--0.212109))+0-60.7--0.0309569999999938</f>
        <v>2106.7250220000001</v>
      </c>
      <c r="Y359" s="3">
        <f>2580+(107.6-533.8)+(-7.8948+(-0.329256--1.633428))+0-79.4--0.242964000000009</f>
        <v>2068.0523360000002</v>
      </c>
      <c r="Z359" s="3">
        <f>2367.6+(119.7-406.5)+(-3.622428+(-0.183141--0.621945))+0-31.9--0.0488070000000018</f>
        <v>2045.7651829999998</v>
      </c>
      <c r="AA359" s="3">
        <f>1981.1+(139.4-61.9)+(-3.031083+(-0.213282--0.094707))+0-98.9--0.151317000000006</f>
        <v>1956.7016590000001</v>
      </c>
      <c r="AB359" s="3">
        <f>1843.3+(192.4-48.8)+(-3.760332+(-0.392496--0.099552))+0-93.5--0.190739999999996</f>
        <v>1889.537464</v>
      </c>
      <c r="AC359" s="3">
        <f>1754.7+(178.8-43.4)+(-4.474485+(-0.45594--0.11067))+0-92.3--0.235364999999987</f>
        <v>1793.2156100000002</v>
      </c>
      <c r="AD359">
        <f t="shared" si="5"/>
        <v>44393.984517000012</v>
      </c>
      <c r="AE359" s="3">
        <f>2557+(102.4-482.3)+(0+(0-0))+0-102.9-0</f>
        <v>2074.1999999999998</v>
      </c>
    </row>
    <row r="360" spans="1:31" s="2" customFormat="1" x14ac:dyDescent="0.25">
      <c r="A360">
        <v>89</v>
      </c>
      <c r="B360">
        <v>12</v>
      </c>
      <c r="C360">
        <v>24</v>
      </c>
      <c r="D360">
        <v>4</v>
      </c>
      <c r="E360">
        <v>1</v>
      </c>
      <c r="F360" s="3">
        <f>1603.9+(190.4-41)+(-4.907934+(-0.582624--0.12546))+0-66.9--0.204714000000008</f>
        <v>1681.2396160000001</v>
      </c>
      <c r="G360" s="3">
        <f>1547.4+(205.6-37.9)+(-3.94587+(-0.52428--0.096645))+0-87.7--0.223634999999987</f>
        <v>1623.2501300000001</v>
      </c>
      <c r="H360" s="3">
        <f>1511+(184.8-36.1)+(0+(0-0))+0-96.7-0</f>
        <v>1563</v>
      </c>
      <c r="I360" s="3">
        <f>1504.1+(158.3-37.9)+(-4.602546+(-0.484398--0.115974))+0-54.6--0.167076000000006</f>
        <v>1565.096106</v>
      </c>
      <c r="J360" s="3">
        <f>1534.4+(175.8-48.7)+(2.347632+(0.268974-0.074511))+0-88.5-0.135405000000005</f>
        <v>1575.40669</v>
      </c>
      <c r="K360" s="3">
        <f>1606.7+(108.7-75.9)+(-4.097085+(-0.277185--0.193545))+0-91.5--0.233324999999987</f>
        <v>1544.0526</v>
      </c>
      <c r="L360" s="3">
        <f>1623.1+(105.8-104.4)+(-2.483343+(-0.161874--0.159732))+0-74.2--0.113526000000004</f>
        <v>1547.9280410000001</v>
      </c>
      <c r="M360" s="3">
        <f>1767.5+(115.9-192.2)+(-1.80285+(-0.118218--0.196044))+0-29.4--0.0299880000000047</f>
        <v>1660.1049639999999</v>
      </c>
      <c r="N360" s="3">
        <f>1913+(132.7-201.9)+(0+(0-0))+0-62.6-0</f>
        <v>1781.2</v>
      </c>
      <c r="O360" s="3">
        <f>1911.6+(142.9-105.5)+(-1.949832+(-0.145758--0.10761))+0-78.8--0.0803760000000126</f>
        <v>1868.2923960000001</v>
      </c>
      <c r="P360" s="3">
        <f>1916.2+(164-78.7)+(-0.977262+(-0.08364--0.040137))+0-87.5--0.0446249999999911</f>
        <v>1913.02386</v>
      </c>
      <c r="Q360" s="3">
        <f>1912.8+(171.2-72.2)+(-2.926584+(-0.261936--0.110466))+0-83.8--0.128214000000005</f>
        <v>1925.05016</v>
      </c>
      <c r="R360" s="3">
        <f>1819.8+(238.5-73.6)+(-1.856196+(-0.24327--0.075072))+0-86.4--0.0881280000000138</f>
        <v>1896.363734</v>
      </c>
      <c r="S360" s="3">
        <f>1877+(144.9-70.4)+(-0.95727+(-0.073899--0.035904))+0-75.6--0.0385559999999923</f>
        <v>1874.943291</v>
      </c>
      <c r="T360" s="3">
        <f>1887.3+(139.3-103.4)+(-0.962523+(-0.071043--0.052734))+0-79.7--0.0406469999999919</f>
        <v>1842.5598150000001</v>
      </c>
      <c r="U360" s="3">
        <f>1896.6+(129.8-164)+(-2.901798+(-0.198594--0.25092))+0-25.4--0.0388620000000015</f>
        <v>1834.1893899999998</v>
      </c>
      <c r="V360" s="3">
        <f>1878.8+(111.2-97.6)+(-7.665504+(-0.453696--0.398208))+0-24--0.0979199999999979</f>
        <v>1860.7769279999998</v>
      </c>
      <c r="W360" s="3">
        <f>1941+(164.3-87.3)+(0.98991+(0.083793-0.044523))+0-80.8-0.0412079999999918</f>
        <v>1938.1879719999999</v>
      </c>
      <c r="X360" s="3">
        <f>1993.7+(221.2-91.8)+(1.016787+(0.112812-0.046818))+0-87.8-0.0447779999999911</f>
        <v>2036.3380030000001</v>
      </c>
      <c r="Y360" s="3">
        <f>1961.4+(226-91.2)+(-4.001256+(-0.46104--0.186048))+0-87.5--0.178499999999996</f>
        <v>2004.6022520000001</v>
      </c>
      <c r="Z360" s="3">
        <f>1967.8+(167.7-82.2)+(-2.007156+(-0.171054--0.083844))+0-84.5--0.0861900000000135</f>
        <v>1966.7918239999999</v>
      </c>
      <c r="AA360" s="3">
        <f>1960+(142.8-114)+(-1.9992+(-0.145656--0.11628))+0-84--0.0856800000000134</f>
        <v>1902.8571039999999</v>
      </c>
      <c r="AB360" s="3">
        <f>1934.5+(143-141.3)+(-0.986595+(-0.07293--0.072063))+0-86.9--0.0443189999999912</f>
        <v>1848.356857</v>
      </c>
      <c r="AC360" s="3">
        <f>1885+(142.8-157.2)+(-0.96135+(-0.072828--0.080172))+0-95--0.0484499999999904</f>
        <v>1774.694444</v>
      </c>
      <c r="AD360">
        <f t="shared" si="5"/>
        <v>43028.306176999991</v>
      </c>
      <c r="AE360" s="3">
        <f>1996+(215.3-91.9)+(0+(0-0))+0-98.2-0</f>
        <v>2021.2</v>
      </c>
    </row>
    <row r="361" spans="1:31" s="2" customFormat="1" x14ac:dyDescent="0.25">
      <c r="A361">
        <v>89</v>
      </c>
      <c r="B361">
        <v>12</v>
      </c>
      <c r="C361">
        <v>25</v>
      </c>
      <c r="D361">
        <v>5</v>
      </c>
      <c r="E361">
        <v>1</v>
      </c>
      <c r="F361" s="3">
        <f>1696.2+(142.9-126.9)+(-0.865062+(-0.072879--0.064719))+0-51.7--0.0263669999999948</f>
        <v>1659.653145</v>
      </c>
      <c r="G361" s="3">
        <f>1680.1+(144.3-146.9)+(-1.713702+(-0.147186--0.149838))+0-81.8--0.083436000000013</f>
        <v>1594.0723860000003</v>
      </c>
      <c r="H361" s="3">
        <f>1688+(144.5-178.8)+(-3.44352+(-0.29478--0.364752))+0-83.8--0.170951999999996</f>
        <v>1566.697404</v>
      </c>
      <c r="I361" s="3">
        <f>1716.8+(143.2-219.8)+(1.751136+(0.146064-0.224196))+0-83.6-0.0852720000000133</f>
        <v>1558.1877319999999</v>
      </c>
      <c r="J361" s="3">
        <f>1687.8+(128.1-170.2)+(0+(0-0))+0-83.3-0</f>
        <v>1562.4</v>
      </c>
      <c r="K361" s="3">
        <f>1561+(130.4-78.9)+(1.59222+(0.133008-0.080478))+0-88.3-0.0900660000000141</f>
        <v>1525.754684</v>
      </c>
      <c r="L361" s="3">
        <f>1509.6+(56.1-63.7)+(-3.84948+(-0.143055--0.162435))+0-0-0</f>
        <v>1498.1699000000001</v>
      </c>
      <c r="M361" s="3">
        <f>1539.1+(249.7-54.6)+(1.569882+(0.254694-0.055692))+0-92.7-0.0945540000000148</f>
        <v>1643.1743299999998</v>
      </c>
      <c r="N361" s="3">
        <f>1709.6+(188.4-60.7)+(0.871896+(0.096084-0.030957))+0-85.5-0.0436049999999913</f>
        <v>1752.6934179999998</v>
      </c>
      <c r="O361" s="3">
        <f>1811.9+(186.6-62.9)+(-1.848138+(-0.190332--0.064158))+0-82.5--0.0841500000000132</f>
        <v>1851.209838</v>
      </c>
      <c r="P361" s="3">
        <f>1823.4+(236.5-58.7)+(1.859868+(0.24123-0.059874))+0-0-0</f>
        <v>2003.2412240000001</v>
      </c>
      <c r="Q361" s="3">
        <f>1856.6+(164.4-55.7)+(2.840598+(0.251532-0.085221))+0-0-0</f>
        <v>1968.3069089999999</v>
      </c>
      <c r="R361" s="3">
        <f>2051.3+(109.6-206.9)+(-3.138489+(-0.167688--0.316557))+0-75.5--0.115515000000004</f>
        <v>1875.6258950000001</v>
      </c>
      <c r="S361" s="3">
        <f>2098.7+(123.7-288.1)+(-1.070337+(-0.063087--0.146931))+0-64.4--0.0328439999999935</f>
        <v>1868.9463509999996</v>
      </c>
      <c r="T361" s="3">
        <f>2079.9+(132.1-345.5)+(-3.182247+(-0.202113--0.528615))+0-21.2--0.0324360000000012</f>
        <v>1842.4766909999998</v>
      </c>
      <c r="U361" s="3">
        <f>2004.6+(134.6-297)+(-4.089384+(-0.274584--0.60588))+0-20.8--0.0424319999999991</f>
        <v>1817.6843439999998</v>
      </c>
      <c r="V361" s="3">
        <f>2009.2+(124.6-221.1)+(-2.049384+(-0.127092--0.225522))+0-75.4--0.076908000000012</f>
        <v>1835.425954</v>
      </c>
      <c r="W361" s="3">
        <f>1992.5+(119.5-117.6)+(-6.09705+(-0.36567--0.359856))+0-85.8--0.26254800000001</f>
        <v>1902.7596840000001</v>
      </c>
      <c r="X361" s="3">
        <f>2149.4+(92.9-105.7)+(1.096194+(0.047379-0.053907))+0-87.6-0.0446759999999911</f>
        <v>2050.0449899999999</v>
      </c>
      <c r="Y361" s="3">
        <f>2152.3+(98.5-112.6)+(-5.488365+(-0.251175--0.28713))+0-87.2--0.222359999999987</f>
        <v>2045.7699500000003</v>
      </c>
      <c r="Z361" s="3">
        <f>2164.9+(131.7-202.9)+(-2.208198+(-0.134334--0.206958))+0-74.9--0.0763980000000119</f>
        <v>2016.7408240000002</v>
      </c>
      <c r="AA361" s="3">
        <f>2158+(142.4-220.3)+(-5.5029+(-0.36312--0.561765))+0-90.9--0.231794999999987</f>
        <v>1984.1275399999997</v>
      </c>
      <c r="AB361" s="3">
        <f>2064.1+(143.9-214.3)+(-5.263455+(-0.366945--0.546465))+0-91--0.232049999999987</f>
        <v>1897.8481149999998</v>
      </c>
      <c r="AC361" s="3">
        <f>1935.5+(142.4-180.2)+(-3.94842+(-0.290496--0.367608))+0-91.2--0.186047999999996</f>
        <v>1802.81474</v>
      </c>
      <c r="AD361">
        <f t="shared" si="5"/>
        <v>43123.826048000003</v>
      </c>
      <c r="AE361" s="3">
        <f>2167+(113.7-99.1)+(0+(0-0))+0-97.9-0</f>
        <v>2083.6999999999998</v>
      </c>
    </row>
    <row r="362" spans="1:31" s="2" customFormat="1" x14ac:dyDescent="0.25">
      <c r="A362">
        <v>89</v>
      </c>
      <c r="B362">
        <v>12</v>
      </c>
      <c r="C362">
        <v>26</v>
      </c>
      <c r="D362">
        <v>6</v>
      </c>
      <c r="E362">
        <v>1</v>
      </c>
      <c r="F362" s="3">
        <f>1616+(193.2-58.1)+(-2.47248+(-0.295596--0.088893))+0-89.5--0.136935000000005</f>
        <v>1659.0577519999999</v>
      </c>
      <c r="G362" s="3">
        <f>1597.7+(168.3-52.6)+(-1.629654+(-0.171666--0.053652))+0-91.7--0.0935340000000146</f>
        <v>1620.0458660000002</v>
      </c>
      <c r="H362" s="3">
        <f>1571.5+(150-56.4)+(-2.404395+(-0.2295--0.086292))+0-76.4--0.116892000000004</f>
        <v>1586.2692889999998</v>
      </c>
      <c r="I362" s="3">
        <f>1514.7+(201.2-52.7)+(0.772497+(0.102612-0.026877))+0-91.7-0.0467669999999907</f>
        <v>1572.301465</v>
      </c>
      <c r="J362" s="3">
        <f>1503.2+(221.6-64)+(-2.299896+(-0.339048--0.09792))+0-90.8--0.138924000000005</f>
        <v>1567.5979</v>
      </c>
      <c r="K362" s="3">
        <f>1541+(166.4-79.1)+(-0.78591+(-0.084864--0.040341))+0-93.8--0.0478379999999905</f>
        <v>1533.7174049999999</v>
      </c>
      <c r="L362" s="3">
        <f>1655.8+(126.7-148.1)+(-3.377832+(-0.258468--0.302124))+0-90.8--0.185231999999996</f>
        <v>1540.4510559999999</v>
      </c>
      <c r="M362" s="3">
        <f>1811.6+(133.9-187.7)+(0.923916+(0.068289-0.095727))+0-96.4-0.0491639999999902</f>
        <v>1662.2473139999997</v>
      </c>
      <c r="N362" s="3">
        <f>1824+(139.6-124.1)+(0.93024+(0.071196-0.063291))+0-70.1-0.0357509999999929</f>
        <v>1770.3023940000003</v>
      </c>
      <c r="O362" s="3">
        <f>1818.5+(200.7-81.7)+(-2.782305+(-0.307071--0.125001))+0-83.8--0.128214000000005</f>
        <v>1850.8638390000001</v>
      </c>
      <c r="P362" s="3">
        <f>1816.9+(230.8-78.8)+(-2.779857+(-0.353124--0.120564))+0-82.8--0.126684000000005</f>
        <v>1883.2142670000003</v>
      </c>
      <c r="Q362" s="3">
        <f>1824.5+(228.5-74.9)+(-0.930495+(-0.116535--0.038199))+0-86.2--0.0439619999999913</f>
        <v>1890.9351309999997</v>
      </c>
      <c r="R362" s="3">
        <f>1817.9+(202.3-80.4)+(-2.781387+(-0.309519--0.123012))+0-83.8--0.128214000000005</f>
        <v>1853.1603200000004</v>
      </c>
      <c r="S362" s="3">
        <f>1826.5+(165.2-84.9)+(0+(0-0))+0-77.2-0</f>
        <v>1829.6</v>
      </c>
      <c r="T362" s="3">
        <f>1760.5+(186-78.6)+(-2.693565+(-0.28458--0.120258))+0-86.4--0.132192000000005</f>
        <v>1778.7743050000001</v>
      </c>
      <c r="U362" s="3">
        <f>1741+(184.9-77.8)+(-6.21537+(-0.660093--0.277746))+0-67.9--0.242403000000001</f>
        <v>1773.8446859999997</v>
      </c>
      <c r="V362" s="3">
        <f>1752.4+(205.3-81.9)+(-1.787448+(-0.209406--0.083538))+0-69.1--0.070482000000011</f>
        <v>1804.8571660000005</v>
      </c>
      <c r="W362" s="3">
        <f>1646.3+(375.5-84.7)+(-3.358452+(-0.76602--0.172788))+0-83.7--0.170747999999996</f>
        <v>1849.6190639999998</v>
      </c>
      <c r="X362" s="3">
        <f>1889.7+(215.1-88.5)+(0+(0-0))+0-93.9-0</f>
        <v>1922.3999999999999</v>
      </c>
      <c r="Y362" s="3">
        <f>1992.1+(176.8-89.8)+(-4.063884+(-0.360672--0.183192))+0-85.7--0.174827999999996</f>
        <v>1989.3334639999998</v>
      </c>
      <c r="Z362" s="3">
        <f>1959.6+(191.5-81.7)+(-2.998188+(-0.292995--0.125001))+0-89.7--0.137241000000005</f>
        <v>1976.671059</v>
      </c>
      <c r="AA362" s="3">
        <f>1932.5+(173-72.3)+(-0.985575+(-0.08823--0.036873))+0-89.4--0.0455939999999909</f>
        <v>1942.8086619999999</v>
      </c>
      <c r="AB362" s="3">
        <f>1945.1+(143.9-70.1)+(2.976003+(0.220167-0.107253))+0-89.6-0.137088000000005</f>
        <v>1932.251829</v>
      </c>
      <c r="AC362" s="3">
        <f>1928.3+(142.1-96.3)+(-4.917165+(-0.362355--0.245565))+0-76.4--0.194819999999989</f>
        <v>1892.8608649999996</v>
      </c>
      <c r="AD362">
        <f t="shared" si="5"/>
        <v>42683.185098000002</v>
      </c>
      <c r="AE362" s="3">
        <f>1974+(208.7-85.3)+(0+(0-0))+0-95.7-0</f>
        <v>2001.7</v>
      </c>
    </row>
    <row r="363" spans="1:31" s="2" customFormat="1" x14ac:dyDescent="0.25">
      <c r="A363">
        <v>89</v>
      </c>
      <c r="B363">
        <v>12</v>
      </c>
      <c r="C363">
        <v>27</v>
      </c>
      <c r="D363">
        <v>7</v>
      </c>
      <c r="E363">
        <v>1</v>
      </c>
      <c r="F363" s="3">
        <f>1839.9+(142.6-171.7)+(-3.753396+(-0.290904--0.350268))+0-92.8--0.189311999999996</f>
        <v>1714.4952800000001</v>
      </c>
      <c r="G363" s="3">
        <f>1762.2+(142.6-184.2)+(-2.696166+(-0.218178--0.281826))+0-82.2--0.125766000000005</f>
        <v>1635.8932480000003</v>
      </c>
      <c r="H363" s="3">
        <f>1683.2+(142.8-193.6)+(-0.858432+(-0.072828--0.098736))+0-32.9--0.0167789999999967</f>
        <v>1598.6842550000001</v>
      </c>
      <c r="I363" s="3">
        <f>1579.5+(143.6-68)+(-2.416635+(-0.219708--0.10404))+0-78.5--0.120105000000005</f>
        <v>1574.1878019999999</v>
      </c>
      <c r="J363" s="3">
        <f>1580.3+(135.1-63)+(0.805953+(0.068901-0.03213))+0-75.6-0.0385559999999923</f>
        <v>1577.6041680000001</v>
      </c>
      <c r="K363" s="3">
        <f>1620.9+(108.3-104.7)+(-2.479977+(-0.165699--0.160191))+0-83.4--0.127602000000005</f>
        <v>1538.742117</v>
      </c>
      <c r="L363" s="3">
        <f>1485.3+(195.5-82.1)+(-1.515006+(-0.19941--0.083742))+0-92.6--0.0944520000000148</f>
        <v>1504.5637780000002</v>
      </c>
      <c r="M363" s="3">
        <f>1529.2+(177.5-83.5)+(0+(0-0))+0-80.7-0</f>
        <v>1542.5</v>
      </c>
      <c r="N363" s="3">
        <f>1751.5+(121.8-172.6)+(0.893265+(0.062118-0.088026))+0-73.3-0.0373829999999926</f>
        <v>1628.2299740000001</v>
      </c>
      <c r="O363" s="3">
        <f>1816+(122.4-155.4)+(-0.92616+(-0.062424--0.079254))+0-90.4--0.0461039999999908</f>
        <v>1691.736774</v>
      </c>
      <c r="P363" s="3">
        <f>1885.6+(131.5-184.9)+(-3.846624+(-0.26826--0.377196))+0-90--0.183599999999996</f>
        <v>1738.645912</v>
      </c>
      <c r="Q363" s="3">
        <f>1868.7+(141.6-170.2)+(-3.812148+(-0.288864--0.347208))+0-85.3--0.174011999999996</f>
        <v>1751.2202080000002</v>
      </c>
      <c r="R363" s="3">
        <f>1805.5+(141.5-147.8)+(-0.920805+(-0.072165--0.075378))+0-75.9--0.0387089999999923</f>
        <v>1722.4211169999999</v>
      </c>
      <c r="S363" s="3">
        <f>1778.9+(141.4-192.3)+(0.907239+(0.072114-0.098073))+0-28.8-0.0146879999999971</f>
        <v>1700.0665920000001</v>
      </c>
      <c r="T363" s="3">
        <f>1701.7+(142-119.7)+(-4.339335+(-0.3621--0.305235))+0-50.7--0.129284999999993</f>
        <v>1669.033085</v>
      </c>
      <c r="U363" s="3">
        <f>1696.3+(142.4-113.3)+(-4.325565+(-0.36312--0.288915))+0-61.5--0.156824999999991</f>
        <v>1659.6570549999999</v>
      </c>
      <c r="V363" s="3">
        <f>1711.1+(141.3-98.7)+(-2.617983+(-0.216189--0.151011))+0-78.5--0.120105000000005</f>
        <v>1672.6369439999999</v>
      </c>
      <c r="W363" s="3">
        <f>1765+(147.1-80.5)+(-1.8003+(-0.150042--0.08211))+0-72.6--0.0740520000000116</f>
        <v>1757.2058199999999</v>
      </c>
      <c r="X363" s="3">
        <f>1978.8+(170.5-88.1)+(0+(0-0))+0-92.7-0</f>
        <v>1968.4999999999998</v>
      </c>
      <c r="Y363" s="3">
        <f>2032+(128.7-85.2)+(-3.10896+(-0.196911--0.130356))+0-80.2--0.122706000000005</f>
        <v>1992.2471910000002</v>
      </c>
      <c r="Z363" s="3">
        <f>2020.6+(106-80.4)+(-2.061012+(-0.10812--0.082008))+0-66.8--0.0681360000000106</f>
        <v>1977.3810120000001</v>
      </c>
      <c r="AA363" s="3">
        <f>1872.3+(200.1-66.1)+(-1.909746+(-0.204102--0.067422))+0-75.3--0.076806000000012</f>
        <v>1929.0303799999999</v>
      </c>
      <c r="AB363" s="3">
        <f>1712.2+(307.7-54.7)+(-3.492888+(-0.627708--0.111588))+0-79.9--0.162995999999997</f>
        <v>1881.453988</v>
      </c>
      <c r="AC363" s="3">
        <f>1655+(239.6-48.1)+(-3.3762+(-0.488784--0.098124))+0-73.6--0.150143999999997</f>
        <v>1769.2832840000001</v>
      </c>
      <c r="AD363">
        <f t="shared" si="5"/>
        <v>41195.419983999986</v>
      </c>
      <c r="AE363" s="3">
        <f>2043+(149-85.6)+(0+(0-0))+0-83.5-0</f>
        <v>2022.9</v>
      </c>
    </row>
    <row r="364" spans="1:31" s="2" customFormat="1" x14ac:dyDescent="0.25">
      <c r="A364">
        <v>89</v>
      </c>
      <c r="B364">
        <v>12</v>
      </c>
      <c r="C364">
        <v>28</v>
      </c>
      <c r="D364">
        <v>1</v>
      </c>
      <c r="E364">
        <v>6</v>
      </c>
      <c r="F364" s="3">
        <f>1583+(302.9-43.2)+(-3.22932+(-0.617916--0.088128))+0-88.4--0.180335999999996</f>
        <v>1750.7212279999999</v>
      </c>
      <c r="G364" s="3">
        <f>1549.9+(286-41.7)+(-3.952245+(-0.7293--0.106335))+0-82.8--0.211139999999988</f>
        <v>1707.03593</v>
      </c>
      <c r="H364" s="3">
        <f>1433.6+(325.6-40.8)+(0.731136+(0.166056-0.020808))+0-90.8-0.0463079999999908</f>
        <v>1628.4300759999999</v>
      </c>
      <c r="I364" s="3">
        <f>1438.3+(314.8-43.4)+(-3.667665+(-0.80274--0.11067))+0-88.5--0.225674999999987</f>
        <v>1617.06594</v>
      </c>
      <c r="J364" s="3">
        <f>1467.3+(309-57)+(1.496646+(0.31518-0.05814))+0-85.7-0.0874140000000137</f>
        <v>1635.2662719999998</v>
      </c>
      <c r="K364" s="3">
        <f>1458.1+(304.1-78.3)+(0+(0-0))+0-88.8-0</f>
        <v>1595.1</v>
      </c>
      <c r="L364" s="3">
        <f>1444.4+(299-74)+(-2.209932+(-0.45747--0.11322))+0-87.4--0.133722000000005</f>
        <v>1579.57954</v>
      </c>
      <c r="M364" s="3">
        <f>1541.6+(288.9-74.4)+(-0.786216+(-0.147339--0.037944))+0-67.6--0.0344759999999931</f>
        <v>1687.6388650000001</v>
      </c>
      <c r="N364" s="3">
        <f>1677.6+(280.9-78.4)+(-0.855576+(-0.143259--0.039984))+0-73--0.0372299999999926</f>
        <v>1806.1783789999997</v>
      </c>
      <c r="O364" s="3">
        <f>1713.8+(286.6-73.6)+(-2.622114+(-0.438498--0.112608))+0-88.7--0.135711000000005</f>
        <v>1835.2877069999997</v>
      </c>
      <c r="P364" s="3">
        <f>1723.9+(252.7-78.1)+(-0.879189+(-0.128877--0.039831))+0-74.3--0.0378929999999925</f>
        <v>1823.2696579999999</v>
      </c>
      <c r="Q364" s="3">
        <f>1709.4+(217.1-75.9)+(-3.487176+(-0.442884--0.154836))+0-26.2--0.0534479999999989</f>
        <v>1820.678224</v>
      </c>
      <c r="R364" s="3">
        <f>1671+(235.1-75.2)+(-1.70442+(-0.239802--0.076704))+0-26.7--0.0272340000000043</f>
        <v>1802.3597159999999</v>
      </c>
      <c r="S364" s="3">
        <f>1616.7+(258-74.3)+(0+(0-0))+0-27.3-0</f>
        <v>1773.1000000000001</v>
      </c>
      <c r="T364" s="3">
        <f>1531.7+(370.4-68.8)+(0.781167+(0.188904-0.035088))+0-77.5-0.0395249999999921</f>
        <v>1756.6954580000001</v>
      </c>
      <c r="U364" s="3">
        <f>1523.9+(371.3-67.1)+(-0.777189+(-0.189363--0.034221))+0-89.3--0.0455429999999909</f>
        <v>1737.9132120000002</v>
      </c>
      <c r="V364" s="3">
        <f>1493.5+(393.4-74.8)+(-3.808425+(-1.00317--0.19074))+0-81.1--0.206804999999988</f>
        <v>1726.5859500000001</v>
      </c>
      <c r="W364" s="3">
        <f>1518.9+(464.6-84.7)+(-3.098556+(-0.947784--0.172788))+0-91.7--0.187067999999996</f>
        <v>1803.4135160000001</v>
      </c>
      <c r="X364" s="3">
        <f>1773.3+(425.1-87.9)+(-0.904383+(-0.216801--0.044829))+0-96.5--0.0492149999999902</f>
        <v>2012.9728599999999</v>
      </c>
      <c r="Y364" s="3">
        <f>1857.4+(351.3-86.7)+(-1.894548+(-0.358326--0.088434))+0-94.4--0.0962880000000151</f>
        <v>2025.5318479999999</v>
      </c>
      <c r="Z364" s="3">
        <f>1867.6+(305.5-80.2)+(-0.952476+(-0.155805--0.040902))+0-88.7--0.045236999999991</f>
        <v>2003.177858</v>
      </c>
      <c r="AA364" s="3">
        <f>1794.5+(310.4-67.7)+(-2.745585+(-0.474912--0.103581))+0-82.7--0.126531000000005</f>
        <v>1951.5096150000002</v>
      </c>
      <c r="AB364" s="3">
        <f>1737.4+(288.1-56.4)+(-2.658222+(-0.440793--0.086292))+0-81.1--0.124083000000005</f>
        <v>1885.1113600000001</v>
      </c>
      <c r="AC364" s="3">
        <f>1730.7+(177.6-51.1)+(-2.647971+(-0.271728--0.078183))+0-70.3--0.107559000000004</f>
        <v>1784.1660430000002</v>
      </c>
      <c r="AD364">
        <f t="shared" si="5"/>
        <v>42748.789255000003</v>
      </c>
      <c r="AE364" s="3">
        <f>1858+(354-87.8)+(0+(0-0))+0-113-0</f>
        <v>2011.1999999999998</v>
      </c>
    </row>
    <row r="365" spans="1:31" s="2" customFormat="1" x14ac:dyDescent="0.25">
      <c r="A365">
        <v>89</v>
      </c>
      <c r="B365">
        <v>12</v>
      </c>
      <c r="C365">
        <v>29</v>
      </c>
      <c r="D365">
        <v>2</v>
      </c>
      <c r="E365">
        <v>2</v>
      </c>
      <c r="F365" s="3">
        <f>1532.5+(268.6-44.9)+(-2.344725+(-0.410958--0.068697))+0-76.2--0.116586000000004</f>
        <v>1677.4296000000002</v>
      </c>
      <c r="G365" s="3">
        <f>1375.4+(359.1-43.6)+(-2.104362+(-0.549423--0.066708))+0-98.3--0.150399000000006</f>
        <v>1590.1633220000003</v>
      </c>
      <c r="H365" s="3">
        <f>1346.2+(340.2-42.3)+(-2.746248+(-0.694008--0.086292))+0-88.4--0.180335999999996</f>
        <v>1552.5263719999998</v>
      </c>
      <c r="I365" s="3">
        <f>1300+(354-44.7)+(0.663+(0.18054-0.022797))+0-89.7-0.0457469999999909</f>
        <v>1520.374996</v>
      </c>
      <c r="J365" s="3">
        <f>1311+(337.2-57)+(2.00583+(0.515916-0.08721))+0-83.7-0.128061000000005</f>
        <v>1509.8064749999999</v>
      </c>
      <c r="K365" s="3">
        <f>1290.7+(340.7-80)+(-1.316514+(-0.347514--0.0816))+0-90.5--0.0923100000000144</f>
        <v>1459.4098820000002</v>
      </c>
      <c r="L365" s="3">
        <f>1273.9+(319.1-74.5)+(-1.949067+(-0.488223--0.113985))+0-83.7--0.128061000000005</f>
        <v>1432.6047560000002</v>
      </c>
      <c r="M365" s="3">
        <f>1229.1+(403.1-76)+(2.507364+(0.822324-0.15504))+0-74.5-0.151979999999997</f>
        <v>1484.7226679999997</v>
      </c>
      <c r="N365" s="3">
        <f>1253.8+(448.3-77.2)+(0+(0-0))+0-51.9-0</f>
        <v>1573</v>
      </c>
      <c r="O365" s="3">
        <f>1343.8+(450.8-74.7)+(-1.370676+(-0.459816--0.076194))+0-49.5--0.0504900000000079</f>
        <v>1668.6961920000001</v>
      </c>
      <c r="P365" s="3">
        <f>1338.1+(548.8-67.7)+(-2.729724+(-1.119552--0.138108))+0-98.1--0.200123999999996</f>
        <v>1717.5889559999998</v>
      </c>
      <c r="Q365" s="3">
        <f>1400.2+(487-74.2)+(-2.142306+(-0.74511--0.113526))+0-88.5--0.135405000000005</f>
        <v>1721.8615150000001</v>
      </c>
      <c r="R365" s="3">
        <f>1474.3+(374.3-70.9)+(-2.255679+(-0.572679--0.108477))+0-82.4--0.126072000000005</f>
        <v>1692.7061909999998</v>
      </c>
      <c r="S365" s="3">
        <f>1448.4+(392.2-71.3)+(-3.69342+(-1.00011--0.181815))+0-86.5--0.220574999999987</f>
        <v>1678.5088600000001</v>
      </c>
      <c r="T365" s="3">
        <f>1444.5+(378.9-69.5)+(-2.94678+(-0.772956--0.14178))+0-72.1--0.147083999999997</f>
        <v>1678.369128</v>
      </c>
      <c r="U365" s="3">
        <f>1471.2+(368.6-70.8)+(-2.250936+(-0.563958--0.108324))+0-95.4--0.145962000000006</f>
        <v>1671.0393919999999</v>
      </c>
      <c r="V365" s="3">
        <f>1529+(267.8-77.1)+(0.77979+(0.136578-0.039321))+0-30.6-0.0156059999999969</f>
        <v>1689.9614410000001</v>
      </c>
      <c r="W365" s="3">
        <f>1670.1+(216.1-78.1)+(0+(0-0))+0-27.3-0</f>
        <v>1780.8</v>
      </c>
      <c r="X365" s="3">
        <f>1789.1+(368.4-82.1)+(0.912441+(0.187884-0.041871))+0-74.9-0.0381989999999924</f>
        <v>2001.5202549999995</v>
      </c>
      <c r="Y365" s="3">
        <f>1821.5+(335.7-83.1)+(-4.644825+(-0.856035--0.211905))+0-50--0.127499999999993</f>
        <v>2018.938545</v>
      </c>
      <c r="Z365" s="3">
        <f>1863.7+(311.4-82)+(-2.851461+(-0.476442--0.12546))+0-85.5--0.130815000000005</f>
        <v>2004.5283719999998</v>
      </c>
      <c r="AA365" s="3">
        <f>1869.2+(242-71.6)+(-1.906584+(-0.24684--0.073032))+0-68.5--0.0698700000000109</f>
        <v>1969.0894780000001</v>
      </c>
      <c r="AB365" s="3">
        <f>1819.4+(236.8-60.5)+(-0.927894+(-0.120768--0.030855))+0-71.8--0.0366179999999927</f>
        <v>1922.9188110000002</v>
      </c>
      <c r="AC365" s="3">
        <f>1796+(148.8-61.8)+(-3.66384+(-0.303552--0.126072))+0-44.6--0.0909839999999981</f>
        <v>1834.649664</v>
      </c>
      <c r="AD365">
        <f t="shared" si="5"/>
        <v>40851.214871000004</v>
      </c>
      <c r="AE365" s="3">
        <f>1826+(307.1-86.4)+(0+(0-0))+0-23.4-0</f>
        <v>2023.3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5"/>
  <sheetViews>
    <sheetView tabSelected="1" workbookViewId="0">
      <selection activeCell="F4" sqref="F4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89</v>
      </c>
      <c r="B1">
        <v>1</v>
      </c>
      <c r="C1">
        <v>1</v>
      </c>
      <c r="D1">
        <v>2</v>
      </c>
      <c r="E1">
        <v>2</v>
      </c>
      <c r="F1" s="3">
        <f>211+(275.7-30)+(0+(0-0))+0-0-0</f>
        <v>456.7</v>
      </c>
      <c r="G1" s="3">
        <f>211+(247.2-28)+(0+(0-0))+0-0-0</f>
        <v>430.2</v>
      </c>
      <c r="H1" s="3">
        <f>211+(224.8-28)+(0+(0-0))+0-0-0</f>
        <v>407.8</v>
      </c>
      <c r="I1" s="3">
        <f>211+(211-29)+(-0.10761+(-0.10761--0.01479))+0-0-0</f>
        <v>392.79957000000002</v>
      </c>
      <c r="J1" s="3">
        <f>211+(207-30)+(-0.53805+(-0.52785--0.0765))+0-0-0</f>
        <v>387.01060000000001</v>
      </c>
      <c r="K1" s="3">
        <f>211+(203.8-33)+(-0.10761+(-0.103938--0.01683))+0-0-0</f>
        <v>381.60528199999999</v>
      </c>
      <c r="L1" s="3">
        <f>210+(190.2-32)+(-0.5355+(-0.48501--0.0816))+0-0-0</f>
        <v>367.26108999999997</v>
      </c>
      <c r="M1" s="3">
        <f>210+(204.2-31)+(0.3213+(0.312426-0.04743))+0-0-0</f>
        <v>383.78629599999999</v>
      </c>
      <c r="N1" s="3">
        <f>245+(177.4-26)+(0+(0-0))+0-0-0</f>
        <v>396.4</v>
      </c>
      <c r="O1" s="3">
        <f>286+(165.7-26)+(-0.58344+(-0.338028--0.05304))+0-0-0</f>
        <v>424.83157199999999</v>
      </c>
      <c r="P1" s="3">
        <f>283+(181.6-27)+(-0.72165+(-0.46308--0.06885))+0-0-0</f>
        <v>436.48412000000002</v>
      </c>
      <c r="Q1" s="3">
        <f>282+(198.1-28)+(-0.28764+(-0.202062--0.02856))+0-0-0</f>
        <v>451.63885800000003</v>
      </c>
      <c r="R1" s="3">
        <f>278+(215.8-30)+(-0.28356+(-0.220116--0.0306))+0-0-0</f>
        <v>463.32692400000002</v>
      </c>
      <c r="S1" s="3">
        <f>277+(226.9-31)+(0+(0-0))+0-0-0</f>
        <v>472.9</v>
      </c>
      <c r="T1" s="3">
        <f>277+(218.3-30)+(-0.42381+(-0.333999--0.0459))+0-0-0</f>
        <v>464.58809100000002</v>
      </c>
      <c r="U1" s="3">
        <f>278+(205.4-29)+(-0.42534+(-0.314262--0.04437))+0-0-0</f>
        <v>453.704768</v>
      </c>
      <c r="V1" s="3">
        <f>293+(190.1-30)+(-0.44829+(-0.290853--0.0459))+0-0-0</f>
        <v>452.40675700000003</v>
      </c>
      <c r="W1" s="3">
        <f>334+(154.9-31)+(-0.34068+(-0.157998--0.03162))+0-0-0</f>
        <v>457.43294199999997</v>
      </c>
      <c r="X1" s="3">
        <f>362+(193.7-31)+(-0.18462+(-0.098787--0.01581))+0-0-0</f>
        <v>524.43240300000002</v>
      </c>
      <c r="Y1" s="3">
        <f>362+(208.9-29)+(0+(0-0))+0-0-0</f>
        <v>541.9</v>
      </c>
      <c r="Z1" s="3">
        <f>362+(209.8-27)+(-0.18462+(-0.106998--0.01377))+0-0-0</f>
        <v>544.52215200000001</v>
      </c>
      <c r="AA1" s="3">
        <f>362+(198.1-30)+(-0.9231+(-0.505155--0.0765))+0-0-0</f>
        <v>528.748245</v>
      </c>
      <c r="AB1" s="3">
        <f>340+(200.5-32)+(-0.3468+(-0.20451--0.03264))+0-0-0</f>
        <v>507.98133000000001</v>
      </c>
      <c r="AC1" s="3">
        <f>289+(218.4-31)+(-1.03173+(-0.779688--0.11067))+0-0-0</f>
        <v>474.699252</v>
      </c>
      <c r="AD1">
        <f t="shared" ref="AD1:AD64" si="0">SUM(F1:AC1)</f>
        <v>10803.160252</v>
      </c>
      <c r="AE1" s="3">
        <f>358+(210-32)+(0+(0-0))+0-0-0</f>
        <v>536</v>
      </c>
    </row>
    <row r="2" spans="1:31" s="2" customFormat="1" x14ac:dyDescent="0.25">
      <c r="A2">
        <v>89</v>
      </c>
      <c r="B2">
        <v>1</v>
      </c>
      <c r="C2">
        <v>2</v>
      </c>
      <c r="D2">
        <v>3</v>
      </c>
      <c r="E2">
        <v>2</v>
      </c>
      <c r="F2" s="3">
        <f>(G2+AC1)/2</f>
        <v>457.287351</v>
      </c>
      <c r="G2" s="3">
        <f>277+(194-30)+(-0.70635+(-0.4947--0.0765))+0-0-0</f>
        <v>439.87545</v>
      </c>
      <c r="H2" s="3">
        <f>276+(174-29)+(-0.84456+(-0.53244--0.08874))+0-0-0</f>
        <v>419.71174000000002</v>
      </c>
      <c r="I2" s="3">
        <f>253+(177.4-28)+(-0.25806+(-0.180948--0.02856))+0-0-0</f>
        <v>401.989552</v>
      </c>
      <c r="J2" s="3">
        <f>194+(223.6-29)+(0+(0-0))+0-0-0</f>
        <v>388.6</v>
      </c>
      <c r="K2" s="3">
        <f>194+(219.3-32)+(0.19788+(0.223686-0.03264))+0-0-0</f>
        <v>381.68892600000004</v>
      </c>
      <c r="L2" s="3">
        <f>194+(214.6-33)+(0.09894+(0.109446-0.01683))+0-0-0</f>
        <v>375.79155600000001</v>
      </c>
      <c r="M2" s="3">
        <f>194+(208-33)+(-0.4947+(-0.5304--0.08415))+0-0-0</f>
        <v>368.05905000000001</v>
      </c>
      <c r="N2" s="3">
        <f>194+(224.5-29)+(-0.19788+(-0.22899--0.02958))+0-0-0</f>
        <v>389.10271</v>
      </c>
      <c r="O2" s="3">
        <f>199+(228.3-28)+(-0.20298+(-0.232866--0.02856))+0-0-0</f>
        <v>398.89271400000001</v>
      </c>
      <c r="P2" s="3">
        <f>265+(183-26)+(-0.2703+(-0.18666--0.02652))+0-0-0</f>
        <v>421.56956000000002</v>
      </c>
      <c r="Q2" s="3">
        <f>265+(192.4-25)+(-0.40545+(-0.294372--0.03825))+0-0-0</f>
        <v>431.738428</v>
      </c>
      <c r="R2" s="3">
        <f>262+(209.2-27)+(0+(0-0))+0-0-0</f>
        <v>444.2</v>
      </c>
      <c r="S2" s="3">
        <f>262+(235.5-29)+(-0.6681+(-0.600525--0.07395))+0-0-0</f>
        <v>467.30532499999998</v>
      </c>
      <c r="T2" s="3">
        <f>263+(246.6-31)+(-0.13413+(-0.125766--0.01581))+0-0-0</f>
        <v>478.35591400000004</v>
      </c>
      <c r="U2" s="3">
        <f>265+(243.8-32)+(-0.13515+(-0.124338--0.01632))+0-0-0</f>
        <v>476.55683199999999</v>
      </c>
      <c r="V2" s="3">
        <f>275+(228.1-33)+(-0.42075+(-0.348993--0.05049))+0-0-0</f>
        <v>469.38074700000004</v>
      </c>
      <c r="W2" s="3">
        <f>275+(206.1-32)+(-0.2805+(-0.210222--0.03264))+0-0-0</f>
        <v>448.64191800000003</v>
      </c>
      <c r="X2" s="3">
        <f>313+(183.1-32)+(0+(0-0))+0-0-0</f>
        <v>464.1</v>
      </c>
      <c r="Y2" s="3">
        <f>326+(231.1-33)+(-0.16626+(-0.117861--0.01683))+0-0-0</f>
        <v>523.83270900000002</v>
      </c>
      <c r="Z2" s="3">
        <f>326+(258.2-33)+(-0.66504+(-0.526728--0.06732))+0-0-0</f>
        <v>550.07555200000002</v>
      </c>
      <c r="AA2" s="3">
        <f>326+(252.9-24)+(-0.33252+(-0.257958--0.02448))+0-0-0</f>
        <v>554.33400199999994</v>
      </c>
      <c r="AB2" s="3">
        <f>295+(293.8-28)+(-0.45135+(-0.449514--0.04284))+0-0-0</f>
        <v>559.94197599999995</v>
      </c>
      <c r="AC2" s="3">
        <f>275+(284.5-30)+(-0.42075+(-0.435285--0.0459))+0-0-0</f>
        <v>528.68986500000005</v>
      </c>
      <c r="AD2">
        <f t="shared" si="0"/>
        <v>10839.721877000002</v>
      </c>
      <c r="AE2" s="3">
        <f>323+(257-33)+(0+(0-0))+0-0-0</f>
        <v>547</v>
      </c>
    </row>
    <row r="3" spans="1:31" s="2" customFormat="1" x14ac:dyDescent="0.25">
      <c r="A3">
        <v>89</v>
      </c>
      <c r="B3">
        <v>1</v>
      </c>
      <c r="C3">
        <v>3</v>
      </c>
      <c r="D3">
        <v>4</v>
      </c>
      <c r="E3">
        <v>2</v>
      </c>
      <c r="F3" s="3">
        <f>271+(255.4-30)+(-0.55284+(-0.521016--0.0612))+0-0-0</f>
        <v>495.38734399999998</v>
      </c>
      <c r="G3" s="3">
        <f>242+(255-30)+(-0.37026+(-0.39015--0.0459))+0-0-0</f>
        <v>466.28548999999998</v>
      </c>
      <c r="H3" s="3">
        <f>191+(286.6-30)+(-0.58446+(-0.876996--0.0918))+0-0-0</f>
        <v>446.230344</v>
      </c>
      <c r="I3" s="3">
        <f>191+(268.2-32)+(-0.19482+(-0.273564--0.03264))+0-0-0</f>
        <v>426.76425599999999</v>
      </c>
      <c r="J3" s="3">
        <f>191+(257.8-33)+(-0.29223+(-0.394434--0.05049))+0-0-0</f>
        <v>415.16382600000003</v>
      </c>
      <c r="K3" s="3">
        <f>191+(253.4-33)+(-0.09741+(-0.129234--0.01683))+0-0-0</f>
        <v>411.19018599999998</v>
      </c>
      <c r="L3" s="3">
        <f>192+(242.8-32)+(-0.39168+(-0.495312--0.06528))+0-0-0</f>
        <v>401.97828800000002</v>
      </c>
      <c r="M3" s="3">
        <f>192+(232.9-30)+(-0.29376+(-0.356337--0.0459))+0-0-0</f>
        <v>394.29580299999998</v>
      </c>
      <c r="N3" s="3">
        <f>192+(247.6-25)+(0.09792+(0.126276-0.01275))+0-0-0</f>
        <v>414.81144600000005</v>
      </c>
      <c r="O3" s="3">
        <f>188+(259.4-21)+(0+(0-0))+0-0-0</f>
        <v>426.4</v>
      </c>
      <c r="P3" s="3">
        <f>212+(252.5-22)+(0.10812+(0.128775-0.01122))+0-0-0</f>
        <v>442.72567500000002</v>
      </c>
      <c r="Q3" s="3">
        <f>258+(225.1-24)+(-0.13158+(-0.114801--0.01224))+0-0-0</f>
        <v>458.865859</v>
      </c>
      <c r="R3" s="3">
        <f>260+(227.8-27)+(-0.2652+(-0.232356--0.02754))+0-0-0</f>
        <v>460.32998400000002</v>
      </c>
      <c r="S3" s="3">
        <f>289+(219.2-28)+(-0.14739+(-0.111792--0.01428))+0-0-0</f>
        <v>479.95509799999996</v>
      </c>
      <c r="T3" s="3">
        <f>367+(150.6-30)+(0+(0-0))+0-0-0</f>
        <v>487.6</v>
      </c>
      <c r="U3" s="3">
        <f>383+(127.9-31)+(-0.58599+(-0.195687--0.04743))+0-0-0</f>
        <v>479.165753</v>
      </c>
      <c r="V3" s="3">
        <f>386+(112.4-31)+(-0.39372+(-0.114648--0.03162))+0-0-0</f>
        <v>466.92325199999999</v>
      </c>
      <c r="W3" s="3">
        <f>388+(89.7-32)+(-0.39576+(-0.091494--0.03264))+0-0-0</f>
        <v>445.245386</v>
      </c>
      <c r="X3" s="3">
        <f>389+(93-33)+(0+(0-0))+0-0-0</f>
        <v>449</v>
      </c>
      <c r="Y3" s="3">
        <f>389+(164.3-33)+(0+(0-0))+0-0-0</f>
        <v>520.29999999999995</v>
      </c>
      <c r="Z3" s="3">
        <f>389+(185.1-32)+(-0.79356+(-0.377604--0.06528))+0-0-0</f>
        <v>540.99411600000008</v>
      </c>
      <c r="AA3" s="3">
        <f>362+(211.4-31)+(0+(0-0))+0-0-0</f>
        <v>542.4</v>
      </c>
      <c r="AB3" s="3">
        <f>311+(258.4-32)+(-0.15861+(-0.131784--0.01632))+0-0-0</f>
        <v>537.12592599999994</v>
      </c>
      <c r="AC3" s="3">
        <f>304+(250.1-32)+(-0.31008+(-0.255102--0.03264))+0-0-0</f>
        <v>521.56745799999999</v>
      </c>
      <c r="AD3">
        <f t="shared" si="0"/>
        <v>11130.705489999998</v>
      </c>
      <c r="AE3" s="3">
        <f>392+(186-33)+(0+(0-0))+0-0-0</f>
        <v>545</v>
      </c>
    </row>
    <row r="4" spans="1:31" s="2" customFormat="1" x14ac:dyDescent="0.25">
      <c r="A4">
        <v>89</v>
      </c>
      <c r="B4">
        <v>1</v>
      </c>
      <c r="C4">
        <v>4</v>
      </c>
      <c r="D4">
        <v>5</v>
      </c>
      <c r="E4">
        <v>2</v>
      </c>
      <c r="F4" s="3">
        <f>300+(222.2-32)+(-0.306+(-0.226644--0.03264))+0-0-0</f>
        <v>489.699996</v>
      </c>
      <c r="G4" s="3">
        <f>293+(200.6-31)+(-0.59772+(-0.409224--0.06324))+0-0-0</f>
        <v>461.656296</v>
      </c>
      <c r="H4" s="3">
        <f>293+(177.4-31)+(-0.44829+(-0.271422--0.04743))+0-0-0</f>
        <v>438.72771799999998</v>
      </c>
      <c r="I4" s="3">
        <f>292+(155.6-30)+(0.29784+(0.158712-0.0306))+0-0-0</f>
        <v>418.02595200000002</v>
      </c>
      <c r="J4" s="3">
        <f>206+(238-32)+(-0.10506+(-0.12138--0.01632))+0-0-0</f>
        <v>411.78987999999998</v>
      </c>
      <c r="K4" s="3">
        <f>197+(246.3-33)+(0.10047+(0.125613-0.01683))+0-0-0</f>
        <v>410.509253</v>
      </c>
      <c r="L4" s="3">
        <f>196+(231-26)+(-0.09996+(-0.11781--0.01326))+0-0-0</f>
        <v>400.79548999999997</v>
      </c>
      <c r="M4" s="3">
        <f>196+(230.6-30)+(-0.19992+(-0.235212--0.0306))+0-0-0</f>
        <v>396.19546800000001</v>
      </c>
      <c r="N4" s="3">
        <f>205+(231.3-30)+(0+(0-0))+0-0-0</f>
        <v>406.3</v>
      </c>
      <c r="O4" s="3">
        <f>268+(178.3-30)+(0.13668+(0.090933-0.0153))+0-0-0</f>
        <v>416.51231300000001</v>
      </c>
      <c r="P4" s="3">
        <f>267+(187.2-28)+(-0.54468+(-0.381888--0.05712))+0-0-0</f>
        <v>425.33055200000001</v>
      </c>
      <c r="Q4" s="3">
        <f>266+(193.2-28)+(-0.27132+(-0.197064--0.02856))+0-0-0</f>
        <v>430.760176</v>
      </c>
      <c r="R4" s="3">
        <f>262+(211.5-28)+(0+(0-0))+0-0-0</f>
        <v>445.5</v>
      </c>
      <c r="S4" s="3">
        <f>263+(227.6-28)+(0.13413+(0.116076-0.01428))+0-0-0</f>
        <v>462.83592600000003</v>
      </c>
      <c r="T4" s="3">
        <f>264+(236-29)+(-0.26928+(-0.24072--0.02958))+0-0-0</f>
        <v>470.51958000000002</v>
      </c>
      <c r="U4" s="3">
        <f>266+(230.7-30)+(-0.40698+(-0.352971--0.0459))+0-0-0</f>
        <v>465.98594900000001</v>
      </c>
      <c r="V4" s="3">
        <f>268+(220.5-30)+(0+(0-0))+0-0-0</f>
        <v>458.5</v>
      </c>
      <c r="W4" s="3">
        <f>270+(202.7-30)+(-0.1377+(-0.103377--0.0153))+0-0-0</f>
        <v>442.47422299999999</v>
      </c>
      <c r="X4" s="3">
        <f>286+(191-31)+(-0.14586+(-0.09741--0.01581))+0-0-0</f>
        <v>445.77253999999999</v>
      </c>
      <c r="Y4" s="3">
        <f>306+(248.1-32)+(-0.15606+(-0.126531--0.01632))+0-0-0</f>
        <v>521.83372900000006</v>
      </c>
      <c r="Z4" s="3">
        <f>306+(269.6-31)+(-0.62424+(-0.549984--0.06324))+0-0-0</f>
        <v>543.48901599999999</v>
      </c>
      <c r="AA4" s="3">
        <f>307+(272.4-32)+(-0.31314+(-0.277848--0.03264))+0-0-0</f>
        <v>546.84165199999995</v>
      </c>
      <c r="AB4" s="3">
        <f>301+(266.6-32)+(0+(0-0))+0-0-0</f>
        <v>535.6</v>
      </c>
      <c r="AC4" s="3">
        <f>289+(253.2-33)+(-0.29478+(-0.258264--0.03366))+0-0-0</f>
        <v>508.68061599999999</v>
      </c>
      <c r="AD4">
        <f t="shared" si="0"/>
        <v>10954.336324999998</v>
      </c>
      <c r="AE4" s="3">
        <f>305+(269-33)+(0+(0-0))+0-0-0</f>
        <v>541</v>
      </c>
    </row>
    <row r="5" spans="1:31" s="2" customFormat="1" x14ac:dyDescent="0.25">
      <c r="A5">
        <v>89</v>
      </c>
      <c r="B5">
        <v>1</v>
      </c>
      <c r="C5">
        <v>5</v>
      </c>
      <c r="D5">
        <v>6</v>
      </c>
      <c r="E5">
        <v>6</v>
      </c>
      <c r="F5" s="3">
        <f>294+(215.1-31)+(-0.7497+(-0.548505--0.07905))+0-0-0</f>
        <v>476.88084500000002</v>
      </c>
      <c r="G5" s="3">
        <f>295+(182.4-29)+(-0.45135+(-0.279072--0.04437))+0-0-0</f>
        <v>447.71394799999996</v>
      </c>
      <c r="H5" s="3">
        <f>296+(158.1-29)+(-0.30192+(-0.161262--0.02958))+0-0-0</f>
        <v>424.66639800000002</v>
      </c>
      <c r="I5" s="3">
        <f>296+(140.4-29)+(-0.15096+(-0.071604--0.01479))+0-0-0</f>
        <v>407.19222600000001</v>
      </c>
      <c r="J5" s="3">
        <f>284+(137.6-30)+(-0.14484+(-0.070176--0.0153))+0-0-0</f>
        <v>391.400284</v>
      </c>
      <c r="K5" s="3">
        <f>278+(141.3-32)+(-0.14178+(-0.072063--0.01632))+0-0-0</f>
        <v>387.10247700000002</v>
      </c>
      <c r="L5" s="3">
        <f>279+(135.6-31)+(-0.56916+(-0.276624--0.06324))+0-0-0</f>
        <v>382.81745600000005</v>
      </c>
      <c r="M5" s="3">
        <f>279+(135.6-29)+(0.14229+(0.069156-0.01479))+0-0-0</f>
        <v>385.79665600000004</v>
      </c>
      <c r="N5" s="3">
        <f>275+(156.4-29)+(0.14025+(0.079764-0.01479))+0-0-0</f>
        <v>402.60522399999996</v>
      </c>
      <c r="O5" s="3">
        <f>268+(179.4-27)+(0.13668+(0.091494-0.01377))+0-0-0</f>
        <v>420.61440399999998</v>
      </c>
      <c r="P5" s="3">
        <f>266+(186.1-25)+(0+(0-0))+0-0-0</f>
        <v>427.1</v>
      </c>
      <c r="Q5" s="3">
        <f>265+(190.7-25)+(0.2703+(0.194514-0.0255))+0-0-0</f>
        <v>431.13931400000001</v>
      </c>
      <c r="R5" s="3">
        <f>263+(212.6-27)+(-0.13413+(-0.108426--0.01377))+0-0-0</f>
        <v>448.37121400000001</v>
      </c>
      <c r="S5" s="3">
        <f>263+(231.3-28)+(-0.26826+(-0.235926--0.02856))+0-0-0</f>
        <v>465.82437400000003</v>
      </c>
      <c r="T5" s="3">
        <f>264+(240.7-28)+(0.13464+(0.122757-0.01428))+0-0-0</f>
        <v>476.94311699999997</v>
      </c>
      <c r="U5" s="3">
        <f>276+(225.4-27)+(-0.28152+(-0.229908--0.02754))+0-0-0</f>
        <v>473.916112</v>
      </c>
      <c r="V5" s="3">
        <f>285+(197.8-27)+(0+(0-0))+0-0-0</f>
        <v>455.8</v>
      </c>
      <c r="W5" s="3">
        <f>287+(177.4-27)+(-0.43911+(-0.271422--0.04131))+0-0-0</f>
        <v>436.73077799999999</v>
      </c>
      <c r="X5" s="3">
        <f>298+(164.3-30)+(-0.60792+(-0.335172--0.0612))+0-0-0</f>
        <v>431.41810800000002</v>
      </c>
      <c r="Y5" s="3">
        <f>307+(240.7-32)+(-0.31314+(-0.245514--0.03264))+0-0-0</f>
        <v>515.17398600000001</v>
      </c>
      <c r="Z5" s="3">
        <f>308+(266.1-33)+(-0.47124+(-0.407133--0.05049))+0-0-0</f>
        <v>540.27211699999998</v>
      </c>
      <c r="AA5" s="3">
        <f>308+(272.7-31)+(0+(0-0))+0-0-0</f>
        <v>549.70000000000005</v>
      </c>
      <c r="AB5" s="3">
        <f>303+(261.9-31)+(-0.15453+(-0.133569--0.01581))+0-0-0</f>
        <v>533.62771099999998</v>
      </c>
      <c r="AC5" s="3">
        <f>293+(247.7-18)+(-0.29886+(-0.252654--0.01836))+0-0-0</f>
        <v>522.16684600000008</v>
      </c>
      <c r="AD5">
        <f t="shared" si="0"/>
        <v>10834.973595000001</v>
      </c>
      <c r="AE5" s="3">
        <f>307+(261-33)+(0+(0-0))+0-0-0</f>
        <v>535</v>
      </c>
    </row>
    <row r="6" spans="1:31" s="2" customFormat="1" x14ac:dyDescent="0.25">
      <c r="A6">
        <v>89</v>
      </c>
      <c r="B6">
        <v>1</v>
      </c>
      <c r="C6">
        <v>6</v>
      </c>
      <c r="D6">
        <v>7</v>
      </c>
      <c r="E6">
        <v>1</v>
      </c>
      <c r="F6" s="3">
        <f>293+(216.8-29)+(-0.14943+(-0.110568--0.01479))+0-0-0</f>
        <v>480.55479200000002</v>
      </c>
      <c r="G6" s="3">
        <f>293+(184-27)+(-0.29886+(-0.18768--0.02754))+0-0-0</f>
        <v>449.541</v>
      </c>
      <c r="H6" s="3">
        <f>294+(157.6-26)+(-0.44982+(-0.241128--0.03978))+0-0-0</f>
        <v>424.94883200000004</v>
      </c>
      <c r="I6" s="3">
        <f>293+(142.7-26)+(0+(0-0))+0-0-0</f>
        <v>409.7</v>
      </c>
      <c r="J6" s="3">
        <f>287+(133.8-27)+(-0.43911+(-0.204714--0.04131))+0-0-0</f>
        <v>393.19748600000003</v>
      </c>
      <c r="K6" s="3">
        <f>282+(133.3-27)+(0+(0-0))+0-0-0</f>
        <v>388.3</v>
      </c>
      <c r="L6" s="3">
        <f>282+(121.8-29)+(0.43146+(0.186354-0.04437))+0-0-0</f>
        <v>375.37344400000001</v>
      </c>
      <c r="M6" s="3">
        <f>282+(120.1-27)+(-0.86292+(-0.367506--0.08262))+0-0-0</f>
        <v>373.95219400000002</v>
      </c>
      <c r="N6" s="3">
        <f>280+(133-26)+(0.2856+(0.13566-0.02652))+0-0-0</f>
        <v>387.39474000000001</v>
      </c>
      <c r="O6" s="3">
        <f>274+(153.6-25)+(0+(0-0))+0-0-0</f>
        <v>402.6</v>
      </c>
      <c r="P6" s="3">
        <f>271+(171.1-25)+(0+(0-0))+0-0-0</f>
        <v>417.1</v>
      </c>
      <c r="Q6" s="3">
        <f>268+(186.4-24)+(0.27336+(0.190128-0.02448))+0-0-0</f>
        <v>430.83900799999998</v>
      </c>
      <c r="R6" s="3">
        <f>266+(207.2-27)+(0+(0-0))+0-0-0</f>
        <v>446.2</v>
      </c>
      <c r="S6" s="3">
        <f>265+(219.4-28)+(-0.40545+(-0.335682--0.04284))+0-0-0</f>
        <v>455.701708</v>
      </c>
      <c r="T6" s="3">
        <f>270+(219.4-28)+(-0.4131+(-0.335682--0.04284))+0-0-0</f>
        <v>460.69405799999998</v>
      </c>
      <c r="U6" s="3">
        <f>282+(209.2-29)+(-0.43146+(-0.320076--0.04437))+0-0-0</f>
        <v>461.49283400000002</v>
      </c>
      <c r="V6" s="3">
        <f>285+(193.7-29)+(-0.43605+(-0.296361--0.04437))+0-0-0</f>
        <v>449.01195899999999</v>
      </c>
      <c r="W6" s="3">
        <f>288+(170.5-29)+(0+(0-0))+0-0-0</f>
        <v>429.5</v>
      </c>
      <c r="X6" s="3">
        <f>288+(170.7-30)+(-0.44064+(-0.261171--0.0459))+0-0-0</f>
        <v>428.04408899999999</v>
      </c>
      <c r="Y6" s="3">
        <f>288+(251.4-32)+(-0.44064+(-0.384642--0.04896))+0-0-0</f>
        <v>506.62367799999998</v>
      </c>
      <c r="Z6" s="3">
        <f>289+(284.3-33)+(-0.58956+(-0.579972--0.06732))+0-0-0</f>
        <v>539.19778799999995</v>
      </c>
      <c r="AA6" s="3">
        <f>290+(293.8-33)+(-0.2958+(-0.299676--0.03366))+0-0-0</f>
        <v>550.23818399999993</v>
      </c>
      <c r="AB6" s="3">
        <f>291+(283.6-32)+(-0.14841+(-0.144636--0.01632))+0-0-0</f>
        <v>542.32327399999997</v>
      </c>
      <c r="AC6" s="3">
        <f>292+(256.9-32)+(0+(0-0))+0-0-0</f>
        <v>516.9</v>
      </c>
      <c r="AD6">
        <f t="shared" si="0"/>
        <v>10719.429067999999</v>
      </c>
      <c r="AE6" s="3">
        <f>290+(279-33)+(0+(0-0))+0-0-0</f>
        <v>536</v>
      </c>
    </row>
    <row r="7" spans="1:31" s="2" customFormat="1" x14ac:dyDescent="0.25">
      <c r="A7">
        <v>89</v>
      </c>
      <c r="B7">
        <v>1</v>
      </c>
      <c r="C7">
        <v>7</v>
      </c>
      <c r="D7">
        <v>1</v>
      </c>
      <c r="E7">
        <v>1</v>
      </c>
      <c r="F7" s="3">
        <f>290+(218.4-32)+(-0.1479+(-0.111384--0.01632))+0-0-0</f>
        <v>476.15703600000001</v>
      </c>
      <c r="G7" s="3">
        <f>292+(182.7-30)+(-0.44676+(-0.279531--0.0459))+0-0-0</f>
        <v>444.019609</v>
      </c>
      <c r="H7" s="3">
        <f>293+(156.8-30)+(0+(0-0))+0-0-0</f>
        <v>419.8</v>
      </c>
      <c r="I7" s="3">
        <f>293+(139-29)+(-0.59772+(-0.28356--0.05916))+0-0-0</f>
        <v>402.17788000000002</v>
      </c>
      <c r="J7" s="3">
        <f>292+(127-31)+(0.14892+(0.06477-0.01581))+0-0-0</f>
        <v>388.19788</v>
      </c>
      <c r="K7" s="3">
        <f>283+(129.3-33)+(-0.14433+(-0.065943--0.01683))+0-0-0</f>
        <v>379.10655700000001</v>
      </c>
      <c r="L7" s="3">
        <f>278+(129.3-32)+(-0.28356+(-0.131886--0.03264))+0-0-0</f>
        <v>374.91719399999999</v>
      </c>
      <c r="M7" s="3">
        <f>277+(130.8-31)+(-0.56508+(-0.266832--0.06324))+0-0-0</f>
        <v>376.03132800000003</v>
      </c>
      <c r="N7" s="3">
        <f>274+(153-31)+(0.27948+(0.15606-0.03162))+0-0-0</f>
        <v>396.40392000000003</v>
      </c>
      <c r="O7" s="3">
        <f>272+(173-30)+(-0.13872+(-0.08823--0.0153))+0-0-0</f>
        <v>414.78834999999998</v>
      </c>
      <c r="P7" s="3">
        <f>271+(193.6-30)+(0+(0-0))+0-0-0</f>
        <v>434.6</v>
      </c>
      <c r="Q7" s="3">
        <f>270+(214.1-30)+(-0.2754+(-0.218382--0.0306))+0-0-0</f>
        <v>453.63681800000001</v>
      </c>
      <c r="R7" s="3">
        <f>270+(236.1-31)+(-0.1377+(-0.120411--0.01581))+0-0-0</f>
        <v>474.85769900000003</v>
      </c>
      <c r="S7" s="3">
        <f>269+(251.6-31)+(-0.41157+(-0.384948--0.04743))+0-0-0</f>
        <v>488.85091200000005</v>
      </c>
      <c r="T7" s="3">
        <f>276+(254.9-31)+(-0.56304+(-0.519996--0.06324))+0-0-0</f>
        <v>498.88020399999999</v>
      </c>
      <c r="U7" s="3">
        <f>284+(241.6-30)+(-0.28968+(-0.246432--0.0306))+0-0-0</f>
        <v>495.09448800000001</v>
      </c>
      <c r="V7" s="3">
        <f>285+(225-29)+(-0.72675+(-0.57375--0.07395))+0-0-0</f>
        <v>479.77345000000003</v>
      </c>
      <c r="W7" s="3">
        <f>288+(201.2-29)+(0+(0-0))+0-0-0</f>
        <v>460.2</v>
      </c>
      <c r="X7" s="3">
        <f>297+(196.2-31)+(-0.45441+(-0.300186--0.04743))+0-0-0</f>
        <v>461.49283400000002</v>
      </c>
      <c r="Y7" s="3">
        <f>313+(259.9-33)+(0+(0-0))+0-0-0</f>
        <v>539.9</v>
      </c>
      <c r="Z7" s="3">
        <f>324+(271-33)+(-0.33048+(-0.27642--0.03366))+0-0-0</f>
        <v>561.42675999999994</v>
      </c>
      <c r="AA7" s="3">
        <f>325+(271.5-33)+(-0.3315+(-0.27693--0.03366))+0-0-0</f>
        <v>562.92523000000006</v>
      </c>
      <c r="AB7" s="3">
        <f>316+(255.7-20)+(-0.16116+(-0.130407--0.0102))+0-0-0</f>
        <v>551.418633</v>
      </c>
      <c r="AC7" s="3">
        <f>309+(255.7-31)+(-0.15759+(-0.130407--0.01581))+0-0-0</f>
        <v>533.42781300000001</v>
      </c>
      <c r="AD7">
        <f t="shared" si="0"/>
        <v>11068.084595</v>
      </c>
      <c r="AE7" s="3">
        <f>322+(270-33)+(0+(0-0))+0-0-0</f>
        <v>559</v>
      </c>
    </row>
    <row r="8" spans="1:31" s="2" customFormat="1" x14ac:dyDescent="0.25">
      <c r="A8">
        <v>89</v>
      </c>
      <c r="B8">
        <v>1</v>
      </c>
      <c r="C8">
        <v>8</v>
      </c>
      <c r="D8">
        <v>2</v>
      </c>
      <c r="E8">
        <v>1</v>
      </c>
      <c r="F8" s="3">
        <f>309+(222.2-31)+(-0.63036+(-0.453288--0.06324))+0-0-0</f>
        <v>499.17959200000001</v>
      </c>
      <c r="G8" s="3">
        <f>310+(182.7-30)+(-0.4743+(-0.279531--0.0459))+0-0-0</f>
        <v>461.99206900000001</v>
      </c>
      <c r="H8" s="3">
        <f>311+(156.6-29)+(-0.63444+(-0.319464--0.05916))+0-0-0</f>
        <v>437.70525600000002</v>
      </c>
      <c r="I8" s="3">
        <f>298+(152.3-29)+(-0.30396+(-0.155346--0.02958))+0-0-0</f>
        <v>420.87027399999999</v>
      </c>
      <c r="J8" s="3">
        <f>294+(142.5-31)+(0+(0-0))+0-0-0</f>
        <v>405.5</v>
      </c>
      <c r="K8" s="3">
        <f>294+(139.7-32)+(0.14994+(0.071247-0.01632))+0-0-0</f>
        <v>401.90486699999997</v>
      </c>
      <c r="L8" s="3">
        <f>281+(139.5-31)+(0.28662+(0.14229-0.03162))+0-0-0</f>
        <v>389.89729</v>
      </c>
      <c r="M8" s="3">
        <f>281+(145.3-32)+(-0.14331+(-0.074103--0.01632))+0-0-0</f>
        <v>394.098907</v>
      </c>
      <c r="N8" s="3">
        <f>276+(164.4-32)+(-0.14076+(-0.083844--0.01632))+0-0-0</f>
        <v>408.19171599999999</v>
      </c>
      <c r="O8" s="3">
        <f>273+(190.8-31)+(-0.27846+(-0.194616--0.03162))+0-0-0</f>
        <v>432.35854399999999</v>
      </c>
      <c r="P8" s="3">
        <f>271+(210.2-30)+(0+(0-0))+0-0-0</f>
        <v>451.2</v>
      </c>
      <c r="Q8" s="3">
        <f>270+(229.2-30)+(-0.2754+(-0.233784--0.0306))+0-0-0</f>
        <v>468.72141599999998</v>
      </c>
      <c r="R8" s="3">
        <f>268+(244.6-30)+(-0.41004+(-0.374238--0.0459))+0-0-0</f>
        <v>481.86162200000001</v>
      </c>
      <c r="S8" s="3">
        <f>268+(261.9-30)+(0+(0-0))+0-0-0</f>
        <v>499.9</v>
      </c>
      <c r="T8" s="3">
        <f>276+(269.9-31)+(-0.56304+(-0.550596--0.06324))+0-0-0</f>
        <v>513.849604</v>
      </c>
      <c r="U8" s="3">
        <f>282+(255.1-32)+(-0.43146+(-0.390303--0.04896))+0-0-0</f>
        <v>504.32719700000001</v>
      </c>
      <c r="V8" s="3">
        <f>286+(229.2-30)+(-0.14586+(-0.116892--0.0153))+0-0-0</f>
        <v>484.95254799999998</v>
      </c>
      <c r="W8" s="3">
        <f>288+(205.5-29)+(-0.44064+(-0.314415--0.04437))+0-0-0</f>
        <v>463.78931499999999</v>
      </c>
      <c r="X8" s="3">
        <f>307+(194.1-30)+(-0.15657+(-0.098991--0.0153))+0-0-0</f>
        <v>470.85973900000005</v>
      </c>
      <c r="Y8" s="3">
        <f>325+(250.2-32)+(-0.3315+(-0.255204--0.03264))+0-0-0</f>
        <v>542.64593600000001</v>
      </c>
      <c r="Z8" s="3">
        <f>326+(279.3-26)+(-0.66504+(-0.569772--0.05304))+0-0-0</f>
        <v>578.11822799999993</v>
      </c>
      <c r="AA8" s="3">
        <f>326+(271.6-32)+(-0.16626+(-0.138516--0.01632))+0-0-0</f>
        <v>565.31154400000003</v>
      </c>
      <c r="AB8" s="3">
        <f>315+(283.8-32)+(-0.48195+(-0.434214--0.04896))+0-0-0</f>
        <v>565.93279599999994</v>
      </c>
      <c r="AC8" s="3">
        <f>309+(262.1-32)+(0.15759+(0.133671-0.01632))+0-0-0</f>
        <v>539.37494100000004</v>
      </c>
      <c r="AD8">
        <f t="shared" si="0"/>
        <v>11382.543400999999</v>
      </c>
      <c r="AE8" s="3">
        <f>325+(275-33)+(0+(0-0))+0-0-0</f>
        <v>567</v>
      </c>
    </row>
    <row r="9" spans="1:31" s="2" customFormat="1" x14ac:dyDescent="0.25">
      <c r="A9">
        <v>89</v>
      </c>
      <c r="B9">
        <v>1</v>
      </c>
      <c r="C9">
        <v>9</v>
      </c>
      <c r="D9">
        <v>3</v>
      </c>
      <c r="E9">
        <v>1</v>
      </c>
      <c r="F9" s="3">
        <f>308+(225.2-32)+(-0.7854+(-0.57426--0.0816))+0-0-0</f>
        <v>499.92194000000001</v>
      </c>
      <c r="G9" s="3">
        <f>295+(207.2-31)+(-0.75225+(-0.52836--0.07905))+0-0-0</f>
        <v>469.99844000000002</v>
      </c>
      <c r="H9" s="3">
        <f>293+(183.4-30)+(0+(0-0))+0-0-0</f>
        <v>446.4</v>
      </c>
      <c r="I9" s="3">
        <f>294+(165.2-30)+(-0.29988+(-0.168504--0.0306))+0-0-0</f>
        <v>428.76221599999997</v>
      </c>
      <c r="J9" s="3">
        <f>295+(150.7-31)+(-0.75225+(-0.384285--0.07905))+0-0-0</f>
        <v>413.642515</v>
      </c>
      <c r="K9" s="3">
        <f>296+(144.2-32)+(-0.30192+(-0.147084--0.03264))+0-0-0</f>
        <v>407.783636</v>
      </c>
      <c r="L9" s="3">
        <f>286+(135.6-33)+(0+(0-0))+0-0-0</f>
        <v>388.6</v>
      </c>
      <c r="M9" s="3">
        <f>280+(136.3-32)+(-0.1428+(-0.069513--0.01632))+0-0-0</f>
        <v>384.10400700000002</v>
      </c>
      <c r="N9" s="3">
        <f>279+(155.7-32)+(-0.28458+(-0.158814--0.03264))+0-0-0</f>
        <v>402.28924599999999</v>
      </c>
      <c r="O9" s="3">
        <f>276+(175.1-31)+(-0.14076+(-0.089301--0.01581))+0-0-0</f>
        <v>419.88574900000003</v>
      </c>
      <c r="P9" s="3">
        <f>270+(192.4-30)+(0+(0-0))+0-0-0</f>
        <v>432.4</v>
      </c>
      <c r="Q9" s="3">
        <f>268+(212.9-29)+(0+(0-0))+0-0-0</f>
        <v>451.9</v>
      </c>
      <c r="R9" s="3">
        <f>266+(232.6-28)+(0+(0-0))+0-0-0</f>
        <v>470.6</v>
      </c>
      <c r="S9" s="3">
        <f>280+(235.4-27)+(-0.5712+(-0.480216--0.05508))+0-0-0</f>
        <v>487.40366399999999</v>
      </c>
      <c r="T9" s="3">
        <f>280+(247.3-29)+(-0.4284+(-0.378369--0.04437))+0-0-0</f>
        <v>497.537601</v>
      </c>
      <c r="U9" s="3">
        <f>281+(240.6-31)+(-0.14331+(-0.122706--0.01581))+0-0-0</f>
        <v>490.34979400000003</v>
      </c>
      <c r="V9" s="3">
        <f>287+(227.7-32)+(-0.58548+(-0.464508--0.06528))+0-0-0</f>
        <v>481.71529199999998</v>
      </c>
      <c r="W9" s="3">
        <f>288+(209.6-30)+(0.14688+(0.106896-0.0153))+0-0-0</f>
        <v>467.83847600000001</v>
      </c>
      <c r="X9" s="3">
        <f>315+(182.3-31)+(-0.6426+(-0.371892--0.06324))+0-0-0</f>
        <v>465.348748</v>
      </c>
      <c r="Y9" s="3">
        <f>324+(257.3-32)+(0.16524+(0.131223-0.01632))+0-0-0</f>
        <v>549.58014299999991</v>
      </c>
      <c r="Z9" s="3">
        <f>325+(292.9-32)+(-0.663+(-0.597516--0.06528))+0-0-0</f>
        <v>584.70476399999995</v>
      </c>
      <c r="AA9" s="3">
        <f>325+(300.2-31)+(-0.16575+(-0.153102--0.01581))+0-0-0</f>
        <v>593.89695800000004</v>
      </c>
      <c r="AB9" s="3">
        <f>325+(293-32)+(-0.3315+(-0.29886--0.03264))+0-0-0</f>
        <v>585.40228000000002</v>
      </c>
      <c r="AC9" s="3">
        <f>315+(275.9-32)+(-0.48195+(-0.422127--0.04896))+0-0-0</f>
        <v>558.04488300000003</v>
      </c>
      <c r="AD9">
        <f t="shared" si="0"/>
        <v>11378.110351999998</v>
      </c>
      <c r="AE9" s="3">
        <f>325+(286.9-33)+(0+(0-0))+0-0-0</f>
        <v>578.9</v>
      </c>
    </row>
    <row r="10" spans="1:31" s="2" customFormat="1" x14ac:dyDescent="0.25">
      <c r="A10">
        <v>89</v>
      </c>
      <c r="B10">
        <v>1</v>
      </c>
      <c r="C10">
        <v>10</v>
      </c>
      <c r="D10">
        <v>4</v>
      </c>
      <c r="E10">
        <v>1</v>
      </c>
      <c r="F10" s="3">
        <f>307+(248.3-32)+(-0.62628+(-0.506532--0.06528))+0-0-0</f>
        <v>522.23246799999993</v>
      </c>
      <c r="G10" s="3">
        <f>302+(215.9-31)+(-0.7701+(-0.550545--0.07905))+0-0-0</f>
        <v>485.65840499999996</v>
      </c>
      <c r="H10" s="3">
        <f>290+(200.4-30)+(-0.5916+(-0.408816--0.0612))+0-0-0</f>
        <v>459.46078399999999</v>
      </c>
      <c r="I10" s="3">
        <f>293+(182.8-30)+(-0.29886+(-0.186456--0.0306))+0-0-0</f>
        <v>445.34528399999999</v>
      </c>
      <c r="J10" s="3">
        <f>293+(167.5-31)+(0+(0-0))+0-0-0</f>
        <v>429.5</v>
      </c>
      <c r="K10" s="3">
        <f>282+(171.4-32)+(-0.28764+(-0.174828--0.03264))+0-0-0</f>
        <v>420.97017199999999</v>
      </c>
      <c r="L10" s="3">
        <f>278+(155.9-33)+(-0.28356+(-0.159018--0.03366))+0-0-0</f>
        <v>400.49108199999995</v>
      </c>
      <c r="M10" s="3">
        <f>278+(155.8-33)+(-0.28356+(-0.158916--0.03366))+0-0-0</f>
        <v>400.39118400000001</v>
      </c>
      <c r="N10" s="3">
        <f>276+(178-33)+(0.28152+(0.18156-0.03366))+0-0-0</f>
        <v>421.42941999999999</v>
      </c>
      <c r="O10" s="3">
        <f>272+(195.9-32)+(0.13872+(0.099909-0.01632))+0-0-0</f>
        <v>436.12230899999997</v>
      </c>
      <c r="P10" s="3">
        <f>270+(206.9-31)+(-0.1377+(-0.105519--0.01581))+0-0-0</f>
        <v>445.67259099999995</v>
      </c>
      <c r="Q10" s="3">
        <f>269+(226.5-30)+(0.13719+(0.115515-0.0153))+0-0-0</f>
        <v>465.73740500000002</v>
      </c>
      <c r="R10" s="3">
        <f>266+(247.9-28)+(-0.27132+(-0.252858--0.02856))+0-0-0</f>
        <v>485.404382</v>
      </c>
      <c r="S10" s="3">
        <f>266+(263.2-29)+(-0.54264+(-0.536928--0.05916))+0-0-0</f>
        <v>499.17959200000001</v>
      </c>
      <c r="T10" s="3">
        <f>274+(261.8-32)+(0.27948+(0.267036-0.03264))+0-0-0</f>
        <v>504.31387599999999</v>
      </c>
      <c r="U10" s="3">
        <f>282+(253.2-32)+(0+(0-0))+0-0-0</f>
        <v>503.2</v>
      </c>
      <c r="V10" s="3">
        <f>285+(233.6-31)+(-0.2907+(-0.238272--0.03162))+0-0-0</f>
        <v>487.10264800000004</v>
      </c>
      <c r="W10" s="3">
        <f>287+(207.8-30)+(-0.14637+(-0.105978--0.0153))+0-0-0</f>
        <v>464.562952</v>
      </c>
      <c r="X10" s="3">
        <f>311+(179.1-29)+(-0.31722+(-0.182682--0.02958))+0-0-0</f>
        <v>460.62967800000001</v>
      </c>
      <c r="Y10" s="3">
        <f>323+(248.1-31)+(-0.49419+(-0.379593--0.04743))+0-0-0</f>
        <v>539.27364699999998</v>
      </c>
      <c r="Z10" s="3">
        <f>323+(278.4-33)+(-0.32946+(-0.283968--0.03366))+0-0-0</f>
        <v>567.82023200000003</v>
      </c>
      <c r="AA10" s="3">
        <f>324+(287.2-32)+(-0.66096+(-0.585888--0.06528))+0-0-0</f>
        <v>578.01843200000008</v>
      </c>
      <c r="AB10" s="3">
        <f>324+(277.9-32)+(-0.66096+(-0.566916--0.06528))+0-0-0</f>
        <v>568.73740399999997</v>
      </c>
      <c r="AC10" s="3">
        <f>323+(256.1-31)+(-0.49419+(-0.391833--0.04743))+0-0-0</f>
        <v>547.26140700000008</v>
      </c>
      <c r="AD10">
        <f t="shared" si="0"/>
        <v>11538.515353999999</v>
      </c>
      <c r="AE10" s="3">
        <f>324+(266.1-33)+(0+(0-0))+0-0-0</f>
        <v>557.1</v>
      </c>
    </row>
    <row r="11" spans="1:31" s="2" customFormat="1" x14ac:dyDescent="0.25">
      <c r="A11">
        <v>89</v>
      </c>
      <c r="B11">
        <v>1</v>
      </c>
      <c r="C11">
        <v>11</v>
      </c>
      <c r="D11">
        <v>5</v>
      </c>
      <c r="E11">
        <v>1</v>
      </c>
      <c r="F11" s="3">
        <f>304+(236.1-31)+(-0.7752+(-0.602055--0.07905))+0-0-0</f>
        <v>507.80179500000003</v>
      </c>
      <c r="G11" s="3">
        <f>290+(218.3-31)+(-0.4437+(-0.333999--0.04743))+0-0-0</f>
        <v>476.56973099999999</v>
      </c>
      <c r="H11" s="3">
        <f>290+(194.7-30)+(-0.5916+(-0.397188--0.0612))+0-0-0</f>
        <v>453.77241199999997</v>
      </c>
      <c r="I11" s="3">
        <f>290+(175-30)+(-0.5916+(-0.357--0.0612))+0-0-0</f>
        <v>434.11259999999999</v>
      </c>
      <c r="J11" s="3">
        <f>291+(160.7-32)+(-0.44523+(-0.245871--0.04896))+0-0-0</f>
        <v>419.05785900000001</v>
      </c>
      <c r="K11" s="3">
        <f>285+(161.7-32)+(0+(0-0))+0-0-0</f>
        <v>414.7</v>
      </c>
      <c r="L11" s="3">
        <f>277+(151.2-31)+(-0.42381+(-0.231336--0.04743))+0-0-0</f>
        <v>396.59228400000001</v>
      </c>
      <c r="M11" s="3">
        <f>276+(153.1-31)+(0+(0-0))+0-0-0</f>
        <v>398.1</v>
      </c>
      <c r="N11" s="3">
        <f>273+(179.8-31)+(-0.13923+(-0.091698--0.01581))+0-0-0</f>
        <v>421.58488199999999</v>
      </c>
      <c r="O11" s="3">
        <f>269+(200.1-29)+(-0.13719+(-0.102051--0.01479))+0-0-0</f>
        <v>439.87554900000003</v>
      </c>
      <c r="P11" s="3">
        <f>266+(221-28)+(-0.81396+(-0.67626--0.08568))+0-0-0</f>
        <v>457.59546</v>
      </c>
      <c r="Q11" s="3">
        <f>264+(242.5-28)+(0+(0-0))+0-0-0</f>
        <v>478.5</v>
      </c>
      <c r="R11" s="3">
        <f>264+(262.8-28)+(-0.26928+(-0.268056--0.02856))+0-0-0</f>
        <v>498.291224</v>
      </c>
      <c r="S11" s="3">
        <f>264+(281.3-30)+(0+(0-0))+0-0-0</f>
        <v>515.29999999999995</v>
      </c>
      <c r="T11" s="3">
        <f>278+(278.8-32)+(-0.14178+(-0.142188--0.01632))+0-0-0</f>
        <v>524.53235199999995</v>
      </c>
      <c r="U11" s="3">
        <f>278+(269.4-32)+(-0.56712+(-0.549576--0.06528))+0-0-0</f>
        <v>514.34858399999996</v>
      </c>
      <c r="V11" s="3">
        <f>283+(245.9-31)+(-0.28866+(-0.250818--0.03162))+0-0-0</f>
        <v>497.39214199999998</v>
      </c>
      <c r="W11" s="3">
        <f>287+(221.6-30)+(-0.43911+(-0.339048--0.0459))+0-0-0</f>
        <v>477.86774200000002</v>
      </c>
      <c r="X11" s="3">
        <f>297+(197.7-32)+(-0.30294+(-0.201654--0.03264))+0-0-0</f>
        <v>462.22804600000001</v>
      </c>
      <c r="Y11" s="3">
        <f>336+(247.8-33)+(-0.17136+(-0.126378--0.01683))+0-0-0</f>
        <v>550.519092</v>
      </c>
      <c r="Z11" s="3">
        <f>339+(280.9-33)+(-0.51867+(-0.429777--0.05049))+0-0-0</f>
        <v>586.00204299999996</v>
      </c>
      <c r="AA11" s="3">
        <f>339+(292.8-32)+(-0.51867+(-0.447984--0.04896))+0-0-0</f>
        <v>598.88230599999997</v>
      </c>
      <c r="AB11" s="3">
        <f>335+(293.5-31)+(-0.51255+(-0.449055--0.04743))+0-0-0</f>
        <v>596.585825</v>
      </c>
      <c r="AC11" s="3">
        <f>321+(276.6-30)+(-0.49113+(-0.423198--0.0459))+0-0-0</f>
        <v>566.73157200000003</v>
      </c>
      <c r="AD11">
        <f t="shared" si="0"/>
        <v>11686.943500000001</v>
      </c>
      <c r="AE11" s="3">
        <f>338+(282.5-33)+(0+(0-0))+0-0-0</f>
        <v>587.5</v>
      </c>
    </row>
    <row r="12" spans="1:31" s="2" customFormat="1" x14ac:dyDescent="0.25">
      <c r="A12">
        <v>89</v>
      </c>
      <c r="B12">
        <v>1</v>
      </c>
      <c r="C12">
        <v>12</v>
      </c>
      <c r="D12">
        <v>6</v>
      </c>
      <c r="E12">
        <v>2</v>
      </c>
      <c r="F12" s="3">
        <f>316+(249.1-30)+(-0.64464+(-0.508164--0.0612))+0-0-0</f>
        <v>534.00839600000006</v>
      </c>
      <c r="G12" s="3">
        <f>303+(226.9-31)+(-0.15453+(-0.115719--0.01581))+0-0-0</f>
        <v>498.64556099999999</v>
      </c>
      <c r="H12" s="3">
        <f>297+(207.4-31)+(-0.45441+(-0.317322--0.04743))+0-0-0</f>
        <v>472.67569799999995</v>
      </c>
      <c r="I12" s="3">
        <f>285+(198.9-32)+(-0.5814+(-0.405756--0.06528))+0-0-0</f>
        <v>450.97812399999998</v>
      </c>
      <c r="J12" s="3">
        <f>284+(184.8-32)+(-0.28968+(-0.188496--0.03264))+0-0-0</f>
        <v>436.35446400000001</v>
      </c>
      <c r="K12" s="3">
        <f>282+(175.1-32)+(0+(0-0))+0-0-0</f>
        <v>425.1</v>
      </c>
      <c r="L12" s="3">
        <f>272+(163.5-33)+(-0.6936+(-0.416925--0.08415))+0-0-0</f>
        <v>401.47362500000003</v>
      </c>
      <c r="M12" s="3">
        <f>272+(155.3-33)+(0.27744+(0.158406-0.03366))+0-0-0</f>
        <v>394.70218599999998</v>
      </c>
      <c r="N12" s="3">
        <f>268+(178-32)+(0.13668+(0.09078-0.01632))+0-0-0</f>
        <v>414.21114</v>
      </c>
      <c r="O12" s="3">
        <f>266+(200.6-32)+(0+(0-0))+0-0-0</f>
        <v>434.6</v>
      </c>
      <c r="P12" s="3">
        <f>265+(211.2-30)+(-0.13515+(-0.107712--0.0153))+0-0-0</f>
        <v>445.97243800000001</v>
      </c>
      <c r="Q12" s="3">
        <f>265+(225.1-27)+(0+(0-0))+0-0-0</f>
        <v>463.1</v>
      </c>
      <c r="R12" s="3">
        <f>262+(241-26)+(-0.26724+(-0.24582--0.02652))+0-0-0</f>
        <v>476.51346000000001</v>
      </c>
      <c r="S12" s="3">
        <f>274+(236.3-25)+(-0.55896+(-0.482052--0.051))+0-0-0</f>
        <v>484.30998800000003</v>
      </c>
      <c r="T12" s="3">
        <f>276+(240-25)+(0.42228+(0.3672-0.03825))+0-0-0</f>
        <v>491.75123000000002</v>
      </c>
      <c r="U12" s="3">
        <f>278+(232.2-24)+(-0.42534+(-0.355266--0.03672))+0-0-0</f>
        <v>485.45611400000001</v>
      </c>
      <c r="V12" s="3">
        <f>283+(207.6-23)+(-0.28866+(-0.211752--0.02346))+0-0-0</f>
        <v>467.12304800000004</v>
      </c>
      <c r="W12" s="3">
        <f>287+(187.9-22)+(-0.43911+(-0.287487--0.03366))+0-0-0</f>
        <v>452.20706300000001</v>
      </c>
      <c r="X12" s="3">
        <f>302+(178.5-22)+(-0.61608+(-0.36414--0.04488))+0-0-0</f>
        <v>457.56466</v>
      </c>
      <c r="Y12" s="3">
        <f>343+(218.2-30)+(0+(0-0))+0-0-0</f>
        <v>531.20000000000005</v>
      </c>
      <c r="Z12" s="3">
        <f>356+(245.6-32)+(-0.72624+(-0.501024--0.06528))+0-0-0</f>
        <v>568.43801600000006</v>
      </c>
      <c r="AA12" s="3">
        <f>356+(253.2-31)+(-0.18156+(-0.129132--0.01581))+0-0-0</f>
        <v>577.90511800000002</v>
      </c>
      <c r="AB12" s="3">
        <f>328+(274.9-30)+(-0.33456+(-0.280398--0.0306))+0-0-0</f>
        <v>572.31564200000003</v>
      </c>
      <c r="AC12" s="3">
        <f>303+(287.1-30)+(-0.61812+(-0.585684--0.0612))+0-0-0</f>
        <v>558.95739600000002</v>
      </c>
      <c r="AD12">
        <f t="shared" si="0"/>
        <v>11495.563367000001</v>
      </c>
      <c r="AE12" s="3">
        <f>356+(248.4-33)+(0+(0-0))+0-0-0</f>
        <v>571.4</v>
      </c>
    </row>
    <row r="13" spans="1:31" s="2" customFormat="1" x14ac:dyDescent="0.25">
      <c r="A13">
        <v>89</v>
      </c>
      <c r="B13">
        <v>1</v>
      </c>
      <c r="C13">
        <v>13</v>
      </c>
      <c r="D13">
        <v>7</v>
      </c>
      <c r="E13">
        <v>2</v>
      </c>
      <c r="F13" s="3">
        <f>300+(250.4-31)+(-0.306+(-0.255408--0.03162))+0-0-0</f>
        <v>518.87021199999992</v>
      </c>
      <c r="G13" s="3">
        <f>287+(228.1-31)+(-0.29274+(-0.232662--0.03162))+0-0-0</f>
        <v>483.60621800000001</v>
      </c>
      <c r="H13" s="3">
        <f>288+(201.4-31)+(-0.29376+(-0.205428--0.03162))+0-0-0</f>
        <v>457.93243199999995</v>
      </c>
      <c r="I13" s="3">
        <f>288+(184.8-32)+(-0.44064+(-0.282744--0.04896))+0-0-0</f>
        <v>440.12557600000002</v>
      </c>
      <c r="J13" s="3">
        <f>289+(167.7-32)+(-0.29478+(-0.171054--0.03264))+0-0-0</f>
        <v>424.26680599999997</v>
      </c>
      <c r="K13" s="3">
        <f>285+(158.5-32)+(0.14535+(0.080835-0.01632))+0-0-0</f>
        <v>411.70986499999998</v>
      </c>
      <c r="L13" s="3">
        <f>277+(153.2-33)+(-0.42381+(-0.234396--0.05049))+0-0-0</f>
        <v>396.59228400000001</v>
      </c>
      <c r="M13" s="3">
        <f>278+(146.3-32)+(0+(0-0))+0-0-0</f>
        <v>392.3</v>
      </c>
      <c r="N13" s="3">
        <f>273+(164.2-31)+(0.27846+(0.167484-0.03162))+0-0-0</f>
        <v>406.61432400000001</v>
      </c>
      <c r="O13" s="3">
        <f>272+(174.2-31)+(-0.13872+(-0.088842--0.01581))+0-0-0</f>
        <v>414.988248</v>
      </c>
      <c r="P13" s="3">
        <f>270+(180.1-31)+(-0.1377+(-0.091851--0.01581))+0-0-0</f>
        <v>418.886259</v>
      </c>
      <c r="Q13" s="3">
        <f>258+(206.4-31)+(-0.26316+(-0.210528--0.03162))+0-0-0</f>
        <v>432.95793199999997</v>
      </c>
      <c r="R13" s="3">
        <f>193+(284.7-31)+(-0.19686+(-0.290394--0.03162))+0-0-0</f>
        <v>446.24436600000001</v>
      </c>
      <c r="S13" s="3">
        <f>193+(301.9-31)+(-0.09843+(-0.153969--0.01581))+0-0-0</f>
        <v>463.663411</v>
      </c>
      <c r="T13" s="3">
        <f>184+(298.4-31)+(0+(0-0))+12.5-0-0</f>
        <v>463.9</v>
      </c>
      <c r="U13" s="3">
        <f>147+(263-32)+(0+(0-0))+74-0-0</f>
        <v>452</v>
      </c>
      <c r="V13" s="3">
        <f>208+(240.7-32)+(0+(0-0))+34-0-0</f>
        <v>450.7</v>
      </c>
      <c r="W13" s="3">
        <f>242+(201.7-31)+(-0.37026+(-0.308601--0.04743))+34-0-0</f>
        <v>446.06856899999997</v>
      </c>
      <c r="X13" s="3">
        <f>245+(215.1-31)+(-0.2499+(-0.219402--0.03162))+11.3-0-0</f>
        <v>439.96231800000004</v>
      </c>
      <c r="Y13" s="3">
        <f>260+(258.3-30)+(-0.2652+(-0.263466--0.0306))+0-0-0</f>
        <v>487.80193400000002</v>
      </c>
      <c r="Z13" s="3">
        <f>342+(257.7-33)+(-0.8721+(-0.657135--0.08415))+0-0-0</f>
        <v>565.2549150000001</v>
      </c>
      <c r="AA13" s="3">
        <f>268+(321.7-31)+(-0.41004+(-0.492201--0.04743))+11.4-0-0</f>
        <v>569.24518899999998</v>
      </c>
      <c r="AB13" s="3">
        <f>269+(318.8-31)+(-0.27438+(-0.325176--0.03162))+25-0-0</f>
        <v>581.23206399999992</v>
      </c>
      <c r="AC13" s="3">
        <f>371+(194-30)+(-0.56763+(-0.29682--0.0459))+5.4-0-0</f>
        <v>539.58145000000002</v>
      </c>
      <c r="AD13">
        <f t="shared" si="0"/>
        <v>11104.504371999996</v>
      </c>
      <c r="AE13" s="3">
        <f>343+(264.8-33)+(0+(0-0))+0-0-0</f>
        <v>574.79999999999995</v>
      </c>
    </row>
    <row r="14" spans="1:31" s="2" customFormat="1" x14ac:dyDescent="0.25">
      <c r="A14">
        <v>89</v>
      </c>
      <c r="B14">
        <v>1</v>
      </c>
      <c r="C14">
        <v>14</v>
      </c>
      <c r="D14">
        <v>1</v>
      </c>
      <c r="E14">
        <v>1</v>
      </c>
      <c r="F14" s="3">
        <f>385+(144.2-31)+(-0.3927+(-0.147084--0.03162))+0-0-0</f>
        <v>497.69183599999997</v>
      </c>
      <c r="G14" s="3">
        <f>292+(196.5-30)+(-0.59568+(-0.40086--0.0612))+0-0-0</f>
        <v>457.56466</v>
      </c>
      <c r="H14" s="3">
        <f>291+(174-30)+(-0.14841+(-0.08874--0.0153))+0-0-0</f>
        <v>434.77814999999998</v>
      </c>
      <c r="I14" s="3">
        <f>278+(189.9-29)+(-0.14178+(-0.096849--0.01479))+0-0-0</f>
        <v>438.67616099999998</v>
      </c>
      <c r="J14" s="3">
        <f>209+(228.4-30)+(0.10659+(0.116484-0.0153))+0-0-0</f>
        <v>407.60777399999995</v>
      </c>
      <c r="K14" s="3">
        <f>208+(228-31)+(0.21216+(0.23256-0.03162))+0-0-0</f>
        <v>405.41309999999999</v>
      </c>
      <c r="L14" s="3">
        <f>194+(235.5-31)+(-0.39576+(-0.48042--0.06324))+0-0-0</f>
        <v>397.68705999999997</v>
      </c>
      <c r="M14" s="3">
        <f>229+(216.2-31)+(0.11679+(0.110262-0.01581))+0-0-0</f>
        <v>414.41124200000002</v>
      </c>
      <c r="N14" s="3">
        <f>272+(170.4-30)+(0+(0-0))+0-0-0</f>
        <v>412.4</v>
      </c>
      <c r="O14" s="3">
        <f>271+(182.8-30)+(-0.13821+(-0.093228--0.0153))+0-0-0</f>
        <v>423.58386200000001</v>
      </c>
      <c r="P14" s="3">
        <f>270+(192.5-27)+(0+(0-0))+0-0-0</f>
        <v>435.5</v>
      </c>
      <c r="Q14" s="3">
        <f>270+(213-25)+(0+(0-0))+0-0-0</f>
        <v>458</v>
      </c>
      <c r="R14" s="3">
        <f>270+(239.7-27)+(0+(0-0))+0-0-0</f>
        <v>482.7</v>
      </c>
      <c r="S14" s="3">
        <f>308+(213.6-29)+(-0.62832+(-0.435744--0.05916))+0-0-0</f>
        <v>491.59509600000001</v>
      </c>
      <c r="T14" s="3">
        <f>318+(218.7-31)+(0.16218+(0.111537-0.01581))+0-0-0</f>
        <v>505.95790699999998</v>
      </c>
      <c r="U14" s="3">
        <f>318+(210.3-32)+(0.32436+(0.214506-0.03264))+0-0-0</f>
        <v>496.80622600000004</v>
      </c>
      <c r="V14" s="3">
        <f>320+(196.7-31)+(-0.1632+(-0.100317--0.01581))+0-0-0</f>
        <v>485.452293</v>
      </c>
      <c r="W14" s="3">
        <f>340+(169-31)+(-0.5202+(-0.25857--0.04743))+0-0-0</f>
        <v>477.26866000000001</v>
      </c>
      <c r="X14" s="3">
        <f>357+(147.5-31)+(-1.09242+(-0.45135--0.09486))+0-0-0</f>
        <v>472.05108999999999</v>
      </c>
      <c r="Y14" s="3">
        <f>360+(226.4-32)+(0.1836+(0.115464-0.01632))+0-0-0</f>
        <v>554.68274399999996</v>
      </c>
      <c r="Z14" s="3">
        <f>377+(246.5-33)+(-0.38454+(-0.25143--0.03366))+0-0-0</f>
        <v>589.89769000000001</v>
      </c>
      <c r="AA14" s="3">
        <f>379+(247.6-32)+(-0.77316+(-0.505104--0.06528))+0-0-0</f>
        <v>593.38701600000002</v>
      </c>
      <c r="AB14" s="3">
        <f>379+(233.6-31)+(-0.77316+(-0.476544--0.06324))+0-0-0</f>
        <v>580.41353600000002</v>
      </c>
      <c r="AC14" s="3">
        <f>379+(195.1-31)+(-0.38658+(-0.199002--0.03162))+0-0-0</f>
        <v>542.54603800000007</v>
      </c>
      <c r="AD14">
        <f t="shared" si="0"/>
        <v>11456.072141000001</v>
      </c>
      <c r="AE14" s="3">
        <f>379+(247.9-33)+(0+(0-0))+0-0-0</f>
        <v>593.9</v>
      </c>
    </row>
    <row r="15" spans="1:31" s="2" customFormat="1" x14ac:dyDescent="0.25">
      <c r="A15">
        <v>89</v>
      </c>
      <c r="B15">
        <v>1</v>
      </c>
      <c r="C15">
        <v>15</v>
      </c>
      <c r="D15">
        <v>2</v>
      </c>
      <c r="E15">
        <v>1</v>
      </c>
      <c r="F15" s="3">
        <f>337+(203.1-30)+(-1.03122+(-0.621486--0.0918))+0-0-0</f>
        <v>508.53909400000003</v>
      </c>
      <c r="G15" s="3">
        <f>312+(189.7-30)+(-0.31824+(-0.193494--0.0306))+0-0-0</f>
        <v>471.21886599999999</v>
      </c>
      <c r="H15" s="3">
        <f>312+(166.1-31)+(-0.15912+(-0.084711--0.01581))+0-0-0</f>
        <v>446.87197900000001</v>
      </c>
      <c r="I15" s="3">
        <f>312+(147.9-31)+(-0.63648+(-0.301716--0.06324))+0-0-0</f>
        <v>428.02504399999998</v>
      </c>
      <c r="J15" s="3">
        <f>311+(133-32)+(-0.31722+(-0.13566--0.03264))+0-0-0</f>
        <v>411.57976000000002</v>
      </c>
      <c r="K15" s="3">
        <f>305+(136.9-32)+(-0.46665+(-0.209457--0.04896))+0-0-0</f>
        <v>409.272853</v>
      </c>
      <c r="L15" s="3">
        <f>297+(135-32)+(-0.15147+(-0.06885--0.01632))+0-0-0</f>
        <v>399.79599999999999</v>
      </c>
      <c r="M15" s="3">
        <f>297+(135.7-32)+(-0.60588+(-0.276828--0.06528))+0-0-0</f>
        <v>399.88257199999998</v>
      </c>
      <c r="N15" s="3">
        <f>294+(164.1-32)+(0+(0-0))+0-0-0</f>
        <v>426.1</v>
      </c>
      <c r="O15" s="3">
        <f>291+(183.8-31)+(0+(0-0))+0-0-0</f>
        <v>443.8</v>
      </c>
      <c r="P15" s="3">
        <f>289+(200.6-31)+(-0.14739+(-0.102306--0.01581))+0-0-0</f>
        <v>458.36611400000004</v>
      </c>
      <c r="Q15" s="3">
        <f>287+(218-32)+(-0.29274+(-0.22236--0.03264))+0-0-0</f>
        <v>472.51754</v>
      </c>
      <c r="R15" s="3">
        <f>292+(244.8-31)+(-0.59568+(-0.499392--0.06324))+0-0-0</f>
        <v>504.768168</v>
      </c>
      <c r="S15" s="3">
        <f>309+(249-31)+(-0.31518+(-0.25398--0.03162))+0-0-0</f>
        <v>526.46245999999996</v>
      </c>
      <c r="T15" s="3">
        <f>319+(241-31)+(-0.48807+(-0.36873--0.04743))+0-0-0</f>
        <v>528.19063000000006</v>
      </c>
      <c r="U15" s="3">
        <f>333+(215-32)+(0+(0-0))+0-0-0</f>
        <v>516</v>
      </c>
      <c r="V15" s="3">
        <f>346+(189.6-32)+(-0.52938+(-0.290088--0.04896))+0-0-0</f>
        <v>502.82949200000002</v>
      </c>
      <c r="W15" s="3">
        <f>346+(172.5-31)+(0.17646+(0.087975-0.01581))+0-0-0</f>
        <v>487.748625</v>
      </c>
      <c r="X15" s="3">
        <f>341+(168.4-31)+(-0.86955+(-0.42942--0.07905))+0-0-0</f>
        <v>477.18007999999998</v>
      </c>
      <c r="Y15" s="3">
        <f>377+(221.2-32)+(0.38454+(0.225624-0.03264))+0-0-0</f>
        <v>566.77752400000008</v>
      </c>
      <c r="Z15" s="3">
        <f>395+(242.2-33)+(-0.4029+(-0.247044--0.03366))+0-0-0</f>
        <v>603.58371600000009</v>
      </c>
      <c r="AA15" s="3">
        <f>396+(245.7-33)+(-1.0098+(-0.626535--0.08415))+0-0-0</f>
        <v>607.14781500000004</v>
      </c>
      <c r="AB15" s="3">
        <f>389+(229.3-26)+(-0.39678+(-0.233886--0.02652))+0-0-0</f>
        <v>591.69585399999994</v>
      </c>
      <c r="AC15" s="3">
        <f>330+(256-32)+(-0.5049+(-0.39168--0.04896))+0-0-0</f>
        <v>553.15237999999999</v>
      </c>
      <c r="AD15">
        <f t="shared" si="0"/>
        <v>11741.506565999998</v>
      </c>
      <c r="AE15" s="3">
        <f>396+(238.1-33)+(0+(0-0))+0-0-0</f>
        <v>601.1</v>
      </c>
    </row>
    <row r="16" spans="1:31" s="2" customFormat="1" x14ac:dyDescent="0.25">
      <c r="A16">
        <v>89</v>
      </c>
      <c r="B16">
        <v>1</v>
      </c>
      <c r="C16">
        <v>16</v>
      </c>
      <c r="D16">
        <v>3</v>
      </c>
      <c r="E16">
        <v>1</v>
      </c>
      <c r="F16" s="3">
        <f>328+(216.5-32)+(-0.66912+(-0.44166--0.06528))+0-0-0</f>
        <v>511.4545</v>
      </c>
      <c r="G16" s="3">
        <f>312+(204.5-31)+(0+(0-0))+0-0-0</f>
        <v>485.5</v>
      </c>
      <c r="H16" s="3">
        <f>310+(186.7-30)+(-0.3162+(-0.190434--0.0306))+0-0-0</f>
        <v>466.22396599999996</v>
      </c>
      <c r="I16" s="3">
        <f>310+(167.8-30)+(-0.6324+(-0.342312--0.0612))+0-0-0</f>
        <v>446.88648799999999</v>
      </c>
      <c r="J16" s="3">
        <f>313+(149.4-30)+(0.15963+(0.076194-0.0153))+0-0-0</f>
        <v>432.62052399999999</v>
      </c>
      <c r="K16" s="3">
        <f>306+(145.5-31)+(0+(0-0))+0-0-0</f>
        <v>420.5</v>
      </c>
      <c r="L16" s="3">
        <f>294+(145.8-33)+(-0.14994+(-0.074358--0.01683))+0-0-0</f>
        <v>406.59253200000001</v>
      </c>
      <c r="M16" s="3">
        <f>288+(155.2-32)+(-0.14688+(-0.079152--0.01632))+0-0-0</f>
        <v>410.99028799999996</v>
      </c>
      <c r="N16" s="3">
        <f>298+(164-32)+(0.15198+(0.08364-0.01632))+0-0-0</f>
        <v>430.21929999999998</v>
      </c>
      <c r="O16" s="3">
        <f>348+(127.1-31)+(0.17748+(0.064821-0.01581))+0-0-0</f>
        <v>444.32649100000003</v>
      </c>
      <c r="P16" s="3">
        <f>350+(138.3-30)+(0.1785+(0.070533-0.0153))+0-0-0</f>
        <v>458.53373299999998</v>
      </c>
      <c r="Q16" s="3">
        <f>347+(167.5-28)+(-0.17697+(-0.085425--0.01428))+0-0-0</f>
        <v>486.25188500000002</v>
      </c>
      <c r="R16" s="3">
        <f>342+(201.6-29)+(0+(0-0))+0-0-0</f>
        <v>514.6</v>
      </c>
      <c r="S16" s="3">
        <f>345+(218.4-31)+(-0.7038+(-0.445536--0.06324))+0-0-0</f>
        <v>531.31390399999998</v>
      </c>
      <c r="T16" s="3">
        <f>356+(211.6-30)+(-0.18156+(-0.107916--0.0153))+0-0-0</f>
        <v>537.32582400000001</v>
      </c>
      <c r="U16" s="3">
        <f>357+(203.6-28)+(-0.36414+(-0.207672--0.02856))+0-0-0</f>
        <v>532.05674799999997</v>
      </c>
      <c r="V16" s="3">
        <f>370+(188-28)+(-0.1887+(-0.09588--0.01428))+0-0-0</f>
        <v>529.72969999999998</v>
      </c>
      <c r="W16" s="3">
        <f>359+(165.5-28)+(-0.36618+(-0.16881--0.02856))+0-0-0</f>
        <v>495.99356999999998</v>
      </c>
      <c r="X16" s="3">
        <f>357+(159.8-30)+(-0.91035+(-0.40749--0.0765))+0-0-0</f>
        <v>485.55866000000003</v>
      </c>
      <c r="Y16" s="3">
        <f>364+(243.5-33)+(-0.18564+(-0.124185--0.01683))+0-0-0</f>
        <v>574.20700499999998</v>
      </c>
      <c r="Z16" s="3">
        <f>377+(270.6-33)+(-0.57681+(-0.414018--0.05049))+0-0-0</f>
        <v>613.65966200000003</v>
      </c>
      <c r="AA16" s="3">
        <f>388+(266.6-32)+(-0.79152+(-0.543864--0.06528))+0-0-0</f>
        <v>621.32989600000008</v>
      </c>
      <c r="AB16" s="3">
        <f>395+(251.4-31)+(-0.4029+(-0.256428--0.03162))+0-0-0</f>
        <v>614.77229199999999</v>
      </c>
      <c r="AC16" s="3">
        <f>396+(211.5-31)+(-0.80784+(-0.43146--0.06324))+0-0-0</f>
        <v>575.32393999999999</v>
      </c>
      <c r="AD16">
        <f t="shared" si="0"/>
        <v>12025.970907999999</v>
      </c>
      <c r="AE16" s="3">
        <f>376+(267-33)+(0+(0-0))+0-0-0</f>
        <v>610</v>
      </c>
    </row>
    <row r="17" spans="1:31" s="2" customFormat="1" x14ac:dyDescent="0.25">
      <c r="A17">
        <v>89</v>
      </c>
      <c r="B17">
        <v>1</v>
      </c>
      <c r="C17">
        <v>17</v>
      </c>
      <c r="D17">
        <v>4</v>
      </c>
      <c r="E17">
        <v>1</v>
      </c>
      <c r="F17" s="3">
        <f>367+(186-31)+(-0.56151+(-0.28458--0.04743))+0-0-0</f>
        <v>521.20133999999996</v>
      </c>
      <c r="G17" s="3">
        <f>342+(187.4-31)+(-0.8721+(-0.47787--0.07905))+0-0-0</f>
        <v>497.12907999999999</v>
      </c>
      <c r="H17" s="3">
        <f>341+(161.5-30)+(-0.52173+(-0.247095--0.0459))+0-0-0</f>
        <v>471.77707500000002</v>
      </c>
      <c r="I17" s="3">
        <f>342+(138.8-31)+(-0.8721+(-0.35394--0.07905))+0-0-0</f>
        <v>448.65300999999999</v>
      </c>
      <c r="J17" s="3">
        <f>343+(122-32)+(0+(0-0))+0-0-0</f>
        <v>433</v>
      </c>
      <c r="K17" s="3">
        <f>291+(160.1-33)+(0.29682+(0.163302-0.03366))+0-0-0</f>
        <v>418.52646200000004</v>
      </c>
      <c r="L17" s="3">
        <f>283+(163-33)+(0+(0-0))+0-0-0</f>
        <v>413</v>
      </c>
      <c r="M17" s="3">
        <f>291+(150-31)+(-0.59364+(-0.306--0.06324))+13.6-0-0</f>
        <v>422.7636</v>
      </c>
      <c r="N17" s="3">
        <f>329+(147-30)+(0+(0-0))+48-0-0</f>
        <v>494</v>
      </c>
      <c r="O17" s="3">
        <f>345+(122-31)+(0.52785+(0.18666-0.04743))+48-0-0</f>
        <v>484.66708</v>
      </c>
      <c r="P17" s="3">
        <f>316+(174-31)+(0.16116+(0.08874-0.01581))+48-0-0</f>
        <v>507.23408999999998</v>
      </c>
      <c r="Q17" s="3">
        <f>334+(146-31)+(-0.51102+(-0.22338--0.04743))+48-0-0</f>
        <v>496.31303000000003</v>
      </c>
      <c r="R17" s="3">
        <f>331+(183.3-32)+(-0.16881+(-0.093483--0.01632))+48-0-0</f>
        <v>530.05402700000002</v>
      </c>
      <c r="S17" s="3">
        <f>330+(193.6-32)+(-0.3366+(-0.197472--0.03264))+48-0-0</f>
        <v>539.098568</v>
      </c>
      <c r="T17" s="3">
        <f>331+(181.7-31)+(-0.16881+(-0.092667--0.01581))+48-0-0</f>
        <v>529.45433299999991</v>
      </c>
      <c r="U17" s="3">
        <f>334+(189.1-31)+(0.34068+(0.192882-0.03162))+48-0-0</f>
        <v>540.60194200000001</v>
      </c>
      <c r="V17" s="3">
        <f>342+(197.2-31)+(0.34884+(0.201144-0.03162))+20-0-0</f>
        <v>528.71836400000007</v>
      </c>
      <c r="W17" s="3">
        <f>344+(191.8-31)+(-0.52632+(-0.293454--0.04743))+0-0-0</f>
        <v>504.02765600000004</v>
      </c>
      <c r="X17" s="3">
        <f>344+(179.7-31)+(-0.35088+(-0.183294--0.03162))+0-0-0</f>
        <v>492.19744600000001</v>
      </c>
      <c r="Y17" s="3">
        <f>370+(254.4-33)+(-0.3774+(-0.259488--0.03366))+0-0-0</f>
        <v>590.79677200000003</v>
      </c>
      <c r="Z17" s="3">
        <f>359+(293.6-33)+(-0.36618+(-0.299472--0.03366))+0-0-0</f>
        <v>618.96800800000005</v>
      </c>
      <c r="AA17" s="3">
        <f>349+(320-31)+(-0.35598+(-0.3264--0.03162))+0-0-0</f>
        <v>637.34924000000001</v>
      </c>
      <c r="AB17" s="3">
        <f>357+(283.2-30)+(0+(0-0))+0-0-0</f>
        <v>610.20000000000005</v>
      </c>
      <c r="AC17" s="3">
        <f>350+(252.1-30)+(-0.1785+(-0.128571--0.0153))+0-0-0</f>
        <v>571.80822899999998</v>
      </c>
      <c r="AD17">
        <f t="shared" si="0"/>
        <v>12301.539352000002</v>
      </c>
      <c r="AE17" s="3">
        <f>350+(308.4-33)+(0+(0-0))+0-0-0</f>
        <v>625.4</v>
      </c>
    </row>
    <row r="18" spans="1:31" s="2" customFormat="1" x14ac:dyDescent="0.25">
      <c r="A18">
        <v>89</v>
      </c>
      <c r="B18">
        <v>1</v>
      </c>
      <c r="C18">
        <v>18</v>
      </c>
      <c r="D18">
        <v>5</v>
      </c>
      <c r="E18">
        <v>1</v>
      </c>
      <c r="F18" s="3">
        <f>330+(221-29)+(-0.5049+(-0.33813--0.04437))+0-0-0</f>
        <v>521.20133999999996</v>
      </c>
      <c r="G18" s="3">
        <f>306+(218.8-29)+(0.15606+(0.111588-0.01479))+0-0-0</f>
        <v>496.05285800000001</v>
      </c>
      <c r="H18" s="3">
        <f>299+(206.6-29)+(-0.15249+(-0.105366--0.01479))+0-0-0</f>
        <v>476.35693400000002</v>
      </c>
      <c r="I18" s="3">
        <f>300+(187.7-30)+(-0.153+(-0.095727--0.0153))+0-0-0</f>
        <v>457.46657299999998</v>
      </c>
      <c r="J18" s="3">
        <f>299+(173.8-31)+(-0.91494+(-0.531828--0.09486))+0-0-0</f>
        <v>440.44809200000003</v>
      </c>
      <c r="K18" s="3">
        <f>300+(162.7-32)+(0+(0-0))+0-0-0</f>
        <v>430.7</v>
      </c>
      <c r="L18" s="3">
        <f>298+(143.8-33)+(-0.30396+(-0.146676--0.03366))+0-0-0</f>
        <v>408.38302400000003</v>
      </c>
      <c r="M18" s="3">
        <f>297+(146.2-32)+(-0.15147+(-0.074562--0.01632))+0-0-0</f>
        <v>410.99028799999996</v>
      </c>
      <c r="N18" s="3">
        <f>314+(156.7-32)+(0.16014+(0.079917-0.01632))+0-0-0</f>
        <v>438.92373700000002</v>
      </c>
      <c r="O18" s="3">
        <f>315+(176.3-32)+(0+(0-0))+0-0-0</f>
        <v>459.3</v>
      </c>
      <c r="P18" s="3">
        <f>305+(199.8-32)+(0+(0-0))+0-0-0</f>
        <v>472.8</v>
      </c>
      <c r="Q18" s="3">
        <f>303+(223.2-31)+(-0.30906+(-0.227664--0.03162))+0-0-0</f>
        <v>494.69489599999997</v>
      </c>
      <c r="R18" s="3">
        <f>304+(254.6-30)+(-0.46512+(-0.389538--0.0459))+0-0-0</f>
        <v>527.79124200000001</v>
      </c>
      <c r="S18" s="3">
        <f>324+(264.1-31)+(-0.49572+(-0.404073--0.04743))+0-0-0</f>
        <v>556.24763700000005</v>
      </c>
      <c r="T18" s="3">
        <f>349+(233.6-31)+(-0.53397+(-0.357408--0.04743))+0-0-0</f>
        <v>550.75605200000007</v>
      </c>
      <c r="U18" s="3">
        <f>347+(219-31)+(-0.53091+(-0.33507--0.04743))+0-0-0</f>
        <v>534.18145000000004</v>
      </c>
      <c r="V18" s="3">
        <f>349+(196.3-30)+(-0.17799+(-0.100113--0.0153))+0-0-0</f>
        <v>515.03719699999999</v>
      </c>
      <c r="W18" s="3">
        <f>358+(167.4-31)+(-0.9129+(-0.42687--0.07905))+0-0-0</f>
        <v>493.13927999999999</v>
      </c>
      <c r="X18" s="3">
        <f>379+(126.7-31)+(-0.57987+(-0.193851--0.04743))+0-0-0</f>
        <v>473.97370899999999</v>
      </c>
      <c r="Y18" s="3">
        <f>443+(181-32)+(-0.45186+(-0.18462--0.03264))+0-0-0</f>
        <v>591.39616000000001</v>
      </c>
      <c r="Z18" s="3">
        <f>438+(237.8-32)+(-1.56366+(-0.848946--0.11424))+0-0-0</f>
        <v>641.50163399999997</v>
      </c>
      <c r="AA18" s="3">
        <f>456+(219-31)+(-0.69768+(-0.33507--0.04743))+0-0-0</f>
        <v>643.01468</v>
      </c>
      <c r="AB18" s="3">
        <f>390+(269.3-31)+(-0.5967+(-0.412029--0.04743))+0-0-0</f>
        <v>627.3387009999999</v>
      </c>
      <c r="AC18" s="3">
        <f>330+(291-31)+(0.1683+(0.14841-0.01581))+0-0-0</f>
        <v>590.30089999999996</v>
      </c>
      <c r="AD18">
        <f t="shared" si="0"/>
        <v>12251.996384000002</v>
      </c>
      <c r="AE18" s="3">
        <f>418+(249.8-33)+(0+(0-0))+0-0-0</f>
        <v>634.79999999999995</v>
      </c>
    </row>
    <row r="19" spans="1:31" s="2" customFormat="1" x14ac:dyDescent="0.25">
      <c r="A19">
        <v>89</v>
      </c>
      <c r="B19">
        <v>1</v>
      </c>
      <c r="C19">
        <v>19</v>
      </c>
      <c r="D19">
        <v>6</v>
      </c>
      <c r="E19">
        <v>1</v>
      </c>
      <c r="F19" s="3">
        <f>406+(170-31)+(-0.82824+(-0.3468--0.06324))+0-0-0</f>
        <v>543.88819999999998</v>
      </c>
      <c r="G19" s="3">
        <f>377+(165.3-31)+(-0.57681+(-0.252909--0.04743))+0-0-0</f>
        <v>510.51771100000002</v>
      </c>
      <c r="H19" s="3">
        <f>283+(230.8-31)+(-0.28866+(-0.235416--0.03162))+0-0-0</f>
        <v>482.30754400000001</v>
      </c>
      <c r="I19" s="3">
        <f>225+(271.7-31)+(-0.34425+(-0.415701--0.04743))+0-0-0</f>
        <v>464.98747900000001</v>
      </c>
      <c r="J19" s="3">
        <f>225+(257-32)+(0+(0-0))+0-0-0</f>
        <v>450</v>
      </c>
      <c r="K19" s="3">
        <f>225+(248-33)+(0.11475+(0.12648-0.01683))+0-0-0</f>
        <v>440.2244</v>
      </c>
      <c r="L19" s="3">
        <f>223+(222.3-33)+(-0.22746+(-0.226746--0.03366))+0-0-0</f>
        <v>411.87945400000001</v>
      </c>
      <c r="M19" s="3">
        <f>223+(225.5-32)+(-0.11373+(-0.115005--0.01632))+0-0-0</f>
        <v>416.28758499999998</v>
      </c>
      <c r="N19" s="3">
        <f>223+(249.9-31)+(-0.11373+(-0.127449--0.01581))+0-0-0</f>
        <v>441.67463099999998</v>
      </c>
      <c r="O19" s="3">
        <f>224+(264.2-29)+(0.34272+(0.404226-0.04437))+0.7-0-0</f>
        <v>460.602576</v>
      </c>
      <c r="P19" s="3">
        <f>237+(266.6-29)+(0.24174+(0.271932-0.02958))+24-0-0</f>
        <v>499.084092</v>
      </c>
      <c r="Q19" s="3">
        <f>240+(278.6-30)+(0.1224+(0.142086-0.0153))+24-0-0</f>
        <v>512.84918600000003</v>
      </c>
      <c r="R19" s="3">
        <f>253+(282-31)+(0+(0-0))+24-0-0</f>
        <v>528</v>
      </c>
      <c r="S19" s="3">
        <f>266+(273.4-31)+(-0.54264+(-0.557736--0.06324))+24-0-0</f>
        <v>531.36286399999995</v>
      </c>
      <c r="T19" s="3">
        <f>270+(315.9-31)+(0.4131+(0.483327-0.04743))+4-0-0</f>
        <v>559.74899700000003</v>
      </c>
      <c r="U19" s="3">
        <f>264+(320.2-30)+(-0.13464+(-0.163302--0.0153))+0-0-0</f>
        <v>553.91735800000004</v>
      </c>
      <c r="V19" s="3">
        <f>268+(307.7-30)+(-0.13668+(-0.156927--0.0153))+0-0-0</f>
        <v>545.421693</v>
      </c>
      <c r="W19" s="3">
        <f>327+(243.8-30)+(-0.33354+(-0.248676--0.0306))+0-0-0</f>
        <v>540.24838399999999</v>
      </c>
      <c r="X19" s="3">
        <f>342+(190.7-31)+(-0.17442+(-0.097257--0.01581))+0-0-0</f>
        <v>501.44413299999997</v>
      </c>
      <c r="Y19" s="3">
        <f>356+(266.8-31)+(0.36312+(0.272136-0.03162))+0-0-0</f>
        <v>592.40363600000001</v>
      </c>
      <c r="Z19" s="3">
        <f>350+(309.1-30)+(0.1785+(0.157641-0.0153))+0-0-0</f>
        <v>629.420841</v>
      </c>
      <c r="AA19" s="3">
        <f>355+(325.9-32)+(0+(0-0))+0-0-0</f>
        <v>648.9</v>
      </c>
      <c r="AB19" s="3">
        <f>356+(321.1-32)+(-0.54468+(-0.491283--0.04896))+0-0-0</f>
        <v>644.11299700000006</v>
      </c>
      <c r="AC19" s="3">
        <f>351+(285.1-32)+(0+(0-0))+0-0-0</f>
        <v>604.1</v>
      </c>
      <c r="AD19">
        <f t="shared" si="0"/>
        <v>12513.383760999997</v>
      </c>
      <c r="AE19" s="3">
        <f>359+(309.7-31)+(0+(0-0))+0-0-0</f>
        <v>637.70000000000005</v>
      </c>
    </row>
    <row r="20" spans="1:31" s="2" customFormat="1" x14ac:dyDescent="0.25">
      <c r="A20">
        <v>89</v>
      </c>
      <c r="B20">
        <v>1</v>
      </c>
      <c r="C20">
        <v>20</v>
      </c>
      <c r="D20">
        <v>7</v>
      </c>
      <c r="E20">
        <v>1</v>
      </c>
      <c r="F20" s="3">
        <f>336+(251.1-31)+(-0.34272+(-0.256122--0.03162))+0-0-0</f>
        <v>555.53277800000001</v>
      </c>
      <c r="G20" s="3">
        <f>304+(258.4-31)+(-0.62016+(-0.527136--0.06324))+0-0-0</f>
        <v>530.31594399999994</v>
      </c>
      <c r="H20" s="3">
        <f>294+(242.1-31)+(-0.29988+(-0.246942--0.03162))+0-0-0</f>
        <v>504.58479800000003</v>
      </c>
      <c r="I20" s="3">
        <f>294+(221-31)+(-0.14994+(-0.11271--0.01581))+0-0-0</f>
        <v>483.75315999999998</v>
      </c>
      <c r="J20" s="3">
        <f>276+(226.7-32)+(-0.28152+(-0.231234--0.03264))+0-0-0</f>
        <v>470.21988599999997</v>
      </c>
      <c r="K20" s="3">
        <f>290+(193.1-33)+(-0.1479+(-0.098481--0.01683))+0-0-0</f>
        <v>449.87044900000001</v>
      </c>
      <c r="L20" s="3">
        <f>292+(156.9-32)+(-0.59568+(-0.320076--0.06528))+0-0-0</f>
        <v>416.04952399999996</v>
      </c>
      <c r="M20" s="3">
        <f>292+(147.7-29)+(0+(0-0))+0-0-0</f>
        <v>410.7</v>
      </c>
      <c r="N20" s="3">
        <f>292+(172.4-27)+(-0.29784+(-0.175848--0.02754))+0-0-0</f>
        <v>436.95385199999998</v>
      </c>
      <c r="O20" s="3">
        <f>290+(197.9-28)+(0.4437+(0.302787-0.04284))+0-0-0</f>
        <v>460.60364699999997</v>
      </c>
      <c r="P20" s="3">
        <f>290+(220.9-28)+(0.2958+(0.225318-0.02856))+0-0-0</f>
        <v>483.39255799999995</v>
      </c>
      <c r="Q20" s="3">
        <f>290+(237.3-29)+(0.1479+(0.121023-0.01479))+0-0-0</f>
        <v>498.55413300000004</v>
      </c>
      <c r="R20" s="3">
        <f>289+(264.4-29)+(0+(0-0))+0-0-0</f>
        <v>524.4</v>
      </c>
      <c r="S20" s="3">
        <f>289+(295.5-30)+(-0.14739+(-0.150705--0.0153))+0-0-0</f>
        <v>554.21720500000004</v>
      </c>
      <c r="T20" s="3">
        <f>289+(304.4-31)+(-0.29478+(-0.310488--0.03162))+0-0-0</f>
        <v>561.82635199999993</v>
      </c>
      <c r="U20" s="3">
        <f>289+(293.5-30)+(0.14739+(0.149685-0.0153))+0-0-0</f>
        <v>552.78177500000004</v>
      </c>
      <c r="V20" s="3">
        <f>302+(267.1-30)+(-0.61608+(-0.544884--0.0612))+0-0-0</f>
        <v>538.00023599999997</v>
      </c>
      <c r="W20" s="3">
        <f>327+(217.6-30)+(-0.33354+(-0.221952--0.0306))+0-0-0</f>
        <v>514.075108</v>
      </c>
      <c r="X20" s="3">
        <f>370+(149.8-30)+(-1.1322+(-0.458388--0.0918))+0-0-0</f>
        <v>488.30121200000002</v>
      </c>
      <c r="Y20" s="3">
        <f>345+(284.4-29)+(0+(0-0))+0-0-0</f>
        <v>600.4</v>
      </c>
      <c r="Z20" s="3">
        <f>315+(362.2-29)+(-0.16065+(-0.184722--0.01479))+20.1-0-0</f>
        <v>667.96941800000002</v>
      </c>
      <c r="AA20" s="3">
        <f>315+(354.2-33)+(-0.48195+(-0.541926--0.05049))+28-0-0</f>
        <v>663.22661400000004</v>
      </c>
      <c r="AB20" s="3">
        <f>364+(343.6-31)+(-0.55692+(-0.525708--0.04743))+14-0-0</f>
        <v>689.56480199999999</v>
      </c>
      <c r="AC20" s="3">
        <f>369+(289.2-31)+(-0.75276+(-0.589968--0.06324))+0-0-0</f>
        <v>625.92051200000003</v>
      </c>
      <c r="AD20">
        <f t="shared" si="0"/>
        <v>12681.213962999998</v>
      </c>
      <c r="AE20" s="3">
        <f>315+(364.3-33)+(0+(0-0))+28-0-0</f>
        <v>674.3</v>
      </c>
    </row>
    <row r="21" spans="1:31" s="2" customFormat="1" x14ac:dyDescent="0.25">
      <c r="A21">
        <v>89</v>
      </c>
      <c r="B21">
        <v>1</v>
      </c>
      <c r="C21">
        <v>21</v>
      </c>
      <c r="D21">
        <v>1</v>
      </c>
      <c r="E21">
        <v>1</v>
      </c>
      <c r="F21" s="3">
        <f>318+(283.1-32)+(-0.8109+(-0.721905--0.0816))+0-0-0</f>
        <v>567.64879500000006</v>
      </c>
      <c r="G21" s="3">
        <f>307+(259.6-31)+(-0.78285+(-0.66198--0.07905))+0-0-0</f>
        <v>534.23422000000005</v>
      </c>
      <c r="H21" s="3">
        <f>311+(232.3-29)+(-0.95166+(-0.710838--0.08874))+0-0-0</f>
        <v>512.72624199999996</v>
      </c>
      <c r="I21" s="3">
        <f>312+(215.9-29)+(-0.15912+(-0.110109--0.01479))+0-0-0</f>
        <v>498.64556099999999</v>
      </c>
      <c r="J21" s="3">
        <f>312+(200.1-31)+(-0.47736+(-0.306153--0.04743))+0-0-0</f>
        <v>480.36391700000001</v>
      </c>
      <c r="K21" s="3">
        <f>312+(186.3-32)+(-0.31824+(-0.190026--0.03264))+0-0-0</f>
        <v>465.82437400000003</v>
      </c>
      <c r="L21" s="3">
        <f>305+(161.3-33)+(-0.9333+(-0.493578--0.10098))+0-0-0</f>
        <v>431.97410200000002</v>
      </c>
      <c r="M21" s="3">
        <f>309+(162-32)+(0.15759+(0.08262-0.01632))+0-0-0</f>
        <v>439.22388999999998</v>
      </c>
      <c r="N21" s="3">
        <f>309+(182.9-30)+(0+(0-0))+0-0-0</f>
        <v>461.9</v>
      </c>
      <c r="O21" s="3">
        <f>309+(201.4-28)+(-0.31518+(-0.205428--0.02856))+0-0-0</f>
        <v>481.90795199999997</v>
      </c>
      <c r="P21" s="3">
        <f>309+(224.9-27)+(0.15759+(0.114699-0.01377))+0-0-0</f>
        <v>507.15851899999996</v>
      </c>
      <c r="Q21" s="3">
        <f>309+(254.4-29)+(0.15759+(0.129744-0.01479))+0-0-0</f>
        <v>534.67254400000002</v>
      </c>
      <c r="R21" s="3">
        <f>306+(303.7-30)+(-0.31212+(-0.309774--0.0306))+0-0-0</f>
        <v>579.1087060000001</v>
      </c>
      <c r="S21" s="3">
        <f>336+(311.2-30)+(-0.8568+(-0.79356--0.0765))+0-0-0</f>
        <v>615.62614000000008</v>
      </c>
      <c r="T21" s="3">
        <f>337+(303.8-31)+(0.17187+(0.154938-0.01581))+0-0-0</f>
        <v>610.110998</v>
      </c>
      <c r="U21" s="3">
        <f>337+(294.2-32)+(-0.68748+(-0.600168--0.06528))+0-0-0</f>
        <v>597.97763200000009</v>
      </c>
      <c r="V21" s="3">
        <f>355+(250.1-31)+(0+(0-0))+0-0-0</f>
        <v>574.1</v>
      </c>
      <c r="W21" s="3">
        <f>394+(215.6-30)+(-0.80376+(-0.439824--0.0612))+0-0-0</f>
        <v>578.41761600000007</v>
      </c>
      <c r="X21" s="3">
        <f>401+(169.1-30)+(-0.40902+(-0.172482--0.0306))+0-0-0</f>
        <v>539.54909800000007</v>
      </c>
      <c r="Y21" s="3">
        <f>448+(203.1-30)+(-0.91392+(-0.414324--0.0612))+0-0-0</f>
        <v>619.83295599999997</v>
      </c>
      <c r="Z21" s="3">
        <f>509+(222.1-31)+(-0.77877+(-0.339813--0.04743))+0-0-0</f>
        <v>699.02884700000004</v>
      </c>
      <c r="AA21" s="3">
        <f>500+(225.8-32)+(-0.765+(-0.345474--0.04896))+0-0-0</f>
        <v>692.73848599999997</v>
      </c>
      <c r="AB21" s="3">
        <f>461+(255.1-32)+(-0.70533+(-0.390303--0.04896))+0-0-0</f>
        <v>683.05332699999997</v>
      </c>
      <c r="AC21" s="3">
        <f>453+(239.2-31)+(-0.92412+(-0.487968--0.06324))+0-0-0</f>
        <v>659.85115200000007</v>
      </c>
      <c r="AD21">
        <f t="shared" si="0"/>
        <v>13365.675073999999</v>
      </c>
      <c r="AE21" s="3">
        <f>505+(228.2-32)+(0+(0-0))+0-0-0</f>
        <v>701.2</v>
      </c>
    </row>
    <row r="22" spans="1:31" s="2" customFormat="1" x14ac:dyDescent="0.25">
      <c r="A22">
        <v>89</v>
      </c>
      <c r="B22">
        <v>1</v>
      </c>
      <c r="C22">
        <v>22</v>
      </c>
      <c r="D22">
        <v>2</v>
      </c>
      <c r="E22">
        <v>1</v>
      </c>
      <c r="F22" s="3">
        <f>443+(198.8-31)+(-0.45186+(-0.202776--0.03162))+0-0-0</f>
        <v>610.17698399999995</v>
      </c>
      <c r="G22" s="3">
        <f>444+(167.7-32)+(-1.1322+(-0.427635--0.0816))+0-0-0</f>
        <v>578.221765</v>
      </c>
      <c r="H22" s="3">
        <f>443+(135.5-31)+(-0.67779+(-0.207315--0.04743))+0-0-0</f>
        <v>546.66232500000001</v>
      </c>
      <c r="I22" s="3">
        <f>436+(122.9-31)+(-0.66708+(-0.188037--0.04743))+0-0-0</f>
        <v>527.09231299999999</v>
      </c>
      <c r="J22" s="3">
        <f>447+(94.2-32)+(-1.13985+(-0.24021--0.0816))+0-0-0</f>
        <v>507.90154000000001</v>
      </c>
      <c r="K22" s="3">
        <f>448+(72.1-33)+(0.45696+(0.073542-0.03366))+0-0-0</f>
        <v>487.59684200000004</v>
      </c>
      <c r="L22" s="3">
        <f>442+(39.8-35.5)+(-1.1271+(-0.10149--0.090525))+0-0-0</f>
        <v>445.16193500000003</v>
      </c>
      <c r="M22" s="3">
        <f>441+(38.9-34.7)+(-0.22491+(-0.019839--0.017697))+0-0-0</f>
        <v>444.97294799999997</v>
      </c>
      <c r="N22" s="3">
        <f>388+(110.5-32)+(0.19788+(0.056355-0.01632))+0-0-0</f>
        <v>466.73791499999999</v>
      </c>
      <c r="O22" s="3">
        <f>309+(188.3-31)+(-0.15759+(-0.096033--0.01581))+0-0-0</f>
        <v>466.06218699999999</v>
      </c>
      <c r="P22" s="3">
        <f>336+(218.3-33)+(-0.17136+(-0.111333--0.01683))+0-0-0</f>
        <v>521.03413699999999</v>
      </c>
      <c r="Q22" s="3">
        <f>436+(141.1-34)+(0.22236+(0.071961-0.01734))+0-0-0</f>
        <v>543.376981</v>
      </c>
      <c r="R22" s="3">
        <f>434+(180.3-30)+(-0.66402+(-0.275859--0.0459))+0-0-0</f>
        <v>583.40602100000001</v>
      </c>
      <c r="S22" s="3">
        <f>418+(218.7-30)+(-0.63954+(-0.334611--0.0459))+0-0-0</f>
        <v>605.771749</v>
      </c>
      <c r="T22" s="3">
        <f>403+(233.8-31)+(0+(0-0))+0-0-0</f>
        <v>605.79999999999995</v>
      </c>
      <c r="U22" s="3">
        <f>403+(212.9-31)+(0+(0-0))+0-0-0</f>
        <v>584.9</v>
      </c>
      <c r="V22" s="3">
        <f>407+(193.6-31)+(-0.20757+(-0.098736--0.01581))+0-0-0</f>
        <v>569.30950400000006</v>
      </c>
      <c r="W22" s="3">
        <f>420+(162.1-31)+(-1.2852+(-0.496026--0.09486))+0-0-0</f>
        <v>549.413634</v>
      </c>
      <c r="X22" s="3">
        <f>420+(138.5-31)+(-0.2142+(-0.070635--0.01581))+0-0-0</f>
        <v>527.23097499999994</v>
      </c>
      <c r="Y22" s="3">
        <f>440+(199.9-31)+(-0.4488+(-0.203898--0.03162))+0-0-0</f>
        <v>608.27892199999997</v>
      </c>
      <c r="Z22" s="3">
        <f>454+(251.6-31)+(-1.38924+(-0.769896--0.09486))+0-0-0</f>
        <v>672.53572400000007</v>
      </c>
      <c r="AA22" s="3">
        <f>446+(261.3-32)+(-0.90984+(-0.533052--0.06528))+0-0-0</f>
        <v>673.92238799999996</v>
      </c>
      <c r="AB22" s="3">
        <f>435+(270.3-33)+(0+(0-0))+0-0-0</f>
        <v>672.3</v>
      </c>
      <c r="AC22" s="3">
        <f>421+(252.9-33)+(-0.21471+(-0.128979--0.01683))+0-0-0</f>
        <v>640.57314099999996</v>
      </c>
      <c r="AD22">
        <f t="shared" si="0"/>
        <v>13438.43993</v>
      </c>
      <c r="AE22" s="3">
        <f>455+(258.8-33)+(0+(0-0))+0-0-0</f>
        <v>680.8</v>
      </c>
    </row>
    <row r="23" spans="1:31" s="2" customFormat="1" x14ac:dyDescent="0.25">
      <c r="A23">
        <v>89</v>
      </c>
      <c r="B23">
        <v>1</v>
      </c>
      <c r="C23">
        <v>23</v>
      </c>
      <c r="D23">
        <v>3</v>
      </c>
      <c r="E23">
        <v>1</v>
      </c>
      <c r="F23" s="3">
        <f>419+(204.3-32)+(-0.64107+(-0.312579--0.04896))+0-0-0</f>
        <v>590.39531099999999</v>
      </c>
      <c r="G23" s="3">
        <f>419+(167.7-31)+(0+(0-0))+0-0-0</f>
        <v>555.70000000000005</v>
      </c>
      <c r="H23" s="3">
        <f>419+(144-31)+(-0.42738+(-0.14688--0.03162))+0-0-0</f>
        <v>531.45735999999999</v>
      </c>
      <c r="I23" s="3">
        <f>421+(120.5-31)+(-0.21471+(-0.061455--0.01581))+0-0-0</f>
        <v>510.239645</v>
      </c>
      <c r="J23" s="3">
        <f>420+(95.5-32)+(-0.8568+(-0.19482--0.06528))+0-0-0</f>
        <v>482.51366000000002</v>
      </c>
      <c r="K23" s="3">
        <f>420+(77.1-32)+(-0.2142+(-0.039321--0.01632))+0-0-0</f>
        <v>464.862799</v>
      </c>
      <c r="L23" s="3">
        <f>358+(85-32)+(-0.18258+(-0.04335--0.01632))+0-0-0</f>
        <v>410.79039</v>
      </c>
      <c r="M23" s="3">
        <f>360+(78.7-32)+(-0.3672+(-0.080274--0.03264))+0-0-0</f>
        <v>406.285166</v>
      </c>
      <c r="N23" s="3">
        <f>358+(107.3-32)+(-0.73032+(-0.218892--0.06528))+0-0-0</f>
        <v>432.416068</v>
      </c>
      <c r="O23" s="3">
        <f>354+(139.6-31)+(-0.54162+(-0.213588--0.04743))+0-0-0</f>
        <v>461.892222</v>
      </c>
      <c r="P23" s="3">
        <f>355+(192.3-31)+(-0.54315+(-0.294219--0.04743))+0-0-0</f>
        <v>515.51006099999995</v>
      </c>
      <c r="Q23" s="3">
        <f>393+(181.2-30)+(-0.40086+(-0.184824--0.0306))+0-0-0</f>
        <v>543.64491600000008</v>
      </c>
      <c r="R23" s="3">
        <f>334+(280.9-32)+(0+(0-0))+0-0-0</f>
        <v>582.9</v>
      </c>
      <c r="S23" s="3">
        <f>346+(303-34)+(-0.17646+(-0.15453--0.01734))+0-0-0</f>
        <v>614.68634999999995</v>
      </c>
      <c r="T23" s="3">
        <f>381+(273-32)+(-0.38862+(-0.27846--0.03264))+0-0-0</f>
        <v>621.36555999999996</v>
      </c>
      <c r="U23" s="3">
        <f>434+(235.9-32)+(-0.44268+(-0.240618--0.03264))+0-0-0</f>
        <v>637.24934199999996</v>
      </c>
      <c r="V23" s="3">
        <f>452+(189.9-31)+(-0.46104+(-0.193698--0.03162))+0-0-0</f>
        <v>610.276882</v>
      </c>
      <c r="W23" s="3">
        <f>478+(117.7-30)+(-0.24378+(-0.060027--0.0153))+0-0-0</f>
        <v>565.41149300000006</v>
      </c>
      <c r="X23" s="3">
        <f>470+(93.9-30)+(-0.2397+(-0.047889--0.0153))+0-0-0</f>
        <v>533.62771099999998</v>
      </c>
      <c r="Y23" s="3">
        <f>483+(177.5-30)+(0+(0-0))+0-0-0</f>
        <v>630.5</v>
      </c>
      <c r="Z23" s="3">
        <f>492+(221.7-32)+(-0.50184+(-0.226134--0.03264))+0-0-0</f>
        <v>681.00466600000004</v>
      </c>
      <c r="AA23" s="3">
        <f>486+(243-33)+(-0.49572+(-0.24786--0.03366))+0-0-0</f>
        <v>695.29007999999999</v>
      </c>
      <c r="AB23" s="3">
        <f>476+(245-30)+(-0.97104+(-0.4998--0.0612))+0-0-0</f>
        <v>689.59036000000003</v>
      </c>
      <c r="AC23" s="3">
        <f>435+(254.8-33)+(-0.4437+(-0.259896--0.03366))+0-0-0</f>
        <v>656.13006399999995</v>
      </c>
      <c r="AD23">
        <f t="shared" si="0"/>
        <v>13423.740106000001</v>
      </c>
      <c r="AE23" s="3">
        <f>485+(210.5-32)+(0+(0-0))+0-0-0</f>
        <v>663.5</v>
      </c>
    </row>
    <row r="24" spans="1:31" s="2" customFormat="1" x14ac:dyDescent="0.25">
      <c r="A24">
        <v>89</v>
      </c>
      <c r="B24">
        <v>1</v>
      </c>
      <c r="C24">
        <v>24</v>
      </c>
      <c r="D24">
        <v>4</v>
      </c>
      <c r="E24">
        <v>1</v>
      </c>
      <c r="F24" s="3">
        <f>422+(213.2-31)+(-0.64566+(-0.326196--0.04743))+0-0-0</f>
        <v>603.27557400000001</v>
      </c>
      <c r="G24" s="3">
        <f>383+(219.2-30)+(-0.58599+(-0.335376--0.0459))+0-0-0</f>
        <v>571.32453400000009</v>
      </c>
      <c r="H24" s="3">
        <f>377+(195.9-31)+(0.19227+(0.099909-0.01581))+0-0-0</f>
        <v>542.17636900000002</v>
      </c>
      <c r="I24" s="3">
        <f>375+(179.5-31)+(-0.57375+(-0.274635--0.04743))+0-0-0</f>
        <v>522.69904499999996</v>
      </c>
      <c r="J24" s="3">
        <f>356+(214.3-33)+(-0.9078+(-0.546465--0.08415))+0-0-0</f>
        <v>535.9298849999999</v>
      </c>
      <c r="K24" s="3">
        <f>333+(182.6-19)+(-0.50949+(-0.279378--0.02907))+9.5-0-0</f>
        <v>505.34020200000003</v>
      </c>
      <c r="L24" s="3">
        <f>318+(166.7-30)+(-0.16218+(-0.085017--0.0153))+0-0-0</f>
        <v>454.46810299999999</v>
      </c>
      <c r="M24" s="3">
        <f>318+(163.9-30)+(0+(0-0))+0-0-0</f>
        <v>451.9</v>
      </c>
      <c r="N24" s="3">
        <f>318+(180.4-30)+(0+(0-0))+0-0-0</f>
        <v>468.4</v>
      </c>
      <c r="O24" s="3">
        <f>318+(200.4-29)+(-0.16218+(-0.102204--0.01479))+0-0-0</f>
        <v>489.15040599999998</v>
      </c>
      <c r="P24" s="3">
        <f>318+(216.7-27)+(0+(0-0))+0-0-0</f>
        <v>507.7</v>
      </c>
      <c r="Q24" s="3">
        <f>341+(224.5-30)+(0+(0-0))+0-0-0</f>
        <v>535.5</v>
      </c>
      <c r="R24" s="3">
        <f>370+(238.8-32)+(-0.5661+(-0.365364--0.04896))+0-0-0</f>
        <v>575.91749599999991</v>
      </c>
      <c r="S24" s="3">
        <f>370+(280.5-32)+(-0.3774+(-0.28611--0.03264))+0-0-0</f>
        <v>617.86913000000004</v>
      </c>
      <c r="T24" s="3">
        <f>370+(282.1-32)+(-0.1887+(-0.143871--0.01632))+0-0-0</f>
        <v>619.78374900000006</v>
      </c>
      <c r="U24" s="3">
        <f>375+(260.2-31)+(0.19125+(0.132702-0.01581))+0-0-0</f>
        <v>604.50814200000002</v>
      </c>
      <c r="V24" s="3">
        <f>395+(220.9-29)+(-0.20145+(-0.112659--0.01479))+0-0-0</f>
        <v>586.60068100000001</v>
      </c>
      <c r="W24" s="3">
        <f>458+(137.3-28)+(-0.70074+(-0.210069--0.04284))+0-0-0</f>
        <v>566.43203099999994</v>
      </c>
      <c r="X24" s="3">
        <f>467+(117.5-30)+(-1.19085+(-0.299625--0.0765))+0-0-0</f>
        <v>553.08602499999995</v>
      </c>
      <c r="Y24" s="3">
        <f>470+(203.1-31)+(-0.4794+(-0.207162--0.03162))+0-0-0</f>
        <v>641.44505800000002</v>
      </c>
      <c r="Z24" s="3">
        <f>483+(249.5-32)+(-0.98532+(-0.50898--0.06528))+0-0-0</f>
        <v>699.07097999999996</v>
      </c>
      <c r="AA24" s="3">
        <f>483+(259-32)+(-1.23165+(-0.66045--0.0816))+0-0-0</f>
        <v>708.18949999999995</v>
      </c>
      <c r="AB24" s="3">
        <f>476+(245-32)+(-0.97104+(-0.4998--0.06528))+0-0-0</f>
        <v>687.59443999999996</v>
      </c>
      <c r="AC24" s="3">
        <f>466+(218.6-30)+(-0.95064+(-0.445944--0.0612))+0-0-0</f>
        <v>653.26461600000005</v>
      </c>
      <c r="AD24">
        <f t="shared" si="0"/>
        <v>13701.625966000001</v>
      </c>
      <c r="AE24" s="3">
        <f>485+(261-33)+(0+(0-0))+0-0-0</f>
        <v>713</v>
      </c>
    </row>
    <row r="25" spans="1:31" s="2" customFormat="1" x14ac:dyDescent="0.25">
      <c r="A25">
        <v>89</v>
      </c>
      <c r="B25">
        <v>1</v>
      </c>
      <c r="C25">
        <v>25</v>
      </c>
      <c r="D25">
        <v>5</v>
      </c>
      <c r="E25">
        <v>1</v>
      </c>
      <c r="F25" s="3">
        <f>420+(213.6-30)+(-0.6426+(-0.326808--0.0459))+0-0-0</f>
        <v>602.67649200000005</v>
      </c>
      <c r="G25" s="3">
        <f>397+(211.9-30)+(-0.60741+(-0.324207--0.0459))+0-0-0</f>
        <v>578.01428299999998</v>
      </c>
      <c r="H25" s="3">
        <f>397+(185.8-31)+(-0.40494+(-0.189516--0.03162))+0-0-0</f>
        <v>551.23716400000001</v>
      </c>
      <c r="I25" s="3">
        <f>397+(166.9-31)+(-0.40494+(-0.170238--0.03162))+0-0-0</f>
        <v>532.35644200000002</v>
      </c>
      <c r="J25" s="3">
        <f>397+(151.4-32)+(-0.40494+(-0.154428--0.03264))+0-0-0</f>
        <v>515.87327199999993</v>
      </c>
      <c r="K25" s="3">
        <f>395+(135.1-32)+(0.20145+(0.068901-0.01632))+0-0-0</f>
        <v>498.35403100000002</v>
      </c>
      <c r="L25" s="3">
        <f>393+(92.8-33)+(-0.20043+(-0.047328--0.01683))+0-0-0</f>
        <v>452.56907200000001</v>
      </c>
      <c r="M25" s="3">
        <f>389+(99.6-32)+(0.19839+(0.050796-0.01632))+0-0-0</f>
        <v>456.83286600000002</v>
      </c>
      <c r="N25" s="3">
        <f>388+(117.9-32)+(0+(0-0))+0-0-0</f>
        <v>473.9</v>
      </c>
      <c r="O25" s="3">
        <f>388+(143.6-30)+(-0.19788+(-0.073236--0.0153))+0-0-0</f>
        <v>501.34418400000004</v>
      </c>
      <c r="P25" s="3">
        <f>363+(199.2-27)+(0.37026+(0.203184-0.02754))+0-0-0</f>
        <v>535.745904</v>
      </c>
      <c r="Q25" s="3">
        <f>349+(244.7-31)+(-0.53397+(-0.374391--0.04743))+0-0-0</f>
        <v>561.83906899999999</v>
      </c>
      <c r="R25" s="3">
        <f>355+(286.7-32)+(0.18105+(0.146217-0.01632))+0-0-0</f>
        <v>610.0109470000001</v>
      </c>
      <c r="S25" s="3">
        <f>356+(324.6-32)+(-0.18156+(-0.165546--0.01632))+0-0-0</f>
        <v>648.26921400000003</v>
      </c>
      <c r="T25" s="3">
        <f>363+(315.9-31)+(0.18513+(0.161109-0.01581))+0-0-0</f>
        <v>648.23042899999996</v>
      </c>
      <c r="U25" s="3">
        <f>372+(286.7-32)+(-0.56916+(-0.438651--0.04896))+0-0-0</f>
        <v>625.74114900000006</v>
      </c>
      <c r="V25" s="3">
        <f>385+(263.4-32)+(0+(0-0))+0-0-0</f>
        <v>616.4</v>
      </c>
      <c r="W25" s="3">
        <f>388+(224.1-32)+(-0.59364+(-0.342873--0.04896))+0-0-0</f>
        <v>579.212447</v>
      </c>
      <c r="X25" s="3">
        <f>406+(181.9-32)+(-1.24236+(-0.556614--0.09792))+0-0-0</f>
        <v>554.19894599999998</v>
      </c>
      <c r="Y25" s="3">
        <f>443+(243.1-32)+(-0.45186+(-0.247962--0.03264))+0-0-0</f>
        <v>653.432818</v>
      </c>
      <c r="Z25" s="3">
        <f>448+(302.3-29)+(-0.91392+(-0.616692--0.05916))+0-0-0</f>
        <v>719.82854799999996</v>
      </c>
      <c r="AA25" s="3">
        <f>444+(317.1-29)+(-0.67932+(-0.485163--0.04437))+0-0-0</f>
        <v>730.97988700000008</v>
      </c>
      <c r="AB25" s="3">
        <f>442+(304-29)+(-0.90168+(-0.62016--0.05916))+0-0-0</f>
        <v>715.53732000000002</v>
      </c>
      <c r="AC25" s="3">
        <f>440+(273.4-29)+(0+(0-0))+0-0-0</f>
        <v>684.4</v>
      </c>
      <c r="AD25">
        <f t="shared" si="0"/>
        <v>14046.984483999997</v>
      </c>
      <c r="AE25" s="3">
        <f>450+(309-33)+(0+(0-0))+0-0-0</f>
        <v>726</v>
      </c>
    </row>
    <row r="26" spans="1:31" s="2" customFormat="1" x14ac:dyDescent="0.25">
      <c r="A26">
        <v>89</v>
      </c>
      <c r="B26">
        <v>1</v>
      </c>
      <c r="C26">
        <v>26</v>
      </c>
      <c r="D26">
        <v>6</v>
      </c>
      <c r="E26">
        <v>1</v>
      </c>
      <c r="F26" s="3">
        <f>425+(233-29)+(-0.65025+(-0.35649--0.04437))+0-0-0</f>
        <v>628.03763000000004</v>
      </c>
      <c r="G26" s="3">
        <f>367+(259.5-30)+(-0.18717+(-0.132345--0.0153))+0-0-0</f>
        <v>596.195785</v>
      </c>
      <c r="H26" s="3">
        <f>271+(332.5-30)+(0+(0-0))+0-0-0</f>
        <v>573.5</v>
      </c>
      <c r="I26" s="3">
        <f>271+(312.2-31)+(-0.55284+(-0.636888--0.06324))+0-0-0</f>
        <v>551.07351200000005</v>
      </c>
      <c r="J26" s="3">
        <f>269+(292.5-32)+(-0.41157+(-0.447525--0.04896))+0-0-0</f>
        <v>528.68986500000005</v>
      </c>
      <c r="K26" s="3">
        <f>267+(272.2-32)+(0+(0-0))+0-0-0</f>
        <v>507.2</v>
      </c>
      <c r="L26" s="3">
        <f>268+(217-30)+(-0.82008+(-0.66402--0.0918))+0-0-0</f>
        <v>453.60770000000002</v>
      </c>
      <c r="M26" s="3">
        <f>267+(212.6-28)+(0.13617+(0.108426-0.01428))+0-0-0</f>
        <v>451.83031600000004</v>
      </c>
      <c r="N26" s="3">
        <f>267+(238.8-28)+(0+(0-0))+0-0-0</f>
        <v>477.8</v>
      </c>
      <c r="O26" s="3">
        <f>267+(257.1-28)+(0.27234+(0.262242-0.02856))+0-0-0</f>
        <v>496.606022</v>
      </c>
      <c r="P26" s="3">
        <f>267+(283.9-27)+(-0.40851+(-0.434367--0.04131))+0-0-0</f>
        <v>523.098433</v>
      </c>
      <c r="Q26" s="3">
        <f>267+(312.2-29)+(-0.40851+(-0.477666--0.04437))+0-0-0</f>
        <v>549.35819400000003</v>
      </c>
      <c r="R26" s="3">
        <f>280+(361.1-30)+(0+(0-0))+4.8-0-0</f>
        <v>615.9</v>
      </c>
      <c r="S26" s="3">
        <f>317+(348.2-32)+(-0.48501+(-0.532746--0.04896))+26-0-0</f>
        <v>658.23120400000005</v>
      </c>
      <c r="T26" s="3">
        <f>308+(304.3-33)+(-0.15708+(-0.155193--0.01683))+50-0-0</f>
        <v>629.00455699999998</v>
      </c>
      <c r="U26" s="3">
        <f>308+(301.1-32)+(-0.15708+(-0.153561--0.01632))+42.5-0-0</f>
        <v>619.30567900000005</v>
      </c>
      <c r="V26" s="3">
        <f>325+(278-32)+(-0.49725+(-0.42534--0.04896))+18.3-0-0</f>
        <v>588.42636999999991</v>
      </c>
      <c r="W26" s="3">
        <f>327+(261.9-32)+(-0.50031+(-0.400707--0.04896))+0-0-0</f>
        <v>556.04794300000003</v>
      </c>
      <c r="X26" s="3">
        <f>325+(223.9-32)+(-0.49725+(-0.342567--0.04896))+0-0-0</f>
        <v>516.10914300000002</v>
      </c>
      <c r="Y26" s="3">
        <f>338+(314.6-32)+(0.17238+(0.160446-0.01632))+0-0-0</f>
        <v>620.91650600000003</v>
      </c>
      <c r="Z26" s="3">
        <f>338+(354.9-32)+(-0.34476+(-0.361998--0.03264))+13.5-0-0</f>
        <v>673.72588199999996</v>
      </c>
      <c r="AA26" s="3">
        <f>336+(352.2-31)+(-0.17136+(-0.179622--0.01581))+33.5-0-0</f>
        <v>690.36482799999999</v>
      </c>
      <c r="AB26" s="3">
        <f>352+(328.5-31)+(-0.35904+(-0.33507--0.03162))+34-0-0</f>
        <v>682.83750999999995</v>
      </c>
      <c r="AC26" s="3">
        <f>351+(307.7-30)+(-1.07406+(-0.941562--0.0918))+29-0-0</f>
        <v>655.77617800000007</v>
      </c>
      <c r="AD26">
        <f t="shared" si="0"/>
        <v>13843.643256999998</v>
      </c>
      <c r="AE26" s="3">
        <f>339+(359.4-33)+(0+(0-0))+28-0-0</f>
        <v>693.4</v>
      </c>
    </row>
    <row r="27" spans="1:31" s="2" customFormat="1" x14ac:dyDescent="0.25">
      <c r="A27">
        <v>89</v>
      </c>
      <c r="B27">
        <v>1</v>
      </c>
      <c r="C27">
        <v>27</v>
      </c>
      <c r="D27">
        <v>7</v>
      </c>
      <c r="E27">
        <v>1</v>
      </c>
      <c r="F27" s="3">
        <f>352+(281.4-33)+(-0.35904+(-0.287028--0.03366))+24-0-0</f>
        <v>623.78759200000002</v>
      </c>
      <c r="G27" s="3">
        <f>349+(267.7-32)+(-0.88995+(-0.682635--0.0816))+0-0-0</f>
        <v>583.20901500000002</v>
      </c>
      <c r="H27" s="3">
        <f>341+(256.1-32)+(-0.86955+(-0.653055--0.0816))+6-0-0</f>
        <v>569.658995</v>
      </c>
      <c r="I27" s="3">
        <f>332+(252.3-32)+(-0.33864+(-0.257346--0.03264))+4.3-0-0</f>
        <v>556.03665399999988</v>
      </c>
      <c r="J27" s="3">
        <f>291+(265.2-33)+(0+(0-0))+0-0-0</f>
        <v>523.20000000000005</v>
      </c>
      <c r="K27" s="3">
        <f>287+(239.8-33)+(-0.58548+(-0.489192--0.06732))+0-0-0</f>
        <v>492.79264799999999</v>
      </c>
      <c r="L27" s="3">
        <f>276+(171-15)+(-0.98532+(-0.61047--0.05355))+0-0-0</f>
        <v>430.45776000000001</v>
      </c>
      <c r="M27" s="3">
        <f>276+(180.4-31)+(-0.56304+(-0.368016--0.06324))+0-0-0</f>
        <v>424.53218399999997</v>
      </c>
      <c r="N27" s="3">
        <f>276+(204.3-31)+(0+(0-0))+0-0-0</f>
        <v>449.3</v>
      </c>
      <c r="O27" s="3">
        <f>276+(233.8-31)+(0.28152+(0.238476-0.03162))+0-0-0</f>
        <v>479.28837600000003</v>
      </c>
      <c r="P27" s="3">
        <f>276+(265.5-31)+(0+(0-0))+0-0-0</f>
        <v>510.5</v>
      </c>
      <c r="Q27" s="3">
        <f>279+(306.3-32)+(-0.28458+(-0.312426--0.03264))+0-0-0</f>
        <v>552.735634</v>
      </c>
      <c r="R27" s="3">
        <f>301+(337.5-33)+(-0.30702+(-0.34425--0.03366))+0-0-0</f>
        <v>604.88238999999999</v>
      </c>
      <c r="S27" s="3">
        <f>272+(373.3-32)+(0+(0-0))+23.3-0-0</f>
        <v>636.59999999999991</v>
      </c>
      <c r="T27" s="3">
        <f>259+(355.1-32)+(-0.52836+(-0.724404--0.06528))+53.3-0-0</f>
        <v>634.21251599999994</v>
      </c>
      <c r="U27" s="3">
        <f>309+(299.4-32)+(-1.10313+(-1.068858--0.11424))+60-0-0</f>
        <v>634.34225200000003</v>
      </c>
      <c r="V27" s="3">
        <f>404+(220.6-31)+(-1.23624+(-0.675036--0.09486))+0-0-0</f>
        <v>591.78358400000002</v>
      </c>
      <c r="W27" s="3">
        <f>416+(172.4-32)+(-0.21216+(-0.087924--0.01632))+0-0-0</f>
        <v>556.11623599999996</v>
      </c>
      <c r="X27" s="3">
        <f>416+(156.5-32)+(-1.0608+(-0.399075--0.0816))+0-0-0</f>
        <v>539.12172499999997</v>
      </c>
      <c r="Y27" s="3">
        <f>430+(249.7-31)+(-0.4386+(-0.254694--0.03162))+0-0-0</f>
        <v>648.0383260000001</v>
      </c>
      <c r="Z27" s="3">
        <f>432+(318.3-30)+(-0.44064+(-0.324666--0.0306))+0-0-0</f>
        <v>719.56529399999999</v>
      </c>
      <c r="AA27" s="3">
        <f>432+(332.4-33)+(0+(0-0))+0-0-0</f>
        <v>731.4</v>
      </c>
      <c r="AB27" s="3">
        <f>429+(336-31)+(-0.65637+(-0.51408--0.04743))+0-0-0</f>
        <v>732.87698</v>
      </c>
      <c r="AC27" s="3">
        <f>420+(312.7-32)+(-0.6426+(-0.478431--0.04896))+0-0-0</f>
        <v>699.62792899999999</v>
      </c>
      <c r="AD27">
        <f t="shared" si="0"/>
        <v>13924.066090000002</v>
      </c>
      <c r="AE27" s="3">
        <f>433+(321.1-33)+(0+(0-0))+0-0-0</f>
        <v>721.1</v>
      </c>
    </row>
    <row r="28" spans="1:31" s="2" customFormat="1" x14ac:dyDescent="0.25">
      <c r="A28">
        <v>89</v>
      </c>
      <c r="B28">
        <v>1</v>
      </c>
      <c r="C28">
        <v>28</v>
      </c>
      <c r="D28">
        <v>1</v>
      </c>
      <c r="E28">
        <v>1</v>
      </c>
      <c r="F28" s="3">
        <f>400+(283.8-32)+(-1.02+(-0.72369--0.0816))+0-0-0</f>
        <v>650.13790999999992</v>
      </c>
      <c r="G28" s="3">
        <f>388+(259.2-31)+(-1.18728+(-0.793152--0.09486))+0-0-0</f>
        <v>614.31442800000002</v>
      </c>
      <c r="H28" s="3">
        <f>388+(236.8-31)+(-0.79152+(-0.483072--0.06324))+0-0-0</f>
        <v>592.58864799999992</v>
      </c>
      <c r="I28" s="3">
        <f>388+(210-32)+(-0.39576+(-0.2142--0.03264))+0-0-0</f>
        <v>565.42268000000001</v>
      </c>
      <c r="J28" s="3">
        <f>388+(197.4-33)+(-0.59364+(-0.302022--0.05049))+0-0-0</f>
        <v>551.55482799999993</v>
      </c>
      <c r="K28" s="3">
        <f>387+(160.6-27)+(-0.39474+(-0.163812--0.02754))+0-0-0</f>
        <v>520.06898799999999</v>
      </c>
      <c r="L28" s="3">
        <f>389+(119.1-31)+(-0.19839+(-0.060741--0.01581))+0-0-0</f>
        <v>476.85667900000004</v>
      </c>
      <c r="M28" s="3">
        <f>389+(114.7-31)+(0.19839+(0.058497-0.01581))+0-0-0</f>
        <v>472.94107700000001</v>
      </c>
      <c r="N28" s="3">
        <f>387+(136.2-31)+(-0.19737+(-0.069462--0.01581))+0-0-0</f>
        <v>491.94897800000001</v>
      </c>
      <c r="O28" s="3">
        <f>387+(166.7-31)+(0+(0-0))+0-0-0</f>
        <v>522.70000000000005</v>
      </c>
      <c r="P28" s="3">
        <f>387+(187.8-33)+(-0.59211+(-0.287334--0.05049))+0-0-0</f>
        <v>540.971046</v>
      </c>
      <c r="Q28" s="3">
        <f>387+(209-33)+(-0.59211+(-0.31977--0.05049))+0-0-0</f>
        <v>562.13860999999997</v>
      </c>
      <c r="R28" s="3">
        <f>395+(258.9-31)+(-0.60435+(-0.396117--0.04743))+0-0-0</f>
        <v>621.94696299999998</v>
      </c>
      <c r="S28" s="3">
        <f>390+(301.2-31)+(-0.9945+(-0.76806--0.07905))+0-0-0</f>
        <v>658.51649000000009</v>
      </c>
      <c r="T28" s="3">
        <f>415+(283.9-31)+(-0.63495+(-0.434367--0.04743))+0-0-0</f>
        <v>666.87811299999998</v>
      </c>
      <c r="U28" s="3">
        <f>429+(247.6-31)+(-0.21879+(-0.126276--0.01581))+0-0-0</f>
        <v>645.27074400000004</v>
      </c>
      <c r="V28" s="3">
        <f>422+(225.8-31)+(-0.43044+(-0.230316--0.03162))+0-0-0</f>
        <v>616.17086399999994</v>
      </c>
      <c r="W28" s="3">
        <f>417+(193.8-31)+(-0.21267+(-0.098838--0.01581))+0-0-0</f>
        <v>579.50430199999994</v>
      </c>
      <c r="X28" s="3">
        <f>417+(166-31)+(-0.63801+(-0.25398--0.04743))+0-0-0</f>
        <v>551.15544</v>
      </c>
      <c r="Y28" s="3">
        <f>456+(218.7-32)+(-0.23256+(-0.111537--0.01632))+0-0-0</f>
        <v>642.37222300000008</v>
      </c>
      <c r="Z28" s="3">
        <f>498+(251.2-32)+(-1.01592+(-0.512448--0.06528))+0-0-0</f>
        <v>715.73691200000007</v>
      </c>
      <c r="AA28" s="3">
        <f>497+(257.1-32)+(-0.76041+(-0.393363--0.04896))+0-0-0</f>
        <v>720.99518699999999</v>
      </c>
      <c r="AB28" s="3">
        <f>471+(268.6-33)+(-0.48042+(-0.273972--0.03366))+0-0-0</f>
        <v>705.87926800000002</v>
      </c>
      <c r="AC28" s="3">
        <f>440+(270-33)+(-0.4488+(-0.2754--0.03366))+0-0-0</f>
        <v>676.30945999999994</v>
      </c>
      <c r="AD28">
        <f t="shared" si="0"/>
        <v>14362.379838000001</v>
      </c>
      <c r="AE28" s="3">
        <f>503+(256-33)+(0+(0-0))+0-0-0</f>
        <v>726</v>
      </c>
    </row>
    <row r="29" spans="1:31" s="2" customFormat="1" x14ac:dyDescent="0.25">
      <c r="A29">
        <v>89</v>
      </c>
      <c r="B29">
        <v>1</v>
      </c>
      <c r="C29">
        <v>29</v>
      </c>
      <c r="D29">
        <v>2</v>
      </c>
      <c r="E29">
        <v>1</v>
      </c>
      <c r="F29" s="3">
        <f>423+(241.9-32)+(-0.64719+(-0.370107--0.04896))+0-0-0</f>
        <v>631.93166299999996</v>
      </c>
      <c r="G29" s="3">
        <f>416+(217.1-31)+(-0.84864+(-0.442884--0.06324))+0-0-0</f>
        <v>600.87171599999999</v>
      </c>
      <c r="H29" s="3">
        <f>408+(198.1-31)+(-0.20808+(-0.101031--0.01581))+0-0-0</f>
        <v>574.80669899999998</v>
      </c>
      <c r="I29" s="3">
        <f>408+(179.1-32)+(-0.20808+(-0.091341--0.01632))+0-0-0</f>
        <v>554.81689900000003</v>
      </c>
      <c r="J29" s="3">
        <f>408+(158.8-33)+(-0.41616+(-0.161976--0.03366))+0-0-0</f>
        <v>533.25552399999992</v>
      </c>
      <c r="K29" s="3">
        <f>406+(132.6-33)+(-1.0353+(-0.33813--0.08415))+0-0-0</f>
        <v>504.31072</v>
      </c>
      <c r="L29" s="3">
        <f>411+(83.1-31)+(-0.20961+(-0.042381--0.01581))+0-0-0</f>
        <v>462.86381900000003</v>
      </c>
      <c r="M29" s="3">
        <f>411+(87.8-30)+(-0.41922+(-0.089556--0.0306))+0-0-0</f>
        <v>468.32182399999999</v>
      </c>
      <c r="N29" s="3">
        <f>411+(111.6-29)+(-0.62883+(-0.170748--0.04437))+0-0-0</f>
        <v>492.84479200000004</v>
      </c>
      <c r="O29" s="3">
        <f>411+(118.2-29)+(0+(0-0))+0-0-0</f>
        <v>500.2</v>
      </c>
      <c r="P29" s="3">
        <f>408+(164.1-29)+(0+(0-0))+0-0-0</f>
        <v>543.1</v>
      </c>
      <c r="Q29" s="3">
        <f>366+(249-31)+(-0.37332+(-0.25398--0.03162))+0-0-0</f>
        <v>583.40431999999998</v>
      </c>
      <c r="R29" s="3">
        <f>390+(274.9-33)+(-0.5967+(-0.420597--0.05049))+0-0-0</f>
        <v>630.93319299999996</v>
      </c>
      <c r="S29" s="3">
        <f>392+(306.7-33)+(-0.19992+(-0.156417--0.01683))+0-0-0</f>
        <v>665.36049300000002</v>
      </c>
      <c r="T29" s="3">
        <f>394+(310-31)+(0.20094+(0.1581-0.01581))+0-0-0</f>
        <v>673.34322999999995</v>
      </c>
      <c r="U29" s="3">
        <f>398+(289.8-31)+(-0.81192+(-0.591192--0.06324))+0-0-0</f>
        <v>655.46012799999994</v>
      </c>
      <c r="V29" s="3">
        <f>412+(243.2-31)+(-0.21012+(-0.124032--0.01581))+0-0-0</f>
        <v>623.88165800000002</v>
      </c>
      <c r="W29" s="3">
        <f>475+(141.9-30)+(-0.72675+(-0.217107--0.0459))+0-0-0</f>
        <v>586.00204299999996</v>
      </c>
      <c r="X29" s="3">
        <f>481+(94.6-31)+(-0.73593+(-0.144738--0.04743))+0-0-0</f>
        <v>543.76676199999997</v>
      </c>
      <c r="Y29" s="3">
        <f>493+(190.9-31)+(-0.50286+(-0.194718--0.03162))+0-0-0</f>
        <v>652.23404199999993</v>
      </c>
      <c r="Z29" s="3">
        <f>502+(256.3-31)+(-1.02408+(-0.522852--0.06324))+0-0-0</f>
        <v>725.81630799999994</v>
      </c>
      <c r="AA29" s="3">
        <f>498+(276.8-31)+(-1.2699+(-0.70584--0.07905))+0-0-0</f>
        <v>741.90330999999992</v>
      </c>
      <c r="AB29" s="3">
        <f>475+(278.9-31)+(-0.24225+(-0.142239--0.01581))+0-0-0</f>
        <v>722.53132099999993</v>
      </c>
      <c r="AC29" s="3">
        <f>440+(271.2-32)+(-0.4488+(-0.276624--0.03264))+0-0-0</f>
        <v>678.50721600000008</v>
      </c>
      <c r="AD29">
        <f t="shared" si="0"/>
        <v>14350.46768</v>
      </c>
      <c r="AE29" s="3">
        <f>498+(268.3-33)+(0+(0-0))+0-0-0</f>
        <v>733.3</v>
      </c>
    </row>
    <row r="30" spans="1:31" s="2" customFormat="1" x14ac:dyDescent="0.25">
      <c r="A30">
        <v>89</v>
      </c>
      <c r="B30">
        <v>1</v>
      </c>
      <c r="C30">
        <v>30</v>
      </c>
      <c r="D30">
        <v>3</v>
      </c>
      <c r="E30">
        <v>1</v>
      </c>
      <c r="F30" s="3">
        <f>428+(248.7-32)+(-0.65484+(-0.380511--0.04896))+0-0-0</f>
        <v>643.71360900000002</v>
      </c>
      <c r="G30" s="3">
        <f>422+(216.8-32)+(-0.86088+(-0.442272--0.06528))+0-0-0</f>
        <v>605.56212799999992</v>
      </c>
      <c r="H30" s="3">
        <f>400+(212.6-32)+(0+(0-0))+0-0-0</f>
        <v>580.6</v>
      </c>
      <c r="I30" s="3">
        <f>399+(200.6-32)+(-0.81396+(-0.409224--0.06528))+0-0-0</f>
        <v>566.44209599999999</v>
      </c>
      <c r="J30" s="3">
        <f>399+(181.8-33)+(-0.40698+(-0.185436--0.03366))+0-0-0</f>
        <v>547.24124399999994</v>
      </c>
      <c r="K30" s="3">
        <f>399+(154.5-33)+(-0.61047+(-0.236385--0.05049))+0-0-0</f>
        <v>519.70363499999996</v>
      </c>
      <c r="L30" s="3">
        <f>395+(101.7-31)+(-0.4029+(-0.103734--0.03162))+0-0-0</f>
        <v>465.224986</v>
      </c>
      <c r="M30" s="3">
        <f>380+(113-31)+(-0.1938+(-0.05763--0.01581))+0-0-0</f>
        <v>461.76438000000002</v>
      </c>
      <c r="N30" s="3">
        <f>376+(119-31)+(0+(0-0))+0-0-0</f>
        <v>464</v>
      </c>
      <c r="O30" s="3">
        <f>376+(149.6-31)+(0.19176+(0.076296-0.01581))+0-0-0</f>
        <v>494.85224600000004</v>
      </c>
      <c r="P30" s="3">
        <f>376+(179.2-31)+(0+(0-0))+0-0-0</f>
        <v>524.20000000000005</v>
      </c>
      <c r="Q30" s="3">
        <f>376+(212.6-33)+(-0.19176+(-0.108426--0.01683))+0-0-0</f>
        <v>555.316644</v>
      </c>
      <c r="R30" s="3">
        <f>379+(252.1-34)+(0.38658+(0.257142-0.03468))+0-0-0</f>
        <v>597.70904200000007</v>
      </c>
      <c r="S30" s="3">
        <f>379+(293.1-35)+(0.19329+(0.149481-0.01785))+0-0-0</f>
        <v>637.42492100000004</v>
      </c>
      <c r="T30" s="3">
        <f>384+(283.4-35)+(-0.19584+(-0.144534--0.01785))+0-0-0</f>
        <v>632.07747599999993</v>
      </c>
      <c r="U30" s="3">
        <f>409+(234.2-35)+(-1.04295+(-0.59721--0.08925))+0-0-0</f>
        <v>606.64909</v>
      </c>
      <c r="V30" s="3">
        <f>419+(194.1-21)+(-0.42738+(-0.197982--0.02142))+0-0-0</f>
        <v>591.49605800000006</v>
      </c>
      <c r="W30" s="3">
        <f>374+(213.1-22)+(-0.9537+(-0.543405--0.0561))+0-0-0</f>
        <v>563.658995</v>
      </c>
      <c r="X30" s="3">
        <f>361+(219.3-22)+(-0.92055+(-0.559215--0.0561))+0-0-0</f>
        <v>556.87633499999993</v>
      </c>
      <c r="Y30" s="3">
        <f>453+(205-32)+(-0.69309+(-0.31365--0.04896))+0-0-0</f>
        <v>625.04222000000004</v>
      </c>
      <c r="Z30" s="3">
        <f>486+(234.2-33)+(-0.99144+(-0.477768--0.06732))+0-0-0</f>
        <v>685.79811200000006</v>
      </c>
      <c r="AA30" s="3">
        <f>485+(251.4-32)+(-1.4841+(-0.769284--0.09792))+0-0-0</f>
        <v>702.24453599999993</v>
      </c>
      <c r="AB30" s="3">
        <f>458+(254.7-32)+(-1.1679+(-0.649485--0.0816))+0-0-0</f>
        <v>678.96421500000008</v>
      </c>
      <c r="AC30" s="3">
        <f>402+(220.8-32)+(-1.23012+(-0.675648--0.09792))+64.4-0-0</f>
        <v>653.3921519999999</v>
      </c>
      <c r="AD30">
        <f t="shared" si="0"/>
        <v>13959.95412</v>
      </c>
      <c r="AE30" s="3">
        <f>516+(234.6-33)+(0+(0-0))+0-0-0</f>
        <v>717.6</v>
      </c>
    </row>
    <row r="31" spans="1:31" s="2" customFormat="1" x14ac:dyDescent="0.25">
      <c r="A31">
        <v>89</v>
      </c>
      <c r="B31">
        <v>1</v>
      </c>
      <c r="C31">
        <v>31</v>
      </c>
      <c r="D31">
        <v>4</v>
      </c>
      <c r="E31">
        <v>1</v>
      </c>
      <c r="F31" s="3">
        <f>395+(174.4-32)+(-1.2087+(-0.533664--0.09792))+74.7-0-0</f>
        <v>610.455556</v>
      </c>
      <c r="G31" s="3">
        <f>416+(201.3-32)+(-1.27296+(-0.615978--0.09792))+2.8-0-0</f>
        <v>586.3089819999999</v>
      </c>
      <c r="H31" s="3">
        <f>418+(177-31)+(-0.21318+(-0.09027--0.01581))+0-0-0</f>
        <v>563.71235999999999</v>
      </c>
      <c r="I31" s="3">
        <f>417+(164.3-31)+(-0.42534+(-0.167586--0.03162))+0-0-0</f>
        <v>549.73869400000001</v>
      </c>
      <c r="J31" s="3">
        <f>429+(140.8-33)+(0+(0-0))+0-0-0</f>
        <v>536.79999999999995</v>
      </c>
      <c r="K31" s="3">
        <f>459+(77.8-33)+(-0.23409+(-0.039678--0.01683))+0-0-0</f>
        <v>503.54306200000002</v>
      </c>
      <c r="L31" s="3">
        <f>410+(81.2-31)+(-0.4182+(-0.082824--0.03162))+0-0-0</f>
        <v>459.73059599999999</v>
      </c>
      <c r="M31" s="3">
        <f>363+(126.6-30)+(-0.37026+(-0.129132--0.0306))+0-0-0</f>
        <v>459.13120800000002</v>
      </c>
      <c r="N31" s="3">
        <f>390+(118.5-33)+(-0.5967+(-0.181305--0.05049))+0-0-0</f>
        <v>474.77248500000002</v>
      </c>
      <c r="O31" s="3">
        <f>437+(117-32)+(-0.66861+(-0.17901--0.04896))+0-0-0</f>
        <v>521.20133999999996</v>
      </c>
      <c r="P31" s="3">
        <f>425+(120.9-33)+(0+(0-0))+0-0-0</f>
        <v>512.9</v>
      </c>
      <c r="Q31" s="3">
        <f>392+(172.7-33)+(0.19992+(0.088077-0.01683))+0-0-0</f>
        <v>531.97116700000004</v>
      </c>
      <c r="R31" s="3">
        <f>388+(237.6-33)+(-0.19788+(-0.121176--0.01683))+0-0-0</f>
        <v>592.297774</v>
      </c>
      <c r="S31" s="3">
        <f>399+(252.3-33)+(-0.20349+(-0.128673--0.01683))+0-0-0</f>
        <v>617.98466699999994</v>
      </c>
      <c r="T31" s="3">
        <f>399+(256.6-33)+(0+(0-0))+0-0-0</f>
        <v>622.6</v>
      </c>
      <c r="U31" s="3">
        <f>430+(194.2-33)+(-0.6579+(-0.297126--0.05049))+0-0-0</f>
        <v>590.29546400000004</v>
      </c>
      <c r="V31" s="3">
        <f>420+(174.4-33)+(-0.6426+(-0.266832--0.05049))+0-0-0</f>
        <v>560.54105800000002</v>
      </c>
      <c r="W31" s="3">
        <f>436+(125-33)+(-1.1118+(-0.31875--0.08415))+0-0-0</f>
        <v>526.65359999999998</v>
      </c>
      <c r="X31" s="3">
        <f>446+(101.7-32)+(-0.90984+(-0.207468--0.06528))+0-0-0</f>
        <v>514.6479720000001</v>
      </c>
      <c r="Y31" s="3">
        <f>484+(154.9-32)+(-0.49368+(-0.157998--0.03264))+0-0-0</f>
        <v>606.28096199999993</v>
      </c>
      <c r="Z31" s="3">
        <f>501+(198.3-32)+(-0.76653+(-0.303399--0.04896))+0-0-0</f>
        <v>666.27903099999992</v>
      </c>
      <c r="AA31" s="3">
        <f>501+(209.1-32)+(-0.25551+(-0.106641--0.01632))+0-0-0</f>
        <v>677.75416900000005</v>
      </c>
      <c r="AB31" s="3">
        <f>501+(207.7-32)+(-1.27755+(-0.529635--0.0816))+0-0-0</f>
        <v>674.97441500000002</v>
      </c>
      <c r="AC31" s="3">
        <f>487+(178.9-32)+(-0.99348+(-0.364956--0.06528))+0-0-0</f>
        <v>632.60684400000002</v>
      </c>
      <c r="AD31">
        <f t="shared" si="0"/>
        <v>13593.181406000002</v>
      </c>
      <c r="AE31" s="3">
        <f>493+(206.4-32)+(0+(0-0))+0-0-0</f>
        <v>667.4</v>
      </c>
    </row>
    <row r="32" spans="1:31" s="2" customFormat="1" x14ac:dyDescent="0.25">
      <c r="A32">
        <v>89</v>
      </c>
      <c r="B32">
        <v>2</v>
      </c>
      <c r="C32">
        <v>1</v>
      </c>
      <c r="D32">
        <v>5</v>
      </c>
      <c r="E32">
        <v>1</v>
      </c>
      <c r="F32" s="3">
        <f>467+(152.6-32)+(-0.47634+(-0.155652--0.03264))+0-0-0</f>
        <v>587.00064800000007</v>
      </c>
      <c r="G32" s="3">
        <f>467+(120.1-31)+(-1.19085+(-0.306255--0.07905))+0-0-0</f>
        <v>554.68194500000004</v>
      </c>
      <c r="H32" s="3">
        <f>467+(94.7-31)+(0+(0-0))+0-0-0</f>
        <v>530.70000000000005</v>
      </c>
      <c r="I32" s="3">
        <f>466+(77.3-34.7)+(-0.71298+(-0.118269--0.053091))+0-0-0</f>
        <v>507.821842</v>
      </c>
      <c r="J32" s="3">
        <f>449+(76.6-34.5)+(-0.68697+(-0.117198--0.052785))+0-0-0</f>
        <v>490.34861700000005</v>
      </c>
      <c r="K32" s="3">
        <f>447+(64.3-43.1)+(-0.91188+(-0.131172--0.087924))+0-0-0</f>
        <v>467.24487199999999</v>
      </c>
      <c r="L32" s="3">
        <f>444+(47.1-46.7)+(-0.67932+(-0.072063--0.071451))+0-0-0</f>
        <v>443.72006799999997</v>
      </c>
      <c r="M32" s="3">
        <f>452+(39.7-52.9)+(0+(0-0))+10.7-0-0</f>
        <v>449.5</v>
      </c>
      <c r="N32" s="3">
        <f>453+(44.1-48.7)+(0.46206+(0.044982-0.049674))+16-0-0</f>
        <v>464.85736799999995</v>
      </c>
      <c r="O32" s="3">
        <f>503+(35.7-69.4)+(1.02612+(0.072828-0.141576))+6.7-0-0</f>
        <v>476.95737200000002</v>
      </c>
      <c r="P32" s="3">
        <f>585+(28.6-103.1)+(-0.29835+(-0.014586--0.052581))+0-0-0</f>
        <v>510.239645</v>
      </c>
      <c r="Q32" s="3">
        <f>587+(38.4-95.3)+(0.89811+(0.058752-0.145809))+0-0-0</f>
        <v>530.91105300000004</v>
      </c>
      <c r="R32" s="3">
        <f>585+(67.3-68.7)+(0.29835+(0.034323-0.035037))+0-0-0</f>
        <v>583.89763600000003</v>
      </c>
      <c r="S32" s="3">
        <f>522+(130.4-32)+(-1.06488+(-0.266016--0.06528))+0-0-0</f>
        <v>619.13438399999995</v>
      </c>
      <c r="T32" s="3">
        <f>456+(199.1-33)+(-0.23256+(-0.101541--0.01683))+0-0-0</f>
        <v>621.78272900000002</v>
      </c>
      <c r="U32" s="3">
        <f>458+(178.3-33)+(-0.23358+(-0.090933--0.01683))+0-0-0</f>
        <v>602.99231699999996</v>
      </c>
      <c r="V32" s="3">
        <f>464+(147.2-31)+(-1.1832+(-0.37536--0.07905))+0-0-0</f>
        <v>578.72049000000004</v>
      </c>
      <c r="W32" s="3">
        <f>467+(110-30)+(-0.71451+(-0.1683--0.0459))+0-0-0</f>
        <v>546.16309000000001</v>
      </c>
      <c r="X32" s="3">
        <f>468+(91.4-31.6)+(-1.43208+(-0.279684--0.096696))+0-0-0</f>
        <v>526.184932</v>
      </c>
      <c r="Y32" s="3">
        <f>478+(172.6-31)+(-0.24378+(-0.088026--0.01581))+0-0-0</f>
        <v>619.28400399999998</v>
      </c>
      <c r="Z32" s="3">
        <f>486+(233.6-31)+(-0.99144+(-0.476544--0.06324))+0-0-0</f>
        <v>687.19525599999997</v>
      </c>
      <c r="AA32" s="3">
        <f>487+(247.5-31)+(-1.49022+(-0.75735--0.09486))+0-0-0</f>
        <v>701.34729000000004</v>
      </c>
      <c r="AB32" s="3">
        <f>486+(232.1-30)+(-0.74358+(-0.355113--0.0459))+0-0-0</f>
        <v>687.04720700000007</v>
      </c>
      <c r="AC32" s="3">
        <f>471+(206.7-30)+(-0.48042+(-0.210834--0.0306))+0-0-0</f>
        <v>647.03934600000002</v>
      </c>
      <c r="AD32">
        <f t="shared" si="0"/>
        <v>13434.772110999998</v>
      </c>
      <c r="AE32" s="3">
        <f>484+(235.8-32)+(0+(0-0))+0-0-0</f>
        <v>687.8</v>
      </c>
    </row>
    <row r="33" spans="1:31" s="2" customFormat="1" x14ac:dyDescent="0.25">
      <c r="A33">
        <v>89</v>
      </c>
      <c r="B33">
        <v>2</v>
      </c>
      <c r="C33">
        <v>2</v>
      </c>
      <c r="D33">
        <v>6</v>
      </c>
      <c r="E33">
        <v>1</v>
      </c>
      <c r="F33" s="3">
        <f>466+(174.4-31)+(-0.47532+(-0.177888--0.03162))+0-0-0</f>
        <v>608.778412</v>
      </c>
      <c r="G33" s="3">
        <f>456+(153.4-30)+(0+(0-0))+0-0-0</f>
        <v>579.4</v>
      </c>
      <c r="H33" s="3">
        <f>452+(130.3-30)+(-0.69156+(-0.199359--0.0459))+0-0-0</f>
        <v>551.45498099999998</v>
      </c>
      <c r="I33" s="3">
        <f>451+(113.5-31)+(-1.15005+(-0.289425--0.07905))+0-0-0</f>
        <v>532.13957500000004</v>
      </c>
      <c r="J33" s="3">
        <f>453+(91.2-31)+(0.23103+(0.046512-0.01581))+0-0-0</f>
        <v>513.4617320000001</v>
      </c>
      <c r="K33" s="3">
        <f>454+(72.4-37.3)+(0+(0-0))+0-0-0</f>
        <v>489.1</v>
      </c>
      <c r="L33" s="3">
        <f>454+(53.5-55.4)+(-0.69462+(-0.081855--0.084762))+0-0-0</f>
        <v>451.40828700000003</v>
      </c>
      <c r="M33" s="3">
        <f>452+(50.1-50.8)+(-0.23052+(-0.025551--0.025908))+0-0-0</f>
        <v>451.06983700000001</v>
      </c>
      <c r="N33" s="3">
        <f>451+(57-42.2)+(0+(0-0))+0-0-0</f>
        <v>465.8</v>
      </c>
      <c r="O33" s="3">
        <f>451+(73.2-33.8)+(-0.46002+(-0.074664--0.034476))+0-0-0</f>
        <v>489.89979199999999</v>
      </c>
      <c r="P33" s="3">
        <f>451+(97.2-32)+(-0.46002+(-0.099144--0.03264))+0-0-0</f>
        <v>515.67347600000005</v>
      </c>
      <c r="Q33" s="3">
        <f>451+(122.8-32)+(-0.23001+(-0.062628--0.01632))+0-0-0</f>
        <v>541.52368200000001</v>
      </c>
      <c r="R33" s="3">
        <f>439+(163.4-28)+(-0.22389+(-0.083334--0.01428))+0-0-0</f>
        <v>574.10705599999994</v>
      </c>
      <c r="S33" s="3">
        <f>342+(313.3-29)+(-0.17442+(-0.159783--0.01479))+0-0-0</f>
        <v>625.9805869999999</v>
      </c>
      <c r="T33" s="3">
        <f>337+(335.9-32)+(-0.17187+(-0.171309--0.01632))+0-0-0</f>
        <v>640.57314099999996</v>
      </c>
      <c r="U33" s="3">
        <f>403+(245.2-32)+(-0.20553+(-0.125052--0.01632))+0-0-0</f>
        <v>615.88573800000006</v>
      </c>
      <c r="V33" s="3">
        <f>513+(107.1-32)+(-1.04652+(-0.218484--0.06528))+0-0-0</f>
        <v>586.90027600000008</v>
      </c>
      <c r="W33" s="3">
        <f>501+(85.4-34.1)+(-1.53306+(-0.261324--0.104346))+0-0-0</f>
        <v>550.609962</v>
      </c>
      <c r="X33" s="3">
        <f>517+(57.7-40.1)+(-0.52734+(-0.058854--0.040902))+0-0-0</f>
        <v>534.05470800000001</v>
      </c>
      <c r="Y33" s="3">
        <f>521+(133.3-32)+(-0.26571+(-0.067983--0.01632))+0-0-0</f>
        <v>621.98262699999998</v>
      </c>
      <c r="Z33" s="3">
        <f>525+(195-31)+(-0.5355+(-0.1989--0.03162))+0-0-0</f>
        <v>688.29722000000004</v>
      </c>
      <c r="AA33" s="3">
        <f>525+(204.8-31)+(-0.26775+(-0.104448--0.01581))+0-0-0</f>
        <v>698.44361199999992</v>
      </c>
      <c r="AB33" s="3">
        <f>519+(206.7-31)+(0.26469+(0.105417-0.01581))+0-0-0</f>
        <v>695.05429700000002</v>
      </c>
      <c r="AC33" s="3">
        <f>503+(178.8-31)+(0+(0-0))+0-0-0</f>
        <v>650.79999999999995</v>
      </c>
      <c r="AD33">
        <f t="shared" si="0"/>
        <v>13672.398998000001</v>
      </c>
      <c r="AE33" s="3">
        <f>523+(201.8-32)+(0+(0-0))+0-0-0</f>
        <v>692.8</v>
      </c>
    </row>
    <row r="34" spans="1:31" s="2" customFormat="1" x14ac:dyDescent="0.25">
      <c r="A34">
        <v>89</v>
      </c>
      <c r="B34">
        <v>2</v>
      </c>
      <c r="C34">
        <v>3</v>
      </c>
      <c r="D34">
        <v>7</v>
      </c>
      <c r="E34">
        <v>1</v>
      </c>
      <c r="F34" s="3">
        <f>453+(200.2-31)+(0.23103+(0.102102-0.01581))+0-0-0</f>
        <v>622.51732200000004</v>
      </c>
      <c r="G34" s="3">
        <f>435+(182.7-30)+(-0.22185+(-0.093177--0.0153))+0-0-0</f>
        <v>587.40027300000008</v>
      </c>
      <c r="H34" s="3">
        <f>435+(161.1-31)+(-0.22185+(-0.082161--0.01581))+0-0-0</f>
        <v>564.81179900000006</v>
      </c>
      <c r="I34" s="3">
        <f>435+(132.1-31)+(0+(0-0))+0-0-0</f>
        <v>536.1</v>
      </c>
      <c r="J34" s="3">
        <f>436+(110.2-31)+(-0.88944+(-0.224808--0.06324))+0-0-0</f>
        <v>514.14899200000002</v>
      </c>
      <c r="K34" s="3">
        <f>436+(78.8-32)+(-0.66708+(-0.120564--0.04896))+0-0-0</f>
        <v>482.06131600000003</v>
      </c>
      <c r="L34" s="3">
        <f>438+(47.1-52)+(-1.34028+(-0.144126--0.15912))+0-0-0</f>
        <v>431.77471400000002</v>
      </c>
      <c r="M34" s="3">
        <f>437+(47.5-56)+(-0.66861+(-0.072675--0.08568))+0-0-0</f>
        <v>427.84439500000002</v>
      </c>
      <c r="N34" s="3">
        <f>434+(62.1-36)+(-0.22134+(-0.031671--0.01836))+0-0-0</f>
        <v>459.86534900000004</v>
      </c>
      <c r="O34" s="3">
        <f>431+(86.2-33)+(0.43962+(0.087924-0.03366))+0-0-0</f>
        <v>484.69388399999997</v>
      </c>
      <c r="P34" s="3">
        <f>431+(116.7-32)+(-0.65943+(-0.178551--0.04896))+0-0-0</f>
        <v>514.910979</v>
      </c>
      <c r="Q34" s="3">
        <f>430+(148-32)+(-0.4386+(-0.15096--0.03264))+0-0-0</f>
        <v>545.44308000000001</v>
      </c>
      <c r="R34" s="3">
        <f>425+(188.1-32)+(-0.4335+(-0.191862--0.03264))+0-0-0</f>
        <v>580.50727800000004</v>
      </c>
      <c r="S34" s="3">
        <f>424+(215.2-30)+(0.21624+(0.109752-0.0153))+0-0-0</f>
        <v>609.51069200000006</v>
      </c>
      <c r="T34" s="3">
        <f>424+(212.8-29)+(-1.0812+(-0.54264--0.07395))+0-0-0</f>
        <v>606.25010999999995</v>
      </c>
      <c r="U34" s="3">
        <f>424+(197.4-29)+(-0.86496+(-0.402696--0.05916))+0-0-0</f>
        <v>591.19150400000001</v>
      </c>
      <c r="V34" s="3">
        <f>432+(160.4-30)+(-0.44064+(-0.163608--0.0306))+0-0-0</f>
        <v>561.82635199999993</v>
      </c>
      <c r="W34" s="3">
        <f>445+(125.6-30)+(-1.13475+(-0.32028--0.0765))+0-0-0</f>
        <v>539.22147000000007</v>
      </c>
      <c r="X34" s="3">
        <f>449+(99.3-30)+(-0.22899+(-0.050643--0.0153))+0-0-0</f>
        <v>518.03566699999999</v>
      </c>
      <c r="Y34" s="3">
        <f>467+(183.1-31)+(-0.95268+(-0.373524--0.06324))+0-0-0</f>
        <v>617.83703600000001</v>
      </c>
      <c r="Z34" s="3">
        <f>500+(232.2-31)+(-1.275+(-0.59211--0.07905))+0-0-0</f>
        <v>699.41194000000007</v>
      </c>
      <c r="AA34" s="3">
        <f>522+(231.9-30)+(-0.53244+(-0.236538--0.0306))+0-0-0</f>
        <v>723.16162199999997</v>
      </c>
      <c r="AB34" s="3">
        <f>521+(215.7-30)+(-0.53142+(-0.220014--0.0306))+0-0-0</f>
        <v>705.97916600000008</v>
      </c>
      <c r="AC34" s="3">
        <f>521+(180.1-30)+(-0.53142+(-0.183702--0.0306))+0-0-0</f>
        <v>670.41547800000001</v>
      </c>
      <c r="AD34">
        <f t="shared" si="0"/>
        <v>13594.920418000003</v>
      </c>
      <c r="AE34" s="3">
        <f>521+(228.8-33)+(0+(0-0))+0-0-0</f>
        <v>716.8</v>
      </c>
    </row>
    <row r="35" spans="1:31" s="2" customFormat="1" x14ac:dyDescent="0.25">
      <c r="A35">
        <v>89</v>
      </c>
      <c r="B35">
        <v>2</v>
      </c>
      <c r="C35">
        <v>4</v>
      </c>
      <c r="D35">
        <v>1</v>
      </c>
      <c r="E35">
        <v>1</v>
      </c>
      <c r="F35" s="3">
        <f>490+(175.6-30)+(-0.9996+(-0.358224--0.0612))+0-0-0</f>
        <v>634.30337600000007</v>
      </c>
      <c r="G35" s="3">
        <f>455+(174-31)+(0.23205+(0.08874-0.01581))+0-0-0</f>
        <v>598.30498</v>
      </c>
      <c r="H35" s="3">
        <f>452+(150.7-31)+(0+(0-0))+0-0-0</f>
        <v>571.70000000000005</v>
      </c>
      <c r="I35" s="3">
        <f>453+(133.2-32)+(-0.92412+(-0.271728--0.06528))+0-0-0</f>
        <v>553.06943200000001</v>
      </c>
      <c r="J35" s="3">
        <f>450+(111.3-33)+(0.2295+(0.056763-0.01683))+0-0-0</f>
        <v>528.569433</v>
      </c>
      <c r="K35" s="3">
        <f>451+(83.2-34)+(0+(0-0))+0-0-0</f>
        <v>500.2</v>
      </c>
      <c r="L35" s="3">
        <f>433+(56.8-35.2)+(-1.10415+(-0.14484--0.08976))+0-0-0</f>
        <v>453.44077000000004</v>
      </c>
      <c r="M35" s="3">
        <f>418+(81.2-32)+(-0.21318+(-0.041412--0.01632))+0-0-0</f>
        <v>466.96172799999999</v>
      </c>
      <c r="N35" s="3">
        <f>407+(109.4-31)+(0.41514+(0.111588-0.03162))+0-0-0</f>
        <v>485.89510799999999</v>
      </c>
      <c r="O35" s="3">
        <f>420+(130.9-31)+(-0.6426+(-0.200277--0.04743))+0-0-0</f>
        <v>519.10455300000001</v>
      </c>
      <c r="P35" s="3">
        <f>437+(128-31)+(-0.44574+(-0.13056--0.03162))+0-0-0</f>
        <v>533.45532000000003</v>
      </c>
      <c r="Q35" s="3">
        <f>437+(169-32)+(0.22287+(0.08619-0.01632))+0-0-0</f>
        <v>574.29273999999998</v>
      </c>
      <c r="R35" s="3">
        <f>430+(236.1-32)+(-0.4386+(-0.240822--0.03264))+0-0-0</f>
        <v>633.45321799999999</v>
      </c>
      <c r="S35" s="3">
        <f>445+(268.5-32)+(-0.9078+(-0.54774--0.06528))+0-0-0</f>
        <v>680.10973999999999</v>
      </c>
      <c r="T35" s="3">
        <f>479+(232.5-31)+(-0.48858+(-0.23715--0.03162))+0-0-0</f>
        <v>679.80588999999998</v>
      </c>
      <c r="U35" s="3">
        <f>492+(196.9-30)+(-0.75276+(-0.301257--0.0459))+0-0-0</f>
        <v>657.89188300000001</v>
      </c>
      <c r="V35" s="3">
        <f>518+(145.5-30)+(-0.26418+(-0.074205--0.0153))+0-0-0</f>
        <v>633.17691500000001</v>
      </c>
      <c r="W35" s="3">
        <f>535+(103.7-30)+(-1.0914+(-0.211548--0.0612))+0-0-0</f>
        <v>607.45825200000002</v>
      </c>
      <c r="X35" s="3">
        <f>535+(68.3-34.5)+(-0.81855+(-0.104499--0.052785))+0-0-0</f>
        <v>567.92973599999993</v>
      </c>
      <c r="Y35" s="3">
        <f>538+(152.4-32)+(-1.09752+(-0.310896--0.06528))+0-0-0</f>
        <v>657.05686400000002</v>
      </c>
      <c r="Z35" s="3">
        <f>539+(220.9-32)+(-0.82467+(-0.337977--0.04896))+0-0-0</f>
        <v>726.78631299999995</v>
      </c>
      <c r="AA35" s="3">
        <f>538+(237.8-31)+(-0.82314+(-0.363834--0.04743))+0-0-0</f>
        <v>743.66045599999995</v>
      </c>
      <c r="AB35" s="3">
        <f>525+(237.1-31)+(-1.33875+(-0.604605--0.07905))+0-0-0</f>
        <v>729.23569500000008</v>
      </c>
      <c r="AC35" s="3">
        <f>510+(215.8-30)+(-1.3005+(-0.55029--0.0765))+0-0-0</f>
        <v>694.02571</v>
      </c>
      <c r="AD35">
        <f t="shared" si="0"/>
        <v>14429.888112000001</v>
      </c>
      <c r="AE35" s="3">
        <f>537+(233.5-33)+(0+(0-0))+0-0-0</f>
        <v>737.5</v>
      </c>
    </row>
    <row r="36" spans="1:31" s="2" customFormat="1" x14ac:dyDescent="0.25">
      <c r="A36">
        <v>89</v>
      </c>
      <c r="B36">
        <v>2</v>
      </c>
      <c r="C36">
        <v>5</v>
      </c>
      <c r="D36">
        <v>2</v>
      </c>
      <c r="E36">
        <v>1</v>
      </c>
      <c r="F36" s="3">
        <f>488+(196.2-31)+(-0.49776+(-0.200124--0.03162))+0-0-0</f>
        <v>652.53373600000009</v>
      </c>
      <c r="G36" s="3">
        <f>464+(185.5-31)+(-0.70992+(-0.283815--0.04743))+0-0-0</f>
        <v>617.55369499999995</v>
      </c>
      <c r="H36" s="3">
        <f>441+(180.6-32)+(-0.67473+(-0.276318--0.04896))+0-0-0</f>
        <v>588.69791199999997</v>
      </c>
      <c r="I36" s="3">
        <f>429+(166.5-33)+(-0.65637+(-0.254745--0.05049))+0-0-0</f>
        <v>561.63937499999997</v>
      </c>
      <c r="J36" s="3">
        <f>429+(144.3-33)+(0.65637+(0.220779-0.05049))+0-0-0</f>
        <v>541.1266589999999</v>
      </c>
      <c r="K36" s="3">
        <f>430+(114.8-33)+(-1.0965+(-0.29274--0.08415))+0-0-0</f>
        <v>510.49491</v>
      </c>
      <c r="L36" s="3">
        <f>430+(70-37.9)+(-1.0965+(-0.1785--0.096645))+0-0-0</f>
        <v>460.92164500000001</v>
      </c>
      <c r="M36" s="3">
        <f>430+(73.1-34.5)+(-0.4386+(-0.074562--0.03519))+0-0-0</f>
        <v>468.122028</v>
      </c>
      <c r="N36" s="3">
        <f>429+(97.9-31)+(0.43758+(0.099858-0.03162))+0-0-0</f>
        <v>496.40581799999995</v>
      </c>
      <c r="O36" s="3">
        <f>460+(87.3-31)+(-0.2346+(-0.044523--0.01581))+0-0-0</f>
        <v>516.03668699999992</v>
      </c>
      <c r="P36" s="3">
        <f>484+(103.4-31)+(-0.74052+(-0.158202--0.04743))+0-0-0</f>
        <v>555.54870800000003</v>
      </c>
      <c r="Q36" s="3">
        <f>488+(137.4-32)+(-0.74664+(-0.210222--0.04896))+0-0-0</f>
        <v>592.49209799999994</v>
      </c>
      <c r="R36" s="3">
        <f>478+(201.6-32)+(0+(0-0))+0-0-0</f>
        <v>647.6</v>
      </c>
      <c r="S36" s="3">
        <f>477+(242.5-30)+(-0.97308+(-0.4947--0.0612))+0-0-0</f>
        <v>688.09342000000004</v>
      </c>
      <c r="T36" s="3">
        <f>477+(246.3-30)+(0+(0-0))+0-0-0</f>
        <v>693.3</v>
      </c>
      <c r="U36" s="3">
        <f>477+(220.1-30)+(-0.97308+(-0.449004--0.0612))+0-0-0</f>
        <v>665.73911599999997</v>
      </c>
      <c r="V36" s="3">
        <f>492+(171.2-30)+(-0.50184+(-0.174624--0.0306))+0-0-0</f>
        <v>632.55413600000009</v>
      </c>
      <c r="W36" s="3">
        <f>502+(117.5-31)+(-1.2801+(-0.299625--0.07905))+0-0-0</f>
        <v>586.999325</v>
      </c>
      <c r="X36" s="3">
        <f>502+(89.5-31)+(-1.53612+(-0.27387--0.09486))+0-0-0</f>
        <v>558.78486999999996</v>
      </c>
      <c r="Y36" s="3">
        <f>525+(164.2-31)+(-0.26775+(-0.083742--0.01581))+0-0-0</f>
        <v>657.86431800000003</v>
      </c>
      <c r="Z36" s="3">
        <f>534+(231.5-31)+(-1.63404+(-0.70839--0.09486))+0-0-0</f>
        <v>732.25243</v>
      </c>
      <c r="AA36" s="3">
        <f>534+(254.4-32)+(-2.17872+(-1.037952--0.13056))+0-0-0</f>
        <v>753.31388800000002</v>
      </c>
      <c r="AB36" s="3">
        <f>532+(252.4-32)+(-1.89924+(-0.901068--0.11424))+0-0-0</f>
        <v>749.713932</v>
      </c>
      <c r="AC36" s="3">
        <f>518+(231.7-32)+(-1.05672+(-0.472668--0.06528))+0-0-0</f>
        <v>716.23589200000004</v>
      </c>
      <c r="AD36">
        <f t="shared" si="0"/>
        <v>14644.024598000004</v>
      </c>
      <c r="AE36" s="3">
        <f>533+(248.4-33)+(0+(0-0))+0-0-0</f>
        <v>748.4</v>
      </c>
    </row>
    <row r="37" spans="1:31" s="2" customFormat="1" x14ac:dyDescent="0.25">
      <c r="A37">
        <v>89</v>
      </c>
      <c r="B37">
        <v>2</v>
      </c>
      <c r="C37">
        <v>6</v>
      </c>
      <c r="D37">
        <v>3</v>
      </c>
      <c r="E37">
        <v>1</v>
      </c>
      <c r="F37" s="3">
        <f>502+(201.5-32)+(-1.2801+(-0.513825--0.0816))+0-0-0</f>
        <v>669.78767500000004</v>
      </c>
      <c r="G37" s="3">
        <f>468+(202.7-32)+(-0.95472+(-0.413508--0.06528))+0-0-0</f>
        <v>637.39705200000003</v>
      </c>
      <c r="H37" s="3">
        <f>451+(194.8-32)+(-1.61007+(-0.695436--0.11424))+0-0-0</f>
        <v>611.60873399999991</v>
      </c>
      <c r="I37" s="3">
        <f>447+(178.2-33)+(-0.45594+(-0.181764--0.03366))+0-0-0</f>
        <v>591.595956</v>
      </c>
      <c r="J37" s="3">
        <f>448+(158.9-33)+(-0.91392+(-0.324156--0.06732))+0-0-0</f>
        <v>572.72924399999999</v>
      </c>
      <c r="K37" s="3">
        <f>446+(128.3-33)+(0.22746+(0.065433-0.01683))+0-0-0</f>
        <v>541.57606299999998</v>
      </c>
      <c r="L37" s="3">
        <f>438+(77-32.3)+(-1.34028+(-0.23562--0.098838))+0-0-0</f>
        <v>481.222938</v>
      </c>
      <c r="M37" s="3">
        <f>365+(146.1-30)+(-0.18615+(-0.074511--0.0153))+0-0-0</f>
        <v>480.85463900000002</v>
      </c>
      <c r="N37" s="3">
        <f>365+(173.6-30)+(-0.3723+(-0.177072--0.0306))+0-0-0</f>
        <v>508.08122800000001</v>
      </c>
      <c r="O37" s="3">
        <f>365+(195.8-30)+(-0.7446+(-0.399432--0.0612))+0-0-0</f>
        <v>529.7171679999999</v>
      </c>
      <c r="P37" s="3">
        <f>365+(217-30)+(0+(0-0))+0-0-0</f>
        <v>552</v>
      </c>
      <c r="Q37" s="3">
        <f>422+(182.7-31)+(-0.43044+(-0.186354--0.03162))+0-0-0</f>
        <v>573.11482599999999</v>
      </c>
      <c r="R37" s="3">
        <f>433+(237.4-31)+(-0.44166+(-0.242148--0.03162))+0-0-0</f>
        <v>638.74781199999995</v>
      </c>
      <c r="S37" s="3">
        <f>437+(277.8-32)+(-0.66861+(-0.425034--0.04896))+0-0-0</f>
        <v>681.75531599999999</v>
      </c>
      <c r="T37" s="3">
        <f>447+(273.8-33)+(-0.91188+(-0.558552--0.06732))+0-0-0</f>
        <v>686.39688799999999</v>
      </c>
      <c r="U37" s="3">
        <f>450+(249.9-33)+(-0.6885+(-0.382347--0.05049))+0-0-0</f>
        <v>665.87964299999999</v>
      </c>
      <c r="V37" s="3">
        <f>460+(212-33)+(-0.7038+(-0.32436--0.05049))+0-0-0</f>
        <v>638.02233000000001</v>
      </c>
      <c r="W37" s="3">
        <f>469+(163.4-33)+(-0.47838+(-0.166668--0.03366))+0-0-0</f>
        <v>598.78861199999994</v>
      </c>
      <c r="X37" s="3">
        <f>493+(99.2-32)+(-1.00572+(-0.202368--0.06528))+0-0-0</f>
        <v>559.0571920000001</v>
      </c>
      <c r="Y37" s="3">
        <f>534+(144.5-32)+(-0.54468+(-0.14739--0.03264))+0-0-0</f>
        <v>645.84056999999996</v>
      </c>
      <c r="Z37" s="3">
        <f>535+(216.9-33)+(-0.81855+(-0.331857--0.05049))+0-0-0</f>
        <v>717.80008299999997</v>
      </c>
      <c r="AA37" s="3">
        <f>535+(233.5-32)+(0+(0-0))+0-0-0</f>
        <v>736.5</v>
      </c>
      <c r="AB37" s="3">
        <f>536+(229.9-32)+(-0.82008+(-0.351747--0.04896))+0-0-0</f>
        <v>732.77713299999994</v>
      </c>
      <c r="AC37" s="3">
        <f>506+(216-31)+(-0.51612+(-0.22032--0.03162))+0-0-0</f>
        <v>690.29517999999996</v>
      </c>
      <c r="AD37">
        <f t="shared" si="0"/>
        <v>14741.546281999999</v>
      </c>
      <c r="AE37" s="3">
        <f>535+(228.1-33)+(0+(0-0))+0-0-0</f>
        <v>730.1</v>
      </c>
    </row>
    <row r="38" spans="1:31" s="2" customFormat="1" x14ac:dyDescent="0.25">
      <c r="A38">
        <v>89</v>
      </c>
      <c r="B38">
        <v>2</v>
      </c>
      <c r="C38">
        <v>7</v>
      </c>
      <c r="D38">
        <v>4</v>
      </c>
      <c r="E38">
        <v>1</v>
      </c>
      <c r="F38" s="3">
        <f>472+(205.6-30)+(-0.96288+(-0.419424--0.0612))+0-0-0</f>
        <v>646.27889600000003</v>
      </c>
      <c r="G38" s="3">
        <f>431+(204.7-30)+(-1.53867+(-0.730779--0.1071))+0-0-0</f>
        <v>603.5376510000001</v>
      </c>
      <c r="H38" s="3">
        <f>429+(161.7-30)+(-0.65637+(-0.247401--0.0459))+0-0-0</f>
        <v>559.842129</v>
      </c>
      <c r="I38" s="3">
        <f>429+(154.3-31)+(-0.43758+(-0.157386--0.03162))+0-0-0</f>
        <v>551.73665399999993</v>
      </c>
      <c r="J38" s="3">
        <f>430+(136.3-31)+(-1.3158+(-0.417078--0.09486))+0-0-0</f>
        <v>533.66198199999997</v>
      </c>
      <c r="K38" s="3">
        <f>430+(97.6-32)+(-0.4386+(-0.099552--0.03264))+0-0-0</f>
        <v>495.09448800000001</v>
      </c>
      <c r="L38" s="3">
        <f>430+(64.1-41.5)+(-1.3158+(-0.196146--0.12699))+5.5-0-0</f>
        <v>456.71504400000003</v>
      </c>
      <c r="M38" s="3">
        <f>426+(65.7-43)+(-0.65178+(-0.100521--0.06579))+11-0-0</f>
        <v>459.01348899999999</v>
      </c>
      <c r="N38" s="3">
        <f>425+(87-30.3)+(-0.21675+(-0.04437--0.015453))+11-0-0</f>
        <v>492.45433299999996</v>
      </c>
      <c r="O38" s="3">
        <f>418+(119.5-31)+(-0.63954+(-0.182835--0.04743))+11-0-0</f>
        <v>516.725055</v>
      </c>
      <c r="P38" s="3">
        <f>416+(148-30)+(-0.63648+(-0.22644--0.0459))+11-0-0</f>
        <v>544.18298000000004</v>
      </c>
      <c r="Q38" s="3">
        <f>414+(176.5-30)+(0+(0-0))+11-0-0</f>
        <v>571.5</v>
      </c>
      <c r="R38" s="3">
        <f>442+(201.2-31)+(-0.67626+(-0.307836--0.04743))+11-0-0</f>
        <v>622.2633340000001</v>
      </c>
      <c r="S38" s="3">
        <f>448+(234.8-31)+(0+(0-0))+11-0-0</f>
        <v>662.8</v>
      </c>
      <c r="T38" s="3">
        <f>462+(231.3-31)+(-0.47124+(-0.235926--0.03162))+11-0-0</f>
        <v>672.6244539999999</v>
      </c>
      <c r="U38" s="3">
        <f>462+(218.2-30)+(-0.94248+(-0.445128--0.0612))+3.7-0-0</f>
        <v>652.57359200000008</v>
      </c>
      <c r="V38" s="3">
        <f>484+(176.3-30)+(-0.74052+(-0.269739--0.0459))+0-0-0</f>
        <v>629.33564100000001</v>
      </c>
      <c r="W38" s="3">
        <f>498+(127.3-29)+(-1.01592+(-0.259692--0.05916))+0-0-0</f>
        <v>595.08354799999995</v>
      </c>
      <c r="X38" s="3">
        <f>510+(72.4-29)+(-0.7803+(-0.110772--0.04437))+0-0-0</f>
        <v>552.55329799999993</v>
      </c>
      <c r="Y38" s="3">
        <f>549+(133-30)+(-1.11996+(-0.27132--0.0612))+0-0-0</f>
        <v>650.66992000000005</v>
      </c>
      <c r="Z38" s="3">
        <f>566+(184.4-31)+(-0.57732+(-0.188088--0.03162))+0-0-0</f>
        <v>718.66621199999997</v>
      </c>
      <c r="AA38" s="3">
        <f>563+(207.4-32)+(-1.14852+(-0.423096--0.06528))+0-0-0</f>
        <v>736.89366399999994</v>
      </c>
      <c r="AB38" s="3">
        <f>563+(199.9-32)+(-0.57426+(-0.203898--0.03264))+0-0-0</f>
        <v>730.15448200000003</v>
      </c>
      <c r="AC38" s="3">
        <f>555+(170.7-31)+(-0.5661+(-0.174114--0.03162))+0-0-0</f>
        <v>693.9914060000001</v>
      </c>
      <c r="AD38">
        <f t="shared" si="0"/>
        <v>14348.352252000001</v>
      </c>
      <c r="AE38" s="3">
        <f>568+(199.9-32)+(0+(0-0))+0-0-0</f>
        <v>735.9</v>
      </c>
    </row>
    <row r="39" spans="1:31" s="2" customFormat="1" x14ac:dyDescent="0.25">
      <c r="A39">
        <v>89</v>
      </c>
      <c r="B39">
        <v>2</v>
      </c>
      <c r="C39">
        <v>8</v>
      </c>
      <c r="D39">
        <v>5</v>
      </c>
      <c r="E39">
        <v>1</v>
      </c>
      <c r="F39" s="3">
        <f>522+(146.8-31)+(-0.26622+(-0.074868--0.01581))+0-0-0</f>
        <v>637.47472199999993</v>
      </c>
      <c r="G39" s="3">
        <f>523+(110.1-31)+(-0.26673+(-0.056151--0.01581))+0-0-0</f>
        <v>601.79292900000007</v>
      </c>
      <c r="H39" s="3">
        <f>487+(124.3-31)+(-0.49674+(-0.126786--0.03162))+0-0-0</f>
        <v>579.70809399999996</v>
      </c>
      <c r="I39" s="3">
        <f>467+(131.7-32)+(0+(0-0))+0-0-0</f>
        <v>566.70000000000005</v>
      </c>
      <c r="J39" s="3">
        <f>464+(115.3-32)+(-0.47328+(-0.117606--0.03264))+0-0-0</f>
        <v>546.7417539999999</v>
      </c>
      <c r="K39" s="3">
        <f>461+(85.3-37.8)+(-1.17555+(-0.217515--0.09639))+0-0-0</f>
        <v>507.20332500000001</v>
      </c>
      <c r="L39" s="3">
        <f>405+(59.4-50.4)+(-0.61965+(-0.090882--0.077112))+41.7-0-0</f>
        <v>455.06657999999999</v>
      </c>
      <c r="M39" s="3">
        <f>410+(64.4-41.2)+(0+(0-0))+47.5-0-0</f>
        <v>480.7</v>
      </c>
      <c r="N39" s="3">
        <f>424+(94-32)+(-0.43248+(-0.09588--0.03264))+0-0-0</f>
        <v>485.50427999999999</v>
      </c>
      <c r="O39" s="3">
        <f>442+(105-32)+(-0.22542+(-0.05355--0.01632))+0-0-0</f>
        <v>514.73734999999999</v>
      </c>
      <c r="P39" s="3">
        <f>441+(129.1-31)+(-0.67473+(-0.197523--0.04743))+0-0-0</f>
        <v>538.27517699999999</v>
      </c>
      <c r="Q39" s="3">
        <f>440+(164.2-31)+(-0.6732+(-0.251226--0.04743))+0-0-0</f>
        <v>572.32300400000008</v>
      </c>
      <c r="R39" s="3">
        <f>433+(228.3-31)+(-0.66249+(-0.349299--0.04743))+0-0-0</f>
        <v>629.33564100000001</v>
      </c>
      <c r="S39" s="3">
        <f>433+(261.5-26)+(-0.88332+(-0.53346--0.05304))+0-0-0</f>
        <v>667.13625999999999</v>
      </c>
      <c r="T39" s="3">
        <f>444+(269.1-25)+(-0.22644+(-0.137241--0.01275))+0-0-0</f>
        <v>687.74906900000008</v>
      </c>
      <c r="U39" s="3">
        <f>449+(235.5-27)+(-0.22899+(-0.120105--0.01377))+0-0-0</f>
        <v>657.16467499999999</v>
      </c>
      <c r="V39" s="3">
        <f>454+(204-32)+(-1.1577+(-0.5202--0.0816))+0-0-0</f>
        <v>624.40369999999996</v>
      </c>
      <c r="W39" s="3">
        <f>465+(144.1-29)+(-0.9486+(-0.293964--0.05916))+0-0-0</f>
        <v>578.91659600000003</v>
      </c>
      <c r="X39" s="3">
        <f>465+(111.5-28)+(-0.9486+(-0.22746--0.05712))+0-0-0</f>
        <v>547.38106000000005</v>
      </c>
      <c r="Y39" s="3">
        <f>499+(171.4-28)+(-0.76347+(-0.262242--0.04284))+0-0-0</f>
        <v>641.41712799999993</v>
      </c>
      <c r="Z39" s="3">
        <f>557+(210.8-30)+(-0.85221+(-0.322524--0.0459))+0-0-0</f>
        <v>736.67116599999997</v>
      </c>
      <c r="AA39" s="3">
        <f>572+(220.2-31)+(-0.58344+(-0.224604--0.03162))+0-0-0</f>
        <v>760.42357600000003</v>
      </c>
      <c r="AB39" s="3">
        <f>563+(220.2-31)+(-1.14852+(-0.449208--0.06324))+0-0-0</f>
        <v>750.66551200000004</v>
      </c>
      <c r="AC39" s="3">
        <f>515+(229-31)+(-1.0506+(-0.46716--0.06324))+0-0-0</f>
        <v>711.54548</v>
      </c>
      <c r="AD39">
        <f t="shared" si="0"/>
        <v>14479.037078000001</v>
      </c>
      <c r="AE39" s="3">
        <f>571+(214-31)+(0+(0-0))+0-0-0</f>
        <v>754</v>
      </c>
    </row>
    <row r="40" spans="1:31" s="2" customFormat="1" x14ac:dyDescent="0.25">
      <c r="A40">
        <v>89</v>
      </c>
      <c r="B40">
        <v>2</v>
      </c>
      <c r="C40">
        <v>9</v>
      </c>
      <c r="D40">
        <v>6</v>
      </c>
      <c r="E40">
        <v>1</v>
      </c>
      <c r="F40" s="3">
        <f>469+(228.8-31)+(-0.23919+(-0.116688--0.01581))+0-0-0</f>
        <v>666.45993199999998</v>
      </c>
      <c r="G40" s="3">
        <f>443+(218.4-31)+(-0.67779+(-0.334152--0.04743))+0-0-0</f>
        <v>629.43548799999996</v>
      </c>
      <c r="H40" s="3">
        <f>440+(188.2-31)+(0.6732+(0.287946-0.04743))+0-0-0</f>
        <v>598.11371600000007</v>
      </c>
      <c r="I40" s="3">
        <f>441+(165-31)+(-0.67473+(-0.25245--0.04743))+0-0-0</f>
        <v>574.12025000000006</v>
      </c>
      <c r="J40" s="3">
        <f>441+(138.8-31)+(0.22491+(0.070788-0.01581))+0-0-0</f>
        <v>549.07988799999998</v>
      </c>
      <c r="K40" s="3">
        <f>441+(104-32)+(-0.67473+(-0.15912--0.04896))+0-0-0</f>
        <v>512.21510999999998</v>
      </c>
      <c r="L40" s="3">
        <f>437+(68-44.8)+(-0.89148+(-0.13872--0.091392))+0-0-0</f>
        <v>459.26119199999999</v>
      </c>
      <c r="M40" s="3">
        <f>434+(74.3-33)+(-0.66402+(-0.113679--0.05049))+0-0-0</f>
        <v>474.572791</v>
      </c>
      <c r="N40" s="3">
        <f>433+(98.6-32)+(0+(0-0))+0-0-0</f>
        <v>499.6</v>
      </c>
      <c r="O40" s="3">
        <f>430+(120.5-34)+(-0.2193+(-0.061455--0.01734))+0-0-0</f>
        <v>516.23658499999999</v>
      </c>
      <c r="P40" s="3">
        <f>429+(153-34)+(-0.43758+(-0.15606--0.03468))+0-0-0</f>
        <v>547.44104000000004</v>
      </c>
      <c r="Q40" s="3">
        <f>420+(187.7-33)+(0+(0-0))+0-0-0</f>
        <v>574.70000000000005</v>
      </c>
      <c r="R40" s="3">
        <f>428+(237.5-33)+(-0.65484+(-0.363375--0.05049))+0-0-0</f>
        <v>631.53227500000003</v>
      </c>
      <c r="S40" s="3">
        <f>436+(268.2-31)+(-0.44472+(-0.273564--0.03162))+0-0-0</f>
        <v>672.51333600000009</v>
      </c>
      <c r="T40" s="3">
        <f>449+(273.5-29)+(-0.22899+(-0.139485--0.01479))+0-0-0</f>
        <v>693.14631499999996</v>
      </c>
      <c r="U40" s="3">
        <f>448+(253.9-29)+(-0.68544+(-0.388467--0.04437))+0-0-0</f>
        <v>671.87046299999997</v>
      </c>
      <c r="V40" s="3">
        <f>463+(189.9-28)+(-0.47226+(-0.193698--0.02856))+0-0-0</f>
        <v>624.26260200000002</v>
      </c>
      <c r="W40" s="3">
        <f>476+(148.8-28)+(-1.69932+(-0.531216--0.09996))+0-0-0</f>
        <v>594.66942399999994</v>
      </c>
      <c r="X40" s="3">
        <f>485+(87.6-29)+(0+(0-0))+0-0-0</f>
        <v>543.6</v>
      </c>
      <c r="Y40" s="3">
        <f>525+(148-30)+(-0.5355+(-0.15096--0.0306))+0-0-0</f>
        <v>642.34414000000004</v>
      </c>
      <c r="Z40" s="3">
        <f>556+(194.2-32)+(-1.4178+(-0.49521--0.0816))+0-0-0</f>
        <v>716.36859000000004</v>
      </c>
      <c r="AA40" s="3">
        <f>564+(203.3-31)+(-0.57528+(-0.207366--0.03162))+0-0-0</f>
        <v>735.54897399999993</v>
      </c>
      <c r="AB40" s="3">
        <f>556+(204.6-31)+(-1.13424+(-0.417384--0.06324))+0-0-0</f>
        <v>728.11161600000003</v>
      </c>
      <c r="AC40" s="3">
        <f>547+(182.3-31)+(-0.27897+(-0.092973--0.01581))+0-0-0</f>
        <v>697.94386699999995</v>
      </c>
      <c r="AD40">
        <f t="shared" si="0"/>
        <v>14553.147593999998</v>
      </c>
      <c r="AE40" s="3">
        <f>563+(202.9-32)+(0+(0-0))+0-0-0</f>
        <v>733.9</v>
      </c>
    </row>
    <row r="41" spans="1:31" s="2" customFormat="1" x14ac:dyDescent="0.25">
      <c r="A41">
        <v>89</v>
      </c>
      <c r="B41">
        <v>2</v>
      </c>
      <c r="C41">
        <v>10</v>
      </c>
      <c r="D41">
        <v>7</v>
      </c>
      <c r="E41">
        <v>1</v>
      </c>
      <c r="F41" s="3">
        <f>511+(172.2-31)+(0+(0-0))+0-0-0</f>
        <v>652.20000000000005</v>
      </c>
      <c r="G41" s="3">
        <f>446+(205.8-32)+(0+(0-0))+0-0-0</f>
        <v>619.79999999999995</v>
      </c>
      <c r="H41" s="3">
        <f>440+(185-32)+(0.4488+(0.1887-0.03264))+0-0-0</f>
        <v>593.60486000000003</v>
      </c>
      <c r="I41" s="3">
        <f>440+(160.3-33)+(-0.2244+(-0.081753--0.01683))+0-0-0</f>
        <v>567.01067699999999</v>
      </c>
      <c r="J41" s="3">
        <f>441+(128.7-33)+(0.44982+(0.131274-0.03366))+0-0-0</f>
        <v>537.247434</v>
      </c>
      <c r="K41" s="3">
        <f>442+(93.6-31)+(-1.1271+(-0.23868--0.07905))+0-0-0</f>
        <v>503.31327000000005</v>
      </c>
      <c r="L41" s="3">
        <f>437+(52-38.2)+(-1.11435+(-0.1326--0.09741))+0-0-0</f>
        <v>449.65046000000001</v>
      </c>
      <c r="M41" s="3">
        <f>435+(49.9-37.1)+(-0.4437+(-0.050898--0.037842))+0-0-0</f>
        <v>447.34324400000003</v>
      </c>
      <c r="N41" s="3">
        <f>434+(68.6-31)+(0.22134+(0.034986-0.01581))+0-0-0</f>
        <v>471.84051600000004</v>
      </c>
      <c r="O41" s="3">
        <f>431+(97.8-32)+(-0.21981+(-0.049878--0.01632))+0-0-0</f>
        <v>496.54663199999999</v>
      </c>
      <c r="P41" s="3">
        <f>431+(129-34)+(-0.43962+(-0.13158--0.03468))+0-0-0</f>
        <v>525.46348</v>
      </c>
      <c r="Q41" s="3">
        <f>430+(172.2-34)+(-0.6579+(-0.263466--0.05202))+0-0-0</f>
        <v>567.3306540000001</v>
      </c>
      <c r="R41" s="3">
        <f>425+(220-33)+(0.21675+(0.1122-0.01683))+0-0-0</f>
        <v>612.31212000000005</v>
      </c>
      <c r="S41" s="3">
        <f>425+(236.4-33)+(-0.4335+(-0.241128--0.03366))+0-0-0</f>
        <v>627.75903199999993</v>
      </c>
      <c r="T41" s="3">
        <f>426+(238.7-33)+(0.65178+(0.365211-0.05049))+0-0-0</f>
        <v>632.66650100000004</v>
      </c>
      <c r="U41" s="3">
        <f>427+(230.7-32)+(-0.65331+(-0.352971--0.04896))+0-0-0</f>
        <v>624.74267900000007</v>
      </c>
      <c r="V41" s="3">
        <f>440+(201.2-31)+(-0.6732+(-0.307836--0.04743))+0-0-0</f>
        <v>609.26639399999999</v>
      </c>
      <c r="W41" s="3">
        <f>450+(161.2-31)+(-1.1475+(-0.41106--0.07905))+0-0-0</f>
        <v>578.72049000000004</v>
      </c>
      <c r="X41" s="3">
        <f>450+(125.4-31)+(-1.1475+(-0.31977--0.07905))+0-0-0</f>
        <v>543.01177999999993</v>
      </c>
      <c r="Y41" s="3">
        <f>465+(211.8-31)+(-0.23715+(-0.108018--0.01581))+0-0-0</f>
        <v>645.470642</v>
      </c>
      <c r="Z41" s="3">
        <f>501+(278.6-32)+(-1.02204+(-0.568344--0.06528))+0-0-0</f>
        <v>746.07489599999997</v>
      </c>
      <c r="AA41" s="3">
        <f>501+(302.9-31)+(-0.51102+(-0.308958--0.03162))+0-0-0</f>
        <v>772.11164199999996</v>
      </c>
      <c r="AB41" s="3">
        <f>501+(296.7-31)+(-1.53306+(-0.907902--0.09486))+0-0-0</f>
        <v>764.35389800000007</v>
      </c>
      <c r="AC41" s="3">
        <f>502+(262.2-30)+(-0.51204+(-0.267444--0.0306))+0-0-0</f>
        <v>733.45111600000007</v>
      </c>
      <c r="AD41">
        <f t="shared" si="0"/>
        <v>14321.292417000001</v>
      </c>
      <c r="AE41" s="3">
        <f>501+(301.5-32)+(0+(0-0))+0-0-0</f>
        <v>770.5</v>
      </c>
    </row>
    <row r="42" spans="1:31" s="2" customFormat="1" x14ac:dyDescent="0.25">
      <c r="A42">
        <v>89</v>
      </c>
      <c r="B42">
        <v>2</v>
      </c>
      <c r="C42">
        <v>11</v>
      </c>
      <c r="D42">
        <v>1</v>
      </c>
      <c r="E42">
        <v>1</v>
      </c>
      <c r="F42" s="3">
        <f>472+(233.9-31)+(-0.96288+(-0.477156--0.06324))+0-0-0</f>
        <v>673.52320399999996</v>
      </c>
      <c r="G42" s="3">
        <f>439+(246.4-32)+(-1.11945+(-0.62832--0.0816))+0-0-0</f>
        <v>651.73383000000001</v>
      </c>
      <c r="H42" s="3">
        <f>426+(233.6-33)+(-0.43452+(-0.238272--0.03366))+0-0-0</f>
        <v>625.960868</v>
      </c>
      <c r="I42" s="3">
        <f>426+(215.7-34)+(-0.86904+(-0.440028--0.06936))+0-0-0</f>
        <v>606.46029200000009</v>
      </c>
      <c r="J42" s="3">
        <f>425+(192.8-34)+(0+(0-0))+0-0-0</f>
        <v>583.79999999999995</v>
      </c>
      <c r="K42" s="3">
        <f>425+(152.2-33)+(-0.21675+(-0.077622--0.01683))+0-0-0</f>
        <v>543.92245800000001</v>
      </c>
      <c r="L42" s="3">
        <f>424+(101.5-31)+(-0.86496+(-0.20706--0.06324))+0-0-0</f>
        <v>493.49122</v>
      </c>
      <c r="M42" s="3">
        <f>410+(120.2-31)+(-0.4182+(-0.122604--0.03162))+0-0-0</f>
        <v>498.69081599999998</v>
      </c>
      <c r="N42" s="3">
        <f>421+(135.4-31)+(-0.42942+(-0.138108--0.03162))+0-0-0</f>
        <v>524.86409200000003</v>
      </c>
      <c r="O42" s="3">
        <f>420+(170.8-31)+(-0.6426+(-0.261324--0.04743))+0-0-0</f>
        <v>558.94350599999996</v>
      </c>
      <c r="P42" s="3">
        <f>418+(203.4-33)+(-0.42636+(-0.207468--0.03366))+0-0-0</f>
        <v>587.79983199999992</v>
      </c>
      <c r="Q42" s="3">
        <f>446+(220-33)+(-0.22746+(-0.1122--0.01683))+0-0-0</f>
        <v>632.67717000000005</v>
      </c>
      <c r="R42" s="3">
        <f>457+(260.2-33)+(-1.16535+(-0.66351--0.08415))+0-0-0</f>
        <v>682.45528999999999</v>
      </c>
      <c r="S42" s="3">
        <f>481+(276-33)+(-0.49062+(-0.28152--0.03366))+0-0-0</f>
        <v>723.26152000000002</v>
      </c>
      <c r="T42" s="3">
        <f>488+(254.7-32)+(-0.24888+(-0.129897--0.01632))+0-0-0</f>
        <v>710.3375430000001</v>
      </c>
      <c r="U42" s="3">
        <f>488+(220.1-32)+(-1.2444+(-0.561255--0.0816))+0-0-0</f>
        <v>674.375945</v>
      </c>
      <c r="V42" s="3">
        <f>491+(175.3-32)+(-1.25205+(-0.447015--0.0816))+0-0-0</f>
        <v>632.68253499999992</v>
      </c>
      <c r="W42" s="3">
        <f>520+(132-31)+(-0.7956+(-0.20196--0.04743))+0-0-0</f>
        <v>620.04987000000006</v>
      </c>
      <c r="X42" s="3">
        <f>445+(161.1-32)+(-0.68085+(-0.246483--0.04896))+0-0-0</f>
        <v>573.22162700000001</v>
      </c>
      <c r="Y42" s="3">
        <f>520+(187-33)+(-0.2652+(-0.09537--0.01683))+0-0-0</f>
        <v>673.65625999999997</v>
      </c>
      <c r="Z42" s="3">
        <f>542+(258.9-33)+(-1.10568+(-0.528156--0.06732))+0-0-0</f>
        <v>766.333484</v>
      </c>
      <c r="AA42" s="3">
        <f>553+(264.4-32)+(-0.56406+(-0.269688--0.03264))+0-0-0</f>
        <v>784.59889199999998</v>
      </c>
      <c r="AB42" s="3">
        <f>549+(271.6-31)+(-0.55998+(-0.277032--0.03162))+0-0-0</f>
        <v>788.79460800000004</v>
      </c>
      <c r="AC42" s="3">
        <f>537+(249.3-31)+(-0.82161+(-0.381429--0.04743))+0-0-0</f>
        <v>754.14439099999993</v>
      </c>
      <c r="AD42">
        <f t="shared" si="0"/>
        <v>15365.779253000001</v>
      </c>
      <c r="AE42" s="3">
        <f>536+(263.9-33)+(0+(0-0))+0-0-0</f>
        <v>766.9</v>
      </c>
    </row>
    <row r="43" spans="1:31" s="2" customFormat="1" x14ac:dyDescent="0.25">
      <c r="A43">
        <v>89</v>
      </c>
      <c r="B43">
        <v>2</v>
      </c>
      <c r="C43">
        <v>12</v>
      </c>
      <c r="D43">
        <v>2</v>
      </c>
      <c r="E43">
        <v>1</v>
      </c>
      <c r="F43" s="3">
        <f>490+(252-31)+(0+(0-0))+0-0-0</f>
        <v>711</v>
      </c>
      <c r="G43" s="3">
        <f>439+(259.2-32)+(-0.22389+(-0.132192--0.01632))+0-0-0</f>
        <v>665.86023800000009</v>
      </c>
      <c r="H43" s="3">
        <f>439+(231.5-32)+(0+(0-0))+0-0-0</f>
        <v>638.5</v>
      </c>
      <c r="I43" s="3">
        <f>440+(208.6-33)+(-0.4488+(-0.212772--0.03366))+0-0-0</f>
        <v>614.97208799999999</v>
      </c>
      <c r="J43" s="3">
        <f>441+(186.7-33)+(-0.22491+(-0.095217--0.01683))+0-0-0</f>
        <v>594.396703</v>
      </c>
      <c r="K43" s="3">
        <f>441+(134.3-18)+(-1.12455+(-0.342465--0.0459))+0-0-0</f>
        <v>555.87888499999997</v>
      </c>
      <c r="L43" s="3">
        <f>437+(92.7-34)+(-0.44574+(-0.094554--0.03468))+0-0-0</f>
        <v>495.19438600000001</v>
      </c>
      <c r="M43" s="3">
        <f>434+(97.8-33)+(0+(0-0))+0-0-0</f>
        <v>498.8</v>
      </c>
      <c r="N43" s="3">
        <f>433+(130.9-31)+(-0.22083+(-0.066759--0.01581))+0-0-0</f>
        <v>532.62822099999994</v>
      </c>
      <c r="O43" s="3">
        <f>432+(117.7-30)+(0+(0-0))+42-0-0</f>
        <v>561.70000000000005</v>
      </c>
      <c r="P43" s="3">
        <f>430+(46.1-30)+(0.4386+(0.047022-0.0306))+105-0-0</f>
        <v>551.55502200000001</v>
      </c>
      <c r="Q43" s="3">
        <f>474+(156.4-32)+(-0.24174+(-0.079764--0.01632))+0-0-0</f>
        <v>598.09481599999992</v>
      </c>
      <c r="R43" s="3">
        <f>484+(220.6-32)+(-0.74052+(-0.337518--0.04896))+0-0-0</f>
        <v>671.570922</v>
      </c>
      <c r="S43" s="3">
        <f>496+(247.7-32)+(-1.01184+(-0.505308--0.06528))+0-0-0</f>
        <v>710.24813200000006</v>
      </c>
      <c r="T43" s="3">
        <f>508+(233.6-32)+(0.25908+(0.119136-0.01632))+0-0-0</f>
        <v>709.96189600000002</v>
      </c>
      <c r="U43" s="3">
        <f>523+(202-32)+(-0.80019+(-0.30906--0.04896))+0-0-0</f>
        <v>691.93970999999999</v>
      </c>
      <c r="V43" s="3">
        <f>515+(159.1-31)+(-1.5759+(-0.486846--0.09486))+0-0-0</f>
        <v>641.132114</v>
      </c>
      <c r="W43" s="3">
        <f>547+(128.4-31)+(-0.27897+(-0.065484--0.01581))+0-0-0</f>
        <v>644.07135599999992</v>
      </c>
      <c r="X43" s="3">
        <f>547+(91.9-30)+(-0.83691+(-0.140607--0.0459))+0-0-0</f>
        <v>607.96838300000002</v>
      </c>
      <c r="Y43" s="3">
        <f>558+(182.3-30)+(-0.56916+(-0.185946--0.0306))+0-0-0</f>
        <v>709.57549399999994</v>
      </c>
      <c r="Z43" s="3">
        <f>568+(259-29)+(-2.02776+(-0.92463--0.10353))+0-0-0</f>
        <v>795.15114000000005</v>
      </c>
      <c r="AA43" s="3">
        <f>566+(284.2-29)+(-1.15464+(-0.579768--0.05916))+0-0-0</f>
        <v>819.52475200000003</v>
      </c>
      <c r="AB43" s="3">
        <f>556+(294.8-30)+(-1.4178+(-0.75174--0.0765))+0-0-0</f>
        <v>818.70695999999998</v>
      </c>
      <c r="AC43" s="3">
        <f>545+(272.9-32)+(-1.38975+(-0.695895--0.0816))+0-0-0</f>
        <v>783.89595499999996</v>
      </c>
      <c r="AD43">
        <f t="shared" si="0"/>
        <v>15622.327173000001</v>
      </c>
      <c r="AE43" s="3">
        <f>567+(276.9-31)+(0+(0-0))+0-0-0</f>
        <v>812.9</v>
      </c>
    </row>
    <row r="44" spans="1:31" s="2" customFormat="1" x14ac:dyDescent="0.25">
      <c r="A44">
        <v>89</v>
      </c>
      <c r="B44">
        <v>2</v>
      </c>
      <c r="C44">
        <v>13</v>
      </c>
      <c r="D44">
        <v>3</v>
      </c>
      <c r="E44">
        <v>1</v>
      </c>
      <c r="F44" s="3">
        <f>502+(250.5-32)+(-1.53612+(-0.76653--0.09792))+0-0-0</f>
        <v>718.29526999999996</v>
      </c>
      <c r="G44" s="3">
        <f>503+(218.2-33)+(-1.79571+(-0.778974--0.11781))+0-0-0</f>
        <v>685.74312600000007</v>
      </c>
      <c r="H44" s="3">
        <f>515+(170-26)+(-0.26265+(-0.0867--0.01326))+0-0-0</f>
        <v>658.66390999999999</v>
      </c>
      <c r="I44" s="3">
        <f>558+(108.4-30)+(-0.28458+(-0.055284--0.0153))+0-0-0</f>
        <v>636.07543599999997</v>
      </c>
      <c r="J44" s="3">
        <f>559+(87.3-31)+(-0.57018+(-0.089046--0.03162))+0-0-0</f>
        <v>614.67239399999994</v>
      </c>
      <c r="K44" s="3">
        <f>559+(50.6-34.7)+(-1.42545+(-0.12903--0.088485))+0-0-0</f>
        <v>573.43400499999996</v>
      </c>
      <c r="L44" s="3">
        <f>556+(16.3-51.2)+(-1.70136+(-0.049878--0.156672))+0-0-0</f>
        <v>519.50543400000004</v>
      </c>
      <c r="M44" s="3">
        <f>554+(14.9-44.4)+(0.28254+(0.007599-0.022644))+0-0-0</f>
        <v>524.76749500000005</v>
      </c>
      <c r="N44" s="3">
        <f>554+(30.8-34.2)+(0+(0-0))+0-0-0</f>
        <v>550.6</v>
      </c>
      <c r="O44" s="3">
        <f>552+(71.8-32)+(-0.84456+(-0.109854--0.04896))+0-0-0</f>
        <v>590.89454599999999</v>
      </c>
      <c r="P44" s="3">
        <f>543+(112.1-32)+(0+(0-0))+0-0-0</f>
        <v>623.1</v>
      </c>
      <c r="Q44" s="3">
        <f>599+(94.2-32)+(-1.22196+(-0.192168--0.06528))+0-0-0</f>
        <v>659.85115200000007</v>
      </c>
      <c r="R44" s="3">
        <f>603+(161.2-32)+(-0.30753+(-0.082212--0.01632))+0-0-0</f>
        <v>731.82657800000004</v>
      </c>
      <c r="S44" s="3">
        <f>603+(188.5-30)+(-1.23012+(-0.38454--0.0612))+0-0-0</f>
        <v>759.94654000000003</v>
      </c>
      <c r="T44" s="3">
        <f>606+(183.2-31)+(-1.23624+(-0.373728--0.06324))+0-0-0</f>
        <v>756.65327200000002</v>
      </c>
      <c r="U44" s="3">
        <f>606+(143.1-32)+(-0.92718+(-0.218943--0.04896))+0-0-0</f>
        <v>716.002837</v>
      </c>
      <c r="V44" s="3">
        <f>618+(93.6-30)+(-0.94554+(-0.143208--0.0459))+0-0-0</f>
        <v>680.55715199999997</v>
      </c>
      <c r="W44" s="3">
        <f>629+(56.4-40.9)+(0+(0-0))+0-0-0</f>
        <v>644.5</v>
      </c>
      <c r="X44" s="3">
        <f>576+(61.3-32.7)+(-1.17504+(-0.125052--0.066708))+0-0-0</f>
        <v>603.36661600000002</v>
      </c>
      <c r="Y44" s="3">
        <f>618+(112.6-32)+(0.31518+(0.057426-0.01632))+0-0-0</f>
        <v>698.95628599999998</v>
      </c>
      <c r="Z44" s="3">
        <f>697+(122.6-25)+(-1.77735+(-0.31263--0.06375))+0-0-0</f>
        <v>792.57376999999997</v>
      </c>
      <c r="AA44" s="3">
        <f>696+(82.1-26)+(-1.7748+(-0.209355--0.0663))+44.7-0-0</f>
        <v>794.88214500000004</v>
      </c>
      <c r="AB44" s="3">
        <f>713+(56.9-56.2)+(-0.36363+(-0.029019--0.028662))+122-0-0</f>
        <v>835.33601300000009</v>
      </c>
      <c r="AC44" s="3">
        <f>707+(61.4-59.1)+(-0.36057+(-0.031314--0.030141))+122-0-0</f>
        <v>830.93825699999991</v>
      </c>
      <c r="AD44">
        <f t="shared" si="0"/>
        <v>16201.142234000001</v>
      </c>
      <c r="AE44" s="3">
        <f>694+(143.4-33)+(0+(0-0))+0-0-0</f>
        <v>804.4</v>
      </c>
    </row>
    <row r="45" spans="1:31" s="2" customFormat="1" x14ac:dyDescent="0.25">
      <c r="A45">
        <v>89</v>
      </c>
      <c r="B45">
        <v>2</v>
      </c>
      <c r="C45">
        <v>14</v>
      </c>
      <c r="D45">
        <v>4</v>
      </c>
      <c r="E45">
        <v>1</v>
      </c>
      <c r="F45" s="3">
        <f>684+(45.6-72.4)+(-1.39536+(-0.093024--0.147696))+122-0-0</f>
        <v>777.85931200000005</v>
      </c>
      <c r="G45" s="3">
        <f>572+(93.3-30)+(-1.16688+(-0.190332--0.0612))+122-0-0</f>
        <v>756.00398799999994</v>
      </c>
      <c r="H45" s="3">
        <f>531+(94.2-30)+(-0.81243+(-0.144126--0.0459))+122-0-0</f>
        <v>716.28934400000003</v>
      </c>
      <c r="I45" s="3">
        <f>531+(110.9-30)+(0.27081+(0.056559-0.0153))+81.3-0-0</f>
        <v>693.51206899999988</v>
      </c>
      <c r="J45" s="3">
        <f>531+(111.2-30)+(1.08324+(0.226848-0.0612))+0-0-0</f>
        <v>613.44888800000001</v>
      </c>
      <c r="K45" s="3">
        <f>530+(78.3-31)+(-0.2703+(-0.039933--0.01581))+0-0-0</f>
        <v>577.0055769999999</v>
      </c>
      <c r="L45" s="3">
        <f>522+(30.6-40.5)+(-1.3311+(-0.07803--0.103275))+0-0-0</f>
        <v>510.79414500000001</v>
      </c>
      <c r="M45" s="3">
        <f>517+(29.5-37.7)+(0+(0-0))+0-0-0</f>
        <v>508.8</v>
      </c>
      <c r="N45" s="3">
        <f>516+(46.1-33)+(-0.52632+(-0.047022--0.03366))+0-0-0</f>
        <v>528.56031800000005</v>
      </c>
      <c r="O45" s="3">
        <f>513+(78.4-33)+(0.52326+(0.079968-0.03366))+0-0-0</f>
        <v>558.96956799999998</v>
      </c>
      <c r="P45" s="3">
        <f>512+(107.4-28)+(-0.78336+(-0.164322--0.04284))+0-0-0</f>
        <v>590.49515799999995</v>
      </c>
      <c r="Q45" s="3">
        <f>511+(169-33)+(-0.52122+(-0.17238--0.03366))+0-0-0</f>
        <v>646.34005999999999</v>
      </c>
      <c r="R45" s="3">
        <f>506+(227.1-31)+(-1.03224+(-0.463284--0.06324))+0-0-0</f>
        <v>700.66771600000004</v>
      </c>
      <c r="S45" s="3">
        <f>543+(229.1-30)+(0+(0-0))+0-0-0</f>
        <v>742.1</v>
      </c>
      <c r="T45" s="3">
        <f>559+(206.9-29)+(0.57018+(0.211038-0.02958))+0-0-0</f>
        <v>737.65163799999993</v>
      </c>
      <c r="U45" s="3">
        <f>560+(149.9-28)+(-0.2856+(-0.076449--0.01428))+0-0-0</f>
        <v>681.55223100000001</v>
      </c>
      <c r="V45" s="3">
        <f>591+(86.2-28)+(-0.60282+(-0.087924--0.02856))+0-0-0</f>
        <v>648.53781600000002</v>
      </c>
      <c r="W45" s="3">
        <f>604+(21-41.1)+(-1.23216+(-0.04284--0.083844))+0-0-0</f>
        <v>582.708844</v>
      </c>
      <c r="X45" s="3">
        <f>602+(5.9-50.4)+(-1.5351+(-0.015045--0.12852))+0-0-0</f>
        <v>556.07837500000005</v>
      </c>
      <c r="Y45" s="3">
        <f>637+(56.6-29)+(-0.64974+(-0.057732--0.02958))+0-0-0</f>
        <v>663.92210799999998</v>
      </c>
      <c r="Z45" s="3">
        <f>700+(91.8-31)+(-1.428+(-0.187272--0.06324))+0-0-0</f>
        <v>759.2479679999999</v>
      </c>
      <c r="AA45" s="3">
        <f>655+(136.8-31)+(-0.6681+(-0.139536--0.03162))+0-0-0</f>
        <v>760.02398399999993</v>
      </c>
      <c r="AB45" s="3">
        <f>622+(163.3-29)+(-0.95166+(-0.249849--0.04437))+0-0-0</f>
        <v>755.14286099999993</v>
      </c>
      <c r="AC45" s="3">
        <f>622+(122.3-29)+(-0.63444+(-0.124746--0.02958))+0-0-0</f>
        <v>714.57039399999996</v>
      </c>
      <c r="AD45">
        <f t="shared" si="0"/>
        <v>15780.282361999998</v>
      </c>
      <c r="AE45" s="3">
        <f>695+(99-32)+(0+(0-0))+0-0-0</f>
        <v>762</v>
      </c>
    </row>
    <row r="46" spans="1:31" s="2" customFormat="1" x14ac:dyDescent="0.25">
      <c r="A46">
        <v>89</v>
      </c>
      <c r="B46">
        <v>2</v>
      </c>
      <c r="C46">
        <v>15</v>
      </c>
      <c r="D46">
        <v>5</v>
      </c>
      <c r="E46">
        <v>1</v>
      </c>
      <c r="F46" s="3">
        <f>553+(125-29)+(-0.28203+(-0.06375--0.01479))+0-0-0</f>
        <v>648.66900999999996</v>
      </c>
      <c r="G46" s="3">
        <f>413+(254.9-29)+(-0.63189+(-0.389997--0.04437))+0-0-0</f>
        <v>637.92248299999994</v>
      </c>
      <c r="H46" s="3">
        <f>388+(259.9-28)+(-0.39576+(-0.265098--0.02856))+0-0-0</f>
        <v>619.26770199999999</v>
      </c>
      <c r="I46" s="3">
        <f>375+(249.5-28)+(-0.765+(-0.50898--0.05712))+0-0-0</f>
        <v>595.28314</v>
      </c>
      <c r="J46" s="3">
        <f>404+(188.7-30)+(0.20604+(0.096237-0.0153))+0-0-0</f>
        <v>562.98697700000002</v>
      </c>
      <c r="K46" s="3">
        <f>424+(127.4-31)+(0.21624+(0.064974-0.01581))+0-0-0</f>
        <v>520.66540399999997</v>
      </c>
      <c r="L46" s="3">
        <f>379+(135.3-32)+(-0.77316+(-0.276012--0.06528))+0-0-0</f>
        <v>481.31610799999999</v>
      </c>
      <c r="M46" s="3">
        <f>411+(95.7-30)+(0+(0-0))+0-0-0</f>
        <v>476.7</v>
      </c>
      <c r="N46" s="3">
        <f>498+(61-32.6)+(-0.25398+(-0.03111--0.016626))+0-0-0</f>
        <v>526.13153599999998</v>
      </c>
      <c r="O46" s="3">
        <f>493+(76.7-30)+(0+(0-0))+0-0-0</f>
        <v>539.70000000000005</v>
      </c>
      <c r="P46" s="3">
        <f>490+(112-32)+(-0.4998+(-0.11424--0.03264))+0-0-0</f>
        <v>569.41859999999997</v>
      </c>
      <c r="Q46" s="3">
        <f>489+(152.4-31)+(-0.49878+(-0.155448--0.03162))+0-0-0</f>
        <v>609.77739199999996</v>
      </c>
      <c r="R46" s="3">
        <f>497+(200.5-32)+(-0.50694+(-0.20451--0.03264))+0-0-0</f>
        <v>664.82119</v>
      </c>
      <c r="S46" s="3">
        <f>517+(208.3-32)+(0.26367+(0.106233-0.01632))+0-0-0</f>
        <v>693.65358299999991</v>
      </c>
      <c r="T46" s="3">
        <f>520+(212.6-32)+(0.7956+(0.325278-0.04896))+0-0-0</f>
        <v>701.67191800000001</v>
      </c>
      <c r="U46" s="3">
        <f>524+(180.6-32)+(-0.53448+(-0.184212--0.03264))+0-0-0</f>
        <v>671.913948</v>
      </c>
      <c r="V46" s="3">
        <f>542+(137.9-31)+(-0.82926+(-0.210987--0.04743))+0-0-0</f>
        <v>647.90718300000003</v>
      </c>
      <c r="W46" s="3">
        <f>549+(89.4-31)+(-0.83997+(-0.136782--0.04743))+0-0-0</f>
        <v>606.47067800000002</v>
      </c>
      <c r="X46" s="3">
        <f>552+(56.9-21.3)+(-1.4076+(-0.145095--0.054315))+0-0-0</f>
        <v>586.10162000000003</v>
      </c>
      <c r="Y46" s="3">
        <f>566+(130-25)+(-0.57732+(-0.1326--0.0255))+0-0-0</f>
        <v>670.31557999999995</v>
      </c>
      <c r="Z46" s="3">
        <f>597+(177.5-31)+(-0.30447+(-0.090525--0.01581))+0-0-0</f>
        <v>743.12081499999999</v>
      </c>
      <c r="AA46" s="3">
        <f>602+(191.2-30)+(-1.5351+(-0.48756--0.0765))+0-0-0</f>
        <v>761.25384000000008</v>
      </c>
      <c r="AB46" s="3">
        <f>602+(191.2-30)+(-0.61404+(-0.195024--0.0306))+0-0-0</f>
        <v>762.42153600000006</v>
      </c>
      <c r="AC46" s="3">
        <f>593+(171.6-30)+(-0.90729+(-0.262548--0.0459))+0-0-0</f>
        <v>733.47606200000007</v>
      </c>
      <c r="AD46">
        <f t="shared" si="0"/>
        <v>15030.966304999998</v>
      </c>
      <c r="AE46" s="3">
        <f>602+(180.7-32)+(0+(0-0))+0-0-0</f>
        <v>750.7</v>
      </c>
    </row>
    <row r="47" spans="1:31" s="2" customFormat="1" x14ac:dyDescent="0.25">
      <c r="A47">
        <v>89</v>
      </c>
      <c r="B47">
        <v>2</v>
      </c>
      <c r="C47">
        <v>16</v>
      </c>
      <c r="D47">
        <v>6</v>
      </c>
      <c r="E47">
        <v>1</v>
      </c>
      <c r="F47" s="3">
        <f>544+(169.2-29)+(0+(0-0))+0-0-0</f>
        <v>684.2</v>
      </c>
      <c r="G47" s="3">
        <f>509+(167.4-28)+(0+(0-0))+0-0-0</f>
        <v>648.4</v>
      </c>
      <c r="H47" s="3">
        <f>505+(146.2-28)+(0+(0-0))+0-0-0</f>
        <v>623.20000000000005</v>
      </c>
      <c r="I47" s="3">
        <f>495+(138.4-29)+(0+(0-0))+0-0-0</f>
        <v>604.4</v>
      </c>
      <c r="J47" s="3">
        <f>495+(113.8-30)+(0+(0-0))+0-0-0</f>
        <v>578.79999999999995</v>
      </c>
      <c r="K47" s="3">
        <f>497+(69-34)+(0+(0-0))+0-0-0</f>
        <v>532</v>
      </c>
      <c r="L47" s="3">
        <f>443+(59.7-34.4)+(0+(0-0))+0-0-0</f>
        <v>468.3</v>
      </c>
      <c r="M47" s="3">
        <f>416+(91-32)+(0+(0-0))+0-0-0</f>
        <v>475</v>
      </c>
      <c r="N47" s="3">
        <f>414+(122.5-30)+(0+(0-0))+0-0-0</f>
        <v>506.5</v>
      </c>
      <c r="O47" s="3">
        <f>414+(138.9-29)+(0+(0-0))+0-0-0</f>
        <v>523.9</v>
      </c>
      <c r="P47" s="3">
        <f>413+(160.7-29)+(0+(0-0))+0-0-0</f>
        <v>544.70000000000005</v>
      </c>
      <c r="Q47" s="3">
        <f>412+(196.9-30)+(0+(0-0))+0-0-0</f>
        <v>578.9</v>
      </c>
      <c r="R47" s="3">
        <f>410+(258.4-30)+(0.2091+(0.131784-0.0153))+0-0-0</f>
        <v>638.72558400000003</v>
      </c>
      <c r="S47" s="3">
        <f>455+(260.6-31)+(0+(0-0))+0-0-0</f>
        <v>684.6</v>
      </c>
      <c r="T47" s="3">
        <f>482+(246.4-31)+(-0.49164+(-0.251328--0.03162))+0-0-0</f>
        <v>696.68865199999993</v>
      </c>
      <c r="U47" s="3">
        <f>480+(216.6-31)+(-0.7344+(-0.331398--0.04743))+0-0-0</f>
        <v>664.58163200000001</v>
      </c>
      <c r="V47" s="3">
        <f>488+(180.6-30)+(-1.2444+(-0.46053--0.0765))+0-0-0</f>
        <v>636.97157000000004</v>
      </c>
      <c r="W47" s="3">
        <f>498+(130-30)+(-0.76194+(-0.1989--0.0459))+0-0-0</f>
        <v>597.08506</v>
      </c>
      <c r="X47" s="3">
        <f>499+(82.5-29)+(-0.50898+(-0.08415--0.02958))+0-0-0</f>
        <v>551.93645000000004</v>
      </c>
      <c r="Y47" s="3">
        <f>556+(103.3-30)+(-0.56712+(-0.105366--0.0306))+0-0-0</f>
        <v>628.65811399999996</v>
      </c>
      <c r="Z47" s="3">
        <f>576+(158.6-31)+(-0.88128+(-0.242658--0.04743))+0-0-0</f>
        <v>702.52349200000003</v>
      </c>
      <c r="AA47" s="3">
        <f>577+(173.8-30)+(-1.17708+(-0.354552--0.0612))+0-0-0</f>
        <v>719.32956799999999</v>
      </c>
      <c r="AB47" s="3">
        <f>568+(184.2-29)+(0.28968+(0.093942-0.01479))+0-0-0</f>
        <v>723.56883200000004</v>
      </c>
      <c r="AC47" s="3">
        <f>567+(161.2-29)+(-0.57834+(-0.164424--0.02958))+0-0-0</f>
        <v>698.48681600000009</v>
      </c>
      <c r="AD47">
        <f t="shared" si="0"/>
        <v>14711.455769999999</v>
      </c>
      <c r="AE47" s="3">
        <f>549+(168.4-32)+(0+(0-0))+0-0-0</f>
        <v>685.4</v>
      </c>
    </row>
    <row r="48" spans="1:31" s="2" customFormat="1" x14ac:dyDescent="0.25">
      <c r="A48">
        <v>89</v>
      </c>
      <c r="B48">
        <v>2</v>
      </c>
      <c r="C48">
        <v>17</v>
      </c>
      <c r="D48">
        <v>7</v>
      </c>
      <c r="E48">
        <v>1</v>
      </c>
      <c r="F48" s="3">
        <f>545+(140.2-29)+(-0.5559+(-0.143004--0.02958))+0-0-0</f>
        <v>655.53067600000008</v>
      </c>
      <c r="G48" s="3">
        <f>525+(120.8-28)+(-0.80325+(-0.184824--0.04284))+0-0-0</f>
        <v>616.85476599999993</v>
      </c>
      <c r="H48" s="3">
        <f>525+(93.2-28)+(-1.071+(-0.190128--0.05712))+0-0-0</f>
        <v>588.995992</v>
      </c>
      <c r="I48" s="3">
        <f>525+(67.9-28)+(-0.26775+(-0.034629--0.01428))+0-0-0</f>
        <v>564.61190099999999</v>
      </c>
      <c r="J48" s="3">
        <f>525+(52.2-30.2)+(-0.80325+(-0.079866--0.046206))+0-0-0</f>
        <v>546.16309000000001</v>
      </c>
      <c r="K48" s="3">
        <f>521+(33.3-46.2)+(0+(0-0))+0-0-0</f>
        <v>508.1</v>
      </c>
      <c r="L48" s="3">
        <f>380+(92.4-29)+(-0.7752+(-0.188496--0.05916))+0-0-0</f>
        <v>442.49546399999997</v>
      </c>
      <c r="M48" s="3">
        <f>365+(105.2-29)+(-0.3723+(-0.107304--0.02958))+0-0-0</f>
        <v>440.749976</v>
      </c>
      <c r="N48" s="3">
        <f>367+(117-30)+(-0.56151+(-0.17901--0.0459))+0-0-0</f>
        <v>453.30538000000001</v>
      </c>
      <c r="O48" s="3">
        <f>367+(134.6-28)+(0+(0-0))+0-0-0</f>
        <v>473.6</v>
      </c>
      <c r="P48" s="3">
        <f>366+(161.7-28)+(-0.18666+(-0.082467--0.01428))+0-0-0</f>
        <v>499.445153</v>
      </c>
      <c r="Q48" s="3">
        <f>366+(198.9-28)+(0+(0-0))+0-0-0</f>
        <v>536.9</v>
      </c>
      <c r="R48" s="3">
        <f>372+(249-31)+(0+(0-0))+0-0-0</f>
        <v>590</v>
      </c>
      <c r="S48" s="3">
        <f>372+(286.1-31)+(0+(0-0))+0-0-0</f>
        <v>627.1</v>
      </c>
      <c r="T48" s="3">
        <f>372+(295.5-31)+(0+(0-0))+0-0-0</f>
        <v>636.5</v>
      </c>
      <c r="U48" s="3">
        <f>372+(276-31)+(0+(0-0))+0-0-0</f>
        <v>617</v>
      </c>
      <c r="V48" s="3">
        <f>381+(245.9-30)+(-0.97155+(-0.627045--0.0765))+0-0-0</f>
        <v>595.37790499999994</v>
      </c>
      <c r="W48" s="3">
        <f>383+(206.6-30)+(-0.58599+(-0.316098--0.0459))+0-0-0</f>
        <v>558.74381200000005</v>
      </c>
      <c r="X48" s="3">
        <f>385+(155-31)+(-0.3927+(-0.1581--0.03162))+0-0-0</f>
        <v>508.48081999999999</v>
      </c>
      <c r="Y48" s="3">
        <f>403+(213.3-33)+(-0.41106+(-0.217566--0.03366))+0-0-0</f>
        <v>582.70503399999996</v>
      </c>
      <c r="Z48" s="3">
        <f>523+(187.1-31)+(-1.33365+(-0.477105--0.07905))+0-0-0</f>
        <v>677.36829499999999</v>
      </c>
      <c r="AA48" s="3">
        <f>537+(194-30)+(-0.54774+(-0.19788--0.0306))+0-0-0</f>
        <v>700.28498000000002</v>
      </c>
      <c r="AB48" s="3">
        <f>538+(195.9-29)+(-0.82314+(-0.299727--0.04437))+0-0-0</f>
        <v>703.82150300000001</v>
      </c>
      <c r="AC48" s="3">
        <f>539+(160.7-29)+(-0.27489+(-0.081957--0.01479))+0-0-0</f>
        <v>670.35794300000009</v>
      </c>
      <c r="AD48">
        <f t="shared" si="0"/>
        <v>13794.492690000001</v>
      </c>
      <c r="AE48" s="3">
        <f>537+(200.8-33)+(0+(0-0))+0-0-0</f>
        <v>704.8</v>
      </c>
    </row>
    <row r="49" spans="1:31" s="2" customFormat="1" x14ac:dyDescent="0.25">
      <c r="A49">
        <v>89</v>
      </c>
      <c r="B49">
        <v>2</v>
      </c>
      <c r="C49">
        <v>18</v>
      </c>
      <c r="D49">
        <v>1</v>
      </c>
      <c r="E49">
        <v>1</v>
      </c>
      <c r="F49" s="3">
        <f>534+(117.4-29)+(-0.81702+(-0.179622--0.04437))+0-0-0</f>
        <v>621.44772799999998</v>
      </c>
      <c r="G49" s="3">
        <f>534+(78.5-29)+(-0.27234+(-0.040035--0.01479))+0-0-0</f>
        <v>583.20241499999997</v>
      </c>
      <c r="H49" s="3">
        <f>538+(51.4-30.9)+(-0.54876+(-0.052428--0.031518))+0-0-0</f>
        <v>557.93033000000003</v>
      </c>
      <c r="I49" s="3">
        <f>538+(34.2-35.9)+(-0.27438+(-0.017442--0.018309))+0-0-0</f>
        <v>536.02648699999997</v>
      </c>
      <c r="J49" s="3">
        <f>538+(23.7-45.8)+(0.27438+(0.012087-0.023358))+0-0-0</f>
        <v>516.16310899999996</v>
      </c>
      <c r="K49" s="3">
        <f>538+(10.4-62.4)+(-0.54876+(-0.010608--0.063648))+0-0-0</f>
        <v>485.50427999999999</v>
      </c>
      <c r="L49" s="3">
        <f>534+(0-86.4)+(-0.27234+(0--0.044064))+0-0-0</f>
        <v>447.37172400000003</v>
      </c>
      <c r="M49" s="3">
        <f>530+(3.8-68.5)+(0+(0-0))+0-0-0</f>
        <v>465.3</v>
      </c>
      <c r="N49" s="3">
        <f>527+(18-49.3)+(-0.80631+(-0.02754--0.075429))+0-0-0</f>
        <v>494.94157899999999</v>
      </c>
      <c r="O49" s="3">
        <f>522+(31.5-37.8)+(0+(0-0))+0-0-0</f>
        <v>515.70000000000005</v>
      </c>
      <c r="P49" s="3">
        <f>519+(54.7-31.5)+(-0.52938+(-0.055794--0.03213))+0-0-0</f>
        <v>541.64695600000005</v>
      </c>
      <c r="Q49" s="3">
        <f>518+(96.6-29)+(-0.52836+(-0.098532--0.02958))+0-0-0</f>
        <v>585.00268800000003</v>
      </c>
      <c r="R49" s="3">
        <f>506+(149.1-29)+(-0.25806+(-0.076041--0.01479))+0-0-0</f>
        <v>625.78068900000005</v>
      </c>
      <c r="S49" s="3">
        <f>507+(182.8-25)+(-0.77571+(-0.279684--0.03825))+0-0-0</f>
        <v>663.78285599999992</v>
      </c>
      <c r="T49" s="3">
        <f>522+(163.4-31)+(-0.79866+(-0.250002--0.04743))+0-0-0</f>
        <v>653.39876800000002</v>
      </c>
      <c r="U49" s="3">
        <f>526+(140.2-31)+(-1.07304+(-0.286008--0.06324))+0-0-0</f>
        <v>633.90419200000008</v>
      </c>
      <c r="V49" s="3">
        <f>540+(97.3-31)+(-0.5508+(-0.099246--0.03162))+0-0-0</f>
        <v>605.68157399999996</v>
      </c>
      <c r="W49" s="3">
        <f>548+(63.8-37.1)+(-1.67688+(-0.195228--0.113526))+0-0-0</f>
        <v>572.941418</v>
      </c>
      <c r="X49" s="3">
        <f>553+(46.3-49.5)+(-1.97421+(-0.165291--0.176715))+0-0-0</f>
        <v>547.8372139999999</v>
      </c>
      <c r="Y49" s="3">
        <f>594+(58.3-33.2)+(-1.21176+(-0.118932--0.067728))+0-0-0</f>
        <v>617.83703600000001</v>
      </c>
      <c r="Z49" s="3">
        <f>622+(106.6-33)+(-0.63444+(-0.108732--0.03366))+0-0-0</f>
        <v>694.890488</v>
      </c>
      <c r="AA49" s="3">
        <f>623+(121-31)+(-0.95319+(-0.18513--0.04743))+0-0-0</f>
        <v>711.90911000000006</v>
      </c>
      <c r="AB49" s="3">
        <f>600+(131.9-31)+(-1.224+(-0.269076--0.06324))+0-0-0</f>
        <v>699.47016399999995</v>
      </c>
      <c r="AC49" s="3">
        <f>563+(162.1-30)+(-0.57426+(-0.165342--0.0306))+0-0-0</f>
        <v>694.39099799999997</v>
      </c>
      <c r="AD49">
        <f t="shared" si="0"/>
        <v>14072.061803000004</v>
      </c>
      <c r="AE49" s="3">
        <f>620+(122.3-33)+(0+(0-0))+0-0-0</f>
        <v>709.3</v>
      </c>
    </row>
    <row r="50" spans="1:31" s="2" customFormat="1" x14ac:dyDescent="0.25">
      <c r="A50">
        <v>89</v>
      </c>
      <c r="B50">
        <v>2</v>
      </c>
      <c r="C50">
        <v>19</v>
      </c>
      <c r="D50">
        <v>2</v>
      </c>
      <c r="E50">
        <v>1</v>
      </c>
      <c r="F50" s="3">
        <f>523+(143.6-30)+(-0.53346+(-0.146472--0.0306))+0-0-0</f>
        <v>635.95066800000006</v>
      </c>
      <c r="G50" s="3">
        <f>516+(117.7-29)+(-0.26316+(-0.060027--0.01479))+0-0-0</f>
        <v>604.39160300000003</v>
      </c>
      <c r="H50" s="3">
        <f>518+(86.1-29)+(0+(0-0))+0-0-0</f>
        <v>575.1</v>
      </c>
      <c r="I50" s="3">
        <f>522+(65.5-35.3)+(-0.26622+(-0.033405--0.018003))+0-0-0</f>
        <v>551.91837800000008</v>
      </c>
      <c r="J50" s="3">
        <f>518+(56.3-43.4)+(-0.52836+(-0.057426--0.044268))+0-0-0</f>
        <v>530.35848199999998</v>
      </c>
      <c r="K50" s="3">
        <f>518+(35.8-66)+(-1.3209+(-0.09129--0.1683))+0-0-0</f>
        <v>486.55610999999999</v>
      </c>
      <c r="L50" s="3">
        <f>450+(37.5-40.8)+(-1.1475+(-0.095625--0.10404))+0-0-0</f>
        <v>445.56091499999997</v>
      </c>
      <c r="M50" s="3">
        <f>355+(137.4-30)+(-0.3621+(-0.140148--0.0306))+0-0-0</f>
        <v>461.92835199999996</v>
      </c>
      <c r="N50" s="3">
        <f>355+(166.1-29)+(-0.54315+(-0.254133--0.04437))+0-0-0</f>
        <v>491.34708700000004</v>
      </c>
      <c r="O50" s="3">
        <f>439+(101.8-28)+(-0.22389+(-0.051918--0.01428))+0-0-0</f>
        <v>512.53847199999996</v>
      </c>
      <c r="P50" s="3">
        <f>501+(67.5-28)+(0+(0-0))+0-0-0</f>
        <v>540.5</v>
      </c>
      <c r="Q50" s="3">
        <f>500+(104.6-27)+(-0.255+(-0.053346--0.01377))+0-0-0</f>
        <v>577.30542400000002</v>
      </c>
      <c r="R50" s="3">
        <f>495+(160.5-30)+(-0.5049+(-0.16371--0.0306))+0-0-0</f>
        <v>624.86198999999999</v>
      </c>
      <c r="S50" s="3">
        <f>503+(182.5-28)+(-0.76959+(-0.279225--0.04284))+0-0-0</f>
        <v>656.49402499999997</v>
      </c>
      <c r="T50" s="3">
        <f>510+(183.9-30)+(-0.5202+(-0.187578--0.0306))+0-0-0</f>
        <v>663.22282199999995</v>
      </c>
      <c r="U50" s="3">
        <f>510+(160.6-31)+(-1.3005+(-0.40953--0.07905))+0-0-0</f>
        <v>637.96902</v>
      </c>
      <c r="V50" s="3">
        <f>520+(120.1-32)+(-0.5304+(-0.122502--0.03264))+0-0-0</f>
        <v>607.479738</v>
      </c>
      <c r="W50" s="3">
        <f>530+(76.6-32.7)+(-1.6218+(-0.234396--0.100062))+0-0-0</f>
        <v>572.143866</v>
      </c>
      <c r="X50" s="3">
        <f>531+(53-42.2)+(-1.08324+(-0.10812--0.086088))+0-0-0</f>
        <v>540.69472799999994</v>
      </c>
      <c r="Y50" s="3">
        <f>556+(75.5-30)+(0+(0-0))+0-0-0</f>
        <v>601.5</v>
      </c>
      <c r="Z50" s="3">
        <f>598+(142.1-32)+(-1.21992+(-0.289884--0.06528))+0-0-0</f>
        <v>706.65547600000002</v>
      </c>
      <c r="AA50" s="3">
        <f>603+(156.5-32)+(-1.53765+(-0.399075--0.0816))+0-0-0</f>
        <v>725.64487499999996</v>
      </c>
      <c r="AB50" s="3">
        <f>604+(150.1-30)+(-0.92412+(-0.229653--0.0459))+0-0-0</f>
        <v>722.99212699999998</v>
      </c>
      <c r="AC50" s="3">
        <f>604+(113.8-28)+(-1.5402+(-0.29019--0.0714))+0-0-0</f>
        <v>688.04100999999991</v>
      </c>
      <c r="AD50">
        <f t="shared" si="0"/>
        <v>14161.155168000001</v>
      </c>
      <c r="AE50" s="3">
        <f>584+(158.5-31)+(0+(0-0))+0-0-0</f>
        <v>711.5</v>
      </c>
    </row>
    <row r="51" spans="1:31" s="2" customFormat="1" x14ac:dyDescent="0.25">
      <c r="A51">
        <v>89</v>
      </c>
      <c r="B51">
        <v>2</v>
      </c>
      <c r="C51">
        <v>20</v>
      </c>
      <c r="D51">
        <v>3</v>
      </c>
      <c r="E51">
        <v>1</v>
      </c>
      <c r="F51" s="3">
        <f>578+(95.5-31)+(-2.65302+(-0.438345--0.14229))+0-0-0</f>
        <v>639.55092500000001</v>
      </c>
      <c r="G51" s="3">
        <f>548+(85-30)+(-2.51532+(-0.39015--0.1377))+0-0-0</f>
        <v>600.23222999999996</v>
      </c>
      <c r="H51" s="3">
        <f>544+(54.3-36.8)+(0.27744+(0.027693-0.018768))+6.1-0-0</f>
        <v>567.88636500000007</v>
      </c>
      <c r="I51" s="3">
        <f>547+(39-52.1)+(-1.95279+(-0.13923--0.185997))+16-0-0</f>
        <v>547.99397699999997</v>
      </c>
      <c r="J51" s="3">
        <f>541+(28.6-63.7)+(-0.27591+(-0.014586--0.032487))+16-0-0</f>
        <v>521.64199099999996</v>
      </c>
      <c r="K51" s="3">
        <f>538+(22.1-73.4)+(-1.3719+(-0.056355--0.18717))+1.6-0-0</f>
        <v>487.05891500000001</v>
      </c>
      <c r="L51" s="3">
        <f>420+(52.1-29)+(-0.6426+(-0.079713--0.04437))+0-0-0</f>
        <v>442.422057</v>
      </c>
      <c r="M51" s="3">
        <f>382+(99.5-31)+(0.38964+(0.10149-0.03162))+0-0-0</f>
        <v>450.95951000000002</v>
      </c>
      <c r="N51" s="3">
        <f>391+(113.8-31)+(0.39882+(0.116076-0.03162))+0-0-0</f>
        <v>474.283276</v>
      </c>
      <c r="O51" s="3">
        <f>454+(85.5-32)+(-0.69462+(-0.130815--0.04896))+0-0-0</f>
        <v>506.723525</v>
      </c>
      <c r="P51" s="3">
        <f>453+(119.5-32)+(-0.46206+(-0.12189--0.03264))+0-0-0</f>
        <v>539.94869000000006</v>
      </c>
      <c r="Q51" s="3">
        <f>510+(116.2-30)+(-0.2601+(-0.059262--0.0153))+0-0-0</f>
        <v>595.895938</v>
      </c>
      <c r="R51" s="3">
        <f>518+(167.3-32)+(-0.79254+(-0.255969--0.04896))+0-0-0</f>
        <v>652.30045099999995</v>
      </c>
      <c r="S51" s="3">
        <f>535+(195.2-32)+(-0.5457+(-0.199104--0.03264))+0-0-0</f>
        <v>697.48783600000002</v>
      </c>
      <c r="T51" s="3">
        <f>535+(190.4-31)+(-0.5457+(-0.194208--0.03162))+0-0-0</f>
        <v>693.69171199999994</v>
      </c>
      <c r="U51" s="3">
        <f>529+(171.4-30)+(0+(0-0))+0-0-0</f>
        <v>670.4</v>
      </c>
      <c r="V51" s="3">
        <f>494+(171.3-30)+(-1.2597+(-0.436815--0.0765))+0-0-0</f>
        <v>633.67998499999999</v>
      </c>
      <c r="W51" s="3">
        <f>483+(144.8-29)+(-1.23165+(-0.36924--0.07395))+0-0-0</f>
        <v>597.27305999999999</v>
      </c>
      <c r="X51" s="3">
        <f>484+(97.2-30)+(-1.48104+(-0.297432--0.0918))+0-0-0</f>
        <v>549.513328</v>
      </c>
      <c r="Y51" s="3">
        <f>533+(126.2-31)+(-0.27183+(-0.064362--0.01581))+0-0-0</f>
        <v>627.87961800000005</v>
      </c>
      <c r="Z51" s="3">
        <f>605+(177-32)+(-1.2342+(-0.36108--0.06528))+0-0-0</f>
        <v>748.47</v>
      </c>
      <c r="AA51" s="3">
        <f>612+(161.1-33)+(-1.87272+(-0.492966--0.10098))+0-0-0</f>
        <v>737.83529399999998</v>
      </c>
      <c r="AB51" s="3">
        <f>617+(152.7-33)+(-1.25868+(-0.311508--0.06732))+0-0-0</f>
        <v>735.19713200000001</v>
      </c>
      <c r="AC51" s="3">
        <f>617+(122.7-33)+(-0.94401+(-0.187731--0.05049))+0-0-0</f>
        <v>705.61874900000009</v>
      </c>
      <c r="AD51">
        <f t="shared" si="0"/>
        <v>14423.944564000001</v>
      </c>
      <c r="AE51" s="3">
        <f>584+(158.6-32)+(0+(0-0))+0-0-0</f>
        <v>710.6</v>
      </c>
    </row>
    <row r="52" spans="1:31" s="2" customFormat="1" x14ac:dyDescent="0.25">
      <c r="A52">
        <v>89</v>
      </c>
      <c r="B52">
        <v>2</v>
      </c>
      <c r="C52">
        <v>21</v>
      </c>
      <c r="D52">
        <v>4</v>
      </c>
      <c r="E52">
        <v>1</v>
      </c>
      <c r="F52" s="3">
        <f>558+(141.3-32)+(-0.28458+(-0.072063--0.01632))+0-0-0</f>
        <v>666.95967699999994</v>
      </c>
      <c r="G52" s="3">
        <f>536+(126.1-30)+(-0.54672+(-0.128622--0.0306))+0-0-0</f>
        <v>631.45525800000007</v>
      </c>
      <c r="H52" s="3">
        <f>530+(101.7-30)+(-1.3515+(-0.259335--0.0765))+0-0-0</f>
        <v>600.16566499999999</v>
      </c>
      <c r="I52" s="3">
        <f>532+(76.1-33.8)+(-0.54264+(-0.077622--0.034476))+0-0-0</f>
        <v>573.71421399999997</v>
      </c>
      <c r="J52" s="3">
        <f>526+(64.7-42.5)+(0+(0-0))+0-0-0</f>
        <v>548.20000000000005</v>
      </c>
      <c r="K52" s="3">
        <f>521+(45-63.8)+(-1.06284+(-0.0918--0.130152))+0-0-0</f>
        <v>501.17551199999997</v>
      </c>
      <c r="L52" s="3">
        <f>507+(25.6-78.2)+(-0.77571+(-0.039168--0.119646))+0-0-0</f>
        <v>453.704768</v>
      </c>
      <c r="M52" s="3">
        <f>504+(27.8-64.5)+(0+(0-0))+0-0-0</f>
        <v>467.3</v>
      </c>
      <c r="N52" s="3">
        <f>497+(44-50)+(0.50694+(0.04488-0.051))+0-0-0</f>
        <v>491.50081999999998</v>
      </c>
      <c r="O52" s="3">
        <f>496+(64.4-36.1)+(-0.25296+(-0.032844--0.018411))+0-0-0</f>
        <v>524.03260699999998</v>
      </c>
      <c r="P52" s="3">
        <f>489+(99.6-31)+(0.49878+(0.101592-0.03162))+0-0-0</f>
        <v>558.16875200000004</v>
      </c>
      <c r="Q52" s="3">
        <f>489+(145.5-31)+(0.49878+(0.14841-0.03162))+0-0-0</f>
        <v>604.11557000000005</v>
      </c>
      <c r="R52" s="3">
        <f>504+(189.3-31)+(-0.77112+(-0.289629--0.04743))+0-0-0</f>
        <v>661.28668099999993</v>
      </c>
      <c r="S52" s="3">
        <f>514+(225.1-32)+(-0.26214+(-0.114801--0.01632))+0-0-0</f>
        <v>706.73937899999999</v>
      </c>
      <c r="T52" s="3">
        <f>514+(223-32)+(-0.78642+(-0.34119--0.04896))+0-0-0</f>
        <v>703.92134999999996</v>
      </c>
      <c r="U52" s="3">
        <f>517+(200.8-32)+(-1.05468+(-0.409632--0.06528))+0-0-0</f>
        <v>684.40096799999992</v>
      </c>
      <c r="V52" s="3">
        <f>534+(160.8-30)+(-1.08936+(-0.328032--0.0612))+0-0-0</f>
        <v>663.44380799999999</v>
      </c>
      <c r="W52" s="3">
        <f>546+(109.7-30)+(-1.67076+(-0.335682--0.0918))+0-0-0</f>
        <v>623.78535800000009</v>
      </c>
      <c r="X52" s="3">
        <f>546+(60.7-34.3)+(-1.11384+(-0.123828--0.069972))+0-0-0</f>
        <v>571.232304</v>
      </c>
      <c r="Y52" s="3">
        <f>605+(115.8-31)+(-0.6171+(-0.118116--0.03162))+0-0-0</f>
        <v>689.09640400000001</v>
      </c>
      <c r="Z52" s="3">
        <f>643+(171.3-32)+(-0.32793+(-0.087363--0.01632))+0-0-0</f>
        <v>781.901027</v>
      </c>
      <c r="AA52" s="3">
        <f>651+(161.6-32)+(-0.99603+(-0.247248--0.04896))+0-0-0</f>
        <v>779.40568200000007</v>
      </c>
      <c r="AB52" s="3">
        <f>661+(140.7-32)+(-1.01133+(-0.215271--0.04896))+0-0-0</f>
        <v>768.52235900000005</v>
      </c>
      <c r="AC52" s="3">
        <f>659+(106.7-32)+(-1.34436+(-0.217668--0.06528))+0-0-0</f>
        <v>732.20325200000002</v>
      </c>
      <c r="AD52">
        <f t="shared" si="0"/>
        <v>14986.431414999999</v>
      </c>
      <c r="AE52" s="3">
        <f>634+(179.2-32)+(0+(0-0))+0-0-0</f>
        <v>781.2</v>
      </c>
    </row>
    <row r="53" spans="1:31" s="2" customFormat="1" x14ac:dyDescent="0.25">
      <c r="A53">
        <v>89</v>
      </c>
      <c r="B53">
        <v>2</v>
      </c>
      <c r="C53">
        <v>22</v>
      </c>
      <c r="D53">
        <v>5</v>
      </c>
      <c r="E53">
        <v>1</v>
      </c>
      <c r="F53" s="3">
        <f>622+(89-33.6)+(-0.31722+(-0.04539--0.017136))+0-0-0</f>
        <v>677.05452600000001</v>
      </c>
      <c r="G53" s="3">
        <f>568+(104-31)+(-1.15872+(-0.21216--0.06324))+0-0-0</f>
        <v>639.69236000000001</v>
      </c>
      <c r="H53" s="3">
        <f>568+(77.2-34.6)+(-1.4484+(-0.19686--0.08823))+0-0-0</f>
        <v>609.04296999999997</v>
      </c>
      <c r="I53" s="3">
        <f>498+(111.5-30)+(-0.76194+(-0.170595--0.0459))+0-0-0</f>
        <v>578.61336500000004</v>
      </c>
      <c r="J53" s="3">
        <f>492+(100.3-31)+(-0.50184+(-0.102306--0.03162))+0-0-0</f>
        <v>560.72747399999992</v>
      </c>
      <c r="K53" s="3">
        <f>493+(59.8-34.3)+(-0.25143+(-0.030498--0.017493))+0-0-0</f>
        <v>518.23556499999995</v>
      </c>
      <c r="L53" s="3">
        <f>451+(53.6-32.3)+(-0.92004+(-0.109344--0.065892))+0-0-0</f>
        <v>471.33650800000004</v>
      </c>
      <c r="M53" s="3">
        <f>410+(113.4-30)+(-0.6273+(-0.173502--0.0459))+0-0-0</f>
        <v>492.64509799999996</v>
      </c>
      <c r="N53" s="3">
        <f>431+(112-31)+(0+(0-0))+0-0-0</f>
        <v>512</v>
      </c>
      <c r="O53" s="3">
        <f>489+(84.8-31)+(-0.49878+(-0.086496--0.03162))+0-0-0</f>
        <v>542.24634399999991</v>
      </c>
      <c r="P53" s="3">
        <f>550+(71.8-35.1)+(-0.561+(-0.073236--0.035802))+0-0-0</f>
        <v>586.10156600000005</v>
      </c>
      <c r="Q53" s="3">
        <f>564+(100.1-32)+(0+(0-0))+0-0-0</f>
        <v>632.1</v>
      </c>
      <c r="R53" s="3">
        <f>574+(148.8-32)+(-0.58548+(-0.151776--0.03264))+0-0-0</f>
        <v>690.09538399999997</v>
      </c>
      <c r="S53" s="3">
        <f>588+(171.6-32)+(-0.59976+(-0.175032--0.03264))+0-0-0</f>
        <v>726.85784799999999</v>
      </c>
      <c r="T53" s="3">
        <f>588+(171.8-32)+(-0.29988+(-0.087618--0.01632))+0-0-0</f>
        <v>727.42882199999997</v>
      </c>
      <c r="U53" s="3">
        <f>592+(143.3-32)+(-0.90576+(-0.219249--0.04896))+0-0-0</f>
        <v>702.22395099999994</v>
      </c>
      <c r="V53" s="3">
        <f>614+(113.9-32)+(-0.31314+(-0.058089--0.01632))+0-0-0</f>
        <v>695.54509099999996</v>
      </c>
      <c r="W53" s="3">
        <f>623+(72.9-38.1)+(-1.90638+(-0.223074--0.116586))+0-0-0</f>
        <v>655.78713199999993</v>
      </c>
      <c r="X53" s="3">
        <f>589+(36.4-65.7)+(-1.20156+(-0.074256--0.134028))+37.1-0-0</f>
        <v>595.65821200000005</v>
      </c>
      <c r="Y53" s="3">
        <f>558+(90.7-32)+(-0.85374+(-0.138771--0.04896))+106-0-0</f>
        <v>721.75644900000009</v>
      </c>
      <c r="Z53" s="3">
        <f>647+(149.7-32)+(-1.31988+(-0.305388--0.06528))+26.5-0-0</f>
        <v>789.64001200000007</v>
      </c>
      <c r="AA53" s="3">
        <f>714+(119.4-32)+(-1.45656+(-0.243576--0.06528))+0-0-0</f>
        <v>799.76514399999996</v>
      </c>
      <c r="AB53" s="3">
        <f>710+(124.4-32)+(-0.7242+(-0.126888--0.03264))+0-0-0</f>
        <v>801.58155199999999</v>
      </c>
      <c r="AC53" s="3">
        <f>712+(89.8-34.9)+(-1.8156+(-0.22899--0.088995))+0-0-0</f>
        <v>764.94440499999996</v>
      </c>
      <c r="AD53">
        <f t="shared" si="0"/>
        <v>15491.079778000001</v>
      </c>
      <c r="AE53" s="3">
        <f>714+(120.5-32)+(0+(0-0))+0-0-0</f>
        <v>802.5</v>
      </c>
    </row>
    <row r="54" spans="1:31" s="2" customFormat="1" x14ac:dyDescent="0.25">
      <c r="A54">
        <v>89</v>
      </c>
      <c r="B54">
        <v>2</v>
      </c>
      <c r="C54">
        <v>23</v>
      </c>
      <c r="D54">
        <v>6</v>
      </c>
      <c r="E54">
        <v>1</v>
      </c>
      <c r="F54" s="3">
        <f>643+(88.5-37.2)+(-2.62344+(-0.36108--0.151776))+0-0-0</f>
        <v>691.46725599999991</v>
      </c>
      <c r="G54" s="3">
        <f>617+(97.4-33.4)+(-1.57335+(-0.24837--0.08517))+0-0-0</f>
        <v>679.26345000000003</v>
      </c>
      <c r="H54" s="3">
        <f>586+(95.3-32.2)+(-0.29886+(-0.048603--0.016422))+0-0-0</f>
        <v>648.768959</v>
      </c>
      <c r="I54" s="3">
        <f>585+(82.5-37.4)+(-1.49175+(-0.210375--0.09537))+0-0-0</f>
        <v>628.493245</v>
      </c>
      <c r="J54" s="3">
        <f>583+(72.4-55)+(0+(0-0))+0-0-0</f>
        <v>600.4</v>
      </c>
      <c r="K54" s="3">
        <f>584+(46.4-82.2)+(-1.4892+(-0.11832--0.20961))+0-0-0</f>
        <v>546.80209000000002</v>
      </c>
      <c r="L54" s="3">
        <f>514+(39.7-70.9)+(-0.52428+(-0.040494--0.072318))+0-0-0</f>
        <v>482.30754400000001</v>
      </c>
      <c r="M54" s="3">
        <f>434+(108.5-30)+(0+(0-0))+0-0-0</f>
        <v>512.5</v>
      </c>
      <c r="N54" s="3">
        <f>440+(124.8-30)+(-0.2244+(-0.063648--0.0153))+0-0-0</f>
        <v>534.52725199999998</v>
      </c>
      <c r="O54" s="3">
        <f>574+(47.7-64.5)+(0+(0-0))+0-0-0</f>
        <v>557.20000000000005</v>
      </c>
      <c r="P54" s="3">
        <f>570+(66-41)+(-0.5814+(-0.06732--0.04182))+0-0-0</f>
        <v>594.3931</v>
      </c>
      <c r="Q54" s="3">
        <f>588+(113.1-30)+(0+(0-0))+0-0-0</f>
        <v>671.1</v>
      </c>
      <c r="R54" s="3">
        <f>561+(172.5-29)+(-1.14444+(-0.3519--0.05916))+0-0-0</f>
        <v>703.06281999999999</v>
      </c>
      <c r="S54" s="3">
        <f>585+(180.7-29)+(-0.29835+(-0.092157--0.01479))+0-0-0</f>
        <v>736.32428300000004</v>
      </c>
      <c r="T54" s="3">
        <f>613+(163.5-30)+(-0.93789+(-0.250155--0.0459))+0-0-0</f>
        <v>745.35785499999997</v>
      </c>
      <c r="U54" s="3">
        <f>621+(140.1-31)+(-0.63342+(-0.142902--0.03162))+0-0-0</f>
        <v>729.35529800000006</v>
      </c>
      <c r="V54" s="3">
        <f>629+(95.2-38.6)+(-1.60395+(-0.24276--0.09843))+0-0-0</f>
        <v>683.85172</v>
      </c>
      <c r="W54" s="3">
        <f>652+(60.1-58.7)+(-0.99756+(-0.091953--0.089811))+0-0-0</f>
        <v>652.40029800000002</v>
      </c>
      <c r="X54" s="3">
        <f>627+(39-69.2)+(-1.27908+(-0.07956--0.141168))+0-0-0</f>
        <v>595.58252799999991</v>
      </c>
      <c r="Y54" s="3">
        <f>554+(149.7-31)+(-1.13016+(-0.305388--0.06324))+0-0-0</f>
        <v>671.32769200000007</v>
      </c>
      <c r="Z54" s="3">
        <f>644+(138.3-33)+(-1.31376+(-0.282132--0.06732))+0-0-0</f>
        <v>747.7714279999999</v>
      </c>
      <c r="AA54" s="3">
        <f>707+(122-32)+(-1.44228+(-0.24888--0.06528))+0-0-0</f>
        <v>795.37411999999995</v>
      </c>
      <c r="AB54" s="3">
        <f>707+(104.8-31)+(-1.80285+(-0.26724--0.07905))+0-0-0</f>
        <v>778.80895999999996</v>
      </c>
      <c r="AC54" s="3">
        <f>707+(81.2-31)+(-1.08171+(-0.124236--0.04743))+0-0-0</f>
        <v>756.04148400000008</v>
      </c>
      <c r="AD54">
        <f t="shared" si="0"/>
        <v>15742.481382000004</v>
      </c>
      <c r="AE54" s="3">
        <f>693+(124-33)+(0+(0-0))+0-0-0</f>
        <v>784</v>
      </c>
    </row>
    <row r="55" spans="1:31" s="2" customFormat="1" x14ac:dyDescent="0.25">
      <c r="A55">
        <v>89</v>
      </c>
      <c r="B55">
        <v>2</v>
      </c>
      <c r="C55">
        <v>24</v>
      </c>
      <c r="D55">
        <v>7</v>
      </c>
      <c r="E55">
        <v>1</v>
      </c>
      <c r="F55" s="3">
        <f>626+(106.8-31)+(-0.31926+(-0.054468--0.01581))+0-0-0</f>
        <v>701.44208199999991</v>
      </c>
      <c r="G55" s="3">
        <f>581+(126.1-31)+(-0.88893+(-0.192933--0.04743))+0-0-0</f>
        <v>675.06556699999999</v>
      </c>
      <c r="H55" s="3">
        <f>574+(104.8-31)+(0+(0-0))+0-0-0</f>
        <v>647.79999999999995</v>
      </c>
      <c r="I55" s="3">
        <f>576+(87.8-35.7)+(-0.58752+(-0.089556--0.036414))+0-0-0</f>
        <v>627.459338</v>
      </c>
      <c r="J55" s="3">
        <f>582+(72.9-43.4)+(-0.29682+(-0.037179--0.022134))+0-0-0</f>
        <v>611.18813499999999</v>
      </c>
      <c r="K55" s="3">
        <f>579+(48.1-60.9)+(-3.54348+(-0.294372--0.372708))+0-0-0</f>
        <v>562.73485600000004</v>
      </c>
      <c r="L55" s="3">
        <f>420+(99.9-30)+(-1.7136+(-0.407592--0.1224))+0-0-0</f>
        <v>487.901208</v>
      </c>
      <c r="M55" s="3">
        <f>418+(99.1-31)+(-0.21318+(-0.050541--0.01581))+0-0-0</f>
        <v>485.85208900000003</v>
      </c>
      <c r="N55" s="3">
        <f>426+(112-32)+(-0.43452+(-0.11424--0.03264))+0-0-0</f>
        <v>505.48388</v>
      </c>
      <c r="O55" s="3">
        <f>426+(142-32)+(-0.65178+(-0.21726--0.04896))+0-0-0</f>
        <v>535.17992000000004</v>
      </c>
      <c r="P55" s="3">
        <f>426+(176.1-32)+(-0.21726+(-0.089811--0.01632))+0-0-0</f>
        <v>569.80924900000002</v>
      </c>
      <c r="Q55" s="3">
        <f>426+(215.9-32)+(-0.86904+(-0.440436--0.06528))+0-0-0</f>
        <v>608.65580399999999</v>
      </c>
      <c r="R55" s="3">
        <f>493+(205.7-32)+(-0.50286+(-0.209814--0.03264))+0-0-0</f>
        <v>666.01996600000007</v>
      </c>
      <c r="S55" s="3">
        <f>559+(182.9-33)+(-1.14036+(-0.373116--0.06732))+0-0-0</f>
        <v>707.453844</v>
      </c>
      <c r="T55" s="3">
        <f>570+(176.6-32)+(0+(0-0))+0-0-0</f>
        <v>714.6</v>
      </c>
      <c r="U55" s="3">
        <f>583+(160.7-33)+(-0.59466+(-0.163914--0.03366))+0-0-0</f>
        <v>709.97508600000003</v>
      </c>
      <c r="V55" s="3">
        <f>586+(125.3-33)+(-1.4943+(-0.319515--0.08415))+0-0-0</f>
        <v>676.570335</v>
      </c>
      <c r="W55" s="3">
        <f>599+(82-38.3)+(-1.83294+(-0.25092--0.117198))+0-0-0</f>
        <v>640.733338</v>
      </c>
      <c r="X55" s="3">
        <f>528+(74.3-33)+(-0.53856+(-0.075786--0.03366))+0-0-0</f>
        <v>568.71931399999994</v>
      </c>
      <c r="Y55" s="3">
        <f>495+(201.7-32)+(-1.0098+(-0.411468--0.06528))+0-0-0</f>
        <v>663.34401200000002</v>
      </c>
      <c r="Z55" s="3">
        <f>656+(149.9-33)+(-0.66912+(-0.152898--0.03366))+0-0-0</f>
        <v>772.11164199999996</v>
      </c>
      <c r="AA55" s="3">
        <f>690+(143-18)+(-1.0557+(-0.21879--0.02754))+0-0-0</f>
        <v>813.75305000000003</v>
      </c>
      <c r="AB55" s="3">
        <f>688+(149.5-24)+(-1.7544+(-0.381225--0.0612))+0-0-0</f>
        <v>811.42557499999998</v>
      </c>
      <c r="AC55" s="3">
        <f>688+(117.5-30)+(-0.35088+(-0.059925--0.0153))+0-0-0</f>
        <v>775.10449500000004</v>
      </c>
      <c r="AD55">
        <f t="shared" si="0"/>
        <v>15538.382784999998</v>
      </c>
      <c r="AE55" s="3">
        <f>684+(145.1-33)+(0+(0-0))+0-0-0</f>
        <v>796.1</v>
      </c>
    </row>
    <row r="56" spans="1:31" s="2" customFormat="1" x14ac:dyDescent="0.25">
      <c r="A56">
        <v>89</v>
      </c>
      <c r="B56">
        <v>2</v>
      </c>
      <c r="C56">
        <v>25</v>
      </c>
      <c r="D56">
        <v>1</v>
      </c>
      <c r="E56">
        <v>1</v>
      </c>
      <c r="F56" s="3">
        <f>633+(118.7-31)+(-0.32283+(-0.060537--0.01581))+0-0-0</f>
        <v>720.33244300000001</v>
      </c>
      <c r="G56" s="3">
        <f>589+(129.8-31)+(-0.30039+(-0.066198--0.01581))+0-0-0</f>
        <v>687.44922199999996</v>
      </c>
      <c r="H56" s="3">
        <f>575+(119-31)+(0.29325+(0.06069-0.01581))+0-0-0</f>
        <v>663.33812999999998</v>
      </c>
      <c r="I56" s="3">
        <f>578+(91.1-32)+(-1.17912+(-0.185844--0.06528))+0-0-0</f>
        <v>635.80031600000007</v>
      </c>
      <c r="J56" s="3">
        <f>579+(71.9-38.6)+(0.88587+(0.110007-0.059058))+0-0-0</f>
        <v>613.23681899999997</v>
      </c>
      <c r="K56" s="3">
        <f>580+(44.1-67.6)+(-0.5916+(-0.044982--0.068952))+0-0-0</f>
        <v>555.93236999999999</v>
      </c>
      <c r="L56" s="3">
        <f>569+(13.9-91.9)+(0.29019+(0.007089-0.046869))+0-0-0</f>
        <v>491.25040999999999</v>
      </c>
      <c r="M56" s="3">
        <f>565+(24.5-79.9)+(-0.5763+(-0.02499--0.081498))+0-0-0</f>
        <v>509.08020800000003</v>
      </c>
      <c r="N56" s="3">
        <f>565+(39.1-59.3)+(-0.28815+(-0.019941--0.030243))+0-0-0</f>
        <v>544.52215200000001</v>
      </c>
      <c r="O56" s="3">
        <f>565+(50.5-44.5)+(-0.5763+(-0.05151--0.04539))+0-0-0</f>
        <v>570.41758000000004</v>
      </c>
      <c r="P56" s="3">
        <f>561+(84.7-34.2)+(-0.57222+(-0.086394--0.034884))+0-0-0</f>
        <v>610.87626999999998</v>
      </c>
      <c r="Q56" s="3">
        <f>561+(153.9-32)+(0+(0-0))+0-0-0</f>
        <v>682.9</v>
      </c>
      <c r="R56" s="3">
        <f>593+(175.4-32)+(-0.90729+(-0.268362--0.04896))+0-0-0</f>
        <v>735.27330799999993</v>
      </c>
      <c r="S56" s="3">
        <f>625+(189.1-31)+(-0.95625+(-0.289323--0.04743))+0-0-0</f>
        <v>781.90185700000006</v>
      </c>
      <c r="T56" s="3">
        <f>640+(167.4-30)+(-1.3056+(-0.341496--0.0612))+0-0-0</f>
        <v>775.81410399999993</v>
      </c>
      <c r="U56" s="3">
        <f>642+(138.9-30)+(0+(0-0))+0-0-0</f>
        <v>750.9</v>
      </c>
      <c r="V56" s="3">
        <f>655+(106-30)+(-0.33405+(-0.05406--0.0153))+0-0-0</f>
        <v>730.62719000000004</v>
      </c>
      <c r="W56" s="3">
        <f>669+(61.1-45.5)+(-2.04714+(-0.186966--0.13923))+0-0-0</f>
        <v>682.50512400000002</v>
      </c>
      <c r="X56" s="3">
        <f>669+(31.6-64.4)+(-0.68238+(-0.032232--0.065688))+0-0-0</f>
        <v>635.55107600000008</v>
      </c>
      <c r="Y56" s="3">
        <f>692+(55.4-37.7)+(-1.41168+(-0.113016--0.076908))+0-0-0</f>
        <v>708.2522120000001</v>
      </c>
      <c r="Z56" s="3">
        <f>701+(140.3-32)+(-1.07253+(-0.214659--0.04896))+0-0-0</f>
        <v>808.06177099999991</v>
      </c>
      <c r="AA56" s="3">
        <f>701+(162.4-32)+(-1.07253+(-0.248472--0.04896))+0-0-0</f>
        <v>830.12795799999992</v>
      </c>
      <c r="AB56" s="3">
        <f>701+(159.9-33)+(-1.07253+(-0.244647--0.05049))+0-0-0</f>
        <v>826.63331299999993</v>
      </c>
      <c r="AC56" s="3">
        <f>694+(135.7-32)+(-0.70788+(-0.138414--0.03264))+0-0-0</f>
        <v>796.886346</v>
      </c>
      <c r="AD56">
        <f t="shared" si="0"/>
        <v>16347.670178999997</v>
      </c>
      <c r="AE56" s="3">
        <f>698+(158.2-33)+(0+(0-0))+0-0-0</f>
        <v>823.2</v>
      </c>
    </row>
    <row r="57" spans="1:31" s="2" customFormat="1" x14ac:dyDescent="0.25">
      <c r="A57">
        <v>89</v>
      </c>
      <c r="B57">
        <v>2</v>
      </c>
      <c r="C57">
        <v>26</v>
      </c>
      <c r="D57">
        <v>2</v>
      </c>
      <c r="E57">
        <v>1</v>
      </c>
      <c r="F57" s="3">
        <f>663+(104.6-32)+(-1.01439+(-0.160038--0.04896))+0-0-0</f>
        <v>734.47453200000007</v>
      </c>
      <c r="G57" s="3">
        <f>615+(134.7-31)+(-0.94095+(-0.206091--0.04743))+0-0-0</f>
        <v>717.60038900000006</v>
      </c>
      <c r="H57" s="3">
        <f>584+(138.3-31)+(-1.4892+(-0.352665--0.07905))+0-0-0</f>
        <v>689.53718499999991</v>
      </c>
      <c r="I57" s="3">
        <f>523+(178.8-30)+(-0.80019+(-0.273564--0.0459))+0-0-0</f>
        <v>670.77214599999991</v>
      </c>
      <c r="J57" s="3">
        <f>501+(180.6-30)+(-1.02204+(-0.368424--0.0612))+0-0-0</f>
        <v>650.27073600000006</v>
      </c>
      <c r="K57" s="3">
        <f>501+(126.3-30)+(-0.76653+(-0.193239--0.0459))+0-0-0</f>
        <v>596.38613099999998</v>
      </c>
      <c r="L57" s="3">
        <f>536+(57.4-47.3)+(-0.82008+(-0.087822--0.072369))+0-0-0</f>
        <v>545.26446699999997</v>
      </c>
      <c r="M57" s="3">
        <f>570+(51-62.7)+(-0.2907+(-0.02601--0.031977))+0-0-0</f>
        <v>558.01526699999999</v>
      </c>
      <c r="N57" s="3">
        <f>569+(54.7-56.6)+(-0.87057+(-0.083691--0.086598))+0-0-0</f>
        <v>566.23233700000003</v>
      </c>
      <c r="O57" s="3">
        <f>614+(29.2-67.9)+(-0.93942+(-0.044676--0.103887))+0-0-0</f>
        <v>574.41979099999992</v>
      </c>
      <c r="P57" s="3">
        <f>628+(36.1-55.5)+(-0.64056+(-0.036822--0.05661))+0-0-0</f>
        <v>607.97922800000003</v>
      </c>
      <c r="Q57" s="3">
        <f>626+(61.7-39.9)+(0+(0-0))+0-0-0</f>
        <v>647.79999999999995</v>
      </c>
      <c r="R57" s="3">
        <f>626+(103.5-32)+(-0.95778+(-0.158355--0.04896))+0-0-0</f>
        <v>696.43282499999998</v>
      </c>
      <c r="S57" s="3">
        <f>626+(131.6-32)+(0+(0-0))+0-0-0</f>
        <v>725.6</v>
      </c>
      <c r="T57" s="3">
        <f>628+(125.6-31)+(0+(0-0))+0-0-0</f>
        <v>722.6</v>
      </c>
      <c r="U57" s="3">
        <f>643+(77.2-31.6)+(-0.98379+(-0.118116--0.048348))+0-0-0</f>
        <v>687.54644200000007</v>
      </c>
      <c r="V57" s="3">
        <f>661+(36-61.6)+(-1.68555+(-0.0918--0.15708))+0-0-0</f>
        <v>633.77972999999997</v>
      </c>
      <c r="W57" s="3">
        <f>669+(15.9-76.1)+(-1.70595+(-0.040545--0.194055))+0-0-0</f>
        <v>607.24755999999991</v>
      </c>
      <c r="X57" s="3">
        <f>611+(22.7-54.3)+(-1.55805+(-0.057885--0.138465))+0-0-0</f>
        <v>577.92252999999994</v>
      </c>
      <c r="Y57" s="3">
        <f>566+(121.5-24)+(-0.86598+(-0.185895--0.03672))+0-0-0</f>
        <v>662.48484499999995</v>
      </c>
      <c r="Z57" s="3">
        <f>684+(105.2-31)+(-1.39536+(-0.214608--0.06324))+0-0-0</f>
        <v>756.65327200000002</v>
      </c>
      <c r="AA57" s="3">
        <f>685+(116.7-32)+(-1.3974+(-0.238068--0.06528))+0-0-0</f>
        <v>768.12981200000002</v>
      </c>
      <c r="AB57" s="3">
        <f>685+(103.5-32)+(0+(0-0))+0-0-0</f>
        <v>756.5</v>
      </c>
      <c r="AC57" s="3">
        <f>666+(100.5-32)+(0+(0-0))+0-0-0</f>
        <v>734.5</v>
      </c>
      <c r="AD57">
        <f t="shared" si="0"/>
        <v>15888.149225000001</v>
      </c>
      <c r="AE57" s="3">
        <f>685+(128.2-25)+(0+(0-0))+0-0-0</f>
        <v>788.2</v>
      </c>
    </row>
    <row r="58" spans="1:31" s="2" customFormat="1" x14ac:dyDescent="0.25">
      <c r="A58">
        <v>89</v>
      </c>
      <c r="B58">
        <v>2</v>
      </c>
      <c r="C58">
        <v>27</v>
      </c>
      <c r="D58">
        <v>3</v>
      </c>
      <c r="E58">
        <v>5</v>
      </c>
      <c r="F58" s="3">
        <f>619+(94.1-30)+(-0.31569+(-0.047991--0.0153))+0-0-0</f>
        <v>682.75161900000001</v>
      </c>
      <c r="G58" s="3">
        <f>606+(77.8-29)+(-0.30906+(-0.039678--0.01479))+0-0-0</f>
        <v>654.46605199999999</v>
      </c>
      <c r="H58" s="3">
        <f>606+(58.7-33.2)+(-0.30906+(-0.029937--0.016932))+0-0-0</f>
        <v>631.17793500000005</v>
      </c>
      <c r="I58" s="3">
        <f>605+(48.1-40.1)+(-1.2342+(-0.098124--0.081804))+0-0-0</f>
        <v>611.74947999999995</v>
      </c>
      <c r="J58" s="3">
        <f>603+(42.1-48.1)+(0+(0-0))+0-0-0</f>
        <v>597</v>
      </c>
      <c r="K58" s="3">
        <f>603+(23.4-74.9)+(-1.53765+(-0.05967--0.190995))+0-0-0</f>
        <v>550.09367499999996</v>
      </c>
      <c r="L58" s="3">
        <f>556+(9.5-77.9)+(-0.28356+(-0.004845--0.039729))+0-0-0</f>
        <v>487.35132400000003</v>
      </c>
      <c r="M58" s="3">
        <f>455+(49.4-33.2)+(0.4641+(0.050388-0.033864))+0-0-0</f>
        <v>471.68062399999997</v>
      </c>
      <c r="N58" s="3">
        <f>454+(59.2-27)+(-0.69462+(-0.090576--0.04131))+0-0-0</f>
        <v>485.45611400000001</v>
      </c>
      <c r="O58" s="3">
        <f>453+(68.1-27)+(0+(0-0))+0-0-0</f>
        <v>494.1</v>
      </c>
      <c r="P58" s="3">
        <f>451+(82.7-28)+(-0.92004+(-0.168708--0.05712))+0-0-0</f>
        <v>504.66837199999998</v>
      </c>
      <c r="Q58" s="3">
        <f>451+(112.9-29)+(-0.92004+(-0.230316--0.05916))+0-0-0</f>
        <v>533.80880400000001</v>
      </c>
      <c r="R58" s="3">
        <f>524+(112.4-29)+(-1.06896+(-0.229296--0.05916))+0-0-0</f>
        <v>606.16090399999996</v>
      </c>
      <c r="S58" s="3">
        <f>542+(145.1-29)+(0+(0-0))+0-0-0</f>
        <v>658.1</v>
      </c>
      <c r="T58" s="3">
        <f>599+(110.8-26)+(-0.91647+(-0.169524--0.03978))+0-0-0</f>
        <v>682.75378599999999</v>
      </c>
      <c r="U58" s="3">
        <f>600+(93.3-31.6)+(-0.612+(-0.095166--0.032232))+0-0-0</f>
        <v>661.02506600000004</v>
      </c>
      <c r="V58" s="3">
        <f>607+(70.1-54.3)+(-0.92871+(-0.107253--0.083079))+0-0-0</f>
        <v>621.84711599999991</v>
      </c>
      <c r="W58" s="3">
        <f>529+(71.3-29.6)+(-0.53958+(-0.072726--0.030192))+0-0-0</f>
        <v>570.117886</v>
      </c>
      <c r="X58" s="3">
        <f>470+(73-27)+(-0.9588+(-0.14892--0.05508))+0-0-0</f>
        <v>514.94736</v>
      </c>
      <c r="Y58" s="3">
        <f>517+(112.6-29)+(0+(0-0))+0-0-0</f>
        <v>600.6</v>
      </c>
      <c r="Z58" s="3">
        <f>622+(115.8-31)+(-0.31722+(-0.059058--0.01581))+0-0-0</f>
        <v>706.43953199999999</v>
      </c>
      <c r="AA58" s="3">
        <f>683+(79.2-31)+(-1.39332+(-0.161568--0.06324))+0-0-0</f>
        <v>729.70835199999999</v>
      </c>
      <c r="AB58" s="3">
        <f>638+(124-31)+(-0.65076+(-0.12648--0.03162))+0-0-0</f>
        <v>730.25437999999997</v>
      </c>
      <c r="AC58" s="3">
        <f>603+(147.1-29)+(-0.30753+(-0.075021--0.01479))+0-0-0</f>
        <v>720.73223900000005</v>
      </c>
      <c r="AD58">
        <f t="shared" si="0"/>
        <v>14506.99062</v>
      </c>
      <c r="AE58" s="3">
        <f>681+(83.4-31)+(0+(0-0))+0-0-0</f>
        <v>733.4</v>
      </c>
    </row>
    <row r="59" spans="1:31" s="2" customFormat="1" x14ac:dyDescent="0.25">
      <c r="A59">
        <v>89</v>
      </c>
      <c r="B59">
        <v>2</v>
      </c>
      <c r="C59">
        <v>28</v>
      </c>
      <c r="D59">
        <v>4</v>
      </c>
      <c r="E59">
        <v>1</v>
      </c>
      <c r="F59" s="3">
        <f>564+(135.8-29)+(0+(0-0))+0-0-0</f>
        <v>670.8</v>
      </c>
      <c r="G59" s="3">
        <f>542+(132.3-29)+(-0.82926+(-0.202419--0.04437))+0-0-0</f>
        <v>644.31269099999997</v>
      </c>
      <c r="H59" s="3">
        <f>543+(105.2-28)+(0.27693+(0.053652-0.01428))+0-0-0</f>
        <v>620.516302</v>
      </c>
      <c r="I59" s="3">
        <f>543+(85.5-28)+(-0.55386+(-0.08721--0.02856))+0-0-0</f>
        <v>599.88748999999996</v>
      </c>
      <c r="J59" s="3">
        <f>483+(127.5-27)+(0.24633+(0.065025-0.01377))+0-0-0</f>
        <v>583.79758500000003</v>
      </c>
      <c r="K59" s="3">
        <f>470+(78.4-26)+(-0.9588+(-0.159936--0.05304))+0-0-0</f>
        <v>521.33430399999997</v>
      </c>
      <c r="L59" s="3">
        <f>424+(80.3-26)+(-0.86496+(-0.163812--0.05304))+0-0-0</f>
        <v>477.32426800000002</v>
      </c>
      <c r="M59" s="3">
        <f>382+(134.1-30)+(-0.38964+(-0.136782--0.0306))+0-0-0</f>
        <v>485.60417800000005</v>
      </c>
      <c r="N59" s="3">
        <f>385+(164.2-32)+(-0.58905+(-0.251226--0.04896))+0-0-0</f>
        <v>516.40868399999999</v>
      </c>
      <c r="O59" s="3">
        <f>449+(127.1-32)+(0.22899+(0.064821-0.01632))+0-0-0</f>
        <v>544.37749100000008</v>
      </c>
      <c r="P59" s="3">
        <f>506+(107.8-32)+(-0.25806+(-0.054978--0.01632))+0-0-0</f>
        <v>581.5032819999999</v>
      </c>
      <c r="Q59" s="3">
        <f>521+(137.7-30)+(0+(0-0))+0-0-0</f>
        <v>628.70000000000005</v>
      </c>
      <c r="R59" s="3">
        <f>515+(217.5-31)+(-0.78795+(-0.332775--0.04743))+0-0-0</f>
        <v>700.42670499999997</v>
      </c>
      <c r="S59" s="3">
        <f>560+(221.1-32)+(-0.5712+(-0.225522--0.03264))+0-0-0</f>
        <v>748.33591799999999</v>
      </c>
      <c r="T59" s="3">
        <f>588+(194.5-33)+(0.29988+(0.099195-0.01683))+0-0-0</f>
        <v>749.88224500000001</v>
      </c>
      <c r="U59" s="3">
        <f>589+(163.2-33)+(-0.30039+(-0.083232--0.01683))+0-0-0</f>
        <v>718.83320800000001</v>
      </c>
      <c r="V59" s="3">
        <f>588+(116.6-31)+(-0.89964+(-0.178398--0.04743))+0-0-0</f>
        <v>672.56939199999999</v>
      </c>
      <c r="W59" s="3">
        <f>614+(75.2-33.9)+(-1.87884+(-0.230112--0.103734))+0-0-0</f>
        <v>653.29478199999994</v>
      </c>
      <c r="X59" s="3">
        <f>618+(40.4-52.2)+(-1.5759+(-0.10302--0.13311))+0-0-0</f>
        <v>604.65419000000009</v>
      </c>
      <c r="Y59" s="3">
        <f>646+(47.5-35.7)+(-0.65892+(-0.04845--0.036414))+0-0-0</f>
        <v>657.12904399999991</v>
      </c>
      <c r="Z59" s="3">
        <f>690+(116-33)+(-0.7038+(-0.11832--0.03366))+0-0-0</f>
        <v>772.21154000000001</v>
      </c>
      <c r="AA59" s="3">
        <f>688+(141.5-32)+(-1.7544+(-0.360825--0.0816))+0-0-0</f>
        <v>795.46637499999997</v>
      </c>
      <c r="AB59" s="3">
        <f>659+(180.5-31)+(-1.00827+(-0.276165--0.04743))+0-0-0</f>
        <v>807.26299500000005</v>
      </c>
      <c r="AC59" s="3">
        <f>628+(175.3-30)+(-0.64056+(-0.178806--0.0306))+0-0-0</f>
        <v>772.51123399999994</v>
      </c>
      <c r="AD59">
        <f t="shared" si="0"/>
        <v>15527.143902999998</v>
      </c>
      <c r="AE59" s="3">
        <f>691+(134.9-33)+(0+(0-0))+0-0-0</f>
        <v>792.9</v>
      </c>
    </row>
    <row r="60" spans="1:31" s="2" customFormat="1" x14ac:dyDescent="0.25">
      <c r="A60">
        <v>89</v>
      </c>
      <c r="B60">
        <v>2</v>
      </c>
      <c r="C60">
        <v>29</v>
      </c>
      <c r="D60">
        <v>5</v>
      </c>
      <c r="E60">
        <v>1</v>
      </c>
      <c r="F60" s="3">
        <f>604+(151.5-31)+(-0.92412+(-0.231795--0.04743))+0-0-0</f>
        <v>723.39151500000003</v>
      </c>
      <c r="G60" s="3">
        <f>593+(145-31)+(0.30243+(0.07395-0.01581))+0-0-0</f>
        <v>707.36057000000005</v>
      </c>
      <c r="H60" s="3">
        <f>589+(101.3-31)+(-0.90117+(-0.154989--0.04743))+0-0-0</f>
        <v>658.29127099999994</v>
      </c>
      <c r="I60" s="3">
        <f>575+(91-30)+(-0.87975+(-0.13923--0.0459))+0-0-0</f>
        <v>635.02692000000002</v>
      </c>
      <c r="J60" s="3">
        <f>516+(127.2-30)+(0.26316+(0.064872-0.0153))+0-0-0</f>
        <v>613.51273200000003</v>
      </c>
      <c r="K60" s="3">
        <f>453+(140.1-30)+(-1.15515+(-0.357255--0.0765))+0-0-0</f>
        <v>561.66409499999997</v>
      </c>
      <c r="L60" s="3">
        <f>441+(97.9-28)+(0+(0-0))+0-0-0</f>
        <v>510.9</v>
      </c>
      <c r="M60" s="3">
        <f>434+(108.2-28)+(-0.66402+(-0.165546--0.04284))+0-0-0</f>
        <v>513.413274</v>
      </c>
      <c r="N60" s="3">
        <f>434+(145.9-26)+(-0.44268+(-0.148818--0.02652))+0-0-0</f>
        <v>553.33502199999998</v>
      </c>
      <c r="O60" s="3">
        <f>519+(96.9-27)+(-0.26469+(-0.049419--0.01377))+0-0-0</f>
        <v>588.59966099999997</v>
      </c>
      <c r="P60" s="3">
        <f>575+(78.7-30.5)+(-0.5865+(-0.080274--0.03111))+0-0-0</f>
        <v>622.56433600000003</v>
      </c>
      <c r="Q60" s="3">
        <f>590+(112.6-33)+(-0.6018+(-0.114852--0.03366))+0-0-0</f>
        <v>668.91700800000001</v>
      </c>
      <c r="R60" s="3">
        <f>612+(147.2-33)+(0+(0-0))+0-0-0</f>
        <v>726.2</v>
      </c>
      <c r="S60" s="3">
        <f>619+(183.9-33)+(-1.26276+(-0.375156--0.06732))+0-0-0</f>
        <v>768.32940399999995</v>
      </c>
      <c r="T60" s="3">
        <f>627+(200.5-33)+(0+(0-0))+0-0-0</f>
        <v>794.5</v>
      </c>
      <c r="U60" s="3">
        <f>627+(156.8-33)+(-0.95931+(-0.239904--0.05049))+0-0-0</f>
        <v>749.65127599999994</v>
      </c>
      <c r="V60" s="3">
        <f>654+(106.3-39)+(-1.33416+(-0.216852--0.07956))+0-0-0</f>
        <v>719.82854799999996</v>
      </c>
      <c r="W60" s="3">
        <f>661+(70-63)+(-1.34844+(-0.1428--0.12852))+0-0-0</f>
        <v>666.63728000000003</v>
      </c>
      <c r="X60" s="3">
        <f>661+(37.3-79)+(-1.68555+(-0.095115--0.20145))+0-0-0</f>
        <v>617.72078499999998</v>
      </c>
      <c r="Y60" s="3">
        <f>678+(80.5-40)+(-0.69156+(-0.08211--0.0408))+0-0-0</f>
        <v>717.76712999999995</v>
      </c>
      <c r="Z60" s="3">
        <f>738+(116.3-33)+(-0.37638+(-0.059313--0.01683))+0-0-0</f>
        <v>820.88113699999997</v>
      </c>
      <c r="AA60" s="3">
        <f>745+(115.3-33)+(-1.13985+(-0.176409--0.05049))+0-0-0</f>
        <v>826.03423099999998</v>
      </c>
      <c r="AB60" s="3">
        <f>735+(123.5-33)+(-1.87425+(-0.314925--0.08415))+0-0-0</f>
        <v>823.39497500000004</v>
      </c>
      <c r="AC60" s="3">
        <f>709+(121.3-33)+(-1.44636+(-0.247452--0.06732))+0-0-0</f>
        <v>795.67350799999997</v>
      </c>
      <c r="AD60">
        <f t="shared" si="0"/>
        <v>16383.594677999999</v>
      </c>
      <c r="AE60" s="3">
        <f>742+(118.1-34)+(0+(0-0))+0-0-0</f>
        <v>826.1</v>
      </c>
    </row>
    <row r="61" spans="1:31" s="2" customFormat="1" x14ac:dyDescent="0.25">
      <c r="A61">
        <v>89</v>
      </c>
      <c r="B61">
        <v>2</v>
      </c>
      <c r="C61">
        <v>30</v>
      </c>
      <c r="D61">
        <v>6</v>
      </c>
      <c r="E61">
        <v>1</v>
      </c>
      <c r="F61" s="3">
        <f>668+(99.1-32)+(-2.72544+(-0.404328--0.13056))+0-0-0</f>
        <v>732.10079200000007</v>
      </c>
      <c r="G61" s="3">
        <f>639+(94.7-33)+(-0.97767+(-0.144891--0.05049))+0-0-0</f>
        <v>699.62792899999999</v>
      </c>
      <c r="H61" s="3">
        <f>608+(113.2-33)+(-0.62016+(-0.115464--0.03366))+0-0-0</f>
        <v>687.49803600000007</v>
      </c>
      <c r="I61" s="3">
        <f>581+(116.7-33)+(-1.18524+(-0.238068--0.06732))+0-0-0</f>
        <v>663.34401200000002</v>
      </c>
      <c r="J61" s="3">
        <f>519+(158.9-34)+(0.52938+(0.162078-0.03468))+0-0-0</f>
        <v>644.55677800000001</v>
      </c>
      <c r="K61" s="3">
        <f>473+(120.1-20)+(-1.20615+(-0.306255--0.051))+0-0-0</f>
        <v>571.63859500000001</v>
      </c>
      <c r="L61" s="3">
        <f>442+(117.2-34)+(-0.90168+(-0.239088--0.06936))+0-0-0</f>
        <v>524.12859200000003</v>
      </c>
      <c r="M61" s="3">
        <f>501+(81.4-34)+(0.51102+(0.083028-0.03468))+0-0-0</f>
        <v>548.95936799999993</v>
      </c>
      <c r="N61" s="3">
        <f>581+(67.1-59.6)+(-0.59262+(-0.068442--0.060792))+0-0-0</f>
        <v>587.89972999999998</v>
      </c>
      <c r="O61" s="3">
        <f>598+(65.7-50.4)+(-0.30498+(-0.033507--0.025704))+0-0-0</f>
        <v>612.98721699999999</v>
      </c>
      <c r="P61" s="3">
        <f>619+(76.4-38)+(0+(0-0))+0-0-0</f>
        <v>657.4</v>
      </c>
      <c r="Q61" s="3">
        <f>645+(111.2-34)+(0.6579+(0.113424-0.03468))+0-0-0</f>
        <v>722.936644</v>
      </c>
      <c r="R61" s="3">
        <f>626+(172.6-33)+(-1.27704+(-0.352104--0.06732))+0-0-0</f>
        <v>764.03817600000002</v>
      </c>
      <c r="S61" s="3">
        <f>640+(171.4-32)+(-0.9792+(-0.262242--0.04896))+0-0-0</f>
        <v>778.20751799999994</v>
      </c>
      <c r="T61" s="3">
        <f>659+(157.8-32)+(-0.67218+(-0.160956--0.03264))+0-0-0</f>
        <v>783.999504</v>
      </c>
      <c r="U61" s="3">
        <f>634+(168.9-32)+(-0.32334+(-0.086139--0.01632))+0-0-0</f>
        <v>770.50684100000001</v>
      </c>
      <c r="V61" s="3">
        <f>679+(116.1-34.7)+(-1.03887+(-0.177633--0.053091))+0-0-0</f>
        <v>759.23658799999998</v>
      </c>
      <c r="W61" s="3">
        <f>689+(72.6-54.5)+(-1.40556+(-0.148104--0.11118))+0-0-0</f>
        <v>705.65751599999999</v>
      </c>
      <c r="X61" s="3">
        <f>691+(40.2-78.1)+(-2.11446+(-0.123012--0.238986))+0-0-0</f>
        <v>651.10151400000007</v>
      </c>
      <c r="Y61" s="3">
        <f>711+(51.1-51.8)+(-1.08783+(-0.078183--0.079254))+0-0-0</f>
        <v>709.21324099999993</v>
      </c>
      <c r="Z61" s="3">
        <f>742+(107.8-32)+(-0.37842+(-0.054978--0.01632))+0-0-0</f>
        <v>817.38292200000001</v>
      </c>
      <c r="AA61" s="3">
        <f>741+(129.4-33)+(-0.75582+(-0.131988--0.03366))+0-0-0</f>
        <v>836.54585199999997</v>
      </c>
      <c r="AB61" s="3">
        <f>740+(139.6-32)+(-1.1322+(-0.213588--0.04896))+0-0-0</f>
        <v>846.30317200000002</v>
      </c>
      <c r="AC61" s="3">
        <f>723+(130.4-32)+(-0.36873+(-0.066504--0.01632))+0-0-0</f>
        <v>820.981086</v>
      </c>
      <c r="AD61">
        <f t="shared" si="0"/>
        <v>16896.251622999996</v>
      </c>
      <c r="AE61" s="3">
        <f>744+(135.6-33)+(0+(0-0))+0-0-0</f>
        <v>846.6</v>
      </c>
    </row>
    <row r="62" spans="1:31" s="2" customFormat="1" x14ac:dyDescent="0.25">
      <c r="A62">
        <v>89</v>
      </c>
      <c r="B62">
        <v>2</v>
      </c>
      <c r="C62">
        <v>31</v>
      </c>
      <c r="D62">
        <v>7</v>
      </c>
      <c r="E62">
        <v>1</v>
      </c>
      <c r="F62" s="3">
        <f>683+(125.8-31)+(-0.34833+(-0.064158--0.01581))+0-0-0</f>
        <v>777.403322</v>
      </c>
      <c r="G62" s="3">
        <f>634+(127.3-32)+(0.32334+(0.064923-0.01632))+0-0-0</f>
        <v>729.67194299999994</v>
      </c>
      <c r="H62" s="3">
        <f>598+(154.7-20)+(-1.21992+(-0.315588--0.0408))+0-0-0</f>
        <v>731.2052920000001</v>
      </c>
      <c r="I62" s="3">
        <f>584+(147.9-28)+(0.59568+(0.150858-0.02856))+0-0-0</f>
        <v>704.61797799999999</v>
      </c>
      <c r="J62" s="3">
        <f>580+(134.3-28)+(-0.2958+(-0.068493--0.01428))+0-0-0</f>
        <v>685.94998699999996</v>
      </c>
      <c r="K62" s="3">
        <f>580+(81.7-38.1)+(-1.1832+(-0.166668--0.077724))+0-0-0</f>
        <v>622.327856</v>
      </c>
      <c r="L62" s="3">
        <f>462+(137-31)+(-0.94248+(-0.27948--0.06324))+0-0-0</f>
        <v>566.84127999999998</v>
      </c>
      <c r="M62" s="3">
        <f>433+(141.5-32)+(-0.44166+(-0.14433--0.03264))+0-0-0</f>
        <v>541.94664999999998</v>
      </c>
      <c r="N62" s="3">
        <f>433+(151-20)+(-0.44166+(-0.15402--0.0204))+0-0-0</f>
        <v>563.42471999999998</v>
      </c>
      <c r="O62" s="3">
        <f>433+(178.2-14)+(-0.88332+(-0.363528--0.02856))+0-0-0</f>
        <v>595.98171200000002</v>
      </c>
      <c r="P62" s="3">
        <f>431+(242.9-30)+(-0.43962+(-0.247758--0.0306))+0-0-0</f>
        <v>643.24322199999995</v>
      </c>
      <c r="Q62" s="3">
        <f>480+(245.8-32)+(-0.4896+(-0.250716--0.03264))+0-0-0</f>
        <v>693.09232399999996</v>
      </c>
      <c r="R62" s="3">
        <f>556+(201.9-33)+(-1.13424+(-0.411876--0.06732))+0-0-0</f>
        <v>723.42120399999999</v>
      </c>
      <c r="S62" s="3">
        <f>612+(177.5-33)+(-0.31212+(-0.090525--0.01683))+0-0-0</f>
        <v>756.11418500000002</v>
      </c>
      <c r="T62" s="3">
        <f>615+(165.5-33)+(-0.6273+(-0.16881--0.03366))+0-0-0</f>
        <v>746.73755000000006</v>
      </c>
      <c r="U62" s="3">
        <f>620+(158.6-32)+(-1.8972+(-0.485316--0.09792))+0-0-0</f>
        <v>744.31540400000006</v>
      </c>
      <c r="V62" s="3">
        <f>656+(116.2-32)+(-1.33824+(-0.237048--0.06528))+0-0-0</f>
        <v>738.68999200000007</v>
      </c>
      <c r="W62" s="3">
        <f>663+(78-39.4)+(-1.01439+(-0.11934--0.060282))+0-0-0</f>
        <v>700.52655200000004</v>
      </c>
      <c r="X62" s="3">
        <f>595+(82.8-31)+(-2.12415+(-0.295596--0.11067))+0-0-0</f>
        <v>644.49092399999995</v>
      </c>
      <c r="Y62" s="3">
        <f>537+(202.3-30)+(-0.54774+(-0.206346--0.0306))+0-0-0</f>
        <v>708.57651399999997</v>
      </c>
      <c r="Z62" s="3">
        <f>649+(204.4-31)+(-0.99297+(-0.312732--0.04743))+0-0-0</f>
        <v>821.14172799999994</v>
      </c>
      <c r="AA62" s="3">
        <f>687+(195.3-32)+(-1.05111+(-0.298809--0.04896))+0-0-0</f>
        <v>848.99904099999992</v>
      </c>
      <c r="AB62" s="3">
        <f>687+(191.6-32)+(-1.40148+(-0.390864--0.06528))+0-0-0</f>
        <v>844.87293599999998</v>
      </c>
      <c r="AC62" s="3">
        <f>671+(184.6-31)+(-1.02663+(-0.282438--0.04743))+0-0-0</f>
        <v>823.33836200000007</v>
      </c>
      <c r="AD62">
        <f t="shared" si="0"/>
        <v>16956.930677999997</v>
      </c>
      <c r="AE62" s="3">
        <f>681+(199.7-32)+(0+(0-0))+0-0-0</f>
        <v>848.7</v>
      </c>
    </row>
    <row r="63" spans="1:31" s="2" customFormat="1" x14ac:dyDescent="0.25">
      <c r="A63">
        <v>89</v>
      </c>
      <c r="B63">
        <v>3</v>
      </c>
      <c r="C63">
        <v>1</v>
      </c>
      <c r="D63">
        <v>1</v>
      </c>
      <c r="E63">
        <v>1</v>
      </c>
      <c r="F63" s="3">
        <f>610+(193.3-31)+(-0.6222+(-0.197166--0.03162))+0-0-0</f>
        <v>771.51225399999998</v>
      </c>
      <c r="G63" s="3">
        <f>588+(194.2-31)+(0.89964+(0.297126-0.04743))+0-0-0</f>
        <v>752.34933599999999</v>
      </c>
      <c r="H63" s="3">
        <f>590+(168.7-32)+(-1.5045+(-0.430185--0.0816))+0-0-0</f>
        <v>724.84691500000008</v>
      </c>
      <c r="I63" s="3">
        <f>586+(148.9-32)+(-0.29886+(-0.075939--0.01632))+0-0-0</f>
        <v>702.54152099999999</v>
      </c>
      <c r="J63" s="3">
        <f>510+(204.9-32)+(0.2601+(0.104499-0.01632))+0-0-0</f>
        <v>683.24827900000003</v>
      </c>
      <c r="K63" s="3">
        <f>456+(188.9-33)+(-1.1628+(-0.481695--0.08415))+0-0-0</f>
        <v>610.33965499999999</v>
      </c>
      <c r="L63" s="3">
        <f>423+(170-33)+(0+(0-0))+0-0-0</f>
        <v>560</v>
      </c>
      <c r="M63" s="3">
        <f>423+(197.6-32)+(0.21573+(0.100776-0.01632))+0-0-0</f>
        <v>588.90018600000008</v>
      </c>
      <c r="N63" s="3">
        <f>422+(183.7-31)+(0+(0-0))+0-0-0</f>
        <v>574.70000000000005</v>
      </c>
      <c r="O63" s="3">
        <f>527+(110.2-31)+(-0.53754+(-0.112404--0.03162))+0-0-0</f>
        <v>605.58167600000002</v>
      </c>
      <c r="P63" s="3">
        <f>575+(110.2-32)+(-1.46625+(-0.28101--0.0816))+0-0-0</f>
        <v>651.53434000000004</v>
      </c>
      <c r="Q63" s="3">
        <f>612+(110.2-33)+(-0.31212+(-0.056202--0.01683))+0-0-0</f>
        <v>688.84850800000004</v>
      </c>
      <c r="R63" s="3">
        <f>626+(186.3-33)+(-0.63852+(-0.190026--0.03366))+0-0-0</f>
        <v>778.50511399999994</v>
      </c>
      <c r="S63" s="3">
        <f>640+(198.4-33)+(-0.9792+(-0.303552--0.05049))+0-0-0</f>
        <v>804.16773799999999</v>
      </c>
      <c r="T63" s="3">
        <f>653+(174.5-33)+(0.33303+(0.088995-0.01683))+0-0-0</f>
        <v>794.90519500000005</v>
      </c>
      <c r="U63" s="3">
        <f>658+(159.2-33)+(-1.6779+(-0.40596--0.08415))+0-0-0</f>
        <v>782.20029</v>
      </c>
      <c r="V63" s="3">
        <f>660+(118.8-32)+(-0.6732+(-0.121176--0.03264))+0-0-0</f>
        <v>746.03826399999991</v>
      </c>
      <c r="W63" s="3">
        <f>703+(66.1-39.1)+(-1.79265+(-0.168555--0.099705))+0-0-0</f>
        <v>728.13850000000002</v>
      </c>
      <c r="X63" s="3">
        <f>702+(34.3-62.8)+(-1.43208+(-0.069972--0.128112))+0-0-0</f>
        <v>672.12606000000005</v>
      </c>
      <c r="Y63" s="3">
        <f>584+(174.5-32)+(-1.19136+(-0.35598--0.06528))+0-0-0</f>
        <v>725.01793999999995</v>
      </c>
      <c r="Z63" s="3">
        <f>731+(142.8-32)+(-1.86405+(-0.36414--0.0816))+0-0-0</f>
        <v>839.65341000000001</v>
      </c>
      <c r="AA63" s="3">
        <f>741+(167-33)+(-2.64537+(-0.59619--0.11781))+0-0-0</f>
        <v>871.87625000000003</v>
      </c>
      <c r="AB63" s="3">
        <f>740+(175.5-33)+(-1.5096+(-0.35802--0.06732))+0-0-0</f>
        <v>880.69970000000001</v>
      </c>
      <c r="AC63" s="3">
        <f>723+(153.7-32)+(-0.73746+(-0.156774--0.03264))+0-0-0</f>
        <v>843.83840600000008</v>
      </c>
      <c r="AD63">
        <f t="shared" si="0"/>
        <v>17381.569536999999</v>
      </c>
      <c r="AE63" s="3">
        <f>742+(170.2-33)+(0+(0-0))+0-0-0</f>
        <v>879.2</v>
      </c>
    </row>
    <row r="64" spans="1:31" s="2" customFormat="1" x14ac:dyDescent="0.25">
      <c r="A64">
        <v>89</v>
      </c>
      <c r="B64">
        <v>3</v>
      </c>
      <c r="C64">
        <v>2</v>
      </c>
      <c r="D64">
        <v>2</v>
      </c>
      <c r="E64">
        <v>1</v>
      </c>
      <c r="F64" s="3">
        <f>684+(140.3-31)+(-0.69768+(-0.143106--0.03162))+0-0-0</f>
        <v>792.49083399999995</v>
      </c>
      <c r="G64" s="3">
        <f>648+(135.1-31)+(-1.6524+(-0.344505--0.07905))+0-0-0</f>
        <v>750.18214499999999</v>
      </c>
      <c r="H64" s="3">
        <f>643+(106.8-31)+(-0.98379+(-0.163404--0.04743))+0-0-0</f>
        <v>717.7002359999999</v>
      </c>
      <c r="I64" s="3">
        <f>642+(86.7-33.9)+(-0.98226+(-0.132651--0.051867))+0-0-0</f>
        <v>693.73695599999996</v>
      </c>
      <c r="J64" s="3">
        <f>642+(68.1-42)+(-0.65484+(-0.069462--0.04284))+0-0-0</f>
        <v>667.41853800000001</v>
      </c>
      <c r="K64" s="3">
        <f>536+(102.5-33)+(-0.82008+(-0.156825--0.05049))+0-0-0</f>
        <v>604.57358499999998</v>
      </c>
      <c r="L64" s="3">
        <f>488+(95.8-33)+(-0.24888+(-0.048858--0.01683))+0-0-0</f>
        <v>550.519092</v>
      </c>
      <c r="M64" s="3">
        <f>488+(101.9-30)+(-0.24888+(-0.051969--0.0153))+0-0-0</f>
        <v>559.61445100000003</v>
      </c>
      <c r="N64" s="3">
        <f>487+(120.6-31)+(-0.24837+(-0.061506--0.01581))+0-0-0</f>
        <v>576.30593399999998</v>
      </c>
      <c r="O64" s="3">
        <f>487+(152-34)+(-0.49674+(-0.15504--0.03468))+0-0-0</f>
        <v>604.38289999999995</v>
      </c>
      <c r="P64" s="3">
        <f>486+(199.4-35)+(-1.48716+(-0.610164--0.1071))+0-0-0</f>
        <v>648.40977599999997</v>
      </c>
      <c r="Q64" s="3">
        <f>547+(212.1-34)+(-0.27897+(-0.108171--0.01734))+0-0-0</f>
        <v>724.73019899999997</v>
      </c>
      <c r="R64" s="3">
        <f>641+(212-33)+(-0.65382+(-0.21624--0.03366))+0-0-0</f>
        <v>819.16359999999997</v>
      </c>
      <c r="S64" s="3">
        <f>653+(199-33)+(-1.66515+(-0.50745--0.08415))+0-0-0</f>
        <v>816.91155000000003</v>
      </c>
      <c r="T64" s="3">
        <f>668+(185.9-29)+(0+(0-0))+0-0-0</f>
        <v>824.9</v>
      </c>
      <c r="U64" s="3">
        <f>667+(161.8-28)+(-1.02051+(-0.247554--0.04284))+0-0-0</f>
        <v>799.57477599999993</v>
      </c>
      <c r="V64" s="3">
        <f>685+(123.3-28)+(-1.3974+(-0.251532--0.05712))+0-0-0</f>
        <v>778.70818799999995</v>
      </c>
      <c r="W64" s="3">
        <f>695+(63.1-38.2)+(-2.1267+(-0.193086--0.116892))+0-0-0</f>
        <v>717.69710599999996</v>
      </c>
      <c r="X64" s="3">
        <f>695+(29.4-62.7)+(-1.77225+(-0.07497--0.159885))+0-0-0</f>
        <v>660.01266500000008</v>
      </c>
      <c r="Y64" s="3">
        <f>692+(68.9-33)+(-0.35292+(-0.035139--0.01683))+0-0-0</f>
        <v>727.52877100000001</v>
      </c>
      <c r="Z64" s="3">
        <f>736+(140.6-31)+(-0.37536+(-0.071706--0.01581))+0-0-0</f>
        <v>845.16874400000006</v>
      </c>
      <c r="AA64" s="3">
        <f>744+(101.3-32)+(-1.13832+(-0.154989--0.04896))+0-0-0</f>
        <v>812.0556509999999</v>
      </c>
      <c r="AB64" s="3">
        <f>743+(135.1-32)+(-1.89465+(-0.344505--0.0816))+0-0-0</f>
        <v>843.94244500000002</v>
      </c>
      <c r="AC64" s="3">
        <f>730+(136.2-33)+(-0.7446+(-0.138924--0.03366))+0-0-0</f>
        <v>832.35013600000002</v>
      </c>
      <c r="AD64">
        <f t="shared" si="0"/>
        <v>17368.078278000001</v>
      </c>
      <c r="AE64" s="3">
        <f>697+(154.4-34)+(0+(0-0))+0-0-0</f>
        <v>817.4</v>
      </c>
    </row>
    <row r="65" spans="1:31" s="2" customFormat="1" x14ac:dyDescent="0.25">
      <c r="A65">
        <v>89</v>
      </c>
      <c r="B65">
        <v>3</v>
      </c>
      <c r="C65">
        <v>3</v>
      </c>
      <c r="D65">
        <v>3</v>
      </c>
      <c r="E65">
        <v>1</v>
      </c>
      <c r="F65" s="3">
        <f>663+(146.5-32)+(-1.01439+(-0.224145--0.04896))+0-0-0</f>
        <v>776.31042500000001</v>
      </c>
      <c r="G65" s="3">
        <f>618+(160.8-31)+(-0.31518+(-0.082008--0.01581))+0-0-0</f>
        <v>747.41862199999991</v>
      </c>
      <c r="H65" s="3">
        <f>610+(142.1-30)+(-0.3111+(-0.072471--0.0153))+0-0-0</f>
        <v>721.73172899999997</v>
      </c>
      <c r="I65" s="3">
        <f>610+(126.6-30)+(-0.6222+(-0.129132--0.0306))+0-0-0</f>
        <v>705.87926800000002</v>
      </c>
      <c r="J65" s="3">
        <f>558+(155.6-30)+(-1.4229+(-0.39678--0.0765))+0-0-0</f>
        <v>681.85681999999997</v>
      </c>
      <c r="K65" s="3">
        <f>501+(144-31)+(-0.76653+(-0.22032--0.04743))+0-0-0</f>
        <v>613.06057999999996</v>
      </c>
      <c r="L65" s="3">
        <f>454+(138.2-33)+(-0.23154+(-0.070482--0.01683))+0-0-0</f>
        <v>558.91480799999999</v>
      </c>
      <c r="M65" s="3">
        <f>449+(157.1-32)+(0+(0-0))+0-0-0</f>
        <v>574.1</v>
      </c>
      <c r="N65" s="3">
        <f>464+(168.2-31)+(-0.23664+(-0.085782--0.01581))+0-0-0</f>
        <v>600.89338800000007</v>
      </c>
      <c r="O65" s="3">
        <f>570+(83.4-31)+(-0.2907+(-0.042534--0.01581))+0-0-0</f>
        <v>622.08257600000002</v>
      </c>
      <c r="P65" s="3">
        <f>609+(91-31)+(-0.31059+(-0.04641--0.01581))+0-0-0</f>
        <v>668.65881000000002</v>
      </c>
      <c r="Q65" s="3">
        <f>612+(144-33)+(-0.62424+(-0.14688--0.03366))+0-0-0</f>
        <v>722.26253999999994</v>
      </c>
      <c r="R65" s="3">
        <f>602+(205.3-32)+(-0.61404+(-0.209406--0.03264))+0-0-0</f>
        <v>774.50919399999998</v>
      </c>
      <c r="S65" s="3">
        <f>633+(219.2-31)+(-0.64566+(-0.223584--0.03162))+0-0-0</f>
        <v>820.36237600000004</v>
      </c>
      <c r="T65" s="3">
        <f>654+(213.8-31)+(0+(0-0))+0-0-0</f>
        <v>836.8</v>
      </c>
      <c r="U65" s="3">
        <f>656+(192.9-31)+(-0.66912+(-0.196758--0.03162))+0-0-0</f>
        <v>817.065742</v>
      </c>
      <c r="V65" s="3">
        <f>694+(166.3-31)+(-2.12364+(-0.508878--0.09486))+0-0-0</f>
        <v>826.76234199999999</v>
      </c>
      <c r="W65" s="3">
        <f>709+(95.4-30)+(-1.44636+(-0.194616--0.0612))+0-0-0</f>
        <v>772.82022399999994</v>
      </c>
      <c r="X65" s="3">
        <f>654+(80.3-32)+(-2.00124+(-0.245718--0.09792))+0-0-0</f>
        <v>700.15096199999994</v>
      </c>
      <c r="Y65" s="3">
        <f>664+(124-32)+(-1.6932+(-0.3162--0.0816))+0-0-0</f>
        <v>754.07219999999995</v>
      </c>
      <c r="Z65" s="3">
        <f>694+(209.7-32)+(-1.06182+(-0.320841--0.04896))+0-0-0</f>
        <v>870.36629900000003</v>
      </c>
      <c r="AA65" s="3">
        <f>753+(180.5-32)+(-2.68821+(-0.644385--0.11424))+0-0-0</f>
        <v>898.28164500000003</v>
      </c>
      <c r="AB65" s="3">
        <f>746+(180.1-32)+(-1.52184+(-0.367404--0.06528))+0-0-0</f>
        <v>892.27603599999998</v>
      </c>
      <c r="AC65" s="3">
        <f>742+(169.4-33)+(-1.8921+(-0.43197--0.08415))+0-0-0</f>
        <v>876.16007999999999</v>
      </c>
      <c r="AD65">
        <f t="shared" ref="AD65:AD128" si="1">SUM(F65:AC65)</f>
        <v>17832.796665999998</v>
      </c>
      <c r="AE65" s="3">
        <f>749+(188.7-34)+(0+(0-0))+0-0-0</f>
        <v>903.7</v>
      </c>
    </row>
    <row r="66" spans="1:31" s="2" customFormat="1" x14ac:dyDescent="0.25">
      <c r="A66">
        <v>89</v>
      </c>
      <c r="B66">
        <v>3</v>
      </c>
      <c r="C66">
        <v>4</v>
      </c>
      <c r="D66">
        <v>4</v>
      </c>
      <c r="E66">
        <v>1</v>
      </c>
      <c r="F66" s="3">
        <f>691+(151-32)+(-1.05723+(-0.23103--0.04896))+0-0-0</f>
        <v>808.76070000000004</v>
      </c>
      <c r="G66" s="3">
        <f>656+(144.2-31)+(-1.00368+(-0.220626--0.04743))+0-0-0</f>
        <v>768.02312400000005</v>
      </c>
      <c r="H66" s="3">
        <f>605+(171.6-31)+(-0.6171+(-0.175032--0.03162))+0-0-0</f>
        <v>744.83948800000007</v>
      </c>
      <c r="I66" s="3">
        <f>595+(160.6-29)+(-1.8207+(-0.491436--0.08874))+0-0-0</f>
        <v>724.37660400000004</v>
      </c>
      <c r="J66" s="3">
        <f>505+(220.9-29)+(-0.5151+(-0.225318--0.02958))+0-0-0</f>
        <v>696.18916200000001</v>
      </c>
      <c r="K66" s="3">
        <f>443+(213.8-30)+(-1.12965+(-0.54519--0.0765))+0-0-0</f>
        <v>625.20165999999995</v>
      </c>
      <c r="L66" s="3">
        <f>444+(174.5-30)+(-1.1322+(-0.444975--0.0765))+0-0-0</f>
        <v>586.999325</v>
      </c>
      <c r="M66" s="3">
        <f>493+(141.5-30)+(-1.00572+(-0.28866--0.0612))+0-0-0</f>
        <v>603.26682000000005</v>
      </c>
      <c r="N66" s="3">
        <f>540+(130.7-29)+(-0.5508+(-0.133314--0.02958))+0-0-0</f>
        <v>641.04546600000003</v>
      </c>
      <c r="O66" s="3">
        <f>614+(81.9-33.7)+(-0.93942+(-0.125307--0.051561))+0-0-0</f>
        <v>661.18683400000009</v>
      </c>
      <c r="P66" s="3">
        <f>608+(95.4-28)+(-0.31008+(-0.048654--0.01428))+0-0-0</f>
        <v>675.05554599999994</v>
      </c>
      <c r="Q66" s="3">
        <f>622+(145-27)+(-0.31722+(-0.07395--0.01377))+0-0-0</f>
        <v>739.62260000000003</v>
      </c>
      <c r="R66" s="3">
        <f>614+(230.9-33)+(-0.62628+(-0.235518--0.03366))+0-0-0</f>
        <v>811.07186200000001</v>
      </c>
      <c r="S66" s="3">
        <f>591+(283.5-33)+(-0.60282+(-0.28917--0.03366))+0-0-0</f>
        <v>840.64166999999998</v>
      </c>
      <c r="T66" s="3">
        <f>632+(234.5-32)+(-0.96696+(-0.358785--0.04896))+0-0-0</f>
        <v>833.22321499999998</v>
      </c>
      <c r="U66" s="3">
        <f>663+(179.9-33)+(0.33813+(0.091749-0.01683))+0-0-0</f>
        <v>810.31304899999998</v>
      </c>
      <c r="V66" s="3">
        <f>717+(136.4-34)+(0.36567+(0.069564-0.01734))+0-0-0</f>
        <v>819.81789400000002</v>
      </c>
      <c r="W66" s="3">
        <f>728+(92-36.2)+(-1.48512+(-0.18768--0.073848))+0-0-0</f>
        <v>782.2010479999999</v>
      </c>
      <c r="X66" s="3">
        <f>727+(53.7-64.9)+(-2.22462+(-0.164322--0.198594))+0-0-0</f>
        <v>713.60965199999998</v>
      </c>
      <c r="Y66" s="3">
        <f>746+(60.5-41.7)+(-1.9023+(-0.154275--0.106335))+0-0-0</f>
        <v>762.84975999999995</v>
      </c>
      <c r="Z66" s="3">
        <f>761+(148.4-33)+(-2.32866+(-0.454104--0.10098))+0-0-0</f>
        <v>873.71821599999998</v>
      </c>
      <c r="AA66" s="3">
        <f>761+(167.9-33)+(-3.10488+(-0.685032--0.13464))+0-0-0</f>
        <v>892.24472800000001</v>
      </c>
      <c r="AB66" s="3">
        <f>761+(165.2-32)+(-0.38811+(-0.084252--0.01632))+0-0-0</f>
        <v>893.74395800000002</v>
      </c>
      <c r="AC66" s="3">
        <f>747+(156.1-32)+(-1.90485+(-0.398055--0.0816))+0-0-0</f>
        <v>868.87869499999999</v>
      </c>
      <c r="AD66">
        <f t="shared" si="1"/>
        <v>18176.881075999998</v>
      </c>
      <c r="AE66" s="3">
        <f>763+(159.5-34)+(0+(0-0))+0-0-0</f>
        <v>888.5</v>
      </c>
    </row>
    <row r="67" spans="1:31" s="2" customFormat="1" x14ac:dyDescent="0.25">
      <c r="A67">
        <v>89</v>
      </c>
      <c r="B67">
        <v>3</v>
      </c>
      <c r="C67">
        <v>5</v>
      </c>
      <c r="D67">
        <v>5</v>
      </c>
      <c r="E67">
        <v>1</v>
      </c>
      <c r="F67" s="3">
        <f>703+(136.6-32)+(-1.43412+(-0.278664--0.06528))+0-0-0</f>
        <v>805.952496</v>
      </c>
      <c r="G67" s="3">
        <f>670+(134.5-31)+(0.3417+(0.068595-0.01581))+0-0-0</f>
        <v>773.89448500000003</v>
      </c>
      <c r="H67" s="3">
        <f>626+(154-31)+(-1.5963+(-0.3927--0.07905))+0-0-0</f>
        <v>747.09005000000002</v>
      </c>
      <c r="I67" s="3">
        <f>578+(186.9-30)+(-0.88434+(-0.285957--0.0459))+0-0-0</f>
        <v>733.77560299999993</v>
      </c>
      <c r="J67" s="3">
        <f>535+(197.8-30)+(-0.27285+(-0.100878--0.0153))+0-0-0</f>
        <v>702.44157199999995</v>
      </c>
      <c r="K67" s="3">
        <f>507+(162.7-29)+(-1.55142+(-0.497862--0.08874))+0-0-0</f>
        <v>638.73945800000001</v>
      </c>
      <c r="L67" s="3">
        <f>449+(163.3-30)+(-0.91596+(-0.333132--0.0612))+0-0-0</f>
        <v>581.11210799999992</v>
      </c>
      <c r="M67" s="3">
        <f>451+(177.4-32)+(-0.46002+(-0.180948--0.03264))+0-0-0</f>
        <v>595.79167199999995</v>
      </c>
      <c r="N67" s="3">
        <f>529+(114.2-33)+(0.26979+(0.058242-0.01683))+0-0-0</f>
        <v>610.51120200000003</v>
      </c>
      <c r="O67" s="3">
        <f>599+(70.4-40.7)+(-1.22196+(-0.143616--0.083028))+0-0-0</f>
        <v>627.41745200000003</v>
      </c>
      <c r="P67" s="3">
        <f>609+(112.2-30)+(0+(0-0))+0-0-0</f>
        <v>691.2</v>
      </c>
      <c r="Q67" s="3">
        <f>645+(128.9-31)+(-0.32895+(-0.065739--0.01581))+0-0-0</f>
        <v>742.52112099999999</v>
      </c>
      <c r="R67" s="3">
        <f>641+(194.4-32)+(-0.32691+(-0.099144--0.01632))+0-0-0</f>
        <v>802.99026600000002</v>
      </c>
      <c r="S67" s="3">
        <f>666+(201.7-33)+(-0.33966+(-0.102867--0.01683))+0-0-0</f>
        <v>834.27430300000003</v>
      </c>
      <c r="T67" s="3">
        <f>677+(195-33)+(-0.69054+(-0.1989--0.03366))+0-0-0</f>
        <v>838.14422000000002</v>
      </c>
      <c r="U67" s="3">
        <f>679+(167.5-32)+(-0.34629+(-0.085425--0.01632))+0-0-0</f>
        <v>814.08460500000001</v>
      </c>
      <c r="V67" s="3">
        <f>681+(126.2-32)+(-1.04193+(-0.193086--0.04896))+0-0-0</f>
        <v>774.01394400000004</v>
      </c>
      <c r="W67" s="3">
        <f>709+(71.6-35.4)+(-2.53113+(-0.255612--0.126378))+0-0-0</f>
        <v>742.53963600000009</v>
      </c>
      <c r="X67" s="3">
        <f>718+(35.9-78)+(-2.56326+(-0.128163--0.27846))+0-0-0</f>
        <v>673.48703699999999</v>
      </c>
      <c r="Y67" s="3">
        <f>680+(91.2-32)+(-1.3872+(-0.186048--0.06528))+0-0-0</f>
        <v>737.69203200000004</v>
      </c>
      <c r="Z67" s="3">
        <f>762+(125.8-32)+(-0.77724+(-0.128316--0.03264))+0-0-0</f>
        <v>854.92708399999992</v>
      </c>
      <c r="AA67" s="3">
        <f>764+(142.7-33)+(-2.33784+(-0.436662--0.10098))+0-0-0</f>
        <v>871.026478</v>
      </c>
      <c r="AB67" s="3">
        <f>742+(159.2-33)+(0.37842+(0.081192-0.01683))+0-0-0</f>
        <v>868.64278200000001</v>
      </c>
      <c r="AC67" s="3">
        <f>711+(152.7-33)+(-0.36261+(-0.077877--0.01683))+0-0-0</f>
        <v>830.276343</v>
      </c>
      <c r="AD67">
        <f t="shared" si="1"/>
        <v>17892.545949000003</v>
      </c>
      <c r="AE67" s="3">
        <f>732+(135.1-33)+(0+(0-0))+0-0-0</f>
        <v>834.1</v>
      </c>
    </row>
    <row r="68" spans="1:31" s="2" customFormat="1" x14ac:dyDescent="0.25">
      <c r="A68">
        <v>89</v>
      </c>
      <c r="B68">
        <v>3</v>
      </c>
      <c r="C68">
        <v>6</v>
      </c>
      <c r="D68">
        <v>6</v>
      </c>
      <c r="E68">
        <v>1</v>
      </c>
      <c r="F68" s="3">
        <f>688+(126.7-31)+(-1.40352+(-0.258468--0.06324))+0-0-0</f>
        <v>782.10125200000004</v>
      </c>
      <c r="G68" s="3">
        <f>667+(111.2-30)+(-0.34017+(-0.056712--0.0153))+0-0-0</f>
        <v>747.81841800000007</v>
      </c>
      <c r="H68" s="3">
        <f>656+(92.2-26.2)+(-0.66912+(-0.094044--0.026724))+0-0-0</f>
        <v>721.26355999999998</v>
      </c>
      <c r="I68" s="3">
        <f>656+(71.3-32.3)+(-2.00736+(-0.218178--0.098838))+0-0-0</f>
        <v>692.87329999999997</v>
      </c>
      <c r="J68" s="3">
        <f>656+(64.8-37.7)+(-1.00368+(-0.099144--0.057681))+0-0-0</f>
        <v>682.05485699999997</v>
      </c>
      <c r="K68" s="3">
        <f>658+(35.5-73.3)+(-2.68464+(-0.14484--0.299064))+0-0-0</f>
        <v>617.6695840000001</v>
      </c>
      <c r="L68" s="3">
        <f>646+(13.5-93.2)+(-0.65892+(-0.01377--0.095064))+0-0-0</f>
        <v>565.72237399999995</v>
      </c>
      <c r="M68" s="3">
        <f>644+(21.5-86.4)+(0+(0-0))+0-0-0</f>
        <v>579.1</v>
      </c>
      <c r="N68" s="3">
        <f>590+(54.5-43.4)+(0.6018+(0.05559-0.044268))+0-0-0</f>
        <v>601.713122</v>
      </c>
      <c r="O68" s="3">
        <f>514+(137-31)+(-0.52428+(-0.13974--0.03162))+0-0-0</f>
        <v>619.36760000000004</v>
      </c>
      <c r="P68" s="3">
        <f>513+(170.4-32)+(-0.26163+(-0.086904--0.01632))+0-0-0</f>
        <v>651.06778599999996</v>
      </c>
      <c r="Q68" s="3">
        <f>614+(130-32)+(0+(0-0))+0-0-0</f>
        <v>712</v>
      </c>
      <c r="R68" s="3">
        <f>638+(165.2-32)+(-0.97614+(-0.252756--0.04896))+0-0-0</f>
        <v>770.02006400000005</v>
      </c>
      <c r="S68" s="3">
        <f>657+(165.8-32)+(-0.67014+(-0.169116--0.03264))+0-0-0</f>
        <v>789.99338399999999</v>
      </c>
      <c r="T68" s="3">
        <f>663+(180.7-32)+(-0.67626+(-0.184314--0.03264))+0-0-0</f>
        <v>810.87206600000002</v>
      </c>
      <c r="U68" s="3">
        <f>665+(169.7-31)+(-0.6783+(-0.173094--0.03162))+0-0-0</f>
        <v>802.88022599999999</v>
      </c>
      <c r="V68" s="3">
        <f>682+(125.3-30)+(-0.34782+(-0.063903--0.0153))+0-0-0</f>
        <v>776.90357699999993</v>
      </c>
      <c r="W68" s="3">
        <f>687+(69.2-38.9)+(-1.75185+(-0.17646--0.099195))+0-0-0</f>
        <v>715.47088499999995</v>
      </c>
      <c r="X68" s="3">
        <f>695+(27.5-75.5)+(-1.77225+(-0.070125--0.192525))+0-0-0</f>
        <v>645.35014999999999</v>
      </c>
      <c r="Y68" s="3">
        <f>730+(32.5-58.8)+(-0.7446+(-0.03315--0.059976))+0-0-0</f>
        <v>702.98222600000008</v>
      </c>
      <c r="Z68" s="3">
        <f>770+(87.2-33)+(-1.1781+(-0.133416--0.05049))+0-0-0</f>
        <v>822.93897400000003</v>
      </c>
      <c r="AA68" s="3">
        <f>764+(108.7-33)+(-1.16892+(-0.166311--0.05049))+0-0-0</f>
        <v>838.41525899999999</v>
      </c>
      <c r="AB68" s="3">
        <f>752+(120.1-33)+(-1.53408+(-0.245004--0.06732))+0-0-0</f>
        <v>837.38823600000001</v>
      </c>
      <c r="AC68" s="3">
        <f>704+(136.9-32)+(-1.43616+(-0.279276--0.06528))+0-0-0</f>
        <v>807.24984399999994</v>
      </c>
      <c r="AD68">
        <f t="shared" si="1"/>
        <v>17293.216743999998</v>
      </c>
      <c r="AE68" s="3">
        <f>771+(106.3-32)+(0+(0-0))+0-0-0</f>
        <v>845.3</v>
      </c>
    </row>
    <row r="69" spans="1:31" s="2" customFormat="1" x14ac:dyDescent="0.25">
      <c r="A69">
        <v>89</v>
      </c>
      <c r="B69">
        <v>3</v>
      </c>
      <c r="C69">
        <v>7</v>
      </c>
      <c r="D69">
        <v>7</v>
      </c>
      <c r="E69">
        <v>1</v>
      </c>
      <c r="F69" s="3">
        <f>699+(106.2-30)+(1.42596+(0.216648-0.0612))+0-0-0</f>
        <v>776.78140800000006</v>
      </c>
      <c r="G69" s="3">
        <f>609+(163.4-30)+(0.62118+(0.166668-0.0306))+0-0-0</f>
        <v>743.15724799999998</v>
      </c>
      <c r="H69" s="3">
        <f>593+(158.1-29)+(0.60486+(0.161262-0.02958))+0-0-0</f>
        <v>722.83654200000001</v>
      </c>
      <c r="I69" s="3">
        <f>593+(143.3-29)+(0+(0-0))+0-0-0</f>
        <v>707.3</v>
      </c>
      <c r="J69" s="3">
        <f>593+(123.4-30)+(0.60486+(0.125868-0.0306))+0-0-0</f>
        <v>687.10012799999993</v>
      </c>
      <c r="K69" s="3">
        <f>567+(90.8-32)+(-0.86751+(-0.138924--0.04896))+0-0-0</f>
        <v>624.84252599999991</v>
      </c>
      <c r="L69" s="3">
        <f>486+(117.3-33)+(-0.74358+(-0.179469--0.05049))+0-0-0</f>
        <v>569.42744099999993</v>
      </c>
      <c r="M69" s="3">
        <f>468+(118.7-32)+(-0.47736+(-0.121074--0.03264))+0-0-0</f>
        <v>554.13420600000006</v>
      </c>
      <c r="N69" s="3">
        <f>543+(57.9-37.3)+(-0.83079+(-0.088587--0.057069))+0-0-0</f>
        <v>562.73769200000004</v>
      </c>
      <c r="O69" s="3">
        <f>596+(46.4-56.8)+(-0.91188+(-0.070992--0.086904))+0-0-0</f>
        <v>584.70403199999998</v>
      </c>
      <c r="P69" s="3">
        <f>604+(58.4-51.7)+(0+(0-0))+0-0-0</f>
        <v>610.70000000000005</v>
      </c>
      <c r="Q69" s="3">
        <f>607+(94-35.9)+(-0.30957+(-0.04794--0.018309))+0-0-0</f>
        <v>664.76079900000002</v>
      </c>
      <c r="R69" s="3">
        <f>594+(144.3-33)+(0+(0-0))+0-0-0</f>
        <v>705.3</v>
      </c>
      <c r="S69" s="3">
        <f>585+(186.2-33)+(-0.29835+(-0.094962--0.01683))+0-0-0</f>
        <v>737.82351800000004</v>
      </c>
      <c r="T69" s="3">
        <f>586+(191.8-33)+(0+(0-0))+0-0-0</f>
        <v>744.8</v>
      </c>
      <c r="U69" s="3">
        <f>587+(182.9-32)+(0.29937+(0.093279-0.01632))+0-0-0</f>
        <v>738.27632900000003</v>
      </c>
      <c r="V69" s="3">
        <f>597+(140.8-31)+(-1.82682+(-0.430848--0.09486))+0-0-0</f>
        <v>704.63719199999991</v>
      </c>
      <c r="W69" s="3">
        <f>608+(92.6-38.9)+(-1.86048+(-0.283356--0.119034))+0-0-0</f>
        <v>659.67519800000002</v>
      </c>
      <c r="X69" s="3">
        <f>617+(56.6-64.3)+(-1.25868+(-0.115464--0.131172))+0-0-0</f>
        <v>608.05702799999995</v>
      </c>
      <c r="Y69" s="3">
        <f>652+(51.4-34.7)+(-0.99756+(-0.078642--0.053091))+0-0-0</f>
        <v>667.67688900000007</v>
      </c>
      <c r="Z69" s="3">
        <f>662+(156.8-32)+(-1.01286+(-0.239904--0.04896))+0-0-0</f>
        <v>785.59619599999996</v>
      </c>
      <c r="AA69" s="3">
        <f>670+(179.1-33)+(-0.6834+(-0.182682--0.03366))+0-0-0</f>
        <v>815.26757800000007</v>
      </c>
      <c r="AB69" s="3">
        <f>670+(181.3-31)+(-0.6834+(-0.184926--0.03162))+0-0-0</f>
        <v>819.46329399999991</v>
      </c>
      <c r="AC69" s="3">
        <f>657+(175.2-31)+(-1.34028+(-0.357408--0.06324))+0-0-0</f>
        <v>799.56555200000003</v>
      </c>
      <c r="AD69">
        <f t="shared" si="1"/>
        <v>16594.620795999999</v>
      </c>
      <c r="AE69" s="3">
        <f>665+(184.3-33)+(0+(0-0))+0-0-0</f>
        <v>816.3</v>
      </c>
    </row>
    <row r="70" spans="1:31" s="2" customFormat="1" x14ac:dyDescent="0.25">
      <c r="A70">
        <v>89</v>
      </c>
      <c r="B70">
        <v>3</v>
      </c>
      <c r="C70">
        <v>8</v>
      </c>
      <c r="D70">
        <v>1</v>
      </c>
      <c r="E70">
        <v>1</v>
      </c>
      <c r="F70" s="3">
        <f>615+(171.3-31)+(-0.94095+(-0.262089--0.04743))+0-0-0</f>
        <v>754.14439099999993</v>
      </c>
      <c r="G70" s="3">
        <f>615+(144.5-30)+(-2.19555+(-0.515865--0.1071))+0-0-0</f>
        <v>726.89568499999996</v>
      </c>
      <c r="H70" s="3">
        <f>615+(122-30)+(-1.2546+(-0.24888--0.0612))+0-0-0</f>
        <v>705.55772000000002</v>
      </c>
      <c r="I70" s="3">
        <f>615+(100.1-30)+(-0.31365+(-0.051051--0.0153))+0-0-0</f>
        <v>684.75059900000008</v>
      </c>
      <c r="J70" s="3">
        <f>611+(79.9-34.7)+(0+(0-0))+0-0-0</f>
        <v>656.2</v>
      </c>
      <c r="K70" s="3">
        <f>575+(61.9-38.2)+(-1.46625+(-0.157845--0.09741))+0-0-0</f>
        <v>597.173315</v>
      </c>
      <c r="L70" s="3">
        <f>461+(118.4-33)+(-0.23511+(-0.060384--0.01683))+0-0-0</f>
        <v>546.12133599999993</v>
      </c>
      <c r="M70" s="3">
        <f>500+(89.9-33)+(0+(0-0))+0-0-0</f>
        <v>556.9</v>
      </c>
      <c r="N70" s="3">
        <f>603+(44.6-57.9)+(-0.92259+(-0.068238--0.088587))+0-0-0</f>
        <v>588.79775900000004</v>
      </c>
      <c r="O70" s="3">
        <f>602+(57.5-41.6)+(-0.30702+(-0.029325--0.021216))+0-0-0</f>
        <v>617.58487100000002</v>
      </c>
      <c r="P70" s="3">
        <f>601+(88.6-32)+(0+(0-0))+0-0-0</f>
        <v>657.6</v>
      </c>
      <c r="Q70" s="3">
        <f>600+(148.2-32)+(-0.306+(-0.075582--0.01632))+0-0-0</f>
        <v>715.83473800000002</v>
      </c>
      <c r="R70" s="3">
        <f>627+(173.6-32)+(0+(0-0))+0-0-0</f>
        <v>768.6</v>
      </c>
      <c r="S70" s="3">
        <f>633+(208.4-32)+(0.32283+(0.106284-0.01632))+0-0-0</f>
        <v>809.81279399999994</v>
      </c>
      <c r="T70" s="3">
        <f>646+(202.8-32)+(0+(0-0))+0-0-0</f>
        <v>816.8</v>
      </c>
      <c r="U70" s="3">
        <f>656+(171.2-32)+(-0.33456+(-0.087312--0.01632))+0-0-0</f>
        <v>794.7944480000001</v>
      </c>
      <c r="V70" s="3">
        <f>649+(102-16)+(-0.99297+(-0.15606--0.02448))+7.2-0-0</f>
        <v>741.07545000000005</v>
      </c>
      <c r="W70" s="3">
        <f>666+(64.1-34.1)+(-2.37762+(-0.228837--0.121737))+0-0-0</f>
        <v>693.51527999999996</v>
      </c>
      <c r="X70" s="3">
        <f>605+(60.6-33.6)+(-1.54275+(-0.15453--0.08568))+0-0-0</f>
        <v>630.38840000000005</v>
      </c>
      <c r="Y70" s="3">
        <f>564+(155.6-32)+(-0.28764+(-0.079356--0.01632))+0-0-0</f>
        <v>687.249324</v>
      </c>
      <c r="Z70" s="3">
        <f>683+(181.4-33)+(-0.34833+(-0.092514--0.01683))+0-0-0</f>
        <v>830.97598599999992</v>
      </c>
      <c r="AA70" s="3">
        <f>734+(155-33)+(-0.74868+(-0.1581--0.03366))+0-0-0</f>
        <v>855.12688000000003</v>
      </c>
      <c r="AB70" s="3">
        <f>715+(169.9-32)+(-1.82325+(-0.433245--0.0816))+0-0-0</f>
        <v>850.72510499999999</v>
      </c>
      <c r="AC70" s="3">
        <f>672+(183.8-30)+(-1.37088+(-0.374952--0.0612))+0-0-0</f>
        <v>824.11536799999999</v>
      </c>
      <c r="AD70">
        <f t="shared" si="1"/>
        <v>17110.739448999997</v>
      </c>
      <c r="AE70" s="3">
        <f>735+(159.1-33)+(0+(0-0))+0-0-0</f>
        <v>861.1</v>
      </c>
    </row>
    <row r="71" spans="1:31" s="2" customFormat="1" x14ac:dyDescent="0.25">
      <c r="A71">
        <v>89</v>
      </c>
      <c r="B71">
        <v>3</v>
      </c>
      <c r="C71">
        <v>9</v>
      </c>
      <c r="D71">
        <v>2</v>
      </c>
      <c r="E71">
        <v>1</v>
      </c>
      <c r="F71" s="3">
        <f>610+(198-30)+(-0.9333+(-0.30294--0.0459))+0-0-0</f>
        <v>776.80966000000001</v>
      </c>
      <c r="G71" s="3">
        <f>571+(209.2-29)+(-0.58242+(-0.213384--0.02958))+0-0-0</f>
        <v>750.43377600000008</v>
      </c>
      <c r="H71" s="3">
        <f>542+(202.5-29)+(-0.27642+(-0.103275--0.01479))+0-0-0</f>
        <v>715.13509499999998</v>
      </c>
      <c r="I71" s="3">
        <f>592+(155.3-30)+(-1.20768+(-0.316812--0.0612))+0-0-0</f>
        <v>715.83670799999993</v>
      </c>
      <c r="J71" s="3">
        <f>576+(102.2-31)+(-0.29376+(-0.052122--0.01581))+0-0-0</f>
        <v>646.86992800000007</v>
      </c>
      <c r="K71" s="3">
        <f>564+(80-33)+(-0.86292+(-0.1224--0.05049))+0-0-0</f>
        <v>610.06516999999997</v>
      </c>
      <c r="L71" s="3">
        <f>418+(174.8-33)+(-0.85272+(-0.356592--0.06732))+0-0-0</f>
        <v>558.658008</v>
      </c>
      <c r="M71" s="3">
        <f>446+(164.6-32)+(0+(0-0))+0-0-0</f>
        <v>578.6</v>
      </c>
      <c r="N71" s="3">
        <f>526+(110.6-31)+(0.26826+(0.056406-0.01581))+0-0-0</f>
        <v>605.90885600000001</v>
      </c>
      <c r="O71" s="3">
        <f>536+(129.2-31)+(-0.27336+(-0.065892--0.01581))+0-0-0</f>
        <v>633.87655800000005</v>
      </c>
      <c r="P71" s="3">
        <f>537+(172.5-31)+(0.27387+(0.087975-0.01581))+0-0-0</f>
        <v>678.84603500000003</v>
      </c>
      <c r="Q71" s="3">
        <f>575+(217.5-32)+(0+(0-0))+0-0-0</f>
        <v>760.5</v>
      </c>
      <c r="R71" s="3">
        <f>632+(212.9-33)+(-0.64464+(-0.217158--0.03366))+0-0-0</f>
        <v>811.07186200000001</v>
      </c>
      <c r="S71" s="3">
        <f>633+(232.2-33)+(-0.64566+(-0.236844--0.03366))+0-0-0</f>
        <v>831.35115600000006</v>
      </c>
      <c r="T71" s="3">
        <f>633+(235.3-32)+(0+(0-0))+0-0-0</f>
        <v>836.3</v>
      </c>
      <c r="U71" s="3">
        <f>642+(215.6-31)+(0.32742+(0.109956-0.01581))+0-0-0</f>
        <v>827.02156600000001</v>
      </c>
      <c r="V71" s="3">
        <f>651+(164.9-30)+(-0.99603+(-0.252297--0.0459))+0-0-0</f>
        <v>784.69757300000003</v>
      </c>
      <c r="W71" s="3">
        <f>656+(92.9-29)+(-1.00368+(-0.142137--0.04437))+0-0-0</f>
        <v>718.79855299999997</v>
      </c>
      <c r="X71" s="3">
        <f>679+(37.2-37)+(-2.77032+(-0.151776--0.15096))+0-0-0</f>
        <v>676.42886400000009</v>
      </c>
      <c r="Y71" s="3">
        <f>690+(72.1-30)+(-0.3519+(-0.036771--0.0153))+0-0-0</f>
        <v>731.726629</v>
      </c>
      <c r="Z71" s="3">
        <f>706+(188-32)+(0+(0-0))+0-0-0</f>
        <v>862</v>
      </c>
      <c r="AA71" s="3">
        <f>707+(210.9-31)+(-1.08171+(-0.322677--0.04743))+0-0-0</f>
        <v>885.54304300000001</v>
      </c>
      <c r="AB71" s="3">
        <f>708+(216.4-31)+(-1.08324+(-0.331092--0.04743))+0-0-0</f>
        <v>892.033098</v>
      </c>
      <c r="AC71" s="3">
        <f>680+(212.7-30)+(-1.734+(-0.542385--0.0765))+0-0-0</f>
        <v>860.50011500000005</v>
      </c>
      <c r="AD71">
        <f t="shared" si="1"/>
        <v>17749.012253000001</v>
      </c>
      <c r="AE71" s="3">
        <f>705+(215.4-33)+(0+(0-0))+0-0-0</f>
        <v>887.4</v>
      </c>
    </row>
    <row r="72" spans="1:31" s="2" customFormat="1" x14ac:dyDescent="0.25">
      <c r="A72">
        <v>89</v>
      </c>
      <c r="B72">
        <v>3</v>
      </c>
      <c r="C72">
        <v>10</v>
      </c>
      <c r="D72">
        <v>3</v>
      </c>
      <c r="E72">
        <v>1</v>
      </c>
      <c r="F72" s="3">
        <f>638+(196.5-30)+(-0.32538+(-0.100215--0.0153))+0-0-0</f>
        <v>804.08970499999998</v>
      </c>
      <c r="G72" s="3">
        <f>599+(198.9-30)+(-0.61098+(-0.202878--0.0306))+0-0-0</f>
        <v>767.11674199999993</v>
      </c>
      <c r="H72" s="3">
        <f>593+(179.1-31)+(0+(0-0))+0-0-0</f>
        <v>741.1</v>
      </c>
      <c r="I72" s="3">
        <f>593+(159.1-32)+(-0.90729+(-0.243423--0.04896))+0-0-0</f>
        <v>718.99824699999999</v>
      </c>
      <c r="J72" s="3">
        <f>588+(138.8-32)+(-0.89964+(-0.212364--0.04896))+0-0-0</f>
        <v>693.73695599999996</v>
      </c>
      <c r="K72" s="3">
        <f>481+(151.2-31)+(-0.49062+(-0.154224--0.03162))+9.9-0-0</f>
        <v>610.48677600000008</v>
      </c>
      <c r="L72" s="3">
        <f>409+(137.9-30)+(0+(0-0))+65-0-0</f>
        <v>581.9</v>
      </c>
      <c r="M72" s="3">
        <f>435+(154.7-30)+(0.22185+(0.078897-0.0153))+48.8-0-0</f>
        <v>608.78544699999998</v>
      </c>
      <c r="N72" s="3">
        <f>537+(120.5-30)+(0.54774+(0.12291-0.0306))+0-0-0</f>
        <v>628.14004999999997</v>
      </c>
      <c r="O72" s="3">
        <f>594+(91.4-30)+(0+(0-0))+0-0-0</f>
        <v>655.4</v>
      </c>
      <c r="P72" s="3">
        <f>639+(87-31)+(0.32589+(0.04437-0.01581))+0-0-0</f>
        <v>695.35445000000004</v>
      </c>
      <c r="Q72" s="3">
        <f>647+(143-31)+(0.32997+(0.07293-0.01581))+0-0-0</f>
        <v>759.38708999999994</v>
      </c>
      <c r="R72" s="3">
        <f>653+(197.8-34)+(-0.66606+(-0.201756--0.03468))+0-0-0</f>
        <v>815.96686399999999</v>
      </c>
      <c r="S72" s="3">
        <f>661+(232-34)+(-0.67422+(-0.23664--0.03468))+0-0-0</f>
        <v>858.12382000000002</v>
      </c>
      <c r="T72" s="3">
        <f>665+(217.1-34)+(-0.33915+(-0.110721--0.01734))+0-0-0</f>
        <v>847.66746899999998</v>
      </c>
      <c r="U72" s="3">
        <f>669+(188.5-33)+(-0.68238+(-0.19227--0.03366))+0-0-0</f>
        <v>823.65900999999997</v>
      </c>
      <c r="V72" s="3">
        <f>681+(143.5-33)+(-1.38924+(-0.29274--0.06732))+0-0-0</f>
        <v>789.88534000000004</v>
      </c>
      <c r="W72" s="3">
        <f>697+(91.1-33)+(-2.13282+(-0.278766--0.10098))+0-0-0</f>
        <v>752.78939400000002</v>
      </c>
      <c r="X72" s="3">
        <f>695+(44.7-48.6)+(-1.77225+(-0.113985--0.12393))+0-0-0</f>
        <v>689.33769500000005</v>
      </c>
      <c r="Y72" s="3">
        <f>696+(79.3-31)+(-0.70992+(-0.080886--0.03162))+0-0-0</f>
        <v>743.54081399999995</v>
      </c>
      <c r="Z72" s="3">
        <f>717+(190.5-31)+(-0.73134+(-0.19431--0.03162))+0-0-0</f>
        <v>875.60596999999996</v>
      </c>
      <c r="AA72" s="3">
        <f>718+(203.3-33)+(-0.36618+(-0.103683--0.01683))+0-0-0</f>
        <v>887.84696699999995</v>
      </c>
      <c r="AB72" s="3">
        <f>713+(204.8-33)+(-0.72726+(-0.208896--0.03366))+0-0-0</f>
        <v>883.89750399999991</v>
      </c>
      <c r="AC72" s="3">
        <f>703+(194.6-32)+(-1.07559+(-0.297738--0.04896))+0-0-0</f>
        <v>864.27563199999997</v>
      </c>
      <c r="AD72">
        <f t="shared" si="1"/>
        <v>18097.091941999999</v>
      </c>
      <c r="AE72" s="3">
        <f>716+(202.8-33)+(0+(0-0))+0-0-0</f>
        <v>885.8</v>
      </c>
    </row>
    <row r="73" spans="1:31" s="2" customFormat="1" x14ac:dyDescent="0.25">
      <c r="A73">
        <v>89</v>
      </c>
      <c r="B73">
        <v>3</v>
      </c>
      <c r="C73">
        <v>11</v>
      </c>
      <c r="D73">
        <v>4</v>
      </c>
      <c r="E73">
        <v>1</v>
      </c>
      <c r="F73" s="3">
        <f>670+(168.6-32)+(-1.7085+(-0.42993--0.0816))+0-0-0</f>
        <v>804.54317000000003</v>
      </c>
      <c r="G73" s="3">
        <f>639+(167.8-32)+(-0.97767+(-0.256734--0.04896))+0-0-0</f>
        <v>773.61455599999999</v>
      </c>
      <c r="H73" s="3">
        <f>635+(143.1-31)+(-0.97155+(-0.218943--0.04743))+0-0-0</f>
        <v>745.95693700000004</v>
      </c>
      <c r="I73" s="3">
        <f>513+(249.8-31)+(0+(0-0))+0-0-0</f>
        <v>731.8</v>
      </c>
      <c r="J73" s="3">
        <f>488+(236.8-30)+(0.24888+(0.120768-0.0153))+0-0-0</f>
        <v>695.15434799999991</v>
      </c>
      <c r="K73" s="3">
        <f>486+(190.9-30)+(-1.48716+(-0.584154--0.0918))+0-0-0</f>
        <v>644.92048599999998</v>
      </c>
      <c r="L73" s="3">
        <f>489+(135.8-32)+(-0.24939+(-0.069258--0.01632))+0-0-0</f>
        <v>592.49767199999997</v>
      </c>
      <c r="M73" s="3">
        <f>489+(141.1-31)+(-0.99756+(-0.287844--0.06324))+0-0-0</f>
        <v>597.877836</v>
      </c>
      <c r="N73" s="3">
        <f>491+(158.1-30)+(0.25041+(0.080631-0.0153))+0-0-0</f>
        <v>619.41574100000003</v>
      </c>
      <c r="O73" s="3">
        <f>489+(184.6-30)+(0.24939+(0.094146-0.0153))+0-0-0</f>
        <v>643.92823599999997</v>
      </c>
      <c r="P73" s="3">
        <f>487+(224.2-30)+(-0.49674+(-0.228684--0.0306))+0-0-0</f>
        <v>680.50517600000001</v>
      </c>
      <c r="Q73" s="3">
        <f>495+(272.7-31)+(-0.25245+(-0.139077--0.01581))+0-0-0</f>
        <v>736.32428300000004</v>
      </c>
      <c r="R73" s="3">
        <f>561+(255.6-32)+(0.28611+(0.130356-0.01632))+0-0-0</f>
        <v>785.00014599999997</v>
      </c>
      <c r="S73" s="3">
        <f>635+(235.3-32)+(-0.32385+(-0.120003--0.01632))+0-0-0</f>
        <v>837.87246699999992</v>
      </c>
      <c r="T73" s="3">
        <f>655+(201.1-33)+(0.6681+(0.205122-0.03366))+0-0-0</f>
        <v>823.93956200000002</v>
      </c>
      <c r="U73" s="3">
        <f>660+(162.3-31)+(-1.0098+(-0.248319--0.04743))+0-0-0</f>
        <v>790.08931099999995</v>
      </c>
      <c r="V73" s="3">
        <f>683+(109.9-30)+(-0.69666+(-0.112098--0.0306))+0-0-0</f>
        <v>762.12184200000002</v>
      </c>
      <c r="W73" s="3">
        <f>697+(55.9-39.9)+(-1.77735+(-0.142545--0.101745))+0-0-0</f>
        <v>711.18185000000005</v>
      </c>
      <c r="X73" s="3">
        <f>699+(28.4-60.3)+(-1.78245+(-0.07242--0.153765))+0-0-0</f>
        <v>665.39889500000004</v>
      </c>
      <c r="Y73" s="3">
        <f>704+(46.6-35.8)+(-0.35904+(-0.023766--0.018258))+0-0-0</f>
        <v>714.43545199999994</v>
      </c>
      <c r="Z73" s="3">
        <f>719+(152.3-31)+(-0.73338+(-0.155346--0.03162))+0-0-0</f>
        <v>839.44289399999991</v>
      </c>
      <c r="AA73" s="3">
        <f>732+(172.4-31)+(-0.37332+(-0.087924--0.01581))+0-0-0</f>
        <v>872.954566</v>
      </c>
      <c r="AB73" s="3">
        <f>728+(173.9-32)+(-0.37128+(-0.088689--0.01632))+0-0-0</f>
        <v>869.45635099999993</v>
      </c>
      <c r="AC73" s="3">
        <f>667+(201.8-32)+(-1.36068+(-0.411672--0.06528))+0-0-0</f>
        <v>835.09292799999992</v>
      </c>
      <c r="AD73">
        <f t="shared" si="1"/>
        <v>17773.524704999996</v>
      </c>
      <c r="AE73" s="3">
        <f>705+(170.4-32)+(0+(0-0))+0-0-0</f>
        <v>843.4</v>
      </c>
    </row>
    <row r="74" spans="1:31" s="2" customFormat="1" x14ac:dyDescent="0.25">
      <c r="A74">
        <v>89</v>
      </c>
      <c r="B74">
        <v>3</v>
      </c>
      <c r="C74">
        <v>12</v>
      </c>
      <c r="D74">
        <v>5</v>
      </c>
      <c r="E74">
        <v>1</v>
      </c>
      <c r="F74" s="3">
        <f>602+(226.6-32)+(-0.30702+(-0.115566--0.01632))+0-0-0</f>
        <v>796.19373400000006</v>
      </c>
      <c r="G74" s="3">
        <f>578+(217.5-30)+(-0.58956+(-0.22185--0.0306))+0-0-0</f>
        <v>764.71919000000003</v>
      </c>
      <c r="H74" s="3">
        <f>578+(193.4-29)+(-0.29478+(-0.098634--0.01479))+0-0-0</f>
        <v>742.02137600000003</v>
      </c>
      <c r="I74" s="3">
        <f>579+(172-29)+(-1.18116+(-0.35088--0.05916))+0-0-0</f>
        <v>720.52711999999997</v>
      </c>
      <c r="J74" s="3">
        <f>576+(152.2-30)+(0.29376+(0.077622-0.0153))+0-0-0</f>
        <v>698.55608200000006</v>
      </c>
      <c r="K74" s="3">
        <f>577+(93.7-31)+(-1.17708+(-0.191148--0.06324))+0-0-0</f>
        <v>638.39501200000007</v>
      </c>
      <c r="L74" s="3">
        <f>555+(62.2-35.7)+(-1.1322+(-0.126888--0.072828))+0-0-0</f>
        <v>580.31374000000005</v>
      </c>
      <c r="M74" s="3">
        <f>501+(124.5-32)+(0.25551+(0.063495-0.01632))+0-0-0</f>
        <v>593.802685</v>
      </c>
      <c r="N74" s="3">
        <f>540+(117.3-32)+(-0.8262+(-0.179469--0.04896))+0-0-0</f>
        <v>624.34329099999991</v>
      </c>
      <c r="O74" s="3">
        <f>574+(108.1-32)+(-0.58548+(-0.110262--0.03264))+0-0-0</f>
        <v>649.43689800000004</v>
      </c>
      <c r="P74" s="3">
        <f>571+(144.8-32)+(0+(0-0))+0-0-0</f>
        <v>683.8</v>
      </c>
      <c r="Q74" s="3">
        <f>571+(151.1-31)+(0.29121+(0.077061-0.01581))+0-0-0</f>
        <v>691.45246099999997</v>
      </c>
      <c r="R74" s="3">
        <f>601+(224.2-31)+(0.61302+(0.228684-0.03162))+0-0-0</f>
        <v>795.01008400000001</v>
      </c>
      <c r="S74" s="3">
        <f>639+(223-31)+(-0.32589+(-0.11373--0.01581))+0-0-0</f>
        <v>830.57619</v>
      </c>
      <c r="T74" s="3">
        <f>643+(166.1-32)+(-0.98379+(-0.254133--0.04896))+4.8-0-0</f>
        <v>780.71103700000003</v>
      </c>
      <c r="U74" s="3">
        <f>649+(107-32)+(0+(0-0))+0-0-0</f>
        <v>724</v>
      </c>
      <c r="V74" s="3">
        <f>658+(46.7-42)+(-0.33558+(-0.023817--0.02142))+0-0-0</f>
        <v>662.36202300000002</v>
      </c>
      <c r="W74" s="3">
        <f>669+(20.3-52.4)+(-0.68238+(-0.020706--0.053448))+0-0-0</f>
        <v>636.250362</v>
      </c>
      <c r="X74" s="3">
        <f>669+(0-69.8)+(-1.02357+(0--0.106794))+0-0-0</f>
        <v>598.28322400000002</v>
      </c>
      <c r="Y74" s="3">
        <f>687+(16-37.2)+(0+(0-0))+0-0-0</f>
        <v>665.8</v>
      </c>
      <c r="Z74" s="3">
        <f>746+(89.9-31)+(0+(0-0))+0-0-0</f>
        <v>804.9</v>
      </c>
      <c r="AA74" s="3">
        <f>750+(105.4-33)+(-0.765+(-0.107508--0.03366))+0-0-0</f>
        <v>821.56115199999999</v>
      </c>
      <c r="AB74" s="3">
        <f>747+(110.6-33)+(-0.76194+(-0.112812--0.03366))+0-0-0</f>
        <v>823.75890800000002</v>
      </c>
      <c r="AC74" s="3">
        <f>712+(120.8-32)+(-1.08936+(-0.184824--0.04896))+0-0-0</f>
        <v>799.57477599999993</v>
      </c>
      <c r="AD74">
        <f t="shared" si="1"/>
        <v>17126.349344999999</v>
      </c>
      <c r="AE74" s="3">
        <f>748+(103.9-33)+(0+(0-0))+0-0-0</f>
        <v>818.9</v>
      </c>
    </row>
    <row r="75" spans="1:31" s="2" customFormat="1" x14ac:dyDescent="0.25">
      <c r="A75">
        <v>89</v>
      </c>
      <c r="B75">
        <v>3</v>
      </c>
      <c r="C75">
        <v>13</v>
      </c>
      <c r="D75">
        <v>6</v>
      </c>
      <c r="E75">
        <v>1</v>
      </c>
      <c r="F75" s="3">
        <f>618+(179.9-31)+(0+(0-0))+0-0-0</f>
        <v>766.9</v>
      </c>
      <c r="G75" s="3">
        <f>590+(183-30)+(-0.3009+(-0.09333--0.0153))+0-0-0</f>
        <v>742.62107000000003</v>
      </c>
      <c r="H75" s="3">
        <f>580+(169.8-30)+(-0.5916+(-0.173196--0.0306))+0-0-0</f>
        <v>719.06580399999996</v>
      </c>
      <c r="I75" s="3">
        <f>581+(149.6-30)+(-0.59262+(-0.152592--0.0306))+0-0-0</f>
        <v>699.88538800000003</v>
      </c>
      <c r="J75" s="3">
        <f>581+(126.9-31)+(-0.59262+(-0.129438--0.03162))+0-0-0</f>
        <v>676.20956200000001</v>
      </c>
      <c r="K75" s="3">
        <f>580+(74.8-34.5)+(-0.5916+(-0.076296--0.03519))+0-0-0</f>
        <v>619.66729399999997</v>
      </c>
      <c r="L75" s="3">
        <f>578+(44.6-52.5)+(-0.29478+(-0.022746--0.026775))+0-0-0</f>
        <v>569.80924900000002</v>
      </c>
      <c r="M75" s="3">
        <f>576+(44.6-45.5)+(0+(0-0))+0-0-0</f>
        <v>575.1</v>
      </c>
      <c r="N75" s="3">
        <f>571+(56.9-38.6)+(0.58242+(0.058038-0.039372))+0-0-0</f>
        <v>589.90108599999996</v>
      </c>
      <c r="O75" s="3">
        <f>569+(75.7-34.6)+(-0.29019+(-0.038607--0.017646))+0-0-0</f>
        <v>609.78884900000003</v>
      </c>
      <c r="P75" s="3">
        <f>572+(99.2-31)+(0+(0-0))+0-0-0</f>
        <v>640.20000000000005</v>
      </c>
      <c r="Q75" s="3">
        <f>583+(131.8-31)+(0.59466+(0.134436-0.03162))+0-0-0</f>
        <v>684.49747600000001</v>
      </c>
      <c r="R75" s="3">
        <f>615+(148.3-31)+(0+(0-0))+0-0-0</f>
        <v>732.3</v>
      </c>
      <c r="S75" s="3">
        <f>614+(177.3-31)+(-0.62628+(-0.180846--0.03162))+0-0-0</f>
        <v>759.524494</v>
      </c>
      <c r="T75" s="3">
        <f>614+(185.5-33)+(-0.62628+(-0.18921--0.03366))+0.6-0-0</f>
        <v>766.31817000000001</v>
      </c>
      <c r="U75" s="3">
        <f>619+(141.9-32)+(-0.31569+(-0.072369--0.01632))+14.4-0-0</f>
        <v>742.92826099999991</v>
      </c>
      <c r="V75" s="3">
        <f>619+(96.1-29)+(-1.57845+(-0.245055--0.07395))+0-0-0</f>
        <v>684.35044500000004</v>
      </c>
      <c r="W75" s="3">
        <f>624+(46.4-52.9)+(-1.5912+(-0.11832--0.134895))+0-0-0</f>
        <v>615.92537500000003</v>
      </c>
      <c r="X75" s="3">
        <f>643+(14.3-78.8)+(-1.31172+(-0.029172--0.160752))+0-0-0</f>
        <v>577.31985999999995</v>
      </c>
      <c r="Y75" s="3">
        <f>698+(20.3-68)+(0+(0-0))+0-0-0</f>
        <v>650.29999999999995</v>
      </c>
      <c r="Z75" s="3">
        <f>706+(88.2-30)+(-1.08018+(-0.134946--0.0459))+0-0-0</f>
        <v>763.03077400000006</v>
      </c>
      <c r="AA75" s="3">
        <f>692+(127.6-31)+(-1.05876+(-0.195228--0.04743))+0-0-0</f>
        <v>787.39344200000005</v>
      </c>
      <c r="AB75" s="3">
        <f>681+(141.1-32)+(-0.34731+(-0.071961--0.01632))+0-0-0</f>
        <v>789.69704899999999</v>
      </c>
      <c r="AC75" s="3">
        <f>670+(134.1-32)+(-1.0251+(-0.205173--0.04896))+0-0-0</f>
        <v>770.91868699999998</v>
      </c>
      <c r="AD75">
        <f t="shared" si="1"/>
        <v>16533.652334999999</v>
      </c>
      <c r="AE75" s="3">
        <f>698+(135-32)+(0+(0-0))+0-0-0</f>
        <v>801</v>
      </c>
    </row>
    <row r="76" spans="1:31" s="2" customFormat="1" x14ac:dyDescent="0.25">
      <c r="A76">
        <v>89</v>
      </c>
      <c r="B76">
        <v>3</v>
      </c>
      <c r="C76">
        <v>14</v>
      </c>
      <c r="D76">
        <v>7</v>
      </c>
      <c r="E76">
        <v>4</v>
      </c>
      <c r="F76" s="3">
        <f>660+(107.6-30)+(0+(0-0))+0-0-0</f>
        <v>737.6</v>
      </c>
      <c r="G76" s="3">
        <f>635+(106-30)+(-0.32385+(-0.05406--0.0153))+0-0-0</f>
        <v>710.63738999999998</v>
      </c>
      <c r="H76" s="3">
        <f>632+(87.4-30)+(0.64464+(0.089148-0.0306))+0-0-0</f>
        <v>690.10318799999993</v>
      </c>
      <c r="I76" s="3">
        <f>634+(66.8-30)+(-0.64668+(-0.068136--0.0306))+0-0-0</f>
        <v>670.11578399999996</v>
      </c>
      <c r="J76" s="3">
        <f>634+(50.2-35.3)+(0+(0-0))+0-0-0</f>
        <v>648.9</v>
      </c>
      <c r="K76" s="3">
        <f>633+(18.5-61.2)+(0+(0-0))+0-0-0</f>
        <v>590.29999999999995</v>
      </c>
      <c r="L76" s="3">
        <f>524+(35.1-34.9)+(0+(0-0))+0-0-0</f>
        <v>524.20000000000005</v>
      </c>
      <c r="M76" s="3">
        <f>497+(48.1-33)+(-0.76041+(-0.073593--0.05049))+0-0-0</f>
        <v>511.316487</v>
      </c>
      <c r="N76" s="3">
        <f>551+(10.1-54.4)+(-0.56202+(-0.010302--0.055488))+0-0-0</f>
        <v>506.18316599999997</v>
      </c>
      <c r="O76" s="3">
        <f>554+(11.9-53.3)+(-0.28254+(-0.006069--0.027183))+0-0-0</f>
        <v>512.33857399999999</v>
      </c>
      <c r="P76" s="3">
        <f>568+(11.8-63.4)+(0.28968+(0.006018-0.032334))+0-0-0</f>
        <v>516.663364</v>
      </c>
      <c r="Q76" s="3">
        <f>636+(6-90.4)+(0+(0-0))+0-0-0</f>
        <v>551.6</v>
      </c>
      <c r="R76" s="3">
        <f>645+(19.7-83.2)+(-0.6579+(-0.020094--0.084864))+0-0-0</f>
        <v>580.90687000000003</v>
      </c>
      <c r="S76" s="3">
        <f>646+(32.8-77.6)+(-0.65892+(-0.033456--0.079152))+0-0-0</f>
        <v>600.5867760000001</v>
      </c>
      <c r="T76" s="3">
        <f>643+(30.7-80.5)+(-0.65586+(-0.031314--0.08211))+0-0-0</f>
        <v>592.59493600000008</v>
      </c>
      <c r="U76" s="3">
        <f>647+(24.4-92.8)+(-0.65994+(-0.024888--0.094656))+0-0-0</f>
        <v>578.00982799999997</v>
      </c>
      <c r="V76" s="3">
        <f>654+(3.3-108.4)+(-0.66708+(-0.003366--0.110568))+0-0-0</f>
        <v>548.34012199999995</v>
      </c>
      <c r="W76" s="3">
        <f>637+(0-103.2)+(-0.97461+(0--0.157896))+0-0-0</f>
        <v>532.98328599999991</v>
      </c>
      <c r="X76" s="3">
        <f>586+(0-88.1)+(-0.59772+(0--0.089862))+0-0-0</f>
        <v>497.39214199999998</v>
      </c>
      <c r="Y76" s="3">
        <f>602+(10.6-58.9)+(-0.30702+(-0.005406--0.030039))+0-0-0</f>
        <v>553.41761300000007</v>
      </c>
      <c r="Z76" s="3">
        <f>630+(46.6-38.6)+(-0.3213+(-0.023766--0.019686))+0-0-0</f>
        <v>637.67462</v>
      </c>
      <c r="AA76" s="3">
        <f>649+(51.5-50)+(-0.33099+(-0.026265--0.0255))+0-0-0</f>
        <v>650.16824499999996</v>
      </c>
      <c r="AB76" s="3">
        <f>648+(54.8-50.3)+(-0.99144+(-0.083844--0.076959))+0-0-0</f>
        <v>651.50167499999998</v>
      </c>
      <c r="AC76" s="3">
        <f>638+(52.2-56)+(-0.65076+(-0.053244--0.05712))+0-0-0</f>
        <v>633.55311600000005</v>
      </c>
      <c r="AD76">
        <f t="shared" si="1"/>
        <v>14227.087181999999</v>
      </c>
      <c r="AE76" s="3">
        <f>646+(52.2-49.9)+(0+(0-0))+0-0-0</f>
        <v>648.29999999999995</v>
      </c>
    </row>
    <row r="77" spans="1:31" s="2" customFormat="1" x14ac:dyDescent="0.25">
      <c r="A77">
        <v>89</v>
      </c>
      <c r="B77">
        <v>3</v>
      </c>
      <c r="C77">
        <v>15</v>
      </c>
      <c r="D77">
        <v>1</v>
      </c>
      <c r="E77">
        <v>4</v>
      </c>
      <c r="F77" s="3">
        <f>641+(45.1-75.2)+(-0.98073+(-0.069003--0.115056))+0-0-0</f>
        <v>609.96532300000001</v>
      </c>
      <c r="G77" s="3">
        <f>645+(24.7-96.6)+(0+(0-0))+0-0-0</f>
        <v>573.1</v>
      </c>
      <c r="H77" s="3">
        <f>638+(20-112.1)+(0.65076+(0.0204-0.114342))+0-0-0</f>
        <v>546.456818</v>
      </c>
      <c r="I77" s="3">
        <f>554+(42.1-68.9)+(-0.56508+(-0.042942--0.070278))+0-0-0</f>
        <v>526.66225600000007</v>
      </c>
      <c r="J77" s="3">
        <f>547+(31.1-73.1)+(0+(0-0))+0-0-0</f>
        <v>505</v>
      </c>
      <c r="K77" s="3">
        <f>546+(16-86.9)+(-1.11384+(-0.03264--0.177276))+0-0-0</f>
        <v>474.13079600000003</v>
      </c>
      <c r="L77" s="3">
        <f>544+(0-109.3)+(-0.55488+(0--0.111486))+0-0-0</f>
        <v>434.25660599999998</v>
      </c>
      <c r="M77" s="3">
        <f>545+(0-110.9)+(0+(0-0))+0.4-0-0</f>
        <v>434.5</v>
      </c>
      <c r="N77" s="3">
        <f>542+(0-116.6)+(0.27642+(0-0.059466))+0-0-0</f>
        <v>425.61695399999996</v>
      </c>
      <c r="O77" s="3">
        <f>534+(0-99.2)+(0.27234+(0-0.050592))+0-0-0</f>
        <v>435.021748</v>
      </c>
      <c r="P77" s="3">
        <f>473+(7.6-33.5)+(0.72369+(0.011628-0.051255))+0-0-0</f>
        <v>447.784063</v>
      </c>
      <c r="Q77" s="3">
        <f>464+(28.6-24.5)+(0.47328+(0.029172-0.02499))+0-0-0</f>
        <v>468.57746200000003</v>
      </c>
      <c r="R77" s="3">
        <f>454+(44.1-28.1)+(0+(0-0))+0-0-0</f>
        <v>470</v>
      </c>
      <c r="S77" s="3">
        <f>458+(55.5-23.7)+(-0.23358+(-0.028305--0.012087))+0-0-0</f>
        <v>489.55020200000001</v>
      </c>
      <c r="T77" s="3">
        <f>458+(66.1-18.4)+(0+(0-0))+0-0-0</f>
        <v>505.7</v>
      </c>
      <c r="U77" s="3">
        <f>461+(68.3-17.7)+(-0.47022+(-0.069666--0.018054))+0-0-0</f>
        <v>511.07816800000001</v>
      </c>
      <c r="V77" s="3">
        <f>480+(48.3-21.2)+(-0.2448+(-0.024633--0.010812))+0-0-0</f>
        <v>506.84137900000002</v>
      </c>
      <c r="W77" s="3">
        <f>478+(44.7-20.9)+(-1.2189+(-0.113985--0.053295))+0-0-0</f>
        <v>500.52041000000003</v>
      </c>
      <c r="X77" s="3">
        <f>476+(26.8-29.4)+(-0.72828+(-0.041004--0.044982))+0-0-0</f>
        <v>472.67569799999995</v>
      </c>
      <c r="Y77" s="3">
        <f>488+(40.2-21.1)+(-1.49328+(-0.123012--0.064566))+0-0-0</f>
        <v>505.54827400000005</v>
      </c>
      <c r="Z77" s="3">
        <f>548+(66.5-22.3)+(-0.27948+(-0.033915--0.011373))+0-0-0</f>
        <v>591.89797800000008</v>
      </c>
      <c r="AA77" s="3">
        <f>586+(62.4-32.2)+(-1.4943+(-0.15912--0.08211))+0-0-0</f>
        <v>614.62869000000001</v>
      </c>
      <c r="AB77" s="3">
        <f>586+(60.8-33.4)+(-0.59772+(-0.062016--0.034068))+0-0-0</f>
        <v>612.77433199999996</v>
      </c>
      <c r="AC77" s="3">
        <f>586+(52.3-43.8)+(-1.19544+(-0.106692--0.089352))+0-0-0</f>
        <v>593.28722000000005</v>
      </c>
      <c r="AD77">
        <f t="shared" si="1"/>
        <v>12255.574376999999</v>
      </c>
      <c r="AE77" s="3">
        <f>586+(79.2-31.2)+(0+(0-0))+0-0-0</f>
        <v>634</v>
      </c>
    </row>
    <row r="78" spans="1:31" s="2" customFormat="1" x14ac:dyDescent="0.25">
      <c r="A78">
        <v>89</v>
      </c>
      <c r="B78">
        <v>3</v>
      </c>
      <c r="C78">
        <v>16</v>
      </c>
      <c r="D78">
        <v>2</v>
      </c>
      <c r="E78">
        <v>1</v>
      </c>
      <c r="F78" s="3">
        <f>578+(50.7-57.2)+(-1.4739+(-0.129285--0.14586))+0-0-0</f>
        <v>570.04267500000003</v>
      </c>
      <c r="G78" s="3">
        <f>496+(71.4-22.3)+(-0.75888+(-0.109242--0.034119))+0-0-0</f>
        <v>544.26599699999997</v>
      </c>
      <c r="H78" s="3">
        <f>485+(62-23.7)+(0.24735+(0.03162-0.012087))+0-0-0</f>
        <v>523.56688299999996</v>
      </c>
      <c r="I78" s="3">
        <f>485+(54.2-30.2)+(-1.23675+(-0.13821--0.07701))+0-0-0</f>
        <v>507.70204999999999</v>
      </c>
      <c r="J78" s="3">
        <f>481+(44.7-40)+(0+(0-0))+0-0-0</f>
        <v>485.7</v>
      </c>
      <c r="K78" s="3">
        <f>479+(21-57.9)+(-1.22145+(-0.05355--0.147645))+0-0-0</f>
        <v>440.972645</v>
      </c>
      <c r="L78" s="3">
        <f>479+(14-63.2)+(0.24429+(0.00714-0.032232))+0-0-0</f>
        <v>430.01919800000002</v>
      </c>
      <c r="M78" s="3">
        <f>479+(24.5-44.7)+(-0.24429+(-0.012495--0.022797))+0-0-0</f>
        <v>458.566012</v>
      </c>
      <c r="N78" s="3">
        <f>555+(2-75.1)+(0+(0-0))+2.8-0-0</f>
        <v>484.7</v>
      </c>
      <c r="O78" s="3">
        <f>623+(0-105.1)+(0.31773+(0-0.053601))+0-0-0</f>
        <v>518.164129</v>
      </c>
      <c r="P78" s="3">
        <f>605+(18-80.4)+(0+(0-0))+0-0-0</f>
        <v>542.6</v>
      </c>
      <c r="Q78" s="3">
        <f>605+(36.3-67.3)+(0.30855+(0.018513-0.034323))+0-0-0</f>
        <v>574.29273999999998</v>
      </c>
      <c r="R78" s="3">
        <f>624+(56.1-50.8)+(-0.31824+(-0.028611--0.025908))+0-0-0</f>
        <v>628.9790569999999</v>
      </c>
      <c r="S78" s="3">
        <f>661+(56.8-47)+(-0.67422+(-0.057936--0.04794))+0-0-0</f>
        <v>670.11578399999996</v>
      </c>
      <c r="T78" s="3">
        <f>676+(53.9-49)+(-0.68952+(-0.054978--0.04998))+0-0-0</f>
        <v>680.20548199999996</v>
      </c>
      <c r="U78" s="3">
        <f>676+(51.5-54.9)+(-0.68952+(-0.05253--0.055998))+0-0-0</f>
        <v>671.913948</v>
      </c>
      <c r="V78" s="3">
        <f>678+(37-68.7)+(-1.38312+(-0.07548--0.140148))+0-0-0</f>
        <v>644.98154799999998</v>
      </c>
      <c r="W78" s="3">
        <f>672+(25.6-83.3)+(-1.7136+(-0.06528--0.212415))+0-0-0</f>
        <v>612.73353499999996</v>
      </c>
      <c r="X78" s="3">
        <f>672+(4.1-106.3)+(-2.05632+(-0.012546--0.325278))+0-0-0</f>
        <v>568.05641199999991</v>
      </c>
      <c r="Y78" s="3">
        <f>687+(5.1-96.4)+(-1.40148+(-0.010404--0.196656))+0-0-0</f>
        <v>594.48477200000002</v>
      </c>
      <c r="Z78" s="3">
        <f>725+(38-57.3)+(0+(0-0))+0-0-0</f>
        <v>705.7</v>
      </c>
      <c r="AA78" s="3">
        <f>728+(55.9-40.2)+(-1.8564+(-0.142545--0.10251))+0-0-0</f>
        <v>741.80356500000005</v>
      </c>
      <c r="AB78" s="3">
        <f>715+(65.4-43)+(-1.4586+(-0.133416--0.08772))+0-0-0</f>
        <v>735.89570400000002</v>
      </c>
      <c r="AC78" s="3">
        <f>681+(73.4-42.9)+(-2.08386+(-0.224604--0.131274))+0-0-0</f>
        <v>709.32281</v>
      </c>
      <c r="AD78">
        <f t="shared" si="1"/>
        <v>14044.784945999998</v>
      </c>
      <c r="AE78" s="3">
        <f>742+(57.5-39.2)+(0+(0-0))+0-0-0</f>
        <v>760.3</v>
      </c>
    </row>
    <row r="79" spans="1:31" s="2" customFormat="1" x14ac:dyDescent="0.25">
      <c r="A79">
        <v>89</v>
      </c>
      <c r="B79">
        <v>3</v>
      </c>
      <c r="C79">
        <v>17</v>
      </c>
      <c r="D79">
        <v>3</v>
      </c>
      <c r="E79">
        <v>1</v>
      </c>
      <c r="F79" s="3">
        <f>651+(65-50.2)+(0+(0-0))+0-0-0</f>
        <v>665.8</v>
      </c>
      <c r="G79" s="3">
        <f>651+(48.1-65.8)+(-0.66402+(-0.049062--0.067116))+0-0-0</f>
        <v>632.65403399999991</v>
      </c>
      <c r="H79" s="3">
        <f>651+(33.9-79.7)+(0+(0-0))+0-0-0</f>
        <v>605.20000000000005</v>
      </c>
      <c r="I79" s="3">
        <f>652+(22.3-91.7)+(-0.99756+(-0.034119--0.140301))+0-0-0</f>
        <v>581.70862199999999</v>
      </c>
      <c r="J79" s="3">
        <f>640+(21.1-99.7)+(-0.3264+(-0.010761--0.050847))+0-0-0</f>
        <v>561.11368600000003</v>
      </c>
      <c r="K79" s="3">
        <f>602+(18.7-98)+(-1.22808+(-0.038148--0.19992))+0-0-0</f>
        <v>521.633692</v>
      </c>
      <c r="L79" s="3">
        <f>568+(10.4-89.5)+(-0.57936+(-0.010608--0.09129))+0-0-0</f>
        <v>488.40132199999999</v>
      </c>
      <c r="M79" s="3">
        <f>568+(15.7-78.5)+(0+(0-0))+0-0-0</f>
        <v>505.2</v>
      </c>
      <c r="N79" s="3">
        <f>567+(27.5-66.1)+(-0.28917+(-0.014025--0.033711))+0-0-0</f>
        <v>528.13051599999994</v>
      </c>
      <c r="O79" s="3">
        <f>586+(24.3-73.1)+(-0.59772+(-0.024786--0.074562))+0-0-0</f>
        <v>536.65205600000002</v>
      </c>
      <c r="P79" s="3">
        <f>626+(24.2-86.4)+(-0.31926+(-0.012342--0.044064))+0-0-0</f>
        <v>563.51246199999991</v>
      </c>
      <c r="Q79" s="3">
        <f>640+(42.9-70.1)+(0+(0-0))+0-0-0</f>
        <v>612.79999999999995</v>
      </c>
      <c r="R79" s="3">
        <f>623+(67.2-48.8)+(-0.63546+(-0.068544--0.049776))+0-0-0</f>
        <v>640.74577199999999</v>
      </c>
      <c r="S79" s="3">
        <f>621+(94.6-33.6)+(-0.95013+(-0.144738--0.051408))+0-0-0</f>
        <v>680.95654000000002</v>
      </c>
      <c r="T79" s="3">
        <f>620+(102.7-31.4)+(-0.6324+(-0.104754--0.032028))+0-0-0</f>
        <v>690.594874</v>
      </c>
      <c r="U79" s="3">
        <f>624+(97.9-32.9)+(-0.31824+(-0.049929--0.016779))+0-0-0</f>
        <v>688.64860999999996</v>
      </c>
      <c r="V79" s="3">
        <f>629+(76.2-43)+(-0.64158+(-0.077724--0.04386))+0-0-0</f>
        <v>661.52455600000008</v>
      </c>
      <c r="W79" s="3">
        <f>649+(44.7-71.6)+(-1.32396+(-0.091188--0.146064))+0-0-0</f>
        <v>620.830916</v>
      </c>
      <c r="X79" s="3">
        <f>668+(12.4-93.6)+(-1.36272+(-0.025296--0.190944))+0-0-0</f>
        <v>585.60292799999991</v>
      </c>
      <c r="Y79" s="3">
        <f>706+(5.8-82)+(-1.08018+(-0.008874--0.12546))+0-0-0</f>
        <v>628.83640600000001</v>
      </c>
      <c r="Z79" s="3">
        <f>739+(51.2-34)+(-1.13067+(-0.078336--0.05202))+0-0-0</f>
        <v>755.04301400000008</v>
      </c>
      <c r="AA79" s="3">
        <f>738+(75.6-32.3)+(-0.75276+(-0.077112--0.032946))+0-0-0</f>
        <v>780.50307399999997</v>
      </c>
      <c r="AB79" s="3">
        <f>734+(71.1-34.6)+(-1.12302+(-0.108783--0.052938))+0-0-0</f>
        <v>769.32113500000003</v>
      </c>
      <c r="AC79" s="3">
        <f>695+(89.4-24)+(-1.06335+(-0.136782--0.03672))+0-0-0</f>
        <v>759.23658799999998</v>
      </c>
      <c r="AD79">
        <f t="shared" si="1"/>
        <v>15064.650803000002</v>
      </c>
      <c r="AE79" s="3">
        <f>730+(73-32.6)+(0+(0-0))+0-0-0</f>
        <v>770.4</v>
      </c>
    </row>
    <row r="80" spans="1:31" s="2" customFormat="1" x14ac:dyDescent="0.25">
      <c r="A80">
        <v>89</v>
      </c>
      <c r="B80">
        <v>3</v>
      </c>
      <c r="C80">
        <v>18</v>
      </c>
      <c r="D80">
        <v>4</v>
      </c>
      <c r="E80">
        <v>1</v>
      </c>
      <c r="F80" s="3">
        <f>655+(76.9-28.1)+(-1.00215+(-0.117657--0.042993))+0-0-0</f>
        <v>702.72318599999994</v>
      </c>
      <c r="G80" s="3">
        <f>630+(71.7-29.5)+(-1.6065+(-0.182835--0.075225))+0-0-0</f>
        <v>670.48589000000004</v>
      </c>
      <c r="H80" s="3">
        <f>622+(56.5-38.5)+(0+(0-0))+0-0-0</f>
        <v>640</v>
      </c>
      <c r="I80" s="3">
        <f>623+(45.7-51)+(-1.27092+(-0.093228--0.10404))+0-0-0</f>
        <v>616.4398920000001</v>
      </c>
      <c r="J80" s="3">
        <f>623+(35.1-61.2)+(-0.31773+(-0.017901--0.031212))+0-0-0</f>
        <v>596.59558099999992</v>
      </c>
      <c r="K80" s="3">
        <f>623+(10.4-89.7)+(-1.90638+(-0.031824--0.274482))+0-0-0</f>
        <v>542.03627800000004</v>
      </c>
      <c r="L80" s="3">
        <f>536+(21.2-55.1)+(-0.54672+(-0.021624--0.056202))+0-0-0</f>
        <v>501.58785800000004</v>
      </c>
      <c r="M80" s="3">
        <f>476+(57.3-30)+(0+(0-0))+0-0-0</f>
        <v>503.3</v>
      </c>
      <c r="N80" s="3">
        <f>476+(76.7-28)+(-0.48552+(-0.078234--0.02856))+0-0-0</f>
        <v>524.164806</v>
      </c>
      <c r="O80" s="3">
        <f>476+(97.6-26)+(0.72828+(0.149328-0.03978))+0-0-0</f>
        <v>548.43782799999997</v>
      </c>
      <c r="P80" s="3">
        <f>475+(138-25)+(-0.4845+(-0.14076--0.0255))+0-0-0</f>
        <v>587.40024000000005</v>
      </c>
      <c r="Q80" s="3">
        <f>475+(180-25)+(0.4845+(0.1836-0.0255))+0-0-0</f>
        <v>630.64260000000002</v>
      </c>
      <c r="R80" s="3">
        <f>522+(189.6-25)+(-0.79866+(-0.290088--0.03825))+0-0-0</f>
        <v>685.54950200000007</v>
      </c>
      <c r="S80" s="3">
        <f>611+(157.1-28)+(-0.62322+(-0.160242--0.02856))+0-0-0</f>
        <v>739.34509800000001</v>
      </c>
      <c r="T80" s="3">
        <f>611+(155.5-31)+(0.31161+(0.079305-0.01581))+0-0-0</f>
        <v>735.87510499999996</v>
      </c>
      <c r="U80" s="3">
        <f>614+(139.7-30)+(0+(0-0))+0-0-0</f>
        <v>723.7</v>
      </c>
      <c r="V80" s="3">
        <f>629+(104.9-29)+(0+(0-0))+0-0-0</f>
        <v>704.9</v>
      </c>
      <c r="W80" s="3">
        <f>634+(63.6-43)+(-1.29336+(-0.129744--0.08772))+0-0-0</f>
        <v>653.26461600000005</v>
      </c>
      <c r="X80" s="3">
        <f>635+(29-65.6)+(-1.2954+(-0.05916--0.133824))+0-0-0</f>
        <v>597.17926399999999</v>
      </c>
      <c r="Y80" s="3">
        <f>686+(21.4-63.2)+(-2.79888+(-0.087312--0.257856))+0-0-0</f>
        <v>641.57166400000006</v>
      </c>
      <c r="Z80" s="3">
        <f>736+(71.6-31)+(-1.50144+(-0.146064--0.06324))+0-0-0</f>
        <v>775.01573600000006</v>
      </c>
      <c r="AA80" s="3">
        <f>735+(104.1-33)+(-0.7497+(-0.106182--0.03366))+0-0-0</f>
        <v>805.27777800000001</v>
      </c>
      <c r="AB80" s="3">
        <f>728+(118.3-33)+(-1.11384+(-0.180999--0.05049))+0-0-0</f>
        <v>812.0556509999999</v>
      </c>
      <c r="AC80" s="3">
        <f>686+(129.9-31)+(-1.39944+(-0.264996--0.06324))+0-0-0</f>
        <v>783.29880400000002</v>
      </c>
      <c r="AD80">
        <f t="shared" si="1"/>
        <v>15720.847377</v>
      </c>
      <c r="AE80" s="3">
        <f>734+(99.7-33)+(0+(0-0))+0-0-0</f>
        <v>800.7</v>
      </c>
    </row>
    <row r="81" spans="1:31" s="2" customFormat="1" x14ac:dyDescent="0.25">
      <c r="A81">
        <v>89</v>
      </c>
      <c r="B81">
        <v>3</v>
      </c>
      <c r="C81">
        <v>19</v>
      </c>
      <c r="D81">
        <v>5</v>
      </c>
      <c r="E81">
        <v>1</v>
      </c>
      <c r="F81" s="3">
        <f>677+(95-31)+(-1.03581+(-0.14535--0.04743))+0-0-0</f>
        <v>739.86626999999999</v>
      </c>
      <c r="G81" s="3">
        <f>677+(66.5-36.5)+(-1.38108+(-0.13566--0.07446))+0-0-0</f>
        <v>705.55772000000002</v>
      </c>
      <c r="H81" s="3">
        <f>679+(48.8-47.2)+(-0.69258+(-0.049776--0.048144))+0-0-0</f>
        <v>679.90578800000003</v>
      </c>
      <c r="I81" s="3">
        <f>679+(39.7-55.2)+(-1.73145+(-0.101235--0.14076))+0-0-0</f>
        <v>661.80807500000003</v>
      </c>
      <c r="J81" s="3">
        <f>679+(28.4-65.4)+(0.69258+(0.028968-0.066708))+0-0-0</f>
        <v>642.65484000000004</v>
      </c>
      <c r="K81" s="3">
        <f>676+(4.7-93.8)+(-1.7238+(-0.011985--0.23919))+0-0-0</f>
        <v>585.40340500000002</v>
      </c>
      <c r="L81" s="3">
        <f>665+(0-121.7)+(-0.33915+(0--0.062067))+0-0-0</f>
        <v>543.02291700000001</v>
      </c>
      <c r="M81" s="3">
        <f>644+(3.9-88.1)+(0.65688+(0.003978-0.089862))+0-0-0</f>
        <v>560.37099599999999</v>
      </c>
      <c r="N81" s="3">
        <f>647+(10.4-78.1)+(0+(0-0))+0-0-0</f>
        <v>579.29999999999995</v>
      </c>
      <c r="O81" s="3">
        <f>663+(10.5-79)+(0+(0-0))+0-0-0</f>
        <v>594.5</v>
      </c>
      <c r="P81" s="3">
        <f>661+(23-65.5)+(-0.67422+(-0.02346--0.06681))+0-0-0</f>
        <v>617.86913000000004</v>
      </c>
      <c r="Q81" s="3">
        <f>657+(55.6-41.3)+(0.67014+(0.056712-0.042126))+0-0-0</f>
        <v>671.98472599999991</v>
      </c>
      <c r="R81" s="3">
        <f>667+(88-30.7)+(-1.02051+(-0.13464--0.046971))+0-0-0</f>
        <v>723.191821</v>
      </c>
      <c r="S81" s="3">
        <f>689+(108.3-29)+(-0.35139+(-0.055233--0.01479))+0-0-0</f>
        <v>767.90816699999993</v>
      </c>
      <c r="T81" s="3">
        <f>690+(104.2-31)+(-0.3519+(-0.053142--0.01581))+0-0-0</f>
        <v>762.81076800000005</v>
      </c>
      <c r="U81" s="3">
        <f>690+(82.4-37.1)+(-0.7038+(-0.084048--0.037842))+0-0-0</f>
        <v>734.54999399999997</v>
      </c>
      <c r="V81" s="3">
        <f>675+(73-37.4)+(-1.03275+(-0.11169--0.057222))+0-0-0</f>
        <v>709.51278200000002</v>
      </c>
      <c r="W81" s="3">
        <f>694+(39.3-44.7)+(-1.06182+(-0.060129--0.068391))+0-0-0</f>
        <v>687.54644200000007</v>
      </c>
      <c r="X81" s="3">
        <f>693+(12.5-72.2)+(-1.76715+(-0.031875--0.18411))+0-0-0</f>
        <v>631.68508499999996</v>
      </c>
      <c r="Y81" s="3">
        <f>696+(27.6-54.6)+(-1.7748+(-0.07038--0.13923))+0-0-0</f>
        <v>667.29404999999997</v>
      </c>
      <c r="Z81" s="3">
        <f>713+(117.9-33)+(-0.72726+(-0.120258--0.03366))+0-0-0</f>
        <v>797.086142</v>
      </c>
      <c r="AA81" s="3">
        <f>724+(135.8-33)+(-1.10772+(-0.207774--0.05049))+0-0-0</f>
        <v>825.53499599999998</v>
      </c>
      <c r="AB81" s="3">
        <f>721+(150-32)+(-1.83855+(-0.3825--0.0816))+0-0-0</f>
        <v>836.86054999999999</v>
      </c>
      <c r="AC81" s="3">
        <f>640+(200.1-31)+(0+(0-0))+0-0-0</f>
        <v>809.1</v>
      </c>
      <c r="AD81">
        <f t="shared" si="1"/>
        <v>16535.324664</v>
      </c>
      <c r="AE81" s="3">
        <f>723+(136.6-33)+(0+(0-0))+0-0-0</f>
        <v>826.6</v>
      </c>
    </row>
    <row r="82" spans="1:31" s="2" customFormat="1" x14ac:dyDescent="0.25">
      <c r="A82">
        <v>89</v>
      </c>
      <c r="B82">
        <v>3</v>
      </c>
      <c r="C82">
        <v>20</v>
      </c>
      <c r="D82">
        <v>6</v>
      </c>
      <c r="E82">
        <v>1</v>
      </c>
      <c r="F82" s="3">
        <f>604+(177.6-31)+(-0.61608+(-0.181152--0.03162))+0-0-0</f>
        <v>749.83438799999999</v>
      </c>
      <c r="G82" s="3">
        <f>573+(161.1-31)+(0.87669+(0.246483-0.04743))+0-0-0</f>
        <v>704.17574300000001</v>
      </c>
      <c r="H82" s="3">
        <f>547+(179.7-31)+(0+(0-0))+0-0-0</f>
        <v>695.7</v>
      </c>
      <c r="I82" s="3">
        <f>547+(154.5-31)+(0.27897+(0.078795-0.01581))+0-0-0</f>
        <v>670.84195499999998</v>
      </c>
      <c r="J82" s="3">
        <f>542+(130.8-32)+(-0.55284+(-0.133416--0.03264))+0-0-0</f>
        <v>640.1463839999999</v>
      </c>
      <c r="K82" s="3">
        <f>540+(73.5-32)+(-0.8262+(-0.112455--0.04896))+0-0-0</f>
        <v>580.61030500000004</v>
      </c>
      <c r="L82" s="3">
        <f>539+(43.2-38.3)+(-0.27489+(-0.022032--0.019533))+0-0-0</f>
        <v>543.62261100000001</v>
      </c>
      <c r="M82" s="3">
        <f>521+(65.5-31.5)+(0.26571+(0.033405-0.016065))+0-0-0</f>
        <v>555.28305</v>
      </c>
      <c r="N82" s="3">
        <f>564+(53.9-39.5)+(0.57528+(0.054978-0.04029))+0-0-0</f>
        <v>578.98996799999998</v>
      </c>
      <c r="O82" s="3">
        <f>604+(55.9-36.6)+(1.23216+(0.114036-0.074664))+0-0-0</f>
        <v>624.57153199999993</v>
      </c>
      <c r="P82" s="3">
        <f>604+(78.6-28.3)+(0.61608+(0.080172-0.028866))+0-0-0</f>
        <v>654.96738599999992</v>
      </c>
      <c r="Q82" s="3">
        <f>614+(112.9-27)+(0.62628+(0.115158-0.02754))+0-0-0</f>
        <v>700.61389799999995</v>
      </c>
      <c r="R82" s="3">
        <f>614+(155.6-28)+(0.31314+(0.079356-0.01428))+0-0-0</f>
        <v>741.97821599999997</v>
      </c>
      <c r="S82" s="3">
        <f>610+(188.9-29)+(0+(0-0))+0-0-0</f>
        <v>769.9</v>
      </c>
      <c r="T82" s="3">
        <f>610+(189.9-30)+(0+(0-0))+0-0-0</f>
        <v>769.9</v>
      </c>
      <c r="U82" s="3">
        <f>611+(157-32)+(-0.31161+(-0.08007--0.01632))+0-0-0</f>
        <v>735.62464</v>
      </c>
      <c r="V82" s="3">
        <f>620+(109.2-33)+(-0.6324+(-0.111384--0.03366))+0-0-0</f>
        <v>695.48987600000009</v>
      </c>
      <c r="W82" s="3">
        <f>646+(67.1-47.7)+(-0.98838+(-0.102663--0.072981))+0-0-0</f>
        <v>664.38193799999999</v>
      </c>
      <c r="X82" s="3">
        <f>646+(34.4-67.2)+(-1.6473+(-0.08772--0.17136))+0-0-0</f>
        <v>611.63634000000002</v>
      </c>
      <c r="Y82" s="3">
        <f>657+(38.5-49)+(-1.00521+(-0.058905--0.07497))+0-0-0</f>
        <v>645.51085499999999</v>
      </c>
      <c r="Z82" s="3">
        <f>713+(100.4-32)+(-0.36363+(-0.051204--0.01632))+0-0-0</f>
        <v>781.001486</v>
      </c>
      <c r="AA82" s="3">
        <f>710+(148-32)+(-0.7242+(-0.15096--0.03264))+0-0-0</f>
        <v>825.15747999999996</v>
      </c>
      <c r="AB82" s="3">
        <f>680+(176.6-33)+(-0.6936+(-0.180132--0.03366))+0-0-0</f>
        <v>822.75992800000006</v>
      </c>
      <c r="AC82" s="3">
        <f>639+(197.2-33)+(-0.32589+(-0.100572--0.01683))+0-0-0</f>
        <v>802.79036800000006</v>
      </c>
      <c r="AD82">
        <f t="shared" si="1"/>
        <v>16565.488346999999</v>
      </c>
      <c r="AE82" s="3">
        <f>709+(148.2-31)+(0+(0-0))+0-0-0</f>
        <v>826.2</v>
      </c>
    </row>
    <row r="83" spans="1:31" s="2" customFormat="1" x14ac:dyDescent="0.25">
      <c r="A83">
        <v>89</v>
      </c>
      <c r="B83">
        <v>3</v>
      </c>
      <c r="C83">
        <v>21</v>
      </c>
      <c r="D83">
        <v>7</v>
      </c>
      <c r="E83">
        <v>1</v>
      </c>
      <c r="F83" s="3">
        <f>624+(167.3-31)+(0+(0-0))+0-0-0</f>
        <v>760.3</v>
      </c>
      <c r="G83" s="3">
        <f>575+(186.5-31)+(-0.87975+(-0.285345--0.04743))+0-0-0</f>
        <v>729.38233500000001</v>
      </c>
      <c r="H83" s="3">
        <f>535+(191.6-31)+(0+(0-0))+0-0-0</f>
        <v>695.6</v>
      </c>
      <c r="I83" s="3">
        <f>535+(174-32)+(0+(0-0))+0-0-0</f>
        <v>677</v>
      </c>
      <c r="J83" s="3">
        <f>531+(150.5-32)+(0.54162+(0.15351-0.03264))+0-0-0</f>
        <v>650.16249000000005</v>
      </c>
      <c r="K83" s="3">
        <f>528+(93.6-32)+(-1.07712+(-0.190944--0.06528))+0-0-0</f>
        <v>588.39721600000007</v>
      </c>
      <c r="L83" s="3">
        <f>524+(52-32)+(0+(0-0))+0-0-0</f>
        <v>544</v>
      </c>
      <c r="M83" s="3">
        <f>525+(52.3-30)+(-0.80325+(-0.080019--0.0459))+0-0-0</f>
        <v>546.46263099999999</v>
      </c>
      <c r="N83" s="3">
        <f>558+(29.4-43.6)+(0+(0-0))+0-0-0</f>
        <v>543.79999999999995</v>
      </c>
      <c r="O83" s="3">
        <f>591+(32.8-44)+(0+(0-0))+0-0-0</f>
        <v>579.79999999999995</v>
      </c>
      <c r="P83" s="3">
        <f>615+(41.7-43)+(-0.31365+(-0.021267--0.02193))+0-0-0</f>
        <v>613.38701300000002</v>
      </c>
      <c r="Q83" s="3">
        <f>618+(77.9-33)+(0.94554+(0.119187-0.05049))+0-0-0</f>
        <v>663.91423699999996</v>
      </c>
      <c r="R83" s="3">
        <f>608+(134.9-31)+(0+(0-0))+0-0-0</f>
        <v>711.9</v>
      </c>
      <c r="S83" s="3">
        <f>608+(169.2-31)+(0+(0-0))+0-0-0</f>
        <v>746.2</v>
      </c>
      <c r="T83" s="3">
        <f>607+(148.5-31)+(-0.61914+(-0.15147--0.03162))+0-0-0</f>
        <v>723.76101000000006</v>
      </c>
      <c r="U83" s="3">
        <f>613+(108.9-33.6)+(0+(0-0))+0-0-0</f>
        <v>688.3</v>
      </c>
      <c r="V83" s="3">
        <f>613+(90-40.4)+(0+(0-0))+0-0-0</f>
        <v>662.6</v>
      </c>
      <c r="W83" s="3">
        <f>622+(66.3-53)+(0.31722+(0.033813-0.02703))+0-0-0</f>
        <v>635.6240029999999</v>
      </c>
      <c r="X83" s="3">
        <f>645+(37.4-66)+(-0.32895+(-0.019074--0.03366))+0-0-0</f>
        <v>616.08563600000002</v>
      </c>
      <c r="Y83" s="3">
        <f>646+(46.8-41.9)+(0+(0-0))+0-0-0</f>
        <v>650.9</v>
      </c>
      <c r="Z83" s="3">
        <f>675+(145.3-31)+(-0.34425+(-0.074103--0.01581))+0-0-0</f>
        <v>788.89745699999992</v>
      </c>
      <c r="AA83" s="3">
        <f>673+(182.6-32)+(0.34323+(0.093126-0.01632))+0-0-0</f>
        <v>824.020036</v>
      </c>
      <c r="AB83" s="3">
        <f>671+(206.3-32)+(-0.68442+(-0.210426--0.03264))+0-0-0</f>
        <v>844.43779399999994</v>
      </c>
      <c r="AC83" s="3">
        <f>645+(209.5-31)+(-0.98685+(-0.320535--0.04743))+0-0-0</f>
        <v>822.24004500000001</v>
      </c>
      <c r="AD83">
        <f t="shared" si="1"/>
        <v>16307.171902999999</v>
      </c>
      <c r="AE83" s="3">
        <f>673+(212.6-32)+(0+(0-0))+0-0-0</f>
        <v>853.6</v>
      </c>
    </row>
    <row r="84" spans="1:31" s="2" customFormat="1" x14ac:dyDescent="0.25">
      <c r="A84">
        <v>89</v>
      </c>
      <c r="B84">
        <v>3</v>
      </c>
      <c r="C84">
        <v>22</v>
      </c>
      <c r="D84">
        <v>1</v>
      </c>
      <c r="E84">
        <v>1</v>
      </c>
      <c r="F84" s="3">
        <f>621+(178.7-31)+(-0.63342+(-0.182274--0.03162))+0-0-0</f>
        <v>767.91592600000001</v>
      </c>
      <c r="G84" s="3">
        <f>591+(173.7-31)+(-0.90423+(-0.265761--0.04743))+0-0-0</f>
        <v>732.57743900000003</v>
      </c>
      <c r="H84" s="3">
        <f>536+(202.3-30)+(-0.27336+(-0.103173--0.0153))+0-0-0</f>
        <v>707.93876699999998</v>
      </c>
      <c r="I84" s="3">
        <f>514+(201-30)+(-0.52428+(-0.20502--0.0306))+0-0-0</f>
        <v>684.30129999999997</v>
      </c>
      <c r="J84" s="3">
        <f>515+(177.6-30)+(-1.31325+(-0.45288--0.0765))+0-0-0</f>
        <v>660.91037000000006</v>
      </c>
      <c r="K84" s="3">
        <f>512+(111.2-32)+(-1.04448+(-0.226848--0.06528))+0-0-0</f>
        <v>589.99395200000004</v>
      </c>
      <c r="L84" s="3">
        <f>510+(77.1-33)+(-0.7803+(-0.117963--0.05049))+0-0-0</f>
        <v>553.25222700000006</v>
      </c>
      <c r="M84" s="3">
        <f>534+(63.6-35.5)+(0+(0-0))+0-0-0</f>
        <v>562.1</v>
      </c>
      <c r="N84" s="3">
        <f>567+(70.3-34.1)+(0+(0-0))+0-0-0</f>
        <v>603.20000000000005</v>
      </c>
      <c r="O84" s="3">
        <f>570+(88.1-30)+(0.2907+(0.044931-0.0153))+0-0-0</f>
        <v>628.42033100000003</v>
      </c>
      <c r="P84" s="3">
        <f>589+(96.7-29)+(0.60078+(0.098634-0.02958))+0-0-0</f>
        <v>657.36983400000008</v>
      </c>
      <c r="Q84" s="3">
        <f>594+(148-30)+(-0.30294+(-0.07548--0.0153))+0-0-0</f>
        <v>711.63688000000002</v>
      </c>
      <c r="R84" s="3">
        <f>635+(180.2-31)+(0.97155+(0.275706-0.04743))+0-0-0</f>
        <v>785.39982600000008</v>
      </c>
      <c r="S84" s="3">
        <f>659+(171-31)+(-0.33609+(-0.08721--0.01581))+0-0-0</f>
        <v>798.59250999999995</v>
      </c>
      <c r="T84" s="3">
        <f>663+(153.5-31)+(1.01439+(0.234855-0.04743))+0-0-0</f>
        <v>786.70181500000001</v>
      </c>
      <c r="U84" s="3">
        <f>677+(117.9-32)+(0+(0-0))+0-0-0</f>
        <v>762.9</v>
      </c>
      <c r="V84" s="3">
        <f>679+(81.2-42.1)+(0.34629+(0.041412-0.021471))+0-0-0</f>
        <v>718.46623099999999</v>
      </c>
      <c r="W84" s="3">
        <f>703+(56.9-60.1)+(-0.35853+(-0.029019--0.030651))+0-0-0</f>
        <v>699.44310199999995</v>
      </c>
      <c r="X84" s="3">
        <f>722+(22-78.2)+(-0.73644+(-0.02244--0.079764))+0-0-0</f>
        <v>665.12088399999993</v>
      </c>
      <c r="Y84" s="3">
        <f>712+(38.5-44.4)+(-0.36312+(-0.019635--0.022644))+0-0-0</f>
        <v>705.73988900000006</v>
      </c>
      <c r="Z84" s="3">
        <f>721+(157.5-32)+(-0.73542+(-0.16065--0.03264))+0-0-0</f>
        <v>845.63657000000001</v>
      </c>
      <c r="AA84" s="3">
        <f>710+(195.3-32)+(-0.3621+(-0.099603--0.01632))+0-0-0</f>
        <v>872.85461699999996</v>
      </c>
      <c r="AB84" s="3">
        <f>703+(206.6-31)+(-0.35853+(-0.105366--0.01581))+0-0-0</f>
        <v>878.15191400000003</v>
      </c>
      <c r="AC84" s="3">
        <f>693+(191.9-31)+(-0.35343+(-0.097869--0.01581))+0-0-0</f>
        <v>853.46451100000002</v>
      </c>
      <c r="AD84">
        <f t="shared" si="1"/>
        <v>17232.088895000001</v>
      </c>
      <c r="AE84" s="3">
        <f>718+(202.3-33)+(0+(0-0))+0-0-0</f>
        <v>887.3</v>
      </c>
    </row>
    <row r="85" spans="1:31" s="2" customFormat="1" x14ac:dyDescent="0.25">
      <c r="A85">
        <v>89</v>
      </c>
      <c r="B85">
        <v>3</v>
      </c>
      <c r="C85">
        <v>23</v>
      </c>
      <c r="D85">
        <v>2</v>
      </c>
      <c r="E85">
        <v>1</v>
      </c>
      <c r="F85" s="3">
        <f>563+(254.5-31)+(-0.28713+(-0.129795--0.01581))+0-0-0</f>
        <v>786.098885</v>
      </c>
      <c r="G85" s="3">
        <f>639+(140.8-31)+(-1.30356+(-0.287232--0.06324))+0-0-0</f>
        <v>747.27244799999994</v>
      </c>
      <c r="H85" s="3">
        <f>615+(137.9-31)+(-0.94095+(-0.210987--0.04743))+0-0-0</f>
        <v>720.79549299999996</v>
      </c>
      <c r="I85" s="3">
        <f>615+(120-30)+(0+(0-0))+0-0-0</f>
        <v>705</v>
      </c>
      <c r="J85" s="3">
        <f>615+(93.4-32)+(0.31365+(0.047634-0.01632))+0-0-0</f>
        <v>676.74496399999998</v>
      </c>
      <c r="K85" s="3">
        <f>611+(51.8-46.2)+(-1.24644+(-0.105672--0.094248))+0-0-0</f>
        <v>615.34213599999998</v>
      </c>
      <c r="L85" s="3">
        <f>604+(27.7-66.3)+(0.92412+(0.042381-0.101439))+0-0-0</f>
        <v>566.26506199999994</v>
      </c>
      <c r="M85" s="3">
        <f>602+(40-52.4)+(0.30702+(0.0204-0.026724))+0-0-0</f>
        <v>589.90069600000004</v>
      </c>
      <c r="N85" s="3">
        <f>598+(55.6-37.7)+(-0.91494+(-0.085068--0.057681))+0-0-0</f>
        <v>614.957673</v>
      </c>
      <c r="O85" s="3">
        <f>629+(59-47.9)+(-0.64158+(-0.06018--0.048858))+0-0-0</f>
        <v>639.44709799999998</v>
      </c>
      <c r="P85" s="3">
        <f>587+(90.7-30)+(-0.29937+(-0.046257--0.0153))+0-0-0</f>
        <v>647.36967300000003</v>
      </c>
      <c r="Q85" s="3">
        <f>587+(146.2-31)+(0+(0-0))+0-0-0</f>
        <v>702.2</v>
      </c>
      <c r="R85" s="3">
        <f>574+(221-32)+(-0.58548+(-0.22542--0.03264))+0-0-0</f>
        <v>762.22173999999995</v>
      </c>
      <c r="S85" s="3">
        <f>574+(262.3-33)+(-0.87822+(-0.401319--0.05049))+0-0-0</f>
        <v>802.07095099999992</v>
      </c>
      <c r="T85" s="3">
        <f>579+(262.4-32)+(-0.29529+(-0.133824--0.01632))+0-0-0</f>
        <v>808.98720600000001</v>
      </c>
      <c r="U85" s="3">
        <f>580+(239.8-30)+(0.2958+(0.122298-0.0153))+0-0-0</f>
        <v>790.20279799999992</v>
      </c>
      <c r="V85" s="3">
        <f>592+(203.3-29)+(-0.30192+(-0.103683--0.01479))+0-0-0</f>
        <v>765.90918699999997</v>
      </c>
      <c r="W85" s="3">
        <f>597+(162.6-28)+(-0.30447+(-0.082926--0.01428))+0-0-0</f>
        <v>731.22688400000004</v>
      </c>
      <c r="X85" s="3">
        <f>572+(119.4-28)+(-0.87516+(-0.182682--0.04284))+0-0-0</f>
        <v>662.384998</v>
      </c>
      <c r="Y85" s="3">
        <f>642+(85.9-30)+(-0.65484+(-0.087618--0.0306))+0-0-0</f>
        <v>697.18814199999997</v>
      </c>
      <c r="Z85" s="3">
        <f>751+(109.5-33)+(-0.38301+(-0.055845--0.01683))+0-0-0</f>
        <v>827.07797500000004</v>
      </c>
      <c r="AA85" s="3">
        <f>770+(122.4-34)+(0+(0-0))+0-0-0</f>
        <v>858.4</v>
      </c>
      <c r="AB85" s="3">
        <f>763+(139.8-32)+(-0.38913+(-0.071298--0.01632))+0-0-0</f>
        <v>870.35589199999993</v>
      </c>
      <c r="AC85" s="3">
        <f>743+(130.5-32)+(-1.13679+(-0.199665--0.04896))+0-0-0</f>
        <v>840.21250499999996</v>
      </c>
      <c r="AD85">
        <f t="shared" si="1"/>
        <v>17427.632405999997</v>
      </c>
      <c r="AE85" s="3">
        <f>763+(124.9-34)+(0+(0-0))+0-0-0</f>
        <v>853.9</v>
      </c>
    </row>
    <row r="86" spans="1:31" s="2" customFormat="1" x14ac:dyDescent="0.25">
      <c r="A86">
        <v>89</v>
      </c>
      <c r="B86">
        <v>3</v>
      </c>
      <c r="C86">
        <v>24</v>
      </c>
      <c r="D86">
        <v>3</v>
      </c>
      <c r="E86">
        <v>1</v>
      </c>
      <c r="F86" s="3">
        <f>704+(128.8-31)+(-0.71808+(-0.131376--0.03162))+0-0-0</f>
        <v>800.9821639999999</v>
      </c>
      <c r="G86" s="3">
        <f>682+(117.2-31)+(0+(0-0))+0-0-0</f>
        <v>768.2</v>
      </c>
      <c r="H86" s="3">
        <f>674+(95.3-31)+(-0.68748+(-0.097206--0.03162))+0-0-0</f>
        <v>737.54693399999996</v>
      </c>
      <c r="I86" s="3">
        <f>674+(74.5-36.5)+(0.68748+(0.07599-0.03723))+0-0-0</f>
        <v>712.72623999999996</v>
      </c>
      <c r="J86" s="3">
        <f>671+(67.2-40.9)+(-0.34221+(-0.034272--0.020859))+0-0-0</f>
        <v>696.94437699999992</v>
      </c>
      <c r="K86" s="3">
        <f>651+(46-64.6)+(-0.66402+(-0.04692--0.065892))+0-0-0</f>
        <v>631.754952</v>
      </c>
      <c r="L86" s="3">
        <f>522+(89.5-33)+(0.26622+(0.045645-0.01683))+0-0-0</f>
        <v>578.79503499999998</v>
      </c>
      <c r="M86" s="3">
        <f>521+(100-31)+(0.26571+(0.051-0.01581))+0-0-0</f>
        <v>590.30089999999996</v>
      </c>
      <c r="N86" s="3">
        <f>593+(50.7-37.2)+(-0.60486+(-0.051714--0.037944))+0-0-0</f>
        <v>605.88136999999995</v>
      </c>
      <c r="O86" s="3">
        <f>645+(40.2-51)+(0+(0-0))+0-0-0</f>
        <v>634.20000000000005</v>
      </c>
      <c r="P86" s="3">
        <f>654+(58.4-38.1)+(0.66708+(0.059568-0.038862))+0-0-0</f>
        <v>674.98778599999991</v>
      </c>
      <c r="Q86" s="3">
        <f>701+(67.4-41.7)+(0.35751+(0.034374-0.021267))+0-0-0</f>
        <v>727.07061700000008</v>
      </c>
      <c r="R86" s="3">
        <f>691+(102.4-31)+(0.35241+(0.052224-0.01581))+0-0-0</f>
        <v>762.78882399999998</v>
      </c>
      <c r="S86" s="3">
        <f>695+(140.7-32)+(-0.7089+(-0.143514--0.03264))+0-0-0</f>
        <v>802.88022599999999</v>
      </c>
      <c r="T86" s="3">
        <f>702+(137.4-30)+(0.71604+(0.140148-0.0306))+0-0-0</f>
        <v>810.22558800000002</v>
      </c>
      <c r="U86" s="3">
        <f>707+(116.2-30)+(1.44228+(0.237048-0.0612))+0-0-0</f>
        <v>794.818128</v>
      </c>
      <c r="V86" s="3">
        <f>715+(91.4-36.9)+(-0.36465+(-0.046614--0.018819))+0-0-0</f>
        <v>769.10755500000005</v>
      </c>
      <c r="W86" s="3">
        <f>738+(58.3-62.4)+(-0.75276+(-0.059466--0.063648))+0-0-0</f>
        <v>733.15142200000003</v>
      </c>
      <c r="X86" s="3">
        <f>740+(26.5-86.7)+(-1.5096+(-0.05406--0.176868))+0-0-0</f>
        <v>678.41320799999994</v>
      </c>
      <c r="Y86" s="3">
        <f>740+(35.7-62.4)+(0+(0-0))+0-0-0</f>
        <v>713.3</v>
      </c>
      <c r="Z86" s="3">
        <f>768+(98.8-31)+(0.39168+(0.050388-0.01581))+0-0-0</f>
        <v>836.22625799999992</v>
      </c>
      <c r="AA86" s="3">
        <f>771+(121.5-32)+(-0.39321+(-0.061965--0.01632))+0-0-0</f>
        <v>860.06114500000001</v>
      </c>
      <c r="AB86" s="3">
        <f>767+(135.8-33)+(-1.17351+(-0.207774--0.05049))+0-0-0</f>
        <v>868.46920599999999</v>
      </c>
      <c r="AC86" s="3">
        <f>748+(135.3-33)+(-0.76296+(-0.138006--0.03366))+0-0-0</f>
        <v>849.43269399999997</v>
      </c>
      <c r="AD86">
        <f t="shared" si="1"/>
        <v>17638.264629000001</v>
      </c>
      <c r="AE86" s="3">
        <f>770+(119.9-31)+(0+(0-0))+0-0-0</f>
        <v>858.9</v>
      </c>
    </row>
    <row r="87" spans="1:31" s="2" customFormat="1" x14ac:dyDescent="0.25">
      <c r="A87">
        <v>89</v>
      </c>
      <c r="B87">
        <v>3</v>
      </c>
      <c r="C87">
        <v>25</v>
      </c>
      <c r="D87">
        <v>4</v>
      </c>
      <c r="E87">
        <v>1</v>
      </c>
      <c r="F87" s="3">
        <f>696+(136.8-32)+(-1.06488+(-0.209304--0.04896))+0-0-0</f>
        <v>799.57477599999993</v>
      </c>
      <c r="G87" s="3">
        <f>685+(111.7-31)+(0+(0-0))+0-0-0</f>
        <v>765.7</v>
      </c>
      <c r="H87" s="3">
        <f>616+(154.5-30)+(-0.62832+(-0.15759--0.0306))+0-0-0</f>
        <v>739.74468999999999</v>
      </c>
      <c r="I87" s="3">
        <f>616+(124.6-30)+(-0.31416+(-0.063546--0.0153))+0-0-0</f>
        <v>710.23759400000006</v>
      </c>
      <c r="J87" s="3">
        <f>590+(129.7-30)+(-0.6018+(-0.132294--0.0306))+0-0-0</f>
        <v>688.99650600000007</v>
      </c>
      <c r="K87" s="3">
        <f>536+(114.5-31)+(-1.3668+(-0.291975--0.07905))+0-0-0</f>
        <v>617.92027499999995</v>
      </c>
      <c r="L87" s="3">
        <f>537+(72.1-32)+(-1.36935+(-0.183855--0.0816))+0-0-0</f>
        <v>575.62839500000007</v>
      </c>
      <c r="M87" s="3">
        <f>536+(83.7-32)+(0.54672+(0.085374-0.03264))+0-0-0</f>
        <v>588.29945400000008</v>
      </c>
      <c r="N87" s="3">
        <f>535+(100.8-32)+(0.27285+(0.051408-0.01632))+0-0-0</f>
        <v>604.10793799999999</v>
      </c>
      <c r="O87" s="3">
        <f>613+(49.9-41.8)+(0.31263+(0.025449-0.021318))+0-0-0</f>
        <v>621.41676100000006</v>
      </c>
      <c r="P87" s="3">
        <f>671+(43.8-63.4)+(-0.34221+(-0.022338--0.032334))+0-0-0</f>
        <v>651.06778599999996</v>
      </c>
      <c r="Q87" s="3">
        <f>686+(56.5-50.6)+(0+(0-0))+0-0-0</f>
        <v>691.9</v>
      </c>
      <c r="R87" s="3">
        <f>711+(75.2-38.6)+(-0.72522+(-0.076704--0.039372))+0-0-0</f>
        <v>746.83744799999999</v>
      </c>
      <c r="S87" s="3">
        <f>714+(119.4-32)+(-0.72828+(-0.121788--0.03264))+0-0-0</f>
        <v>800.58257200000003</v>
      </c>
      <c r="T87" s="3">
        <f>713+(130.4-32)+(0+(0-0))+0-0-0</f>
        <v>811.4</v>
      </c>
      <c r="U87" s="3">
        <f>720+(103.2-34.7)+(0.7344+(0.105264-0.035394))+0-0-0</f>
        <v>789.30426999999997</v>
      </c>
      <c r="V87" s="3">
        <f>724+(75.7-46.3)+(-0.73848+(-0.077214--0.047226))+0-0-0</f>
        <v>752.63153199999999</v>
      </c>
      <c r="W87" s="3">
        <f>700+(66.6-53)+(-1.071+(-0.101898--0.08109))+0-0-0</f>
        <v>712.50819200000001</v>
      </c>
      <c r="X87" s="3">
        <f>698+(35.6-76.1)+(-1.06794+(-0.054468--0.116433))+0-0-0</f>
        <v>656.49402499999997</v>
      </c>
      <c r="Y87" s="3">
        <f>733+(27.7-63.3)+(-0.74766+(-0.028254--0.064566))+0-0-0</f>
        <v>696.68865199999993</v>
      </c>
      <c r="Z87" s="3">
        <f>767+(69.7-24)+(-0.39117+(-0.035547--0.01224))+0-0-0</f>
        <v>812.28552300000001</v>
      </c>
      <c r="AA87" s="3">
        <f>766+(104.3-23)+(-1.17198+(-0.159579--0.03519))+0-0-0</f>
        <v>846.00363099999993</v>
      </c>
      <c r="AB87" s="3">
        <f>756+(134.8-28)+(-1.15668+(-0.206244--0.04284))+0-0-0</f>
        <v>861.479916</v>
      </c>
      <c r="AC87" s="3">
        <f>719+(147.6-30)+(-0.73338+(-0.150552--0.0306))+0-0-0</f>
        <v>835.746668</v>
      </c>
      <c r="AD87">
        <f t="shared" si="1"/>
        <v>17376.556603999998</v>
      </c>
      <c r="AE87" s="3">
        <f>767+(118.2-31)+(0+(0-0))+0-0-0</f>
        <v>854.2</v>
      </c>
    </row>
    <row r="88" spans="1:31" s="2" customFormat="1" x14ac:dyDescent="0.25">
      <c r="A88">
        <v>89</v>
      </c>
      <c r="B88">
        <v>3</v>
      </c>
      <c r="C88">
        <v>26</v>
      </c>
      <c r="D88">
        <v>5</v>
      </c>
      <c r="E88">
        <v>1</v>
      </c>
      <c r="F88" s="3">
        <f>694+(125-32)+(-0.70788+(-0.1275--0.03264))+0-0-0</f>
        <v>786.19726000000003</v>
      </c>
      <c r="G88" s="3">
        <f>694+(91.7-34.2)+(-0.35394+(-0.046767--0.017442))+0-0-0</f>
        <v>751.11673499999995</v>
      </c>
      <c r="H88" s="3">
        <f>695+(66.4-43.3)+(-0.7089+(-0.067728--0.044166))+0-0-0</f>
        <v>717.36753799999997</v>
      </c>
      <c r="I88" s="3">
        <f>695+(55-56.8)+(-1.06335+(-0.08415--0.086904))+0-0-0</f>
        <v>692.13940400000001</v>
      </c>
      <c r="J88" s="3">
        <f>694+(43.1-65.7)+(-0.35394+(-0.021981--0.033507))+0-0-0</f>
        <v>671.05758600000001</v>
      </c>
      <c r="K88" s="3">
        <f>691+(18.2-95.8)+(-1.76205+(-0.04641--0.24429))+0-0-0</f>
        <v>611.83582999999999</v>
      </c>
      <c r="L88" s="3">
        <f>688+(0-119.8)+(-0.35088+(0--0.061098))+0-0-0</f>
        <v>567.9102180000001</v>
      </c>
      <c r="M88" s="3">
        <f>686+(2.9-112.6)+(-0.34986+(-0.001479--0.057426))+0-0-0</f>
        <v>576.00608699999998</v>
      </c>
      <c r="N88" s="3">
        <f>683+(9.9-102.2)+(-0.69666+(-0.010098--0.104244))+0-0-0</f>
        <v>590.097486</v>
      </c>
      <c r="O88" s="3">
        <f>683+(14.4-93.6)+(-0.34833+(-0.007344--0.047736))+0-0-0</f>
        <v>603.49206199999992</v>
      </c>
      <c r="P88" s="3">
        <f>679+(33.2-77.4)+(0+(0-0))+0-0-0</f>
        <v>634.79999999999995</v>
      </c>
      <c r="Q88" s="3">
        <f>699+(48.7-58.6)+(-0.71298+(-0.049674--0.059772))+0-0-0</f>
        <v>688.39711799999998</v>
      </c>
      <c r="R88" s="3">
        <f>711+(76.2-41.4)+(0+(0-0))+0-0-0</f>
        <v>745.8</v>
      </c>
      <c r="S88" s="3">
        <f>713+(106.1-33)+(0+(0-0))+0-0-0</f>
        <v>786.1</v>
      </c>
      <c r="T88" s="3">
        <f>712+(119.9-32)+(0+(0-0))+0-0-0</f>
        <v>799.9</v>
      </c>
      <c r="U88" s="3">
        <f>717+(103.4-32.2)+(-0.36567+(-0.052734--0.016422))+0-0-0</f>
        <v>787.79801800000007</v>
      </c>
      <c r="V88" s="3">
        <f>732+(73.7-53)+(0.74664+(0.075174-0.05406))+0-0-0</f>
        <v>753.46775400000001</v>
      </c>
      <c r="W88" s="3">
        <f>751+(44.2-76)+(-1.91505+(-0.11271--0.1938))+0-0-0</f>
        <v>717.36604</v>
      </c>
      <c r="X88" s="3">
        <f>753+(8.6-99.6)+(-1.92015+(-0.02193--0.25398))+0-0-0</f>
        <v>660.31190000000004</v>
      </c>
      <c r="Y88" s="3">
        <f>760+(10.6-83.6)+(-0.7752+(-0.010812--0.085272))+0-0-0</f>
        <v>686.29926</v>
      </c>
      <c r="Z88" s="3">
        <f>774+(70.3-33.3)+(0+(0-0))+0-0-0</f>
        <v>811</v>
      </c>
      <c r="AA88" s="3">
        <f>769+(108.5-32)+(-1.17657+(-0.166005--0.04896))+0-0-0</f>
        <v>844.20638499999995</v>
      </c>
      <c r="AB88" s="3">
        <f>764+(115.6-32)+(-0.38964+(-0.058956--0.01632))+0-0-0</f>
        <v>847.16772400000002</v>
      </c>
      <c r="AC88" s="3">
        <f>704+(135.6-32)+(-0.35904+(-0.069156--0.01632))+0-0-0</f>
        <v>807.18812400000002</v>
      </c>
      <c r="AD88">
        <f t="shared" si="1"/>
        <v>17137.022528999998</v>
      </c>
      <c r="AE88" s="3">
        <f>773+(105.3-32)+(0+(0-0))+0-0-0</f>
        <v>846.3</v>
      </c>
    </row>
    <row r="89" spans="1:31" s="2" customFormat="1" x14ac:dyDescent="0.25">
      <c r="A89">
        <v>89</v>
      </c>
      <c r="B89">
        <v>3</v>
      </c>
      <c r="C89">
        <v>27</v>
      </c>
      <c r="D89">
        <v>6</v>
      </c>
      <c r="E89">
        <v>1</v>
      </c>
      <c r="F89" s="3">
        <f>696+(108.3-31)+(-0.70992+(-0.110466--0.03162))+0-0-0</f>
        <v>772.51123399999994</v>
      </c>
      <c r="G89" s="3">
        <f>641+(123.4-30)+(0+(0-0))+0-0-0</f>
        <v>734.4</v>
      </c>
      <c r="H89" s="3">
        <f>534+(209.5-29)+(-0.81702+(-0.320535--0.04437))+0-0-0</f>
        <v>713.40681500000005</v>
      </c>
      <c r="I89" s="3">
        <f>534+(185.9-29)+(-0.54468+(-0.189618--0.02958))+0-0-0</f>
        <v>690.19528200000002</v>
      </c>
      <c r="J89" s="3">
        <f>533+(163.1-30)+(-0.54366+(-0.166362--0.0306))+0-0-0</f>
        <v>665.42057799999998</v>
      </c>
      <c r="K89" s="3">
        <f>530+(102.3-30)+(-1.3515+(-0.260865--0.0765))+0-0-0</f>
        <v>600.76413500000001</v>
      </c>
      <c r="L89" s="3">
        <f>526+(53.9-31)+(-1.3413+(-0.137445--0.07905))+0-0-0</f>
        <v>547.50030500000003</v>
      </c>
      <c r="M89" s="3">
        <f>525+(65-30)+(0.80325+(0.09945-0.0459))+0-0-0</f>
        <v>560.85680000000002</v>
      </c>
      <c r="N89" s="3">
        <f>594+(43.9-43.3)+(0+(0-0))+0-0-0</f>
        <v>594.6</v>
      </c>
      <c r="O89" s="3">
        <f>651+(36.6-69.4)+(0.99603+(0.055998-0.106182))+0-0-0</f>
        <v>619.14584600000001</v>
      </c>
      <c r="P89" s="3">
        <f>647+(54.1-51.7)+(0+(0-0))+0-0-0</f>
        <v>649.4</v>
      </c>
      <c r="Q89" s="3">
        <f>672+(77.8-39)+(0.68544+(0.079356-0.03978))+0-0-0</f>
        <v>711.52501599999994</v>
      </c>
      <c r="R89" s="3">
        <f>701+(104.9-33)+(0+(0-0))+0-0-0</f>
        <v>772.9</v>
      </c>
      <c r="S89" s="3">
        <f>699+(128.9-33)+(0+(0-0))+0-0-0</f>
        <v>794.9</v>
      </c>
      <c r="T89" s="3">
        <f>701+(143.6-32)+(0+(0-0))+0-0-0</f>
        <v>812.6</v>
      </c>
      <c r="U89" s="3">
        <f>698+(125.4-31)+(-0.71196+(-0.127908--0.03162))+0-0-0</f>
        <v>791.59175199999993</v>
      </c>
      <c r="V89" s="3">
        <f>708+(91.5-36.8)+(0+(0-0))+0-0-0</f>
        <v>762.7</v>
      </c>
      <c r="W89" s="3">
        <f>729+(50.3-64.8)+(-1.85895+(-0.128265--0.16524))+0-0-0</f>
        <v>712.67802500000005</v>
      </c>
      <c r="X89" s="3">
        <f>670+(33-52.2)+(-1.3668+(-0.06732--0.106488))+0-0-0</f>
        <v>649.47236799999996</v>
      </c>
      <c r="Y89" s="3">
        <f>677+(40.6-37.3)+(-0.34527+(-0.020706--0.019023))+0-0-0</f>
        <v>679.95304699999997</v>
      </c>
      <c r="Z89" s="3">
        <f>757+(90.6-32)+(-0.38607+(-0.046206--0.01632))+0-0-0</f>
        <v>815.18404399999997</v>
      </c>
      <c r="AA89" s="3">
        <f>752+(130.2-33)+(-1.9176+(-0.33201--0.08415))+0-0-0</f>
        <v>847.03453999999999</v>
      </c>
      <c r="AB89" s="3">
        <f>754+(140.9-32)+(-0.38454+(-0.071859--0.01632))+0-0-0</f>
        <v>862.45992100000001</v>
      </c>
      <c r="AC89" s="3">
        <f>719+(148.8-32)+(-1.46676+(-0.303552--0.06528))+0-0-0</f>
        <v>834.09496799999999</v>
      </c>
      <c r="AD89">
        <f t="shared" si="1"/>
        <v>17195.294676000001</v>
      </c>
      <c r="AE89" s="3">
        <f>759+(134.9-34)+(0+(0-0))+0-0-0</f>
        <v>859.9</v>
      </c>
    </row>
    <row r="90" spans="1:31" s="2" customFormat="1" x14ac:dyDescent="0.25">
      <c r="A90">
        <v>89</v>
      </c>
      <c r="B90">
        <v>3</v>
      </c>
      <c r="C90">
        <v>28</v>
      </c>
      <c r="D90">
        <v>7</v>
      </c>
      <c r="E90">
        <v>1</v>
      </c>
      <c r="F90" s="3">
        <f>629+(204.2-32)+(-0.96237+(-0.312426--0.04896))+0-0-0</f>
        <v>799.97416400000009</v>
      </c>
      <c r="G90" s="3">
        <f>567+(232.6-31)+(-0.57834+(-0.237252--0.03162))+0-0-0</f>
        <v>767.81602800000007</v>
      </c>
      <c r="H90" s="3">
        <f>549+(223.1-30)+(-0.83997+(-0.341343--0.0459))+0-0-0</f>
        <v>740.96458700000005</v>
      </c>
      <c r="I90" s="3">
        <f>549+(201.6-30)+(-0.83997+(-0.308448--0.0459))+0-0-0</f>
        <v>719.49748199999999</v>
      </c>
      <c r="J90" s="3">
        <f>544+(180.9-30)+(-0.83232+(-0.276777--0.0459))+0-0-0</f>
        <v>693.83680300000003</v>
      </c>
      <c r="K90" s="3">
        <f>502+(163.9-31)+(-0.76806+(-0.250767--0.04743))+0-0-0</f>
        <v>633.92860299999995</v>
      </c>
      <c r="L90" s="3">
        <f>466+(145.7-33)+(0+(0-0))+0-0-0</f>
        <v>578.70000000000005</v>
      </c>
      <c r="M90" s="3">
        <f>463+(136.4-33)+(0+(0-0))+0-0-0</f>
        <v>566.4</v>
      </c>
      <c r="N90" s="3">
        <f>450+(162-33)+(-0.918+(-0.33048--0.06732))+0-0-0</f>
        <v>577.81884000000002</v>
      </c>
      <c r="O90" s="3">
        <f>503+(146.7-32)+(-0.76959+(-0.224451--0.04896))+0-0-0</f>
        <v>616.75491900000009</v>
      </c>
      <c r="P90" s="3">
        <f>524+(139.1-31)+(0+(0-0))+0-0-0</f>
        <v>632.1</v>
      </c>
      <c r="Q90" s="3">
        <f>533+(189.1-30)+(0+(0-0))+0-0-0</f>
        <v>692.1</v>
      </c>
      <c r="R90" s="3">
        <f>543+(237.5-32)+(-0.27693+(-0.121125--0.01632))+0-0-0</f>
        <v>748.11826499999995</v>
      </c>
      <c r="S90" s="3">
        <f>580+(239.6-33)+(-0.2958+(-0.122196--0.01683))+0-0-0</f>
        <v>786.19883400000003</v>
      </c>
      <c r="T90" s="3">
        <f>582+(242.8-33)+(-0.29682+(-0.123828--0.01683))+0-0-0</f>
        <v>791.39618199999995</v>
      </c>
      <c r="U90" s="3">
        <f>594+(227.5-32)+(-0.60588+(-0.23205--0.03264))+0-0-0</f>
        <v>788.69470999999999</v>
      </c>
      <c r="V90" s="3">
        <f>621+(156-32)+(-0.31671+(-0.07956--0.01632))+0-0-0</f>
        <v>744.62004999999999</v>
      </c>
      <c r="W90" s="3">
        <f>616+(128.7-32)+(-0.94248+(-0.196911--0.04896))+0-0-0</f>
        <v>711.60956900000008</v>
      </c>
      <c r="X90" s="3">
        <f>617+(58.5-35.7)+(-1.57335+(-0.149175--0.091035))+0-0-0</f>
        <v>638.16850999999997</v>
      </c>
      <c r="Y90" s="3">
        <f>634+(69.9-30)+(-0.64668+(-0.071298--0.0306))+0-0-0</f>
        <v>673.21262200000001</v>
      </c>
      <c r="Z90" s="3">
        <f>723+(133.7-32)+(-0.36873+(-0.068187--0.01632))+0-0-0</f>
        <v>824.279403</v>
      </c>
      <c r="AA90" s="3">
        <f>774+(128.9-33)+(-1.18422+(-0.197217--0.05049))+0-0-0</f>
        <v>868.56905299999994</v>
      </c>
      <c r="AB90" s="3">
        <f>774+(142.1-32)+(-0.78948+(-0.144942--0.03264))+0-0-0</f>
        <v>883.198218</v>
      </c>
      <c r="AC90" s="3">
        <f>714+(177.1-31)+(-1.45656+(-0.361284--0.06324))+0-0-0</f>
        <v>858.34539600000005</v>
      </c>
      <c r="AD90">
        <f t="shared" si="1"/>
        <v>17336.302238000004</v>
      </c>
      <c r="AE90" s="3">
        <f>776+(127.5-33)+(0+(0-0))+0-0-0</f>
        <v>870.5</v>
      </c>
    </row>
    <row r="91" spans="1:31" s="2" customFormat="1" x14ac:dyDescent="0.25">
      <c r="A91">
        <v>89</v>
      </c>
      <c r="B91">
        <v>3</v>
      </c>
      <c r="C91">
        <v>29</v>
      </c>
      <c r="D91">
        <v>1</v>
      </c>
      <c r="E91">
        <v>1</v>
      </c>
      <c r="F91" s="3">
        <f>679+(165.7-31)+(-0.69258+(-0.169014--0.03162))+0-0-0</f>
        <v>812.87002600000005</v>
      </c>
      <c r="G91" s="3">
        <f>666+(142.9-31)+(-1.35864+(-0.291516--0.06324))+0-0-0</f>
        <v>776.313084</v>
      </c>
      <c r="H91" s="3">
        <f>664+(118.8-32)+(-1.01592+(-0.181764--0.04896))+0-0-0</f>
        <v>749.65127599999994</v>
      </c>
      <c r="I91" s="3">
        <f>619+(140.5-32)+(-1.89414+(-0.42993--0.09792))+0-0-0</f>
        <v>725.27385000000004</v>
      </c>
      <c r="J91" s="3">
        <f>587+(140.6-32)+(0+(0-0))+0-0-0</f>
        <v>695.6</v>
      </c>
      <c r="K91" s="3">
        <f>563+(93-33)+(-0.28713+(-0.04743--0.01683))+0-0-0</f>
        <v>622.68227000000002</v>
      </c>
      <c r="L91" s="3">
        <f>508+(106-33)+(-0.25908+(-0.05406--0.01683))+0-0-0</f>
        <v>580.70369000000005</v>
      </c>
      <c r="M91" s="3">
        <f>570+(65.8-34.7)+(-0.5814+(-0.067116--0.035394))+0-0-0</f>
        <v>600.48687800000005</v>
      </c>
      <c r="N91" s="3">
        <f>578+(86.9-32)+(0.29478+(0.044319-0.01632))+0-0-0</f>
        <v>633.22277899999995</v>
      </c>
      <c r="O91" s="3">
        <f>579+(115.2-31)+(0.29529+(0.058752-0.01581))+0-0-0</f>
        <v>663.53823199999999</v>
      </c>
      <c r="P91" s="3">
        <f>673+(66.5-44.8)+(-0.68646+(-0.06783--0.045696))+0-0-0</f>
        <v>693.9914060000001</v>
      </c>
      <c r="Q91" s="3">
        <f>703+(90.1-36.9)+(0.71706+(0.091902-0.037638))+0-0-0</f>
        <v>756.9713240000001</v>
      </c>
      <c r="R91" s="3">
        <f>693+(139.7-31)+(-0.70686+(-0.142494--0.03162))+0-0-0</f>
        <v>800.88226600000007</v>
      </c>
      <c r="S91" s="3">
        <f>696+(177.6-32)+(0+(0-0))+0-0-0</f>
        <v>841.6</v>
      </c>
      <c r="T91" s="3">
        <f>695+(171.7-33)+(-0.35445+(-0.087567--0.01683))+0-0-0</f>
        <v>833.27481299999999</v>
      </c>
      <c r="U91" s="3">
        <f>694+(156.1-32)+(-0.70788+(-0.159222--0.03264))+0-0-0</f>
        <v>817.26553799999999</v>
      </c>
      <c r="V91" s="3">
        <f>699+(113.6-37.7)+(0.35649+(0.057936-0.019227))+0-0-0</f>
        <v>775.29519900000003</v>
      </c>
      <c r="W91" s="3">
        <f>713+(84.4-67.7)+(-1.45452+(-0.172176--0.138108))+0-0-0</f>
        <v>728.211412</v>
      </c>
      <c r="X91" s="3">
        <f>721+(64-80.3)+(-2.20626+(-0.19584--0.245718))+0-0-0</f>
        <v>702.54361800000004</v>
      </c>
      <c r="Y91" s="3">
        <f>719+(78.8-52.6)+(-0.36669+(-0.040188--0.026826))+0-0-0</f>
        <v>744.81994800000007</v>
      </c>
      <c r="Z91" s="3">
        <f>756+(148.6-31)+(0+(0-0))+0-0-0</f>
        <v>873.6</v>
      </c>
      <c r="AA91" s="3">
        <f>770+(169.9-32)+(0+(0-0))+0-0-0</f>
        <v>907.9</v>
      </c>
      <c r="AB91" s="3">
        <f>768+(180.1-33)+(-1.17504+(-0.275553--0.05049))+0-0-0</f>
        <v>913.69989700000008</v>
      </c>
      <c r="AC91" s="3">
        <f>755+(165.1-33)+(-0.7701+(-0.168402--0.03366))+0-0-0</f>
        <v>886.19515799999999</v>
      </c>
      <c r="AD91">
        <f t="shared" si="1"/>
        <v>18136.592664</v>
      </c>
      <c r="AE91" s="3">
        <f>770+(171.1-33)+(0+(0-0))+0-0-0</f>
        <v>908.1</v>
      </c>
    </row>
    <row r="92" spans="1:31" s="2" customFormat="1" x14ac:dyDescent="0.25">
      <c r="A92">
        <v>89</v>
      </c>
      <c r="B92">
        <v>3</v>
      </c>
      <c r="C92">
        <v>30</v>
      </c>
      <c r="D92">
        <v>2</v>
      </c>
      <c r="E92">
        <v>1</v>
      </c>
      <c r="F92" s="3">
        <f>735+(137.8-33)+(-1.4994+(-0.281112--0.06732))+0-0-0</f>
        <v>838.08680799999991</v>
      </c>
      <c r="G92" s="3">
        <f>692+(148.5-32)+(-0.35292+(-0.075735--0.01632))+0-0-0</f>
        <v>808.08766500000002</v>
      </c>
      <c r="H92" s="3">
        <f>678+(138.6-32)+(0.34578+(0.070686-0.01632))+0-0-0</f>
        <v>785.00014599999997</v>
      </c>
      <c r="I92" s="3">
        <f>676+(117.1-33.1)+(-1.03428+(-0.179163--0.050643))+0-0-0</f>
        <v>758.83720000000005</v>
      </c>
      <c r="J92" s="3">
        <f>673+(98.2-38.3)+(-1.02969+(-0.150246--0.058599))+0-0-0</f>
        <v>731.77866299999994</v>
      </c>
      <c r="K92" s="3">
        <f>671+(72-65)+(-1.36884+(-0.14688--0.1326))+0-0-0</f>
        <v>676.61688000000004</v>
      </c>
      <c r="L92" s="3">
        <f>670+(47.8-87.3)+(0.3417+(0.024378-0.044523))+0-0-0</f>
        <v>630.82155499999999</v>
      </c>
      <c r="M92" s="3">
        <f>666+(53.9-78.7)+(0+(0-0))+0-0-0</f>
        <v>641.20000000000005</v>
      </c>
      <c r="N92" s="3">
        <f>662+(68.2-68.1)+(0.67524+(0.069564-0.069462))+0-0-0</f>
        <v>662.77534200000002</v>
      </c>
      <c r="O92" s="3">
        <f>671+(81.2-60.5)+(0.68442+(0.082824-0.06171))+0-0-0</f>
        <v>692.40553399999999</v>
      </c>
      <c r="P92" s="3">
        <f>675+(95.9-48.9)+(0.34425+(0.048909-0.024939))+0-0-0</f>
        <v>722.36821999999995</v>
      </c>
      <c r="Q92" s="3">
        <f>684+(133.5-32)+(0.34884+(0.068085-0.01632))+3.7-0-0</f>
        <v>789.60060500000009</v>
      </c>
      <c r="R92" s="3">
        <f>685+(167.6-32)+(0.34935+(0.085476-0.01632))+4-0-0</f>
        <v>825.018506</v>
      </c>
      <c r="S92" s="3">
        <f>688+(166.3-33)+(0+(0-0))+4-0-0</f>
        <v>825.3</v>
      </c>
      <c r="T92" s="3">
        <f>692+(180.1-33)+(0.35292+(0.091851-0.01683))+4-0-0</f>
        <v>843.52794100000006</v>
      </c>
      <c r="U92" s="3">
        <f>701+(168.1-33)+(-0.71502+(-0.171462--0.03366))+4-0-0</f>
        <v>839.24717800000008</v>
      </c>
      <c r="V92" s="3">
        <f>711+(132.6-33.6)+(-0.72522+(-0.135252--0.034272))+4-0-0</f>
        <v>813.17380000000003</v>
      </c>
      <c r="W92" s="3">
        <f>743+(91.1-50.6)+(-0.75786+(-0.092922--0.051612))+4-0-0</f>
        <v>786.70083</v>
      </c>
      <c r="X92" s="3">
        <f>747+(55.6-84.9)+(-1.14291+(-0.085068--0.129897))+0.3-0-0</f>
        <v>716.90191900000002</v>
      </c>
      <c r="Y92" s="3">
        <f>751+(61.1-58.3)+(-0.38301+(-0.031161--0.029733))+0-0-0</f>
        <v>753.41556199999991</v>
      </c>
      <c r="Z92" s="3">
        <f>765+(160-33)+(0+(0-0))+0-0-0</f>
        <v>892</v>
      </c>
      <c r="AA92" s="3">
        <f>768+(180.7-33)+(-0.78336+(-0.184314--0.03366))+0-0-0</f>
        <v>914.765986</v>
      </c>
      <c r="AB92" s="3">
        <f>764+(185.7-33)+(-0.38964+(-0.094707--0.01683))+0-0-0</f>
        <v>916.232483</v>
      </c>
      <c r="AC92" s="3">
        <f>741+(183.7-33)+(0+(0-0))+0-0-0</f>
        <v>891.7</v>
      </c>
      <c r="AD92">
        <f t="shared" si="1"/>
        <v>18755.562823</v>
      </c>
      <c r="AE92" s="3">
        <f>769+(182.3-33)+(0+(0-0))+0-0-0</f>
        <v>918.3</v>
      </c>
    </row>
    <row r="93" spans="1:31" s="2" customFormat="1" x14ac:dyDescent="0.25">
      <c r="A93">
        <v>89</v>
      </c>
      <c r="B93">
        <v>3</v>
      </c>
      <c r="C93">
        <v>31</v>
      </c>
      <c r="D93">
        <v>3</v>
      </c>
      <c r="E93">
        <v>1</v>
      </c>
      <c r="F93" s="3">
        <f>712+(173.7-31)+(-0.36312+(-0.088587--0.01581))+0-0-0</f>
        <v>854.26410300000009</v>
      </c>
      <c r="G93" s="3">
        <f>697+(156.7-31)+(0.35547+(0.079917-0.01581))+0-0-0</f>
        <v>823.11957700000005</v>
      </c>
      <c r="H93" s="3">
        <f>686+(150.4-31)+(0.34986+(0.076704-0.01581))+0-0-0</f>
        <v>805.81075399999997</v>
      </c>
      <c r="I93" s="3">
        <f>578+(240.4-31)+(0.58956+(0.245208-0.03162))+0-0-0</f>
        <v>788.20314799999994</v>
      </c>
      <c r="J93" s="3">
        <f>556+(240.3-31)+(1.13424+(0.490212-0.06324))+0-0-0</f>
        <v>766.86121199999991</v>
      </c>
      <c r="K93" s="3">
        <f>553+(177.2-32)+(0+(0-0))+0-0-0</f>
        <v>698.2</v>
      </c>
      <c r="L93" s="3">
        <f>549+(111.1-32)+(-0.27999+(-0.056661--0.01632))+0-0-0</f>
        <v>627.77966900000001</v>
      </c>
      <c r="M93" s="3">
        <f>547+(118-32)+(0+(0-0))+0-0-0</f>
        <v>633</v>
      </c>
      <c r="N93" s="3">
        <f>533+(174.1-32)+(0.54366+(0.177582-0.03264))+0-0-0</f>
        <v>675.78860199999997</v>
      </c>
      <c r="O93" s="3">
        <f>530+(191.2-32)+(0.5406+(0.195024-0.03264))+0-0-0</f>
        <v>689.90298400000006</v>
      </c>
      <c r="P93" s="3">
        <f>553+(206.5-32)+(0+(0-0))+0-0-0</f>
        <v>727.5</v>
      </c>
      <c r="Q93" s="3">
        <f>571+(243.2-32)+(0+(0-0))+1.7-0-0</f>
        <v>783.90000000000009</v>
      </c>
      <c r="R93" s="3">
        <f>534+(286.9-33)+(0.27234+(0.146319-0.01683))+25-0-0</f>
        <v>813.301829</v>
      </c>
      <c r="S93" s="3">
        <f>532+(307.9-32)+(0+(0-0))+30-0-0</f>
        <v>837.9</v>
      </c>
      <c r="T93" s="3">
        <f>532+(318.9-32)+(0.27132+(0.162639-0.01632))+30-0-0</f>
        <v>849.31763899999999</v>
      </c>
      <c r="U93" s="3">
        <f>536+(302.3-30)+(-0.27336+(-0.154173--0.0153))+30-0-0</f>
        <v>837.88776699999994</v>
      </c>
      <c r="V93" s="3">
        <f>564+(252.9-30)+(0.57528+(0.257958-0.0306))+30-0-0</f>
        <v>817.70263799999998</v>
      </c>
      <c r="W93" s="3">
        <f>707+(110-39.9)+(0.36057+(0.0561-0.020349))+7.5-0-0</f>
        <v>784.99632099999997</v>
      </c>
      <c r="X93" s="3">
        <f>718+(61.6-62.6)+(0+(0-0))+0-0-0</f>
        <v>717</v>
      </c>
      <c r="Y93" s="3">
        <f>727+(76.8-44)+(0.74154+(0.078336-0.04488))+0-0-0</f>
        <v>760.57499599999994</v>
      </c>
      <c r="Z93" s="3">
        <f>735+(173.1-25)+(0+(0-0))+0-0-0</f>
        <v>883.1</v>
      </c>
      <c r="AA93" s="3">
        <f>739+(207.9-18)+(-0.37689+(-0.106029--0.00918))+0-0-0</f>
        <v>928.42626099999995</v>
      </c>
      <c r="AB93" s="3">
        <f>736+(215.2-30)+(0+(0-0))+0-0-0</f>
        <v>921.2</v>
      </c>
      <c r="AC93" s="3">
        <f>734+(195.1-32)+(-1.12302+(-0.298503--0.04896))+0-0-0</f>
        <v>895.72743700000001</v>
      </c>
      <c r="AD93">
        <f t="shared" si="1"/>
        <v>18921.464937000004</v>
      </c>
      <c r="AE93" s="3">
        <f>737+(209.6-33)+(0+(0-0))+0-0-0</f>
        <v>913.6</v>
      </c>
    </row>
    <row r="94" spans="1:31" s="2" customFormat="1" x14ac:dyDescent="0.25">
      <c r="A94">
        <v>89</v>
      </c>
      <c r="B94">
        <v>4</v>
      </c>
      <c r="C94">
        <v>1</v>
      </c>
      <c r="D94">
        <v>4</v>
      </c>
      <c r="E94">
        <v>1</v>
      </c>
      <c r="F94" s="3">
        <f>724+(164.7-32)+(-1.8462+(-0.419985--0.0816))+0-0-0</f>
        <v>854.51541500000008</v>
      </c>
      <c r="G94" s="3">
        <f>703+(159.9-32)+(-1.07559+(-0.244647--0.04896))+0-0-0</f>
        <v>829.62872299999992</v>
      </c>
      <c r="H94" s="3">
        <f>678+(157.5-32)+(-1.38312+(-0.3213--0.06528))+0-0-0</f>
        <v>801.86086</v>
      </c>
      <c r="I94" s="3">
        <f>679+(134.7-31)+(-1.03887+(-0.206091--0.04743))+0-0-0</f>
        <v>781.50246900000002</v>
      </c>
      <c r="J94" s="3">
        <f>675+(116.7-31)+(-0.34425+(-0.059517--0.01581))+0-0-0</f>
        <v>760.31204300000002</v>
      </c>
      <c r="K94" s="3">
        <f>672+(74.6-43.7)+(-1.37088+(-0.152184--0.089148))+0-0-0</f>
        <v>701.46608400000002</v>
      </c>
      <c r="L94" s="3">
        <f>661+(50.6-65.4)+(0.33711+(0.025806-0.033354))+0-0-0</f>
        <v>646.52956200000006</v>
      </c>
      <c r="M94" s="3">
        <f>660+(52.8-61.9)+(0.6732+(0.053856-0.063138))+0-0-0</f>
        <v>651.56391799999994</v>
      </c>
      <c r="N94" s="3">
        <f>659+(61.1-55)+(-0.33609+(-0.031161--0.02805))+0-0-0</f>
        <v>664.76079900000002</v>
      </c>
      <c r="O94" s="3">
        <f>655+(82.1-35.5)+(0.6681+(0.083742-0.03621))+0-0-0</f>
        <v>702.31563200000005</v>
      </c>
      <c r="P94" s="3">
        <f>664+(105-30)+(0.33864+(0.05355-0.0153))+0-0-0</f>
        <v>739.37689</v>
      </c>
      <c r="Q94" s="3">
        <f>683+(141.3-31)+(0+(0-0))+0-0-0</f>
        <v>793.3</v>
      </c>
      <c r="R94" s="3">
        <f>672+(191.6-32)+(-0.34272+(-0.097716--0.01632))+0-0-0</f>
        <v>831.175884</v>
      </c>
      <c r="S94" s="3">
        <f>675+(212.5-31)+(-0.6885+(-0.21675--0.03162))+14-0-0</f>
        <v>869.62636999999995</v>
      </c>
      <c r="T94" s="3">
        <f>675+(195.5-30)+(0.34425+(0.099705-0.0153))+14-0-0</f>
        <v>854.92865500000005</v>
      </c>
      <c r="U94" s="3">
        <f>677+(164.2-28)+(1.03581+(0.251226-0.04284))+14-0-0</f>
        <v>828.44419600000003</v>
      </c>
      <c r="V94" s="3">
        <f>692+(116.4-28)+(-0.70584+(-0.118728--0.02856))+14-0-0</f>
        <v>793.60399199999995</v>
      </c>
      <c r="W94" s="3">
        <f>709+(77.6-42.6)+(-0.72318+(-0.079152--0.043452))+9.3-0-0</f>
        <v>752.54111999999998</v>
      </c>
      <c r="X94" s="3">
        <f>724+(45-62.3)+(-1.10772+(-0.06885--0.095319))+0-0-0</f>
        <v>705.61874900000009</v>
      </c>
      <c r="Y94" s="3">
        <f>739+(62.5-35.8)+(0.37689+(0.031875-0.018258))+0-0-0</f>
        <v>766.090507</v>
      </c>
      <c r="Z94" s="3">
        <f>749+(172.3-30)+(-1.14597+(-0.263619--0.0459))+0-0-0</f>
        <v>889.93631099999993</v>
      </c>
      <c r="AA94" s="3">
        <f>749+(198.2-32)+(-0.38199+(-0.101082--0.01632))+0-0-0</f>
        <v>914.733248</v>
      </c>
      <c r="AB94" s="3">
        <f>749+(192.9-32)+(0+(0-0))+0-0-0</f>
        <v>909.9</v>
      </c>
      <c r="AC94" s="3">
        <f>745+(190.7-32)+(-0.37995+(-0.097257--0.01632))+0-0-0</f>
        <v>903.23911300000009</v>
      </c>
      <c r="AD94">
        <f t="shared" si="1"/>
        <v>18946.970539999998</v>
      </c>
      <c r="AE94" s="3">
        <f>753+(195.6-32)+(0+(0-0))+0-0-0</f>
        <v>916.6</v>
      </c>
    </row>
    <row r="95" spans="1:31" s="2" customFormat="1" x14ac:dyDescent="0.25">
      <c r="A95">
        <v>89</v>
      </c>
      <c r="B95">
        <v>4</v>
      </c>
      <c r="C95">
        <v>2</v>
      </c>
      <c r="D95">
        <v>5</v>
      </c>
      <c r="E95">
        <v>1</v>
      </c>
      <c r="F95" s="3">
        <f>728+(161.2-32)+(0+(0-0))+0-0-0</f>
        <v>857.2</v>
      </c>
      <c r="G95" s="3">
        <f>699+(150.7-32)+(-0.71298+(-0.153714--0.03264))+0-0-0</f>
        <v>816.86594600000001</v>
      </c>
      <c r="H95" s="3">
        <f>673+(161.4-32)+(0+(0-0))+0-0-0</f>
        <v>802.4</v>
      </c>
      <c r="I95" s="3">
        <f>668+(154.1-31)+(-0.68136+(-0.157182--0.03162))+0-0-0</f>
        <v>790.29307800000004</v>
      </c>
      <c r="J95" s="3">
        <f>664+(133.7-31)+(-0.33864+(-0.068187--0.01581))+0-0-0</f>
        <v>766.30898300000001</v>
      </c>
      <c r="K95" s="3">
        <f>664+(90.7-39.8)+(-0.67728+(-0.092514--0.040596))+0-0-0</f>
        <v>714.17080199999998</v>
      </c>
      <c r="L95" s="3">
        <f>653+(54.4-69)+(-0.33303+(-0.027744--0.03519))+0-0-0</f>
        <v>638.07441599999993</v>
      </c>
      <c r="M95" s="3">
        <f>652+(47.3-69)+(-0.33252+(-0.024123--0.03519))+0-0-0</f>
        <v>629.97854699999993</v>
      </c>
      <c r="N95" s="3">
        <f>648+(52.8-58.6)+(0+(0-0))+0-0-0</f>
        <v>642.20000000000005</v>
      </c>
      <c r="O95" s="3">
        <f>657+(59.8-49.9)+(-1.00521+(-0.091494--0.076347))+0-0-0</f>
        <v>665.87964299999999</v>
      </c>
      <c r="P95" s="3">
        <f>680+(77.1-39.4)+(0.3468+(0.039321-0.020094))+0-0-0</f>
        <v>718.06602700000008</v>
      </c>
      <c r="Q95" s="3">
        <f>690+(132-32)+(-0.3519+(-0.06732--0.01632))+0-0-0</f>
        <v>789.59709999999995</v>
      </c>
      <c r="R95" s="3">
        <f>681+(201.1-33)+(0.34731+(0.102561-0.01683))+0-0-0</f>
        <v>849.53304100000003</v>
      </c>
      <c r="S95" s="3">
        <f>679+(218.5-33)+(-0.34629+(-0.111435--0.01683))+0-0-0</f>
        <v>864.05910500000005</v>
      </c>
      <c r="T95" s="3">
        <f>676+(225.1-32)+(0.68952+(0.229602-0.03264))+0-0-0</f>
        <v>869.98648200000002</v>
      </c>
      <c r="U95" s="3">
        <f>684+(206.8-31)+(0.34884+(0.105468-0.01581))+0-0-0</f>
        <v>860.23849799999994</v>
      </c>
      <c r="V95" s="3">
        <f>683+(166.5-30)+(0+(0-0))+0-0-0</f>
        <v>819.5</v>
      </c>
      <c r="W95" s="3">
        <f>711+(97.5-34.8)+(-0.36261+(-0.049725--0.017748))+0-0-0</f>
        <v>773.30541300000004</v>
      </c>
      <c r="X95" s="3">
        <f>730+(58.7-56.6)+(-1.1169+(-0.089811--0.086598))+0-0-0</f>
        <v>730.97988700000008</v>
      </c>
      <c r="Y95" s="3">
        <f>691+(112-30)+(-0.70482+(-0.11424--0.0306))+0-0-0</f>
        <v>772.21154000000001</v>
      </c>
      <c r="Z95" s="3">
        <f>746+(195.3-32)+(0+(0-0))+0-0-0</f>
        <v>909.3</v>
      </c>
      <c r="AA95" s="3">
        <f>746+(214.6-32)+(-1.14138+(-0.328338--0.04896))+0-0-0</f>
        <v>927.17924200000004</v>
      </c>
      <c r="AB95" s="3">
        <f>725+(216.6-32)+(-0.7395+(-0.220932--0.03264))+0-0-0</f>
        <v>908.67220800000007</v>
      </c>
      <c r="AC95" s="3">
        <f>720+(190.3-33)+(-0.3672+(-0.097053--0.01683))+0-0-0</f>
        <v>876.852577</v>
      </c>
      <c r="AD95">
        <f t="shared" si="1"/>
        <v>18992.852535000002</v>
      </c>
      <c r="AE95" s="3">
        <f>749+(218.2-32)+(0+(0-0))+0-0-0</f>
        <v>935.2</v>
      </c>
    </row>
    <row r="96" spans="1:31" s="2" customFormat="1" x14ac:dyDescent="0.25">
      <c r="A96">
        <v>89</v>
      </c>
      <c r="B96">
        <v>4</v>
      </c>
      <c r="C96">
        <v>3</v>
      </c>
      <c r="D96">
        <v>6</v>
      </c>
      <c r="E96">
        <v>1</v>
      </c>
      <c r="F96" s="3">
        <f>698+(175.4-32)+(-1.42392+(-0.357816--0.06528))+0-0-0</f>
        <v>839.68354399999998</v>
      </c>
      <c r="G96" s="3">
        <f>685+(155.5-32)+(-1.74675+(-0.396525--0.0816))+0-0-0</f>
        <v>806.43832499999996</v>
      </c>
      <c r="H96" s="3">
        <f>681+(132-32)+(-0.34731+(-0.06732--0.01632))+0-0-0</f>
        <v>780.60168999999996</v>
      </c>
      <c r="I96" s="3">
        <f>681+(108.9-32)+(-0.69462+(-0.111078--0.03264))+0-0-0</f>
        <v>757.12694199999999</v>
      </c>
      <c r="J96" s="3">
        <f>679+(89.2-37.9)+(-0.34629+(-0.045492--0.019329))+0-0-0</f>
        <v>729.927547</v>
      </c>
      <c r="K96" s="3">
        <f>656+(69.6-50.7)+(-1.00368+(-0.106488--0.077571))+0-0-0</f>
        <v>673.86740299999997</v>
      </c>
      <c r="L96" s="3">
        <f>545+(110.7-33.6)+(0+(0-0))+0-0-0</f>
        <v>622.1</v>
      </c>
      <c r="M96" s="3">
        <f>578+(85-31)+(-0.29478+(-0.04335--0.01581))+0-0-0</f>
        <v>631.67768000000001</v>
      </c>
      <c r="N96" s="3">
        <f>649+(52.5-48.4)+(0+(0-0))+0-0-0</f>
        <v>653.1</v>
      </c>
      <c r="O96" s="3">
        <f>647+(62.7-37.5)+(0.32997+(0.031977-0.019125))+0-0-0</f>
        <v>672.542822</v>
      </c>
      <c r="P96" s="3">
        <f>644+(96.5-29)+(0.65688+(0.09843-0.02958))+0-0-0</f>
        <v>712.22573</v>
      </c>
      <c r="Q96" s="3">
        <f>661+(133.9-32)+(1.01133+(0.204867-0.04896))+0-0-0</f>
        <v>764.06723699999998</v>
      </c>
      <c r="R96" s="3">
        <f>685+(174.9-32)+(0.34935+(0.089199-0.01632))+0-0-0</f>
        <v>828.32222899999999</v>
      </c>
      <c r="S96" s="3">
        <f>696+(199.3-32)+(0.70992+(0.203286-0.03264))+0-0-0</f>
        <v>864.180566</v>
      </c>
      <c r="T96" s="3">
        <f>697+(205.8-32)+(-1.06641+(-0.314874--0.04896))+0-0-0</f>
        <v>869.46767599999998</v>
      </c>
      <c r="U96" s="3">
        <f>703+(179.2-33)+(-0.35853+(-0.091392--0.01683))+0-0-0</f>
        <v>848.76690800000006</v>
      </c>
      <c r="V96" s="3">
        <f>715+(131.3-33)+(-1.4586+(-0.267852--0.06732))+0-0-0</f>
        <v>811.64086799999995</v>
      </c>
      <c r="W96" s="3">
        <f>734+(83.7-40.4)+(-1.49736+(-0.170748--0.082416))+0-0-0</f>
        <v>775.71430799999996</v>
      </c>
      <c r="X96" s="3">
        <f>736+(42.1-67.4)+(-1.12608+(-0.064413--0.103122))+0-0-0</f>
        <v>709.61262900000008</v>
      </c>
      <c r="Y96" s="3">
        <f>742+(44.8-51.4)+(-0.37842+(-0.022848--0.026214))+0-0-0</f>
        <v>735.024946</v>
      </c>
      <c r="Z96" s="3">
        <f>758+(134.5-31)+(-0.38658+(-0.068595--0.01581))+0-0-0</f>
        <v>861.06063500000005</v>
      </c>
      <c r="AA96" s="3">
        <f>757+(169.2-32)+(-1.54428+(-0.345168--0.06528))+0-0-0</f>
        <v>892.37583200000006</v>
      </c>
      <c r="AB96" s="3">
        <f>755+(173.9-32)+(-0.38505+(-0.088689--0.01632))+0-0-0</f>
        <v>896.44258100000002</v>
      </c>
      <c r="AC96" s="3">
        <f>753+(152-32)+(0.38403+(0.07752-0.01632))+0-0-0</f>
        <v>873.44523000000004</v>
      </c>
      <c r="AD96">
        <f t="shared" si="1"/>
        <v>18609.413327999999</v>
      </c>
      <c r="AE96" s="3">
        <f>761+(177-32)+(0+(0-0))+0-0-0</f>
        <v>906</v>
      </c>
    </row>
    <row r="97" spans="1:31" s="2" customFormat="1" x14ac:dyDescent="0.25">
      <c r="A97">
        <v>89</v>
      </c>
      <c r="B97">
        <v>4</v>
      </c>
      <c r="C97">
        <v>4</v>
      </c>
      <c r="D97">
        <v>7</v>
      </c>
      <c r="E97">
        <v>1</v>
      </c>
      <c r="F97" s="3">
        <f>692+(155.4-32)+(0.35292+(0.079254-0.01632))+0-0-0</f>
        <v>815.81585399999994</v>
      </c>
      <c r="G97" s="3">
        <f>679+(134.1-32)+(-0.34629+(-0.068391--0.01632))+0-0-0</f>
        <v>780.701639</v>
      </c>
      <c r="H97" s="3">
        <f>678+(110.6-31)+(-0.69156+(-0.112812--0.03162))+0-0-0</f>
        <v>756.82724800000005</v>
      </c>
      <c r="I97" s="3">
        <f>679+(90.2-35.4)+(0.34629+(0.046002-0.018054))+0-0-0</f>
        <v>734.17423799999995</v>
      </c>
      <c r="J97" s="3">
        <f>655+(92.1-34.1)+(-0.6681+(-0.093942--0.034782))+0-0-0</f>
        <v>712.27274</v>
      </c>
      <c r="K97" s="3">
        <f>628+(70.5-46.2)+(-0.96084+(-0.107865--0.070686))+0-0-0</f>
        <v>651.30198099999996</v>
      </c>
      <c r="L97" s="3">
        <f>611+(53.6-50.9)+(-0.62322+(-0.054672--0.051918))+0-0-0</f>
        <v>613.074026</v>
      </c>
      <c r="M97" s="3">
        <f>632+(37.1-69.9)+(-1.28928+(-0.075684--0.142596))+0-0-0</f>
        <v>597.97763200000009</v>
      </c>
      <c r="N97" s="3">
        <f>658+(35.5-75.6)+(-0.33558+(-0.018105--0.038556))+0-0-0</f>
        <v>617.58487100000002</v>
      </c>
      <c r="O97" s="3">
        <f>673+(37.9-72.5)+(0.34323+(0.019329-0.036975))+0-0-0</f>
        <v>638.72558400000003</v>
      </c>
      <c r="P97" s="3">
        <f>670+(52.7-54.6)+(-1.7085+(-0.134385--0.13923))+0-0-0</f>
        <v>666.396345</v>
      </c>
      <c r="Q97" s="3">
        <f>670+(82.4-37.8)+(0.3417+(0.042024-0.019278))+0-0-0</f>
        <v>714.96444600000007</v>
      </c>
      <c r="R97" s="3">
        <f>658+(131.3-33)+(-0.33558+(-0.066963--0.01683))+0-0-0</f>
        <v>755.91428699999994</v>
      </c>
      <c r="S97" s="3">
        <f>669+(147.2-33)+(0+(0-0))+0-0-0</f>
        <v>783.2</v>
      </c>
      <c r="T97" s="3">
        <f>671+(157.4-33)+(-1.02663+(-0.240822--0.05049))+0-0-0</f>
        <v>794.18303800000001</v>
      </c>
      <c r="U97" s="3">
        <f>677+(139.1-33)+(1.03581+(0.212823-0.05049))+0-0-0</f>
        <v>784.29814299999998</v>
      </c>
      <c r="V97" s="3">
        <f>708+(105.4-32)+(-0.72216+(-0.107508--0.03264))+0-0-0</f>
        <v>780.60297200000002</v>
      </c>
      <c r="W97" s="3">
        <f>720+(62.1-52.6)+(-1.4688+(-0.126684--0.107304))+0-0-0</f>
        <v>728.01181999999994</v>
      </c>
      <c r="X97" s="3">
        <f>715+(12.3-92.3)+(-0.36465+(-0.006273--0.047073))+0-0-0</f>
        <v>634.67615000000001</v>
      </c>
      <c r="Y97" s="3">
        <f>733+(36.6-68)+(-0.74766+(-0.037332--0.06936))+0-0-0</f>
        <v>700.88436799999999</v>
      </c>
      <c r="Z97" s="3">
        <f>749+(123.8-33)+(-0.76398+(-0.126276--0.03366))+0-0-0</f>
        <v>838.94340399999999</v>
      </c>
      <c r="AA97" s="3">
        <f>737+(167.7-34)+(-1.12761+(-0.256581--0.05202))+0-0-0</f>
        <v>869.36782900000003</v>
      </c>
      <c r="AB97" s="3">
        <f>681+(193.7-32)+(-0.69462+(-0.197574--0.03264))+0-0-0</f>
        <v>841.84044600000004</v>
      </c>
      <c r="AC97" s="3">
        <f>638+(245.2-31)+(-0.65076+(-0.250104--0.03162))+0-0-0</f>
        <v>851.33075600000006</v>
      </c>
      <c r="AD97">
        <f t="shared" si="1"/>
        <v>17663.069816999996</v>
      </c>
      <c r="AE97" s="3">
        <f>727+(178.4-34)+(0+(0-0))+0-0-0</f>
        <v>871.4</v>
      </c>
    </row>
    <row r="98" spans="1:31" s="2" customFormat="1" x14ac:dyDescent="0.25">
      <c r="A98">
        <v>89</v>
      </c>
      <c r="B98">
        <v>4</v>
      </c>
      <c r="C98">
        <v>5</v>
      </c>
      <c r="D98">
        <v>1</v>
      </c>
      <c r="E98">
        <v>3</v>
      </c>
      <c r="F98" s="3">
        <f>617+(227-31)+(-0.94401+(-0.34731--0.04743))+0-0-0</f>
        <v>811.75611000000004</v>
      </c>
      <c r="G98" s="3">
        <f>595+(215.9-31)+(-1.2138+(-0.440436--0.06324))+0-0-0</f>
        <v>778.30900399999996</v>
      </c>
      <c r="H98" s="3">
        <f>563+(221.5-32)+(-0.28713+(-0.112965--0.01632))+0-0-0</f>
        <v>752.11622499999999</v>
      </c>
      <c r="I98" s="3">
        <f>563+(195.8-32)+(-0.86139+(-0.299574--0.04896))+0-0-0</f>
        <v>725.687996</v>
      </c>
      <c r="J98" s="3">
        <f>559+(170.7-32)+(-0.57018+(-0.174114--0.03264))+0-0-0</f>
        <v>696.98834600000009</v>
      </c>
      <c r="K98" s="3">
        <f>558+(109.4-32)+(-1.99206+(-0.390558--0.11424))+0-0-0</f>
        <v>633.13162199999999</v>
      </c>
      <c r="L98" s="3">
        <f>520+(105.4-31)+(-0.5304+(-0.107508--0.03162))+0-0-0</f>
        <v>593.79371200000003</v>
      </c>
      <c r="M98" s="3">
        <f>480+(137.2-32)+(-0.9792+(-0.279888--0.06528))+0-0-0</f>
        <v>584.00619200000006</v>
      </c>
      <c r="N98" s="3">
        <f>476+(127-33)+(-0.48552+(-0.12954--0.03366))+0-0-0</f>
        <v>569.41859999999997</v>
      </c>
      <c r="O98" s="3">
        <f>475+(166.3-33)+(-0.4845+(-0.169626--0.03366))+0-0-0</f>
        <v>607.67953399999999</v>
      </c>
      <c r="P98" s="3">
        <f>480+(200.7-33)+(-0.7344+(-0.307071--0.05049))+0-0-0</f>
        <v>646.70901900000001</v>
      </c>
      <c r="Q98" s="3">
        <f>638+(100.2-33)+(-0.65076+(-0.102204--0.03366))+0-0-0</f>
        <v>704.48069600000008</v>
      </c>
      <c r="R98" s="3">
        <f>663+(127.6-33)+(-0.67626+(-0.130152--0.03366))+0-0-0</f>
        <v>756.82724800000005</v>
      </c>
      <c r="S98" s="3">
        <f>670+(166-33)+(-1.0251+(-0.25398--0.05049))+0-0-0</f>
        <v>801.77140999999995</v>
      </c>
      <c r="T98" s="3">
        <f>670+(181.4-33)+(0+(0-0))+0-0-0</f>
        <v>818.4</v>
      </c>
      <c r="U98" s="3">
        <f>673+(171.6-31)+(-0.34323+(-0.087516--0.01581))+0-0-0</f>
        <v>813.18506400000001</v>
      </c>
      <c r="V98" s="3">
        <f>680+(120.4-30)+(-1.734+(-0.30702--0.0765))+0-0-0</f>
        <v>768.43547999999998</v>
      </c>
      <c r="W98" s="3">
        <f>706+(74.9-38.3)+(-1.08018+(-0.114597--0.058599))+0-0-0</f>
        <v>741.46382200000005</v>
      </c>
      <c r="X98" s="3">
        <f>707+(37.8-64.7)+(-1.08171+(-0.057834--0.098991))+0-0-0</f>
        <v>679.05944699999998</v>
      </c>
      <c r="Y98" s="3">
        <f>708+(49.3-45.4)+(0+(0-0))+0-0-0</f>
        <v>711.9</v>
      </c>
      <c r="Z98" s="3">
        <f>713+(160.4-33)+(0+(0-0))+0-0-0</f>
        <v>840.4</v>
      </c>
      <c r="AA98" s="3">
        <f>713+(201.7-33)+(-0.72726+(-0.205734--0.03366))+0-0-0</f>
        <v>880.80066600000009</v>
      </c>
      <c r="AB98" s="3">
        <f>713+(208.9-33)+(0+(0-0))+0-0-0</f>
        <v>888.9</v>
      </c>
      <c r="AC98" s="3">
        <f>705+(189-33)+(0.7191+(0.19278-0.03366))+0-0-0</f>
        <v>861.87822000000006</v>
      </c>
      <c r="AD98">
        <f t="shared" si="1"/>
        <v>17667.098412999996</v>
      </c>
      <c r="AE98" s="3">
        <f>714+(203.4-33)+(0+(0-0))+0-0-0</f>
        <v>884.4</v>
      </c>
    </row>
    <row r="99" spans="1:31" s="2" customFormat="1" x14ac:dyDescent="0.25">
      <c r="A99">
        <v>89</v>
      </c>
      <c r="B99">
        <v>4</v>
      </c>
      <c r="C99">
        <v>6</v>
      </c>
      <c r="D99">
        <v>2</v>
      </c>
      <c r="E99">
        <v>1</v>
      </c>
      <c r="F99" s="3">
        <f>652+(205.4-32)+(0+(0-0))+0-0-0</f>
        <v>825.4</v>
      </c>
      <c r="G99" s="3">
        <f>562+(262.3-32)+(-0.85986+(-0.401319--0.04896))+0-0-0</f>
        <v>791.08778099999995</v>
      </c>
      <c r="H99" s="3">
        <f>561+(244.9-32)+(-1.43055+(-0.624495--0.0816))+0-0-0</f>
        <v>771.92655500000001</v>
      </c>
      <c r="I99" s="3">
        <f>561+(219.1-33)+(-1.43055+(-0.558705--0.08415))+0-0-0</f>
        <v>745.19489499999997</v>
      </c>
      <c r="J99" s="3">
        <f>559+(192.8-33)+(-0.28509+(-0.098328--0.01683))+0-0-0</f>
        <v>718.43341199999998</v>
      </c>
      <c r="K99" s="3">
        <f>558+(133.9-33)+(-1.13832+(-0.273156--0.06732))+0-0-0</f>
        <v>657.55584399999998</v>
      </c>
      <c r="L99" s="3">
        <f>552+(91.5-33)+(-0.28152+(-0.046665--0.01683))+0-0-0</f>
        <v>610.18864499999995</v>
      </c>
      <c r="M99" s="3">
        <f>551+(106-32)+(0.28101+(0.05406-0.01632))+0-0-0</f>
        <v>625.31875000000002</v>
      </c>
      <c r="N99" s="3">
        <f>666+(50-51.3)+(-0.67932+(-0.051--0.052326))+0-0-0</f>
        <v>664.02200600000003</v>
      </c>
      <c r="O99" s="3">
        <f>680+(49.3-57.7)+(0.3468+(0.025143-0.029427))+0-0-0</f>
        <v>671.94251600000007</v>
      </c>
      <c r="P99" s="3">
        <f>683+(70.2-39.4)+(0+(0-0))+0-0-0</f>
        <v>713.8</v>
      </c>
      <c r="Q99" s="3">
        <f>687+(113-32)+(0.70074+(0.11526-0.03264))+0-0-0</f>
        <v>768.78336000000002</v>
      </c>
      <c r="R99" s="3">
        <f>680+(163.6-32)+(0+(0-0))+0-0-0</f>
        <v>811.6</v>
      </c>
      <c r="S99" s="3">
        <f>681+(213.1-33)+(-0.34731+(-0.108681--0.01683))+0-0-0</f>
        <v>860.66083900000001</v>
      </c>
      <c r="T99" s="3">
        <f>678+(219.5-33)+(0+(0-0))+0-0-0</f>
        <v>864.5</v>
      </c>
      <c r="U99" s="3">
        <f>681+(187.8-32)+(-0.69462+(-0.191556--0.03264))+0-0-0</f>
        <v>835.94646399999999</v>
      </c>
      <c r="V99" s="3">
        <f>679+(147.5-32)+(0+(0-0))+0-0-0</f>
        <v>794.5</v>
      </c>
      <c r="W99" s="3">
        <f>699+(90.7-38.2)+(-0.71298+(-0.092514--0.038964))+0-0-0</f>
        <v>750.73347000000001</v>
      </c>
      <c r="X99" s="3">
        <f>717+(45.5-64.9)+(-1.46268+(-0.09282--0.132396))+0-0-0</f>
        <v>696.17689600000006</v>
      </c>
      <c r="Y99" s="3">
        <f>734+(42.2-51.3)+(-0.37434+(-0.021522--0.026163))+0-0-0</f>
        <v>724.53030100000001</v>
      </c>
      <c r="Z99" s="3">
        <f>757+(143.4-33)+(-0.38607+(-0.073134--0.01683))+0-0-0</f>
        <v>866.957626</v>
      </c>
      <c r="AA99" s="3">
        <f>763+(177.3-33)+(0+(0-0))+0-0-0</f>
        <v>907.3</v>
      </c>
      <c r="AB99" s="3">
        <f>758+(164.9-17)+(-0.38658+(-0.084099--0.00867))+0-0-0</f>
        <v>905.43799100000001</v>
      </c>
      <c r="AC99" s="3">
        <f>756+(160.2-31)+(-0.38556+(-0.081702--0.01581))+0-0-0</f>
        <v>884.74854800000003</v>
      </c>
      <c r="AD99">
        <f t="shared" si="1"/>
        <v>18466.745899000001</v>
      </c>
      <c r="AE99" s="3">
        <f>763+(181.3-33)+(0+(0-0))+0-0-0</f>
        <v>911.3</v>
      </c>
    </row>
    <row r="100" spans="1:31" s="2" customFormat="1" x14ac:dyDescent="0.25">
      <c r="A100">
        <v>89</v>
      </c>
      <c r="B100">
        <v>4</v>
      </c>
      <c r="C100">
        <v>7</v>
      </c>
      <c r="D100">
        <v>3</v>
      </c>
      <c r="E100">
        <v>1</v>
      </c>
      <c r="F100" s="3">
        <f>717+(154.8-32)+(-0.73134+(-0.157896--0.03264))+0-0-0</f>
        <v>838.94340399999999</v>
      </c>
      <c r="G100" s="3">
        <f>689+(129.3-32)+(-0.35139+(-0.065943--0.01632))+0-0-0</f>
        <v>785.89898699999992</v>
      </c>
      <c r="H100" s="3">
        <f>680+(124.1-33)+(-1.0404+(-0.189873--0.05049))+0-0-0</f>
        <v>769.92021699999998</v>
      </c>
      <c r="I100" s="3">
        <f>671+(110.2-33)+(-0.68442+(-0.112404--0.03366))+0-0-0</f>
        <v>747.43683600000008</v>
      </c>
      <c r="J100" s="3">
        <f>672+(94.7-35.4)+(-1.7136+(-0.241485--0.09027))+0-0-0</f>
        <v>729.43518499999993</v>
      </c>
      <c r="K100" s="3">
        <f>678+(58.1-53.4)+(-1.38312+(-0.118524--0.108936))+0-0-0</f>
        <v>681.30729200000007</v>
      </c>
      <c r="L100" s="3">
        <f>681+(30.4-76)+(-1.38924+(-0.062016--0.15504))+0-0-0</f>
        <v>634.10378400000002</v>
      </c>
      <c r="M100" s="3">
        <f>688+(36.3-74.9)+(-0.35088+(-0.018513--0.038199))+0-0-0</f>
        <v>649.068806</v>
      </c>
      <c r="N100" s="3">
        <f>683+(50.6-62.4)+(0+(0-0))+0-0-0</f>
        <v>671.2</v>
      </c>
      <c r="O100" s="3">
        <f>677+(58-47.9)+(-0.69054+(-0.05916--0.048858))+0-0-0</f>
        <v>686.39915800000006</v>
      </c>
      <c r="P100" s="3">
        <f>663+(96.4-28)+(-1.01439+(-0.147492--0.04284))+0-0-0</f>
        <v>730.28095799999994</v>
      </c>
      <c r="Q100" s="3">
        <f>671+(133-30)+(-0.34221+(-0.06783--0.0153))+0-0-0</f>
        <v>773.60526000000004</v>
      </c>
      <c r="R100" s="3">
        <f>666+(201.9-32)+(0+(0-0))+0-0-0</f>
        <v>835.9</v>
      </c>
      <c r="S100" s="3">
        <f>690+(205.2-33)+(0+(0-0))+0-0-0</f>
        <v>862.2</v>
      </c>
      <c r="T100" s="3">
        <f>703+(211-33)+(-0.71706+(-0.21522--0.03366))+0-0-0</f>
        <v>880.10137999999995</v>
      </c>
      <c r="U100" s="3">
        <f>708+(197.6-33)+(1.08324+(0.302328-0.05049))+0-0-0</f>
        <v>873.93507799999998</v>
      </c>
      <c r="V100" s="3">
        <f>718+(159.6-32)+(0.36618+(0.081396-0.01632))+0-0-0</f>
        <v>846.03125599999998</v>
      </c>
      <c r="W100" s="3">
        <f>723+(108.6-31)+(-0.73746+(-0.110772--0.03162))+0-0-0</f>
        <v>799.78338800000006</v>
      </c>
      <c r="X100" s="3">
        <f>695+(70.2-39.1)+(-1.77225+(-0.17901--0.099705))+0-0-0</f>
        <v>724.24844500000006</v>
      </c>
      <c r="Y100" s="3">
        <f>712+(74.6-32.1)+(-0.72624+(-0.076092--0.032742))+0-0-0</f>
        <v>753.73041000000001</v>
      </c>
      <c r="Z100" s="3">
        <f>757+(158.4-32)+(-0.38607+(-0.080784--0.01632))+0-0-0</f>
        <v>882.94946600000003</v>
      </c>
      <c r="AA100" s="3">
        <f>753+(183.3-32)+(-1.15209+(-0.280449--0.04896))+0-0-0</f>
        <v>902.9164209999999</v>
      </c>
      <c r="AB100" s="3">
        <f>755+(191.2-32)+(-1.5402+(-0.390048--0.06528))+0-0-0</f>
        <v>912.33503200000007</v>
      </c>
      <c r="AC100" s="3">
        <f>753+(170.9-31)+(-1.53612+(-0.348636--0.06324))+0-0-0</f>
        <v>891.078484</v>
      </c>
      <c r="AD100">
        <f t="shared" si="1"/>
        <v>18862.809247000001</v>
      </c>
      <c r="AE100" s="3">
        <f>751+(171.7-33)+(0+(0-0))+0-0-0</f>
        <v>889.7</v>
      </c>
    </row>
    <row r="101" spans="1:31" s="2" customFormat="1" x14ac:dyDescent="0.25">
      <c r="A101">
        <v>89</v>
      </c>
      <c r="B101">
        <v>4</v>
      </c>
      <c r="C101">
        <v>8</v>
      </c>
      <c r="D101">
        <v>4</v>
      </c>
      <c r="E101">
        <v>1</v>
      </c>
      <c r="F101" s="3">
        <f>738+(148.5-31)+(-1.8819+(-0.378675--0.07905))+0-0-0</f>
        <v>853.31847500000003</v>
      </c>
      <c r="G101" s="3">
        <f>709+(139.5-31)+(-0.36159+(-0.071145--0.01581))+0-0-0</f>
        <v>817.08307500000001</v>
      </c>
      <c r="H101" s="3">
        <f>693+(141.3-31)+(-0.70686+(-0.144126--0.03162))+0-0-0</f>
        <v>802.48063400000001</v>
      </c>
      <c r="I101" s="3">
        <f>690+(127.5-31)+(-1.7595+(-0.325125--0.07905))+0-0-0</f>
        <v>784.49442499999998</v>
      </c>
      <c r="J101" s="3">
        <f>686+(104.6-30)+(-1.39944+(-0.213384--0.0612))+0-0-0</f>
        <v>759.04837600000008</v>
      </c>
      <c r="K101" s="3">
        <f>685+(52.3-49.9)+(-1.74675+(-0.133365--0.127245))+0-0-0</f>
        <v>685.64712999999995</v>
      </c>
      <c r="L101" s="3">
        <f>639+(36-55.3)+(-0.97767+(-0.05508--0.084609))+0-0-0</f>
        <v>618.75185900000008</v>
      </c>
      <c r="M101" s="3">
        <f>606+(55.1-32.7)+(0+(0-0))+0-0-0</f>
        <v>628.4</v>
      </c>
      <c r="N101" s="3">
        <f>603+(90.1-31)+(-0.92259+(-0.137853--0.04743))+0-0-0</f>
        <v>661.08698700000002</v>
      </c>
      <c r="O101" s="3">
        <f>636+(70.1-36.5)+(0.32436+(0.035751-0.018615))+0-0-0</f>
        <v>669.94149600000003</v>
      </c>
      <c r="P101" s="3">
        <f>675+(66.6-40.4)+(0.34425+(0.033966-0.020604))+0-0-0</f>
        <v>701.55761200000006</v>
      </c>
      <c r="Q101" s="3">
        <f>683+(123.2-33)+(0.69666+(0.125664-0.03366))+0-0-0</f>
        <v>773.98866400000009</v>
      </c>
      <c r="R101" s="3">
        <f>700+(164.2-33)+(0.357+(0.083742-0.01683))+0-0-0</f>
        <v>831.62391200000002</v>
      </c>
      <c r="S101" s="3">
        <f>699+(158.6-33)+(-0.35649+(-0.080886--0.01683))+0-0-0</f>
        <v>824.17945400000008</v>
      </c>
      <c r="T101" s="3">
        <f>694+(190-32)+(0.70788+(0.1938-0.03264))+0-0-0</f>
        <v>852.86904000000004</v>
      </c>
      <c r="U101" s="3">
        <f>704+(189.3-32)+(-0.71808+(-0.193086--0.03264))+0-0-0</f>
        <v>860.42147399999999</v>
      </c>
      <c r="V101" s="3">
        <f>716+(158.3-31)+(0+(0-0))+0-0-0</f>
        <v>843.3</v>
      </c>
      <c r="W101" s="3">
        <f>731+(98.6-33)+(-1.49124+(-0.201144--0.06732))+0-0-0</f>
        <v>794.97493600000007</v>
      </c>
      <c r="X101" s="3">
        <f>734+(47.9-58.3)+(-1.49736+(-0.097716--0.118932))+0-0-0</f>
        <v>722.12385600000005</v>
      </c>
      <c r="Y101" s="3">
        <f>736+(56.7-38)+(-0.37536+(-0.028917--0.01938))+0-0-0</f>
        <v>754.31510300000002</v>
      </c>
      <c r="Z101" s="3">
        <f>752+(160.5-33)+(0.38352+(0.081855-0.01683))+0-0-0</f>
        <v>879.94854499999997</v>
      </c>
      <c r="AA101" s="3">
        <f>755+(185.1-33)+(-0.7701+(-0.188802--0.03366))+0-0-0</f>
        <v>906.174758</v>
      </c>
      <c r="AB101" s="3">
        <f>754+(193.9-33)+(0.38454+(0.098889-0.01683))+0-0-0</f>
        <v>915.36659899999995</v>
      </c>
      <c r="AC101" s="3">
        <f>730+(194.9-32)+(-0.3723+(-0.099399--0.01632))+0-0-0</f>
        <v>892.44462099999998</v>
      </c>
      <c r="AD101">
        <f t="shared" si="1"/>
        <v>18833.541031000001</v>
      </c>
      <c r="AE101" s="3">
        <f>762+(185.6-33)+(0+(0-0))+0-0-0</f>
        <v>914.6</v>
      </c>
    </row>
    <row r="102" spans="1:31" s="2" customFormat="1" x14ac:dyDescent="0.25">
      <c r="A102">
        <v>89</v>
      </c>
      <c r="B102">
        <v>4</v>
      </c>
      <c r="C102">
        <v>9</v>
      </c>
      <c r="D102">
        <v>5</v>
      </c>
      <c r="E102">
        <v>1</v>
      </c>
      <c r="F102" s="3">
        <f>694+(193.6-32)+(-2.12364+(-0.592416--0.09792))+0-0-0</f>
        <v>852.98186399999997</v>
      </c>
      <c r="G102" s="3">
        <f>685+(164.2-33)+(0.34935+(0.083742-0.01683))+0-0-0</f>
        <v>816.61626200000001</v>
      </c>
      <c r="H102" s="3">
        <f>685+(143.8-22)+(-1.3974+(-0.293352--0.04488))+0-0-0</f>
        <v>805.1541279999999</v>
      </c>
      <c r="I102" s="3">
        <f>685+(126.1-30)+(-0.6987+(-0.128622--0.0306))+0-0-0</f>
        <v>780.30327799999998</v>
      </c>
      <c r="J102" s="3">
        <f>680+(107.4-31)+(-0.3468+(-0.054774--0.01581))+0-0-0</f>
        <v>756.01423599999998</v>
      </c>
      <c r="K102" s="3">
        <f>678+(68.4-40.9)+(-1.38312+(-0.139536--0.083436))+0-0-0</f>
        <v>704.06078000000002</v>
      </c>
      <c r="L102" s="3">
        <f>540+(139.5-32)+(0+(0-0))+0-0-0</f>
        <v>647.5</v>
      </c>
      <c r="M102" s="3">
        <f>583+(94.9-31)+(0.29733+(0.048399-0.01581))+0-0-0</f>
        <v>647.229919</v>
      </c>
      <c r="N102" s="3">
        <f>603+(97.3-30)+(-0.61506+(-0.099246--0.0306))+0-0-0</f>
        <v>669.61629399999993</v>
      </c>
      <c r="O102" s="3">
        <f>667+(60.6-40)+(0.68034+(0.061812-0.0408))+0-0-0</f>
        <v>688.30135200000007</v>
      </c>
      <c r="P102" s="3">
        <f>687+(73.2-38.4)+(0+(0-0))+0-0-0</f>
        <v>721.8</v>
      </c>
      <c r="Q102" s="3">
        <f>709+(106.4-33)+(0.72318+(0.108528-0.03366))+0-0-0</f>
        <v>783.19804799999997</v>
      </c>
      <c r="R102" s="3">
        <f>702+(169.4-34)+(-0.35802+(-0.086394--0.01734))+15-0-0</f>
        <v>851.97292600000003</v>
      </c>
      <c r="S102" s="3">
        <f>703+(208.1-33)+(0.71706+(0.212262-0.03366))+15-0-0</f>
        <v>893.99566200000004</v>
      </c>
      <c r="T102" s="3">
        <f>705+(203.4-33)+(0.35955+(0.103734-0.01683))+6.3-0-0</f>
        <v>882.14645399999995</v>
      </c>
      <c r="U102" s="3">
        <f>707+(192.6-32)+(0.36057+(0.098226-0.01632))+0-0-0</f>
        <v>868.04247600000008</v>
      </c>
      <c r="V102" s="3">
        <f>710+(155.1-32)+(-1.0863+(-0.237303--0.04896))+0-0-0</f>
        <v>831.82535700000005</v>
      </c>
      <c r="W102" s="3">
        <f>725+(92.7-36.1)+(-1.479+(-0.189108--0.073644))+0-0-0</f>
        <v>780.00553600000001</v>
      </c>
      <c r="X102" s="3">
        <f>727+(40.5-67.9)+(-1.48308+(-0.08262--0.138516))+0-0-0</f>
        <v>698.17281600000001</v>
      </c>
      <c r="Y102" s="3">
        <f>741+(45.4-47.3)+(-1.51164+(-0.092616--0.096492))+0-0-0</f>
        <v>737.59223600000007</v>
      </c>
      <c r="Z102" s="3">
        <f>758+(143.8-32)+(0.38658+(0.073338-0.01632))+0-0-0</f>
        <v>870.24359799999991</v>
      </c>
      <c r="AA102" s="3">
        <f>760+(173.1-33)+(0+(0-0))+0-0-0</f>
        <v>900.1</v>
      </c>
      <c r="AB102" s="3">
        <f>757+(178.2-32)+(-0.38607+(-0.090882--0.01632))+0-0-0</f>
        <v>902.73936800000001</v>
      </c>
      <c r="AC102" s="3">
        <f>723+(190.3-32)+(-0.36873+(-0.097053--0.01632))+0-0-0</f>
        <v>880.85053699999992</v>
      </c>
      <c r="AD102">
        <f t="shared" si="1"/>
        <v>18970.463126999995</v>
      </c>
      <c r="AE102" s="3">
        <f>757+(172.1-33)+(0+(0-0))+0-0-0</f>
        <v>896.1</v>
      </c>
    </row>
    <row r="103" spans="1:31" s="2" customFormat="1" x14ac:dyDescent="0.25">
      <c r="A103">
        <v>89</v>
      </c>
      <c r="B103">
        <v>4</v>
      </c>
      <c r="C103">
        <v>10</v>
      </c>
      <c r="D103">
        <v>6</v>
      </c>
      <c r="E103">
        <v>1</v>
      </c>
      <c r="F103" s="3">
        <f>679+(196.2-32)+(-1.03887+(-0.300186--0.04896))+0-0-0</f>
        <v>841.9099040000001</v>
      </c>
      <c r="G103" s="3">
        <f>681+(154.7-32)+(-0.34731+(-0.078897--0.01632))+0-0-0</f>
        <v>803.29011300000002</v>
      </c>
      <c r="H103" s="3">
        <f>682+(135-32)+(-1.04346+(-0.20655--0.04896))+0-0-0</f>
        <v>783.79894999999999</v>
      </c>
      <c r="I103" s="3">
        <f>689+(104.8-32)+(0+(0-0))+0-0-0</f>
        <v>761.8</v>
      </c>
      <c r="J103" s="3">
        <f>695+(81.8-31)+(0.7089+(0.083436-0.03162))+0-0-0</f>
        <v>746.56071599999996</v>
      </c>
      <c r="K103" s="3">
        <f>693+(51.1-52.9)+(-1.41372+(-0.104244--0.107916))+0-0-0</f>
        <v>689.78995200000008</v>
      </c>
      <c r="L103" s="3">
        <f>679+(36.7-73.4)+(-0.69258+(-0.037434--0.074868))+0-0-0</f>
        <v>641.64485400000001</v>
      </c>
      <c r="M103" s="3">
        <f>678+(39.2-75.1)+(1.03734+(0.059976-0.114903))+0-0-0</f>
        <v>643.08241299999997</v>
      </c>
      <c r="N103" s="3">
        <f>676+(52.5-59.1)+(-0.34476+(-0.026775--0.030141))+0-0-0</f>
        <v>669.05860599999994</v>
      </c>
      <c r="O103" s="3">
        <f>672+(60.2-50.8)+(0+(0-0))+0-0-0</f>
        <v>681.4</v>
      </c>
      <c r="P103" s="3">
        <f>679+(82.2-36.6)+(1.73145+(0.20961-0.09333))+0-0-0</f>
        <v>726.44772999999998</v>
      </c>
      <c r="Q103" s="3">
        <f>714+(91.1-32.4)+(0.36414+(0.046461-0.016524))+0-0-0</f>
        <v>773.09407700000008</v>
      </c>
      <c r="R103" s="3">
        <f>717+(142.9-31)+(0.36567+(0.072879-0.01581))+0-0-0</f>
        <v>829.32273899999996</v>
      </c>
      <c r="S103" s="3">
        <f>717+(169.1-31)+(0+(0-0))+0-0-0</f>
        <v>855.1</v>
      </c>
      <c r="T103" s="3">
        <f>718+(178.3-32)+(0+(0-0))+0-0-0</f>
        <v>864.3</v>
      </c>
      <c r="U103" s="3">
        <f>719+(167-33)+(-1.10007+(-0.25551--0.05049))+1-0-0</f>
        <v>852.69491000000005</v>
      </c>
      <c r="V103" s="3">
        <f>722+(111.9-33)+(0+(0-0))+10.3-0-0</f>
        <v>811.19999999999993</v>
      </c>
      <c r="W103" s="3">
        <f>734+(78.3-43.4)+(-1.8717+(-0.199665--0.11067))+0-0-0</f>
        <v>766.93930499999999</v>
      </c>
      <c r="X103" s="3">
        <f>738+(37.3-69.1)+(-1.50552+(-0.076092--0.140964))+0-0-0</f>
        <v>704.75935200000004</v>
      </c>
      <c r="Y103" s="3">
        <f>746+(36.5-55.1)+(-1.52184+(-0.07446--0.112404))+0-0-0</f>
        <v>725.91610400000002</v>
      </c>
      <c r="Z103" s="3">
        <f>763+(115.7-32)+(-0.38913+(-0.059007--0.01632))+0-0-0</f>
        <v>846.26818300000002</v>
      </c>
      <c r="AA103" s="3">
        <f>763+(140.2-33)+(-0.77826+(-0.143004--0.03366))+0-0-0</f>
        <v>869.31239600000004</v>
      </c>
      <c r="AB103" s="3">
        <f>742+(171.1-33)+(-0.75684+(-0.174522--0.03366))+0-0-0</f>
        <v>879.20229800000004</v>
      </c>
      <c r="AC103" s="3">
        <f>704+(187.2-34)+(-0.35904+(-0.095472--0.01734))+0-0-0</f>
        <v>856.76282800000001</v>
      </c>
      <c r="AD103">
        <f t="shared" si="1"/>
        <v>18623.655429999999</v>
      </c>
      <c r="AE103" s="3">
        <f>764+(140.3-33)+(0+(0-0))+0-0-0</f>
        <v>871.3</v>
      </c>
    </row>
    <row r="104" spans="1:31" s="2" customFormat="1" x14ac:dyDescent="0.25">
      <c r="A104">
        <v>89</v>
      </c>
      <c r="B104">
        <v>4</v>
      </c>
      <c r="C104">
        <v>11</v>
      </c>
      <c r="D104">
        <v>7</v>
      </c>
      <c r="E104">
        <v>1</v>
      </c>
      <c r="F104" s="3">
        <f>686+(170.2-33)+(0+(0-0))+0-0-0</f>
        <v>823.2</v>
      </c>
      <c r="G104" s="3">
        <f>684+(149.7-32)+(-0.69768+(-0.152694--0.03264))+0-0-0</f>
        <v>800.88226600000007</v>
      </c>
      <c r="H104" s="3">
        <f>670+(137.5-32)+(0+(0-0))+0-0-0</f>
        <v>775.5</v>
      </c>
      <c r="I104" s="3">
        <f>670+(122-32)+(-1.3668+(-0.24888--0.06528))+0-0-0</f>
        <v>758.44960000000003</v>
      </c>
      <c r="J104" s="3">
        <f>666+(104.5-32)+(-0.67932+(-0.10659--0.03264))+0-0-0</f>
        <v>737.74672999999996</v>
      </c>
      <c r="K104" s="3">
        <f>653+(76-41.6)+(-1.66515+(-0.1938--0.10608))+0-0-0</f>
        <v>685.64712999999995</v>
      </c>
      <c r="L104" s="3">
        <f>537+(116.6-32)+(-0.54774+(-0.118932--0.03264))+0-0-0</f>
        <v>620.96596799999998</v>
      </c>
      <c r="M104" s="3">
        <f>516+(122.2-31)+(0+(0-0))+0-0-0</f>
        <v>607.20000000000005</v>
      </c>
      <c r="N104" s="3">
        <f>515+(127.7-31)+(0+(0-0))+0-0-0</f>
        <v>611.70000000000005</v>
      </c>
      <c r="O104" s="3">
        <f>512+(146.9-31)+(-0.52224+(-0.149838--0.03162))+0-0-0</f>
        <v>627.25954200000001</v>
      </c>
      <c r="P104" s="3">
        <f>511+(166.1-32)+(0+(0-0))+0-0-0</f>
        <v>645.1</v>
      </c>
      <c r="Q104" s="3">
        <f>568+(171.8-33)+(-0.28968+(-0.087618--0.01683))+0-0-0</f>
        <v>706.43953199999999</v>
      </c>
      <c r="R104" s="3">
        <f>611+(172.6-33)+(-0.31161+(-0.088026--0.01683))+0-0-0</f>
        <v>750.21719400000006</v>
      </c>
      <c r="S104" s="3">
        <f>633+(165.8-33)+(0.64566+(0.169116-0.03366))+13.6-0-0</f>
        <v>780.18111599999997</v>
      </c>
      <c r="T104" s="3">
        <f>637+(185.7-33)+(-0.32487+(-0.094707--0.01683))+3.1-0-0</f>
        <v>792.39725300000009</v>
      </c>
      <c r="U104" s="3">
        <f>642+(178.2-32)+(-0.32742+(-0.090882--0.01632))+0-0-0</f>
        <v>787.79801800000007</v>
      </c>
      <c r="V104" s="3">
        <f>649+(153.9-31)+(0.33099+(0.078489-0.01581))+0-0-0</f>
        <v>772.29366900000002</v>
      </c>
      <c r="W104" s="3">
        <f>644+(107.3-33.5)+(-1.31376+(-0.218892--0.06834))+0-0-0</f>
        <v>716.335688</v>
      </c>
      <c r="X104" s="3">
        <f>654+(55.9-48.4)+(-0.33354+(-0.028509--0.024684))+0-0-0</f>
        <v>661.16263500000002</v>
      </c>
      <c r="Y104" s="3">
        <f>670+(56-41.7)+(-1.0251+(-0.08568--0.063801))+0-0-0</f>
        <v>683.25302099999999</v>
      </c>
      <c r="Z104" s="3">
        <f>711+(133.3-33)+(0+(0-0))+0-0-0</f>
        <v>811.3</v>
      </c>
      <c r="AA104" s="3">
        <f>723+(158.1-33)+(-0.36873+(-0.080631--0.01683))+0-0-0</f>
        <v>847.66746899999998</v>
      </c>
      <c r="AB104" s="3">
        <f>721+(176.8-33)+(-0.73542+(-0.180336--0.03366))+0-0-0</f>
        <v>863.91790399999991</v>
      </c>
      <c r="AC104" s="3">
        <f>717+(170.1-32)+(0.36567+(0.086751-0.01632))+0-0-0</f>
        <v>855.53610100000003</v>
      </c>
      <c r="AD104">
        <f t="shared" si="1"/>
        <v>17722.150836000004</v>
      </c>
      <c r="AE104" s="3">
        <f>721+(162.3-33)+(0+(0-0))+0-0-0</f>
        <v>850.3</v>
      </c>
    </row>
    <row r="105" spans="1:31" s="2" customFormat="1" x14ac:dyDescent="0.25">
      <c r="A105">
        <v>89</v>
      </c>
      <c r="B105">
        <v>4</v>
      </c>
      <c r="C105">
        <v>12</v>
      </c>
      <c r="D105">
        <v>1</v>
      </c>
      <c r="E105">
        <v>1</v>
      </c>
      <c r="F105" s="3">
        <f>700+(153.5-32)+(0.714+(0.15657-0.03264))+0-0-0</f>
        <v>822.33793000000003</v>
      </c>
      <c r="G105" s="3">
        <f>686+(144-32)+(-0.34986+(-0.07344--0.01632))+0-0-0</f>
        <v>797.59302000000002</v>
      </c>
      <c r="H105" s="3">
        <f>686+(116.6-33)+(-0.34986+(-0.059466--0.01683))+0-0-0</f>
        <v>769.20750399999997</v>
      </c>
      <c r="I105" s="3">
        <f>686+(100.1-33.9)+(0+(0-0))+0-0-0</f>
        <v>752.2</v>
      </c>
      <c r="J105" s="3">
        <f>646+(119.3-31)+(-0.98838+(-0.182529--0.04743))+0-0-0</f>
        <v>733.17652099999998</v>
      </c>
      <c r="K105" s="3">
        <f>557+(146.4-31)+(-1.42035+(-0.37332--0.07905))+0-0-0</f>
        <v>670.68538000000001</v>
      </c>
      <c r="L105" s="3">
        <f>527+(124.5-30)+(0+(0-0))+0-0-0</f>
        <v>621.5</v>
      </c>
      <c r="M105" s="3">
        <f>527+(129.5-30)+(0.53754+(0.13209-0.0306))+0-0-0</f>
        <v>627.13903000000005</v>
      </c>
      <c r="N105" s="3">
        <f>526+(150.4-30)+(0.26826+(0.076704-0.0153))+0-0-0</f>
        <v>646.72966399999996</v>
      </c>
      <c r="O105" s="3">
        <f>641+(81.2-32.9)+(0.98073+(0.124236-0.050337))+0-0-0</f>
        <v>690.35462899999993</v>
      </c>
      <c r="P105" s="3">
        <f>668+(94.4-30.5)+(1.36272+(0.192576-0.06222))+0-0-0</f>
        <v>733.39307599999995</v>
      </c>
      <c r="Q105" s="3">
        <f>652+(136.4-28)+(-0.33252+(-0.069564--0.01428))+0-0-0</f>
        <v>760.01219600000002</v>
      </c>
      <c r="R105" s="3">
        <f>696+(169.7-31)+(0+(0-0))+0-0-0</f>
        <v>834.7</v>
      </c>
      <c r="S105" s="3">
        <f>703+(190.5-32)+(0+(0-0))+0-0-0</f>
        <v>861.5</v>
      </c>
      <c r="T105" s="3">
        <f>699+(196.3-32)+(0.35649+(0.100113-0.01632))+0-0-0</f>
        <v>863.74028299999998</v>
      </c>
      <c r="U105" s="3">
        <f>708+(168.3-30)+(0.36108+(0.085833-0.0153))+0-0-0</f>
        <v>846.73161299999992</v>
      </c>
      <c r="V105" s="3">
        <f>714+(136.9-30)+(0.72828+(0.139638-0.0306))+0-0-0</f>
        <v>821.73731799999996</v>
      </c>
      <c r="W105" s="3">
        <f>709+(96.1-33.2)+(0+(0-0))+0-0-0</f>
        <v>771.9</v>
      </c>
      <c r="X105" s="3">
        <f>697+(60.5-42.6)+(-0.71094+(-0.06171--0.043452))+0-0-0</f>
        <v>714.17080199999998</v>
      </c>
      <c r="Y105" s="3">
        <f>715+(62.3-36.1)+(0+(0-0))+0-0-0</f>
        <v>741.2</v>
      </c>
      <c r="Z105" s="3">
        <f>764+(135.4-33)+(-0.38964+(-0.069054--0.01683))+0-0-0</f>
        <v>865.95813599999997</v>
      </c>
      <c r="AA105" s="3">
        <f>762+(161.7-33)+(-0.77724+(-0.164934--0.03366))+0-0-0</f>
        <v>889.79148600000008</v>
      </c>
      <c r="AB105" s="3">
        <f>758+(170-33)+(0+(0-0))+0-0-0</f>
        <v>895</v>
      </c>
      <c r="AC105" s="3">
        <f>745+(158.9-33)+(-0.37995+(-0.081039--0.01683))+0-0-0</f>
        <v>870.45584099999996</v>
      </c>
      <c r="AD105">
        <f t="shared" si="1"/>
        <v>18601.214428999996</v>
      </c>
      <c r="AE105" s="3">
        <f>768+(162.7-33)+(0+(0-0))+0-0-0</f>
        <v>897.7</v>
      </c>
    </row>
    <row r="106" spans="1:31" s="2" customFormat="1" x14ac:dyDescent="0.25">
      <c r="A106">
        <v>89</v>
      </c>
      <c r="B106">
        <v>4</v>
      </c>
      <c r="C106">
        <v>13</v>
      </c>
      <c r="D106">
        <v>2</v>
      </c>
      <c r="E106">
        <v>1</v>
      </c>
      <c r="F106" s="3">
        <f>712+(149.6-32)+(-0.72624+(-0.152592--0.03264))+0-0-0</f>
        <v>828.75380800000005</v>
      </c>
      <c r="G106" s="3">
        <f>714+(129.7-31)+(-0.72828+(-0.132294--0.03162))+0-0-0</f>
        <v>811.87104600000009</v>
      </c>
      <c r="H106" s="3">
        <f>711+(116.1-30)+(0+(0-0))+0-0-0</f>
        <v>797.1</v>
      </c>
      <c r="I106" s="3">
        <f>711+(95.8-30)+(0+(0-0))+0-0-0</f>
        <v>776.8</v>
      </c>
      <c r="J106" s="3">
        <f>690+(85.6-30)+(1.0557+(0.130968-0.0459))+0-0-0</f>
        <v>746.740768</v>
      </c>
      <c r="K106" s="3">
        <f>670+(72.6-39.3)+(-0.3417+(-0.037026--0.020043))+0-0-0</f>
        <v>702.94131699999991</v>
      </c>
      <c r="L106" s="3">
        <f>666+(67.1-53.1)+(0+(0-0))+0-0-0</f>
        <v>680</v>
      </c>
      <c r="M106" s="3">
        <f>665+(67-47.7)+(-1.01745+(-0.10251--0.072981))+0-0-0</f>
        <v>683.25302099999999</v>
      </c>
      <c r="N106" s="3">
        <f>663+(69.5-39.3)+(-0.67626+(-0.07089--0.040086))+0-0-0</f>
        <v>692.4929360000001</v>
      </c>
      <c r="O106" s="3">
        <f>659+(81-34.5)+(-1.00827+(-0.12393--0.052785))+0-0-0</f>
        <v>704.42058499999996</v>
      </c>
      <c r="P106" s="3">
        <f>676+(78.4-35.2)+(-0.34476+(-0.039984--0.017952))+0-0-0</f>
        <v>718.83320800000001</v>
      </c>
      <c r="Q106" s="3">
        <f>693+(118-30)+(-0.35343+(-0.06018--0.0153))+0-0-0</f>
        <v>780.60168999999996</v>
      </c>
      <c r="R106" s="3">
        <f>697+(170.5-31)+(0.71094+(0.17391-0.03162))+0-0-0</f>
        <v>837.35323000000005</v>
      </c>
      <c r="S106" s="3">
        <f>707+(197.9-31)+(0.36057+(0.100929-0.01581))+0-0-0</f>
        <v>874.34568899999999</v>
      </c>
      <c r="T106" s="3">
        <f>707+(188.4-33)+(0.36057+(0.096084-0.01683))+0-0-0</f>
        <v>862.83982400000002</v>
      </c>
      <c r="U106" s="3">
        <f>709+(172.9-30)+(0.36159+(0.088179-0.0153))+0-0-0</f>
        <v>852.33446900000001</v>
      </c>
      <c r="V106" s="3">
        <f>713+(135.6-29)+(-0.36363+(-0.069156--0.01479))+0-0-0</f>
        <v>819.18200400000001</v>
      </c>
      <c r="W106" s="3">
        <f>703+(94-33.2)+(-1.07559+(-0.14382--0.050796))+0-0-0</f>
        <v>762.63138599999991</v>
      </c>
      <c r="X106" s="3">
        <f>691+(56.2-42)+(-0.70482+(-0.057324--0.04284))+0-0-0</f>
        <v>704.48069600000008</v>
      </c>
      <c r="Y106" s="3">
        <f>717+(70.5-32.5)+(-0.36567+(-0.035955--0.016575))+0-0-0</f>
        <v>754.61495000000002</v>
      </c>
      <c r="Z106" s="3">
        <f>742+(165.2-32)+(0.75684+(0.168504-0.03264))+0-0-0</f>
        <v>876.09270400000003</v>
      </c>
      <c r="AA106" s="3">
        <f>754+(183-33)+(0+(0-0))+0-0-0</f>
        <v>904</v>
      </c>
      <c r="AB106" s="3">
        <f>752+(192.3-33)+(-0.38352+(-0.098073--0.01683))+0-0-0</f>
        <v>910.83523700000001</v>
      </c>
      <c r="AC106" s="3">
        <f>738+(186.6-34)+(0.37638+(0.095166-0.01734))+0-0-0</f>
        <v>891.05420600000002</v>
      </c>
      <c r="AD106">
        <f t="shared" si="1"/>
        <v>18973.572774</v>
      </c>
      <c r="AE106" s="3">
        <f>757+(180.6-33)+(0+(0-0))+0-0-0</f>
        <v>904.6</v>
      </c>
    </row>
    <row r="107" spans="1:31" s="2" customFormat="1" x14ac:dyDescent="0.25">
      <c r="A107">
        <v>89</v>
      </c>
      <c r="B107">
        <v>4</v>
      </c>
      <c r="C107">
        <v>14</v>
      </c>
      <c r="D107">
        <v>3</v>
      </c>
      <c r="E107">
        <v>1</v>
      </c>
      <c r="F107" s="3">
        <f>699+(182.7-33)+(0.35649+(0.093177-0.01683))+0-0-0</f>
        <v>849.13283699999999</v>
      </c>
      <c r="G107" s="3">
        <f>688+(173.2-32)+(-0.35088+(-0.088332--0.01632))+0-0-0</f>
        <v>828.777108</v>
      </c>
      <c r="H107" s="3">
        <f>686+(154.5-31)+(-0.69972+(-0.15759--0.03162))+0-0-0</f>
        <v>808.67430999999999</v>
      </c>
      <c r="I107" s="3">
        <f>686+(137-32)+(-0.34986+(-0.06987--0.01632))+0-0-0</f>
        <v>790.59658999999999</v>
      </c>
      <c r="J107" s="3">
        <f>684+(124.7-32)+(-0.69768+(-0.127194--0.03264))+0-0-0</f>
        <v>775.90776600000004</v>
      </c>
      <c r="K107" s="3">
        <f>682+(75.6-37.6)+(-1.7391+(-0.19278--0.09588))+0-0-0</f>
        <v>718.16399999999999</v>
      </c>
      <c r="L107" s="3">
        <f>638+(73.3-38.6)+(-1.30152+(-0.149532--0.078744))+0-0-0</f>
        <v>671.32769200000007</v>
      </c>
      <c r="M107" s="3">
        <f>585+(121.8-31)+(0+(0-0))+0-0-0</f>
        <v>675.8</v>
      </c>
      <c r="N107" s="3">
        <f>585+(126.6-30)+(0+(0-0))+0-0-0</f>
        <v>681.6</v>
      </c>
      <c r="O107" s="3">
        <f>584+(137.9-29)+(0.29784+(0.070329-0.01479))+0-0-0</f>
        <v>693.253379</v>
      </c>
      <c r="P107" s="3">
        <f>664+(105.7-29)+(0.33864+(0.053907-0.01479))+0-0-0</f>
        <v>741.07775700000002</v>
      </c>
      <c r="Q107" s="3">
        <f>701+(123.7-30)+(0.71502+(0.126174-0.0306))+0-0-0</f>
        <v>795.51059400000008</v>
      </c>
      <c r="R107" s="3">
        <f>686+(174.7-31)+(1.04958+(0.267291-0.04743))+0-0-0</f>
        <v>830.96944100000007</v>
      </c>
      <c r="S107" s="3">
        <f>690+(210.7-31)+(0.7038+(0.214914-0.03162))+0-0-0</f>
        <v>870.58709400000009</v>
      </c>
      <c r="T107" s="3">
        <f>702+(191.3-30)+(1.07406+(0.292689-0.0459))+0-0-0</f>
        <v>864.62084899999991</v>
      </c>
      <c r="U107" s="3">
        <f>705+(166.9-28)+(1.07865+(0.255357-0.04284))+0-0-0</f>
        <v>845.19116699999995</v>
      </c>
      <c r="V107" s="3">
        <f>705+(127.9-28)+(0+(0-0))+0-0-0</f>
        <v>804.9</v>
      </c>
      <c r="W107" s="3">
        <f>722+(81.3-36.2)+(-0.73644+(-0.082926--0.036924))+0-0-0</f>
        <v>766.31755800000008</v>
      </c>
      <c r="X107" s="3">
        <f>735+(41.8-55.7)+(-0.7497+(-0.042636--0.056814))+0-0-0</f>
        <v>720.36447800000008</v>
      </c>
      <c r="Y107" s="3">
        <f>747+(46.7-37)+(-0.38097+(-0.023817--0.01887))+0-0-0</f>
        <v>756.3140830000001</v>
      </c>
      <c r="Z107" s="3">
        <f>720+(202.1-32)+(0.7344+(0.206142-0.03264))+0-0-0</f>
        <v>891.00790200000006</v>
      </c>
      <c r="AA107" s="3">
        <f>704+(259.5-33)+(-0.35904+(-0.132345--0.01683))+0-0-0</f>
        <v>930.02544499999999</v>
      </c>
      <c r="AB107" s="3">
        <f>715+(223.3-33)+(0+(0-0))+0-0-0</f>
        <v>905.3</v>
      </c>
      <c r="AC107" s="3">
        <f>708+(230.8-31)+(-0.72216+(-0.235416--0.03162))+0-0-0</f>
        <v>906.87404399999991</v>
      </c>
      <c r="AD107">
        <f t="shared" si="1"/>
        <v>19122.294093999997</v>
      </c>
      <c r="AE107" s="3">
        <f>715+(261.8-34)+(0+(0-0))+0-0-0</f>
        <v>942.8</v>
      </c>
    </row>
    <row r="108" spans="1:31" s="2" customFormat="1" x14ac:dyDescent="0.25">
      <c r="A108">
        <v>89</v>
      </c>
      <c r="B108">
        <v>4</v>
      </c>
      <c r="C108">
        <v>15</v>
      </c>
      <c r="D108">
        <v>4</v>
      </c>
      <c r="E108">
        <v>1</v>
      </c>
      <c r="F108" s="3">
        <f>700+(208.6-32)+(-1.428+(-0.425544--0.06528))+0-0-0</f>
        <v>874.811736</v>
      </c>
      <c r="G108" s="3">
        <f>688+(177.2-33)+(1.05264+(0.271116-0.05049))+0-0-0</f>
        <v>833.47326600000008</v>
      </c>
      <c r="H108" s="3">
        <f>689+(155.3-33)+(0+(0-0))+0-0-0</f>
        <v>811.3</v>
      </c>
      <c r="I108" s="3">
        <f>689+(136.6-33)+(-0.35139+(-0.069666--0.01683))+0-0-0</f>
        <v>792.19577400000003</v>
      </c>
      <c r="J108" s="3">
        <f>687+(121-33)+(-1.40148+(-0.24684--0.06732))+0-0-0</f>
        <v>773.41899999999998</v>
      </c>
      <c r="K108" s="3">
        <f>686+(75.2-39.3)+(-1.04958+(-0.115056--0.060129))+0-0-0</f>
        <v>720.79549299999996</v>
      </c>
      <c r="L108" s="3">
        <f>678+(51.4-56.8)+(-0.69156+(-0.052428--0.057936))+0-0-0</f>
        <v>671.913948</v>
      </c>
      <c r="M108" s="3">
        <f>632+(71-36.9)+(0+(0-0))+0-0-0</f>
        <v>666.1</v>
      </c>
      <c r="N108" s="3">
        <f>636+(78.2-32)+(0.32436+(0.039882-0.01632))+0-0-0</f>
        <v>682.54792200000009</v>
      </c>
      <c r="O108" s="3">
        <f>632+(94.2-32)+(1.28928+(0.192168-0.06528))+0-0-0</f>
        <v>695.61616800000002</v>
      </c>
      <c r="P108" s="3">
        <f>665+(81.5-33)+(0.6783+(0.08313-0.03366))+0-0-0</f>
        <v>714.22776999999996</v>
      </c>
      <c r="Q108" s="3">
        <f>692+(102.5-33)+(0.35292+(0.052275-0.01683))+0-0-0</f>
        <v>761.88836500000002</v>
      </c>
      <c r="R108" s="3">
        <f>699+(145.3-31)+(0.35649+(0.074103-0.01581))+0-0-0</f>
        <v>813.71478300000001</v>
      </c>
      <c r="S108" s="3">
        <f>710+(185-31)+(0.3621+(0.09435-0.01581))+0-0-0</f>
        <v>864.44064000000003</v>
      </c>
      <c r="T108" s="3">
        <f>708+(190-31)+(0.72216+(0.1938-0.03162))+0-0-0</f>
        <v>867.88433999999995</v>
      </c>
      <c r="U108" s="3">
        <f>708+(168.1-29)+(1.08324+(0.257193-0.04437))+0-0-0</f>
        <v>848.39606300000003</v>
      </c>
      <c r="V108" s="3">
        <f>715+(124.9-29)+(0.7293+(0.127398-0.02958))+0-0-0</f>
        <v>811.72711800000002</v>
      </c>
      <c r="W108" s="3">
        <f>740+(73.8-40.4)+(0.3774+(0.037638-0.020604))+0-0-0</f>
        <v>773.79443400000002</v>
      </c>
      <c r="X108" s="3">
        <f>746+(35.2-73.1)+(-0.38046+(-0.017952--0.037281))+0-0-0</f>
        <v>707.73886900000002</v>
      </c>
      <c r="Y108" s="3">
        <f>755+(36.3-60.7)+(0+(0-0))+0-0-0</f>
        <v>730.6</v>
      </c>
      <c r="Z108" s="3">
        <f>771+(130.9-33)+(0.78642+(0.133518-0.03366))+0-0-0</f>
        <v>869.78627799999992</v>
      </c>
      <c r="AA108" s="3">
        <f>766+(171.5-32)+(0+(0-0))+0-0-0</f>
        <v>905.5</v>
      </c>
      <c r="AB108" s="3">
        <f>753+(181.7-32)+(0.38403+(0.092667-0.01632))+0-0-0</f>
        <v>903.16037700000004</v>
      </c>
      <c r="AC108" s="3">
        <f>728+(199.4-33)+(-1.11384+(-0.305082--0.05049))+0-0-0</f>
        <v>893.03156799999999</v>
      </c>
      <c r="AD108">
        <f t="shared" si="1"/>
        <v>18988.063911999998</v>
      </c>
      <c r="AE108" s="3">
        <f>771+(172.4-34)+(0+(0-0))+0-0-0</f>
        <v>909.4</v>
      </c>
    </row>
    <row r="109" spans="1:31" s="2" customFormat="1" x14ac:dyDescent="0.25">
      <c r="A109">
        <v>89</v>
      </c>
      <c r="B109">
        <v>4</v>
      </c>
      <c r="C109">
        <v>16</v>
      </c>
      <c r="D109">
        <v>5</v>
      </c>
      <c r="E109">
        <v>1</v>
      </c>
      <c r="F109" s="3">
        <f>694+(197.4-32)+(-0.70788+(-0.201348--0.03264))+0-0-0</f>
        <v>858.52341200000001</v>
      </c>
      <c r="G109" s="3">
        <f>694+(168.5-27)+(-0.35394+(-0.085935--0.01377))+0-0-0</f>
        <v>835.07389499999999</v>
      </c>
      <c r="H109" s="3">
        <f>694+(140.6-25)+(0+(0-0))+0-0-0</f>
        <v>809.6</v>
      </c>
      <c r="I109" s="3">
        <f>695+(121.5-32)+(-0.35445+(-0.061965--0.01632))+0-0-0</f>
        <v>784.09990500000004</v>
      </c>
      <c r="J109" s="3">
        <f>688+(87.5-17)+(0+(0-0))+0-0-0</f>
        <v>758.5</v>
      </c>
      <c r="K109" s="3">
        <f>687+(70.2-42)+(-1.75185+(-0.17901--0.1071))+0-0-0</f>
        <v>713.37624000000005</v>
      </c>
      <c r="L109" s="3">
        <f>677+(46.2-71)+(-0.69054+(-0.047124--0.07242))+0-0-0</f>
        <v>651.53475600000002</v>
      </c>
      <c r="M109" s="3">
        <f>673+(45.6-72.1)+(0.34323+(0.023256-0.036771))+9.8-0-0</f>
        <v>656.62971499999992</v>
      </c>
      <c r="N109" s="3">
        <f>671+(53.4-62.2)+(0.34221+(0.027234-0.031722))+8.8-0-0</f>
        <v>671.33772199999999</v>
      </c>
      <c r="O109" s="3">
        <f>677+(59.7-52.7)+(0.34527+(0.030447-0.026877))+0-0-0</f>
        <v>684.34884</v>
      </c>
      <c r="P109" s="3">
        <f>703+(64.1-47.9)+(0.71706+(0.065382-0.048858))+0-0-0</f>
        <v>719.933584</v>
      </c>
      <c r="Q109" s="3">
        <f>712+(93.1-37.3)+(0+(0-0))+0-0-0</f>
        <v>767.8</v>
      </c>
      <c r="R109" s="3">
        <f>701+(143.7-33)+(1.07253+(0.219861-0.05049))+0-0-0</f>
        <v>812.94190100000003</v>
      </c>
      <c r="S109" s="3">
        <f>717+(173.7-33)+(0.36567+(0.088587-0.01683))+0-0-0</f>
        <v>858.137427</v>
      </c>
      <c r="T109" s="3">
        <f>713+(183.2-26)+(0+(0-0))+0-0-0</f>
        <v>870.2</v>
      </c>
      <c r="U109" s="3">
        <f>719+(153.8-25)+(-0.73338+(-0.156876--0.0255))+0-0-0</f>
        <v>846.9352439999999</v>
      </c>
      <c r="V109" s="3">
        <f>737+(97.7-33.9)+(-0.37587+(-0.049827--0.017289))+0-0-0</f>
        <v>800.39159199999995</v>
      </c>
      <c r="W109" s="3">
        <f>750+(69.8-55.8)+(0.765+(0.071196-0.056916))+0-0-0</f>
        <v>764.77927999999997</v>
      </c>
      <c r="X109" s="3">
        <f>753+(22.2-85.3)+(-0.38403+(-0.011322--0.043503))+0-0-0</f>
        <v>689.54815099999996</v>
      </c>
      <c r="Y109" s="3">
        <f>765+(30-63.7)+(0+(0-0))+0-0-0</f>
        <v>731.3</v>
      </c>
      <c r="Z109" s="3">
        <f>781+(109.4-31)+(0.39831+(0.055794-0.01581))+0-0-0</f>
        <v>859.83829400000002</v>
      </c>
      <c r="AA109" s="3">
        <f>780+(155.2-33)+(0+(0-0))+0-0-0</f>
        <v>902.2</v>
      </c>
      <c r="AB109" s="3">
        <f>774+(159.1-32)+(0.39474+(0.081141-0.01632))+0-0-0</f>
        <v>901.55956100000003</v>
      </c>
      <c r="AC109" s="3">
        <f>740+(179.3-32)+(0+(0-0))+0-0-0</f>
        <v>887.3</v>
      </c>
      <c r="AD109">
        <f t="shared" si="1"/>
        <v>18835.889519</v>
      </c>
      <c r="AE109" s="3">
        <f>779+(153.4-33)+(0+(0-0))+0-0-0</f>
        <v>899.4</v>
      </c>
    </row>
    <row r="110" spans="1:31" s="2" customFormat="1" x14ac:dyDescent="0.25">
      <c r="A110">
        <v>89</v>
      </c>
      <c r="B110">
        <v>4</v>
      </c>
      <c r="C110">
        <v>17</v>
      </c>
      <c r="D110">
        <v>6</v>
      </c>
      <c r="E110">
        <v>1</v>
      </c>
      <c r="F110" s="3">
        <f>711+(181.1-31)+(0.36261+(0.092361-0.01581))+0-0-0</f>
        <v>861.53916100000004</v>
      </c>
      <c r="G110" s="3">
        <f>707+(150.3-30)+(0+(0-0))+0-0-0</f>
        <v>827.3</v>
      </c>
      <c r="H110" s="3">
        <f>707+(124.3-29)+(0.36057+(0.063393-0.01479))+0-0-0</f>
        <v>802.70917299999996</v>
      </c>
      <c r="I110" s="3">
        <f>707+(102-30.1)+(0.72114+(0.10404-0.030702))+0-0-0</f>
        <v>779.694478</v>
      </c>
      <c r="J110" s="3">
        <f>693+(103.9-30.9)+(0.35343+(0.052989-0.015759))+0-0-0</f>
        <v>766.39066000000003</v>
      </c>
      <c r="K110" s="3">
        <f>685+(76.6-45.6)+(0+(0-0))+0-0-0</f>
        <v>716</v>
      </c>
      <c r="L110" s="3">
        <f>674+(55.6-68.5)+(-1.03122+(-0.085068--0.104805))+0-0-0</f>
        <v>660.08851700000002</v>
      </c>
      <c r="M110" s="3">
        <f>673+(59.9-67.8)+(-1.02969+(-0.091647--0.103734))+0-0-0</f>
        <v>664.08239700000001</v>
      </c>
      <c r="N110" s="3">
        <f>681+(61.3-66.9)+(-1.38924+(-0.125052--0.136476))+0-0-0</f>
        <v>674.02218399999992</v>
      </c>
      <c r="O110" s="3">
        <f>685+(62.6-58.5)+(-0.34935+(-0.031926--0.029835))+0-0-0</f>
        <v>688.748559</v>
      </c>
      <c r="P110" s="3">
        <f>699+(71.4-48.9)+(0.35649+(0.036414-0.024939))+0-0-0</f>
        <v>721.86796500000003</v>
      </c>
      <c r="Q110" s="3">
        <f>708+(88-39.5)+(0.72216+(0.08976-0.04029))+0-0-0</f>
        <v>757.27162999999996</v>
      </c>
      <c r="R110" s="3">
        <f>716+(110.9-33)+(0.73032+(0.113118-0.03366))+0-0-0</f>
        <v>794.70977800000003</v>
      </c>
      <c r="S110" s="3">
        <f>719+(140.3-30)+(0+(0-0))+0-0-0</f>
        <v>829.3</v>
      </c>
      <c r="T110" s="3">
        <f>718+(149.5-27)+(0.36618+(0.076245-0.01377))+0-0-0</f>
        <v>840.92865500000005</v>
      </c>
      <c r="U110" s="3">
        <f>707+(135.7-26)+(0.36057+(0.069207-0.01326))+0-0-0</f>
        <v>817.11651700000004</v>
      </c>
      <c r="V110" s="3">
        <f>672+(139.5-24)+(0+(0-0))+0-0-0</f>
        <v>787.5</v>
      </c>
      <c r="W110" s="3">
        <f>684+(83.1-32.7)+(-0.34884+(-0.042381--0.016677))+0-0-0</f>
        <v>734.02545599999996</v>
      </c>
      <c r="X110" s="3">
        <f>691+(40.4-76.6)+(-1.05723+(-0.061812--0.117198))+0-0-0</f>
        <v>653.79815599999995</v>
      </c>
      <c r="Y110" s="3">
        <f>713+(46.2-58.3)+(-0.36363+(-0.023562--0.029733))+0-0-0</f>
        <v>700.54254100000003</v>
      </c>
      <c r="Z110" s="3">
        <f>760+(96.5-32)+(0+(0-0))+0-0-0</f>
        <v>824.5</v>
      </c>
      <c r="AA110" s="3">
        <f>774+(114-33)+(-1.57896+(-0.23256--0.06732))+0-0-0</f>
        <v>853.25580000000002</v>
      </c>
      <c r="AB110" s="3">
        <f>775+(119.2-33)+(-0.39525+(-0.060792--0.01683))+0-0-0</f>
        <v>860.76078800000005</v>
      </c>
      <c r="AC110" s="3">
        <f>764+(110.7-33)+(0.38964+(0.056457-0.01683))+0-0-0</f>
        <v>842.12926700000003</v>
      </c>
      <c r="AD110">
        <f t="shared" si="1"/>
        <v>18458.281682000001</v>
      </c>
      <c r="AE110" s="3">
        <f>770+(103.1-34.5)+(0+(0-0))+0-0-0</f>
        <v>838.6</v>
      </c>
    </row>
    <row r="111" spans="1:31" s="2" customFormat="1" x14ac:dyDescent="0.25">
      <c r="A111">
        <v>89</v>
      </c>
      <c r="B111">
        <v>4</v>
      </c>
      <c r="C111">
        <v>18</v>
      </c>
      <c r="D111">
        <v>7</v>
      </c>
      <c r="E111">
        <v>1</v>
      </c>
      <c r="F111" s="3">
        <f>734+(111.9-32)+(0+(0-0))+0-0-0</f>
        <v>813.9</v>
      </c>
      <c r="G111" s="3">
        <f>696+(127.2-31)+(-0.35496+(-0.064872--0.01581))+0-0-0</f>
        <v>791.79597799999999</v>
      </c>
      <c r="H111" s="3">
        <f>691+(111.8-31)+(0.35241+(0.057018-0.01581))+0-0-0</f>
        <v>772.1936179999999</v>
      </c>
      <c r="I111" s="3">
        <f>691+(94.8-34.2)+(0.35241+(0.048348-0.017442))+0-0-0</f>
        <v>751.98331600000006</v>
      </c>
      <c r="J111" s="3">
        <f>688+(84.6-38.9)+(0.35088+(0.043146-0.019839))+0-0-0</f>
        <v>734.07418700000005</v>
      </c>
      <c r="K111" s="3">
        <f>671+(72.4-51)+(-1.02663+(-0.110772--0.07803))+0-0-0</f>
        <v>691.34062799999992</v>
      </c>
      <c r="L111" s="3">
        <f>664+(47.1-75.8)+(0+(0-0))+0-0-0</f>
        <v>635.29999999999995</v>
      </c>
      <c r="M111" s="3">
        <f>662+(41-82.3)+(0+(0-0))+0-0-0</f>
        <v>620.70000000000005</v>
      </c>
      <c r="N111" s="3">
        <f>669+(39.2-77.5)+(-0.68238+(-0.039984--0.07905))+0-0-0</f>
        <v>630.05668600000001</v>
      </c>
      <c r="O111" s="3">
        <f>665+(48.2-67)+(0+(0-0))+0-0-0</f>
        <v>646.20000000000005</v>
      </c>
      <c r="P111" s="3">
        <f>667+(62.8-52)+(0.68034+(0.064056-0.05304))+0-0-0</f>
        <v>678.491356</v>
      </c>
      <c r="Q111" s="3">
        <f>701+(72.7-44.4)+(0+(0-0))+0-0-0</f>
        <v>729.3</v>
      </c>
      <c r="R111" s="3">
        <f>698+(98.8-35.6)+(0.35598+(0.050388-0.018156))+0-0-0</f>
        <v>761.588212</v>
      </c>
      <c r="S111" s="3">
        <f>700+(118.8-30)+(0.714+(0.121176-0.0306))+0-0-0</f>
        <v>789.60457599999995</v>
      </c>
      <c r="T111" s="3">
        <f>699+(127.6-29)+(0.35649+(0.065076-0.01479))+0-0-0</f>
        <v>798.00677600000006</v>
      </c>
      <c r="U111" s="3">
        <f>700+(125.6-29)+(-0.714+(-0.128112--0.02958))+0-0-0</f>
        <v>795.78746799999999</v>
      </c>
      <c r="V111" s="3">
        <f>703+(98.4-39.1)+(-0.35853+(-0.050184--0.019941))+0-0-0</f>
        <v>761.91122699999994</v>
      </c>
      <c r="W111" s="3">
        <f>707+(85.1-52.7)+(-0.36057+(-0.043401--0.026877))+0-0-0</f>
        <v>739.02290599999992</v>
      </c>
      <c r="X111" s="3">
        <f>690+(53.2-71)+(-0.7038+(-0.054264--0.07242))+0-0-0</f>
        <v>671.51435600000002</v>
      </c>
      <c r="Y111" s="3">
        <f>708+(49-52.8)+(-1.08324+(-0.07497--0.080784))+0-0-0</f>
        <v>703.1225740000001</v>
      </c>
      <c r="Z111" s="3">
        <f>736+(139.8-33)+(0.37536+(0.071298-0.01683))+0-0-0</f>
        <v>843.229828</v>
      </c>
      <c r="AA111" s="3">
        <f>751+(162.1-33)+(-0.38301+(-0.082671--0.01683))+0-0-0</f>
        <v>879.65114900000003</v>
      </c>
      <c r="AB111" s="3">
        <f>750+(174.3-31)+(0+(0-0))+0-0-0</f>
        <v>893.3</v>
      </c>
      <c r="AC111" s="3">
        <f>715+(185.2-31)+(0.36465+(0.094452-0.01581))+0-0-0</f>
        <v>869.64329200000009</v>
      </c>
      <c r="AD111">
        <f t="shared" si="1"/>
        <v>18001.718133000002</v>
      </c>
      <c r="AE111" s="3">
        <f>764+(161.3-33)+(0+(0-0))+0-0-0</f>
        <v>892.3</v>
      </c>
    </row>
    <row r="112" spans="1:31" s="2" customFormat="1" x14ac:dyDescent="0.25">
      <c r="A112">
        <v>89</v>
      </c>
      <c r="B112">
        <v>4</v>
      </c>
      <c r="C112">
        <v>19</v>
      </c>
      <c r="D112">
        <v>1</v>
      </c>
      <c r="E112">
        <v>3</v>
      </c>
      <c r="F112" s="3">
        <f>685+(182.2-30)+(-1.3974+(-0.371688--0.0612))+0-0-0</f>
        <v>835.49211200000002</v>
      </c>
      <c r="G112" s="3">
        <f>686+(152.4-30)+(-1.04958+(-0.233172--0.0459))+0-0-0</f>
        <v>807.16314799999998</v>
      </c>
      <c r="H112" s="3">
        <f>686+(133.1-30)+(-0.69972+(-0.135762--0.0306))+0-0-0</f>
        <v>788.295118</v>
      </c>
      <c r="I112" s="3">
        <f>688+(115.3-31)+(-0.70176+(-0.117606--0.03162))+0-0-0</f>
        <v>771.51225399999998</v>
      </c>
      <c r="J112" s="3">
        <f>682+(100-31)+(-0.69564+(-0.102--0.03162))+0-0-0</f>
        <v>750.23397999999997</v>
      </c>
      <c r="K112" s="3">
        <f>682+(67.8-40.3)+(0+(0-0))+0-0-0</f>
        <v>709.5</v>
      </c>
      <c r="L112" s="3">
        <f>646+(57.7-43.7)+(0+(0-0))+0-0-0</f>
        <v>660</v>
      </c>
      <c r="M112" s="3">
        <f>607+(66.1-37.1)+(-0.92871+(-0.101133--0.056763))+0-0-0</f>
        <v>635.02692000000002</v>
      </c>
      <c r="N112" s="3">
        <f>672+(44-70.6)+(-0.34272+(-0.02244--0.036006))+0-0-0</f>
        <v>645.07084599999996</v>
      </c>
      <c r="O112" s="3">
        <f>668+(53.4-59.8)+(0.68136+(0.054468-0.060996))+0-0-0</f>
        <v>662.27483200000006</v>
      </c>
      <c r="P112" s="3">
        <f>665+(63.9-46.1)+(0.6783+(0.065178-0.047022))+0-0-0</f>
        <v>683.49645599999997</v>
      </c>
      <c r="Q112" s="3">
        <f>665+(104.8-35.7)+(0.6783+(0.106896-0.036414))+0-0-0</f>
        <v>734.84878200000003</v>
      </c>
      <c r="R112" s="3">
        <f>683+(141.1-33)+(0+(0-0))+0-0-0</f>
        <v>791.1</v>
      </c>
      <c r="S112" s="3">
        <f>707+(157.1-33)+(0+(0-0))+0-0-0</f>
        <v>831.1</v>
      </c>
      <c r="T112" s="3">
        <f>705+(170.1-33)+(0.35955+(0.086751-0.01683))+0-0-0</f>
        <v>842.52947100000006</v>
      </c>
      <c r="U112" s="3">
        <f>707+(117.7-31)+(0+(0-0))+11.6-0-0</f>
        <v>805.30000000000007</v>
      </c>
      <c r="V112" s="3">
        <f>717+(103.7-34.7)+(0+(0-0))+2.8-0-0</f>
        <v>788.8</v>
      </c>
      <c r="W112" s="3">
        <f>728+(73.6-51.1)+(-0.74256+(-0.075072--0.052122))+0-0-0</f>
        <v>749.73449000000005</v>
      </c>
      <c r="X112" s="3">
        <f>740+(35.1-81.7)+(0+(0-0))+0-0-0</f>
        <v>693.4</v>
      </c>
      <c r="Y112" s="3">
        <f>753+(38-64.1)+(0.38403+(0.01938-0.032691))+0-0-0</f>
        <v>727.27071899999999</v>
      </c>
      <c r="Z112" s="3">
        <f>770+(124.3-33)+(0+(0-0))+0-0-0</f>
        <v>861.3</v>
      </c>
      <c r="AA112" s="3">
        <f>770+(158.6-33)+(-0.3927+(-0.080886--0.01683))+0-0-0</f>
        <v>895.14324399999998</v>
      </c>
      <c r="AB112" s="3">
        <f>763+(167.3-33)+(0+(0-0))+0-0-0</f>
        <v>897.3</v>
      </c>
      <c r="AC112" s="3">
        <f>710+(209-32)+(0+(0-0))+0-0-0</f>
        <v>887</v>
      </c>
      <c r="AD112">
        <f t="shared" si="1"/>
        <v>18452.892371999998</v>
      </c>
      <c r="AE112" s="3">
        <f>773+(166.9-34)+(0+(0-0))+0-0-0</f>
        <v>905.9</v>
      </c>
    </row>
    <row r="113" spans="1:31" s="2" customFormat="1" x14ac:dyDescent="0.25">
      <c r="A113">
        <v>89</v>
      </c>
      <c r="B113">
        <v>4</v>
      </c>
      <c r="C113">
        <v>20</v>
      </c>
      <c r="D113">
        <v>2</v>
      </c>
      <c r="E113">
        <v>1</v>
      </c>
      <c r="F113" s="3">
        <f>706+(193.4-32)+(0+(0-0))+0-0-0</f>
        <v>867.4</v>
      </c>
      <c r="G113" s="3">
        <f>706+(152.3-31)+(-1.08018+(-0.233019--0.04743))+0-0-0</f>
        <v>826.03423099999998</v>
      </c>
      <c r="H113" s="3">
        <f>706+(124.4-31)+(-0.72012+(-0.126888--0.03162))+0-0-0</f>
        <v>798.58461199999999</v>
      </c>
      <c r="I113" s="3">
        <f>706+(101.5-32)+(-1.08018+(-0.155295--0.04896))+0-0-0</f>
        <v>774.31348500000001</v>
      </c>
      <c r="J113" s="3">
        <f>700+(87.8-37.5)+(0+(0-0))+0-0-0</f>
        <v>750.3</v>
      </c>
      <c r="K113" s="3">
        <f>700+(65.8-53.8)+(0+(0-0))+0-0-0</f>
        <v>712</v>
      </c>
      <c r="L113" s="3">
        <f>679+(45.1-74.3)+(-0.69258+(-0.046002--0.075786))+0-0-0</f>
        <v>649.137204</v>
      </c>
      <c r="M113" s="3">
        <f>670+(47-70.6)+(-0.3417+(-0.02397--0.036006))+0-0-0</f>
        <v>646.070336</v>
      </c>
      <c r="N113" s="3">
        <f>668+(51.2-67.4)+(0.34068+(0.026112-0.034374))+0-0-0</f>
        <v>652.13241799999992</v>
      </c>
      <c r="O113" s="3">
        <f>680+(53-62.7)+(0.3468+(0.02703-0.031977))+0-0-0</f>
        <v>670.64185299999997</v>
      </c>
      <c r="P113" s="3">
        <f>705+(54.6-58.8)+(0.7191+(0.055692-0.059976))+0-0-0</f>
        <v>701.514816</v>
      </c>
      <c r="Q113" s="3">
        <f>707+(67.4-43.8)+(0.72114+(0.068748-0.044676))+6.3-0-0</f>
        <v>737.64521200000001</v>
      </c>
      <c r="R113" s="3">
        <f>699+(120.7-33)+(0.35649+(0.061557-0.01683))+19-0-0</f>
        <v>806.10121700000002</v>
      </c>
      <c r="S113" s="3">
        <f>698+(161.2-33)+(0.35598+(0.082212-0.01683))+19-0-0</f>
        <v>845.62136200000009</v>
      </c>
      <c r="T113" s="3">
        <f>708+(172.5-31)+(0.36108+(0.087975-0.01581))+19-0-0</f>
        <v>868.93324500000006</v>
      </c>
      <c r="U113" s="3">
        <f>716+(151.4-31)+(0.73032+(0.154428-0.03162))+19-0-0</f>
        <v>856.25312799999995</v>
      </c>
      <c r="V113" s="3">
        <f>726+(112.6-30.5)+(0+(0-0))+19-0-0</f>
        <v>827.1</v>
      </c>
      <c r="W113" s="3">
        <f>745+(75.8-50)+(-1.5198+(-0.154632--0.102))+19-0-0</f>
        <v>788.22756799999991</v>
      </c>
      <c r="X113" s="3">
        <f>748+(40.2-76.2)+(0+(0-0))+7.9-0-0</f>
        <v>719.9</v>
      </c>
      <c r="Y113" s="3">
        <f>766+(45.8-60.3)+(-0.39066+(-0.023358--0.030753))+0-0-0</f>
        <v>751.11673499999995</v>
      </c>
      <c r="Z113" s="3">
        <f>787+(122.9-33)+(0.40137+(0.062679-0.01683))+0-0-0</f>
        <v>877.347219</v>
      </c>
      <c r="AA113" s="3">
        <f>786+(157.3-33)+(-0.80172+(-0.160446--0.03366))+0-0-0</f>
        <v>909.37149399999998</v>
      </c>
      <c r="AB113" s="3">
        <f>764+(175.1-33)+(-0.38964+(-0.089301--0.01683))+0-0-0</f>
        <v>905.63788899999997</v>
      </c>
      <c r="AC113" s="3">
        <f>721+(197.8-33)+(-0.36771+(-0.100878--0.01683))+0-0-0</f>
        <v>885.34824199999991</v>
      </c>
      <c r="AD113">
        <f t="shared" si="1"/>
        <v>18826.732265999999</v>
      </c>
      <c r="AE113" s="3">
        <f>787+(168-36)+(0+(0-0))+0-0-0</f>
        <v>919</v>
      </c>
    </row>
    <row r="114" spans="1:31" s="2" customFormat="1" x14ac:dyDescent="0.25">
      <c r="A114">
        <v>89</v>
      </c>
      <c r="B114">
        <v>4</v>
      </c>
      <c r="C114">
        <v>21</v>
      </c>
      <c r="D114">
        <v>3</v>
      </c>
      <c r="E114">
        <v>1</v>
      </c>
      <c r="F114" s="3">
        <f>699+(189.7-33)+(-0.71298+(-0.193494--0.03366))+0-0-0</f>
        <v>854.8271860000001</v>
      </c>
      <c r="G114" s="3">
        <f>684+(172.2-31)+(-0.34884+(-0.087822--0.01581))+0-0-0</f>
        <v>824.77914800000008</v>
      </c>
      <c r="H114" s="3">
        <f>683+(139.9-31)+(-1.39332+(-0.285396--0.06324))+0-0-0</f>
        <v>790.28452400000003</v>
      </c>
      <c r="I114" s="3">
        <f>685+(104.7-30)+(0.6987+(0.106794-0.0306))+0-0-0</f>
        <v>760.47489400000006</v>
      </c>
      <c r="J114" s="3">
        <f>679+(90.2-32.9)+(-0.69258+(-0.092004--0.033558))+0-0-0</f>
        <v>735.54897399999993</v>
      </c>
      <c r="K114" s="3">
        <f>676+(62.9-42.7)+(-0.68952+(-0.064158--0.043554))+0-0-0</f>
        <v>695.48987600000009</v>
      </c>
      <c r="L114" s="3">
        <f>676+(41.6-64.7)+(0+(0-0))+0-0-0</f>
        <v>652.9</v>
      </c>
      <c r="M114" s="3">
        <f>673+(31.6-76.5)+(0+(0-0))+0-0-0</f>
        <v>628.1</v>
      </c>
      <c r="N114" s="3">
        <f>672+(38.7-64.7)+(0+(0-0))+0-0-0</f>
        <v>646</v>
      </c>
      <c r="O114" s="3">
        <f>680+(33-56.8)+(0+(0-0))+0-0-0</f>
        <v>656.2</v>
      </c>
      <c r="P114" s="3">
        <f>690+(38.3-51.6)+(0+(0-0))+0-0-0</f>
        <v>676.7</v>
      </c>
      <c r="Q114" s="3">
        <f>720+(51.9-43.4)+(1.4688+(0.105876-0.088536))+0-0-0</f>
        <v>729.98613999999998</v>
      </c>
      <c r="R114" s="3">
        <f>713+(85.6-33)+(-0.72726+(-0.087312--0.03366))+16.7-0-0</f>
        <v>781.51908800000012</v>
      </c>
      <c r="S114" s="3">
        <f>709+(107.4-32)+(0.36159+(0.054774-0.01632))+25-0-0</f>
        <v>809.80004399999996</v>
      </c>
      <c r="T114" s="3">
        <f>712+(128.5-30)+(0.36312+(0.065535-0.0153))+25-0-0</f>
        <v>835.91335500000002</v>
      </c>
      <c r="U114" s="3">
        <f>714+(111.8-30)+(0.72828+(0.114036-0.0306))+25-0-0</f>
        <v>821.611716</v>
      </c>
      <c r="V114" s="3">
        <f>714+(86.8-33.3)+(-0.36414+(-0.044268--0.016983))+25-0-0</f>
        <v>792.10857499999997</v>
      </c>
      <c r="W114" s="3">
        <f>726+(55.7-53.2)+(-1.11078+(-0.085221--0.081396))+25-0-0</f>
        <v>752.38539500000002</v>
      </c>
      <c r="X114" s="3">
        <f>728+(28-73.6)+(-1.11384+(-0.04284--0.112608))+0-0-0</f>
        <v>681.35592799999995</v>
      </c>
      <c r="Y114" s="3">
        <f>754+(43.7-47.7)+(-0.38454+(-0.022287--0.024327))+0-0-0</f>
        <v>749.61749999999995</v>
      </c>
      <c r="Z114" s="3">
        <f>769+(135.8-33)+(0.39219+(0.069258-0.01683))+0-0-0</f>
        <v>872.24461799999995</v>
      </c>
      <c r="AA114" s="3">
        <f>769+(163-33)+(-0.39219+(-0.08313--0.01683))+0-0-0</f>
        <v>898.54151000000002</v>
      </c>
      <c r="AB114" s="3">
        <f>764+(146.5-10)+(-0.38964+(-0.074715--0.0051))+0-0-0</f>
        <v>900.04074500000002</v>
      </c>
      <c r="AC114" s="3">
        <f>763+(137-20)+(0+(0-0))+0-0-0</f>
        <v>880</v>
      </c>
      <c r="AD114">
        <f t="shared" si="1"/>
        <v>18426.429216</v>
      </c>
      <c r="AE114" s="3">
        <f>780+(166-34)+(0+(0-0))+0-0-0</f>
        <v>912</v>
      </c>
    </row>
    <row r="115" spans="1:31" s="2" customFormat="1" x14ac:dyDescent="0.25">
      <c r="A115">
        <v>89</v>
      </c>
      <c r="B115">
        <v>4</v>
      </c>
      <c r="C115">
        <v>22</v>
      </c>
      <c r="D115">
        <v>4</v>
      </c>
      <c r="E115">
        <v>1</v>
      </c>
      <c r="F115" s="3">
        <f>756+(119.6-32)+(0+(0-0))+0-0-0</f>
        <v>843.6</v>
      </c>
      <c r="G115" s="3">
        <f>698+(138.7-31)+(-0.71196+(-0.141474--0.03162))+0-0-0</f>
        <v>804.87818600000003</v>
      </c>
      <c r="H115" s="3">
        <f>697+(118.2-29)+(0.35547+(0.060282-0.01479))+0-0-0</f>
        <v>786.6009620000001</v>
      </c>
      <c r="I115" s="3">
        <f>697+(102.9-29)+(0+(0-0))+0-0-0</f>
        <v>770.9</v>
      </c>
      <c r="J115" s="3">
        <f>691+(93.3-30)+(1.05723+(0.142749-0.0459))+0-0-0</f>
        <v>755.45407899999998</v>
      </c>
      <c r="K115" s="3">
        <f>664+(75.7-39.4)+(0+(0-0))+0-0-0</f>
        <v>700.3</v>
      </c>
      <c r="L115" s="3">
        <f>611+(72.8-37)+(-0.31161+(-0.037128--0.01887))+0-0-0</f>
        <v>646.47013199999992</v>
      </c>
      <c r="M115" s="3">
        <f>641+(57.4-48.7)+(0+(0-0))+0-0-0</f>
        <v>649.70000000000005</v>
      </c>
      <c r="N115" s="3">
        <f>659+(58-51.9)+(1.34436+(0.11832-0.105876))+0-0-0</f>
        <v>666.45680400000003</v>
      </c>
      <c r="O115" s="3">
        <f>681+(53.6-55.2)+(0+(0-0))+0-0-0</f>
        <v>679.4</v>
      </c>
      <c r="P115" s="3">
        <f>680+(71.2-41.5)+(1.0404+(0.108936-0.063495))+0-0-0</f>
        <v>710.785841</v>
      </c>
      <c r="Q115" s="3">
        <f>695+(106.5-33)+(0.35445+(0.054315-0.01683))+0-0-0</f>
        <v>768.89193499999999</v>
      </c>
      <c r="R115" s="3">
        <f>726+(131.7-32)+(-0.74052+(-0.134334--0.03264))+17.3-0-0</f>
        <v>842.15778599999999</v>
      </c>
      <c r="S115" s="3">
        <f>729+(155.3-32)+(0+(0-0))+26-0-0</f>
        <v>878.3</v>
      </c>
      <c r="T115" s="3">
        <f>729+(152.6-31)+(1.11537+(0.233478-0.04743))+26-0-0</f>
        <v>877.90141800000004</v>
      </c>
      <c r="U115" s="3">
        <f>731+(129.6-31)+(-0.37281+(-0.066096--0.01581))+26-0-0</f>
        <v>855.17690400000004</v>
      </c>
      <c r="V115" s="3">
        <f>731+(91.6-37.5)+(-0.37281+(-0.046716--0.019125))+26-0-0</f>
        <v>810.69959900000003</v>
      </c>
      <c r="W115" s="3">
        <f>739+(56.8-57.1)+(-2.26134+(-0.173808--0.174726))+26-0-0</f>
        <v>762.4395780000001</v>
      </c>
      <c r="X115" s="3">
        <f>751+(20.8-82.5)+(-1.53204+(-0.042432--0.1683))+0-0-0</f>
        <v>687.89382799999998</v>
      </c>
      <c r="Y115" s="3">
        <f>762+(27.9-62.1)+(-1.16586+(-0.042687--0.095013))+0-0-0</f>
        <v>726.686466</v>
      </c>
      <c r="Z115" s="3">
        <f>777+(120.1-32)+(0.39627+(0.061251-0.01632))+0-0-0</f>
        <v>865.541201</v>
      </c>
      <c r="AA115" s="3">
        <f>778+(150.8-32)+(-1.58712+(-0.307632--0.06528))+0-0-0</f>
        <v>894.97052799999994</v>
      </c>
      <c r="AB115" s="3">
        <f>774+(148.6-32)+(-1.57896+(-0.303144--0.06528))+0-0-0</f>
        <v>888.78317600000003</v>
      </c>
      <c r="AC115" s="3">
        <f>773+(135.7-33)+(0.78846+(0.138414-0.03366))+0-0-0</f>
        <v>876.59321399999999</v>
      </c>
      <c r="AD115">
        <f t="shared" si="1"/>
        <v>18750.581636999999</v>
      </c>
      <c r="AE115" s="3">
        <f>778+(137-33)+(0+(0-0))+0-0-0</f>
        <v>882</v>
      </c>
    </row>
    <row r="116" spans="1:31" s="2" customFormat="1" x14ac:dyDescent="0.25">
      <c r="A116">
        <v>89</v>
      </c>
      <c r="B116">
        <v>4</v>
      </c>
      <c r="C116">
        <v>23</v>
      </c>
      <c r="D116">
        <v>5</v>
      </c>
      <c r="E116">
        <v>1</v>
      </c>
      <c r="F116" s="3">
        <f>730+(136.9-33)+(-0.7446+(-0.139638--0.03366))+0-0-0</f>
        <v>833.04942199999994</v>
      </c>
      <c r="G116" s="3">
        <f>711+(130.1-32)+(-0.36261+(-0.066351--0.01632))+0-0-0</f>
        <v>808.68735900000001</v>
      </c>
      <c r="H116" s="3">
        <f>711+(104.6-31)+(-0.72522+(-0.106692--0.03162))+0-0-0</f>
        <v>783.79970800000001</v>
      </c>
      <c r="I116" s="3">
        <f>712+(88.4-34.6)+(-0.72624+(-0.090168--0.035292))+0-0-0</f>
        <v>765.01888399999996</v>
      </c>
      <c r="J116" s="3">
        <f>704+(75.1-40.8)+(1.07712+(0.114903-0.062424))+0-0-0</f>
        <v>739.42959899999994</v>
      </c>
      <c r="K116" s="3">
        <f>704+(48.6-69.2)+(-0.71808+(-0.049572--0.070584))+0-0-0</f>
        <v>682.70293200000003</v>
      </c>
      <c r="L116" s="3">
        <f>655+(39-73.7)+(-0.33405+(-0.01989--0.037587))+0-0-0</f>
        <v>619.98364699999991</v>
      </c>
      <c r="M116" s="3">
        <f>621+(50.1-56.8)+(0.95013+(0.076653-0.086904))+0-0-0</f>
        <v>615.23987899999997</v>
      </c>
      <c r="N116" s="3">
        <f>644+(57.3-47.7)+(-0.32844+(-0.029223--0.024327))+0-0-0</f>
        <v>653.26666399999999</v>
      </c>
      <c r="O116" s="3">
        <f>660+(58.3-52.1)+(0.6732+(0.059466-0.053142))+0-0-0</f>
        <v>666.87952400000006</v>
      </c>
      <c r="P116" s="3">
        <f>678+(57.5-47.9)+(0.34578+(0.029325-0.024429))+12.5-0-0</f>
        <v>700.45067600000004</v>
      </c>
      <c r="Q116" s="3">
        <f>683+(59.5-55)+(-0.34833+(-0.030345--0.02805))+30-0-0</f>
        <v>717.14937499999996</v>
      </c>
      <c r="R116" s="3">
        <f>703+(82.8-46.6)+(-0.71706+(-0.084456--0.047532))+60-0-0</f>
        <v>798.4460160000001</v>
      </c>
      <c r="S116" s="3">
        <f>695+(133.8-63.1)+(0+(0-0))+60-0-0</f>
        <v>825.7</v>
      </c>
      <c r="T116" s="3">
        <f>694+(148.6-55.2)+(0.35394+(0.075786-0.028152))+60-0-0</f>
        <v>847.80157399999996</v>
      </c>
      <c r="U116" s="3">
        <f>697+(131.5-59.4)+(-0.35547+(-0.067065--0.030294))+60-0-0</f>
        <v>828.70775900000001</v>
      </c>
      <c r="V116" s="3">
        <f>717+(122.8-77.1)+(-0.73134+(-0.125256--0.078642))+60-0-0</f>
        <v>821.92204600000002</v>
      </c>
      <c r="W116" s="3">
        <f>736+(100-113.4)+(1.12608+(0.153-0.173502))+60-0-0</f>
        <v>783.70557800000006</v>
      </c>
      <c r="X116" s="3">
        <f>738+(96-137)+(-0.75276+(-0.09792--0.13974))+0-0-0</f>
        <v>696.28905999999995</v>
      </c>
      <c r="Y116" s="3">
        <f>750+(118-103)+(0.3825+(0.06018-0.05253))+0-0-0</f>
        <v>765.39014999999995</v>
      </c>
      <c r="Z116" s="3">
        <f>758+(161.4-38.1)+(0.77316+(0.164628-0.038862))+0-0-0</f>
        <v>882.19892599999991</v>
      </c>
      <c r="AA116" s="3">
        <f>760+(175.2-33)+(-1.1628+(-0.268056--0.05049))+0-0-0</f>
        <v>900.81963400000006</v>
      </c>
      <c r="AB116" s="3">
        <f>756+(170.3-34.5)+(-0.38556+(-0.086853--0.017595))+0-0-0</f>
        <v>891.34518199999991</v>
      </c>
      <c r="AC116" s="3">
        <f>713+(192.1-33)+(-0.36363+(-0.097971--0.01683))+0-0-0</f>
        <v>871.65522900000008</v>
      </c>
      <c r="AD116">
        <f t="shared" si="1"/>
        <v>18499.638823000001</v>
      </c>
      <c r="AE116" s="3">
        <f>760+(185-33)+(0+(0-0))+0-0-0</f>
        <v>912</v>
      </c>
    </row>
    <row r="117" spans="1:31" s="2" customFormat="1" x14ac:dyDescent="0.25">
      <c r="A117">
        <v>89</v>
      </c>
      <c r="B117">
        <v>4</v>
      </c>
      <c r="C117">
        <v>24</v>
      </c>
      <c r="D117">
        <v>6</v>
      </c>
      <c r="E117">
        <v>1</v>
      </c>
      <c r="F117" s="3">
        <f>707+(165.2-37.1)+(-0.36057+(-0.084252--0.018921))+0-0-0</f>
        <v>834.67409900000007</v>
      </c>
      <c r="G117" s="3">
        <f>707+(142.6-42.7)+(-0.36057+(-0.072726--0.021777))+0-0-0</f>
        <v>806.48848099999998</v>
      </c>
      <c r="H117" s="3">
        <f>698+(138.4-46.6)+(1.42392+(0.282336-0.095064))+0-0-0</f>
        <v>791.41119199999991</v>
      </c>
      <c r="I117" s="3">
        <f>690+(133.1-49.9)+(-0.7038+(-0.135762--0.050898))+0-0-0</f>
        <v>772.41133600000001</v>
      </c>
      <c r="J117" s="3">
        <f>688+(120-59)+(-0.35088+(-0.0612--0.03009))+0-0-0</f>
        <v>748.61801000000003</v>
      </c>
      <c r="K117" s="3">
        <f>688+(95.8-75.9)+(-0.70176+(-0.097716--0.077418))+0-0-0</f>
        <v>707.17794200000003</v>
      </c>
      <c r="L117" s="3">
        <f>683+(87-113.3)+(-0.69666+(-0.08874--0.115566))+0-0-0</f>
        <v>656.03016600000001</v>
      </c>
      <c r="M117" s="3">
        <f>680+(93-118.8)+(-0.3468+(-0.04743--0.060588))+0-0-0</f>
        <v>653.86635799999999</v>
      </c>
      <c r="N117" s="3">
        <f>676+(95-105.1)+(0.34476+(0.04845-0.053601))+0-0-0</f>
        <v>666.23960899999997</v>
      </c>
      <c r="O117" s="3">
        <f>673+(100-92.3)+(1.71615+(0.255-0.235365))+0-0-0</f>
        <v>682.43578500000001</v>
      </c>
      <c r="P117" s="3">
        <f>705+(103-106.3)+(0.35955+(0.05253-0.054213))+27.5-0-0</f>
        <v>729.5578670000001</v>
      </c>
      <c r="Q117" s="3">
        <f>721+(108-95.5)+(0.36771+(0.05508-0.048705))+44-0-0</f>
        <v>777.87408500000004</v>
      </c>
      <c r="R117" s="3">
        <f>712+(128-79.6)+(-0.36312+(-0.06528--0.040596))+44-0-0</f>
        <v>804.01219600000002</v>
      </c>
      <c r="S117" s="3">
        <f>710+(136.6-70.8)+(-0.7242+(-0.139332--0.072216))+44-0-0</f>
        <v>819.0086839999999</v>
      </c>
      <c r="T117" s="3">
        <f>712+(148.7-66)+(-0.36312+(-0.075837--0.03366))+44-0-0</f>
        <v>838.29470300000003</v>
      </c>
      <c r="U117" s="3">
        <f>713+(152.3-63.6)+(-0.36363+(-0.077673--0.032436))+44-0-0</f>
        <v>845.29113300000006</v>
      </c>
      <c r="V117" s="3">
        <f>723+(131.3-83)+(0+(0-0))+22-0-0</f>
        <v>793.3</v>
      </c>
      <c r="W117" s="3">
        <f>734+(107.2-91.3)+(-0.74868+(-0.109344--0.093126))+0-0-0</f>
        <v>749.13510199999996</v>
      </c>
      <c r="X117" s="3">
        <f>736+(87-132)+(-1.8768+(-0.22185--0.3366))+0-0-0</f>
        <v>689.23794999999996</v>
      </c>
      <c r="Y117" s="3">
        <f>754+(97-107.5)+(-0.38454+(-0.04947--0.054825))+0-0-0</f>
        <v>743.12081499999999</v>
      </c>
      <c r="Z117" s="3">
        <f>771+(137-42.1)+(-0.78642+(-0.13974--0.042942))+0-0-0</f>
        <v>865.01678199999992</v>
      </c>
      <c r="AA117" s="3">
        <f>771+(151.7-36.3)+(-1.17963+(-0.232101--0.055539))+0-0-0</f>
        <v>885.04380800000001</v>
      </c>
      <c r="AB117" s="3">
        <f>764+(156.3-38.6)+(-0.38964+(-0.079713--0.019686))+0-0-0</f>
        <v>881.25033300000007</v>
      </c>
      <c r="AC117" s="3">
        <f>715+(190.4-32)+(-1.09395+(-0.291312--0.04896))+0-0-0</f>
        <v>872.06369799999993</v>
      </c>
      <c r="AD117">
        <f t="shared" si="1"/>
        <v>18611.560133999999</v>
      </c>
      <c r="AE117" s="3">
        <f>750+(150.8-40)+(0+(0-0))+0-0-0</f>
        <v>860.8</v>
      </c>
    </row>
    <row r="118" spans="1:31" s="2" customFormat="1" x14ac:dyDescent="0.25">
      <c r="A118">
        <v>89</v>
      </c>
      <c r="B118">
        <v>4</v>
      </c>
      <c r="C118">
        <v>25</v>
      </c>
      <c r="D118">
        <v>7</v>
      </c>
      <c r="E118">
        <v>1</v>
      </c>
      <c r="F118" s="3">
        <f>651+(212.9-32)+(0.99603+(0.325737-0.04896))+0-0-0</f>
        <v>833.17280699999992</v>
      </c>
      <c r="G118" s="3">
        <f>651+(189.1-32)+(-0.33201+(-0.096441--0.01632))+0-0-0</f>
        <v>807.68786899999998</v>
      </c>
      <c r="H118" s="3">
        <f>651+(165.1-31)+(0.33201+(0.084201-0.01581))+0-0-0</f>
        <v>785.50040100000001</v>
      </c>
      <c r="I118" s="3">
        <f>650+(148.1-32.7)+(0.3315+(0.075531-0.016677))+0-0-0</f>
        <v>765.79035399999998</v>
      </c>
      <c r="J118" s="3">
        <f>637+(133.9-36.2)+(-0.97461+(-0.204867--0.055386))+0-0-0</f>
        <v>733.57590900000002</v>
      </c>
      <c r="K118" s="3">
        <f>630+(103.2-33.8)+(-1.9278+(-0.315792--0.103428))+0-0-0</f>
        <v>697.25983599999995</v>
      </c>
      <c r="L118" s="3">
        <f>625+(87-58.4)+(-1.59375+(-0.22185--0.14892))+0-0-0</f>
        <v>651.93331999999998</v>
      </c>
      <c r="M118" s="3">
        <f>621+(90-67.6)+(0+(0-0))+0-0-0</f>
        <v>643.4</v>
      </c>
      <c r="N118" s="3">
        <f>628+(90-73.2)+(-0.64056+(-0.0918--0.074664))+0-0-0</f>
        <v>644.14230399999997</v>
      </c>
      <c r="O118" s="3">
        <f>625+(95-58.3)+(-0.6375+(-0.0969--0.059466))+0-0-0</f>
        <v>661.02506600000004</v>
      </c>
      <c r="P118" s="3">
        <f>623+(116.9-45.9)+(-0.31773+(-0.059619--0.023409))+0-0-0</f>
        <v>693.64606000000003</v>
      </c>
      <c r="Q118" s="3">
        <f>632+(143.4-42)+(-0.64464+(-0.146268--0.04284))+0-0-0</f>
        <v>732.65193199999999</v>
      </c>
      <c r="R118" s="3">
        <f>631+(163.3-38.5)+(-0.32181+(-0.083283--0.019635))+22-0-0</f>
        <v>777.41454199999998</v>
      </c>
      <c r="S118" s="3">
        <f>633+(181.7-33)+(-0.32283+(-0.092667--0.01683))+22-0-0</f>
        <v>803.301333</v>
      </c>
      <c r="T118" s="3">
        <f>632+(172.6-33)+(0.64464+(0.176052-0.03366))+22-0-0</f>
        <v>794.38703199999998</v>
      </c>
      <c r="U118" s="3">
        <f>636+(153.9-33)+(-0.64872+(-0.156978--0.03366))+14.7-0-0</f>
        <v>770.82796200000007</v>
      </c>
      <c r="V118" s="3">
        <f>640+(153.3-38.3)+(0.6528+(0.156366-0.039066))+0-0-0</f>
        <v>755.77009999999996</v>
      </c>
      <c r="W118" s="3">
        <f>632+(138.2-46.5)+(-0.64464+(-0.140964--0.04743))+0-0-0</f>
        <v>722.96182600000009</v>
      </c>
      <c r="X118" s="3">
        <f>632+(79-61.8)+(-2.25624+(-0.28203--0.220626))+0-0-0</f>
        <v>646.88235600000007</v>
      </c>
      <c r="Y118" s="3">
        <f>663+(110.9-40.9)+(0.67626+(0.113118-0.041718))+0-0-0</f>
        <v>733.74766</v>
      </c>
      <c r="Z118" s="3">
        <f>662+(241.7-31)+(-1.01286+(-0.369801--0.04743))+0-0-0</f>
        <v>871.36476900000002</v>
      </c>
      <c r="AA118" s="3">
        <f>666+(232.8-32)+(-0.67932+(-0.237456--0.03264))+0-0-0</f>
        <v>865.91586399999994</v>
      </c>
      <c r="AB118" s="3">
        <f>690+(262.8-32)+(0+(0-0))+0-0-0</f>
        <v>920.8</v>
      </c>
      <c r="AC118" s="3">
        <f>676+(227.5-33)+(-0.68952+(-0.23205--0.03366))+0-0-0</f>
        <v>869.61208999999997</v>
      </c>
      <c r="AD118">
        <f t="shared" si="1"/>
        <v>18182.771391999995</v>
      </c>
      <c r="AE118" s="3">
        <f>665+(263.9-33)+(0+(0-0))+0-0-0</f>
        <v>895.9</v>
      </c>
    </row>
    <row r="119" spans="1:31" s="2" customFormat="1" x14ac:dyDescent="0.25">
      <c r="A119">
        <v>89</v>
      </c>
      <c r="B119">
        <v>4</v>
      </c>
      <c r="C119">
        <v>26</v>
      </c>
      <c r="D119">
        <v>1</v>
      </c>
      <c r="E119">
        <v>1</v>
      </c>
      <c r="F119" s="3">
        <f>662+(216.4-33)+(-1.01286+(-0.331092--0.05049))+0-0-0</f>
        <v>844.106538</v>
      </c>
      <c r="G119" s="3">
        <f>662+(163.3-33)+(-1.01286+(-0.249849--0.05049))+0-0-0</f>
        <v>791.08778099999995</v>
      </c>
      <c r="H119" s="3">
        <f>662+(182.8-32)+(-0.33762+(-0.093228--0.01632))+0-0-0</f>
        <v>812.38547199999994</v>
      </c>
      <c r="I119" s="3">
        <f>663+(132.2-34.3)+(-2.02878+(-0.404532--0.104958))+0-0-0</f>
        <v>758.57164599999999</v>
      </c>
      <c r="J119" s="3">
        <f>658+(120.2-39.2)+(-0.67116+(-0.122604--0.039984))+0-0-0</f>
        <v>738.24621999999999</v>
      </c>
      <c r="K119" s="3">
        <f>658+(97.4-46.4)+(-1.34232+(-0.198696--0.094656))+0-0-0</f>
        <v>707.55363999999997</v>
      </c>
      <c r="L119" s="3">
        <f>662+(90-73.6)+(-1.6881+(-0.2295--0.18768))+0-0-0</f>
        <v>676.67007999999998</v>
      </c>
      <c r="M119" s="3">
        <f>660+(101-75)+(0.3366+(0.05151-0.03825))+0-0-0</f>
        <v>686.34986000000004</v>
      </c>
      <c r="N119" s="3">
        <f>658+(94-60.3)+(0+(0-0))+0-0-0</f>
        <v>691.7</v>
      </c>
      <c r="O119" s="3">
        <f>655+(106.7-50.7)+(0.33405+(0.054417-0.025857))+0-0-0</f>
        <v>711.36261000000002</v>
      </c>
      <c r="P119" s="3">
        <f>653+(184.1-42.7)+(0.33303+(0.093891-0.021777))+0-0-0</f>
        <v>794.80514399999993</v>
      </c>
      <c r="Q119" s="3">
        <f>667+(160.2-34.6)+(0+(0-0))+0-0-0</f>
        <v>792.6</v>
      </c>
      <c r="R119" s="3">
        <f>672+(209.4-34)+(0+(0-0))+0-0-0</f>
        <v>847.4</v>
      </c>
      <c r="S119" s="3">
        <f>673+(234.3-34)+(0+(0-0))+0-0-0</f>
        <v>873.3</v>
      </c>
      <c r="T119" s="3">
        <f>673+(234.1-33)+(0.34323+(0.119391-0.01683))+0-0-0</f>
        <v>874.54579100000001</v>
      </c>
      <c r="U119" s="3">
        <f>675+(218.2-33)+(0.6885+(0.222564-0.03366))+0-0-0</f>
        <v>861.077404</v>
      </c>
      <c r="V119" s="3">
        <f>676+(169.1-32.2)+(-0.34476+(-0.086241--0.016422))+0-0-0</f>
        <v>812.48542099999997</v>
      </c>
      <c r="W119" s="3">
        <f>676+(138.9-45.6)+(0+(0-0))+0-0-0</f>
        <v>769.3</v>
      </c>
      <c r="X119" s="3">
        <f>696+(110-66.2)+(-1.06488+(-0.1683--0.101286))+0-0-0</f>
        <v>738.66810599999997</v>
      </c>
      <c r="Y119" s="3">
        <f>710+(124.1-46.2)+(0+(0-0))+0-0-0</f>
        <v>787.9</v>
      </c>
      <c r="Z119" s="3">
        <f>720+(90.8-34)+(0+(0-0))+37-0-0</f>
        <v>813.8</v>
      </c>
      <c r="AA119" s="3">
        <f>723+(228.6-34)+(-1.10619+(-0.349758--0.05202))+13-0-0</f>
        <v>929.19607200000007</v>
      </c>
      <c r="AB119" s="3">
        <f>718+(230.9-33)+(-1.46472+(-0.471036--0.06732))+0-0-0</f>
        <v>914.031564</v>
      </c>
      <c r="AC119" s="3">
        <f>700+(223.9-33)+(-1.428+(-0.456756--0.06732))+0-0-0</f>
        <v>889.08256399999993</v>
      </c>
      <c r="AD119">
        <f t="shared" si="1"/>
        <v>19116.225912999998</v>
      </c>
      <c r="AE119" s="3">
        <f>727+(215.3-34)+(0+(0-0))+0-0-0</f>
        <v>908.3</v>
      </c>
    </row>
    <row r="120" spans="1:31" s="2" customFormat="1" x14ac:dyDescent="0.25">
      <c r="A120">
        <v>89</v>
      </c>
      <c r="B120">
        <v>4</v>
      </c>
      <c r="C120">
        <v>27</v>
      </c>
      <c r="D120">
        <v>2</v>
      </c>
      <c r="E120">
        <v>1</v>
      </c>
      <c r="F120" s="3">
        <f>673+(219.1-32)+(-1.37292+(-0.446964--0.06528))+0-0-0</f>
        <v>858.34539600000005</v>
      </c>
      <c r="G120" s="3">
        <f>672+(192-32)+(-0.34272+(-0.09792--0.01632))+0-0-0</f>
        <v>831.57568000000003</v>
      </c>
      <c r="H120" s="3">
        <f>671+(174.5-31)+(0+(0-0))+0-0-0</f>
        <v>814.5</v>
      </c>
      <c r="I120" s="3">
        <f>672+(163.2-31)+(-1.02816+(-0.249696--0.04743))+0-0-0</f>
        <v>802.96957400000008</v>
      </c>
      <c r="J120" s="3">
        <f>669+(151.3-30)+(-0.68238+(-0.154326--0.0306))+0-0-0</f>
        <v>789.49389399999995</v>
      </c>
      <c r="K120" s="3">
        <f>670+(127.3-39.8)+(-1.7085+(-0.324615--0.10149))+0-0-0</f>
        <v>755.56837499999995</v>
      </c>
      <c r="L120" s="3">
        <f>655+(93.7-63.1)+(-1.3362+(-0.191148--0.128724))+0-0-0</f>
        <v>684.20137599999998</v>
      </c>
      <c r="M120" s="3">
        <f>641+(118.6-56.6)+(-0.32691+(-0.060486--0.028866))+0-0-0</f>
        <v>702.64147000000003</v>
      </c>
      <c r="N120" s="3">
        <f>637+(121-51.5)+(-0.64974+(-0.12342--0.05253))+0-0-0</f>
        <v>705.77936999999997</v>
      </c>
      <c r="O120" s="3">
        <f>641+(126.7-43.5)+(0.32691+(0.064617-0.022185))+0-0-0</f>
        <v>724.56934200000001</v>
      </c>
      <c r="P120" s="3">
        <f>655+(135.9-41)+(0.33405+(0.069309-0.02091))+0-0-0</f>
        <v>750.28244899999993</v>
      </c>
      <c r="Q120" s="3">
        <f>670+(160-33)+(0.6834+(0.1632-0.03366))+0-0-0</f>
        <v>797.81294000000003</v>
      </c>
      <c r="R120" s="3">
        <f>655+(182.3-33)+(0.33405+(0.092973-0.01683))+0-0-0</f>
        <v>804.710193</v>
      </c>
      <c r="S120" s="3">
        <f>655+(222.3-33)+(0.33405+(0.113373-0.01683))+0-0-0</f>
        <v>844.730593</v>
      </c>
      <c r="T120" s="3">
        <f>654+(246.3-33)+(0.66708+(0.251226-0.03366))+0-0-0</f>
        <v>868.18464599999993</v>
      </c>
      <c r="U120" s="3">
        <f>656+(214.4-32)+(0.66912+(0.218688-0.03264))+0-0-0</f>
        <v>839.25516800000003</v>
      </c>
      <c r="V120" s="3">
        <f>667+(208.5-32)+(0.34017+(0.106335-0.01632))+0-0-0</f>
        <v>843.93018500000005</v>
      </c>
      <c r="W120" s="3">
        <f>694+(145.7-40)+(0+(0-0))+0-0-0</f>
        <v>799.7</v>
      </c>
      <c r="X120" s="3">
        <f>697+(103-58.8)+(-1.06641+(-0.15759--0.089964))+0-0-0</f>
        <v>740.06596400000001</v>
      </c>
      <c r="Y120" s="3">
        <f>709+(110.6-41.5)+(-0.36159+(-0.056406--0.021165))+0-0-0</f>
        <v>777.703169</v>
      </c>
      <c r="Z120" s="3">
        <f>720+(204.9-33)+(0.3672+(0.104499-0.01683))+0-0-0</f>
        <v>892.35486900000001</v>
      </c>
      <c r="AA120" s="3">
        <f>717+(238-33)+(0+(0-0))+0-0-0</f>
        <v>922</v>
      </c>
      <c r="AB120" s="3">
        <f>712+(218.6-32)+(-1.45248+(-0.445944--0.06528))+0-0-0</f>
        <v>896.76685600000008</v>
      </c>
      <c r="AC120" s="3">
        <f>682+(232.8-32)+(-0.69564+(-0.237456--0.03264))+0-0-0</f>
        <v>881.89954399999999</v>
      </c>
      <c r="AD120">
        <f t="shared" si="1"/>
        <v>19329.041052999997</v>
      </c>
      <c r="AE120" s="3">
        <f>722+(233.6-33)+(0+(0-0))+0-0-0</f>
        <v>922.6</v>
      </c>
    </row>
    <row r="121" spans="1:31" s="2" customFormat="1" x14ac:dyDescent="0.25">
      <c r="A121">
        <v>89</v>
      </c>
      <c r="B121">
        <v>4</v>
      </c>
      <c r="C121">
        <v>28</v>
      </c>
      <c r="D121">
        <v>3</v>
      </c>
      <c r="E121">
        <v>1</v>
      </c>
      <c r="F121" s="3">
        <f>661+(229-32)+(-1.01133+(-0.35037--0.04896))+0-0-0</f>
        <v>856.68726000000004</v>
      </c>
      <c r="G121" s="3">
        <f>651+(207.7-32)+(-0.66402+(-0.211854--0.03264))+0-0-0</f>
        <v>825.85676599999999</v>
      </c>
      <c r="H121" s="3">
        <f>648+(191-32)+(-1.32192+(-0.38964--0.06528))+0-0-0</f>
        <v>805.35371999999995</v>
      </c>
      <c r="I121" s="3">
        <f>648+(167-31)+(-0.99144+(-0.25551--0.04743))+0-0-0</f>
        <v>782.80047999999999</v>
      </c>
      <c r="J121" s="3">
        <f>644+(150.2-31)+(-0.65688+(-0.153204--0.03162))+0-0-0</f>
        <v>762.42153600000006</v>
      </c>
      <c r="K121" s="3">
        <f>644+(128.5-38.5)+(-1.31376+(-0.26214--0.07854))+0-0-0</f>
        <v>732.50264000000004</v>
      </c>
      <c r="L121" s="3">
        <f>639+(107.2-24.2)+(-1.30356+(-0.218688--0.049368))+0-0-0</f>
        <v>720.52711999999997</v>
      </c>
      <c r="M121" s="3">
        <f>638+(105.4-24.7)+(-0.97614+(-0.161262--0.037791))+0-0-0</f>
        <v>717.60038900000006</v>
      </c>
      <c r="N121" s="3">
        <f>636+(105.6-20.2)+(0.32436+(0.053856-0.010302))+0-0-0</f>
        <v>721.76791400000002</v>
      </c>
      <c r="O121" s="3">
        <f>633+(116.1-15.8)+(0.32283+(0.059211-0.008058))+0-0-0</f>
        <v>733.67398299999991</v>
      </c>
      <c r="P121" s="3">
        <f>645+(106-14.6)+(0+(0-0))+52.5-0-0</f>
        <v>788.9</v>
      </c>
      <c r="Q121" s="3">
        <f>658+(145-0)+(0.33558+(0.07395-0))+22.5-0-0</f>
        <v>825.90953000000002</v>
      </c>
      <c r="R121" s="3">
        <f>661+(244-33)+(-0.33711+(-0.12444--0.01683))+0-0-0</f>
        <v>871.55528000000004</v>
      </c>
      <c r="S121" s="3">
        <f>661+(232.9-33)+(-0.33711+(-0.118779--0.01683))+0-0-0</f>
        <v>860.46094099999993</v>
      </c>
      <c r="T121" s="3">
        <f>672+(223.4-33)+(0.68544+(0.227868-0.03366))+0-0-0</f>
        <v>863.27964799999995</v>
      </c>
      <c r="U121" s="3">
        <f>689+(192.2-33)+(0.35139+(0.098022-0.01683))+0-0-0</f>
        <v>848.63258200000007</v>
      </c>
      <c r="V121" s="3">
        <f>696+(175.7-32)+(-0.70992+(-0.179214--0.03264))+0-0-0</f>
        <v>838.84350600000005</v>
      </c>
      <c r="W121" s="3">
        <f>695+(140.6-40.4)+(-1.4178+(-0.286824--0.082416))+0-0-0</f>
        <v>793.57779200000004</v>
      </c>
      <c r="X121" s="3">
        <f>696+(100-59.1)+(-1.41984+(-0.204--0.120564))+0-0-0</f>
        <v>735.39672399999995</v>
      </c>
      <c r="Y121" s="3">
        <f>711+(132.2-41.2)+(0+(0-0))+0-0-0</f>
        <v>802</v>
      </c>
      <c r="Z121" s="3">
        <f>724+(211.4-33)+(0.36924+(0.107814-0.01683))+0-0-0</f>
        <v>902.86022400000002</v>
      </c>
      <c r="AA121" s="3">
        <f>722+(223.5-34)+(-0.73644+(-0.22797--0.03468))+0-0-0</f>
        <v>910.57027000000005</v>
      </c>
      <c r="AB121" s="3">
        <f>712+(235.9-33)+(-0.36312+(-0.120309--0.01683))+0-0-0</f>
        <v>914.433401</v>
      </c>
      <c r="AC121" s="3">
        <f>682+(247-33)+(0+(0-0))+0-0-0</f>
        <v>896</v>
      </c>
      <c r="AD121">
        <f t="shared" si="1"/>
        <v>19511.611705999996</v>
      </c>
      <c r="AE121" s="3">
        <f>724+(220.6-34)+(0+(0-0))+0-0-0</f>
        <v>910.6</v>
      </c>
    </row>
    <row r="122" spans="1:31" s="2" customFormat="1" x14ac:dyDescent="0.25">
      <c r="A122">
        <v>89</v>
      </c>
      <c r="B122">
        <v>4</v>
      </c>
      <c r="C122">
        <v>29</v>
      </c>
      <c r="D122">
        <v>4</v>
      </c>
      <c r="E122">
        <v>1</v>
      </c>
      <c r="F122" s="3">
        <f>668+(224.9-32)+(-1.36272+(-0.458796--0.06528))+0-0-0</f>
        <v>859.14376400000003</v>
      </c>
      <c r="G122" s="3">
        <f>668+(201.6-31)+(-2.04408+(-0.616896--0.09486))+0-0-0</f>
        <v>836.03388400000006</v>
      </c>
      <c r="H122" s="3">
        <f>668+(182-31)+(-1.02204+(-0.27846--0.04743))+0-0-0</f>
        <v>817.74693000000002</v>
      </c>
      <c r="I122" s="3">
        <f>668+(161-30)+(-1.02204+(-0.24633--0.0459))+0-0-0</f>
        <v>797.77752999999996</v>
      </c>
      <c r="J122" s="3">
        <f>665+(144.5-30)+(0.6783+(0.14739-0.0306))+0-0-0</f>
        <v>780.29508999999996</v>
      </c>
      <c r="K122" s="3">
        <f>665+(122.6-39.6)+(-0.6783+(-0.125052--0.040392))+0-0-0</f>
        <v>747.23703999999998</v>
      </c>
      <c r="L122" s="3">
        <f>655+(99.5-56.6)+(-2.0043+(-0.30447--0.173196))+0-0-0</f>
        <v>695.76442599999996</v>
      </c>
      <c r="M122" s="3">
        <f>652+(103.3-58.2)+(0.33252+(0.052683-0.029682))+0-0-0</f>
        <v>697.45552099999998</v>
      </c>
      <c r="N122" s="3">
        <f>650+(105.5-55.1)+(0.3315+(0.053805-0.028101))+0-0-0</f>
        <v>700.757204</v>
      </c>
      <c r="O122" s="3">
        <f>647+(111-45.6)+(0.65994+(0.11322-0.046512))+0-0-0</f>
        <v>713.12664799999993</v>
      </c>
      <c r="P122" s="3">
        <f>638+(128.4-31.4)+(0.65076+(0.130968-0.032028))+0-0-0</f>
        <v>735.74969999999996</v>
      </c>
      <c r="Q122" s="3">
        <f>646+(139.5-11.5)+(0.32946+(0.071145-0.005865))+0-0-0</f>
        <v>774.39473999999996</v>
      </c>
      <c r="R122" s="3">
        <f>676+(164.5-5)+(1.03428+(0.251685-0.00765))+0-0-0</f>
        <v>836.77831500000002</v>
      </c>
      <c r="S122" s="3">
        <f>679+(203.9-5)+(0.34629+(0.103989-0.00255))+0-0-0</f>
        <v>878.34772899999996</v>
      </c>
      <c r="T122" s="3">
        <f>684+(192.1-4)+(1.39536+(0.391884-0.00816))+0-0-0</f>
        <v>873.87908400000003</v>
      </c>
      <c r="U122" s="3">
        <f>687+(182.4-5)+(0.35037+(0.093024-0.00255))+0-0-0</f>
        <v>864.84084399999995</v>
      </c>
      <c r="V122" s="3">
        <f>689+(153.9-10.3)+(-0.35139+(-0.078489--0.005253))+0-0-0</f>
        <v>832.17537400000003</v>
      </c>
      <c r="W122" s="3">
        <f>699+(109.7-28)+(-1.06947+(-0.167841--0.04284))+0-0-0</f>
        <v>779.50552900000002</v>
      </c>
      <c r="X122" s="3">
        <f>704+(100-71.6)+(-1.07712+(-0.153--0.109548))+0-0-0</f>
        <v>731.27942799999994</v>
      </c>
      <c r="Y122" s="3">
        <f>732+(120-57)+(-1.11996+(-0.1836--0.08721))+0-0-0</f>
        <v>793.78364999999997</v>
      </c>
      <c r="Z122" s="3">
        <f>738+(188.8-32)+(0+(0-0))+0-0-0</f>
        <v>894.8</v>
      </c>
      <c r="AA122" s="3">
        <f>740+(202.2-33)+(-0.3774+(-0.103122--0.01683))+0-0-0</f>
        <v>908.73630800000001</v>
      </c>
      <c r="AB122" s="3">
        <f>728+(211.4-33)+(-0.74256+(-0.215628--0.03366))+0-0-0</f>
        <v>905.47547199999997</v>
      </c>
      <c r="AC122" s="3">
        <f>692+(230.3-32)+(0.70584+(0.234906-0.03264))+0-0-0</f>
        <v>891.20810599999993</v>
      </c>
      <c r="AD122">
        <f t="shared" si="1"/>
        <v>19346.292315999995</v>
      </c>
      <c r="AE122" s="3">
        <f>740+(205.1-33)+(0+(0-0))+0-0-0</f>
        <v>912.1</v>
      </c>
    </row>
    <row r="123" spans="1:31" s="2" customFormat="1" x14ac:dyDescent="0.25">
      <c r="A123">
        <v>89</v>
      </c>
      <c r="B123">
        <v>4</v>
      </c>
      <c r="C123">
        <v>30</v>
      </c>
      <c r="D123">
        <v>5</v>
      </c>
      <c r="E123">
        <v>1</v>
      </c>
      <c r="F123" s="3">
        <f>687+(203.7-32)+(0+(0-0))+0-0-0</f>
        <v>858.7</v>
      </c>
      <c r="G123" s="3">
        <f>687+(175.5-32)+(-0.35037+(-0.089505--0.01632))+0-0-0</f>
        <v>830.07644500000004</v>
      </c>
      <c r="H123" s="3">
        <f>686+(157.8-32)+(0.34986+(0.080478-0.01632))+0-0-0</f>
        <v>812.21401800000001</v>
      </c>
      <c r="I123" s="3">
        <f>687+(144.7-33)+(-0.35037+(-0.073797--0.01683))+0-0-0</f>
        <v>798.29266300000006</v>
      </c>
      <c r="J123" s="3">
        <f>680+(144.6-35.2)+(-0.6936+(-0.147492--0.035904))+0-0-0</f>
        <v>788.59481199999993</v>
      </c>
      <c r="K123" s="3">
        <f>667+(118.8-41.4)+(-0.34017+(-0.060588--0.021114))+0-0-0</f>
        <v>744.02035599999999</v>
      </c>
      <c r="L123" s="3">
        <f>549+(168.3-32)+(-0.27999+(-0.085833--0.01632))+0-0-0</f>
        <v>684.95049699999993</v>
      </c>
      <c r="M123" s="3">
        <f>517+(197.4-32)+(-0.26367+(-0.100674--0.01632))+0-0-0</f>
        <v>682.05197599999997</v>
      </c>
      <c r="N123" s="3">
        <f>553+(164.1-32)+(-0.28203+(-0.083691--0.01632))+0-0-0</f>
        <v>684.75059900000008</v>
      </c>
      <c r="O123" s="3">
        <f>669+(90-56.5)+(0+(0-0))+3.3-0-0</f>
        <v>705.8</v>
      </c>
      <c r="P123" s="3">
        <f>669+(45.3-28.1)+(-0.34119+(-0.023103--0.014331))+49-0-0</f>
        <v>734.85003800000004</v>
      </c>
      <c r="Q123" s="3">
        <f>676+(122.8-32)+(0.34476+(0.062628-0.01632))+0-0-0</f>
        <v>767.19106799999997</v>
      </c>
      <c r="R123" s="3">
        <f>676+(172.2-32)+(-0.34476+(-0.087822--0.01632))+0-0-0</f>
        <v>815.78373800000008</v>
      </c>
      <c r="S123" s="3">
        <f>693+(196.8-32)+(-0.35343+(-0.100368--0.01632))+0-0-0</f>
        <v>857.3625219999999</v>
      </c>
      <c r="T123" s="3">
        <f>688+(220.9-32)+(1.05264+(0.337977-0.04896))+0-0-0</f>
        <v>878.24165700000003</v>
      </c>
      <c r="U123" s="3">
        <f>691+(189.5-32)+(0+(0-0))+0-0-0</f>
        <v>848.5</v>
      </c>
      <c r="V123" s="3">
        <f>693+(152.7-32)+(-0.35343+(-0.077877--0.01632))+0-0-0</f>
        <v>813.28501300000005</v>
      </c>
      <c r="W123" s="3">
        <f>698+(100.8-33)+(-1.06794+(-0.154224--0.05049))+0-0-0</f>
        <v>764.6283259999999</v>
      </c>
      <c r="X123" s="3">
        <f>713+(47-47.1)+(-1.09089+(-0.07191--0.072063))+0-0-0</f>
        <v>711.80926299999999</v>
      </c>
      <c r="Y123" s="3">
        <f>728+(62.3-34)+(0.37128+(0.031773-0.01734))+0-0-0</f>
        <v>756.68571299999996</v>
      </c>
      <c r="Z123" s="3">
        <f>748+(164.5-34)+(0.76296+(0.16779-0.03468))+0-0-0</f>
        <v>879.39607000000001</v>
      </c>
      <c r="AA123" s="3">
        <f>756+(193-33)+(-0.38556+(-0.09843--0.01683))+0-0-0</f>
        <v>915.53283999999996</v>
      </c>
      <c r="AB123" s="3">
        <f>739+(192.4-33)+(-0.37689+(-0.098124--0.01683))+0-0-0</f>
        <v>897.94181600000002</v>
      </c>
      <c r="AC123" s="3">
        <f>714+(210-32)+(-0.72828+(-0.2142--0.03264))+0-0-0</f>
        <v>891.09015999999997</v>
      </c>
      <c r="AD123">
        <f t="shared" si="1"/>
        <v>19121.749589999999</v>
      </c>
      <c r="AE123" s="3">
        <f>756+(194.7-34)+(0+(0-0))+0-0-0</f>
        <v>916.7</v>
      </c>
    </row>
    <row r="124" spans="1:31" s="2" customFormat="1" x14ac:dyDescent="0.25">
      <c r="A124">
        <v>89</v>
      </c>
      <c r="B124">
        <v>4</v>
      </c>
      <c r="C124">
        <v>31</v>
      </c>
      <c r="D124">
        <v>6</v>
      </c>
      <c r="E124">
        <v>1</v>
      </c>
      <c r="F124" s="3">
        <f>690+(150.4-32)+(-0.7038+(-0.153408--0.03264))+38.3-0-0</f>
        <v>845.87543199999993</v>
      </c>
      <c r="G124" s="3">
        <f>690+(152.8-31)+(0.7038+(0.155856-0.03162))+0-0-0</f>
        <v>812.62803599999995</v>
      </c>
      <c r="H124" s="3">
        <f>690+(135.8-34.6)+(-1.4076+(-0.277032--0.070584))+0-0-0</f>
        <v>789.58595200000002</v>
      </c>
      <c r="I124" s="3">
        <f>674+(132.2-35.2)+(-1.7187+(-0.33711--0.08976))+0-0-0</f>
        <v>769.03395</v>
      </c>
      <c r="J124" s="3">
        <f>670+(115-38.4)+(0.3417+(0.05865-0.019584))+0-0-0</f>
        <v>746.98076600000002</v>
      </c>
      <c r="K124" s="3">
        <f>671+(100.1-58)+(-1.71105+(-0.255255--0.1479))+0-0-0</f>
        <v>711.28159500000004</v>
      </c>
      <c r="L124" s="3">
        <f>560+(118.4-32.2)+(-0.5712+(-0.120768--0.032844))+0-0-0</f>
        <v>645.54087600000003</v>
      </c>
      <c r="M124" s="3">
        <f>652+(80-86.8)+(-0.33252+(-0.0408--0.044268))+0-0-0</f>
        <v>644.870948</v>
      </c>
      <c r="N124" s="3">
        <f>661+(92-88.2)+(0.33711+(0.04692-0.044982))+0-0-0</f>
        <v>665.139048</v>
      </c>
      <c r="O124" s="3">
        <f>674+(94-105.7)+(0+(0-0))+0-0-0</f>
        <v>662.3</v>
      </c>
      <c r="P124" s="3">
        <f>675+(95-80.7)+(0+(0-0))+0-0-0</f>
        <v>689.3</v>
      </c>
      <c r="Q124" s="3">
        <f>697+(106.7-66.6)+(0+(0-0))+0-0-0</f>
        <v>737.1</v>
      </c>
      <c r="R124" s="3">
        <f>697+(135.6-43.9)+(0.35547+(0.069156-0.022389))+0-0-0</f>
        <v>789.10223700000006</v>
      </c>
      <c r="S124" s="3">
        <f>696+(159-32)+(0.35496+(0.08109-0.01632))+0-0-0</f>
        <v>823.41972999999996</v>
      </c>
      <c r="T124" s="3">
        <f>696+(171.9-33)+(0.70992+(0.175338-0.03366))+0-0-0</f>
        <v>835.75159799999994</v>
      </c>
      <c r="U124" s="3">
        <f>698+(158.7-34.1)+(0+(0-0))+0-0-0</f>
        <v>822.6</v>
      </c>
      <c r="V124" s="3">
        <f>703+(132.1-52.8)+(0+(0-0))+0-0-0</f>
        <v>782.3</v>
      </c>
      <c r="W124" s="3">
        <f>710+(97.9-75.5)+(-0.7242+(-0.099858--0.07701))+0-0-0</f>
        <v>731.65295200000003</v>
      </c>
      <c r="X124" s="3">
        <f>713+(82-125.5)+(-2.18178+(-0.25092--0.38403))+0-0-0</f>
        <v>667.45132999999998</v>
      </c>
      <c r="Y124" s="3">
        <f>726+(108-111.1)+(-0.37026+(-0.05508--0.056661))+0-0-0</f>
        <v>722.53132099999993</v>
      </c>
      <c r="Z124" s="3">
        <f>737+(135.9-40.3)+(-1.50348+(-0.277236--0.082212))+0-0-0</f>
        <v>830.90149600000007</v>
      </c>
      <c r="AA124" s="3">
        <f>735+(149.8-34.1)+(-1.4994+(-0.305592--0.069564))+0-0-0</f>
        <v>848.96457200000009</v>
      </c>
      <c r="AB124" s="3">
        <f>732+(150.6-34)+(0+(0-0))+0-0-0</f>
        <v>848.6</v>
      </c>
      <c r="AC124" s="3">
        <f>706+(167.3-31)+(-0.72012+(-0.170646--0.03162))+0-0-0</f>
        <v>841.44085399999994</v>
      </c>
      <c r="AD124">
        <f t="shared" si="1"/>
        <v>18264.352693000001</v>
      </c>
      <c r="AE124" s="3">
        <f>731+(147.2-34.6)+(0+(0-0))+0-0-0</f>
        <v>843.6</v>
      </c>
    </row>
    <row r="125" spans="1:31" s="2" customFormat="1" x14ac:dyDescent="0.25">
      <c r="A125">
        <v>89</v>
      </c>
      <c r="B125">
        <v>5</v>
      </c>
      <c r="C125">
        <v>1</v>
      </c>
      <c r="D125">
        <v>7</v>
      </c>
      <c r="E125">
        <v>1</v>
      </c>
      <c r="F125" s="3">
        <f>690+(164.3-31)+(-0.3519+(-0.083793--0.01581))+0-0-0</f>
        <v>822.88011699999993</v>
      </c>
      <c r="G125" s="3">
        <f>690+(137.9-32.2)+(-2.1114+(-0.421974--0.098532))+0-0-0</f>
        <v>793.26515800000004</v>
      </c>
      <c r="H125" s="3">
        <f>690+(131-37.7)+(-1.7595+(-0.33405--0.096135))+0-0-0</f>
        <v>781.30258499999991</v>
      </c>
      <c r="I125" s="3">
        <f>690+(111.4-45.4)+(0.3519+(0.056814-0.023154))+0-0-0</f>
        <v>756.38556000000005</v>
      </c>
      <c r="J125" s="3">
        <f>689+(118.5-54.8)+(-0.35139+(-0.060435--0.027948))+0-0-0</f>
        <v>752.31612300000006</v>
      </c>
      <c r="K125" s="3">
        <f>688+(103.6-72.9)+(-0.70176+(-0.105672--0.074358))+0-0-0</f>
        <v>717.96692600000006</v>
      </c>
      <c r="L125" s="3">
        <f>650+(85-92.3)+(-0.3315+(-0.04335--0.047073))+0-0-0</f>
        <v>642.37222300000008</v>
      </c>
      <c r="M125" s="3">
        <f>538+(95.1-38.9)+(-0.27438+(-0.048501--0.019839))+0-0-0</f>
        <v>593.89695800000004</v>
      </c>
      <c r="N125" s="3">
        <f>535+(98.6-35)+(0+(0-0))+0-0-0</f>
        <v>598.6</v>
      </c>
      <c r="O125" s="3">
        <f>533+(98.3-34)+(0.27183+(0.050133-0.01734))+0-0-0</f>
        <v>597.60462299999995</v>
      </c>
      <c r="P125" s="3">
        <f>540+(146-34)+(-0.5508+(-0.14892--0.03468))+0-0-0</f>
        <v>651.33496000000002</v>
      </c>
      <c r="Q125" s="3">
        <f>560+(151.3-34)+(0.2856+(0.077163-0.01734))+0-0-0</f>
        <v>677.64542299999994</v>
      </c>
      <c r="R125" s="3">
        <f>663+(119-44)+(-0.67626+(-0.12138--0.04488))+0-0-0</f>
        <v>737.24724000000003</v>
      </c>
      <c r="S125" s="3">
        <f>696+(118.6-43.9)+(-0.35496+(-0.060486--0.022389))+0-0-0</f>
        <v>770.30694300000005</v>
      </c>
      <c r="T125" s="3">
        <f>698+(33.3-40)+(-0.71196+(-0.033966--0.0408))+82.5-0-0</f>
        <v>773.094874</v>
      </c>
      <c r="U125" s="3">
        <f>712+(96-31)+(0+(0-0))+0-0-0</f>
        <v>777</v>
      </c>
      <c r="V125" s="3">
        <f>718+(65.6-39.2)+(0+(0-0))+0-0-0</f>
        <v>744.4</v>
      </c>
      <c r="W125" s="3">
        <f>728+(36.5-65.2)+(-1.48512+(-0.07446--0.133008))+0-0-0</f>
        <v>697.87342799999999</v>
      </c>
      <c r="X125" s="3">
        <f>730+(0-91.6)+(-0.7446+(0--0.093432))+0-0-0</f>
        <v>637.74883199999999</v>
      </c>
      <c r="Y125" s="3">
        <f>733+(40-118.8)+(0+(0-0))+40.8-0-0</f>
        <v>695</v>
      </c>
      <c r="Z125" s="3">
        <f>741+(118.8-45.2)+(-0.75582+(-0.121176--0.046104))+0-0-0</f>
        <v>813.76910800000007</v>
      </c>
      <c r="AA125" s="3">
        <f>740+(135.8-32.2)+(0+(0-0))+0-0-0</f>
        <v>843.6</v>
      </c>
      <c r="AB125" s="3">
        <f>733+(131.8-33)+(-0.74766+(-0.134436--0.03366))+0-0-0</f>
        <v>830.95156399999996</v>
      </c>
      <c r="AC125" s="3">
        <f>721+(139.7-33)+(-0.36771+(-0.071247--0.01683))+0-0-0</f>
        <v>827.277873</v>
      </c>
      <c r="AD125">
        <f t="shared" si="1"/>
        <v>17533.840518000001</v>
      </c>
      <c r="AE125" s="3">
        <f>745+(140-30)+(0+(0-0))+0-0-0</f>
        <v>855</v>
      </c>
    </row>
    <row r="126" spans="1:31" s="2" customFormat="1" x14ac:dyDescent="0.25">
      <c r="A126">
        <v>89</v>
      </c>
      <c r="B126">
        <v>5</v>
      </c>
      <c r="C126">
        <v>2</v>
      </c>
      <c r="D126">
        <v>1</v>
      </c>
      <c r="E126">
        <v>1</v>
      </c>
      <c r="F126" s="3">
        <f>691+(142.9-31)+(-0.35241+(-0.072879--0.01581))+0-0-0</f>
        <v>802.49052099999994</v>
      </c>
      <c r="G126" s="3">
        <f>691+(120-37.6)+(0.35241+(0.0612-0.019176))+0-0-0</f>
        <v>773.79443400000002</v>
      </c>
      <c r="H126" s="3">
        <f>691+(114-45.7)+(0.35241+(0.05814-0.023307))+0-0-0</f>
        <v>759.68724299999997</v>
      </c>
      <c r="I126" s="3">
        <f>692+(113.5-49.5)+(-0.70584+(-0.11577--0.05049))+0-0-0</f>
        <v>755.22888</v>
      </c>
      <c r="J126" s="3">
        <f>691+(108-54.5)+(0+(0-0))+0-0-0</f>
        <v>744.5</v>
      </c>
      <c r="K126" s="3">
        <f>692+(97-82)+(-0.70584+(-0.09894--0.08364))+0-0-0</f>
        <v>706.27886000000001</v>
      </c>
      <c r="L126" s="3">
        <f>683+(76-130.8)+(0+(0-0))+0-0-0</f>
        <v>628.20000000000005</v>
      </c>
      <c r="M126" s="3">
        <f>678+(82-131.1)+(0.69156+(0.08364-0.133722))+0-0-0</f>
        <v>629.54147799999998</v>
      </c>
      <c r="N126" s="3">
        <f>664+(84-110.3)+(-0.67728+(-0.08568--0.112506))+0-0-0</f>
        <v>637.04954600000008</v>
      </c>
      <c r="O126" s="3">
        <f>657+(88-101.1)+(0+(0-0))+0-0-0</f>
        <v>643.9</v>
      </c>
      <c r="P126" s="3">
        <f>657+(90-83.7)+(0.33507+(0.0459-0.042687))+0-0-0</f>
        <v>663.638283</v>
      </c>
      <c r="Q126" s="3">
        <f>666+(102.8-61.5)+(0+(0-0))+0-0-0</f>
        <v>707.3</v>
      </c>
      <c r="R126" s="3">
        <f>671+(135.8-40.1)+(0.34221+(0.069258-0.020451))+0-0-0</f>
        <v>767.09101700000008</v>
      </c>
      <c r="S126" s="3">
        <f>672+(173.3-33)+(0.34272+(0.088383-0.01683))+0-0-0</f>
        <v>812.71427299999993</v>
      </c>
      <c r="T126" s="3">
        <f>674+(171.3-32)+(0.34374+(0.087363-0.01632))+0-0-0</f>
        <v>813.71478300000001</v>
      </c>
      <c r="U126" s="3">
        <f>676+(159.3-32)+(0.34476+(0.081243-0.01632))+0-0-0</f>
        <v>803.70968299999993</v>
      </c>
      <c r="V126" s="3">
        <f>684+(129.1-39.5)+(-1.39536+(-0.263364--0.08058))+0-0-0</f>
        <v>772.02185600000007</v>
      </c>
      <c r="W126" s="3">
        <f>693+(89-80.7)+(-0.70686+(-0.09078--0.082314))+0-0-0</f>
        <v>700.58467399999995</v>
      </c>
      <c r="X126" s="3">
        <f>696+(86-134.8)+(-1.41984+(-0.17544--0.274992))+0-0-0</f>
        <v>645.87971200000004</v>
      </c>
      <c r="Y126" s="3">
        <f>704+(94-94.4)+(-0.71808+(-0.09588--0.096288))+0-0-0</f>
        <v>702.88232800000003</v>
      </c>
      <c r="Z126" s="3">
        <f>708+(151.9-34)+(-0.72216+(-0.154938--0.03468))+0-0-0</f>
        <v>825.05758200000002</v>
      </c>
      <c r="AA126" s="3">
        <f>709+(172.3-33)+(-0.36159+(-0.087873--0.01683))+0-0-0</f>
        <v>847.86736699999994</v>
      </c>
      <c r="AB126" s="3">
        <f>709+(184.8-33)+(0+(0-0))+0-0-0</f>
        <v>860.8</v>
      </c>
      <c r="AC126" s="3">
        <f>685+(201.2-32)+(-0.34935+(-0.102612--0.01632))+0-0-0</f>
        <v>853.76435800000002</v>
      </c>
      <c r="AD126">
        <f t="shared" si="1"/>
        <v>17857.696877999999</v>
      </c>
      <c r="AE126" s="3">
        <f>708+(176.5-34)+(0+(0-0))+0-0-0</f>
        <v>850.5</v>
      </c>
    </row>
    <row r="127" spans="1:31" s="2" customFormat="1" x14ac:dyDescent="0.25">
      <c r="A127">
        <v>89</v>
      </c>
      <c r="B127">
        <v>5</v>
      </c>
      <c r="C127">
        <v>3</v>
      </c>
      <c r="D127">
        <v>2</v>
      </c>
      <c r="E127">
        <v>1</v>
      </c>
      <c r="F127" s="3">
        <f>679+(167.1-31)+(-1.03887+(-0.255663--0.04743))+0-0-0</f>
        <v>813.85289699999998</v>
      </c>
      <c r="G127" s="3">
        <f>679+(136.3-30)+(-1.38516+(-0.278052--0.0612))+0-0-0</f>
        <v>783.69798800000001</v>
      </c>
      <c r="H127" s="3">
        <f>679+(117.6-37.6)+(-0.69258+(-0.119952--0.038352))+0-0-0</f>
        <v>758.22582</v>
      </c>
      <c r="I127" s="3">
        <f>678+(102.6-50.1)+(0+(0-0))+0-0-0</f>
        <v>730.5</v>
      </c>
      <c r="J127" s="3">
        <f>678+(93.4-55.8)+(0+(0-0))+0-0-0</f>
        <v>715.6</v>
      </c>
      <c r="K127" s="3">
        <f>678+(98-79)+(-1.03734+(-0.14994--0.12087))+0-0-0</f>
        <v>695.93358999999998</v>
      </c>
      <c r="L127" s="3">
        <f>591+(108.6-32)+(0.30141+(0.055386-0.01632))+0-0-0</f>
        <v>667.94047599999999</v>
      </c>
      <c r="M127" s="3">
        <f>525+(108.3-30)+(0.5355+(0.110466-0.0306))+0-0-0</f>
        <v>603.91536599999995</v>
      </c>
      <c r="N127" s="3">
        <f>525+(105.3-30)+(0.5355+(0.107406-0.0306))+0-0-0</f>
        <v>600.91230599999994</v>
      </c>
      <c r="O127" s="3">
        <f>567+(96.3-33.7)+(0.57834+(0.098226-0.034374))+0-0-0</f>
        <v>630.24219200000005</v>
      </c>
      <c r="P127" s="3">
        <f>660+(100.8-39.4)+(1.0098+(0.154224-0.060282))+0-0-0</f>
        <v>722.50374199999999</v>
      </c>
      <c r="Q127" s="3">
        <f>670+(112.1-55.5)+(0+(0-0))+0-0-0</f>
        <v>726.6</v>
      </c>
      <c r="R127" s="3">
        <f>689+(130.2-38.1)+(-0.70278+(-0.132804--0.038862))+0-0-0</f>
        <v>780.30327799999998</v>
      </c>
      <c r="S127" s="3">
        <f>689+(171.5-32)+(-0.35139+(-0.087465--0.01632))+0-0-0</f>
        <v>828.07746499999996</v>
      </c>
      <c r="T127" s="3">
        <f>691+(180.2-33)+(0.35241+(0.091902-0.01683))+0-0-0</f>
        <v>838.6274820000001</v>
      </c>
      <c r="U127" s="3">
        <f>693+(168-31)+(0.70686+(0.17136-0.03162))+0-0-0</f>
        <v>830.84659999999997</v>
      </c>
      <c r="V127" s="3">
        <f>703+(122-51.4)+(-0.35853+(-0.06222--0.026214))+0-0-0</f>
        <v>773.20546400000001</v>
      </c>
      <c r="W127" s="3">
        <f>719+(105-95.5)+(-1.83345+(-0.26775--0.243525))+0-0-0</f>
        <v>726.64232500000003</v>
      </c>
      <c r="X127" s="3">
        <f>723+(91-145.9)+(-1.84365+(-0.23205--0.372045))+0-0-0</f>
        <v>666.396345</v>
      </c>
      <c r="Y127" s="3">
        <f>733+(92-98)+(-0.74766+(-0.09384--0.09996))+0-0-0</f>
        <v>726.25846000000001</v>
      </c>
      <c r="Z127" s="3">
        <f>744+(144-30)+(-1.13832+(-0.22032--0.0459))+0-0-0</f>
        <v>856.68726000000004</v>
      </c>
      <c r="AA127" s="3">
        <f>744+(159-31)+(-0.75888+(-0.16218--0.03162))+0-0-0</f>
        <v>871.11055999999996</v>
      </c>
      <c r="AB127" s="3">
        <f>724+(181.6-31)+(-0.36924+(-0.092616--0.01581))+0-0-0</f>
        <v>874.153954</v>
      </c>
      <c r="AC127" s="3">
        <f>693+(197.7-32)+(0+(0-0))+0-0-0</f>
        <v>858.7</v>
      </c>
      <c r="AD127">
        <f t="shared" si="1"/>
        <v>18080.933570000001</v>
      </c>
      <c r="AE127" s="3">
        <f>744+(173.1-32)+(0+(0-0))+0-0-0</f>
        <v>885.1</v>
      </c>
    </row>
    <row r="128" spans="1:31" s="2" customFormat="1" x14ac:dyDescent="0.25">
      <c r="A128">
        <v>89</v>
      </c>
      <c r="B128">
        <v>5</v>
      </c>
      <c r="C128">
        <v>4</v>
      </c>
      <c r="D128">
        <v>3</v>
      </c>
      <c r="E128">
        <v>1</v>
      </c>
      <c r="F128" s="3">
        <f>692+(161.3-32)+(0.35292+(0.082263-0.01632))+0-0-0</f>
        <v>821.71886299999994</v>
      </c>
      <c r="G128" s="3">
        <f>693+(131.4-31)+(0.35343+(0.067014-0.01581))+0-0-0</f>
        <v>793.80463399999996</v>
      </c>
      <c r="H128" s="3">
        <f>685+(109.6-33.7)+(-0.34935+(-0.055896--0.017187))+0-0-0</f>
        <v>760.51194099999998</v>
      </c>
      <c r="I128" s="3">
        <f>678+(113.7-36.7)+(-1.03734+(-0.173961--0.056151))+0-0-0</f>
        <v>753.84484999999995</v>
      </c>
      <c r="J128" s="3">
        <f>675+(97.8-48)+(-1.03275+(-0.149634--0.07344))+0-0-0</f>
        <v>723.691056</v>
      </c>
      <c r="K128" s="3">
        <f>674+(79-65.2)+(-0.68748+(-0.08058--0.066504))+0-0-0</f>
        <v>687.09844399999997</v>
      </c>
      <c r="L128" s="3">
        <f>581+(95.2-38.6)+(-0.88893+(-0.145656--0.059058))+0-0-0</f>
        <v>636.62447199999997</v>
      </c>
      <c r="M128" s="3">
        <f>517+(131.9-30)+(0+(0-0))+0-0-0</f>
        <v>618.9</v>
      </c>
      <c r="N128" s="3">
        <f>511+(146.8-30)+(0.26061+(0.074868-0.0153))+0-0-0</f>
        <v>628.12017800000001</v>
      </c>
      <c r="O128" s="3">
        <f>526+(152.5-30)+(0+(0-0))+0-0-0</f>
        <v>648.5</v>
      </c>
      <c r="P128" s="3">
        <f>526+(207-32)+(0+(0-0))+0-0-0</f>
        <v>701</v>
      </c>
      <c r="Q128" s="3">
        <f>633+(134.9-33)+(0+(0-0))+0-0-0</f>
        <v>734.9</v>
      </c>
      <c r="R128" s="3">
        <f>696+(153.9-33)+(0+(0-0))+0-0-0</f>
        <v>816.9</v>
      </c>
      <c r="S128" s="3">
        <f>695+(176.3-33)+(0+(0-0))+0-0-0</f>
        <v>838.3</v>
      </c>
      <c r="T128" s="3">
        <f>698+(177.6-33)+(0.35598+(0.090576-0.01683))+0-0-0</f>
        <v>843.02972599999998</v>
      </c>
      <c r="U128" s="3">
        <f>699+(148.7-31)+(-0.35649+(-0.075837--0.01581))+0-0-0</f>
        <v>816.28348300000005</v>
      </c>
      <c r="V128" s="3">
        <f>710+(120.4-47.3)+(-0.7242+(-0.122808--0.048246))+0-0-0</f>
        <v>782.30123800000001</v>
      </c>
      <c r="W128" s="3">
        <f>720+(96-69.8)+(-0.7344+(-0.09792--0.071196))+0-0-0</f>
        <v>745.43887600000005</v>
      </c>
      <c r="X128" s="3">
        <f>723+(91-119.4)+(-1.47492+(-0.18564--0.243576))+0-0-0</f>
        <v>693.18301600000007</v>
      </c>
      <c r="Y128" s="3">
        <f>736+(95-81.8)+(-0.37536+(-0.04845--0.041718))+0-0-0</f>
        <v>748.8179080000001</v>
      </c>
      <c r="Z128" s="3">
        <f>743+(140.3-33)+(-0.37893+(-0.071553--0.01683))+0-0-0</f>
        <v>849.86634699999991</v>
      </c>
      <c r="AA128" s="3">
        <f>741+(159.2-33)+(-0.75582+(-0.162384--0.03366))+0-0-0</f>
        <v>866.31545600000004</v>
      </c>
      <c r="AB128" s="3">
        <f>742+(149.3-33)+(-0.37842+(-0.076143--0.01683))+3.5-0-0</f>
        <v>861.36226699999997</v>
      </c>
      <c r="AC128" s="3">
        <f>734+(123.6-35)+(0+(0-0))+10.8-0-0</f>
        <v>833.4</v>
      </c>
      <c r="AD128">
        <f t="shared" si="1"/>
        <v>18203.912755000001</v>
      </c>
      <c r="AE128" s="3">
        <f>744+(158.2-33)+(0+(0-0))+0-0-0</f>
        <v>869.2</v>
      </c>
    </row>
    <row r="129" spans="1:31" s="2" customFormat="1" x14ac:dyDescent="0.25">
      <c r="A129">
        <v>89</v>
      </c>
      <c r="B129">
        <v>5</v>
      </c>
      <c r="C129">
        <v>5</v>
      </c>
      <c r="D129">
        <v>4</v>
      </c>
      <c r="E129">
        <v>3</v>
      </c>
      <c r="F129" s="3">
        <f>670+(168.9-30)+(-0.6834+(-0.172278--0.0306))+0-0-0</f>
        <v>808.07492200000002</v>
      </c>
      <c r="G129" s="3">
        <f>668+(152.1-30)+(-1.7034+(-0.387855--0.0765))+0-0-0</f>
        <v>788.08524499999999</v>
      </c>
      <c r="H129" s="3">
        <f>668+(122.3-29)+(-0.68136+(-0.124746--0.02958))+0-0-0</f>
        <v>760.52347399999996</v>
      </c>
      <c r="I129" s="3">
        <f>668+(115.1-30.7)+(0+(0-0))+0-0-0</f>
        <v>752.4</v>
      </c>
      <c r="J129" s="3">
        <f>667+(97.1-35.1)+(0.68034+(0.099042-0.035802))+0-0-0</f>
        <v>729.74357999999995</v>
      </c>
      <c r="K129" s="3">
        <f>665+(84.3-56.5)+(-1.01745+(-0.128979--0.086445))+0-0-0</f>
        <v>691.74001599999997</v>
      </c>
      <c r="L129" s="3">
        <f>668+(78-104.7)+(-1.02204+(-0.11934--0.160191))+0-0-0</f>
        <v>640.31881099999998</v>
      </c>
      <c r="M129" s="3">
        <f>665+(80-128)+(0.6783+(0.0816-0.13056))+0-0-0</f>
        <v>617.62933999999996</v>
      </c>
      <c r="N129" s="3">
        <f>662+(81-131.9)+(-0.67524+(-0.08262--0.134538))+0-0-0</f>
        <v>610.47667799999999</v>
      </c>
      <c r="O129" s="3">
        <f>661+(83-116.8)+(0.33711+(0.04233-0.059568))+0-0-0</f>
        <v>627.51987200000008</v>
      </c>
      <c r="P129" s="3">
        <f>657+(85-92)+(1.00521+(0.13005-0.14076))+0-0-0</f>
        <v>650.99450000000002</v>
      </c>
      <c r="Q129" s="3">
        <f>677+(87-62.7)+(0.34527+(0.04437-0.031977))+0-0-0</f>
        <v>701.65766299999996</v>
      </c>
      <c r="R129" s="3">
        <f>662+(102.5-46.8)+(0+(0-0))+0-0-0</f>
        <v>717.7</v>
      </c>
      <c r="S129" s="3">
        <f>667+(145-33)+(0.34017+(0.07395-0.01683))+0-0-0</f>
        <v>779.39729</v>
      </c>
      <c r="T129" s="3">
        <f>690+(143.1-33)+(0.3519+(0.072981-0.01683))+0-0-0</f>
        <v>800.50805100000002</v>
      </c>
      <c r="U129" s="3">
        <f>705+(119-51)+(-0.7191+(-0.12138--0.05202))+0-0-0</f>
        <v>772.21154000000001</v>
      </c>
      <c r="V129" s="3">
        <f>708+(101.2-71.3)+(-0.72216+(-0.103224--0.072726))+0-0-0</f>
        <v>737.14734199999998</v>
      </c>
      <c r="W129" s="3">
        <f>724+(77-96.9)+(-1.8462+(-0.19635--0.247095))+0-0-0</f>
        <v>702.30454500000008</v>
      </c>
      <c r="X129" s="3">
        <f>729+(83-140.6)+(-1.85895+(-0.21165--0.35853))+0-0-0</f>
        <v>669.68792999999994</v>
      </c>
      <c r="Y129" s="3">
        <f>736+(110-103.1)+(0+(0-0))+0-0-0</f>
        <v>742.9</v>
      </c>
      <c r="Z129" s="3">
        <f>738+(146.2-31)+(0.37638+(0.074562-0.01581))+0-0-0</f>
        <v>853.635132</v>
      </c>
      <c r="AA129" s="3">
        <f>741+(163.8-33)+(0+(0-0))+0-0-0</f>
        <v>871.8</v>
      </c>
      <c r="AB129" s="3">
        <f>736+(158.6-33)+(-0.37536+(-0.080886--0.01683))+0-0-0</f>
        <v>861.16058399999997</v>
      </c>
      <c r="AC129" s="3">
        <f>718+(164.2-33)+(0+(0-0))+0-0-0</f>
        <v>849.2</v>
      </c>
      <c r="AD129">
        <f t="shared" ref="AD129:AD192" si="2">SUM(F129:AC129)</f>
        <v>17736.816515000002</v>
      </c>
      <c r="AE129" s="3">
        <f>741+(165.1-33)+(0+(0-0))+0-0-0</f>
        <v>873.1</v>
      </c>
    </row>
    <row r="130" spans="1:31" s="2" customFormat="1" x14ac:dyDescent="0.25">
      <c r="A130">
        <v>89</v>
      </c>
      <c r="B130">
        <v>5</v>
      </c>
      <c r="C130">
        <v>6</v>
      </c>
      <c r="D130">
        <v>5</v>
      </c>
      <c r="E130">
        <v>1</v>
      </c>
      <c r="F130" s="3">
        <f>693+(154.2-32)+(0+(0-0))+0-0-0</f>
        <v>815.2</v>
      </c>
      <c r="G130" s="3">
        <f>693+(130.3-35.8)+(-0.70686+(-0.132906--0.036516))+0-0-0</f>
        <v>786.69674999999995</v>
      </c>
      <c r="H130" s="3">
        <f>692+(118.3-41.1)+(0+(0-0))+0-0-0</f>
        <v>769.2</v>
      </c>
      <c r="I130" s="3">
        <f>692+(107.7-50.3)+(0.35292+(0.054927-0.025653))+0-0-0</f>
        <v>749.782194</v>
      </c>
      <c r="J130" s="3">
        <f>687+(97.8-57.3)+(0+(0-0))+0-0-0</f>
        <v>727.5</v>
      </c>
      <c r="K130" s="3">
        <f>688+(82-74)+(0+(0-0))+0-0-0</f>
        <v>696</v>
      </c>
      <c r="L130" s="3">
        <f>681+(35-125)+(0+(0-0))+36.9-0-0</f>
        <v>627.9</v>
      </c>
      <c r="M130" s="3">
        <f>680+(7.9-82.3)+(0.6936+(0.008058-0.083946))+16.4-0-0</f>
        <v>622.61771199999998</v>
      </c>
      <c r="N130" s="3">
        <f>678+(26-68)+(0.34578+(0.01326-0.03468))+0-0-0</f>
        <v>636.32435999999996</v>
      </c>
      <c r="O130" s="3">
        <f>674+(31.8-64)+(0.34374+(0.016218-0.03264))+0-0-0</f>
        <v>642.12731799999995</v>
      </c>
      <c r="P130" s="3">
        <f>674+(46.4-56.5)+(-0.34374+(-0.023664--0.028815))+0-0-0</f>
        <v>663.56141100000002</v>
      </c>
      <c r="Q130" s="3">
        <f>663+(73.7-41.7)+(0.33813+(0.037587-0.021267))+0-0-0</f>
        <v>695.35445000000004</v>
      </c>
      <c r="R130" s="3">
        <f>667+(109.6-33)+(0.34017+(0.055896-0.01683))+0-0-0</f>
        <v>743.97923600000001</v>
      </c>
      <c r="S130" s="3">
        <f>669+(171-33)+(0.34119+(0.08721-0.01683))+0-0-0</f>
        <v>807.41156999999998</v>
      </c>
      <c r="T130" s="3">
        <f>666+(163.7-34)+(0.67932+(0.166974-0.03468))+0-0-0</f>
        <v>796.51161400000001</v>
      </c>
      <c r="U130" s="3">
        <f>690+(143.5-48)+(0.3519+(0.073185-0.02448))+0-0-0</f>
        <v>785.90060500000004</v>
      </c>
      <c r="V130" s="3">
        <f>696+(124.1-68)+(0+(0-0))+0-0-0</f>
        <v>752.1</v>
      </c>
      <c r="W130" s="3">
        <f>701+(96.1-86.8)+(-0.35751+(-0.049011--0.044268))+0-0-0</f>
        <v>709.93774699999994</v>
      </c>
      <c r="X130" s="3">
        <f>704+(89-129.6)+(-0.71808+(-0.09078--0.132192))+0-0-0</f>
        <v>662.72333200000003</v>
      </c>
      <c r="Y130" s="3">
        <f>722+(98-98.8)+(-0.36822+(-0.04998--0.050388))+0-0-0</f>
        <v>720.83218800000009</v>
      </c>
      <c r="Z130" s="3">
        <f>762+(127.6-50.2)+(-0.38862+(-0.065076--0.025602))+0-0-0</f>
        <v>838.97190599999999</v>
      </c>
      <c r="AA130" s="3">
        <f>763+(144.7-39.7)+(-1.16739+(-0.221391--0.060741))+0-0-0</f>
        <v>866.67196000000001</v>
      </c>
      <c r="AB130" s="3">
        <f>755+(144.6-39.9)+(-0.38505+(-0.073746--0.020349))+0-0-0</f>
        <v>859.26155300000005</v>
      </c>
      <c r="AC130" s="3">
        <f>743+(150.1-37.7)+(0+(0-0))+0-0-0</f>
        <v>855.4</v>
      </c>
      <c r="AD130">
        <f t="shared" si="2"/>
        <v>17831.965906000001</v>
      </c>
      <c r="AE130" s="3">
        <f>762+(142-43)+(0+(0-0))+0-0-0</f>
        <v>861</v>
      </c>
    </row>
    <row r="131" spans="1:31" s="2" customFormat="1" x14ac:dyDescent="0.25">
      <c r="A131">
        <v>89</v>
      </c>
      <c r="B131">
        <v>5</v>
      </c>
      <c r="C131">
        <v>7</v>
      </c>
      <c r="D131">
        <v>6</v>
      </c>
      <c r="E131">
        <v>1</v>
      </c>
      <c r="F131" s="3">
        <f>703+(153.3-36.3)+(-0.35853+(-0.078183--0.018513))+0-0-0</f>
        <v>819.58180000000004</v>
      </c>
      <c r="G131" s="3">
        <f>696+(131.9-38.6)+(-1.41984+(-0.269076--0.078744))+0-0-0</f>
        <v>787.68982799999992</v>
      </c>
      <c r="H131" s="3">
        <f>694+(126.2-47.5)+(-0.70788+(-0.128724--0.04845))+0-0-0</f>
        <v>771.91184600000008</v>
      </c>
      <c r="I131" s="3">
        <f>695+(116.4-58.5)+(0+(0-0))+0-0-0</f>
        <v>752.9</v>
      </c>
      <c r="J131" s="3">
        <f>689+(109.6-67.8)+(0+(0-0))+0-0-0</f>
        <v>730.8</v>
      </c>
      <c r="K131" s="3">
        <f>688+(91.8-86.3)+(-0.70176+(-0.093636--0.088026))+0-0-0</f>
        <v>692.79263000000003</v>
      </c>
      <c r="L131" s="3">
        <f>666+(85-102.1)+(-2.03796+(-0.2601--0.312426))+0-0-0</f>
        <v>646.91436599999997</v>
      </c>
      <c r="M131" s="3">
        <f>595+(91.1-63.5)+(0.30345+(0.046461-0.032385))+0-0-0</f>
        <v>622.91752600000007</v>
      </c>
      <c r="N131" s="3">
        <f>609+(86.5-69.6)+(0.93177+(0.132345-0.106488))+0-0-0</f>
        <v>626.85762699999998</v>
      </c>
      <c r="O131" s="3">
        <f>677+(83-118.4)+(0.34527+(0.04233-0.060384))+0-0-0</f>
        <v>641.92721600000004</v>
      </c>
      <c r="P131" s="3">
        <f>678+(104-102.4)+(-0.34578+(-0.05304--0.052224))+0-0-0</f>
        <v>679.25340400000005</v>
      </c>
      <c r="Q131" s="3">
        <f>693+(90-86.5)+(0.35343+(0.0459-0.044115))+0-0-0</f>
        <v>696.85521500000004</v>
      </c>
      <c r="R131" s="3">
        <f>704+(131.5-67)+(0+(0-0))+0-0-0</f>
        <v>768.5</v>
      </c>
      <c r="S131" s="3">
        <f>707+(127.4-51.9)+(-0.36057+(-0.064974--0.026469))+0-0-0</f>
        <v>782.10092499999996</v>
      </c>
      <c r="T131" s="3">
        <f>718+(140.2-52.8)+(0+(0-0))+0-0-0</f>
        <v>805.4</v>
      </c>
      <c r="U131" s="3">
        <f>718+(137.6-61.4)+(-0.36618+(-0.070176--0.031314))+0-0-0</f>
        <v>793.79495800000007</v>
      </c>
      <c r="V131" s="3">
        <f>724+(117.1-77.5)+(-1.10772+(-0.179163--0.118575))+0-0-0</f>
        <v>762.431692</v>
      </c>
      <c r="W131" s="3">
        <f>701+(88-92.7)+(-0.71502+(-0.08976--0.094554))+0-0-0</f>
        <v>695.58977399999992</v>
      </c>
      <c r="X131" s="3">
        <f>708+(91-143.6)+(-1.8054+(-0.23205--0.36618))+0-0-0</f>
        <v>653.72872999999993</v>
      </c>
      <c r="Y131" s="3">
        <f>720+(95-100.2)+(-1.1016+(-0.14535--0.153306))+0-0-0</f>
        <v>713.70635599999991</v>
      </c>
      <c r="Z131" s="3">
        <f>760+(130.3-56.6)+(0+(0-0))+0-0-0</f>
        <v>833.7</v>
      </c>
      <c r="AA131" s="3">
        <f>742+(141.3-39.7)+(-0.75684+(-0.144126--0.040494))+0-0-0</f>
        <v>842.73952800000006</v>
      </c>
      <c r="AB131" s="3">
        <f>709+(168.6-33)+(0+(0-0))+0-0-0</f>
        <v>844.6</v>
      </c>
      <c r="AC131" s="3">
        <f>701+(165.2-33)+(-1.07253+(-0.252756--0.05049))+0-0-0</f>
        <v>831.92520400000001</v>
      </c>
      <c r="AD131">
        <f t="shared" si="2"/>
        <v>17798.618625000003</v>
      </c>
      <c r="AE131" s="3">
        <f>758+(135.4-48.2)+(0+(0-0))+0-0-0</f>
        <v>845.2</v>
      </c>
    </row>
    <row r="132" spans="1:31" s="2" customFormat="1" x14ac:dyDescent="0.25">
      <c r="A132">
        <v>89</v>
      </c>
      <c r="B132">
        <v>5</v>
      </c>
      <c r="C132">
        <v>8</v>
      </c>
      <c r="D132">
        <v>7</v>
      </c>
      <c r="E132">
        <v>1</v>
      </c>
      <c r="F132" s="3">
        <f>673+(174.2-32)+(-1.71615+(-0.44421--0.0816))+0-0-0</f>
        <v>813.12124000000006</v>
      </c>
      <c r="G132" s="3">
        <f>674+(143.8-32.1)+(0.34374+(0.073338-0.016371))+0-0-0</f>
        <v>786.10070700000006</v>
      </c>
      <c r="H132" s="3">
        <f>706+(113.9-52.4)+(0+(0-0))+0-0-0</f>
        <v>767.5</v>
      </c>
      <c r="I132" s="3">
        <f>708+(96.9-56.7)+(-1.8054+(-0.247095--0.144585))+0-0-0</f>
        <v>746.29209000000003</v>
      </c>
      <c r="J132" s="3">
        <f>698+(89-71.8)+(-1.06794+(-0.13617--0.109854))+0-0-0</f>
        <v>714.10574400000007</v>
      </c>
      <c r="K132" s="3">
        <f>698+(84-97.4)+(-2.49186+(-0.29988--0.347718))+0-0-0</f>
        <v>682.155978</v>
      </c>
      <c r="L132" s="3">
        <f>681+(81-145.5)+(-1.38924+(-0.16524--0.29682))+0-0-0</f>
        <v>615.24234000000001</v>
      </c>
      <c r="M132" s="3">
        <f>677+(87-161.2)+(0.34527+(0.04437-0.082212))+0-0-0</f>
        <v>603.10742799999991</v>
      </c>
      <c r="N132" s="3">
        <f>674+(76-170.5)+(0+(0-0))+0-0-0</f>
        <v>579.5</v>
      </c>
      <c r="O132" s="3">
        <f>669+(81-155.8)+(0+(0-0))+0-0-0</f>
        <v>594.20000000000005</v>
      </c>
      <c r="P132" s="3">
        <f>668+(81-136)+(0.34068+(0.04131-0.06936))+0-0-0</f>
        <v>613.31263000000001</v>
      </c>
      <c r="Q132" s="3">
        <f>677+(87-112.4)+(0.34527+(0.04437-0.057324))+0-0-0</f>
        <v>651.93231600000001</v>
      </c>
      <c r="R132" s="3">
        <f>700+(76-81.1)+(0+(0-0))+0-0-0</f>
        <v>694.9</v>
      </c>
      <c r="S132" s="3">
        <f>701+(97.8-60.4)+(-0.71502+(-0.099756--0.061608))+0-0-0</f>
        <v>737.64683200000002</v>
      </c>
      <c r="T132" s="3">
        <f>703+(133.5-57.8)+(0.35853+(0.068085-0.029478))+0-0-0</f>
        <v>779.09713700000009</v>
      </c>
      <c r="U132" s="3">
        <f>676+(128.6-48.6)+(-1.03428+(-0.196758--0.074358))+0-0-0</f>
        <v>754.84331999999995</v>
      </c>
      <c r="V132" s="3">
        <f>690+(115-66.9)+(-0.3519+(-0.05865--0.034119))+0-0-0</f>
        <v>737.723569</v>
      </c>
      <c r="W132" s="3">
        <f>699+(82-109.5)+(-0.35649+(-0.04182--0.055845))+0-0-0</f>
        <v>671.15753500000005</v>
      </c>
      <c r="X132" s="3">
        <f>705+(90-157.2)+(-1.79775+(-0.2295--0.40086))+0-0-0</f>
        <v>636.17360999999994</v>
      </c>
      <c r="Y132" s="3">
        <f>611+(100.5-35.8)+(-0.62322+(-0.10251--0.036516))+0-0-0</f>
        <v>675.01078600000005</v>
      </c>
      <c r="Z132" s="3">
        <f>628+(213.6-33)+(-0.96084+(-0.326808--0.05049))+0-0-0</f>
        <v>807.362842</v>
      </c>
      <c r="AA132" s="3">
        <f>765+(124.2-40.9)+(-2.3409+(-0.380052--0.125154))+0-0-0</f>
        <v>845.70420200000001</v>
      </c>
      <c r="AB132" s="3">
        <f>755+(132.4-36.5)+(-0.7701+(-0.135048--0.03723))+0-0-0</f>
        <v>850.03208199999995</v>
      </c>
      <c r="AC132" s="3">
        <f>718+(145.5-34)+(-0.36618+(-0.074205--0.01734))+0-0-0</f>
        <v>829.076955</v>
      </c>
      <c r="AD132">
        <f t="shared" si="2"/>
        <v>17185.299343000002</v>
      </c>
      <c r="AE132" s="3">
        <f>764+(127.2-42)+(0+(0-0))+0-0-0</f>
        <v>849.2</v>
      </c>
    </row>
    <row r="133" spans="1:31" s="2" customFormat="1" x14ac:dyDescent="0.25">
      <c r="A133">
        <v>89</v>
      </c>
      <c r="B133">
        <v>5</v>
      </c>
      <c r="C133">
        <v>9</v>
      </c>
      <c r="D133">
        <v>1</v>
      </c>
      <c r="E133">
        <v>1</v>
      </c>
      <c r="F133" s="3">
        <f>710+(124.1-40.5)+(-1.4484+(-0.253164--0.08262))+0-0-0</f>
        <v>791.98105599999997</v>
      </c>
      <c r="G133" s="3">
        <f>709+(108.1-52.4)+(-2.16954+(-0.330786--0.160344))+0-0-0</f>
        <v>762.36001800000008</v>
      </c>
      <c r="H133" s="3">
        <f>574+(197.6-32)+(-1.17096+(-0.403104--0.06528))+0-0-0</f>
        <v>738.09121600000003</v>
      </c>
      <c r="I133" s="3">
        <f>564+(186.2-31)+(-0.57528+(-0.189924--0.03162))+0-0-0</f>
        <v>718.46641600000009</v>
      </c>
      <c r="J133" s="3">
        <f>559+(161.8-31)+(0.57018+(0.165036-0.03162))+0-0-0</f>
        <v>690.5035959999999</v>
      </c>
      <c r="K133" s="3">
        <f>559+(132.2-32)+(0.28509+(0.067422-0.01632))+0-0-0</f>
        <v>659.53619200000003</v>
      </c>
      <c r="L133" s="3">
        <f>559+(83.5-38.7)+(0+(0-0))+0-0-0</f>
        <v>603.79999999999995</v>
      </c>
      <c r="M133" s="3">
        <f>556+(83-41.1)+(0+(0-0))+0-0-0</f>
        <v>597.9</v>
      </c>
      <c r="N133" s="3">
        <f>650+(83-122.1)+(-0.663+(-0.08466--0.124542))+0-0-0</f>
        <v>610.276882</v>
      </c>
      <c r="O133" s="3">
        <f>695+(86-148.6)+(-0.7089+(-0.08772--0.151572))+0-0-0</f>
        <v>631.754952</v>
      </c>
      <c r="P133" s="3">
        <f>693+(86-118.3)+(1.06029+(0.13158-0.180999))+0-0-0</f>
        <v>661.710871</v>
      </c>
      <c r="Q133" s="3">
        <f>691+(87.2-81.9)+(0.70482+(0.088944-0.083538))+0-0-0</f>
        <v>697.01022599999999</v>
      </c>
      <c r="R133" s="3">
        <f>679+(118.5-53.7)+(0+(0-0))+0-0-0</f>
        <v>743.8</v>
      </c>
      <c r="S133" s="3">
        <f>677+(145.5-35.4)+(-1.03581+(-0.222615--0.054162))+0-0-0</f>
        <v>785.89573700000005</v>
      </c>
      <c r="T133" s="3">
        <f>679+(146.1-32)+(-0.34629+(-0.074511--0.01632))+0-0-0</f>
        <v>792.69551899999999</v>
      </c>
      <c r="U133" s="3">
        <f>681+(159.3-33.5)+(-0.34731+(-0.081243--0.017085))+0-0-0</f>
        <v>806.38853199999994</v>
      </c>
      <c r="V133" s="3">
        <f>692+(127.9-54)+(-0.35292+(-0.065229--0.02754))+0-0-0</f>
        <v>765.50939099999994</v>
      </c>
      <c r="W133" s="3">
        <f>703+(90.6-77.6)+(-0.71706+(-0.092412--0.079152))+0-0-0</f>
        <v>715.26967999999999</v>
      </c>
      <c r="X133" s="3">
        <f>705+(90-128.2)+(-1.4382+(-0.1836--0.261528))+0-0-0</f>
        <v>665.43972799999995</v>
      </c>
      <c r="Y133" s="3">
        <f>719+(98-92.8)+(0+(0-0))+0-0-0</f>
        <v>724.2</v>
      </c>
      <c r="Z133" s="3">
        <f>758+(120.3-45.3)+(-0.38658+(-0.061353--0.023103))+0-0-0</f>
        <v>832.57516999999996</v>
      </c>
      <c r="AA133" s="3">
        <f>763+(142.3-36.8)+(-1.16739+(-0.217719--0.056304))+0-0-0</f>
        <v>867.17119500000001</v>
      </c>
      <c r="AB133" s="3">
        <f>730+(157.4-32)+(-0.7446+(-0.160548--0.03264))+0-0-0</f>
        <v>854.52749199999994</v>
      </c>
      <c r="AC133" s="3">
        <f>715+(147.2-32)+(-0.7293+(-0.150144--0.03264))+0-0-0</f>
        <v>829.35319600000003</v>
      </c>
      <c r="AD133">
        <f t="shared" si="2"/>
        <v>17546.217065000001</v>
      </c>
      <c r="AE133" s="3">
        <f>767+(136.3-37.3)+(0+(0-0))+0-0-0</f>
        <v>866</v>
      </c>
    </row>
    <row r="134" spans="1:31" s="2" customFormat="1" x14ac:dyDescent="0.25">
      <c r="A134">
        <v>89</v>
      </c>
      <c r="B134">
        <v>5</v>
      </c>
      <c r="C134">
        <v>10</v>
      </c>
      <c r="D134">
        <v>2</v>
      </c>
      <c r="E134">
        <v>1</v>
      </c>
      <c r="F134" s="3">
        <f>716+(127.3-45.2)+(-1.46064+(-0.259692--0.092208))+0-0-0</f>
        <v>796.47187600000007</v>
      </c>
      <c r="G134" s="3">
        <f>716+(107.7-55)+(-1.8258+(-0.274635--0.14025))+0-0-0</f>
        <v>766.73981500000002</v>
      </c>
      <c r="H134" s="3">
        <f>716+(97.3-63.4)+(0.36516+(0.049623-0.032334))+0-0-0</f>
        <v>750.28244899999993</v>
      </c>
      <c r="I134" s="3">
        <f>717+(86-71.9)+(-1.09701+(-0.13158--0.110007))+0-0-0</f>
        <v>729.98141700000008</v>
      </c>
      <c r="J134" s="3">
        <f>447+(98-19.9)+(-0.45594+(-0.09996--0.020298))+128.1-0-0</f>
        <v>652.66439800000001</v>
      </c>
      <c r="K134" s="3">
        <f>344+(163.5-0)+(-0.17544+(-0.083385-0))+150-0-0</f>
        <v>657.241175</v>
      </c>
      <c r="L134" s="3">
        <f>408+(181.8-0)+(-0.41616+(-0.185436-0))+79.3-0-0</f>
        <v>668.49840399999994</v>
      </c>
      <c r="M134" s="3">
        <f>463+(113.2-0)+(0+(0-0))+17-0-0</f>
        <v>593.20000000000005</v>
      </c>
      <c r="N134" s="3">
        <f>464+(144.8-0)+(-0.47328+(-0.147696-0))+2.8-0-0</f>
        <v>610.97902399999987</v>
      </c>
      <c r="O134" s="3">
        <f>517+(98.8-2.6)+(-0.52734+(-0.100776--0.002652))+0-0-0</f>
        <v>612.57453600000008</v>
      </c>
      <c r="P134" s="3">
        <f>532+(121.2-0)+(-0.27132+(-0.061812-0))+0-0-0</f>
        <v>652.86686800000007</v>
      </c>
      <c r="Q134" s="3">
        <f>557+(125.2-0)+(-0.56814+(-0.127704-0))+0-0-0</f>
        <v>681.50415600000008</v>
      </c>
      <c r="R134" s="3">
        <f>582+(199.3-20)+(-0.29682+(-0.101643--0.0102))+0-0-0</f>
        <v>760.9117369999999</v>
      </c>
      <c r="S134" s="3">
        <f>583+(209.5-32)+(-0.59466+(-0.21369--0.03264))+0-0-0</f>
        <v>759.72429</v>
      </c>
      <c r="T134" s="3">
        <f>583+(228.5-33)+(-0.59466+(-0.23307--0.03366))+0-0-0</f>
        <v>777.70592999999997</v>
      </c>
      <c r="U134" s="3">
        <f>585+(225.7-32)+(-0.29835+(-0.115107--0.01632))+0-0-0</f>
        <v>778.302863</v>
      </c>
      <c r="V134" s="3">
        <f>592+(193.9-31)+(-0.90576+(-0.296667--0.04743))+0-0-0</f>
        <v>753.745003</v>
      </c>
      <c r="W134" s="3">
        <f>608+(115.8-38.1)+(-1.24032+(-0.236232--0.077724))+0-0-0</f>
        <v>684.30117200000007</v>
      </c>
      <c r="X134" s="3">
        <f>621+(90-61.3)+(-1.90026+(-0.2754--0.187578))+0-0-0</f>
        <v>647.71191800000008</v>
      </c>
      <c r="Y134" s="3">
        <f>716+(88-96.2)+(-1.46064+(-0.17952--0.196248))+0-0-0</f>
        <v>706.356088</v>
      </c>
      <c r="Z134" s="3">
        <f>763+(114.4-61)+(0+(0-0))+0-0-0</f>
        <v>816.4</v>
      </c>
      <c r="AA134" s="3">
        <f>768+(145.6-45)+(-1.56672+(-0.297024--0.0918))+0-0-0</f>
        <v>866.82805600000006</v>
      </c>
      <c r="AB134" s="3">
        <f>756+(139.8-43)+(-1.15668+(-0.213894--0.06579))+0-0-0</f>
        <v>851.49521599999991</v>
      </c>
      <c r="AC134" s="3">
        <f>715+(149.2-39)+(-1.09395+(-0.228276--0.05967))+0-0-0</f>
        <v>823.93744400000003</v>
      </c>
      <c r="AD134">
        <f t="shared" si="2"/>
        <v>17400.423835000001</v>
      </c>
      <c r="AE134" s="3">
        <f>766+(129.8-42)+(0+(0-0))+0-0-0</f>
        <v>853.8</v>
      </c>
    </row>
    <row r="135" spans="1:31" s="2" customFormat="1" x14ac:dyDescent="0.25">
      <c r="A135">
        <v>89</v>
      </c>
      <c r="B135">
        <v>5</v>
      </c>
      <c r="C135">
        <v>11</v>
      </c>
      <c r="D135">
        <v>3</v>
      </c>
      <c r="E135">
        <v>1</v>
      </c>
      <c r="F135" s="3">
        <f>717+(130.8-57)+(-1.82835+(-0.33354--0.14535))+0-0-0</f>
        <v>788.78345999999999</v>
      </c>
      <c r="G135" s="3">
        <f>717+(106.7-60)+(-1.46268+(-0.217668--0.1224))+0-0-0</f>
        <v>762.14205200000004</v>
      </c>
      <c r="H135" s="3">
        <f>704+(100.3-63)+(-1.07712+(-0.153459--0.09639))+0-0-0</f>
        <v>740.16581099999996</v>
      </c>
      <c r="I135" s="3">
        <f>700+(102.4-75)+(-1.071+(-0.156672--0.11475))+0-0-0</f>
        <v>726.28707799999995</v>
      </c>
      <c r="J135" s="3">
        <f>695+(82-83)+(1.06335+(0.12546-0.12699))+0-0-0</f>
        <v>695.06182000000001</v>
      </c>
      <c r="K135" s="3">
        <f>697+(79-117)+(-1.06641+(-0.12087--0.17901))+0-0-0</f>
        <v>657.99172999999996</v>
      </c>
      <c r="L135" s="3">
        <f>616+(80-101)+(-1.5708+(-0.204--0.25755))+0-0-0</f>
        <v>593.48275000000001</v>
      </c>
      <c r="M135" s="3">
        <f>547+(83.3-49.8)+(0+(0-0))+0-0-0</f>
        <v>580.5</v>
      </c>
      <c r="N135" s="3">
        <f>639+(81-119.1)+(0.32589+(0.04131-0.060741))+0-0-0</f>
        <v>601.206459</v>
      </c>
      <c r="O135" s="3">
        <f>684+(83-133.4)+(-0.69768+(-0.08466--0.136068))+0-0-0</f>
        <v>632.95372800000007</v>
      </c>
      <c r="P135" s="3">
        <f>682+(87-104.3)+(0+(0-0))+0-0-0</f>
        <v>664.7</v>
      </c>
      <c r="Q135" s="3">
        <f>697+(93.5-81.2)+(0+(0-0))+0-0-0</f>
        <v>709.3</v>
      </c>
      <c r="R135" s="3">
        <f>690+(125.9-56)+(-0.3519+(-0.064209--0.02856))+0-0-0</f>
        <v>759.51245099999994</v>
      </c>
      <c r="S135" s="3">
        <f>690+(147.7-34)+(0+(0-0))+0-0-0</f>
        <v>803.7</v>
      </c>
      <c r="T135" s="3">
        <f>689+(151.8-32)+(-0.70278+(-0.154836--0.03264))+0-0-0</f>
        <v>807.97502399999996</v>
      </c>
      <c r="U135" s="3">
        <f>692+(155.2-37)+(-0.35292+(-0.079152--0.01887))+0-0-0</f>
        <v>809.78679800000009</v>
      </c>
      <c r="V135" s="3">
        <f>694+(122.6-57.9)+(-0.70788+(-0.125052--0.059058))+0-0-0</f>
        <v>757.92612600000007</v>
      </c>
      <c r="W135" s="3">
        <f>702+(91-86.6)+(-2.50614+(-0.32487--0.309162))+0-0-0</f>
        <v>703.878152</v>
      </c>
      <c r="X135" s="3">
        <f>663+(87-106.8)+(-1.69065+(-0.22185--0.27234))+0-0-0</f>
        <v>641.55984000000001</v>
      </c>
      <c r="Y135" s="3">
        <f>645+(107.4-43.8)+(-0.6579+(-0.109548--0.044676))+0-0-0</f>
        <v>707.87722800000006</v>
      </c>
      <c r="Z135" s="3">
        <f>705+(148.2-33)+(-0.7191+(-0.151164--0.03366))+0-0-0</f>
        <v>819.36339600000008</v>
      </c>
      <c r="AA135" s="3">
        <f>693+(185.9-34)+(-1.41372+(-0.379236--0.06936))+0-0-0</f>
        <v>843.17640399999993</v>
      </c>
      <c r="AB135" s="3">
        <f>586+(312-34)+(-1.19544+(-0.63648--0.06936))+0-0-0</f>
        <v>862.23743999999999</v>
      </c>
      <c r="AC135" s="3">
        <f>574+(290.6-33)+(0+(0-0))+0-0-0</f>
        <v>831.6</v>
      </c>
      <c r="AD135">
        <f t="shared" si="2"/>
        <v>17501.167746999996</v>
      </c>
      <c r="AE135" s="3">
        <f>714+(166.4-33)+(0+(0-0))+0-0-0</f>
        <v>847.4</v>
      </c>
    </row>
    <row r="136" spans="1:31" s="2" customFormat="1" x14ac:dyDescent="0.25">
      <c r="A136">
        <v>89</v>
      </c>
      <c r="B136">
        <v>5</v>
      </c>
      <c r="C136">
        <v>12</v>
      </c>
      <c r="D136">
        <v>4</v>
      </c>
      <c r="E136">
        <v>1</v>
      </c>
      <c r="F136" s="3">
        <f>573+(257.9-31)+(-0.29223+(-0.131529--0.01581))+0-0-0</f>
        <v>799.49205099999995</v>
      </c>
      <c r="G136" s="3">
        <f>573+(215.7-31)+(-0.58446+(-0.220014--0.03162))+0-0-0</f>
        <v>756.92714599999999</v>
      </c>
      <c r="H136" s="3">
        <f>573+(196.6-30)+(0.29223+(0.100266-0.0153))+0-0-0</f>
        <v>739.97719600000005</v>
      </c>
      <c r="I136" s="3">
        <f>557+(184-30)+(0+(0-0))+0-0-0</f>
        <v>711</v>
      </c>
      <c r="J136" s="3">
        <f>548+(155.6-30)+(-0.27948+(-0.079356--0.0153))+0-0-0</f>
        <v>673.25646400000005</v>
      </c>
      <c r="K136" s="3">
        <f>548+(113.6-31)+(0.55896+(0.115872-0.03162))+0-0-0</f>
        <v>631.24321199999997</v>
      </c>
      <c r="L136" s="3">
        <f>532+(78-46.3)+(-0.81396+(-0.11934--0.070839))+5-0-0</f>
        <v>567.83753899999999</v>
      </c>
      <c r="M136" s="3">
        <f>503+(89.7-30.7)+(-0.25653+(-0.045747--0.015657))+1.2-0-0</f>
        <v>562.91338000000007</v>
      </c>
      <c r="N136" s="3">
        <f>504+(110.1-24)+(0+(0-0))+0-0-0</f>
        <v>590.1</v>
      </c>
      <c r="O136" s="3">
        <f>502+(130.6-27)+(0.25602+(0.066606-0.01377))+0-0-0</f>
        <v>605.90885600000001</v>
      </c>
      <c r="P136" s="3">
        <f>538+(127.5-33)+(-0.54876+(-0.13005--0.03366))+0-0-0</f>
        <v>631.85485000000006</v>
      </c>
      <c r="Q136" s="3">
        <f>631+(105.6-49.6)+(-0.32181+(-0.053856--0.025296))+0-0-0</f>
        <v>686.64963</v>
      </c>
      <c r="R136" s="3">
        <f>639+(133.5-32)+(0+(0-0))+0-0-0</f>
        <v>740.5</v>
      </c>
      <c r="S136" s="3">
        <f>656+(166-34)+(0+(0-0))+0-0-0</f>
        <v>788</v>
      </c>
      <c r="T136" s="3">
        <f>664+(175.8-32)+(0.33864+(0.089658-0.01632))+0-0-0</f>
        <v>808.21197799999993</v>
      </c>
      <c r="U136" s="3">
        <f>668+(155.9-30)+(0.34068+(0.079509-0.0153))+0-0-0</f>
        <v>794.304889</v>
      </c>
      <c r="V136" s="3">
        <f>679+(133.9-45.6)+(0.34629+(0.068289-0.023256))+0-0-0</f>
        <v>767.69132300000001</v>
      </c>
      <c r="W136" s="3">
        <f>679+(92.3-76)+(0+(0-0))+0-0-0</f>
        <v>695.3</v>
      </c>
      <c r="X136" s="3">
        <f>664+(86-102.4)+(-0.33864+(-0.04386--0.052224))+0-0-0</f>
        <v>647.269724</v>
      </c>
      <c r="Y136" s="3">
        <f>557+(188.2-33)+(0.85221+(0.287946-0.05049))+0-0-0</f>
        <v>713.28966600000001</v>
      </c>
      <c r="Z136" s="3">
        <f>641+(214.1-34)+(0.32691+(0.109191-0.01734))+0-0-0</f>
        <v>821.51876100000004</v>
      </c>
      <c r="AA136" s="3">
        <f>694+(193.4-33)+(-1.06182+(-0.295902--0.05049))+0-0-0</f>
        <v>853.09276799999998</v>
      </c>
      <c r="AB136" s="3">
        <f>695+(187.8-33)+(-0.7089+(-0.191556--0.03366))+0-0-0</f>
        <v>848.93320399999993</v>
      </c>
      <c r="AC136" s="3">
        <f>695+(165-33)+(-1.77225+(-0.42075--0.08415))+0-0-0</f>
        <v>824.89115000000004</v>
      </c>
      <c r="AD136">
        <f t="shared" si="2"/>
        <v>17260.163786999998</v>
      </c>
      <c r="AE136" s="3">
        <f>684+(189.7-33)+(0+(0-0))+0-0-0</f>
        <v>840.7</v>
      </c>
    </row>
    <row r="137" spans="1:31" s="2" customFormat="1" x14ac:dyDescent="0.25">
      <c r="A137">
        <v>89</v>
      </c>
      <c r="B137">
        <v>5</v>
      </c>
      <c r="C137">
        <v>13</v>
      </c>
      <c r="D137">
        <v>5</v>
      </c>
      <c r="E137">
        <v>1</v>
      </c>
      <c r="F137" s="3">
        <f>681+(144-32)+(-0.69462+(-0.14688--0.03264))+0-0-0</f>
        <v>792.19114000000002</v>
      </c>
      <c r="G137" s="3">
        <f>682+(124.7-36)+(-0.69564+(-0.127194--0.03672))+0-0-0</f>
        <v>769.91388600000005</v>
      </c>
      <c r="H137" s="3">
        <f>682+(107.6-46.1)+(-0.34782+(-0.054876--0.023511))+0-0-0</f>
        <v>743.12081499999999</v>
      </c>
      <c r="I137" s="3">
        <f>681+(87.3-61.1)+(-1.38924+(-0.178092--0.124644))+0-0-0</f>
        <v>705.75731200000007</v>
      </c>
      <c r="J137" s="3">
        <f>666+(85-69.7)+(-1.6983+(-0.21675--0.177735))+0-0-0</f>
        <v>679.56268499999999</v>
      </c>
      <c r="K137" s="3">
        <f>607+(83.7-54.4)+(-1.23828+(-0.170748--0.110976))+0-0-0</f>
        <v>635.00194799999997</v>
      </c>
      <c r="L137" s="3">
        <f>562+(51-27.8)+(-1.14648+(-0.10404--0.056712))+0-0-0</f>
        <v>584.00619200000006</v>
      </c>
      <c r="M137" s="3">
        <f>528+(85-75.8)+(0.53856+(0.0867-0.077316))+0-0-0</f>
        <v>537.74794400000007</v>
      </c>
      <c r="N137" s="3">
        <f>621+(80-96.8)+(-0.31671+(-0.0408--0.049368))+0-0-0</f>
        <v>603.89185800000007</v>
      </c>
      <c r="O137" s="3">
        <f>660+(87-113.4)+(-0.3366+(-0.04437--0.057834))+0-0-0</f>
        <v>633.27686400000005</v>
      </c>
      <c r="P137" s="3">
        <f>672+(86-91)+(1.7136+(0.2193-0.23205))+0-0-0</f>
        <v>668.70084999999995</v>
      </c>
      <c r="Q137" s="3">
        <f>672+(92.6-73.4)+(0+(0-0))+0-0-0</f>
        <v>691.2</v>
      </c>
      <c r="R137" s="3">
        <f>656+(125-41.1)+(0.66912+(0.1275-0.041922))+0-0-0</f>
        <v>740.65469799999994</v>
      </c>
      <c r="S137" s="3">
        <f>655+(154.3-33)+(-0.6681+(-0.157386--0.03366))+0-0-0</f>
        <v>775.50817399999994</v>
      </c>
      <c r="T137" s="3">
        <f>656+(169.9-33)+(0+(0-0))+0-0-0</f>
        <v>792.9</v>
      </c>
      <c r="U137" s="3">
        <f>666+(152.5-34.4)+(0+(0-0))+0-0-0</f>
        <v>784.1</v>
      </c>
      <c r="V137" s="3">
        <f>683+(130.7-58)+(-0.34833+(-0.066657--0.02958))+0-0-0</f>
        <v>755.31459300000006</v>
      </c>
      <c r="W137" s="3">
        <f>694+(99-83.6)+(-0.70788+(-0.10098--0.085272))+0-0-0</f>
        <v>708.67641200000003</v>
      </c>
      <c r="X137" s="3">
        <f>700+(90-138.1)+(-1.428+(-0.1836--0.281724))+0-0-0</f>
        <v>650.57012399999996</v>
      </c>
      <c r="Y137" s="3">
        <f>707+(87-98)+(-0.36057+(-0.04437--0.04998))+0-0-0</f>
        <v>695.64503999999999</v>
      </c>
      <c r="Z137" s="3">
        <f>709+(139.5-35)+(-1.08477+(-0.213435--0.05355))+0-0-0</f>
        <v>812.25534500000003</v>
      </c>
      <c r="AA137" s="3">
        <f>711+(159.8-33)+(-1.08783+(-0.244494--0.05049))+0-0-0</f>
        <v>836.51816599999995</v>
      </c>
      <c r="AB137" s="3">
        <f>711+(162.2-33)+(0.36261+(0.082722-0.01683))+0-0-0</f>
        <v>840.62850200000003</v>
      </c>
      <c r="AC137" s="3">
        <f>711+(151.2-34.9)+(-1.08783+(-0.231336--0.053397))+0-0-0</f>
        <v>826.03423099999998</v>
      </c>
      <c r="AD137">
        <f t="shared" si="2"/>
        <v>17263.176779000001</v>
      </c>
      <c r="AE137" s="3">
        <f>709+(155.1-33)+(0+(0-0))+0-0-0</f>
        <v>831.1</v>
      </c>
    </row>
    <row r="138" spans="1:31" s="2" customFormat="1" x14ac:dyDescent="0.25">
      <c r="A138">
        <v>89</v>
      </c>
      <c r="B138">
        <v>5</v>
      </c>
      <c r="C138">
        <v>14</v>
      </c>
      <c r="D138">
        <v>6</v>
      </c>
      <c r="E138">
        <v>1</v>
      </c>
      <c r="F138" s="3">
        <f>710+(132.7-44.1)+(-0.3621+(-0.067677--0.022491))+0-0-0</f>
        <v>798.19271400000002</v>
      </c>
      <c r="G138" s="3">
        <f>711+(106.5-56.1)+(-0.36261+(-0.054315--0.028611))+0-0-0</f>
        <v>761.01168599999994</v>
      </c>
      <c r="H138" s="3">
        <f>714+(93-73.4)+(-0.72828+(-0.09486--0.074868))+0-0-0</f>
        <v>732.85172799999998</v>
      </c>
      <c r="I138" s="3">
        <f>718+(89-99.9)+(-0.73236+(-0.09078--0.101898))+0-0-0</f>
        <v>706.37875800000006</v>
      </c>
      <c r="J138" s="3">
        <f>711+(86-114.1)+(-1.45044+(-0.17544--0.232764))+0-0-0</f>
        <v>681.50688400000001</v>
      </c>
      <c r="K138" s="3">
        <f>713+(88-148.8)+(-1.81815+(-0.2244--0.37944))+0-0-0</f>
        <v>650.53689000000008</v>
      </c>
      <c r="L138" s="3">
        <f>665+(80-168.7)+(-1.01745+(-0.1224--0.258111))+9.4-0-0</f>
        <v>584.81826099999989</v>
      </c>
      <c r="M138" s="3">
        <f>538+(84-55.3)+(-0.27438+(-0.04284--0.028203))+2.4-0-0</f>
        <v>568.81098300000008</v>
      </c>
      <c r="N138" s="3">
        <f>493+(107.2-31)+(0.25143+(0.054672-0.01581))+0-0-0</f>
        <v>569.49029200000007</v>
      </c>
      <c r="O138" s="3">
        <f>513+(106.6-30)+(-0.26163+(-0.054366--0.0153))+0-0-0</f>
        <v>589.29930400000001</v>
      </c>
      <c r="P138" s="3">
        <f>618+(94-73.6)+(0.31518+(0.04794-0.037536))+0-0-0</f>
        <v>638.72558400000003</v>
      </c>
      <c r="Q138" s="3">
        <f>689+(99-100.2)+(-0.35139+(-0.05049--0.051102))+0-0-0</f>
        <v>687.44922199999996</v>
      </c>
      <c r="R138" s="3">
        <f>681+(111.4-66.9)+(0+(0-0))+0-0-0</f>
        <v>725.5</v>
      </c>
      <c r="S138" s="3">
        <f>680+(120.8-46.5)+(-1.0404+(-0.184824--0.071145))+0-0-0</f>
        <v>753.14592099999993</v>
      </c>
      <c r="T138" s="3">
        <f>681+(139-40)+(0+(0-0))+0-0-0</f>
        <v>780</v>
      </c>
      <c r="U138" s="3">
        <f>675+(137.9-47.1)+(-1.72125+(-0.351645--0.120105))+0-0-0</f>
        <v>763.8472099999999</v>
      </c>
      <c r="V138" s="3">
        <f>693+(120.5-71.3)+(0.35343+(0.061455-0.036363))+0-0-0</f>
        <v>742.57852200000002</v>
      </c>
      <c r="W138" s="3">
        <f>704+(96-106.8)+(-1.07712+(-0.14688--0.163404))+0-0-0</f>
        <v>692.13940400000001</v>
      </c>
      <c r="X138" s="3">
        <f>707+(87-154)+(-1.44228+(-0.17748--0.31416))+0-0-0</f>
        <v>638.69439999999997</v>
      </c>
      <c r="Y138" s="3">
        <f>714+(100-97.3)+(-0.36414+(-0.051--0.049623))+0-0-0</f>
        <v>716.33448300000009</v>
      </c>
      <c r="Z138" s="3">
        <f>714+(137.2-34.2)+(-1.09242+(-0.209916--0.052326))+0-0-0</f>
        <v>815.74999000000003</v>
      </c>
      <c r="AA138" s="3">
        <f>715+(154.1-33)+(-1.09395+(-0.235773--0.05049))+0-0-0</f>
        <v>834.82076700000005</v>
      </c>
      <c r="AB138" s="3">
        <f>700+(165.6-33)+(-1.428+(-0.337824--0.06732))+0-0-0</f>
        <v>830.90149600000007</v>
      </c>
      <c r="AC138" s="3">
        <f>699+(145.8-33.5)+(-0.35649+(-0.074358--0.017085))+0-0-0</f>
        <v>810.88623699999994</v>
      </c>
      <c r="AD138">
        <f t="shared" si="2"/>
        <v>17073.670736</v>
      </c>
      <c r="AE138" s="3">
        <f>714+(153.3-33)+(0+(0-0))+0-0-0</f>
        <v>834.3</v>
      </c>
    </row>
    <row r="139" spans="1:31" s="2" customFormat="1" x14ac:dyDescent="0.25">
      <c r="A139">
        <v>89</v>
      </c>
      <c r="B139">
        <v>5</v>
      </c>
      <c r="C139">
        <v>15</v>
      </c>
      <c r="D139">
        <v>7</v>
      </c>
      <c r="E139">
        <v>1</v>
      </c>
      <c r="F139" s="3">
        <f>701+(129.1-46.4)+(-1.07253+(-0.197523--0.070992))+0-0-0</f>
        <v>782.50093900000002</v>
      </c>
      <c r="G139" s="3">
        <f>702+(113.4-57.6)+(-1.07406+(-0.173502--0.088128))+0-0-0</f>
        <v>756.64056599999992</v>
      </c>
      <c r="H139" s="3">
        <f>712+(96.3-76)+(0+(0-0))+0-0-0</f>
        <v>732.3</v>
      </c>
      <c r="I139" s="3">
        <f>720+(94-95.5)+(-1.1016+(-0.14382--0.146115))+0-0-0</f>
        <v>717.40069500000004</v>
      </c>
      <c r="J139" s="3">
        <f>715+(89-116.8)+(-0.36465+(-0.04539--0.059568))+0-0-0</f>
        <v>686.84952800000008</v>
      </c>
      <c r="K139" s="3">
        <f>716+(86-152.8)+(-1.8258+(-0.2193--0.38964))+0-0-0</f>
        <v>647.5445400000001</v>
      </c>
      <c r="L139" s="3">
        <f>668+(85-175.6)+(-1.7034+(-0.21675--0.44778))+2.9-0-0</f>
        <v>578.82763</v>
      </c>
      <c r="M139" s="3">
        <f>662+(79-180.8)+(0+(0-0))+0-0-0</f>
        <v>560.20000000000005</v>
      </c>
      <c r="N139" s="3">
        <f>585+(38-113.9)+(-1.1934+(-0.07752--0.232356))+27.7-0-0</f>
        <v>535.761436</v>
      </c>
      <c r="O139" s="3">
        <f>559+(78-74.5)+(0.57018+(0.07956-0.07599))+0-0-0</f>
        <v>563.07375000000002</v>
      </c>
      <c r="P139" s="3">
        <f>559+(84.5-51.6)+(0+(0-0))+0-0-0</f>
        <v>591.9</v>
      </c>
      <c r="Q139" s="3">
        <f>559+(107.6-35.8)+(-0.28509+(-0.054876--0.018258))+0-0-0</f>
        <v>630.47829200000001</v>
      </c>
      <c r="R139" s="3">
        <f>594+(132.2-35.8)+(-0.90882+(-0.202266--0.054774))+0-0-0</f>
        <v>689.34368799999993</v>
      </c>
      <c r="S139" s="3">
        <f>683+(112.2-57.9)+(-0.34833+(-0.057222--0.029529))+0-0-0</f>
        <v>736.92397699999992</v>
      </c>
      <c r="T139" s="3">
        <f>686+(122.4-55)+(-1.04958+(-0.187272--0.08415))+0-0-0</f>
        <v>752.247298</v>
      </c>
      <c r="U139" s="3">
        <f>688+(119.2-54.6)+(-0.35088+(-0.060792--0.027846))+0-0-0</f>
        <v>752.21617400000002</v>
      </c>
      <c r="V139" s="3">
        <f>696+(95-75.2)+(-1.7748+(-0.24225--0.19176))+0-0-0</f>
        <v>713.97470999999996</v>
      </c>
      <c r="W139" s="3">
        <f>700+(92-131.4)+(-1.785+(-0.2346--0.33507))+0-0-0</f>
        <v>658.91547000000003</v>
      </c>
      <c r="X139" s="3">
        <f>700+(88-177.2)+(-1.071+(-0.13464--0.271116))+0-0-0</f>
        <v>609.86547599999994</v>
      </c>
      <c r="Y139" s="3">
        <f>591+(118.2-38.7)+(0+(0-0))+0-0-0</f>
        <v>670.5</v>
      </c>
      <c r="Z139" s="3">
        <f>690+(144.6-43.3)+(0.3519+(0.073746-0.022083))+0-0-0</f>
        <v>791.70356299999992</v>
      </c>
      <c r="AA139" s="3">
        <f>717+(149.9-42.3)+(-0.36567+(-0.076449--0.021573))+0-0-0</f>
        <v>824.17945400000008</v>
      </c>
      <c r="AB139" s="3">
        <f>717+(152.1-41.8)+(0+(0-0))+0-0-0</f>
        <v>827.3</v>
      </c>
      <c r="AC139" s="3">
        <f>718+(146.9-44.1)+(-1.09854+(-0.224757--0.067473))+0-0-0</f>
        <v>819.54417599999999</v>
      </c>
      <c r="AD139">
        <f t="shared" si="2"/>
        <v>16630.191361999998</v>
      </c>
      <c r="AE139" s="3">
        <f>714+(151.2-42.8)+(0+(0-0))+0-0-0</f>
        <v>822.4</v>
      </c>
    </row>
    <row r="140" spans="1:31" s="2" customFormat="1" x14ac:dyDescent="0.25">
      <c r="A140">
        <v>89</v>
      </c>
      <c r="B140">
        <v>5</v>
      </c>
      <c r="C140">
        <v>16</v>
      </c>
      <c r="D140">
        <v>1</v>
      </c>
      <c r="E140">
        <v>1</v>
      </c>
      <c r="F140" s="3">
        <f>716+(137.4-54.1)+(-0.36516+(-0.070074--0.027591))+0-0-0</f>
        <v>798.89235699999995</v>
      </c>
      <c r="G140" s="3">
        <f>716+(111.7-67.9)+(-0.36516+(-0.056967--0.034629))+0-0-0</f>
        <v>759.4125019999999</v>
      </c>
      <c r="H140" s="3">
        <f>716+(103.7-78.2)+(-0.36516+(-0.052887--0.039882))+0-0-0</f>
        <v>741.12183500000003</v>
      </c>
      <c r="I140" s="3">
        <f>717+(95-90.5)+(-0.73134+(-0.0969--0.09231))+0-0-0</f>
        <v>720.76406999999995</v>
      </c>
      <c r="J140" s="3">
        <f>711+(91-107.3)+(-1.08783+(-0.13923--0.164169))+0-0-0</f>
        <v>693.63710900000001</v>
      </c>
      <c r="K140" s="3">
        <f>710+(83-137.2)+(-1.0863+(-0.12699--0.209916))+0-0-0</f>
        <v>654.79662599999995</v>
      </c>
      <c r="L140" s="3">
        <f>705+(86-188.5)+(-1.79775+(-0.2193--0.480675))+0-0-0</f>
        <v>600.96362499999998</v>
      </c>
      <c r="M140" s="3">
        <f>698+(83-187.8)+(0+(0-0))+0-0-0</f>
        <v>593.20000000000005</v>
      </c>
      <c r="N140" s="3">
        <f>696+(86-173.6)+(-0.35496+(-0.04386--0.088536))+0-0-0</f>
        <v>608.08971599999995</v>
      </c>
      <c r="O140" s="3">
        <f>686+(86-153)+(0+(0-0))+0-0-0</f>
        <v>619</v>
      </c>
      <c r="P140" s="3">
        <f>674+(81-120.2)+(0.34374+(0.04131-0.061302))+0-0-0</f>
        <v>635.12374799999998</v>
      </c>
      <c r="Q140" s="3">
        <f>677+(93.6-90.1)+(-0.34527+(-0.047736--0.045951))+0-0-0</f>
        <v>680.15294500000005</v>
      </c>
      <c r="R140" s="3">
        <f>695+(120.3-66.3)+(0.35445+(0.061353-0.033813))+0-0-0</f>
        <v>749.38198999999997</v>
      </c>
      <c r="S140" s="3">
        <f>709+(151.2-48.2)+(-1.08477+(-0.231336--0.073746))+0-0-0</f>
        <v>810.75764000000004</v>
      </c>
      <c r="T140" s="3">
        <f>702+(132-39.1)+(0+(0-0))+0-0-0</f>
        <v>794.9</v>
      </c>
      <c r="U140" s="3">
        <f>715+(140.9-53.4)+(0+(0-0))+0-0-0</f>
        <v>802.5</v>
      </c>
      <c r="V140" s="3">
        <f>715+(115.8-75.2)+(-1.4586+(-0.236232--0.153408))+7.4-0-0</f>
        <v>761.45857599999999</v>
      </c>
      <c r="W140" s="3">
        <f>718+(99-103.7)+(-0.73236+(-0.10098--0.105774))+3-0-0</f>
        <v>715.57243399999993</v>
      </c>
      <c r="X140" s="3">
        <f>717+(97-148.1)+(-1.09701+(-0.14841--0.226593))+0-0-0</f>
        <v>664.88117299999999</v>
      </c>
      <c r="Y140" s="3">
        <f>721+(104-95.5)+(0+(0-0))+0-0-0</f>
        <v>729.5</v>
      </c>
      <c r="Z140" s="3">
        <f>736+(141.7-35.8)+(0+(0-0))+0-0-0</f>
        <v>841.9</v>
      </c>
      <c r="AA140" s="3">
        <f>763+(147.5-35.4)+(0+(0-0))+0-0-0</f>
        <v>875.1</v>
      </c>
      <c r="AB140" s="3">
        <f>760+(152.7-36.7)+(0.7752+(0.155754-0.037434))+0-0-0</f>
        <v>876.89351999999997</v>
      </c>
      <c r="AC140" s="3">
        <f>718+(175.8-33)+(-0.36618+(-0.089658--0.01683))+0-0-0</f>
        <v>860.36099200000001</v>
      </c>
      <c r="AD140">
        <f t="shared" si="2"/>
        <v>17588.360858000004</v>
      </c>
      <c r="AE140" s="3">
        <f>764+(149.8-36.3)+(0+(0-0))+0-0-0</f>
        <v>877.5</v>
      </c>
    </row>
    <row r="141" spans="1:31" s="2" customFormat="1" x14ac:dyDescent="0.25">
      <c r="A141">
        <v>89</v>
      </c>
      <c r="B141">
        <v>5</v>
      </c>
      <c r="C141">
        <v>17</v>
      </c>
      <c r="D141">
        <v>2</v>
      </c>
      <c r="E141">
        <v>1</v>
      </c>
      <c r="F141" s="3">
        <f>714+(147.1-33.2)+(-1.45656+(-0.300084--0.067728))+0-0-0</f>
        <v>826.21108400000003</v>
      </c>
      <c r="G141" s="3">
        <f>713+(127.3-47.1)+(-0.36363+(-0.064923--0.024021))+0-0-0</f>
        <v>792.79546800000003</v>
      </c>
      <c r="H141" s="3">
        <f>713+(115.3-58.5)+(0+(0-0))+0-0-0</f>
        <v>769.8</v>
      </c>
      <c r="I141" s="3">
        <f>713+(104.6-67.8)+(-1.09089+(-0.160038--0.103734))+0-0-0</f>
        <v>748.65280599999994</v>
      </c>
      <c r="J141" s="3">
        <f>713+(94-78.9)+(-0.72726+(-0.09588--0.080478))+0-0-0</f>
        <v>727.35733800000003</v>
      </c>
      <c r="K141" s="3">
        <f>713+(86-111.2)+(-0.72726+(-0.08772--0.113424))+0-0-0</f>
        <v>687.09844399999997</v>
      </c>
      <c r="L141" s="3">
        <f>706+(90-171.4)+(-1.44024+(-0.1836--0.349656))+0-0-0</f>
        <v>623.32581600000003</v>
      </c>
      <c r="M141" s="3">
        <f>703+(90-170.3)+(0+(0-0))+0-0-0</f>
        <v>622.70000000000005</v>
      </c>
      <c r="N141" s="3">
        <f>701+(91-164)+(-0.35751+(-0.04641--0.08364))+0-0-0</f>
        <v>627.67971999999997</v>
      </c>
      <c r="O141" s="3">
        <f>696+(90-144.6)+(-1.06488+(-0.1377--0.221238))+0-0-0</f>
        <v>640.41865799999994</v>
      </c>
      <c r="P141" s="3">
        <f>676+(101-102.8)+(0+(0-0))+0-0-0</f>
        <v>674.2</v>
      </c>
      <c r="Q141" s="3">
        <f>705+(95-94.6)+(0+(0-0))+0-0-0</f>
        <v>705.4</v>
      </c>
      <c r="R141" s="3">
        <f>710+(120.5-79.4)+(0.3621+(0.061455-0.040494))+0-0-0</f>
        <v>751.48306100000002</v>
      </c>
      <c r="S141" s="3">
        <f>708+(135-59.7)+(-0.36108+(-0.06885--0.030447))+0-0-0</f>
        <v>782.90051699999992</v>
      </c>
      <c r="T141" s="3">
        <f>712+(136.4-54.2)+(0.36312+(0.069564-0.027642))+0-0-0</f>
        <v>794.60504200000003</v>
      </c>
      <c r="U141" s="3">
        <f>715+(135.2-65.4)+(-0.36465+(-0.068952--0.033354))+0-0-0</f>
        <v>784.39975199999992</v>
      </c>
      <c r="V141" s="3">
        <f>725+(119.4-87.5)+(-0.36975+(-0.060894--0.044625))+1.4-0-0</f>
        <v>757.91398099999992</v>
      </c>
      <c r="W141" s="3">
        <f>739+(105-141.3)+(-1.13067+(-0.16065--0.216189))+0.9-0-0</f>
        <v>702.52486899999997</v>
      </c>
      <c r="X141" s="3">
        <f>742+(95-180.7)+(-1.8921+(-0.24225--0.460785))+0-0-0</f>
        <v>654.6264349999999</v>
      </c>
      <c r="Y141" s="3">
        <f>748+(106-117.3)+(-0.76296+(-0.10812--0.119646))+0-0-0</f>
        <v>735.94856600000003</v>
      </c>
      <c r="Z141" s="3">
        <f>761+(142.5-47.3)+(-0.38811+(-0.072675--0.024123))+0-0-0</f>
        <v>855.76333800000009</v>
      </c>
      <c r="AA141" s="3">
        <f>762+(148.9-37)+(-1.16586+(-0.227817--0.05661))+0-0-0</f>
        <v>872.56293299999993</v>
      </c>
      <c r="AB141" s="3">
        <f>743+(173.3-34)+(0+(0-0))+0-0-0</f>
        <v>882.3</v>
      </c>
      <c r="AC141" s="3">
        <f>716+(177.8-33)+(-0.73032+(-0.181356--0.03366))+0-0-0</f>
        <v>859.92198399999995</v>
      </c>
      <c r="AD141">
        <f t="shared" si="2"/>
        <v>17880.589812000002</v>
      </c>
      <c r="AE141" s="3">
        <f>765+(147.5-36.7)+(0+(0-0))+0-0-0</f>
        <v>875.8</v>
      </c>
    </row>
    <row r="142" spans="1:31" s="2" customFormat="1" x14ac:dyDescent="0.25">
      <c r="A142">
        <v>89</v>
      </c>
      <c r="B142">
        <v>5</v>
      </c>
      <c r="C142">
        <v>18</v>
      </c>
      <c r="D142">
        <v>3</v>
      </c>
      <c r="E142">
        <v>1</v>
      </c>
      <c r="F142" s="3">
        <f>710+(154.5-35)+(-1.8105+(-0.393975--0.08925))+0-0-0</f>
        <v>827.38477499999999</v>
      </c>
      <c r="G142" s="3">
        <f>710+(135.9-47.3)+(-0.7242+(-0.138618--0.048246))+0-0-0</f>
        <v>797.78542800000002</v>
      </c>
      <c r="H142" s="3">
        <f>669+(137-34.5)+(-0.34119+(-0.06987--0.017595))+0-0-0</f>
        <v>771.10653500000001</v>
      </c>
      <c r="I142" s="3">
        <f>598+(179.2-30)+(0.30498+(0.091392-0.0153))+0-0-0</f>
        <v>747.58107200000006</v>
      </c>
      <c r="J142" s="3">
        <f>559+(195.4-31)+(0.85527+(0.298962-0.04743))+0-0-0</f>
        <v>724.50680199999999</v>
      </c>
      <c r="K142" s="3">
        <f>559+(172.6-33)+(-0.28509+(-0.088026--0.01683))+0-0-0</f>
        <v>698.24371400000007</v>
      </c>
      <c r="L142" s="3">
        <f>556+(92.7-38.1)+(-0.85068+(-0.141831--0.058293))+0-0-0</f>
        <v>609.66578200000004</v>
      </c>
      <c r="M142" s="3">
        <f>545+(94.2-43)+(0+(0-0))+0-0-0</f>
        <v>596.20000000000005</v>
      </c>
      <c r="N142" s="3">
        <f>635+(91-104.7)+(0.6477+(0.09282-0.106794))+0-0-0</f>
        <v>621.93372599999998</v>
      </c>
      <c r="O142" s="3">
        <f>693+(98-138.9)+(-0.70686+(-0.09996--0.141678))+0-0-0</f>
        <v>651.43485800000008</v>
      </c>
      <c r="P142" s="3">
        <f>689+(97-115.8)+(1.05417+(0.14841-0.177174))+0-0-0</f>
        <v>671.22540600000002</v>
      </c>
      <c r="Q142" s="3">
        <f>689+(101.3-84.8)+(0.35139+(0.051663-0.043248))+0-0-0</f>
        <v>705.85980500000005</v>
      </c>
      <c r="R142" s="3">
        <f>709+(123.7-85)+(-0.72318+(-0.126174--0.0867))+0-0-0</f>
        <v>746.93734600000005</v>
      </c>
      <c r="S142" s="3">
        <f>716+(147-47.5)+(0.36516+(0.07497-0.024225))+0-0-0</f>
        <v>815.91590499999995</v>
      </c>
      <c r="T142" s="3">
        <f>718+(163.4-41.6)+(0+(0-0))+0-0-0</f>
        <v>839.8</v>
      </c>
      <c r="U142" s="3">
        <f>722+(123.2-58.5)+(0+(0-0))+0-0-0</f>
        <v>786.7</v>
      </c>
      <c r="V142" s="3">
        <f>729+(124.5-82.5)+(-0.37179+(-0.063495--0.042075))+0-0-0</f>
        <v>770.60679000000005</v>
      </c>
      <c r="W142" s="3">
        <f>738+(110-116.1)+(-0.75276+(-0.1122--0.118422))+0-0-0</f>
        <v>731.15346199999999</v>
      </c>
      <c r="X142" s="3">
        <f>739+(97-162.1)+(-1.88445+(-0.24735--0.413355))+0-0-0</f>
        <v>672.181555</v>
      </c>
      <c r="Y142" s="3">
        <f>749+(104-104.3)+(-0.76398+(-0.10608--0.106386))+0-0-0</f>
        <v>747.93632600000001</v>
      </c>
      <c r="Z142" s="3">
        <f>763+(139.2-45)+(-0.38913+(-0.070992--0.02295))+0-0-0</f>
        <v>856.76282800000001</v>
      </c>
      <c r="AA142" s="3">
        <f>763+(163.5-34.8)+(-1.55652+(-0.33354--0.070992))+0-0-0</f>
        <v>889.88093200000003</v>
      </c>
      <c r="AB142" s="3">
        <f>730+(201.7-33)+(-0.7446+(-0.205734--0.03366))+0-0-0</f>
        <v>897.7833260000001</v>
      </c>
      <c r="AC142" s="3">
        <f>715+(186.6-33)+(-0.7293+(-0.190332--0.03366))+0-0-0</f>
        <v>867.71402799999998</v>
      </c>
      <c r="AD142">
        <f t="shared" si="2"/>
        <v>18046.300400999997</v>
      </c>
      <c r="AE142" s="3">
        <f>765+(149.2-38)+(0+(0-0))+0-0-0</f>
        <v>876.2</v>
      </c>
    </row>
    <row r="143" spans="1:31" s="2" customFormat="1" x14ac:dyDescent="0.25">
      <c r="A143">
        <v>89</v>
      </c>
      <c r="B143">
        <v>5</v>
      </c>
      <c r="C143">
        <v>19</v>
      </c>
      <c r="D143">
        <v>4</v>
      </c>
      <c r="E143">
        <v>1</v>
      </c>
      <c r="F143" s="3">
        <f>715+(157.7-33)+(-0.7293+(-0.160854--0.03366))+0-0-0</f>
        <v>838.84350600000005</v>
      </c>
      <c r="G143" s="3">
        <f>698+(153-36.5)+(-0.71196+(-0.15606--0.03723))+0-0-0</f>
        <v>813.66921000000002</v>
      </c>
      <c r="H143" s="3">
        <f>697+(142.5-42.2)+(-1.42188+(-0.2907--0.086088))+0-0-0</f>
        <v>795.67350799999997</v>
      </c>
      <c r="I143" s="3">
        <f>679+(132.6-37.9)+(0.34629+(0.067626-0.019329))+0-0-0</f>
        <v>774.09458700000005</v>
      </c>
      <c r="J143" s="3">
        <f>565+(204.2-29)+(1.1526+(0.416568-0.05916))+0-0-0</f>
        <v>741.71000800000002</v>
      </c>
      <c r="K143" s="3">
        <f>515+(224-29)+(0.5253+(0.22848-0.02958))+0-0-0</f>
        <v>710.7242</v>
      </c>
      <c r="L143" s="3">
        <f>521+(119.6-30)+(-0.53142+(-0.121992--0.0306))+4.8-0-0</f>
        <v>614.77718800000002</v>
      </c>
      <c r="M143" s="3">
        <f>526+(100.3-30)+(0.53652+(0.102306-0.0306))+13-0-0</f>
        <v>609.9082259999999</v>
      </c>
      <c r="N143" s="3">
        <f>531+(111-30)+(0.81243+(0.16983-0.0459))+1.1-0-0</f>
        <v>614.03636000000006</v>
      </c>
      <c r="O143" s="3">
        <f>549+(113.2-31)+(1.11996+(0.230928-0.06324))+0-0-0</f>
        <v>632.48764800000004</v>
      </c>
      <c r="P143" s="3">
        <f>552+(133.3-32)+(0.56304+(0.135966-0.03264))+0-0-0</f>
        <v>653.96636599999999</v>
      </c>
      <c r="Q143" s="3">
        <f>645+(125.1-84.7)+(0+(0-0))+0-0-0</f>
        <v>685.4</v>
      </c>
      <c r="R143" s="3">
        <f>702+(140-101.5)+(0.35802+(0.0714-0.051765))+0-0-0</f>
        <v>740.877655</v>
      </c>
      <c r="S143" s="3">
        <f>708+(146.3-73.9)+(0+(0-0))+0-0-0</f>
        <v>780.4</v>
      </c>
      <c r="T143" s="3">
        <f>715+(130.2-70.3)+(0+(0-0))+0-0-0</f>
        <v>774.9</v>
      </c>
      <c r="U143" s="3">
        <f>715+(115.7-81.2)+(0.36465+(0.059007-0.041412))+0-0-0</f>
        <v>749.88224500000001</v>
      </c>
      <c r="V143" s="3">
        <f>720+(115.8-101.1)+(0.7344+(0.118116-0.103122))+0-0-0</f>
        <v>735.4493940000001</v>
      </c>
      <c r="W143" s="3">
        <f>726+(102-128.5)+(-1.48104+(-0.20808--0.26214))+0-0-0</f>
        <v>698.07302000000004</v>
      </c>
      <c r="X143" s="3">
        <f>741+(98-159.4)+(-1.88955+(-0.2499--0.40647))+0-0-0</f>
        <v>677.86702000000002</v>
      </c>
      <c r="Y143" s="3">
        <f>629+(162-29)+(0.64158+(0.16524-0.02958))+0-0-0</f>
        <v>762.77724000000001</v>
      </c>
      <c r="Z143" s="3">
        <f>712+(173.8-29)+(0+(0-0))+0-0-0</f>
        <v>856.8</v>
      </c>
      <c r="AA143" s="3">
        <f>767+(155.2-34.2)+(-0.78234+(-0.158304--0.034884))+0-0-0</f>
        <v>887.09424000000001</v>
      </c>
      <c r="AB143" s="3">
        <f>742+(193.3-34)+(-0.37842+(-0.098583--0.01734))+0-0-0</f>
        <v>900.84033699999998</v>
      </c>
      <c r="AC143" s="3">
        <f>719+(178.9-33)+(-1.46676+(-0.364956--0.06732))+0-0-0</f>
        <v>863.13560399999994</v>
      </c>
      <c r="AD143">
        <f t="shared" si="2"/>
        <v>17913.387561999996</v>
      </c>
      <c r="AE143" s="3">
        <f>766+(156.7-37.2)+(0+(0-0))+0-0-0</f>
        <v>885.5</v>
      </c>
    </row>
    <row r="144" spans="1:31" s="2" customFormat="1" x14ac:dyDescent="0.25">
      <c r="A144">
        <v>89</v>
      </c>
      <c r="B144">
        <v>5</v>
      </c>
      <c r="C144">
        <v>20</v>
      </c>
      <c r="D144">
        <v>5</v>
      </c>
      <c r="E144">
        <v>1</v>
      </c>
      <c r="F144" s="3">
        <f>722+(161.3-35.5)+(-1.47288+(-0.329052--0.07242))+0-0-0</f>
        <v>846.07048799999995</v>
      </c>
      <c r="G144" s="3">
        <f>722+(135.6-46.3)+(-1.10466+(-0.207468--0.070839))+0-0-0</f>
        <v>810.0587109999999</v>
      </c>
      <c r="H144" s="3">
        <f>722+(123.9-57.2)+(-1.47288+(-0.252756--0.116688))+0-0-0</f>
        <v>787.09105199999999</v>
      </c>
      <c r="I144" s="3">
        <f>722+(109.6-62.9)+(-1.8411+(-0.27948--0.160395))+0-0-0</f>
        <v>766.73981500000002</v>
      </c>
      <c r="J144" s="3">
        <f>717+(94.6-72.6)+(-2.19402+(-0.289476--0.222156))+0-0-0</f>
        <v>736.73865999999998</v>
      </c>
      <c r="K144" s="3">
        <f>716+(88-93.7)+(-1.46064+(-0.17952--0.191148))+0-0-0</f>
        <v>708.85098799999992</v>
      </c>
      <c r="L144" s="3">
        <f>710+(95-144)+(-2.1726+(-0.2907--0.44064))+0-0-0</f>
        <v>658.97734000000003</v>
      </c>
      <c r="M144" s="3">
        <f>703+(94-147.1)+(-1.07559+(-0.14382--0.225063))+0-0-0</f>
        <v>648.90565300000003</v>
      </c>
      <c r="N144" s="3">
        <f>699+(96-138.7)+(0+(0-0))+0-0-0</f>
        <v>656.3</v>
      </c>
      <c r="O144" s="3">
        <f>697+(98-126.1)+(-0.35547+(-0.04998--0.064311))+0-0-0</f>
        <v>668.55886099999998</v>
      </c>
      <c r="P144" s="3">
        <f>702+(97-119.5)+(1.07406+(0.14841-0.182835))+0-0-0</f>
        <v>680.53963499999998</v>
      </c>
      <c r="Q144" s="3">
        <f>725+(95-135.3)+(-0.36975+(-0.04845--0.069003))+0-0-0</f>
        <v>684.35080300000004</v>
      </c>
      <c r="R144" s="3">
        <f>714+(114.1-80.1)+(0.36414+(0.058191-0.040851))+0-0-0</f>
        <v>748.38148000000001</v>
      </c>
      <c r="S144" s="3">
        <f>715+(142-73.4)+(0+(0-0))+0-0-0</f>
        <v>783.6</v>
      </c>
      <c r="T144" s="3">
        <f>721+(140.9-49.4)+(0.36771+(0.071859-0.025194))+0-0-0</f>
        <v>812.91437499999995</v>
      </c>
      <c r="U144" s="3">
        <f>724+(136-50.9)+(0+(0-0))+0-0-0</f>
        <v>809.1</v>
      </c>
      <c r="V144" s="3">
        <f>731+(112.7-72.8)+(-1.49124+(-0.229908--0.148512))+0-0-0</f>
        <v>769.32736399999999</v>
      </c>
      <c r="W144" s="3">
        <f>735+(93-99.4)+(-1.4994+(-0.18972--0.202776))+0-0-0</f>
        <v>727.11365599999999</v>
      </c>
      <c r="X144" s="3">
        <f>736+(95-149.3)+(-2.25216+(-0.2907--0.456858))+0-0-0</f>
        <v>679.61399800000004</v>
      </c>
      <c r="Y144" s="3">
        <f>754+(120-92)+(0.38454+(0.0612-0.04692))+0-0-0</f>
        <v>782.39882</v>
      </c>
      <c r="Z144" s="3">
        <f>769+(145.5-49)+(0.78438+(0.14841-0.04998))+0-0-0</f>
        <v>866.38280999999995</v>
      </c>
      <c r="AA144" s="3">
        <f>763+(157.5-36.9)+(-1.16739+(-0.240975--0.056457))+0-0-0</f>
        <v>882.24809200000004</v>
      </c>
      <c r="AB144" s="3">
        <f>758+(168.7-34)+(0+(0-0))+0-0-0</f>
        <v>892.7</v>
      </c>
      <c r="AC144" s="3">
        <f>737+(173.7-34)+(-1.12761+(-0.265761--0.05202))+0-0-0</f>
        <v>875.35864900000001</v>
      </c>
      <c r="AD144">
        <f t="shared" si="2"/>
        <v>18282.321250000005</v>
      </c>
      <c r="AE144" s="3">
        <f>765+(144.8-37.5)+(0+(0-0))+0-0-0</f>
        <v>872.3</v>
      </c>
    </row>
    <row r="145" spans="1:31" s="2" customFormat="1" x14ac:dyDescent="0.25">
      <c r="A145">
        <v>89</v>
      </c>
      <c r="B145">
        <v>5</v>
      </c>
      <c r="C145">
        <v>21</v>
      </c>
      <c r="D145">
        <v>6</v>
      </c>
      <c r="E145">
        <v>8</v>
      </c>
      <c r="F145" s="3">
        <f>718+(155.9-35.9)+(-1.46472+(-0.318036--0.073236))+0-0-0</f>
        <v>836.29048</v>
      </c>
      <c r="G145" s="3">
        <f>718+(135-49.4)+(-1.46472+(-0.2754--0.100776))+0-0-0</f>
        <v>801.96065599999997</v>
      </c>
      <c r="H145" s="3">
        <f>718+(123-58.7)+(0+(0-0))+0-0-0</f>
        <v>782.3</v>
      </c>
      <c r="I145" s="3">
        <f>717+(118.8-56)+(0.73134+(0.121176-0.05712))+0-0-0</f>
        <v>780.59539599999994</v>
      </c>
      <c r="J145" s="3">
        <f>713+(94-73.4)+(-1.09089+(-0.14382--0.112302))+0-0-0</f>
        <v>732.47759200000007</v>
      </c>
      <c r="K145" s="3">
        <f>714+(89-111.6)+(-1.8207+(-0.22695--0.28458))+0-0-0</f>
        <v>689.63693000000001</v>
      </c>
      <c r="L145" s="3">
        <f>621+(92-66.2)+(-2.53368+(-0.37536--0.270096))+0-0-0</f>
        <v>644.16105599999992</v>
      </c>
      <c r="M145" s="3">
        <f>598+(94-54.8)+(0.60996+(0.09588-0.055896))+0-0-0</f>
        <v>637.84994400000005</v>
      </c>
      <c r="N145" s="3">
        <f>690+(94-119.6)+(0.7038+(0.09588-0.121992))+0-0-0</f>
        <v>665.07768799999997</v>
      </c>
      <c r="O145" s="3">
        <f>698+(95-117.5)+(1.42392+(0.1938-0.2397))+0-0-0</f>
        <v>676.87801999999999</v>
      </c>
      <c r="P145" s="3">
        <f>697+(98-89.3)+(0.71094+(0.09996-0.091086))+0-0-0</f>
        <v>706.41981400000009</v>
      </c>
      <c r="Q145" s="3">
        <f>658+(128.8-42.2)+(0+(0-0))+0-0-0</f>
        <v>744.6</v>
      </c>
      <c r="R145" s="3">
        <f>665+(146.5-34.7)+(0.6783+(0.14943-0.035394))+0-0-0</f>
        <v>777.59233599999993</v>
      </c>
      <c r="S145" s="3">
        <f>716+(138.2-45.3)+(0+(0-0))+0-0-0</f>
        <v>808.9</v>
      </c>
      <c r="T145" s="3">
        <f>718+(147.5-40.5)+(0+(0-0))+0-0-0</f>
        <v>825</v>
      </c>
      <c r="U145" s="3">
        <f>721+(142.9-47.5)+(-0.36771+(-0.072879--0.024225))+0-0-0</f>
        <v>815.98363599999993</v>
      </c>
      <c r="V145" s="3">
        <f>722+(132.9-61.2)+(-0.36822+(-0.067779--0.031212))+0-0-0</f>
        <v>793.29521299999999</v>
      </c>
      <c r="W145" s="3">
        <f>723+(98.6-73.1)+(-1.10619+(-0.150858--0.111843))+0-0-0</f>
        <v>747.35479499999997</v>
      </c>
      <c r="X145" s="3">
        <f>714+(100-91.3)+(-1.45656+(-0.204--0.186252))+0-0-0</f>
        <v>721.22569200000009</v>
      </c>
      <c r="Y145" s="3">
        <f>701+(147.3-32)+(0.35751+(0.075123-0.01632))+0-0-0</f>
        <v>816.7163129999999</v>
      </c>
      <c r="Z145" s="3">
        <f>765+(146.3-30.1)+(0.7803+(0.149226-0.030702))+0-0-0</f>
        <v>882.09882400000004</v>
      </c>
      <c r="AA145" s="3">
        <f>765+(160.1-30)+(-0.39015+(-0.081651--0.0153))+0-0-0</f>
        <v>894.64349900000002</v>
      </c>
      <c r="AB145" s="3">
        <f>756+(168.2-33)+(-0.38556+(-0.085782--0.01683))+0-0-0</f>
        <v>890.74548800000002</v>
      </c>
      <c r="AC145" s="3">
        <f>714+(155.9-33)+(0.36414+(0.079509-0.01683))+0-0-0</f>
        <v>837.326819</v>
      </c>
      <c r="AD145">
        <f t="shared" si="2"/>
        <v>18509.130191</v>
      </c>
      <c r="AE145" s="3">
        <f>760+(164.3-34)+(0+(0-0))+0-0-0</f>
        <v>890.3</v>
      </c>
    </row>
    <row r="146" spans="1:31" s="2" customFormat="1" x14ac:dyDescent="0.25">
      <c r="A146">
        <v>89</v>
      </c>
      <c r="B146">
        <v>5</v>
      </c>
      <c r="C146">
        <v>22</v>
      </c>
      <c r="D146">
        <v>7</v>
      </c>
      <c r="E146">
        <v>1</v>
      </c>
      <c r="F146" s="3">
        <f>660+(196.5-32)+(0.3366+(0.100215-0.01632))+0-0-0</f>
        <v>824.92049499999996</v>
      </c>
      <c r="G146" s="3">
        <f>599+(217-32)+(-0.61098+(-0.22134--0.03264))+0-0-0</f>
        <v>783.20032000000003</v>
      </c>
      <c r="H146" s="3">
        <f>600+(199.5-32)+(-0.306+(-0.101745--0.01632))+0-0-0</f>
        <v>767.10857499999997</v>
      </c>
      <c r="I146" s="3">
        <f>600+(188.9-30)+(0+(0-0))+0-0-0</f>
        <v>758.9</v>
      </c>
      <c r="J146" s="3">
        <f>596+(163.8-32)+(-0.30396+(-0.083538--0.01632))+0-0-0</f>
        <v>727.42882199999997</v>
      </c>
      <c r="K146" s="3">
        <f>596+(132.6-42.4)+(-0.60792+(-0.135252--0.043248))+0-0-0</f>
        <v>685.50007600000004</v>
      </c>
      <c r="L146" s="3">
        <f>569+(117.7-47.7)+(-1.16076+(-0.240108--0.097308))+0-0-0</f>
        <v>637.69644000000005</v>
      </c>
      <c r="M146" s="3">
        <f>452+(198.6-32)+(-0.23052+(-0.101286--0.01632))+0-0-0</f>
        <v>618.28451400000006</v>
      </c>
      <c r="N146" s="3">
        <f>482+(163.6-31)+(-0.73746+(-0.250308--0.04743))+0-0-0</f>
        <v>613.65966200000003</v>
      </c>
      <c r="O146" s="3">
        <f>519+(145.8-30)+(0.26469+(0.074358-0.0153))+0-0-0</f>
        <v>635.12374799999998</v>
      </c>
      <c r="P146" s="3">
        <f>583+(119.3-40.5)+(-0.59466+(-0.121686--0.04131))+0-0-0</f>
        <v>661.12496399999998</v>
      </c>
      <c r="Q146" s="3">
        <f>588+(142.9-33)+(0+(0-0))+0-0-0</f>
        <v>697.9</v>
      </c>
      <c r="R146" s="3">
        <f>579+(188.7-33)+(0.29529+(0.096237-0.01683))+0-0-0</f>
        <v>735.07469700000001</v>
      </c>
      <c r="S146" s="3">
        <f>590+(201.8-33)+(0+(0-0))+0-0-0</f>
        <v>758.8</v>
      </c>
      <c r="T146" s="3">
        <f>598+(198.5-32)+(0.30498+(0.101235-0.01632))+0-0-0</f>
        <v>764.88989500000002</v>
      </c>
      <c r="U146" s="3">
        <f>598+(194.9-31)+(0+(0-0))+0-0-0</f>
        <v>761.9</v>
      </c>
      <c r="V146" s="3">
        <f>600+(167.9-29)+(-0.918+(-0.256887--0.04437))+0-0-0</f>
        <v>737.76948299999992</v>
      </c>
      <c r="W146" s="3">
        <f>611+(136.9-42.6)+(-0.93483+(-0.209457--0.065178))+0-0-0</f>
        <v>704.22089099999994</v>
      </c>
      <c r="X146" s="3">
        <f>616+(103.4-45.4)+(-1.25664+(-0.210936--0.092616))+0-0-0</f>
        <v>672.62504000000001</v>
      </c>
      <c r="Y146" s="3">
        <f>620+(157.2-16)+(-0.6324+(-0.160344--0.01632))+0-0-0</f>
        <v>760.42357600000003</v>
      </c>
      <c r="Z146" s="3">
        <f>620+(252.8-31)+(-0.3162+(-0.128928--0.01581))+0-0-0</f>
        <v>841.37068199999999</v>
      </c>
      <c r="AA146" s="3">
        <f>615+(290.5-34)+(-1.56825+(-0.740775--0.0867))+0-0-0</f>
        <v>869.27767500000004</v>
      </c>
      <c r="AB146" s="3">
        <f>603+(290.3-34)+(-0.61506+(-0.296106--0.03468))+0-0-0</f>
        <v>858.42351399999995</v>
      </c>
      <c r="AC146" s="3">
        <f>604+(265.9-33)+(0.30804+(0.135609-0.01683))+0-0-0</f>
        <v>837.326819</v>
      </c>
      <c r="AD146">
        <f t="shared" si="2"/>
        <v>17712.949887999999</v>
      </c>
      <c r="AE146" s="3">
        <f>621+(262.8-34)+(0+(0-0))+0-0-0</f>
        <v>849.8</v>
      </c>
    </row>
    <row r="147" spans="1:31" s="2" customFormat="1" x14ac:dyDescent="0.25">
      <c r="A147">
        <v>89</v>
      </c>
      <c r="B147">
        <v>5</v>
      </c>
      <c r="C147">
        <v>23</v>
      </c>
      <c r="D147">
        <v>1</v>
      </c>
      <c r="E147">
        <v>1</v>
      </c>
      <c r="F147" s="3">
        <f>598+(230.1-32)+(-1.21992+(-0.469404--0.06528))+0-0-0</f>
        <v>794.475956</v>
      </c>
      <c r="G147" s="3">
        <f>598+(196.2-32)+(0.30498+(0.100062-0.01632))+0-0-0</f>
        <v>762.58872200000008</v>
      </c>
      <c r="H147" s="3">
        <f>598+(178.6-32)+(-0.60996+(-0.182172--0.03264))+0-0-0</f>
        <v>743.840508</v>
      </c>
      <c r="I147" s="3">
        <f>598+(170.8-32)+(-1.21992+(-0.348432--0.06528))+0-0-0</f>
        <v>735.29692799999998</v>
      </c>
      <c r="J147" s="3">
        <f>596+(142.3-35.8)+(-0.30396+(-0.072573--0.018258))+0-0-0</f>
        <v>702.14172499999995</v>
      </c>
      <c r="K147" s="3">
        <f>524+(163.1-33)+(-0.53448+(-0.166362--0.03366))+0-0-0</f>
        <v>653.432818</v>
      </c>
      <c r="L147" s="3">
        <f>449+(115.7-32)+(-0.45798+(-0.118014--0.03264))+0-0-0</f>
        <v>532.15664600000002</v>
      </c>
      <c r="M147" s="3">
        <f>446+(117.3-32)+(-0.22746+(-0.059823--0.01632))+0-0-0</f>
        <v>531.0290369999999</v>
      </c>
      <c r="N147" s="3">
        <f>444+(136.7-31)+(0.22644+(0.069717-0.01581))+0-0-0</f>
        <v>549.98034700000005</v>
      </c>
      <c r="O147" s="3">
        <f>628+(8.3-68.8)+(-0.96084+(-0.012699--0.105264))+0-0-0</f>
        <v>566.63172499999996</v>
      </c>
      <c r="P147" s="3">
        <f>683+(0-78.7)+(0.34833+(0-0.040137))+0-0-0</f>
        <v>604.60819299999991</v>
      </c>
      <c r="Q147" s="3">
        <f>696+(11.5-70)+(1.06488+(0.017595-0.1071))+0-0-0</f>
        <v>638.47537499999999</v>
      </c>
      <c r="R147" s="3">
        <f>688+(131.8-48.2)+(0.35088+(0.067218-0.024582))+0-0-0</f>
        <v>771.993516</v>
      </c>
      <c r="S147" s="3">
        <f>688+(145.8-37.8)+(0.35088+(0.074358-0.019278))+0-0-0</f>
        <v>796.40596000000005</v>
      </c>
      <c r="T147" s="3">
        <f>693+(151.8-34.4)+(0.35343+(0.077418-0.017544))+0-0-0</f>
        <v>810.81330400000002</v>
      </c>
      <c r="U147" s="3">
        <f>717+(137.2-54.1)+(-0.36567+(-0.069972--0.027591))+0-0-0</f>
        <v>799.69194900000002</v>
      </c>
      <c r="V147" s="3">
        <f>706+(124.6-67)+(0+(0-0))+0-0-0</f>
        <v>763.6</v>
      </c>
      <c r="W147" s="3">
        <f>695+(100-80)+(-1.77225+(-0.255--0.204))+0-0-0</f>
        <v>713.17674999999997</v>
      </c>
      <c r="X147" s="3">
        <f>710+(99-101.9)+(-0.7242+(-0.10098--0.103938))+0-0-0</f>
        <v>706.37875800000006</v>
      </c>
      <c r="Y147" s="3">
        <f>750+(120-72.5)+(-0.765+(-0.1224--0.07395))+0-0-0</f>
        <v>796.68655000000001</v>
      </c>
      <c r="Z147" s="3">
        <f>771+(146.9-47.9)+(-0.39321+(-0.074919--0.024429))+0-0-0</f>
        <v>869.55629999999996</v>
      </c>
      <c r="AA147" s="3">
        <f>771+(151.7-33.8)+(-1.57284+(-0.309468--0.068952))+0-0-0</f>
        <v>887.08664399999998</v>
      </c>
      <c r="AB147" s="3">
        <f>744+(178.4-33)+(-0.75888+(-0.181968--0.03366))+0-0-0</f>
        <v>888.49281199999996</v>
      </c>
      <c r="AC147" s="3">
        <f>727+(165.4-33)+(-0.74154+(-0.168708--0.03366))+0-0-0</f>
        <v>858.52341200000001</v>
      </c>
      <c r="AD147">
        <f t="shared" si="2"/>
        <v>17477.063935000002</v>
      </c>
      <c r="AE147" s="3">
        <f>770+(152.8-37.3)+(0+(0-0))+0-0-0</f>
        <v>885.5</v>
      </c>
    </row>
    <row r="148" spans="1:31" s="2" customFormat="1" x14ac:dyDescent="0.25">
      <c r="A148">
        <v>89</v>
      </c>
      <c r="B148">
        <v>5</v>
      </c>
      <c r="C148">
        <v>24</v>
      </c>
      <c r="D148">
        <v>2</v>
      </c>
      <c r="E148">
        <v>1</v>
      </c>
      <c r="F148" s="3">
        <f>665+(187.5-31)+(-1.01745+(-0.286875--0.04743))+0-0-0</f>
        <v>820.24310500000001</v>
      </c>
      <c r="G148" s="3">
        <f>656+(157.3-30.9)+(-0.33456+(-0.080223--0.015759))+0-0-0</f>
        <v>782.00097599999992</v>
      </c>
      <c r="H148" s="3">
        <f>656+(141.8-39.5)+(0.33456+(0.072318-0.020145))+0-0-0</f>
        <v>758.686733</v>
      </c>
      <c r="I148" s="3">
        <f>648+(148.4-37.1)+(-1.32192+(-0.302736--0.075684))+0-0-0</f>
        <v>757.75102799999991</v>
      </c>
      <c r="J148" s="3">
        <f>578+(171.8-29)+(0.29478+(0.087618-0.01479))+0-0-0</f>
        <v>721.16760799999997</v>
      </c>
      <c r="K148" s="3">
        <f>578+(127.1-37.8)+(-0.88434+(-0.194463--0.057834))+0-0-0</f>
        <v>666.27903099999992</v>
      </c>
      <c r="L148" s="3">
        <f>550+(114.1-44.9)+(-1.122+(-0.232764--0.091596))+0-0-0</f>
        <v>617.93683200000009</v>
      </c>
      <c r="M148" s="3">
        <f>496+(148.3-30)+(-0.50592+(-0.151266--0.0306))+0-0-0</f>
        <v>613.67341399999998</v>
      </c>
      <c r="N148" s="3">
        <f>580+(105.5-64.5)+(0.5916+(0.10761-0.06579))+0-0-0</f>
        <v>621.63342</v>
      </c>
      <c r="O148" s="3">
        <f>638+(94.3-85.9)+(-1.30152+(-0.192372--0.175236))+0-0-0</f>
        <v>645.08134399999994</v>
      </c>
      <c r="P148" s="3">
        <f>662+(92.7-84.7)+(1.01286+(0.141831-0.129591))+0-0-0</f>
        <v>671.02509999999995</v>
      </c>
      <c r="Q148" s="3">
        <f>694+(97.9-73.9)+(-0.70788+(-0.099858--0.075378))+0-0-0</f>
        <v>717.26764000000003</v>
      </c>
      <c r="R148" s="3">
        <f>696+(133.4-54)+(0+(0-0))+0-0-0</f>
        <v>775.4</v>
      </c>
      <c r="S148" s="3">
        <f>705+(153.8-44.2)+(-0.7191+(-0.156876--0.045084))+0-0-0</f>
        <v>813.76910800000007</v>
      </c>
      <c r="T148" s="3">
        <f>718+(146.6-49)+(0.36618+(0.074766-0.02499))+0-0-0</f>
        <v>816.01595600000007</v>
      </c>
      <c r="U148" s="3">
        <f>721+(144.4-54.2)+(-0.36771+(-0.073644--0.027642))+0-0-0</f>
        <v>810.78628800000001</v>
      </c>
      <c r="V148" s="3">
        <f>703+(147.7-60.6)+(-0.71706+(-0.150654--0.061812))+0-0-0</f>
        <v>789.29409800000008</v>
      </c>
      <c r="W148" s="3">
        <f>709+(103.5-92.7)+(0+(0-0))+0-0-0</f>
        <v>719.8</v>
      </c>
      <c r="X148" s="3">
        <f>716+(98-114.6)+(-0.73032+(-0.09996--0.116892))+0-0-0</f>
        <v>698.68661199999997</v>
      </c>
      <c r="Y148" s="3">
        <f>745+(118.9-69.3)+(0+(0-0))+0-0-0</f>
        <v>794.6</v>
      </c>
      <c r="Z148" s="3">
        <f>766+(144.1-41.6)+(-0.78132+(-0.146982--0.042432))+0-0-0</f>
        <v>867.61413000000005</v>
      </c>
      <c r="AA148" s="3">
        <f>767+(153.2-36.3)+(-0.78234+(-0.156264--0.037026))+0-0-0</f>
        <v>882.99842200000001</v>
      </c>
      <c r="AB148" s="3">
        <f>751+(167.4-33)+(-0.76602+(-0.170748--0.03366))+0-0-0</f>
        <v>884.496892</v>
      </c>
      <c r="AC148" s="3">
        <f>725+(171-35.3)+(-0.7395+(-0.17442--0.036006))+0-0-0</f>
        <v>859.82208600000001</v>
      </c>
      <c r="AD148">
        <f t="shared" si="2"/>
        <v>18106.029823000001</v>
      </c>
      <c r="AE148" s="3">
        <f>767+(157.1-36.4)+(0+(0-0))+0-0-0</f>
        <v>887.7</v>
      </c>
    </row>
    <row r="149" spans="1:31" s="2" customFormat="1" x14ac:dyDescent="0.25">
      <c r="A149">
        <v>89</v>
      </c>
      <c r="B149">
        <v>5</v>
      </c>
      <c r="C149">
        <v>25</v>
      </c>
      <c r="D149">
        <v>3</v>
      </c>
      <c r="E149">
        <v>1</v>
      </c>
      <c r="F149" s="3">
        <f>722+(147.2-48.4)+(-2.57754+(-0.525504--0.172788))+0-0-0</f>
        <v>817.86974399999997</v>
      </c>
      <c r="G149" s="3">
        <f>722+(131.3-62.1)+(-1.8411+(-0.334815--0.158355))+0-0-0</f>
        <v>789.18244000000004</v>
      </c>
      <c r="H149" s="3">
        <f>722+(115.3-74.7)+(-0.36822+(-0.058803--0.038097))+0-0-0</f>
        <v>762.21107400000005</v>
      </c>
      <c r="I149" s="3">
        <f>721+(115.2-77.7)+(0.36771+(0.058752-0.039627))+0-0-0</f>
        <v>758.88683500000002</v>
      </c>
      <c r="J149" s="3">
        <f>717+(98-92.9)+(0.36567+(0.04998-0.047379))+0-0-0</f>
        <v>722.46827100000007</v>
      </c>
      <c r="K149" s="3">
        <f>717+(87-126.8)+(-1.46268+(-0.17748--0.258672))+0-0-0</f>
        <v>675.81851200000006</v>
      </c>
      <c r="L149" s="3">
        <f>716+(87-168.9)+(-1.46064+(-0.17748--0.344556))+0-0-0</f>
        <v>632.80643600000008</v>
      </c>
      <c r="M149" s="3">
        <f>711+(86-172.9)+(0+(0-0))+0-0-0</f>
        <v>624.1</v>
      </c>
      <c r="N149" s="3">
        <f>709+(90-150.7)+(0+(0-0))+0-0-0</f>
        <v>648.29999999999995</v>
      </c>
      <c r="O149" s="3">
        <f>707+(91-127.7)+(0+(0-0))+0-0-0</f>
        <v>670.3</v>
      </c>
      <c r="P149" s="3">
        <f>704+(89.4-101.9)+(1.07712+(0.136782-0.155907))+0-0-0</f>
        <v>692.55799500000001</v>
      </c>
      <c r="Q149" s="3">
        <f>703+(112.8-86.3)+(0.71706+(0.115056-0.088026))+0-0-0</f>
        <v>730.24409000000003</v>
      </c>
      <c r="R149" s="3">
        <f>686+(149.7-53.9)+(1.39944+(0.305388-0.109956))+0-0-0</f>
        <v>783.39487199999996</v>
      </c>
      <c r="S149" s="3">
        <f>687+(171.6-44.8)+(-0.70074+(-0.175032--0.045696))+0-0-0</f>
        <v>812.96992399999999</v>
      </c>
      <c r="T149" s="3">
        <f>688+(165.8-45.7)+(0.70176+(0.169116-0.046614))+0-0-0</f>
        <v>808.924262</v>
      </c>
      <c r="U149" s="3">
        <f>690+(165.1-54.3)+(0.7038+(0.168402-0.055386))+0-0-0</f>
        <v>801.61681599999997</v>
      </c>
      <c r="V149" s="3">
        <f>695+(141.3-70.6)+(-1.4178+(-0.288252--0.144024))+0-0-0</f>
        <v>764.13797199999999</v>
      </c>
      <c r="W149" s="3">
        <f>709+(98.6-87.9)+(-0.72318+(-0.100572--0.089658))+0-0-0</f>
        <v>718.96590600000002</v>
      </c>
      <c r="X149" s="3">
        <f>714+(94-122.1)+(-0.72828+(-0.09588--0.124542))+0-0-0</f>
        <v>685.20038199999999</v>
      </c>
      <c r="Y149" s="3">
        <f>733+(106-74.2)+(0.37383+(0.05406-0.037842))+0-0-0</f>
        <v>765.19004799999993</v>
      </c>
      <c r="Z149" s="3">
        <f>767+(145.9-58.8)+(-0.39117+(-0.074409--0.029988))+0-0-0</f>
        <v>853.66440899999998</v>
      </c>
      <c r="AA149" s="3">
        <f>767+(163.3-48.4)+(0+(0-0))+0-0-0</f>
        <v>881.9</v>
      </c>
      <c r="AB149" s="3">
        <f>763+(146.1-47.2)+(-0.77826+(-0.149022--0.048144))+0-0-0</f>
        <v>861.02086199999997</v>
      </c>
      <c r="AC149" s="3">
        <f>731+(155.2-45.3)+(-0.74562+(-0.158304--0.046206))+0-0-0</f>
        <v>840.042282</v>
      </c>
      <c r="AD149">
        <f t="shared" si="2"/>
        <v>18101.773132000002</v>
      </c>
      <c r="AE149" s="3">
        <f>759+(146.6-51)+(0+(0-0))+0-0-0</f>
        <v>854.6</v>
      </c>
    </row>
    <row r="150" spans="1:31" s="2" customFormat="1" x14ac:dyDescent="0.25">
      <c r="A150">
        <v>89</v>
      </c>
      <c r="B150">
        <v>5</v>
      </c>
      <c r="C150">
        <v>26</v>
      </c>
      <c r="D150">
        <v>4</v>
      </c>
      <c r="E150">
        <v>1</v>
      </c>
      <c r="F150" s="3">
        <f>721+(145.9-58.2)+(-1.47084+(-0.297636--0.118728))+0-0-0</f>
        <v>807.050252</v>
      </c>
      <c r="G150" s="3">
        <f>721+(126.7-68.9)+(-0.73542+(-0.129234--0.070278))+0-0-0</f>
        <v>778.0056239999999</v>
      </c>
      <c r="H150" s="3">
        <f>721+(113.7-78.3)+(-0.36771+(-0.057987--0.039933))+0-0-0</f>
        <v>756.01423599999998</v>
      </c>
      <c r="I150" s="3">
        <f>721+(115.9-82.5)+(-1.47084+(-0.236436--0.1683))+0-0-0</f>
        <v>752.86102399999993</v>
      </c>
      <c r="J150" s="3">
        <f>715+(103-102.9)+(0.7293+(0.10506-0.104958))+0-0-0</f>
        <v>715.82940200000007</v>
      </c>
      <c r="K150" s="3">
        <f>715+(84-141.7)+(-0.7293+(-0.08568--0.144534))+0-0-0</f>
        <v>656.62955399999998</v>
      </c>
      <c r="L150" s="3">
        <f>663+(92-123.5)+(-1.35252+(-0.18768--0.25194))+0-0-0</f>
        <v>630.21173999999996</v>
      </c>
      <c r="M150" s="3">
        <f>562+(128-67)+(0.28662+(0.06528-0.03417))+0-0-0</f>
        <v>623.31772999999998</v>
      </c>
      <c r="N150" s="3">
        <f>569+(116.7-48.9)+(0+(0-0))+0-0-0</f>
        <v>636.79999999999995</v>
      </c>
      <c r="O150" s="3">
        <f>701+(81-134.4)+(0+(0-0))+0-0-0</f>
        <v>647.6</v>
      </c>
      <c r="P150" s="3">
        <f>697+(85-115.2)+(0.71094+(0.0867-0.117504))+0-0-0</f>
        <v>667.4801359999999</v>
      </c>
      <c r="Q150" s="3">
        <f>697+(96.9-92.9)+(0.71094+(0.098838-0.094758))+0-0-0</f>
        <v>701.71501999999998</v>
      </c>
      <c r="R150" s="3">
        <f>691+(138.7-65.9)+(0+(0-0))+0-0-0</f>
        <v>763.8</v>
      </c>
      <c r="S150" s="3">
        <f>691+(159.6-46.2)+(0+(0-0))+0-0-0</f>
        <v>804.4</v>
      </c>
      <c r="T150" s="3">
        <f>694+(171.1-43.8)+(0+(0-0))+0-0-0</f>
        <v>821.3</v>
      </c>
      <c r="U150" s="3">
        <f>699+(166.2-49.3)+(-0.35649+(-0.084762--0.025143))+0-0-0</f>
        <v>815.48389099999997</v>
      </c>
      <c r="V150" s="3">
        <f>701+(138.8-68.2)+(-0.35751+(-0.070788--0.034782))+0-0-0</f>
        <v>771.20648400000005</v>
      </c>
      <c r="W150" s="3">
        <f>709+(107.8-93.3)+(-1.44636+(-0.219912--0.190332))+0-0-0</f>
        <v>722.02405999999996</v>
      </c>
      <c r="X150" s="3">
        <f>702+(98-101.7)+(-1.07406+(-0.14994--0.155601))+0-0-0</f>
        <v>697.23160099999996</v>
      </c>
      <c r="Y150" s="3">
        <f>651+(155.8-27)+(0.33201+(0.079458-0.01377))+0-0-0</f>
        <v>780.19769799999995</v>
      </c>
      <c r="Z150" s="3">
        <f>768+(151.3-48.4)+(-0.39168+(-0.077163--0.024684))+0-0-0</f>
        <v>870.45584099999996</v>
      </c>
      <c r="AA150" s="3">
        <f>769+(150.5-40.7)+(-1.17657+(-0.230265--0.062271))+0-0-0</f>
        <v>877.45543599999996</v>
      </c>
      <c r="AB150" s="3">
        <f>758+(159.7-36.9)+(0.38658+(0.081447-0.018819))+0-0-0</f>
        <v>881.24920799999995</v>
      </c>
      <c r="AC150" s="3">
        <f>723+(160.7-37.3)+(0+(0-0))+0-0-0</f>
        <v>846.4</v>
      </c>
      <c r="AD150">
        <f t="shared" si="2"/>
        <v>18024.718937000001</v>
      </c>
      <c r="AE150" s="3">
        <f>771+(147.6-43.5)+(0+(0-0))+0-0-0</f>
        <v>875.1</v>
      </c>
    </row>
    <row r="151" spans="1:31" s="2" customFormat="1" x14ac:dyDescent="0.25">
      <c r="A151">
        <v>89</v>
      </c>
      <c r="B151">
        <v>5</v>
      </c>
      <c r="C151">
        <v>27</v>
      </c>
      <c r="D151">
        <v>5</v>
      </c>
      <c r="E151">
        <v>1</v>
      </c>
      <c r="F151" s="3">
        <f>717+(141.3-56.3)+(-1.09701+(-0.216189--0.086139))+0-0-0</f>
        <v>800.77293999999995</v>
      </c>
      <c r="G151" s="3">
        <f>718+(119.6-71.1)+(-0.36618+(-0.060996--0.036261))+0-0-0</f>
        <v>766.10908500000005</v>
      </c>
      <c r="H151" s="3">
        <f>720+(105.9-82.2)+(-0.3672+(-0.054009--0.041922))+0-0-0</f>
        <v>743.32071300000007</v>
      </c>
      <c r="I151" s="3">
        <f>721+(109.7-88)+(0+(0-0))+0-0-0</f>
        <v>742.7</v>
      </c>
      <c r="J151" s="3">
        <f>716+(100-105.1)+(-1.09548+(-0.153--0.160803))+0-0-0</f>
        <v>709.81232299999999</v>
      </c>
      <c r="K151" s="3">
        <f>716+(92-143.5)+(-1.09548+(-0.14076--0.219555))+0-0-0</f>
        <v>663.48331499999995</v>
      </c>
      <c r="L151" s="3">
        <f>709+(87-174.5)+(-0.72318+(-0.08874--0.17799))+0-0-0</f>
        <v>620.86607000000004</v>
      </c>
      <c r="M151" s="3">
        <f>703+(90-173.1)+(0.35853+(0.0459-0.088281))+0-0-0</f>
        <v>620.21614899999997</v>
      </c>
      <c r="N151" s="3">
        <f>693+(97-149)+(-0.70686+(-0.09894--0.15198))+0-0-0</f>
        <v>640.34618</v>
      </c>
      <c r="O151" s="3">
        <f>692+(93-124.6)+(0+(0-0))+0-0-0</f>
        <v>660.4</v>
      </c>
      <c r="P151" s="3">
        <f>709+(98-124.8)+(0.72318+(0.09996-0.127296))+0-0-0</f>
        <v>682.89584400000001</v>
      </c>
      <c r="Q151" s="3">
        <f>729+(104-111.3)+(0+(0-0))+0-0-0</f>
        <v>721.7</v>
      </c>
      <c r="R151" s="3">
        <f>717+(121.1-82.2)+(0.36567+(0.061761-0.041922))+0-0-0</f>
        <v>756.28550899999993</v>
      </c>
      <c r="S151" s="3">
        <f>714+(136.8-69.8)+(0+(0-0))+0-0-0</f>
        <v>781</v>
      </c>
      <c r="T151" s="3">
        <f>717+(146.7-62.2)+(0.36567+(0.074817-0.031722))+0-0-0</f>
        <v>801.90876500000002</v>
      </c>
      <c r="U151" s="3">
        <f>717+(143.2-73.5)+(0+(0-0))+0-0-0</f>
        <v>786.7</v>
      </c>
      <c r="V151" s="3">
        <f>720+(116.2-91.9)+(-0.3672+(-0.059262--0.046869))+0-0-0</f>
        <v>743.92040699999995</v>
      </c>
      <c r="W151" s="3">
        <f>737+(100-128.2)+(-0.75174+(-0.102--0.130764))+0-0-0</f>
        <v>708.07702399999994</v>
      </c>
      <c r="X151" s="3">
        <f>748+(102-155.4)+(-0.38148+(-0.05202--0.079254))+0-0-0</f>
        <v>694.24575400000003</v>
      </c>
      <c r="Y151" s="3">
        <f>764+(116-95.5)+(0+(0-0))+0-0-0</f>
        <v>784.5</v>
      </c>
      <c r="Z151" s="3">
        <f>773+(143-60.5)+(0+(0-0))+0-0-0</f>
        <v>855.5</v>
      </c>
      <c r="AA151" s="3">
        <f>771+(152.1-52.2)+(-1.17963+(-0.232713--0.079866))+0-0-0</f>
        <v>869.56752299999994</v>
      </c>
      <c r="AB151" s="3">
        <f>769+(142.8-55.1)+(-0.39219+(-0.072828--0.028101))+0-0-0</f>
        <v>856.26308300000005</v>
      </c>
      <c r="AC151" s="3">
        <f>737+(142.2-51.2)+(-0.75174+(-0.145044--0.052224))+0-0-0</f>
        <v>827.15544</v>
      </c>
      <c r="AD151">
        <f t="shared" si="2"/>
        <v>17837.746123999998</v>
      </c>
      <c r="AE151" s="3">
        <f>773+(138.5-51.6)+(0+(0-0))+0-0-0</f>
        <v>859.9</v>
      </c>
    </row>
    <row r="152" spans="1:31" s="2" customFormat="1" x14ac:dyDescent="0.25">
      <c r="A152">
        <v>89</v>
      </c>
      <c r="B152">
        <v>5</v>
      </c>
      <c r="C152">
        <v>28</v>
      </c>
      <c r="D152">
        <v>6</v>
      </c>
      <c r="E152">
        <v>1</v>
      </c>
      <c r="F152" s="3">
        <f>724+(140-63.9)+(-0.73848+(-0.1428--0.065178))+0-0-0</f>
        <v>799.28389800000002</v>
      </c>
      <c r="G152" s="3">
        <f>710+(116.8-68.6)+(-1.0863+(-0.178704--0.104958))+0-0-0</f>
        <v>757.03995400000008</v>
      </c>
      <c r="H152" s="3">
        <f>675+(118-53.1)+(0.34425+(0.06018-0.027081))+0-0-0</f>
        <v>740.27734899999996</v>
      </c>
      <c r="I152" s="3">
        <f>663+(126.2-52.8)+(0+(0-0))+0-0-0</f>
        <v>736.4</v>
      </c>
      <c r="J152" s="3">
        <f>656+(111.5-71.5)+(0+(0-0))+0-0-0</f>
        <v>696</v>
      </c>
      <c r="K152" s="3">
        <f>647+(99-89.6)+(-1.31988+(-0.20196--0.182784))+0-0-0</f>
        <v>655.06094399999995</v>
      </c>
      <c r="L152" s="3">
        <f>561+(91.7-61.3)+(-1.14444+(-0.187068--0.125052))+0-0-0</f>
        <v>590.19354399999997</v>
      </c>
      <c r="M152" s="3">
        <f>500+(128.1-32)+(-0.51+(-0.130662--0.03264))+0-0-0</f>
        <v>595.49197800000002</v>
      </c>
      <c r="N152" s="3">
        <f>573+(106.1-54.9)+(-0.29223+(-0.054111--0.027999))+0-0-0</f>
        <v>623.88165800000002</v>
      </c>
      <c r="O152" s="3">
        <f>640+(105-91)+(0.6528+(0.1071-0.09282))+0-0-0</f>
        <v>654.66708000000006</v>
      </c>
      <c r="P152" s="3">
        <f>646+(101-80.2)+(0.65892+(0.10302-0.081804))+0-0-0</f>
        <v>667.4801359999999</v>
      </c>
      <c r="Q152" s="3">
        <f>664+(106.6-76.8)+(0+(0-0))+0-0-0</f>
        <v>693.8</v>
      </c>
      <c r="R152" s="3">
        <f>662+(135-57.9)+(0+(0-0))+0-0-0</f>
        <v>739.1</v>
      </c>
      <c r="S152" s="3">
        <f>660+(153.7-41.4)+(-0.3366+(-0.078387--0.021114))+0-0-0</f>
        <v>771.90612699999997</v>
      </c>
      <c r="T152" s="3">
        <f>662+(159.8-37.9)+(0.33762+(0.081498-0.019329))+0-0-0</f>
        <v>784.29978900000003</v>
      </c>
      <c r="U152" s="3">
        <f>664+(152.2-40.6)+(0.67728+(0.155244-0.041412))+0-0-0</f>
        <v>776.39111200000002</v>
      </c>
      <c r="V152" s="3">
        <f>673+(142.7-61.9)+(-0.34323+(-0.072777--0.031569))+0-0-0</f>
        <v>753.41556199999991</v>
      </c>
      <c r="W152" s="3">
        <f>676+(105.2-84.1)+(-1.03428+(-0.160956--0.128673))+0-0-0</f>
        <v>696.03343700000005</v>
      </c>
      <c r="X152" s="3">
        <f>688+(104-112.6)+(-1.05264+(-0.15912--0.172278))+0-0-0</f>
        <v>678.36051799999996</v>
      </c>
      <c r="Y152" s="3">
        <f>697+(123.5-54.5)+(-0.35547+(-0.062985--0.027795))+0-0-0</f>
        <v>765.60933999999997</v>
      </c>
      <c r="Z152" s="3">
        <f>705+(170.6-32)+(0.35955+(0.087006-0.01632))+0-0-0</f>
        <v>844.03023600000006</v>
      </c>
      <c r="AA152" s="3">
        <f>704+(185.9-33)+(-1.07712+(-0.284427--0.05049))+0-0-0</f>
        <v>855.58894299999997</v>
      </c>
      <c r="AB152" s="3">
        <f>701+(182.2-32)+(-0.71502+(-0.185844--0.03264))+0-0-0</f>
        <v>850.33177599999999</v>
      </c>
      <c r="AC152" s="3">
        <f>678+(186.7-32)+(0+(0-0))+0-0-0</f>
        <v>832.7</v>
      </c>
      <c r="AD152">
        <f t="shared" si="2"/>
        <v>17557.343381000002</v>
      </c>
      <c r="AE152" s="3">
        <f>703+(183.6-33)+(0+(0-0))+0-0-0</f>
        <v>853.6</v>
      </c>
    </row>
    <row r="153" spans="1:31" s="2" customFormat="1" x14ac:dyDescent="0.25">
      <c r="A153">
        <v>89</v>
      </c>
      <c r="B153">
        <v>5</v>
      </c>
      <c r="C153">
        <v>29</v>
      </c>
      <c r="D153">
        <v>7</v>
      </c>
      <c r="E153">
        <v>1</v>
      </c>
      <c r="F153" s="3">
        <f>649+(160.5-31)+(-0.66198+(-0.16371--0.03162))+0-0-0</f>
        <v>777.70592999999997</v>
      </c>
      <c r="G153" s="3">
        <f>655+(134-35.9)+(0.6681+(0.13668-0.036618))+0-0-0</f>
        <v>753.86816199999998</v>
      </c>
      <c r="H153" s="3">
        <f>576+(187.7-30)+(-0.29376+(-0.095727--0.0153))+0-0-0</f>
        <v>733.32581300000004</v>
      </c>
      <c r="I153" s="3">
        <f>508+(253.3-30)+(-1.2954+(-0.645915--0.0765))+0-0-0</f>
        <v>729.43518499999993</v>
      </c>
      <c r="J153" s="3">
        <f>504+(229.4-31)+(0.25704+(0.116994-0.01581))+0-0-0</f>
        <v>702.75822399999993</v>
      </c>
      <c r="K153" s="3">
        <f>491+(200.1-32)+(-1.75287+(-0.714357--0.11424))+0-0-0</f>
        <v>656.74701300000004</v>
      </c>
      <c r="L153" s="3">
        <f>436+(136.1-33)+(-0.88944+(-0.277644--0.06732))+0-0-0</f>
        <v>538.00023599999997</v>
      </c>
      <c r="M153" s="3">
        <f>433+(126.3-33)+(-0.22083+(-0.064413--0.01683))+0-0-0</f>
        <v>526.03158699999994</v>
      </c>
      <c r="N153" s="3">
        <f>433+(134.3-33)+(-0.22083+(-0.068493--0.01683))+0-0-0</f>
        <v>534.0275069999999</v>
      </c>
      <c r="O153" s="3">
        <f>433+(145.1-33)+(0+(0-0))+0-0-0</f>
        <v>545.1</v>
      </c>
      <c r="P153" s="3">
        <f>439+(173.1-33)+(0.22389+(0.088281-0.01683))+0-0-0</f>
        <v>579.39534100000003</v>
      </c>
      <c r="Q153" s="3">
        <f>562+(123.7-61.8)+(-0.57324+(-0.126174--0.063036))+0-0-0</f>
        <v>623.26362199999994</v>
      </c>
      <c r="R153" s="3">
        <f>616+(140.5-43)+(-0.31416+(-0.071655--0.02193))+0-0-0</f>
        <v>713.13611500000002</v>
      </c>
      <c r="S153" s="3">
        <f>625+(165.5-33)+(0+(0-0))+0-0-0</f>
        <v>757.5</v>
      </c>
      <c r="T153" s="3">
        <f>624+(168.3-31)+(0+(0-0))+0-0-0</f>
        <v>761.3</v>
      </c>
      <c r="U153" s="3">
        <f>626+(170.6-30)+(-0.31926+(-0.087006--0.0153))+0-0-0</f>
        <v>766.20903399999997</v>
      </c>
      <c r="V153" s="3">
        <f>637+(149-41.8)+(-0.97461+(-0.22797--0.063954))+0-0-0</f>
        <v>743.061374</v>
      </c>
      <c r="W153" s="3">
        <f>650+(120.8-60.8)+(-0.3315+(-0.061608--0.031008))+0-0-0</f>
        <v>709.63789999999995</v>
      </c>
      <c r="X153" s="3">
        <f>657+(102-68.2)+(-2.34549+(-0.36414--0.243474))+0-0-0</f>
        <v>688.333844</v>
      </c>
      <c r="Y153" s="3">
        <f>661+(152.1-30)+(-0.33711+(-0.077571--0.0153))+0-0-0</f>
        <v>782.70061900000007</v>
      </c>
      <c r="Z153" s="3">
        <f>661+(231.6-32)+(0+(0-0))+0-0-0</f>
        <v>860.6</v>
      </c>
      <c r="AA153" s="3">
        <f>662+(242.6-32)+(0+(0-0))+0-0-0</f>
        <v>872.6</v>
      </c>
      <c r="AB153" s="3">
        <f>662+(247.9-32)+(-0.67524+(-0.252858--0.03264))+0-0-0</f>
        <v>877.00454200000001</v>
      </c>
      <c r="AC153" s="3">
        <f>662+(224-32)+(-0.67524+(-0.22848--0.03264))+0-0-0</f>
        <v>853.12891999999999</v>
      </c>
      <c r="AD153">
        <f t="shared" si="2"/>
        <v>17084.870967999999</v>
      </c>
      <c r="AE153" s="3">
        <f>660+(241.8-33)+(0+(0-0))+0-0-0</f>
        <v>868.8</v>
      </c>
    </row>
    <row r="154" spans="1:31" s="2" customFormat="1" x14ac:dyDescent="0.25">
      <c r="A154">
        <v>89</v>
      </c>
      <c r="B154">
        <v>5</v>
      </c>
      <c r="C154">
        <v>30</v>
      </c>
      <c r="D154">
        <v>1</v>
      </c>
      <c r="E154">
        <v>1</v>
      </c>
      <c r="F154" s="3">
        <f>651+(185.6-32)+(-0.99603+(-0.283968--0.04896))+0-0-0</f>
        <v>803.36896200000001</v>
      </c>
      <c r="G154" s="3">
        <f>651+(153.1-32)+(-0.66402+(-0.156162--0.03264))+0-0-0</f>
        <v>771.31245799999999</v>
      </c>
      <c r="H154" s="3">
        <f>600+(185.2-31)+(-0.918+(-0.283356--0.04743))+0-0-0</f>
        <v>753.04607400000009</v>
      </c>
      <c r="I154" s="3">
        <f>589+(199-31)+(-0.30039+(-0.10149--0.01581))+0-0-0</f>
        <v>756.61392999999998</v>
      </c>
      <c r="J154" s="3">
        <f>599+(145.9-34.1)+(-1.52745+(-0.372045--0.086955))+0-0-0</f>
        <v>708.98745999999994</v>
      </c>
      <c r="K154" s="3">
        <f>531+(171.8-32)+(-0.81243+(-0.262854--0.04896))+0-0-0</f>
        <v>669.77367599999991</v>
      </c>
      <c r="L154" s="3">
        <f>469+(194.5-32)+(-0.71757+(-0.297585--0.04896))+0-0-0</f>
        <v>630.53380500000003</v>
      </c>
      <c r="M154" s="3">
        <f>472+(179-32)+(0.96288+(0.36516-0.06528))+12.6-0-0</f>
        <v>632.86275999999998</v>
      </c>
      <c r="N154" s="3">
        <f>531+(137.7-31)+(0.54162+(0.140454-0.03162))+13-0-0</f>
        <v>651.35045400000001</v>
      </c>
      <c r="O154" s="3">
        <f>614+(123.4-54.9)+(0.31314+(0.062934-0.027999))+2.2-0-0</f>
        <v>685.04807500000004</v>
      </c>
      <c r="P154" s="3">
        <f>627+(137.3-51)+(0.95931+(0.210069-0.07803))+0-0-0</f>
        <v>714.39134899999999</v>
      </c>
      <c r="Q154" s="3">
        <f>627+(156.1-34.2)+(1.27908+(0.318444-0.069768))+0-0-0</f>
        <v>750.42775599999993</v>
      </c>
      <c r="R154" s="3">
        <f>646+(177.8-30)+(0.65892+(0.181356-0.0306))+0-0-0</f>
        <v>794.60967599999992</v>
      </c>
      <c r="S154" s="3">
        <f>660+(184.3-33)+(-0.3366+(-0.093993--0.01683))+0-0-0</f>
        <v>810.88623699999994</v>
      </c>
      <c r="T154" s="3">
        <f>662+(199.9-30)+(0.33762+(0.101949-0.0153))+0-0-0</f>
        <v>832.32426899999996</v>
      </c>
      <c r="U154" s="3">
        <f>663+(184.3-28)+(0+(0-0))+0-0-0</f>
        <v>819.3</v>
      </c>
      <c r="V154" s="3">
        <f>668+(167.5-47.7)+(0+(0-0))+0-0-0</f>
        <v>787.8</v>
      </c>
      <c r="W154" s="3">
        <f>691+(112.1-83)+(0+(0-0))+0-0-0</f>
        <v>720.1</v>
      </c>
      <c r="X154" s="3">
        <f>717+(106-111.4)+(0+(0-0))+0-0-0</f>
        <v>711.6</v>
      </c>
      <c r="Y154" s="3">
        <f>748+(122.4-68.5)+(0.38148+(0.062424-0.034935))+0-0-0</f>
        <v>802.30896899999993</v>
      </c>
      <c r="Z154" s="3">
        <f>772+(146.5-48.7)+(0+(0-0))+0-0-0</f>
        <v>869.8</v>
      </c>
      <c r="AA154" s="3">
        <f>767+(164.8-37)+(-0.78234+(-0.168096--0.03774))+0-0-0</f>
        <v>893.88730399999997</v>
      </c>
      <c r="AB154" s="3">
        <f>746+(179.5-33)+(0+(0-0))+0-0-0</f>
        <v>892.5</v>
      </c>
      <c r="AC154" s="3">
        <f>723+(183.9-33)+(-1.10619+(-0.281367--0.05049))+0-0-0</f>
        <v>872.56293299999993</v>
      </c>
      <c r="AD154">
        <f t="shared" si="2"/>
        <v>18335.396146999999</v>
      </c>
      <c r="AE154" s="3">
        <f>769+(151-44.8)+(0+(0-0))+0-0-0</f>
        <v>875.2</v>
      </c>
    </row>
    <row r="155" spans="1:31" s="2" customFormat="1" x14ac:dyDescent="0.25">
      <c r="A155">
        <v>89</v>
      </c>
      <c r="B155">
        <v>5</v>
      </c>
      <c r="C155">
        <v>31</v>
      </c>
      <c r="D155">
        <v>2</v>
      </c>
      <c r="E155">
        <v>1</v>
      </c>
      <c r="F155" s="3">
        <f>714+(155.1-43.4)+(-0.72828+(-0.158202--0.044268))+0-0-0</f>
        <v>824.85778600000003</v>
      </c>
      <c r="G155" s="3">
        <f>713+(140.6-53.2)+(-0.72726+(-0.143412--0.054264))+0-0-0</f>
        <v>799.58359199999995</v>
      </c>
      <c r="H155" s="3">
        <f>712+(129.6-60.9)+(0.36312+(0.066096-0.031059))+0-0-0</f>
        <v>781.09815700000001</v>
      </c>
      <c r="I155" s="3">
        <f>714+(125.6-62)+(-0.36414+(-0.064056--0.03162))+0-0-0</f>
        <v>777.20342400000004</v>
      </c>
      <c r="J155" s="3">
        <f>710+(117.8-76.7)+(-0.7242+(-0.120156--0.078234))+0-0-0</f>
        <v>750.33387800000003</v>
      </c>
      <c r="K155" s="3">
        <f>709+(95-101.3)+(-0.36159+(-0.04845--0.051663))+0-0-0</f>
        <v>702.34162300000003</v>
      </c>
      <c r="L155" s="3">
        <f>672+(96-103.5)+(-2.05632+(-0.29376--0.31671))+0-0-0</f>
        <v>662.46663000000001</v>
      </c>
      <c r="M155" s="3">
        <f>557+(118.7-29)+(0+(0-0))+0-0-0</f>
        <v>646.70000000000005</v>
      </c>
      <c r="N155" s="3">
        <f>570+(107-40)+(0+(0-0))+0-0-0</f>
        <v>637</v>
      </c>
      <c r="O155" s="3">
        <f>711+(91-116)+(0+(0-0))+0-0-0</f>
        <v>686</v>
      </c>
      <c r="P155" s="3">
        <f>708+(99-80.9)+(0.72216+(0.10098-0.082518))+0-0-0</f>
        <v>726.84062200000005</v>
      </c>
      <c r="Q155" s="3">
        <f>695+(119.6-67.5)+(-0.7089+(-0.121992--0.06885))+0-0-0</f>
        <v>746.33795800000007</v>
      </c>
      <c r="R155" s="3">
        <f>675+(161-50)+(0.6885+(0.16422-0.051))+0-0-0</f>
        <v>786.80172000000005</v>
      </c>
      <c r="S155" s="3">
        <f>675+(178.8-32)+(-1.03275+(-0.273564--0.04896))+0-0-0</f>
        <v>820.54264599999999</v>
      </c>
      <c r="T155" s="3">
        <f>676+(184.9-32)+(-0.34476+(-0.094299--0.01632))+0-0-0</f>
        <v>828.477261</v>
      </c>
      <c r="U155" s="3">
        <f>678+(175.8-36)+(0+(0-0))+0-0-0</f>
        <v>817.8</v>
      </c>
      <c r="V155" s="3">
        <f>679+(150-55.9)+(-0.69258+(-0.153--0.057018))+0-0-0</f>
        <v>772.31143800000007</v>
      </c>
      <c r="W155" s="3">
        <f>698+(117.1-81.7)+(-1.06794+(-0.179163--0.125001))+0-0-0</f>
        <v>732.27789799999994</v>
      </c>
      <c r="X155" s="3">
        <f>722+(115-109.9)+(-0.73644+(-0.1173--0.112098))+0-0-0</f>
        <v>726.35835800000007</v>
      </c>
      <c r="Y155" s="3">
        <f>744+(134.9-62.9)+(-0.75888+(-0.137598--0.064158))+0-0-0</f>
        <v>815.16768000000002</v>
      </c>
      <c r="Z155" s="3">
        <f>777+(160.3-46.5)+(-0.39627+(-0.081753--0.023715))+0-0-0</f>
        <v>890.34569199999999</v>
      </c>
      <c r="AA155" s="3">
        <f>774+(172.4-35.1)+(-1.18422+(-0.263772--0.053703))+0-0-0</f>
        <v>909.905711</v>
      </c>
      <c r="AB155" s="3">
        <f>766+(183.4-31)+(0+(0-0))+0-0-0</f>
        <v>918.4</v>
      </c>
      <c r="AC155" s="3">
        <f>726+(192.9-31)+(-0.37026+(-0.098379--0.01581))+0-0-0</f>
        <v>887.44717100000003</v>
      </c>
      <c r="AD155">
        <f t="shared" si="2"/>
        <v>18646.599245000001</v>
      </c>
      <c r="AE155" s="3">
        <f>776+(168-36.7)+(0+(0-0))+0-0-0</f>
        <v>907.3</v>
      </c>
    </row>
    <row r="156" spans="1:31" s="2" customFormat="1" x14ac:dyDescent="0.25">
      <c r="A156">
        <v>89</v>
      </c>
      <c r="B156">
        <v>6</v>
      </c>
      <c r="C156">
        <v>1</v>
      </c>
      <c r="D156">
        <v>3</v>
      </c>
      <c r="E156">
        <v>1</v>
      </c>
      <c r="F156" s="3">
        <f>722+(169.1-36)+(0+(0-0))+0-0-0</f>
        <v>855.1</v>
      </c>
      <c r="G156" s="3">
        <f>722+(152.2-46.3)+(-1.47288+(-0.310488--0.094452))+0-0-0</f>
        <v>826.21108400000003</v>
      </c>
      <c r="H156" s="3">
        <f>723+(135.5-56.8)+(1.10619+(0.207315-0.086904))+0-0-0</f>
        <v>802.92660100000001</v>
      </c>
      <c r="I156" s="3">
        <f>721+(133.8-58.4)+(-0.73542+(-0.136476--0.059568))+0-0-0</f>
        <v>795.587672</v>
      </c>
      <c r="J156" s="3">
        <f>716+(121.3-72.9)+(-0.36516+(-0.061863--0.037179))+0-0-0</f>
        <v>764.01015599999994</v>
      </c>
      <c r="K156" s="3">
        <f>681+(108.8-71.9)+(-0.34731+(-0.055488--0.036669))+0-0-0</f>
        <v>717.53387099999998</v>
      </c>
      <c r="L156" s="3">
        <f>609+(107.8-47.2)+(-0.62118+(-0.109956--0.048144))+0-0-0</f>
        <v>668.91700800000001</v>
      </c>
      <c r="M156" s="3">
        <f>560+(124.2-31)+(0.5712+(0.126684-0.03162))+0-0-0</f>
        <v>653.866264</v>
      </c>
      <c r="N156" s="3">
        <f>591+(111.6-34.2)+(0.30141+(0.056916-0.017442))+0-0-0</f>
        <v>668.74088399999994</v>
      </c>
      <c r="O156" s="3">
        <f>700+(91-108.2)+(0.357+(0.04641-0.055182))+0-0-0</f>
        <v>683.1482279999999</v>
      </c>
      <c r="P156" s="3">
        <f>705+(99-92)+(0+(0-0))+0-0-0</f>
        <v>712</v>
      </c>
      <c r="Q156" s="3">
        <f>678+(126.8-52.3)+(0.34578+(0.064668-0.026673))+0-0-0</f>
        <v>752.88377500000001</v>
      </c>
      <c r="R156" s="3">
        <f>665+(165.5-33)+(0.33915+(0.084405-0.01683))+0-0-0</f>
        <v>797.90672500000005</v>
      </c>
      <c r="S156" s="3">
        <f>659+(191.6-33)+(0+(0-0))+0-0-0</f>
        <v>817.6</v>
      </c>
      <c r="T156" s="3">
        <f>659+(203.2-32)+(0+(0-0))+0-0-0</f>
        <v>830.2</v>
      </c>
      <c r="U156" s="3">
        <f>663+(192.1-32)+(0.33813+(0.097971-0.01632))+0-0-0</f>
        <v>823.51978099999997</v>
      </c>
      <c r="V156" s="3">
        <f>661+(164.5-32)+(0.33711+(0.083895-0.01632))+0-0-0</f>
        <v>793.90468499999997</v>
      </c>
      <c r="W156" s="3">
        <f>675+(127.3-58.7)+(-0.34425+(-0.064923--0.029937))+0-0-0</f>
        <v>743.22076400000003</v>
      </c>
      <c r="X156" s="3">
        <f>680+(106.3-61.7)+(-1.0404+(-0.162639--0.094401))+0-0-0</f>
        <v>723.49136199999998</v>
      </c>
      <c r="Y156" s="3">
        <f>745+(146.9-39.6)+(-1.13985+(-0.224757--0.060588))+0-0-0</f>
        <v>850.99598099999992</v>
      </c>
      <c r="Z156" s="3">
        <f>771+(159.1-36.6)+(-0.39321+(-0.081141--0.018666))+0-0-0</f>
        <v>893.04431499999998</v>
      </c>
      <c r="AA156" s="3">
        <f>773+(166.9-33)+(-0.78846+(-0.170238--0.03366))+0-0-0</f>
        <v>905.974962</v>
      </c>
      <c r="AB156" s="3">
        <f>764+(174.5-33)+(0+(0-0))+0-0-0</f>
        <v>905.5</v>
      </c>
      <c r="AC156" s="3">
        <f>723+(164.5-0)+(-0.73746+(-0.16779-0))+0-0-0</f>
        <v>886.59474999999998</v>
      </c>
      <c r="AD156">
        <f t="shared" si="2"/>
        <v>18872.878868</v>
      </c>
      <c r="AE156" s="3">
        <f>774+(159.4-33.8)+(0+(0-0))+0-0-0</f>
        <v>899.6</v>
      </c>
    </row>
    <row r="157" spans="1:31" s="2" customFormat="1" x14ac:dyDescent="0.25">
      <c r="A157">
        <v>89</v>
      </c>
      <c r="B157">
        <v>6</v>
      </c>
      <c r="C157">
        <v>2</v>
      </c>
      <c r="D157">
        <v>4</v>
      </c>
      <c r="E157">
        <v>1</v>
      </c>
      <c r="F157" s="3">
        <f>711+(151.4-32)+(-0.36261+(-0.077214--0.01632))+0-0-0</f>
        <v>829.976496</v>
      </c>
      <c r="G157" s="3">
        <f>711+(117.5-42.3)+(-1.08783+(-0.179775--0.064719))+0-0-0</f>
        <v>784.99711400000001</v>
      </c>
      <c r="H157" s="3">
        <f>712+(115.2-49.1)+(-0.36312+(-0.058752--0.025041))+0-0-0</f>
        <v>777.703169</v>
      </c>
      <c r="I157" s="3">
        <f>712+(111.3-55.2)+(0.36312+(0.056763-0.028152))+0-0-0</f>
        <v>768.49173100000007</v>
      </c>
      <c r="J157" s="3">
        <f>709+(99.4-68)+(0+(0-0))+0-0-0</f>
        <v>740.4</v>
      </c>
      <c r="K157" s="3">
        <f>709+(62-83.7)+(-1.80795+(-0.1581--0.213435))+0-0-0</f>
        <v>685.54738499999996</v>
      </c>
      <c r="L157" s="3">
        <f>674+(72-83)+(0+(0-0))+0-0-0</f>
        <v>663</v>
      </c>
      <c r="M157" s="3">
        <f>625+(80-55)+(-0.6375+(-0.0816--0.0561))+0-0-0</f>
        <v>649.33699999999999</v>
      </c>
      <c r="N157" s="3">
        <f>613+(93.6-42.4)+(0+(0-0))+0-0-0</f>
        <v>664.2</v>
      </c>
      <c r="O157" s="3">
        <f>693+(75-81.9)+(0.35343+(0.03825-0.041769))+0-0-0</f>
        <v>686.44991100000004</v>
      </c>
      <c r="P157" s="3">
        <f>695+(75.5-78.9)+(0.35445+(0.038505-0.040239))+0-0-0</f>
        <v>691.95271600000001</v>
      </c>
      <c r="Q157" s="3">
        <f>710+(94.5-70.3)+(0+(0-0))+0-0-0</f>
        <v>734.2</v>
      </c>
      <c r="R157" s="3">
        <f>722+(114.6-54.8)+(-0.36822+(-0.058446--0.027948))+0-0-0</f>
        <v>781.40128199999992</v>
      </c>
      <c r="S157" s="3">
        <f>721+(132.9-41.9)+(-0.36771+(-0.067779--0.021369))+0-0-0</f>
        <v>811.58587999999997</v>
      </c>
      <c r="T157" s="3">
        <f>721+(143.7-40.8)+(0.36771+(0.073287-0.020808))+0-0-0</f>
        <v>824.32018900000003</v>
      </c>
      <c r="U157" s="3">
        <f>723+(135.9-44.7)+(-0.73746+(-0.138618--0.045594))+0-0-0</f>
        <v>813.36951600000009</v>
      </c>
      <c r="V157" s="3">
        <f>685+(136.7-43.4)+(0+(0-0))+0-0-0</f>
        <v>778.3</v>
      </c>
      <c r="W157" s="3">
        <f>696+(99.1-68.3)+(-1.41984+(-0.202164--0.139332))+0-0-0</f>
        <v>725.31732799999997</v>
      </c>
      <c r="X157" s="3">
        <f>715+(95-87)+(0.7293+(0.0969-0.08874))+0-0-0</f>
        <v>723.73746000000006</v>
      </c>
      <c r="Y157" s="3">
        <f>749+(118.4-50.5)+(0.38199+(0.060384-0.025755))+0-0-0</f>
        <v>817.31661899999995</v>
      </c>
      <c r="Z157" s="3">
        <f>769+(146.8-35)+(-0.78438+(-0.149736--0.0357))+0-0-0</f>
        <v>879.90158399999996</v>
      </c>
      <c r="AA157" s="3">
        <f>769+(146.9-34.3)+(-1.17657+(-0.224757--0.052479))+0-0-0</f>
        <v>880.25115200000005</v>
      </c>
      <c r="AB157" s="3">
        <f>759+(150.1-26)+(-1.16127+(-0.229653--0.03978))+0-0-0</f>
        <v>881.74885700000004</v>
      </c>
      <c r="AC157" s="3">
        <f>723+(168-32)+(-0.73746+(-0.17136--0.03264))+0-0-0</f>
        <v>858.12382000000002</v>
      </c>
      <c r="AD157">
        <f t="shared" si="2"/>
        <v>18451.629208999999</v>
      </c>
      <c r="AE157" s="3">
        <f>769+(153.3-34)+(0+(0-0))+0-0-0</f>
        <v>888.3</v>
      </c>
    </row>
    <row r="158" spans="1:31" s="2" customFormat="1" x14ac:dyDescent="0.25">
      <c r="A158">
        <v>89</v>
      </c>
      <c r="B158">
        <v>6</v>
      </c>
      <c r="C158">
        <v>3</v>
      </c>
      <c r="D158">
        <v>5</v>
      </c>
      <c r="E158">
        <v>1</v>
      </c>
      <c r="F158" s="3">
        <f>724+(139.5-34.2)+(-0.36924+(-0.071145--0.017442))+0-0-0</f>
        <v>828.87705699999992</v>
      </c>
      <c r="G158" s="3">
        <f>724+(114.6-47.3)+(-0.73848+(-0.116892--0.048246))+0-0-0</f>
        <v>790.49287399999992</v>
      </c>
      <c r="H158" s="3">
        <f>724+(102.9-57.2)+(0+(0-0))+0-0-0</f>
        <v>769.7</v>
      </c>
      <c r="I158" s="3">
        <f>722+(119-57.3)+(-1.47288+(-0.24276--0.116892))+0-0-0</f>
        <v>782.10125200000004</v>
      </c>
      <c r="J158" s="3">
        <f>706+(116.1-70.3)+(0+(0-0))+0-0-0</f>
        <v>751.8</v>
      </c>
      <c r="K158" s="3">
        <f>697+(105-97.9)+(-0.35547+(-0.05355--0.049929))+0-0-0</f>
        <v>703.74090899999999</v>
      </c>
      <c r="L158" s="3">
        <f>700+(61-134.9)+(-1.785+(-0.15555--0.343995))+0-0-0</f>
        <v>624.50344500000006</v>
      </c>
      <c r="M158" s="3">
        <f>640+(65-100.8)+(-0.9792+(-0.09945--0.154224))+0-0-0</f>
        <v>603.27557400000001</v>
      </c>
      <c r="N158" s="3">
        <f>679+(70-132.5)+(0.34629+(0.0357-0.067575))+0-0-0</f>
        <v>616.81441500000005</v>
      </c>
      <c r="O158" s="3">
        <f>687+(82-114.5)+(-0.35037+(-0.04182--0.058395))+0-0-0</f>
        <v>654.16620499999999</v>
      </c>
      <c r="P158" s="3">
        <f>684+(72-93.5)+(0+(0-0))+0-0-0</f>
        <v>662.5</v>
      </c>
      <c r="Q158" s="3">
        <f>695+(85.3-81)+(0+(0-0))+0-0-0</f>
        <v>699.3</v>
      </c>
      <c r="R158" s="3">
        <f>707+(104-77)+(0+(0-0))+0-0-0</f>
        <v>734</v>
      </c>
      <c r="S158" s="3">
        <f>712+(111.2-48.2)+(-0.72624+(-0.113424--0.049164))+0-0-0</f>
        <v>774.20950000000005</v>
      </c>
      <c r="T158" s="3">
        <f>713+(113-47.3)+(0+(0-0))+0-0-0</f>
        <v>778.7</v>
      </c>
      <c r="U158" s="3">
        <f>708+(112.2-67.3)+(-0.36108+(-0.057222--0.034323))+0-0-0</f>
        <v>752.51602100000002</v>
      </c>
      <c r="V158" s="3">
        <f>683+(117-60.1)+(0.34833+(0.05967-0.030651))+0-0-0</f>
        <v>740.27734899999996</v>
      </c>
      <c r="W158" s="3">
        <f>691+(84.7-90)+(-0.35241+(-0.043197--0.0459))+0-0-0</f>
        <v>685.35029300000008</v>
      </c>
      <c r="X158" s="3">
        <f>699+(86-103.8)+(-0.71298+(-0.08772--0.105876))+0-0-0</f>
        <v>680.50517600000001</v>
      </c>
      <c r="Y158" s="3">
        <f>727+(116.3-58.6)+(-0.37077+(-0.059313--0.029886))+0-0-0</f>
        <v>784.299803</v>
      </c>
      <c r="Z158" s="3">
        <f>756+(139.3-49)+(-1.15668+(-0.213129--0.07497))+0-0-0</f>
        <v>845.00516099999993</v>
      </c>
      <c r="AA158" s="3">
        <f>755+(139.9-43)+(-0.38505+(-0.071349--0.02193))+0-0-0</f>
        <v>851.46553099999994</v>
      </c>
      <c r="AB158" s="3">
        <f>731+(161.9-38)+(-1.11843+(-0.247707--0.05814))+0-0-0</f>
        <v>853.59200299999998</v>
      </c>
      <c r="AC158" s="3">
        <f>708+(153.9-37)+(-0.36108+(-0.078489--0.01887))+0-0-0</f>
        <v>824.47930099999996</v>
      </c>
      <c r="AD158">
        <f t="shared" si="2"/>
        <v>17791.671868999998</v>
      </c>
      <c r="AE158" s="3">
        <f>756+(139.5-33)+(0+(0-0))+0-0-0</f>
        <v>862.5</v>
      </c>
    </row>
    <row r="159" spans="1:31" s="2" customFormat="1" x14ac:dyDescent="0.25">
      <c r="A159">
        <v>89</v>
      </c>
      <c r="B159">
        <v>6</v>
      </c>
      <c r="C159">
        <v>4</v>
      </c>
      <c r="D159">
        <v>6</v>
      </c>
      <c r="E159">
        <v>1</v>
      </c>
      <c r="F159" s="3">
        <f>710+(140-50.5)+(-1.4484+(-0.2856--0.10302))+0-0-0</f>
        <v>797.86901999999998</v>
      </c>
      <c r="G159" s="3">
        <f>709+(117.3-60.1)+(-2.16954+(-0.358938--0.183906))+0-0-0</f>
        <v>763.85542800000007</v>
      </c>
      <c r="H159" s="3">
        <f>709+(101.3-75.3)+(-0.72318+(-0.103326--0.076806))+0-0-0</f>
        <v>734.25030000000004</v>
      </c>
      <c r="I159" s="3">
        <f>709+(108.8-78.2)+(1.44636+(0.221952-0.159528))+0-0-0</f>
        <v>741.10878400000001</v>
      </c>
      <c r="J159" s="3">
        <f>704+(94.5-86.7)+(0+(0-0))+0-0-0</f>
        <v>711.8</v>
      </c>
      <c r="K159" s="3">
        <f>705+(68-114.1)+(-1.79775+(-0.1734--0.290955))+0-0-0</f>
        <v>657.21980499999995</v>
      </c>
      <c r="L159" s="3">
        <f>702+(73-151.8)+(-1.7901+(-0.18615--0.38709))+0-0-0</f>
        <v>621.61084000000005</v>
      </c>
      <c r="M159" s="3">
        <f>699+(71-167.9)+(0+(0-0))+0-0-0</f>
        <v>602.1</v>
      </c>
      <c r="N159" s="3">
        <f>695+(72-151.5)+(-0.35445+(-0.03672--0.077265))+0-0-0</f>
        <v>615.18609500000002</v>
      </c>
      <c r="O159" s="3">
        <f>691+(79-138.7)+(-0.35241+(-0.04029--0.070737))+0-0-0</f>
        <v>630.97803699999997</v>
      </c>
      <c r="P159" s="3">
        <f>699+(83-112.6)+(-1.06947+(-0.12699--0.172278))+0-0-0</f>
        <v>668.37581799999998</v>
      </c>
      <c r="Q159" s="3">
        <f>729+(79-115.8)+(0+(0-0))+0-0-0</f>
        <v>692.2</v>
      </c>
      <c r="R159" s="3">
        <f>719+(91-84.9)+(0.73338+(0.09282-0.086598))+0-0-0</f>
        <v>725.83960200000001</v>
      </c>
      <c r="S159" s="3">
        <f>718+(108.3-64.2)+(0.36618+(0.055233-0.032742))+0-0-0</f>
        <v>762.48867100000007</v>
      </c>
      <c r="T159" s="3">
        <f>723+(120.1-61.8)+(-0.73746+(-0.122502--0.063036))+0-0-0</f>
        <v>780.50307399999997</v>
      </c>
      <c r="U159" s="3">
        <f>698+(121.1-57.6)+(-1.06794+(-0.185283--0.088128))+0-0-0</f>
        <v>760.33490500000005</v>
      </c>
      <c r="V159" s="3">
        <f>678+(110.1-63)+(-1.38312+(-0.224604--0.12852))+0-0-0</f>
        <v>723.62079600000004</v>
      </c>
      <c r="W159" s="3">
        <f>695+(87-102.9)+(-1.77225+(-0.22185--0.262395))+0-0-0</f>
        <v>677.36829499999999</v>
      </c>
      <c r="X159" s="3">
        <f>729+(84-133.8)+(-0.74358+(-0.08568--0.136476))+0-0-0</f>
        <v>678.50721600000008</v>
      </c>
      <c r="Y159" s="3">
        <f>743+(108.4-65.2)+(0.37893+(0.055284-0.033252))+0-0-0</f>
        <v>786.6009620000001</v>
      </c>
      <c r="Z159" s="3">
        <f>723+(153.1-33)+(-1.10619+(-0.234243--0.05049))+0-0-0</f>
        <v>841.81005700000003</v>
      </c>
      <c r="AA159" s="3">
        <f>750+(157.9-33)+(-1.9125+(-0.402645--0.08415))+0-0-0</f>
        <v>872.66900499999997</v>
      </c>
      <c r="AB159" s="3">
        <f>737+(154.2-33)+(-0.37587+(-0.078642--0.01683))+0-0-0</f>
        <v>857.76231800000005</v>
      </c>
      <c r="AC159" s="3">
        <f>709+(154.3-32)+(-1.44636+(-0.314772--0.06528))+0-0-0</f>
        <v>829.60414800000001</v>
      </c>
      <c r="AD159">
        <f t="shared" si="2"/>
        <v>17533.663176000002</v>
      </c>
      <c r="AE159" s="3">
        <f>739+(151.7-34)+(0+(0-0))+0-0-0</f>
        <v>856.7</v>
      </c>
    </row>
    <row r="160" spans="1:31" s="2" customFormat="1" x14ac:dyDescent="0.25">
      <c r="A160">
        <v>89</v>
      </c>
      <c r="B160">
        <v>6</v>
      </c>
      <c r="C160">
        <v>5</v>
      </c>
      <c r="D160">
        <v>7</v>
      </c>
      <c r="E160">
        <v>1</v>
      </c>
      <c r="F160" s="3">
        <f>710+(134.5-36.7)+(-0.3621+(-0.068595--0.018717))+0-0-0</f>
        <v>807.38802199999998</v>
      </c>
      <c r="G160" s="3">
        <f>710+(119.4-51.3)+(-0.3621+(-0.060894--0.026163))+0-0-0</f>
        <v>777.703169</v>
      </c>
      <c r="H160" s="3">
        <f>710+(106.6-59)+(-2.1726+(-0.326196--0.18054))+0-0-0</f>
        <v>755.281744</v>
      </c>
      <c r="I160" s="3">
        <f>710+(95.4-63.8)+(1.0863+(0.145962-0.097614))+0-0-0</f>
        <v>742.73464799999999</v>
      </c>
      <c r="J160" s="3">
        <f>703+(91.5-73.6)+(-1.43412+(-0.18666--0.150144))+0-0-0</f>
        <v>719.42936399999996</v>
      </c>
      <c r="K160" s="3">
        <f>703+(76-103)+(-0.35853+(-0.03876--0.05253))+0-0-0</f>
        <v>675.65524000000005</v>
      </c>
      <c r="L160" s="3">
        <f>694+(70-138.6)+(0+(0-0))+0-0-0</f>
        <v>625.4</v>
      </c>
      <c r="M160" s="3">
        <f>691+(81-152.1)+(0+(0-0))+0-0-0</f>
        <v>619.9</v>
      </c>
      <c r="N160" s="3">
        <f>688+(68-152.5)+(0+(0-0))+0-0-0</f>
        <v>603.5</v>
      </c>
      <c r="O160" s="3">
        <f>685+(66-139.2)+(-0.6987+(-0.06732--0.141984))+0-0-0</f>
        <v>611.17596399999991</v>
      </c>
      <c r="P160" s="3">
        <f>683+(71-116.2)+(-0.69666+(-0.07242--0.118524))+0-0-0</f>
        <v>637.1494439999999</v>
      </c>
      <c r="Q160" s="3">
        <f>682+(71-80.6)+(0+(0-0))+0-0-0</f>
        <v>672.4</v>
      </c>
      <c r="R160" s="3">
        <f>694+(111-62.1)+(-0.35394+(-0.05661--0.031671))+0-0-0</f>
        <v>742.52112099999999</v>
      </c>
      <c r="S160" s="3">
        <f>713+(115.8-61.4)+(-0.72726+(-0.118116--0.062628))+0-0-0</f>
        <v>766.61725200000001</v>
      </c>
      <c r="T160" s="3">
        <f>712+(104.2-65.1)+(-1.08936+(-0.159426--0.099603))+0-0-0</f>
        <v>749.95081700000003</v>
      </c>
      <c r="U160" s="3">
        <f>712+(112.5-73.8)+(-1.45248+(-0.2295--0.150552))+0-0-0</f>
        <v>749.16857200000004</v>
      </c>
      <c r="V160" s="3">
        <f>715+(97.9-88.1)+(-0.7293+(-0.099858--0.089862))+0-0-0</f>
        <v>724.06070399999999</v>
      </c>
      <c r="W160" s="3">
        <f>699+(89-105.6)+(0.71298+(0.09078-0.107712))+0-0-0</f>
        <v>683.096048</v>
      </c>
      <c r="X160" s="3">
        <f>705+(88-119.3)+(0+(0-0))+0-0-0</f>
        <v>673.7</v>
      </c>
      <c r="Y160" s="3">
        <f>705+(125.9-49.8)+(0+(0-0))+0-0-0</f>
        <v>781.1</v>
      </c>
      <c r="Z160" s="3">
        <f>705+(167.4-33)+(-0.35955+(-0.085374--0.01683))+0-0-0</f>
        <v>838.97190599999999</v>
      </c>
      <c r="AA160" s="3">
        <f>707+(173.4-34)+(-0.36057+(-0.088434--0.01734))+0-0-0</f>
        <v>845.96833600000002</v>
      </c>
      <c r="AB160" s="3">
        <f>708+(176.1-34)+(-0.72216+(-0.179622--0.03468))+0-0-0</f>
        <v>849.23289799999998</v>
      </c>
      <c r="AC160" s="3">
        <f>709+(168.9-34)+(0+(0-0))+0-0-0</f>
        <v>843.9</v>
      </c>
      <c r="AD160">
        <f t="shared" si="2"/>
        <v>17496.005249000002</v>
      </c>
      <c r="AE160" s="3">
        <f>706+(166.5-33)+(0+(0-0))+0-0-0</f>
        <v>839.5</v>
      </c>
    </row>
    <row r="161" spans="1:31" s="2" customFormat="1" x14ac:dyDescent="0.25">
      <c r="A161">
        <v>89</v>
      </c>
      <c r="B161">
        <v>6</v>
      </c>
      <c r="C161">
        <v>6</v>
      </c>
      <c r="D161">
        <v>1</v>
      </c>
      <c r="E161">
        <v>1</v>
      </c>
      <c r="F161" s="3">
        <f>701+(136.5-41.9)+(-0.35751+(-0.069615--0.021369))+0-0-0</f>
        <v>795.19424400000003</v>
      </c>
      <c r="G161" s="3">
        <f>701+(119.2-54.4)+(0+(0-0))+0-0-0</f>
        <v>765.8</v>
      </c>
      <c r="H161" s="3">
        <f>703+(103-66)+(-1.43412+(-0.21012--0.13464))+0-0-0</f>
        <v>738.49040000000002</v>
      </c>
      <c r="I161" s="3">
        <f>705+(105.5-67.6)+(0+(0-0))+0-0-0</f>
        <v>742.9</v>
      </c>
      <c r="J161" s="3">
        <f>701+(90-78)+(-0.71502+(-0.0918--0.07956))+0-0-0</f>
        <v>712.27274</v>
      </c>
      <c r="K161" s="3">
        <f>701+(80-109.8)+(-1.78755+(-0.204--0.27999))+0-0-0</f>
        <v>669.48844000000008</v>
      </c>
      <c r="L161" s="3">
        <f>695+(79-145.6)+(-2.1267+(-0.24174--0.445536))+0-0-0</f>
        <v>626.47709599999996</v>
      </c>
      <c r="M161" s="3">
        <f>694+(80-140.7)+(0.35394+(0.0408-0.071757))+0-0-0</f>
        <v>633.62298299999998</v>
      </c>
      <c r="N161" s="3">
        <f>687+(82-115.1)+(0+(0-0))+0-0-0</f>
        <v>653.9</v>
      </c>
      <c r="O161" s="3">
        <f>687+(86-96.2)+(-0.35037+(-0.04386--0.049062))+0-0-0</f>
        <v>676.45483200000001</v>
      </c>
      <c r="P161" s="3">
        <f>709+(94-98.1)+(0.72318+(0.09588-0.100062))+0-0-0</f>
        <v>705.61899800000003</v>
      </c>
      <c r="Q161" s="3">
        <f>711+(103.6-75)+(0.36261+(0.052836-0.03825))+0-0-0</f>
        <v>739.97719600000005</v>
      </c>
      <c r="R161" s="3">
        <f>703+(133.1-53.2)+(0.35853+(0.067881-0.027132))+0-0-0</f>
        <v>783.29927899999996</v>
      </c>
      <c r="S161" s="3">
        <f>703+(152.5-40.8)+(0+(0-0))+0-0-0</f>
        <v>814.7</v>
      </c>
      <c r="T161" s="3">
        <f>702+(160.3-36.4)+(0+(0-0))+0-0-0</f>
        <v>825.9</v>
      </c>
      <c r="U161" s="3">
        <f>714+(149.7-46)+(-1.45656+(-0.305388--0.09384))+0-0-0</f>
        <v>816.03189200000008</v>
      </c>
      <c r="V161" s="3">
        <f>722+(124-64.6)+(-1.8411+(-0.3162--0.16473))+0-0-0</f>
        <v>779.40742999999998</v>
      </c>
      <c r="W161" s="3">
        <f>728+(94-88.4)+(-1.48512+(-0.19176--0.180336))+0-0-0</f>
        <v>732.10345600000005</v>
      </c>
      <c r="X161" s="3">
        <f>722+(105-80.5)+(-1.10466+(-0.16065--0.123165))+0-0-0</f>
        <v>745.35785499999997</v>
      </c>
      <c r="Y161" s="3">
        <f>723+(155.2-35.9)+(0.36873+(0.079152-0.018309))+0-0-0</f>
        <v>842.72957299999996</v>
      </c>
      <c r="Z161" s="3">
        <f>766+(164.1-29.2)+(-1.56264+(-0.334764--0.059568))+0-0-0</f>
        <v>899.06216399999994</v>
      </c>
      <c r="AA161" s="3">
        <f>775+(159.8-33)+(-2.3715+(-0.488988--0.10098))+0-0-0</f>
        <v>899.04049199999997</v>
      </c>
      <c r="AB161" s="3">
        <f>770+(167.9-31)+(-0.7854+(-0.171258--0.03162))+0-0-0</f>
        <v>905.974962</v>
      </c>
      <c r="AC161" s="3">
        <f>744+(163.9-31)+(-0.75888+(-0.167178--0.03162))+0-0-0</f>
        <v>876.00556199999994</v>
      </c>
      <c r="AD161">
        <f t="shared" si="2"/>
        <v>18379.809594000002</v>
      </c>
      <c r="AE161" s="3">
        <f>774+(161.1-35.1)+(0+(0-0))+0-0-0</f>
        <v>900</v>
      </c>
    </row>
    <row r="162" spans="1:31" s="2" customFormat="1" x14ac:dyDescent="0.25">
      <c r="A162">
        <v>89</v>
      </c>
      <c r="B162">
        <v>6</v>
      </c>
      <c r="C162">
        <v>7</v>
      </c>
      <c r="D162">
        <v>2</v>
      </c>
      <c r="E162">
        <v>1</v>
      </c>
      <c r="F162" s="3">
        <f>716+(153.9-33.6)+(-0.73032+(-0.156978--0.034272))+0-0-0</f>
        <v>835.44697399999995</v>
      </c>
      <c r="G162" s="3">
        <f>698+(145.6-40.2)+(-1.42392+(-0.297024--0.082008))+0-0-0</f>
        <v>801.76106400000003</v>
      </c>
      <c r="H162" s="3">
        <f>698+(135.3-47.1)+(-1.7799+(-0.345015--0.120105))+0-0-0</f>
        <v>784.19519000000003</v>
      </c>
      <c r="I162" s="3">
        <f>697+(137.6-47.5)+(-0.71094+(-0.140352--0.04845))+0-0-0</f>
        <v>786.29715799999997</v>
      </c>
      <c r="J162" s="3">
        <f>687+(119-86)+(1.40148+(0.24276-0.17544))+0-0-0</f>
        <v>721.46879999999999</v>
      </c>
      <c r="K162" s="3">
        <f>689+(93.2-75.4)+(-1.05417+(-0.142596--0.115362))+0-0-0</f>
        <v>705.71859599999993</v>
      </c>
      <c r="L162" s="3">
        <f>692+(81-101)+(0+(0-0))+0-0-0</f>
        <v>672</v>
      </c>
      <c r="M162" s="3">
        <f>685+(83-99.4)+(0+(0-0))+0-0-0</f>
        <v>668.6</v>
      </c>
      <c r="N162" s="3">
        <f>662+(86.1-79.6)+(0.67524+(0.087822-0.081192))+0-0-0</f>
        <v>669.18187</v>
      </c>
      <c r="O162" s="3">
        <f>670+(106.1-72.8)+(-0.3417+(-0.054111--0.037128))+0-0-0</f>
        <v>702.94131699999991</v>
      </c>
      <c r="P162" s="3">
        <f>689+(105-109)+(0+(0-0))+0-0-0</f>
        <v>685</v>
      </c>
      <c r="Q162" s="3">
        <f>717+(106.4-69.4)+(0.36567+(0.054264-0.035394))+0-0-0</f>
        <v>754.38454000000002</v>
      </c>
      <c r="R162" s="3">
        <f>724+(118.7-50.9)+(-1.10772+(-0.181611--0.077877))+0-0-0</f>
        <v>790.58854599999995</v>
      </c>
      <c r="S162" s="3">
        <f>724+(149.2-38.3)+(-1.10772+(-0.228276--0.058599))+0-0-0</f>
        <v>833.62260300000003</v>
      </c>
      <c r="T162" s="3">
        <f>728+(159.5-36.8)+(-1.11384+(-0.244035--0.056304))+0-0-0</f>
        <v>849.39842900000008</v>
      </c>
      <c r="U162" s="3">
        <f>731+(143.6-40.5)+(-0.74562+(-0.146472--0.04131))+0-0-0</f>
        <v>833.24921800000004</v>
      </c>
      <c r="V162" s="3">
        <f>727+(123.3-55.8)+(-2.96616+(-0.503064--0.227664))+0-0-0</f>
        <v>791.25843999999995</v>
      </c>
      <c r="W162" s="3">
        <f>713+(102.9-67)+(-1.45452+(-0.209916--0.13668))+0-0-0</f>
        <v>747.37224400000002</v>
      </c>
      <c r="X162" s="3">
        <f>653+(115.6-39.1)+(-0.66606+(-0.117912--0.039882))+0-0-0</f>
        <v>728.75590999999997</v>
      </c>
      <c r="Y162" s="3">
        <f>718+(146.6-33)+(0.36618+(0.074766-0.01683))+0-0-0</f>
        <v>832.02411600000005</v>
      </c>
      <c r="Z162" s="3">
        <f>772+(167.6-33)+(-1.18116+(-0.256428--0.05049))+0-0-0</f>
        <v>905.21290199999999</v>
      </c>
      <c r="AA162" s="3">
        <f>772+(179.7-33)+(-2.36232+(-0.549882--0.10098))+0-0-0</f>
        <v>915.888778</v>
      </c>
      <c r="AB162" s="3">
        <f>750+(187.7-33)+(-1.1475+(-0.287181--0.05049))+0-0-0</f>
        <v>903.31580900000006</v>
      </c>
      <c r="AC162" s="3">
        <f>725+(188.6-33)+(-0.7395+(-0.192372--0.03366))+0-0-0</f>
        <v>879.70178800000008</v>
      </c>
      <c r="AD162">
        <f t="shared" si="2"/>
        <v>18797.384291999999</v>
      </c>
      <c r="AE162" s="3">
        <f>773+(177-33)+(0+(0-0))+0-0-0</f>
        <v>917</v>
      </c>
    </row>
    <row r="163" spans="1:31" s="2" customFormat="1" x14ac:dyDescent="0.25">
      <c r="A163">
        <v>89</v>
      </c>
      <c r="B163">
        <v>6</v>
      </c>
      <c r="C163">
        <v>8</v>
      </c>
      <c r="D163">
        <v>3</v>
      </c>
      <c r="E163">
        <v>1</v>
      </c>
      <c r="F163" s="3">
        <f>714+(159.4-32)+(-0.72828+(-0.162588--0.03264))+0-0-0</f>
        <v>840.54177199999992</v>
      </c>
      <c r="G163" s="3">
        <f>698+(143.7-34.5)+(-0.35598+(-0.073287--0.017595))+0-0-0</f>
        <v>806.78832800000009</v>
      </c>
      <c r="H163" s="3">
        <f>698+(133.3-40.8)+(0+(0-0))+0-0-0</f>
        <v>790.5</v>
      </c>
      <c r="I163" s="3">
        <f>692+(133.5-39.7)+(-0.70584+(-0.13617--0.040494))+0-0-0</f>
        <v>784.99848399999996</v>
      </c>
      <c r="J163" s="3">
        <f>619+(144.3-31)+(0.31569+(0.073593-0.01581))+0-0-0</f>
        <v>732.67347299999994</v>
      </c>
      <c r="K163" s="3">
        <f>555+(162.9-31)+(-1.1322+(-0.332316--0.06324))+0-0-0</f>
        <v>685.49872399999992</v>
      </c>
      <c r="L163" s="3">
        <f>539+(141.6-31)+(-1.64934+(-0.433296--0.09486))+0-0-0</f>
        <v>647.61222399999997</v>
      </c>
      <c r="M163" s="3">
        <f>510+(162.4-34)+(0.5202+(0.165648-0.03468))+0-0-0</f>
        <v>639.05116799999996</v>
      </c>
      <c r="N163" s="3">
        <f>506+(167.5-29)+(0.25806+(0.085425-0.01479))+0-0-0</f>
        <v>644.82869500000004</v>
      </c>
      <c r="O163" s="3">
        <f>617+(108.1-42.7)+(0+(0-0))+0-0-0</f>
        <v>682.4</v>
      </c>
      <c r="P163" s="3">
        <f>643+(108-43.3)+(1.31172+(0.22032-0.088332))+0-0-0</f>
        <v>709.14370800000006</v>
      </c>
      <c r="Q163" s="3">
        <f>646+(134.4-36.4)+(0.65892+(0.137088-0.037128))+0-0-0</f>
        <v>744.75887999999998</v>
      </c>
      <c r="R163" s="3">
        <f>643+(140.2-42.2)+(-0.32793+(-0.071502--0.021522))+0-0-0</f>
        <v>740.62208999999996</v>
      </c>
      <c r="S163" s="3">
        <f>649+(155-35.8)+(0+(0-0))+0-0-0</f>
        <v>768.2</v>
      </c>
      <c r="T163" s="3">
        <f>651+(173.7-31)+(0.33201+(0.088587-0.01581))+0-0-0</f>
        <v>794.1047870000001</v>
      </c>
      <c r="U163" s="3">
        <f>657+(170.7-30)+(0.33507+(0.087057-0.0153))+0-0-0</f>
        <v>798.10682700000007</v>
      </c>
      <c r="V163" s="3">
        <f>631+(161.3-30)+(-0.96543+(-0.246789--0.0459))+0-0-0</f>
        <v>761.13368099999991</v>
      </c>
      <c r="W163" s="3">
        <f>664+(107.8-54.1)+(-1.01592+(-0.164934--0.082773))+0-0-0</f>
        <v>716.60191900000007</v>
      </c>
      <c r="X163" s="3">
        <f>709+(104-72.1)+(-0.36159+(-0.05304--0.036771))+0-0-0</f>
        <v>740.52214100000003</v>
      </c>
      <c r="Y163" s="3">
        <f>733+(141.6-35.3)+(0.37383+(0.072216-0.018003))+0-0-0</f>
        <v>839.72804299999996</v>
      </c>
      <c r="Z163" s="3">
        <f>764+(173.6-34)+(-0.38964+(-0.088536--0.01734))+0-0-0</f>
        <v>903.13916400000005</v>
      </c>
      <c r="AA163" s="3">
        <f>761+(187.8-33)+(0+(0-0))+0-0-0</f>
        <v>915.8</v>
      </c>
      <c r="AB163" s="3">
        <f>737+(206.7-33)+(-0.75174+(-0.210834--0.03366))+0-0-0</f>
        <v>909.77108600000008</v>
      </c>
      <c r="AC163" s="3">
        <f>720+(194.1-33)+(0+(0-0))+0-0-0</f>
        <v>881.1</v>
      </c>
      <c r="AD163">
        <f t="shared" si="2"/>
        <v>18477.625193999997</v>
      </c>
      <c r="AE163" s="3">
        <f>772+(183.1-33)+(0+(0-0))+0-0-0</f>
        <v>922.1</v>
      </c>
    </row>
    <row r="164" spans="1:31" s="2" customFormat="1" x14ac:dyDescent="0.25">
      <c r="A164">
        <v>89</v>
      </c>
      <c r="B164">
        <v>6</v>
      </c>
      <c r="C164">
        <v>9</v>
      </c>
      <c r="D164">
        <v>4</v>
      </c>
      <c r="E164">
        <v>1</v>
      </c>
      <c r="F164" s="3">
        <f>714+(170.8-32)+(-1.8207+(-0.43554--0.0816))+0-0-0</f>
        <v>850.62536</v>
      </c>
      <c r="G164" s="3">
        <f>714+(140.7-34.7)+(-1.45656+(-0.287028--0.070788))+0-0-0</f>
        <v>818.32719999999995</v>
      </c>
      <c r="H164" s="3">
        <f>710+(127.1-37.6)+(-1.0863+(-0.194463--0.057528))+0-0-0</f>
        <v>798.27676499999995</v>
      </c>
      <c r="I164" s="3">
        <f>710+(122-33.4)+(-1.8105+(-0.3111--0.08517))+0-0-0</f>
        <v>796.56357000000003</v>
      </c>
      <c r="J164" s="3">
        <f>705+(113.6-43.2)+(0+(0-0))+0-0-0</f>
        <v>775.4</v>
      </c>
      <c r="K164" s="3">
        <f>705+(94-60.9)+(-1.79775+(-0.2397--0.155295))+0-0-0</f>
        <v>736.21784500000001</v>
      </c>
      <c r="L164" s="3">
        <f>701+(95-93.4)+(-1.43004+(-0.1938--0.190536))+0-0-0</f>
        <v>701.166696</v>
      </c>
      <c r="M164" s="3">
        <f>700+(78-103.6)+(0+(0-0))+0-0-0</f>
        <v>674.4</v>
      </c>
      <c r="N164" s="3">
        <f>679+(85-76.5)+(0.34629+(0.04335-0.039015))+0-0-0</f>
        <v>687.85062500000004</v>
      </c>
      <c r="O164" s="3">
        <f>672+(89-71.6)+(0+(0-0))+0-0-0</f>
        <v>689.4</v>
      </c>
      <c r="P164" s="3">
        <f>689+(91-70.8)+(0.35139+(0.04641-0.036108))+0-0-0</f>
        <v>709.56169199999999</v>
      </c>
      <c r="Q164" s="3">
        <f>713+(100.6-64.6)+(1.09089+(0.153918-0.098838))+0-0-0</f>
        <v>750.14597000000003</v>
      </c>
      <c r="R164" s="3">
        <f>696+(131.4-45.8)+(0.35496+(0.067014-0.023358))+0-0-0</f>
        <v>781.99861599999997</v>
      </c>
      <c r="S164" s="3">
        <f>696+(155.2-35.9)+(0+(0-0))+0-0-0</f>
        <v>815.3</v>
      </c>
      <c r="T164" s="3">
        <f>700+(161.4-34.8)+(0.357+(0.082314-0.017748))+0-0-0</f>
        <v>827.02156600000001</v>
      </c>
      <c r="U164" s="3">
        <f>705+(148.2-41.2)+(-1.79775+(-0.37791--0.10506))+0-0-0</f>
        <v>809.92939999999999</v>
      </c>
      <c r="V164" s="3">
        <f>710+(119.9-63.5)+(-0.7242+(-0.122298--0.06477))+0-0-0</f>
        <v>765.61827199999993</v>
      </c>
      <c r="W164" s="3">
        <f>710+(103.5-73.9)+(-0.7242+(-0.10557--0.075378))+0-0-0</f>
        <v>738.84560799999997</v>
      </c>
      <c r="X164" s="3">
        <f>718+(97-82.4)+(-0.73236+(-0.09894--0.084048))+0-0-0</f>
        <v>731.85274800000002</v>
      </c>
      <c r="Y164" s="3">
        <f>738+(129.5-44.5)+(-0.75276+(-0.13209--0.04539))+0-0-0</f>
        <v>822.16053999999997</v>
      </c>
      <c r="Z164" s="3">
        <f>768+(155.5-37.7)+(0+(0-0))+0-0-0</f>
        <v>885.8</v>
      </c>
      <c r="AA164" s="3">
        <f>763+(174.6-34)+(-1.55652+(-0.356184--0.06936))+0-0-0</f>
        <v>901.75665600000002</v>
      </c>
      <c r="AB164" s="3">
        <f>725+(198.1-34)+(0+(0-0))+0-0-0</f>
        <v>889.1</v>
      </c>
      <c r="AC164" s="3">
        <f>713+(190.3-33)+(-1.81815+(-0.485265--0.08415))+0-0-0</f>
        <v>868.080735</v>
      </c>
      <c r="AD164">
        <f t="shared" si="2"/>
        <v>18825.399863999995</v>
      </c>
      <c r="AE164" s="3">
        <f>767+(158.3-36.2)+(0+(0-0))+0-0-0</f>
        <v>889.1</v>
      </c>
    </row>
    <row r="165" spans="1:31" s="2" customFormat="1" x14ac:dyDescent="0.25">
      <c r="A165">
        <v>89</v>
      </c>
      <c r="B165">
        <v>6</v>
      </c>
      <c r="C165">
        <v>10</v>
      </c>
      <c r="D165">
        <v>5</v>
      </c>
      <c r="E165">
        <v>5</v>
      </c>
      <c r="F165" s="3">
        <f>684+(172.4-33)+(-1.04652+(-0.263772--0.05049))+0-0-0</f>
        <v>822.14019799999994</v>
      </c>
      <c r="G165" s="3">
        <f>659+(169.9-33)+(-1.00827+(-0.259947--0.05049))+0-0-0</f>
        <v>794.68227300000001</v>
      </c>
      <c r="H165" s="3">
        <f>664+(155.1-33)+(-0.33864+(-0.079101--0.01683))+0-0-0</f>
        <v>785.69908900000007</v>
      </c>
      <c r="I165" s="3">
        <f>677+(139.5-35.7)+(-0.69054+(-0.14229--0.036414))+0-0-0</f>
        <v>780.00358399999993</v>
      </c>
      <c r="J165" s="3">
        <f>673+(123.7-43.1)+(-1.37292+(-0.252348--0.087924))+0-0-0</f>
        <v>752.06265600000006</v>
      </c>
      <c r="K165" s="3">
        <f>673+(102.1-66.6)+(-1.71615+(-0.260355--0.16983))+0-0-0</f>
        <v>706.69332499999996</v>
      </c>
      <c r="L165" s="3">
        <f>634+(92-70.6)+(-1.6167+(-0.2346--0.18003))+0-0-0</f>
        <v>653.72872999999993</v>
      </c>
      <c r="M165" s="3">
        <f>526+(113.7-37.2)+(0+(0-0))+0-0-0</f>
        <v>602.5</v>
      </c>
      <c r="N165" s="3">
        <f>509+(151.8-31)+(-0.51918+(-0.154836--0.03162))+0-0-0</f>
        <v>629.15760399999999</v>
      </c>
      <c r="O165" s="3">
        <f>502+(171.8-30)+(-0.51204+(-0.175236--0.0306))+0-0-0</f>
        <v>643.14332400000001</v>
      </c>
      <c r="P165" s="3">
        <f>529+(158.8-32)+(-0.26979+(-0.080988--0.01632))+0-0-0</f>
        <v>655.46554199999991</v>
      </c>
      <c r="Q165" s="3">
        <f>596+(138.4-33)+(0.60792+(0.141168-0.03366))+0-0-0</f>
        <v>702.11542799999995</v>
      </c>
      <c r="R165" s="3">
        <f>635+(150.8-35.3)+(-0.32385+(-0.076908--0.018003))+0-0-0</f>
        <v>750.11724500000003</v>
      </c>
      <c r="S165" s="3">
        <f>625+(198.4-33)+(-0.31875+(-0.101184--0.01683))+0-0-0</f>
        <v>789.99689599999999</v>
      </c>
      <c r="T165" s="3">
        <f>630+(204.3-33)+(0+(0-0))+0-0-0</f>
        <v>801.3</v>
      </c>
      <c r="U165" s="3">
        <f>644+(178.6-31)+(-1.31376+(-0.364344--0.06324))+0-0-0</f>
        <v>789.98513600000001</v>
      </c>
      <c r="V165" s="3">
        <f>659+(139.9-36.6)+(-0.33609+(-0.071349--0.018666))+0-0-0</f>
        <v>761.91122699999994</v>
      </c>
      <c r="W165" s="3">
        <f>616+(132.1-32.1)+(-0.62832+(-0.134742--0.032742))+0-0-0</f>
        <v>715.26967999999999</v>
      </c>
      <c r="X165" s="3">
        <f>543+(186-32)+(-0.55386+(-0.18972--0.03264))+0-0-0</f>
        <v>696.28905999999995</v>
      </c>
      <c r="Y165" s="3">
        <f>548+(297.4-33)+(0+(0-0))+0-0-0</f>
        <v>812.4</v>
      </c>
      <c r="Z165" s="3">
        <f>640+(279.9-33)+(-0.3264+(-0.142749--0.01683))+0-0-0</f>
        <v>886.44768099999999</v>
      </c>
      <c r="AA165" s="3">
        <f>720+(209.8-34)+(-1.1016+(-0.320994--0.05202))+0-0-0</f>
        <v>894.42942599999992</v>
      </c>
      <c r="AB165" s="3">
        <f>720+(202.2-34)+(0.3672+(0.103122-0.01734))+0-0-0</f>
        <v>888.65298200000007</v>
      </c>
      <c r="AC165" s="3">
        <f>722+(181.7-34)+(-0.36822+(-0.092667--0.01734))+0-0-0</f>
        <v>869.25645300000008</v>
      </c>
      <c r="AD165">
        <f t="shared" si="2"/>
        <v>18183.447538999997</v>
      </c>
      <c r="AE165" s="3">
        <f>722+(206-34)+(0+(0-0))+0-0-0</f>
        <v>894</v>
      </c>
    </row>
    <row r="166" spans="1:31" s="2" customFormat="1" x14ac:dyDescent="0.25">
      <c r="A166">
        <v>89</v>
      </c>
      <c r="B166">
        <v>6</v>
      </c>
      <c r="C166">
        <v>11</v>
      </c>
      <c r="D166">
        <v>6</v>
      </c>
      <c r="E166">
        <v>6</v>
      </c>
      <c r="F166" s="3">
        <f>710+(153.2-33)+(0+(0-0))+0-0-0</f>
        <v>830.2</v>
      </c>
      <c r="G166" s="3">
        <f>709+(136.1-41.2)+(-0.36159+(-0.069411--0.021012))+0-0-0</f>
        <v>803.49001099999998</v>
      </c>
      <c r="H166" s="3">
        <f>709+(124.5-49.2)+(0.36159+(0.063495-0.025092))+0-0-0</f>
        <v>784.69999299999995</v>
      </c>
      <c r="I166" s="3">
        <f>711+(118.9-52.6)+(0+(0-0))+0-0-0</f>
        <v>777.3</v>
      </c>
      <c r="J166" s="3">
        <f>704+(105.5-66.2)+(0+(0-0))+0-0-0</f>
        <v>743.3</v>
      </c>
      <c r="K166" s="3">
        <f>681+(92-73.3)+(0+(0-0))+0-0-0</f>
        <v>699.7</v>
      </c>
      <c r="L166" s="3">
        <f>564+(121.1-33)+(-1.15056+(-0.247044--0.06732))+0-0-0</f>
        <v>650.76971600000002</v>
      </c>
      <c r="M166" s="3">
        <f>591+(99.3-45.3)+(0.30141+(0.050643-0.023103))+0-0-0</f>
        <v>645.32894999999996</v>
      </c>
      <c r="N166" s="3">
        <f>646+(94.5-69.5)+(-0.32946+(-0.048195--0.035445))+0-0-0</f>
        <v>670.65778999999998</v>
      </c>
      <c r="O166" s="3">
        <f>675+(95.7-87.7)+(0.6885+(0.097614-0.089454))+0-0-0</f>
        <v>683.69665999999995</v>
      </c>
      <c r="P166" s="3">
        <f>675+(106.2-76.5)+(0.6885+(0.108324-0.07803))+0-0-0</f>
        <v>705.41879400000005</v>
      </c>
      <c r="Q166" s="3">
        <f>710+(112.1-73.2)+(0.3621+(0.057171-0.037332))+0-0-0</f>
        <v>749.28193899999997</v>
      </c>
      <c r="R166" s="3">
        <f>709+(122.9-58)+(0.36159+(0.062679-0.02958))+0-0-0</f>
        <v>774.29468899999995</v>
      </c>
      <c r="S166" s="3">
        <f>707+(146.7-40.4)+(-0.36057+(-0.074817--0.020604))+0-0-0</f>
        <v>812.8852169999999</v>
      </c>
      <c r="T166" s="3">
        <f>657+(202-33)+(0.33507+(0.10302-0.01683))+0-0-0</f>
        <v>826.42125999999996</v>
      </c>
      <c r="U166" s="3">
        <f>608+(234.9-32)+(-0.31008+(-0.119799--0.01632))+0-0-0</f>
        <v>810.48644100000001</v>
      </c>
      <c r="V166" s="3">
        <f>581+(221.7-32)+(-0.88893+(-0.339201--0.04896))+0-0-0</f>
        <v>769.52082900000005</v>
      </c>
      <c r="W166" s="3">
        <f>566+(197.7-32)+(0+(0-0))+0-0-0</f>
        <v>731.7</v>
      </c>
      <c r="X166" s="3">
        <f>575+(173.9-33)+(0.29325+(0.088689-0.01683))+0-0-0</f>
        <v>716.26510899999994</v>
      </c>
      <c r="Y166" s="3">
        <f>618+(238.1-32)+(0.63036+(0.242862-0.03264))+0-0-0</f>
        <v>824.94058200000006</v>
      </c>
      <c r="Z166" s="3">
        <f>698+(222.6-32)+(-0.35598+(-0.113526--0.01632))+0-0-0</f>
        <v>888.14681400000006</v>
      </c>
      <c r="AA166" s="3">
        <f>695+(236.5-33)+(0.35445+(0.120615-0.01683))+0-0-0</f>
        <v>898.95823499999995</v>
      </c>
      <c r="AB166" s="3">
        <f>685+(240.4-33)+(-0.6987+(-0.245208--0.03366))+0-0-0</f>
        <v>891.48975199999995</v>
      </c>
      <c r="AC166" s="3">
        <f>627+(260.8-32)+(0.63954+(0.266016-0.03264))+0-0-0</f>
        <v>856.67291599999999</v>
      </c>
      <c r="AD166">
        <f t="shared" si="2"/>
        <v>18545.625696999999</v>
      </c>
      <c r="AE166" s="3">
        <f>697+(219.5-33)+(0+(0-0))+0-0-0</f>
        <v>883.5</v>
      </c>
    </row>
    <row r="167" spans="1:31" s="2" customFormat="1" x14ac:dyDescent="0.25">
      <c r="A167">
        <v>89</v>
      </c>
      <c r="B167">
        <v>6</v>
      </c>
      <c r="C167">
        <v>12</v>
      </c>
      <c r="D167">
        <v>7</v>
      </c>
      <c r="E167">
        <v>1</v>
      </c>
      <c r="F167" s="3">
        <f>586+(251.9-32)+(0+(0-0))+0-0-0</f>
        <v>805.9</v>
      </c>
      <c r="G167" s="3">
        <f>586+(224.1-32)+(0.29886+(0.114291-0.01632))+0-0-0</f>
        <v>778.49683100000004</v>
      </c>
      <c r="H167" s="3">
        <f>586+(189.3-33)+(0+(0-0))+0-0-0</f>
        <v>742.3</v>
      </c>
      <c r="I167" s="3">
        <f>586+(181.1-34)+(1.4943+(0.461805-0.0867))+0-0-0</f>
        <v>734.96940500000005</v>
      </c>
      <c r="J167" s="3">
        <f>582+(153.1-34)+(-0.59364+(-0.156162--0.03468))+0-0-0</f>
        <v>700.38487800000007</v>
      </c>
      <c r="K167" s="3">
        <f>580+(113.7-34)+(-1.479+(-0.289935--0.0867))+0-0-0</f>
        <v>658.01776500000005</v>
      </c>
      <c r="L167" s="3">
        <f>454+(182.2-32)+(-1.1577+(-0.46461--0.0816))+0-0-0</f>
        <v>602.65929000000006</v>
      </c>
      <c r="M167" s="3">
        <f>427+(203-31)+(-0.87108+(-0.41412--0.06324))+0-0-0</f>
        <v>597.77804000000003</v>
      </c>
      <c r="N167" s="3">
        <f>429+(206.4-30)+(0.21879+(0.105264-0.0153))+0-0-0</f>
        <v>605.708754</v>
      </c>
      <c r="O167" s="3">
        <f>495+(154.9-32)+(0+(0-0))+0-0-0</f>
        <v>617.9</v>
      </c>
      <c r="P167" s="3">
        <f>494+(181.6-32)+(-0.25194+(-0.092616--0.01632))+0-0-0</f>
        <v>643.27176400000008</v>
      </c>
      <c r="Q167" s="3">
        <f>493+(221.5-32)+(-0.25143+(-0.112965--0.01632))+0-0-0</f>
        <v>682.15192500000001</v>
      </c>
      <c r="R167" s="3">
        <f>485+(278.2-32)+(-0.24735+(-0.141882--0.01632))+0-0-0</f>
        <v>730.827088</v>
      </c>
      <c r="S167" s="3">
        <f>528+(263.4-33)+(-0.53856+(-0.268668--0.03366))+0-0-0</f>
        <v>757.62643200000002</v>
      </c>
      <c r="T167" s="3">
        <f>533+(269-33)+(0+(0-0))+0-0-0</f>
        <v>769</v>
      </c>
      <c r="U167" s="3">
        <f>530+(263.5-32)+(-0.8109+(-0.403155--0.04896))+0-0-0</f>
        <v>760.33490500000005</v>
      </c>
      <c r="V167" s="3">
        <f>537+(232.6-32)+(-0.27387+(-0.118626--0.01632))+0-0-0</f>
        <v>737.22382400000004</v>
      </c>
      <c r="W167" s="3">
        <f>539+(169.1-32)+(-0.82467+(-0.258723--0.04896))+0-0-0</f>
        <v>675.06556699999999</v>
      </c>
      <c r="X167" s="3">
        <f>485+(224.6-32)+(-1.23675+(-0.57273--0.0816))+0-0-0</f>
        <v>675.87212</v>
      </c>
      <c r="Y167" s="3">
        <f>570+(258.4-33)+(0+(0-0))+0-0-0</f>
        <v>795.4</v>
      </c>
      <c r="Z167" s="3">
        <f>637+(252.4-33)+(-0.64974+(-0.257448--0.03366))+0-0-0</f>
        <v>855.52647200000001</v>
      </c>
      <c r="AA167" s="3">
        <f>685+(213.6-28)+(-1.3974+(-0.435744--0.05712))+0-0-0</f>
        <v>868.82397600000002</v>
      </c>
      <c r="AB167" s="3">
        <f>661+(239.1-29)+(-0.33711+(-0.121941--0.01479))+0-0-0</f>
        <v>870.65573900000004</v>
      </c>
      <c r="AC167" s="3">
        <f>619+(268.7-33)+(-0.31569+(-0.137037--0.01683))+0-0-0</f>
        <v>854.26410300000009</v>
      </c>
      <c r="AD167">
        <f t="shared" si="2"/>
        <v>17520.158878000002</v>
      </c>
      <c r="AE167" s="3">
        <f>686+(215.3-33)+(0+(0-0))+0-0-0</f>
        <v>868.3</v>
      </c>
    </row>
    <row r="168" spans="1:31" s="2" customFormat="1" x14ac:dyDescent="0.25">
      <c r="A168">
        <v>89</v>
      </c>
      <c r="B168">
        <v>6</v>
      </c>
      <c r="C168">
        <v>13</v>
      </c>
      <c r="D168">
        <v>1</v>
      </c>
      <c r="E168">
        <v>1</v>
      </c>
      <c r="F168" s="3">
        <f>564+(284.2-31)+(-0.86292+(-0.434826--0.04743))+0-0-0</f>
        <v>815.94968400000005</v>
      </c>
      <c r="G168" s="3">
        <f>564+(240.4-29)+(-0.86292+(-0.367812--0.04437))+0-0-0</f>
        <v>774.21363799999995</v>
      </c>
      <c r="H168" s="3">
        <f>565+(194.8-29)+(-0.5763+(-0.198696--0.02958))+0-0-0</f>
        <v>730.05458399999998</v>
      </c>
      <c r="I168" s="3">
        <f>564+(205.5-29)+(0.28764+(0.104805-0.01479))+0-0-0</f>
        <v>740.877655</v>
      </c>
      <c r="J168" s="3">
        <f>559+(189.5-31)+(0.28509+(0.096645-0.01581))+0-0-0</f>
        <v>717.86592499999995</v>
      </c>
      <c r="K168" s="3">
        <f>558+(146.7-32)+(-1.4229+(-0.374085--0.0816))+0-0-0</f>
        <v>670.98461500000008</v>
      </c>
      <c r="L168" s="3">
        <f>511+(141.1-33)+(-1.82427+(-0.503727--0.11781))+0-0-0</f>
        <v>616.889813</v>
      </c>
      <c r="M168" s="3">
        <f>545+(104.1-34.6)+(0+(0-0))+0-0-0</f>
        <v>614.5</v>
      </c>
      <c r="N168" s="3">
        <f>570+(114.3-47.8)+(0+(0-0))+0-0-0</f>
        <v>636.5</v>
      </c>
      <c r="O168" s="3">
        <f>575+(121.5-45.2)+(0.29325+(0.061965-0.023052))+0-0-0</f>
        <v>651.63216299999999</v>
      </c>
      <c r="P168" s="3">
        <f>575+(135.8-30.2)+(0.87975+(0.207774-0.046206))+0-0-0</f>
        <v>681.64131800000007</v>
      </c>
      <c r="Q168" s="3">
        <f>573+(178.1-27)+(1.16892+(0.363324-0.05508))+0-0-0</f>
        <v>725.57716400000004</v>
      </c>
      <c r="R168" s="3">
        <f>576+(222.2-32)+(0+(0-0))+0-0-0</f>
        <v>766.2</v>
      </c>
      <c r="S168" s="3">
        <f>610+(218.9-33)+(-0.9333+(-0.334917--0.05049))+0-0-0</f>
        <v>794.68227300000001</v>
      </c>
      <c r="T168" s="3">
        <f>610+(227.8-32)+(0+(0-0))+0-0-0</f>
        <v>805.8</v>
      </c>
      <c r="U168" s="3">
        <f>613+(210.8-31)+(0+(0-0))+0-0-0</f>
        <v>792.8</v>
      </c>
      <c r="V168" s="3">
        <f>571+(214.6-31)+(-0.58242+(-0.218892--0.03162))+0-0-0</f>
        <v>753.83030800000006</v>
      </c>
      <c r="W168" s="3">
        <f>554+(189.6-31)+(-0.84762+(-0.290088--0.04743))+0-0-0</f>
        <v>711.50972200000001</v>
      </c>
      <c r="X168" s="3">
        <f>495+(233.3-32)+(-1.5147+(-0.713898--0.09792))+0-0-0</f>
        <v>694.16932199999997</v>
      </c>
      <c r="Y168" s="3">
        <f>586+(249.7-33)+(-1.19544+(-0.509388--0.06732))+0-0-0</f>
        <v>801.06249200000002</v>
      </c>
      <c r="Z168" s="3">
        <f>690+(205.6-33)+(-1.4076+(-0.419424--0.06732))+0-0-0</f>
        <v>860.84029599999997</v>
      </c>
      <c r="AA168" s="3">
        <f>688+(218.6-33)+(-1.05264+(-0.334458--0.05049))+0-0-0</f>
        <v>872.26339200000007</v>
      </c>
      <c r="AB168" s="3">
        <f>686+(209.6-33)+(-0.69972+(-0.213792--0.03366))+0-0-0</f>
        <v>861.72014799999999</v>
      </c>
      <c r="AC168" s="3">
        <f>647+(222.2-33)+(-0.98991+(-0.339966--0.05049))+0-0-0</f>
        <v>834.920614</v>
      </c>
      <c r="AD168">
        <f t="shared" si="2"/>
        <v>17926.485126</v>
      </c>
      <c r="AE168" s="3">
        <f>693+(206.2-33)+(0+(0-0))+0-0-0</f>
        <v>866.2</v>
      </c>
    </row>
    <row r="169" spans="1:31" s="2" customFormat="1" x14ac:dyDescent="0.25">
      <c r="A169">
        <v>89</v>
      </c>
      <c r="B169">
        <v>6</v>
      </c>
      <c r="C169">
        <v>14</v>
      </c>
      <c r="D169">
        <v>2</v>
      </c>
      <c r="E169">
        <v>1</v>
      </c>
      <c r="F169" s="3">
        <f>616+(198.8-32)+(-0.31416+(-0.101388--0.01632))+0-0-0</f>
        <v>782.40077199999996</v>
      </c>
      <c r="G169" s="3">
        <f>616+(164.1-32)+(-0.94248+(-0.251073--0.04896))+0-0-0</f>
        <v>746.95540700000004</v>
      </c>
      <c r="H169" s="3">
        <f>566+(192.4-32)+(0+(0-0))+0-0-0</f>
        <v>726.4</v>
      </c>
      <c r="I169" s="3">
        <f>562+(195.1-33)+(0+(0-0))+0-0-0</f>
        <v>724.1</v>
      </c>
      <c r="J169" s="3">
        <f>557+(169.7-33)+(1.13628+(0.346188-0.06732))+0-0-0</f>
        <v>695.11514800000009</v>
      </c>
      <c r="K169" s="3">
        <f>552+(132.8-33)+(-0.56304+(-0.135456--0.03366))+0-0-0</f>
        <v>651.13516399999992</v>
      </c>
      <c r="L169" s="3">
        <f>515+(117.1-34.1)+(-1.0506+(-0.238884--0.069564))+0-0-0</f>
        <v>596.78008</v>
      </c>
      <c r="M169" s="3">
        <f>470+(152.1-33)+(0.7191+(0.232713-0.05049))+0-0-0</f>
        <v>590.00132300000007</v>
      </c>
      <c r="N169" s="3">
        <f>485+(153.1-32)+(-0.24735+(-0.078081--0.01632))+0-0-0</f>
        <v>605.79088899999999</v>
      </c>
      <c r="O169" s="3">
        <f>548+(114.7-38)+(0+(0-0))+0-0-0</f>
        <v>624.70000000000005</v>
      </c>
      <c r="P169" s="3">
        <f>550+(126.9-33.4)+(0.8415+(0.194157-0.051102))+0-0-0</f>
        <v>644.484555</v>
      </c>
      <c r="Q169" s="3">
        <f>579+(140.7-32)+(0.29529+(0.071757-0.01632))+0-0-0</f>
        <v>688.05072700000005</v>
      </c>
      <c r="R169" s="3">
        <f>573+(190.3-33)+(0.29223+(0.097053-0.01683))+0-0-0</f>
        <v>730.6724529999999</v>
      </c>
      <c r="S169" s="3">
        <f>591+(215.1-33)+(-0.30141+(-0.109701--0.01683))+0-0-0</f>
        <v>772.70571900000004</v>
      </c>
      <c r="T169" s="3">
        <f>647+(169.2-32)+(0.32997+(0.086292-0.01632))+0-0-0</f>
        <v>784.59994200000006</v>
      </c>
      <c r="U169" s="3">
        <f>651+(156.6-32.6)+(-0.99603+(-0.239598--0.049878))+0-0-0</f>
        <v>773.81425000000002</v>
      </c>
      <c r="V169" s="3">
        <f>622+(145.6-35)+(0+(0-0))+0-0-0</f>
        <v>732.6</v>
      </c>
      <c r="W169" s="3">
        <f>540+(163.8-31)+(-1.1016+(-0.334152--0.06324))+0-0-0</f>
        <v>671.42748799999993</v>
      </c>
      <c r="X169" s="3">
        <f>495+(204.1-33)+(-0.75735+(-0.312273--0.05049))+0-0-0</f>
        <v>665.08086700000001</v>
      </c>
      <c r="Y169" s="3">
        <f>582+(226.9-33)+(-0.29682+(-0.115719--0.01683))+0-0-0</f>
        <v>775.50429099999997</v>
      </c>
      <c r="Z169" s="3">
        <f>660+(214.2-33)+(-0.6732+(-0.218484--0.03366))+0-0-0</f>
        <v>840.34197600000005</v>
      </c>
      <c r="AA169" s="3">
        <f>680+(199.1-33)+(-0.6936+(-0.203082--0.03366))+0-0-0</f>
        <v>845.23697800000002</v>
      </c>
      <c r="AB169" s="3">
        <f>675+(205.7-32)+(-0.34425+(-0.104907--0.01632))+0-0-0</f>
        <v>848.2671630000001</v>
      </c>
      <c r="AC169" s="3">
        <f>632+(217.9-32)+(-0.96696+(-0.333387--0.04896))+0-0-0</f>
        <v>816.64861299999995</v>
      </c>
      <c r="AD169">
        <f t="shared" si="2"/>
        <v>17332.813805000002</v>
      </c>
      <c r="AE169" s="3">
        <f>660+(210.9-33)+(0+(0-0))+0-0-0</f>
        <v>837.9</v>
      </c>
    </row>
    <row r="170" spans="1:31" s="2" customFormat="1" x14ac:dyDescent="0.25">
      <c r="A170">
        <v>89</v>
      </c>
      <c r="B170">
        <v>6</v>
      </c>
      <c r="C170">
        <v>15</v>
      </c>
      <c r="D170">
        <v>3</v>
      </c>
      <c r="E170">
        <v>1</v>
      </c>
      <c r="F170" s="3">
        <f>572+(244.7-32)+(-0.87516+(-0.374391--0.04896))+0-0-0</f>
        <v>783.49940900000001</v>
      </c>
      <c r="G170" s="3">
        <f>563+(219.1-31)+(-0.86139+(-0.335223--0.04743))+0-0-0</f>
        <v>749.95081700000003</v>
      </c>
      <c r="H170" s="3">
        <f>548+(200.7-31)+(-0.55896+(-0.204714--0.03162))+0-0-0</f>
        <v>716.9679460000001</v>
      </c>
      <c r="I170" s="3">
        <f>488+(251.9-25)+(-0.74664+(-0.385407--0.03825))+0-0-0</f>
        <v>713.80620299999998</v>
      </c>
      <c r="J170" s="3">
        <f>465+(248.5-32)+(-0.4743+(-0.25347--0.03264))+0-0-0</f>
        <v>680.80487000000005</v>
      </c>
      <c r="K170" s="3">
        <f>465+(197.5-32)+(-0.9486+(-0.4029--0.06528))+0-0-0</f>
        <v>629.21378000000004</v>
      </c>
      <c r="L170" s="3">
        <f>464+(145.5-32)+(-2.12976+(-0.667845--0.14688))+0-0-0</f>
        <v>574.84927500000003</v>
      </c>
      <c r="M170" s="3">
        <f>464+(144.6-32)+(-0.70992+(-0.221238--0.04896))+0-0-0</f>
        <v>575.71780200000001</v>
      </c>
      <c r="N170" s="3">
        <f>500+(125.9-32)+(-0.51+(-0.128418--0.03264))+0-0-0</f>
        <v>593.29422199999999</v>
      </c>
      <c r="O170" s="3">
        <f>565+(95.6-45)+(-0.86445+(-0.146268--0.06885))+0-0-0</f>
        <v>614.65813200000002</v>
      </c>
      <c r="P170" s="3">
        <f>571+(109.5-35.5)+(-1.16484+(-0.22338--0.07242))+0-0-0</f>
        <v>643.68420000000003</v>
      </c>
      <c r="Q170" s="3">
        <f>576+(139.3-33)+(0.88128+(0.213129-0.05049))+0-0-0</f>
        <v>683.34391899999991</v>
      </c>
      <c r="R170" s="3">
        <f>576+(191-33)+(0+(0-0))+0-0-0</f>
        <v>734</v>
      </c>
      <c r="S170" s="3">
        <f>576+(225.9-32)+(0+(0-0))+0-0-0</f>
        <v>769.9</v>
      </c>
      <c r="T170" s="3">
        <f>575+(236.7-32)+(0.29325+(0.120717-0.01632))+0-0-0</f>
        <v>780.09764700000005</v>
      </c>
      <c r="U170" s="3">
        <f>581+(238.5-32)+(-0.59262+(-0.24327--0.03264))+0-0-0</f>
        <v>786.69674999999995</v>
      </c>
      <c r="V170" s="3">
        <f>571+(191.4-32)+(-0.58242+(-0.195228--0.03264))+0-0-0</f>
        <v>729.65499199999999</v>
      </c>
      <c r="W170" s="3">
        <f>559+(159.4-32)+(-0.85527+(-0.243882--0.04896))+0-0-0</f>
        <v>685.34980799999994</v>
      </c>
      <c r="X170" s="3">
        <f>564+(138.6-32)+(-0.57528+(-0.141372--0.03264))+0-0-0</f>
        <v>669.91598799999997</v>
      </c>
      <c r="Y170" s="3">
        <f>576+(234.8-33)+(0.29376+(0.119748-0.01683))+0-0-0</f>
        <v>778.19667799999991</v>
      </c>
      <c r="Z170" s="3">
        <f>614+(258.3-34)+(-0.31314+(-0.131733--0.01734))+0-0-0</f>
        <v>837.87246699999992</v>
      </c>
      <c r="AA170" s="3">
        <f>688+(182.6-28)+(-1.05264+(-0.279378--0.04284))+0-0-0</f>
        <v>841.31082200000003</v>
      </c>
      <c r="AB170" s="3">
        <f>684+(177.8-32)+(0+(0-0))+0-0-0</f>
        <v>829.8</v>
      </c>
      <c r="AC170" s="3">
        <f>640+(193.6-31)+(-0.3264+(-0.098736--0.01581))+0-0-0</f>
        <v>802.19067400000006</v>
      </c>
      <c r="AD170">
        <f t="shared" si="2"/>
        <v>17204.776400999999</v>
      </c>
      <c r="AE170" s="3">
        <f>616+(254.7-34)+(0+(0-0))+0-0-0</f>
        <v>836.7</v>
      </c>
    </row>
    <row r="171" spans="1:31" s="2" customFormat="1" x14ac:dyDescent="0.25">
      <c r="A171">
        <v>89</v>
      </c>
      <c r="B171">
        <v>6</v>
      </c>
      <c r="C171">
        <v>16</v>
      </c>
      <c r="D171">
        <v>4</v>
      </c>
      <c r="E171">
        <v>1</v>
      </c>
      <c r="F171" s="3">
        <f>574+(213.8-32)+(-0.58548+(-0.218076--0.03264))+0-0-0</f>
        <v>755.0290839999999</v>
      </c>
      <c r="G171" s="3">
        <f>555+(197.6-33)+(-1.41525+(-0.50388--0.08415))+0-0-0</f>
        <v>717.76502000000005</v>
      </c>
      <c r="H171" s="3">
        <f>485+(243.7-33)+(0.24735+(0.124287-0.01683))+0-0-0</f>
        <v>696.0548070000001</v>
      </c>
      <c r="I171" s="3">
        <f>484+(249.6-32)+(-1.2342+(-0.63648--0.0816))+0-0-0</f>
        <v>699.81092000000001</v>
      </c>
      <c r="J171" s="3">
        <f>480+(201-31)+(0.2448+(0.10251-0.01581))+0-0-0</f>
        <v>650.33150000000001</v>
      </c>
      <c r="K171" s="3">
        <f>480+(156.6-32)+(-1.224+(-0.39933--0.0816))+0-0-0</f>
        <v>603.05826999999999</v>
      </c>
      <c r="L171" s="3">
        <f>466+(139.2-33)+(-1.1883+(-0.35496--0.08415))+0-0-0</f>
        <v>570.74089000000004</v>
      </c>
      <c r="M171" s="3">
        <f>461+(142.8-33)+(0+(0-0))+0-0-0</f>
        <v>570.79999999999995</v>
      </c>
      <c r="N171" s="3">
        <f>462+(155.1-24)+(0.23562+(0.079101-0.01224))+0-0-0</f>
        <v>593.40248099999997</v>
      </c>
      <c r="O171" s="3">
        <f>540+(103-31)+(0.8262+(0.15759-0.04743))+0-0-0</f>
        <v>612.93636000000004</v>
      </c>
      <c r="P171" s="3">
        <f>547+(118.9-32)+(-0.27897+(-0.060639--0.01632))+0-0-0</f>
        <v>633.57671099999993</v>
      </c>
      <c r="Q171" s="3">
        <f>547+(136.9-32)+(0.27897+(0.069819-0.01632))+0-0-0</f>
        <v>652.23246899999992</v>
      </c>
      <c r="R171" s="3">
        <f>595+(142.6-33)+(0.30345+(0.072726-0.01683))+0-0-0</f>
        <v>704.95934599999998</v>
      </c>
      <c r="S171" s="3">
        <f>638+(146.6-44)+(-0.65076+(-0.149532--0.04488))+0-0-0</f>
        <v>739.84458800000004</v>
      </c>
      <c r="T171" s="3">
        <f>639+(151.7-40)+(0+(0-0))+0-0-0</f>
        <v>750.7</v>
      </c>
      <c r="U171" s="3">
        <f>644+(142.1-48.5)+(-0.32844+(-0.072471--0.024735))+0-0-0</f>
        <v>737.22382400000004</v>
      </c>
      <c r="V171" s="3">
        <f>560+(175.6-32)+(-0.5712+(-0.179112--0.03264))+0-0-0</f>
        <v>702.88232800000003</v>
      </c>
      <c r="W171" s="3">
        <f>543+(141.2-33)+(-0.27693+(-0.072012--0.01683))+0-0-0</f>
        <v>650.86788799999999</v>
      </c>
      <c r="X171" s="3">
        <f>493+(190-33)+(0+(0-0))+0-0-0</f>
        <v>650</v>
      </c>
      <c r="Y171" s="3">
        <f>519+(280.7-33)+(-0.52938+(-0.286314--0.03366))+0-0-0</f>
        <v>765.91796600000009</v>
      </c>
      <c r="Z171" s="3">
        <f>660+(187.2-34)+(-1.0098+(-0.286416--0.05202))+0-0-0</f>
        <v>811.95580400000006</v>
      </c>
      <c r="AA171" s="3">
        <f>656+(200.7-25)+(-1.00368+(-0.307071--0.03825))+0-0-0</f>
        <v>830.42749900000001</v>
      </c>
      <c r="AB171" s="3">
        <f>646+(207.1-31)+(-0.32946+(-0.105621--0.01581))+0-0-0</f>
        <v>821.68072900000004</v>
      </c>
      <c r="AC171" s="3">
        <f>563+(262-32)+(-0.57426+(-0.26724--0.03264))+0-0-0</f>
        <v>792.19114000000002</v>
      </c>
      <c r="AD171">
        <f t="shared" si="2"/>
        <v>16714.389623999999</v>
      </c>
      <c r="AE171" s="3">
        <f>658+(206.3-34)+(0+(0-0))+0-0-0</f>
        <v>830.3</v>
      </c>
    </row>
    <row r="172" spans="1:31" s="2" customFormat="1" x14ac:dyDescent="0.25">
      <c r="A172">
        <v>89</v>
      </c>
      <c r="B172">
        <v>6</v>
      </c>
      <c r="C172">
        <v>17</v>
      </c>
      <c r="D172">
        <v>5</v>
      </c>
      <c r="E172">
        <v>1</v>
      </c>
      <c r="F172" s="3">
        <f>563+(222.9-32)+(-0.28713+(-0.113679--0.01632))+0-0-0</f>
        <v>753.51551099999995</v>
      </c>
      <c r="G172" s="3">
        <f>530+(210.7-31)+(-1.0812+(-0.429828--0.06324))+0-0-0</f>
        <v>708.2522120000001</v>
      </c>
      <c r="H172" s="3">
        <f>489+(226.8-30)+(-0.74817+(-0.347004--0.0459))+0-0-0</f>
        <v>684.75072599999999</v>
      </c>
      <c r="I172" s="3">
        <f>489+(203.1-30)+(-0.74817+(-0.310743--0.0459))+0-0-0</f>
        <v>661.08698700000002</v>
      </c>
      <c r="J172" s="3">
        <f>482+(187.6-30)+(0.24582+(0.095676-0.0153))+0-0-0</f>
        <v>639.926196</v>
      </c>
      <c r="K172" s="3">
        <f>482+(150.2-32)+(-0.73746+(-0.229806--0.04896))+0-0-0</f>
        <v>599.28169400000002</v>
      </c>
      <c r="L172" s="3">
        <f>476+(105.8-28)+(-0.24276+(-0.053958--0.01428))+0-0-0</f>
        <v>553.517562</v>
      </c>
      <c r="M172" s="3">
        <f>473+(100.1-13)+(-0.24123+(-0.051051--0.00663))+0-0-0</f>
        <v>559.81434899999999</v>
      </c>
      <c r="N172" s="3">
        <f>493+(105-31)+(-0.75429+(-0.16065--0.04743))+0-0-0</f>
        <v>566.13248999999996</v>
      </c>
      <c r="O172" s="3">
        <f>536+(95.8-40.2)+(-0.54672+(-0.097716--0.041004))+0-0-0</f>
        <v>590.99656800000002</v>
      </c>
      <c r="P172" s="3">
        <f>534+(111.1-33)+(-0.81702+(-0.169983--0.05049))+0-0-0</f>
        <v>611.16348700000003</v>
      </c>
      <c r="Q172" s="3">
        <f>539+(136.9-29)+(-0.27489+(-0.069819--0.01479))+0-0-0</f>
        <v>646.57008099999996</v>
      </c>
      <c r="R172" s="3">
        <f>544+(191.2-31)+(-0.27744+(-0.097512--0.01581))+0-0-0</f>
        <v>703.84085800000003</v>
      </c>
      <c r="S172" s="3">
        <f>545+(231.2-33)+(-0.5559+(-0.235824--0.03366))+0-0-0</f>
        <v>742.44193600000006</v>
      </c>
      <c r="T172" s="3">
        <f>547+(248.9-34)+(-0.27897+(-0.126939--0.01734))+0-0-0</f>
        <v>761.51143100000002</v>
      </c>
      <c r="U172" s="3">
        <f>550+(233.8-33)+(0.2805+(0.119238-0.01683))+0-0-0</f>
        <v>751.182908</v>
      </c>
      <c r="V172" s="3">
        <f>553+(191.4-32)+(-0.84609+(-0.292842--0.04896))+0-0-0</f>
        <v>711.31002799999999</v>
      </c>
      <c r="W172" s="3">
        <f>565+(142.6-32)+(-0.5763+(-0.145452--0.03264))+0-0-0</f>
        <v>674.910888</v>
      </c>
      <c r="X172" s="3">
        <f>567+(129.5-32)+(-1.15668+(-0.26418--0.06528))+0-0-0</f>
        <v>663.14441999999997</v>
      </c>
      <c r="Y172" s="3">
        <f>581+(199.6-33)+(-0.29631+(-0.101796--0.01683))+0-0-0</f>
        <v>747.21872400000007</v>
      </c>
      <c r="Z172" s="3">
        <f>645+(207.4-34)+(-0.98685+(-0.317322--0.05202))+0-0-0</f>
        <v>817.14784799999995</v>
      </c>
      <c r="AA172" s="3">
        <f>688+(179.9-34)+(-0.70176+(-0.183498--0.03468))+0-0-0</f>
        <v>833.04942199999994</v>
      </c>
      <c r="AB172" s="3">
        <f>662+(183.7-33)+(0.33762+(0.093687-0.01683))+0-0-0</f>
        <v>813.11447700000008</v>
      </c>
      <c r="AC172" s="3">
        <f>640+(175.9-33)+(-1.3056+(-0.358836--0.06732))+0-0-0</f>
        <v>781.30288399999995</v>
      </c>
      <c r="AD172">
        <f t="shared" si="2"/>
        <v>16575.183687000004</v>
      </c>
      <c r="AE172" s="3">
        <f>690+(195-34)+(0+(0-0))+0-0-0</f>
        <v>851</v>
      </c>
    </row>
    <row r="173" spans="1:31" s="2" customFormat="1" x14ac:dyDescent="0.25">
      <c r="A173">
        <v>89</v>
      </c>
      <c r="B173">
        <v>6</v>
      </c>
      <c r="C173">
        <v>18</v>
      </c>
      <c r="D173">
        <v>6</v>
      </c>
      <c r="E173">
        <v>1</v>
      </c>
      <c r="F173" s="3">
        <f>635+(173.2-30)+(0+(0-0))+0-0-0</f>
        <v>778.2</v>
      </c>
      <c r="G173" s="3">
        <f>560+(190.5-28)+(-0.5712+(-0.19431--0.02856))+0-0-0</f>
        <v>721.76305000000002</v>
      </c>
      <c r="H173" s="3">
        <f>507+(197.5-27)+(0+(0-0))+0-0-0</f>
        <v>677.5</v>
      </c>
      <c r="I173" s="3">
        <f>507+(189.3-25)+(-0.51714+(-0.193086--0.0255))+0-0-0</f>
        <v>670.615274</v>
      </c>
      <c r="J173" s="3">
        <f>504+(176.2-20)+(0.25704+(0.089862-0.0102))+0-0-0</f>
        <v>660.53670199999999</v>
      </c>
      <c r="K173" s="3">
        <f>503+(144.5-22)+(0+(0-0))+0-0-0</f>
        <v>625.5</v>
      </c>
      <c r="L173" s="3">
        <f>505+(89-33)+(-0.5151+(-0.09078--0.03366))+0-0-0</f>
        <v>560.42777999999998</v>
      </c>
      <c r="M173" s="3">
        <f>497+(96-29)+(0.25347+(0.04896-0.01479))+0-0-0</f>
        <v>564.28764000000001</v>
      </c>
      <c r="N173" s="3">
        <f>482+(132.7-30)+(-0.24582+(-0.067677--0.0153))+0-0-0</f>
        <v>584.40180300000009</v>
      </c>
      <c r="O173" s="3">
        <f>500+(136.7-31)+(0+(0-0))+0-0-0</f>
        <v>605.70000000000005</v>
      </c>
      <c r="P173" s="3">
        <f>531+(133.5-31)+(0.27081+(0.068085-0.01581))+0-0-0</f>
        <v>633.82308499999999</v>
      </c>
      <c r="Q173" s="3">
        <f>531+(163.8-32)+(0.27081+(0.083538-0.01632))+0-0-0</f>
        <v>663.13802799999996</v>
      </c>
      <c r="R173" s="3">
        <f>525+(208.2-33)+(-0.5355+(-0.212364--0.03366))+0-0-0</f>
        <v>699.48579600000005</v>
      </c>
      <c r="S173" s="3">
        <f>526+(252.3-33)+(-1.07304+(-0.514692--0.06732))+0-0-0</f>
        <v>743.77958799999999</v>
      </c>
      <c r="T173" s="3">
        <f>524+(262.3-31)+(-0.53448+(-0.267546--0.03162))+0-0-0</f>
        <v>754.52959399999997</v>
      </c>
      <c r="U173" s="3">
        <f>515+(255.8-30)+(0+(0-0))+0-0-0</f>
        <v>740.8</v>
      </c>
      <c r="V173" s="3">
        <f>500+(237.3-28)+(-0.51+(-0.242046--0.02856))+0-0-0</f>
        <v>708.57651399999997</v>
      </c>
      <c r="W173" s="3">
        <f>510+(172.1-28)+(-1.0404+(-0.351084--0.05712))+0-0-0</f>
        <v>652.76563599999997</v>
      </c>
      <c r="X173" s="3">
        <f>513+(157.7-29)+(0.52326+(0.160854-0.02958))+0-0-0</f>
        <v>642.35453400000006</v>
      </c>
      <c r="Y173" s="3">
        <f>564+(222.6-29)+(0.28764+(0.113526-0.01479))+0-0-0</f>
        <v>757.98637600000006</v>
      </c>
      <c r="Z173" s="3">
        <f>609+(226.1-32)+(-0.62118+(-0.230622--0.03264))+0-0-0</f>
        <v>802.28083800000002</v>
      </c>
      <c r="AA173" s="3">
        <f>634+(209-33)+(-0.64668+(-0.21318--0.03366))+0-0-0</f>
        <v>809.17380000000003</v>
      </c>
      <c r="AB173" s="3">
        <f>637+(203.3-32)+(-0.64974+(-0.207366--0.03264))+0-0-0</f>
        <v>807.47553399999993</v>
      </c>
      <c r="AC173" s="3">
        <f>634+(183.1-32)+(0+(0-0))+0-0-0</f>
        <v>785.1</v>
      </c>
      <c r="AD173">
        <f t="shared" si="2"/>
        <v>16650.201571999998</v>
      </c>
      <c r="AE173" s="3">
        <f>618+(234.2-33)+(0+(0-0))+0-0-0</f>
        <v>819.2</v>
      </c>
    </row>
    <row r="174" spans="1:31" s="2" customFormat="1" x14ac:dyDescent="0.25">
      <c r="A174">
        <v>89</v>
      </c>
      <c r="B174">
        <v>6</v>
      </c>
      <c r="C174">
        <v>19</v>
      </c>
      <c r="D174">
        <v>7</v>
      </c>
      <c r="E174">
        <v>3</v>
      </c>
      <c r="F174" s="3">
        <f>611+(171.2-31)+(-1.24644+(-0.349248--0.06324))+0-0-0</f>
        <v>749.667552</v>
      </c>
      <c r="G174" s="3">
        <f>600+(147.5-32)+(-0.918+(-0.225675--0.04896))+0-0-0</f>
        <v>714.40528500000005</v>
      </c>
      <c r="H174" s="3">
        <f>570+(136.3-32)+(-0.8721+(-0.208539--0.04896))+0-0-0</f>
        <v>673.2683209999999</v>
      </c>
      <c r="I174" s="3">
        <f>548+(127.5-34)+(-0.27948+(-0.065025--0.01734))+0-0-0</f>
        <v>641.17283499999996</v>
      </c>
      <c r="J174" s="3">
        <f>539+(111.8-35)+(0+(0-0))+0-0-0</f>
        <v>615.79999999999995</v>
      </c>
      <c r="K174" s="3">
        <f>540+(94.6-41.6)+(0+(0-0))+0-0-0</f>
        <v>593</v>
      </c>
      <c r="L174" s="3">
        <f>540+(81-51.1)+(-1.9278+(-0.28917--0.182427))+0-0-0</f>
        <v>567.86545699999999</v>
      </c>
      <c r="M174" s="3">
        <f>430+(103-33)+(-0.2193+(-0.05253--0.01683))+0-0-0</f>
        <v>499.745</v>
      </c>
      <c r="N174" s="3">
        <f>395+(111.9-33)+(1.00725+(0.285345-0.08415))+0-0-0</f>
        <v>475.10844499999996</v>
      </c>
      <c r="O174" s="3">
        <f>395+(121.9-33)+(-0.20145+(-0.062169--0.01683))+0-0-0</f>
        <v>483.653211</v>
      </c>
      <c r="P174" s="3">
        <f>385+(152.9-30)+(-0.3927+(-0.155958--0.0306))+0-0-0</f>
        <v>507.38194199999998</v>
      </c>
      <c r="Q174" s="3">
        <f>395+(180.3-28)+(-0.20145+(-0.091953--0.01428))+0-0-0</f>
        <v>547.02087699999993</v>
      </c>
      <c r="R174" s="3">
        <f>388+(245.5-28)+(-0.59364+(-0.375615--0.04284))+0-0-0</f>
        <v>604.57358499999998</v>
      </c>
      <c r="S174" s="3">
        <f>416+(248.5-28)+(-0.42432+(-0.25347--0.02856))+0-0-0</f>
        <v>635.85077000000001</v>
      </c>
      <c r="T174" s="3">
        <f>451+(226.7-23)+(-0.46002+(-0.231234--0.02346))+0-0-0</f>
        <v>654.03220600000009</v>
      </c>
      <c r="U174" s="3">
        <f>461+(199-23)+(-0.23511+(-0.10149--0.01173))+0-0-0</f>
        <v>636.67512999999997</v>
      </c>
      <c r="V174" s="3">
        <f>464+(160.7-26)+(-0.70992+(-0.245871--0.03978))+0-0-0</f>
        <v>597.78398900000002</v>
      </c>
      <c r="W174" s="3">
        <f>473+(122.5-31)+(-1.44738+(-0.37485--0.09486))+0-0-0</f>
        <v>562.77263000000005</v>
      </c>
      <c r="X174" s="3">
        <f>475+(104.5-35)+(-0.4845+(-0.10659--0.0357))+0-0-0</f>
        <v>543.94461000000001</v>
      </c>
      <c r="Y174" s="3">
        <f>494+(184.6-30)+(-0.50388+(-0.188292--0.0306))+0-0-0</f>
        <v>647.93842800000004</v>
      </c>
      <c r="Z174" s="3">
        <f>544+(198.5-32)+(-1.10976+(-0.40494--0.06528))+0-0-0</f>
        <v>709.05057999999997</v>
      </c>
      <c r="AA174" s="3">
        <f>546+(203.8-33)+(-1.11384+(-0.415752--0.06732))+0-0-0</f>
        <v>715.33772799999997</v>
      </c>
      <c r="AB174" s="3">
        <f>546+(205.9-33)+(-0.27846+(-0.105009--0.01683))+0-0-0</f>
        <v>718.53336100000001</v>
      </c>
      <c r="AC174" s="3">
        <f>547+(182.6-33)+(-0.83691+(-0.279378--0.05049))+0-0-0</f>
        <v>695.53420200000005</v>
      </c>
      <c r="AD174">
        <f t="shared" si="2"/>
        <v>14790.116143999998</v>
      </c>
      <c r="AE174" s="3">
        <f>543+(205.9-33)+(0+(0-0))+0-0-0</f>
        <v>715.9</v>
      </c>
    </row>
    <row r="175" spans="1:31" s="2" customFormat="1" x14ac:dyDescent="0.25">
      <c r="A175">
        <v>89</v>
      </c>
      <c r="B175">
        <v>6</v>
      </c>
      <c r="C175">
        <v>20</v>
      </c>
      <c r="D175">
        <v>1</v>
      </c>
      <c r="E175">
        <v>1</v>
      </c>
      <c r="F175" s="3">
        <f>543+(163.5-33)+(-1.10772+(-0.33354--0.06732))+0-0-0</f>
        <v>672.12606000000005</v>
      </c>
      <c r="G175" s="3">
        <f>543+(131.5-31)+(-0.83079+(-0.201195--0.04743))+0-0-0</f>
        <v>642.515445</v>
      </c>
      <c r="H175" s="3">
        <f>543+(99.5-34)+(-1.66158+(-0.30447--0.10404))+0-0-0</f>
        <v>606.63798999999995</v>
      </c>
      <c r="I175" s="3">
        <f>543+(88.1-45.4)+(-0.55386+(-0.089862--0.046308))+0-0-0</f>
        <v>585.10258600000009</v>
      </c>
      <c r="J175" s="3">
        <f>539+(84-58.5)+(-0.54978+(-0.08568--0.05967))+0-0-0</f>
        <v>563.92421000000002</v>
      </c>
      <c r="K175" s="3">
        <f>538+(75-71.6)+(0+(0-0))+0-0-0</f>
        <v>541.4</v>
      </c>
      <c r="L175" s="3">
        <f>532+(71-112.8)+(-1.89924+(-0.25347--0.402696))+0-0-0</f>
        <v>488.44998599999997</v>
      </c>
      <c r="M175" s="3">
        <f>466+(72-58.3)+(-0.71298+(-0.11016--0.089199))+0-0-0</f>
        <v>478.96605899999997</v>
      </c>
      <c r="N175" s="3">
        <f>456+(73-42.3)+(-0.69768+(-0.11169--0.064719))+0-0-0</f>
        <v>485.95534900000001</v>
      </c>
      <c r="O175" s="3">
        <f>456+(81-30)+(-0.23256+(-0.04131--0.0153))+0-0-0</f>
        <v>506.74142999999998</v>
      </c>
      <c r="P175" s="3">
        <f>460+(95.5-26)+(-0.4692+(-0.09741--0.02652))+0-0-0</f>
        <v>528.95991000000004</v>
      </c>
      <c r="Q175" s="3">
        <f>525+(83.7-47.6)+(-0.26775+(-0.042687--0.024276))+0-0-0</f>
        <v>560.81383900000003</v>
      </c>
      <c r="R175" s="3">
        <f>510+(114.2-40)+(-0.2601+(-0.058242--0.0204))+0-0-0</f>
        <v>583.90205800000001</v>
      </c>
      <c r="S175" s="3">
        <f>510+(151.1-30)+(-0.5202+(-0.154122--0.0306))+0-0-0</f>
        <v>630.456278</v>
      </c>
      <c r="T175" s="3">
        <f>511+(172.7-30)+(0.26061+(0.088077-0.0153))+0-0-0</f>
        <v>654.03338700000006</v>
      </c>
      <c r="U175" s="3">
        <f>512+(153.6-29)+(-0.52224+(-0.156672--0.02958))+0-0-0</f>
        <v>635.95066800000006</v>
      </c>
      <c r="V175" s="3">
        <f>513+(126.4-37)+(0+(0-0))+0-0-0</f>
        <v>602.4</v>
      </c>
      <c r="W175" s="3">
        <f>524+(98-49.1)+(-1.3362+(-0.2499--0.125205))+0-0-0</f>
        <v>571.43910499999993</v>
      </c>
      <c r="X175" s="3">
        <f>540+(87-48.5)+(-1.6524+(-0.26622--0.14841))+0-0-0</f>
        <v>576.72978999999998</v>
      </c>
      <c r="Y175" s="3">
        <f>541+(172-29)+(-0.27591+(-0.08772--0.01479))+0-0-0</f>
        <v>683.65116</v>
      </c>
      <c r="Z175" s="3">
        <f>541+(227.1-31)+(-0.55182+(-0.231642--0.03162))+0-0-0</f>
        <v>736.34815800000001</v>
      </c>
      <c r="AA175" s="3">
        <f>542+(235-34)+(-1.10568+(-0.4794--0.06936))+0-0-0</f>
        <v>741.48428000000001</v>
      </c>
      <c r="AB175" s="3">
        <f>542+(238.8-34)+(-0.82926+(-0.365364--0.05202))+0-0-0</f>
        <v>745.65739599999995</v>
      </c>
      <c r="AC175" s="3">
        <f>542+(205.8-32)+(-1.3821+(-0.52479--0.0816))+0-0-0</f>
        <v>713.97470999999996</v>
      </c>
      <c r="AD175">
        <f t="shared" si="2"/>
        <v>14537.619853999999</v>
      </c>
      <c r="AE175" s="3">
        <f>541+(240.1-32)+(0+(0-0))+0-0-0</f>
        <v>749.1</v>
      </c>
    </row>
    <row r="176" spans="1:31" s="2" customFormat="1" x14ac:dyDescent="0.25">
      <c r="A176">
        <v>89</v>
      </c>
      <c r="B176">
        <v>6</v>
      </c>
      <c r="C176">
        <v>21</v>
      </c>
      <c r="D176">
        <v>2</v>
      </c>
      <c r="E176">
        <v>1</v>
      </c>
      <c r="F176" s="3">
        <f>541+(171.3-30)+(-0.82773+(-0.262089--0.0459))+0-0-0</f>
        <v>681.25608099999999</v>
      </c>
      <c r="G176" s="3">
        <f>541+(136.8-30)+(-0.27591+(-0.069768--0.0153))+0-0-0</f>
        <v>647.46962199999996</v>
      </c>
      <c r="H176" s="3">
        <f>542+(105.3-35)+(-0.55284+(-0.107406--0.0357))+0-0-0</f>
        <v>611.67545399999995</v>
      </c>
      <c r="I176" s="3">
        <f>544+(89.6-39.2)+(-0.83232+(-0.137088--0.059976))+0-0-0</f>
        <v>593.49056799999994</v>
      </c>
      <c r="J176" s="3">
        <f>535+(77-51.4)+(-0.81855+(-0.11781--0.078642))+0-0-0</f>
        <v>559.74228200000005</v>
      </c>
      <c r="K176" s="3">
        <f>535+(74-70.9)+(0+(0-0))+0-0-0</f>
        <v>538.1</v>
      </c>
      <c r="L176" s="3">
        <f>528+(72-100.2)+(-1.3464+(-0.1836--0.25551))+0-0-0</f>
        <v>498.52551</v>
      </c>
      <c r="M176" s="3">
        <f>512+(69-79.7)+(0+(0-0))+0-0-0</f>
        <v>501.3</v>
      </c>
      <c r="N176" s="3">
        <f>494+(81-56.1)+(0.25194+(0.04131-0.028611))+0-0-0</f>
        <v>519.16463899999997</v>
      </c>
      <c r="O176" s="3">
        <f>511+(68-48.8)+(-0.78183+(-0.10404--0.074664))+0-0-0</f>
        <v>529.38879400000008</v>
      </c>
      <c r="P176" s="3">
        <f>519+(87.5-40.3)+(0+(0-0))+0-0-0</f>
        <v>566.20000000000005</v>
      </c>
      <c r="Q176" s="3">
        <f>519+(107.1-18)+(0+(0-0))+0-0-0</f>
        <v>608.1</v>
      </c>
      <c r="R176" s="3">
        <f>524+(146.4-29)+(-0.80172+(-0.223992--0.04437))+0-0-0</f>
        <v>640.41865799999994</v>
      </c>
      <c r="S176" s="3">
        <f>547+(156.7-31)+(-1.39485+(-0.399585--0.07905))+0-0-0</f>
        <v>670.98461500000008</v>
      </c>
      <c r="T176" s="3">
        <f>554+(174.2-31)+(0+(0-0))+0-0-0</f>
        <v>697.2</v>
      </c>
      <c r="U176" s="3">
        <f>559+(150.4-30)+(0.57018+(0.153408-0.0306))+0-0-0</f>
        <v>680.09298799999999</v>
      </c>
      <c r="V176" s="3">
        <f>556+(116.5-30)+(-1.13424+(-0.23766--0.0612))+0-0-0</f>
        <v>641.1893</v>
      </c>
      <c r="W176" s="3">
        <f>541+(100.2-33.8)+(-1.10364+(-0.204408--0.068952))+0-0-0</f>
        <v>606.16090399999996</v>
      </c>
      <c r="X176" s="3">
        <f>541+(90.4-36.5)+(-0.27591+(-0.046104--0.018615))+0-0-0</f>
        <v>594.59660099999996</v>
      </c>
      <c r="Y176" s="3">
        <f>555+(180.2-30)+(-0.28305+(-0.091902--0.0153))+0-0-0</f>
        <v>704.84034800000006</v>
      </c>
      <c r="Z176" s="3">
        <f>582+(195.1-32)+(-0.89046+(-0.298503--0.04896))+0-0-0</f>
        <v>743.95999700000004</v>
      </c>
      <c r="AA176" s="3">
        <f>585+(214.6-32)+(-2.08845+(-0.766122--0.11424))+0-0-0</f>
        <v>764.85966800000006</v>
      </c>
      <c r="AB176" s="3">
        <f>560+(226.1-32)+(-0.2856+(-0.115311--0.01632))+0-0-0</f>
        <v>753.71540900000002</v>
      </c>
      <c r="AC176" s="3">
        <f>541+(223.4-31)+(-0.55182+(-0.227868--0.03162))+0-0-0</f>
        <v>732.65193199999999</v>
      </c>
      <c r="AD176">
        <f t="shared" si="2"/>
        <v>15085.08337</v>
      </c>
      <c r="AE176" s="3">
        <f>588+(192.7-32)+(0+(0-0))+0-0-0</f>
        <v>748.7</v>
      </c>
    </row>
    <row r="177" spans="1:31" s="2" customFormat="1" x14ac:dyDescent="0.25">
      <c r="A177">
        <v>89</v>
      </c>
      <c r="B177">
        <v>6</v>
      </c>
      <c r="C177">
        <v>22</v>
      </c>
      <c r="D177">
        <v>3</v>
      </c>
      <c r="E177">
        <v>1</v>
      </c>
      <c r="F177" s="3">
        <f>542+(183.2-31)+(-1.10568+(-0.373728--0.06324))+0-0-0</f>
        <v>692.78383200000007</v>
      </c>
      <c r="G177" s="3">
        <f>523+(164.7-30)+(-0.26673+(-0.083997--0.0153))+0-0-0</f>
        <v>657.36457300000006</v>
      </c>
      <c r="H177" s="3">
        <f>508+(149.2-29)+(-0.51816+(-0.152184--0.02958))+0-0-0</f>
        <v>627.55923600000006</v>
      </c>
      <c r="I177" s="3">
        <f>509+(133.5-26)+(-0.77877+(-0.204255--0.03978))+0-0-0</f>
        <v>615.55675499999995</v>
      </c>
      <c r="J177" s="3">
        <f>491+(122.4-25)+(-0.50082+(-0.124848--0.0255))+0-0-0</f>
        <v>587.79983199999992</v>
      </c>
      <c r="K177" s="3">
        <f>431+(162.5-22)+(0.87924+(0.3315-0.04488))+0-0-0</f>
        <v>572.66585999999995</v>
      </c>
      <c r="L177" s="3">
        <f>431+(121.7-24)+(-0.87924+(-0.248268--0.04896))+0-0-0</f>
        <v>527.62145200000009</v>
      </c>
      <c r="M177" s="3">
        <f>429+(113.9-27)+(0.65637+(0.174267-0.04131))+0-0-0</f>
        <v>516.68932699999993</v>
      </c>
      <c r="N177" s="3">
        <f>422+(146-28)+(-0.21522+(-0.07446--0.01428))+0-0-0</f>
        <v>539.72460000000001</v>
      </c>
      <c r="O177" s="3">
        <f>419+(167.9-29)+(0.21369+(0.085629-0.01479))+0-0-0</f>
        <v>558.184529</v>
      </c>
      <c r="P177" s="3">
        <f>497+(97-30)+(0.50694+(0.09894-0.0306))+0-0-0</f>
        <v>564.57528000000002</v>
      </c>
      <c r="Q177" s="3">
        <f>498+(129.4-30)+(-0.25398+(-0.065994--0.0153))+0-0-0</f>
        <v>597.095326</v>
      </c>
      <c r="R177" s="3">
        <f>487+(171.4-31)+(0+(0-0))+0-0-0</f>
        <v>627.4</v>
      </c>
      <c r="S177" s="3">
        <f>488+(208.8-32)+(-0.49776+(-0.212976--0.03264))+0-0-0</f>
        <v>664.12190399999997</v>
      </c>
      <c r="T177" s="3">
        <f>490+(228.5-32)+(0+(0-0))+0-0-0</f>
        <v>686.5</v>
      </c>
      <c r="U177" s="3">
        <f>491+(216.7-31)+(0+(0-0))+0-0-0</f>
        <v>676.7</v>
      </c>
      <c r="V177" s="3">
        <f>494+(165-31)+(-1.2597+(-0.42075--0.07905))+0-0-0</f>
        <v>626.39859999999999</v>
      </c>
      <c r="W177" s="3">
        <f>507+(112.1-30)+(-1.55142+(-0.343026--0.0918))+0-0-0</f>
        <v>587.29735400000004</v>
      </c>
      <c r="X177" s="3">
        <f>488+(121.3-30)+(-0.74664+(-0.185589--0.0459))+0-0-0</f>
        <v>578.41367099999991</v>
      </c>
      <c r="Y177" s="3">
        <f>467+(259-30)+(-0.47634+(-0.26418--0.0306))+0-0-0</f>
        <v>695.29007999999999</v>
      </c>
      <c r="Z177" s="3">
        <f>512+(257.4-31)+(-0.78336+(-0.393822--0.04743))+0-0-0</f>
        <v>737.27024799999992</v>
      </c>
      <c r="AA177" s="3">
        <f>512+(268.1-30)+(-0.78336+(-0.410193--0.0459))+0-0-0</f>
        <v>748.95234700000003</v>
      </c>
      <c r="AB177" s="3">
        <f>512+(247.7-29)+(-1.04448+(-0.505308--0.05916))+0-0-0</f>
        <v>729.20937200000003</v>
      </c>
      <c r="AC177" s="3">
        <f>512+(224.2-30)+(-0.52224+(-0.228684--0.0306))+0-0-0</f>
        <v>705.47967600000004</v>
      </c>
      <c r="AD177">
        <f t="shared" si="2"/>
        <v>15120.653854000004</v>
      </c>
      <c r="AE177" s="3">
        <f>512+(253.6-32)+(0+(0-0))+0-0-0</f>
        <v>733.6</v>
      </c>
    </row>
    <row r="178" spans="1:31" s="2" customFormat="1" x14ac:dyDescent="0.25">
      <c r="A178">
        <v>89</v>
      </c>
      <c r="B178">
        <v>6</v>
      </c>
      <c r="C178">
        <v>23</v>
      </c>
      <c r="D178">
        <v>4</v>
      </c>
      <c r="E178">
        <v>1</v>
      </c>
      <c r="F178" s="3">
        <f>514+(188.5-30)+(-0.78642+(-0.288405--0.0459))+0-0-0</f>
        <v>671.47107500000004</v>
      </c>
      <c r="G178" s="3">
        <f>515+(153.3-30)+(-0.78795+(-0.234549--0.0459))+0-0-0</f>
        <v>637.32340099999999</v>
      </c>
      <c r="H178" s="3">
        <f>515+(132.5-30)+(-0.26265+(-0.067575--0.0153))+0-0-0</f>
        <v>617.18507499999998</v>
      </c>
      <c r="I178" s="3">
        <f>516+(106.6-28)+(-0.78948+(-0.163098--0.04284))+0-0-0</f>
        <v>593.69026200000008</v>
      </c>
      <c r="J178" s="3">
        <f>509+(72.3-29.6)+(-1.29795+(-0.184365--0.07548))+4.3-0-0</f>
        <v>554.593165</v>
      </c>
      <c r="K178" s="3">
        <f>509+(61-52.8)+(-0.25959+(-0.03111--0.026928))+2.7-0-0</f>
        <v>519.63622800000007</v>
      </c>
      <c r="L178" s="3">
        <f>512+(54-100.7)+(-1.04448+(-0.11016--0.205428))+0-0-0</f>
        <v>464.35078800000002</v>
      </c>
      <c r="M178" s="3">
        <f>498+(59-84.7)+(0+(0-0))+0-0-0</f>
        <v>472.3</v>
      </c>
      <c r="N178" s="3">
        <f>491+(61-63)+(-0.50082+(-0.06222--0.06426))+0-0-0</f>
        <v>488.50121999999999</v>
      </c>
      <c r="O178" s="3">
        <f>494+(70-46.7)+(-0.75582+(-0.1071--0.071451))+0-0-0</f>
        <v>516.50853099999995</v>
      </c>
      <c r="P178" s="3">
        <f>502+(70-32.3)+(-0.25602+(-0.0357--0.016473))+0-0-0</f>
        <v>539.42475300000001</v>
      </c>
      <c r="Q178" s="3">
        <f>500+(96.9-21)+(-0.51+(-0.098838--0.02142))+0-0-0</f>
        <v>575.31258200000002</v>
      </c>
      <c r="R178" s="3">
        <f>510+(128.5-24)+(-1.3005+(-0.327675--0.0612))+0-0-0</f>
        <v>612.93302500000004</v>
      </c>
      <c r="S178" s="3">
        <f>559+(130.7-25)+(-1.14036+(-0.266628--0.051))+0-0-0</f>
        <v>663.34401200000002</v>
      </c>
      <c r="T178" s="3">
        <f>562+(133-26)+(-0.28662+(-0.06783--0.01326))+0-0-0</f>
        <v>668.65881000000002</v>
      </c>
      <c r="U178" s="3">
        <f>564+(134.4-27)+(-1.15056+(-0.274176--0.05508))+0-0-0</f>
        <v>670.03034400000001</v>
      </c>
      <c r="V178" s="3">
        <f>552+(109-27)+(-0.56304+(-0.11118--0.02754))+0-0-0</f>
        <v>633.35332000000005</v>
      </c>
      <c r="W178" s="3">
        <f>545+(90.6-36.3)+(-0.5559+(-0.092412--0.037026))+0-0-0</f>
        <v>598.688714</v>
      </c>
      <c r="X178" s="3">
        <f>546+(77.6-36.2)+(-0.55692+(-0.079152--0.036924))+0-0-0</f>
        <v>586.80085199999996</v>
      </c>
      <c r="Y178" s="3">
        <f>546+(187-30)+(-0.83538+(-0.28611--0.0459))+0-0-0</f>
        <v>701.92440999999997</v>
      </c>
      <c r="Z178" s="3">
        <f>547+(232-33)+(-0.83691+(-0.35496--0.05049))+0-0-0</f>
        <v>744.85861999999997</v>
      </c>
      <c r="AA178" s="3">
        <f>547+(227.7-34)+(-1.39485+(-0.580635--0.0867))+0-0-0</f>
        <v>738.81121500000006</v>
      </c>
      <c r="AB178" s="3">
        <f>547+(224.1-34)+(-0.55794+(-0.228582--0.03468))+0-0-0</f>
        <v>736.34815800000001</v>
      </c>
      <c r="AC178" s="3">
        <f>547+(191.9-34)+(-0.55794+(-0.195738--0.03468))+0-0-0</f>
        <v>704.18100199999992</v>
      </c>
      <c r="AD178">
        <f t="shared" si="2"/>
        <v>14710.229562</v>
      </c>
      <c r="AE178" s="3">
        <f>546+(231.9-33)+(0+(0-0))+0-0-0</f>
        <v>744.9</v>
      </c>
    </row>
    <row r="179" spans="1:31" s="2" customFormat="1" x14ac:dyDescent="0.25">
      <c r="A179">
        <v>89</v>
      </c>
      <c r="B179">
        <v>6</v>
      </c>
      <c r="C179">
        <v>24</v>
      </c>
      <c r="D179">
        <v>5</v>
      </c>
      <c r="E179">
        <v>1</v>
      </c>
      <c r="F179" s="3">
        <f>547+(136.7-33)+(-0.55794+(-0.139434--0.03366))+0-0-0</f>
        <v>650.03628600000002</v>
      </c>
      <c r="G179" s="3">
        <f>540+(116.1-32)+(-0.2754+(-0.059211--0.01632))+0-0-0</f>
        <v>623.78170899999998</v>
      </c>
      <c r="H179" s="3">
        <f>450+(183.6-31)+(0.6885+(0.280908-0.04743))+0-0-0</f>
        <v>603.52197799999999</v>
      </c>
      <c r="I179" s="3">
        <f>443+(182.1-30)+(0+(0-0))+0-0-0</f>
        <v>595.1</v>
      </c>
      <c r="J179" s="3">
        <f>439+(151.4-30)+(-0.44778+(-0.154428--0.0306))+0-0-0</f>
        <v>559.82839200000001</v>
      </c>
      <c r="K179" s="3">
        <f>439+(124.8-23)+(0+(0-0))+0-0-0</f>
        <v>540.79999999999995</v>
      </c>
      <c r="L179" s="3">
        <f>435+(78.6-27)+(-0.66555+(-0.120258--0.04131))+0-0-0</f>
        <v>485.855502</v>
      </c>
      <c r="M179" s="3">
        <f>404+(108.9-30)+(-0.41208+(-0.111078--0.0306))+0-0-0</f>
        <v>482.407442</v>
      </c>
      <c r="N179" s="3">
        <f>399+(142.7-31)+(0.20349+(0.072777-0.01581))+0-0-0</f>
        <v>510.96045699999996</v>
      </c>
      <c r="O179" s="3">
        <f>430+(133-31)+(-0.2193+(-0.06783--0.01581))+0-0-0</f>
        <v>531.72868000000005</v>
      </c>
      <c r="P179" s="3">
        <f>482+(111.6-33)+(0+(0-0))+0-0-0</f>
        <v>560.6</v>
      </c>
      <c r="Q179" s="3">
        <f>501+(131.1-33)+(0.25551+(0.066861-0.01683))+0-0-0</f>
        <v>599.40554099999997</v>
      </c>
      <c r="R179" s="3">
        <f>486+(179.3-33)+(-0.24786+(-0.091443--0.01683))+0-0-0</f>
        <v>631.97752700000001</v>
      </c>
      <c r="S179" s="3">
        <f>487+(216.8-31)+(-0.24837+(-0.110568--0.01581))+0-0-0</f>
        <v>672.45687199999998</v>
      </c>
      <c r="T179" s="3">
        <f>490+(224.7-30)+(-0.7497+(-0.343791--0.0459))+0-0-0</f>
        <v>683.65240900000003</v>
      </c>
      <c r="U179" s="3">
        <f>490+(193.2-28)+(0.4998+(0.197064-0.02856))+5.3-0-0</f>
        <v>661.16830400000003</v>
      </c>
      <c r="V179" s="3">
        <f>493+(163.4-28)+(0+(0-0))+0-0-0</f>
        <v>628.4</v>
      </c>
      <c r="W179" s="3">
        <f>498+(109.3-31.7)+(-1.01592+(-0.222972--0.064668))+0-0-0</f>
        <v>574.42577600000004</v>
      </c>
      <c r="X179" s="3">
        <f>519+(105.4-34.9)+(0.26469+(0.053754-0.017799))+0-0-0</f>
        <v>589.80064500000003</v>
      </c>
      <c r="Y179" s="3">
        <f>537+(192.3-30)+(-0.27387+(-0.098073--0.0153))+0-0-0</f>
        <v>698.94335699999999</v>
      </c>
      <c r="Z179" s="3">
        <f>545+(224.1-33)+(-1.38975+(-0.571455--0.08415))+0-0-0</f>
        <v>734.22294499999998</v>
      </c>
      <c r="AA179" s="3">
        <f>547+(224.1-34)+(-1.39485+(-0.571455--0.0867))+0-0-0</f>
        <v>735.22039500000005</v>
      </c>
      <c r="AB179" s="3">
        <f>548+(209.6-33)+(-1.11792+(-0.427584--0.06732))+0-0-0</f>
        <v>723.12181599999997</v>
      </c>
      <c r="AC179" s="3">
        <f>548+(176.3-33)+(-0.27948+(-0.089913--0.01683))+0-0-0</f>
        <v>690.94743699999992</v>
      </c>
      <c r="AD179">
        <f t="shared" si="2"/>
        <v>14768.363470000002</v>
      </c>
      <c r="AE179" s="3">
        <f>547+(221.2-33)+(0+(0-0))+0-0-0</f>
        <v>735.2</v>
      </c>
    </row>
    <row r="180" spans="1:31" s="2" customFormat="1" x14ac:dyDescent="0.25">
      <c r="A180">
        <v>89</v>
      </c>
      <c r="B180">
        <v>6</v>
      </c>
      <c r="C180">
        <v>25</v>
      </c>
      <c r="D180">
        <v>6</v>
      </c>
      <c r="E180">
        <v>1</v>
      </c>
      <c r="F180" s="3">
        <f>503+(193.4-31)+(-1.28265+(-0.49317--0.07905))+0-0-0</f>
        <v>663.70322999999996</v>
      </c>
      <c r="G180" s="3">
        <f>430+(234.2-30)+(-0.8772+(-0.477768--0.0612))+0-0-0</f>
        <v>632.90623200000005</v>
      </c>
      <c r="H180" s="3">
        <f>422+(215-30)+(0.21522+(0.10965-0.0153))+0-0-0</f>
        <v>607.30957000000001</v>
      </c>
      <c r="I180" s="3">
        <f>422+(194.5-29)+(-1.29132+(-0.59517--0.08874))+0-0-0</f>
        <v>585.70225000000005</v>
      </c>
      <c r="J180" s="3">
        <f>415+(167.2-29)+(0.21165+(0.085272-0.01479))+0-0-0</f>
        <v>553.48213200000009</v>
      </c>
      <c r="K180" s="3">
        <f>414+(138.6-29)+(0+(0-0))+0-0-0</f>
        <v>523.6</v>
      </c>
      <c r="L180" s="3">
        <f>406+(104.1-29)+(-1.0353+(-0.265455--0.07395))+0-0-0</f>
        <v>479.87319500000001</v>
      </c>
      <c r="M180" s="3">
        <f>404+(102.2-31)+(0.20604+(0.052122-0.01581))+0-0-0</f>
        <v>475.44235199999997</v>
      </c>
      <c r="N180" s="3">
        <f>400+(110.6-32)+(-0.408+(-0.112812--0.03264))+0-0-0</f>
        <v>478.111828</v>
      </c>
      <c r="O180" s="3">
        <f>400+(151.3-33)+(-0.204+(-0.077163--0.01683))+0-0-0</f>
        <v>518.03566699999999</v>
      </c>
      <c r="P180" s="3">
        <f>399+(170.7-32)+(-0.61047+(-0.261171--0.04896))+0-0-0</f>
        <v>536.87731900000006</v>
      </c>
      <c r="Q180" s="3">
        <f>399+(208.2-30)+(-1.01745+(-0.53091--0.0765))+0-0-0</f>
        <v>575.72814000000005</v>
      </c>
      <c r="R180" s="3">
        <f>453+(213.9-32)+(-2.54133+(-1.199979--0.17952))+0-0-0</f>
        <v>631.338211</v>
      </c>
      <c r="S180" s="3">
        <f>482+(200.1-32)+(-0.49164+(-0.204102--0.03264))+0-0-0</f>
        <v>649.43689800000004</v>
      </c>
      <c r="T180" s="3">
        <f>487+(206.7-33)+(-0.49674+(-0.210834--0.03366))+0-0-0</f>
        <v>660.02608600000008</v>
      </c>
      <c r="U180" s="3">
        <f>490+(190.6-32)+(-0.2499+(-0.097206--0.01632))+0-0-0</f>
        <v>648.26921400000003</v>
      </c>
      <c r="V180" s="3">
        <f>457+(179.3-31)+(-0.46614+(-0.182886--0.03162))+0-0-0</f>
        <v>604.68259399999999</v>
      </c>
      <c r="W180" s="3">
        <f>470+(136-31)+(-1.1985+(-0.3468--0.07905))+0-0-0</f>
        <v>573.53375000000005</v>
      </c>
      <c r="X180" s="3">
        <f>470+(132-34)+(-0.2397+(-0.06732--0.01734))+0-0-0</f>
        <v>567.71032000000002</v>
      </c>
      <c r="Y180" s="3">
        <f>470+(232.7-34)+(0+(0-0))+0-0-0</f>
        <v>668.7</v>
      </c>
      <c r="Z180" s="3">
        <f>470+(282.8-34)+(-0.2397+(-0.144228--0.01734))+0-0-0</f>
        <v>718.43341199999998</v>
      </c>
      <c r="AA180" s="3">
        <f>471+(274.2-33)+(-0.72063+(-0.419526--0.05049))+0-0-0</f>
        <v>711.11033400000008</v>
      </c>
      <c r="AB180" s="3">
        <f>472+(275.5-33)+(-0.96288+(-0.56202--0.06732))+0-0-0</f>
        <v>713.04241999999999</v>
      </c>
      <c r="AC180" s="3">
        <f>472+(246.4-33)+(-0.72216+(-0.376992--0.05049))+0-0-0</f>
        <v>684.35133799999994</v>
      </c>
      <c r="AD180">
        <f t="shared" si="2"/>
        <v>14461.406492000004</v>
      </c>
      <c r="AE180" s="3">
        <f>470+(265.9-34)+(0+(0-0))+0-0-0</f>
        <v>701.9</v>
      </c>
    </row>
    <row r="181" spans="1:31" s="2" customFormat="1" x14ac:dyDescent="0.25">
      <c r="A181">
        <v>89</v>
      </c>
      <c r="B181">
        <v>6</v>
      </c>
      <c r="C181">
        <v>26</v>
      </c>
      <c r="D181">
        <v>7</v>
      </c>
      <c r="E181">
        <v>1</v>
      </c>
      <c r="F181" s="3">
        <f>463+(224.2-31)+(-0.94452+(-0.457368--0.06324))+0-0-0</f>
        <v>654.86135200000001</v>
      </c>
      <c r="G181" s="3">
        <f>448+(201.2-30)+(-1.1424+(-0.51306--0.0765))+0-0-0</f>
        <v>617.62103999999999</v>
      </c>
      <c r="H181" s="3">
        <f>419+(207.5-27)+(0.21369+(0.105825-0.01377))+0-0-0</f>
        <v>599.805745</v>
      </c>
      <c r="I181" s="3">
        <f>419+(184.6-26)+(0.21369+(0.094146-0.01326))+0-0-0</f>
        <v>577.89457600000003</v>
      </c>
      <c r="J181" s="3">
        <f>413+(172.2-26)+(0+(0-0))+0-0-0</f>
        <v>559.20000000000005</v>
      </c>
      <c r="K181" s="3">
        <f>413+(154.6-25)+(0.21063+(0.078846-0.01275))+0-0-0</f>
        <v>542.87672600000008</v>
      </c>
      <c r="L181" s="3">
        <f>386+(127-34)+(-0.9843+(-0.32385--0.0867))+0-0-0</f>
        <v>477.77855</v>
      </c>
      <c r="M181" s="3">
        <f>351+(121.1-34)+(-0.53703+(-0.185283--0.05202))+21.5-0-0</f>
        <v>458.92970700000001</v>
      </c>
      <c r="N181" s="3">
        <f>361+(100.4-34)+(0+(0-0))+33.4-0-0</f>
        <v>460.79999999999995</v>
      </c>
      <c r="O181" s="3">
        <f>393+(111.1-34)+(-0.20043+(-0.056661--0.01734))+0-0-0</f>
        <v>469.86024900000001</v>
      </c>
      <c r="P181" s="3">
        <f>398+(140.9-34)+(-0.40596+(-0.143718--0.03468))+0-0-0</f>
        <v>504.38500199999999</v>
      </c>
      <c r="Q181" s="3">
        <f>409+(164.3-34)+(-0.62577+(-0.251379--0.05202))+0-0-0</f>
        <v>538.47487100000001</v>
      </c>
      <c r="R181" s="3">
        <f>389+(213.1-34)+(0+(0-0))+0-0-0</f>
        <v>568.1</v>
      </c>
      <c r="S181" s="3">
        <f>411+(221.9-34)+(-0.41922+(-0.226338--0.03468))+0-0-0</f>
        <v>598.28912200000002</v>
      </c>
      <c r="T181" s="3">
        <f>416+(225.1-34)+(-0.84864+(-0.459204--0.06936))+0-0-0</f>
        <v>605.86151600000005</v>
      </c>
      <c r="U181" s="3">
        <f>418+(210.9-34)+(-0.42636+(-0.215118--0.03468))+0-0-0</f>
        <v>594.29320199999995</v>
      </c>
      <c r="V181" s="3">
        <f>421+(173.6-34)+(-0.42942+(-0.177072--0.03468))+0-0-0</f>
        <v>560.028188</v>
      </c>
      <c r="W181" s="3">
        <f>433+(122.8-34)+(-0.22083+(-0.062628--0.01734))+0-0-0</f>
        <v>521.53388199999995</v>
      </c>
      <c r="X181" s="3">
        <f>435+(139.2-33)+(-0.66555+(-0.212976--0.05049))+0-0-0</f>
        <v>540.37196400000005</v>
      </c>
      <c r="Y181" s="3">
        <f>435+(242.4-32)+(-0.66555+(-0.370872--0.04896))+0-0-0</f>
        <v>644.41253799999993</v>
      </c>
      <c r="Z181" s="3">
        <f>435+(290.7-33)+(0+(0-0))+0-0-0</f>
        <v>692.7</v>
      </c>
      <c r="AA181" s="3">
        <f>435+(272.6-4)+(-1.55295+(-0.973182--0.01428))+0-0-0</f>
        <v>701.08814800000005</v>
      </c>
      <c r="AB181" s="3">
        <f>435+(251.1-4)+(-0.8874+(-0.512244--0.00816))+0-0-0</f>
        <v>680.70851600000003</v>
      </c>
      <c r="AC181" s="3">
        <f>435+(232.7-5)+(-0.4437+(-0.237354--0.0051))+0-0-0</f>
        <v>662.024046</v>
      </c>
      <c r="AD181">
        <f t="shared" si="2"/>
        <v>13831.898940000005</v>
      </c>
      <c r="AE181" s="3">
        <f>436+(285.2-33)+(0+(0-0))+0-0-0</f>
        <v>688.2</v>
      </c>
    </row>
    <row r="182" spans="1:31" s="2" customFormat="1" x14ac:dyDescent="0.25">
      <c r="A182">
        <v>89</v>
      </c>
      <c r="B182">
        <v>6</v>
      </c>
      <c r="C182">
        <v>27</v>
      </c>
      <c r="D182">
        <v>1</v>
      </c>
      <c r="E182">
        <v>1</v>
      </c>
      <c r="F182" s="3">
        <f>436+(199.5-5)+(-0.66708+(-0.305235--0.00765))+0-0-0</f>
        <v>629.53533500000003</v>
      </c>
      <c r="G182" s="3">
        <f>436+(181-5)+(-0.88944+(-0.36924--0.0102))+0-0-0</f>
        <v>610.75152000000003</v>
      </c>
      <c r="H182" s="3">
        <f>436+(182.4-32)+(-0.88944+(-0.372096--0.06528))+0-0-0</f>
        <v>585.20374400000003</v>
      </c>
      <c r="I182" s="3">
        <f>436+(159.6-33)+(-0.22236+(-0.081396--0.01683))+0-0-0</f>
        <v>562.31307400000003</v>
      </c>
      <c r="J182" s="3">
        <f>427+(139.4-33)+(0.21777+(0.071094-0.01683))+0-0-0</f>
        <v>533.67203399999994</v>
      </c>
      <c r="K182" s="3">
        <f>427+(119.9-33)+(0.21777+(0.061149-0.01683))+0-0-0</f>
        <v>514.16208899999992</v>
      </c>
      <c r="L182" s="3">
        <f>421+(70.8-30.9)+(-1.07355+(-0.18054--0.078795))+0-0-0</f>
        <v>459.72470499999997</v>
      </c>
      <c r="M182" s="3">
        <f>419+(66.1-28.7)+(-0.85476+(-0.134844--0.058548))+0-0-0</f>
        <v>455.46894399999996</v>
      </c>
      <c r="N182" s="3">
        <f>418+(85.4-28)+(0+(0-0))+0-0-0</f>
        <v>475.4</v>
      </c>
      <c r="O182" s="3">
        <f>417+(104.6-28)+(0+(0-0))+0-0-0</f>
        <v>493.6</v>
      </c>
      <c r="P182" s="3">
        <f>416+(121.2-29)+(-0.21216+(-0.061812--0.01479))+0-0-0</f>
        <v>507.94081799999998</v>
      </c>
      <c r="Q182" s="3">
        <f>409+(155.4-31)+(-0.83436+(-0.317016--0.06324))+0-0-0</f>
        <v>532.31186400000001</v>
      </c>
      <c r="R182" s="3">
        <f>407+(198.6-31)+(-0.41514+(-0.202572--0.03162))+0-0-0</f>
        <v>574.01390800000001</v>
      </c>
      <c r="S182" s="3">
        <f>461+(167.2-32)+(-1.41066+(-0.511632--0.09792))+0-0-0</f>
        <v>594.37562800000001</v>
      </c>
      <c r="T182" s="3">
        <f>479+(166.9-31)+(-0.48858+(-0.170238--0.03162))+0-0-0</f>
        <v>614.27280199999996</v>
      </c>
      <c r="U182" s="3">
        <f>481+(150.7-30)+(-0.73593+(-0.230571--0.0459))+0-0-0</f>
        <v>600.77939900000001</v>
      </c>
      <c r="V182" s="3">
        <f>482+(126.6-28)+(-0.49164+(-0.129132--0.02856))+0-0-0</f>
        <v>580.00778800000001</v>
      </c>
      <c r="W182" s="3">
        <f>504+(85.5-30.3)+(-1.02816+(-0.17442--0.061812))+0-0-0</f>
        <v>558.05923200000007</v>
      </c>
      <c r="X182" s="3">
        <f>536+(83-62.1)+(-0.82008+(-0.12699--0.095013))+0-0-0</f>
        <v>556.04794300000003</v>
      </c>
      <c r="Y182" s="3">
        <f>551+(133.4-31)+(-0.28101+(-0.068034--0.01581))+0-0-0</f>
        <v>653.06676600000003</v>
      </c>
      <c r="Z182" s="3">
        <f>551+(173-32)+(-1.12404+(-0.35292--0.06528))+0-0-0</f>
        <v>690.58831999999995</v>
      </c>
      <c r="AA182" s="3">
        <f>552+(164.2-33)+(0.28152+(0.083742-0.01683))+0-0-0</f>
        <v>683.54843200000005</v>
      </c>
      <c r="AB182" s="3">
        <f>545+(149.4-32)+(-1.1118+(-0.304776--0.06528))+0-0-0</f>
        <v>661.04870399999993</v>
      </c>
      <c r="AC182" s="3">
        <f>556+(115.6-32)+(-1.13424+(-0.235824--0.06528))+0-0-0</f>
        <v>638.29521599999998</v>
      </c>
      <c r="AD182">
        <f t="shared" si="2"/>
        <v>13764.188265000001</v>
      </c>
      <c r="AE182" s="3">
        <f>552+(168.5-32)+(0+(0-0))+0-0-0</f>
        <v>688.5</v>
      </c>
    </row>
    <row r="183" spans="1:31" s="2" customFormat="1" x14ac:dyDescent="0.25">
      <c r="A183">
        <v>89</v>
      </c>
      <c r="B183">
        <v>6</v>
      </c>
      <c r="C183">
        <v>28</v>
      </c>
      <c r="D183">
        <v>2</v>
      </c>
      <c r="E183">
        <v>1</v>
      </c>
      <c r="F183" s="3">
        <f>562+(89.5-43.7)+(0+(0-0))+0-0-0</f>
        <v>607.79999999999995</v>
      </c>
      <c r="G183" s="3">
        <f>563+(69-59.1)+(-0.28713+(-0.03519--0.030141))+0-0-0</f>
        <v>572.60782099999994</v>
      </c>
      <c r="H183" s="3">
        <f>514+(74.7-38.8)+(-0.26214+(-0.038097--0.019788))+0-0-0</f>
        <v>549.619551</v>
      </c>
      <c r="I183" s="3">
        <f>481+(91.2-30)+(-0.49062+(-0.093024--0.0306))+0-0-0</f>
        <v>541.64695600000005</v>
      </c>
      <c r="J183" s="3">
        <f>472+(76.2-33.3)+(-0.24072+(-0.038862--0.016983))+0-0-0</f>
        <v>514.63740099999995</v>
      </c>
      <c r="K183" s="3">
        <f>472+(64-45.3)+(-0.48144+(-0.06528--0.046206))+0-0-0</f>
        <v>490.19948599999998</v>
      </c>
      <c r="L183" s="3">
        <f>469+(58-77.3)+(-1.19595+(-0.1479--0.197115))+0-0-0</f>
        <v>448.55326500000001</v>
      </c>
      <c r="M183" s="3">
        <f>467+(63-81.2)+(0+(0-0))+0-0-0</f>
        <v>448.8</v>
      </c>
      <c r="N183" s="3">
        <f>480+(64-85.3)+(-0.4896+(-0.06528--0.087006))+0-0-0</f>
        <v>458.23212599999999</v>
      </c>
      <c r="O183" s="3">
        <f>538+(67-119.3)+(-1.3719+(-0.17085--0.304215))+0-0-0</f>
        <v>484.46146499999998</v>
      </c>
      <c r="P183" s="3">
        <f>534+(69-94.8)+(0+(0-0))+0-0-0</f>
        <v>508.2</v>
      </c>
      <c r="Q183" s="3">
        <f>532+(71-70.6)+(-0.81396+(-0.10863--0.108018))+0-0-0</f>
        <v>531.58542799999998</v>
      </c>
      <c r="R183" s="3">
        <f>527+(81.1-48.3)+(-0.80631+(-0.124083--0.073899))+0-0-0</f>
        <v>558.94350599999996</v>
      </c>
      <c r="S183" s="3">
        <f>527+(101.6-35.6)+(-1.07508+(-0.207264--0.072624))+0-0-0</f>
        <v>591.79028000000005</v>
      </c>
      <c r="T183" s="3">
        <f>529+(99.3-34.2)+(0.26979+(0.050643-0.017442))+0-0-0</f>
        <v>594.40299100000004</v>
      </c>
      <c r="U183" s="3">
        <f>533+(95.9-40.7)+(-0.54366+(-0.097818--0.041514))+0-0-0</f>
        <v>587.60003600000005</v>
      </c>
      <c r="V183" s="3">
        <f>539+(75.1-52.8)+(-1.37445+(-0.191505--0.13464))+0-0-0</f>
        <v>559.86868499999991</v>
      </c>
      <c r="W183" s="3">
        <f>546+(72-83.9)+(-1.11384+(-0.14688--0.171156))+0-0-0</f>
        <v>533.01043600000003</v>
      </c>
      <c r="X183" s="3">
        <f>559+(82-89.7)+(0.28509+(0.04182-0.045747))+0-0-0</f>
        <v>551.58116299999995</v>
      </c>
      <c r="Y183" s="3">
        <f>560+(110-33)+(-0.2856+(-0.0561--0.01683))+0-0-0</f>
        <v>636.67512999999997</v>
      </c>
      <c r="Z183" s="3">
        <f>561+(138.5-34)+(-0.85833+(-0.211905--0.05202))+0-0-0</f>
        <v>664.48178499999995</v>
      </c>
      <c r="AA183" s="3">
        <f>561+(135.9-33)+(-1.14444+(-0.277236--0.06732))+0-0-0</f>
        <v>662.54564399999992</v>
      </c>
      <c r="AB183" s="3">
        <f>563+(119.7-33)+(-1.72278+(-0.366282--0.10098))+0-0-0</f>
        <v>647.71191800000008</v>
      </c>
      <c r="AC183" s="3">
        <f>564+(89.4-42.5)+(-0.28764+(-0.045594--0.021675))+0-0-0</f>
        <v>610.58844099999999</v>
      </c>
      <c r="AD183">
        <f t="shared" si="2"/>
        <v>13355.543514000001</v>
      </c>
      <c r="AE183" s="3">
        <f>560+(135.2-34)+(0+(0-0))+0-0-0</f>
        <v>661.2</v>
      </c>
    </row>
    <row r="184" spans="1:31" s="2" customFormat="1" x14ac:dyDescent="0.25">
      <c r="A184">
        <v>89</v>
      </c>
      <c r="B184">
        <v>6</v>
      </c>
      <c r="C184">
        <v>29</v>
      </c>
      <c r="D184">
        <v>3</v>
      </c>
      <c r="E184">
        <v>1</v>
      </c>
      <c r="F184" s="3">
        <f>569+(75-67.7)+(-1.16076+(-0.153--0.138108))+0-0-0</f>
        <v>575.12434799999994</v>
      </c>
      <c r="G184" s="3">
        <f>569+(69-95.9)+(0+(0-0))+0-0-0</f>
        <v>542.1</v>
      </c>
      <c r="H184" s="3">
        <f>570+(66-119.1)+(-0.8721+(-0.10098--0.182223))+0-0-0</f>
        <v>516.10914300000002</v>
      </c>
      <c r="I184" s="3">
        <f>569+(63-137)+(-0.58038+(-0.06426--0.13974))+0-0-0</f>
        <v>494.49509999999998</v>
      </c>
      <c r="J184" s="3">
        <f>561+(61-152.2)+(0.28611+(0.03111-0.077622))+0-0-0</f>
        <v>470.03959800000001</v>
      </c>
      <c r="K184" s="3">
        <f>560+(61-163.6)+(0+(0-0))+0-0-0</f>
        <v>457.4</v>
      </c>
      <c r="L184" s="3">
        <f>555+(60-194.6)+(-1.6983+(-0.1836--0.595476))+0-0-0</f>
        <v>419.11357599999997</v>
      </c>
      <c r="M184" s="3">
        <f>480+(56-117.6)+(0+(0-0))+2.2-0-0</f>
        <v>420.59999999999997</v>
      </c>
      <c r="N184" s="3">
        <f>442+(58-57.8)+(-0.22542+(-0.02958--0.029478))+6-0-0</f>
        <v>447.97447799999998</v>
      </c>
      <c r="O184" s="3">
        <f>452+(69-53.7)+(-0.23052+(-0.03519--0.027387))+0.5-0-0</f>
        <v>467.56167700000003</v>
      </c>
      <c r="P184" s="3">
        <f>452+(70.5-35.5)+(0+(0-0))+0-0-0</f>
        <v>487</v>
      </c>
      <c r="Q184" s="3">
        <f>467+(77.3-31)+(-0.71451+(-0.118269--0.04743))+0-0-0</f>
        <v>512.51465099999996</v>
      </c>
      <c r="R184" s="3">
        <f>468+(110.6-31)+(-0.23868+(-0.056406--0.01581))+0-0-0</f>
        <v>547.32072400000004</v>
      </c>
      <c r="S184" s="3">
        <f>468+(143.3-32)+(-1.67076+(-0.511581--0.11424))+0-0-0</f>
        <v>577.231899</v>
      </c>
      <c r="T184" s="3">
        <f>469+(148-32)+(0.23919+(0.07548-0.01632))+0-0-0</f>
        <v>585.29835000000003</v>
      </c>
      <c r="U184" s="3">
        <f>469+(149.9-30)+(-0.95676+(-0.305796--0.0612))+0-0-0</f>
        <v>587.69864399999994</v>
      </c>
      <c r="V184" s="3">
        <f>470+(107.9-28)+(-0.9588+(-0.220116--0.05712))+0-0-0</f>
        <v>548.77820399999996</v>
      </c>
      <c r="W184" s="3">
        <f>483+(73.8-29.4)+(-1.23165+(-0.18819--0.07497))+0-0-0</f>
        <v>526.05512999999996</v>
      </c>
      <c r="X184" s="3">
        <f>483+(105.9-30.9)+(-0.24633+(-0.054009--0.015759))+0-0-0</f>
        <v>557.71541999999999</v>
      </c>
      <c r="Y184" s="3">
        <f>535+(129.6-31)+(0.27285+(0.066096-0.01581))+0-0-0</f>
        <v>633.923136</v>
      </c>
      <c r="Z184" s="3">
        <f>561+(131.1-32)+(-1.14444+(-0.267444--0.06528))+0-0-0</f>
        <v>658.75339600000007</v>
      </c>
      <c r="AA184" s="3">
        <f>541+(146.4-33)+(-1.65546+(-0.447984--0.10098))+0-0-0</f>
        <v>652.39753599999995</v>
      </c>
      <c r="AB184" s="3">
        <f>483+(192.4-32)+(-0.98532+(-0.392496--0.06528))+0-0-0</f>
        <v>642.08746399999995</v>
      </c>
      <c r="AC184" s="3">
        <f>483+(165.6-32)+(-0.98532+(-0.337824--0.06528))+0-0-0</f>
        <v>615.34213599999998</v>
      </c>
      <c r="AD184">
        <f t="shared" si="2"/>
        <v>12942.634610000001</v>
      </c>
      <c r="AE184" s="3">
        <f>560+(127.5-33)+(0+(0-0))+0-0-0</f>
        <v>654.5</v>
      </c>
    </row>
    <row r="185" spans="1:31" s="2" customFormat="1" x14ac:dyDescent="0.25">
      <c r="A185">
        <v>89</v>
      </c>
      <c r="B185">
        <v>6</v>
      </c>
      <c r="C185">
        <v>30</v>
      </c>
      <c r="D185">
        <v>4</v>
      </c>
      <c r="E185">
        <v>1</v>
      </c>
      <c r="F185" s="3">
        <f>482+(122.5-31)+(-0.73746+(-0.187425--0.04743))+0-0-0</f>
        <v>572.62254499999995</v>
      </c>
      <c r="G185" s="3">
        <f>482+(92.1-31)+(-0.73746+(-0.140913--0.04743))+0-0-0</f>
        <v>542.26905699999998</v>
      </c>
      <c r="H185" s="3">
        <f>482+(72-32.3)+(0+(0-0))+0-0-0</f>
        <v>521.70000000000005</v>
      </c>
      <c r="I185" s="3">
        <f>481+(63-46.7)+(-0.24531+(-0.03213--0.023817))+0-0-0</f>
        <v>497.04637700000001</v>
      </c>
      <c r="J185" s="3">
        <f>475+(63-63.7)+(-0.24225+(-0.03213--0.032487))+0-0-0</f>
        <v>474.05810700000001</v>
      </c>
      <c r="K185" s="3">
        <f>475+(60-83.4)+(0.24225+(0.0306-0.042534))+0-0-0</f>
        <v>451.83031600000004</v>
      </c>
      <c r="L185" s="3">
        <f>467+(60-115.5)+(-0.47634+(-0.0612--0.11781))+0-0-0</f>
        <v>411.08026999999998</v>
      </c>
      <c r="M185" s="3">
        <f>465+(62-111.3)+(-0.4743+(-0.06324--0.113526))+0-0-0</f>
        <v>415.27598599999999</v>
      </c>
      <c r="N185" s="3">
        <f>461+(66-84.5)+(0.23511+(0.03366-0.043095))+0-0-0</f>
        <v>442.72567500000002</v>
      </c>
      <c r="O185" s="3">
        <f>459+(68-53)+(-0.46818+(-0.06936--0.05406))+0-0-0</f>
        <v>473.51652000000001</v>
      </c>
      <c r="P185" s="3">
        <f>458+(70-42.8)+(-0.23358+(-0.0357--0.021828))+0-0-0</f>
        <v>484.95254799999998</v>
      </c>
      <c r="Q185" s="3">
        <f>458+(87.5-31)+(0+(0-0))+0-0-0</f>
        <v>514.5</v>
      </c>
      <c r="R185" s="3">
        <f>524+(77-52.5)+(0.26724+(0.03927-0.026775))+0-0-0</f>
        <v>548.77973499999996</v>
      </c>
      <c r="S185" s="3">
        <f>531+(89.4-48.3)+(-1.35405+(-0.22797--0.123165))+0-0-0</f>
        <v>570.64114500000005</v>
      </c>
      <c r="T185" s="3">
        <f>535+(92.5-48.3)+(0.5457+(0.09435-0.049266))+0-0-0</f>
        <v>579.79078400000003</v>
      </c>
      <c r="U185" s="3">
        <f>517+(93.2-37.9)+(-0.52734+(-0.095064--0.038658))+0-0-0</f>
        <v>571.71625399999994</v>
      </c>
      <c r="V185" s="3">
        <f>465+(115.1-33)+(-0.9486+(-0.234804--0.06732))+0-0-0</f>
        <v>545.98391600000002</v>
      </c>
      <c r="W185" s="3">
        <f>478+(86-33)+(-0.48756+(-0.08772--0.03366))+0-0-0</f>
        <v>530.45838000000003</v>
      </c>
      <c r="X185" s="3">
        <f>482+(113.6-33)+(-0.49164+(-0.115872--0.03366))+0-0-0</f>
        <v>562.02614800000003</v>
      </c>
      <c r="Y185" s="3">
        <f>514+(159.8-33)+(0+(0-0))+0-0-0</f>
        <v>640.79999999999995</v>
      </c>
      <c r="Z185" s="3">
        <f>562+(147-33)+(-1.4331+(-0.37485--0.08415))+0-0-0</f>
        <v>674.27620000000002</v>
      </c>
      <c r="AA185" s="3">
        <f>553+(154.2-33)+(-1.69218+(-0.471852--0.10098))+0-0-0</f>
        <v>672.13694800000007</v>
      </c>
      <c r="AB185" s="3">
        <f>482+(213.1-33)+(-0.49164+(-0.217362--0.03366))+0-0-0</f>
        <v>661.42465800000002</v>
      </c>
      <c r="AC185" s="3">
        <f>482+(177-33)+(-0.49164+(-0.18054--0.03366))+42.7-0-0</f>
        <v>668.06148000000007</v>
      </c>
      <c r="AD185">
        <f t="shared" si="2"/>
        <v>13027.673048999999</v>
      </c>
      <c r="AE185" s="3">
        <f>556+(140.4-33)+(0+(0-0))+0-0-0</f>
        <v>663.4</v>
      </c>
    </row>
    <row r="186" spans="1:31" s="2" customFormat="1" x14ac:dyDescent="0.25">
      <c r="A186">
        <v>89</v>
      </c>
      <c r="B186">
        <v>6</v>
      </c>
      <c r="C186">
        <v>31</v>
      </c>
      <c r="D186">
        <v>5</v>
      </c>
      <c r="E186">
        <v>1</v>
      </c>
      <c r="F186" s="3">
        <f>474+(45.7-32)+(-0.48348+(-0.046614--0.03264))+64-0-0</f>
        <v>551.20254599999998</v>
      </c>
      <c r="G186" s="3">
        <f>474+(66-32)+(-0.72522+(-0.10098--0.04896))+5.3-0-0</f>
        <v>512.52275999999995</v>
      </c>
      <c r="H186" s="3">
        <f>474+(47.6-32)+(-0.72522+(-0.072828--0.04896))+0-0-0</f>
        <v>488.85091200000005</v>
      </c>
      <c r="I186" s="3">
        <f>472+(26-33)+(0.48144+(0.02652-0.03366))+0-0-0</f>
        <v>465.47430000000003</v>
      </c>
      <c r="J186" s="3">
        <f>472+(13.6-37.8)+(-0.24072+(-0.006936--0.019278))+0-0-0</f>
        <v>447.57162199999999</v>
      </c>
      <c r="K186" s="3">
        <f>472+(0-57.7)+(-0.48144+(0--0.058854))+0-0-0</f>
        <v>413.87741399999999</v>
      </c>
      <c r="L186" s="3">
        <f>463+(0-55.9)+(-0.47226+(0--0.057018))+0-0-0</f>
        <v>406.68475800000004</v>
      </c>
      <c r="M186" s="3">
        <f>452+(22.9-32)+(0+(0-0))+0-0-0</f>
        <v>442.9</v>
      </c>
      <c r="N186" s="3">
        <f>443+(51.1-31)+(0.22593+(0.026061-0.01581))+0-0-0</f>
        <v>463.33618100000001</v>
      </c>
      <c r="O186" s="3">
        <f>456+(64.2-30)+(0+(0-0))+0-0-0</f>
        <v>490.2</v>
      </c>
      <c r="P186" s="3">
        <f>463+(83-29)+(0.47226+(0.08466-0.02958))+0-0-0</f>
        <v>517.52733999999998</v>
      </c>
      <c r="Q186" s="3">
        <f>513+(58.9-29)+(-0.26163+(-0.030039--0.01479))+0-0-0</f>
        <v>542.62312099999997</v>
      </c>
      <c r="R186" s="3">
        <f>505+(106.8-32)+(-2.0604+(-0.435744--0.13056))+0-0-0</f>
        <v>577.43441599999994</v>
      </c>
      <c r="S186" s="3">
        <f>507+(111.3-32)+(-0.25857+(-0.056763--0.01632))+0-0-0</f>
        <v>586.00098700000001</v>
      </c>
      <c r="T186" s="3">
        <f>510+(89.7-32)+(-0.2601+(-0.045747--0.01632))+0-0-0</f>
        <v>567.41047300000002</v>
      </c>
      <c r="U186" s="3">
        <f>512+(72.4-31)+(-0.78336+(-0.110772--0.04743))+0-0-0</f>
        <v>552.55329799999993</v>
      </c>
      <c r="V186" s="3">
        <f>515+(35.3-30)+(0+(0-0))+0-0-0</f>
        <v>520.29999999999995</v>
      </c>
      <c r="W186" s="3">
        <f>476+(100.7-32)+(-0.24276+(-0.051357--0.01632))+0-0-0</f>
        <v>544.42220300000008</v>
      </c>
      <c r="X186" s="3">
        <f>499+(183.1-34)+(-0.25449+(-0.093381--0.01734))+0-0-0</f>
        <v>647.76946900000007</v>
      </c>
      <c r="Y186" s="3">
        <f>562+(152.2-34)+(0.28662+(0.077622-0.01734))+0-0-0</f>
        <v>680.54690200000005</v>
      </c>
      <c r="Z186" s="3">
        <f>550+(170.5-34)+(-0.561+(-0.17391--0.03468))+0-0-0</f>
        <v>685.79976999999997</v>
      </c>
      <c r="AA186" s="3">
        <f>548+(156.2-34)+(-1.67688+(-0.477972--0.10404))+0-0-0</f>
        <v>668.14918800000009</v>
      </c>
      <c r="AB186" s="3">
        <f>540+(132.8-33)+(-1.1016+(-0.270912--0.06732))+0-0-0</f>
        <v>638.49480799999992</v>
      </c>
      <c r="AC186" s="3">
        <f>484+(153.4-33)+(-0.98736+(-0.312936--0.06732))+0-0-0</f>
        <v>603.16702399999997</v>
      </c>
      <c r="AD186">
        <f t="shared" si="2"/>
        <v>13014.819491999999</v>
      </c>
      <c r="AE186" s="3">
        <f>564+(163.3-34)+(0+(0-0))+0-0-0</f>
        <v>693.3</v>
      </c>
    </row>
    <row r="187" spans="1:31" s="2" customFormat="1" x14ac:dyDescent="0.25">
      <c r="A187">
        <v>89</v>
      </c>
      <c r="B187">
        <v>7</v>
      </c>
      <c r="C187">
        <v>1</v>
      </c>
      <c r="D187">
        <v>6</v>
      </c>
      <c r="E187">
        <v>1</v>
      </c>
      <c r="F187" s="3">
        <f>479+(133-33)+(-0.48858+(-0.13566--0.03366))+0-0-0</f>
        <v>578.40941999999995</v>
      </c>
      <c r="G187" s="3">
        <f>479+(93.6-33)+(-0.73287+(-0.143208--0.05049))+0-0-0</f>
        <v>538.77441199999998</v>
      </c>
      <c r="H187" s="3">
        <f>479+(74.9-31)+(-0.24429+(-0.038199--0.01581))+0-0-0</f>
        <v>522.63332100000002</v>
      </c>
      <c r="I187" s="3">
        <f>479+(59.8-31)+(0.24429+(0.030498-0.01581))+0-0-0</f>
        <v>508.05897800000002</v>
      </c>
      <c r="J187" s="3">
        <f>473+(45.9-32)+(-0.72369+(-0.070227--0.04896))+0-0-0</f>
        <v>486.15504299999998</v>
      </c>
      <c r="K187" s="3">
        <f>473+(22.1-46.5)+(-0.48246+(-0.022542--0.04743))+0-0-0</f>
        <v>448.142428</v>
      </c>
      <c r="L187" s="3">
        <f>471+(17.2-46.8)+(0.24021+(0.008772-0.023868))+0-0-0</f>
        <v>441.625114</v>
      </c>
      <c r="M187" s="3">
        <f>460+(34.1-32)+(0+(0-0))+0-0-0</f>
        <v>462.1</v>
      </c>
      <c r="N187" s="3">
        <f>478+(40-30)+(0.24378+(0.0204-0.0153))+0-0-0</f>
        <v>488.24887999999999</v>
      </c>
      <c r="O187" s="3">
        <f>515+(32.8-34.8)+(-0.26265+(-0.016728--0.017748))+0-0-0</f>
        <v>512.73837000000003</v>
      </c>
      <c r="P187" s="3">
        <f>464+(108.5-30)+(-0.23664+(-0.055335--0.0153))+0-0-0</f>
        <v>542.22332500000005</v>
      </c>
      <c r="Q187" s="3">
        <f>466+(132.3-31)+(-0.23766+(-0.067473--0.01581))+0-0-0</f>
        <v>567.01067699999999</v>
      </c>
      <c r="R187" s="3">
        <f>520+(101.4-32)+(-0.2652+(-0.051714--0.01632))+0-0-0</f>
        <v>589.09940599999993</v>
      </c>
      <c r="S187" s="3">
        <f>520+(104.2-32)+(-0.7956+(-0.159426--0.04896))+0-0-0</f>
        <v>591.29393400000004</v>
      </c>
      <c r="T187" s="3">
        <f>524+(93.9-32)+(-0.80172+(-0.143667--0.04896))+0-0-0</f>
        <v>585.00357299999996</v>
      </c>
      <c r="U187" s="3">
        <f>525+(69.4-34.3)+(-1.6065+(-0.212364--0.104958))+0-0-0</f>
        <v>558.38609400000007</v>
      </c>
      <c r="V187" s="3">
        <f>556+(43.9-46.1)+(-1.70136+(-0.134334--0.141066))+0-0-0</f>
        <v>552.10537199999999</v>
      </c>
      <c r="W187" s="3">
        <f>556+(44.4-35.6)+(-0.56712+(-0.045288--0.036312))+0-0-0</f>
        <v>564.22390399999995</v>
      </c>
      <c r="X187" s="3">
        <f>557+(126.2-33)+(0+(0-0))+0-0-0</f>
        <v>650.20000000000005</v>
      </c>
      <c r="Y187" s="3">
        <f>547+(170.3-34)+(-1.11588+(-0.347412--0.06936))+0-0-0</f>
        <v>681.906068</v>
      </c>
      <c r="Z187" s="3">
        <f>558+(162.4-33)+(-1.4229+(-0.41412--0.08415))+0-0-0</f>
        <v>685.64712999999995</v>
      </c>
      <c r="AA187" s="3">
        <f>554+(145.7-33)+(-1.13016+(-0.297228--0.06732))+0-0-0</f>
        <v>665.33993200000009</v>
      </c>
      <c r="AB187" s="3">
        <f>495+(176.9-32)+(0+(0-0))+0-0-0</f>
        <v>639.9</v>
      </c>
      <c r="AC187" s="3">
        <f>478+(161.7-32)+(-0.48756+(-0.164934--0.03264))+0-0-0</f>
        <v>607.08014600000001</v>
      </c>
      <c r="AD187">
        <f t="shared" si="2"/>
        <v>13466.305527000002</v>
      </c>
      <c r="AE187" s="3">
        <f>538+(156.3-34)+(0+(0-0))+0-0-0</f>
        <v>660.3</v>
      </c>
    </row>
    <row r="188" spans="1:31" s="2" customFormat="1" x14ac:dyDescent="0.25">
      <c r="A188">
        <v>89</v>
      </c>
      <c r="B188">
        <v>7</v>
      </c>
      <c r="C188">
        <v>2</v>
      </c>
      <c r="D188">
        <v>7</v>
      </c>
      <c r="E188">
        <v>1</v>
      </c>
      <c r="F188" s="3">
        <f>474+(130.1-31)+(-0.96696+(-0.265404--0.06324))+0-0-0</f>
        <v>571.93087600000001</v>
      </c>
      <c r="G188" s="3">
        <f>471+(109-28)+(-0.96084+(-0.22236--0.05712))+0-0-0</f>
        <v>550.87392</v>
      </c>
      <c r="H188" s="3">
        <f>457+(95-25)+(-0.23307+(-0.04845--0.01275))+0-0-0</f>
        <v>526.73122999999998</v>
      </c>
      <c r="I188" s="3">
        <f>447+(74.6-23)+(-0.68391+(-0.114138--0.03519))+0-0-0</f>
        <v>497.83714200000003</v>
      </c>
      <c r="J188" s="3">
        <f>446+(56.3-23)+(0.22746+(0.028713-0.01173))+0-0-0</f>
        <v>479.544443</v>
      </c>
      <c r="K188" s="3">
        <f>441+(31-41.4)+(-1.34946+(-0.09486--0.126684))+0-0-0</f>
        <v>429.28236400000003</v>
      </c>
      <c r="L188" s="3">
        <f>436+(24.3-45.6)+(-0.44472+(-0.024786--0.046512))+0-0-0</f>
        <v>414.27700599999997</v>
      </c>
      <c r="M188" s="3">
        <f>433+(30-35.1)+(-0.66249+(-0.0459--0.053703))+0-0-0</f>
        <v>427.24531299999995</v>
      </c>
      <c r="N188" s="3">
        <f>432+(44.4-25.1)+(-0.66096+(-0.067932--0.038403))+0-0-0</f>
        <v>450.609511</v>
      </c>
      <c r="O188" s="3">
        <f>432+(61.3-23)+(-0.88128+(-0.125052--0.04692))+0-0-0</f>
        <v>469.34058800000003</v>
      </c>
      <c r="P188" s="3">
        <f>444+(80.4-24)+(-0.67932+(-0.123012--0.03672))+0-0-0</f>
        <v>499.634388</v>
      </c>
      <c r="Q188" s="3">
        <f>444+(109.1-24)+(0.22644+(0.055641-0.01224))+0-0-0</f>
        <v>529.36984100000006</v>
      </c>
      <c r="R188" s="3">
        <f>445+(138.5-25)+(0+(0-0))+0-0-0</f>
        <v>558.5</v>
      </c>
      <c r="S188" s="3">
        <f>453+(138-26)+(-0.46206+(-0.14076--0.02652))+0-0-0</f>
        <v>564.42370000000005</v>
      </c>
      <c r="T188" s="3">
        <f>463+(119.4-26)+(0.23613+(0.060894-0.01326))+0-0-0</f>
        <v>556.683764</v>
      </c>
      <c r="U188" s="3">
        <f>464+(96.2-25)+(-0.47328+(-0.098124--0.0255))+0-0-0</f>
        <v>534.6540960000001</v>
      </c>
      <c r="V188" s="3">
        <f>474+(68.3-25)+(-0.72522+(-0.104499--0.03825))+0-0-0</f>
        <v>516.50853099999995</v>
      </c>
      <c r="W188" s="3">
        <f>484+(101.8-26)+(-1.2342+(-0.25959--0.0663))+0-0-0</f>
        <v>558.37250999999992</v>
      </c>
      <c r="X188" s="3">
        <f>533+(150.5-30)+(-0.54366+(-0.15351--0.0306))+0-0-0</f>
        <v>652.83343000000002</v>
      </c>
      <c r="Y188" s="3">
        <f>562+(157.6-31)+(-0.57324+(-0.160752--0.03162))+0-0-0</f>
        <v>687.89762800000005</v>
      </c>
      <c r="Z188" s="3">
        <f>562+(162.6-33)+(-0.28662+(-0.082926--0.01683))+0-0-0</f>
        <v>691.24728400000004</v>
      </c>
      <c r="AA188" s="3">
        <f>562+(148.3-33)+(-0.28662+(-0.075633--0.01683))+0-0-0</f>
        <v>676.95457699999997</v>
      </c>
      <c r="AB188" s="3">
        <f>563+(115.5-33)+(-1.43565+(-0.294525--0.08415))+0-0-0</f>
        <v>643.85397499999999</v>
      </c>
      <c r="AC188" s="3">
        <f>563+(72.9-32)+(-0.57426+(-0.074358--0.03264))+0-0-0</f>
        <v>603.28402199999994</v>
      </c>
      <c r="AD188">
        <f t="shared" si="2"/>
        <v>13091.890139000001</v>
      </c>
      <c r="AE188" s="3">
        <f>562+(155.1-33)+(0+(0-0))+0-0-0</f>
        <v>684.1</v>
      </c>
    </row>
    <row r="189" spans="1:31" s="2" customFormat="1" x14ac:dyDescent="0.25">
      <c r="A189">
        <v>89</v>
      </c>
      <c r="B189">
        <v>7</v>
      </c>
      <c r="C189">
        <v>3</v>
      </c>
      <c r="D189">
        <v>1</v>
      </c>
      <c r="E189">
        <v>1</v>
      </c>
      <c r="F189" s="3">
        <f>554+(39.5-41.6)+(-0.84762+(-0.060435--0.063648))+0-0-0</f>
        <v>551.05559299999993</v>
      </c>
      <c r="G189" s="3">
        <f>524+(40.6-40.5)+(-1.06896+(-0.082824--0.08262))+0-0-0</f>
        <v>523.03083600000002</v>
      </c>
      <c r="H189" s="3">
        <f>524+(24.9-59.7)+(-0.53448+(-0.025398--0.060894))+0-0-0</f>
        <v>488.70101599999998</v>
      </c>
      <c r="I189" s="3">
        <f>525+(18.4-65.6)+(0.5355+(0.018768-0.066912))+0-0-0</f>
        <v>478.28735599999999</v>
      </c>
      <c r="J189" s="3">
        <f>520+(11.9-73.9)+(-1.0608+(-0.024276--0.150756))+0-0-0</f>
        <v>457.06567999999999</v>
      </c>
      <c r="K189" s="3">
        <f>468+(17.2-53)+(-0.71604+(-0.026316--0.08109))+0-0-0</f>
        <v>431.53873399999998</v>
      </c>
      <c r="L189" s="3">
        <f>433+(22.7-40.5)+(-0.44166+(-0.023154--0.04131))+0-0-0</f>
        <v>414.77649600000001</v>
      </c>
      <c r="M189" s="3">
        <f>431+(32.4-27.5)+(0.21981+(0.016524-0.014025))+0-0-0</f>
        <v>436.12230899999997</v>
      </c>
      <c r="N189" s="3">
        <f>431+(66.2-26)+(0+(0-0))+0-0-0</f>
        <v>471.2</v>
      </c>
      <c r="O189" s="3">
        <f>430+(82.8-27)+(-0.2193+(-0.042228--0.01377))+0-0-0</f>
        <v>485.55224200000004</v>
      </c>
      <c r="P189" s="3">
        <f>430+(99.7-27)+(-0.2193+(-0.050847--0.01377))+0-0-0</f>
        <v>502.443623</v>
      </c>
      <c r="Q189" s="3">
        <f>451+(107.2-27)+(0.23001+(0.054672-0.01377))+0-0-0</f>
        <v>531.470912</v>
      </c>
      <c r="R189" s="3">
        <f>492+(108.4-32)+(0+(0-0))+0-0-0</f>
        <v>568.4</v>
      </c>
      <c r="S189" s="3">
        <f>493+(131.2-33)+(0+(0-0))+0-0-0</f>
        <v>591.20000000000005</v>
      </c>
      <c r="T189" s="3">
        <f>496+(120.6-33)+(-0.50592+(-0.123012--0.03366))+0-0-0</f>
        <v>583.004728</v>
      </c>
      <c r="U189" s="3">
        <f>499+(92.5-33)+(-0.76347+(-0.141525--0.05049))+0-0-0</f>
        <v>557.64549499999998</v>
      </c>
      <c r="V189" s="3">
        <f>517+(64.6-35)+(-0.79101+(-0.098838--0.05355))+0-0-0</f>
        <v>545.76370199999997</v>
      </c>
      <c r="W189" s="3">
        <f>524+(87.1-30)+(0.26724+(0.044421-0.0153))+0-0-0</f>
        <v>581.39636100000007</v>
      </c>
      <c r="X189" s="3">
        <f>529+(174.6-31)+(-1.07916+(-0.356184--0.06324))+0-0-0</f>
        <v>671.22789599999999</v>
      </c>
      <c r="Y189" s="3">
        <f>529+(212.3-32)+(0+(0-0))+0-0-0</f>
        <v>709.3</v>
      </c>
      <c r="Z189" s="3">
        <f>530+(214.1-33)+(0.5406+(0.218382-0.03366))+0-0-0</f>
        <v>711.82532200000003</v>
      </c>
      <c r="AA189" s="3">
        <f>530+(193.6-33)+(-0.8109+(-0.296208--0.05049))+0-0-0</f>
        <v>689.54338200000007</v>
      </c>
      <c r="AB189" s="3">
        <f>531+(157.3-33)+(-1.35405+(-0.401115--0.08415))+0-0-0</f>
        <v>653.62898499999994</v>
      </c>
      <c r="AC189" s="3">
        <f>531+(117.5-32)+(-1.35405+(-0.299625--0.0816))+0-0-0</f>
        <v>614.92792499999996</v>
      </c>
      <c r="AD189">
        <f t="shared" si="2"/>
        <v>13249.108592999997</v>
      </c>
      <c r="AE189" s="3">
        <f>527+(207.4-33)+(0+(0-0))+0-0-0</f>
        <v>701.4</v>
      </c>
    </row>
    <row r="190" spans="1:31" s="2" customFormat="1" x14ac:dyDescent="0.25">
      <c r="A190">
        <v>89</v>
      </c>
      <c r="B190">
        <v>7</v>
      </c>
      <c r="C190">
        <v>4</v>
      </c>
      <c r="D190">
        <v>2</v>
      </c>
      <c r="E190">
        <v>1</v>
      </c>
      <c r="F190" s="3">
        <f>531+(77.1-31)+(-0.54162+(-0.078642--0.03162))+0-0-0</f>
        <v>576.51135799999997</v>
      </c>
      <c r="G190" s="3">
        <f>488+(85.3-30)+(-1.2444+(-0.217515--0.0765))+0-0-0</f>
        <v>541.91458499999999</v>
      </c>
      <c r="H190" s="3">
        <f>481+(50.1-29)+(-0.73593+(-0.076653--0.04437))+0-0-0</f>
        <v>501.33178700000002</v>
      </c>
      <c r="I190" s="3">
        <f>481+(29.3-37.6)+(-0.24531+(-0.014943--0.019176))+0-0-0</f>
        <v>472.45892299999997</v>
      </c>
      <c r="J190" s="3">
        <f>475+(19.6-44.7)+(0+(0-0))+0-0-0</f>
        <v>449.9</v>
      </c>
      <c r="K190" s="3">
        <f>475+(8-56.1)+(0+(0-0))+0-0-0</f>
        <v>426.9</v>
      </c>
      <c r="L190" s="3">
        <f>470+(7-68.3)+(-0.2397+(-0.00357--0.034833))+0-0-0</f>
        <v>408.49156299999999</v>
      </c>
      <c r="M190" s="3">
        <f>469+(10.6-47)+(-0.47838+(-0.010812--0.04794))+0-0-0</f>
        <v>432.158748</v>
      </c>
      <c r="N190" s="3">
        <f>449+(36.4-29)+(0+(0-0))+0-0-0</f>
        <v>456.4</v>
      </c>
      <c r="O190" s="3">
        <f>460+(50.1-33)+(-0.2346+(-0.025551--0.01683))+0-0-0</f>
        <v>476.85667900000004</v>
      </c>
      <c r="P190" s="3">
        <f>458+(77.4-34)+(0+(0-0))+0-0-0</f>
        <v>501.4</v>
      </c>
      <c r="Q190" s="3">
        <f>458+(116.1-34)+(0.23358+(0.059211-0.01734))+0-0-0</f>
        <v>540.375451</v>
      </c>
      <c r="R190" s="3">
        <f>444+(166.1-32)+(-0.22644+(-0.084711--0.01632))+0-0-0</f>
        <v>577.80516899999998</v>
      </c>
      <c r="S190" s="3">
        <f>443+(194.1-32)+(0.22593+(0.098991-0.01632))+0-0-0</f>
        <v>605.40860099999998</v>
      </c>
      <c r="T190" s="3">
        <f>443+(181.3-31)+(-0.22593+(-0.092463--0.01581))+0-0-0</f>
        <v>592.99741699999993</v>
      </c>
      <c r="U190" s="3">
        <f>445+(149.8-31)+(-0.4539+(-0.152796--0.03162))+0-0-0</f>
        <v>563.22492399999999</v>
      </c>
      <c r="V190" s="3">
        <f>464+(101.6-30)+(-0.70992+(-0.155448--0.0459))+0-0-0</f>
        <v>534.78053199999999</v>
      </c>
      <c r="W190" s="3">
        <f>416+(190.4-30)+(0+(0-0))+0-0-0</f>
        <v>576.4</v>
      </c>
      <c r="X190" s="3">
        <f>531+(177.1-31)+(-0.54162+(-0.180642--0.03162))+0-0-0</f>
        <v>676.409358</v>
      </c>
      <c r="Y190" s="3">
        <f>610+(135.3-31)+(-0.9333+(-0.207009--0.04743))+0-0-0</f>
        <v>713.20712099999992</v>
      </c>
      <c r="Z190" s="3">
        <f>611+(132.7-32)+(-0.62322+(-0.135354--0.03264))+0-0-0</f>
        <v>710.97406599999999</v>
      </c>
      <c r="AA190" s="3">
        <f>613+(110.3-32)+(0.31263+(0.056253-0.01632))+0-0-0</f>
        <v>691.65256299999999</v>
      </c>
      <c r="AB190" s="3">
        <f>616+(78.5-35.1)+(0+(0-0))+0-0-0</f>
        <v>659.4</v>
      </c>
      <c r="AC190" s="3">
        <f>580+(72.4-33.7)+(-0.5916+(-0.073848--0.034374))+0-0-0</f>
        <v>618.06892600000003</v>
      </c>
      <c r="AD190">
        <f t="shared" si="2"/>
        <v>13305.027770999999</v>
      </c>
      <c r="AE190" s="3">
        <f>610+(126.2-33)+(0+(0-0))+0-0-0</f>
        <v>703.2</v>
      </c>
    </row>
    <row r="191" spans="1:31" s="2" customFormat="1" x14ac:dyDescent="0.25">
      <c r="A191">
        <v>89</v>
      </c>
      <c r="B191">
        <v>7</v>
      </c>
      <c r="C191">
        <v>5</v>
      </c>
      <c r="D191">
        <v>3</v>
      </c>
      <c r="E191">
        <v>1</v>
      </c>
      <c r="F191" s="3">
        <f>454+(158.3-30)+(-0.69462+(-0.242199--0.0459))+0-0-0</f>
        <v>581.4090809999999</v>
      </c>
      <c r="G191" s="3">
        <f>455+(115.4-26)+(0+(0-0))+0-0-0</f>
        <v>544.4</v>
      </c>
      <c r="H191" s="3">
        <f>455+(93.6-24)+(-0.4641+(-0.095472--0.02448))+0-0-0</f>
        <v>524.06490800000006</v>
      </c>
      <c r="I191" s="3">
        <f>455+(73.6-23)+(0.23205+(0.037536-0.01173))+0-0-0</f>
        <v>505.85785600000003</v>
      </c>
      <c r="J191" s="3">
        <f>453+(52.8-25)+(0.23103+(0.026928-0.01275))+0-0-0</f>
        <v>481.045208</v>
      </c>
      <c r="K191" s="3">
        <f>453+(28.2-31.7)+(-1.61721+(-0.100674--0.113169))+0-0-0</f>
        <v>447.895285</v>
      </c>
      <c r="L191" s="3">
        <f>460+(15.9-43.1)+(0.2346+(0.008109-0.021981))+0-0-0</f>
        <v>433.02072800000002</v>
      </c>
      <c r="M191" s="3">
        <f>462+(24.8-28)+(0.47124+(0.025296-0.02856))+0-0-0</f>
        <v>459.26797600000003</v>
      </c>
      <c r="N191" s="3">
        <f>462+(54.7-30)+(0+(0-0))+0-0-0</f>
        <v>486.7</v>
      </c>
      <c r="O191" s="3">
        <f>461+(79.4-31)+(0+(0-0))+0-0-0</f>
        <v>509.4</v>
      </c>
      <c r="P191" s="3">
        <f>466+(101.2-31)+(0.47532+(0.103224-0.03162))+0-0-0</f>
        <v>536.74692400000004</v>
      </c>
      <c r="Q191" s="3">
        <f>491+(106.4-32)+(0.75123+(0.162792-0.04896))+0-0-0</f>
        <v>566.26506199999994</v>
      </c>
      <c r="R191" s="3">
        <f>498+(111.1-33)+(-0.50796+(-0.113322--0.03366))+0-0-0</f>
        <v>575.51237800000001</v>
      </c>
      <c r="S191" s="3">
        <f>511+(103.4-33)+(-0.26061+(-0.052734--0.01683))+0-0-0</f>
        <v>581.10348599999998</v>
      </c>
      <c r="T191" s="3">
        <f>514+(89.1-30)+(-0.52428+(-0.090882--0.0306))+0-0-0</f>
        <v>572.51543800000002</v>
      </c>
      <c r="U191" s="3">
        <f>514+(62.1-26)+(-1.04856+(-0.126684--0.05304))+0-0-0</f>
        <v>548.97779600000001</v>
      </c>
      <c r="V191" s="3">
        <f>546+(41.6-33.3)+(-1.3923+(-0.10608--0.084915))+0-0-0</f>
        <v>552.88653499999998</v>
      </c>
      <c r="W191" s="3">
        <f>508+(114.8-27)+(-0.25908+(-0.058548--0.01377))+0-0-0</f>
        <v>595.49614199999996</v>
      </c>
      <c r="X191" s="3">
        <f>586+(124.8-31)+(0.29886+(0.063648-0.01581))+0-0-0</f>
        <v>680.1466979999999</v>
      </c>
      <c r="Y191" s="3">
        <f>612+(139.6-33)+(-1.87272+(-0.427176--0.10098))+0-0-0</f>
        <v>716.40108399999997</v>
      </c>
      <c r="Z191" s="3">
        <f>609+(143.7-33)+(-0.93177+(-0.219861--0.05049))+0-0-0</f>
        <v>718.59885900000006</v>
      </c>
      <c r="AA191" s="3">
        <f>598+(129.4-33)+(-1.21992+(-0.263976--0.06732))+0-0-0</f>
        <v>692.98342400000001</v>
      </c>
      <c r="AB191" s="3">
        <f>539+(150.7-32)+(-1.09956+(-0.307428--0.06528))+0-0-0</f>
        <v>656.35829200000001</v>
      </c>
      <c r="AC191" s="3">
        <f>540+(105.2-32)+(-1.377+(-0.26826--0.0816))+0-0-0</f>
        <v>611.63634000000002</v>
      </c>
      <c r="AD191">
        <f t="shared" si="2"/>
        <v>13578.6895</v>
      </c>
      <c r="AE191" s="3">
        <f>613+(103.5-34)+(0+(0-0))+0-0-0</f>
        <v>682.5</v>
      </c>
    </row>
    <row r="192" spans="1:31" s="2" customFormat="1" x14ac:dyDescent="0.25">
      <c r="A192">
        <v>89</v>
      </c>
      <c r="B192">
        <v>7</v>
      </c>
      <c r="C192">
        <v>6</v>
      </c>
      <c r="D192">
        <v>4</v>
      </c>
      <c r="E192">
        <v>1</v>
      </c>
      <c r="F192" s="3">
        <f>551+(60.4-32)+(-1.12404+(-0.123216--0.06528))+0-0-0</f>
        <v>578.21802400000001</v>
      </c>
      <c r="G192" s="3">
        <f>538+(52.9-33.3)+(-0.82314+(-0.080937--0.050949))+0-0-0</f>
        <v>556.74687200000005</v>
      </c>
      <c r="H192" s="3">
        <f>448+(118.4-32)+(-0.45696+(-0.120768--0.03264))+0-0-0</f>
        <v>533.85491200000001</v>
      </c>
      <c r="I192" s="3">
        <f>434+(117.9-31)+(-0.44268+(-0.120258--0.03162))+0-0-0</f>
        <v>520.36868199999992</v>
      </c>
      <c r="J192" s="3">
        <f>432+(86.6-30)+(0.88128+(0.176664-0.0612))+0-0-0</f>
        <v>489.596744</v>
      </c>
      <c r="K192" s="3">
        <f>432+(58.9-25)+(-0.88128+(-0.120156--0.051))+0-0-0</f>
        <v>464.94956399999995</v>
      </c>
      <c r="L192" s="3">
        <f>426+(46.5-27)+(0.21726+(0.023715-0.01377))+0-0-0</f>
        <v>445.72720500000003</v>
      </c>
      <c r="M192" s="3">
        <f>426+(77.1-28)+(-0.21726+(-0.039321--0.01428))+0-0-0</f>
        <v>474.85769900000003</v>
      </c>
      <c r="N192" s="3">
        <f>442+(84.1-29)+(0+(0-0))+0-0-0</f>
        <v>497.1</v>
      </c>
      <c r="O192" s="3">
        <f>486+(70.7-32)+(-0.99144+(-0.144228--0.06528))+0-0-0</f>
        <v>523.62961200000007</v>
      </c>
      <c r="P192" s="3">
        <f>499+(78.3-33)+(-0.25449+(-0.039933--0.01683))+0-0-0</f>
        <v>544.02240699999993</v>
      </c>
      <c r="Q192" s="3">
        <f>498+(94.2-33)+(1.01592+(0.192168-0.06732))+0-0-0</f>
        <v>560.34076800000003</v>
      </c>
      <c r="R192" s="3">
        <f>534+(107.7-32)+(-0.54468+(-0.109854--0.03264))+0-0-0</f>
        <v>609.07810600000005</v>
      </c>
      <c r="S192" s="3">
        <f>549+(105.5-31)+(0.27999+(0.053805-0.01581))+0-0-0</f>
        <v>623.81798500000002</v>
      </c>
      <c r="T192" s="3">
        <f>550+(89-31)+(-1.122+(-0.18156--0.06324))+0-0-0</f>
        <v>606.75968</v>
      </c>
      <c r="U192" s="3">
        <f>550+(53.6-32)+(-1.4025+(-0.13668--0.0816))+0-0-0</f>
        <v>570.14242000000002</v>
      </c>
      <c r="V192" s="3">
        <f>534+(57.5-32)+(-1.3617+(-0.146625--0.0816))+0-0-0</f>
        <v>558.07327499999997</v>
      </c>
      <c r="W192" s="3">
        <f>537+(89-33)+(-0.82161+(-0.13617--0.05049))+0-0-0</f>
        <v>592.09271000000001</v>
      </c>
      <c r="X192" s="3">
        <f>537+(170-33)+(0+(0-0))+0-0-0</f>
        <v>674</v>
      </c>
      <c r="Y192" s="3">
        <f>538+(220.3-32)+(-0.82314+(-0.337059--0.04896))+0-0-0</f>
        <v>725.188761</v>
      </c>
      <c r="Z192" s="3">
        <f>538+(229.8-32)+(-0.82314+(-0.351594--0.04896))+0-0-0</f>
        <v>734.67422599999998</v>
      </c>
      <c r="AA192" s="3">
        <f>538+(207.7-31)+(-0.54876+(-0.211854--0.03162))+0-0-0</f>
        <v>713.9710060000001</v>
      </c>
      <c r="AB192" s="3">
        <f>539+(176.3-32)+(-0.54978+(-0.179826--0.03264))+0-0-0</f>
        <v>682.60303399999998</v>
      </c>
      <c r="AC192" s="3">
        <f>530+(149.4-32)+(-0.5406+(-0.152388--0.03264))+0-0-0</f>
        <v>646.73965199999998</v>
      </c>
      <c r="AD192">
        <f t="shared" si="2"/>
        <v>13926.553344</v>
      </c>
      <c r="AE192" s="3">
        <f>537+(208.3-33)+(0+(0-0))+0-0-0</f>
        <v>712.3</v>
      </c>
    </row>
    <row r="193" spans="1:31" s="2" customFormat="1" x14ac:dyDescent="0.25">
      <c r="A193">
        <v>89</v>
      </c>
      <c r="B193">
        <v>7</v>
      </c>
      <c r="C193">
        <v>7</v>
      </c>
      <c r="D193">
        <v>5</v>
      </c>
      <c r="E193">
        <v>1</v>
      </c>
      <c r="F193" s="3">
        <f>513+(117.3-32)+(-1.56978+(-0.358938--0.09792))+0-0-0</f>
        <v>596.469202</v>
      </c>
      <c r="G193" s="3">
        <f>514+(81.2-32)+(-1.57284+(-0.248472--0.09792))+0-0-0</f>
        <v>561.47660800000006</v>
      </c>
      <c r="H193" s="3">
        <f>515+(61-32)+(0+(0-0))+0-0-0</f>
        <v>544</v>
      </c>
      <c r="I193" s="3">
        <f>487+(70-32)+(-0.49674+(-0.0714--0.03264))+0-0-0</f>
        <v>524.46450000000004</v>
      </c>
      <c r="J193" s="3">
        <f>432+(94.1-31)+(0.66096+(0.143973-0.04743))+0-0-0</f>
        <v>495.85750300000001</v>
      </c>
      <c r="K193" s="3">
        <f>432+(56.7-31)+(-0.66096+(-0.086751--0.04743))+0-0-0</f>
        <v>456.99971899999997</v>
      </c>
      <c r="L193" s="3">
        <f>430+(43.7-30)+(-0.4386+(-0.044574--0.0306))+0-0-0</f>
        <v>443.24742599999996</v>
      </c>
      <c r="M193" s="3">
        <f>430+(70.5-32)+(0+(0-0))+2.3-0-0</f>
        <v>470.8</v>
      </c>
      <c r="N193" s="3">
        <f>427+(103.3-33)+(0+(0-0))+0-0-0</f>
        <v>497.3</v>
      </c>
      <c r="O193" s="3">
        <f>426+(130.6-32)+(-0.43452+(-0.133212--0.03264))+0-0-0</f>
        <v>524.06490800000006</v>
      </c>
      <c r="P193" s="3">
        <f>426+(159.5-32)+(-0.65178+(-0.244035--0.04896))+0-0-0</f>
        <v>552.65314499999999</v>
      </c>
      <c r="Q193" s="3">
        <f>448+(169.4-32)+(-0.45696+(-0.172788--0.03264))+0-0-0</f>
        <v>584.80289199999993</v>
      </c>
      <c r="R193" s="3">
        <f>495+(153.3-32)+(-0.5049+(-0.156366--0.03264))+0-0-0</f>
        <v>615.6713739999999</v>
      </c>
      <c r="S193" s="3">
        <f>497+(168.3-31)+(0+(0-0))+0-0-0</f>
        <v>634.29999999999995</v>
      </c>
      <c r="T193" s="3">
        <f>498+(141.1-32)+(-0.50796+(-0.143922--0.03264))+0-0-0</f>
        <v>606.48075800000004</v>
      </c>
      <c r="U193" s="3">
        <f>464+(136.5-33)+(-0.47328+(-0.13923--0.03366))+0-0-0</f>
        <v>566.92115000000001</v>
      </c>
      <c r="V193" s="3">
        <f>431+(144.8-33)+(-0.87924+(-0.295392--0.06732))+5.3-0-0</f>
        <v>546.99268799999993</v>
      </c>
      <c r="W193" s="3">
        <f>436+(173.3-32)+(0.22236+(0.088383-0.01632))+10.6-0-0</f>
        <v>588.19442300000003</v>
      </c>
      <c r="X193" s="3">
        <f>551+(164-32)+(0.28101+(0.08364-0.01632))+0-0-0</f>
        <v>683.34833000000003</v>
      </c>
      <c r="Y193" s="3">
        <f>565+(185-33)+(-1.1526+(-0.3774--0.06732))+0-0-0</f>
        <v>715.53732000000002</v>
      </c>
      <c r="Z193" s="3">
        <f>441+(291.9-31)+(-0.22491+(-0.148869--0.01581))+19.8-0-0</f>
        <v>721.34203099999991</v>
      </c>
      <c r="AA193" s="3">
        <f>439+(298.5-31)+(-0.67167+(-0.456705--0.04743))+0-0-0</f>
        <v>705.41905499999996</v>
      </c>
      <c r="AB193" s="3">
        <f>439+(275.6-31)+(-0.89556+(-0.562224--0.06324))+0-0-0</f>
        <v>682.20545600000003</v>
      </c>
      <c r="AC193" s="3">
        <f>439+(231.9-32)+(-0.89556+(-0.473076--0.06528))+0-0-0</f>
        <v>637.59664399999997</v>
      </c>
      <c r="AD193">
        <f t="shared" ref="AD193:AD256" si="3">SUM(F193:AC193)</f>
        <v>13956.145132</v>
      </c>
      <c r="AE193" s="3">
        <f>595+(121.9-34)+(0+(0-0))+0-0-0</f>
        <v>682.9</v>
      </c>
    </row>
    <row r="194" spans="1:31" s="2" customFormat="1" x14ac:dyDescent="0.25">
      <c r="A194">
        <v>89</v>
      </c>
      <c r="B194">
        <v>7</v>
      </c>
      <c r="C194">
        <v>8</v>
      </c>
      <c r="D194">
        <v>6</v>
      </c>
      <c r="E194">
        <v>1</v>
      </c>
      <c r="F194" s="3">
        <f>429+(191.9-33)+(-0.65637+(-0.293607--0.05049))+0-0-0</f>
        <v>587.00051299999996</v>
      </c>
      <c r="G194" s="3">
        <f>429+(167.4-32)+(-0.87516+(-0.341496--0.06528))+0-0-0</f>
        <v>563.24862399999995</v>
      </c>
      <c r="H194" s="3">
        <f>429+(135.6-31)+(-0.43758+(-0.138312--0.03162))+0-0-0</f>
        <v>533.05572800000004</v>
      </c>
      <c r="I194" s="3">
        <f>429+(117.6-31)+(-0.21879+(-0.059976--0.01581))+0-0-0</f>
        <v>515.33704399999999</v>
      </c>
      <c r="J194" s="3">
        <f>428+(95.4-31)+(-0.43656+(-0.097308--0.03162))+0-0-0</f>
        <v>491.89775199999997</v>
      </c>
      <c r="K194" s="3">
        <f>428+(56.6-31)+(-0.87312+(-0.115464--0.06324))+0-0-0</f>
        <v>452.67465600000003</v>
      </c>
      <c r="L194" s="3">
        <f>429+(40.5-33)+(0+(0-0))+0-0-0</f>
        <v>436.5</v>
      </c>
      <c r="M194" s="3">
        <f>438+(52.8-32)+(-0.22338+(-0.026928--0.01632))+0-0-0</f>
        <v>458.566012</v>
      </c>
      <c r="N194" s="3">
        <f>463+(52.4-32)+(-0.23613+(-0.026724--0.01632))+0-0-0</f>
        <v>483.15346599999998</v>
      </c>
      <c r="O194" s="3">
        <f>473+(67.2-32)+(-0.72369+(-0.102816--0.04896))+0-0-0</f>
        <v>507.42245400000002</v>
      </c>
      <c r="P194" s="3">
        <f>497+(67.3-32)+(-0.25347+(-0.034323--0.01632))+0-0-0</f>
        <v>532.02852699999994</v>
      </c>
      <c r="Q194" s="3">
        <f>514+(88.1-32)+(-0.26214+(-0.044931--0.01632))+0-0-0</f>
        <v>569.80924900000002</v>
      </c>
      <c r="R194" s="3">
        <f>527+(114.9-33)+(0+(0-0))+0-0-0</f>
        <v>608.9</v>
      </c>
      <c r="S194" s="3">
        <f>540+(105.7-33)+(-0.2754+(-0.053907--0.01683))+0-0-0</f>
        <v>612.3875230000001</v>
      </c>
      <c r="T194" s="3">
        <f>541+(86.8-31)+(-0.27591+(-0.044268--0.01581))+0-0-0</f>
        <v>596.495632</v>
      </c>
      <c r="U194" s="3">
        <f>544+(51.5-29)+(-0.27744+(-0.026265--0.01479))+0-0-0</f>
        <v>566.21108500000003</v>
      </c>
      <c r="V194" s="3">
        <f>547+(24.7-30)+(-1.67382+(-0.075582--0.0918))+0-0-0</f>
        <v>540.04239800000005</v>
      </c>
      <c r="W194" s="3">
        <f>547+(78.6-30)+(0.27897+(0.040086-0.0153))+0-0-0</f>
        <v>595.90375600000004</v>
      </c>
      <c r="X194" s="3">
        <f>565+(146.2-32)+(0+(0-0))+0-0-0</f>
        <v>679.2</v>
      </c>
      <c r="Y194" s="3">
        <f>583+(161.7-31)+(-1.18932+(-0.329868--0.06324))+0-0-0</f>
        <v>712.24405200000001</v>
      </c>
      <c r="Z194" s="3">
        <f>557+(185.8-31)+(-1.13628+(-0.379032--0.06324))+0-0-0</f>
        <v>710.34792799999991</v>
      </c>
      <c r="AA194" s="3">
        <f>542+(192.1-33)+(-0.55284+(-0.195942--0.03366))+0-0-0</f>
        <v>700.38487800000007</v>
      </c>
      <c r="AB194" s="3">
        <f>520+(184-33)+(-0.7956+(-0.28152--0.05049))+0-0-0</f>
        <v>669.97337000000005</v>
      </c>
      <c r="AC194" s="3">
        <f>521+(147.3-33)+(-1.32855+(-0.375615--0.08415))+0-0-0</f>
        <v>633.67998499999999</v>
      </c>
      <c r="AD194">
        <f t="shared" si="3"/>
        <v>13756.464632000001</v>
      </c>
      <c r="AE194" s="3">
        <f>583+(150.8-32)+(0+(0-0))+0-0-0</f>
        <v>701.8</v>
      </c>
    </row>
    <row r="195" spans="1:31" s="2" customFormat="1" x14ac:dyDescent="0.25">
      <c r="A195">
        <v>89</v>
      </c>
      <c r="B195">
        <v>7</v>
      </c>
      <c r="C195">
        <v>9</v>
      </c>
      <c r="D195">
        <v>7</v>
      </c>
      <c r="E195">
        <v>1</v>
      </c>
      <c r="F195" s="3">
        <f>516+(110.5-33)+(-0.26316+(-0.056355--0.01683))+0-0-0</f>
        <v>593.197315</v>
      </c>
      <c r="G195" s="3">
        <f>517+(77.5-33)+(-1.31835+(-0.197625--0.08415))+0-0-0</f>
        <v>560.068175</v>
      </c>
      <c r="H195" s="3">
        <f>516+(51.9-33)+(0+(0-0))+0-0-0</f>
        <v>534.9</v>
      </c>
      <c r="I195" s="3">
        <f>517+(34.7-36.1)+(-1.05468+(-0.070788--0.073644))+0-0-0</f>
        <v>514.54817600000001</v>
      </c>
      <c r="J195" s="3">
        <f>518+(32.5-45)+(-0.79254+(-0.049725--0.06885))+0-0-0</f>
        <v>504.726585</v>
      </c>
      <c r="K195" s="3">
        <f>514+(9.9-60.2)+(-1.3107+(-0.025245--0.15351))+0-0-0</f>
        <v>462.51756499999999</v>
      </c>
      <c r="L195" s="3">
        <f>422+(41.1-30)+(-0.64566+(-0.062883--0.0459))+0-0-0</f>
        <v>432.43735700000002</v>
      </c>
      <c r="M195" s="3">
        <f>432+(32.4-30)+(-0.66096+(-0.049572--0.0459))+0-0-0</f>
        <v>433.73536799999999</v>
      </c>
      <c r="N195" s="3">
        <f>498+(11.1-44.7)+(-0.25398+(-0.005661--0.022797))+0-0-0</f>
        <v>464.16315599999996</v>
      </c>
      <c r="O195" s="3">
        <f>494+(34.6-28)+(-0.50388+(-0.035292--0.02856))+0-0-0</f>
        <v>500.08938800000004</v>
      </c>
      <c r="P195" s="3">
        <f>491+(78.2-28)+(-0.25041+(-0.039882--0.01428))+0-0-0</f>
        <v>540.92398800000001</v>
      </c>
      <c r="Q195" s="3">
        <f>494+(102.6-28)+(-0.50388+(-0.104652--0.02856))+0-0-0</f>
        <v>568.02002800000002</v>
      </c>
      <c r="R195" s="3">
        <f>497+(125.1-32)+(-0.76041+(-0.191403--0.04896))+0-0-0</f>
        <v>589.19714699999997</v>
      </c>
      <c r="S195" s="3">
        <f>498+(129.7-33)+(-0.76194+(-0.198441--0.05049))+0-0-0</f>
        <v>593.79010900000003</v>
      </c>
      <c r="T195" s="3">
        <f>499+(116.1-33)+(-1.27245+(-0.296055--0.08415))+0-0-0</f>
        <v>580.61564499999997</v>
      </c>
      <c r="U195" s="3">
        <f>499+(82.9-32)+(-0.76347+(-0.126837--0.04896))+0-0-0</f>
        <v>549.05865299999994</v>
      </c>
      <c r="V195" s="3">
        <f>540+(53.3-34.1)+(-0.8262+(-0.081549--0.052173))+0-0-0</f>
        <v>558.344424</v>
      </c>
      <c r="W195" s="3">
        <f>541+(92.3-35)+(0+(0-0))+0-0-0</f>
        <v>598.29999999999995</v>
      </c>
      <c r="X195" s="3">
        <f>542+(189.3-35)+(-0.27642+(-0.096543--0.01785))+0-0-0</f>
        <v>695.94488699999999</v>
      </c>
      <c r="Y195" s="3">
        <f>542+(229.8-34)+(-0.55284+(-0.234396--0.03468))+0-0-0</f>
        <v>737.04744399999993</v>
      </c>
      <c r="Z195" s="3">
        <f>542+(225.4-33)+(-1.10568+(-0.459816--0.06732))+0-0-0</f>
        <v>732.90182400000003</v>
      </c>
      <c r="AA195" s="3">
        <f>544+(213.4-33)+(-0.83232+(-0.326502--0.05049))+0-0-0</f>
        <v>723.29166799999996</v>
      </c>
      <c r="AB195" s="3">
        <f>477+(234.6-33)+(-1.21635+(-0.59823--0.08415))+0-0-0</f>
        <v>676.86957000000007</v>
      </c>
      <c r="AC195" s="3">
        <f>423+(254.5-32)+(-1.07865+(-0.648975--0.0816))+0-0-0</f>
        <v>643.85397499999999</v>
      </c>
      <c r="AD195">
        <f t="shared" si="3"/>
        <v>13788.542447</v>
      </c>
      <c r="AE195" s="3">
        <f>541+(219.2-34)+(0+(0-0))+0-0-0</f>
        <v>726.2</v>
      </c>
    </row>
    <row r="196" spans="1:31" s="2" customFormat="1" x14ac:dyDescent="0.25">
      <c r="A196">
        <v>89</v>
      </c>
      <c r="B196">
        <v>7</v>
      </c>
      <c r="C196">
        <v>10</v>
      </c>
      <c r="D196">
        <v>1</v>
      </c>
      <c r="E196">
        <v>1</v>
      </c>
      <c r="F196" s="3">
        <f>430+(217.2-33)+(-1.3158+(-0.664632--0.10098))+0-0-0</f>
        <v>612.32054800000003</v>
      </c>
      <c r="G196" s="3">
        <f>430+(197.2-33)+(-0.6579+(-0.301716--0.05049))+0-0-0</f>
        <v>593.29087400000003</v>
      </c>
      <c r="H196" s="3">
        <f>419+(173.8-33)+(-1.06845+(-0.44319--0.08415))+0-0-0</f>
        <v>558.37250999999992</v>
      </c>
      <c r="I196" s="3">
        <f>415+(156.6-33)+(-0.21165+(-0.079866--0.01683))+0-0-0</f>
        <v>538.32531400000005</v>
      </c>
      <c r="J196" s="3">
        <f>416+(125.9-32)+(-0.42432+(-0.128418--0.03264))+0-0-0</f>
        <v>509.37990199999996</v>
      </c>
      <c r="K196" s="3">
        <f>416+(85.1-31)+(-0.84864+(-0.173604--0.06324))+0-0-0</f>
        <v>469.14099600000003</v>
      </c>
      <c r="L196" s="3">
        <f>407+(70.2-30)+(0.20757+(0.035802-0.0153))+0-0-0</f>
        <v>447.42807199999999</v>
      </c>
      <c r="M196" s="3">
        <f>406+(97.9-26)+(-0.20706+(-0.049929--0.01326))+0-0-0</f>
        <v>477.656271</v>
      </c>
      <c r="N196" s="3">
        <f>406+(134.6-26)+(-0.20706+(-0.068646--0.01326))+0-0-0</f>
        <v>514.33755400000007</v>
      </c>
      <c r="O196" s="3">
        <f>397+(171.7-26)+(-0.20247+(-0.087567--0.01326))+0-0-0</f>
        <v>542.42322300000001</v>
      </c>
      <c r="P196" s="3">
        <f>395+(215.6-29)+(0+(0-0))+0-0-0</f>
        <v>581.6</v>
      </c>
      <c r="Q196" s="3">
        <f>418+(232-29)+(0.21318+(0.11832-0.01479))+0-0-0</f>
        <v>621.31670999999994</v>
      </c>
      <c r="R196" s="3">
        <f>402+(281.6-31)+(0+(0-0))+0-0-0</f>
        <v>652.6</v>
      </c>
      <c r="S196" s="3">
        <f>466+(223.6-34)+(0+(0-0))+0-0-0</f>
        <v>655.6</v>
      </c>
      <c r="T196" s="3">
        <f>476+(190.3-34)+(-0.97104+(-0.388212--0.06936))+0-0-0</f>
        <v>631.01010799999995</v>
      </c>
      <c r="U196" s="3">
        <f>477+(158.1-34)+(-1.45962+(-0.483786--0.10404))+0-0-0</f>
        <v>599.26063399999998</v>
      </c>
      <c r="V196" s="3">
        <f>510+(127.2-34)+(-1.3005+(-0.32436--0.0867))+0-0-0</f>
        <v>601.6618400000001</v>
      </c>
      <c r="W196" s="3">
        <f>511+(159.5-33)+(0.78183+(0.244035-0.05049))+0-0-0</f>
        <v>638.47537499999999</v>
      </c>
      <c r="X196" s="3">
        <f>536+(232.8-33)+(-0.27336+(-0.118728--0.01683))+0-0-0</f>
        <v>735.42474199999992</v>
      </c>
      <c r="Y196" s="3">
        <f>557+(251.2-33)+(-1.42035+(-0.64056--0.08415))+0-0-0</f>
        <v>773.22324000000003</v>
      </c>
      <c r="Z196" s="3">
        <f>564+(247.2-34)+(-0.86292+(-0.378216--0.05202))+0-0-0</f>
        <v>776.01088400000003</v>
      </c>
      <c r="AA196" s="3">
        <f>574+(227.5-34)+(-1.17096+(-0.4641--0.06936))+0-0-0</f>
        <v>765.93430000000001</v>
      </c>
      <c r="AB196" s="3">
        <f>575+(187.6-34)+(-1.173+(-0.382704--0.06936))+0-0-0</f>
        <v>727.11365599999999</v>
      </c>
      <c r="AC196" s="3">
        <f>551+(173.9-34)+(-1.68606+(-0.532134--0.10404))+0-0-0</f>
        <v>688.78584599999999</v>
      </c>
      <c r="AD196">
        <f t="shared" si="3"/>
        <v>14710.692599</v>
      </c>
      <c r="AE196" s="3">
        <f>559+(252.3-33)+(0+(0-0))+0-0-0</f>
        <v>778.3</v>
      </c>
    </row>
    <row r="197" spans="1:31" s="2" customFormat="1" x14ac:dyDescent="0.25">
      <c r="A197">
        <v>89</v>
      </c>
      <c r="B197">
        <v>7</v>
      </c>
      <c r="C197">
        <v>11</v>
      </c>
      <c r="D197">
        <v>2</v>
      </c>
      <c r="E197">
        <v>1</v>
      </c>
      <c r="F197" s="3">
        <f>503+(158.8-34)+(-0.51306+(-0.161976--0.03468))+0-0-0</f>
        <v>627.15964399999996</v>
      </c>
      <c r="G197" s="3">
        <f>492+(145.2-34)+(-0.25092+(-0.074052--0.01734))+0-0-0</f>
        <v>602.89236800000003</v>
      </c>
      <c r="H197" s="3">
        <f>448+(164.7-34)+(-1.1424+(-0.419985--0.0867))+0-0-0</f>
        <v>577.22431500000005</v>
      </c>
      <c r="I197" s="3">
        <f>412+(172.9-34)+(-0.42024+(-0.176358--0.03468))+0-0-0</f>
        <v>550.33808199999999</v>
      </c>
      <c r="J197" s="3">
        <f>412+(146.9-35)+(0+(0-0))+0-0-0</f>
        <v>523.9</v>
      </c>
      <c r="K197" s="3">
        <f>412+(118-35)+(-0.21012+(-0.06018--0.01785))+0-0-0</f>
        <v>494.74754999999999</v>
      </c>
      <c r="L197" s="3">
        <f>403+(103.9-33)+(0.20553+(0.052989-0.01683))+0-0-0</f>
        <v>474.14168899999999</v>
      </c>
      <c r="M197" s="3">
        <f>393+(143.2-31)+(-0.20043+(-0.073032--0.01581))+0-0-0</f>
        <v>504.94234799999998</v>
      </c>
      <c r="N197" s="3">
        <f>397+(170-29)+(0.20247+(0.0867-0.01479))+0-0-0</f>
        <v>538.27437999999995</v>
      </c>
      <c r="O197" s="3">
        <f>424+(167.6-29)+(-0.43248+(-0.170952--0.02958))+0-0-0</f>
        <v>562.02614800000003</v>
      </c>
      <c r="P197" s="3">
        <f>481+(136.1-29)+(-0.49062+(-0.138822--0.02958))+0-0-0</f>
        <v>587.50013799999999</v>
      </c>
      <c r="Q197" s="3">
        <f>481+(171.1-30)+(0.24531+(0.087261-0.0153))+0-0-0</f>
        <v>622.41727100000003</v>
      </c>
      <c r="R197" s="3">
        <f>476+(225.9-34)+(-0.24276+(-0.115209--0.01734))+0-0-0</f>
        <v>667.55937099999994</v>
      </c>
      <c r="S197" s="3">
        <f>476+(246.9-34)+(0.24276+(0.125919-0.01734))+0-0-0</f>
        <v>689.25133900000003</v>
      </c>
      <c r="T197" s="3">
        <f>476+(225.8-34)+(-0.72828+(-0.345474--0.05202))+0-0-0</f>
        <v>666.77826599999992</v>
      </c>
      <c r="U197" s="3">
        <f>477+(182.6-34)+(-1.21635+(-0.46563--0.0867))+0-0-0</f>
        <v>624.00472000000002</v>
      </c>
      <c r="V197" s="3">
        <f>486+(134.3-34)+(-0.74358+(-0.205479--0.05202))+0-0-0</f>
        <v>585.402961</v>
      </c>
      <c r="W197" s="3">
        <f>502+(164.2-33)+(-1.2801+(-0.41871--0.08415))+0-0-0</f>
        <v>631.58534000000009</v>
      </c>
      <c r="X197" s="3">
        <f>554+(217.3-33)+(-0.56508+(-0.221646--0.03366))+0-0-0</f>
        <v>737.54693399999996</v>
      </c>
      <c r="Y197" s="3">
        <f>593+(210.1-34)+(-0.90729+(-0.321453--0.05202))+0-0-0</f>
        <v>767.92327699999998</v>
      </c>
      <c r="Z197" s="3">
        <f>592+(209.7-34)+(-1.20768+(-0.427788--0.06936))+0-0-0</f>
        <v>766.13389200000006</v>
      </c>
      <c r="AA197" s="3">
        <f>594+(199.5-35)+(-1.21176+(-0.40698--0.0714))+0-0-0</f>
        <v>756.95266000000004</v>
      </c>
      <c r="AB197" s="3">
        <f>555+(198.9-35)+(-1.41525+(-0.507195--0.08925))+0-0-0</f>
        <v>717.06680499999993</v>
      </c>
      <c r="AC197" s="3">
        <f>546+(177.3-34)+(-0.83538+(-0.271269--0.05202))+0-0-0</f>
        <v>688.24537099999998</v>
      </c>
      <c r="AD197">
        <f t="shared" si="3"/>
        <v>14964.014869000002</v>
      </c>
      <c r="AE197" s="3">
        <f>593+(199-33)+(0+(0-0))+0-0-0</f>
        <v>759</v>
      </c>
    </row>
    <row r="198" spans="1:31" s="2" customFormat="1" x14ac:dyDescent="0.25">
      <c r="A198">
        <v>89</v>
      </c>
      <c r="B198">
        <v>7</v>
      </c>
      <c r="C198">
        <v>12</v>
      </c>
      <c r="D198">
        <v>3</v>
      </c>
      <c r="E198">
        <v>5</v>
      </c>
      <c r="F198" s="3">
        <f>524+(154.4-34)+(-0.53448+(-0.157488--0.03468))+0-0-0</f>
        <v>643.74271199999998</v>
      </c>
      <c r="G198" s="3">
        <f>490+(158.6-34)+(-0.4998+(-0.161772--0.03468))+0-0-0</f>
        <v>613.97310800000002</v>
      </c>
      <c r="H198" s="3">
        <f>490+(129.4-35)+(-1.2495+(-0.32997--0.08925))+0-0-0</f>
        <v>582.90977999999996</v>
      </c>
      <c r="I198" s="3">
        <f>493+(106-35)+(0.50286+(0.10812-0.0357))+0-0-0</f>
        <v>564.57528000000002</v>
      </c>
      <c r="J198" s="3">
        <f>488+(79.7-35)+(-0.24888+(-0.040647--0.01785))+0-0-0</f>
        <v>532.42832300000009</v>
      </c>
      <c r="K198" s="3">
        <f>487+(41.6-52.7)+(-0.49674+(-0.042432--0.053754))+0-0-0</f>
        <v>475.414582</v>
      </c>
      <c r="L198" s="3">
        <f>433+(58.8-28)+(-0.88332+(-0.119952--0.05712))+0-0-0</f>
        <v>462.85384800000003</v>
      </c>
      <c r="M198" s="3">
        <f>408+(97.7-26)+(0.41616+(0.099654-0.02652))+0-0-0</f>
        <v>480.18929399999996</v>
      </c>
      <c r="N198" s="3">
        <f>409+(123.5-24)+(0+(0-0))+0-0-0</f>
        <v>508.5</v>
      </c>
      <c r="O198" s="3">
        <f>421+(141.4-24)+(-0.64413+(-0.216342--0.03672))+0-0-0</f>
        <v>537.57624799999996</v>
      </c>
      <c r="P198" s="3">
        <f>438+(157-24)+(0+(0-0))+0-0-0</f>
        <v>571</v>
      </c>
      <c r="Q198" s="3">
        <f>490+(142.4-28)+(0+(0-0))+0-0-0</f>
        <v>604.4</v>
      </c>
      <c r="R198" s="3">
        <f>483+(189.7-34)+(-0.49266+(-0.193494--0.03468))+0-0-0</f>
        <v>638.04852600000004</v>
      </c>
      <c r="S198" s="3">
        <f>483+(205.8-34)+(0.49266+(0.209916-0.03468))+0-0-0</f>
        <v>655.467896</v>
      </c>
      <c r="T198" s="3">
        <f>484+(188.6-34)+(-0.74052+(-0.288558--0.05202))+0-0-0</f>
        <v>637.62294199999997</v>
      </c>
      <c r="U198" s="3">
        <f>485+(151.1-34)+(-1.4841+(-0.462366--0.10404))+0-0-0</f>
        <v>600.25757399999998</v>
      </c>
      <c r="V198" s="3">
        <f>488+(104-34)+(-1.2444+(-0.2652--0.0867))+0-0-0</f>
        <v>556.57709999999997</v>
      </c>
      <c r="W198" s="3">
        <f>512+(155.1-34)+(0+(0-0))+0-0-0</f>
        <v>633.1</v>
      </c>
      <c r="X198" s="3">
        <f>513+(258.2-35)+(-0.78489+(-0.395046--0.05355))+0-0-0</f>
        <v>735.07361400000002</v>
      </c>
      <c r="Y198" s="3">
        <f>514+(291-34)+(-0.78642+(-0.44523--0.05202))+0-0-0</f>
        <v>769.82037000000003</v>
      </c>
      <c r="Z198" s="3">
        <f>514+(299.6-34)+(-0.78642+(-0.458388--0.05202))+0-0-0</f>
        <v>778.40721200000007</v>
      </c>
      <c r="AA198" s="3">
        <f>517+(286.6-34)+(-1.31835+(-0.73083--0.0867))+0-0-0</f>
        <v>767.63751999999999</v>
      </c>
      <c r="AB198" s="3">
        <f>518+(246.6-34)+(-0.79254+(-0.377298--0.05202))+0-0-0</f>
        <v>729.48218199999997</v>
      </c>
      <c r="AC198" s="3">
        <f>462+(267-33)+(-0.70686+(-0.40851--0.05049))+0-0-0</f>
        <v>694.93511999999998</v>
      </c>
      <c r="AD198">
        <f t="shared" si="3"/>
        <v>14773.993231</v>
      </c>
      <c r="AE198" s="3">
        <f>513+(292.1-34)+(0+(0-0))+0-0-0</f>
        <v>771.1</v>
      </c>
    </row>
    <row r="199" spans="1:31" s="2" customFormat="1" x14ac:dyDescent="0.25">
      <c r="A199">
        <v>89</v>
      </c>
      <c r="B199">
        <v>7</v>
      </c>
      <c r="C199">
        <v>13</v>
      </c>
      <c r="D199">
        <v>4</v>
      </c>
      <c r="E199">
        <v>1</v>
      </c>
      <c r="F199" s="3">
        <f>433+(252.3-32)+(0+(0-0))+0-0-0</f>
        <v>653.29999999999995</v>
      </c>
      <c r="G199" s="3">
        <f>433+(220.7-34)+(-0.22083+(-0.112557--0.01734))+0-0-0</f>
        <v>619.38395300000002</v>
      </c>
      <c r="H199" s="3">
        <f>433+(189.3-35)+(0.22083+(0.096543-0.01785))+0-0-0</f>
        <v>587.59952299999998</v>
      </c>
      <c r="I199" s="3">
        <f>433+(164.9-35)+(0.88332+(0.336396-0.0714))+0-0-0</f>
        <v>564.048316</v>
      </c>
      <c r="J199" s="3">
        <f>433+(136.7-35)+(-0.66249+(-0.209151--0.05355))+0-0-0</f>
        <v>533.88190900000006</v>
      </c>
      <c r="K199" s="3">
        <f>433+(90.5-34)+(-0.66249+(-0.138465--0.05202))+0-0-0</f>
        <v>488.75106499999998</v>
      </c>
      <c r="L199" s="3">
        <f>419+(73.4-33)+(0+(0-0))+0-0-0</f>
        <v>459.4</v>
      </c>
      <c r="M199" s="3">
        <f>411+(110.4-33)+(0.20961+(0.056304-0.01683))+0-0-0</f>
        <v>488.64908399999996</v>
      </c>
      <c r="N199" s="3">
        <f>401+(154.6-32)+(0+(0-0))+0-0-0</f>
        <v>523.6</v>
      </c>
      <c r="O199" s="3">
        <f>473+(117.5-32)+(-0.72369+(-0.179775--0.04896))+0-0-0</f>
        <v>557.64549499999998</v>
      </c>
      <c r="P199" s="3">
        <f>473+(141.6-33)+(0.24123+(0.072216-0.01683))+0-0-0</f>
        <v>581.89661599999999</v>
      </c>
      <c r="Q199" s="3">
        <f>473+(177.9-33)+(0+(0-0))+0-0-0</f>
        <v>617.9</v>
      </c>
      <c r="R199" s="3">
        <f>515+(175.1-34)+(-0.26265+(-0.089301--0.01734))+0-0-0</f>
        <v>655.76538900000003</v>
      </c>
      <c r="S199" s="3">
        <f>527+(179.8-34)+(0.80631+(0.275094-0.05202))+0-0-0</f>
        <v>673.829384</v>
      </c>
      <c r="T199" s="3">
        <f>529+(154.2-33)+(-0.26979+(-0.078642--0.01683))+0-0-0</f>
        <v>649.86839800000007</v>
      </c>
      <c r="U199" s="3">
        <f>532+(113.4-33)+(-1.08528+(-0.231336--0.06732))+0-0-0</f>
        <v>611.15070400000002</v>
      </c>
      <c r="V199" s="3">
        <f>534+(70.1-36)+(-0.81702+(-0.107253--0.05508))+0-0-0</f>
        <v>567.23080700000003</v>
      </c>
      <c r="W199" s="3">
        <f>556+(125.1-34)+(-0.85068+(-0.191403--0.05202))+0-0-0</f>
        <v>646.10993700000006</v>
      </c>
      <c r="X199" s="3">
        <f>558+(225.7-35)+(0.28458+(0.115107-0.01785))+0-0-0</f>
        <v>749.08183700000006</v>
      </c>
      <c r="Y199" s="3">
        <f>558+(259.2-35)+(-1.13832+(-0.528768--0.0714))+0-0-0</f>
        <v>780.60431200000005</v>
      </c>
      <c r="Z199" s="3">
        <f>558+(257.6-35)+(0.28458+(0.131376-0.01785))+0-0-0</f>
        <v>780.99810600000001</v>
      </c>
      <c r="AA199" s="3">
        <f>559+(243.9-34)+(-0.85527+(-0.373167--0.05202))+0-0-0</f>
        <v>767.72358299999996</v>
      </c>
      <c r="AB199" s="3">
        <f>534+(229.5-34)+(-1.08936+(-0.46818--0.06936))+0-0-0</f>
        <v>728.01181999999994</v>
      </c>
      <c r="AC199" s="3">
        <f>516+(210.1-34)+(-0.52632+(-0.214302--0.03468))+0-0-0</f>
        <v>691.39405799999997</v>
      </c>
      <c r="AD199">
        <f t="shared" si="3"/>
        <v>14977.824295999997</v>
      </c>
      <c r="AE199" s="3">
        <f>555+(250.5-34)+(0+(0-0))+0-0-0</f>
        <v>771.5</v>
      </c>
    </row>
    <row r="200" spans="1:31" s="2" customFormat="1" x14ac:dyDescent="0.25">
      <c r="A200">
        <v>89</v>
      </c>
      <c r="B200">
        <v>7</v>
      </c>
      <c r="C200">
        <v>14</v>
      </c>
      <c r="D200">
        <v>5</v>
      </c>
      <c r="E200">
        <v>1</v>
      </c>
      <c r="F200" s="3">
        <f>517+(168-33)+(-0.52734+(-0.17136--0.03366))+0-0-0</f>
        <v>651.33496000000002</v>
      </c>
      <c r="G200" s="3">
        <f>445+(211.7-33)+(-0.22695+(-0.107967--0.01683))+0-0-0</f>
        <v>623.38191300000005</v>
      </c>
      <c r="H200" s="3">
        <f>438+(185.1-33)+(-0.67014+(-0.283203--0.05049))+0-0-0</f>
        <v>589.19714699999997</v>
      </c>
      <c r="I200" s="3">
        <f>438+(160.2-34)+(-0.44676+(-0.163404--0.03468))+0-0-0</f>
        <v>563.62451600000009</v>
      </c>
      <c r="J200" s="3">
        <f>435+(136.9-34)+(-0.22185+(-0.069819--0.01734))+0-0-0</f>
        <v>537.62567100000001</v>
      </c>
      <c r="K200" s="3">
        <f>435+(86-34)+(-0.8874+(-0.17544--0.06936))+0-0-0</f>
        <v>486.00652000000002</v>
      </c>
      <c r="L200" s="3">
        <f>426+(65.1-32)+(-0.21726+(-0.033201--0.01632))+0-0-0</f>
        <v>458.865859</v>
      </c>
      <c r="M200" s="3">
        <f>425+(92.4-30)+(0.21675+(0.047124-0.0153))+0-0-0</f>
        <v>487.648574</v>
      </c>
      <c r="N200" s="3">
        <f>422+(123.4-30)+(0.43044+(0.125868-0.0306))+0-0-0</f>
        <v>515.92570799999999</v>
      </c>
      <c r="O200" s="3">
        <f>422+(152.5-30)+(-0.21522+(-0.077775--0.0153))+0-0-0</f>
        <v>544.22230500000001</v>
      </c>
      <c r="P200" s="3">
        <f>422+(181.2-31)+(-0.64566+(-0.277236--0.04743))+0-0-0</f>
        <v>571.32453400000009</v>
      </c>
      <c r="Q200" s="3">
        <f>422+(222.8-33)+(0+(0-0))+0-0-0</f>
        <v>611.79999999999995</v>
      </c>
      <c r="R200" s="3">
        <f>412+(276-33)+(0.21012+(0.14076-0.01683))+0-0-0</f>
        <v>655.33405000000005</v>
      </c>
      <c r="S200" s="3">
        <f>501+(197.5-33)+(0.25551+(0.100725-0.01683))+0-0-0</f>
        <v>665.83940500000006</v>
      </c>
      <c r="T200" s="3">
        <f>531+(149.2-34)+(-1.35405+(-0.38046--0.0867))+0-0-0</f>
        <v>644.55219</v>
      </c>
      <c r="U200" s="3">
        <f>512+(134.6-33)+(-0.52224+(-0.137292--0.03366))+0-0-0</f>
        <v>612.97412800000006</v>
      </c>
      <c r="V200" s="3">
        <f>478+(146.4-33)+(-0.97512+(-0.298656--0.06732))+0-0-0</f>
        <v>590.19354399999997</v>
      </c>
      <c r="W200" s="3">
        <f>455+(224.9-33)+(-0.23205+(-0.114699--0.01683))+0-0-0</f>
        <v>646.57008099999996</v>
      </c>
      <c r="X200" s="3">
        <f>576+(205.6-34)+(-0.58752+(-0.209712--0.03468))+0-0-0</f>
        <v>746.83744799999999</v>
      </c>
      <c r="Y200" s="3">
        <f>578+(220.5-34)+(-1.17912+(-0.44982--0.06936))+0-0-0</f>
        <v>762.94042000000002</v>
      </c>
      <c r="Z200" s="3">
        <f>541+(269-34)+(-0.55182+(-0.27438--0.03468))+0-0-0</f>
        <v>775.20848000000001</v>
      </c>
      <c r="AA200" s="3">
        <f>516+(261.7-34)+(-1.84212+(-0.934269--0.12138))+0-0-0</f>
        <v>741.0449910000001</v>
      </c>
      <c r="AB200" s="3">
        <f>490+(254.1-34)+(-0.4998+(-0.259182--0.03468))+0-0-0</f>
        <v>709.37569800000006</v>
      </c>
      <c r="AC200" s="3">
        <f>554+(151.4-34)+(-1.13016+(-0.308856--0.06936))+0-0-0</f>
        <v>670.03034400000001</v>
      </c>
      <c r="AD200">
        <f t="shared" si="3"/>
        <v>14861.858486000001</v>
      </c>
      <c r="AE200" s="3">
        <f>596+(216.8-34)+(0+(0-0))+0-0-0</f>
        <v>778.8</v>
      </c>
    </row>
    <row r="201" spans="1:31" s="2" customFormat="1" x14ac:dyDescent="0.25">
      <c r="A201">
        <v>89</v>
      </c>
      <c r="B201">
        <v>7</v>
      </c>
      <c r="C201">
        <v>15</v>
      </c>
      <c r="D201">
        <v>6</v>
      </c>
      <c r="E201">
        <v>1</v>
      </c>
      <c r="F201" s="3">
        <f>542+(119.8-33)+(-0.82926+(-0.183294--0.05049))+0-0-0</f>
        <v>627.8379359999999</v>
      </c>
      <c r="G201" s="3">
        <f>523+(81.9-33)+(-0.26673+(-0.041769--0.01683))+0-0-0</f>
        <v>571.60833100000002</v>
      </c>
      <c r="H201" s="3">
        <f>510+(88.9-34)+(-0.7803+(-0.136017--0.05202))+0-0-0</f>
        <v>564.03570300000001</v>
      </c>
      <c r="I201" s="3">
        <f>510+(67.8-34)+(-1.3005+(-0.17289--0.0867))+0-0-0</f>
        <v>542.41330999999991</v>
      </c>
      <c r="J201" s="3">
        <f>434+(128-35)+(-0.22134+(-0.06528--0.01785))+0-0-0</f>
        <v>526.73122999999998</v>
      </c>
      <c r="K201" s="3">
        <f>432+(85.6-35)+(-0.66096+(-0.130968--0.05355))+0-0-0</f>
        <v>481.86162200000001</v>
      </c>
      <c r="L201" s="3">
        <f>430+(62.6-33)+(0.4386+(0.063852-0.03366))+0-0-0</f>
        <v>460.06879200000003</v>
      </c>
      <c r="M201" s="3">
        <f>430+(89.1-32)+(0.2193+(0.045441-0.01632))+0-0-0</f>
        <v>487.34842100000003</v>
      </c>
      <c r="N201" s="3">
        <f>424+(128.9-32)+(-0.21624+(-0.065739--0.01632))+0-0-0</f>
        <v>520.63434099999995</v>
      </c>
      <c r="O201" s="3">
        <f>434+(138.2-33)+(0+(0-0))+0-0-0</f>
        <v>539.20000000000005</v>
      </c>
      <c r="P201" s="3">
        <f>501+(103.7-34)+(-0.25551+(-0.052887--0.01734))+0-0-0</f>
        <v>570.40894300000002</v>
      </c>
      <c r="Q201" s="3">
        <f>500+(138.8-34)+(-0.255+(-0.070788--0.01734))+0-0-0</f>
        <v>604.49155199999996</v>
      </c>
      <c r="R201" s="3">
        <f>480+(187.6-33)+(-0.7344+(-0.287028--0.05049))+0-0-0</f>
        <v>633.62906199999998</v>
      </c>
      <c r="S201" s="3">
        <f>487+(177.4-33)+(-0.49674+(-0.180948--0.03366))+0-0-0</f>
        <v>630.75597199999993</v>
      </c>
      <c r="T201" s="3">
        <f>516+(135.2-32)+(-1.05264+(-0.275808--0.06528))+0-0-0</f>
        <v>617.93683200000009</v>
      </c>
      <c r="U201" s="3">
        <f>493+(121.5-31)+(-1.76001+(-0.433755--0.11067))+0-0-0</f>
        <v>581.41690500000004</v>
      </c>
      <c r="V201" s="3">
        <f>502+(98.2-32)+(-0.51204+(-0.100164--0.03264))+0-0-0</f>
        <v>567.62043600000004</v>
      </c>
      <c r="W201" s="3">
        <f>515+(158.8-33)+(-0.5253+(-0.161976--0.03366))+0-0-0</f>
        <v>640.1463839999999</v>
      </c>
      <c r="X201" s="3">
        <f>529+(237.9-34)+(-0.80937+(-0.363987--0.05202))+0-0-0</f>
        <v>731.77866299999994</v>
      </c>
      <c r="Y201" s="3">
        <f>535+(261.4-34)+(-0.81855+(-0.399942--0.05202))+0-0-0</f>
        <v>761.23352799999998</v>
      </c>
      <c r="Z201" s="3">
        <f>557+(226.2-33)+(0.28407+(0.115362-0.01683))+0-0-0</f>
        <v>750.58260200000007</v>
      </c>
      <c r="AA201" s="3">
        <f>574+(197.4-32)+(-1.17096+(-0.402696--0.06528))+0-0-0</f>
        <v>737.89162399999998</v>
      </c>
      <c r="AB201" s="3">
        <f>556+(186.6-32)+(-0.56712+(-0.190332--0.03264))+0-0-0</f>
        <v>709.87518799999998</v>
      </c>
      <c r="AC201" s="3">
        <f>487+(228.2-32)+(-0.99348+(-0.465528--0.06528))+0-0-0</f>
        <v>681.80627200000004</v>
      </c>
      <c r="AD201">
        <f t="shared" si="3"/>
        <v>14541.313648999998</v>
      </c>
      <c r="AE201" s="3">
        <f>527+(239-34)+(0+(0-0))+0-0-0</f>
        <v>732</v>
      </c>
    </row>
    <row r="202" spans="1:31" s="2" customFormat="1" x14ac:dyDescent="0.25">
      <c r="A202">
        <v>89</v>
      </c>
      <c r="B202">
        <v>7</v>
      </c>
      <c r="C202">
        <v>16</v>
      </c>
      <c r="D202">
        <v>7</v>
      </c>
      <c r="E202">
        <v>1</v>
      </c>
      <c r="F202" s="3">
        <f>474+(189.3-32)+(-0.72522+(-0.289629--0.04896))+0-0-0</f>
        <v>630.33411100000001</v>
      </c>
      <c r="G202" s="3">
        <f>474+(155.1-33)+(-0.24174+(-0.079101--0.01683))+0-0-0</f>
        <v>595.79598900000008</v>
      </c>
      <c r="H202" s="3">
        <f>474+(126.8-33)+(0+(0-0))+0-0-0</f>
        <v>567.79999999999995</v>
      </c>
      <c r="I202" s="3">
        <f>474+(100-34)+(0.24174+(0.051-0.01734))+0-0-0</f>
        <v>540.27539999999999</v>
      </c>
      <c r="J202" s="3">
        <f>474+(76.1-35)+(0+(0-0))+0-0-0</f>
        <v>515.1</v>
      </c>
      <c r="K202" s="3">
        <f>474+(36.8-41.1)+(-1.2087+(-0.09384--0.104805))+0-0-0</f>
        <v>468.50226499999997</v>
      </c>
      <c r="L202" s="3">
        <f>430+(41.9-30)+(-1.0965+(-0.106845--0.0765))+13.1-0-0</f>
        <v>453.873155</v>
      </c>
      <c r="M202" s="3">
        <f>428+(40.6-30)+(0.65484+(0.062118-0.0459))+27-0-0</f>
        <v>466.27105800000004</v>
      </c>
      <c r="N202" s="3">
        <f>425+(62.8-33)+(-0.4335+(-0.064056--0.03366))+27-0-0</f>
        <v>481.33610400000003</v>
      </c>
      <c r="O202" s="3">
        <f>425+(87.1-30)+(-0.4335+(-0.088842--0.0306))+27-0-0</f>
        <v>508.60825800000003</v>
      </c>
      <c r="P202" s="3">
        <f>424+(127-29)+(-0.64872+(-0.19431--0.04437))+27-0-0</f>
        <v>548.20133999999996</v>
      </c>
      <c r="Q202" s="3">
        <f>424+(191.8-31)+(-0.21624+(-0.097818--0.01581))+0.9-0-0</f>
        <v>585.40175199999999</v>
      </c>
      <c r="R202" s="3">
        <f>413+(207.5-34)+(-0.63189+(-0.317475--0.05202))+7.7-0-0</f>
        <v>593.30265500000007</v>
      </c>
      <c r="S202" s="3">
        <f>413+(217.8-34)+(0+(0-0))+0-0-0</f>
        <v>596.79999999999995</v>
      </c>
      <c r="T202" s="3">
        <f>413+(211.3-34)+(-0.63189+(-0.323289--0.05202))+0-0-0</f>
        <v>589.39684099999999</v>
      </c>
      <c r="U202" s="3">
        <f>413+(180.8-33)+(-0.84252+(-0.368832--0.06732))+0-0-0</f>
        <v>559.65596799999992</v>
      </c>
      <c r="V202" s="3">
        <f>416+(142.8-33)+(-0.84864+(-0.291312--0.06732))+0-0-0</f>
        <v>524.72736799999996</v>
      </c>
      <c r="W202" s="3">
        <f>440+(200.2-34)+(-1.122+(-0.51051--0.0867))+0-0-0</f>
        <v>604.65419000000009</v>
      </c>
      <c r="X202" s="3">
        <f>547+(180.3-35)+(-1.11588+(-0.367812--0.0714))+0-0-0</f>
        <v>690.88770799999998</v>
      </c>
      <c r="Y202" s="3">
        <f>560+(195.6-34)+(-0.5712+(-0.199512--0.03468))+0-0-0</f>
        <v>720.863968</v>
      </c>
      <c r="Z202" s="3">
        <f>561+(194.1-34)+(-0.85833+(-0.296973--0.05202))+0-0-0</f>
        <v>719.99671699999999</v>
      </c>
      <c r="AA202" s="3">
        <f>562+(182.5-34)+(-0.85986+(-0.279225--0.05202))+0-0-0</f>
        <v>709.41293499999995</v>
      </c>
      <c r="AB202" s="3">
        <f>532+(188.2-34)+(-1.3566+(-0.47991--0.0867))+0-0-0</f>
        <v>684.45019000000002</v>
      </c>
      <c r="AC202" s="3">
        <f>518+(162.7-34)+(-0.52836+(-0.165954--0.03468))+0-0-0</f>
        <v>646.04036600000006</v>
      </c>
      <c r="AD202">
        <f t="shared" si="3"/>
        <v>14001.688337999998</v>
      </c>
      <c r="AE202" s="3">
        <f>558+(211-33)+(0+(0-0))+0-0-0</f>
        <v>736</v>
      </c>
    </row>
    <row r="203" spans="1:31" s="2" customFormat="1" x14ac:dyDescent="0.25">
      <c r="A203">
        <v>89</v>
      </c>
      <c r="B203">
        <v>7</v>
      </c>
      <c r="C203">
        <v>17</v>
      </c>
      <c r="D203">
        <v>1</v>
      </c>
      <c r="E203">
        <v>1</v>
      </c>
      <c r="F203" s="3">
        <f>501+(151.3-33)+(-1.27755+(-0.385815--0.08415))+0-0-0</f>
        <v>617.72078499999998</v>
      </c>
      <c r="G203" s="3">
        <f>498+(122.5-33)+(-1.2699+(-0.312375--0.08415))+0-0-0</f>
        <v>586.00187500000004</v>
      </c>
      <c r="H203" s="3">
        <f>498+(95.6-34)+(-0.25398+(-0.048756--0.01734))+0-0-0</f>
        <v>559.31460400000003</v>
      </c>
      <c r="I203" s="3">
        <f>499+(72.2-34)+(-1.01796+(-0.147288--0.06936))+0-0-0</f>
        <v>536.1041120000001</v>
      </c>
      <c r="J203" s="3">
        <f>498+(60.1-41)+(-0.25398+(-0.030651--0.02091))+0-0-0</f>
        <v>516.83627899999999</v>
      </c>
      <c r="K203" s="3">
        <f>465+(50.5-38.2)+(0+(0-0))+0-0-0</f>
        <v>477.3</v>
      </c>
      <c r="L203" s="3">
        <f>411+(69.1-32)+(0.20961+(0.035241-0.01632))+0-0-0</f>
        <v>448.328531</v>
      </c>
      <c r="M203" s="3">
        <f>411+(92.4-31)+(-0.20961+(-0.047124--0.01581))+0-0-0</f>
        <v>472.15907599999997</v>
      </c>
      <c r="N203" s="3">
        <f>411+(127-31)+(-0.20961+(-0.06477--0.01581))+0-0-0</f>
        <v>506.74142999999998</v>
      </c>
      <c r="O203" s="3">
        <f>413+(151.7-31)+(-0.42126+(-0.154734--0.03162))+0-0-0</f>
        <v>533.1556260000001</v>
      </c>
      <c r="P203" s="3">
        <f>457+(126.1-30)+(-0.23307+(-0.064311--0.0153))+0-0-0</f>
        <v>552.81791900000007</v>
      </c>
      <c r="Q203" s="3">
        <f>494+(116.1-33)+(-0.50388+(-0.118422--0.03366))+0-0-0</f>
        <v>576.51135799999997</v>
      </c>
      <c r="R203" s="3">
        <f>488+(159.7-33)+(-0.24888+(-0.081447--0.01683))+0-0-0</f>
        <v>614.38650300000006</v>
      </c>
      <c r="S203" s="3">
        <f>509+(156.9-34)+(-0.51918+(-0.160038--0.03468))+0-0-0</f>
        <v>631.25546199999997</v>
      </c>
      <c r="T203" s="3">
        <f>545+(102.3-33)+(-0.5559+(-0.104346--0.03366))+0-0-0</f>
        <v>613.67341399999998</v>
      </c>
      <c r="U203" s="3">
        <f>557+(64.3-41)+(-1.13628+(-0.131172--0.08364))+0-0-0</f>
        <v>579.11618799999997</v>
      </c>
      <c r="V203" s="3">
        <f>496+(97.1-32)+(-1.51776+(-0.297126--0.09792))+0-0-0</f>
        <v>559.38303400000007</v>
      </c>
      <c r="W203" s="3">
        <f>444+(216.9-33)+(-0.45288+(-0.221238--0.03366))+1.5-0-0</f>
        <v>628.75954200000001</v>
      </c>
      <c r="X203" s="3">
        <f>555+(194.9-34)+(-0.84915+(-0.298197--0.05202))+0-0-0</f>
        <v>714.80467299999998</v>
      </c>
      <c r="Y203" s="3">
        <f>555+(229.3-34)+(-1.41525+(-0.584715--0.0867))+0-0-0</f>
        <v>748.38673499999993</v>
      </c>
      <c r="Z203" s="3">
        <f>555+(229-34)+(-0.84915+(-0.35037--0.05202))+0-0-0</f>
        <v>748.85249999999996</v>
      </c>
      <c r="AA203" s="3">
        <f>556+(212.5-34)+(-1.4178+(-0.541875--0.0867))+0-0-0</f>
        <v>732.627025</v>
      </c>
      <c r="AB203" s="3">
        <f>557+(178.6-34)+(-1.42035+(-0.45543--0.0867))+0-0-0</f>
        <v>699.81092000000001</v>
      </c>
      <c r="AC203" s="3">
        <f>558+(131.5-34)+(0+(0-0))+0-0-0</f>
        <v>655.5</v>
      </c>
      <c r="AD203">
        <f t="shared" si="3"/>
        <v>14309.547591</v>
      </c>
      <c r="AE203" s="3">
        <f>555+(224.6-34)+(0+(0-0))+0-0-0</f>
        <v>745.6</v>
      </c>
    </row>
    <row r="204" spans="1:31" s="2" customFormat="1" x14ac:dyDescent="0.25">
      <c r="A204">
        <v>89</v>
      </c>
      <c r="B204">
        <v>7</v>
      </c>
      <c r="C204">
        <v>18</v>
      </c>
      <c r="D204">
        <v>2</v>
      </c>
      <c r="E204">
        <v>1</v>
      </c>
      <c r="F204" s="3">
        <f>528+(119.4-33)+(0+(0-0))+0-0-0</f>
        <v>614.4</v>
      </c>
      <c r="G204" s="3">
        <f>515+(114.3-33)+(0+(0-0))+0-0-0</f>
        <v>596.29999999999995</v>
      </c>
      <c r="H204" s="3">
        <f>444+(150.2-32)+(0+(0-0))+0-0-0</f>
        <v>562.20000000000005</v>
      </c>
      <c r="I204" s="3">
        <f>437+(132.1-32)+(0+(0-0))+0-0-0</f>
        <v>537.1</v>
      </c>
      <c r="J204" s="3">
        <f>436+(101-31)+(0+(0-0))+0-0-0</f>
        <v>506</v>
      </c>
      <c r="K204" s="3">
        <f>436+(54.4-32)+(0+(0-0))+0-0-0</f>
        <v>458.4</v>
      </c>
      <c r="L204" s="3">
        <f>431+(37.9-32)+(0+(0-0))+0-0-0</f>
        <v>436.9</v>
      </c>
      <c r="M204" s="3">
        <f>427+(84.8-30)+(0+(0-0))+0-0-0</f>
        <v>481.8</v>
      </c>
      <c r="N204" s="3">
        <f>429+(100.8-29)+(0+(0-0))+0-0-0</f>
        <v>500.8</v>
      </c>
      <c r="O204" s="3">
        <f>427+(131.3-28)+(0+(0-0))+0-0-0</f>
        <v>530.29999999999995</v>
      </c>
      <c r="P204" s="3">
        <f>475+(111.9-27)+(0+(0-0))+0-0-0</f>
        <v>559.9</v>
      </c>
      <c r="Q204" s="3">
        <f>495+(120.7-28)+(0+(0-0))+0-0-0</f>
        <v>587.70000000000005</v>
      </c>
      <c r="R204" s="3">
        <f>487+(160.2-31)+(-0.24837+(-0.081702--0.01581))+0-0-0</f>
        <v>615.88573800000006</v>
      </c>
      <c r="S204" s="3">
        <f>487+(176.4-32)+(-0.49674+(-0.179928--0.03264))+0-0-0</f>
        <v>630.75597199999993</v>
      </c>
      <c r="T204" s="3">
        <f>487+(162.7-31)+(-0.49674+(-0.165954--0.03162))+0-0-0</f>
        <v>618.06892600000003</v>
      </c>
      <c r="U204" s="3">
        <f>487+(124.5-30)+(-0.99348+(-0.25398--0.0612))+0-0-0</f>
        <v>580.31374000000005</v>
      </c>
      <c r="V204" s="3">
        <f>500+(92.4-30)+(-0.765+(-0.141372--0.0459))+0-0-0</f>
        <v>561.53952800000002</v>
      </c>
      <c r="W204" s="3">
        <f>536+(117.7-31)+(0+(0-0))+0-0-0</f>
        <v>622.70000000000005</v>
      </c>
      <c r="X204" s="3">
        <f>582+(151.2-33)+(-0.29682+(-0.077112--0.01683))+0-0-0</f>
        <v>699.84289799999999</v>
      </c>
      <c r="Y204" s="3">
        <f>583+(170.6-34)+(-0.89199+(-0.261018--0.05202))+0-0-0</f>
        <v>718.49901199999999</v>
      </c>
      <c r="Z204" s="3">
        <f>583+(173.5-34)+(-1.78398+(-0.53091--0.10404))+0-0-0</f>
        <v>720.28914999999995</v>
      </c>
      <c r="AA204" s="3">
        <f>581+(158.3-34)+(-0.59262+(-0.161466--0.03468))+0-0-0</f>
        <v>704.58059399999991</v>
      </c>
      <c r="AB204" s="3">
        <f>586+(122.6-33)+(-1.79316+(-0.375156--0.10098))+0-0-0</f>
        <v>673.53266400000007</v>
      </c>
      <c r="AC204" s="3">
        <f>588+(74-33)+(-1.4994+(-0.1887--0.08415))+0-0-0</f>
        <v>627.39604999999995</v>
      </c>
      <c r="AD204">
        <f t="shared" si="3"/>
        <v>14145.204272000001</v>
      </c>
      <c r="AE204" s="3">
        <f>582+(166.2-34)+(0+(0-0))+0-0-0</f>
        <v>714.2</v>
      </c>
    </row>
    <row r="205" spans="1:31" s="2" customFormat="1" x14ac:dyDescent="0.25">
      <c r="A205">
        <v>89</v>
      </c>
      <c r="B205">
        <v>7</v>
      </c>
      <c r="C205">
        <v>19</v>
      </c>
      <c r="D205">
        <v>3</v>
      </c>
      <c r="E205">
        <v>1</v>
      </c>
      <c r="F205" s="3">
        <f>584+(45.9-39.5)+(0.29784+(0.023409-0.020145))+0-0-0</f>
        <v>590.70110399999999</v>
      </c>
      <c r="G205" s="3">
        <f>571+(39-53.5)+(-1.16484+(-0.07956--0.10914))+0-0-0</f>
        <v>555.36473999999998</v>
      </c>
      <c r="H205" s="3">
        <f>570+(29.2-71.9)+(-1.1628+(-0.059568--0.146676))+0-0-0</f>
        <v>526.22430799999995</v>
      </c>
      <c r="I205" s="3">
        <f>569+(21.3-79.6)+(-0.58038+(-0.021726--0.081192))+0-0-0</f>
        <v>510.17908599999998</v>
      </c>
      <c r="J205" s="3">
        <f>569+(14.1-88.3)+(-0.58038+(-0.014382--0.090066))+0-0-0</f>
        <v>494.29530399999999</v>
      </c>
      <c r="K205" s="3">
        <f>567+(4.7-107.5)+(0.28917+(0.002397-0.054825))+0-0-0</f>
        <v>464.43674199999998</v>
      </c>
      <c r="L205" s="3">
        <f>499+(14.7-71)+(-0.50898+(-0.014994--0.07242))+0-0-0</f>
        <v>442.248446</v>
      </c>
      <c r="M205" s="3">
        <f>488+(24.8-49)+(0.24888+(0.012648-0.02499))+0-0-0</f>
        <v>464.03653800000001</v>
      </c>
      <c r="N205" s="3">
        <f>481+(34.1-32.1)+(-0.24531+(-0.017391--0.016371))+0-0-0</f>
        <v>482.75367</v>
      </c>
      <c r="O205" s="3">
        <f>478+(59-28)+(0+(0-0))+0-0-0</f>
        <v>509</v>
      </c>
      <c r="P205" s="3">
        <f>477+(76.5-29)+(0+(0-0))+0-0-0</f>
        <v>524.5</v>
      </c>
      <c r="Q205" s="3">
        <f>483+(103.8-32)+(0+(0-0))+0-0-0</f>
        <v>554.79999999999995</v>
      </c>
      <c r="R205" s="3">
        <f>518+(120.1-33)+(-0.52836+(-0.122502--0.03366))+0-0-0</f>
        <v>604.482798</v>
      </c>
      <c r="S205" s="3">
        <f>549+(106.4-33)+(0+(0-0))+0-0-0</f>
        <v>622.4</v>
      </c>
      <c r="T205" s="3">
        <f>597+(53.5-35.5)+(-0.60894+(-0.05457--0.03621))+0-0-0</f>
        <v>614.37270000000001</v>
      </c>
      <c r="U205" s="3">
        <f>600+(36.1-53.9)+(-1.224+(-0.073644--0.109956))+0-0-0</f>
        <v>581.01231200000007</v>
      </c>
      <c r="V205" s="3">
        <f>586+(35.6-55.1)+(-1.19544+(-0.072624--0.112404))+0-0-0</f>
        <v>565.34433999999999</v>
      </c>
      <c r="W205" s="3">
        <f>583+(82.5-34)+(0.59466+(0.08415-0.03468))+0-0-0</f>
        <v>632.14413000000002</v>
      </c>
      <c r="X205" s="3">
        <f>618+(119.6-34)+(-0.94554+(-0.182988--0.05202))+0-0-0</f>
        <v>702.52349200000003</v>
      </c>
      <c r="Y205" s="3">
        <f>634+(130.3-35)+(-1.29336+(-0.265812--0.0714))+0-0-0</f>
        <v>727.812228</v>
      </c>
      <c r="Z205" s="3">
        <f>591+(135.1-35)+(-0.90423+(-0.206703--0.05355))+16-0-0</f>
        <v>706.04261700000006</v>
      </c>
      <c r="AA205" s="3">
        <f>554+(141.8-35)+(-0.56508+(-0.144636--0.0357))+24-0-0</f>
        <v>684.1259839999999</v>
      </c>
      <c r="AB205" s="3">
        <f>540+(149.9-34)+(-0.5508+(-0.152898--0.03468))+4.4-0-0</f>
        <v>659.6309819999999</v>
      </c>
      <c r="AC205" s="3">
        <f>515+(128.4-34)+(-0.26265+(-0.065484--0.01734))+0-0-0</f>
        <v>609.08920599999999</v>
      </c>
      <c r="AD205">
        <f t="shared" si="3"/>
        <v>13827.520727000003</v>
      </c>
      <c r="AE205" s="3">
        <f>622+(128.1-34)+(0+(0-0))+0-0-0</f>
        <v>716.1</v>
      </c>
    </row>
    <row r="206" spans="1:31" s="2" customFormat="1" x14ac:dyDescent="0.25">
      <c r="A206">
        <v>89</v>
      </c>
      <c r="B206">
        <v>7</v>
      </c>
      <c r="C206">
        <v>20</v>
      </c>
      <c r="D206">
        <v>4</v>
      </c>
      <c r="E206">
        <v>1</v>
      </c>
      <c r="F206" s="3">
        <f>510+(98.9-33)+(-1.0404+(-0.201756--0.06732))+0-0-0</f>
        <v>574.72516399999995</v>
      </c>
      <c r="G206" s="3">
        <f>510+(74.6-32)+(-0.2601+(-0.038046--0.01632))+0-0-0</f>
        <v>552.318174</v>
      </c>
      <c r="H206" s="3">
        <f>511+(40.7-31)+(-0.78183+(-0.062271--0.04743))+0-0-0</f>
        <v>519.9033290000001</v>
      </c>
      <c r="I206" s="3">
        <f>513+(21.2-31)+(-0.78489+(-0.032436--0.04743))+0-0-0</f>
        <v>502.43010399999997</v>
      </c>
      <c r="J206" s="3">
        <f>512+(19.2-39.5)+(-0.52224+(-0.019584--0.04029))+0-0-0</f>
        <v>491.198466</v>
      </c>
      <c r="K206" s="3">
        <f>511+(12.6-63.9)+(0+(0-0))+0-0-0</f>
        <v>459.7</v>
      </c>
      <c r="L206" s="3">
        <f>474+(14.2-50)+(0+(0-0))+0-0-0</f>
        <v>438.2</v>
      </c>
      <c r="M206" s="3">
        <f>441+(51.6-31)+(0.22491+(0.026316-0.01581))+0-0-0</f>
        <v>461.83541600000001</v>
      </c>
      <c r="N206" s="3">
        <f>441+(73-31)+(0+(0-0))+0-0-0</f>
        <v>483</v>
      </c>
      <c r="O206" s="3">
        <f>441+(98-30)+(0+(0-0))+0-0-0</f>
        <v>509</v>
      </c>
      <c r="P206" s="3">
        <f>441+(117-30)+(-1.12455+(-0.29835--0.0765))+0-0-0</f>
        <v>526.65359999999998</v>
      </c>
      <c r="Q206" s="3">
        <f>517+(86.1-31)+(0+(0-0))+0-0-0</f>
        <v>572.1</v>
      </c>
      <c r="R206" s="3">
        <f>575+(70.4-76)+(0+(0-0))+0-0-0</f>
        <v>569.4</v>
      </c>
      <c r="S206" s="3">
        <f>578+(81.5-40)+(0+(0-0))+0-0-0</f>
        <v>619.5</v>
      </c>
      <c r="T206" s="3">
        <f>578+(70.6-49.4)+(-1.4739+(-0.18003--0.12597))+0-0-0</f>
        <v>597.67204000000004</v>
      </c>
      <c r="U206" s="3">
        <f>578+(54.2-68.2)+(-0.58956+(-0.055284--0.069564))+0-0-0</f>
        <v>563.42471999999998</v>
      </c>
      <c r="V206" s="3">
        <f>547+(58-34.3)+(-1.67382+(-0.17748--0.104958))+0-0-0</f>
        <v>568.95365800000002</v>
      </c>
      <c r="W206" s="3">
        <f>533+(120-33)+(-1.08732+(-0.2448--0.06732))+0-0-0</f>
        <v>618.73519999999996</v>
      </c>
      <c r="X206" s="3">
        <f>603+(141.3-34)+(-1.23012+(-0.288252--0.06936))+0-0-0</f>
        <v>708.85098799999992</v>
      </c>
      <c r="Y206" s="3">
        <f>605+(161.3-34)+(-0.92565+(-0.246789--0.05202))+0-0-0</f>
        <v>731.17958099999998</v>
      </c>
      <c r="Z206" s="3">
        <f>588+(201.9-33)+(-0.89964+(-0.308907--0.05049))+0-0-0</f>
        <v>755.74194299999999</v>
      </c>
      <c r="AA206" s="3">
        <f>530+(224.7-33)+(-1.6218+(-0.687582--0.10098))+0-0-0</f>
        <v>719.49159800000007</v>
      </c>
      <c r="AB206" s="3">
        <f>530+(181.6-32)+(-1.0812+(-0.370464--0.06528))+0-0-0</f>
        <v>678.213616</v>
      </c>
      <c r="AC206" s="3">
        <f>517+(158.2-32)+(-1.31835+(-0.40341--0.0816))+0-0-0</f>
        <v>641.55984000000001</v>
      </c>
      <c r="AD206">
        <f t="shared" si="3"/>
        <v>13863.787437000001</v>
      </c>
      <c r="AE206" s="3">
        <f>605+(166.2-34)+(0+(0-0))+0-0-0</f>
        <v>737.2</v>
      </c>
    </row>
    <row r="207" spans="1:31" s="2" customFormat="1" x14ac:dyDescent="0.25">
      <c r="A207">
        <v>89</v>
      </c>
      <c r="B207">
        <v>7</v>
      </c>
      <c r="C207">
        <v>21</v>
      </c>
      <c r="D207">
        <v>5</v>
      </c>
      <c r="E207">
        <v>1</v>
      </c>
      <c r="F207" s="3">
        <f>498+(135.1-34)+(-0.25398+(-0.068901--0.01734))+0-0-0</f>
        <v>598.79445900000007</v>
      </c>
      <c r="G207" s="3">
        <f>494+(122.2-34)+(-0.75582+(-0.186966--0.05202))+0-0-0</f>
        <v>581.30923400000006</v>
      </c>
      <c r="H207" s="3">
        <f>495+(96-34)+(-0.75735+(-0.14688--0.05202))+0-0-0</f>
        <v>556.14778999999999</v>
      </c>
      <c r="I207" s="3">
        <f>436+(128.9-35)+(-0.66708+(-0.197217--0.05355))+0-0-0</f>
        <v>529.08925299999999</v>
      </c>
      <c r="J207" s="3">
        <f>413+(133.3-35)+(0+(0-0))+0-0-0</f>
        <v>511.3</v>
      </c>
      <c r="K207" s="3">
        <f>413+(87-23)+(-0.84252+(-0.17748--0.04692))+0-0-0</f>
        <v>476.02692000000002</v>
      </c>
      <c r="L207" s="3">
        <f>407+(59.4-31)+(-0.62271+(-0.090882--0.04743))+0-0-0</f>
        <v>434.73383799999999</v>
      </c>
      <c r="M207" s="3">
        <f>404+(78.1-32)+(0.41208+(0.079662-0.03264))+0-0-0</f>
        <v>450.559102</v>
      </c>
      <c r="N207" s="3">
        <f>406+(74.5-8)+(-0.41412+(-0.07599--0.00816))+4.9-0-0</f>
        <v>476.91804999999999</v>
      </c>
      <c r="O207" s="3">
        <f>487+(43.2-1.4)+(-0.74511+(-0.066096--0.002142))+8-0-0</f>
        <v>535.99093599999992</v>
      </c>
      <c r="P207" s="3">
        <f>521+(58.8-26)+(-0.79713+(-0.089964--0.03978))+0.4-0-0</f>
        <v>553.35268599999995</v>
      </c>
      <c r="Q207" s="3">
        <f>576+(53.1-37.6)+(0.29376+(0.027081-0.019176))+0-0-0</f>
        <v>591.80166499999996</v>
      </c>
      <c r="R207" s="3">
        <f>580+(74.5-33)+(-1.7748+(-0.22797--0.10098))+0-0-0</f>
        <v>619.59820999999999</v>
      </c>
      <c r="S207" s="3">
        <f>581+(90.2-34)+(-0.29631+(-0.046002--0.01734))+0-0-0</f>
        <v>636.87502800000004</v>
      </c>
      <c r="T207" s="3">
        <f>577+(67-36.7)+(-0.58854+(-0.06834--0.037434))+0-0-0</f>
        <v>606.68055399999992</v>
      </c>
      <c r="U207" s="3">
        <f>583+(47.1-49.4)+(-0.59466+(-0.048042--0.050388))+0-0-0</f>
        <v>580.10768600000006</v>
      </c>
      <c r="V207" s="3">
        <f>606+(32.7-56.7)+(-1.23624+(-0.066708--0.115668))+0-0-0</f>
        <v>580.81272000000001</v>
      </c>
      <c r="W207" s="3">
        <f>607+(63.5-33)+(-0.30957+(-0.032385--0.01683))+0-0-0</f>
        <v>637.17487500000004</v>
      </c>
      <c r="X207" s="3">
        <f>607+(124.5-34)+(-1.23828+(-0.25398--0.06936))+0-0-0</f>
        <v>696.07709999999997</v>
      </c>
      <c r="Y207" s="3">
        <f>596+(153.1-33)+(-1.21584+(-0.312324--0.06732))+0-0-0</f>
        <v>714.63915600000007</v>
      </c>
      <c r="Z207" s="3">
        <f>598+(152.4-33)+(-1.5249+(-0.38862--0.08415))+0-0-0</f>
        <v>715.57062999999994</v>
      </c>
      <c r="AA207" s="3">
        <f>551+(164-34)+(-0.84303+(-0.25092--0.05202))+0-0-0</f>
        <v>679.95807000000002</v>
      </c>
      <c r="AB207" s="3">
        <f>524+(153.2-35)+(-0.80172+(-0.234396--0.05355))+0-0-0</f>
        <v>641.21743400000003</v>
      </c>
      <c r="AC207" s="3">
        <f>522+(122.9-34)+(-1.3311+(-0.313395--0.0867))+0-0-0</f>
        <v>609.34220499999992</v>
      </c>
      <c r="AD207">
        <f t="shared" si="3"/>
        <v>14014.077601000001</v>
      </c>
      <c r="AE207" s="3">
        <f>607+(145.2-34)+(0+(0-0))+0-0-0</f>
        <v>718.2</v>
      </c>
    </row>
    <row r="208" spans="1:31" s="2" customFormat="1" x14ac:dyDescent="0.25">
      <c r="A208">
        <v>89</v>
      </c>
      <c r="B208">
        <v>7</v>
      </c>
      <c r="C208">
        <v>22</v>
      </c>
      <c r="D208">
        <v>6</v>
      </c>
      <c r="E208">
        <v>1</v>
      </c>
      <c r="F208" s="3">
        <f>527+(110.7-33)+(-1.88139+(-0.395199--0.11781))+0-0-0</f>
        <v>602.54122100000006</v>
      </c>
      <c r="G208" s="3">
        <f>527+(74.2-32)+(-0.53754+(-0.075684--0.03264))+0-0-0</f>
        <v>568.619416</v>
      </c>
      <c r="H208" s="3">
        <f>527+(45.2-32)+(-0.80631+(-0.069156--0.04896))+0-0-0</f>
        <v>539.37349400000005</v>
      </c>
      <c r="I208" s="3">
        <f>457+(94.9-30)+(-0.46614+(-0.096798--0.0306))+0-0-0</f>
        <v>521.367662</v>
      </c>
      <c r="J208" s="3">
        <f>443+(77.4-27)+(0.22593+(0.039474-0.01377))+0-0-0</f>
        <v>493.651634</v>
      </c>
      <c r="K208" s="3">
        <f>443+(45.7-27)+(-0.67779+(-0.069921--0.04131))+0-0-0</f>
        <v>460.99359899999996</v>
      </c>
      <c r="L208" s="3">
        <f>437+(35.2-28.5)+(-0.44574+(-0.035904--0.02907))+0-0-0</f>
        <v>443.24742599999996</v>
      </c>
      <c r="M208" s="3">
        <f>435+(49.9-26)+(0.4437+(0.050898-0.02652))+0-0-0</f>
        <v>459.36807799999997</v>
      </c>
      <c r="N208" s="3">
        <f>448+(77.1-34.7)+(-0.22848+(-0.039321--0.017697))+0-0-0</f>
        <v>490.14989599999996</v>
      </c>
      <c r="O208" s="3">
        <f>543+(65.8-97.8)+(0.27693+(0.033558-0.049878))+0-0-0</f>
        <v>511.26060999999999</v>
      </c>
      <c r="P208" s="3">
        <f>585+(64.2-107.5)+(-0.5967+(-0.065484--0.10965))+0-0-0</f>
        <v>541.14746600000001</v>
      </c>
      <c r="Q208" s="3">
        <f>583+(77.5-86.5)+(0.59466+(0.07905-0.08823))+0-0-0</f>
        <v>574.58547999999996</v>
      </c>
      <c r="R208" s="3">
        <f>573+(63.6-62)+(-2.04561+(-0.227052--0.22134))+0-0-0</f>
        <v>572.548678</v>
      </c>
      <c r="S208" s="3">
        <f>543+(138.1-31)+(-1.66158+(-0.422586--0.09486))+0-0-0</f>
        <v>648.11069399999997</v>
      </c>
      <c r="T208" s="3">
        <f>424+(206.6-29)+(-0.43248+(-0.210732--0.02958))+0-0-0</f>
        <v>600.98636799999997</v>
      </c>
      <c r="U208" s="3">
        <f>424+(162.7-29)+(-1.0812+(-0.414885--0.07395))+0-0-0</f>
        <v>556.27786500000002</v>
      </c>
      <c r="V208" s="3">
        <f>452+(137.6-29)+(0.23052+(0.070176-0.01479))+0-0-0</f>
        <v>560.88590599999998</v>
      </c>
      <c r="W208" s="3">
        <f>483+(161.3-33)+(-0.49266+(-0.164526--0.03366))+0-0-0</f>
        <v>610.67647399999998</v>
      </c>
      <c r="X208" s="3">
        <f>604+(133.8-34)+(-0.61608+(-0.136476--0.03468))+0-0-0</f>
        <v>703.08212399999991</v>
      </c>
      <c r="Y208" s="3">
        <f>605+(159.2-34)+(-1.2342+(-0.324768--0.06936))+0-0-0</f>
        <v>728.71039200000007</v>
      </c>
      <c r="Z208" s="3">
        <f>589+(164.2-34)+(-0.60078+(-0.167484--0.03468))+0-0-0</f>
        <v>718.46641600000009</v>
      </c>
      <c r="AA208" s="3">
        <f>590+(142.9-35)+(-1.5045+(-0.364395--0.08925))+0-0-0</f>
        <v>696.12035500000002</v>
      </c>
      <c r="AB208" s="3">
        <f>592+(118.1-34)+(-0.30192+(-0.060231--0.01734))+0-0-0</f>
        <v>675.75518899999997</v>
      </c>
      <c r="AC208" s="3">
        <f>574+(110.6-34)+(-1.75644+(-0.338436--0.10404))+0-0-0</f>
        <v>648.60916400000008</v>
      </c>
      <c r="AD208">
        <f t="shared" si="3"/>
        <v>13926.535607</v>
      </c>
      <c r="AE208" s="3">
        <f>603+(136.4-34)+(0+(0-0))+0-0-0</f>
        <v>705.4</v>
      </c>
    </row>
    <row r="209" spans="1:31" s="2" customFormat="1" x14ac:dyDescent="0.25">
      <c r="A209">
        <v>89</v>
      </c>
      <c r="B209">
        <v>7</v>
      </c>
      <c r="C209">
        <v>23</v>
      </c>
      <c r="D209">
        <v>7</v>
      </c>
      <c r="E209">
        <v>1</v>
      </c>
      <c r="F209" s="3">
        <f>550+(85.9-71)+(-0.561+(-0.087618--0.07242))+0-0-0</f>
        <v>564.323802</v>
      </c>
      <c r="G209" s="3">
        <f>550+(63.7-46.3)+(-0.8415+(-0.097461--0.070839))+0-0-0</f>
        <v>566.53187800000001</v>
      </c>
      <c r="H209" s="3">
        <f>552+(47.4-62.7)+(0+(0-0))+0-0-0</f>
        <v>536.70000000000005</v>
      </c>
      <c r="I209" s="3">
        <f>552+(38.5-77.4)+(-0.28152+(-0.019635--0.039474))+0-0-0</f>
        <v>512.83831900000007</v>
      </c>
      <c r="J209" s="3">
        <f>552+(25.2-91.1)+(0.28152+(0.012852-0.046461))+6.3-0-0</f>
        <v>492.64791100000002</v>
      </c>
      <c r="K209" s="3">
        <f>552+(7.8-90.4)+(-0.84456+(-0.011934--0.138312))+1.8-0-0</f>
        <v>470.48181799999998</v>
      </c>
      <c r="L209" s="3">
        <f>423+(29.6-26.9)+(-0.64719+(-0.045288--0.041157))+0-0-0</f>
        <v>425.04867899999999</v>
      </c>
      <c r="M209" s="3">
        <f>390+(60.4-0)+(0+(0-0))+0-0-0</f>
        <v>450.4</v>
      </c>
      <c r="N209" s="3">
        <f>388+(88-0)+(0+(0-0))+0-0-0</f>
        <v>476</v>
      </c>
      <c r="O209" s="3">
        <f>422+(80.9-0)+(-1.0761+(-0.206295-0))+0-0-0</f>
        <v>501.61760499999997</v>
      </c>
      <c r="P209" s="3">
        <f>511+(59.9-33.7)+(-1.04244+(-0.122196--0.068748))+0-0-0</f>
        <v>536.1041120000001</v>
      </c>
      <c r="Q209" s="3">
        <f>517+(82.3-6.7)+(-0.52734+(-0.083946--0.006834))+0-0-0</f>
        <v>591.99554799999999</v>
      </c>
      <c r="R209" s="3">
        <f>515+(82.3-9.1)+(-0.5253+(-0.083946--0.009282))+0-0-0</f>
        <v>587.60003600000005</v>
      </c>
      <c r="S209" s="3">
        <f>513+(88-12)+(0+(0-0))+0-0-0</f>
        <v>589</v>
      </c>
      <c r="T209" s="3">
        <f>514+(100.9-34)+(-0.26214+(-0.051459--0.01734))+0-0-0</f>
        <v>580.60374100000001</v>
      </c>
      <c r="U209" s="3">
        <f>514+(87.5-37)+(-1.04856+(-0.1785--0.07548))+0-0-0</f>
        <v>563.34842000000003</v>
      </c>
      <c r="V209" s="3">
        <f>480+(94.7-43)+(-0.4896+(-0.096594--0.04386))+0-0-0</f>
        <v>531.15766600000006</v>
      </c>
      <c r="W209" s="3">
        <f>406+(199.6-33)+(-0.82824+(-0.407184--0.06732))+0-0-0</f>
        <v>571.43189600000005</v>
      </c>
      <c r="X209" s="3">
        <f>523+(208.2-33)+(-0.53346+(-0.212364--0.03366))+0-0-0</f>
        <v>697.48783600000002</v>
      </c>
      <c r="Y209" s="3">
        <f>536+(205.9-33)+(-1.09344+(-0.420036--0.06732))+0-0-0</f>
        <v>707.453844</v>
      </c>
      <c r="Z209" s="3">
        <f>536+(221-33)+(0+(0-0))+0-0-0</f>
        <v>724</v>
      </c>
      <c r="AA209" s="3">
        <f>537+(208.5-33)+(-0.82161+(-0.319005--0.05049))+0-0-0</f>
        <v>711.40987500000006</v>
      </c>
      <c r="AB209" s="3">
        <f>538+(175.2-34)+(0+(0-0))+0-0-0</f>
        <v>679.2</v>
      </c>
      <c r="AC209" s="3">
        <f>539+(135.7-34)+(-1.64934+(-0.415242--0.10404))+0-0-0</f>
        <v>638.73945800000001</v>
      </c>
      <c r="AD209">
        <f t="shared" si="3"/>
        <v>13706.122444000001</v>
      </c>
      <c r="AE209" s="3">
        <f>533+(184.8-33)+(0+(0-0))+0-0-0</f>
        <v>684.8</v>
      </c>
    </row>
    <row r="210" spans="1:31" s="2" customFormat="1" x14ac:dyDescent="0.25">
      <c r="A210">
        <v>89</v>
      </c>
      <c r="B210">
        <v>7</v>
      </c>
      <c r="C210">
        <v>24</v>
      </c>
      <c r="D210">
        <v>1</v>
      </c>
      <c r="E210">
        <v>1</v>
      </c>
      <c r="F210" s="3">
        <f>491+(141.7-34)+(-1.25205+(-0.361335--0.0867))+0-0-0</f>
        <v>597.173315</v>
      </c>
      <c r="G210" s="3">
        <f>393+(237.4-34)+(-1.00215+(-0.60537--0.0867))+0-0-0</f>
        <v>594.87918000000002</v>
      </c>
      <c r="H210" s="3">
        <f>381+(176.2-33)+(-0.19431+(-0.089862--0.01683))+0-0-0</f>
        <v>523.93265800000006</v>
      </c>
      <c r="I210" s="3">
        <f>381+(165.7-32)+(0.19431+(0.084507-0.01632))+0-0-0</f>
        <v>514.9624970000001</v>
      </c>
      <c r="J210" s="3">
        <f>381+(159.8-33)+(-0.38862+(-0.162996--0.03366))+0-0-0</f>
        <v>507.28204399999998</v>
      </c>
      <c r="K210" s="3">
        <f>381+(97.4-13)+(-0.19431+(-0.049674--0.00663))+0-0-0</f>
        <v>465.162646</v>
      </c>
      <c r="L210" s="3">
        <f>357+(120.4-24)+(0.18207+(0.061404-0.01224))+0-0-0</f>
        <v>453.63123399999995</v>
      </c>
      <c r="M210" s="3">
        <f>348+(152.5-30)+(0.35496+(0.15555-0.0306))+0-0-0</f>
        <v>470.97991000000002</v>
      </c>
      <c r="N210" s="3">
        <f>354+(191.4-30)+(-0.18054+(-0.097614--0.0153))+0-0-0</f>
        <v>515.13714600000003</v>
      </c>
      <c r="O210" s="3">
        <f>482+(115.7-63.8)+(0+(0-0))+0-0-0</f>
        <v>533.9</v>
      </c>
      <c r="P210" s="3">
        <f>548+(96-65.1)+(0+(0-0))+0-0-0</f>
        <v>578.9</v>
      </c>
      <c r="Q210" s="3">
        <f>572+(78.5-42.7)+(-0.58344+(-0.08007--0.043554))+0-0-0</f>
        <v>607.18004399999995</v>
      </c>
      <c r="R210" s="3">
        <f>554+(107.3-34)+(-0.28254+(-0.054723--0.01734))+0-0-0</f>
        <v>626.98007699999994</v>
      </c>
      <c r="S210" s="3">
        <f>554+(112-33)+(0.28254+(0.05712-0.01683))+0-0-0</f>
        <v>633.32282999999995</v>
      </c>
      <c r="T210" s="3">
        <f>555+(88.3-48)+(0+(0-0))+0-0-0</f>
        <v>595.29999999999995</v>
      </c>
      <c r="U210" s="3">
        <f>559+(58.4-43)+(-0.57018+(-0.059568--0.04386))+0-0-0</f>
        <v>573.81411200000002</v>
      </c>
      <c r="V210" s="3">
        <f>584+(41.5-53.9)+(0.29784+(0.021165-0.027489))+0-0-0</f>
        <v>571.89151600000002</v>
      </c>
      <c r="W210" s="3">
        <f>597+(78.6-32)+(-0.30447+(-0.040086--0.01632))+0-0-0</f>
        <v>643.27176400000008</v>
      </c>
      <c r="X210" s="3">
        <f>669+(82.4-34)+(-1.70595+(-0.21012--0.0867))+0-0-0</f>
        <v>715.57062999999994</v>
      </c>
      <c r="Y210" s="3">
        <f>682+(86.2-34)+(0.34782+(0.043962-0.01734))+0-0-0</f>
        <v>734.57444200000009</v>
      </c>
      <c r="Z210" s="3">
        <f>684+(86.2-34)+(0+(0-0))+0-0-0</f>
        <v>736.2</v>
      </c>
      <c r="AA210" s="3">
        <f>681+(74-34)+(0+(0-0))+0-0-0</f>
        <v>721</v>
      </c>
      <c r="AB210" s="3">
        <f>660+(60.7-34)+(-1.3464+(-0.123828--0.06936))+0-0-0</f>
        <v>685.2991320000001</v>
      </c>
      <c r="AC210" s="3">
        <f>641+(53.9-40.9)+(-1.63455+(-0.137445--0.104295))+0-0-0</f>
        <v>652.33230000000003</v>
      </c>
      <c r="AD210">
        <f t="shared" si="3"/>
        <v>14252.677476999999</v>
      </c>
      <c r="AE210" s="3">
        <f>685+(72.7-44)+(0+(0-0))+0-0-0</f>
        <v>713.7</v>
      </c>
    </row>
    <row r="211" spans="1:31" s="2" customFormat="1" x14ac:dyDescent="0.25">
      <c r="A211">
        <v>89</v>
      </c>
      <c r="B211">
        <v>7</v>
      </c>
      <c r="C211">
        <v>25</v>
      </c>
      <c r="D211">
        <v>2</v>
      </c>
      <c r="E211">
        <v>1</v>
      </c>
      <c r="F211" s="3">
        <f>641+(25.7-74.6)+(-0.98073+(-0.039321--0.114138))+0-0-0</f>
        <v>591.19408699999997</v>
      </c>
      <c r="G211" s="3">
        <f>642+(17-95.4)+(-0.98226+(-0.02601--0.145962))+0-0-0</f>
        <v>562.73769200000004</v>
      </c>
      <c r="H211" s="3">
        <f>643+(7.9-112.8)+(-0.98379+(-0.012087--0.172584))+0-0-0</f>
        <v>537.27670699999999</v>
      </c>
      <c r="I211" s="3">
        <f>643+(0-127.9)+(-0.32793+(0--0.065229))+0-0-0</f>
        <v>514.83729900000003</v>
      </c>
      <c r="J211" s="3">
        <f>641+(0-150.1)+(0.32691+(0-0.076551))+0-0-0</f>
        <v>491.15035899999998</v>
      </c>
      <c r="K211" s="3">
        <f>641+(0-179.2)+(-0.32691+(0--0.091392))+0-0-0</f>
        <v>461.564482</v>
      </c>
      <c r="L211" s="3">
        <f>536+(0-100.8)+(-0.27336+(0--0.051408))+0-0-0</f>
        <v>434.978048</v>
      </c>
      <c r="M211" s="3">
        <f>507+(17.2-57.6)+(0.25857+(0.008772-0.029376))+0-0-0</f>
        <v>466.83796599999999</v>
      </c>
      <c r="N211" s="3">
        <f>532+(26.7-61.8)+(0.81396+(0.040851-0.094554))+0-0-0</f>
        <v>497.660257</v>
      </c>
      <c r="O211" s="3">
        <f>549+(27.1-63.4)+(0+(0-0))+0-0-0</f>
        <v>512.70000000000005</v>
      </c>
      <c r="P211" s="3">
        <f>597+(27.5-77.1)+(-0.30447+(-0.014025--0.039321))+0-0-0</f>
        <v>547.12082599999997</v>
      </c>
      <c r="Q211" s="3">
        <f>597+(52.1-55.6)+(-0.30447+(-0.026571--0.028356))+0-0-0</f>
        <v>593.197315</v>
      </c>
      <c r="R211" s="3">
        <f>577+(73.1-41)+(0+(0-0))+0-0-0</f>
        <v>609.1</v>
      </c>
      <c r="S211" s="3">
        <f>577+(91.8-39)+(-0.29427+(-0.046818--0.01989))+0-0-0</f>
        <v>629.47880199999997</v>
      </c>
      <c r="T211" s="3">
        <f>579+(81.3-44)+(0+(0-0))+0-0-0</f>
        <v>616.29999999999995</v>
      </c>
      <c r="U211" s="3">
        <f>581+(62-58.1)+(-0.88893+(-0.09486--0.088893))+0-0-0</f>
        <v>584.00510299999996</v>
      </c>
      <c r="V211" s="3">
        <f>610+(47.3-75.4)+(-0.6222+(-0.048246--0.076908))+0-0-0</f>
        <v>581.30646200000001</v>
      </c>
      <c r="W211" s="3">
        <f>630+(68.2-46)+(-0.3213+(-0.034782--0.02346))+0-0-0</f>
        <v>651.86737800000003</v>
      </c>
      <c r="X211" s="3">
        <f>633+(115.6-32)+(-0.96849+(-0.176868--0.04896))+0-0-0</f>
        <v>715.503602</v>
      </c>
      <c r="Y211" s="3">
        <f>633+(133.9-32)+(-1.29132+(-0.273156--0.06528))+0-0-0</f>
        <v>733.40080399999999</v>
      </c>
      <c r="Z211" s="3">
        <f>637+(124.4-34)+(-0.97461+(-0.190332--0.05202))+0-0-0</f>
        <v>726.28707799999995</v>
      </c>
      <c r="AA211" s="3">
        <f>639+(105.6-34)+(-0.32589+(-0.053856--0.01734))+0-0-0</f>
        <v>710.23759400000006</v>
      </c>
      <c r="AB211" s="3">
        <f>641+(81-34)+(-0.98073+(-0.12393--0.05202))+0-0-0</f>
        <v>686.94736</v>
      </c>
      <c r="AC211" s="3">
        <f>610+(60.7-34)+(-0.3111+(-0.030957--0.01734))+0-0-0</f>
        <v>636.37528300000008</v>
      </c>
      <c r="AD211">
        <f t="shared" si="3"/>
        <v>14092.064504000004</v>
      </c>
      <c r="AE211" s="3">
        <f>630+(127-31)+(0+(0-0))+0-0-0</f>
        <v>726</v>
      </c>
    </row>
    <row r="212" spans="1:31" s="2" customFormat="1" x14ac:dyDescent="0.25">
      <c r="A212">
        <v>89</v>
      </c>
      <c r="B212">
        <v>7</v>
      </c>
      <c r="C212">
        <v>26</v>
      </c>
      <c r="D212">
        <v>3</v>
      </c>
      <c r="E212">
        <v>1</v>
      </c>
      <c r="F212" s="3">
        <f>561+(69.9-34)+(-1.14444+(-0.142596--0.06936))+0-0-0</f>
        <v>595.68232399999999</v>
      </c>
      <c r="G212" s="3">
        <f>560+(44.1-33)+(0.2856+(0.022491-0.01683))+0-0-0</f>
        <v>571.39126099999999</v>
      </c>
      <c r="H212" s="3">
        <f>531+(50.6-32)+(-0.54162+(-0.051612--0.03264))+0-0-0</f>
        <v>549.03940799999998</v>
      </c>
      <c r="I212" s="3">
        <f>481+(67.1-31)+(-0.98124+(-0.136884--0.06324))+0-0-0</f>
        <v>516.04511600000001</v>
      </c>
      <c r="J212" s="3">
        <f>477+(49.2-31)+(0.72981+(0.075276-0.04743))+0-0-0</f>
        <v>495.95765599999999</v>
      </c>
      <c r="K212" s="3">
        <f>477+(18.5-37)+(-0.72981+(-0.028305--0.05661))+0-0-0</f>
        <v>457.798495</v>
      </c>
      <c r="L212" s="3">
        <f>470+(8.1-43.4)+(0.4794+(0.008262-0.044268))+0-0-0</f>
        <v>435.143394</v>
      </c>
      <c r="M212" s="3">
        <f>468+(25-32)+(0.23868+(0.01275-0.01632))+0-0-0</f>
        <v>461.23511000000002</v>
      </c>
      <c r="N212" s="3">
        <f>464+(52.5-31)+(0.47328+(0.05355-0.03162))+0-0-0</f>
        <v>485.99520999999999</v>
      </c>
      <c r="O212" s="3">
        <f>532+(25.2-46.3)+(0+(0-0))+0-0-0</f>
        <v>510.9</v>
      </c>
      <c r="P212" s="3">
        <f>563+(24.2-52)+(0+(0-0))+0-0-0</f>
        <v>535.20000000000005</v>
      </c>
      <c r="Q212" s="3">
        <f>605+(26.8-69.6)+(0+(0-0))+0-0-0</f>
        <v>562.20000000000005</v>
      </c>
      <c r="R212" s="3">
        <f>602+(50.7-44.3)+(0.61404+(0.051714-0.045186))+0-0-0</f>
        <v>609.02056800000003</v>
      </c>
      <c r="S212" s="3">
        <f>603+(62.5-41)+(0.30753+(0.031875-0.02091))+0-0-0</f>
        <v>624.81849499999998</v>
      </c>
      <c r="T212" s="3">
        <f>607+(51.7-51.2)+(-0.92871+(-0.079101--0.078336))+0-0-0</f>
        <v>606.57052499999998</v>
      </c>
      <c r="U212" s="3">
        <f>608+(33.8-73.6)+(-0.31008+(-0.017238--0.037536))+0-0-0</f>
        <v>567.9102180000001</v>
      </c>
      <c r="V212" s="3">
        <f>595+(30.1-61.1)+(-0.6069+(-0.030702--0.062322))+0-0-0</f>
        <v>563.42471999999998</v>
      </c>
      <c r="W212" s="3">
        <f>587+(91-34)+(0.29937+(0.04641-0.01734))+0-0-0</f>
        <v>644.32844</v>
      </c>
      <c r="X212" s="3">
        <f>638+(103.7-34)+(-0.97614+(-0.158661--0.05202))+0-0-0</f>
        <v>706.61721900000009</v>
      </c>
      <c r="Y212" s="3">
        <f>640+(124.8-34)+(0+(0-0))+0-0-0</f>
        <v>730.8</v>
      </c>
      <c r="Z212" s="3">
        <f>641+(119.1-34)+(0+(0-0))+0-0-0</f>
        <v>726.1</v>
      </c>
      <c r="AA212" s="3">
        <f>641+(92.1-34)+(-1.63455+(-0.234855--0.0867))+0-0-0</f>
        <v>697.31729500000006</v>
      </c>
      <c r="AB212" s="3">
        <f>643+(58.7-41)+(-0.65586+(-0.059874--0.04182))+0-0-0</f>
        <v>660.02608600000008</v>
      </c>
      <c r="AC212" s="3">
        <f>620+(44.2-46.9)+(-1.8972+(-0.135252--0.143514))+0-0-0</f>
        <v>615.4110619999999</v>
      </c>
      <c r="AD212">
        <f t="shared" si="3"/>
        <v>13928.932601999999</v>
      </c>
      <c r="AE212" s="3">
        <f>636+(104.5-34)+(0+(0-0))+0-0-0</f>
        <v>706.5</v>
      </c>
    </row>
    <row r="213" spans="1:31" s="2" customFormat="1" x14ac:dyDescent="0.25">
      <c r="A213">
        <v>89</v>
      </c>
      <c r="B213">
        <v>7</v>
      </c>
      <c r="C213">
        <v>27</v>
      </c>
      <c r="D213">
        <v>4</v>
      </c>
      <c r="E213">
        <v>1</v>
      </c>
      <c r="F213" s="3">
        <f>475+(152-34)+(-0.4845+(-0.15504--0.03468))+0-0-0</f>
        <v>592.39513999999997</v>
      </c>
      <c r="G213" s="3">
        <f>405+(182.2-34)+(-0.20655+(-0.092922--0.01734))+0-0-0</f>
        <v>552.917868</v>
      </c>
      <c r="H213" s="3">
        <f>406+(153.9-32)+(-0.62118+(-0.235467--0.04896))+0-0-0</f>
        <v>527.09231299999999</v>
      </c>
      <c r="I213" s="3">
        <f>406+(133.3-32)+(-0.20706+(-0.067983--0.01632))+0-0-0</f>
        <v>507.04127700000004</v>
      </c>
      <c r="J213" s="3">
        <f>405+(138.2-32)+(0.4131+(0.140964-0.03264))+0-0-0</f>
        <v>511.72142400000001</v>
      </c>
      <c r="K213" s="3">
        <f>406+(152.9-33)+(0.41412+(0.155958-0.03366))+0-0-0</f>
        <v>526.436418</v>
      </c>
      <c r="L213" s="3">
        <f>323+(141.9-33)+(0+(0-0))+0-0-0</f>
        <v>431.9</v>
      </c>
      <c r="M213" s="3">
        <f>322+(155.9-34)+(0.32844+(0.159018-0.03468))+0-0-0</f>
        <v>444.352778</v>
      </c>
      <c r="N213" s="3">
        <f>383+(112.4-34)+(0.19533+(0.057324-0.01734))+0-0-0</f>
        <v>461.63531399999999</v>
      </c>
      <c r="O213" s="3">
        <f>396+(141.4-34)+(0.80784+(0.288456-0.06936))+0-0-0</f>
        <v>504.42693599999996</v>
      </c>
      <c r="P213" s="3">
        <f>468+(102.6-41)+(-0.23868+(-0.052326--0.02091))+0-0-0</f>
        <v>529.32990400000006</v>
      </c>
      <c r="Q213" s="3">
        <f>516+(99.9-38.5)+(0.26316+(0.050949-0.019635))+0-0-0</f>
        <v>577.69447400000001</v>
      </c>
      <c r="R213" s="3">
        <f>513+(131.1-34)+(-1.30815+(-0.334305--0.0867))+0-0-0</f>
        <v>608.54424500000005</v>
      </c>
      <c r="S213" s="3">
        <f>514+(144.2-27)+(0+(0-0))+0-0-0</f>
        <v>631.20000000000005</v>
      </c>
      <c r="T213" s="3">
        <f>516+(115.4-21)+(-0.26316+(-0.058854--0.01071))+0-0-0</f>
        <v>610.08869600000003</v>
      </c>
      <c r="U213" s="3">
        <f>516+(85.6-26)+(-0.78948+(-0.130968--0.03978))+0-0-0</f>
        <v>574.71933200000001</v>
      </c>
      <c r="V213" s="3">
        <f>529+(63.2-32)+(0+(0-0))+0-0-0</f>
        <v>560.20000000000005</v>
      </c>
      <c r="W213" s="3">
        <f>533+(131.1-20)+(0.54366+(0.133722-0.0204))+0-0-0</f>
        <v>644.75698199999999</v>
      </c>
      <c r="X213" s="3">
        <f>533+(197-20)+(0+(0-0))+0-0-0</f>
        <v>710</v>
      </c>
      <c r="Y213" s="3">
        <f>534+(217.3-25)+(-0.27234+(-0.110823--0.01275))+0-0-0</f>
        <v>725.92958699999997</v>
      </c>
      <c r="Z213" s="3">
        <f>535+(206.9-25)+(-0.5457+(-0.211038--0.0255))+0-0-0</f>
        <v>716.16876200000002</v>
      </c>
      <c r="AA213" s="3">
        <f>536+(189.6-34)+(-0.54672+(-0.193392--0.03468))+0-0-0</f>
        <v>690.89456800000005</v>
      </c>
      <c r="AB213" s="3">
        <f>540+(149.2-34)+(-1.1016+(-0.304368--0.06936))+0-0-0</f>
        <v>653.86339200000009</v>
      </c>
      <c r="AC213" s="3">
        <f>540+(106.7-34)+(-0.8262+(-0.163251--0.05202))+0-0-0</f>
        <v>611.7625690000001</v>
      </c>
      <c r="AD213">
        <f t="shared" si="3"/>
        <v>13905.071979</v>
      </c>
      <c r="AE213" s="3">
        <f>532+(201.8-33)+(0+(0-0))+0-0-0</f>
        <v>700.8</v>
      </c>
    </row>
    <row r="214" spans="1:31" s="2" customFormat="1" x14ac:dyDescent="0.25">
      <c r="A214">
        <v>89</v>
      </c>
      <c r="B214">
        <v>7</v>
      </c>
      <c r="C214">
        <v>28</v>
      </c>
      <c r="D214">
        <v>5</v>
      </c>
      <c r="E214">
        <v>1</v>
      </c>
      <c r="F214" s="3">
        <f>541+(67.2-36)+(-1.65546+(-0.205632--0.11016))+0-0-0</f>
        <v>570.44906800000001</v>
      </c>
      <c r="G214" s="3">
        <f>540+(51.4-52.1)+(-0.5508+(-0.052428--0.053142))+0-0-0</f>
        <v>538.74991399999999</v>
      </c>
      <c r="H214" s="3">
        <f>539+(45.9-58.4)+(-0.82467+(-0.070227--0.089352))+0-0-0</f>
        <v>525.69445499999995</v>
      </c>
      <c r="I214" s="3">
        <f>527+(40.1-62.8)+(-0.53754+(-0.040902--0.064056))+0-0-0</f>
        <v>503.78561400000001</v>
      </c>
      <c r="J214" s="3">
        <f>458+(54.5-29)+(0.23358+(0.027795-0.01479))+0-0-0</f>
        <v>483.74658499999998</v>
      </c>
      <c r="K214" s="3">
        <f>459+(37.4-44.4)+(-0.23409+(-0.019074--0.022644))+0-0-0</f>
        <v>451.76947999999999</v>
      </c>
      <c r="L214" s="3">
        <f>385+(84-32)+(-0.98175+(-0.2142--0.0816))+0-0-0</f>
        <v>435.88565</v>
      </c>
      <c r="M214" s="3">
        <f>393+(87.2-31)+(0.40086+(0.088944-0.03162))+0-0-0</f>
        <v>449.65818400000001</v>
      </c>
      <c r="N214" s="3">
        <f>528+(55.8-113.6)+(0.26928+(0.028458-0.057936))+0-0-0</f>
        <v>470.43980199999999</v>
      </c>
      <c r="O214" s="3">
        <f>564+(46-98.3)+(0+(0-0))+0-0-0</f>
        <v>511.7</v>
      </c>
      <c r="P214" s="3">
        <f>541+(44.6-40)+(0.82773+(0.068238-0.0612))+0-0-0</f>
        <v>546.43476800000008</v>
      </c>
      <c r="Q214" s="3">
        <f>513+(83-32)+(-0.26163+(-0.04233--0.01632))+0-0-0</f>
        <v>563.71235999999999</v>
      </c>
      <c r="R214" s="3">
        <f>509+(116.4-32)+(-0.77877+(-0.178092--0.04896))+0-0-0</f>
        <v>592.49209799999994</v>
      </c>
      <c r="S214" s="3">
        <f>510+(125.7-34)+(0+(0-0))+0-0-0</f>
        <v>601.70000000000005</v>
      </c>
      <c r="T214" s="3">
        <f>511+(115.2-33)+(-0.26061+(-0.058752--0.01683))+0-0-0</f>
        <v>592.897468</v>
      </c>
      <c r="U214" s="3">
        <f>514+(89-32)+(-0.52428+(-0.09078--0.03264))+0-0-0</f>
        <v>570.41758000000004</v>
      </c>
      <c r="V214" s="3">
        <f>489+(88-31)+(-0.24939+(-0.04488--0.01581))+0-0-0</f>
        <v>545.72154</v>
      </c>
      <c r="W214" s="3">
        <f>481+(150.5-33)+(-0.73593+(-0.230265--0.05049))+0-0-0</f>
        <v>597.584295</v>
      </c>
      <c r="X214" s="3">
        <f>531+(163-34)+(-0.27081+(-0.08313--0.01734))+0-0-0</f>
        <v>659.66340000000002</v>
      </c>
      <c r="Y214" s="3">
        <f>532+(178.9-33)+(-0.54264+(-0.182478--0.03366))+0-0-0</f>
        <v>677.20854199999997</v>
      </c>
      <c r="Z214" s="3">
        <f>532+(170.5-33)+(-0.81396+(-0.260865--0.05049))+0-0-0</f>
        <v>668.47566500000005</v>
      </c>
      <c r="AA214" s="3">
        <f>534+(151.6-33)+(-0.27234+(-0.077316--0.01683))+0-0-0</f>
        <v>652.26717400000007</v>
      </c>
      <c r="AB214" s="3">
        <f>536+(120.1-32)+(-2.18688+(-0.490008--0.13056))+0-0-0</f>
        <v>621.55367200000001</v>
      </c>
      <c r="AC214" s="3">
        <f>538+(84.8-32)+(-0.82314+(-0.129744--0.04896))+0-0-0</f>
        <v>589.89607599999999</v>
      </c>
      <c r="AD214">
        <f t="shared" si="3"/>
        <v>13421.903389999999</v>
      </c>
      <c r="AE214" s="3">
        <f>526+(190.7-34)+(0+(0-0))+0-0-0</f>
        <v>682.7</v>
      </c>
    </row>
    <row r="215" spans="1:31" s="2" customFormat="1" x14ac:dyDescent="0.25">
      <c r="A215">
        <v>89</v>
      </c>
      <c r="B215">
        <v>7</v>
      </c>
      <c r="C215">
        <v>29</v>
      </c>
      <c r="D215">
        <v>6</v>
      </c>
      <c r="E215">
        <v>1</v>
      </c>
      <c r="F215" s="3">
        <f>541+(63.5-41.7)+(-1.10364+(-0.12954--0.085068))+0-0-0</f>
        <v>561.65188799999999</v>
      </c>
      <c r="G215" s="3">
        <f>541+(50.5-59.6)+(-0.82773+(-0.077265--0.091188))+0-0-0</f>
        <v>531.08619299999998</v>
      </c>
      <c r="H215" s="3">
        <f>543+(41.1-81.1)+(-0.55386+(-0.041922--0.082722))+0-0-0</f>
        <v>502.48694</v>
      </c>
      <c r="I215" s="3">
        <f>544+(32.4-94)+(0+(0-0))+0-0-0</f>
        <v>482.4</v>
      </c>
      <c r="J215" s="3">
        <f>543+(25.6-106.2)+(0+(0-0))+0-0-0</f>
        <v>462.4</v>
      </c>
      <c r="K215" s="3">
        <f>544+(14.5-117.8)+(-1.10976+(-0.02958--0.240312))+0-0-0</f>
        <v>439.800972</v>
      </c>
      <c r="L215" s="3">
        <f>539+(7.7-111.9)+(-0.27489+(-0.003927--0.057069))+0-0-0</f>
        <v>434.57825200000002</v>
      </c>
      <c r="M215" s="3">
        <f>534+(18.4-88.7)+(-0.27234+(-0.009384--0.045237))+0-0-0</f>
        <v>463.46351299999998</v>
      </c>
      <c r="N215" s="3">
        <f>524+(27.7-79.3)+(-0.53448+(-0.028254--0.080886))+0-0-0</f>
        <v>471.91815199999996</v>
      </c>
      <c r="O215" s="3">
        <f>516+(34.1-55.6)+(0.26316+(0.017391-0.028356))+0-0-0</f>
        <v>494.75219499999997</v>
      </c>
      <c r="P215" s="3">
        <f>492+(64.9-38.3)+(0.25092+(0.033099-0.019533))+0-0-0</f>
        <v>518.86448600000006</v>
      </c>
      <c r="Q215" s="3">
        <f>442+(128-31)+(-0.22542+(-0.06528--0.01581))+0-0-0</f>
        <v>538.72510999999997</v>
      </c>
      <c r="R215" s="3">
        <f>493+(100.3-32)+(-1.25715+(-0.255765--0.0816))+0-0-0</f>
        <v>559.86868499999991</v>
      </c>
      <c r="S215" s="3">
        <f>511+(94.1-33)+(0+(0-0))+0-0-0</f>
        <v>572.1</v>
      </c>
      <c r="T215" s="3">
        <f>513+(87-35)+(0.26163+(0.04437-0.01785))+0-0-0</f>
        <v>565.28814999999997</v>
      </c>
      <c r="U215" s="3">
        <f>516+(64.2-45.9)+(-1.3158+(-0.16371--0.117045))+0-0-0</f>
        <v>532.93753499999991</v>
      </c>
      <c r="V215" s="3">
        <f>524+(50.5-59.1)+(-1.06896+(-0.10302--0.120564))+0-0-0</f>
        <v>514.34858399999996</v>
      </c>
      <c r="W215" s="3">
        <f>526+(93-34)+(0.26826+(0.04743-0.01734))+0-0-0</f>
        <v>585.29835000000003</v>
      </c>
      <c r="X215" s="3">
        <f>528+(140-34)+(0.53856+(0.1428-0.03468))+0-0-0</f>
        <v>634.64667999999995</v>
      </c>
      <c r="Y215" s="3">
        <f>529+(157.2-34)+(-1.34895+(-0.40086--0.0867))+0-0-0</f>
        <v>650.53689000000008</v>
      </c>
      <c r="Z215" s="3">
        <f>530+(155.4-34)+(-1.0812+(-0.317016--0.06936))+0-0-0</f>
        <v>650.071144</v>
      </c>
      <c r="AA215" s="3">
        <f>532+(138.5-33)+(-0.54264+(-0.14127--0.03366))+0-0-0</f>
        <v>636.84974999999997</v>
      </c>
      <c r="AB215" s="3">
        <f>536+(106.8-32)+(-0.82008+(-0.163404--0.04896))+0-0-0</f>
        <v>609.86547599999994</v>
      </c>
      <c r="AC215" s="3">
        <f>539+(79.1-40)+(0+(0-0))+0-0-0</f>
        <v>578.1</v>
      </c>
      <c r="AD215">
        <f t="shared" si="3"/>
        <v>12992.038945000002</v>
      </c>
      <c r="AE215" s="3">
        <f>527+(140.8-34)+(0+(0-0))+0-0-0</f>
        <v>633.79999999999995</v>
      </c>
    </row>
    <row r="216" spans="1:31" s="2" customFormat="1" x14ac:dyDescent="0.25">
      <c r="A216">
        <v>89</v>
      </c>
      <c r="B216">
        <v>7</v>
      </c>
      <c r="C216">
        <v>30</v>
      </c>
      <c r="D216">
        <v>7</v>
      </c>
      <c r="E216">
        <v>1</v>
      </c>
      <c r="F216" s="3">
        <f>535+(63.3-54.1)+(0.27285+(0.032283-0.027591))+0-0-0</f>
        <v>544.47754200000008</v>
      </c>
      <c r="G216" s="3">
        <f>536+(50.7-72.4)+(-1.09344+(-0.103428--0.147696))+0-0-0</f>
        <v>513.25082799999996</v>
      </c>
      <c r="H216" s="3">
        <f>534+(42.9-85.3)+(-1.3617+(-0.109395--0.217515))+0-0-0</f>
        <v>490.34642000000002</v>
      </c>
      <c r="I216" s="3">
        <f>535+(33.3-93.5)+(-0.81855+(-0.050949--0.143055))+0-0-0</f>
        <v>474.073556</v>
      </c>
      <c r="J216" s="3">
        <f>535+(26-107)+(0+(0-0))+0-0-0</f>
        <v>454</v>
      </c>
      <c r="K216" s="3">
        <f>533+(20.1-123.7)+(0+(0-0))+0-0-0</f>
        <v>429.4</v>
      </c>
      <c r="L216" s="3">
        <f>438+(32.5-70.6)+(-0.67014+(-0.049725--0.108018))+0-0-0</f>
        <v>399.28815299999997</v>
      </c>
      <c r="M216" s="3">
        <f>380+(63.9-33)+(0.1938+(0.032589-0.01683))+0-0-0</f>
        <v>411.10955899999999</v>
      </c>
      <c r="N216" s="3">
        <f>379+(91.8-33)+(0+(0-0))+0-0-0</f>
        <v>437.8</v>
      </c>
      <c r="O216" s="3">
        <f>379+(116.4-33)+(0+(0-0))+0-0-0</f>
        <v>462.4</v>
      </c>
      <c r="P216" s="3">
        <f>400+(117.7-33)+(-0.612+(-0.180081--0.05049))+0-0-0</f>
        <v>483.95840899999996</v>
      </c>
      <c r="Q216" s="3">
        <f>446+(91.3-34)+(0+(0-0))+0-0-0</f>
        <v>503.3</v>
      </c>
      <c r="R216" s="3">
        <f>444+(107.9-32)+(-0.22644+(-0.055029--0.01632))+0-0-0</f>
        <v>519.63485100000003</v>
      </c>
      <c r="S216" s="3">
        <f>496+(64.5-38)+(-1.01184+(-0.13158--0.07752))+0-0-0</f>
        <v>521.43409999999994</v>
      </c>
      <c r="T216" s="3">
        <f>516+(55.6-51.8)+(-0.78948+(-0.085068--0.079254))+0-0-0</f>
        <v>519.00470599999994</v>
      </c>
      <c r="U216" s="3">
        <f>519+(44.7-68.4)+(-1.32345+(-0.113985--0.17442))+0-0-0</f>
        <v>494.03698500000002</v>
      </c>
      <c r="V216" s="3">
        <f>464+(55.9-31)+(-0.47328+(-0.057018--0.03162))+0-0-0</f>
        <v>488.40132199999999</v>
      </c>
      <c r="W216" s="3">
        <f>475+(113-31)+(0.4845+(0.11526-0.03162))+0-0-0</f>
        <v>557.56813999999997</v>
      </c>
      <c r="X216" s="3">
        <f>526+(113.2-33)+(0.80478+(0.173196-0.05049))+0-0-0</f>
        <v>607.12748600000009</v>
      </c>
      <c r="Y216" s="3">
        <f>528+(127.4-33)+(0.26928+(0.064974-0.01683))+0-0-0</f>
        <v>622.71742399999994</v>
      </c>
      <c r="Z216" s="3">
        <f>530+(121.5-32)+(0.2703+(0.061965-0.01632))+0-0-0</f>
        <v>619.81594500000006</v>
      </c>
      <c r="AA216" s="3">
        <f>531+(104.2-32)+(-0.54162+(-0.106284--0.03264))+0-0-0</f>
        <v>602.58473600000002</v>
      </c>
      <c r="AB216" s="3">
        <f>535+(71.9-32)+(-0.81855+(-0.110007--0.04896))+0-0-0</f>
        <v>574.02040299999999</v>
      </c>
      <c r="AC216" s="3">
        <f>536+(47.5-48.2)+(-0.54672+(-0.04845--0.049164))+0-0-0</f>
        <v>534.75399399999992</v>
      </c>
      <c r="AD216">
        <f t="shared" si="3"/>
        <v>12264.504559000001</v>
      </c>
      <c r="AE216" s="3">
        <f>529+(120.5-33)+(0+(0-0))+0-0-0</f>
        <v>616.5</v>
      </c>
    </row>
    <row r="217" spans="1:31" s="2" customFormat="1" x14ac:dyDescent="0.25">
      <c r="A217">
        <v>89</v>
      </c>
      <c r="B217">
        <v>8</v>
      </c>
      <c r="C217">
        <v>1</v>
      </c>
      <c r="D217">
        <v>1</v>
      </c>
      <c r="E217">
        <v>1</v>
      </c>
      <c r="F217" s="3">
        <f>538+(32.4-72.3)+(-0.54876+(-0.033048--0.073746))+0-0-0</f>
        <v>497.59193800000003</v>
      </c>
      <c r="G217" s="3">
        <f>467+(43-37)+(-0.71451+(-0.06579--0.05661))+0-0-0</f>
        <v>472.27631000000002</v>
      </c>
      <c r="H217" s="3">
        <f>413+(51.5-33)+(-0.63189+(-0.078795--0.05049))+0-0-0</f>
        <v>430.83980500000001</v>
      </c>
      <c r="I217" s="3">
        <f>380+(52.4-33)+(-0.5814+(-0.080172--0.05049))+0-0-0</f>
        <v>398.78891799999997</v>
      </c>
      <c r="J217" s="3">
        <f>380+(58.9-32)+(-0.7752+(-0.120156--0.06528))+0-0-0</f>
        <v>406.06992399999996</v>
      </c>
      <c r="K217" s="3">
        <f>380+(43.4-31)+(0+(0-0))+0-0-0</f>
        <v>392.4</v>
      </c>
      <c r="L217" s="3">
        <f>380+(43.2-27)+(-0.1938+(-0.022032--0.01377))+0-0-0</f>
        <v>395.99793799999998</v>
      </c>
      <c r="M217" s="3">
        <f>380+(64.8-27)+(0.5814+(0.099144-0.04131))+0-0-0</f>
        <v>418.439234</v>
      </c>
      <c r="N217" s="3">
        <f>470+(26.1-53.2)+(0+(0-0))+0-0-0</f>
        <v>442.9</v>
      </c>
      <c r="O217" s="3">
        <f>509+(33.5-71.5)+(-0.25959+(-0.017085--0.036465))+0-0-0</f>
        <v>470.75979000000001</v>
      </c>
      <c r="P217" s="3">
        <f>515+(35.8-70.3)+(0.78795+(0.054774-0.107559))+0-0-0</f>
        <v>481.23516499999999</v>
      </c>
      <c r="Q217" s="3">
        <f>516+(43-61.9)+(0+(0-0))+0-0-0</f>
        <v>497.1</v>
      </c>
      <c r="R217" s="3">
        <f>517+(55-53.9)+(-0.79101+(-0.08415--0.082467))+0-0-0</f>
        <v>517.30730700000004</v>
      </c>
      <c r="S217" s="3">
        <f>521+(59.9-52)+(-1.59426+(-0.183294--0.15912))+0-0-0</f>
        <v>527.281566</v>
      </c>
      <c r="T217" s="3">
        <f>522+(54.5-58.4)+(0+(0-0))+0-0-0</f>
        <v>518.1</v>
      </c>
      <c r="U217" s="3">
        <f>524+(43.4-72.8)+(-0.53448+(-0.044268--0.074256))+0-0-0</f>
        <v>494.095508</v>
      </c>
      <c r="V217" s="3">
        <f>530+(35.1-68.8)+(-0.8109+(-0.053703--0.105264))+0-0-0</f>
        <v>495.540661</v>
      </c>
      <c r="W217" s="3">
        <f>535+(92.8-32)+(0.27285+(0.047328-0.01632))+0-0-0</f>
        <v>596.10385799999995</v>
      </c>
      <c r="X217" s="3">
        <f>535+(108.1-32)+(-0.81855+(-0.165393--0.04896))+0-0-0</f>
        <v>610.16501700000003</v>
      </c>
      <c r="Y217" s="3">
        <f>535+(110.8-31)+(-0.5457+(-0.113016--0.03162))+0-0-0</f>
        <v>614.1729039999999</v>
      </c>
      <c r="Z217" s="3">
        <f>538+(111.2-30)+(-0.82314+(-0.170136--0.0459))+0-0-0</f>
        <v>618.25262400000008</v>
      </c>
      <c r="AA217" s="3">
        <f>540+(68.9-36)+(-0.5508+(-0.070278--0.03672))+0-0-0</f>
        <v>572.31564200000003</v>
      </c>
      <c r="AB217" s="3">
        <f>542+(56-60.4)+(-1.3821+(-0.1428--0.15402))+0-0-0</f>
        <v>536.22911999999997</v>
      </c>
      <c r="AC217" s="3">
        <f>525+(45.8-77.2)+(-1.33875+(-0.11679--0.19686))+0-0-0</f>
        <v>492.34132</v>
      </c>
      <c r="AD217">
        <f t="shared" si="3"/>
        <v>11896.304548999999</v>
      </c>
      <c r="AE217" s="3">
        <f>534+(105.5-34)+(0+(0-0))+0-0-0</f>
        <v>605.5</v>
      </c>
    </row>
    <row r="218" spans="1:31" s="2" customFormat="1" x14ac:dyDescent="0.25">
      <c r="A218">
        <v>89</v>
      </c>
      <c r="B218">
        <v>8</v>
      </c>
      <c r="C218">
        <v>2</v>
      </c>
      <c r="D218">
        <v>2</v>
      </c>
      <c r="E218">
        <v>1</v>
      </c>
      <c r="F218" s="3">
        <f>524+(33.3-94.5)+(-1.06896+(-0.067932--0.19278))+0-0-0</f>
        <v>461.85588799999999</v>
      </c>
      <c r="G218" s="3">
        <f>456+(43-55.3)+(-0.23256+(-0.02193--0.028203))+0-0-0</f>
        <v>443.47371299999998</v>
      </c>
      <c r="H218" s="3">
        <f>414+(51.3-37.1)+(-1.0557+(-0.130815--0.094605))+0-0-0</f>
        <v>427.10809</v>
      </c>
      <c r="I218" s="3">
        <f>363+(74.3-29)+(0.92565+(0.189465-0.07395))+0-0-0</f>
        <v>409.34116499999999</v>
      </c>
      <c r="J218" s="3">
        <f>363+(70.3-29)+(0.37026+(0.071706-0.02958))+0-0-0</f>
        <v>404.71238600000004</v>
      </c>
      <c r="K218" s="3">
        <f>363+(71.3-31)+(-0.37026+(-0.072726--0.03162))+0-0-0</f>
        <v>402.88863400000002</v>
      </c>
      <c r="L218" s="3">
        <f>362+(71.3-29)+(-0.36924+(-0.072726--0.02958))+0-0-0</f>
        <v>403.88761399999999</v>
      </c>
      <c r="M218" s="3">
        <f>435+(33-49.6)+(0.4437+(0.03366-0.050592))+0-0-0</f>
        <v>418.82676799999996</v>
      </c>
      <c r="N218" s="3">
        <f>437+(39.2-35.1)+(-0.66861+(-0.059976--0.053703))+0-0-0</f>
        <v>440.425117</v>
      </c>
      <c r="O218" s="3">
        <f>433+(45.8-27)+(-0.66249+(-0.070074--0.04131))+0-0-0</f>
        <v>451.108746</v>
      </c>
      <c r="P218" s="3">
        <f>494+(36.3-65.4)+(-0.75582+(-0.055539--0.100062))+0-0-0</f>
        <v>464.18870299999998</v>
      </c>
      <c r="Q218" s="3">
        <f>500+(44.5-63.8)+(-1.275+(-0.113475--0.16269))+0-0-0</f>
        <v>479.47421500000002</v>
      </c>
      <c r="R218" s="3">
        <f>501+(55.1-54.6)+(-1.27755+(-0.140505--0.13923))+0-0-0</f>
        <v>500.22117500000002</v>
      </c>
      <c r="S218" s="3">
        <f>502+(58-54)+(-0.51204+(-0.05916--0.05508))+0-0-0</f>
        <v>505.48388</v>
      </c>
      <c r="T218" s="3">
        <f>504+(55-54.3)+(-1.02816+(-0.1122--0.110772))+0-0-0</f>
        <v>503.670412</v>
      </c>
      <c r="U218" s="3">
        <f>508+(48.5-59.1)+(-1.03632+(-0.09894--0.120564))+0-0-0</f>
        <v>496.38530399999996</v>
      </c>
      <c r="V218" s="3">
        <f>514+(44.2-57.6)+(0.26214+(0.022542-0.029376))+0-0-0</f>
        <v>500.85530600000004</v>
      </c>
      <c r="W218" s="3">
        <f>518+(79.3-40)+(0+(0-0))+0-0-0</f>
        <v>557.29999999999995</v>
      </c>
      <c r="X218" s="3">
        <f>520+(102.3-42)+(-1.0608+(-0.208692--0.08568))+0-0-0</f>
        <v>579.11618799999997</v>
      </c>
      <c r="Y218" s="3">
        <f>521+(99.3-44)+(-1.06284+(-0.202572--0.08976))+0-0-0</f>
        <v>575.12434799999994</v>
      </c>
      <c r="Z218" s="3">
        <f>523+(85-43)+(-0.53346+(-0.0867--0.04386))+0-0-0</f>
        <v>564.42370000000005</v>
      </c>
      <c r="AA218" s="3">
        <f>525+(64.3-55.4)+(-0.5355+(-0.065586--0.056508))+0-0-0</f>
        <v>533.35542199999998</v>
      </c>
      <c r="AB218" s="3">
        <f>529+(46.6-76.8)+(-1.34895+(-0.11883--0.19584))+0-0-0</f>
        <v>497.52806000000004</v>
      </c>
      <c r="AC218" s="3">
        <f>531+(29.4-95.4)+(-1.35405+(-0.07497--0.24327))+0-0-0</f>
        <v>463.81425000000002</v>
      </c>
      <c r="AD218">
        <f t="shared" si="3"/>
        <v>11484.569083999999</v>
      </c>
      <c r="AE218" s="3">
        <f>519+(102.7-39)+(0+(0-0))+0-0-0</f>
        <v>582.70000000000005</v>
      </c>
    </row>
    <row r="219" spans="1:31" s="2" customFormat="1" x14ac:dyDescent="0.25">
      <c r="A219">
        <v>89</v>
      </c>
      <c r="B219">
        <v>8</v>
      </c>
      <c r="C219">
        <v>3</v>
      </c>
      <c r="D219">
        <v>3</v>
      </c>
      <c r="E219">
        <v>1</v>
      </c>
      <c r="F219" s="3">
        <f>502+(25.6-75.3)+(-0.76806+(-0.039168--0.115209))+0-0-0</f>
        <v>451.607981</v>
      </c>
      <c r="G219" s="3">
        <f>381+(52.4-36)+(-0.97155+(-0.13362--0.0918))+0-0-0</f>
        <v>396.38662999999997</v>
      </c>
      <c r="H219" s="3">
        <f>347+(63.8-30)+(-0.35394+(-0.065076--0.0306))+0-0-0</f>
        <v>380.411584</v>
      </c>
      <c r="I219" s="3">
        <f>347+(59.3-29)+(0+(0-0))+0-0-0</f>
        <v>377.3</v>
      </c>
      <c r="J219" s="3">
        <f>347+(62.1-29)+(0.17697+(0.031671-0.01479))+0-0-0</f>
        <v>380.29385100000002</v>
      </c>
      <c r="K219" s="3">
        <f>347+(65.8-31)+(-0.35394+(-0.067116--0.03162))+0-0-0</f>
        <v>381.41056400000002</v>
      </c>
      <c r="L219" s="3">
        <f>348+(69.5-30)+(-0.17748+(-0.035445--0.0153))+0-0-0</f>
        <v>387.30237499999998</v>
      </c>
      <c r="M219" s="3">
        <f>395+(42.2-47)+(0.60435+(0.064566-0.07191))+0-0-0</f>
        <v>390.79700600000001</v>
      </c>
      <c r="N219" s="3">
        <f>506+(13.1-94.6)+(-0.25806+(-0.006681--0.048246))+0-0-0</f>
        <v>424.28350499999999</v>
      </c>
      <c r="O219" s="3">
        <f>500+(23.2-99.3)+(-0.255+(-0.011832--0.050643))+0-0-0</f>
        <v>423.68381099999999</v>
      </c>
      <c r="P219" s="3">
        <f>497+(33.8-48.5)+(0+(0-0))+0-0-0</f>
        <v>482.3</v>
      </c>
      <c r="Q219" s="3">
        <f>505+(38.9-45.9)+(-0.5151+(-0.039678--0.046818))+0-0-0</f>
        <v>497.49203999999997</v>
      </c>
      <c r="R219" s="3">
        <f>511+(42-62.8)+(-1.56366+(-0.12852--0.192168))+0-0-0</f>
        <v>488.69998799999996</v>
      </c>
      <c r="S219" s="3">
        <f>511+(46-64.7)+(-1.04244+(-0.09384--0.131988))+0-0-0</f>
        <v>491.29570799999999</v>
      </c>
      <c r="T219" s="3">
        <f>511+(53.5-72.4)+(-0.78183+(-0.081855--0.110772))+0-0-0</f>
        <v>491.34708700000004</v>
      </c>
      <c r="U219" s="3">
        <f>512+(46.1-73)+(0.52224+(0.047022-0.07446))+0-0-0</f>
        <v>485.59480200000002</v>
      </c>
      <c r="V219" s="3">
        <f>521+(46.6-68.6)+(0+(0-0))+0-0-0</f>
        <v>499</v>
      </c>
      <c r="W219" s="3">
        <f>524+(78.6-38)+(0.26724+(0.040086-0.01938))+0-0-0</f>
        <v>564.88794600000006</v>
      </c>
      <c r="X219" s="3">
        <f>526+(96.1-36)+(-0.26826+(-0.049011--0.01836))+0-0-0</f>
        <v>585.80108900000005</v>
      </c>
      <c r="Y219" s="3">
        <f>527+(96.6-36)+(-1.07508+(-0.197064--0.07344))+0-0-0</f>
        <v>586.401296</v>
      </c>
      <c r="Z219" s="3">
        <f>529+(83.7-43)+(-0.53958+(-0.085374--0.04386))+0-0-0</f>
        <v>569.11890600000004</v>
      </c>
      <c r="AA219" s="3">
        <f>531+(70.6-52.1)+(-0.27081+(-0.036006--0.026571))+0-0-0</f>
        <v>549.21975499999996</v>
      </c>
      <c r="AB219" s="3">
        <f>533+(53.6-65.4)+(-0.81549+(-0.082008--0.100062))+0-0-0</f>
        <v>520.4025640000001</v>
      </c>
      <c r="AC219" s="3">
        <f>534+(32.4-81.1)+(-1.3617+(-0.08262--0.206805))+0-0-0</f>
        <v>484.06248500000004</v>
      </c>
      <c r="AD219">
        <f t="shared" si="3"/>
        <v>11289.100972999999</v>
      </c>
      <c r="AE219" s="3">
        <f>519+(93.9-37)+(0+(0-0))+0-0-0</f>
        <v>575.9</v>
      </c>
    </row>
    <row r="220" spans="1:31" s="2" customFormat="1" x14ac:dyDescent="0.25">
      <c r="A220">
        <v>89</v>
      </c>
      <c r="B220">
        <v>8</v>
      </c>
      <c r="C220">
        <v>4</v>
      </c>
      <c r="D220">
        <v>4</v>
      </c>
      <c r="E220">
        <v>1</v>
      </c>
      <c r="F220" s="3">
        <f>525+(27.8-111)+(-1.071+(-0.056712--0.22644))+0-0-0</f>
        <v>440.89872800000001</v>
      </c>
      <c r="G220" s="3">
        <f>523+(15.9-108.1)+(0+(0-0))+0-0-0</f>
        <v>430.8</v>
      </c>
      <c r="H220" s="3">
        <f>474+(23.4-83.9)+(0.24174+(0.011934-0.042789))+0-0-0</f>
        <v>413.71088500000002</v>
      </c>
      <c r="I220" s="3">
        <f>390+(48.3-34.5)+(0.3978+(0.049266-0.03519))+0-0-0</f>
        <v>404.21187600000002</v>
      </c>
      <c r="J220" s="3">
        <f>352+(76-29)+(-0.35904+(-0.07752--0.02958))+0-0-0</f>
        <v>398.59302000000002</v>
      </c>
      <c r="K220" s="3">
        <f>352+(82.5-31)+(-0.35904+(-0.08415--0.03162))+0-0-0</f>
        <v>403.08843000000002</v>
      </c>
      <c r="L220" s="3">
        <f>348+(89.9-15)+(-0.53244+(-0.137547--0.02295))+0-0-0</f>
        <v>422.25296299999997</v>
      </c>
      <c r="M220" s="3">
        <f>386+(48.9-7.2)+(-0.19686+(-0.024939--0.003672))+0-0-0</f>
        <v>427.48187300000001</v>
      </c>
      <c r="N220" s="3">
        <f>511+(13.2-76.2)+(0+(0-0))+0-0-0</f>
        <v>448</v>
      </c>
      <c r="O220" s="3">
        <f>518+(8.1-77.8)+(0.26418+(0.004131-0.039678))+0-0-0</f>
        <v>448.52863300000001</v>
      </c>
      <c r="P220" s="3">
        <f>513+(13.9-69.7)+(0+(0-0))+0-0-0</f>
        <v>457.2</v>
      </c>
      <c r="Q220" s="3">
        <f>512+(29.5-65.1)+(-0.26112+(-0.015045--0.033201))+0-0-0</f>
        <v>476.15703600000001</v>
      </c>
      <c r="R220" s="3">
        <f>510+(44-59.5)+(-0.7803+(-0.06732--0.091035))+0-0-0</f>
        <v>493.74341500000003</v>
      </c>
      <c r="S220" s="3">
        <f>510+(51.1-62)+(-1.0404+(-0.104244--0.12648))+0-0-0</f>
        <v>498.08183600000001</v>
      </c>
      <c r="T220" s="3">
        <f>511+(47.3-58.9)+(-1.30305+(-0.120615--0.150195))+0-0-0</f>
        <v>498.12653</v>
      </c>
      <c r="U220" s="3">
        <f>512+(39.6-75.2)+(-1.04448+(-0.080784--0.153408))+0-0-0</f>
        <v>475.42814399999997</v>
      </c>
      <c r="V220" s="3">
        <f>518+(38.5-72.6)+(-0.26418+(-0.019635--0.037026))+0-0-0</f>
        <v>483.653211</v>
      </c>
      <c r="W220" s="3">
        <f>521+(71.5-39)+(0+(0-0))+0-0-0</f>
        <v>553.5</v>
      </c>
      <c r="X220" s="3">
        <f>522+(100.1-34)+(-0.79866+(-0.153153--0.05202))+0-0-0</f>
        <v>587.20020699999998</v>
      </c>
      <c r="Y220" s="3">
        <f>524+(90.8-40)+(-1.60344+(-0.277848--0.1224))+0-0-0</f>
        <v>573.041112</v>
      </c>
      <c r="Z220" s="3">
        <f>526+(80.7-40)+(-0.80478+(-0.123471--0.0612))+0-0-0</f>
        <v>565.8329490000001</v>
      </c>
      <c r="AA220" s="3">
        <f>528+(64.4-51.3)+(0.26928+(0.032844-0.026163))+0-0-0</f>
        <v>541.37596100000007</v>
      </c>
      <c r="AB220" s="3">
        <f>531+(52.9-42.1)+(-0.54162+(-0.053958--0.042942))+0-0-0</f>
        <v>541.24736399999995</v>
      </c>
      <c r="AC220" s="3">
        <f>524+(41.2-50.3)+(-1.06896+(-0.084048--0.102612))+0-0-0</f>
        <v>513.849604</v>
      </c>
      <c r="AD220">
        <f t="shared" si="3"/>
        <v>11496.003777000002</v>
      </c>
      <c r="AE220" s="3">
        <f>522+(91.8-39)+(0+(0-0))+0-0-0</f>
        <v>574.79999999999995</v>
      </c>
    </row>
    <row r="221" spans="1:31" s="2" customFormat="1" x14ac:dyDescent="0.25">
      <c r="A221">
        <v>89</v>
      </c>
      <c r="B221">
        <v>8</v>
      </c>
      <c r="C221">
        <v>5</v>
      </c>
      <c r="D221">
        <v>5</v>
      </c>
      <c r="E221">
        <v>1</v>
      </c>
      <c r="F221" s="3">
        <f>518+(25-84.3)+(-0.52836+(-0.0255--0.085986))+0-0-0</f>
        <v>458.23212599999999</v>
      </c>
      <c r="G221" s="3">
        <f>499+(22.8-73)+(-1.27245+(-0.05814--0.18615))+0-0-0</f>
        <v>447.65556000000004</v>
      </c>
      <c r="H221" s="3">
        <f>408+(45.7-37.5)+(-0.20808+(-0.023307--0.019125))+0-0-0</f>
        <v>415.98773799999998</v>
      </c>
      <c r="I221" s="3">
        <f>350+(78.5-29)+(-0.1785+(-0.040035--0.01479))+0-0-0</f>
        <v>399.29625499999997</v>
      </c>
      <c r="J221" s="3">
        <f>350+(89.3-30)+(0.8925+(0.227715-0.0765))+0-0-0</f>
        <v>410.34371500000003</v>
      </c>
      <c r="K221" s="3">
        <f>350+(91.7-32)+(0.1785+(0.046767-0.01632))+0-0-0</f>
        <v>409.90894700000001</v>
      </c>
      <c r="L221" s="3">
        <f>351+(93.8-31)+(-0.53703+(-0.143514--0.04743))+0-0-0</f>
        <v>413.16688600000003</v>
      </c>
      <c r="M221" s="3">
        <f>378+(64.6-35)+(0.38556+(0.065892-0.0357))+0-0-0</f>
        <v>408.01575200000002</v>
      </c>
      <c r="N221" s="3">
        <f>502+(20.7-78.2)+(-0.76806+(-0.031671--0.119646))+0-0-0</f>
        <v>443.81991499999998</v>
      </c>
      <c r="O221" s="3">
        <f>503+(34.2-65.7)+(0+(0-0))+0-0-0</f>
        <v>471.5</v>
      </c>
      <c r="P221" s="3">
        <f>502+(54.6-60.8)+(0+(0-0))+0-0-0</f>
        <v>495.8</v>
      </c>
      <c r="Q221" s="3">
        <f>502+(65.3-55.6)+(-0.25602+(-0.033303--0.028356))+0-0-0</f>
        <v>511.43903299999999</v>
      </c>
      <c r="R221" s="3">
        <f>491+(51-63)+(-1.25205+(-0.13005--0.16065))+0-0-0</f>
        <v>477.77855</v>
      </c>
      <c r="S221" s="3">
        <f>491+(55.2-66.9)+(-0.75123+(-0.084456--0.102357))+0-0-0</f>
        <v>478.56667099999999</v>
      </c>
      <c r="T221" s="3">
        <f>491+(49.9-72.6)+(-0.75123+(-0.076347--0.111078))+0-0-0</f>
        <v>467.58350100000001</v>
      </c>
      <c r="U221" s="3">
        <f>492+(56.1-74.9)+(-1.2546+(-0.143055--0.190995))+0-0-0</f>
        <v>471.99333999999999</v>
      </c>
      <c r="V221" s="3">
        <f>517+(50.3-77.2)+(-1.31835+(-0.128265--0.19686))+0-0-0</f>
        <v>488.85024500000003</v>
      </c>
      <c r="W221" s="3">
        <f>519+(80.4-42)+(-0.52938+(-0.082008--0.04284))+0-0-0</f>
        <v>556.83145200000001</v>
      </c>
      <c r="X221" s="3">
        <f>520+(100.1-35)+(-0.5304+(-0.102102--0.0357))+0-0-0</f>
        <v>584.503198</v>
      </c>
      <c r="Y221" s="3">
        <f>522+(103.2-34)+(-0.79866+(-0.157896--0.05202))+0-0-0</f>
        <v>590.29546400000004</v>
      </c>
      <c r="Z221" s="3">
        <f>525+(93.4-36)+(-0.5355+(-0.095268--0.03672))+0-0-0</f>
        <v>581.80595199999993</v>
      </c>
      <c r="AA221" s="3">
        <f>528+(73.4-41)+(-1.3464+(-0.18717--0.10455))+0-0-0</f>
        <v>558.97097999999994</v>
      </c>
      <c r="AB221" s="3">
        <f>528+(54.2-55.7)+(0.26928+(0.027642-0.028407))+0-0-0</f>
        <v>526.76851499999998</v>
      </c>
      <c r="AC221" s="3">
        <f>529+(36.8-70.8)+(-1.34895+(-0.09384--0.18054))+0-0-0</f>
        <v>493.73775000000001</v>
      </c>
      <c r="AD221">
        <f t="shared" si="3"/>
        <v>11562.851545000001</v>
      </c>
      <c r="AE221" s="3">
        <f>521+(101.5-34)+(0+(0-0))+0-0-0</f>
        <v>588.5</v>
      </c>
    </row>
    <row r="222" spans="1:31" s="2" customFormat="1" x14ac:dyDescent="0.25">
      <c r="A222">
        <v>89</v>
      </c>
      <c r="B222">
        <v>8</v>
      </c>
      <c r="C222">
        <v>6</v>
      </c>
      <c r="D222">
        <v>6</v>
      </c>
      <c r="E222">
        <v>1</v>
      </c>
      <c r="F222" s="3">
        <f>510+(45.4-58.5)+(-1.0404+(-0.092616--0.11934))+0-0-0</f>
        <v>495.886324</v>
      </c>
      <c r="G222" s="3">
        <f>351+(115.5-29)+(0.17901+(0.058905-0.01479))+0-0-0</f>
        <v>437.72312499999998</v>
      </c>
      <c r="H222" s="3">
        <f>351+(108.5-29)+(0.17901+(0.055335-0.01479))+0-0-0</f>
        <v>430.71955500000001</v>
      </c>
      <c r="I222" s="3">
        <f>351+(94.7-30)+(-0.35802+(-0.096594--0.0306))+0-0-0</f>
        <v>415.27598599999999</v>
      </c>
      <c r="J222" s="3">
        <f>351+(89.9-33)+(-0.17901+(-0.045849--0.01683))+0-0-0</f>
        <v>407.69197099999997</v>
      </c>
      <c r="K222" s="3">
        <f>351+(81.1-24)+(-0.35802+(-0.082722--0.02448))+0-0-0</f>
        <v>407.68373800000001</v>
      </c>
      <c r="L222" s="3">
        <f>351+(97-31)+(-0.35802+(-0.09894--0.03162))+0-0-0</f>
        <v>416.57465999999999</v>
      </c>
      <c r="M222" s="3">
        <f>351+(99.1-30)+(-0.17901+(-0.050541--0.0153))+0-0-0</f>
        <v>419.88574900000003</v>
      </c>
      <c r="N222" s="3">
        <f>412+(58.1-28)+(0.63036+(0.088893-0.04284))+0-0-0</f>
        <v>442.77641300000005</v>
      </c>
      <c r="O222" s="3">
        <f>499+(40-72.7)+(0.50898+(0.0408-0.074154))+0-0-0</f>
        <v>466.77562599999999</v>
      </c>
      <c r="P222" s="3">
        <f>499+(46.8-69)+(-1.01796+(-0.095472--0.14076))+0-0-0</f>
        <v>475.82732800000002</v>
      </c>
      <c r="Q222" s="3">
        <f>499+(48.1-63.2)+(-0.50898+(-0.049062--0.064464))+0-0-0</f>
        <v>483.40642199999996</v>
      </c>
      <c r="R222" s="3">
        <f>500+(32.1-74.4)+(-2.04+(-0.130968--0.303552))+0-0-0</f>
        <v>455.832584</v>
      </c>
      <c r="S222" s="3">
        <f>498+(34.5-74.6)+(0+(0-0))+0-0-0</f>
        <v>457.9</v>
      </c>
      <c r="T222" s="3">
        <f>500+(12.8-82.2)+(0+(0-0))+12.9-0-0</f>
        <v>443.5</v>
      </c>
      <c r="U222" s="3">
        <f>502+(23.6-115.1)+(-0.76806+(-0.036108--0.176103))+0-0-0</f>
        <v>409.87193500000001</v>
      </c>
      <c r="V222" s="3">
        <f>510+(34.5-91.6)+(0+(0-0))+0-0-0</f>
        <v>452.9</v>
      </c>
      <c r="W222" s="3">
        <f>511+(54.2-60)+(-0.78183+(-0.082926--0.0918))+0-0-0</f>
        <v>504.42704399999997</v>
      </c>
      <c r="X222" s="3">
        <f>514+(59.9-46.7)+(-1.3107+(-0.152745--0.119085))+0-0-0</f>
        <v>525.85563999999999</v>
      </c>
      <c r="Y222" s="3">
        <f>515+(62.8-49)+(-2.1012+(-0.256224--0.19992))+0-0-0</f>
        <v>526.64249599999994</v>
      </c>
      <c r="Z222" s="3">
        <f>516+(59.8-46.6)+(-0.52632+(-0.060996--0.047532))+0-0-0</f>
        <v>528.66021599999999</v>
      </c>
      <c r="AA222" s="3">
        <f>422+(111.6-33)+(-0.86088+(-0.227664--0.06732))+0-0-0</f>
        <v>499.578776</v>
      </c>
      <c r="AB222" s="3">
        <f>355+(141.1-32)+(-1.0863+(-0.431766--0.09792))+0-0-0</f>
        <v>462.67985400000003</v>
      </c>
      <c r="AC222" s="3">
        <f>355+(118.4-31)+(-0.18105+(-0.060384--0.01581))+0-0-0</f>
        <v>442.174376</v>
      </c>
      <c r="AD222">
        <f t="shared" si="3"/>
        <v>11010.249818000002</v>
      </c>
      <c r="AE222" s="3">
        <f>514+(64.8-48.3)+(0+(0-0))+0-0-0</f>
        <v>530.5</v>
      </c>
    </row>
    <row r="223" spans="1:31" s="2" customFormat="1" x14ac:dyDescent="0.25">
      <c r="A223">
        <v>89</v>
      </c>
      <c r="B223">
        <v>8</v>
      </c>
      <c r="C223">
        <v>7</v>
      </c>
      <c r="D223">
        <v>7</v>
      </c>
      <c r="E223">
        <v>1</v>
      </c>
      <c r="F223" s="3">
        <f>352+(129.2-30)+(-0.8976+(-0.32946--0.0765))+0-0-0</f>
        <v>450.04944</v>
      </c>
      <c r="G223" s="3">
        <f>352+(102.7-30)+(-1.07712+(-0.314262--0.0918))+0-0-0</f>
        <v>423.400418</v>
      </c>
      <c r="H223" s="3">
        <f>352+(77.8-31)+(-0.53856+(-0.119034--0.04743))+0-0-0</f>
        <v>398.18983600000001</v>
      </c>
      <c r="I223" s="3">
        <f>352+(68.1-31)+(-0.17952+(-0.034731--0.01581))+0-0-0</f>
        <v>388.90155900000002</v>
      </c>
      <c r="J223" s="3">
        <f>352+(66.9-32)+(0+(0-0))+0-0-0</f>
        <v>386.9</v>
      </c>
      <c r="K223" s="3">
        <f>352+(66.2-33)+(-0.17952+(-0.033762--0.01683))+0-0-0</f>
        <v>385.00354799999997</v>
      </c>
      <c r="L223" s="3">
        <f>350+(66.8-31)+(-0.1785+(-0.034068--0.01581))+0-0-0</f>
        <v>385.60324200000002</v>
      </c>
      <c r="M223" s="3">
        <f>350+(82.6-31)+(-0.1785+(-0.042126--0.01581))+0-0-0</f>
        <v>401.39518400000003</v>
      </c>
      <c r="N223" s="3">
        <f>346+(106.2-30)+(-0.52938+(-0.162486--0.0459))+0-0-0</f>
        <v>421.554034</v>
      </c>
      <c r="O223" s="3">
        <f>346+(126.9-30)+(-0.35292+(-0.129438--0.0306))+0-0-0</f>
        <v>442.44824199999999</v>
      </c>
      <c r="P223" s="3">
        <f>345+(134.9-30)+(-0.3519+(-0.137598--0.0306))+0-0-0</f>
        <v>449.441102</v>
      </c>
      <c r="Q223" s="3">
        <f>345+(152.8-30)+(-0.3519+(-0.155856--0.0306))+0-0-0</f>
        <v>467.32284400000003</v>
      </c>
      <c r="R223" s="3">
        <f>379+(134.4-31)+(-0.38658+(-0.137088--0.03162))+0-0-0</f>
        <v>481.90795199999997</v>
      </c>
      <c r="S223" s="3">
        <f>411+(99.5-29)+(-0.41922+(-0.10149--0.02958))+0-0-0</f>
        <v>481.00887</v>
      </c>
      <c r="T223" s="3">
        <f>345+(137.8-28)+(-0.7038+(-0.281112--0.05712))+0-0-0</f>
        <v>453.872208</v>
      </c>
      <c r="U223" s="3">
        <f>345+(138.1-28)+(-0.17595+(-0.070431--0.01428))+0-0-0</f>
        <v>454.86789900000002</v>
      </c>
      <c r="V223" s="3">
        <f>376+(118.3-29)+(0.19176+(0.060333-0.01479))+0-0-0</f>
        <v>465.53730300000001</v>
      </c>
      <c r="W223" s="3">
        <f>468+(91.5-34)+(-0.23868+(-0.046665--0.01734))+0-0-0</f>
        <v>525.23199499999998</v>
      </c>
      <c r="X223" s="3">
        <f>510+(81.2-43)+(-1.0404+(-0.165648--0.08772))+0-0-0</f>
        <v>547.08167200000003</v>
      </c>
      <c r="Y223" s="3">
        <f>510+(88.3-36)+(0.5202+(0.090066-0.03672))+0-0-0</f>
        <v>562.87354599999992</v>
      </c>
      <c r="Z223" s="3">
        <f>512+(88-36)+(-0.78336+(-0.13464--0.05508))+0-0-0</f>
        <v>563.13707999999997</v>
      </c>
      <c r="AA223" s="3">
        <f>515+(77.6-37)+(-0.5253+(-0.079152--0.03774))+0-0-0</f>
        <v>555.03328799999997</v>
      </c>
      <c r="AB223" s="3">
        <f>517+(62.3-52.8)+(-0.52734+(-0.063546--0.053856))+0-0-0</f>
        <v>525.96297000000004</v>
      </c>
      <c r="AC223" s="3">
        <f>517+(49.8-57.8)+(-1.31835+(-0.12699--0.14739))+0-0-0</f>
        <v>507.70204999999999</v>
      </c>
      <c r="AD223">
        <f t="shared" si="3"/>
        <v>11124.426282000002</v>
      </c>
      <c r="AE223" s="3">
        <f>512+(83.6-46)+(0+(0-0))+0-0-0</f>
        <v>549.6</v>
      </c>
    </row>
    <row r="224" spans="1:31" s="2" customFormat="1" x14ac:dyDescent="0.25">
      <c r="A224">
        <v>89</v>
      </c>
      <c r="B224">
        <v>8</v>
      </c>
      <c r="C224">
        <v>8</v>
      </c>
      <c r="D224">
        <v>1</v>
      </c>
      <c r="E224">
        <v>1</v>
      </c>
      <c r="F224" s="3">
        <f>517+(35.9-107.2)+(-0.26367+(-0.018309--0.054672))+0-0-0</f>
        <v>445.47269299999999</v>
      </c>
      <c r="G224" s="3">
        <f>517+(27.1-102.9)+(-0.26367+(-0.013821--0.052479))+0-0-0</f>
        <v>440.974988</v>
      </c>
      <c r="H224" s="3">
        <f>516+(22.3-118.5)+(-0.78948+(-0.034119--0.181305))+0-0-0</f>
        <v>419.15770600000002</v>
      </c>
      <c r="I224" s="3">
        <f>363+(75.6-26)+(0.18513+(0.038556-0.01326))+0-0-0</f>
        <v>412.81042600000001</v>
      </c>
      <c r="J224" s="3">
        <f>354+(86.2-28)+(-0.72216+(-0.175848--0.05712))+0-0-0</f>
        <v>411.35911199999998</v>
      </c>
      <c r="K224" s="3">
        <f>354+(91.4-31)+(0+(0-0))+0-0-0</f>
        <v>414.4</v>
      </c>
      <c r="L224" s="3">
        <f>350+(77-46)+(0+(0-0))+0-0-0</f>
        <v>381</v>
      </c>
      <c r="M224" s="3">
        <f>350+(88.7-49)+(-0.1785+(-0.045237--0.02499))+0-0-0</f>
        <v>389.50125299999996</v>
      </c>
      <c r="N224" s="3">
        <f>373+(86.4-26)+(-0.57069+(-0.132192--0.03978))+0-0-0</f>
        <v>432.736898</v>
      </c>
      <c r="O224" s="3">
        <f>424+(81.5-28)+(-0.43248+(-0.08313--0.02856))+0-0-0</f>
        <v>477.01294999999999</v>
      </c>
      <c r="P224" s="3">
        <f>424+(63.5-32)+(-0.86496+(-0.12954--0.06528))+0-0-0</f>
        <v>454.57078000000001</v>
      </c>
      <c r="Q224" s="3">
        <f>496+(42.3-58.3)+(-0.25296+(-0.021573--0.029733))+0-0-0</f>
        <v>479.7552</v>
      </c>
      <c r="R224" s="3">
        <f>495+(52.2-47.8)+(-0.5049+(-0.053244--0.048756))+0-0-0</f>
        <v>498.89061199999998</v>
      </c>
      <c r="S224" s="3">
        <f>470+(67.3-34)+(-0.9588+(-0.137292--0.06936))+0-0-0</f>
        <v>502.27326800000003</v>
      </c>
      <c r="T224" s="3">
        <f>421+(97.9-30)+(0+(0-0))+0-0-0</f>
        <v>488.9</v>
      </c>
      <c r="U224" s="3">
        <f>421+(79.2-31)+(-0.85884+(-0.161568--0.06324))+0-0-0</f>
        <v>468.24283199999996</v>
      </c>
      <c r="V224" s="3">
        <f>426+(94.8-30)+(-0.65178+(-0.145044--0.0459))+0-0-0</f>
        <v>490.04907600000001</v>
      </c>
      <c r="W224" s="3">
        <f>479+(115.2-32)+(0+(0-0))+0-0-0</f>
        <v>562.20000000000005</v>
      </c>
      <c r="X224" s="3">
        <f>505+(120.5-33)+(-0.77265+(-0.184365--0.05049))+0-0-0</f>
        <v>591.59347500000001</v>
      </c>
      <c r="Y224" s="3">
        <f>507+(123.1-33)+(-1.29285+(-0.313905--0.08415))+0-0-0</f>
        <v>595.57739500000002</v>
      </c>
      <c r="Z224" s="3">
        <f>508+(117.9-34)+(-1.03632+(-0.240516--0.06936))+0-0-0</f>
        <v>590.69252399999993</v>
      </c>
      <c r="AA224" s="3">
        <f>510+(93.6-33)+(-0.7803+(-0.143208--0.05049))+0-0-0</f>
        <v>569.72698200000002</v>
      </c>
      <c r="AB224" s="3">
        <f>512+(62.8-40)+(-1.3056+(-0.16014--0.102))+0-0-0</f>
        <v>533.43625999999995</v>
      </c>
      <c r="AC224" s="3">
        <f>514+(46.7-51.5)+(-1.57284+(-0.142902--0.15759))+0-0-0</f>
        <v>507.64184799999998</v>
      </c>
      <c r="AD224">
        <f t="shared" si="3"/>
        <v>11557.976278</v>
      </c>
      <c r="AE224" s="3">
        <f>503+(121.5-33)+(0+(0-0))+0-0-0</f>
        <v>591.5</v>
      </c>
    </row>
    <row r="225" spans="1:31" s="2" customFormat="1" x14ac:dyDescent="0.25">
      <c r="A225">
        <v>89</v>
      </c>
      <c r="B225">
        <v>8</v>
      </c>
      <c r="C225">
        <v>9</v>
      </c>
      <c r="D225">
        <v>2</v>
      </c>
      <c r="E225">
        <v>1</v>
      </c>
      <c r="F225" s="3">
        <f>517+(31.9-91.6)+(-0.79101+(-0.048807--0.140148))+0-0-0</f>
        <v>456.60033100000004</v>
      </c>
      <c r="G225" s="3">
        <f>519+(20.9-97.1)+(-0.52938+(-0.021318--0.099042))+0-0-0</f>
        <v>442.348344</v>
      </c>
      <c r="H225" s="3">
        <f>519+(17-115.7)+(-1.05876+(-0.03468--0.236028))+0-0-0</f>
        <v>419.442588</v>
      </c>
      <c r="I225" s="3">
        <f>520+(14-105.9)+(-0.7956+(-0.02142--0.162027))+0-0-0</f>
        <v>427.44500700000003</v>
      </c>
      <c r="J225" s="3">
        <f>519+(13-118)+(0+(0-0))+0-0-0</f>
        <v>414</v>
      </c>
      <c r="K225" s="3">
        <f>521+(14-115.1)+(0+(0-0))+0-0-0</f>
        <v>419.9</v>
      </c>
      <c r="L225" s="3">
        <f>519+(16-106.2)+(-0.52938+(-0.01632--0.108324))+3.6-0-0</f>
        <v>431.96262400000006</v>
      </c>
      <c r="M225" s="3">
        <f>513+(28-80.8)+(0+(0-0))+0.7-0-0</f>
        <v>460.9</v>
      </c>
      <c r="N225" s="3">
        <f>509+(34-71.3)+(-0.51918+(-0.03468--0.072726))+0-0-0</f>
        <v>471.21886599999999</v>
      </c>
      <c r="O225" s="3">
        <f>487+(47-63.3)+(-0.24837+(-0.02397--0.032283))+0-0-0</f>
        <v>470.45994300000001</v>
      </c>
      <c r="P225" s="3">
        <f>485+(61-53.9)+(-0.4947+(-0.06222--0.054978))+0-0-0</f>
        <v>491.59805800000004</v>
      </c>
      <c r="Q225" s="3">
        <f>485+(66-51.9)+(-0.9894+(-0.13464--0.105876))+0-0-0</f>
        <v>498.08183600000001</v>
      </c>
      <c r="R225" s="3">
        <f>494+(54-51)+(-0.25194+(-0.02754--0.02601))+0-0-0</f>
        <v>496.74653000000001</v>
      </c>
      <c r="S225" s="3">
        <f>493+(59.1-45)+(-0.50286+(-0.060282--0.0459))+0-0-0</f>
        <v>506.58275800000001</v>
      </c>
      <c r="T225" s="3">
        <f>494+(53.2-48)+(-0.25194+(-0.027132--0.02448))+0-0-0</f>
        <v>498.94540799999999</v>
      </c>
      <c r="U225" s="3">
        <f>453+(67.6-42)+(-1.15515+(-0.17238--0.1071))+0-0-0</f>
        <v>477.37957</v>
      </c>
      <c r="V225" s="3">
        <f>424+(101.2-31)+(0+(0-0))+0-0-0</f>
        <v>494.2</v>
      </c>
      <c r="W225" s="3">
        <f>481+(97.5-33)+(-0.49062+(-0.09945--0.03366))+0-0-0</f>
        <v>544.94358999999997</v>
      </c>
      <c r="X225" s="3">
        <f>504+(113-34)+(-1.02816+(-0.23052--0.06936))+0-0-0</f>
        <v>581.81068000000005</v>
      </c>
      <c r="Y225" s="3">
        <f>505+(116.3-34)+(-1.0302+(-0.237252--0.06936))+0-0-0</f>
        <v>586.10190799999998</v>
      </c>
      <c r="Z225" s="3">
        <f>506+(107.2-34)+(-0.51612+(-0.109344--0.03468))+0-0-0</f>
        <v>578.60921600000006</v>
      </c>
      <c r="AA225" s="3">
        <f>507+(91.6-37)+(-0.77571+(-0.140148--0.05661))+0-0-0</f>
        <v>560.74075200000004</v>
      </c>
      <c r="AB225" s="3">
        <f>511+(67.8-45)+(-1.04244+(-0.138312--0.0918))+0-0-0</f>
        <v>532.71104800000001</v>
      </c>
      <c r="AC225" s="3">
        <f>511+(45.9-49.9)+(-1.04244+(-0.093636--0.101796))+0-0-0</f>
        <v>505.96571999999998</v>
      </c>
      <c r="AD225">
        <f t="shared" si="3"/>
        <v>11768.694777000002</v>
      </c>
      <c r="AE225" s="3">
        <f>501+(113.5-34)+(0+(0-0))+0-0-0</f>
        <v>580.5</v>
      </c>
    </row>
    <row r="226" spans="1:31" s="2" customFormat="1" x14ac:dyDescent="0.25">
      <c r="A226">
        <v>89</v>
      </c>
      <c r="B226">
        <v>8</v>
      </c>
      <c r="C226">
        <v>10</v>
      </c>
      <c r="D226">
        <v>3</v>
      </c>
      <c r="E226">
        <v>1</v>
      </c>
      <c r="F226" s="3">
        <f>502+(64.5-40.7)+(-0.25602+(-0.032895--0.020757))+0-0-0</f>
        <v>525.53184199999998</v>
      </c>
      <c r="G226" s="3">
        <f>424+(82.9-30)+(-1.0812+(-0.211395--0.0765))+0-0-0</f>
        <v>475.68390499999998</v>
      </c>
      <c r="H226" s="3">
        <f>348+(111.4-30)+(-0.35496+(-0.113628--0.0306))+0-0-0</f>
        <v>428.96201199999996</v>
      </c>
      <c r="I226" s="3">
        <f>348+(107.3-31)+(0.35496+(0.109446-0.03162))+0-0-0</f>
        <v>424.73278600000003</v>
      </c>
      <c r="J226" s="3">
        <f>348+(107.2-34)+(-0.70992+(-0.218688--0.06936))+0-0-0</f>
        <v>420.34075200000001</v>
      </c>
      <c r="K226" s="3">
        <f>349+(107.4-34)+(0.53397+(0.164322-0.05202))+0-0-0</f>
        <v>423.04627199999999</v>
      </c>
      <c r="L226" s="3">
        <f>347+(84.7-32)+(-0.53091+(-0.129591--0.04896))+0-0-0</f>
        <v>399.088459</v>
      </c>
      <c r="M226" s="3">
        <f>347+(95.2-29)+(0+(0-0))+0-0-0</f>
        <v>413.2</v>
      </c>
      <c r="N226" s="3">
        <f>344+(107.6-28)+(-0.35088+(-0.109752--0.02856))+0-0-0</f>
        <v>423.16792800000002</v>
      </c>
      <c r="O226" s="3">
        <f>378+(80.3-28)+(-0.9639+(-0.204765--0.0714))+0-0-0</f>
        <v>429.20273500000002</v>
      </c>
      <c r="P226" s="3">
        <f>417+(76.6-28)+(-0.63801+(-0.117198--0.04284))+0-0-0</f>
        <v>464.887632</v>
      </c>
      <c r="Q226" s="3">
        <f>432+(74.4-29)+(0+(0-0))+0-0-0</f>
        <v>477.4</v>
      </c>
      <c r="R226" s="3">
        <f>491+(55.5-48.5)+(-1.75287+(-0.198135--0.173145))+0-0-0</f>
        <v>496.22214000000002</v>
      </c>
      <c r="S226" s="3">
        <f>491+(57.2-51.4)+(0+(0-0))+0-0-0</f>
        <v>496.8</v>
      </c>
      <c r="T226" s="3">
        <f>491+(55.8-56.7)+(-0.75123+(-0.085374--0.086751))+0-0-0</f>
        <v>489.35014700000005</v>
      </c>
      <c r="U226" s="3">
        <f>492+(49.6-66.1)+(-1.50552+(-0.151776--0.202266))+0-0-0</f>
        <v>474.04496999999998</v>
      </c>
      <c r="V226" s="3">
        <f>507+(56.1-59.7)+(0+(0-0))+0-0-0</f>
        <v>503.4</v>
      </c>
      <c r="W226" s="3">
        <f>519+(90.2-37)+(0.26469+(0.046002-0.01887))+0-0-0</f>
        <v>572.49182200000007</v>
      </c>
      <c r="X226" s="3">
        <f>520+(99.1-34)+(-1.0608+(-0.202164--0.06936))+0-0-0</f>
        <v>583.90639599999997</v>
      </c>
      <c r="Y226" s="3">
        <f>521+(101.9-34)+(-1.32855+(-0.259845--0.0867))+0-0-0</f>
        <v>587.39830499999994</v>
      </c>
      <c r="Z226" s="3">
        <f>521+(88.9-43)+(0+(0-0))+0-0-0</f>
        <v>566.9</v>
      </c>
      <c r="AA226" s="3">
        <f>523+(76.7-43)+(-0.53346+(-0.078234--0.04386))+0-0-0</f>
        <v>556.1321660000001</v>
      </c>
      <c r="AB226" s="3">
        <f>526+(53.4-52)+(-1.3413+(-0.13617--0.1326))+0-0-0</f>
        <v>526.05512999999996</v>
      </c>
      <c r="AC226" s="3">
        <f>527+(34.4-64.9)+(-0.26877+(-0.017544--0.033099))+0-0-0</f>
        <v>496.24678499999999</v>
      </c>
      <c r="AD226">
        <f t="shared" si="3"/>
        <v>11654.192184</v>
      </c>
      <c r="AE226" s="3">
        <f>517+(97.2-36)+(0+(0-0))+0-0-0</f>
        <v>578.20000000000005</v>
      </c>
    </row>
    <row r="227" spans="1:31" s="2" customFormat="1" x14ac:dyDescent="0.25">
      <c r="A227">
        <v>89</v>
      </c>
      <c r="B227">
        <v>8</v>
      </c>
      <c r="C227">
        <v>11</v>
      </c>
      <c r="D227">
        <v>4</v>
      </c>
      <c r="E227">
        <v>1</v>
      </c>
      <c r="F227" s="3">
        <f>530+(17.9-100.9)+(0.2703+(0.009129-0.051459))+0-0-0</f>
        <v>447.22797000000003</v>
      </c>
      <c r="G227" s="3">
        <f>485+(27.2-68.2)+(-0.74205+(-0.041616--0.104346))+0-0-0</f>
        <v>443.32067999999998</v>
      </c>
      <c r="H227" s="3">
        <f>418+(40.9-41.2)+(-0.63954+(-0.062577--0.063036))+0-0-0</f>
        <v>417.06091900000001</v>
      </c>
      <c r="I227" s="3">
        <f>351+(84-30)+(0.35802+(0.08568-0.0306))+0-0-0</f>
        <v>405.41309999999999</v>
      </c>
      <c r="J227" s="3">
        <f>351+(75.5-31)+(0.17901+(0.038505-0.01581))+0-0-0</f>
        <v>395.701705</v>
      </c>
      <c r="K227" s="3">
        <f>351+(78.3-33)+(0+(0-0))+0-0-0</f>
        <v>396.3</v>
      </c>
      <c r="L227" s="3">
        <f>351+(82.5-32)+(0.17901+(0.042075-0.01632))+0-0-0</f>
        <v>401.70476500000001</v>
      </c>
      <c r="M227" s="3">
        <f>351+(99.1-30)+(-0.17901+(-0.050541--0.0153))+0-0-0</f>
        <v>419.88574900000003</v>
      </c>
      <c r="N227" s="3">
        <f>431+(52-43)+(-0.65943+(-0.07956--0.06579))+0-0-0</f>
        <v>439.32679999999999</v>
      </c>
      <c r="O227" s="3">
        <f>496+(36.3-70.9)+(-0.50592+(-0.037026--0.072318))+0-0-0</f>
        <v>460.929372</v>
      </c>
      <c r="P227" s="3">
        <f>495+(42.2-66)+(0+(0-0))+0-0-0</f>
        <v>471.2</v>
      </c>
      <c r="Q227" s="3">
        <f>494+(47.7-60.3)+(-1.00776+(-0.097308--0.123012))+0-0-0</f>
        <v>480.41794399999998</v>
      </c>
      <c r="R227" s="3">
        <f>490+(60.4-52.6)+(0.4998+(0.061608-0.053652))+0-0-0</f>
        <v>498.30775599999998</v>
      </c>
      <c r="S227" s="3">
        <f>492+(64.5-52.3)+(-1.00368+(-0.13158--0.106692))+0-0-0</f>
        <v>503.17143199999998</v>
      </c>
      <c r="T227" s="3">
        <f>493+(58.4-60)+(-0.50286+(-0.059568--0.0612))+0-0-0</f>
        <v>490.89877199999995</v>
      </c>
      <c r="U227" s="3">
        <f>442+(72.8-39)+(-1.1271+(-0.18564--0.09945))+0-0-0</f>
        <v>474.58671000000004</v>
      </c>
      <c r="V227" s="3">
        <f>431+(83.2-30)+(0.65943+(0.127296-0.0459))+0-0-0</f>
        <v>484.94082600000002</v>
      </c>
      <c r="W227" s="3">
        <f>506+(97.1-38)+(-0.77418+(-0.148563--0.05814))+0-0-0</f>
        <v>564.23539700000003</v>
      </c>
      <c r="X227" s="3">
        <f>508+(106.6-32)+(-1.2954+(-0.27183--0.0816))+0-0-0</f>
        <v>581.11437000000001</v>
      </c>
      <c r="Y227" s="3">
        <f>510+(125.8-33)+(-0.5202+(-0.128316--0.03366))+0-0-0</f>
        <v>602.18514399999992</v>
      </c>
      <c r="Z227" s="3">
        <f>511+(82.7-34)+(-0.26061+(-0.042177--0.01734))+0-0-0</f>
        <v>559.41455300000007</v>
      </c>
      <c r="AA227" s="3">
        <f>512+(98.4-38)+(-0.78336+(-0.150552--0.05814))+0-0-0</f>
        <v>571.52422799999999</v>
      </c>
      <c r="AB227" s="3">
        <f>514+(75.6-52.6)+(-0.52428+(-0.077112--0.053652))+0-0-0</f>
        <v>536.45226000000002</v>
      </c>
      <c r="AC227" s="3">
        <f>515+(52.1-59.5)+(-0.5253+(-0.053142--0.06069))+0-0-0</f>
        <v>507.08224800000005</v>
      </c>
      <c r="AD227">
        <f t="shared" si="3"/>
        <v>11552.402699999999</v>
      </c>
      <c r="AE227" s="3">
        <f>506+(113.1-33)+(0+(0-0))+0-0-0</f>
        <v>586.1</v>
      </c>
    </row>
    <row r="228" spans="1:31" s="2" customFormat="1" x14ac:dyDescent="0.25">
      <c r="A228">
        <v>89</v>
      </c>
      <c r="B228">
        <v>8</v>
      </c>
      <c r="C228">
        <v>12</v>
      </c>
      <c r="D228">
        <v>5</v>
      </c>
      <c r="E228">
        <v>1</v>
      </c>
      <c r="F228" s="3">
        <f>484+(44.2-55.6)+(-0.24684+(-0.022542--0.028356))+0-0-0</f>
        <v>472.35897400000005</v>
      </c>
      <c r="G228" s="3">
        <f>434+(49.7-39.7)+(-1.1067+(-0.126735--0.101235))+0-0-0</f>
        <v>442.86779999999999</v>
      </c>
      <c r="H228" s="3">
        <f>434+(41.4-46.1)+(-0.44268+(-0.042228--0.047022))+0-0-0</f>
        <v>428.86211400000002</v>
      </c>
      <c r="I228" s="3">
        <f>435+(37.7-54.8)+(0+(0-0))+0-0-0</f>
        <v>417.9</v>
      </c>
      <c r="J228" s="3">
        <f>437+(38-63)+(-0.89148+(-0.07752--0.12852))+0-0-0</f>
        <v>411.15951999999999</v>
      </c>
      <c r="K228" s="3">
        <f>437+(39-65.9)+(-0.44574+(-0.03978--0.067218))+0-0-0</f>
        <v>409.68169800000004</v>
      </c>
      <c r="L228" s="3">
        <f>434+(39.4-65)+(0.44268+(0.040188-0.0663))+0-0-0</f>
        <v>408.81656799999996</v>
      </c>
      <c r="M228" s="3">
        <f>432+(44.6-53.2)+(-0.22032+(-0.022746--0.027132))+0-0-0</f>
        <v>423.18406599999997</v>
      </c>
      <c r="N228" s="3">
        <f>450+(50.1-58.7)+(-0.459+(-0.051102--0.059874))+0-0-0</f>
        <v>440.949772</v>
      </c>
      <c r="O228" s="3">
        <f>503+(36-91.4)+(-0.25653+(-0.01836--0.046614))+0-0-0</f>
        <v>447.37172400000003</v>
      </c>
      <c r="P228" s="3">
        <f>497+(46-69.6)+(-1.01388+(-0.09384--0.141984))+0-0-0</f>
        <v>472.43426399999998</v>
      </c>
      <c r="Q228" s="3">
        <f>495+(52.2-66.4)+(0.5049+(0.053244-0.067728))+0-0-0</f>
        <v>481.29041599999999</v>
      </c>
      <c r="R228" s="3">
        <f>497+(60.3-55.1)+(-0.50694+(-0.061506--0.056202))+0-0-0</f>
        <v>501.68775599999998</v>
      </c>
      <c r="S228" s="3">
        <f>497+(62-57.4)+(0.50694+(0.06324-0.058548))+0-0-0</f>
        <v>502.11163200000004</v>
      </c>
      <c r="T228" s="3">
        <f>497+(56.4-61.9)+(0.50694+(0.057528-0.063138))+0-0-0</f>
        <v>492.00133</v>
      </c>
      <c r="U228" s="3">
        <f>497+(49.8-45.7)+(0.50694+(0.050796-0.046614))+0-0-0</f>
        <v>501.61112200000002</v>
      </c>
      <c r="V228" s="3">
        <f>491+(68-52.1)+(0+(0-0))+0-0-0</f>
        <v>506.9</v>
      </c>
      <c r="W228" s="3">
        <f>507+(99.5-50)+(-0.51714+(-0.10149--0.051))+0-0-0</f>
        <v>555.93236999999999</v>
      </c>
      <c r="X228" s="3">
        <f>527+(100.4-54)+(-0.80631+(-0.153612--0.08262))+0-0-0</f>
        <v>572.52269799999999</v>
      </c>
      <c r="Y228" s="3">
        <f>529+(102.3-49)+(-1.34895+(-0.260865--0.12495))+0-0-0</f>
        <v>580.81513499999994</v>
      </c>
      <c r="Z228" s="3">
        <f>531+(97-40)+(-1.35405+(-0.24735--0.102))+0-0-0</f>
        <v>586.50059999999996</v>
      </c>
      <c r="AA228" s="3">
        <f>535+(88-48)+(-1.6371+(-0.26928--0.14688))+0-0-0</f>
        <v>573.2405</v>
      </c>
      <c r="AB228" s="3">
        <f>537+(50.7-47.7)+(-0.54774+(-0.051714--0.048654))+0-0-0</f>
        <v>539.44920000000002</v>
      </c>
      <c r="AC228" s="3">
        <f>537+(42.9-59.1)+(-0.82161+(-0.065637--0.090423))+0-0-0</f>
        <v>520.00317599999994</v>
      </c>
      <c r="AD228">
        <f t="shared" si="3"/>
        <v>11689.652435000002</v>
      </c>
      <c r="AE228" s="3">
        <f>527+(99-40)+(0+(0-0))+0-0-0</f>
        <v>586</v>
      </c>
    </row>
    <row r="229" spans="1:31" s="2" customFormat="1" x14ac:dyDescent="0.25">
      <c r="A229">
        <v>89</v>
      </c>
      <c r="B229">
        <v>8</v>
      </c>
      <c r="C229">
        <v>13</v>
      </c>
      <c r="D229">
        <v>6</v>
      </c>
      <c r="E229">
        <v>1</v>
      </c>
      <c r="F229" s="3">
        <f>519+(40.9-113.8)+(-0.26469+(-0.020859--0.058038))+0-0-0</f>
        <v>445.87248900000003</v>
      </c>
      <c r="G229" s="3">
        <f>519+(29.1-92.2)+(-0.52938+(-0.029682--0.094044))+0-0-0</f>
        <v>455.43498199999999</v>
      </c>
      <c r="H229" s="3">
        <f>519+(21.9-116.4)+(-0.26469+(-0.011169--0.059364))+0-0-0</f>
        <v>424.28350499999999</v>
      </c>
      <c r="I229" s="3">
        <f>521+(19.2-119.2)+(0+(0-0))+0-0-0</f>
        <v>421</v>
      </c>
      <c r="J229" s="3">
        <f>521+(18.3-123)+(1.06284+(0.037332-0.25092))+0-0-0</f>
        <v>417.14925199999999</v>
      </c>
      <c r="K229" s="3">
        <f>521+(19-120.2)+(-0.26571+(-0.00969--0.061302))+0-0-0</f>
        <v>419.58590200000003</v>
      </c>
      <c r="L229" s="3">
        <f>523+(21-120.1)+(-1.06692+(-0.04284--0.245004))+0-0-0</f>
        <v>423.03524399999998</v>
      </c>
      <c r="M229" s="3">
        <f>520+(27.9-112.2)+(-0.5304+(-0.028458--0.114444))+0-0-0</f>
        <v>435.25558599999999</v>
      </c>
      <c r="N229" s="3">
        <f>509+(34.9-98.4)+(-0.25959+(-0.017799--0.050184))+0-0-0</f>
        <v>445.27279499999997</v>
      </c>
      <c r="O229" s="3">
        <f>501+(43.3-82.5)+(-0.76653+(-0.066249--0.126225))+0-0-0</f>
        <v>461.09344600000003</v>
      </c>
      <c r="P229" s="3">
        <f>495+(53.4-73.3)+(0+(0-0))+0-0-0</f>
        <v>475.1</v>
      </c>
      <c r="Q229" s="3">
        <f>493+(56.8-59.5)+(0+(0-0))+0-0-0</f>
        <v>490.3</v>
      </c>
      <c r="R229" s="3">
        <f>490+(62.9-59.7)+(-0.7497+(-0.096237--0.091341))+0-0-0</f>
        <v>492.445404</v>
      </c>
      <c r="S229" s="3">
        <f>490+(63-57.8)+(-0.9996+(-0.12852--0.117912))+0-0-0</f>
        <v>494.18979200000001</v>
      </c>
      <c r="T229" s="3">
        <f>493+(58.3-65.3)+(0.25143+(0.029733-0.033303))+0-0-0</f>
        <v>486.24786</v>
      </c>
      <c r="U229" s="3">
        <f>509+(48.3-78.2)+(-1.29795+(-0.123165--0.19941))+0-0-0</f>
        <v>477.87829500000004</v>
      </c>
      <c r="V229" s="3">
        <f>517+(50.5-81.1)+(-0.79101+(-0.077265--0.124083))+0-0-0</f>
        <v>485.65580799999998</v>
      </c>
      <c r="W229" s="3">
        <f>519+(79.2-47)+(-0.52938+(-0.080784--0.04794))+0-0-0</f>
        <v>550.63777600000003</v>
      </c>
      <c r="X229" s="3">
        <f>521+(93-43)+(-1.06284+(-0.18972--0.08772))+0-0-0</f>
        <v>569.83515999999997</v>
      </c>
      <c r="Y229" s="3">
        <f>523+(93-42)+(-1.33365+(-0.23715--0.1071))+0-0-0</f>
        <v>572.53629999999998</v>
      </c>
      <c r="Z229" s="3">
        <f>524+(83.3-42)+(-0.80172+(-0.127449--0.06426))+0-0-0</f>
        <v>564.43509099999994</v>
      </c>
      <c r="AA229" s="3">
        <f>524+(66.7-46)+(-0.26724+(-0.034017--0.02346))+0-0-0</f>
        <v>544.42220300000008</v>
      </c>
      <c r="AB229" s="3">
        <f>526+(52.6-62.3)+(-1.07304+(-0.107304--0.127092))+0-0-0</f>
        <v>515.24674799999991</v>
      </c>
      <c r="AC229" s="3">
        <f>514+(51-60.2)+(-1.3107+(-0.13005--0.15351))+0-0-0</f>
        <v>503.51276000000001</v>
      </c>
      <c r="AD229">
        <f t="shared" si="3"/>
        <v>11570.426398</v>
      </c>
      <c r="AE229" s="3">
        <f>520+(92.1-43)+(0+(0-0))+0-0-0</f>
        <v>569.1</v>
      </c>
    </row>
    <row r="230" spans="1:31" s="2" customFormat="1" x14ac:dyDescent="0.25">
      <c r="A230">
        <v>89</v>
      </c>
      <c r="B230">
        <v>8</v>
      </c>
      <c r="C230">
        <v>14</v>
      </c>
      <c r="D230">
        <v>7</v>
      </c>
      <c r="E230">
        <v>1</v>
      </c>
      <c r="F230" s="3">
        <f>516+(42.2-108.2)+(-0.52632+(-0.043044--0.110364))+0-0-0</f>
        <v>449.541</v>
      </c>
      <c r="G230" s="3">
        <f>518+(30.9-107.6)+(-0.26418+(-0.015759--0.054876))+0-0-0</f>
        <v>441.07493700000003</v>
      </c>
      <c r="H230" s="3">
        <f>519+(22.9-117.4)+(-0.26469+(-0.011679--0.059874))+0-0-0</f>
        <v>424.28350499999999</v>
      </c>
      <c r="I230" s="3">
        <f>518+(19.7-120)+(-0.52836+(-0.020094--0.1224))+0-0-0</f>
        <v>417.27394599999997</v>
      </c>
      <c r="J230" s="3">
        <f>475+(27.2-93)+(-0.72675+(-0.041616--0.14229))+0-0-0</f>
        <v>408.57392399999998</v>
      </c>
      <c r="K230" s="3">
        <f>434+(39.5-69.5)+(0.44268+(0.04029-0.07089))+0-0-0</f>
        <v>404.41208</v>
      </c>
      <c r="L230" s="3">
        <f>396+(60.4-36.6)+(-1.0098+(-0.15402--0.09333))+0-0-0</f>
        <v>418.72951</v>
      </c>
      <c r="M230" s="3">
        <f>351+(93.1-30)+(0+(0-0))+0-0-0</f>
        <v>414.1</v>
      </c>
      <c r="N230" s="3">
        <f>345+(113.8-29)+(-0.17595+(-0.058038--0.01479))+0-0-0</f>
        <v>429.58080200000001</v>
      </c>
      <c r="O230" s="3">
        <f>345+(126.6-29)+(0.17595+(0.064566-0.01479))+0-0-0</f>
        <v>442.82572600000003</v>
      </c>
      <c r="P230" s="3">
        <f>467+(58-71.5)+(-0.47634+(-0.05916--0.07293))+0-0-0</f>
        <v>453.03742999999997</v>
      </c>
      <c r="Q230" s="3">
        <f>489+(56-74.3)+(-1.24695+(-0.1428--0.189465))+0-0-0</f>
        <v>469.49971499999998</v>
      </c>
      <c r="R230" s="3">
        <f>491+(56.5-77.4)+(-0.50082+(-0.05763--0.078948))+0-0-0</f>
        <v>469.620498</v>
      </c>
      <c r="S230" s="3">
        <f>491+(56-77.1)+(-0.75123+(-0.08568--0.117963))+0-0-0</f>
        <v>469.18105299999996</v>
      </c>
      <c r="T230" s="3">
        <f>492+(57.1-81.6)+(-0.50184+(-0.058242--0.083232))+0-0-0</f>
        <v>467.02314999999999</v>
      </c>
      <c r="U230" s="3">
        <f>493+(52.7-81.7)+(-0.75429+(-0.080631--0.125001))+0-0-0</f>
        <v>463.29007999999999</v>
      </c>
      <c r="V230" s="3">
        <f>502+(57.4-78)+(-0.51204+(-0.058548--0.07956))+0-0-0</f>
        <v>480.90897199999995</v>
      </c>
      <c r="W230" s="3">
        <f>503+(86.8-47)+(-0.25653+(-0.044268--0.02397))+0-0-0</f>
        <v>542.52317199999993</v>
      </c>
      <c r="X230" s="3">
        <f>505+(96.5-43)+(-0.5151+(-0.09843--0.04386))+0-0-0</f>
        <v>557.93033000000003</v>
      </c>
      <c r="Y230" s="3">
        <f>506+(96.9-41)+(-0.51612+(-0.098838--0.04182))+0-0-0</f>
        <v>561.32686200000001</v>
      </c>
      <c r="Z230" s="3">
        <f>507+(86.3-42)+(-0.77571+(-0.132039--0.06426))+0-0-0</f>
        <v>550.45651099999998</v>
      </c>
      <c r="AA230" s="3">
        <f>505+(74.4-45)+(-0.5151+(-0.075888--0.0459))+0-0-0</f>
        <v>533.85491200000001</v>
      </c>
      <c r="AB230" s="3">
        <f>512+(52.3-60.2)+(-0.26112+(-0.026673--0.030702))+0-0-0</f>
        <v>503.84290900000002</v>
      </c>
      <c r="AC230" s="3">
        <f>513+(40.7-70.2)+(-1.30815+(-0.103785--0.17901))+0-0-0</f>
        <v>482.26707499999998</v>
      </c>
      <c r="AD230">
        <f t="shared" si="3"/>
        <v>11255.158099000002</v>
      </c>
      <c r="AE230" s="3">
        <f>506+(93.8-46)+(0+(0-0))+0-0-0</f>
        <v>553.79999999999995</v>
      </c>
    </row>
    <row r="231" spans="1:31" s="2" customFormat="1" x14ac:dyDescent="0.25">
      <c r="A231">
        <v>89</v>
      </c>
      <c r="B231">
        <v>8</v>
      </c>
      <c r="C231">
        <v>15</v>
      </c>
      <c r="D231">
        <v>1</v>
      </c>
      <c r="E231">
        <v>1</v>
      </c>
      <c r="F231" s="3">
        <f>516+(28.6-100.1)+(-1.3158+(-0.07293--0.255255))+0-0-0</f>
        <v>443.36652500000002</v>
      </c>
      <c r="G231" s="3">
        <f>463+(29.6-74.6)+(-1.88904+(-0.120768--0.304368))+0-0-0</f>
        <v>416.29455999999999</v>
      </c>
      <c r="H231" s="3">
        <f>377+(46.2-36.7)+(-0.76908+(-0.094248--0.074868))+0-0-0</f>
        <v>385.71154000000001</v>
      </c>
      <c r="I231" s="3">
        <f>352+(62.3-29)+(0.35904+(0.063546-0.02958))+0-0-0</f>
        <v>385.69300600000003</v>
      </c>
      <c r="J231" s="3">
        <f>352+(65.9-30)+(-0.17952+(-0.033609--0.0153))+0-0-0</f>
        <v>387.70217099999996</v>
      </c>
      <c r="K231" s="3">
        <f>352+(78.9-33)+(-0.53856+(-0.120717--0.05049))+0-0-0</f>
        <v>397.29121299999997</v>
      </c>
      <c r="L231" s="3">
        <f>351+(87.1-31)+(0+(0-0))+0-0-0</f>
        <v>407.1</v>
      </c>
      <c r="M231" s="3">
        <f>381+(67.9-30)+(-0.19431+(-0.034629--0.0153))+0-0-0</f>
        <v>418.68636099999998</v>
      </c>
      <c r="N231" s="3">
        <f>497+(31.6-88.5)+(0.25347+(0.016116-0.045135))+0-0-0</f>
        <v>440.32445100000001</v>
      </c>
      <c r="O231" s="3">
        <f>495+(35.3-84.1)+(0.5049+(0.036006-0.085782))+0-0-0</f>
        <v>446.655124</v>
      </c>
      <c r="P231" s="3">
        <f>492+(38-71.4)+(0+(0-0))+0-0-0</f>
        <v>458.6</v>
      </c>
      <c r="Q231" s="3">
        <f>491+(38.1-69.5)+(-0.75123+(-0.058293--0.106335))+0-0-0</f>
        <v>458.89681200000001</v>
      </c>
      <c r="R231" s="3">
        <f>489+(44.2-70.5)+(-1.74573+(-0.157794--0.251685))+0-0-0</f>
        <v>461.04816099999999</v>
      </c>
      <c r="S231" s="3">
        <f>490+(44.1-63.7)+(-0.2499+(-0.022491--0.032487))+0-0-0</f>
        <v>470.16009599999995</v>
      </c>
      <c r="T231" s="3">
        <f>492+(41.4-76.8)+(-1.00368+(-0.084456--0.156672))+0-0-0</f>
        <v>455.66853600000002</v>
      </c>
      <c r="U231" s="3">
        <f>494+(39.1-79.6)+(0+(0-0))+0-0-0</f>
        <v>453.5</v>
      </c>
      <c r="V231" s="3">
        <f>505+(48.2-69.6)+(-0.25755+(-0.024582--0.035496))+0-0-0</f>
        <v>483.353364</v>
      </c>
      <c r="W231" s="3">
        <f>506+(84.3-42)+(-0.25806+(-0.042993--0.02142))+0-0-0</f>
        <v>548.02036699999996</v>
      </c>
      <c r="X231" s="3">
        <f>508+(95.9-41)+(-1.2954+(-0.244545--0.10455))+0-0-0</f>
        <v>561.46460500000001</v>
      </c>
      <c r="Y231" s="3">
        <f>510+(97.1-38)+(-1.5606+(-0.297126--0.11628))+0-0-0</f>
        <v>567.35855400000003</v>
      </c>
      <c r="Z231" s="3">
        <f>512+(86.6-40)+(-0.78336+(-0.132498--0.0612))+0-0-0</f>
        <v>557.74534200000005</v>
      </c>
      <c r="AA231" s="3">
        <f>514+(65.8-47)+(-0.78642+(-0.100674--0.07191))+0-0-0</f>
        <v>531.98481599999991</v>
      </c>
      <c r="AB231" s="3">
        <f>515+(48.8-57.9)+(-0.78795+(-0.074664--0.088587))+0-0-0</f>
        <v>505.12597299999999</v>
      </c>
      <c r="AC231" s="3">
        <f>517+(30-74.4)+(-1.05468+(-0.0612--0.151776))+0-0-0</f>
        <v>471.635896</v>
      </c>
      <c r="AD231">
        <f t="shared" si="3"/>
        <v>11113.387472999999</v>
      </c>
      <c r="AE231" s="3">
        <f>505+(88.5-40)+(0+(0-0))+0-0-0</f>
        <v>553.5</v>
      </c>
    </row>
    <row r="232" spans="1:31" s="2" customFormat="1" x14ac:dyDescent="0.25">
      <c r="A232">
        <v>89</v>
      </c>
      <c r="B232">
        <v>8</v>
      </c>
      <c r="C232">
        <v>16</v>
      </c>
      <c r="D232">
        <v>2</v>
      </c>
      <c r="E232">
        <v>1</v>
      </c>
      <c r="F232" s="3">
        <f>514+(16.4-108.5)+(-0.52428+(-0.016728--0.11067))+0-0-0</f>
        <v>421.46966199999997</v>
      </c>
      <c r="G232" s="3">
        <f>481+(16.5-102.4)+(-0.24531+(-0.008415--0.052224))+0-0-0</f>
        <v>394.89849900000002</v>
      </c>
      <c r="H232" s="3">
        <f>435+(23.9-58.6)+(-0.66555+(-0.036567--0.089658))+0-0-0</f>
        <v>399.68754100000001</v>
      </c>
      <c r="I232" s="3">
        <f>435+(21.1-68)+(-0.4437+(-0.021522--0.06936))+0-0-0</f>
        <v>387.704138</v>
      </c>
      <c r="J232" s="3">
        <f>433+(22.7-61.6)+(0.44166+(0.023154-0.062832))+0-0-0</f>
        <v>394.501982</v>
      </c>
      <c r="K232" s="3">
        <f>432+(27.9-61)+(1.1016+(0.071145-0.15555))+0-0-0</f>
        <v>399.91719499999999</v>
      </c>
      <c r="L232" s="3">
        <f>431+(27.3-58.1)+(-0.65943+(-0.041769--0.088893))+0-0-0</f>
        <v>399.587694</v>
      </c>
      <c r="M232" s="3">
        <f>429+(33.4-45.8)+(-1.09395+(-0.08517--0.11679))+0-0-0</f>
        <v>415.53767000000005</v>
      </c>
      <c r="N232" s="3">
        <f>448+(23.3-57.5)+(0.68544+(0.035649-0.087975))+0-0-0</f>
        <v>414.43311399999999</v>
      </c>
      <c r="O232" s="3">
        <f>494+(24.2-93.2)+(-0.75582+(-0.037026--0.142596))+0-0-0</f>
        <v>424.34974999999997</v>
      </c>
      <c r="P232" s="3">
        <f>491+(32.5-77.5)+(-0.25041+(-0.016575--0.039525))+0-0-0</f>
        <v>445.77253999999999</v>
      </c>
      <c r="Q232" s="3">
        <f>488+(34.6-71.8)+(-0.24888+(-0.017646--0.036618))+0-0-0</f>
        <v>450.57009199999999</v>
      </c>
      <c r="R232" s="3">
        <f>487+(39.6-69.6)+(-0.99348+(-0.080784--0.141984))+0-0-0</f>
        <v>456.06772000000001</v>
      </c>
      <c r="S232" s="3">
        <f>485+(41.4-68)+(0+(0-0))+0-0-0</f>
        <v>458.4</v>
      </c>
      <c r="T232" s="3">
        <f>485+(38.8-71.7)+(0.4947+(0.039576-0.073134))+0-0-0</f>
        <v>452.56114200000002</v>
      </c>
      <c r="U232" s="3">
        <f>491+(37.2-82)+(-0.50082+(-0.037944--0.08364))+0-0-0</f>
        <v>445.74487599999998</v>
      </c>
      <c r="V232" s="3">
        <f>504+(47.2-72.4)+(-0.25704+(-0.024072--0.036924))+0-0-0</f>
        <v>478.555812</v>
      </c>
      <c r="W232" s="3">
        <f>506+(86.5-43)+(-0.25806+(-0.044115--0.02193))+0-0-0</f>
        <v>549.21975499999996</v>
      </c>
      <c r="X232" s="3">
        <f>508+(98.5-44)+(-0.25908+(-0.050235--0.02244))+0-0-0</f>
        <v>562.21312499999999</v>
      </c>
      <c r="Y232" s="3">
        <f>510+(93.8-43)+(-1.3005+(-0.23919--0.10965))+0-0-0</f>
        <v>559.36995999999999</v>
      </c>
      <c r="Z232" s="3">
        <f>511+(83-50)+(-1.30305+(-0.21165--0.1275))+0-0-0</f>
        <v>542.61279999999999</v>
      </c>
      <c r="AA232" s="3">
        <f>513+(67-49.5)+(-0.52326+(-0.06834--0.05049))+0-0-0</f>
        <v>529.95889</v>
      </c>
      <c r="AB232" s="3">
        <f>517+(48.5-66.9)+(-0.52734+(-0.04947--0.068238))+0-0-0</f>
        <v>498.09142800000001</v>
      </c>
      <c r="AC232" s="3">
        <f>519+(32.6-82.4)+(-1.32345+(-0.08313--0.21012))+0-0-0</f>
        <v>468.00353999999999</v>
      </c>
      <c r="AD232">
        <f t="shared" si="3"/>
        <v>10949.228924999999</v>
      </c>
      <c r="AE232" s="3">
        <f>505+(97.2-44)+(0+(0-0))+0-0-0</f>
        <v>558.20000000000005</v>
      </c>
    </row>
    <row r="233" spans="1:31" s="2" customFormat="1" x14ac:dyDescent="0.25">
      <c r="A233">
        <v>89</v>
      </c>
      <c r="B233">
        <v>8</v>
      </c>
      <c r="C233">
        <v>17</v>
      </c>
      <c r="D233">
        <v>3</v>
      </c>
      <c r="E233">
        <v>1</v>
      </c>
      <c r="F233" s="3">
        <f>453+(34.8-65.3)+(-0.69309+(-0.053244--0.099909))+0-0-0</f>
        <v>421.85357499999998</v>
      </c>
      <c r="G233" s="3">
        <f>392+(44.8-34.2)+(-0.79968+(-0.091392--0.069768))+0-0-0</f>
        <v>401.77869600000002</v>
      </c>
      <c r="H233" s="3">
        <f>350+(70.7-27)+(-0.5355+(-0.108171--0.04131))+0-0-0</f>
        <v>393.09763900000002</v>
      </c>
      <c r="I233" s="3">
        <f>350+(60.6-27)+(-0.1785+(-0.030906--0.01377))+0-0-0</f>
        <v>383.40436400000004</v>
      </c>
      <c r="J233" s="3">
        <f>350+(57.3-29)+(-0.1785+(-0.029223--0.01479))+0-0-0</f>
        <v>378.10706700000003</v>
      </c>
      <c r="K233" s="3">
        <f>350+(74.3-30)+(0+(0-0))+0-0-0</f>
        <v>394.3</v>
      </c>
      <c r="L233" s="3">
        <f>350+(84.8-30)+(-0.357+(-0.086496--0.0306))+0-0-0</f>
        <v>404.38710400000002</v>
      </c>
      <c r="M233" s="3">
        <f>350+(89.1-30)+(-0.5355+(-0.136323--0.0459))+0-0-0</f>
        <v>408.47407700000002</v>
      </c>
      <c r="N233" s="3">
        <f>412+(64.6-29)+(-0.42024+(-0.065892--0.02958))+0-0-0</f>
        <v>447.14344800000003</v>
      </c>
      <c r="O233" s="3">
        <f>497+(27.3-74.5)+(0+(0-0))+0-0-0</f>
        <v>449.8</v>
      </c>
      <c r="P233" s="3">
        <f>493+(33.4-70.3)+(0+(0-0))+0-0-0</f>
        <v>456.1</v>
      </c>
      <c r="Q233" s="3">
        <f>491+(35.5-73.8)+(-0.75123+(-0.054315--0.112914))+0-0-0</f>
        <v>452.00736899999998</v>
      </c>
      <c r="R233" s="3">
        <f>459+(53-54.4)+(-1.17045+(-0.13515--0.13872))+0-0-0</f>
        <v>456.43312000000003</v>
      </c>
      <c r="S233" s="3">
        <f>465+(54.1-54)+(0.23715+(0.027591-0.02754))+0-0-0</f>
        <v>465.33720100000005</v>
      </c>
      <c r="T233" s="3">
        <f>431+(61.7-36.3)+(-0.43962+(-0.062934--0.037026))+0-0-0</f>
        <v>455.93447199999997</v>
      </c>
      <c r="U233" s="3">
        <f>417+(64-33)+(0+(0-0))+0-0-0</f>
        <v>448</v>
      </c>
      <c r="V233" s="3">
        <f>426+(81.2-36)+(-0.21726+(-0.041412--0.01836))+0-0-0</f>
        <v>470.95968799999997</v>
      </c>
      <c r="W233" s="3">
        <f>469+(111.7-45)+(0+(0-0))+0-0-0</f>
        <v>535.70000000000005</v>
      </c>
      <c r="X233" s="3">
        <f>504+(97.1-43)+(-0.51408+(-0.099042--0.04386))+0-0-0</f>
        <v>557.53073800000004</v>
      </c>
      <c r="Y233" s="3">
        <f>507+(94.7-47)+(-1.29285+(-0.241485--0.11985))+0-0-0</f>
        <v>553.28551500000003</v>
      </c>
      <c r="Z233" s="3">
        <f>511+(76.3-47)+(-0.78183+(-0.116739--0.07191))+0-0-0</f>
        <v>539.473341</v>
      </c>
      <c r="AA233" s="3">
        <f>510+(66.1-41.8)+(-0.5202+(-0.067422--0.042636))+0-0-0</f>
        <v>533.75501399999996</v>
      </c>
      <c r="AB233" s="3">
        <f>515+(50-62.4)+(-1.31325+(-0.1275--0.15912))+0-0-0</f>
        <v>501.31837000000002</v>
      </c>
      <c r="AC233" s="3">
        <f>457+(42.6-47.1)+(-0.93228+(-0.086904--0.096084))+0-0-0</f>
        <v>451.57690000000002</v>
      </c>
      <c r="AD233">
        <f t="shared" si="3"/>
        <v>10959.757698000001</v>
      </c>
      <c r="AE233" s="3">
        <f>502+(96.5-44)+(0+(0-0))+0-0-0</f>
        <v>554.5</v>
      </c>
    </row>
    <row r="234" spans="1:31" s="2" customFormat="1" x14ac:dyDescent="0.25">
      <c r="A234">
        <v>89</v>
      </c>
      <c r="B234">
        <v>8</v>
      </c>
      <c r="C234">
        <v>18</v>
      </c>
      <c r="D234">
        <v>4</v>
      </c>
      <c r="E234">
        <v>1</v>
      </c>
      <c r="F234" s="3">
        <f>432+(37.9-55.2)+(-0.88128+(-0.077316--0.112608))+0-0-0</f>
        <v>413.85401200000001</v>
      </c>
      <c r="G234" s="3">
        <f>432+(29.2-66.4)+(0+(0-0))+0-0-0</f>
        <v>394.8</v>
      </c>
      <c r="H234" s="3">
        <f>431+(24.8-72.9)+(-0.21981+(-0.012648--0.037179))+0-0-0</f>
        <v>382.70472099999995</v>
      </c>
      <c r="I234" s="3">
        <f>373+(35.4-35.3)+(0.38046+(0.036108-0.036006))+0-0-0</f>
        <v>373.48056200000002</v>
      </c>
      <c r="J234" s="3">
        <f>347+(64.2-26)+(0.17697+(0.032742-0.01326))+0-0-0</f>
        <v>385.39645200000001</v>
      </c>
      <c r="K234" s="3">
        <f>347+(73.7-26)+(0+(0-0))+0-0-0</f>
        <v>394.7</v>
      </c>
      <c r="L234" s="3">
        <f>349+(74.6-26)+(0.17799+(0.038046-0.01326))+0-0-0</f>
        <v>397.80277599999999</v>
      </c>
      <c r="M234" s="3">
        <f>392+(53.5-35)+(0+(0-0))+0-0-0</f>
        <v>410.5</v>
      </c>
      <c r="N234" s="3">
        <f>467+(36.8-79.6)+(0.23817+(0.018768-0.040596))+0-0-0</f>
        <v>424.41634199999999</v>
      </c>
      <c r="O234" s="3">
        <f>498+(27.8-87.7)+(-0.76194+(-0.042534--0.134181))+0-0-0</f>
        <v>437.42970700000001</v>
      </c>
      <c r="P234" s="3">
        <f>494+(38-85.3)+(0+(0-0))+0-0-0</f>
        <v>446.7</v>
      </c>
      <c r="Q234" s="3">
        <f>492+(39.3-89)+(-1.2546+(-0.100215--0.22695))+0-0-0</f>
        <v>441.17213500000003</v>
      </c>
      <c r="R234" s="3">
        <f>492+(44.2-96.7)+(0+(0-0))+0-0-0</f>
        <v>439.5</v>
      </c>
      <c r="S234" s="3">
        <f>493+(51.2-95.1)+(0+(0-0))+0-0-0</f>
        <v>449.1</v>
      </c>
      <c r="T234" s="3">
        <f>492+(47.3-78.1)+(0.25092+(0.024123-0.039831))+0-0-0</f>
        <v>461.43521199999998</v>
      </c>
      <c r="U234" s="3">
        <f>490+(46.3-90.8)+(0+(0-0))+0-0-0</f>
        <v>445.5</v>
      </c>
      <c r="V234" s="3">
        <f>503+(56.4-82.4)+(0.51306+(0.057528-0.084048))+0-0-0</f>
        <v>477.48653999999999</v>
      </c>
      <c r="W234" s="3">
        <f>506+(89.6-46)+(0.25806+(0.045696-0.02346))+0-0-0</f>
        <v>549.88029600000004</v>
      </c>
      <c r="X234" s="3">
        <f>507+(95.8-46)+(-0.77571+(-0.146574--0.07038))+0-0-0</f>
        <v>555.94809599999996</v>
      </c>
      <c r="Y234" s="3">
        <f>510+(90.2-47)+(-1.3005+(-0.23001--0.11985))+0-0-0</f>
        <v>551.78934000000004</v>
      </c>
      <c r="Z234" s="3">
        <f>513+(77.1-47)+(-0.26163+(-0.039321--0.02397))+0-0-0</f>
        <v>542.82301900000004</v>
      </c>
      <c r="AA234" s="3">
        <f>513+(62.9-58.9)+(-0.52326+(-0.064158--0.060078))+0-0-0</f>
        <v>516.47266000000002</v>
      </c>
      <c r="AB234" s="3">
        <f>514+(47.9-79.3)+(-1.57284+(-0.146574--0.242658))+0-0-0</f>
        <v>481.123244</v>
      </c>
      <c r="AC234" s="3">
        <f>478+(42.6-73.4)+(-1.2189+(-0.10863--0.18717))+0-0-0</f>
        <v>446.05964</v>
      </c>
      <c r="AD234">
        <f t="shared" si="3"/>
        <v>10820.074753999997</v>
      </c>
      <c r="AE234" s="3">
        <f>507+(98.3-46)+(0+(0-0))+0-0-0</f>
        <v>559.29999999999995</v>
      </c>
    </row>
    <row r="235" spans="1:31" s="2" customFormat="1" x14ac:dyDescent="0.25">
      <c r="A235">
        <v>89</v>
      </c>
      <c r="B235">
        <v>8</v>
      </c>
      <c r="C235">
        <v>19</v>
      </c>
      <c r="D235">
        <v>5</v>
      </c>
      <c r="E235">
        <v>1</v>
      </c>
      <c r="F235" s="3">
        <f>368+(80.4-27)+(-0.56304+(-0.123012--0.04131))+0-0-0</f>
        <v>420.75525799999997</v>
      </c>
      <c r="G235" s="3">
        <f>350+(75.1-27)+(-0.357+(-0.076602--0.02754))+0-0-0</f>
        <v>397.693938</v>
      </c>
      <c r="H235" s="3">
        <f>350+(60.6-26)+(0+(0-0))+0-0-0</f>
        <v>384.6</v>
      </c>
      <c r="I235" s="3">
        <f>350+(54.2-26)+(-0.714+(-0.110568--0.05304))+0-0-0</f>
        <v>377.428472</v>
      </c>
      <c r="J235" s="3">
        <f>350+(55-26)+(0.8925+(0.14025-0.0663))+0-0-0</f>
        <v>379.96645000000001</v>
      </c>
      <c r="K235" s="3">
        <f>350+(81.2-28)+(-0.5355+(-0.124236--0.04284))+0-0-0</f>
        <v>402.58310399999999</v>
      </c>
      <c r="L235" s="3">
        <f>348+(91.1-33)+(-0.8874+(-0.232305--0.08415))+0-0-0</f>
        <v>405.06444500000003</v>
      </c>
      <c r="M235" s="3">
        <f>348+(98.2-32)+(-0.17748+(-0.050082--0.01632))+0-0-0</f>
        <v>413.98875799999996</v>
      </c>
      <c r="N235" s="3">
        <f>395+(66-31)+(0+(0-0))+0-0-0</f>
        <v>430</v>
      </c>
      <c r="O235" s="3">
        <f>400+(59.6-46.9)+(0+(0-0))+0-0-0</f>
        <v>412.7</v>
      </c>
      <c r="P235" s="3">
        <f>418+(59.5-42.1)+(0.21318+(0.030345-0.021471))+0-0-0</f>
        <v>435.62205399999999</v>
      </c>
      <c r="Q235" s="3">
        <f>479+(44-83.2)+(-1.46574+(-0.13464--0.254592))+0-0-0</f>
        <v>438.45421199999998</v>
      </c>
      <c r="R235" s="3">
        <f>488+(48.5-62.6)+(-0.49776+(-0.04947--0.063852))+0-0-0</f>
        <v>473.41662199999996</v>
      </c>
      <c r="S235" s="3">
        <f>490+(53.8-60.8)+(0+(0-0))+0-0-0</f>
        <v>483</v>
      </c>
      <c r="T235" s="3">
        <f>492+(51.6-91.2)+(-0.50184+(-0.052632--0.093024))+0-0-0</f>
        <v>451.93855199999996</v>
      </c>
      <c r="U235" s="3">
        <f>492+(50.5-94.7)+(-0.75276+(-0.077265--0.144891))+0-0-0</f>
        <v>447.11486600000001</v>
      </c>
      <c r="V235" s="3">
        <f>501+(60.7-67.2)+(0.25551+(0.030957-0.034272))+0-0-0</f>
        <v>494.75219499999997</v>
      </c>
      <c r="W235" s="3">
        <f>507+(91-42)+(0.25857+(0.04641-0.02142))+0-0-0</f>
        <v>556.28355999999997</v>
      </c>
      <c r="X235" s="3">
        <f>508+(94.1-46)+(0+(0-0))+0-0-0</f>
        <v>556.1</v>
      </c>
      <c r="Y235" s="3">
        <f>510+(80.9-47)+(-1.5606+(-0.247554--0.14382))+0-0-0</f>
        <v>542.23566599999992</v>
      </c>
      <c r="Z235" s="3">
        <f>450+(116-31)+(-0.459+(-0.11832--0.03162))+0-0-0</f>
        <v>534.45429999999999</v>
      </c>
      <c r="AA235" s="3">
        <f>430+(100.3-30)+(0.2193+(0.051153-0.0153))+0-0-0</f>
        <v>500.55515300000002</v>
      </c>
      <c r="AB235" s="3">
        <f>432+(69.7-44)+(-0.88128+(-0.142188--0.08976))+0-0-0</f>
        <v>456.76629199999996</v>
      </c>
      <c r="AC235" s="3">
        <f>432+(56.6-66.6)+(-0.66096+(-0.086598--0.101898))+0-0-0</f>
        <v>421.35433999999998</v>
      </c>
      <c r="AD235">
        <f t="shared" si="3"/>
        <v>10816.828236999998</v>
      </c>
      <c r="AE235" s="3">
        <f>508+(92-48)+(0+(0-0))+0-0-0</f>
        <v>552</v>
      </c>
    </row>
    <row r="236" spans="1:31" s="2" customFormat="1" x14ac:dyDescent="0.25">
      <c r="A236">
        <v>89</v>
      </c>
      <c r="B236">
        <v>8</v>
      </c>
      <c r="C236">
        <v>20</v>
      </c>
      <c r="D236">
        <v>6</v>
      </c>
      <c r="E236">
        <v>1</v>
      </c>
      <c r="F236" s="3">
        <f>388+(63.4-36)+(-0.39576+(-0.064668--0.03672))+0-0-0</f>
        <v>414.976292</v>
      </c>
      <c r="G236" s="3">
        <f>373+(52.9-38)+(-0.57069+(-0.080937--0.05814))+0-0-0</f>
        <v>387.306513</v>
      </c>
      <c r="H236" s="3">
        <f>358+(51.3-33)+(-0.54774+(-0.078489--0.05049))+0-0-0</f>
        <v>375.72426100000001</v>
      </c>
      <c r="I236" s="3">
        <f>288+(103.1-26)+(0.14688+(0.052581-0.01326))+0-0-0</f>
        <v>365.28620100000001</v>
      </c>
      <c r="J236" s="3">
        <f>286+(105.9-27)+(0.43758+(0.162027-0.04131))+0-0-0</f>
        <v>365.45829699999996</v>
      </c>
      <c r="K236" s="3">
        <f>286+(128.6-29)+(0.29172+(0.131172-0.02958))+0-0-0</f>
        <v>385.993312</v>
      </c>
      <c r="L236" s="3">
        <f>286+(141.9-28)+(-0.14586+(-0.072369--0.01428))+0-0-0</f>
        <v>399.69605099999995</v>
      </c>
      <c r="M236" s="3">
        <f>286+(154.5-27)+(0.43758+(0.236385-0.04131))+0-0-0</f>
        <v>414.132655</v>
      </c>
      <c r="N236" s="3">
        <f>350+(91.3-27)+(0.5355+(0.139689-0.04131))+8.9-0-0</f>
        <v>423.83387899999997</v>
      </c>
      <c r="O236" s="3">
        <f>434+(52.3-62.5)+(0.44268+(0.053346-0.06375))+0-0-0</f>
        <v>424.23227600000001</v>
      </c>
      <c r="P236" s="3">
        <f>429+(58.5-54.8)+(0.65637+(0.089505-0.083844))+0-0-0</f>
        <v>433.362031</v>
      </c>
      <c r="Q236" s="3">
        <f>428+(62.6-53.5)+(-0.43656+(-0.063852--0.05457))+0-0-0</f>
        <v>436.654158</v>
      </c>
      <c r="R236" s="3">
        <f>427+(69.1-50)+(-0.43554+(-0.070482--0.051))+0-0-0</f>
        <v>445.64497800000004</v>
      </c>
      <c r="S236" s="3">
        <f>429+(72.9-51)+(-0.87516+(-0.148716--0.10404))+0-0-0</f>
        <v>449.980164</v>
      </c>
      <c r="T236" s="3">
        <f>429+(71.2-50)+(-0.87516+(-0.145248--0.102))+0-0-0</f>
        <v>449.28159199999999</v>
      </c>
      <c r="U236" s="3">
        <f>377+(93.6-35)+(-0.57681+(-0.143208--0.05355))+0-0-0</f>
        <v>434.93353200000001</v>
      </c>
      <c r="V236" s="3">
        <f>361+(132.8-28)+(0.36822+(0.135456-0.02856))+0-0-0</f>
        <v>466.27511600000003</v>
      </c>
      <c r="W236" s="3">
        <f>410+(148.6-29)+(-0.2091+(-0.075786--0.01479))+0-0-0</f>
        <v>529.32990400000006</v>
      </c>
      <c r="X236" s="3">
        <f>445+(132.4-39)+(-1.13475+(-0.33762--0.09945))+0-0-0</f>
        <v>537.02707999999996</v>
      </c>
      <c r="Y236" s="3">
        <f>447+(123.3-42)+(-0.68391+(-0.188649--0.06426))+0-0-0</f>
        <v>527.49170099999992</v>
      </c>
      <c r="Z236" s="3">
        <f>447+(108.2-43)+(-0.22797+(-0.055182--0.02193))+0-0-0</f>
        <v>511.93877800000007</v>
      </c>
      <c r="AA236" s="3">
        <f>447+(87.7-47)+(-0.68391+(-0.134181--0.07191))+0-0-0</f>
        <v>486.95381900000001</v>
      </c>
      <c r="AB236" s="3">
        <f>451+(64-54)+(-0.69003+(-0.09792--0.08262))+0-0-0</f>
        <v>460.29467</v>
      </c>
      <c r="AC236" s="3">
        <f>455+(45.2-67.9)+(-0.9282+(-0.092208--0.138516))+0-0-0</f>
        <v>431.41810800000002</v>
      </c>
      <c r="AD236">
        <f t="shared" si="3"/>
        <v>10557.225367999999</v>
      </c>
      <c r="AE236" s="3">
        <f>442+(131.7-39)+(0+(0-0))+0-0-0</f>
        <v>534.70000000000005</v>
      </c>
    </row>
    <row r="237" spans="1:31" s="2" customFormat="1" x14ac:dyDescent="0.25">
      <c r="A237">
        <v>89</v>
      </c>
      <c r="B237">
        <v>8</v>
      </c>
      <c r="C237">
        <v>21</v>
      </c>
      <c r="D237">
        <v>7</v>
      </c>
      <c r="E237">
        <v>1</v>
      </c>
      <c r="F237" s="3">
        <f>458+(34.5-80)+(-0.70074+(-0.052785--0.1224))+0-0-0</f>
        <v>411.868875</v>
      </c>
      <c r="G237" s="3">
        <f>389+(50.4-48.5)+(-0.59517+(-0.077112--0.074205))+0-0-0</f>
        <v>390.30192299999999</v>
      </c>
      <c r="H237" s="3">
        <f>287+(114.1-27)+(-0.29274+(-0.116382--0.02754))+0-0-0</f>
        <v>373.71841800000004</v>
      </c>
      <c r="I237" s="3">
        <f>287+(108.1-27)+(-0.43911+(-0.165393--0.04131))+0-0-0</f>
        <v>367.53680700000001</v>
      </c>
      <c r="J237" s="3">
        <f>287+(113.6-28)+(-0.14637+(-0.057936--0.01428))+0-0-0</f>
        <v>372.40997400000003</v>
      </c>
      <c r="K237" s="3">
        <f>287+(130-31)+(-0.14637+(-0.0663--0.01581))+0-0-0</f>
        <v>385.80313999999998</v>
      </c>
      <c r="L237" s="3">
        <f>285+(137-30)+(-1.01745+(-0.48909--0.1071))+0-0-0</f>
        <v>390.60055999999997</v>
      </c>
      <c r="M237" s="3">
        <f>285+(144.6-29)+(0.14535+(0.073746-0.01479))+0-0-0</f>
        <v>400.804306</v>
      </c>
      <c r="N237" s="3">
        <f>278+(175.1-28)+(-0.42534+(-0.267903--0.04284))+0-0-0</f>
        <v>424.44959700000004</v>
      </c>
      <c r="O237" s="3">
        <f>331+(134.5-59)+(-0.33762+(-0.13719--0.06018))+0-0-0</f>
        <v>406.08537000000001</v>
      </c>
      <c r="P237" s="3">
        <f>431+(80.5-61)+(-0.21981+(-0.041055--0.03111))+0-0-0</f>
        <v>450.27024499999999</v>
      </c>
      <c r="Q237" s="3">
        <f>446+(72.3-60.4)+(-0.22746+(-0.036873--0.030804))+0-0-0</f>
        <v>457.666471</v>
      </c>
      <c r="R237" s="3">
        <f>493+(36.9-72.1)+(-1.00572+(-0.075276--0.147084))+0-0-0</f>
        <v>456.86608799999999</v>
      </c>
      <c r="S237" s="3">
        <f>500+(25.9-85.6)+(1.02+(0.052836-0.174624))+0-0-0</f>
        <v>441.19821200000001</v>
      </c>
      <c r="T237" s="3">
        <f>516+(18.9-81.6)+(-0.78948+(-0.028917--0.124848))+0-0-0</f>
        <v>452.60645099999999</v>
      </c>
      <c r="U237" s="3">
        <f>518+(15.4-90)+(-0.26418+(-0.007854--0.0459))+0-0-0</f>
        <v>443.17386599999998</v>
      </c>
      <c r="V237" s="3">
        <f>530+(27.2-79.8)+(-0.2703+(-0.013872--0.040698))+0-0-0</f>
        <v>477.15652599999999</v>
      </c>
      <c r="W237" s="3">
        <f>533+(45.3-55)+(-0.81549+(-0.069309--0.08415))+0-0-0</f>
        <v>522.49935099999993</v>
      </c>
      <c r="X237" s="3">
        <f>535+(43.9-51)+(-1.90995+(-0.156723--0.18207))+0-0-0</f>
        <v>526.01539700000001</v>
      </c>
      <c r="Y237" s="3">
        <f>388+(163.3-33)+(-0.59364+(-0.249849--0.05049))+0-0-0</f>
        <v>517.50700099999995</v>
      </c>
      <c r="Z237" s="3">
        <f>296+(231.3-31)+(-0.60384+(-0.471852--0.06324))+0-0-0</f>
        <v>495.28754800000002</v>
      </c>
      <c r="AA237" s="3">
        <f>288+(216.1-29)+(-0.29376+(-0.220422--0.02958))+0-0-0</f>
        <v>474.61539800000003</v>
      </c>
      <c r="AB237" s="3">
        <f>288+(186.3-28)+(-0.44064+(-0.285039--0.04284))+0-0-0</f>
        <v>445.61716100000001</v>
      </c>
      <c r="AC237" s="3">
        <f>288+(160.8-27)+(-0.44064+(-0.246024--0.04131))+0-0-0</f>
        <v>421.15464600000001</v>
      </c>
      <c r="AD237">
        <f t="shared" si="3"/>
        <v>10505.213331000001</v>
      </c>
      <c r="AE237" s="3">
        <f>532+(41.8-51)+(0+(0-0))+0-0-0</f>
        <v>522.79999999999995</v>
      </c>
    </row>
    <row r="238" spans="1:31" s="2" customFormat="1" x14ac:dyDescent="0.25">
      <c r="A238">
        <v>89</v>
      </c>
      <c r="B238">
        <v>8</v>
      </c>
      <c r="C238">
        <v>22</v>
      </c>
      <c r="D238">
        <v>1</v>
      </c>
      <c r="E238">
        <v>1</v>
      </c>
      <c r="F238" s="3">
        <f>276+(134.1-26)+(0.28152+(0.136782-0.02652))+0-0-0</f>
        <v>384.491782</v>
      </c>
      <c r="G238" s="3">
        <f>276+(115.1-26)+(0+(0-0))+0-0-0</f>
        <v>365.1</v>
      </c>
      <c r="H238" s="3">
        <f>276+(109.5-26)+(0.14076+(0.055845-0.01326))+0-0-0</f>
        <v>359.68334499999997</v>
      </c>
      <c r="I238" s="3">
        <f>277+(105.5-27)+(0.28254+(0.10761-0.02754))+0-0-0</f>
        <v>355.86261000000002</v>
      </c>
      <c r="J238" s="3">
        <f>276+(108.2-27)+(0.28152+(0.110364-0.02754))+0-0-0</f>
        <v>357.56434400000001</v>
      </c>
      <c r="K238" s="3">
        <f>276+(132.1-28)+(-0.14076+(-0.067371--0.01428))+0-0-0</f>
        <v>379.90614900000003</v>
      </c>
      <c r="L238" s="3">
        <f>288+(148.1-29)+(-0.44064+(-0.226593--0.04437))+0-0-0</f>
        <v>406.47713700000003</v>
      </c>
      <c r="M238" s="3">
        <f>288+(157.6-28)+(-0.14688+(-0.080376--0.01428))+0-0-0</f>
        <v>417.387024</v>
      </c>
      <c r="N238" s="3">
        <f>376+(89.6-32)+(-0.38352+(-0.091392--0.03264))+0-0-0</f>
        <v>433.15772800000002</v>
      </c>
      <c r="O238" s="3">
        <f>439+(57.9-55.6)+(-0.67167+(-0.088587--0.085068))+0-0-0</f>
        <v>440.62481100000002</v>
      </c>
      <c r="P238" s="3">
        <f>435+(61.4-53)+(0+(0-0))+0-0-0</f>
        <v>443.4</v>
      </c>
      <c r="Q238" s="3">
        <f>434+(57.4-53.3)+(-0.22134+(-0.029274--0.027183))+0-0-0</f>
        <v>437.87656900000002</v>
      </c>
      <c r="R238" s="3">
        <f>431+(63.2-48)+(-0.87924+(-0.128928--0.09792))+0-0-0</f>
        <v>445.28975199999996</v>
      </c>
      <c r="S238" s="3">
        <f>432+(65.1-48)+(-0.44064+(-0.066402--0.04896))+0-0-0</f>
        <v>448.64191800000003</v>
      </c>
      <c r="T238" s="3">
        <f>432+(67.2-48)+(-0.22032+(-0.034272--0.02448))+0-0-0</f>
        <v>450.96988799999997</v>
      </c>
      <c r="U238" s="3">
        <f>434+(65.6-48)+(0.22134+(0.033456-0.02448))+0-0-0</f>
        <v>451.83031600000004</v>
      </c>
      <c r="V238" s="3">
        <f>440+(88.9-33)+(0.4488+(0.090678-0.03366))+0-0-0</f>
        <v>496.40581799999995</v>
      </c>
      <c r="W238" s="3">
        <f>442+(131.8-35)+(0+(0-0))+0-0-0</f>
        <v>538.79999999999995</v>
      </c>
      <c r="X238" s="3">
        <f>443+(134.5-38)+(-0.22593+(-0.068595--0.01938))+0-0-0</f>
        <v>539.22485500000005</v>
      </c>
      <c r="Y238" s="3">
        <f>446+(126.2-41)+(-0.90984+(-0.257448--0.08364))+0-0-0</f>
        <v>530.11635200000001</v>
      </c>
      <c r="Z238" s="3">
        <f>452+(103-40)+(-0.23052+(-0.05253--0.0204))+0-0-0</f>
        <v>514.73734999999999</v>
      </c>
      <c r="AA238" s="3">
        <f>454+(82.2-48)+(-0.69462+(-0.125766--0.07344))+0-0-0</f>
        <v>487.45305400000001</v>
      </c>
      <c r="AB238" s="3">
        <f>426+(73.4-46)+(-1.0863+(-0.18717--0.1173))+0-0-0</f>
        <v>452.24383</v>
      </c>
      <c r="AC238" s="3">
        <f>301+(123.9-32)+(-0.76755+(-0.315945--0.0816))+0-0-0</f>
        <v>391.89810499999999</v>
      </c>
      <c r="AD238">
        <f t="shared" si="3"/>
        <v>10529.142737</v>
      </c>
      <c r="AE238" s="3">
        <f>440+(135-40)+(0+(0-0))+0-0-0</f>
        <v>535</v>
      </c>
    </row>
    <row r="239" spans="1:31" s="2" customFormat="1" x14ac:dyDescent="0.25">
      <c r="A239">
        <v>89</v>
      </c>
      <c r="B239">
        <v>8</v>
      </c>
      <c r="C239">
        <v>23</v>
      </c>
      <c r="D239">
        <v>2</v>
      </c>
      <c r="E239">
        <v>1</v>
      </c>
      <c r="F239" s="3">
        <f>288+(135.4-26)+(-0.58752+(-0.276216--0.05304))+0-0-0</f>
        <v>396.58930399999997</v>
      </c>
      <c r="G239" s="3">
        <f>288+(120.1-25)+(-0.7344+(-0.306255--0.06375))+0-0-0</f>
        <v>382.12309500000003</v>
      </c>
      <c r="H239" s="3">
        <f>288+(111-25)+(-0.14688+(-0.05661--0.01275))+0-0-0</f>
        <v>373.80925999999999</v>
      </c>
      <c r="I239" s="3">
        <f>288+(107.1-25)+(-0.29376+(-0.109242--0.0255))+0-0-0</f>
        <v>369.72249800000003</v>
      </c>
      <c r="J239" s="3">
        <f>288+(109.3-27)+(-0.29376+(-0.111486--0.02754))+0-0-0</f>
        <v>369.92229400000002</v>
      </c>
      <c r="K239" s="3">
        <f>288+(141-28)+(0.44064+(0.21573-0.04284))+0-0-0</f>
        <v>401.61353000000003</v>
      </c>
      <c r="L239" s="3">
        <f>288+(154.7-30)+(0+(0-0))+0-0-0</f>
        <v>412.7</v>
      </c>
      <c r="M239" s="3">
        <f>287+(165.6-29)+(0.14637+(0.084456-0.01479))+0-0-0</f>
        <v>423.816036</v>
      </c>
      <c r="N239" s="3">
        <f>328+(145.6-29)+(-0.66912+(-0.297024--0.05916))+0-0-0</f>
        <v>443.693016</v>
      </c>
      <c r="O239" s="3">
        <f>425+(71.3-50)+(0+(0-0))+0-0-0</f>
        <v>446.3</v>
      </c>
      <c r="P239" s="3">
        <f>433+(68.5-49)+(-0.22083+(-0.034935--0.02499))+0-0-0</f>
        <v>452.26922500000001</v>
      </c>
      <c r="Q239" s="3">
        <f>434+(64.4-54.1)+(-0.66402+(-0.098532--0.082773))+0-0-0</f>
        <v>443.62022100000002</v>
      </c>
      <c r="R239" s="3">
        <f>393+(94.7-39)+(-0.80172+(-0.193188--0.07956))+0-0-0</f>
        <v>447.78465199999999</v>
      </c>
      <c r="S239" s="3">
        <f>373+(108.7-28)+(-0.38046+(-0.110874--0.02856))+0-0-0</f>
        <v>453.23722599999996</v>
      </c>
      <c r="T239" s="3">
        <f>374+(95.9-27)+(-0.19074+(-0.048909--0.01377))+0-0-0</f>
        <v>442.67412099999996</v>
      </c>
      <c r="U239" s="3">
        <f>402+(82-37)+(-0.41004+(-0.08364--0.03774))+0-0-0</f>
        <v>446.54406</v>
      </c>
      <c r="V239" s="3">
        <f>460+(79.5-51)+(0+(0-0))+0-0-0</f>
        <v>488.5</v>
      </c>
      <c r="W239" s="3">
        <f>462+(115-43)+(0.70686+(0.17595-0.06579))+0-0-0</f>
        <v>534.81701999999996</v>
      </c>
      <c r="X239" s="3">
        <f>464+(119.9-44)+(-0.94656+(-0.244596--0.08976))+0-0-0</f>
        <v>538.79860399999995</v>
      </c>
      <c r="Y239" s="3">
        <f>466+(110.8-44)+(-1.1883+(-0.28254--0.1122))+0-0-0</f>
        <v>531.44135999999992</v>
      </c>
      <c r="Z239" s="3">
        <f>471+(90.1-49)+(-0.48042+(-0.091902--0.04998))+0-0-0</f>
        <v>511.57765800000004</v>
      </c>
      <c r="AA239" s="3">
        <f>472+(70.8-52)+(-0.72216+(-0.108324--0.07956))+0-0-0</f>
        <v>490.04907600000001</v>
      </c>
      <c r="AB239" s="3">
        <f>477+(48-66)+(-0.97308+(-0.09792--0.13464))+0-0-0</f>
        <v>458.06364000000002</v>
      </c>
      <c r="AC239" s="3">
        <f>451+(41.2-68)+(-1.15005+(-0.10506--0.1734))+0-0-0</f>
        <v>423.11829</v>
      </c>
      <c r="AD239">
        <f t="shared" si="3"/>
        <v>10682.784186000003</v>
      </c>
      <c r="AE239" s="3">
        <f>465+(119.6-44)+(0+(0-0))+0-0-0</f>
        <v>540.6</v>
      </c>
    </row>
    <row r="240" spans="1:31" s="2" customFormat="1" x14ac:dyDescent="0.25">
      <c r="A240">
        <v>89</v>
      </c>
      <c r="B240">
        <v>8</v>
      </c>
      <c r="C240">
        <v>24</v>
      </c>
      <c r="D240">
        <v>3</v>
      </c>
      <c r="E240">
        <v>1</v>
      </c>
      <c r="F240" s="3">
        <f>295+(134.1-26)+(-0.75225+(-0.341955--0.0663))+0-0-0</f>
        <v>402.07209500000005</v>
      </c>
      <c r="G240" s="3">
        <f>289+(119.5-26)+(-0.58956+(-0.24378--0.05304))+0-0-0</f>
        <v>381.71969999999999</v>
      </c>
      <c r="H240" s="3">
        <f>289+(111.7-25)+(-0.44217+(-0.170901--0.03825))+0-0-0</f>
        <v>375.125179</v>
      </c>
      <c r="I240" s="3">
        <f>289+(108.3-26)+(0+(0-0))+0-0-0</f>
        <v>371.3</v>
      </c>
      <c r="J240" s="3">
        <f>289+(117.4-28)+(-0.14739+(-0.059874--0.01428))+0-0-0</f>
        <v>378.20701599999995</v>
      </c>
      <c r="K240" s="3">
        <f>289+(138.5-28)+(0.44217+(0.211905-0.04284))+0-0-0</f>
        <v>400.11123500000002</v>
      </c>
      <c r="L240" s="3">
        <f>344+(101.1-30)+(-0.17544+(-0.051561--0.0153))+0-0-0</f>
        <v>414.88829900000002</v>
      </c>
      <c r="M240" s="3">
        <f>370+(92.5-30)+(-0.3774+(-0.09435--0.0306))+0-0-0</f>
        <v>432.05885000000001</v>
      </c>
      <c r="N240" s="3">
        <f>367+(109.1-28)+(-0.18717+(-0.055641--0.01428))+0-0-0</f>
        <v>447.87146900000005</v>
      </c>
      <c r="O240" s="3">
        <f>362+(104.8-29)+(-0.18462+(-0.053448--0.01479))+0-0-0</f>
        <v>437.57672200000002</v>
      </c>
      <c r="P240" s="3">
        <f>408+(79.5-50)+(-0.41616+(-0.08109--0.051))+0-0-0</f>
        <v>437.05374999999998</v>
      </c>
      <c r="Q240" s="3">
        <f>435+(65.3-49)+(-0.8874+(-0.133212--0.09996))+0-0-0</f>
        <v>450.37934799999999</v>
      </c>
      <c r="R240" s="3">
        <f>414+(74.9-27)+(-1.0557+(-0.190995--0.06885))+0-0-0</f>
        <v>460.72215499999999</v>
      </c>
      <c r="S240" s="3">
        <f>359+(98.9-27)+(-0.18309+(-0.050439--0.01377))+0-0-0</f>
        <v>430.68024099999997</v>
      </c>
      <c r="T240" s="3">
        <f>359+(95.3-28)+(-0.36618+(-0.097206--0.02856))+0-0-0</f>
        <v>425.86517400000002</v>
      </c>
      <c r="U240" s="3">
        <f>361+(101.3-30)+(-0.18411+(-0.051663--0.0153))+0-0-0</f>
        <v>432.07952699999998</v>
      </c>
      <c r="V240" s="3">
        <f>387+(122-34)+(0+(0-0))+0-0-0</f>
        <v>475</v>
      </c>
      <c r="W240" s="3">
        <f>445+(132.9-42)+(-0.68085+(-0.203337--0.06426))+0-0-0</f>
        <v>535.08007299999997</v>
      </c>
      <c r="X240" s="3">
        <f>448+(136.1-44)+(-1.1424+(-0.347055--0.1122))+0-0-0</f>
        <v>538.72274500000003</v>
      </c>
      <c r="Y240" s="3">
        <f>427+(156-33)+(-1.30662+(-0.47736--0.10098))+0-0-0</f>
        <v>548.31700000000001</v>
      </c>
      <c r="Z240" s="3">
        <f>339+(216.8-31)+(-0.51867+(-0.331704--0.04743))+0-0-0</f>
        <v>523.99705599999993</v>
      </c>
      <c r="AA240" s="3">
        <f>288+(224.7-30)+(-0.7344+(-0.572985--0.0765))+0-0-0</f>
        <v>481.46911499999999</v>
      </c>
      <c r="AB240" s="3">
        <f>288+(193.1-29)+(-0.58752+(-0.393924--0.05916))+0-0-0</f>
        <v>451.17771600000003</v>
      </c>
      <c r="AC240" s="3">
        <f>288+(155.6-27)+(-0.7344+(-0.39678--0.06885))+0-0-0</f>
        <v>415.53767000000005</v>
      </c>
      <c r="AD240">
        <f t="shared" si="3"/>
        <v>10647.012135000001</v>
      </c>
      <c r="AE240" s="3">
        <f>447+(138.4-42)+(0+(0-0))+0-0-0</f>
        <v>543.4</v>
      </c>
    </row>
    <row r="241" spans="1:31" s="2" customFormat="1" x14ac:dyDescent="0.25">
      <c r="A241">
        <v>89</v>
      </c>
      <c r="B241">
        <v>8</v>
      </c>
      <c r="C241">
        <v>25</v>
      </c>
      <c r="D241">
        <v>4</v>
      </c>
      <c r="E241">
        <v>1</v>
      </c>
      <c r="F241" s="3">
        <f>290+(131.9-25)+(-0.7395+(-0.336345--0.06375))+0-0-0</f>
        <v>395.88790499999999</v>
      </c>
      <c r="G241" s="3">
        <f>290+(110.4-24)+(-0.1479+(-0.056304--0.01224))+0-0-0</f>
        <v>376.20803599999999</v>
      </c>
      <c r="H241" s="3">
        <f>290+(99.7-24)+(-0.7395+(-0.254235--0.0612))+0-0-0</f>
        <v>364.76746500000002</v>
      </c>
      <c r="I241" s="3">
        <f>290+(97.6-24)+(0.2958+(0.099552-0.02448))+0-0-0</f>
        <v>363.97087200000004</v>
      </c>
      <c r="J241" s="3">
        <f>290+(111.3-25)+(0+(0-0))+0-0-0</f>
        <v>376.3</v>
      </c>
      <c r="K241" s="3">
        <f>290+(141.4-27)+(-0.1479+(-0.072114--0.01377))+0-0-0</f>
        <v>404.19375599999995</v>
      </c>
      <c r="L241" s="3">
        <f>290+(157.2-31)+(0.1479+(0.080172-0.01581))+0-0-0</f>
        <v>416.412262</v>
      </c>
      <c r="M241" s="3">
        <f>290+(170.6-31)+(0.1479+(0.087006-0.01581))+0-0-0</f>
        <v>429.819096</v>
      </c>
      <c r="N241" s="3">
        <f>295+(149.7-30)+(0.45135+(0.229041-0.0459))+0-0-0</f>
        <v>415.33449100000001</v>
      </c>
      <c r="O241" s="3">
        <f>365+(137.9-30)+(-0.55845+(-0.210987--0.0459))+0-0-0</f>
        <v>472.17646299999996</v>
      </c>
      <c r="P241" s="3">
        <f>364+(144-28)+(0+(0-0))+0-0-0</f>
        <v>480</v>
      </c>
      <c r="Q241" s="3">
        <f>403+(90.4-48)+(-0.61659+(-0.138312--0.07344))+0-0-0</f>
        <v>444.71853799999997</v>
      </c>
      <c r="R241" s="3">
        <f>389+(100.9-40)+(-0.79356+(-0.205836--0.0816))+0-0-0</f>
        <v>448.98220399999997</v>
      </c>
      <c r="S241" s="3">
        <f>356+(118.8-27)+(-0.18156+(-0.060588--0.01377))+0-0-0</f>
        <v>447.57162199999999</v>
      </c>
      <c r="T241" s="3">
        <f>356+(109.9-28)+(-0.54468+(-0.168147--0.04284))+0-0-0</f>
        <v>437.23001299999999</v>
      </c>
      <c r="U241" s="3">
        <f>356+(112-29)+(-0.9078+(-0.2856--0.07395))+0-0-0</f>
        <v>437.88055000000003</v>
      </c>
      <c r="V241" s="3">
        <f>361+(141.7-31)+(-0.73644+(-0.289068--0.06324))+0-0-0</f>
        <v>470.73773199999999</v>
      </c>
      <c r="W241" s="3">
        <f>427+(139.3-38)+(0+(0-0))+0-0-0</f>
        <v>528.29999999999995</v>
      </c>
      <c r="X241" s="3">
        <f>424+(148-39)+(-0.86496+(-0.30192--0.07956))+0-0-0</f>
        <v>531.91268000000002</v>
      </c>
      <c r="Y241" s="3">
        <f>323+(233.2-33)+(-0.98838+(-0.713592--0.10098))+0-0-0</f>
        <v>521.59900800000003</v>
      </c>
      <c r="Z241" s="3">
        <f>288+(223.9-31)+(-0.29376+(-0.228378--0.03162))+0-0-0</f>
        <v>480.40948199999997</v>
      </c>
      <c r="AA241" s="3">
        <f>288+(224.9-29)+(-0.44064+(-0.344097--0.04437))+0-0-0</f>
        <v>483.15963299999999</v>
      </c>
      <c r="AB241" s="3">
        <f>288+(203-28)+(-0.7344+(-0.51765--0.0714))+0-0-0</f>
        <v>461.81934999999999</v>
      </c>
      <c r="AC241" s="3">
        <f>288+(156-26)+(0+(0-0))+0-0-0</f>
        <v>418</v>
      </c>
      <c r="AD241">
        <f t="shared" si="3"/>
        <v>10607.391157999999</v>
      </c>
      <c r="AE241" s="3">
        <f>448+(150.2-34)+(0+(0-0))+0-0-0</f>
        <v>564.20000000000005</v>
      </c>
    </row>
    <row r="242" spans="1:31" s="2" customFormat="1" x14ac:dyDescent="0.25">
      <c r="A242">
        <v>89</v>
      </c>
      <c r="B242">
        <v>8</v>
      </c>
      <c r="C242">
        <v>26</v>
      </c>
      <c r="D242">
        <v>5</v>
      </c>
      <c r="E242">
        <v>3</v>
      </c>
      <c r="F242" s="3">
        <f>290+(147.7-25)+(-0.5916+(-0.301308--0.051))+0-0-0</f>
        <v>411.858092</v>
      </c>
      <c r="G242" s="3">
        <f>332+(70.3-26)+(0+(0-0))+0-0-0</f>
        <v>376.3</v>
      </c>
      <c r="H242" s="3">
        <f>380+(34.9-51.1)+(-0.969+(-0.088995--0.130305))+0-0-0</f>
        <v>362.87231000000003</v>
      </c>
      <c r="I242" s="3">
        <f>380+(33.2-50)+(-0.7752+(-0.067728--0.102))+0-0-0</f>
        <v>362.45907199999999</v>
      </c>
      <c r="J242" s="3">
        <f>297+(104-26)+(0.45441+(0.15912-0.03978))+0-0-0</f>
        <v>375.57375000000002</v>
      </c>
      <c r="K242" s="3">
        <f>362+(88.6-32.8)+(-0.18462+(-0.045186--0.016728))+0-0-0</f>
        <v>417.58692200000002</v>
      </c>
      <c r="L242" s="3">
        <f>358+(148.1-54.9)+(0.18258+(0.075531-0.027999))+0-0-0</f>
        <v>451.43011200000001</v>
      </c>
      <c r="M242" s="3">
        <f>380+(107-64)+(-0.3876+(-0.10914--0.06528))+0-0-0</f>
        <v>422.56853999999998</v>
      </c>
      <c r="N242" s="3">
        <f>401+(102.7-64.6)+(0+(0-0))+0-0-0</f>
        <v>439.1</v>
      </c>
      <c r="O242" s="3">
        <f>422+(69-76.9)+(-0.86088+(-0.14076--0.156876))+0-0-0</f>
        <v>413.25523600000002</v>
      </c>
      <c r="P242" s="3">
        <f>422+(59.7-81.4)+(-0.64566+(-0.091341--0.124542))+0-0-0</f>
        <v>399.68754100000001</v>
      </c>
      <c r="Q242" s="3">
        <f>416+(57.3-81.8)+(-0.84864+(-0.116892--0.166872))+0-0-0</f>
        <v>390.70134000000002</v>
      </c>
      <c r="R242" s="3">
        <f>422+(40.5-86.8)+(-0.43044+(-0.04131--0.088536))+0-0-0</f>
        <v>375.31678599999998</v>
      </c>
      <c r="S242" s="3">
        <f>433+(37.9-79.5)+(-0.44166+(-0.038658--0.08109))+0-0-0</f>
        <v>391.00077199999998</v>
      </c>
      <c r="T242" s="3">
        <f>428+(12.1-49.6)+(-0.21828+(-0.006171--0.025296))+0-0-0</f>
        <v>390.30084499999998</v>
      </c>
      <c r="U242" s="3">
        <f>402+(22.7-44.6)+(-0.20502+(-0.011577--0.022746))+0-0-0</f>
        <v>379.90614900000003</v>
      </c>
      <c r="V242" s="3">
        <f>412+(43.2-36)+(-0.84048+(-0.088128--0.07344))+0-0-0</f>
        <v>418.344832</v>
      </c>
      <c r="W242" s="3">
        <f>412+(112.7-30)+(-0.63036+(-0.172431--0.0459))+0-0-0</f>
        <v>493.94310899999999</v>
      </c>
      <c r="X242" s="3">
        <f>412+(110.6-32)+(-1.0506+(-0.28203--0.0816))+0-0-0</f>
        <v>489.34897000000001</v>
      </c>
      <c r="Y242" s="3">
        <f>419+(100.9-30)+(-0.42738+(-0.102918--0.0306))+0-0-0</f>
        <v>489.40030199999995</v>
      </c>
      <c r="Z242" s="3">
        <f>426+(64.1-37)+(-0.43452+(-0.065382--0.03774))+0-0-0</f>
        <v>452.63783800000004</v>
      </c>
      <c r="AA242" s="3">
        <f>428+(55.5-37)+(-0.87312+(-0.11322--0.07548))+0-0-0</f>
        <v>445.58913999999999</v>
      </c>
      <c r="AB242" s="3">
        <f>408+(51.2-36)+(-1.0404+(-0.13056--0.0918))+0-0-0</f>
        <v>422.12083999999999</v>
      </c>
      <c r="AC242" s="3">
        <f>372+(66.2-37)+(-0.75888+(-0.135048--0.07548))+0-0-0</f>
        <v>400.381552</v>
      </c>
      <c r="AD242">
        <f t="shared" si="3"/>
        <v>9971.6840499999998</v>
      </c>
      <c r="AE242" s="3">
        <f>412+(87.3-32)+(0+(0-0))+0-0-0</f>
        <v>467.3</v>
      </c>
    </row>
    <row r="243" spans="1:31" s="2" customFormat="1" x14ac:dyDescent="0.25">
      <c r="A243">
        <v>89</v>
      </c>
      <c r="B243">
        <v>8</v>
      </c>
      <c r="C243">
        <v>27</v>
      </c>
      <c r="D243">
        <v>6</v>
      </c>
      <c r="E243">
        <v>6</v>
      </c>
      <c r="F243" s="3">
        <f>371+(47.2-45)+(-0.94605+(-0.12036--0.11475))+0-0-0</f>
        <v>372.24833999999998</v>
      </c>
      <c r="G243" s="3">
        <f>334+(54.9-27)+(-0.68136+(-0.111996--0.05508))+0-0-0</f>
        <v>361.16172399999999</v>
      </c>
      <c r="H243" s="3">
        <f>284+(85.5-22)+(-0.57936+(-0.17442--0.04488))+0-0-0</f>
        <v>346.79109999999997</v>
      </c>
      <c r="I243" s="3">
        <f>284+(85.2-23)+(0.28968+(0.086904-0.02346))+0-0-0</f>
        <v>346.55312399999997</v>
      </c>
      <c r="J243" s="3">
        <f>284+(97.6-24)+(-0.43452+(-0.149328--0.03672))+0-0-0</f>
        <v>357.05287200000004</v>
      </c>
      <c r="K243" s="3">
        <f>284+(124.6-26)+(-0.14484+(-0.063546--0.01326))+0-0-0</f>
        <v>382.40487400000001</v>
      </c>
      <c r="L243" s="3">
        <f>285+(140.7-29)+(-0.8721+(-0.430542--0.08874))+0-0-0</f>
        <v>395.48609799999997</v>
      </c>
      <c r="M243" s="3">
        <f>285+(160.5-31)+(0+(0-0))+0-0-0</f>
        <v>414.5</v>
      </c>
      <c r="N243" s="3">
        <f>319+(134.2-31)+(-0.32538+(-0.136884--0.03162))+0-0-0</f>
        <v>421.76935600000002</v>
      </c>
      <c r="O243" s="3">
        <f>366+(90.5-33)+(0.37332+(0.09231-0.03366))+0-0-0</f>
        <v>423.93196999999998</v>
      </c>
      <c r="P243" s="3">
        <f>388+(77.5-41)+(-0.79152+(-0.1581--0.08364))+0-0-0</f>
        <v>423.63402000000002</v>
      </c>
      <c r="Q243" s="3">
        <f>359+(94.8-26)+(-0.73236+(-0.193392--0.05304))+0-0-0</f>
        <v>426.92728800000003</v>
      </c>
      <c r="R243" s="3">
        <f>292+(159.8-26)+(-0.44676+(-0.244494--0.03978))+0-0-0</f>
        <v>425.148526</v>
      </c>
      <c r="S243" s="3">
        <f>281+(157.4-26)+(-0.42993+(-0.240822--0.03978))+0-0-0</f>
        <v>411.76902799999999</v>
      </c>
      <c r="T243" s="3">
        <f>281+(148.7-26)+(0.14331+(0.075837-0.01326))+0-0-0</f>
        <v>403.90588700000001</v>
      </c>
      <c r="U243" s="3">
        <f>281+(151.5-25)+(0.14331+(0.077265-0.01275))+0-0-0</f>
        <v>407.70782500000001</v>
      </c>
      <c r="V243" s="3">
        <f>283+(193-28)+(0+(0-0))+0-0-0</f>
        <v>448</v>
      </c>
      <c r="W243" s="3">
        <f>433+(108.3-45)+(0+(0-0))+0-0-0</f>
        <v>496.3</v>
      </c>
      <c r="X243" s="3">
        <f>430+(113.1-42)+(-0.6579+(-0.173043--0.06426))+0-0-0</f>
        <v>500.33331700000002</v>
      </c>
      <c r="Y243" s="3">
        <f>431+(99-46)+(-0.43962+(-0.10098--0.04692))+0-0-0</f>
        <v>483.50632000000002</v>
      </c>
      <c r="Z243" s="3">
        <f>424+(91-45)+(-0.21624+(-0.04641--0.02295))+0-0-0</f>
        <v>469.76029999999997</v>
      </c>
      <c r="AA243" s="3">
        <f>414+(69.3-48)+(-0.21114+(-0.035343--0.02448))+0-0-0</f>
        <v>435.07799700000004</v>
      </c>
      <c r="AB243" s="3">
        <f>405+(53.3-46)+(-0.61965+(-0.081549--0.07038))+0-0-0</f>
        <v>411.66918100000004</v>
      </c>
      <c r="AC243" s="3">
        <f>313+(101.8-25)+(-0.31926+(-0.103836--0.0255))+0-0-0</f>
        <v>389.40240399999999</v>
      </c>
      <c r="AD243">
        <f t="shared" si="3"/>
        <v>9955.0415509999984</v>
      </c>
      <c r="AE243" s="3">
        <f>433+(113.3-50)+(0+(0-0))+0-0-0</f>
        <v>496.3</v>
      </c>
    </row>
    <row r="244" spans="1:31" s="2" customFormat="1" x14ac:dyDescent="0.25">
      <c r="A244">
        <v>89</v>
      </c>
      <c r="B244">
        <v>8</v>
      </c>
      <c r="C244">
        <v>28</v>
      </c>
      <c r="D244">
        <v>7</v>
      </c>
      <c r="E244">
        <v>1</v>
      </c>
      <c r="F244" s="3">
        <f>284+(113.2-23)+(-0.57936+(-0.230928--0.04692))+0-0-0</f>
        <v>373.43663199999997</v>
      </c>
      <c r="G244" s="3">
        <f>284+(105-22)+(-0.7242+(-0.26775--0.0561))+0-0-0</f>
        <v>366.06414999999998</v>
      </c>
      <c r="H244" s="3">
        <f>284+(93.2-22)+(-0.7242+(-0.23766--0.0561))+0-0-0</f>
        <v>354.29424</v>
      </c>
      <c r="I244" s="3">
        <f>284+(91.7-22)+(-0.14484+(-0.046767--0.01122))+0-0-0</f>
        <v>353.51961299999999</v>
      </c>
      <c r="J244" s="3">
        <f>283+(108-23)+(0.28866+(0.11016-0.02346))+0-0-0</f>
        <v>368.37536</v>
      </c>
      <c r="K244" s="3">
        <f>283+(118.8-27)+(-0.14433+(-0.060588--0.01377))+0-0-0</f>
        <v>374.60885200000001</v>
      </c>
      <c r="L244" s="3">
        <f>281+(135-29)+(-0.57324+(-0.2754--0.05916))+0-0-0</f>
        <v>386.21051999999997</v>
      </c>
      <c r="M244" s="3">
        <f>281+(150.3-30)+(0.42993+(0.229959-0.0459))+0-0-0</f>
        <v>401.91398900000002</v>
      </c>
      <c r="N244" s="3">
        <f>279+(156.5-29)+(0+(0-0))+0-0-0</f>
        <v>406.5</v>
      </c>
      <c r="O244" s="3">
        <f>315+(120.8-33)+(-0.16065+(-0.061608--0.01683))+0-0-0</f>
        <v>402.59457200000003</v>
      </c>
      <c r="P244" s="3">
        <f>355+(109.9-31)+(0.18105+(0.056049-0.01581))+0-0-0</f>
        <v>434.12128899999999</v>
      </c>
      <c r="Q244" s="3">
        <f>370+(83.4-34)+(0.1887+(0.042534-0.01734))+0-0-0</f>
        <v>419.61389399999996</v>
      </c>
      <c r="R244" s="3">
        <f>397+(62.5-45)+(-1.01235+(-0.159375--0.11475))+0-0-0</f>
        <v>413.44302499999998</v>
      </c>
      <c r="S244" s="3">
        <f>396+(54.8-42)+(-0.60588+(-0.083844--0.06426))+0-0-0</f>
        <v>408.17453599999999</v>
      </c>
      <c r="T244" s="3">
        <f>396+(52.6-53)+(0.20196+(0.026826-0.02703))+0-0-0</f>
        <v>395.80175600000001</v>
      </c>
      <c r="U244" s="3">
        <f>368+(75.5-49)+(-0.75072+(-0.15402--0.09996))+0-0-0</f>
        <v>393.69522000000001</v>
      </c>
      <c r="V244" s="3">
        <f>284+(178-28)+(0.14484+(0.09078-0.01428))+0-0-0</f>
        <v>434.22134</v>
      </c>
      <c r="W244" s="3">
        <f>390+(152.6-31)+(0+(0-0))+0-0-0</f>
        <v>511.6</v>
      </c>
      <c r="X244" s="3">
        <f>408+(142.2-36)+(-0.83232+(-0.290088--0.07344))+0-0-0</f>
        <v>513.1510320000001</v>
      </c>
      <c r="Y244" s="3">
        <f>411+(130.3-37)+(-0.41922+(-0.132906--0.03774))+0-0-0</f>
        <v>503.78561400000001</v>
      </c>
      <c r="Z244" s="3">
        <f>412+(116.2-36)+(-0.42024+(-0.118524--0.03672))+0-0-0</f>
        <v>491.69795599999998</v>
      </c>
      <c r="AA244" s="3">
        <f>412+(98-40)+(-0.21012+(-0.04998--0.0204))+0-0-0</f>
        <v>469.76029999999997</v>
      </c>
      <c r="AB244" s="3">
        <f>413+(70-44)+(-0.63189+(-0.1071--0.06732))+0-0-0</f>
        <v>438.32832999999999</v>
      </c>
      <c r="AC244" s="3">
        <f>399+(52.6-39)+(0+(0-0))+0-0-0</f>
        <v>412.6</v>
      </c>
      <c r="AD244">
        <f t="shared" si="3"/>
        <v>10027.512219999999</v>
      </c>
      <c r="AE244" s="3">
        <f>408+(140.1-35)+(0+(0-0))+0-0-0</f>
        <v>513.1</v>
      </c>
    </row>
    <row r="245" spans="1:31" s="2" customFormat="1" x14ac:dyDescent="0.25">
      <c r="A245">
        <v>89</v>
      </c>
      <c r="B245">
        <v>8</v>
      </c>
      <c r="C245">
        <v>29</v>
      </c>
      <c r="D245">
        <v>1</v>
      </c>
      <c r="E245">
        <v>1</v>
      </c>
      <c r="F245" s="3">
        <f>371+(46.8-41)+(-0.75684+(-0.095472--0.08364))+0-0-0</f>
        <v>376.03132800000003</v>
      </c>
      <c r="G245" s="3">
        <f>309+(84.5-22)+(-0.47277+(-0.129285--0.03366))+0-0-0</f>
        <v>370.93160499999999</v>
      </c>
      <c r="H245" s="3">
        <f>306+(79.3-22)+(-0.46818+(-0.121329--0.03366))+0-0-0</f>
        <v>362.74415099999999</v>
      </c>
      <c r="I245" s="3">
        <f>316+(67.7-22)+(0.48348+(0.103581-0.03366))+0-0-0</f>
        <v>362.253401</v>
      </c>
      <c r="J245" s="3">
        <f>329+(72.5-24)+(-0.50337+(-0.110925--0.03672))+0-0-0</f>
        <v>376.92242499999998</v>
      </c>
      <c r="K245" s="3">
        <f>334+(104-27)+(-0.17034+(-0.05304--0.01377))+0-0-0</f>
        <v>410.79039</v>
      </c>
      <c r="L245" s="3">
        <f>340+(130.7-30)+(-0.6936+(-0.266628--0.0612))+0-0-0</f>
        <v>439.800972</v>
      </c>
      <c r="M245" s="3">
        <f>340+(141.9-28)+(0.5202+(0.217107-0.04284))+0-0-0</f>
        <v>454.59446699999995</v>
      </c>
      <c r="N245" s="3">
        <f>349+(140-28)+(0.17799+(0.0714-0.01428))+0-0-0</f>
        <v>461.23511000000002</v>
      </c>
      <c r="O245" s="3">
        <f>425+(72-39)+(-0.4335+(-0.07344--0.03978))+0-0-0</f>
        <v>457.53284000000002</v>
      </c>
      <c r="P245" s="3">
        <f>438+(73-50)+(0+(0-0))+0-0-0</f>
        <v>461</v>
      </c>
      <c r="Q245" s="3">
        <f>437+(68.9-48)+(0+(0-0))+0-0-0</f>
        <v>457.9</v>
      </c>
      <c r="R245" s="3">
        <f>430+(74.1-48)+(-0.8772+(-0.151164--0.09792))+0-0-0</f>
        <v>455.169556</v>
      </c>
      <c r="S245" s="3">
        <f>454+(59.3-59.2)+(0.69462+(0.090729-0.090576))+0-0-0</f>
        <v>454.79477300000002</v>
      </c>
      <c r="T245" s="3">
        <f>488+(48.8-82.8)+(0+(0-0))+0-0-0</f>
        <v>454</v>
      </c>
      <c r="U245" s="3">
        <f>483+(74.5-49.4)+(-0.49266+(-0.07599--0.050388))+0-0-0</f>
        <v>507.58173800000003</v>
      </c>
      <c r="V245" s="3">
        <f>365+(173.2-25)+(0.18615+(0.088332-0.01275))+0-0-0</f>
        <v>513.4617320000001</v>
      </c>
      <c r="W245" s="3">
        <f>421+(151.5-49)+(-0.42942+(-0.15453--0.04998))+0-0-0</f>
        <v>522.96603000000005</v>
      </c>
      <c r="X245" s="3">
        <f>509+(91.7-31)+(-0.77877+(-0.140301--0.04743))+0-0-0</f>
        <v>568.82835900000009</v>
      </c>
      <c r="Y245" s="3">
        <f>403+(167.3-29)+(-0.20553+(-0.085323--0.01479))+0-0-0</f>
        <v>541.02393699999993</v>
      </c>
      <c r="Z245" s="3">
        <f>348+(177.3-29)+(-0.17748+(-0.090423--0.01479))+0-0-0</f>
        <v>496.04688700000003</v>
      </c>
      <c r="AA245" s="3">
        <f>348+(153-26)+(-0.35496+(-0.15606--0.02652))+0-0-0</f>
        <v>474.51549999999997</v>
      </c>
      <c r="AB245" s="3">
        <f>348+(121-23)+(-0.17748+(-0.06171--0.01173))+0-0-0</f>
        <v>445.77253999999999</v>
      </c>
      <c r="AC245" s="3">
        <f>348+(85.1-23)+(-0.70992+(-0.173604--0.04692))+0-0-0</f>
        <v>409.263396</v>
      </c>
      <c r="AD245">
        <f t="shared" si="3"/>
        <v>10835.161136999999</v>
      </c>
      <c r="AE245" s="3">
        <f>504+(92.8-54.5)+(0+(0-0))+0-0-0</f>
        <v>542.29999999999995</v>
      </c>
    </row>
    <row r="246" spans="1:31" s="2" customFormat="1" x14ac:dyDescent="0.25">
      <c r="A246">
        <v>89</v>
      </c>
      <c r="B246">
        <v>8</v>
      </c>
      <c r="C246">
        <v>30</v>
      </c>
      <c r="D246">
        <v>2</v>
      </c>
      <c r="E246">
        <v>1</v>
      </c>
      <c r="F246" s="3">
        <f>341+(67.9-22)+(-0.17391+(-0.034629--0.01122))+0-0-0</f>
        <v>386.70268099999998</v>
      </c>
      <c r="G246" s="3">
        <f>341+(56.3-23.3)+(-0.52173+(-0.086139--0.035649))+0-0-0</f>
        <v>373.42777999999998</v>
      </c>
      <c r="H246" s="3">
        <f>341+(51.3-27.9)+(-0.17391+(-0.026163--0.014229))+0-0-0</f>
        <v>364.214156</v>
      </c>
      <c r="I246" s="3">
        <f>342+(50.1-30)+(-0.17442+(-0.025551--0.0153))+0-0-0</f>
        <v>361.91532900000004</v>
      </c>
      <c r="J246" s="3">
        <f>342+(58.3-26.1)+(0.69768+(0.118932-0.053244))+0-0-0</f>
        <v>374.963368</v>
      </c>
      <c r="K246" s="3">
        <f>342+(97.8-27)+(0.17442+(0.049878-0.01377))+0-0-0</f>
        <v>413.01052800000002</v>
      </c>
      <c r="L246" s="3">
        <f>341+(111.3-41)+(0+(0-0))+0-0-0</f>
        <v>411.3</v>
      </c>
      <c r="M246" s="3">
        <f>399+(86.7-40)+(-0.61047+(-0.132651--0.0612))+0-0-0</f>
        <v>445.018079</v>
      </c>
      <c r="N246" s="3">
        <f>420+(75.5-38)+(0.4284+(0.07701-0.03876))+0-0-0</f>
        <v>457.96665000000002</v>
      </c>
      <c r="O246" s="3">
        <f>418+(77.1-38)+(-0.63954+(-0.117963--0.05814))+0-0-0</f>
        <v>456.40063700000002</v>
      </c>
      <c r="P246" s="3">
        <f>416+(78.2-35)+(0.21216+(0.039882-0.01785))+0-0-0</f>
        <v>459.434192</v>
      </c>
      <c r="Q246" s="3">
        <f>367+(119.7-28)+(-0.37434+(-0.122094--0.02856))+0-0-0</f>
        <v>458.23212599999999</v>
      </c>
      <c r="R246" s="3">
        <f>367+(131.5-29)+(-0.93585+(-0.335325--0.07395))+0-0-0</f>
        <v>468.302775</v>
      </c>
      <c r="S246" s="3">
        <f>411+(83-34)+(-0.20961+(-0.04233--0.01734))+0-0-0</f>
        <v>459.7654</v>
      </c>
      <c r="T246" s="3">
        <f>417+(72.9-34)+(-0.63801+(-0.111537--0.05202))+0-0-0</f>
        <v>455.202473</v>
      </c>
      <c r="U246" s="3">
        <f>417+(78-36)+(0.21267+(0.03978-0.01836))+0-0-0</f>
        <v>459.23408999999998</v>
      </c>
      <c r="V246" s="3">
        <f>422+(114.5-29)+(-0.21522+(-0.058395--0.01479))+0-0-0</f>
        <v>507.241175</v>
      </c>
      <c r="W246" s="3">
        <f>490+(114.4-47)+(0+(0-0))+0-0-0</f>
        <v>557.4</v>
      </c>
      <c r="X246" s="3">
        <f>505+(108.3-56)+(-1.0302+(-0.220932--0.11424))+0-0-0</f>
        <v>556.16310799999997</v>
      </c>
      <c r="Y246" s="3">
        <f>506+(94.9-56.9)+(-1.03224+(-0.193596--0.116076))+0-0-0</f>
        <v>542.89023999999995</v>
      </c>
      <c r="Z246" s="3">
        <f>408+(136.1-31)+(-1.0404+(-0.347055--0.07905))+0-0-0</f>
        <v>511.79159500000003</v>
      </c>
      <c r="AA246" s="3">
        <f>343+(174.9-30)+(-0.52479+(-0.267597--0.0459))+0-0-0</f>
        <v>487.15351299999998</v>
      </c>
      <c r="AB246" s="3">
        <f>343+(138.8-28)+(-0.52479+(-0.212364--0.04284))+0-0-0</f>
        <v>453.10568599999999</v>
      </c>
      <c r="AC246" s="3">
        <f>343+(102.3-27)+(-0.52479+(-0.156519--0.04131))+0-0-0</f>
        <v>417.66000100000002</v>
      </c>
      <c r="AD246">
        <f t="shared" si="3"/>
        <v>10838.495582000001</v>
      </c>
      <c r="AE246" s="3">
        <f>503+(112-53)+(0+(0-0))+0-0-0</f>
        <v>562</v>
      </c>
    </row>
    <row r="247" spans="1:31" s="2" customFormat="1" x14ac:dyDescent="0.25">
      <c r="A247">
        <v>89</v>
      </c>
      <c r="B247">
        <v>9</v>
      </c>
      <c r="C247">
        <v>1</v>
      </c>
      <c r="D247">
        <v>3</v>
      </c>
      <c r="E247">
        <v>1</v>
      </c>
      <c r="F247" s="3">
        <f>334+(96.2-25)+(-0.8517+(-0.24531--0.06375))+0-0-0</f>
        <v>404.16674</v>
      </c>
      <c r="G247" s="3">
        <f>330+(74.7-23)+(-0.1683+(-0.038097--0.01173))+0-0-0</f>
        <v>381.50533300000001</v>
      </c>
      <c r="H247" s="3">
        <f>330+(69.8-22)+(-0.5049+(-0.106794--0.03366))+0-0-0</f>
        <v>377.22196600000001</v>
      </c>
      <c r="I247" s="3">
        <f>330+(69.6-21)+(-0.1683+(-0.035496--0.01071))+0-0-0</f>
        <v>378.40691400000003</v>
      </c>
      <c r="J247" s="3">
        <f>330+(84.4-22)+(0.1683+(0.043044-0.01122))+0-0-0</f>
        <v>392.60012399999999</v>
      </c>
      <c r="K247" s="3">
        <f>330+(124.8-25)+(-0.5049+(-0.190944--0.03825))+0-0-0</f>
        <v>429.14240599999999</v>
      </c>
      <c r="L247" s="3">
        <f>324+(170.5-32)+(0+(0-0))+0-0-0</f>
        <v>462.5</v>
      </c>
      <c r="M247" s="3">
        <f>325+(177.6-30)+(-0.16575+(-0.090576--0.0153))+0-0-0</f>
        <v>472.35897400000005</v>
      </c>
      <c r="N247" s="3">
        <f>397+(107.7-32)+(-0.80988+(-0.219708--0.06528))+0-0-0</f>
        <v>471.73569199999997</v>
      </c>
      <c r="O247" s="3">
        <f>363+(126.4-29)+(-0.55539+(-0.193392--0.04437))+0-0-0</f>
        <v>459.69558799999999</v>
      </c>
      <c r="P247" s="3">
        <f>367+(116.6-28)+(-0.37434+(-0.118932--0.02856))+0-0-0</f>
        <v>455.135288</v>
      </c>
      <c r="Q247" s="3">
        <f>366+(117-28)+(-0.37332+(-0.11934--0.02856))+0-0-0</f>
        <v>454.53590000000003</v>
      </c>
      <c r="R247" s="3">
        <f>363+(120.5-29)+(-0.18513+(-0.061455--0.01479))+0-0-0</f>
        <v>454.26820500000002</v>
      </c>
      <c r="S247" s="3">
        <f>364+(111.1-29)+(-0.55692+(-0.169983--0.04437))+0-0-0</f>
        <v>445.41746700000004</v>
      </c>
      <c r="T247" s="3">
        <f>403+(71.8-32)+(0+(0-0))+0-0-0</f>
        <v>442.8</v>
      </c>
      <c r="U247" s="3">
        <f>419+(61.9-40.2)+(0.21369+(0.031569-0.020502))+0-0-0</f>
        <v>440.924757</v>
      </c>
      <c r="V247" s="3">
        <f>425+(92.9-32)+(0+(0-0))+0-0-0</f>
        <v>485.9</v>
      </c>
      <c r="W247" s="3">
        <f>491+(110.7-47)+(-0.25041+(-0.056457--0.02397))+0-0-0</f>
        <v>554.417103</v>
      </c>
      <c r="X247" s="3">
        <f>504+(105.1-58)+(-1.2852+(-0.268005--0.1479))+0-0-0</f>
        <v>549.69469500000002</v>
      </c>
      <c r="Y247" s="3">
        <f>477+(107.3-45)+(-0.24327+(-0.054723--0.02295))+0-0-0</f>
        <v>539.02495699999997</v>
      </c>
      <c r="Z247" s="3">
        <f>430+(116.7-32)+(-0.6579+(-0.178551--0.04896))+0-0-0</f>
        <v>513.912509</v>
      </c>
      <c r="AA247" s="3">
        <f>430+(90-37)+(-0.8772+(-0.1836--0.07548))+0-0-0</f>
        <v>482.01468</v>
      </c>
      <c r="AB247" s="3">
        <f>431+(68.3-41.1)+(-0.87924+(-0.139332--0.083844))+0-0-0</f>
        <v>457.26527199999998</v>
      </c>
      <c r="AC247" s="3">
        <f>432+(55.7-54.4)+(-1.54224+(-0.198849--0.194208))+0-0-0</f>
        <v>431.75311900000003</v>
      </c>
      <c r="AD247">
        <f t="shared" si="3"/>
        <v>10936.397689000001</v>
      </c>
      <c r="AE247" s="3">
        <f>502+(107.2-58)+(0+(0-0))+0-0-0</f>
        <v>551.20000000000005</v>
      </c>
    </row>
    <row r="248" spans="1:31" s="2" customFormat="1" x14ac:dyDescent="0.25">
      <c r="A248">
        <v>89</v>
      </c>
      <c r="B248">
        <v>9</v>
      </c>
      <c r="C248">
        <v>2</v>
      </c>
      <c r="D248">
        <v>4</v>
      </c>
      <c r="E248">
        <v>1</v>
      </c>
      <c r="F248" s="3">
        <f>427+(43.5-68.3)+(-0.65331+(-0.066555--0.104499))+0-0-0</f>
        <v>401.58463399999999</v>
      </c>
      <c r="G248" s="3">
        <f>346+(57.5-41)+(-0.35292+(-0.05865--0.04182))+0-0-0</f>
        <v>362.13024999999999</v>
      </c>
      <c r="H248" s="3">
        <f>346+(53.9-24.1)+(-0.52938+(-0.082467--0.036873))+0-0-0</f>
        <v>375.22502600000001</v>
      </c>
      <c r="I248" s="3">
        <f>346+(67.2-30.9)+(-0.52938+(-0.102816--0.047277))+0-0-0</f>
        <v>381.715081</v>
      </c>
      <c r="J248" s="3">
        <f>345+(82.6-29.7)+(0+(0-0))+0-0-0</f>
        <v>397.9</v>
      </c>
      <c r="K248" s="3">
        <f>345+(119.6-31)+(-0.7038+(-0.243984--0.06324))+0-0-0</f>
        <v>432.71545600000002</v>
      </c>
      <c r="L248" s="3">
        <f>397+(90.6-41)+(-0.20247+(-0.046206--0.02091))+0-0-0</f>
        <v>446.37223400000005</v>
      </c>
      <c r="M248" s="3">
        <f>429+(77.7-35)+(-0.21879+(-0.039627--0.01785))+0-0-0</f>
        <v>471.45943299999999</v>
      </c>
      <c r="N248" s="3">
        <f>425+(80.6-38)+(0.21675+(0.041106-0.01938))+0-0-0</f>
        <v>467.83847600000001</v>
      </c>
      <c r="O248" s="3">
        <f>422+(81.8-38)+(-0.64566+(-0.125154--0.05814))+0-0-0</f>
        <v>465.08732600000002</v>
      </c>
      <c r="P248" s="3">
        <f>406+(91.3-27)+(0.20706+(0.046563-0.01377))+0-0-0</f>
        <v>470.53985299999999</v>
      </c>
      <c r="Q248" s="3">
        <f>420+(80.1-32)+(-0.8568+(-0.163404--0.06528))+0-0-0</f>
        <v>467.14507600000002</v>
      </c>
      <c r="R248" s="3">
        <f>419+(81.4-36)+(-0.21369+(-0.041514--0.01836))+0-0-0</f>
        <v>464.16315599999996</v>
      </c>
      <c r="S248" s="3">
        <f>419+(76.3-37)+(0.42738+(0.077826-0.03774))+0-0-0</f>
        <v>458.76746600000001</v>
      </c>
      <c r="T248" s="3">
        <f>423+(75.4-44.4)+(0.43146+(0.076908-0.045288))+0-0-0</f>
        <v>454.46307999999999</v>
      </c>
      <c r="U248" s="3">
        <f>423+(75.8-45.4)+(0.21573+(0.038658-0.023154))+0-0-0</f>
        <v>453.63123399999995</v>
      </c>
      <c r="V248" s="3">
        <f>442+(101.1-44)+(-0.45084+(-0.103122--0.04488))+0-0-0</f>
        <v>498.59091800000004</v>
      </c>
      <c r="W248" s="3">
        <f>508+(110.7-61)+(0.25908+(0.056457-0.03111))+0-0-0</f>
        <v>557.9844270000001</v>
      </c>
      <c r="X248" s="3">
        <f>510+(100.9-60)+(-0.7803+(-0.154377--0.0918))+0-0-0</f>
        <v>550.05712299999993</v>
      </c>
      <c r="Y248" s="3">
        <f>513+(90.5-64.2)+(-0.78489+(-0.138465--0.098226))+0-0-0</f>
        <v>538.47487100000001</v>
      </c>
      <c r="Z248" s="3">
        <f>515+(81-79.2)+(-0.5253+(-0.08262--0.080784))+0-0-0</f>
        <v>516.27286399999991</v>
      </c>
      <c r="AA248" s="3">
        <f>518+(70.1-88.4)+(-0.79254+(-0.107253--0.135252))+0-0-0</f>
        <v>498.93545899999998</v>
      </c>
      <c r="AB248" s="3">
        <f>518+(54.9-105.4)+(-1.05672+(-0.111996--0.215016))+0-0-0</f>
        <v>466.54629999999997</v>
      </c>
      <c r="AC248" s="3">
        <f>442+(55-60.2)+(-0.45084+(-0.0561--0.061404))+0-0-0</f>
        <v>436.35446400000001</v>
      </c>
      <c r="AD248">
        <f t="shared" si="3"/>
        <v>11033.954207000001</v>
      </c>
      <c r="AE248" s="3">
        <f>509+(102.8-65.2)+(0+(0-0))+0-0-0</f>
        <v>546.6</v>
      </c>
    </row>
    <row r="249" spans="1:31" s="2" customFormat="1" x14ac:dyDescent="0.25">
      <c r="A249">
        <v>89</v>
      </c>
      <c r="B249">
        <v>9</v>
      </c>
      <c r="C249">
        <v>3</v>
      </c>
      <c r="D249">
        <v>5</v>
      </c>
      <c r="E249">
        <v>1</v>
      </c>
      <c r="F249" s="3">
        <f>424+(49.1-69.2)+(-0.86496+(-0.100164--0.141168))+0-0-0</f>
        <v>403.07604399999997</v>
      </c>
      <c r="G249" s="3">
        <f>420+(42.8-79.1)+(-0.6426+(-0.065484--0.121023))+0-0-0</f>
        <v>383.11293899999998</v>
      </c>
      <c r="H249" s="3">
        <f>424+(31-90.3)+(-1.0812+(-0.07905--0.230265))+17.4-0-0</f>
        <v>381.17001499999998</v>
      </c>
      <c r="I249" s="3">
        <f>424+(28.6-90.4)+(-0.21624+(-0.014586--0.046104))+17.4-0-0</f>
        <v>379.41527799999994</v>
      </c>
      <c r="J249" s="3">
        <f>391+(50.9-45.6)+(0+(0-0))+0-0-0</f>
        <v>396.3</v>
      </c>
      <c r="K249" s="3">
        <f>366+(92.9-32)+(-0.55998+(-0.142137--0.04896))+0-0-0</f>
        <v>426.24684299999996</v>
      </c>
      <c r="L249" s="3">
        <f>364+(118.2-31)+(-0.55692+(-0.180846--0.04743))+0-0-0</f>
        <v>450.50966399999999</v>
      </c>
      <c r="M249" s="3">
        <f>376+(111-43)+(-0.57528+(-0.16983--0.06579))+0-0-0</f>
        <v>443.32067999999998</v>
      </c>
      <c r="N249" s="3">
        <f>430+(81.4-53.4)+(-0.4386+(-0.083028--0.054468))+0-0-0</f>
        <v>457.53284000000002</v>
      </c>
      <c r="O249" s="3">
        <f>444+(76.4-58.5)+(0+(0-0))+0-0-0</f>
        <v>461.9</v>
      </c>
      <c r="P249" s="3">
        <f>442+(72.4-58.8)+(-0.45084+(-0.073848--0.059976))+0-0-0</f>
        <v>455.135288</v>
      </c>
      <c r="Q249" s="3">
        <f>440+(72.8-59)+(-0.4488+(-0.074256--0.06018))+0-0-0</f>
        <v>453.33712400000002</v>
      </c>
      <c r="R249" s="3">
        <f>379+(100.1-30)+(-0.19329+(-0.051051--0.0153))+0-0-0</f>
        <v>448.87095900000003</v>
      </c>
      <c r="S249" s="3">
        <f>350+(119.7-23)+(-0.357+(-0.122094--0.02346))+0-0-0</f>
        <v>446.24436600000001</v>
      </c>
      <c r="T249" s="3">
        <f>349+(114.3-22)+(-0.35598+(-0.116586--0.02244))+0-0-0</f>
        <v>440.849874</v>
      </c>
      <c r="U249" s="3">
        <f>350+(118.5-25)+(0.1785+(0.060435-0.01275))+0-0-0</f>
        <v>443.72618499999999</v>
      </c>
      <c r="V249" s="3">
        <f>356+(166.2-34)+(0+(0-0))+0-0-0</f>
        <v>488.2</v>
      </c>
      <c r="W249" s="3">
        <f>368+(210.4-33)+(0+(0-0))+0-0-0</f>
        <v>545.4</v>
      </c>
      <c r="X249" s="3">
        <f>378+(203.7-32)+(-0.57834+(-0.311661--0.04896))+0-0-0</f>
        <v>548.85895900000003</v>
      </c>
      <c r="Y249" s="3">
        <f>376+(183.1-30)+(-0.76704+(-0.373524--0.0612))+0-0-0</f>
        <v>528.02063599999997</v>
      </c>
      <c r="Z249" s="3">
        <f>380+(150-28)+(-1.1628+(-0.459--0.08568))+0-0-0</f>
        <v>500.46388000000002</v>
      </c>
      <c r="AA249" s="3">
        <f>382+(125.8-27)+(-0.77928+(-0.256632--0.05508))+0-0-0</f>
        <v>479.81916799999999</v>
      </c>
      <c r="AB249" s="3">
        <f>383+(94.8-25)+(-0.39066+(-0.096696--0.0255))+0-0-0</f>
        <v>452.338144</v>
      </c>
      <c r="AC249" s="3">
        <f>371+(79.8-24)+(-0.75684+(-0.162792--0.04896))+0-0-0</f>
        <v>425.929328</v>
      </c>
      <c r="AD249">
        <f t="shared" si="3"/>
        <v>10839.778213999996</v>
      </c>
      <c r="AE249" s="3">
        <f>374+(207.8-34)+(0+(0-0))+0-0-0</f>
        <v>547.79999999999995</v>
      </c>
    </row>
    <row r="250" spans="1:31" s="2" customFormat="1" x14ac:dyDescent="0.25">
      <c r="A250">
        <v>89</v>
      </c>
      <c r="B250">
        <v>9</v>
      </c>
      <c r="C250">
        <v>4</v>
      </c>
      <c r="D250">
        <v>6</v>
      </c>
      <c r="E250">
        <v>3</v>
      </c>
      <c r="F250" s="3">
        <f>322+(97.2-24)+(0+(0-0))+0-0-0</f>
        <v>395.2</v>
      </c>
      <c r="G250" s="3">
        <f>322+(80.6-23)+(0+(0-0))+0-0-0</f>
        <v>379.6</v>
      </c>
      <c r="H250" s="3">
        <f>323+(77.1-23)+(0+(0-0))+0-0-0</f>
        <v>377.1</v>
      </c>
      <c r="I250" s="3">
        <f>322+(76.4-24)+(0+(0-0))+0-0-0</f>
        <v>374.4</v>
      </c>
      <c r="J250" s="3">
        <f>322+(86.4-25)+(-0.16422+(-0.044064--0.01275))+0-0-0</f>
        <v>383.20446599999997</v>
      </c>
      <c r="K250" s="3">
        <f>324+(120.7-33)+(0.49572+(0.184671-0.05049))+0-0-0</f>
        <v>412.32990100000001</v>
      </c>
      <c r="L250" s="3">
        <f>321+(134.2-31)+(0+(0-0))+0-0-0</f>
        <v>424.2</v>
      </c>
      <c r="M250" s="3">
        <f>319+(153.8-29)+(-0.32538+(-0.156876--0.02958))+0-0-0</f>
        <v>443.34732400000001</v>
      </c>
      <c r="N250" s="3">
        <f>313+(164.1-28)+(-0.31926+(-0.167382--0.02856))+0-0-0</f>
        <v>448.64191800000003</v>
      </c>
      <c r="O250" s="3">
        <f>309+(173.5-23)+(-0.47277+(-0.265455--0.03519))+0-0-0</f>
        <v>458.796965</v>
      </c>
      <c r="P250" s="3">
        <f>307+(170.4-21)+(-0.31314+(-0.173808--0.02142))+0-0-0</f>
        <v>455.93447199999997</v>
      </c>
      <c r="Q250" s="3">
        <f>305+(159.7-21)+(-0.3111+(-0.162894--0.02142))+0-0-0</f>
        <v>443.24742599999996</v>
      </c>
      <c r="R250" s="3">
        <f>304+(166.8-25)+(-0.7752+(-0.42534--0.06375))+0-0-0</f>
        <v>444.66320999999999</v>
      </c>
      <c r="S250" s="3">
        <f>304+(163.9-27)+(0.31008+(0.167178-0.02754))+0-0-0</f>
        <v>441.349718</v>
      </c>
      <c r="T250" s="3">
        <f>305+(156.1-27)+(-0.77775+(-0.398055--0.06885))+0-0-0</f>
        <v>432.993045</v>
      </c>
      <c r="U250" s="3">
        <f>305+(159.6-27)+(0+(0-0))+0-0-0</f>
        <v>437.6</v>
      </c>
      <c r="V250" s="3">
        <f>311+(209.8-28)+(-0.47583+(-0.320994--0.04284))+0-0-0</f>
        <v>492.04601600000001</v>
      </c>
      <c r="W250" s="3">
        <f>323+(249-33)+(0.16473+(0.12699-0.01683))+0-0-0</f>
        <v>539.27489000000003</v>
      </c>
      <c r="X250" s="3">
        <f>326+(236.8-32)+(0+(0-0))+0-0-0</f>
        <v>530.79999999999995</v>
      </c>
      <c r="Y250" s="3">
        <f>325+(222.6-31)+(-0.82875+(-0.56763--0.07905))+0-0-0</f>
        <v>515.28267000000005</v>
      </c>
      <c r="Z250" s="3">
        <f>314+(205.9-29)+(-0.16014+(-0.105009--0.01479))+0-0-0</f>
        <v>490.64964099999997</v>
      </c>
      <c r="AA250" s="3">
        <f>316+(180.3-27)+(-0.16116+(-0.091953--0.01377))+0-0-0</f>
        <v>469.06065699999999</v>
      </c>
      <c r="AB250" s="3">
        <f>321+(148.1-25)+(-0.32742+(-0.151062--0.0255))+0-0-0</f>
        <v>443.647018</v>
      </c>
      <c r="AC250" s="3">
        <f>320+(121.9-24)+(-0.6528+(-0.248676--0.04896))+0-0-0</f>
        <v>417.047484</v>
      </c>
      <c r="AD250">
        <f t="shared" si="3"/>
        <v>10650.416821000001</v>
      </c>
      <c r="AE250" s="3">
        <f>325+(245.5-33)+(0+(0-0))+0-0-0</f>
        <v>537.5</v>
      </c>
    </row>
    <row r="251" spans="1:31" s="2" customFormat="1" x14ac:dyDescent="0.25">
      <c r="A251">
        <v>89</v>
      </c>
      <c r="B251">
        <v>9</v>
      </c>
      <c r="C251">
        <v>5</v>
      </c>
      <c r="D251">
        <v>7</v>
      </c>
      <c r="E251">
        <v>1</v>
      </c>
      <c r="F251" s="3">
        <f>321+(101-23)+(-0.49113+(-0.15453--0.03519))+0-0-0</f>
        <v>398.38952999999998</v>
      </c>
      <c r="G251" s="3">
        <f>324+(81.5-22)+(-0.49572+(-0.124695--0.03366))+0-0-0</f>
        <v>382.91324500000002</v>
      </c>
      <c r="H251" s="3">
        <f>323+(74.1-23)+(-0.49419+(-0.113373--0.03519))+0-0-0</f>
        <v>373.527627</v>
      </c>
      <c r="I251" s="3">
        <f>325+(70.1-24)+(-0.3315+(-0.071502--0.02448))+0-0-0</f>
        <v>370.72147800000005</v>
      </c>
      <c r="J251" s="3">
        <f>260+(149.3-30)+(0.2652+(0.152286-0.0306))+0-0-0</f>
        <v>379.68688600000002</v>
      </c>
      <c r="K251" s="3">
        <f>234+(197.3-32)+(0.11934+(0.100623-0.01632))+0-0-0</f>
        <v>399.50364300000001</v>
      </c>
      <c r="L251" s="3">
        <f>232+(232.4-33)+(-0.47328+(-0.474096--0.06732))+0-0-0</f>
        <v>430.51994399999995</v>
      </c>
      <c r="M251" s="3">
        <f>232+(230.4-33)+(-0.23664+(-0.235008--0.03366))+0-0-0</f>
        <v>428.96201199999996</v>
      </c>
      <c r="N251" s="3">
        <f>232+(230-32)+(0.11832+(0.1173-0.01632))+0-0-0</f>
        <v>430.21929999999998</v>
      </c>
      <c r="O251" s="3">
        <f>280+(208.1-31)+(0+(0-0))+0-0-0</f>
        <v>457.1</v>
      </c>
      <c r="P251" s="3">
        <f>310+(170.5-31)+(-0.1581+(-0.086955--0.01581))+0-0-0</f>
        <v>449.27075500000001</v>
      </c>
      <c r="Q251" s="3">
        <f>309+(168.9-30)+(-1.26072+(-0.689112--0.1224))+0-0-0</f>
        <v>446.07256799999999</v>
      </c>
      <c r="R251" s="3">
        <f>306+(180.4-26)+(-0.46818+(-0.276012--0.03978))+0-0-0</f>
        <v>459.69558799999999</v>
      </c>
      <c r="S251" s="3">
        <f>278+(200.9-26)+(-0.28356+(-0.204918--0.02652))+0-0-0</f>
        <v>452.438042</v>
      </c>
      <c r="T251" s="3">
        <f>229+(231.2-26)+(-0.11679+(-0.117912--0.01326))+0-0-0</f>
        <v>433.97855799999996</v>
      </c>
      <c r="U251" s="3">
        <f>229+(241.9-26)+(-0.23358+(-0.246738--0.02652))+0-0-0</f>
        <v>444.44620199999997</v>
      </c>
      <c r="V251" s="3">
        <f>232+(282.1-29)+(0+(0-0))+0-0-0</f>
        <v>485.1</v>
      </c>
      <c r="W251" s="3">
        <f>285+(291.4-35)+(-0.14535+(-0.148614--0.01785))+0-0-0</f>
        <v>541.12388599999997</v>
      </c>
      <c r="X251" s="3">
        <f>313+(272.6-32)+(-0.15963+(-0.139026--0.01632))+0-0-0</f>
        <v>553.31766400000004</v>
      </c>
      <c r="Y251" s="3">
        <f>316+(235.7-32)+(-0.48348+(-0.360621--0.04896))+0-0-0</f>
        <v>518.9048590000001</v>
      </c>
      <c r="Z251" s="3">
        <f>318+(212.3-31)+(-0.32436+(-0.216546--0.03162))+0-0-0</f>
        <v>498.79071400000004</v>
      </c>
      <c r="AA251" s="3">
        <f>310+(191.3-30)+(-0.6324+(-0.390252--0.0612))+0-0-0</f>
        <v>470.338548</v>
      </c>
      <c r="AB251" s="3">
        <f>319+(150.8-26)+(-0.48807+(-0.230724--0.03978))+0-0-0</f>
        <v>443.12098600000002</v>
      </c>
      <c r="AC251" s="3">
        <f>319+(114.2-25)+(-0.97614+(-0.349452--0.0765))+0-0-0</f>
        <v>406.95090799999997</v>
      </c>
      <c r="AD251">
        <f t="shared" si="3"/>
        <v>10655.092943</v>
      </c>
      <c r="AE251" s="3">
        <f>314+(265-35)+(0+(0-0))+0-0-0</f>
        <v>544</v>
      </c>
    </row>
    <row r="252" spans="1:31" s="2" customFormat="1" x14ac:dyDescent="0.25">
      <c r="A252">
        <v>89</v>
      </c>
      <c r="B252">
        <v>9</v>
      </c>
      <c r="C252">
        <v>6</v>
      </c>
      <c r="D252">
        <v>1</v>
      </c>
      <c r="E252">
        <v>1</v>
      </c>
      <c r="F252" s="3">
        <f>321+(93.3-24)+(0+(0-0))+0-0-0</f>
        <v>390.3</v>
      </c>
      <c r="G252" s="3">
        <f>321+(74.6-25)+(0+(0-0))+0-0-0</f>
        <v>370.6</v>
      </c>
      <c r="H252" s="3">
        <f>321+(68-25)+(0.16371+(0.03468-0.01275))+0-0-0</f>
        <v>364.18563999999998</v>
      </c>
      <c r="I252" s="3">
        <f>321+(67.6-25)+(0.32742+(0.068952-0.0255))+0-0-0</f>
        <v>363.97087200000004</v>
      </c>
      <c r="J252" s="3">
        <f>319+(83.1-26)+(0+(0-0))+0-0-0</f>
        <v>376.1</v>
      </c>
      <c r="K252" s="3">
        <f>319+(129.7-31)+(-0.32538+(-0.132294--0.03162))+0-0-0</f>
        <v>417.27394599999997</v>
      </c>
      <c r="L252" s="3">
        <f>319+(169.1-30)+(-0.81345+(-0.431205--0.0765))+0-0-0</f>
        <v>456.93184500000001</v>
      </c>
      <c r="M252" s="3">
        <f>318+(168.5-28)+(0.16218+(0.085935-0.01428))+0-0-0</f>
        <v>458.733835</v>
      </c>
      <c r="N252" s="3">
        <f>315+(168.6-28)+(0+(0-0))+0-0-0</f>
        <v>455.6</v>
      </c>
      <c r="O252" s="3">
        <f>310+(170.9-26)+(0.4743+(0.261477-0.03978))+2.2-0-0</f>
        <v>457.79599699999994</v>
      </c>
      <c r="P252" s="3">
        <f>307+(177.4-25)+(0+(0-0))+6.5-0-0</f>
        <v>465.9</v>
      </c>
      <c r="Q252" s="3">
        <f>305+(168.7-27)+(-0.15555+(-0.086037--0.01377))+0-0-0</f>
        <v>446.47218299999997</v>
      </c>
      <c r="R252" s="3">
        <f>310+(176.1-27)+(-0.1581+(-0.089811--0.01377))+0-0-0</f>
        <v>458.865859</v>
      </c>
      <c r="S252" s="3">
        <f>305+(175.2-26)+(-0.15555+(-0.089352--0.01326))+0-0-0</f>
        <v>453.96835799999997</v>
      </c>
      <c r="T252" s="3">
        <f>305+(168.2-27)+(-0.3111+(-0.171564--0.02754))+0-0-0</f>
        <v>445.74487599999998</v>
      </c>
      <c r="U252" s="3">
        <f>306+(171.2-28)+(-0.15606+(-0.087312--0.01428))+0-0-0</f>
        <v>448.97090800000001</v>
      </c>
      <c r="V252" s="3">
        <f>312+(207.6-29)+(-0.31824+(-0.211752--0.02958))+1.2-0-0</f>
        <v>491.29958800000003</v>
      </c>
      <c r="W252" s="3">
        <f>322+(264.4-33)+(0.32844+(0.269688-0.03366))+0-0-0</f>
        <v>553.96446800000001</v>
      </c>
      <c r="X252" s="3">
        <f>334+(256-31)+(-0.34068+(-0.26112--0.03162))+0-0-0</f>
        <v>558.42981999999995</v>
      </c>
      <c r="Y252" s="3">
        <f>336+(237-30)+(-0.68544+(-0.48348--0.0612))+0-0-0</f>
        <v>541.89228000000003</v>
      </c>
      <c r="Z252" s="3">
        <f>338+(199-28)+(-0.8619+(-0.50745--0.0714))+0-0-0</f>
        <v>507.70204999999999</v>
      </c>
      <c r="AA252" s="3">
        <f>338+(173.4-26)+(0.17238+(0.088434-0.01326))+0-0-0</f>
        <v>485.64755399999996</v>
      </c>
      <c r="AB252" s="3">
        <f>339+(130.1-26)+(-0.69156+(-0.265404--0.05304))+0-0-0</f>
        <v>442.19607600000001</v>
      </c>
      <c r="AC252" s="3">
        <f>339+(94-25)+(-0.51867+(-0.14382--0.03825))+0-0-0</f>
        <v>407.37576000000001</v>
      </c>
      <c r="AD252">
        <f t="shared" si="3"/>
        <v>10819.921914999999</v>
      </c>
      <c r="AE252" s="3">
        <f>332+(262.2-33)+(0+(0-0))+0-0-0</f>
        <v>561.20000000000005</v>
      </c>
    </row>
    <row r="253" spans="1:31" s="2" customFormat="1" x14ac:dyDescent="0.25">
      <c r="A253">
        <v>89</v>
      </c>
      <c r="B253">
        <v>9</v>
      </c>
      <c r="C253">
        <v>7</v>
      </c>
      <c r="D253">
        <v>2</v>
      </c>
      <c r="E253">
        <v>1</v>
      </c>
      <c r="F253" s="3">
        <f>339+(70.5-24)+(-0.17289+(-0.035955--0.01224))+0-0-0</f>
        <v>385.30339500000002</v>
      </c>
      <c r="G253" s="3">
        <f>370+(43.5-43)+(-0.9435+(-0.110925--0.10965))+0-0-0</f>
        <v>369.55522500000001</v>
      </c>
      <c r="H253" s="3">
        <f>251+(144.4-23)+(-0.12801+(-0.073644--0.01173))+0-0-0</f>
        <v>372.21007599999996</v>
      </c>
      <c r="I253" s="3">
        <f>251+(148.2-24)+(-0.12801+(-0.075582--0.01224))+0-0-0</f>
        <v>375.00864799999999</v>
      </c>
      <c r="J253" s="3">
        <f>251+(167.9-27)+(-0.25602+(-0.171258--0.02754))+0-0-0</f>
        <v>391.50026199999996</v>
      </c>
      <c r="K253" s="3">
        <f>251+(214.9-31)+(0+(0-0))+0-0-0</f>
        <v>434.9</v>
      </c>
      <c r="L253" s="3">
        <f>250+(249-29)+(-0.51+(-0.50796--0.05916))+0-0-0</f>
        <v>469.0412</v>
      </c>
      <c r="M253" s="3">
        <f>250+(243.3-30)+(-0.1275+(-0.124083--0.0153))+0-0-0</f>
        <v>463.063717</v>
      </c>
      <c r="N253" s="3">
        <f>315+(163-30)+(0+(0-0))+0-0-0</f>
        <v>448</v>
      </c>
      <c r="O253" s="3">
        <f>356+(126-29)+(0.18156+(0.06426-0.01479))+0-0-0</f>
        <v>453.23102999999998</v>
      </c>
      <c r="P253" s="3">
        <f>362+(106-29)+(0.36924+(0.10812-0.02958))+0-0-0</f>
        <v>439.44778000000002</v>
      </c>
      <c r="Q253" s="3">
        <f>343+(128.5-29)+(0+(0-0))+0-0-0</f>
        <v>442.5</v>
      </c>
      <c r="R253" s="3">
        <f>347+(114.1-29)+(-0.88485+(-0.290955--0.07395))+0-0-0</f>
        <v>430.99814500000002</v>
      </c>
      <c r="S253" s="3">
        <f>357+(108.4-29)+(-0.54621+(-0.165852--0.04437))+0-0-0</f>
        <v>435.73230799999999</v>
      </c>
      <c r="T253" s="3">
        <f>357+(100.1-29)+(0.18207+(0.051051-0.01479))+0-0-0</f>
        <v>428.318331</v>
      </c>
      <c r="U253" s="3">
        <f>359+(107.5-29)+(0.36618+(0.10965-0.02958))+0-0-0</f>
        <v>437.94625000000002</v>
      </c>
      <c r="V253" s="3">
        <f>368+(144.8-30)+(-0.18768+(-0.073848--0.0153))+0-0-0</f>
        <v>482.55377200000004</v>
      </c>
      <c r="W253" s="3">
        <f>369+(177.8-33)+(0.18819+(0.090678-0.01683))+0-0-0</f>
        <v>514.06203799999992</v>
      </c>
      <c r="X253" s="3">
        <f>372+(179.6-31)+(-1.32804+(-0.641172--0.11067))+0-0-0</f>
        <v>518.74145799999997</v>
      </c>
      <c r="Y253" s="3">
        <f>373+(167.2-30)+(-0.76092+(-0.341088--0.0612))+0-0-0</f>
        <v>509.15919199999996</v>
      </c>
      <c r="Z253" s="3">
        <f>375+(139.8-28)+(-0.19125+(-0.071298--0.01428))+0-0-0</f>
        <v>486.55173200000002</v>
      </c>
      <c r="AA253" s="3">
        <f>375+(109.3-26)+(-0.57375+(-0.167229--0.03978))+0-0-0</f>
        <v>457.59880100000004</v>
      </c>
      <c r="AB253" s="3">
        <f>376+(89.8-25)+(-0.38352+(-0.091596--0.0255))+0-0-0</f>
        <v>440.35038400000002</v>
      </c>
      <c r="AC253" s="3">
        <f>346+(100.1-25)+(-0.70584+(-0.204204--0.051))+0-0-0</f>
        <v>420.24095600000004</v>
      </c>
      <c r="AD253">
        <f t="shared" si="3"/>
        <v>10606.014699999998</v>
      </c>
      <c r="AE253" s="3">
        <f>376+(207.2-33)+(0+(0-0))+0-0-0</f>
        <v>550.20000000000005</v>
      </c>
    </row>
    <row r="254" spans="1:31" s="2" customFormat="1" x14ac:dyDescent="0.25">
      <c r="A254">
        <v>89</v>
      </c>
      <c r="B254">
        <v>9</v>
      </c>
      <c r="C254">
        <v>8</v>
      </c>
      <c r="D254">
        <v>3</v>
      </c>
      <c r="E254">
        <v>1</v>
      </c>
      <c r="F254" s="3">
        <f>325+(106.9-25)+(-0.663+(-0.218076--0.051))+0-0-0</f>
        <v>406.06992399999996</v>
      </c>
      <c r="G254" s="3">
        <f>326+(78.8-24)+(-0.16626+(-0.040188--0.01224))+0-0-0</f>
        <v>380.60579200000001</v>
      </c>
      <c r="H254" s="3">
        <f>327+(71.4-24)+(0.16677+(0.036414-0.01224))+0-0-0</f>
        <v>374.59094399999998</v>
      </c>
      <c r="I254" s="3">
        <f>326+(74-24)+(-0.33252+(-0.07548--0.02448))+0-0-0</f>
        <v>375.61648000000002</v>
      </c>
      <c r="J254" s="3">
        <f>325+(77.5-28)+(0.16575+(0.039525-0.01428))+0-0-0</f>
        <v>374.69099499999999</v>
      </c>
      <c r="K254" s="3">
        <f>325+(131.1-32)+(0.16575+(0.066861-0.01632))+0-0-0</f>
        <v>424.31629100000004</v>
      </c>
      <c r="L254" s="3">
        <f>321+(165.5-33)+(0+(0-0))+0-0-0</f>
        <v>453.5</v>
      </c>
      <c r="M254" s="3">
        <f>322+(171.8-31)+(-0.8211+(-0.43809--0.07905))+0-0-0</f>
        <v>461.61986000000002</v>
      </c>
      <c r="N254" s="3">
        <f>315+(171.4-30)+(0.48195+(0.262242-0.0459))+0-0-0</f>
        <v>457.09829199999996</v>
      </c>
      <c r="O254" s="3">
        <f>312+(166.7-28)+(-0.47736+(-0.255051--0.04284))+0-0-0</f>
        <v>450.01042899999999</v>
      </c>
      <c r="P254" s="3">
        <f>309+(165.9-27)+(0.15759+(0.084609-0.01377))+0-0-0</f>
        <v>448.12842899999998</v>
      </c>
      <c r="Q254" s="3">
        <f>308+(156.7-27)+(-0.7854+(-0.399585--0.06885))+0-0-0</f>
        <v>436.583865</v>
      </c>
      <c r="R254" s="3">
        <f>255+(220.7-26)+(-0.2601+(-0.225114--0.02652))+0-0-0</f>
        <v>449.24130600000001</v>
      </c>
      <c r="S254" s="3">
        <f>231+(227.5-27)+(0+(0-0))+0-0-0</f>
        <v>431.5</v>
      </c>
      <c r="T254" s="3">
        <f>231+(220.8-27)+(0+(0-0))+0-0-0</f>
        <v>424.8</v>
      </c>
      <c r="U254" s="3">
        <f>231+(233.6-28)+(0.11781+(0.119136-0.01428))+0-0-0</f>
        <v>436.82266600000003</v>
      </c>
      <c r="V254" s="3">
        <f>258+(252.3-29)+(0.39474+(0.386019-0.04437))+0-0-0</f>
        <v>482.03638899999999</v>
      </c>
      <c r="W254" s="3">
        <f>315+(275.1-33)+(0.48195+(0.420903-0.05049))+0-0-0</f>
        <v>557.95236299999999</v>
      </c>
      <c r="X254" s="3">
        <f>316+(272.9-31)+(-0.64464+(-0.556716--0.06324))+0-0-0</f>
        <v>556.76188400000001</v>
      </c>
      <c r="Y254" s="3">
        <f>319+(258.3-29)+(-0.48807+(-0.395199--0.04437))+0-0-0</f>
        <v>547.46110099999999</v>
      </c>
      <c r="Z254" s="3">
        <f>320+(233.3-27)+(-0.4896+(-0.356949--0.04131))+0-0-0</f>
        <v>525.49476099999993</v>
      </c>
      <c r="AA254" s="3">
        <f>320+(208.2-25)+(-0.3264+(-0.212364--0.0255))+0-0-0</f>
        <v>502.686736</v>
      </c>
      <c r="AB254" s="3">
        <f>320+(173.8-23)+(0+(0-0))+0-0-0</f>
        <v>470.8</v>
      </c>
      <c r="AC254" s="3">
        <f>321+(143.7-23)+(-0.81855+(-0.366435--0.05865))+0-0-0</f>
        <v>440.57366500000001</v>
      </c>
      <c r="AD254">
        <f t="shared" si="3"/>
        <v>10868.962172</v>
      </c>
      <c r="AE254" s="3">
        <f>316+(279.8-33)+(0+(0-0))+0-0-0</f>
        <v>562.79999999999995</v>
      </c>
    </row>
    <row r="255" spans="1:31" s="2" customFormat="1" x14ac:dyDescent="0.25">
      <c r="A255">
        <v>89</v>
      </c>
      <c r="B255">
        <v>9</v>
      </c>
      <c r="C255">
        <v>9</v>
      </c>
      <c r="D255">
        <v>4</v>
      </c>
      <c r="E255">
        <v>1</v>
      </c>
      <c r="F255" s="3">
        <f>250+(182.2-23)+(-0.51+(-0.371688--0.04692))+0-0-0</f>
        <v>408.36523199999999</v>
      </c>
      <c r="G255" s="3">
        <f>234+(177.5-23)+(-0.23868+(-0.18105--0.02346))+0-0-0</f>
        <v>388.10372999999998</v>
      </c>
      <c r="H255" s="3">
        <f>234+(172.5-24)+(-0.35802+(-0.263925--0.03672))+0-0-0</f>
        <v>381.91477500000002</v>
      </c>
      <c r="I255" s="3">
        <f>234+(171-25)+(-0.23868+(-0.17442--0.0255))+0-0-0</f>
        <v>379.61239999999998</v>
      </c>
      <c r="J255" s="3">
        <f>234+(184.7-28)+(-0.23868+(-0.188394--0.02856))+0-0-0</f>
        <v>390.30148600000001</v>
      </c>
      <c r="K255" s="3">
        <f>234+(228.8-31)+(0+(0-0))+0-0-0</f>
        <v>431.8</v>
      </c>
      <c r="L255" s="3">
        <f>231+(270.4-30)+(-0.23562+(-0.275808--0.0306))+0-0-0</f>
        <v>470.919172</v>
      </c>
      <c r="M255" s="3">
        <f>231+(266.2-28)+(-0.11781+(-0.135762--0.01428))+0-0-0</f>
        <v>468.96070800000001</v>
      </c>
      <c r="N255" s="3">
        <f>288+(209.5-26)+(0.14688+(0.106845-0.01326))+0-0-0</f>
        <v>471.74046499999997</v>
      </c>
      <c r="O255" s="3">
        <f>314+(169.9-23)+(0+(0-0))+0-0-0</f>
        <v>460.9</v>
      </c>
      <c r="P255" s="3">
        <f>311+(163.4-24)+(-0.15861+(-0.083334--0.01224))+0-0-0</f>
        <v>450.17029599999995</v>
      </c>
      <c r="Q255" s="3">
        <f>311+(167.4-15)+(-0.31722+(-0.170748--0.0153))+0-0-0</f>
        <v>462.92733199999998</v>
      </c>
      <c r="R255" s="3">
        <f>305+(183.9-23)+(-0.15555+(-0.093789--0.01173))+0-0-0</f>
        <v>465.66239099999996</v>
      </c>
      <c r="S255" s="3">
        <f>306+(178.4-23)+(0+(0-0))+0-0-0</f>
        <v>461.4</v>
      </c>
      <c r="T255" s="3">
        <f>306+(169.4-26)+(-0.46818+(-0.259182--0.03978))+0-0-0</f>
        <v>448.71241799999996</v>
      </c>
      <c r="U255" s="3">
        <f>306+(174.6-28)+(-0.46818+(-0.267138--0.04284))+0-0-0</f>
        <v>451.90752200000003</v>
      </c>
      <c r="V255" s="3">
        <f>314+(223-31)+(-0.48042+(-0.34119--0.04743))+0-0-0</f>
        <v>505.22582</v>
      </c>
      <c r="W255" s="3">
        <f>315+(279-33)+(-0.3213+(-0.28458--0.03366))+0-0-0</f>
        <v>560.42777999999998</v>
      </c>
      <c r="X255" s="3">
        <f>317+(274.9-33)+(-0.64668+(-0.560796--0.06732))+0-0-0</f>
        <v>557.75984399999993</v>
      </c>
      <c r="Y255" s="3">
        <f>318+(237.6-32)+(-0.64872+(-0.484704--0.06528))+9.9-0-0</f>
        <v>532.43185600000004</v>
      </c>
      <c r="Z255" s="3">
        <f>321+(228.3-30)+(-0.32742+(-0.232866--0.0306))+0-0-0</f>
        <v>518.77031399999998</v>
      </c>
      <c r="AA255" s="3">
        <f>322+(200.6-28)+(-0.49266+(-0.306918--0.04284))+0-0-0</f>
        <v>493.84326200000004</v>
      </c>
      <c r="AB255" s="3">
        <f>323+(163.9-26)+(-0.49419+(-0.250767--0.03978))+0-0-0</f>
        <v>460.19482299999999</v>
      </c>
      <c r="AC255" s="3">
        <f>292+(153.6-24)+(-0.7446+(-0.39168--0.0612))+0-0-0</f>
        <v>420.52492000000001</v>
      </c>
      <c r="AD255">
        <f t="shared" si="3"/>
        <v>11042.576545999998</v>
      </c>
      <c r="AE255" s="3">
        <f>317+(282.2-33)+(0+(0-0))+0-0-0</f>
        <v>566.20000000000005</v>
      </c>
    </row>
    <row r="256" spans="1:31" s="2" customFormat="1" x14ac:dyDescent="0.25">
      <c r="A256">
        <v>89</v>
      </c>
      <c r="B256">
        <v>9</v>
      </c>
      <c r="C256">
        <v>10</v>
      </c>
      <c r="D256">
        <v>5</v>
      </c>
      <c r="E256">
        <v>1</v>
      </c>
      <c r="F256" s="3">
        <f>234+(193.9-23)+(-0.5967+(-0.494445--0.05865))+0-0-0</f>
        <v>403.86750499999999</v>
      </c>
      <c r="G256" s="3">
        <f>234+(178.4-23)+(0+(0-0))+0-0-0</f>
        <v>389.4</v>
      </c>
      <c r="H256" s="3">
        <f>234+(166.1-22)+(-0.11934+(-0.084711--0.01122))+0-0-0</f>
        <v>377.90716900000001</v>
      </c>
      <c r="I256" s="3">
        <f>234+(166.9-22)+(-0.11934+(-0.085119--0.01122))+0-0-0</f>
        <v>378.70676099999997</v>
      </c>
      <c r="J256" s="3">
        <f>232+(179-24)+(0.23664+(0.18258-0.02448))+0-0-0</f>
        <v>387.39474000000001</v>
      </c>
      <c r="K256" s="3">
        <f>232+(236.6-27)+(-0.23664+(-0.241332--0.02754))+0-0-0</f>
        <v>441.14956800000004</v>
      </c>
      <c r="L256" s="3">
        <f>230+(264.1-30)+(-0.1173+(-0.134691--0.0153))+0-0-0</f>
        <v>463.86330900000002</v>
      </c>
      <c r="M256" s="3">
        <f>230+(275.4-30)+(0+(0-0))+0-0-0</f>
        <v>475.4</v>
      </c>
      <c r="N256" s="3">
        <f>230+(268.7-29)+(-0.1173+(-0.137037--0.01479))+0-0-0</f>
        <v>469.46045299999997</v>
      </c>
      <c r="O256" s="3">
        <f>297+(196.8-25)+(-0.60588+(-0.401472--0.051))+0-0-0</f>
        <v>467.84364800000003</v>
      </c>
      <c r="P256" s="3">
        <f>309+(163.5-24)+(0.15759+(0.083385-0.01224))+8.3-0-0</f>
        <v>457.02873499999998</v>
      </c>
      <c r="Q256" s="3">
        <f>308+(171.4-23)+(-0.15708+(-0.087414--0.01173))+7.7-0-0</f>
        <v>463.86723599999999</v>
      </c>
      <c r="R256" s="3">
        <f>304+(199-25)+(-0.7752+(-0.50745--0.06375))+0-0-0</f>
        <v>476.78109999999998</v>
      </c>
      <c r="S256" s="3">
        <f>233+(242.9-25)+(0+(0-0))+0-0-0</f>
        <v>450.9</v>
      </c>
      <c r="T256" s="3">
        <f>203+(275.3-27)+(0+(0-0))+0-0-0</f>
        <v>451.3</v>
      </c>
      <c r="U256" s="3">
        <f>220+(272.8-29)+(-0.1122+(-0.139128--0.01479))+0-0-0</f>
        <v>463.56346200000002</v>
      </c>
      <c r="V256" s="3">
        <f>257+(271.6-31)+(0.26214+(0.277032-0.03162))+0-0-0</f>
        <v>498.107552</v>
      </c>
      <c r="W256" s="3">
        <f>305+(280.3-32)+(0+(0-0))+0-0-0</f>
        <v>553.29999999999995</v>
      </c>
      <c r="X256" s="3">
        <f>317+(270.8-33)+(-0.64668+(-0.552432--0.06732))+0-0-0</f>
        <v>553.66820799999994</v>
      </c>
      <c r="Y256" s="3">
        <f>319+(249.2-32)+(-0.48807+(-0.381276--0.04896))+0-0-0</f>
        <v>535.37961400000006</v>
      </c>
      <c r="Z256" s="3">
        <f>321+(220.3-30)+(-0.16371+(-0.112353--0.0153))+0-0-0</f>
        <v>511.03923700000001</v>
      </c>
      <c r="AA256" s="3">
        <f>320+(189.6-29)+(0+(0-0))+0-0-0</f>
        <v>480.6</v>
      </c>
      <c r="AB256" s="3">
        <f>321+(161.2-26)+(-0.65484+(-0.328848--0.05304))+0-0-0</f>
        <v>455.26935199999997</v>
      </c>
      <c r="AC256" s="3">
        <f>257+(175.1-24)+(-0.39321+(-0.267903--0.03672))+0-0-0</f>
        <v>407.47560700000002</v>
      </c>
      <c r="AD256">
        <f t="shared" si="3"/>
        <v>11013.273256</v>
      </c>
      <c r="AE256" s="3">
        <f>317+(280-33)+(0+(0-0))+0-0-0</f>
        <v>564</v>
      </c>
    </row>
    <row r="257" spans="1:31" s="2" customFormat="1" x14ac:dyDescent="0.25">
      <c r="A257">
        <v>89</v>
      </c>
      <c r="B257">
        <v>9</v>
      </c>
      <c r="C257">
        <v>11</v>
      </c>
      <c r="D257">
        <v>6</v>
      </c>
      <c r="E257">
        <v>1</v>
      </c>
      <c r="F257" s="3">
        <f>230+(196.3-23)+(-0.2346+(-0.200226--0.02346))+0-0-0</f>
        <v>402.88863400000002</v>
      </c>
      <c r="G257" s="3">
        <f>230+(175.9-22)+(0.2346+(0.179418-0.02244))+0-0-0</f>
        <v>384.29157799999996</v>
      </c>
      <c r="H257" s="3">
        <f>230+(166.8-22)+(0.3519+(0.255204-0.03366))+0-0-0</f>
        <v>375.37344400000001</v>
      </c>
      <c r="I257" s="3">
        <f>230+(170.2-22)+(-0.1173+(-0.086802--0.01122))+0-0-0</f>
        <v>378.00711799999999</v>
      </c>
      <c r="J257" s="3">
        <f>230+(185.1-25)+(0.1173+(0.094401-0.01275))+0-0-0</f>
        <v>390.29895100000005</v>
      </c>
      <c r="K257" s="3">
        <f>230+(237.9-28)+(0+(0-0))+0-0-0</f>
        <v>439.9</v>
      </c>
      <c r="L257" s="3">
        <f>260+(242.1-31)+(-0.2652+(-0.246942--0.03162))+0-0-0</f>
        <v>470.61947800000002</v>
      </c>
      <c r="M257" s="3">
        <f>342+(160.7-29)+(0.17442+(0.081957-0.01479))+0-0-0</f>
        <v>473.94158699999997</v>
      </c>
      <c r="N257" s="3">
        <f>365+(139.3-28)+(0+(0-0))+0-0-0</f>
        <v>476.3</v>
      </c>
      <c r="O257" s="3">
        <f>408+(91.2-28)+(-0.83232+(-0.186048--0.05712))+0-0-0</f>
        <v>470.23875199999998</v>
      </c>
      <c r="P257" s="3">
        <f>440+(102-76)+(-0.6732+(-0.15606--0.11628))+0-0-0</f>
        <v>465.28701999999998</v>
      </c>
      <c r="Q257" s="3">
        <f>455+(93.6-77)+(-0.23205+(-0.047736--0.03927))+0-0-0</f>
        <v>471.35948400000001</v>
      </c>
      <c r="R257" s="3">
        <f>466+(52-78.6)+(-0.95064+(-0.10608--0.160344))+0-0-0</f>
        <v>438.503624</v>
      </c>
      <c r="S257" s="3">
        <f>475+(42.1-83.7)+(-0.4845+(-0.042942--0.085374))+0-0-0</f>
        <v>432.95793199999997</v>
      </c>
      <c r="T257" s="3">
        <f>491+(36-93.6)+(-0.50082+(-0.03672--0.095472))+0-0-0</f>
        <v>432.95793199999997</v>
      </c>
      <c r="U257" s="3">
        <f>488+(30.7-92.1)+(-0.24888+(-0.015657--0.046971))+0-0-0</f>
        <v>426.38243400000005</v>
      </c>
      <c r="V257" s="3">
        <f>503+(52.8-82.2)+(-1.28265+(-0.13464--0.20961))+0-0-0</f>
        <v>472.39232000000004</v>
      </c>
      <c r="W257" s="3">
        <f>504+(78.1-70.4)+(0+(0-0))+0-0-0</f>
        <v>511.7</v>
      </c>
      <c r="X257" s="3">
        <f>504+(75.4-72.3)+(-1.79928+(-0.269178--0.258111))+0-0-0</f>
        <v>505.28965300000004</v>
      </c>
      <c r="Y257" s="3">
        <f>505+(63-76.9)+(-0.77265+(-0.09639--0.117657))+0-0-0</f>
        <v>490.34861700000005</v>
      </c>
      <c r="Z257" s="3">
        <f>505+(48.9-83.1)+(-0.77265+(-0.074817--0.127143))+0-0-0</f>
        <v>470.07967600000001</v>
      </c>
      <c r="AA257" s="3">
        <f>500+(39.8-83)+(-1.275+(-0.10149--0.21165))+0-0-0</f>
        <v>455.63515999999998</v>
      </c>
      <c r="AB257" s="3">
        <f>501+(28.7-87.6)+(0+(0-0))+0-0-0</f>
        <v>442.1</v>
      </c>
      <c r="AC257" s="3">
        <f>528+(15.7-102.8)+(-0.80784+(-0.024021--0.157284))+0-0-0</f>
        <v>440.22542299999998</v>
      </c>
      <c r="AD257">
        <f t="shared" ref="AD257:AD320" si="4">SUM(F257:AC257)</f>
        <v>10717.078817</v>
      </c>
      <c r="AE257" s="3">
        <f>498+(129.2-69.8)+(0+(0-0))+0-0-0</f>
        <v>557.4</v>
      </c>
    </row>
    <row r="258" spans="1:31" s="2" customFormat="1" x14ac:dyDescent="0.25">
      <c r="A258">
        <v>89</v>
      </c>
      <c r="B258">
        <v>9</v>
      </c>
      <c r="C258">
        <v>12</v>
      </c>
      <c r="D258">
        <v>7</v>
      </c>
      <c r="E258">
        <v>1</v>
      </c>
      <c r="F258" s="3">
        <f>519+(7.4-116)+(-1.58814+(-0.022644--0.35496))+0-0-0</f>
        <v>409.14417599999996</v>
      </c>
      <c r="G258" s="3">
        <f>518+(0-113.6)+(0+(0-0))+0-0-0</f>
        <v>404.4</v>
      </c>
      <c r="H258" s="3">
        <f>521+(10-117)+(-0.26571+(-0.0051--0.05967))+0-0-0</f>
        <v>413.78886</v>
      </c>
      <c r="I258" s="3">
        <f>464+(25-92.6)+(0.23664+(0.01275-0.047226))+0-0-0</f>
        <v>396.60216399999996</v>
      </c>
      <c r="J258" s="3">
        <f>430+(55-81)+(0+(0-0))+0-0-0</f>
        <v>404</v>
      </c>
      <c r="K258" s="3">
        <f>431+(74.2-71.3)+(0.65943+(0.113526-0.109089))+0-0-0</f>
        <v>434.56386699999996</v>
      </c>
      <c r="L258" s="3">
        <f>430+(86.9-71)+(-0.4386+(-0.088638--0.07242))+0-0-0</f>
        <v>445.44518199999999</v>
      </c>
      <c r="M258" s="3">
        <f>430+(99.9-72.1)+(-1.0965+(-0.254745--0.183855))+0-0-0</f>
        <v>456.63261</v>
      </c>
      <c r="N258" s="3">
        <f>425+(107.7-68.5)+(0.21675+(0.054927-0.034935))+0-0-0</f>
        <v>464.43674199999998</v>
      </c>
      <c r="O258" s="3">
        <f>421+(117.2-63.2)+(0.21471+(0.059772-0.032232))+0-0-0</f>
        <v>475.24225000000001</v>
      </c>
      <c r="P258" s="3">
        <f>417+(116-59)+(-0.85068+(-0.23664--0.12036))+0-0-0</f>
        <v>473.03304000000003</v>
      </c>
      <c r="Q258" s="3">
        <f>415+(122.1-56.7)+(-0.21165+(-0.062271--0.028917))+0-0-0</f>
        <v>480.15499599999998</v>
      </c>
      <c r="R258" s="3">
        <f>416+(119.2-56.5)+(-0.63648+(-0.182376--0.086445))+0-0-0</f>
        <v>477.96758899999998</v>
      </c>
      <c r="S258" s="3">
        <f>416+(108.3-60.9)+(-0.63648+(-0.165699--0.093177))+0-0-0</f>
        <v>462.69099799999998</v>
      </c>
      <c r="T258" s="3">
        <f>426+(91-68.5)+(0.21726+(0.04641-0.034935))+0-0-0</f>
        <v>448.72873499999997</v>
      </c>
      <c r="U258" s="3">
        <f>437+(64-73.3)+(-0.44574+(-0.06528--0.074766))+0-0-0</f>
        <v>427.26374599999997</v>
      </c>
      <c r="V258" s="3">
        <f>497+(88.2-78.7)+(-0.50694+(-0.089964--0.080274))+0-0-0</f>
        <v>505.98336999999998</v>
      </c>
      <c r="W258" s="3">
        <f>509+(99.7-43)+(0+(0-0))+0-0-0</f>
        <v>565.70000000000005</v>
      </c>
      <c r="X258" s="3">
        <f>508+(98.6-33)+(-0.51816+(-0.100572--0.03366))+0-0-0</f>
        <v>573.01492800000005</v>
      </c>
      <c r="Y258" s="3">
        <f>436+(156.2-31)+(-0.22236+(-0.079662--0.01581))+0-0-0</f>
        <v>560.91378800000007</v>
      </c>
      <c r="Z258" s="3">
        <f>340+(195.3-29)+(-0.3468+(-0.199206--0.02958))+0-0-0</f>
        <v>505.78357399999999</v>
      </c>
      <c r="AA258" s="3">
        <f>341+(159.4-27)+(-0.34782+(-0.162588--0.02754))+0-0-0</f>
        <v>472.91713199999998</v>
      </c>
      <c r="AB258" s="3">
        <f>341+(118.4-25)+(0+(0-0))+0-0-0</f>
        <v>434.4</v>
      </c>
      <c r="AC258" s="3">
        <f>341+(86.7-24)+(-0.86955+(-0.221085--0.0612))+0-0-0</f>
        <v>402.67056500000001</v>
      </c>
      <c r="AD258">
        <f t="shared" si="4"/>
        <v>11095.478311999999</v>
      </c>
      <c r="AE258" s="3">
        <f>508+(93.1-40)+(0+(0-0))+0-0-0</f>
        <v>561.1</v>
      </c>
    </row>
    <row r="259" spans="1:31" s="2" customFormat="1" x14ac:dyDescent="0.25">
      <c r="A259">
        <v>89</v>
      </c>
      <c r="B259">
        <v>9</v>
      </c>
      <c r="C259">
        <v>13</v>
      </c>
      <c r="D259">
        <v>1</v>
      </c>
      <c r="E259">
        <v>1</v>
      </c>
      <c r="F259" s="3">
        <f>351+(72.3-24)+(-1.07406+(-0.221238--0.07344))+0-0-0</f>
        <v>398.07814200000001</v>
      </c>
      <c r="G259" s="3">
        <f>351+(61.5-23)+(-0.71604+(-0.12546--0.04692))+0-0-0</f>
        <v>388.70542</v>
      </c>
      <c r="H259" s="3">
        <f>351+(51.8-21)+(-0.71604+(-0.105672--0.04284))+0-0-0</f>
        <v>381.02112800000003</v>
      </c>
      <c r="I259" s="3">
        <f>351+(55.8-22.1)+(-0.35802+(-0.056916--0.022542))+0-0-0</f>
        <v>384.30760599999996</v>
      </c>
      <c r="J259" s="3">
        <f>351+(69.2-22)+(0+(0-0))+0-0-0</f>
        <v>398.2</v>
      </c>
      <c r="K259" s="3">
        <f>351+(123.5-26)+(0.17901+(0.062985-0.01326))+0-0-0</f>
        <v>448.72873499999997</v>
      </c>
      <c r="L259" s="3">
        <f>345+(129.5-32)+(-0.7038+(-0.26418--0.06528))+0-0-0</f>
        <v>441.59730000000002</v>
      </c>
      <c r="M259" s="3">
        <f>345+(124.1-40)+(-0.3519+(-0.126582--0.0408))+0-0-0</f>
        <v>428.66231800000003</v>
      </c>
      <c r="N259" s="3">
        <f>425+(74.1-39)+(0+(0-0))+0-0-0</f>
        <v>460.1</v>
      </c>
      <c r="O259" s="3">
        <f>508+(49.3-80.8)+(0.77724+(0.075429-0.123624))+0-0-0</f>
        <v>477.22904499999999</v>
      </c>
      <c r="P259" s="3">
        <f>501+(53.2-89.4)+(-0.76653+(-0.081396--0.136782))+0-0-0</f>
        <v>464.08885600000002</v>
      </c>
      <c r="Q259" s="3">
        <f>497+(56.2-64.7)+(0+(0-0))+0-0-0</f>
        <v>488.5</v>
      </c>
      <c r="R259" s="3">
        <f>460+(70.9-42.9)+(-1.4076+(-0.216954--0.131274))+0-0-0</f>
        <v>486.50671999999997</v>
      </c>
      <c r="S259" s="3">
        <f>456+(68.1-49.4)+(-0.69768+(-0.104193--0.075582))+0-0-0</f>
        <v>473.97370899999999</v>
      </c>
      <c r="T259" s="3">
        <f>458+(64.4-54.9)+(0+(0-0))+0-0-0</f>
        <v>467.5</v>
      </c>
      <c r="U259" s="3">
        <f>459+(67.1-53.8)+(0+(0-0))+0-0-0</f>
        <v>472.3</v>
      </c>
      <c r="V259" s="3">
        <f>465+(100.9-43)+(-0.23715+(-0.051459--0.02193))+0-0-0</f>
        <v>522.63332100000002</v>
      </c>
      <c r="W259" s="3">
        <f>502+(118.9-53)+(0.76806+(0.181917-0.08109))+0-0-0</f>
        <v>568.76888699999995</v>
      </c>
      <c r="X259" s="3">
        <f>480+(130.4-53)+(-0.9792+(-0.266016--0.10812))+0-0-0</f>
        <v>556.26290399999993</v>
      </c>
      <c r="Y259" s="3">
        <f>433+(139.5-42)+(-1.10415+(-0.355725--0.1071))+0-0-0</f>
        <v>529.14722500000005</v>
      </c>
      <c r="Z259" s="3">
        <f>434+(118.1-34)+(0+(0-0))+0-0-0</f>
        <v>518.1</v>
      </c>
      <c r="AA259" s="3">
        <f>436+(94.4-36)+(-1.1118+(-0.24072--0.0918))+0-0-0</f>
        <v>493.13927999999999</v>
      </c>
      <c r="AB259" s="3">
        <f>435+(65.1-40.9)+(-0.4437+(-0.066402--0.041718))+0-0-0</f>
        <v>458.73161599999997</v>
      </c>
      <c r="AC259" s="3">
        <f>435+(49.2-51.5)+(-1.10925+(-0.12546--0.131325))+0-0-0</f>
        <v>431.59661499999999</v>
      </c>
      <c r="AD259">
        <f t="shared" si="4"/>
        <v>11137.878827</v>
      </c>
      <c r="AE259" s="3">
        <f>484+(137-34)+(0+(0-0))+0-0-0</f>
        <v>587</v>
      </c>
    </row>
    <row r="260" spans="1:31" s="2" customFormat="1" x14ac:dyDescent="0.25">
      <c r="A260">
        <v>89</v>
      </c>
      <c r="B260">
        <v>9</v>
      </c>
      <c r="C260">
        <v>14</v>
      </c>
      <c r="D260">
        <v>2</v>
      </c>
      <c r="E260">
        <v>1</v>
      </c>
      <c r="F260" s="3">
        <f>404+(53.6-32.2)+(-0.82416+(-0.109344--0.065688))+0-0-0</f>
        <v>424.53218399999997</v>
      </c>
      <c r="G260" s="3">
        <f>351+(60.4-22)+(0+(0-0))+0-0-0</f>
        <v>389.4</v>
      </c>
      <c r="H260" s="3">
        <f>351+(53.7-21)+(-0.17901+(-0.027387--0.01071))+0-0-0</f>
        <v>383.50431299999997</v>
      </c>
      <c r="I260" s="3">
        <f>351+(53.7-21)+(0+(0-0))+0-0-0</f>
        <v>383.7</v>
      </c>
      <c r="J260" s="3">
        <f>350+(69.9-23)+(-0.357+(-0.071298--0.02346))+0-0-0</f>
        <v>396.49516199999999</v>
      </c>
      <c r="K260" s="3">
        <f>350+(125-25)+(0+(0-0))+0-0-0</f>
        <v>450</v>
      </c>
      <c r="L260" s="3">
        <f>349+(148.8-32)+(-0.35598+(-0.151776--0.03264))+0-0-0</f>
        <v>465.324884</v>
      </c>
      <c r="M260" s="3">
        <f>458+(74.2-70)+(-0.46716+(-0.075684--0.0714))+0-0-0</f>
        <v>461.72855599999997</v>
      </c>
      <c r="N260" s="3">
        <f>516+(57.6-80.3)+(0.26316+(0.029376-0.040953))+0-0-0</f>
        <v>493.55158299999999</v>
      </c>
      <c r="O260" s="3">
        <f>510+(47.8-80.6)+(0.2601+(0.024378-0.041106))+0-0-0</f>
        <v>477.44337200000001</v>
      </c>
      <c r="P260" s="3">
        <f>509+(73.7-45)+(-0.25959+(-0.037587--0.02295))+0-0-0</f>
        <v>537.42577300000005</v>
      </c>
      <c r="Q260" s="3">
        <f>507+(40.5-77.4)+(-0.77571+(-0.061965--0.118422))+0-0-0</f>
        <v>469.38074700000004</v>
      </c>
      <c r="R260" s="3">
        <f>501+(45.7-39.7)+(-0.76653+(-0.069921--0.060741))+0-0-0</f>
        <v>506.22429</v>
      </c>
      <c r="S260" s="3">
        <f>499+(43.3-40.9)+(-0.25449+(-0.022083--0.020859))+0-0-0</f>
        <v>501.14428599999997</v>
      </c>
      <c r="T260" s="3">
        <f>502+(40-46.8)+(-0.25602+(-0.0204--0.023868))+0-0-0</f>
        <v>494.94744800000001</v>
      </c>
      <c r="U260" s="3">
        <f>505+(47.4-48.3)+(0+(0-0))+0-0-0</f>
        <v>504.1</v>
      </c>
      <c r="V260" s="3">
        <f>479+(82.2-28)+(-1.22145+(-0.20961--0.0714))+0-0-0</f>
        <v>531.84034000000008</v>
      </c>
      <c r="W260" s="3">
        <f>476+(130.1-33)+(0+(0-0))+0-0-0</f>
        <v>573.1</v>
      </c>
      <c r="X260" s="3">
        <f>492+(116-33)+(-1.2546+(-0.2958--0.08415))+0-0-0</f>
        <v>573.53375000000005</v>
      </c>
      <c r="Y260" s="3">
        <f>491+(100.8-32)+(-0.50082+(-0.102816--0.03264))+0-0-0</f>
        <v>559.22900399999992</v>
      </c>
      <c r="Z260" s="3">
        <f>480+(87.3-29)+(-1.224+(-0.222615--0.07395))+0-0-0</f>
        <v>536.92733499999997</v>
      </c>
      <c r="AA260" s="3">
        <f>481+(65-29.2)+(-0.49062+(-0.0663--0.029784))+0-0-0</f>
        <v>516.27286399999991</v>
      </c>
      <c r="AB260" s="3">
        <f>464+(57.1-30.1)+(-1.1832+(-0.145605--0.076755))+0-0-0</f>
        <v>489.74795</v>
      </c>
      <c r="AC260" s="3">
        <f>438+(43.9-32.3)+(-0.44676+(-0.044778--0.032946))+0-0-0</f>
        <v>449.14140800000001</v>
      </c>
      <c r="AD260">
        <f t="shared" si="4"/>
        <v>11568.695249000002</v>
      </c>
      <c r="AE260" s="3">
        <f>490+(134.3-73)+(0+(0-0))+0-0-0</f>
        <v>551.29999999999995</v>
      </c>
    </row>
    <row r="261" spans="1:31" s="2" customFormat="1" x14ac:dyDescent="0.25">
      <c r="A261">
        <v>89</v>
      </c>
      <c r="B261">
        <v>9</v>
      </c>
      <c r="C261">
        <v>15</v>
      </c>
      <c r="D261">
        <v>3</v>
      </c>
      <c r="E261">
        <v>1</v>
      </c>
      <c r="F261" s="3">
        <f>368+(58.4-22)+(-0.56304+(-0.089352--0.03366))+0-0-0</f>
        <v>403.78126799999995</v>
      </c>
      <c r="G261" s="3">
        <f>350+(66.5-22)+(-0.357+(-0.06783--0.02244))+0-0-0</f>
        <v>394.09760999999997</v>
      </c>
      <c r="H261" s="3">
        <f>350+(61.1-22)+(-0.5355+(-0.093483--0.03366))+0-0-0</f>
        <v>388.50467700000002</v>
      </c>
      <c r="I261" s="3">
        <f>350+(62.3-22)+(-0.5355+(-0.095319--0.03366))+0-0-0</f>
        <v>389.70284100000003</v>
      </c>
      <c r="J261" s="3">
        <f>350+(77.5-24)+(-0.1785+(-0.039525--0.01224))+0-0-0</f>
        <v>403.29421500000001</v>
      </c>
      <c r="K261" s="3">
        <f>350+(145.6-27)+(0+(0-0))+0-0-0</f>
        <v>468.6</v>
      </c>
      <c r="L261" s="3">
        <f>294+(224.2-30)+(-0.14994+(-0.114342--0.0153))+0-0-0</f>
        <v>487.95101799999998</v>
      </c>
      <c r="M261" s="3">
        <f>357+(183.7-28)+(0+(0-0))+0-0-0</f>
        <v>512.70000000000005</v>
      </c>
      <c r="N261" s="3">
        <f>459+(103.6-36)+(0+(0-0))+0-0-0</f>
        <v>526.6</v>
      </c>
      <c r="O261" s="3">
        <f>505+(42.7-47)+(0.77265+(0.065331-0.07191))+0-0-0</f>
        <v>501.466071</v>
      </c>
      <c r="P261" s="3">
        <f>524+(28.9-58.7)+(-0.53448+(-0.029478--0.059874))+0-0-0</f>
        <v>493.69591600000001</v>
      </c>
      <c r="Q261" s="3">
        <f>525+(26.8-55.6)+(-0.80325+(-0.041004--0.085068))+0-0-0</f>
        <v>495.44081399999999</v>
      </c>
      <c r="R261" s="3">
        <f>512+(30.8-65.9)+(-1.82784+(-0.109956--0.235263))+0-0-0</f>
        <v>475.19746699999996</v>
      </c>
      <c r="S261" s="3">
        <f>511+(31.1-66.4)+(-0.26061+(-0.015861--0.033864))+0-0-0</f>
        <v>475.45739299999997</v>
      </c>
      <c r="T261" s="3">
        <f>512+(31.4-67.3)+(-0.78336+(-0.048042--0.102969))+0-0-0</f>
        <v>475.37156700000003</v>
      </c>
      <c r="U261" s="3">
        <f>514+(40.3-65.1)+(-0.78642+(-0.061659--0.099603))+0-0-0</f>
        <v>488.45152400000001</v>
      </c>
      <c r="V261" s="3">
        <f>523+(62.3-44.3)+(-0.80019+(-0.095319--0.067779))+0-0-0</f>
        <v>540.17227000000003</v>
      </c>
      <c r="W261" s="3">
        <f>524+(96.8-45)+(0.26724+(0.049368-0.02295))+0-0-0</f>
        <v>576.093658</v>
      </c>
      <c r="X261" s="3">
        <f>525+(97-46)+(-0.5355+(-0.09894--0.04692))+0-0-0</f>
        <v>575.41247999999996</v>
      </c>
      <c r="Y261" s="3">
        <f>512+(91.6-34)+(-1.82784+(-0.327012--0.12138))+0-0-0</f>
        <v>567.56652800000006</v>
      </c>
      <c r="Z261" s="3">
        <f>475+(85-34)+(-0.72675+(-0.13005--0.05202))+0-0-0</f>
        <v>525.19521999999995</v>
      </c>
      <c r="AA261" s="3">
        <f>473+(62.8-35)+(-0.72369+(-0.096084--0.05355))+0-0-0</f>
        <v>500.03377599999999</v>
      </c>
      <c r="AB261" s="3">
        <f>475+(41.8-41.5)+(-0.969+(-0.085272--0.08466))+0-0-0</f>
        <v>474.33038800000003</v>
      </c>
      <c r="AC261" s="3">
        <f>441+(48.2-43.6)+(-1.34946+(-0.147492--0.133416))+0-0-0</f>
        <v>444.23646400000001</v>
      </c>
      <c r="AD261">
        <f t="shared" si="4"/>
        <v>11583.353164999999</v>
      </c>
      <c r="AE261" s="3">
        <f>525+(95.6-45)+(0+(0-0))+0-0-0</f>
        <v>575.6</v>
      </c>
    </row>
    <row r="262" spans="1:31" s="2" customFormat="1" x14ac:dyDescent="0.25">
      <c r="A262">
        <v>89</v>
      </c>
      <c r="B262">
        <v>9</v>
      </c>
      <c r="C262">
        <v>16</v>
      </c>
      <c r="D262">
        <v>4</v>
      </c>
      <c r="E262">
        <v>1</v>
      </c>
      <c r="F262" s="3">
        <f>440+(35.4-77.5)+(-0.6732+(-0.054162--0.118575))+0-0-0</f>
        <v>397.29121299999997</v>
      </c>
      <c r="G262" s="3">
        <f>440+(27-79.6)+(-0.4488+(-0.02754--0.081192))+0-0-0</f>
        <v>387.00485199999997</v>
      </c>
      <c r="H262" s="3">
        <f>412+(34.5-50.1)+(0+(0-0))+0-0-0</f>
        <v>396.4</v>
      </c>
      <c r="I262" s="3">
        <f>350+(63-22)+(-0.357+(-0.06426--0.02244))+0-0-0</f>
        <v>390.60118</v>
      </c>
      <c r="J262" s="3">
        <f>349+(81.1-25)+(-0.35598+(-0.082722--0.0255))+0-0-0</f>
        <v>404.68679800000001</v>
      </c>
      <c r="K262" s="3">
        <f>349+(126-29)+(-0.17799+(-0.06426--0.01479))+0-0-0</f>
        <v>445.77253999999999</v>
      </c>
      <c r="L262" s="3">
        <f>349+(167.8-31)+(-0.53397+(-0.256734--0.04743))+0-0-0</f>
        <v>485.05672600000003</v>
      </c>
      <c r="M262" s="3">
        <f>418+(103.6-30)+(0+(0-0))+0-0-0</f>
        <v>491.6</v>
      </c>
      <c r="N262" s="3">
        <f>435+(86.2-34)+(-0.66555+(-0.131886--0.05202))+0-0-0</f>
        <v>486.45458400000001</v>
      </c>
      <c r="O262" s="3">
        <f>448+(67.3-41)+(0.68544+(0.102969-0.06273))+0-0-0</f>
        <v>475.02567900000003</v>
      </c>
      <c r="P262" s="3">
        <f>478+(45.6-48)+(-0.73134+(-0.069768--0.07344))+0-0-0</f>
        <v>474.87233200000003</v>
      </c>
      <c r="Q262" s="3">
        <f>477+(48.2-44)+(-0.48654+(-0.049164--0.04488))+0-0-0</f>
        <v>480.70917600000001</v>
      </c>
      <c r="R262" s="3">
        <f>478+(53.4-46)+(-0.48756+(-0.054468--0.04692))+0-0-0</f>
        <v>484.90489199999996</v>
      </c>
      <c r="S262" s="3">
        <f>476+(47.8-49.4)+(-0.24276+(-0.024378--0.025194))+0-0-0</f>
        <v>474.15805599999999</v>
      </c>
      <c r="T262" s="3">
        <f>477+(47.6-51.9)+(0.24327+(0.024276-0.026469))+0-0-0</f>
        <v>472.94107700000001</v>
      </c>
      <c r="U262" s="3">
        <f>478+(56.8-51)+(0.24378+(0.028968-0.02601))+0-0-0</f>
        <v>484.046738</v>
      </c>
      <c r="V262" s="3">
        <f>481+(89-41)+(-1.22655+(-0.22695--0.10455))+0-0-0</f>
        <v>527.65105000000005</v>
      </c>
      <c r="W262" s="3">
        <f>521+(96.5-42)+(0+(0-0))+0-0-0</f>
        <v>575.5</v>
      </c>
      <c r="X262" s="3">
        <f>536+(79-51)+(-1.64016+(-0.24174--0.15606))+0-0-0</f>
        <v>562.27416000000005</v>
      </c>
      <c r="Y262" s="3">
        <f>538+(66.5-68)+(-1.09752+(-0.13566--0.13872))+0-0-0</f>
        <v>535.40553999999997</v>
      </c>
      <c r="Z262" s="3">
        <f>538+(53.1-63.2)+(-0.82314+(-0.081243--0.096696))+0-0-0</f>
        <v>527.09231299999999</v>
      </c>
      <c r="AA262" s="3">
        <f>524+(48.6-70.6)+(-0.80172+(-0.074358--0.108018))+0-0-0</f>
        <v>501.23194000000001</v>
      </c>
      <c r="AB262" s="3">
        <f>524+(37.3-81.1)+(-1.06896+(-0.076092--0.165444))+0-0-0</f>
        <v>479.220392</v>
      </c>
      <c r="AC262" s="3">
        <f>508+(32.4-81.4)+(-1.2954+(-0.08262--0.20757))+0-0-0</f>
        <v>457.82954999999998</v>
      </c>
      <c r="AD262">
        <f t="shared" si="4"/>
        <v>11397.730787999999</v>
      </c>
      <c r="AE262" s="3">
        <f>531+(93.8-45)+(0+(0-0))+0-0-0</f>
        <v>579.79999999999995</v>
      </c>
    </row>
    <row r="263" spans="1:31" s="2" customFormat="1" x14ac:dyDescent="0.25">
      <c r="A263">
        <v>89</v>
      </c>
      <c r="B263">
        <v>9</v>
      </c>
      <c r="C263">
        <v>17</v>
      </c>
      <c r="D263">
        <v>5</v>
      </c>
      <c r="E263">
        <v>1</v>
      </c>
      <c r="F263" s="3">
        <f>488+(31.5-113.7)+(-1.49328+(-0.09639--0.347922))+0-0-0</f>
        <v>404.55825200000004</v>
      </c>
      <c r="G263" s="3">
        <f>489+(25.2-99.6)+(-0.99756+(-0.051408--0.203184))+0-0-0</f>
        <v>413.75421600000004</v>
      </c>
      <c r="H263" s="3">
        <f>371+(50.5-24)+(-0.94605+(-0.128775--0.0612))+0-0-0</f>
        <v>396.48637500000001</v>
      </c>
      <c r="I263" s="3">
        <f>353+(65.9-22)+(0+(0-0))+0-0-0</f>
        <v>396.9</v>
      </c>
      <c r="J263" s="3">
        <f>353+(84.1-25)+(0.18003+(0.042891-0.01275))+0-0-0</f>
        <v>412.31017100000003</v>
      </c>
      <c r="K263" s="3">
        <f>353+(127.4-30)+(-0.36006+(-0.129948--0.0306))+0-0-0</f>
        <v>449.94059199999998</v>
      </c>
      <c r="L263" s="3">
        <f>431+(98.8-31)+(0+(0-0))+0-0-0</f>
        <v>498.8</v>
      </c>
      <c r="M263" s="3">
        <f>478+(71.2-51)+(-0.48756+(-0.072624--0.05202))+0-0-0</f>
        <v>497.69183599999997</v>
      </c>
      <c r="N263" s="3">
        <f>496+(49.4-48.6)+(-0.75888+(-0.075582--0.074358))+0-0-0</f>
        <v>496.039896</v>
      </c>
      <c r="O263" s="3">
        <f>495+(45.7-46.5)+(-0.5049+(-0.046614--0.04743))+0-0-0</f>
        <v>493.69591600000001</v>
      </c>
      <c r="P263" s="3">
        <f>492+(44.7-48.3)+(-0.75276+(-0.068391--0.073899))+0-0-0</f>
        <v>487.65274799999997</v>
      </c>
      <c r="Q263" s="3">
        <f>491+(41.5-48.3)+(-0.75123+(-0.063495--0.073899))+0-0-0</f>
        <v>483.45917399999996</v>
      </c>
      <c r="R263" s="3">
        <f>488+(45.2-46.7)+(-1.2444+(-0.11526--0.119085))+0-0-0</f>
        <v>485.25942500000002</v>
      </c>
      <c r="S263" s="3">
        <f>488+(44.9-51.9)+(-0.49776+(-0.045798--0.052938))+0-0-0</f>
        <v>480.50938000000002</v>
      </c>
      <c r="T263" s="3">
        <f>488+(40.9-65.3)+(-0.49776+(-0.041718--0.066606))+0-0-0</f>
        <v>463.12712800000003</v>
      </c>
      <c r="U263" s="3">
        <f>472+(57.6-50.1)+(-0.48144+(-0.058752--0.051102))+0-0-0</f>
        <v>479.01091000000002</v>
      </c>
      <c r="V263" s="3">
        <f>472+(89-37)+(-0.96288+(-0.18156--0.07548))+0-0-0</f>
        <v>522.93104000000005</v>
      </c>
      <c r="W263" s="3">
        <f>508+(105.3-39)+(-0.25908+(-0.053703--0.01989))+0-0-0</f>
        <v>574.00710699999991</v>
      </c>
      <c r="X263" s="3">
        <f>520+(99.4-48)+(-0.7956+(-0.152082--0.07344))+0-0-0</f>
        <v>570.525758</v>
      </c>
      <c r="Y263" s="3">
        <f>517+(88.9-46)+(-1.05468+(-0.181356--0.09384))+0-0-0</f>
        <v>558.75780399999996</v>
      </c>
      <c r="Z263" s="3">
        <f>479+(90-37)+(0.24429+(0.0459-0.01887))+0-0-0</f>
        <v>532.27131999999995</v>
      </c>
      <c r="AA263" s="3">
        <f>480+(63.5-41.2)+(-0.4896+(-0.06477--0.042024))+0-0-0</f>
        <v>501.78765400000003</v>
      </c>
      <c r="AB263" s="3">
        <f>477+(45.9-58.2)+(-1.21635+(-0.117045--0.14841))+0-0-0</f>
        <v>463.51501500000001</v>
      </c>
      <c r="AC263" s="3">
        <f>446+(53.4-45.5)+(-0.45492+(-0.054468--0.04641))+0-0-0</f>
        <v>453.43702199999996</v>
      </c>
      <c r="AD263">
        <f t="shared" si="4"/>
        <v>11516.428739000003</v>
      </c>
      <c r="AE263" s="3">
        <f>519+(98.4-45)+(0+(0-0))+0-0-0</f>
        <v>572.4</v>
      </c>
    </row>
    <row r="264" spans="1:31" s="2" customFormat="1" x14ac:dyDescent="0.25">
      <c r="A264">
        <v>89</v>
      </c>
      <c r="B264">
        <v>9</v>
      </c>
      <c r="C264">
        <v>18</v>
      </c>
      <c r="D264">
        <v>6</v>
      </c>
      <c r="E264">
        <v>1</v>
      </c>
      <c r="F264" s="3">
        <f>446+(41.4-75.7)+(0.22746+(0.021114-0.038607))+0-0-0</f>
        <v>411.90996699999999</v>
      </c>
      <c r="G264" s="3">
        <f>402+(43.9-36.4)+(-0.20502+(-0.022389--0.018564))+0-0-0</f>
        <v>409.291155</v>
      </c>
      <c r="H264" s="3">
        <f>355+(66.8-21)+(-0.18105+(-0.034068--0.01071))+0-0-0</f>
        <v>400.59559200000001</v>
      </c>
      <c r="I264" s="3">
        <f>355+(66.1-21)+(0+(0-0))+0-0-0</f>
        <v>400.1</v>
      </c>
      <c r="J264" s="3">
        <f>355+(80.5-25)+(0.54315+(0.123165-0.03825))+0-0-0</f>
        <v>411.12806499999999</v>
      </c>
      <c r="K264" s="3">
        <f>359+(129.6-28)+(0.18309+(0.066096-0.01428))+0-0-0</f>
        <v>460.83490600000005</v>
      </c>
      <c r="L264" s="3">
        <f>409+(116.4-31)+(-0.83436+(-0.237456--0.06324))+0-0-0</f>
        <v>493.39142399999997</v>
      </c>
      <c r="M264" s="3">
        <f>555+(45.4-98)+(-0.5661+(-0.046308--0.09996))+0-0-0</f>
        <v>501.88755199999997</v>
      </c>
      <c r="N264" s="3">
        <f>526+(67.6-109.6)+(1.07304+(0.137904-0.223584))+0-0-0</f>
        <v>484.98736000000002</v>
      </c>
      <c r="O264" s="3">
        <f>475+(94.3-93.6)+(-0.24225+(-0.048093--0.047736))+0-0-0</f>
        <v>475.45739299999997</v>
      </c>
      <c r="P264" s="3">
        <f>480+(91.9-96.3)+(0.2448+(0.046869-0.049113))+0-0-0</f>
        <v>475.842556</v>
      </c>
      <c r="Q264" s="3">
        <f>480+(80-94.2)+(-0.2448+(-0.0408--0.048042))+0-0-0</f>
        <v>465.56244200000003</v>
      </c>
      <c r="R264" s="3">
        <f>481+(88.4-91.4)+(-1.22655+(-0.22542--0.23307))+0-0-0</f>
        <v>476.78109999999998</v>
      </c>
      <c r="S264" s="3">
        <f>481+(84.8-93.3)+(-0.49062+(-0.086496--0.095166))+0-0-0</f>
        <v>472.01805000000002</v>
      </c>
      <c r="T264" s="3">
        <f>481+(79.9-92.7)+(-0.24531+(-0.040749--0.047277))+0-0-0</f>
        <v>467.96121799999997</v>
      </c>
      <c r="U264" s="3">
        <f>481+(86.8-90.7)+(-0.49062+(-0.088536--0.092514))+0-0-0</f>
        <v>476.61335800000001</v>
      </c>
      <c r="V264" s="3">
        <f>492+(123.2-79.8)+(0+(0-0))+0-0-0</f>
        <v>535.4</v>
      </c>
      <c r="W264" s="3">
        <f>507+(149.2-72.2)+(0.25857+(0.076092-0.036822))+0-0-0</f>
        <v>584.29783999999995</v>
      </c>
      <c r="X264" s="3">
        <f>508+(143.7-71.2)+(0+(0-0))+0-0-0</f>
        <v>580.5</v>
      </c>
      <c r="Y264" s="3">
        <f>510+(125.2-74.4)+(-0.7803+(-0.191556--0.113832))+0-0-0</f>
        <v>559.94197599999995</v>
      </c>
      <c r="Z264" s="3">
        <f>501+(107.5-74.6)+(-0.51102+(-0.10965--0.076092))+0-0-0</f>
        <v>533.35542199999998</v>
      </c>
      <c r="AA264" s="3">
        <f>488+(98.6-79.7)+(0.24888+(0.050286-0.040647))+0-0-0</f>
        <v>507.15851899999996</v>
      </c>
      <c r="AB264" s="3">
        <f>488+(81.1-86)+(-1.2444+(-0.206805--0.2193))+0-0-0</f>
        <v>481.86809500000004</v>
      </c>
      <c r="AC264" s="3">
        <f>488+(57.2-93.2)+(-1.99104+(-0.233376--0.380256))+0-0-0</f>
        <v>450.15584000000001</v>
      </c>
      <c r="AD264">
        <f t="shared" si="4"/>
        <v>11517.03983</v>
      </c>
      <c r="AE264" s="3">
        <f>502+(151.4-71.9)+(0+(0-0))+0-0-0</f>
        <v>581.5</v>
      </c>
    </row>
    <row r="265" spans="1:31" s="2" customFormat="1" x14ac:dyDescent="0.25">
      <c r="A265">
        <v>89</v>
      </c>
      <c r="B265">
        <v>9</v>
      </c>
      <c r="C265">
        <v>19</v>
      </c>
      <c r="D265">
        <v>7</v>
      </c>
      <c r="E265">
        <v>1</v>
      </c>
      <c r="F265" s="3">
        <f>488+(36.9-97.1)+(0+(0-0))+0-0-0</f>
        <v>427.8</v>
      </c>
      <c r="G265" s="3">
        <f>447+(58.5-92.6)+(-0.68391+(-0.089505--0.141678))+0-0-0</f>
        <v>412.26826299999999</v>
      </c>
      <c r="H265" s="3">
        <f>435+(67.7-90.7)+(-0.4437+(-0.069054--0.092514))+0-0-0</f>
        <v>411.57976000000002</v>
      </c>
      <c r="I265" s="3">
        <f>435+(63.2-90.1)+(0.22185+(0.032232-0.045951))+0-0-0</f>
        <v>408.308131</v>
      </c>
      <c r="J265" s="3">
        <f>435+(76.7-86.7)+(-1.10925+(-0.195585--0.221085))+0-0-0</f>
        <v>423.91624999999999</v>
      </c>
      <c r="K265" s="3">
        <f>435+(107.1-76.2)+(0.22185+(0.054621-0.038862))+0-0-0</f>
        <v>466.137609</v>
      </c>
      <c r="L265" s="3">
        <f>424+(126.9-75.1)+(-0.43248+(-0.129438--0.076602))+0-0-0</f>
        <v>475.314684</v>
      </c>
      <c r="M265" s="3">
        <f>435+(131.7-82.9)+(-0.66555+(-0.201501--0.126837))+0-0-0</f>
        <v>483.05978599999997</v>
      </c>
      <c r="N265" s="3">
        <f>439+(133-87.2)+(-0.44778+(-0.13566--0.088944))+0-0-0</f>
        <v>484.30550399999998</v>
      </c>
      <c r="O265" s="3">
        <f>438+(135.4-85.3)+(-0.67014+(-0.207162--0.130509))+0-0-0</f>
        <v>487.353207</v>
      </c>
      <c r="P265" s="3">
        <f>438+(136.9-80.4)+(-0.89352+(-0.279276--0.164016))+0-0-0</f>
        <v>493.49122</v>
      </c>
      <c r="Q265" s="3">
        <f>438+(138.1-73.8)+(-0.44676+(-0.140862--0.075276))+0-0-0</f>
        <v>501.78765400000003</v>
      </c>
      <c r="R265" s="3">
        <f>438+(136.8-71.8)+(-0.67014+(-0.209304--0.109854))+0-0-0</f>
        <v>502.23041000000001</v>
      </c>
      <c r="S265" s="3">
        <f>438+(126.1-77.4)+(-0.89352+(-0.257244--0.157896))+0-0-0</f>
        <v>485.707132</v>
      </c>
      <c r="T265" s="3">
        <f>411+(84.8-25.5)+(-0.41922+(-0.086496--0.02601))+0-0-0</f>
        <v>469.82029399999999</v>
      </c>
      <c r="U265" s="3">
        <f>383+(117.2-29)+(0+(0-0))+0-0-0</f>
        <v>471.2</v>
      </c>
      <c r="V265" s="3">
        <f>388+(194-31)+(-0.9894+(-0.4947--0.07905))+0-0-0</f>
        <v>549.59495000000004</v>
      </c>
      <c r="W265" s="3">
        <f>522+(113.6-50)+(0.26622+(0.057936-0.0255))+0-0-0</f>
        <v>585.89865600000007</v>
      </c>
      <c r="X265" s="3">
        <f>533+(100-53)+(-0.27183+(-0.051--0.02703))+0-0-0</f>
        <v>579.70420000000001</v>
      </c>
      <c r="Y265" s="3">
        <f>536+(78.3-57)+(-0.82008+(-0.119799--0.08721))+0-0-0</f>
        <v>556.44733099999996</v>
      </c>
      <c r="Z265" s="3">
        <f>484+(115.7-33)+(-0.24684+(-0.059007--0.01683))+0-0-0</f>
        <v>566.4109830000001</v>
      </c>
      <c r="AA265" s="3">
        <f>388+(164.1-32)+(0+(0-0))+0-0-0</f>
        <v>520.1</v>
      </c>
      <c r="AB265" s="3">
        <f>395+(99.9-35)+(-0.4029+(-0.101898--0.0357))+0-0-0</f>
        <v>459.430902</v>
      </c>
      <c r="AC265" s="3">
        <f>478+(30.1-73.6)+(-1.46268+(-0.092106--0.225216))+0-0-0</f>
        <v>433.17043000000001</v>
      </c>
      <c r="AD265">
        <f t="shared" si="4"/>
        <v>11655.037355999999</v>
      </c>
      <c r="AE265" s="3">
        <f>534+(102.7-58)+(0+(0-0))+0-0-0</f>
        <v>578.70000000000005</v>
      </c>
    </row>
    <row r="266" spans="1:31" s="2" customFormat="1" x14ac:dyDescent="0.25">
      <c r="A266">
        <v>89</v>
      </c>
      <c r="B266">
        <v>9</v>
      </c>
      <c r="C266">
        <v>20</v>
      </c>
      <c r="D266">
        <v>1</v>
      </c>
      <c r="E266">
        <v>1</v>
      </c>
      <c r="F266" s="3">
        <f>474+(28.2-84.5)+(-0.72522+(-0.043146--0.129285))+0-0-0</f>
        <v>417.06091900000001</v>
      </c>
      <c r="G266" s="3">
        <f>445+(35.5-73.5)+(0.68085+(0.054315-0.112455))+0-0-0</f>
        <v>407.62270999999998</v>
      </c>
      <c r="H266" s="3">
        <f>426+(36.6-59.3)+(-0.43452+(-0.037332--0.060486))+0-0-0</f>
        <v>402.88863400000002</v>
      </c>
      <c r="I266" s="3">
        <f>353+(67.6-28)+(0+(0-0))+0-0-0</f>
        <v>392.6</v>
      </c>
      <c r="J266" s="3">
        <f>353+(100.6-23)+(-0.18003+(-0.051306--0.01173))+0-0-0</f>
        <v>430.38039400000002</v>
      </c>
      <c r="K266" s="3">
        <f>353+(163.6-28)+(0.90015+(0.41718-0.0714))+0-0-0</f>
        <v>489.84593000000001</v>
      </c>
      <c r="L266" s="3">
        <f>352+(151.4-32)+(-0.17952+(-0.077214--0.01632))+0-0-0</f>
        <v>471.15958599999999</v>
      </c>
      <c r="M266" s="3">
        <f>376+(134.6-29)+(-0.19176+(-0.068646--0.01479))+0-0-0</f>
        <v>481.35438400000004</v>
      </c>
      <c r="N266" s="3">
        <f>436+(98.3-27)+(0+(0-0))+0-0-0</f>
        <v>507.3</v>
      </c>
      <c r="O266" s="3">
        <f>431+(101.8-26)+(-0.43962+(-0.103836--0.02652))+0-0-0</f>
        <v>506.28306400000002</v>
      </c>
      <c r="P266" s="3">
        <f>427+(89-26)+(0.21777+(0.04539-0.01326))+0-0-0</f>
        <v>490.24990000000003</v>
      </c>
      <c r="Q266" s="3">
        <f>426+(89.4-26)+(-1.0863+(-0.22797--0.0663))+0-0-0</f>
        <v>488.15202999999997</v>
      </c>
      <c r="R266" s="3">
        <f>427+(90.8-31)+(-0.87108+(-0.185232--0.06324))+0-0-0</f>
        <v>485.80692800000003</v>
      </c>
      <c r="S266" s="3">
        <f>426+(86.7-32)+(-0.86904+(-0.176868--0.06528))+0-0-0</f>
        <v>479.71937199999996</v>
      </c>
      <c r="T266" s="3">
        <f>426+(81.9-30)+(0.86904+(0.167076-0.0612))+0-0-0</f>
        <v>478.87491599999998</v>
      </c>
      <c r="U266" s="3">
        <f>427+(88.7-30)+(-1.08885+(-0.226185--0.0765))+0-0-0</f>
        <v>484.46146499999998</v>
      </c>
      <c r="V266" s="3">
        <f>433+(145.7-31)+(-0.66249+(-0.222921--0.04743))+0-0-0</f>
        <v>546.86201900000003</v>
      </c>
      <c r="W266" s="3">
        <f>531+(107.5-48)+(-0.81243+(-0.164475--0.07344))+0-0-0</f>
        <v>589.59653500000002</v>
      </c>
      <c r="X266" s="3">
        <f>525+(108.8-43)+(-1.071+(-0.221952--0.08772))+0-0-0</f>
        <v>589.59476799999993</v>
      </c>
      <c r="Y266" s="3">
        <f>495+(134.8-31)+(-0.75735+(-0.206244--0.04743))+0-0-0</f>
        <v>597.88383599999997</v>
      </c>
      <c r="Z266" s="3">
        <f>438+(151.4-30)+(-0.89352+(-0.308856--0.0612))+0-0-0</f>
        <v>558.258824</v>
      </c>
      <c r="AA266" s="3">
        <f>387+(156.8-28)+(-0.59211+(-0.239904--0.04284))+0-0-0</f>
        <v>515.01082599999995</v>
      </c>
      <c r="AB266" s="3">
        <f>387+(124.9-25)+(-0.78948+(-0.254796--0.051))+0-0-0</f>
        <v>485.906724</v>
      </c>
      <c r="AC266" s="3">
        <f>359+(127.3-23)+(-0.54927+(-0.194769--0.03519))+0-0-0</f>
        <v>462.59115100000002</v>
      </c>
      <c r="AD266">
        <f t="shared" si="4"/>
        <v>11759.464915000002</v>
      </c>
      <c r="AE266" s="3">
        <f>516+(106.4-47)+(0+(0-0))+0-0-0</f>
        <v>575.4</v>
      </c>
    </row>
    <row r="267" spans="1:31" s="2" customFormat="1" x14ac:dyDescent="0.25">
      <c r="A267">
        <v>89</v>
      </c>
      <c r="B267">
        <v>9</v>
      </c>
      <c r="C267">
        <v>21</v>
      </c>
      <c r="D267">
        <v>2</v>
      </c>
      <c r="E267">
        <v>1</v>
      </c>
      <c r="F267" s="3">
        <f>350+(106.9-22)+(-0.8925+(-0.272595--0.0561))+0-0-0</f>
        <v>433.79100499999998</v>
      </c>
      <c r="G267" s="3">
        <f>350+(91.7-22)+(-0.1785+(-0.046767--0.01122))+0-0-0</f>
        <v>419.48595299999999</v>
      </c>
      <c r="H267" s="3">
        <f>350+(82.8-22)+(-0.714+(-0.168912--0.04488))+0-0-0</f>
        <v>409.96196800000001</v>
      </c>
      <c r="I267" s="3">
        <f>350+(81.4-23)+(0.5355+(0.124542-0.03519))+0-0-0</f>
        <v>409.02485199999995</v>
      </c>
      <c r="J267" s="3">
        <f>350+(100.4-25)+(0.8925+(0.25602-0.06375))+0-0-0</f>
        <v>426.48476999999997</v>
      </c>
      <c r="K267" s="3">
        <f>350+(151.7-29)+(0.5355+(0.232101-0.04437))+0-0-0</f>
        <v>473.42323099999999</v>
      </c>
      <c r="L267" s="3">
        <f>426+(119.6-31)+(-0.21726+(-0.060996--0.01581))+0-0-0</f>
        <v>514.33755400000007</v>
      </c>
      <c r="M267" s="3">
        <f>439+(112.2-36)+(-0.22389+(-0.057222--0.01836))+0-0-0</f>
        <v>514.93724800000007</v>
      </c>
      <c r="N267" s="3">
        <f>433+(111.5-35)+(0+(0-0))+0-0-0</f>
        <v>509.5</v>
      </c>
      <c r="O267" s="3">
        <f>430+(109.9-38)+(-0.6579+(-0.168147--0.05814))+0-0-0</f>
        <v>501.132093</v>
      </c>
      <c r="P267" s="3">
        <f>428+(98.7-39)+(-0.21828+(-0.050337--0.01989))+0-0-0</f>
        <v>487.45127300000001</v>
      </c>
      <c r="Q267" s="3">
        <f>426+(95.3-37)+(-0.65178+(-0.145809--0.05661))+0-0-0</f>
        <v>483.55902100000003</v>
      </c>
      <c r="R267" s="3">
        <f>422+(102.4-31)+(-1.72176+(-0.417792--0.12648))+0-0-0</f>
        <v>491.38692799999995</v>
      </c>
      <c r="S267" s="3">
        <f>421+(95.3-33)+(-0.21471+(-0.048603--0.01683))+0-0-0</f>
        <v>483.053517</v>
      </c>
      <c r="T267" s="3">
        <f>423+(86.9-31)+(-0.64719+(-0.132957--0.04743))+0-0-0</f>
        <v>478.167283</v>
      </c>
      <c r="U267" s="3">
        <f>423+(93.7-31)+(0.64719+(0.143361-0.04743))+0-0-0</f>
        <v>486.44312099999996</v>
      </c>
      <c r="V267" s="3">
        <f>460+(117.6-30)+(-1.173+(-0.29988--0.0765))+0-0-0</f>
        <v>546.20362</v>
      </c>
      <c r="W267" s="3">
        <f>485+(135.2-45)+(0.24735+(0.068952-0.02295))+0-0-0</f>
        <v>575.49335200000007</v>
      </c>
      <c r="X267" s="3">
        <f>523+(108.5-49)+(-0.80019+(-0.166005--0.07497))+0-0-0</f>
        <v>581.60877500000004</v>
      </c>
      <c r="Y267" s="3">
        <f>490+(100.2-32)+(-0.7497+(-0.153306--0.04896))+0-0-0</f>
        <v>557.34595400000001</v>
      </c>
      <c r="Z267" s="3">
        <f>468+(92.6-35)+(-0.47736+(-0.094452--0.0357))+0-0-0</f>
        <v>525.06388800000002</v>
      </c>
      <c r="AA267" s="3">
        <f>468+(75.9-38)+(0+(0-0))+0-0-0</f>
        <v>505.9</v>
      </c>
      <c r="AB267" s="3">
        <f>418+(144.7-26)+(-0.63954+(-0.221391--0.03978))+0-0-0</f>
        <v>535.87884900000006</v>
      </c>
      <c r="AC267" s="3">
        <f>352+(166.2-23)+(-0.35904+(-0.169524--0.02346))+0-0-0</f>
        <v>494.69489599999997</v>
      </c>
      <c r="AD267">
        <f t="shared" si="4"/>
        <v>11844.329151000002</v>
      </c>
      <c r="AE267" s="3">
        <f>522+(123.7-33)+(0+(0-0))+0-0-0</f>
        <v>612.70000000000005</v>
      </c>
    </row>
    <row r="268" spans="1:31" s="2" customFormat="1" x14ac:dyDescent="0.25">
      <c r="A268">
        <v>89</v>
      </c>
      <c r="B268">
        <v>9</v>
      </c>
      <c r="C268">
        <v>22</v>
      </c>
      <c r="D268">
        <v>3</v>
      </c>
      <c r="E268">
        <v>1</v>
      </c>
      <c r="F268" s="3">
        <f>352+(108-22)+(-1.07712+(-0.33048--0.06732))+0-0-0</f>
        <v>436.65971999999999</v>
      </c>
      <c r="G268" s="3">
        <f>352+(94-22)+(-1.25664+(-0.33558--0.07854))+0-0-0</f>
        <v>422.48631999999998</v>
      </c>
      <c r="H268" s="3">
        <f>352+(84.9-22)+(-0.53856+(-0.129897--0.03366))+0-0-0</f>
        <v>414.26520299999999</v>
      </c>
      <c r="I268" s="3">
        <f>352+(82.5-24)+(0+(0-0))+0-0-0</f>
        <v>410.5</v>
      </c>
      <c r="J268" s="3">
        <f>352+(94.4-25)+(-0.17952+(-0.048144--0.01275))+0-0-0</f>
        <v>421.18508599999996</v>
      </c>
      <c r="K268" s="3">
        <f>352+(150.6-30)+(0.35904+(0.153612-0.0306))+0-0-0</f>
        <v>473.08205200000003</v>
      </c>
      <c r="L268" s="3">
        <f>417+(100.3-26)+(-0.42534+(-0.102306--0.02652))+0-0-0</f>
        <v>490.79887400000001</v>
      </c>
      <c r="M268" s="3">
        <f>435+(103.5-32)+(0.22185+(0.052785-0.01632))+0-0-0</f>
        <v>506.75831499999998</v>
      </c>
      <c r="N268" s="3">
        <f>431+(94.3-36)+(-0.43962+(-0.096186--0.03672))+0-0-0</f>
        <v>488.80091400000003</v>
      </c>
      <c r="O268" s="3">
        <f>427+(89-34)+(0+(0-0))+0-0-0</f>
        <v>482</v>
      </c>
      <c r="P268" s="3">
        <f>423+(87.2-30)+(0+(0-0))+0-0-0</f>
        <v>480.2</v>
      </c>
      <c r="Q268" s="3">
        <f>422+(90-30)+(0+(0-0))+0-0-0</f>
        <v>482</v>
      </c>
      <c r="R268" s="3">
        <f>423+(98.8-31)+(0+(0-0))+0-0-0</f>
        <v>490.8</v>
      </c>
      <c r="S268" s="3">
        <f>423+(97.6-33)+(0+(0-0))+0-0-0</f>
        <v>487.6</v>
      </c>
      <c r="T268" s="3">
        <f>424+(89.7-36)+(0+(0-0))+0-0-0</f>
        <v>477.7</v>
      </c>
      <c r="U268" s="3">
        <f>426+(100-33)+(0+(0-0))+0-0-0</f>
        <v>493</v>
      </c>
      <c r="V268" s="3">
        <f>433+(133.5-29)+(0+(0-0))+0-0-0</f>
        <v>537.5</v>
      </c>
      <c r="W268" s="3">
        <f>485+(121-47)+(0+(0-0))+0-0-0</f>
        <v>559</v>
      </c>
      <c r="X268" s="3">
        <f>515+(94.8-49)+(0+(0-0))+0-0-0</f>
        <v>560.79999999999995</v>
      </c>
      <c r="Y268" s="3">
        <f>516+(81.4-51)+(0+(0-0))+0-0-0</f>
        <v>546.4</v>
      </c>
      <c r="Z268" s="3">
        <f>476+(88.6-39)+(0+(0-0))+0-0-0</f>
        <v>525.6</v>
      </c>
      <c r="AA268" s="3">
        <f>474+(75-41)+(0+(0-0))+0-0-0</f>
        <v>508</v>
      </c>
      <c r="AB268" s="3">
        <f>468+(66.1-50.8)+(0+(0-0))+0-0-0</f>
        <v>483.3</v>
      </c>
      <c r="AC268" s="3">
        <f>439+(71.6-55.4)+(0+(0-0))+0-0-0</f>
        <v>455.2</v>
      </c>
      <c r="AD268">
        <f t="shared" si="4"/>
        <v>11633.636483999999</v>
      </c>
      <c r="AE268" s="3">
        <f>513+(100.8-48)+(0+(0-0))+0-0-0</f>
        <v>565.79999999999995</v>
      </c>
    </row>
    <row r="269" spans="1:31" s="2" customFormat="1" x14ac:dyDescent="0.25">
      <c r="A269">
        <v>89</v>
      </c>
      <c r="B269">
        <v>9</v>
      </c>
      <c r="C269">
        <v>23</v>
      </c>
      <c r="D269">
        <v>4</v>
      </c>
      <c r="E269">
        <v>1</v>
      </c>
      <c r="F269" s="3">
        <f>441+(59.9-63.8)+(0+(0-0))+0-0-0</f>
        <v>437.1</v>
      </c>
      <c r="G269" s="3">
        <f>441+(51-72.8)+(0+(0-0))+0-0-0</f>
        <v>419.2</v>
      </c>
      <c r="H269" s="3">
        <f>400+(55-53.7)+(0+(0-0))+0-0-0</f>
        <v>401.3</v>
      </c>
      <c r="I269" s="3">
        <f>352+(55-37.3)+(0+(0-0))+0-0-0</f>
        <v>369.7</v>
      </c>
      <c r="J269" s="3">
        <f>352+(72.7-25)+(0+(0-0))+0-0-0</f>
        <v>399.7</v>
      </c>
      <c r="K269" s="3">
        <f>352+(131.8-30)+(0+(0-0))+0-0-0</f>
        <v>453.8</v>
      </c>
      <c r="L269" s="3">
        <f>350+(164.2-27)+(0+(0-0))+0-0-0</f>
        <v>487.2</v>
      </c>
      <c r="M269" s="3">
        <f>350+(166.4-28)+(0+(0-0))+0-0-0</f>
        <v>488.4</v>
      </c>
      <c r="N269" s="3">
        <f>415+(120-30)+(0+(0-0))+0-0-0</f>
        <v>505</v>
      </c>
      <c r="O269" s="3">
        <f>432+(99.8-40)+(0+(0-0))+0-0-0</f>
        <v>491.8</v>
      </c>
      <c r="P269" s="3">
        <f>441+(92.7-49.3)+(0+(0-0))+0-0-0</f>
        <v>484.4</v>
      </c>
      <c r="Q269" s="3">
        <f>468+(80.3-59.3)+(0+(0-0))+0-0-0</f>
        <v>489</v>
      </c>
      <c r="R269" s="3">
        <f>420+(105-25)+(-1.071+(-0.26775--0.06375))+0-0-0</f>
        <v>498.72500000000002</v>
      </c>
      <c r="S269" s="3">
        <f>387+(115.2-25)+(-0.19737+(-0.058752--0.01275))+0-0-0</f>
        <v>476.95662799999997</v>
      </c>
      <c r="T269" s="3">
        <f>386+(106.1-25)+(-0.59058+(-0.162333--0.03825))+0-0-0</f>
        <v>466.38533700000005</v>
      </c>
      <c r="U269" s="3">
        <f>348+(149.5-26)+(-0.8874+(-0.381225--0.0663))+0-0-0</f>
        <v>470.29767500000003</v>
      </c>
      <c r="V269" s="3">
        <f>419+(124-45)+(-1.06845+(-0.3162--0.11475))+0-0-0</f>
        <v>496.73009999999999</v>
      </c>
      <c r="W269" s="3">
        <f>504+(109.1-49)+(-0.51408+(-0.111282--0.04998))+0-0-0</f>
        <v>563.52461800000003</v>
      </c>
      <c r="X269" s="3">
        <f>472+(125.2-42)+(-1.2036+(-0.31926--0.1071))+0-0-0</f>
        <v>553.78424000000007</v>
      </c>
      <c r="Y269" s="3">
        <f>430+(152.6-32)+(-0.2193+(-0.077826--0.01632))+0-0-0</f>
        <v>550.31919400000004</v>
      </c>
      <c r="Z269" s="3">
        <f>396+(149.2-28)+(-0.80784+(-0.304368--0.05712))+0-0-0</f>
        <v>516.14491200000009</v>
      </c>
      <c r="AA269" s="3">
        <f>396+(118-26)+(0+(0-0))+0-0-0</f>
        <v>488</v>
      </c>
      <c r="AB269" s="3">
        <f>396+(105.4-24)+(-0.80784+(-0.215016--0.04896))+0-0-0</f>
        <v>476.42610399999995</v>
      </c>
      <c r="AC269" s="3">
        <f>397+(86.5-23)+(-0.20247+(-0.044115--0.01173))+0-0-0</f>
        <v>460.26514500000002</v>
      </c>
      <c r="AD269">
        <f t="shared" si="4"/>
        <v>11444.158952999998</v>
      </c>
      <c r="AE269" s="3">
        <f>509+(109.8-49)+(0+(0-0))+0-0-0</f>
        <v>569.79999999999995</v>
      </c>
    </row>
    <row r="270" spans="1:31" s="2" customFormat="1" x14ac:dyDescent="0.25">
      <c r="A270">
        <v>89</v>
      </c>
      <c r="B270">
        <v>9</v>
      </c>
      <c r="C270">
        <v>24</v>
      </c>
      <c r="D270">
        <v>5</v>
      </c>
      <c r="E270">
        <v>5</v>
      </c>
      <c r="F270" s="3">
        <f>379+(60.2-24)+(-0.38658+(-0.061404--0.02448))+0-0-0</f>
        <v>414.77649600000001</v>
      </c>
      <c r="G270" s="3">
        <f>380+(52-29.9)+(0.3876+(0.05304-0.030498))+0-0-0</f>
        <v>402.51014200000003</v>
      </c>
      <c r="H270" s="3">
        <f>379+(47.3-31.1)+(0+(0-0))+0-0-0</f>
        <v>395.2</v>
      </c>
      <c r="I270" s="3">
        <f>378+(53.2-30.4)+(0.19278+(0.027132-0.015504))+0-0-0</f>
        <v>401.00440800000001</v>
      </c>
      <c r="J270" s="3">
        <f>295+(115.7-23)+(0.15045+(0.059007-0.01173))+0-0-0</f>
        <v>387.89772699999997</v>
      </c>
      <c r="K270" s="3">
        <f>293+(178.6-27)+(-0.14943+(-0.091086--0.01377))+0-0-0</f>
        <v>444.37325400000003</v>
      </c>
      <c r="L270" s="3">
        <f>343+(169.6-30)+(-0.17493+(-0.086496--0.0153))+0-0-0</f>
        <v>482.35387400000002</v>
      </c>
      <c r="M270" s="3">
        <f>352+(156.9-30)+(-0.35904+(-0.160038--0.0306))+0-0-0</f>
        <v>478.41152199999999</v>
      </c>
      <c r="N270" s="3">
        <f>297+(197.9-30)+(0.30294+(0.201858-0.0306))+0-0-0</f>
        <v>465.37419799999998</v>
      </c>
      <c r="O270" s="3">
        <f>297+(183.2-28)+(0.15147+(0.093432-0.01428))+0-0-0</f>
        <v>452.43062199999997</v>
      </c>
      <c r="P270" s="3">
        <f>297+(172.9-25)+(-0.60588+(-0.352716--0.051))+0-0-0</f>
        <v>443.99240399999996</v>
      </c>
      <c r="Q270" s="3">
        <f>297+(168.7-26)+(-0.75735+(-0.430185--0.0663))+0-0-0</f>
        <v>438.57876499999998</v>
      </c>
      <c r="R270" s="3">
        <f>295+(171.1-25)+(-0.3009+(-0.174522--0.0255))+0-0-0</f>
        <v>440.65007800000001</v>
      </c>
      <c r="S270" s="3">
        <f>295+(173.6-24)+(-0.45135+(-0.265608--0.03672))+0-0-0</f>
        <v>443.91976200000005</v>
      </c>
      <c r="T270" s="3">
        <f>295+(171.5-23)+(-0.6018+(-0.34986--0.04692))+0-0-0</f>
        <v>442.59526</v>
      </c>
      <c r="U270" s="3">
        <f>296+(183.1-23)+(-0.45288+(-0.280143--0.03519))+0-0-0</f>
        <v>455.40216700000002</v>
      </c>
      <c r="V270" s="3">
        <f>299+(224.6-28)+(0.30498+(0.229092-0.02856))+0-0-0</f>
        <v>496.10551200000003</v>
      </c>
      <c r="W270" s="3">
        <f>367+(195.4-32)+(-0.18717+(-0.099654--0.01632))+0-0-0</f>
        <v>530.12949600000002</v>
      </c>
      <c r="X270" s="3">
        <f>398+(164-31)+(-1.21788+(-0.50184--0.09486))+0-0-0</f>
        <v>529.37513999999999</v>
      </c>
      <c r="Y270" s="3">
        <f>391+(155.7-29)+(-0.79764+(-0.317628--0.05916))+0-0-0</f>
        <v>516.64389200000005</v>
      </c>
      <c r="Z270" s="3">
        <f>385+(138.1-27)+(0.19635+(0.070431-0.01377))+0-0-0</f>
        <v>496.35301100000004</v>
      </c>
      <c r="AA270" s="3">
        <f>385+(155.4-25)+(-0.19635+(-0.079254--0.01275))+0-0-0</f>
        <v>515.13714600000003</v>
      </c>
      <c r="AB270" s="3">
        <f>386+(122.2-24)+(-0.39372+(-0.124644--0.02448))+0-0-0</f>
        <v>483.70611600000001</v>
      </c>
      <c r="AC270" s="3">
        <f>388+(66.2-26)+(-0.59364+(-0.101286--0.03978))+0-0-0</f>
        <v>427.54485399999999</v>
      </c>
      <c r="AD270">
        <f t="shared" si="4"/>
        <v>10984.465845999997</v>
      </c>
      <c r="AE270" s="3">
        <f>403+(171.3-34)+(0+(0-0))+0-0-0</f>
        <v>540.29999999999995</v>
      </c>
    </row>
    <row r="271" spans="1:31" s="2" customFormat="1" x14ac:dyDescent="0.25">
      <c r="A271">
        <v>89</v>
      </c>
      <c r="B271">
        <v>9</v>
      </c>
      <c r="C271">
        <v>25</v>
      </c>
      <c r="D271">
        <v>6</v>
      </c>
      <c r="E271">
        <v>5</v>
      </c>
      <c r="F271" s="3">
        <f>350+(71.5-23)+(-0.714+(-0.14586--0.04692))+0-0-0</f>
        <v>397.68705999999997</v>
      </c>
      <c r="G271" s="3">
        <f>298+(114.5-22)+(-0.45594+(-0.175185--0.03366))+0-0-0</f>
        <v>389.902535</v>
      </c>
      <c r="H271" s="3">
        <f>298+(101.6-22)+(-0.30396+(-0.103632--0.02244))+0-0-0</f>
        <v>377.21484800000002</v>
      </c>
      <c r="I271" s="3">
        <f>298+(106.6-23)+(-0.7599+(-0.27183--0.05865))+0-0-0</f>
        <v>380.62692000000004</v>
      </c>
      <c r="J271" s="3">
        <f>298+(117.7-27)+(-0.30396+(-0.120054--0.02754))+0-0-0</f>
        <v>388.30352599999998</v>
      </c>
      <c r="K271" s="3">
        <f>298+(149.3-33)+(0+(0-0))+0-0-0</f>
        <v>414.3</v>
      </c>
      <c r="L271" s="3">
        <f>296+(174.1-27)+(-0.60384+(-0.355164--0.05508))+0-0-0</f>
        <v>442.19607600000001</v>
      </c>
      <c r="M271" s="3">
        <f>296+(187.5-23)+(-0.30192+(-0.19125--0.02346))+0-0-0</f>
        <v>460.03028999999998</v>
      </c>
      <c r="N271" s="3">
        <f>296+(178.1-23)+(-0.15096+(-0.090831--0.01173))+0-0-0</f>
        <v>450.86993900000004</v>
      </c>
      <c r="O271" s="3">
        <f>296+(147.9-24)+(0.30192+(0.150858-0.02448))+0-0-0</f>
        <v>420.32829799999996</v>
      </c>
      <c r="P271" s="3">
        <f>296+(135.7-24)+(-1.05672+(-0.484449--0.08568))+0-0-0</f>
        <v>406.24451099999999</v>
      </c>
      <c r="Q271" s="3">
        <f>296+(135.9-25)+(-0.30192+(-0.138618--0.0255))+0-0-0</f>
        <v>406.484962</v>
      </c>
      <c r="R271" s="3">
        <f>295+(139-26)+(0.15045+(0.07089-0.01326))+0-0-0</f>
        <v>408.20808</v>
      </c>
      <c r="S271" s="3">
        <f>295+(142.1-27)+(-0.3009+(-0.144942--0.02754))+0-0-0</f>
        <v>409.68169800000004</v>
      </c>
      <c r="T271" s="3">
        <f>296+(145.7-27)+(-0.7548+(-0.371535--0.06885))+0-0-0</f>
        <v>413.642515</v>
      </c>
      <c r="U271" s="3">
        <f>296+(156-27)+(0+(0-0))+0-0-0</f>
        <v>425</v>
      </c>
      <c r="V271" s="3">
        <f>297+(251.1-28)+(-0.45441+(-0.384183--0.04284))+0-0-0</f>
        <v>519.30424700000003</v>
      </c>
      <c r="W271" s="3">
        <f>297+(256.8-29)+(-0.75735+(-0.65484--0.07395))+0-0-0</f>
        <v>523.46175999999991</v>
      </c>
      <c r="X271" s="3">
        <f>297+(253.6-30)+(-0.30294+(-0.258672--0.0306))+0-0-0</f>
        <v>520.06898799999999</v>
      </c>
      <c r="Y271" s="3">
        <f>297+(232.6-29)+(0+(0-0))+0-0-0</f>
        <v>500.6</v>
      </c>
      <c r="Z271" s="3">
        <f>297+(210.5-28)+(-0.45441+(-0.322065--0.04284))+0-0-0</f>
        <v>478.76636500000001</v>
      </c>
      <c r="AA271" s="3">
        <f>297+(181.3-28)+(0.15147+(0.092463-0.01428))+0-0-0</f>
        <v>450.529653</v>
      </c>
      <c r="AB271" s="3">
        <f>297+(165.1-26)+(-0.30294+(-0.168402--0.02652))+0-0-0</f>
        <v>435.65517800000003</v>
      </c>
      <c r="AC271" s="3">
        <f>297+(140.6-25)+(-0.30294+(-0.143412--0.0255))+0-0-0</f>
        <v>412.179148</v>
      </c>
      <c r="AD271">
        <f t="shared" si="4"/>
        <v>10431.286597</v>
      </c>
      <c r="AE271" s="3">
        <f>297+(256.5-29)+(0+(0-0))+0-0-0</f>
        <v>524.5</v>
      </c>
    </row>
    <row r="272" spans="1:31" s="2" customFormat="1" x14ac:dyDescent="0.25">
      <c r="A272">
        <v>89</v>
      </c>
      <c r="B272">
        <v>9</v>
      </c>
      <c r="C272">
        <v>26</v>
      </c>
      <c r="D272">
        <v>7</v>
      </c>
      <c r="E272">
        <v>1</v>
      </c>
      <c r="F272" s="3">
        <f>252+(194.4-24)+(-0.38556+(-0.297432--0.03672))+0-0-0</f>
        <v>421.75372799999997</v>
      </c>
      <c r="G272" s="3">
        <f>233+(180.6-23)+(0+(0-0))+0-0-0</f>
        <v>390.6</v>
      </c>
      <c r="H272" s="3">
        <f>233+(174.6-23)+(-0.83181+(-0.623322--0.08211))+0-0-0</f>
        <v>383.22697800000003</v>
      </c>
      <c r="I272" s="3">
        <f>233+(184.8-23)+(0+(0-0))+0-0-0</f>
        <v>394.8</v>
      </c>
      <c r="J272" s="3">
        <f>233+(189.4-25)+(0+(0-0))+0-0-0</f>
        <v>397.4</v>
      </c>
      <c r="K272" s="3">
        <f>233+(211-28)+(0.35649+(0.32283-0.04284))+0-0-0</f>
        <v>416.63648000000001</v>
      </c>
      <c r="L272" s="3">
        <f>232+(255.1-32)+(-0.35496+(-0.390303--0.04896))+0-0-0</f>
        <v>454.40369700000002</v>
      </c>
      <c r="M272" s="3">
        <f>232+(277.7-29)+(-0.35496+(-0.424881--0.04437))+0-0-0</f>
        <v>479.96452899999997</v>
      </c>
      <c r="N272" s="3">
        <f>231+(278.2-27)+(0+(0-0))+0-0-0</f>
        <v>482.2</v>
      </c>
      <c r="O272" s="3">
        <f>230+(278.6-26)+(0.1173+(0.142086-0.01326))+0-0-0</f>
        <v>482.84612600000003</v>
      </c>
      <c r="P272" s="3">
        <f>308+(199.8-25)+(-0.7854+(-0.50949--0.06375))+0-0-0</f>
        <v>481.56886000000003</v>
      </c>
      <c r="Q272" s="3">
        <f>293+(209.8-26)+(-0.29886+(-0.213996--0.02652))+0-0-0</f>
        <v>476.31366400000002</v>
      </c>
      <c r="R272" s="3">
        <f>229+(276.9-26)+(-0.11679+(-0.141219--0.01326))+0-0-0</f>
        <v>479.65525099999996</v>
      </c>
      <c r="S272" s="3">
        <f>229+(264.2-26)+(-0.35037+(-0.404226--0.03978))+0-0-0</f>
        <v>466.485184</v>
      </c>
      <c r="T272" s="3">
        <f>229+(255.9-25)+(-0.35037+(-0.391527--0.03825))+0-0-0</f>
        <v>459.19635299999999</v>
      </c>
      <c r="U272" s="3">
        <f>229+(255.1-26)+(-0.35037+(-0.390303--0.03978))+0-0-0</f>
        <v>457.39910700000001</v>
      </c>
      <c r="V272" s="3">
        <f>245+(290.8-28)+(-0.37485+(-0.444924--0.04284))+0-0-0</f>
        <v>507.02306600000003</v>
      </c>
      <c r="W272" s="3">
        <f>354+(226-30)+(-0.18054+(-0.11526--0.0153))+0-0-0</f>
        <v>549.71950000000004</v>
      </c>
      <c r="X272" s="3">
        <f>371+(212.2-31)+(-0.75684+(-0.432888--0.06324))+0-0-0</f>
        <v>551.07351200000005</v>
      </c>
      <c r="Y272" s="3">
        <f>367+(220.9-31)+(-0.56151+(-0.337977--0.04743))+0-0-0</f>
        <v>556.04794300000003</v>
      </c>
      <c r="Z272" s="3">
        <f>256+(298.3-30)+(-0.52224+(-0.608532--0.0612))+0-0-0</f>
        <v>523.23042799999996</v>
      </c>
      <c r="AA272" s="3">
        <f>275+(226.5-29)+(-0.2805+(-0.23103--0.02958))+0-0-0</f>
        <v>472.01805000000002</v>
      </c>
      <c r="AB272" s="3">
        <f>322+(167.2-27)+(-0.8211+(-0.42636--0.06885))+0-0-0</f>
        <v>461.02139</v>
      </c>
      <c r="AC272" s="3">
        <f>322+(139.5-24)+(-0.49266+(-0.213435--0.03672))+0-0-0</f>
        <v>436.830625</v>
      </c>
      <c r="AD272">
        <f t="shared" si="4"/>
        <v>11181.414471000004</v>
      </c>
      <c r="AE272" s="3">
        <f>371+(218.6-31)+(0+(0-0))+0-0-0</f>
        <v>558.6</v>
      </c>
    </row>
    <row r="273" spans="1:31" s="2" customFormat="1" x14ac:dyDescent="0.25">
      <c r="A273">
        <v>89</v>
      </c>
      <c r="B273">
        <v>9</v>
      </c>
      <c r="C273">
        <v>27</v>
      </c>
      <c r="D273">
        <v>1</v>
      </c>
      <c r="E273">
        <v>1</v>
      </c>
      <c r="F273" s="3">
        <f>299+(138-22)+(-0.45747+(-0.21114--0.03366))+0-0-0</f>
        <v>414.36505</v>
      </c>
      <c r="G273" s="3">
        <f>231+(176.3-21)+(-0.58905+(-0.449565--0.05355))+0-0-0</f>
        <v>385.31493499999999</v>
      </c>
      <c r="H273" s="3">
        <f>231+(177.6-21)+(-0.23562+(-0.181152--0.02142))+0-0-0</f>
        <v>387.20464800000002</v>
      </c>
      <c r="I273" s="3">
        <f>232+(177.1-22)+(-0.23664+(-0.180642--0.02244))+0-0-0</f>
        <v>386.70515800000004</v>
      </c>
      <c r="J273" s="3">
        <f>232+(192.3-24)+(0+(0-0))+0-0-0</f>
        <v>400.3</v>
      </c>
      <c r="K273" s="3">
        <f>232+(254.5-30)+(-0.23664+(-0.25959--0.0306))+0-0-0</f>
        <v>456.03437000000002</v>
      </c>
      <c r="L273" s="3">
        <f>230+(288.7-31)+(0+(0-0))+0-0-0</f>
        <v>487.7</v>
      </c>
      <c r="M273" s="3">
        <f>230+(311.9-30)+(0+(0-0))+0-0-0</f>
        <v>511.9</v>
      </c>
      <c r="N273" s="3">
        <f>278+(259.6-29)+(0+(0-0))+0-0-0</f>
        <v>508.6</v>
      </c>
      <c r="O273" s="3">
        <f>314+(191.9-27)+(0+(0-0))+0-0-0</f>
        <v>478.9</v>
      </c>
      <c r="P273" s="3">
        <f>311+(194.7-27)+(0+(0-0))+0-0-0</f>
        <v>478.7</v>
      </c>
      <c r="Q273" s="3">
        <f>309+(185.9-27)+(0+(0-0))+0-0-0</f>
        <v>467.9</v>
      </c>
      <c r="R273" s="3">
        <f>309+(183-22)+(-0.15759+(-0.09333--0.01122))+0-0-0</f>
        <v>469.76029999999997</v>
      </c>
      <c r="S273" s="3">
        <f>309+(178.3-21)+(-0.15759+(-0.090933--0.01071))+0-0-0</f>
        <v>466.06218699999999</v>
      </c>
      <c r="T273" s="3">
        <f>241+(241.1-21)+(0+(0-0))+0-0-0</f>
        <v>461.1</v>
      </c>
      <c r="U273" s="3">
        <f>248+(256.8-23)+(0.37944+(0.392904-0.03519))+0-0-0</f>
        <v>482.53715399999999</v>
      </c>
      <c r="V273" s="3">
        <f>293+(253.7-32)+(0.29886+(0.258774-0.03264))+0-0-0</f>
        <v>515.22499400000004</v>
      </c>
      <c r="W273" s="3">
        <f>341+(252-32)+(0+(0-0))+0-0-0</f>
        <v>561</v>
      </c>
      <c r="X273" s="3">
        <f>336+(244.6-33)+(-0.17136+(-0.124746--0.01683))+0-0-0</f>
        <v>547.32072400000004</v>
      </c>
      <c r="Y273" s="3">
        <f>338+(230.7-31)+(-0.8619+(-0.588285--0.07905))+0-0-0</f>
        <v>536.32886500000006</v>
      </c>
      <c r="Z273" s="3">
        <f>339+(212.4-28)+(0.17289+(0.108324-0.01428))+0-0-0</f>
        <v>523.66693399999997</v>
      </c>
      <c r="AA273" s="3">
        <f>341+(190.8-27)+(-0.17391+(-0.097308--0.01377))+0-0-0</f>
        <v>504.542552</v>
      </c>
      <c r="AB273" s="3">
        <f>329+(179.8-25)+(-0.33558+(-0.183396--0.0255))+0-0-0</f>
        <v>483.30652400000002</v>
      </c>
      <c r="AC273" s="3">
        <f>325+(156.9-24)+(-0.16575+(-0.080019--0.01224))+0-0-0</f>
        <v>457.666471</v>
      </c>
      <c r="AD273">
        <f t="shared" si="4"/>
        <v>11372.140866</v>
      </c>
      <c r="AE273" s="3">
        <f>352+(254.2-33)+(0+(0-0))+0-0-0</f>
        <v>573.20000000000005</v>
      </c>
    </row>
    <row r="274" spans="1:31" s="2" customFormat="1" x14ac:dyDescent="0.25">
      <c r="A274">
        <v>89</v>
      </c>
      <c r="B274">
        <v>9</v>
      </c>
      <c r="C274">
        <v>28</v>
      </c>
      <c r="D274">
        <v>2</v>
      </c>
      <c r="E274">
        <v>1</v>
      </c>
      <c r="F274" s="3">
        <f>323+(122.3-23)+(0+(0-0))+0-0-0</f>
        <v>422.3</v>
      </c>
      <c r="G274" s="3">
        <f>260+(178-22)+(-0.3978+(-0.27234--0.03366))+0-0-0</f>
        <v>415.36351999999999</v>
      </c>
      <c r="H274" s="3">
        <f>234+(178.4-22)+(-0.35802+(-0.272952--0.03366))+0-0-0</f>
        <v>389.80268799999999</v>
      </c>
      <c r="I274" s="3">
        <f>234+(159.7-22)+(0+(0-0))+0-0-0</f>
        <v>371.7</v>
      </c>
      <c r="J274" s="3">
        <f>234+(214.7-25)+(0+(0-0))+0-0-0</f>
        <v>423.7</v>
      </c>
      <c r="K274" s="3">
        <f>234+(270.5-31)+(-0.35802+(-0.413865--0.04743))+0-0-0</f>
        <v>472.77554500000002</v>
      </c>
      <c r="L274" s="3">
        <f>234+(307.3-32)+(0+(0-0))+0-0-0</f>
        <v>509.3</v>
      </c>
      <c r="M274" s="3">
        <f>248+(287.8-32)+(0+(0-0))+0-0-0</f>
        <v>503.8</v>
      </c>
      <c r="N274" s="3">
        <f>323+(202.2-30)+(-0.16473+(-0.103122--0.0153))+0-0-0</f>
        <v>494.94744800000001</v>
      </c>
      <c r="O274" s="3">
        <f>319+(195.7-28)+(0+(0-0))+0-0-0</f>
        <v>486.7</v>
      </c>
      <c r="P274" s="3">
        <f>315+(188.8-28)+(0+(0-0))+0-0-0</f>
        <v>475.8</v>
      </c>
      <c r="Q274" s="3">
        <f>313+(179-27)+(-0.63852+(-0.36516--0.05508))+0-0-0</f>
        <v>464.0514</v>
      </c>
      <c r="R274" s="3">
        <f>313+(187.1-27)+(-0.47889+(-0.286263--0.04131))+0-0-0</f>
        <v>472.37615700000003</v>
      </c>
      <c r="S274" s="3">
        <f>314+(186.5-27)+(-0.32028+(-0.19023--0.02754))+0-0-0</f>
        <v>473.01702999999998</v>
      </c>
      <c r="T274" s="3">
        <f>312+(172.3-26)+(-0.31824+(-0.175746--0.02652))+0-0-0</f>
        <v>457.83253400000001</v>
      </c>
      <c r="U274" s="3">
        <f>313+(183-26)+(-0.31926+(-0.18666--0.02652))+0-0-0</f>
        <v>469.5206</v>
      </c>
      <c r="V274" s="3">
        <f>316+(225-29)+(0+(0-0))+0-0-0</f>
        <v>512</v>
      </c>
      <c r="W274" s="3">
        <f>317+(277.3-30)+(-0.16167+(-0.141423--0.0153))+0-0-0</f>
        <v>564.01220699999999</v>
      </c>
      <c r="X274" s="3">
        <f>314+(293.3-31)+(-0.48042+(-0.448749--0.04743))+0-0-0</f>
        <v>575.41826099999992</v>
      </c>
      <c r="Y274" s="3">
        <f>320+(271.4-31)+(-0.4896+(-0.415242--0.04743))+0-0-0</f>
        <v>559.54258800000002</v>
      </c>
      <c r="Z274" s="3">
        <f>321+(241.8-30)+(-0.16371+(-0.123318--0.0153))+0-0-0</f>
        <v>532.5282719999999</v>
      </c>
      <c r="AA274" s="3">
        <f>322+(206.9-29)+(-0.49266+(-0.316557--0.04437))+0-0-0</f>
        <v>499.135153</v>
      </c>
      <c r="AB274" s="3">
        <f>323+(173.9-27)+(-0.49419+(-0.266067--0.04131))+0-0-0</f>
        <v>469.18105299999996</v>
      </c>
      <c r="AC274" s="3">
        <f>325+(139.2-24)+(-0.3315+(-0.141984--0.02448))+0-0-0</f>
        <v>439.75099599999999</v>
      </c>
      <c r="AD274">
        <f t="shared" si="4"/>
        <v>11454.555452000002</v>
      </c>
      <c r="AE274" s="3">
        <f>317+(282.6-31)+(0+(0-0))+0-0-0</f>
        <v>568.6</v>
      </c>
    </row>
    <row r="275" spans="1:31" s="2" customFormat="1" x14ac:dyDescent="0.25">
      <c r="A275">
        <v>89</v>
      </c>
      <c r="B275">
        <v>9</v>
      </c>
      <c r="C275">
        <v>29</v>
      </c>
      <c r="D275">
        <v>3</v>
      </c>
      <c r="E275">
        <v>1</v>
      </c>
      <c r="F275" s="3">
        <f>324+(112.4-23)+(-0.8262+(-0.28662--0.05865))+0-0-0</f>
        <v>412.34582999999998</v>
      </c>
      <c r="G275" s="3">
        <f>311+(109.4-23)+(0.15861+(0.055794-0.01173))+0-0-0</f>
        <v>397.60267399999998</v>
      </c>
      <c r="H275" s="3">
        <f>234+(186.1-23)+(-0.23868+(-0.189822--0.02346))+0-0-0</f>
        <v>396.69495800000004</v>
      </c>
      <c r="I275" s="3">
        <f>234+(182.9-24)+(-0.11934+(-0.093279--0.01224))+0-0-0</f>
        <v>392.69962099999998</v>
      </c>
      <c r="J275" s="3">
        <f>234+(200.7-26)+(0.23868+(0.204714-0.02652))+0-0-0</f>
        <v>409.116874</v>
      </c>
      <c r="K275" s="3">
        <f>234+(253.2-28)+(-0.47736+(-0.516528--0.05712))+0-0-0</f>
        <v>458.26323200000002</v>
      </c>
      <c r="L275" s="3">
        <f>234+(292.2-25)+(-0.23868+(-0.298044--0.0255))+0-0-0</f>
        <v>500.68877599999996</v>
      </c>
      <c r="M275" s="3">
        <f>234+(301.3-31)+(-0.11934+(-0.153663--0.01581))+0-0-0</f>
        <v>504.04280700000004</v>
      </c>
      <c r="N275" s="3">
        <f>231+(295-29)+(-0.35343+(-0.45135--0.04437))+0-0-0</f>
        <v>496.23959000000002</v>
      </c>
      <c r="O275" s="3">
        <f>261+(219.6-28)+(-0.26622+(-0.223992--0.02856))+0-0-0</f>
        <v>452.13834800000001</v>
      </c>
      <c r="P275" s="3">
        <f>317+(178.3-25)+(-0.48501+(-0.272799--0.03825))+0-0-0</f>
        <v>469.58044100000001</v>
      </c>
      <c r="Q275" s="3">
        <f>316+(182.7-23)+(-0.48348+(-0.279531--0.03519))+0-0-0</f>
        <v>474.97217899999998</v>
      </c>
      <c r="R275" s="3">
        <f>310+(187.5-25)+(-0.3162+(-0.19125--0.0255))+0-0-0</f>
        <v>472.01805000000002</v>
      </c>
      <c r="S275" s="3">
        <f>311+(181.8-27)+(-0.63444+(-0.370872--0.05508))+0-0-0</f>
        <v>464.84976799999998</v>
      </c>
      <c r="T275" s="3">
        <f>248+(233.3-27)+(-0.37944+(-0.356949--0.04131))+0-0-0</f>
        <v>453.60492099999999</v>
      </c>
      <c r="U275" s="3">
        <f>229+(255.4-27)+(-0.35037+(-0.390762--0.04131))+0-0-0</f>
        <v>456.70017799999999</v>
      </c>
      <c r="V275" s="3">
        <f>235+(296.8-28)+(-0.35955+(-0.454104--0.04284))+0-0-0</f>
        <v>503.02918600000004</v>
      </c>
      <c r="W275" s="3">
        <f>285+(317-33)+(0.14535+(0.16167-0.01683))+0-0-0</f>
        <v>569.29019000000005</v>
      </c>
      <c r="X275" s="3">
        <f>331+(270.5-34)+(-1.01286+(-0.82773--0.10404))+0-0-0</f>
        <v>565.76345000000003</v>
      </c>
      <c r="Y275" s="3">
        <f>324+(257.9-32)+(-0.33048+(-0.263058--0.03264))+0-0-0</f>
        <v>549.33910200000003</v>
      </c>
      <c r="Z275" s="3">
        <f>322+(238.2-30)+(-0.32844+(-0.242964--0.0306))+0-0-0</f>
        <v>529.65919600000007</v>
      </c>
      <c r="AA275" s="3">
        <f>323+(209.7-28)+(-0.65892+(-0.427788--0.05712))+0-0-0</f>
        <v>503.670412</v>
      </c>
      <c r="AB275" s="3">
        <f>324+(177-25)+(-0.66096+(-0.36108--0.051))+0-0-0</f>
        <v>475.02895999999998</v>
      </c>
      <c r="AC275" s="3">
        <f>324+(149.2-25)+(-0.49572+(-0.228276--0.03825))+0-0-0</f>
        <v>447.51425399999999</v>
      </c>
      <c r="AD275">
        <f t="shared" si="4"/>
        <v>11354.852997</v>
      </c>
      <c r="AE275" s="3">
        <f>329+(276-34)+(0+(0-0))+0-0-0</f>
        <v>571</v>
      </c>
    </row>
    <row r="276" spans="1:31" s="2" customFormat="1" x14ac:dyDescent="0.25">
      <c r="A276">
        <v>89</v>
      </c>
      <c r="B276">
        <v>9</v>
      </c>
      <c r="C276">
        <v>30</v>
      </c>
      <c r="D276">
        <v>4</v>
      </c>
      <c r="E276">
        <v>1</v>
      </c>
      <c r="F276" s="3">
        <f>248+(194.5-23)+(-0.25296+(-0.19839--0.02346))+0-0-0</f>
        <v>419.07211000000001</v>
      </c>
      <c r="G276" s="3">
        <f>235+(191.6-22)+(0.2397+(0.195432-0.02244))+0-0-0</f>
        <v>405.01269200000002</v>
      </c>
      <c r="H276" s="3">
        <f>235+(183-22)+(-0.2397+(-0.18666--0.02244))+0-0-0</f>
        <v>395.59607999999997</v>
      </c>
      <c r="I276" s="3">
        <f>235+(187.8-22)+(-0.59925+(-0.47889--0.0561))+0-0-0</f>
        <v>399.77796000000001</v>
      </c>
      <c r="J276" s="3">
        <f>235+(205-26)+(-0.2397+(-0.2091--0.02652))+0-0-0</f>
        <v>413.57772</v>
      </c>
      <c r="K276" s="3">
        <f>240+(242.1-30)+(-0.1224+(-0.123471--0.0153))+0-0-0</f>
        <v>451.86942900000003</v>
      </c>
      <c r="L276" s="3">
        <f>242+(256.4-33)+(-0.49368+(-0.523056--0.06732))+0-0-0</f>
        <v>464.45058399999999</v>
      </c>
      <c r="M276" s="3">
        <f>240+(276.8-28)+(-0.4896+(-0.564672--0.05712))+0-0-0</f>
        <v>487.80284799999998</v>
      </c>
      <c r="N276" s="3">
        <f>280+(245.3-25)+(-0.1428+(-0.125103--0.01275))+0-0-0</f>
        <v>500.044847</v>
      </c>
      <c r="O276" s="3">
        <f>317+(196-23)+(-0.80835+(-0.4998--0.05865))+0-0-0</f>
        <v>488.75049999999999</v>
      </c>
      <c r="P276" s="3">
        <f>314+(187.2-23)+(-0.16014+(-0.095472--0.01173))+0-0-0</f>
        <v>477.956118</v>
      </c>
      <c r="Q276" s="3">
        <f>313+(178.3-25)+(-0.47889+(-0.272799--0.03825))+0-0-0</f>
        <v>465.58656100000002</v>
      </c>
      <c r="R276" s="3">
        <f>316+(185.5-23)+(-0.64464+(-0.37842--0.04692))+0-0-0</f>
        <v>477.52386000000001</v>
      </c>
      <c r="S276" s="3">
        <f>315+(176.9-22)+(-0.16065+(-0.090219--0.01122))+0-0-0</f>
        <v>469.66035099999999</v>
      </c>
      <c r="T276" s="3">
        <f>315+(170.4-22)+(-0.6426+(-0.347616--0.04488))+0-0-0</f>
        <v>462.45466399999998</v>
      </c>
      <c r="U276" s="3">
        <f>315+(198.1-22)+(-0.48195+(-0.303093--0.03366))+0-0-0</f>
        <v>490.34861700000005</v>
      </c>
      <c r="V276" s="3">
        <f>316+(222.1-29)+(0+(0-0))+0-0-0</f>
        <v>509.1</v>
      </c>
      <c r="W276" s="3">
        <f>317+(262.3-32)+(0.32334+(0.267546-0.03264))+0-0-0</f>
        <v>547.85824600000001</v>
      </c>
      <c r="X276" s="3">
        <f>319+(281.7-32)+(-0.97614+(-0.862002--0.09792))+0-0-0</f>
        <v>566.95977800000003</v>
      </c>
      <c r="Y276" s="3">
        <f>320+(252.3-32)+(-1.1424+(-0.900711--0.11424))+0-0-0</f>
        <v>538.371129</v>
      </c>
      <c r="Z276" s="3">
        <f>271+(277.4-30)+(-0.69105+(-0.70737--0.0765))+0-0-0</f>
        <v>517.07808</v>
      </c>
      <c r="AA276" s="3">
        <f>235+(304-28)+(0.11985+(0.15504-0.01428))+0-0-0</f>
        <v>511.26060999999999</v>
      </c>
      <c r="AB276" s="3">
        <f>235+(262.3-25)+(-0.35955+(-0.401319--0.03825))+0-0-0</f>
        <v>471.577381</v>
      </c>
      <c r="AC276" s="3">
        <f>235+(211.6-25)+(-0.4794+(-0.431664--0.051))+0-0-0</f>
        <v>420.739936</v>
      </c>
      <c r="AD276">
        <f t="shared" si="4"/>
        <v>11352.430100999998</v>
      </c>
      <c r="AE276" s="3">
        <f>319+(287.5-32)+(0+(0-0))+0-0-0</f>
        <v>574.5</v>
      </c>
    </row>
    <row r="277" spans="1:31" s="2" customFormat="1" x14ac:dyDescent="0.25">
      <c r="A277">
        <v>89</v>
      </c>
      <c r="B277">
        <v>10</v>
      </c>
      <c r="C277">
        <v>1</v>
      </c>
      <c r="D277">
        <v>5</v>
      </c>
      <c r="E277">
        <v>1</v>
      </c>
      <c r="F277" s="3">
        <f>236+(229.1-22)+(0.12036+(0.116841-0.01122))+0-0-0</f>
        <v>443.32598100000001</v>
      </c>
      <c r="G277" s="3">
        <f>236+(180.9-21)+(-0.36108+(-0.276777--0.03213))+0-0-0</f>
        <v>395.29427299999998</v>
      </c>
      <c r="H277" s="3">
        <f>236+(189.3-21)+(-0.24072+(-0.193086--0.02142))+0-0-0</f>
        <v>403.88761399999999</v>
      </c>
      <c r="I277" s="3">
        <f>236+(170-21)+(-0.12036+(-0.0867--0.01071))+0-0-0</f>
        <v>384.80365</v>
      </c>
      <c r="J277" s="3">
        <f>236+(182.9-24)+(-0.12036+(-0.093279--0.01224))+0-0-0</f>
        <v>394.698601</v>
      </c>
      <c r="K277" s="3">
        <f>236+(222.5-28)+(0+(0-0))+0-0-0</f>
        <v>430.5</v>
      </c>
      <c r="L277" s="3">
        <f>233+(277.6-30)+(-0.59415+(-0.70788--0.0765))+0-0-0</f>
        <v>479.37447000000003</v>
      </c>
      <c r="M277" s="3">
        <f>233+(272.1-30)+(-0.11883+(-0.138771--0.0153))+0-0-0</f>
        <v>474.85769900000003</v>
      </c>
      <c r="N277" s="3">
        <f>233+(273.5-30)+(0.11883+(0.139485-0.0153))+0-0-0</f>
        <v>476.74301500000001</v>
      </c>
      <c r="O277" s="3">
        <f>313+(183.2-30)+(0.15963+(0.093432-0.0153))+0-0-0</f>
        <v>466.43776199999996</v>
      </c>
      <c r="P277" s="3">
        <f>312+(190.4-30)+(-0.47736+(-0.291312--0.0459))+0-0-0</f>
        <v>471.67722799999996</v>
      </c>
      <c r="Q277" s="3">
        <f>311+(176.8-28)+(-0.31722+(-0.180336--0.02856))+0-0-0</f>
        <v>459.33100400000001</v>
      </c>
      <c r="R277" s="3">
        <f>245+(250.2-26)+(-0.2499+(-0.255204--0.02652))+0-0-0</f>
        <v>468.72141599999998</v>
      </c>
      <c r="S277" s="3">
        <f>229+(264.8-25)+(-0.23358+(-0.270096--0.0255))+0-0-0</f>
        <v>468.32182399999999</v>
      </c>
      <c r="T277" s="3">
        <f>229+(260.7-25)+(0.58395+(0.664785-0.06375))+0-0-0</f>
        <v>465.88498499999997</v>
      </c>
      <c r="U277" s="3">
        <f>229+(259.7-25)+(0.11679+(0.132447-0.01275))+0-0-0</f>
        <v>463.936487</v>
      </c>
      <c r="V277" s="3">
        <f>249+(279.1-27)+(-0.38097+(-0.427023--0.04131))+0-0-0</f>
        <v>500.33331700000002</v>
      </c>
      <c r="W277" s="3">
        <f>335+(260.3-31)+(-0.17085+(-0.132753--0.01581))+0-0-0</f>
        <v>564.01220699999999</v>
      </c>
      <c r="X277" s="3">
        <f>336+(253.2-31)+(-0.68544+(-0.516528--0.06324))+0-0-0</f>
        <v>557.06127200000003</v>
      </c>
      <c r="Y277" s="3">
        <f>338+(247.5-30)+(-0.8619+(-0.631125--0.0765))+0-0-0</f>
        <v>554.08347500000002</v>
      </c>
      <c r="Z277" s="3">
        <f>338+(209.7-29)+(-0.51714+(-0.320841--0.04437))+0-0-0</f>
        <v>517.90638899999999</v>
      </c>
      <c r="AA277" s="3">
        <f>339+(183.3-28)+(0+(0-0))+0-0-0</f>
        <v>494.3</v>
      </c>
      <c r="AB277" s="3">
        <f>342+(149.3-26)+(-0.8721+(-0.380715--0.0663))+0-0-0</f>
        <v>464.11348500000003</v>
      </c>
      <c r="AC277" s="3">
        <f>342+(113.1-24)+(-0.52326+(-0.173043--0.03672))+0-0-0</f>
        <v>430.44041700000002</v>
      </c>
      <c r="AD277">
        <f t="shared" si="4"/>
        <v>11230.046570999997</v>
      </c>
      <c r="AE277" s="3">
        <f>335+(258.9-33)+(0+(0-0))+0-0-0</f>
        <v>560.9</v>
      </c>
    </row>
    <row r="278" spans="1:31" s="2" customFormat="1" x14ac:dyDescent="0.25">
      <c r="A278">
        <v>89</v>
      </c>
      <c r="B278">
        <v>10</v>
      </c>
      <c r="C278">
        <v>2</v>
      </c>
      <c r="D278">
        <v>6</v>
      </c>
      <c r="E278">
        <v>1</v>
      </c>
      <c r="F278" s="3">
        <f>324+(100.5-22)+(-0.8262+(-0.256275--0.0561))+0-0-0</f>
        <v>401.47362500000003</v>
      </c>
      <c r="G278" s="3">
        <f>323+(94.5-24)+(0+(0-0))+0-0-0</f>
        <v>393.5</v>
      </c>
      <c r="H278" s="3">
        <f>239+(173.9-22)+(-0.60945+(-0.443445--0.0561))+0-0-0</f>
        <v>389.90320499999996</v>
      </c>
      <c r="I278" s="3">
        <f>234+(172.2-23)+(0.11934+(0.087822-0.01173))+0-0-0</f>
        <v>383.39543199999997</v>
      </c>
      <c r="J278" s="3">
        <f>234+(185.5-25)+(0.35802+(0.283815-0.03825))+0-0-0</f>
        <v>395.10358500000001</v>
      </c>
      <c r="K278" s="3">
        <f>234+(228.8-29)+(0.47736+(0.466752-0.05916))+0-0-0</f>
        <v>434.68495200000001</v>
      </c>
      <c r="L278" s="3">
        <f>233+(277.2-30)+(0.59415+(0.70686-0.0765))+0-0-0</f>
        <v>481.42451</v>
      </c>
      <c r="M278" s="3">
        <f>233+(254.2-30)+(-0.11883+(-0.129642--0.0153))+0-0-0</f>
        <v>456.96682799999996</v>
      </c>
      <c r="N278" s="3">
        <f>309+(213.3-29)+(-0.31518+(-0.217566--0.02958))+0-0-0</f>
        <v>492.79683399999999</v>
      </c>
      <c r="O278" s="3">
        <f>315+(215.1-28)+(-0.16065+(-0.109701--0.01428))+0-0-0</f>
        <v>501.843929</v>
      </c>
      <c r="P278" s="3">
        <f>313+(198.4-27)+(0.31926+(0.202368-0.02754))+0-0-0</f>
        <v>484.89408799999995</v>
      </c>
      <c r="Q278" s="3">
        <f>311+(185.9-26)+(-0.15861+(-0.094809--0.01326))+0-0-0</f>
        <v>470.65984099999997</v>
      </c>
      <c r="R278" s="3">
        <f>309+(196-26)+(-0.47277+(-0.29988--0.03978))+0-0-0</f>
        <v>478.26713000000001</v>
      </c>
      <c r="S278" s="3">
        <f>256+(246.1-25)+(-0.26112+(-0.251022--0.0255))+0-0-0</f>
        <v>476.61335800000001</v>
      </c>
      <c r="T278" s="3">
        <f>231+(258.2-24)+(-0.11781+(-0.131682--0.01224))+0-0-0</f>
        <v>464.96274799999998</v>
      </c>
      <c r="U278" s="3">
        <f>231+(266.5-26)+(0.23562+(0.27183-0.02652))+0-0-0</f>
        <v>471.98093</v>
      </c>
      <c r="V278" s="3">
        <f>289+(245.7-30)+(-0.44217+(-0.375921--0.0459))+0-0-0</f>
        <v>503.92780899999997</v>
      </c>
      <c r="W278" s="3">
        <f>316+(272.5-33)+(-0.48348+(-0.416925--0.05049))+0-0-0</f>
        <v>554.65008499999999</v>
      </c>
      <c r="X278" s="3">
        <f>317+(265-33)+(-0.32334+(-0.2703--0.03366))+0-0-0</f>
        <v>548.44002</v>
      </c>
      <c r="Y278" s="3">
        <f>318+(243.8-31)+(-0.16218+(-0.124338--0.01581))+0-0-0</f>
        <v>530.52929199999994</v>
      </c>
      <c r="Z278" s="3">
        <f>320+(216.5-29)+(-0.1632+(-0.110415--0.01479))+0-0-0</f>
        <v>507.241175</v>
      </c>
      <c r="AA278" s="3">
        <f>321+(190.6-27)+(-0.98226+(-0.583236--0.08262))+0-0-0</f>
        <v>483.11712400000005</v>
      </c>
      <c r="AB278" s="3">
        <f>322+(163.3-25)+(-0.49266+(-0.249849--0.03825))+0-0-0</f>
        <v>459.59574100000003</v>
      </c>
      <c r="AC278" s="3">
        <f>323+(137.4-24)+(-0.49419+(-0.210222--0.03672))+0-0-0</f>
        <v>435.73230799999999</v>
      </c>
      <c r="AD278">
        <f t="shared" si="4"/>
        <v>11201.704548999996</v>
      </c>
      <c r="AE278" s="3">
        <f>317+(275-33)+(0+(0-0))+0-0-0</f>
        <v>559</v>
      </c>
    </row>
    <row r="279" spans="1:31" s="2" customFormat="1" x14ac:dyDescent="0.25">
      <c r="A279">
        <v>89</v>
      </c>
      <c r="B279">
        <v>10</v>
      </c>
      <c r="C279">
        <v>3</v>
      </c>
      <c r="D279">
        <v>7</v>
      </c>
      <c r="E279">
        <v>1</v>
      </c>
      <c r="F279" s="3">
        <f>320+(149.6-23)+(0+(0-0))+0-0-0</f>
        <v>446.6</v>
      </c>
      <c r="G279" s="3">
        <f>296+(144.4-23)+(-0.7548+(-0.36822--0.05865))+0-0-0</f>
        <v>416.33562999999998</v>
      </c>
      <c r="H279" s="3">
        <f>232+(174.8-23)+(0.23664+(0.178296-0.02346))+0-0-0</f>
        <v>384.19147600000002</v>
      </c>
      <c r="I279" s="3">
        <f>232+(167.9-24)+(0+(0-0))+0-0-0</f>
        <v>375.9</v>
      </c>
      <c r="J279" s="3">
        <f>232+(189.9-24)+(0+(0-0))+0-0-0</f>
        <v>397.9</v>
      </c>
      <c r="K279" s="3">
        <f>232+(237.1-28)+(-0.11832+(-0.120921--0.01428))+0-0-0</f>
        <v>440.87503900000002</v>
      </c>
      <c r="L279" s="3">
        <f>234+(248.1-30)+(-0.11934+(-0.126531--0.0153))+0-0-0</f>
        <v>451.86942900000003</v>
      </c>
      <c r="M279" s="3">
        <f>234+(268.2-31)+(-0.5967+(-0.68391--0.07905))+0-0-0</f>
        <v>469.99844000000002</v>
      </c>
      <c r="N279" s="3">
        <f>233+(275-31)+(0.23766+(0.2805-0.03162))+0-0-0</f>
        <v>477.48653999999999</v>
      </c>
      <c r="O279" s="3">
        <f>235+(283.5-30)+(0.11985+(0.144585-0.0153))+0-0-0</f>
        <v>488.74913500000002</v>
      </c>
      <c r="P279" s="3">
        <f>306+(215.3-28)+(-0.93636+(-0.658818--0.08568))+0-0-0</f>
        <v>491.790502</v>
      </c>
      <c r="Q279" s="3">
        <f>312+(208.7-27)+(-0.31824+(-0.212874--0.02754))+0-0-0</f>
        <v>493.19642599999997</v>
      </c>
      <c r="R279" s="3">
        <f>288+(255.3-27)+(-0.29376+(-0.260406--0.02754))+0-0-0</f>
        <v>515.77337399999999</v>
      </c>
      <c r="S279" s="3">
        <f>237+(275.1-26)+(-0.48348+(-0.561204--0.05304))+0-0-0</f>
        <v>485.10835600000001</v>
      </c>
      <c r="T279" s="3">
        <f>231+(274.2-25)+(-0.58905+(-0.69921--0.06375))+0-0-0</f>
        <v>478.97548999999998</v>
      </c>
      <c r="U279" s="3">
        <f>231+(276-28)+(0+(0-0))+0-0-0</f>
        <v>479</v>
      </c>
      <c r="V279" s="3">
        <f>296+(266.1-30)+(-0.15096+(-0.135711--0.0153))+0-0-0</f>
        <v>531.82862899999998</v>
      </c>
      <c r="W279" s="3">
        <f>376+(250.3-33)+(-0.19176+(-0.127653--0.01683))+0-0-0</f>
        <v>592.99741699999993</v>
      </c>
      <c r="X279" s="3">
        <f>377+(215.2-33)+(-0.96135+(-0.54876--0.08415))+0-0-0</f>
        <v>557.77404000000001</v>
      </c>
      <c r="Y279" s="3">
        <f>341+(247.4-32)+(0.17391+(0.126174-0.01632))+0-0-0</f>
        <v>556.683764</v>
      </c>
      <c r="Z279" s="3">
        <f>292+(256-30)+(0.14892+(0.13056-0.0153))+0-0-0</f>
        <v>518.26418000000001</v>
      </c>
      <c r="AA279" s="3">
        <f>292+(233.6-28)+(0+(0-0))+0-0-0</f>
        <v>497.6</v>
      </c>
      <c r="AB279" s="3">
        <f>292+(203.9-27)+(-0.44676+(-0.311967--0.04131))+0-0-0</f>
        <v>468.18258299999997</v>
      </c>
      <c r="AC279" s="3">
        <f>292+(167.4-20)+(-0.29784+(-0.170748--0.0204))+0-0-0</f>
        <v>438.95181199999996</v>
      </c>
      <c r="AD279">
        <f t="shared" si="4"/>
        <v>11456.032261999999</v>
      </c>
      <c r="AE279" s="3">
        <f>377+(244.9-33)+(0+(0-0))+0-0-0</f>
        <v>588.9</v>
      </c>
    </row>
    <row r="280" spans="1:31" s="2" customFormat="1" x14ac:dyDescent="0.25">
      <c r="A280">
        <v>89</v>
      </c>
      <c r="B280">
        <v>10</v>
      </c>
      <c r="C280">
        <v>4</v>
      </c>
      <c r="D280">
        <v>1</v>
      </c>
      <c r="E280">
        <v>1</v>
      </c>
      <c r="F280" s="3">
        <f>292+(166.7-22)+(-0.59568+(-0.340068--0.04488))+0-0-0</f>
        <v>435.80913199999998</v>
      </c>
      <c r="G280" s="3">
        <f>292+(109-22)+(0+(0-0))+0-0-0</f>
        <v>379</v>
      </c>
      <c r="H280" s="3">
        <f>292+(121.2-22)+(-0.44676+(-0.185436--0.03366))+0-0-0</f>
        <v>390.60146399999996</v>
      </c>
      <c r="I280" s="3">
        <f>292+(132-22)+(0.44676+(0.20196-0.03366))+0-0-0</f>
        <v>402.61506000000003</v>
      </c>
      <c r="J280" s="3">
        <f>291+(157.4-24)+(-0.14841+(-0.080274--0.01224))+0-0-0</f>
        <v>424.18355599999995</v>
      </c>
      <c r="K280" s="3">
        <f>291+(190-27)+(0.59364+(0.3876-0.05508))+0-0-0</f>
        <v>454.92615999999998</v>
      </c>
      <c r="L280" s="3">
        <f>370+(149.4-30)+(0.1887+(0.076194-0.0153))+0-0-0</f>
        <v>489.64959399999998</v>
      </c>
      <c r="M280" s="3">
        <f>382+(150.5-30)+(-0.58446+(-0.230265--0.0459))+0-0-0</f>
        <v>501.73117500000001</v>
      </c>
      <c r="N280" s="3">
        <f>379+(156-29)+(-0.57987+(-0.23868--0.04437))+0-0-0</f>
        <v>505.22582</v>
      </c>
      <c r="O280" s="3">
        <f>375+(143.9-28)+(0.19125+(0.073389-0.01428))+0-0-0</f>
        <v>491.15035899999998</v>
      </c>
      <c r="P280" s="3">
        <f>374+(140.7-27)+(-0.57222+(-0.215271--0.04131))+0-0-0</f>
        <v>486.95381900000001</v>
      </c>
      <c r="Q280" s="3">
        <f>373+(128-27)+(-0.76092+(-0.26112--0.05508))+0-0-0</f>
        <v>473.03304000000003</v>
      </c>
      <c r="R280" s="3">
        <f>372+(135-26)+(-1.13832+(-0.4131--0.07956))+0-0-0</f>
        <v>479.52814000000001</v>
      </c>
      <c r="S280" s="3">
        <f>372+(122.1-25)+(-0.56916+(-0.186813--0.03825))+0-0-0</f>
        <v>468.38227700000004</v>
      </c>
      <c r="T280" s="3">
        <f>369+(117.6-23)+(-0.75276+(-0.239904--0.04692))+0-0-0</f>
        <v>462.65425600000003</v>
      </c>
      <c r="U280" s="3">
        <f>291+(209.2-23)+(0+(0-0))+0-0-0</f>
        <v>477.2</v>
      </c>
      <c r="V280" s="3">
        <f>298+(245.5-26)+(-0.91188+(-0.75123--0.07956))+0-0-0</f>
        <v>515.91645000000005</v>
      </c>
      <c r="W280" s="3">
        <f>358+(240.6-34)+(-0.36516+(-0.245412--0.03468))+0-0-0</f>
        <v>564.02410800000007</v>
      </c>
      <c r="X280" s="3">
        <f>381+(214.6-31)+(-0.77724+(-0.437784--0.06324))+0-0-0</f>
        <v>563.448216</v>
      </c>
      <c r="Y280" s="3">
        <f>381+(197.8-30)+(-0.19431+(-0.100878--0.0153))+0-0-0</f>
        <v>548.52011199999993</v>
      </c>
      <c r="Z280" s="3">
        <f>383+(172.2-28)+(-0.58599+(-0.263466--0.04284))+0-0-0</f>
        <v>526.39338400000008</v>
      </c>
      <c r="AA280" s="3">
        <f>384+(146.4-27)+(-0.78336+(-0.298656--0.05508))+0-0-0</f>
        <v>502.373064</v>
      </c>
      <c r="AB280" s="3">
        <f>385+(113.8-25)+(-0.58905+(-0.174114--0.03825))+0-0-0</f>
        <v>473.075086</v>
      </c>
      <c r="AC280" s="3">
        <f>385+(85-24)+(-0.3927+(-0.0867--0.02448))+0-0-0</f>
        <v>445.54507999999998</v>
      </c>
      <c r="AD280">
        <f t="shared" si="4"/>
        <v>11461.939352000001</v>
      </c>
      <c r="AE280" s="3">
        <f>380+(190.3-65)+(0+(0-0))+0-0-0</f>
        <v>505.3</v>
      </c>
    </row>
    <row r="281" spans="1:31" s="2" customFormat="1" x14ac:dyDescent="0.25">
      <c r="A281">
        <v>89</v>
      </c>
      <c r="B281">
        <v>10</v>
      </c>
      <c r="C281">
        <v>5</v>
      </c>
      <c r="D281">
        <v>2</v>
      </c>
      <c r="E281">
        <v>1</v>
      </c>
      <c r="F281" s="3">
        <f>356+(80.1-23)+(-0.18156+(-0.040851--0.01173))+0-0-0</f>
        <v>412.889319</v>
      </c>
      <c r="G281" s="3">
        <f>295+(131.8-23)+(-0.15045+(-0.067218--0.01173))+0-0-0</f>
        <v>403.59406200000001</v>
      </c>
      <c r="H281" s="3">
        <f>295+(121.4-23)+(-0.45135+(-0.185742--0.03519))+0-0-0</f>
        <v>392.79809799999998</v>
      </c>
      <c r="I281" s="3">
        <f>295+(130.1-24)+(-0.3009+(-0.132702--0.02448))+0-0-0</f>
        <v>400.690878</v>
      </c>
      <c r="J281" s="3">
        <f>295+(146.6-26)+(0.45135+(0.224298-0.03978))+0-0-0</f>
        <v>416.23586800000004</v>
      </c>
      <c r="K281" s="3">
        <f>295+(191.3-29)+(0.3009+(0.195126-0.02958))+0-0-0</f>
        <v>457.76644600000003</v>
      </c>
      <c r="L281" s="3">
        <f>295+(234.8-33)+(-0.15045+(-0.119748--0.01683))+0-0-0</f>
        <v>496.54663199999999</v>
      </c>
      <c r="M281" s="3">
        <f>306+(225.7-33)+(-0.31212+(-0.230214--0.03366))+0-0-0</f>
        <v>498.191326</v>
      </c>
      <c r="N281" s="3">
        <f>377+(148.4-32)+(-0.96135+(-0.37842--0.0816))+0-0-0</f>
        <v>492.14182999999997</v>
      </c>
      <c r="O281" s="3">
        <f>377+(140.9-28)+(-0.57681+(-0.215577--0.04284))+0-0-0</f>
        <v>489.15045299999997</v>
      </c>
      <c r="P281" s="3">
        <f>375+(135-26)+(0.19125+(0.06885-0.01326))+0-0-0</f>
        <v>484.24684000000002</v>
      </c>
      <c r="Q281" s="3">
        <f>374+(124.7-24)+(-0.57222+(-0.190791--0.03672))+0-0-0</f>
        <v>473.97370899999999</v>
      </c>
      <c r="R281" s="3">
        <f>372+(116-24)+(-0.56916+(-0.17748--0.03672))+0-0-0</f>
        <v>463.29007999999999</v>
      </c>
      <c r="S281" s="3">
        <f>372+(109.7-24)+(0.56916+(0.167841-0.03672))+0-0-0</f>
        <v>458.40028100000001</v>
      </c>
      <c r="T281" s="3">
        <f>372+(104.5-25)+(-0.75888+(-0.21318--0.051))+0-0-0</f>
        <v>450.57893999999999</v>
      </c>
      <c r="U281" s="3">
        <f>372+(116.9-26)+(0+(0-0))+0-0-0</f>
        <v>462.9</v>
      </c>
      <c r="V281" s="3">
        <f>380+(156.8-30)+(-0.3876+(-0.159936--0.0306))+0-0-0</f>
        <v>506.28306400000002</v>
      </c>
      <c r="W281" s="3">
        <f>395+(188.9-33)+(-0.4029+(-0.192678--0.03366))+0-0-0</f>
        <v>550.33808199999999</v>
      </c>
      <c r="X281" s="3">
        <f>418+(157.7-34)+(-1.27908+(-0.482562--0.10404))+0-0-0</f>
        <v>540.04239800000005</v>
      </c>
      <c r="Y281" s="3">
        <f>417+(136.6-33)+(0.21267+(0.069666-0.01683))+0-0-0</f>
        <v>520.86550599999998</v>
      </c>
      <c r="Z281" s="3">
        <f>417+(115.6-32)+(-0.63801+(-0.176868--0.04896))+0-0-0</f>
        <v>499.83408200000002</v>
      </c>
      <c r="AA281" s="3">
        <f>347+(138.9-29)+(-0.70788+(-0.283356--0.05916))+0-0-0</f>
        <v>455.96792399999998</v>
      </c>
      <c r="AB281" s="3">
        <f>333+(120-28)+(-0.16983+(-0.0612--0.01428))+0-0-0</f>
        <v>424.78325000000001</v>
      </c>
      <c r="AC281" s="3">
        <f>314+(126.7-27)+(-1.44126+(-0.581553--0.12393))+0-0-0</f>
        <v>411.80111699999998</v>
      </c>
      <c r="AD281">
        <f t="shared" si="4"/>
        <v>11163.310184999998</v>
      </c>
      <c r="AE281" s="3">
        <f>417+(208.8-34)+(0+(0-0))+0-0-0</f>
        <v>591.79999999999995</v>
      </c>
    </row>
    <row r="282" spans="1:31" s="2" customFormat="1" x14ac:dyDescent="0.25">
      <c r="A282">
        <v>89</v>
      </c>
      <c r="B282">
        <v>10</v>
      </c>
      <c r="C282">
        <v>6</v>
      </c>
      <c r="D282">
        <v>3</v>
      </c>
      <c r="E282">
        <v>1</v>
      </c>
      <c r="F282" s="3">
        <f>296+(140-24)+(-0.60384+(-0.2856--0.04896))+0-0-0</f>
        <v>411.15951999999999</v>
      </c>
      <c r="G282" s="3">
        <f>296+(131.2-23)+(-0.15096+(-0.066912--0.01173))+0-0-0</f>
        <v>403.99385799999999</v>
      </c>
      <c r="H282" s="3">
        <f>296+(124.2-23)+(-0.30192+(-0.126684--0.02346))+0-0-0</f>
        <v>396.79485599999998</v>
      </c>
      <c r="I282" s="3">
        <f>296+(126.2-24)+(0.15096+(0.064362-0.01224))+0-0-0</f>
        <v>398.40308199999998</v>
      </c>
      <c r="J282" s="3">
        <f>296+(149.9-27)+(-0.45288+(-0.229347--0.04131))+0-0-0</f>
        <v>418.25908299999998</v>
      </c>
      <c r="K282" s="3">
        <f>296+(189.6-28)+(0.45288+(0.290088-0.04284))+0-0-0</f>
        <v>458.30012800000003</v>
      </c>
      <c r="L282" s="3">
        <f>295+(230.9-30)+(-0.15045+(-0.117759--0.0153))+0-0-0</f>
        <v>495.64709099999999</v>
      </c>
      <c r="M282" s="3">
        <f>317+(203.3-32)+(0.32334+(0.207366-0.03264))+0-0-0</f>
        <v>488.79806600000001</v>
      </c>
      <c r="N282" s="3">
        <f>396+(134.4-30)+(0+(0-0))+0-0-0</f>
        <v>500.4</v>
      </c>
      <c r="O282" s="3">
        <f>448+(78.8-53)+(-0.68544+(-0.120564--0.08109))+0-0-0</f>
        <v>473.075086</v>
      </c>
      <c r="P282" s="3">
        <f>446+(72.2-27.3)+(-0.68238+(-0.110466--0.041769))+0-0-0</f>
        <v>490.14892299999997</v>
      </c>
      <c r="Q282" s="3">
        <f>444+(63.5-25)+(-0.22644+(-0.032385--0.01275))+0-0-0</f>
        <v>482.25392499999998</v>
      </c>
      <c r="R282" s="3">
        <f>429+(94.7-25)+(-0.65637+(-0.144891--0.03825))+0-0-0</f>
        <v>497.93698899999998</v>
      </c>
      <c r="S282" s="3">
        <f>372+(128.4-25)+(-0.56916+(-0.196452--0.03825))+0-0-0</f>
        <v>474.67263799999995</v>
      </c>
      <c r="T282" s="3">
        <f>365+(122.2-26)+(-0.18615+(-0.062322--0.01326))+0-0-0</f>
        <v>460.964788</v>
      </c>
      <c r="U282" s="3">
        <f>367+(142.6-28)+(0.56151+(0.218178-0.04284))+0-0-0</f>
        <v>482.33684800000003</v>
      </c>
      <c r="V282" s="3">
        <f>371+(210.8-31)+(-0.75684+(-0.430032--0.06324))+0-0-0</f>
        <v>549.67636799999991</v>
      </c>
      <c r="W282" s="3">
        <f>371+(234-32)+(-0.56763+(-0.35802--0.04896))+0-0-0</f>
        <v>572.12330999999995</v>
      </c>
      <c r="X282" s="3">
        <f>371+(224.5-30)+(-0.18921+(-0.114495--0.0153))+0-0-0</f>
        <v>565.21159499999999</v>
      </c>
      <c r="Y282" s="3">
        <f>371+(203.7-28)+(-0.18921+(-0.103887--0.01428))+0-0-0</f>
        <v>546.42118300000004</v>
      </c>
      <c r="Z282" s="3">
        <f>371+(170.2-25)+(-0.37842+(-0.173604--0.0255))+0-0-0</f>
        <v>515.67347600000005</v>
      </c>
      <c r="AA282" s="3">
        <f>371+(148.5-32)+(-0.18921+(-0.075735--0.01632))+0-0-0</f>
        <v>487.251375</v>
      </c>
      <c r="AB282" s="3">
        <f>365+(133.8-22)+(-0.3723+(-0.136476--0.02244))+0-0-0</f>
        <v>476.31366400000002</v>
      </c>
      <c r="AC282" s="3">
        <f>299+(151.1-22)+(-0.30498+(-0.154122--0.02244))+0-0-0</f>
        <v>427.66333800000001</v>
      </c>
      <c r="AD282">
        <f t="shared" si="4"/>
        <v>11473.47919</v>
      </c>
      <c r="AE282" s="3">
        <f>369+(238.1-34)+(0+(0-0))+0-0-0</f>
        <v>573.1</v>
      </c>
    </row>
    <row r="283" spans="1:31" s="2" customFormat="1" x14ac:dyDescent="0.25">
      <c r="A283">
        <v>89</v>
      </c>
      <c r="B283">
        <v>10</v>
      </c>
      <c r="C283">
        <v>7</v>
      </c>
      <c r="D283">
        <v>4</v>
      </c>
      <c r="E283">
        <v>1</v>
      </c>
      <c r="F283" s="3">
        <f>296+(131.3-21)+(-0.7548+(-0.334815--0.05355))+0-0-0</f>
        <v>405.263935</v>
      </c>
      <c r="G283" s="3">
        <f>296+(116.1-20)+(0+(0-0))+0-0-0</f>
        <v>392.1</v>
      </c>
      <c r="H283" s="3">
        <f>296+(106.6-19)+(-0.30192+(-0.108732--0.01938))+0-0-0</f>
        <v>383.20872800000001</v>
      </c>
      <c r="I283" s="3">
        <f>296+(112-18)+(0+(0-0))+0-0-0</f>
        <v>390</v>
      </c>
      <c r="J283" s="3">
        <f>296+(124.7-18)+(0.15096+(0.063597-0.00918))+0-0-0</f>
        <v>402.90537699999999</v>
      </c>
      <c r="K283" s="3">
        <f>296+(176.3-22)+(0+(0-0))+0-0-0</f>
        <v>450.3</v>
      </c>
      <c r="L283" s="3">
        <f>294+(221.9-29)+(-0.29988+(-0.226338--0.02958))+0-0-0</f>
        <v>486.40336199999996</v>
      </c>
      <c r="M283" s="3">
        <f>294+(225.3-26)+(-0.14994+(-0.114903--0.01326))+0-0-0</f>
        <v>493.04841700000003</v>
      </c>
      <c r="N283" s="3">
        <f>379+(127.9-0)+(1.35303+(0.456603-0))+5.8-0-0</f>
        <v>514.50963300000001</v>
      </c>
      <c r="O283" s="3">
        <f>431+(68.3-23.1)+(0+(0-0))+11.2-0-0</f>
        <v>487.4</v>
      </c>
      <c r="P283" s="3">
        <f>447+(56.2-24.2)+(-0.45594+(-0.057324--0.024684))+0-0-0</f>
        <v>478.51141999999999</v>
      </c>
      <c r="Q283" s="3">
        <f>449+(52.3-23.4)+(-0.45798+(-0.053346--0.023868))+0-0-0</f>
        <v>477.41254199999997</v>
      </c>
      <c r="R283" s="3">
        <f>444+(54.2-22.2)+(-0.67932+(-0.082926--0.033966))+9-0-0</f>
        <v>484.27172000000002</v>
      </c>
      <c r="S283" s="3">
        <f>444+(49.4-49.3)+(-0.90576+(-0.100776--0.100572))+4.8-0-0</f>
        <v>447.99403600000005</v>
      </c>
      <c r="T283" s="3">
        <f>446+(52.8-33)+(0.68238+(0.080784-0.05049))+0-0-0</f>
        <v>466.512674</v>
      </c>
      <c r="U283" s="3">
        <f>447+(89.5-33)+(-0.91188+(-0.18258--0.06732))+0-0-0</f>
        <v>502.47286000000003</v>
      </c>
      <c r="V283" s="3">
        <f>456+(106.7-33)+(-0.46512+(-0.108834--0.03366))+0-0-0</f>
        <v>529.15970600000003</v>
      </c>
      <c r="W283" s="3">
        <f>457+(159.8-33)+(-0.23307+(-0.081498--0.01683))+0-0-0</f>
        <v>583.50226199999997</v>
      </c>
      <c r="X283" s="3">
        <f>460+(154.2-33)+(-0.7038+(-0.235926--0.05049))+0-0-0</f>
        <v>580.31076400000006</v>
      </c>
      <c r="Y283" s="3">
        <f>461+(127.5-31)+(-1.17555+(-0.325125--0.07905))+0-0-0</f>
        <v>556.07837500000005</v>
      </c>
      <c r="Z283" s="3">
        <f>461+(103-28)+(0+(0-0))+0-0-0</f>
        <v>536</v>
      </c>
      <c r="AA283" s="3">
        <f>463+(72.9-25)+(-0.70839+(-0.111537--0.03825))+0-0-0</f>
        <v>510.11832299999998</v>
      </c>
      <c r="AB283" s="3">
        <f>425+(81.9-31)+(-0.65025+(-0.125307--0.04743))+0-0-0</f>
        <v>475.17187300000001</v>
      </c>
      <c r="AC283" s="3">
        <f>388+(86.6-26)+(-1.18728+(-0.264996--0.07956))+0-0-0</f>
        <v>447.227284</v>
      </c>
      <c r="AD283">
        <f t="shared" si="4"/>
        <v>11479.883291</v>
      </c>
      <c r="AE283" s="3">
        <f>458+(166.6-33)+(0+(0-0))+0-0-0</f>
        <v>591.6</v>
      </c>
    </row>
    <row r="284" spans="1:31" s="2" customFormat="1" x14ac:dyDescent="0.25">
      <c r="A284">
        <v>89</v>
      </c>
      <c r="B284">
        <v>10</v>
      </c>
      <c r="C284">
        <v>8</v>
      </c>
      <c r="D284">
        <v>5</v>
      </c>
      <c r="E284">
        <v>1</v>
      </c>
      <c r="F284" s="3">
        <f>390+(68.5-32.1)+(0+(0-0))+0-0-0</f>
        <v>426.4</v>
      </c>
      <c r="G284" s="3">
        <f>393+(57.9-40.5)+(-0.40086+(-0.059058--0.04131))+0-0-0</f>
        <v>409.98139199999997</v>
      </c>
      <c r="H284" s="3">
        <f>394+(61.1-31.6)+(-0.40188+(-0.062322--0.032232))+0-0-0</f>
        <v>423.06803000000002</v>
      </c>
      <c r="I284" s="3">
        <f>392+(73.2-30.5)+(-0.39984+(-0.074664--0.03111))+0-0-0</f>
        <v>434.25660599999998</v>
      </c>
      <c r="J284" s="3">
        <f>332+(110.8-25)+(-0.16932+(-0.056508--0.01275))+0-0-0</f>
        <v>417.58692200000002</v>
      </c>
      <c r="K284" s="3">
        <f>298+(192.4-27)+(-0.30396+(-0.196248--0.02754))+0-0-0</f>
        <v>462.92733199999998</v>
      </c>
      <c r="L284" s="3">
        <f>296+(224.4-34)+(-0.15096+(-0.114444--0.01734))+0-0-0</f>
        <v>486.15193599999998</v>
      </c>
      <c r="M284" s="3">
        <f>316+(222.8-34)+(-0.32232+(-0.227256--0.03468))+0-0-0</f>
        <v>504.28510399999999</v>
      </c>
      <c r="N284" s="3">
        <f>416+(129.4-34)+(0+(0-0))+0-0-0</f>
        <v>511.4</v>
      </c>
      <c r="O284" s="3">
        <f>422+(114.6-39)+(0.43044+(0.116892-0.03978))+0-0-0</f>
        <v>498.107552</v>
      </c>
      <c r="P284" s="3">
        <f>453+(62.5-40)+(-0.23103+(-0.031875--0.0204))+0-0-0</f>
        <v>475.25749500000001</v>
      </c>
      <c r="Q284" s="3">
        <f>462+(50.2-39)+(0+(0-0))+0-0-0</f>
        <v>473.2</v>
      </c>
      <c r="R284" s="3">
        <f>459+(49-24)+(-0.70227+(-0.07497--0.03672))+0-0-0</f>
        <v>483.25948</v>
      </c>
      <c r="S284" s="3">
        <f>458+(52.2-22)+(0+(0-0))+0-0-0</f>
        <v>488.2</v>
      </c>
      <c r="T284" s="3">
        <f>458+(43.7-21)+(0+(0-0))+0-0-0</f>
        <v>480.7</v>
      </c>
      <c r="U284" s="3">
        <f>459+(58.7-20)+(0+(0-0))+0-0-0</f>
        <v>497.7</v>
      </c>
      <c r="V284" s="3">
        <f>467+(119.4-22)+(-0.95268+(-0.243576--0.04488))+0-0-0</f>
        <v>563.24862399999995</v>
      </c>
      <c r="W284" s="3">
        <f>468+(152.3-30)+(0+(0-0))+0-0-0</f>
        <v>590.29999999999995</v>
      </c>
      <c r="X284" s="3">
        <f>469+(151-33)+(-1.19595+(-0.38505--0.08415))+0-0-0</f>
        <v>585.50315000000001</v>
      </c>
      <c r="Y284" s="3">
        <f>472+(131.1-30)+(-1.92576+(-0.534888--0.1224))+0-0-0</f>
        <v>570.761752</v>
      </c>
      <c r="Z284" s="3">
        <f>472+(101.7-28)+(0+(0-0))+0-0-0</f>
        <v>545.70000000000005</v>
      </c>
      <c r="AA284" s="3">
        <f>471+(79.1-25)+(-0.48042+(-0.080682--0.0255))+0-0-0</f>
        <v>524.56439799999998</v>
      </c>
      <c r="AB284" s="3">
        <f>443+(71.5-23)+(-0.45186+(-0.07293--0.02346))+0-0-0</f>
        <v>490.99867</v>
      </c>
      <c r="AC284" s="3">
        <f>405+(78.5-23)+(-1.03275+(-0.200175--0.05865))+0-0-0</f>
        <v>459.32572499999998</v>
      </c>
      <c r="AD284">
        <f t="shared" si="4"/>
        <v>11802.884168000002</v>
      </c>
      <c r="AE284" s="3">
        <f>469+(153.2-34)+(0+(0-0))+0-0-0</f>
        <v>588.20000000000005</v>
      </c>
    </row>
    <row r="285" spans="1:31" s="2" customFormat="1" x14ac:dyDescent="0.25">
      <c r="A285">
        <v>89</v>
      </c>
      <c r="B285">
        <v>10</v>
      </c>
      <c r="C285">
        <v>9</v>
      </c>
      <c r="D285">
        <v>6</v>
      </c>
      <c r="E285">
        <v>1</v>
      </c>
      <c r="F285" s="3">
        <f>292+(165.6-22)+(-0.44676+(-0.253368--0.03366))+0-0-0</f>
        <v>434.93353200000001</v>
      </c>
      <c r="G285" s="3">
        <f>273+(162.1-22)+(0.13923+(0.082671-0.01122))+0-0-0</f>
        <v>413.31068100000005</v>
      </c>
      <c r="H285" s="3">
        <f>273+(163.9-21)+(-0.55692+(-0.334356--0.04284))+0-0-0</f>
        <v>415.05156399999998</v>
      </c>
      <c r="I285" s="3">
        <f>273+(163.1-21)+(-0.27846+(-0.166362--0.02142))+0-0-0</f>
        <v>414.67659800000001</v>
      </c>
      <c r="J285" s="3">
        <f>273+(170-24)+(-0.41769+(-0.2601--0.03672))+0-0-0</f>
        <v>418.35892999999999</v>
      </c>
      <c r="K285" s="3">
        <f>273+(227.2-27)+(0+(0-0))+0-0-0</f>
        <v>473.2</v>
      </c>
      <c r="L285" s="3">
        <f>272+(219.9-32)+(-0.41616+(-0.336447--0.04896))+0-0-0</f>
        <v>459.19635299999999</v>
      </c>
      <c r="M285" s="3">
        <f>329+(206.2-31)+(0.33558+(0.210324-0.03162))+0-0-0</f>
        <v>504.71428399999996</v>
      </c>
      <c r="N285" s="3">
        <f>362+(194.5-31)+(0.18462+(0.099195-0.01581))+0-0-0</f>
        <v>525.76800500000002</v>
      </c>
      <c r="O285" s="3">
        <f>359+(175.1-30)+(-0.91545+(-0.446505--0.0765))+0-0-0</f>
        <v>502.81454500000001</v>
      </c>
      <c r="P285" s="3">
        <f>357+(170.3-27)+(0+(0-0))+0-0-0</f>
        <v>500.3</v>
      </c>
      <c r="Q285" s="3">
        <f>356+(168.7-25)+(-0.36312+(-0.172074--0.0255))+0-0-0</f>
        <v>499.19030599999996</v>
      </c>
      <c r="R285" s="3">
        <f>349+(175.9-25)+(-0.71196+(-0.358836--0.051))+0-0-0</f>
        <v>498.88020399999999</v>
      </c>
      <c r="S285" s="3">
        <f>349+(157.9-26)+(-0.53397+(-0.241587--0.03978))+0-0-0</f>
        <v>480.16422299999999</v>
      </c>
      <c r="T285" s="3">
        <f>349+(150.8-28)+(-0.17799+(-0.076908--0.01428))+0-0-0</f>
        <v>471.55938200000003</v>
      </c>
      <c r="U285" s="3">
        <f>287+(237.1-30)+(-0.14637+(-0.120921--0.0153))+0-0-0</f>
        <v>493.84800900000005</v>
      </c>
      <c r="V285" s="3">
        <f>300+(243.2-32)+(-0.612+(-0.496128--0.06528))+0-0-0</f>
        <v>510.157152</v>
      </c>
      <c r="W285" s="3">
        <f>358+(265.9-33)+(-0.54774+(-0.406827--0.05049))+0-0-0</f>
        <v>589.99592299999995</v>
      </c>
      <c r="X285" s="3">
        <f>360+(248.7-31)+(-1.1016+(-0.761022--0.09486))+0-0-0</f>
        <v>575.9322380000001</v>
      </c>
      <c r="Y285" s="3">
        <f>362+(221.8-30)+(0+(0-0))+0-0-0</f>
        <v>553.79999999999995</v>
      </c>
      <c r="Z285" s="3">
        <f>349+(209.1-28)+(-0.53397+(-0.319923--0.04284))+0-0-0</f>
        <v>529.28894700000001</v>
      </c>
      <c r="AA285" s="3">
        <f>346+(188.4-26)+(-0.17646+(-0.096084--0.01326))+0-0-0</f>
        <v>508.140716</v>
      </c>
      <c r="AB285" s="3">
        <f>336+(168.7-25)+(-0.68544+(-0.344148--0.051))+0-0-0</f>
        <v>478.72141199999999</v>
      </c>
      <c r="AC285" s="3">
        <f>328+(151.8-24)+(-1.00368+(-0.464508--0.07344))+0-0-0</f>
        <v>454.40525200000002</v>
      </c>
      <c r="AD285">
        <f t="shared" si="4"/>
        <v>11706.408255999999</v>
      </c>
      <c r="AE285" s="3">
        <f>358+(266.1-34)+(0+(0-0))+0-0-0</f>
        <v>590.1</v>
      </c>
    </row>
    <row r="286" spans="1:31" s="2" customFormat="1" x14ac:dyDescent="0.25">
      <c r="A286">
        <v>89</v>
      </c>
      <c r="B286">
        <v>10</v>
      </c>
      <c r="C286">
        <v>10</v>
      </c>
      <c r="D286">
        <v>7</v>
      </c>
      <c r="E286">
        <v>1</v>
      </c>
      <c r="F286" s="3">
        <f>331+(129.2-23)+(0+(0-0))+0-0-0</f>
        <v>437.2</v>
      </c>
      <c r="G286" s="3">
        <f>331+(112.8-23)+(-0.33762+(-0.115056--0.02346))+0-0-0</f>
        <v>420.37078400000001</v>
      </c>
      <c r="H286" s="3">
        <f>332+(101.4-24)+(0+(0-0))+0-0-0</f>
        <v>409.4</v>
      </c>
      <c r="I286" s="3">
        <f>331+(112.2-22)+(-0.50643+(-0.171666--0.03366))+0-0-0</f>
        <v>420.555564</v>
      </c>
      <c r="J286" s="3">
        <f>314+(146.4-26)+(-0.32028+(-0.149328--0.02652))+0-0-0</f>
        <v>433.95691199999999</v>
      </c>
      <c r="K286" s="3">
        <f>236+(254.6-28)+(0.12036+(0.129846-0.01428))+0-0-0</f>
        <v>462.83592600000003</v>
      </c>
      <c r="L286" s="3">
        <f>233+(270.6-33)+(0+(0-0))+0-0-0</f>
        <v>470.6</v>
      </c>
      <c r="M286" s="3">
        <f>300+(231.7-32)+(-0.306+(-0.236334--0.03264))+0-0-0</f>
        <v>499.19030599999996</v>
      </c>
      <c r="N286" s="3">
        <f>321+(209.6-31)+(-0.49113+(-0.320688--0.04743))+0-0-0</f>
        <v>498.83561200000003</v>
      </c>
      <c r="O286" s="3">
        <f>317+(213.3-29)+(-0.16167+(-0.108783--0.01479))+0-0-0</f>
        <v>501.04433699999998</v>
      </c>
      <c r="P286" s="3">
        <f>315+(215.6-29)+(-0.80325+(-0.54978--0.07395))+0-0-0</f>
        <v>500.32092</v>
      </c>
      <c r="Q286" s="3">
        <f>313+(229.9-28)+(0.15963+(0.117249-0.01428))+0-0-0</f>
        <v>515.162599</v>
      </c>
      <c r="R286" s="3">
        <f>324+(219.9-27)+(-0.33048+(-0.224298--0.02754))+0-0-0</f>
        <v>516.37276199999997</v>
      </c>
      <c r="S286" s="3">
        <f>353+(166.4-27)+(-1.08018+(-0.509184--0.08262))+0-0-0</f>
        <v>490.89325599999995</v>
      </c>
      <c r="T286" s="3">
        <f>371+(135-26)+(0.37842+(0.1377-0.02652))+0-0-0</f>
        <v>480.4896</v>
      </c>
      <c r="U286" s="3">
        <f>373+(135.2-26)+(-0.19023+(-0.068952--0.01326))+0-0-0</f>
        <v>481.95407799999998</v>
      </c>
      <c r="V286" s="3">
        <f>379+(187.7-30)+(-0.19329+(-0.095727--0.0153))+0-0-0</f>
        <v>536.42628300000001</v>
      </c>
      <c r="W286" s="3">
        <f>380+(223.2-33)+(0.1938+(0.113832-0.01683))+0-0-0</f>
        <v>570.49080200000003</v>
      </c>
      <c r="X286" s="3">
        <f>381+(220-33)+(-0.58293+(-0.3366--0.05049))+0-0-0</f>
        <v>567.13095999999996</v>
      </c>
      <c r="Y286" s="3">
        <f>383+(199.7-33)+(-0.19533+(-0.101847--0.01683))+0-0-0</f>
        <v>549.41965300000004</v>
      </c>
      <c r="Z286" s="3">
        <f>385+(178.6-28)+(0.19635+(0.091086-0.01428))+0-0-0</f>
        <v>535.87315599999999</v>
      </c>
      <c r="AA286" s="3">
        <f>388+(152.9-26)+(-0.59364+(-0.233937--0.03978))+0-0-0</f>
        <v>514.11220300000002</v>
      </c>
      <c r="AB286" s="3">
        <f>388+(125.7-24)+(-0.9894+(-0.320535--0.0612))+0-0-0</f>
        <v>488.45126499999998</v>
      </c>
      <c r="AC286" s="3">
        <f>372+(107-23)+(-0.18972+(-0.05457--0.01173))+0-0-0</f>
        <v>455.76744000000002</v>
      </c>
      <c r="AD286">
        <f t="shared" si="4"/>
        <v>11756.854418000001</v>
      </c>
      <c r="AE286" s="3">
        <f>381+(233.3-34)+(0+(0-0))+0-0-0</f>
        <v>580.29999999999995</v>
      </c>
    </row>
    <row r="287" spans="1:31" s="2" customFormat="1" x14ac:dyDescent="0.25">
      <c r="A287">
        <v>89</v>
      </c>
      <c r="B287">
        <v>10</v>
      </c>
      <c r="C287">
        <v>11</v>
      </c>
      <c r="D287">
        <v>1</v>
      </c>
      <c r="E287">
        <v>1</v>
      </c>
      <c r="F287" s="3">
        <f>296+(160.5-23)+(-0.7548+(-0.409275--0.05865))+0-0-0</f>
        <v>432.39457499999997</v>
      </c>
      <c r="G287" s="3">
        <f>296+(144.3-23)+(-0.7548+(-0.367965--0.05865))+0-0-0</f>
        <v>416.235885</v>
      </c>
      <c r="H287" s="3">
        <f>296+(128.6-22)+(-0.60384+(-0.262344--0.04488))+0-0-0</f>
        <v>401.77869600000002</v>
      </c>
      <c r="I287" s="3">
        <f>296+(129.7-22)+(-0.30192+(-0.132294--0.02244))+0-0-0</f>
        <v>403.28822600000001</v>
      </c>
      <c r="J287" s="3">
        <f>296+(137.9-24)+(0+(0-0))+0-0-0</f>
        <v>409.9</v>
      </c>
      <c r="K287" s="3">
        <f>296+(200.6-25)+(0.45288+(0.306918-0.03825))+0-0-0</f>
        <v>472.32154800000001</v>
      </c>
      <c r="L287" s="3">
        <f>295+(247.9-30)+(-0.3009+(-0.252858--0.0306))+0-0-0</f>
        <v>512.37684200000001</v>
      </c>
      <c r="M287" s="3">
        <f>333+(225.6-31)+(0.16983+(0.115056-0.01581))+0-0-0</f>
        <v>527.86907600000006</v>
      </c>
      <c r="N287" s="3">
        <f>383+(160.9-32)+(-0.39066+(-0.164118--0.03264))+0-0-0</f>
        <v>511.37786199999999</v>
      </c>
      <c r="O287" s="3">
        <f>379+(155.9-32)+(0+(0-0))+0-0-0</f>
        <v>502.9</v>
      </c>
      <c r="P287" s="3">
        <f>377+(144-29)+(0.19227+(0.07344-0.01479))+0-0-0</f>
        <v>492.25092000000001</v>
      </c>
      <c r="Q287" s="3">
        <f>375+(139-26)+(-0.765+(-0.28356--0.05304))+0-0-0</f>
        <v>487.00448</v>
      </c>
      <c r="R287" s="3">
        <f>370+(137.7-25)+(-0.5661+(-0.210681--0.03825))+0-0-0</f>
        <v>481.96146899999997</v>
      </c>
      <c r="S287" s="3">
        <f>368+(127-25)+(-0.37536+(-0.12954--0.0255))+0-0-0</f>
        <v>469.5206</v>
      </c>
      <c r="T287" s="3">
        <f>370+(115.9-25)+(-0.5661+(-0.177327--0.03825))+0-0-0</f>
        <v>460.19482299999999</v>
      </c>
      <c r="U287" s="3">
        <f>370+(125.3-24)+(0.3774+(0.127806-0.02448))+0-0-0</f>
        <v>471.78072600000002</v>
      </c>
      <c r="V287" s="3">
        <f>392+(170.5-27)+(0+(0-0))+0-0-0</f>
        <v>535.5</v>
      </c>
      <c r="W287" s="3">
        <f>400+(226.8-29)+(-1.02+(-0.57834--0.07395))+0-0-0</f>
        <v>596.27560999999992</v>
      </c>
      <c r="X287" s="3">
        <f>401+(219.5-33)+(-1.02255+(-0.559725--0.08415))+0-0-0</f>
        <v>586.00187500000004</v>
      </c>
      <c r="Y287" s="3">
        <f>403+(204.1-33)+(-0.41106+(-0.208182--0.03366))+0-0-0</f>
        <v>573.51441799999998</v>
      </c>
      <c r="Z287" s="3">
        <f>404+(180.8-31)+(-0.41208+(-0.184416--0.03162))+0-0-0</f>
        <v>553.23512399999993</v>
      </c>
      <c r="AA287" s="3">
        <f>406+(146.4-29)+(-0.62118+(-0.223992--0.04437))+0-0-0</f>
        <v>522.599198</v>
      </c>
      <c r="AB287" s="3">
        <f>403+(118.9-27)+(-0.20553+(-0.060639--0.01377))+0-0-0</f>
        <v>494.64760099999995</v>
      </c>
      <c r="AC287" s="3">
        <f>368+(122.7-24)+(-0.9384+(-0.312885--0.0612))+0-0-0</f>
        <v>465.50991499999998</v>
      </c>
      <c r="AD287">
        <f t="shared" si="4"/>
        <v>11780.439469000001</v>
      </c>
      <c r="AE287" s="3">
        <f>400+(225.7-33)+(0+(0-0))+0-0-0</f>
        <v>592.70000000000005</v>
      </c>
    </row>
    <row r="288" spans="1:31" s="2" customFormat="1" x14ac:dyDescent="0.25">
      <c r="A288">
        <v>89</v>
      </c>
      <c r="B288">
        <v>10</v>
      </c>
      <c r="C288">
        <v>12</v>
      </c>
      <c r="D288">
        <v>2</v>
      </c>
      <c r="E288">
        <v>1</v>
      </c>
      <c r="F288" s="3">
        <f>300+(168.3-22)+(-0.459+(-0.257499--0.03366))+0-0-0</f>
        <v>445.61716100000001</v>
      </c>
      <c r="G288" s="3">
        <f>278+(168.7-22)+(0+(0-0))+0-0-0</f>
        <v>424.7</v>
      </c>
      <c r="H288" s="3">
        <f>278+(157.4-24)+(-0.7089+(-0.40137--0.0612))+0-0-0</f>
        <v>410.35093000000001</v>
      </c>
      <c r="I288" s="3">
        <f>278+(159.6-24)+(0.42534+(0.244188-0.03672))+0-0-0</f>
        <v>414.23280800000003</v>
      </c>
      <c r="J288" s="3">
        <f>278+(176.1-27)+(-0.56712+(-0.359244--0.05508))+0-0-0</f>
        <v>426.22871600000002</v>
      </c>
      <c r="K288" s="3">
        <f>278+(227.1-29)+(-0.14178+(-0.115821--0.01479))+0-0-0</f>
        <v>475.85718900000001</v>
      </c>
      <c r="L288" s="3">
        <f>276+(266-33)+(-0.28152+(-0.27132--0.03366))+0-0-0</f>
        <v>508.48081999999999</v>
      </c>
      <c r="M288" s="3">
        <f>330+(224.4-27)+(-0.1683+(-0.114444--0.01377))+0-0-0</f>
        <v>527.13102600000002</v>
      </c>
      <c r="N288" s="3">
        <f>457+(97.5-38)+(-0.23307+(-0.049725--0.01938))+0-0-0</f>
        <v>516.23658499999999</v>
      </c>
      <c r="O288" s="3">
        <f>510+(54.8-65.9)+(-0.7803+(-0.083844--0.100827))+0-0-0</f>
        <v>498.136683</v>
      </c>
      <c r="P288" s="3">
        <f>509+(49.6-76.4)+(0.77877+(0.075888-0.116892))+0-0-0</f>
        <v>482.93776600000001</v>
      </c>
      <c r="Q288" s="3">
        <f>526+(45.7-79.1)+(-1.3413+(-0.116535--0.201705))+0-0-0</f>
        <v>491.34387000000004</v>
      </c>
      <c r="R288" s="3">
        <f>526+(45.7-93.1)+(-1.3413+(-0.116535--0.237405))+0-0-0</f>
        <v>477.37957</v>
      </c>
      <c r="S288" s="3">
        <f>497+(89.4-74.8)+(0+(0-0))+0-0-0</f>
        <v>511.6</v>
      </c>
      <c r="T288" s="3">
        <f>491+(90.4-65.8)+(-0.25041+(-0.046104--0.033558))+0-0-0</f>
        <v>515.33704399999999</v>
      </c>
      <c r="U288" s="3">
        <f>492+(96.5-70.8)+(-1.2546+(-0.246075--0.18054))+0-0-0</f>
        <v>516.379865</v>
      </c>
      <c r="V288" s="3">
        <f>496+(118.9-60.8)+(-1.2648+(-0.303195--0.15504))+0-0-0</f>
        <v>552.68704500000001</v>
      </c>
      <c r="W288" s="3">
        <f>496+(158.5-42)+(-1.2648+(-0.404175--0.1071))+0-0-0</f>
        <v>610.93812500000001</v>
      </c>
      <c r="X288" s="3">
        <f>496+(163.5-44)+(-1.51776+(-0.50031--0.13464))+0-0-0</f>
        <v>613.61657000000002</v>
      </c>
      <c r="Y288" s="3">
        <f>498+(152.8-49)+(-1.2699+(-0.38964--0.12495))+0-0-0</f>
        <v>600.26540999999997</v>
      </c>
      <c r="Z288" s="3">
        <f>462+(154.1-41)+(-0.70686+(-0.235773--0.06273))+0-0-0</f>
        <v>574.22009700000001</v>
      </c>
      <c r="AA288" s="3">
        <f>455+(134.2-43)+(0+(0-0))+0-0-0</f>
        <v>546.20000000000005</v>
      </c>
      <c r="AB288" s="3">
        <f>410+(142.1-30)+(-0.6273+(-0.217413--0.0459))+0-0-0</f>
        <v>521.30118700000003</v>
      </c>
      <c r="AC288" s="3">
        <f>367+(148-25)+(-0.74868+(-0.30192--0.051))+0-0-0</f>
        <v>489.00040000000001</v>
      </c>
      <c r="AD288">
        <f t="shared" si="4"/>
        <v>12150.178867000002</v>
      </c>
      <c r="AE288" s="3">
        <f>496+(120.8-43)+(0+(0-0))+0-0-0</f>
        <v>573.79999999999995</v>
      </c>
    </row>
    <row r="289" spans="1:31" s="2" customFormat="1" x14ac:dyDescent="0.25">
      <c r="A289">
        <v>89</v>
      </c>
      <c r="B289">
        <v>10</v>
      </c>
      <c r="C289">
        <v>13</v>
      </c>
      <c r="D289">
        <v>3</v>
      </c>
      <c r="E289">
        <v>1</v>
      </c>
      <c r="F289" s="3">
        <f>366+(99.1-23)+(-0.74664+(-0.202164--0.04692))+0-0-0</f>
        <v>441.19811600000003</v>
      </c>
      <c r="G289" s="3">
        <f>366+(77.1-22)+(-0.37332+(-0.078642--0.02244))+0-0-0</f>
        <v>420.670478</v>
      </c>
      <c r="H289" s="3">
        <f>366+(65.7-23)+(-0.37332+(-0.067014--0.02346))+0-0-0</f>
        <v>408.28312599999998</v>
      </c>
      <c r="I289" s="3">
        <f>366+(64.2-22)+(-0.55998+(-0.098226--0.03366))+0-0-0</f>
        <v>407.57545399999998</v>
      </c>
      <c r="J289" s="3">
        <f>366+(71.9-23)+(0.55998+(0.110007-0.03519))+0-0-0</f>
        <v>415.53479699999997</v>
      </c>
      <c r="K289" s="3">
        <f>366+(123.7-25)+(0+(0-0))+0-0-0</f>
        <v>464.7</v>
      </c>
      <c r="L289" s="3">
        <f>362+(139.7-28)+(0+(0-0))+0-0-0</f>
        <v>473.7</v>
      </c>
      <c r="M289" s="3">
        <f>435+(141.5-34)+(-0.4437+(-0.14433--0.03468))+0-0-0</f>
        <v>541.94664999999998</v>
      </c>
      <c r="N289" s="3">
        <f>516+(104.7-68)+(-0.26316+(-0.053397--0.03468))+0-0-0</f>
        <v>552.41812300000004</v>
      </c>
      <c r="O289" s="3">
        <f>525+(48-73.6)+(-0.5355+(-0.04896--0.075072))+0-0-0</f>
        <v>498.89061199999998</v>
      </c>
      <c r="P289" s="3">
        <f>523+(40-81)+(-1.06692+(-0.0816--0.16524))+0-0-0</f>
        <v>481.01672000000002</v>
      </c>
      <c r="Q289" s="3">
        <f>522+(42.1-71.5)+(-0.79866+(-0.064413--0.109395))+0-0-0</f>
        <v>491.84632200000004</v>
      </c>
      <c r="R289" s="3">
        <f>519+(40-72.1)+(-1.05876+(-0.0816--0.147084))+0-0-0</f>
        <v>485.906724</v>
      </c>
      <c r="S289" s="3">
        <f>518+(40.4-83.4)+(-0.52836+(-0.041208--0.085068))+0-0-0</f>
        <v>474.51549999999997</v>
      </c>
      <c r="T289" s="3">
        <f>518+(33.7-96.5)+(-0.26418+(-0.017187--0.049215))+0-0-0</f>
        <v>454.967848</v>
      </c>
      <c r="U289" s="3">
        <f>519+(37.7-93.3)+(-0.52938+(-0.038454--0.095166))+0-0-0</f>
        <v>462.92733199999998</v>
      </c>
      <c r="V289" s="3">
        <f>530+(69-64.9)+(-1.3515+(-0.17595--0.165495))+0-0-0</f>
        <v>532.73804500000006</v>
      </c>
      <c r="W289" s="3">
        <f>531+(90.9-47)+(-1.35405+(-0.231795--0.11985))+0-0-0</f>
        <v>573.43400499999996</v>
      </c>
      <c r="X289" s="3">
        <f>533+(91.3-53)+(-1.08732+(-0.186252--0.10812))+0-0-0</f>
        <v>570.134548</v>
      </c>
      <c r="Y289" s="3">
        <f>517+(80.4-49)+(-0.52734+(-0.082008--0.04998))+0-0-0</f>
        <v>547.84063200000003</v>
      </c>
      <c r="Z289" s="3">
        <f>482+(102.3-52)+(-0.49164+(-0.104346--0.05304))+0-0-0</f>
        <v>531.75705399999993</v>
      </c>
      <c r="AA289" s="3">
        <f>425+(124.3-27)+(0.21675+(0.063393-0.01377))+0-0-0</f>
        <v>522.566373</v>
      </c>
      <c r="AB289" s="3">
        <f>383+(141.5-26)+(-0.58599+(-0.216495--0.03978))+0-0-0</f>
        <v>497.73729500000002</v>
      </c>
      <c r="AC289" s="3">
        <f>383+(102.1-25)+(-0.97665+(-0.260355--0.06375))+0-0-0</f>
        <v>458.92674500000004</v>
      </c>
      <c r="AD289">
        <f t="shared" si="4"/>
        <v>11711.232499000002</v>
      </c>
      <c r="AE289" s="3">
        <f>532+(96-53)+(0+(0-0))+0-0-0</f>
        <v>575</v>
      </c>
    </row>
    <row r="290" spans="1:31" s="2" customFormat="1" x14ac:dyDescent="0.25">
      <c r="A290">
        <v>89</v>
      </c>
      <c r="B290">
        <v>10</v>
      </c>
      <c r="C290">
        <v>14</v>
      </c>
      <c r="D290">
        <v>4</v>
      </c>
      <c r="E290">
        <v>1</v>
      </c>
      <c r="F290" s="3">
        <f>384+(71.5-34)+(-0.78336+(-0.14586--0.06936))+0-0-0</f>
        <v>420.64013999999997</v>
      </c>
      <c r="G290" s="3">
        <f>384+(60.7-33.3)+(-0.39168+(-0.061914--0.033966))+0-0-0</f>
        <v>410.98037199999999</v>
      </c>
      <c r="H290" s="3">
        <f>385+(56.3-38.4)+(0+(0-0))+0-0-0</f>
        <v>402.9</v>
      </c>
      <c r="I290" s="3">
        <f>386+(56-35.9)+(-0.39372+(-0.05712--0.036618))+0-0-0</f>
        <v>405.68577800000003</v>
      </c>
      <c r="J290" s="3">
        <f>385+(60.3-34.7)+(0.7854+(0.123012-0.070788))+0-0-0</f>
        <v>411.43762400000003</v>
      </c>
      <c r="K290" s="3">
        <f>386+(97.2-35)+(0.19686+(0.049572-0.01785))+0-0-0</f>
        <v>448.42858200000001</v>
      </c>
      <c r="L290" s="3">
        <f>388+(135-32)+(-0.39576+(-0.1377--0.03264))+0-0-0</f>
        <v>490.49918000000002</v>
      </c>
      <c r="M290" s="3">
        <f>489+(79.7-33)+(-0.74817+(-0.121941--0.05049))+0-0-0</f>
        <v>534.88037900000006</v>
      </c>
      <c r="N290" s="3">
        <f>527+(64.5-45.1)+(-0.53754+(-0.06579--0.046002))+0-0-0</f>
        <v>545.84267199999999</v>
      </c>
      <c r="O290" s="3">
        <f>520+(59.2-47.6)+(-0.5304+(-0.060384--0.048552))+0-0-0</f>
        <v>531.05776800000001</v>
      </c>
      <c r="P290" s="3">
        <f>515+(53.4-48.6)+(-0.26265+(-0.027234--0.024786))+0-0-0</f>
        <v>519.53490199999999</v>
      </c>
      <c r="Q290" s="3">
        <f>513+(44.1-51.4)+(-1.04652+(-0.089964--0.104856))+0-0-0</f>
        <v>504.66837199999998</v>
      </c>
      <c r="R290" s="3">
        <f>511+(45.9-96)+(-0.52122+(-0.046818--0.09792))+0-0-0</f>
        <v>460.42988199999996</v>
      </c>
      <c r="S290" s="3">
        <f>513+(43.2-106.3)+(-0.52326+(-0.044064--0.108426))+0-0-0</f>
        <v>449.441102</v>
      </c>
      <c r="T290" s="3">
        <f>513+(42.6-106.3)+(-0.26163+(-0.021726--0.054213))+0-0-0</f>
        <v>449.07085699999999</v>
      </c>
      <c r="U290" s="3">
        <f>515+(50-97.1)+(0+(0-0))+0-0-0</f>
        <v>467.9</v>
      </c>
      <c r="V290" s="3">
        <f>521+(70.2-85.5)+(-1.06284+(-0.143208--0.17442))+0-0-0</f>
        <v>504.66837199999998</v>
      </c>
      <c r="W290" s="3">
        <f>523+(108.3-60)+(0+(0-0))+0-0-0</f>
        <v>571.29999999999995</v>
      </c>
      <c r="X290" s="3">
        <f>523+(113.8-58)+(-0.53346+(-0.116076--0.05916))+0-0-0</f>
        <v>578.20962399999996</v>
      </c>
      <c r="Y290" s="3">
        <f>524+(97.2-59)+(-0.26724+(-0.049572--0.03009))+0-0-0</f>
        <v>561.91327799999999</v>
      </c>
      <c r="Z290" s="3">
        <f>530+(88-67.2)+(-1.3515+(-0.2244--0.17136))+0-0-0</f>
        <v>549.39545999999996</v>
      </c>
      <c r="AA290" s="3">
        <f>530+(71.8-83.1)+(0+(0-0))+0-0-0</f>
        <v>518.70000000000005</v>
      </c>
      <c r="AB290" s="3">
        <f>532+(57.1-118)+(-0.27132+(-0.029121--0.06018))+0-0-0</f>
        <v>470.85973900000005</v>
      </c>
      <c r="AC290" s="3">
        <f>483+(56.7-74.9)+(-0.73899+(-0.086751--0.114597))+0-0-0</f>
        <v>464.08885600000002</v>
      </c>
      <c r="AD290">
        <f t="shared" si="4"/>
        <v>11672.532938999999</v>
      </c>
      <c r="AE290" s="3">
        <f>526+(115.9-55)+(0+(0-0))+0-0-0</f>
        <v>586.9</v>
      </c>
    </row>
    <row r="291" spans="1:31" s="2" customFormat="1" x14ac:dyDescent="0.25">
      <c r="A291">
        <v>89</v>
      </c>
      <c r="B291">
        <v>10</v>
      </c>
      <c r="C291">
        <v>15</v>
      </c>
      <c r="D291">
        <v>5</v>
      </c>
      <c r="E291">
        <v>1</v>
      </c>
      <c r="F291" s="3">
        <f>440+(54.2-85.1)+(-0.8976+(-0.110568--0.173604))+0-0-0</f>
        <v>408.26543600000002</v>
      </c>
      <c r="G291" s="3">
        <f>361+(69-23)+(-0.36822+(-0.07038--0.02346))+0-0-0</f>
        <v>406.58485999999999</v>
      </c>
      <c r="H291" s="3">
        <f>349+(71.9-23)+(-0.17799+(-0.036669--0.01173))+0-0-0</f>
        <v>397.69707099999999</v>
      </c>
      <c r="I291" s="3">
        <f>349+(71.1-24)+(-0.17799+(-0.036261--0.01224))+0-0-0</f>
        <v>395.897989</v>
      </c>
      <c r="J291" s="3">
        <f>349+(83.3-27)+(-0.17799+(-0.042483--0.01377))+0-0-0</f>
        <v>405.09329700000001</v>
      </c>
      <c r="K291" s="3">
        <f>349+(144.7-30)+(-0.35598+(-0.147594--0.0306))+0-0-0</f>
        <v>463.22702599999997</v>
      </c>
      <c r="L291" s="3">
        <f>453+(90.6-37)+(-0.46206+(-0.092412--0.03774))+0-0-0</f>
        <v>506.08326800000003</v>
      </c>
      <c r="M291" s="3">
        <f>555+(52.2-96)+(-0.5661+(-0.053244--0.09792))+0-0-0</f>
        <v>510.67857599999996</v>
      </c>
      <c r="N291" s="3">
        <f>547+(35.4-79.9)+(-1.11588+(-0.072216--0.162996))+0-0-0</f>
        <v>501.47489999999999</v>
      </c>
      <c r="O291" s="3">
        <f>534+(31.5-83.5)+(-0.27234+(-0.016065--0.042585))+0-0-0</f>
        <v>481.75418000000002</v>
      </c>
      <c r="P291" s="3">
        <f>531+(30.3-80.3)+(-0.27081+(-0.015453--0.040953))+0-0-0</f>
        <v>480.75468999999998</v>
      </c>
      <c r="Q291" s="3">
        <f>529+(23.1-78.9)+(-0.26979+(-0.011781--0.040239))+0-0-0</f>
        <v>472.95866799999999</v>
      </c>
      <c r="R291" s="3">
        <f>524+(29.5-88.9)+(-0.53448+(-0.03009--0.090678))+0-0-0</f>
        <v>464.12610800000004</v>
      </c>
      <c r="S291" s="3">
        <f>524+(26.6-89.7)+(-0.80172+(-0.040698--0.137241))+0-0-0</f>
        <v>460.19482299999999</v>
      </c>
      <c r="T291" s="3">
        <f>524+(27.2-96.2)+(-0.53448+(-0.027744--0.098124))+0-0-0</f>
        <v>454.53590000000003</v>
      </c>
      <c r="U291" s="3">
        <f>524+(28.9-95.9)+(1.3362+(0.073695-0.244545))+0-0-0</f>
        <v>458.16534999999999</v>
      </c>
      <c r="V291" s="3">
        <f>532+(45.6-77.1)+(-0.81396+(-0.069768--0.117963))+0-0-0</f>
        <v>499.73423500000001</v>
      </c>
      <c r="W291" s="3">
        <f>534+(77.3-49)+(0.27234+(0.039423-0.02499))+0-0-0</f>
        <v>562.58677299999999</v>
      </c>
      <c r="X291" s="3">
        <f>539+(80.9-49)+(-1.09956+(-0.165036--0.09996))+0-0-0</f>
        <v>569.735364</v>
      </c>
      <c r="Y291" s="3">
        <f>541+(65.6-54.6)+(-0.82773+(-0.100368--0.083538))+0-0-0</f>
        <v>551.15544</v>
      </c>
      <c r="Z291" s="3">
        <f>543+(51.9-75.1)+(-0.27693+(-0.026469--0.038301))+0-0-0</f>
        <v>519.53490199999999</v>
      </c>
      <c r="AA291" s="3">
        <f>539+(41.6-82)+(-0.82467+(-0.063648--0.12546))+0-0-0</f>
        <v>497.83714200000003</v>
      </c>
      <c r="AB291" s="3">
        <f>495+(38.5-66.7)+(-1.26225+(-0.098175--0.170085))+0-0-0</f>
        <v>465.60966000000002</v>
      </c>
      <c r="AC291" s="3">
        <f>440+(44.9-46.9)+(-1.122+(-0.114495--0.119595))+0-0-0</f>
        <v>436.88310000000001</v>
      </c>
      <c r="AD291">
        <f t="shared" si="4"/>
        <v>11370.568758000001</v>
      </c>
      <c r="AE291" s="3">
        <f>538+(83.3-48)+(0+(0-0))+0-0-0</f>
        <v>573.29999999999995</v>
      </c>
    </row>
    <row r="292" spans="1:31" s="2" customFormat="1" x14ac:dyDescent="0.25">
      <c r="A292">
        <v>89</v>
      </c>
      <c r="B292">
        <v>10</v>
      </c>
      <c r="C292">
        <v>16</v>
      </c>
      <c r="D292">
        <v>6</v>
      </c>
      <c r="E292">
        <v>1</v>
      </c>
      <c r="F292" s="3">
        <f>422+(33.4-53.9)+(-0.43044+(-0.034068--0.054978))+0-0-0</f>
        <v>401.09046999999998</v>
      </c>
      <c r="G292" s="3">
        <f>422+(26.9-63.6)+(-0.64566+(-0.041157--0.097308))+0-0-0</f>
        <v>384.71049099999999</v>
      </c>
      <c r="H292" s="3">
        <f>422+(24.8-67.7)+(-0.86088+(-0.050592--0.138108))+0-0-0</f>
        <v>378.32663600000001</v>
      </c>
      <c r="I292" s="3">
        <f>424+(23.7-72.3)+(-0.64872+(-0.036261--0.110619))+0-0-0</f>
        <v>374.82563799999997</v>
      </c>
      <c r="J292" s="3">
        <f>425+(25.7-73)+(-0.21675+(-0.013107--0.03723))+0-0-0</f>
        <v>377.50737299999997</v>
      </c>
      <c r="K292" s="3">
        <f>423+(46.1-37.3)+(0+(0-0))+0-0-0</f>
        <v>431.8</v>
      </c>
      <c r="L292" s="3">
        <f>404+(100.8-32)+(-0.20604+(-0.051408--0.01632))+0-0-0</f>
        <v>472.55887200000001</v>
      </c>
      <c r="M292" s="3">
        <f>330+(177-31)+(0+(0-0))+0-0-0</f>
        <v>476</v>
      </c>
      <c r="N292" s="3">
        <f>336+(173.3-31)+(-0.17136+(-0.088383--0.01581))+0-0-0</f>
        <v>478.05606699999998</v>
      </c>
      <c r="O292" s="3">
        <f>415+(85.3-29)+(-0.4233+(-0.087006--0.02958))+0-0-0</f>
        <v>470.81927400000001</v>
      </c>
      <c r="P292" s="3">
        <f>412+(68.1-27)+(0+(0-0))+0-0-0</f>
        <v>453.1</v>
      </c>
      <c r="Q292" s="3">
        <f>409+(63.4-27)+(-0.41718+(-0.064668--0.02754))+0-0-0</f>
        <v>444.94569199999995</v>
      </c>
      <c r="R292" s="3">
        <f>411+(75.6-27)+(-1.25766+(-0.231336--0.08262))+0-0-0</f>
        <v>458.193624</v>
      </c>
      <c r="S292" s="3">
        <f>411+(65.5-28)+(-0.62883+(-0.100215--0.04284))+0-0-0</f>
        <v>447.81379500000003</v>
      </c>
      <c r="T292" s="3">
        <f>411+(59.2-31.6)+(-0.41922+(-0.060384--0.032232))+0-0-0</f>
        <v>438.15262800000005</v>
      </c>
      <c r="U292" s="3">
        <f>412+(65.2-29)+(0+(0-0))+0-0-0</f>
        <v>448.2</v>
      </c>
      <c r="V292" s="3">
        <f>395+(118.9-29)+(-0.4029+(-0.121278--0.02958))+0-0-0</f>
        <v>484.40540199999998</v>
      </c>
      <c r="W292" s="3">
        <f>396+(179.6-33)+(0+(0-0))+0-0-0</f>
        <v>542.6</v>
      </c>
      <c r="X292" s="3">
        <f>420+(161.6-33)+(-1.071+(-0.41208--0.08415))+0-0-0</f>
        <v>547.20107000000007</v>
      </c>
      <c r="Y292" s="3">
        <f>421+(145-32)+(-0.64413+(-0.22185--0.04896))+0-0-0</f>
        <v>533.18298000000004</v>
      </c>
      <c r="Z292" s="3">
        <f>422+(116.8-30)+(-0.21522+(-0.059568--0.0153))+0-0-0</f>
        <v>508.54051200000004</v>
      </c>
      <c r="AA292" s="3">
        <f>423+(95.3-28)+(-0.43146+(-0.097206--0.02856))+0-0-0</f>
        <v>489.79989399999999</v>
      </c>
      <c r="AB292" s="3">
        <f>389+(100.4-26)+(-0.19839+(-0.051204--0.01326))+0-0-0</f>
        <v>463.16366599999998</v>
      </c>
      <c r="AC292" s="3">
        <f>297+(169.7-25)+(-0.45441+(-0.259641--0.03825))+0-0-0</f>
        <v>441.02419900000001</v>
      </c>
      <c r="AD292">
        <f t="shared" si="4"/>
        <v>10946.018282999999</v>
      </c>
      <c r="AE292" s="3">
        <f>419+(166.9-33)+(0+(0-0))+0-0-0</f>
        <v>552.9</v>
      </c>
    </row>
    <row r="293" spans="1:31" s="2" customFormat="1" x14ac:dyDescent="0.25">
      <c r="A293">
        <v>89</v>
      </c>
      <c r="B293">
        <v>10</v>
      </c>
      <c r="C293">
        <v>17</v>
      </c>
      <c r="D293">
        <v>7</v>
      </c>
      <c r="E293">
        <v>1</v>
      </c>
      <c r="F293" s="3">
        <f>296+(136.8-24)+(-0.15096+(-0.069768--0.01224))+0-0-0</f>
        <v>408.59151200000002</v>
      </c>
      <c r="G293" s="3">
        <f>296+(126.7-24)+(-0.45288+(-0.193851--0.03672))+0-0-0</f>
        <v>398.089989</v>
      </c>
      <c r="H293" s="3">
        <f>296+(116.9-23)+(0+(0-0))+0-0-0</f>
        <v>389.9</v>
      </c>
      <c r="I293" s="3">
        <f>296+(114.2-24)+(0.15096+(0.058242-0.01224))+0-0-0</f>
        <v>386.39696199999997</v>
      </c>
      <c r="J293" s="3">
        <f>296+(125.8-28)+(-0.30192+(-0.128316--0.02856))+0-0-0</f>
        <v>393.398324</v>
      </c>
      <c r="K293" s="3">
        <f>296+(168-31)+(0.15096+(0.08568-0.01581))+0-0-0</f>
        <v>433.22082999999998</v>
      </c>
      <c r="L293" s="3">
        <f>293+(199.2-32)+(-0.74715+(-0.50796--0.0816))+0-0-0</f>
        <v>459.02648999999997</v>
      </c>
      <c r="M293" s="3">
        <f>293+(205.3-30)+(0+(0-0))+0-0-0</f>
        <v>468.3</v>
      </c>
      <c r="N293" s="3">
        <f>293+(207.9-30)+(0+(0-0))+0-0-0</f>
        <v>470.9</v>
      </c>
      <c r="O293" s="3">
        <f>300+(191.1-31)+(0.612+(0.389844-0.06324))+0-0-0</f>
        <v>461.03860400000002</v>
      </c>
      <c r="P293" s="3">
        <f>376+(139.7-31)+(-0.57528+(-0.213741--0.04743))+0-0-0</f>
        <v>483.95840899999996</v>
      </c>
      <c r="Q293" s="3">
        <f>360+(181.8-30)+(-0.1836+(-0.092718--0.0153))+0-0-0</f>
        <v>511.53898200000003</v>
      </c>
      <c r="R293" s="3">
        <f>290+(220.3-27)+(-0.4437+(-0.337059--0.04131))+0-0-0</f>
        <v>482.56055100000003</v>
      </c>
      <c r="S293" s="3">
        <f>290+(203.2-25)+(-0.2958+(-0.207264--0.0255))+0-0-0</f>
        <v>467.72243600000002</v>
      </c>
      <c r="T293" s="3">
        <f>291+(186.4-25)+(0.29682+(0.190128-0.0255))+0-0-0</f>
        <v>452.861448</v>
      </c>
      <c r="U293" s="3">
        <f>291+(185.9-25)+(0+(0-0))+0-0-0</f>
        <v>451.9</v>
      </c>
      <c r="V293" s="3">
        <f>295+(218.9-28)+(-0.9027+(-0.669834--0.08568))+0-0-0</f>
        <v>484.41314599999998</v>
      </c>
      <c r="W293" s="3">
        <f>364+(216.7-31)+(-0.18564+(-0.110517--0.01581))+0-0-0</f>
        <v>549.41965300000004</v>
      </c>
      <c r="X293" s="3">
        <f>380+(198.7-32)+(-0.5814+(-0.304011--0.04896))+0-0-0</f>
        <v>545.86354900000003</v>
      </c>
      <c r="Y293" s="3">
        <f>362+(205.9-30)+(0+(0-0))+0-0-0</f>
        <v>537.9</v>
      </c>
      <c r="Z293" s="3">
        <f>296+(249.9-29)+(-0.60384+(-0.509796--0.05916))+0-0-0</f>
        <v>515.84552399999995</v>
      </c>
      <c r="AA293" s="3">
        <f>296+(229.5-28)+(-0.15096+(-0.117045--0.01428))+0-0-0</f>
        <v>497.24627500000003</v>
      </c>
      <c r="AB293" s="3">
        <f>296+(192.6-25)+(-0.15096+(-0.098226--0.01275))+0-0-0</f>
        <v>463.363564</v>
      </c>
      <c r="AC293" s="3">
        <f>296+(163.4-24)+(-0.45288+(-0.250002--0.03672))+0-0-0</f>
        <v>434.73383799999999</v>
      </c>
      <c r="AD293">
        <f t="shared" si="4"/>
        <v>11148.190085999999</v>
      </c>
      <c r="AE293" s="3">
        <f>378+(196.4-33)+(0+(0-0))+0-0-0</f>
        <v>541.4</v>
      </c>
    </row>
    <row r="294" spans="1:31" s="2" customFormat="1" x14ac:dyDescent="0.25">
      <c r="A294">
        <v>89</v>
      </c>
      <c r="B294">
        <v>10</v>
      </c>
      <c r="C294">
        <v>18</v>
      </c>
      <c r="D294">
        <v>1</v>
      </c>
      <c r="E294">
        <v>1</v>
      </c>
      <c r="F294" s="3">
        <f>296+(142.1-23)+(-0.7548+(-0.362355--0.05865))+0-0-0</f>
        <v>414.041495</v>
      </c>
      <c r="G294" s="3">
        <f>296+(129-22)+(-0.30192+(-0.13158--0.02244))+0-0-0</f>
        <v>402.58893999999998</v>
      </c>
      <c r="H294" s="3">
        <f>296+(125.3-22)+(-0.7548+(-0.319515--0.0561))+0-0-0</f>
        <v>398.28178500000001</v>
      </c>
      <c r="I294" s="3">
        <f>296+(125.1-22)+(-0.30192+(-0.127602--0.02244))+0-0-0</f>
        <v>398.69291800000002</v>
      </c>
      <c r="J294" s="3">
        <f>296+(136.2-24)+(-0.15096+(-0.069462--0.01224))+0-0-0</f>
        <v>407.99181799999997</v>
      </c>
      <c r="K294" s="3">
        <f>296+(190.2-27)+(-0.30192+(-0.194004--0.02754))+0-0-0</f>
        <v>458.73161599999997</v>
      </c>
      <c r="L294" s="3">
        <f>318+(207.8-31)+(-0.16218+(-0.105978--0.01581))+0-0-0</f>
        <v>494.54765200000003</v>
      </c>
      <c r="M294" s="3">
        <f>319+(187.5-30)+(0.16269+(0.095625-0.0153))+0-0-0</f>
        <v>476.74301500000001</v>
      </c>
      <c r="N294" s="3">
        <f>379+(149-28)+(0+(0-0))+0-0-0</f>
        <v>500</v>
      </c>
      <c r="O294" s="3">
        <f>377+(136.7-28)+(-0.19227+(-0.069717--0.01428))+0-0-0</f>
        <v>485.452293</v>
      </c>
      <c r="P294" s="3">
        <f>376+(126.6-27)+(-0.38352+(-0.129132--0.02754))+0-0-0</f>
        <v>475.11488800000001</v>
      </c>
      <c r="Q294" s="3">
        <f>375+(113-27)+(-0.19125+(-0.05763--0.01377))+0-0-0</f>
        <v>460.76488999999998</v>
      </c>
      <c r="R294" s="3">
        <f>373+(109.4-26)+(-0.19023+(-0.055794--0.01326))+0-0-0</f>
        <v>456.167236</v>
      </c>
      <c r="S294" s="3">
        <f>373+(101.6-26)+(-0.38046+(-0.103632--0.02652))+0-0-0</f>
        <v>448.142428</v>
      </c>
      <c r="T294" s="3">
        <f>374+(103.8-26)+(-0.38148+(-0.105876--0.02652))+0-0-0</f>
        <v>451.33916400000004</v>
      </c>
      <c r="U294" s="3">
        <f>375+(116.5-26)+(0+(0-0))+0-0-0</f>
        <v>465.5</v>
      </c>
      <c r="V294" s="3">
        <f>377+(140.5-26)+(0+(0-0))+0-0-0</f>
        <v>491.5</v>
      </c>
      <c r="W294" s="3">
        <f>378+(205.5-27)+(0.38556+(0.20961-0.02754))+0-0-0</f>
        <v>557.06763000000001</v>
      </c>
      <c r="X294" s="3">
        <f>379+(202.3-30)+(-0.57987+(-0.309519--0.0459))+0-0-0</f>
        <v>550.45651099999998</v>
      </c>
      <c r="Y294" s="3">
        <f>381+(181.3-30)+(-0.77724+(-0.369852--0.0612))+0-0-0</f>
        <v>531.21410800000001</v>
      </c>
      <c r="Z294" s="3">
        <f>383+(158.9-28)+(-0.39066+(-0.162078--0.02856))+0-0-0</f>
        <v>513.37582199999997</v>
      </c>
      <c r="AA294" s="3">
        <f>384+(132.1-26)+(-0.39168+(-0.134742--0.02652))+0-0-0</f>
        <v>489.600098</v>
      </c>
      <c r="AB294" s="3">
        <f>385+(100.2-27)+(-0.19635+(-0.051102--0.01377))+0-0-0</f>
        <v>457.966318</v>
      </c>
      <c r="AC294" s="3">
        <f>386+(73.6-32)+(-0.78744+(-0.150144--0.06528))+0-0-0</f>
        <v>426.72769600000004</v>
      </c>
      <c r="AD294">
        <f t="shared" si="4"/>
        <v>11212.008321000003</v>
      </c>
      <c r="AE294" s="3">
        <f>376+(212.4-29)+(0+(0-0))+0-0-0</f>
        <v>559.4</v>
      </c>
    </row>
    <row r="295" spans="1:31" s="2" customFormat="1" x14ac:dyDescent="0.25">
      <c r="A295">
        <v>89</v>
      </c>
      <c r="B295">
        <v>10</v>
      </c>
      <c r="C295">
        <v>19</v>
      </c>
      <c r="D295">
        <v>2</v>
      </c>
      <c r="E295">
        <v>1</v>
      </c>
      <c r="F295" s="3">
        <f>386+(53.3-32.6)+(-0.59058+(-0.081549--0.049878))+0-0-0</f>
        <v>406.07774899999998</v>
      </c>
      <c r="G295" s="3">
        <f>387+(45.4-44.8)+(-1.18422+(-0.138924--0.137088))+0-0-0</f>
        <v>386.41394400000001</v>
      </c>
      <c r="H295" s="3">
        <f>301+(96.4-21)+(0.15351+(0.049164-0.01071))+0-0-0</f>
        <v>376.59196399999996</v>
      </c>
      <c r="I295" s="3">
        <f>295+(106.8-21)+(-0.45135+(-0.163404--0.03213))+0-0-0</f>
        <v>380.217376</v>
      </c>
      <c r="J295" s="3">
        <f>295+(115.3-23)+(0.3009+(0.117606-0.02346))+0-0-0</f>
        <v>387.69504599999999</v>
      </c>
      <c r="K295" s="3">
        <f>295+(165.6-27)+(-0.3009+(-0.168912--0.02754))+0-0-0</f>
        <v>433.15772800000002</v>
      </c>
      <c r="L295" s="3">
        <f>293+(204.9-23)+(-0.59772+(-0.417996--0.04692))+0-0-0</f>
        <v>473.93120399999998</v>
      </c>
      <c r="M295" s="3">
        <f>293+(184.6-31)+(-0.44829+(-0.282438--0.04743))+0-0-0</f>
        <v>445.91670200000004</v>
      </c>
      <c r="N295" s="3">
        <f>320+(184.2-31)+(0.1632+(0.093942-0.01581))+0-0-0</f>
        <v>473.44133199999999</v>
      </c>
      <c r="O295" s="3">
        <f>375+(126.4-29)+(-0.19125+(-0.064464--0.01479))+0-0-0</f>
        <v>472.15907599999997</v>
      </c>
      <c r="P295" s="3">
        <f>373+(124.9-28)+(0+(0-0))+0-0-0</f>
        <v>469.9</v>
      </c>
      <c r="Q295" s="3">
        <f>371+(125.4-28)+(0+(0-0))+0-0-0</f>
        <v>468.4</v>
      </c>
      <c r="R295" s="3">
        <f>370+(126.6-28)+(-0.7548+(-0.258264--0.05712))+0-0-0</f>
        <v>467.64405600000003</v>
      </c>
      <c r="S295" s="3">
        <f>369+(114.3-29)+(-0.37638+(-0.116586--0.02958))+0-0-0</f>
        <v>453.836614</v>
      </c>
      <c r="T295" s="3">
        <f>370+(110.3-29)+(-0.7548+(-0.225012--0.05916))+0-0-0</f>
        <v>450.37934799999999</v>
      </c>
      <c r="U295" s="3">
        <f>370+(114.7-28)+(0+(0-0))+0-0-0</f>
        <v>456.7</v>
      </c>
      <c r="V295" s="3">
        <f>379+(141-30)+(0+(0-0))+0-0-0</f>
        <v>490</v>
      </c>
      <c r="W295" s="3">
        <f>380+(203.9-32)+(0+(0-0))+0-0-0</f>
        <v>551.9</v>
      </c>
      <c r="X295" s="3">
        <f>380+(209.9-34)+(-0.5814+(-0.321147--0.05202))+0-0-0</f>
        <v>555.04947299999992</v>
      </c>
      <c r="Y295" s="3">
        <f>382+(196.2-32)+(-0.58446+(-0.300186--0.04896))+0-0-0</f>
        <v>545.36431400000004</v>
      </c>
      <c r="Z295" s="3">
        <f>384+(169-31)+(-0.39168+(-0.17238--0.03162))+0-0-0</f>
        <v>521.46756000000005</v>
      </c>
      <c r="AA295" s="3">
        <f>322+(198.4-29)+(-0.32844+(-0.202368--0.02958))+0-0-0</f>
        <v>490.89877199999995</v>
      </c>
      <c r="AB295" s="3">
        <f>296+(198.4-28)+(-0.60384+(-0.404736--0.05712))+0-0-0</f>
        <v>465.44854399999997</v>
      </c>
      <c r="AC295" s="3">
        <f>296+(170.7-26)+(-0.15096+(-0.087057--0.01326))+0-0-0</f>
        <v>440.47524299999998</v>
      </c>
      <c r="AD295">
        <f t="shared" si="4"/>
        <v>11063.066045000001</v>
      </c>
      <c r="AE295" s="3">
        <f>379+(213.6-34)+(0+(0-0))+0-0-0</f>
        <v>558.6</v>
      </c>
    </row>
    <row r="296" spans="1:31" s="2" customFormat="1" x14ac:dyDescent="0.25">
      <c r="A296">
        <v>89</v>
      </c>
      <c r="B296">
        <v>10</v>
      </c>
      <c r="C296">
        <v>20</v>
      </c>
      <c r="D296">
        <v>3</v>
      </c>
      <c r="E296">
        <v>1</v>
      </c>
      <c r="F296" s="3">
        <f>294+(139.5-23)+(-0.44982+(-0.213435--0.03519))+0-0-0</f>
        <v>409.87193500000001</v>
      </c>
      <c r="G296" s="3">
        <f>294+(124.1-22)+(-0.44982+(-0.189873--0.03366))+0-0-0</f>
        <v>395.493967</v>
      </c>
      <c r="H296" s="3">
        <f>294+(117-21)+(0.44982+(0.17901-0.03213))+0-0-0</f>
        <v>390.5967</v>
      </c>
      <c r="I296" s="3">
        <f>294+(115.1-21)+(-0.29988+(-0.117402--0.02142))+0-0-0</f>
        <v>387.704138</v>
      </c>
      <c r="J296" s="3">
        <f>294+(125.6-24)+(-0.29988+(-0.128112--0.02448))+0-0-0</f>
        <v>395.19648800000004</v>
      </c>
      <c r="K296" s="3">
        <f>294+(172.1-28)+(0+(0-0))+0-0-0</f>
        <v>438.1</v>
      </c>
      <c r="L296" s="3">
        <f>292+(218.9-30)+(-0.14892+(-0.111639--0.0153))+0-0-0</f>
        <v>480.654741</v>
      </c>
      <c r="M296" s="3">
        <f>292+(222.2-32)+(0.29784+(0.226644-0.03264))+0-0-0</f>
        <v>482.691844</v>
      </c>
      <c r="N296" s="3">
        <f>334+(180.5-31)+(0+(0-0))+0-0-0</f>
        <v>483.5</v>
      </c>
      <c r="O296" s="3">
        <f>374+(128.4-30)+(0+(0-0))+0-0-0</f>
        <v>472.4</v>
      </c>
      <c r="P296" s="3">
        <f>407+(92.7-24)+(-0.41514+(-0.094554--0.02448))+0-0-0</f>
        <v>475.214786</v>
      </c>
      <c r="Q296" s="3">
        <f>409+(81.3-22)+(-0.20859+(-0.041463--0.01122))+0-0-0</f>
        <v>468.06116700000001</v>
      </c>
      <c r="R296" s="3">
        <f>411+(86.3-24)+(-1.46727+(-0.308091--0.08568))+0-0-0</f>
        <v>471.610319</v>
      </c>
      <c r="S296" s="3">
        <f>411+(76.3-26)+(-0.20961+(-0.038913--0.01326))+0-0-0</f>
        <v>461.06473700000004</v>
      </c>
      <c r="T296" s="3">
        <f>411+(59-26)+(0+(0-0))+0-0-0</f>
        <v>444</v>
      </c>
      <c r="U296" s="3">
        <f>411+(56.2-25)+(0+(0-0))+0-0-0</f>
        <v>442.2</v>
      </c>
      <c r="V296" s="3">
        <f>416+(91-23)+(-1.0608+(-0.23205--0.05865))+0-0-0</f>
        <v>482.76580000000001</v>
      </c>
      <c r="W296" s="3">
        <f>417+(155.2-30)+(0+(0-0))+0-0-0</f>
        <v>542.20000000000005</v>
      </c>
      <c r="X296" s="3">
        <f>417+(155.5-32)+(-0.85068+(-0.31722--0.06528))+0-0-0</f>
        <v>539.39738</v>
      </c>
      <c r="Y296" s="3">
        <f>418+(142.3-32)+(-0.63954+(-0.217719--0.04896))+0-0-0</f>
        <v>527.49170099999992</v>
      </c>
      <c r="Z296" s="3">
        <f>419+(119.1-30)+(-0.21369+(-0.060741--0.0153))+0-0-0</f>
        <v>507.840869</v>
      </c>
      <c r="AA296" s="3">
        <f>341+(169.8-28)+(0.34782+(0.173196-0.02856))+0-0-0</f>
        <v>483.29245600000002</v>
      </c>
      <c r="AB296" s="3">
        <f>333+(153.2-27)+(-0.33966+(-0.156264--0.02754))+0-0-0</f>
        <v>458.73161599999997</v>
      </c>
      <c r="AC296" s="3">
        <f>315+(147.8-24)+(-0.3213+(-0.150756--0.02448))+0-0-0</f>
        <v>438.35242399999998</v>
      </c>
      <c r="AD296">
        <f t="shared" si="4"/>
        <v>11078.433067999997</v>
      </c>
      <c r="AE296" s="3">
        <f>418+(163-32)+(0+(0-0))+0-0-0</f>
        <v>549</v>
      </c>
    </row>
    <row r="297" spans="1:31" s="2" customFormat="1" x14ac:dyDescent="0.25">
      <c r="A297">
        <v>89</v>
      </c>
      <c r="B297">
        <v>10</v>
      </c>
      <c r="C297">
        <v>21</v>
      </c>
      <c r="D297">
        <v>4</v>
      </c>
      <c r="E297">
        <v>1</v>
      </c>
      <c r="F297" s="3">
        <f>295+(140.7-24)+(-0.3009+(-0.143514--0.02448))+0-0-0</f>
        <v>411.28006599999998</v>
      </c>
      <c r="G297" s="3">
        <f>295+(121.7-23)+(-0.3009+(-0.124134--0.02346))+0-0-0</f>
        <v>393.29842600000001</v>
      </c>
      <c r="H297" s="3">
        <f>295+(112.2-22)+(0.15045+(0.057222-0.01122))+0-0-0</f>
        <v>385.39645200000001</v>
      </c>
      <c r="I297" s="3">
        <f>295+(109.6-22)+(0.15045+(0.055896-0.01122))+0-0-0</f>
        <v>382.79512600000004</v>
      </c>
      <c r="J297" s="3">
        <f>295+(124.9-25)+(0.3009+(0.127398-0.0255))+0-0-0</f>
        <v>395.302798</v>
      </c>
      <c r="K297" s="3">
        <f>295+(188.1-28)+(-0.15045+(-0.095931--0.01428))+0-0-0</f>
        <v>454.86789900000002</v>
      </c>
      <c r="L297" s="3">
        <f>295+(225.5-31)+(-0.9027+(-0.69003--0.09486))+0-0-0</f>
        <v>488.00213000000002</v>
      </c>
      <c r="M297" s="3">
        <f>295+(231.1-32)+(0+(0-0))+0-0-0</f>
        <v>494.1</v>
      </c>
      <c r="N297" s="3">
        <f>320+(195.6-32)+(-0.3264+(-0.199512--0.03264))+0-0-0</f>
        <v>483.10672800000003</v>
      </c>
      <c r="O297" s="3">
        <f>428+(92.6-29)+(-0.21828+(-0.047226--0.01479))+0-0-0</f>
        <v>491.34928400000001</v>
      </c>
      <c r="P297" s="3">
        <f>451+(57.5-31)+(0.23001+(0.029325-0.01581))+0-0-0</f>
        <v>477.74352499999998</v>
      </c>
      <c r="Q297" s="3">
        <f>452+(56.8-27)+(-0.69156+(-0.086904--0.04131))+0-0-0</f>
        <v>481.06284600000004</v>
      </c>
      <c r="R297" s="3">
        <f>442+(65.8-26)+(-1.1271+(-0.16779--0.0663))+0-0-0</f>
        <v>480.57141000000001</v>
      </c>
      <c r="S297" s="3">
        <f>442+(50.8-26)+(0+(0-0))+0-0-0</f>
        <v>466.8</v>
      </c>
      <c r="T297" s="3">
        <f>426+(57.3-27)+(0.21726+(0.029223-0.01377))+0-0-0</f>
        <v>456.532713</v>
      </c>
      <c r="U297" s="3">
        <f>423+(72.6-28)+(0+(0-0))+0-0-0</f>
        <v>467.6</v>
      </c>
      <c r="V297" s="3">
        <f>369+(158-29)+(-0.18819+(-0.08058--0.01479))+0-0-0</f>
        <v>497.74601999999999</v>
      </c>
      <c r="W297" s="3">
        <f>369+(199.3-31)+(0.18819+(0.101643-0.01581))+0-0-0</f>
        <v>537.57402300000001</v>
      </c>
      <c r="X297" s="3">
        <f>391+(198.8-32)+(-0.59823+(-0.304164--0.04896))+0-0-0</f>
        <v>556.94656599999996</v>
      </c>
      <c r="Y297" s="3">
        <f>381+(179.7-32)+(-0.77724+(-0.366588--0.06528))+0-0-0</f>
        <v>527.62145200000009</v>
      </c>
      <c r="Z297" s="3">
        <f>371+(165.4-32)+(-0.75684+(-0.337416--0.06528))+0-0-0</f>
        <v>503.37102399999998</v>
      </c>
      <c r="AA297" s="3">
        <f>363+(157.7-30)+(-0.74052+(-0.321708--0.0612))+0-0-0</f>
        <v>489.69897199999997</v>
      </c>
      <c r="AB297" s="3">
        <f>334+(153.1-26)+(-0.51102+(-0.234243--0.03978))+0-0-0</f>
        <v>460.39451700000001</v>
      </c>
      <c r="AC297" s="3">
        <f>293+(159.8-24)+(-1.04601+(-0.570486--0.08568))+0-0-0</f>
        <v>427.269184</v>
      </c>
      <c r="AD297">
        <f t="shared" si="4"/>
        <v>11210.431161</v>
      </c>
      <c r="AE297" s="3">
        <f>371+(206.6-32)+(0+(0-0))+0-0-0</f>
        <v>545.6</v>
      </c>
    </row>
    <row r="298" spans="1:31" s="2" customFormat="1" x14ac:dyDescent="0.25">
      <c r="A298">
        <v>89</v>
      </c>
      <c r="B298">
        <v>10</v>
      </c>
      <c r="C298">
        <v>22</v>
      </c>
      <c r="D298">
        <v>5</v>
      </c>
      <c r="E298">
        <v>1</v>
      </c>
      <c r="F298" s="3">
        <f>295+(145.1-23)+(0.3009+(0.148002-0.02346))+0-0-0</f>
        <v>417.525442</v>
      </c>
      <c r="G298" s="3">
        <f>295+(127.2-22)+(0+(0-0))+0-0-0</f>
        <v>400.2</v>
      </c>
      <c r="H298" s="3">
        <f>295+(107.8-22)+(0+(0-0))+0-0-0</f>
        <v>380.8</v>
      </c>
      <c r="I298" s="3">
        <f>296+(116.3-23)+(0+(0-0))+0-0-0</f>
        <v>389.3</v>
      </c>
      <c r="J298" s="3">
        <f>296+(112.5-26)+(0.7548+(0.286875-0.0663))+0-0-0</f>
        <v>383.47537499999999</v>
      </c>
      <c r="K298" s="3">
        <f>296+(162.5-30)+(0+(0-0))+0-0-0</f>
        <v>428.5</v>
      </c>
      <c r="L298" s="3">
        <f>294+(213-31)+(-0.14994+(-0.10863--0.01581))+0-0-0</f>
        <v>475.75724000000002</v>
      </c>
      <c r="M298" s="3">
        <f>294+(199.7-29)+(0.14994+(0.101847-0.01479))+0-0-0</f>
        <v>464.93699699999996</v>
      </c>
      <c r="N298" s="3">
        <f>336+(180.3-28)+(0.68544+(0.367812-0.05712))+0-0-0</f>
        <v>489.296132</v>
      </c>
      <c r="O298" s="3">
        <f>375+(136-26)+(0.3825+(0.13872-0.02652))+0-0-0</f>
        <v>485.49470000000002</v>
      </c>
      <c r="P298" s="3">
        <f>374+(127.3-25)+(0.76296+(0.259692-0.051))+0-0-0</f>
        <v>477.27165200000002</v>
      </c>
      <c r="Q298" s="3">
        <f>373+(116-25)+(0+(0-0))+0-0-0</f>
        <v>464</v>
      </c>
      <c r="R298" s="3">
        <f>371+(120.6-23)+(-0.56763+(-0.184518--0.03519))+0-0-0</f>
        <v>467.88304200000005</v>
      </c>
      <c r="S298" s="3">
        <f>371+(117.7-31)+(-0.75684+(-0.240108--0.06324))+0-0-0</f>
        <v>456.76629199999996</v>
      </c>
      <c r="T298" s="3">
        <f>371+(102.6-34)+(0+(0-0))+0-0-0</f>
        <v>439.6</v>
      </c>
      <c r="U298" s="3">
        <f>372+(106.5-30)+(-0.37944+(-0.10863--0.0306))+0-0-0</f>
        <v>448.04253</v>
      </c>
      <c r="V298" s="3">
        <f>372+(149-24)+(-1.13832+(-0.45594--0.07344))+0-0-0</f>
        <v>495.47917999999999</v>
      </c>
      <c r="W298" s="3">
        <f>340+(202.8-49)+(-0.1734+(-0.103428--0.02499))+0-0-0</f>
        <v>493.54816199999999</v>
      </c>
      <c r="X298" s="3">
        <f>379+(188.8-55)+(-0.57987+(-0.288864--0.08415))+0-0-0</f>
        <v>512.01541599999996</v>
      </c>
      <c r="Y298" s="3">
        <f>379+(176.4-57)+(-0.38658+(-0.179928--0.05814))+0-0-0</f>
        <v>497.89163199999996</v>
      </c>
      <c r="Z298" s="3">
        <f>379+(181.6-29)+(-0.19329+(-0.092616--0.01479))+0-0-0</f>
        <v>531.32888400000002</v>
      </c>
      <c r="AA298" s="3">
        <f>381+(152.7-27)+(-0.19431+(-0.077877--0.01377))+0-0-0</f>
        <v>506.44158299999998</v>
      </c>
      <c r="AB298" s="3">
        <f>302+(173.6-26)+(-0.15402+(-0.088536--0.01326))+0-0-0</f>
        <v>449.37070400000005</v>
      </c>
      <c r="AC298" s="3">
        <f>295+(149.3-24)+(-0.3009+(-0.152286--0.02448))+0-0-0</f>
        <v>419.87129400000003</v>
      </c>
      <c r="AD298">
        <f t="shared" si="4"/>
        <v>10974.796257000004</v>
      </c>
      <c r="AE298" s="3">
        <f>379+(212.6-33)+(0+(0-0))+0-0-0</f>
        <v>558.6</v>
      </c>
    </row>
    <row r="299" spans="1:31" s="2" customFormat="1" x14ac:dyDescent="0.25">
      <c r="A299">
        <v>89</v>
      </c>
      <c r="B299">
        <v>10</v>
      </c>
      <c r="C299">
        <v>23</v>
      </c>
      <c r="D299">
        <v>6</v>
      </c>
      <c r="E299">
        <v>1</v>
      </c>
      <c r="F299" s="3">
        <f>295+(138.7-22)+(-0.45135+(-0.212211--0.03366))+0-0-0</f>
        <v>411.07009899999997</v>
      </c>
      <c r="G299" s="3">
        <f>295+(134.4-22)+(0+(0-0))+0-0-0</f>
        <v>407.4</v>
      </c>
      <c r="H299" s="3">
        <f>295+(123.6-22)+(0.15045+(0.063036-0.01122))+0-0-0</f>
        <v>396.80226600000003</v>
      </c>
      <c r="I299" s="3">
        <f>295+(124.7-24)+(0.15045+(0.063597-0.01224))+0-0-0</f>
        <v>395.90180699999996</v>
      </c>
      <c r="J299" s="3">
        <f>295+(136.9-27)+(0.3009+(0.139638-0.02754))+0-0-0</f>
        <v>405.31299799999999</v>
      </c>
      <c r="K299" s="3">
        <f>295+(177.6-29)+(0.3009+(0.181152-0.02958))+0-0-0</f>
        <v>444.05247200000002</v>
      </c>
      <c r="L299" s="3">
        <f>293+(228.4-31)+(0+(0-0))+0-0-0</f>
        <v>490.4</v>
      </c>
      <c r="M299" s="3">
        <f>330+(169.4-30)+(-0.1683+(-0.086394--0.0153))+0-0-0</f>
        <v>469.16060599999997</v>
      </c>
      <c r="N299" s="3">
        <f>363+(158.1-30)+(-0.37026+(-0.161262--0.0306))+0-0-0</f>
        <v>490.59907800000002</v>
      </c>
      <c r="O299" s="3">
        <f>362+(163.6-27)+(0.18462+(0.083436-0.01377))+0-0-0</f>
        <v>498.854286</v>
      </c>
      <c r="P299" s="3">
        <f>362+(158.2-27)+(0.36924+(0.161364-0.02754))+0-0-0</f>
        <v>493.70306399999998</v>
      </c>
      <c r="Q299" s="3">
        <f>362+(161.2-27)+(-0.18462+(-0.082212--0.01377))+0-0-0</f>
        <v>495.94693799999999</v>
      </c>
      <c r="R299" s="3">
        <f>362+(155.2-24)+(-0.18462+(-0.079152--0.01224))+0-0-0</f>
        <v>492.94846799999999</v>
      </c>
      <c r="S299" s="3">
        <f>362+(141.8-23)+(0+(0-0))+0-0-0</f>
        <v>480.8</v>
      </c>
      <c r="T299" s="3">
        <f>362+(135.2-23)+(-0.73848+(-0.275808--0.04692))+0-0-0</f>
        <v>473.23263199999997</v>
      </c>
      <c r="U299" s="3">
        <f>334+(192.4-23)+(0+(0-0))+0-0-0</f>
        <v>503.4</v>
      </c>
      <c r="V299" s="3">
        <f>302+(230.3-25)+(-0.15402+(-0.117453--0.01275))+0-0-0</f>
        <v>507.04127700000004</v>
      </c>
      <c r="W299" s="3">
        <f>371+(256.2-28)+(0+(0-0))+0-0-0</f>
        <v>599.20000000000005</v>
      </c>
      <c r="X299" s="3">
        <f>379+(216.6-31)+(-0.38658+(-0.220932--0.03162))+0-0-0</f>
        <v>564.02410800000007</v>
      </c>
      <c r="Y299" s="3">
        <f>379+(194.3-30)+(-0.38658+(-0.198186--0.0306))+0-0-0</f>
        <v>542.74583399999995</v>
      </c>
      <c r="Z299" s="3">
        <f>380+(167.5-29)+(-0.3876+(-0.17085--0.02958))+0-0-0</f>
        <v>517.97113000000002</v>
      </c>
      <c r="AA299" s="3">
        <f>380+(139-27)+(0.3876+(0.14178-0.02754))+0-0-0</f>
        <v>492.50184000000002</v>
      </c>
      <c r="AB299" s="3">
        <f>381+(113.4-26)+(-0.38862+(-0.115668--0.02652))+0-0-0</f>
        <v>467.92223199999995</v>
      </c>
      <c r="AC299" s="3">
        <f>382+(84.5-24)+(-0.58446+(-0.129285--0.03672))+0-0-0</f>
        <v>441.82297499999999</v>
      </c>
      <c r="AD299">
        <f t="shared" si="4"/>
        <v>11482.814109999999</v>
      </c>
      <c r="AE299" s="3">
        <f>378+(221.9-32)+(0+(0-0))+0-0-0</f>
        <v>567.9</v>
      </c>
    </row>
    <row r="300" spans="1:31" s="2" customFormat="1" x14ac:dyDescent="0.25">
      <c r="A300">
        <v>89</v>
      </c>
      <c r="B300">
        <v>10</v>
      </c>
      <c r="C300">
        <v>24</v>
      </c>
      <c r="D300">
        <v>7</v>
      </c>
      <c r="E300">
        <v>1</v>
      </c>
      <c r="F300" s="3">
        <f>381+(66.4-35.1)+(0+(0-0))+0-0-0</f>
        <v>412.3</v>
      </c>
      <c r="G300" s="3">
        <f>384+(54.9-39.8)+(-0.58752+(-0.083997--0.060894))+0-0-0</f>
        <v>398.48937700000005</v>
      </c>
      <c r="H300" s="3">
        <f>304+(108.4-22)+(-0.15504+(-0.055284--0.01122))+0-0-0</f>
        <v>390.200896</v>
      </c>
      <c r="I300" s="3">
        <f>293+(116.4-24)+(0.14943+(0.059364-0.01224))+0-0-0</f>
        <v>385.59655399999997</v>
      </c>
      <c r="J300" s="3">
        <f>293+(125.9-25)+(0.14943+(0.064209-0.01275))+0-0-0</f>
        <v>394.100889</v>
      </c>
      <c r="K300" s="3">
        <f>293+(164.5-29)+(0.59772+(0.33558-0.05916))+0-0-0</f>
        <v>429.37414000000001</v>
      </c>
      <c r="L300" s="3">
        <f>320+(160.8-30)+(-0.4896+(-0.246024--0.0459))+0-0-0</f>
        <v>450.110276</v>
      </c>
      <c r="M300" s="3">
        <f>313+(164.3-29)+(-0.63852+(-0.335172--0.05916))+0-0-0</f>
        <v>447.385468</v>
      </c>
      <c r="N300" s="3">
        <f>312+(218.1-29)+(0.47736+(0.333693-0.04437))+0-0-0</f>
        <v>501.86668300000002</v>
      </c>
      <c r="O300" s="3">
        <f>352+(161.9-29)+(-0.35904+(-0.165138--0.02958))+0-0-0</f>
        <v>484.40540199999998</v>
      </c>
      <c r="P300" s="3">
        <f>378+(143.7-28)+(-0.38556+(-0.146574--0.02856))+0-0-0</f>
        <v>493.19642599999997</v>
      </c>
      <c r="Q300" s="3">
        <f>378+(155.8-27)+(-0.57834+(-0.238374--0.04131))+0-0-0</f>
        <v>506.02459600000003</v>
      </c>
      <c r="R300" s="3">
        <f>377+(157.3-25)+(-0.76908+(-0.320892--0.051))+0-0-0</f>
        <v>508.26102800000001</v>
      </c>
      <c r="S300" s="3">
        <f>329+(192.7-24)+(-0.50337+(-0.294831--0.03672))+0-0-0</f>
        <v>496.93851899999999</v>
      </c>
      <c r="T300" s="3">
        <f>292+(216.7-24)+(-0.14892+(-0.110517--0.01224))+0-0-0</f>
        <v>484.45280299999996</v>
      </c>
      <c r="U300" s="3">
        <f>292+(235.9-24)+(-0.7446+(-0.601545--0.0612))+0-0-0</f>
        <v>502.61505499999998</v>
      </c>
      <c r="V300" s="3">
        <f>298+(244.3-27)+(-0.7599+(-0.622965--0.06885))+0-0-0</f>
        <v>513.98598499999991</v>
      </c>
      <c r="W300" s="3">
        <f>325+(269.5-31)+(-0.49725+(-0.412335--0.04743))+0-0-0</f>
        <v>562.63784499999997</v>
      </c>
      <c r="X300" s="3">
        <f>384+(229.1-31)+(-0.19584+(-0.116841--0.01581))+0-0-0</f>
        <v>581.80312900000001</v>
      </c>
      <c r="Y300" s="3">
        <f>387+(206.6-31)+(-0.59211+(-0.316098--0.04743))+0-0-0</f>
        <v>561.73922200000004</v>
      </c>
      <c r="Z300" s="3">
        <f>389+(180.5-29)+(0.19839+(0.092055-0.01479))+0-0-0</f>
        <v>540.77565500000003</v>
      </c>
      <c r="AA300" s="3">
        <f>390+(149.8-28)+(-0.1989+(-0.076398--0.01428))+0-0-0</f>
        <v>511.53898200000003</v>
      </c>
      <c r="AB300" s="3">
        <f>390+(118.5-26)+(-0.5967+(-0.181305--0.03978))+0-0-0</f>
        <v>481.761775</v>
      </c>
      <c r="AC300" s="3">
        <f>392+(87.1-26)+(0.39984+(0.088842-0.02652))+0-0-0</f>
        <v>453.562162</v>
      </c>
      <c r="AD300">
        <f t="shared" si="4"/>
        <v>11493.122867000002</v>
      </c>
      <c r="AE300" s="3">
        <f>384+(230.7-33)+(0+(0-0))+0-0-0</f>
        <v>581.70000000000005</v>
      </c>
    </row>
    <row r="301" spans="1:31" s="2" customFormat="1" x14ac:dyDescent="0.25">
      <c r="A301">
        <v>89</v>
      </c>
      <c r="B301">
        <v>10</v>
      </c>
      <c r="C301">
        <v>25</v>
      </c>
      <c r="D301">
        <v>1</v>
      </c>
      <c r="E301">
        <v>1</v>
      </c>
      <c r="F301" s="3">
        <f>347+(116.1-23)+(-0.53091+(-0.177633--0.03519))+0-0-0</f>
        <v>439.426647</v>
      </c>
      <c r="G301" s="3">
        <f>294+(132.7-23)+(0+(0-0))+0-0-0</f>
        <v>403.7</v>
      </c>
      <c r="H301" s="3">
        <f>294+(116.8-22)+(-0.29988+(-0.119136--0.02244))+0-0-0</f>
        <v>388.40342400000003</v>
      </c>
      <c r="I301" s="3">
        <f>294+(110.4-22)+(0.29988+(0.112608-0.02244))+0-0-0</f>
        <v>382.79004799999996</v>
      </c>
      <c r="J301" s="3">
        <f>294+(111.2-24)+(0.29988+(0.113424-0.02448))+0-0-0</f>
        <v>381.58882399999999</v>
      </c>
      <c r="K301" s="3">
        <f>383+(98.6-28)+(-0.39066+(-0.100572--0.02856))+0-0-0</f>
        <v>453.13732800000002</v>
      </c>
      <c r="L301" s="3">
        <f>390+(125.8-31)+(-0.5967+(-0.192474--0.04743))+0-0-0</f>
        <v>484.05825600000003</v>
      </c>
      <c r="M301" s="3">
        <f>383+(150.3-31)+(-0.19533+(-0.076653--0.01581))+0-0-0</f>
        <v>502.04382700000002</v>
      </c>
      <c r="N301" s="3">
        <f>379+(156.3-30)+(0.19329+(0.079713-0.0153))+0-0-0</f>
        <v>505.557703</v>
      </c>
      <c r="O301" s="3">
        <f>379+(152.9-28)+(0.19329+(0.077979-0.01428))+0-0-0</f>
        <v>504.15698899999995</v>
      </c>
      <c r="P301" s="3">
        <f>379+(147.4-26)+(0+(0-0))+0-0-0</f>
        <v>500.4</v>
      </c>
      <c r="Q301" s="3">
        <f>379+(144.1-25)+(0+(0-0))+0-0-0</f>
        <v>498.1</v>
      </c>
      <c r="R301" s="3">
        <f>376+(150.1-25)+(-0.19176+(-0.076551--0.01275))+0-0-0</f>
        <v>500.84443900000002</v>
      </c>
      <c r="S301" s="3">
        <f>375+(141.5-25)+(0+(0-0))+0-0-0</f>
        <v>491.5</v>
      </c>
      <c r="T301" s="3">
        <f>375+(130.1-26)+(0.19125+(0.066351-0.01326))+0-0-0</f>
        <v>479.34434100000004</v>
      </c>
      <c r="U301" s="3">
        <f>366+(142.2-28)+(0.18666+(0.072522-0.01428))+0-0-0</f>
        <v>480.44490200000001</v>
      </c>
      <c r="V301" s="3">
        <f>361+(187.7-29)+(-0.18411+(-0.095727--0.01479))+0-0-0</f>
        <v>519.43495300000006</v>
      </c>
      <c r="W301" s="3">
        <f>375+(229-31)+(0.19125+(0.11679-0.01581))+0-0-0</f>
        <v>573.29223000000002</v>
      </c>
      <c r="X301" s="3">
        <f>383+(229.1-32)+(-0.78132+(-0.467364--0.06528))+0-0-0</f>
        <v>578.91659600000003</v>
      </c>
      <c r="Y301" s="3">
        <f>384+(206.8-33)+(-0.19584+(-0.105468--0.01683))+0-0-0</f>
        <v>557.51552199999992</v>
      </c>
      <c r="Z301" s="3">
        <f>387+(176-33)+(-0.98685+(-0.4488--0.08415))+0-0-0</f>
        <v>528.64850000000001</v>
      </c>
      <c r="AA301" s="3">
        <f>388+(150.3-29)+(-0.59364+(-0.229959--0.04437))+0-0-0</f>
        <v>508.52077100000002</v>
      </c>
      <c r="AB301" s="3">
        <f>388+(117.7-28)+(-0.39576+(-0.120054--0.02856))+0-0-0</f>
        <v>477.21274599999998</v>
      </c>
      <c r="AC301" s="3">
        <f>389+(91.8-28)+(-0.99195+(-0.23409--0.0714))+0-0-0</f>
        <v>451.64536000000004</v>
      </c>
      <c r="AD301">
        <f t="shared" si="4"/>
        <v>11590.683405999998</v>
      </c>
      <c r="AE301" s="3">
        <f>380+(231.7-32)+(0+(0-0))+0-0-0</f>
        <v>579.70000000000005</v>
      </c>
    </row>
    <row r="302" spans="1:31" s="2" customFormat="1" x14ac:dyDescent="0.25">
      <c r="A302">
        <v>89</v>
      </c>
      <c r="B302">
        <v>10</v>
      </c>
      <c r="C302">
        <v>26</v>
      </c>
      <c r="D302">
        <v>2</v>
      </c>
      <c r="E302">
        <v>1</v>
      </c>
      <c r="F302" s="3">
        <f>387+(68-34.6)+(-0.19737+(-0.03468--0.017646))+0-0-0</f>
        <v>420.18559599999998</v>
      </c>
      <c r="G302" s="3">
        <f>388+(60.5-36.2)+(-0.39576+(-0.06171--0.036924))+0-0-0</f>
        <v>411.87945400000001</v>
      </c>
      <c r="H302" s="3">
        <f>321+(88.6-40)+(-0.49113+(-0.135558--0.0612))+0-0-0</f>
        <v>369.03451200000001</v>
      </c>
      <c r="I302" s="3">
        <f>294+(104.6-40)+(-0.29988+(-0.106692--0.0408))+0-0-0</f>
        <v>358.23422800000003</v>
      </c>
      <c r="J302" s="3">
        <f>294+(115.4-25)+(-0.7497+(-0.29427--0.06375))+0-0-0</f>
        <v>383.41978</v>
      </c>
      <c r="K302" s="3">
        <f>294+(196-29)+(0.29988+(0.19992-0.02958))+0-0-0</f>
        <v>461.47021999999998</v>
      </c>
      <c r="L302" s="3">
        <f>292+(248.3-33)+(-0.89352+(-0.759798--0.10098))+0-0-0</f>
        <v>505.74766199999999</v>
      </c>
      <c r="M302" s="3">
        <f>292+(229.3-32)+(-0.14892+(-0.116943--0.01632))+0-0-0</f>
        <v>489.05045699999999</v>
      </c>
      <c r="N302" s="3">
        <f>290+(250.8-30)+(-0.5916+(-0.511632--0.0612))+0-0-0</f>
        <v>509.75796800000001</v>
      </c>
      <c r="O302" s="3">
        <f>296+(231.1-28)+(0+(0-0))+0-0-0</f>
        <v>499.1</v>
      </c>
      <c r="P302" s="3">
        <f>354+(157.2-26)+(-0.36108+(-0.160344--0.02652))+0-0-0</f>
        <v>484.70509599999997</v>
      </c>
      <c r="Q302" s="3">
        <f>364+(143.5-24)+(-0.37128+(-0.14637--0.02448))+0-0-0</f>
        <v>483.00682999999998</v>
      </c>
      <c r="R302" s="3">
        <f>365+(143.6-24)+(0+(0-0))+0-0-0</f>
        <v>484.6</v>
      </c>
      <c r="S302" s="3">
        <f>365+(138-26)+(-0.18615+(-0.07038--0.01326))+0-0-0</f>
        <v>476.75673</v>
      </c>
      <c r="T302" s="3">
        <f>332+(166.1-27)+(-0.33864+(-0.169422--0.02754))+0-0-0</f>
        <v>470.61947800000002</v>
      </c>
      <c r="U302" s="3">
        <f>290+(233.1-29)+(-0.2958+(-0.237762--0.02958))+0-0-0</f>
        <v>493.59601800000002</v>
      </c>
      <c r="V302" s="3">
        <f>297+(237.7-31)+(-0.60588+(-0.484908--0.06324))+0-0-0</f>
        <v>502.67245199999996</v>
      </c>
      <c r="W302" s="3">
        <f>343+(252.8-32)+(0+(0-0))+0-0-0</f>
        <v>563.79999999999995</v>
      </c>
      <c r="X302" s="3">
        <f>382+(212.5-32)+(-0.19482+(-0.108375--0.01632))+0-0-0</f>
        <v>562.21312499999999</v>
      </c>
      <c r="Y302" s="3">
        <f>383+(203.5-31)+(-0.97665+(-0.518925--0.07905))+0-0-0</f>
        <v>554.08347500000002</v>
      </c>
      <c r="Z302" s="3">
        <f>383+(174.4-30)+(-0.58599+(-0.266832--0.0459))+0-0-0</f>
        <v>526.59307799999999</v>
      </c>
      <c r="AA302" s="3">
        <f>385+(144.6-28)+(-0.7854+(-0.294984--0.05712))+0-0-0</f>
        <v>500.57673600000004</v>
      </c>
      <c r="AB302" s="3">
        <f>386+(109.6-28)+(0+(0-0))+0-0-0</f>
        <v>467.6</v>
      </c>
      <c r="AC302" s="3">
        <f>387+(89.6-26)+(-1.38159+(-0.319872--0.09282))+0-0-0</f>
        <v>448.99135800000005</v>
      </c>
      <c r="AD302">
        <f t="shared" si="4"/>
        <v>11427.694253</v>
      </c>
      <c r="AE302" s="3">
        <f>382+(215.1-32)+(0+(0-0))+0-0-0</f>
        <v>565.1</v>
      </c>
    </row>
    <row r="303" spans="1:31" s="2" customFormat="1" x14ac:dyDescent="0.25">
      <c r="A303">
        <v>89</v>
      </c>
      <c r="B303">
        <v>10</v>
      </c>
      <c r="C303">
        <v>27</v>
      </c>
      <c r="D303">
        <v>3</v>
      </c>
      <c r="E303">
        <v>1</v>
      </c>
      <c r="F303" s="3">
        <f>386+(69.6-41.4)+(-0.39372+(-0.070992--0.042228))+0-0-0</f>
        <v>413.77751599999999</v>
      </c>
      <c r="G303" s="3">
        <f>387+(62-39.7)+(-0.98685+(-0.1581--0.101235))+0-0-0</f>
        <v>408.25628499999999</v>
      </c>
      <c r="H303" s="3">
        <f>386+(59.2-52.5)+(0.39372+(0.060384-0.05355))+0-0-0</f>
        <v>393.10055399999999</v>
      </c>
      <c r="I303" s="3">
        <f>387+(53.9-54.7)+(0+(0-0))+0-0-0</f>
        <v>386.2</v>
      </c>
      <c r="J303" s="3">
        <f>306+(102.9-27)+(0.15606+(0.052479-0.01377))+0-0-0</f>
        <v>382.09476899999999</v>
      </c>
      <c r="K303" s="3">
        <f>296+(192.1-28)+(-0.7548+(-0.489855--0.0714))+0-0-0</f>
        <v>458.92674500000004</v>
      </c>
      <c r="L303" s="3">
        <f>338+(177.1-26)+(0+(0-0))+0-0-0</f>
        <v>489.1</v>
      </c>
      <c r="M303" s="3">
        <f>398+(133.1-29)+(-0.60894+(-0.203643--0.04437))+0-0-0</f>
        <v>501.33178700000002</v>
      </c>
      <c r="N303" s="3">
        <f>453+(69.2-34)+(-0.69309+(-0.105876--0.05202))+0-0-0</f>
        <v>487.45305400000001</v>
      </c>
      <c r="O303" s="3">
        <f>466+(54.4-37.8)+(0.23766+(0.027744-0.019278))+0-0-0</f>
        <v>482.84612600000003</v>
      </c>
      <c r="P303" s="3">
        <f>482+(49.5-42.7)+(-1.2291+(-0.126225--0.108885))+0-0-0</f>
        <v>487.55356</v>
      </c>
      <c r="Q303" s="3">
        <f>474+(50.1-40.5)+(0.24174+(0.025551-0.020655))+0-0-0</f>
        <v>483.84663600000005</v>
      </c>
      <c r="R303" s="3">
        <f>485+(40.5-36.4)+(-1.23675+(-0.103275--0.09282))+0-0-0</f>
        <v>487.85279500000001</v>
      </c>
      <c r="S303" s="3">
        <f>466+(36.2-30.6)+(0+(0-0))+0-0-0</f>
        <v>471.6</v>
      </c>
      <c r="T303" s="3">
        <f>460+(33.1-37.5)+(-0.7038+(-0.050643--0.057375))+0-0-0</f>
        <v>454.90293200000002</v>
      </c>
      <c r="U303" s="3">
        <f>460+(35.5-32.5)+(-0.4692+(-0.03621--0.03315))+0-0-0</f>
        <v>462.52773999999999</v>
      </c>
      <c r="V303" s="3">
        <f>429+(97.9-22)+(-0.21879+(-0.049929--0.01122))+0-0-0</f>
        <v>504.64250099999998</v>
      </c>
      <c r="W303" s="3">
        <f>448+(120.8-32)+(-0.22848+(-0.061608--0.01632))+0-0-0</f>
        <v>536.52623199999994</v>
      </c>
      <c r="X303" s="3">
        <f>454+(126.7-32)+(-0.69462+(-0.193851--0.04896))+0-0-0</f>
        <v>547.86048900000003</v>
      </c>
      <c r="Y303" s="3">
        <f>454+(107.4-31)+(-0.69462+(-0.164322--0.04743))+0-0-0</f>
        <v>529.58848799999998</v>
      </c>
      <c r="Z303" s="3">
        <f>454+(77.3-30)+(0+(0-0))+0-0-0</f>
        <v>501.3</v>
      </c>
      <c r="AA303" s="3">
        <f>454+(53.9-31)+(0.23154+(0.027489-0.01581))+0-0-0</f>
        <v>477.14321899999999</v>
      </c>
      <c r="AB303" s="3">
        <f>455+(36.1-41.7)+(-0.4641+(-0.036822--0.042534))+0-0-0</f>
        <v>448.94161199999996</v>
      </c>
      <c r="AC303" s="3">
        <f>451+(23.3-48.6)+(-0.46002+(-0.023766--0.049572))+0-0-0</f>
        <v>425.26578599999999</v>
      </c>
      <c r="AD303">
        <f t="shared" si="4"/>
        <v>11222.638826</v>
      </c>
      <c r="AE303" s="3">
        <f>453+(125.2-32)+(0+(0-0))+0-0-0</f>
        <v>546.20000000000005</v>
      </c>
    </row>
    <row r="304" spans="1:31" s="2" customFormat="1" x14ac:dyDescent="0.25">
      <c r="A304">
        <v>89</v>
      </c>
      <c r="B304">
        <v>10</v>
      </c>
      <c r="C304">
        <v>28</v>
      </c>
      <c r="D304">
        <v>4</v>
      </c>
      <c r="E304">
        <v>1</v>
      </c>
      <c r="F304" s="3">
        <f>451+(13.7-59.3)+(-1.38006+(-0.041922--0.181458))+0-0-0</f>
        <v>404.15947599999998</v>
      </c>
      <c r="G304" s="3">
        <f>447+(4.9-80.6)+(-0.22797+(-0.002499--0.041106))+0-0-0</f>
        <v>371.110637</v>
      </c>
      <c r="H304" s="3">
        <f>364+(26.2-24.6)+(-0.18564+(-0.013362--0.012546))+0-0-0</f>
        <v>365.413544</v>
      </c>
      <c r="I304" s="3">
        <f>364+(29.2-25.8)+(-0.55692+(-0.044676--0.039474))+0-0-0</f>
        <v>366.83787799999999</v>
      </c>
      <c r="J304" s="3">
        <f>364+(37.7-25)+(0+(0-0))+0-0-0</f>
        <v>376.7</v>
      </c>
      <c r="K304" s="3">
        <f>364+(95.3-29)+(0+(0-0))+0-0-0</f>
        <v>430.3</v>
      </c>
      <c r="L304" s="3">
        <f>364+(140.7-30)+(-0.9282+(-0.358785--0.0765))+0-0-0</f>
        <v>473.48951499999998</v>
      </c>
      <c r="M304" s="3">
        <f>364+(123.7-30)+(0.37128+(0.126174-0.0306))+0-0-0</f>
        <v>458.166854</v>
      </c>
      <c r="N304" s="3">
        <f>460+(42.1-31)+(0.2346+(0.021471-0.01581))+0-0-0</f>
        <v>471.340261</v>
      </c>
      <c r="O304" s="3">
        <f>481+(28-37)+(-0.73593+(-0.04284--0.05661))+0-0-0</f>
        <v>471.27784000000003</v>
      </c>
      <c r="P304" s="3">
        <f>487+(24.5-43)+(-0.24837+(-0.012495--0.02193))+0-0-0</f>
        <v>468.26106499999997</v>
      </c>
      <c r="Q304" s="3">
        <f>485+(23.2-39)+(-0.4947+(-0.023664--0.03978))+0-0-0</f>
        <v>468.72141599999998</v>
      </c>
      <c r="R304" s="3">
        <f>484+(27-40)+(-0.98736+(-0.05508--0.0816))+0-0-0</f>
        <v>470.03915999999998</v>
      </c>
      <c r="S304" s="3">
        <f>486+(28.6-38)+(0+(0-0))+0-0-0</f>
        <v>476.6</v>
      </c>
      <c r="T304" s="3">
        <f>485+(26.3-42)+(0+(0-0))+0-0-0</f>
        <v>469.3</v>
      </c>
      <c r="U304" s="3">
        <f>485+(26-44)+(-0.4947+(-0.02652--0.04488))+0-0-0</f>
        <v>466.52366000000001</v>
      </c>
      <c r="V304" s="3">
        <f>454+(82.7-25)+(-1.38924+(-0.253062--0.0765))+0-0-0</f>
        <v>510.13419799999997</v>
      </c>
      <c r="W304" s="3">
        <f>450+(116.9-29)+(-0.459+(-0.119238--0.02958))+0-0-0</f>
        <v>537.35134199999993</v>
      </c>
      <c r="X304" s="3">
        <f>451+(113.9-31)+(-0.69003+(-0.174267--0.04743))+0-0-0</f>
        <v>533.08313299999998</v>
      </c>
      <c r="Y304" s="3">
        <f>452+(97.6-31)+(-0.46104+(-0.099552--0.03162))+0-0-0</f>
        <v>518.07102800000007</v>
      </c>
      <c r="Z304" s="3">
        <f>453+(73.9-31)+(-0.69309+(-0.113067--0.04743))+0-0-0</f>
        <v>495.14127299999996</v>
      </c>
      <c r="AA304" s="3">
        <f>453+(55.3-32)+(-0.23103+(-0.028203--0.01632))+0-0-0</f>
        <v>476.05708700000002</v>
      </c>
      <c r="AB304" s="3">
        <f>454+(34.2-44.3)+(-0.23154+(-0.017442--0.022593))+0-0-0</f>
        <v>443.67361099999999</v>
      </c>
      <c r="AC304" s="3">
        <f>455+(20.1-57)+(-0.69615+(-0.030753--0.08721))+0-0-0</f>
        <v>417.460307</v>
      </c>
      <c r="AD304">
        <f t="shared" si="4"/>
        <v>10939.213284999998</v>
      </c>
      <c r="AE304" s="3">
        <f>451+(116.7-31)+(0+(0-0))+0-0-0</f>
        <v>536.70000000000005</v>
      </c>
    </row>
    <row r="305" spans="1:31" s="2" customFormat="1" x14ac:dyDescent="0.25">
      <c r="A305">
        <v>89</v>
      </c>
      <c r="B305">
        <v>10</v>
      </c>
      <c r="C305">
        <v>29</v>
      </c>
      <c r="D305">
        <v>5</v>
      </c>
      <c r="E305">
        <v>1</v>
      </c>
      <c r="F305" s="3">
        <f>439+(15.9-61.9)+(-1.11945+(-0.040545--0.157845))+0-0-0</f>
        <v>391.99785000000003</v>
      </c>
      <c r="G305" s="3">
        <f>368+(38.5-23)+(0.56304+(0.058905-0.03519))+0-0-0</f>
        <v>384.08675499999998</v>
      </c>
      <c r="H305" s="3">
        <f>368+(34.1-24)+(-0.56304+(-0.052173--0.03672))+0-0-0</f>
        <v>377.52150700000004</v>
      </c>
      <c r="I305" s="3">
        <f>368+(31.2-26.6)+(0.18768+(0.015912-0.013566))+0-0-0</f>
        <v>372.79002600000001</v>
      </c>
      <c r="J305" s="3">
        <f>368+(37.1-27)+(-0.9384+(-0.094605--0.06885))+0-0-0</f>
        <v>377.13584500000002</v>
      </c>
      <c r="K305" s="3">
        <f>368+(79.1-29)+(0.18768+(0.040341-0.01479))+0-0-0</f>
        <v>418.31323100000003</v>
      </c>
      <c r="L305" s="3">
        <f>374+(114.7-31)+(0.19074+(0.058497-0.01581))+0-0-0</f>
        <v>457.93342699999999</v>
      </c>
      <c r="M305" s="3">
        <f>455+(61.6-31)+(0+(0-0))+0-0-0</f>
        <v>485.6</v>
      </c>
      <c r="N305" s="3">
        <f>452+(50.6-27)+(0.69156+(0.077418-0.04131))+0-0-0</f>
        <v>476.32766800000002</v>
      </c>
      <c r="O305" s="3">
        <f>450+(53.6-27)+(0+(0-0))+0-0-0</f>
        <v>476.6</v>
      </c>
      <c r="P305" s="3">
        <f>449+(61.1-25)+(-0.91596+(-0.124644--0.051))+0-0-0</f>
        <v>484.11039600000004</v>
      </c>
      <c r="Q305" s="3">
        <f>448+(61.4-24)+(-0.22848+(-0.031314--0.01224))+0-0-0</f>
        <v>485.152446</v>
      </c>
      <c r="R305" s="3">
        <f>438+(61.9-24)+(-0.67014+(-0.094707--0.03672))+0-0-0</f>
        <v>475.17187300000001</v>
      </c>
      <c r="S305" s="3">
        <f>437+(57-23)+(-0.44574+(-0.05814--0.02346))+0-0-0</f>
        <v>470.51958000000002</v>
      </c>
      <c r="T305" s="3">
        <f>438+(53.9-23)+(0+(0-0))+0-0-0</f>
        <v>468.9</v>
      </c>
      <c r="U305" s="3">
        <f>440+(58.9-23)+(0+(0-0))+0-0-0</f>
        <v>475.9</v>
      </c>
      <c r="V305" s="3">
        <f>452+(81-26)+(0+(0-0))+0-0-0</f>
        <v>507</v>
      </c>
      <c r="W305" s="3">
        <f>452+(85-29)+(-0.92208+(-0.1734--0.05916))+0-0-0</f>
        <v>506.96368000000001</v>
      </c>
      <c r="X305" s="3">
        <f>452+(81.6-31)+(-0.46104+(-0.083232--0.03162))+0-0-0</f>
        <v>502.08734800000002</v>
      </c>
      <c r="Y305" s="3">
        <f>421+(115.1-31)+(-1.07355+(-0.293505--0.07905))+0-0-0</f>
        <v>503.81199500000002</v>
      </c>
      <c r="Z305" s="3">
        <f>389+(126.8-30)+(0+(0-0))+0-0-0</f>
        <v>485.8</v>
      </c>
      <c r="AA305" s="3">
        <f>389+(104.6-28)+(0.39678+(0.106692-0.02856))+0-0-0</f>
        <v>466.07491200000004</v>
      </c>
      <c r="AB305" s="3">
        <f>365+(101.2-27)+(0.3723+(0.103224-0.02754))+0-0-0</f>
        <v>439.64798400000001</v>
      </c>
      <c r="AC305" s="3">
        <f>350+(113.9-25)+(-0.714+(-0.232356--0.051))+0-0-0</f>
        <v>438.00464399999998</v>
      </c>
      <c r="AD305">
        <f t="shared" si="4"/>
        <v>10927.451166999999</v>
      </c>
      <c r="AE305" s="3">
        <f>451+(85-33)+(0+(0-0))+0-0-0</f>
        <v>503</v>
      </c>
    </row>
    <row r="306" spans="1:31" s="2" customFormat="1" x14ac:dyDescent="0.25">
      <c r="A306">
        <v>89</v>
      </c>
      <c r="B306">
        <v>10</v>
      </c>
      <c r="C306">
        <v>30</v>
      </c>
      <c r="D306">
        <v>6</v>
      </c>
      <c r="E306">
        <v>1</v>
      </c>
      <c r="F306" s="3">
        <f>306+(126.5-23)+(-0.31212+(-0.12903--0.02346))+0-0-0</f>
        <v>409.08231000000001</v>
      </c>
      <c r="G306" s="3">
        <f>295+(100.5-22)+(0+(0-0))+0-0-0</f>
        <v>373.5</v>
      </c>
      <c r="H306" s="3">
        <f>295+(100.9-22)+(0+(0-0))+0-0-0</f>
        <v>373.9</v>
      </c>
      <c r="I306" s="3">
        <f>331+(53-22)+(-0.16881+(-0.02703--0.01122))+0-0-0</f>
        <v>361.81538</v>
      </c>
      <c r="J306" s="3">
        <f>340+(57.1-25)+(-0.3468+(-0.058242--0.0255))+0-0-0</f>
        <v>371.72045800000001</v>
      </c>
      <c r="K306" s="3">
        <f>340+(96.8-29)+(0.6936+(0.197472-0.05916))+0-0-0</f>
        <v>408.631912</v>
      </c>
      <c r="L306" s="3">
        <f>340+(137-31)+(0.1734+(0.06987-0.01581))+0-0-0</f>
        <v>446.22746000000001</v>
      </c>
      <c r="M306" s="3">
        <f>340+(139-31)+(-0.5202+(-0.21267--0.04743))+0-0-0</f>
        <v>447.31455999999997</v>
      </c>
      <c r="N306" s="3">
        <f>359+(132.1-29)+(0+(0-0))+0-0-0</f>
        <v>462.1</v>
      </c>
      <c r="O306" s="3">
        <f>373+(122.7-27)+(0.76092+(0.250308-0.05508))+0-0-0</f>
        <v>469.65614799999997</v>
      </c>
      <c r="P306" s="3">
        <f>372+(124.6-27)+(0.18972+(0.063546-0.01377))+0-0-0</f>
        <v>469.839496</v>
      </c>
      <c r="Q306" s="3">
        <f>372+(112.3-25)+(-0.75888+(-0.229092--0.051))+0-0-0</f>
        <v>458.36302799999999</v>
      </c>
      <c r="R306" s="3">
        <f>374+(113.2-24)+(0.38148+(0.115464-0.02448))+0-0-0</f>
        <v>463.67246399999999</v>
      </c>
      <c r="S306" s="3">
        <f>374+(100-24)+(-0.38148+(-0.102--0.02448))+0-0-0</f>
        <v>449.541</v>
      </c>
      <c r="T306" s="3">
        <f>374+(86.9-25)+(-0.19074+(-0.044319--0.01275))+0-0-0</f>
        <v>435.67769099999998</v>
      </c>
      <c r="U306" s="3">
        <f>374+(104.1-27)+(-0.19074+(-0.053091--0.01377))+0-0-0</f>
        <v>450.86993900000004</v>
      </c>
      <c r="V306" s="3">
        <f>379+(111.9-29)+(0.19329+(0.057069-0.01479))+0-0-0</f>
        <v>462.13556899999998</v>
      </c>
      <c r="W306" s="3">
        <f>380+(156.3-33)+(-0.1938+(-0.079713--0.01683))+0-0-0</f>
        <v>503.043317</v>
      </c>
      <c r="X306" s="3">
        <f>380+(174.3-31)+(-0.7752+(-0.355572--0.06324))+0-0-0</f>
        <v>522.23246799999993</v>
      </c>
      <c r="Y306" s="3">
        <f>380+(153-31)+(-0.5814+(-0.23409--0.04743))+0-0-0</f>
        <v>501.23194000000001</v>
      </c>
      <c r="Z306" s="3">
        <f>381+(135.4-29)+(-0.97155+(-0.34527--0.07395))+0-0-0</f>
        <v>486.15713</v>
      </c>
      <c r="AA306" s="3">
        <f>381+(119.6-28)+(0.38862+(0.121992-0.02856))+0-0-0</f>
        <v>473.08205200000003</v>
      </c>
      <c r="AB306" s="3">
        <f>381+(95-26)+(0.58293+(0.14535-0.03978))+0-0-0</f>
        <v>450.68849999999998</v>
      </c>
      <c r="AC306" s="3">
        <f>382+(69.3-25)+(-0.58446+(-0.106029--0.03825))+0-0-0</f>
        <v>425.647761</v>
      </c>
      <c r="AD306">
        <f t="shared" si="4"/>
        <v>10676.130582999998</v>
      </c>
      <c r="AE306" s="3">
        <f>380+(227.8-33)+(0+(0-0))+0-0-0</f>
        <v>574.79999999999995</v>
      </c>
    </row>
    <row r="307" spans="1:31" s="2" customFormat="1" x14ac:dyDescent="0.25">
      <c r="A307">
        <v>89</v>
      </c>
      <c r="B307">
        <v>11</v>
      </c>
      <c r="C307">
        <v>1</v>
      </c>
      <c r="D307">
        <v>7</v>
      </c>
      <c r="E307">
        <v>1</v>
      </c>
      <c r="F307" s="3">
        <f>381+(53.1-31)+(-0.97155+(-0.135405--0.07905))+0-0-0</f>
        <v>402.07209500000005</v>
      </c>
      <c r="G307" s="3">
        <f>354+(61.9-25)+(-0.36108+(-0.063138--0.0255))+0-0-0</f>
        <v>390.501282</v>
      </c>
      <c r="H307" s="3">
        <f>295+(91-25)+(-0.9027+(-0.27846--0.0765))+0-0-0</f>
        <v>359.89533999999998</v>
      </c>
      <c r="I307" s="3">
        <f>295+(95.6-25)+(0+(0-0))+0-0-0</f>
        <v>365.6</v>
      </c>
      <c r="J307" s="3">
        <f>295+(112.4-26)+(-0.15045+(-0.057324--0.01326))+0-0-0</f>
        <v>381.20548599999995</v>
      </c>
      <c r="K307" s="3">
        <f>295+(141.9-30)+(0+(0-0))+0-0-0</f>
        <v>406.9</v>
      </c>
      <c r="L307" s="3">
        <f>295+(173.8-32)+(-1.5045+(-0.88638--0.1632))+0-0-0</f>
        <v>434.57231999999999</v>
      </c>
      <c r="M307" s="3">
        <f>295+(222.5-32)+(0.3009+(0.22695-0.03264))+0-0-0</f>
        <v>485.99520999999999</v>
      </c>
      <c r="N307" s="3">
        <f>295+(184.2-32)+(-0.75225+(-0.46971--0.0816))+0-0-0</f>
        <v>446.05964</v>
      </c>
      <c r="O307" s="3">
        <f>294+(216.3-30)+(-0.14994+(-0.110313--0.0153))+0-0-0</f>
        <v>480.055047</v>
      </c>
      <c r="P307" s="3">
        <f>290+(239.8-29)+(-0.5916+(-0.489192--0.05916))+0-0-0</f>
        <v>499.778368</v>
      </c>
      <c r="Q307" s="3">
        <f>295+(250.1-29)+(-0.45135+(-0.382653--0.04437))+0-0-0</f>
        <v>515.31036700000004</v>
      </c>
      <c r="R307" s="3">
        <f>293+(227.5-28)+(0.14943+(0.116025-0.01428))+0-0-0</f>
        <v>492.75117499999999</v>
      </c>
      <c r="S307" s="3">
        <f>293+(179.3-27)+(-0.59772+(-0.365772--0.05508))+0-0-0</f>
        <v>444.39158800000001</v>
      </c>
      <c r="T307" s="3">
        <f>293+(175.3-27)+(-0.14943+(-0.089403--0.01377))+0-0-0</f>
        <v>441.07493700000003</v>
      </c>
      <c r="U307" s="3">
        <f>293+(189.8-27)+(-0.44829+(-0.290394--0.04131))+0-0-0</f>
        <v>455.10262599999999</v>
      </c>
      <c r="V307" s="3">
        <f>298+(201.3-30)+(-0.60792+(-0.410652--0.0612))+0-0-0</f>
        <v>468.34262799999999</v>
      </c>
      <c r="W307" s="3">
        <f>347+(186.5-32)+(0.17697+(0.095115-0.01632))+0-0-0</f>
        <v>501.755765</v>
      </c>
      <c r="X307" s="3">
        <f>378+(172.6-31)+(-0.57834+(-0.264078--0.04743))+0-0-0</f>
        <v>518.80501200000003</v>
      </c>
      <c r="Y307" s="3">
        <f>378+(161.2-30)+(-0.19278+(-0.082212--0.0153))+0-0-0</f>
        <v>508.94030800000002</v>
      </c>
      <c r="Z307" s="3">
        <f>383+(139.5-28)+(-0.78132+(-0.28458--0.05712))+0-0-0</f>
        <v>493.49122</v>
      </c>
      <c r="AA307" s="3">
        <f>384+(109.3-25)+(0.58752+(0.167229-0.03825))+0-0-0</f>
        <v>469.01649900000001</v>
      </c>
      <c r="AB307" s="3">
        <f>384+(79.5-23)+(-0.78336+(-0.16218--0.04692))+0-0-0</f>
        <v>439.60138000000001</v>
      </c>
      <c r="AC307" s="3">
        <f>313+(96.6-19)+(-0.31926+(-0.098532--0.01938))+0-0-0</f>
        <v>390.20158800000002</v>
      </c>
      <c r="AD307">
        <f t="shared" si="4"/>
        <v>10791.419881</v>
      </c>
      <c r="AE307" s="3">
        <f>378+(170.4-32)+(0+(0-0))+0-0-0</f>
        <v>516.4</v>
      </c>
    </row>
    <row r="308" spans="1:31" s="2" customFormat="1" x14ac:dyDescent="0.25">
      <c r="A308">
        <v>89</v>
      </c>
      <c r="B308">
        <v>11</v>
      </c>
      <c r="C308">
        <v>2</v>
      </c>
      <c r="D308">
        <v>1</v>
      </c>
      <c r="E308">
        <v>1</v>
      </c>
      <c r="F308" s="3">
        <f>296+(112.7-12)+(-1.05672+(-0.402339--0.04284))+0-0-0</f>
        <v>395.28378099999998</v>
      </c>
      <c r="G308" s="3">
        <f>296+(67.9-5)+(-0.60384+(-0.138516--0.0102))+0-0-0</f>
        <v>358.167844</v>
      </c>
      <c r="H308" s="3">
        <f>296+(56.3-0)+(0.15096+(0.028713-0))+0-0-0</f>
        <v>352.47967299999999</v>
      </c>
      <c r="I308" s="3">
        <f>296+(60.6-1)+(0+(0-0))+0-0-0</f>
        <v>355.6</v>
      </c>
      <c r="J308" s="3">
        <f>296+(63.9-1)+(-0.45288+(-0.097767--0.00153))+0-0-0</f>
        <v>358.35088299999995</v>
      </c>
      <c r="K308" s="3">
        <f>296+(91.6-0)+(0.15096+(0.046716-0))+0-0-0</f>
        <v>387.79767600000002</v>
      </c>
      <c r="L308" s="3">
        <f>294+(165.5-0)+(0.14994+(0.084405-0))+0-0-0</f>
        <v>459.73434500000002</v>
      </c>
      <c r="M308" s="3">
        <f>323+(126.3-0)+(-0.32946+(-0.128826-0))+0-0-0</f>
        <v>448.84171400000002</v>
      </c>
      <c r="N308" s="3">
        <f>379+(87.8-0)+(-0.38658+(-0.089556-0))+0-0-0</f>
        <v>466.32386400000001</v>
      </c>
      <c r="O308" s="3">
        <f>379+(88.2-5)+(-0.19329+(-0.044982--0.00255))+0-0-0</f>
        <v>461.96427799999998</v>
      </c>
      <c r="P308" s="3">
        <f>378+(80-5)+(-0.77112+(-0.1632--0.0102))+0-0-0</f>
        <v>452.07587999999998</v>
      </c>
      <c r="Q308" s="3">
        <f>377+(74.5-3)+(-0.57681+(-0.113985--0.00459))+0-0-0</f>
        <v>447.81379500000003</v>
      </c>
      <c r="R308" s="3">
        <f>361+(115.3-0)+(-0.92055+(-0.294015-0))+0-0-0</f>
        <v>475.08543500000002</v>
      </c>
      <c r="S308" s="3">
        <f>294+(176.7-0)+(0.29988+(0.180234-0))+0-0-0</f>
        <v>471.180114</v>
      </c>
      <c r="T308" s="3">
        <f>367+(88.4-0)+(-0.18717+(-0.045084-0))+0-0-0</f>
        <v>455.16774599999997</v>
      </c>
      <c r="U308" s="3">
        <f>378+(90.8-0)+(0.19278+(0.046308-0))+0-0-0</f>
        <v>469.03908799999999</v>
      </c>
      <c r="V308" s="3">
        <f>382+(111.1-0)+(0+(0-0))+0-0-0</f>
        <v>493.1</v>
      </c>
      <c r="W308" s="3">
        <f>383+(164.3-0)+(0.58599+(0.251379-0))+0-0-0</f>
        <v>548.13736899999992</v>
      </c>
      <c r="X308" s="3">
        <f>384+(177.8-0)+(-0.58752+(-0.272034-0))+0-0-0</f>
        <v>560.94044599999995</v>
      </c>
      <c r="Y308" s="3">
        <f>384+(163.5-0)+(-0.58752+(-0.250155-0))+0-0-0</f>
        <v>546.66232500000001</v>
      </c>
      <c r="Z308" s="3">
        <f>384+(140.4-0)+(-0.78336+(-0.286416-0))+0-0-0</f>
        <v>523.33022399999993</v>
      </c>
      <c r="AA308" s="3">
        <f>385+(119.1-0)+(-0.19635+(-0.060741-0))+0-0-0</f>
        <v>503.84290900000002</v>
      </c>
      <c r="AB308" s="3">
        <f>385+(85-2)+(-0.7854+(-0.1734--0.00408))+0-0-0</f>
        <v>467.04527999999999</v>
      </c>
      <c r="AC308" s="3">
        <f>385+(63.8-8)+(-1.5708+(-0.260304--0.03264))+0-0-0</f>
        <v>439.00153599999999</v>
      </c>
      <c r="AD308">
        <f t="shared" si="4"/>
        <v>10896.966205000001</v>
      </c>
      <c r="AE308" s="3">
        <f>384+(169-30)+(0+(0-0))+0-0-0</f>
        <v>523</v>
      </c>
    </row>
    <row r="309" spans="1:31" s="2" customFormat="1" x14ac:dyDescent="0.25">
      <c r="A309">
        <v>89</v>
      </c>
      <c r="B309">
        <v>11</v>
      </c>
      <c r="C309">
        <v>3</v>
      </c>
      <c r="D309">
        <v>2</v>
      </c>
      <c r="E309">
        <v>1</v>
      </c>
      <c r="F309" s="3">
        <f>382+(46.4-40.7)+(-0.58446+(-0.070992--0.062271))+0-0-0</f>
        <v>387.10681899999997</v>
      </c>
      <c r="G309" s="3">
        <f>370+(43.5-43.7)+(-0.7548+(-0.08874--0.089148))+0-0-0</f>
        <v>369.04560800000002</v>
      </c>
      <c r="H309" s="3">
        <f>296+(74.4-30)+(-0.7548+(-0.18972--0.0765))+0-0-0</f>
        <v>339.53197999999998</v>
      </c>
      <c r="I309" s="3">
        <f>296+(76-28)+(0.15096+(0.03876-0.01428))+0-0-0</f>
        <v>344.17543999999998</v>
      </c>
      <c r="J309" s="3">
        <f>320+(69.1-25)+(0.3264+(0.070482-0.0255))+0-0-0</f>
        <v>364.47138200000001</v>
      </c>
      <c r="K309" s="3">
        <f>385+(76.8-27)+(0+(0-0))+0-0-0</f>
        <v>434.8</v>
      </c>
      <c r="L309" s="3">
        <f>383+(108.7-29)+(-0.78132+(-0.221748--0.05916))+0-0-0</f>
        <v>461.75609199999997</v>
      </c>
      <c r="M309" s="3">
        <f>382+(114.6-28)+(-0.38964+(-0.116892--0.02856))+0-0-0</f>
        <v>468.122028</v>
      </c>
      <c r="N309" s="3">
        <f>380+(114.2-27)+(0+(0-0))+0-0-0</f>
        <v>467.2</v>
      </c>
      <c r="O309" s="3">
        <f>376+(112.5-27)+(-0.19176+(-0.057375--0.01377))+0-0-0</f>
        <v>461.264635</v>
      </c>
      <c r="P309" s="3">
        <f>373+(94-26)+(-0.19023+(-0.04794--0.01326))+0-0-0</f>
        <v>440.77508999999998</v>
      </c>
      <c r="Q309" s="3">
        <f>372+(83-26)+(-0.37944+(-0.08466--0.02652))+0-0-0</f>
        <v>428.56241999999997</v>
      </c>
      <c r="R309" s="3">
        <f>374+(96.3-24)+(-0.19074+(-0.049113--0.01224))+0-0-0</f>
        <v>446.07238699999999</v>
      </c>
      <c r="S309" s="3">
        <f>374+(87.7-21)+(-0.19074+(-0.044727--0.01071))+0-0-0</f>
        <v>440.47524299999998</v>
      </c>
      <c r="T309" s="3">
        <f>337+(111.9-19)+(-0.85935+(-0.285345--0.04845))+0-0-0</f>
        <v>428.80375499999997</v>
      </c>
      <c r="U309" s="3">
        <f>293+(172.5-19)+(0.14943+(0.087975-0.00969))+0-0-0</f>
        <v>446.72771499999999</v>
      </c>
      <c r="V309" s="3">
        <f>298+(186-22)+(-0.45594+(-0.28458--0.03366))+0-0-0</f>
        <v>461.29313999999999</v>
      </c>
      <c r="W309" s="3">
        <f>330+(196.5-26)+(-0.3366+(-0.20043--0.02652))+0-0-0</f>
        <v>499.98948999999999</v>
      </c>
      <c r="X309" s="3">
        <f>383+(179.1-30)+(-0.78132+(-0.365364--0.0612))+0-0-0</f>
        <v>531.01451600000007</v>
      </c>
      <c r="Y309" s="3">
        <f>383+(165-28)+(-0.78132+(-0.3366--0.05712))+0-0-0</f>
        <v>518.93920000000003</v>
      </c>
      <c r="Z309" s="3">
        <f>384+(143.3-28)+(-0.19584+(-0.073083--0.01428))+0-0-0</f>
        <v>499.04535700000002</v>
      </c>
      <c r="AA309" s="3">
        <f>385+(114.4-27)+(-0.19635+(-0.058344--0.01377))+0-0-0</f>
        <v>472.15907599999997</v>
      </c>
      <c r="AB309" s="3">
        <f>385+(87.8-26)+(0+(0-0))+0-0-0</f>
        <v>446.8</v>
      </c>
      <c r="AC309" s="3">
        <f>387+(59.9-27)+(-0.98685+(-0.152745--0.06885))+0-0-0</f>
        <v>418.82925499999999</v>
      </c>
      <c r="AD309">
        <f t="shared" si="4"/>
        <v>10576.960628000001</v>
      </c>
      <c r="AE309" s="3">
        <f>383+(177.7-30)+(0+(0-0))+0-0-0</f>
        <v>530.70000000000005</v>
      </c>
    </row>
    <row r="310" spans="1:31" s="2" customFormat="1" x14ac:dyDescent="0.25">
      <c r="A310">
        <v>89</v>
      </c>
      <c r="B310">
        <v>11</v>
      </c>
      <c r="C310">
        <v>4</v>
      </c>
      <c r="D310">
        <v>3</v>
      </c>
      <c r="E310">
        <v>1</v>
      </c>
      <c r="F310" s="3">
        <f>383+(50-34.6)+(-0.39066+(-0.051--0.035292))+0-0-0</f>
        <v>397.99363199999999</v>
      </c>
      <c r="G310" s="3">
        <f>298+(101.9-24)+(-0.15198+(-0.051969--0.01224))+0-0-0</f>
        <v>375.70829099999997</v>
      </c>
      <c r="H310" s="3">
        <f>298+(96.7-24)+(-0.30396+(-0.098634--0.02448))+0-0-0</f>
        <v>370.32188600000001</v>
      </c>
      <c r="I310" s="3">
        <f>298+(97.2-25)+(0.30396+(0.099144-0.0255))+0-0-0</f>
        <v>370.57760400000001</v>
      </c>
      <c r="J310" s="3">
        <f>298+(108.1-25)+(0.30396+(0.110262-0.0255))+0-0-0</f>
        <v>381.488722</v>
      </c>
      <c r="K310" s="3">
        <f>298+(149-27)+(0.60792+(0.30396-0.05508))+0-0-0</f>
        <v>420.85680000000002</v>
      </c>
      <c r="L310" s="3">
        <f>353+(154.8-30)+(-0.54009+(-0.236844--0.0459))+0-0-0</f>
        <v>477.06896599999999</v>
      </c>
      <c r="M310" s="3">
        <f>398+(115.9-31)+(-1.0149+(-0.295545--0.07905))+0-0-0</f>
        <v>481.66860499999996</v>
      </c>
      <c r="N310" s="3">
        <f>417+(57-31)+(0+(0-0))+0-0-0</f>
        <v>443</v>
      </c>
      <c r="O310" s="3">
        <f>414+(53.9-28)+(0+(0-0))+0-0-0</f>
        <v>439.9</v>
      </c>
      <c r="P310" s="3">
        <f>414+(39-26)+(-0.84456+(-0.07956--0.05304))+0-0-0</f>
        <v>426.12891999999999</v>
      </c>
      <c r="Q310" s="3">
        <f>414+(38-25)+(-1.0557+(-0.0969--0.06375))+0-0-0</f>
        <v>425.91115000000002</v>
      </c>
      <c r="R310" s="3">
        <f>411+(44.8-25)+(-0.83844+(-0.091392--0.051))+0-0-0</f>
        <v>429.92116800000002</v>
      </c>
      <c r="S310" s="3">
        <f>411+(40.4-27)+(-0.20961+(-0.020604--0.01377))+0-0-0</f>
        <v>424.18355599999995</v>
      </c>
      <c r="T310" s="3">
        <f>419+(27-30.7)+(0+(0-0))+0-0-0</f>
        <v>415.3</v>
      </c>
      <c r="U310" s="3">
        <f>428+(34.7-33)+(0.65484+(0.053091-0.05049))+0-0-0</f>
        <v>430.35744099999999</v>
      </c>
      <c r="V310" s="3">
        <f>435+(46.9-31)+(0+(0-0))+0-0-0</f>
        <v>450.9</v>
      </c>
      <c r="W310" s="3">
        <f>435+(106.9-32)+(0+(0-0))+0-0-0</f>
        <v>509.9</v>
      </c>
      <c r="X310" s="3">
        <f>437+(121.6-32)+(-0.66861+(-0.186048--0.04896))+0-0-0</f>
        <v>525.79430200000002</v>
      </c>
      <c r="Y310" s="3">
        <f>437+(107.4-31)+(-0.66861+(-0.164322--0.04743))+0-0-0</f>
        <v>512.61449800000003</v>
      </c>
      <c r="Z310" s="3">
        <f>437+(83.1-29)+(-0.66861+(-0.127143--0.04437))+0-0-0</f>
        <v>490.34861700000005</v>
      </c>
      <c r="AA310" s="3">
        <f>434+(77.4-28)+(-0.22134+(-0.039474--0.01428))+0-0-0</f>
        <v>483.15346599999998</v>
      </c>
      <c r="AB310" s="3">
        <f>401+(71-27)+(-0.40902+(-0.07242--0.02754))+0-0-0</f>
        <v>444.54610000000002</v>
      </c>
      <c r="AC310" s="3">
        <f>402+(52-31.3)+(0+(0-0))+0-0-0</f>
        <v>422.7</v>
      </c>
      <c r="AD310">
        <f t="shared" si="4"/>
        <v>10550.343723999998</v>
      </c>
      <c r="AE310" s="3">
        <f>436+(125.1-33)+(0+(0-0))+0-0-0</f>
        <v>528.1</v>
      </c>
    </row>
    <row r="311" spans="1:31" s="2" customFormat="1" x14ac:dyDescent="0.25">
      <c r="A311">
        <v>89</v>
      </c>
      <c r="B311">
        <v>11</v>
      </c>
      <c r="C311">
        <v>5</v>
      </c>
      <c r="D311">
        <v>4</v>
      </c>
      <c r="E311">
        <v>5</v>
      </c>
      <c r="F311" s="3">
        <f>394+(47.9-38.1)+(-0.20094+(-0.024429--0.019431))+0-0-0</f>
        <v>403.59406200000001</v>
      </c>
      <c r="G311" s="3">
        <f>403+(39.7-46.9)+(-0.61659+(-0.060741--0.071757))+0-0-0</f>
        <v>395.19442600000002</v>
      </c>
      <c r="H311" s="3">
        <f>403+(35.6-53.2)+(0.41106+(0.036312-0.054264))+0-0-0</f>
        <v>385.79310799999996</v>
      </c>
      <c r="I311" s="3">
        <f>403+(35.9-52.1)+(-0.20553+(-0.018309--0.026571))+0-0-0</f>
        <v>386.602732</v>
      </c>
      <c r="J311" s="3">
        <f>402+(40.2-61.8)+(-0.20502+(-0.020502--0.031518))+0-0-0</f>
        <v>380.20599599999997</v>
      </c>
      <c r="K311" s="3">
        <f>404+(58-34)+(0.20604+(0.02958-0.01734))+0-0-0</f>
        <v>428.21827999999999</v>
      </c>
      <c r="L311" s="3">
        <f>395+(76.2-44)+(-1.2087+(-0.233172--0.13464))+0-0-0</f>
        <v>425.89276799999999</v>
      </c>
      <c r="M311" s="3">
        <f>344+(129.7-30)+(-0.8772+(-0.330735--0.0765))+0-0-0</f>
        <v>442.56856499999998</v>
      </c>
      <c r="N311" s="3">
        <f>310+(164.7-29)+(-0.3162+(-0.167994--0.02958))+0-0-0</f>
        <v>445.245386</v>
      </c>
      <c r="O311" s="3">
        <f>310+(163.2-29)+(-0.6324+(-0.332928--0.05916))+0-0-0</f>
        <v>443.29383200000001</v>
      </c>
      <c r="P311" s="3">
        <f>310+(155.9-28)+(-0.4743+(-0.238527--0.04284))+0-0-0</f>
        <v>437.23001299999999</v>
      </c>
      <c r="Q311" s="3">
        <f>310+(157-28)+(-0.7905+(-0.40035--0.0714))+0-0-0</f>
        <v>437.88055000000003</v>
      </c>
      <c r="R311" s="3">
        <f>304+(164.4-27)+(-0.93024+(-0.503064--0.08262))+0-0-0</f>
        <v>440.04931599999998</v>
      </c>
      <c r="S311" s="3">
        <f>366+(84.8-26)+(-0.37332+(-0.086496--0.02652))+0-0-0</f>
        <v>424.36670400000003</v>
      </c>
      <c r="T311" s="3">
        <f>385+(61.1-29)+(-0.98175+(-0.155805--0.07395))+0-0-0</f>
        <v>416.03639500000003</v>
      </c>
      <c r="U311" s="3">
        <f>386+(63.2-30)+(0.39372+(0.064464-0.0306))+0-0-0</f>
        <v>419.62758400000001</v>
      </c>
      <c r="V311" s="3">
        <f>397+(76.2-31)+(0.40494+(0.077724-0.03162))+0-0-0</f>
        <v>442.65104400000001</v>
      </c>
      <c r="W311" s="3">
        <f>398+(140.8-32)+(0+(0-0))+0-0-0</f>
        <v>506.8</v>
      </c>
      <c r="X311" s="3">
        <f>399+(158.2-32)+(-0.20349+(-0.080682--0.01632))+0-0-0</f>
        <v>524.9321480000001</v>
      </c>
      <c r="Y311" s="3">
        <f>400+(142-32)+(-0.816+(-0.28968--0.06528))+0-0-0</f>
        <v>508.95960000000002</v>
      </c>
      <c r="Z311" s="3">
        <f>401+(118.5-31)+(0+(0-0))+0-0-0</f>
        <v>488.5</v>
      </c>
      <c r="AA311" s="3">
        <f>403+(93-30)+(0+(0-0))+0-0-0</f>
        <v>466</v>
      </c>
      <c r="AB311" s="3">
        <f>404+(68.4-30)+(-1.23624+(-0.209304--0.0918))+0-0-0</f>
        <v>441.04625599999997</v>
      </c>
      <c r="AC311" s="3">
        <f>397+(55.2-44.8)+(-0.40494+(-0.056304--0.045696))+0-0-0</f>
        <v>406.98445199999998</v>
      </c>
      <c r="AD311">
        <f t="shared" si="4"/>
        <v>10497.673217</v>
      </c>
      <c r="AE311" s="3">
        <f>400+(162.1-32)+(0+(0-0))+0-0-0</f>
        <v>530.1</v>
      </c>
    </row>
    <row r="312" spans="1:31" s="2" customFormat="1" x14ac:dyDescent="0.25">
      <c r="A312">
        <v>89</v>
      </c>
      <c r="B312">
        <v>11</v>
      </c>
      <c r="C312">
        <v>6</v>
      </c>
      <c r="D312">
        <v>5</v>
      </c>
      <c r="E312">
        <v>1</v>
      </c>
      <c r="F312" s="3">
        <f>367+(74-27.8)+(-0.56151+(-0.11322--0.042534))+0-0-0</f>
        <v>412.56780399999997</v>
      </c>
      <c r="G312" s="3">
        <f>295+(97-23)+(-0.15045+(-0.04947--0.01173))+0-0-0</f>
        <v>368.81180999999998</v>
      </c>
      <c r="H312" s="3">
        <f>295+(91.9-23)+(0.15045+(0.046869-0.01173))+0-0-0</f>
        <v>364.08558899999997</v>
      </c>
      <c r="I312" s="3">
        <f>295+(91.2-23)+(0+(0-0))+0-0-0</f>
        <v>363.2</v>
      </c>
      <c r="J312" s="3">
        <f>295+(112.3-25)+(0.6018+(0.229092-0.051))+0-0-0</f>
        <v>383.07989200000003</v>
      </c>
      <c r="K312" s="3">
        <f>295+(162.8-29)+(0.15045+(0.083028-0.01479))+0-0-0</f>
        <v>429.018688</v>
      </c>
      <c r="L312" s="3">
        <f>295+(181.2-31)+(-0.3009+(-0.184824--0.03162))+0-0-0</f>
        <v>444.74589600000002</v>
      </c>
      <c r="M312" s="3">
        <f>364+(131.5-30)+(0.37128+(0.13413-0.0306))+0-0-0</f>
        <v>465.97480999999999</v>
      </c>
      <c r="N312" s="3">
        <f>425+(79.7-30)+(-0.21675+(-0.040647--0.0153))+0-0-0</f>
        <v>474.45790299999999</v>
      </c>
      <c r="O312" s="3">
        <f>417+(83.5-29)+(-0.42534+(-0.08517--0.02958))+0-0-0</f>
        <v>471.01907</v>
      </c>
      <c r="P312" s="3">
        <f>412+(69.8-30)+(0.42024+(0.071196-0.0306))+0-0-0</f>
        <v>452.26083599999998</v>
      </c>
      <c r="Q312" s="3">
        <f>411+(62.8-26)+(0.20961+(0.032028-0.01326))+0-0-0</f>
        <v>448.02837800000003</v>
      </c>
      <c r="R312" s="3">
        <f>410+(70.4-25)+(-1.0455+(-0.17952--0.06375))+0-0-0</f>
        <v>454.23872999999998</v>
      </c>
      <c r="S312" s="3">
        <f>410+(61.2-25)+(0+(0-0))+0-0-0</f>
        <v>446.2</v>
      </c>
      <c r="T312" s="3">
        <f>410+(52.2-26)+(0+(0-0))+0-0-0</f>
        <v>436.2</v>
      </c>
      <c r="U312" s="3">
        <f>410+(51.8-26)+(-0.2091+(-0.026418--0.01326))+0-0-0</f>
        <v>435.577742</v>
      </c>
      <c r="V312" s="3">
        <f>417+(65.5-29)+(-0.85068+(-0.13362--0.05916))+0-0-0</f>
        <v>452.57486</v>
      </c>
      <c r="W312" s="3">
        <f>419+(132.6-32)+(-0.85476+(-0.270504--0.06528))+0-0-0</f>
        <v>518.54001600000004</v>
      </c>
      <c r="X312" s="3">
        <f>419+(142.1-32)+(0.21369+(0.072471-0.01632))+0-0-0</f>
        <v>529.36984100000006</v>
      </c>
      <c r="Y312" s="3">
        <f>420+(128.7-32)+(0.2142+(0.065637-0.01632))+0-0-0</f>
        <v>516.96351700000002</v>
      </c>
      <c r="Z312" s="3">
        <f>421+(109-31)+(-1.07355+(-0.27795--0.07905))+0-0-0</f>
        <v>497.72755000000001</v>
      </c>
      <c r="AA312" s="3">
        <f>422+(74.4-31)+(0+(0-0))+0-0-0</f>
        <v>465.4</v>
      </c>
      <c r="AB312" s="3">
        <f>422+(50.4-36.2)+(-1.0761+(-0.12852--0.09231))+0-0-0</f>
        <v>435.08769000000001</v>
      </c>
      <c r="AC312" s="3">
        <f>423+(40.6-52.4)+(-1.29438+(-0.124236--0.160344))+0-0-0</f>
        <v>409.94172800000001</v>
      </c>
      <c r="AD312">
        <f t="shared" si="4"/>
        <v>10675.07235</v>
      </c>
      <c r="AE312" s="3">
        <f>420+(146.7-32)+(0+(0-0))+0-0-0</f>
        <v>534.70000000000005</v>
      </c>
    </row>
    <row r="313" spans="1:31" s="2" customFormat="1" x14ac:dyDescent="0.25">
      <c r="A313">
        <v>89</v>
      </c>
      <c r="B313">
        <v>11</v>
      </c>
      <c r="C313">
        <v>7</v>
      </c>
      <c r="D313">
        <v>6</v>
      </c>
      <c r="E313">
        <v>1</v>
      </c>
      <c r="F313" s="3">
        <f>421+(36.4-69.3)+(-0.64413+(-0.055692--0.106029))+0-0-0</f>
        <v>387.50620700000002</v>
      </c>
      <c r="G313" s="3">
        <f>421+(27.7-66.9)+(0.85884+(0.056508-0.136476))+0-0-0</f>
        <v>382.57887199999999</v>
      </c>
      <c r="H313" s="3">
        <f>421+(25.9-74.3)+(0.64413+(0.039627-0.113679))+0-0-0</f>
        <v>373.17007800000005</v>
      </c>
      <c r="I313" s="3">
        <f>421+(26.7-87.8)+(0.21471+(0.013617-0.044778))+0-0-0</f>
        <v>360.083549</v>
      </c>
      <c r="J313" s="3">
        <f>376+(48.6-33.9)+(0+(0-0))+0-0-0</f>
        <v>390.7</v>
      </c>
      <c r="K313" s="3">
        <f>332+(118.5-27)+(0+(0-0))+0-0-0</f>
        <v>423.5</v>
      </c>
      <c r="L313" s="3">
        <f>332+(170.6-32)+(0.33864+(0.174012-0.03264))+0-0-0</f>
        <v>471.08001200000001</v>
      </c>
      <c r="M313" s="3">
        <f>376+(134-31)+(-0.19176+(-0.06834--0.01581))+0-0-0</f>
        <v>478.75571000000002</v>
      </c>
      <c r="N313" s="3">
        <f>452+(56-30)+(-0.46104+(-0.05712--0.0306))+0-0-0</f>
        <v>477.51244000000003</v>
      </c>
      <c r="O313" s="3">
        <f>450+(51.7-30)+(-0.918+(-0.105468--0.0612))+0-0-0</f>
        <v>470.73773199999999</v>
      </c>
      <c r="P313" s="3">
        <f>476+(36.6-41.9)+(-0.24276+(-0.018666--0.021369))+0-0-0</f>
        <v>470.45994300000001</v>
      </c>
      <c r="Q313" s="3">
        <f>511+(31.5-79.1)+(0+(0-0))+0-0-0</f>
        <v>463.4</v>
      </c>
      <c r="R313" s="3">
        <f>503+(32.6-49.5)+(-1.02612+(-0.066504--0.10098))+0-0-0</f>
        <v>485.10835600000001</v>
      </c>
      <c r="S313" s="3">
        <f>497+(33.5-48.4)+(-1.77429+(-0.119595--0.172788))+0-0-0</f>
        <v>480.37890300000004</v>
      </c>
      <c r="T313" s="3">
        <f>488+(35.4-50.1)+(-1.2444+(-0.09027--0.127755))+0-0-0</f>
        <v>472.09308500000003</v>
      </c>
      <c r="U313" s="3">
        <f>488+(33.8-52.1)+(-0.49776+(-0.034476--0.053142))+0-0-0</f>
        <v>469.22090600000001</v>
      </c>
      <c r="V313" s="3">
        <f>457+(57.1-47.6)+(-0.93228+(-0.116484--0.097104))+0-0-0</f>
        <v>465.54834</v>
      </c>
      <c r="W313" s="3">
        <f>462+(92.6-52)+(0.23562+(0.047226-0.02652))+0-0-0</f>
        <v>502.85632600000002</v>
      </c>
      <c r="X313" s="3">
        <f>499+(79.4-58.2)+(-1.27245+(-0.20247--0.14841))+0-0-0</f>
        <v>518.87349000000006</v>
      </c>
      <c r="Y313" s="3">
        <f>499+(72.3-64)+(-0.76347+(-0.110619--0.09792))+0-0-0</f>
        <v>506.52383100000003</v>
      </c>
      <c r="Z313" s="3">
        <f>499+(67-81.3)+(-0.25449+(-0.03417--0.041463))+0-0-0</f>
        <v>484.45280299999996</v>
      </c>
      <c r="AA313" s="3">
        <f>498+(54.4-58.2)+(-0.50796+(-0.055488--0.059364))+0-0-0</f>
        <v>493.69591600000001</v>
      </c>
      <c r="AB313" s="3">
        <f>491+(46.8-87.8)+(-1.00164+(-0.095472--0.179112))+0-0-0</f>
        <v>449.08199999999999</v>
      </c>
      <c r="AC313" s="3">
        <f>423+(50.6-54.4)+(0+(0-0))+0-0-0</f>
        <v>419.2</v>
      </c>
      <c r="AD313">
        <f t="shared" si="4"/>
        <v>10896.518499000002</v>
      </c>
      <c r="AE313" s="3">
        <f>498+(81.2-57.1)+(0+(0-0))+0-0-0</f>
        <v>522.1</v>
      </c>
    </row>
    <row r="314" spans="1:31" s="2" customFormat="1" x14ac:dyDescent="0.25">
      <c r="A314">
        <v>89</v>
      </c>
      <c r="B314">
        <v>11</v>
      </c>
      <c r="C314">
        <v>8</v>
      </c>
      <c r="D314">
        <v>7</v>
      </c>
      <c r="E314">
        <v>1</v>
      </c>
      <c r="F314" s="3">
        <f>397+(45.2-59)+(-1.01235+(-0.11526--0.15045))+0-0-0</f>
        <v>382.22283999999996</v>
      </c>
      <c r="G314" s="3">
        <f>398+(36.5-67.3)+(-0.60894+(-0.055845--0.102969))+0-0-0</f>
        <v>366.63818399999997</v>
      </c>
      <c r="H314" s="3">
        <f>398+(33.8-69)+(-0.20298+(-0.017238--0.03519))+0-0-0</f>
        <v>362.61497200000002</v>
      </c>
      <c r="I314" s="3">
        <f>325+(62.8-22)+(-0.16575+(-0.032028--0.01122))+0-0-0</f>
        <v>365.61344200000002</v>
      </c>
      <c r="J314" s="3">
        <f>309+(84.5-25)+(0.15759+(0.043095-0.01275))+0-0-0</f>
        <v>368.68793499999998</v>
      </c>
      <c r="K314" s="3">
        <f>309+(129.8-28)+(-0.47277+(-0.198594--0.04284))+0-0-0</f>
        <v>410.17147599999998</v>
      </c>
      <c r="L314" s="3">
        <f>308+(126.2-55)+(-0.31416+(-0.128724--0.0561))+0-0-0</f>
        <v>378.81321600000001</v>
      </c>
      <c r="M314" s="3">
        <f>345+(110.4-28)+(0+(0-0))+0-0-0</f>
        <v>427.4</v>
      </c>
      <c r="N314" s="3">
        <f>409+(68.1-45)+(-0.41718+(-0.069462--0.0459))+0-0-0</f>
        <v>431.65925800000002</v>
      </c>
      <c r="O314" s="3">
        <f>412+(73.3-35)+(0.63036+(0.112149-0.05355))+0-0-0</f>
        <v>450.98895900000002</v>
      </c>
      <c r="P314" s="3">
        <f>419+(70.9-53)+(-0.64107+(-0.108477--0.08109))+0-0-0</f>
        <v>436.23154299999999</v>
      </c>
      <c r="Q314" s="3">
        <f>437+(58.6-62)+(-0.44574+(-0.059772--0.06324))+0-0-0</f>
        <v>433.15772800000002</v>
      </c>
      <c r="R314" s="3">
        <f>440+(64.2-28)+(-2.0196+(-0.294678--0.12852))+0-0-0</f>
        <v>474.01424199999997</v>
      </c>
      <c r="S314" s="3">
        <f>439+(40.2-30)+(0+(0-0))+0-0-0</f>
        <v>449.2</v>
      </c>
      <c r="T314" s="3">
        <f>439+(31.2-32)+(-0.22389+(-0.015912--0.01632))+0-0-0</f>
        <v>437.976518</v>
      </c>
      <c r="U314" s="3">
        <f>440+(32.7-29)+(-0.2244+(-0.016677--0.01479))+0-0-0</f>
        <v>443.47371299999998</v>
      </c>
      <c r="V314" s="3">
        <f>439+(53.3-30)+(-0.67167+(-0.081549--0.0459))+0-0-0</f>
        <v>461.59268100000003</v>
      </c>
      <c r="W314" s="3">
        <f>404+(110.7-31)+(-0.82416+(-0.225828--0.06324))+0-0-0</f>
        <v>482.71325200000001</v>
      </c>
      <c r="X314" s="3">
        <f>434+(104.5-29)+(-0.88536+(-0.21318--0.05916))+0-0-0</f>
        <v>508.46062000000001</v>
      </c>
      <c r="Y314" s="3">
        <f>434+(102.7-26)+(-0.66402+(-0.157131--0.03978))+0-0-0</f>
        <v>509.91862900000001</v>
      </c>
      <c r="Z314" s="3">
        <f>434+(62-30)+(-0.44268+(-0.06324--0.0306))+0-0-0</f>
        <v>465.52467999999999</v>
      </c>
      <c r="AA314" s="3">
        <f>434+(47.5-36)+(-0.22134+(-0.024225--0.01836))+0-0-0</f>
        <v>445.27279499999997</v>
      </c>
      <c r="AB314" s="3">
        <f>432+(35.2-40.1)+(-0.44064+(-0.035904--0.040902))+0-0-0</f>
        <v>426.66435800000005</v>
      </c>
      <c r="AC314" s="3">
        <f>366+(28.5-33.8)+(-1.30662+(-0.101745--0.120666))+0-0-0</f>
        <v>359.41230100000001</v>
      </c>
      <c r="AD314">
        <f t="shared" si="4"/>
        <v>10278.423342000002</v>
      </c>
      <c r="AE314" s="3">
        <f>432+(103-31)+(0+(0-0))+0-0-0</f>
        <v>504</v>
      </c>
    </row>
    <row r="315" spans="1:31" s="2" customFormat="1" x14ac:dyDescent="0.25">
      <c r="A315">
        <v>89</v>
      </c>
      <c r="B315">
        <v>11</v>
      </c>
      <c r="C315">
        <v>9</v>
      </c>
      <c r="D315">
        <v>1</v>
      </c>
      <c r="E315">
        <v>1</v>
      </c>
      <c r="F315" s="3">
        <f>332+(38.9-26.3)+(0+(0-0))+0-0-0</f>
        <v>344.6</v>
      </c>
      <c r="G315" s="3">
        <f>332+(33.7-28.7)+(-1.18524+(-0.120309--0.102459))+0-0-0</f>
        <v>335.79691000000003</v>
      </c>
      <c r="H315" s="3">
        <f>332+(29.7-33.5)+(-0.16932+(-0.015147--0.017085))+0-0-0</f>
        <v>328.03261800000001</v>
      </c>
      <c r="I315" s="3">
        <f>332+(30.3-34.1)+(-0.50796+(-0.046359--0.052173))+0-0-0</f>
        <v>327.69785400000001</v>
      </c>
      <c r="J315" s="3">
        <f>332+(38.5-30.3)+(0+(0-0))+0-0-0</f>
        <v>340.2</v>
      </c>
      <c r="K315" s="3">
        <f>332+(85-25)+(0+(0-0))+0-0-0</f>
        <v>392</v>
      </c>
      <c r="L315" s="3">
        <f>327+(124-20)+(0+(0-0))+0-0-0</f>
        <v>431</v>
      </c>
      <c r="M315" s="3">
        <f>375+(81.4-18)+(-0.95625+(-0.20757--0.0459))+0-0-0</f>
        <v>437.28207999999995</v>
      </c>
      <c r="N315" s="3">
        <f>410+(52.1-15)+(0.2091+(0.026571-0.00765))+0-0-0</f>
        <v>447.32802100000004</v>
      </c>
      <c r="O315" s="3">
        <f>408+(63.6-14)+(-0.20808+(-0.032436--0.00714))+0-0-0</f>
        <v>457.366624</v>
      </c>
      <c r="P315" s="3">
        <f>407+(57.5-14)+(-0.41514+(-0.05865--0.01428))+0-0-0</f>
        <v>450.04048999999998</v>
      </c>
      <c r="Q315" s="3">
        <f>406+(58.1-18)+(-1.0353+(-0.148155--0.0459))+0-0-0</f>
        <v>444.962445</v>
      </c>
      <c r="R315" s="3">
        <f>396+(59-20)+(0+(0-0))+0-0-0</f>
        <v>435</v>
      </c>
      <c r="S315" s="3">
        <f>397+(54.3-21)+(-0.80988+(-0.110772--0.04284))+0-0-0</f>
        <v>429.42218800000001</v>
      </c>
      <c r="T315" s="3">
        <f>396+(50.9-22)+(0.60588+(0.077877-0.03366))+0-0-0</f>
        <v>425.55009699999999</v>
      </c>
      <c r="U315" s="3">
        <f>397+(40.9-22)+(-0.60741+(-0.062577--0.03366))+0-0-0</f>
        <v>415.26367299999998</v>
      </c>
      <c r="V315" s="3">
        <f>414+(51.1-24)+(0.63342+(0.078183-0.03672))+0-0-0</f>
        <v>441.77488300000005</v>
      </c>
      <c r="W315" s="3">
        <f>415+(120.5-27)+(-0.63495+(-0.184365--0.04131))+0-0-0</f>
        <v>507.72199499999999</v>
      </c>
      <c r="X315" s="3">
        <f>416+(136.7-29)+(-1.27296+(-0.418302--0.08874))+0-0-0</f>
        <v>522.09747800000002</v>
      </c>
      <c r="Y315" s="3">
        <f>387+(158.6-30)+(-1.38159+(-0.566202--0.1071))+0-0-0</f>
        <v>513.75930800000003</v>
      </c>
      <c r="Z315" s="3">
        <f>333+(191-28)+(0.16983+(0.09741-0.01428))+0-0-0</f>
        <v>496.25295999999997</v>
      </c>
      <c r="AA315" s="3">
        <f>333+(166-26)+(-0.16983+(-0.08466--0.01326))+0-0-0</f>
        <v>472.75877000000003</v>
      </c>
      <c r="AB315" s="3">
        <f>329+(127-24)+(-0.16779+(-0.06477--0.01224))+0-0-0</f>
        <v>431.77967999999998</v>
      </c>
      <c r="AC315" s="3">
        <f>325+(85.1-23)+(-0.16575+(-0.043401--0.01173))+0-0-0</f>
        <v>386.902579</v>
      </c>
      <c r="AD315">
        <f t="shared" si="4"/>
        <v>10214.590653000001</v>
      </c>
      <c r="AE315" s="3">
        <f>415+(136.9-28)+(0+(0-0))+0-0-0</f>
        <v>523.9</v>
      </c>
    </row>
    <row r="316" spans="1:31" s="2" customFormat="1" x14ac:dyDescent="0.25">
      <c r="A316">
        <v>89</v>
      </c>
      <c r="B316">
        <v>11</v>
      </c>
      <c r="C316">
        <v>10</v>
      </c>
      <c r="D316">
        <v>2</v>
      </c>
      <c r="E316">
        <v>1</v>
      </c>
      <c r="F316" s="3">
        <f>329+(81.2-22)+(0.16779+(0.041412-0.01122))+0-0-0</f>
        <v>388.39798200000001</v>
      </c>
      <c r="G316" s="3">
        <f>329+(61.5-22)+(0+(0-0))+0-0-0</f>
        <v>368.5</v>
      </c>
      <c r="H316" s="3">
        <f>329+(49.1-22)+(-0.50337+(-0.075123--0.03366))+0-0-0</f>
        <v>355.55516700000004</v>
      </c>
      <c r="I316" s="3">
        <f>329+(51.1-24)+(-0.83895+(-0.130305--0.0612))+0-0-0</f>
        <v>355.19194500000003</v>
      </c>
      <c r="J316" s="3">
        <f>328+(59.6-27)+(0.33456+(0.060792-0.02754))+0-0-0</f>
        <v>360.96781200000004</v>
      </c>
      <c r="K316" s="3">
        <f>328+(105.5-29)+(-0.66912+(-0.21522--0.05916))+0-0-0</f>
        <v>403.67482000000001</v>
      </c>
      <c r="L316" s="3">
        <f>329+(151.1-32)+(0.67116+(0.308244-0.06528))+0-0-0</f>
        <v>449.01412400000004</v>
      </c>
      <c r="M316" s="3">
        <f>329+(160.8-32)+(0.16779+(0.082008-0.01632))+0-0-0</f>
        <v>458.033478</v>
      </c>
      <c r="N316" s="3">
        <f>328+(123.6-31)+(-0.8364+(-0.31518--0.07905))+0-0-0</f>
        <v>419.52747000000005</v>
      </c>
      <c r="O316" s="3">
        <f>328+(139-37)+(0.16728+(0.07089-0.01887))+0-0-0</f>
        <v>430.21929999999998</v>
      </c>
      <c r="P316" s="3">
        <f>327+(147.3-39)+(-0.33354+(-0.150246--0.03978))+0-0-0</f>
        <v>434.85599400000001</v>
      </c>
      <c r="Q316" s="3">
        <f>327+(145-35)+(0+(0-0))+0-0-0</f>
        <v>437</v>
      </c>
      <c r="R316" s="3">
        <f>325+(149.1-38)+(-0.49725+(-0.228123--0.05814))+0-0-0</f>
        <v>435.43276700000001</v>
      </c>
      <c r="S316" s="3">
        <f>325+(145.5-36)+(-0.3315+(-0.14841--0.03672))+0-0-0</f>
        <v>434.05680999999998</v>
      </c>
      <c r="T316" s="3">
        <f>325+(135.6-34)+(-0.3315+(-0.138312--0.03468))+0-0-0</f>
        <v>426.16486800000001</v>
      </c>
      <c r="U316" s="3">
        <f>325+(137-36)+(0.16575+(0.06987-0.01836))+0-0-0</f>
        <v>426.21726000000001</v>
      </c>
      <c r="V316" s="3">
        <f>333+(152.9-41)+(-0.33966+(-0.155958--0.04182))+0-0-0</f>
        <v>444.44620199999997</v>
      </c>
      <c r="W316" s="3">
        <f>333+(213.8-45)+(0+(0-0))+0-0-0</f>
        <v>501.8</v>
      </c>
      <c r="X316" s="3">
        <f>413+(158.3-48)+(-0.42126+(-0.161466--0.04896))+0-0-0</f>
        <v>522.76623399999994</v>
      </c>
      <c r="Y316" s="3">
        <f>418+(124.3-30)+(-0.63954+(-0.190179--0.0459))+0-0-0</f>
        <v>511.51618099999996</v>
      </c>
      <c r="Z316" s="3">
        <f>374+(143-27)+(-0.76296+(-0.29172--0.05508))+0-0-0</f>
        <v>489.00040000000001</v>
      </c>
      <c r="AA316" s="3">
        <f>333+(157.6-26)+(-0.16983+(-0.080376--0.01326))+0-0-0</f>
        <v>464.36305400000003</v>
      </c>
      <c r="AB316" s="3">
        <f>333+(127-25)+(-0.67932+(-0.25908--0.051))+0-0-0</f>
        <v>434.11259999999999</v>
      </c>
      <c r="AC316" s="3">
        <f>333+(85.2-23)+(-0.33966+(-0.086904--0.02346))+0-0-0</f>
        <v>394.796896</v>
      </c>
      <c r="AD316">
        <f t="shared" si="4"/>
        <v>10345.611364000002</v>
      </c>
      <c r="AE316" s="3">
        <f>417+(153.8-47)+(0+(0-0))+0-0-0</f>
        <v>523.79999999999995</v>
      </c>
    </row>
    <row r="317" spans="1:31" s="2" customFormat="1" x14ac:dyDescent="0.25">
      <c r="A317">
        <v>89</v>
      </c>
      <c r="B317">
        <v>11</v>
      </c>
      <c r="C317">
        <v>11</v>
      </c>
      <c r="D317">
        <v>3</v>
      </c>
      <c r="E317">
        <v>1</v>
      </c>
      <c r="F317" s="3">
        <f>321+(88.3-22)+(-0.81855+(-0.225165--0.0561))+0-0-0</f>
        <v>386.31238500000001</v>
      </c>
      <c r="G317" s="3">
        <f>313+(71.3-22)+(-0.63852+(-0.145452--0.04488))+0-0-0</f>
        <v>361.56090799999998</v>
      </c>
      <c r="H317" s="3">
        <f>313+(75.5-24)+(-0.63852+(-0.15402--0.04896))+0-0-0</f>
        <v>363.75641999999999</v>
      </c>
      <c r="I317" s="3">
        <f>313+(66.5-28)+(-0.79815+(-0.169575--0.0714))+0-0-0</f>
        <v>350.60367500000001</v>
      </c>
      <c r="J317" s="3">
        <f>313+(73.8-30)+(0.63852+(0.150552-0.0612))+0-0-0</f>
        <v>357.527872</v>
      </c>
      <c r="K317" s="3">
        <f>313+(120.6-32)+(0.79815+(0.30753-0.0816))+0-0-0</f>
        <v>402.62408000000005</v>
      </c>
      <c r="L317" s="3">
        <f>313+(152.6-32)+(0.47889+(0.233478-0.04896))+0-0-0</f>
        <v>434.26340800000003</v>
      </c>
      <c r="M317" s="3">
        <f>313+(162.6-29)+(0.47889+(0.248778-0.04437))+0-0-0</f>
        <v>447.283298</v>
      </c>
      <c r="N317" s="3">
        <f>372+(107.5-37)+(0.37944+(0.10965-0.03774))+0-0-0</f>
        <v>442.95134999999999</v>
      </c>
      <c r="O317" s="3">
        <f>451+(60.2-41.3)+(-0.92004+(-0.122808--0.084252))+0-0-0</f>
        <v>468.94140399999998</v>
      </c>
      <c r="P317" s="3">
        <f>479+(49.6-60.1)+(0.73287+(0.075888-0.091953))+0-0-0</f>
        <v>469.21680500000002</v>
      </c>
      <c r="Q317" s="3">
        <f>484+(47.2-63.1)+(-0.74052+(-0.072216--0.096543))+0-0-0</f>
        <v>467.38380700000005</v>
      </c>
      <c r="R317" s="3">
        <f>462+(52.4-49.9)+(-1.64934+(-0.187068--0.178143))+0-0-0</f>
        <v>462.84173499999997</v>
      </c>
      <c r="S317" s="3">
        <f>444+(57.6-32.7)+(-0.22644+(-0.029376--0.016677))+0-0-0</f>
        <v>468.66086099999995</v>
      </c>
      <c r="T317" s="3">
        <f>444+(48.9-66.1)+(-0.67932+(-0.074817--0.101133))+0-0-0</f>
        <v>426.146996</v>
      </c>
      <c r="U317" s="3">
        <f>390+(86.2-26)+(-0.5967+(-0.131886--0.03978))+0-0-0</f>
        <v>449.51119399999999</v>
      </c>
      <c r="V317" s="3">
        <f>369+(122.1-29)+(-1.12914+(-0.373626--0.08874))+0-0-0</f>
        <v>460.68597400000004</v>
      </c>
      <c r="W317" s="3">
        <f>395+(134.6-33)+(-1.41015+(-0.480522--0.11781))+0-0-0</f>
        <v>494.82713800000005</v>
      </c>
      <c r="X317" s="3">
        <f>491+(81.8-53)+(-1.50246+(-0.250308--0.16218))+0-0-0</f>
        <v>518.20941199999993</v>
      </c>
      <c r="Y317" s="3">
        <f>474+(80.7-39)+(0.48348+(0.082314-0.03978))+0-0-0</f>
        <v>516.22601400000008</v>
      </c>
      <c r="Z317" s="3">
        <f>429+(96.6-30)+(-0.43758+(-0.098532--0.0306))+0-0-0</f>
        <v>495.09448800000001</v>
      </c>
      <c r="AA317" s="3">
        <f>398+(89.6-34)+(-0.81192+(-0.182784--0.06936))+0-0-0</f>
        <v>452.67465600000003</v>
      </c>
      <c r="AB317" s="3">
        <f>400+(59.7-32)+(-1.224+(-0.182682--0.09792))+0-0-0</f>
        <v>426.39123799999999</v>
      </c>
      <c r="AC317" s="3">
        <f>400+(45.2-39.5)+(-1.632+(-0.184416--0.16116))+0-0-0</f>
        <v>404.04474399999998</v>
      </c>
      <c r="AD317">
        <f t="shared" si="4"/>
        <v>10527.739862</v>
      </c>
      <c r="AE317" s="3">
        <f>497+(79.4-50)+(0+(0-0))+0-0-0</f>
        <v>526.4</v>
      </c>
    </row>
    <row r="318" spans="1:31" s="2" customFormat="1" x14ac:dyDescent="0.25">
      <c r="A318">
        <v>89</v>
      </c>
      <c r="B318">
        <v>11</v>
      </c>
      <c r="C318">
        <v>12</v>
      </c>
      <c r="D318">
        <v>4</v>
      </c>
      <c r="E318">
        <v>1</v>
      </c>
      <c r="F318" s="3">
        <f>399+(33.1-57)+(-0.40698+(-0.033762--0.05814))+0-0-0</f>
        <v>374.717398</v>
      </c>
      <c r="G318" s="3">
        <f>334+(62.7-22)+(-1.02204+(-0.191862--0.06732))+0-0-0</f>
        <v>373.55341799999997</v>
      </c>
      <c r="H318" s="3">
        <f>312+(68.6-22)+(-0.47736+(-0.104958--0.03366))+0-0-0</f>
        <v>358.05134200000003</v>
      </c>
      <c r="I318" s="3">
        <f>312+(68.2-22)+(0+(0-0))+0-0-0</f>
        <v>358.2</v>
      </c>
      <c r="J318" s="3">
        <f>311+(80.5-26)+(-0.79305+(-0.205275--0.0663))+0-0-0</f>
        <v>364.56797499999999</v>
      </c>
      <c r="K318" s="3">
        <f>311+(121.8-29)+(-0.63444+(-0.248472--0.05916))+0-0-0</f>
        <v>402.976248</v>
      </c>
      <c r="L318" s="3">
        <f>310+(141.2-31)+(-0.7905+(-0.36006--0.07905))+0-0-0</f>
        <v>419.12849</v>
      </c>
      <c r="M318" s="3">
        <f>310+(143.5-29)+(0.4743+(0.219555-0.04437))+0-0-0</f>
        <v>425.14948500000003</v>
      </c>
      <c r="N318" s="3">
        <f>370+(103.8-28)+(-0.1887+(-0.052938--0.01428))+0-0-0</f>
        <v>445.57264200000003</v>
      </c>
      <c r="O318" s="3">
        <f>393+(89.2-28)+(0.20043+(0.045492-0.01428))+0-0-0</f>
        <v>454.43164200000001</v>
      </c>
      <c r="P318" s="3">
        <f>391+(86.4-27)+(-0.59823+(-0.132192--0.04131))+0-0-0</f>
        <v>449.71088799999995</v>
      </c>
      <c r="Q318" s="3">
        <f>389+(84.3-27)+(-0.79356+(-0.171972--0.05508))+0-0-0</f>
        <v>445.38954799999999</v>
      </c>
      <c r="R318" s="3">
        <f>308+(164.1-27)+(-0.47124+(-0.251073--0.04131))+0-0-0</f>
        <v>444.41899700000005</v>
      </c>
      <c r="S318" s="3">
        <f>307+(153.1-27)+(-0.15657+(-0.078081--0.01377))+0-0-0</f>
        <v>432.879119</v>
      </c>
      <c r="T318" s="3">
        <f>307+(136.3-28)+(0.15657+(0.069513-0.01428))+0-0-0</f>
        <v>415.51180299999999</v>
      </c>
      <c r="U318" s="3">
        <f>307+(138.9-28)+(-0.46971+(-0.212517--0.04284))+0-0-0</f>
        <v>417.26061299999998</v>
      </c>
      <c r="V318" s="3">
        <f>314+(155.6-29)+(0+(0-0))+0-0-0</f>
        <v>440.6</v>
      </c>
      <c r="W318" s="3">
        <f>388+(128.7-55)+(-0.39576+(-0.131274--0.0561))+0-0-0</f>
        <v>461.22906599999999</v>
      </c>
      <c r="X318" s="3">
        <f>498+(72.1-62.4)+(-1.52388+(-0.220626--0.190944))+0-0-0</f>
        <v>506.14643799999999</v>
      </c>
      <c r="Y318" s="3">
        <f>473+(70.8-47.4)+(-0.72369+(-0.108324--0.072522))+0-0-0</f>
        <v>495.64050799999995</v>
      </c>
      <c r="Z318" s="3">
        <f>430+(88.2-30)+(-0.4386+(-0.089964--0.0306))+0-0-0</f>
        <v>487.70203599999996</v>
      </c>
      <c r="AA318" s="3">
        <f>369+(106.5-29)+(-0.37638+(-0.10863--0.02958))+0-0-0</f>
        <v>446.04457000000002</v>
      </c>
      <c r="AB318" s="3">
        <f>369+(75.7-27)+(-0.56457+(-0.115821--0.04131))+0-0-0</f>
        <v>417.06091900000001</v>
      </c>
      <c r="AC318" s="3">
        <f>355+(68.7-26)+(-0.3621+(-0.070074--0.02652))+0-0-0</f>
        <v>397.29434599999996</v>
      </c>
      <c r="AD318">
        <f t="shared" si="4"/>
        <v>10233.237491000002</v>
      </c>
      <c r="AE318" s="3">
        <f>497+(70.6-66)+(0+(0-0))+0-0-0</f>
        <v>501.6</v>
      </c>
    </row>
    <row r="319" spans="1:31" s="2" customFormat="1" x14ac:dyDescent="0.25">
      <c r="A319">
        <v>89</v>
      </c>
      <c r="B319">
        <v>11</v>
      </c>
      <c r="C319">
        <v>13</v>
      </c>
      <c r="D319">
        <v>5</v>
      </c>
      <c r="E319">
        <v>5</v>
      </c>
      <c r="F319" s="3">
        <f>300+(68.9-24)+(-0.459+(-0.105417--0.03672))+0-0-0</f>
        <v>344.37230299999999</v>
      </c>
      <c r="G319" s="3">
        <f>227+(141.4-23)+(0.11577+(0.072114-0.01173))+0-0-0</f>
        <v>345.57615399999997</v>
      </c>
      <c r="H319" s="3">
        <f>217+(149.8-23)+(-0.22134+(-0.152796--0.02346))+0-0-0</f>
        <v>343.44932399999999</v>
      </c>
      <c r="I319" s="3">
        <f>205+(146.8-24)+(0.2091+(0.149736-0.02448))+0-0-0</f>
        <v>328.13435600000003</v>
      </c>
      <c r="J319" s="3">
        <f>198+(177.2-25)+(0.20196+(0.180744-0.0255))+0-0-0</f>
        <v>350.55720400000001</v>
      </c>
      <c r="K319" s="3">
        <f>198+(197.7-28)+(0.30294+(0.302481-0.04284))+0-0-0</f>
        <v>368.26258100000001</v>
      </c>
      <c r="L319" s="3">
        <f>196+(223.8-31)+(0+(0-0))+0-0-0</f>
        <v>388.8</v>
      </c>
      <c r="M319" s="3">
        <f>196+(220.3-32)+(-0.4998+(-0.561765--0.0816))+0-0-0</f>
        <v>383.32003500000002</v>
      </c>
      <c r="N319" s="3">
        <f>235+(197.3-30)+(-0.11985+(-0.100623--0.0153))+0-0-0</f>
        <v>402.09482700000001</v>
      </c>
      <c r="O319" s="3">
        <f>279+(162.9-30)+(0.42687+(0.249237-0.0459))+0-0-0</f>
        <v>412.53020699999996</v>
      </c>
      <c r="P319" s="3">
        <f>290+(155.7-30)+(-0.8874+(-0.476442--0.0918))+0-0-0</f>
        <v>414.42795799999999</v>
      </c>
      <c r="Q319" s="3">
        <f>296+(153-30)+(-0.45288+(-0.23409--0.0459))+0-0-0</f>
        <v>418.35892999999999</v>
      </c>
      <c r="R319" s="3">
        <f>294+(133.4-29)+(0+(0-0))+0-0-0</f>
        <v>398.4</v>
      </c>
      <c r="S319" s="3">
        <f>294+(128.2-29)+(-0.29988+(-0.130764--0.02958))+0-0-0</f>
        <v>392.79893599999997</v>
      </c>
      <c r="T319" s="3">
        <f>295+(118.6-29)+(-0.45135+(-0.181458--0.04437))+0-0-0</f>
        <v>384.01156200000003</v>
      </c>
      <c r="U319" s="3">
        <f>295+(119-30)+(-0.6018+(-0.24276--0.0612))+0-0-0</f>
        <v>383.21663999999998</v>
      </c>
      <c r="V319" s="3">
        <f>302+(133.7-28)+(0+(0-0))+0-0-0</f>
        <v>407.7</v>
      </c>
      <c r="W319" s="3">
        <f>303+(182.1-30)+(0+(0-0))+0-0-0</f>
        <v>455.1</v>
      </c>
      <c r="X319" s="3">
        <f>303+(201-31)+(-0.61812+(-0.41004--0.06324))+0-0-0</f>
        <v>472.03507999999999</v>
      </c>
      <c r="Y319" s="3">
        <f>304+(186.4-32)+(-0.31008+(-0.190128--0.03264))+0-0-0</f>
        <v>457.93243199999995</v>
      </c>
      <c r="Z319" s="3">
        <f>304+(147.8-32)+(0+(0-0))+15.5-0-0</f>
        <v>435.3</v>
      </c>
      <c r="AA319" s="3">
        <f>305+(140.4-30)+(0.15555+(0.071604-0.0153))+0-0-0</f>
        <v>415.61185399999999</v>
      </c>
      <c r="AB319" s="3">
        <f>305+(113.2-27)+(-0.15555+(-0.057732--0.01377))+0-0-0</f>
        <v>391.00048799999996</v>
      </c>
      <c r="AC319" s="3">
        <f>296+(102-26)+(-0.90576+(-0.31212--0.07956))+0-0-0</f>
        <v>370.86167999999998</v>
      </c>
      <c r="AD319">
        <f t="shared" si="4"/>
        <v>9463.8525509999981</v>
      </c>
      <c r="AE319" s="3">
        <f>303+(203.9-31)+(0+(0-0))+0-0-0</f>
        <v>475.9</v>
      </c>
    </row>
    <row r="320" spans="1:31" s="2" customFormat="1" x14ac:dyDescent="0.25">
      <c r="A320">
        <v>89</v>
      </c>
      <c r="B320">
        <v>11</v>
      </c>
      <c r="C320">
        <v>14</v>
      </c>
      <c r="D320">
        <v>6</v>
      </c>
      <c r="E320">
        <v>6</v>
      </c>
      <c r="F320" s="3">
        <f>302+(76.9-35)+(-0.15402+(-0.039219--0.01785))+0-0-0</f>
        <v>343.72461099999998</v>
      </c>
      <c r="G320" s="3">
        <f>244+(98-25)+(0+(0-0))+0-0-0</f>
        <v>317</v>
      </c>
      <c r="H320" s="3">
        <f>216+(122.5-24)+(-0.66096+(-0.37485--0.07344))+0-0-0</f>
        <v>313.53762999999998</v>
      </c>
      <c r="I320" s="3">
        <f>216+(117.3-23)+(0.44064+(0.239292-0.04692))+0-0-0</f>
        <v>310.93301200000002</v>
      </c>
      <c r="J320" s="3">
        <f>216+(123.2-26)+(0.11016+(0.062832-0.01326))+0-0-0</f>
        <v>313.35973200000001</v>
      </c>
      <c r="K320" s="3">
        <f>216+(157.1-29)+(0.44064+(0.320484-0.05916))+0-0-0</f>
        <v>344.801964</v>
      </c>
      <c r="L320" s="3">
        <f>216+(179.6-32)+(0.11016+(0.091596-0.01632))+0-0-0</f>
        <v>363.785436</v>
      </c>
      <c r="M320" s="3">
        <f>248+(161.4-29)+(-0.12648+(-0.082314--0.01479))+0-0-0</f>
        <v>380.20599599999997</v>
      </c>
      <c r="N320" s="3">
        <f>299+(118.9-29)+(-0.15249+(-0.060639--0.01479))+0-0-0</f>
        <v>388.701661</v>
      </c>
      <c r="O320" s="3">
        <f>298+(115.5-29)+(0.30396+(0.11781-0.02958))+0-0-0</f>
        <v>384.89219000000003</v>
      </c>
      <c r="P320" s="3">
        <f>297+(112.3-26)+(-0.15147+(-0.057273--0.01326))+0-0-0</f>
        <v>383.10451699999999</v>
      </c>
      <c r="Q320" s="3">
        <f>297+(105.3-25)+(0+(0-0))+0.4-0-0</f>
        <v>377.7</v>
      </c>
      <c r="R320" s="3">
        <f>294+(98.2-28)+(-0.44982+(-0.150246--0.04284))+0-0-0</f>
        <v>363.64277399999997</v>
      </c>
      <c r="S320" s="3">
        <f>293+(89.9-31)+(-0.74715+(-0.229245--0.07905))+0-0-0</f>
        <v>351.002655</v>
      </c>
      <c r="T320" s="3">
        <f>296+(72.5-35)+(-0.45288+(-0.110925--0.05355))+0-0-0</f>
        <v>332.98974500000003</v>
      </c>
      <c r="U320" s="3">
        <f>302+(76.6-35)+(-1.38618+(-0.351594--0.16065))+0-0-0</f>
        <v>342.022876</v>
      </c>
      <c r="V320" s="3">
        <f>254+(129-28)+(-0.25908+(-0.13158--0.02856))+0-0-0</f>
        <v>354.6379</v>
      </c>
      <c r="W320" s="3">
        <f>307+(141.2-28)+(0.15657+(0.072012-0.01428))+0-0-0</f>
        <v>420.41430199999996</v>
      </c>
      <c r="X320" s="3">
        <f>303+(173.5-29)+(-0.46359+(-0.265455--0.04437))+0-0-0</f>
        <v>446.81532499999997</v>
      </c>
      <c r="Y320" s="3">
        <f>303+(164.1-29)+(-0.77265+(-0.418455--0.07395))+0-0-0</f>
        <v>436.982845</v>
      </c>
      <c r="Z320" s="3">
        <f>303+(142.6-28)+(-0.46359+(-0.218178--0.04284))+0-0-0</f>
        <v>416.961072</v>
      </c>
      <c r="AA320" s="3">
        <f>303+(122.7-28)+(-0.46359+(-0.187731--0.04284))+0-0-0</f>
        <v>397.09151900000001</v>
      </c>
      <c r="AB320" s="3">
        <f>304+(104-30)+(-0.15504+(-0.05304--0.0153))+0-0-0</f>
        <v>377.80721999999997</v>
      </c>
      <c r="AC320" s="3">
        <f>304+(81.7-33)+(-0.31008+(-0.083334--0.03366))+0-0-0</f>
        <v>352.34024599999998</v>
      </c>
      <c r="AD320">
        <f t="shared" si="4"/>
        <v>8814.4552279999989</v>
      </c>
      <c r="AE320" s="3">
        <f>303+(178.4-28)+(0+(0-0))+0-0-0</f>
        <v>453.4</v>
      </c>
    </row>
    <row r="321" spans="1:31" s="2" customFormat="1" x14ac:dyDescent="0.25">
      <c r="A321">
        <v>89</v>
      </c>
      <c r="B321">
        <v>11</v>
      </c>
      <c r="C321">
        <v>15</v>
      </c>
      <c r="D321">
        <v>7</v>
      </c>
      <c r="E321">
        <v>5</v>
      </c>
      <c r="F321" s="3">
        <f>293+(69.8-41)+(-0.14943+(-0.035598--0.02091))+0-0-0</f>
        <v>321.63588200000004</v>
      </c>
      <c r="G321" s="3">
        <f>219+(112.4-23)+(-0.11169+(-0.057324--0.01173))+0-0-0</f>
        <v>308.24271599999997</v>
      </c>
      <c r="H321" s="3">
        <f>198+(120.5-23)+(-0.40392+(-0.24582--0.04692))+0-0-0</f>
        <v>294.89717999999999</v>
      </c>
      <c r="I321" s="3">
        <f>198+(125.6-23)+(-0.40392+(-0.256224--0.04692))+0-0-0</f>
        <v>299.98677600000002</v>
      </c>
      <c r="J321" s="3">
        <f>198+(130.2-25)+(0+(0-0))+0-0-0</f>
        <v>303.2</v>
      </c>
      <c r="K321" s="3">
        <f>198+(155.7-27)+(0.5049+(0.397035-0.06885))+0-0-0</f>
        <v>327.53308499999997</v>
      </c>
      <c r="L321" s="3">
        <f>199+(171.9-32)+(-0.20298+(-0.175338--0.03264))+0-0-0</f>
        <v>338.55432199999996</v>
      </c>
      <c r="M321" s="3">
        <f>199+(173.2-32)+(-0.10149+(-0.088332--0.01632))+0-0-0</f>
        <v>340.026498</v>
      </c>
      <c r="N321" s="3">
        <f>199+(183.8-31)+(-0.10149+(-0.093738--0.01581))+0-0-0</f>
        <v>351.62058200000001</v>
      </c>
      <c r="O321" s="3">
        <f>277+(119.5-35)+(-0.28254+(-0.12189--0.0357))+0-0-0</f>
        <v>361.13126999999997</v>
      </c>
      <c r="P321" s="3">
        <f>282+(125-32)+(-1.00674+(-0.44625--0.11424))+0-0-0</f>
        <v>373.66125</v>
      </c>
      <c r="Q321" s="3">
        <f>246+(163.2-31)+(0+(0-0))+0-0-0</f>
        <v>378.2</v>
      </c>
      <c r="R321" s="3">
        <f>195+(213.2-29)+(0+(0-0))+0-0-0</f>
        <v>379.2</v>
      </c>
      <c r="S321" s="3">
        <f>195+(199.7-27)+(-0.09945+(-0.101847--0.01377))+0-0-0</f>
        <v>367.512473</v>
      </c>
      <c r="T321" s="3">
        <f>196+(186.3-26)+(-0.19992+(-0.190026--0.02652))+0-0-0</f>
        <v>355.93657400000001</v>
      </c>
      <c r="U321" s="3">
        <f>196+(188.1-25)+(-0.19992+(-0.191862--0.0255))+0-0-0</f>
        <v>358.73371800000001</v>
      </c>
      <c r="V321" s="3">
        <f>201+(201.4-25)+(-0.10251+(-0.102714--0.01275))+0-0-0</f>
        <v>377.20752599999997</v>
      </c>
      <c r="W321" s="3">
        <f>232+(224.5-27)+(-0.23664+(-0.22899--0.02754))+0-0-0</f>
        <v>429.06191000000001</v>
      </c>
      <c r="X321" s="3">
        <f>284+(221.7-30)+(-0.28968+(-0.226134--0.0306))+0-0-0</f>
        <v>475.214786</v>
      </c>
      <c r="Y321" s="3">
        <f>286+(208-30)+(-0.14586+(-0.10608--0.0153))+0-0-0</f>
        <v>463.76335999999998</v>
      </c>
      <c r="Z321" s="3">
        <f>287+(185.9-29)+(-0.43911+(-0.284427--0.04437))+0-0-0</f>
        <v>443.22083299999997</v>
      </c>
      <c r="AA321" s="3">
        <f>296+(159.9-29)+(0+(0-0))+0-0-0</f>
        <v>426.9</v>
      </c>
      <c r="AB321" s="3">
        <f>312+(123.8-38)+(-0.7956+(-0.31569--0.0969))+0-0-0</f>
        <v>396.78561000000002</v>
      </c>
      <c r="AC321" s="3">
        <f>332+(79.7-40)+(-0.8466+(-0.203235--0.102))+0-0-0</f>
        <v>370.75216499999999</v>
      </c>
      <c r="AD321">
        <f t="shared" ref="AD321:AD365" si="5">SUM(F321:AC321)</f>
        <v>8842.978516000001</v>
      </c>
      <c r="AE321" s="3">
        <f>285+(220.2-30)+(0+(0-0))+0-0-0</f>
        <v>475.2</v>
      </c>
    </row>
    <row r="322" spans="1:31" s="2" customFormat="1" x14ac:dyDescent="0.25">
      <c r="A322">
        <v>89</v>
      </c>
      <c r="B322">
        <v>11</v>
      </c>
      <c r="C322">
        <v>16</v>
      </c>
      <c r="D322">
        <v>1</v>
      </c>
      <c r="E322">
        <v>1</v>
      </c>
      <c r="F322" s="3">
        <f>343+(49.3-40)+(-0.17493+(-0.025143--0.0204))+0-0-0</f>
        <v>352.12032700000003</v>
      </c>
      <c r="G322" s="3">
        <f>336+(44.9-30)+(0.51408+(0.068697-0.0459))+0-0-0</f>
        <v>351.43687699999998</v>
      </c>
      <c r="H322" s="3">
        <f>279+(82-27)+(-0.56916+(-0.16728--0.05508))+0-0-0</f>
        <v>333.31864000000002</v>
      </c>
      <c r="I322" s="3">
        <f>239+(103.8-26)+(-0.36567+(-0.158814--0.03978))+0-0-0</f>
        <v>316.31529599999999</v>
      </c>
      <c r="J322" s="3">
        <f>239+(112.5-28)+(-0.36567+(-0.172125--0.04284))+0-0-0</f>
        <v>323.005045</v>
      </c>
      <c r="K322" s="3">
        <f>262+(133.6-31)+(0+(0-0))+0-0-0</f>
        <v>364.6</v>
      </c>
      <c r="L322" s="3">
        <f>327+(128.1-34)+(0.16677+(0.065331-0.01734))+0-0-0</f>
        <v>421.31476100000003</v>
      </c>
      <c r="M322" s="3">
        <f>327+(135.2-34)+(-0.16677+(-0.068952--0.01734))+0-0-0</f>
        <v>427.98161799999997</v>
      </c>
      <c r="N322" s="3">
        <f>325+(133.8-32)+(0.3315+(0.136476-0.03264))+0-0-0</f>
        <v>427.23533600000002</v>
      </c>
      <c r="O322" s="3">
        <f>324+(127-31)+(0.33048+(0.12954-0.03162))+0-0-0</f>
        <v>420.42840000000001</v>
      </c>
      <c r="P322" s="3">
        <f>329+(124.9-31)+(0.67116+(0.254796-0.06324))+0-0-0</f>
        <v>423.76271599999995</v>
      </c>
      <c r="Q322" s="3">
        <f>337+(112.2-32)+(-0.85935+(-0.28611--0.0816))+0-0-0</f>
        <v>416.13614000000001</v>
      </c>
      <c r="R322" s="3">
        <f>379+(86.7-38)+(-0.57987+(-0.132651--0.05814))+0-0-0</f>
        <v>427.04561899999999</v>
      </c>
      <c r="S322" s="3">
        <f>379+(74.4-44)+(-0.77316+(-0.151776--0.08976))+0-0-0</f>
        <v>408.56482399999999</v>
      </c>
      <c r="T322" s="3">
        <f>345+(90.3-25)+(-0.3519+(-0.092106--0.0255))+0-0-0</f>
        <v>409.88149400000003</v>
      </c>
      <c r="U322" s="3">
        <f>298+(121.6-26)+(0.45594+(0.186048-0.03978))+0-0-0</f>
        <v>394.20220800000004</v>
      </c>
      <c r="V322" s="3">
        <f>313+(134-28)+(-0.47889+(-0.20502--0.04284))+0-0-0</f>
        <v>418.35892999999999</v>
      </c>
      <c r="W322" s="3">
        <f>421+(110.1-43)+(0+(0-0))+0-0-0</f>
        <v>488.1</v>
      </c>
      <c r="X322" s="3">
        <f>480+(84.4-54)+(-0.7344+(-0.129132--0.08262))+0-0-0</f>
        <v>509.61908799999998</v>
      </c>
      <c r="Y322" s="3">
        <f>499+(71.5-62.2)+(-0.25449+(-0.036465--0.031722))+0-0-0</f>
        <v>508.04076700000002</v>
      </c>
      <c r="Z322" s="3">
        <f>485+(64.3-69.1)+(-0.9894+(-0.131172--0.140964))+0-0-0</f>
        <v>479.220392</v>
      </c>
      <c r="AA322" s="3">
        <f>482+(57.7-63.6)+(-0.24582+(-0.029427--0.032436))+0-0-0</f>
        <v>475.85718900000001</v>
      </c>
      <c r="AB322" s="3">
        <f>411+(70.5-50.5)+(-1.04805+(-0.179775--0.128775))+0-0-0</f>
        <v>429.90095000000002</v>
      </c>
      <c r="AC322" s="3">
        <f>345+(99.7-24)+(-0.7038+(-0.203388--0.04896))+0-0-0</f>
        <v>419.84177199999999</v>
      </c>
      <c r="AD322">
        <f t="shared" si="5"/>
        <v>9946.2883889999994</v>
      </c>
      <c r="AE322" s="3">
        <f>498+(76.8-56)+(0+(0-0))+0-0-0</f>
        <v>518.79999999999995</v>
      </c>
    </row>
    <row r="323" spans="1:31" s="2" customFormat="1" x14ac:dyDescent="0.25">
      <c r="A323">
        <v>89</v>
      </c>
      <c r="B323">
        <v>11</v>
      </c>
      <c r="C323">
        <v>17</v>
      </c>
      <c r="D323">
        <v>2</v>
      </c>
      <c r="E323">
        <v>1</v>
      </c>
      <c r="F323" s="3">
        <f>295+(110.1-23)+(-0.3009+(-0.112302--0.02346))+0-0-0</f>
        <v>381.71025800000001</v>
      </c>
      <c r="G323" s="3">
        <f>292+(103.5-23)+(-0.29784+(-0.10557--0.02346))+0-0-0</f>
        <v>372.12004999999999</v>
      </c>
      <c r="H323" s="3">
        <f>292+(101.9-23)+(-0.14892+(-0.051969--0.01173))+0-0-0</f>
        <v>370.71084099999996</v>
      </c>
      <c r="I323" s="3">
        <f>292+(102.9-25)+(0.7446+(0.262395-0.06375))+0-0-0</f>
        <v>370.84324499999997</v>
      </c>
      <c r="J323" s="3">
        <f>292+(109.7-26)+(-0.44676+(-0.167841--0.03978))+0-0-0</f>
        <v>375.125179</v>
      </c>
      <c r="K323" s="3">
        <f>292+(144.5-30)+(0+(0-0))+0-0-0</f>
        <v>406.5</v>
      </c>
      <c r="L323" s="3">
        <f>283+(174.6-30)+(-0.28866+(-0.178092--0.0306))+0-0-0</f>
        <v>427.16384800000003</v>
      </c>
      <c r="M323" s="3">
        <f>283+(184.7-29)+(-0.28866+(-0.188394--0.02958))+0-0-0</f>
        <v>438.25252599999999</v>
      </c>
      <c r="N323" s="3">
        <f>328+(140.9-28)+(-0.16728+(-0.071859--0.01428))+0-0-0</f>
        <v>440.675141</v>
      </c>
      <c r="O323" s="3">
        <f>363+(106.2-28)+(0.18513+(0.054162-0.01428))+0-0-0</f>
        <v>441.42501199999998</v>
      </c>
      <c r="P323" s="3">
        <f>363+(114.2-28)+(-0.74052+(-0.232968--0.05712))+0-0-0</f>
        <v>448.28363200000001</v>
      </c>
      <c r="Q323" s="3">
        <f>363+(109.5-27)+(-0.74052+(-0.22338--0.05508))+0-0-0</f>
        <v>444.59118000000001</v>
      </c>
      <c r="R323" s="3">
        <f>363+(106.2-26)+(-0.74052+(-0.216648--0.05304))+0-0-0</f>
        <v>442.29587199999997</v>
      </c>
      <c r="S323" s="3">
        <f>363+(94.7-26)+(-0.55539+(-0.144891--0.03978))+0-0-0</f>
        <v>431.03949899999998</v>
      </c>
      <c r="T323" s="3">
        <f>366+(80.8-28)+(-0.37332+(-0.082416--0.02856))+0-0-0</f>
        <v>418.37282400000004</v>
      </c>
      <c r="U323" s="3">
        <f>366+(81.8-28)+(-1.11996+(-0.250308--0.08568))+0-0-0</f>
        <v>418.51541200000003</v>
      </c>
      <c r="V323" s="3">
        <f>373+(96.8-27)+(0+(0-0))+0-0-0</f>
        <v>442.8</v>
      </c>
      <c r="W323" s="3">
        <f>377+(146.2-29)+(-0.57681+(-0.223686--0.04437))+0-0-0</f>
        <v>493.44387399999999</v>
      </c>
      <c r="X323" s="3">
        <f>376+(173.2-30)+(0+(0-0))+0-0-0</f>
        <v>519.20000000000005</v>
      </c>
      <c r="Y323" s="3">
        <f>377+(159.1-30)+(-1.34589+(-0.567987--0.1071))+0-0-0</f>
        <v>504.29322300000001</v>
      </c>
      <c r="Z323" s="3">
        <f>377+(140.6-28)+(-0.19227+(-0.071706--0.01428))+0-0-0</f>
        <v>489.35030400000005</v>
      </c>
      <c r="AA323" s="3">
        <f>377+(114.1-27)+(-0.96135+(-0.290955--0.06885))+0-0-0</f>
        <v>462.91654500000004</v>
      </c>
      <c r="AB323" s="3">
        <f>377+(89.2-27)+(-0.38454+(-0.090984--0.02754))+0-0-0</f>
        <v>438.75201599999997</v>
      </c>
      <c r="AC323" s="3">
        <f>378+(71.4-28)+(-0.77112+(-0.145656--0.05712))+0-0-0</f>
        <v>420.540344</v>
      </c>
      <c r="AD323">
        <f t="shared" si="5"/>
        <v>10398.920825000001</v>
      </c>
      <c r="AE323" s="3">
        <f>379+(172.2-31)+(0+(0-0))+0-0-0</f>
        <v>520.20000000000005</v>
      </c>
    </row>
    <row r="324" spans="1:31" s="2" customFormat="1" x14ac:dyDescent="0.25">
      <c r="A324">
        <v>89</v>
      </c>
      <c r="B324">
        <v>11</v>
      </c>
      <c r="C324">
        <v>18</v>
      </c>
      <c r="D324">
        <v>3</v>
      </c>
      <c r="E324">
        <v>1</v>
      </c>
      <c r="F324" s="3">
        <f>343+(70.4-33)+(-0.69972+(-0.143616--0.06732))+0-0-0</f>
        <v>379.62398399999995</v>
      </c>
      <c r="G324" s="3">
        <f>294+(82.9-25)+(-0.14994+(-0.042279--0.01275))+0-0-0</f>
        <v>351.72053099999999</v>
      </c>
      <c r="H324" s="3">
        <f>294+(86-23)+(0.14994+(0.04386-0.01173))+0-0-0</f>
        <v>357.18207000000001</v>
      </c>
      <c r="I324" s="3">
        <f>294+(88.4-24)+(-0.7497+(-0.22542--0.0612))+0-0-0</f>
        <v>357.48607999999996</v>
      </c>
      <c r="J324" s="3">
        <f>294+(100.1-25)+(-0.29988+(-0.102102--0.0255))+0-0-0</f>
        <v>368.72351800000001</v>
      </c>
      <c r="K324" s="3">
        <f>294+(148.7-27)+(-0.14994+(-0.075837--0.01377))+0-0-0</f>
        <v>415.48799299999996</v>
      </c>
      <c r="L324" s="3">
        <f>290+(175.6-30)+(-0.8874+(-0.537336--0.0918))+0-0-0</f>
        <v>434.267064</v>
      </c>
      <c r="M324" s="3">
        <f>290+(175.8-29)+(0+(0-0))+0-0-0</f>
        <v>436.8</v>
      </c>
      <c r="N324" s="3">
        <f>357+(107-28)+(0.54621+(0.16371-0.04284))+0-0-0</f>
        <v>436.66708</v>
      </c>
      <c r="O324" s="3">
        <f>372+(87.1-29)+(0+(0-0))+0-0-0</f>
        <v>430.1</v>
      </c>
      <c r="P324" s="3">
        <f>371+(68.2-29)+(0+(0-0))+0-0-0</f>
        <v>410.2</v>
      </c>
      <c r="Q324" s="3">
        <f>370+(73.9-26)+(0+(0-0))+0-0-0</f>
        <v>417.9</v>
      </c>
      <c r="R324" s="3">
        <f>322+(124.6-26)+(-0.8211+(-0.31773--0.0663))+0-0-0</f>
        <v>419.52747000000005</v>
      </c>
      <c r="S324" s="3">
        <f>290+(164.9-26)+(-0.2958+(-0.168198--0.02652))+0-0-0</f>
        <v>428.46252199999998</v>
      </c>
      <c r="T324" s="3">
        <f>355+(85.2-27)+(-0.18105+(-0.043452--0.01377))+0-0-0</f>
        <v>412.98926799999998</v>
      </c>
      <c r="U324" s="3">
        <f>373+(66.7-28)+(-0.38046+(-0.068034--0.02856))+0-0-0</f>
        <v>411.28006599999998</v>
      </c>
      <c r="V324" s="3">
        <f>381+(80.5-28)+(0.19431+(0.041055-0.01428))+0-0-0</f>
        <v>433.72108500000002</v>
      </c>
      <c r="W324" s="3">
        <f>382+(127.3-28)+(-0.19482+(-0.064923--0.01428))+0-0-0</f>
        <v>481.05453700000004</v>
      </c>
      <c r="X324" s="3">
        <f>383+(161.5-29)+(-0.78132+(-0.32946--0.05916))+0-0-0</f>
        <v>514.44838000000004</v>
      </c>
      <c r="Y324" s="3">
        <f>382+(147.5-29)+(-0.77928+(-0.3009--0.05916))+0-0-0</f>
        <v>499.47897999999998</v>
      </c>
      <c r="Z324" s="3">
        <f>382+(130.1-29)+(-0.58446+(-0.199053--0.04437))+0-0-0</f>
        <v>482.36085700000001</v>
      </c>
      <c r="AA324" s="3">
        <f>383+(97.5-28)+(-0.97665+(-0.248625--0.0714))+0-0-0</f>
        <v>451.34612499999997</v>
      </c>
      <c r="AB324" s="3">
        <f>385+(78.5-28)+(-0.7854+(-0.16014--0.05712))+0-0-0</f>
        <v>434.61158</v>
      </c>
      <c r="AC324" s="3">
        <f>386+(59.7-28.2)+(-1.77174+(-0.274023--0.129438))+0-0-0</f>
        <v>415.58367500000003</v>
      </c>
      <c r="AD324">
        <f t="shared" si="5"/>
        <v>10181.022865000001</v>
      </c>
      <c r="AE324" s="3">
        <f>380+(160.3-29)+(0+(0-0))+0-0-0</f>
        <v>511.3</v>
      </c>
    </row>
    <row r="325" spans="1:31" s="2" customFormat="1" x14ac:dyDescent="0.25">
      <c r="A325">
        <v>89</v>
      </c>
      <c r="B325">
        <v>11</v>
      </c>
      <c r="C325">
        <v>19</v>
      </c>
      <c r="D325">
        <v>4</v>
      </c>
      <c r="E325">
        <v>1</v>
      </c>
      <c r="F325" s="3">
        <f>385+(52.1-49.1)+(0.7854+(0.106284-0.100164))+0-0-0</f>
        <v>388.79151999999999</v>
      </c>
      <c r="G325" s="3">
        <f>385+(61.6-67.5)+(0.3927+(0.062832-0.06885))+0-0-0</f>
        <v>379.48668200000003</v>
      </c>
      <c r="H325" s="3">
        <f>385+(52.9-68.7)+(-0.3927+(-0.053958--0.070074))+0-0-0</f>
        <v>368.82341600000001</v>
      </c>
      <c r="I325" s="3">
        <f>383+(61-67.9)+(-0.97665+(-0.15555--0.173145))+0-0-0</f>
        <v>375.14094500000004</v>
      </c>
      <c r="J325" s="3">
        <f>297+(126.1-43)+(0.15147+(0.064311-0.02193))+0-0-0</f>
        <v>380.29385100000002</v>
      </c>
      <c r="K325" s="3">
        <f>297+(136.1-34.4)+(0.60588+(0.277644-0.070176))+0-0-0</f>
        <v>399.51334800000001</v>
      </c>
      <c r="L325" s="3">
        <f>297+(183-36.3)+(-0.60588+(-0.37332--0.074052))+0-0-0</f>
        <v>442.79485199999999</v>
      </c>
      <c r="M325" s="3">
        <f>319+(180.5-40.6)+(-0.16269+(-0.092055--0.020706))+0-0-0</f>
        <v>458.66596099999998</v>
      </c>
      <c r="N325" s="3">
        <f>382+(141.9-55.6)+(0.38964+(0.144738-0.056712))+0-0-0</f>
        <v>468.77766600000001</v>
      </c>
      <c r="O325" s="3">
        <f>379+(136.5-56.3)+(0.19329+(0.069615-0.028713))+0-0-0</f>
        <v>459.434192</v>
      </c>
      <c r="P325" s="3">
        <f>379+(100.8-55.8)+(-0.77316+(-0.205632--0.113832))+0-0-0</f>
        <v>423.13504</v>
      </c>
      <c r="Q325" s="3">
        <f>380+(92.7-29.3)+(-0.7752+(-0.189108--0.059772))+0-0-0</f>
        <v>442.49546399999997</v>
      </c>
      <c r="R325" s="3">
        <f>368+(82.8-26)+(-0.56304+(-0.126684--0.03978))+0-0-0</f>
        <v>424.15005600000001</v>
      </c>
      <c r="S325" s="3">
        <f>369+(70-27)+(0+(0-0))+0-0-0</f>
        <v>412</v>
      </c>
      <c r="T325" s="3">
        <f>370+(62-31)+(0+(0-0))+0-0-0</f>
        <v>401</v>
      </c>
      <c r="U325" s="3">
        <f>371+(67.5-29.8)+(-0.37842+(-0.06885--0.030396))+0-0-0</f>
        <v>408.28312599999998</v>
      </c>
      <c r="V325" s="3">
        <f>381+(78.7-31)+(-0.58293+(-0.120411--0.04743))+0-0-0</f>
        <v>428.04408899999999</v>
      </c>
      <c r="W325" s="3">
        <f>390+(115.2-32)+(0.1989+(0.058752-0.01632))+0-0-0</f>
        <v>473.44133199999999</v>
      </c>
      <c r="X325" s="3">
        <f>418+(113.7-33)+(-0.42636+(-0.115974--0.03366))+0-0-0</f>
        <v>498.191326</v>
      </c>
      <c r="Y325" s="3">
        <f>417+(103-32)+(-0.63801+(-0.15759--0.04896))+0-0-0</f>
        <v>487.25335999999999</v>
      </c>
      <c r="Z325" s="3">
        <f>409+(89.8-31)+(-1.04295+(-0.22899--0.07905))+0-0-0</f>
        <v>466.60711000000003</v>
      </c>
      <c r="AA325" s="3">
        <f>402+(78.5-29)+(0+(0-0))+0-0-0</f>
        <v>451.5</v>
      </c>
      <c r="AB325" s="3">
        <f>387+(70.4-28)+(-0.19737+(-0.035904--0.01428))+0-0-0</f>
        <v>429.18100599999997</v>
      </c>
      <c r="AC325" s="3">
        <f>385+(58.2-30.6)+(-1.1781+(-0.178092--0.093636))+0-0-0</f>
        <v>411.337444</v>
      </c>
      <c r="AD325">
        <f t="shared" si="5"/>
        <v>10278.341786000003</v>
      </c>
      <c r="AE325" s="3">
        <f>417+(135.9-33)+(0+(0-0))+0-0-0</f>
        <v>519.9</v>
      </c>
    </row>
    <row r="326" spans="1:31" s="2" customFormat="1" x14ac:dyDescent="0.25">
      <c r="A326">
        <v>89</v>
      </c>
      <c r="B326">
        <v>11</v>
      </c>
      <c r="C326">
        <v>20</v>
      </c>
      <c r="D326">
        <v>5</v>
      </c>
      <c r="E326">
        <v>1</v>
      </c>
      <c r="F326" s="3">
        <f>341+(80.2-25.8)+(-0.34782+(-0.081804--0.026316))+0-0-0</f>
        <v>394.996692</v>
      </c>
      <c r="G326" s="3">
        <f>298+(90.1-23)+(-0.91188+(-0.275706--0.07038))+0-0-0</f>
        <v>363.98279400000001</v>
      </c>
      <c r="H326" s="3">
        <f>298+(83.1-23)+(0.15198+(0.042381-0.01173))+0-0-0</f>
        <v>358.28263100000004</v>
      </c>
      <c r="I326" s="3">
        <f>298+(78.9-23)+(-0.7599+(-0.201195--0.05865))+0-0-0</f>
        <v>352.99755499999998</v>
      </c>
      <c r="J326" s="3">
        <f>298+(88.6-26)+(-0.15198+(-0.045186--0.01326))+0-0-0</f>
        <v>360.41609400000004</v>
      </c>
      <c r="K326" s="3">
        <f>360+(61.2-28)+(-0.1836+(-0.031212--0.01428))+0-0-0</f>
        <v>392.99946799999998</v>
      </c>
      <c r="L326" s="3">
        <f>386+(76.7-31)+(-0.19686+(-0.039117--0.01581))+0-0-0</f>
        <v>431.47983299999999</v>
      </c>
      <c r="M326" s="3">
        <f>385+(86-31)+(0.58905+(0.13158-0.04743))+0-0-0</f>
        <v>440.67320000000001</v>
      </c>
      <c r="N326" s="3">
        <f>382+(89.5-30)+(0.38964+(0.09129-0.0306))+0-0-0</f>
        <v>441.95033000000001</v>
      </c>
      <c r="O326" s="3">
        <f>378+(96.7-30)+(-0.19278+(-0.049317--0.0153))+0-0-0</f>
        <v>444.47320300000001</v>
      </c>
      <c r="P326" s="3">
        <f>376+(95.5-29)+(-0.38352+(-0.09741--0.02958))+0-0-0</f>
        <v>442.04865000000001</v>
      </c>
      <c r="Q326" s="3">
        <f>375+(97.1-26)+(-0.765+(-0.198084--0.05304))+0-0-0</f>
        <v>445.189956</v>
      </c>
      <c r="R326" s="3">
        <f>376+(104.3-27)+(-1.15056+(-0.319158--0.08262))+0-0-0</f>
        <v>451.91290200000003</v>
      </c>
      <c r="S326" s="3">
        <f>376+(95.6-28)+(-0.19176+(-0.048756--0.01428))+0-0-0</f>
        <v>443.37376400000005</v>
      </c>
      <c r="T326" s="3">
        <f>376+(81.2-28)+(0+(0-0))+0-0-0</f>
        <v>429.2</v>
      </c>
      <c r="U326" s="3">
        <f>376+(88.3-28)+(-0.76704+(-0.180132--0.05712))+0-0-0</f>
        <v>435.40994799999999</v>
      </c>
      <c r="V326" s="3">
        <f>383+(100.4-29)+(-1.17198+(-0.307224--0.08874))+0-0-0</f>
        <v>453.00953599999997</v>
      </c>
      <c r="W326" s="3">
        <f>400+(135.2-31)+(-0.408+(-0.137904--0.03162))+0-0-0</f>
        <v>503.68571600000001</v>
      </c>
      <c r="X326" s="3">
        <f>400+(128.2-32)+(-1.428+(-0.457674--0.11424))+0-0-0</f>
        <v>494.42856599999999</v>
      </c>
      <c r="Y326" s="3">
        <f>400+(116.5-31)+(-0.612+(-0.178245--0.04743))+0-0-0</f>
        <v>484.75718499999999</v>
      </c>
      <c r="Z326" s="3">
        <f>395+(98.5-30)+(-1.2087+(-0.30141--0.0918))+0-0-0</f>
        <v>462.08168999999998</v>
      </c>
      <c r="AA326" s="3">
        <f>385+(82.1-28)+(-0.58905+(-0.125613--0.04284))+0-0-0</f>
        <v>438.42817700000001</v>
      </c>
      <c r="AB326" s="3">
        <f>385+(79.3-29.9)+(-0.98175+(-0.202215--0.076245))+0-0-0</f>
        <v>433.29228000000001</v>
      </c>
      <c r="AC326" s="3">
        <f>385+(56.5-39.4)+(-0.19635+(-0.028815--0.020094))+0-0-0</f>
        <v>401.89492900000005</v>
      </c>
      <c r="AD326">
        <f t="shared" si="5"/>
        <v>10300.965098999999</v>
      </c>
      <c r="AE326" s="3">
        <f>399+(135.7-32)+(0+(0-0))+0-0-0</f>
        <v>502.7</v>
      </c>
    </row>
    <row r="327" spans="1:31" s="2" customFormat="1" x14ac:dyDescent="0.25">
      <c r="A327">
        <v>89</v>
      </c>
      <c r="B327">
        <v>11</v>
      </c>
      <c r="C327">
        <v>21</v>
      </c>
      <c r="D327">
        <v>6</v>
      </c>
      <c r="E327">
        <v>1</v>
      </c>
      <c r="F327" s="3">
        <f>382+(44.2-39.1)+(-1.16892+(-0.135252--0.119646))+0-0-0</f>
        <v>385.91547400000002</v>
      </c>
      <c r="G327" s="3">
        <f>383+(34.8-45.4)+(0.39066+(0.035496-0.046308))+0-0-0</f>
        <v>372.77984799999996</v>
      </c>
      <c r="H327" s="3">
        <f>312+(70.9-24.8)+(-0.31824+(-0.072318--0.025296))+0-0-0</f>
        <v>357.73473800000005</v>
      </c>
      <c r="I327" s="3">
        <f>298+(76.2-24)+(0.60792+(0.155448-0.04896))+0-0-0</f>
        <v>350.91440799999998</v>
      </c>
      <c r="J327" s="3">
        <f>298+(85.1-27)+(0.7599+(0.217005-0.06885))+0-0-0</f>
        <v>357.00805500000001</v>
      </c>
      <c r="K327" s="3">
        <f>298+(111-30)+(-0.30396+(-0.11322--0.0306))+0-0-0</f>
        <v>378.61342000000002</v>
      </c>
      <c r="L327" s="3">
        <f>294+(141.1-30)+(-0.7497+(-0.359805--0.0765))+0-0-0</f>
        <v>404.06699500000002</v>
      </c>
      <c r="M327" s="3">
        <f>294+(151.8-29)+(-0.29988+(-0.154836--0.02958))+0-0-0</f>
        <v>416.374864</v>
      </c>
      <c r="N327" s="3">
        <f>352+(100.1-28)+(-0.35904+(-0.102102--0.02856))+0-0-0</f>
        <v>423.667418</v>
      </c>
      <c r="O327" s="3">
        <f>375+(79-27)+(0+(0-0))+0-0-0</f>
        <v>427</v>
      </c>
      <c r="P327" s="3">
        <f>374+(80.9-26)+(-0.76296+(-0.165036--0.05304))+0-0-0</f>
        <v>428.02504399999998</v>
      </c>
      <c r="Q327" s="3">
        <f>374+(88.9-26)+(-1.33518+(-0.317373--0.09282))+0-0-0</f>
        <v>435.34026699999998</v>
      </c>
      <c r="R327" s="3">
        <f>371+(82.2-26)+(-0.37842+(-0.083844--0.02652))+0-0-0</f>
        <v>426.76425599999999</v>
      </c>
      <c r="S327" s="3">
        <f>334+(99.7-26)+(0.17034+(0.050847-0.01326))+0-0-0</f>
        <v>407.90792699999997</v>
      </c>
      <c r="T327" s="3">
        <f>292+(118.5-27)+(-0.14892+(-0.060435--0.01377))+0-0-0</f>
        <v>383.30441500000001</v>
      </c>
      <c r="U327" s="3">
        <f>259+(135-29)+(-0.79254+(-0.4131--0.08874))+0-0-0</f>
        <v>363.88310000000001</v>
      </c>
      <c r="V327" s="3">
        <f>315+(104.4-31)+(0.80325+(0.26622-0.07905))+0-0-0</f>
        <v>389.39041999999995</v>
      </c>
      <c r="W327" s="3">
        <f>379+(100-32)+(-0.19329+(-0.051--0.01632))+0-0-0</f>
        <v>446.77202999999997</v>
      </c>
      <c r="X327" s="3">
        <f>416+(89.6-32)+(-0.63648+(-0.137088--0.04896))+0-0-0</f>
        <v>472.87539200000003</v>
      </c>
      <c r="Y327" s="3">
        <f>417+(76.4-31)+(-0.42534+(-0.077928--0.03162))+0-0-0</f>
        <v>461.92835199999996</v>
      </c>
      <c r="Z327" s="3">
        <f>417+(59.4-29)+(-1.70136+(-0.242352--0.11832))+0-0-0</f>
        <v>445.57460799999996</v>
      </c>
      <c r="AA327" s="3">
        <f>415+(49.2-30.5)+(-0.21165+(-0.025092--0.015555))+0-0-0</f>
        <v>433.478813</v>
      </c>
      <c r="AB327" s="3">
        <f>413+(35-34.6)+(-1.05315+(-0.08925--0.08823))+0-0-0</f>
        <v>412.34582999999998</v>
      </c>
      <c r="AC327" s="3">
        <f>387+(40.8-34.5)+(0+(0-0))+0-0-0</f>
        <v>393.3</v>
      </c>
      <c r="AD327">
        <f t="shared" si="5"/>
        <v>9774.9656739999991</v>
      </c>
      <c r="AE327" s="3">
        <f>418+(103.6-33)+(0+(0-0))+0-0-0</f>
        <v>488.6</v>
      </c>
    </row>
    <row r="328" spans="1:31" s="2" customFormat="1" x14ac:dyDescent="0.25">
      <c r="A328">
        <v>89</v>
      </c>
      <c r="B328">
        <v>11</v>
      </c>
      <c r="C328">
        <v>22</v>
      </c>
      <c r="D328">
        <v>7</v>
      </c>
      <c r="E328">
        <v>2</v>
      </c>
      <c r="F328" s="3">
        <f>378+(35.2-41.1)+(-0.19278+(-0.017952--0.020961))+0-0-0</f>
        <v>371.91022900000002</v>
      </c>
      <c r="G328" s="3">
        <f>378+(23.6-50.1)+(-0.19278+(-0.012036--0.025551))+0-0-0</f>
        <v>351.32073500000001</v>
      </c>
      <c r="H328" s="3">
        <f>316+(55.6-27.9)+(0+(0-0))+0-0-0</f>
        <v>343.7</v>
      </c>
      <c r="I328" s="3">
        <f>296+(63.3-25.6)+(-0.45288+(-0.096849--0.039168))+0-0-0</f>
        <v>333.18943899999999</v>
      </c>
      <c r="J328" s="3">
        <f>296+(66.9-27.2)+(-0.60384+(-0.136476--0.055488))+0-0-0</f>
        <v>335.01517200000001</v>
      </c>
      <c r="K328" s="3">
        <f>296+(99.3-29)+(0.15096+(0.050643-0.01479))+0-0-0</f>
        <v>366.48681299999998</v>
      </c>
      <c r="L328" s="3">
        <f>294+(117.5-31)+(-1.04958+(-0.419475--0.11067))+0-0-0</f>
        <v>379.141615</v>
      </c>
      <c r="M328" s="3">
        <f>294+(120.6-29)+(0+(0-0))+0-0-0</f>
        <v>385.6</v>
      </c>
      <c r="N328" s="3">
        <f>291+(128.5-27)+(0.44523+(0.196605-0.04131))+0-0-0</f>
        <v>393.100525</v>
      </c>
      <c r="O328" s="3">
        <f>294+(138.3-28)+(0.29988+(0.141066-0.02856))+0-0-0</f>
        <v>404.71238600000004</v>
      </c>
      <c r="P328" s="3">
        <f>369+(76-29)+(0.18819+(0.03876-0.01479))+0-0-0</f>
        <v>416.21215999999998</v>
      </c>
      <c r="Q328" s="3">
        <f>370+(82.3-29)+(0.1887+(0.041973-0.01479))+0-0-0</f>
        <v>423.51588300000003</v>
      </c>
      <c r="R328" s="3">
        <f>371+(80.4-25)+(-0.56763+(-0.123012--0.03825))+0-0-0</f>
        <v>425.74760799999996</v>
      </c>
      <c r="S328" s="3">
        <f>371+(71.1-24.5)+(-1.13526+(-0.217566--0.07497))+0-0-0</f>
        <v>416.32214400000004</v>
      </c>
      <c r="T328" s="3">
        <f>371+(56.6-24.7)+(-0.75684+(-0.115464--0.050388))+0-0-0</f>
        <v>402.07808399999999</v>
      </c>
      <c r="U328" s="3">
        <f>371+(63-23.1)+(-0.18921+(-0.03213--0.011781))+0-0-0</f>
        <v>410.69044099999996</v>
      </c>
      <c r="V328" s="3">
        <f>377+(87.5-23.9)+(-0.19227+(-0.044625--0.012189))+0-0-0</f>
        <v>440.375294</v>
      </c>
      <c r="W328" s="3">
        <f>354+(134.9-29)+(-0.54162+(-0.206397--0.04437))+0-0-0</f>
        <v>459.19635299999999</v>
      </c>
      <c r="X328" s="3">
        <f>376+(145.5-31)+(-0.38352+(-0.14841--0.03162))+0-0-0</f>
        <v>489.99968999999999</v>
      </c>
      <c r="Y328" s="3">
        <f>377+(130-29)+(-0.38454+(-0.1326--0.02958))+0-0-0</f>
        <v>477.51244000000003</v>
      </c>
      <c r="Z328" s="3">
        <f>378+(115-29)+(-0.57834+(-0.17595--0.04437))+0-0-0</f>
        <v>463.29007999999999</v>
      </c>
      <c r="AA328" s="3">
        <f>377+(99.3-27)+(0.57681+(0.151929-0.04131))+0-0-0</f>
        <v>449.98742900000002</v>
      </c>
      <c r="AB328" s="3">
        <f>378+(70.3-26)+(-0.57834+(-0.107559--0.03978))+0.9-0-0</f>
        <v>422.55388099999999</v>
      </c>
      <c r="AC328" s="3">
        <f>378+(51.2-31.4)+(-0.9639+(-0.13056--0.08007))+0-0-0</f>
        <v>396.78561000000002</v>
      </c>
      <c r="AD328">
        <f t="shared" si="5"/>
        <v>9758.4440110000014</v>
      </c>
      <c r="AE328" s="3">
        <f>377+(143.1-31)+(0+(0-0))+0-0-0</f>
        <v>489.1</v>
      </c>
    </row>
    <row r="329" spans="1:31" s="2" customFormat="1" x14ac:dyDescent="0.25">
      <c r="A329">
        <v>89</v>
      </c>
      <c r="B329">
        <v>11</v>
      </c>
      <c r="C329">
        <v>23</v>
      </c>
      <c r="D329">
        <v>1</v>
      </c>
      <c r="E329">
        <v>1</v>
      </c>
      <c r="F329" s="3">
        <f>377+(38.4-37.2)+(-1.15362+(-0.117504--0.113832))+0-0-0</f>
        <v>377.042708</v>
      </c>
      <c r="G329" s="3">
        <f>307+(63.5-22)+(-0.62628+(-0.12954--0.04488))+0-0-0</f>
        <v>347.78906000000001</v>
      </c>
      <c r="H329" s="3">
        <f>296+(70.8-22)+(-0.60384+(-0.144432--0.04488))+0-0-0</f>
        <v>344.096608</v>
      </c>
      <c r="I329" s="3">
        <f>296+(63.3-22)+(0+(0-0))+0-0-0</f>
        <v>337.3</v>
      </c>
      <c r="J329" s="3">
        <f>296+(67.6-24)+(0.45288+(0.103428-0.03672))+0-0-0</f>
        <v>340.11958800000002</v>
      </c>
      <c r="K329" s="3">
        <f>296+(98.5-27)+(0.90576+(0.30141-0.08262))+0-0-0</f>
        <v>368.62455</v>
      </c>
      <c r="L329" s="3">
        <f>294+(122.6-29)+(-1.04958+(-0.437682--0.10353))+0-0-0</f>
        <v>386.21626800000001</v>
      </c>
      <c r="M329" s="3">
        <f>310+(96.9-27)+(0.3162+(0.098838-0.02754))+0-0-0</f>
        <v>380.28749799999997</v>
      </c>
      <c r="N329" s="3">
        <f>371+(57-27)+(-0.94605+(-0.14535--0.06885))+0-0-0</f>
        <v>399.97744999999998</v>
      </c>
      <c r="O329" s="3">
        <f>404+(33.3-33.4)+(0.61812+(0.050949-0.051102))+0-0-0</f>
        <v>404.517967</v>
      </c>
      <c r="P329" s="3">
        <f>388+(34.3-35)+(0.19788+(0.017493-0.01785))+0-0-0</f>
        <v>387.497523</v>
      </c>
      <c r="Q329" s="3">
        <f>386+(25-35)+(-0.39372+(-0.0255--0.0357))+0-0-0</f>
        <v>375.61648000000002</v>
      </c>
      <c r="R329" s="3">
        <f>387+(23.4-35)+(-0.98685+(-0.05967--0.08925))+0-0-0</f>
        <v>374.44272999999998</v>
      </c>
      <c r="S329" s="3">
        <f>390+(23.1-33)+(-0.3978+(-0.023562--0.03366))+0-0-0</f>
        <v>379.71229800000003</v>
      </c>
      <c r="T329" s="3">
        <f>408+(9.9-37)+(0+(0-0))+0-0-0</f>
        <v>380.9</v>
      </c>
      <c r="U329" s="3">
        <f>410+(14.2-38)+(-0.6273+(-0.021726--0.05814))+0-0-0</f>
        <v>385.60911399999998</v>
      </c>
      <c r="V329" s="3">
        <f>421+(17.6-28)+(-0.85884+(-0.035904--0.05712))+0-0-0</f>
        <v>409.76237600000002</v>
      </c>
      <c r="W329" s="3">
        <f>422+(50-21)+(-0.21522+(-0.0255--0.01071))+0-0-0</f>
        <v>450.76999000000001</v>
      </c>
      <c r="X329" s="3">
        <f>422+(67.5-19)+(-0.43044+(-0.06885--0.01938))+0-0-0</f>
        <v>470.02008999999998</v>
      </c>
      <c r="Y329" s="3">
        <f>423+(60.9-18)+(-0.21573+(-0.031059--0.00918))+0-0-0</f>
        <v>465.66239099999996</v>
      </c>
      <c r="Z329" s="3">
        <f>424+(48.7-24)+(-0.86496+(-0.099348--0.04896))+0-0-0</f>
        <v>447.78465199999999</v>
      </c>
      <c r="AA329" s="3">
        <f>424+(38.7-39)+(0.21624+(0.019737-0.01989))+0-0-0</f>
        <v>423.916087</v>
      </c>
      <c r="AB329" s="3">
        <f>419+(31.5-50)+(-0.85476+(-0.06426--0.102))+0-0-0</f>
        <v>399.68297999999999</v>
      </c>
      <c r="AC329" s="3">
        <f>382+(41.7-35.9)+(-0.9741+(-0.106335--0.091545))+0-0-0</f>
        <v>386.81110999999999</v>
      </c>
      <c r="AD329">
        <f t="shared" si="5"/>
        <v>9424.1595179999986</v>
      </c>
      <c r="AE329" s="3">
        <f>424+(60.2-30)+(0+(0-0))+0-0-0</f>
        <v>454.2</v>
      </c>
    </row>
    <row r="330" spans="1:31" s="2" customFormat="1" x14ac:dyDescent="0.25">
      <c r="A330">
        <v>89</v>
      </c>
      <c r="B330">
        <v>11</v>
      </c>
      <c r="C330">
        <v>24</v>
      </c>
      <c r="D330">
        <v>2</v>
      </c>
      <c r="E330">
        <v>1</v>
      </c>
      <c r="F330" s="3">
        <f>375+(27.6-37)+(-0.3825+(-0.028152--0.03774))+0-0-0</f>
        <v>365.22708800000004</v>
      </c>
      <c r="G330" s="3">
        <f>296+(57.2-13)+(-0.7548+(-0.14586--0.03315))+0-0-0</f>
        <v>339.33249000000001</v>
      </c>
      <c r="H330" s="3">
        <f>296+(48.3-13)+(0+(0-0))+0-0-0</f>
        <v>331.3</v>
      </c>
      <c r="I330" s="3">
        <f>296+(46.6-14)+(-0.45288+(-0.071298--0.02142))+0-0-0</f>
        <v>328.09724200000005</v>
      </c>
      <c r="J330" s="3">
        <f>295+(51.4-15)+(0.6018+(0.104856-0.0306))+0-0-0</f>
        <v>332.07605599999999</v>
      </c>
      <c r="K330" s="3">
        <f>295+(89.1-15)+(0+(0-0))+0-0-0</f>
        <v>369.1</v>
      </c>
      <c r="L330" s="3">
        <f>357+(61.2-15)+(0.18207+(0.031212-0.00765))+0-0-0</f>
        <v>403.40563199999997</v>
      </c>
      <c r="M330" s="3">
        <f>382+(42.2-25.1)+(0+(0-0))+0-0-0</f>
        <v>399.1</v>
      </c>
      <c r="N330" s="3">
        <f>380+(43.1-25.5)+(0+(0-0))+0-0-0</f>
        <v>397.6</v>
      </c>
      <c r="O330" s="3">
        <f>377+(34.4-29.3)+(-0.19227+(-0.017544--0.014943))+0-0-0</f>
        <v>381.90512900000004</v>
      </c>
      <c r="P330" s="3">
        <f>377+(34.1-29)+(-0.57681+(-0.052173--0.04437))+0-0-0</f>
        <v>381.51538700000003</v>
      </c>
      <c r="Q330" s="3">
        <f>375+(31.2-31.3)+(-0.57375+(-0.047736--0.047889))+0-0-0</f>
        <v>374.32640299999997</v>
      </c>
      <c r="R330" s="3">
        <f>372+(39.4-32.3)+(-1.13832+(-0.120564--0.098838))+0-0-0</f>
        <v>377.939954</v>
      </c>
      <c r="S330" s="3">
        <f>370+(34.8-33.2)+(0.1887+(0.017748-0.016932))+0-0-0</f>
        <v>371.78951600000005</v>
      </c>
      <c r="T330" s="3">
        <f>370+(31.9-33.9)+(-1.1322+(-0.097614--0.103734))+0-0-0</f>
        <v>366.87392</v>
      </c>
      <c r="U330" s="3">
        <f>371+(31-34.5)+(-0.18921+(-0.01581--0.017595))+0-0-0</f>
        <v>367.31257499999998</v>
      </c>
      <c r="V330" s="3">
        <f>342+(57.7-25)+(-0.69768+(-0.117708--0.051))+0-0-0</f>
        <v>373.93561199999999</v>
      </c>
      <c r="W330" s="3">
        <f>294+(158-27)+(0.14994+(0.08058-0.01377))+0-0-0</f>
        <v>425.21674999999999</v>
      </c>
      <c r="X330" s="3">
        <f>362+(145.9-23)+(0+(0-0))+0-0-0</f>
        <v>484.9</v>
      </c>
      <c r="Y330" s="3">
        <f>378+(125-21)+(-1.15668+(-0.3825--0.06426))+0-0-0</f>
        <v>480.52508</v>
      </c>
      <c r="Z330" s="3">
        <f>378+(118-22)+(-0.57834+(-0.18054--0.03366))+0-0-0</f>
        <v>473.27478000000002</v>
      </c>
      <c r="AA330" s="3">
        <f>378+(92.6-22)+(-0.77112+(-0.188904--0.04488))+0-0-0</f>
        <v>447.68485600000002</v>
      </c>
      <c r="AB330" s="3">
        <f>379+(65-24.7)+(-0.38658+(-0.0663--0.025194))+0-0-0</f>
        <v>418.87231400000002</v>
      </c>
      <c r="AC330" s="3">
        <f>380+(45.6-34.1)+(-1.1628+(-0.139536--0.104346))+0-0-0</f>
        <v>390.30201</v>
      </c>
      <c r="AD330">
        <f t="shared" si="5"/>
        <v>9381.6127939999988</v>
      </c>
      <c r="AE330" s="3">
        <f>378+(138.7-30)+(0+(0-0))+0-0-0</f>
        <v>486.7</v>
      </c>
    </row>
    <row r="331" spans="1:31" s="2" customFormat="1" x14ac:dyDescent="0.25">
      <c r="A331">
        <v>89</v>
      </c>
      <c r="B331">
        <v>11</v>
      </c>
      <c r="C331">
        <v>25</v>
      </c>
      <c r="D331">
        <v>3</v>
      </c>
      <c r="E331">
        <v>1</v>
      </c>
      <c r="F331" s="3">
        <f>380+(82-42.5)+(-1.1628+(-0.25092--0.13005))+0-0-0</f>
        <v>418.21633000000003</v>
      </c>
      <c r="G331" s="3">
        <f>348+(96-31.7)+(0.17748+(0.04896-0.016167))+0-0-0</f>
        <v>412.51027299999998</v>
      </c>
      <c r="H331" s="3">
        <f>294+(77.1-21)+(-0.14994+(-0.039321--0.01071))+0-0-0</f>
        <v>349.921449</v>
      </c>
      <c r="I331" s="3">
        <f>294+(87-20)+(0+(0-0))+0-0-0</f>
        <v>361</v>
      </c>
      <c r="J331" s="3">
        <f>294+(94.2-20)+(-0.14994+(-0.048042--0.0102))+0-0-0</f>
        <v>368.01221799999996</v>
      </c>
      <c r="K331" s="3">
        <f>294+(134.9-24)+(0+(0-0))+0-0-0</f>
        <v>404.9</v>
      </c>
      <c r="L331" s="3">
        <f>290+(149.9-27)+(-0.1479+(-0.076449--0.01377))+0-0-0</f>
        <v>412.68942099999998</v>
      </c>
      <c r="M331" s="3">
        <f>309+(124.1-31)+(-0.15759+(-0.063291--0.01581))+0-0-0</f>
        <v>401.89492900000005</v>
      </c>
      <c r="N331" s="3">
        <f>364+(72.7-27)+(0.18564+(0.037077-0.01377))+0-0-0</f>
        <v>409.90894700000001</v>
      </c>
      <c r="O331" s="3">
        <f>375+(58.6-30.1)+(-0.765+(-0.119544--0.061404))+0-0-0</f>
        <v>402.67685999999998</v>
      </c>
      <c r="P331" s="3">
        <f>373+(53.4-33.2)+(-0.38046+(-0.054468--0.033864))+0-0-0</f>
        <v>392.79893599999997</v>
      </c>
      <c r="Q331" s="3">
        <f>372+(53.6-34.5)+(0.37944+(0.054672-0.03519))+0-0-0</f>
        <v>391.49892200000005</v>
      </c>
      <c r="R331" s="3">
        <f>371+(59.2-25.1)+(-0.94605+(-0.15096--0.064005))+0-0-0</f>
        <v>404.06699500000002</v>
      </c>
      <c r="S331" s="3">
        <f>371+(58-26.1)+(-0.37842+(-0.05916--0.026622))+0-0-0</f>
        <v>402.48904199999998</v>
      </c>
      <c r="T331" s="3">
        <f>371+(48.2-28.5)+(-0.18921+(-0.024582--0.014535))+0-0-0</f>
        <v>390.500743</v>
      </c>
      <c r="U331" s="3">
        <f>338+(57.4-26.1)+(0.17238+(0.029274-0.013311))+5.6-0-0</f>
        <v>375.08834300000001</v>
      </c>
      <c r="V331" s="3">
        <f>315+(95.3-23)+(0+(0-0))+10.5-0-0</f>
        <v>397.8</v>
      </c>
      <c r="W331" s="3">
        <f>302+(181.3-25)+(-0.46206+(-0.277389--0.03825))+0-0-0</f>
        <v>457.59880100000004</v>
      </c>
      <c r="X331" s="3">
        <f>343+(191.5-30)+(-0.52479+(-0.292995--0.0459))+0-0-0</f>
        <v>503.728115</v>
      </c>
      <c r="Y331" s="3">
        <f>307+(212.9-29)+(-0.46971+(-0.325737--0.04437))+0-0-0</f>
        <v>490.14892299999997</v>
      </c>
      <c r="Z331" s="3">
        <f>295+(204.6-29)+(-0.6018+(-0.417384--0.05916))+0-0-0</f>
        <v>469.63997600000005</v>
      </c>
      <c r="AA331" s="3">
        <f>295+(177.8-28)+(-0.6018+(-0.362712--0.05712))+0-0-0</f>
        <v>443.892608</v>
      </c>
      <c r="AB331" s="3">
        <f>295+(149.5-27)+(-0.15045+(-0.076245--0.01377))+0-0-0</f>
        <v>417.28707500000002</v>
      </c>
      <c r="AC331" s="3">
        <f>293+(124.1-24)+(-1.34487+(-0.569619--0.11016))+0-0-0</f>
        <v>391.29567100000003</v>
      </c>
      <c r="AD331">
        <f t="shared" si="5"/>
        <v>9869.5645769999992</v>
      </c>
      <c r="AE331" s="3">
        <f>356+(177.2-30)+(0+(0-0))+0-0-0</f>
        <v>503.2</v>
      </c>
    </row>
    <row r="332" spans="1:31" s="2" customFormat="1" x14ac:dyDescent="0.25">
      <c r="A332">
        <v>89</v>
      </c>
      <c r="B332">
        <v>11</v>
      </c>
      <c r="C332">
        <v>26</v>
      </c>
      <c r="D332">
        <v>4</v>
      </c>
      <c r="E332">
        <v>1</v>
      </c>
      <c r="F332" s="3">
        <f>294+(98-22)+(-0.44982+(-0.14994--0.03366))+0-0-0</f>
        <v>369.43389999999999</v>
      </c>
      <c r="G332" s="3">
        <f>294+(83.3-21)+(-0.44982+(-0.127449--0.03213))+0-0-0</f>
        <v>355.75486100000001</v>
      </c>
      <c r="H332" s="3">
        <f>294+(72.7-21)+(0.14994+(0.037077-0.01071))+0-0-0</f>
        <v>345.876307</v>
      </c>
      <c r="I332" s="3">
        <f>294+(72.2-20)+(-0.44982+(-0.110466--0.0306))+0-0-0</f>
        <v>345.67031399999996</v>
      </c>
      <c r="J332" s="3">
        <f>293+(80.5-20)+(0.14943+(0.041055-0.0102))+0-0-0</f>
        <v>353.68028500000003</v>
      </c>
      <c r="K332" s="3">
        <f>293+(126.1-25)+(-0.14943+(-0.064311--0.01275))+0-0-0</f>
        <v>393.89900900000004</v>
      </c>
      <c r="L332" s="3">
        <f>293+(153.5-29)+(-0.29886+(-0.15657--0.02958))+0-0-0</f>
        <v>417.07414999999997</v>
      </c>
      <c r="M332" s="3">
        <f>293+(152.7-31)+(-0.14943+(-0.077877--0.01581))+0-0-0</f>
        <v>414.48850299999998</v>
      </c>
      <c r="N332" s="3">
        <f>329+(113.7-31)+(0.67116+(0.231948-0.06324))+0-0-0</f>
        <v>412.53986800000001</v>
      </c>
      <c r="O332" s="3">
        <f>373+(65.9-30)+(-0.38046+(-0.067218--0.0306))+0-0-0</f>
        <v>408.48292199999997</v>
      </c>
      <c r="P332" s="3">
        <f>374+(62.8-28)+(-0.19074+(-0.032028--0.01428))+0-0-0</f>
        <v>408.59151200000002</v>
      </c>
      <c r="Q332" s="3">
        <f>373+(62.2-27)+(-0.76092+(-0.126888--0.05508))+0-0-0</f>
        <v>407.36727200000001</v>
      </c>
      <c r="R332" s="3">
        <f>372+(62.7-26.4)+(-1.13832+(-0.191862--0.080784))+0-0-0</f>
        <v>407.05060200000003</v>
      </c>
      <c r="S332" s="3">
        <f>307+(113.5-24)+(-0.31314+(-0.11577--0.02448))+0-0-0</f>
        <v>396.09557000000001</v>
      </c>
      <c r="T332" s="3">
        <f>291+(122.6-23)+(0+(0-0))+0-0-0</f>
        <v>390.6</v>
      </c>
      <c r="U332" s="3">
        <f>291+(121.4-23)+(-0.29682+(-0.123828--0.02346))+0-0-0</f>
        <v>389.00281199999995</v>
      </c>
      <c r="V332" s="3">
        <f>295+(127-24)+(0+(0-0))+0-0-0</f>
        <v>398</v>
      </c>
      <c r="W332" s="3">
        <f>296+(185.5-28)+(0+(0-0))+0-0-0</f>
        <v>453.5</v>
      </c>
      <c r="X332" s="3">
        <f>377+(173.8-30)+(-0.38454+(-0.177276--0.0306))+0-0-0</f>
        <v>520.26878399999998</v>
      </c>
      <c r="Y332" s="3">
        <f>379+(162.4-30)+(-1.15974+(-0.496944--0.0918))+0-0-0</f>
        <v>509.83511599999997</v>
      </c>
      <c r="Z332" s="3">
        <f>380+(138.7-28)+(-0.969+(-0.353685--0.0714))+0-0-0</f>
        <v>489.44871499999999</v>
      </c>
      <c r="AA332" s="3">
        <f>380+(110.6-27)+(-0.7752+(-0.225624--0.05508))+0-0-0</f>
        <v>462.65425600000003</v>
      </c>
      <c r="AB332" s="3">
        <f>381+(71.6-26)+(-0.38862+(-0.073032--0.02652))+0-0-0</f>
        <v>426.16486800000001</v>
      </c>
      <c r="AC332" s="3">
        <f>356+(62.8-25)+(-0.9078+(-0.16014--0.06375))+0-0-0</f>
        <v>392.79581000000002</v>
      </c>
      <c r="AD332">
        <f t="shared" si="5"/>
        <v>9868.2754359999999</v>
      </c>
      <c r="AE332" s="3">
        <f>379+(154.5-32)+(0+(0-0))+0-0-0</f>
        <v>501.5</v>
      </c>
    </row>
    <row r="333" spans="1:31" s="2" customFormat="1" x14ac:dyDescent="0.25">
      <c r="A333">
        <v>89</v>
      </c>
      <c r="B333">
        <v>11</v>
      </c>
      <c r="C333">
        <v>27</v>
      </c>
      <c r="D333">
        <v>5</v>
      </c>
      <c r="E333">
        <v>3</v>
      </c>
      <c r="F333" s="3">
        <f>294+(107.6-24)+(-0.7497+(-0.27438--0.0612))+0-0-0</f>
        <v>376.63712000000004</v>
      </c>
      <c r="G333" s="3">
        <f>294+(84.2-24)+(-0.44982+(-0.128826--0.03672))+0-0-0</f>
        <v>353.658074</v>
      </c>
      <c r="H333" s="3">
        <f>294+(77.1-23)+(-0.89964+(-0.235926--0.07038))+0-0-0</f>
        <v>347.03481400000004</v>
      </c>
      <c r="I333" s="3">
        <f>294+(74.7-23)+(0.14994+(0.038097-0.01173))+0-0-0</f>
        <v>345.876307</v>
      </c>
      <c r="J333" s="3">
        <f>294+(86.8-24)+(0.59976+(0.177072-0.04896))+0-0-0</f>
        <v>357.527872</v>
      </c>
      <c r="K333" s="3">
        <f>294+(140.8-26)+(0.89964+(0.430848-0.07956))+0-0-0</f>
        <v>410.050928</v>
      </c>
      <c r="L333" s="3">
        <f>294+(134.8-31)+(-0.7497+(-0.34374--0.07905))+0-0-0</f>
        <v>396.78561000000002</v>
      </c>
      <c r="M333" s="3">
        <f>294+(135.6-32)+(0.29988+(0.138312-0.03264))+0-0-0</f>
        <v>398.00555200000002</v>
      </c>
      <c r="N333" s="3">
        <f>348+(77.1-31)+(0.53244+(0.117963-0.04743))+0-0-0</f>
        <v>394.70297300000004</v>
      </c>
      <c r="O333" s="3">
        <f>355+(60.6-29)+(0.54315+(0.092718-0.04437))+0-0-0</f>
        <v>387.19149800000002</v>
      </c>
      <c r="P333" s="3">
        <f>355+(55.2-28)+(-0.7242+(-0.112608--0.05712))+0-0-0</f>
        <v>381.42031199999997</v>
      </c>
      <c r="Q333" s="3">
        <f>355+(60.8-28)+(-0.7242+(-0.124032--0.05712))+0-0-0</f>
        <v>387.00888800000001</v>
      </c>
      <c r="R333" s="3">
        <f>353+(80.7-27)+(-0.90015+(-0.205785--0.06885))+0-0-0</f>
        <v>405.662915</v>
      </c>
      <c r="S333" s="3">
        <f>353+(73.7-26)+(-0.54009+(-0.112761--0.03978))+0-0-0</f>
        <v>400.086929</v>
      </c>
      <c r="T333" s="3">
        <f>353+(57.9-25)+(-0.18003+(-0.029529--0.01275))+0-0-0</f>
        <v>385.703191</v>
      </c>
      <c r="U333" s="3">
        <f>353+(56.8-24)+(-0.90015+(-0.14484--0.0612))+0-0-0</f>
        <v>384.81621000000001</v>
      </c>
      <c r="V333" s="3">
        <f>358+(77-24)+(0+(0-0))+0-0-0</f>
        <v>411</v>
      </c>
      <c r="W333" s="3">
        <f>359+(146.8-28)+(-0.73236+(-0.299472--0.05712))+0-0-0</f>
        <v>476.825288</v>
      </c>
      <c r="X333" s="3">
        <f>395+(147.5-32)+(-1.81305+(-0.677025--0.14688))+0-0-0</f>
        <v>508.15680500000002</v>
      </c>
      <c r="Y333" s="3">
        <f>314+(237.1-31)+(-0.16014+(-0.120921--0.01581))+0-0-0</f>
        <v>519.83474899999999</v>
      </c>
      <c r="Z333" s="3">
        <f>313+(211.8-28)+(-1.43667+(-0.972162--0.12852))+0-0-0</f>
        <v>494.51968800000003</v>
      </c>
      <c r="AA333" s="3">
        <f>313+(171.4-26)+(-0.15963+(-0.087414--0.01326))+0-0-0</f>
        <v>458.16621599999996</v>
      </c>
      <c r="AB333" s="3">
        <f>313+(135.9-25)+(-0.79815+(-0.346545--0.06375))+0-0-0</f>
        <v>422.81905499999999</v>
      </c>
      <c r="AC333" s="3">
        <f>306+(118.4-24)+(-0.7803+(-0.30192--0.0612))+0-0-0</f>
        <v>399.37897999999996</v>
      </c>
      <c r="AD333">
        <f t="shared" si="5"/>
        <v>9802.8699739999975</v>
      </c>
      <c r="AE333" s="3">
        <f>313+(206.9-32)+(0+(0-0))+0-0-0</f>
        <v>487.9</v>
      </c>
    </row>
    <row r="334" spans="1:31" s="2" customFormat="1" x14ac:dyDescent="0.25">
      <c r="A334">
        <v>89</v>
      </c>
      <c r="B334">
        <v>11</v>
      </c>
      <c r="C334">
        <v>28</v>
      </c>
      <c r="D334">
        <v>6</v>
      </c>
      <c r="E334">
        <v>6</v>
      </c>
      <c r="F334" s="3">
        <f>294+(84.1-23)+(-0.14994+(-0.042891--0.01173))+0-0-0</f>
        <v>354.91889900000001</v>
      </c>
      <c r="G334" s="3">
        <f>294+(71-23)+(0+(0-0))+0-0-0</f>
        <v>342</v>
      </c>
      <c r="H334" s="3">
        <f>294+(66.4-23)+(-0.59976+(-0.135456--0.04692))+0-0-0</f>
        <v>336.711704</v>
      </c>
      <c r="I334" s="3">
        <f>294+(62.1-24)+(0.7497+(0.158355-0.0612))+0-0-0</f>
        <v>332.94685500000003</v>
      </c>
      <c r="J334" s="3">
        <f>294+(72.9-24)+(-0.29988+(-0.074358--0.02448))+0-0-0</f>
        <v>342.55024199999997</v>
      </c>
      <c r="K334" s="3">
        <f>294+(121.3-26)+(0.14994+(0.061863-0.01326))+0-0-0</f>
        <v>389.49854299999998</v>
      </c>
      <c r="L334" s="3">
        <f>298+(143.5-32)+(-0.45594+(-0.219555--0.04896))+0-0-0</f>
        <v>408.87346500000001</v>
      </c>
      <c r="M334" s="3">
        <f>390+(52.7-31)+(0+(0-0))+0-0-0</f>
        <v>411.7</v>
      </c>
      <c r="N334" s="3">
        <f>392+(45.5-34.3)+(0.19992+(0.023205-0.017493))+0-0-0</f>
        <v>403.40563199999997</v>
      </c>
      <c r="O334" s="3">
        <f>390+(44.7-44)+(0.5967+(0.068391-0.06732))+0-0-0</f>
        <v>391.29777100000001</v>
      </c>
      <c r="P334" s="3">
        <f>390+(43.8-27.3)+(-0.9945+(-0.11169--0.069615))+0-0-0</f>
        <v>405.46342499999997</v>
      </c>
      <c r="Q334" s="3">
        <f>389+(40.5-28.4)+(-0.99195+(-0.103275--0.07242))+0-0-0</f>
        <v>400.07719500000002</v>
      </c>
      <c r="R334" s="3">
        <f>389+(46.9-22)+(-1.38873+(-0.167433--0.07854))+0-0-0</f>
        <v>412.42237699999998</v>
      </c>
      <c r="S334" s="3">
        <f>389+(46.3-24.8)+(-0.19839+(-0.023613--0.012648))+0-0-0</f>
        <v>410.29064499999998</v>
      </c>
      <c r="T334" s="3">
        <f>384+(45.1-22.6)+(-0.58752+(-0.069003--0.034578))+0-0-0</f>
        <v>405.87805500000002</v>
      </c>
      <c r="U334" s="3">
        <f>306+(119.6-20)+(-0.7803+(-0.30498--0.051))+0-0-0</f>
        <v>404.56572</v>
      </c>
      <c r="V334" s="3">
        <f>314+(119.9-20)+(0+(0-0))+0-0-0</f>
        <v>413.9</v>
      </c>
      <c r="W334" s="3">
        <f>314+(178.1-23)+(-0.32028+(-0.181662--0.02346))+0-0-0</f>
        <v>468.62151800000004</v>
      </c>
      <c r="X334" s="3">
        <f>353+(169.7-31)+(-0.72012+(-0.346188--0.06324))+0-0-0</f>
        <v>490.696932</v>
      </c>
      <c r="Y334" s="3">
        <f>398+(115.3-32)+(-0.60894+(-0.176409--0.04896))+0-0-0</f>
        <v>480.56361100000004</v>
      </c>
      <c r="Z334" s="3">
        <f>399+(94.7-30)+(-0.20349+(-0.048297--0.0153))+0-0-0</f>
        <v>463.46351299999998</v>
      </c>
      <c r="AA334" s="3">
        <f>400+(67.9-28)+(-0.612+(-0.103887--0.04284))+0-0-0</f>
        <v>439.22695299999998</v>
      </c>
      <c r="AB334" s="3">
        <f>401+(48.1-32)+(-1.22706+(-0.147186--0.09792))+0-0-0</f>
        <v>415.82367400000004</v>
      </c>
      <c r="AC334" s="3">
        <f>380+(42.8-29)+(-0.969+(-0.10914--0.07395))+0-0-0</f>
        <v>392.79581000000002</v>
      </c>
      <c r="AD334">
        <f t="shared" si="5"/>
        <v>9717.6925389999979</v>
      </c>
      <c r="AE334" s="3">
        <f>399+(127.6-31)+(0+(0-0))+0-0-0</f>
        <v>495.6</v>
      </c>
    </row>
    <row r="335" spans="1:31" s="2" customFormat="1" x14ac:dyDescent="0.25">
      <c r="A335">
        <v>89</v>
      </c>
      <c r="B335">
        <v>11</v>
      </c>
      <c r="C335">
        <v>29</v>
      </c>
      <c r="D335">
        <v>7</v>
      </c>
      <c r="E335">
        <v>1</v>
      </c>
      <c r="F335" s="3">
        <f>313+(67.5-24)+(-0.79815+(-0.172125--0.0612))+0-0-0</f>
        <v>355.59092500000003</v>
      </c>
      <c r="G335" s="3">
        <f>313+(50.3-24)+(-0.63852+(-0.102612--0.04896))+0-0-0</f>
        <v>338.60782799999998</v>
      </c>
      <c r="H335" s="3">
        <f>313+(45.3-23)+(-0.47889+(-0.069309--0.03519))+0-0-0</f>
        <v>334.786991</v>
      </c>
      <c r="I335" s="3">
        <f>313+(40.4-23)+(-0.63852+(-0.082416--0.04692))+0-0-0</f>
        <v>329.72598399999998</v>
      </c>
      <c r="J335" s="3">
        <f>313+(42.8-27)+(0.15963+(0.021828-0.01377))+0-0-0</f>
        <v>328.96768800000001</v>
      </c>
      <c r="K335" s="3">
        <f>313+(79.2-27)+(0.15963+(0.040392-0.01377))+0-0-0</f>
        <v>365.38625200000001</v>
      </c>
      <c r="L335" s="3">
        <f>312+(95.3-28)+(-0.7956+(-0.243015--0.0714))+0-0-0</f>
        <v>378.332785</v>
      </c>
      <c r="M335" s="3">
        <f>312+(105.7-30)+(-0.47736+(-0.161721--0.0459))+0-0-0</f>
        <v>387.10681899999997</v>
      </c>
      <c r="N335" s="3">
        <f>311+(113.5-31)+(-0.47583+(-0.173655--0.04743))+0-0-0</f>
        <v>392.89794499999999</v>
      </c>
      <c r="O335" s="3">
        <f>328+(102.5-31)+(0.16728+(0.052275-0.01581))+0-0-0</f>
        <v>399.70374500000003</v>
      </c>
      <c r="P335" s="3">
        <f>390+(58.9-30)+(-0.1989+(-0.030039--0.0153))+0-0-0</f>
        <v>418.68636099999998</v>
      </c>
      <c r="Q335" s="3">
        <f>389+(65.3-29)+(-0.79356+(-0.133212--0.05916))+0-0-0</f>
        <v>424.432388</v>
      </c>
      <c r="R335" s="3">
        <f>386+(62.2-28)+(-0.78744+(-0.126888--0.05712))+0-0-0</f>
        <v>419.34279199999997</v>
      </c>
      <c r="S335" s="3">
        <f>386+(54.6-27)+(-0.9843+(-0.13923--0.06885))+0-0-0</f>
        <v>412.54532</v>
      </c>
      <c r="T335" s="3">
        <f>386+(47.5-26)+(-0.59058+(-0.072675--0.03978))+2.1-0-0</f>
        <v>408.97652500000004</v>
      </c>
      <c r="U335" s="3">
        <f>387+(33.6-37.3)+(-0.78948+(-0.068544--0.076092))+4-0-0</f>
        <v>386.51806800000003</v>
      </c>
      <c r="V335" s="3">
        <f>395+(41.4-29.6)+(-0.4029+(-0.042228--0.030192))+2-0-0</f>
        <v>408.385064</v>
      </c>
      <c r="W335" s="3">
        <f>378+(102.7-28)+(-0.57834+(-0.157131--0.04284))+0-0-0</f>
        <v>452.00736899999998</v>
      </c>
      <c r="X335" s="3">
        <f>379+(133.5-30)+(-0.77316+(-0.27234--0.0612))+0-0-0</f>
        <v>481.51569999999998</v>
      </c>
      <c r="Y335" s="3">
        <f>379+(129-29)+(-0.96645+(-0.32895--0.07395))+0-0-0</f>
        <v>477.77855</v>
      </c>
      <c r="Z335" s="3">
        <f>380+(111.9-29)+(-0.3876+(-0.114138--0.02958))+0-0-0</f>
        <v>462.427842</v>
      </c>
      <c r="AA335" s="3">
        <f>346+(115.1-28)+(0.17646+(0.058701-0.01428))+0-0-0</f>
        <v>433.32088100000004</v>
      </c>
      <c r="AB335" s="3">
        <f>369+(77.3-27)+(-0.75276+(-0.157692--0.05508))+0-0-0</f>
        <v>418.44462800000002</v>
      </c>
      <c r="AC335" s="3">
        <f>294+(106.4-26)+(-0.7497+(-0.27132--0.0663))+0-0-0</f>
        <v>373.44527999999997</v>
      </c>
      <c r="AD335">
        <f t="shared" si="5"/>
        <v>9588.9337300000007</v>
      </c>
      <c r="AE335" s="3">
        <f>379+(139.1-31)+(0+(0-0))+0-0-0</f>
        <v>487.1</v>
      </c>
    </row>
    <row r="336" spans="1:31" s="2" customFormat="1" x14ac:dyDescent="0.25">
      <c r="A336">
        <v>89</v>
      </c>
      <c r="B336">
        <v>11</v>
      </c>
      <c r="C336">
        <v>30</v>
      </c>
      <c r="D336">
        <v>1</v>
      </c>
      <c r="E336">
        <v>1</v>
      </c>
      <c r="F336" s="3">
        <f>294+(94.1-24)+(-0.44982+(-0.143973--0.03672))+0-0-0</f>
        <v>363.54292700000002</v>
      </c>
      <c r="G336" s="3">
        <f>294+(80.5-22)+(-0.7497+(-0.205275--0.0561))+0-0-0</f>
        <v>351.60112500000002</v>
      </c>
      <c r="H336" s="3">
        <f>294+(72.5-22)+(0.14994+(0.036975-0.01122))+0-0-0</f>
        <v>344.67569500000002</v>
      </c>
      <c r="I336" s="3">
        <f>294+(75.6-22)+(-0.14994+(-0.038556--0.01122))+0-0-0</f>
        <v>347.42272400000002</v>
      </c>
      <c r="J336" s="3">
        <f>294+(82.7-23)+(0.59976+(0.168708-0.04692))+0-0-0</f>
        <v>354.42154799999997</v>
      </c>
      <c r="K336" s="3">
        <f>294+(130.7-25)+(0.29988+(0.133314-0.0255))+0-0-0</f>
        <v>400.10769399999998</v>
      </c>
      <c r="L336" s="3">
        <f>294+(154.2-30)+(0+(0-0))+0-0-0</f>
        <v>418.2</v>
      </c>
      <c r="M336" s="3">
        <f>294+(151.3-30)+(0+(0-0))+0-0-0</f>
        <v>415.3</v>
      </c>
      <c r="N336" s="3">
        <f>337+(124.8-29)+(0.68748+(0.254592-0.05916))+0-0-0</f>
        <v>433.68291199999999</v>
      </c>
      <c r="O336" s="3">
        <f>377+(100.3-26)+(-0.19227+(-0.051153--0.01326))+0-0-0</f>
        <v>451.06983700000001</v>
      </c>
      <c r="P336" s="3">
        <f>375+(80.1-24)+(-0.57375+(-0.122553--0.03672))+0-0-0</f>
        <v>430.44041700000002</v>
      </c>
      <c r="Q336" s="3">
        <f>377+(74.4-24)+(-0.19227+(-0.037944--0.01224))+0-0-0</f>
        <v>427.18202599999995</v>
      </c>
      <c r="R336" s="3">
        <f>390+(68.3-24)+(-0.1989+(-0.034833--0.01224))+0-0-0</f>
        <v>434.078507</v>
      </c>
      <c r="S336" s="3">
        <f>391+(69.4-27)+(-0.99705+(-0.17697--0.06885))+0-0-0</f>
        <v>432.29482999999999</v>
      </c>
      <c r="T336" s="3">
        <f>392+(59.4-31.9)+(-0.19992+(-0.030294--0.016269))+0-0-0</f>
        <v>419.28605499999998</v>
      </c>
      <c r="U336" s="3">
        <f>392+(57-37)+(-0.59976+(-0.08721--0.05661))+0-0-0</f>
        <v>411.36964</v>
      </c>
      <c r="V336" s="3">
        <f>398+(58.6-36.1)+(-0.81192+(-0.119544--0.073644))+0-0-0</f>
        <v>419.64218</v>
      </c>
      <c r="W336" s="3">
        <f>399+(94.3-30)+(-0.81396+(-0.192372--0.0612))+0-0-0</f>
        <v>462.35486800000001</v>
      </c>
      <c r="X336" s="3">
        <f>400+(132.8-31)+(-0.612+(-0.203184--0.04743))+0-0-0</f>
        <v>501.03224599999999</v>
      </c>
      <c r="Y336" s="3">
        <f>401+(123.3-31)+(-1.02255+(-0.314415--0.07905))+0-0-0</f>
        <v>492.04208499999999</v>
      </c>
      <c r="Z336" s="3">
        <f>401+(106.8-30)+(-0.61353+(-0.163404--0.0459))+0-0-0</f>
        <v>477.06896599999999</v>
      </c>
      <c r="AA336" s="3">
        <f>353+(128.6-29)+(-0.54009+(-0.196758--0.04437))+0-0-0</f>
        <v>451.90752200000003</v>
      </c>
      <c r="AB336" s="3">
        <f>316+(136.3-27)+(-0.8058+(-0.347565--0.06885))+0-0-0</f>
        <v>424.215485</v>
      </c>
      <c r="AC336" s="3">
        <f>316+(109.5-26)+(-0.8058+(-0.279225--0.0663))+0-0-0</f>
        <v>398.48127499999998</v>
      </c>
      <c r="AD336">
        <f t="shared" si="5"/>
        <v>10061.420564</v>
      </c>
      <c r="AE336" s="3">
        <f>401+(119.9-31)+(0+(0-0))+0-0-0</f>
        <v>489.9</v>
      </c>
    </row>
    <row r="337" spans="1:31" s="2" customFormat="1" x14ac:dyDescent="0.25">
      <c r="A337">
        <v>89</v>
      </c>
      <c r="B337">
        <v>12</v>
      </c>
      <c r="C337">
        <v>1</v>
      </c>
      <c r="D337">
        <v>2</v>
      </c>
      <c r="E337">
        <v>1</v>
      </c>
      <c r="F337" s="3">
        <f>312+(90.9-24)+(-1.11384+(-0.324513--0.08568))+0-0-0</f>
        <v>377.547327</v>
      </c>
      <c r="G337" s="3">
        <f>312+(66-24)+(0+(0-0))+0-0-0</f>
        <v>354</v>
      </c>
      <c r="H337" s="3">
        <f>312+(62.2-23)+(-0.63648+(-0.126888--0.04692))+0-0-0</f>
        <v>350.48355199999997</v>
      </c>
      <c r="I337" s="3">
        <f>312+(60.8-23)+(0.7956+(0.15504-0.05865))+0-0-0</f>
        <v>350.69199000000003</v>
      </c>
      <c r="J337" s="3">
        <f>312+(72.3-26)+(0+(0-0))+0-0-0</f>
        <v>358.3</v>
      </c>
      <c r="K337" s="3">
        <f>312+(117.1-28)+(0.31824+(0.119442-0.02856))+0-0-0</f>
        <v>401.50912200000005</v>
      </c>
      <c r="L337" s="3">
        <f>312+(140.9-30)+(0.31824+(0.143718-0.0306))+0-0-0</f>
        <v>423.33135799999997</v>
      </c>
      <c r="M337" s="3">
        <f>365+(88.8-32)+(0.3723+(0.090576-0.03264))+0-0-0</f>
        <v>422.23023599999999</v>
      </c>
      <c r="N337" s="3">
        <f>397+(65.3-34)+(0.60741+(0.099909-0.05202))+0-0-0</f>
        <v>428.95529900000002</v>
      </c>
      <c r="O337" s="3">
        <f>405+(70.2-40)+(-0.4131+(-0.071604--0.0408))+0-0-0</f>
        <v>434.75609600000001</v>
      </c>
      <c r="P337" s="3">
        <f>410+(58-38)+(-0.6273+(-0.08874--0.05814))+0-0-0</f>
        <v>429.34210000000002</v>
      </c>
      <c r="Q337" s="3">
        <f>396+(45.1-42.4)+(-1.41372+(-0.161007--0.151368))+25-0-0</f>
        <v>422.27664099999998</v>
      </c>
      <c r="R337" s="3">
        <f>370+(46-43.1)+(-0.7548+(-0.09384--0.087924))+20.8-0-0</f>
        <v>392.93928399999999</v>
      </c>
      <c r="S337" s="3">
        <f>402+(40.4-44)+(-0.82008+(-0.082416--0.08976))+0-0-0</f>
        <v>397.587264</v>
      </c>
      <c r="T337" s="3">
        <f>403+(35.4-47.4)+(-0.20553+(-0.018054--0.024174))+0-0-0</f>
        <v>390.80059</v>
      </c>
      <c r="U337" s="3">
        <f>405+(37.7-37.8)+(0.61965+(0.057681-0.057834))+0-0-0</f>
        <v>405.519497</v>
      </c>
      <c r="V337" s="3">
        <f>414+(43.5-36.8)+(0+(0-0))+0-0-0</f>
        <v>420.7</v>
      </c>
      <c r="W337" s="3">
        <f>415+(79.5-30)+(0+(0-0))+0-0-0</f>
        <v>464.5</v>
      </c>
      <c r="X337" s="3">
        <f>416+(109.2-32)+(-0.63648+(-0.167076--0.04896))+0-0-0</f>
        <v>492.445404</v>
      </c>
      <c r="Y337" s="3">
        <f>416+(100.3-32)+(-0.84864+(-0.204612--0.06528))+0-0-0</f>
        <v>483.312028</v>
      </c>
      <c r="Z337" s="3">
        <f>417+(95.7-31)+(-0.42534+(-0.097614--0.03162))+0-0-0</f>
        <v>481.20866599999999</v>
      </c>
      <c r="AA337" s="3">
        <f>418+(59-51)+(0.21318+(0.03009-0.02601))+0-0-0</f>
        <v>426.21726000000001</v>
      </c>
      <c r="AB337" s="3">
        <f>390+(62.4-28)+(-0.9945+(-0.15912--0.0714))+0-0-0</f>
        <v>423.31777999999997</v>
      </c>
      <c r="AC337" s="3">
        <f>385+(55.2-30.2)+(0.19635+(0.028152-0.015402))+0-0-0</f>
        <v>410.20909999999998</v>
      </c>
      <c r="AD337">
        <f t="shared" si="5"/>
        <v>9942.1805939999995</v>
      </c>
      <c r="AE337" s="3">
        <f>415+(99.4-32)+(0+(0-0))+0-0-0</f>
        <v>482.4</v>
      </c>
    </row>
    <row r="338" spans="1:31" s="2" customFormat="1" x14ac:dyDescent="0.25">
      <c r="A338">
        <v>89</v>
      </c>
      <c r="B338">
        <v>12</v>
      </c>
      <c r="C338">
        <v>2</v>
      </c>
      <c r="D338">
        <v>3</v>
      </c>
      <c r="E338">
        <v>1</v>
      </c>
      <c r="F338" s="3">
        <f>345+(73.3-26)+(-0.7038+(-0.149532--0.05304))+0-0-0</f>
        <v>391.499708</v>
      </c>
      <c r="G338" s="3">
        <f>294+(88.8-24)+(-0.59976+(-0.181152--0.04896))+0-0-0</f>
        <v>358.06804800000003</v>
      </c>
      <c r="H338" s="3">
        <f>294+(80.6-24)+(0.14994+(0.041106-0.01224))+0-0-0</f>
        <v>350.77880600000003</v>
      </c>
      <c r="I338" s="3">
        <f>294+(77.1-23)+(0.59976+(0.157284-0.04692))+0-0-0</f>
        <v>348.81012400000003</v>
      </c>
      <c r="J338" s="3">
        <f>294+(84.1-26)+(-0.14994+(-0.042891--0.01326))+0-0-0</f>
        <v>351.92042900000001</v>
      </c>
      <c r="K338" s="3">
        <f>294+(122.5-29)+(0+(0-0))+0-0-0</f>
        <v>387.5</v>
      </c>
      <c r="L338" s="3">
        <f>297+(142.5-30)+(-0.60588+(-0.2907--0.0612))+0-0-0</f>
        <v>408.66462000000001</v>
      </c>
      <c r="M338" s="3">
        <f>297+(151-28)+(-0.45441+(-0.23103--0.04284))+0-0-0</f>
        <v>419.35739999999998</v>
      </c>
      <c r="N338" s="3">
        <f>294+(161.1-29)+(0.44982+(0.246483-0.04437))+0-0-0</f>
        <v>426.75193300000001</v>
      </c>
      <c r="O338" s="3">
        <f>294+(165.5-28)+(0.14994+(0.084405-0.01428))+0-0-0</f>
        <v>431.72006499999998</v>
      </c>
      <c r="P338" s="3">
        <f>362+(106.7-27)+(-0.36924+(-0.108834--0.02754))+0-0-0</f>
        <v>441.24946599999998</v>
      </c>
      <c r="Q338" s="3">
        <f>392+(86.5-34)+(-0.39984+(-0.08823--0.03468))+0-0-0</f>
        <v>444.04660999999999</v>
      </c>
      <c r="R338" s="3">
        <f>389+(82.7-34)+(-1.19034+(-0.253062--0.10404))+0-0-0</f>
        <v>436.36063799999999</v>
      </c>
      <c r="S338" s="3">
        <f>388+(81.7-35)+(-0.39576+(-0.083334--0.0357))+0-0-0</f>
        <v>434.25660599999998</v>
      </c>
      <c r="T338" s="3">
        <f>309+(140.5-24)+(0.31518+(0.14331-0.02448))+0-0-0</f>
        <v>425.93401</v>
      </c>
      <c r="U338" s="3">
        <f>307+(145.6-24)+(-0.62628+(-0.297024--0.04896))+0-0-0</f>
        <v>427.72565600000001</v>
      </c>
      <c r="V338" s="3">
        <f>314+(165.6-27)+(0.32028+(0.168912-0.02754))+0-0-0</f>
        <v>453.06165200000004</v>
      </c>
      <c r="W338" s="3">
        <f>314+(200.6-30)+(-0.32028+(-0.204612--0.0306))+0-0-0</f>
        <v>484.10570800000005</v>
      </c>
      <c r="X338" s="3">
        <f>380+(144.9-31)+(-0.1938+(-0.073899--0.01581))+0-0-0</f>
        <v>493.64811099999997</v>
      </c>
      <c r="Y338" s="3">
        <f>399+(120.2-31)+(-0.40698+(-0.122604--0.03162))+0-0-0</f>
        <v>487.70203599999996</v>
      </c>
      <c r="Z338" s="3">
        <f>399+(106.8-30)+(-0.20349+(-0.054468--0.0153))+0-0-0</f>
        <v>475.55734200000001</v>
      </c>
      <c r="AA338" s="3">
        <f>399+(90.2-29)+(-0.20349+(-0.046002--0.01479))+0-0-0</f>
        <v>459.96529799999996</v>
      </c>
      <c r="AB338" s="3">
        <f>350+(95.9-27)+(-0.714+(-0.195636--0.05508))+0-0-0</f>
        <v>418.04544399999997</v>
      </c>
      <c r="AC338" s="3">
        <f>314+(96.5-25)+(0+(0-0))+0-0-0</f>
        <v>385.5</v>
      </c>
      <c r="AD338">
        <f t="shared" si="5"/>
        <v>10142.22971</v>
      </c>
      <c r="AE338" s="3">
        <f>398+(112.4-31)+(0+(0-0))+0-0-0</f>
        <v>479.4</v>
      </c>
    </row>
    <row r="339" spans="1:31" s="2" customFormat="1" x14ac:dyDescent="0.25">
      <c r="A339">
        <v>89</v>
      </c>
      <c r="B339">
        <v>12</v>
      </c>
      <c r="C339">
        <v>3</v>
      </c>
      <c r="D339">
        <v>4</v>
      </c>
      <c r="E339">
        <v>1</v>
      </c>
      <c r="F339" s="3">
        <f>313+(82.5-24)+(-0.31926+(-0.08415--0.02448))+0-0-0</f>
        <v>371.12106999999997</v>
      </c>
      <c r="G339" s="3">
        <f>313+(71.8-24)+(0+(0-0))+0-0-0</f>
        <v>360.8</v>
      </c>
      <c r="H339" s="3">
        <f>313+(59.5-24)+(0+(0-0))+0-0-0</f>
        <v>348.5</v>
      </c>
      <c r="I339" s="3">
        <f>313+(65.1-25)+(-0.47889+(-0.099603--0.03825))+0-0-0</f>
        <v>352.55975700000005</v>
      </c>
      <c r="J339" s="3">
        <f>313+(76-26)+(-0.63852+(-0.15504--0.05304))+0-0-0</f>
        <v>362.25948</v>
      </c>
      <c r="K339" s="3">
        <f>313+(118-28)+(0.31926+(0.12036-0.02856))+0-0-0</f>
        <v>403.41106000000002</v>
      </c>
      <c r="L339" s="3">
        <f>309+(145.7-30)+(-0.31518+(-0.148614--0.0306))+0-0-0</f>
        <v>424.26680599999997</v>
      </c>
      <c r="M339" s="3">
        <f>309+(152.5-28)+(-0.47277+(-0.233325--0.04284))+0-0-0</f>
        <v>432.83674500000001</v>
      </c>
      <c r="N339" s="3">
        <f>323+(137.6-28)+(0+(0-0))+0-0-0</f>
        <v>432.6</v>
      </c>
      <c r="O339" s="3">
        <f>390+(90.7-51)+(-0.3978+(-0.092514--0.05202))+0-0-0</f>
        <v>429.261706</v>
      </c>
      <c r="P339" s="3">
        <f>390+(90.1-51)+(-0.9945+(-0.229755--0.13005))+0-0-0</f>
        <v>428.00579500000003</v>
      </c>
      <c r="Q339" s="3">
        <f>389+(87.2-45)+(-0.39678+(-0.088944--0.0459))+0-0-0</f>
        <v>430.760176</v>
      </c>
      <c r="R339" s="3">
        <f>383+(86.6-47)+(-0.97665+(-0.22083--0.11985))+0-0-0</f>
        <v>421.52237000000002</v>
      </c>
      <c r="S339" s="3">
        <f>382+(93.3-27)+(0+(0-0))+0-0-0</f>
        <v>448.3</v>
      </c>
      <c r="T339" s="3">
        <f>303+(137.1-26)+(0.15453+(0.069921-0.01326))+0-0-0</f>
        <v>414.31119100000001</v>
      </c>
      <c r="U339" s="3">
        <f>302+(135.3-26)+(0+(0-0))+0-0-0</f>
        <v>411.3</v>
      </c>
      <c r="V339" s="3">
        <f>311+(152.5-28)+(0+(0-0))+0-0-0</f>
        <v>435.5</v>
      </c>
      <c r="W339" s="3">
        <f>301+(197.9-31)+(-0.15351+(-0.100929--0.01581))+0-0-0</f>
        <v>467.66137099999997</v>
      </c>
      <c r="X339" s="3">
        <f>362+(169.2-32)+(-0.18462+(-0.086292--0.01632))+0-0-0</f>
        <v>498.94540799999999</v>
      </c>
      <c r="Y339" s="3">
        <f>397+(134.6-32)+(-0.60741+(-0.205938--0.04896))+0-0-0</f>
        <v>498.83561200000003</v>
      </c>
      <c r="Z339" s="3">
        <f>398+(109.3-31)+(-0.40596+(-0.111486--0.03162))+0-0-0</f>
        <v>475.81417400000004</v>
      </c>
      <c r="AA339" s="3">
        <f>398+(85.9-33)+(-1.21788+(-0.262854--0.10098))+0-0-0</f>
        <v>449.52024599999999</v>
      </c>
      <c r="AB339" s="3">
        <f>357+(93.3-28)+(-0.72828+(-0.190332--0.05712))+0-0-0</f>
        <v>421.43850800000001</v>
      </c>
      <c r="AC339" s="3">
        <f>309+(98.9-26)+(-0.94554+(-0.302634--0.07956))+0-0-0</f>
        <v>380.73138599999999</v>
      </c>
      <c r="AD339">
        <f t="shared" si="5"/>
        <v>10100.262860999997</v>
      </c>
      <c r="AE339" s="3">
        <f>380+(162.5-32)+(0+(0-0))+0-0-0</f>
        <v>510.5</v>
      </c>
    </row>
    <row r="340" spans="1:31" s="2" customFormat="1" x14ac:dyDescent="0.25">
      <c r="A340">
        <v>89</v>
      </c>
      <c r="B340">
        <v>12</v>
      </c>
      <c r="C340">
        <v>4</v>
      </c>
      <c r="D340">
        <v>5</v>
      </c>
      <c r="E340">
        <v>1</v>
      </c>
      <c r="F340" s="3">
        <f>308+(68.5-25)+(0.31416+(0.06987-0.0255))+0-0-0</f>
        <v>351.85852999999997</v>
      </c>
      <c r="G340" s="3">
        <f>308+(55.1-24)+(-0.62832+(-0.112404--0.04896))+0-0-0</f>
        <v>338.40823600000004</v>
      </c>
      <c r="H340" s="3">
        <f>309+(42.6-24)+(0.15759+(0.021726-0.01224))+0-0-0</f>
        <v>327.76707600000003</v>
      </c>
      <c r="I340" s="3">
        <f>309+(40.9-26)+(-0.63036+(-0.083436--0.05304))+0-0-0</f>
        <v>323.23924399999999</v>
      </c>
      <c r="J340" s="3">
        <f>309+(47.9-27)+(-0.47277+(-0.073287--0.04131))+0-0-0</f>
        <v>329.39525299999997</v>
      </c>
      <c r="K340" s="3">
        <f>309+(82.6-30)+(0.15759+(0.042126-0.0153))+0-0-0</f>
        <v>361.78441600000002</v>
      </c>
      <c r="L340" s="3">
        <f>310+(136.8-31)+(-0.6324+(-0.279072--0.06324))+0-0-0</f>
        <v>414.95176800000002</v>
      </c>
      <c r="M340" s="3">
        <f>310+(140-30)+(-0.3162+(-0.1428--0.0306))+0-0-0</f>
        <v>419.57159999999999</v>
      </c>
      <c r="N340" s="3">
        <f>317+(112.5-29)+(0+(0-0))+9.8-0-0</f>
        <v>410.3</v>
      </c>
      <c r="O340" s="3">
        <f>424+(48.3-50)+(-0.21624+(-0.024633--0.0255))+0-0-0</f>
        <v>422.08462700000001</v>
      </c>
      <c r="P340" s="3">
        <f>435+(33.5-51)+(-0.22185+(-0.017085--0.02601))+0-0-0</f>
        <v>417.28707500000002</v>
      </c>
      <c r="Q340" s="3">
        <f>434+(42.1-53)+(-0.22134+(-0.021471--0.02703))+0-0-0</f>
        <v>422.88421900000003</v>
      </c>
      <c r="R340" s="3">
        <f>430+(47.1-48)+(-1.0965+(-0.120105--0.1224))+0-0-0</f>
        <v>428.00579500000003</v>
      </c>
      <c r="S340" s="3">
        <f>431+(41.5-50)+(-0.21981+(-0.021165--0.0255))+0-0-0</f>
        <v>422.28452499999997</v>
      </c>
      <c r="T340" s="3">
        <f>432+(36.7-50)+(-1.1016+(-0.093585--0.1275))+0-0-0</f>
        <v>417.63231500000001</v>
      </c>
      <c r="U340" s="3">
        <f>424+(40.5-50)+(-0.64872+(-0.061965--0.0765))+0-0-0</f>
        <v>413.865815</v>
      </c>
      <c r="V340" s="3">
        <f>405+(81.8-28)+(-1.85895+(-0.375462--0.12852))+0-0-0</f>
        <v>456.69410800000003</v>
      </c>
      <c r="W340" s="3">
        <f>349+(152.6-31)+(0+(0-0))+0-0-0</f>
        <v>470.6</v>
      </c>
      <c r="X340" s="3">
        <f>393+(126.6-32)+(-0.80172+(-0.258264--0.06528))+0-0-0</f>
        <v>486.60529600000001</v>
      </c>
      <c r="Y340" s="3">
        <f>431+(91.6-32)+(0+(0-0))+0-0-0</f>
        <v>490.6</v>
      </c>
      <c r="Z340" s="3">
        <f>401+(120.9-30)+(0+(0-0))+0-0-0</f>
        <v>491.9</v>
      </c>
      <c r="AA340" s="3">
        <f>349+(129.1-29)+(-0.35598+(-0.131682--0.02958))+0-0-0</f>
        <v>448.64191800000003</v>
      </c>
      <c r="AB340" s="3">
        <f>349+(103.6-28)+(-0.71196+(-0.211344--0.05712))+0-0-0</f>
        <v>423.73381600000005</v>
      </c>
      <c r="AC340" s="3">
        <f>319+(102.6-26)+(-1.30152+(-0.418608--0.10608))+0-0-0</f>
        <v>393.985952</v>
      </c>
      <c r="AD340">
        <f t="shared" si="5"/>
        <v>9884.0815839999996</v>
      </c>
      <c r="AE340" s="3">
        <f>430+(104.6-32)+(0+(0-0))+0-0-0</f>
        <v>502.6</v>
      </c>
    </row>
    <row r="341" spans="1:31" s="2" customFormat="1" x14ac:dyDescent="0.25">
      <c r="A341">
        <v>89</v>
      </c>
      <c r="B341">
        <v>12</v>
      </c>
      <c r="C341">
        <v>5</v>
      </c>
      <c r="D341">
        <v>6</v>
      </c>
      <c r="E341">
        <v>1</v>
      </c>
      <c r="F341" s="3">
        <f>310+(67.8-25)+(-0.4743+(-0.103734--0.03825))+0-0-0</f>
        <v>352.26021600000001</v>
      </c>
      <c r="G341" s="3">
        <f>310+(60.5-24)+(0.3162+(0.06171-0.02448))+0-0-0</f>
        <v>346.85343</v>
      </c>
      <c r="H341" s="3">
        <f>310+(47.1-25)+(-0.9486+(-0.144126--0.0765))+0-0-0</f>
        <v>331.08377400000001</v>
      </c>
      <c r="I341" s="3">
        <f>310+(45.8-25)+(0.3162+(0.046716-0.0255))+0-0-0</f>
        <v>331.13741600000003</v>
      </c>
      <c r="J341" s="3">
        <f>310+(54.7-27)+(0.1581+(0.027897-0.01377))+0-0-0</f>
        <v>337.87222700000001</v>
      </c>
      <c r="K341" s="3">
        <f>310+(89-28)+(0.9486+(0.27234-0.08568))+0-0-0</f>
        <v>372.13526000000002</v>
      </c>
      <c r="L341" s="3">
        <f>358+(78.5-29)+(0+(0-0))+0-0-0</f>
        <v>407.5</v>
      </c>
      <c r="M341" s="3">
        <f>398+(65.7-25)+(0.60894+(0.100521-0.03825))+0-0-0</f>
        <v>439.37121100000002</v>
      </c>
      <c r="N341" s="3">
        <f>395+(87.7-25)+(0+(0-0))+0-0-0</f>
        <v>457.7</v>
      </c>
      <c r="O341" s="3">
        <f>409+(73.9-24)+(0+(0-0))+0-0-0</f>
        <v>458.9</v>
      </c>
      <c r="P341" s="3">
        <f>409+(78.6-23)+(0+(0-0))+0-0-0</f>
        <v>464.6</v>
      </c>
      <c r="Q341" s="3">
        <f>408+(82.6-23)+(0.20808+(0.042126-0.01173))+0-0-0</f>
        <v>467.83847600000001</v>
      </c>
      <c r="R341" s="3">
        <f>405+(82.4-27)+(-0.4131+(-0.084048--0.02754))+0-0-0</f>
        <v>459.93039199999998</v>
      </c>
      <c r="S341" s="3">
        <f>405+(77.2-29)+(-0.4131+(-0.078744--0.02958))+0-0-0</f>
        <v>452.73773599999998</v>
      </c>
      <c r="T341" s="3">
        <f>405+(70.6-29)+(-0.20655+(-0.036006--0.01479))+0-0-0</f>
        <v>446.37223400000005</v>
      </c>
      <c r="U341" s="3">
        <f>405+(70-29)+(-0.4131+(-0.0714--0.02958))+0-0-0</f>
        <v>445.54507999999998</v>
      </c>
      <c r="V341" s="3">
        <f>413+(63.3-29)+(-1.47441+(-0.225981--0.10353))+0-0-0</f>
        <v>445.70313900000002</v>
      </c>
      <c r="W341" s="3">
        <f>414+(82.7-32)+(-0.21114+(-0.042177--0.01632))+0-0-0</f>
        <v>464.46300300000001</v>
      </c>
      <c r="X341" s="3">
        <f>415+(104.9-32)+(-0.63495+(-0.160497--0.04896))+0-0-0</f>
        <v>487.15351299999998</v>
      </c>
      <c r="Y341" s="3">
        <f>415+(92.3-32)+(-0.4233+(-0.094146--0.03264))+0-0-0</f>
        <v>474.81519400000002</v>
      </c>
      <c r="Z341" s="3">
        <f>416+(76.6-31)+(-0.63648+(-0.117198--0.04743))+0-0-0</f>
        <v>460.89375200000001</v>
      </c>
      <c r="AA341" s="3">
        <f>416+(57.9-30)+(0+(0-0))+0-0-0</f>
        <v>443.9</v>
      </c>
      <c r="AB341" s="3">
        <f>401+(49.7-29)+(-0.81804+(-0.101388--0.05916))+0-0-0</f>
        <v>420.83973199999997</v>
      </c>
      <c r="AC341" s="3">
        <f>318+(75.3-27)+(-0.8109+(-0.192015--0.06885))+0-0-0</f>
        <v>365.36593500000004</v>
      </c>
      <c r="AD341">
        <f t="shared" si="5"/>
        <v>10134.971720000001</v>
      </c>
      <c r="AE341" s="3">
        <f>413+(113.8-33)+(0+(0-0))+0-0-0</f>
        <v>493.8</v>
      </c>
    </row>
    <row r="342" spans="1:31" s="2" customFormat="1" x14ac:dyDescent="0.25">
      <c r="A342">
        <v>89</v>
      </c>
      <c r="B342">
        <v>12</v>
      </c>
      <c r="C342">
        <v>6</v>
      </c>
      <c r="D342">
        <v>7</v>
      </c>
      <c r="E342">
        <v>1</v>
      </c>
      <c r="F342" s="3">
        <f>312+(99.4-26)+(-0.31824+(-0.101388--0.02652))+0-0-0</f>
        <v>385.00689199999999</v>
      </c>
      <c r="G342" s="3">
        <f>312+(69.8-25)+(-0.15912+(-0.035598--0.01275))+0-0-0</f>
        <v>356.61803200000003</v>
      </c>
      <c r="H342" s="3">
        <f>312+(63-25)+(0+(0-0))+0-0-0</f>
        <v>350</v>
      </c>
      <c r="I342" s="3">
        <f>312+(53-26)+(0.47736+(0.08109-0.03978))+0-0-0</f>
        <v>339.51866999999999</v>
      </c>
      <c r="J342" s="3">
        <f>311+(69.8-28)+(-0.79305+(-0.17799--0.0714))+0-0-0</f>
        <v>351.90036000000003</v>
      </c>
      <c r="K342" s="3">
        <f>311+(97-30)+(0.47583+(0.14841-0.0459))+0-0-0</f>
        <v>378.57834000000003</v>
      </c>
      <c r="L342" s="3">
        <f>311+(122.3-30)+(-0.31722+(-0.124746--0.0306))+0-0-0</f>
        <v>402.88863400000002</v>
      </c>
      <c r="M342" s="3">
        <f>311+(131.4-30)+(0.15861+(0.067014-0.0153))+0-0-0</f>
        <v>412.61032399999999</v>
      </c>
      <c r="N342" s="3">
        <f>330+(129.5-29)+(-0.3366+(-0.13209--0.02958))+0-0-0</f>
        <v>430.06088999999997</v>
      </c>
      <c r="O342" s="3">
        <f>392+(99.6-49)+(0.19992+(0.050796-0.02499))+0-0-0</f>
        <v>442.82572600000003</v>
      </c>
      <c r="P342" s="3">
        <f>391+(106.1-42)+(0.39882+(0.108222-0.04284))+0-0-0</f>
        <v>455.56420200000002</v>
      </c>
      <c r="Q342" s="3">
        <f>391+(108.3-39)+(-0.79764+(-0.220932--0.07956))+0-0-0</f>
        <v>459.36098800000002</v>
      </c>
      <c r="R342" s="3">
        <f>387+(104-40)+(-0.19737+(-0.05304--0.0204))+0-0-0</f>
        <v>450.76999000000001</v>
      </c>
      <c r="S342" s="3">
        <f>357+(129.6-29)+(-1.09242+(-0.396576--0.08874))+0-0-0</f>
        <v>456.19974400000001</v>
      </c>
      <c r="T342" s="3">
        <f>308+(146.5-30)+(-0.31416+(-0.14943--0.0306))+0-0-0</f>
        <v>424.06700999999998</v>
      </c>
      <c r="U342" s="3">
        <f>308+(145.4-31)+(-0.94248+(-0.444924--0.09486))+0-0-0</f>
        <v>421.10745599999996</v>
      </c>
      <c r="V342" s="3">
        <f>313+(151.5-32)+(-0.31926+(-0.15453--0.03264))+0-0-0</f>
        <v>432.05885000000001</v>
      </c>
      <c r="W342" s="3">
        <f>314+(195.7-32)+(-0.16014+(-0.099807--0.01632))+0-0-0</f>
        <v>477.45637299999999</v>
      </c>
      <c r="X342" s="3">
        <f>374+(157.3-32)+(-0.57222+(-0.240669--0.04896))+0-0-0</f>
        <v>498.53607099999999</v>
      </c>
      <c r="Y342" s="3">
        <f>395+(138-31)+(0.20145+(0.07038-0.01581))+0-0-0</f>
        <v>502.25601999999998</v>
      </c>
      <c r="Z342" s="3">
        <f>397+(120.2-31)+(-0.60741+(-0.183906--0.04743))+0-0-0</f>
        <v>485.45611400000001</v>
      </c>
      <c r="AA342" s="3">
        <f>397+(98.7-29)+(0.20247+(0.050337-0.01479))+0-0-0</f>
        <v>466.938017</v>
      </c>
      <c r="AB342" s="3">
        <f>397+(69.8-31)+(-0.40494+(-0.071196--0.03162))+0-0-0</f>
        <v>435.35548399999999</v>
      </c>
      <c r="AC342" s="3">
        <f>399+(47.5-33.4)+(-0.81396+(-0.0969--0.068136))+0-0-0</f>
        <v>412.25727600000005</v>
      </c>
      <c r="AD342">
        <f t="shared" si="5"/>
        <v>10227.391463000002</v>
      </c>
      <c r="AE342" s="3">
        <f>394+(142.7-33)+(0+(0-0))+0-0-0</f>
        <v>503.7</v>
      </c>
    </row>
    <row r="343" spans="1:31" s="2" customFormat="1" x14ac:dyDescent="0.25">
      <c r="A343">
        <v>89</v>
      </c>
      <c r="B343">
        <v>12</v>
      </c>
      <c r="C343">
        <v>7</v>
      </c>
      <c r="D343">
        <v>1</v>
      </c>
      <c r="E343">
        <v>1</v>
      </c>
      <c r="F343" s="3">
        <f>354+(45.4-24.5)+(-0.36108+(-0.046308--0.02499))+0-0-0</f>
        <v>374.51760199999995</v>
      </c>
      <c r="G343" s="3">
        <f>310+(83.3-23)+(-0.3162+(-0.084966--0.02346))+0-0-0</f>
        <v>369.92229400000002</v>
      </c>
      <c r="H343" s="3">
        <f>310+(72.2-22)+(0.6324+(0.147288-0.04488))+0-0-0</f>
        <v>360.93480799999998</v>
      </c>
      <c r="I343" s="3">
        <f>310+(65.1-22)+(-0.3162+(-0.066402--0.02244))+0-0-0</f>
        <v>352.73983800000002</v>
      </c>
      <c r="J343" s="3">
        <f>310+(65.9-25)+(0.9486+(0.201654-0.0765))+0-0-0</f>
        <v>351.97375399999999</v>
      </c>
      <c r="K343" s="3">
        <f>310+(105.1-28)+(0.1581+(0.053601-0.01428))+0-0-0</f>
        <v>387.29742100000004</v>
      </c>
      <c r="L343" s="3">
        <f>309+(144.5-29)+(0.47277+(0.221085-0.04437))+0-0-0</f>
        <v>425.14948500000003</v>
      </c>
      <c r="M343" s="3">
        <f>311+(149-29)+(0.79305+(0.37995-0.07395))+0-0-0</f>
        <v>432.09904999999998</v>
      </c>
      <c r="N343" s="3">
        <f>366+(109.2-28)+(0.18666+(0.055692-0.01428))+0-0-0</f>
        <v>447.42807199999999</v>
      </c>
      <c r="O343" s="3">
        <f>401+(88.5-41)+(0.20451+(0.045135-0.02091))+0-0-0</f>
        <v>448.72873499999997</v>
      </c>
      <c r="P343" s="3">
        <f>401+(87.5-40)+(0.61353+(0.133875-0.0612))+0-0-0</f>
        <v>449.18620499999997</v>
      </c>
      <c r="Q343" s="3">
        <f>401+(88.5-40)+(-0.20451+(-0.045135--0.0204))+0-0-0</f>
        <v>449.27075500000001</v>
      </c>
      <c r="R343" s="3">
        <f>399+(92.3-41)+(-0.20349+(-0.047073--0.02091))+0-0-0</f>
        <v>450.07034700000003</v>
      </c>
      <c r="S343" s="3">
        <f>400+(90.3-41)+(-0.612+(-0.138159--0.06273))+0-0-0</f>
        <v>448.612571</v>
      </c>
      <c r="T343" s="3">
        <f>400+(77.1-43)+(0+(0-0))+0-0-0</f>
        <v>434.1</v>
      </c>
      <c r="U343" s="3">
        <f>326+(121.7-28)+(-0.33252+(-0.124134--0.02856))+0-0-0</f>
        <v>419.271906</v>
      </c>
      <c r="V343" s="3">
        <f>332+(143.2-28)+(0+(0-0))+0-0-0</f>
        <v>447.2</v>
      </c>
      <c r="W343" s="3">
        <f>332+(183.2-30)+(-0.67728+(-0.373728--0.0612))+0-0-0</f>
        <v>484.21019200000001</v>
      </c>
      <c r="X343" s="3">
        <f>332+(211-33)+(-0.8466+(-0.53805--0.08415))+0-0-0</f>
        <v>508.6995</v>
      </c>
      <c r="Y343" s="3">
        <f>332+(208-33)+(-0.50796+(-0.31824--0.05049))+0-0-0</f>
        <v>506.22429</v>
      </c>
      <c r="Z343" s="3">
        <f>332+(188.9-32)+(-0.16932+(-0.096339--0.01632))+0-0-0</f>
        <v>488.65066099999996</v>
      </c>
      <c r="AA343" s="3">
        <f>332+(167.6-31)+(-0.33864+(-0.170952--0.03162))+0-0-0</f>
        <v>468.122028</v>
      </c>
      <c r="AB343" s="3">
        <f>332+(135-30)+(-0.8466+(-0.34425--0.0765))+0-0-0</f>
        <v>435.88565</v>
      </c>
      <c r="AC343" s="3">
        <f>332+(94.5-27)+(-0.67728+(-0.19278--0.05508))+0-0-0</f>
        <v>398.68502000000001</v>
      </c>
      <c r="AD343">
        <f t="shared" si="5"/>
        <v>10338.980184</v>
      </c>
      <c r="AE343" s="3">
        <f>332+(183.3-33)+(0+(0-0))+0-0-0</f>
        <v>482.3</v>
      </c>
    </row>
    <row r="344" spans="1:31" s="2" customFormat="1" x14ac:dyDescent="0.25">
      <c r="A344">
        <v>89</v>
      </c>
      <c r="B344">
        <v>12</v>
      </c>
      <c r="C344">
        <v>8</v>
      </c>
      <c r="D344">
        <v>2</v>
      </c>
      <c r="E344">
        <v>1</v>
      </c>
      <c r="F344" s="3">
        <f>325+(88.1-26)+(-0.16575+(-0.044931--0.01326))+0-0-0</f>
        <v>386.902579</v>
      </c>
      <c r="G344" s="3">
        <f>325+(73.9-25)+(0+(0-0))+0-0-0</f>
        <v>373.9</v>
      </c>
      <c r="H344" s="3">
        <f>325+(65.9-24)+(-0.49725+(-0.100827--0.03672))+0-0-0</f>
        <v>366.33864299999999</v>
      </c>
      <c r="I344" s="3">
        <f>325+(60.8-24)+(-0.49725+(-0.093024--0.03672))+0-0-0</f>
        <v>361.24644599999999</v>
      </c>
      <c r="J344" s="3">
        <f>325+(75.1-26)+(-0.16575+(-0.038301--0.01326))+0-0-0</f>
        <v>373.90920900000003</v>
      </c>
      <c r="K344" s="3">
        <f>325+(113.9-29)+(0.16575+(0.058089-0.01479))+0-0-0</f>
        <v>410.10904899999997</v>
      </c>
      <c r="L344" s="3">
        <f>324+(137.7-33)+(-0.33048+(-0.140454--0.03366))+0-0-0</f>
        <v>428.26272599999999</v>
      </c>
      <c r="M344" s="3">
        <f>324+(141.1-33)+(-0.16524+(-0.071961--0.01683))+0-0-0</f>
        <v>431.87962900000002</v>
      </c>
      <c r="N344" s="3">
        <f>379+(97.3-32)+(-0.38658+(-0.099246--0.03264))+0-0-0</f>
        <v>443.84681399999999</v>
      </c>
      <c r="O344" s="3">
        <f>406+(73.2-31)+(0.41412+(0.074664-0.03162))+0-0-0</f>
        <v>448.65716399999997</v>
      </c>
      <c r="P344" s="3">
        <f>405+(79-30)+(-0.8262+(-0.16116--0.0612))+0-0-0</f>
        <v>453.07384000000002</v>
      </c>
      <c r="Q344" s="3">
        <f>389+(93.7-29)+(-0.59517+(-0.143361--0.04437))+0-0-0</f>
        <v>453.00583899999998</v>
      </c>
      <c r="R344" s="3">
        <f>402+(91-41)+(-1.23012+(-0.27846--0.12546))+0-0-0</f>
        <v>450.61687999999998</v>
      </c>
      <c r="S344" s="3">
        <f>331+(127-31)+(-0.50643+(-0.19431--0.04743))+0-0-0</f>
        <v>426.34669000000002</v>
      </c>
      <c r="T344" s="3">
        <f>318+(152.8-31)+(-0.48654+(-0.233784--0.04743))+0-0-0</f>
        <v>439.12710600000003</v>
      </c>
      <c r="U344" s="3">
        <f>322+(112.1-31)+(-0.32844+(-0.114342--0.03162))+0-0-0</f>
        <v>402.68883800000003</v>
      </c>
      <c r="V344" s="3">
        <f>331+(151.6-30)+(-1.01286+(-0.463896--0.0918))+0-0-0</f>
        <v>451.21504400000003</v>
      </c>
      <c r="W344" s="3">
        <f>331+(160.8-30)+(-0.50643+(-0.246024--0.0459))+0-0-0</f>
        <v>461.09344600000003</v>
      </c>
      <c r="X344" s="3">
        <f>394+(132.8-32)+(-0.40188+(-0.135456--0.03264))+0-0-0</f>
        <v>494.29530399999999</v>
      </c>
      <c r="Y344" s="3">
        <f>414+(106.8-32)+(-1.26684+(-0.326808--0.09792))+0-0-0</f>
        <v>487.30427200000003</v>
      </c>
      <c r="Z344" s="3">
        <f>414+(88-31)+(-0.42228+(-0.08976--0.03162))+0-0-0</f>
        <v>470.51958000000002</v>
      </c>
      <c r="AA344" s="3">
        <f>414+(70.1-31)+(-0.63342+(-0.107253--0.04743))+0-0-0</f>
        <v>452.40675700000003</v>
      </c>
      <c r="AB344" s="3">
        <f>402+(60.5-30)+(-1.0251+(-0.154275--0.0765))+0-0-0</f>
        <v>431.39712500000002</v>
      </c>
      <c r="AC344" s="3">
        <f>331+(90.4-28)+(-0.84405+(-0.23052--0.0714))+0-0-0</f>
        <v>392.39682999999997</v>
      </c>
      <c r="AD344">
        <f t="shared" si="5"/>
        <v>10290.53981</v>
      </c>
      <c r="AE344" s="3">
        <f>414+(106.5-33)+(0+(0-0))+0-0-0</f>
        <v>487.5</v>
      </c>
    </row>
    <row r="345" spans="1:31" s="2" customFormat="1" x14ac:dyDescent="0.25">
      <c r="A345">
        <v>89</v>
      </c>
      <c r="B345">
        <v>12</v>
      </c>
      <c r="C345">
        <v>9</v>
      </c>
      <c r="D345">
        <v>3</v>
      </c>
      <c r="E345">
        <v>1</v>
      </c>
      <c r="F345" s="3">
        <f>330+(95.3-27)+(0+(0-0))+0-0-0</f>
        <v>398.3</v>
      </c>
      <c r="G345" s="3">
        <f>330+(60.2-27)+(0+(0-0))+0-0-0</f>
        <v>363.2</v>
      </c>
      <c r="H345" s="3">
        <f>330+(57.9-26)+(0+(0-0))+0-0-0</f>
        <v>361.9</v>
      </c>
      <c r="I345" s="3">
        <f>330+(52.6-28.4)+(0+(0-0))+0-0-0</f>
        <v>354.2</v>
      </c>
      <c r="J345" s="3">
        <f>330+(68.6-28)+(0+(0-0))+0-0-0</f>
        <v>370.6</v>
      </c>
      <c r="K345" s="3">
        <f>330+(104.3-30)+(0+(0-0))+0-0-0</f>
        <v>404.3</v>
      </c>
      <c r="L345" s="3">
        <f>327+(121.9-32)+(0+(0-0))+0-0-0</f>
        <v>416.9</v>
      </c>
      <c r="M345" s="3">
        <f>338+(111.7-49)+(0+(0-0))+0-0-0</f>
        <v>400.7</v>
      </c>
      <c r="N345" s="3">
        <f>406+(83.7-47)+(0+(0-0))+0-0-0</f>
        <v>442.7</v>
      </c>
      <c r="O345" s="3">
        <f>405+(78.8-48)+(0+(0-0))+0-0-0</f>
        <v>435.8</v>
      </c>
      <c r="P345" s="3">
        <f>404+(74.8-46)+(-0.41208+(-0.076296--0.04692))+0-0-0</f>
        <v>432.35854399999999</v>
      </c>
      <c r="Q345" s="3">
        <f>405+(75.3-45)+(-0.61965+(-0.115209--0.06885))+0-0-0</f>
        <v>434.63399100000004</v>
      </c>
      <c r="R345" s="3">
        <f>397+(78.1-42)+(-0.80988+(-0.159324--0.08568))+0-0-0</f>
        <v>432.216476</v>
      </c>
      <c r="S345" s="3">
        <f>396+(71.1-50)+(-0.80784+(-0.145044--0.102))+0-0-0</f>
        <v>416.24911600000001</v>
      </c>
      <c r="T345" s="3">
        <f>396+(47.2-46)+(-0.20196+(-0.024072--0.02346))+0-0-0</f>
        <v>396.99742800000001</v>
      </c>
      <c r="U345" s="3">
        <f>397+(53.4-48)+(0+(0-0))+0-0-0</f>
        <v>402.4</v>
      </c>
      <c r="V345" s="3">
        <f>411+(64.7-29)+(-1.25766+(-0.197982--0.08874))+0-0-0</f>
        <v>445.33309800000001</v>
      </c>
      <c r="W345" s="3">
        <f>412+(104-30)+(-1.0506+(-0.2652--0.0765))+0-0-0</f>
        <v>484.76069999999999</v>
      </c>
      <c r="X345" s="3">
        <f>412+(125.4-32)+(-0.84048+(-0.255816--0.06528))+0-0-0</f>
        <v>504.36898399999995</v>
      </c>
      <c r="Y345" s="3">
        <f>379+(157.4-32)+(-0.57987+(-0.240822--0.04896))+0-0-0</f>
        <v>503.62826799999999</v>
      </c>
      <c r="Z345" s="3">
        <f>330+(169.8-30)+(-1.0098+(-0.519588--0.0918))+0-0-0</f>
        <v>468.36241200000001</v>
      </c>
      <c r="AA345" s="3">
        <f>331+(143.3-29)+(-0.16881+(-0.073083--0.01479))+0-0-0</f>
        <v>445.07289700000001</v>
      </c>
      <c r="AB345" s="3">
        <f>331+(121.5-28)+(-0.67524+(-0.24786--0.05712))+0-0-0</f>
        <v>423.63402000000002</v>
      </c>
      <c r="AC345" s="3">
        <f>331+(99.1-28)+(-1.18167+(-0.353787--0.09996))+0-0-0</f>
        <v>400.66450300000002</v>
      </c>
      <c r="AD345">
        <f t="shared" si="5"/>
        <v>10139.280436999998</v>
      </c>
      <c r="AE345" s="3">
        <f>411+(124.7-33)+(0+(0-0))+0-0-0</f>
        <v>502.7</v>
      </c>
    </row>
    <row r="346" spans="1:31" s="2" customFormat="1" x14ac:dyDescent="0.25">
      <c r="A346">
        <v>89</v>
      </c>
      <c r="B346">
        <v>12</v>
      </c>
      <c r="C346">
        <v>10</v>
      </c>
      <c r="D346">
        <v>4</v>
      </c>
      <c r="E346">
        <v>1</v>
      </c>
      <c r="F346" s="3">
        <f>328+(90.8-26)+(-0.66912+(-0.185232--0.05304))+0-0-0</f>
        <v>391.99868800000002</v>
      </c>
      <c r="G346" s="3">
        <f>328+(62-25)+(-0.50184+(-0.09486--0.03825))+0-0-0</f>
        <v>364.44155000000001</v>
      </c>
      <c r="H346" s="3">
        <f>328+(42.3-24)+(-0.66912+(-0.086292--0.04896))+0-0-0</f>
        <v>345.593548</v>
      </c>
      <c r="I346" s="3">
        <f>328+(42.6-25)+(-0.8364+(-0.10863--0.06375))+0-0-0</f>
        <v>344.71872000000002</v>
      </c>
      <c r="J346" s="3">
        <f>327+(47.7-25)+(0+(0-0))+0-0-0</f>
        <v>349.7</v>
      </c>
      <c r="K346" s="3">
        <f>327+(86.5-26)+(-0.50031+(-0.132345--0.03978))+0-0-0</f>
        <v>386.90712500000001</v>
      </c>
      <c r="L346" s="3">
        <f>327+(116.9-28)+(-0.50031+(-0.178857--0.04284))+0-0-0</f>
        <v>415.26367299999998</v>
      </c>
      <c r="M346" s="3">
        <f>347+(108.6-26)+(0+(0-0))+0-0-0</f>
        <v>429.6</v>
      </c>
      <c r="N346" s="3">
        <f>408+(73-38)+(0.20808+(0.03723-0.01938))+0-0-0</f>
        <v>443.22593000000001</v>
      </c>
      <c r="O346" s="3">
        <f>418+(63.3-36)+(-0.21318+(-0.032283--0.01836))+0-0-0</f>
        <v>445.07289700000001</v>
      </c>
      <c r="P346" s="3">
        <f>417+(60.7-34)+(0+(0-0))+0-0-0</f>
        <v>443.7</v>
      </c>
      <c r="Q346" s="3">
        <f>417+(57.1-35)+(-0.42534+(-0.058242--0.0357))+0-0-0</f>
        <v>438.65211800000003</v>
      </c>
      <c r="R346" s="3">
        <f>416+(54-36)+(-1.0608+(-0.1377--0.0918))+0-0-0</f>
        <v>432.89330000000001</v>
      </c>
      <c r="S346" s="3">
        <f>405+(62-34)+(0.20655+(0.03162-0.01734))+0-0-0</f>
        <v>433.22082999999998</v>
      </c>
      <c r="T346" s="3">
        <f>406+(49-33)+(-0.41412+(-0.04998--0.03366))+0-0-0</f>
        <v>421.56956000000002</v>
      </c>
      <c r="U346" s="3">
        <f>406+(50.1-36)+(0+(0-0))+0-0-0</f>
        <v>420.1</v>
      </c>
      <c r="V346" s="3">
        <f>416+(43.4-23)+(-0.42432+(-0.044268--0.02346))+0-0-0</f>
        <v>435.95487199999997</v>
      </c>
      <c r="W346" s="3">
        <f>348+(141.9-23)+(-0.35496+(-0.144738--0.02346))+0-0-0</f>
        <v>466.42376199999995</v>
      </c>
      <c r="X346" s="3">
        <f>374+(138-26)+(-0.57222+(-0.21114--0.03978))+0-0-0</f>
        <v>485.25641999999999</v>
      </c>
      <c r="Y346" s="3">
        <f>416+(100.3-29)+(-0.63648+(-0.153459--0.04437))+0-0-0</f>
        <v>486.55443100000002</v>
      </c>
      <c r="Z346" s="3">
        <f>416+(79.4-30)+(-0.42432+(-0.080988--0.0306))+0-0-0</f>
        <v>464.92529199999996</v>
      </c>
      <c r="AA346" s="3">
        <f>416+(55-31)+(-0.84864+(-0.1122--0.06324))+0-0-0</f>
        <v>439.10239999999999</v>
      </c>
      <c r="AB346" s="3">
        <f>416+(34.5-35)+(-1.27296+(-0.10557--0.1071))+0-0-0</f>
        <v>414.22856999999999</v>
      </c>
      <c r="AC346" s="3">
        <f>416+(20.3-42.2)+(-0.42432+(-0.020706--0.043044))+0-0-0</f>
        <v>393.69801800000005</v>
      </c>
      <c r="AD346">
        <f t="shared" si="5"/>
        <v>10092.801704000001</v>
      </c>
      <c r="AE346" s="3">
        <f>412+(105.8-29)+(0+(0-0))+0-0-0</f>
        <v>488.8</v>
      </c>
    </row>
    <row r="347" spans="1:31" s="2" customFormat="1" x14ac:dyDescent="0.25">
      <c r="A347">
        <v>89</v>
      </c>
      <c r="B347">
        <v>12</v>
      </c>
      <c r="C347">
        <v>11</v>
      </c>
      <c r="D347">
        <v>5</v>
      </c>
      <c r="E347">
        <v>1</v>
      </c>
      <c r="F347" s="3">
        <f>389+(20.1-39)+(-0.79356+(-0.041004--0.07956))+0-0-0</f>
        <v>369.34499600000004</v>
      </c>
      <c r="G347" s="3">
        <f>331+(46.3-28.8)+(-0.67524+(-0.094452--0.058752))+0-0-0</f>
        <v>347.78906000000001</v>
      </c>
      <c r="H347" s="3">
        <f>295+(64.1-26)+(-0.3009+(-0.065382--0.02652))+0-0-0</f>
        <v>332.76023800000002</v>
      </c>
      <c r="I347" s="3">
        <f>295+(66-27)+(-0.3009+(-0.06732--0.02754))+0-0-0</f>
        <v>333.65931999999998</v>
      </c>
      <c r="J347" s="3">
        <f>295+(71.5-28)+(0.45135+(0.109395-0.04284))+0-0-0</f>
        <v>339.01790499999998</v>
      </c>
      <c r="K347" s="3">
        <f>295+(109.8-30)+(-0.3009+(-0.111996--0.0306))+0-0-0</f>
        <v>374.41770400000001</v>
      </c>
      <c r="L347" s="3">
        <f>293+(135.4-31)+(0+(0-0))+0-0-0</f>
        <v>397.4</v>
      </c>
      <c r="M347" s="3">
        <f>293+(145.3-30)+(0.14943+(0.074103-0.0153))+0-0-0</f>
        <v>408.50823300000002</v>
      </c>
      <c r="N347" s="3">
        <f>354+(95-33)+(-0.18054+(-0.04845--0.01683))+0-0-0</f>
        <v>415.78784000000002</v>
      </c>
      <c r="O347" s="3">
        <f>373+(86.3-42)+(0.38046+(0.088026-0.04284))+0-0-0</f>
        <v>417.72564599999998</v>
      </c>
      <c r="P347" s="3">
        <f>373+(86-39)+(-0.19023+(-0.04386--0.01989))+0-0-0</f>
        <v>419.78579999999999</v>
      </c>
      <c r="Q347" s="3">
        <f>372+(93.1-36)+(-0.37944+(-0.094962--0.03672))+0-0-0</f>
        <v>428.66231800000003</v>
      </c>
      <c r="R347" s="3">
        <f>371+(96.8-33)+(-0.37842+(-0.098736--0.03366))+0-0-0</f>
        <v>434.35650400000003</v>
      </c>
      <c r="S347" s="3">
        <f>371+(95.8-35)+(-0.18921+(-0.048858--0.01785))+0-0-0</f>
        <v>431.57978200000002</v>
      </c>
      <c r="T347" s="3">
        <f>371+(84.9-37)+(-0.37842+(-0.086598--0.03774))+0-0-0</f>
        <v>418.47272199999998</v>
      </c>
      <c r="U347" s="3">
        <f>371+(85.6-39)+(0.37842+(0.087312-0.03978))+0-0-0</f>
        <v>418.02595200000002</v>
      </c>
      <c r="V347" s="3">
        <f>374+(90.7-26)+(-0.76296+(-0.185028--0.05304))+0-0-0</f>
        <v>437.80505199999999</v>
      </c>
      <c r="W347" s="3">
        <f>375+(113.8-28)+(-0.765+(-0.232152--0.05712))+0-0-0</f>
        <v>459.85996800000004</v>
      </c>
      <c r="X347" s="3">
        <f>376+(132.1-31)+(-0.76704+(-0.269484--0.06324))+0-0-0</f>
        <v>476.12671600000004</v>
      </c>
      <c r="Y347" s="3">
        <f>376+(133.6-32)+(-0.9588+(-0.34068--0.0816))+0-0-0</f>
        <v>476.38212000000004</v>
      </c>
      <c r="Z347" s="3">
        <f>375+(139.7-32)+(-1.1475+(-0.427482--0.09792))+0-0-0</f>
        <v>481.222938</v>
      </c>
      <c r="AA347" s="3">
        <f>297+(176.3-31)+(-0.15147+(-0.089913--0.01581))+0-0-0</f>
        <v>442.07442700000001</v>
      </c>
      <c r="AB347" s="3">
        <f>296+(152.1-28)+(-0.60384+(-0.310284--0.05712))+0-0-0</f>
        <v>419.24299600000001</v>
      </c>
      <c r="AC347" s="3">
        <f>302+(104.8-28)+(-0.7701+(-0.26724--0.0714))+0-0-0</f>
        <v>377.83406000000002</v>
      </c>
      <c r="AD347">
        <f t="shared" si="5"/>
        <v>9857.8422969999992</v>
      </c>
      <c r="AE347" s="3">
        <f>378+(141-31)+(0+(0-0))+0-0-0</f>
        <v>488</v>
      </c>
    </row>
    <row r="348" spans="1:31" s="2" customFormat="1" x14ac:dyDescent="0.25">
      <c r="A348">
        <v>89</v>
      </c>
      <c r="B348">
        <v>12</v>
      </c>
      <c r="C348">
        <v>12</v>
      </c>
      <c r="D348">
        <v>6</v>
      </c>
      <c r="E348">
        <v>1</v>
      </c>
      <c r="F348" s="3">
        <f>291+(106.3-27)+(-0.74205+(-0.271065--0.06885))+0-0-0</f>
        <v>369.35573500000004</v>
      </c>
      <c r="G348" s="3">
        <f>291+(89.9-26)+(-0.44523+(-0.137547--0.03978))+0-0-0</f>
        <v>354.35700299999996</v>
      </c>
      <c r="H348" s="3">
        <f>291+(84.2-26)+(-0.14841+(-0.042942--0.01326))+0-0-0</f>
        <v>349.021908</v>
      </c>
      <c r="I348" s="3">
        <f>291+(79.7-25)+(-0.74205+(-0.203235--0.06375))+0-0-0</f>
        <v>344.818465</v>
      </c>
      <c r="J348" s="3">
        <f>290+(84.9-27)+(0.7395+(0.216495-0.06885))+4.2-0-0</f>
        <v>352.98714499999994</v>
      </c>
      <c r="K348" s="3">
        <f>290+(120.9-29)+(0.2958+(0.123318-0.02958))+0-0-0</f>
        <v>382.28953799999999</v>
      </c>
      <c r="L348" s="3">
        <f>293+(135-30)+(-0.14943+(-0.06885--0.0153))+0-0-0</f>
        <v>397.79701999999997</v>
      </c>
      <c r="M348" s="3">
        <f>293+(136-29)+(0.14943+(0.06936-0.01479))+0-0-0</f>
        <v>400.20400000000001</v>
      </c>
      <c r="N348" s="3">
        <f>339+(101.3-34)+(0.34578+(0.103326-0.03468))+0-0-0</f>
        <v>406.714426</v>
      </c>
      <c r="O348" s="3">
        <f>370+(94.3-32)+(0+(0-0))+0-0-0</f>
        <v>432.3</v>
      </c>
      <c r="P348" s="3">
        <f>371+(94-31)+(0.37842+(0.09588-0.03162))+0-0-0</f>
        <v>434.44268</v>
      </c>
      <c r="Q348" s="3">
        <f>370+(96.7-33)+(0.1887+(0.049317-0.01683))+0-0-0</f>
        <v>433.92118699999997</v>
      </c>
      <c r="R348" s="3">
        <f>370+(95.9-34)+(-0.3774+(-0.097818--0.03468))+0-0-0</f>
        <v>431.45946199999997</v>
      </c>
      <c r="S348" s="3">
        <f>370+(85.1-36)+(-1.1322+(-0.260406--0.11016))+0-0-0</f>
        <v>417.81755400000003</v>
      </c>
      <c r="T348" s="3">
        <f>370+(74.1-35)+(-0.7548+(-0.151164--0.0714))+0-0-0</f>
        <v>408.26543600000002</v>
      </c>
      <c r="U348" s="3">
        <f>371+(78.9-23)+(0+(0-0))+0-0-0</f>
        <v>426.9</v>
      </c>
      <c r="V348" s="3">
        <f>381+(65.5-24)+(-0.38862+(-0.06681--0.02448))+0-0-0</f>
        <v>422.06905</v>
      </c>
      <c r="W348" s="3">
        <f>386+(95-27)+(0.19686+(0.04845-0.01377))+0-0-0</f>
        <v>454.23154</v>
      </c>
      <c r="X348" s="3">
        <f>391+(130.4-31)+(-0.19941+(-0.066504--0.01581))+0-0-0</f>
        <v>490.14989599999996</v>
      </c>
      <c r="Y348" s="3">
        <f>392+(121.4-31)+(-1.19952+(-0.371484--0.09486))+0-0-0</f>
        <v>480.923856</v>
      </c>
      <c r="Z348" s="3">
        <f>392+(103.6-30)+(-0.39984+(-0.105672--0.0306))+0-0-0</f>
        <v>465.12508800000001</v>
      </c>
      <c r="AA348" s="3">
        <f>392+(90.7-29)+(-0.59976+(-0.138771--0.04437))+0-0-0</f>
        <v>453.00583899999998</v>
      </c>
      <c r="AB348" s="3">
        <f>391+(77.4-28)+(-0.99705+(-0.19737--0.0714))+0-0-0</f>
        <v>439.27697999999998</v>
      </c>
      <c r="AC348" s="3">
        <f>379+(67.2-27)+(-0.96645+(-0.17136--0.06885))+0-0-0</f>
        <v>418.13103999999998</v>
      </c>
      <c r="AD348">
        <f t="shared" si="5"/>
        <v>9965.564848</v>
      </c>
      <c r="AE348" s="3">
        <f>392+(126.8-31)+(0+(0-0))+0-0-0</f>
        <v>487.8</v>
      </c>
    </row>
    <row r="349" spans="1:31" s="2" customFormat="1" x14ac:dyDescent="0.25">
      <c r="A349">
        <v>89</v>
      </c>
      <c r="B349">
        <v>12</v>
      </c>
      <c r="C349">
        <v>13</v>
      </c>
      <c r="D349">
        <v>7</v>
      </c>
      <c r="E349">
        <v>1</v>
      </c>
      <c r="F349" s="3">
        <f>376+(48.2-33.9)+(-0.9588+(-0.12291--0.086445))+0-0-0</f>
        <v>389.30473499999999</v>
      </c>
      <c r="G349" s="3">
        <f>377+(35-41.8)+(-0.57681+(-0.05355--0.063954))+0-0-0</f>
        <v>369.63359400000002</v>
      </c>
      <c r="H349" s="3">
        <f>378+(27.2-51.4)+(-0.77112+(-0.055488--0.104856))+0-0-0</f>
        <v>353.07824800000003</v>
      </c>
      <c r="I349" s="3">
        <f>379+(26.8-52)+(0.57987+(0.041004-0.07956))+0-0-0</f>
        <v>354.34131400000001</v>
      </c>
      <c r="J349" s="3">
        <f>378+(32.6-46.4)+(0.19278+(0.016626-0.023664))+0-0-0</f>
        <v>364.38574199999999</v>
      </c>
      <c r="K349" s="3">
        <f>381+(49.8-40.7)+(0.38862+(0.050796-0.041514))+0-0-0</f>
        <v>390.49790200000001</v>
      </c>
      <c r="L349" s="3">
        <f>370+(53.7-32.3)+(-0.7548+(-0.109548--0.065892))+0-0-0</f>
        <v>390.60154399999999</v>
      </c>
      <c r="M349" s="3">
        <f>294+(101.3-30)+(0.14994+(0.051663-0.0153))+0-0-0</f>
        <v>365.48630300000002</v>
      </c>
      <c r="N349" s="3">
        <f>293+(113.2-29)+(0+(0-0))+0-0-0</f>
        <v>377.2</v>
      </c>
      <c r="O349" s="3">
        <f>293+(120.7-28)+(0+(0-0))+0-0-0</f>
        <v>385.7</v>
      </c>
      <c r="P349" s="3">
        <f>293+(130.6-27)+(0.14943+(0.066606-0.01377))+0-0-0</f>
        <v>396.80226600000003</v>
      </c>
      <c r="Q349" s="3">
        <f>293+(138.3-27)+(0+(0-0))+0-0-0</f>
        <v>404.3</v>
      </c>
      <c r="R349" s="3">
        <f>289+(185.8-27)+(0+(0-0))+0-0-0</f>
        <v>447.8</v>
      </c>
      <c r="S349" s="3">
        <f>289+(175.6-27)+(0+(0-0))+0-0-0</f>
        <v>437.6</v>
      </c>
      <c r="T349" s="3">
        <f>290+(153.9-26)+(0+(0-0))+0-0-0</f>
        <v>417.9</v>
      </c>
      <c r="U349" s="3">
        <f>290+(153-26)+(0+(0-0))+0-0-0</f>
        <v>417</v>
      </c>
      <c r="V349" s="3">
        <f>294+(175.8-26)+(0+(0-0))+0-0-0</f>
        <v>443.8</v>
      </c>
      <c r="W349" s="3">
        <f>294+(176.3-27)+(0+(0-0))+0-0-0</f>
        <v>443.3</v>
      </c>
      <c r="X349" s="3">
        <f>332+(182.4-31)+(0+(0-0))+0-0-0</f>
        <v>483.4</v>
      </c>
      <c r="Y349" s="3">
        <f>358+(153.9-31)+(0+(0-0))+0-0-0</f>
        <v>480.9</v>
      </c>
      <c r="Z349" s="3">
        <f>294+(205-31)+(0+(0-0))+0-0-0</f>
        <v>468</v>
      </c>
      <c r="AA349" s="3">
        <f>368+(117.7-30)+(0+(0-0))+0-0-0</f>
        <v>455.7</v>
      </c>
      <c r="AB349" s="3">
        <f>377+(83.9-28)+(0+(0-0))+0-0-0</f>
        <v>432.9</v>
      </c>
      <c r="AC349" s="3">
        <f>361+(66.5-27)+(0+(0-0))+0-0-0</f>
        <v>400.5</v>
      </c>
      <c r="AD349">
        <f t="shared" si="5"/>
        <v>9870.1316480000005</v>
      </c>
      <c r="AE349" s="3">
        <f>379+(135.2-31)+(0+(0-0))+0-0-0</f>
        <v>483.2</v>
      </c>
    </row>
    <row r="350" spans="1:31" s="2" customFormat="1" x14ac:dyDescent="0.25">
      <c r="A350">
        <v>89</v>
      </c>
      <c r="B350">
        <v>12</v>
      </c>
      <c r="C350">
        <v>14</v>
      </c>
      <c r="D350">
        <v>1</v>
      </c>
      <c r="E350">
        <v>1</v>
      </c>
      <c r="F350" s="3">
        <f>292+(106.3-26)+(-0.44676+(-0.162639--0.03978))+0-0-0</f>
        <v>371.73038100000002</v>
      </c>
      <c r="G350" s="3">
        <f>292+(95.8-25)+(0.44676+(0.146574-0.03825))+0-0-0</f>
        <v>363.35508400000003</v>
      </c>
      <c r="H350" s="3">
        <f>293+(90.7-25)+(0+(0-0))+0-0-0</f>
        <v>358.7</v>
      </c>
      <c r="I350" s="3">
        <f>293+(88.5-24)+(0.74715+(0.225675-0.0612))+0-0-0</f>
        <v>358.41162500000002</v>
      </c>
      <c r="J350" s="3">
        <f>293+(98.5-25)+(0.89658+(0.30141-0.0765))+0-0-0</f>
        <v>367.62148999999999</v>
      </c>
      <c r="K350" s="3">
        <f>293+(137.5-27)+(0+(0-0))+0-0-0</f>
        <v>403.5</v>
      </c>
      <c r="L350" s="3">
        <f>294+(137.5-29)+(0+(0-0))+0-0-0</f>
        <v>402.5</v>
      </c>
      <c r="M350" s="3">
        <f>341+(118.9-31)+(0+(0-0))+0-0-0</f>
        <v>428.9</v>
      </c>
      <c r="N350" s="3">
        <f>380+(112.9-28)+(0+(0-0))+0-0-0</f>
        <v>464.9</v>
      </c>
      <c r="O350" s="3">
        <f>373+(119-31)+(0+(0-0))+0-0-0</f>
        <v>461</v>
      </c>
      <c r="P350" s="3">
        <f>370+(117.1-28)+(0+(0-0))+0-0-0</f>
        <v>459.1</v>
      </c>
      <c r="Q350" s="3">
        <f>370+(111.7-26)+(0+(0-0))+0-0-0</f>
        <v>455.7</v>
      </c>
      <c r="R350" s="3">
        <f>368+(120.5-26)+(0+(0-0))+0-0-0</f>
        <v>462.5</v>
      </c>
      <c r="S350" s="3">
        <f>368+(115.3-30)+(0+(0-0))+0-0-0</f>
        <v>453.3</v>
      </c>
      <c r="T350" s="3">
        <f>368+(92.2-34)+(0+(0-0))+0-0-0</f>
        <v>426.2</v>
      </c>
      <c r="U350" s="3">
        <f>369+(89.8-34)+(0+(0-0))+0-0-0</f>
        <v>424.8</v>
      </c>
      <c r="V350" s="3">
        <f>378+(109-28)+(0+(0-0))+0-0-0</f>
        <v>459</v>
      </c>
      <c r="W350" s="3">
        <f>378+(141.7-29)+(0+(0-0))+0-0-0</f>
        <v>490.7</v>
      </c>
      <c r="X350" s="3">
        <f>378+(161.1-30)+(0+(0-0))+0-0-0</f>
        <v>509.1</v>
      </c>
      <c r="Y350" s="3">
        <f>378+(151.8-30)+(0+(0-0))+0-0-0</f>
        <v>499.8</v>
      </c>
      <c r="Z350" s="3">
        <f>297+(208.5-29)+(0+(0-0))+0-0-0</f>
        <v>476.5</v>
      </c>
      <c r="AA350" s="3">
        <f>295+(191.6-28)+(0+(0-0))+0-0-0</f>
        <v>458.6</v>
      </c>
      <c r="AB350" s="3">
        <f>295+(174-28)+(0+(0-0))+0-0-0</f>
        <v>441</v>
      </c>
      <c r="AC350" s="3">
        <f>295+(151.2-27)+(0+(0-0))+0-0-0</f>
        <v>419.2</v>
      </c>
      <c r="AD350">
        <f t="shared" si="5"/>
        <v>10416.118580000002</v>
      </c>
      <c r="AE350" s="3">
        <f>378+(158.3-31)+(0+(0-0))+0-0-0</f>
        <v>505.3</v>
      </c>
    </row>
    <row r="351" spans="1:31" s="2" customFormat="1" x14ac:dyDescent="0.25">
      <c r="A351">
        <v>89</v>
      </c>
      <c r="B351">
        <v>12</v>
      </c>
      <c r="C351">
        <v>15</v>
      </c>
      <c r="D351">
        <v>2</v>
      </c>
      <c r="E351">
        <v>1</v>
      </c>
      <c r="F351" s="3">
        <f>293+(139.8-26)+(0+(0-0))+0-0-0</f>
        <v>406.8</v>
      </c>
      <c r="G351" s="3">
        <f>293+(103.8-25)+(0+(0-0))+0-0-0</f>
        <v>371.8</v>
      </c>
      <c r="H351" s="3">
        <f>293+(92.5-25)+(0+(0-0))+0-0-0</f>
        <v>360.5</v>
      </c>
      <c r="I351" s="3">
        <f>293+(106.4-25)+(0+(0-0))+0-0-0</f>
        <v>374.4</v>
      </c>
      <c r="J351" s="3">
        <f>293+(117.3-26)+(0+(0-0))+0-0-0</f>
        <v>384.3</v>
      </c>
      <c r="K351" s="3">
        <f>293+(144.6-27)+(0+(0-0))+0-0-0</f>
        <v>410.6</v>
      </c>
      <c r="L351" s="3">
        <f>347+(103.1-33)+(0+(0-0))+0-0-0</f>
        <v>417.1</v>
      </c>
      <c r="M351" s="3">
        <f>374+(98.7-33)+(0+(0-0))+3.1-0-0</f>
        <v>442.8</v>
      </c>
      <c r="N351" s="3">
        <f>369+(107.4-32)+(0+(0-0))+0-0-0</f>
        <v>444.4</v>
      </c>
      <c r="O351" s="3">
        <f>368+(95.3-32)+(0+(0-0))+0-0-0</f>
        <v>431.3</v>
      </c>
      <c r="P351" s="3">
        <f>367+(87.6-32)+(0+(0-0))+0-0-0</f>
        <v>422.6</v>
      </c>
      <c r="Q351" s="3">
        <f>366+(95.6-32)+(0+(0-0))+0-0-0</f>
        <v>429.6</v>
      </c>
      <c r="R351" s="3">
        <f>363+(90.7-38)+(-0.74052+(-0.185028--0.07752))+0-0-0</f>
        <v>414.85197199999999</v>
      </c>
      <c r="S351" s="3">
        <f>364+(92.8-40)+(-0.18564+(-0.047328--0.0204))+0-0-0</f>
        <v>416.58743200000004</v>
      </c>
      <c r="T351" s="3">
        <f>365+(83.5-40)+(-0.55845+(-0.127755--0.0612))+0-0-0</f>
        <v>407.87499500000001</v>
      </c>
      <c r="U351" s="3">
        <f>365+(80.5-40)+(-0.3723+(-0.08211--0.0408))+0-0-0</f>
        <v>405.08638999999999</v>
      </c>
      <c r="V351" s="3">
        <f>378+(86.8-37)+(-0.38556+(-0.088536--0.03774))+0-0-0</f>
        <v>427.36364400000002</v>
      </c>
      <c r="W351" s="3">
        <f>379+(118.9-30)+(-1.15974+(-0.363834--0.0918))+0-0-0</f>
        <v>466.46822599999996</v>
      </c>
      <c r="X351" s="3">
        <f>379+(145.4-30)+(-0.38658+(-0.148308--0.0306))+0-0-0</f>
        <v>493.895712</v>
      </c>
      <c r="Y351" s="3">
        <f>379+(147-29)+(-0.96645+(-0.37485--0.07395))+0-0-0</f>
        <v>495.73264999999998</v>
      </c>
      <c r="Z351" s="3">
        <f>379+(136-28)+(-0.96645+(-0.3468--0.0714))+0-0-0</f>
        <v>485.75815</v>
      </c>
      <c r="AA351" s="3">
        <f>380+(111.4-33)+(-0.5814+(-0.170442--0.05049))+0-0-0</f>
        <v>457.69864799999999</v>
      </c>
      <c r="AB351" s="3">
        <f>381+(91.7-29)+(-0.19431+(-0.046767--0.01479))+0-0-0</f>
        <v>443.47371299999998</v>
      </c>
      <c r="AC351" s="3">
        <f>309+(135.1-28)+(-0.78795+(-0.344505--0.0714))+0-0-0</f>
        <v>415.03894500000001</v>
      </c>
      <c r="AD351">
        <f t="shared" si="5"/>
        <v>10226.030477</v>
      </c>
      <c r="AE351" s="3">
        <f>378+(140.9-31)+(0+(0-0))+0-0-0</f>
        <v>487.9</v>
      </c>
    </row>
    <row r="352" spans="1:31" s="2" customFormat="1" x14ac:dyDescent="0.25">
      <c r="A352">
        <v>89</v>
      </c>
      <c r="B352">
        <v>12</v>
      </c>
      <c r="C352">
        <v>16</v>
      </c>
      <c r="D352">
        <v>3</v>
      </c>
      <c r="E352">
        <v>1</v>
      </c>
      <c r="F352" s="3">
        <f>294+(121.2-27)+(-0.44982+(-0.185436--0.04131))+0-0-0</f>
        <v>387.60605399999997</v>
      </c>
      <c r="G352" s="3">
        <f>294+(108.3-26)+(-0.59976+(-0.220932--0.05304))+0-0-0</f>
        <v>375.53234800000001</v>
      </c>
      <c r="H352" s="3">
        <f>294+(102.1-26)+(0.14994+(0.052071-0.01326))+0-0-0</f>
        <v>370.28875100000005</v>
      </c>
      <c r="I352" s="3">
        <f>294+(103.3-26)+(0.14994+(0.052683-0.01326))+0-0-0</f>
        <v>371.48936300000003</v>
      </c>
      <c r="J352" s="3">
        <f>294+(114.9-27)+(-0.29988+(-0.117198--0.02754))+0-0-0</f>
        <v>381.51046199999996</v>
      </c>
      <c r="K352" s="3">
        <f>294+(149.6-29)+(0.7497+(0.38148-0.07395))+0-0-0</f>
        <v>415.65723000000003</v>
      </c>
      <c r="L352" s="3">
        <f>284+(177.4-33)+(0+(0-0))+0-0-0</f>
        <v>428.4</v>
      </c>
      <c r="M352" s="3">
        <f>277+(191.5-33)+(0+(0-0))+2.8-0-0</f>
        <v>438.3</v>
      </c>
      <c r="N352" s="3">
        <f>281+(189.2-33)+(0+(0-0))+0.1-0-0</f>
        <v>437.3</v>
      </c>
      <c r="O352" s="3">
        <f>295+(172.8-28)+(0+(0-0))+0-0-0</f>
        <v>439.8</v>
      </c>
      <c r="P352" s="3">
        <f>295+(175.7-28)+(0+(0-0))+0-0-0</f>
        <v>442.7</v>
      </c>
      <c r="Q352" s="3">
        <f>295+(175.5-27)+(0+(0-0))+0-0-0</f>
        <v>443.5</v>
      </c>
      <c r="R352" s="3">
        <f>289+(178.3-27)+(0+(0-0))+0-0-0</f>
        <v>440.3</v>
      </c>
      <c r="S352" s="3">
        <f>289+(173.6-27)+(-0.14739+(-0.088536--0.01377))+0-0-0</f>
        <v>435.37784400000004</v>
      </c>
      <c r="T352" s="3">
        <f>289+(164.2-26)+(-0.29478+(-0.167484--0.02652))+0-0-0</f>
        <v>426.76425599999999</v>
      </c>
      <c r="U352" s="3">
        <f>289+(158-26)+(0.44217+(0.24174-0.03978))+0-0-0</f>
        <v>421.64413000000002</v>
      </c>
      <c r="V352" s="3">
        <f>297+(167.9-28)+(-0.60588+(-0.342516--0.05712))+0-0-0</f>
        <v>436.00872399999997</v>
      </c>
      <c r="W352" s="3">
        <f>297+(199.5-31)+(-0.90882+(-0.61047--0.09486))+0-0-0</f>
        <v>464.07557000000003</v>
      </c>
      <c r="X352" s="3">
        <f>297+(234.7-31)+(-0.30294+(-0.239394--0.03162))+0-0-0</f>
        <v>500.18928599999998</v>
      </c>
      <c r="Y352" s="3">
        <f>327+(174.9-32)+(-0.50031+(-0.267597--0.04896))+0-0-0</f>
        <v>469.18105299999996</v>
      </c>
      <c r="Z352" s="3">
        <f>381+(128.8-31)+(-1.36017+(-0.459816--0.11067))+0-0-0</f>
        <v>477.09068400000001</v>
      </c>
      <c r="AA352" s="3">
        <f>381+(103.7-29)+(-0.77724+(-0.211548--0.05916))+0-0-0</f>
        <v>454.77037200000001</v>
      </c>
      <c r="AB352" s="3">
        <f>381+(87.6-32)+(-0.58293+(-0.134028--0.04896))+0-0-0</f>
        <v>435.93200200000001</v>
      </c>
      <c r="AC352" s="3">
        <f>331+(122.6-27)+(-0.84405+(-0.31263--0.06885))+0-0-0</f>
        <v>425.51217000000003</v>
      </c>
      <c r="AD352">
        <f t="shared" si="5"/>
        <v>10318.930299000001</v>
      </c>
      <c r="AE352" s="3">
        <f>297+(233-32)+(0+(0-0))+0-0-0</f>
        <v>498</v>
      </c>
    </row>
    <row r="353" spans="1:31" s="2" customFormat="1" x14ac:dyDescent="0.25">
      <c r="A353">
        <v>89</v>
      </c>
      <c r="B353">
        <v>12</v>
      </c>
      <c r="C353">
        <v>17</v>
      </c>
      <c r="D353">
        <v>4</v>
      </c>
      <c r="E353">
        <v>1</v>
      </c>
      <c r="F353" s="3">
        <f>296+(117.6-26)+(-0.7548+(-0.29988--0.0663))+0-0-0</f>
        <v>386.61162000000002</v>
      </c>
      <c r="G353" s="3">
        <f>296+(102.5-25)+(-0.90576+(-0.31365--0.0765))+0-0-0</f>
        <v>372.35709000000003</v>
      </c>
      <c r="H353" s="3">
        <f>296+(92.7-25)+(-0.30192+(-0.094554--0.0255))+0-0-0</f>
        <v>363.329026</v>
      </c>
      <c r="I353" s="3">
        <f>296+(90-26)+(0.15096+(0.0459-0.01326))+0-0-0</f>
        <v>360.18360000000001</v>
      </c>
      <c r="J353" s="3">
        <f>296+(101-27)+(-0.15096+(-0.05151--0.01377))+0-0-0</f>
        <v>369.81130000000002</v>
      </c>
      <c r="K353" s="3">
        <f>296+(138.9-29)+(0.30192+(0.141678-0.02958))+0-0-0</f>
        <v>406.31401799999998</v>
      </c>
      <c r="L353" s="3">
        <f>293+(164-32)+(-0.29886+(-0.16728--0.03264))+0-0-0</f>
        <v>424.56650000000002</v>
      </c>
      <c r="M353" s="3">
        <f>293+(165.3-30)+(-0.14943+(-0.084303--0.0153))+0-0-0</f>
        <v>428.08156700000001</v>
      </c>
      <c r="N353" s="3">
        <f>319+(133.7-37)+(-0.16269+(-0.068187--0.01887))+0-0-0</f>
        <v>415.48799299999996</v>
      </c>
      <c r="O353" s="3">
        <f>373+(102.6-33)+(-0.38046+(-0.104652--0.03366))+0-0-0</f>
        <v>442.14854800000001</v>
      </c>
      <c r="P353" s="3">
        <f>371+(105.5-30)+(-0.56763+(-0.161415--0.0459))+0-0-0</f>
        <v>445.81685499999998</v>
      </c>
      <c r="Q353" s="3">
        <f>370+(97-28)+(-0.1887+(-0.04947--0.01428))+0-0-0</f>
        <v>438.77611000000002</v>
      </c>
      <c r="R353" s="3">
        <f>364+(97-28)+(-0.37128+(-0.09894--0.02856))+0-0-0</f>
        <v>432.55833999999999</v>
      </c>
      <c r="S353" s="3">
        <f>361+(101.7-28)+(-0.36822+(-0.103734--0.02856))+0-0-0</f>
        <v>434.25660599999998</v>
      </c>
      <c r="T353" s="3">
        <f>361+(95.5-30)+(-0.36822+(-0.09741--0.0306))+0-0-0</f>
        <v>426.06497000000002</v>
      </c>
      <c r="U353" s="3">
        <f>362+(111.9-29)+(-0.18462+(-0.057069--0.01479))+0-0-0</f>
        <v>444.67310099999997</v>
      </c>
      <c r="V353" s="3">
        <f>375+(90.9-30)+(0+(0-0))+0-0-0</f>
        <v>435.9</v>
      </c>
      <c r="W353" s="3">
        <f>375+(117.3-32)+(-0.95625+(-0.299115--0.0816))+0-0-0</f>
        <v>459.12623500000001</v>
      </c>
      <c r="X353" s="3">
        <f>376+(156.5-33)+(-0.19176+(-0.079815--0.01683))+0-0-0</f>
        <v>499.24525499999999</v>
      </c>
      <c r="Y353" s="3">
        <f>377+(157.5-31)+(-0.76908+(-0.3213--0.06324))+0-0-0</f>
        <v>502.47286000000003</v>
      </c>
      <c r="Z353" s="3">
        <f>377+(139.3-31)+(0.57681+(0.213129-0.04743))+0-0-0</f>
        <v>486.042509</v>
      </c>
      <c r="AA353" s="3">
        <f>378+(115.4-29)+(0.19278+(0.058854-0.01479))+0-0-0</f>
        <v>464.636844</v>
      </c>
      <c r="AB353" s="3">
        <f>378+(95.4-29)+(-0.77112+(-0.194616--0.05916))+0-0-0</f>
        <v>443.493424</v>
      </c>
      <c r="AC353" s="3">
        <f>380+(67.2-28.1)+(-0.7752+(-0.137088--0.057324))+0-0-0</f>
        <v>418.24503600000003</v>
      </c>
      <c r="AD353">
        <f t="shared" si="5"/>
        <v>10300.199407000002</v>
      </c>
      <c r="AE353" s="3">
        <f>376+(162.2-33)+(0+(0-0))+0-0-0</f>
        <v>505.2</v>
      </c>
    </row>
    <row r="354" spans="1:31" s="2" customFormat="1" x14ac:dyDescent="0.25">
      <c r="A354">
        <v>89</v>
      </c>
      <c r="B354">
        <v>12</v>
      </c>
      <c r="C354">
        <v>18</v>
      </c>
      <c r="D354">
        <v>5</v>
      </c>
      <c r="E354">
        <v>1</v>
      </c>
      <c r="F354" s="3">
        <f>378+(52.7-40.9)+(-0.57834+(-0.080631--0.062577))+0-0-0</f>
        <v>389.20360600000004</v>
      </c>
      <c r="G354" s="3">
        <f>379+(43.6-46.1)+(-0.96645+(-0.11118--0.117555))+0-0-0</f>
        <v>375.53992499999998</v>
      </c>
      <c r="H354" s="3">
        <f>348+(48.8-32.5)+(-0.17748+(-0.024888--0.016575))+0-0-0</f>
        <v>364.11420700000002</v>
      </c>
      <c r="I354" s="3">
        <f>292+(93.8-26)+(-0.59568+(-0.191352--0.05304))+0-0-0</f>
        <v>359.06600800000001</v>
      </c>
      <c r="J354" s="3">
        <f>292+(104.3-27)+(-0.29784+(-0.106386--0.02754))+0-0-0</f>
        <v>368.923314</v>
      </c>
      <c r="K354" s="3">
        <f>292+(140.8-29)+(-0.29784+(-0.143616--0.02958))+0-0-0</f>
        <v>403.388124</v>
      </c>
      <c r="L354" s="3">
        <f>291+(166.6-31)+(0+(0-0))+0-0-0</f>
        <v>426.6</v>
      </c>
      <c r="M354" s="3">
        <f>291+(173.8-29)+(-0.14841+(-0.088638--0.01479))+1.6-0-0</f>
        <v>437.17774200000002</v>
      </c>
      <c r="N354" s="3">
        <f>292+(172.3-28)+(0.29784+(0.175746-0.02856))+0-0-0</f>
        <v>436.745026</v>
      </c>
      <c r="O354" s="3">
        <f>328+(140.7-28)+(-0.16728+(-0.071757--0.01428))+0-0-0</f>
        <v>440.47524299999998</v>
      </c>
      <c r="P354" s="3">
        <f>356+(116.4-28)+(-0.54468+(-0.178092--0.04284))+0-0-0</f>
        <v>443.72006799999997</v>
      </c>
      <c r="Q354" s="3">
        <f>433+(43.9-37)+(-0.66249+(-0.067167--0.05661))+0-0-0</f>
        <v>439.22695299999998</v>
      </c>
      <c r="R354" s="3">
        <f>371+(103.2-29)+(-0.94605+(-0.26316--0.07395))+0-0-0</f>
        <v>444.06473999999997</v>
      </c>
      <c r="S354" s="3">
        <f>357+(105-29)+(-0.72828+(-0.2142--0.05916))+0-0-0</f>
        <v>432.11667999999997</v>
      </c>
      <c r="T354" s="3">
        <f>357+(92.5-29)+(-0.36414+(-0.09435--0.02958))+0-0-0</f>
        <v>420.07109000000003</v>
      </c>
      <c r="U354" s="3">
        <f>357+(95.3-30)+(-0.72828+(-0.194412--0.0612))+0-0-0</f>
        <v>421.43850800000001</v>
      </c>
      <c r="V354" s="3">
        <f>369+(94.4-30)+(0.18819+(0.048144-0.0153))+0-0-0</f>
        <v>433.62103399999995</v>
      </c>
      <c r="W354" s="3">
        <f>383+(119-31)+(-0.78132+(-0.24276--0.06324))+0-0-0</f>
        <v>470.03915999999998</v>
      </c>
      <c r="X354" s="3">
        <f>414+(98.2-33)+(-0.42228+(-0.100164--0.03366))+0-0-0</f>
        <v>478.71121599999998</v>
      </c>
      <c r="Y354" s="3">
        <f>446+(73.4-33)+(-1.1373+(-0.18717--0.08415))+0-0-0</f>
        <v>485.15967999999998</v>
      </c>
      <c r="Z354" s="3">
        <f>369+(127.2-32)+(0+(0-0))+0-0-0</f>
        <v>464.2</v>
      </c>
      <c r="AA354" s="3">
        <f>369+(119.1-30)+(-0.37638+(-0.121482--0.0306))+0-0-0</f>
        <v>457.63273800000002</v>
      </c>
      <c r="AB354" s="3">
        <f>369+(82.7-30)+(-0.94095+(-0.210885--0.0765))+0-0-0</f>
        <v>420.62466499999999</v>
      </c>
      <c r="AC354" s="3">
        <f>369+(61.7-28)+(-0.37638+(-0.062934--0.02856))+0-0-0</f>
        <v>402.28924599999999</v>
      </c>
      <c r="AD354">
        <f t="shared" si="5"/>
        <v>10214.148973000001</v>
      </c>
      <c r="AE354" s="3">
        <f>450+(72.5-46)+(0+(0-0))+0-0-0</f>
        <v>476.5</v>
      </c>
    </row>
    <row r="355" spans="1:31" s="2" customFormat="1" x14ac:dyDescent="0.25">
      <c r="A355">
        <v>89</v>
      </c>
      <c r="B355">
        <v>12</v>
      </c>
      <c r="C355">
        <v>19</v>
      </c>
      <c r="D355">
        <v>6</v>
      </c>
      <c r="E355">
        <v>1</v>
      </c>
      <c r="F355" s="3">
        <f>353+(54.2-27)+(0+(0-0))+0-0-0</f>
        <v>380.2</v>
      </c>
      <c r="G355" s="3">
        <f>352+(41-27.1)+(0+(0-0))+0-0-0</f>
        <v>365.9</v>
      </c>
      <c r="H355" s="3">
        <f>352+(35.6-29.1)+(0+(0-0))+0-0-0</f>
        <v>358.5</v>
      </c>
      <c r="I355" s="3">
        <f>352+(37.7-29.2)+(0+(0-0))+0-0-0</f>
        <v>360.5</v>
      </c>
      <c r="J355" s="3">
        <f>352+(44.5-29)+(0+(0-0))+0-0-0</f>
        <v>367.5</v>
      </c>
      <c r="K355" s="3">
        <f>352+(84.4-31)+(0+(0-0))+0-0-0</f>
        <v>405.4</v>
      </c>
      <c r="L355" s="3">
        <f>346+(103.9-32)+(0+(0-0))+0-0-0</f>
        <v>417.9</v>
      </c>
      <c r="M355" s="3">
        <f>346+(115.5-30)+(0+(0-0))+0-0-0</f>
        <v>431.5</v>
      </c>
      <c r="N355" s="3">
        <f>360+(110.8-30)+(0+(0-0))+0-0-0</f>
        <v>440.8</v>
      </c>
      <c r="O355" s="3">
        <f>423+(67.3-33.8)+(0+(0-0))+0-0-0</f>
        <v>456.5</v>
      </c>
      <c r="P355" s="3">
        <f>421+(68.4-51.3)+(0+(0-0))+0-0-0</f>
        <v>438.1</v>
      </c>
      <c r="Q355" s="3">
        <f>423+(66.3-38.8)+(0+(0-0))+0-0-0</f>
        <v>450.5</v>
      </c>
      <c r="R355" s="3">
        <f>407+(66.7-32.7)+(-1.03785+(-0.170085--0.083385))+0-0-0</f>
        <v>439.87545</v>
      </c>
      <c r="S355" s="3">
        <f>362+(81.3-29)+(0.55386+(0.124389-0.04437))+0-0-0</f>
        <v>414.93387899999999</v>
      </c>
      <c r="T355" s="3">
        <f>330+(92.1-30)+(-0.5049+(-0.140913--0.0459))+0-0-0</f>
        <v>391.50008700000001</v>
      </c>
      <c r="U355" s="3">
        <f>330+(85.8-30)+(-0.5049+(-0.131274--0.0459))+0-0-0</f>
        <v>385.20972599999999</v>
      </c>
      <c r="V355" s="3">
        <f>352+(87.7-30)+(-0.53856+(-0.134181--0.0459))+0-0-0</f>
        <v>409.07315899999998</v>
      </c>
      <c r="W355" s="3">
        <f>414+(66.2-32)+(0+(0-0))+0-0-0</f>
        <v>448.2</v>
      </c>
      <c r="X355" s="3">
        <f>433+(84.3-33)+(-0.44166+(-0.085986--0.03366))+0-0-0</f>
        <v>483.806014</v>
      </c>
      <c r="Y355" s="3">
        <f>433+(78.2-32)+(-1.54581+(-0.279174--0.11424))+0-0-0</f>
        <v>477.48925600000001</v>
      </c>
      <c r="Z355" s="3">
        <f>433+(66.5-31)+(-0.88332+(-0.13566--0.06324))+0-0-0</f>
        <v>467.54426000000001</v>
      </c>
      <c r="AA355" s="3">
        <f>434+(52.5-30)+(-0.88536+(-0.1071--0.0612))+0-0-0</f>
        <v>455.56873999999999</v>
      </c>
      <c r="AB355" s="3">
        <f>436+(36.3-33.9)+(-1.1118+(-0.092565--0.086445))+0-0-0</f>
        <v>437.28207999999995</v>
      </c>
      <c r="AC355" s="3">
        <f>407+(31.3-33.6)+(-0.83028+(-0.063852--0.068544))+0-0-0</f>
        <v>403.87441200000001</v>
      </c>
      <c r="AD355">
        <f t="shared" si="5"/>
        <v>10087.657063000001</v>
      </c>
      <c r="AE355" s="3">
        <f>432+(112.6-33)+(0+(0-0))+0-0-0</f>
        <v>511.6</v>
      </c>
    </row>
    <row r="356" spans="1:31" s="2" customFormat="1" x14ac:dyDescent="0.25">
      <c r="A356">
        <v>89</v>
      </c>
      <c r="B356">
        <v>12</v>
      </c>
      <c r="C356">
        <v>20</v>
      </c>
      <c r="D356">
        <v>7</v>
      </c>
      <c r="E356">
        <v>1</v>
      </c>
      <c r="F356" s="3">
        <f>345+(67.1-27)+(0+(0-0))+0-0-0</f>
        <v>385.1</v>
      </c>
      <c r="G356" s="3">
        <f>345+(42.3-28.1)+(0+(0-0))+0-0-0</f>
        <v>359.2</v>
      </c>
      <c r="H356" s="3">
        <f>345+(35.6-30.1)+(0+(0-0))+0-0-0</f>
        <v>350.5</v>
      </c>
      <c r="I356" s="3">
        <f>345+(32.3-31.9)+(0+(0-0))+0-0-0</f>
        <v>345.4</v>
      </c>
      <c r="J356" s="3">
        <f>345+(36.3-33.2)+(0+(0-0))+0-0-0</f>
        <v>348.1</v>
      </c>
      <c r="K356" s="3">
        <f>345+(61.9-33)+(0+(0-0))+0-0-0</f>
        <v>373.9</v>
      </c>
      <c r="L356" s="3">
        <f>342+(75.5-32)+(0+(0-0))+0-0-0</f>
        <v>385.5</v>
      </c>
      <c r="M356" s="3">
        <f>342+(90-30)+(0+(0-0))+0-0-0</f>
        <v>402</v>
      </c>
      <c r="N356" s="3">
        <f>338+(109.9-30)+(0+(0-0))+0-0-0</f>
        <v>417.9</v>
      </c>
      <c r="O356" s="3">
        <f>338+(126.9-30)+(0+(0-0))+0-0-0</f>
        <v>434.9</v>
      </c>
      <c r="P356" s="3">
        <f>337+(128.9-30)+(0+(0-0))+0-0-0</f>
        <v>435.9</v>
      </c>
      <c r="Q356" s="3">
        <f>413+(69.9-35.3)+(0+(0-0))+0-0-0</f>
        <v>447.6</v>
      </c>
      <c r="R356" s="3">
        <f>399+(68.1-33.4)+(-1.01745+(-0.173655--0.08517))+0-0-0</f>
        <v>432.594065</v>
      </c>
      <c r="S356" s="3">
        <f>330+(115.3-29)+(-0.6732+(-0.235212--0.05916))+0-0-0</f>
        <v>415.45074800000003</v>
      </c>
      <c r="T356" s="3">
        <f>330+(112.9-27)+(-0.3366+(-0.115158--0.02754))+0-0-0</f>
        <v>415.47578199999998</v>
      </c>
      <c r="U356" s="3">
        <f>330+(97-26)+(-0.6732+(-0.19788--0.05304))+0-0-0</f>
        <v>400.18196</v>
      </c>
      <c r="V356" s="3">
        <f>398+(60.5-30.5)+(0.40596+(0.06171-0.03111))+0-0-0</f>
        <v>428.43655999999999</v>
      </c>
      <c r="W356" s="3">
        <f>432+(49.6-33)+(-0.44064+(-0.050592--0.03366))+0-0-0</f>
        <v>448.142428</v>
      </c>
      <c r="X356" s="3">
        <f>433+(83-32)+(0+(0-0))+0-0-0</f>
        <v>484</v>
      </c>
      <c r="Y356" s="3">
        <f>434+(81.7-32)+(-1.32804+(-0.250002--0.09792))+0-0-0</f>
        <v>482.21987799999999</v>
      </c>
      <c r="Z356" s="3">
        <f>435+(68.4-31)+(-0.4437+(-0.069768--0.03162))+0-0-0</f>
        <v>471.91815199999996</v>
      </c>
      <c r="AA356" s="3">
        <f>435+(51.1-31)+(-0.22185+(-0.026061--0.01581))+0-0-0</f>
        <v>454.86789900000002</v>
      </c>
      <c r="AB356" s="3">
        <f>436+(30.7-37.2)+(-0.44472+(-0.031314--0.037944))+0-0-0</f>
        <v>429.06191000000001</v>
      </c>
      <c r="AC356" s="3">
        <f>438+(12.5-44.6)+(-0.89352+(-0.0255--0.090984))+0-0-0</f>
        <v>405.07196399999998</v>
      </c>
      <c r="AD356">
        <f t="shared" si="5"/>
        <v>9953.4213460000028</v>
      </c>
      <c r="AE356" s="3">
        <f>433+(85.1-32)+(0+(0-0))+0-0-0</f>
        <v>486.1</v>
      </c>
    </row>
    <row r="357" spans="1:31" s="2" customFormat="1" x14ac:dyDescent="0.25">
      <c r="A357">
        <v>89</v>
      </c>
      <c r="B357">
        <v>12</v>
      </c>
      <c r="C357">
        <v>21</v>
      </c>
      <c r="D357">
        <v>1</v>
      </c>
      <c r="E357">
        <v>1</v>
      </c>
      <c r="F357" s="3">
        <f>424+(0-55)+(-1.0812+(0--0.14025))+0-0-0</f>
        <v>368.05905000000001</v>
      </c>
      <c r="G357" s="3">
        <f>340+(34.3-27.8)+(-0.3468+(-0.034986--0.028356))+0-0-0</f>
        <v>346.14657</v>
      </c>
      <c r="H357" s="3">
        <f>340+(26.3-29.8)+(-0.5202+(-0.040239--0.045594))+0-0-0</f>
        <v>335.98515500000002</v>
      </c>
      <c r="I357" s="3">
        <f>340+(24.4-31.8)+(0.5202+(0.037332-0.048654))+0-0-0</f>
        <v>333.108878</v>
      </c>
      <c r="J357" s="3">
        <f>340+(33-31.3)+(-0.1734+(-0.01683--0.015963))+0-0-0</f>
        <v>341.525733</v>
      </c>
      <c r="K357" s="3">
        <f>340+(65.4-31)+(0+(0-0))+0-0-0</f>
        <v>374.4</v>
      </c>
      <c r="L357" s="3">
        <f>339+(74.7-31)+(-0.17289+(-0.038097--0.01581))+0-0-0</f>
        <v>382.50482299999999</v>
      </c>
      <c r="M357" s="3">
        <f>353+(69.1-30)+(0+(0-0))+0-0-0</f>
        <v>392.1</v>
      </c>
      <c r="N357" s="3">
        <f>383+(28.4-39)+(0+(0-0))+0-0-0</f>
        <v>372.4</v>
      </c>
      <c r="O357" s="3">
        <f>383+(41.8-40.3)+(0+(0-0))+0-0-0</f>
        <v>384.5</v>
      </c>
      <c r="P357" s="3">
        <f>396+(39.8-45.1)+(0.40392+(0.040596-0.046002))+0-0-0</f>
        <v>391.09851399999997</v>
      </c>
      <c r="Q357" s="3">
        <f>413+(44.5-44.4)+(-0.42126+(-0.04539--0.045288))+0-0-0</f>
        <v>412.67863800000003</v>
      </c>
      <c r="R357" s="3">
        <f>408+(48-37.7)+(-1.0404+(-0.1224--0.096135))+0-0-0</f>
        <v>417.23333500000001</v>
      </c>
      <c r="S357" s="3">
        <f>408+(49.5-40.4)+(-0.83232+(-0.10098--0.082416))+0-0-0</f>
        <v>416.24911600000001</v>
      </c>
      <c r="T357" s="3">
        <f>383+(55.5-35)+(0+(0-0))+0-0-0</f>
        <v>403.5</v>
      </c>
      <c r="U357" s="3">
        <f>331+(76.8-37)+(-0.16881+(-0.039168--0.01887))+0-0-0</f>
        <v>370.61089200000004</v>
      </c>
      <c r="V357" s="3">
        <f>350+(106-30)+(0.1785+(0.05406-0.0153))+0-0-0</f>
        <v>426.21726000000001</v>
      </c>
      <c r="W357" s="3">
        <f>350+(123.6-31)+(-0.1785+(-0.063036--0.01581))+0-0-0</f>
        <v>442.37427400000001</v>
      </c>
      <c r="X357" s="3">
        <f>383+(110.9-34)+(-0.39066+(-0.113118--0.03468))+0-0-0</f>
        <v>459.430902</v>
      </c>
      <c r="Y357" s="3">
        <f>418+(84.2-34)+(-0.21318+(-0.042942--0.01734))+0-0-0</f>
        <v>467.96121799999997</v>
      </c>
      <c r="Z357" s="3">
        <f>350+(142-33)+(-0.357+(-0.14484--0.03366))+0-0-0</f>
        <v>458.53181999999998</v>
      </c>
      <c r="AA357" s="3">
        <f>350+(124.8-33)+(-0.5355+(-0.190944--0.05049))+0-0-0</f>
        <v>441.12404600000002</v>
      </c>
      <c r="AB357" s="3">
        <f>350+(102.8-31)+(-1.2495+(-0.366996--0.11067))+0-0-0</f>
        <v>420.294174</v>
      </c>
      <c r="AC357" s="3">
        <f>350+(73.1-29)+(-0.714+(-0.149124--0.05916))+0-0-0</f>
        <v>393.29603600000002</v>
      </c>
      <c r="AD357">
        <f t="shared" si="5"/>
        <v>9551.3304340000013</v>
      </c>
      <c r="AE357" s="3">
        <f>432+(78.8-33)+(0+(0-0))+0-0-0</f>
        <v>477.8</v>
      </c>
    </row>
    <row r="358" spans="1:31" s="2" customFormat="1" x14ac:dyDescent="0.25">
      <c r="A358">
        <v>89</v>
      </c>
      <c r="B358">
        <v>12</v>
      </c>
      <c r="C358">
        <v>22</v>
      </c>
      <c r="D358">
        <v>2</v>
      </c>
      <c r="E358">
        <v>1</v>
      </c>
      <c r="F358" s="3">
        <f>338+(48.1-28)+(-0.8619+(-0.122655--0.0714))+0-0-0</f>
        <v>357.18684500000001</v>
      </c>
      <c r="G358" s="3">
        <f>338+(34-31.3)+(-1.03428+(-0.10404--0.095778))+0-0-0</f>
        <v>339.65745799999996</v>
      </c>
      <c r="H358" s="3">
        <f>338+(27-33.4)+(-0.68952+(-0.05508--0.068136))+0-0-0</f>
        <v>330.92353600000001</v>
      </c>
      <c r="I358" s="3">
        <f>338+(22.3-35.4)+(0.51714+(0.034119-0.054162))+0-0-0</f>
        <v>325.39709699999997</v>
      </c>
      <c r="J358" s="3">
        <f>338+(33.2-33.8)+(-0.51714+(-0.050796--0.051714))+0-0-0</f>
        <v>336.88377799999995</v>
      </c>
      <c r="K358" s="3">
        <f>338+(53.5-31)+(0.68952+(0.10914-0.06324))+0-0-0</f>
        <v>361.23541999999998</v>
      </c>
      <c r="L358" s="3">
        <f>335+(71.8-32)+(-1.0251+(-0.219708--0.09792))+0-0-0</f>
        <v>373.65311200000002</v>
      </c>
      <c r="M358" s="3">
        <f>335+(83.7-32)+(0.3417+(0.085374-0.03264))+0-0-0</f>
        <v>387.09443399999998</v>
      </c>
      <c r="N358" s="3">
        <f>396+(50.9-34)+(0.40392+(0.051918-0.03468))+0-0-0</f>
        <v>413.32115799999997</v>
      </c>
      <c r="O358" s="3">
        <f>412+(45.7-32)+(0.21012+(0.023307-0.01632))+0-0-0</f>
        <v>425.91710699999999</v>
      </c>
      <c r="P358" s="3">
        <f>409+(54.2-30)+(0.20859+(0.027642-0.0153))+0-0-0</f>
        <v>433.42093199999999</v>
      </c>
      <c r="Q358" s="3">
        <f>409+(62.1-30)+(-0.62577+(-0.095013--0.0459))+0-0-0</f>
        <v>440.425117</v>
      </c>
      <c r="R358" s="3">
        <f>401+(70.4-32)+(0+(0-0))+0-0-0</f>
        <v>439.4</v>
      </c>
      <c r="S358" s="3">
        <f>400+(71.6-32)+(0.204+(0.036516-0.01632))+0-0-0</f>
        <v>439.82419600000003</v>
      </c>
      <c r="T358" s="3">
        <f>400+(64.9-32)+(-0.408+(-0.066198--0.03264))+0-0-0</f>
        <v>432.45844199999999</v>
      </c>
      <c r="U358" s="3">
        <f>351+(113.5-32)+(0+(0-0))+0-0-0</f>
        <v>432.5</v>
      </c>
      <c r="V358" s="3">
        <f>349+(124.7-33)+(-0.88995+(-0.317985--0.08415))+0-0-0</f>
        <v>439.57621499999999</v>
      </c>
      <c r="W358" s="3">
        <f>349+(136.4-33)+(0+(0-0))+0-0-0</f>
        <v>452.4</v>
      </c>
      <c r="X358" s="3">
        <f>411+(115.1-33)+(-0.20961+(-0.058701--0.01683))+0-0-0</f>
        <v>492.84851900000001</v>
      </c>
      <c r="Y358" s="3">
        <f>430+(101-34)+(-0.6579+(-0.15453--0.05202))+0-0-0</f>
        <v>496.23959000000002</v>
      </c>
      <c r="Z358" s="3">
        <f>431+(82-33)+(-0.43962+(-0.08364--0.03366))+0-0-0</f>
        <v>479.5104</v>
      </c>
      <c r="AA358" s="3">
        <f>433+(59.2-32)+(-0.66249+(-0.090576--0.04896))+0-0-0</f>
        <v>459.49589399999996</v>
      </c>
      <c r="AB358" s="3">
        <f>434+(42.2-31)+(-0.44268+(-0.043044--0.03162))+0-0-0</f>
        <v>444.74589600000002</v>
      </c>
      <c r="AC358" s="3">
        <f>435+(19.2-44.7)+(-0.66555+(-0.029376--0.068391))+0-0-0</f>
        <v>408.87346500000001</v>
      </c>
      <c r="AD358">
        <f t="shared" si="5"/>
        <v>9942.9886109999989</v>
      </c>
      <c r="AE358" s="3">
        <f>431+(106.3-33)+(0+(0-0))+0-0-0</f>
        <v>504.3</v>
      </c>
    </row>
    <row r="359" spans="1:31" s="2" customFormat="1" x14ac:dyDescent="0.25">
      <c r="A359">
        <v>89</v>
      </c>
      <c r="B359">
        <v>12</v>
      </c>
      <c r="C359">
        <v>23</v>
      </c>
      <c r="D359">
        <v>3</v>
      </c>
      <c r="E359">
        <v>1</v>
      </c>
      <c r="F359" s="3">
        <f>421+(5.1-51.1)+(-2.1471+(-0.02601--0.26061))+0-0-0</f>
        <v>373.08749999999998</v>
      </c>
      <c r="G359" s="3">
        <f>423+(0-65.3)+(-1.29438+(0--0.199818))+0-0-0</f>
        <v>356.60543799999999</v>
      </c>
      <c r="H359" s="3">
        <f>423+(0-96.1)+(-0.64719+(0--0.147033))+0-0-0</f>
        <v>326.39984299999998</v>
      </c>
      <c r="I359" s="3">
        <f>424+(0-96.6)+(-0.64872+(0--0.147798))+0-0-0</f>
        <v>326.89907799999997</v>
      </c>
      <c r="J359" s="3">
        <f>411+(0-69.3)+(0.41922+(0-0.070686))+0-0-0</f>
        <v>342.04853399999996</v>
      </c>
      <c r="K359" s="3">
        <f>339+(47.2-31)+(-0.17289+(-0.024072--0.01581))+0-0-0</f>
        <v>355.01884799999999</v>
      </c>
      <c r="L359" s="3">
        <f>342+(62.4-33)+(-0.17442+(-0.031824--0.01683))+3.2-0-0</f>
        <v>374.41058599999997</v>
      </c>
      <c r="M359" s="3">
        <f>344+(56.4-33)+(0.70176+(0.115056-0.06732))+19-0-0</f>
        <v>387.149496</v>
      </c>
      <c r="N359" s="3">
        <f>340+(68.1-32)+(0+(0-0))+19-0-0</f>
        <v>395.1</v>
      </c>
      <c r="O359" s="3">
        <f>379+(69.5-31)+(-0.77316+(-0.14178--0.06324))+15.8-0-0</f>
        <v>432.44830000000002</v>
      </c>
      <c r="P359" s="3">
        <f>345+(149.2-31)+(-0.7038+(-0.304368--0.06324))+0-0-0</f>
        <v>462.25507199999998</v>
      </c>
      <c r="Q359" s="3">
        <f>344+(131-31)+(-0.52632+(-0.20043--0.04743))+0-0-0</f>
        <v>443.32067999999998</v>
      </c>
      <c r="R359" s="3">
        <f>385+(103.6-31)+(-0.7854+(-0.211344--0.06324))+0-0-0</f>
        <v>456.666496</v>
      </c>
      <c r="S359" s="3">
        <f>396+(87.2-31)+(0.40392+(0.088944-0.03162))+0-0-0</f>
        <v>452.66124400000001</v>
      </c>
      <c r="T359" s="3">
        <f>400+(81.3-32)+(-0.408+(-0.082926--0.03264))+0-0-0</f>
        <v>448.84171400000002</v>
      </c>
      <c r="U359" s="3">
        <f>401+(68.9-32)+(0+(0-0))+0-0-0</f>
        <v>437.9</v>
      </c>
      <c r="V359" s="3">
        <f>425+(64.5-33)+(-0.867+(-0.13158--0.06732))+0-0-0</f>
        <v>455.56873999999999</v>
      </c>
      <c r="W359" s="3">
        <f>427+(71.3-34)+(-0.21777+(-0.036363--0.01734))+0-0-0</f>
        <v>464.06320700000003</v>
      </c>
      <c r="X359" s="3">
        <f>428+(108.6-34)+(-0.21828+(-0.055386--0.01734))+0-0-0</f>
        <v>502.34367400000002</v>
      </c>
      <c r="Y359" s="3">
        <f>430+(106.1-33)+(-1.3158+(-0.324666--0.10098))+0-0-0</f>
        <v>501.56051400000001</v>
      </c>
      <c r="Z359" s="3">
        <f>431+(97.8-32)+(-0.65943+(-0.149634--0.04896))+0-0-0</f>
        <v>496.039896</v>
      </c>
      <c r="AA359" s="3">
        <f>432+(82.1-31)+(-0.66096+(-0.125613--0.04743))+0-0-0</f>
        <v>482.36085700000001</v>
      </c>
      <c r="AB359" s="3">
        <f>428+(46.8-30)+(-0.87312+(-0.095472--0.0612))+0-0-0</f>
        <v>443.892608</v>
      </c>
      <c r="AC359" s="3">
        <f>399+(34.7-35.9)+(-1.01745+(-0.088485--0.091545))+0-0-0</f>
        <v>396.78561000000002</v>
      </c>
      <c r="AD359">
        <f t="shared" si="5"/>
        <v>10113.427935</v>
      </c>
      <c r="AE359" s="3">
        <f>431+(94-34)+(0+(0-0))+0-0-0</f>
        <v>491</v>
      </c>
    </row>
    <row r="360" spans="1:31" s="2" customFormat="1" x14ac:dyDescent="0.25">
      <c r="A360">
        <v>89</v>
      </c>
      <c r="B360">
        <v>12</v>
      </c>
      <c r="C360">
        <v>24</v>
      </c>
      <c r="D360">
        <v>4</v>
      </c>
      <c r="E360">
        <v>1</v>
      </c>
      <c r="F360" s="3">
        <f>387+(32.9-40.9)+(-1.18422+(-0.100674--0.125154))+0-0-0</f>
        <v>377.84026</v>
      </c>
      <c r="G360" s="3">
        <f>391+(23.8-49.1)+(-0.99705+(-0.06069--0.125205))+0-0-0</f>
        <v>364.76746500000002</v>
      </c>
      <c r="H360" s="3">
        <f>392+(19.6-59.1)+(0+(0-0))+0-0-0</f>
        <v>352.5</v>
      </c>
      <c r="I360" s="3">
        <f>373+(24-59.8)+(-1.14138+(-0.07344--0.182988))+0-0-0</f>
        <v>336.16816799999998</v>
      </c>
      <c r="J360" s="3">
        <f>304+(52.3-53)+(0.46512+(0.080019-0.08109))+0-0-0</f>
        <v>303.764049</v>
      </c>
      <c r="K360" s="3">
        <f>304+(73.6-52)+(-0.7752+(-0.18768--0.1326))+0-0-0</f>
        <v>324.76972000000001</v>
      </c>
      <c r="L360" s="3">
        <f>304+(109.2-33)+(-0.46512+(-0.167076--0.05049))+0-0-0</f>
        <v>379.61829399999999</v>
      </c>
      <c r="M360" s="3">
        <f>304+(112.6-32)+(-0.31008+(-0.114852--0.03264))+0-0-0</f>
        <v>384.20770800000003</v>
      </c>
      <c r="N360" s="3">
        <f>315+(135.2-30)+(0+(0-0))+0-0-0</f>
        <v>420.2</v>
      </c>
      <c r="O360" s="3">
        <f>377+(95.7-44)+(-0.38454+(-0.097614--0.04488))+0-0-0</f>
        <v>428.26272599999999</v>
      </c>
      <c r="P360" s="3">
        <f>374+(115.1-41)+(-0.19074+(-0.058701--0.02091))+0-0-0</f>
        <v>447.87146900000005</v>
      </c>
      <c r="Q360" s="3">
        <f>373+(124-36)+(-0.57069+(-0.18972--0.05508))+0-0-0</f>
        <v>460.29467</v>
      </c>
      <c r="R360" s="3">
        <f>369+(122.5-34)+(-0.37638+(-0.12495--0.03468))+0-0-0</f>
        <v>457.03334999999998</v>
      </c>
      <c r="S360" s="3">
        <f>330+(165.4-32)+(-0.1683+(-0.084354--0.01632))+0-0-0</f>
        <v>463.16366599999998</v>
      </c>
      <c r="T360" s="3">
        <f>298+(180.6-32)+(-0.15198+(-0.092106--0.01632))+0-0-0</f>
        <v>446.37223400000005</v>
      </c>
      <c r="U360" s="3">
        <f>298+(212.8-31)+(-0.45594+(-0.325584--0.04743))+0-0-0</f>
        <v>479.06590599999998</v>
      </c>
      <c r="V360" s="3">
        <f>312+(167.4-32)+(-1.27296+(-0.682992--0.13056))+0-0-0</f>
        <v>445.57460799999996</v>
      </c>
      <c r="W360" s="3">
        <f>312+(180-33)+(0.15912+(0.0918-0.01683))+0-0-0</f>
        <v>459.23408999999998</v>
      </c>
      <c r="X360" s="3">
        <f>312+(215-33)+(0.15912+(0.10965-0.01683))+0-0-0</f>
        <v>494.25193999999999</v>
      </c>
      <c r="Y360" s="3">
        <f>312+(223.9-33)+(-0.63648+(-0.456756--0.06732))+0-0-0</f>
        <v>501.87408399999998</v>
      </c>
      <c r="Z360" s="3">
        <f>312+(199.3-33)+(-0.31824+(-0.203286--0.03366))+0-0-0</f>
        <v>477.81213400000001</v>
      </c>
      <c r="AA360" s="3">
        <f>312+(188.8-33)+(-0.31824+(-0.192576--0.03366))+0-0-0</f>
        <v>467.32284400000003</v>
      </c>
      <c r="AB360" s="3">
        <f>312+(173.9-33)+(-0.15912+(-0.088689--0.01683))+0-0-0</f>
        <v>452.66902099999999</v>
      </c>
      <c r="AC360" s="3">
        <f>312+(137.6-33)+(-0.15912+(-0.070176--0.01683))+0-0-0</f>
        <v>416.38753400000002</v>
      </c>
      <c r="AD360">
        <f t="shared" si="5"/>
        <v>10141.025939999998</v>
      </c>
      <c r="AE360" s="3">
        <f>312+(167.6-33)+(0+(0-0))+0-0-0</f>
        <v>446.6</v>
      </c>
    </row>
    <row r="361" spans="1:31" s="2" customFormat="1" x14ac:dyDescent="0.25">
      <c r="A361">
        <v>89</v>
      </c>
      <c r="B361">
        <v>12</v>
      </c>
      <c r="C361">
        <v>25</v>
      </c>
      <c r="D361">
        <v>5</v>
      </c>
      <c r="E361">
        <v>1</v>
      </c>
      <c r="F361" s="3">
        <f>308+(122.9-31)+(-0.15708+(-0.062679--0.01581))+0-0-0</f>
        <v>399.69605099999995</v>
      </c>
      <c r="G361" s="3">
        <f>308+(102.6-29)+(-0.31416+(-0.104652--0.02958))+0-0-0</f>
        <v>381.21076800000003</v>
      </c>
      <c r="H361" s="3">
        <f>308+(87.3-28)+(-0.62832+(-0.178092--0.05712))+0-0-0</f>
        <v>366.55070799999999</v>
      </c>
      <c r="I361" s="3">
        <f>308+(82-28)+(0.31416+(0.08364-0.02856))+0-0-0</f>
        <v>362.36923999999999</v>
      </c>
      <c r="J361" s="3">
        <f>308+(88.7-28)+(0+(0-0))+0-0-0</f>
        <v>368.7</v>
      </c>
      <c r="K361" s="3">
        <f>308+(107.7-30)+(0.31416+(0.109854-0.0306))+0-0-0</f>
        <v>386.093414</v>
      </c>
      <c r="L361" s="3">
        <f>310+(116.5-32)+(-0.7905+(-0.297075--0.0816))+0-0-0</f>
        <v>393.49402500000002</v>
      </c>
      <c r="M361" s="3">
        <f>310+(139.4-32)+(0.3162+(0.142188-0.03264))+0-0-0</f>
        <v>417.82574799999998</v>
      </c>
      <c r="N361" s="3">
        <f>352+(112.2-31)+(0.17952+(0.057222-0.01581))+0-0-0</f>
        <v>433.42093199999999</v>
      </c>
      <c r="O361" s="3">
        <f>382+(102.4-37)+(-0.38964+(-0.104448--0.03774))+0-0-0</f>
        <v>446.94365199999999</v>
      </c>
      <c r="P361" s="3">
        <f>380+(107.8-32)+(0.3876+(0.109956-0.03264))+0-0-0</f>
        <v>456.26491600000003</v>
      </c>
      <c r="Q361" s="3">
        <f>397+(97.6-32)+(0.60741+(0.149328-0.04896))+0-0-0</f>
        <v>463.30777800000004</v>
      </c>
      <c r="R361" s="3">
        <f>393+(115.9-31)+(-0.60129+(-0.177327--0.04743))+0-0-0</f>
        <v>477.168813</v>
      </c>
      <c r="S361" s="3">
        <f>393+(117-32)+(-0.20043+(-0.05967--0.01632))+0-0-0</f>
        <v>477.75621999999998</v>
      </c>
      <c r="T361" s="3">
        <f>394+(112.4-33)+(-0.60282+(-0.171972--0.05049))+0-0-0</f>
        <v>472.67569799999995</v>
      </c>
      <c r="U361" s="3">
        <f>323+(168.1-33)+(-0.65892+(-0.342924--0.06732))+0-0-0</f>
        <v>457.16547600000001</v>
      </c>
      <c r="V361" s="3">
        <f>333+(156.9-32)+(-0.33966+(-0.160038--0.03264))+0-0-0</f>
        <v>457.43294199999997</v>
      </c>
      <c r="W361" s="3">
        <f>333+(157.5-33)+(-1.01898+(-0.48195--0.10098))+0-0-0</f>
        <v>456.10005000000001</v>
      </c>
      <c r="X361" s="3">
        <f>381+(158.9-33)+(0.19431+(0.081039-0.01683))+0-0-0</f>
        <v>507.15851899999996</v>
      </c>
      <c r="Y361" s="3">
        <f>413+(140-30)+(-1.05315+(-0.357--0.0765))+0-0-0</f>
        <v>521.66634999999997</v>
      </c>
      <c r="Z361" s="3">
        <f>413+(132.2-28)+(-0.42126+(-0.134844--0.02856))+0-0-0</f>
        <v>516.67245600000001</v>
      </c>
      <c r="AA361" s="3">
        <f>368+(155.6-28)+(-0.9384+(-0.39678--0.0714))+0-0-0</f>
        <v>494.33622000000003</v>
      </c>
      <c r="AB361" s="3">
        <f>333+(168.9-30)+(-0.84915+(-0.430695--0.0765))+0-0-0</f>
        <v>470.69665499999996</v>
      </c>
      <c r="AC361" s="3">
        <f>333+(137.3-33)+(-0.67932+(-0.280092--0.06732))+0-0-0</f>
        <v>436.40790800000002</v>
      </c>
      <c r="AD361">
        <f t="shared" si="5"/>
        <v>10621.114539</v>
      </c>
      <c r="AE361" s="3">
        <f>413+(139.5-33)+(0+(0-0))+0-0-0</f>
        <v>519.5</v>
      </c>
    </row>
    <row r="362" spans="1:31" s="2" customFormat="1" x14ac:dyDescent="0.25">
      <c r="A362">
        <v>89</v>
      </c>
      <c r="B362">
        <v>12</v>
      </c>
      <c r="C362">
        <v>26</v>
      </c>
      <c r="D362">
        <v>6</v>
      </c>
      <c r="E362">
        <v>1</v>
      </c>
      <c r="F362" s="3">
        <f>313+(148.4-30)+(-0.47889+(-0.227052--0.0459))+0-0-0</f>
        <v>430.739958</v>
      </c>
      <c r="G362" s="3">
        <f>311+(121.9-28)+(-0.31722+(-0.124338--0.02856))+0-0-0</f>
        <v>404.48700199999996</v>
      </c>
      <c r="H362" s="3">
        <f>310+(103.8-28)+(-0.4743+(-0.158814--0.04284))+0-0-0</f>
        <v>385.20972599999999</v>
      </c>
      <c r="I362" s="3">
        <f>310+(92-29)+(0.1581+(0.04692-0.01479))+0-0-0</f>
        <v>373.19022999999999</v>
      </c>
      <c r="J362" s="3">
        <f>310+(96.6-33)+(-0.4743+(-0.147798--0.05049))+0-0-0</f>
        <v>373.028392</v>
      </c>
      <c r="K362" s="3">
        <f>310+(91.3-26)+(-0.1581+(-0.046563--0.01326))+0-0-0</f>
        <v>375.10859700000003</v>
      </c>
      <c r="L362" s="3">
        <f>308+(115.1-31)+(-0.62832+(-0.234804--0.06324))+0-0-0</f>
        <v>391.300116</v>
      </c>
      <c r="M362" s="3">
        <f>308+(141.2-33)+(0.15708+(0.072012-0.01683))+0-0-0</f>
        <v>416.412262</v>
      </c>
      <c r="N362" s="3">
        <f>306+(157.8-33)+(0.15606+(0.080478-0.01683))+0-0-0</f>
        <v>431.01970800000004</v>
      </c>
      <c r="O362" s="3">
        <f>306+(171.8-33)+(-0.46818+(-0.262854--0.05049))+0-0-0</f>
        <v>444.11945600000001</v>
      </c>
      <c r="P362" s="3">
        <f>306+(187.9-32)+(-0.46818+(-0.287487--0.04896))+0-0-0</f>
        <v>461.19329299999998</v>
      </c>
      <c r="Q362" s="3">
        <f>306+(194.6-32)+(-0.15606+(-0.099246--0.01632))+0-0-0</f>
        <v>468.36101400000001</v>
      </c>
      <c r="R362" s="3">
        <f>309+(197.3-32)+(-0.47277+(-0.301869--0.04896))+0-0-0</f>
        <v>473.574321</v>
      </c>
      <c r="S362" s="3">
        <f>309+(198.1-32)+(0+(0-0))+0-0-0</f>
        <v>475.1</v>
      </c>
      <c r="T362" s="3">
        <f>309+(190.2-31)+(-0.47277+(-0.291006--0.04743))+0-0-0</f>
        <v>467.483654</v>
      </c>
      <c r="U362" s="3">
        <f>309+(182.3-31)+(-1.10313+(-0.650811--0.11067))+0-0-0</f>
        <v>458.65672899999998</v>
      </c>
      <c r="V362" s="3">
        <f>315+(172-32)+(-0.3213+(-0.17544--0.03264))+0-0-0</f>
        <v>454.53590000000003</v>
      </c>
      <c r="W362" s="3">
        <f>315+(177.5-32)+(-0.6426+(-0.3621--0.06528))+0-0-0</f>
        <v>459.56058000000002</v>
      </c>
      <c r="X362" s="3">
        <f>315+(217.8-32)+(0+(0-0))+0-0-0</f>
        <v>500.8</v>
      </c>
      <c r="Y362" s="3">
        <f>315+(223.2-32)+(-0.6426+(-0.455328--0.06528))+0-0-0</f>
        <v>505.16735199999999</v>
      </c>
      <c r="Z362" s="3">
        <f>315+(220.7-32)+(-0.48195+(-0.337671--0.04896))+0-0-0</f>
        <v>502.92933899999997</v>
      </c>
      <c r="AA362" s="3">
        <f>315+(203.8-32)+(-0.16065+(-0.103938--0.01632))+0-0-0</f>
        <v>486.55173200000002</v>
      </c>
      <c r="AB362" s="3">
        <f>315+(196.4-31)+(0.48195+(0.300492-0.04743))+0-0-0</f>
        <v>481.13501199999996</v>
      </c>
      <c r="AC362" s="3">
        <f>315+(169.6-31)+(-0.80325+(-0.43248--0.07905))+0-0-0</f>
        <v>452.44332000000003</v>
      </c>
      <c r="AD362">
        <f t="shared" si="5"/>
        <v>10672.107693000002</v>
      </c>
      <c r="AE362" s="3">
        <f>314+(186.5-33)+(0+(0-0))+0-0-0</f>
        <v>467.5</v>
      </c>
    </row>
    <row r="363" spans="1:31" s="2" customFormat="1" x14ac:dyDescent="0.25">
      <c r="A363">
        <v>89</v>
      </c>
      <c r="B363">
        <v>12</v>
      </c>
      <c r="C363">
        <v>27</v>
      </c>
      <c r="D363">
        <v>7</v>
      </c>
      <c r="E363">
        <v>1</v>
      </c>
      <c r="F363" s="3">
        <f>312+(140-30)+(-0.63648+(-0.2856--0.0612))+0-0-0</f>
        <v>421.13911999999999</v>
      </c>
      <c r="G363" s="3">
        <f>312+(115.6-30)+(-0.47736+(-0.176868--0.0459))+0-0-0</f>
        <v>396.99167200000005</v>
      </c>
      <c r="H363" s="3">
        <f>312+(106.9-30)+(-0.15912+(-0.054519--0.0153))+0-0-0</f>
        <v>388.701661</v>
      </c>
      <c r="I363" s="3">
        <f>312+(99.5-31)+(-0.47736+(-0.152235--0.04743))+0-0-0</f>
        <v>379.91783500000003</v>
      </c>
      <c r="J363" s="3">
        <f>312+(92.8-33)+(0.15912+(0.047328-0.01683))+0-0-0</f>
        <v>371.98961800000001</v>
      </c>
      <c r="K363" s="3">
        <f>312+(100.4-29)+(-0.47736+(-0.153612--0.04437))+0-0-0</f>
        <v>382.81339799999995</v>
      </c>
      <c r="L363" s="3">
        <f>310+(111.9-30)+(-0.3162+(-0.114138--0.0306))+0-0-0</f>
        <v>391.50026199999996</v>
      </c>
      <c r="M363" s="3">
        <f>310+(127.1-31)+(0+(0-0))+0-0-0</f>
        <v>406.1</v>
      </c>
      <c r="N363" s="3">
        <f>308+(152.7-31)+(0.15708+(0.077877-0.01581))+0-0-0</f>
        <v>429.91914700000001</v>
      </c>
      <c r="O363" s="3">
        <f>307+(162.3-31)+(-0.15657+(-0.082773--0.01581))+0-0-0</f>
        <v>438.07646700000004</v>
      </c>
      <c r="P363" s="3">
        <f>307+(176-32)+(-0.62628+(-0.35904--0.06528))+0-0-0</f>
        <v>450.07996000000003</v>
      </c>
      <c r="Q363" s="3">
        <f>307+(181.8-32)+(-0.62628+(-0.370872--0.06528))+0-0-0</f>
        <v>455.86812800000001</v>
      </c>
      <c r="R363" s="3">
        <f>301+(188.7-33)+(-0.15351+(-0.096237--0.01683))+0-0-0</f>
        <v>456.467083</v>
      </c>
      <c r="S363" s="3">
        <f>255+(233.9-33)+(0.13005+(0.119289-0.01683))+0-0-0</f>
        <v>456.13250899999997</v>
      </c>
      <c r="T363" s="3">
        <f>269+(219-33)+(-0.68595+(-0.55845--0.08415))+0-0-0</f>
        <v>453.83974999999998</v>
      </c>
      <c r="U363" s="3">
        <f>301+(168-32)+(-0.76755+(-0.4284--0.0816))+0-0-0</f>
        <v>435.88565</v>
      </c>
      <c r="V363" s="3">
        <f>314+(161-32)+(-0.48042+(-0.24633--0.04896))+0-0-0</f>
        <v>442.32220999999998</v>
      </c>
      <c r="W363" s="3">
        <f>314+(172.3-33)+(-0.32028+(-0.175746--0.03366))+0-0-0</f>
        <v>452.83763400000004</v>
      </c>
      <c r="X363" s="3">
        <f>314+(214.3-33)+(0+(0-0))+0-0-0</f>
        <v>495.3</v>
      </c>
      <c r="Y363" s="3">
        <f>314+(217.9-33)+(-0.48042+(-0.333387--0.05049))+0-0-0</f>
        <v>498.136683</v>
      </c>
      <c r="Z363" s="3">
        <f>314+(210.1-33)+(-0.32028+(-0.214302--0.03366))+0-0-0</f>
        <v>490.59907800000002</v>
      </c>
      <c r="AA363" s="3">
        <f>314+(205.8-32)+(-0.32028+(-0.209916--0.03264))+0-0-0</f>
        <v>487.30244400000004</v>
      </c>
      <c r="AB363" s="3">
        <f>314+(204.1-31)+(-0.64056+(-0.416364--0.06324))+0-0-0</f>
        <v>486.10631600000005</v>
      </c>
      <c r="AC363" s="3">
        <f>310+(193.4-30)+(-0.6324+(-0.394536--0.0612))+0-0-0</f>
        <v>472.43426399999998</v>
      </c>
      <c r="AD363">
        <f t="shared" si="5"/>
        <v>10540.460889</v>
      </c>
      <c r="AE363" s="3">
        <f>314+(213.9-33)+(0+(0-0))+0-0-0</f>
        <v>494.9</v>
      </c>
    </row>
    <row r="364" spans="1:31" s="2" customFormat="1" x14ac:dyDescent="0.25">
      <c r="A364">
        <v>89</v>
      </c>
      <c r="B364">
        <v>12</v>
      </c>
      <c r="C364">
        <v>28</v>
      </c>
      <c r="D364">
        <v>1</v>
      </c>
      <c r="E364">
        <v>6</v>
      </c>
      <c r="F364" s="3">
        <f>313+(150.9-30)+(-0.63852+(-0.307836--0.0612))+0-0-0</f>
        <v>433.01484399999998</v>
      </c>
      <c r="G364" s="3">
        <f>313+(124.9-29)+(-0.79815+(-0.318495--0.07395))+0-0-0</f>
        <v>407.857305</v>
      </c>
      <c r="H364" s="3">
        <f>313+(113.7-28)+(0.15963+(0.057987-0.01428))+0-0-0</f>
        <v>398.90333699999996</v>
      </c>
      <c r="I364" s="3">
        <f>313+(101.4-30)+(-0.79815+(-0.25857--0.0765))+0-0-0</f>
        <v>383.41978</v>
      </c>
      <c r="J364" s="3">
        <f>313+(102.3-31)+(0.31926+(0.104346-0.03162))+0-0-0</f>
        <v>384.69198599999999</v>
      </c>
      <c r="K364" s="3">
        <f>313+(98.3-33)+(0+(0-0))+0-0-0</f>
        <v>378.3</v>
      </c>
      <c r="L364" s="3">
        <f>310+(112.4-33)+(-0.4743+(-0.171972--0.05049))+0-0-0</f>
        <v>388.80421799999999</v>
      </c>
      <c r="M364" s="3">
        <f>310+(131.3-33)+(-0.1581+(-0.066963--0.01683))+0-0-0</f>
        <v>408.091767</v>
      </c>
      <c r="N364" s="3">
        <f>311+(153.9-32)+(-0.15861+(-0.078489--0.01632))+0-0-0</f>
        <v>432.67922099999998</v>
      </c>
      <c r="O364" s="3">
        <f>311+(158.1-32)+(-0.47583+(-0.241893--0.04896))+0-0-0</f>
        <v>436.43123700000001</v>
      </c>
      <c r="P364" s="3">
        <f>311+(158.4-31)+(-0.15861+(-0.080784--0.01581))+0-0-0</f>
        <v>438.17641599999996</v>
      </c>
      <c r="Q364" s="3">
        <f>310+(170.2-30)+(-0.6324+(-0.347208--0.0612))+0-0-0</f>
        <v>449.28159199999999</v>
      </c>
      <c r="R364" s="3">
        <f>308+(182-31)+(-0.31416+(-0.18564--0.03162))+0-0-0</f>
        <v>458.53181999999998</v>
      </c>
      <c r="S364" s="3">
        <f>308+(190.3-31)+(0+(0-0))+0-0-0</f>
        <v>467.3</v>
      </c>
      <c r="T364" s="3">
        <f>309+(184.5-32)+(0.15759+(0.094095-0.01632))+0-0-0</f>
        <v>461.735365</v>
      </c>
      <c r="U364" s="3">
        <f>309+(167.4-32)+(-0.15759+(-0.085374--0.01632))+0-0-0</f>
        <v>444.17335599999996</v>
      </c>
      <c r="V364" s="3">
        <f>314+(163.2-32)+(-0.8007+(-0.41616--0.0816))+0-0-0</f>
        <v>444.06473999999997</v>
      </c>
      <c r="W364" s="3">
        <f>314+(166.5-33)+(-0.64056+(-0.33966--0.06732))+0-0-0</f>
        <v>446.58710000000002</v>
      </c>
      <c r="X364" s="3">
        <f>314+(214.8-33)+(-0.16014+(-0.109548--0.01683))+0-0-0</f>
        <v>495.54714200000001</v>
      </c>
      <c r="Y364" s="3">
        <f>314+(222.6-33)+(-0.32028+(-0.227052--0.03366))+0-0-0</f>
        <v>503.08632800000004</v>
      </c>
      <c r="Z364" s="3">
        <f>314+(222-33)+(-0.16014+(-0.11322--0.01683))+0-0-0</f>
        <v>502.74347</v>
      </c>
      <c r="AA364" s="3">
        <f>314+(211-33)+(-0.48042+(-0.32283--0.05049))+0-0-0</f>
        <v>491.24723999999998</v>
      </c>
      <c r="AB364" s="3">
        <f>314+(199.1-32)+(-0.48042+(-0.304623--0.04896))+0-0-0</f>
        <v>480.36391700000001</v>
      </c>
      <c r="AC364" s="3">
        <f>294+(199.8-32)+(-0.44982+(-0.305694--0.04896))+0-0-0</f>
        <v>461.09344600000003</v>
      </c>
      <c r="AD364">
        <f t="shared" si="5"/>
        <v>10596.125627000003</v>
      </c>
      <c r="AE364" s="3">
        <f>314+(222.8-33)+(0+(0-0))+0-0-0</f>
        <v>503.8</v>
      </c>
    </row>
    <row r="365" spans="1:31" s="2" customFormat="1" x14ac:dyDescent="0.25">
      <c r="A365">
        <v>89</v>
      </c>
      <c r="B365">
        <v>12</v>
      </c>
      <c r="C365">
        <v>29</v>
      </c>
      <c r="D365">
        <v>2</v>
      </c>
      <c r="E365">
        <v>2</v>
      </c>
      <c r="F365" s="3">
        <f>244+(213.3-29)+(-0.37332+(-0.326349--0.04437))+0-0-0</f>
        <v>427.644701</v>
      </c>
      <c r="G365" s="3">
        <f>232+(209.5-27)+(-0.35496+(-0.320535--0.04131))+0-0-0</f>
        <v>413.865815</v>
      </c>
      <c r="H365" s="3">
        <f>232+(176.1-27)+(-0.47328+(-0.359244--0.05508))+0-0-0</f>
        <v>380.32255600000002</v>
      </c>
      <c r="I365" s="3">
        <f>232+(164.7-27)+(0.11832+(0.083997-0.01377))+0-0-0</f>
        <v>369.88854700000002</v>
      </c>
      <c r="J365" s="3">
        <f>232+(165.7-28)+(0.35496+(0.253521-0.04284))+0-0-0</f>
        <v>370.26564100000002</v>
      </c>
      <c r="K365" s="3">
        <f>232+(173-32)+(-0.23664+(-0.17646--0.03264))+0-0-0</f>
        <v>372.61953999999997</v>
      </c>
      <c r="L365" s="3">
        <f>235+(175.2-33)+(-0.35955+(-0.268056--0.05049))+0-0-0</f>
        <v>376.622884</v>
      </c>
      <c r="M365" s="3">
        <f>235+(190.3-29)+(0.4794+(0.388212-0.05916))+0-0-0</f>
        <v>397.108452</v>
      </c>
      <c r="N365" s="3">
        <f>238+(206.1-29)+(0+(0-0))+0-0-0</f>
        <v>415.1</v>
      </c>
      <c r="O365" s="3">
        <f>232+(227.3-32)+(-0.23664+(-0.231846--0.03264))+0-0-0</f>
        <v>426.86415399999998</v>
      </c>
      <c r="P365" s="3">
        <f>276+(181.8-32)+(-0.56304+(-0.370872--0.06528))+0-0-0</f>
        <v>424.93136800000002</v>
      </c>
      <c r="Q365" s="3">
        <f>232+(225.5-32)+(-0.35496+(-0.345015--0.04896))+0-0-0</f>
        <v>424.84898500000003</v>
      </c>
      <c r="R365" s="3">
        <f>229+(243.7-31)+(-0.35037+(-0.372861--0.04743))+0-0-0</f>
        <v>441.02419900000001</v>
      </c>
      <c r="S365" s="3">
        <f>229+(246.9-30)+(-0.58395+(-0.629595--0.0765))+0-0-0</f>
        <v>444.76295499999998</v>
      </c>
      <c r="T365" s="3">
        <f>229+(242-30)+(-0.46716+(-0.49368--0.0612))+0-0-0</f>
        <v>440.10036000000002</v>
      </c>
      <c r="U365" s="3">
        <f>229+(234.7-30)+(-0.35037+(-0.359091--0.0459))+0-0-0</f>
        <v>433.03643899999997</v>
      </c>
      <c r="V365" s="3">
        <f>235+(229-30)+(0.11985+(0.11679-0.0153))+0-0-0</f>
        <v>434.22134</v>
      </c>
      <c r="W365" s="3">
        <f>235+(235.1-32)+(0+(0-0))+0-0-0</f>
        <v>438.1</v>
      </c>
      <c r="X365" s="3">
        <f>235+(289.1-33)+(0.11985+(0.147441-0.01683))+0-0-0</f>
        <v>491.350461</v>
      </c>
      <c r="Y365" s="3">
        <f>235+(290.3-30)+(-0.59925+(-0.740265--0.0765))+0-0-0</f>
        <v>494.03698500000002</v>
      </c>
      <c r="Z365" s="3">
        <f>235+(292.1-30)+(-0.35955+(-0.446913--0.0459))+0-0-0</f>
        <v>496.33943700000003</v>
      </c>
      <c r="AA365" s="3">
        <f>235+(291.1-30)+(-0.2397+(-0.296922--0.0306))+0-0-0</f>
        <v>495.59397800000005</v>
      </c>
      <c r="AB365" s="3">
        <f>235+(269.9-30)+(-0.11985+(-0.137649--0.0153))+0-0-0</f>
        <v>474.65780099999995</v>
      </c>
      <c r="AC365" s="3">
        <f>235+(247.9-30)+(-0.4794+(-0.505716--0.0612))+0-0-0</f>
        <v>451.97608399999996</v>
      </c>
      <c r="AD365">
        <f t="shared" si="5"/>
        <v>10335.282682000001</v>
      </c>
      <c r="AE365" s="3">
        <f>235+(291.5-33)+(0+(0-0))+0-0-0</f>
        <v>493.5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2016-08-27T12:15:08Z</dcterms:modified>
</cp:coreProperties>
</file>